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S E INV" sheetId="1" r:id="rId3"/>
    <sheet state="visible" name="OXXI" sheetId="2" r:id="rId4"/>
    <sheet state="visible" name="THERACEM" sheetId="3" r:id="rId5"/>
    <sheet state="visible" name="FECHA VTO CORTA" sheetId="4" r:id="rId6"/>
    <sheet state="visible" name="TEMPO NORTE PEDIDO BIODENTALES" sheetId="5" r:id="rId7"/>
    <sheet state="visible" name="COPIA NORTE 28 JUN " sheetId="6" r:id="rId8"/>
    <sheet state="visible" name="Hoja 692" sheetId="7" r:id="rId9"/>
    <sheet state="visible" name="COPIA SUR JUN 25" sheetId="8" r:id="rId10"/>
    <sheet state="visible" name="AGOTADOS SUR" sheetId="9" r:id="rId11"/>
    <sheet state="visible" name="COPIA INSTRUMENTAL SUR " sheetId="10" r:id="rId12"/>
    <sheet state="visible" name="TEMPO NORTE PEDIDO EUFAR" sheetId="11" r:id="rId13"/>
    <sheet state="visible" name="TEMPO NORTE PEDIDO PRODONT" sheetId="12" r:id="rId14"/>
    <sheet state="visible" name="TEMPO PEDIDO GUANTES NORTE" sheetId="13" r:id="rId15"/>
    <sheet state="visible" name="tempo norte pedido nuria" sheetId="14" r:id="rId16"/>
    <sheet state="visible" name="tempo pedido norte soccidentale" sheetId="15" r:id="rId17"/>
    <sheet state="visible" name="PAGO RECIBOS 2025" sheetId="16" r:id="rId18"/>
    <sheet state="visible" name="HOJA DE PAGOS NTE Y SUR" sheetId="17" r:id="rId19"/>
    <sheet state="visible" name="AGOTADO UNIDENTAL " sheetId="18" r:id="rId20"/>
    <sheet state="visible" name="TEMPO Pedido prodont sur " sheetId="19" r:id="rId21"/>
    <sheet state="visible" name="PEDIDO FGM nte y sur" sheetId="20" r:id="rId22"/>
    <sheet state="visible" name="INSTRUMENTAL" sheetId="21" r:id="rId23"/>
    <sheet state="visible" name="imporq" sheetId="22" r:id="rId24"/>
    <sheet state="visible" name="HOJA CUADRE NORTE" sheetId="23" r:id="rId25"/>
    <sheet state="visible" name="NOMINA FERNANDO" sheetId="24" r:id="rId26"/>
    <sheet state="visible" name="SILICONAS" sheetId="25" r:id="rId27"/>
    <sheet state="visible" name="DIENTES IVORINA" sheetId="26" r:id="rId28"/>
    <sheet state="visible" name="stiker instrumen SUR" sheetId="27" r:id="rId29"/>
    <sheet state="visible" name="stiker instrument" sheetId="28" r:id="rId30"/>
    <sheet state="visible" name="Copia de DIENTES IVORINA" sheetId="29" r:id="rId31"/>
    <sheet state="visible" name="DIENTES NISSI" sheetId="30" r:id="rId32"/>
    <sheet state="visible" name="PEDIDO BOCAS" sheetId="31" r:id="rId33"/>
    <sheet state="visible" name="GASTOS REMOD NTE" sheetId="32" r:id="rId34"/>
    <sheet state="visible" name="curetas" sheetId="33" r:id="rId35"/>
    <sheet state="visible" name="DYMA" sheetId="34" r:id="rId36"/>
    <sheet state="visible" name="Copia de INSTRUMENTAL" sheetId="35" r:id="rId37"/>
    <sheet state="visible" name="BIOART partes" sheetId="36" r:id="rId38"/>
    <sheet state="visible" name="Guante precio" sheetId="37" r:id="rId39"/>
    <sheet state="visible" name="INVENTARIO GUANTES" sheetId="38" r:id="rId40"/>
    <sheet state="visible" name="HOJA DE COBROS " sheetId="39" r:id="rId41"/>
    <sheet state="visible" name="CREDITO ENE JUL 2025" sheetId="40" r:id="rId42"/>
    <sheet state="visible" name="CARTERA VENCIDA " sheetId="41" r:id="rId43"/>
    <sheet state="visible" name="PROVEEDORES 2024" sheetId="42" r:id="rId44"/>
    <sheet state="visible" name="Banco Proveedores cuentas" sheetId="43" r:id="rId45"/>
    <sheet state="visible" name="INVENT LIMAS " sheetId="44" r:id="rId46"/>
    <sheet state="visible" name="FRESAS DIATECH" sheetId="45" r:id="rId47"/>
    <sheet state="visible" name="ARCOS NITI ACERO" sheetId="46" r:id="rId48"/>
    <sheet state="visible" name="BASE DATOS  " sheetId="47" r:id="rId49"/>
    <sheet state="visible" name="ARRIENDOS R Y C" sheetId="48" r:id="rId50"/>
    <sheet state="visible" name="BRASIL " sheetId="49" r:id="rId51"/>
    <sheet state="visible" name="claudia USA" sheetId="50" r:id="rId52"/>
    <sheet state="visible" name="Base Datos ALQUILER" sheetId="51" r:id="rId53"/>
    <sheet state="visible" name="LO ALQUILADO" sheetId="52" r:id="rId54"/>
    <sheet state="visible" name="ARRIENDO PARA IMPRI" sheetId="53" r:id="rId55"/>
    <sheet state="visible" name="FRESA CARBURO " sheetId="54" r:id="rId56"/>
    <sheet state="visible" name="kits y piezas de mano " sheetId="55" r:id="rId57"/>
    <sheet state="visible" name="BIODENT INVENT" sheetId="56" r:id="rId58"/>
    <sheet state="visible" name="TEMPO BIO SUR" sheetId="57" r:id="rId59"/>
    <sheet state="visible" name="control biodent" sheetId="58" r:id="rId60"/>
    <sheet state="visible" name=" proveedores " sheetId="59" r:id="rId61"/>
    <sheet state="visible" name="PROVEE DCTO" sheetId="60" r:id="rId62"/>
    <sheet state="visible" name="LISTA ALQUILER" sheetId="61" r:id="rId63"/>
    <sheet state="visible" name="HOJA ALQUILER" sheetId="62" r:id="rId64"/>
    <sheet state="visible" name="Hoja mantenimiento" sheetId="63" r:id="rId65"/>
    <sheet state="visible" name="HOJA ENCARGOS " sheetId="64" r:id="rId66"/>
    <sheet state="visible" name="HOJA DE BASE DE DATOS (IMPRIMIR" sheetId="65" r:id="rId67"/>
    <sheet state="visible" name="unidental no robar" sheetId="66" r:id="rId68"/>
    <sheet state="visible" name="IMPRIMIR TEMPO" sheetId="67" r:id="rId69"/>
    <sheet state="visible" name="CUENTA BANCOS" sheetId="68" r:id="rId70"/>
    <sheet state="visible" name="TAREAS AUXILIAR" sheetId="69" r:id="rId71"/>
  </sheets>
  <definedNames>
    <definedName hidden="1" localSheetId="0" name="_xlnm._FilterDatabase">'COMPRAS E INV'!$A$1:$P$1913</definedName>
    <definedName hidden="1" localSheetId="4" name="_xlnm._FilterDatabase">'TEMPO NORTE PEDIDO BIODENTALES'!$A$1:$Z$1000</definedName>
    <definedName hidden="1" localSheetId="5" name="_xlnm._FilterDatabase">'COPIA NORTE 28 JUN '!$A$1:$P$1913</definedName>
    <definedName hidden="1" localSheetId="7" name="_xlnm._FilterDatabase">'COPIA SUR JUN 25'!$A$1:$P$1913</definedName>
    <definedName hidden="1" localSheetId="8" name="_xlnm._FilterDatabase">'AGOTADOS SUR'!$A$1:$F$28</definedName>
    <definedName hidden="1" localSheetId="9" name="_xlnm._FilterDatabase">'COPIA INSTRUMENTAL SUR '!$A$1:$S$142</definedName>
    <definedName hidden="1" localSheetId="10" name="_xlnm._FilterDatabase">'TEMPO NORTE PEDIDO EUFAR'!$A$1:$Z$1000</definedName>
    <definedName hidden="1" localSheetId="11" name="_xlnm._FilterDatabase">'TEMPO NORTE PEDIDO PRODONT'!$A$1:$Z$1000</definedName>
    <definedName hidden="1" localSheetId="13" name="_xlnm._FilterDatabase">'tempo norte pedido nuria'!$A$1:$Z$1000</definedName>
    <definedName hidden="1" localSheetId="14" name="_xlnm._FilterDatabase">'tempo pedido norte soccidentale'!$A$1:$Z$67</definedName>
    <definedName hidden="1" localSheetId="15" name="_xlnm._FilterDatabase">'PAGO RECIBOS 2025'!$A$1:$AB$29</definedName>
    <definedName hidden="1" localSheetId="16" name="_xlnm._FilterDatabase">'HOJA DE PAGOS NTE Y SUR'!$A$1:$J$65</definedName>
    <definedName hidden="1" localSheetId="17" name="_xlnm._FilterDatabase">'AGOTADO UNIDENTAL '!$A$1:$F$1904</definedName>
    <definedName hidden="1" localSheetId="18" name="_xlnm._FilterDatabase">'TEMPO Pedido prodont sur '!$A$1:$C$22</definedName>
    <definedName hidden="1" localSheetId="19" name="_xlnm._FilterDatabase">'PEDIDO FGM nte y sur'!$A$1:$U$998</definedName>
    <definedName hidden="1" localSheetId="20" name="_xlnm._FilterDatabase">INSTRUMENTAL!$A$1:$X$142</definedName>
    <definedName hidden="1" localSheetId="21" name="_xlnm._FilterDatabase">imporq!$A$1:$F$975</definedName>
    <definedName hidden="1" localSheetId="25" name="_xlnm._FilterDatabase">'DIENTES IVORINA'!$A$1:$H$1000</definedName>
    <definedName hidden="1" localSheetId="26" name="_xlnm._FilterDatabase">'stiker instrumen SUR'!$B$1:$D$127</definedName>
    <definedName hidden="1" localSheetId="27" name="_xlnm._FilterDatabase">'stiker instrument'!$A$1:$E$1102</definedName>
    <definedName hidden="1" localSheetId="28" name="_xlnm._FilterDatabase">'Copia de DIENTES IVORINA'!$A$1:$D$1000</definedName>
    <definedName hidden="1" localSheetId="29" name="_xlnm._FilterDatabase">'DIENTES NISSI'!$A$1:$J$66</definedName>
    <definedName hidden="1" localSheetId="31" name="_xlnm._FilterDatabase">'GASTOS REMOD NTE'!$A$1:$C$1005</definedName>
    <definedName hidden="1" localSheetId="32" name="_xlnm._FilterDatabase">curetas!$B$31:$E$42</definedName>
    <definedName hidden="1" localSheetId="33" name="_xlnm._FilterDatabase">DYMA!$A$1:$J$1001</definedName>
    <definedName hidden="1" localSheetId="34" name="_xlnm._FilterDatabase">'Copia de INSTRUMENTAL'!$A$1:$D$133</definedName>
    <definedName hidden="1" localSheetId="35" name="_xlnm._FilterDatabase">'BIOART partes'!$A$1:$O$1000</definedName>
    <definedName hidden="1" localSheetId="36" name="_xlnm._FilterDatabase">'Guante precio'!$A$1:$I$1000</definedName>
    <definedName hidden="1" localSheetId="38" name="_xlnm._FilterDatabase">'HOJA DE COBROS '!$A$1:$G$421</definedName>
    <definedName hidden="1" localSheetId="39" name="_xlnm._FilterDatabase">'CREDITO ENE JUL 2025'!$A$1:$F$202</definedName>
    <definedName hidden="1" localSheetId="40" name="_xlnm._FilterDatabase">'CARTERA VENCIDA '!$A$1:$J$67</definedName>
    <definedName hidden="1" localSheetId="41" name="_xlnm._FilterDatabase">'PROVEEDORES 2024'!$A$1:$C$41</definedName>
    <definedName hidden="1" localSheetId="42" name="_xlnm._FilterDatabase">'Banco Proveedores cuentas'!$A$1:$G$999</definedName>
    <definedName hidden="1" localSheetId="43" name="_xlnm._FilterDatabase">'INVENT LIMAS '!$A$1:$I$1014</definedName>
    <definedName hidden="1" localSheetId="44" name="_xlnm._FilterDatabase">'FRESAS DIATECH'!$A$1:$AQ$160</definedName>
    <definedName hidden="1" localSheetId="45" name="_xlnm._FilterDatabase">'ARCOS NITI ACERO'!$A$1:$AC$1032</definedName>
    <definedName hidden="1" localSheetId="46" name="_xlnm._FilterDatabase">'BASE DATOS  '!$A$1:$E$487</definedName>
    <definedName hidden="1" localSheetId="47" name="_xlnm._FilterDatabase">'ARRIENDOS R Y C'!$A$1:$C$14</definedName>
    <definedName hidden="1" localSheetId="48" name="_xlnm._FilterDatabase">'BRASIL '!$A$1:$L$918</definedName>
    <definedName hidden="1" localSheetId="49" name="_xlnm._FilterDatabase">'claudia USA'!$A$1:$D$55</definedName>
    <definedName hidden="1" localSheetId="50" name="_xlnm._FilterDatabase">'Base Datos ALQUILER'!$A$1:$E$1147</definedName>
    <definedName hidden="1" localSheetId="51" name="_xlnm._FilterDatabase">'LO ALQUILADO'!$A$1:$W$790</definedName>
    <definedName hidden="1" localSheetId="53" name="_xlnm._FilterDatabase">'FRESA CARBURO '!$A$1:$C$72</definedName>
    <definedName hidden="1" localSheetId="54" name="_xlnm._FilterDatabase">'kits y piezas de mano '!$A$1:$G$1003</definedName>
    <definedName hidden="1" localSheetId="55" name="_xlnm._FilterDatabase">'BIODENT INVENT'!$AC$6:$AO$32</definedName>
    <definedName hidden="1" localSheetId="56" name="_xlnm._FilterDatabase">'TEMPO BIO SUR'!$B$6:$N$26</definedName>
    <definedName hidden="1" localSheetId="57" name="_xlnm._FilterDatabase">'control biodent'!$A$1:$BB$239</definedName>
    <definedName hidden="1" localSheetId="58" name="_xlnm._FilterDatabase">' proveedores '!$A$1:$F$1046</definedName>
    <definedName hidden="1" localSheetId="68" name="_xlnm._FilterDatabase">'TAREAS AUXILIAR'!$A$1:$B$1006</definedName>
    <definedName hidden="1" localSheetId="44" name="Z_6EA4E08C_8739_4759_AC14_EC33F83EDD6D_.wvu.FilterData">'FRESAS DIATECH'!$C$1:$V$160</definedName>
    <definedName hidden="1" localSheetId="50" name="Z_6EA4E08C_8739_4759_AC14_EC33F83EDD6D_.wvu.FilterData">'Base Datos ALQUILER'!$A$1:$E$220</definedName>
    <definedName hidden="1" localSheetId="47" name="Z_CF39F706_2E36_4DD4_99F2_F6ADFA474844_.wvu.FilterData">'ARRIENDOS R Y C'!$H$18:$I$18</definedName>
  </definedNames>
  <calcPr/>
  <customWorkbookViews>
    <customWorkbookView activeSheetId="0" maximized="1" windowHeight="0" windowWidth="0" guid="{6EA4E08C-8739-4759-AC14-EC33F83EDD6D}" name="Filter 1"/>
    <customWorkbookView activeSheetId="0" maximized="1" windowHeight="0" windowWidth="0" guid="{CF39F706-2E36-4DD4-99F2-F6ADFA474844}" name="Filtro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27">
      <text>
        <t xml:space="preserve">7429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27">
      <text>
        <t xml:space="preserve">7429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27">
      <text>
        <t xml:space="preserve">7429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22">
      <text>
        <t xml:space="preserve">7429</t>
      </text>
    </comment>
  </commentList>
</comments>
</file>

<file path=xl/sharedStrings.xml><?xml version="1.0" encoding="utf-8"?>
<sst xmlns="http://schemas.openxmlformats.org/spreadsheetml/2006/main" count="30464" uniqueCount="7472">
  <si>
    <t>OJO NO USAR ESTE</t>
  </si>
  <si>
    <t xml:space="preserve">referencias </t>
  </si>
  <si>
    <t xml:space="preserve">PEDIDO SUR </t>
  </si>
  <si>
    <t>PEDIDO NORTE</t>
  </si>
  <si>
    <t>INVENT SUR mar 21</t>
  </si>
  <si>
    <t xml:space="preserve">INVENT NTE </t>
  </si>
  <si>
    <t>FECHA VCMTO</t>
  </si>
  <si>
    <t>PRECIO COMPRA</t>
  </si>
  <si>
    <t xml:space="preserve">     precio venta </t>
  </si>
  <si>
    <t>IVA</t>
  </si>
  <si>
    <t>PRECIO MALTERO</t>
  </si>
  <si>
    <t>%</t>
  </si>
  <si>
    <t xml:space="preserve">VR PEDIDO </t>
  </si>
  <si>
    <t>abre bocas Umbrella</t>
  </si>
  <si>
    <t>Pluss Dent GAB VEL</t>
  </si>
  <si>
    <t>Abreboca  manual gancho DOBLE EXTREMO NEGRO</t>
  </si>
  <si>
    <t>IMPORTADA</t>
  </si>
  <si>
    <t>Abreboca  manual gancho DOBLE EXTREMO TRANSPARENTE</t>
  </si>
  <si>
    <t>Abreboca  manual gancho PEQUEÑO</t>
  </si>
  <si>
    <t>Abreboca AZUL Y ROJO AMARILLO</t>
  </si>
  <si>
    <t>ELVER LOZANO BOGOTA</t>
  </si>
  <si>
    <t>rojo 1 azul 1</t>
  </si>
  <si>
    <t xml:space="preserve">abreboca Con retractor adulto   </t>
  </si>
  <si>
    <t xml:space="preserve">UPEGUI </t>
  </si>
  <si>
    <t>BLANCO 43 NEGRO 10</t>
  </si>
  <si>
    <t xml:space="preserve">abreboca Con retractor PEDIATRICO </t>
  </si>
  <si>
    <t>UPEGUI</t>
  </si>
  <si>
    <t>Abreboca manual gancho GRANDE</t>
  </si>
  <si>
    <t xml:space="preserve">Abreboca sencillo adulto </t>
  </si>
  <si>
    <t>OXXI $ 11067 NISSI $7556</t>
  </si>
  <si>
    <t>OXXI NISSI</t>
  </si>
  <si>
    <t>Abreboca sencillo niño</t>
  </si>
  <si>
    <t>OXXI $ 11067 NISSI $7557</t>
  </si>
  <si>
    <t xml:space="preserve">abreboca sin retractor </t>
  </si>
  <si>
    <t>abrebocas aclaramiento tipo optragate</t>
  </si>
  <si>
    <t>Accufilm Papel de articular  aqua film x 280 tiras</t>
  </si>
  <si>
    <t>La muela miguel</t>
  </si>
  <si>
    <t>Accufilm Papel de articular CIRENE aqua film x 280 tiras</t>
  </si>
  <si>
    <t xml:space="preserve">Aceite 3 en 1 </t>
  </si>
  <si>
    <t>CENTRO HOYOSTOOL</t>
  </si>
  <si>
    <t>aceite lubricante - pieza de mano Dental handpiece 300ml</t>
  </si>
  <si>
    <t>DTM</t>
  </si>
  <si>
    <t>aceite lubricante - pieza de mano Dental handpiece 550ml</t>
  </si>
  <si>
    <t>aceite lubricante - pieza de mano PANASPRAY PLUS NSK 480ML</t>
  </si>
  <si>
    <t>NSK</t>
  </si>
  <si>
    <t>LA MUELA</t>
  </si>
  <si>
    <t xml:space="preserve">aceite lubricante - pieza de mano WYH 400ML </t>
  </si>
  <si>
    <t>euro $96250</t>
  </si>
  <si>
    <t>MASDENTAL EURODENT</t>
  </si>
  <si>
    <t>Aceite lubricante Bendechk 300ml</t>
  </si>
  <si>
    <t>makrodent DTM</t>
  </si>
  <si>
    <t>aceite lubricante de piezas digixpray 240ml</t>
  </si>
  <si>
    <t>muela</t>
  </si>
  <si>
    <t xml:space="preserve">iva </t>
  </si>
  <si>
    <t>Aceite lubricante en Spray 200 ml- KAVO</t>
  </si>
  <si>
    <t>AGOTADO</t>
  </si>
  <si>
    <t>aceite lubricante pequeño - pieza de mano 50 ml</t>
  </si>
  <si>
    <t>RAMON</t>
  </si>
  <si>
    <t>Aceite lubricante Quiruspray 200 cc - pieza de mano</t>
  </si>
  <si>
    <t>ramon $29.500 aquiles $24.871</t>
  </si>
  <si>
    <t>RAMON AQUILES</t>
  </si>
  <si>
    <t>Aceite lubricante Universal en Spray 250 ml- Adensys</t>
  </si>
  <si>
    <t>Aceite LUBRICANTE X200 ML Maquira</t>
  </si>
  <si>
    <t>SOCCIDENTALES</t>
  </si>
  <si>
    <t>Aceite super lubry 50ml</t>
  </si>
  <si>
    <t xml:space="preserve">AQUILES </t>
  </si>
  <si>
    <t>acetato lamina rosada 0.6</t>
  </si>
  <si>
    <t>acetato rigido ACE</t>
  </si>
  <si>
    <t>acido clorhidrico removedor de manchas opalustre FGM whiteness RM 6%</t>
  </si>
  <si>
    <t>antioq $95200 soccid $ 80,206 plus $79968</t>
  </si>
  <si>
    <t>FGM soccident</t>
  </si>
  <si>
    <t>Acido desmineralizante 2.5 coltene</t>
  </si>
  <si>
    <t>ACIDO</t>
  </si>
  <si>
    <t xml:space="preserve">Ultradental </t>
  </si>
  <si>
    <t>acido desmineralizante 2.5 Densell 12g 35%</t>
  </si>
  <si>
    <t>La muela - ramon</t>
  </si>
  <si>
    <t>exc</t>
  </si>
  <si>
    <t>Acido desmineralizante 35% ultradent 1.2ml</t>
  </si>
  <si>
    <t xml:space="preserve">Gabriel Vel pluss </t>
  </si>
  <si>
    <t>acido desmineralizante 37% fosforico MAQUIRA 2.5</t>
  </si>
  <si>
    <t>PRECIO MAYO 20</t>
  </si>
  <si>
    <t xml:space="preserve">RAMON CLAUDIA SOCCIDENTALES </t>
  </si>
  <si>
    <t>EXC</t>
  </si>
  <si>
    <t>acido desmineralizante angelus 3 grs</t>
  </si>
  <si>
    <t>CLAUDIA</t>
  </si>
  <si>
    <t>Acido desmineralizante FGM condac 12.5 ML</t>
  </si>
  <si>
    <t>ACIDO promo antoq $24375 SOCCIDEN 20825 plus20000</t>
  </si>
  <si>
    <t>Acido Desmineralizante proquident 10ML  jumbo</t>
  </si>
  <si>
    <t>PROQUIDENT</t>
  </si>
  <si>
    <t xml:space="preserve">Acido Desmineralizante Select H V ETCH 5ML Bisco </t>
  </si>
  <si>
    <t>promo $48.450 mayo/25</t>
  </si>
  <si>
    <t>JULVIDENT bisco</t>
  </si>
  <si>
    <t>Acido desmineralizante SUPER ETCH SDI 12 gm</t>
  </si>
  <si>
    <t>ABRAHAM</t>
  </si>
  <si>
    <t>Acido desmineralizante ultra ETCH 30ml ultradent</t>
  </si>
  <si>
    <t>tempo $150,000</t>
  </si>
  <si>
    <t>Acido Desmineralizante Zafira 10 ml</t>
  </si>
  <si>
    <t xml:space="preserve">kit zafira </t>
  </si>
  <si>
    <t>New Stetic</t>
  </si>
  <si>
    <t>revisar</t>
  </si>
  <si>
    <t>acido fluorhidrico 10% Jeringa 2.5 ml Angelus</t>
  </si>
  <si>
    <t>acido fluorhidrico 10% Jeringa 2.5 ml Maquira</t>
  </si>
  <si>
    <t>SOCCIDENTALES CLAUDIA</t>
  </si>
  <si>
    <t xml:space="preserve">ACIDO FLUORHIDRICO 3ML (JERINGA) prodont </t>
  </si>
  <si>
    <t>PRODONT</t>
  </si>
  <si>
    <t>acido fluorhidrico 5% 3 g BM4</t>
  </si>
  <si>
    <t>acido fluorhidrico 5% porcelana jeringa 2.5 ml FGM</t>
  </si>
  <si>
    <t>SOCCID $24514 plus $25600</t>
  </si>
  <si>
    <t xml:space="preserve">ACIDO FLUORHIDRICO 7ML (GOTERO) prodont </t>
  </si>
  <si>
    <t>acido fluorhidrico 9.6% Jeringa 2 g Eufar</t>
  </si>
  <si>
    <t>Aquiles $32000 ramon $32000 EUFAR $29354</t>
  </si>
  <si>
    <t xml:space="preserve">AQUILES RAMON GABRIEL VELASQUEZ Eufar </t>
  </si>
  <si>
    <t>Acido fluorhidrico grabador para porcelana ultradent</t>
  </si>
  <si>
    <t>pluss $24804</t>
  </si>
  <si>
    <t xml:space="preserve">Acido Fluorhidrico porcelain etch 9,5% Bisco </t>
  </si>
  <si>
    <t>promo $106.250 mayo/25</t>
  </si>
  <si>
    <t xml:space="preserve">aclaramiento casero Clariant 16% Angelus </t>
  </si>
  <si>
    <t xml:space="preserve">Aclaramiento casero OPALECENSE  x 2 JERINGAS </t>
  </si>
  <si>
    <t>Casero</t>
  </si>
  <si>
    <t>CLAUDIA pluss dent</t>
  </si>
  <si>
    <t>iva</t>
  </si>
  <si>
    <t>Aclaramiento casero Opalecense Go caja x 10</t>
  </si>
  <si>
    <t>pluss $211.000 promo 2x 159 gabriel velasq promo x 2 155</t>
  </si>
  <si>
    <t xml:space="preserve">Casero </t>
  </si>
  <si>
    <t xml:space="preserve">CLAUDIA pluss dent </t>
  </si>
  <si>
    <t>Aclaramiento casero Opalecense Go x unidad</t>
  </si>
  <si>
    <t xml:space="preserve">Aclaramiento casero Polanight </t>
  </si>
  <si>
    <t>CLAUDIA abraham</t>
  </si>
  <si>
    <t xml:space="preserve">Aclaramiento casero Potenza 16% </t>
  </si>
  <si>
    <t>Aclaramiento casero Potenza 22%</t>
  </si>
  <si>
    <t>Aclaramiento casero Power bleaching  bM4 16 %</t>
  </si>
  <si>
    <t>Aclaramiento casero Power bleaching  bM4 22 %</t>
  </si>
  <si>
    <t xml:space="preserve">Aclaramiento casero Whiteness perfect FGM 16% </t>
  </si>
  <si>
    <t>antioq $16800 promo $15000 soccid $14500 plus $15232</t>
  </si>
  <si>
    <t>1/11/2025 3-2025</t>
  </si>
  <si>
    <t xml:space="preserve">Aclaramiento casero Whiteness perfect FGM 22% </t>
  </si>
  <si>
    <t xml:space="preserve">Aclaramiento casero withegold </t>
  </si>
  <si>
    <t>DORA ramon</t>
  </si>
  <si>
    <t xml:space="preserve">Aclaramiento consultorio AZUL HP BLUE FGM 35% JERINGA </t>
  </si>
  <si>
    <t>SOCCID 38714 plus $37334</t>
  </si>
  <si>
    <t xml:space="preserve">Aclaramiento consultorio AZUL HP BLUE FGM 35% MINI KIT </t>
  </si>
  <si>
    <t>antioq $76160 soccid $66800</t>
  </si>
  <si>
    <t>aclaramiento FGM</t>
  </si>
  <si>
    <t>aclaramiento consultorio Clariant 35% Angelus</t>
  </si>
  <si>
    <t>PRECIO 20 MAYO</t>
  </si>
  <si>
    <t>Aclaramiento consultorio FGM 35% ROJO HP</t>
  </si>
  <si>
    <t xml:space="preserve">antioq $200000 promo $196350 soccid $202.300 </t>
  </si>
  <si>
    <t>FGM 1/11/2025 brasil 04-2025</t>
  </si>
  <si>
    <t xml:space="preserve">Aclaramiento consultorio FGM 35% ROJO HP Mini kit </t>
  </si>
  <si>
    <t>Aclaramiento consultorio FGM 35% VERDE HP AUTOMIX JERINGA CONSULTORIO</t>
  </si>
  <si>
    <t xml:space="preserve">Aclaramiento consultorio FGM 35% VERDE HP MAXX </t>
  </si>
  <si>
    <t>antioq $233240 soccid $180000  plus $208012</t>
  </si>
  <si>
    <t xml:space="preserve">Aclaramiento consultorio FGM 35% VERDE MINI KIT HP MAXX </t>
  </si>
  <si>
    <t>antioq $117096 soccid $66800</t>
  </si>
  <si>
    <t>FGM</t>
  </si>
  <si>
    <t>Aclaramiento consultorio OPALECENSE BOOTS + barrera gingival OPALDAM</t>
  </si>
  <si>
    <t>Aclaramiento consultorio OPALECENSE BOOTS 40%</t>
  </si>
  <si>
    <t>compre $90200</t>
  </si>
  <si>
    <t>Aclaramiento consultorio Pola Office + LISTO 1PCTE</t>
  </si>
  <si>
    <t>abraham</t>
  </si>
  <si>
    <t xml:space="preserve">Aclaramiento consultorio Pola Office 3 PCTE S POLVO Y LIQUIDO </t>
  </si>
  <si>
    <t>Aclaramiento consultorio pola office bulk kit</t>
  </si>
  <si>
    <t>Aclaramiento consultorio Potenza 38% (1,3+0,4)</t>
  </si>
  <si>
    <t xml:space="preserve">New stetic </t>
  </si>
  <si>
    <t>Aclaramiento consultorio Potenza 38% 1 jeringa+ Barrera 1g+ 1 frasco Neutralizador</t>
  </si>
  <si>
    <t xml:space="preserve">aclaramiento HP BLUE 6 JERINGAS </t>
  </si>
  <si>
    <t>ACONDICIONADOR DE TEJIDOS COE CONFORT LIQUIDO</t>
  </si>
  <si>
    <t>GC</t>
  </si>
  <si>
    <t>promo $77.700</t>
  </si>
  <si>
    <t xml:space="preserve">LA MUELA - DORA - RAMON - masdental </t>
  </si>
  <si>
    <t xml:space="preserve">ACONDICIONADOR DE TEJIDOS COE CONFORT POLVO </t>
  </si>
  <si>
    <t xml:space="preserve">ACONDICIONADOR DE TEJIDOS COE CONFORT Y COE SOFT X PORCION </t>
  </si>
  <si>
    <t>La Muela</t>
  </si>
  <si>
    <t xml:space="preserve">ACONDICIONADOR DE TEJIDOS COE SOFT LIQUIDO </t>
  </si>
  <si>
    <t>ACONDICIONADOR DE TEJIDOS COE SOFT POLVO</t>
  </si>
  <si>
    <t xml:space="preserve">ACOPLE CORDEN PARA PIEZAS UNIDAD </t>
  </si>
  <si>
    <t>larry alfredo</t>
  </si>
  <si>
    <t>Acrilico auto 125 g JB</t>
  </si>
  <si>
    <t>Acrilico auto 125 g TRANSPARENTE</t>
  </si>
  <si>
    <t>Acrilico auto 125 g VR1</t>
  </si>
  <si>
    <t>Acrilico auto 60 g A 3.5</t>
  </si>
  <si>
    <t>Acrilico auto 60 g A0</t>
  </si>
  <si>
    <t>Acrilico Auto 60 g A1</t>
  </si>
  <si>
    <t>Acrilico auto 60 g A2</t>
  </si>
  <si>
    <t>Acrilico auto 60 g A3</t>
  </si>
  <si>
    <t xml:space="preserve">Acrilico Auto 60 g B2 </t>
  </si>
  <si>
    <t>Acrilico auto 60 g JB</t>
  </si>
  <si>
    <t>Acrilico auto 60 g Transparente</t>
  </si>
  <si>
    <t>Acrilico auto 60 g VR1</t>
  </si>
  <si>
    <t>Acrilico auto 60 g VRX</t>
  </si>
  <si>
    <t>Acrilico auto JB 500 gm</t>
  </si>
  <si>
    <t>1/10/2025 09-2026</t>
  </si>
  <si>
    <t>Acrilico auto liquido 1000 cc</t>
  </si>
  <si>
    <t>Acrilico auto liquido 110 ml</t>
  </si>
  <si>
    <t>New stetic</t>
  </si>
  <si>
    <t xml:space="preserve">Acrilico auto liquido 250 ml </t>
  </si>
  <si>
    <t>Acrilico auto liquido 500 cc</t>
  </si>
  <si>
    <t xml:space="preserve">Acrilico AUTO liquido 55 ml </t>
  </si>
  <si>
    <t>Acrilico auto Naranja para cubeta envasado x 125gm</t>
  </si>
  <si>
    <t xml:space="preserve">Acrilico auto ROSADO VR1 500 g </t>
  </si>
  <si>
    <t xml:space="preserve">New Stetic </t>
  </si>
  <si>
    <t>Acrilico auto transparente 1000 gr</t>
  </si>
  <si>
    <t>Acrilico auto transparente 500 gr</t>
  </si>
  <si>
    <t>Acrilico cubetas 1Kg 1000 ml Azul veracril</t>
  </si>
  <si>
    <t>Acrilico cubetas 1Kg 1000 ml Naranja veracril</t>
  </si>
  <si>
    <t>Acrilico termo 125 g JB</t>
  </si>
  <si>
    <t>Acrilico termo 125 g Transparente</t>
  </si>
  <si>
    <t>Acrilico termo 125 g VR1</t>
  </si>
  <si>
    <t>Acrilico termo 60 g A 3.5</t>
  </si>
  <si>
    <t xml:space="preserve">no volver a pedir </t>
  </si>
  <si>
    <t>Acrilico termo 60 g A0</t>
  </si>
  <si>
    <t>Acrilico termo 60 g A1</t>
  </si>
  <si>
    <t>Acrilico termo 60 g A2</t>
  </si>
  <si>
    <t>Acrilico termo 60 g A3</t>
  </si>
  <si>
    <t>Acrilico termo 60 g B2</t>
  </si>
  <si>
    <t>Acrilico termo 60 g JB</t>
  </si>
  <si>
    <t>Acrilico termo 60 g transp</t>
  </si>
  <si>
    <t>Acrilico termo 60 g VR1</t>
  </si>
  <si>
    <t>Acrilico termo 60 g VRX</t>
  </si>
  <si>
    <t xml:space="preserve">sur </t>
  </si>
  <si>
    <t>Acrilico termo Jaspe JB 500 g</t>
  </si>
  <si>
    <t xml:space="preserve">Acrilico termo Jaspe VR1 500 g </t>
  </si>
  <si>
    <t xml:space="preserve">Acrilico termo liquido 110 ml </t>
  </si>
  <si>
    <t xml:space="preserve">Acrilico termo liquido 250 ml </t>
  </si>
  <si>
    <t>Acrilico TERMO liquido 500 cc</t>
  </si>
  <si>
    <t>Acrilico TERMO liquido 55 ml</t>
  </si>
  <si>
    <t xml:space="preserve">Acrilico VR1 Alto impacto  60 ml </t>
  </si>
  <si>
    <t>Acrilico VR1 Alto impacto 125 ml</t>
  </si>
  <si>
    <t>Activador induren lab</t>
  </si>
  <si>
    <t>EURODENT</t>
  </si>
  <si>
    <t>ADAPTADOR convertidor  DE PIEZA 2 a 4 - 4 a 2</t>
  </si>
  <si>
    <t>LARRY alfredo</t>
  </si>
  <si>
    <t>ADHESIVO 3M 3 gr</t>
  </si>
  <si>
    <t>RAMON $78.000 DORA $90.000 GABRIEL VELASQUEZ $99800 LA MUELA $65.000</t>
  </si>
  <si>
    <t>RAMON GABRIEL VELAZQUES LA MUELA</t>
  </si>
  <si>
    <t>ADHESIVO 3M 6ml</t>
  </si>
  <si>
    <t>RAMON $123.600 DORA $150.000</t>
  </si>
  <si>
    <t>U</t>
  </si>
  <si>
    <t>RAMON la muela</t>
  </si>
  <si>
    <t>ADHESIVO 3M UNIVERSAL 5 ML</t>
  </si>
  <si>
    <t>30/5/2026 03-2027</t>
  </si>
  <si>
    <t>Adhesivo AMBAR FGM 4 ML  naranja</t>
  </si>
  <si>
    <t>antioq $58000 soccid $ 39900</t>
  </si>
  <si>
    <t>Adhesivo AMBAR MORADO FGM 6ML APS</t>
  </si>
  <si>
    <t>promo antioq $67500 SOCCID $64700</t>
  </si>
  <si>
    <t>Adhesivo AMBAR ROJO FGM 5 ML APS Universal</t>
  </si>
  <si>
    <t>antioq $120000 soccid $74600  plus $96000</t>
  </si>
  <si>
    <t xml:space="preserve">Adhesivo bond 2.1 4ml maquira </t>
  </si>
  <si>
    <t>SOCCIDEN $22000</t>
  </si>
  <si>
    <t>Adhesivo bond 2.1 5ml maquira</t>
  </si>
  <si>
    <t>Adhesivo bond 2.1 6ml maquira</t>
  </si>
  <si>
    <t>No llego 14 AB</t>
  </si>
  <si>
    <t>Adhesivo coltene COAT BOND</t>
  </si>
  <si>
    <t>promo nov $72348</t>
  </si>
  <si>
    <t>ultradental</t>
  </si>
  <si>
    <t>1/3/2026 01-206</t>
  </si>
  <si>
    <t>Adhesivo DE RESINA Prime Dent</t>
  </si>
  <si>
    <t>cardenas $24000</t>
  </si>
  <si>
    <t>Adhesivo OptiBond FL Kerr 6ML</t>
  </si>
  <si>
    <t>MASDENTAL  PLUSSDENT</t>
  </si>
  <si>
    <t>Adhesivo optibond KERR</t>
  </si>
  <si>
    <t>Adhesivo optibond KERR UNIVERSAL</t>
  </si>
  <si>
    <t>Adhesivo OptiBond S Kerr 6ML</t>
  </si>
  <si>
    <t>Adhesivo palfique bond tokuyama 5ml</t>
  </si>
  <si>
    <t>julvipdent</t>
  </si>
  <si>
    <r>
      <rPr>
        <rFont val="Verdana"/>
        <sz val="10.0"/>
      </rPr>
      <t xml:space="preserve">ADHESIVO PARA IMPRESION CUBETA ZHERMACK </t>
    </r>
    <r>
      <rPr>
        <rFont val="Verdana"/>
        <color rgb="FFFF0000"/>
        <sz val="10.0"/>
      </rPr>
      <t>(ojo fecha vencimiento lejana)</t>
    </r>
  </si>
  <si>
    <t>euro $46565</t>
  </si>
  <si>
    <t>RAMON-gabriel velasquez masdental EURODENT</t>
  </si>
  <si>
    <t>ADHESIVO PARA IMPRESION CUBETA ZHERMACK porcion</t>
  </si>
  <si>
    <t>ADHESIVO PEAK UNIVERSAL 4ML</t>
  </si>
  <si>
    <t>GABRIEL VELASQUEZ PLUSS DENT</t>
  </si>
  <si>
    <t>Adhesivo por uniporcion</t>
  </si>
  <si>
    <t>ADHESIVO TETRIC N BOND</t>
  </si>
  <si>
    <t>EMMA MASDENTAL  EURODENT</t>
  </si>
  <si>
    <t>Adhesivo tetric N-Bond Universal ivoclar 6ML</t>
  </si>
  <si>
    <t>EMMA MASDENTAL EURODENT</t>
  </si>
  <si>
    <t>ADHESIVO UNIVERSAL Solare bond 5ml</t>
  </si>
  <si>
    <t>La muela</t>
  </si>
  <si>
    <t>Adhesivo Universal Zafira 8ml</t>
  </si>
  <si>
    <t>u</t>
  </si>
  <si>
    <t xml:space="preserve">adseal </t>
  </si>
  <si>
    <t>ABRAHAM dora</t>
  </si>
  <si>
    <t xml:space="preserve">adseal porcion o Roeko x caja </t>
  </si>
  <si>
    <t xml:space="preserve">ramon gabriel </t>
  </si>
  <si>
    <t xml:space="preserve">Agua desionizada por galon </t>
  </si>
  <si>
    <t>Agua esteril x 5 ml</t>
  </si>
  <si>
    <t>ALLERS</t>
  </si>
  <si>
    <t>Agua oxigenada JGB X 120 ML</t>
  </si>
  <si>
    <t>Allers $3749</t>
  </si>
  <si>
    <t>ALLERS - CENTRO 40mil</t>
  </si>
  <si>
    <t>AGUA OXIGENADA OSA 120 ML</t>
  </si>
  <si>
    <t>CENTRO 40mil</t>
  </si>
  <si>
    <t>aguja monoject CAJA X100</t>
  </si>
  <si>
    <t>aguja monoject unidad</t>
  </si>
  <si>
    <t>aguja monoject x 100</t>
  </si>
  <si>
    <t>la muela unidad 1018 caja $101800 / imporq $18000 / abraham $135.500</t>
  </si>
  <si>
    <t xml:space="preserve">abraham - IMPORQ  la muela </t>
  </si>
  <si>
    <t>Aguja sutura # 14  x PAQUETE</t>
  </si>
  <si>
    <t>ramon $750 Aquiles $932</t>
  </si>
  <si>
    <t>Aguja sutura # 15 X PAQUETE</t>
  </si>
  <si>
    <t>ramon $817 Aquiles $932</t>
  </si>
  <si>
    <t>Aguja sutura # 16 X paquete</t>
  </si>
  <si>
    <t>agujas Cortas 30G - 25 MM CAJA</t>
  </si>
  <si>
    <t>precio SPT/23 - La muela $22100 New Stetic $21539 $Abraham $21600 imporq 21000</t>
  </si>
  <si>
    <t>abraham imporq new stetic LA MUELA</t>
  </si>
  <si>
    <t>agujas Largas 27G -  30 MM  CAJA</t>
  </si>
  <si>
    <t>precio SPT/23 - La muela $22100 New Stetic $21539 $Abraham $33180 imporq 21001</t>
  </si>
  <si>
    <t>@</t>
  </si>
  <si>
    <t>agujas PEDIATRICA  - 12 MM CAJA</t>
  </si>
  <si>
    <t>agujas PEDIATRICA Septojet - 12 MM CAJA</t>
  </si>
  <si>
    <t>ALAMBRE FERULA No. 0.40MM  0.014 15FT</t>
  </si>
  <si>
    <t>CLAUDIA DAZA</t>
  </si>
  <si>
    <t>ALAMBRE FERULA No. 0.40MM  0.016 (55.01.040)</t>
  </si>
  <si>
    <t>ALAMBRE FERULA No. 0.40MM  0.018 15 FT</t>
  </si>
  <si>
    <t>ALAMBRE FERULA No. 0.50MM  0.020 (55.01.050)</t>
  </si>
  <si>
    <t>ALAMBRE LUGAD FERULA # 0.20MM 0.008  (55.01.208)</t>
  </si>
  <si>
    <t>ALAMBRE LUGAD FERULA # 0.30 MM 0.012 (55.01.212)</t>
  </si>
  <si>
    <t xml:space="preserve">ALAMBRE ORTODONCIA # 6 tubo x 10 (55.06.060) </t>
  </si>
  <si>
    <t>DAZA CLAUDIA</t>
  </si>
  <si>
    <t>ALAMBRE ORTODONCIA # 7 tubo x 10 (55.06.070)</t>
  </si>
  <si>
    <t>ALAMBRE ORTODONCIA # 8 tubo x 10 (55.06.080)</t>
  </si>
  <si>
    <t>ALAMBRE ORTODONCIA # 9 tubo x 10 (55.06.090)</t>
  </si>
  <si>
    <t>ALAMBRE ORTODONCIA TRENZADO</t>
  </si>
  <si>
    <t xml:space="preserve">ALBODENT AL 35  % aclaramiento no vital </t>
  </si>
  <si>
    <t>GABRIEL VELAS- RAMON</t>
  </si>
  <si>
    <t>ALBUM DENTAL</t>
  </si>
  <si>
    <t>ALCOHOL ANTICEPTICO 120 ML</t>
  </si>
  <si>
    <t>ALCOHOL ANTICEPTICO 345 ML</t>
  </si>
  <si>
    <t xml:space="preserve"> </t>
  </si>
  <si>
    <t>ALCOHOL ANTICEPTICO GALON</t>
  </si>
  <si>
    <t>Alcohol industrial X Botella</t>
  </si>
  <si>
    <t xml:space="preserve">sandra milena </t>
  </si>
  <si>
    <t>Alcohol industrial X caneca</t>
  </si>
  <si>
    <t>Alginato chromaprint premiun X 453grs</t>
  </si>
  <si>
    <t>Alginato Hidrogum 5 ZHERMACK  x Lb</t>
  </si>
  <si>
    <t>DORA $52000 // Masdental $52300</t>
  </si>
  <si>
    <t xml:space="preserve">Alginato </t>
  </si>
  <si>
    <t>DORA- RAMON masdental EURODENT</t>
  </si>
  <si>
    <t>2 01-2029</t>
  </si>
  <si>
    <t xml:space="preserve">Alginato Hidrogum unidental 25gm (20 sobres)  </t>
  </si>
  <si>
    <t>x</t>
  </si>
  <si>
    <t xml:space="preserve">unidental </t>
  </si>
  <si>
    <t>Alginato HYGEDENT X 453grs</t>
  </si>
  <si>
    <t>GABRIEL VELAS</t>
  </si>
  <si>
    <t>Alginato jeltrate chromatic SOBRE Dentsply</t>
  </si>
  <si>
    <t>DORA-RAMON</t>
  </si>
  <si>
    <t>Alginato jeltrate chromatic X 454 GRS Dentsply</t>
  </si>
  <si>
    <t>Alginato kromalgin x 454 g CAJA X 24</t>
  </si>
  <si>
    <t>Alginato kromalgin x18 g</t>
  </si>
  <si>
    <t>Alginato orthoprint  X sobre 18 g PQUEÑO</t>
  </si>
  <si>
    <t>DORA- RAMON</t>
  </si>
  <si>
    <t>Alginato orthoprint ZHERMACK X 500 grs</t>
  </si>
  <si>
    <t>DORA - RAMON  EURODENT</t>
  </si>
  <si>
    <t>4 01-2027</t>
  </si>
  <si>
    <t>alginato premiun coltene libra</t>
  </si>
  <si>
    <t>GABRIEL VELASQUEZ</t>
  </si>
  <si>
    <t>Alginato tropicalgin zhermack X 453grs</t>
  </si>
  <si>
    <t>Dora $34800 masdental $36900</t>
  </si>
  <si>
    <t>DORA - RAMON EURODENT</t>
  </si>
  <si>
    <t>Algodon paquete  Trenzado</t>
  </si>
  <si>
    <t>compre $20</t>
  </si>
  <si>
    <t xml:space="preserve">Algodon paquete Aglutinado (no trenzado) Higietex </t>
  </si>
  <si>
    <t xml:space="preserve">All Bond Adhesivo Universal Bisco </t>
  </si>
  <si>
    <t>promo $287.300 mayo/25</t>
  </si>
  <si>
    <t>All Bond Adhesivo Universal Bisco UNIDOSIS</t>
  </si>
  <si>
    <t>ALLCEM CORE A1  PEAR CORPO DUPLO FGM</t>
  </si>
  <si>
    <t>antioq $108000 soccid $100000</t>
  </si>
  <si>
    <t>ALLCEM CORE A2  PEAR CORPO DUPLO FGM</t>
  </si>
  <si>
    <t xml:space="preserve">antioq $108000 soccid $100000 </t>
  </si>
  <si>
    <t>ALLCEM CORE VENEER APS OW  FGM</t>
  </si>
  <si>
    <t>ALLCEM CORE VENEER APS TRANS  FGM</t>
  </si>
  <si>
    <t>ALVOFAR eufar</t>
  </si>
  <si>
    <t>RAMON-eufar</t>
  </si>
  <si>
    <t>muy costoso no pedi</t>
  </si>
  <si>
    <t xml:space="preserve">AMALGAMA  1 PORC  NUALLOY </t>
  </si>
  <si>
    <t>NEW STETIC</t>
  </si>
  <si>
    <t xml:space="preserve">anestesia  TOPICA GAROCAINA </t>
  </si>
  <si>
    <t>nuria</t>
  </si>
  <si>
    <t>ANESTESIA Artheek   articaina blister x10</t>
  </si>
  <si>
    <t>blister x 10</t>
  </si>
  <si>
    <t>ANESTESIA Artheek  4% E - 100 articaina</t>
  </si>
  <si>
    <t>caja x 50</t>
  </si>
  <si>
    <t>ANESTESIA New caina anestesia 2 % E - 80</t>
  </si>
  <si>
    <t>ANESTESIA New caina anestesia 2 % E - 80 carpul de vidrio</t>
  </si>
  <si>
    <t>ANESTESIA New caina con epinefrina blister x10</t>
  </si>
  <si>
    <t xml:space="preserve">ANESTESIA New caina SIN EPINEFRINA caja Amarilla </t>
  </si>
  <si>
    <t>ANESTESIA New caina SIN EPINEFRINA caja Amarilla blister  X 10</t>
  </si>
  <si>
    <t>ANESTESIA Odontocaina anestesia 3% vidrio</t>
  </si>
  <si>
    <t>ANESTESIA Odontocaina anestesia 3% vidrio blister x 10</t>
  </si>
  <si>
    <t>ANESTESIA SEPTODONT  1/100.000  TTO LARGOS</t>
  </si>
  <si>
    <t xml:space="preserve">ANESTESIA SEPTODONT  1/200.000 </t>
  </si>
  <si>
    <t>ANESTESIA SEPTODONT blister X 10</t>
  </si>
  <si>
    <t xml:space="preserve">ANESTESIA TOPICA ROXICAINA  JALEA </t>
  </si>
  <si>
    <t>AQUILES RAMON</t>
  </si>
  <si>
    <t>ANESTESIA TOPICA ROXICAINA SPRAY</t>
  </si>
  <si>
    <t>anillo #120 para colado</t>
  </si>
  <si>
    <t>RAMON aquiles</t>
  </si>
  <si>
    <t>anillo #60 para colado</t>
  </si>
  <si>
    <t>anillo #90 para colado</t>
  </si>
  <si>
    <t>Anillo para banda matriz</t>
  </si>
  <si>
    <t>importado</t>
  </si>
  <si>
    <t>Apacal Art x2 jeringas</t>
  </si>
  <si>
    <t>Apice</t>
  </si>
  <si>
    <t>aplicador de punta adhesiva goma silicona pegar x caja</t>
  </si>
  <si>
    <t>arco de acero cuadrado paquete x10</t>
  </si>
  <si>
    <t>Ivan Padilla</t>
  </si>
  <si>
    <t>arco de acero rectangular paquete x10</t>
  </si>
  <si>
    <t>abraham $8100 padilla $4900 ortho prof $3500</t>
  </si>
  <si>
    <t>arco de acero redondo paquete x10</t>
  </si>
  <si>
    <t>abraham $4500 padilla $3800 ortho prof $3500</t>
  </si>
  <si>
    <t xml:space="preserve">ARCO ERICH (PARA MODELO) </t>
  </si>
  <si>
    <t>DAZA - ramon claudia</t>
  </si>
  <si>
    <t>Arco Niti rectangular paquete x10</t>
  </si>
  <si>
    <t>abraham $6500 padilla $4700 ORTHO PROF $4500</t>
  </si>
  <si>
    <t>Arco Niti redondo paquete x10</t>
  </si>
  <si>
    <t>abraham $4500 padilla $2900 ORTHO PROF $2900</t>
  </si>
  <si>
    <t xml:space="preserve">Aro para tarro guardian </t>
  </si>
  <si>
    <t>Articulador BIO-ART</t>
  </si>
  <si>
    <t>promo $980.000 mayo/25</t>
  </si>
  <si>
    <t>JULVIDENT BIOART</t>
  </si>
  <si>
    <t>ARTICULADOR de bisagra  bronce dorado</t>
  </si>
  <si>
    <t>AQUILES / monica - Sneider</t>
  </si>
  <si>
    <t>ARTICULADOR de bisagra  cromado gris</t>
  </si>
  <si>
    <t>AQUILES / monica - jorge masterdent</t>
  </si>
  <si>
    <t>ARTICULADOR MAGNETICO</t>
  </si>
  <si>
    <t>Masterdent</t>
  </si>
  <si>
    <t>ARTICULADOR plastico PASTA transparenteñ</t>
  </si>
  <si>
    <t>biodentales Monica jorge - aquiles</t>
  </si>
  <si>
    <t>Asentador de Bandas color</t>
  </si>
  <si>
    <t>astrobrush astro brush</t>
  </si>
  <si>
    <t>IMPORTADO $1063 abraham $12472</t>
  </si>
  <si>
    <t>abraham ultradental ramon IMPORTADO</t>
  </si>
  <si>
    <t>AUTOCLAVE 6 LTS</t>
  </si>
  <si>
    <t xml:space="preserve">axxis placa </t>
  </si>
  <si>
    <t xml:space="preserve">no se </t>
  </si>
  <si>
    <t>AZUL DE METILENO</t>
  </si>
  <si>
    <t xml:space="preserve">BABEROS DESECHABLES AZUL </t>
  </si>
  <si>
    <t>BIOSALUD</t>
  </si>
  <si>
    <r>
      <rPr>
        <rFont val="Verdana"/>
        <sz val="10.0"/>
      </rPr>
      <t xml:space="preserve">BABEROS DESECHABLES DE COLORES </t>
    </r>
    <r>
      <rPr>
        <rFont val="Verdana"/>
        <b/>
        <sz val="10.0"/>
      </rPr>
      <t>SURTIDOS</t>
    </r>
  </si>
  <si>
    <t xml:space="preserve">BIOSALUD </t>
  </si>
  <si>
    <t>baberos plasticos de color (NEGRO - MORADO-AZUL - BLANCO)</t>
  </si>
  <si>
    <t xml:space="preserve">AZUL 23 NEGRO 14 VERDE 13 </t>
  </si>
  <si>
    <t>baberos toalla servilletas desechable X 100</t>
  </si>
  <si>
    <t xml:space="preserve">DAZA la muela </t>
  </si>
  <si>
    <t>baberos toalla servilletas desechable X 50</t>
  </si>
  <si>
    <t>daza $7735 promo7140</t>
  </si>
  <si>
    <t>NEGRO 15 ROSADO 15 AGUAMARINA 2 AZUL CLARO 21 AZUL OSCURO 20 VERDE 16 MORADO 14 NARANJA 5 VERDE CLARO 22</t>
  </si>
  <si>
    <t>baja lengua paleta MADERA PAQUETE X 20</t>
  </si>
  <si>
    <t>Banda Matriz de Acero metalica 0.05</t>
  </si>
  <si>
    <t xml:space="preserve">RAMON - ABRAHAM new stetic </t>
  </si>
  <si>
    <t>Banda Matriz de Acero metalica 0.07</t>
  </si>
  <si>
    <t xml:space="preserve">Banda portamatriz metalica azdent </t>
  </si>
  <si>
    <t>Banda portamatriz metalica KERR</t>
  </si>
  <si>
    <t>BANDAS DE ACERO</t>
  </si>
  <si>
    <t xml:space="preserve">Bandas de Acero </t>
  </si>
  <si>
    <t xml:space="preserve">Bandas en T x4 unidades </t>
  </si>
  <si>
    <t>Bandeja organizadora BLANCA</t>
  </si>
  <si>
    <t>RAMON-AQUILES</t>
  </si>
  <si>
    <t>Barniz de fluor Monodosis Enamelast ULTRADENT</t>
  </si>
  <si>
    <t>Barniz de fluoruro de sodio 5% Enamelast jeringa ULTRADENT</t>
  </si>
  <si>
    <t>pluss $11583</t>
  </si>
  <si>
    <t>barniz duraphat VERIFICAR FECHA VENCIMTO</t>
  </si>
  <si>
    <t xml:space="preserve">Aquiles </t>
  </si>
  <si>
    <t>Barniz fluor Duraphat colgate 10 ml</t>
  </si>
  <si>
    <t>Barniz fluor monodosis CLIMPRO</t>
  </si>
  <si>
    <t>Gabriel velasquez</t>
  </si>
  <si>
    <t>Barrera Gingival  opaldam ultradent</t>
  </si>
  <si>
    <t>Barrera</t>
  </si>
  <si>
    <t>Gabriel Vel pluss clau</t>
  </si>
  <si>
    <t>Barrera Gingival Clariant 3 gr Angelus</t>
  </si>
  <si>
    <t xml:space="preserve">ABRAHAM </t>
  </si>
  <si>
    <t xml:space="preserve">Barrera Gingival Max Dam Jeringa 2 g Maquira </t>
  </si>
  <si>
    <t>COMPRE 17600</t>
  </si>
  <si>
    <t>RAMON SOCCIDENTALES CLAUDIA</t>
  </si>
  <si>
    <t>Barrera gingival Potenza 2,5gm</t>
  </si>
  <si>
    <t>Barrera Gingival SDI</t>
  </si>
  <si>
    <t>ABRAHAM  CLAUDIA</t>
  </si>
  <si>
    <t>Barrera Gingival Top Dam 2 g  FGM</t>
  </si>
  <si>
    <t xml:space="preserve">SOCCID $19700 X 50 </t>
  </si>
  <si>
    <t>base it Cemento base intermedia Spident</t>
  </si>
  <si>
    <t>basico color  STUDENT</t>
  </si>
  <si>
    <t>basico desechable</t>
  </si>
  <si>
    <t>RAMON-AQUILES UPEGUI</t>
  </si>
  <si>
    <t>Basico instrumental  ESPEJO DOBLE</t>
  </si>
  <si>
    <t>Basico/Acero</t>
  </si>
  <si>
    <t xml:space="preserve">DELTA </t>
  </si>
  <si>
    <t xml:space="preserve">Basico instrumental  MANGO DELGADO </t>
  </si>
  <si>
    <t xml:space="preserve">Basico instrumental  MANGO GRUESO </t>
  </si>
  <si>
    <t>BATA azul manga de puño  talla L</t>
  </si>
  <si>
    <t>BATA azul manga de puño  talla M</t>
  </si>
  <si>
    <t>BATA azul manga de puño  talla S</t>
  </si>
  <si>
    <t xml:space="preserve">BATA azul manga de puño  talla unica SIN PUÑO BLANCO </t>
  </si>
  <si>
    <t>MUNDIAL azul $2100 / blanca $2000</t>
  </si>
  <si>
    <t xml:space="preserve">BIOSALUD MUNDIAL </t>
  </si>
  <si>
    <t>BATA azul manga de puño  talla XL</t>
  </si>
  <si>
    <t xml:space="preserve">Bata Azul QX manga de puño + gorro PARA NIÑO EN KIT </t>
  </si>
  <si>
    <t>Bata con puño x 10</t>
  </si>
  <si>
    <t xml:space="preserve">clay </t>
  </si>
  <si>
    <t xml:space="preserve">Bata FIGURA manga de puño PARA NIÑA EN KIT ESTAMPADOS SURTIDOS </t>
  </si>
  <si>
    <t xml:space="preserve">Bata FIGURA manga de puño PARA NIÑO EN KIT ESTAMPADOS SURTIDOS </t>
  </si>
  <si>
    <t>Bebedero Delgados  X 500</t>
  </si>
  <si>
    <t>BELLAVEST x 144 (porcionado)</t>
  </si>
  <si>
    <t xml:space="preserve">BICARBONATO  x libra </t>
  </si>
  <si>
    <t>drogueria san jorge - centro</t>
  </si>
  <si>
    <t>BICARBONATO sobre 20gm</t>
  </si>
  <si>
    <t>Bio c repair</t>
  </si>
  <si>
    <t>Bio c sealer</t>
  </si>
  <si>
    <t>Bio c temp</t>
  </si>
  <si>
    <t>Biodentine Septodont</t>
  </si>
  <si>
    <t>B34362</t>
  </si>
  <si>
    <t xml:space="preserve">Bis silane bisco silano </t>
  </si>
  <si>
    <t>promo $202300 mayo/25</t>
  </si>
  <si>
    <t xml:space="preserve">Bisagra para modelo Ivorina </t>
  </si>
  <si>
    <t>Aquiles</t>
  </si>
  <si>
    <t xml:space="preserve">BOLSA BCA T 15 = </t>
  </si>
  <si>
    <t>ok</t>
  </si>
  <si>
    <t>CENTRO - Fercho</t>
  </si>
  <si>
    <t>BOLSA BCA T 25</t>
  </si>
  <si>
    <t>BOLSA BCA T 30</t>
  </si>
  <si>
    <t xml:space="preserve">BOLSA BCA T 40 </t>
  </si>
  <si>
    <t>bolsa de basura  NEGRA 50 X 60 kilo para tarro pequeño cerros y sur</t>
  </si>
  <si>
    <t>sur</t>
  </si>
  <si>
    <t>bolsa de basura combate NEGRA kilo</t>
  </si>
  <si>
    <t>BOLSA HERMETICA ZIPLOC 10 x 12  ALGINATO - ACRIL NARANJ</t>
  </si>
  <si>
    <t>raul ab23</t>
  </si>
  <si>
    <t xml:space="preserve">BOLSA HERMETICA ZIPLOC 10 x 20 para piezas </t>
  </si>
  <si>
    <t xml:space="preserve">BOLSA HERMETICA ZIPLOC 20 x 24 para modelos </t>
  </si>
  <si>
    <t xml:space="preserve">no traer mas </t>
  </si>
  <si>
    <t>BOLSA HERMETICA ZIPLOC 25 x 30 GRANDE alambre</t>
  </si>
  <si>
    <t>BOLSA HERMETICA ZIPLOC 5 x 5 profilaxis y empacar</t>
  </si>
  <si>
    <t>BOLSA HERMETICA ZIPLOC 6 x 10 cm bicarbonato y LLAVES</t>
  </si>
  <si>
    <t>bolsa para esterilizar  # 1 = 6 Cm x 13 Cm LIMAS</t>
  </si>
  <si>
    <t>dentmar $6.500 imporq $6.000</t>
  </si>
  <si>
    <t>imporq DTM</t>
  </si>
  <si>
    <t>bolsa para esterilizar  # 2 = 9 Cm x 13 Cm GRAPAS</t>
  </si>
  <si>
    <t>DAZA Ramon imporq GABRIEL V</t>
  </si>
  <si>
    <t>Bolsa para esterilizar # 3 =  9 x 26 cm BASICO</t>
  </si>
  <si>
    <t xml:space="preserve">imporq$16,000 / Dentmar $16,300 </t>
  </si>
  <si>
    <t xml:space="preserve">Bolsa para esterilizar # 4 =13 x 28 cm CUBETAS 1/2na </t>
  </si>
  <si>
    <t>denmart $25.000 imporq $25.000</t>
  </si>
  <si>
    <t xml:space="preserve">Bolsa para esterilizar # 5 = 19 x 33 cm GRANDE  </t>
  </si>
  <si>
    <t>denmart $45.000</t>
  </si>
  <si>
    <t>Bolsa para esterilizar # 6 = 30 x40 cm GIGANTE</t>
  </si>
  <si>
    <t>denmart $65.000 imporq $65.000</t>
  </si>
  <si>
    <t>bolsa transparente  8cm x 14m Campos</t>
  </si>
  <si>
    <t>bolsa transparente  referencia 6 X 10 EMP. BOLSAS R V</t>
  </si>
  <si>
    <t>bolsa transparente  referencia 9 x 12 BABEROS</t>
  </si>
  <si>
    <t>BORRAR</t>
  </si>
  <si>
    <t>BOLSA transparente 4x8 o lechosa</t>
  </si>
  <si>
    <t>Bolsas Roja  16 x 20 KILO</t>
  </si>
  <si>
    <t>Bolsas Verde  16 x 20 KILO</t>
  </si>
  <si>
    <t>bolsos colores  BIEN bonitos  BIEN SURTIDOS</t>
  </si>
  <si>
    <t>BORRADOR MIGA DE PAN amarillo</t>
  </si>
  <si>
    <t>CENTRO PAPELERIA</t>
  </si>
  <si>
    <t>Boton de Ortodoncia pqte x 10</t>
  </si>
  <si>
    <t>DAZA PADILLA IMPORTADO</t>
  </si>
  <si>
    <t xml:space="preserve">Bruñidor 21B Titanium DELTA </t>
  </si>
  <si>
    <t>TNBB21B</t>
  </si>
  <si>
    <t xml:space="preserve">SANDRA </t>
  </si>
  <si>
    <t xml:space="preserve">cadenetas ortodoncia </t>
  </si>
  <si>
    <t>importado $9402 // Padilla $9,200 // Daza $17200 //  Abraham $17,450</t>
  </si>
  <si>
    <t>ABRAHAM padilla daza IMPORTADA</t>
  </si>
  <si>
    <t>Caja acero CON HUECOS acanalada con tapa Peq. 16x25</t>
  </si>
  <si>
    <t>aquiles</t>
  </si>
  <si>
    <t>caja acero inox para instrumental Grande CON HUECOS 21x30x6</t>
  </si>
  <si>
    <t>agotada</t>
  </si>
  <si>
    <t>Caja Algodonera  PLASTICA COLOR</t>
  </si>
  <si>
    <t>Caja Algodonera ALUMINIO Doble</t>
  </si>
  <si>
    <t>Caja Algodonera metalica ALUMINIO</t>
  </si>
  <si>
    <t>aquiles ramon</t>
  </si>
  <si>
    <t>CAJA DE ESTERILIZAR METALICA BASICO PEQUEÑA</t>
  </si>
  <si>
    <t>Caja kendyLock No. 2 Medio/ref 60050</t>
  </si>
  <si>
    <t>CENTRO- LA 15 - la mejor guillermo velez</t>
  </si>
  <si>
    <t>Caja kendyware rectangular No.3 BAJA 2.5LTS</t>
  </si>
  <si>
    <t>Caja maxi organizadora manija 12 litros NP</t>
  </si>
  <si>
    <t>CENTRO- LA 15- la 13 - la mejor</t>
  </si>
  <si>
    <t>Caja organizadora de elastides llaves</t>
  </si>
  <si>
    <t>daza</t>
  </si>
  <si>
    <t>Caja organizadora multiproposito 6 compartimientos peq</t>
  </si>
  <si>
    <t xml:space="preserve">caja para carillas negra </t>
  </si>
  <si>
    <t>IMPORTADO</t>
  </si>
  <si>
    <t xml:space="preserve">caja para esterilizar Basico DELTA </t>
  </si>
  <si>
    <t>BLUES</t>
  </si>
  <si>
    <t>Caja picni No. 2 mediana kendy 70600</t>
  </si>
  <si>
    <t>caja plastica cera utility caja 5 cm colores surtidos BONDENT</t>
  </si>
  <si>
    <t>BONDENT</t>
  </si>
  <si>
    <t xml:space="preserve">CAJA PLASTICA PARA RETENEDORES ortodoncia colores SURTIDOS </t>
  </si>
  <si>
    <t>REVISAR (NEW ST  $1725)</t>
  </si>
  <si>
    <t>ZENDENT DENTOLINE</t>
  </si>
  <si>
    <t>CAJA PLASTICA TAPER hermetico lujo No. 1</t>
  </si>
  <si>
    <t xml:space="preserve">PERSAL CENTRO- LA 15- la 13 </t>
  </si>
  <si>
    <t>CAJA PLASTICA TAPER hermetico lujo No. 2</t>
  </si>
  <si>
    <t>CAJA PLASTICA TAPER hermetico lujo No. 3</t>
  </si>
  <si>
    <t>CAJA PLASTICA TAPER hermetico lujo No. 4</t>
  </si>
  <si>
    <t>CAJA RETENEDORA GRANDE  a granel</t>
  </si>
  <si>
    <t>oxxi $1440 zen dent $1226</t>
  </si>
  <si>
    <t>Dentoline</t>
  </si>
  <si>
    <t>morado rojo negro azu verde</t>
  </si>
  <si>
    <t>CAJA RETENEDORA GRANDE  X 36</t>
  </si>
  <si>
    <t>ortho prof $1285</t>
  </si>
  <si>
    <t>OXXI</t>
  </si>
  <si>
    <t xml:space="preserve">CAJA RETENEDORA PEQUEÑA </t>
  </si>
  <si>
    <t>oxxi $1220 orhto prof $1071</t>
  </si>
  <si>
    <t>12 rosada verde azul</t>
  </si>
  <si>
    <t>Caja salento #1 pequeña  10 LTS kendy</t>
  </si>
  <si>
    <t>gulle $9783</t>
  </si>
  <si>
    <t>Caja salento #2 mediana   10 LTS kendy</t>
  </si>
  <si>
    <t>Caja salento #3 grande  17 LT kendy</t>
  </si>
  <si>
    <t>guille $17100</t>
  </si>
  <si>
    <t xml:space="preserve">CAJAS TRANSPARENTES PARA ENDOKIT </t>
  </si>
  <si>
    <t xml:space="preserve">Dentsplay Ramon </t>
  </si>
  <si>
    <t>N/V</t>
  </si>
  <si>
    <t>CALCIFAR - P JERINGA 2ML Hidroxido de calcio en pasta</t>
  </si>
  <si>
    <t>eufar</t>
  </si>
  <si>
    <t xml:space="preserve">Calibrador Inter oclusal </t>
  </si>
  <si>
    <t>scoes</t>
  </si>
  <si>
    <t xml:space="preserve">CAMBIA FRESA </t>
  </si>
  <si>
    <t>IMPORTADO $5517</t>
  </si>
  <si>
    <t>RAMON- DENTAL LA U IMPORTADO</t>
  </si>
  <si>
    <t>camisa Azul de boton   talla M</t>
  </si>
  <si>
    <t>camisa Azul de boton   talla S</t>
  </si>
  <si>
    <t>CAMISA BLANCA BOTON L</t>
  </si>
  <si>
    <t>CAMISA BLANCA BOTON M</t>
  </si>
  <si>
    <t>CAMISA BLANCA BOTON S</t>
  </si>
  <si>
    <t>Campos COLORES</t>
  </si>
  <si>
    <t>CENTRO</t>
  </si>
  <si>
    <t xml:space="preserve">Campos de colores surtidos </t>
  </si>
  <si>
    <t xml:space="preserve">Campos quirurjicos  AZULES GRANDES </t>
  </si>
  <si>
    <r>
      <rPr>
        <rFont val="Verdana"/>
        <sz val="10.0"/>
      </rPr>
      <t xml:space="preserve">Campos quirurjicos AZULES </t>
    </r>
    <r>
      <rPr>
        <rFont val="Verdana"/>
        <color rgb="FFFF0000"/>
        <sz val="10.0"/>
      </rPr>
      <t>X MT</t>
    </r>
  </si>
  <si>
    <t>campos x 125 muelitas</t>
  </si>
  <si>
    <t>IMPORQ</t>
  </si>
  <si>
    <t>campos x 50 muelitas</t>
  </si>
  <si>
    <t xml:space="preserve">Candado COD 373 - 30 o 32 mm </t>
  </si>
  <si>
    <t>Candela encendedor caja x 25</t>
  </si>
  <si>
    <t>Canula metalica</t>
  </si>
  <si>
    <t>Canula plastica AZUL paquete por 25 unidades</t>
  </si>
  <si>
    <t>Canula plastica BLANCA paquete por 25 unidades</t>
  </si>
  <si>
    <t>CAROLINA NORTE American Eagle MONTANA</t>
  </si>
  <si>
    <t xml:space="preserve">Carpeta sencilla con boton </t>
  </si>
  <si>
    <t>Cartilla de guia de tamaño de BIODENT</t>
  </si>
  <si>
    <t>new stetic</t>
  </si>
  <si>
    <t>Casco para alquilar</t>
  </si>
  <si>
    <t>Caucho bandas 18gm x bolsa empacado</t>
  </si>
  <si>
    <t>unidental</t>
  </si>
  <si>
    <t xml:space="preserve">Caucho bandas siliconada x lib </t>
  </si>
  <si>
    <t xml:space="preserve">Cemento C-Gross </t>
  </si>
  <si>
    <t xml:space="preserve">NO PEDIR </t>
  </si>
  <si>
    <t xml:space="preserve">cemento fostato de zinc </t>
  </si>
  <si>
    <t>CEMENTO GROSSMAN 10 g   proquident</t>
  </si>
  <si>
    <t xml:space="preserve">cemento resinoso Dual Force 5g maquira </t>
  </si>
  <si>
    <t>compre $0</t>
  </si>
  <si>
    <t xml:space="preserve">cemento temporal  TEMP IT FLOW eringa X 2 GM </t>
  </si>
  <si>
    <t>cemento temporal  TEMP IT jeringa X 3 GM</t>
  </si>
  <si>
    <t xml:space="preserve">cemento temporal Applic 2g maquira x 2 jeringas </t>
  </si>
  <si>
    <t>Cemento temporal fluor OBTUR 25 gm</t>
  </si>
  <si>
    <t xml:space="preserve">soccidentales </t>
  </si>
  <si>
    <t>Cemento temporal MD TEMP</t>
  </si>
  <si>
    <t>Cemento Temporal Orafil G x 40gr prevest</t>
  </si>
  <si>
    <t>CEPILLO CON FELPA MONTADO</t>
  </si>
  <si>
    <t>Masterdent AQUILES</t>
  </si>
  <si>
    <t xml:space="preserve">CEPILLO CRIN DE CABELLO CERDA CAFE PARA BRILLAR METAL </t>
  </si>
  <si>
    <t>Cepillo de alambre bronce cabo de madera COD-13475 CAJA X 10</t>
  </si>
  <si>
    <t>Cepillo de alambre cabo plastico pequeño COD-13476 x3 Unidades (plastic-bronce-metal)</t>
  </si>
  <si>
    <t xml:space="preserve">CEPILLO DE DIENTES ADULTO </t>
  </si>
  <si>
    <t xml:space="preserve">DENTOLINE CENTRO 40mil </t>
  </si>
  <si>
    <t>CEPILLO DE DIENTES NIÑO</t>
  </si>
  <si>
    <t>CENTRO 40mil DENTOLINE</t>
  </si>
  <si>
    <t>cepillo de profilaxis de colores</t>
  </si>
  <si>
    <t>importados</t>
  </si>
  <si>
    <t>CEPILLO INTERDENTAL AL GRANEL interproximal</t>
  </si>
  <si>
    <t>DENTOLINE</t>
  </si>
  <si>
    <t>ZENDENT</t>
  </si>
  <si>
    <t>Cepillo interproximal viajero AL GRANEL</t>
  </si>
  <si>
    <t>Cepillo interproximal viajero paquete x 5 COLORES SURTIDOS</t>
  </si>
  <si>
    <t>proquident ZENDENT DENTOLINE</t>
  </si>
  <si>
    <t>CEPILLO MANGO PLASTICO B27 FILO DE CUCHILLA NARANJA</t>
  </si>
  <si>
    <t>pedir</t>
  </si>
  <si>
    <t>CEPILLO MANGO PLASTICO B29 PLANO NARANJA</t>
  </si>
  <si>
    <t xml:space="preserve">CEPILLO ORTODONCIA  GRANEL </t>
  </si>
  <si>
    <t xml:space="preserve">cepillo ortodoncia zendent en blister </t>
  </si>
  <si>
    <t>NO PEDIR</t>
  </si>
  <si>
    <t xml:space="preserve">CEPILLO PARA BRILLAR METAL CERDA NEGRA </t>
  </si>
  <si>
    <t>CEPILLO PARA PROTESIS</t>
  </si>
  <si>
    <t>PROQUIDENT DENTOLINE</t>
  </si>
  <si>
    <t>CEPILLO PARA PROTESIS en kit con crema adhesiva</t>
  </si>
  <si>
    <t>Cepillo para pulir resina 4 unidades x 4 colores</t>
  </si>
  <si>
    <t xml:space="preserve">CEPILLO PELO CABRA CERDA BLANCA  PARA BRILLAR METAL  </t>
  </si>
  <si>
    <t>w</t>
  </si>
  <si>
    <t>CEPILLO PELO DE CABRA PEQUENO PARA CONTRA ANGULO</t>
  </si>
  <si>
    <t>IMPORTADO 1433</t>
  </si>
  <si>
    <t>Abraham IMPORTADO</t>
  </si>
  <si>
    <t>cepillo torno PASTA gris grande</t>
  </si>
  <si>
    <t xml:space="preserve">aquiles </t>
  </si>
  <si>
    <t>CEPILLOS CUERPO DE MADERA B23</t>
  </si>
  <si>
    <t>Cepillos profilacticos  X 144</t>
  </si>
  <si>
    <t>AQULIES $42 - Ramon  42 - dent $32 DORA 30</t>
  </si>
  <si>
    <t>aquiles - ramon - DTM imporq</t>
  </si>
  <si>
    <t>cepillos profilaxis X unidad</t>
  </si>
  <si>
    <t>Cera azul WHIPMIX PAQUETE X 20 BARRAS VTA UNIDAD</t>
  </si>
  <si>
    <t xml:space="preserve">Biodentales </t>
  </si>
  <si>
    <t>Cera base UNIDAD</t>
  </si>
  <si>
    <t xml:space="preserve">Cera base x 18 laminas rosada X CAJA </t>
  </si>
  <si>
    <t>Cera BLanca marfil UNIDAD economica</t>
  </si>
  <si>
    <t>Cera Blanca marfil WHIPMIX PAQUETE X 120 BARRAS</t>
  </si>
  <si>
    <t xml:space="preserve">  </t>
  </si>
  <si>
    <t>Cera Blanca marfil WHIPMIX PAQUETE X 20 BARRAS</t>
  </si>
  <si>
    <t>Cera encofrados x 20 laminas de 41cm BONDENT</t>
  </si>
  <si>
    <t>cera incrustacion x 60 C0LOR AMARILLO BONDENT</t>
  </si>
  <si>
    <t>cera incrustacion x 60 C0LOR AZUL BONDENT</t>
  </si>
  <si>
    <t>cera incrustacion x 60 C0LOR ROJO BONDENT</t>
  </si>
  <si>
    <t>cera incrustacion x 60 C0LOR VERDE BONDENT</t>
  </si>
  <si>
    <t>Cera Metalizada CAJA x 230 g x 12 laminas  BONDENT</t>
  </si>
  <si>
    <t>Cera Metalizada TROQUELADA EN FORMA DE U CAJA x24 laminas  BONDENT</t>
  </si>
  <si>
    <t>cera metalizada x unidad BONDENT</t>
  </si>
  <si>
    <t>Cera para rodete LARGO x 18 Barras BONDENT</t>
  </si>
  <si>
    <t>Cera para rodete LARGO x 18 Barras BONDENT X UNIDAD</t>
  </si>
  <si>
    <t>Cera pegajosa pqte x 120 color naranja(rojisa) BONDENT</t>
  </si>
  <si>
    <t>CERA RENFER GEO CLASIC INDIVIDUAL GRANDE</t>
  </si>
  <si>
    <t>CERA RENFER GEO CLASIC X EXAGONAL X 6</t>
  </si>
  <si>
    <t>CERA RENFER GEO CLASIC X EXAGONAL X UNIDAD</t>
  </si>
  <si>
    <t xml:space="preserve">Cera Rodetes preformado en U caja x 30 unidades BONDENT </t>
  </si>
  <si>
    <t>Cera rojo WHIPMIX PAQUETE X 20 BARRAS VTA UNIDAD</t>
  </si>
  <si>
    <t>cera Utility caja x 75 Tiras x 28cm BONDENT</t>
  </si>
  <si>
    <t>Cera Utility x unidad BONDENT.</t>
  </si>
  <si>
    <t>Cera verde WHIPMIX PAQUETE X 20 BARRAS VTA UNIDAD</t>
  </si>
  <si>
    <t>cerafina x 60</t>
  </si>
  <si>
    <t>monica - ramon biodentales</t>
  </si>
  <si>
    <t>cerafina x 90</t>
  </si>
  <si>
    <t>choise 2 cemento CARILLAS resinoso Milky bisco</t>
  </si>
  <si>
    <t xml:space="preserve"> julvip promo $136.000 mayo 2025</t>
  </si>
  <si>
    <t>promo $169</t>
  </si>
  <si>
    <t xml:space="preserve">JULVIDENT bisco </t>
  </si>
  <si>
    <t>choise 2 cemento CARILLAS resinoso Milky Opaque bisco</t>
  </si>
  <si>
    <t>choise 2 cemento resinoso  A1</t>
  </si>
  <si>
    <t>choise 2 cemento resinoso CARILLAS Traslucido bisco</t>
  </si>
  <si>
    <t>CHOISE Try-in paste A1 2g bisco Probador</t>
  </si>
  <si>
    <t>CHOISE Try-in paste Milky Bright 2g bisco Probador</t>
  </si>
  <si>
    <t>promo $85</t>
  </si>
  <si>
    <t>CHOISE Try-in paste OPAQUE 2g bisco Probador</t>
  </si>
  <si>
    <t>CHOISE Try-in paste TRASLUCIDO 2g bisco Probador</t>
  </si>
  <si>
    <t>Cinta de Profilaxis  TDV PAQUETE X 10</t>
  </si>
  <si>
    <t>Cinta de Profilaxis  TDV PAQUETE X unidad</t>
  </si>
  <si>
    <t>Cinta Esterilizar clase 5 caja roja  indicador imporquirurgica</t>
  </si>
  <si>
    <t>Cinta Esterilizar indicador clase 5 integrom IT26 - 1YS</t>
  </si>
  <si>
    <t>integrom esteripac</t>
  </si>
  <si>
    <t>Cinta Esterilizar STRIPS paquete x 100</t>
  </si>
  <si>
    <t xml:space="preserve">CINTA PARA MARCAR INSTRUMENTAL COLORES </t>
  </si>
  <si>
    <t>RAMON Cardenas</t>
  </si>
  <si>
    <t>CINTA TEFLON CAJA X 10 - 10m x 19mm x 0.2mm 1/2 Grande</t>
  </si>
  <si>
    <t>CINTA TEFLON CAJA X 10 - 8m x 12mm x 0.1mm cod.4811 3/4 Pequena</t>
  </si>
  <si>
    <t>CINTA TESTIGO</t>
  </si>
  <si>
    <t>denmart $10.000 imporq $10.000</t>
  </si>
  <si>
    <t>IMPORQ integrom</t>
  </si>
  <si>
    <t>Clean stand Mailefer</t>
  </si>
  <si>
    <t>Clean stand o esponjero INOX</t>
  </si>
  <si>
    <t>aquiles importado</t>
  </si>
  <si>
    <t>Clean stand o esponjero lila</t>
  </si>
  <si>
    <t>Clean stand o esponjero PLASTICO</t>
  </si>
  <si>
    <t>clorhexidina clorexol 180 ML</t>
  </si>
  <si>
    <t>Colla tape , Colla Cote, Colla Plug</t>
  </si>
  <si>
    <t>no</t>
  </si>
  <si>
    <t xml:space="preserve">colocador EMPACADOR DE HILO instrumental Delta </t>
  </si>
  <si>
    <t>GCPG7</t>
  </si>
  <si>
    <t>Coltosol cemento temporal 38 gr caja coltene</t>
  </si>
  <si>
    <t>COLTOSOL JERINGA COLTENE JERINGA 8 gr</t>
  </si>
  <si>
    <t>Composite Wetting Resin ultradent modelador resina 1,2gm</t>
  </si>
  <si>
    <t>COMPRESOR SCHULZ 1 CABALLO</t>
  </si>
  <si>
    <t xml:space="preserve">RAMON </t>
  </si>
  <si>
    <t>Concepsis clorhexidina</t>
  </si>
  <si>
    <t>Concepsis clorhexidina GRANDE 30ML</t>
  </si>
  <si>
    <t>Conformador de rodete en aluminio</t>
  </si>
  <si>
    <t>compre $7.500</t>
  </si>
  <si>
    <t>AQUILES / monica  - Sneider</t>
  </si>
  <si>
    <t>Conos de gutapercha  de 1ra serie mailefer</t>
  </si>
  <si>
    <t xml:space="preserve">Conos de gutapercha  de 2da serie mailefer </t>
  </si>
  <si>
    <t>Conos de gutapercha  de No 15  Mailefer</t>
  </si>
  <si>
    <t>Conos de gutapercha  de No 20  Mailefer</t>
  </si>
  <si>
    <t>Conos de gutapercha  de No 25  Mailefer</t>
  </si>
  <si>
    <t>Conos de gutapercha  de No 30  Mailefer</t>
  </si>
  <si>
    <t>Conos de gutapercha  de No 35  Mailefer</t>
  </si>
  <si>
    <t>Conos de gutapercha  de No 40  Mailefer</t>
  </si>
  <si>
    <t>Conos de Gutapercha  No 15 caja x 6</t>
  </si>
  <si>
    <t>ABRA $ //15,500 // DAZA $ 16,700 //SOCCID $14500</t>
  </si>
  <si>
    <t>ABRAHAM DAZA SOCCIDENTALES</t>
  </si>
  <si>
    <t>Conos de Gutapercha  No 20 caja x 6</t>
  </si>
  <si>
    <t>Conos de Gutapercha  No 25 caja x 6</t>
  </si>
  <si>
    <t>Conos de Gutapercha  No 30 caja x 6</t>
  </si>
  <si>
    <t>Conos de Gutapercha  No 35 caja x 6</t>
  </si>
  <si>
    <t>Conos de Gutapercha  No 40 caja x 6</t>
  </si>
  <si>
    <t>Conos de Gutapercha 15-40  1ra serie</t>
  </si>
  <si>
    <t xml:space="preserve">Conos de Gutapercha 45-80 2da serie </t>
  </si>
  <si>
    <t xml:space="preserve">CONTRA ANGULO </t>
  </si>
  <si>
    <t>LARRY</t>
  </si>
  <si>
    <t>CONTRA ANGULO CON SEGUETA</t>
  </si>
  <si>
    <t>CONTRASTADORES PARA FOTO NEGROS INDIVIDUAL C4-B / C4-A</t>
  </si>
  <si>
    <t>Convertidor de HP a FG</t>
  </si>
  <si>
    <t xml:space="preserve">pedir </t>
  </si>
  <si>
    <t>COPA AGUARDIENTE GRANDE 2805</t>
  </si>
  <si>
    <t>CENTRO CRISTALERIA DISCORDOBA</t>
  </si>
  <si>
    <t>COPA AGUARDIENTE PEQUEÑA 2852AL</t>
  </si>
  <si>
    <t>copa de caucho de profilaxis CAJA</t>
  </si>
  <si>
    <t>copa de caucho X 3 unid</t>
  </si>
  <si>
    <t>CORONA DE ACERO</t>
  </si>
  <si>
    <t>CORONA POLICARBOXILATO - POLICARBONATO</t>
  </si>
  <si>
    <t>CORTADOR DE GUTAPERCHA</t>
  </si>
  <si>
    <t xml:space="preserve">CORTAFRIO GDE COD 6753 </t>
  </si>
  <si>
    <t xml:space="preserve">CORTAFRIO PÑO COD 3491 </t>
  </si>
  <si>
    <t>Crema adhesiva para protesis sin  sabor PROQUIDENT</t>
  </si>
  <si>
    <t>CREMA DENTAL PEQUEÑA</t>
  </si>
  <si>
    <t>colgate 2050 proquident 1359</t>
  </si>
  <si>
    <t>CENTRO 40mil proquident</t>
  </si>
  <si>
    <t>proqui 06-2026 8-2027 colgate 01-24 03/2025</t>
  </si>
  <si>
    <t xml:space="preserve">crisoles ECONOMICO </t>
  </si>
  <si>
    <t>AQUILES / monica  - jorge</t>
  </si>
  <si>
    <t>Cristaflex X100mts</t>
  </si>
  <si>
    <t xml:space="preserve">QUIMIPACK </t>
  </si>
  <si>
    <t>Cubeta Maquira No. 8 Blanca</t>
  </si>
  <si>
    <t xml:space="preserve">CUBETA METALICA INDIVIDUAL TALLA L </t>
  </si>
  <si>
    <t>Cubeta plastica color roja xs niño</t>
  </si>
  <si>
    <t>CUBETA PLASTICA IMPRESION PARA ADULTO Y NIÑO JUEGO X12 AZDENT</t>
  </si>
  <si>
    <t>CUBETA PLASTICA IMPRESION PARA NIÑO JUEGO X6</t>
  </si>
  <si>
    <t>biodentales-NATURAL SISTEM</t>
  </si>
  <si>
    <t>Cubeta Transparente de silicona</t>
  </si>
  <si>
    <t>Cubetas Juego autoclavable color angelus</t>
  </si>
  <si>
    <t>Cubetas No. 6 Morelli</t>
  </si>
  <si>
    <t>Cubetas No. 7 Morelli</t>
  </si>
  <si>
    <t>Cubetas No. 8 Morelli</t>
  </si>
  <si>
    <t>DAZA $19992</t>
  </si>
  <si>
    <t>CUBETAS PARA FLUOR L</t>
  </si>
  <si>
    <t xml:space="preserve">ramon quirudent </t>
  </si>
  <si>
    <t xml:space="preserve">CUBETAS PARA FLUOR M </t>
  </si>
  <si>
    <t xml:space="preserve">CUBETAS PARA FLUOR PAQUETE </t>
  </si>
  <si>
    <t>Cubetas Plasticas de Color Beige y fucsia paquete x3P</t>
  </si>
  <si>
    <t>aquiles $8211</t>
  </si>
  <si>
    <t>Cubetas Plasticas de Colores L paquete x 3 pares</t>
  </si>
  <si>
    <t>OXXI $8800 NISSI $7128</t>
  </si>
  <si>
    <t>Cubetas Plasticas de Colores M paquete x 3 pares</t>
  </si>
  <si>
    <t>Cubetas Plasticas de Colores S paquete x 3 pares</t>
  </si>
  <si>
    <t>Cubetas Plasticas de Colores surtidas paquete x 3 p</t>
  </si>
  <si>
    <t>DYMA $6092</t>
  </si>
  <si>
    <t>OXXI DYMA</t>
  </si>
  <si>
    <t>Cucharilla endodontica Delta EXC33L</t>
  </si>
  <si>
    <t>EXC33L</t>
  </si>
  <si>
    <t>Cucharilla instrumental basico Delta EXC5 excabador</t>
  </si>
  <si>
    <t>EXC5</t>
  </si>
  <si>
    <t>BASICO</t>
  </si>
  <si>
    <t>Cuñas anatomicas de madera X 10 unid</t>
  </si>
  <si>
    <t>abraham x100 $26390</t>
  </si>
  <si>
    <t>ABRAHAM AQUILES RAMON</t>
  </si>
  <si>
    <t>Cuñas anatomicas de madera X 100 AZDENT</t>
  </si>
  <si>
    <t>Cuñas anatomicas de madera X 50 unid surtidas</t>
  </si>
  <si>
    <t>ramon $17310 Aquiles $16898</t>
  </si>
  <si>
    <t xml:space="preserve">cuñas de rotacion </t>
  </si>
  <si>
    <t>ABRAHAM DAZA</t>
  </si>
  <si>
    <t xml:space="preserve">Cureta 1/2 gracey minifive hu friedy </t>
  </si>
  <si>
    <t>CURETAS American Eagle MONTANA</t>
  </si>
  <si>
    <t>CURETA</t>
  </si>
  <si>
    <t>Curetas Instrumental Delta 1-2 Gracey</t>
  </si>
  <si>
    <t>SG1/2</t>
  </si>
  <si>
    <t>KIT USC</t>
  </si>
  <si>
    <t>Curetas Instrumental Delta 11-12 Gracey</t>
  </si>
  <si>
    <t>SG11/12</t>
  </si>
  <si>
    <t>kit de curetas KIT USC</t>
  </si>
  <si>
    <t xml:space="preserve">Curetas Instrumental Delta 11-12 MC CALL </t>
  </si>
  <si>
    <t>SM11/12S</t>
  </si>
  <si>
    <t>Curetas Instrumental Delta 13-14 Gracey</t>
  </si>
  <si>
    <t>SG13/14</t>
  </si>
  <si>
    <t>*</t>
  </si>
  <si>
    <t xml:space="preserve">Curetas Instrumental Delta 13-14 MC CALL </t>
  </si>
  <si>
    <t>SM13/14S</t>
  </si>
  <si>
    <t xml:space="preserve">Curetas Instrumental Delta 17-18 MC CALL </t>
  </si>
  <si>
    <t>SM17/18S</t>
  </si>
  <si>
    <t>Curetas Instrumental Delta 3-4 Gracey</t>
  </si>
  <si>
    <t>SG3/4</t>
  </si>
  <si>
    <t>kit de curetas USC</t>
  </si>
  <si>
    <t>Curetas Instrumental Delta 5-6 Gracey</t>
  </si>
  <si>
    <t>SG5/6</t>
  </si>
  <si>
    <t>Curetas Instrumental Delta 7-8 Gracey</t>
  </si>
  <si>
    <t>SG7/8</t>
  </si>
  <si>
    <t>kit de curetas</t>
  </si>
  <si>
    <t>Curetas Instrumental Delta 9-10 Gracey</t>
  </si>
  <si>
    <t>SG9/10</t>
  </si>
  <si>
    <t xml:space="preserve">Debublizer economico </t>
  </si>
  <si>
    <t>Monica jorge aquiles</t>
  </si>
  <si>
    <t xml:space="preserve">Dentimetro Flexible </t>
  </si>
  <si>
    <t>Dentimetro metalico</t>
  </si>
  <si>
    <t>RAMON JORGE AQUILES</t>
  </si>
  <si>
    <t>DENTOFAR 5 ML</t>
  </si>
  <si>
    <t>aquiles $22325 EUFAR 21385</t>
  </si>
  <si>
    <t>EUFAR proquident AQUILES</t>
  </si>
  <si>
    <t>DESENSIBILIZANTE KF 2% JGA X 2.5 ML FGM</t>
  </si>
  <si>
    <t>antioq $27608 soccid $19300 promo 23205</t>
  </si>
  <si>
    <t>Desensibilizante Ultra EZ Ultradent</t>
  </si>
  <si>
    <t>Desinfectante dispositivos medicos Proquizyme 240ml</t>
  </si>
  <si>
    <t>Desinfectante dispositivos medicos Proquizyme 500 ml superficie</t>
  </si>
  <si>
    <t>desinfectantes ALCOHOL 80% x 240 ml eucida clasicc</t>
  </si>
  <si>
    <t>desinfectantes superficies ORGANICA x 500 ml</t>
  </si>
  <si>
    <t>desinfectantes superficies x 100 ml</t>
  </si>
  <si>
    <t>DESMANCHADOR POLVO PROQUIDENT 175 gr</t>
  </si>
  <si>
    <t>1/7/2027 6-2027</t>
  </si>
  <si>
    <t xml:space="preserve">destornillador para modelo ivorina </t>
  </si>
  <si>
    <t>detartrol 60ml</t>
  </si>
  <si>
    <t>aquiles $29.000 ramon 26000</t>
  </si>
  <si>
    <t>PRECIO 20 MAYO (acomodar descuento)</t>
  </si>
  <si>
    <t xml:space="preserve">Detector Revelador De Caries Sable Seek- Ultradent jeringa 1,2 </t>
  </si>
  <si>
    <t>gabriel velasque 21465</t>
  </si>
  <si>
    <t>DIENTES BIODENT</t>
  </si>
  <si>
    <t>Dientes de Endodoncia D ENDO 11 23 25 36</t>
  </si>
  <si>
    <t>dyma $14280</t>
  </si>
  <si>
    <t>DYMA</t>
  </si>
  <si>
    <t xml:space="preserve">dientes de ivorina </t>
  </si>
  <si>
    <t>JORGE DYMA</t>
  </si>
  <si>
    <t xml:space="preserve">dientes de NISSI </t>
  </si>
  <si>
    <t>DISCO CARBURO CAJA X 100 DISCO PARA  SEPARAR</t>
  </si>
  <si>
    <t>masterdent</t>
  </si>
  <si>
    <t>DISCO DE PULIDO DE RESINA 2 MANDRILES 40 UNIDADES</t>
  </si>
  <si>
    <t>DISCO DIAMANTADO DENTADO PARA CORTE Y ELIMINACION DE EXCESOS.</t>
  </si>
  <si>
    <t xml:space="preserve">DISCO DIAMANTADO ECONOMICO CARTON AZUL </t>
  </si>
  <si>
    <t>UPEGUI IMPORTADA</t>
  </si>
  <si>
    <t>DISCO DIAMANTADO LISO DENTADO IDEAL PARA SEPARAR</t>
  </si>
  <si>
    <t>DISCO DIAMANTADO LISO PARA SEPARACION INICIAL Y RECORTE</t>
  </si>
  <si>
    <t>DISCO DIAMANTADO METALICO TOTAL</t>
  </si>
  <si>
    <t>Disco diamond flex fieltro x 24 undidades</t>
  </si>
  <si>
    <t>promo $46410</t>
  </si>
  <si>
    <t>fgm</t>
  </si>
  <si>
    <t>DISCO PARA CORTE DE METAL DE BAJO OLOR 210</t>
  </si>
  <si>
    <t>DISCO PARA DESBASTAR 212</t>
  </si>
  <si>
    <t>DISCO PARA SEPARACION Y CONTORNEAR RUGOSIDADES</t>
  </si>
  <si>
    <t>DISCO PARA SEPARAR METAL 221</t>
  </si>
  <si>
    <t>REPETIDO</t>
  </si>
  <si>
    <t>DISCO UNA SOLA CARA PARA SEPARACION INICIAL Y CONTORNEADO</t>
  </si>
  <si>
    <t xml:space="preserve">discos de pulido azul max flex </t>
  </si>
  <si>
    <t xml:space="preserve">la muela </t>
  </si>
  <si>
    <t xml:space="preserve">Discos pulidores JIFFY ultradent Amarillo Conico </t>
  </si>
  <si>
    <t xml:space="preserve">Discos pulidores JIFFY ultradent Amarillo Copa </t>
  </si>
  <si>
    <t xml:space="preserve">Discos pulidores JIFFY ultradent Amarillo Lenteja </t>
  </si>
  <si>
    <t>Discos pulidores JIFFY ultradent blanco Conico</t>
  </si>
  <si>
    <t>Discos pulidores JIFFY ultradent blanco Copa</t>
  </si>
  <si>
    <t xml:space="preserve">Discos pulidores JIFFY ultradent blanco Lenteja </t>
  </si>
  <si>
    <t>Discos pulidores JIFFY ultradent Verde Conico</t>
  </si>
  <si>
    <t xml:space="preserve">Discos pulidores JIFFY ultradent Verde Copa </t>
  </si>
  <si>
    <t xml:space="preserve">Discos pulidores JIFFY ultradent Verde Lenteja </t>
  </si>
  <si>
    <t>Discos soflex 3M</t>
  </si>
  <si>
    <t>RAMON GABRIEL VELASQUEZ</t>
  </si>
  <si>
    <t>Discos soflex 3M PAQUETE X30</t>
  </si>
  <si>
    <t>Discos soflex praxis TDV x30</t>
  </si>
  <si>
    <t xml:space="preserve">Discos soflex super snap </t>
  </si>
  <si>
    <t>SSW $11800 // NEW $13566 // MIGUEL $11042</t>
  </si>
  <si>
    <t>kit zafira</t>
  </si>
  <si>
    <t>jorge new stetic</t>
  </si>
  <si>
    <t xml:space="preserve">Discos soflex super snap SHOFU NEGROS X CAJA </t>
  </si>
  <si>
    <t>miguel $65 /New $74</t>
  </si>
  <si>
    <t>New Stetic MIGUEL</t>
  </si>
  <si>
    <t>Discos soflex super snap X CAJA 48 UNIDADES</t>
  </si>
  <si>
    <t>SSW $11800 // NEW $13566 // MIGUEL $11043</t>
  </si>
  <si>
    <t>DISCOS ULTRA THIN VERDE PARA PORCELANA  ULTRATRIM</t>
  </si>
  <si>
    <t>Dispensador microaplicadores SDI</t>
  </si>
  <si>
    <t xml:space="preserve">DUO LINK Bisco </t>
  </si>
  <si>
    <t>promo $160</t>
  </si>
  <si>
    <t>26-2027</t>
  </si>
  <si>
    <t>Duplicadora en hierro para laboratorio</t>
  </si>
  <si>
    <t>Monica sneider</t>
  </si>
  <si>
    <t>DURALAY DURACRYL FLOW 60 gr</t>
  </si>
  <si>
    <t>DURALAY DURACRYL FLOW porcion 10gr</t>
  </si>
  <si>
    <t>DURALAY Inlay Pattern Resin 20 grs</t>
  </si>
  <si>
    <t xml:space="preserve">aquiles $33800 / </t>
  </si>
  <si>
    <t>JORGE</t>
  </si>
  <si>
    <t>Dycal Ivory Shade  Dentsply</t>
  </si>
  <si>
    <t>descontinuado</t>
  </si>
  <si>
    <t xml:space="preserve">ECO WIPES TOALLA CUADRA X50 HOJAS  WY PALL WYPALL </t>
  </si>
  <si>
    <t>EDTA  120 ml eufar</t>
  </si>
  <si>
    <t>aquiles $40000 eufar $36985</t>
  </si>
  <si>
    <t xml:space="preserve">Gabriel Velasquez - aquiles Eufar </t>
  </si>
  <si>
    <t>ELASTICOS INTERMAXILARES</t>
  </si>
  <si>
    <t>DAZA $3226 abrahan 1180 padilla $900 ORHTO PROF $1159</t>
  </si>
  <si>
    <t xml:space="preserve">ABRAHAM DAZA PADILLA </t>
  </si>
  <si>
    <t xml:space="preserve">3/8 M 22 3/8 H 13 1/8 10 1/8M 3 1/8 H 5 1/4 M 20 1/4 H15 5/16 M 19 5/16 H 14 3/16 M 26 3/16H 17 </t>
  </si>
  <si>
    <t>elasticos separadores X 60 RUEDAS</t>
  </si>
  <si>
    <t>abraham 11080</t>
  </si>
  <si>
    <t xml:space="preserve">ABRAHAM PADILLA </t>
  </si>
  <si>
    <t>elevador Apical derecho instrumental Delta</t>
  </si>
  <si>
    <t xml:space="preserve">Embudo </t>
  </si>
  <si>
    <t>CENTRO CRISTALERIA</t>
  </si>
  <si>
    <t xml:space="preserve">EMPRESS DIRECT BLXL IVOCLAR DENTINA </t>
  </si>
  <si>
    <t>Dora $228// Gabriel Velas $235//EMMA $215 // CESAR $278 //casa odontologica $232 eurodent $199</t>
  </si>
  <si>
    <t>ALTA ESTETICA</t>
  </si>
  <si>
    <t>EMMA MASDENTAL  ramon EURODENT</t>
  </si>
  <si>
    <t>EMPRESS DIRECT BLXL IVOCLAR ESMALTE</t>
  </si>
  <si>
    <t>EMPRESS OPAQUE</t>
  </si>
  <si>
    <t xml:space="preserve">EMMA MASDENTAL </t>
  </si>
  <si>
    <t>EMULSION DE ALTO BRILLO EMPACADO JOTA (4 x tarro)</t>
  </si>
  <si>
    <t>EMULSION DE ALTO BRILLO JOTA 50 ML</t>
  </si>
  <si>
    <t>Encerador electrico</t>
  </si>
  <si>
    <t xml:space="preserve">ENCUBADORA </t>
  </si>
  <si>
    <t>Endo explorador conducto Delta instrumental</t>
  </si>
  <si>
    <t>EXDG16</t>
  </si>
  <si>
    <t xml:space="preserve">Endo frost spray 200ML </t>
  </si>
  <si>
    <t>47205 x 6</t>
  </si>
  <si>
    <t>pedi nov 6</t>
  </si>
  <si>
    <t xml:space="preserve">ultradental </t>
  </si>
  <si>
    <t xml:space="preserve">Endo ice  spray 200ML </t>
  </si>
  <si>
    <t>RAMON SOCCIDENTALES ultradental</t>
  </si>
  <si>
    <t>ENDO RAY  - posicionador DE COLORES</t>
  </si>
  <si>
    <t>ENDO RAY  - posicionador mailefer</t>
  </si>
  <si>
    <t>ENDOCONTAINER ALUMINIO REDONDO</t>
  </si>
  <si>
    <t xml:space="preserve">AQUILES    </t>
  </si>
  <si>
    <t>ENDOCONTAINER COLOR PEQUEÑO</t>
  </si>
  <si>
    <t>MORADO 1 ROJO 2 AZUL 1</t>
  </si>
  <si>
    <t>ENDOCONTAINER LIMA Y CONOS COLOR GRANDE</t>
  </si>
  <si>
    <t xml:space="preserve">ENDOCONTAINER METALICO </t>
  </si>
  <si>
    <t>RAMON aquiles allexiño</t>
  </si>
  <si>
    <t>Enhance  CONICAS</t>
  </si>
  <si>
    <t>Dentsplay IMPORTADA RAMON</t>
  </si>
  <si>
    <t>Enhance  COPAS</t>
  </si>
  <si>
    <t>Enhance  Lenteja</t>
  </si>
  <si>
    <t>RAMON IMPORTADA</t>
  </si>
  <si>
    <t>Enhebradores plasticos X PAQUETE</t>
  </si>
  <si>
    <t xml:space="preserve">Enna Fluida </t>
  </si>
  <si>
    <t>Enna resina compuesta</t>
  </si>
  <si>
    <t>ESPACIADOR DIGITAL caja x4 Mailefer No 25 B rojo</t>
  </si>
  <si>
    <t>Endo kit 23</t>
  </si>
  <si>
    <t>ESPACIADOR DIGITAL CajaX4 Mailefer No 20 Amari</t>
  </si>
  <si>
    <t>ESPACIADOR DIGITAL Mailefer No 30 azul</t>
  </si>
  <si>
    <t>Espaciador manual (endodoncia)</t>
  </si>
  <si>
    <t>Espatula de cemento plastica instrumental</t>
  </si>
  <si>
    <t>ESPATULA EN ZIRCONIO PARA MEZCLA DE PORCELANA BK</t>
  </si>
  <si>
    <t>ESPATULA PARA PREPARACION DE OPACOS BK</t>
  </si>
  <si>
    <t>ESPATULA PARA TALLAR PORCELANABK</t>
  </si>
  <si>
    <t>espatula pared GRANDE  3  pulgadas  COD 6398</t>
  </si>
  <si>
    <t>espatula pared PEQUEÑA 2.5 COD 6399 ò 6397</t>
  </si>
  <si>
    <t>Espatula Plastica de Alginato Zendent</t>
  </si>
  <si>
    <t>ZENDENT DYMA</t>
  </si>
  <si>
    <t>Espatula plastica para alginato (NO NARANJA NI VERDE)</t>
  </si>
  <si>
    <t>650-20x13</t>
  </si>
  <si>
    <t xml:space="preserve">UPEGUI /AQUILES jorge DYMA </t>
  </si>
  <si>
    <t>espatula titaniun Delta instrumental ANTER - POSTER  ref# 1</t>
  </si>
  <si>
    <t>TNCIGFT2</t>
  </si>
  <si>
    <t>espatula titaniun Delta instrumental ANTER - POSTER ref# 2</t>
  </si>
  <si>
    <t>TNCIPCM</t>
  </si>
  <si>
    <t>espatula titaniun Delta instrumental ANTERIOR  ref# 3</t>
  </si>
  <si>
    <t>TNCCI1</t>
  </si>
  <si>
    <t>walbin E</t>
  </si>
  <si>
    <t>espatula titaniun Delta instrumental ANTERIOR  ref# 4</t>
  </si>
  <si>
    <t>TNCCI1S</t>
  </si>
  <si>
    <t>walbin 24</t>
  </si>
  <si>
    <t>espatula titaniun Delta instrumental ANTERIOR  ref# 5</t>
  </si>
  <si>
    <t>TNCCI2</t>
  </si>
  <si>
    <t>espatula titaniun Delta instrumental INTERPROXIMAL ref# 6</t>
  </si>
  <si>
    <t>TNCPFI5</t>
  </si>
  <si>
    <t>DELTA</t>
  </si>
  <si>
    <t>espatula titaniun Delta instrumental INTERPROXIMAL ref# 7</t>
  </si>
  <si>
    <t>TNCIGFTMI1</t>
  </si>
  <si>
    <t>espatula titaniun Delta instrumental INTERPROXIMAL ref# 8</t>
  </si>
  <si>
    <t>TNCIGFTMI3</t>
  </si>
  <si>
    <t>espatula titaniun Delta instrumental INTERPROXIMAL ref# 9</t>
  </si>
  <si>
    <t>TNCVIPC</t>
  </si>
  <si>
    <t>espatula titaniun Delta instrumental POSTERIOR ref# 10</t>
  </si>
  <si>
    <t>TNBBDH</t>
  </si>
  <si>
    <t>espatula titaniun Delta instrumental POSTERIOR ref# 11</t>
  </si>
  <si>
    <t>TNPFIG4/5</t>
  </si>
  <si>
    <t>ESPEJO CURVO</t>
  </si>
  <si>
    <t>Espejo DOBLE Luna instrumental basico Delta</t>
  </si>
  <si>
    <t>MIRCSD16</t>
  </si>
  <si>
    <t xml:space="preserve">Espejo facial  cuadrado colores </t>
  </si>
  <si>
    <t xml:space="preserve">Espejo facial  redondo colores rosa,morado,azul </t>
  </si>
  <si>
    <t>Espejo facial Gris  Trans</t>
  </si>
  <si>
    <t>Espejo facial Muelita</t>
  </si>
  <si>
    <t>Espejo juego para foto KIT X4</t>
  </si>
  <si>
    <t>Espejo juego para foto KIT X5</t>
  </si>
  <si>
    <t>Espejo para foto muela Grande</t>
  </si>
  <si>
    <t>Bertulio</t>
  </si>
  <si>
    <t>Espejo para foto muela pequeño</t>
  </si>
  <si>
    <t xml:space="preserve">Espejo para foto zapato Grande </t>
  </si>
  <si>
    <t>Espejo para foto zapato pequeño</t>
  </si>
  <si>
    <t>Espejo SOLO LUNA instrumental basico Delta</t>
  </si>
  <si>
    <t>MIR5D16</t>
  </si>
  <si>
    <t>espuma x metro</t>
  </si>
  <si>
    <t>CENTRO WASHINGTON</t>
  </si>
  <si>
    <t>ESTEMP NE spident tembond 2jeringas x 10gr</t>
  </si>
  <si>
    <t>Estrella posicionadora para ortodoncia</t>
  </si>
  <si>
    <t xml:space="preserve">ESTUCHE DISECCION EN KIT </t>
  </si>
  <si>
    <t>Estuche Jeringa cocodrilo angelus</t>
  </si>
  <si>
    <t>estuche para radiografia caja CAJA</t>
  </si>
  <si>
    <t>Estuche PKT DELTA por 5 unidades color</t>
  </si>
  <si>
    <t>Eucida Advanced  Solución desinfectante de dispositivos médicos superficie 240ML</t>
  </si>
  <si>
    <t>RAMON EUFAR</t>
  </si>
  <si>
    <t>EUGENOL EUFAR 15ml</t>
  </si>
  <si>
    <t>EUGENOL X 15 ML proquident</t>
  </si>
  <si>
    <t>PROQUIDENT $13101 //  EUFAR $10,985</t>
  </si>
  <si>
    <t>EUGENOL X 7 ML prodont</t>
  </si>
  <si>
    <t xml:space="preserve">PRODONT  </t>
  </si>
  <si>
    <t>Explorador instrumental basico  Delta</t>
  </si>
  <si>
    <t>EXD5</t>
  </si>
  <si>
    <t>eyector de conducto metalico</t>
  </si>
  <si>
    <t>aquiles $6783 Gina  $6700</t>
  </si>
  <si>
    <t>JORGE aquiles</t>
  </si>
  <si>
    <t>EYECTOR DE SALIVA  surtidos  (NO ENVIAR NARANJA)</t>
  </si>
  <si>
    <t>(ENE/25) NEW STETIC $17017/ IMPORQ $11,000 / LA MUELA $14,500 / daza $12,971</t>
  </si>
  <si>
    <t>PDTE</t>
  </si>
  <si>
    <t>NEW STETIC IMPORQ QUIRUDENT</t>
  </si>
  <si>
    <t>new stetic 20000</t>
  </si>
  <si>
    <t>FACTUREROS</t>
  </si>
  <si>
    <t>FELPA 3X35</t>
  </si>
  <si>
    <t>FELPA 4X40</t>
  </si>
  <si>
    <t>FELPA 4x50</t>
  </si>
  <si>
    <t>FELPA PEQUENA PARA CONTRA ANGULO</t>
  </si>
  <si>
    <t>FELPA PEQUEÑA DE FIELTRO DURA PAQ X 20</t>
  </si>
  <si>
    <t>FIBRA METAL REPUESTO PARA LAMPARA I-LED MAX woopecker</t>
  </si>
  <si>
    <t>DAZA</t>
  </si>
  <si>
    <t>FIBRA PARA LAMPARA</t>
  </si>
  <si>
    <t>fix RESINA  ortodoncia 2.5ml</t>
  </si>
  <si>
    <t>ortho $35000</t>
  </si>
  <si>
    <t>SOCCIDENTALES CLAUDIA ortho prof</t>
  </si>
  <si>
    <t>flameador</t>
  </si>
  <si>
    <t>upegui 7800</t>
  </si>
  <si>
    <t>jorge -AQUILES -upegui</t>
  </si>
  <si>
    <t>fluofar chicle x 240 ml</t>
  </si>
  <si>
    <t>EUFAR 12299 AQUILES 13566</t>
  </si>
  <si>
    <t>AQUILES EUFAR</t>
  </si>
  <si>
    <t xml:space="preserve">fluor  fluofar neutro 240 ML </t>
  </si>
  <si>
    <t>AQULIES $22848</t>
  </si>
  <si>
    <t>ramon-aquiles  - eufar - proquident</t>
  </si>
  <si>
    <t>fluor neutro 50 ML</t>
  </si>
  <si>
    <t>EUFAR 11525 proquident 8935</t>
  </si>
  <si>
    <t>ramon-aquiles PROQUIDENT EUFAR</t>
  </si>
  <si>
    <t>1/10/2026 12-2026 4-2028</t>
  </si>
  <si>
    <t>formaletas plasticas  L</t>
  </si>
  <si>
    <t>DYMA $5236 aquiles $6783</t>
  </si>
  <si>
    <t>aquiles DYMA</t>
  </si>
  <si>
    <t>formaletas plasticas M</t>
  </si>
  <si>
    <t>pedir dyma</t>
  </si>
  <si>
    <t>formaletas plasticas S</t>
  </si>
  <si>
    <t>FORMALETAS SILICONADAS SURTIDAS caja x 6</t>
  </si>
  <si>
    <t>FORMAS PLASTICAS ANTERORES Y POSTERIORES 1912 CAJA</t>
  </si>
  <si>
    <t>FORMAS PLASTICAS ANTERORES Y POSTERIORES 1913 X UNIDAD</t>
  </si>
  <si>
    <t>FORMAS PLASTICAS PEDIATRICAS # 11</t>
  </si>
  <si>
    <t>FORMAS PLASTICAS PEDIATRICAS # 12</t>
  </si>
  <si>
    <t>FORMAS PLASTICAS PEDIATRICAS # 13</t>
  </si>
  <si>
    <t>FORMAS PLASTICAS PEDIATRICAS # 21</t>
  </si>
  <si>
    <t>FORMAS PLASTICAS PEDIATRICAS # 22</t>
  </si>
  <si>
    <t>FORMAS PLASTICAS PEDIATRICAS # 23</t>
  </si>
  <si>
    <t>FORMAS PLASTICAS PEDIATRICAS # 31</t>
  </si>
  <si>
    <t>FORMAS PLASTICAS PEDIATRICAS # 32</t>
  </si>
  <si>
    <t>FORMAS PLASTICAS PEDIATRICAS # 41</t>
  </si>
  <si>
    <t>FORMAS PLASTICAS PEDIATRICAS # 42</t>
  </si>
  <si>
    <t xml:space="preserve">Formol X 250 ML </t>
  </si>
  <si>
    <t>FOSFATO DE ZINC oxifosfato LEE SMITH</t>
  </si>
  <si>
    <t>aquiles $32800 DYMA $26500</t>
  </si>
  <si>
    <t>PEDIR DYMA</t>
  </si>
  <si>
    <t>RAMON DORA AQUILES dyma</t>
  </si>
  <si>
    <t>FOSFATO DE ZINC oxifosfato SELECTO DENT</t>
  </si>
  <si>
    <t xml:space="preserve">FP3 plastico instrumental </t>
  </si>
  <si>
    <t>1300-20 x 13</t>
  </si>
  <si>
    <t xml:space="preserve">RAMON-upegui </t>
  </si>
  <si>
    <t>FP3 teflon Espatula Resina instrumental Delta  ref# 12</t>
  </si>
  <si>
    <t>TNPFIW3</t>
  </si>
  <si>
    <t>fresa  zecrya</t>
  </si>
  <si>
    <t>CARBURO</t>
  </si>
  <si>
    <t>ULTRADENTAL IMPORTADA</t>
  </si>
  <si>
    <t>FRESA AZDENT</t>
  </si>
  <si>
    <t>Fresa carburo 1/2 HP Tallo largo</t>
  </si>
  <si>
    <t>biodentaleS MDS masterdent ramon</t>
  </si>
  <si>
    <t>Fresa Carburo 169 L</t>
  </si>
  <si>
    <t>fresa carburo 245  FG Tallo Corto pediatrica</t>
  </si>
  <si>
    <t>biodentaleS MDS  ramon</t>
  </si>
  <si>
    <t>fresa carburo 330 FG Tallo Corto pediatrica</t>
  </si>
  <si>
    <t>fresa carburo 331 FG Tallo Corto</t>
  </si>
  <si>
    <t>fresa carburo 331 L FG Tallo Corto</t>
  </si>
  <si>
    <t>FRESA CARBURO FG 700  Tallo Corto</t>
  </si>
  <si>
    <t>FRESA CARBURO FG 701  Tallo Corto</t>
  </si>
  <si>
    <t>FRESA CARBURO FG 702  Tallo Corto</t>
  </si>
  <si>
    <t>FRESA CARBURO FG 703  Tallo Corto</t>
  </si>
  <si>
    <t>FRESA CARBURO HP 700 Tallo Largo</t>
  </si>
  <si>
    <t>FRESA CARBURO HP 701 Tallo Largo</t>
  </si>
  <si>
    <t>FRESA CARBURO HP 702 Tallo Largo</t>
  </si>
  <si>
    <t>FRESA CARBURO HP 703 Tallo Largo</t>
  </si>
  <si>
    <t>fresa carburo N° 1 FG  Tallo Corto</t>
  </si>
  <si>
    <t>fresa carburo N° 1 HP Tallo largo</t>
  </si>
  <si>
    <t>fresa carburo N° 1/2 FG Tallo Corto pediatrica</t>
  </si>
  <si>
    <t>fresa carburo N° 1/4 FG Tallo Corto pediatrica</t>
  </si>
  <si>
    <t>fresa carburo N° 1P FG Tallo Corto  pediatrica</t>
  </si>
  <si>
    <t>fresa carburo N° 2 FG Tallo Corto</t>
  </si>
  <si>
    <t>fresa carburo N° 2 HP tallo largo</t>
  </si>
  <si>
    <t>fresa carburo N° 2P FG Tallo Corto pediatrica</t>
  </si>
  <si>
    <t>fresa carburo N° 3  FG Tallo Corto</t>
  </si>
  <si>
    <t>fresa carburo N° 3  HP Tallo largo</t>
  </si>
  <si>
    <t>fresa carburo N° 3P FG Tallo Corto pediatrica</t>
  </si>
  <si>
    <t>fresa carburo N° 4 FG  Tallo Corto</t>
  </si>
  <si>
    <t>fresa carburo N° 4 HP tallo largo</t>
  </si>
  <si>
    <t xml:space="preserve">fresa carburo N° 5 FG Tallo Corto  </t>
  </si>
  <si>
    <t>fresa carburo N° 5 HP tallo largo</t>
  </si>
  <si>
    <t>fresa carburo N° 6 FG  Tallo Corto</t>
  </si>
  <si>
    <t>fresa carburo N° 6 HP tallo largo</t>
  </si>
  <si>
    <t>fresa carburo N° 7 FG tallo corto</t>
  </si>
  <si>
    <t>fresa carburo N° 7 HP tallo largo</t>
  </si>
  <si>
    <t>fresa carburo N° 8 FG   Tallo Corto</t>
  </si>
  <si>
    <t>fresa carburo N° 8 HP tallo largo</t>
  </si>
  <si>
    <t>Fresa contorno anatomico 893H</t>
  </si>
  <si>
    <t>DENTAL SUPPLIER</t>
  </si>
  <si>
    <t>FRESA CONTORNO ANATOMICO AMARILLA 893EF -023 JOTA</t>
  </si>
  <si>
    <t>walbin</t>
  </si>
  <si>
    <t>jota new stetic</t>
  </si>
  <si>
    <t xml:space="preserve">Fresa de diamante jota </t>
  </si>
  <si>
    <t>FRESA DESGASTE Y ACABADO AMARILLA 820EF -031 JOTA</t>
  </si>
  <si>
    <t>Fresa Diamante Alpen redonda</t>
  </si>
  <si>
    <t>ULTRADENTAL</t>
  </si>
  <si>
    <t>Fresa diamante Interproximal - strauss</t>
  </si>
  <si>
    <t>Fresa diamante punta activa - strauss</t>
  </si>
  <si>
    <t>Fresa diamante talla - strauss</t>
  </si>
  <si>
    <t>FRESA DIATECH COLTENE</t>
  </si>
  <si>
    <t xml:space="preserve">ULTRADENTAL </t>
  </si>
  <si>
    <t xml:space="preserve">Fresa Endo Z Angelus </t>
  </si>
  <si>
    <t>FRESA ENDO Z IMPORTADA</t>
  </si>
  <si>
    <t xml:space="preserve">Fresa Endo Z Jota </t>
  </si>
  <si>
    <t>FRESA ENDO Z MAILLEFER</t>
  </si>
  <si>
    <t>dentsplay ramon</t>
  </si>
  <si>
    <t>FRESA LLAMA AMARILLA 830EF.FG.021 JOTA</t>
  </si>
  <si>
    <t>FRESA LLAMA AMARILLA 862F.FG.014 JOTA</t>
  </si>
  <si>
    <t xml:space="preserve">FRESA LLAMA ROJA 830F.FG.023 JOTA </t>
  </si>
  <si>
    <t>FRESA LLAMA ROJA 862EF.FG.014 JOTA</t>
  </si>
  <si>
    <t>FRESA LN  L N MAILLEFER  CAJA X 6 UNIDAD</t>
  </si>
  <si>
    <t>FRESA MANI</t>
  </si>
  <si>
    <t>FRESA MULTI HOJAS  JOTA CARBURO FG C375R.018</t>
  </si>
  <si>
    <t>fresa para pulir amalgama</t>
  </si>
  <si>
    <t xml:space="preserve">fresa punto contacto </t>
  </si>
  <si>
    <t xml:space="preserve">abraham </t>
  </si>
  <si>
    <t>fresa tambor</t>
  </si>
  <si>
    <t>ABRAHAM ramon</t>
  </si>
  <si>
    <t>FRESA TRANSMETALICA  847 - 016</t>
  </si>
  <si>
    <t xml:space="preserve">Ramon / Abraham  IMPORTADA ultradental </t>
  </si>
  <si>
    <t>Fresero color 60 huecos</t>
  </si>
  <si>
    <t>CLAUDIA - RAMON</t>
  </si>
  <si>
    <t>Fresero color autoclavable 30 huecos</t>
  </si>
  <si>
    <t>LA MUELA $33900 IMPORT $13691</t>
  </si>
  <si>
    <t>CLAUDIA - RAMON la muela IMPORTADO</t>
  </si>
  <si>
    <t xml:space="preserve">Fresero de color 21 huecos </t>
  </si>
  <si>
    <t>fresero jota 42 huecos</t>
  </si>
  <si>
    <t xml:space="preserve">Fresero metalico gris  REDONDO </t>
  </si>
  <si>
    <t>Fresero para gates o pesso color</t>
  </si>
  <si>
    <t>FUJI 1 CEMENTANTE BLANCO LETRA ROJA</t>
  </si>
  <si>
    <t>masdental $158900 la muela promo $121500</t>
  </si>
  <si>
    <t>LA MUELA Ramon MasDental</t>
  </si>
  <si>
    <t>FUJI 2 RESTAURATIVO BLANCO CON VERDE AUTO</t>
  </si>
  <si>
    <t>promo $121500</t>
  </si>
  <si>
    <t>FUJI 2 RESTAURATIVO CAJA NEGRA FOTO</t>
  </si>
  <si>
    <t>FUJI 9 VERDE</t>
  </si>
  <si>
    <t xml:space="preserve">FUJI LINING AZUL  BASE INTERMEDIA </t>
  </si>
  <si>
    <t>promo $144675</t>
  </si>
  <si>
    <t xml:space="preserve">FUJI PLUS MULTIPROPOSITO MINI PACK </t>
  </si>
  <si>
    <t>promo $161250</t>
  </si>
  <si>
    <t>precio</t>
  </si>
  <si>
    <t xml:space="preserve">la muela MASDENTAL </t>
  </si>
  <si>
    <t>GAFAS  PROTECTORAS  DE FOTOCURADO ROJAS</t>
  </si>
  <si>
    <t>muela $7950</t>
  </si>
  <si>
    <t>Upegui Aquiles</t>
  </si>
  <si>
    <t>Gafas lupa de aumento blanca electrica recargable</t>
  </si>
  <si>
    <t xml:space="preserve">GAFAS PACIENTE COLOR COD 813 - 7617 negras </t>
  </si>
  <si>
    <t>hoyostool $2500</t>
  </si>
  <si>
    <t>Gancho para revelar  1 pata</t>
  </si>
  <si>
    <t>RAMON JORGE</t>
  </si>
  <si>
    <t>Gancho para revelar 2 patas</t>
  </si>
  <si>
    <t>garhox desinfectantes superficies x 3.850 ml GALON</t>
  </si>
  <si>
    <t>Gasa estéril ( 10 x 10)</t>
  </si>
  <si>
    <t>Gasa estéril ( 7.5 x 7.5) paq x 50</t>
  </si>
  <si>
    <t>Gasa estéril ( 7.5 x 7.5) paquete x 20</t>
  </si>
  <si>
    <t>mundial $8000</t>
  </si>
  <si>
    <t>clay  mundial</t>
  </si>
  <si>
    <t>GASAS  x 200</t>
  </si>
  <si>
    <t>DAZA IMPORQ</t>
  </si>
  <si>
    <t xml:space="preserve">Gasas Esteril pte x 2 und caja x 100 </t>
  </si>
  <si>
    <t>Allers $216</t>
  </si>
  <si>
    <t>Gates No 1 CAJA X 6</t>
  </si>
  <si>
    <t>ABRAHAM - IMPORTADA</t>
  </si>
  <si>
    <t>Gates No 2 CAJA X 6</t>
  </si>
  <si>
    <t>Gates No 3 CAJA X 6</t>
  </si>
  <si>
    <t>Gates No 4 UNIDAD</t>
  </si>
  <si>
    <t>Gates No 5 UNIDAD</t>
  </si>
  <si>
    <t>Gates No 6 UNIDAD</t>
  </si>
  <si>
    <t xml:space="preserve">GEL ANCTIBACTERIAL X 120 ML  BACTERIGEL </t>
  </si>
  <si>
    <t>otro</t>
  </si>
  <si>
    <t>Gel antibacterial 1000 ml  PROQUIDENT</t>
  </si>
  <si>
    <t>Gel antibacterial 300 ml  PROQUIDENT</t>
  </si>
  <si>
    <t>Gel antibacterial 50 ml brisa fresca PROQUIDENT</t>
  </si>
  <si>
    <t>Gel antibacterial 500 ml  PROQUIDENT</t>
  </si>
  <si>
    <t>GELATAM HEMOSPON  CAJA X 40U</t>
  </si>
  <si>
    <t>soccidentales</t>
  </si>
  <si>
    <t>GELATAM HEMOSPON tira X 10</t>
  </si>
  <si>
    <t>GELATAM HEMOSPON unidad</t>
  </si>
  <si>
    <t>GELATAMP ROEKO monodosis (x 20)</t>
  </si>
  <si>
    <t>GLICERINA porcion</t>
  </si>
  <si>
    <t>san jorge solo en gotero $2600</t>
  </si>
  <si>
    <t>pedir san jorge</t>
  </si>
  <si>
    <t>DROGUERIA SAN JORGE centro</t>
  </si>
  <si>
    <t xml:space="preserve">Glutacides 1000 ml proquident glutaraldehido </t>
  </si>
  <si>
    <t>LITRO</t>
  </si>
  <si>
    <t xml:space="preserve">Glutacides 3.8 GALON proquident glutaraldehido </t>
  </si>
  <si>
    <t>GALON</t>
  </si>
  <si>
    <t>GLUTARALDEHIDO BACTIXIDE PRODONT x 500 cc (YA MEZCLADA)</t>
  </si>
  <si>
    <t>MEDIO LITRO</t>
  </si>
  <si>
    <t>GLUTARALDEHIDO glutarbio x 500 ml organica</t>
  </si>
  <si>
    <t xml:space="preserve">Glutaraldehido x 3.850 ml galon organica  GRANDE </t>
  </si>
  <si>
    <t xml:space="preserve">godiva isofuncional rosada GC </t>
  </si>
  <si>
    <t xml:space="preserve">GC </t>
  </si>
  <si>
    <t>prono $17185</t>
  </si>
  <si>
    <t xml:space="preserve">La Muela </t>
  </si>
  <si>
    <t>godiva roja x 8</t>
  </si>
  <si>
    <t xml:space="preserve">marleny dentales ID </t>
  </si>
  <si>
    <t>godiva verde Kerr</t>
  </si>
  <si>
    <t>gabriel velasq $5607</t>
  </si>
  <si>
    <t>RAMON Pluss Dent</t>
  </si>
  <si>
    <t xml:space="preserve">GORRO ANTIFLUIDO BLANCO CON MOÑO  </t>
  </si>
  <si>
    <t xml:space="preserve">GORRO ANTIFLUIDO BLANCO DE TIRA </t>
  </si>
  <si>
    <t>GORRO ANTIFLUIDO BLANCO TIRAS  TOALLA</t>
  </si>
  <si>
    <t>GORRO ANTIFLUIDO BLANCO, MOÑO TOALLA</t>
  </si>
  <si>
    <t>GORRO ANTIFLUIDO ESTAMPADO CON MOÑO MUJER</t>
  </si>
  <si>
    <t>GORRO ANTIFLUIDO ESTAMPADO DE TIRA HOMBRE</t>
  </si>
  <si>
    <t>GORRO BLANCO TELA DE TIRA DACRON</t>
  </si>
  <si>
    <t>gorro BPM X 25 UNIDADES</t>
  </si>
  <si>
    <t>Gorro desechable  estampado NIÑO</t>
  </si>
  <si>
    <t>GORRO DESECHABLE  TIRA AZUL</t>
  </si>
  <si>
    <t>GORRO DESECHABLE CON MOÑO AZUL</t>
  </si>
  <si>
    <t xml:space="preserve">GORRO DESECHABLE CON MOÑO BLANCO </t>
  </si>
  <si>
    <t>Gorro desechable Resorte Redondo AZUL</t>
  </si>
  <si>
    <t xml:space="preserve">Gorro desechable Tira BLANCO </t>
  </si>
  <si>
    <t>GORRO TIPO ORUGA AZUL PTE X 100</t>
  </si>
  <si>
    <t>(ENE 25) imporquirugica $100 / new st $137 // biosalud $140 // MUNDIAL azul $9.500</t>
  </si>
  <si>
    <t>imporq  new stetic BIOSALUD MUNDIAL</t>
  </si>
  <si>
    <t xml:space="preserve">gota reveladora </t>
  </si>
  <si>
    <t>gabriel vel</t>
  </si>
  <si>
    <t>GOTAS REVELADORAS DITONOS</t>
  </si>
  <si>
    <t>AQUILES $11,400</t>
  </si>
  <si>
    <t>EUFAR</t>
  </si>
  <si>
    <t xml:space="preserve">gotero de 20cc para empacar #16 </t>
  </si>
  <si>
    <t>centro otorgo</t>
  </si>
  <si>
    <t xml:space="preserve">GRAMERA DIGITAL caja gris y negro </t>
  </si>
  <si>
    <t>centro HOYOSTOOL</t>
  </si>
  <si>
    <t>Grapa B4 - B 4 COLTENE</t>
  </si>
  <si>
    <t xml:space="preserve">Grapas  (hufriedy) </t>
  </si>
  <si>
    <t>Ramon</t>
  </si>
  <si>
    <t>GRAPAS # 0</t>
  </si>
  <si>
    <t xml:space="preserve">IMPORTADA GRAPA </t>
  </si>
  <si>
    <t>GRAPAS # 00</t>
  </si>
  <si>
    <t>GRAPAS # 1</t>
  </si>
  <si>
    <t>GRAPAS # 12A</t>
  </si>
  <si>
    <t>GRAPAS # 14</t>
  </si>
  <si>
    <t>GRAPAS # 14A</t>
  </si>
  <si>
    <t xml:space="preserve">Grapas # 1A </t>
  </si>
  <si>
    <t>GRAPAS # 2</t>
  </si>
  <si>
    <t>Grapas # 200</t>
  </si>
  <si>
    <t>Grapas # 201</t>
  </si>
  <si>
    <t>Grapas # 202</t>
  </si>
  <si>
    <t>Grapas # 203</t>
  </si>
  <si>
    <t>Grapas # 204</t>
  </si>
  <si>
    <t>Grapas # 205</t>
  </si>
  <si>
    <t>Grapas # 206</t>
  </si>
  <si>
    <t>Grapas # 207</t>
  </si>
  <si>
    <t>Grapas # 208</t>
  </si>
  <si>
    <t>Grapas # 209</t>
  </si>
  <si>
    <t xml:space="preserve">Grapas # 210 </t>
  </si>
  <si>
    <t>Grapas # 211</t>
  </si>
  <si>
    <t>Grapas # 212</t>
  </si>
  <si>
    <t>Grapas # 2A</t>
  </si>
  <si>
    <t>GRAPAS # 3</t>
  </si>
  <si>
    <t>GRAPAS # 6</t>
  </si>
  <si>
    <t>GRAPAS # 7</t>
  </si>
  <si>
    <t>GRAPAS # 7A</t>
  </si>
  <si>
    <t>GRAPAS # 8</t>
  </si>
  <si>
    <t>GRAPAS # 8A</t>
  </si>
  <si>
    <t>Grapas # 9</t>
  </si>
  <si>
    <t>GRAPAS # 9 marip</t>
  </si>
  <si>
    <t>GRAPAS # W 3</t>
  </si>
  <si>
    <t>GRAPAS # W14A</t>
  </si>
  <si>
    <t>GUANTE LATEX L X10</t>
  </si>
  <si>
    <t xml:space="preserve">Guantes Esteril 6,5 x caja </t>
  </si>
  <si>
    <t>new stetic $1095  ALLERS $1428 MUNDIAL X50 $840</t>
  </si>
  <si>
    <t>ALLERS- RAMON - new stetic MUNDIAL</t>
  </si>
  <si>
    <t xml:space="preserve">Guantes Esteril 7 x caja </t>
  </si>
  <si>
    <t>new stetic $1452 Allers $1428</t>
  </si>
  <si>
    <t xml:space="preserve">Guantes Esteril 7,5 x caja </t>
  </si>
  <si>
    <t>Allers $1428</t>
  </si>
  <si>
    <t xml:space="preserve">Guantes Esteril 8 x caja </t>
  </si>
  <si>
    <t xml:space="preserve">Guantes genérico biofit POLLO </t>
  </si>
  <si>
    <t>clay centro</t>
  </si>
  <si>
    <t>Representaciones lastra</t>
  </si>
  <si>
    <t>Guantes latex M</t>
  </si>
  <si>
    <t>(ABR/25) Abraham $15,232 // la muela $14,756// Gab Vel $14000// Daza $16,374 //New Stetic $14,756//mundial $12,500</t>
  </si>
  <si>
    <t>NEW STETIC LA MUELA ABRAHAM DAZA GAB VEL RAMON MUNDIAL</t>
  </si>
  <si>
    <t>Guantes latex S</t>
  </si>
  <si>
    <t>Guantes latex XS</t>
  </si>
  <si>
    <t>GUANTES NITRILO M</t>
  </si>
  <si>
    <t>(abr/25) Daza $// New Stetic $14,994// Muela $17,300// Abraham $21,250//Mundial azul $13,500 negro $15,5000 rosado y morado $20.000</t>
  </si>
  <si>
    <t xml:space="preserve">GUANTES NITRILO S </t>
  </si>
  <si>
    <t xml:space="preserve">GUANTES NITRILO XS </t>
  </si>
  <si>
    <t xml:space="preserve">Guantes para lavar </t>
  </si>
  <si>
    <t>cento D1</t>
  </si>
  <si>
    <t>S 10 M 12 L 19 XL 5</t>
  </si>
  <si>
    <t>Guantes Pollo X Par unidad</t>
  </si>
  <si>
    <t>CENTRO LIMPIA HOGAR</t>
  </si>
  <si>
    <t>guia colores BIODENT</t>
  </si>
  <si>
    <t xml:space="preserve">Guia ivoclar </t>
  </si>
  <si>
    <t>masdental emma EURODENT</t>
  </si>
  <si>
    <t>guia ivoclar bleach</t>
  </si>
  <si>
    <t>emma</t>
  </si>
  <si>
    <t xml:space="preserve">guia vita </t>
  </si>
  <si>
    <t xml:space="preserve">gutapercha barra (SOLO LA BLANCA) x 30 caja </t>
  </si>
  <si>
    <t>gutapercha barra (SOLO LA BLANCA) x unidad</t>
  </si>
  <si>
    <t>hemofar sulfato ferrico EUFAR</t>
  </si>
  <si>
    <t xml:space="preserve">Gabriel Velasquez Eufar </t>
  </si>
  <si>
    <t>Hemostatico Cloruro de aluminio x 15 ml hemodent proquident</t>
  </si>
  <si>
    <t xml:space="preserve">subio 12757 </t>
  </si>
  <si>
    <t>RAMON  proquident</t>
  </si>
  <si>
    <t>Hemostatico Cloruro de aluminio x 7ml hemodent prodont</t>
  </si>
  <si>
    <t xml:space="preserve">RAMON PRODONT </t>
  </si>
  <si>
    <t>1/6/2026 01-2027</t>
  </si>
  <si>
    <t>Hemostatico viscostat clear cloruro de aluminio jeringa transparente 1,2ml</t>
  </si>
  <si>
    <t>GABRIEL VELASQ 16380</t>
  </si>
  <si>
    <t>Ramon Pluss Gab vel</t>
  </si>
  <si>
    <t xml:space="preserve">Hemostatico viscostat sulfato ferrico jeringa cafe de 1,2ml </t>
  </si>
  <si>
    <t>Hexitec clorhexidinal clorexol</t>
  </si>
  <si>
    <t>hidroxcal hidroxido de calcio FOTOCURADO 2gm</t>
  </si>
  <si>
    <t xml:space="preserve">hidroxido de calcio KERR regular set life kikal dycal  </t>
  </si>
  <si>
    <t>HIDROXIDO DE CALCIO X 10 gm prodont</t>
  </si>
  <si>
    <t>actualizar 4297</t>
  </si>
  <si>
    <t>RAMON-PROQUIDENT-PRODONT Aquiles Eufar</t>
  </si>
  <si>
    <t xml:space="preserve">HIDROXIDO DE CALCIO X 7gm proquident </t>
  </si>
  <si>
    <t>hilo para sutura 50 mts 3/0 silk carrete</t>
  </si>
  <si>
    <t>Hilo para sutura 50 mts 4/0 silk carrete</t>
  </si>
  <si>
    <t>Hilo para sutura x yardas 3/0 (tarro) carrete 10 MT</t>
  </si>
  <si>
    <t>aquiles 2998</t>
  </si>
  <si>
    <t>ramon Jorge aquiles</t>
  </si>
  <si>
    <t>Hilo para sutura x yardas 4/0 (tarro) carrete 10 MT</t>
  </si>
  <si>
    <t>hilo retractor  # 00 CON HEMOSTATICO PROQUIDENT</t>
  </si>
  <si>
    <t>Hilo retractor  00 no impregnado maquira</t>
  </si>
  <si>
    <t>Hilo retractor  000 no impregnado maquira</t>
  </si>
  <si>
    <t>hilo retractor  CON HEMOSTATICO # 1  Sure Cord</t>
  </si>
  <si>
    <t>JULVIDENT</t>
  </si>
  <si>
    <t>hilo retractor  CON HEMOSTATICO # 2  Sure Cord</t>
  </si>
  <si>
    <t>hilo retractor #0 CON HEMOSTATICO  1/0 Sure Cord</t>
  </si>
  <si>
    <t>hilo retractor 00 CON HEMOSTATICO 2 / 0 Sure Cord</t>
  </si>
  <si>
    <t>hilo retractor 000 CON HEMOSTATICO 3 / 0 Sure Cord</t>
  </si>
  <si>
    <t>1/9/2026 02-2027</t>
  </si>
  <si>
    <t xml:space="preserve">Hilo retractor ultra pack # 0 por 244cm </t>
  </si>
  <si>
    <t xml:space="preserve">Hilo retractor ultra pack # 00 por 244cm </t>
  </si>
  <si>
    <t xml:space="preserve">Hilo retractor ultra pack # 000 por 244cm </t>
  </si>
  <si>
    <t xml:space="preserve">Hilo retractor ultra pack # 1 por 244cm </t>
  </si>
  <si>
    <t xml:space="preserve">Hilo sutura polamida cod DS24 </t>
  </si>
  <si>
    <t xml:space="preserve">HIPOCLORITO AL 1% X 120 ML </t>
  </si>
  <si>
    <t xml:space="preserve">HIPOCLORITO AL 5 % X 120 ML </t>
  </si>
  <si>
    <t>PROQUID $3370 // PRODONT $5095</t>
  </si>
  <si>
    <t xml:space="preserve">PRODONT </t>
  </si>
  <si>
    <t>HIPOCLORITO AL 5 % X 120 ML ZONIDENT</t>
  </si>
  <si>
    <t>PROQUID $4040 // PRODONT $4594</t>
  </si>
  <si>
    <t>Hoja de Bisturi 15c  Braum unidad</t>
  </si>
  <si>
    <t>HOJA DE SEGUETA SIERRAS 128mm NEY</t>
  </si>
  <si>
    <t>Hojas de bisturi # 11  x Caja</t>
  </si>
  <si>
    <t>abraham - IMPORQ DTM</t>
  </si>
  <si>
    <t>Hojas de bisturi # 12  x Caja</t>
  </si>
  <si>
    <t>Hojas de bisturi # 15  x Caja</t>
  </si>
  <si>
    <t>Hojas de bisturi # 15 C  x Caja ECO</t>
  </si>
  <si>
    <t>Hu Friedy CALIBRADOR DE CHU</t>
  </si>
  <si>
    <t>HU FRIEDY</t>
  </si>
  <si>
    <t>Daza - La Muela ABRAHAM</t>
  </si>
  <si>
    <t xml:space="preserve">Hu Friedy Cucharilla Hu-Friedy instrumental </t>
  </si>
  <si>
    <t>HU FRIEDY daza $177072 abraham $98000</t>
  </si>
  <si>
    <t>BA</t>
  </si>
  <si>
    <t xml:space="preserve">Hu-Friedy Cureta Gracey 1/2   instrumental </t>
  </si>
  <si>
    <t>DAZA $138050</t>
  </si>
  <si>
    <t xml:space="preserve">Hu-Friedy Cureta Gracey 11/12   instrumental </t>
  </si>
  <si>
    <t xml:space="preserve">Hu-Friedy Cureta Gracey 13/14  instrumental </t>
  </si>
  <si>
    <t xml:space="preserve">Hu-Friedy Cureta Gracey 17/18  instrumental </t>
  </si>
  <si>
    <t xml:space="preserve">Hu-Friedy Cureta Gracey 3/4   instrumental </t>
  </si>
  <si>
    <t xml:space="preserve">Hu-Friedy Cureta Gracey 7/8  instrumental </t>
  </si>
  <si>
    <t xml:space="preserve">Hu-Friedy Cureta Gracey 9/10   instrumental </t>
  </si>
  <si>
    <t xml:space="preserve">Hu-Friedy Cureta Mc Call  13/14  instrumental </t>
  </si>
  <si>
    <t>DAZA $179950</t>
  </si>
  <si>
    <t xml:space="preserve">Hu-Friedy Cureta Mc Call 17/18  instrumental </t>
  </si>
  <si>
    <t xml:space="preserve">Hu-Friedy Eplorador  instrumental </t>
  </si>
  <si>
    <t>HU FRIEDY daza $93296 abraham $71500</t>
  </si>
  <si>
    <t>Hu-Friedy ESPATULA DE TITANIO TNCIGFT3</t>
  </si>
  <si>
    <t>Hu-Friedy Espejo completo mango + espejo instrumental</t>
  </si>
  <si>
    <t>h</t>
  </si>
  <si>
    <t xml:space="preserve">Hu-Friedy FP3 Teflon TNPFIW3 instrumental </t>
  </si>
  <si>
    <t xml:space="preserve">Hu-Friedy GRAPAS # 2 </t>
  </si>
  <si>
    <t xml:space="preserve">HU-FRIEDY Jeringa Carpule  </t>
  </si>
  <si>
    <t xml:space="preserve">Hu-Friedy kit basico  CON Sonda instrumental </t>
  </si>
  <si>
    <t xml:space="preserve">Hu-Friedy Kit basico  SIN Sonda  instrumental </t>
  </si>
  <si>
    <t>Hu-Friedy Kit grapas x7 RDCSET70424</t>
  </si>
  <si>
    <t xml:space="preserve">Hu-Friedy LUNA Espejo doble  instrumental </t>
  </si>
  <si>
    <t>HU FRIEDY daza $44982 abraham $37000</t>
  </si>
  <si>
    <t>Hu-Friedy LUNA Espejo sencillo  instrumental basico</t>
  </si>
  <si>
    <t>HU FRIEDY  abraham $20680</t>
  </si>
  <si>
    <t xml:space="preserve">Hu-Friedy Mango Espejo instrumental </t>
  </si>
  <si>
    <t>HU FRIEDY abraham $77000</t>
  </si>
  <si>
    <t xml:space="preserve">Hu-Friedy Pinza algodonera instrumental </t>
  </si>
  <si>
    <t>HU FRIEDY daza $84728 abraham $77000</t>
  </si>
  <si>
    <t xml:space="preserve">Hu-Friedy Sonda Carolina Nte PCPUNC156 </t>
  </si>
  <si>
    <t xml:space="preserve">Hu-Friedy Sonda de Nabers color instrumental </t>
  </si>
  <si>
    <t>Hu-Friedy Sonda periodontal BASICO</t>
  </si>
  <si>
    <t xml:space="preserve">hydcal hidcal dycal cemento hidroxido calcio pasta pasta </t>
  </si>
  <si>
    <t>indicador biologico BT20</t>
  </si>
  <si>
    <t>interlig</t>
  </si>
  <si>
    <t xml:space="preserve">Ionomero base intermedia I LINER </t>
  </si>
  <si>
    <t>ionomero cementante IONGLASS C</t>
  </si>
  <si>
    <t>COMPRE 49900</t>
  </si>
  <si>
    <t>Ionomero RIVA self cure SDI</t>
  </si>
  <si>
    <t>Ionosit Baseliner 0,33 gr. DMG</t>
  </si>
  <si>
    <t>12-205</t>
  </si>
  <si>
    <t>IVOCLEAN</t>
  </si>
  <si>
    <t>Jabon antibacterial  320 ML brisa fresca PROQUIDENT</t>
  </si>
  <si>
    <t>Jabon antibacterial  500 ML  PROQUIDENT</t>
  </si>
  <si>
    <t xml:space="preserve">PROQUIDENT </t>
  </si>
  <si>
    <t>Jabón antibacterial 950 ML</t>
  </si>
  <si>
    <t>Jabon antibacterial liquido baño unidental</t>
  </si>
  <si>
    <t>D1</t>
  </si>
  <si>
    <t>JABON DE MANOS 500ML bonfar</t>
  </si>
  <si>
    <t>Jabon en polvo para lavar</t>
  </si>
  <si>
    <t>jabon enzimatico  x 100 ml proquident PROQUIZYME</t>
  </si>
  <si>
    <t>PROQUIDENT $5280 PRODONT $6993 GARHOX $7735</t>
  </si>
  <si>
    <t xml:space="preserve">Jabon Enzimatico  x 120 cc prodont </t>
  </si>
  <si>
    <t>Jabon Enzimatico  x 120ml DE ORGANICA</t>
  </si>
  <si>
    <t>PROQUIDENT $5280 PRODONT $6993 GARHOX $8500</t>
  </si>
  <si>
    <t>NURIA</t>
  </si>
  <si>
    <t>jabon enzimatico  x 500 cc organica</t>
  </si>
  <si>
    <t>jabon enzimatico  x 500 ml proquident</t>
  </si>
  <si>
    <t>Jabon Enzimatico  x GALON DE ORGANICA</t>
  </si>
  <si>
    <t>JABON LIQUIDO HIGIENOL</t>
  </si>
  <si>
    <t xml:space="preserve">Jabon multienzimatico bactixide 500 ml </t>
  </si>
  <si>
    <t>JABON POR 480</t>
  </si>
  <si>
    <t xml:space="preserve">Jeringa carpule INSTRUMENTAL DELTA </t>
  </si>
  <si>
    <t>SYRB</t>
  </si>
  <si>
    <t>Jeringa desechable 10 ml</t>
  </si>
  <si>
    <t>Allers $362</t>
  </si>
  <si>
    <t>Jeringa desechable insulina 1ml</t>
  </si>
  <si>
    <t>Allers $207</t>
  </si>
  <si>
    <t>Jeringa desechable precision 20 ML</t>
  </si>
  <si>
    <t>Allers $525</t>
  </si>
  <si>
    <t>Jeringa desechable precision 5 ML</t>
  </si>
  <si>
    <t>Allers $230</t>
  </si>
  <si>
    <t>Jeringa triple</t>
  </si>
  <si>
    <t>IMPORQ $33000</t>
  </si>
  <si>
    <t>RAMON Hector LARRY</t>
  </si>
  <si>
    <t>Kit 20 discos pulir blancos TIPO ENHANCE</t>
  </si>
  <si>
    <t xml:space="preserve">    </t>
  </si>
  <si>
    <t>KIT ALTA DINALED + KIT BAJA FX23 push botton NSK</t>
  </si>
  <si>
    <t>kIT BANDA MATRIZ PREFORMADA TOR - AZDENT  #1398</t>
  </si>
  <si>
    <t>KIT BLUSA + PANTALON L</t>
  </si>
  <si>
    <t>KIT BLUSA + PANTALON M</t>
  </si>
  <si>
    <t>KIT BLUSA + PANTALON S</t>
  </si>
  <si>
    <t xml:space="preserve">KIT CONTRASTADORES PARA FOTO NEGROS X6 </t>
  </si>
  <si>
    <t>KIT CUBETA TRANSPARENTE COLTENE</t>
  </si>
  <si>
    <t xml:space="preserve">KIT DE BAJA EX - 203C Set  Push contra angulo </t>
  </si>
  <si>
    <t xml:space="preserve">LARRY </t>
  </si>
  <si>
    <t>KIT DE BAJA FX CONTRA ANGULO FX22 pestillo NSK ORIGINAL</t>
  </si>
  <si>
    <t>KIT DE BAJA FX CONTRA ANGULO FX23 NSK ORIGINAL</t>
  </si>
  <si>
    <t>KIT DE FRESA STARTER JOTA 1937</t>
  </si>
  <si>
    <t xml:space="preserve">KIT DE PULIDO PARA RESINA PIEZA DE BAJA </t>
  </si>
  <si>
    <t>Kit de pulidores de fieltro</t>
  </si>
  <si>
    <t>KIT DE PULIDORES PARA PORCELANA</t>
  </si>
  <si>
    <t>KIT DE PUNTAS PARA PORCELANA</t>
  </si>
  <si>
    <t>KIT DE REPARACION ANGELUS OPACADOR + ACIDO + SILANO</t>
  </si>
  <si>
    <t>KIT DE Resina FGM (adhesivo 4ml - 4 resinas  + Acido)</t>
  </si>
  <si>
    <t>KIT DE Resina FGM (adhesivo 6ml - 5 resinas  + con fluida y acido de maquira)</t>
  </si>
  <si>
    <t>kit disco soflex + mandril cuatro colores azul blanco</t>
  </si>
  <si>
    <t>KIT Discos soflex 3M 120 DISCOS + MANDRIL + 6 ESPIRALES ESSENCIAL</t>
  </si>
  <si>
    <t xml:space="preserve">GAB VEL  </t>
  </si>
  <si>
    <t>KIT ESPATULAS PARA RESINA</t>
  </si>
  <si>
    <t>7 azul 1 dorado</t>
  </si>
  <si>
    <t xml:space="preserve">KIT ESPECIAL TDV FOTO KIT SURTIDO </t>
  </si>
  <si>
    <t xml:space="preserve">KIT ESTUDIANTIL PIEZA ALTA PANA MAX PLUS 2 estandar CON 4 IRRIGACION, PUSH, VALVULA ANTIRETORNO con 30 de torque +  kit BAJA FX23(push botton) NSK + cartuchera + bono 15% de descuento en aceite </t>
  </si>
  <si>
    <t xml:space="preserve">LA MUELA </t>
  </si>
  <si>
    <t>kit estudiantil SILICONA 1 pesada x 200ML  + 1 liviana ZHERMACK</t>
  </si>
  <si>
    <t>GABRIEL VELASQUEZ $142000</t>
  </si>
  <si>
    <t>Silic KIT</t>
  </si>
  <si>
    <t>RAMON market masdental EURODENT</t>
  </si>
  <si>
    <t>kit estudiantil SILICONA 2 pesadas x 200ML  y 1 liviana ZHERMACK</t>
  </si>
  <si>
    <t>RAMON $243700 //MARKET 241000 // CESAR $265900 // eurodent $246351</t>
  </si>
  <si>
    <t xml:space="preserve">KIT Estudiantil Silicona SPEEDEX COLTENE </t>
  </si>
  <si>
    <t>108048 x 30</t>
  </si>
  <si>
    <t>KIT Fresas FG AZDENT</t>
  </si>
  <si>
    <t>KIT Fresas para pulir Amarilla AZDENT</t>
  </si>
  <si>
    <t>KIT Fresas para pulir ROJAS AZDENT</t>
  </si>
  <si>
    <t>kit GRANDE SILICONA PESADA ZHERMACK 900GM  sola</t>
  </si>
  <si>
    <t>masdental $584900</t>
  </si>
  <si>
    <t>RAMON masdental EURODENT</t>
  </si>
  <si>
    <t xml:space="preserve">kit GRANDE SILICONA PESADA 900GM + 2  livianas ZHERMACK </t>
  </si>
  <si>
    <t>masdental $584899</t>
  </si>
  <si>
    <t>kit Grapa BRINKER COLTENE X6 SUBGINGIVAL</t>
  </si>
  <si>
    <t>kit Grapa FIESTA COLTENE CON ALAS X 9</t>
  </si>
  <si>
    <t>kit Grapa FIESTA COLTENE SIN ALAS X 9</t>
  </si>
  <si>
    <t>PEDI A ULTRAD</t>
  </si>
  <si>
    <t xml:space="preserve">KIT INFANTIL HIGIENE ORAL </t>
  </si>
  <si>
    <t>KIT ORTODONCIA CON CREMA</t>
  </si>
  <si>
    <t xml:space="preserve"> febrero 2025 ZENDENT$10932  DENTLIN $9314 PROQUD $9089</t>
  </si>
  <si>
    <t>revisar 30</t>
  </si>
  <si>
    <t>KIT ORTODONCIA SIN CREMA</t>
  </si>
  <si>
    <t>febrero 2025 ZENDENT$9593 DENTLIN$7557</t>
  </si>
  <si>
    <t>KIT P60 Caja  3M + adhesivo</t>
  </si>
  <si>
    <t>kit para encerado colores NEON caja x 4 BONDENT</t>
  </si>
  <si>
    <t>kit para encerado colores NEUTRO caja x 4 BONDENT</t>
  </si>
  <si>
    <t>kit para encerado colores PASTEL caja x 4 BONDENT</t>
  </si>
  <si>
    <t>KIT PIEZA DE BAJA PIEZA MICROMOTOR PUNTA  RECTA</t>
  </si>
  <si>
    <t xml:space="preserve">BORRAR </t>
  </si>
  <si>
    <t>KIT PINCELES TEXTURIZADORES PARA RESINA</t>
  </si>
  <si>
    <t xml:space="preserve">GRANDE: 1 BLANCO 6 GRIS 1 NEGRO PEQUEÑO: NEGRO 23 BLANCO 21 </t>
  </si>
  <si>
    <t>KIT pulido amalgama</t>
  </si>
  <si>
    <t>KIT pulido amalgama e inscrustaciones metálicas</t>
  </si>
  <si>
    <t>Kit Pulido DISILICATO RA X5 JOTA 1440</t>
  </si>
  <si>
    <t>walbin PUL</t>
  </si>
  <si>
    <t>JOTA</t>
  </si>
  <si>
    <t xml:space="preserve">Kit pulido microdont con mandril </t>
  </si>
  <si>
    <t xml:space="preserve">KIT PULIDO PORCELANA RA 2112 </t>
  </si>
  <si>
    <t xml:space="preserve">KIT PULIDO RESINA CON ARKANZAS AZDENT </t>
  </si>
  <si>
    <t>Kit Pulido resina diamante espiral RA X2 1921 JOTA</t>
  </si>
  <si>
    <t>NEW $103,411  / JOTA $97750</t>
  </si>
  <si>
    <t>JOTA New Stetic</t>
  </si>
  <si>
    <t>Kit Pulido resina diamante pulidores siliconados 1899 JOTA</t>
  </si>
  <si>
    <t>NEW $84500 / JOTA</t>
  </si>
  <si>
    <t xml:space="preserve">KIT PULIDO RESINA RA 1112 </t>
  </si>
  <si>
    <t>Kit Pulido zirconio RA X5 JOTA 1440 o 1441</t>
  </si>
  <si>
    <t>JOTA  New Stetic</t>
  </si>
  <si>
    <t>KIT PULIDO ZIRCONIO RA3112</t>
  </si>
  <si>
    <t>KIT PUNTAS DE SILICONA PARA ACRILICO HP 0412</t>
  </si>
  <si>
    <t>Kit Resinas estudiantil Zafira X 6 jeringas + acido 10ml + adhesivo 8ml</t>
  </si>
  <si>
    <t>Kit Resinas estudiantil Zafira X 7 JERINGAS</t>
  </si>
  <si>
    <t>Kit silicona Pesada + liviana  COLTENE president</t>
  </si>
  <si>
    <t>kit silicona pesada 400  y Liviana Panasil</t>
  </si>
  <si>
    <t>JULVIDENT panasil</t>
  </si>
  <si>
    <t>kit silicona pesada 900  + 2 Livianas Panasil</t>
  </si>
  <si>
    <t>KIT T ECONOM A1 A2 A3 y B2 + adhesivo + acido</t>
  </si>
  <si>
    <t xml:space="preserve">KIT TENSIOMETRO Y FONENDO DOBLE </t>
  </si>
  <si>
    <t>AQUILES</t>
  </si>
  <si>
    <t>KIT TETRIC X 4 JERINGAS</t>
  </si>
  <si>
    <t>KIT UNIDAD odontologia</t>
  </si>
  <si>
    <t>KIT Universitario Maletin 3M</t>
  </si>
  <si>
    <t>kit X 8 fresas diatech OPERATORIA</t>
  </si>
  <si>
    <t>Gabriel Velasquez ULTRADENTAL</t>
  </si>
  <si>
    <t>kit X 8 Fresas diatech PULIDO</t>
  </si>
  <si>
    <t>kit X 8 Fresas diatech REHABILITACION</t>
  </si>
  <si>
    <t>Kit zirconio pequeno HP X7</t>
  </si>
  <si>
    <t xml:space="preserve">JOTA </t>
  </si>
  <si>
    <t>Kits de pulido de porcelana  AZDENT HP 0312</t>
  </si>
  <si>
    <t>KN95 TAPABOCAS 3D X20 EMPAQUE INDIVIDUAL</t>
  </si>
  <si>
    <t>CENTRO HOYOSTOOL mundial</t>
  </si>
  <si>
    <t>KN95 TAPABOCAS blanco x30 / x50</t>
  </si>
  <si>
    <t>mundial $400</t>
  </si>
  <si>
    <t>mundial</t>
  </si>
  <si>
    <t>KN95 TAPABOCAS X10 EMPAQUE INDIVIDUAL</t>
  </si>
  <si>
    <t>mundial $9000 x20u</t>
  </si>
  <si>
    <t xml:space="preserve">koolineR GC  REBASE </t>
  </si>
  <si>
    <t>promo $380.100</t>
  </si>
  <si>
    <t xml:space="preserve">LA MUELA - masdental </t>
  </si>
  <si>
    <t xml:space="preserve">koolineR GC  REBASE PORCION </t>
  </si>
  <si>
    <t>Lampara 1 segundo azdent tipo woopecker</t>
  </si>
  <si>
    <t>LAMPARA CURINGPEN CAJA BLANCA eighteeth</t>
  </si>
  <si>
    <t>LAMPARA CURINGPEN-E CAJA AZUL eighteeth</t>
  </si>
  <si>
    <t>LAMPARA DE FOTOCURADO I-LED  FIBRA plastica woopecker</t>
  </si>
  <si>
    <t>LAMPARA DE FOTOCURADO I-LED MAX FIBRA METAL woopecker</t>
  </si>
  <si>
    <t>Lampara led Valo Grand</t>
  </si>
  <si>
    <t>gabriel vel $5.000.000 pluss $6.173.000</t>
  </si>
  <si>
    <t>gabriel velasquez pluss dent</t>
  </si>
  <si>
    <t xml:space="preserve">Lampara metalica LED Caja  Blanca </t>
  </si>
  <si>
    <t>BOGOTA</t>
  </si>
  <si>
    <t xml:space="preserve">Lampara pasta LED Caja  Blanca </t>
  </si>
  <si>
    <t>LAPIZ PARA PIEZA DE MANO</t>
  </si>
  <si>
    <t>LC Block-out Resin ultradent</t>
  </si>
  <si>
    <t>LECHADA DE CALCIO SIDCAL X 500 ML prodont</t>
  </si>
  <si>
    <t xml:space="preserve">LENTULO # 25 X UNIDAD </t>
  </si>
  <si>
    <t xml:space="preserve">LENTULO # 30 X UNIDAD </t>
  </si>
  <si>
    <t xml:space="preserve">LENTULO # 40 X UNIDAD </t>
  </si>
  <si>
    <t>Lija  180 caja x 50</t>
  </si>
  <si>
    <t>Lija  400 COD caja x 50</t>
  </si>
  <si>
    <t>Lija de Papel COLORES EPITEX</t>
  </si>
  <si>
    <t>VERDE  1 MORADA 4 AMARILLA 4</t>
  </si>
  <si>
    <t>Lima hedstroem primera serie 25mm</t>
  </si>
  <si>
    <t>Lima hedstroem segunda serie 25mm</t>
  </si>
  <si>
    <t>Limas Fanta preserie en 21mm</t>
  </si>
  <si>
    <t>Limas Fanta preserie en 25mm</t>
  </si>
  <si>
    <t>Limas Fanta preserie en 31mm</t>
  </si>
  <si>
    <t>Limas Fanta primera en 21mm</t>
  </si>
  <si>
    <t>Limas Fanta primera en 25mm</t>
  </si>
  <si>
    <t>Limas Fanta primera en 31mm</t>
  </si>
  <si>
    <t xml:space="preserve">Limas Fanta primera y segunda serie estuche </t>
  </si>
  <si>
    <t>Limas Fanta segunda en 21mm</t>
  </si>
  <si>
    <t>Limas Fanta segunda en 25mm</t>
  </si>
  <si>
    <t>Limas Fanta segunda en 31mm</t>
  </si>
  <si>
    <t>LIMAS FLEXOFILE 21mm 1ra serie</t>
  </si>
  <si>
    <t>LIMAS FLEXOFILE 25mm # 15</t>
  </si>
  <si>
    <t>LIMAS FLEXOFILE 25mm # 20</t>
  </si>
  <si>
    <t>LIMAS FLEXOFILE 25mm # 25</t>
  </si>
  <si>
    <t>LIMAS FLEXOFILE 25mm # 30</t>
  </si>
  <si>
    <t>LIMAS FLEXOFILE 25mm # 35</t>
  </si>
  <si>
    <t>LIMAS FLEXOFILE 25mm # 40</t>
  </si>
  <si>
    <t>LIMAS FLEXOFILE 25mm 1ra serie</t>
  </si>
  <si>
    <t>LIMAS FLEXOFILE 31mm # 15</t>
  </si>
  <si>
    <t>LIMAS FLEXOFILE 31mm # 20</t>
  </si>
  <si>
    <t>LIMAS FLEXOFILE 31mm # 25</t>
  </si>
  <si>
    <t>LIMAS FLEXOFILE 31mm # 30</t>
  </si>
  <si>
    <t>LIMAS FLEXOFILE 31mm # 35</t>
  </si>
  <si>
    <t>LIMAS FLEXOFILE 31mm # 40</t>
  </si>
  <si>
    <t>LIMAS FLEXOFILE 31mm 1ra serie</t>
  </si>
  <si>
    <t>LIMAS K-FILE 21mm 2da serie</t>
  </si>
  <si>
    <t>LIMAS K-FILE 25mm 2da serie</t>
  </si>
  <si>
    <t>LIMAS K-FILE 31mm 2da serie</t>
  </si>
  <si>
    <t>Limas K-file prime line  COLTENE #6 25mm CJ X6</t>
  </si>
  <si>
    <t>Limas K-file prime line COLTENE  #8 25mm CJ X6</t>
  </si>
  <si>
    <t>Limas K-file prime line COLTENE # 10 25mm CJ X6</t>
  </si>
  <si>
    <t>Limas K-file prime line COLTENE #15-40 25mm CJ X6</t>
  </si>
  <si>
    <t>Limas K-file prime lineCOLTENE  #45-80 25mm CJ X6</t>
  </si>
  <si>
    <t>LIMAS M-ACCESS 25mm  # 15</t>
  </si>
  <si>
    <t>LIMAS M-ACCESS 25mm # 20</t>
  </si>
  <si>
    <t>LIMAS M-ACCESS 25mm # 25</t>
  </si>
  <si>
    <t>LIMAS M-ACCESS 25mm # 30</t>
  </si>
  <si>
    <t>LIMAS M-ACCESS 25mm # 35</t>
  </si>
  <si>
    <t>LIMAS M-ACCESS 25mm # 40</t>
  </si>
  <si>
    <t>LIMAS M-ACCESS 25mm 1ra serie</t>
  </si>
  <si>
    <t>LIMAS M-ACCESS 25mm 2da serie</t>
  </si>
  <si>
    <t>LIMAS M-ACCESS 31mm 2da serie</t>
  </si>
  <si>
    <t>LIMAS PRESERIE  # 21 en 10</t>
  </si>
  <si>
    <t>LIMAS PRESERIE  # 21 en 6</t>
  </si>
  <si>
    <t>LIMAS PRESERIE  # 21 en 8</t>
  </si>
  <si>
    <t>LIMAS PRESERIE  # 21 juego  6 - 8 - 10</t>
  </si>
  <si>
    <t>LIMAS PRESERIE  # 25 en  6</t>
  </si>
  <si>
    <t>LIMAS PRESERIE  # 25 en 10</t>
  </si>
  <si>
    <t>LIMAS PRESERIE  # 25 en 8</t>
  </si>
  <si>
    <t>LIMAS PRESERIE  # 25 juego  6 - 8 - 10</t>
  </si>
  <si>
    <t>LIMAS PRESERIE  # 31  en 6</t>
  </si>
  <si>
    <t>LIMAS PRESERIE  # 31  en 8</t>
  </si>
  <si>
    <t>LIMAS PRESERIE  # 31 en 10</t>
  </si>
  <si>
    <t>LIMAS PRESERIE  # 31 juego  6 - 8 - 10</t>
  </si>
  <si>
    <t>LIMAS PRESERIE M-ACCESS #06 en 21mm</t>
  </si>
  <si>
    <t xml:space="preserve">LIMAS PRESERIE M-ACCESS #06 en 25mm </t>
  </si>
  <si>
    <t>LIMAS PRESERIE M-ACCESS #06 en 31mm</t>
  </si>
  <si>
    <t>LIMAS PRESERIE M-ACCESS #08 en 21mm</t>
  </si>
  <si>
    <t>LIMAS PRESERIE M-ACCESS #08 en 25mm</t>
  </si>
  <si>
    <t>LIMAS PRESERIE M-ACCESS #08 en 31mm</t>
  </si>
  <si>
    <t xml:space="preserve">LIMAS PRESERIE M-ACCESS #10 en 21mm </t>
  </si>
  <si>
    <t xml:space="preserve">LIMAS PRESERIE M-ACCESS #10 en 25mm </t>
  </si>
  <si>
    <t>LIMAS PRESERIE M-ACCESS #10 en 31mm</t>
  </si>
  <si>
    <t>LIMAS PRESERIE M-ACCESS 21mm juego 06-08-10</t>
  </si>
  <si>
    <t>LIMAS PRESERIE M-ACCESS 25mm juego 06-08-10</t>
  </si>
  <si>
    <t>LIMAS PRESERIE M-ACCESS 31mm juego 06-08-10</t>
  </si>
  <si>
    <t xml:space="preserve">limas Pro Taper  dentsplay </t>
  </si>
  <si>
    <t>limas wave one gold dentsplay</t>
  </si>
  <si>
    <t>Limpiador de aparatos  para ortodoncia y protesis PROQUIDENT CAJA X 12 Sobres</t>
  </si>
  <si>
    <t xml:space="preserve">Limpido para aseo desinfectante </t>
  </si>
  <si>
    <t>Liner hidroxido de calcio pasta pasta coltene protector pulpa</t>
  </si>
  <si>
    <t>LIQUIDO REVELADOR + FIJADOR OJO (NO VENDER SOLO)</t>
  </si>
  <si>
    <t>aquiles / monica - jorge</t>
  </si>
  <si>
    <t>llave ortodoncia por paquete</t>
  </si>
  <si>
    <t>importado $9402 // Daza $8,000 // Padilla $9,200 // Abraham $12,400</t>
  </si>
  <si>
    <t xml:space="preserve">llave ortodoncia por unidad </t>
  </si>
  <si>
    <t>Localizador de Apice</t>
  </si>
  <si>
    <t>importada</t>
  </si>
  <si>
    <t>loseta de vidrio X UNIDAD</t>
  </si>
  <si>
    <t>AQUILES 2142</t>
  </si>
  <si>
    <t>aquiles Bertulio</t>
  </si>
  <si>
    <t xml:space="preserve">Lupa 3,5 bio art </t>
  </si>
  <si>
    <t>promo $176.800 mayo/25</t>
  </si>
  <si>
    <t>Lupa ajustable sin luz led alexiño</t>
  </si>
  <si>
    <t>LUPAS VISOR CON  LED Y LENTES</t>
  </si>
  <si>
    <t xml:space="preserve">CENTRO JOSE </t>
  </si>
  <si>
    <t xml:space="preserve">LUXA CROWN </t>
  </si>
  <si>
    <t>LUXACORE</t>
  </si>
  <si>
    <t>macro modelo plastico</t>
  </si>
  <si>
    <t>AQUILES $21932 / DYMA $23800 / Dentmark $25000</t>
  </si>
  <si>
    <t>PEDIR AQUILES</t>
  </si>
  <si>
    <t>AQUILES DYMA</t>
  </si>
  <si>
    <t>malla tarro METRO</t>
  </si>
  <si>
    <t>MANDRIL 3M</t>
  </si>
  <si>
    <t>RAMON importado</t>
  </si>
  <si>
    <t>mandril con Felpa de trapo</t>
  </si>
  <si>
    <t>aqulies $1440</t>
  </si>
  <si>
    <t>MANDRIL CON FELPA TIPO PELUCHE / ALGODON</t>
  </si>
  <si>
    <t>MANDRIL CON FELPA TIPO PELUCHE CONTRANGULO PEQUEÑO</t>
  </si>
  <si>
    <t>MANDRIL DISCO SUPER SNAP CORTO</t>
  </si>
  <si>
    <t>MDS IMPORTADO</t>
  </si>
  <si>
    <t>MANDRIL DISCO SUPER SNAP LARGO</t>
  </si>
  <si>
    <t>mandril para snap max flex</t>
  </si>
  <si>
    <t>MANDRIL PEQUEÑO CONTRA ANGULO</t>
  </si>
  <si>
    <t>IMPORT $625</t>
  </si>
  <si>
    <t>Masterdent IMPORTADO</t>
  </si>
  <si>
    <t xml:space="preserve">MANDRIL PORTA DISCO CON REFUERZO GRANDE </t>
  </si>
  <si>
    <t>IMPORT $945</t>
  </si>
  <si>
    <t xml:space="preserve">Mango delgado SOLO instrumental basico Delta </t>
  </si>
  <si>
    <t>MHE1</t>
  </si>
  <si>
    <t>Mango GRUESO para espejo de DOBLE basico</t>
  </si>
  <si>
    <t>MHC3</t>
  </si>
  <si>
    <t>Mango GRUESO para espejo de SENCILLO basico</t>
  </si>
  <si>
    <t>MHE2</t>
  </si>
  <si>
    <t xml:space="preserve">MANGO PARA ESPEJO COLOR  NEGRO </t>
  </si>
  <si>
    <t xml:space="preserve">MANGO PARA ESPEJO COLOR ROSADO </t>
  </si>
  <si>
    <t xml:space="preserve">MANGUERA CANULA (CAUCHO ASPIRADOR 7X11 LATEX) COD 11508 X METRO </t>
  </si>
  <si>
    <t xml:space="preserve">Marcador plastico caucho instrumental autoclavable </t>
  </si>
  <si>
    <t>IMPORT $7122 BRASIL SOCCI</t>
  </si>
  <si>
    <t>matriz universal kit x 25 unidades</t>
  </si>
  <si>
    <t>soccidentales abraham importado</t>
  </si>
  <si>
    <t>matriz universal kit x 50 unidades</t>
  </si>
  <si>
    <t xml:space="preserve">Maxcem Kerr </t>
  </si>
  <si>
    <t xml:space="preserve">Gabriel Velazquez pluss </t>
  </si>
  <si>
    <t>Mecha Mechero</t>
  </si>
  <si>
    <t>SUPER - jorge - aquiles</t>
  </si>
  <si>
    <t>mechero de vidrio</t>
  </si>
  <si>
    <t>aquiles $5000 jorge 3500</t>
  </si>
  <si>
    <t>buscar proveedor</t>
  </si>
  <si>
    <t>aquiles-monica - RAMON-upegui - jorge</t>
  </si>
  <si>
    <t xml:space="preserve">mechero en acero para alochol </t>
  </si>
  <si>
    <t xml:space="preserve">cristian $4300 </t>
  </si>
  <si>
    <t>aquiles-monica - RAMON - jorge</t>
  </si>
  <si>
    <t xml:space="preserve">medidor de alginato </t>
  </si>
  <si>
    <t>DYMA $2380</t>
  </si>
  <si>
    <t>PEDIR? descuento</t>
  </si>
  <si>
    <t>ramon  DYMA</t>
  </si>
  <si>
    <t>medidor de KROMALGIN</t>
  </si>
  <si>
    <t>MESA CAMPER PLASTICA</t>
  </si>
  <si>
    <t>BIO ART JULVIDENT</t>
  </si>
  <si>
    <t>mesa de Coccion pedestal pines ceramicos</t>
  </si>
  <si>
    <t xml:space="preserve">MESA O BANDEJA  DE CCOCCION </t>
  </si>
  <si>
    <t>METAL NPG LABORATORIO</t>
  </si>
  <si>
    <t xml:space="preserve">DYMA </t>
  </si>
  <si>
    <t>Mi Paste GC desensibilizante encia</t>
  </si>
  <si>
    <t>MASDENTAL</t>
  </si>
  <si>
    <t>MI paste Plus GC</t>
  </si>
  <si>
    <t xml:space="preserve">Micro Arenador </t>
  </si>
  <si>
    <t>PRMO MAYO 2025 $550000</t>
  </si>
  <si>
    <t xml:space="preserve">MICROBRUSH micro aplicadores  X 100  Amarillo Azul Verde Morado Blanco </t>
  </si>
  <si>
    <t>NEW STETIC $8330 //  IMPORQ $6000 // DENT$5500</t>
  </si>
  <si>
    <t xml:space="preserve">16 amaillor 16 azul 16 morado 12 blanco 12 verde </t>
  </si>
  <si>
    <t>blanco 12 amarillo 12 fucsia 4</t>
  </si>
  <si>
    <t>New Stetic IMPORQ  DTM</t>
  </si>
  <si>
    <t>Micromotor Champion 3</t>
  </si>
  <si>
    <t>MICROMOTOR PARA LABORATORIO CON LAPIZ</t>
  </si>
  <si>
    <t xml:space="preserve">MICROMOTOR PARA LABORATORIO con pieza de baja </t>
  </si>
  <si>
    <t>MICROMOTOR PARA LABORATORIO Marathon  40,000 RPM</t>
  </si>
  <si>
    <t>Micromotor strong</t>
  </si>
  <si>
    <t xml:space="preserve">Micropunta negro, rojo </t>
  </si>
  <si>
    <t>Mini endoblock maillefer</t>
  </si>
  <si>
    <t>mini endoblock plastico economico</t>
  </si>
  <si>
    <t>MINI RUEDA DE TRAPO BEIGE</t>
  </si>
  <si>
    <t>MISERIUM Enna resina IWS ESTETICA</t>
  </si>
  <si>
    <t>modelin resin 1,5 BISCO modelador de resina</t>
  </si>
  <si>
    <t>promo $77.350 mayo/25</t>
  </si>
  <si>
    <t>Modelo de ivorina FRASACO FG3 adulto</t>
  </si>
  <si>
    <t>DYMA $95200</t>
  </si>
  <si>
    <t>Modelo de ivorina PEDIATRICO</t>
  </si>
  <si>
    <t>Modelo de yeso con dientes de ivorina Adulto Y-560</t>
  </si>
  <si>
    <t>DYMA $41650</t>
  </si>
  <si>
    <t>Aquiles jorge DYMA</t>
  </si>
  <si>
    <t>Modelo de yeso con dientes de ivorina MONTADO EN ARTICULADOR (PEDIATRICO Y ADULTO)</t>
  </si>
  <si>
    <t>Modelo de yeso con dientes de ivorina pediatricos Y-PED</t>
  </si>
  <si>
    <t>modelo patologico con implante # 1</t>
  </si>
  <si>
    <t>modelo patologico con implante # 3</t>
  </si>
  <si>
    <t>Modelo TIPO NISSI ARTICULADOR METALICO DM200</t>
  </si>
  <si>
    <t>Modelo TIPO NISSI ARTICULADOR PLASTICO DM200G</t>
  </si>
  <si>
    <t>Modelos de yeso desdentado edentulo</t>
  </si>
  <si>
    <t>la u $3000 emiro $2700</t>
  </si>
  <si>
    <t>MULTILAB dental la U</t>
  </si>
  <si>
    <t xml:space="preserve">Modelos de yeso PKT </t>
  </si>
  <si>
    <t>la u $4000 emiro $3500</t>
  </si>
  <si>
    <t>Modelos de yeso PKT  con cavidad</t>
  </si>
  <si>
    <t>Modelos de yeso PKT niño</t>
  </si>
  <si>
    <t>Modelos de yeso ROSADO adulto</t>
  </si>
  <si>
    <t>MOMIFAR 7ML MOMIFICANTE PULPAR X 7 ML EUFAR</t>
  </si>
  <si>
    <t>RAMON PRODONT EUFAR</t>
  </si>
  <si>
    <t>MOMIFICANTE PULPAR X 7 ML MOMICIDE</t>
  </si>
  <si>
    <t>MOTOR ELECTRICO con pieza de mano 1.1 Y 1,5</t>
  </si>
  <si>
    <t>MTA  1 Capsula Angelus 0,14g</t>
  </si>
  <si>
    <t>MTA  FILLAPEX Angelus 12g</t>
  </si>
  <si>
    <t>Mufla R 25</t>
  </si>
  <si>
    <t>Sneider</t>
  </si>
  <si>
    <t>Mufla R 30</t>
  </si>
  <si>
    <t>Muflas CAMPANA en bronce 2 depositos 1 Prensita</t>
  </si>
  <si>
    <t xml:space="preserve">Muflas R 15 </t>
  </si>
  <si>
    <t>Muflas R 20</t>
  </si>
  <si>
    <t xml:space="preserve">NASION COMPLETO WHIPMIX  NACIONAL </t>
  </si>
  <si>
    <t xml:space="preserve">PORTILLO </t>
  </si>
  <si>
    <t xml:space="preserve">NASION COMPLETO WHIPMIX ORIGINAL </t>
  </si>
  <si>
    <t>Biodentales</t>
  </si>
  <si>
    <t xml:space="preserve">New foil galon NOVAFOIL </t>
  </si>
  <si>
    <t xml:space="preserve">New foil x LITRO 1000CC </t>
  </si>
  <si>
    <t xml:space="preserve">New-foil  porcion </t>
  </si>
  <si>
    <t>NITIFLEX 25 MAILEFER</t>
  </si>
  <si>
    <t>ramon $111.146</t>
  </si>
  <si>
    <t>novacryl Flow 40gm A1</t>
  </si>
  <si>
    <t>novacryl Flow 40gm A2</t>
  </si>
  <si>
    <t>occlude</t>
  </si>
  <si>
    <t>Occlude aerosol</t>
  </si>
  <si>
    <t>Oclusor Dientes Ivorina</t>
  </si>
  <si>
    <t>Opalecense ENDO 35% no vital jeringa x 1,2gm</t>
  </si>
  <si>
    <t>compre $79.820 gabriel velas $79,800 pluss $83.810</t>
  </si>
  <si>
    <t>Opalustre ultradent pasta para microabrasión</t>
  </si>
  <si>
    <t>pluss $90123 gabriel velasq $122967</t>
  </si>
  <si>
    <t>Optra stick palitos amarillos adhesivos 1 BLISTER</t>
  </si>
  <si>
    <t>Optra stick palitos amarillos adhesivos CAJA X 3 BLISTER</t>
  </si>
  <si>
    <t xml:space="preserve">optradam Ivoclar tela de caucho </t>
  </si>
  <si>
    <t>Optragate Ivoclar  abreboca M - R</t>
  </si>
  <si>
    <t>EMMA $11000  / GABRIEL VEL 11000  / RAMON $10800</t>
  </si>
  <si>
    <t xml:space="preserve">Optragate Ivoclar  abreboca S </t>
  </si>
  <si>
    <t xml:space="preserve">OPTRASCULP ECO </t>
  </si>
  <si>
    <t>ORATEMP Resina Bisacrilica X67GR  A1</t>
  </si>
  <si>
    <t>ORATEMP Resina Bisacrilica X67GR  BLEACH</t>
  </si>
  <si>
    <t xml:space="preserve">organizador CAJA PIMPOLLO metalico color </t>
  </si>
  <si>
    <t>organizador pasta redondo pimpollero fresero plastico</t>
  </si>
  <si>
    <t>aquiles $11900</t>
  </si>
  <si>
    <t>IMPORTADA aquiles</t>
  </si>
  <si>
    <t>Oro EMPUJE 1gm</t>
  </si>
  <si>
    <t>Oro x  1 gramo</t>
  </si>
  <si>
    <t>Oro x  2 gramos</t>
  </si>
  <si>
    <t xml:space="preserve">ITALDEC </t>
  </si>
  <si>
    <t xml:space="preserve">Ortho organizer </t>
  </si>
  <si>
    <t>gac</t>
  </si>
  <si>
    <t>orthocem resina ortodoncia FGM</t>
  </si>
  <si>
    <t>antioq $45000 soccid $ 47000 plus $68000</t>
  </si>
  <si>
    <t>Orthodoncia brackets Mini Standar Royaldent</t>
  </si>
  <si>
    <t>ortodoncia brackets MINI ROTH ECO</t>
  </si>
  <si>
    <t>DAZA $4600 // PADILLA $4900 ORTHO PROF $4200</t>
  </si>
  <si>
    <t>DAZA ABRAHAM PADILLA importada</t>
  </si>
  <si>
    <t>ortodoncia brackets molar</t>
  </si>
  <si>
    <t>ortho professional</t>
  </si>
  <si>
    <t>Ortodoncia Brackets p/molar cd roth 0,22 con hook</t>
  </si>
  <si>
    <t>OVEROL</t>
  </si>
  <si>
    <t>Oxido de aluminio para microarenador 110 micras</t>
  </si>
  <si>
    <t>aquiles $0 / masdental $16,900</t>
  </si>
  <si>
    <t xml:space="preserve">aquiles masdental </t>
  </si>
  <si>
    <t>Oxido de aluminio para microarenador 50 micras</t>
  </si>
  <si>
    <t>aquiles$20000 masdental $22900</t>
  </si>
  <si>
    <t xml:space="preserve">Oxido de zinc 10g </t>
  </si>
  <si>
    <t xml:space="preserve">RAMON PROQUIDENT PRODONT </t>
  </si>
  <si>
    <t>1/4/2027 10/2026</t>
  </si>
  <si>
    <t xml:space="preserve">PAD SUTURA TABLA ROSADA SILICONADA </t>
  </si>
  <si>
    <t>DENTAL LA U ALLERS</t>
  </si>
  <si>
    <t>Palillo de seda dental flosstick  Niño</t>
  </si>
  <si>
    <t xml:space="preserve">Palillo Seda Flosstick Adulto </t>
  </si>
  <si>
    <t>proquident  x20 $3052 zendent x20 $9055</t>
  </si>
  <si>
    <t>ZENDENT proquident</t>
  </si>
  <si>
    <t>Papel Aluminio</t>
  </si>
  <si>
    <t>tropicali - limpiahogar</t>
  </si>
  <si>
    <t>PAPEL CEFALOMETRICO x libro</t>
  </si>
  <si>
    <t>papel de amianto</t>
  </si>
  <si>
    <t>Monica jorge</t>
  </si>
  <si>
    <t>Papel de articular  cuadernillos delgado</t>
  </si>
  <si>
    <t>Papel de articular caja x 12 cuadernillos</t>
  </si>
  <si>
    <t>muela $25126 aquiles 35000</t>
  </si>
  <si>
    <t>RAMON AQUILES la muela</t>
  </si>
  <si>
    <t>papel higienico PAQUETE 12</t>
  </si>
  <si>
    <t>papel parafinado cerafinado mantequilla</t>
  </si>
  <si>
    <t xml:space="preserve">centro </t>
  </si>
  <si>
    <t>PAPEL PH ROLLO POR PORCION 10 CM</t>
  </si>
  <si>
    <t xml:space="preserve">ALLERS </t>
  </si>
  <si>
    <t>PAPEL PH ROLLO X 5 MT</t>
  </si>
  <si>
    <t>PAPELERIA  cauchitos colores pequeños moña</t>
  </si>
  <si>
    <t>PAPELERIA  Cinta  transparente para dispensador</t>
  </si>
  <si>
    <t>PAPELERIA  Cinta ancha transparente para cajas 48x40</t>
  </si>
  <si>
    <t>PAPELERIA  Cinta de enmascarar 18x20</t>
  </si>
  <si>
    <t>PAPELERIA  Cinta de enmascarar 24x20</t>
  </si>
  <si>
    <t xml:space="preserve">PAPELERIA  Cinta de enmascarar gruesa </t>
  </si>
  <si>
    <t xml:space="preserve">PAPELERIA  clic para hojas pequeno x caja </t>
  </si>
  <si>
    <t xml:space="preserve">PAPELERIA  lapiceros X CAJA  Bic </t>
  </si>
  <si>
    <t>PAPELERIA  Marcador borrable edding 361 azul rojo negro</t>
  </si>
  <si>
    <t>CENTRO dollar city</t>
  </si>
  <si>
    <t>PAPELERIA  Marcador Resaltador naranja, amarillo</t>
  </si>
  <si>
    <t>PAPELERIA  Marcador Sharpie negro, fucsia, verde</t>
  </si>
  <si>
    <t>PAPELERIA  para marcar carpeta colgante paquete</t>
  </si>
  <si>
    <t>PAPELERIA  Pega stick</t>
  </si>
  <si>
    <t xml:space="preserve">PAPELERIA  regla flexible linea azul </t>
  </si>
  <si>
    <t>PAPELERIA  TIJERAS PEQUEÑA dolar city</t>
  </si>
  <si>
    <t>PAPELERIA adhesivo para marcar 18X12 MM (SIMCARD)</t>
  </si>
  <si>
    <t>PAPELERIA adhesivo para marcar 38x12 MM</t>
  </si>
  <si>
    <t>PAPELERIA adhesivo para marcar 69 x 35 MM (MARCAR CAJAS INSTRUMENTAL)</t>
  </si>
  <si>
    <t>PAPELERIA adhesivo para marcar 86X42 MM</t>
  </si>
  <si>
    <t>PAPELERIA AZ para archivar tamaño oficio</t>
  </si>
  <si>
    <t xml:space="preserve">PAPELERIA CARPETA COLGANTE 31.5  GANCHO 36 CM </t>
  </si>
  <si>
    <t>PAPELERIA CARTULINA LEGAJADORA AMARILLA PAQUETE</t>
  </si>
  <si>
    <t>PAPELERIA CORRECTOR CINTA FABER CASTELL</t>
  </si>
  <si>
    <t xml:space="preserve">PAPELERIA Cuaderno pequeño de notas </t>
  </si>
  <si>
    <t xml:space="preserve">PAPELERIA DISPENSADOR DE CINTA </t>
  </si>
  <si>
    <t xml:space="preserve">PAPELERIA FOLDER ARGOLLA GRANDE CUENTAS </t>
  </si>
  <si>
    <t>PAPELERIA GRAPADORA</t>
  </si>
  <si>
    <t>PAPELERIA HACER SELLO sin cancelado</t>
  </si>
  <si>
    <t>PAPELERIA LAPIZ</t>
  </si>
  <si>
    <t>PAPELERIA Refuerzo bolitas para hoja</t>
  </si>
  <si>
    <t>PAPELERIA REPUESTO HOJA credito #105 21X28 cm</t>
  </si>
  <si>
    <t>PAPELERIA Resma Papel</t>
  </si>
  <si>
    <t>CENTRO PAPELERIA FERNEY</t>
  </si>
  <si>
    <t>PAPELERIA SACAPUNTA</t>
  </si>
  <si>
    <t>para core  - paracore coltene</t>
  </si>
  <si>
    <t xml:space="preserve">x VCMTO agosto/25 $350 </t>
  </si>
  <si>
    <t>para core  - paracore coltene REPUESTO X 2 JERINGAS</t>
  </si>
  <si>
    <t>PARALELOMETRO MARATHON 103 CON KIT DE PUNTAS BK</t>
  </si>
  <si>
    <t>parapost-endodoncia</t>
  </si>
  <si>
    <t xml:space="preserve">Pasta blanqueadora opalescence tootphast grande </t>
  </si>
  <si>
    <t>Pluss Dent</t>
  </si>
  <si>
    <t xml:space="preserve">Pasta blanqueadora opalescence tootphast pequeña </t>
  </si>
  <si>
    <t>Pasta de Pulir verde zam barra 1/4</t>
  </si>
  <si>
    <t xml:space="preserve">mas dental </t>
  </si>
  <si>
    <t>PASTA DIAMANTADA DIAMOND GLOS TDV</t>
  </si>
  <si>
    <t>abraham - RAMON</t>
  </si>
  <si>
    <t xml:space="preserve">Pasta Diamantada FGM diamond excel </t>
  </si>
  <si>
    <t>antioq $33320 soccid $ 23000 promo 28560 plus $30464</t>
  </si>
  <si>
    <t>PASTA DIAMANTADA UNIVERSAL MAQUIRA</t>
  </si>
  <si>
    <r>
      <rPr>
        <rFont val="Verdana"/>
        <sz val="10.0"/>
      </rPr>
      <t xml:space="preserve">Pasta Profilactica (tutifruti - fresa) </t>
    </r>
    <r>
      <rPr>
        <rFont val="Verdana"/>
        <sz val="10.0"/>
      </rPr>
      <t>TUBO colapsible prodont</t>
    </r>
  </si>
  <si>
    <t>prodont 10144</t>
  </si>
  <si>
    <t>Pasta Profilactica EUFAR TUBO colapsible Detarfar 50gm</t>
  </si>
  <si>
    <t xml:space="preserve">EUFAR </t>
  </si>
  <si>
    <t>Pasta Profilactica EUFAR TUBO DETARFAR GRANDE 345gm</t>
  </si>
  <si>
    <t>Pasta profilactica shine 90g tutty maquira</t>
  </si>
  <si>
    <t>Pasta Profilactica(no tarro)solo TUBO colapsible proquident</t>
  </si>
  <si>
    <t>subio 10534</t>
  </si>
  <si>
    <t xml:space="preserve">pasta zinquenolica GRANDE caja </t>
  </si>
  <si>
    <t xml:space="preserve">marleny dentales ID - aquiles </t>
  </si>
  <si>
    <t>pasta zinquenolica KELL PAST</t>
  </si>
  <si>
    <t>PASTA ZINQUENOLICA KELLYS PASTE GRANDE INDENTAL</t>
  </si>
  <si>
    <t>pasta zinquenolica pequeña</t>
  </si>
  <si>
    <t>1/5/2025 07-2025</t>
  </si>
  <si>
    <t xml:space="preserve">PATTERN RESIN LS GC DURALAY </t>
  </si>
  <si>
    <t>massdental $165000 la muela $148500</t>
  </si>
  <si>
    <t xml:space="preserve">Peeso - PISO  1 </t>
  </si>
  <si>
    <t>Daza $8925</t>
  </si>
  <si>
    <t>abraham RAMON DAZA - IMPORTADA</t>
  </si>
  <si>
    <t>Peeso - PISO  2</t>
  </si>
  <si>
    <t>Peeso - PISO  3</t>
  </si>
  <si>
    <t>Pega Blanca</t>
  </si>
  <si>
    <t>papeleria</t>
  </si>
  <si>
    <t xml:space="preserve">PEGANTE SUPERBONDER </t>
  </si>
  <si>
    <t>CENTRO 40mil hoyost</t>
  </si>
  <si>
    <t>PEGANTE SUPERpega astro tarrito grande</t>
  </si>
  <si>
    <t>PERA DE AIRE</t>
  </si>
  <si>
    <t xml:space="preserve">perborato de sodio </t>
  </si>
  <si>
    <t xml:space="preserve">Periostotomo Buser DELTA </t>
  </si>
  <si>
    <t>P/BUSER</t>
  </si>
  <si>
    <t xml:space="preserve">Periostotomo DELTA </t>
  </si>
  <si>
    <t>P - 15</t>
  </si>
  <si>
    <t xml:space="preserve">Periostotomo PAPAELA ALLEN DELTA </t>
  </si>
  <si>
    <t>PPAEL</t>
  </si>
  <si>
    <t>PIEDRA AZUL BALA GRANDE</t>
  </si>
  <si>
    <t>PIEDRA AZUL CILINDRICA</t>
  </si>
  <si>
    <t>PIEDRA AZUL TRONCOCONICA</t>
  </si>
  <si>
    <t>PIEDRA BLANCA BALA GRANDE</t>
  </si>
  <si>
    <t>PIEDRA BLANCA CILINDRICA</t>
  </si>
  <si>
    <t>PIEDRA BLANCA LENTEJA</t>
  </si>
  <si>
    <t>PIEDRA BLANCA TRONCOCONICA</t>
  </si>
  <si>
    <t>PIEDRA CILINDRICA AZUL EXTRA GRANDE</t>
  </si>
  <si>
    <t>PIEDRA CORAL EXTRA GRUESO</t>
  </si>
  <si>
    <t>Piedra para afilar y pulir instrumental arkansas ARCANSAS</t>
  </si>
  <si>
    <t>Piedra para afilar y pulir instrumental arkansas ARCANSAS HU FRIEDY</t>
  </si>
  <si>
    <t>PIEDRA POMEX GRIS Y BLANCA</t>
  </si>
  <si>
    <t>san jorge agotada AQUILES $4165</t>
  </si>
  <si>
    <t xml:space="preserve">Drogueria san jorge - centro AQUILES SUPER </t>
  </si>
  <si>
    <t>PIEDRA ROSADA BALA GRANDE</t>
  </si>
  <si>
    <t>PIEDRA ROSADA CILINDRICA</t>
  </si>
  <si>
    <t>PIEDRA ROSADA LENTEJA</t>
  </si>
  <si>
    <t xml:space="preserve">PIEDRA ROSADA TRONCOCONICA </t>
  </si>
  <si>
    <t>PIEDRA VERDE BALA GRANDE</t>
  </si>
  <si>
    <t>PIEDRA VERDE CILINDRICA</t>
  </si>
  <si>
    <t>PIEDRA VERDE LENTEJA</t>
  </si>
  <si>
    <t xml:space="preserve">PIEDRA VERDE TRONCOCONICA CAJA </t>
  </si>
  <si>
    <t>PIEDRAS ARKANSAS CILINDRICAS UNIDAD (CY-1)</t>
  </si>
  <si>
    <t>RAMON-jorge-aquiles</t>
  </si>
  <si>
    <t xml:space="preserve">PIEDRAS ARKANSAS CONICA X UNIDAD </t>
  </si>
  <si>
    <t>PIEDRAS ARKANSAS CONICAS DELGADA UNIDAD (CN-1)</t>
  </si>
  <si>
    <t>PIEDRAS ARKANSAS HUEVO UNIDAD (FL-3A)</t>
  </si>
  <si>
    <t>PIEDRAS ARKANSAS LLAMA UNIDAD (FL-2)</t>
  </si>
  <si>
    <t>PIEDRAS ARKANSAS PERA  UNIDAD (RD-1)</t>
  </si>
  <si>
    <t>PIEDRAS ARKANSAS REDONDA UNIDAD</t>
  </si>
  <si>
    <t>PIEZA DE ALTA DINALED ORIGINAL ESTANDAR NSK</t>
  </si>
  <si>
    <t>PIEZA DE ALTA PANA MAX PLUS 2  ORIGINAL NSK</t>
  </si>
  <si>
    <t>pilas 2A y  3A</t>
  </si>
  <si>
    <t>PIMPOLLO ALO COLOR IMPORTADO CH</t>
  </si>
  <si>
    <t>PIMPOLLO CARBURO CHANFER PARA TEMPORALES</t>
  </si>
  <si>
    <t>PIMPOLLO CARBURO CILINDRICO</t>
  </si>
  <si>
    <t>PIMPOLLO CARBURO CONICO</t>
  </si>
  <si>
    <t>Masterdent  IMPORTADA</t>
  </si>
  <si>
    <t>PIMPOLLO CARBURO CONICO DELGADO ARO AZUL</t>
  </si>
  <si>
    <t>PIMPOLLO CARBURO CONO INVERTIDO</t>
  </si>
  <si>
    <t>PIMPOLLO CARBURO CONO INVERTIDO GRANDE TEMPORALES</t>
  </si>
  <si>
    <t>PIMPOLLO CARBURO CONO INVERTIDO PEQUEÑO TEMPORALES</t>
  </si>
  <si>
    <t>PIMPOLLO CARBURO EN BALA</t>
  </si>
  <si>
    <t>PIMPOLLO CARBURO EN PERA</t>
  </si>
  <si>
    <t>PIMPOLLO CARBURO LLAMA</t>
  </si>
  <si>
    <t>PIMPOLLO CARBURO REDONDO</t>
  </si>
  <si>
    <t>Masterdent  IMPORTADO</t>
  </si>
  <si>
    <t>Pimpollo Diamantado HP caja verde x30</t>
  </si>
  <si>
    <t>PIMPOLLO EN  CARBURO TUSGTENO CONICO</t>
  </si>
  <si>
    <t xml:space="preserve">PIMPOLLO TUNGSTENO CONO INVERTIDO ROJO </t>
  </si>
  <si>
    <t xml:space="preserve">Masterdent  </t>
  </si>
  <si>
    <t>PIMPOLLO TUNGSTENO FINO LLAMA</t>
  </si>
  <si>
    <t>PIMPOLLO TUNGSTENO GRANO GRUESO FLAMA GRUESA TUSTENO VERDE</t>
  </si>
  <si>
    <t>PIMPOLLO TUNGSTENO GRANO MEDIO FLAMA DELGADA TUSTENO AZUL</t>
  </si>
  <si>
    <t>PIMPOLLO TUNGSTENO GRANO MEDIO FLAMA GRUESA TUSTENO AZUL</t>
  </si>
  <si>
    <t>PIMPOLLO TUNGSTENO GRANO MEDIO FLAMA GRUESA TUSTENO ROJO</t>
  </si>
  <si>
    <t>PIMPOLLO TUNGSTENO GRANO MEDIO FLAMA MEDIANA TUSTENO AZUL</t>
  </si>
  <si>
    <t xml:space="preserve">PIMPOLLO TUNGSTENO GRANO ROJO FINO FLAMA DELGADA TUSTENO </t>
  </si>
  <si>
    <t>PIMPOLLO TUNGSTENO MEDIO LLAMA</t>
  </si>
  <si>
    <t>PIMPOLLO TUNGSTENO SUPER FINO FLAMA DELGADA AMARILLO TUSTENO</t>
  </si>
  <si>
    <t>PIN DOBLE laboratorio Mecanica dental</t>
  </si>
  <si>
    <t xml:space="preserve">PINCEL blanco Eco Pqte </t>
  </si>
  <si>
    <t xml:space="preserve">PINCEL grande X Pqte </t>
  </si>
  <si>
    <t>Pincel Kollisnky Usa pelo de Martha No. 0</t>
  </si>
  <si>
    <t>Aquiles MASTERDENT</t>
  </si>
  <si>
    <t>Pincel Kollisnky Usa pelo de Martha No. 1 plano</t>
  </si>
  <si>
    <t>Pincel Kollisnky Usa pelo de Martha No. 1R</t>
  </si>
  <si>
    <t>Pincel Kollisnky Usa pelo de Martha No. 2R</t>
  </si>
  <si>
    <t>Pincel Kollisnky Usa pelo de Martha No. 4 PLANO</t>
  </si>
  <si>
    <t>Pincel Kollisnky Usa pelo de Martha No. 4 PUNTA</t>
  </si>
  <si>
    <t xml:space="preserve">Pincel para acido mango </t>
  </si>
  <si>
    <t>PINCEL plano azul #2 Eco</t>
  </si>
  <si>
    <t>PINCEL plano grueso pelo de martha</t>
  </si>
  <si>
    <t>PINES MILIMETRICOS X50 PAQ</t>
  </si>
  <si>
    <t>UPEGUI ramon</t>
  </si>
  <si>
    <t>PINTURA ANTICORRESIVA</t>
  </si>
  <si>
    <t>CENTRO ARCAR</t>
  </si>
  <si>
    <t>PINZA ADSON CON GARRA instrumental DELTA</t>
  </si>
  <si>
    <t>TP42</t>
  </si>
  <si>
    <t>no pedir</t>
  </si>
  <si>
    <t>PINZA ADSON SIN GARRA instrumental DELTA</t>
  </si>
  <si>
    <t>TP41</t>
  </si>
  <si>
    <t xml:space="preserve">Pinza algodonera instrumental basico Delta </t>
  </si>
  <si>
    <t>DP17</t>
  </si>
  <si>
    <t>Pinza ortodontica inox portabracket</t>
  </si>
  <si>
    <t>PISTOLA LUXATEM - VYSALIS</t>
  </si>
  <si>
    <t>ABRAHAM - IMPORTADO - julvident soccidentales</t>
  </si>
  <si>
    <t>pistola para dispensar compule resina</t>
  </si>
  <si>
    <t>RAMON IMPORTADO</t>
  </si>
  <si>
    <t xml:space="preserve">Pistola para dispensar silicona </t>
  </si>
  <si>
    <t>importada soccidentales</t>
  </si>
  <si>
    <t>placa ESSYX</t>
  </si>
  <si>
    <t>$650000 promocion $580,000</t>
  </si>
  <si>
    <t>placa KEYSTONE</t>
  </si>
  <si>
    <t>PLACAS ACETATO DURA 0.4</t>
  </si>
  <si>
    <t>aquiles $1809 / dentmark $2000 / dyma $2500 / GINA $2700</t>
  </si>
  <si>
    <t>aq</t>
  </si>
  <si>
    <t>JORGE-AQUILES  DYMA DTM</t>
  </si>
  <si>
    <t>PLACAS ACETATO DURA 0.6</t>
  </si>
  <si>
    <t>dentmark $2000 /aquiles $2475 / dyma $2500 / GINA $2800</t>
  </si>
  <si>
    <t>det</t>
  </si>
  <si>
    <t>pedir dentmar</t>
  </si>
  <si>
    <t>PLACAS ACETATO DURA 0.8</t>
  </si>
  <si>
    <t>dentmark $2500 /dyma $2500 / aquiles $2994 / GINA $3000</t>
  </si>
  <si>
    <t>PLACAS DE LATEX BLANDA 0,4</t>
  </si>
  <si>
    <r>
      <rPr>
        <rFont val="Verdana"/>
        <b/>
        <sz val="10.0"/>
      </rPr>
      <t>DENTMARK $1800</t>
    </r>
    <r>
      <rPr>
        <rFont val="Verdana"/>
        <sz val="10.0"/>
      </rPr>
      <t xml:space="preserve"> Dyma $2023  GINA $2400   AQUILES $3213 </t>
    </r>
  </si>
  <si>
    <t>JORGE-AQUILES  DYMA</t>
  </si>
  <si>
    <t>PLACAS DE LATEX BLANDA 0,6</t>
  </si>
  <si>
    <r>
      <rPr>
        <rFont val="Verdana"/>
        <b/>
        <sz val="10.0"/>
      </rPr>
      <t>DENTMARK $2000</t>
    </r>
    <r>
      <rPr>
        <rFont val="Verdana"/>
        <sz val="10.0"/>
      </rPr>
      <t xml:space="preserve">  Dyma $2142 GINA $2500  AQUILES $3213 </t>
    </r>
  </si>
  <si>
    <t>PLACAS DE LATEX BLANDA 0,8</t>
  </si>
  <si>
    <r>
      <rPr>
        <rFont val="Verdana"/>
        <b/>
        <sz val="10.0"/>
      </rPr>
      <t>DENTMAK $2200</t>
    </r>
    <r>
      <rPr>
        <rFont val="Verdana"/>
        <sz val="10.0"/>
      </rPr>
      <t xml:space="preserve"> Dyma $2261  GINA $2600  AQUILES $3213 </t>
    </r>
  </si>
  <si>
    <t>agotado dentamrt</t>
  </si>
  <si>
    <t>PLANTILLA PARA CARILLAS VENEER</t>
  </si>
  <si>
    <t>Plata EMPUJE  1gm</t>
  </si>
  <si>
    <t>Plata Paladio x  1gm</t>
  </si>
  <si>
    <t>Platina de fox metalica</t>
  </si>
  <si>
    <t>aquiles $10,710</t>
  </si>
  <si>
    <t>platina de fox plastica</t>
  </si>
  <si>
    <t>PLATINA PARA ARTICULADOR DE IMANES</t>
  </si>
  <si>
    <r>
      <rPr>
        <rFont val="Verdana"/>
        <sz val="10.0"/>
      </rPr>
      <t xml:space="preserve">platinas para articulador, bolsa por </t>
    </r>
    <r>
      <rPr>
        <rFont val="Verdana"/>
        <b/>
        <sz val="10.0"/>
      </rPr>
      <t>PQTE 10 pares</t>
    </r>
  </si>
  <si>
    <t>aquiles $3094 dyma $2737</t>
  </si>
  <si>
    <t>PEDIR DYMA modelo de platinas</t>
  </si>
  <si>
    <t>aquiles jorge DYMA</t>
  </si>
  <si>
    <t>POLAINAS ZAPATOS</t>
  </si>
  <si>
    <t>(ENE 25) MUNDIAL pqt x 50 $14,000// BIOSALUD pqt x 50 $14.000</t>
  </si>
  <si>
    <t>BIOSALUD MUNDIAL</t>
  </si>
  <si>
    <t>POLVO PROFI JET 120 GR PROQUIDENT</t>
  </si>
  <si>
    <t>Porta Adhesivo</t>
  </si>
  <si>
    <t xml:space="preserve">PORTA CEPILLO POTE TUBO PLASTICO </t>
  </si>
  <si>
    <t xml:space="preserve">OXXI zendent </t>
  </si>
  <si>
    <t xml:space="preserve">porta cera en aluminio </t>
  </si>
  <si>
    <t>aquiles monica ramon</t>
  </si>
  <si>
    <t>PORTA CONOS</t>
  </si>
  <si>
    <t>porta eyector</t>
  </si>
  <si>
    <t>Porta fresa para contra angulo o pieza de baja</t>
  </si>
  <si>
    <t>Alfredo</t>
  </si>
  <si>
    <t>PORTA INSTRUMENTAL PLASTICO</t>
  </si>
  <si>
    <t>OXXI zendent importado</t>
  </si>
  <si>
    <t>PORTA LIJA</t>
  </si>
  <si>
    <t>Portamatriz instrumental Delta</t>
  </si>
  <si>
    <t>Poste fibra de vidrio amarillo en blister x5</t>
  </si>
  <si>
    <t>Poste fibra de vidrio Angelus EXACTO # 0,5</t>
  </si>
  <si>
    <t>Poste fibra de vidrio Angelus EXACTO # 1</t>
  </si>
  <si>
    <t>Poste fibra de vidrio Angelus REFORPOST</t>
  </si>
  <si>
    <t>Poste fibra de vidrio cuadrado</t>
  </si>
  <si>
    <t>Poste fibra de vidrio kit cuadrado completo con fresas</t>
  </si>
  <si>
    <t>Poste fibra de vidrio REDONDO</t>
  </si>
  <si>
    <t>POSTE FIBRA VIDRIO TENAX COLTENE</t>
  </si>
  <si>
    <t>POSTE TITANIO TENAX COLTENE</t>
  </si>
  <si>
    <t>negro 7 blanco 12</t>
  </si>
  <si>
    <t>Prensa para 1 mufla</t>
  </si>
  <si>
    <t xml:space="preserve">Monica AQUILES </t>
  </si>
  <si>
    <t xml:space="preserve">Prensa para 2 muflas </t>
  </si>
  <si>
    <t xml:space="preserve">Primma art 7 gr FGM - visacril - visalis  Color A1 </t>
  </si>
  <si>
    <t>SOCCID 68300 plus $68000</t>
  </si>
  <si>
    <t>Primma art 7 gr FGM - visacril - visalis  Color A2</t>
  </si>
  <si>
    <t>1/3/2025 01-2026</t>
  </si>
  <si>
    <t>Primma art 7 gr FGM - visacril - visalis  Color-Bleach</t>
  </si>
  <si>
    <t>Primma art 75gr FGM - visacril - visalis  Color-Bleach</t>
  </si>
  <si>
    <t>plus $272000</t>
  </si>
  <si>
    <t xml:space="preserve">probeta de cristal vidrio </t>
  </si>
  <si>
    <r>
      <rPr>
        <rFont val="Verdana"/>
        <sz val="10.0"/>
      </rPr>
      <t xml:space="preserve">probeta plastica tipo cristal  </t>
    </r>
    <r>
      <rPr>
        <rFont val="Verdana"/>
        <b/>
        <sz val="10.0"/>
      </rPr>
      <t>PQTE X 10</t>
    </r>
  </si>
  <si>
    <t>Profijet</t>
  </si>
  <si>
    <t>imporquirurgica $90,000 importado $52300</t>
  </si>
  <si>
    <t xml:space="preserve">PROTECTOR DE CEPILLO </t>
  </si>
  <si>
    <t>Protector de Jeringa TRIPLE x paquete</t>
  </si>
  <si>
    <t>RAMON quirudent</t>
  </si>
  <si>
    <t>Protector de lampara naranja</t>
  </si>
  <si>
    <t>PULIDOR AZDENT ESPIRAL SHAPEWARD POLISHERS KIT X 3</t>
  </si>
  <si>
    <t>PULIDOR AZDENT ESPIRAL SHAPEWARD POLISHERS KIT X 6</t>
  </si>
  <si>
    <t xml:space="preserve">PULIDOR BALA BEIGE GRANO FINO </t>
  </si>
  <si>
    <t>Masterdent AQUILES importado</t>
  </si>
  <si>
    <t>PULIDOR BALA GRIS GRANO GRUESO</t>
  </si>
  <si>
    <t xml:space="preserve">PULIDOR BALA VERDE GRANO MEDIANO </t>
  </si>
  <si>
    <t>PULIDOR DIATECH SHAPEWARD coltene POLISHERS  KIT X 2  espiral</t>
  </si>
  <si>
    <t>PEDI A ULTRAD 5</t>
  </si>
  <si>
    <t>PULIDOR EN LLAMA GRANO EXTRA GRUESO ROJO</t>
  </si>
  <si>
    <t>PULIDOR EN LLAMA GRANO FINO AMARILLO</t>
  </si>
  <si>
    <t>PULIDOR EN LLAMA GRANO GRUESO GRIS</t>
  </si>
  <si>
    <t>PULIDOR EN LLAMA GRANO MEDIANO VERDE</t>
  </si>
  <si>
    <t>PULIDOR EN PUNTA AMARILLO GRANO FINO</t>
  </si>
  <si>
    <t>PULIDOR EN PUNTA GRIS GRANO GRUESO</t>
  </si>
  <si>
    <t>PULIDOR EN PUNTA VERDE GRANO MEDIANO</t>
  </si>
  <si>
    <t>PULIDOR HONGO GRANO  GRUESO GRIS</t>
  </si>
  <si>
    <t>PULIDOR HONGO GRANO FINO AMARILLO</t>
  </si>
  <si>
    <t>PULIDOR HONGO GRANO MEDIANO VERDE</t>
  </si>
  <si>
    <t xml:space="preserve">pulidores de fieltro alpino 3mm pequeños pulir </t>
  </si>
  <si>
    <t xml:space="preserve">pulidores de fieltro alpino 5mm pequeños pulir </t>
  </si>
  <si>
    <t>PULIDORES PARA FLEXIBLES - Azul Grano Fino BALA</t>
  </si>
  <si>
    <t>PULIDORES PARA FLEXIBLES - Gris Grano Grueso BALA</t>
  </si>
  <si>
    <t>PULIDORES PARA FLEXIBLES - Rosado Grano Medio BALA</t>
  </si>
  <si>
    <t xml:space="preserve">PUNTA CAVITRON </t>
  </si>
  <si>
    <t>punta de Pulido one gloss Conica</t>
  </si>
  <si>
    <t>punta de pulido one gloss Copa</t>
  </si>
  <si>
    <t xml:space="preserve">punta de pulido one gloss Lenteja </t>
  </si>
  <si>
    <t>Punta intraoral</t>
  </si>
  <si>
    <t xml:space="preserve">punta Jeringa TRIPLE plastica </t>
  </si>
  <si>
    <t>aquiles abraham</t>
  </si>
  <si>
    <t>punta Jeringa TRIPLE plastica x paquete</t>
  </si>
  <si>
    <t>IMPORT $48978</t>
  </si>
  <si>
    <t xml:space="preserve">punta metalica Jeringa TRIPLE </t>
  </si>
  <si>
    <t>IMPORT $1932</t>
  </si>
  <si>
    <t xml:space="preserve">hector aquiles </t>
  </si>
  <si>
    <t>punta mezcladora cafes para duo link X UNIDAD</t>
  </si>
  <si>
    <t>punta mezcladoras amarillas</t>
  </si>
  <si>
    <t>abraham - ramon - julvident</t>
  </si>
  <si>
    <t xml:space="preserve">punta mezcladoras Azul naranja por dentro visalis </t>
  </si>
  <si>
    <t>punta mezcladoras blanca</t>
  </si>
  <si>
    <t>punta mezcladoras CUADRADAS NUEVAS TRANSP AZUL</t>
  </si>
  <si>
    <t>punta mezcladoras Roja</t>
  </si>
  <si>
    <t>promo $1594 mayo/25</t>
  </si>
  <si>
    <t>punta mezcladoras verdes</t>
  </si>
  <si>
    <t>Puntas de Papel 1ra  SERIE</t>
  </si>
  <si>
    <t>DAZA $19278 RAMON $18903 abraham $14530  SOCCID #13800</t>
  </si>
  <si>
    <t>ABRAHAM RAMON Daza SOCCIDENTALES</t>
  </si>
  <si>
    <t>Puntas de Papel 2da SERIE</t>
  </si>
  <si>
    <t xml:space="preserve">puntas delgada intraoral para duo link </t>
  </si>
  <si>
    <t xml:space="preserve">PUNTAS PARA PRIMMA ART AZULES CORTAS INDIVIDUAL </t>
  </si>
  <si>
    <t>PUNTAS PARA PRIMMA ART AZULES CORTAS PAQUETE X 20</t>
  </si>
  <si>
    <t>Puntas scaler  x 5 puntas</t>
  </si>
  <si>
    <t>Puntas scaler  x UNIDAD</t>
  </si>
  <si>
    <t>quical dycal</t>
  </si>
  <si>
    <t>GAB VEL</t>
  </si>
  <si>
    <t>RADIOGRAFIA AIR TECHNIQUES DIGITAL</t>
  </si>
  <si>
    <t>Radiografia con iman #2</t>
  </si>
  <si>
    <t>Radiografia KODAK X CAJA CARESTREAM</t>
  </si>
  <si>
    <t>RAMON la muela produser</t>
  </si>
  <si>
    <t>RADIOGRAFIA PELICULA FOSFORO ECONOMICA DIGITAL</t>
  </si>
  <si>
    <t>RADIOGRAFIAS PARA NIÑOS</t>
  </si>
  <si>
    <t>RATONCITOS CAJA X 72</t>
  </si>
  <si>
    <t>zendet x96 $52739 DYMA X 72 $41650</t>
  </si>
  <si>
    <t>ZENDENT DENTOLINE DYMA</t>
  </si>
  <si>
    <t>RATONCITOS UNIDAD</t>
  </si>
  <si>
    <t xml:space="preserve">RAYOS X PARED </t>
  </si>
  <si>
    <t xml:space="preserve">RAYOS X PORTATIL </t>
  </si>
  <si>
    <t>RC prep  jeringa caja x 5</t>
  </si>
  <si>
    <t>abraham ramon</t>
  </si>
  <si>
    <t>Recipiente familiar  1.8 litros O 3 rimo</t>
  </si>
  <si>
    <t>Recipiente redondo TAPER hermetico  mini lujo</t>
  </si>
  <si>
    <t>registro mordida futar clear TRANSPARENTE X unidad silicona</t>
  </si>
  <si>
    <t>silic REG MORD TRANSP</t>
  </si>
  <si>
    <t xml:space="preserve">4 jun / 9 oct </t>
  </si>
  <si>
    <t>registro mordida futar D silicona</t>
  </si>
  <si>
    <t>silic REG MORD</t>
  </si>
  <si>
    <t>Registro mordida obite DMG SILICONA</t>
  </si>
  <si>
    <t>Regular COLTENE silicona medium</t>
  </si>
  <si>
    <t>silic REGULAR</t>
  </si>
  <si>
    <t>Regular DMG  silicona medium Silagum</t>
  </si>
  <si>
    <t>REGULAR PANASIL Silicona</t>
  </si>
  <si>
    <t>promo $77350 mayo/25</t>
  </si>
  <si>
    <t xml:space="preserve">Regular ZHERMACK silicona </t>
  </si>
  <si>
    <t>euro $109044</t>
  </si>
  <si>
    <t>Rejillas PAQUETE X 12</t>
  </si>
  <si>
    <t>aquiles 6664</t>
  </si>
  <si>
    <t xml:space="preserve">RELIX U 2OO </t>
  </si>
  <si>
    <t>GABRIEL VELAZQUEZ XM $414.  /// MARKET XM$409.  /// CESAR 450 /// POPAY $415 /// VTA PUBLIC 489</t>
  </si>
  <si>
    <t xml:space="preserve">GABRIEL VELAZ MARKET MASDENTAL RAMON </t>
  </si>
  <si>
    <t>Relyx Ultimate Translucido</t>
  </si>
  <si>
    <t>Dentales Market</t>
  </si>
  <si>
    <t>removedor de Calculo Taylor CK4 Delta Instrumental</t>
  </si>
  <si>
    <t xml:space="preserve">ST2/3 </t>
  </si>
  <si>
    <t>Removedor de coronas Tumba coronas en T</t>
  </si>
  <si>
    <t>CRCH3</t>
  </si>
  <si>
    <t>REPUESTO CEPILLO INTERDENTAL a granel</t>
  </si>
  <si>
    <t xml:space="preserve">REPUESTO LIJA TDV MICROCUT </t>
  </si>
  <si>
    <t>18-2027</t>
  </si>
  <si>
    <t>Repuesto pincel para acido x 50 unidades</t>
  </si>
  <si>
    <t>Repuesto pincel para acido x unidad</t>
  </si>
  <si>
    <t>Repuesto reforpost #1</t>
  </si>
  <si>
    <t>Repuesto reforpost #2</t>
  </si>
  <si>
    <t>Repuesto reforpost #3</t>
  </si>
  <si>
    <t xml:space="preserve">REPUESTO SIERRA TDV MICROCUT </t>
  </si>
  <si>
    <t>Repuestos de visor  UPEGUI</t>
  </si>
  <si>
    <t>RAMON DENTAL LA U</t>
  </si>
  <si>
    <t>Repuestos de visor LA U</t>
  </si>
  <si>
    <t>resin 74</t>
  </si>
  <si>
    <t>RESINA 3M  Z 100 A3.5 4g</t>
  </si>
  <si>
    <t>Resina 3M  Z 250 B2</t>
  </si>
  <si>
    <t>la muela $41000 Dora $43000 gabriel velasquez $46900</t>
  </si>
  <si>
    <t>RAMON-DORA-GABRIEL VELAZQUES LA MUELA</t>
  </si>
  <si>
    <t>resina 3M p60-a3</t>
  </si>
  <si>
    <t>miguel $100 pasto $110</t>
  </si>
  <si>
    <t>RAMON-DORA-GABRIEL VELAZQUES</t>
  </si>
  <si>
    <t>resina 3M p60-B2</t>
  </si>
  <si>
    <t>RESINA 3M Z 100  A1 4g</t>
  </si>
  <si>
    <t>RESINA 3M Z 100  A2 4g</t>
  </si>
  <si>
    <t>RESINA 3M Z 100 A3 4g</t>
  </si>
  <si>
    <t>RESINA 3M Z 100 B2 4g</t>
  </si>
  <si>
    <t>Resina 3M Z 250 A1</t>
  </si>
  <si>
    <t>la muela $41000 Dora $43000 gabriel velasquez $46901</t>
  </si>
  <si>
    <t>Resina 3M Z 250 A2</t>
  </si>
  <si>
    <t>la muela $41000 Dora $43000 gabriel velasquez $46902 ramon $47,000</t>
  </si>
  <si>
    <t>Resina 3M Z 250 A3</t>
  </si>
  <si>
    <t>la muela $41000 Dora $43000 gabriel velasquez $46903 ramon $47000</t>
  </si>
  <si>
    <t>Resina 3M Z 350 A1 1g</t>
  </si>
  <si>
    <t>Resina 3M Z 350 A1 4g</t>
  </si>
  <si>
    <t>gabriel velasquez $130000 ramon $160.000</t>
  </si>
  <si>
    <t>Resina 3M Z 350 A2 1g</t>
  </si>
  <si>
    <t>Resina 3M Z 350 A2 4g</t>
  </si>
  <si>
    <t>gabriel velasquez $153000</t>
  </si>
  <si>
    <t>Resina 3M Z 350 A3 1g</t>
  </si>
  <si>
    <t>Resina 3M Z 350 B1  4g</t>
  </si>
  <si>
    <t>Resina 3M Z 350 WE  4g</t>
  </si>
  <si>
    <t>Resina Applic Dentina A1</t>
  </si>
  <si>
    <t>Resina Applic Dentina A2</t>
  </si>
  <si>
    <t>Resina Applic Dentina A3</t>
  </si>
  <si>
    <t>Resina Applic Dentina A3.5</t>
  </si>
  <si>
    <t>Resina Applic Esmalte A1</t>
  </si>
  <si>
    <t>Resina Applic Esmalte A2</t>
  </si>
  <si>
    <t>Resina Applic Esmalte A3</t>
  </si>
  <si>
    <t>Resina Applic Esmalte A3.5</t>
  </si>
  <si>
    <t>Resina bisacrilica LUXATEM DMG</t>
  </si>
  <si>
    <t>Resina Brillant A1-B1 Dentina</t>
  </si>
  <si>
    <t xml:space="preserve">Resina Brillant A1-B1 Esmalte </t>
  </si>
  <si>
    <t>Resina Brillant A2-B2 Dentina</t>
  </si>
  <si>
    <t xml:space="preserve">Resina Brillant A2-B2 Esmalte </t>
  </si>
  <si>
    <t>Resina Brillant A3-D3 Dentina</t>
  </si>
  <si>
    <t xml:space="preserve">Resina Brillant A3-D3 Esmalte </t>
  </si>
  <si>
    <t xml:space="preserve">Resina Brillant A3.5   Esmalte </t>
  </si>
  <si>
    <t>Resina brillant A3.5 Dentina</t>
  </si>
  <si>
    <t>Resina Charisma jeringa 4gr BL</t>
  </si>
  <si>
    <t>promo fecha $190000</t>
  </si>
  <si>
    <t>Resina Charisma jeringa 4gr BLX</t>
  </si>
  <si>
    <t>Resina Charisma jeringa 4gr OB</t>
  </si>
  <si>
    <t>Resina compuesta uniporcion</t>
  </si>
  <si>
    <t>Resina Densell Estetic NanoFiller A1 4 G</t>
  </si>
  <si>
    <t>Resina Densell Estetic NanoFiller A2 4 G</t>
  </si>
  <si>
    <t>Resina Densell Estetic NanoFiller A3 4 G</t>
  </si>
  <si>
    <t xml:space="preserve">Resina EVERX POSTERIOR </t>
  </si>
  <si>
    <t>promo 22500</t>
  </si>
  <si>
    <t>Resina EVERX POSTERIOR  CAJA X15</t>
  </si>
  <si>
    <t>Resina fluida  BRILLANT 2.3G  Solo color  A1</t>
  </si>
  <si>
    <t>Resina fluida  BRILLANT 2.3G  Solo color  A2</t>
  </si>
  <si>
    <t>Resina fluida  BRILLANT 2.3G  Solo color  A3</t>
  </si>
  <si>
    <t>Resina fluida  Natural flow Nova DFL 2.4 Gr</t>
  </si>
  <si>
    <t>resina fluida 3M bulk Fill A1</t>
  </si>
  <si>
    <t>resina fluida 3M bulk Fill A2</t>
  </si>
  <si>
    <t>Resina fluida Applic FLow  Maquira 2 Gr A3</t>
  </si>
  <si>
    <t>ramon $29.000 COMPRE socci 22880 ORTHO PROF $20.000</t>
  </si>
  <si>
    <t>Resina fluida applic FLow Maquira 2 Gr A1</t>
  </si>
  <si>
    <t>Resina fluida applic FLow Maquira 2 Gr A2</t>
  </si>
  <si>
    <t>Resina Fluida Densell Hibrilux A1 Jeringa 1Gr</t>
  </si>
  <si>
    <t>RAMON DORA</t>
  </si>
  <si>
    <t>Resina Fluida Densell Hibrilux A2 Jeringa 1Gr</t>
  </si>
  <si>
    <t>resina fluida wave SDI A3</t>
  </si>
  <si>
    <t>resina fluida wave SDI GENGI</t>
  </si>
  <si>
    <t>Resina Forma Ultradent A1 B ALTA ESTETICA</t>
  </si>
  <si>
    <t>gabriel velasq $79458</t>
  </si>
  <si>
    <t>Resina Forma Ultradent A1 D</t>
  </si>
  <si>
    <t>Resina Forma Ultradent A1 E</t>
  </si>
  <si>
    <t>Resina Forma Ultradent A2 B</t>
  </si>
  <si>
    <t>Resina Forma Ultradent A2 D</t>
  </si>
  <si>
    <t>Resina Forma Ultradent A2 E</t>
  </si>
  <si>
    <t>Resina Forma Ultradent BL1</t>
  </si>
  <si>
    <t xml:space="preserve">Resina Forma Ultradent BL2 </t>
  </si>
  <si>
    <t xml:space="preserve">Resina Forma Ultradent INCISAL </t>
  </si>
  <si>
    <t>Resina Forma Ultradent traslucida</t>
  </si>
  <si>
    <t xml:space="preserve">Resina Forma Ultradent XWB </t>
  </si>
  <si>
    <t>Resina Forma Ultradent XWE</t>
  </si>
  <si>
    <t>RESINA KERR Herculite A1 Enamel</t>
  </si>
  <si>
    <t>RESINA KERR Herculite A2 Enamel</t>
  </si>
  <si>
    <t>RESINA KERR Herculite XL Enamel</t>
  </si>
  <si>
    <t>promo junio $87860</t>
  </si>
  <si>
    <t>RESINA KERR Herculite XL2 Enamel</t>
  </si>
  <si>
    <t>RESINA KERR Neofil A1  4 gramos</t>
  </si>
  <si>
    <t>RESINA KERR Neofil A2  4 gramos</t>
  </si>
  <si>
    <t>RESINA KERR Neofil A3  4 gramos</t>
  </si>
  <si>
    <t>Resina LLIS FGM D - A1 dentina</t>
  </si>
  <si>
    <t>promo 27000 SOCCID $29600 plus $28500</t>
  </si>
  <si>
    <t>Resina LLIS FGM D - A2 dentina</t>
  </si>
  <si>
    <t>Resina LLIS FGM D - A3  dentina</t>
  </si>
  <si>
    <t>Resina LLIS FGM D - A3.5 dentina</t>
  </si>
  <si>
    <t>Resina LLIS FGM E - A1 esmalte</t>
  </si>
  <si>
    <t>Resina LLIS FGM E - A2 esmalte</t>
  </si>
  <si>
    <t>Resina LLIS FGM E - A3 esmalte</t>
  </si>
  <si>
    <t>Resina LLIS FGM E - A3.5  esmalte</t>
  </si>
  <si>
    <t>Resina Opallis Flow Fluida A1 FGM</t>
  </si>
  <si>
    <t>antioq $30000 soccid $ 28700 plus $28800</t>
  </si>
  <si>
    <t>FGM SOCCIDENTAL</t>
  </si>
  <si>
    <t xml:space="preserve">Resina Opallis Flow Fluida A2  FGM </t>
  </si>
  <si>
    <t>Resina Opus Flow APS BULK FILL A1</t>
  </si>
  <si>
    <t>compre promo $59500</t>
  </si>
  <si>
    <t>FGM masdental soccidentales</t>
  </si>
  <si>
    <t>Resina Opus Flow APS BULK FILL A2</t>
  </si>
  <si>
    <t>compre promo $59501</t>
  </si>
  <si>
    <t xml:space="preserve">RESINA ORTODONCIA HELIOSIT </t>
  </si>
  <si>
    <t>no se</t>
  </si>
  <si>
    <t>Resina Palfique LX5 TOKUYAMA color A1</t>
  </si>
  <si>
    <t>promo $170.000 mayo/25</t>
  </si>
  <si>
    <t>JULVIDENT MASDENTAL</t>
  </si>
  <si>
    <t>Resina Palfique LX5 TOKUYAMA color A2 esmalte</t>
  </si>
  <si>
    <t>Resina Palfique LX5 TOKUYAMA color BW</t>
  </si>
  <si>
    <t>Resina Palfique LX5 TOKUYAMA color WE</t>
  </si>
  <si>
    <t>resina restaurativa compuesta 3M bulk Fill A2</t>
  </si>
  <si>
    <t>miguel $100</t>
  </si>
  <si>
    <t>Resina SDI LUNA Enamel 4 g</t>
  </si>
  <si>
    <t>Resina Solare LATIN Amarilla A1</t>
  </si>
  <si>
    <t>Resina Solare LATIN Amarilla A2</t>
  </si>
  <si>
    <t>Resina Solare P A2</t>
  </si>
  <si>
    <t>promo $70.125</t>
  </si>
  <si>
    <t>Resina Solare P A3</t>
  </si>
  <si>
    <t>Resina Solare X A1</t>
  </si>
  <si>
    <t>Resina Solare X A2</t>
  </si>
  <si>
    <t>Resina Solare X A3</t>
  </si>
  <si>
    <t>Resina Solare X A3.5</t>
  </si>
  <si>
    <t>Resina Solare X B2</t>
  </si>
  <si>
    <t>Resina Solare X XWT</t>
  </si>
  <si>
    <t>Resina Vitra UNIQUE APS 2gr</t>
  </si>
  <si>
    <t>antioq $72000 soccid $ 96800 +1 flow plus$87200</t>
  </si>
  <si>
    <t xml:space="preserve">FGM masdental </t>
  </si>
  <si>
    <t xml:space="preserve">Resina Vitra UNIQUE APS 4gm </t>
  </si>
  <si>
    <t>antioq $72000 soccid $ 96800 +1 flow</t>
  </si>
  <si>
    <t>Resina Zafira Dentina A1</t>
  </si>
  <si>
    <t>Resina Zafira Dentina A2</t>
  </si>
  <si>
    <t>Resina Zafira Dentina A3</t>
  </si>
  <si>
    <t>Resina Zafira Dentina A3,5</t>
  </si>
  <si>
    <t>06-206</t>
  </si>
  <si>
    <t>Resina Zafira Dentina B1</t>
  </si>
  <si>
    <t>Resina Zafira Dentina BL</t>
  </si>
  <si>
    <t>Resina Zafira Dentina BLX</t>
  </si>
  <si>
    <t>Resina Zafira Esmalte A1</t>
  </si>
  <si>
    <t>Resina Zafira Esmalte A2</t>
  </si>
  <si>
    <t>Resina Zafira Esmalte A3</t>
  </si>
  <si>
    <t>Resina Zafira Esmalte B1</t>
  </si>
  <si>
    <t>Resina Zafira Esmalte BL</t>
  </si>
  <si>
    <t>Resina Zafira Esmalte BLX</t>
  </si>
  <si>
    <t>Resina Zafira Insisal</t>
  </si>
  <si>
    <t xml:space="preserve">Resina Zafira Opacador </t>
  </si>
  <si>
    <t>Resinas Spectra Basic A1  4g</t>
  </si>
  <si>
    <t>Resinas Spectra Basic A2 4g</t>
  </si>
  <si>
    <t>Resinas Spectra Basic A3  4g</t>
  </si>
  <si>
    <t>Resinas Spectra Basic A3.5  4g</t>
  </si>
  <si>
    <t>resistencia electrodo COD 734</t>
  </si>
  <si>
    <t>CENTRO HOYOSTOOL 40mil KRIKA</t>
  </si>
  <si>
    <t xml:space="preserve">Retracfar Cloruro de aluminio 7ml </t>
  </si>
  <si>
    <t>ramon EUFAR PRODONT AQUILES</t>
  </si>
  <si>
    <t>Retractor de tejidos</t>
  </si>
  <si>
    <t xml:space="preserve">Revelador de placa bacteriana gota </t>
  </si>
  <si>
    <t>ZENDET $3213</t>
  </si>
  <si>
    <t xml:space="preserve">zendent ramon AQUILES </t>
  </si>
  <si>
    <t>Revelador de placa bacteriana gota 10ml</t>
  </si>
  <si>
    <t>proquident 5930</t>
  </si>
  <si>
    <t>PROQUIDENT ZENDENT</t>
  </si>
  <si>
    <t>Riñonera</t>
  </si>
  <si>
    <t>aquiles BOGOTA</t>
  </si>
  <si>
    <t xml:space="preserve">ROLLO DATAFONO </t>
  </si>
  <si>
    <t xml:space="preserve">CREDIBANCO </t>
  </si>
  <si>
    <t>RUEDA GRIS GRANO GRUESO</t>
  </si>
  <si>
    <t>RUEDA ROJA GRANO FINO</t>
  </si>
  <si>
    <t>RUEDA SILICONADA/ PORCELANA GRANO FINO DISCO PQ X 20</t>
  </si>
  <si>
    <t>RUEDA SILICONADA/ PORCELANA GRANO FINO REDONDA PQ X 20</t>
  </si>
  <si>
    <t>RUEDA SILICONADA/ PORCELANA GRANO GRUESO DISCO PQ X 20</t>
  </si>
  <si>
    <t>RUEDA SILICONADA/PORCELANA GRANO GRUESO REDONDA PQ X 20</t>
  </si>
  <si>
    <t>RUEDA SILICONADA/PORCELANA GRANO MEDIO DISCO PQ X 20</t>
  </si>
  <si>
    <t>RUEDA SILICONADA/PORCELANA GRANO MEDIO REDONDA PQ X 20</t>
  </si>
  <si>
    <t>RUEDA VERDE GRANO MEDIANO</t>
  </si>
  <si>
    <t>Scaler DTE D1</t>
  </si>
  <si>
    <t>Scaler DTE D5 CON LUZ LED</t>
  </si>
  <si>
    <t>Scaler DTE D5 SIN LUZ</t>
  </si>
  <si>
    <t>Scaler neumático</t>
  </si>
  <si>
    <t>SEALAPEX</t>
  </si>
  <si>
    <t>RAMON  PLUSS DENT</t>
  </si>
  <si>
    <t>seda dental  teflon 50  mts proquident</t>
  </si>
  <si>
    <t>SEDA DENTAL 80MT Mediana</t>
  </si>
  <si>
    <t>SEDA DENTAL BLISTER X 30 MT PEQUENA</t>
  </si>
  <si>
    <t>SEDA DENTAL MENTA CON CERA 50MT</t>
  </si>
  <si>
    <t>SEDA DENTAL SAMI  X 20 MT</t>
  </si>
  <si>
    <t xml:space="preserve">Seda dental SAMI x 400 mts en bolsa </t>
  </si>
  <si>
    <t>Seda dental x 400 mts en bolsa GRANDE</t>
  </si>
  <si>
    <t>proquident zendent DENTOLINE</t>
  </si>
  <si>
    <t xml:space="preserve">SEGUETA SIERRA ARCO TDV MICROCUT </t>
  </si>
  <si>
    <t>Segueta tipo NEY</t>
  </si>
  <si>
    <t>Masterdent aquiles</t>
  </si>
  <si>
    <t>sellante de fosas y fisuras Maxseal  Maquira</t>
  </si>
  <si>
    <t>sellante de fotocurado i-seal lc</t>
  </si>
  <si>
    <t>sellante de resina Conseal SDI</t>
  </si>
  <si>
    <t>sellante de resina otra marca</t>
  </si>
  <si>
    <t>Sellante Fluroshield denstplay 2gm</t>
  </si>
  <si>
    <t xml:space="preserve">Sellante resina uniporcion </t>
  </si>
  <si>
    <t>abraham-ramon</t>
  </si>
  <si>
    <t>SEPARADOR DE LENGUA BSA X 40</t>
  </si>
  <si>
    <t>servilleta doblada 4 x 100 familia</t>
  </si>
  <si>
    <t xml:space="preserve">SIERRA manual TDV microcut  x 1 </t>
  </si>
  <si>
    <t xml:space="preserve">SIERRA manual TDV microcut  x paquete 10 </t>
  </si>
  <si>
    <t xml:space="preserve">Silano Angelus </t>
  </si>
  <si>
    <t>Silano Maquira  5 ML</t>
  </si>
  <si>
    <t xml:space="preserve">Silano Prosil FGM </t>
  </si>
  <si>
    <t>SOCCID $28700 plus $</t>
  </si>
  <si>
    <t xml:space="preserve">Silano Ultradent en jeringa 1.2ml </t>
  </si>
  <si>
    <t>gabriel velasquez $217458 pluss $20885</t>
  </si>
  <si>
    <t>SILICONA  KIT 1 LIVIANA Y PESADA SILAGUM DMG</t>
  </si>
  <si>
    <t>SILICONA  KIT 2 LIVIANA Y 1 PESADA SILAGUM DMG</t>
  </si>
  <si>
    <t>SILICONA  LIVIANA SILAGUM DMG</t>
  </si>
  <si>
    <t>Silic LIV</t>
  </si>
  <si>
    <t>SILICONA  liviana ZHERMACK</t>
  </si>
  <si>
    <t>SILICONA  pesada 200  ZHERMACK</t>
  </si>
  <si>
    <t>pesada</t>
  </si>
  <si>
    <t>silic PESADA</t>
  </si>
  <si>
    <t>SILICONA  PESADA SILAGUM DMG</t>
  </si>
  <si>
    <t>Silicona activador indurent gel ZETALABOR</t>
  </si>
  <si>
    <t>DENTALES MARKET eurodent</t>
  </si>
  <si>
    <t xml:space="preserve">SILICONA LIVIANA COLTENE PRESIDENT </t>
  </si>
  <si>
    <t xml:space="preserve">silicona panasil initial contac light liviana </t>
  </si>
  <si>
    <t>silicona panasil putty soft pesada 400ml</t>
  </si>
  <si>
    <t>silicona panasil putty soft pesada 900 ml</t>
  </si>
  <si>
    <t>promo $345950 mayo/25</t>
  </si>
  <si>
    <t>Silicona Pesada KEER EN CARTUCHO</t>
  </si>
  <si>
    <t>plussdent</t>
  </si>
  <si>
    <t xml:space="preserve">silicona PESADA panasil 900ml x porciones (56 unidades) x 15gr CON TAPA  </t>
  </si>
  <si>
    <t>SILIC</t>
  </si>
  <si>
    <t>Silicona Pesada President COLTENE 300 ML</t>
  </si>
  <si>
    <t>SILICONA TRANSPARENTE ELITE GLASS ZHERMACK</t>
  </si>
  <si>
    <t>euro $101834</t>
  </si>
  <si>
    <t>MARKET EURODENT</t>
  </si>
  <si>
    <t>Silicona Zetalabor x 900 grs</t>
  </si>
  <si>
    <t>SISTEMA DE PULIDO DE DIAMANTE DISCO RUEDA 14 MM RA SOFLEX 3M ROJO PAQUETE X 10</t>
  </si>
  <si>
    <t>Solucion salina suero  x 100 ml</t>
  </si>
  <si>
    <t>Allers $2455</t>
  </si>
  <si>
    <t>Solucion salina suero x 250 ml</t>
  </si>
  <si>
    <t>Allers $3169</t>
  </si>
  <si>
    <t>Solucion salina suero x 500 ml</t>
  </si>
  <si>
    <t>Allers $2882</t>
  </si>
  <si>
    <t xml:space="preserve">Sonda Carolina Nte instrumental </t>
  </si>
  <si>
    <t>Sonda Carolina Nte instrumental color DELTA</t>
  </si>
  <si>
    <t>PCUNC15</t>
  </si>
  <si>
    <t>Sonda Color instrumental DELTA</t>
  </si>
  <si>
    <t>PC11</t>
  </si>
  <si>
    <t>PC12</t>
  </si>
  <si>
    <t>Sonda COLOR PLASTICA para implantes 20mm hu-friedy</t>
  </si>
  <si>
    <t>Sonda de Nabers Delta  COLOR PQ2N</t>
  </si>
  <si>
    <t>PQ2N</t>
  </si>
  <si>
    <t>SONDA NABERS American Eagle MONTANA</t>
  </si>
  <si>
    <t>sonda nabers LN</t>
  </si>
  <si>
    <t>Pluss dent</t>
  </si>
  <si>
    <t xml:space="preserve">Sonda periodont delta williams goldman </t>
  </si>
  <si>
    <t>PGF/W</t>
  </si>
  <si>
    <t>SONDA WHO PC11.5B6 HU FRIEDY</t>
  </si>
  <si>
    <t>SOPORTE ACRILICO PARA ARCOS ORTODONCIA</t>
  </si>
  <si>
    <t>Soporte de pinza de ortodoncia</t>
  </si>
  <si>
    <t>soporte rollo algodon PORTA ALGODON</t>
  </si>
  <si>
    <t>SUPER POST O PARA POST PAQ X 5</t>
  </si>
  <si>
    <t>Sutura braun silkam 4/0 seda ds19</t>
  </si>
  <si>
    <t>Allers $8044</t>
  </si>
  <si>
    <t>Sutura braun silkam 5/0 seda ds19</t>
  </si>
  <si>
    <t>Allers $9097</t>
  </si>
  <si>
    <t xml:space="preserve">Sutura Dafilon 3/0 ( DS 19 ) punta cortante </t>
  </si>
  <si>
    <t xml:space="preserve">Sutura Dafilon 4/0 ( DS 19 ) punta cortante </t>
  </si>
  <si>
    <t>Allers $8485</t>
  </si>
  <si>
    <t xml:space="preserve">Sutura Dafilon 5/0 ( DS 16 ) punta cortante </t>
  </si>
  <si>
    <t xml:space="preserve">Sutura Dafilon 5/0 ( DS 19 ) punta cortante </t>
  </si>
  <si>
    <t>Allers $7778</t>
  </si>
  <si>
    <t xml:space="preserve">Sutura Dafilon 6/0 ( DS 16 ) punta cortante </t>
  </si>
  <si>
    <t>Allers $9373</t>
  </si>
  <si>
    <t xml:space="preserve">Sutura Dafilon 6/0 ( DS 19 ) punta cortante </t>
  </si>
  <si>
    <t xml:space="preserve">Sutura POLYPROPYLENE 3/0 nylon </t>
  </si>
  <si>
    <t>dentmar $15.000 imporq $12.000</t>
  </si>
  <si>
    <t>1/11/2025 10-2028</t>
  </si>
  <si>
    <t xml:space="preserve">Sutura POLYPROPYLENE 4/0 nylon </t>
  </si>
  <si>
    <t xml:space="preserve">Sutura POLYPROPYLENE 5/0 nylon </t>
  </si>
  <si>
    <t xml:space="preserve">Sutura POLYPROPYLENE 6/0 nylon </t>
  </si>
  <si>
    <t xml:space="preserve">Sutura Premilene 3/0 ( HR 17 ) punta redonda  </t>
  </si>
  <si>
    <t>Allers $16964</t>
  </si>
  <si>
    <t xml:space="preserve">Sutura Premilene 4/0 ( HR 17 ) punta redonda  </t>
  </si>
  <si>
    <t>Allers $17585</t>
  </si>
  <si>
    <t xml:space="preserve">Sutura Premilene 5/0 ( HR 17 ) punta redonda  </t>
  </si>
  <si>
    <t>Allers $18578</t>
  </si>
  <si>
    <t>Sutura SEDA 3/0</t>
  </si>
  <si>
    <t>denmart $12.500 imporq $12.000</t>
  </si>
  <si>
    <t>Sutura SEDA 4/0</t>
  </si>
  <si>
    <t>Sutura SEDA 5/0</t>
  </si>
  <si>
    <t>Sutura SEDA 6/0</t>
  </si>
  <si>
    <t>Sutura VICRYL - Poliglicolico 3/0</t>
  </si>
  <si>
    <t>Allers $16019</t>
  </si>
  <si>
    <t>IMPORQ ALLERS</t>
  </si>
  <si>
    <t>Sutura VICRYL - Poliglicolico 4/0</t>
  </si>
  <si>
    <t>Allers $16301</t>
  </si>
  <si>
    <t>Sutura VICRYL - Poliglicolico 5/0</t>
  </si>
  <si>
    <t>Sutura VICRYL - Poliglicolico 6/0</t>
  </si>
  <si>
    <t>Allers $28451</t>
  </si>
  <si>
    <t xml:space="preserve">System IN LAY TELIO MORADO universal cavidad profunda </t>
  </si>
  <si>
    <t>ramon $107 emma $100 euro $89922</t>
  </si>
  <si>
    <t>exl</t>
  </si>
  <si>
    <t xml:space="preserve">System ON LAY TELIO ROSADO universal  cavidad superficial </t>
  </si>
  <si>
    <t xml:space="preserve">tacos de mordida  surtidos S M L </t>
  </si>
  <si>
    <t xml:space="preserve">Importada aquiles </t>
  </si>
  <si>
    <t>tacos de mordida L (verde)</t>
  </si>
  <si>
    <t>tacos de mordida M (azul)</t>
  </si>
  <si>
    <t xml:space="preserve">Tacos de mordida pte x 2 Maquira </t>
  </si>
  <si>
    <t xml:space="preserve">CLAUDIA </t>
  </si>
  <si>
    <t>tacos de mordida S (Morado)</t>
  </si>
  <si>
    <t xml:space="preserve">TALEGA DE JEAN </t>
  </si>
  <si>
    <t>Biosalud</t>
  </si>
  <si>
    <t>Tapaboca desechable CAJA EMPAQUE INDIVIDUAL IMPORTADO</t>
  </si>
  <si>
    <t>(ENE/25)  MUNDIAL  azul $7.000 negro y rosado $8.000  //JAIRO CENTRO $9,000</t>
  </si>
  <si>
    <t>IMPORQ MUNDIAL</t>
  </si>
  <si>
    <t>Tapaboca desechable CAJA EMPAQUE X 50 AZUL EMPAQUE GRANEL</t>
  </si>
  <si>
    <t>(ENE/25) imporquirurguica $5,500 //MUNDIAL granel azul $4,200negro $5200  //JAIRO CENTRO $8,500</t>
  </si>
  <si>
    <t>Tapaboca desechable empaque individual color rosado - negro</t>
  </si>
  <si>
    <t>(ENE/25) MUNDIAL azul $7000 negro y rosado $8,000</t>
  </si>
  <si>
    <t xml:space="preserve">CENTRO MUNDIAL </t>
  </si>
  <si>
    <t xml:space="preserve">Tapaboca Resortado azul y blanco </t>
  </si>
  <si>
    <t>TARRO CAFE PORCIONAR KOOLINER</t>
  </si>
  <si>
    <t>centro otorgo discordoba</t>
  </si>
  <si>
    <t xml:space="preserve">TARRO GOTERO PORCIONAR DURACRYL Y JOTA PEQUEÑO </t>
  </si>
  <si>
    <t>TARRO GOTERO PORCIONAR GLICERINA - BELLAVEST GRANDE 40cc</t>
  </si>
  <si>
    <t>Tarro Guardian mediano 1 LT</t>
  </si>
  <si>
    <t>Allers $3385</t>
  </si>
  <si>
    <t xml:space="preserve">ALLERS AQUILES </t>
  </si>
  <si>
    <t>Tarro Guardian mediano 1.5 LT</t>
  </si>
  <si>
    <t>Allers $3772</t>
  </si>
  <si>
    <t>Tarro Guardian mediano 2.5 LT</t>
  </si>
  <si>
    <t>Tarro Guardian pequeño  300 ml</t>
  </si>
  <si>
    <t>Allers $2288</t>
  </si>
  <si>
    <t>TARRO PORCIONAR ACRILICO CUBETA PEQUEÑO 60gr</t>
  </si>
  <si>
    <t>TARRO PORCIONAR NEOFOIL kooliner 33gr</t>
  </si>
  <si>
    <t>TAZA CAUCHO EXTRA GRANDE 130X96MM</t>
  </si>
  <si>
    <t xml:space="preserve">Masterdent </t>
  </si>
  <si>
    <t xml:space="preserve">TAZA CAUCHO GRANDE COLORES SURTIDOS </t>
  </si>
  <si>
    <t>zendert 5333 aquiles 4879 dyma 3451</t>
  </si>
  <si>
    <t>ZENDENT AQUILES DYMA</t>
  </si>
  <si>
    <t xml:space="preserve">VERDE 10 azul 9 </t>
  </si>
  <si>
    <t>TAZA CAUCHO GRANDE MASTERDENT 130X86MM</t>
  </si>
  <si>
    <t>TAZA CAUCHO PEQUEÑA</t>
  </si>
  <si>
    <t>zendent $3808 dyma 3094 aquiles 3570</t>
  </si>
  <si>
    <t>VERDE 13 AZUL 6 rojo 6</t>
  </si>
  <si>
    <t>TAZA CAUCHO PEQUEÑA MASTERDENT</t>
  </si>
  <si>
    <t>TAZA CAUCHO SILICONADO PEQUENA 108X59MM</t>
  </si>
  <si>
    <t xml:space="preserve">zendent masterdent New Stetic </t>
  </si>
  <si>
    <t>Tela de Caucho BORRACHA AZUL</t>
  </si>
  <si>
    <t xml:space="preserve">TELA De Caucho COLTENE morada </t>
  </si>
  <si>
    <t>Tela de Caucho Lencol  26 unidades CAJA</t>
  </si>
  <si>
    <t xml:space="preserve">Tela de Caucho NICTONE 5 X 5 </t>
  </si>
  <si>
    <t xml:space="preserve">Tela de Caucho NICTONE 6 X 6 </t>
  </si>
  <si>
    <t xml:space="preserve">Tela de Caucho SANTUARY 6 X 6 </t>
  </si>
  <si>
    <t xml:space="preserve">DAZA - ramon </t>
  </si>
  <si>
    <t xml:space="preserve">TEMBOND CAJA UNIDOSIS X CAJA COMPLETA </t>
  </si>
  <si>
    <t>DAZA Pluss Dent</t>
  </si>
  <si>
    <t xml:space="preserve">TEMBOND kerr CAJA X UNIDOSIS UNIDAD </t>
  </si>
  <si>
    <t>TEMBOND NE kerr ESTUCHE  X CAJA (2 TUBOS)</t>
  </si>
  <si>
    <t xml:space="preserve">Temposil </t>
  </si>
  <si>
    <t xml:space="preserve">TERMOFORMADORA VACUUM BAJA PLACA </t>
  </si>
  <si>
    <t>aquiles $400</t>
  </si>
  <si>
    <t xml:space="preserve">Aquiles masdental HECTOR </t>
  </si>
  <si>
    <t>TETRIC CERAM BLEACH XL JERINGA X3.5G</t>
  </si>
  <si>
    <t>euro $109081</t>
  </si>
  <si>
    <t>TETRIC CERAM BULK IVA JERINGA</t>
  </si>
  <si>
    <t>emma $120 masdental $129900 euro $107614</t>
  </si>
  <si>
    <t>TETRIC FLOW BULK IVA JERINGA</t>
  </si>
  <si>
    <t>euro 71470</t>
  </si>
  <si>
    <t>Tetric N flow A1</t>
  </si>
  <si>
    <t>EURO 67326</t>
  </si>
  <si>
    <t>Tetric N flow bleach L</t>
  </si>
  <si>
    <t>descontinuada</t>
  </si>
  <si>
    <t>Tetric N flow Bulk IVA</t>
  </si>
  <si>
    <t>Thera BASE Bisco</t>
  </si>
  <si>
    <t>Thera CAL  Bisco</t>
  </si>
  <si>
    <t>promo $81600 mayo/25</t>
  </si>
  <si>
    <t>Thera CEM Bisco</t>
  </si>
  <si>
    <t>en promo se compro a $289167</t>
  </si>
  <si>
    <t xml:space="preserve">Tijera Recta para Tejido instrumental DELTA </t>
  </si>
  <si>
    <t>S511.5cm</t>
  </si>
  <si>
    <t>Tinte empress direct color azul</t>
  </si>
  <si>
    <t>Tinte empress direct color Blanco</t>
  </si>
  <si>
    <t>emma $110</t>
  </si>
  <si>
    <t>Tinte empress direct color ocre</t>
  </si>
  <si>
    <t>Tira de lija metalica ADACO</t>
  </si>
  <si>
    <t>Tira de lija metalica FABA</t>
  </si>
  <si>
    <t>(ENE/25) DAZA $ 11781 //MUELA $10,546</t>
  </si>
  <si>
    <t>la muela DAZA</t>
  </si>
  <si>
    <t>Tira de lija metalica MICRODONT</t>
  </si>
  <si>
    <t>Tira de lija metalica TDV</t>
  </si>
  <si>
    <t xml:space="preserve">Tira de poliester papel </t>
  </si>
  <si>
    <t>RAMON aquiles new stetic</t>
  </si>
  <si>
    <t>Tiras de millar x 50 und milar PROQUIDENT</t>
  </si>
  <si>
    <t>tiza croma ROMA id barra x 56 gr.</t>
  </si>
  <si>
    <t>MARLENY</t>
  </si>
  <si>
    <t>Tiza verde cilindro ZAM pasta pulir laboratorio</t>
  </si>
  <si>
    <t>Mas dental</t>
  </si>
  <si>
    <t xml:space="preserve">toalla 30 x 30 </t>
  </si>
  <si>
    <t>Toalla de papel favorita scott PACA X 24 unidades</t>
  </si>
  <si>
    <t xml:space="preserve">Top Seal dentsplay </t>
  </si>
  <si>
    <t>Topex de caucho para endodoncia x 60 unidades</t>
  </si>
  <si>
    <t>aquiles x100 $16922 RAMON $17498</t>
  </si>
  <si>
    <t xml:space="preserve">AQUILES ramon </t>
  </si>
  <si>
    <t>Topsensy desensibilizante dental 5 ml dentofar</t>
  </si>
  <si>
    <t xml:space="preserve">Prodont </t>
  </si>
  <si>
    <t>Tornillo para dientes de modelo ivorina</t>
  </si>
  <si>
    <t>TORNILLOS MARIPOSA PARA SIMULADOR MUFLA</t>
  </si>
  <si>
    <t>Ferreteria</t>
  </si>
  <si>
    <t>tubos ortodoncia 16</t>
  </si>
  <si>
    <t>ortho prof $500</t>
  </si>
  <si>
    <t>DAZA PADILLA ortho professional</t>
  </si>
  <si>
    <t>tubos ortodoncia 17</t>
  </si>
  <si>
    <t>DAZA PADILLA</t>
  </si>
  <si>
    <t>tubos ortodoncia 26</t>
  </si>
  <si>
    <t>tubos ortodoncia 27</t>
  </si>
  <si>
    <t>tubos ortodoncia 36</t>
  </si>
  <si>
    <t>tubos ortodoncia 37</t>
  </si>
  <si>
    <t>tubos ortodoncia 46</t>
  </si>
  <si>
    <t>tubos ortodoncia 47</t>
  </si>
  <si>
    <t>Tuerca para pieza de alta</t>
  </si>
  <si>
    <t xml:space="preserve">ule -  HULE </t>
  </si>
  <si>
    <t xml:space="preserve">calipso </t>
  </si>
  <si>
    <t>NEGRO 34 BLANCO 35 AZUL 24 GRIS 13</t>
  </si>
  <si>
    <t>UNIDAD ODONTOLOGICA SILLA</t>
  </si>
  <si>
    <t>Variolink Esthetic ligth  de 2gm VIVADENT IVOCLAR</t>
  </si>
  <si>
    <t>ema 230 eurodent $211387</t>
  </si>
  <si>
    <t>Variolink Esthetic ligth + de 2gm VIVADENT IVOCLAR</t>
  </si>
  <si>
    <t>Variolink Esthetic neutral 2gm VIVADENT IVOCLAR</t>
  </si>
  <si>
    <t>Variolink NLC BLEACH XL</t>
  </si>
  <si>
    <t>ema 185</t>
  </si>
  <si>
    <t>Variolink NLC+1 de 1.5 gm  VIVADENT IVOCLAR</t>
  </si>
  <si>
    <t>Variolink NLC+2 de 1.5 gm  VIVADENT IVOCLAR</t>
  </si>
  <si>
    <t xml:space="preserve">varios </t>
  </si>
  <si>
    <t>varios  Hoja milimetrada</t>
  </si>
  <si>
    <t>VARIOS candado grande para puerta exterior</t>
  </si>
  <si>
    <t>CENTRO hoyos tool</t>
  </si>
  <si>
    <t>varios CINTA METRICA</t>
  </si>
  <si>
    <t xml:space="preserve">Vaselina pura 24 gm </t>
  </si>
  <si>
    <t>Vaso dappen grande silicona</t>
  </si>
  <si>
    <t xml:space="preserve"> AQUILES $3451 dyma $2500</t>
  </si>
  <si>
    <t>revisar colores</t>
  </si>
  <si>
    <t>Jorge upegui aquiles DYMA</t>
  </si>
  <si>
    <t>VASO DAPPEN METALICO INSTRUMENTAL (delgado, NO el pesado)</t>
  </si>
  <si>
    <t>RAMON - AQUILES</t>
  </si>
  <si>
    <t>Vaso dappen pequeño silicona</t>
  </si>
  <si>
    <t xml:space="preserve">upegui 1400 </t>
  </si>
  <si>
    <t>Vaso economico (Domingo) 7 onzas x 50 vasos</t>
  </si>
  <si>
    <t xml:space="preserve">Vaso economico 3.5 onzas x 50  vasos </t>
  </si>
  <si>
    <t xml:space="preserve">CENTRO - tropicali </t>
  </si>
  <si>
    <t>vaso hermetico 300 ml</t>
  </si>
  <si>
    <t>VASO METALICO GRANDE INSTRUMENTAL</t>
  </si>
  <si>
    <t xml:space="preserve">CENTRO CRISTALERIA </t>
  </si>
  <si>
    <t>VASO METALICO PEQUEÑO INSTRUMENTAL</t>
  </si>
  <si>
    <t>Vaso silicona con tapa</t>
  </si>
  <si>
    <t>VASOS DAPPEN EN VIDRIO  CAJA X 10</t>
  </si>
  <si>
    <t>Ramon $3000  ABRAH $3500  AQUIL $2487 dyma $2975  dentamrt $2600</t>
  </si>
  <si>
    <t>ramon abraham Masterdent aquiles jorge quirudent dyma DTM</t>
  </si>
  <si>
    <t>VERABOND II LABORATORIO</t>
  </si>
  <si>
    <t>VIBRADOR GRANDE/PLASTER MODEL VIBRATOR</t>
  </si>
  <si>
    <t>VIBRADOR PEQUEÑO/ PLASTER MODEL VIBRATOR</t>
  </si>
  <si>
    <t xml:space="preserve">VIOSEAL SPIDENT ADSEAL </t>
  </si>
  <si>
    <t>visalys temp visacril PANASIL</t>
  </si>
  <si>
    <t>VISOR CON LUPA SIN LUZ ESTUCHE GRIS</t>
  </si>
  <si>
    <t>Visores  la u CARLOS DUQUE</t>
  </si>
  <si>
    <t>DENTAL LA U</t>
  </si>
  <si>
    <t>Visores  ZENDENT</t>
  </si>
  <si>
    <t>zendent</t>
  </si>
  <si>
    <t>Vitrebon ionomero 3 m</t>
  </si>
  <si>
    <t xml:space="preserve">vitremer o reconstructor de muñones </t>
  </si>
  <si>
    <t>vysalis core</t>
  </si>
  <si>
    <t xml:space="preserve">JULVIDENT </t>
  </si>
  <si>
    <t>WEDJET</t>
  </si>
  <si>
    <t xml:space="preserve">RAMON ultradental </t>
  </si>
  <si>
    <t>whiteness super endo FGM diente no vital  jeringa x 3ml</t>
  </si>
  <si>
    <t>antioq $95200 soccid $80206 plus $79968</t>
  </si>
  <si>
    <t xml:space="preserve">WY PALL WYPALL TOALLA ABSORBENTE x 100 hojas Rollo </t>
  </si>
  <si>
    <t>|</t>
  </si>
  <si>
    <t>Xilol prodont 15ML</t>
  </si>
  <si>
    <t>Xilol proquident 20ml XILODENT</t>
  </si>
  <si>
    <t>Yeso tipo 3 ortodoncia blanco por libra</t>
  </si>
  <si>
    <t>MULTILAB</t>
  </si>
  <si>
    <t>Yeso tipo 3 Piedra beige por libra</t>
  </si>
  <si>
    <t>Yeso tipo 4 ROSADO por libra</t>
  </si>
  <si>
    <t>Yeso tipo MONTAJE por libra</t>
  </si>
  <si>
    <t xml:space="preserve">YESO WHIPMIX  X 70 GR MOUNTING STONE </t>
  </si>
  <si>
    <t>OK</t>
  </si>
  <si>
    <t>YESO WHIPMIX  X LB 500 GR MOUNTING STONE</t>
  </si>
  <si>
    <t xml:space="preserve">Yeso WHIPMIX TIPO 2 X 100 GR LABORATORY PLASTER </t>
  </si>
  <si>
    <t xml:space="preserve">Yeso WHIPMIX TIPO 2 X Lb 500 LABORATORY PLASTER </t>
  </si>
  <si>
    <t>YESO WHIPMIX TIPO 3 X 100 GR QUICKSTONE (AMARILLO)</t>
  </si>
  <si>
    <t>YESO WHIPMIX TIPO 3 X LB 500 GR QUICKSTONE (AMARILLO)</t>
  </si>
  <si>
    <t>YESO WHIPMIX TIPO 4 LB X 500 GR SILKY ROCK (ROSADO)</t>
  </si>
  <si>
    <t>YESO WHIPMIX TIPO 4 X 100 GR SILKY ROCK (ROSADO)</t>
  </si>
  <si>
    <t>YESO WHIPMIX TIPO 5 LB X 500GR jadestone VERDE</t>
  </si>
  <si>
    <t>YESO WHIPMIX TIPO 5 X 100 GR (VERDE)  jadestone</t>
  </si>
  <si>
    <t>YODOPOVIDONA Isodine Espuma   x 60 ml rojo</t>
  </si>
  <si>
    <t xml:space="preserve">CENTRO 40mil  </t>
  </si>
  <si>
    <t>YODOPOVIDONA Isodine Solucion  x 60 ml verde</t>
  </si>
  <si>
    <t>Yopovidona bucofaringeo 10 % x 60 ml azul</t>
  </si>
  <si>
    <t xml:space="preserve">CENTRO 40mil </t>
  </si>
  <si>
    <t>Z PRIME  z-prime 2 ML BISCO</t>
  </si>
  <si>
    <t>promo $144500 mayo/25</t>
  </si>
  <si>
    <t>en promo se compro a $133334</t>
  </si>
  <si>
    <t>07-205</t>
  </si>
  <si>
    <t xml:space="preserve">zirclean bisco </t>
  </si>
  <si>
    <t>promo $86.700 mayo/25</t>
  </si>
  <si>
    <t>GRAMERA DIGITAL caja azul</t>
  </si>
  <si>
    <t>GRAMERA DIGITAL pequeña</t>
  </si>
  <si>
    <t xml:space="preserve">      </t>
  </si>
  <si>
    <t xml:space="preserve">TOTAL </t>
  </si>
  <si>
    <t>THERACEM</t>
  </si>
  <si>
    <t>FECHA VCT</t>
  </si>
  <si>
    <t>LOTE</t>
  </si>
  <si>
    <t xml:space="preserve">NORTE </t>
  </si>
  <si>
    <t>NORTE</t>
  </si>
  <si>
    <t xml:space="preserve">CESAR </t>
  </si>
  <si>
    <t xml:space="preserve">SUR </t>
  </si>
  <si>
    <t>PRODUCTO</t>
  </si>
  <si>
    <t>PROVEDOR</t>
  </si>
  <si>
    <t>FECHA DE VENCIMIENTO</t>
  </si>
  <si>
    <t>COSTO</t>
  </si>
  <si>
    <t>VENTA</t>
  </si>
  <si>
    <t>PRECIO PROMO</t>
  </si>
  <si>
    <t>PRECIO MALETERO</t>
  </si>
  <si>
    <t>CHOISE Try-in paste traslucido 2g bisco Probador</t>
  </si>
  <si>
    <t>promo 208200</t>
  </si>
  <si>
    <t>1/12/2025 10-2025</t>
  </si>
  <si>
    <t xml:space="preserve">PARACORE </t>
  </si>
  <si>
    <t>1  21-08-2025  2   1-02-2025</t>
  </si>
  <si>
    <t>pedi junio 28</t>
  </si>
  <si>
    <r>
      <rPr>
        <rFont val="Verdana"/>
        <sz val="10.0"/>
      </rPr>
      <t xml:space="preserve">ADHESIVO PARA IMPRESION CUBETA ZHERMACK </t>
    </r>
    <r>
      <rPr>
        <rFont val="Verdana"/>
        <color rgb="FFFF0000"/>
        <sz val="10.0"/>
      </rPr>
      <t>(ojo fecha vencimiento lejana)</t>
    </r>
  </si>
  <si>
    <r>
      <rPr>
        <rFont val="Verdana"/>
        <sz val="10.0"/>
      </rPr>
      <t xml:space="preserve">BABEROS DESECHABLES DE COLORES </t>
    </r>
    <r>
      <rPr>
        <rFont val="Verdana"/>
        <b/>
        <sz val="10.0"/>
      </rPr>
      <t>SURTIDOS</t>
    </r>
  </si>
  <si>
    <r>
      <rPr>
        <rFont val="Verdana"/>
        <sz val="10.0"/>
      </rPr>
      <t xml:space="preserve">Campos quirurjicos AZULES </t>
    </r>
    <r>
      <rPr>
        <rFont val="Verdana"/>
        <color rgb="FFFF0000"/>
        <sz val="10.0"/>
      </rPr>
      <t>X MT</t>
    </r>
  </si>
  <si>
    <r>
      <rPr>
        <rFont val="Verdana"/>
        <sz val="10.0"/>
      </rPr>
      <t xml:space="preserve">Pasta Profilactica (tutifruti - fresa) </t>
    </r>
    <r>
      <rPr>
        <rFont val="Verdana"/>
        <sz val="10.0"/>
      </rPr>
      <t>TUBO colapsible prodont</t>
    </r>
  </si>
  <si>
    <r>
      <rPr>
        <rFont val="Verdana"/>
        <b/>
        <sz val="10.0"/>
      </rPr>
      <t>DENTMARK $1800</t>
    </r>
    <r>
      <rPr>
        <rFont val="Verdana"/>
        <sz val="10.0"/>
      </rPr>
      <t xml:space="preserve"> Dyma $2023  GINA $2400   AQUILES $3213 </t>
    </r>
  </si>
  <si>
    <r>
      <rPr>
        <rFont val="Verdana"/>
        <b/>
        <sz val="10.0"/>
      </rPr>
      <t>DENTMARK $2000</t>
    </r>
    <r>
      <rPr>
        <rFont val="Verdana"/>
        <sz val="10.0"/>
      </rPr>
      <t xml:space="preserve">  Dyma $2142 GINA $2500  AQUILES $3213 </t>
    </r>
  </si>
  <si>
    <r>
      <rPr>
        <rFont val="Verdana"/>
        <b/>
        <sz val="10.0"/>
      </rPr>
      <t>DENTMAK $2200</t>
    </r>
    <r>
      <rPr>
        <rFont val="Verdana"/>
        <sz val="10.0"/>
      </rPr>
      <t xml:space="preserve"> Dyma $2261  GINA $2600  AQUILES $3213 </t>
    </r>
  </si>
  <si>
    <r>
      <rPr>
        <rFont val="Verdana"/>
        <sz val="10.0"/>
      </rPr>
      <t xml:space="preserve">platinas para articulador, bolsa por </t>
    </r>
    <r>
      <rPr>
        <rFont val="Verdana"/>
        <b/>
        <sz val="10.0"/>
      </rPr>
      <t>PQTE 10 pares</t>
    </r>
  </si>
  <si>
    <r>
      <rPr>
        <rFont val="Verdana"/>
        <sz val="10.0"/>
      </rPr>
      <t xml:space="preserve">probeta plastica tipo cristal  </t>
    </r>
    <r>
      <rPr>
        <rFont val="Verdana"/>
        <b/>
        <sz val="10.0"/>
      </rPr>
      <t>PQTE X 10</t>
    </r>
  </si>
  <si>
    <t>FECHA:</t>
  </si>
  <si>
    <t>INVENTARIO</t>
  </si>
  <si>
    <t>PEDIDO</t>
  </si>
  <si>
    <t>platinas para articulador, bolsa por PQTE 10 pares</t>
  </si>
  <si>
    <r>
      <rPr>
        <rFont val="Verdana"/>
        <sz val="10.0"/>
      </rPr>
      <t xml:space="preserve">ADHESIVO PARA IMPRESION CUBETA ZHERMACK </t>
    </r>
    <r>
      <rPr>
        <rFont val="Verdana"/>
        <color rgb="FFFF0000"/>
        <sz val="10.0"/>
      </rPr>
      <t>(ojo fecha vencimiento lejana)</t>
    </r>
  </si>
  <si>
    <r>
      <rPr>
        <rFont val="Verdana"/>
        <sz val="10.0"/>
      </rPr>
      <t xml:space="preserve">BABEROS DESECHABLES DE COLORES </t>
    </r>
    <r>
      <rPr>
        <rFont val="Verdana"/>
        <b/>
        <sz val="10.0"/>
      </rPr>
      <t>SURTIDOS</t>
    </r>
  </si>
  <si>
    <t>CAJA RETENEDORA PEQUEÑA  X 48</t>
  </si>
  <si>
    <r>
      <rPr>
        <rFont val="Verdana"/>
        <sz val="10.0"/>
      </rPr>
      <t xml:space="preserve">Campos quirurjicos AZULES </t>
    </r>
    <r>
      <rPr>
        <rFont val="Verdana"/>
        <color rgb="FFFF0000"/>
        <sz val="10.0"/>
      </rPr>
      <t>X MT</t>
    </r>
  </si>
  <si>
    <t>kit GRANDE SILICONA PESADA 900GM  sola</t>
  </si>
  <si>
    <r>
      <rPr>
        <rFont val="Verdana"/>
        <sz val="10.0"/>
      </rPr>
      <t xml:space="preserve">Pasta Profilactica (tutifruti - fresa) </t>
    </r>
    <r>
      <rPr>
        <rFont val="Verdana"/>
        <sz val="10.0"/>
      </rPr>
      <t>TUBO colapsible prodont</t>
    </r>
  </si>
  <si>
    <r>
      <rPr>
        <rFont val="Verdana"/>
        <b/>
        <sz val="10.0"/>
      </rPr>
      <t>DENTMARK $1800</t>
    </r>
    <r>
      <rPr>
        <rFont val="Verdana"/>
        <sz val="10.0"/>
      </rPr>
      <t xml:space="preserve"> Dyma $2023  GINA $2400   AQUILES $3213 </t>
    </r>
  </si>
  <si>
    <r>
      <rPr>
        <rFont val="Verdana"/>
        <b/>
        <sz val="10.0"/>
      </rPr>
      <t>DENTMARK $2000</t>
    </r>
    <r>
      <rPr>
        <rFont val="Verdana"/>
        <sz val="10.0"/>
      </rPr>
      <t xml:space="preserve">  Dyma $2142 GINA $2500  AQUILES $3213 </t>
    </r>
  </si>
  <si>
    <r>
      <rPr>
        <rFont val="Verdana"/>
        <b/>
        <sz val="10.0"/>
      </rPr>
      <t>DENTMAK $2200</t>
    </r>
    <r>
      <rPr>
        <rFont val="Verdana"/>
        <sz val="10.0"/>
      </rPr>
      <t xml:space="preserve"> Dyma $2261  GINA $2600  AQUILES $3213 </t>
    </r>
  </si>
  <si>
    <r>
      <rPr>
        <rFont val="Verdana"/>
        <sz val="10.0"/>
      </rPr>
      <t xml:space="preserve">platinas para articulador, bolsa por </t>
    </r>
    <r>
      <rPr>
        <rFont val="Verdana"/>
        <b/>
        <sz val="10.0"/>
      </rPr>
      <t>PQTE 10 pares</t>
    </r>
  </si>
  <si>
    <r>
      <rPr>
        <rFont val="Verdana"/>
        <sz val="10.0"/>
      </rPr>
      <t xml:space="preserve">probeta plastica tipo cristal  </t>
    </r>
    <r>
      <rPr>
        <rFont val="Verdana"/>
        <b/>
        <sz val="10.0"/>
      </rPr>
      <t>PQTE X 10</t>
    </r>
  </si>
  <si>
    <t xml:space="preserve">fecha </t>
  </si>
  <si>
    <t xml:space="preserve">LO QUE FALTA </t>
  </si>
  <si>
    <t>observaciones</t>
  </si>
  <si>
    <t>NOTA NORTE</t>
  </si>
  <si>
    <t>ENDO FROST</t>
  </si>
  <si>
    <t>PEDIR</t>
  </si>
  <si>
    <t>norte no hay</t>
  </si>
  <si>
    <t>cepillos interdentales granel y viajero</t>
  </si>
  <si>
    <t xml:space="preserve">norte </t>
  </si>
  <si>
    <t>agotado norte</t>
  </si>
  <si>
    <t>ya mandamos junio 28</t>
  </si>
  <si>
    <t xml:space="preserve">sellantes maquira </t>
  </si>
  <si>
    <t>DE CUALES ?</t>
  </si>
  <si>
    <t>ya mande</t>
  </si>
  <si>
    <t>6 GUANTES NEGRO NITRILO TALLA S</t>
  </si>
  <si>
    <t xml:space="preserve">MIENTRAS PEDIMOS </t>
  </si>
  <si>
    <t>acido sdi</t>
  </si>
  <si>
    <t xml:space="preserve">agotado </t>
  </si>
  <si>
    <t>Pesada Zhermack</t>
  </si>
  <si>
    <t xml:space="preserve">de las 2 presentciones </t>
  </si>
  <si>
    <t xml:space="preserve">Pesada Panasil </t>
  </si>
  <si>
    <t xml:space="preserve">400ml </t>
  </si>
  <si>
    <t xml:space="preserve">PRIMMA ART </t>
  </si>
  <si>
    <t>ENEBRADORES</t>
  </si>
  <si>
    <t xml:space="preserve">felpa peluche </t>
  </si>
  <si>
    <t>ya se mando pedir</t>
  </si>
  <si>
    <t xml:space="preserve">felpa pelo de cabra beige HP </t>
  </si>
  <si>
    <t>septanes 1/100</t>
  </si>
  <si>
    <t xml:space="preserve">donde abraham ya llego con bueba fecha </t>
  </si>
  <si>
    <t>piedra pomex lib</t>
  </si>
  <si>
    <t xml:space="preserve">alginato orthopint </t>
  </si>
  <si>
    <t>agotado</t>
  </si>
  <si>
    <t xml:space="preserve">POSTES AMARILLOS </t>
  </si>
  <si>
    <t xml:space="preserve">ORTHOPRINT </t>
  </si>
  <si>
    <t>Perico</t>
  </si>
  <si>
    <t>nelly</t>
  </si>
  <si>
    <t>FERCHO</t>
  </si>
  <si>
    <t>CRIST</t>
  </si>
  <si>
    <t xml:space="preserve">PEDIDO NORTE </t>
  </si>
  <si>
    <t>PERICO dcto 12% + iva</t>
  </si>
  <si>
    <t>NELLY dcto 15% + iva</t>
  </si>
  <si>
    <t>CRISTIAN</t>
  </si>
  <si>
    <t xml:space="preserve">AQUILES FERCHO </t>
  </si>
  <si>
    <t>a quien pedir)</t>
  </si>
  <si>
    <t>PRECIO DEL PEDIDO</t>
  </si>
  <si>
    <t xml:space="preserve">MALETERO </t>
  </si>
  <si>
    <t xml:space="preserve"> costo</t>
  </si>
  <si>
    <t>VR TOTAL</t>
  </si>
  <si>
    <t>PRECIO DE VENTA</t>
  </si>
  <si>
    <t xml:space="preserve">ABREBOCA MOLT ADULTO </t>
  </si>
  <si>
    <t>PERICO</t>
  </si>
  <si>
    <t>ABREBOCA MOLT PEDIATRICO</t>
  </si>
  <si>
    <t xml:space="preserve">ALICATE 2 PICOS # 139 </t>
  </si>
  <si>
    <t>ALICATE 3 PICOS # 200</t>
  </si>
  <si>
    <t>ALICATE PINZA QUITA BANDAS # 34</t>
  </si>
  <si>
    <t>PRECIO PERICO  $20980</t>
  </si>
  <si>
    <t>Aplicador de ligaduras llaves y cadenetas Morelly</t>
  </si>
  <si>
    <t>APLICADOR DICAL</t>
  </si>
  <si>
    <t>arco de Young De ADULTO OJO GRANDE instrumental</t>
  </si>
  <si>
    <t>N / V</t>
  </si>
  <si>
    <t>arco de Young pediatrico Pño instrumental</t>
  </si>
  <si>
    <t>Asentador de bandas 300 X instrumental (PARECE ELEVADOR) bandpusher</t>
  </si>
  <si>
    <t xml:space="preserve">Asentador de bandas color </t>
  </si>
  <si>
    <t>Asentador de Bandas MORELI</t>
  </si>
  <si>
    <t>BISTURI DE KIRKLAN INSTRUMENTAL</t>
  </si>
  <si>
    <t>BISTURI DE ORBAN INSTRUMENTAL</t>
  </si>
  <si>
    <t>Bruñidor 21 B</t>
  </si>
  <si>
    <t xml:space="preserve">Bruñidor de Bola y orqueta </t>
  </si>
  <si>
    <t xml:space="preserve">CADENA PORTA BABERO </t>
  </si>
  <si>
    <t>Calibrador de cera instrumental</t>
  </si>
  <si>
    <t>precio crstian $10000</t>
  </si>
  <si>
    <t>calibrador de metal instrumental</t>
  </si>
  <si>
    <t>calibrador pie de rey</t>
  </si>
  <si>
    <t>Castro Viejo instrumental (OJO PINZA QUE TIENE GANCHO EN EL MEDIO)</t>
  </si>
  <si>
    <t xml:space="preserve">Castro Viejo instrumental tijera </t>
  </si>
  <si>
    <t>CK 4</t>
  </si>
  <si>
    <t>CK 6</t>
  </si>
  <si>
    <t xml:space="preserve">CONDENSADOR DE AMALGAMA </t>
  </si>
  <si>
    <t xml:space="preserve">Corte de Ligadura ortodoncia </t>
  </si>
  <si>
    <t>Corte de Ligadura ortodoncia angelus</t>
  </si>
  <si>
    <t xml:space="preserve">Corte Distal ORTODONCIA </t>
  </si>
  <si>
    <t>CUBETAS PARA IMPRESIÓN ADULTOS</t>
  </si>
  <si>
    <t>CUBETAS PARA IMPRESIÓN pediatrico</t>
  </si>
  <si>
    <t>Cucharilla #17 Puppies</t>
  </si>
  <si>
    <t>Cucharilla basico instrumental</t>
  </si>
  <si>
    <t xml:space="preserve">BASICO </t>
  </si>
  <si>
    <t>CUCHILLO PROTESIS GRANDE</t>
  </si>
  <si>
    <t>Cureta 11/12 instrumental Mc Call</t>
  </si>
  <si>
    <t>precio cristian $4000</t>
  </si>
  <si>
    <t>Cureta 13/14 instrumental Mc Call</t>
  </si>
  <si>
    <t>Cureta 15/16 instrumental Mc Call</t>
  </si>
  <si>
    <t>Cureta 17/18 instrumental Mc Call</t>
  </si>
  <si>
    <t>cureta de Lucas #85</t>
  </si>
  <si>
    <t>precio cristian 5600</t>
  </si>
  <si>
    <t>CURETA Gracey 1/2 Instrumental</t>
  </si>
  <si>
    <t>CURETA Gracey 11/12 Instrumental</t>
  </si>
  <si>
    <t>CURETA Gracey 13/14 Instrumental</t>
  </si>
  <si>
    <t>CURETA Gracey 15/16 Instrumental</t>
  </si>
  <si>
    <t>CURETA Gracey 17/18 Instrumental</t>
  </si>
  <si>
    <t>CURETA Gracey 3/4 Instrumental</t>
  </si>
  <si>
    <t>CURETA Gracey 5/6 Instrumental</t>
  </si>
  <si>
    <t>CURETA Gracey 7/8 Instrumental</t>
  </si>
  <si>
    <t>CURETA Gracey 9/10 Instrumental</t>
  </si>
  <si>
    <t>elevador Apical derecho 303 instrumental</t>
  </si>
  <si>
    <t>elevador Apical Izquierdo 302 instrumental</t>
  </si>
  <si>
    <t>elevador bandera derecha 1R instrumental</t>
  </si>
  <si>
    <t>elevador bandera izquierdo 1L instrumental</t>
  </si>
  <si>
    <t xml:space="preserve">elevador recto ancho  304 instrumental </t>
  </si>
  <si>
    <t xml:space="preserve">elevador recto delgado 301 instrumental </t>
  </si>
  <si>
    <t>elevador recto MAS ancho  34 instrumental</t>
  </si>
  <si>
    <t>Elevador seldin 23 instrumental</t>
  </si>
  <si>
    <t>EMPACADOR DE HILO instrumental</t>
  </si>
  <si>
    <t>ESPATULA 7A</t>
  </si>
  <si>
    <t>revisar $4500 cris</t>
  </si>
  <si>
    <t xml:space="preserve">ESPATULA 7A PLASTICO </t>
  </si>
  <si>
    <t>Espatula de cemento metalica CORTA DOBLE instrumental 20/23</t>
  </si>
  <si>
    <t>CRISTIAN AQUILES</t>
  </si>
  <si>
    <t>Espatula de CEMENTO PLASTICA</t>
  </si>
  <si>
    <t xml:space="preserve">ESPATULA GRITMAN PARA CERA </t>
  </si>
  <si>
    <t>espatula yeso mango madera ANCHA INSTRUMENTAL</t>
  </si>
  <si>
    <t>Estrella Poscicionador de Brackts ortodoncia</t>
  </si>
  <si>
    <t>Explorador de conducto</t>
  </si>
  <si>
    <t xml:space="preserve">Explorador del Basico instrumental </t>
  </si>
  <si>
    <t>forceps 150 instrumental</t>
  </si>
  <si>
    <t>forceps 151 instrumental</t>
  </si>
  <si>
    <t xml:space="preserve">forceps 16  instrumental </t>
  </si>
  <si>
    <t>forceps 17 L (no pedir)</t>
  </si>
  <si>
    <t>forceps 18 L (no pedir)</t>
  </si>
  <si>
    <t xml:space="preserve">forceps 24 instrumental </t>
  </si>
  <si>
    <t xml:space="preserve">forceps 69 instrumental </t>
  </si>
  <si>
    <t>forceps pediatrico 150 S  instrumental</t>
  </si>
  <si>
    <t xml:space="preserve">forceps pediatrico 151 S instrumental </t>
  </si>
  <si>
    <t>FP 3</t>
  </si>
  <si>
    <t>FP 3 plastcio</t>
  </si>
  <si>
    <t xml:space="preserve">HOLLEMBACK </t>
  </si>
  <si>
    <t>INSTRUMENTAL DE GLICK DELGADO</t>
  </si>
  <si>
    <t>INSTRUMENTAL PKT 54-630</t>
  </si>
  <si>
    <t>puppies</t>
  </si>
  <si>
    <t>INSTRUMENTAL PKT 54-631</t>
  </si>
  <si>
    <t>INSTRUMENTAL PKT 54-632</t>
  </si>
  <si>
    <t>INSTRUMENTAL PKT Chorriador 54-628</t>
  </si>
  <si>
    <t>INSTRUMENTAL PKT Chorriador 54-629</t>
  </si>
  <si>
    <t xml:space="preserve">INSTRUMENTAL PKT completo x 5 </t>
  </si>
  <si>
    <t>Jeringa carpule de rosca CON ALETA INSTRUMENTAL</t>
  </si>
  <si>
    <t>KIT Basico adulto instrumental</t>
  </si>
  <si>
    <t>KIT Basico instrumental PEDIATRICO</t>
  </si>
  <si>
    <t>BASICO P</t>
  </si>
  <si>
    <t xml:space="preserve">NELLY </t>
  </si>
  <si>
    <t>Lima de Hueso instrumental</t>
  </si>
  <si>
    <t>luna para espejo instrumental basico No. 5</t>
  </si>
  <si>
    <t>luna para espejo instrumental No. 4</t>
  </si>
  <si>
    <t>Mango de bisturi instrumental</t>
  </si>
  <si>
    <t>MANGO SOLO PARA ESPEJO BASICO instrumental</t>
  </si>
  <si>
    <t>MARTILLO TUMBA PUENTES XTRES PUNTAS</t>
  </si>
  <si>
    <t xml:space="preserve">MECHERO METALICO </t>
  </si>
  <si>
    <t>Perforador de tela instrumental</t>
  </si>
  <si>
    <t>PERIOSTOTOMO (elevador de molt)</t>
  </si>
  <si>
    <t>PINZA ALGODONERA del basico</t>
  </si>
  <si>
    <t>PINZA ALGODONERA PEDIATRICA</t>
  </si>
  <si>
    <t>Pinza batckhaus doblada</t>
  </si>
  <si>
    <t>PINZA CONTORNEADORA Ó 114 instrumental</t>
  </si>
  <si>
    <t>PINZA DE ADSON CON GARRA</t>
  </si>
  <si>
    <t>PINZA DE ADSON SIN GARRA</t>
  </si>
  <si>
    <t>pinza Gubia instrumental</t>
  </si>
  <si>
    <t>Pinza how</t>
  </si>
  <si>
    <t>pinza kely CURVA instrumental</t>
  </si>
  <si>
    <t>pinza kely RECTA instrumental</t>
  </si>
  <si>
    <t>precio cristian $7000</t>
  </si>
  <si>
    <t>PINZA MATHIEU Ortodoncia</t>
  </si>
  <si>
    <t>pinza mosquito curva instrumental</t>
  </si>
  <si>
    <t>pinza mosquito recta instrumental</t>
  </si>
  <si>
    <t>PINZA PAPEL ARTICULAR instrumental Myllers miller</t>
  </si>
  <si>
    <t xml:space="preserve">Pinza Porta Bracket ORTODONCIA </t>
  </si>
  <si>
    <t>precio perico $17600</t>
  </si>
  <si>
    <t>PINZA QUITA BRACKETS ortodoncia</t>
  </si>
  <si>
    <t xml:space="preserve">Pinza young instrumental No. 130 ortodoncia </t>
  </si>
  <si>
    <t xml:space="preserve">PORTA AGUJAS GRANDE tijera pinza instrumental </t>
  </si>
  <si>
    <t>PORTA AGUJAS MAYO  14CM  tijera pinza instrumental</t>
  </si>
  <si>
    <t>PORTA AMALGAMA</t>
  </si>
  <si>
    <t xml:space="preserve">PORTA MATRIZ instrumental </t>
  </si>
  <si>
    <t xml:space="preserve">PORTA TUBO ORTODONCIA </t>
  </si>
  <si>
    <t>PORTAGRAPA porta grapa instrumental</t>
  </si>
  <si>
    <t xml:space="preserve">Posicionador de brackets ortodoncia </t>
  </si>
  <si>
    <t xml:space="preserve">RETRACTOR DE MINESOTA separador </t>
  </si>
  <si>
    <t xml:space="preserve">SEPARADOR DE FARABEUF </t>
  </si>
  <si>
    <t>Sonda periodontal instrumental</t>
  </si>
  <si>
    <t>Tallador  CLEOIDE DISCOIDE</t>
  </si>
  <si>
    <t>TALLADOR DE FRANK ( AMALGAMA )</t>
  </si>
  <si>
    <t xml:space="preserve">TALLADOR DE LECRON ( AMALGAMA ) </t>
  </si>
  <si>
    <t xml:space="preserve">TALLADOR DE WARD </t>
  </si>
  <si>
    <t>TIJERA DE IRIS CURVA</t>
  </si>
  <si>
    <t xml:space="preserve">PERICO </t>
  </si>
  <si>
    <t>TIJERA DE IRIS RECTA</t>
  </si>
  <si>
    <t>tijera de sutura instrumental</t>
  </si>
  <si>
    <t>tijera gingivectomia curva instrumental</t>
  </si>
  <si>
    <t>tijera gingivectomia recta instrumental</t>
  </si>
  <si>
    <t>Tijera material curva instrumental</t>
  </si>
  <si>
    <t>Tijera material recta instrumental</t>
  </si>
  <si>
    <t xml:space="preserve">TIJERA MATZENMBAUN CURVA </t>
  </si>
  <si>
    <t>TIJERA MATZENMBAUN RECTA</t>
  </si>
  <si>
    <t>Tijera puentes corona curva</t>
  </si>
  <si>
    <t>Tijera puentes corona recta</t>
  </si>
  <si>
    <t>TRANPORTADOR DE CALOR (no enviar instrumento de glick)</t>
  </si>
  <si>
    <r>
      <rPr>
        <rFont val="Verdana"/>
        <sz val="10.0"/>
      </rPr>
      <t xml:space="preserve">Pasta Profilactica (tutifruti - fresa) </t>
    </r>
    <r>
      <rPr>
        <rFont val="Verdana"/>
        <sz val="10.0"/>
      </rPr>
      <t>TUBO colapsible prodont</t>
    </r>
  </si>
  <si>
    <t>LATEX</t>
  </si>
  <si>
    <t>NITRILO</t>
  </si>
  <si>
    <t>TOTAL NORTE Y SUR</t>
  </si>
  <si>
    <t>AZUL</t>
  </si>
  <si>
    <t>NEGRO</t>
  </si>
  <si>
    <t>MORADO</t>
  </si>
  <si>
    <t>ROSADO</t>
  </si>
  <si>
    <t>XS</t>
  </si>
  <si>
    <t>S</t>
  </si>
  <si>
    <t>M</t>
  </si>
  <si>
    <t>-</t>
  </si>
  <si>
    <t>TOTAL</t>
  </si>
  <si>
    <t>PAGAR ANTES DE:</t>
  </si>
  <si>
    <t>Clase de Servicio</t>
  </si>
  <si>
    <t>de que casa</t>
  </si>
  <si>
    <t>Valor Aprox</t>
  </si>
  <si>
    <t>Referencia de pago</t>
  </si>
  <si>
    <t>Agt - 2024</t>
  </si>
  <si>
    <t>Sep - 2024</t>
  </si>
  <si>
    <t>ARRENDO UNIDENTAL SUR</t>
  </si>
  <si>
    <t>UNIDENTAL SUR</t>
  </si>
  <si>
    <t>SEP 4 $2.000.000</t>
  </si>
  <si>
    <t>OCT 04    $2,000,000</t>
  </si>
  <si>
    <t>NOV 07   $2,000,000</t>
  </si>
  <si>
    <t>DIC 06  $2,000,000</t>
  </si>
  <si>
    <r>
      <rPr>
        <sz val="12.0"/>
      </rPr>
      <t>ENE 10  $2,000,000</t>
    </r>
    <r>
      <rPr>
        <sz val="8.0"/>
      </rPr>
      <t xml:space="preserve"> </t>
    </r>
  </si>
  <si>
    <t>FEB 03  $2,000,000</t>
  </si>
  <si>
    <t>MARZO 04  $2,000,000</t>
  </si>
  <si>
    <t>ABRIL 04 $2,000,000</t>
  </si>
  <si>
    <t>MAYO 05 $2,000,000</t>
  </si>
  <si>
    <t>JUNIO 06 $2,167,000</t>
  </si>
  <si>
    <t>BANCOOMEVA ASOCIADO</t>
  </si>
  <si>
    <t>BANCOOMEVA</t>
  </si>
  <si>
    <t>AGOSTO 1    $2.348.713</t>
  </si>
  <si>
    <t>SEP 05 $2,536,275</t>
  </si>
  <si>
    <t>OCT 04   $4,700,470</t>
  </si>
  <si>
    <t>NOV 05   $2,504,652</t>
  </si>
  <si>
    <t>DIC 5 $2,592,022</t>
  </si>
  <si>
    <t>ENE 08  $5,401,000</t>
  </si>
  <si>
    <t>FEB 05 $1,719,970</t>
  </si>
  <si>
    <t>MARZO 05 $4,842,704</t>
  </si>
  <si>
    <t>ABRIL 10 $3,290,000</t>
  </si>
  <si>
    <t>MAYO 03 $3,252,764</t>
  </si>
  <si>
    <t xml:space="preserve">JUNIO 06 $5,770,000 pago jose </t>
  </si>
  <si>
    <t xml:space="preserve">JOSE DAVID </t>
  </si>
  <si>
    <t>GABRIELA</t>
  </si>
  <si>
    <t>CELULAR RAUL</t>
  </si>
  <si>
    <t>MOVISTAR</t>
  </si>
  <si>
    <t>Agt 09    $37579</t>
  </si>
  <si>
    <t>sept 6        $37,674</t>
  </si>
  <si>
    <t>OCT 07    $37,580</t>
  </si>
  <si>
    <t>NOV 05    $36,550</t>
  </si>
  <si>
    <t>DIC 5     $36,489</t>
  </si>
  <si>
    <t>ENE 08    $36,489</t>
  </si>
  <si>
    <t>FEB 05 $37,628</t>
  </si>
  <si>
    <t>MARZO 04 $36,489</t>
  </si>
  <si>
    <t>ABRIL 02  $36,489</t>
  </si>
  <si>
    <t>MAYO 03 $36,489</t>
  </si>
  <si>
    <t>JUNIO 06 $36,489</t>
  </si>
  <si>
    <t>EMCALI</t>
  </si>
  <si>
    <t>MORICHAL</t>
  </si>
  <si>
    <t>AGT 10     $679.012</t>
  </si>
  <si>
    <t>sept 10 $656.025</t>
  </si>
  <si>
    <t>OCT 07    $701,032</t>
  </si>
  <si>
    <t>Nov 06    $621,873</t>
  </si>
  <si>
    <t>DIC 09  $760,562</t>
  </si>
  <si>
    <t>ENE 13 $610,037</t>
  </si>
  <si>
    <t>FEB 05 $763,799</t>
  </si>
  <si>
    <t>MARZO 07 $638,699</t>
  </si>
  <si>
    <t>ABRIL 07 $524,481</t>
  </si>
  <si>
    <t>MAYO 08 $533,268</t>
  </si>
  <si>
    <t>JUNIO 09 $389,320</t>
  </si>
  <si>
    <t xml:space="preserve">MOVISTAR </t>
  </si>
  <si>
    <t>GRANADA</t>
  </si>
  <si>
    <t>605 705 10081</t>
  </si>
  <si>
    <t>AGT 10     $56.703</t>
  </si>
  <si>
    <t>SEPT 9 $86.000</t>
  </si>
  <si>
    <t>OCT 07     $80,395</t>
  </si>
  <si>
    <t>NOV 06     $52,121</t>
  </si>
  <si>
    <t>DIC 09    $53,093</t>
  </si>
  <si>
    <t>ENE 13 $82,457</t>
  </si>
  <si>
    <t>FEB 05 $119,965</t>
  </si>
  <si>
    <t>MARZO 07 $97,985</t>
  </si>
  <si>
    <t>ABRIL 07 $131,636</t>
  </si>
  <si>
    <t>MAYO 08 $99,375</t>
  </si>
  <si>
    <t>JUNIO 09 $128,849</t>
  </si>
  <si>
    <t xml:space="preserve">EPS JENNIFER MADRID </t>
  </si>
  <si>
    <t>Mariana gestores 077-000264-71</t>
  </si>
  <si>
    <t>DIC 14  $367,800</t>
  </si>
  <si>
    <t>ENE 13 $367,800</t>
  </si>
  <si>
    <t xml:space="preserve"> FEB 07 $367,800</t>
  </si>
  <si>
    <t>MARZO 08 $401,300</t>
  </si>
  <si>
    <t>ABRIL 07 $401,300</t>
  </si>
  <si>
    <t>MAYO 08 $401300</t>
  </si>
  <si>
    <t>JUNIO 09 $401,300</t>
  </si>
  <si>
    <t>RAFA EPS</t>
  </si>
  <si>
    <t>8833 68 1550</t>
  </si>
  <si>
    <t>AGT 10    $348.000</t>
  </si>
  <si>
    <t>sep 10 $348,000</t>
  </si>
  <si>
    <t>OCT 08   $348,000</t>
  </si>
  <si>
    <t>NOV 07   $348,000</t>
  </si>
  <si>
    <t>DIC 14  $348,000</t>
  </si>
  <si>
    <t>ENE 13 $348,000</t>
  </si>
  <si>
    <t>FEB 07 $348,000</t>
  </si>
  <si>
    <t>MARZO 08 $381,300</t>
  </si>
  <si>
    <t>ABRIL 07 $381,300</t>
  </si>
  <si>
    <t>MAYO 08 $381300</t>
  </si>
  <si>
    <t>JUNIO 09 $381,300</t>
  </si>
  <si>
    <t>ADMINISTRACION LA CEIBA -   Av villas</t>
  </si>
  <si>
    <t>VALLE LILI 3202 cll 54 #83c2 38</t>
  </si>
  <si>
    <t>Agt 10    $151.800</t>
  </si>
  <si>
    <t>Sep 10 $151,800</t>
  </si>
  <si>
    <t>OCT 07   $151,800</t>
  </si>
  <si>
    <t>NOV 08   $151,800</t>
  </si>
  <si>
    <t>DIC 09  $151,800</t>
  </si>
  <si>
    <t>ENE 09 $151,800</t>
  </si>
  <si>
    <t>FEB 10 $151,800</t>
  </si>
  <si>
    <t>MARZO 08 $151,800</t>
  </si>
  <si>
    <t>ABRIL 07 $232,600</t>
  </si>
  <si>
    <t>MAYO 09 $172,000</t>
  </si>
  <si>
    <t>JUNIO 09 $172,000</t>
  </si>
  <si>
    <t>ADMINISTRACION AV Villas</t>
  </si>
  <si>
    <t>URBANIZ CERROS Cll 1 #56-70</t>
  </si>
  <si>
    <t>pago 10 Agt 2024 $460750</t>
  </si>
  <si>
    <t>Sep 10 $460,750</t>
  </si>
  <si>
    <t>OCT 08   $460,750</t>
  </si>
  <si>
    <t>NOV 08   $460,750</t>
  </si>
  <si>
    <t>DIC 09  $460,750</t>
  </si>
  <si>
    <t>ENE 09 $460,750</t>
  </si>
  <si>
    <t>FEB 10 $460,750</t>
  </si>
  <si>
    <t>MARZO 08 $460,750</t>
  </si>
  <si>
    <t>ABRIL 08 $740,100</t>
  </si>
  <si>
    <t>MAYO 09 $530,100</t>
  </si>
  <si>
    <t>JUNIO 06 $530,100</t>
  </si>
  <si>
    <t>EPS - Simple</t>
  </si>
  <si>
    <t>RAUL</t>
  </si>
  <si>
    <t>883 368 1550</t>
  </si>
  <si>
    <t>Agoto 12 $370.500</t>
  </si>
  <si>
    <t>Sep 10 $370,500</t>
  </si>
  <si>
    <t>OCT 08   $370,500</t>
  </si>
  <si>
    <t>NOV 26 $371,900</t>
  </si>
  <si>
    <t>DIC 16  $370,500</t>
  </si>
  <si>
    <t>ENE 14 $370,500</t>
  </si>
  <si>
    <t>ENE 16 $405,800</t>
  </si>
  <si>
    <t>MARZO 11 $405,800</t>
  </si>
  <si>
    <t>ABRIL 08 $405,800</t>
  </si>
  <si>
    <t>MAYO 12 $405,800</t>
  </si>
  <si>
    <t>JUNIO 09 $405,800</t>
  </si>
  <si>
    <t>GASES DE OCCIDENTE</t>
  </si>
  <si>
    <t>VALLE LILI</t>
  </si>
  <si>
    <t>CERROS</t>
  </si>
  <si>
    <t>agosto 20 $42.667</t>
  </si>
  <si>
    <t xml:space="preserve">Sep 19      $45,035   </t>
  </si>
  <si>
    <t>OCT 11    $51,814</t>
  </si>
  <si>
    <t>NOV 14   $60,672</t>
  </si>
  <si>
    <t>DIC 16    $69,307</t>
  </si>
  <si>
    <t>ENE 14 $57,431</t>
  </si>
  <si>
    <t>FEB 17  $62,329</t>
  </si>
  <si>
    <t>MAR 18    $56,134</t>
  </si>
  <si>
    <t>ABRIL 16 $44,317</t>
  </si>
  <si>
    <t>MAYO 20 $49,951</t>
  </si>
  <si>
    <t>JUNIO 17 $45,171</t>
  </si>
  <si>
    <t>CLARO HOGAR</t>
  </si>
  <si>
    <t>agosto 20 $92.139</t>
  </si>
  <si>
    <t>Sep 19     $99,619</t>
  </si>
  <si>
    <t>OCT 11     $99,619</t>
  </si>
  <si>
    <t>NOV 14   $106,499</t>
  </si>
  <si>
    <t>DIC 17   $106,499</t>
  </si>
  <si>
    <t>ENE 16  $106,499</t>
  </si>
  <si>
    <t>FEB 20 $106,499</t>
  </si>
  <si>
    <t xml:space="preserve"> MARZO 18 $109,499</t>
  </si>
  <si>
    <t>ABRIL 23 $106,499</t>
  </si>
  <si>
    <t>MAYO 20 $129,198</t>
  </si>
  <si>
    <t xml:space="preserve">junio 17 dice que ya esta cancelada </t>
  </si>
  <si>
    <t>AGT $50,000</t>
  </si>
  <si>
    <t>Sep 19     $156,024</t>
  </si>
  <si>
    <t>OCT 17   $137,177</t>
  </si>
  <si>
    <t>NOV 14   $137,238</t>
  </si>
  <si>
    <t>DIC 17   $89,205</t>
  </si>
  <si>
    <t>ENE 16 $89,205</t>
  </si>
  <si>
    <t>FEB 20 $88,456</t>
  </si>
  <si>
    <t xml:space="preserve"> MARZO 18 $90,539</t>
  </si>
  <si>
    <t>ABRIL 16 $89,205</t>
  </si>
  <si>
    <t>MAYO 20 $89,205</t>
  </si>
  <si>
    <t>JUNIO 17 $150,519</t>
  </si>
  <si>
    <t xml:space="preserve">CREDITO CONSUMO COLPATRIA </t>
  </si>
  <si>
    <t xml:space="preserve"> RAUL CREDITO </t>
  </si>
  <si>
    <t>$16,860,000</t>
  </si>
  <si>
    <t>NOV 25     $1,491,000</t>
  </si>
  <si>
    <t>DIC 18 $1,589,200</t>
  </si>
  <si>
    <t>ENE 16 $1,585,000</t>
  </si>
  <si>
    <t>FEB 20 $7,085,000</t>
  </si>
  <si>
    <t>MARZO 15 $1,569,183</t>
  </si>
  <si>
    <t>agosto 20 $681.934</t>
  </si>
  <si>
    <t>Sep 19     $660,131</t>
  </si>
  <si>
    <t>OCT 11    $698,265</t>
  </si>
  <si>
    <t>NOV 26  $694,042</t>
  </si>
  <si>
    <t>DIC 19   $685,338</t>
  </si>
  <si>
    <t>ENE 20  $737,809</t>
  </si>
  <si>
    <t>FEB 20 $671,716</t>
  </si>
  <si>
    <t>MAR 22 $723,661</t>
  </si>
  <si>
    <t>ABRIL 16 $1,078,336</t>
  </si>
  <si>
    <t>MAYO 20 $882,890</t>
  </si>
  <si>
    <t>JUNIO 17 $804,005</t>
  </si>
  <si>
    <t>20/8/2024 $523.071</t>
  </si>
  <si>
    <t>Sep 19     $463,478</t>
  </si>
  <si>
    <t>OCT 23    $484,659</t>
  </si>
  <si>
    <t>NOV 26   $474,695</t>
  </si>
  <si>
    <t>DIC 19   $565,182</t>
  </si>
  <si>
    <t>ENE 29 $551,351</t>
  </si>
  <si>
    <t>FEB 28 $523,068</t>
  </si>
  <si>
    <t>MAR 25 $437,904</t>
  </si>
  <si>
    <t>ABRIL 26 $443,214</t>
  </si>
  <si>
    <t>MAYO 23 $450,792</t>
  </si>
  <si>
    <t>JUNIO 27 $362,547</t>
  </si>
  <si>
    <t xml:space="preserve">EMCALI </t>
  </si>
  <si>
    <t>AGT 28 $200,012</t>
  </si>
  <si>
    <t>Sep 19   $437,971</t>
  </si>
  <si>
    <t>OCT 23    $524,655</t>
  </si>
  <si>
    <t>NOV 26   $422,377</t>
  </si>
  <si>
    <t>DIC 19  $414,937</t>
  </si>
  <si>
    <t>ENE 24 $376,195</t>
  </si>
  <si>
    <t>FEB 25 $390,530</t>
  </si>
  <si>
    <t>MAR 25 $479,891</t>
  </si>
  <si>
    <t>ABRIL 30 $527,345</t>
  </si>
  <si>
    <t>MAYO 23 $457,607</t>
  </si>
  <si>
    <t>JUNIO 27 $425,119</t>
  </si>
  <si>
    <t>agosto 20 $42.931</t>
  </si>
  <si>
    <t>Sep 19     $42,909</t>
  </si>
  <si>
    <t>OCT 11     $48,722</t>
  </si>
  <si>
    <t>NOV 14   $55,098</t>
  </si>
  <si>
    <t>DIC 16    $42,854</t>
  </si>
  <si>
    <r>
      <rPr>
        <sz val="9.0"/>
      </rPr>
      <t>Se pago x medio de un concurso q gano en</t>
    </r>
    <r>
      <rPr>
        <b/>
        <sz val="9.0"/>
      </rPr>
      <t xml:space="preserve"> ENERO</t>
    </r>
    <r>
      <rPr>
        <sz val="9.0"/>
      </rPr>
      <t xml:space="preserve"> el recibo se pago por valor x </t>
    </r>
    <r>
      <rPr>
        <b/>
        <sz val="9.0"/>
      </rPr>
      <t>$29,985</t>
    </r>
  </si>
  <si>
    <t>FEB 28 $24,098</t>
  </si>
  <si>
    <t>MAR 25 $26,359</t>
  </si>
  <si>
    <t>ABRIL 26 $38,954</t>
  </si>
  <si>
    <t>MAYO 23 $22,669</t>
  </si>
  <si>
    <t>JUNIO 27 $31,117</t>
  </si>
  <si>
    <t>Sep 19 pago 2 meses $24,925</t>
  </si>
  <si>
    <t>OCT 11       $6,108</t>
  </si>
  <si>
    <t xml:space="preserve">NOV 14       $9,200 </t>
  </si>
  <si>
    <t>DIC 16    $12,069</t>
  </si>
  <si>
    <t>ENE 25   $9,229</t>
  </si>
  <si>
    <t>FEB 28 $12,489</t>
  </si>
  <si>
    <t>MAR 25 $12,374</t>
  </si>
  <si>
    <t>ABRIL 26 $12,064</t>
  </si>
  <si>
    <t>MAYO 23 $15,634</t>
  </si>
  <si>
    <t>JUNIO 27 $15,738</t>
  </si>
  <si>
    <t xml:space="preserve">Total </t>
  </si>
  <si>
    <t>Valor</t>
  </si>
  <si>
    <t>Vence</t>
  </si>
  <si>
    <t>factura</t>
  </si>
  <si>
    <t xml:space="preserve">espacio para raul </t>
  </si>
  <si>
    <t>PAGADA</t>
  </si>
  <si>
    <t>RM</t>
  </si>
  <si>
    <t xml:space="preserve">GABRIELA PAGAR EN EFECTIVO </t>
  </si>
  <si>
    <t>BIODENTALES</t>
  </si>
  <si>
    <t>ok pague mayo 13</t>
  </si>
  <si>
    <t>PAGUE 2 VECES</t>
  </si>
  <si>
    <t xml:space="preserve">NURIA </t>
  </si>
  <si>
    <t xml:space="preserve">Varios </t>
  </si>
  <si>
    <t>se abono $1,766,700 saldo $935</t>
  </si>
  <si>
    <t>SE ABONO MAYO 26</t>
  </si>
  <si>
    <t>PLUSS DENT</t>
  </si>
  <si>
    <t>SUR</t>
  </si>
  <si>
    <t>OK CORROBORADA</t>
  </si>
  <si>
    <t>IMPORQUIRURGICA</t>
  </si>
  <si>
    <t xml:space="preserve">YA LA PAGUE </t>
  </si>
  <si>
    <t>PREMIUM</t>
  </si>
  <si>
    <t xml:space="preserve">RM </t>
  </si>
  <si>
    <t>REVISAR VALOR ANTES DE PAGAR</t>
  </si>
  <si>
    <t>ok corroborada</t>
  </si>
  <si>
    <t>YA PAGUE TRANSFER JN 25</t>
  </si>
  <si>
    <t xml:space="preserve">JEN PAGAR </t>
  </si>
  <si>
    <t>ESTERIPAC</t>
  </si>
  <si>
    <t>Jun 25 abono $1,581,300 saldo $3,400</t>
  </si>
  <si>
    <t xml:space="preserve">JEN PAGAR O ABONAR </t>
  </si>
  <si>
    <t xml:space="preserve">PERICO REMI JERINGAS </t>
  </si>
  <si>
    <t>JENIFER DEJELA PENDIENTE PRIMERO PAGUE LA OTRA</t>
  </si>
  <si>
    <t>Gabriela pago efectivo junio 26</t>
  </si>
  <si>
    <t>GABRIELA PAGAR CON TDC</t>
  </si>
  <si>
    <t>DORA</t>
  </si>
  <si>
    <t>YA SE PAGO</t>
  </si>
  <si>
    <t xml:space="preserve">   </t>
  </si>
  <si>
    <t>GABRIELA REVISAR Y PAGAR EN EFECTIVO</t>
  </si>
  <si>
    <t>ORTHO PROFESSIONAL</t>
  </si>
  <si>
    <t xml:space="preserve">JULIO </t>
  </si>
  <si>
    <t xml:space="preserve">TENGO ESTE VALOR A MI FAVOR </t>
  </si>
  <si>
    <t>PROVEEDOR</t>
  </si>
  <si>
    <t xml:space="preserve">SEDE </t>
  </si>
  <si>
    <t>dentmark</t>
  </si>
  <si>
    <t>makrodent dentmart</t>
  </si>
  <si>
    <t>acido desmineralizante  fosforico MAQUIRA 2.5</t>
  </si>
  <si>
    <t>promo $32400</t>
  </si>
  <si>
    <t>promo $70800</t>
  </si>
  <si>
    <r>
      <rPr>
        <rFont val="Verdana"/>
        <sz val="10.0"/>
      </rPr>
      <t xml:space="preserve">ADHESIVO PARA IMPRESION CUBETA ZHERMACK </t>
    </r>
    <r>
      <rPr>
        <rFont val="Verdana"/>
        <color rgb="FFFF0000"/>
        <sz val="10.0"/>
      </rPr>
      <t>(ojo fecha vencimiento lejana)</t>
    </r>
  </si>
  <si>
    <t>promo $190800</t>
  </si>
  <si>
    <t>ANESTESIA New caina anestesia 2 % E - 80 blister x10</t>
  </si>
  <si>
    <r>
      <rPr>
        <rFont val="Verdana"/>
        <sz val="10.0"/>
      </rPr>
      <t xml:space="preserve">BABEROS DESECHABLES DE COLORES </t>
    </r>
    <r>
      <rPr>
        <rFont val="Verdana"/>
        <b/>
        <sz val="10.0"/>
      </rPr>
      <t>SURTIDOS</t>
    </r>
  </si>
  <si>
    <t>promo $134400</t>
  </si>
  <si>
    <t>imporq dentmart</t>
  </si>
  <si>
    <t>CALCIFAR - P JERINGA 2ML (Hidroxido de calcio en pasta)</t>
  </si>
  <si>
    <r>
      <rPr>
        <rFont val="Verdana"/>
        <sz val="10.0"/>
      </rPr>
      <t xml:space="preserve">Campos quirurjicos AZULES </t>
    </r>
    <r>
      <rPr>
        <rFont val="Verdana"/>
        <color rgb="FFFF0000"/>
        <sz val="10.0"/>
      </rPr>
      <t>X MT</t>
    </r>
  </si>
  <si>
    <t xml:space="preserve">AQULIES $42 - Ramon  42 - dent $32 </t>
  </si>
  <si>
    <t>aquiles - ramon - dentmart imporq</t>
  </si>
  <si>
    <t>masdental $158900 promo $96000</t>
  </si>
  <si>
    <t>aquiles $18.000 ramon 26000</t>
  </si>
  <si>
    <t>ultradental soccidentales</t>
  </si>
  <si>
    <t>GRAMERA DIGITAL</t>
  </si>
  <si>
    <t>HOYOSTOOL</t>
  </si>
  <si>
    <t>new stetic $1142  ALLERS $1428 MUNDIAL X50 $840</t>
  </si>
  <si>
    <t>hidroxcal (hidroxido de calcio) FOTOCURADO 2gm</t>
  </si>
  <si>
    <t>Hilo para sutura x yardas 3/0 (tarro) carrete</t>
  </si>
  <si>
    <t>Hilo para sutura x yardas 4/0 (tarro) carrete</t>
  </si>
  <si>
    <t>abraham - IMPORQ Dentmart</t>
  </si>
  <si>
    <t xml:space="preserve">hydcal hidcal dycal cemento hidroxiod calcio pasta pasta </t>
  </si>
  <si>
    <t>New Stetic IMPORQ  Dent Marck</t>
  </si>
  <si>
    <t>promo $51300</t>
  </si>
  <si>
    <r>
      <rPr>
        <rFont val="Verdana"/>
        <sz val="10.0"/>
      </rPr>
      <t xml:space="preserve">Pasta Profilactica (tutifruti - fresa) </t>
    </r>
    <r>
      <rPr>
        <rFont val="Verdana"/>
        <sz val="10.0"/>
      </rPr>
      <t>TUBO colapsible prodont</t>
    </r>
  </si>
  <si>
    <t>pasta zinquenolica Kelly</t>
  </si>
  <si>
    <t>PASTA ZINQUENOLICA KELLYS GRANDE INDUSTRIA LA TORRE</t>
  </si>
  <si>
    <t>JORGE-AQUILES  DYMA dentmart</t>
  </si>
  <si>
    <r>
      <rPr>
        <rFont val="Verdana"/>
        <b/>
        <sz val="10.0"/>
      </rPr>
      <t>DENTMARK $1800</t>
    </r>
    <r>
      <rPr>
        <rFont val="Verdana"/>
        <sz val="10.0"/>
      </rPr>
      <t xml:space="preserve"> Dyma $2023  GINA $2400   AQUILES $3213 </t>
    </r>
  </si>
  <si>
    <r>
      <rPr>
        <rFont val="Verdana"/>
        <b/>
        <sz val="10.0"/>
      </rPr>
      <t>DENTMARK $2000</t>
    </r>
    <r>
      <rPr>
        <rFont val="Verdana"/>
        <sz val="10.0"/>
      </rPr>
      <t xml:space="preserve">  Dyma $2142 GINA $2500  AQUILES $3213 </t>
    </r>
  </si>
  <si>
    <r>
      <rPr>
        <rFont val="Verdana"/>
        <b/>
        <sz val="10.0"/>
      </rPr>
      <t>DENTMAK $2200</t>
    </r>
    <r>
      <rPr>
        <rFont val="Verdana"/>
        <sz val="10.0"/>
      </rPr>
      <t xml:space="preserve"> Dyma $2261  GINA $2600  AQUILES $3213 </t>
    </r>
  </si>
  <si>
    <r>
      <rPr>
        <rFont val="Verdana"/>
        <sz val="10.0"/>
      </rPr>
      <t xml:space="preserve">platinas para articulador, bolsa por </t>
    </r>
    <r>
      <rPr>
        <rFont val="Verdana"/>
        <b/>
        <sz val="10.0"/>
      </rPr>
      <t>PQTE 10 pares</t>
    </r>
  </si>
  <si>
    <t>probeta de cristal</t>
  </si>
  <si>
    <r>
      <rPr>
        <rFont val="Verdana"/>
        <sz val="10.0"/>
      </rPr>
      <t xml:space="preserve">probeta plastica tipo cristal  </t>
    </r>
    <r>
      <rPr>
        <rFont val="Verdana"/>
        <b/>
        <sz val="10.0"/>
      </rPr>
      <t>PQTE X 10</t>
    </r>
  </si>
  <si>
    <t xml:space="preserve">PULIDOR BALA AMARILLO GRANO FINO </t>
  </si>
  <si>
    <t>punta mezcladoras Rosada</t>
  </si>
  <si>
    <t>Resina Forma Ultradent A1 B</t>
  </si>
  <si>
    <t xml:space="preserve">Resina Forma Ultradent INSISAL </t>
  </si>
  <si>
    <t>MASDENTAL $199,900 julvident $180,625</t>
  </si>
  <si>
    <t xml:space="preserve">Resina Vitra UNIQUE APS 2gm </t>
  </si>
  <si>
    <t>promo $57600</t>
  </si>
  <si>
    <t>ramon abraham Masterdent aquiles jorge quirudent dyma dentmart</t>
  </si>
  <si>
    <t>promo $96000</t>
  </si>
  <si>
    <t>SUR PRODONT MAYO 19</t>
  </si>
  <si>
    <t>INVTAR SUR</t>
  </si>
  <si>
    <r>
      <rPr>
        <rFont val="Verdana"/>
        <sz val="10.0"/>
      </rPr>
      <t xml:space="preserve">Pasta Profilactica (tutifruti - fresa) </t>
    </r>
    <r>
      <rPr>
        <rFont val="Verdana"/>
        <sz val="10.0"/>
      </rPr>
      <t>TUBO colapsible prodont</t>
    </r>
  </si>
  <si>
    <t xml:space="preserve">estoy cotizando con socciden fgm y plus </t>
  </si>
  <si>
    <t>INVENT SUR</t>
  </si>
  <si>
    <t>PLUS</t>
  </si>
  <si>
    <t>SOCCIDENTAL</t>
  </si>
  <si>
    <t>NORTE SOCCID</t>
  </si>
  <si>
    <t>NORTE PLUSS</t>
  </si>
  <si>
    <t>LLEGARON 4</t>
  </si>
  <si>
    <t>NO LLEGO</t>
  </si>
  <si>
    <t>LLEGARON 3</t>
  </si>
  <si>
    <t>LLEGARON 2</t>
  </si>
  <si>
    <t xml:space="preserve">ubicacion </t>
  </si>
  <si>
    <t>QX / 23</t>
  </si>
  <si>
    <t>INVENT SUR Abril 30</t>
  </si>
  <si>
    <t>INVENT NORTE ABRIL 23</t>
  </si>
  <si>
    <t>Q</t>
  </si>
  <si>
    <t>q</t>
  </si>
  <si>
    <t>_</t>
  </si>
  <si>
    <t>pedido</t>
  </si>
  <si>
    <t>norte</t>
  </si>
  <si>
    <t xml:space="preserve">PEDI A </t>
  </si>
  <si>
    <t>IMPORQUIR</t>
  </si>
  <si>
    <t>DENMART</t>
  </si>
  <si>
    <t>MICROBRUSH micro aplicadores  X 100</t>
  </si>
  <si>
    <t>20 AZUL 16 fuscia 20 AMAR 8 BLAN 12 VERD</t>
  </si>
  <si>
    <t xml:space="preserve">20 AZUL 16 ROSA 20 AMAR 8 BLAN 12 VERD </t>
  </si>
  <si>
    <t>denmart $12.500</t>
  </si>
  <si>
    <t xml:space="preserve">FALTA CONSEGUIR ESTO </t>
  </si>
  <si>
    <t>JOSE CARDENAS</t>
  </si>
  <si>
    <t xml:space="preserve">FECHA </t>
  </si>
  <si>
    <t>INICIO</t>
  </si>
  <si>
    <t xml:space="preserve">FINAL </t>
  </si>
  <si>
    <t>VENTA EFECTIV</t>
  </si>
  <si>
    <t>DATAFONO</t>
  </si>
  <si>
    <t>TRANSFERENCIA</t>
  </si>
  <si>
    <t>VENTA DEL DIA</t>
  </si>
  <si>
    <t>PAGOS</t>
  </si>
  <si>
    <t>A quien se pago</t>
  </si>
  <si>
    <t>facturas</t>
  </si>
  <si>
    <t>raul</t>
  </si>
  <si>
    <t>DON JUAN + DORA + RAUL</t>
  </si>
  <si>
    <t>larry + raul</t>
  </si>
  <si>
    <t>estefani + aguacate + plussdent + visores</t>
  </si>
  <si>
    <t>d1 + guantes + raul</t>
  </si>
  <si>
    <t>monedas + raul + scott + abraham + aguacate</t>
  </si>
  <si>
    <t>flete bogota + alfredo</t>
  </si>
  <si>
    <t>cardenas + perico</t>
  </si>
  <si>
    <t>millones</t>
  </si>
  <si>
    <t>LARRY + DOMICILIO</t>
  </si>
  <si>
    <t>PAGOS CORRESPONSAL + MARICELA + NOMINA+ AGUA + PLAFIQUE</t>
  </si>
  <si>
    <t>aquiles + abraham + vigilante</t>
  </si>
  <si>
    <t>mufla + sello + dulces + boligrafo</t>
  </si>
  <si>
    <t>mufla</t>
  </si>
  <si>
    <t>salento + flete marleny</t>
  </si>
  <si>
    <t>aquiles + flete eurodent</t>
  </si>
  <si>
    <t>hidrogum</t>
  </si>
  <si>
    <t>alfredo + angela</t>
  </si>
  <si>
    <t>larry + yeso</t>
  </si>
  <si>
    <t>alfredo</t>
  </si>
  <si>
    <t>new stetic + loggro + ramon</t>
  </si>
  <si>
    <t xml:space="preserve">fercho </t>
  </si>
  <si>
    <t>alfredo + gabriel velasques + eucaris</t>
  </si>
  <si>
    <t>hidrogum + aquiles</t>
  </si>
  <si>
    <t>angela + larry</t>
  </si>
  <si>
    <t>miguel bogota + valentina + flete prodont + gabriela</t>
  </si>
  <si>
    <t>upegui + allers</t>
  </si>
  <si>
    <t>flete biodentales + hugo tarjeta + larry</t>
  </si>
  <si>
    <t>40mil novedades</t>
  </si>
  <si>
    <t>aquiles + alcohol</t>
  </si>
  <si>
    <t>raul + abraham + flete bond</t>
  </si>
  <si>
    <t>flete dentmark + alfredo + pizza</t>
  </si>
  <si>
    <t>LARRY + POSICIONADOR</t>
  </si>
  <si>
    <t>ABRAHAM + LUPAS AZULES</t>
  </si>
  <si>
    <t>recarga + raul + gabriela</t>
  </si>
  <si>
    <t>krika + valentina + carolina la portada</t>
  </si>
  <si>
    <t>tropical</t>
  </si>
  <si>
    <t>larry</t>
  </si>
  <si>
    <t>flete dentmarck + domicilio bocas + vigilante</t>
  </si>
  <si>
    <t>flete prodont + raul + regular</t>
  </si>
  <si>
    <t>D1 + raul</t>
  </si>
  <si>
    <t>llaves + aquiles + raul + glicerina</t>
  </si>
  <si>
    <t>vidrios + eurodent+ don juan</t>
  </si>
  <si>
    <t>scott + bolsas fercho</t>
  </si>
  <si>
    <t>espejos + eurodent+ raul +dyma</t>
  </si>
  <si>
    <t>alfredo + dolarcity + emma + vigilante</t>
  </si>
  <si>
    <t>dolarcity + soat + aguacate+alcohol</t>
  </si>
  <si>
    <t>leonela + alfredo + angela</t>
  </si>
  <si>
    <t>alfredo azucar + flete ultradental + allers</t>
  </si>
  <si>
    <t>flete soccidentales + emma+ cafe</t>
  </si>
  <si>
    <t>padilla</t>
  </si>
  <si>
    <t>234 aquiles + 230 alfredo</t>
  </si>
  <si>
    <t>alfredo + didi+posicionador+biosalud</t>
  </si>
  <si>
    <t>aguacate + alfredo</t>
  </si>
  <si>
    <t>alfredo + aquiles + emma+ gabriel velazque + didi + raul</t>
  </si>
  <si>
    <t>cafe raul + stiker +anchetas+articulador+ raul +emma</t>
  </si>
  <si>
    <t>alfredo+abraham + maicol + biosalud</t>
  </si>
  <si>
    <t>abraham + ESCOMBROS +DOMICILIO SUR +MATERIALES+RAUL</t>
  </si>
  <si>
    <t>agua+abraham+gabriel velasquez + flete perico</t>
  </si>
  <si>
    <t>raul + cristian</t>
  </si>
  <si>
    <t>empress+ flete dyma+flete dentmark + cocacola</t>
  </si>
  <si>
    <t>z350 sur+raul</t>
  </si>
  <si>
    <t>maicol +  domiclio</t>
  </si>
  <si>
    <t>didi</t>
  </si>
  <si>
    <t>platos + larry</t>
  </si>
  <si>
    <t>abraham + alfredo+ raul</t>
  </si>
  <si>
    <t>construccion + raul + abraham+ alfredo</t>
  </si>
  <si>
    <t>domicilio</t>
  </si>
  <si>
    <t>dolarcity pan</t>
  </si>
  <si>
    <t>d1+raul+don juan</t>
  </si>
  <si>
    <t>puerta + almuerzo+resina + domicilio</t>
  </si>
  <si>
    <t>aguacate + emma + raul</t>
  </si>
  <si>
    <t xml:space="preserve">resina </t>
  </si>
  <si>
    <t>aguacate + cafe</t>
  </si>
  <si>
    <t>poste angelus + raul +flete de dentmar y soccidentales +  nomina</t>
  </si>
  <si>
    <t>pan+ azucar+monedas</t>
  </si>
  <si>
    <t>D1+Abaham + nomina angela</t>
  </si>
  <si>
    <t xml:space="preserve">Carlos + flete+ alfredo </t>
  </si>
  <si>
    <t>dolarcity + abraham</t>
  </si>
  <si>
    <t>flete imporquirurguico +alfredo + abraham + pan</t>
  </si>
  <si>
    <t>raul + aguacate</t>
  </si>
  <si>
    <t>alfredo + visores sur+guante</t>
  </si>
  <si>
    <t>larry+abraham</t>
  </si>
  <si>
    <t>camaras + aguacate + compras d1</t>
  </si>
  <si>
    <t>abraham + raul</t>
  </si>
  <si>
    <t>zapatos + carlos+ alfredo</t>
  </si>
  <si>
    <t>escombros dmicilio + raul</t>
  </si>
  <si>
    <t>DIDI ALMUERZO + LARRY</t>
  </si>
  <si>
    <t>dora + domicilio</t>
  </si>
  <si>
    <t>carlos + d1+ agucate+ raul</t>
  </si>
  <si>
    <t>raul + masdental + aquiles + prestamo</t>
  </si>
  <si>
    <t>allers + 14mil novedades+jose david+hule</t>
  </si>
  <si>
    <t>alfredo + scott + aquiles+ didi</t>
  </si>
  <si>
    <t>cristaleria + alfredo</t>
  </si>
  <si>
    <t>visores +carlos + fernando</t>
  </si>
  <si>
    <t>larry + flete eurodent+ aquiles + alfredo</t>
  </si>
  <si>
    <t>bolsas + 40 mil +alfredo+ regular dmg</t>
  </si>
  <si>
    <t>flete de bogota + alfredo + aguacate</t>
  </si>
  <si>
    <t>carlos + alfredo + domicilio+ estanteria</t>
  </si>
  <si>
    <t>saque $800 para estanteria</t>
  </si>
  <si>
    <t>nomina + domicilio+alfredo</t>
  </si>
  <si>
    <t>nomina + larry</t>
  </si>
  <si>
    <t>dora + flete prodont+ josedavid +vigiliante + carlos +agucacate+ alfredo</t>
  </si>
  <si>
    <t>pan domicilio</t>
  </si>
  <si>
    <t>flete perico</t>
  </si>
  <si>
    <t>domicilio + recarga celular+ aguacate+aquiles</t>
  </si>
  <si>
    <t>larry+nomina carlos</t>
  </si>
  <si>
    <t>alfredo + allers+d1 + carlos</t>
  </si>
  <si>
    <t>raul + yoli del portillo</t>
  </si>
  <si>
    <t>domicilio + masdental + servientrega+alfredo+escombros+z250 + carlos</t>
  </si>
  <si>
    <t>didi + alfredo + pasta + valentina otorgo</t>
  </si>
  <si>
    <t>envia + alfredo + flete prodont + datafono+ cafe y pan</t>
  </si>
  <si>
    <t>nomina</t>
  </si>
  <si>
    <t>larry +aflete soccidentales + alfredo</t>
  </si>
  <si>
    <t>upegui + carlos</t>
  </si>
  <si>
    <t>dolarcity+aguacate+carlos</t>
  </si>
  <si>
    <t xml:space="preserve">aguacate + bananas + modelos pkt + puntas de papel </t>
  </si>
  <si>
    <t>alfredo + carlos</t>
  </si>
  <si>
    <t>flete ultradental + nomina carlos y fernando</t>
  </si>
  <si>
    <t>aguacate + carlos +flete eurodent</t>
  </si>
  <si>
    <t>masdental + carlos +envia</t>
  </si>
  <si>
    <t>resinas + resistencia + dora + domicilios</t>
  </si>
  <si>
    <t>carlos + recarga de celular +boletas+aguacate+esquina+envio eurodent</t>
  </si>
  <si>
    <t>nomina carlos y luis</t>
  </si>
  <si>
    <t>nomina + carlos+aguacate+ abraham</t>
  </si>
  <si>
    <t>Losetas + carlos + fercho + dora + agucate</t>
  </si>
  <si>
    <t>aguacate+ domicilio</t>
  </si>
  <si>
    <t>masdental + alfredo + carlos+aguacate</t>
  </si>
  <si>
    <t>scott + larry+  carlos y fercho</t>
  </si>
  <si>
    <t>aguacate + alcohol industrial + raul + aquiles + carlos</t>
  </si>
  <si>
    <t>abraham+carlos +domicilio + resina dora</t>
  </si>
  <si>
    <t>flete dyma + abraham + aguacate + flete dentmark + raul</t>
  </si>
  <si>
    <t>domicilio + aquiles</t>
  </si>
  <si>
    <t>alfredo + aguacate+ flete cristaflex + dolarcity</t>
  </si>
  <si>
    <t>LARRY + LOSETAS</t>
  </si>
  <si>
    <t>40mil + aguacate + alfredo + carlos + flete delta+nubia</t>
  </si>
  <si>
    <t>aquiles+ domicilio</t>
  </si>
  <si>
    <t>aguacate + dora</t>
  </si>
  <si>
    <t>alfredo + domiclio</t>
  </si>
  <si>
    <t>alfredo + flete bogota + domicilio</t>
  </si>
  <si>
    <t>flete oro + alfredo + doña dora</t>
  </si>
  <si>
    <t>alfredo + visores +aguacate</t>
  </si>
  <si>
    <t>domicilio + carlos</t>
  </si>
  <si>
    <t>restar 79 monedas</t>
  </si>
  <si>
    <t>agucate + domicilio</t>
  </si>
  <si>
    <t>alfredo+domicilio+allers+raul</t>
  </si>
  <si>
    <t>aquiles + robert</t>
  </si>
  <si>
    <t>alfredo + didi + dolarcity + dora</t>
  </si>
  <si>
    <t>duplicadoras + flete cajas retenedores+ aquiles</t>
  </si>
  <si>
    <t>raul + llaves + imporquirurguica + la u</t>
  </si>
  <si>
    <t>saque 1500000 para mufla</t>
  </si>
  <si>
    <t>anestesia + domicilio</t>
  </si>
  <si>
    <t>raul + flete eurodent + copas porcion + flete biodentales</t>
  </si>
  <si>
    <t>raul + larry + domicilio+ desayuno</t>
  </si>
  <si>
    <t>aguacate +fercho+raul+flete soccidentales+pan +carlos</t>
  </si>
  <si>
    <t>carlos + masdental+almuezo gaby+ dora +flete ultradental</t>
  </si>
  <si>
    <t>abraham + calros + didi + flete eurodent</t>
  </si>
  <si>
    <t>llaves + upegui+didi +flete miguel</t>
  </si>
  <si>
    <t>yeso+ aguacate+d1</t>
  </si>
  <si>
    <t>agujas + abraham</t>
  </si>
  <si>
    <t>AGUACATE + AQUILES +ALMUERZO RAUL + DOÑA DORA</t>
  </si>
  <si>
    <t>SCOTT + ALFREDO + FLETE RIÑONEAS+ AGUACATE</t>
  </si>
  <si>
    <t>almuerzo jose david + agucate</t>
  </si>
  <si>
    <t>larry piezas</t>
  </si>
  <si>
    <t>resina iws</t>
  </si>
  <si>
    <t>envio servientrega+ aquiles +don raul + doña claudia</t>
  </si>
  <si>
    <t>aller+ biodentine+ carlos + aguacate</t>
  </si>
  <si>
    <t>rodetes+hojas blancas+aquiles+ alfredo+resina + didi</t>
  </si>
  <si>
    <t>larry + dora</t>
  </si>
  <si>
    <t>carlos</t>
  </si>
  <si>
    <t>domicilios</t>
  </si>
  <si>
    <t>larry + domicilio</t>
  </si>
  <si>
    <t xml:space="preserve">aguacate + pieza alfredo </t>
  </si>
  <si>
    <t xml:space="preserve">alfredo + carlos + aguacate + bio salud + domicilio sur </t>
  </si>
  <si>
    <t>aguacate + don raul + revistas</t>
  </si>
  <si>
    <t>raul + piolin+ jose</t>
  </si>
  <si>
    <t>larry+domicilio</t>
  </si>
  <si>
    <t xml:space="preserve">pasto + dentarmar + aguacate </t>
  </si>
  <si>
    <t>carlos + maraton + vigilancia + edna</t>
  </si>
  <si>
    <t>abraham + didi + aranza</t>
  </si>
  <si>
    <t>d1 + aguacate</t>
  </si>
  <si>
    <t>carlos + piolin + silla+ raul + yeso+abraham</t>
  </si>
  <si>
    <t>larry + agua + domicilio</t>
  </si>
  <si>
    <t>didi + agua + abraham + concepsis</t>
  </si>
  <si>
    <t>domicilio + flete ultradent + dora + raul + carlos</t>
  </si>
  <si>
    <t>alfredo + aquiles</t>
  </si>
  <si>
    <t>dollarcity + aguacate + larry</t>
  </si>
  <si>
    <t>PESADA</t>
  </si>
  <si>
    <t>KIT 1 LIVIANA + 1 PESADA</t>
  </si>
  <si>
    <t>KIT CON 2 LIVIANAS + 1 PESADA</t>
  </si>
  <si>
    <t>LIVIANA</t>
  </si>
  <si>
    <t>REGULAR</t>
  </si>
  <si>
    <t>REGISTRO DE MORDIDA</t>
  </si>
  <si>
    <t>TRANSPARENTE</t>
  </si>
  <si>
    <t>PANASIL</t>
  </si>
  <si>
    <t>PRESIDENT COLTENE</t>
  </si>
  <si>
    <t>DMG SILAGUM</t>
  </si>
  <si>
    <t>ZHERMACK</t>
  </si>
  <si>
    <t>PANASIL 900 ML</t>
  </si>
  <si>
    <t>KIT ZHERMACK 1 LIV + 2 PESADAS</t>
  </si>
  <si>
    <t>KIT ZHERMACK YUMBO 900 + 2 LIVIANAS</t>
  </si>
  <si>
    <t>SPEEDEX</t>
  </si>
  <si>
    <t xml:space="preserve">PESADA </t>
  </si>
  <si>
    <t>utilidad</t>
  </si>
  <si>
    <t xml:space="preserve">       </t>
  </si>
  <si>
    <t xml:space="preserve">ZHERMACK </t>
  </si>
  <si>
    <t>KIT PANASIL 900 ML + 2 LIV</t>
  </si>
  <si>
    <t>IVORINA</t>
  </si>
  <si>
    <t>NTE feb 25</t>
  </si>
  <si>
    <t>PEDIDO SUR  ABR/25</t>
  </si>
  <si>
    <t>PEDIDO NORTE ABR/25</t>
  </si>
  <si>
    <t>TOTAL PEDIDO</t>
  </si>
  <si>
    <t xml:space="preserve">IVORINA PEDIATRICO </t>
  </si>
  <si>
    <t xml:space="preserve">ARCO DE YOUNG DE ADULTO </t>
  </si>
  <si>
    <t xml:space="preserve">ARCO DE YOUNG PEDIATRICO </t>
  </si>
  <si>
    <t>ASENTADOR DE BANDAS 300 BAND PUSHER</t>
  </si>
  <si>
    <t xml:space="preserve">ASENTADOR DE BANDAS COLOR </t>
  </si>
  <si>
    <t xml:space="preserve">BISTURI DE KIRKLAN </t>
  </si>
  <si>
    <t xml:space="preserve">BISTURI DE ORBAN </t>
  </si>
  <si>
    <t xml:space="preserve">BISTURI MANGO </t>
  </si>
  <si>
    <t xml:space="preserve">CALIBRADOR DE CERA </t>
  </si>
  <si>
    <t xml:space="preserve">CALIBRADOR DE METAL </t>
  </si>
  <si>
    <t>CALIBRADOR PIE DE REY</t>
  </si>
  <si>
    <t>CASTRO VIEJO PINZA</t>
  </si>
  <si>
    <t xml:space="preserve">CASTRO VIEJO TIJERA </t>
  </si>
  <si>
    <t>CUCHARILLA #17 PUPPIES</t>
  </si>
  <si>
    <t>CURETA DE LUCAS #85</t>
  </si>
  <si>
    <t xml:space="preserve">CURETA GRACEY 1/2 </t>
  </si>
  <si>
    <t xml:space="preserve">CURETA GRACEY 3/4 </t>
  </si>
  <si>
    <t xml:space="preserve">CURETA GRACEY 5/6 </t>
  </si>
  <si>
    <t xml:space="preserve">CURETA GRACEY 7/8 </t>
  </si>
  <si>
    <t>CURETA GRACEY 9/10</t>
  </si>
  <si>
    <t>CURETA GRACEY 11/12</t>
  </si>
  <si>
    <t>CURETA GRACEY 13/14</t>
  </si>
  <si>
    <t>CURETA 13/14  MC CALL</t>
  </si>
  <si>
    <t>CURETA 17/18  MC CALL</t>
  </si>
  <si>
    <t xml:space="preserve">ELEVADOR APICAL DERECHO 303 </t>
  </si>
  <si>
    <t xml:space="preserve">ELEVADOR APICAL IZQUIERDO 302 </t>
  </si>
  <si>
    <t xml:space="preserve">ELEVADOR BANDERA DERECHA 1R </t>
  </si>
  <si>
    <t xml:space="preserve">ELEVADOR BANDERA IZQUIERDO 1L </t>
  </si>
  <si>
    <t xml:space="preserve">ELEVADOR RECTO ANCHO  304 </t>
  </si>
  <si>
    <t xml:space="preserve">ELEVADOR RECTO DELGADO 301  </t>
  </si>
  <si>
    <t xml:space="preserve">ELEVADOR SELDIN 23 </t>
  </si>
  <si>
    <t xml:space="preserve">EMPACADOR DE HILO </t>
  </si>
  <si>
    <t>EXPLORADOR DE CONDUCTO</t>
  </si>
  <si>
    <t>ESPATULA FP3</t>
  </si>
  <si>
    <t>ESPATULA FP 3 PLASTICO</t>
  </si>
  <si>
    <t>ESPATULA DE CEMENTO DOBLE</t>
  </si>
  <si>
    <t>ESPATULA DE CEMENTO PLASTICA</t>
  </si>
  <si>
    <t xml:space="preserve">FORCEPS PEDIATRICO 150 S  </t>
  </si>
  <si>
    <t xml:space="preserve">FORCEPS PEDIATRICO 151 S </t>
  </si>
  <si>
    <t xml:space="preserve">FORCEPS 150   </t>
  </si>
  <si>
    <t xml:space="preserve">FORCEPS 151 </t>
  </si>
  <si>
    <t xml:space="preserve">FORCEPS 16  </t>
  </si>
  <si>
    <t xml:space="preserve">FORCEPS 24 </t>
  </si>
  <si>
    <t xml:space="preserve">FORCEPS 69 </t>
  </si>
  <si>
    <t xml:space="preserve">INSTRUMENTAL PKT COMPLETO X 5 </t>
  </si>
  <si>
    <t>INSTRUMENTAL PKT CHORRIADOR 54-628</t>
  </si>
  <si>
    <t>INSTRUMENTAL PKT CHORRIADOR 54-629</t>
  </si>
  <si>
    <t xml:space="preserve">KIT BASICO ADULTO </t>
  </si>
  <si>
    <t>BASICO CUCHARILLA</t>
  </si>
  <si>
    <t xml:space="preserve">BASICO EXPLORADOR </t>
  </si>
  <si>
    <t>BASICO LUNA ESPEJO NO. 5</t>
  </si>
  <si>
    <t xml:space="preserve">BASICO MANGO SOLO PARA ESPEJO </t>
  </si>
  <si>
    <t xml:space="preserve">BASICO PINZA ALGODONERA </t>
  </si>
  <si>
    <t>BASICO PINZA ALGODONERA PEDIATRICA</t>
  </si>
  <si>
    <t>LIMA DE HUESO</t>
  </si>
  <si>
    <t xml:space="preserve">JERINGA CARPULE DE ROSCA </t>
  </si>
  <si>
    <t xml:space="preserve">PINZA CONTORNEADORA Ó 114 </t>
  </si>
  <si>
    <t>PINZA QUITA BANDAS # 34</t>
  </si>
  <si>
    <t xml:space="preserve">PINZA 2 PICOS # 139 </t>
  </si>
  <si>
    <t>PINZA 3 PICOS # 200</t>
  </si>
  <si>
    <t>PERIOSTOTOMO (ELEVADOR DE MOLT)</t>
  </si>
  <si>
    <t xml:space="preserve">PINZA PAPEL ARTICULAR  MYLLERS </t>
  </si>
  <si>
    <t xml:space="preserve">PORTA MATRIZ </t>
  </si>
  <si>
    <t xml:space="preserve">PORTA GRAPAS </t>
  </si>
  <si>
    <t xml:space="preserve">PINZA KELY CURVA </t>
  </si>
  <si>
    <t xml:space="preserve">PINZA KELY RECTA </t>
  </si>
  <si>
    <t xml:space="preserve">PINZA MOSQUITO CURVA </t>
  </si>
  <si>
    <t xml:space="preserve">PINZA MOSQUITO RECTA </t>
  </si>
  <si>
    <t xml:space="preserve">PINZA GUBIA </t>
  </si>
  <si>
    <t xml:space="preserve">PERFORADOR DE TELA </t>
  </si>
  <si>
    <t xml:space="preserve">PORTA AGUJAS  </t>
  </si>
  <si>
    <t xml:space="preserve">TIJERA GINGIVECTOMIA CURVA </t>
  </si>
  <si>
    <t xml:space="preserve">TIJERA GINGIVECTOMIA RECTA </t>
  </si>
  <si>
    <t>TIJERA DE SUTURA</t>
  </si>
  <si>
    <t>TIJERA PUENTES CORONA CURVA</t>
  </si>
  <si>
    <t>TIJERA PUENTES CORONA RECTA</t>
  </si>
  <si>
    <t xml:space="preserve">TIJERA MATERIAL CURVA </t>
  </si>
  <si>
    <t xml:space="preserve">TIJERA MATERIAL RECTA </t>
  </si>
  <si>
    <t>BRUÑIDOR 21 B AMALGAMA</t>
  </si>
  <si>
    <t>BRUÑIDOR BOLA Y ORQUETA AMALGAMA</t>
  </si>
  <si>
    <t>HOLLEMBACK AMALGAMA</t>
  </si>
  <si>
    <t>TALLADOR CLEOIDE DISCOIDE AMALGAMA</t>
  </si>
  <si>
    <t xml:space="preserve">TALLADOR FRANK  AMALGAMA </t>
  </si>
  <si>
    <t xml:space="preserve">TALLADOR LECRON AMALGAMA </t>
  </si>
  <si>
    <t>TALLADOR WARD AMALGAMA</t>
  </si>
  <si>
    <t xml:space="preserve">CORTE DE LIGADURA ORTODONCIA </t>
  </si>
  <si>
    <t>CORTE DE LIGADURA ORTODONCIA ANGELUS</t>
  </si>
  <si>
    <t xml:space="preserve">CORTE DISTAL ORTODONCIA </t>
  </si>
  <si>
    <t>PINZA MATHIEU ORTODONCIA</t>
  </si>
  <si>
    <t>PINZA QUITA BRACKETS ORTODONCIA</t>
  </si>
  <si>
    <t xml:space="preserve">PINZA PORTA BRACKET ORTODONCIA </t>
  </si>
  <si>
    <t xml:space="preserve">PINZA YOUNG NO. 130 ORTODONCIA </t>
  </si>
  <si>
    <t xml:space="preserve">SEPARADOR DE MINESOTA </t>
  </si>
  <si>
    <t>ASENTADOR DE BANDAS MORELI</t>
  </si>
  <si>
    <t xml:space="preserve">CURETA GRACEY 11/12 </t>
  </si>
  <si>
    <t xml:space="preserve">CURETA GRACEY 13/14 </t>
  </si>
  <si>
    <t xml:space="preserve">CURETA GRACEY 15/16 </t>
  </si>
  <si>
    <t xml:space="preserve">CURETA GRACEY 17/18 </t>
  </si>
  <si>
    <t xml:space="preserve">CURETA GRACEY 9/10 </t>
  </si>
  <si>
    <t>CURETA 11/12  MC CALL</t>
  </si>
  <si>
    <t>CURETA 15/16  MC CALL</t>
  </si>
  <si>
    <t>ESPATULA DE CEMENTO METALICA DOBLE</t>
  </si>
  <si>
    <t xml:space="preserve">FORCEPS 150 </t>
  </si>
  <si>
    <t xml:space="preserve">FORCEPS 17 L </t>
  </si>
  <si>
    <t xml:space="preserve">FORCEPS 18 L </t>
  </si>
  <si>
    <t>FP 3 PLASTICO</t>
  </si>
  <si>
    <t>KIT BASICO DESECHABLE</t>
  </si>
  <si>
    <t xml:space="preserve">CUCHARILLA BASICO </t>
  </si>
  <si>
    <t xml:space="preserve">EXPLORADOR DEL BASICO  </t>
  </si>
  <si>
    <t>LUNA PARA ESPEJO  BASICO NO. 5</t>
  </si>
  <si>
    <t>LUNA PARA ESPEJO NO. 4</t>
  </si>
  <si>
    <t xml:space="preserve">MANGO SOLO PARA ESPEJO BASICO </t>
  </si>
  <si>
    <t>PINZA ALGODONERA DEL BASICO</t>
  </si>
  <si>
    <t>BRUÑIDOR DE BOLA  AMALGAMA</t>
  </si>
  <si>
    <t>BRUÑIDOR DE ORQUETA AMALGAMA</t>
  </si>
  <si>
    <t xml:space="preserve">TALLADOR DE FRANK  AMALGAMA </t>
  </si>
  <si>
    <t xml:space="preserve">TALLADOR DE LECRON AMALGAMA </t>
  </si>
  <si>
    <t>TALLADOR DE WARD AMALGAMA</t>
  </si>
  <si>
    <t>PINZA HOW</t>
  </si>
  <si>
    <t xml:space="preserve">RETRACTOR DE MINESOTA SEPARADOR </t>
  </si>
  <si>
    <t>APLICADOR LLAVES CADENETAS MORELLY</t>
  </si>
  <si>
    <t xml:space="preserve">POSICIONADOR DE BRACKETS ORTODONCIA </t>
  </si>
  <si>
    <t>INVENTARIO sur 23/5</t>
  </si>
  <si>
    <t>PEDIDO feb/25</t>
  </si>
  <si>
    <t xml:space="preserve">PEDIDO ABRIL/25 SUR </t>
  </si>
  <si>
    <t xml:space="preserve">CANTIDAD </t>
  </si>
  <si>
    <t>PRECIO</t>
  </si>
  <si>
    <t>PRECIO TOTAL</t>
  </si>
  <si>
    <t>ADHESIVO UNVERSAL 3M</t>
  </si>
  <si>
    <t>ACIDO FLUORHIDRICO 9%</t>
  </si>
  <si>
    <t>YESO TIPO 3</t>
  </si>
  <si>
    <t xml:space="preserve">ALGINATO CHROMAPRINT </t>
  </si>
  <si>
    <t>AGUA OXIGENADA</t>
  </si>
  <si>
    <t>ALCOHOL</t>
  </si>
  <si>
    <t>RESINA FLUIDA A2 MAQUIRA</t>
  </si>
  <si>
    <t>RESINA FLUIDA A1 MAQUIRA</t>
  </si>
  <si>
    <t>BOLSA ESTERILIZAR LIMAS</t>
  </si>
  <si>
    <t>MICROCUT</t>
  </si>
  <si>
    <t>ACEITE</t>
  </si>
  <si>
    <t>GLUTARALDEHIDO GALON</t>
  </si>
  <si>
    <t xml:space="preserve">CAMPOS AZULES </t>
  </si>
  <si>
    <t>FRESAS</t>
  </si>
  <si>
    <t>Silicona liviana</t>
  </si>
  <si>
    <t>Cubetas un par de cada talla</t>
  </si>
  <si>
    <t>Metal $95.000 plastico $18.000</t>
  </si>
  <si>
    <t>Discos negros  4 cajas</t>
  </si>
  <si>
    <t>Resina rosada beautifil</t>
  </si>
  <si>
    <t>Resina A1  Z250</t>
  </si>
  <si>
    <t>Resina  A2 Z250</t>
  </si>
  <si>
    <t>Ionomero cementante</t>
  </si>
  <si>
    <t>Silano</t>
  </si>
  <si>
    <t>Hilo retracto</t>
  </si>
  <si>
    <t>Anestesia Newcaina</t>
  </si>
  <si>
    <t>Juegos 6</t>
  </si>
  <si>
    <t xml:space="preserve">Aclaramiento </t>
  </si>
  <si>
    <t>Resina IWS</t>
  </si>
  <si>
    <t>Resina Fluida Bulk Fill A1</t>
  </si>
  <si>
    <t>Resina Fluida Bulk Fill A2</t>
  </si>
  <si>
    <t>Resina Fluida Bulk Fill A3</t>
  </si>
  <si>
    <t>Cemento para provisional Tembond NE</t>
  </si>
  <si>
    <t>Guante de nitrilo XS</t>
  </si>
  <si>
    <t>Duo link</t>
  </si>
  <si>
    <t>Poste de fibra amarillo</t>
  </si>
  <si>
    <t>Poste de fibra negro</t>
  </si>
  <si>
    <t>lijas metalicas adacco</t>
  </si>
  <si>
    <t>- Caja de Bolsas para esterilizar de 90mmx60mm(3 1/2 "X 9") para basico</t>
  </si>
  <si>
    <t>- Pasta para Profilaxis Detarfar 12oz</t>
  </si>
  <si>
    <t xml:space="preserve">mandril </t>
  </si>
  <si>
    <t>luna</t>
  </si>
  <si>
    <t>MDO LUIS FER</t>
  </si>
  <si>
    <t xml:space="preserve">BRIONES </t>
  </si>
  <si>
    <t xml:space="preserve">MADERA </t>
  </si>
  <si>
    <t xml:space="preserve">Escombro </t>
  </si>
  <si>
    <t>ceramica homecenter</t>
  </si>
  <si>
    <t>victor</t>
  </si>
  <si>
    <t>puerta cortina olla</t>
  </si>
  <si>
    <t xml:space="preserve">olla IP </t>
  </si>
  <si>
    <t>trasnporte olla</t>
  </si>
  <si>
    <t xml:space="preserve">gastos varios </t>
  </si>
  <si>
    <t>soldadura briones</t>
  </si>
  <si>
    <t>platinas puerta</t>
  </si>
  <si>
    <t xml:space="preserve">hierro ferreteria </t>
  </si>
  <si>
    <t xml:space="preserve">hierro </t>
  </si>
  <si>
    <t>tablon</t>
  </si>
  <si>
    <t>trasnporte</t>
  </si>
  <si>
    <t>aire</t>
  </si>
  <si>
    <t>estuco</t>
  </si>
  <si>
    <t>doblaje varilla</t>
  </si>
  <si>
    <t>removedor pintura</t>
  </si>
  <si>
    <t>andamios</t>
  </si>
  <si>
    <t>electrico + materiales</t>
  </si>
  <si>
    <t>graniplas victor</t>
  </si>
  <si>
    <t xml:space="preserve">reja carlos </t>
  </si>
  <si>
    <t xml:space="preserve">madera </t>
  </si>
  <si>
    <t xml:space="preserve">escombro </t>
  </si>
  <si>
    <t xml:space="preserve">graniplast </t>
  </si>
  <si>
    <t>olla hugo varios</t>
  </si>
  <si>
    <t>cabe camaras</t>
  </si>
  <si>
    <t>ferreteria</t>
  </si>
  <si>
    <t>transporte</t>
  </si>
  <si>
    <t>instalac aire</t>
  </si>
  <si>
    <t>robert madera</t>
  </si>
  <si>
    <t>codo 6 pulgadas</t>
  </si>
  <si>
    <t>puerta</t>
  </si>
  <si>
    <t>olla ventilador baño</t>
  </si>
  <si>
    <t>lavaplatos</t>
  </si>
  <si>
    <t>publicidad</t>
  </si>
  <si>
    <t>escombro</t>
  </si>
  <si>
    <t>dollarcity</t>
  </si>
  <si>
    <t>viidrio entrada ppal</t>
  </si>
  <si>
    <t>arena</t>
  </si>
  <si>
    <t>homecenter</t>
  </si>
  <si>
    <t xml:space="preserve">camaras </t>
  </si>
  <si>
    <t xml:space="preserve">vidrios </t>
  </si>
  <si>
    <t xml:space="preserve">HU FRIEDY </t>
  </si>
  <si>
    <t>LM</t>
  </si>
  <si>
    <t>AMERICAN EAGLE</t>
  </si>
  <si>
    <t>cantidad</t>
  </si>
  <si>
    <t xml:space="preserve">GRACEY </t>
  </si>
  <si>
    <t>AGOTADA</t>
  </si>
  <si>
    <t>13-14</t>
  </si>
  <si>
    <t>MC CALL</t>
  </si>
  <si>
    <t>17-18</t>
  </si>
  <si>
    <t xml:space="preserve">precio de kit </t>
  </si>
  <si>
    <t xml:space="preserve">AMERICAN </t>
  </si>
  <si>
    <t xml:space="preserve">MONTANA </t>
  </si>
  <si>
    <t>ESCALA +100</t>
  </si>
  <si>
    <t>ESCALA 10-99</t>
  </si>
  <si>
    <t>OTROS PROVEEDORES</t>
  </si>
  <si>
    <t>MACRO MODELO +  CEPILLO</t>
  </si>
  <si>
    <t>ESCALA +50</t>
  </si>
  <si>
    <t>ESCALA 10-49</t>
  </si>
  <si>
    <t>Modelo TIPO NISSI CON BASE METALICOS DM200</t>
  </si>
  <si>
    <t>Modelo TIPO NISSI con platina OM200G - DM200G</t>
  </si>
  <si>
    <t xml:space="preserve">Modelo de ivorina FRASACO FG3 </t>
  </si>
  <si>
    <t>Modelo de ivorina PEDIATRICO DM200P</t>
  </si>
  <si>
    <t>Modelo de yeso con dientes de ivorina Adulto Y-560 / Y-200</t>
  </si>
  <si>
    <t>Modelo de yeso con dientes de ivorina Adulto Y-PED</t>
  </si>
  <si>
    <t>ESCALA +640</t>
  </si>
  <si>
    <t>100 A 639</t>
  </si>
  <si>
    <t>DIENTE DE IVORINA ADULTO COLOR BLANCO. REFERENCIAS: D-200, D-560, D-860, D-860R, DFG3</t>
  </si>
  <si>
    <t>DIENTE DE IVORINA ADULTO COLOR MARFIL. REFERENCIAS: D-200, D-560, D-860, D-860R, DFG3</t>
  </si>
  <si>
    <t>DIENTE DE IVORINA PEDIATRICO COLOR BLANCO. REFERENCIAS: D-200P, D-PED</t>
  </si>
  <si>
    <t>DIENTE DE IVORINA PEDIATRICO COLOR MARFIL. REFERENCIAS: D-PED</t>
  </si>
  <si>
    <t>ESCALA +120</t>
  </si>
  <si>
    <t>60-119</t>
  </si>
  <si>
    <t>DIENTE DE ENDODONCIA. NUMEROS DISPONIBLES: #11, #23, #25, #36</t>
  </si>
  <si>
    <t>ESCALA +20</t>
  </si>
  <si>
    <t>10-19</t>
  </si>
  <si>
    <t>DIENTES DE ENDODONCIA ESTUCHE X 6: #11, #12, #23, #25, #26, #47</t>
  </si>
  <si>
    <t>NO</t>
  </si>
  <si>
    <t>50-99</t>
  </si>
  <si>
    <t>PLACA BLANDA CALIBRE 0,40</t>
  </si>
  <si>
    <t>PLACA BLANDA CALIBRE 0,60</t>
  </si>
  <si>
    <t>PLACA BLANDA CALIBRE 0,80</t>
  </si>
  <si>
    <t>60-99</t>
  </si>
  <si>
    <t>CAJA PARA RETENEDOR GRANDE</t>
  </si>
  <si>
    <t>CAJA PARA RETENEDOR PEQUEÑA</t>
  </si>
  <si>
    <t>CLEAN STAND (ESPONJERO)</t>
  </si>
  <si>
    <t>1-49</t>
  </si>
  <si>
    <t>CUBETAS PLASTICAS JUEGO X 3 PARES (TALLAS S - M - L)</t>
  </si>
  <si>
    <t>DAPPEN DE CAUCHO GRANDE</t>
  </si>
  <si>
    <t>DAPPEN DE CAUCHO PEQUEÑO</t>
  </si>
  <si>
    <t>ESPATULA PLASTICA</t>
  </si>
  <si>
    <t>PLATINAS PLASTICAS PARA ARTICULADOR X PAR</t>
  </si>
  <si>
    <t>TAZA DE CAUCHO GRANDE</t>
  </si>
  <si>
    <t>TAZA DE CAUCHO PEQUEÑA</t>
  </si>
  <si>
    <t>MEDIDOR DE POLVO Y AGUA PARA ALGINATO</t>
  </si>
  <si>
    <t>ESCALA +12</t>
  </si>
  <si>
    <t>RATONCITO PLASTICO PORTA DIENTE</t>
  </si>
  <si>
    <t>CEMENTO DE OXIFOSFATO LEE SMITH</t>
  </si>
  <si>
    <t xml:space="preserve">formaletas plasticas </t>
  </si>
  <si>
    <t>21 B</t>
  </si>
  <si>
    <t>CLEOIDE DISCOIDE</t>
  </si>
  <si>
    <t>PERIOSTOMO (ojo) lea bien no confundir</t>
  </si>
  <si>
    <t>PERIOSTOTOMO</t>
  </si>
  <si>
    <t xml:space="preserve">lo que mas necesito </t>
  </si>
  <si>
    <t>Item</t>
  </si>
  <si>
    <t>cantidad x arco</t>
  </si>
  <si>
    <t>codigo</t>
  </si>
  <si>
    <t xml:space="preserve">PARTES DEL ARCO FACIAL </t>
  </si>
  <si>
    <t>INVEN TARIO NORTE  MAYO 30</t>
  </si>
  <si>
    <t xml:space="preserve">INVEN TARIO SUR </t>
  </si>
  <si>
    <t xml:space="preserve">SUGERIDO NORTE </t>
  </si>
  <si>
    <t>SUGERIDO SUR</t>
  </si>
  <si>
    <t xml:space="preserve">TOTAL PEDIDO </t>
  </si>
  <si>
    <t>LO QUE LLEGO</t>
  </si>
  <si>
    <t>VR PEDIDO</t>
  </si>
  <si>
    <t>SBBL0001</t>
  </si>
  <si>
    <t>Mariposa de la junción</t>
  </si>
  <si>
    <t>FFIX0362</t>
  </si>
  <si>
    <t xml:space="preserve">Fijador de la juncion sin agujero </t>
  </si>
  <si>
    <t>FMOL0025</t>
  </si>
  <si>
    <t xml:space="preserve">Anillo de la juncion </t>
  </si>
  <si>
    <t>SEXP006</t>
  </si>
  <si>
    <t>Eje principal del Arco</t>
  </si>
  <si>
    <t>STAR 0005</t>
  </si>
  <si>
    <t xml:space="preserve">Traba del arco </t>
  </si>
  <si>
    <t>FPNZ0020</t>
  </si>
  <si>
    <t xml:space="preserve">Soporte del relator nasion (PARTE BLANCA) </t>
  </si>
  <si>
    <t>SCRE0020</t>
  </si>
  <si>
    <t xml:space="preserve">Tornillo de fijacion del arco igual al tornillo para nasion </t>
  </si>
  <si>
    <t>FHST0018</t>
  </si>
  <si>
    <t>Asta del relator nasion</t>
  </si>
  <si>
    <t>FBL00016</t>
  </si>
  <si>
    <t xml:space="preserve"> bloque del relator nasion</t>
  </si>
  <si>
    <t>FARC0784</t>
  </si>
  <si>
    <t>Arco derecho con agujero</t>
  </si>
  <si>
    <t>FAUR0033</t>
  </si>
  <si>
    <r>
      <rPr/>
      <t xml:space="preserve">Auricula derecha ojiva oliva </t>
    </r>
    <r>
      <rPr>
        <color rgb="FFFF0000"/>
      </rPr>
      <t>paq x20</t>
    </r>
  </si>
  <si>
    <t>CETQ0018</t>
  </si>
  <si>
    <t>Etiqueta de identificacion del modelo</t>
  </si>
  <si>
    <t>FAUR0032</t>
  </si>
  <si>
    <t>Aurícula izquierda ojiva oliva</t>
  </si>
  <si>
    <t>CELA0009</t>
  </si>
  <si>
    <t>Elástico natural</t>
  </si>
  <si>
    <t>FARC0785</t>
  </si>
  <si>
    <t>Arco izquierdo con rasgo</t>
  </si>
  <si>
    <t>FPOR0039</t>
  </si>
  <si>
    <t>Tuerca central del arco standard</t>
  </si>
  <si>
    <t>SGDE0007</t>
  </si>
  <si>
    <t>Tenedor para dentado</t>
  </si>
  <si>
    <t>FBLO0008</t>
  </si>
  <si>
    <t xml:space="preserve">Bloque interno del eje principal </t>
  </si>
  <si>
    <t>FTMP0027</t>
  </si>
  <si>
    <t>Tornillo de final de curso</t>
  </si>
  <si>
    <t>FBLO0006</t>
  </si>
  <si>
    <t>Bloque externo del eje principal</t>
  </si>
  <si>
    <t>CARR0004</t>
  </si>
  <si>
    <t xml:space="preserve">Anillo dentado ( Arandela dientes ) </t>
  </si>
  <si>
    <t>FBLO0026</t>
  </si>
  <si>
    <t xml:space="preserve">Bloque de fijacion del tenedor </t>
  </si>
  <si>
    <t>CPIE0005</t>
  </si>
  <si>
    <t>Clavija fijadora de la juncion</t>
  </si>
  <si>
    <t>FFIX0022</t>
  </si>
  <si>
    <t>Fijador de la juncion del tenedor con agujero</t>
  </si>
  <si>
    <t xml:space="preserve">Arco Completo </t>
  </si>
  <si>
    <t>ARZN0137</t>
  </si>
  <si>
    <t>NASION COMPLETO</t>
  </si>
  <si>
    <t>LLEGO</t>
  </si>
  <si>
    <t>Ítem</t>
  </si>
  <si>
    <t>Codigo</t>
  </si>
  <si>
    <t>PARTES DEL ARTICULADOR</t>
  </si>
  <si>
    <t>SCRE0078</t>
  </si>
  <si>
    <t xml:space="preserve">TORNILLO DE FIJACION DE LA MESA INCISAL </t>
  </si>
  <si>
    <t>FRAM0731</t>
  </si>
  <si>
    <t>RAMA INFERIOR A-7</t>
  </si>
  <si>
    <t>AMES0129</t>
  </si>
  <si>
    <t>MESA INCISAL ACRILICA</t>
  </si>
  <si>
    <t>FTAP0761</t>
  </si>
  <si>
    <t>TAPA DE ACABAMIENTO DE LA COLUMNA DERECHA</t>
  </si>
  <si>
    <t>FAGU0753</t>
  </si>
  <si>
    <t xml:space="preserve">AGUJA INDICADORA DEL PLANO OCLUSAL </t>
  </si>
  <si>
    <t>FPIN0750</t>
  </si>
  <si>
    <t xml:space="preserve">PIN INCISAL CON AGUJERO </t>
  </si>
  <si>
    <t>FRAM0740</t>
  </si>
  <si>
    <t>RAMA SUPERIOR A7 PLUS</t>
  </si>
  <si>
    <t>SALH0075</t>
  </si>
  <si>
    <t>ALETA DERECHA</t>
  </si>
  <si>
    <t>SGUI0073</t>
  </si>
  <si>
    <t>GUÍA CONDILICA DERECHA</t>
  </si>
  <si>
    <t>FPIN0744</t>
  </si>
  <si>
    <t xml:space="preserve">PIN DE LA JUNCION ESTABILIZADORA </t>
  </si>
  <si>
    <t>FPOS0759</t>
  </si>
  <si>
    <t>POSICIONADOR DE LA ALETA DERECHA</t>
  </si>
  <si>
    <t>SCRE0099</t>
  </si>
  <si>
    <t>TORNILLO DE FIJACION DE ALETA</t>
  </si>
  <si>
    <t>CPIN1197</t>
  </si>
  <si>
    <t xml:space="preserve">PIN DE APOYO DE LA RAMA SUPERIOR </t>
  </si>
  <si>
    <t>FTRA0765</t>
  </si>
  <si>
    <t xml:space="preserve">TRABA DE POSCICION CENTRAL DEL ARTICULADOR CENTRICA NARANJA </t>
  </si>
  <si>
    <t>CANE0319</t>
  </si>
  <si>
    <t>ANILLO RETENEDOR DE LA GUIA CONDILICA</t>
  </si>
  <si>
    <t>CETQ1113</t>
  </si>
  <si>
    <t xml:space="preserve">ETIQUETA DE IDENTIFICACION DEL MODELO </t>
  </si>
  <si>
    <t>FFIX0766</t>
  </si>
  <si>
    <t>FIJADOR DE LA GUIA CONDILICA</t>
  </si>
  <si>
    <t>SCRE0008</t>
  </si>
  <si>
    <t>TORNILLO DE FIJACION DE LA GUIA CONDILICA</t>
  </si>
  <si>
    <t>FTAP0764</t>
  </si>
  <si>
    <t>TAPA DE ACABAMIENTO DE LA RAZGADURA DE LA POLEA</t>
  </si>
  <si>
    <t>FPOS0758</t>
  </si>
  <si>
    <t>POSICIONADOR DE LA ALETA IZQUIERDA</t>
  </si>
  <si>
    <t>SGUI0072</t>
  </si>
  <si>
    <t>SALH0074</t>
  </si>
  <si>
    <t>ALETA IZQUIERDA</t>
  </si>
  <si>
    <t>FPIG0076</t>
  </si>
  <si>
    <t xml:space="preserve">PIN GUIA DE LA PLACA DE MONTAJE </t>
  </si>
  <si>
    <t>FCAN0755</t>
  </si>
  <si>
    <t xml:space="preserve">TAZA DEL IMAN </t>
  </si>
  <si>
    <t>CIMA1118</t>
  </si>
  <si>
    <t>IMÁN DE FIJACION DE LA PLACA DE MONTAJE</t>
  </si>
  <si>
    <t>APLM0096</t>
  </si>
  <si>
    <t>PLACA DE MONTAJE RIEL platinas X PAR</t>
  </si>
  <si>
    <t>SCRE0011</t>
  </si>
  <si>
    <t>TORNILLO DE FIJACION DEL PIN INCISAL</t>
  </si>
  <si>
    <t>CPAR1119</t>
  </si>
  <si>
    <t>TORNILLO TRABAMIENTO DEL ELEMENTO CONDILAR</t>
  </si>
  <si>
    <t>CMOL1100</t>
  </si>
  <si>
    <t>JUNCIÓN ELASTICO ESTABILIZADOR  SILICONA BLANCA X PAR</t>
  </si>
  <si>
    <t>FECD0734</t>
  </si>
  <si>
    <t>ELEMENTO CONDILAR</t>
  </si>
  <si>
    <t>FPIG0788</t>
  </si>
  <si>
    <t>PIN GUIA DEL ARCO FACIAL</t>
  </si>
  <si>
    <t>FTAP0760</t>
  </si>
  <si>
    <t>TAPA DE ACABAMIENTO DE LA COLUMNA IZQUIERDA</t>
  </si>
  <si>
    <t>SCRE0082</t>
  </si>
  <si>
    <t>TORNILLO DE FIJACION DE LA PLACA DE MONTAJE (RAMA INFERIOR) el largo</t>
  </si>
  <si>
    <t>LLEGARON 30</t>
  </si>
  <si>
    <t>SCRE0010</t>
  </si>
  <si>
    <t>TORNILLO DE FIJACION DE LA PLACA DE MONTAJE (RAMA SUPERIOR) el corto</t>
  </si>
  <si>
    <t>GUANTES</t>
  </si>
  <si>
    <t>INV NTE</t>
  </si>
  <si>
    <t>PEDIDO NTE</t>
  </si>
  <si>
    <t xml:space="preserve">INV SUR </t>
  </si>
  <si>
    <t>LATEX XS</t>
  </si>
  <si>
    <t>MUELA</t>
  </si>
  <si>
    <t>LATEX S</t>
  </si>
  <si>
    <t>LATEX M</t>
  </si>
  <si>
    <t>GAV VELASQ</t>
  </si>
  <si>
    <t>NITRILO XS TRAD</t>
  </si>
  <si>
    <t>MUNDIAL</t>
  </si>
  <si>
    <t>NITRILO XS NEGRO</t>
  </si>
  <si>
    <t>MUNDIAL ROSAD MORAD</t>
  </si>
  <si>
    <t>NITRILO XS ROSADO</t>
  </si>
  <si>
    <t>NITRILO XS MORADO</t>
  </si>
  <si>
    <t>FECHA AVERIGAR PRECIOS</t>
  </si>
  <si>
    <t>NITRILO S TRAD</t>
  </si>
  <si>
    <t>NITRILO S NEGRO</t>
  </si>
  <si>
    <t>NITRILO S ROSADO</t>
  </si>
  <si>
    <t>NITRILO S MORADO</t>
  </si>
  <si>
    <t>NITRILO M TRAD</t>
  </si>
  <si>
    <t>NITRILO M NEGRO</t>
  </si>
  <si>
    <t>FECHA INVENTARIO</t>
  </si>
  <si>
    <t>NITRILO XS  AZUL</t>
  </si>
  <si>
    <t>NITRILO S AZUL</t>
  </si>
  <si>
    <t>NITRILO M AZUL</t>
  </si>
  <si>
    <t>Hola, recibiste el mensaje?</t>
  </si>
  <si>
    <t xml:space="preserve">Hola </t>
  </si>
  <si>
    <t xml:space="preserve">Tu cuenta esta en : </t>
  </si>
  <si>
    <t>ya finalizo el semestre y la cuenta debe quedar en cero</t>
  </si>
  <si>
    <t xml:space="preserve">confiamos en ti y te dimos el credito y ahora nos ignoras. dime si vas  apagar o no para no perder el tiempo </t>
  </si>
  <si>
    <t>no hay numero, el papa no responde</t>
  </si>
  <si>
    <t>C R V</t>
  </si>
  <si>
    <t>no cobre</t>
  </si>
  <si>
    <t>confirmo</t>
  </si>
  <si>
    <t>tienes una Factura por valor de:</t>
  </si>
  <si>
    <t>FACTURA</t>
  </si>
  <si>
    <t>que ha pasado con ese saldo que tenemos, esta alto</t>
  </si>
  <si>
    <t>espera al 30 junio</t>
  </si>
  <si>
    <t xml:space="preserve">C V </t>
  </si>
  <si>
    <t>el compromiso era quedar a paz y salvo el semestre y aun no has pagado este saldo que quedo en:</t>
  </si>
  <si>
    <t>confie en vos Doc y me quedaste mal... no pense que fueras asi... vos sabes que te servi de la mejor manera, decime si me vas a pagar o no para no seguirte cobrando</t>
  </si>
  <si>
    <t>no responde</t>
  </si>
  <si>
    <t>dos pagos 30 julio y 15 de julio</t>
  </si>
  <si>
    <t>no ha a vuelto a abonar, su saldo quedo en:</t>
  </si>
  <si>
    <t>se retiro de la universidad  el papa respondio que iba a pagar sin fecha</t>
  </si>
  <si>
    <t>paga 20 junio</t>
  </si>
  <si>
    <t>Tienes una Factura por valor de:</t>
  </si>
  <si>
    <t>no le llegan mensajes telefono desactivado</t>
  </si>
  <si>
    <t xml:space="preserve">confiamos en ti y te dimos el credito y ahora nos ignorasy mientes.  dime si vas  apagar o no para no perder el tiempo </t>
  </si>
  <si>
    <t>sin respuesta</t>
  </si>
  <si>
    <t>isa aun seguimos esperando el saldo de esta cuenta, te hemos esperado mucho</t>
  </si>
  <si>
    <t>abono</t>
  </si>
  <si>
    <t xml:space="preserve">que ha pasado con la cuenta? este saldo ya lleva mas de 6 meses de vencico </t>
  </si>
  <si>
    <t xml:space="preserve">confie en ti y, te crei lo q decias  te dimos el credito y ahora nos ignoras.  dime si vas  apagar o no para no perder el tiempo </t>
  </si>
  <si>
    <t xml:space="preserve">te dimos insumos, confiamos en ti y eres muy mala paga, eres mala persona, te esperamos y confiamos en ti. </t>
  </si>
  <si>
    <t>sin numero la mama no responde</t>
  </si>
  <si>
    <t>digiste q ibas a abonar mensual para pagar sigo esperando</t>
  </si>
  <si>
    <t>confiamos en ti y te dimos el credito y ahora nos ignoras. dime si vas  apagar o no para no perder el tiempo... asi no se le paga al que bien te sirve</t>
  </si>
  <si>
    <t>buscar numero</t>
  </si>
  <si>
    <t>Doc tienes una Factura por valor de:</t>
  </si>
  <si>
    <t xml:space="preserve">confiamos en ti y te dimos el credito y ahora nos ignoras.  dime si vas  apagar o no para no perder el tiempo </t>
  </si>
  <si>
    <t>no le llegan mensajes</t>
  </si>
  <si>
    <t>mama respondio que el 10 juniio</t>
  </si>
  <si>
    <t xml:space="preserve">no se olvide del compromiso que quedamos no me quede mal he confiado mucho en usted </t>
  </si>
  <si>
    <t>nos puede seguir abonando puede ser una cuota mensual de $100 para q no le quede duro.</t>
  </si>
  <si>
    <t>sin respuesta no le llegan mensajes</t>
  </si>
  <si>
    <t>paga 27 junio</t>
  </si>
  <si>
    <t xml:space="preserve">que paso te he dado la oportuinidad de pagar asi fuera de $100 mensuales y ni asi  pagas no creo q no puedas pagar de esa manera ... dime si vas a pagar para no seguirte cobrando </t>
  </si>
  <si>
    <t>que paso si usted se distinguia de todo su grupo de amigos que quedaron mal..sigo confiando en usted, si no puede pagar todo x lo menos abone mensual su saldo esta en:</t>
  </si>
  <si>
    <t xml:space="preserve">Doc tienes una Factura del articulador por valor de </t>
  </si>
  <si>
    <t>que ha pasado con la cuenta? he confiado en ti y no has pagado... este saldo ya lleva mas de 6 meses de vencido y quedo en:</t>
  </si>
  <si>
    <t>paga el prox mes en julio</t>
  </si>
  <si>
    <t>sin numero</t>
  </si>
  <si>
    <t xml:space="preserve">si nos va a pagar o no para no perder el tiempo cobrando </t>
  </si>
  <si>
    <t>pago</t>
  </si>
  <si>
    <t>que ha pasado con ese saldo que esta en:</t>
  </si>
  <si>
    <t>confirmo recibir mensaje</t>
  </si>
  <si>
    <t xml:space="preserve">q paso con ese saldo, por que me ha quedado mal y no me contesta nada </t>
  </si>
  <si>
    <t>tu cuenta quedo en</t>
  </si>
  <si>
    <t>Contamos con tu abono</t>
  </si>
  <si>
    <t>CLAUDIA GAVIRIA DAGUA</t>
  </si>
  <si>
    <t>John Daniel Valencia</t>
  </si>
  <si>
    <t>Ricardo Mosquera</t>
  </si>
  <si>
    <t>Claudia Rodriguez</t>
  </si>
  <si>
    <t>ultimo abono</t>
  </si>
  <si>
    <t>Marcela Gutierrez</t>
  </si>
  <si>
    <t>Carol Mejia</t>
  </si>
  <si>
    <t>abril 22</t>
  </si>
  <si>
    <t xml:space="preserve">Daniela Garcia </t>
  </si>
  <si>
    <t xml:space="preserve">ultimo abono </t>
  </si>
  <si>
    <t>Juan Sebastian Soto</t>
  </si>
  <si>
    <t>Karen Sanchez</t>
  </si>
  <si>
    <t xml:space="preserve">Vanessa Muñoz </t>
  </si>
  <si>
    <t>sin abono</t>
  </si>
  <si>
    <t>Geraldine Salinas</t>
  </si>
  <si>
    <t>Daniela Zambrano</t>
  </si>
  <si>
    <t>Julieth Trujillo</t>
  </si>
  <si>
    <t>Brayan Gonzalez</t>
  </si>
  <si>
    <t xml:space="preserve">Valentina De Pablo </t>
  </si>
  <si>
    <t>abril 21</t>
  </si>
  <si>
    <t>Maria Camila Cobo</t>
  </si>
  <si>
    <t>Manuela Martinez</t>
  </si>
  <si>
    <t xml:space="preserve">Claudia Gaviria Norte Dra </t>
  </si>
  <si>
    <t>DR</t>
  </si>
  <si>
    <t>Cristian Rubio</t>
  </si>
  <si>
    <t>Zoe Alturo</t>
  </si>
  <si>
    <t>Sofia Rivera</t>
  </si>
  <si>
    <t>Juan Diego Franco</t>
  </si>
  <si>
    <t>Sebastian Pabon</t>
  </si>
  <si>
    <t xml:space="preserve">Diana Carolina Vargas Dra </t>
  </si>
  <si>
    <t>abril 24</t>
  </si>
  <si>
    <t>Maria Paula Ciro</t>
  </si>
  <si>
    <t xml:space="preserve">Tatiana Endo Dra </t>
  </si>
  <si>
    <t xml:space="preserve">Ada Carolina Conde Dra </t>
  </si>
  <si>
    <t xml:space="preserve">Osly Ibarguen </t>
  </si>
  <si>
    <t>Laura Moreno</t>
  </si>
  <si>
    <t>Valentina Ramirez LAB</t>
  </si>
  <si>
    <t>LAB</t>
  </si>
  <si>
    <t xml:space="preserve">Carlos Diaz Laboratorio </t>
  </si>
  <si>
    <t xml:space="preserve">Andrea Perez </t>
  </si>
  <si>
    <t>Maria Jose Rojas</t>
  </si>
  <si>
    <t>Catalina Lasso</t>
  </si>
  <si>
    <t>Victor Diaz</t>
  </si>
  <si>
    <t xml:space="preserve">Joselin Zuñiga </t>
  </si>
  <si>
    <t>Daniela Gomez</t>
  </si>
  <si>
    <t xml:space="preserve">Valentina Guerrero </t>
  </si>
  <si>
    <t xml:space="preserve">Lizeth Hurtado </t>
  </si>
  <si>
    <t xml:space="preserve">Julieth Zapata </t>
  </si>
  <si>
    <t>Melissa Aragon</t>
  </si>
  <si>
    <t xml:space="preserve">Ivan Chica </t>
  </si>
  <si>
    <t>abril 26</t>
  </si>
  <si>
    <t xml:space="preserve">Carolina Pachon </t>
  </si>
  <si>
    <t>15 abril</t>
  </si>
  <si>
    <t>Eliana Gustin</t>
  </si>
  <si>
    <t xml:space="preserve">Fernando Rincon </t>
  </si>
  <si>
    <t xml:space="preserve">Mauricio Quintero </t>
  </si>
  <si>
    <t>Rafael Tovar Dr</t>
  </si>
  <si>
    <t>Valentina Ruiz</t>
  </si>
  <si>
    <t>Laura Gonzalez</t>
  </si>
  <si>
    <t>Juan Manuel Arbelaez</t>
  </si>
  <si>
    <t>Alejandro Gutierrez</t>
  </si>
  <si>
    <t xml:space="preserve">Arantxa Sandoval </t>
  </si>
  <si>
    <t xml:space="preserve">Sebastian De Clavicci </t>
  </si>
  <si>
    <t xml:space="preserve">Santiago Solognier </t>
  </si>
  <si>
    <t>Camila Ortega Portilla</t>
  </si>
  <si>
    <t>Sonia Vanessa Rodriguez</t>
  </si>
  <si>
    <t xml:space="preserve">Manuela Cardona </t>
  </si>
  <si>
    <t>Karen Arteaga</t>
  </si>
  <si>
    <t>abril 11</t>
  </si>
  <si>
    <t>Laura Velasquez</t>
  </si>
  <si>
    <t>Karol Castillo</t>
  </si>
  <si>
    <t xml:space="preserve">Sebastian Hurtado </t>
  </si>
  <si>
    <t xml:space="preserve">Mariana Pareja </t>
  </si>
  <si>
    <t xml:space="preserve">Gabriela Cadena </t>
  </si>
  <si>
    <t>Lusciana Lozano</t>
  </si>
  <si>
    <t xml:space="preserve">Valentina Tamara </t>
  </si>
  <si>
    <t>David Rosero</t>
  </si>
  <si>
    <t xml:space="preserve">Sofia Carvajal </t>
  </si>
  <si>
    <t>abril 29</t>
  </si>
  <si>
    <t>Diana Estefania Cordoba</t>
  </si>
  <si>
    <t>Marlin Pacheco</t>
  </si>
  <si>
    <t>marzo 8</t>
  </si>
  <si>
    <t>Sebastian Holguin POST</t>
  </si>
  <si>
    <t>POST</t>
  </si>
  <si>
    <t>Maria Fernanda Castañeda</t>
  </si>
  <si>
    <t>Juan David Cardenas</t>
  </si>
  <si>
    <t>Maria Juliana Lopez</t>
  </si>
  <si>
    <t xml:space="preserve">Luis Gonzales </t>
  </si>
  <si>
    <t>Maria Rubi Davila</t>
  </si>
  <si>
    <t xml:space="preserve">Andrea Portocarrero </t>
  </si>
  <si>
    <t xml:space="preserve">Angela Tovar </t>
  </si>
  <si>
    <t>Sara Muñoz</t>
  </si>
  <si>
    <t>Ivan Camilo Ortega</t>
  </si>
  <si>
    <t>Santiago Guevara</t>
  </si>
  <si>
    <t xml:space="preserve">Daniel Vallejo </t>
  </si>
  <si>
    <t>Natalia Vargas</t>
  </si>
  <si>
    <t>abril 23</t>
  </si>
  <si>
    <t>Camilo Mayor</t>
  </si>
  <si>
    <t>Danny Gelpud</t>
  </si>
  <si>
    <t>Walvin Gale DR</t>
  </si>
  <si>
    <t xml:space="preserve">Liliana Serrano Dra </t>
  </si>
  <si>
    <t xml:space="preserve">Dayana Lopez </t>
  </si>
  <si>
    <t xml:space="preserve">Dayi Granja </t>
  </si>
  <si>
    <t>Alejandro Ruiz Dr</t>
  </si>
  <si>
    <t xml:space="preserve">Michael benavidez Dr </t>
  </si>
  <si>
    <t>Salome Ruales Dr</t>
  </si>
  <si>
    <t>Julian Mena DR</t>
  </si>
  <si>
    <t>Karla Mayerly Orozco DR</t>
  </si>
  <si>
    <t xml:space="preserve">Andrea Daza POST </t>
  </si>
  <si>
    <t xml:space="preserve">Valentina Ciro </t>
  </si>
  <si>
    <t>Giovany Gomez DR</t>
  </si>
  <si>
    <t>David Agudelo</t>
  </si>
  <si>
    <t>Owen Cardenas POST</t>
  </si>
  <si>
    <t xml:space="preserve">Juan Sebastian Caro Herrera </t>
  </si>
  <si>
    <t>liseth Lasso Dra</t>
  </si>
  <si>
    <t xml:space="preserve">Alejandro Izquierdo </t>
  </si>
  <si>
    <t>Carlos Maiguel POST</t>
  </si>
  <si>
    <t>Juliana Arias POST</t>
  </si>
  <si>
    <t>no hay abono</t>
  </si>
  <si>
    <t>Johana Daza POST</t>
  </si>
  <si>
    <t>Gloria Herrera DR</t>
  </si>
  <si>
    <t>Kimberly Perez DR</t>
  </si>
  <si>
    <t>Alvaro Obando DR</t>
  </si>
  <si>
    <t>Marlon Velez DR</t>
  </si>
  <si>
    <t>Paola Agudelo DR</t>
  </si>
  <si>
    <t>Melissa Echeverry DR</t>
  </si>
  <si>
    <t>Leidy Grajales DR</t>
  </si>
  <si>
    <t>Viviana Gonzalez Dr</t>
  </si>
  <si>
    <t>Salome Marquez POST</t>
  </si>
  <si>
    <t>ULTIMO ABONO</t>
  </si>
  <si>
    <t>Marcela Gonzalez DR</t>
  </si>
  <si>
    <t xml:space="preserve">Daniela Trujillo DRA </t>
  </si>
  <si>
    <t>Katherine Cruz POST</t>
  </si>
  <si>
    <t>Sara Gomez POST</t>
  </si>
  <si>
    <t xml:space="preserve">Laura Arteaga POST </t>
  </si>
  <si>
    <t>Sebastian Barrera POST</t>
  </si>
  <si>
    <t xml:space="preserve">Andres Giraldo Dr </t>
  </si>
  <si>
    <t>Angela Rivero Dr</t>
  </si>
  <si>
    <t>Stefany Lince POST</t>
  </si>
  <si>
    <t>Sandra Pinzon POST</t>
  </si>
  <si>
    <t>Gissel Rodriguez POST</t>
  </si>
  <si>
    <t>Lina Ramirez DR</t>
  </si>
  <si>
    <t>Joshua Segovia DR</t>
  </si>
  <si>
    <t>Guillermo Sebastian Chacon  DR</t>
  </si>
  <si>
    <t>Carmen Sarria la UNION DR</t>
  </si>
  <si>
    <t>Karol Gil Dra</t>
  </si>
  <si>
    <t>Juliana Niz POST</t>
  </si>
  <si>
    <t>Natalia Duran DR</t>
  </si>
  <si>
    <t>Liana martinez POST</t>
  </si>
  <si>
    <t>Maira Moyano Dra</t>
  </si>
  <si>
    <t>Magda Ortiz Andrade DR</t>
  </si>
  <si>
    <t>TATIANA SIZA DRA</t>
  </si>
  <si>
    <t>Alejandro Angel DR</t>
  </si>
  <si>
    <t>Daniela Largacha DR</t>
  </si>
  <si>
    <t>Vanessa Restrepo DR</t>
  </si>
  <si>
    <t>JUAN FERNANDO RESTREPO DR</t>
  </si>
  <si>
    <t>TOTALES</t>
  </si>
  <si>
    <t xml:space="preserve">Cratera Revencida </t>
  </si>
  <si>
    <t>cuentas y fact</t>
  </si>
  <si>
    <t>valor</t>
  </si>
  <si>
    <t xml:space="preserve">OBSERVACIONES </t>
  </si>
  <si>
    <t>cartera revencida</t>
  </si>
  <si>
    <t>Isabella Morales</t>
  </si>
  <si>
    <t>abonando</t>
  </si>
  <si>
    <t>tienes una cuenta vencida por valor de:</t>
  </si>
  <si>
    <t>Diego 3184873946</t>
  </si>
  <si>
    <t>respondio que apenas consiguio trabajo</t>
  </si>
  <si>
    <t>cartera vencida Ene jun 2022</t>
  </si>
  <si>
    <t xml:space="preserve">Jose Ignacio Echeverri </t>
  </si>
  <si>
    <t xml:space="preserve">No mas credito </t>
  </si>
  <si>
    <t>llamar</t>
  </si>
  <si>
    <t>Miriam 3052874313  Catalina 3023386499</t>
  </si>
  <si>
    <t>X</t>
  </si>
  <si>
    <t>Maria Alejandra Ramirez 38</t>
  </si>
  <si>
    <t>Se graduo</t>
  </si>
  <si>
    <t>Maria Elena 3122766342</t>
  </si>
  <si>
    <t xml:space="preserve">Mateo Carvajal </t>
  </si>
  <si>
    <t>ultimo abono septiembre 2023</t>
  </si>
  <si>
    <t>va ha pagar $300 mensual</t>
  </si>
  <si>
    <t>cartera vencida jul dic 2022</t>
  </si>
  <si>
    <t>Alejandra Ramirez 14</t>
  </si>
  <si>
    <t>Alberto 3178059009</t>
  </si>
  <si>
    <t>Esmeralda Diaz</t>
  </si>
  <si>
    <t xml:space="preserve">Se graduo </t>
  </si>
  <si>
    <t>Libia 3103959540</t>
  </si>
  <si>
    <t xml:space="preserve">Julieth Naranjo </t>
  </si>
  <si>
    <t>Carlos 3166334488</t>
  </si>
  <si>
    <t>Cartera vencida de Ene - Jul 23</t>
  </si>
  <si>
    <t xml:space="preserve">Jessica Ramirez </t>
  </si>
  <si>
    <t>Luis Lopez 3206821362</t>
  </si>
  <si>
    <t xml:space="preserve">Juan Diego Montero </t>
  </si>
  <si>
    <t>ultimo abono dic 16</t>
  </si>
  <si>
    <t xml:space="preserve">Marcela Figueroa </t>
  </si>
  <si>
    <t xml:space="preserve">llamar mama </t>
  </si>
  <si>
    <t xml:space="preserve">la mama dijo q envio un abono </t>
  </si>
  <si>
    <t>CARTERA VENCIDA JUL DIC 23</t>
  </si>
  <si>
    <t xml:space="preserve">Natalia Wagner </t>
  </si>
  <si>
    <t>ultimo abono 7 NOVIEMBRE</t>
  </si>
  <si>
    <t xml:space="preserve">Maria Alejandra Dominguez </t>
  </si>
  <si>
    <t xml:space="preserve">ultimo abono diciembre 2023 </t>
  </si>
  <si>
    <t>Cristina Gomez</t>
  </si>
  <si>
    <t>ultimo abono ene 16</t>
  </si>
  <si>
    <t>pidio revisar la cuenta</t>
  </si>
  <si>
    <t>Juan Pablo Noguera Dr</t>
  </si>
  <si>
    <t>no resonde</t>
  </si>
  <si>
    <t>CARTERA VENCIDA DE ENE A JUL 24</t>
  </si>
  <si>
    <t xml:space="preserve">Valeria Gaviria </t>
  </si>
  <si>
    <t>se graduo</t>
  </si>
  <si>
    <t>28 agosto abono con el articulador</t>
  </si>
  <si>
    <t>Valentina Cortez</t>
  </si>
  <si>
    <t>ultimo abono 16 septiembre</t>
  </si>
  <si>
    <t>escribir a la mama</t>
  </si>
  <si>
    <t xml:space="preserve">Veronica Ibarra </t>
  </si>
  <si>
    <t>ultimo abono 9 abril</t>
  </si>
  <si>
    <t>no contesta</t>
  </si>
  <si>
    <t xml:space="preserve">Manuela Castillo </t>
  </si>
  <si>
    <t>ultimo abono 16 OCTUBRE</t>
  </si>
  <si>
    <t>Saray Caicedo</t>
  </si>
  <si>
    <t>llamar, no contesta mensajes</t>
  </si>
  <si>
    <t xml:space="preserve">Yuliana Olaya </t>
  </si>
  <si>
    <t>dice que el papa llega de pasto el jueves 11 y luego vendria a pagar</t>
  </si>
  <si>
    <t>Jesica Ortega</t>
  </si>
  <si>
    <t>ultimo abono 29 OCTUBRE</t>
  </si>
  <si>
    <t>Paola Barrios  POST</t>
  </si>
  <si>
    <t>ultimo abono 15 ene</t>
  </si>
  <si>
    <t>cartera vencida dic 2024</t>
  </si>
  <si>
    <t>Jhon Rosero</t>
  </si>
  <si>
    <t xml:space="preserve">Valentina Cuellar </t>
  </si>
  <si>
    <t xml:space="preserve">Maria Camila Ortiz Gordillo </t>
  </si>
  <si>
    <t xml:space="preserve">Valentina Cardenas </t>
  </si>
  <si>
    <t>Josselyn Gonzalez</t>
  </si>
  <si>
    <t>Carlos Maiguel</t>
  </si>
  <si>
    <t>Camilo Quiñones DR</t>
  </si>
  <si>
    <t>odontologo</t>
  </si>
  <si>
    <t xml:space="preserve">factura </t>
  </si>
  <si>
    <t xml:space="preserve">Felipe Armenta </t>
  </si>
  <si>
    <t xml:space="preserve">tiene una factura por </t>
  </si>
  <si>
    <t xml:space="preserve">Carlos Pinto </t>
  </si>
  <si>
    <t xml:space="preserve">Karen La Torre </t>
  </si>
  <si>
    <t>Alfonso</t>
  </si>
  <si>
    <t>Santiago</t>
  </si>
  <si>
    <t>juliana Rosero</t>
  </si>
  <si>
    <t>Astrid Vergara</t>
  </si>
  <si>
    <t>6 charisma</t>
  </si>
  <si>
    <t>Valeria Camacho</t>
  </si>
  <si>
    <t>Elizabeth Alvarez</t>
  </si>
  <si>
    <t>Maria Paula Andrade</t>
  </si>
  <si>
    <t>Juliana Bermudez</t>
  </si>
  <si>
    <t>Carolina Ovalle</t>
  </si>
  <si>
    <t xml:space="preserve">Abraham </t>
  </si>
  <si>
    <t>Valentina Bojaca</t>
  </si>
  <si>
    <t>Diana Holguin</t>
  </si>
  <si>
    <t>Katy sinisterra</t>
  </si>
  <si>
    <t xml:space="preserve">     </t>
  </si>
  <si>
    <t>AFR</t>
  </si>
  <si>
    <t xml:space="preserve">ALFREDO </t>
  </si>
  <si>
    <t>IMPORTADA ALEXIÑO</t>
  </si>
  <si>
    <t>INTEGRON STERIPAC</t>
  </si>
  <si>
    <t xml:space="preserve">ITALDEC ORO-PLATA </t>
  </si>
  <si>
    <t>IVAN PADILLA ORTHOD</t>
  </si>
  <si>
    <t>JORGE OMAR</t>
  </si>
  <si>
    <t>CALIPSO HULE</t>
  </si>
  <si>
    <t>CARDENAS INSTRUM</t>
  </si>
  <si>
    <t>MAKRODENT OSCAR JULIAN</t>
  </si>
  <si>
    <t>CENTRO CRISTALERIA LA 13</t>
  </si>
  <si>
    <t xml:space="preserve">MARLENY DENTALES ID </t>
  </si>
  <si>
    <t>CENTRO CRISTALERIA LA 15</t>
  </si>
  <si>
    <t>MASTERDENT</t>
  </si>
  <si>
    <t>CENTRO JOSE VISOR</t>
  </si>
  <si>
    <t xml:space="preserve">MDS SS WHITE </t>
  </si>
  <si>
    <t>CENTRO OTORGO</t>
  </si>
  <si>
    <t>MIGUEL BOGOTA 3M</t>
  </si>
  <si>
    <t>MONICA SU CASA</t>
  </si>
  <si>
    <t>CLAUDIA BRAS</t>
  </si>
  <si>
    <t>CLAY</t>
  </si>
  <si>
    <t xml:space="preserve">ORGANIC NURIA </t>
  </si>
  <si>
    <t>OTORGO</t>
  </si>
  <si>
    <t>DENTAL MARKET</t>
  </si>
  <si>
    <t xml:space="preserve">DENTALES SUPER </t>
  </si>
  <si>
    <t>PORTILLO</t>
  </si>
  <si>
    <t>DENTMART BOGT</t>
  </si>
  <si>
    <t>DENTSPLAY</t>
  </si>
  <si>
    <t>PRODUSER</t>
  </si>
  <si>
    <t>Dollar city</t>
  </si>
  <si>
    <t>QUIMIPACK</t>
  </si>
  <si>
    <t>DROGUERIA SAN JORGE</t>
  </si>
  <si>
    <t>QUIRUDENT</t>
  </si>
  <si>
    <t>EMMA IVOCLAR</t>
  </si>
  <si>
    <t>ESTERIPACK</t>
  </si>
  <si>
    <t>REPRESENT LASTRA</t>
  </si>
  <si>
    <t>SANDRA ALCOHOL</t>
  </si>
  <si>
    <t>SCOES CALIB OCLUSAL</t>
  </si>
  <si>
    <t xml:space="preserve">GAC ORTHODONCIA </t>
  </si>
  <si>
    <t>TROPICALI SCOT</t>
  </si>
  <si>
    <t>GUILLERMO VELEZ</t>
  </si>
  <si>
    <t xml:space="preserve">GUILLERMO VELEZ LA MEJOR </t>
  </si>
  <si>
    <t>HECTOR FRESAS BOGT</t>
  </si>
  <si>
    <t>PROVEEDORES</t>
  </si>
  <si>
    <t xml:space="preserve">CEDULA O NIT </t>
  </si>
  <si>
    <t>CUENTA</t>
  </si>
  <si>
    <t xml:space="preserve">No DE CUENTAS </t>
  </si>
  <si>
    <t>CONVENIO</t>
  </si>
  <si>
    <t>FE</t>
  </si>
  <si>
    <t>fecha Actualizacion</t>
  </si>
  <si>
    <t xml:space="preserve">Jose Villegas Imporquirurgicas </t>
  </si>
  <si>
    <t xml:space="preserve">Bancolombia Cta Ahorros </t>
  </si>
  <si>
    <t># 602-000008-63</t>
  </si>
  <si>
    <t>Agt /24</t>
  </si>
  <si>
    <t xml:space="preserve">Alexander Lozano  </t>
  </si>
  <si>
    <t xml:space="preserve">Davivienda  Cta Corriente </t>
  </si>
  <si>
    <t># 176-600040-31</t>
  </si>
  <si>
    <t xml:space="preserve">Bio-dentales </t>
  </si>
  <si>
    <t>#032-041926-09</t>
  </si>
  <si>
    <t># 35997</t>
  </si>
  <si>
    <t xml:space="preserve">Cardenas Importaciones </t>
  </si>
  <si>
    <t xml:space="preserve">Bancolombia Cta Corriente </t>
  </si>
  <si>
    <t xml:space="preserve"># 035-001132-08 </t>
  </si>
  <si>
    <t>Casa Odontologica Ramon</t>
  </si>
  <si>
    <t>900552695-1</t>
  </si>
  <si>
    <t># 242-300456-42</t>
  </si>
  <si>
    <t># 66335</t>
  </si>
  <si>
    <t>Sep /24</t>
  </si>
  <si>
    <t xml:space="preserve">Caudia Gaviria </t>
  </si>
  <si>
    <r>
      <t xml:space="preserve">Bancolombia </t>
    </r>
    <r>
      <rPr>
        <b val="0"/>
      </rPr>
      <t>Cta</t>
    </r>
    <r>
      <rPr/>
      <t xml:space="preserve"> Ahorros </t>
    </r>
  </si>
  <si>
    <t># 514-492279-17</t>
  </si>
  <si>
    <t xml:space="preserve">Delta </t>
  </si>
  <si>
    <t>800232917-6</t>
  </si>
  <si>
    <t xml:space="preserve">Bcolombia Cta Corriente </t>
  </si>
  <si>
    <t># 665-037443-28</t>
  </si>
  <si>
    <t xml:space="preserve"># 42301 </t>
  </si>
  <si>
    <t xml:space="preserve">Colpatria Cta Corriente </t>
  </si>
  <si>
    <t>#000-6110029-98</t>
  </si>
  <si>
    <t xml:space="preserve">Inversiones Furman </t>
  </si>
  <si>
    <t xml:space="preserve">Bancolombia    Cta Corriente </t>
  </si>
  <si>
    <t xml:space="preserve"># 685-374829-51 </t>
  </si>
  <si>
    <t xml:space="preserve">Julvid Dent </t>
  </si>
  <si>
    <t xml:space="preserve">BancolombIa cta corriente     </t>
  </si>
  <si>
    <t>#201-140939-15</t>
  </si>
  <si>
    <t># 23294</t>
  </si>
  <si>
    <t xml:space="preserve">Convenio </t>
  </si>
  <si>
    <t>#287-069706-49</t>
  </si>
  <si>
    <t xml:space="preserve"># 5294 </t>
  </si>
  <si>
    <t xml:space="preserve">New Setic </t>
  </si>
  <si>
    <t xml:space="preserve">Bancolombia  Cta Corriente   </t>
  </si>
  <si>
    <t># 284-425388-49</t>
  </si>
  <si>
    <t xml:space="preserve"># 53045 </t>
  </si>
  <si>
    <t>Agt/24</t>
  </si>
  <si>
    <t xml:space="preserve">Oxxi Comercial </t>
  </si>
  <si>
    <t xml:space="preserve">Colpatria   Cta Ahorros </t>
  </si>
  <si>
    <t># 197-20039-98</t>
  </si>
  <si>
    <t xml:space="preserve">Proquident </t>
  </si>
  <si>
    <t># 23297</t>
  </si>
  <si>
    <t xml:space="preserve">Ruben Ramirez Giraldo                BonDent </t>
  </si>
  <si>
    <t>900956591-9</t>
  </si>
  <si>
    <t xml:space="preserve">Bancolombia Cta Ahorra </t>
  </si>
  <si>
    <t># 014-582356-40</t>
  </si>
  <si>
    <t xml:space="preserve">Super-Dent Inversiones Amalgadent </t>
  </si>
  <si>
    <t>Nit: 830.038.089-5</t>
  </si>
  <si>
    <t># 01366406973</t>
  </si>
  <si>
    <t>800.113.480-1</t>
  </si>
  <si>
    <t xml:space="preserve">Bancolombia cta, cte   </t>
  </si>
  <si>
    <t># 69831026858</t>
  </si>
  <si>
    <t xml:space="preserve"># 28074 </t>
  </si>
  <si>
    <t xml:space="preserve">Edgar Llanos  Plata Y Oro </t>
  </si>
  <si>
    <t xml:space="preserve">Banco itau </t>
  </si>
  <si>
    <t>cuenta corriente # 013385042  a nombre de Organización  Juan Carlos Farré</t>
  </si>
  <si>
    <t>811.000.810-1</t>
  </si>
  <si>
    <t xml:space="preserve">Bancolmbia </t>
  </si>
  <si>
    <t>Cta Cte #00201143649</t>
  </si>
  <si>
    <t>#30282</t>
  </si>
  <si>
    <t>BANCOLOMBIA CUENTA CORRIENTE</t>
  </si>
  <si>
    <t>#01366406973</t>
  </si>
  <si>
    <t>PLUSSDENT</t>
  </si>
  <si>
    <t xml:space="preserve">FGM </t>
  </si>
  <si>
    <t>masdental</t>
  </si>
  <si>
    <t xml:space="preserve">PRODONT EUFAR  </t>
  </si>
  <si>
    <t>GARHOX</t>
  </si>
  <si>
    <t>´x</t>
  </si>
  <si>
    <t>J DISTRIBUCIONES</t>
  </si>
  <si>
    <t>BANCO CAJA SOCIAL</t>
  </si>
  <si>
    <t xml:space="preserve">NO ORDENAR ABC </t>
  </si>
  <si>
    <t>INVENTARIO EN BLISTER</t>
  </si>
  <si>
    <t>PEDIDO SUR</t>
  </si>
  <si>
    <t xml:space="preserve">COSTO </t>
  </si>
  <si>
    <t>VR TOTAL QUE LAS LIMAS QUE TENEMOS</t>
  </si>
  <si>
    <t xml:space="preserve">LIMAS FLEXOFILE 1RA SERIE 21mm </t>
  </si>
  <si>
    <t>LIMAS FLEXOFILE 21mm # 15</t>
  </si>
  <si>
    <t>LIMAS FLEXOFILE 21mm # 20</t>
  </si>
  <si>
    <t>LIMAS FLEXOFILE 21mm # 25</t>
  </si>
  <si>
    <t>LIMAS FLEXOFILE 21mm # 30</t>
  </si>
  <si>
    <t>LIMAS FLEXOFILE 21mm # 35</t>
  </si>
  <si>
    <t>LIMAS FLEXOFILE 21mm # 40</t>
  </si>
  <si>
    <t>LIMAS K-FILE 21mm 2DA SERIE</t>
  </si>
  <si>
    <t>LIMAS FLEXOFILE 21mm # 45</t>
  </si>
  <si>
    <t>LIMAS FLEXOFILE 21mm # 50</t>
  </si>
  <si>
    <t>LIMAS FLEXOFILE 21mm # 55</t>
  </si>
  <si>
    <t>LIMAS FLEXOFILE 21mm # 60</t>
  </si>
  <si>
    <t>LIMAS FLEXOFILE 21mm # 70</t>
  </si>
  <si>
    <t>LIMAS FLEXOFILE 21mm # 80</t>
  </si>
  <si>
    <t>LIMAS FLEXOFILE 25mm 1RA SERIE</t>
  </si>
  <si>
    <t>LIMAS K-FILE 25mm 2DA SERIE</t>
  </si>
  <si>
    <t>LIMAS FLEXOFILE 25mm # 45</t>
  </si>
  <si>
    <t>LIMAS FLEXOFILE 25mm # 50</t>
  </si>
  <si>
    <t>LIMAS FLEXOFILE 25mm # 55</t>
  </si>
  <si>
    <t>LIMAS FLEXOFILE 25mm # 60</t>
  </si>
  <si>
    <t>LIMAS FLEXOFILE 25mm # 70</t>
  </si>
  <si>
    <t>LIMAS FLEXOFILE 25mm # 80</t>
  </si>
  <si>
    <t>LIMAS FLEXOFILE 31mm 1RA SERIE</t>
  </si>
  <si>
    <t>LIMAS K-FILE 31mm 2DA SERIE</t>
  </si>
  <si>
    <t>LIMAS FLEXOFILE 31mm # 45</t>
  </si>
  <si>
    <t>LIMAS FLEXOFILE 31mm # 50</t>
  </si>
  <si>
    <t>LIMAS FLEXOFILE 31mm # 55</t>
  </si>
  <si>
    <t>LIMAS FLEXOFILE 31mm # 60</t>
  </si>
  <si>
    <t>LIMAS FLEXOFILE 31mm # 70</t>
  </si>
  <si>
    <t>LIMAS FLEXOFILE 31mm # 80</t>
  </si>
  <si>
    <t>LIMAS PRESERIE  # 21 JUEGO 6 - 8 - 10</t>
  </si>
  <si>
    <t>LIMAS PRESERIE  # 25 JUEGO  6 - 8 - 10</t>
  </si>
  <si>
    <t>LIMAS PRESERIE  # 31 JUEGO  6 - 8 - 10</t>
  </si>
  <si>
    <t>NITIFLEX 25MM MAILEFER</t>
  </si>
  <si>
    <t>LIMAS M-ACCESS 31mm 1ra serie</t>
  </si>
  <si>
    <t>LIMAS PRESERIE M-ACCESS 21mm JUEGO 06-08-10</t>
  </si>
  <si>
    <t>LIMAS PRESERIE M-ACCESS en 21mm #6</t>
  </si>
  <si>
    <t>LIMAS PRESERIE M-ACCESS en 21mm #8</t>
  </si>
  <si>
    <t>LIMAS PRESERIE M-ACCESS en 21mm #10</t>
  </si>
  <si>
    <t>LIMAS PRESERIE M-ACCESS 25mm JUEGO  06-08-10</t>
  </si>
  <si>
    <t>LIMAS PRESERIE M-ACCESS en 25mm #6</t>
  </si>
  <si>
    <t>LIMAS PRESERIE M-ACCESS en 25mm #8</t>
  </si>
  <si>
    <t>LIMAS PRESERIE M-ACCESS en 25mm #10</t>
  </si>
  <si>
    <t>LIMAS PRESERIE M-ACCESS 31mm JUEGO 06-08-10</t>
  </si>
  <si>
    <t>LIMAS PRESERIE M-ACCESS en 31mm #6</t>
  </si>
  <si>
    <t>LIMAS PRESERIE M-ACCESS en 31mm #8</t>
  </si>
  <si>
    <t>LIMAS PRESERIE M-ACCESS en 31mm #10</t>
  </si>
  <si>
    <t>ESPACIADOR DIGITAL CajaX4 Mailefer No 20 Amarillo</t>
  </si>
  <si>
    <t>Conos de gutapercha  de 1 serie mailefer</t>
  </si>
  <si>
    <t xml:space="preserve">Conos de gutapercha  de 2 serie mailefer </t>
  </si>
  <si>
    <t>CODIGO DE FRESAS</t>
  </si>
  <si>
    <t>AG 22</t>
  </si>
  <si>
    <t>NV 22</t>
  </si>
  <si>
    <t>AB 23</t>
  </si>
  <si>
    <t>OC 23</t>
  </si>
  <si>
    <t>EN 24</t>
  </si>
  <si>
    <t>FB 24</t>
  </si>
  <si>
    <t>MY 24</t>
  </si>
  <si>
    <t>JL 24</t>
  </si>
  <si>
    <t>NTE NV 24</t>
  </si>
  <si>
    <t>NTE MZ 25</t>
  </si>
  <si>
    <t>sur MAY 25</t>
  </si>
  <si>
    <t>NORTE MAY 25</t>
  </si>
  <si>
    <t>SUMATORIA PEDIDOS</t>
  </si>
  <si>
    <t>LO QUE DEBE  HABER</t>
  </si>
  <si>
    <t>INVENTARIO MAYO 26 NORTE 2024</t>
  </si>
  <si>
    <t>PEDIDO NORTE MAY 25</t>
  </si>
  <si>
    <t>lo que llego</t>
  </si>
  <si>
    <t>INVENTARIO SUR marz/25</t>
  </si>
  <si>
    <t>XF =  AMARILLO</t>
  </si>
  <si>
    <t>EF =  AMARILLO</t>
  </si>
  <si>
    <t>801-314-010 M</t>
  </si>
  <si>
    <t>REDONDA ML AZUL</t>
  </si>
  <si>
    <t>801-010</t>
  </si>
  <si>
    <t>ML = AZUL</t>
  </si>
  <si>
    <t>M = AZUL</t>
  </si>
  <si>
    <t>801-314-012 M</t>
  </si>
  <si>
    <t xml:space="preserve">REDONDA ML </t>
  </si>
  <si>
    <t>801-012</t>
  </si>
  <si>
    <t>MLX = NEGRA</t>
  </si>
  <si>
    <t>C = VERDE</t>
  </si>
  <si>
    <t>801-314-014 M</t>
  </si>
  <si>
    <t>REDONDA ML</t>
  </si>
  <si>
    <t>801-014</t>
  </si>
  <si>
    <t>F = ROJA</t>
  </si>
  <si>
    <t>801-016-016M</t>
  </si>
  <si>
    <t>801-016</t>
  </si>
  <si>
    <t>no se pidio y llego 5</t>
  </si>
  <si>
    <t>801-314-018-M</t>
  </si>
  <si>
    <t>801-018</t>
  </si>
  <si>
    <t>801-314-018-EF</t>
  </si>
  <si>
    <t>REDONDA XF</t>
  </si>
  <si>
    <t>801-314-016-EF</t>
  </si>
  <si>
    <t>801-314-018-F</t>
  </si>
  <si>
    <t>REDONDA F</t>
  </si>
  <si>
    <t>801-314-020-M</t>
  </si>
  <si>
    <t>801-020</t>
  </si>
  <si>
    <t>801-314-023-M</t>
  </si>
  <si>
    <t>REDONDA  ML</t>
  </si>
  <si>
    <t>801-023</t>
  </si>
  <si>
    <t>856-314-014-8M</t>
  </si>
  <si>
    <t>CONICA REDONDA 8ML</t>
  </si>
  <si>
    <t>856-014</t>
  </si>
  <si>
    <t>856-314-016-8F</t>
  </si>
  <si>
    <t>CONICA REDONDA 8F</t>
  </si>
  <si>
    <t>856-016</t>
  </si>
  <si>
    <t>856-314-016-9M</t>
  </si>
  <si>
    <t>CONICA REDONDA 9ML</t>
  </si>
  <si>
    <t>CONICA REDONDA 7ML</t>
  </si>
  <si>
    <t>856-314-016-9C</t>
  </si>
  <si>
    <t>CONICA REDONDA 9MLX</t>
  </si>
  <si>
    <t>856-0314-018-9-M</t>
  </si>
  <si>
    <t>856-018</t>
  </si>
  <si>
    <t>856-021</t>
  </si>
  <si>
    <t>CONICA REDONDA 10ML</t>
  </si>
  <si>
    <t>856L-012</t>
  </si>
  <si>
    <t>856L-014</t>
  </si>
  <si>
    <t>856L-314-018-11F</t>
  </si>
  <si>
    <t>CONICA REDONDA 11ML</t>
  </si>
  <si>
    <t>856L-018</t>
  </si>
  <si>
    <t>856L-314-018-11-F</t>
  </si>
  <si>
    <t>CONICA REDONDA 11F</t>
  </si>
  <si>
    <t>850-314-018-8-M</t>
  </si>
  <si>
    <t>850-018</t>
  </si>
  <si>
    <t>856-314-014-9C</t>
  </si>
  <si>
    <t>856L-314-018-11C</t>
  </si>
  <si>
    <t>CONICA REDONDA 11MLX</t>
  </si>
  <si>
    <t>850-016</t>
  </si>
  <si>
    <t>CONICA REDONDA 10MLX</t>
  </si>
  <si>
    <t xml:space="preserve">CONICA REDONDA 10ML </t>
  </si>
  <si>
    <t>850-314-023-10M</t>
  </si>
  <si>
    <t>850-023</t>
  </si>
  <si>
    <t>CONICA REDONDA 12ML</t>
  </si>
  <si>
    <t>850L-016</t>
  </si>
  <si>
    <t>850L-314-018-12M</t>
  </si>
  <si>
    <t>850L-018</t>
  </si>
  <si>
    <t>CONICA REDONDA 9F</t>
  </si>
  <si>
    <t>850-314-014-10F</t>
  </si>
  <si>
    <t>CONICA REDONDA 10F</t>
  </si>
  <si>
    <t>850-014</t>
  </si>
  <si>
    <t>850-314-018-10F</t>
  </si>
  <si>
    <t xml:space="preserve">CONO DE EXTREMO REDONDO 4ML </t>
  </si>
  <si>
    <t>849-025</t>
  </si>
  <si>
    <t>CONO DE EXTREMO REDONDO 4F</t>
  </si>
  <si>
    <t>830-314-012-2,7M</t>
  </si>
  <si>
    <t>PERA 2.7ML</t>
  </si>
  <si>
    <t>830-012</t>
  </si>
  <si>
    <t>830L-314-012-4-EF</t>
  </si>
  <si>
    <t>PERA 4XF</t>
  </si>
  <si>
    <t>830L-012</t>
  </si>
  <si>
    <t>830-010</t>
  </si>
  <si>
    <t>379-314-016-M</t>
  </si>
  <si>
    <t>HUEVO 3.5ML</t>
  </si>
  <si>
    <t>379-016</t>
  </si>
  <si>
    <t>HUEVO 3.5XF</t>
  </si>
  <si>
    <t>379-314-023-05 M</t>
  </si>
  <si>
    <t>HUEVO 5ML</t>
  </si>
  <si>
    <t>379-023</t>
  </si>
  <si>
    <t>HUEVO 5F</t>
  </si>
  <si>
    <t>379-314-023-5-EF</t>
  </si>
  <si>
    <t>HUEVO 5XF</t>
  </si>
  <si>
    <t>852-314-016-6EF</t>
  </si>
  <si>
    <t>LLAMA  6XF</t>
  </si>
  <si>
    <t>852-016</t>
  </si>
  <si>
    <t>LLAMA  8F</t>
  </si>
  <si>
    <t>862-014</t>
  </si>
  <si>
    <t>LLAMA  8UF</t>
  </si>
  <si>
    <t>862-016</t>
  </si>
  <si>
    <t>LLAMA  8XF</t>
  </si>
  <si>
    <t>368-314-016-5M</t>
  </si>
  <si>
    <t>LLAMA  3.5ML</t>
  </si>
  <si>
    <t>368-016</t>
  </si>
  <si>
    <t>368-314-020-5M</t>
  </si>
  <si>
    <t>LLAMA 5ML</t>
  </si>
  <si>
    <t>368-020</t>
  </si>
  <si>
    <t>368-314-023-5M</t>
  </si>
  <si>
    <t>368-023</t>
  </si>
  <si>
    <t xml:space="preserve">LLAMA 3.5F </t>
  </si>
  <si>
    <t>LLAMA 5F</t>
  </si>
  <si>
    <t>LLAMA 3.5XF</t>
  </si>
  <si>
    <t>LLAMA 5XF</t>
  </si>
  <si>
    <t>889-314-009-3,5M</t>
  </si>
  <si>
    <t>LLAMA CUELLO LARGO 3.5ML</t>
  </si>
  <si>
    <t>889-009</t>
  </si>
  <si>
    <t>LLAMA CUELLO LARGO 3.5F</t>
  </si>
  <si>
    <t>LLAMA CUELLO LARGO 3.5XF</t>
  </si>
  <si>
    <t>845R-314-024-4F</t>
  </si>
  <si>
    <t xml:space="preserve">CONICA GRUESA GRANDE ML </t>
  </si>
  <si>
    <t>845R-025</t>
  </si>
  <si>
    <t>845R-314-025-4F</t>
  </si>
  <si>
    <t>CONICA GRUESA GRANDE F</t>
  </si>
  <si>
    <t>no se pidio y llego</t>
  </si>
  <si>
    <t>846-314-018-7M</t>
  </si>
  <si>
    <t xml:space="preserve">CONICA PLANA 7ML </t>
  </si>
  <si>
    <t>846-016</t>
  </si>
  <si>
    <t>846-018</t>
  </si>
  <si>
    <t>CONICA PLANA 10ML</t>
  </si>
  <si>
    <t>848-016</t>
  </si>
  <si>
    <t>848-018</t>
  </si>
  <si>
    <t>CONICA PLANA 8ML</t>
  </si>
  <si>
    <t>847-018</t>
  </si>
  <si>
    <t>848-023</t>
  </si>
  <si>
    <t>CONICA PLANA 10F</t>
  </si>
  <si>
    <t>CONICA PLANA 8F</t>
  </si>
  <si>
    <t>847R-016</t>
  </si>
  <si>
    <t>CILINDRICA REDONDA 6ML</t>
  </si>
  <si>
    <t>880-012</t>
  </si>
  <si>
    <t>CILINDRICA PLANA 6ML</t>
  </si>
  <si>
    <t>836R-012</t>
  </si>
  <si>
    <t>836R-010</t>
  </si>
  <si>
    <t>858-314-014-8-F</t>
  </si>
  <si>
    <t>INTERPROXIMAL 8F</t>
  </si>
  <si>
    <t>858-014</t>
  </si>
  <si>
    <t>INTERPROXIMAL 8XF</t>
  </si>
  <si>
    <t>859-314-014-10F</t>
  </si>
  <si>
    <t>INTERPROXIMAL 10F</t>
  </si>
  <si>
    <t>859-014</t>
  </si>
  <si>
    <t>859-314-014-10EF</t>
  </si>
  <si>
    <t>INTERPROXIMAL 10XF</t>
  </si>
  <si>
    <t>859-314-010-10EF</t>
  </si>
  <si>
    <t>859-010</t>
  </si>
  <si>
    <t>859-314-010-10M</t>
  </si>
  <si>
    <t>INTERPROXIMAL 10ML</t>
  </si>
  <si>
    <t>859-012</t>
  </si>
  <si>
    <t>839-314-012-M</t>
  </si>
  <si>
    <t>PUNTO CONTACTO ML</t>
  </si>
  <si>
    <t>839-012</t>
  </si>
  <si>
    <t>853-314-009-3,5-M</t>
  </si>
  <si>
    <t>PUNTA DE LAPIZ 3.5ML</t>
  </si>
  <si>
    <t>853-008</t>
  </si>
  <si>
    <t>834-314-016-6,8M</t>
  </si>
  <si>
    <t>CONICA ESTRIADA 6.8ML</t>
  </si>
  <si>
    <t>834-016</t>
  </si>
  <si>
    <t>se pidieron 10 llegaron 5</t>
  </si>
  <si>
    <t>TAMBOR 5ML</t>
  </si>
  <si>
    <t>811-033</t>
  </si>
  <si>
    <t>811-314-033-5C</t>
  </si>
  <si>
    <t xml:space="preserve">TAMBOR 5MLX </t>
  </si>
  <si>
    <t>kit</t>
  </si>
  <si>
    <t>KIT OPERATORIA</t>
  </si>
  <si>
    <t>KIT OPER 5ML</t>
  </si>
  <si>
    <t>KIT OPER 8ML</t>
  </si>
  <si>
    <t>392-016</t>
  </si>
  <si>
    <t>KIT OPER  ML</t>
  </si>
  <si>
    <t>KIT OPER ML</t>
  </si>
  <si>
    <t>KIT OPER 2.7ML</t>
  </si>
  <si>
    <t>KIT OPER 4ML</t>
  </si>
  <si>
    <t>830L-010</t>
  </si>
  <si>
    <t>835R-010</t>
  </si>
  <si>
    <t>847-025</t>
  </si>
  <si>
    <t xml:space="preserve">KIT REHABILITACION </t>
  </si>
  <si>
    <t>KIT REHAB 8ML</t>
  </si>
  <si>
    <t>837R-012</t>
  </si>
  <si>
    <t>KIT REHAB 10ML</t>
  </si>
  <si>
    <t>KIT REHAB 11ML</t>
  </si>
  <si>
    <t>KIT REHAB 5ML</t>
  </si>
  <si>
    <t>KIT REHAB 8MLX</t>
  </si>
  <si>
    <t>881-016</t>
  </si>
  <si>
    <t>886-012</t>
  </si>
  <si>
    <t>KIT REHAB 5MLX</t>
  </si>
  <si>
    <t>KIT PULIDO</t>
  </si>
  <si>
    <t>KIT PULIDO 3,5F</t>
  </si>
  <si>
    <t>KIT PULIDO 9F</t>
  </si>
  <si>
    <t>KIT PULIDO 6UF</t>
  </si>
  <si>
    <t>KIT PULIDO 4F</t>
  </si>
  <si>
    <t>835R-012</t>
  </si>
  <si>
    <t>KIT PULIDO 5UF</t>
  </si>
  <si>
    <t>KIT PULIDO 10XF</t>
  </si>
  <si>
    <t>863-016</t>
  </si>
  <si>
    <t>KIT PULIDO 10F</t>
  </si>
  <si>
    <t>KIT PULIDO 8Xf</t>
  </si>
  <si>
    <t>kit usc</t>
  </si>
  <si>
    <t>KIT OPERATORIA USC SUR</t>
  </si>
  <si>
    <t>KIT OPER  6ML</t>
  </si>
  <si>
    <t>KIT OPER 7ML</t>
  </si>
  <si>
    <t>KIT OPER 8XF</t>
  </si>
  <si>
    <t>KIT OPER 5XF</t>
  </si>
  <si>
    <t>KIT OPER 4F</t>
  </si>
  <si>
    <t>CONTONO JOTA</t>
  </si>
  <si>
    <t>SOMBRERO JOTA</t>
  </si>
  <si>
    <t>KIT REHABILITACION USC SUR</t>
  </si>
  <si>
    <t>KIT REHAB 10F</t>
  </si>
  <si>
    <t xml:space="preserve">KIT REHAB 8ML  </t>
  </si>
  <si>
    <t>KIT REHAB 8F</t>
  </si>
  <si>
    <t>KIT REHAB 8XF</t>
  </si>
  <si>
    <t>KIT REHAB 5F</t>
  </si>
  <si>
    <t>856L-010</t>
  </si>
  <si>
    <t>CONTORNO JOTA</t>
  </si>
  <si>
    <t>KIT PULIDO USC SUR</t>
  </si>
  <si>
    <t>KIT PULIDO 3,5XF</t>
  </si>
  <si>
    <t>KIT PULIDO 5XF</t>
  </si>
  <si>
    <t>KIT PULIDO 8F</t>
  </si>
  <si>
    <t>KIT PULIDO 8XF</t>
  </si>
  <si>
    <t>858-012</t>
  </si>
  <si>
    <t>PROXIMO PEDIDO</t>
  </si>
  <si>
    <t>PEDIDO SUR DIC 02</t>
  </si>
  <si>
    <t>INVENT SUR DIC 02</t>
  </si>
  <si>
    <t>INVENT NTE mayo 2025</t>
  </si>
  <si>
    <t>PEDIDO MAYO 23</t>
  </si>
  <si>
    <t>PEDIDO SEPT 23</t>
  </si>
  <si>
    <t>PEDIDO DIC 23</t>
  </si>
  <si>
    <t>PEDIDO MAYO 2024</t>
  </si>
  <si>
    <t>PEDIDO SEPT 24 CHINA</t>
  </si>
  <si>
    <t xml:space="preserve">PEDIDO nov 24 </t>
  </si>
  <si>
    <t>pedido mayo 2025 ortho</t>
  </si>
  <si>
    <t xml:space="preserve">PADILLA </t>
  </si>
  <si>
    <t>ORTHOPROFECIONAL WILLAM</t>
  </si>
  <si>
    <t>PADILLA  x100</t>
  </si>
  <si>
    <t>DAZA x100</t>
  </si>
  <si>
    <t xml:space="preserve">NITI </t>
  </si>
  <si>
    <t xml:space="preserve">REDONDO SUPER UPPER </t>
  </si>
  <si>
    <t>niti redondo</t>
  </si>
  <si>
    <t>niti rectangular</t>
  </si>
  <si>
    <t>acero redondo</t>
  </si>
  <si>
    <t>acero rectangular</t>
  </si>
  <si>
    <t>REDONDO INFER LOWER</t>
  </si>
  <si>
    <t>16 X 16</t>
  </si>
  <si>
    <t>RECTANG SUPER UPPER</t>
  </si>
  <si>
    <t xml:space="preserve">16 X 22 </t>
  </si>
  <si>
    <t>17 X 25</t>
  </si>
  <si>
    <t>19 X 25</t>
  </si>
  <si>
    <t xml:space="preserve">RECTANG INFER LOWER </t>
  </si>
  <si>
    <t>ACERO</t>
  </si>
  <si>
    <t>REDONDO SUPER UPPER</t>
  </si>
  <si>
    <t xml:space="preserve">ACERO </t>
  </si>
  <si>
    <t>RECTANG SUPERI UPPER</t>
  </si>
  <si>
    <t xml:space="preserve">RECTANG INFERI LOWER </t>
  </si>
  <si>
    <t>fecha de invent:</t>
  </si>
  <si>
    <t>NOV 5 /24</t>
  </si>
  <si>
    <t xml:space="preserve">PEDIDO </t>
  </si>
  <si>
    <t xml:space="preserve">VALOR </t>
  </si>
  <si>
    <t>REDONDO</t>
  </si>
  <si>
    <t>RECTANGULAR</t>
  </si>
  <si>
    <t>TELEFONO FIJO Y CELULAR</t>
  </si>
  <si>
    <t xml:space="preserve">CUMPLEAÑOS </t>
  </si>
  <si>
    <t>DIRECCION</t>
  </si>
  <si>
    <t>NOMBRE Y TELEFONO PADRES</t>
  </si>
  <si>
    <t>ADRIANA QUIROZ</t>
  </si>
  <si>
    <t>CLL 10C #18A-21</t>
  </si>
  <si>
    <t>ADRIAN QUIROZ 3108214834</t>
  </si>
  <si>
    <t xml:space="preserve">ALEJANDRA BORRERO DAVID </t>
  </si>
  <si>
    <t xml:space="preserve">CLL 10 #66B-50 LIMONAR </t>
  </si>
  <si>
    <t>AIDA PIEDAD DAVID LOPEZ 31256382/3005704849</t>
  </si>
  <si>
    <t xml:space="preserve">ALEJANDRA MONTENEGRO </t>
  </si>
  <si>
    <t xml:space="preserve">CRR 22 # 35~72  PALMIRA - URIBE </t>
  </si>
  <si>
    <t>GLADIS CANCIMANCE 3418667096  PAPA 3113530602</t>
  </si>
  <si>
    <t>ALEJANDRA MONTOYA</t>
  </si>
  <si>
    <t>CRA 24D #72-66</t>
  </si>
  <si>
    <t xml:space="preserve">SONIA SALAZAR 6633137 / </t>
  </si>
  <si>
    <t>ALEJANDRA PEREA</t>
  </si>
  <si>
    <t>311 379 4252</t>
  </si>
  <si>
    <t>CLL 18 #8-56 JAMUNDI</t>
  </si>
  <si>
    <t>NELLY VEGA 3105802753</t>
  </si>
  <si>
    <t>ALEJANDRA RAMIREZ</t>
  </si>
  <si>
    <t xml:space="preserve"> AGOSTO 8</t>
  </si>
  <si>
    <t>CRA 1 #60-83 PASEO LOS ALMENDROS</t>
  </si>
  <si>
    <t>ALBERTO RAMIREZ 3217214301</t>
  </si>
  <si>
    <t>ALEJANDRA URRUTIA</t>
  </si>
  <si>
    <t>AV 4N #10N-97</t>
  </si>
  <si>
    <t>GIOVANNY BASTIDAS 3216132082</t>
  </si>
  <si>
    <t>ALEJANDRO GUTIERREZ</t>
  </si>
  <si>
    <t>CLL14A #16-14 VILLAFE URBANA</t>
  </si>
  <si>
    <t>LEONOR DIAZ 3168331925</t>
  </si>
  <si>
    <t>ALEJANDRO MILLAN</t>
  </si>
  <si>
    <t>CARRERA 24 33- 43 TULUA</t>
  </si>
  <si>
    <t>MARIA MERCEDES 3188511480</t>
  </si>
  <si>
    <t>ALEJANDRO ROSERO</t>
  </si>
  <si>
    <t>CALLE 3 63 34</t>
  </si>
  <si>
    <t>MARTHA YEPES 3183736051</t>
  </si>
  <si>
    <t>ALEJANDRO ROSSO</t>
  </si>
  <si>
    <t>CLLE 13D#52-24</t>
  </si>
  <si>
    <t>FABIOLA BALLESTEROS 3113579500</t>
  </si>
  <si>
    <t xml:space="preserve">ALENTINA HERNANDEZ </t>
  </si>
  <si>
    <t xml:space="preserve">CRA 1 #70-180 LOS ALCAZARES </t>
  </si>
  <si>
    <t>ALEXANDER HERNANDEZ 3157769618</t>
  </si>
  <si>
    <t>ALEXANDRA ZAMBRANO</t>
  </si>
  <si>
    <t>CALLE 41 #74-29 CANEY</t>
  </si>
  <si>
    <t>NANCY MELO 3116936251</t>
  </si>
  <si>
    <t>ALEXIS MUÑOZ</t>
  </si>
  <si>
    <t>RINCON DE DAPA K11-416</t>
  </si>
  <si>
    <t>YANET GOMEZ 3057737384</t>
  </si>
  <si>
    <t>ALISON RODRIGUEZ</t>
  </si>
  <si>
    <t>CRA 4C 34 - 23 PORVENIR</t>
  </si>
  <si>
    <t>JHON RODRIGUEZ 3188121578 3817342</t>
  </si>
  <si>
    <t>ALVARO ROJAS</t>
  </si>
  <si>
    <t>CLL 64N RESERVA DE LA FLORA</t>
  </si>
  <si>
    <t>ERMINDA ROJAS 3184580837</t>
  </si>
  <si>
    <t>ANA LUCIA SOLARTE</t>
  </si>
  <si>
    <t>CALLE 23 40B 19 B7 SAN JUDAS</t>
  </si>
  <si>
    <t>HUMBERTO ESPOSO 3188902105</t>
  </si>
  <si>
    <t>ANA MARIA PERDOMO</t>
  </si>
  <si>
    <t>3117559261/3043750479</t>
  </si>
  <si>
    <t>CLL 62A N # 2N-68</t>
  </si>
  <si>
    <t>GUILLERMO PEDOMO 3108450789</t>
  </si>
  <si>
    <t>ANA MARIA TORRES DURAN</t>
  </si>
  <si>
    <t>CALLE 13 B # 74-13</t>
  </si>
  <si>
    <t>JAVIER TORRES LUNA 3108205330</t>
  </si>
  <si>
    <t xml:space="preserve">ANA MARIA TORRES DURAN </t>
  </si>
  <si>
    <t>CLLE 13B # 74 - 13</t>
  </si>
  <si>
    <t>JAVIER TORRES 3108205330 - MIGDALIA 3104000441</t>
  </si>
  <si>
    <t>ANA MARIA VALENCIA</t>
  </si>
  <si>
    <t>CLL 5C #41-40</t>
  </si>
  <si>
    <t>JAIRO VALENCIA 3043346782</t>
  </si>
  <si>
    <t>ANA MARIA VALENCIA FERNANDEZ</t>
  </si>
  <si>
    <t>3002702649 - 3128731171</t>
  </si>
  <si>
    <t>KL7 VIA CRISTO REY</t>
  </si>
  <si>
    <t>ANABELLY CARLOSAMA</t>
  </si>
  <si>
    <t>AV 8N #17-18</t>
  </si>
  <si>
    <t>ISABEL IBARRA 3114788106</t>
  </si>
  <si>
    <t>ANDREA BOUZA</t>
  </si>
  <si>
    <t>CLL 58NT #4B - 45 LA FLORA</t>
  </si>
  <si>
    <t>GABRIELA LUCIS 3174284327</t>
  </si>
  <si>
    <t>ANDREA JIMENEZ</t>
  </si>
  <si>
    <t>AVENIDA 3 NORTE 37 26</t>
  </si>
  <si>
    <t>NEIDA RUBIO 3206798412</t>
  </si>
  <si>
    <t>ANDREA LOPEZ</t>
  </si>
  <si>
    <t>UNIDAD NARANJOS DEL CANEY</t>
  </si>
  <si>
    <t>GLORIA GUEVARA 3146003091</t>
  </si>
  <si>
    <t>ANDREA TROCHEZ</t>
  </si>
  <si>
    <t>CRA 3 NORTE # 32N-31 BERLIN</t>
  </si>
  <si>
    <t>HERMES TROCHEZ 3216469359</t>
  </si>
  <si>
    <t xml:space="preserve">ANDRES DAVID GIRALDO </t>
  </si>
  <si>
    <t xml:space="preserve">CALLE 17 A OESTE #55-86 </t>
  </si>
  <si>
    <t>LUZ STELLA SERNA 3153028505</t>
  </si>
  <si>
    <t>ANDRES FELIPE CAMELO</t>
  </si>
  <si>
    <t>CRA 98A#42-28</t>
  </si>
  <si>
    <t>WILSON CAMELO 3136981935</t>
  </si>
  <si>
    <t>ANDRES FELIPE LEIVA</t>
  </si>
  <si>
    <t>CLL 75 B N #2-90 BRISA DE LOS ALAMOS</t>
  </si>
  <si>
    <t>CLAUDIA LEYVA 3467193560 - BEATRIZ ARAGON 3178465465</t>
  </si>
  <si>
    <t>ANDRES MATEO CARBAJAL</t>
  </si>
  <si>
    <t>AV 2FNTE #32A-30 PRADOS DEL NORTE</t>
  </si>
  <si>
    <t>DIEGO ANDRES CARBAJAL 3174418142</t>
  </si>
  <si>
    <t xml:space="preserve">ANDRES VALLEJO </t>
  </si>
  <si>
    <t>CLL 46A N # 42 B-19 PORTAL DE LAS PALMAS</t>
  </si>
  <si>
    <t>ELVIRA MOLTALVO 3216143066</t>
  </si>
  <si>
    <t>ANGELA MARIA VILLALOBOS</t>
  </si>
  <si>
    <t>3122406598-2867894</t>
  </si>
  <si>
    <t>CALLE 21#2-28 PALMIRA</t>
  </si>
  <si>
    <t>ELIZABETH GIRALDO3136368894</t>
  </si>
  <si>
    <t>ANGELA MONTOYA</t>
  </si>
  <si>
    <t>CRA 3A #59B-87</t>
  </si>
  <si>
    <t>PAOLA MONTOYA 3006924081</t>
  </si>
  <si>
    <t>ANGELA MURCIA</t>
  </si>
  <si>
    <t>CRA 37 #4-51 SANTA ISABEL</t>
  </si>
  <si>
    <t>MANUEL MATIZ 3182315442</t>
  </si>
  <si>
    <t>ANGELA RIVEROS BAQUERO</t>
  </si>
  <si>
    <t>CLL 40N #6A-90 APTO 702</t>
  </si>
  <si>
    <t xml:space="preserve">MIRIA,BAQUERO314932795 - LIVIA MORALES </t>
  </si>
  <si>
    <t>ANGELA ROJAS</t>
  </si>
  <si>
    <t>CLL70 #8-95</t>
  </si>
  <si>
    <t>OSCAR ROJAS 3185478528</t>
  </si>
  <si>
    <t>ANGELA VELAZQUES</t>
  </si>
  <si>
    <t>CRA 8 #6-17 JAMUNDI</t>
  </si>
  <si>
    <t>FRANCIA HOLGUIN-HERNANDO VELAZQUEZ 3108491370-3372897</t>
  </si>
  <si>
    <t>ANGELA VILLALOBOS</t>
  </si>
  <si>
    <t>CLL 30N # 2 BIS-51</t>
  </si>
  <si>
    <t xml:space="preserve">ELIZABETH GIRALDO 3136268894 </t>
  </si>
  <si>
    <t>ANGELA VILLOTA</t>
  </si>
  <si>
    <t>3146610513-3243963</t>
  </si>
  <si>
    <t>CALLE 13A #64-17</t>
  </si>
  <si>
    <t>JANETH VILLOTA 3206819619ALBERTO VILLOTA3127687949</t>
  </si>
  <si>
    <t>ANGELICA BETANCOURT</t>
  </si>
  <si>
    <t>CRA 45B #2C25 MELENDEZ</t>
  </si>
  <si>
    <t>MARIA LIDIA ENRIQUEZ 3127686402</t>
  </si>
  <si>
    <t>3013642218 / HNA 3226018629 / 3478804</t>
  </si>
  <si>
    <t>CLL 48 #97-36 PORT MADEIRO. VALLE DE LILI APTO 703 BLOQUE2</t>
  </si>
  <si>
    <t>LUIS FERNANDO 3215769993 - LIDIA ENRIQUEZ 3146658231</t>
  </si>
  <si>
    <t>ANGELICA CAICEDO</t>
  </si>
  <si>
    <t>CRA 43 #26-04</t>
  </si>
  <si>
    <t>FABIAN CAICEDO 3174112630</t>
  </si>
  <si>
    <t>ANGELICA LOPEZ</t>
  </si>
  <si>
    <t>CRA 64A #13B-256</t>
  </si>
  <si>
    <t xml:space="preserve">DIEGO LOPEZ 3168287960 / </t>
  </si>
  <si>
    <t xml:space="preserve">ANGELICA MARIA IMBACHE </t>
  </si>
  <si>
    <t xml:space="preserve">CRA 83 A # 46-85 </t>
  </si>
  <si>
    <t>JULIO IMBACHI 3218359203</t>
  </si>
  <si>
    <t>ANGELICA RUANO</t>
  </si>
  <si>
    <t>CALLE 40·#6DN-18 CAMPIÑA</t>
  </si>
  <si>
    <t>JAVIER RUANO 3155822734</t>
  </si>
  <si>
    <t>ANGELICA VELEZ</t>
  </si>
  <si>
    <t>CRA 3RA #4-42 CERRITO VALLE DE LILI SANTA ELENA</t>
  </si>
  <si>
    <t>ANGELICA MAIRA VELEZ</t>
  </si>
  <si>
    <t>ANGIE BRAVO</t>
  </si>
  <si>
    <t>CRA 76 # 2C-16</t>
  </si>
  <si>
    <t>LADIMIR GOMEZ 3768482</t>
  </si>
  <si>
    <t>ANGIE JIMENEZ JIMENEZ</t>
  </si>
  <si>
    <t>CRA 7 A BIS # 61-05</t>
  </si>
  <si>
    <t>EMILSE JIMENEZ 3202656810</t>
  </si>
  <si>
    <t>ANGIE MARCELA RIVAS</t>
  </si>
  <si>
    <t>LUCERO PLAZAS GUTIERREZ 3114814835 3114814049</t>
  </si>
  <si>
    <t>ANGIE NICOLE GIMENEZ</t>
  </si>
  <si>
    <t>CRA 85C# 28-66 CANEY</t>
  </si>
  <si>
    <t>PAOLA A DELBASTO 3222953240 - ALEJANDRO GIMENEZ 3153017147</t>
  </si>
  <si>
    <t>ANGIE PAOLA GOMEZ</t>
  </si>
  <si>
    <t>CLL 11 #87-31 MULTICENTRO</t>
  </si>
  <si>
    <t>ERNESTO GOMEZ 3113974625</t>
  </si>
  <si>
    <t>ANGIE TATIANA SIZA</t>
  </si>
  <si>
    <t>CRA 85 #26-39 EL CANEY</t>
  </si>
  <si>
    <t>MERCEDES NIÑO 3117094421</t>
  </si>
  <si>
    <t>ANNY MAHECHA</t>
  </si>
  <si>
    <t xml:space="preserve">CLL 2C #65-48 APT 103 REFUJIO </t>
  </si>
  <si>
    <t>ROSHAJ 3162378135</t>
  </si>
  <si>
    <t>AURA MARIA GUERRERO</t>
  </si>
  <si>
    <t>SANTANDER DE QUILICHAO ZONA INDUSTRIAL SAN JOSE</t>
  </si>
  <si>
    <t>ALVARO GUERRERO 3104558585-3128409833</t>
  </si>
  <si>
    <t>BRAYAN MORENO</t>
  </si>
  <si>
    <t>CRA 26 #30-67</t>
  </si>
  <si>
    <t>JULIETH Z 3104143808-7250822</t>
  </si>
  <si>
    <t xml:space="preserve">BRIA VELANDIA </t>
  </si>
  <si>
    <t>CALLE 71E 3-21</t>
  </si>
  <si>
    <t>PAULA MILENA 4324222</t>
  </si>
  <si>
    <t>BRYAN  GARZON</t>
  </si>
  <si>
    <t>CLL 54A # 1A-67</t>
  </si>
  <si>
    <t>SANDRA LILIANA AGUIRRE 3113132179</t>
  </si>
  <si>
    <t xml:space="preserve">CAMILA ENRRIQUEZ </t>
  </si>
  <si>
    <t xml:space="preserve">CLL 44# 113-39 BOCHALEN </t>
  </si>
  <si>
    <t>MARIA FDA GUERRERO 3154117541</t>
  </si>
  <si>
    <t>CAMILA MUNOZ DIAZ</t>
  </si>
  <si>
    <t>CLL 15 #122-151 PANCE</t>
  </si>
  <si>
    <t>FREDY MUNOZ 3156489757</t>
  </si>
  <si>
    <t>CAMILA PAYAN</t>
  </si>
  <si>
    <t xml:space="preserve"> 317 2893981</t>
  </si>
  <si>
    <t>ELIECER PAYAN 3164974929</t>
  </si>
  <si>
    <t>CAMILA STERLIN</t>
  </si>
  <si>
    <t>AV 5B NORTE #58N 67</t>
  </si>
  <si>
    <t>ARNOLD STERLIN 3164897404 - MARTA RAMIREZ 3226138646</t>
  </si>
  <si>
    <t>CAMILA TOBON ROMAN</t>
  </si>
  <si>
    <t>CRA 82 #43-28 CANEY</t>
  </si>
  <si>
    <t>YOGJANA ROMAN 3014859224</t>
  </si>
  <si>
    <t>CAMILO GUTIERREZ ALFONZO</t>
  </si>
  <si>
    <t>CLL 34 #74-20 APTO 3-03 BLQ C</t>
  </si>
  <si>
    <t>BEATRIZ ALFONZO 3017256104</t>
  </si>
  <si>
    <t>CAMILO QUIÑONEZ ROMAN</t>
  </si>
  <si>
    <t>CRA 72 10 BIS 21</t>
  </si>
  <si>
    <t>RUTH ROMAN NEIRA 3122867812/ESPAÑA</t>
  </si>
  <si>
    <t>CARLOS DIAZ (LABORATORIO)</t>
  </si>
  <si>
    <t>LABORATORIO ( Victor  304 671 2398 - 310 526 0351)</t>
  </si>
  <si>
    <t>CARLOS DUQUE</t>
  </si>
  <si>
    <t>CAROL FERNANDA MEJIA</t>
  </si>
  <si>
    <t>CLL 28 #98-82 VALLE DE LILI</t>
  </si>
  <si>
    <t>CAROLINA GOMEZ 3117446347 - LUIS FERNANDO MEJIA 3116619366</t>
  </si>
  <si>
    <t xml:space="preserve">CAROL VALLEJO SANCHEZ </t>
  </si>
  <si>
    <t>CRA 66 # 12-20</t>
  </si>
  <si>
    <t>BLANCA SANCHEZ 3104024238</t>
  </si>
  <si>
    <t>CAROLINA DELGADO</t>
  </si>
  <si>
    <t>CRA 46 #42C44</t>
  </si>
  <si>
    <t>WILLIAM DELGADO 3167852154</t>
  </si>
  <si>
    <t>CAROLINA FERNANADES PEREZ</t>
  </si>
  <si>
    <t>CRA 2DA #58-33 LOS ANDES</t>
  </si>
  <si>
    <t>FARO FERANDEZ 3155569632</t>
  </si>
  <si>
    <t>CAROLINA FERNANDEZ</t>
  </si>
  <si>
    <t>CALLE 43 # 3E-148 VIPASA</t>
  </si>
  <si>
    <t>FARUK FERNANDEZ 3155569632</t>
  </si>
  <si>
    <t>CAROLINA GONZALES</t>
  </si>
  <si>
    <t>CRA 3A # 65B-66 PARUQE EL BOSQUE</t>
  </si>
  <si>
    <t>ANCIZAR GONZALES 31388646258</t>
  </si>
  <si>
    <t>CAROLINA PADILLA</t>
  </si>
  <si>
    <t>315 682 2446</t>
  </si>
  <si>
    <t>7 AGOSTO</t>
  </si>
  <si>
    <t>CAROLINA SILVA</t>
  </si>
  <si>
    <t>CALLE 28 96 186 VALLE DEL LILI</t>
  </si>
  <si>
    <t>JORGE SILVA 3104719259</t>
  </si>
  <si>
    <t xml:space="preserve">CAROLINA VALENCIA </t>
  </si>
  <si>
    <t>CLLE 6A #62A-11</t>
  </si>
  <si>
    <t>ALEJANDRO VALENCIA 3183879789</t>
  </si>
  <si>
    <t>CATALINA SALAZAR NAVARRO</t>
  </si>
  <si>
    <t>CRA 17 SUR #6C-96 CIUDAD CAMPESTRE</t>
  </si>
  <si>
    <t>CLAUDIA NAVARRO 314 5753650</t>
  </si>
  <si>
    <t>CIELO VIVIANA ARBOLEDA</t>
  </si>
  <si>
    <t>CALLE 49 N 5N G-1 B/FLORA</t>
  </si>
  <si>
    <t>LINA MARIA LENIS 3148730341 3105393901</t>
  </si>
  <si>
    <t>CINDY RODRIGUEZ</t>
  </si>
  <si>
    <t>KM7 BUITRERA-DON QUIJOTE CASA 7</t>
  </si>
  <si>
    <t>CLAUDIA BULLA 3146234299</t>
  </si>
  <si>
    <t>CINTHYA AVENDAÑO</t>
  </si>
  <si>
    <t>CRA 41B N 39A - 11</t>
  </si>
  <si>
    <t>ALFONSO AVENDAÑO 3113015868</t>
  </si>
  <si>
    <t>CINTHYA CORDOBA</t>
  </si>
  <si>
    <t xml:space="preserve">CRA 8B #53-48  LA BASE </t>
  </si>
  <si>
    <t>EMILSEMENDEZ 3147393164    PAPA 3148916791</t>
  </si>
  <si>
    <t>CLARIS LEAL B.</t>
  </si>
  <si>
    <t>CALLE 74 8N 36 FLORARIA</t>
  </si>
  <si>
    <t>CRISTINA BERMUDEZ 3165390533</t>
  </si>
  <si>
    <t>CLAUDIA FAJARDO</t>
  </si>
  <si>
    <t>CLL 14A #26-97 LAS AMERICAS. PALMIRA</t>
  </si>
  <si>
    <t>DANNI CASTRO (ESPOSO) 3177264508</t>
  </si>
  <si>
    <t>CLAUDIA GAVIRIA</t>
  </si>
  <si>
    <t>Calle 52 1 e - 15</t>
  </si>
  <si>
    <t>CLAUDIA POLO CH</t>
  </si>
  <si>
    <t>CALLE 18N #94-36</t>
  </si>
  <si>
    <t>ISABEL CHAVEZ 3166389758</t>
  </si>
  <si>
    <t>CLAUDIA RAMIREZ</t>
  </si>
  <si>
    <t>CLL 44 A #4-58</t>
  </si>
  <si>
    <t>ALBERTO RAMIREZ 3727815</t>
  </si>
  <si>
    <t>CLAUDIA RODRIGUEZ</t>
  </si>
  <si>
    <t>CALLE 17N 3N 42</t>
  </si>
  <si>
    <t>NIDIA ARACELY MUÑOZ 3106583413</t>
  </si>
  <si>
    <t>CRA 25A #30-110 PRADOS DEL NORTE</t>
  </si>
  <si>
    <t>SANTIAGO ZUNIGA 3002687784 / 3792450</t>
  </si>
  <si>
    <t>CRISTIAN ANDRES FRANCO MEJIA</t>
  </si>
  <si>
    <t>CRA 76 #6-217 CAPRI</t>
  </si>
  <si>
    <t>LAURA CRISTINA MEJIA 3127697835 - DUVAN FRANCO 3128886348</t>
  </si>
  <si>
    <t>CRISTIAN CAMILO GARCIA</t>
  </si>
  <si>
    <t>CRA 38E #4-14 BARRIO SANTA ISABEL</t>
  </si>
  <si>
    <t>MARIA ISABEL LONDONO 09977459341 (593)</t>
  </si>
  <si>
    <t>CRISTIAN CANO</t>
  </si>
  <si>
    <t>CRA 11 #11-57</t>
  </si>
  <si>
    <t>MARIA TERESA ANDRADE 3147723806</t>
  </si>
  <si>
    <t>CRISTIAN ESPINOSA</t>
  </si>
  <si>
    <t>CLLE 12 #4-52 BUGA</t>
  </si>
  <si>
    <t>MARIA FERNANDA AVILA 3178308840</t>
  </si>
  <si>
    <t>CRISTIAN JULIAN JARAMILLO TRIANA</t>
  </si>
  <si>
    <t>CLL 1D #79-42</t>
  </si>
  <si>
    <t>NELLY MOSQUERA (TIA) 3118462247 - JORGE MARIO CORTEZ 3227422115</t>
  </si>
  <si>
    <t>CRISTIAN MARQUEZ</t>
  </si>
  <si>
    <t>DAHIANA CARDOSO</t>
  </si>
  <si>
    <t>CLL 12A # 50-25 APTO 504B</t>
  </si>
  <si>
    <t>USA</t>
  </si>
  <si>
    <t>DAIHAN NAVARRO</t>
  </si>
  <si>
    <t>CALLE 48 #101-40. VALLE DEL LILI</t>
  </si>
  <si>
    <t xml:space="preserve"> FELIX NAVARRO 3117168809</t>
  </si>
  <si>
    <t>DALILA DIAZ</t>
  </si>
  <si>
    <t>CRA 95 #46-68 APTO 102</t>
  </si>
  <si>
    <t>LIA FUENTES 3004818070</t>
  </si>
  <si>
    <t>DANELLY GIRALDO</t>
  </si>
  <si>
    <t>CALLE 33A#12-10</t>
  </si>
  <si>
    <t>ALIRIO GIRALDO 3113402612</t>
  </si>
  <si>
    <t>DANIEL BOLANOS</t>
  </si>
  <si>
    <t>CRA 41 #13C - 57 GUABAL</t>
  </si>
  <si>
    <t>MARTHA LILIANA GUERRERO (MAMA) 3203206232</t>
  </si>
  <si>
    <t>DANIEL SARRIA</t>
  </si>
  <si>
    <t>AV 2N 50N-14</t>
  </si>
  <si>
    <t>ALVARO SARRIA 3138893313</t>
  </si>
  <si>
    <t>DANIEL VELEZ ARIAS</t>
  </si>
  <si>
    <t>CRA 5TA #25-26 PALMIRA</t>
  </si>
  <si>
    <t>RICARDO VELEZ (PAPA) 3167437120</t>
  </si>
  <si>
    <t>DANIELA BARONA</t>
  </si>
  <si>
    <t>DANIELA CANCINO</t>
  </si>
  <si>
    <t>AV 4TA NORTE #14N22</t>
  </si>
  <si>
    <t>LEDIS MORELO +343519042094</t>
  </si>
  <si>
    <t>DANIELA CUBIDES</t>
  </si>
  <si>
    <t>CLL 60 # 24-42</t>
  </si>
  <si>
    <t>CLAUDIA XMENA CUBIDES</t>
  </si>
  <si>
    <t>DANIELA DIAZ SERRANO</t>
  </si>
  <si>
    <t>CALLE 23 3 47 PALMIRA FLOREZ</t>
  </si>
  <si>
    <t>CLAUDIA SERRANO 3154189071</t>
  </si>
  <si>
    <t>DANIELA DUARTE GOMEZ</t>
  </si>
  <si>
    <t>CALLE 48N # 3N-8 LA FLORA</t>
  </si>
  <si>
    <t>ESTELLA GOMEZ 3163543120</t>
  </si>
  <si>
    <t>DANIELA GAVIRIA</t>
  </si>
  <si>
    <t>CRA 36 B #13C-38</t>
  </si>
  <si>
    <t>LEIDA AVILA 3167412062</t>
  </si>
  <si>
    <t xml:space="preserve">DANIELA GIRALDO GOMEZ </t>
  </si>
  <si>
    <t xml:space="preserve">AV 2F # 47N - 24  LA MERCED </t>
  </si>
  <si>
    <t>LAURA GOMEZ 3215974935</t>
  </si>
  <si>
    <t>DANIELA GOMEZ MEJIA</t>
  </si>
  <si>
    <t>CLL 8 OESTE #4-96 BELLA VISTA</t>
  </si>
  <si>
    <t>PAOLA MEJIA 3122312707</t>
  </si>
  <si>
    <t>DANIELA GUARIN</t>
  </si>
  <si>
    <t>CALLE 63N 3E 70 LA FLORA</t>
  </si>
  <si>
    <t>CESAR RODRIGUEZ 3136261040 3986832</t>
  </si>
  <si>
    <t>DANIELA GUARIN MORENO</t>
  </si>
  <si>
    <t>CLL63NTE #3E-70 FLORA</t>
  </si>
  <si>
    <t>CLAUDIA MORENO 3138926368</t>
  </si>
  <si>
    <t>DANIELA LARGACHA</t>
  </si>
  <si>
    <t>CRA 1A #55-35</t>
  </si>
  <si>
    <t>GLORIA PIEDAD GONZALES 3168681946</t>
  </si>
  <si>
    <t>DANIELA LOAIZA</t>
  </si>
  <si>
    <t>CRA 78A  6 58 CAPRI</t>
  </si>
  <si>
    <t>REINEL LOAIZA 634019708</t>
  </si>
  <si>
    <t>DANIELA PIEDRAHITA</t>
  </si>
  <si>
    <t>CRA 85 5 - 34 LAS VEGAS</t>
  </si>
  <si>
    <t>JAMES PIEDRAHITA</t>
  </si>
  <si>
    <t>DANIELA RIVERA</t>
  </si>
  <si>
    <t>CRA 95 #2A-49 2DO PISO MELENDES</t>
  </si>
  <si>
    <t>FRANSURI PRIETO 3153668490</t>
  </si>
  <si>
    <t>DANIELA ROSERO</t>
  </si>
  <si>
    <t>CLL 9NT #4N-23 / CRA 2DAA #4-36 IPIALES</t>
  </si>
  <si>
    <t>FABIAN ROSERO 3164129934 - OMAIRA PANTOJA 3165798389</t>
  </si>
  <si>
    <t>DANIELA SANCHEZ RAMIREZ</t>
  </si>
  <si>
    <t>PORTALES DEL CASTILLO-VIA JAMUNDI</t>
  </si>
  <si>
    <t>AMANDA RAMIREZ 3122864270</t>
  </si>
  <si>
    <t>DANIELA SANDOVAL</t>
  </si>
  <si>
    <t>CRA 41G#46-24</t>
  </si>
  <si>
    <t>PATRICIA  ROSERO 4022754 MANUEL SANDOVAL 3215067828</t>
  </si>
  <si>
    <t>DANIELA TRUJILLO</t>
  </si>
  <si>
    <t>NOVIEMBRE 16</t>
  </si>
  <si>
    <t>CRA 2 #46C - 29 SALOMIA</t>
  </si>
  <si>
    <t>LISBETH QUINTERO 3113953688</t>
  </si>
  <si>
    <t>DAVID ANDRES PEREZ</t>
  </si>
  <si>
    <t>CRA 16 8 50 ALAMEDA</t>
  </si>
  <si>
    <t>DORIS LENI RIVERA 3132080282</t>
  </si>
  <si>
    <t>DAVID FELIPE ZULUAGA</t>
  </si>
  <si>
    <t>CLL28 #85C30 EL CANEI</t>
  </si>
  <si>
    <t>CARLOS ZULUAGA 3137070819</t>
  </si>
  <si>
    <t>DAVID GOMEZ BEDOYA</t>
  </si>
  <si>
    <t>3166593232 / WHATSAPP 3182325508</t>
  </si>
  <si>
    <t>CLL13A 28BIS 215 TULUA</t>
  </si>
  <si>
    <t>DEIRO GOMEZ 3177647763</t>
  </si>
  <si>
    <t xml:space="preserve">DAVID GOMEZ BEDOYA </t>
  </si>
  <si>
    <t xml:space="preserve"> AV PRINCIPAL # 27-08   TULUA </t>
  </si>
  <si>
    <t>DAVID ZAPATA</t>
  </si>
  <si>
    <t>CLL 13#50-95</t>
  </si>
  <si>
    <t>AVELARDO ZAPATA 3155373595</t>
  </si>
  <si>
    <t xml:space="preserve">DAVID ZUÑIGA </t>
  </si>
  <si>
    <t>CALLE 13A N 17-48</t>
  </si>
  <si>
    <t>YANET ORDOÑEZ 3106142730</t>
  </si>
  <si>
    <t>DAYANA RAVE DUQUE</t>
  </si>
  <si>
    <t>3135691892/3106837705</t>
  </si>
  <si>
    <t>CLL 13 #38-48 OLIMPICA</t>
  </si>
  <si>
    <t>MARIO RAVE ZULUAGA 3137433491</t>
  </si>
  <si>
    <t>DEISSY SOLARTE</t>
  </si>
  <si>
    <t>CALLE 29A OESTE 6- 107</t>
  </si>
  <si>
    <t>JOSE MANUEL RUIZ 3113869925</t>
  </si>
  <si>
    <t>DIANA CALVO</t>
  </si>
  <si>
    <t>316 579 42 39</t>
  </si>
  <si>
    <t>FONAVI EMCALI</t>
  </si>
  <si>
    <t>DIANA CAROLINA MONTAÑO</t>
  </si>
  <si>
    <t>AVENIDA 4 NORTE 49N 68 FLORA</t>
  </si>
  <si>
    <t>JESUS MONTAÑO 3153655094</t>
  </si>
  <si>
    <t>DIANA CAROLINA VARGAS</t>
  </si>
  <si>
    <t>CRA 102 45 45VERDE APTO 4026</t>
  </si>
  <si>
    <t>AURA MAGOLA GUERRERO  3174434444</t>
  </si>
  <si>
    <t>DIANA CASTRILLON</t>
  </si>
  <si>
    <t>CRA 92 25 81 VALLE DEL LILI</t>
  </si>
  <si>
    <t>MARIELA POSADA 3164306508</t>
  </si>
  <si>
    <t>DIANA GARZON</t>
  </si>
  <si>
    <t>AV 4TA N # 10N -130</t>
  </si>
  <si>
    <t>CARLOS GARZON 3155806625</t>
  </si>
  <si>
    <t>DIANA MARCELA HOLGUIN</t>
  </si>
  <si>
    <t>CRA 98 #60-133 VALLE DE LILI</t>
  </si>
  <si>
    <t>NANCY ARCE 3108488993</t>
  </si>
  <si>
    <t>DIANA MARCELA ORTIZ</t>
  </si>
  <si>
    <t>AV 6 N #17-57</t>
  </si>
  <si>
    <t>DIEGO ORTIZ 3188424159</t>
  </si>
  <si>
    <t>DIANA OBREGON</t>
  </si>
  <si>
    <t>CLL 28 N 85 - 36</t>
  </si>
  <si>
    <t>ARNULFO OBREGON 3218002000 PATRCIA 3184117055 - 3046176</t>
  </si>
  <si>
    <t>DIANA PLAZA</t>
  </si>
  <si>
    <t>CALLE 62A # 1BIS-91 VILLA DEL SOL</t>
  </si>
  <si>
    <t>RODRIGO PLAZA 302887287/3165167863</t>
  </si>
  <si>
    <t>DIANA SANDOVAL</t>
  </si>
  <si>
    <t>CALLE 13N 6N 28    GRANADA</t>
  </si>
  <si>
    <t>LUZ MARINA  VASQUEZ 3174371597</t>
  </si>
  <si>
    <t xml:space="preserve">DIBY LONDOÑO </t>
  </si>
  <si>
    <t>JOSE LONDOÑO 3168301975</t>
  </si>
  <si>
    <t xml:space="preserve">DIEGO ROSERO </t>
  </si>
  <si>
    <t xml:space="preserve">CRA 31 A # 14C - 47 MIRADOR DE PASOANCHO </t>
  </si>
  <si>
    <t>GERARDO ROSERO 3162861902</t>
  </si>
  <si>
    <t>DOÑA DORITA</t>
  </si>
  <si>
    <t>DENTAL STORE</t>
  </si>
  <si>
    <t>AL FRENTE</t>
  </si>
  <si>
    <t>DRA SHIRLEY CONSULTORIO SUR</t>
  </si>
  <si>
    <t>EDWAR CANCINO</t>
  </si>
  <si>
    <t>ALFONSO CANSINO 3185726114</t>
  </si>
  <si>
    <t>ELIANA GONZALES</t>
  </si>
  <si>
    <t>AV 6 #13-62</t>
  </si>
  <si>
    <t>CLELIA CAICEDO 3164242245</t>
  </si>
  <si>
    <t>ELIANA MANRIQUE RAMIREZ</t>
  </si>
  <si>
    <t>CLL 20A #3-41 GUAYACANES</t>
  </si>
  <si>
    <t>FLOR MARBELLY 3153297634 - ROBINSON MANRIQUE 3183418369</t>
  </si>
  <si>
    <t xml:space="preserve">ELIANA RENGIFO </t>
  </si>
  <si>
    <t>CALLE 52N #1F-51 LOS ANDES</t>
  </si>
  <si>
    <t>YANETH TOVAR 3007744471</t>
  </si>
  <si>
    <t>ELIDA MARCELA MONTAÑO</t>
  </si>
  <si>
    <t>CALLE 34 92 34 VALLE DEL LILI</t>
  </si>
  <si>
    <t>PEDRO MONTAÑO 3013364234</t>
  </si>
  <si>
    <t>ELIZABETH ALVAREZ</t>
  </si>
  <si>
    <t>CRA 10 #45-51 EL TRONCAL</t>
  </si>
  <si>
    <t>ROSALBA AYALA / PEDRO ALVAREZ +18574170373</t>
  </si>
  <si>
    <t>ELIZABETH CANIZALES</t>
  </si>
  <si>
    <t>CRA 83 #6-32</t>
  </si>
  <si>
    <t xml:space="preserve">ELIGIDO CANIZALES </t>
  </si>
  <si>
    <t>ELIZABETH VALENTIERRA</t>
  </si>
  <si>
    <t>CRA 65 #12A-50</t>
  </si>
  <si>
    <t>JORGE YESCUEN 3003415398</t>
  </si>
  <si>
    <t>ERIKA BASTIDAS</t>
  </si>
  <si>
    <t>CLL 3 #63-34</t>
  </si>
  <si>
    <t>MANUEL BASTIDAS 3155830565</t>
  </si>
  <si>
    <t>ERIKA BUSTOS</t>
  </si>
  <si>
    <t>CALLE 54 # 98-97 VALLE DEL LILI</t>
  </si>
  <si>
    <t>LUISA MUÑOZ 0034600646970</t>
  </si>
  <si>
    <t>AGOSTO 5</t>
  </si>
  <si>
    <t>CLLE 54 #98 - 97 VALLE DE LILI</t>
  </si>
  <si>
    <t>LUISA FERNANDA MUNOZ+41762342839</t>
  </si>
  <si>
    <t>ESMERALDA DIAZ MORALES</t>
  </si>
  <si>
    <t>3166101707 / 3234844643 / 3173770913</t>
  </si>
  <si>
    <t>CALDONO CAUCA PUEBLO</t>
  </si>
  <si>
    <t>VERONICA DIAZ MORALES 3103858948 - LIVIA MORALES 3146025493 / 3103959540</t>
  </si>
  <si>
    <t>ESTEFANIA YANGUAS</t>
  </si>
  <si>
    <t>CLL 9 61- 05</t>
  </si>
  <si>
    <t>ADRIANA ARBELAEZ 3155741631</t>
  </si>
  <si>
    <t xml:space="preserve">EVELING DIAZ </t>
  </si>
  <si>
    <t xml:space="preserve">CALLE 72 I 8N - 51 </t>
  </si>
  <si>
    <t>EVELYN DIAZ</t>
  </si>
  <si>
    <t>CALLE 72E 8N 51</t>
  </si>
  <si>
    <t>FABIANA PATINO SALAZAR</t>
  </si>
  <si>
    <t>CR 9NA #8-52 BUGA - RESIDENCIA LAS VEGAS</t>
  </si>
  <si>
    <t>FABIAN PATINO 3146099937</t>
  </si>
  <si>
    <t>FRANCISCO LUNA</t>
  </si>
  <si>
    <t>AV 4N #14N-32</t>
  </si>
  <si>
    <t>ALEJANDRA VELASCO 3148881859</t>
  </si>
  <si>
    <t>GABRIELA BARAONA ESQUIBEL</t>
  </si>
  <si>
    <t>AV 3BD#61-08 L AFLORA</t>
  </si>
  <si>
    <t>XENIA BARAONA 9143824888 - DAYAN VARGAS 3154110305</t>
  </si>
  <si>
    <t>GABRIELA CHANA</t>
  </si>
  <si>
    <t>CLL 18D #21-123 ACACIAS</t>
  </si>
  <si>
    <t>ROBINSON CHANA 3122370927</t>
  </si>
  <si>
    <t>GABRIELA DELGADO</t>
  </si>
  <si>
    <t>CRA 100 # 34-96 VALLE DEL LILI</t>
  </si>
  <si>
    <t>DARIO SALAZAR 318354595</t>
  </si>
  <si>
    <t>GABRIELA SUAREZ</t>
  </si>
  <si>
    <t>CLLE 47B #2AN-72</t>
  </si>
  <si>
    <t>GLORIA TRUJILLO 3166185821</t>
  </si>
  <si>
    <t xml:space="preserve">GERALDIN LOPEZ </t>
  </si>
  <si>
    <t>CRA 28 A # 44-25</t>
  </si>
  <si>
    <t>RUBIELA TABORDA 3163042397</t>
  </si>
  <si>
    <t>CRA 28# 44 A -25</t>
  </si>
  <si>
    <t>GIOVANNY GOMEZ</t>
  </si>
  <si>
    <t>CLL 71 #13-09</t>
  </si>
  <si>
    <t>HERNANDO GOMEZ 6627747</t>
  </si>
  <si>
    <t>GISSEL ANDREA RODRIGUEZ</t>
  </si>
  <si>
    <t>CRA 12 A  49 19</t>
  </si>
  <si>
    <t>TULIO RODRIGUEZ 3147014403</t>
  </si>
  <si>
    <t xml:space="preserve">GISSEL AREVALO </t>
  </si>
  <si>
    <t>CALLE 21 # 16-8 SEMBRADOR</t>
  </si>
  <si>
    <t>DARIO AREVALO 3022698130</t>
  </si>
  <si>
    <t>GUILLERMO SEBASTIAN CHACON</t>
  </si>
  <si>
    <t>AV 8N CLL 15N-30 LOMA LINDA</t>
  </si>
  <si>
    <t>GUILLERMO CHACON 3165008591</t>
  </si>
  <si>
    <t>HANNA ECHEVERRY</t>
  </si>
  <si>
    <t>CRA 26M # 122-58</t>
  </si>
  <si>
    <t>CRISTINA BEDOYA 3156170235</t>
  </si>
  <si>
    <t>HECTOR PEÑARANDA</t>
  </si>
  <si>
    <t xml:space="preserve">318 711 4018 </t>
  </si>
  <si>
    <t xml:space="preserve">313 730 3397 Angela Gil </t>
  </si>
  <si>
    <t>HELLEN MARTINEZ</t>
  </si>
  <si>
    <t>AV 2IN # 47B-6 LA MERCED</t>
  </si>
  <si>
    <t>HENRY MARTINEZ 3174496181/ FIJO 4331493</t>
  </si>
  <si>
    <t>HILARY MUÑOZ</t>
  </si>
  <si>
    <t>CRA 1F  69 21  LA RIVERA</t>
  </si>
  <si>
    <t>WILMER MUÑOZ 3148683240</t>
  </si>
  <si>
    <t xml:space="preserve">HUBERT CHAUZA </t>
  </si>
  <si>
    <t xml:space="preserve">CRA 15 # 8 -30 YUMBO </t>
  </si>
  <si>
    <t>SANDRA PATRICIA CHAUSA 3116171887 6952552</t>
  </si>
  <si>
    <t xml:space="preserve">INGRID VANESSA MURILLO </t>
  </si>
  <si>
    <t>CALLE 56#11-10</t>
  </si>
  <si>
    <t>FABIO MURILLO 316832879-3182726106</t>
  </si>
  <si>
    <t>IRAYMA OCORO</t>
  </si>
  <si>
    <t>CALLE 9 #34-06 EL TEMPLETE</t>
  </si>
  <si>
    <t>MARGARITA CAICEDO  3168229697</t>
  </si>
  <si>
    <t>ISABEL CHAVEZ</t>
  </si>
  <si>
    <t>CRA 11 6 14 YUMBO</t>
  </si>
  <si>
    <t>JOSE ORLANDO BRAVO 601213404 IND. 34 ESPAÑA</t>
  </si>
  <si>
    <t>ISABEL CRISTINA LEON</t>
  </si>
  <si>
    <t>AV 2FN #32A-30</t>
  </si>
  <si>
    <t>JAIRO LEON 3731770</t>
  </si>
  <si>
    <t>ISABELA FIGUEROA BECERRA</t>
  </si>
  <si>
    <t>CRA 24B # 49-22 NUEVA FLORESTA</t>
  </si>
  <si>
    <t>ALBERTO FIGUEROA 3164570486 TULUA 2332242</t>
  </si>
  <si>
    <t>ISABELA OSORIO</t>
  </si>
  <si>
    <t>CRA 1B2   72 89  SAN LUIS</t>
  </si>
  <si>
    <t>PAOLA ANDREA ARCILA 3113187186</t>
  </si>
  <si>
    <t>ISABELA RAMOS</t>
  </si>
  <si>
    <t>3024215976-3244913</t>
  </si>
  <si>
    <t>CRA  67 #2C-01</t>
  </si>
  <si>
    <t>JORGE RAMOS 3244913</t>
  </si>
  <si>
    <t>ISABELLA CARDENAS</t>
  </si>
  <si>
    <t>CRA 32 # 27-58 PALMIRA</t>
  </si>
  <si>
    <t>RUBEN DARIO CARDENAS 3155482457</t>
  </si>
  <si>
    <t>ISABELLA GONZALEZ LOAIZA</t>
  </si>
  <si>
    <t>CRA 11A #13 SUR 19 BUGA VALLE</t>
  </si>
  <si>
    <t>JUAN CARLOS GONZALEZ 3165323801 - NANCY LOAIZA 3185635011</t>
  </si>
  <si>
    <t>ISABELLA LOPEZ</t>
  </si>
  <si>
    <t>CALLE 12 # 87-40 MULTICENTRO</t>
  </si>
  <si>
    <t>AURA URIBE 3732767</t>
  </si>
  <si>
    <t>ISABELLA MONTOYA</t>
  </si>
  <si>
    <t>CRA 57 #3-15</t>
  </si>
  <si>
    <t>ADRIANA CIFUENTES 3154188411</t>
  </si>
  <si>
    <t>ISABELLA MORALES</t>
  </si>
  <si>
    <t>CLL 20 #3 - 35 PALMIRA, LAS FLORES</t>
  </si>
  <si>
    <t>FRANCIA RINCON 3165760372 - DIEGO MORALES 3184873946</t>
  </si>
  <si>
    <t>ISABELLA ORDOÑEZ</t>
  </si>
  <si>
    <t xml:space="preserve">FEBRERO - 18 </t>
  </si>
  <si>
    <t>CLL 65 #7N BIS-52 LAS CEIBAS</t>
  </si>
  <si>
    <t>ADRIANA VALENCIA 3202890190  JESUS ORDOÑEZ 3217214301</t>
  </si>
  <si>
    <t>ISABELLA POSADA GIRON</t>
  </si>
  <si>
    <t>FINCA VILLA SOFIA. TULUA</t>
  </si>
  <si>
    <t>DEYANETH GIRON 3148239582</t>
  </si>
  <si>
    <t xml:space="preserve">ISABELLA RIASCOS </t>
  </si>
  <si>
    <t xml:space="preserve">SEPTIEMBRE - 11 </t>
  </si>
  <si>
    <t xml:space="preserve">CLL 6 TA # 7-24  FLORIA VALLE </t>
  </si>
  <si>
    <t>JULIO RIASCOS 3146680440</t>
  </si>
  <si>
    <t>IVI VILLOTA</t>
  </si>
  <si>
    <t>CRA 53 #13-105</t>
  </si>
  <si>
    <t>AIDA OLIVA 3146195870</t>
  </si>
  <si>
    <t>JAIME BEDOYA BECERRA</t>
  </si>
  <si>
    <t>CALLE 10A-72-36</t>
  </si>
  <si>
    <t>ALEXANDRA VARELA VIVAS 3155140495</t>
  </si>
  <si>
    <t>JAIRO ANDRES ARAGON</t>
  </si>
  <si>
    <t>CRA 17 # 72-25 7 AGOSTO</t>
  </si>
  <si>
    <t>JAIRO ARAGON ESPAÑA +34 693705568</t>
  </si>
  <si>
    <t>JAIVER ALBERTO NOSCUE</t>
  </si>
  <si>
    <t>CRA 10 # 1-91 LA ESMERALDA CAUCA</t>
  </si>
  <si>
    <t>ERLINDA NOSCUE 3113894456</t>
  </si>
  <si>
    <t>JAVIER SANCHEZ</t>
  </si>
  <si>
    <t>JENIFER ALFARO OSONO</t>
  </si>
  <si>
    <t>CALLE 13E #68-39</t>
  </si>
  <si>
    <t>LIBIA R 3113107842</t>
  </si>
  <si>
    <t>JENIFER CASTILLO</t>
  </si>
  <si>
    <t>3134478059-3207510089</t>
  </si>
  <si>
    <t>CLL 42 NO 95A - 15 VALLE DEL LILI</t>
  </si>
  <si>
    <t>YOLANDA 3103777612</t>
  </si>
  <si>
    <t>JENIFER RUIZ MORALES</t>
  </si>
  <si>
    <t>PLAYA RICA SUAREZ CAUCA</t>
  </si>
  <si>
    <t>NIVIA MORALES 3123274522</t>
  </si>
  <si>
    <t>JENNIFER BECERRA</t>
  </si>
  <si>
    <t>CRA 1E # 53-52 LOS ANDES</t>
  </si>
  <si>
    <t>MILTON BECERRA 3044196793/ FIJO 3838815</t>
  </si>
  <si>
    <t>JENNIFER TORO</t>
  </si>
  <si>
    <t>CRA 12 #18-58</t>
  </si>
  <si>
    <t>PILAR VALVERDE 3187038894</t>
  </si>
  <si>
    <t xml:space="preserve">JERMYNS LOPEZ </t>
  </si>
  <si>
    <t>CALLE 11 No. 12 48 Buga Valle</t>
  </si>
  <si>
    <t>Flor de Maria Gonzalez cel 302291584 2277557</t>
  </si>
  <si>
    <t>JESSICA NAULA</t>
  </si>
  <si>
    <t>CRA 11 #10-48</t>
  </si>
  <si>
    <t>MARIA BEATRIZ 3122514968</t>
  </si>
  <si>
    <t>JESSICA ORTEGA</t>
  </si>
  <si>
    <t>CRR 24A #56-32 LA NUEVA FLORESTA</t>
  </si>
  <si>
    <t>ADELA YA TACUE +56986832900</t>
  </si>
  <si>
    <t>JESSICA PACHECO</t>
  </si>
  <si>
    <t>CRA 95 A  48A 39</t>
  </si>
  <si>
    <t>ADRIANA GUERRA 3136862265</t>
  </si>
  <si>
    <t xml:space="preserve">JESSICA PARRA </t>
  </si>
  <si>
    <t xml:space="preserve">CRR 1A # 27~AN 39 POPAYAN UCRANIA </t>
  </si>
  <si>
    <t>MARIA OMAIRA CABRERA 3152897866</t>
  </si>
  <si>
    <t>JESSICA SANDOVAL</t>
  </si>
  <si>
    <t>CALLE 3A NORTE # 2C-58 VIPASA</t>
  </si>
  <si>
    <t>LUIS ALBEIRO SANDOVAL 311333310</t>
  </si>
  <si>
    <t>JESUS DAVID MENESES</t>
  </si>
  <si>
    <t>CLL 45N #6DN-31</t>
  </si>
  <si>
    <t>ROSA MARIA ESPINIZA 3146025493</t>
  </si>
  <si>
    <t>JHOAN VILLEGAS</t>
  </si>
  <si>
    <t xml:space="preserve">CRA 17 #D18-50 SANTA MONICA </t>
  </si>
  <si>
    <t>JOSE VILLEGAS 3113323320475</t>
  </si>
  <si>
    <t>CRA17 #D18-50 SANTA MONICA</t>
  </si>
  <si>
    <t xml:space="preserve">JOSE VILLEGAS 3113320475 </t>
  </si>
  <si>
    <t>JHOANA CAICEDO ARAGON</t>
  </si>
  <si>
    <t>CRA 4 C #69C -32 VILLA DEL PRADO</t>
  </si>
  <si>
    <t>FERNANDO PAZ (ESPOSO) 3113450375</t>
  </si>
  <si>
    <t>JHOANA HENAO</t>
  </si>
  <si>
    <t xml:space="preserve">CLL71# 6N 25 </t>
  </si>
  <si>
    <t>MARY LUZ MUÑOZ 3122701174</t>
  </si>
  <si>
    <t>JHOANA MOSQUERA</t>
  </si>
  <si>
    <t>AV 6 #35-50</t>
  </si>
  <si>
    <t>LILIANA LONDAL 6593165</t>
  </si>
  <si>
    <t>JHOANA RAMIREZ</t>
  </si>
  <si>
    <t>CRA 57 #13-75</t>
  </si>
  <si>
    <t>CARLOS RAMIREZ 3175143453</t>
  </si>
  <si>
    <t>JHOANA SEPULVEDA</t>
  </si>
  <si>
    <t>CLL 14A #68A-60</t>
  </si>
  <si>
    <t>GLORIA BERRIO 3313038</t>
  </si>
  <si>
    <t>JHONATAN OTERO</t>
  </si>
  <si>
    <t>CLL 1 #12-58 ALFONSO LOPEZ</t>
  </si>
  <si>
    <t>ANALY RIVERO 3146426048 - SIGIFREDO OTERO 3116249789</t>
  </si>
  <si>
    <t>JHONATAN VARGAS</t>
  </si>
  <si>
    <t>CLLE 12 #23-58</t>
  </si>
  <si>
    <t>ORLANDO VARGAS BERNAL 312 277 3328  /  375 5030</t>
  </si>
  <si>
    <t>JOAN SEBASTIAN VILLEGAS</t>
  </si>
  <si>
    <t>CRA 17G D 18 50</t>
  </si>
  <si>
    <t>ANTONIO VILLEGAS 3113320475</t>
  </si>
  <si>
    <t>JOHAN FERNANDEZ</t>
  </si>
  <si>
    <t>CALLE 50 5N 15 OLAYA HERRERA</t>
  </si>
  <si>
    <t>ALVARO FERNANDEZ 3175235824 3879128</t>
  </si>
  <si>
    <t xml:space="preserve">JOHAN SEBASTIAN CUARAN </t>
  </si>
  <si>
    <t xml:space="preserve">CALLE 69 F #26 A -62 PALMIRA </t>
  </si>
  <si>
    <t>DIANA PATRICIA 3122081655</t>
  </si>
  <si>
    <t>JOHANA CAICEDO</t>
  </si>
  <si>
    <t xml:space="preserve">CRA1F # 59-23 </t>
  </si>
  <si>
    <t>FILANDIA ARAGON 3163922360</t>
  </si>
  <si>
    <t>JOHANA DEL PILAR JARAMILLO</t>
  </si>
  <si>
    <t>CALLE 8 # 39-120</t>
  </si>
  <si>
    <t>MARCELA JIMENEZ 3162870639</t>
  </si>
  <si>
    <t>JOHANA JARAMILLO</t>
  </si>
  <si>
    <t>CLL8 #39-120 CAMBULOS</t>
  </si>
  <si>
    <t>MARCELA JIMENES 3162870639</t>
  </si>
  <si>
    <t>JORGE ALEJANDRO ROBLES</t>
  </si>
  <si>
    <t>CRR 23 #33E -133 SANTA MONICA POPULAR</t>
  </si>
  <si>
    <t xml:space="preserve">NUBIA </t>
  </si>
  <si>
    <t>JORGUE GUETTE</t>
  </si>
  <si>
    <t>CRA 1BIS #59-21 PARQUE DE BARRANQUILLA</t>
  </si>
  <si>
    <t>INDIRA OBYME 3014670359</t>
  </si>
  <si>
    <t>JOSE IGNACIO ECHEVERRY</t>
  </si>
  <si>
    <t>VIA JAMUNDI RB CASTILLO PRADERAS CONJUNTO 3</t>
  </si>
  <si>
    <t>MIRYAM GARCIA 3052874313 - CATALINA MUNOZ 3023386499</t>
  </si>
  <si>
    <t>JUAN CAMILO ARISTIZABAL</t>
  </si>
  <si>
    <t>321 7722 382</t>
  </si>
  <si>
    <t>CLL 59 #27-01</t>
  </si>
  <si>
    <t>ESTHER ARCINEGAS 3125196265</t>
  </si>
  <si>
    <t>JUAN CAMILO CASTILLO</t>
  </si>
  <si>
    <t>CLL 13N # 3N-14</t>
  </si>
  <si>
    <t>ALVARO CASTILLO 3113402041  2328964</t>
  </si>
  <si>
    <t>JUAN CAMILO FALLA</t>
  </si>
  <si>
    <t>CRA 7 69 112  FEPICOL</t>
  </si>
  <si>
    <t>LUZ EDEITH VILLEGAS 3174242022 3706608</t>
  </si>
  <si>
    <t>JUAN CAMILO JARAMILLO</t>
  </si>
  <si>
    <t>CLL53NTE #8N-27 EL BOSQUE</t>
  </si>
  <si>
    <t>HECTOR JARAMILLO 3162554317</t>
  </si>
  <si>
    <t>JUAN DANIEL GAVIRIA</t>
  </si>
  <si>
    <t>JUAN DAVID GOMEZ</t>
  </si>
  <si>
    <t>KL. 4 VIA CHIPAYA RIVERAS DE LAS MERCEDES, CASA 57</t>
  </si>
  <si>
    <t>JESUS DAVID GOMEZ 3116303815</t>
  </si>
  <si>
    <t>JUAN DIEGO MONTERO</t>
  </si>
  <si>
    <t>CLL 9E #18-28 BRETANA</t>
  </si>
  <si>
    <t>NIDIA AGUDELO VALENCIA 3183146140 - CARLOS HERNANDO MONTERO 3177656833</t>
  </si>
  <si>
    <t>JUAN FELIPE FRANCO</t>
  </si>
  <si>
    <t>CALLE 25 46B 09</t>
  </si>
  <si>
    <t>LUZ DARY BONILLA 3772534</t>
  </si>
  <si>
    <t>JUAN FELIPE VILLAREAL</t>
  </si>
  <si>
    <t>CALLE 69  1C 30 CALDAS</t>
  </si>
  <si>
    <t>HERNAN VILLAREAL 3117242807</t>
  </si>
  <si>
    <t>JUAN FERNADO CHARRIA</t>
  </si>
  <si>
    <t>CRA 73 # 20-29 LIMONAR</t>
  </si>
  <si>
    <t>NOEMY GARCIA 3154354607 FERNANDO CHARRIA 310585411</t>
  </si>
  <si>
    <t>JUAN FERNANDO RIVERA</t>
  </si>
  <si>
    <t>CLL 13OESTE #6BIS-31</t>
  </si>
  <si>
    <t>MARIA FERNANDA MORENO 3137455041</t>
  </si>
  <si>
    <t>JUAN PABLO MURGUETIO</t>
  </si>
  <si>
    <t>CLL 13A #36B-130</t>
  </si>
  <si>
    <t>MARIA CECILIA 3113977491</t>
  </si>
  <si>
    <t xml:space="preserve">CRA 35A # 35 - 130 SAN FERNANDO </t>
  </si>
  <si>
    <t>RAFAEL 3184094308</t>
  </si>
  <si>
    <t>JUAN PABLO NOGUERA</t>
  </si>
  <si>
    <t>CRA 2A OESTE # 10-11</t>
  </si>
  <si>
    <t>ALEXANDRA LOPEZ  8935920/3187059246</t>
  </si>
  <si>
    <t xml:space="preserve">JUAN PABLO ORTEGA </t>
  </si>
  <si>
    <t>CRA 84# 42-59 cali/ CRA 14 23- 59 Tuquerres Nariño</t>
  </si>
  <si>
    <t>AURA BOLAÑOS 3153231936</t>
  </si>
  <si>
    <t>JUAN PABLO VALENCIA</t>
  </si>
  <si>
    <t>CLL 5E #46-82 TORRE DE CALI. TEQUENDAMA</t>
  </si>
  <si>
    <t>JUAN PABLO VALENCIA 3167520868 - ANGELA RIOS 3158436351</t>
  </si>
  <si>
    <t>JUAN PABLO VARGAS</t>
  </si>
  <si>
    <t>AV 8 N #49N30</t>
  </si>
  <si>
    <t>JUAN CARLOS VARGAS 3103409875</t>
  </si>
  <si>
    <t>JULIAN MENA</t>
  </si>
  <si>
    <t>CRA 85 E 28 06</t>
  </si>
  <si>
    <t>LUZ ALBA FALLA  3146676927</t>
  </si>
  <si>
    <t>JULIANA ARIAS ORTIZ</t>
  </si>
  <si>
    <t>BEATRIZ ORTIZ 3168293638 - NORLEY ARIAS 3155746362</t>
  </si>
  <si>
    <t>JULIANA BAREÑO</t>
  </si>
  <si>
    <t>CALLE 14A OESTE#55-14</t>
  </si>
  <si>
    <t>ROGER BAREÑO 3108867108</t>
  </si>
  <si>
    <t>JULIANA ENRIQUEZ</t>
  </si>
  <si>
    <t>CALLE 13 NORTE # 4N-27 GRANADA</t>
  </si>
  <si>
    <t>MAGDALENA CAMPAÑA 3166211798</t>
  </si>
  <si>
    <t>JULIANA MARTINEZ</t>
  </si>
  <si>
    <t>CALLE 12 N #8-31 GRANADA</t>
  </si>
  <si>
    <t>LUIS HUMBERTO MARTINEZ 3187170933</t>
  </si>
  <si>
    <t>JULIANA MARTINEZ SEGURA</t>
  </si>
  <si>
    <t>CALLE 9 # 61-05 CAMINO REAL</t>
  </si>
  <si>
    <t>LILIANA SEGURA 3155655940</t>
  </si>
  <si>
    <t>JULIANA PALOMINO</t>
  </si>
  <si>
    <t>CALLE 12 OESTE #2A-151</t>
  </si>
  <si>
    <t>JHON HIGUITA 3132766114 ESPOSO</t>
  </si>
  <si>
    <t>JULIANA SANCHEZ</t>
  </si>
  <si>
    <t>CLL 14 N 6N-22</t>
  </si>
  <si>
    <t>JULIO SANCHEZ 3122584937</t>
  </si>
  <si>
    <t>JULIETH TAPIA</t>
  </si>
  <si>
    <t>CRA 2 #5A-04</t>
  </si>
  <si>
    <t>MARVIN TAPIA 3117317286</t>
  </si>
  <si>
    <t>KAREN PRADA OROZCO</t>
  </si>
  <si>
    <t>CRA 4 A 64N 28 B/ CALIMA</t>
  </si>
  <si>
    <t>CONSUELO OROZCO 3162706852</t>
  </si>
  <si>
    <t xml:space="preserve">KAREN SANCHEZ </t>
  </si>
  <si>
    <t>CLL36 # 40 -102 EL PRADO</t>
  </si>
  <si>
    <t>LUZ DARI DE LA TORRE 3154812297</t>
  </si>
  <si>
    <t>KARLA MAYERLY OROZCO</t>
  </si>
  <si>
    <t>3104365506-3824900</t>
  </si>
  <si>
    <t>CRA 12B#62-85</t>
  </si>
  <si>
    <t>YURANI OROZCO 3146551011</t>
  </si>
  <si>
    <t>KAROL GIL</t>
  </si>
  <si>
    <t>CLL 1 #60-88 VILLAS DE LA CRUZ</t>
  </si>
  <si>
    <t>HERIBERTO GIL 3186967334</t>
  </si>
  <si>
    <t>KATERINE GIRALDO</t>
  </si>
  <si>
    <t>317 4307820</t>
  </si>
  <si>
    <t>ESPAÑA</t>
  </si>
  <si>
    <t>ODONTOLOGA -RAUL</t>
  </si>
  <si>
    <t>KATHERINE CRUZ</t>
  </si>
  <si>
    <t>CLL 9 #18A - 25 ESMERALDA POPAYAN</t>
  </si>
  <si>
    <t>DOLI CALVO (MAMA) 3206311740</t>
  </si>
  <si>
    <t>KATY SINISTERRA</t>
  </si>
  <si>
    <t>LA ESTANCIA 16 #  3-54</t>
  </si>
  <si>
    <t>PATRICIA PAREDES 31134541329</t>
  </si>
  <si>
    <t xml:space="preserve">KELLY MARCELA JOJOA </t>
  </si>
  <si>
    <t xml:space="preserve">CRA 17 # 31-02 </t>
  </si>
  <si>
    <t>LUIS ERNESTO JOJOA 3115958431</t>
  </si>
  <si>
    <t>KELLY OSPINA</t>
  </si>
  <si>
    <t xml:space="preserve">CRR 4B # 45A-34  SALOMIA </t>
  </si>
  <si>
    <t>VILMA VEGA 3014236388</t>
  </si>
  <si>
    <t>KELY GUTIERREZ</t>
  </si>
  <si>
    <t>CRR 94A # 18-88 SAN JUAQUIN</t>
  </si>
  <si>
    <t>MARGOT MORTELO 323 4764471</t>
  </si>
  <si>
    <t>KEVIN ANDRES LEMUS</t>
  </si>
  <si>
    <t>CRA 42 #35A-07</t>
  </si>
  <si>
    <t>ENRIQUE LEMUS</t>
  </si>
  <si>
    <t xml:space="preserve">KEVIN VARGAS </t>
  </si>
  <si>
    <t xml:space="preserve">CLL 73 # 3N-51 </t>
  </si>
  <si>
    <t>SANDRA PATRICIA 3203417193</t>
  </si>
  <si>
    <t>KIMBERLY CRUZ</t>
  </si>
  <si>
    <t>CRA 98D #34-53 VALLE DE LILI</t>
  </si>
  <si>
    <t>MIRIAM MAECHA 3103986923</t>
  </si>
  <si>
    <t>KIMBERLY MURILLO</t>
  </si>
  <si>
    <t>CRA 9A #4N-23</t>
  </si>
  <si>
    <t>CRISTIAN MENDEZ 3225459293</t>
  </si>
  <si>
    <t>LADY GIRALDO</t>
  </si>
  <si>
    <t>LAURA ALVAREZ</t>
  </si>
  <si>
    <t>LAURA CAMILA ORTIZ ZULUAGA</t>
  </si>
  <si>
    <t>CALLE 12A 52 60 SANTA ANITA</t>
  </si>
  <si>
    <t>TATIANA ORTIZ 3117978818</t>
  </si>
  <si>
    <t xml:space="preserve">LAURA CAMILA VALENCIA </t>
  </si>
  <si>
    <t>3173271438 - 3146064030</t>
  </si>
  <si>
    <t xml:space="preserve">CRR 76 # 1A-04  NAPOLES </t>
  </si>
  <si>
    <t xml:space="preserve">JHOANA GOMEZ 3105221138 </t>
  </si>
  <si>
    <t>LAURA CRISTINA ALVAREZ VARON</t>
  </si>
  <si>
    <t>CRA 89  18  61</t>
  </si>
  <si>
    <t>GUSTAVO ALVAREZ 3174375287</t>
  </si>
  <si>
    <t xml:space="preserve">LAURA CUELLAR SANTOFIMIO </t>
  </si>
  <si>
    <t xml:space="preserve">CLL 2B # 66~52   REFUJIO </t>
  </si>
  <si>
    <t>ROSA SANTOFIMIO 3102580667   JUSTINIANO CUELLAR 3112511818</t>
  </si>
  <si>
    <t>LAURA GARCIA</t>
  </si>
  <si>
    <t>CLL 20 #118-285 PANCE</t>
  </si>
  <si>
    <t>JULIAN GARCIA 3218906050</t>
  </si>
  <si>
    <t>LAURA GUERRERO LOMBONA</t>
  </si>
  <si>
    <t>AV 6 NORTE #18 - 38 VERSALLES</t>
  </si>
  <si>
    <t>GLADIS LOMBONA 3235267394 - MIGUEL GUERRERO 3185576089</t>
  </si>
  <si>
    <t>LAURA MARCELA ARTEAGA FUENTES</t>
  </si>
  <si>
    <t>CLL 4 SUR #73-91 QUINTAS DE LA BOCANA</t>
  </si>
  <si>
    <t>DANNY ARTEAGA 3188202718 - RAQUEL FUENTES 3162860657</t>
  </si>
  <si>
    <t>LAURA ORTIZ ZULUAGA</t>
  </si>
  <si>
    <t>AV 41 OESTE 11 41</t>
  </si>
  <si>
    <t>ROCIO ZULUAGA 3178716814</t>
  </si>
  <si>
    <t>LAURA PEÑALOZA</t>
  </si>
  <si>
    <t>CALLE 52 31A 63 PALMIRA</t>
  </si>
  <si>
    <t>ADRIANA RAMIREZ 3104421413 FABIO PEÑALOZA 3113343389</t>
  </si>
  <si>
    <t>LAURA PUYO</t>
  </si>
  <si>
    <t>ODONTOLOGA-RAUL</t>
  </si>
  <si>
    <t>LAURA RIVERA SERRANO</t>
  </si>
  <si>
    <t>CRA 42A # 13B-60 GUABAL</t>
  </si>
  <si>
    <t>MARIA EUGENIA CERRANO 3108940772</t>
  </si>
  <si>
    <t>LAURA RODRIGUEZ</t>
  </si>
  <si>
    <t>CALLE 76 #16-41</t>
  </si>
  <si>
    <t>HERNAN RODRIGUEZ 3148883435 AURA GARCIA 3216438904</t>
  </si>
  <si>
    <t>LAURA SOFIA SANDOVAL</t>
  </si>
  <si>
    <t>CLL 20 #101A - 37 CIUDAD JARDIN</t>
  </si>
  <si>
    <t>MAGNOLIA CARRILLO (MAMA) 3178465095</t>
  </si>
  <si>
    <t xml:space="preserve">LAURA VALENCIA LOPEZ </t>
  </si>
  <si>
    <t xml:space="preserve">CRA 56 # 17A -34 OESTE </t>
  </si>
  <si>
    <t>ESPERANZA LOPEZ 3113223778</t>
  </si>
  <si>
    <t>LEIDY COLONIA</t>
  </si>
  <si>
    <t>CLL ARA D #79-18 PRADOS DEL SUR</t>
  </si>
  <si>
    <t>AIDE CARDENAS (TIA) 3116000959</t>
  </si>
  <si>
    <t>LEIDY JHOANA DAVID</t>
  </si>
  <si>
    <t>CRA 99A #45-200</t>
  </si>
  <si>
    <t>BLANCA DIAZ 3206197751</t>
  </si>
  <si>
    <t>LEIDY MILENA LONDOÑO</t>
  </si>
  <si>
    <t>CRA 3A 4 NORTE #71D-20</t>
  </si>
  <si>
    <t>DORIS LONDOÑO 3144271511</t>
  </si>
  <si>
    <t>LILIANA CASTRO</t>
  </si>
  <si>
    <t>PORTAL DEL LILI</t>
  </si>
  <si>
    <t>LILIANA CASTRO 3104594350JOSE RUBER CASTRO 3136442754</t>
  </si>
  <si>
    <t>LILIANA ORTIZ</t>
  </si>
  <si>
    <t>CLL 13 #3N-14</t>
  </si>
  <si>
    <t>JOSE MENESES 3118590700</t>
  </si>
  <si>
    <t>LILIANA SERRANO</t>
  </si>
  <si>
    <t>CRA 4 #4-07</t>
  </si>
  <si>
    <t>LINA BETANCOURTH</t>
  </si>
  <si>
    <t>CLL 35C #5-20</t>
  </si>
  <si>
    <t>JHONIER BETANCOURTH 3006657922</t>
  </si>
  <si>
    <t>LINA FERNANDA TOVAR</t>
  </si>
  <si>
    <t>CRA 7A BIS # 72C-24</t>
  </si>
  <si>
    <t>YAZMIN BERNAL 3002475821</t>
  </si>
  <si>
    <t xml:space="preserve">LINA GONZALEZ </t>
  </si>
  <si>
    <t xml:space="preserve">CLL 58NORTE # 4B-45  la flora </t>
  </si>
  <si>
    <t>ALEJANDRA BONILLA 3176203372    3350340</t>
  </si>
  <si>
    <t>LINA M. RODRIGUEZ</t>
  </si>
  <si>
    <t>CRA 55 12A 58 B/SANTA ANIT</t>
  </si>
  <si>
    <t>ANDRES F. CRUZ PAREJA 3013589777</t>
  </si>
  <si>
    <t>LINA Ma LOZANO</t>
  </si>
  <si>
    <t>CLL 55 #29A-45</t>
  </si>
  <si>
    <t>MARIA DEL PILAR LOZANO 311 3053410</t>
  </si>
  <si>
    <t>LINA MARIA DORADO</t>
  </si>
  <si>
    <t xml:space="preserve">CLL 6A # 62A -11 PAMPALINAS </t>
  </si>
  <si>
    <t>NIEVES MARGOTH DORADO 3195866527</t>
  </si>
  <si>
    <t xml:space="preserve">LINA MARIA HURTADO </t>
  </si>
  <si>
    <t>K6 CALLEJON TABARES 1.25 LA BUITRERA</t>
  </si>
  <si>
    <t>LINA MOLINA</t>
  </si>
  <si>
    <t>CALLE 73BN 2A 51 BRISAS DE LOS ALAMOS</t>
  </si>
  <si>
    <t>GUILLERMINA OLIVEROS 3136414786</t>
  </si>
  <si>
    <t>LINA RAMIREZ</t>
  </si>
  <si>
    <t>CALLE 69 # 1-132 T7 APTO 304</t>
  </si>
  <si>
    <t>MARIA LUCIA FERNANDEZ 3113924322</t>
  </si>
  <si>
    <t>LINA SIERRA</t>
  </si>
  <si>
    <t>CRA 17 13 # 16A-25</t>
  </si>
  <si>
    <t>MARIA FERNANDA SANCHEZ 41764077155</t>
  </si>
  <si>
    <t>LISETH MOSQUERA</t>
  </si>
  <si>
    <t>CRA 1 BIS #59-21</t>
  </si>
  <si>
    <t>LEIDY CARRENO 3164586393</t>
  </si>
  <si>
    <t>LIZETH HURTADO</t>
  </si>
  <si>
    <t>CRA 3RA #60-53 GUAYACANES</t>
  </si>
  <si>
    <t>ELIZABETH HERNANDEZ 3182411421 - RICARDO HURTADO 65864156</t>
  </si>
  <si>
    <t>LIZETH LASSO</t>
  </si>
  <si>
    <t>AGOSTO 6</t>
  </si>
  <si>
    <t>CLL 21 #17 - 75 LA PRADERA</t>
  </si>
  <si>
    <t>MARTHA ARAGON 3122258863</t>
  </si>
  <si>
    <t>LIZETH ROMERO</t>
  </si>
  <si>
    <t>CRA 78 #6-66</t>
  </si>
  <si>
    <t>AMPARO GUSTIN 3104639521</t>
  </si>
  <si>
    <t xml:space="preserve">LOREN NUÑEZ </t>
  </si>
  <si>
    <t>LUCIANA GOMEZ SAAVEDRA</t>
  </si>
  <si>
    <t>AV 4TA NORTE #7N38 GRANADA</t>
  </si>
  <si>
    <t>ANA MARIA SAAVEDRA 3152772613</t>
  </si>
  <si>
    <t>LUCIANA LOZANO CORTEZ</t>
  </si>
  <si>
    <t>CLL 14 OESTE #2B1 -45 SANTA TERESITA</t>
  </si>
  <si>
    <t>YAMILETH CORTES 3155212367</t>
  </si>
  <si>
    <t xml:space="preserve">LUIS FDO HOYOS </t>
  </si>
  <si>
    <t xml:space="preserve">CRA 85E #33-20 CANEY </t>
  </si>
  <si>
    <t>LUZ PIEDAD JIMENEZ 3103901512</t>
  </si>
  <si>
    <t>LUISA FDA MARTINEZ</t>
  </si>
  <si>
    <t>CRA 112 #22A-31</t>
  </si>
  <si>
    <t>MARTHA MARTINEZ 3206745005</t>
  </si>
  <si>
    <t>LUISA FERNANDA CADENA</t>
  </si>
  <si>
    <t>CARRERA 3 OESTE No. 12 -60</t>
  </si>
  <si>
    <t>LUIS FERNANDO CADENA 3182617777</t>
  </si>
  <si>
    <t>LUISA FERNANDA SUAREZ</t>
  </si>
  <si>
    <t>CLLE 62 B # 149-205</t>
  </si>
  <si>
    <t>AYDER PEDRAZA 4461819</t>
  </si>
  <si>
    <t>LUISA MARIA TRUJILLO</t>
  </si>
  <si>
    <t>CALLE 7 10 60  ZARZAL</t>
  </si>
  <si>
    <t>GLORIA STELLA HERRERA 3215544577</t>
  </si>
  <si>
    <t>LUISA MEJIA RINCON</t>
  </si>
  <si>
    <t xml:space="preserve">CLL59A #24B-34 NUEVA FLORESTA </t>
  </si>
  <si>
    <t>ORLANDO MEJIA 3155633147</t>
  </si>
  <si>
    <t>LUISA SANCHEZ</t>
  </si>
  <si>
    <t>CLL 18 #50-76</t>
  </si>
  <si>
    <t>SONIA ELENA DUQUE 321 714 0915</t>
  </si>
  <si>
    <t>LUZ ANGELICA GUZMAN</t>
  </si>
  <si>
    <t>CLL 42 #43-55 REPUBLICA DE ISRAEL</t>
  </si>
  <si>
    <t>SANDRA PARRA 3187613469</t>
  </si>
  <si>
    <t>MA CAMILA CUASMAYAN</t>
  </si>
  <si>
    <t>CRA 1D #52-38</t>
  </si>
  <si>
    <t>PEDRO JOSE GUASAMAYAN 3128348030</t>
  </si>
  <si>
    <t>MABEL BURBANO</t>
  </si>
  <si>
    <t>AVEN 6N #52N-24 LA FLORA</t>
  </si>
  <si>
    <t>LUIS BURBANO 3173635846</t>
  </si>
  <si>
    <t>MAIRA ALEJANDRA MOYANO</t>
  </si>
  <si>
    <t>CRA 11D # 47-15 EL TROCAL</t>
  </si>
  <si>
    <t>FABIOLA LOTERO 3217853995  EDGAR MOYANO 315482457</t>
  </si>
  <si>
    <t>MANUELA ARIAS</t>
  </si>
  <si>
    <t>CLL 47 A# 25A-24 PALMIRA</t>
  </si>
  <si>
    <t>ISABEL CANDELO 3116421394</t>
  </si>
  <si>
    <t>MANUELA BACCA</t>
  </si>
  <si>
    <t>CLLE 14 #70-72</t>
  </si>
  <si>
    <t>SANDRA RAMIREZ 3006875102</t>
  </si>
  <si>
    <t>MANUELA CASTILLO</t>
  </si>
  <si>
    <t>CLL 62 NORTE #2BN 4446 ALAMOS</t>
  </si>
  <si>
    <t>JHON CASTILLO 3146839920 - TRINIDAD CONCHA 3006188079</t>
  </si>
  <si>
    <t>MANUELA GIRALDO</t>
  </si>
  <si>
    <t>AVE 10N #51-42 BOSQUE</t>
  </si>
  <si>
    <t>MAGDA MORALES 3122036188</t>
  </si>
  <si>
    <t>MANUELA LENIS</t>
  </si>
  <si>
    <t>CRA 103  11 40</t>
  </si>
  <si>
    <t>ARMANDO LENIS 3108323867</t>
  </si>
  <si>
    <t>MANUELA OROZCO GONZALES</t>
  </si>
  <si>
    <t>KL 3 VIA CHIPAYA JAMUNDI</t>
  </si>
  <si>
    <t>VICTORIA GONZALES 3155643051</t>
  </si>
  <si>
    <t xml:space="preserve">MARCELA FIGUEROA </t>
  </si>
  <si>
    <t xml:space="preserve">CLL 26 #20-16 EL TREBOL PALMIRA </t>
  </si>
  <si>
    <t xml:space="preserve">FERNANDO FIGUEROA 3166986552 MAMA 3167947041 </t>
  </si>
  <si>
    <t xml:space="preserve">MARCELA MONTOYA </t>
  </si>
  <si>
    <t xml:space="preserve">AN 4N #16N-55 GRANADA </t>
  </si>
  <si>
    <t>JAVIER MONTOYA 314150126</t>
  </si>
  <si>
    <t>MARIA ALEJANDRA CORTES</t>
  </si>
  <si>
    <t xml:space="preserve">CLL 10 SUR #4-38 LILI BUGA </t>
  </si>
  <si>
    <t>ANGELA MARTINEZ 313976021</t>
  </si>
  <si>
    <t>MARIA ALEJANDRA JIMENEZ</t>
  </si>
  <si>
    <t xml:space="preserve">CLL15 #2-43 FRAY PEÑA YUMBO </t>
  </si>
  <si>
    <t>LUCERO TELLO 3152718992</t>
  </si>
  <si>
    <t xml:space="preserve">MARIA ALEJANDRA LENIS </t>
  </si>
  <si>
    <t>KL 1 VIA DAPA, LA ARRINCONADA</t>
  </si>
  <si>
    <t>FLORALDA VALENZUELA 3104192139</t>
  </si>
  <si>
    <t>MARIA ALEJANDRA RAMIREZ ESCOBAR</t>
  </si>
  <si>
    <t>CLL 55 #1-94 TORRES DE CONFAMDI</t>
  </si>
  <si>
    <t>MARA ALENA ESCOBAR 3122766342</t>
  </si>
  <si>
    <t xml:space="preserve">MARIA ALJANDRA CORTES </t>
  </si>
  <si>
    <t xml:space="preserve">CLL10 SUR #4-38 BUGA </t>
  </si>
  <si>
    <t xml:space="preserve">ANGELA MARTINEZ 3103976021 </t>
  </si>
  <si>
    <t xml:space="preserve">MARIA CAMILA BOLAÑOS </t>
  </si>
  <si>
    <t>CRA 29# 5A -51</t>
  </si>
  <si>
    <t>MARIA CAMILA MARIN</t>
  </si>
  <si>
    <t>CARRERA 97B 42- 88 VALLE LILI</t>
  </si>
  <si>
    <t>DIANA MARIA SANCHEZ 3128750398</t>
  </si>
  <si>
    <t>CRA 97B 42- 88  VALLE DEL LILI</t>
  </si>
  <si>
    <t>BERNARDO MARIN 3137429367</t>
  </si>
  <si>
    <t xml:space="preserve">MARIA CAMILA OCAMPO </t>
  </si>
  <si>
    <t>CALLE 12# 83-105 APTO 307</t>
  </si>
  <si>
    <t>JUAN MARIO OCAMPO 3186298824</t>
  </si>
  <si>
    <t>MARIA CAMILA OLAVE</t>
  </si>
  <si>
    <t>CALLE 1 A OESTE 89 16</t>
  </si>
  <si>
    <t>JOSE OLAVE  3183569564</t>
  </si>
  <si>
    <t>MARIA CAMILA OLAVE GOMEZ</t>
  </si>
  <si>
    <t>CLL 1A OESTE #89-16</t>
  </si>
  <si>
    <t>JOSE OLAVE 3183569564</t>
  </si>
  <si>
    <t xml:space="preserve">MARIA CAMILA ORTIZ </t>
  </si>
  <si>
    <t xml:space="preserve"> 3144027065 - 2638804 </t>
  </si>
  <si>
    <t xml:space="preserve">CRA 12 # 6-62 LA CABAÑA   FLORIDA VALLE </t>
  </si>
  <si>
    <t>MARIA ALIDA GORDILLO 3152748524 JORGE ORTIZ 3127352540</t>
  </si>
  <si>
    <t>MARIA CAMILA PAZ ALEGRIA</t>
  </si>
  <si>
    <t>CALLE 53 Norte 13-02 B/VILLA DEL VIENTO POPAYAN</t>
  </si>
  <si>
    <t>LUZ ESTELA ALEGRIA CORDOBA 3137524389 FIJO 8369305</t>
  </si>
  <si>
    <t>MARIA CAMILA RIVEROS</t>
  </si>
  <si>
    <t>CLL 12 #83-60</t>
  </si>
  <si>
    <t>MARIA CAMILA VALENCIA</t>
  </si>
  <si>
    <t>CRA 76 # 1A-04</t>
  </si>
  <si>
    <t>LOCKER#6</t>
  </si>
  <si>
    <t>MARIA CAMILA ZAPATA</t>
  </si>
  <si>
    <t>CRA 1C#52-56 BRISAS DE LOS ANDES</t>
  </si>
  <si>
    <t>YAZMIN ARIAS 3164486625</t>
  </si>
  <si>
    <t>MARIA FERNANDA CALDERON</t>
  </si>
  <si>
    <t xml:space="preserve">CRA 8 # 5-10 VILLA COLOMBIA </t>
  </si>
  <si>
    <t>MARIA FERNANDA GONZALES</t>
  </si>
  <si>
    <t>CAÑAVERALES</t>
  </si>
  <si>
    <t>JOSE ANTONIO GONZALES 3124492011</t>
  </si>
  <si>
    <t xml:space="preserve">MARIA FERNANDA VECINO VARGAS </t>
  </si>
  <si>
    <t xml:space="preserve"> DICIEMBRE - 7 </t>
  </si>
  <si>
    <t xml:space="preserve">CLL 12 NORTE #4N-17  GRANADA </t>
  </si>
  <si>
    <t>CESAR VECINO 3117530017</t>
  </si>
  <si>
    <t xml:space="preserve">MARIA ISABEL PAYAN </t>
  </si>
  <si>
    <t>CRA 8N #71J-65</t>
  </si>
  <si>
    <t>ISLENIA MAZUERA 3178292998</t>
  </si>
  <si>
    <t>MARIA JOSE ORDOÑEZ</t>
  </si>
  <si>
    <t>MARIA JOSE OSORIO CORREA</t>
  </si>
  <si>
    <t>AVENIDA 6N #13-52 EDIFICIO CORREA</t>
  </si>
  <si>
    <t>JUAN CARLOS OSORIO 3187172986</t>
  </si>
  <si>
    <t>MARIA JOSE POSADA</t>
  </si>
  <si>
    <t>MARIA JOSE SATIZABAL</t>
  </si>
  <si>
    <t xml:space="preserve">CLL 2 # 12A 32 SAN CAYETANO </t>
  </si>
  <si>
    <t>LUBIN SANDOVAL 3137045133</t>
  </si>
  <si>
    <t>MARIA PAULA SANTACRUZ</t>
  </si>
  <si>
    <t>CLL13BIS #80-45</t>
  </si>
  <si>
    <t>SORAYA ARCINIEGAS 3227866024</t>
  </si>
  <si>
    <t>MARIAM MUÑOZ PEREZ</t>
  </si>
  <si>
    <t>CLL3 #3N-14 EDIFICIO LAS VEGAS, GRANADA</t>
  </si>
  <si>
    <t>ALFREDO MUÑOS 3137557059        GABY PEREZ 3136714228</t>
  </si>
  <si>
    <t>MARIANA AGUIRRE</t>
  </si>
  <si>
    <t>CRA 24A #56A06</t>
  </si>
  <si>
    <t>CLAUDIA AGUIRRE 3234946818</t>
  </si>
  <si>
    <t>MARIANA GUEVARA</t>
  </si>
  <si>
    <t>AV 10N #16-20</t>
  </si>
  <si>
    <t>MARIANA ROJAS</t>
  </si>
  <si>
    <t>CALLE 62 8 - 100 LA BASE</t>
  </si>
  <si>
    <t>MARIA NORIS GARCIA 3156722543</t>
  </si>
  <si>
    <t>MARIBEL PABON</t>
  </si>
  <si>
    <t>CALLE 1B OE  4A 201 APTO 1201F</t>
  </si>
  <si>
    <t xml:space="preserve">ANGEL PABON 3147011870 </t>
  </si>
  <si>
    <t>MARITZA DELGADO</t>
  </si>
  <si>
    <t>CLL 11 #58-58</t>
  </si>
  <si>
    <t>FABIO DELGADO 3177508406</t>
  </si>
  <si>
    <t>MARLA MORA</t>
  </si>
  <si>
    <t>CRA 92 #25-81</t>
  </si>
  <si>
    <t>OSCAR MORA 3017642948</t>
  </si>
  <si>
    <t>MARYI VIZCAYA</t>
  </si>
  <si>
    <t>CRA 1D1 #32-75</t>
  </si>
  <si>
    <t>LIBARDO VIZCAYA STELLA MENA 3148623988</t>
  </si>
  <si>
    <t>MATEO CUCALOM</t>
  </si>
  <si>
    <t>CLL 61#26A54</t>
  </si>
  <si>
    <t>CARLOS CUCALON 2869900</t>
  </si>
  <si>
    <t>MAYERLI VIVEROS</t>
  </si>
  <si>
    <t>DIAG 26H-4#83-59</t>
  </si>
  <si>
    <t>ROSALBA ZUÑIGA 3148118812</t>
  </si>
  <si>
    <t>MAYRA GARCIA</t>
  </si>
  <si>
    <t>CLLE 28 #85C-30</t>
  </si>
  <si>
    <t>FERNANDO GARCIA 3232069246</t>
  </si>
  <si>
    <t>MELISA SANCHEZ</t>
  </si>
  <si>
    <t>CRA 45 #14-56 LA SELVA</t>
  </si>
  <si>
    <t>HAROL SANCHEZ 3186235828 CALUDIA BLANDON 3186976854</t>
  </si>
  <si>
    <t>MELISSA ASPRILLA</t>
  </si>
  <si>
    <t>CARRERA 81 No. 42- 41</t>
  </si>
  <si>
    <t>CELINA MOSQUERA 3283214206</t>
  </si>
  <si>
    <t>MELISSA ECHEVERRI</t>
  </si>
  <si>
    <t>CLL 32 A NORTE #2A37 PRADOS DE NORTE</t>
  </si>
  <si>
    <t>LILIANA VELEZ 3716559 - AURELIO ECHEVERRY 3155274916</t>
  </si>
  <si>
    <t>MELISSA ESPINOSA</t>
  </si>
  <si>
    <t>CRA 85B  16 - 34 INGENIO</t>
  </si>
  <si>
    <t>AIZA CASAS 3113014954 - 3322179</t>
  </si>
  <si>
    <t>MICHAEL BENAVIDEZ</t>
  </si>
  <si>
    <t>AV 8 N #17-20 APTO 205</t>
  </si>
  <si>
    <t>VIVEN EXTERIOR</t>
  </si>
  <si>
    <t>MICHELLE PERALTA</t>
  </si>
  <si>
    <t xml:space="preserve">CRA 1A 11 # 73A 53 CALIMIO NORTE </t>
  </si>
  <si>
    <t>CLARA INES VIVAS 4405139</t>
  </si>
  <si>
    <t>MIGUEL ANGEL LOPEZ</t>
  </si>
  <si>
    <t>3158740420 - 3172499789</t>
  </si>
  <si>
    <t>CLL 20 #101A-67 CIUDAD JARDIN</t>
  </si>
  <si>
    <t>SANDRA CESPEDES 3165191075</t>
  </si>
  <si>
    <t>MONICA GARCIA</t>
  </si>
  <si>
    <t>MONICA JULEANA VELAZQUES</t>
  </si>
  <si>
    <t>CALLE 44 #109-80 APTO 301 D</t>
  </si>
  <si>
    <t>JOSE ARLEY CASTAÑO 3502656399 ALBA MIRIAM CUELLAR 3224228343</t>
  </si>
  <si>
    <t>NATALIA CASTILLO</t>
  </si>
  <si>
    <t>CLL 48 #94-80 VALLE DE LILI</t>
  </si>
  <si>
    <t>VIVIANA PASMIN 3116484975</t>
  </si>
  <si>
    <t xml:space="preserve">NATALIA MARTINEZ </t>
  </si>
  <si>
    <t>CRA 14 3 122 SAN ANTONIO</t>
  </si>
  <si>
    <t>JOSE EDGAR MARINEZ 3148775281 LUZ MARINA VELASQUEZ  3157641625</t>
  </si>
  <si>
    <t xml:space="preserve">NATALIA MONDRAGON </t>
  </si>
  <si>
    <t>CARRERA 9 No. 2 -42  AMAIME</t>
  </si>
  <si>
    <t>MARIA ISABEL GRISALES 3103723282 FIJO 2711270 EXT. 162</t>
  </si>
  <si>
    <t>NATALIA VARGAS</t>
  </si>
  <si>
    <t>CLL 83A#5N - 68</t>
  </si>
  <si>
    <t>ELIZABETH VARELA 3147386091</t>
  </si>
  <si>
    <t>NATALIA VELAZCO</t>
  </si>
  <si>
    <t>318 374 4304</t>
  </si>
  <si>
    <t xml:space="preserve">AGUA BLANCA </t>
  </si>
  <si>
    <t>ODONTOLOGA</t>
  </si>
  <si>
    <t>NATALIA WAGNER</t>
  </si>
  <si>
    <t>CRA 43 #12-05 DEPARTAMENTAL</t>
  </si>
  <si>
    <t>VICTOR WAGNER 3206736038 - ENELYA LOZANO 3135885289</t>
  </si>
  <si>
    <t>NATALY ESCOBAR</t>
  </si>
  <si>
    <t>CLL 59B #2-24 LOS ANDES</t>
  </si>
  <si>
    <t>YULEI CHACON 3116426048 - GUSTAVO ESCOBAR 3206924698</t>
  </si>
  <si>
    <t xml:space="preserve">NATALY GARCIA </t>
  </si>
  <si>
    <t xml:space="preserve">OCTUBRE - 9 </t>
  </si>
  <si>
    <t xml:space="preserve">CRR 1A 12 # 76-58 CALIMIO NORTE </t>
  </si>
  <si>
    <t>PATRICIA MENECES 3002558000</t>
  </si>
  <si>
    <t>NATHALIA DURAN BEJARANO</t>
  </si>
  <si>
    <t>CLL 77 #3BN-12</t>
  </si>
  <si>
    <t>JAIME DURAN OCAMPO 3113860114</t>
  </si>
  <si>
    <t>NATHALIA MARTINEZ</t>
  </si>
  <si>
    <t>CLLE 14C#56-51 APTO 404</t>
  </si>
  <si>
    <t>JOSE EDGAR MARTINEZ 3148775281</t>
  </si>
  <si>
    <t>NATHALIA RAMIREZ</t>
  </si>
  <si>
    <t xml:space="preserve">CRA 11I # 62B - 20 </t>
  </si>
  <si>
    <t>HERMANA KATERIN RAMIREZ 3184004012 - 4404012</t>
  </si>
  <si>
    <t>NATHALY BASTIDAS</t>
  </si>
  <si>
    <t>AV 8 CLL 14 GRANADA</t>
  </si>
  <si>
    <t>YANETH ALVAREZ</t>
  </si>
  <si>
    <t xml:space="preserve">NICANOR VALDERRAMA </t>
  </si>
  <si>
    <t xml:space="preserve">CLL 5B #37-10 SAN FERNANDO </t>
  </si>
  <si>
    <t>NANCY VALDERRAMA 3127143391</t>
  </si>
  <si>
    <t>NICOLAS CHAVEZ CARDONA</t>
  </si>
  <si>
    <t>AV 15  OESTE #14-360 AGUACATAL</t>
  </si>
  <si>
    <t>ISABEL CARDONA 3104455966</t>
  </si>
  <si>
    <t>NICOLAS MENDOZA</t>
  </si>
  <si>
    <t>CLL 28 #96-55 CASA 79</t>
  </si>
  <si>
    <t>ADRIANA SANTAMARINA 3006169163 - MAURICIO MENDOZA</t>
  </si>
  <si>
    <t>NICOLAS RUBIO</t>
  </si>
  <si>
    <t>SAN CALLETANO</t>
  </si>
  <si>
    <t>IVAN RUBIO 3007054847</t>
  </si>
  <si>
    <t>NICOLE DANIELA POTES SALAS</t>
  </si>
  <si>
    <t>CRA 12 #64-69 NUEVA BASE</t>
  </si>
  <si>
    <t>ALFEDO POTES 3104651204 - ANA MARIA SALAS 216177712</t>
  </si>
  <si>
    <t>NICOLE GARCES</t>
  </si>
  <si>
    <t>CLL9A #44-15 LOS CAMBULOS</t>
  </si>
  <si>
    <t>JANET MORALES 3217859746 - JAIRO GARCES 3127962960</t>
  </si>
  <si>
    <t>NICOLE POTES</t>
  </si>
  <si>
    <t>ANA MARIA SALAS 3216177712</t>
  </si>
  <si>
    <t>NICOLE SOLARTE</t>
  </si>
  <si>
    <t>CRA 77 #1A63</t>
  </si>
  <si>
    <t>OSCAR SOLARTE 3136566618</t>
  </si>
  <si>
    <t>OMAR A. LUNA</t>
  </si>
  <si>
    <t>CRA 52 17 53</t>
  </si>
  <si>
    <t>OMAR LUNA 3155616899</t>
  </si>
  <si>
    <t>ORIANA OSPINA</t>
  </si>
  <si>
    <t>CRA 29 A2  12B 15 COLSEGUROS</t>
  </si>
  <si>
    <t>BLADIMIR VASQUE 3108405864</t>
  </si>
  <si>
    <t xml:space="preserve">PALOMA GONZALES </t>
  </si>
  <si>
    <t>cra 101B No 17 - 80 apto 4</t>
  </si>
  <si>
    <t>luz helena MOLINA 304 354 4325 // MATIA SOCORRO MOLINA 301478141</t>
  </si>
  <si>
    <t>PAOLA CRUZ</t>
  </si>
  <si>
    <t>AV 6N #15N 52</t>
  </si>
  <si>
    <t>LEIDY ALEGRIA 3135288217</t>
  </si>
  <si>
    <t>PAOLA GODOY</t>
  </si>
  <si>
    <t>CRA 68#24-10</t>
  </si>
  <si>
    <t>GLORIA PISSO 3138084571</t>
  </si>
  <si>
    <t>PAOLA MARCELA AGUDELO BRAVO</t>
  </si>
  <si>
    <t>CLL 1AN #67-71 EL REFUGIO</t>
  </si>
  <si>
    <t>CRISTNA BRAVO 3206715834 - WILSON AGUDELO 3165367689</t>
  </si>
  <si>
    <t>PAOLA RAYO</t>
  </si>
  <si>
    <t>CLL 10A #32A-45</t>
  </si>
  <si>
    <t>ROSA ELENA MARTINEZ 3174464910</t>
  </si>
  <si>
    <t>PAOLA VELAZCO</t>
  </si>
  <si>
    <t xml:space="preserve">CLL 42 #96-25 </t>
  </si>
  <si>
    <t>ANDRES RUALES NUBIA ALVARADO 3206976794-3103891916</t>
  </si>
  <si>
    <t>PATRICIA LOPEZ</t>
  </si>
  <si>
    <t xml:space="preserve">CR 101 #17-98 CIUDAD JARDIN </t>
  </si>
  <si>
    <t>OLGA NARVAEZ 3194167884</t>
  </si>
  <si>
    <t>PAULA CASTRILLON</t>
  </si>
  <si>
    <t>CALLE 73 3BN 58</t>
  </si>
  <si>
    <t>WILMAR CASTRILLON  3103814220</t>
  </si>
  <si>
    <t>PAULA FERNANDA PARRA ARGOTY</t>
  </si>
  <si>
    <t>CLL 4A #39-04 NUEVA GRANADA</t>
  </si>
  <si>
    <t>VICTOR PARRA 3126246698</t>
  </si>
  <si>
    <t>PRISCILA PERALTA</t>
  </si>
  <si>
    <t>CLL 62A #1A-15</t>
  </si>
  <si>
    <t>PATRICIA BERMUDEZ 3158960517</t>
  </si>
  <si>
    <t xml:space="preserve">RONALD ENRIQUEZ </t>
  </si>
  <si>
    <t xml:space="preserve">CRR 56 # 7-96 OESTE </t>
  </si>
  <si>
    <t xml:space="preserve">HELENA BENAVIDEZ 3104998534 </t>
  </si>
  <si>
    <t>SALOME JARAMILLO</t>
  </si>
  <si>
    <t>CRA 60 #2A-115</t>
  </si>
  <si>
    <t>SALOME RUALES OVALLE</t>
  </si>
  <si>
    <t>CLL 12 NTE #4N-17 GRANADA / CRA 14 #8-73 BUGA</t>
  </si>
  <si>
    <t>RAFAEL OVALLE (ABUELO) 3175524936 - CAROLINA OVALLE (MAMA) 3173810491</t>
  </si>
  <si>
    <t>SAMANTA GARCIA</t>
  </si>
  <si>
    <t>CLL22BIS #9N-11</t>
  </si>
  <si>
    <t>LILIANA SANCHEZ 3165177917 - ENRIQUE GARCIA 3172874411</t>
  </si>
  <si>
    <t>SANDRA FAJARDO</t>
  </si>
  <si>
    <t>CRA 65 9 72</t>
  </si>
  <si>
    <t>ESPOSO FERNANDO ORTEGA 3127056036</t>
  </si>
  <si>
    <t>SANTIAGO CHACON</t>
  </si>
  <si>
    <t>CRA 37 #3 BIS-05</t>
  </si>
  <si>
    <t>KAREN SOTO 3006916061</t>
  </si>
  <si>
    <t xml:space="preserve">SANTIAGO MUÑOZ </t>
  </si>
  <si>
    <t>CLLE 43# 109</t>
  </si>
  <si>
    <t>SANTIAGO REVELO</t>
  </si>
  <si>
    <t>CLL 10 BIS #70-34 RES LAS PALMAS</t>
  </si>
  <si>
    <t>JAVIER REVELO 3178760249</t>
  </si>
  <si>
    <t>SARA PINZON LOPEZ</t>
  </si>
  <si>
    <t>CRA 101A #17-26 CIUDAD JARDIN</t>
  </si>
  <si>
    <t>JHOANA LOPEZ 3154653088 - JORGE PINZON 3155800819</t>
  </si>
  <si>
    <t>SEBASTIAN ARCINIEGAS</t>
  </si>
  <si>
    <t>LUCERO PAZ 3123964302</t>
  </si>
  <si>
    <t>SEBASTIAN BARRERA</t>
  </si>
  <si>
    <t>PARAISO DE LA MORADA CASA 17 JAMUNDI</t>
  </si>
  <si>
    <t>LUCY GONZALEZ 3155707036 5589558</t>
  </si>
  <si>
    <t>SEBASTIAN GONZALEZ</t>
  </si>
  <si>
    <t>CALLE 19A  21 - 05 B/ARANJUEZ</t>
  </si>
  <si>
    <t>MARTHA LOPEZ 3017832177</t>
  </si>
  <si>
    <t xml:space="preserve">SEBASTIAN HOLGUIN </t>
  </si>
  <si>
    <t>NANCY ARCE 3108488993 - DIANA HOLGUIN 3127816562</t>
  </si>
  <si>
    <t>SEBASTIAN IZQUIERDO</t>
  </si>
  <si>
    <t>CRA 11 #1295 SANTANDER DE QUILICHAO</t>
  </si>
  <si>
    <t>FERLEY IZQUIERDO 3102718936 - JENNI PATINO 3116301912</t>
  </si>
  <si>
    <t xml:space="preserve">SEBASTIAN IZQUIERDO </t>
  </si>
  <si>
    <t>CRA 11 # 12-95</t>
  </si>
  <si>
    <t>FORLEY IZQUIERDO 3116301912</t>
  </si>
  <si>
    <t>SEBASTIAN JACOBO</t>
  </si>
  <si>
    <t>CRA 98 #60-87</t>
  </si>
  <si>
    <t>CLAUDIA SIERRA</t>
  </si>
  <si>
    <t>SEBASTIAN QUINAYAS</t>
  </si>
  <si>
    <t>CLL 75DN CRA 2DA A BIS 70 ALAMOS</t>
  </si>
  <si>
    <t>ALBARO QUINAYAS 3233738643</t>
  </si>
  <si>
    <t>SEBASTIAN QUINTERO</t>
  </si>
  <si>
    <t>CLL 18 #24-94</t>
  </si>
  <si>
    <t>ALBANIDIA MUÑOZ 3176796589</t>
  </si>
  <si>
    <t xml:space="preserve">SEBSTIAN QUINAYAZ </t>
  </si>
  <si>
    <t xml:space="preserve">CALLE 72 G # 28D 3-04 CALIPSO </t>
  </si>
  <si>
    <t xml:space="preserve">LUCIA AMANDA 034655213420 ESPAÑA </t>
  </si>
  <si>
    <t xml:space="preserve">SERGIO ESTEBAN MELO S. </t>
  </si>
  <si>
    <t>CRA 65 2C 36 REFIGIO</t>
  </si>
  <si>
    <t>NELSY ZAMBRANO 3148625736</t>
  </si>
  <si>
    <t>SOFIA OSORIO</t>
  </si>
  <si>
    <t>CRA 17 #32-48 PALMIRA</t>
  </si>
  <si>
    <t>JAVIER OSORIO 312 4453751</t>
  </si>
  <si>
    <t>STEFANIA GUTIERREZ</t>
  </si>
  <si>
    <t>CLL 1A N 61 - 73 PAMPALINDA</t>
  </si>
  <si>
    <t>JULIO FERNANDO 4883784</t>
  </si>
  <si>
    <t>STEFANIA PERDOMO</t>
  </si>
  <si>
    <t>CLL 12 O# 2A- 151</t>
  </si>
  <si>
    <t>RODRIGO PERDOMO GLORIA VALENCIA 3118087963</t>
  </si>
  <si>
    <t>STEFANIA RAMIREZ</t>
  </si>
  <si>
    <t>CLL 71D#3N-23</t>
  </si>
  <si>
    <t>JUAN CARLOS RAMIREZ 3152770352</t>
  </si>
  <si>
    <t>STEFANIE OROZCO</t>
  </si>
  <si>
    <t>CRA 46A 51 - 70</t>
  </si>
  <si>
    <t>LUIS VILLADA 3043392199</t>
  </si>
  <si>
    <t>STEFANNY MARIN VALENCIA</t>
  </si>
  <si>
    <t>CLL 32AN #2-165 APTO 903A PRADOS DEL NORTE</t>
  </si>
  <si>
    <t>LEYDI LAURA MARIN 3188473029 - BLANCA VALENCIA 317 6826471</t>
  </si>
  <si>
    <t>STEFANY ARAGON</t>
  </si>
  <si>
    <t>AV 4N #13-40</t>
  </si>
  <si>
    <t>ALBA LUCIA JARAMILLO 3108208867</t>
  </si>
  <si>
    <t xml:space="preserve">STEPHANIA OROZCO </t>
  </si>
  <si>
    <t>CRA 46A #51-95</t>
  </si>
  <si>
    <t xml:space="preserve">STEVEN OSORNO </t>
  </si>
  <si>
    <t>CALLE 2B  69 27 CALDAS</t>
  </si>
  <si>
    <t>ANDRES OSORNO  3165361608</t>
  </si>
  <si>
    <t>STHEPANY PACHECO</t>
  </si>
  <si>
    <t xml:space="preserve">CLL 16 #56- 01  LIMONAR </t>
  </si>
  <si>
    <t>EDGAR PACHECO 3193181280</t>
  </si>
  <si>
    <t>TAMY  KITAMIKADO</t>
  </si>
  <si>
    <t>CALLE 4 NORTE-1N-52</t>
  </si>
  <si>
    <t>TANIA VILLAREAL</t>
  </si>
  <si>
    <t>TATIANA CARVAJAL</t>
  </si>
  <si>
    <t>CRA 1F #59-162</t>
  </si>
  <si>
    <t>TERESA MOTATO 3104890041</t>
  </si>
  <si>
    <t>TATIANA DUQUE REBELLON</t>
  </si>
  <si>
    <t>CRA 1A 13 # 76-58 CALI MIO</t>
  </si>
  <si>
    <t>JUAN MANUEL DUQUE 3113257590</t>
  </si>
  <si>
    <t xml:space="preserve">TATIANA ENDO </t>
  </si>
  <si>
    <t>AV 10 NORTE 22 BIS 25</t>
  </si>
  <si>
    <t>TATIANA MUÑOZ</t>
  </si>
  <si>
    <t>CRA 159 #20-155 PANCE</t>
  </si>
  <si>
    <t>JHON JAIRO MUÑOZ 3113643216 FIJO 4881339</t>
  </si>
  <si>
    <t>TATIANA TABARES</t>
  </si>
  <si>
    <t xml:space="preserve">CRA 9A # 34-87 </t>
  </si>
  <si>
    <t xml:space="preserve">JADER TABARES 3116097654 </t>
  </si>
  <si>
    <t>THALIA AVENDANO BERMIJO</t>
  </si>
  <si>
    <t>CLL 18 #11-03 B/ AMERICAS - ARAUCA</t>
  </si>
  <si>
    <t>MARIA BERMEJO 31259111149</t>
  </si>
  <si>
    <t xml:space="preserve">VALENTINA AGREDA </t>
  </si>
  <si>
    <t xml:space="preserve">CLL 5 #42~24 UNIDAD ANTONIO NARIÑO </t>
  </si>
  <si>
    <t>CESAR AUGUSTO AGREDA 3103796532</t>
  </si>
  <si>
    <t xml:space="preserve">VALENTINA AMAYA </t>
  </si>
  <si>
    <t>CLL28#96-34 VALLE DEL LILI</t>
  </si>
  <si>
    <t>JESUS AMAYA 3155577163</t>
  </si>
  <si>
    <t>VALENTINA BOLANOS</t>
  </si>
  <si>
    <t>AV 4A OESTE #13-88 TERRON</t>
  </si>
  <si>
    <t>JANET BOLANOS 3042739674 - FACUNDO BOLANOS 3153733272</t>
  </si>
  <si>
    <t>VALENTINA CACERES</t>
  </si>
  <si>
    <t>CLL 47N #7N-65</t>
  </si>
  <si>
    <t>HUGO GERMAN CACERES 8995342</t>
  </si>
  <si>
    <t>VALENTINA CAICEDO</t>
  </si>
  <si>
    <t>OSCAR CAICEDO 3128080663</t>
  </si>
  <si>
    <t>VALENTINA CARDENAS BERMUDEZ</t>
  </si>
  <si>
    <t>CLL 28 #100-133 VALLE DE LILI</t>
  </si>
  <si>
    <t>ARLEY ALZATE 3106930446</t>
  </si>
  <si>
    <t>VALENTINA GALLEGOS</t>
  </si>
  <si>
    <t>CRA 36 D #12OESTE 2-40</t>
  </si>
  <si>
    <t>ADRIANA JIMENEZ 3174337915</t>
  </si>
  <si>
    <t>VALENTINA GARCIA BASTIDAS</t>
  </si>
  <si>
    <t>CRA 36C #5B5-54 SAN FERNANDO</t>
  </si>
  <si>
    <t>PABLO ANDRES GARCIA 3185311113</t>
  </si>
  <si>
    <t>VALENTINA GOMEZ</t>
  </si>
  <si>
    <t>CLL 12 NORTE AV 4-17 GRANADA / ARMENIA CLL 5TA N #18A-80</t>
  </si>
  <si>
    <t>MARIA YEPEZ 3117520622 - JULIAN FERNANDO GOMEZ 3113181727</t>
  </si>
  <si>
    <t xml:space="preserve">VALENTINA GUTIERREZ </t>
  </si>
  <si>
    <t xml:space="preserve">TEL 3124682096  WASSHAP 313 7882961 </t>
  </si>
  <si>
    <t xml:space="preserve">CLL 12 # 43-71  DEPARTAMENTAL  </t>
  </si>
  <si>
    <t xml:space="preserve">YANETH MEDINA  3128897010 </t>
  </si>
  <si>
    <t>VALENTINA LUCERO</t>
  </si>
  <si>
    <t>AV 3N #19-100</t>
  </si>
  <si>
    <t>ISABEL CRISTINA LUCERO 3155542046</t>
  </si>
  <si>
    <t>VALENTINA POTES</t>
  </si>
  <si>
    <t>CLLE 52 #12C-28</t>
  </si>
  <si>
    <t>GIOVANNY POTES 3157675501</t>
  </si>
  <si>
    <t>VALENTINA QUICENO ARIAS</t>
  </si>
  <si>
    <t>CLL 79 # 13B-110</t>
  </si>
  <si>
    <t>PATRICIA ARIAS 5553620/3174253556</t>
  </si>
  <si>
    <t>VALENTINA RODRIGUEZ</t>
  </si>
  <si>
    <t>CALLE 18 56 - 40 VILLA DE GUADALUPE</t>
  </si>
  <si>
    <t>HERNANDO RODRIGUEZ 3128315949/3103901425</t>
  </si>
  <si>
    <t>VALENTINA SARMIENTO SOTO</t>
  </si>
  <si>
    <t>CALLE 36 45 63 PALMIRA</t>
  </si>
  <si>
    <t>FERNANDO SARMIENTO 3127772902</t>
  </si>
  <si>
    <t>VALENTINA SERNA</t>
  </si>
  <si>
    <t>CLL 72 #36I 26</t>
  </si>
  <si>
    <t>ROSALIA CANCIMANCY 3218037652 - JOSE MANUEL SERNA 3106942858</t>
  </si>
  <si>
    <t>VALENTINA SILVA DOMINGUEZ</t>
  </si>
  <si>
    <t>CRA 4CE #6-04 BUGA PRADOS ORIENTE</t>
  </si>
  <si>
    <t>WILLIAM SILVA 3137371863 - PADA A DOMINGUEZ 3184111514</t>
  </si>
  <si>
    <t>VALENTINA TAMARA</t>
  </si>
  <si>
    <t>CLL 37NT #3HN-69 PRADOS DEL NORTE</t>
  </si>
  <si>
    <t>NELLY MERA (ABUELA) 3105152325</t>
  </si>
  <si>
    <t>VALENTINA TOALA</t>
  </si>
  <si>
    <t>CALLE 7 35 58</t>
  </si>
  <si>
    <t>ROSALIA HERNANDEZ 3136710880</t>
  </si>
  <si>
    <t>VALENTINA ZULUAGA</t>
  </si>
  <si>
    <t>CRA 34 #10A-115 COLSEGUROS</t>
  </si>
  <si>
    <t>ARGIRO ZULUAGA 3108432793 - GILMA DUQUE 3126155513</t>
  </si>
  <si>
    <t>VALERIA CAMACHO</t>
  </si>
  <si>
    <t>CRA 101A #42-45 VALLE DE LILI APTO 102A</t>
  </si>
  <si>
    <t>FAIZULY PORRAS 3233266283 / 3206040249</t>
  </si>
  <si>
    <t>VALERIA GALEANO URIBE</t>
  </si>
  <si>
    <t>LUZ MARINA URIBE 3136576216</t>
  </si>
  <si>
    <t>VALERIA GAVIRIA</t>
  </si>
  <si>
    <t>CRA 32 #22-16 TULUA</t>
  </si>
  <si>
    <t>JUAN CARLOS GAVIRIA +3466100046</t>
  </si>
  <si>
    <t>VALERIA HUERTAS</t>
  </si>
  <si>
    <t>CLL54C #41D2 03 LA HACIENDA</t>
  </si>
  <si>
    <t>NORA CARDONA 3186146698</t>
  </si>
  <si>
    <t>VALERIA ZULUAGA</t>
  </si>
  <si>
    <t>3058937215 - 3206959472</t>
  </si>
  <si>
    <t>CLLE 12 #46A -31</t>
  </si>
  <si>
    <t>CLAUDIA DORADO 3206959472</t>
  </si>
  <si>
    <t>VANESSA CALLE</t>
  </si>
  <si>
    <t>317 586 0868</t>
  </si>
  <si>
    <t xml:space="preserve">AV2 AN 75 HN 89 BRISAS DE LOS ALAMOS </t>
  </si>
  <si>
    <t>ACENETH OROSCO 3173450992</t>
  </si>
  <si>
    <t>VANESSA GORES</t>
  </si>
  <si>
    <t>AV 5 NORTE #16-34 VERSALLES</t>
  </si>
  <si>
    <t>MARTA MIRANDA 3008030503</t>
  </si>
  <si>
    <t>VANESSA OROZCO</t>
  </si>
  <si>
    <t>CLL 48N AV 2GN-114</t>
  </si>
  <si>
    <t>WILLIAN OROZCO 3163705021</t>
  </si>
  <si>
    <t xml:space="preserve">VANESSA PEREZ LOZADA </t>
  </si>
  <si>
    <t>CALLE 70# 11 C -57</t>
  </si>
  <si>
    <t>EDITH LOZADA 3176242308</t>
  </si>
  <si>
    <t>VANESSA RESTREPO</t>
  </si>
  <si>
    <t>CLL 64#12BIS - 41 NUEVA BASE</t>
  </si>
  <si>
    <t>ANA VALDERRAMA 3156356724 - FRANCISCO RESTREPO 3786116</t>
  </si>
  <si>
    <t>VANESSA RODRIGUEZ</t>
  </si>
  <si>
    <t>CLL 41 #18-03</t>
  </si>
  <si>
    <t>MA  ADELAIDA GARCIA CARMELA RODRIGUEZ 3155158841</t>
  </si>
  <si>
    <t>VANNESSA CALLE</t>
  </si>
  <si>
    <t>AV 2 75-HN-89</t>
  </si>
  <si>
    <t>ACENETH 3173450992</t>
  </si>
  <si>
    <t>VERONICA ROJAS BARON</t>
  </si>
  <si>
    <t>CRA 12 #8-58 SAN FERNANDO STA QUILIC</t>
  </si>
  <si>
    <t>CARMENZA BARON 3117962452 - DAVID (HERMANO) 3136830093</t>
  </si>
  <si>
    <t>VICKY ANAYA</t>
  </si>
  <si>
    <t>CRA 76 #16-41</t>
  </si>
  <si>
    <t>NORALBA BETANCOURTH 3164933332</t>
  </si>
  <si>
    <t>VICTOR DIAZ</t>
  </si>
  <si>
    <t>VIVIAN VASQUEZ</t>
  </si>
  <si>
    <t>CALLE 18 2 33</t>
  </si>
  <si>
    <t>MELIDA PEREIRA 3144172444</t>
  </si>
  <si>
    <t>VIVIANA DOMINGUEZ</t>
  </si>
  <si>
    <t>AV 4N #14-04</t>
  </si>
  <si>
    <t>JUANA MORENO 3104121127</t>
  </si>
  <si>
    <t>VIVIANA MURILLO</t>
  </si>
  <si>
    <t>CRA 18   13B 35</t>
  </si>
  <si>
    <t>VIVIANA ORTIZ</t>
  </si>
  <si>
    <t>CALLE 14C 43 A 13</t>
  </si>
  <si>
    <t>JORGE MARIO ORTIZ 3113087734</t>
  </si>
  <si>
    <t>WALVIN GALE</t>
  </si>
  <si>
    <t xml:space="preserve">CRA 43 # 11A - 27 </t>
  </si>
  <si>
    <t>WALVIN GALE 3175010312</t>
  </si>
  <si>
    <t>YENNY ESCOBAR</t>
  </si>
  <si>
    <t>Alcira Escobar Marin 3164526447</t>
  </si>
  <si>
    <t>YESENIA VELEZ</t>
  </si>
  <si>
    <t>CRA 25 #33-29 PALMIRA</t>
  </si>
  <si>
    <t>HELMAN VELEZ 3182376161</t>
  </si>
  <si>
    <t>YESICA RAMIREZ</t>
  </si>
  <si>
    <t>CRA 94B #1B-16</t>
  </si>
  <si>
    <t>LUIS LOPEZ 3206821362</t>
  </si>
  <si>
    <t xml:space="preserve">YESICA RAMIREZ </t>
  </si>
  <si>
    <t>YESSICA LOPEZ</t>
  </si>
  <si>
    <t>CLL 13 N 4-52 CASA 42 A N 40-63</t>
  </si>
  <si>
    <t>3927862 TRABAJO</t>
  </si>
  <si>
    <t xml:space="preserve">YINA MUÑOZ </t>
  </si>
  <si>
    <t>3128760826-3758193</t>
  </si>
  <si>
    <t>CLLE 3A#92-16 MELENDEZ</t>
  </si>
  <si>
    <t>ANIBAL MUÑOZ 3105705139-3128760826</t>
  </si>
  <si>
    <t>YULIANA A OLAYA</t>
  </si>
  <si>
    <t>CLL 51A #32A-33</t>
  </si>
  <si>
    <t>SAULO OLAYA 3152777245</t>
  </si>
  <si>
    <t>YULIET NARANJO</t>
  </si>
  <si>
    <t>CLL 48A#92-87 SENDERO DE LILI</t>
  </si>
  <si>
    <t>CARLOS NARANJO 3166334488</t>
  </si>
  <si>
    <t>YULIETH MARIN MOLINA</t>
  </si>
  <si>
    <t>CRA11B # 1C-42 JAMUNDI</t>
  </si>
  <si>
    <t>JUAN FERNANDO MARIN E.E.U.U. 0018133272482</t>
  </si>
  <si>
    <t>YULIETH NARANJO</t>
  </si>
  <si>
    <t xml:space="preserve">CLL48 B # 90- 53SENDEROS DE LILI </t>
  </si>
  <si>
    <t xml:space="preserve">VICTOR NARANJO 3105157787 </t>
  </si>
  <si>
    <t xml:space="preserve">INFO GENERAL </t>
  </si>
  <si>
    <t xml:space="preserve">INQUILINO </t>
  </si>
  <si>
    <t xml:space="preserve">GASTOS O PAGOS </t>
  </si>
  <si>
    <t>APTO 101 GDE</t>
  </si>
  <si>
    <t xml:space="preserve">MORICHAL </t>
  </si>
  <si>
    <t>TRINIDAD</t>
  </si>
  <si>
    <t xml:space="preserve">JUNIO     </t>
  </si>
  <si>
    <t>ACTORES</t>
  </si>
  <si>
    <t>LOCAL 102</t>
  </si>
  <si>
    <t>LOCAL</t>
  </si>
  <si>
    <t>CELSIA</t>
  </si>
  <si>
    <t>APTO 203 GDE</t>
  </si>
  <si>
    <t>JERSON</t>
  </si>
  <si>
    <t>GAS</t>
  </si>
  <si>
    <t>APTO 204 PÑO</t>
  </si>
  <si>
    <t>ANDRES</t>
  </si>
  <si>
    <t>APTO 305 GDE</t>
  </si>
  <si>
    <t xml:space="preserve">BETY </t>
  </si>
  <si>
    <t>EFECTIVO</t>
  </si>
  <si>
    <t>APTO 306 PÑO</t>
  </si>
  <si>
    <t>ASHLY</t>
  </si>
  <si>
    <t>CONSIGNACION</t>
  </si>
  <si>
    <t xml:space="preserve">RICAURTE </t>
  </si>
  <si>
    <t>MIREYA Y JUAN</t>
  </si>
  <si>
    <t>JUNIO</t>
  </si>
  <si>
    <t>ANCISAR</t>
  </si>
  <si>
    <t>LEO</t>
  </si>
  <si>
    <t>CASA ODONT</t>
  </si>
  <si>
    <t xml:space="preserve">VALLE DEL LILI </t>
  </si>
  <si>
    <t>KAREN</t>
  </si>
  <si>
    <t>ROPA  GABY</t>
  </si>
  <si>
    <t xml:space="preserve">SALDO </t>
  </si>
  <si>
    <t>mayo 2018</t>
  </si>
  <si>
    <t xml:space="preserve">vr real x unidad </t>
  </si>
  <si>
    <t xml:space="preserve">tasa cambio </t>
  </si>
  <si>
    <t>total compra x unidad</t>
  </si>
  <si>
    <t xml:space="preserve">total compra por producto </t>
  </si>
  <si>
    <t>Precio de venta</t>
  </si>
  <si>
    <t>porcentaje de venta</t>
  </si>
  <si>
    <t>precio total venta</t>
  </si>
  <si>
    <t>acido desmineralizante allplan pqte x 3</t>
  </si>
  <si>
    <t>acido desmineralizante allplan clorexol pqte x 3</t>
  </si>
  <si>
    <t>acido desmineralizante FGM 2.5 ML</t>
  </si>
  <si>
    <t>acido desmineralizante villevie 2.5 ML</t>
  </si>
  <si>
    <t>Adhesivo AMBAR 2 ML</t>
  </si>
  <si>
    <t>Adhesivo AMBAR 4 ML</t>
  </si>
  <si>
    <t xml:space="preserve">ALAMBRE FELULA No. 16 x rollo </t>
  </si>
  <si>
    <t>ALAMBRE FELULA No. 20 ROLLO 36 MTS</t>
  </si>
  <si>
    <t>ALAMBRE ORTODONCIA # 6</t>
  </si>
  <si>
    <t>ALAMBRE ORTODONCIA # 7</t>
  </si>
  <si>
    <t>ALAMBRE ORTODONCIA # 8</t>
  </si>
  <si>
    <t>ALAMBRE ORTODONCIA # 9</t>
  </si>
  <si>
    <t>album para guardar temporales niño</t>
  </si>
  <si>
    <t>ARCO ERICH (PARA MODELO)</t>
  </si>
  <si>
    <t xml:space="preserve">asentador de bandas Morelli </t>
  </si>
  <si>
    <t xml:space="preserve">BANDAS DE ACERO X 10 UNID </t>
  </si>
  <si>
    <t>Barrera Gingival  opaldam</t>
  </si>
  <si>
    <t>Basico color sin sonda</t>
  </si>
  <si>
    <t>blanqueamiento  Opalecense Go</t>
  </si>
  <si>
    <t>Blanqueamiento Whiteness  simple</t>
  </si>
  <si>
    <t>Blanqueamiento Whiteness perfect 16%</t>
  </si>
  <si>
    <t>Blanquiamiento FGM 35% CONSULTORIO</t>
  </si>
  <si>
    <t>Blanquiamiento OPALECENSE ACLARAMIENTO</t>
  </si>
  <si>
    <t>Blanquiamiento Polanight</t>
  </si>
  <si>
    <t xml:space="preserve">caucho para marcar instrumental color caja </t>
  </si>
  <si>
    <t xml:space="preserve">caucho para marcar instrumental color tubo </t>
  </si>
  <si>
    <t>Cucharilla  (basico) instrumental color</t>
  </si>
  <si>
    <t>Espejo con mango instrumental basico de color</t>
  </si>
  <si>
    <t>Explorador instrumental basico  Color</t>
  </si>
  <si>
    <t>eyector para niño x bolsa x 30</t>
  </si>
  <si>
    <t>FP3 metalicos color instrumental</t>
  </si>
  <si>
    <t xml:space="preserve">fresero color 15 huecos </t>
  </si>
  <si>
    <t xml:space="preserve">fresero color 21 huecos </t>
  </si>
  <si>
    <t xml:space="preserve">fresero color 60 huecos </t>
  </si>
  <si>
    <t xml:space="preserve">Jeringa carpule INSTRUMENTAL Color solo con chuzo </t>
  </si>
  <si>
    <t>MANGO PARA ESPEJO  instrumental COLOR</t>
  </si>
  <si>
    <t>Opalustre ultradent pasta para microabrasión de esmalte</t>
  </si>
  <si>
    <t xml:space="preserve">pasta diamantada maquira </t>
  </si>
  <si>
    <t>pinza para poner tubo</t>
  </si>
  <si>
    <t>pinza porta braket</t>
  </si>
  <si>
    <t>Resina fluida  Maquira 2 Gr</t>
  </si>
  <si>
    <t>Resina LLIS FGM A1</t>
  </si>
  <si>
    <t>Resina LLIS FGM A2</t>
  </si>
  <si>
    <t>Resina LLIS FGM A3</t>
  </si>
  <si>
    <t>Resina LLIS FGM B1</t>
  </si>
  <si>
    <t>Resina Opallis A2</t>
  </si>
  <si>
    <t>Resina Opallis B1</t>
  </si>
  <si>
    <t>tapaboca color X 50 UNID</t>
  </si>
  <si>
    <t>tapaboca figura X 50 UNID</t>
  </si>
  <si>
    <t>Tela de Caucho Lencol  26 unidades individual</t>
  </si>
  <si>
    <t xml:space="preserve">tela de caucho sanctuary </t>
  </si>
  <si>
    <t>vitra resina fgm</t>
  </si>
  <si>
    <t xml:space="preserve">total </t>
  </si>
  <si>
    <t>noviembre 2018</t>
  </si>
  <si>
    <t>PROVEE</t>
  </si>
  <si>
    <t>tanaka</t>
  </si>
  <si>
    <t>Acido Villevie c/3 37%</t>
  </si>
  <si>
    <t>dental vida</t>
  </si>
  <si>
    <t>Adhesivo BOND 2.1 MAQUIRA 4ML</t>
  </si>
  <si>
    <t>ALAMBRE FELULA No. 0.20MM 0.008 ref 5501208</t>
  </si>
  <si>
    <t xml:space="preserve">david </t>
  </si>
  <si>
    <t>ALAMBRE FELULA No. 0.30 MM 0.012</t>
  </si>
  <si>
    <t>ALAMBRE PARA FERULA (PARA ARCO ERICH) UNIDAD</t>
  </si>
  <si>
    <t>ALLCEM CORE A1 PEAR CORPO DUPLO</t>
  </si>
  <si>
    <t>ALLCEM CORE A2 PEAR CORPO DUPLO</t>
  </si>
  <si>
    <t>ALLCEM CORE A1 + OPUS BULK  FILL</t>
  </si>
  <si>
    <t>ALLCEM CORE A1</t>
  </si>
  <si>
    <t>asentador de bandas Morelli (cabo plastico) instrumental</t>
  </si>
  <si>
    <t>Barrera Gingival opaldam kit x 4 jeringas green</t>
  </si>
  <si>
    <t>Barrera Gingival Max Dam Jeringa 2 g</t>
  </si>
  <si>
    <t>blanqueamiento Opalecense Go</t>
  </si>
  <si>
    <t>CADENETA</t>
  </si>
  <si>
    <t>Elast mod. azul y pink cristal</t>
  </si>
  <si>
    <t>fix adhesivo ortodoncia autoahesivo 2.5ml</t>
  </si>
  <si>
    <t>Fresero color 15 huecos (color que tengo 6 azul/3 morados)</t>
  </si>
  <si>
    <t>Fresero color 21 huecos (hay 1 verde)</t>
  </si>
  <si>
    <t>Godiva de la KERR VERDE x unidad</t>
  </si>
  <si>
    <t>Hilo retractor 00 no impregnado maquira</t>
  </si>
  <si>
    <t>Hilo retractor 000 no impregnado maquira</t>
  </si>
  <si>
    <t>Hilo retractor 00 no impregnado maquira 250 cms caja amarilla</t>
  </si>
  <si>
    <t>Hilo retractor ultra pack # 00 por 244cm</t>
  </si>
  <si>
    <t>Hilo retractor ultra pack # 000 por 244cm</t>
  </si>
  <si>
    <t>Marcador plastico caucho instrumental autoclavable indusbello 120</t>
  </si>
  <si>
    <t>Marcador plastico caucho instrumental autoclavable FAVA 100</t>
  </si>
  <si>
    <t>Opalecense ENDO 35%</t>
  </si>
  <si>
    <t>Porta tubo instrumental ortodoncia</t>
  </si>
  <si>
    <t>Porta brakets instrumental ortodoncia</t>
  </si>
  <si>
    <t>pinza quita braket instrumental ortodoncia</t>
  </si>
  <si>
    <t>pinza orthodontica inox</t>
  </si>
  <si>
    <t>Resina fluida Maquira 2 Gr A1</t>
  </si>
  <si>
    <t>Resina fluida Maquira 2 Gr A2</t>
  </si>
  <si>
    <t>Resina fluida Maquira 2 Gr A3</t>
  </si>
  <si>
    <t>Resina fluida Wave 1Gr SDI A1</t>
  </si>
  <si>
    <t>Resina fluida Wave 1Gr SDI A2</t>
  </si>
  <si>
    <t>Resina fluida Wave 1Gr SDI A3</t>
  </si>
  <si>
    <t>Resina fluida Wave 1Gr SDI GINGI</t>
  </si>
  <si>
    <t>Silano Maquira 5 ML</t>
  </si>
  <si>
    <t>Tapaboca Resortado color rosado</t>
  </si>
  <si>
    <t>Tela de Caucho Lencol 26 unidades CAJA</t>
  </si>
  <si>
    <t>Tela de Caucho Lencol 26 unidades PEQUEÑA</t>
  </si>
  <si>
    <t>bm4 Acido fluorhidrico 3g 5%</t>
  </si>
  <si>
    <t xml:space="preserve">febrero 2019  </t>
  </si>
  <si>
    <t xml:space="preserve">precio anterior en reales? </t>
  </si>
  <si>
    <t>MARCIA</t>
  </si>
  <si>
    <t>RAFAEL</t>
  </si>
  <si>
    <t>DAVID</t>
  </si>
  <si>
    <t xml:space="preserve">precio venta </t>
  </si>
  <si>
    <t>PRECIO EN PESOS X UNIDAD</t>
  </si>
  <si>
    <t xml:space="preserve">TOTAL COMPRA EN REALES </t>
  </si>
  <si>
    <t>Abreboca ultradent Optragate x caja</t>
  </si>
  <si>
    <t>acido desmineralizante maquira 2.5 ML</t>
  </si>
  <si>
    <t>ALAMBRE ORTODONTICO COD 55.04.318</t>
  </si>
  <si>
    <t xml:space="preserve">Barrera Gingival Max Dam MAQUIRA </t>
  </si>
  <si>
    <t>BANDAS MATRIZ DE ACERO 0.5</t>
  </si>
  <si>
    <t>BANDAS MATRIZ DE ACERO 0.7</t>
  </si>
  <si>
    <t xml:space="preserve">BANDAS METALICAS </t>
  </si>
  <si>
    <t>Barrera Gingival Top Dam blue  FGM 2g</t>
  </si>
  <si>
    <t xml:space="preserve">Barrera Gingival allplan 3g </t>
  </si>
  <si>
    <t xml:space="preserve">Barrera Gingival opaldam ULTRADENT X 4 </t>
  </si>
  <si>
    <t>Blanqueamiento Whiteness PERFECT 16% x 3 und</t>
  </si>
  <si>
    <t>Blanquiamiento HP FGM 35% CONSULTORIO</t>
  </si>
  <si>
    <t>Blanquiamiento HP Blue FGM 35% CONSULTORIO</t>
  </si>
  <si>
    <t>Cubetas No. 7 Morelli azul</t>
  </si>
  <si>
    <t>Cubetas No. 8 Morelli morada</t>
  </si>
  <si>
    <t>elastico intra oral latex morelli (pq x 1000) 1/8</t>
  </si>
  <si>
    <t>elastico intra oral latex morelli (pq x 1000) 5/16</t>
  </si>
  <si>
    <t>fix adhesivo ortodoncia autoadhesivo 2.5ml</t>
  </si>
  <si>
    <t>Marcador plastico caucho intrumental autoclavable maquira 60</t>
  </si>
  <si>
    <t xml:space="preserve">Llavesitas de orthodoncia morelli </t>
  </si>
  <si>
    <t>Opus A2 FGM 4G (P60) Dientes posteriores</t>
  </si>
  <si>
    <t xml:space="preserve">soldadura de plata rollo x 0.5 mts </t>
  </si>
  <si>
    <t xml:space="preserve">Soport para alicate </t>
  </si>
  <si>
    <t xml:space="preserve">BLANQUIAMIENTO BOST ULTRADENT </t>
  </si>
  <si>
    <t>Whitness FGM RM 6%</t>
  </si>
  <si>
    <t>en reales</t>
  </si>
  <si>
    <t xml:space="preserve">pesos </t>
  </si>
  <si>
    <t xml:space="preserve">JUNIO  2019  </t>
  </si>
  <si>
    <t>PRECIO compra EN PESOS X UNIDAD</t>
  </si>
  <si>
    <t xml:space="preserve">tanaka </t>
  </si>
  <si>
    <t>rafa</t>
  </si>
  <si>
    <t>david fact2</t>
  </si>
  <si>
    <t xml:space="preserve">marcia </t>
  </si>
  <si>
    <t>acido fluorhidrico 10% Jeringa 2.5 ml FGM</t>
  </si>
  <si>
    <t>R</t>
  </si>
  <si>
    <t xml:space="preserve">aplicador de punta adhesiva goma silicona pegar </t>
  </si>
  <si>
    <t>Blanquiamiento HP Blue FGM 35% CONSULT X 6</t>
  </si>
  <si>
    <t xml:space="preserve">CLOREXIDINA </t>
  </si>
  <si>
    <t>Fresero color 40 huecos</t>
  </si>
  <si>
    <t xml:space="preserve">Mango spejo solo color  </t>
  </si>
  <si>
    <t>mini kg stick (adhesivo)</t>
  </si>
  <si>
    <t>pinza poner cadeneta instrumental ortodoncia</t>
  </si>
  <si>
    <t xml:space="preserve">proctector jeringa triple </t>
  </si>
  <si>
    <t>Resina fluida opallis flow  2 Gr A2</t>
  </si>
  <si>
    <t>Silano ultradent x 2</t>
  </si>
  <si>
    <t>RADIOGRAFIAS</t>
  </si>
  <si>
    <t xml:space="preserve">ABREBOCA X 2 </t>
  </si>
  <si>
    <t>OPALECENSE CASERO X16</t>
  </si>
  <si>
    <t xml:space="preserve">BOOST 40% X 2 </t>
  </si>
  <si>
    <t xml:space="preserve">ORTHOCEM UV </t>
  </si>
  <si>
    <t xml:space="preserve">canula esteril </t>
  </si>
  <si>
    <t>marcia</t>
  </si>
  <si>
    <t>total compra a c/u</t>
  </si>
  <si>
    <t>cmabio</t>
  </si>
  <si>
    <t xml:space="preserve">total en pesos </t>
  </si>
  <si>
    <t>ALAMBRE FELULA No. 0.30 MM 0.013</t>
  </si>
  <si>
    <t>ALAMBRE FELULA No. 0.18</t>
  </si>
  <si>
    <t>ALAMBRE FELULA No. 0.16</t>
  </si>
  <si>
    <t xml:space="preserve">BLANQUIAMIENTO BOST 40% ULTRADENT </t>
  </si>
  <si>
    <t>Marcador plastico caucho intrumental autoclavable</t>
  </si>
  <si>
    <t xml:space="preserve">LO QUE PIDO  2020  </t>
  </si>
  <si>
    <t>ALAMBRE ORTODONCIA # 6 (REF 55.06.060) / 0.024</t>
  </si>
  <si>
    <t>ALAMBRE ORTODONCIA # 7 (REF 55.06.070) / 0.028</t>
  </si>
  <si>
    <t>ALAMBRE ORTODONCIA # 8 (REF 55.06.080) / 0.032</t>
  </si>
  <si>
    <t>ALAMBRE ORTODONCIA # 9 (REF 55.06.090) / 0.036</t>
  </si>
  <si>
    <t xml:space="preserve">caucho para marcar instrumental color </t>
  </si>
  <si>
    <t xml:space="preserve">cubetas angelus </t>
  </si>
  <si>
    <t>ORTHOCEM UV FGM</t>
  </si>
  <si>
    <t>Resina LLIS FGM D - A3 dentina</t>
  </si>
  <si>
    <t xml:space="preserve">febrero </t>
  </si>
  <si>
    <t>cotizacion</t>
  </si>
  <si>
    <t>total en reales</t>
  </si>
  <si>
    <t>cambio</t>
  </si>
  <si>
    <t>Vr unitario en pesos</t>
  </si>
  <si>
    <t>total</t>
  </si>
  <si>
    <t>Barrera Gingival Top Dam blue FGM 2g</t>
  </si>
  <si>
    <t>marcador plastico instrumental de caucho</t>
  </si>
  <si>
    <t>Resina fluida opallis flow 2 Gr A2</t>
  </si>
  <si>
    <t xml:space="preserve">PEDIDO ENERO 2022 tatiana </t>
  </si>
  <si>
    <t xml:space="preserve">MARCIA </t>
  </si>
  <si>
    <t xml:space="preserve">DAVID </t>
  </si>
  <si>
    <t>acido fluorhidrico 10% porcelana jeringa 2.5 ml FGM</t>
  </si>
  <si>
    <t>Adhesivo AMBAR FGM 5 ML APS Universal</t>
  </si>
  <si>
    <t>Adhesivo AMBAR FGM 6 ML APS</t>
  </si>
  <si>
    <t>ALAMBRE ORTODONCIA # trenzado</t>
  </si>
  <si>
    <t>ARCO ERICH (PARA MODELO) rollo</t>
  </si>
  <si>
    <t>alcaramiento  Clariant 35% Angelus</t>
  </si>
  <si>
    <t>Blanquiamiento FGM 35% VERDE CONSULTORIO</t>
  </si>
  <si>
    <t>Blanquiamiento HP ROJO FGM 35% CONSULTORIO</t>
  </si>
  <si>
    <t xml:space="preserve">caucho para marcar instrumental colores sutidos tubo </t>
  </si>
  <si>
    <t>Hilo retractor ultra pack # 1 por 244cm</t>
  </si>
  <si>
    <t>Hilo retractor ultra pack # 0 por 244cm</t>
  </si>
  <si>
    <t>marcador plastico instrumental de caucho colores surtidos</t>
  </si>
  <si>
    <t xml:space="preserve">Opalustre Ultradent </t>
  </si>
  <si>
    <t>Resina fluida flow 2 Gr A2</t>
  </si>
  <si>
    <t xml:space="preserve">whiteness super endo FGM diente no vital </t>
  </si>
  <si>
    <t>PEDIDO MAYO 2022  leidy david</t>
  </si>
  <si>
    <t xml:space="preserve">PRODUCTO </t>
  </si>
  <si>
    <t>PRECIO DAVID EN REALES</t>
  </si>
  <si>
    <t xml:space="preserve">precio david EN PESOS </t>
  </si>
  <si>
    <t>colombia fgm</t>
  </si>
  <si>
    <t>PRECIO DE VENTA RAUL</t>
  </si>
  <si>
    <t>caucho para marcar instrumental colores sutidos x 120 u/d</t>
  </si>
  <si>
    <t xml:space="preserve">flete </t>
  </si>
  <si>
    <t>PEDIDO NOVIEMBRE 2022  leidy david</t>
  </si>
  <si>
    <t>PRECIO DAVID EN REALES en mayo /22</t>
  </si>
  <si>
    <t xml:space="preserve">real </t>
  </si>
  <si>
    <t>ALLCEM CORE VENEER traslucido   FGM</t>
  </si>
  <si>
    <t>Blanquiamiento HP BLUE FGM 35% CONSULTORIO</t>
  </si>
  <si>
    <t xml:space="preserve">OPALECENCE ENDO </t>
  </si>
  <si>
    <t>PEDIDO NOVIEMBRE 2022 TATIANA</t>
  </si>
  <si>
    <t>aplicador de punta adhesiva COTIZEN goma  x caja</t>
  </si>
  <si>
    <t>ALLCEM VENER FGM</t>
  </si>
  <si>
    <t>ALLCEM CORE TRANSLUCIDO PEAR CORPO DUPLO FGM</t>
  </si>
  <si>
    <t>no viene</t>
  </si>
  <si>
    <t>Blanqueamiento Whiteness perfect 16% FGM 50 JEREINGAS</t>
  </si>
  <si>
    <t>Blanqueamiento Whiteness perfect 16% FGM</t>
  </si>
  <si>
    <t>X JERINGAS</t>
  </si>
  <si>
    <t>Blanquiamiento FGM 35% ROJO Consultorio</t>
  </si>
  <si>
    <t>costoso</t>
  </si>
  <si>
    <t xml:space="preserve">TELA CAUCHO </t>
  </si>
  <si>
    <t xml:space="preserve">CAUCHO PARA MARCAR INSTRUMENTAL CAJA REDONDA - MORADO -FUSCIA - ROSADO - ROJO - AZUL OSCURO - </t>
  </si>
  <si>
    <t xml:space="preserve">CUBETA MORELLY # 8 </t>
  </si>
  <si>
    <t>CUBETA MORELLY # 7</t>
  </si>
  <si>
    <t xml:space="preserve">ALAMBRE TRENZADO </t>
  </si>
  <si>
    <t>LEIDY DAVID MAYO 2023</t>
  </si>
  <si>
    <t>PRECIO COL</t>
  </si>
  <si>
    <t>PRECIO EN $$$</t>
  </si>
  <si>
    <t xml:space="preserve">diferencia </t>
  </si>
  <si>
    <t>utilidad total</t>
  </si>
  <si>
    <t>Blanquiamiento FGM 35% CONSULTORIO VERDE</t>
  </si>
  <si>
    <t>fresero color 21 huecos</t>
  </si>
  <si>
    <t>fresero color 60 huecos</t>
  </si>
  <si>
    <t>Resina LLIS FGM A3 D</t>
  </si>
  <si>
    <t>Resina LLIS FGM A3 E</t>
  </si>
  <si>
    <t>Resina LLIS FGM A3,5 D</t>
  </si>
  <si>
    <t>Resina LLIS FGM A3,5 E</t>
  </si>
  <si>
    <t>Tela de Caucho Lencol 26 unidades individual</t>
  </si>
  <si>
    <t>ALLCEM CORE A2</t>
  </si>
  <si>
    <t>Marcador de instrumental Indusbello redondo</t>
  </si>
  <si>
    <t>Alambre Trensado</t>
  </si>
  <si>
    <t xml:space="preserve">aplicador de punta adhesiva goma - adhesive tip applicator COTISEN </t>
  </si>
  <si>
    <t xml:space="preserve">aplicador de punta adhesiva goma - adhesive tip applicator CITISEN </t>
  </si>
  <si>
    <t>Blanquiamiento FGM 35% CONSULTORIO ROJO</t>
  </si>
  <si>
    <t>OCT NOV 2023</t>
  </si>
  <si>
    <t>PESOS</t>
  </si>
  <si>
    <t>PRECIOS COL</t>
  </si>
  <si>
    <t>Adhesivo AMBAR FGM 4 ML APS</t>
  </si>
  <si>
    <t>total real</t>
  </si>
  <si>
    <t xml:space="preserve">RESINAS LLIS </t>
  </si>
  <si>
    <t>KITS CHARISMA</t>
  </si>
  <si>
    <t>TUBO PARA MARCAR INSTRUMENTAL (ENVIE COLORES)</t>
  </si>
  <si>
    <t>BANDAS X 10</t>
  </si>
  <si>
    <t>inv</t>
  </si>
  <si>
    <t>ped</t>
  </si>
  <si>
    <t xml:space="preserve">Charisma OB </t>
  </si>
  <si>
    <t>Charisma BL</t>
  </si>
  <si>
    <t>Charisma BLX</t>
  </si>
  <si>
    <t>Aclaramiento whiteness 16%</t>
  </si>
  <si>
    <t>Aclaramiento whiteness 22%</t>
  </si>
  <si>
    <t>- 42 OB</t>
  </si>
  <si>
    <t>- 7 BL</t>
  </si>
  <si>
    <t>- 3 BXL</t>
  </si>
  <si>
    <t>pedid</t>
  </si>
  <si>
    <t xml:space="preserve">BRASIL </t>
  </si>
  <si>
    <t>Unidad odontológica</t>
  </si>
  <si>
    <t xml:space="preserve">USA    </t>
  </si>
  <si>
    <t xml:space="preserve">Adaptador </t>
  </si>
  <si>
    <t xml:space="preserve">Liquido para esterilizar </t>
  </si>
  <si>
    <t xml:space="preserve">Aceite de pieza </t>
  </si>
  <si>
    <t xml:space="preserve">Básicos </t>
  </si>
  <si>
    <t xml:space="preserve">puntas de Scaler </t>
  </si>
  <si>
    <t xml:space="preserve">cepillos profilácticos </t>
  </si>
  <si>
    <t xml:space="preserve">tabletas de dientes A2 Y A3  anteriores </t>
  </si>
  <si>
    <t xml:space="preserve">Pieza de alta y baja </t>
  </si>
  <si>
    <t>C</t>
  </si>
  <si>
    <t xml:space="preserve">Abreboca especial </t>
  </si>
  <si>
    <t xml:space="preserve">Lámpara de fotocurado </t>
  </si>
  <si>
    <t xml:space="preserve">bata desechable </t>
  </si>
  <si>
    <t xml:space="preserve">tapabocas </t>
  </si>
  <si>
    <t xml:space="preserve">gorro </t>
  </si>
  <si>
    <t xml:space="preserve">gafas de aumento (visor led) </t>
  </si>
  <si>
    <t xml:space="preserve">Espátulas de resina </t>
  </si>
  <si>
    <t xml:space="preserve">Eyectores </t>
  </si>
  <si>
    <t>Felpas para brillar resinas pqñas</t>
  </si>
  <si>
    <t xml:space="preserve">discos polisher azdent </t>
  </si>
  <si>
    <t>Resinas miserium</t>
  </si>
  <si>
    <t xml:space="preserve">P60 A2 </t>
  </si>
  <si>
    <t xml:space="preserve">puntas de arkanzas </t>
  </si>
  <si>
    <t xml:space="preserve">kit de fresas de diatech interproximal </t>
  </si>
  <si>
    <t xml:space="preserve">Lijas metálicas </t>
  </si>
  <si>
    <t xml:space="preserve">Tira de Milar </t>
  </si>
  <si>
    <t xml:space="preserve">Punta de hans </t>
  </si>
  <si>
    <t xml:space="preserve">Tembond </t>
  </si>
  <si>
    <t xml:space="preserve">Pimpollo eco </t>
  </si>
  <si>
    <t xml:space="preserve">Gasas ESTÉRILES </t>
  </si>
  <si>
    <t xml:space="preserve">Alcohol </t>
  </si>
  <si>
    <t xml:space="preserve">Papel de articular </t>
  </si>
  <si>
    <t>Cubetas talla  L  y M par</t>
  </si>
  <si>
    <t xml:space="preserve">Silicona porcion </t>
  </si>
  <si>
    <t>Ácido desmineralizante SDI</t>
  </si>
  <si>
    <t xml:space="preserve">Ácido fluorhídrico Eufar </t>
  </si>
  <si>
    <t xml:space="preserve">silano Maquira </t>
  </si>
  <si>
    <t xml:space="preserve">Adhesivo universal Bisco </t>
  </si>
  <si>
    <t>microbrush  Tarro</t>
  </si>
  <si>
    <t>Discos negros caja x 50</t>
  </si>
  <si>
    <t xml:space="preserve">cinta teflón </t>
  </si>
  <si>
    <t>blanqueamiento Rojo FGM</t>
  </si>
  <si>
    <t xml:space="preserve">acrílico polvo A1 y A2 </t>
  </si>
  <si>
    <t xml:space="preserve">acrílico líquido 110ml </t>
  </si>
  <si>
    <t>Kit pulido amarillo ECO</t>
  </si>
  <si>
    <t xml:space="preserve">Fresas eco </t>
  </si>
  <si>
    <t xml:space="preserve">Resinas Z350 </t>
  </si>
  <si>
    <t xml:space="preserve">Mandril metalico super sanp </t>
  </si>
  <si>
    <t xml:space="preserve">Fresas diatech </t>
  </si>
  <si>
    <t xml:space="preserve">Theracal </t>
  </si>
  <si>
    <t xml:space="preserve">Dappen de cacho </t>
  </si>
  <si>
    <t xml:space="preserve">Campos </t>
  </si>
  <si>
    <t xml:space="preserve">Acetatos </t>
  </si>
  <si>
    <t>Articulo en alquiler</t>
  </si>
  <si>
    <t>Marca</t>
  </si>
  <si>
    <t>Numero de lote</t>
  </si>
  <si>
    <t>Numero de alquiler</t>
  </si>
  <si>
    <t>Arco</t>
  </si>
  <si>
    <t>B-A</t>
  </si>
  <si>
    <t>ALQUILER</t>
  </si>
  <si>
    <t>WM</t>
  </si>
  <si>
    <t>AGOSTO 05/22</t>
  </si>
  <si>
    <t>DAC</t>
  </si>
  <si>
    <t>GNATUS</t>
  </si>
  <si>
    <t>3M</t>
  </si>
  <si>
    <t>IMP</t>
  </si>
  <si>
    <t>ALQUILER ANGELICA GUZMAN</t>
  </si>
  <si>
    <t>ARTICULADOR</t>
  </si>
  <si>
    <t>ARCO</t>
  </si>
  <si>
    <t>TENEDOR</t>
  </si>
  <si>
    <t>NASIO</t>
  </si>
  <si>
    <t>PISTOLA RESINA</t>
  </si>
  <si>
    <t>PISTOLA SILICONA</t>
  </si>
  <si>
    <t>PISTOLA LUXATEM</t>
  </si>
  <si>
    <t>TENEDOR ESTERIL</t>
  </si>
  <si>
    <t>TUMBA CORONA EN T DELTA</t>
  </si>
  <si>
    <t>MARTILLO TUMBA PUENTE</t>
  </si>
  <si>
    <t>CANULA METALICA</t>
  </si>
  <si>
    <t>GANCHO DE APICE</t>
  </si>
  <si>
    <t>CALIBRADOR DE CERA</t>
  </si>
  <si>
    <t>CALIBRADOR DE METAL</t>
  </si>
  <si>
    <t>ALQUILER MAGDA ORTIZ</t>
  </si>
  <si>
    <t>PUNTA DE CAVITRON</t>
  </si>
  <si>
    <t>LOCKER</t>
  </si>
  <si>
    <t>POSICIONADOR</t>
  </si>
  <si>
    <t>PLATINA DE FOX</t>
  </si>
  <si>
    <t>para venta</t>
  </si>
  <si>
    <t>wm</t>
  </si>
  <si>
    <t>SN 008655</t>
  </si>
  <si>
    <t>SN 008655 (2)</t>
  </si>
  <si>
    <t>Articulador</t>
  </si>
  <si>
    <t>SN 70392</t>
  </si>
  <si>
    <t>SN013059</t>
  </si>
  <si>
    <t>SN 047495</t>
  </si>
  <si>
    <t>SN030128</t>
  </si>
  <si>
    <t>sn019494</t>
  </si>
  <si>
    <t>SN 120612</t>
  </si>
  <si>
    <t>SN70421</t>
  </si>
  <si>
    <t>SN79418</t>
  </si>
  <si>
    <t>SN055697</t>
  </si>
  <si>
    <t>SN 051603</t>
  </si>
  <si>
    <t>SN008665</t>
  </si>
  <si>
    <t>SN 94637</t>
  </si>
  <si>
    <t>SN 85600</t>
  </si>
  <si>
    <t>SN 169877</t>
  </si>
  <si>
    <t>SN 026202</t>
  </si>
  <si>
    <t>SN004069</t>
  </si>
  <si>
    <t>SN 004069</t>
  </si>
  <si>
    <t>SN005040</t>
  </si>
  <si>
    <t>SN 005040</t>
  </si>
  <si>
    <t>SN169018 (2)</t>
  </si>
  <si>
    <t>SN169018</t>
  </si>
  <si>
    <t>SN 94633</t>
  </si>
  <si>
    <t>SN 91896</t>
  </si>
  <si>
    <t>SN 171876</t>
  </si>
  <si>
    <t>SN 054944</t>
  </si>
  <si>
    <t>SN 062927</t>
  </si>
  <si>
    <t>SN95100</t>
  </si>
  <si>
    <t>SN 185659</t>
  </si>
  <si>
    <t>SN211963</t>
  </si>
  <si>
    <t>SN32015</t>
  </si>
  <si>
    <t>SN 051611</t>
  </si>
  <si>
    <t>SN186447</t>
  </si>
  <si>
    <t>SN47512</t>
  </si>
  <si>
    <t>SN055823</t>
  </si>
  <si>
    <t>SN 063120</t>
  </si>
  <si>
    <t>SN 76241</t>
  </si>
  <si>
    <t>SN004595</t>
  </si>
  <si>
    <t>SN 91903</t>
  </si>
  <si>
    <t>SN 81903</t>
  </si>
  <si>
    <t>SN76855</t>
  </si>
  <si>
    <t xml:space="preserve">Articulador </t>
  </si>
  <si>
    <t>SN 040608</t>
  </si>
  <si>
    <t>SN 185895</t>
  </si>
  <si>
    <t>SN 237935</t>
  </si>
  <si>
    <t>BRAYAN GONZALEZ</t>
  </si>
  <si>
    <t>SN 264136</t>
  </si>
  <si>
    <t>SN212297</t>
  </si>
  <si>
    <t>JEININ RAMIREZ</t>
  </si>
  <si>
    <t>SN243114</t>
  </si>
  <si>
    <t>SN038504</t>
  </si>
  <si>
    <t>S/N</t>
  </si>
  <si>
    <t>315m11</t>
  </si>
  <si>
    <t>315M11</t>
  </si>
  <si>
    <t>56631 /137525</t>
  </si>
  <si>
    <t>VALENTINA CARDENAS</t>
  </si>
  <si>
    <t>JONATHA VEGA</t>
  </si>
  <si>
    <t>Nasion</t>
  </si>
  <si>
    <t>Pistola de resina</t>
  </si>
  <si>
    <t>Importada</t>
  </si>
  <si>
    <t xml:space="preserve">Pistola de silicona </t>
  </si>
  <si>
    <t>luxatem</t>
  </si>
  <si>
    <t>Tenedor</t>
  </si>
  <si>
    <t>ARTICULO EN ALQUILER</t>
  </si>
  <si>
    <t>MARCA</t>
  </si>
  <si>
    <t xml:space="preserve">NUMERO </t>
  </si>
  <si>
    <t>FECHA LLAMADA</t>
  </si>
  <si>
    <t>DIAS</t>
  </si>
  <si>
    <t xml:space="preserve">karen sanchez </t>
  </si>
  <si>
    <t>BIOART</t>
  </si>
  <si>
    <t>SN94633</t>
  </si>
  <si>
    <t>ya entrego pero le cobramos 350,000</t>
  </si>
  <si>
    <t>psd</t>
  </si>
  <si>
    <t xml:space="preserve">jose bejarano </t>
  </si>
  <si>
    <t>ARCO COMPLETO</t>
  </si>
  <si>
    <t>#1</t>
  </si>
  <si>
    <t xml:space="preserve">Karen sanchez </t>
  </si>
  <si>
    <t xml:space="preserve">pieza baja </t>
  </si>
  <si>
    <t xml:space="preserve">confirmo ante </t>
  </si>
  <si>
    <t xml:space="preserve">punta recta </t>
  </si>
  <si>
    <t xml:space="preserve">micromotor </t>
  </si>
  <si>
    <t xml:space="preserve">pieza alta </t>
  </si>
  <si>
    <t>applenenta</t>
  </si>
  <si>
    <t>h2106020249</t>
  </si>
  <si>
    <t xml:space="preserve">david agudelo </t>
  </si>
  <si>
    <t>platina de fox</t>
  </si>
  <si>
    <t>str</t>
  </si>
  <si>
    <t>valentina cuellar</t>
  </si>
  <si>
    <t xml:space="preserve">articulador </t>
  </si>
  <si>
    <t>arco com</t>
  </si>
  <si>
    <t>com: 111 te: sn n: 109</t>
  </si>
  <si>
    <t xml:space="preserve">melisa aragon </t>
  </si>
  <si>
    <t xml:space="preserve">posicionador </t>
  </si>
  <si>
    <t xml:space="preserve">juan david puentes </t>
  </si>
  <si>
    <t>nicolas romero</t>
  </si>
  <si>
    <t xml:space="preserve">leidy montoya </t>
  </si>
  <si>
    <t xml:space="preserve">articualdor </t>
  </si>
  <si>
    <t>?</t>
  </si>
  <si>
    <t xml:space="preserve">daniela fernandez </t>
  </si>
  <si>
    <t>lampara</t>
  </si>
  <si>
    <t>base gris</t>
  </si>
  <si>
    <t xml:space="preserve">confirmo </t>
  </si>
  <si>
    <t xml:space="preserve">PAGOS </t>
  </si>
  <si>
    <t>OCTUBRE</t>
  </si>
  <si>
    <t>NOVIEMBRE</t>
  </si>
  <si>
    <t>DICIEMBRE</t>
  </si>
  <si>
    <t>ENERO-21</t>
  </si>
  <si>
    <t xml:space="preserve">FEBRERO </t>
  </si>
  <si>
    <t xml:space="preserve">MARZO </t>
  </si>
  <si>
    <t xml:space="preserve">ABRIL </t>
  </si>
  <si>
    <t xml:space="preserve">MAYO </t>
  </si>
  <si>
    <t xml:space="preserve">CRISTIAN </t>
  </si>
  <si>
    <t>JESICA</t>
  </si>
  <si>
    <t>PORFIRIO</t>
  </si>
  <si>
    <t>EDUARDO</t>
  </si>
  <si>
    <t xml:space="preserve">UNIDENTAL </t>
  </si>
  <si>
    <t xml:space="preserve">GRANADA </t>
  </si>
  <si>
    <t xml:space="preserve">RAUL </t>
  </si>
  <si>
    <t>LOCAL COMIDA</t>
  </si>
  <si>
    <t xml:space="preserve">YULY </t>
  </si>
  <si>
    <t xml:space="preserve">MAO </t>
  </si>
  <si>
    <t>MIREYA</t>
  </si>
  <si>
    <t xml:space="preserve">CHIMINANGOS </t>
  </si>
  <si>
    <t xml:space="preserve">LEIDY </t>
  </si>
  <si>
    <t xml:space="preserve">VALLE D LILI </t>
  </si>
  <si>
    <t xml:space="preserve">EMILY </t>
  </si>
  <si>
    <t xml:space="preserve">JAMUNDI </t>
  </si>
  <si>
    <t xml:space="preserve">ANTONIO </t>
  </si>
  <si>
    <t>fresa carburo 245  FG Tallo Corto</t>
  </si>
  <si>
    <t>fresa carburo 330 FG Tallo Corto</t>
  </si>
  <si>
    <t>FRESA CARBURO FG 700 L  Tallo Corto pediatrica</t>
  </si>
  <si>
    <t>fresa carburo N° 1 FG Tallo Corto  pediatrica</t>
  </si>
  <si>
    <t>fresa carburo N° 1 P FG Tallo Corto  pediatrica</t>
  </si>
  <si>
    <t xml:space="preserve">fresa carburo N° 1 P Transmetalica FG Tallo Corto  </t>
  </si>
  <si>
    <t>fresa carburo N° 10 FG  Tallo Corto</t>
  </si>
  <si>
    <t>fresa carburo N° 10 HP Tallo largo</t>
  </si>
  <si>
    <t>fresa carburo N° 2P FG Tallo Corto</t>
  </si>
  <si>
    <t>fresa carburo N° 7 FG tallo largo</t>
  </si>
  <si>
    <t>Kits y piezas de mano</t>
  </si>
  <si>
    <t xml:space="preserve">COMPRA </t>
  </si>
  <si>
    <t>invent</t>
  </si>
  <si>
    <t>pedido norte</t>
  </si>
  <si>
    <t>pedido sur</t>
  </si>
  <si>
    <t>fecha</t>
  </si>
  <si>
    <t xml:space="preserve">Ceramica - push boton </t>
  </si>
  <si>
    <t xml:space="preserve">luz led - 3 de irrigacion </t>
  </si>
  <si>
    <t>torque grande.</t>
  </si>
  <si>
    <t>Ceramica – push boton</t>
  </si>
  <si>
    <t>3 de irrigación</t>
  </si>
  <si>
    <t>torque grande</t>
  </si>
  <si>
    <t xml:space="preserve">Push boton </t>
  </si>
  <si>
    <t xml:space="preserve">1 de irrigacon </t>
  </si>
  <si>
    <t>no volvio</t>
  </si>
  <si>
    <t xml:space="preserve">torque grande </t>
  </si>
  <si>
    <t xml:space="preserve">Pan air - push boton </t>
  </si>
  <si>
    <t xml:space="preserve">1 de irrigacion </t>
  </si>
  <si>
    <t xml:space="preserve">Pan air - con llave </t>
  </si>
  <si>
    <t xml:space="preserve">Punta recta </t>
  </si>
  <si>
    <t xml:space="preserve">Contra angulo </t>
  </si>
  <si>
    <t xml:space="preserve">Micromotor </t>
  </si>
  <si>
    <t xml:space="preserve">kit de baja </t>
  </si>
  <si>
    <t>kit estudiantil ( DOS PIEZAS ALTA + KIT BAJA)</t>
  </si>
  <si>
    <t xml:space="preserve">Scaler neumatico </t>
  </si>
  <si>
    <t xml:space="preserve">kavo - ceramica </t>
  </si>
  <si>
    <t xml:space="preserve">pana max plus </t>
  </si>
  <si>
    <t xml:space="preserve">ceramica - 8 de irrigacion </t>
  </si>
  <si>
    <t xml:space="preserve">kit de baja - superior nsk </t>
  </si>
  <si>
    <t>irrigacion interna ( se conecta a la pieza de alta)</t>
  </si>
  <si>
    <t>KIT W Y H</t>
  </si>
  <si>
    <t xml:space="preserve">ceramica - 5 de irrigacion </t>
  </si>
  <si>
    <t xml:space="preserve">ceramica - 1 de irrigacion </t>
  </si>
  <si>
    <t xml:space="preserve">ALTA W Y H </t>
  </si>
  <si>
    <t>5 LED</t>
  </si>
  <si>
    <t xml:space="preserve">KIT MALETIN </t>
  </si>
  <si>
    <t xml:space="preserve">1 ALTA#1  + 1 BAJA  + 1ALTA  45° + 1 SCALER </t>
  </si>
  <si>
    <t>BIODENT</t>
  </si>
  <si>
    <t xml:space="preserve">INVENTARIO </t>
  </si>
  <si>
    <t>LO Q DEBE HABER (STOCK)</t>
  </si>
  <si>
    <t>ANTERIORES / SUPERIORES</t>
  </si>
  <si>
    <t>ANTERIORES / INFERIORES</t>
  </si>
  <si>
    <t>Molde</t>
  </si>
  <si>
    <t>A1</t>
  </si>
  <si>
    <t>A2</t>
  </si>
  <si>
    <t>A3</t>
  </si>
  <si>
    <t>A3.5</t>
  </si>
  <si>
    <t>B2</t>
  </si>
  <si>
    <t>2D</t>
  </si>
  <si>
    <t>3D</t>
  </si>
  <si>
    <t>el 30 no lo manejo sirve 32?</t>
  </si>
  <si>
    <t>3R</t>
  </si>
  <si>
    <t>A24</t>
  </si>
  <si>
    <t>A24 : no aparece en el catalogo</t>
  </si>
  <si>
    <t>A25</t>
  </si>
  <si>
    <t>no aparece posterior para esta referencia</t>
  </si>
  <si>
    <t>A26</t>
  </si>
  <si>
    <t>1N</t>
  </si>
  <si>
    <t>2N</t>
  </si>
  <si>
    <t>3N</t>
  </si>
  <si>
    <t>4N</t>
  </si>
  <si>
    <t>2P</t>
  </si>
  <si>
    <t>3P</t>
  </si>
  <si>
    <t>3P-264</t>
  </si>
  <si>
    <t>4P</t>
  </si>
  <si>
    <t>1H</t>
  </si>
  <si>
    <t>4H</t>
  </si>
  <si>
    <t>136-4H</t>
  </si>
  <si>
    <t>137-1H</t>
  </si>
  <si>
    <t>267-4P</t>
  </si>
  <si>
    <t xml:space="preserve">          </t>
  </si>
  <si>
    <t>POSTERIORES / SUPERIORES</t>
  </si>
  <si>
    <t>POSTERIORES / INFERIORES</t>
  </si>
  <si>
    <t>32L</t>
  </si>
  <si>
    <t>34L</t>
  </si>
  <si>
    <t>PF</t>
  </si>
  <si>
    <t>total inven tario</t>
  </si>
  <si>
    <t>total q debe haber</t>
  </si>
  <si>
    <t>total pedido</t>
  </si>
  <si>
    <t>ant sup</t>
  </si>
  <si>
    <t>sobrantes = total pedido - el mismo vr despues del invent y OJO antes de descontar los negativos Y ANTES DE CAMBIAR LOS 1 Y 2 X 3</t>
  </si>
  <si>
    <t>ant inf</t>
  </si>
  <si>
    <t>post sup</t>
  </si>
  <si>
    <t>post inf</t>
  </si>
  <si>
    <t>valor de inventario dientes</t>
  </si>
  <si>
    <t>valor total de Dientes</t>
  </si>
  <si>
    <t>valor del pedido de dientes</t>
  </si>
  <si>
    <t>OJO PASAR PEDIDO A CONTROL</t>
  </si>
  <si>
    <t>sobrante</t>
  </si>
  <si>
    <t>oct</t>
  </si>
  <si>
    <t>nov</t>
  </si>
  <si>
    <t>EN/20</t>
  </si>
  <si>
    <t>ENE</t>
  </si>
  <si>
    <t>feb</t>
  </si>
  <si>
    <t>mar</t>
  </si>
  <si>
    <t xml:space="preserve">Jun </t>
  </si>
  <si>
    <t>sept</t>
  </si>
  <si>
    <t xml:space="preserve">sept </t>
  </si>
  <si>
    <t xml:space="preserve">oct </t>
  </si>
  <si>
    <t xml:space="preserve">nov </t>
  </si>
  <si>
    <t>EN/21</t>
  </si>
  <si>
    <t>Ene</t>
  </si>
  <si>
    <t>abri</t>
  </si>
  <si>
    <t xml:space="preserve">junio </t>
  </si>
  <si>
    <t>JUL</t>
  </si>
  <si>
    <t>AGO</t>
  </si>
  <si>
    <t>Oct</t>
  </si>
  <si>
    <t>Nov</t>
  </si>
  <si>
    <t xml:space="preserve">Nov </t>
  </si>
  <si>
    <t>EN/22</t>
  </si>
  <si>
    <t>mzo</t>
  </si>
  <si>
    <t>Abril</t>
  </si>
  <si>
    <t>mayo</t>
  </si>
  <si>
    <t xml:space="preserve">Mayo </t>
  </si>
  <si>
    <t xml:space="preserve">JUN </t>
  </si>
  <si>
    <t>subio x muelas</t>
  </si>
  <si>
    <t xml:space="preserve">OCT </t>
  </si>
  <si>
    <t>NOV</t>
  </si>
  <si>
    <t>sandra</t>
  </si>
  <si>
    <t>EN/23</t>
  </si>
  <si>
    <t>MRZ</t>
  </si>
  <si>
    <t>ABR</t>
  </si>
  <si>
    <t>MAY</t>
  </si>
  <si>
    <t>SEPT</t>
  </si>
  <si>
    <t>aumento x cajas de 20</t>
  </si>
  <si>
    <t>OCT</t>
  </si>
  <si>
    <t xml:space="preserve">mayo </t>
  </si>
  <si>
    <t>dic</t>
  </si>
  <si>
    <t>FB/25</t>
  </si>
  <si>
    <t>Agto 22</t>
  </si>
  <si>
    <t>Sept 10</t>
  </si>
  <si>
    <t>octu 2</t>
  </si>
  <si>
    <t>octu 22</t>
  </si>
  <si>
    <t>octb 30</t>
  </si>
  <si>
    <t>novb 13</t>
  </si>
  <si>
    <t>ENE 14</t>
  </si>
  <si>
    <t>sept 7</t>
  </si>
  <si>
    <t>sept 26</t>
  </si>
  <si>
    <t>octb 13</t>
  </si>
  <si>
    <t>novb 1</t>
  </si>
  <si>
    <t>novb 26</t>
  </si>
  <si>
    <t>ener 25</t>
  </si>
  <si>
    <t>Abril 7</t>
  </si>
  <si>
    <t>Junio 3</t>
  </si>
  <si>
    <t>Julio 1</t>
  </si>
  <si>
    <t>Agosto 13</t>
  </si>
  <si>
    <t>sep 25</t>
  </si>
  <si>
    <t>Sup</t>
  </si>
  <si>
    <t>poco</t>
  </si>
  <si>
    <t xml:space="preserve">mucho </t>
  </si>
  <si>
    <t>mas</t>
  </si>
  <si>
    <t>mucho</t>
  </si>
  <si>
    <t>Inf</t>
  </si>
  <si>
    <t xml:space="preserve">PROVEEDOR </t>
  </si>
  <si>
    <t xml:space="preserve">TELEFONO </t>
  </si>
  <si>
    <t xml:space="preserve">Horario Atención </t>
  </si>
  <si>
    <t>661 84 35</t>
  </si>
  <si>
    <t>Calle 13 Norte No 3- 12</t>
  </si>
  <si>
    <t>L - V  7:00 a 5:30  S- 7:00 a 12:00</t>
  </si>
  <si>
    <t>AFR S.A.S</t>
  </si>
  <si>
    <t>Cra 67 N° 1B-35</t>
  </si>
  <si>
    <t>L - V 8:00 a 6:00 pm</t>
  </si>
  <si>
    <t>AQUILES LLINAS C.</t>
  </si>
  <si>
    <t>Cra 38No 4C-72</t>
  </si>
  <si>
    <t>L - V 7:30 a 12 :30 de 1:30 a 5:30</t>
  </si>
  <si>
    <t>Cra 7 A No122-0</t>
  </si>
  <si>
    <t>cel</t>
  </si>
  <si>
    <t>AV 6 Oeste N24A-16</t>
  </si>
  <si>
    <t>L - V 8:00 a 5:00 pm</t>
  </si>
  <si>
    <t>CALI PLASTICOS</t>
  </si>
  <si>
    <t>8851477-78</t>
  </si>
  <si>
    <t xml:space="preserve">Cll 16 # 8A -07 </t>
  </si>
  <si>
    <t>L - V 8:00 a 12:00 _2:00 a 6:00 S 8 a 1</t>
  </si>
  <si>
    <t>CARLOS (hijo consuelo)</t>
  </si>
  <si>
    <t xml:space="preserve">COMERCIALIZ LOS PAISAS CAMBRE </t>
  </si>
  <si>
    <t>885 90 30</t>
  </si>
  <si>
    <t>L-V 8:00 a 6:30 PM</t>
  </si>
  <si>
    <t>COMERCIALIZADORA ZENDENT</t>
  </si>
  <si>
    <t>Cra 44 22 sur- 51 Envigado</t>
  </si>
  <si>
    <t>COVINYL DEL VALLE   (cristaflex)</t>
  </si>
  <si>
    <t xml:space="preserve">tranversal  29 #17-bis 42 </t>
  </si>
  <si>
    <t>L-V 7:30 a 12:00_1:00 a 5:00 S 7:30 a 1:00</t>
  </si>
  <si>
    <t xml:space="preserve">CRISTAPLAST </t>
  </si>
  <si>
    <t>316-7428553 / 036 7463331</t>
  </si>
  <si>
    <t>vende cristaflex (armenia)</t>
  </si>
  <si>
    <t>venta telefonica</t>
  </si>
  <si>
    <t>3809066-3176480521</t>
  </si>
  <si>
    <t>AV 4 N No.13-03</t>
  </si>
  <si>
    <t>DENTAL SUPER</t>
  </si>
  <si>
    <t>557 76 82</t>
  </si>
  <si>
    <t>Cr23 B 7-18</t>
  </si>
  <si>
    <t>L-V 8:00 a 5:00 S 9:00 a 1:00</t>
  </si>
  <si>
    <t>DISALF JORGE MARIO</t>
  </si>
  <si>
    <t>EDUARDO DAZA</t>
  </si>
  <si>
    <t>667 98 29</t>
  </si>
  <si>
    <t>Cl 12 N 3 N-28</t>
  </si>
  <si>
    <t>L-V 8:00 a 1:00 _2:00 a 5:45 S 9:30 a 12:00</t>
  </si>
  <si>
    <t>485 36 50 ext 121-6671845  FRANCI</t>
  </si>
  <si>
    <t>Cl 23 AN 5 AN-30</t>
  </si>
  <si>
    <t>HOLANDINA ADRIANA</t>
  </si>
  <si>
    <t>HOYOS TOOLS</t>
  </si>
  <si>
    <t xml:space="preserve">Cll 17 # 6- 30 san nicolas </t>
  </si>
  <si>
    <t>L-V 8:15 a 6:15 S 8:30 a 1:00</t>
  </si>
  <si>
    <t>INGRID JARAMILLO ( LA MUELA)</t>
  </si>
  <si>
    <t>3204566073 - 6340022</t>
  </si>
  <si>
    <t>Cll 34 No 33 - 27</t>
  </si>
  <si>
    <t>JAIME VILLEGAS</t>
  </si>
  <si>
    <t>3208704471 (1) 7032933</t>
  </si>
  <si>
    <t xml:space="preserve">JAIRO TAPABOCAS </t>
  </si>
  <si>
    <t>JORGE OMAR GONZALES</t>
  </si>
  <si>
    <t>3108194570 JHON JAIRO</t>
  </si>
  <si>
    <t>LA 15</t>
  </si>
  <si>
    <t xml:space="preserve">Cra 9 No 15- 11 esquina </t>
  </si>
  <si>
    <t>3204566073 - 3205624654</t>
  </si>
  <si>
    <t>MONICA MEJIA su dental  M Y M</t>
  </si>
  <si>
    <t xml:space="preserve">Cra 27 # 25 - 21 </t>
  </si>
  <si>
    <t>L-V 8:00a12:00_2:00a6:00 S 8:30 a 1:00</t>
  </si>
  <si>
    <t>NEW STETIC (georgina)</t>
  </si>
  <si>
    <t>Cra 37 A No 5F -19 OF 201</t>
  </si>
  <si>
    <t>NURIA (Garhox,starvit,masterdent)</t>
  </si>
  <si>
    <t>3006082440-3336358</t>
  </si>
  <si>
    <t xml:space="preserve">OXXI </t>
  </si>
  <si>
    <t>PARRA ACOSTA</t>
  </si>
  <si>
    <t>4009900-5529006</t>
  </si>
  <si>
    <t>CR 37 4 B 14</t>
  </si>
  <si>
    <t>L-V 7:30 a 6:00 S 8:00 a 1:00</t>
  </si>
  <si>
    <t>PLASTI PAT</t>
  </si>
  <si>
    <t>3188564463-3154429351</t>
  </si>
  <si>
    <t>Cll 48C Sur 43A 249 Envigado</t>
  </si>
  <si>
    <t>QUIRUDENT (alirio)</t>
  </si>
  <si>
    <t>824 40 84</t>
  </si>
  <si>
    <t>Cr7 6-45 POPAYAN</t>
  </si>
  <si>
    <t>STIVEN</t>
  </si>
  <si>
    <t>TALLER DEL ARTICULADOR</t>
  </si>
  <si>
    <t>TERVEL</t>
  </si>
  <si>
    <t>2732248-3163209074</t>
  </si>
  <si>
    <t>Cll 52 No 42B-24</t>
  </si>
  <si>
    <t>TROPICALI Maria elvia</t>
  </si>
  <si>
    <t>Cll 15 15-115 bodega yumbo</t>
  </si>
  <si>
    <t xml:space="preserve">UPEGUI  </t>
  </si>
  <si>
    <t>VIDRIOS</t>
  </si>
  <si>
    <t>8893448-8959954</t>
  </si>
  <si>
    <t>WILSON MONCADA</t>
  </si>
  <si>
    <t>371 57 51-3174009156</t>
  </si>
  <si>
    <t xml:space="preserve">15 DIAS </t>
  </si>
  <si>
    <t>5 %</t>
  </si>
  <si>
    <t xml:space="preserve">MASTERDENT </t>
  </si>
  <si>
    <t xml:space="preserve">8 DIAS </t>
  </si>
  <si>
    <t>3 %</t>
  </si>
  <si>
    <t xml:space="preserve">NEW STETIC </t>
  </si>
  <si>
    <t xml:space="preserve">5 DIAS </t>
  </si>
  <si>
    <t xml:space="preserve">7 DIAS </t>
  </si>
  <si>
    <t>7 DIAS</t>
  </si>
  <si>
    <t>6 %</t>
  </si>
  <si>
    <t>15 DIAS</t>
  </si>
  <si>
    <t>7 %</t>
  </si>
  <si>
    <t xml:space="preserve">A F R </t>
  </si>
  <si>
    <t>Acondicionador Tejido Coe Soft</t>
  </si>
  <si>
    <t>Adhesivo de cubeta</t>
  </si>
  <si>
    <t>Adhesivo de resina</t>
  </si>
  <si>
    <t>Adseal</t>
  </si>
  <si>
    <t>Arco con tenedor o nasion</t>
  </si>
  <si>
    <t>Arco completo</t>
  </si>
  <si>
    <t>Baja Puente</t>
  </si>
  <si>
    <t>Calibrador de metal</t>
  </si>
  <si>
    <t>Cavitron</t>
  </si>
  <si>
    <t>Cubetas</t>
  </si>
  <si>
    <t>Empuje de oro</t>
  </si>
  <si>
    <t>Empuje de plata</t>
  </si>
  <si>
    <t>Endo ice</t>
  </si>
  <si>
    <t>Edta</t>
  </si>
  <si>
    <t>Lampara</t>
  </si>
  <si>
    <t>Mufla grande</t>
  </si>
  <si>
    <t>Mufla pequeña</t>
  </si>
  <si>
    <t>O-bite o registro de mordida</t>
  </si>
  <si>
    <t>Pistola para o-bite</t>
  </si>
  <si>
    <t>Platina de fox</t>
  </si>
  <si>
    <t>Posicionador</t>
  </si>
  <si>
    <t>Punta de scaler</t>
  </si>
  <si>
    <t xml:space="preserve">Resina </t>
  </si>
  <si>
    <t>Resina Relix U200</t>
  </si>
  <si>
    <t>Acido Fluoridrico</t>
  </si>
  <si>
    <t xml:space="preserve">NOMBRE Y CEL </t>
  </si>
  <si>
    <t>OBJETO A AQLUILAR Y NUMERO</t>
  </si>
  <si>
    <t>PAGO</t>
  </si>
  <si>
    <t xml:space="preserve">FIRMA DE  SALIDA </t>
  </si>
  <si>
    <t xml:space="preserve">FIRMA DE DEVOLUCION </t>
  </si>
  <si>
    <t>FECHA ENTREGA</t>
  </si>
  <si>
    <t>NOMBRE Y CELULAR</t>
  </si>
  <si>
    <t>Q ARTICULOS DEJA Y SERIE</t>
  </si>
  <si>
    <t xml:space="preserve">FIRMA ENTREGA AL TECNICO </t>
  </si>
  <si>
    <t>QUE SE LE VA A HACER A LA PIEZA?</t>
  </si>
  <si>
    <t xml:space="preserve">FIRMA RECIBIDO DEL  TECNICO </t>
  </si>
  <si>
    <t>PAGO EL ESTU DIANTE?</t>
  </si>
  <si>
    <t>OBSERVACIONES</t>
  </si>
  <si>
    <t xml:space="preserve">NOMBRE Y TELEFONO </t>
  </si>
  <si>
    <t xml:space="preserve">ENCARGO </t>
  </si>
  <si>
    <t>NOMBRE Y APELLIDO</t>
  </si>
  <si>
    <t>UNIDENTAL NO ROBAR</t>
  </si>
  <si>
    <t>MONOMERO ACRILICO LIQUIDO</t>
  </si>
  <si>
    <t>POLIMERO ACRILICO POLVO</t>
  </si>
  <si>
    <t>KIT</t>
  </si>
  <si>
    <t>DUO LINK</t>
  </si>
  <si>
    <t>ULTRADENT</t>
  </si>
  <si>
    <t>ACIDO FLUORHIDRICO - SILANO</t>
  </si>
  <si>
    <t>INDIVIDUAL</t>
  </si>
  <si>
    <t>CAJA</t>
  </si>
  <si>
    <t>55 ML</t>
  </si>
  <si>
    <t xml:space="preserve">60 GR </t>
  </si>
  <si>
    <t>DIENTE</t>
  </si>
  <si>
    <t>Coronas</t>
  </si>
  <si>
    <t>Corona</t>
  </si>
  <si>
    <t xml:space="preserve">Acido Fluorhidrico </t>
  </si>
  <si>
    <t>Acido fluorhidrico 10% Jeringa 2.5 ml Angelus</t>
  </si>
  <si>
    <t>Sutura Seda</t>
  </si>
  <si>
    <t>Postes</t>
  </si>
  <si>
    <t>Postes (Todos)</t>
  </si>
  <si>
    <t>Blanqueamiento Opalescence Boots 40%</t>
  </si>
  <si>
    <t>Sutura Polypropilene Nylon</t>
  </si>
  <si>
    <t>110ML</t>
  </si>
  <si>
    <t>125 GR</t>
  </si>
  <si>
    <t>Incrustaciones</t>
  </si>
  <si>
    <t>Barrera Gingival</t>
  </si>
  <si>
    <t>acido fluorhidrico 10% jeringa 2.5 ml FGM</t>
  </si>
  <si>
    <t>Sutura Vicryl Poliglicolico</t>
  </si>
  <si>
    <t>250 ML</t>
  </si>
  <si>
    <t>Bandas</t>
  </si>
  <si>
    <t>Concepsis</t>
  </si>
  <si>
    <t>ACIDO FLUORHIDRICO 3ML (JERINGA)</t>
  </si>
  <si>
    <t>Sutura Dafilon</t>
  </si>
  <si>
    <t>500 ML</t>
  </si>
  <si>
    <t>500 GR</t>
  </si>
  <si>
    <t>Zirconio</t>
  </si>
  <si>
    <t>Desensibilizante Ultra Ez</t>
  </si>
  <si>
    <t>Sutura Premilene</t>
  </si>
  <si>
    <t>1000 ML</t>
  </si>
  <si>
    <t>100 GR</t>
  </si>
  <si>
    <t>Alumina</t>
  </si>
  <si>
    <t>Enamelast Barniz de Fluor</t>
  </si>
  <si>
    <t>Acido Fluorhidrico  7ML (GOTERO)</t>
  </si>
  <si>
    <t>Aparatos</t>
  </si>
  <si>
    <t>Hemostatico Viscostat Clear</t>
  </si>
  <si>
    <t>CUBETA</t>
  </si>
  <si>
    <t>PORCION</t>
  </si>
  <si>
    <t>ALTO IMPACTO</t>
  </si>
  <si>
    <t>60 GR</t>
  </si>
  <si>
    <t>Moldeador de resina Composite Wetting</t>
  </si>
  <si>
    <t>Acido fluorhidrico Ultradent</t>
  </si>
  <si>
    <t>1.000 GR</t>
  </si>
  <si>
    <t>Opalustre</t>
  </si>
  <si>
    <t>NOVACRYL FLOW</t>
  </si>
  <si>
    <t>Opalescence Endo 35%</t>
  </si>
  <si>
    <t>Silano EUFAR</t>
  </si>
  <si>
    <t>VARIOS</t>
  </si>
  <si>
    <t>ORO</t>
  </si>
  <si>
    <t>2GR. $470.000 // 1GR. $235.000</t>
  </si>
  <si>
    <t>PLATA</t>
  </si>
  <si>
    <t>KIT LIVIANA + PESADA</t>
  </si>
  <si>
    <t>LIVIANA PANASIL</t>
  </si>
  <si>
    <t>TEXTURIZADORES</t>
  </si>
  <si>
    <t>Opalustre FGM whiteness RM 6%</t>
  </si>
  <si>
    <t>LIVIANA COLTENE</t>
  </si>
  <si>
    <t>Opalustre Ultradent pasta para microabrasión</t>
  </si>
  <si>
    <t>LIVIANA DMG</t>
  </si>
  <si>
    <t>LIVIANA ZHERMACK</t>
  </si>
  <si>
    <t>PESADA PANASIL 400ML</t>
  </si>
  <si>
    <t>PANASIL 900 GR. $450.000</t>
  </si>
  <si>
    <t>PESADA PANASIL 900ML</t>
  </si>
  <si>
    <t>Agua desionizada</t>
  </si>
  <si>
    <t>BARRERA GINGIVAL</t>
  </si>
  <si>
    <t>Aguja Monojet x 100</t>
  </si>
  <si>
    <t>PESADA COLTENE</t>
  </si>
  <si>
    <t>Superficies</t>
  </si>
  <si>
    <t>Aguja Cortas</t>
  </si>
  <si>
    <t>PESADA DMG</t>
  </si>
  <si>
    <t>Glutaraldehido</t>
  </si>
  <si>
    <t>Agujas Largas</t>
  </si>
  <si>
    <t>PESADA ZHERMACK</t>
  </si>
  <si>
    <t>Jabon Enzimatico</t>
  </si>
  <si>
    <t>Agujas Pediatricas</t>
  </si>
  <si>
    <t>KIT LIVIANA + PESADA PANASIL 400ML</t>
  </si>
  <si>
    <t>KIT LIVIANA + PESADA PANASIL 900ML</t>
  </si>
  <si>
    <t>KIT LIVIANA + PESADA COLTENE</t>
  </si>
  <si>
    <t>ALGINATO</t>
  </si>
  <si>
    <t>KIT LIVIANA + PESADA DMG</t>
  </si>
  <si>
    <t>Chromaprint</t>
  </si>
  <si>
    <t>KIT LIVIANA + PESADA ZHERMACK</t>
  </si>
  <si>
    <t xml:space="preserve">Kromalgin </t>
  </si>
  <si>
    <t>REGULAR PANASIL</t>
  </si>
  <si>
    <t xml:space="preserve">Tropicalgin </t>
  </si>
  <si>
    <t>REGULAR DMG</t>
  </si>
  <si>
    <t xml:space="preserve">Hidrogum </t>
  </si>
  <si>
    <t>aclaramiento  Clariant 35% Angelus</t>
  </si>
  <si>
    <t>TRANSPARENTE PANASIL</t>
  </si>
  <si>
    <t xml:space="preserve">Orthoprint </t>
  </si>
  <si>
    <t>RESINA FLUIDA</t>
  </si>
  <si>
    <t>Anestesia Roxicaina</t>
  </si>
  <si>
    <t>TRANSPARENTE ZHERMACK</t>
  </si>
  <si>
    <t>Resina Fluida Brillant</t>
  </si>
  <si>
    <t xml:space="preserve">ADHESIVO PARA  CUBETA ZHERMACK </t>
  </si>
  <si>
    <t>Resina Fluida Maquira</t>
  </si>
  <si>
    <t xml:space="preserve">Adseal </t>
  </si>
  <si>
    <t>Resina Fluida Fusion Flo Soccidental</t>
  </si>
  <si>
    <t>VIOSEAL SPIDENT</t>
  </si>
  <si>
    <t>Hermetico lujo No. 1</t>
  </si>
  <si>
    <t>Resina Fluida SDI</t>
  </si>
  <si>
    <t xml:space="preserve">BIO C Sealer </t>
  </si>
  <si>
    <t>Hermetico lujo No. 2</t>
  </si>
  <si>
    <t xml:space="preserve">Resina Bulk Fill </t>
  </si>
  <si>
    <t>Hermetico lujo No. 3</t>
  </si>
  <si>
    <t>Hermetico lujo No. 4</t>
  </si>
  <si>
    <t>EDTA  10% Jeringa x 3 ml</t>
  </si>
  <si>
    <t>Hermetico  mini lujo</t>
  </si>
  <si>
    <t xml:space="preserve">Vaso hermetico </t>
  </si>
  <si>
    <t>RESINA DE ORTODONCIA</t>
  </si>
  <si>
    <t xml:space="preserve">Salento #1 </t>
  </si>
  <si>
    <t>Fix</t>
  </si>
  <si>
    <t>FUJI 1 al 9</t>
  </si>
  <si>
    <t xml:space="preserve">Salento #2 </t>
  </si>
  <si>
    <t>Orthocem</t>
  </si>
  <si>
    <t xml:space="preserve">FUJI LINING AZUL </t>
  </si>
  <si>
    <t>Salento #3</t>
  </si>
  <si>
    <t>PASTA DIAMANTADA</t>
  </si>
  <si>
    <t>Diamond Universal Maquira</t>
  </si>
  <si>
    <t xml:space="preserve">hidroxido de calcio KERR regular set life dycal  </t>
  </si>
  <si>
    <t>Diamond Excel FGM</t>
  </si>
  <si>
    <t>hydcal hidcal dycal cemento hidroxiod calcio</t>
  </si>
  <si>
    <t>Diamond Gloss TDV</t>
  </si>
  <si>
    <t>Alcohol Antisep 345ML</t>
  </si>
  <si>
    <t>SELLANTES</t>
  </si>
  <si>
    <t>Alcohol Antisep 120ML</t>
  </si>
  <si>
    <t>Maxseal Maquira</t>
  </si>
  <si>
    <t>Clorexol 180 ML</t>
  </si>
  <si>
    <t>Conseal SDI</t>
  </si>
  <si>
    <t>Antibacterial 500ml</t>
  </si>
  <si>
    <t>Antibacterial 300ml</t>
  </si>
  <si>
    <t>Opacador Angelus</t>
  </si>
  <si>
    <t>Jabon Holandina 250ml</t>
  </si>
  <si>
    <t>TEMBOND NE ESTUCHE  X CAJA (2 TUBOS)</t>
  </si>
  <si>
    <t>Jabon Holandina 500ml</t>
  </si>
  <si>
    <t>IVOCLAR</t>
  </si>
  <si>
    <t>Garhox Superficies 100ml</t>
  </si>
  <si>
    <t xml:space="preserve">Empress Direct BLXL DENTINA </t>
  </si>
  <si>
    <t>Garhox ALCOHOL 240 ml</t>
  </si>
  <si>
    <t>Empress Direct BLXL ESMALTE</t>
  </si>
  <si>
    <t>Garhox Superficies 500ml</t>
  </si>
  <si>
    <t xml:space="preserve">Optradam Ivoclar tela de caucho </t>
  </si>
  <si>
    <t>ACIDO DESMINERALIZANTE</t>
  </si>
  <si>
    <t>Acido desmineralizante  MAQUIRA 2.5</t>
  </si>
  <si>
    <t>Optragate Ivoclar  abreboca S</t>
  </si>
  <si>
    <t>Jabon Enzimatico 100 ml</t>
  </si>
  <si>
    <t xml:space="preserve">TELIO System IN LAY cavidad profunda </t>
  </si>
  <si>
    <t>Gel antibacterial 50 ml</t>
  </si>
  <si>
    <t xml:space="preserve">TELIO System ON LAY cavidad superficial </t>
  </si>
  <si>
    <t xml:space="preserve">Acido desmineralizante 3M </t>
  </si>
  <si>
    <t>Tetric Ceram BLEACH XL JERINGA X3.5G</t>
  </si>
  <si>
    <t>Acido desmineralizante FGM 12.5 ML</t>
  </si>
  <si>
    <t>Jabon 320 ML Proquident</t>
  </si>
  <si>
    <t>Tetric Ceram BULK IVA JERINGA</t>
  </si>
  <si>
    <t>Acido Desmineralizante proquident  jumbo</t>
  </si>
  <si>
    <t>Yodopovidona</t>
  </si>
  <si>
    <t>Tetric Flow BLEACH XL JERINGA X 2G</t>
  </si>
  <si>
    <t xml:space="preserve">Acido Desmineralizante Select H V ETCH Bisco </t>
  </si>
  <si>
    <t>Agua Oxigenada</t>
  </si>
  <si>
    <t>Tetric Flow BULK IVA JERINGA</t>
  </si>
  <si>
    <t>Acido desmineralizante SDI 12 gm</t>
  </si>
  <si>
    <t>Acido desmineralizante 30ml ultradent</t>
  </si>
  <si>
    <t>ANESTESIA</t>
  </si>
  <si>
    <t>New caina 2 %</t>
  </si>
  <si>
    <t xml:space="preserve">Variolink Esthetic ligth  de 2gm </t>
  </si>
  <si>
    <t>Odontocaina 3%</t>
  </si>
  <si>
    <t xml:space="preserve">Variolink Esthetic ligth + de 2gm </t>
  </si>
  <si>
    <t xml:space="preserve">PRODUCTOS ALQUILER </t>
  </si>
  <si>
    <t>Artheek 4% E</t>
  </si>
  <si>
    <t xml:space="preserve">Variolink Esthetic neutral 2gm </t>
  </si>
  <si>
    <t xml:space="preserve">ABRE CORONA DELTA </t>
  </si>
  <si>
    <t>Septodont   1/100.000  TTO LARGOS</t>
  </si>
  <si>
    <t xml:space="preserve">Variolink NLC+1 de 1.5 gm  </t>
  </si>
  <si>
    <t>Septanes 1/200.000 TTO CORTO</t>
  </si>
  <si>
    <t xml:space="preserve">Variolink NLC+2 de 1.5 gm  </t>
  </si>
  <si>
    <t>ARCO CON SOLO NASIO</t>
  </si>
  <si>
    <t xml:space="preserve">ARCO CON SOLO TENEDOR </t>
  </si>
  <si>
    <t>ARCO SOLO</t>
  </si>
  <si>
    <t>BOLSAS DE ESTERILIZAR</t>
  </si>
  <si>
    <t>ADHESIVOS</t>
  </si>
  <si>
    <t>Grande</t>
  </si>
  <si>
    <t>CALCULADORA</t>
  </si>
  <si>
    <t>Cubeta</t>
  </si>
  <si>
    <t>ADHESIVO 3M UNIVERSAL 3 ML</t>
  </si>
  <si>
    <t xml:space="preserve">CALIBRADOR DE CERA O METAL </t>
  </si>
  <si>
    <t>Basico</t>
  </si>
  <si>
    <t xml:space="preserve">Adhesivo AMBAR FGM 6 ML </t>
  </si>
  <si>
    <t xml:space="preserve">CANULA METALICA </t>
  </si>
  <si>
    <t>Limas</t>
  </si>
  <si>
    <t>CASCO</t>
  </si>
  <si>
    <t xml:space="preserve">LAMPARA </t>
  </si>
  <si>
    <t xml:space="preserve">PIEZA DE ALTA O BAJA </t>
  </si>
  <si>
    <t>Momificante Pulpar X 7 ML Momicide</t>
  </si>
  <si>
    <t>PIN DE ARTICULADOR</t>
  </si>
  <si>
    <t>Retracfar Cloruro de Aluminio 7ml</t>
  </si>
  <si>
    <t>Adhesivo Zafira 8ml</t>
  </si>
  <si>
    <t xml:space="preserve">PISTOLA DE RESINA </t>
  </si>
  <si>
    <t>Hidroxido de Calcio X10Gr Prodont</t>
  </si>
  <si>
    <t xml:space="preserve">PISTOLA DE SILICONA </t>
  </si>
  <si>
    <t>Topsensy Desensibilizante Dental 5 Ml Dentofar</t>
  </si>
  <si>
    <t>Hemofar Hemodent Hemostatico</t>
  </si>
  <si>
    <t xml:space="preserve">Zirclean bisco </t>
  </si>
  <si>
    <t xml:space="preserve">PORCION RELIX </t>
  </si>
  <si>
    <t>Oxido De Zinc 10g</t>
  </si>
  <si>
    <t>PORCION SILANO</t>
  </si>
  <si>
    <t>Eugenol X 15 Ml Proquident</t>
  </si>
  <si>
    <t xml:space="preserve">POSICIONADOR </t>
  </si>
  <si>
    <t>Xilol Proquident 20ml</t>
  </si>
  <si>
    <t xml:space="preserve">TENEDOR </t>
  </si>
  <si>
    <t>Cemento C-Gross</t>
  </si>
  <si>
    <t xml:space="preserve">TORNILLO DE ARCO O ARTIULADOR </t>
  </si>
  <si>
    <t>Anestesia Topica Garocaina</t>
  </si>
  <si>
    <t xml:space="preserve">TUMBA CORONA MARTILLO </t>
  </si>
  <si>
    <t>Hilo Retractor # 00 Con Hemostatico Proquident</t>
  </si>
  <si>
    <t>MUFLA</t>
  </si>
  <si>
    <t>Revelador De Placa Bacteriana Gota</t>
  </si>
  <si>
    <t>TDV</t>
  </si>
  <si>
    <t>Discos soflex praxis TDV</t>
  </si>
  <si>
    <t>RESINAS Y ACLARAMIENTOS</t>
  </si>
  <si>
    <t xml:space="preserve">Resina 3M  Z 250 </t>
  </si>
  <si>
    <t xml:space="preserve">Resina 3M Z 350 </t>
  </si>
  <si>
    <t>resina 3M p60</t>
  </si>
  <si>
    <t>Resina Maquira</t>
  </si>
  <si>
    <t>Resina Brillant Coltene</t>
  </si>
  <si>
    <t xml:space="preserve">Resina Forma Ultradent </t>
  </si>
  <si>
    <t xml:space="preserve">RESINA KERR Herculite </t>
  </si>
  <si>
    <t xml:space="preserve">Resina LLIS FGM </t>
  </si>
  <si>
    <t>Resina Palfique LX5 TOKUYAMA</t>
  </si>
  <si>
    <t xml:space="preserve">Primma art 7 gr FGM </t>
  </si>
  <si>
    <t xml:space="preserve">Resina Zafira </t>
  </si>
  <si>
    <t>Blanquiamiento Pola Office Bulk Kit</t>
  </si>
  <si>
    <t xml:space="preserve">Blanquiamiento AZUL HP BLUE FGM 35% </t>
  </si>
  <si>
    <t xml:space="preserve">Blanquiamiento FGM 35% ROJO </t>
  </si>
  <si>
    <t xml:space="preserve">Blanquiamiento FGM 35% VERDE </t>
  </si>
  <si>
    <t>BISCO - CEMENTO</t>
  </si>
  <si>
    <t xml:space="preserve">Acido Desmineralizante Select HV ETCH Bisco </t>
  </si>
  <si>
    <t xml:space="preserve">choise 2 cemento resinoso </t>
  </si>
  <si>
    <t>cemento temporal Applic 2g maquira</t>
  </si>
  <si>
    <t>RESINA - CEMENTO</t>
  </si>
  <si>
    <t xml:space="preserve">Choise 2 cemento resinoso </t>
  </si>
  <si>
    <t>Base it Cemento base intermedia Spident</t>
  </si>
  <si>
    <t>Cemento temporal Applic 2g maquira</t>
  </si>
  <si>
    <t>RESINAS</t>
  </si>
  <si>
    <t>UNIDAD</t>
  </si>
  <si>
    <t>Cera colores en barras economica</t>
  </si>
  <si>
    <t xml:space="preserve">Cera colores en barras WHIPMIX </t>
  </si>
  <si>
    <t>Cera Pegajosa</t>
  </si>
  <si>
    <t>caja plastica cera utility caja 5 cm</t>
  </si>
  <si>
    <t>Cera de encofrar</t>
  </si>
  <si>
    <t>Cera Gris</t>
  </si>
  <si>
    <t>Cera base</t>
  </si>
  <si>
    <t>Rodete largo</t>
  </si>
  <si>
    <t>Rodetes preformado en U</t>
  </si>
  <si>
    <t>Cera Utility</t>
  </si>
  <si>
    <t xml:space="preserve">Porta cera en aluminio </t>
  </si>
  <si>
    <t>BANCO</t>
  </si>
  <si>
    <t xml:space="preserve">A NOMBRE DE </t>
  </si>
  <si>
    <t>C.C.</t>
  </si>
  <si>
    <t>TIPO DE CUENTA</t>
  </si>
  <si>
    <t>FACTURACION</t>
  </si>
  <si>
    <t xml:space="preserve">COLPATRIA  </t>
  </si>
  <si>
    <t>AH</t>
  </si>
  <si>
    <t>USUARIO</t>
  </si>
  <si>
    <t>CONTRASEÑA</t>
  </si>
  <si>
    <t>CIERRE DEL DATAFONO</t>
  </si>
  <si>
    <t>CTE</t>
  </si>
  <si>
    <t>LOGGRO</t>
  </si>
  <si>
    <t>facturacionunidental@gmail.com</t>
  </si>
  <si>
    <t>Unident2023</t>
  </si>
  <si>
    <t>OPCION 3</t>
  </si>
  <si>
    <t xml:space="preserve">BANCOLOMBIA </t>
  </si>
  <si>
    <t>821-176492-17</t>
  </si>
  <si>
    <t>CORREO FACTURACION</t>
  </si>
  <si>
    <t>Campo2021</t>
  </si>
  <si>
    <t>CODIGO 3141</t>
  </si>
  <si>
    <t>514-492279-17</t>
  </si>
  <si>
    <t>CLAU - 66909575</t>
  </si>
  <si>
    <t>TAREA</t>
  </si>
  <si>
    <t>ORDENAR, SURTIR Y MARCAR DIENTE NISSI</t>
  </si>
  <si>
    <t>ORDENAR, SURTIR Y MARCAR DIENTE IVORINA</t>
  </si>
  <si>
    <t xml:space="preserve">ORDENAR Y SURTIR CORONAS </t>
  </si>
  <si>
    <t xml:space="preserve">ORDENAR Y SURTIR GRAPAS </t>
  </si>
  <si>
    <t xml:space="preserve">ORDENAR Y SURTIR BANDAS </t>
  </si>
  <si>
    <t xml:space="preserve">PORCIONAR SILICONA </t>
  </si>
  <si>
    <t>PORCIONAR DURAFLOW</t>
  </si>
  <si>
    <t>PORCIONAR ALGODONES</t>
  </si>
  <si>
    <t>PORCIONAR INDICADOR QUIMICO</t>
  </si>
  <si>
    <t>PORCIONAR ACRILICO NARANJA Y AZUL</t>
  </si>
  <si>
    <t>PORCIONAR ALGINATO</t>
  </si>
  <si>
    <t>PORCIONAR GLISERINA</t>
  </si>
  <si>
    <t>PORCIONAR NEW FOIL</t>
  </si>
  <si>
    <t>SURTIR DIENTES BIODENT</t>
  </si>
  <si>
    <t>SURTIR FRESAS MANI</t>
  </si>
  <si>
    <t>SURTIR FRESAS DIATECH</t>
  </si>
  <si>
    <t xml:space="preserve">SURTIR ESTANTERIAS </t>
  </si>
  <si>
    <t xml:space="preserve">REPASAR X LA BODEGA Y ORGANIZAR </t>
  </si>
  <si>
    <t>SURTIR LLAVES Y CADENETAS</t>
  </si>
  <si>
    <t>PORCIONAR AZUL DE METILENO</t>
  </si>
  <si>
    <t>PORCIONAR PIEDRA POMEZ</t>
  </si>
  <si>
    <t>PORCIONAR BICARBONATO</t>
  </si>
  <si>
    <t>CORTAR LIJAS DE AGUA</t>
  </si>
  <si>
    <t>ARMAR INSTRUMENTAL BASICO</t>
  </si>
  <si>
    <t>PORCIONAR TOPES DE CAUCHO</t>
  </si>
  <si>
    <t xml:space="preserve">PORCIONAR CUÑAS DE MADERA </t>
  </si>
  <si>
    <t>PORCIONAR CEPILLO DE PROFILAXIS X2  Y  X10</t>
  </si>
  <si>
    <t>ARMAR PAQUETE DE BABEROS</t>
  </si>
  <si>
    <t>ARMAR PAQUETE DE CAMPOS</t>
  </si>
  <si>
    <t>HACER CAMPOS DE OJO</t>
  </si>
  <si>
    <t>PORCIONAR KOOLINER</t>
  </si>
  <si>
    <t>DOBLAR BOLSAS  ROJAS Y VERDES</t>
  </si>
  <si>
    <t>DOBLAR BOLSAS DE ESTERILIZAR GIGANTES</t>
  </si>
  <si>
    <t>PORCIONAR VASOS DESECHABLES</t>
  </si>
  <si>
    <t>HACER COMPRAS D1 - DOLARCITY-</t>
  </si>
  <si>
    <t>ARCHIVAR FACTURAS</t>
  </si>
  <si>
    <t>ARMAR POLAINAS</t>
  </si>
  <si>
    <t>PORCIONAR CAUCHOS DE BILLETES</t>
  </si>
  <si>
    <t>PORCIONAR EMULSION JOTA</t>
  </si>
  <si>
    <t>CARGAR LAMPARAS DE ALQUILER</t>
  </si>
  <si>
    <t>ORGANIZAR DESPACHO DE AGOTADOS</t>
  </si>
  <si>
    <t>LIMPIAR TENEDORES DE ALQUILER</t>
  </si>
  <si>
    <t>REVISAR FECHA DE VENCIMENTO DE PRODUCTOS</t>
  </si>
  <si>
    <t>MARCAR LAPICEROS CON PAPEL DE NO ROBAR</t>
  </si>
  <si>
    <t>CORTAR ESPUMA Y REJILLA DE HUMIFICADOR</t>
  </si>
  <si>
    <t>SUBIR PROMOCIONES A WHATSAPP</t>
  </si>
  <si>
    <t xml:space="preserve">LIMPIAR ARTICULADORES DE ALQUILER </t>
  </si>
  <si>
    <t>HACER HOJAS DE CREDITO</t>
  </si>
  <si>
    <t>ORGANIZAR SERIE DE LIMAS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</si>
</sst>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0">
    <numFmt numFmtId="164" formatCode="&quot;$&quot;#,##0"/>
    <numFmt numFmtId="165" formatCode="$#,##0"/>
    <numFmt numFmtId="166" formatCode="&quot;$&quot;#,##0.00"/>
    <numFmt numFmtId="167" formatCode="[$ $]#,##0"/>
    <numFmt numFmtId="168" formatCode="mm-yyyy"/>
    <numFmt numFmtId="169" formatCode="m-yyyy"/>
    <numFmt numFmtId="170" formatCode="mm/yyyy"/>
    <numFmt numFmtId="171" formatCode="mmm d"/>
    <numFmt numFmtId="172" formatCode="0.0"/>
    <numFmt numFmtId="173" formatCode="$#,##0.00"/>
    <numFmt numFmtId="174" formatCode="0.000"/>
    <numFmt numFmtId="175" formatCode="d/m"/>
    <numFmt numFmtId="176" formatCode="mmm - yyyy"/>
    <numFmt numFmtId="177" formatCode="mmm yyyy"/>
    <numFmt numFmtId="178" formatCode="mmmm d"/>
    <numFmt numFmtId="179" formatCode="mmm dd"/>
    <numFmt numFmtId="180" formatCode="d&quot;-&quot;mmm"/>
    <numFmt numFmtId="181" formatCode="d mmm"/>
    <numFmt numFmtId="182" formatCode="d mmmm"/>
    <numFmt numFmtId="183" formatCode="d-m"/>
    <numFmt numFmtId="184" formatCode="dd mmm"/>
    <numFmt numFmtId="185" formatCode="dddd dd mmm"/>
    <numFmt numFmtId="186" formatCode="mmmm d yyyy"/>
    <numFmt numFmtId="187" formatCode="mmmm yyyy"/>
    <numFmt numFmtId="188" formatCode="d mmmm yyyy"/>
    <numFmt numFmtId="189" formatCode="d-mmm"/>
    <numFmt numFmtId="190" formatCode="mmm/d"/>
    <numFmt numFmtId="191" formatCode="dd/mm/yyyy"/>
    <numFmt numFmtId="192" formatCode="mmmd"/>
    <numFmt numFmtId="193" formatCode="&quot;$&quot;#,##0.000"/>
  </numFmts>
  <fonts count="139">
    <font>
      <sz val="10.0"/>
      <color rgb="FF000000"/>
      <name val="Arial"/>
    </font>
    <font>
      <b/>
      <sz val="16.0"/>
      <name val="Verdana"/>
    </font>
    <font>
      <sz val="8.0"/>
      <name val="Verdana"/>
    </font>
    <font>
      <sz val="8.0"/>
      <color rgb="FF000000"/>
      <name val="Verdana"/>
    </font>
    <font>
      <sz val="7.0"/>
      <name val="Verdana"/>
    </font>
    <font>
      <sz val="8.0"/>
    </font>
    <font>
      <sz val="6.0"/>
      <name val="Verdana"/>
    </font>
    <font>
      <b/>
      <sz val="8.0"/>
      <color rgb="FF000000"/>
      <name val="Verdana"/>
    </font>
    <font>
      <b/>
      <sz val="7.0"/>
      <name val="Verdana"/>
    </font>
    <font>
      <b/>
      <sz val="8.0"/>
      <name val="Verdana"/>
    </font>
    <font>
      <sz val="10.0"/>
      <name val="Verdana"/>
    </font>
    <font>
      <sz val="10.0"/>
      <color rgb="FF000000"/>
      <name val="Verdana"/>
    </font>
    <font>
      <b/>
      <sz val="10.0"/>
      <name val="Verdana"/>
    </font>
    <font/>
    <font>
      <sz val="7.0"/>
      <color rgb="FF000000"/>
      <name val="Verdana"/>
    </font>
    <font>
      <name val="Verdana"/>
    </font>
    <font>
      <b/>
      <sz val="10.0"/>
      <color rgb="FF000000"/>
      <name val="Verdana"/>
    </font>
    <font>
      <sz val="9.0"/>
      <name val="Verdana"/>
    </font>
    <font>
      <sz val="10.0"/>
      <color rgb="FFFF0000"/>
      <name val="Verdana"/>
    </font>
    <font>
      <b/>
      <sz val="8.0"/>
      <color rgb="FFFF0000"/>
      <name val="Verdana"/>
    </font>
    <font>
      <sz val="7.0"/>
      <color rgb="FFFF0000"/>
      <name val="Verdana"/>
    </font>
    <font>
      <sz val="8.0"/>
      <color rgb="FFFF0000"/>
      <name val="Verdana"/>
    </font>
    <font>
      <name val="Arial"/>
    </font>
    <font>
      <sz val="7.0"/>
    </font>
    <font>
      <color rgb="FF000000"/>
      <name val="Verdana"/>
    </font>
    <font>
      <sz val="9.0"/>
      <color rgb="FF000000"/>
      <name val="Verdana"/>
    </font>
    <font>
      <sz val="9.0"/>
    </font>
    <font>
      <color rgb="FF000000"/>
    </font>
    <font>
      <sz val="9.0"/>
      <color rgb="FF333333"/>
      <name val="Verdana"/>
    </font>
    <font>
      <color rgb="FF000000"/>
      <name val="Batang"/>
    </font>
    <font>
      <sz val="11.0"/>
      <color rgb="FF1F1F1F"/>
      <name val="&quot;Google Sans&quot;"/>
    </font>
    <font>
      <i/>
      <sz val="10.0"/>
      <name val="Verdana"/>
    </font>
    <font>
      <b/>
      <sz val="15.0"/>
    </font>
    <font>
      <b/>
      <sz val="13.0"/>
    </font>
    <font>
      <b/>
    </font>
    <font>
      <b/>
      <sz val="17.0"/>
    </font>
    <font>
      <b/>
      <sz val="11.0"/>
    </font>
    <font>
      <b/>
      <sz val="9.0"/>
      <name val="Arial"/>
    </font>
    <font>
      <sz val="9.0"/>
      <name val="Arial"/>
    </font>
    <font>
      <sz val="8.0"/>
      <name val="Arial"/>
    </font>
    <font>
      <sz val="11.0"/>
      <name val="Arial"/>
    </font>
    <font>
      <sz val="12.0"/>
      <name val="Arial"/>
    </font>
    <font>
      <sz val="11.0"/>
      <color rgb="FF1155CC"/>
      <name val="Inconsolata"/>
    </font>
    <font>
      <b/>
      <sz val="8.0"/>
      <name val="Arial"/>
    </font>
    <font>
      <sz val="12.0"/>
      <name val="Calibri"/>
    </font>
    <font>
      <sz val="11.0"/>
      <color rgb="FF000000"/>
      <name val="Calibri"/>
    </font>
    <font>
      <b/>
      <sz val="12.0"/>
    </font>
    <font>
      <b/>
      <sz val="8.0"/>
      <color rgb="FF000000"/>
      <name val="Arial"/>
    </font>
    <font>
      <b/>
      <sz val="10.0"/>
      <color rgb="FF000000"/>
      <name val="Arial"/>
    </font>
    <font>
      <sz val="11.0"/>
      <color rgb="FF000000"/>
      <name val="Arial"/>
    </font>
    <font>
      <sz val="12.0"/>
      <color rgb="FF000000"/>
      <name val="Arial"/>
    </font>
    <font>
      <sz val="10.0"/>
    </font>
    <font>
      <sz val="11.0"/>
    </font>
    <font>
      <sz val="12.0"/>
    </font>
    <font>
      <sz val="8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FF0000"/>
      <name val="Arial"/>
    </font>
    <font>
      <b/>
      <sz val="16.0"/>
      <name val="Arial"/>
    </font>
    <font>
      <b/>
      <sz val="11.0"/>
      <name val="Arial"/>
    </font>
    <font>
      <b/>
      <sz val="8.0"/>
    </font>
    <font>
      <b/>
      <color rgb="FF000000"/>
      <name val="Arial"/>
    </font>
    <font>
      <color rgb="FF000000"/>
      <name val="Arial"/>
    </font>
    <font>
      <b/>
      <sz val="11.0"/>
      <color rgb="FF000000"/>
      <name val="Arial"/>
    </font>
    <font>
      <b/>
      <sz val="12.0"/>
      <name val="Arial"/>
    </font>
    <font>
      <sz val="14.0"/>
      <name val="Arial"/>
    </font>
    <font>
      <b/>
      <sz val="18.0"/>
      <name val="Arial"/>
    </font>
    <font>
      <b/>
      <sz val="18.0"/>
      <color rgb="FF000000"/>
      <name val="Arial"/>
    </font>
    <font>
      <sz val="18.0"/>
      <name val="Arial"/>
    </font>
    <font>
      <sz val="13.0"/>
    </font>
    <font>
      <b/>
      <sz val="12.0"/>
      <color rgb="FFCC0000"/>
    </font>
    <font>
      <b/>
      <sz val="10.0"/>
    </font>
    <font>
      <b/>
      <sz val="18.0"/>
      <color rgb="FFFF0000"/>
    </font>
    <font>
      <b/>
      <sz val="12.0"/>
      <color rgb="FF000000"/>
      <name val="Batang"/>
    </font>
    <font>
      <b/>
      <color rgb="FF000000"/>
      <name val="Batang"/>
    </font>
    <font>
      <sz val="14.0"/>
      <name val="Calibri"/>
    </font>
    <font>
      <sz val="14.0"/>
      <color rgb="FF040C28"/>
      <name val="Calibri"/>
    </font>
    <font>
      <sz val="13.0"/>
      <name val="Calibri"/>
    </font>
    <font>
      <b/>
      <sz val="14.0"/>
      <name val="Calibri"/>
    </font>
    <font>
      <sz val="12.0"/>
      <name val="Cambria"/>
    </font>
    <font>
      <b/>
      <sz val="10.0"/>
      <name val="Arial"/>
    </font>
    <font>
      <sz val="14.0"/>
      <name val="Cambria"/>
    </font>
    <font>
      <sz val="14.0"/>
    </font>
    <font>
      <sz val="10.0"/>
      <name val="Arial"/>
    </font>
    <font>
      <sz val="7.0"/>
      <name val="Arial"/>
    </font>
    <font>
      <sz val="11.0"/>
      <name val="Cambria"/>
    </font>
    <font>
      <sz val="7.0"/>
      <color rgb="FF000000"/>
      <name val="Arial"/>
    </font>
    <font>
      <sz val="12.0"/>
      <color rgb="FF000000"/>
      <name val="Cambria"/>
    </font>
    <font>
      <b/>
      <sz val="16.0"/>
      <color rgb="FF000000"/>
      <name val="Arial"/>
    </font>
    <font>
      <sz val="9.0"/>
      <color rgb="FF1F1F1F"/>
      <name val="&quot;Google Sans&quot;"/>
    </font>
    <font>
      <b/>
      <sz val="11.0"/>
      <color rgb="FFFF0000"/>
      <name val="Verdana"/>
    </font>
    <font>
      <sz val="11.0"/>
      <name val="Verdana"/>
    </font>
    <font>
      <b/>
      <sz val="7.0"/>
    </font>
    <font>
      <sz val="9.0"/>
      <color rgb="FF000000"/>
      <name val="Calibri"/>
    </font>
    <font>
      <color rgb="FFFFFFFF"/>
    </font>
    <font>
      <b/>
      <sz val="12.0"/>
      <name val="Times New Roman"/>
    </font>
    <font>
      <b/>
      <sz val="10.0"/>
      <name val="Times New Roman"/>
    </font>
    <font>
      <sz val="12.0"/>
      <name val="Times New Roman"/>
    </font>
    <font>
      <sz val="10.0"/>
      <name val="Times New Roman"/>
    </font>
    <font>
      <sz val="11.0"/>
      <name val="Times New Roman"/>
    </font>
    <font>
      <name val="Times New Roman"/>
    </font>
    <font>
      <sz val="11.0"/>
      <color rgb="FF000000"/>
      <name val="Times New Roman"/>
    </font>
    <font>
      <sz val="12.0"/>
      <color rgb="FF000000"/>
      <name val="Times New Roman"/>
    </font>
    <font>
      <sz val="12.0"/>
      <color rgb="FFFF0000"/>
      <name val="Times New Roman"/>
    </font>
    <font>
      <color rgb="FF000000"/>
      <name val="Roboto"/>
    </font>
    <font>
      <sz val="14.0"/>
      <name val="Times New Roman"/>
    </font>
    <font>
      <sz val="11.0"/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000000"/>
      <name val="&quot;Google Sans Mono&quot;"/>
    </font>
    <font>
      <b/>
      <sz val="18.0"/>
      <name val="Verdana"/>
    </font>
    <font>
      <b/>
      <sz val="14.0"/>
      <name val="Verdana"/>
    </font>
    <font>
      <sz val="11.0"/>
      <name val="Calibri"/>
    </font>
    <font>
      <b/>
      <sz val="10.0"/>
      <color rgb="FF000000"/>
      <name val="Oswald"/>
    </font>
    <font>
      <b/>
      <sz val="19.0"/>
    </font>
    <font>
      <sz val="12.0"/>
      <color rgb="FF000000"/>
      <name val="Verdana"/>
    </font>
    <font>
      <b/>
      <sz val="7.0"/>
      <name val="Arial"/>
    </font>
    <font>
      <b/>
      <sz val="9.0"/>
    </font>
    <font>
      <b/>
      <sz val="14.0"/>
    </font>
    <font>
      <b/>
      <sz val="14.0"/>
      <name val="&quot;Calibri&quot;"/>
    </font>
    <font>
      <sz val="24.0"/>
      <color rgb="FFFF0000"/>
    </font>
    <font>
      <sz val="24.0"/>
    </font>
    <font>
      <sz val="10.0"/>
      <color rgb="FFCCCCCC"/>
    </font>
    <font>
      <color rgb="FFCCCCCC"/>
    </font>
    <font>
      <b/>
      <sz val="14.0"/>
      <color rgb="FF0000FF"/>
    </font>
    <font>
      <color rgb="FFCC0000"/>
    </font>
    <font>
      <sz val="10.0"/>
      <color rgb="FFFF0000"/>
    </font>
    <font>
      <sz val="6.0"/>
    </font>
    <font>
      <sz val="8.0"/>
      <color rgb="FF0000FF"/>
    </font>
    <font>
      <sz val="10.0"/>
      <color rgb="FF0000FF"/>
    </font>
    <font>
      <u/>
      <sz val="10.0"/>
      <color rgb="FF000000"/>
      <name val="Arial"/>
    </font>
    <font>
      <color rgb="FF0000FF"/>
    </font>
    <font>
      <b/>
      <sz val="12.0"/>
      <name val="Georgia"/>
    </font>
    <font>
      <b/>
      <sz val="9.0"/>
      <name val="Georgia"/>
    </font>
    <font>
      <sz val="12.0"/>
      <name val="Georgia"/>
    </font>
    <font>
      <sz val="9.0"/>
      <name val="Georgia"/>
    </font>
    <font>
      <sz val="9.0"/>
      <color rgb="FFFF0000"/>
    </font>
    <font>
      <b/>
      <sz val="11.0"/>
      <color rgb="FF000000"/>
      <name val="Roboto"/>
    </font>
    <font>
      <b/>
      <sz val="16.0"/>
    </font>
    <font>
      <sz val="16.0"/>
    </font>
  </fonts>
  <fills count="4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95F42F"/>
        <bgColor rgb="FF95F42F"/>
      </patternFill>
    </fill>
    <fill>
      <patternFill patternType="solid">
        <fgColor rgb="FFE06666"/>
        <bgColor rgb="FFE06666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EFEFEF"/>
        <bgColor rgb="FFEFEFEF"/>
      </patternFill>
    </fill>
    <fill>
      <patternFill patternType="solid">
        <fgColor rgb="FFDBE5F1"/>
        <bgColor rgb="FFDBE5F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BAF1A3"/>
        <bgColor rgb="FFBAF1A3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ABF65A"/>
        <bgColor rgb="FFABF65A"/>
      </patternFill>
    </fill>
    <fill>
      <patternFill patternType="solid">
        <fgColor rgb="FFDD7E6B"/>
        <bgColor rgb="FFDD7E6B"/>
      </patternFill>
    </fill>
    <fill>
      <patternFill patternType="solid">
        <fgColor rgb="FF6FA8DC"/>
        <bgColor rgb="FF6FA8DC"/>
      </patternFill>
    </fill>
    <fill>
      <patternFill patternType="solid">
        <fgColor rgb="FFD9D9D9"/>
        <bgColor rgb="FFD9D9D9"/>
      </patternFill>
    </fill>
  </fills>
  <borders count="7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0000FF"/>
      </right>
      <top style="thick">
        <color rgb="FFFF0000"/>
      </top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thin">
        <color rgb="FF000000"/>
      </right>
      <top style="thin">
        <color rgb="FF000000"/>
      </top>
    </border>
    <border>
      <left style="thick">
        <color rgb="FFFF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</border>
    <border>
      <bottom style="thick">
        <color rgb="FFFF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</border>
    <border>
      <left style="thick">
        <color rgb="FF0000FF"/>
      </left>
      <top style="thick">
        <color rgb="FF0000FF"/>
      </top>
      <bottom style="thin">
        <color rgb="FF000000"/>
      </bottom>
    </border>
    <border>
      <top style="thick">
        <color rgb="FF0000FF"/>
      </top>
      <bottom style="thin">
        <color rgb="FF000000"/>
      </bottom>
    </border>
    <border>
      <right style="thin">
        <color rgb="FF000000"/>
      </right>
      <top style="thick">
        <color rgb="FF0000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thin">
        <color rgb="FF000000"/>
      </left>
      <right style="thick">
        <color rgb="FF0000FF"/>
      </right>
      <top style="thick">
        <color rgb="FF0000FF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FF"/>
      </right>
      <top style="thin">
        <color rgb="FF000000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right style="thin">
        <color rgb="FF000000"/>
      </right>
    </border>
    <border>
      <left style="thick">
        <color rgb="FF00FFFF"/>
      </left>
      <top style="thick">
        <color rgb="FF00FFFF"/>
      </top>
    </border>
    <border>
      <top style="thick">
        <color rgb="FF00FFFF"/>
      </top>
    </border>
    <border>
      <right style="thick">
        <color rgb="FF00FFFF"/>
      </right>
      <top style="thick">
        <color rgb="FF00FFFF"/>
      </top>
    </border>
    <border>
      <left style="thick">
        <color rgb="FF00FF00"/>
      </left>
      <top style="thick">
        <color rgb="FF00FF00"/>
      </top>
    </border>
    <border>
      <top style="thick">
        <color rgb="FF00FF00"/>
      </top>
    </border>
    <border>
      <right style="thick">
        <color rgb="FF00FF00"/>
      </right>
      <top style="thick">
        <color rgb="FF00FF00"/>
      </top>
    </border>
    <border>
      <right style="thick">
        <color rgb="FFFF0000"/>
      </right>
      <top style="thick">
        <color rgb="FFFF0000"/>
      </top>
    </border>
    <border>
      <left style="thick">
        <color rgb="FF00FFFF"/>
      </left>
    </border>
    <border>
      <right style="thick">
        <color rgb="FF00FFFF"/>
      </right>
    </border>
    <border>
      <left style="thick">
        <color rgb="FF00FF00"/>
      </left>
    </border>
    <border>
      <right style="thick">
        <color rgb="FF00FF00"/>
      </right>
    </border>
    <border>
      <left style="thick">
        <color rgb="FFFF0000"/>
      </left>
    </border>
    <border>
      <right style="thick">
        <color rgb="FFFF0000"/>
      </right>
    </border>
    <border>
      <left style="thick">
        <color rgb="FF00FFFF"/>
      </left>
      <bottom style="thick">
        <color rgb="FF00FFFF"/>
      </bottom>
    </border>
    <border>
      <bottom style="thick">
        <color rgb="FF00FFFF"/>
      </bottom>
    </border>
    <border>
      <right style="thick">
        <color rgb="FF00FFFF"/>
      </right>
      <bottom style="thick">
        <color rgb="FF00FFFF"/>
      </bottom>
    </border>
    <border>
      <left style="thick">
        <color rgb="FF00FF00"/>
      </left>
      <bottom style="thick">
        <color rgb="FF00FF00"/>
      </bottom>
    </border>
    <border>
      <bottom style="thick">
        <color rgb="FF00FF00"/>
      </bottom>
    </border>
    <border>
      <right style="thick">
        <color rgb="FF00FF00"/>
      </right>
      <bottom style="thick">
        <color rgb="FF00FF00"/>
      </bottom>
    </border>
    <border>
      <left style="thick">
        <color rgb="FFFF0000"/>
      </left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56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3" numFmtId="164" xfId="0" applyAlignment="1" applyBorder="1" applyFill="1" applyFont="1" applyNumberFormat="1">
      <alignment horizontal="center" readingOrder="0" shrinkToFit="0" vertical="center" wrapText="1"/>
    </xf>
    <xf borderId="1" fillId="4" fontId="4" numFmtId="1" xfId="0" applyAlignment="1" applyBorder="1" applyFill="1" applyFont="1" applyNumberFormat="1">
      <alignment horizontal="center" readingOrder="0" shrinkToFit="0" vertical="center" wrapText="1"/>
    </xf>
    <xf borderId="1" fillId="4" fontId="4" numFmtId="1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5" fontId="6" numFmtId="3" xfId="0" applyAlignment="1" applyBorder="1" applyFill="1" applyFont="1" applyNumberForma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" fillId="6" fontId="2" numFmtId="165" xfId="0" applyAlignment="1" applyBorder="1" applyFill="1" applyFont="1" applyNumberFormat="1">
      <alignment horizontal="center" readingOrder="0" shrinkToFit="0" vertical="center" wrapText="1"/>
    </xf>
    <xf borderId="1" fillId="6" fontId="7" numFmtId="165" xfId="0" applyAlignment="1" applyBorder="1" applyFont="1" applyNumberFormat="1">
      <alignment horizontal="center" readingOrder="0" shrinkToFit="0" vertical="center" wrapText="1"/>
    </xf>
    <xf borderId="1" fillId="7" fontId="7" numFmtId="164" xfId="0" applyAlignment="1" applyBorder="1" applyFill="1" applyFont="1" applyNumberFormat="1">
      <alignment horizontal="center" readingOrder="0" shrinkToFit="0" textRotation="180" vertical="center" wrapText="1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1" fillId="0" fontId="8" numFmtId="4" xfId="0" applyAlignment="1" applyBorder="1" applyFont="1" applyNumberFormat="1">
      <alignment horizontal="center" readingOrder="0" shrinkToFit="0" vertical="center" wrapText="1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8" fontId="11" numFmtId="0" xfId="0" applyAlignment="1" applyBorder="1" applyFill="1" applyFont="1">
      <alignment horizontal="center" readingOrder="0" shrinkToFit="0" vertical="center" wrapText="1"/>
    </xf>
    <xf borderId="1" fillId="3" fontId="7" numFmtId="166" xfId="0" applyAlignment="1" applyBorder="1" applyFont="1" applyNumberFormat="1">
      <alignment horizontal="center" readingOrder="0" shrinkToFit="0" vertical="center" wrapText="1"/>
    </xf>
    <xf borderId="1" fillId="4" fontId="10" numFmtId="1" xfId="0" applyAlignment="1" applyBorder="1" applyFont="1" applyNumberFormat="1">
      <alignment horizontal="center" readingOrder="0" shrinkToFit="0" vertical="center" wrapText="1"/>
    </xf>
    <xf borderId="1" fillId="0" fontId="10" numFmtId="165" xfId="0" applyAlignment="1" applyBorder="1" applyFont="1" applyNumberFormat="1">
      <alignment horizontal="left" readingOrder="0" shrinkToFit="0" vertical="center" wrapText="1"/>
    </xf>
    <xf borderId="1" fillId="5" fontId="10" numFmtId="3" xfId="0" applyAlignment="1" applyBorder="1" applyFont="1" applyNumberFormat="1">
      <alignment horizontal="center" readingOrder="0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1" fillId="5" fontId="10" numFmtId="165" xfId="0" applyAlignment="1" applyBorder="1" applyFont="1" applyNumberFormat="1">
      <alignment horizontal="center" readingOrder="0" shrinkToFit="0" vertical="center" wrapText="1"/>
    </xf>
    <xf borderId="1" fillId="9" fontId="10" numFmtId="165" xfId="0" applyAlignment="1" applyBorder="1" applyFill="1" applyFont="1" applyNumberFormat="1">
      <alignment horizontal="center" readingOrder="0" shrinkToFit="0" vertical="center" wrapText="1"/>
    </xf>
    <xf borderId="1" fillId="7" fontId="10" numFmtId="0" xfId="0" applyAlignment="1" applyBorder="1" applyFont="1">
      <alignment horizontal="center" readingOrder="0" shrinkToFit="0" vertical="center" wrapText="1"/>
    </xf>
    <xf borderId="1" fillId="0" fontId="10" numFmtId="164" xfId="0" applyAlignment="1" applyBorder="1" applyFont="1" applyNumberFormat="1">
      <alignment horizontal="center" readingOrder="0" shrinkToFit="0" vertical="center" wrapText="1"/>
    </xf>
    <xf borderId="1" fillId="0" fontId="4" numFmtId="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5" fontId="10" numFmtId="164" xfId="0" applyAlignment="1" applyBorder="1" applyFont="1" applyNumberFormat="1">
      <alignment horizontal="center" readingOrder="0" shrinkToFit="0" vertical="center" wrapText="1"/>
    </xf>
    <xf borderId="1" fillId="9" fontId="10" numFmtId="167" xfId="0" applyAlignment="1" applyBorder="1" applyFont="1" applyNumberFormat="1">
      <alignment horizontal="center" shrinkToFit="0" vertical="center" wrapText="1"/>
    </xf>
    <xf borderId="1" fillId="0" fontId="11" numFmtId="164" xfId="0" applyAlignment="1" applyBorder="1" applyFont="1" applyNumberFormat="1">
      <alignment horizontal="center" readingOrder="0" shrinkToFit="0" vertical="center" wrapText="1"/>
    </xf>
    <xf borderId="1" fillId="9" fontId="10" numFmtId="164" xfId="0" applyAlignment="1" applyBorder="1" applyFont="1" applyNumberFormat="1">
      <alignment horizontal="center" readingOrder="0" shrinkToFit="0" vertical="center" wrapText="1"/>
    </xf>
    <xf borderId="1" fillId="5" fontId="10" numFmtId="3" xfId="0" applyAlignment="1" applyBorder="1" applyFont="1" applyNumberFormat="1">
      <alignment horizontal="center" shrinkToFit="0" vertical="center" wrapText="1"/>
    </xf>
    <xf borderId="1" fillId="5" fontId="10" numFmtId="164" xfId="0" applyAlignment="1" applyBorder="1" applyFont="1" applyNumberFormat="1">
      <alignment horizontal="center" shrinkToFit="0" vertical="center" wrapText="1"/>
    </xf>
    <xf borderId="1" fillId="9" fontId="10" numFmtId="164" xfId="0" applyAlignment="1" applyBorder="1" applyFont="1" applyNumberFormat="1">
      <alignment horizontal="center" shrinkToFit="0" vertical="center" wrapText="1"/>
    </xf>
    <xf borderId="1" fillId="8" fontId="10" numFmtId="0" xfId="0" applyAlignment="1" applyBorder="1" applyFont="1">
      <alignment horizontal="center" readingOrder="0" shrinkToFit="0" vertical="center" wrapText="1"/>
    </xf>
    <xf borderId="1" fillId="0" fontId="12" numFmtId="164" xfId="0" applyAlignment="1" applyBorder="1" applyFont="1" applyNumberFormat="1">
      <alignment horizontal="center" readingOrder="0" shrinkToFit="0" vertical="center" wrapText="1"/>
    </xf>
    <xf borderId="1" fillId="3" fontId="3" numFmtId="166" xfId="0" applyAlignment="1" applyBorder="1" applyFont="1" applyNumberFormat="1">
      <alignment horizontal="center" readingOrder="0" shrinkToFit="0" vertical="center" wrapText="1"/>
    </xf>
    <xf borderId="1" fillId="0" fontId="13" numFmtId="164" xfId="0" applyAlignment="1" applyBorder="1" applyFont="1" applyNumberFormat="1">
      <alignment shrinkToFit="0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4" fontId="14" numFmtId="1" xfId="0" applyAlignment="1" applyBorder="1" applyFont="1" applyNumberFormat="1">
      <alignment horizontal="center" readingOrder="0" shrinkToFit="0" wrapText="1"/>
    </xf>
    <xf borderId="1" fillId="0" fontId="10" numFmtId="0" xfId="0" applyAlignment="1" applyBorder="1" applyFont="1">
      <alignment readingOrder="0" shrinkToFit="0" vertical="center" wrapText="1"/>
    </xf>
    <xf borderId="1" fillId="2" fontId="10" numFmtId="164" xfId="0" applyAlignment="1" applyBorder="1" applyFont="1" applyNumberFormat="1">
      <alignment horizontal="center" readingOrder="0" shrinkToFit="0" vertical="center" wrapText="1"/>
    </xf>
    <xf borderId="1" fillId="2" fontId="10" numFmtId="165" xfId="0" applyAlignment="1" applyBorder="1" applyFont="1" applyNumberFormat="1">
      <alignment horizontal="center" readingOrder="0" shrinkToFit="0" vertical="center" wrapText="1"/>
    </xf>
    <xf borderId="1" fillId="5" fontId="10" numFmtId="165" xfId="0" applyAlignment="1" applyBorder="1" applyFont="1" applyNumberFormat="1">
      <alignment horizontal="center" readingOrder="0" shrinkToFit="0" vertical="center" wrapText="1"/>
    </xf>
    <xf borderId="1" fillId="9" fontId="10" numFmtId="165" xfId="0" applyAlignment="1" applyBorder="1" applyFont="1" applyNumberFormat="1">
      <alignment horizontal="center" readingOrder="0" shrinkToFit="0" vertical="center" wrapText="1"/>
    </xf>
    <xf borderId="1" fillId="5" fontId="10" numFmtId="168" xfId="0" applyAlignment="1" applyBorder="1" applyFont="1" applyNumberFormat="1">
      <alignment horizontal="center" readingOrder="0" shrinkToFit="0" vertical="center" wrapText="1"/>
    </xf>
    <xf borderId="1" fillId="6" fontId="10" numFmtId="164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5" numFmtId="164" xfId="0" applyAlignment="1" applyBorder="1" applyFont="1" applyNumberFormat="1">
      <alignment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6" numFmtId="164" xfId="0" applyAlignment="1" applyBorder="1" applyFont="1" applyNumberFormat="1">
      <alignment horizontal="center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6" fontId="10" numFmtId="165" xfId="0" applyAlignment="1" applyBorder="1" applyFont="1" applyNumberFormat="1">
      <alignment horizontal="center" readingOrder="0" shrinkToFit="0" vertical="center" wrapText="1"/>
    </xf>
    <xf borderId="1" fillId="8" fontId="10" numFmtId="0" xfId="0" applyAlignment="1" applyBorder="1" applyFont="1">
      <alignment horizontal="left" readingOrder="0" shrinkToFit="0" vertical="center" wrapText="1"/>
    </xf>
    <xf borderId="1" fillId="0" fontId="10" numFmtId="164" xfId="0" applyAlignment="1" applyBorder="1" applyFont="1" applyNumberFormat="1">
      <alignment shrinkToFit="0" vertical="center" wrapText="1"/>
    </xf>
    <xf borderId="1" fillId="5" fontId="10" numFmtId="169" xfId="0" applyAlignment="1" applyBorder="1" applyFont="1" applyNumberFormat="1">
      <alignment horizontal="center" readingOrder="0" shrinkToFit="0" vertical="center" wrapText="1"/>
    </xf>
    <xf borderId="1" fillId="0" fontId="10" numFmtId="166" xfId="0" applyAlignment="1" applyBorder="1" applyFont="1" applyNumberFormat="1">
      <alignment horizontal="left" readingOrder="0" shrinkToFit="0" vertical="center" wrapText="1"/>
    </xf>
    <xf borderId="1" fillId="6" fontId="10" numFmtId="165" xfId="0" applyAlignment="1" applyBorder="1" applyFont="1" applyNumberFormat="1">
      <alignment horizontal="center" readingOrder="0" shrinkToFit="0" vertical="center" wrapText="1"/>
    </xf>
    <xf borderId="1" fillId="4" fontId="17" numFmtId="1" xfId="0" applyAlignment="1" applyBorder="1" applyFont="1" applyNumberFormat="1">
      <alignment horizontal="center" readingOrder="0" shrinkToFit="0" vertical="center" wrapText="1"/>
    </xf>
    <xf borderId="1" fillId="4" fontId="15" numFmtId="1" xfId="0" applyAlignment="1" applyBorder="1" applyFont="1" applyNumberFormat="1">
      <alignment horizontal="center" readingOrder="0" shrinkToFit="0" vertical="center" wrapText="1"/>
    </xf>
    <xf borderId="1" fillId="0" fontId="17" numFmtId="164" xfId="0" applyAlignment="1" applyBorder="1" applyFont="1" applyNumberForma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6" fontId="15" numFmtId="164" xfId="0" applyAlignment="1" applyBorder="1" applyFont="1" applyNumberForma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2" numFmtId="1" xfId="0" applyAlignment="1" applyBorder="1" applyFont="1" applyNumberFormat="1">
      <alignment horizontal="center" readingOrder="0" shrinkToFit="0" vertical="center" wrapText="1"/>
    </xf>
    <xf borderId="1" fillId="3" fontId="3" numFmtId="164" xfId="0" applyAlignment="1" applyBorder="1" applyFont="1" applyNumberFormat="1">
      <alignment horizontal="center" readingOrder="0" shrinkToFit="0" vertical="center" wrapText="1"/>
    </xf>
    <xf borderId="1" fillId="0" fontId="15" numFmtId="164" xfId="0" applyAlignment="1" applyBorder="1" applyFont="1" applyNumberFormat="1">
      <alignment shrinkToFit="0" vertical="center" wrapText="1"/>
    </xf>
    <xf borderId="1" fillId="0" fontId="15" numFmtId="164" xfId="0" applyAlignment="1" applyBorder="1" applyFont="1" applyNumberFormat="1">
      <alignment horizontal="center" readingOrder="0" shrinkToFit="0" vertical="center" wrapText="1"/>
    </xf>
    <xf borderId="1" fillId="8" fontId="10" numFmtId="0" xfId="0" applyAlignment="1" applyBorder="1" applyFont="1">
      <alignment shrinkToFit="0" vertical="center" wrapText="1"/>
    </xf>
    <xf borderId="1" fillId="7" fontId="10" numFmtId="165" xfId="0" applyAlignment="1" applyBorder="1" applyFont="1" applyNumberFormat="1">
      <alignment horizontal="center" readingOrder="0" shrinkToFit="0" vertical="center" wrapText="1"/>
    </xf>
    <xf borderId="1" fillId="5" fontId="11" numFmtId="3" xfId="0" applyAlignment="1" applyBorder="1" applyFont="1" applyNumberFormat="1">
      <alignment horizontal="center" readingOrder="0" shrinkToFit="0" vertical="center" wrapText="0"/>
    </xf>
    <xf borderId="1" fillId="5" fontId="11" numFmtId="164" xfId="0" applyAlignment="1" applyBorder="1" applyFont="1" applyNumberFormat="1">
      <alignment horizontal="center" readingOrder="0" shrinkToFit="0" vertical="center" wrapText="0"/>
    </xf>
    <xf borderId="1" fillId="2" fontId="11" numFmtId="164" xfId="0" applyAlignment="1" applyBorder="1" applyFont="1" applyNumberFormat="1">
      <alignment horizontal="center" readingOrder="0" shrinkToFit="0" vertical="center" wrapText="0"/>
    </xf>
    <xf borderId="1" fillId="0" fontId="10" numFmtId="164" xfId="0" applyAlignment="1" applyBorder="1" applyFont="1" applyNumberFormat="1">
      <alignment readingOrder="0" shrinkToFit="0" vertical="center" wrapText="1"/>
    </xf>
    <xf borderId="1" fillId="4" fontId="13" numFmtId="0" xfId="0" applyAlignment="1" applyBorder="1" applyFont="1">
      <alignment horizontal="center" readingOrder="0" shrinkToFit="0" wrapText="1"/>
    </xf>
    <xf borderId="1" fillId="7" fontId="2" numFmtId="0" xfId="0" applyAlignment="1" applyBorder="1" applyFont="1">
      <alignment horizontal="center" readingOrder="0" shrinkToFit="0" vertical="center" wrapText="1"/>
    </xf>
    <xf borderId="1" fillId="0" fontId="10" numFmtId="165" xfId="0" applyAlignment="1" applyBorder="1" applyFont="1" applyNumberFormat="1">
      <alignment horizontal="center" readingOrder="0" shrinkToFit="0" vertical="center" wrapText="1"/>
    </xf>
    <xf borderId="1" fillId="0" fontId="18" numFmtId="0" xfId="0" applyAlignment="1" applyBorder="1" applyFont="1">
      <alignment horizontal="left" readingOrder="0" shrinkToFit="0" vertical="center" wrapText="1"/>
    </xf>
    <xf borderId="1" fillId="8" fontId="18" numFmtId="0" xfId="0" applyAlignment="1" applyBorder="1" applyFont="1">
      <alignment horizontal="center" readingOrder="0" shrinkToFit="0" vertical="center" wrapText="1"/>
    </xf>
    <xf borderId="1" fillId="3" fontId="19" numFmtId="166" xfId="0" applyAlignment="1" applyBorder="1" applyFont="1" applyNumberFormat="1">
      <alignment horizontal="center" readingOrder="0" shrinkToFit="0" vertical="center" wrapText="1"/>
    </xf>
    <xf borderId="1" fillId="4" fontId="20" numFmtId="1" xfId="0" applyAlignment="1" applyBorder="1" applyFont="1" applyNumberFormat="1">
      <alignment horizontal="center" readingOrder="0" shrinkToFit="0" vertical="center" wrapText="1"/>
    </xf>
    <xf borderId="1" fillId="5" fontId="18" numFmtId="3" xfId="0" applyAlignment="1" applyBorder="1" applyFont="1" applyNumberFormat="1">
      <alignment horizontal="center" readingOrder="0" shrinkToFit="0" vertical="center" wrapText="1"/>
    </xf>
    <xf borderId="1" fillId="5" fontId="18" numFmtId="0" xfId="0" applyAlignment="1" applyBorder="1" applyFont="1">
      <alignment horizontal="center" readingOrder="0" shrinkToFit="0" vertical="center" wrapText="1"/>
    </xf>
    <xf borderId="1" fillId="5" fontId="18" numFmtId="164" xfId="0" applyAlignment="1" applyBorder="1" applyFont="1" applyNumberFormat="1">
      <alignment horizontal="center" readingOrder="0" shrinkToFit="0" vertical="center" wrapText="1"/>
    </xf>
    <xf borderId="1" fillId="2" fontId="18" numFmtId="164" xfId="0" applyAlignment="1" applyBorder="1" applyFont="1" applyNumberFormat="1">
      <alignment horizontal="center" readingOrder="0" shrinkToFit="0" vertical="center" wrapText="1"/>
    </xf>
    <xf borderId="1" fillId="7" fontId="18" numFmtId="0" xfId="0" applyAlignment="1" applyBorder="1" applyFont="1">
      <alignment horizontal="center" readingOrder="0" shrinkToFit="0" vertical="center" wrapText="1"/>
    </xf>
    <xf borderId="1" fillId="0" fontId="18" numFmtId="164" xfId="0" applyAlignment="1" applyBorder="1" applyFont="1" applyNumberFormat="1">
      <alignment horizontal="center" readingOrder="0" shrinkToFit="0" vertical="center" wrapText="1"/>
    </xf>
    <xf borderId="1" fillId="0" fontId="20" numFmtId="4" xfId="0" applyAlignment="1" applyBorder="1" applyFont="1" applyNumberFormat="1">
      <alignment horizontal="center" shrinkToFit="0" vertical="center" wrapText="1"/>
    </xf>
    <xf borderId="1" fillId="0" fontId="21" numFmtId="164" xfId="0" applyAlignment="1" applyBorder="1" applyFont="1" applyNumberFormat="1">
      <alignment horizontal="center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1"/>
    </xf>
    <xf borderId="1" fillId="8" fontId="10" numFmtId="0" xfId="0" applyAlignment="1" applyBorder="1" applyFont="1">
      <alignment horizontal="left" readingOrder="0" shrinkToFit="0" vertical="center" wrapText="1"/>
    </xf>
    <xf borderId="1" fillId="5" fontId="10" numFmtId="170" xfId="0" applyAlignment="1" applyBorder="1" applyFont="1" applyNumberFormat="1">
      <alignment horizontal="center" readingOrder="0" shrinkToFit="0" vertical="center" wrapText="1"/>
    </xf>
    <xf borderId="1" fillId="6" fontId="10" numFmtId="1" xfId="0" applyAlignment="1" applyBorder="1" applyFont="1" applyNumberFormat="1">
      <alignment horizontal="center" readingOrder="0" shrinkToFit="0" vertical="center" wrapText="1"/>
    </xf>
    <xf borderId="1" fillId="7" fontId="2" numFmtId="165" xfId="0" applyAlignment="1" applyBorder="1" applyFont="1" applyNumberFormat="1">
      <alignment horizontal="center" readingOrder="0" shrinkToFit="0" vertical="center" wrapText="1"/>
    </xf>
    <xf borderId="1" fillId="0" fontId="10" numFmtId="166" xfId="0" applyAlignment="1" applyBorder="1" applyFont="1" applyNumberFormat="1">
      <alignment horizontal="center" readingOrder="0" shrinkToFit="0" vertical="center" wrapText="1"/>
    </xf>
    <xf borderId="1" fillId="4" fontId="14" numFmtId="1" xfId="0" applyAlignment="1" applyBorder="1" applyFont="1" applyNumberFormat="1">
      <alignment horizontal="center" readingOrder="0" shrinkToFit="0" vertical="center" wrapText="1"/>
    </xf>
    <xf borderId="1" fillId="5" fontId="11" numFmtId="3" xfId="0" applyAlignment="1" applyBorder="1" applyFont="1" applyNumberFormat="1">
      <alignment horizontal="center" readingOrder="0" shrinkToFit="0" vertical="center" wrapText="1"/>
    </xf>
    <xf borderId="1" fillId="5" fontId="11" numFmtId="165" xfId="0" applyAlignment="1" applyBorder="1" applyFont="1" applyNumberFormat="1">
      <alignment horizontal="center" readingOrder="0" shrinkToFit="0" vertical="center" wrapText="1"/>
    </xf>
    <xf borderId="1" fillId="6" fontId="11" numFmtId="165" xfId="0" applyAlignment="1" applyBorder="1" applyFont="1" applyNumberFormat="1">
      <alignment horizontal="center" readingOrder="0" shrinkToFit="0" vertical="center" wrapText="1"/>
    </xf>
    <xf borderId="1" fillId="0" fontId="13" numFmtId="164" xfId="0" applyAlignment="1" applyBorder="1" applyFont="1" applyNumberFormat="1">
      <alignment readingOrder="0" shrinkToFit="0" wrapText="1"/>
    </xf>
    <xf borderId="1" fillId="3" fontId="2" numFmtId="1" xfId="0" applyAlignment="1" applyBorder="1" applyFont="1" applyNumberFormat="1">
      <alignment horizontal="center" readingOrder="0" shrinkToFit="0" vertical="center" wrapText="0"/>
    </xf>
    <xf borderId="1" fillId="3" fontId="7" numFmtId="166" xfId="0" applyAlignment="1" applyBorder="1" applyFont="1" applyNumberFormat="1">
      <alignment horizontal="center" readingOrder="0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1"/>
    </xf>
    <xf borderId="1" fillId="3" fontId="2" numFmtId="1" xfId="0" applyAlignment="1" applyBorder="1" applyFont="1" applyNumberFormat="1">
      <alignment horizontal="center" readingOrder="0" shrinkToFit="0" vertical="center" wrapText="1"/>
    </xf>
    <xf borderId="1" fillId="4" fontId="22" numFmtId="1" xfId="0" applyAlignment="1" applyBorder="1" applyFont="1" applyNumberFormat="1">
      <alignment readingOrder="0" shrinkToFit="0" wrapText="1"/>
    </xf>
    <xf borderId="1" fillId="4" fontId="15" numFmtId="1" xfId="0" applyAlignment="1" applyBorder="1" applyFont="1" applyNumberFormat="1">
      <alignment horizontal="center" shrinkToFit="0" wrapText="1"/>
    </xf>
    <xf borderId="1" fillId="3" fontId="2" numFmtId="0" xfId="0" applyAlignment="1" applyBorder="1" applyFont="1">
      <alignment shrinkToFit="0" vertical="center" wrapText="1"/>
    </xf>
    <xf borderId="1" fillId="4" fontId="23" numFmtId="0" xfId="0" applyAlignment="1" applyBorder="1" applyFont="1">
      <alignment horizontal="center" readingOrder="0" shrinkToFit="0" vertical="center" wrapText="1"/>
    </xf>
    <xf borderId="1" fillId="5" fontId="12" numFmtId="3" xfId="0" applyAlignment="1" applyBorder="1" applyFont="1" applyNumberFormat="1">
      <alignment horizontal="center" readingOrder="0" shrinkToFit="0" vertical="center" wrapText="1"/>
    </xf>
    <xf borderId="1" fillId="5" fontId="12" numFmtId="164" xfId="0" applyAlignment="1" applyBorder="1" applyFont="1" applyNumberFormat="1">
      <alignment horizontal="center" readingOrder="0" shrinkToFit="0" vertical="center" wrapText="1"/>
    </xf>
    <xf borderId="1" fillId="2" fontId="12" numFmtId="164" xfId="0" applyAlignment="1" applyBorder="1" applyFont="1" applyNumberFormat="1">
      <alignment horizontal="center" readingOrder="0" shrinkToFit="0" vertical="center" wrapText="1"/>
    </xf>
    <xf borderId="1" fillId="8" fontId="10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6" fontId="10" numFmtId="0" xfId="0" applyAlignment="1" applyBorder="1" applyFont="1">
      <alignment horizontal="center" readingOrder="0" shrinkToFit="0" vertical="center" wrapText="1"/>
    </xf>
    <xf borderId="1" fillId="8" fontId="10" numFmtId="164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readingOrder="0" shrinkToFit="0" vertical="center" wrapText="0"/>
    </xf>
    <xf borderId="1" fillId="0" fontId="17" numFmtId="165" xfId="0" applyAlignment="1" applyBorder="1" applyFont="1" applyNumberFormat="1">
      <alignment horizontal="left" readingOrder="0" shrinkToFit="0" vertical="center" wrapText="1"/>
    </xf>
    <xf borderId="1" fillId="8" fontId="11" numFmtId="166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2" fontId="10" numFmtId="164" xfId="0" applyAlignment="1" applyBorder="1" applyFont="1" applyNumberFormat="1">
      <alignment horizontal="center" shrinkToFit="0" vertical="center" wrapText="1"/>
    </xf>
    <xf borderId="1" fillId="8" fontId="11" numFmtId="167" xfId="0" applyAlignment="1" applyBorder="1" applyFont="1" applyNumberFormat="1">
      <alignment horizontal="center" readingOrder="0" shrinkToFit="0" vertical="center" wrapText="1"/>
    </xf>
    <xf borderId="1" fillId="2" fontId="10" numFmtId="165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shrinkToFit="0" wrapText="1"/>
    </xf>
    <xf borderId="1" fillId="6" fontId="10" numFmtId="167" xfId="0" applyAlignment="1" applyBorder="1" applyFont="1" applyNumberFormat="1">
      <alignment horizontal="center" shrinkToFit="0" vertical="center" wrapText="1"/>
    </xf>
    <xf borderId="1" fillId="4" fontId="24" numFmtId="1" xfId="0" applyAlignment="1" applyBorder="1" applyFont="1" applyNumberFormat="1">
      <alignment horizontal="center" readingOrder="0" shrinkToFit="0" vertical="center" wrapText="1"/>
    </xf>
    <xf borderId="1" fillId="5" fontId="2" numFmtId="164" xfId="0" applyAlignment="1" applyBorder="1" applyFont="1" applyNumberForma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" fillId="9" fontId="11" numFmtId="0" xfId="0" applyAlignment="1" applyBorder="1" applyFont="1">
      <alignment horizontal="center" readingOrder="0" shrinkToFit="0" vertical="center" wrapText="1"/>
    </xf>
    <xf borderId="1" fillId="4" fontId="10" numFmtId="165" xfId="0" applyAlignment="1" applyBorder="1" applyFont="1" applyNumberFormat="1">
      <alignment horizontal="center" readingOrder="0" shrinkToFit="0" vertical="center" wrapText="1"/>
    </xf>
    <xf borderId="1" fillId="0" fontId="11" numFmtId="166" xfId="0" applyAlignment="1" applyBorder="1" applyFont="1" applyNumberFormat="1">
      <alignment readingOrder="0" shrinkToFit="0" vertical="center" wrapText="0"/>
    </xf>
    <xf borderId="1" fillId="0" fontId="11" numFmtId="166" xfId="0" applyAlignment="1" applyBorder="1" applyFont="1" applyNumberFormat="1">
      <alignment horizontal="center" readingOrder="0" shrinkToFit="0" vertical="center" wrapText="1"/>
    </xf>
    <xf borderId="1" fillId="8" fontId="10" numFmtId="0" xfId="0" applyAlignment="1" applyBorder="1" applyFont="1">
      <alignment horizontal="left" readingOrder="0" shrinkToFit="0" vertical="center" wrapText="1"/>
    </xf>
    <xf borderId="1" fillId="0" fontId="4" numFmtId="1" xfId="0" applyAlignment="1" applyBorder="1" applyFont="1" applyNumberFormat="1">
      <alignment horizontal="center" readingOrder="0" shrinkToFit="0" vertical="center" wrapText="1"/>
    </xf>
    <xf borderId="1" fillId="6" fontId="10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5" fontId="10" numFmtId="3" xfId="0" applyAlignment="1" applyBorder="1" applyFont="1" applyNumberFormat="1">
      <alignment horizontal="center" readingOrder="0" shrinkToFit="0" vertical="center" wrapText="1"/>
    </xf>
    <xf borderId="1" fillId="5" fontId="10" numFmtId="1" xfId="0" applyAlignment="1" applyBorder="1" applyFont="1" applyNumberFormat="1">
      <alignment horizontal="center" readingOrder="0" shrinkToFit="0" vertical="center" wrapText="1"/>
    </xf>
    <xf borderId="1" fillId="2" fontId="10" numFmtId="1" xfId="0" applyAlignment="1" applyBorder="1" applyFont="1" applyNumberFormat="1">
      <alignment horizontal="center" readingOrder="0" shrinkToFit="0" vertical="center" wrapText="1"/>
    </xf>
    <xf borderId="1" fillId="8" fontId="10" numFmtId="166" xfId="0" applyAlignment="1" applyBorder="1" applyFont="1" applyNumberFormat="1">
      <alignment horizontal="center" readingOrder="0" shrinkToFit="0" vertical="center" wrapText="1"/>
    </xf>
    <xf borderId="1" fillId="5" fontId="15" numFmtId="3" xfId="0" applyAlignment="1" applyBorder="1" applyFont="1" applyNumberFormat="1">
      <alignment horizontal="center" readingOrder="0" shrinkToFit="0" vertical="center" wrapText="1"/>
    </xf>
    <xf borderId="1" fillId="5" fontId="15" numFmtId="165" xfId="0" applyAlignment="1" applyBorder="1" applyFont="1" applyNumberFormat="1">
      <alignment horizontal="center" readingOrder="0" shrinkToFit="0" vertical="center" wrapText="1"/>
    </xf>
    <xf borderId="1" fillId="9" fontId="15" numFmtId="165" xfId="0" applyAlignment="1" applyBorder="1" applyFont="1" applyNumberFormat="1">
      <alignment horizontal="center" readingOrder="0" shrinkToFit="0" vertical="center" wrapText="1"/>
    </xf>
    <xf borderId="1" fillId="9" fontId="15" numFmtId="165" xfId="0" applyAlignment="1" applyBorder="1" applyFont="1" applyNumberFormat="1">
      <alignment horizontal="center" shrinkToFit="0" vertical="center" wrapText="1"/>
    </xf>
    <xf borderId="1" fillId="0" fontId="4" numFmtId="4" xfId="0" applyAlignment="1" applyBorder="1" applyFont="1" applyNumberFormat="1">
      <alignment horizontal="center" readingOrder="0" shrinkToFit="0" vertical="center" wrapText="1"/>
    </xf>
    <xf borderId="1" fillId="8" fontId="11" numFmtId="164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shrinkToFit="0" wrapText="1"/>
    </xf>
    <xf borderId="1" fillId="0" fontId="10" numFmtId="0" xfId="0" applyAlignment="1" applyBorder="1" applyFont="1">
      <alignment horizontal="left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1" fillId="3" fontId="10" numFmtId="165" xfId="0" applyAlignment="1" applyBorder="1" applyFont="1" applyNumberFormat="1">
      <alignment horizontal="center" readingOrder="0" shrinkToFit="0" vertical="center" wrapText="1"/>
    </xf>
    <xf borderId="1" fillId="4" fontId="23" numFmtId="1" xfId="0" applyAlignment="1" applyBorder="1" applyFont="1" applyNumberFormat="1">
      <alignment horizontal="center" readingOrder="0" shrinkToFit="0" wrapText="1"/>
    </xf>
    <xf borderId="1" fillId="4" fontId="13" numFmtId="1" xfId="0" applyAlignment="1" applyBorder="1" applyFont="1" applyNumberFormat="1">
      <alignment horizontal="center" readingOrder="0" shrinkToFit="0" wrapText="1"/>
    </xf>
    <xf borderId="1" fillId="0" fontId="10" numFmtId="0" xfId="0" applyAlignment="1" applyBorder="1" applyFont="1">
      <alignment shrinkToFit="0" vertical="center" wrapText="1"/>
    </xf>
    <xf borderId="1" fillId="8" fontId="11" numFmtId="0" xfId="0" applyAlignment="1" applyBorder="1" applyFont="1">
      <alignment horizontal="center" readingOrder="0" shrinkToFit="0" vertical="center" wrapText="1"/>
    </xf>
    <xf borderId="1" fillId="3" fontId="17" numFmtId="1" xfId="0" applyAlignment="1" applyBorder="1" applyFont="1" applyNumberFormat="1">
      <alignment horizontal="center" readingOrder="0" shrinkToFit="0" vertical="center" wrapText="1"/>
    </xf>
    <xf borderId="1" fillId="10" fontId="10" numFmtId="3" xfId="0" applyAlignment="1" applyBorder="1" applyFill="1" applyFont="1" applyNumberFormat="1">
      <alignment horizontal="center" readingOrder="0" shrinkToFit="0" vertical="center" wrapText="1"/>
    </xf>
    <xf borderId="1" fillId="10" fontId="10" numFmtId="0" xfId="0" applyAlignment="1" applyBorder="1" applyFont="1">
      <alignment horizontal="center" readingOrder="0" shrinkToFit="0" vertical="center" wrapText="1"/>
    </xf>
    <xf borderId="1" fillId="10" fontId="10" numFmtId="169" xfId="0" applyAlignment="1" applyBorder="1" applyFont="1" applyNumberFormat="1">
      <alignment horizontal="center" readingOrder="0" shrinkToFit="0" vertical="center" wrapText="1"/>
    </xf>
    <xf borderId="1" fillId="10" fontId="10" numFmtId="168" xfId="0" applyAlignment="1" applyBorder="1" applyFont="1" applyNumberFormat="1">
      <alignment horizontal="center" readingOrder="0" shrinkToFit="0" vertical="center" wrapText="1"/>
    </xf>
    <xf borderId="1" fillId="0" fontId="13" numFmtId="164" xfId="0" applyAlignment="1" applyBorder="1" applyFont="1" applyNumberFormat="1">
      <alignment horizontal="center" readingOrder="0" shrinkToFit="0" wrapText="1"/>
    </xf>
    <xf borderId="1" fillId="4" fontId="25" numFmtId="1" xfId="0" applyAlignment="1" applyBorder="1" applyFont="1" applyNumberFormat="1">
      <alignment horizontal="center" readingOrder="0" shrinkToFit="0" wrapText="1"/>
    </xf>
    <xf borderId="1" fillId="9" fontId="11" numFmtId="165" xfId="0" applyAlignment="1" applyBorder="1" applyFont="1" applyNumberFormat="1">
      <alignment horizontal="center" readingOrder="0" shrinkToFit="0" vertical="center" wrapText="1"/>
    </xf>
    <xf borderId="1" fillId="0" fontId="10" numFmtId="171" xfId="0" applyAlignment="1" applyBorder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readingOrder="0" shrinkToFit="0" wrapText="1"/>
    </xf>
    <xf borderId="1" fillId="7" fontId="10" numFmtId="0" xfId="0" applyAlignment="1" applyBorder="1" applyFont="1">
      <alignment readingOrder="0" shrinkToFit="0" vertical="center" wrapText="1"/>
    </xf>
    <xf borderId="1" fillId="9" fontId="5" numFmtId="167" xfId="0" applyAlignment="1" applyBorder="1" applyFont="1" applyNumberFormat="1">
      <alignment horizontal="center" readingOrder="0" shrinkToFit="0" vertical="center" wrapText="1"/>
    </xf>
    <xf borderId="1" fillId="5" fontId="10" numFmtId="167" xfId="0" applyAlignment="1" applyBorder="1" applyFont="1" applyNumberFormat="1">
      <alignment horizontal="center" shrinkToFit="0" vertical="center" wrapText="1"/>
    </xf>
    <xf borderId="1" fillId="8" fontId="25" numFmtId="0" xfId="0" applyAlignment="1" applyBorder="1" applyFont="1">
      <alignment horizontal="center" readingOrder="0" shrinkToFit="0" vertical="center" wrapText="1"/>
    </xf>
    <xf borderId="1" fillId="2" fontId="10" numFmtId="165" xfId="0" applyAlignment="1" applyBorder="1" applyFont="1" applyNumberFormat="1">
      <alignment horizontal="center" readingOrder="0" shrinkToFit="0" vertical="center" wrapText="1"/>
    </xf>
    <xf borderId="1" fillId="5" fontId="11" numFmtId="164" xfId="0" applyAlignment="1" applyBorder="1" applyFont="1" applyNumberFormat="1">
      <alignment horizontal="center" readingOrder="0" shrinkToFit="0" vertical="center" wrapText="1"/>
    </xf>
    <xf borderId="1" fillId="2" fontId="11" numFmtId="164" xfId="0" applyAlignment="1" applyBorder="1" applyFont="1" applyNumberFormat="1">
      <alignment horizontal="center" readingOrder="0" shrinkToFit="0" vertical="center" wrapText="1"/>
    </xf>
    <xf borderId="1" fillId="2" fontId="11" numFmtId="165" xfId="0" applyAlignment="1" applyBorder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" fillId="8" fontId="17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9" fontId="11" numFmtId="167" xfId="0" applyAlignment="1" applyBorder="1" applyFont="1" applyNumberFormat="1">
      <alignment horizontal="center" shrinkToFit="0" vertical="center" wrapText="1"/>
    </xf>
    <xf borderId="1" fillId="8" fontId="11" numFmtId="3" xfId="0" applyAlignment="1" applyBorder="1" applyFont="1" applyNumberFormat="1">
      <alignment horizontal="center" readingOrder="0" shrinkToFit="0" vertical="center" wrapText="1"/>
    </xf>
    <xf borderId="1" fillId="4" fontId="26" numFmtId="0" xfId="0" applyAlignment="1" applyBorder="1" applyFont="1">
      <alignment horizontal="center" readingOrder="0" shrinkToFit="0" wrapText="1"/>
    </xf>
    <xf borderId="1" fillId="5" fontId="11" numFmtId="165" xfId="0" applyAlignment="1" applyBorder="1" applyFont="1" applyNumberFormat="1">
      <alignment horizontal="center" readingOrder="0" shrinkToFit="0" vertical="center" wrapText="1"/>
    </xf>
    <xf borderId="1" fillId="11" fontId="11" numFmtId="0" xfId="0" applyAlignment="1" applyBorder="1" applyFill="1" applyFont="1">
      <alignment horizontal="center" readingOrder="0" shrinkToFit="0" vertical="center" wrapText="1"/>
    </xf>
    <xf borderId="1" fillId="6" fontId="11" numFmtId="164" xfId="0" applyAlignment="1" applyBorder="1" applyFont="1" applyNumberFormat="1">
      <alignment horizontal="center" readingOrder="0" shrinkToFit="0" vertical="center" wrapText="0"/>
    </xf>
    <xf borderId="1" fillId="0" fontId="17" numFmtId="0" xfId="0" applyAlignment="1" applyBorder="1" applyFont="1">
      <alignment horizontal="left" readingOrder="0" shrinkToFit="0" vertical="center" wrapText="1"/>
    </xf>
    <xf borderId="1" fillId="9" fontId="10" numFmtId="167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readingOrder="0" shrinkToFit="0" vertical="center" wrapText="0"/>
    </xf>
    <xf borderId="1" fillId="4" fontId="25" numFmtId="1" xfId="0" applyAlignment="1" applyBorder="1" applyFont="1" applyNumberFormat="1">
      <alignment horizontal="center" readingOrder="0" shrinkToFit="0" wrapText="1"/>
    </xf>
    <xf borderId="1" fillId="8" fontId="10" numFmtId="165" xfId="0" applyAlignment="1" applyBorder="1" applyFont="1" applyNumberFormat="1">
      <alignment horizontal="center" readingOrder="0" shrinkToFit="0" vertical="center" wrapText="1"/>
    </xf>
    <xf borderId="1" fillId="5" fontId="11" numFmtId="3" xfId="0" applyAlignment="1" applyBorder="1" applyFont="1" applyNumberFormat="1">
      <alignment horizontal="right" readingOrder="0" shrinkToFit="0" vertical="center" wrapText="0"/>
    </xf>
    <xf borderId="1" fillId="5" fontId="11" numFmtId="164" xfId="0" applyAlignment="1" applyBorder="1" applyFont="1" applyNumberFormat="1">
      <alignment horizontal="right" readingOrder="0" shrinkToFit="0" vertical="center" wrapText="0"/>
    </xf>
    <xf borderId="1" fillId="2" fontId="11" numFmtId="164" xfId="0" applyAlignment="1" applyBorder="1" applyFont="1" applyNumberFormat="1">
      <alignment horizontal="right" readingOrder="0" shrinkToFit="0" vertical="center" wrapText="0"/>
    </xf>
    <xf borderId="1" fillId="9" fontId="10" numFmtId="0" xfId="0" applyAlignment="1" applyBorder="1" applyFont="1">
      <alignment horizontal="center" readingOrder="0" shrinkToFit="0" vertical="center" wrapText="1"/>
    </xf>
    <xf borderId="1" fillId="9" fontId="11" numFmtId="164" xfId="0" applyAlignment="1" applyBorder="1" applyFont="1" applyNumberFormat="1">
      <alignment horizontal="center" readingOrder="0" shrinkToFit="0" vertical="center" wrapText="0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172" xfId="0" applyAlignment="1" applyBorder="1" applyFont="1" applyNumberFormat="1">
      <alignment horizontal="center" shrinkToFit="0" vertical="center" wrapText="1"/>
    </xf>
    <xf borderId="1" fillId="0" fontId="13" numFmtId="164" xfId="0" applyAlignment="1" applyBorder="1" applyFont="1" applyNumberFormat="1">
      <alignment horizontal="center" readingOrder="0" shrinkToFit="0" vertical="center" wrapText="1"/>
    </xf>
    <xf borderId="1" fillId="12" fontId="10" numFmtId="0" xfId="0" applyAlignment="1" applyBorder="1" applyFill="1" applyFont="1">
      <alignment horizontal="center" readingOrder="0" shrinkToFit="0" vertical="center" wrapText="1"/>
    </xf>
    <xf borderId="1" fillId="4" fontId="23" numFmtId="0" xfId="0" applyAlignment="1" applyBorder="1" applyFont="1">
      <alignment horizontal="center" readingOrder="0" shrinkToFit="0" wrapText="1"/>
    </xf>
    <xf borderId="1" fillId="0" fontId="2" numFmtId="4" xfId="0" applyAlignment="1" applyBorder="1" applyFont="1" applyNumberFormat="1">
      <alignment horizontal="center" shrinkToFit="0" vertical="center" wrapText="1"/>
    </xf>
    <xf borderId="1" fillId="9" fontId="15" numFmtId="164" xfId="0" applyAlignment="1" applyBorder="1" applyFont="1" applyNumberFormat="1">
      <alignment horizontal="center" shrinkToFit="0" wrapText="1"/>
    </xf>
    <xf borderId="1" fillId="9" fontId="15" numFmtId="165" xfId="0" applyAlignment="1" applyBorder="1" applyFont="1" applyNumberFormat="1">
      <alignment horizontal="center" shrinkToFit="0" wrapText="1"/>
    </xf>
    <xf borderId="1" fillId="0" fontId="24" numFmtId="166" xfId="0" applyAlignment="1" applyBorder="1" applyFont="1" applyNumberFormat="1">
      <alignment horizontal="center" shrinkToFit="0" wrapText="1"/>
    </xf>
    <xf borderId="1" fillId="3" fontId="7" numFmtId="166" xfId="0" applyAlignment="1" applyBorder="1" applyFont="1" applyNumberFormat="1">
      <alignment horizontal="center" readingOrder="0" shrinkToFit="0" wrapText="1"/>
    </xf>
    <xf borderId="1" fillId="4" fontId="22" numFmtId="1" xfId="0" applyAlignment="1" applyBorder="1" applyFont="1" applyNumberFormat="1">
      <alignment shrinkToFit="0" wrapText="1"/>
    </xf>
    <xf borderId="1" fillId="5" fontId="22" numFmtId="3" xfId="0" applyAlignment="1" applyBorder="1" applyFont="1" applyNumberFormat="1">
      <alignment shrinkToFit="0" wrapText="1"/>
    </xf>
    <xf borderId="1" fillId="5" fontId="22" numFmtId="0" xfId="0" applyAlignment="1" applyBorder="1" applyFont="1">
      <alignment shrinkToFit="0" wrapText="1"/>
    </xf>
    <xf borderId="1" fillId="5" fontId="22" numFmtId="164" xfId="0" applyAlignment="1" applyBorder="1" applyFont="1" applyNumberFormat="1">
      <alignment readingOrder="0" shrinkToFit="0" wrapText="1"/>
    </xf>
    <xf borderId="1" fillId="6" fontId="15" numFmtId="165" xfId="0" applyAlignment="1" applyBorder="1" applyFont="1" applyNumberFormat="1">
      <alignment horizontal="center" readingOrder="0" shrinkToFit="0" wrapText="1"/>
    </xf>
    <xf borderId="1" fillId="0" fontId="15" numFmtId="166" xfId="0" applyAlignment="1" applyBorder="1" applyFont="1" applyNumberFormat="1">
      <alignment shrinkToFit="0" wrapText="1"/>
    </xf>
    <xf borderId="1" fillId="9" fontId="22" numFmtId="165" xfId="0" applyAlignment="1" applyBorder="1" applyFont="1" applyNumberFormat="1">
      <alignment horizontal="center" readingOrder="0" shrinkToFit="0" wrapText="1"/>
    </xf>
    <xf borderId="1" fillId="5" fontId="22" numFmtId="164" xfId="0" applyAlignment="1" applyBorder="1" applyFont="1" applyNumberFormat="1">
      <alignment shrinkToFit="0" wrapText="1"/>
    </xf>
    <xf borderId="1" fillId="5" fontId="13" numFmtId="3" xfId="0" applyAlignment="1" applyBorder="1" applyFont="1" applyNumberFormat="1">
      <alignment shrinkToFit="0" wrapText="1"/>
    </xf>
    <xf borderId="1" fillId="5" fontId="13" numFmtId="0" xfId="0" applyAlignment="1" applyBorder="1" applyFont="1">
      <alignment shrinkToFit="0" wrapText="1"/>
    </xf>
    <xf borderId="1" fillId="5" fontId="27" numFmtId="3" xfId="0" applyAlignment="1" applyBorder="1" applyFont="1" applyNumberFormat="1">
      <alignment shrinkToFit="0" wrapText="0"/>
    </xf>
    <xf borderId="1" fillId="5" fontId="27" numFmtId="0" xfId="0" applyAlignment="1" applyBorder="1" applyFont="1">
      <alignment shrinkToFit="0" wrapText="0"/>
    </xf>
    <xf borderId="1" fillId="6" fontId="27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shrinkToFit="0" wrapText="1"/>
    </xf>
    <xf borderId="1" fillId="8" fontId="11" numFmtId="0" xfId="0" applyAlignment="1" applyBorder="1" applyFont="1">
      <alignment readingOrder="0" shrinkToFit="0" vertical="center" wrapText="1"/>
    </xf>
    <xf borderId="1" fillId="2" fontId="10" numFmtId="3" xfId="0" applyAlignment="1" applyBorder="1" applyFont="1" applyNumberFormat="1">
      <alignment horizontal="center" readingOrder="0" shrinkToFit="0" vertical="center" wrapText="1"/>
    </xf>
    <xf borderId="1" fillId="0" fontId="13" numFmtId="164" xfId="0" applyAlignment="1" applyBorder="1" applyFont="1" applyNumberFormat="1">
      <alignment readingOrder="0" shrinkToFit="0" vertical="center" wrapText="1"/>
    </xf>
    <xf borderId="1" fillId="0" fontId="16" numFmtId="166" xfId="0" applyAlignment="1" applyBorder="1" applyFont="1" applyNumberFormat="1">
      <alignment horizontal="center" readingOrder="0" shrinkToFit="0" vertical="center" wrapText="1"/>
    </xf>
    <xf borderId="1" fillId="3" fontId="15" numFmtId="0" xfId="0" applyAlignment="1" applyBorder="1" applyFont="1">
      <alignment horizontal="center" readingOrder="0" shrinkToFit="0" vertical="center" wrapText="1"/>
    </xf>
    <xf borderId="1" fillId="13" fontId="10" numFmtId="0" xfId="0" applyAlignment="1" applyBorder="1" applyFill="1" applyFont="1">
      <alignment horizontal="left" readingOrder="0" shrinkToFit="0" vertical="center" wrapText="1"/>
    </xf>
    <xf borderId="1" fillId="14" fontId="28" numFmtId="0" xfId="0" applyAlignment="1" applyBorder="1" applyFill="1" applyFont="1">
      <alignment horizontal="left" readingOrder="0" shrinkToFit="0" vertical="center" wrapText="1"/>
    </xf>
    <xf borderId="1" fillId="9" fontId="11" numFmtId="165" xfId="0" applyAlignment="1" applyBorder="1" applyFont="1" applyNumberFormat="1">
      <alignment horizontal="center" readingOrder="0" shrinkToFit="0" vertical="center" wrapText="1"/>
    </xf>
    <xf borderId="1" fillId="9" fontId="11" numFmtId="164" xfId="0" applyAlignment="1" applyBorder="1" applyFont="1" applyNumberFormat="1">
      <alignment horizontal="center" readingOrder="0" shrinkToFit="0" vertical="center" wrapText="1"/>
    </xf>
    <xf borderId="1" fillId="6" fontId="10" numFmtId="166" xfId="0" applyAlignment="1" applyBorder="1" applyFont="1" applyNumberFormat="1">
      <alignment horizontal="left" readingOrder="0" shrinkToFit="0" vertical="center" wrapText="1"/>
    </xf>
    <xf borderId="1" fillId="2" fontId="18" numFmtId="165" xfId="0" applyAlignment="1" applyBorder="1" applyFont="1" applyNumberFormat="1">
      <alignment horizontal="center" readingOrder="0" shrinkToFit="0" vertical="center" wrapText="1"/>
    </xf>
    <xf borderId="1" fillId="4" fontId="4" numFmtId="167" xfId="0" applyAlignment="1" applyBorder="1" applyFont="1" applyNumberFormat="1">
      <alignment horizontal="center" shrinkToFit="0" vertical="center" wrapText="1"/>
    </xf>
    <xf borderId="1" fillId="0" fontId="29" numFmtId="0" xfId="0" applyAlignment="1" applyBorder="1" applyFont="1">
      <alignment readingOrder="0" shrinkToFit="0" vertical="center" wrapText="1"/>
    </xf>
    <xf borderId="1" fillId="5" fontId="15" numFmtId="165" xfId="0" applyAlignment="1" applyBorder="1" applyFont="1" applyNumberFormat="1">
      <alignment horizontal="center" readingOrder="0" shrinkToFit="0" vertical="center" wrapText="1"/>
    </xf>
    <xf borderId="1" fillId="6" fontId="15" numFmtId="165" xfId="0" applyAlignment="1" applyBorder="1" applyFont="1" applyNumberFormat="1">
      <alignment horizontal="center" readingOrder="0" shrinkToFit="0" vertical="center" wrapText="1"/>
    </xf>
    <xf borderId="1" fillId="0" fontId="10" numFmtId="173" xfId="0" applyAlignment="1" applyBorder="1" applyFont="1" applyNumberFormat="1">
      <alignment horizontal="left" readingOrder="0" shrinkToFit="0" vertical="center" wrapText="1"/>
    </xf>
    <xf borderId="1" fillId="5" fontId="30" numFmtId="0" xfId="0" applyAlignment="1" applyBorder="1" applyFont="1">
      <alignment readingOrder="0" shrinkToFit="0" wrapText="1"/>
    </xf>
    <xf borderId="1" fillId="2" fontId="11" numFmtId="165" xfId="0" applyAlignment="1" applyBorder="1" applyFont="1" applyNumberFormat="1">
      <alignment horizontal="center" readingOrder="0" shrinkToFit="0" vertical="center" wrapText="1"/>
    </xf>
    <xf borderId="1" fillId="5" fontId="15" numFmtId="3" xfId="0" applyAlignment="1" applyBorder="1" applyFont="1" applyNumberFormat="1">
      <alignment horizontal="center" shrinkToFit="0" vertical="center" wrapText="1"/>
    </xf>
    <xf borderId="1" fillId="5" fontId="15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1" fillId="8" fontId="11" numFmtId="174" xfId="0" applyAlignment="1" applyBorder="1" applyFont="1" applyNumberFormat="1">
      <alignment horizontal="center" readingOrder="0" shrinkToFit="0" vertical="center" wrapText="1"/>
    </xf>
    <xf borderId="1" fillId="8" fontId="10" numFmtId="0" xfId="0" applyAlignment="1" applyBorder="1" applyFont="1">
      <alignment horizontal="center" readingOrder="0" shrinkToFit="0" vertical="center" wrapText="1"/>
    </xf>
    <xf borderId="1" fillId="5" fontId="15" numFmtId="164" xfId="0" applyAlignment="1" applyBorder="1" applyFont="1" applyNumberFormat="1">
      <alignment horizontal="center" readingOrder="0" shrinkToFit="0" vertical="center" wrapText="1"/>
    </xf>
    <xf borderId="1" fillId="9" fontId="15" numFmtId="164" xfId="0" applyAlignment="1" applyBorder="1" applyFont="1" applyNumberFormat="1">
      <alignment horizontal="center" readingOrder="0" shrinkToFit="0" vertical="center" wrapText="1"/>
    </xf>
    <xf borderId="1" fillId="5" fontId="15" numFmtId="164" xfId="0" applyAlignment="1" applyBorder="1" applyFont="1" applyNumberFormat="1">
      <alignment horizontal="center" shrinkToFit="0" vertical="center" wrapText="1"/>
    </xf>
    <xf borderId="1" fillId="9" fontId="15" numFmtId="164" xfId="0" applyAlignment="1" applyBorder="1" applyFont="1" applyNumberFormat="1">
      <alignment horizontal="center" shrinkToFit="0" vertical="center" wrapText="1"/>
    </xf>
    <xf borderId="1" fillId="2" fontId="15" numFmtId="164" xfId="0" applyAlignment="1" applyBorder="1" applyFont="1" applyNumberFormat="1">
      <alignment horizontal="center" shrinkToFit="0" vertical="center" wrapText="1"/>
    </xf>
    <xf borderId="1" fillId="2" fontId="15" numFmtId="165" xfId="0" applyAlignment="1" applyBorder="1" applyFont="1" applyNumberFormat="1">
      <alignment horizontal="center" shrinkToFit="0" vertical="center" wrapText="1"/>
    </xf>
    <xf borderId="1" fillId="9" fontId="17" numFmtId="164" xfId="0" applyAlignment="1" applyBorder="1" applyFont="1" applyNumberFormat="1">
      <alignment horizontal="center" readingOrder="0" shrinkToFit="0" vertical="center" wrapText="1"/>
    </xf>
    <xf borderId="1" fillId="6" fontId="11" numFmtId="164" xfId="0" applyAlignment="1" applyBorder="1" applyFont="1" applyNumberFormat="1">
      <alignment horizontal="center" readingOrder="0" shrinkToFit="0" vertical="center" wrapText="1"/>
    </xf>
    <xf borderId="1" fillId="6" fontId="11" numFmtId="165" xfId="0" applyAlignment="1" applyBorder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15" numFmtId="164" xfId="0" applyAlignment="1" applyBorder="1" applyFont="1" applyNumberFormat="1">
      <alignment horizontal="center" shrinkToFit="0" vertical="center" wrapText="1"/>
    </xf>
    <xf borderId="1" fillId="0" fontId="10" numFmtId="166" xfId="0" applyAlignment="1" applyBorder="1" applyFont="1" applyNumberFormat="1">
      <alignment readingOrder="0" shrinkToFit="0" vertical="center" wrapText="1"/>
    </xf>
    <xf borderId="1" fillId="5" fontId="4" numFmtId="1" xfId="0" applyAlignment="1" applyBorder="1" applyFont="1" applyNumberFormat="1">
      <alignment horizontal="center" readingOrder="0" shrinkToFit="0" vertical="center" wrapText="1"/>
    </xf>
    <xf borderId="1" fillId="8" fontId="10" numFmtId="166" xfId="0" applyAlignment="1" applyBorder="1" applyFont="1" applyNumberFormat="1">
      <alignment horizontal="left" readingOrder="0" shrinkToFit="0" vertical="center" wrapText="1"/>
    </xf>
    <xf borderId="1" fillId="0" fontId="10" numFmtId="166" xfId="0" applyAlignment="1" applyBorder="1" applyFont="1" applyNumberFormat="1">
      <alignment horizontal="left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0" fontId="10" numFmtId="164" xfId="0" applyAlignment="1" applyBorder="1" applyFont="1" applyNumberFormat="1">
      <alignment shrinkToFit="0" vertical="center" wrapText="1"/>
    </xf>
    <xf borderId="1" fillId="5" fontId="10" numFmtId="1" xfId="0" applyAlignment="1" applyBorder="1" applyFont="1" applyNumberFormat="1">
      <alignment horizontal="center" readingOrder="0" shrinkToFit="0" vertical="center" wrapText="1"/>
    </xf>
    <xf borderId="1" fillId="2" fontId="10" numFmtId="1" xfId="0" applyAlignment="1" applyBorder="1" applyFont="1" applyNumberFormat="1">
      <alignment horizontal="center" readingOrder="0" shrinkToFit="0" vertical="center" wrapText="1"/>
    </xf>
    <xf borderId="1" fillId="3" fontId="10" numFmtId="0" xfId="0" applyAlignment="1" applyBorder="1" applyFont="1">
      <alignment horizontal="center" readingOrder="0" shrinkToFit="0" vertical="center" wrapText="1"/>
    </xf>
    <xf borderId="1" fillId="0" fontId="4" numFmtId="4" xfId="0" applyAlignment="1" applyBorder="1" applyFont="1" applyNumberFormat="1">
      <alignment horizontal="center" shrinkToFit="0" vertical="center" wrapText="1"/>
    </xf>
    <xf borderId="1" fillId="5" fontId="10" numFmtId="175" xfId="0" applyAlignment="1" applyBorder="1" applyFont="1" applyNumberFormat="1">
      <alignment horizontal="center" readingOrder="0" shrinkToFit="0" vertical="center" wrapText="1"/>
    </xf>
    <xf borderId="1" fillId="0" fontId="4" numFmtId="3" xfId="0" applyAlignment="1" applyBorder="1" applyFont="1" applyNumberFormat="1">
      <alignment horizontal="center" shrinkToFit="0" vertical="center" wrapText="1"/>
    </xf>
    <xf borderId="1" fillId="10" fontId="10" numFmtId="164" xfId="0" applyAlignment="1" applyBorder="1" applyFont="1" applyNumberFormat="1">
      <alignment horizontal="center" readingOrder="0" shrinkToFit="0" vertical="center" wrapText="1"/>
    </xf>
    <xf borderId="1" fillId="15" fontId="10" numFmtId="0" xfId="0" applyAlignment="1" applyBorder="1" applyFill="1" applyFont="1">
      <alignment horizontal="left" readingOrder="0" shrinkToFit="0" vertical="center" wrapText="1"/>
    </xf>
    <xf borderId="1" fillId="5" fontId="11" numFmtId="168" xfId="0" applyAlignment="1" applyBorder="1" applyFont="1" applyNumberFormat="1">
      <alignment horizontal="center" readingOrder="0" shrinkToFit="0" vertical="center" wrapText="1"/>
    </xf>
    <xf borderId="1" fillId="2" fontId="10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7" numFmtId="166" xfId="0" applyAlignment="1" applyBorder="1" applyFont="1" applyNumberFormat="1">
      <alignment horizontal="center" readingOrder="0" shrinkToFit="0" vertical="center" wrapText="1"/>
    </xf>
    <xf borderId="1" fillId="0" fontId="10" numFmtId="3" xfId="0" applyAlignment="1" applyBorder="1" applyFont="1" applyNumberFormat="1">
      <alignment horizontal="center" readingOrder="0" shrinkToFit="0" vertical="center" wrapText="1"/>
    </xf>
    <xf borderId="1" fillId="0" fontId="10" numFmtId="168" xfId="0" applyAlignment="1" applyBorder="1" applyFont="1" applyNumberFormat="1">
      <alignment horizontal="center" readingOrder="0" shrinkToFit="0" vertical="center" wrapText="1"/>
    </xf>
    <xf borderId="1" fillId="0" fontId="10" numFmtId="1" xfId="0" applyAlignment="1" applyBorder="1" applyFont="1" applyNumberFormat="1">
      <alignment horizontal="center" readingOrder="0" shrinkToFit="0" vertical="center" wrapText="1"/>
    </xf>
    <xf borderId="1" fillId="9" fontId="31" numFmtId="165" xfId="0" applyAlignment="1" applyBorder="1" applyFont="1" applyNumberFormat="1">
      <alignment horizontal="center" readingOrder="0" shrinkToFit="0" vertical="center" wrapText="1"/>
    </xf>
    <xf borderId="1" fillId="2" fontId="31" numFmtId="165" xfId="0" applyAlignment="1" applyBorder="1" applyFont="1" applyNumberFormat="1">
      <alignment horizontal="center" readingOrder="0" shrinkToFit="0" vertical="center" wrapText="1"/>
    </xf>
    <xf borderId="1" fillId="3" fontId="2" numFmtId="164" xfId="0" applyAlignment="1" applyBorder="1" applyFont="1" applyNumberFormat="1">
      <alignment horizontal="center" readingOrder="0" shrinkToFit="0" vertical="center" wrapText="1"/>
    </xf>
    <xf borderId="1" fillId="3" fontId="2" numFmtId="165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shrinkToFit="0" wrapText="1"/>
    </xf>
    <xf borderId="2" fillId="0" fontId="13" numFmtId="0" xfId="0" applyAlignment="1" applyBorder="1" applyFont="1">
      <alignment horizontal="center" readingOrder="0" shrinkToFit="0" vertical="center" wrapText="1"/>
    </xf>
    <xf borderId="3" fillId="0" fontId="13" numFmtId="0" xfId="0" applyAlignment="1" applyBorder="1" applyFont="1">
      <alignment shrinkToFit="0" wrapText="1"/>
    </xf>
    <xf borderId="4" fillId="0" fontId="13" numFmtId="0" xfId="0" applyAlignment="1" applyBorder="1" applyFont="1">
      <alignment shrinkToFit="0" wrapText="1"/>
    </xf>
    <xf borderId="5" fillId="0" fontId="13" numFmtId="0" xfId="0" applyAlignment="1" applyBorder="1" applyFont="1">
      <alignment shrinkToFit="0" wrapText="1"/>
    </xf>
    <xf borderId="6" fillId="0" fontId="13" numFmtId="0" xfId="0" applyAlignment="1" applyBorder="1" applyFont="1">
      <alignment shrinkToFit="0" wrapText="1"/>
    </xf>
    <xf borderId="7" fillId="0" fontId="13" numFmtId="0" xfId="0" applyAlignment="1" applyBorder="1" applyFont="1">
      <alignment shrinkToFit="0" wrapText="1"/>
    </xf>
    <xf borderId="1" fillId="0" fontId="13" numFmtId="0" xfId="0" applyAlignment="1" applyBorder="1" applyFont="1">
      <alignment horizontal="center" shrinkToFit="0" wrapText="1"/>
    </xf>
    <xf borderId="1" fillId="0" fontId="13" numFmtId="0" xfId="0" applyAlignment="1" applyBorder="1" applyFont="1">
      <alignment horizontal="center" readingOrder="0" shrinkToFit="0" wrapText="1"/>
    </xf>
    <xf borderId="1" fillId="0" fontId="13" numFmtId="176" xfId="0" applyAlignment="1" applyBorder="1" applyFont="1" applyNumberFormat="1">
      <alignment horizontal="center" readingOrder="0" shrinkToFit="0" wrapText="1"/>
    </xf>
    <xf borderId="1" fillId="0" fontId="13" numFmtId="177" xfId="0" applyAlignment="1" applyBorder="1" applyFont="1" applyNumberFormat="1">
      <alignment horizontal="center" readingOrder="0" shrinkToFit="0" wrapText="1"/>
    </xf>
    <xf borderId="0" fillId="0" fontId="32" numFmtId="0" xfId="0" applyAlignment="1" applyFont="1">
      <alignment readingOrder="0" shrinkToFit="0" wrapText="1"/>
    </xf>
    <xf borderId="0" fillId="0" fontId="33" numFmtId="0" xfId="0" applyAlignment="1" applyFont="1">
      <alignment horizontal="center" readingOrder="0" shrinkToFit="0" wrapText="1"/>
    </xf>
    <xf borderId="1" fillId="0" fontId="34" numFmtId="0" xfId="0" applyAlignment="1" applyBorder="1" applyFont="1">
      <alignment horizontal="center" readingOrder="0" shrinkToFit="0" wrapText="1"/>
    </xf>
    <xf borderId="1" fillId="0" fontId="2" numFmtId="1" xfId="0" applyAlignment="1" applyBorder="1" applyFont="1" applyNumberFormat="1">
      <alignment horizontal="center" readingOrder="0" shrinkToFit="0" vertical="center" wrapText="0"/>
    </xf>
    <xf borderId="1" fillId="0" fontId="17" numFmtId="1" xfId="0" applyAlignment="1" applyBorder="1" applyFont="1" applyNumberFormat="1">
      <alignment horizontal="center" readingOrder="0" shrinkToFit="0" vertical="center" wrapText="1"/>
    </xf>
    <xf borderId="1" fillId="0" fontId="10" numFmtId="169" xfId="0" applyAlignment="1" applyBorder="1" applyFont="1" applyNumberFormat="1">
      <alignment horizontal="center" readingOrder="0" shrinkToFit="0" vertical="center" wrapText="1"/>
    </xf>
    <xf borderId="1" fillId="0" fontId="3" numFmtId="166" xfId="0" applyAlignment="1" applyBorder="1" applyFont="1" applyNumberFormat="1">
      <alignment horizontal="center" readingOrder="0" shrinkToFit="0" vertical="center" wrapText="1"/>
    </xf>
    <xf borderId="0" fillId="0" fontId="35" numFmtId="0" xfId="0" applyAlignment="1" applyFont="1">
      <alignment horizontal="center" readingOrder="0" shrinkToFit="0" wrapText="1"/>
    </xf>
    <xf borderId="0" fillId="0" fontId="34" numFmtId="0" xfId="0" applyAlignment="1" applyFont="1">
      <alignment readingOrder="0" shrinkToFit="0" wrapText="1"/>
    </xf>
    <xf borderId="1" fillId="0" fontId="13" numFmtId="166" xfId="0" applyAlignment="1" applyBorder="1" applyFont="1" applyNumberFormat="1">
      <alignment readingOrder="0" shrinkToFit="0" wrapText="1"/>
    </xf>
    <xf borderId="0" fillId="0" fontId="36" numFmtId="0" xfId="0" applyAlignment="1" applyFont="1">
      <alignment horizontal="center" readingOrder="0" shrinkToFit="0" vertical="center" wrapText="1"/>
    </xf>
    <xf borderId="0" fillId="0" fontId="36" numFmtId="0" xfId="0" applyAlignment="1" applyFont="1">
      <alignment horizontal="left" readingOrder="0"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0" fontId="13" numFmtId="171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178" xfId="0" applyAlignment="1" applyFont="1" applyNumberFormat="1">
      <alignment horizontal="center" readingOrder="0" shrinkToFit="0" vertical="center" wrapText="1"/>
    </xf>
    <xf borderId="0" fillId="2" fontId="13" numFmtId="171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3" numFmtId="179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readingOrder="0" shrinkToFit="0" wrapText="1"/>
    </xf>
    <xf borderId="1" fillId="0" fontId="13" numFmtId="0" xfId="0" applyAlignment="1" applyBorder="1" applyFont="1">
      <alignment readingOrder="0" shrinkToFit="0" textRotation="90" wrapText="1"/>
    </xf>
    <xf borderId="1" fillId="0" fontId="13" numFmtId="0" xfId="0" applyAlignment="1" applyBorder="1" applyFont="1">
      <alignment shrinkToFit="0" textRotation="90" wrapText="1"/>
    </xf>
    <xf borderId="1" fillId="0" fontId="13" numFmtId="0" xfId="0" applyAlignment="1" applyBorder="1" applyFont="1">
      <alignment horizontal="center" readingOrder="0" shrinkToFit="0" textRotation="90" wrapText="1"/>
    </xf>
    <xf borderId="1" fillId="6" fontId="13" numFmtId="0" xfId="0" applyAlignment="1" applyBorder="1" applyFont="1">
      <alignment horizontal="center" readingOrder="0" shrinkToFit="0" vertical="center" wrapText="1"/>
    </xf>
    <xf borderId="1" fillId="0" fontId="37" numFmtId="0" xfId="0" applyAlignment="1" applyBorder="1" applyFont="1">
      <alignment horizontal="left" readingOrder="0" shrinkToFit="0" vertical="center" wrapText="1"/>
    </xf>
    <xf borderId="1" fillId="0" fontId="37" numFmtId="164" xfId="0" applyAlignment="1" applyBorder="1" applyFont="1" applyNumberFormat="1">
      <alignment horizontal="center" readingOrder="0" shrinkToFit="0" vertical="center" wrapText="1"/>
    </xf>
    <xf borderId="1" fillId="2" fontId="38" numFmtId="164" xfId="0" applyAlignment="1" applyBorder="1" applyFont="1" applyNumberFormat="1">
      <alignment horizontal="center" readingOrder="0" shrinkToFit="0" vertical="center" wrapText="1"/>
    </xf>
    <xf borderId="1" fillId="0" fontId="39" numFmtId="164" xfId="0" applyAlignment="1" applyBorder="1" applyFont="1" applyNumberFormat="1">
      <alignment horizontal="center" readingOrder="0" shrinkToFit="0" vertical="center" wrapText="1"/>
    </xf>
    <xf borderId="1" fillId="0" fontId="39" numFmtId="0" xfId="0" applyAlignment="1" applyBorder="1" applyFont="1">
      <alignment horizontal="center" readingOrder="0" shrinkToFit="0" vertical="center" wrapText="1"/>
    </xf>
    <xf borderId="1" fillId="16" fontId="40" numFmtId="164" xfId="0" applyAlignment="1" applyBorder="1" applyFill="1" applyFont="1" applyNumberFormat="1">
      <alignment horizontal="center" readingOrder="0" shrinkToFit="0" vertical="center" wrapText="1"/>
    </xf>
    <xf borderId="1" fillId="16" fontId="39" numFmtId="164" xfId="0" applyAlignment="1" applyBorder="1" applyFont="1" applyNumberFormat="1">
      <alignment horizontal="center" readingOrder="0" shrinkToFit="0" vertical="center" wrapText="1"/>
    </xf>
    <xf borderId="1" fillId="17" fontId="41" numFmtId="2" xfId="0" applyAlignment="1" applyBorder="1" applyFill="1" applyFont="1" applyNumberFormat="1">
      <alignment horizontal="center" readingOrder="0" shrinkToFit="0" vertical="center" wrapText="1"/>
    </xf>
    <xf borderId="0" fillId="17" fontId="41" numFmtId="2" xfId="0" applyAlignment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18" fontId="38" numFmtId="0" xfId="0" applyAlignment="1" applyBorder="1" applyFill="1" applyFont="1">
      <alignment horizontal="center" readingOrder="0" shrinkToFit="0" vertical="center" wrapText="1"/>
    </xf>
    <xf borderId="1" fillId="8" fontId="38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2" fontId="38" numFmtId="3" xfId="0" applyAlignment="1" applyBorder="1" applyFont="1" applyNumberFormat="1">
      <alignment horizontal="center" readingOrder="0" shrinkToFit="0" vertical="center" wrapText="1"/>
    </xf>
    <xf borderId="1" fillId="8" fontId="38" numFmtId="164" xfId="0" applyAlignment="1" applyBorder="1" applyFont="1" applyNumberFormat="1">
      <alignment horizontal="center" readingOrder="0" shrinkToFit="0" vertical="center" wrapText="1"/>
    </xf>
    <xf borderId="1" fillId="0" fontId="38" numFmtId="164" xfId="0" applyAlignment="1" applyBorder="1" applyFont="1" applyNumberFormat="1">
      <alignment horizontal="center" readingOrder="0" shrinkToFit="0" vertical="center" wrapText="1"/>
    </xf>
    <xf borderId="1" fillId="8" fontId="39" numFmtId="164" xfId="0" applyAlignment="1" applyBorder="1" applyFont="1" applyNumberFormat="1">
      <alignment horizontal="center" readingOrder="0" shrinkToFit="0" vertical="center" wrapText="1"/>
    </xf>
    <xf borderId="1" fillId="16" fontId="38" numFmtId="0" xfId="0" applyAlignment="1" applyBorder="1" applyFont="1">
      <alignment horizontal="center" readingOrder="0" shrinkToFit="0" vertical="center" wrapText="1"/>
    </xf>
    <xf borderId="1" fillId="16" fontId="38" numFmtId="164" xfId="0" applyAlignment="1" applyBorder="1" applyFont="1" applyNumberFormat="1">
      <alignment horizontal="center" readingOrder="0" shrinkToFit="0" vertical="center" wrapText="1"/>
    </xf>
    <xf borderId="1" fillId="16" fontId="42" numFmtId="164" xfId="0" applyAlignment="1" applyBorder="1" applyFont="1" applyNumberFormat="1">
      <alignment horizontal="center" shrinkToFit="0" vertical="center" wrapText="1"/>
    </xf>
    <xf borderId="1" fillId="17" fontId="42" numFmtId="2" xfId="0" applyAlignment="1" applyBorder="1" applyFont="1" applyNumberFormat="1">
      <alignment shrinkToFit="0" vertical="center" wrapText="1"/>
    </xf>
    <xf borderId="0" fillId="17" fontId="42" numFmtId="2" xfId="0" applyAlignment="1" applyFont="1" applyNumberFormat="1">
      <alignment shrinkToFit="0" vertical="center" wrapText="1"/>
    </xf>
    <xf borderId="1" fillId="0" fontId="38" numFmtId="0" xfId="0" applyAlignment="1" applyBorder="1" applyFont="1">
      <alignment horizontal="left" readingOrder="0" shrinkToFit="0" vertical="center" wrapText="1"/>
    </xf>
    <xf borderId="1" fillId="8" fontId="13" numFmtId="164" xfId="0" applyAlignment="1" applyBorder="1" applyFont="1" applyNumberFormat="1">
      <alignment horizontal="center" readingOrder="0" shrinkToFit="0" vertical="center" wrapText="1"/>
    </xf>
    <xf borderId="1" fillId="9" fontId="38" numFmtId="3" xfId="0" applyAlignment="1" applyBorder="1" applyFont="1" applyNumberFormat="1">
      <alignment horizontal="center" readingOrder="0" shrinkToFit="0" vertical="center" wrapText="1"/>
    </xf>
    <xf borderId="1" fillId="2" fontId="13" numFmtId="164" xfId="0" applyAlignment="1" applyBorder="1" applyFont="1" applyNumberFormat="1">
      <alignment horizontal="center" readingOrder="0" shrinkToFit="0" vertical="center" wrapText="1"/>
    </xf>
    <xf borderId="1" fillId="0" fontId="38" numFmtId="164" xfId="0" applyAlignment="1" applyBorder="1" applyFont="1" applyNumberFormat="1">
      <alignment horizontal="center" shrinkToFit="0" vertical="center" wrapText="1"/>
    </xf>
    <xf borderId="1" fillId="9" fontId="38" numFmtId="164" xfId="0" applyAlignment="1" applyBorder="1" applyFont="1" applyNumberFormat="1">
      <alignment horizontal="center" readingOrder="0" shrinkToFit="0" vertical="center" wrapText="1"/>
    </xf>
    <xf borderId="1" fillId="0" fontId="13" numFmtId="1" xfId="0" applyAlignment="1" applyBorder="1" applyFont="1" applyNumberFormat="1">
      <alignment horizontal="center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13" numFmtId="164" xfId="0" applyAlignment="1" applyBorder="1" applyFont="1" applyNumberFormat="1">
      <alignment horizontal="center" readingOrder="0" shrinkToFit="0" vertical="center" wrapText="1"/>
    </xf>
    <xf borderId="1" fillId="19" fontId="38" numFmtId="164" xfId="0" applyAlignment="1" applyBorder="1" applyFill="1" applyFont="1" applyNumberFormat="1">
      <alignment horizontal="center" readingOrder="0" shrinkToFit="0" vertical="center" wrapText="1"/>
    </xf>
    <xf borderId="1" fillId="0" fontId="13" numFmtId="164" xfId="0" applyAlignment="1" applyBorder="1" applyFont="1" applyNumberFormat="1">
      <alignment horizontal="center" shrinkToFit="0" vertical="center" wrapText="1"/>
    </xf>
    <xf borderId="1" fillId="6" fontId="38" numFmtId="164" xfId="0" applyAlignment="1" applyBorder="1" applyFont="1" applyNumberFormat="1">
      <alignment horizontal="center" readingOrder="0" shrinkToFit="0" vertical="center" wrapText="1"/>
    </xf>
    <xf borderId="1" fillId="9" fontId="13" numFmtId="164" xfId="0" applyAlignment="1" applyBorder="1" applyFont="1" applyNumberFormat="1">
      <alignment horizontal="center" readingOrder="0" shrinkToFit="0" vertical="center" wrapText="1"/>
    </xf>
    <xf borderId="1" fillId="2" fontId="37" numFmtId="164" xfId="0" applyAlignment="1" applyBorder="1" applyFont="1" applyNumberFormat="1">
      <alignment horizontal="center" readingOrder="0" shrinkToFit="0" vertical="center" wrapText="1"/>
    </xf>
    <xf borderId="1" fillId="8" fontId="43" numFmtId="164" xfId="0" applyAlignment="1" applyBorder="1" applyFont="1" applyNumberFormat="1">
      <alignment horizontal="center" readingOrder="0" shrinkToFit="0" vertical="center" wrapText="1"/>
    </xf>
    <xf borderId="1" fillId="8" fontId="13" numFmtId="164" xfId="0" applyAlignment="1" applyBorder="1" applyFont="1" applyNumberFormat="1">
      <alignment horizontal="center" shrinkToFit="0" vertical="center" wrapText="1"/>
    </xf>
    <xf borderId="1" fillId="2" fontId="38" numFmtId="0" xfId="0" applyAlignment="1" applyBorder="1" applyFont="1">
      <alignment horizontal="center" readingOrder="0" shrinkToFit="0" vertical="center" wrapText="1"/>
    </xf>
    <xf borderId="1" fillId="8" fontId="38" numFmtId="164" xfId="0" applyAlignment="1" applyBorder="1" applyFont="1" applyNumberFormat="1">
      <alignment horizontal="center" shrinkToFit="0" vertical="center" wrapText="1"/>
    </xf>
    <xf borderId="1" fillId="8" fontId="38" numFmtId="3" xfId="0" applyAlignment="1" applyBorder="1" applyFont="1" applyNumberFormat="1">
      <alignment horizontal="center" readingOrder="0" shrinkToFit="0" vertical="center" wrapText="1"/>
    </xf>
    <xf borderId="1" fillId="0" fontId="44" numFmtId="0" xfId="0" applyAlignment="1" applyBorder="1" applyFont="1">
      <alignment horizontal="left" readingOrder="0" shrinkToFit="0" vertical="center" wrapText="0"/>
    </xf>
    <xf borderId="1" fillId="0" fontId="25" numFmtId="0" xfId="0" applyAlignment="1" applyBorder="1" applyFont="1">
      <alignment horizontal="left" readingOrder="0" shrinkToFit="0" vertical="center" wrapText="1"/>
    </xf>
    <xf borderId="1" fillId="6" fontId="38" numFmtId="3" xfId="0" applyAlignment="1" applyBorder="1" applyFont="1" applyNumberFormat="1">
      <alignment horizontal="center" readingOrder="0" shrinkToFit="0" vertical="center" wrapText="1"/>
    </xf>
    <xf borderId="1" fillId="0" fontId="17" numFmtId="166" xfId="0" applyAlignment="1" applyBorder="1" applyFont="1" applyNumberFormat="1">
      <alignment horizontal="left" readingOrder="0" shrinkToFit="0" vertical="center" wrapText="1"/>
    </xf>
    <xf borderId="1" fillId="9" fontId="38" numFmtId="0" xfId="0" applyAlignment="1" applyBorder="1" applyFont="1">
      <alignment horizontal="center" readingOrder="0" shrinkToFit="0" vertical="center" wrapText="1"/>
    </xf>
    <xf borderId="1" fillId="19" fontId="13" numFmtId="164" xfId="0" applyAlignment="1" applyBorder="1" applyFont="1" applyNumberFormat="1">
      <alignment horizontal="center" readingOrder="0" shrinkToFit="0" vertical="center" wrapText="1"/>
    </xf>
    <xf borderId="1" fillId="0" fontId="38" numFmtId="0" xfId="0" applyAlignment="1" applyBorder="1" applyFont="1">
      <alignment horizontal="center" readingOrder="0" shrinkToFit="0" vertical="center" wrapText="1"/>
    </xf>
    <xf borderId="1" fillId="6" fontId="13" numFmtId="164" xfId="0" applyAlignment="1" applyBorder="1" applyFont="1" applyNumberFormat="1">
      <alignment horizontal="center" shrinkToFit="0" vertical="center" wrapText="1"/>
    </xf>
    <xf borderId="1" fillId="2" fontId="13" numFmtId="164" xfId="0" applyAlignment="1" applyBorder="1" applyFont="1" applyNumberFormat="1">
      <alignment horizontal="center" shrinkToFit="0" vertical="center" wrapText="1"/>
    </xf>
    <xf borderId="0" fillId="0" fontId="45" numFmtId="2" xfId="0" applyAlignment="1" applyFont="1" applyNumberFormat="1">
      <alignment shrinkToFit="0" vertical="bottom" wrapText="0"/>
    </xf>
    <xf borderId="1" fillId="18" fontId="38" numFmtId="164" xfId="0" applyAlignment="1" applyBorder="1" applyFont="1" applyNumberFormat="1">
      <alignment horizontal="center" readingOrder="0" shrinkToFit="0" vertical="center" wrapText="1"/>
    </xf>
    <xf borderId="0" fillId="0" fontId="13" numFmtId="165" xfId="0" applyAlignment="1" applyFont="1" applyNumberFormat="1">
      <alignment shrinkToFit="0" wrapText="1"/>
    </xf>
    <xf borderId="0" fillId="0" fontId="13" numFmtId="164" xfId="0" applyAlignment="1" applyFont="1" applyNumberFormat="1">
      <alignment shrinkToFit="0" wrapText="1"/>
    </xf>
    <xf borderId="0" fillId="0" fontId="13" numFmtId="0" xfId="0" applyAlignment="1" applyFont="1">
      <alignment shrinkToFit="0" vertical="center" wrapText="1"/>
    </xf>
    <xf borderId="0" fillId="6" fontId="13" numFmtId="0" xfId="0" applyAlignment="1" applyFont="1">
      <alignment horizontal="center" readingOrder="0" shrinkToFit="0" textRotation="255" vertical="center" wrapText="1"/>
    </xf>
    <xf borderId="8" fillId="0" fontId="34" numFmtId="0" xfId="0" applyAlignment="1" applyBorder="1" applyFont="1">
      <alignment horizontal="center" readingOrder="0" shrinkToFit="0" vertical="center" wrapText="1"/>
    </xf>
    <xf borderId="9" fillId="0" fontId="46" numFmtId="0" xfId="0" applyAlignment="1" applyBorder="1" applyFont="1">
      <alignment horizontal="center" readingOrder="0" shrinkToFit="0" vertical="center" wrapText="1"/>
    </xf>
    <xf borderId="10" fillId="0" fontId="13" numFmtId="0" xfId="0" applyAlignment="1" applyBorder="1" applyFont="1">
      <alignment shrinkToFit="0" wrapText="1"/>
    </xf>
    <xf borderId="11" fillId="0" fontId="13" numFmtId="0" xfId="0" applyAlignment="1" applyBorder="1" applyFont="1">
      <alignment shrinkToFit="0" wrapText="1"/>
    </xf>
    <xf borderId="0" fillId="9" fontId="26" numFmtId="0" xfId="0" applyAlignment="1" applyFont="1">
      <alignment horizontal="center" readingOrder="0" shrinkToFit="0" textRotation="255" vertical="center" wrapText="1"/>
    </xf>
    <xf borderId="12" fillId="0" fontId="13" numFmtId="0" xfId="0" applyAlignment="1" applyBorder="1" applyFont="1">
      <alignment shrinkToFit="0" wrapText="1"/>
    </xf>
    <xf borderId="13" fillId="0" fontId="34" numFmtId="0" xfId="0" applyAlignment="1" applyBorder="1" applyFont="1">
      <alignment horizontal="center" readingOrder="0" shrinkToFit="0" vertical="center" wrapText="1"/>
    </xf>
    <xf borderId="1" fillId="0" fontId="34" numFmtId="0" xfId="0" applyAlignment="1" applyBorder="1" applyFont="1">
      <alignment horizontal="center" readingOrder="0" shrinkToFit="0" vertical="center" wrapText="1"/>
    </xf>
    <xf borderId="14" fillId="0" fontId="34" numFmtId="0" xfId="0" applyAlignment="1" applyBorder="1" applyFont="1">
      <alignment horizontal="center" readingOrder="0" shrinkToFit="0" vertical="center" wrapText="1"/>
    </xf>
    <xf borderId="15" fillId="0" fontId="34" numFmtId="0" xfId="0" applyAlignment="1" applyBorder="1" applyFont="1">
      <alignment horizontal="center" readingOrder="0" shrinkToFit="0" vertical="center" wrapText="1"/>
    </xf>
    <xf borderId="16" fillId="0" fontId="13" numFmtId="0" xfId="0" applyAlignment="1" applyBorder="1" applyFont="1">
      <alignment horizontal="center" readingOrder="0" shrinkToFit="0" vertical="center" wrapText="1"/>
    </xf>
    <xf borderId="13" fillId="0" fontId="13" numFmtId="0" xfId="0" applyAlignment="1" applyBorder="1" applyFont="1">
      <alignment horizontal="center" readingOrder="0" shrinkToFit="0" vertical="center" wrapText="1"/>
    </xf>
    <xf borderId="1" fillId="2" fontId="13" numFmtId="0" xfId="0" applyAlignment="1" applyBorder="1" applyFont="1">
      <alignment horizontal="center" readingOrder="0" shrinkToFit="0" vertical="center" wrapText="1"/>
    </xf>
    <xf borderId="14" fillId="2" fontId="13" numFmtId="0" xfId="0" applyAlignment="1" applyBorder="1" applyFont="1">
      <alignment horizontal="center" readingOrder="0" shrinkToFit="0" vertical="center" wrapText="1"/>
    </xf>
    <xf borderId="13" fillId="2" fontId="13" numFmtId="0" xfId="0" applyAlignment="1" applyBorder="1" applyFont="1">
      <alignment horizontal="center" readingOrder="0" shrinkToFit="0" vertical="center" wrapText="1"/>
    </xf>
    <xf borderId="14" fillId="0" fontId="13" numFmtId="0" xfId="0" applyAlignment="1" applyBorder="1" applyFont="1">
      <alignment horizontal="center" readingOrder="0" shrinkToFit="0" vertical="center" wrapText="1"/>
    </xf>
    <xf borderId="17" fillId="2" fontId="13" numFmtId="0" xfId="0" applyAlignment="1" applyBorder="1" applyFont="1">
      <alignment horizontal="center" readingOrder="0" shrinkToFit="0" vertical="center" wrapText="1"/>
    </xf>
    <xf borderId="18" fillId="2" fontId="13" numFmtId="0" xfId="0" applyAlignment="1" applyBorder="1" applyFont="1">
      <alignment horizontal="center" readingOrder="0" shrinkToFit="0" vertical="center" wrapText="1"/>
    </xf>
    <xf borderId="19" fillId="2" fontId="13" numFmtId="0" xfId="0" applyAlignment="1" applyBorder="1" applyFont="1">
      <alignment horizontal="center" readingOrder="0" shrinkToFit="0" vertical="center" wrapText="1"/>
    </xf>
    <xf borderId="19" fillId="0" fontId="13" numFmtId="0" xfId="0" applyAlignment="1" applyBorder="1" applyFont="1">
      <alignment horizontal="center" readingOrder="0" shrinkToFit="0" vertical="center" wrapText="1"/>
    </xf>
    <xf borderId="20" fillId="0" fontId="13" numFmtId="0" xfId="0" applyAlignment="1" applyBorder="1" applyFont="1">
      <alignment horizontal="center" readingOrder="0" shrinkToFit="0" vertical="center" wrapText="1"/>
    </xf>
    <xf borderId="17" fillId="0" fontId="13" numFmtId="0" xfId="0" applyAlignment="1" applyBorder="1" applyFont="1">
      <alignment horizontal="center" readingOrder="0" shrinkToFit="0" vertical="center" wrapText="1"/>
    </xf>
    <xf borderId="18" fillId="0" fontId="13" numFmtId="0" xfId="0" applyAlignment="1" applyBorder="1" applyFont="1">
      <alignment horizontal="center" readingOrder="0" shrinkToFit="0" vertical="center" wrapText="1"/>
    </xf>
    <xf borderId="0" fillId="12" fontId="13" numFmtId="0" xfId="0" applyAlignment="1" applyFont="1">
      <alignment horizontal="center" readingOrder="0" shrinkToFit="0" textRotation="255" vertical="center" wrapText="1"/>
    </xf>
    <xf borderId="21" fillId="0" fontId="26" numFmtId="0" xfId="0" applyAlignment="1" applyBorder="1" applyFont="1">
      <alignment horizontal="center" readingOrder="0" shrinkToFit="0" textRotation="0" vertical="center" wrapText="1"/>
    </xf>
    <xf borderId="21" fillId="0" fontId="34" numFmtId="0" xfId="0" applyAlignment="1" applyBorder="1" applyFont="1">
      <alignment horizontal="center" readingOrder="0" shrinkToFit="0" vertical="center" wrapText="1"/>
    </xf>
    <xf borderId="22" fillId="0" fontId="13" numFmtId="0" xfId="0" applyAlignment="1" applyBorder="1" applyFont="1">
      <alignment shrinkToFit="0" wrapText="1"/>
    </xf>
    <xf borderId="1" fillId="9" fontId="13" numFmtId="0" xfId="0" applyAlignment="1" applyBorder="1" applyFont="1">
      <alignment horizontal="center" readingOrder="0" shrinkToFit="0" vertical="center" wrapText="1"/>
    </xf>
    <xf borderId="1" fillId="0" fontId="47" numFmtId="0" xfId="0" applyAlignment="1" applyBorder="1" applyFont="1">
      <alignment horizontal="center" readingOrder="0" shrinkToFit="0" vertical="center" wrapText="1"/>
    </xf>
    <xf borderId="23" fillId="0" fontId="47" numFmtId="0" xfId="0" applyAlignment="1" applyBorder="1" applyFont="1">
      <alignment horizontal="left" readingOrder="0" shrinkToFit="0" vertical="center" wrapText="1"/>
    </xf>
    <xf borderId="23" fillId="0" fontId="47" numFmtId="0" xfId="0" applyAlignment="1" applyBorder="1" applyFont="1">
      <alignment horizontal="center" readingOrder="0" shrinkToFit="0" vertical="center" wrapText="1"/>
    </xf>
    <xf borderId="23" fillId="0" fontId="47" numFmtId="164" xfId="0" applyAlignment="1" applyBorder="1" applyFont="1" applyNumberFormat="1">
      <alignment horizontal="center" readingOrder="0" shrinkToFit="0" vertical="center" wrapText="1"/>
    </xf>
    <xf borderId="23" fillId="20" fontId="48" numFmtId="0" xfId="0" applyAlignment="1" applyBorder="1" applyFill="1" applyFont="1">
      <alignment horizontal="center" readingOrder="0" shrinkToFit="0" vertical="center" wrapText="1"/>
    </xf>
    <xf borderId="23" fillId="0" fontId="49" numFmtId="0" xfId="0" applyAlignment="1" applyBorder="1" applyFont="1">
      <alignment horizontal="center" readingOrder="0" shrinkToFit="0" vertical="center" wrapText="1"/>
    </xf>
    <xf borderId="23" fillId="0" fontId="0" numFmtId="164" xfId="0" applyAlignment="1" applyBorder="1" applyFont="1" applyNumberFormat="1">
      <alignment horizontal="center" readingOrder="0" shrinkToFit="0" vertical="center" wrapText="1"/>
    </xf>
    <xf borderId="23" fillId="0" fontId="0" numFmtId="177" xfId="0" applyAlignment="1" applyBorder="1" applyFont="1" applyNumberFormat="1">
      <alignment horizontal="center" readingOrder="0" shrinkToFit="0" vertical="center" wrapText="1"/>
    </xf>
    <xf borderId="23" fillId="0" fontId="50" numFmtId="177" xfId="0" applyAlignment="1" applyBorder="1" applyFont="1" applyNumberFormat="1">
      <alignment horizontal="center" readingOrder="0" shrinkToFit="0" vertical="center" wrapText="1"/>
    </xf>
    <xf borderId="23" fillId="0" fontId="50" numFmtId="176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22" fillId="0" fontId="5" numFmtId="0" xfId="0" applyAlignment="1" applyBorder="1" applyFont="1">
      <alignment horizontal="center" readingOrder="0" shrinkToFit="0" vertical="center" wrapText="1"/>
    </xf>
    <xf borderId="7" fillId="0" fontId="26" numFmtId="0" xfId="0" applyAlignment="1" applyBorder="1" applyFont="1">
      <alignment horizontal="left" readingOrder="0" shrinkToFit="0" vertical="center" wrapText="1"/>
    </xf>
    <xf borderId="7" fillId="0" fontId="13" numFmtId="0" xfId="0" applyAlignment="1" applyBorder="1" applyFont="1">
      <alignment readingOrder="0" shrinkToFit="0" vertical="center" wrapText="1"/>
    </xf>
    <xf borderId="7" fillId="0" fontId="13" numFmtId="164" xfId="0" applyAlignment="1" applyBorder="1" applyFont="1" applyNumberFormat="1">
      <alignment horizontal="center" readingOrder="0" shrinkToFit="0" vertical="center" wrapText="1"/>
    </xf>
    <xf borderId="7" fillId="20" fontId="51" numFmtId="0" xfId="0" applyAlignment="1" applyBorder="1" applyFont="1">
      <alignment horizontal="center" shrinkToFit="0" vertical="center" wrapText="1"/>
    </xf>
    <xf borderId="7" fillId="0" fontId="52" numFmtId="0" xfId="0" applyAlignment="1" applyBorder="1" applyFont="1">
      <alignment horizontal="center" shrinkToFit="0" vertical="center" wrapText="1"/>
    </xf>
    <xf borderId="7" fillId="0" fontId="52" numFmtId="164" xfId="0" applyAlignment="1" applyBorder="1" applyFont="1" applyNumberFormat="1">
      <alignment horizontal="center" readingOrder="0" shrinkToFit="0" vertical="center" wrapText="1"/>
    </xf>
    <xf borderId="7" fillId="0" fontId="52" numFmtId="0" xfId="0" applyAlignment="1" applyBorder="1" applyFont="1">
      <alignment horizontal="center" readingOrder="0" shrinkToFit="0" vertical="center" wrapText="1"/>
    </xf>
    <xf borderId="7" fillId="0" fontId="53" numFmtId="0" xfId="0" applyAlignment="1" applyBorder="1" applyFont="1">
      <alignment horizontal="center" readingOrder="0" shrinkToFit="0" vertical="center" wrapText="1"/>
    </xf>
    <xf borderId="1" fillId="0" fontId="5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shrinkToFit="0" vertical="center" wrapText="1"/>
    </xf>
    <xf borderId="22" fillId="0" fontId="54" numFmtId="0" xfId="0" applyAlignment="1" applyBorder="1" applyFont="1">
      <alignment horizontal="center" readingOrder="0" shrinkToFit="0" vertical="center" wrapText="1"/>
    </xf>
    <xf borderId="7" fillId="0" fontId="55" numFmtId="0" xfId="0" applyAlignment="1" applyBorder="1" applyFont="1">
      <alignment horizontal="left" readingOrder="0" shrinkToFit="0" vertical="center" wrapText="1"/>
    </xf>
    <xf borderId="7" fillId="0" fontId="55" numFmtId="0" xfId="0" applyAlignment="1" applyBorder="1" applyFont="1">
      <alignment readingOrder="0" shrinkToFit="0" vertical="center" wrapText="1"/>
    </xf>
    <xf borderId="7" fillId="0" fontId="55" numFmtId="164" xfId="0" applyAlignment="1" applyBorder="1" applyFont="1" applyNumberFormat="1">
      <alignment horizontal="center" readingOrder="0" shrinkToFit="0" vertical="center" wrapText="1"/>
    </xf>
    <xf borderId="7" fillId="20" fontId="0" numFmtId="0" xfId="0" applyAlignment="1" applyBorder="1" applyFont="1">
      <alignment horizontal="center" shrinkToFit="0" vertical="center" wrapText="1"/>
    </xf>
    <xf borderId="7" fillId="0" fontId="49" numFmtId="164" xfId="0" applyAlignment="1" applyBorder="1" applyFont="1" applyNumberFormat="1">
      <alignment horizontal="center" readingOrder="0" shrinkToFit="0" vertical="center" wrapText="1"/>
    </xf>
    <xf borderId="7" fillId="0" fontId="49" numFmtId="164" xfId="0" applyAlignment="1" applyBorder="1" applyFont="1" applyNumberFormat="1">
      <alignment horizontal="center" readingOrder="0" shrinkToFit="0" vertical="center" wrapText="1"/>
    </xf>
    <xf borderId="7" fillId="0" fontId="49" numFmtId="0" xfId="0" applyAlignment="1" applyBorder="1" applyFont="1">
      <alignment horizontal="center" readingOrder="0" shrinkToFit="0" vertical="center" wrapText="1"/>
    </xf>
    <xf borderId="7" fillId="0" fontId="50" numFmtId="0" xfId="0" applyAlignment="1" applyBorder="1" applyFont="1">
      <alignment horizontal="center" readingOrder="0" shrinkToFit="0" vertical="center" wrapText="1"/>
    </xf>
    <xf borderId="7" fillId="0" fontId="13" numFmtId="0" xfId="0" applyAlignment="1" applyBorder="1" applyFont="1">
      <alignment horizontal="left" readingOrder="0" shrinkToFit="0" vertical="center" wrapText="1"/>
    </xf>
    <xf borderId="7" fillId="0" fontId="13" numFmtId="0" xfId="0" applyAlignment="1" applyBorder="1" applyFont="1">
      <alignment shrinkToFit="0" vertical="center" wrapText="1"/>
    </xf>
    <xf borderId="7" fillId="0" fontId="49" numFmtId="166" xfId="0" applyAlignment="1" applyBorder="1" applyFont="1" applyNumberFormat="1">
      <alignment horizontal="center" readingOrder="0" shrinkToFit="0" vertical="center" wrapText="1"/>
    </xf>
    <xf borderId="7" fillId="0" fontId="50" numFmtId="0" xfId="0" applyAlignment="1" applyBorder="1" applyFont="1">
      <alignment horizontal="center" shrinkToFit="0" vertical="center" wrapText="1"/>
    </xf>
    <xf borderId="7" fillId="0" fontId="50" numFmtId="0" xfId="0" applyAlignment="1" applyBorder="1" applyFont="1">
      <alignment horizontal="center" shrinkToFit="0" vertical="center" wrapText="1"/>
    </xf>
    <xf borderId="1" fillId="0" fontId="53" numFmtId="0" xfId="0" applyAlignment="1" applyBorder="1" applyFont="1">
      <alignment horizontal="center" shrinkToFit="0" vertical="center" wrapText="1"/>
    </xf>
    <xf borderId="7" fillId="20" fontId="0" numFmtId="0" xfId="0" applyAlignment="1" applyBorder="1" applyFont="1">
      <alignment horizontal="center" readingOrder="0" shrinkToFit="0" vertical="center" wrapText="1"/>
    </xf>
    <xf borderId="7" fillId="0" fontId="49" numFmtId="0" xfId="0" applyAlignment="1" applyBorder="1" applyFont="1">
      <alignment horizontal="center" readingOrder="0" shrinkToFit="0" vertical="center" wrapText="1"/>
    </xf>
    <xf borderId="1" fillId="3" fontId="53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readingOrder="0" shrinkToFit="0" vertical="center" wrapText="1"/>
    </xf>
    <xf borderId="1" fillId="2" fontId="53" numFmtId="0" xfId="0" applyAlignment="1" applyBorder="1" applyFont="1">
      <alignment horizontal="center" readingOrder="0" shrinkToFit="0" vertical="center" wrapText="1"/>
    </xf>
    <xf borderId="7" fillId="19" fontId="49" numFmtId="164" xfId="0" applyAlignment="1" applyBorder="1" applyFont="1" applyNumberFormat="1">
      <alignment horizontal="center" readingOrder="0" shrinkToFit="0" vertical="center" wrapText="1"/>
    </xf>
    <xf borderId="7" fillId="19" fontId="49" numFmtId="164" xfId="0" applyAlignment="1" applyBorder="1" applyFont="1" applyNumberFormat="1">
      <alignment horizontal="center" readingOrder="0" shrinkToFit="0" vertical="center" wrapText="1"/>
    </xf>
    <xf borderId="7" fillId="19" fontId="49" numFmtId="0" xfId="0" applyAlignment="1" applyBorder="1" applyFont="1">
      <alignment horizontal="center" readingOrder="0" shrinkToFit="0" vertical="center" wrapText="1"/>
    </xf>
    <xf borderId="7" fillId="19" fontId="50" numFmtId="0" xfId="0" applyAlignment="1" applyBorder="1" applyFont="1">
      <alignment horizontal="center" readingOrder="0" shrinkToFit="0" vertical="center" wrapText="1"/>
    </xf>
    <xf borderId="7" fillId="20" fontId="51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20" fontId="51" numFmtId="0" xfId="0" applyAlignment="1" applyBorder="1" applyFont="1">
      <alignment horizontal="center" readingOrder="0" shrinkToFit="0" vertical="center" wrapText="1"/>
    </xf>
    <xf borderId="1" fillId="0" fontId="52" numFmtId="0" xfId="0" applyAlignment="1" applyBorder="1" applyFont="1">
      <alignment horizontal="center" readingOrder="0" shrinkToFit="0" vertical="center" wrapText="1"/>
    </xf>
    <xf borderId="1" fillId="21" fontId="52" numFmtId="164" xfId="0" applyAlignment="1" applyBorder="1" applyFill="1" applyFont="1" applyNumberFormat="1">
      <alignment horizontal="center" readingOrder="0" shrinkToFit="0" vertical="center" wrapText="1"/>
    </xf>
    <xf borderId="1" fillId="0" fontId="54" numFmtId="0" xfId="0" applyAlignment="1" applyBorder="1" applyFont="1">
      <alignment horizontal="center" readingOrder="0" shrinkToFit="0" vertical="center" wrapText="1"/>
    </xf>
    <xf borderId="1" fillId="0" fontId="55" numFmtId="164" xfId="0" applyAlignment="1" applyBorder="1" applyFont="1" applyNumberFormat="1">
      <alignment horizontal="center" readingOrder="0" shrinkToFit="0" vertical="center" wrapText="1"/>
    </xf>
    <xf borderId="1" fillId="20" fontId="0" numFmtId="0" xfId="0" applyAlignment="1" applyBorder="1" applyFont="1">
      <alignment horizontal="center" readingOrder="0" shrinkToFit="0" vertical="center" wrapText="1"/>
    </xf>
    <xf borderId="1" fillId="0" fontId="49" numFmtId="0" xfId="0" applyAlignment="1" applyBorder="1" applyFont="1">
      <alignment horizontal="center" readingOrder="0" shrinkToFit="0" vertical="center" wrapText="1"/>
    </xf>
    <xf borderId="1" fillId="0" fontId="49" numFmtId="164" xfId="0" applyAlignment="1" applyBorder="1" applyFont="1" applyNumberFormat="1">
      <alignment horizontal="center" readingOrder="0" shrinkToFit="0" vertical="center" wrapText="1"/>
    </xf>
    <xf borderId="1" fillId="0" fontId="50" numFmtId="0" xfId="0" applyAlignment="1" applyBorder="1" applyFont="1">
      <alignment horizontal="center" readingOrder="0" shrinkToFit="0" vertical="center" wrapText="1"/>
    </xf>
    <xf borderId="1" fillId="0" fontId="52" numFmtId="164" xfId="0" applyAlignment="1" applyBorder="1" applyFont="1" applyNumberFormat="1">
      <alignment horizontal="center" readingOrder="0" shrinkToFit="0" vertical="center" wrapText="1"/>
    </xf>
    <xf borderId="1" fillId="0" fontId="55" numFmtId="0" xfId="0" applyAlignment="1" applyBorder="1" applyFont="1">
      <alignment readingOrder="0" shrinkToFit="0" vertical="center" wrapText="1"/>
    </xf>
    <xf borderId="1" fillId="0" fontId="52" numFmtId="164" xfId="0" applyAlignment="1" applyBorder="1" applyFont="1" applyNumberForma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19" fontId="52" numFmtId="164" xfId="0" applyAlignment="1" applyBorder="1" applyFont="1" applyNumberFormat="1">
      <alignment horizontal="center" readingOrder="0" shrinkToFit="0" vertical="center" wrapText="1"/>
    </xf>
    <xf borderId="1" fillId="19" fontId="52" numFmtId="164" xfId="0" applyAlignment="1" applyBorder="1" applyFont="1" applyNumberFormat="1">
      <alignment horizontal="center" readingOrder="0" shrinkToFit="0" vertical="center" wrapText="1"/>
    </xf>
    <xf borderId="1" fillId="19" fontId="52" numFmtId="0" xfId="0" applyAlignment="1" applyBorder="1" applyFont="1">
      <alignment horizontal="center" readingOrder="0" shrinkToFit="0" vertical="center" wrapText="1"/>
    </xf>
    <xf borderId="1" fillId="19" fontId="53" numFmtId="0" xfId="0" applyAlignment="1" applyBorder="1" applyFont="1">
      <alignment horizontal="center" readingOrder="0" shrinkToFit="0" vertical="center" wrapText="1"/>
    </xf>
    <xf borderId="1" fillId="0" fontId="52" numFmtId="164" xfId="0" applyAlignment="1" applyBorder="1" applyFont="1" applyNumberFormat="1">
      <alignment horizontal="center" shrinkToFit="0" vertical="center" wrapText="1"/>
    </xf>
    <xf borderId="1" fillId="0" fontId="51" numFmtId="0" xfId="0" applyAlignment="1" applyBorder="1" applyFont="1">
      <alignment horizontal="center" readingOrder="0" shrinkToFit="0" vertical="center" wrapText="1"/>
    </xf>
    <xf borderId="1" fillId="0" fontId="52" numFmtId="0" xfId="0" applyAlignment="1" applyBorder="1" applyFont="1">
      <alignment horizontal="center" shrinkToFit="0" vertical="center" wrapText="1"/>
    </xf>
    <xf borderId="1" fillId="0" fontId="53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22" fontId="51" numFmtId="164" xfId="0" applyAlignment="1" applyBorder="1" applyFill="1" applyFont="1" applyNumberFormat="1">
      <alignment horizontal="center" readingOrder="0" shrinkToFit="0" vertical="center" wrapText="1"/>
    </xf>
    <xf borderId="1" fillId="22" fontId="53" numFmtId="164" xfId="0" applyAlignment="1" applyBorder="1" applyFont="1" applyNumberFormat="1">
      <alignment horizontal="center" readingOrder="0" shrinkToFit="0" vertical="center" wrapText="1"/>
    </xf>
    <xf borderId="1" fillId="22" fontId="5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1" fillId="0" fontId="13" numFmtId="164" xfId="0" applyAlignment="1" applyBorder="1" applyFont="1" applyNumberFormat="1">
      <alignment horizontal="center" shrinkToFit="0" vertical="center" wrapText="1"/>
    </xf>
    <xf borderId="1" fillId="0" fontId="51" numFmtId="0" xfId="0" applyAlignment="1" applyBorder="1" applyFont="1">
      <alignment horizontal="center" shrinkToFit="0" vertical="center" wrapText="1"/>
    </xf>
    <xf borderId="0" fillId="0" fontId="13" numFmtId="164" xfId="0" applyAlignment="1" applyFont="1" applyNumberFormat="1">
      <alignment horizontal="center" shrinkToFit="0" vertical="center" wrapText="1"/>
    </xf>
    <xf borderId="0" fillId="0" fontId="51" numFmtId="0" xfId="0" applyAlignment="1" applyFont="1">
      <alignment horizontal="center" shrinkToFit="0" vertical="center" wrapText="1"/>
    </xf>
    <xf borderId="0" fillId="0" fontId="52" numFmtId="0" xfId="0" applyAlignment="1" applyFont="1">
      <alignment horizontal="center" shrinkToFit="0" vertical="center" wrapText="1"/>
    </xf>
    <xf borderId="0" fillId="0" fontId="13" numFmtId="164" xfId="0" applyAlignment="1" applyFont="1" applyNumberFormat="1">
      <alignment horizontal="center" shrinkToFit="0" vertical="center" wrapText="1"/>
    </xf>
    <xf borderId="0" fillId="0" fontId="53" numFmtId="0" xfId="0" applyAlignment="1" applyFont="1">
      <alignment horizontal="center" shrinkToFit="0" vertical="center" wrapText="1"/>
    </xf>
    <xf borderId="0" fillId="0" fontId="53" numFmtId="0" xfId="0" applyAlignment="1" applyFont="1">
      <alignment shrinkToFit="0" vertical="center" wrapText="1"/>
    </xf>
    <xf borderId="1" fillId="0" fontId="46" numFmtId="0" xfId="0" applyAlignment="1" applyBorder="1" applyFont="1">
      <alignment horizontal="center" readingOrder="0" shrinkToFit="0" vertical="center" wrapText="1"/>
    </xf>
    <xf borderId="1" fillId="0" fontId="53" numFmtId="164" xfId="0" applyAlignment="1" applyBorder="1" applyFont="1" applyNumberFormat="1">
      <alignment horizontal="center" readingOrder="0" shrinkToFit="0" vertical="center" wrapText="1"/>
    </xf>
    <xf borderId="0" fillId="0" fontId="53" numFmtId="164" xfId="0" applyAlignment="1" applyFont="1" applyNumberFormat="1">
      <alignment horizontal="center" shrinkToFit="0" vertical="center" wrapText="1"/>
    </xf>
    <xf borderId="0" fillId="0" fontId="53" numFmtId="0" xfId="0" applyAlignment="1" applyFont="1">
      <alignment horizontal="center" readingOrder="0" shrinkToFit="0" vertical="center" wrapText="1"/>
    </xf>
    <xf borderId="1" fillId="0" fontId="13" numFmtId="171" xfId="0" applyAlignment="1" applyBorder="1" applyFont="1" applyNumberFormat="1">
      <alignment horizontal="center" readingOrder="0" shrinkToFit="0" vertical="center" wrapText="1"/>
    </xf>
    <xf borderId="1" fillId="8" fontId="13" numFmtId="0" xfId="0" applyAlignment="1" applyBorder="1" applyFont="1">
      <alignment horizontal="center" readingOrder="0" shrinkToFit="0" vertical="center" wrapText="1"/>
    </xf>
    <xf borderId="0" fillId="2" fontId="13" numFmtId="0" xfId="0" applyAlignment="1" applyFont="1">
      <alignment horizontal="center" readingOrder="0" shrinkToFit="0" vertical="center" wrapText="1"/>
    </xf>
    <xf borderId="0" fillId="0" fontId="13" numFmtId="164" xfId="0" applyAlignment="1" applyFont="1" applyNumberFormat="1">
      <alignment horizontal="center" readingOrder="0" shrinkToFit="0" vertical="center" wrapText="1"/>
    </xf>
    <xf borderId="1" fillId="6" fontId="51" numFmtId="0" xfId="0" applyAlignment="1" applyBorder="1" applyFont="1">
      <alignment readingOrder="0" shrinkToFit="0" vertical="center" wrapText="1"/>
    </xf>
    <xf borderId="1" fillId="6" fontId="13" numFmtId="164" xfId="0" applyAlignment="1" applyBorder="1" applyFont="1" applyNumberFormat="1">
      <alignment horizontal="center" readingOrder="0" shrinkToFit="0" vertical="center" wrapText="1"/>
    </xf>
    <xf borderId="1" fillId="6" fontId="13" numFmtId="171" xfId="0" applyAlignment="1" applyBorder="1" applyFont="1" applyNumberFormat="1">
      <alignment horizontal="center" readingOrder="0" shrinkToFit="0" vertical="center" wrapText="1"/>
    </xf>
    <xf borderId="0" fillId="6" fontId="13" numFmtId="0" xfId="0" applyAlignment="1" applyFont="1">
      <alignment horizontal="center" readingOrder="0" shrinkToFit="0" vertical="center" wrapText="1"/>
    </xf>
    <xf borderId="0" fillId="8" fontId="13" numFmtId="164" xfId="0" applyAlignment="1" applyFont="1" applyNumberFormat="1">
      <alignment horizontal="center" readingOrder="0" shrinkToFit="0" vertical="center" wrapText="1"/>
    </xf>
    <xf borderId="0" fillId="8" fontId="13" numFmtId="0" xfId="0" applyAlignment="1" applyFont="1">
      <alignment horizontal="center" shrinkToFit="0" vertical="center" wrapText="1"/>
    </xf>
    <xf borderId="1" fillId="0" fontId="51" numFmtId="0" xfId="0" applyAlignment="1" applyBorder="1" applyFont="1">
      <alignment readingOrder="0" shrinkToFit="0" vertical="center" wrapText="1"/>
    </xf>
    <xf borderId="1" fillId="15" fontId="13" numFmtId="0" xfId="0" applyAlignment="1" applyBorder="1" applyFont="1">
      <alignment horizontal="center" readingOrder="0" shrinkToFit="0" vertical="center" wrapText="1"/>
    </xf>
    <xf borderId="0" fillId="23" fontId="13" numFmtId="0" xfId="0" applyAlignment="1" applyFill="1" applyFont="1">
      <alignment horizontal="center" readingOrder="0" shrinkToFit="0" vertical="center" wrapText="1"/>
    </xf>
    <xf borderId="1" fillId="23" fontId="51" numFmtId="0" xfId="0" applyAlignment="1" applyBorder="1" applyFont="1">
      <alignment readingOrder="0" shrinkToFit="0" vertical="center" wrapText="1"/>
    </xf>
    <xf borderId="1" fillId="23" fontId="13" numFmtId="164" xfId="0" applyAlignment="1" applyBorder="1" applyFont="1" applyNumberFormat="1">
      <alignment horizontal="center" readingOrder="0" shrinkToFit="0" vertical="center" wrapText="1"/>
    </xf>
    <xf borderId="1" fillId="23" fontId="13" numFmtId="171" xfId="0" applyAlignment="1" applyBorder="1" applyFont="1" applyNumberFormat="1">
      <alignment horizontal="center" readingOrder="0" shrinkToFit="0" vertical="center" wrapText="1"/>
    </xf>
    <xf borderId="1" fillId="23" fontId="13" numFmtId="0" xfId="0" applyAlignment="1" applyBorder="1" applyFont="1">
      <alignment horizontal="center" readingOrder="0" shrinkToFit="0" vertical="center" wrapText="1"/>
    </xf>
    <xf borderId="1" fillId="8" fontId="13" numFmtId="164" xfId="0" applyAlignment="1" applyBorder="1" applyFont="1" applyNumberFormat="1">
      <alignment horizontal="center" readingOrder="0" shrinkToFit="0" vertical="center" wrapText="1"/>
    </xf>
    <xf borderId="1" fillId="8" fontId="13" numFmtId="171" xfId="0" applyAlignment="1" applyBorder="1" applyFont="1" applyNumberFormat="1">
      <alignment horizontal="center" readingOrder="0" shrinkToFit="0" vertical="center" wrapText="1"/>
    </xf>
    <xf borderId="1" fillId="0" fontId="13" numFmtId="179" xfId="0" applyAlignment="1" applyBorder="1" applyFont="1" applyNumberFormat="1">
      <alignment horizontal="center" readingOrder="0" shrinkToFit="0" vertical="center" wrapText="1"/>
    </xf>
    <xf borderId="0" fillId="8" fontId="13" numFmtId="0" xfId="0" applyAlignment="1" applyFont="1">
      <alignment horizontal="center" readingOrder="0" shrinkToFit="0" vertical="center" wrapText="1"/>
    </xf>
    <xf borderId="1" fillId="23" fontId="13" numFmtId="0" xfId="0" applyAlignment="1" applyBorder="1" applyFont="1">
      <alignment readingOrder="0" shrinkToFit="0" vertical="center" wrapText="1"/>
    </xf>
    <xf borderId="1" fillId="8" fontId="51" numFmtId="0" xfId="0" applyAlignment="1" applyBorder="1" applyFont="1">
      <alignment readingOrder="0" shrinkToFit="0" vertical="center" wrapText="1"/>
    </xf>
    <xf borderId="1" fillId="2" fontId="13" numFmtId="0" xfId="0" applyAlignment="1" applyBorder="1" applyFont="1">
      <alignment readingOrder="0" shrinkToFit="0" vertical="center" wrapText="1"/>
    </xf>
    <xf borderId="1" fillId="2" fontId="13" numFmtId="164" xfId="0" applyAlignment="1" applyBorder="1" applyFont="1" applyNumberFormat="1">
      <alignment horizontal="center" readingOrder="0" shrinkToFit="0" vertical="center" wrapText="1"/>
    </xf>
    <xf borderId="1" fillId="2" fontId="13" numFmtId="171" xfId="0" applyAlignment="1" applyBorder="1" applyFont="1" applyNumberFormat="1">
      <alignment horizontal="center" readingOrder="0" shrinkToFit="0" vertical="center" wrapText="1"/>
    </xf>
    <xf borderId="1" fillId="8" fontId="13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8" fontId="13" numFmtId="171" xfId="0" applyAlignment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0" numFmtId="167" xfId="0" applyAlignment="1" applyBorder="1" applyFont="1" applyNumberFormat="1">
      <alignment horizontal="center" shrinkToFit="0" vertical="center" wrapText="1"/>
    </xf>
    <xf borderId="1" fillId="0" fontId="10" numFmtId="164" xfId="0" applyAlignment="1" applyBorder="1" applyFont="1" applyNumberFormat="1">
      <alignment horizontal="center" shrinkToFit="0" vertical="center" wrapText="1"/>
    </xf>
    <xf borderId="1" fillId="0" fontId="10" numFmtId="165" xfId="0" applyAlignment="1" applyBorder="1" applyFont="1" applyNumberFormat="1">
      <alignment horizontal="center" readingOrder="0" shrinkToFit="0" vertical="center" wrapText="1"/>
    </xf>
    <xf borderId="1" fillId="0" fontId="11" numFmtId="164" xfId="0" applyAlignment="1" applyBorder="1" applyFont="1" applyNumberFormat="1">
      <alignment horizontal="center" readingOrder="0" shrinkToFit="0" vertical="center" wrapText="0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1" numFmtId="165" xfId="0" applyAlignment="1" applyBorder="1" applyFont="1" applyNumberFormat="1">
      <alignment horizontal="center" readingOrder="0" shrinkToFit="0" vertical="center" wrapText="1"/>
    </xf>
    <xf borderId="1" fillId="0" fontId="11" numFmtId="167" xfId="0" applyAlignment="1" applyBorder="1" applyFont="1" applyNumberFormat="1">
      <alignment horizontal="center" readingOrder="0" shrinkToFit="0" vertical="center" wrapText="1"/>
    </xf>
    <xf borderId="1" fillId="0" fontId="10" numFmtId="1" xfId="0" applyAlignment="1" applyBorder="1" applyFont="1" applyNumberFormat="1">
      <alignment horizontal="center" readingOrder="0" shrinkToFit="0" vertical="center" wrapText="1"/>
    </xf>
    <xf borderId="1" fillId="0" fontId="15" numFmtId="165" xfId="0" applyAlignment="1" applyBorder="1" applyFont="1" applyNumberFormat="1">
      <alignment horizontal="center" readingOrder="0" shrinkToFit="0" vertical="center" wrapText="1"/>
    </xf>
    <xf borderId="1" fillId="0" fontId="5" numFmtId="167" xfId="0" applyAlignment="1" applyBorder="1" applyFont="1" applyNumberForma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readingOrder="0" shrinkToFit="0" vertical="center" wrapText="1"/>
    </xf>
    <xf borderId="1" fillId="0" fontId="11" numFmtId="167" xfId="0" applyAlignment="1" applyBorder="1" applyFont="1" applyNumberFormat="1">
      <alignment horizontal="center" shrinkToFit="0" vertical="center" wrapText="1"/>
    </xf>
    <xf borderId="1" fillId="0" fontId="11" numFmtId="3" xfId="0" applyAlignment="1" applyBorder="1" applyFont="1" applyNumberFormat="1">
      <alignment horizontal="center" readingOrder="0" shrinkToFit="0" vertical="center" wrapText="1"/>
    </xf>
    <xf borderId="1" fillId="0" fontId="11" numFmtId="164" xfId="0" applyAlignment="1" applyBorder="1" applyFont="1" applyNumberFormat="1">
      <alignment horizontal="right" readingOrder="0" shrinkToFit="0" vertical="center" wrapText="0"/>
    </xf>
    <xf borderId="1" fillId="0" fontId="15" numFmtId="164" xfId="0" applyAlignment="1" applyBorder="1" applyFont="1" applyNumberFormat="1">
      <alignment horizontal="center" shrinkToFit="0" wrapText="1"/>
    </xf>
    <xf borderId="1" fillId="0" fontId="15" numFmtId="165" xfId="0" applyAlignment="1" applyBorder="1" applyFont="1" applyNumberFormat="1">
      <alignment horizontal="center" shrinkToFit="0" wrapText="1"/>
    </xf>
    <xf borderId="1" fillId="0" fontId="27" numFmtId="0" xfId="0" applyAlignment="1" applyBorder="1" applyFont="1">
      <alignment horizontal="center" readingOrder="0" shrinkToFit="0" vertical="center" wrapText="0"/>
    </xf>
    <xf borderId="1" fillId="0" fontId="28" numFmtId="0" xfId="0" applyAlignment="1" applyBorder="1" applyFont="1">
      <alignment horizontal="left" readingOrder="0" shrinkToFit="0" vertical="center" wrapText="1"/>
    </xf>
    <xf borderId="1" fillId="0" fontId="10" numFmtId="167" xfId="0" applyAlignment="1" applyBorder="1" applyFont="1" applyNumberFormat="1">
      <alignment horizontal="center" readingOrder="0" shrinkToFit="0" vertical="center" wrapText="1"/>
    </xf>
    <xf borderId="1" fillId="0" fontId="11" numFmtId="165" xfId="0" applyAlignment="1" applyBorder="1" applyFont="1" applyNumberFormat="1">
      <alignment horizontal="center" readingOrder="0" shrinkToFit="0" vertical="center" wrapText="1"/>
    </xf>
    <xf borderId="1" fillId="0" fontId="15" numFmtId="165" xfId="0" applyAlignment="1" applyBorder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1" numFmtId="174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left" readingOrder="0" shrinkToFit="0" vertical="center" wrapText="1"/>
    </xf>
    <xf borderId="1" fillId="10" fontId="1" numFmtId="0" xfId="0" applyAlignment="1" applyBorder="1" applyFont="1">
      <alignment horizontal="left" readingOrder="0" shrinkToFit="0" vertical="center" wrapText="1"/>
    </xf>
    <xf borderId="1" fillId="0" fontId="4" numFmtId="1" xfId="0" applyAlignment="1" applyBorder="1" applyFont="1" applyNumberFormat="1">
      <alignment horizontal="center" readingOrder="0" shrinkToFit="0" vertical="center" wrapText="1"/>
    </xf>
    <xf borderId="1" fillId="0" fontId="6" numFmtId="3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wrapText="1"/>
    </xf>
    <xf borderId="0" fillId="0" fontId="13" numFmtId="0" xfId="0" applyAlignment="1" applyFont="1">
      <alignment horizontal="center" readingOrder="0" shrinkToFit="0" wrapText="1"/>
    </xf>
    <xf borderId="0" fillId="6" fontId="13" numFmtId="1" xfId="0" applyAlignment="1" applyFont="1" applyNumberFormat="1">
      <alignment horizontal="center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1" fillId="24" fontId="34" numFmtId="0" xfId="0" applyAlignment="1" applyBorder="1" applyFill="1" applyFont="1">
      <alignment horizontal="center" readingOrder="0" shrinkToFit="0" vertical="center" wrapText="1"/>
    </xf>
    <xf borderId="1" fillId="0" fontId="37" numFmtId="0" xfId="0" applyAlignment="1" applyBorder="1" applyFont="1">
      <alignment horizontal="center" readingOrder="0" shrinkToFit="0" textRotation="90" vertical="center" wrapText="1"/>
    </xf>
    <xf borderId="1" fillId="25" fontId="56" numFmtId="0" xfId="0" applyAlignment="1" applyBorder="1" applyFill="1" applyFont="1">
      <alignment horizontal="center" readingOrder="0" shrinkToFit="0" vertical="center" wrapText="1"/>
    </xf>
    <xf borderId="1" fillId="15" fontId="57" numFmtId="0" xfId="0" applyAlignment="1" applyBorder="1" applyFont="1">
      <alignment horizontal="center" readingOrder="0" shrinkToFit="0" textRotation="0" vertical="center" wrapText="1"/>
    </xf>
    <xf borderId="1" fillId="26" fontId="57" numFmtId="0" xfId="0" applyAlignment="1" applyBorder="1" applyFill="1" applyFont="1">
      <alignment horizontal="center" readingOrder="0" shrinkToFit="0" vertical="center" wrapText="1"/>
    </xf>
    <xf borderId="1" fillId="25" fontId="38" numFmtId="0" xfId="0" applyAlignment="1" applyBorder="1" applyFont="1">
      <alignment horizontal="center" readingOrder="0" shrinkToFit="0" vertical="center" wrapText="1"/>
    </xf>
    <xf borderId="1" fillId="15" fontId="38" numFmtId="0" xfId="0" applyAlignment="1" applyBorder="1" applyFont="1">
      <alignment horizontal="center" readingOrder="0" shrinkToFit="0" vertical="center" wrapText="1"/>
    </xf>
    <xf borderId="1" fillId="26" fontId="38" numFmtId="0" xfId="0" applyAlignment="1" applyBorder="1" applyFont="1">
      <alignment horizontal="center" readingOrder="0" shrinkToFit="0" vertical="center" wrapText="1"/>
    </xf>
    <xf borderId="1" fillId="0" fontId="37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10" fontId="38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8" fontId="38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44" numFmtId="0" xfId="0" applyAlignment="1" applyBorder="1" applyFont="1">
      <alignment horizontal="center" readingOrder="0" shrinkToFit="0" vertical="center" wrapText="0"/>
    </xf>
    <xf borderId="1" fillId="2" fontId="15" numFmtId="0" xfId="0" applyAlignment="1" applyBorder="1" applyFont="1">
      <alignment shrinkToFit="0" vertical="center" wrapText="1"/>
    </xf>
    <xf borderId="1" fillId="2" fontId="15" numFmtId="1" xfId="0" applyAlignment="1" applyBorder="1" applyFont="1" applyNumberFormat="1">
      <alignment horizontal="center" readingOrder="0" shrinkToFit="0" vertical="center" wrapText="1"/>
    </xf>
    <xf borderId="1" fillId="2" fontId="15" numFmtId="1" xfId="0" applyAlignment="1" applyBorder="1" applyFont="1" applyNumberFormat="1">
      <alignment horizontal="center" shrinkToFit="0" vertical="center" wrapText="1"/>
    </xf>
    <xf borderId="1" fillId="2" fontId="13" numFmtId="0" xfId="0" applyAlignment="1" applyBorder="1" applyFont="1">
      <alignment shrinkToFit="0" vertical="center" wrapText="1"/>
    </xf>
    <xf borderId="1" fillId="12" fontId="15" numFmtId="0" xfId="0" applyAlignment="1" applyBorder="1" applyFont="1">
      <alignment shrinkToFit="0" vertical="center" wrapText="1"/>
    </xf>
    <xf borderId="1" fillId="12" fontId="15" numFmtId="1" xfId="0" applyAlignment="1" applyBorder="1" applyFont="1" applyNumberFormat="1">
      <alignment horizontal="center" shrinkToFit="0" vertical="center" wrapText="1"/>
    </xf>
    <xf borderId="1" fillId="12" fontId="11" numFmtId="0" xfId="0" applyAlignment="1" applyBorder="1" applyFont="1">
      <alignment horizontal="center" readingOrder="0" shrinkToFit="0" vertical="center" wrapText="1"/>
    </xf>
    <xf borderId="1" fillId="12" fontId="13" numFmtId="0" xfId="0" applyAlignment="1" applyBorder="1" applyFont="1">
      <alignment horizontal="center" readingOrder="0" shrinkToFit="0" vertical="center" wrapText="1"/>
    </xf>
    <xf borderId="1" fillId="12" fontId="15" numFmtId="173" xfId="0" applyAlignment="1" applyBorder="1" applyFont="1" applyNumberFormat="1">
      <alignment readingOrder="0" shrinkToFit="0" vertical="center" wrapText="1"/>
    </xf>
    <xf borderId="1" fillId="12" fontId="15" numFmtId="1" xfId="0" applyAlignment="1" applyBorder="1" applyFont="1" applyNumberFormat="1">
      <alignment horizontal="center" readingOrder="0" shrinkToFit="0" vertical="center" wrapText="1"/>
    </xf>
    <xf borderId="1" fillId="12" fontId="13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shrinkToFit="0" vertical="center" wrapText="1"/>
    </xf>
    <xf borderId="1" fillId="0" fontId="15" numFmtId="1" xfId="0" applyAlignment="1" applyBorder="1" applyFont="1" applyNumberFormat="1">
      <alignment horizontal="center" readingOrder="0" shrinkToFit="0" vertical="center" wrapText="1"/>
    </xf>
    <xf borderId="1" fillId="0" fontId="15" numFmtId="1" xfId="0" applyAlignment="1" applyBorder="1" applyFont="1" applyNumberFormat="1">
      <alignment horizontal="center" shrinkToFit="0" vertical="center" wrapText="1"/>
    </xf>
    <xf borderId="1" fillId="0" fontId="22" numFmtId="180" xfId="0" applyAlignment="1" applyBorder="1" applyFont="1" applyNumberFormat="1">
      <alignment horizontal="center" shrinkToFit="0" vertical="bottom" wrapText="1"/>
    </xf>
    <xf borderId="1" fillId="2" fontId="22" numFmtId="164" xfId="0" applyAlignment="1" applyBorder="1" applyFont="1" applyNumberFormat="1">
      <alignment horizontal="center" shrinkToFit="0" vertical="bottom" wrapText="1"/>
    </xf>
    <xf borderId="1" fillId="0" fontId="22" numFmtId="164" xfId="0" applyAlignment="1" applyBorder="1" applyFont="1" applyNumberFormat="1">
      <alignment horizontal="center" shrinkToFit="0" vertical="bottom" wrapText="1"/>
    </xf>
    <xf borderId="1" fillId="2" fontId="22" numFmtId="164" xfId="0" applyAlignment="1" applyBorder="1" applyFont="1" applyNumberFormat="1">
      <alignment horizontal="center" readingOrder="0" shrinkToFit="0" vertical="bottom" wrapText="1"/>
    </xf>
    <xf borderId="1" fillId="0" fontId="22" numFmtId="164" xfId="0" applyAlignment="1" applyBorder="1" applyFont="1" applyNumberFormat="1">
      <alignment horizontal="left" shrinkToFit="0" vertical="bottom" wrapText="1"/>
    </xf>
    <xf borderId="0" fillId="0" fontId="13" numFmtId="164" xfId="0" applyAlignment="1" applyFont="1" applyNumberFormat="1">
      <alignment horizontal="center" shrinkToFit="0" wrapText="1"/>
    </xf>
    <xf borderId="1" fillId="0" fontId="13" numFmtId="180" xfId="0" applyAlignment="1" applyBorder="1" applyFont="1" applyNumberFormat="1">
      <alignment horizontal="center" readingOrder="0" shrinkToFit="0" wrapText="1"/>
    </xf>
    <xf borderId="1" fillId="0" fontId="13" numFmtId="164" xfId="0" applyAlignment="1" applyBorder="1" applyFont="1" applyNumberFormat="1">
      <alignment horizontal="center" shrinkToFit="0" wrapText="1"/>
    </xf>
    <xf borderId="1" fillId="6" fontId="13" numFmtId="164" xfId="0" applyAlignment="1" applyBorder="1" applyFont="1" applyNumberFormat="1">
      <alignment horizontal="center" shrinkToFit="0" wrapText="1"/>
    </xf>
    <xf borderId="1" fillId="0" fontId="13" numFmtId="164" xfId="0" applyAlignment="1" applyBorder="1" applyFont="1" applyNumberFormat="1">
      <alignment horizontal="left" readingOrder="0" shrinkToFit="0" wrapText="1"/>
    </xf>
    <xf borderId="1" fillId="12" fontId="13" numFmtId="164" xfId="0" applyAlignment="1" applyBorder="1" applyFont="1" applyNumberFormat="1">
      <alignment horizontal="center" readingOrder="0" shrinkToFit="0" wrapText="1"/>
    </xf>
    <xf borderId="1" fillId="12" fontId="13" numFmtId="164" xfId="0" applyAlignment="1" applyBorder="1" applyFont="1" applyNumberFormat="1">
      <alignment horizontal="center" shrinkToFit="0" wrapText="1"/>
    </xf>
    <xf borderId="1" fillId="0" fontId="13" numFmtId="164" xfId="0" applyAlignment="1" applyBorder="1" applyFont="1" applyNumberFormat="1">
      <alignment horizontal="left" shrinkToFit="0" wrapText="1"/>
    </xf>
    <xf borderId="0" fillId="0" fontId="13" numFmtId="164" xfId="0" applyAlignment="1" applyFont="1" applyNumberFormat="1">
      <alignment horizontal="center" readingOrder="0" shrinkToFit="0" wrapText="1"/>
    </xf>
    <xf borderId="0" fillId="0" fontId="13" numFmtId="0" xfId="0" applyAlignment="1" applyFont="1">
      <alignment horizontal="left" readingOrder="0" shrinkToFit="0" wrapText="1"/>
    </xf>
    <xf borderId="1" fillId="5" fontId="13" numFmtId="164" xfId="0" applyAlignment="1" applyBorder="1" applyFont="1" applyNumberFormat="1">
      <alignment horizontal="center" readingOrder="0" shrinkToFit="0" wrapText="1"/>
    </xf>
    <xf borderId="0" fillId="0" fontId="13" numFmtId="180" xfId="0" applyAlignment="1" applyFont="1" applyNumberFormat="1">
      <alignment horizontal="center" shrinkToFit="0" wrapText="1"/>
    </xf>
    <xf borderId="0" fillId="0" fontId="13" numFmtId="164" xfId="0" applyAlignment="1" applyFont="1" applyNumberFormat="1">
      <alignment horizontal="left" shrinkToFit="0" wrapText="1"/>
    </xf>
    <xf borderId="1" fillId="0" fontId="13" numFmtId="180" xfId="0" applyAlignment="1" applyBorder="1" applyFont="1" applyNumberFormat="1">
      <alignment horizontal="center" readingOrder="0" shrinkToFit="0" vertical="center" wrapText="1"/>
    </xf>
    <xf borderId="1" fillId="0" fontId="22" numFmtId="164" xfId="0" applyAlignment="1" applyBorder="1" applyFont="1" applyNumberFormat="1">
      <alignment shrinkToFit="0" vertical="center" wrapText="1"/>
    </xf>
    <xf borderId="1" fillId="12" fontId="22" numFmtId="164" xfId="0" applyAlignment="1" applyBorder="1" applyFont="1" applyNumberFormat="1">
      <alignment horizontal="center" shrinkToFit="0" vertical="center" wrapText="1"/>
    </xf>
    <xf borderId="1" fillId="0" fontId="22" numFmtId="164" xfId="0" applyAlignment="1" applyBorder="1" applyFont="1" applyNumberFormat="1">
      <alignment horizontal="center" shrinkToFit="0" vertical="center" wrapText="1"/>
    </xf>
    <xf borderId="0" fillId="0" fontId="22" numFmtId="164" xfId="0" applyAlignment="1" applyFont="1" applyNumberFormat="1">
      <alignment horizontal="center" shrinkToFit="0" vertical="center" wrapText="1"/>
    </xf>
    <xf borderId="0" fillId="0" fontId="22" numFmtId="0" xfId="0" applyAlignment="1" applyFont="1">
      <alignment shrinkToFit="0" vertical="center" wrapText="1"/>
    </xf>
    <xf borderId="1" fillId="8" fontId="13" numFmtId="180" xfId="0" applyAlignment="1" applyBorder="1" applyFont="1" applyNumberFormat="1">
      <alignment horizontal="center" readingOrder="0" shrinkToFit="0" wrapText="1"/>
    </xf>
    <xf borderId="1" fillId="0" fontId="22" numFmtId="164" xfId="0" applyAlignment="1" applyBorder="1" applyFont="1" applyNumberFormat="1">
      <alignment readingOrder="0" shrinkToFit="0" vertical="bottom" wrapText="1"/>
    </xf>
    <xf borderId="1" fillId="0" fontId="22" numFmtId="164" xfId="0" applyAlignment="1" applyBorder="1" applyFont="1" applyNumberFormat="1">
      <alignment shrinkToFit="0" vertical="bottom" wrapText="1"/>
    </xf>
    <xf borderId="1" fillId="12" fontId="22" numFmtId="164" xfId="0" applyAlignment="1" applyBorder="1" applyFont="1" applyNumberFormat="1">
      <alignment horizontal="center" shrinkToFit="0" vertical="bottom" wrapText="1"/>
    </xf>
    <xf borderId="1" fillId="0" fontId="22" numFmtId="164" xfId="0" applyAlignment="1" applyBorder="1" applyFont="1" applyNumberFormat="1">
      <alignment horizontal="center" shrinkToFit="0" vertical="bottom" wrapText="1"/>
    </xf>
    <xf borderId="0" fillId="0" fontId="22" numFmtId="164" xfId="0" applyAlignment="1" applyFont="1" applyNumberFormat="1">
      <alignment horizontal="center" shrinkToFit="0" vertical="bottom" wrapText="1"/>
    </xf>
    <xf borderId="0" fillId="0" fontId="22" numFmtId="0" xfId="0" applyAlignment="1" applyFont="1">
      <alignment shrinkToFit="0" vertical="bottom" wrapText="1"/>
    </xf>
    <xf borderId="0" fillId="0" fontId="13" numFmtId="181" xfId="0" applyAlignment="1" applyFont="1" applyNumberFormat="1">
      <alignment readingOrder="0" shrinkToFit="0" wrapText="1"/>
    </xf>
    <xf borderId="0" fillId="0" fontId="13" numFmtId="164" xfId="0" applyAlignment="1" applyFont="1" applyNumberFormat="1">
      <alignment readingOrder="0" shrinkToFit="0" wrapText="1"/>
    </xf>
    <xf borderId="0" fillId="0" fontId="13" numFmtId="182" xfId="0" applyAlignment="1" applyFont="1" applyNumberFormat="1">
      <alignment readingOrder="0" shrinkToFit="0" wrapText="1"/>
    </xf>
    <xf borderId="0" fillId="0" fontId="52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6" fontId="58" numFmtId="0" xfId="0" applyAlignment="1" applyFont="1">
      <alignment horizontal="center" readingOrder="0" shrinkToFit="0" vertical="center" wrapText="1"/>
    </xf>
    <xf borderId="1" fillId="0" fontId="59" numFmtId="164" xfId="0" applyAlignment="1" applyBorder="1" applyFont="1" applyNumberFormat="1">
      <alignment horizontal="center" shrinkToFit="0" vertical="center" wrapText="1"/>
    </xf>
    <xf borderId="1" fillId="0" fontId="59" numFmtId="164" xfId="0" applyAlignment="1" applyBorder="1" applyFont="1" applyNumberFormat="1">
      <alignment horizontal="center" readingOrder="0" shrinkToFit="0" vertical="center" wrapText="1"/>
    </xf>
    <xf borderId="0" fillId="0" fontId="39" numFmtId="0" xfId="0" applyAlignment="1" applyFont="1">
      <alignment shrinkToFit="0" vertical="bottom" wrapText="1"/>
    </xf>
    <xf borderId="0" fillId="0" fontId="39" numFmtId="0" xfId="0" applyAlignment="1" applyFont="1">
      <alignment readingOrder="0" shrinkToFit="0" vertical="bottom" wrapText="1"/>
    </xf>
    <xf borderId="1" fillId="0" fontId="59" numFmtId="0" xfId="0" applyAlignment="1" applyBorder="1" applyFont="1">
      <alignment horizontal="center" shrinkToFit="0" vertical="center" wrapText="1"/>
    </xf>
    <xf borderId="1" fillId="0" fontId="40" numFmtId="164" xfId="0" applyAlignment="1" applyBorder="1" applyFont="1" applyNumberFormat="1">
      <alignment horizontal="center" readingOrder="0" shrinkToFit="0" vertical="center" wrapText="1"/>
    </xf>
    <xf borderId="1" fillId="0" fontId="22" numFmtId="164" xfId="0" applyAlignment="1" applyBorder="1" applyFont="1" applyNumberFormat="1">
      <alignment horizontal="center" readingOrder="0" shrinkToFit="0" vertical="center" wrapText="1"/>
    </xf>
    <xf borderId="1" fillId="0" fontId="40" numFmtId="164" xfId="0" applyAlignment="1" applyBorder="1" applyFont="1" applyNumberFormat="1">
      <alignment horizontal="center" shrinkToFit="0" vertical="center" wrapText="1"/>
    </xf>
    <xf borderId="1" fillId="8" fontId="40" numFmtId="164" xfId="0" applyAlignment="1" applyBorder="1" applyFont="1" applyNumberFormat="1">
      <alignment horizontal="center" readingOrder="0" shrinkToFit="0" vertical="center" wrapText="1"/>
    </xf>
    <xf borderId="1" fillId="2" fontId="22" numFmtId="164" xfId="0" applyAlignment="1" applyBorder="1" applyFont="1" applyNumberFormat="1">
      <alignment horizontal="center" shrinkToFit="0" vertical="center" wrapText="1"/>
    </xf>
    <xf borderId="1" fillId="0" fontId="59" numFmtId="0" xfId="0" applyAlignment="1" applyBorder="1" applyFont="1">
      <alignment horizontal="center" readingOrder="0" shrinkToFit="0" vertical="center" wrapText="1"/>
    </xf>
    <xf borderId="0" fillId="0" fontId="22" numFmtId="164" xfId="0" applyAlignment="1" applyFont="1" applyNumberFormat="1">
      <alignment horizontal="center" readingOrder="0" shrinkToFit="0" vertical="center" wrapText="1"/>
    </xf>
    <xf borderId="0" fillId="6" fontId="32" numFmtId="0" xfId="0" applyAlignment="1" applyFont="1">
      <alignment horizontal="center" readingOrder="0" shrinkToFit="0" vertical="center" wrapText="1"/>
    </xf>
    <xf borderId="1" fillId="0" fontId="36" numFmtId="0" xfId="0" applyAlignment="1" applyBorder="1" applyFont="1">
      <alignment horizontal="center" readingOrder="0" shrinkToFit="0" vertical="center" wrapText="1"/>
    </xf>
    <xf borderId="0" fillId="27" fontId="33" numFmtId="0" xfId="0" applyAlignment="1" applyFill="1" applyFont="1">
      <alignment horizontal="center" readingOrder="0" shrinkToFit="0" vertical="center" wrapText="1"/>
    </xf>
    <xf borderId="1" fillId="0" fontId="60" numFmtId="0" xfId="0" applyAlignment="1" applyBorder="1" applyFont="1">
      <alignment horizontal="center" readingOrder="0" shrinkToFit="0" vertical="center" wrapText="1"/>
    </xf>
    <xf borderId="1" fillId="6" fontId="52" numFmtId="164" xfId="0" applyAlignment="1" applyBorder="1" applyFont="1" applyNumberForma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2" fontId="5" numFmtId="164" xfId="0" applyAlignment="1" applyBorder="1" applyFont="1" applyNumberFormat="1">
      <alignment horizontal="center" readingOrder="0" shrinkToFit="0" vertical="center" wrapText="1"/>
    </xf>
    <xf borderId="1" fillId="12" fontId="10" numFmtId="165" xfId="0" applyAlignment="1" applyBorder="1" applyFont="1" applyNumberFormat="1">
      <alignment horizontal="center" readingOrder="0" shrinkToFit="0" vertical="center" wrapText="1"/>
    </xf>
    <xf borderId="1" fillId="2" fontId="53" numFmtId="0" xfId="0" applyAlignment="1" applyBorder="1" applyFont="1">
      <alignment horizontal="center" readingOrder="0" shrinkToFit="0" wrapText="1"/>
    </xf>
    <xf borderId="1" fillId="28" fontId="13" numFmtId="0" xfId="0" applyAlignment="1" applyBorder="1" applyFill="1" applyFont="1">
      <alignment horizontal="center" readingOrder="0" shrinkToFit="0" wrapText="1"/>
    </xf>
    <xf borderId="1" fillId="0" fontId="22" numFmtId="0" xfId="0" applyAlignment="1" applyBorder="1" applyFont="1">
      <alignment horizontal="center" shrinkToFit="0" vertical="bottom" wrapText="1"/>
    </xf>
    <xf borderId="1" fillId="28" fontId="13" numFmtId="0" xfId="0" applyAlignment="1" applyBorder="1" applyFont="1">
      <alignment horizontal="center" shrinkToFit="0" wrapText="1"/>
    </xf>
    <xf borderId="1" fillId="0" fontId="22" numFmtId="0" xfId="0" applyAlignment="1" applyBorder="1" applyFont="1">
      <alignment horizontal="center" shrinkToFit="0" vertical="bottom" wrapText="1"/>
    </xf>
    <xf borderId="1" fillId="0" fontId="22" numFmtId="0" xfId="0" applyAlignment="1" applyBorder="1" applyFont="1">
      <alignment shrinkToFit="0" vertical="bottom" wrapText="1"/>
    </xf>
    <xf borderId="1" fillId="0" fontId="61" numFmtId="0" xfId="0" applyAlignment="1" applyBorder="1" applyFont="1">
      <alignment horizontal="center" readingOrder="0" shrinkToFit="0" vertical="bottom" wrapText="1"/>
    </xf>
    <xf borderId="1" fillId="0" fontId="62" numFmtId="0" xfId="0" applyAlignment="1" applyBorder="1" applyFont="1">
      <alignment horizontal="center" readingOrder="0" shrinkToFit="0" vertical="bottom" wrapText="1"/>
    </xf>
    <xf borderId="1" fillId="0" fontId="62" numFmtId="0" xfId="0" applyAlignment="1" applyBorder="1" applyFont="1">
      <alignment shrinkToFit="0" vertical="bottom" wrapText="1"/>
    </xf>
    <xf borderId="0" fillId="0" fontId="59" numFmtId="0" xfId="0" applyAlignment="1" applyFont="1">
      <alignment horizontal="center" readingOrder="0" shrinkToFit="0" vertical="center" wrapText="1"/>
    </xf>
    <xf borderId="0" fillId="0" fontId="59" numFmtId="0" xfId="0" applyAlignment="1" applyFont="1">
      <alignment horizontal="left" readingOrder="0" shrinkToFit="0" vertical="center" wrapText="1"/>
    </xf>
    <xf borderId="0" fillId="0" fontId="59" numFmtId="164" xfId="0" applyAlignment="1" applyFont="1" applyNumberFormat="1">
      <alignment horizontal="center" readingOrder="0" shrinkToFit="0" vertical="center" wrapText="1"/>
    </xf>
    <xf borderId="21" fillId="0" fontId="59" numFmtId="0" xfId="0" applyAlignment="1" applyBorder="1" applyFont="1">
      <alignment horizontal="center" readingOrder="0" shrinkToFit="0" vertical="center" wrapText="1"/>
    </xf>
    <xf borderId="1" fillId="0" fontId="59" numFmtId="164" xfId="0" applyAlignment="1" applyBorder="1" applyFont="1" applyNumberFormat="1">
      <alignment horizontal="left" readingOrder="0" shrinkToFit="0" vertical="center" wrapText="1"/>
    </xf>
    <xf borderId="1" fillId="0" fontId="59" numFmtId="164" xfId="0" applyAlignment="1" applyBorder="1" applyFont="1" applyNumberFormat="1">
      <alignment horizontal="center" readingOrder="0" shrinkToFit="0" vertical="center" wrapText="1"/>
    </xf>
    <xf borderId="24" fillId="0" fontId="13" numFmtId="0" xfId="0" applyAlignment="1" applyBorder="1" applyFont="1">
      <alignment shrinkToFit="0" wrapText="1"/>
    </xf>
    <xf borderId="0" fillId="0" fontId="63" numFmtId="0" xfId="0" applyAlignment="1" applyFont="1">
      <alignment horizontal="center" readingOrder="0" shrinkToFit="0" vertical="center" wrapText="1"/>
    </xf>
    <xf borderId="21" fillId="0" fontId="63" numFmtId="0" xfId="0" applyAlignment="1" applyBorder="1" applyFont="1">
      <alignment horizontal="center" readingOrder="0" shrinkToFit="0" vertical="center" wrapText="1"/>
    </xf>
    <xf borderId="1" fillId="0" fontId="63" numFmtId="164" xfId="0" applyAlignment="1" applyBorder="1" applyFont="1" applyNumberFormat="1">
      <alignment horizontal="left" readingOrder="0" shrinkToFit="0" vertical="center" wrapText="1"/>
    </xf>
    <xf borderId="0" fillId="0" fontId="59" numFmtId="0" xfId="0" applyAlignment="1" applyFont="1">
      <alignment horizontal="center" readingOrder="0" shrinkToFit="0" vertical="center" wrapText="1"/>
    </xf>
    <xf borderId="21" fillId="0" fontId="59" numFmtId="0" xfId="0" applyAlignment="1" applyBorder="1" applyFont="1">
      <alignment horizontal="center" readingOrder="0" shrinkToFit="0" vertical="center" wrapText="1"/>
    </xf>
    <xf borderId="1" fillId="0" fontId="59" numFmtId="164" xfId="0" applyAlignment="1" applyBorder="1" applyFont="1" applyNumberFormat="1">
      <alignment horizontal="left" readingOrder="0" shrinkToFit="0" vertical="center" wrapText="1"/>
    </xf>
    <xf borderId="0" fillId="2" fontId="59" numFmtId="0" xfId="0" applyAlignment="1" applyFont="1">
      <alignment horizontal="center" readingOrder="0" shrinkToFit="0" vertical="center" wrapText="1"/>
    </xf>
    <xf borderId="21" fillId="2" fontId="59" numFmtId="0" xfId="0" applyAlignment="1" applyBorder="1" applyFont="1">
      <alignment horizontal="center" readingOrder="0" shrinkToFit="0" vertical="center" wrapText="1"/>
    </xf>
    <xf borderId="1" fillId="2" fontId="59" numFmtId="164" xfId="0" applyAlignment="1" applyBorder="1" applyFont="1" applyNumberFormat="1">
      <alignment horizontal="left" readingOrder="0" shrinkToFit="0" vertical="center" wrapText="1"/>
    </xf>
    <xf borderId="1" fillId="2" fontId="59" numFmtId="164" xfId="0" applyAlignment="1" applyBorder="1" applyFont="1" applyNumberFormat="1">
      <alignment horizontal="center" readingOrder="0" shrinkToFit="0" vertical="center" wrapText="1"/>
    </xf>
    <xf borderId="0" fillId="2" fontId="59" numFmtId="164" xfId="0" applyAlignment="1" applyFont="1" applyNumberFormat="1">
      <alignment horizontal="center" readingOrder="0" shrinkToFit="0" vertical="center" wrapText="1"/>
    </xf>
    <xf borderId="1" fillId="2" fontId="59" numFmtId="0" xfId="0" applyAlignment="1" applyBorder="1" applyFont="1">
      <alignment horizontal="center" readingOrder="0" shrinkToFit="0" vertical="center" wrapText="1"/>
    </xf>
    <xf borderId="0" fillId="2" fontId="59" numFmtId="0" xfId="0" applyAlignment="1" applyFont="1">
      <alignment horizontal="center" readingOrder="0" shrinkToFit="0" vertical="center" wrapText="1"/>
    </xf>
    <xf borderId="1" fillId="2" fontId="59" numFmtId="0" xfId="0" applyAlignment="1" applyBorder="1" applyFont="1">
      <alignment horizontal="center" readingOrder="0" shrinkToFit="0" vertical="center" wrapText="1"/>
    </xf>
    <xf borderId="1" fillId="2" fontId="59" numFmtId="164" xfId="0" applyAlignment="1" applyBorder="1" applyFont="1" applyNumberFormat="1">
      <alignment horizontal="left" readingOrder="0" shrinkToFit="0" vertical="center" wrapText="1"/>
    </xf>
    <xf borderId="1" fillId="2" fontId="64" numFmtId="164" xfId="0" applyAlignment="1" applyBorder="1" applyFont="1" applyNumberFormat="1">
      <alignment horizontal="center" readingOrder="0" shrinkToFit="0" vertical="center" wrapText="1"/>
    </xf>
    <xf borderId="0" fillId="2" fontId="64" numFmtId="164" xfId="0" applyAlignment="1" applyFont="1" applyNumberFormat="1">
      <alignment horizontal="center" readingOrder="0" shrinkToFit="0" vertical="center" wrapText="1"/>
    </xf>
    <xf borderId="1" fillId="0" fontId="59" numFmtId="0" xfId="0" applyAlignment="1" applyBorder="1" applyFont="1">
      <alignment horizontal="center" readingOrder="0" shrinkToFit="0" vertical="center" wrapText="1"/>
    </xf>
    <xf borderId="0" fillId="0" fontId="59" numFmtId="164" xfId="0" applyAlignment="1" applyFont="1" applyNumberFormat="1">
      <alignment horizontal="left" readingOrder="0" shrinkToFit="0" vertical="center" wrapText="1"/>
    </xf>
    <xf borderId="1" fillId="0" fontId="63" numFmtId="0" xfId="0" applyAlignment="1" applyBorder="1" applyFont="1">
      <alignment horizontal="center" readingOrder="0" shrinkToFit="0" vertical="center" wrapText="1"/>
    </xf>
    <xf borderId="1" fillId="2" fontId="63" numFmtId="164" xfId="0" applyAlignment="1" applyBorder="1" applyFont="1" applyNumberFormat="1">
      <alignment horizontal="left" readingOrder="0" shrinkToFit="0" vertical="center" wrapText="1"/>
    </xf>
    <xf borderId="1" fillId="0" fontId="59" numFmtId="164" xfId="0" applyAlignment="1" applyBorder="1" applyFont="1" applyNumberFormat="1">
      <alignment horizontal="left" readingOrder="0" shrinkToFit="0" vertical="center" wrapText="0"/>
    </xf>
    <xf borderId="0" fillId="0" fontId="59" numFmtId="0" xfId="0" applyAlignment="1" applyFont="1">
      <alignment horizontal="center" readingOrder="0" shrinkToFit="0" vertical="center" wrapText="0"/>
    </xf>
    <xf borderId="21" fillId="0" fontId="59" numFmtId="0" xfId="0" applyAlignment="1" applyBorder="1" applyFont="1">
      <alignment horizontal="center" readingOrder="0" shrinkToFit="0" vertical="center" wrapText="0"/>
    </xf>
    <xf borderId="0" fillId="0" fontId="65" numFmtId="0" xfId="0" applyAlignment="1" applyFont="1">
      <alignment horizontal="center" readingOrder="0" shrinkToFit="0" vertical="center" wrapText="1"/>
    </xf>
    <xf borderId="0" fillId="0" fontId="65" numFmtId="164" xfId="0" applyAlignment="1" applyFont="1" applyNumberFormat="1">
      <alignment horizontal="left" readingOrder="0" shrinkToFit="0" vertical="center" wrapText="1"/>
    </xf>
    <xf borderId="0" fillId="0" fontId="40" numFmtId="164" xfId="0" applyAlignment="1" applyFont="1" applyNumberFormat="1">
      <alignment horizontal="center" readingOrder="0" shrinkToFit="0" vertical="center" wrapText="1"/>
    </xf>
    <xf borderId="0" fillId="0" fontId="40" numFmtId="0" xfId="0" applyAlignment="1" applyFont="1">
      <alignment horizontal="center" readingOrder="0" shrinkToFit="0" vertical="center" wrapText="1"/>
    </xf>
    <xf borderId="0" fillId="0" fontId="40" numFmtId="164" xfId="0" applyAlignment="1" applyFont="1" applyNumberFormat="1">
      <alignment horizontal="left" readingOrder="0" shrinkToFit="0" vertical="center" wrapText="1"/>
    </xf>
    <xf borderId="0" fillId="0" fontId="66" numFmtId="0" xfId="0" applyAlignment="1" applyFont="1">
      <alignment horizontal="center" readingOrder="0" shrinkToFit="0" vertical="center" wrapText="1"/>
    </xf>
    <xf borderId="0" fillId="0" fontId="66" numFmtId="0" xfId="0" applyAlignment="1" applyFont="1">
      <alignment horizontal="left" readingOrder="0" shrinkToFit="0" vertical="center" wrapText="1"/>
    </xf>
    <xf borderId="21" fillId="0" fontId="66" numFmtId="0" xfId="0" applyAlignment="1" applyBorder="1" applyFont="1">
      <alignment horizontal="center" readingOrder="0" shrinkToFit="0" vertical="center" wrapText="1"/>
    </xf>
    <xf borderId="0" fillId="0" fontId="66" numFmtId="164" xfId="0" applyAlignment="1" applyFont="1" applyNumberFormat="1">
      <alignment horizontal="left" readingOrder="0" shrinkToFit="0" vertical="center" wrapText="1"/>
    </xf>
    <xf borderId="1" fillId="0" fontId="66" numFmtId="164" xfId="0" applyAlignment="1" applyBorder="1" applyFont="1" applyNumberFormat="1">
      <alignment horizontal="left" readingOrder="0" shrinkToFit="0" vertical="center" wrapText="1"/>
    </xf>
    <xf borderId="0" fillId="0" fontId="66" numFmtId="164" xfId="0" applyAlignment="1" applyFont="1" applyNumberFormat="1">
      <alignment horizontal="center" readingOrder="0" shrinkToFit="0" vertical="center" wrapText="1"/>
    </xf>
    <xf borderId="0" fillId="0" fontId="67" numFmtId="0" xfId="0" applyAlignment="1" applyFont="1">
      <alignment horizontal="center" readingOrder="0" shrinkToFit="0" vertical="center" wrapText="1"/>
    </xf>
    <xf borderId="21" fillId="0" fontId="67" numFmtId="0" xfId="0" applyAlignment="1" applyBorder="1" applyFont="1">
      <alignment horizontal="center" readingOrder="0" shrinkToFit="0" vertical="center" wrapText="1"/>
    </xf>
    <xf borderId="0" fillId="0" fontId="67" numFmtId="164" xfId="0" applyAlignment="1" applyFont="1" applyNumberFormat="1">
      <alignment horizontal="left" readingOrder="0" shrinkToFit="0" vertical="center" wrapText="1"/>
    </xf>
    <xf borderId="1" fillId="0" fontId="67" numFmtId="164" xfId="0" applyAlignment="1" applyBorder="1" applyFont="1" applyNumberFormat="1">
      <alignment horizontal="left" readingOrder="0" shrinkToFit="0" vertical="center" wrapText="1"/>
    </xf>
    <xf borderId="0" fillId="0" fontId="66" numFmtId="0" xfId="0" applyAlignment="1" applyFont="1">
      <alignment horizontal="center" readingOrder="0" shrinkToFit="0" vertical="center" wrapText="1"/>
    </xf>
    <xf borderId="21" fillId="0" fontId="66" numFmtId="0" xfId="0" applyAlignment="1" applyBorder="1" applyFont="1">
      <alignment horizontal="center" readingOrder="0" shrinkToFit="0" vertical="center" wrapText="1"/>
    </xf>
    <xf borderId="0" fillId="0" fontId="66" numFmtId="164" xfId="0" applyAlignment="1" applyFont="1" applyNumberFormat="1">
      <alignment horizontal="left" readingOrder="0" shrinkToFit="0" vertical="center" wrapText="1"/>
    </xf>
    <xf borderId="1" fillId="0" fontId="66" numFmtId="164" xfId="0" applyAlignment="1" applyBorder="1" applyFont="1" applyNumberFormat="1">
      <alignment horizontal="left" readingOrder="0" shrinkToFit="0" vertical="center" wrapText="1"/>
    </xf>
    <xf borderId="1" fillId="0" fontId="66" numFmtId="0" xfId="0" applyAlignment="1" applyBorder="1" applyFont="1">
      <alignment horizontal="center" readingOrder="0" shrinkToFit="0" vertical="center" wrapText="1"/>
    </xf>
    <xf borderId="1" fillId="0" fontId="66" numFmtId="0" xfId="0" applyAlignment="1" applyBorder="1" applyFont="1">
      <alignment horizontal="center" readingOrder="0" shrinkToFit="0" vertical="center" wrapText="1"/>
    </xf>
    <xf borderId="1" fillId="0" fontId="67" numFmtId="0" xfId="0" applyAlignment="1" applyBorder="1" applyFont="1">
      <alignment horizontal="center" readingOrder="0" shrinkToFit="0" vertical="center" wrapText="1"/>
    </xf>
    <xf borderId="0" fillId="0" fontId="66" numFmtId="164" xfId="0" applyAlignment="1" applyFont="1" applyNumberFormat="1">
      <alignment horizontal="left" readingOrder="0" shrinkToFit="0" vertical="center" wrapText="0"/>
    </xf>
    <xf borderId="1" fillId="0" fontId="66" numFmtId="164" xfId="0" applyAlignment="1" applyBorder="1" applyFont="1" applyNumberFormat="1">
      <alignment horizontal="left" readingOrder="0" shrinkToFit="0" vertical="center" wrapText="0"/>
    </xf>
    <xf borderId="0" fillId="0" fontId="66" numFmtId="0" xfId="0" applyAlignment="1" applyFont="1">
      <alignment horizontal="center" readingOrder="0" shrinkToFit="0" vertical="center" wrapText="0"/>
    </xf>
    <xf borderId="1" fillId="0" fontId="66" numFmtId="0" xfId="0" applyAlignment="1" applyBorder="1" applyFont="1">
      <alignment horizontal="center" readingOrder="0" shrinkToFit="0" vertical="center" wrapText="0"/>
    </xf>
    <xf borderId="0" fillId="0" fontId="68" numFmtId="0" xfId="0" applyAlignment="1" applyFont="1">
      <alignment horizontal="center" readingOrder="0" shrinkToFit="0" vertical="center" wrapText="1"/>
    </xf>
    <xf borderId="0" fillId="0" fontId="68" numFmtId="164" xfId="0" applyAlignment="1" applyFont="1" applyNumberFormat="1">
      <alignment horizontal="left" readingOrder="0" shrinkToFit="0" vertical="center" wrapText="1"/>
    </xf>
    <xf borderId="1" fillId="2" fontId="69" numFmtId="0" xfId="0" applyAlignment="1" applyBorder="1" applyFont="1">
      <alignment horizontal="center" readingOrder="0" shrinkToFit="0" wrapText="1"/>
    </xf>
    <xf borderId="1" fillId="0" fontId="69" numFmtId="0" xfId="0" applyAlignment="1" applyBorder="1" applyFont="1">
      <alignment horizontal="center" readingOrder="0" shrinkToFit="0" wrapText="1"/>
    </xf>
    <xf borderId="0" fillId="0" fontId="69" numFmtId="0" xfId="0" applyAlignment="1" applyFont="1">
      <alignment shrinkToFit="0" wrapText="1"/>
    </xf>
    <xf borderId="1" fillId="6" fontId="53" numFmtId="0" xfId="0" applyAlignment="1" applyBorder="1" applyFont="1">
      <alignment horizontal="center" readingOrder="0" shrinkToFit="0" wrapText="1"/>
    </xf>
    <xf borderId="1" fillId="0" fontId="13" numFmtId="0" xfId="0" applyAlignment="1" applyBorder="1" applyFont="1">
      <alignment horizontal="center" readingOrder="0" shrinkToFit="0" wrapText="1"/>
    </xf>
    <xf borderId="1" fillId="2" fontId="13" numFmtId="0" xfId="0" applyAlignment="1" applyBorder="1" applyFont="1">
      <alignment horizontal="center" readingOrder="0" shrinkToFit="0" wrapText="1"/>
    </xf>
    <xf borderId="0" fillId="0" fontId="51" numFmtId="0" xfId="0" applyAlignment="1" applyFont="1">
      <alignment readingOrder="0" shrinkToFit="0" wrapText="1"/>
    </xf>
    <xf borderId="0" fillId="0" fontId="51" numFmtId="164" xfId="0" applyAlignment="1" applyFont="1" applyNumberFormat="1">
      <alignment readingOrder="0" shrinkToFit="0" wrapText="1"/>
    </xf>
    <xf borderId="0" fillId="0" fontId="51" numFmtId="0" xfId="0" applyAlignment="1" applyFont="1">
      <alignment shrinkToFit="0" wrapText="1"/>
    </xf>
    <xf borderId="0" fillId="0" fontId="51" numFmtId="164" xfId="0" applyAlignment="1" applyFont="1" applyNumberFormat="1">
      <alignment shrinkToFit="0" wrapText="1"/>
    </xf>
    <xf borderId="1" fillId="0" fontId="13" numFmtId="183" xfId="0" applyAlignment="1" applyBorder="1" applyFont="1" applyNumberFormat="1">
      <alignment horizontal="center" readingOrder="0" shrinkToFit="0" wrapText="1"/>
    </xf>
    <xf borderId="1" fillId="2" fontId="13" numFmtId="164" xfId="0" applyAlignment="1" applyBorder="1" applyFont="1" applyNumberFormat="1">
      <alignment horizontal="center" readingOrder="0" shrinkToFit="0" wrapText="1"/>
    </xf>
    <xf borderId="1" fillId="6" fontId="13" numFmtId="164" xfId="0" applyAlignment="1" applyBorder="1" applyFont="1" applyNumberFormat="1">
      <alignment horizontal="center" readingOrder="0" shrinkToFit="0" wrapText="1"/>
    </xf>
    <xf borderId="1" fillId="3" fontId="13" numFmtId="183" xfId="0" applyAlignment="1" applyBorder="1" applyFont="1" applyNumberFormat="1">
      <alignment horizontal="center" readingOrder="0" shrinkToFit="0" wrapText="1"/>
    </xf>
    <xf borderId="1" fillId="12" fontId="52" numFmtId="0" xfId="0" applyAlignment="1" applyBorder="1" applyFont="1">
      <alignment horizontal="center" readingOrder="0" shrinkToFit="0" wrapText="1"/>
    </xf>
    <xf borderId="1" fillId="0" fontId="13" numFmtId="175" xfId="0" applyAlignment="1" applyBorder="1" applyFont="1" applyNumberFormat="1">
      <alignment horizontal="center" readingOrder="0" shrinkToFit="0" wrapText="1"/>
    </xf>
    <xf borderId="0" fillId="0" fontId="13" numFmtId="0" xfId="0" applyAlignment="1" applyFont="1">
      <alignment horizontal="center" shrinkToFit="0" wrapText="1"/>
    </xf>
    <xf borderId="1" fillId="0" fontId="13" numFmtId="0" xfId="0" applyAlignment="1" applyBorder="1" applyFont="1">
      <alignment horizontal="center" shrinkToFit="0" wrapText="1"/>
    </xf>
    <xf borderId="0" fillId="16" fontId="13" numFmtId="0" xfId="0" applyAlignment="1" applyFont="1">
      <alignment horizontal="center" readingOrder="0" shrinkToFit="0" wrapText="1"/>
    </xf>
    <xf borderId="0" fillId="16" fontId="13" numFmtId="0" xfId="0" applyAlignment="1" applyFont="1">
      <alignment horizontal="center" shrinkToFit="0" wrapText="1"/>
    </xf>
    <xf borderId="1" fillId="6" fontId="13" numFmtId="0" xfId="0" applyAlignment="1" applyBorder="1" applyFont="1">
      <alignment readingOrder="0" shrinkToFit="0" wrapText="1"/>
    </xf>
    <xf borderId="1" fillId="6" fontId="13" numFmtId="164" xfId="0" applyAlignment="1" applyBorder="1" applyFont="1" applyNumberFormat="1">
      <alignment shrinkToFit="0" wrapText="1"/>
    </xf>
    <xf borderId="1" fillId="6" fontId="13" numFmtId="0" xfId="0" applyAlignment="1" applyBorder="1" applyFont="1">
      <alignment shrinkToFit="0" wrapText="1"/>
    </xf>
    <xf borderId="1" fillId="0" fontId="13" numFmtId="183" xfId="0" applyAlignment="1" applyBorder="1" applyFont="1" applyNumberFormat="1">
      <alignment readingOrder="0" shrinkToFit="0" wrapText="1"/>
    </xf>
    <xf borderId="1" fillId="6" fontId="24" numFmtId="0" xfId="0" applyAlignment="1" applyBorder="1" applyFont="1">
      <alignment readingOrder="0" shrinkToFit="0" wrapText="1"/>
    </xf>
    <xf borderId="1" fillId="6" fontId="24" numFmtId="164" xfId="0" applyAlignment="1" applyBorder="1" applyFont="1" applyNumberFormat="1">
      <alignment horizontal="center" readingOrder="0" shrinkToFit="0" wrapText="1"/>
    </xf>
    <xf borderId="0" fillId="19" fontId="13" numFmtId="164" xfId="0" applyAlignment="1" applyFont="1" applyNumberFormat="1">
      <alignment shrinkToFit="0" wrapText="1"/>
    </xf>
    <xf borderId="0" fillId="2" fontId="70" numFmtId="0" xfId="0" applyAlignment="1" applyFont="1">
      <alignment horizontal="center" readingOrder="0" shrinkToFit="0" vertical="center" wrapText="1"/>
    </xf>
    <xf borderId="1" fillId="2" fontId="46" numFmtId="0" xfId="0" applyAlignment="1" applyBorder="1" applyFont="1">
      <alignment horizontal="center" readingOrder="0" shrinkToFit="0" vertical="center" wrapText="1"/>
    </xf>
    <xf borderId="1" fillId="2" fontId="71" numFmtId="0" xfId="0" applyAlignment="1" applyBorder="1" applyFont="1">
      <alignment horizontal="center" readingOrder="0" shrinkToFit="0" vertical="center" wrapText="1"/>
    </xf>
    <xf borderId="1" fillId="2" fontId="72" numFmtId="0" xfId="0" applyAlignment="1" applyBorder="1" applyFont="1">
      <alignment horizontal="center" readingOrder="0" shrinkToFit="0" vertical="center" wrapText="1"/>
    </xf>
    <xf borderId="1" fillId="12" fontId="39" numFmtId="0" xfId="0" applyAlignment="1" applyBorder="1" applyFont="1">
      <alignment horizontal="center" readingOrder="0" shrinkToFit="0" vertical="center" wrapText="1"/>
    </xf>
    <xf borderId="1" fillId="0" fontId="64" numFmtId="3" xfId="0" applyAlignment="1" applyBorder="1" applyFont="1" applyNumberFormat="1">
      <alignment horizontal="center" readingOrder="0" shrinkToFit="0" vertical="center" wrapText="1"/>
    </xf>
    <xf borderId="1" fillId="0" fontId="26" numFmtId="164" xfId="0" applyAlignment="1" applyBorder="1" applyFont="1" applyNumberFormat="1">
      <alignment horizontal="center" readingOrder="0" shrinkToFit="0" vertical="center" wrapText="1"/>
    </xf>
    <xf borderId="1" fillId="0" fontId="5" numFmtId="3" xfId="0" applyAlignment="1" applyBorder="1" applyFont="1" applyNumberFormat="1">
      <alignment horizontal="center" readingOrder="0" shrinkToFit="0" vertical="center" wrapText="1"/>
    </xf>
    <xf borderId="0" fillId="2" fontId="53" numFmtId="0" xfId="0" applyAlignment="1" applyFont="1">
      <alignment horizontal="center" readingOrder="0" shrinkToFit="0" wrapText="1"/>
    </xf>
    <xf borderId="1" fillId="2" fontId="13" numFmtId="0" xfId="0" applyAlignment="1" applyBorder="1" applyFont="1">
      <alignment readingOrder="0" shrinkToFit="0" wrapText="1"/>
    </xf>
    <xf borderId="1" fillId="12" fontId="53" numFmtId="0" xfId="0" applyAlignment="1" applyBorder="1" applyFont="1">
      <alignment horizontal="center" readingOrder="0" shrinkToFit="0" wrapText="1"/>
    </xf>
    <xf borderId="1" fillId="0" fontId="73" numFmtId="3" xfId="0" applyAlignment="1" applyBorder="1" applyFont="1" applyNumberFormat="1">
      <alignment horizontal="center" readingOrder="0" shrinkToFit="0" vertical="bottom" wrapText="0"/>
    </xf>
    <xf borderId="1" fillId="0" fontId="53" numFmtId="3" xfId="0" applyAlignment="1" applyBorder="1" applyFont="1" applyNumberFormat="1">
      <alignment horizontal="center" readingOrder="0" shrinkToFit="0" wrapText="1"/>
    </xf>
    <xf borderId="1" fillId="0" fontId="5" numFmtId="3" xfId="0" applyAlignment="1" applyBorder="1" applyFont="1" applyNumberForma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2" fontId="5" numFmtId="164" xfId="0" applyAlignment="1" applyBorder="1" applyFont="1" applyNumberFormat="1">
      <alignment horizontal="center" readingOrder="0" shrinkToFit="0" wrapText="1"/>
    </xf>
    <xf borderId="1" fillId="2" fontId="26" numFmtId="164" xfId="0" applyAlignment="1" applyBorder="1" applyFont="1" applyNumberFormat="1">
      <alignment horizontal="center" readingOrder="0" shrinkToFit="0" wrapText="1"/>
    </xf>
    <xf borderId="1" fillId="0" fontId="17" numFmtId="4" xfId="0" applyAlignment="1" applyBorder="1" applyFont="1" applyNumberFormat="1">
      <alignment horizontal="center" shrinkToFit="0" vertical="bottom" wrapText="1"/>
    </xf>
    <xf borderId="1" fillId="0" fontId="17" numFmtId="3" xfId="0" applyAlignment="1" applyBorder="1" applyFont="1" applyNumberFormat="1">
      <alignment horizontal="center" shrinkToFit="0" vertical="bottom" wrapText="1"/>
    </xf>
    <xf borderId="1" fillId="0" fontId="5" numFmtId="164" xfId="0" applyAlignment="1" applyBorder="1" applyFont="1" applyNumberFormat="1">
      <alignment horizontal="center" readingOrder="0" shrinkToFit="0" wrapText="1"/>
    </xf>
    <xf borderId="0" fillId="2" fontId="13" numFmtId="0" xfId="0" applyAlignment="1" applyFont="1">
      <alignment horizontal="center" readingOrder="0" shrinkToFit="0" wrapText="1"/>
    </xf>
    <xf borderId="1" fillId="0" fontId="74" numFmtId="164" xfId="0" applyAlignment="1" applyBorder="1" applyFont="1" applyNumberFormat="1">
      <alignment horizontal="center" readingOrder="0" shrinkToFit="0" vertical="bottom" wrapText="0"/>
    </xf>
    <xf borderId="1" fillId="2" fontId="74" numFmtId="164" xfId="0" applyAlignment="1" applyBorder="1" applyFont="1" applyNumberFormat="1">
      <alignment horizontal="center" readingOrder="0" shrinkToFit="0" vertical="bottom" wrapText="0"/>
    </xf>
    <xf borderId="1" fillId="12" fontId="41" numFmtId="0" xfId="0" applyAlignment="1" applyBorder="1" applyFont="1">
      <alignment horizontal="center" readingOrder="0" shrinkToFit="0" wrapText="1"/>
    </xf>
    <xf borderId="1" fillId="9" fontId="13" numFmtId="164" xfId="0" applyAlignment="1" applyBorder="1" applyFont="1" applyNumberFormat="1">
      <alignment horizontal="center" readingOrder="0" shrinkToFit="0" wrapText="1"/>
    </xf>
    <xf borderId="1" fillId="29" fontId="74" numFmtId="164" xfId="0" applyAlignment="1" applyBorder="1" applyFill="1" applyFont="1" applyNumberFormat="1">
      <alignment horizontal="center" readingOrder="0" shrinkToFit="0" vertical="bottom" wrapText="0"/>
    </xf>
    <xf borderId="1" fillId="8" fontId="5" numFmtId="0" xfId="0" applyAlignment="1" applyBorder="1" applyFont="1">
      <alignment horizontal="center" readingOrder="0" shrinkToFit="0" wrapText="1"/>
    </xf>
    <xf borderId="1" fillId="9" fontId="5" numFmtId="164" xfId="0" applyAlignment="1" applyBorder="1" applyFont="1" applyNumberFormat="1">
      <alignment horizontal="center" readingOrder="0" shrinkToFit="0" wrapText="1"/>
    </xf>
    <xf borderId="1" fillId="9" fontId="26" numFmtId="164" xfId="0" applyAlignment="1" applyBorder="1" applyFont="1" applyNumberFormat="1">
      <alignment horizontal="center" readingOrder="0" shrinkToFit="0" wrapText="1"/>
    </xf>
    <xf borderId="0" fillId="0" fontId="13" numFmtId="1" xfId="0" applyAlignment="1" applyFont="1" applyNumberFormat="1">
      <alignment shrinkToFit="0" wrapText="1"/>
    </xf>
    <xf borderId="1" fillId="2" fontId="13" numFmtId="0" xfId="0" applyAlignment="1" applyBorder="1" applyFont="1">
      <alignment horizontal="center" shrinkToFit="0" wrapText="1"/>
    </xf>
    <xf borderId="1" fillId="0" fontId="53" numFmtId="0" xfId="0" applyAlignment="1" applyBorder="1" applyFont="1">
      <alignment horizontal="center" shrinkToFit="0" wrapText="1"/>
    </xf>
    <xf borderId="1" fillId="0" fontId="53" numFmtId="3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1" fillId="0" fontId="5" numFmtId="164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shrinkToFit="0" wrapText="1"/>
    </xf>
    <xf borderId="0" fillId="6" fontId="46" numFmtId="0" xfId="0" applyAlignment="1" applyFont="1">
      <alignment horizontal="center" readingOrder="0" shrinkToFit="0" vertical="center" wrapText="1"/>
    </xf>
    <xf borderId="1" fillId="6" fontId="46" numFmtId="0" xfId="0" applyAlignment="1" applyBorder="1" applyFont="1">
      <alignment horizontal="center" readingOrder="0" shrinkToFit="0" vertical="center" wrapText="1"/>
    </xf>
    <xf borderId="1" fillId="6" fontId="71" numFmtId="0" xfId="0" applyAlignment="1" applyBorder="1" applyFont="1">
      <alignment horizontal="center" readingOrder="0" shrinkToFit="0" vertical="center" wrapText="1"/>
    </xf>
    <xf borderId="1" fillId="6" fontId="72" numFmtId="0" xfId="0" applyAlignment="1" applyBorder="1" applyFont="1">
      <alignment horizontal="center" readingOrder="0" shrinkToFit="0" vertical="center" wrapText="1"/>
    </xf>
    <xf borderId="1" fillId="12" fontId="60" numFmtId="0" xfId="0" applyAlignment="1" applyBorder="1" applyFont="1">
      <alignment horizontal="center" readingOrder="0" shrinkToFit="0" textRotation="0" wrapText="1"/>
    </xf>
    <xf borderId="1" fillId="0" fontId="53" numFmtId="3" xfId="0" applyAlignment="1" applyBorder="1" applyFont="1" applyNumberFormat="1">
      <alignment horizontal="center" readingOrder="0" shrinkToFit="0" vertical="center" wrapText="1"/>
    </xf>
    <xf borderId="0" fillId="6" fontId="53" numFmtId="0" xfId="0" applyAlignment="1" applyFont="1">
      <alignment horizontal="center" readingOrder="0" shrinkToFit="0" wrapText="1"/>
    </xf>
    <xf borderId="1" fillId="6" fontId="13" numFmtId="0" xfId="0" applyAlignment="1" applyBorder="1" applyFont="1">
      <alignment horizontal="center" readingOrder="0" shrinkToFit="0" wrapText="1"/>
    </xf>
    <xf borderId="1" fillId="6" fontId="13" numFmtId="0" xfId="0" applyAlignment="1" applyBorder="1" applyFont="1">
      <alignment horizontal="left" readingOrder="0" shrinkToFit="0" wrapText="1"/>
    </xf>
    <xf borderId="0" fillId="6" fontId="13" numFmtId="0" xfId="0" applyAlignment="1" applyFont="1">
      <alignment horizontal="center" readingOrder="0" shrinkToFit="0" wrapText="1"/>
    </xf>
    <xf borderId="1" fillId="0" fontId="50" numFmtId="3" xfId="0" applyAlignment="1" applyBorder="1" applyFont="1" applyNumberFormat="1">
      <alignment horizontal="center" readingOrder="0" shrinkToFit="0" vertical="bottom" wrapText="0"/>
    </xf>
    <xf borderId="1" fillId="9" fontId="74" numFmtId="164" xfId="0" applyAlignment="1" applyBorder="1" applyFont="1" applyNumberFormat="1">
      <alignment horizontal="center" readingOrder="0" shrinkToFit="0" vertical="bottom" wrapText="0"/>
    </xf>
    <xf borderId="1" fillId="0" fontId="53" numFmtId="164" xfId="0" applyAlignment="1" applyBorder="1" applyFont="1" applyNumberFormat="1">
      <alignment horizontal="center" readingOrder="0" shrinkToFit="0" wrapText="1"/>
    </xf>
    <xf borderId="1" fillId="2" fontId="53" numFmtId="164" xfId="0" applyAlignment="1" applyBorder="1" applyFont="1" applyNumberForma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9" fontId="13" numFmtId="164" xfId="0" applyAlignment="1" applyFont="1" applyNumberFormat="1">
      <alignment horizontal="center" readingOrder="0" shrinkToFit="0" wrapText="1"/>
    </xf>
    <xf borderId="0" fillId="2" fontId="13" numFmtId="164" xfId="0" applyAlignment="1" applyFont="1" applyNumberFormat="1">
      <alignment horizontal="center" readingOrder="0" shrinkToFit="0" wrapText="1"/>
    </xf>
    <xf borderId="0" fillId="0" fontId="13" numFmtId="0" xfId="0" applyAlignment="1" applyFont="1">
      <alignment horizontal="left" shrinkToFit="0" wrapText="1"/>
    </xf>
    <xf borderId="0" fillId="0" fontId="53" numFmtId="0" xfId="0" applyAlignment="1" applyFont="1">
      <alignment horizontal="center" shrinkToFit="0" wrapText="1"/>
    </xf>
    <xf borderId="0" fillId="0" fontId="53" numFmtId="3" xfId="0" applyAlignment="1" applyFont="1" applyNumberFormat="1">
      <alignment horizontal="center" shrinkToFit="0" wrapText="1"/>
    </xf>
    <xf borderId="0" fillId="0" fontId="5" numFmtId="164" xfId="0" applyAlignment="1" applyFont="1" applyNumberForma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26" numFmtId="164" xfId="0" applyAlignment="1" applyFont="1" applyNumberFormat="1">
      <alignment horizontal="center" shrinkToFit="0" wrapText="1"/>
    </xf>
    <xf borderId="0" fillId="0" fontId="5" numFmtId="3" xfId="0" applyAlignment="1" applyFont="1" applyNumberFormat="1">
      <alignment shrinkToFit="0" wrapText="1"/>
    </xf>
    <xf borderId="0" fillId="0" fontId="53" numFmtId="0" xfId="0" applyAlignment="1" applyFont="1">
      <alignment horizontal="center" readingOrder="0" shrinkToFit="0" wrapText="1"/>
    </xf>
    <xf borderId="1" fillId="0" fontId="75" numFmtId="0" xfId="0" applyAlignment="1" applyBorder="1" applyFont="1">
      <alignment horizontal="center" readingOrder="0" shrinkToFit="0" vertical="center" wrapText="1"/>
    </xf>
    <xf borderId="1" fillId="0" fontId="75" numFmtId="164" xfId="0" applyAlignment="1" applyBorder="1" applyFont="1" applyNumberFormat="1">
      <alignment horizontal="center" readingOrder="0" shrinkToFit="0" vertical="center" wrapText="1"/>
    </xf>
    <xf borderId="0" fillId="0" fontId="75" numFmtId="0" xfId="0" applyAlignment="1" applyFont="1">
      <alignment horizontal="center" readingOrder="0" shrinkToFit="0" vertical="center" wrapText="1"/>
    </xf>
    <xf borderId="1" fillId="6" fontId="75" numFmtId="0" xfId="0" applyAlignment="1" applyBorder="1" applyFont="1">
      <alignment horizontal="center" readingOrder="0" shrinkToFit="0" vertical="center" wrapText="1"/>
    </xf>
    <xf borderId="1" fillId="12" fontId="75" numFmtId="0" xfId="0" applyAlignment="1" applyBorder="1" applyFont="1">
      <alignment horizontal="center" readingOrder="0" shrinkToFit="0" vertical="center" wrapText="1"/>
    </xf>
    <xf borderId="0" fillId="0" fontId="75" numFmtId="0" xfId="0" applyAlignment="1" applyFont="1">
      <alignment horizontal="center" shrinkToFit="0" vertical="center" wrapText="1"/>
    </xf>
    <xf borderId="1" fillId="0" fontId="75" numFmtId="0" xfId="0" applyAlignment="1" applyBorder="1" applyFont="1">
      <alignment readingOrder="0" shrinkToFit="0" vertical="center" wrapText="1"/>
    </xf>
    <xf borderId="1" fillId="0" fontId="76" numFmtId="164" xfId="0" applyAlignment="1" applyBorder="1" applyFont="1" applyNumberFormat="1">
      <alignment horizontal="center" readingOrder="0" shrinkToFit="0" vertical="center" wrapText="1"/>
    </xf>
    <xf borderId="0" fillId="0" fontId="75" numFmtId="0" xfId="0" applyAlignment="1" applyFont="1">
      <alignment readingOrder="0" shrinkToFit="0" vertical="center" wrapText="1"/>
    </xf>
    <xf borderId="1" fillId="3" fontId="75" numFmtId="0" xfId="0" applyAlignment="1" applyBorder="1" applyFont="1">
      <alignment readingOrder="0" shrinkToFit="0" vertical="center" wrapText="1"/>
    </xf>
    <xf borderId="1" fillId="6" fontId="75" numFmtId="0" xfId="0" applyAlignment="1" applyBorder="1" applyFont="1">
      <alignment horizontal="center" shrinkToFit="0" vertical="center" wrapText="1"/>
    </xf>
    <xf borderId="0" fillId="0" fontId="75" numFmtId="0" xfId="0" applyAlignment="1" applyFont="1">
      <alignment shrinkToFit="0" vertical="center" wrapText="1"/>
    </xf>
    <xf borderId="1" fillId="2" fontId="76" numFmtId="164" xfId="0" applyAlignment="1" applyBorder="1" applyFont="1" applyNumberFormat="1">
      <alignment horizontal="center" readingOrder="0" shrinkToFit="0" vertical="center" wrapText="1"/>
    </xf>
    <xf borderId="1" fillId="17" fontId="75" numFmtId="0" xfId="0" applyAlignment="1" applyBorder="1" applyFont="1">
      <alignment readingOrder="0" shrinkToFit="0" vertical="center" wrapText="1"/>
    </xf>
    <xf borderId="1" fillId="0" fontId="77" numFmtId="0" xfId="0" applyAlignment="1" applyBorder="1" applyFont="1">
      <alignment readingOrder="0" shrinkToFit="0" vertical="center" wrapText="1"/>
    </xf>
    <xf borderId="1" fillId="2" fontId="75" numFmtId="164" xfId="0" applyAlignment="1" applyBorder="1" applyFont="1" applyNumberFormat="1">
      <alignment horizontal="center" readingOrder="0" shrinkToFit="0" vertical="center" wrapText="1"/>
    </xf>
    <xf borderId="1" fillId="12" fontId="13" numFmtId="0" xfId="0" applyAlignment="1" applyBorder="1" applyFont="1">
      <alignment shrinkToFit="0" wrapText="1"/>
    </xf>
    <xf borderId="0" fillId="0" fontId="75" numFmtId="164" xfId="0" applyAlignment="1" applyFont="1" applyNumberFormat="1">
      <alignment horizontal="center" shrinkToFit="0" vertical="center" wrapText="1"/>
    </xf>
    <xf borderId="1" fillId="12" fontId="75" numFmtId="0" xfId="0" applyAlignment="1" applyBorder="1" applyFont="1">
      <alignment horizontal="center" shrinkToFit="0" vertical="center" wrapText="1"/>
    </xf>
    <xf borderId="0" fillId="0" fontId="77" numFmtId="0" xfId="0" applyAlignment="1" applyFont="1">
      <alignment readingOrder="0" shrinkToFit="0" vertical="center" wrapText="1"/>
    </xf>
    <xf borderId="0" fillId="2" fontId="75" numFmtId="164" xfId="0" applyAlignment="1" applyFont="1" applyNumberFormat="1">
      <alignment horizontal="center" shrinkToFit="0" vertical="center" wrapText="1"/>
    </xf>
    <xf borderId="0" fillId="0" fontId="75" numFmtId="164" xfId="0" applyAlignment="1" applyFont="1" applyNumberFormat="1">
      <alignment horizontal="center" readingOrder="0" shrinkToFit="0" vertical="center" wrapText="1"/>
    </xf>
    <xf borderId="0" fillId="0" fontId="75" numFmtId="181" xfId="0" applyAlignment="1" applyFont="1" applyNumberFormat="1">
      <alignment horizontal="center" readingOrder="0" shrinkToFit="0" vertical="center" wrapText="1"/>
    </xf>
    <xf borderId="0" fillId="0" fontId="75" numFmtId="171" xfId="0" applyAlignment="1" applyFont="1" applyNumberFormat="1">
      <alignment horizontal="center" readingOrder="0" shrinkToFit="0" vertical="center" wrapText="1"/>
    </xf>
    <xf borderId="0" fillId="6" fontId="75" numFmtId="0" xfId="0" applyAlignment="1" applyFont="1">
      <alignment horizontal="center" shrinkToFit="0" vertical="center" wrapText="1"/>
    </xf>
    <xf borderId="0" fillId="12" fontId="75" numFmtId="0" xfId="0" applyAlignment="1" applyFont="1">
      <alignment horizontal="center" shrinkToFit="0" vertical="center" wrapText="1"/>
    </xf>
    <xf borderId="0" fillId="0" fontId="78" numFmtId="164" xfId="0" applyAlignment="1" applyFont="1" applyNumberFormat="1">
      <alignment horizontal="center" shrinkToFit="0" vertical="center" wrapText="1"/>
    </xf>
    <xf borderId="1" fillId="6" fontId="64" numFmtId="0" xfId="0" applyAlignment="1" applyBorder="1" applyFont="1">
      <alignment horizontal="center" readingOrder="0" shrinkToFit="0" vertical="center" wrapText="1"/>
    </xf>
    <xf borderId="1" fillId="6" fontId="79" numFmtId="164" xfId="0" applyAlignment="1" applyBorder="1" applyFont="1" applyNumberFormat="1">
      <alignment horizontal="center" readingOrder="0" shrinkToFit="0" wrapText="1"/>
    </xf>
    <xf borderId="1" fillId="6" fontId="41" numFmtId="178" xfId="0" applyAlignment="1" applyBorder="1" applyFont="1" applyNumberFormat="1">
      <alignment horizontal="center" readingOrder="0" shrinkToFit="0" vertical="bottom" wrapText="0"/>
    </xf>
    <xf borderId="1" fillId="6" fontId="41" numFmtId="0" xfId="0" applyAlignment="1" applyBorder="1" applyFont="1">
      <alignment horizontal="center" readingOrder="0" shrinkToFit="0" vertical="bottom" wrapText="0"/>
    </xf>
    <xf borderId="1" fillId="6" fontId="41" numFmtId="0" xfId="0" applyAlignment="1" applyBorder="1" applyFont="1">
      <alignment horizontal="left" readingOrder="0" shrinkToFit="0" vertical="center" wrapText="1"/>
    </xf>
    <xf borderId="1" fillId="6" fontId="41" numFmtId="164" xfId="0" applyAlignment="1" applyBorder="1" applyFont="1" applyNumberFormat="1">
      <alignment horizontal="center" readingOrder="0" shrinkToFit="0" vertical="center" wrapText="1"/>
    </xf>
    <xf borderId="1" fillId="6" fontId="41" numFmtId="0" xfId="0" applyAlignment="1" applyBorder="1" applyFont="1">
      <alignment horizontal="center" readingOrder="0" shrinkToFit="0" vertical="bottom" wrapText="1"/>
    </xf>
    <xf borderId="1" fillId="19" fontId="41" numFmtId="0" xfId="0" applyAlignment="1" applyBorder="1" applyFont="1">
      <alignment horizontal="left" readingOrder="0" shrinkToFit="0" vertical="center" wrapText="1"/>
    </xf>
    <xf borderId="1" fillId="19" fontId="41" numFmtId="164" xfId="0" applyAlignment="1" applyBorder="1" applyFont="1" applyNumberFormat="1">
      <alignment horizontal="center" readingOrder="0" shrinkToFit="0" vertical="center" wrapText="1"/>
    </xf>
    <xf borderId="1" fillId="19" fontId="41" numFmtId="0" xfId="0" applyAlignment="1" applyBorder="1" applyFont="1">
      <alignment horizontal="center" readingOrder="0" shrinkToFit="0" vertical="bottom" wrapText="1"/>
    </xf>
    <xf borderId="1" fillId="6" fontId="41" numFmtId="1" xfId="0" applyAlignment="1" applyBorder="1" applyFont="1" applyNumberFormat="1">
      <alignment horizontal="center" readingOrder="0" shrinkToFit="0" vertical="bottom" wrapText="1"/>
    </xf>
    <xf borderId="1" fillId="30" fontId="41" numFmtId="0" xfId="0" applyAlignment="1" applyBorder="1" applyFill="1" applyFont="1">
      <alignment horizontal="left" readingOrder="0" shrinkToFit="0" vertical="center" wrapText="1"/>
    </xf>
    <xf borderId="1" fillId="30" fontId="41" numFmtId="165" xfId="0" applyAlignment="1" applyBorder="1" applyFont="1" applyNumberFormat="1">
      <alignment horizontal="center" readingOrder="0" shrinkToFit="0" vertical="center" wrapText="1"/>
    </xf>
    <xf borderId="1" fillId="30" fontId="41" numFmtId="0" xfId="0" applyAlignment="1" applyBorder="1" applyFont="1">
      <alignment horizontal="center" readingOrder="0" shrinkToFit="0" vertical="bottom" wrapText="1"/>
    </xf>
    <xf borderId="1" fillId="0" fontId="41" numFmtId="0" xfId="0" applyAlignment="1" applyBorder="1" applyFont="1">
      <alignment horizontal="left" readingOrder="0" shrinkToFit="0" vertical="center" wrapText="1"/>
    </xf>
    <xf borderId="1" fillId="0" fontId="41" numFmtId="164" xfId="0" applyAlignment="1" applyBorder="1" applyFont="1" applyNumberForma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shrinkToFit="0" vertical="bottom" wrapText="1"/>
    </xf>
    <xf borderId="1" fillId="19" fontId="41" numFmtId="3" xfId="0" applyAlignment="1" applyBorder="1" applyFont="1" applyNumberFormat="1">
      <alignment horizontal="center" readingOrder="0" shrinkToFit="0" vertical="center" wrapText="1"/>
    </xf>
    <xf borderId="1" fillId="6" fontId="41" numFmtId="165" xfId="0" applyAlignment="1" applyBorder="1" applyFont="1" applyNumberFormat="1">
      <alignment horizontal="center" readingOrder="0" shrinkToFit="0" vertical="center" wrapText="1"/>
    </xf>
    <xf borderId="1" fillId="30" fontId="41" numFmtId="0" xfId="0" applyAlignment="1" applyBorder="1" applyFont="1">
      <alignment horizontal="center" readingOrder="0" shrinkToFit="0" vertical="center" wrapText="1"/>
    </xf>
    <xf borderId="1" fillId="19" fontId="41" numFmtId="0" xfId="0" applyAlignment="1" applyBorder="1" applyFon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shrinkToFit="0" vertical="center" wrapText="1"/>
    </xf>
    <xf borderId="1" fillId="19" fontId="41" numFmtId="165" xfId="0" applyAlignment="1" applyBorder="1" applyFont="1" applyNumberFormat="1">
      <alignment horizontal="center" readingOrder="0" shrinkToFit="0" vertical="center" wrapText="1"/>
    </xf>
    <xf borderId="1" fillId="0" fontId="64" numFmtId="0" xfId="0" applyAlignment="1" applyBorder="1" applyFont="1">
      <alignment horizontal="center" readingOrder="0" shrinkToFit="0" vertical="center" wrapText="1"/>
    </xf>
    <xf borderId="1" fillId="0" fontId="79" numFmtId="164" xfId="0" applyAlignment="1" applyBorder="1" applyFont="1" applyNumberFormat="1">
      <alignment horizontal="center" readingOrder="0" shrinkToFit="0" wrapText="1"/>
    </xf>
    <xf borderId="1" fillId="0" fontId="80" numFmtId="165" xfId="0" applyAlignment="1" applyBorder="1" applyFont="1" applyNumberFormat="1">
      <alignment horizontal="center" readingOrder="0" shrinkToFit="0" vertical="bottom" wrapText="1"/>
    </xf>
    <xf borderId="1" fillId="0" fontId="81" numFmtId="180" xfId="0" applyAlignment="1" applyBorder="1" applyFont="1" applyNumberFormat="1">
      <alignment horizontal="center" readingOrder="0" shrinkToFit="0" wrapText="1"/>
    </xf>
    <xf borderId="1" fillId="0" fontId="65" numFmtId="164" xfId="0" applyAlignment="1" applyBorder="1" applyFont="1" applyNumberFormat="1">
      <alignment horizontal="center" readingOrder="0" shrinkToFit="0" vertical="bottom" wrapText="1"/>
    </xf>
    <xf borderId="1" fillId="8" fontId="41" numFmtId="0" xfId="0" applyAlignment="1" applyBorder="1" applyFont="1">
      <alignment horizontal="center" readingOrder="0" shrinkToFit="0" vertical="center" wrapText="1"/>
    </xf>
    <xf borderId="1" fillId="8" fontId="41" numFmtId="0" xfId="0" applyAlignment="1" applyBorder="1" applyFont="1">
      <alignment horizontal="left" readingOrder="0" shrinkToFit="0" vertical="center" wrapText="1"/>
    </xf>
    <xf borderId="1" fillId="0" fontId="79" numFmtId="180" xfId="0" applyAlignment="1" applyBorder="1" applyFont="1" applyNumberFormat="1">
      <alignment horizontal="center" readingOrder="0" shrinkToFit="0" wrapText="1"/>
    </xf>
    <xf borderId="1" fillId="0" fontId="79" numFmtId="178" xfId="0" applyAlignment="1" applyBorder="1" applyFont="1" applyNumberFormat="1">
      <alignment horizontal="center" readingOrder="0" shrinkToFit="0" wrapText="1"/>
    </xf>
    <xf borderId="1" fillId="0" fontId="79" numFmtId="0" xfId="0" applyAlignment="1" applyBorder="1" applyFont="1">
      <alignment horizontal="center" readingOrder="0" shrinkToFit="0" wrapText="1"/>
    </xf>
    <xf borderId="1" fillId="0" fontId="82" numFmtId="164" xfId="0" applyAlignment="1" applyBorder="1" applyFont="1" applyNumberFormat="1">
      <alignment horizontal="center" readingOrder="0" shrinkToFit="0" wrapText="1"/>
    </xf>
    <xf borderId="1" fillId="0" fontId="41" numFmtId="0" xfId="0" applyAlignment="1" applyBorder="1" applyFont="1">
      <alignment horizontal="center" readingOrder="0" shrinkToFit="0" vertical="center" wrapText="1"/>
    </xf>
    <xf borderId="0" fillId="0" fontId="13" numFmtId="178" xfId="0" applyAlignment="1" applyFont="1" applyNumberFormat="1">
      <alignment readingOrder="0" shrinkToFit="0" wrapText="1"/>
    </xf>
    <xf borderId="1" fillId="0" fontId="41" numFmtId="0" xfId="0" applyAlignment="1" applyBorder="1" applyFont="1">
      <alignment horizontal="center" readingOrder="0" shrinkToFit="0" vertical="center" wrapText="1"/>
    </xf>
    <xf borderId="1" fillId="0" fontId="83" numFmtId="165" xfId="0" applyAlignment="1" applyBorder="1" applyFont="1" applyNumberFormat="1">
      <alignment horizontal="center" readingOrder="0" shrinkToFit="0" vertical="bottom" wrapText="0"/>
    </xf>
    <xf borderId="1" fillId="0" fontId="41" numFmtId="0" xfId="0" applyAlignment="1" applyBorder="1" applyFont="1">
      <alignment readingOrder="0" shrinkToFit="0" vertical="center" wrapText="1"/>
    </xf>
    <xf borderId="1" fillId="0" fontId="65" numFmtId="164" xfId="0" applyAlignment="1" applyBorder="1" applyFont="1" applyNumberFormat="1">
      <alignment horizontal="center" readingOrder="0" shrinkToFit="0" vertical="bottom" wrapText="0"/>
    </xf>
    <xf borderId="1" fillId="0" fontId="79" numFmtId="171" xfId="0" applyAlignment="1" applyBorder="1" applyFont="1" applyNumberFormat="1">
      <alignment horizontal="center" readingOrder="0" shrinkToFit="0" wrapText="1"/>
    </xf>
    <xf borderId="1" fillId="31" fontId="41" numFmtId="0" xfId="0" applyAlignment="1" applyBorder="1" applyFill="1" applyFont="1">
      <alignment horizontal="center" readingOrder="0" shrinkToFit="0" vertical="center" wrapText="1"/>
    </xf>
    <xf borderId="1" fillId="31" fontId="41" numFmtId="0" xfId="0" applyAlignment="1" applyBorder="1" applyFont="1">
      <alignment horizontal="left" readingOrder="0" shrinkToFit="0" vertical="center" wrapText="1"/>
    </xf>
    <xf borderId="1" fillId="31" fontId="79" numFmtId="164" xfId="0" applyAlignment="1" applyBorder="1" applyFont="1" applyNumberFormat="1">
      <alignment horizontal="center" readingOrder="0" shrinkToFit="0" wrapText="1"/>
    </xf>
    <xf borderId="1" fillId="31" fontId="83" numFmtId="165" xfId="0" applyAlignment="1" applyBorder="1" applyFont="1" applyNumberFormat="1">
      <alignment horizontal="center" readingOrder="0" shrinkToFit="0" vertical="bottom" wrapText="0"/>
    </xf>
    <xf borderId="1" fillId="31" fontId="79" numFmtId="180" xfId="0" applyAlignment="1" applyBorder="1" applyFont="1" applyNumberFormat="1">
      <alignment horizontal="center" readingOrder="0" shrinkToFit="0" wrapText="1"/>
    </xf>
    <xf borderId="1" fillId="31" fontId="65" numFmtId="164" xfId="0" applyAlignment="1" applyBorder="1" applyFont="1" applyNumberFormat="1">
      <alignment horizontal="center" readingOrder="0" shrinkToFit="0" vertical="bottom" wrapText="1"/>
    </xf>
    <xf borderId="1" fillId="0" fontId="79" numFmtId="182" xfId="0" applyAlignment="1" applyBorder="1" applyFont="1" applyNumberFormat="1">
      <alignment horizontal="center" readingOrder="0" shrinkToFit="0" wrapText="1"/>
    </xf>
    <xf borderId="1" fillId="0" fontId="83" numFmtId="165" xfId="0" applyAlignment="1" applyBorder="1" applyFont="1" applyNumberFormat="1">
      <alignment horizontal="center" readingOrder="0" shrinkToFit="0" vertical="bottom" wrapText="1"/>
    </xf>
    <xf borderId="1" fillId="31" fontId="41" numFmtId="0" xfId="0" applyAlignment="1" applyBorder="1" applyFont="1">
      <alignment horizontal="center" readingOrder="0" shrinkToFit="0" vertical="center" wrapText="1"/>
    </xf>
    <xf borderId="1" fillId="31" fontId="79" numFmtId="0" xfId="0" applyAlignment="1" applyBorder="1" applyFont="1">
      <alignment horizontal="center" readingOrder="0" shrinkToFit="0" wrapText="1"/>
    </xf>
    <xf borderId="1" fillId="0" fontId="79" numFmtId="181" xfId="0" applyAlignment="1" applyBorder="1" applyFont="1" applyNumberFormat="1">
      <alignment horizontal="center" readingOrder="0" shrinkToFit="0" wrapText="1"/>
    </xf>
    <xf borderId="1" fillId="31" fontId="41" numFmtId="0" xfId="0" applyAlignment="1" applyBorder="1" applyFont="1">
      <alignment horizontal="center" readingOrder="0" shrinkToFit="0" vertical="center" wrapText="1"/>
    </xf>
    <xf borderId="1" fillId="31" fontId="41" numFmtId="0" xfId="0" applyAlignment="1" applyBorder="1" applyFont="1">
      <alignment readingOrder="0" shrinkToFit="0" vertical="center" wrapText="1"/>
    </xf>
    <xf borderId="1" fillId="8" fontId="41" numFmtId="0" xfId="0" applyAlignment="1" applyBorder="1" applyFont="1">
      <alignment horizontal="center" readingOrder="0" shrinkToFit="0" vertical="center" wrapText="1"/>
    </xf>
    <xf borderId="1" fillId="31" fontId="83" numFmtId="165" xfId="0" applyAlignment="1" applyBorder="1" applyFont="1" applyNumberFormat="1">
      <alignment horizontal="center" readingOrder="0" shrinkToFit="0" vertical="bottom" wrapText="1"/>
    </xf>
    <xf borderId="1" fillId="31" fontId="79" numFmtId="171" xfId="0" applyAlignment="1" applyBorder="1" applyFont="1" applyNumberFormat="1">
      <alignment horizontal="center" readingOrder="0" shrinkToFit="0" wrapText="1"/>
    </xf>
    <xf borderId="1" fillId="31" fontId="65" numFmtId="164" xfId="0" applyAlignment="1" applyBorder="1" applyFont="1" applyNumberFormat="1">
      <alignment horizontal="center" readingOrder="0" shrinkToFit="0" vertical="bottom" wrapText="0"/>
    </xf>
    <xf borderId="1" fillId="0" fontId="41" numFmtId="164" xfId="0" applyAlignment="1" applyBorder="1" applyFont="1" applyNumberFormat="1">
      <alignment horizontal="center" readingOrder="0" shrinkToFit="0" vertical="bottom" wrapText="0"/>
    </xf>
    <xf borderId="1" fillId="0" fontId="79" numFmtId="180" xfId="0" applyAlignment="1" applyBorder="1" applyFont="1" applyNumberFormat="1">
      <alignment horizontal="center" readingOrder="0" shrinkToFit="0" vertical="bottom" wrapText="0"/>
    </xf>
    <xf borderId="1" fillId="0" fontId="53" numFmtId="1" xfId="0" applyAlignment="1" applyBorder="1" applyFont="1" applyNumberFormat="1">
      <alignment horizontal="center" readingOrder="0" shrinkToFit="0" vertical="center" wrapText="1"/>
    </xf>
    <xf borderId="1" fillId="0" fontId="41" numFmtId="1" xfId="0" applyAlignment="1" applyBorder="1" applyFont="1" applyNumberFormat="1">
      <alignment horizontal="center" readingOrder="0" shrinkToFit="0" vertical="center" wrapText="1"/>
    </xf>
    <xf borderId="1" fillId="0" fontId="79" numFmtId="164" xfId="0" applyAlignment="1" applyBorder="1" applyFont="1" applyNumberFormat="1">
      <alignment horizontal="center" readingOrder="0" shrinkToFit="0" vertical="bottom" wrapText="1"/>
    </xf>
    <xf borderId="1" fillId="0" fontId="53" numFmtId="0" xfId="0" applyAlignment="1" applyBorder="1" applyFont="1">
      <alignment readingOrder="0" shrinkToFit="0" wrapText="1"/>
    </xf>
    <xf borderId="1" fillId="8" fontId="79" numFmtId="164" xfId="0" applyAlignment="1" applyBorder="1" applyFont="1" applyNumberFormat="1">
      <alignment horizontal="center" readingOrder="0" shrinkToFit="0" wrapText="1"/>
    </xf>
    <xf borderId="1" fillId="0" fontId="79" numFmtId="180" xfId="0" applyAlignment="1" applyBorder="1" applyFont="1" applyNumberFormat="1">
      <alignment horizontal="center" readingOrder="0" shrinkToFit="0" vertical="bottom" wrapText="1"/>
    </xf>
    <xf borderId="1" fillId="32" fontId="41" numFmtId="0" xfId="0" applyAlignment="1" applyBorder="1" applyFill="1" applyFont="1">
      <alignment horizontal="center" readingOrder="0" shrinkToFit="0" vertical="center" wrapText="1"/>
    </xf>
    <xf borderId="1" fillId="32" fontId="41" numFmtId="0" xfId="0" applyAlignment="1" applyBorder="1" applyFont="1">
      <alignment horizontal="left" readingOrder="0" shrinkToFit="0" vertical="center" wrapText="1"/>
    </xf>
    <xf borderId="1" fillId="32" fontId="79" numFmtId="164" xfId="0" applyAlignment="1" applyBorder="1" applyFont="1" applyNumberFormat="1">
      <alignment horizontal="center" readingOrder="0" shrinkToFit="0" wrapText="1"/>
    </xf>
    <xf borderId="1" fillId="32" fontId="79" numFmtId="180" xfId="0" applyAlignment="1" applyBorder="1" applyFont="1" applyNumberFormat="1">
      <alignment horizontal="center" readingOrder="0" shrinkToFit="0" wrapText="1"/>
    </xf>
    <xf borderId="1" fillId="32" fontId="65" numFmtId="164" xfId="0" applyAlignment="1" applyBorder="1" applyFont="1" applyNumberFormat="1">
      <alignment horizontal="center" readingOrder="0" shrinkToFit="0" vertical="bottom" wrapText="1"/>
    </xf>
    <xf borderId="1" fillId="8" fontId="41" numFmtId="0" xfId="0" applyAlignment="1" applyBorder="1" applyFont="1">
      <alignment horizontal="center" readingOrder="0" shrinkToFit="0" vertical="center" wrapText="1"/>
    </xf>
    <xf borderId="1" fillId="0" fontId="41" numFmtId="0" xfId="0" applyAlignment="1" applyBorder="1" applyFont="1">
      <alignment horizontal="left" readingOrder="0" shrinkToFit="0" vertical="center" wrapText="0"/>
    </xf>
    <xf borderId="1" fillId="8" fontId="41" numFmtId="0" xfId="0" applyAlignment="1" applyBorder="1" applyFont="1">
      <alignment horizontal="left" readingOrder="0" shrinkToFit="0" vertical="center" wrapText="0"/>
    </xf>
    <xf borderId="1" fillId="31" fontId="41" numFmtId="1" xfId="0" applyAlignment="1" applyBorder="1" applyFont="1" applyNumberFormat="1">
      <alignment horizontal="center" readingOrder="0" shrinkToFit="0" vertical="center" wrapText="1"/>
    </xf>
    <xf borderId="1" fillId="31" fontId="83" numFmtId="164" xfId="0" applyAlignment="1" applyBorder="1" applyFont="1" applyNumberFormat="1">
      <alignment horizontal="center" readingOrder="0" shrinkToFit="0" vertical="bottom" wrapText="0"/>
    </xf>
    <xf borderId="1" fillId="31" fontId="53" numFmtId="0" xfId="0" applyAlignment="1" applyBorder="1" applyFont="1">
      <alignment horizontal="center" readingOrder="0" shrinkToFit="0" vertical="center" wrapText="1"/>
    </xf>
    <xf borderId="1" fillId="32" fontId="83" numFmtId="164" xfId="0" applyAlignment="1" applyBorder="1" applyFont="1" applyNumberFormat="1">
      <alignment horizontal="center" readingOrder="0" shrinkToFit="0" vertical="bottom" wrapText="0"/>
    </xf>
    <xf borderId="1" fillId="32" fontId="79" numFmtId="171" xfId="0" applyAlignment="1" applyBorder="1" applyFont="1" applyNumberFormat="1">
      <alignment horizontal="center" readingOrder="0" shrinkToFit="0" wrapText="1"/>
    </xf>
    <xf borderId="1" fillId="31" fontId="79" numFmtId="181" xfId="0" applyAlignment="1" applyBorder="1" applyFont="1" applyNumberFormat="1">
      <alignment horizontal="center" readingOrder="0" shrinkToFit="0" wrapText="1"/>
    </xf>
    <xf borderId="1" fillId="32" fontId="41" numFmtId="1" xfId="0" applyAlignment="1" applyBorder="1" applyFont="1" applyNumberFormat="1">
      <alignment horizontal="center" readingOrder="0" shrinkToFit="0" vertical="center" wrapText="1"/>
    </xf>
    <xf borderId="1" fillId="0" fontId="83" numFmtId="164" xfId="0" applyAlignment="1" applyBorder="1" applyFont="1" applyNumberFormat="1">
      <alignment horizontal="center" readingOrder="0" shrinkToFit="0" vertical="bottom" wrapText="0"/>
    </xf>
    <xf borderId="1" fillId="32" fontId="83" numFmtId="165" xfId="0" applyAlignment="1" applyBorder="1" applyFont="1" applyNumberFormat="1">
      <alignment horizontal="center" readingOrder="0" shrinkToFit="0" vertical="bottom" wrapText="0"/>
    </xf>
    <xf borderId="1" fillId="32" fontId="79" numFmtId="181" xfId="0" applyAlignment="1" applyBorder="1" applyFont="1" applyNumberFormat="1">
      <alignment horizontal="center" readingOrder="0" shrinkToFit="0" wrapText="1"/>
    </xf>
    <xf borderId="1" fillId="31" fontId="79" numFmtId="178" xfId="0" applyAlignment="1" applyBorder="1" applyFont="1" applyNumberFormat="1">
      <alignment horizontal="center" readingOrder="0" shrinkToFit="0" wrapText="1"/>
    </xf>
    <xf borderId="1" fillId="31" fontId="79" numFmtId="182" xfId="0" applyAlignment="1" applyBorder="1" applyFont="1" applyNumberFormat="1">
      <alignment horizontal="center" readingOrder="0" shrinkToFit="0" wrapText="1"/>
    </xf>
    <xf borderId="1" fillId="0" fontId="41" numFmtId="0" xfId="0" applyAlignment="1" applyBorder="1" applyFont="1">
      <alignment horizontal="center" readingOrder="0" shrinkToFit="0" vertical="center" wrapText="0"/>
    </xf>
    <xf borderId="1" fillId="0" fontId="79" numFmtId="182" xfId="0" applyAlignment="1" applyBorder="1" applyFont="1" applyNumberFormat="1">
      <alignment horizontal="center" readingOrder="0" shrinkToFit="0" vertical="bottom" wrapText="1"/>
    </xf>
    <xf borderId="1" fillId="31" fontId="53" numFmtId="0" xfId="0" applyAlignment="1" applyBorder="1" applyFont="1">
      <alignment readingOrder="0" shrinkToFit="0" wrapText="1"/>
    </xf>
    <xf borderId="1" fillId="31" fontId="13" numFmtId="165" xfId="0" applyAlignment="1" applyBorder="1" applyFont="1" applyNumberFormat="1">
      <alignment horizontal="center" readingOrder="0" shrinkToFit="0" wrapText="1"/>
    </xf>
    <xf borderId="1" fillId="32" fontId="79" numFmtId="165" xfId="0" applyAlignment="1" applyBorder="1" applyFont="1" applyNumberFormat="1">
      <alignment horizontal="center" readingOrder="0" shrinkToFit="0" wrapText="1"/>
    </xf>
    <xf borderId="1" fillId="31" fontId="40" numFmtId="165" xfId="0" applyAlignment="1" applyBorder="1" applyFont="1" applyNumberFormat="1">
      <alignment horizontal="center" readingOrder="0" shrinkToFit="0" vertical="bottom" wrapText="1"/>
    </xf>
    <xf borderId="1" fillId="2" fontId="41" numFmtId="0" xfId="0" applyAlignment="1" applyBorder="1" applyFont="1">
      <alignment horizontal="center" readingOrder="0" shrinkToFit="0" vertical="center" wrapText="1"/>
    </xf>
    <xf borderId="1" fillId="2" fontId="41" numFmtId="0" xfId="0" applyAlignment="1" applyBorder="1" applyFont="1">
      <alignment horizontal="right" readingOrder="0" shrinkToFit="0" vertical="center" wrapText="1"/>
    </xf>
    <xf borderId="1" fillId="2" fontId="79" numFmtId="164" xfId="0" applyAlignment="1" applyBorder="1" applyFont="1" applyNumberFormat="1">
      <alignment horizontal="center" readingOrder="0" shrinkToFit="0" wrapText="1"/>
    </xf>
    <xf borderId="1" fillId="0" fontId="53" numFmtId="0" xfId="0" applyAlignment="1" applyBorder="1" applyFont="1">
      <alignment readingOrder="0" shrinkToFit="0" vertical="center" wrapText="1"/>
    </xf>
    <xf borderId="1" fillId="0" fontId="41" numFmtId="165" xfId="0" applyAlignment="1" applyBorder="1" applyFont="1" applyNumberFormat="1">
      <alignment horizontal="center" readingOrder="0" shrinkToFit="0" vertical="center" wrapText="1"/>
    </xf>
    <xf borderId="1" fillId="0" fontId="41" numFmtId="165" xfId="0" applyAlignment="1" applyBorder="1" applyFont="1" applyNumberFormat="1">
      <alignment horizontal="center" readingOrder="0" shrinkToFit="0" vertical="center" wrapText="0"/>
    </xf>
    <xf borderId="1" fillId="0" fontId="40" numFmtId="164" xfId="0" applyAlignment="1" applyBorder="1" applyFont="1" applyNumberFormat="1">
      <alignment horizontal="left" readingOrder="0" shrinkToFit="0" vertical="center" wrapText="0"/>
    </xf>
    <xf borderId="1" fillId="0" fontId="40" numFmtId="164" xfId="0" applyAlignment="1" applyBorder="1" applyFont="1" applyNumberFormat="1">
      <alignment horizontal="center" readingOrder="0" shrinkToFit="0" vertical="center" wrapText="0"/>
    </xf>
    <xf borderId="1" fillId="0" fontId="40" numFmtId="165" xfId="0" applyAlignment="1" applyBorder="1" applyFont="1" applyNumberFormat="1">
      <alignment horizontal="center" readingOrder="0" shrinkToFit="0" vertical="center" wrapText="0"/>
    </xf>
    <xf borderId="0" fillId="0" fontId="84" numFmtId="165" xfId="0" applyAlignment="1" applyFont="1" applyNumberFormat="1">
      <alignment horizontal="center" readingOrder="0" shrinkToFit="0" vertical="center" wrapText="0"/>
    </xf>
    <xf borderId="1" fillId="21" fontId="53" numFmtId="0" xfId="0" applyAlignment="1" applyBorder="1" applyFont="1">
      <alignment readingOrder="0" shrinkToFit="0" vertical="center" wrapText="1"/>
    </xf>
    <xf borderId="1" fillId="21" fontId="41" numFmtId="0" xfId="0" applyAlignment="1" applyBorder="1" applyFont="1">
      <alignment horizontal="left" readingOrder="0" shrinkToFit="0" vertical="center" wrapText="1"/>
    </xf>
    <xf borderId="1" fillId="21" fontId="51" numFmtId="0" xfId="0" applyAlignment="1" applyBorder="1" applyFont="1">
      <alignment horizontal="center" readingOrder="0" shrinkToFit="0" vertical="center" wrapText="1"/>
    </xf>
    <xf borderId="1" fillId="21" fontId="79" numFmtId="164" xfId="0" applyAlignment="1" applyBorder="1" applyFont="1" applyNumberFormat="1">
      <alignment horizontal="center" readingOrder="0" shrinkToFit="0" vertical="center" wrapText="1"/>
    </xf>
    <xf borderId="1" fillId="21" fontId="49" numFmtId="164" xfId="0" applyAlignment="1" applyBorder="1" applyFont="1" applyNumberFormat="1">
      <alignment horizontal="left" readingOrder="0" shrinkToFit="0" vertical="center" wrapText="1"/>
    </xf>
    <xf borderId="1" fillId="21" fontId="49" numFmtId="171" xfId="0" applyAlignment="1" applyBorder="1" applyFont="1" applyNumberFormat="1">
      <alignment horizontal="center" readingOrder="0" shrinkToFit="0" vertical="center" wrapText="1"/>
    </xf>
    <xf borderId="1" fillId="21" fontId="85" numFmtId="0" xfId="0" applyAlignment="1" applyBorder="1" applyFont="1">
      <alignment horizontal="center" readingOrder="0" shrinkToFit="0" vertical="center" wrapText="1"/>
    </xf>
    <xf borderId="0" fillId="0" fontId="84" numFmtId="0" xfId="0" applyAlignment="1" applyFont="1">
      <alignment horizontal="center" readingOrder="0" shrinkToFit="0" vertical="center" wrapText="1"/>
    </xf>
    <xf borderId="1" fillId="8" fontId="53" numFmtId="0" xfId="0" applyAlignment="1" applyBorder="1" applyFont="1">
      <alignment readingOrder="0" shrinkToFit="0" vertical="center" wrapText="1"/>
    </xf>
    <xf borderId="1" fillId="8" fontId="51" numFmtId="0" xfId="0" applyAlignment="1" applyBorder="1" applyFont="1">
      <alignment horizontal="center" readingOrder="0" shrinkToFit="0" vertical="center" wrapText="1"/>
    </xf>
    <xf borderId="1" fillId="8" fontId="79" numFmtId="164" xfId="0" applyAlignment="1" applyBorder="1" applyFont="1" applyNumberFormat="1">
      <alignment horizontal="center" readingOrder="0" shrinkToFit="0" vertical="center" wrapText="1"/>
    </xf>
    <xf borderId="1" fillId="8" fontId="85" numFmtId="164" xfId="0" applyAlignment="1" applyBorder="1" applyFont="1" applyNumberFormat="1">
      <alignment horizontal="left" readingOrder="0" shrinkToFit="0" vertical="center" wrapText="1"/>
    </xf>
    <xf borderId="1" fillId="8" fontId="85" numFmtId="164" xfId="0" applyAlignment="1" applyBorder="1" applyFont="1" applyNumberFormat="1">
      <alignment horizontal="center" readingOrder="0" shrinkToFit="0" vertical="center" wrapText="1"/>
    </xf>
    <xf borderId="1" fillId="8" fontId="13" numFmtId="0" xfId="0" applyAlignment="1" applyBorder="1" applyFont="1">
      <alignment shrinkToFit="0" vertical="center" wrapText="1"/>
    </xf>
    <xf borderId="0" fillId="0" fontId="84" numFmtId="0" xfId="0" applyAlignment="1" applyFont="1">
      <alignment horizontal="center" shrinkToFit="0" vertical="center" wrapText="1"/>
    </xf>
    <xf borderId="1" fillId="19" fontId="53" numFmtId="0" xfId="0" applyAlignment="1" applyBorder="1" applyFont="1">
      <alignment readingOrder="0" shrinkToFit="0" vertical="center" wrapText="1"/>
    </xf>
    <xf borderId="1" fillId="19" fontId="79" numFmtId="3" xfId="0" applyAlignment="1" applyBorder="1" applyFont="1" applyNumberFormat="1">
      <alignment horizontal="center" readingOrder="0" shrinkToFit="0" vertical="center" wrapText="1"/>
    </xf>
    <xf borderId="1" fillId="19" fontId="85" numFmtId="164" xfId="0" applyAlignment="1" applyBorder="1" applyFont="1" applyNumberFormat="1">
      <alignment horizontal="left" readingOrder="0" shrinkToFit="0" vertical="center" wrapText="1"/>
    </xf>
    <xf borderId="1" fillId="19" fontId="85" numFmtId="164" xfId="0" applyAlignment="1" applyBorder="1" applyFont="1" applyNumberFormat="1">
      <alignment horizontal="center" readingOrder="0" shrinkToFit="0" vertical="center" wrapText="1"/>
    </xf>
    <xf borderId="1" fillId="19" fontId="85" numFmtId="0" xfId="0" applyAlignment="1" applyBorder="1" applyFont="1">
      <alignment horizontal="center" readingOrder="0" shrinkToFit="0" vertical="center" wrapText="1"/>
    </xf>
    <xf borderId="1" fillId="19" fontId="83" numFmtId="0" xfId="0" applyAlignment="1" applyBorder="1" applyFont="1">
      <alignment horizontal="left" readingOrder="0" shrinkToFit="0" vertical="center" wrapText="0"/>
    </xf>
    <xf borderId="0" fillId="0" fontId="84" numFmtId="1" xfId="0" applyAlignment="1" applyFont="1" applyNumberFormat="1">
      <alignment horizontal="center" readingOrder="0" shrinkToFit="0" vertical="center" wrapText="1"/>
    </xf>
    <xf borderId="1" fillId="0" fontId="79" numFmtId="164" xfId="0" applyAlignment="1" applyBorder="1" applyFont="1" applyNumberFormat="1">
      <alignment horizontal="center" readingOrder="0" shrinkToFit="0" vertical="center" wrapText="1"/>
    </xf>
    <xf borderId="1" fillId="0" fontId="85" numFmtId="164" xfId="0" applyAlignment="1" applyBorder="1" applyFont="1" applyNumberFormat="1">
      <alignment horizontal="left" readingOrder="0" shrinkToFit="0" vertical="center" wrapText="1"/>
    </xf>
    <xf borderId="1" fillId="0" fontId="85" numFmtId="164" xfId="0" applyAlignment="1" applyBorder="1" applyFont="1" applyNumberFormat="1">
      <alignment horizontal="center" readingOrder="0" shrinkToFit="0" vertical="center" wrapText="1"/>
    </xf>
    <xf borderId="1" fillId="30" fontId="53" numFmtId="0" xfId="0" applyAlignment="1" applyBorder="1" applyFont="1">
      <alignment readingOrder="0" shrinkToFit="0" vertical="center" wrapText="1"/>
    </xf>
    <xf borderId="1" fillId="30" fontId="13" numFmtId="0" xfId="0" applyAlignment="1" applyBorder="1" applyFont="1">
      <alignment readingOrder="0" shrinkToFit="0" vertical="center" wrapText="1"/>
    </xf>
    <xf borderId="1" fillId="30" fontId="79" numFmtId="164" xfId="0" applyAlignment="1" applyBorder="1" applyFont="1" applyNumberFormat="1">
      <alignment horizontal="center" readingOrder="0" shrinkToFit="0" vertical="center" wrapText="1"/>
    </xf>
    <xf borderId="1" fillId="30" fontId="85" numFmtId="164" xfId="0" applyAlignment="1" applyBorder="1" applyFont="1" applyNumberFormat="1">
      <alignment horizontal="left" readingOrder="0" shrinkToFit="0" vertical="center" wrapText="1"/>
    </xf>
    <xf borderId="1" fillId="30" fontId="85" numFmtId="164" xfId="0" applyAlignment="1" applyBorder="1" applyFont="1" applyNumberFormat="1">
      <alignment horizontal="center" readingOrder="0" shrinkToFit="0" vertical="center" wrapText="1"/>
    </xf>
    <xf borderId="1" fillId="30" fontId="41" numFmtId="0" xfId="0" applyAlignment="1" applyBorder="1" applyFont="1">
      <alignment readingOrder="0" shrinkToFit="0" vertical="center" wrapText="1"/>
    </xf>
    <xf borderId="1" fillId="30" fontId="85" numFmtId="179" xfId="0" applyAlignment="1" applyBorder="1" applyFont="1" applyNumberFormat="1">
      <alignment horizontal="left" readingOrder="0" shrinkToFit="0" vertical="center" wrapText="1"/>
    </xf>
    <xf borderId="1" fillId="30" fontId="85" numFmtId="179" xfId="0" applyAlignment="1" applyBorder="1" applyFont="1" applyNumberFormat="1">
      <alignment horizontal="center" readingOrder="0" shrinkToFit="0" vertical="center" wrapText="1"/>
    </xf>
    <xf borderId="1" fillId="30" fontId="53" numFmtId="0" xfId="0" applyAlignment="1" applyBorder="1" applyFont="1">
      <alignment horizontal="center" readingOrder="0" shrinkToFit="0" vertical="center" wrapText="1"/>
    </xf>
    <xf borderId="1" fillId="30" fontId="85" numFmtId="184" xfId="0" applyAlignment="1" applyBorder="1" applyFont="1" applyNumberFormat="1">
      <alignment horizontal="center" readingOrder="0" shrinkToFit="0" vertical="center" wrapText="1"/>
    </xf>
    <xf borderId="1" fillId="33" fontId="53" numFmtId="0" xfId="0" applyAlignment="1" applyBorder="1" applyFill="1" applyFont="1">
      <alignment readingOrder="0" shrinkToFit="0" vertical="center" wrapText="1"/>
    </xf>
    <xf borderId="1" fillId="33" fontId="41" numFmtId="0" xfId="0" applyAlignment="1" applyBorder="1" applyFont="1">
      <alignment horizontal="left" readingOrder="0" shrinkToFit="0" vertical="center" wrapText="1"/>
    </xf>
    <xf borderId="1" fillId="33" fontId="13" numFmtId="0" xfId="0" applyAlignment="1" applyBorder="1" applyFont="1">
      <alignment shrinkToFit="0" vertical="center" wrapText="1"/>
    </xf>
    <xf borderId="1" fillId="33" fontId="79" numFmtId="164" xfId="0" applyAlignment="1" applyBorder="1" applyFont="1" applyNumberFormat="1">
      <alignment horizontal="center" readingOrder="0" shrinkToFit="0" vertical="center" wrapText="1"/>
    </xf>
    <xf borderId="1" fillId="33" fontId="49" numFmtId="179" xfId="0" applyAlignment="1" applyBorder="1" applyFont="1" applyNumberFormat="1">
      <alignment horizontal="left" readingOrder="0" shrinkToFit="0" vertical="center" wrapText="1"/>
    </xf>
    <xf borderId="1" fillId="33" fontId="83" numFmtId="0" xfId="0" applyAlignment="1" applyBorder="1" applyFont="1">
      <alignment horizontal="center" readingOrder="0" shrinkToFit="0" vertical="center" wrapText="0"/>
    </xf>
    <xf borderId="0" fillId="0" fontId="84" numFmtId="0" xfId="0" applyAlignment="1" applyFont="1">
      <alignment horizontal="center" readingOrder="0" shrinkToFit="0" vertical="center" wrapText="0"/>
    </xf>
    <xf borderId="1" fillId="33" fontId="13" numFmtId="0" xfId="0" applyAlignment="1" applyBorder="1" applyFont="1">
      <alignment readingOrder="0" shrinkToFit="0" vertical="center" wrapText="1"/>
    </xf>
    <xf borderId="1" fillId="33" fontId="83" numFmtId="0" xfId="0" applyAlignment="1" applyBorder="1" applyFont="1">
      <alignment horizontal="center" readingOrder="0" shrinkToFit="0" vertical="center" wrapText="1"/>
    </xf>
    <xf borderId="0" fillId="0" fontId="84" numFmtId="185" xfId="0" applyAlignment="1" applyFont="1" applyNumberFormat="1">
      <alignment horizontal="center" readingOrder="0" shrinkToFit="0" vertical="center" wrapText="1"/>
    </xf>
    <xf borderId="1" fillId="33" fontId="83" numFmtId="0" xfId="0" applyAlignment="1" applyBorder="1" applyFont="1">
      <alignment horizontal="center" readingOrder="0" shrinkToFit="0" vertical="center" wrapText="1"/>
    </xf>
    <xf borderId="0" fillId="0" fontId="84" numFmtId="0" xfId="0" applyAlignment="1" applyFont="1">
      <alignment horizontal="center" readingOrder="0" shrinkToFit="0" vertical="center" wrapText="1"/>
    </xf>
    <xf borderId="1" fillId="0" fontId="49" numFmtId="179" xfId="0" applyAlignment="1" applyBorder="1" applyFont="1" applyNumberFormat="1">
      <alignment horizontal="left" readingOrder="0" shrinkToFit="0" vertical="center" wrapText="1"/>
    </xf>
    <xf borderId="1" fillId="0" fontId="49" numFmtId="179" xfId="0" applyAlignment="1" applyBorder="1" applyFont="1" applyNumberFormat="1">
      <alignment horizontal="center" readingOrder="0" shrinkToFit="0" vertical="center" wrapText="1"/>
    </xf>
    <xf borderId="1" fillId="0" fontId="49" numFmtId="165" xfId="0" applyAlignment="1" applyBorder="1" applyFont="1" applyNumberFormat="1">
      <alignment horizontal="center" readingOrder="0" shrinkToFit="0" vertical="center" wrapText="1"/>
    </xf>
    <xf borderId="0" fillId="0" fontId="86" numFmtId="165" xfId="0" applyAlignment="1" applyFont="1" applyNumberFormat="1">
      <alignment horizontal="center" readingOrder="0" shrinkToFit="0" vertical="center" wrapText="1"/>
    </xf>
    <xf borderId="1" fillId="34" fontId="53" numFmtId="0" xfId="0" applyAlignment="1" applyBorder="1" applyFill="1" applyFont="1">
      <alignment readingOrder="0" shrinkToFit="0" vertical="center" wrapText="1"/>
    </xf>
    <xf borderId="1" fillId="34" fontId="41" numFmtId="0" xfId="0" applyAlignment="1" applyBorder="1" applyFont="1">
      <alignment horizontal="left" readingOrder="0" shrinkToFit="0" vertical="center" wrapText="1"/>
    </xf>
    <xf borderId="1" fillId="34" fontId="13" numFmtId="0" xfId="0" applyAlignment="1" applyBorder="1" applyFont="1">
      <alignment readingOrder="0" shrinkToFit="0" vertical="center" wrapText="1"/>
    </xf>
    <xf borderId="1" fillId="34" fontId="13" numFmtId="0" xfId="0" applyAlignment="1" applyBorder="1" applyFont="1">
      <alignment shrinkToFit="0" vertical="center" wrapText="1"/>
    </xf>
    <xf borderId="1" fillId="34" fontId="79" numFmtId="164" xfId="0" applyAlignment="1" applyBorder="1" applyFont="1" applyNumberFormat="1">
      <alignment horizontal="center" readingOrder="0" shrinkToFit="0" vertical="center" wrapText="1"/>
    </xf>
    <xf borderId="1" fillId="34" fontId="49" numFmtId="179" xfId="0" applyAlignment="1" applyBorder="1" applyFont="1" applyNumberFormat="1">
      <alignment horizontal="left" readingOrder="0" shrinkToFit="0" vertical="center" wrapText="1"/>
    </xf>
    <xf borderId="1" fillId="34" fontId="49" numFmtId="0" xfId="0" applyAlignment="1" applyBorder="1" applyFont="1">
      <alignment horizontal="center" readingOrder="0" shrinkToFit="0" vertical="center" wrapText="1"/>
    </xf>
    <xf borderId="1" fillId="34" fontId="49" numFmtId="165" xfId="0" applyAlignment="1" applyBorder="1" applyFont="1" applyNumberFormat="1">
      <alignment horizontal="center" readingOrder="0" shrinkToFit="0" vertical="center" wrapText="1"/>
    </xf>
    <xf borderId="1" fillId="34" fontId="41" numFmtId="0" xfId="0" applyAlignment="1" applyBorder="1" applyFont="1">
      <alignment readingOrder="0" shrinkToFit="0" vertical="center" wrapText="1"/>
    </xf>
    <xf borderId="1" fillId="35" fontId="41" numFmtId="0" xfId="0" applyAlignment="1" applyBorder="1" applyFill="1" applyFont="1">
      <alignment horizontal="left" readingOrder="0" shrinkToFit="0" vertical="center" wrapText="1"/>
    </xf>
    <xf borderId="1" fillId="34" fontId="40" numFmtId="164" xfId="0" applyAlignment="1" applyBorder="1" applyFont="1" applyNumberFormat="1">
      <alignment horizontal="left" readingOrder="0" shrinkToFit="0" vertical="center" wrapText="0"/>
    </xf>
    <xf borderId="1" fillId="0" fontId="49" numFmtId="0" xfId="0" applyAlignment="1" applyBorder="1" applyFont="1">
      <alignment horizontal="center" readingOrder="0" shrinkToFit="0" vertical="center" wrapText="1"/>
    </xf>
    <xf borderId="1" fillId="19" fontId="13" numFmtId="0" xfId="0" applyAlignment="1" applyBorder="1" applyFont="1">
      <alignment readingOrder="0" shrinkToFit="0" vertical="center" wrapText="1"/>
    </xf>
    <xf borderId="1" fillId="19" fontId="79" numFmtId="164" xfId="0" applyAlignment="1" applyBorder="1" applyFont="1" applyNumberFormat="1">
      <alignment horizontal="center" readingOrder="0" shrinkToFit="0" vertical="center" wrapText="1"/>
    </xf>
    <xf borderId="1" fillId="19" fontId="79" numFmtId="0" xfId="0" applyAlignment="1" applyBorder="1" applyFont="1">
      <alignment horizontal="left" readingOrder="0" shrinkToFit="0" vertical="center" wrapText="1"/>
    </xf>
    <xf borderId="1" fillId="19" fontId="79" numFmtId="0" xfId="0" applyAlignment="1" applyBorder="1" applyFont="1">
      <alignment horizontal="center" readingOrder="0" shrinkToFit="0" wrapText="1"/>
    </xf>
    <xf borderId="1" fillId="19" fontId="79" numFmtId="181" xfId="0" applyAlignment="1" applyBorder="1" applyFont="1" applyNumberFormat="1">
      <alignment horizontal="center" shrinkToFit="0" wrapText="1"/>
    </xf>
    <xf borderId="0" fillId="19" fontId="86" numFmtId="165" xfId="0" applyAlignment="1" applyFont="1" applyNumberFormat="1">
      <alignment horizontal="center" readingOrder="0" shrinkToFit="0" vertical="center" wrapText="1"/>
    </xf>
    <xf borderId="1" fillId="19" fontId="22" numFmtId="165" xfId="0" applyAlignment="1" applyBorder="1" applyFont="1" applyNumberFormat="1">
      <alignment readingOrder="0" shrinkToFit="0" wrapText="1"/>
    </xf>
    <xf borderId="1" fillId="19" fontId="79" numFmtId="182" xfId="0" applyAlignment="1" applyBorder="1" applyFont="1" applyNumberFormat="1">
      <alignment horizontal="center" shrinkToFit="0" wrapText="1"/>
    </xf>
    <xf borderId="1" fillId="19" fontId="79" numFmtId="0" xfId="0" applyAlignment="1" applyBorder="1" applyFont="1">
      <alignment horizontal="center" shrinkToFit="0" wrapText="1"/>
    </xf>
    <xf borderId="1" fillId="19" fontId="79" numFmtId="165" xfId="0" applyAlignment="1" applyBorder="1" applyFont="1" applyNumberFormat="1">
      <alignment horizontal="center" shrinkToFit="0" wrapText="1"/>
    </xf>
    <xf borderId="1" fillId="19" fontId="41" numFmtId="0" xfId="0" applyAlignment="1" applyBorder="1" applyFont="1">
      <alignment readingOrder="0" shrinkToFit="0" vertical="center" wrapText="1"/>
    </xf>
    <xf borderId="1" fillId="19" fontId="22" numFmtId="165" xfId="0" applyAlignment="1" applyBorder="1" applyFont="1" applyNumberFormat="1">
      <alignment shrinkToFit="0" wrapText="1"/>
    </xf>
    <xf borderId="1" fillId="19" fontId="22" numFmtId="180" xfId="0" applyAlignment="1" applyBorder="1" applyFont="1" applyNumberFormat="1">
      <alignment shrinkToFit="0" wrapText="1"/>
    </xf>
    <xf borderId="1" fillId="0" fontId="41" numFmtId="0" xfId="0" applyAlignment="1" applyBorder="1" applyFont="1">
      <alignment horizontal="left" shrinkToFit="0" vertical="center" wrapText="1"/>
    </xf>
    <xf borderId="1" fillId="8" fontId="87" numFmtId="164" xfId="0" applyAlignment="1" applyBorder="1" applyFont="1" applyNumberFormat="1">
      <alignment horizontal="center" readingOrder="0" shrinkToFit="0" wrapText="1"/>
    </xf>
    <xf borderId="1" fillId="0" fontId="49" numFmtId="0" xfId="0" applyAlignment="1" applyBorder="1" applyFont="1">
      <alignment horizontal="left" readingOrder="0" shrinkToFit="0" vertical="center" wrapText="1"/>
    </xf>
    <xf borderId="1" fillId="22" fontId="53" numFmtId="0" xfId="0" applyAlignment="1" applyBorder="1" applyFont="1">
      <alignment readingOrder="0" shrinkToFit="0" vertical="center" wrapText="1"/>
    </xf>
    <xf borderId="1" fillId="22" fontId="41" numFmtId="0" xfId="0" applyAlignment="1" applyBorder="1" applyFont="1">
      <alignment horizontal="left" readingOrder="0" shrinkToFit="0" vertical="center" wrapText="1"/>
    </xf>
    <xf borderId="1" fillId="22" fontId="41" numFmtId="165" xfId="0" applyAlignment="1" applyBorder="1" applyFont="1" applyNumberFormat="1">
      <alignment horizontal="center" readingOrder="0" shrinkToFit="0" vertical="center" wrapText="0"/>
    </xf>
    <xf borderId="1" fillId="22" fontId="49" numFmtId="179" xfId="0" applyAlignment="1" applyBorder="1" applyFont="1" applyNumberFormat="1">
      <alignment horizontal="left" readingOrder="0" shrinkToFit="0" vertical="center" wrapText="1"/>
    </xf>
    <xf borderId="1" fillId="22" fontId="49" numFmtId="0" xfId="0" applyAlignment="1" applyBorder="1" applyFont="1">
      <alignment horizontal="center" readingOrder="0" shrinkToFit="0" vertical="center" wrapText="1"/>
    </xf>
    <xf borderId="1" fillId="22" fontId="49" numFmtId="165" xfId="0" applyAlignment="1" applyBorder="1" applyFont="1" applyNumberFormat="1">
      <alignment horizontal="center" readingOrder="0" shrinkToFit="0" vertical="center" wrapText="1"/>
    </xf>
    <xf borderId="1" fillId="22" fontId="49" numFmtId="171" xfId="0" applyAlignment="1" applyBorder="1" applyFont="1" applyNumberFormat="1">
      <alignment horizontal="left" readingOrder="0" shrinkToFit="0" vertical="center" wrapText="1"/>
    </xf>
    <xf borderId="1" fillId="22" fontId="49" numFmtId="171" xfId="0" applyAlignment="1" applyBorder="1" applyFont="1" applyNumberFormat="1">
      <alignment horizontal="center" readingOrder="0" shrinkToFit="0" vertical="center" wrapText="1"/>
    </xf>
    <xf borderId="0" fillId="0" fontId="86" numFmtId="171" xfId="0" applyAlignment="1" applyFont="1" applyNumberFormat="1">
      <alignment horizontal="center" readingOrder="0" shrinkToFit="0" vertical="center" wrapText="1"/>
    </xf>
    <xf borderId="0" fillId="0" fontId="86" numFmtId="0" xfId="0" applyAlignment="1" applyFont="1">
      <alignment horizontal="center" readingOrder="0" shrinkToFit="0" vertical="center" wrapText="1"/>
    </xf>
    <xf borderId="1" fillId="22" fontId="40" numFmtId="181" xfId="0" applyAlignment="1" applyBorder="1" applyFont="1" applyNumberFormat="1">
      <alignment horizontal="left" readingOrder="0" shrinkToFit="0" vertical="center" wrapText="0"/>
    </xf>
    <xf borderId="1" fillId="22" fontId="40" numFmtId="181" xfId="0" applyAlignment="1" applyBorder="1" applyFont="1" applyNumberFormat="1">
      <alignment horizontal="center" readingOrder="0" shrinkToFit="0" vertical="center" wrapText="0"/>
    </xf>
    <xf borderId="1" fillId="22" fontId="40" numFmtId="0" xfId="0" applyAlignment="1" applyBorder="1" applyFont="1">
      <alignment horizontal="center" readingOrder="0" shrinkToFit="0" vertical="center" wrapText="0"/>
    </xf>
    <xf borderId="1" fillId="22" fontId="40" numFmtId="166" xfId="0" applyAlignment="1" applyBorder="1" applyFont="1" applyNumberFormat="1">
      <alignment horizontal="center" readingOrder="0" shrinkToFit="0" vertical="center" wrapText="0"/>
    </xf>
    <xf borderId="1" fillId="22" fontId="40" numFmtId="165" xfId="0" applyAlignment="1" applyBorder="1" applyFont="1" applyNumberFormat="1">
      <alignment horizontal="center" readingOrder="0" shrinkToFit="0" vertical="center" wrapText="0"/>
    </xf>
    <xf borderId="1" fillId="22" fontId="40" numFmtId="164" xfId="0" applyAlignment="1" applyBorder="1" applyFont="1" applyNumberFormat="1">
      <alignment horizontal="left" readingOrder="0" shrinkToFit="0" vertical="center" wrapText="0"/>
    </xf>
    <xf borderId="1" fillId="22" fontId="40" numFmtId="164" xfId="0" applyAlignment="1" applyBorder="1" applyFont="1" applyNumberFormat="1">
      <alignment horizontal="center" readingOrder="0" shrinkToFit="0" vertical="center" wrapText="0"/>
    </xf>
    <xf borderId="1" fillId="22" fontId="13" numFmtId="0" xfId="0" applyAlignment="1" applyBorder="1" applyFont="1">
      <alignment shrinkToFit="0" vertical="center" wrapText="1"/>
    </xf>
    <xf borderId="0" fillId="22" fontId="84" numFmtId="0" xfId="0" applyAlignment="1" applyFont="1">
      <alignment horizontal="center" shrinkToFit="0" vertical="center" wrapText="1"/>
    </xf>
    <xf borderId="1" fillId="22" fontId="85" numFmtId="164" xfId="0" applyAlignment="1" applyBorder="1" applyFont="1" applyNumberFormat="1">
      <alignment horizontal="left" readingOrder="0" shrinkToFit="0" vertical="center" wrapText="1"/>
    </xf>
    <xf borderId="1" fillId="22" fontId="85" numFmtId="164" xfId="0" applyAlignment="1" applyBorder="1" applyFont="1" applyNumberFormat="1">
      <alignment horizontal="center" readingOrder="0" shrinkToFit="0" vertical="center" wrapText="1"/>
    </xf>
    <xf borderId="0" fillId="22" fontId="85" numFmtId="164" xfId="0" applyAlignment="1" applyFont="1" applyNumberFormat="1">
      <alignment horizontal="center" readingOrder="0" shrinkToFit="0" vertical="center" wrapText="1"/>
    </xf>
    <xf borderId="0" fillId="22" fontId="13" numFmtId="0" xfId="0" applyAlignment="1" applyFont="1">
      <alignment shrinkToFit="0" vertical="center" wrapText="1"/>
    </xf>
    <xf borderId="0" fillId="22" fontId="53" numFmtId="0" xfId="0" applyAlignment="1" applyFont="1">
      <alignment readingOrder="0" shrinkToFit="0" vertical="center" wrapText="1"/>
    </xf>
    <xf borderId="0" fillId="22" fontId="41" numFmtId="0" xfId="0" applyAlignment="1" applyFont="1">
      <alignment horizontal="left" readingOrder="0" shrinkToFit="0" vertical="center" wrapText="1"/>
    </xf>
    <xf borderId="0" fillId="22" fontId="53" numFmtId="0" xfId="0" applyAlignment="1" applyFont="1">
      <alignment horizontal="center" readingOrder="0" shrinkToFit="0" vertical="center" wrapText="1"/>
    </xf>
    <xf borderId="0" fillId="22" fontId="41" numFmtId="165" xfId="0" applyAlignment="1" applyFont="1" applyNumberFormat="1">
      <alignment horizontal="center" readingOrder="0" shrinkToFit="0" vertical="center" wrapText="0"/>
    </xf>
    <xf borderId="0" fillId="22" fontId="85" numFmtId="164" xfId="0" applyAlignment="1" applyFont="1" applyNumberFormat="1">
      <alignment horizontal="left" readingOrder="0" shrinkToFit="0" vertical="center" wrapText="1"/>
    </xf>
    <xf borderId="0" fillId="0" fontId="53" numFmtId="0" xfId="0" applyAlignment="1" applyFont="1">
      <alignment readingOrder="0" shrinkToFit="0" vertical="center" wrapText="1"/>
    </xf>
    <xf borderId="0" fillId="0" fontId="41" numFmtId="0" xfId="0" applyAlignment="1" applyFont="1">
      <alignment horizontal="left" readingOrder="0" shrinkToFit="0" vertical="center" wrapText="1"/>
    </xf>
    <xf borderId="0" fillId="0" fontId="88" numFmtId="165" xfId="0" applyAlignment="1" applyFont="1" applyNumberFormat="1">
      <alignment horizontal="center" readingOrder="0" shrinkToFit="0" vertical="center" wrapText="0"/>
    </xf>
    <xf borderId="0" fillId="0" fontId="85" numFmtId="164" xfId="0" applyAlignment="1" applyFont="1" applyNumberFormat="1">
      <alignment horizontal="left" readingOrder="0" shrinkToFit="0" vertical="center" wrapText="1"/>
    </xf>
    <xf borderId="0" fillId="0" fontId="85" numFmtId="164" xfId="0" applyAlignment="1" applyFont="1" applyNumberFormat="1">
      <alignment horizontal="center" readingOrder="0" shrinkToFit="0" vertical="center" wrapText="1"/>
    </xf>
    <xf borderId="0" fillId="0" fontId="79" numFmtId="164" xfId="0" applyAlignment="1" applyFont="1" applyNumberFormat="1">
      <alignment horizontal="left" readingOrder="0" shrinkToFit="0" vertical="center" wrapText="1"/>
    </xf>
    <xf borderId="0" fillId="0" fontId="51" numFmtId="0" xfId="0" applyAlignment="1" applyFont="1">
      <alignment shrinkToFit="0" vertical="center" wrapText="1"/>
    </xf>
    <xf borderId="1" fillId="0" fontId="51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0" fillId="8" fontId="89" numFmtId="0" xfId="0" applyAlignment="1" applyFont="1">
      <alignment readingOrder="0" shrinkToFit="0" vertical="center" wrapText="1"/>
    </xf>
    <xf borderId="1" fillId="0" fontId="10" numFmtId="165" xfId="0" applyAlignment="1" applyBorder="1" applyFont="1" applyNumberFormat="1">
      <alignment horizontal="left" readingOrder="0" shrinkToFit="0" vertical="center" wrapText="1"/>
    </xf>
    <xf borderId="1" fillId="15" fontId="10" numFmtId="0" xfId="0" applyAlignment="1" applyBorder="1" applyFont="1">
      <alignment horizontal="left" readingOrder="0" shrinkToFit="0" vertical="center" wrapText="1"/>
    </xf>
    <xf borderId="1" fillId="0" fontId="90" numFmtId="0" xfId="0" applyAlignment="1" applyBorder="1" applyFont="1">
      <alignment horizontal="center" readingOrder="0" shrinkToFit="0" vertical="center" wrapText="1"/>
    </xf>
    <xf borderId="1" fillId="6" fontId="52" numFmtId="0" xfId="0" applyAlignment="1" applyBorder="1" applyFont="1">
      <alignment horizontal="center" readingOrder="0" shrinkToFit="0" vertical="center" wrapText="1"/>
    </xf>
    <xf borderId="1" fillId="3" fontId="52" numFmtId="0" xfId="0" applyAlignment="1" applyBorder="1" applyFont="1">
      <alignment horizontal="center" readingOrder="0" shrinkToFit="0" vertical="center" wrapText="1"/>
    </xf>
    <xf borderId="1" fillId="2" fontId="52" numFmtId="0" xfId="0" applyAlignment="1" applyBorder="1" applyFont="1">
      <alignment horizontal="center" readingOrder="0" shrinkToFit="0" vertical="center" wrapText="1"/>
    </xf>
    <xf borderId="1" fillId="0" fontId="91" numFmtId="0" xfId="0" applyAlignment="1" applyBorder="1" applyFont="1">
      <alignment horizontal="left" readingOrder="0" shrinkToFit="0" vertical="center" wrapText="1"/>
    </xf>
    <xf borderId="1" fillId="0" fontId="52" numFmtId="0" xfId="0" applyAlignment="1" applyBorder="1" applyFont="1">
      <alignment horizontal="center" readingOrder="0" shrinkToFit="0" wrapText="1"/>
    </xf>
    <xf borderId="1" fillId="6" fontId="52" numFmtId="0" xfId="0" applyAlignment="1" applyBorder="1" applyFont="1">
      <alignment horizontal="center" readingOrder="0" shrinkToFit="0" wrapText="1"/>
    </xf>
    <xf borderId="1" fillId="3" fontId="52" numFmtId="0" xfId="0" applyAlignment="1" applyBorder="1" applyFont="1">
      <alignment horizontal="center" readingOrder="0" shrinkToFit="0" wrapText="1"/>
    </xf>
    <xf borderId="1" fillId="0" fontId="52" numFmtId="164" xfId="0" applyAlignment="1" applyBorder="1" applyFont="1" applyNumberFormat="1">
      <alignment readingOrder="0" shrinkToFit="0" wrapText="1"/>
    </xf>
    <xf borderId="1" fillId="0" fontId="52" numFmtId="164" xfId="0" applyAlignment="1" applyBorder="1" applyFont="1" applyNumberFormat="1">
      <alignment shrinkToFit="0" wrapText="1"/>
    </xf>
    <xf borderId="0" fillId="0" fontId="52" numFmtId="0" xfId="0" applyAlignment="1" applyFont="1">
      <alignment shrinkToFit="0" wrapText="1"/>
    </xf>
    <xf borderId="1" fillId="0" fontId="52" numFmtId="0" xfId="0" applyAlignment="1" applyBorder="1" applyFont="1">
      <alignment shrinkToFit="0" wrapText="1"/>
    </xf>
    <xf borderId="1" fillId="2" fontId="91" numFmtId="0" xfId="0" applyAlignment="1" applyBorder="1" applyFont="1">
      <alignment horizontal="left" readingOrder="0" shrinkToFit="0" vertical="center" wrapText="1"/>
    </xf>
    <xf borderId="1" fillId="2" fontId="52" numFmtId="0" xfId="0" applyAlignment="1" applyBorder="1" applyFont="1">
      <alignment horizontal="center" readingOrder="0" shrinkToFit="0" wrapText="1"/>
    </xf>
    <xf borderId="1" fillId="0" fontId="91" numFmtId="0" xfId="0" applyAlignment="1" applyBorder="1" applyFont="1">
      <alignment readingOrder="0" shrinkToFit="0" vertical="center" wrapText="1"/>
    </xf>
    <xf borderId="1" fillId="0" fontId="91" numFmtId="0" xfId="0" applyAlignment="1" applyBorder="1" applyFont="1">
      <alignment horizontal="left" readingOrder="0" shrinkToFit="0" vertical="center" wrapText="1"/>
    </xf>
    <xf borderId="1" fillId="2" fontId="91" numFmtId="0" xfId="0" applyAlignment="1" applyBorder="1" applyFont="1">
      <alignment horizontal="left" readingOrder="0" shrinkToFit="0" vertical="center" wrapText="1"/>
    </xf>
    <xf borderId="0" fillId="0" fontId="52" numFmtId="0" xfId="0" applyAlignment="1" applyFont="1">
      <alignment horizontal="center" shrinkToFit="0" wrapText="1"/>
    </xf>
    <xf borderId="0" fillId="0" fontId="52" numFmtId="0" xfId="0" applyAlignment="1" applyFont="1">
      <alignment horizontal="center" readingOrder="0" shrinkToFit="0" wrapText="1"/>
    </xf>
    <xf borderId="0" fillId="0" fontId="52" numFmtId="164" xfId="0" applyAlignment="1" applyFont="1" applyNumberFormat="1">
      <alignment shrinkToFit="0" wrapText="1"/>
    </xf>
    <xf borderId="0" fillId="0" fontId="36" numFmtId="164" xfId="0" applyAlignment="1" applyFont="1" applyNumberFormat="1">
      <alignment shrinkToFit="0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51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textRotation="255" vertical="center" wrapText="1"/>
    </xf>
    <xf borderId="1" fillId="8" fontId="23" numFmtId="0" xfId="0" applyAlignment="1" applyBorder="1" applyFont="1">
      <alignment horizontal="center" readingOrder="0" shrinkToFit="0" textRotation="255" vertical="center" wrapText="1"/>
    </xf>
    <xf borderId="1" fillId="0" fontId="92" numFmtId="0" xfId="0" applyAlignment="1" applyBorder="1" applyFont="1">
      <alignment horizontal="center" readingOrder="0" shrinkToFit="0" textRotation="255" vertical="center" wrapText="1"/>
    </xf>
    <xf borderId="1" fillId="0" fontId="5" numFmtId="0" xfId="0" applyAlignment="1" applyBorder="1" applyFont="1">
      <alignment horizontal="center" readingOrder="0" shrinkToFit="0" textRotation="255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15" fontId="60" numFmtId="0" xfId="0" applyAlignment="1" applyBorder="1" applyFont="1">
      <alignment horizontal="center" readingOrder="0" shrinkToFit="0" vertical="center" wrapText="1"/>
    </xf>
    <xf borderId="1" fillId="0" fontId="60" numFmtId="0" xfId="0" applyAlignment="1" applyBorder="1" applyFont="1">
      <alignment horizontal="center" readingOrder="0" shrinkToFit="0" vertical="center" wrapText="1"/>
    </xf>
    <xf borderId="1" fillId="36" fontId="26" numFmtId="0" xfId="0" applyAlignment="1" applyBorder="1" applyFill="1" applyFont="1">
      <alignment horizontal="center" readingOrder="0" shrinkToFit="0" wrapText="1"/>
    </xf>
    <xf borderId="1" fillId="36" fontId="5" numFmtId="0" xfId="0" applyAlignment="1" applyBorder="1" applyFont="1">
      <alignment horizontal="center" readingOrder="0" shrinkToFit="0" wrapText="1"/>
    </xf>
    <xf borderId="0" fillId="2" fontId="13" numFmtId="0" xfId="0" applyAlignment="1" applyFont="1">
      <alignment horizontal="left" readingOrder="0" shrinkToFit="0" wrapText="1"/>
    </xf>
    <xf borderId="1" fillId="0" fontId="93" numFmtId="0" xfId="0" applyAlignment="1" applyBorder="1" applyFont="1">
      <alignment horizontal="center" readingOrder="0" shrinkToFit="0" vertical="bottom" wrapText="0"/>
    </xf>
    <xf borderId="1" fillId="0" fontId="93" numFmtId="0" xfId="0" applyAlignment="1" applyBorder="1" applyFont="1">
      <alignment readingOrder="0" shrinkToFit="0" vertical="bottom" wrapText="0"/>
    </xf>
    <xf borderId="1" fillId="0" fontId="22" numFmtId="0" xfId="0" applyAlignment="1" applyBorder="1" applyFont="1">
      <alignment horizontal="left" readingOrder="0" shrinkToFit="0" vertical="center" wrapText="1"/>
    </xf>
    <xf borderId="1" fillId="0" fontId="23" numFmtId="0" xfId="0" applyAlignment="1" applyBorder="1" applyFont="1">
      <alignment horizontal="center" readingOrder="0" shrinkToFit="0" wrapText="1"/>
    </xf>
    <xf borderId="1" fillId="0" fontId="86" numFmtId="0" xfId="0" applyAlignment="1" applyBorder="1" applyFont="1">
      <alignment horizontal="center" readingOrder="0" shrinkToFit="0" vertical="bottom" wrapText="1"/>
    </xf>
    <xf borderId="1" fillId="0" fontId="92" numFmtId="0" xfId="0" applyAlignment="1" applyBorder="1" applyFont="1">
      <alignment horizontal="center" shrinkToFit="0" wrapText="1"/>
    </xf>
    <xf borderId="1" fillId="3" fontId="13" numFmtId="0" xfId="0" applyAlignment="1" applyBorder="1" applyFont="1">
      <alignment horizontal="center" readingOrder="0" shrinkToFit="0" wrapText="1"/>
    </xf>
    <xf borderId="1" fillId="15" fontId="34" numFmtId="0" xfId="0" applyAlignment="1" applyBorder="1" applyFont="1">
      <alignment horizontal="center" readingOrder="0" shrinkToFit="0" wrapText="1"/>
    </xf>
    <xf borderId="1" fillId="36" fontId="13" numFmtId="0" xfId="0" applyAlignment="1" applyBorder="1" applyFont="1">
      <alignment horizontal="center" readingOrder="0" shrinkToFit="0" wrapText="1"/>
    </xf>
    <xf borderId="0" fillId="6" fontId="13" numFmtId="0" xfId="0" applyAlignment="1" applyFont="1">
      <alignment horizontal="left" readingOrder="0" shrinkToFit="0" wrapText="1"/>
    </xf>
    <xf borderId="22" fillId="0" fontId="86" numFmtId="0" xfId="0" applyAlignment="1" applyBorder="1" applyFont="1">
      <alignment horizontal="center" readingOrder="0" shrinkToFit="0" vertical="bottom" wrapText="1"/>
    </xf>
    <xf borderId="0" fillId="37" fontId="94" numFmtId="0" xfId="0" applyAlignment="1" applyFill="1" applyFont="1">
      <alignment readingOrder="0" shrinkToFit="0" wrapText="1"/>
    </xf>
    <xf borderId="0" fillId="38" fontId="27" numFmtId="0" xfId="0" applyAlignment="1" applyFill="1" applyFont="1">
      <alignment readingOrder="0" shrinkToFit="0" wrapText="1"/>
    </xf>
    <xf borderId="1" fillId="15" fontId="13" numFmtId="0" xfId="0" applyAlignment="1" applyBorder="1" applyFont="1">
      <alignment horizontal="center" readingOrder="0" shrinkToFit="0" wrapText="1"/>
    </xf>
    <xf borderId="0" fillId="10" fontId="13" numFmtId="0" xfId="0" applyAlignment="1" applyFont="1">
      <alignment readingOrder="0" shrinkToFit="0" wrapText="1"/>
    </xf>
    <xf borderId="1" fillId="5" fontId="13" numFmtId="0" xfId="0" applyAlignment="1" applyBorder="1" applyFont="1">
      <alignment horizontal="center" readingOrder="0" shrinkToFit="0" wrapText="1"/>
    </xf>
    <xf borderId="1" fillId="0" fontId="92" numFmtId="0" xfId="0" applyAlignment="1" applyBorder="1" applyFont="1">
      <alignment horizontal="center" readingOrder="0" shrinkToFit="0" wrapText="1"/>
    </xf>
    <xf borderId="1" fillId="0" fontId="23" numFmtId="0" xfId="0" applyAlignment="1" applyBorder="1" applyFont="1">
      <alignment horizontal="center" shrinkToFit="0" wrapText="1"/>
    </xf>
    <xf borderId="1" fillId="0" fontId="93" numFmtId="0" xfId="0" applyAlignment="1" applyBorder="1" applyFont="1">
      <alignment horizontal="center" shrinkToFit="0" vertical="bottom" wrapText="0"/>
    </xf>
    <xf borderId="0" fillId="0" fontId="34" numFmtId="0" xfId="0" applyAlignment="1" applyFont="1">
      <alignment horizontal="center" readingOrder="0" shrinkToFit="0" wrapText="1"/>
    </xf>
    <xf borderId="1" fillId="0" fontId="93" numFmtId="0" xfId="0" applyAlignment="1" applyBorder="1" applyFont="1">
      <alignment shrinkToFit="0" vertical="bottom" wrapText="0"/>
    </xf>
    <xf borderId="1" fillId="0" fontId="62" numFmtId="0" xfId="0" applyAlignment="1" applyBorder="1" applyFont="1">
      <alignment horizontal="center" readingOrder="0" shrinkToFit="0" wrapText="1"/>
    </xf>
    <xf borderId="0" fillId="0" fontId="62" numFmtId="0" xfId="0" applyAlignment="1" applyFont="1">
      <alignment horizontal="center" readingOrder="0" shrinkToFit="0" wrapText="1"/>
    </xf>
    <xf borderId="1" fillId="39" fontId="38" numFmtId="0" xfId="0" applyAlignment="1" applyBorder="1" applyFill="1" applyFont="1">
      <alignment horizontal="left" readingOrder="0" shrinkToFit="0" vertical="center" wrapText="1"/>
    </xf>
    <xf borderId="1" fillId="39" fontId="83" numFmtId="0" xfId="0" applyAlignment="1" applyBorder="1" applyFont="1">
      <alignment horizontal="center" readingOrder="0" shrinkToFit="0" vertical="center" wrapText="1"/>
    </xf>
    <xf borderId="1" fillId="39" fontId="22" numFmtId="0" xfId="0" applyAlignment="1" applyBorder="1" applyFont="1">
      <alignment horizontal="left" readingOrder="0" shrinkToFit="0" vertical="center" wrapText="1"/>
    </xf>
    <xf borderId="1" fillId="39" fontId="13" numFmtId="0" xfId="0" applyAlignment="1" applyBorder="1" applyFont="1">
      <alignment horizontal="center" readingOrder="0" shrinkToFit="0" wrapText="1"/>
    </xf>
    <xf borderId="1" fillId="8" fontId="23" numFmtId="0" xfId="0" applyAlignment="1" applyBorder="1" applyFont="1">
      <alignment horizontal="center" readingOrder="0" shrinkToFit="0" wrapText="1"/>
    </xf>
    <xf borderId="1" fillId="39" fontId="34" numFmtId="0" xfId="0" applyAlignment="1" applyBorder="1" applyFont="1">
      <alignment horizontal="center" readingOrder="0" shrinkToFit="0" wrapText="1"/>
    </xf>
    <xf borderId="1" fillId="0" fontId="38" numFmtId="0" xfId="0" applyAlignment="1" applyBorder="1" applyFont="1">
      <alignment horizontal="left" readingOrder="0" shrinkToFit="0" vertical="center" wrapText="1"/>
    </xf>
    <xf borderId="1" fillId="40" fontId="38" numFmtId="0" xfId="0" applyAlignment="1" applyBorder="1" applyFill="1" applyFont="1">
      <alignment horizontal="left" readingOrder="0" shrinkToFit="0" vertical="center" wrapText="1"/>
    </xf>
    <xf borderId="1" fillId="40" fontId="83" numFmtId="0" xfId="0" applyAlignment="1" applyBorder="1" applyFont="1">
      <alignment horizontal="center" readingOrder="0" shrinkToFit="0" vertical="center" wrapText="1"/>
    </xf>
    <xf borderId="1" fillId="40" fontId="22" numFmtId="0" xfId="0" applyAlignment="1" applyBorder="1" applyFont="1">
      <alignment horizontal="left" readingOrder="0" shrinkToFit="0" vertical="center" wrapText="1"/>
    </xf>
    <xf borderId="1" fillId="40" fontId="13" numFmtId="0" xfId="0" applyAlignment="1" applyBorder="1" applyFont="1">
      <alignment horizontal="center" readingOrder="0" shrinkToFit="0" wrapText="1"/>
    </xf>
    <xf borderId="1" fillId="40" fontId="34" numFmtId="0" xfId="0" applyAlignment="1" applyBorder="1" applyFont="1">
      <alignment horizontal="center" readingOrder="0" shrinkToFit="0" wrapText="1"/>
    </xf>
    <xf borderId="1" fillId="8" fontId="22" numFmtId="0" xfId="0" applyAlignment="1" applyBorder="1" applyFont="1">
      <alignment horizontal="left" readingOrder="0" shrinkToFit="0" vertical="center" wrapText="1"/>
    </xf>
    <xf borderId="1" fillId="41" fontId="38" numFmtId="0" xfId="0" applyAlignment="1" applyBorder="1" applyFill="1" applyFont="1">
      <alignment horizontal="left" readingOrder="0" shrinkToFit="0" vertical="center" wrapText="1"/>
    </xf>
    <xf borderId="1" fillId="41" fontId="83" numFmtId="0" xfId="0" applyAlignment="1" applyBorder="1" applyFont="1">
      <alignment horizontal="center" readingOrder="0" shrinkToFit="0" vertical="center" wrapText="1"/>
    </xf>
    <xf borderId="1" fillId="41" fontId="22" numFmtId="0" xfId="0" applyAlignment="1" applyBorder="1" applyFont="1">
      <alignment horizontal="left" readingOrder="0" shrinkToFit="0" vertical="center" wrapText="1"/>
    </xf>
    <xf borderId="1" fillId="41" fontId="13" numFmtId="0" xfId="0" applyAlignment="1" applyBorder="1" applyFont="1">
      <alignment horizontal="center" readingOrder="0" shrinkToFit="0" wrapText="1"/>
    </xf>
    <xf borderId="1" fillId="41" fontId="34" numFmtId="0" xfId="0" applyAlignment="1" applyBorder="1" applyFont="1">
      <alignment horizontal="center" readingOrder="0" shrinkToFit="0" wrapText="1"/>
    </xf>
    <xf borderId="1" fillId="0" fontId="26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horizontal="center" shrinkToFit="0" wrapText="1"/>
    </xf>
    <xf borderId="1" fillId="19" fontId="38" numFmtId="0" xfId="0" applyAlignment="1" applyBorder="1" applyFont="1">
      <alignment horizontal="left" readingOrder="0" shrinkToFit="0" vertical="center" wrapText="1"/>
    </xf>
    <xf borderId="1" fillId="19" fontId="83" numFmtId="0" xfId="0" applyAlignment="1" applyBorder="1" applyFont="1">
      <alignment horizontal="center" readingOrder="0" shrinkToFit="0" vertical="center" wrapText="1"/>
    </xf>
    <xf borderId="1" fillId="19" fontId="22" numFmtId="0" xfId="0" applyAlignment="1" applyBorder="1" applyFont="1">
      <alignment horizontal="left" readingOrder="0" shrinkToFit="0" vertical="center" wrapText="1"/>
    </xf>
    <xf borderId="1" fillId="19" fontId="13" numFmtId="0" xfId="0" applyAlignment="1" applyBorder="1" applyFont="1">
      <alignment horizontal="center" readingOrder="0" shrinkToFit="0" wrapText="1"/>
    </xf>
    <xf borderId="1" fillId="19" fontId="23" numFmtId="0" xfId="0" applyAlignment="1" applyBorder="1" applyFont="1">
      <alignment horizontal="center" readingOrder="0" shrinkToFit="0" wrapText="1"/>
    </xf>
    <xf borderId="1" fillId="19" fontId="23" numFmtId="0" xfId="0" applyAlignment="1" applyBorder="1" applyFont="1">
      <alignment horizontal="center" shrinkToFit="0" wrapText="1"/>
    </xf>
    <xf borderId="1" fillId="19" fontId="92" numFmtId="0" xfId="0" applyAlignment="1" applyBorder="1" applyFont="1">
      <alignment horizontal="center" shrinkToFit="0" wrapText="1"/>
    </xf>
    <xf borderId="1" fillId="19" fontId="34" numFmtId="0" xfId="0" applyAlignment="1" applyBorder="1" applyFont="1">
      <alignment horizontal="center" readingOrder="0" shrinkToFit="0" wrapText="1"/>
    </xf>
    <xf borderId="1" fillId="0" fontId="93" numFmtId="0" xfId="0" applyAlignment="1" applyBorder="1" applyFont="1">
      <alignment horizontal="left" readingOrder="0" shrinkToFit="0" vertical="bottom" wrapText="0"/>
    </xf>
    <xf borderId="1" fillId="25" fontId="38" numFmtId="0" xfId="0" applyAlignment="1" applyBorder="1" applyFont="1">
      <alignment horizontal="left" readingOrder="0" shrinkToFit="0" vertical="center" wrapText="1"/>
    </xf>
    <xf borderId="1" fillId="25" fontId="83" numFmtId="0" xfId="0" applyAlignment="1" applyBorder="1" applyFont="1">
      <alignment horizontal="center" readingOrder="0" shrinkToFit="0" vertical="center" wrapText="1"/>
    </xf>
    <xf borderId="1" fillId="25" fontId="13" numFmtId="0" xfId="0" applyAlignment="1" applyBorder="1" applyFont="1">
      <alignment horizontal="center" readingOrder="0" shrinkToFit="0" wrapText="1"/>
    </xf>
    <xf borderId="1" fillId="25" fontId="23" numFmtId="0" xfId="0" applyAlignment="1" applyBorder="1" applyFont="1">
      <alignment horizontal="center" readingOrder="0" shrinkToFit="0" wrapText="1"/>
    </xf>
    <xf borderId="1" fillId="25" fontId="92" numFmtId="0" xfId="0" applyAlignment="1" applyBorder="1" applyFont="1">
      <alignment horizontal="center" shrinkToFit="0" wrapText="1"/>
    </xf>
    <xf borderId="1" fillId="25" fontId="34" numFmtId="0" xfId="0" applyAlignment="1" applyBorder="1" applyFont="1">
      <alignment horizontal="center" readingOrder="0" shrinkToFit="0" wrapText="1"/>
    </xf>
    <xf borderId="1" fillId="31" fontId="13" numFmtId="0" xfId="0" applyAlignment="1" applyBorder="1" applyFont="1">
      <alignment horizontal="center" readingOrder="0" shrinkToFit="0" wrapText="1"/>
    </xf>
    <xf borderId="1" fillId="8" fontId="93" numFmtId="0" xfId="0" applyAlignment="1" applyBorder="1" applyFont="1">
      <alignment horizontal="center" readingOrder="0" shrinkToFit="0" vertical="bottom" wrapText="0"/>
    </xf>
    <xf borderId="1" fillId="41" fontId="23" numFmtId="0" xfId="0" applyAlignment="1" applyBorder="1" applyFont="1">
      <alignment horizontal="center" readingOrder="0" shrinkToFit="0" wrapText="1"/>
    </xf>
    <xf borderId="1" fillId="41" fontId="92" numFmtId="0" xfId="0" applyAlignment="1" applyBorder="1" applyFont="1">
      <alignment horizontal="center" shrinkToFit="0" wrapText="1"/>
    </xf>
    <xf borderId="0" fillId="0" fontId="26" numFmtId="0" xfId="0" applyAlignment="1" applyFont="1">
      <alignment horizontal="left" shrinkToFit="0" vertical="center" wrapText="1"/>
    </xf>
    <xf borderId="0" fillId="8" fontId="23" numFmtId="0" xfId="0" applyAlignment="1" applyFont="1">
      <alignment horizontal="center" shrinkToFit="0" wrapText="1"/>
    </xf>
    <xf borderId="0" fillId="0" fontId="26" numFmtId="3" xfId="0" applyAlignment="1" applyFont="1" applyNumberFormat="1">
      <alignment horizontal="left" shrinkToFit="0" vertical="center" wrapText="1"/>
    </xf>
    <xf borderId="0" fillId="0" fontId="13" numFmtId="3" xfId="0" applyAlignment="1" applyFont="1" applyNumberFormat="1">
      <alignment horizontal="left" shrinkToFit="0" vertical="center" wrapText="1"/>
    </xf>
    <xf borderId="0" fillId="0" fontId="13" numFmtId="3" xfId="0" applyAlignment="1" applyFont="1" applyNumberFormat="1">
      <alignment horizontal="center" shrinkToFit="0" wrapText="1"/>
    </xf>
    <xf borderId="0" fillId="0" fontId="23" numFmtId="3" xfId="0" applyAlignment="1" applyFont="1" applyNumberFormat="1">
      <alignment horizontal="center" shrinkToFit="0" wrapText="1"/>
    </xf>
    <xf borderId="0" fillId="0" fontId="13" numFmtId="3" xfId="0" applyAlignment="1" applyFont="1" applyNumberFormat="1">
      <alignment shrinkToFit="0" wrapText="1"/>
    </xf>
    <xf borderId="0" fillId="0" fontId="23" numFmtId="164" xfId="0" applyAlignment="1" applyFont="1" applyNumberFormat="1">
      <alignment horizontal="center" shrinkToFit="0" wrapText="1"/>
    </xf>
    <xf borderId="1" fillId="0" fontId="51" numFmtId="0" xfId="0" applyAlignment="1" applyBorder="1" applyFont="1">
      <alignment horizontal="center" shrinkToFit="0" wrapText="1"/>
    </xf>
    <xf borderId="1" fillId="2" fontId="92" numFmtId="0" xfId="0" applyAlignment="1" applyBorder="1" applyFont="1">
      <alignment horizontal="center" readingOrder="0" shrinkToFit="0" wrapText="1"/>
    </xf>
    <xf borderId="1" fillId="42" fontId="92" numFmtId="0" xfId="0" applyAlignment="1" applyBorder="1" applyFill="1" applyFont="1">
      <alignment horizontal="center" readingOrder="0" shrinkToFit="0" wrapText="1"/>
    </xf>
    <xf borderId="1" fillId="43" fontId="92" numFmtId="0" xfId="0" applyAlignment="1" applyBorder="1" applyFill="1" applyFont="1">
      <alignment horizontal="center" readingOrder="0" shrinkToFit="0" wrapText="1"/>
    </xf>
    <xf borderId="1" fillId="3" fontId="92" numFmtId="0" xfId="0" applyAlignment="1" applyBorder="1" applyFont="1">
      <alignment horizontal="center" readingOrder="0" shrinkToFit="0" wrapText="1"/>
    </xf>
    <xf borderId="1" fillId="0" fontId="92" numFmtId="0" xfId="0" applyAlignment="1" applyBorder="1" applyFont="1">
      <alignment horizontal="center" readingOrder="0" shrinkToFit="0" wrapText="1"/>
    </xf>
    <xf borderId="0" fillId="2" fontId="51" numFmtId="0" xfId="0" applyAlignment="1" applyFont="1">
      <alignment horizontal="center" shrinkToFit="0" wrapText="1"/>
    </xf>
    <xf borderId="0" fillId="0" fontId="51" numFmtId="0" xfId="0" applyAlignment="1" applyFont="1">
      <alignment horizontal="center" readingOrder="0" shrinkToFit="0" wrapText="1"/>
    </xf>
    <xf borderId="0" fillId="0" fontId="51" numFmtId="0" xfId="0" applyAlignment="1" applyFont="1">
      <alignment horizontal="center" shrinkToFit="0" wrapText="1"/>
    </xf>
    <xf borderId="1" fillId="0" fontId="51" numFmtId="164" xfId="0" applyAlignment="1" applyBorder="1" applyFont="1" applyNumberFormat="1">
      <alignment horizontal="center" readingOrder="0" shrinkToFit="0" wrapText="1"/>
    </xf>
    <xf borderId="1" fillId="0" fontId="51" numFmtId="164" xfId="0" applyAlignment="1" applyBorder="1" applyFont="1" applyNumberFormat="1">
      <alignment horizontal="center" readingOrder="0" shrinkToFit="0" wrapText="1"/>
    </xf>
    <xf borderId="0" fillId="0" fontId="51" numFmtId="0" xfId="0" applyAlignment="1" applyFont="1">
      <alignment horizontal="center" shrinkToFit="0" wrapText="1"/>
    </xf>
    <xf borderId="0" fillId="0" fontId="51" numFmtId="164" xfId="0" applyAlignment="1" applyFont="1" applyNumberFormat="1">
      <alignment horizontal="center" readingOrder="0" shrinkToFit="0" wrapText="1"/>
    </xf>
    <xf borderId="0" fillId="0" fontId="51" numFmtId="164" xfId="0" applyAlignment="1" applyFont="1" applyNumberFormat="1">
      <alignment horizontal="center" shrinkToFit="0" wrapText="1"/>
    </xf>
    <xf borderId="0" fillId="0" fontId="51" numFmtId="0" xfId="0" applyAlignment="1" applyFont="1">
      <alignment horizontal="center"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13" numFmtId="0" xfId="0" applyAlignment="1" applyBorder="1" applyFont="1">
      <alignment shrinkToFit="0" wrapText="1"/>
    </xf>
    <xf borderId="1" fillId="0" fontId="13" numFmtId="0" xfId="0" applyAlignment="1" applyBorder="1" applyFont="1">
      <alignment horizontal="center" shrinkToFit="0" wrapText="1"/>
    </xf>
    <xf borderId="0" fillId="0" fontId="13" numFmtId="0" xfId="0" applyAlignment="1" applyFont="1">
      <alignment shrinkToFit="0" wrapText="1"/>
    </xf>
    <xf borderId="0" fillId="0" fontId="13" numFmtId="0" xfId="0" applyAlignment="1" applyFont="1">
      <alignment horizontal="center" shrinkToFit="0" wrapText="1"/>
    </xf>
    <xf borderId="1" fillId="42" fontId="13" numFmtId="0" xfId="0" applyAlignment="1" applyBorder="1" applyFont="1">
      <alignment horizontal="center" readingOrder="0" shrinkToFit="0" wrapText="1"/>
    </xf>
    <xf borderId="1" fillId="43" fontId="13" numFmtId="0" xfId="0" applyAlignment="1" applyBorder="1" applyFont="1">
      <alignment horizontal="center" readingOrder="0" shrinkToFit="0" wrapText="1"/>
    </xf>
    <xf borderId="1" fillId="3" fontId="13" numFmtId="0" xfId="0" applyAlignment="1" applyBorder="1" applyFont="1">
      <alignment horizontal="center" readingOrder="0" shrinkToFit="0" wrapText="1"/>
    </xf>
    <xf borderId="1" fillId="2" fontId="13" numFmtId="164" xfId="0" applyAlignment="1" applyBorder="1" applyFont="1" applyNumberFormat="1">
      <alignment readingOrder="0" shrinkToFit="0" wrapText="1"/>
    </xf>
    <xf borderId="1" fillId="0" fontId="13" numFmtId="2" xfId="0" applyAlignment="1" applyBorder="1" applyFont="1" applyNumberFormat="1">
      <alignment horizontal="center" readingOrder="0" shrinkToFit="0" wrapText="1"/>
    </xf>
    <xf borderId="1" fillId="0" fontId="13" numFmtId="0" xfId="0" applyAlignment="1" applyBorder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15" fillId="6" fontId="13" numFmtId="0" xfId="0" applyAlignment="1" applyBorder="1" applyFont="1">
      <alignment readingOrder="0" shrinkToFit="0" wrapText="1"/>
    </xf>
    <xf borderId="1" fillId="0" fontId="26" numFmtId="0" xfId="0" applyAlignment="1" applyBorder="1" applyFont="1">
      <alignment horizontal="center" shrinkToFit="0" wrapText="1"/>
    </xf>
    <xf borderId="1" fillId="0" fontId="26" numFmtId="0" xfId="0" applyAlignment="1" applyBorder="1" applyFont="1">
      <alignment horizontal="center" readingOrder="0" shrinkToFit="0" wrapText="1"/>
    </xf>
    <xf borderId="1" fillId="0" fontId="26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 shrinkToFit="0" wrapText="1"/>
    </xf>
    <xf borderId="1" fillId="0" fontId="26" numFmtId="0" xfId="0" applyAlignment="1" applyBorder="1" applyFont="1">
      <alignment readingOrder="0" shrinkToFit="0" wrapText="1"/>
    </xf>
    <xf borderId="1" fillId="0" fontId="26" numFmtId="164" xfId="0" applyAlignment="1" applyBorder="1" applyFont="1" applyNumberFormat="1">
      <alignment readingOrder="0" shrinkToFit="0" wrapText="1"/>
    </xf>
    <xf borderId="1" fillId="0" fontId="26" numFmtId="0" xfId="0" applyAlignment="1" applyBorder="1" applyFont="1">
      <alignment shrinkToFit="0" wrapText="1"/>
    </xf>
    <xf borderId="1" fillId="0" fontId="26" numFmtId="0" xfId="0" applyAlignment="1" applyBorder="1" applyFont="1">
      <alignment horizontal="center" shrinkToFit="0" wrapText="1"/>
    </xf>
    <xf borderId="1" fillId="0" fontId="26" numFmtId="164" xfId="0" applyAlignment="1" applyBorder="1" applyFont="1" applyNumberFormat="1">
      <alignment horizontal="center" shrinkToFit="0" wrapText="1"/>
    </xf>
    <xf borderId="1" fillId="0" fontId="26" numFmtId="0" xfId="0" applyAlignment="1" applyBorder="1" applyFont="1">
      <alignment shrinkToFit="0" wrapText="1"/>
    </xf>
    <xf borderId="0" fillId="0" fontId="13" numFmtId="164" xfId="0" applyAlignment="1" applyFont="1" applyNumberFormat="1">
      <alignment readingOrder="0" shrinkToFit="0" wrapText="1"/>
    </xf>
    <xf borderId="1" fillId="0" fontId="26" numFmtId="164" xfId="0" applyAlignment="1" applyBorder="1" applyFont="1" applyNumberFormat="1">
      <alignment horizontal="center" readingOrder="0" shrinkToFit="0" wrapText="1"/>
    </xf>
    <xf borderId="1" fillId="0" fontId="26" numFmtId="0" xfId="0" applyAlignment="1" applyBorder="1" applyFont="1">
      <alignment readingOrder="0" shrinkToFit="0" wrapText="1"/>
    </xf>
    <xf borderId="1" fillId="0" fontId="26" numFmtId="164" xfId="0" applyAlignment="1" applyBorder="1" applyFont="1" applyNumberFormat="1">
      <alignment shrinkToFit="0" wrapText="1"/>
    </xf>
    <xf borderId="0" fillId="0" fontId="13" numFmtId="164" xfId="0" applyAlignment="1" applyFont="1" applyNumberFormat="1">
      <alignment shrinkToFit="0" wrapText="1"/>
    </xf>
    <xf borderId="1" fillId="0" fontId="13" numFmtId="0" xfId="0" applyAlignment="1" applyBorder="1" applyFont="1">
      <alignment horizontal="right" readingOrder="0" shrinkToFit="0" wrapText="1"/>
    </xf>
    <xf borderId="1" fillId="0" fontId="13" numFmtId="0" xfId="0" applyAlignment="1" applyBorder="1" applyFont="1">
      <alignment horizontal="right" readingOrder="0" shrinkToFit="0" wrapText="1"/>
    </xf>
    <xf borderId="1" fillId="0" fontId="95" numFmtId="0" xfId="0" applyAlignment="1" applyBorder="1" applyFont="1">
      <alignment horizontal="center" readingOrder="0" shrinkToFit="0" vertical="bottom" wrapText="1"/>
    </xf>
    <xf borderId="1" fillId="0" fontId="96" numFmtId="0" xfId="0" applyAlignment="1" applyBorder="1" applyFont="1">
      <alignment horizontal="center" readingOrder="0" shrinkToFit="0" vertical="bottom" wrapText="1"/>
    </xf>
    <xf borderId="1" fillId="0" fontId="96" numFmtId="0" xfId="0" applyAlignment="1" applyBorder="1" applyFont="1">
      <alignment horizontal="center" readingOrder="0" shrinkToFit="0" vertical="bottom" wrapText="1"/>
    </xf>
    <xf borderId="0" fillId="0" fontId="96" numFmtId="0" xfId="0" applyAlignment="1" applyFont="1">
      <alignment horizontal="center" readingOrder="0" shrinkToFit="0" vertical="bottom" wrapText="1"/>
    </xf>
    <xf borderId="1" fillId="0" fontId="97" numFmtId="0" xfId="0" applyAlignment="1" applyBorder="1" applyFont="1">
      <alignment horizontal="left" readingOrder="0" shrinkToFit="0" vertical="center" wrapText="1"/>
    </xf>
    <xf borderId="1" fillId="0" fontId="98" numFmtId="0" xfId="0" applyAlignment="1" applyBorder="1" applyFont="1">
      <alignment horizontal="center" readingOrder="0" shrinkToFit="0" vertical="bottom" wrapText="1"/>
    </xf>
    <xf borderId="1" fillId="0" fontId="98" numFmtId="0" xfId="0" applyAlignment="1" applyBorder="1" applyFont="1">
      <alignment horizontal="left" readingOrder="0" shrinkToFit="0" vertical="bottom" wrapText="1"/>
    </xf>
    <xf borderId="0" fillId="0" fontId="98" numFmtId="0" xfId="0" applyAlignment="1" applyFont="1">
      <alignment horizontal="left" readingOrder="0" shrinkToFit="0" vertical="bottom" wrapText="1"/>
    </xf>
    <xf borderId="1" fillId="0" fontId="97" numFmtId="0" xfId="0" applyAlignment="1" applyBorder="1" applyFont="1">
      <alignment horizontal="left" readingOrder="0" shrinkToFit="0" vertical="center" wrapText="1"/>
    </xf>
    <xf borderId="1" fillId="0" fontId="99" numFmtId="0" xfId="0" applyAlignment="1" applyBorder="1" applyFont="1">
      <alignment horizontal="center" readingOrder="0" shrinkToFit="0" vertical="bottom" wrapText="1"/>
    </xf>
    <xf borderId="1" fillId="0" fontId="99" numFmtId="0" xfId="0" applyAlignment="1" applyBorder="1" applyFont="1">
      <alignment horizontal="left" readingOrder="0" shrinkToFit="0" vertical="bottom" wrapText="1"/>
    </xf>
    <xf borderId="0" fillId="0" fontId="99" numFmtId="0" xfId="0" applyAlignment="1" applyFont="1">
      <alignment horizontal="left" readingOrder="0" shrinkToFit="0" vertical="bottom" wrapText="1"/>
    </xf>
    <xf borderId="1" fillId="0" fontId="99" numFmtId="0" xfId="0" applyAlignment="1" applyBorder="1" applyFont="1">
      <alignment horizontal="center" readingOrder="0" shrinkToFit="0" vertical="bottom" wrapText="1"/>
    </xf>
    <xf borderId="1" fillId="0" fontId="99" numFmtId="0" xfId="0" applyAlignment="1" applyBorder="1" applyFont="1">
      <alignment horizontal="left" readingOrder="0" shrinkToFit="0" vertical="bottom" wrapText="1"/>
    </xf>
    <xf borderId="0" fillId="0" fontId="99" numFmtId="0" xfId="0" applyAlignment="1" applyFont="1">
      <alignment horizontal="left" readingOrder="0" shrinkToFit="0" vertical="bottom" wrapText="1"/>
    </xf>
    <xf borderId="1" fillId="0" fontId="97" numFmtId="0" xfId="0" applyAlignment="1" applyBorder="1" applyFont="1">
      <alignment horizontal="left" readingOrder="0" shrinkToFit="0" vertical="bottom" wrapText="0"/>
    </xf>
    <xf borderId="1" fillId="0" fontId="99" numFmtId="0" xfId="0" applyAlignment="1" applyBorder="1" applyFont="1">
      <alignment horizontal="center" readingOrder="0" shrinkToFit="0" wrapText="1"/>
    </xf>
    <xf borderId="1" fillId="0" fontId="99" numFmtId="0" xfId="0" applyAlignment="1" applyBorder="1" applyFont="1">
      <alignment horizontal="left" readingOrder="0" shrinkToFit="0" wrapText="1"/>
    </xf>
    <xf borderId="0" fillId="0" fontId="99" numFmtId="0" xfId="0" applyAlignment="1" applyFont="1">
      <alignment horizontal="left" readingOrder="0" shrinkToFit="0" wrapText="1"/>
    </xf>
    <xf borderId="1" fillId="0" fontId="97" numFmtId="0" xfId="0" applyAlignment="1" applyBorder="1" applyFont="1">
      <alignment horizontal="left" readingOrder="0" shrinkToFit="0" wrapText="1"/>
    </xf>
    <xf borderId="0" fillId="0" fontId="99" numFmtId="0" xfId="0" applyAlignment="1" applyFont="1">
      <alignment horizontal="center" readingOrder="0" shrinkToFit="0" wrapText="1"/>
    </xf>
    <xf borderId="0" fillId="0" fontId="99" numFmtId="0" xfId="0" applyAlignment="1" applyFont="1">
      <alignment horizontal="center" readingOrder="0" shrinkToFit="0" vertical="bottom" wrapText="1"/>
    </xf>
    <xf borderId="1" fillId="0" fontId="100" numFmtId="0" xfId="0" applyAlignment="1" applyBorder="1" applyFont="1">
      <alignment horizontal="center" readingOrder="0" shrinkToFit="0" wrapText="1"/>
    </xf>
    <xf borderId="1" fillId="8" fontId="97" numFmtId="0" xfId="0" applyAlignment="1" applyBorder="1" applyFont="1">
      <alignment horizontal="left" readingOrder="0" shrinkToFit="0" vertical="center" wrapText="1"/>
    </xf>
    <xf borderId="0" fillId="8" fontId="101" numFmtId="0" xfId="0" applyAlignment="1" applyFont="1">
      <alignment horizontal="left" readingOrder="0" shrinkToFit="0" wrapText="1"/>
    </xf>
    <xf borderId="1" fillId="8" fontId="102" numFmtId="0" xfId="0" applyAlignment="1" applyBorder="1" applyFont="1">
      <alignment readingOrder="0" shrinkToFit="0" wrapText="1"/>
    </xf>
    <xf borderId="1" fillId="8" fontId="101" numFmtId="0" xfId="0" applyAlignment="1" applyBorder="1" applyFont="1">
      <alignment horizontal="center" readingOrder="0" shrinkToFit="0" wrapText="1"/>
    </xf>
    <xf borderId="1" fillId="8" fontId="101" numFmtId="0" xfId="0" applyAlignment="1" applyBorder="1" applyFont="1">
      <alignment horizontal="left" readingOrder="0" shrinkToFit="0" wrapText="1"/>
    </xf>
    <xf borderId="0" fillId="8" fontId="99" numFmtId="0" xfId="0" applyAlignment="1" applyFont="1">
      <alignment horizontal="left" readingOrder="0" shrinkToFit="0" wrapText="1"/>
    </xf>
    <xf borderId="0" fillId="0" fontId="98" numFmtId="0" xfId="0" applyAlignment="1" applyFont="1">
      <alignment horizontal="left" readingOrder="0" shrinkToFit="0" vertical="bottom" wrapText="1"/>
    </xf>
    <xf borderId="1" fillId="0" fontId="102" numFmtId="0" xfId="0" applyAlignment="1" applyBorder="1" applyFont="1">
      <alignment readingOrder="0" shrinkToFit="0" wrapText="1"/>
    </xf>
    <xf borderId="1" fillId="8" fontId="99" numFmtId="0" xfId="0" applyAlignment="1" applyBorder="1" applyFont="1">
      <alignment horizontal="center" readingOrder="0" shrinkToFit="0" wrapText="1"/>
    </xf>
    <xf borderId="1" fillId="8" fontId="99" numFmtId="0" xfId="0" applyAlignment="1" applyBorder="1" applyFont="1">
      <alignment horizontal="left" readingOrder="0" shrinkToFit="0" wrapText="1"/>
    </xf>
    <xf borderId="1" fillId="8" fontId="62" numFmtId="0" xfId="0" applyAlignment="1" applyBorder="1" applyFont="1">
      <alignment horizontal="center" readingOrder="0" shrinkToFit="0" wrapText="1"/>
    </xf>
    <xf borderId="1" fillId="0" fontId="98" numFmtId="0" xfId="0" applyAlignment="1" applyBorder="1" applyFont="1">
      <alignment horizontal="left" readingOrder="0" shrinkToFit="0" vertical="bottom" wrapText="1"/>
    </xf>
    <xf borderId="1" fillId="8" fontId="102" numFmtId="0" xfId="0" applyAlignment="1" applyBorder="1" applyFont="1">
      <alignment horizontal="left" readingOrder="0" shrinkToFit="0" wrapText="1"/>
    </xf>
    <xf borderId="0" fillId="2" fontId="99" numFmtId="0" xfId="0" applyAlignment="1" applyFont="1">
      <alignment horizontal="left" shrinkToFit="0" wrapText="1"/>
    </xf>
    <xf borderId="1" fillId="0" fontId="98" numFmtId="0" xfId="0" applyAlignment="1" applyBorder="1" applyFont="1">
      <alignment horizontal="center" readingOrder="0" shrinkToFit="0" vertical="bottom" wrapText="1"/>
    </xf>
    <xf borderId="1" fillId="2" fontId="99" numFmtId="0" xfId="0" applyAlignment="1" applyBorder="1" applyFont="1">
      <alignment horizontal="left" readingOrder="0" shrinkToFit="0" wrapText="1"/>
    </xf>
    <xf borderId="1" fillId="8" fontId="102" numFmtId="0" xfId="0" applyAlignment="1" applyBorder="1" applyFont="1">
      <alignment horizontal="left" readingOrder="0" shrinkToFit="0" vertical="bottom" wrapText="0"/>
    </xf>
    <xf borderId="1" fillId="0" fontId="103" numFmtId="0" xfId="0" applyAlignment="1" applyBorder="1" applyFont="1">
      <alignment readingOrder="0" shrinkToFit="0" wrapText="1"/>
    </xf>
    <xf borderId="1" fillId="2" fontId="99" numFmtId="0" xfId="0" applyAlignment="1" applyBorder="1" applyFont="1">
      <alignment horizontal="left" shrinkToFit="0" wrapText="1"/>
    </xf>
    <xf borderId="1" fillId="8" fontId="101" numFmtId="0" xfId="0" applyAlignment="1" applyBorder="1" applyFont="1">
      <alignment horizontal="left" shrinkToFit="0" wrapText="1"/>
    </xf>
    <xf borderId="1" fillId="8" fontId="104" numFmtId="0" xfId="0" applyAlignment="1" applyBorder="1" applyFont="1">
      <alignment horizontal="center" readingOrder="0" shrinkToFit="0" wrapText="1"/>
    </xf>
    <xf borderId="0" fillId="2" fontId="101" numFmtId="0" xfId="0" applyAlignment="1" applyFont="1">
      <alignment horizontal="left" shrinkToFit="0" wrapText="1"/>
    </xf>
    <xf borderId="1" fillId="8" fontId="105" numFmtId="0" xfId="0" applyAlignment="1" applyBorder="1" applyFont="1">
      <alignment horizontal="left" readingOrder="0" shrinkToFit="0" wrapText="1"/>
    </xf>
    <xf borderId="1" fillId="8" fontId="106" numFmtId="0" xfId="0" applyAlignment="1" applyBorder="1" applyFont="1">
      <alignment horizontal="left" readingOrder="0" shrinkToFit="0" wrapText="1"/>
    </xf>
    <xf borderId="0" fillId="8" fontId="99" numFmtId="0" xfId="0" applyAlignment="1" applyFont="1">
      <alignment horizontal="left" readingOrder="0" shrinkToFit="0" vertical="bottom" wrapText="1"/>
    </xf>
    <xf borderId="1" fillId="2" fontId="102" numFmtId="0" xfId="0" applyAlignment="1" applyBorder="1" applyFont="1">
      <alignment horizontal="left" readingOrder="0" shrinkToFit="0" wrapText="1"/>
    </xf>
    <xf borderId="1" fillId="2" fontId="101" numFmtId="0" xfId="0" applyAlignment="1" applyBorder="1" applyFont="1">
      <alignment horizontal="center" shrinkToFit="0" wrapText="1"/>
    </xf>
    <xf borderId="1" fillId="2" fontId="101" numFmtId="0" xfId="0" applyAlignment="1" applyBorder="1" applyFont="1">
      <alignment horizontal="left" shrinkToFit="0" wrapText="1"/>
    </xf>
    <xf borderId="1" fillId="8" fontId="99" numFmtId="0" xfId="0" applyAlignment="1" applyBorder="1" applyFont="1">
      <alignment horizontal="left" readingOrder="0" shrinkToFit="0" vertical="bottom" wrapText="1"/>
    </xf>
    <xf borderId="0" fillId="8" fontId="101" numFmtId="0" xfId="0" applyAlignment="1" applyFont="1">
      <alignment horizontal="left" shrinkToFit="0" wrapText="1"/>
    </xf>
    <xf borderId="1" fillId="8" fontId="97" numFmtId="0" xfId="0" applyAlignment="1" applyBorder="1" applyFont="1">
      <alignment horizontal="left" readingOrder="0" shrinkToFit="0" wrapText="1"/>
    </xf>
    <xf borderId="1" fillId="8" fontId="107" numFmtId="0" xfId="0" applyAlignment="1" applyBorder="1" applyFont="1">
      <alignment horizontal="center" readingOrder="0" shrinkToFit="0" wrapText="1"/>
    </xf>
    <xf borderId="1" fillId="8" fontId="99" numFmtId="0" xfId="0" applyAlignment="1" applyBorder="1" applyFont="1">
      <alignment horizontal="center" readingOrder="0" shrinkToFit="0" vertical="bottom" wrapText="1"/>
    </xf>
    <xf borderId="1" fillId="0" fontId="103" numFmtId="0" xfId="0" applyAlignment="1" applyBorder="1" applyFont="1">
      <alignment horizontal="left" readingOrder="0" shrinkToFit="0" wrapText="1"/>
    </xf>
    <xf borderId="1" fillId="2" fontId="99" numFmtId="0" xfId="0" applyAlignment="1" applyBorder="1" applyFont="1">
      <alignment horizontal="center" shrinkToFit="0" wrapText="1"/>
    </xf>
    <xf borderId="0" fillId="0" fontId="99" numFmtId="0" xfId="0" applyAlignment="1" applyFont="1">
      <alignment horizontal="center" readingOrder="0" shrinkToFit="0" vertical="bottom" wrapText="1"/>
    </xf>
    <xf borderId="0" fillId="8" fontId="101" numFmtId="0" xfId="0" applyAlignment="1" applyFont="1">
      <alignment horizontal="center" readingOrder="0" shrinkToFit="0" wrapText="1"/>
    </xf>
    <xf borderId="0" fillId="0" fontId="97" numFmtId="0" xfId="0" applyAlignment="1" applyFont="1">
      <alignment horizontal="left" readingOrder="0" shrinkToFit="0" vertical="bottom" wrapText="0"/>
    </xf>
    <xf borderId="1" fillId="8" fontId="106" numFmtId="0" xfId="0" applyAlignment="1" applyBorder="1" applyFont="1">
      <alignment horizontal="center" readingOrder="0" shrinkToFit="0" wrapText="1"/>
    </xf>
    <xf borderId="1" fillId="8" fontId="62" numFmtId="0" xfId="0" applyAlignment="1" applyBorder="1" applyFont="1">
      <alignment readingOrder="0" shrinkToFit="0" wrapText="1"/>
    </xf>
    <xf borderId="0" fillId="0" fontId="97" numFmtId="0" xfId="0" applyAlignment="1" applyFont="1">
      <alignment horizontal="left" readingOrder="0" shrinkToFit="0" vertical="center" wrapText="1"/>
    </xf>
    <xf borderId="0" fillId="0" fontId="98" numFmtId="0" xfId="0" applyAlignment="1" applyFont="1">
      <alignment horizontal="center" readingOrder="0" shrinkToFit="0" vertical="bottom" wrapText="1"/>
    </xf>
    <xf borderId="0" fillId="0" fontId="97" numFmtId="0" xfId="0" applyAlignment="1" applyFont="1">
      <alignment horizontal="left" readingOrder="0" shrinkToFit="0" vertical="center" wrapText="1"/>
    </xf>
    <xf borderId="0" fillId="8" fontId="102" numFmtId="0" xfId="0" applyAlignment="1" applyFont="1">
      <alignment readingOrder="0" shrinkToFit="0" wrapText="1"/>
    </xf>
    <xf borderId="0" fillId="0" fontId="103" numFmtId="0" xfId="0" applyAlignment="1" applyFont="1">
      <alignment horizontal="left" readingOrder="0" shrinkToFit="0" wrapText="1"/>
    </xf>
    <xf borderId="0" fillId="2" fontId="99" numFmtId="0" xfId="0" applyAlignment="1" applyFont="1">
      <alignment horizontal="center" shrinkToFit="0" wrapText="1"/>
    </xf>
    <xf borderId="0" fillId="8" fontId="102" numFmtId="0" xfId="0" applyAlignment="1" applyFont="1">
      <alignment horizontal="left" readingOrder="0" shrinkToFit="0" wrapText="1"/>
    </xf>
    <xf borderId="0" fillId="0" fontId="26" numFmtId="0" xfId="0" applyAlignment="1" applyFont="1">
      <alignment horizontal="center" shrinkToFit="0" vertical="center" wrapText="1"/>
    </xf>
    <xf borderId="0" fillId="0" fontId="26" numFmtId="164" xfId="0" applyAlignment="1" applyFont="1" applyNumberFormat="1">
      <alignment horizontal="center" shrinkToFit="0" vertical="center" wrapText="1"/>
    </xf>
    <xf borderId="0" fillId="0" fontId="26" numFmtId="0" xfId="0" applyAlignment="1" applyFont="1">
      <alignment shrinkToFit="0" vertical="center" wrapText="1"/>
    </xf>
    <xf borderId="15" fillId="0" fontId="71" numFmtId="0" xfId="0" applyAlignment="1" applyBorder="1" applyFont="1">
      <alignment horizontal="center" readingOrder="0" shrinkToFit="0" vertical="center" wrapText="1"/>
    </xf>
    <xf borderId="25" fillId="0" fontId="13" numFmtId="0" xfId="0" applyAlignment="1" applyBorder="1" applyFont="1">
      <alignment shrinkToFit="0" wrapText="1"/>
    </xf>
    <xf borderId="1" fillId="0" fontId="71" numFmtId="164" xfId="0" applyAlignment="1" applyBorder="1" applyFont="1" applyNumberFormat="1">
      <alignment horizontal="center" readingOrder="0" shrinkToFit="0" vertical="center" wrapText="1"/>
    </xf>
    <xf borderId="1" fillId="0" fontId="71" numFmtId="0" xfId="0" applyAlignment="1" applyBorder="1" applyFont="1">
      <alignment horizontal="center" readingOrder="0" shrinkToFit="0" vertical="center" wrapText="1"/>
    </xf>
    <xf borderId="23" fillId="0" fontId="13" numFmtId="0" xfId="0" applyAlignment="1" applyBorder="1" applyFont="1">
      <alignment shrinkToFit="0" wrapText="1"/>
    </xf>
    <xf borderId="0" fillId="0" fontId="71" numFmtId="0" xfId="0" applyAlignment="1" applyFont="1">
      <alignment horizontal="center" shrinkToFit="0" vertical="center" wrapText="1"/>
    </xf>
    <xf borderId="1" fillId="0" fontId="26" numFmtId="0" xfId="0" applyAlignment="1" applyBorder="1" applyFont="1">
      <alignment horizontal="left" readingOrder="0" shrinkToFit="0" vertical="center" wrapText="1"/>
    </xf>
    <xf borderId="1" fillId="0" fontId="26" numFmtId="0" xfId="0" applyAlignment="1" applyBorder="1" applyFont="1">
      <alignment readingOrder="0" shrinkToFit="0" vertical="center" wrapText="1"/>
    </xf>
    <xf borderId="1" fillId="0" fontId="26" numFmtId="182" xfId="0" applyAlignment="1" applyBorder="1" applyFont="1" applyNumberFormat="1">
      <alignment horizontal="center" readingOrder="0" shrinkToFit="0" vertical="center" wrapText="1"/>
    </xf>
    <xf borderId="1" fillId="0" fontId="26" numFmtId="0" xfId="0" applyAlignment="1" applyBorder="1" applyFont="1">
      <alignment shrinkToFit="0" vertical="center" wrapText="1"/>
    </xf>
    <xf borderId="1" fillId="0" fontId="26" numFmtId="178" xfId="0" applyAlignment="1" applyBorder="1" applyFont="1" applyNumberFormat="1">
      <alignment horizontal="center" readingOrder="0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71" numFmtId="0" xfId="0" applyAlignment="1" applyFont="1">
      <alignment horizontal="left" readingOrder="0" shrinkToFit="0" vertical="center" wrapText="1"/>
    </xf>
    <xf borderId="0" fillId="0" fontId="71" numFmtId="164" xfId="0" applyAlignment="1" applyFont="1" applyNumberFormat="1">
      <alignment horizontal="center" shrinkToFit="0" vertical="center" wrapText="1"/>
    </xf>
    <xf borderId="1" fillId="0" fontId="26" numFmtId="164" xfId="0" applyAlignment="1" applyBorder="1" applyFont="1" applyNumberFormat="1">
      <alignment horizontal="center" shrinkToFit="0" vertical="center" wrapText="1"/>
    </xf>
    <xf borderId="0" fillId="0" fontId="26" numFmtId="0" xfId="0" applyAlignment="1" applyFont="1">
      <alignment shrinkToFit="0" wrapText="1"/>
    </xf>
    <xf borderId="0" fillId="0" fontId="71" numFmtId="0" xfId="0" applyAlignment="1" applyFont="1">
      <alignment horizontal="center" readingOrder="0" shrinkToFit="0" vertical="center" wrapText="1"/>
    </xf>
    <xf borderId="0" fillId="8" fontId="108" numFmtId="164" xfId="0" applyAlignment="1" applyFont="1" applyNumberFormat="1">
      <alignment horizontal="center" readingOrder="0" shrinkToFit="0" wrapText="1"/>
    </xf>
    <xf borderId="0" fillId="0" fontId="109" numFmtId="0" xfId="0" applyAlignment="1" applyFont="1">
      <alignment horizontal="center" readingOrder="0" shrinkToFit="0" vertical="bottom" wrapText="1"/>
    </xf>
    <xf borderId="26" fillId="0" fontId="109" numFmtId="0" xfId="0" applyAlignment="1" applyBorder="1" applyFont="1">
      <alignment horizontal="center" readingOrder="0" shrinkToFit="0" vertical="bottom" wrapText="1"/>
    </xf>
    <xf borderId="27" fillId="0" fontId="13" numFmtId="0" xfId="0" applyAlignment="1" applyBorder="1" applyFont="1">
      <alignment shrinkToFit="0" wrapText="1"/>
    </xf>
    <xf borderId="28" fillId="0" fontId="13" numFmtId="0" xfId="0" applyAlignment="1" applyBorder="1" applyFont="1">
      <alignment shrinkToFit="0" wrapText="1"/>
    </xf>
    <xf borderId="29" fillId="0" fontId="13" numFmtId="1" xfId="0" applyAlignment="1" applyBorder="1" applyFont="1" applyNumberFormat="1">
      <alignment horizontal="center" shrinkToFit="0" wrapText="1"/>
    </xf>
    <xf borderId="30" fillId="0" fontId="13" numFmtId="164" xfId="0" applyAlignment="1" applyBorder="1" applyFont="1" applyNumberFormat="1">
      <alignment horizontal="center" shrinkToFit="0" wrapText="1"/>
    </xf>
    <xf borderId="0" fillId="0" fontId="13" numFmtId="172" xfId="0" applyAlignment="1" applyFont="1" applyNumberFormat="1">
      <alignment shrinkToFit="0" wrapText="1"/>
    </xf>
    <xf borderId="0" fillId="0" fontId="17" numFmtId="0" xfId="0" applyAlignment="1" applyFont="1">
      <alignment horizontal="center" readingOrder="0" shrinkToFit="0" vertical="bottom" wrapText="1"/>
    </xf>
    <xf borderId="31" fillId="0" fontId="17" numFmtId="0" xfId="0" applyAlignment="1" applyBorder="1" applyFont="1">
      <alignment horizontal="left" readingOrder="0" shrinkToFit="0" vertical="bottom" wrapText="1"/>
    </xf>
    <xf borderId="1" fillId="8" fontId="17" numFmtId="0" xfId="0" applyAlignment="1" applyBorder="1" applyFont="1">
      <alignment horizontal="center" readingOrder="0" shrinkToFit="0" vertical="bottom" wrapText="1"/>
    </xf>
    <xf borderId="1" fillId="0" fontId="17" numFmtId="164" xfId="0" applyAlignment="1" applyBorder="1" applyFont="1" applyNumberFormat="1">
      <alignment horizontal="center" readingOrder="0" shrinkToFit="0" vertical="bottom" wrapText="1"/>
    </xf>
    <xf borderId="1" fillId="0" fontId="2" numFmtId="1" xfId="0" applyAlignment="1" applyBorder="1" applyFont="1" applyNumberFormat="1">
      <alignment horizontal="center" readingOrder="0" shrinkToFit="0" vertical="bottom" wrapText="1"/>
    </xf>
    <xf borderId="15" fillId="0" fontId="34" numFmtId="164" xfId="0" applyAlignment="1" applyBorder="1" applyFont="1" applyNumberFormat="1">
      <alignment horizontal="center" readingOrder="0" shrinkToFit="0" wrapText="1"/>
    </xf>
    <xf borderId="1" fillId="0" fontId="13" numFmtId="1" xfId="0" applyAlignment="1" applyBorder="1" applyFont="1" applyNumberFormat="1">
      <alignment horizontal="center" readingOrder="0" shrinkToFit="0" wrapText="1"/>
    </xf>
    <xf borderId="32" fillId="0" fontId="13" numFmtId="164" xfId="0" applyAlignment="1" applyBorder="1" applyFont="1" applyNumberFormat="1">
      <alignment horizontal="center" readingOrder="0" shrinkToFit="0" wrapText="1"/>
    </xf>
    <xf borderId="15" fillId="0" fontId="13" numFmtId="164" xfId="0" applyAlignment="1" applyBorder="1" applyFont="1" applyNumberFormat="1">
      <alignment horizontal="center" readingOrder="0" shrinkToFit="0" wrapText="1"/>
    </xf>
    <xf borderId="1" fillId="0" fontId="13" numFmtId="1" xfId="0" applyAlignment="1" applyBorder="1" applyFont="1" applyNumberFormat="1">
      <alignment horizontal="center" shrinkToFit="0" wrapText="1"/>
    </xf>
    <xf borderId="32" fillId="0" fontId="13" numFmtId="164" xfId="0" applyAlignment="1" applyBorder="1" applyFont="1" applyNumberFormat="1">
      <alignment horizontal="center" shrinkToFit="0" wrapText="1"/>
    </xf>
    <xf borderId="15" fillId="0" fontId="13" numFmtId="164" xfId="0" applyAlignment="1" applyBorder="1" applyFont="1" applyNumberFormat="1">
      <alignment horizontal="center" shrinkToFit="0" wrapText="1"/>
    </xf>
    <xf borderId="31" fillId="0" fontId="13" numFmtId="0" xfId="0" applyAlignment="1" applyBorder="1" applyFont="1">
      <alignment readingOrder="0" shrinkToFit="0" wrapText="1"/>
    </xf>
    <xf borderId="0" fillId="0" fontId="17" numFmtId="166" xfId="0" applyAlignment="1" applyFont="1" applyNumberFormat="1">
      <alignment horizontal="center" readingOrder="0" shrinkToFit="0" vertical="bottom" wrapText="1"/>
    </xf>
    <xf borderId="31" fillId="0" fontId="17" numFmtId="166" xfId="0" applyAlignment="1" applyBorder="1" applyFont="1" applyNumberFormat="1">
      <alignment horizontal="left" readingOrder="0" shrinkToFit="0" vertical="bottom" wrapText="1"/>
    </xf>
    <xf borderId="33" fillId="0" fontId="13" numFmtId="0" xfId="0" applyAlignment="1" applyBorder="1" applyFont="1">
      <alignment shrinkToFit="0" wrapText="1"/>
    </xf>
    <xf borderId="21" fillId="0" fontId="13" numFmtId="0" xfId="0" applyAlignment="1" applyBorder="1" applyFont="1">
      <alignment horizontal="center" shrinkToFit="0" wrapText="1"/>
    </xf>
    <xf borderId="21" fillId="0" fontId="13" numFmtId="164" xfId="0" applyAlignment="1" applyBorder="1" applyFont="1" applyNumberFormat="1">
      <alignment horizontal="center" shrinkToFit="0" wrapText="1"/>
    </xf>
    <xf borderId="21" fillId="0" fontId="13" numFmtId="1" xfId="0" applyAlignment="1" applyBorder="1" applyFont="1" applyNumberFormat="1">
      <alignment horizontal="center" shrinkToFit="0" wrapText="1"/>
    </xf>
    <xf borderId="21" fillId="0" fontId="13" numFmtId="164" xfId="0" applyAlignment="1" applyBorder="1" applyFont="1" applyNumberFormat="1">
      <alignment horizontal="center" readingOrder="0" shrinkToFit="0" wrapText="1"/>
    </xf>
    <xf borderId="34" fillId="0" fontId="13" numFmtId="0" xfId="0" applyAlignment="1" applyBorder="1" applyFont="1">
      <alignment shrinkToFit="0" wrapText="1"/>
    </xf>
    <xf borderId="35" fillId="0" fontId="13" numFmtId="0" xfId="0" applyAlignment="1" applyBorder="1" applyFont="1">
      <alignment horizontal="center" shrinkToFit="0" wrapText="1"/>
    </xf>
    <xf borderId="35" fillId="0" fontId="13" numFmtId="164" xfId="0" applyAlignment="1" applyBorder="1" applyFont="1" applyNumberFormat="1">
      <alignment horizontal="center" shrinkToFit="0" wrapText="1"/>
    </xf>
    <xf borderId="35" fillId="0" fontId="13" numFmtId="1" xfId="0" applyAlignment="1" applyBorder="1" applyFont="1" applyNumberFormat="1">
      <alignment horizontal="center" shrinkToFit="0" wrapText="1"/>
    </xf>
    <xf borderId="35" fillId="0" fontId="13" numFmtId="164" xfId="0" applyAlignment="1" applyBorder="1" applyFont="1" applyNumberFormat="1">
      <alignment horizontal="center" readingOrder="0" shrinkToFit="0" wrapText="1"/>
    </xf>
    <xf borderId="36" fillId="0" fontId="13" numFmtId="164" xfId="0" applyAlignment="1" applyBorder="1" applyFont="1" applyNumberFormat="1">
      <alignment horizontal="center" shrinkToFit="0" wrapText="1"/>
    </xf>
    <xf borderId="37" fillId="0" fontId="13" numFmtId="164" xfId="0" applyAlignment="1" applyBorder="1" applyFont="1" applyNumberFormat="1">
      <alignment horizontal="center" readingOrder="0" shrinkToFit="0" wrapText="1"/>
    </xf>
    <xf borderId="0" fillId="0" fontId="13" numFmtId="1" xfId="0" applyAlignment="1" applyFont="1" applyNumberFormat="1">
      <alignment horizontal="center" shrinkToFit="0" wrapText="1"/>
    </xf>
    <xf borderId="38" fillId="0" fontId="109" numFmtId="0" xfId="0" applyAlignment="1" applyBorder="1" applyFont="1">
      <alignment horizontal="center" readingOrder="0" shrinkToFit="0" vertical="bottom" wrapText="1"/>
    </xf>
    <xf borderId="39" fillId="0" fontId="13" numFmtId="0" xfId="0" applyAlignment="1" applyBorder="1" applyFont="1">
      <alignment shrinkToFit="0" wrapText="1"/>
    </xf>
    <xf borderId="40" fillId="0" fontId="13" numFmtId="0" xfId="0" applyAlignment="1" applyBorder="1" applyFont="1">
      <alignment shrinkToFit="0" wrapText="1"/>
    </xf>
    <xf borderId="41" fillId="0" fontId="13" numFmtId="1" xfId="0" applyAlignment="1" applyBorder="1" applyFont="1" applyNumberFormat="1">
      <alignment horizontal="center" shrinkToFit="0" wrapText="1"/>
    </xf>
    <xf borderId="42" fillId="0" fontId="13" numFmtId="164" xfId="0" applyAlignment="1" applyBorder="1" applyFont="1" applyNumberFormat="1">
      <alignment horizontal="center" shrinkToFit="0" wrapText="1"/>
    </xf>
    <xf borderId="43" fillId="0" fontId="17" numFmtId="0" xfId="0" applyAlignment="1" applyBorder="1" applyFont="1">
      <alignment horizontal="left" readingOrder="0" shrinkToFit="0" vertical="bottom" wrapText="1"/>
    </xf>
    <xf borderId="1" fillId="0" fontId="34" numFmtId="164" xfId="0" applyAlignment="1" applyBorder="1" applyFont="1" applyNumberFormat="1">
      <alignment horizontal="center" readingOrder="0" shrinkToFit="0" wrapText="1"/>
    </xf>
    <xf borderId="44" fillId="0" fontId="13" numFmtId="164" xfId="0" applyAlignment="1" applyBorder="1" applyFont="1" applyNumberFormat="1">
      <alignment horizontal="center" readingOrder="0" shrinkToFit="0" wrapText="1"/>
    </xf>
    <xf borderId="0" fillId="0" fontId="25" numFmtId="0" xfId="0" applyAlignment="1" applyFont="1">
      <alignment horizontal="center" readingOrder="0" shrinkToFit="0" vertical="bottom" wrapText="1"/>
    </xf>
    <xf borderId="43" fillId="0" fontId="25" numFmtId="0" xfId="0" applyAlignment="1" applyBorder="1" applyFont="1">
      <alignment readingOrder="0" shrinkToFit="0" vertical="bottom" wrapText="1"/>
    </xf>
    <xf borderId="1" fillId="8" fontId="25" numFmtId="0" xfId="0" applyAlignment="1" applyBorder="1" applyFont="1">
      <alignment horizontal="center" readingOrder="0" shrinkToFit="0" vertical="bottom" wrapText="1"/>
    </xf>
    <xf borderId="44" fillId="0" fontId="13" numFmtId="164" xfId="0" applyAlignment="1" applyBorder="1" applyFont="1" applyNumberFormat="1">
      <alignment horizontal="center" shrinkToFit="0" wrapText="1"/>
    </xf>
    <xf borderId="21" fillId="8" fontId="25" numFmtId="0" xfId="0" applyAlignment="1" applyBorder="1" applyFont="1">
      <alignment horizontal="center" readingOrder="0" shrinkToFit="0" vertical="bottom" wrapText="1"/>
    </xf>
    <xf borderId="45" fillId="0" fontId="25" numFmtId="0" xfId="0" applyAlignment="1" applyBorder="1" applyFont="1">
      <alignment readingOrder="0" shrinkToFit="0" vertical="bottom" wrapText="1"/>
    </xf>
    <xf borderId="46" fillId="8" fontId="25" numFmtId="0" xfId="0" applyAlignment="1" applyBorder="1" applyFont="1">
      <alignment horizontal="center" readingOrder="0" shrinkToFit="0" vertical="bottom" wrapText="1"/>
    </xf>
    <xf borderId="46" fillId="0" fontId="13" numFmtId="164" xfId="0" applyAlignment="1" applyBorder="1" applyFont="1" applyNumberFormat="1">
      <alignment horizontal="center" readingOrder="0" shrinkToFit="0" wrapText="1"/>
    </xf>
    <xf borderId="46" fillId="0" fontId="13" numFmtId="164" xfId="0" applyAlignment="1" applyBorder="1" applyFont="1" applyNumberFormat="1">
      <alignment horizontal="center" shrinkToFit="0" wrapText="1"/>
    </xf>
    <xf borderId="46" fillId="0" fontId="13" numFmtId="1" xfId="0" applyAlignment="1" applyBorder="1" applyFont="1" applyNumberFormat="1">
      <alignment horizontal="center" shrinkToFit="0" wrapText="1"/>
    </xf>
    <xf borderId="15" fillId="0" fontId="109" numFmtId="0" xfId="0" applyAlignment="1" applyBorder="1" applyFont="1">
      <alignment horizontal="center" readingOrder="0" shrinkToFit="0" vertical="bottom" wrapText="1"/>
    </xf>
    <xf borderId="1" fillId="0" fontId="17" numFmtId="0" xfId="0" applyAlignment="1" applyBorder="1" applyFont="1">
      <alignment horizontal="left" readingOrder="0" shrinkToFit="0" vertical="bottom" wrapText="1"/>
    </xf>
    <xf borderId="1" fillId="28" fontId="34" numFmtId="164" xfId="0" applyAlignment="1" applyBorder="1" applyFont="1" applyNumberFormat="1">
      <alignment horizontal="center" readingOrder="0" shrinkToFit="0" wrapText="1"/>
    </xf>
    <xf borderId="0" fillId="0" fontId="2" numFmtId="172" xfId="0" applyAlignment="1" applyFont="1" applyNumberFormat="1">
      <alignment horizontal="center" readingOrder="0" shrinkToFit="0" vertical="bottom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13" numFmtId="172" xfId="0" applyAlignment="1" applyFont="1" applyNumberFormat="1">
      <alignment horizontal="center" readingOrder="0" shrinkToFit="0" wrapText="1"/>
    </xf>
    <xf borderId="0" fillId="0" fontId="17" numFmtId="0" xfId="0" applyAlignment="1" applyFont="1">
      <alignment horizontal="center" readingOrder="0" shrinkToFit="0" vertical="bottom" wrapText="1"/>
    </xf>
    <xf borderId="1" fillId="0" fontId="17" numFmtId="0" xfId="0" applyAlignment="1" applyBorder="1" applyFont="1">
      <alignment readingOrder="0" shrinkToFit="0" vertical="bottom" wrapText="1"/>
    </xf>
    <xf borderId="1" fillId="8" fontId="17" numFmtId="0" xfId="0" applyAlignment="1" applyBorder="1" applyFont="1">
      <alignment horizontal="center" readingOrder="0" shrinkToFit="0" vertical="bottom" wrapText="1"/>
    </xf>
    <xf borderId="1" fillId="28" fontId="13" numFmtId="164" xfId="0" applyAlignment="1" applyBorder="1" applyFont="1" applyNumberFormat="1">
      <alignment horizontal="center" readingOrder="0" shrinkToFit="0" wrapText="1"/>
    </xf>
    <xf borderId="1" fillId="0" fontId="13" numFmtId="1" xfId="0" applyAlignment="1" applyBorder="1" applyFont="1" applyNumberFormat="1">
      <alignment readingOrder="0" shrinkToFit="0" wrapText="1"/>
    </xf>
    <xf borderId="1" fillId="28" fontId="13" numFmtId="164" xfId="0" applyAlignment="1" applyBorder="1" applyFont="1" applyNumberFormat="1">
      <alignment horizontal="center" shrinkToFit="0" wrapText="1"/>
    </xf>
    <xf borderId="1" fillId="0" fontId="13" numFmtId="1" xfId="0" applyAlignment="1" applyBorder="1" applyFont="1" applyNumberFormat="1">
      <alignment shrinkToFit="0" wrapText="1"/>
    </xf>
    <xf borderId="1" fillId="2" fontId="17" numFmtId="0" xfId="0" applyAlignment="1" applyBorder="1" applyFont="1">
      <alignment horizontal="center" readingOrder="0" shrinkToFit="0" vertical="bottom" wrapText="1"/>
    </xf>
    <xf borderId="1" fillId="8" fontId="13" numFmtId="164" xfId="0" applyAlignment="1" applyBorder="1" applyFont="1" applyNumberFormat="1">
      <alignment horizontal="center" readingOrder="0" shrinkToFit="0" wrapText="1"/>
    </xf>
    <xf borderId="1" fillId="0" fontId="17" numFmtId="0" xfId="0" applyAlignment="1" applyBorder="1" applyFont="1">
      <alignment horizontal="center" readingOrder="0" shrinkToFit="0" vertical="bottom" wrapText="1"/>
    </xf>
    <xf borderId="1" fillId="15" fontId="17" numFmtId="0" xfId="0" applyAlignment="1" applyBorder="1" applyFont="1">
      <alignment horizontal="center" readingOrder="0" shrinkToFit="0" vertical="bottom" wrapText="1"/>
    </xf>
    <xf borderId="1" fillId="15" fontId="13" numFmtId="164" xfId="0" applyAlignment="1" applyBorder="1" applyFont="1" applyNumberFormat="1">
      <alignment horizontal="center" readingOrder="0" shrinkToFit="0" wrapText="1"/>
    </xf>
    <xf borderId="1" fillId="8" fontId="13" numFmtId="164" xfId="0" applyAlignment="1" applyBorder="1" applyFont="1" applyNumberFormat="1">
      <alignment horizontal="center" shrinkToFit="0" wrapText="1"/>
    </xf>
    <xf borderId="0" fillId="0" fontId="13" numFmtId="172" xfId="0" applyAlignment="1" applyFont="1" applyNumberFormat="1">
      <alignment readingOrder="0" shrinkToFit="0" wrapText="1"/>
    </xf>
    <xf borderId="1" fillId="0" fontId="17" numFmtId="166" xfId="0" applyAlignment="1" applyBorder="1" applyFont="1" applyNumberFormat="1">
      <alignment horizontal="left" readingOrder="0" shrinkToFit="0" vertical="bottom" wrapText="1"/>
    </xf>
    <xf borderId="0" fillId="0" fontId="17" numFmtId="0" xfId="0" applyAlignment="1" applyFont="1">
      <alignment horizontal="center" shrinkToFit="0" vertical="bottom" wrapText="1"/>
    </xf>
    <xf borderId="1" fillId="0" fontId="17" numFmtId="0" xfId="0" applyAlignment="1" applyBorder="1" applyFont="1">
      <alignment shrinkToFit="0" vertical="bottom" wrapText="1"/>
    </xf>
    <xf borderId="0" fillId="0" fontId="13" numFmtId="1" xfId="0" applyAlignment="1" applyFont="1" applyNumberFormat="1">
      <alignment readingOrder="0" shrinkToFit="0" wrapText="1"/>
    </xf>
    <xf borderId="0" fillId="0" fontId="13" numFmtId="1" xfId="0" applyAlignment="1" applyFont="1" applyNumberFormat="1">
      <alignment horizontal="center" readingOrder="0" shrinkToFit="0" wrapText="1"/>
    </xf>
    <xf borderId="0" fillId="0" fontId="13" numFmtId="166" xfId="0" applyAlignment="1" applyFont="1" applyNumberFormat="1">
      <alignment shrinkToFit="0" wrapText="1"/>
    </xf>
    <xf borderId="1" fillId="28" fontId="13" numFmtId="164" xfId="0" applyAlignment="1" applyBorder="1" applyFont="1" applyNumberFormat="1">
      <alignment readingOrder="0" shrinkToFit="0" wrapText="1"/>
    </xf>
    <xf borderId="1" fillId="28" fontId="13" numFmtId="164" xfId="0" applyAlignment="1" applyBorder="1" applyFont="1" applyNumberFormat="1">
      <alignment shrinkToFit="0" wrapText="1"/>
    </xf>
    <xf borderId="0" fillId="0" fontId="17" numFmtId="0" xfId="0" applyAlignment="1" applyFont="1">
      <alignment horizontal="center" readingOrder="0" shrinkToFit="0" vertical="bottom" wrapText="1"/>
    </xf>
    <xf borderId="1" fillId="0" fontId="17" numFmtId="0" xfId="0" applyAlignment="1" applyBorder="1" applyFont="1">
      <alignment readingOrder="0" shrinkToFit="0" vertical="bottom" wrapText="1"/>
    </xf>
    <xf borderId="0" fillId="0" fontId="17" numFmtId="0" xfId="0" applyAlignment="1" applyFont="1">
      <alignment shrinkToFit="0" vertical="bottom" wrapText="1"/>
    </xf>
    <xf borderId="0" fillId="28" fontId="13" numFmtId="164" xfId="0" applyAlignment="1" applyFont="1" applyNumberFormat="1">
      <alignment shrinkToFit="0" wrapText="1"/>
    </xf>
    <xf borderId="0" fillId="0" fontId="5" numFmtId="164" xfId="0" applyAlignment="1" applyFont="1" applyNumberFormat="1">
      <alignment shrinkToFit="0" wrapText="1"/>
    </xf>
    <xf borderId="1" fillId="0" fontId="17" numFmtId="0" xfId="0" applyAlignment="1" applyBorder="1" applyFont="1">
      <alignment horizontal="center" readingOrder="0" shrinkToFit="0" vertical="bottom" wrapText="1"/>
    </xf>
    <xf borderId="1" fillId="2" fontId="17" numFmtId="0" xfId="0" applyAlignment="1" applyBorder="1" applyFont="1">
      <alignment readingOrder="0" shrinkToFit="0" vertical="bottom" wrapText="1"/>
    </xf>
    <xf borderId="1" fillId="2" fontId="17" numFmtId="0" xfId="0" applyAlignment="1" applyBorder="1" applyFont="1">
      <alignment horizontal="left" readingOrder="0" shrinkToFit="0" vertical="bottom" wrapText="1"/>
    </xf>
    <xf borderId="1" fillId="2" fontId="17" numFmtId="0" xfId="0" applyAlignment="1" applyBorder="1" applyFont="1">
      <alignment horizontal="center" readingOrder="0" shrinkToFit="0" vertical="bottom" wrapText="1"/>
    </xf>
    <xf borderId="0" fillId="0" fontId="17" numFmtId="0" xfId="0" applyAlignment="1" applyFont="1">
      <alignment readingOrder="0" shrinkToFit="0" vertical="bottom" wrapText="1"/>
    </xf>
    <xf borderId="1" fillId="0" fontId="45" numFmtId="0" xfId="0" applyAlignment="1" applyBorder="1" applyFont="1">
      <alignment readingOrder="0" shrinkToFit="0" wrapText="1"/>
    </xf>
    <xf borderId="1" fillId="0" fontId="45" numFmtId="164" xfId="0" applyAlignment="1" applyBorder="1" applyFont="1" applyNumberFormat="1">
      <alignment horizontal="center" readingOrder="0" shrinkToFit="0" wrapText="1"/>
    </xf>
    <xf borderId="1" fillId="0" fontId="45" numFmtId="1" xfId="0" applyAlignment="1" applyBorder="1" applyFont="1" applyNumberFormat="1">
      <alignment horizontal="center" readingOrder="0" shrinkToFit="0" wrapText="1"/>
    </xf>
    <xf borderId="1" fillId="2" fontId="25" numFmtId="0" xfId="0" applyAlignment="1" applyBorder="1" applyFont="1">
      <alignment readingOrder="0" shrinkToFit="0" wrapText="1"/>
    </xf>
    <xf borderId="1" fillId="2" fontId="25" numFmtId="0" xfId="0" applyAlignment="1" applyBorder="1" applyFont="1">
      <alignment horizontal="center" readingOrder="0" shrinkToFit="0" wrapText="1"/>
    </xf>
    <xf borderId="1" fillId="0" fontId="45" numFmtId="164" xfId="0" applyAlignment="1" applyBorder="1" applyFont="1" applyNumberFormat="1">
      <alignment horizontal="center" readingOrder="0" shrinkToFit="0" wrapText="0"/>
    </xf>
    <xf borderId="1" fillId="0" fontId="45" numFmtId="1" xfId="0" applyAlignment="1" applyBorder="1" applyFont="1" applyNumberFormat="1">
      <alignment horizontal="center" readingOrder="0" shrinkToFit="0" wrapText="0"/>
    </xf>
    <xf borderId="1" fillId="0" fontId="45" numFmtId="0" xfId="0" applyAlignment="1" applyBorder="1" applyFont="1">
      <alignment shrinkToFit="0" wrapText="0"/>
    </xf>
    <xf borderId="1" fillId="0" fontId="45" numFmtId="164" xfId="0" applyAlignment="1" applyBorder="1" applyFont="1" applyNumberFormat="1">
      <alignment horizontal="center" shrinkToFit="0" wrapText="0"/>
    </xf>
    <xf borderId="1" fillId="0" fontId="45" numFmtId="1" xfId="0" applyAlignment="1" applyBorder="1" applyFont="1" applyNumberFormat="1">
      <alignment horizontal="center" shrinkToFit="0" wrapText="0"/>
    </xf>
    <xf borderId="0" fillId="0" fontId="110" numFmtId="0" xfId="0" applyAlignment="1" applyFont="1">
      <alignment horizontal="center" readingOrder="0" shrinkToFit="0" vertical="bottom" wrapText="0"/>
    </xf>
    <xf borderId="1" fillId="8" fontId="25" numFmtId="0" xfId="0" applyAlignment="1" applyBorder="1" applyFont="1">
      <alignment readingOrder="0" shrinkToFit="0" wrapText="1"/>
    </xf>
    <xf borderId="1" fillId="8" fontId="25" numFmtId="0" xfId="0" applyAlignment="1" applyBorder="1" applyFont="1">
      <alignment horizontal="center" readingOrder="0" shrinkToFit="0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readingOrder="0" shrinkToFit="0" vertical="center" wrapText="1"/>
    </xf>
    <xf borderId="1" fillId="0" fontId="25" numFmtId="0" xfId="0" applyAlignment="1" applyBorder="1" applyFont="1">
      <alignment readingOrder="0" shrinkToFit="0" vertical="bottom" wrapText="1"/>
    </xf>
    <xf borderId="47" fillId="0" fontId="22" numFmtId="0" xfId="0" applyAlignment="1" applyBorder="1" applyFont="1">
      <alignment shrinkToFit="0" vertical="bottom" wrapText="1"/>
    </xf>
    <xf borderId="23" fillId="0" fontId="17" numFmtId="0" xfId="0" applyAlignment="1" applyBorder="1" applyFont="1">
      <alignment horizontal="center" shrinkToFit="0" wrapText="1"/>
    </xf>
    <xf borderId="23" fillId="0" fontId="45" numFmtId="0" xfId="0" applyAlignment="1" applyBorder="1" applyFont="1">
      <alignment shrinkToFit="0" vertical="bottom" wrapText="1"/>
    </xf>
    <xf borderId="23" fillId="0" fontId="45" numFmtId="164" xfId="0" applyAlignment="1" applyBorder="1" applyFont="1" applyNumberFormat="1">
      <alignment horizontal="center" readingOrder="0" shrinkToFit="0" vertical="bottom" wrapText="1"/>
    </xf>
    <xf borderId="23" fillId="0" fontId="45" numFmtId="1" xfId="0" applyAlignment="1" applyBorder="1" applyFont="1" applyNumberFormat="1">
      <alignment horizontal="center" shrinkToFit="0" vertical="bottom" wrapText="1"/>
    </xf>
    <xf borderId="23" fillId="0" fontId="45" numFmtId="164" xfId="0" applyAlignment="1" applyBorder="1" applyFont="1" applyNumberFormat="1">
      <alignment horizontal="center" shrinkToFit="0" vertical="bottom" wrapText="1"/>
    </xf>
    <xf borderId="23" fillId="2" fontId="45" numFmtId="164" xfId="0" applyAlignment="1" applyBorder="1" applyFont="1" applyNumberFormat="1">
      <alignment horizontal="center" readingOrder="0" shrinkToFit="0" vertical="bottom" wrapText="1"/>
    </xf>
    <xf borderId="23" fillId="6" fontId="22" numFmtId="1" xfId="0" applyAlignment="1" applyBorder="1" applyFont="1" applyNumberFormat="1">
      <alignment horizontal="center" shrinkToFit="0" vertical="bottom" wrapText="1"/>
    </xf>
    <xf borderId="23" fillId="0" fontId="22" numFmtId="164" xfId="0" applyAlignment="1" applyBorder="1" applyFont="1" applyNumberFormat="1">
      <alignment horizontal="center" shrinkToFit="0" vertical="bottom" wrapText="1"/>
    </xf>
    <xf borderId="6" fillId="0" fontId="22" numFmtId="164" xfId="0" applyAlignment="1" applyBorder="1" applyFont="1" applyNumberFormat="1">
      <alignment horizontal="center" readingOrder="0" shrinkToFit="0" vertical="bottom" wrapText="1"/>
    </xf>
    <xf borderId="0" fillId="0" fontId="22" numFmtId="172" xfId="0" applyAlignment="1" applyFont="1" applyNumberFormat="1">
      <alignment shrinkToFit="0" vertical="bottom" wrapText="1"/>
    </xf>
    <xf borderId="0" fillId="0" fontId="22" numFmtId="164" xfId="0" applyAlignment="1" applyFont="1" applyNumberFormat="1">
      <alignment shrinkToFit="0" vertical="bottom" wrapText="1"/>
    </xf>
    <xf borderId="1" fillId="44" fontId="45" numFmtId="164" xfId="0" applyAlignment="1" applyBorder="1" applyFill="1" applyFont="1" applyNumberFormat="1">
      <alignment horizontal="center" readingOrder="0" shrinkToFit="0" wrapText="0"/>
    </xf>
    <xf borderId="1" fillId="2" fontId="45" numFmtId="164" xfId="0" applyAlignment="1" applyBorder="1" applyFont="1" applyNumberFormat="1">
      <alignment horizontal="center" readingOrder="0" shrinkToFit="0" wrapText="0"/>
    </xf>
    <xf borderId="1" fillId="6" fontId="13" numFmtId="1" xfId="0" applyAlignment="1" applyBorder="1" applyFont="1" applyNumberFormat="1">
      <alignment horizontal="center" readingOrder="0" shrinkToFit="0" wrapText="1"/>
    </xf>
    <xf borderId="0" fillId="0" fontId="25" numFmtId="0" xfId="0" applyAlignment="1" applyFont="1">
      <alignment readingOrder="0" shrinkToFit="0" vertical="bottom" wrapText="1"/>
    </xf>
    <xf borderId="0" fillId="0" fontId="45" numFmtId="164" xfId="0" applyAlignment="1" applyFont="1" applyNumberFormat="1">
      <alignment horizontal="center" readingOrder="0" shrinkToFit="0" wrapText="0"/>
    </xf>
    <xf borderId="0" fillId="0" fontId="45" numFmtId="1" xfId="0" applyAlignment="1" applyFont="1" applyNumberFormat="1">
      <alignment horizontal="center" readingOrder="0" shrinkToFit="0" wrapText="0"/>
    </xf>
    <xf borderId="23" fillId="2" fontId="45" numFmtId="0" xfId="0" applyAlignment="1" applyBorder="1" applyFont="1">
      <alignment horizontal="center" readingOrder="0" shrinkToFit="0" vertical="bottom" wrapText="1"/>
    </xf>
    <xf borderId="0" fillId="0" fontId="53" numFmtId="172" xfId="0" applyAlignment="1" applyFont="1" applyNumberFormat="1">
      <alignment horizontal="center" readingOrder="0" shrinkToFit="0" wrapText="1"/>
    </xf>
    <xf borderId="0" fillId="0" fontId="53" numFmtId="164" xfId="0" applyAlignment="1" applyFont="1" applyNumberFormat="1">
      <alignment horizontal="center" readingOrder="0" shrinkToFit="0" wrapText="1"/>
    </xf>
    <xf borderId="1" fillId="0" fontId="111" numFmtId="164" xfId="0" applyAlignment="1" applyBorder="1" applyFont="1" applyNumberFormat="1">
      <alignment horizontal="center" readingOrder="0" shrinkToFit="0" wrapText="0"/>
    </xf>
    <xf borderId="1" fillId="2" fontId="45" numFmtId="0" xfId="0" applyAlignment="1" applyBorder="1" applyFont="1">
      <alignment horizontal="center" readingOrder="0" shrinkToFit="0" wrapText="0"/>
    </xf>
    <xf borderId="0" fillId="10" fontId="17" numFmtId="0" xfId="0" applyAlignment="1" applyFont="1">
      <alignment horizontal="center" readingOrder="0" shrinkToFit="0" vertical="bottom" wrapText="1"/>
    </xf>
    <xf borderId="0" fillId="10" fontId="25" numFmtId="0" xfId="0" applyAlignment="1" applyFont="1">
      <alignment readingOrder="0" shrinkToFit="0" vertical="bottom" wrapText="1"/>
    </xf>
    <xf borderId="0" fillId="10" fontId="45" numFmtId="164" xfId="0" applyAlignment="1" applyFont="1" applyNumberFormat="1">
      <alignment horizontal="center" readingOrder="0" shrinkToFit="0" wrapText="0"/>
    </xf>
    <xf borderId="0" fillId="10" fontId="45" numFmtId="1" xfId="0" applyAlignment="1" applyFont="1" applyNumberFormat="1">
      <alignment horizontal="center" readingOrder="0" shrinkToFit="0" wrapText="0"/>
    </xf>
    <xf borderId="0" fillId="10" fontId="13" numFmtId="1" xfId="0" applyAlignment="1" applyFont="1" applyNumberFormat="1">
      <alignment horizontal="center" readingOrder="0" shrinkToFit="0" wrapText="1"/>
    </xf>
    <xf borderId="0" fillId="10" fontId="13" numFmtId="164" xfId="0" applyAlignment="1" applyFont="1" applyNumberFormat="1">
      <alignment horizontal="center" shrinkToFit="0" wrapText="1"/>
    </xf>
    <xf borderId="0" fillId="10" fontId="13" numFmtId="164" xfId="0" applyAlignment="1" applyFont="1" applyNumberFormat="1">
      <alignment horizontal="center" readingOrder="0" shrinkToFit="0" wrapText="1"/>
    </xf>
    <xf borderId="0" fillId="10" fontId="13" numFmtId="0" xfId="0" applyAlignment="1" applyFont="1">
      <alignment shrinkToFit="0" wrapText="1"/>
    </xf>
    <xf borderId="0" fillId="10" fontId="13" numFmtId="172" xfId="0" applyAlignment="1" applyFont="1" applyNumberFormat="1">
      <alignment shrinkToFit="0" wrapText="1"/>
    </xf>
    <xf borderId="0" fillId="10" fontId="13" numFmtId="164" xfId="0" applyAlignment="1" applyFont="1" applyNumberFormat="1">
      <alignment shrinkToFit="0" wrapText="1"/>
    </xf>
    <xf borderId="1" fillId="0" fontId="112" numFmtId="164" xfId="0" applyAlignment="1" applyBorder="1" applyFont="1" applyNumberFormat="1">
      <alignment horizontal="center" readingOrder="0" shrinkToFit="0" vertical="center" wrapText="1"/>
    </xf>
    <xf borderId="1" fillId="0" fontId="10" numFmtId="165" xfId="0" applyAlignment="1" applyBorder="1" applyFont="1" applyNumberFormat="1">
      <alignment horizontal="center" readingOrder="0" shrinkToFit="0" vertical="center" wrapText="1"/>
    </xf>
    <xf borderId="0" fillId="0" fontId="13" numFmtId="2" xfId="0" applyAlignment="1" applyFont="1" applyNumberFormat="1">
      <alignment horizontal="center" readingOrder="0" shrinkToFit="0" wrapText="1"/>
    </xf>
    <xf borderId="0" fillId="0" fontId="113" numFmtId="0" xfId="0" applyAlignment="1" applyFont="1">
      <alignment readingOrder="0" shrinkToFit="0" wrapText="1"/>
    </xf>
    <xf borderId="0" fillId="28" fontId="13" numFmtId="164" xfId="0" applyAlignment="1" applyFont="1" applyNumberFormat="1">
      <alignment horizontal="center" readingOrder="0" shrinkToFit="0" wrapText="1"/>
    </xf>
    <xf borderId="1" fillId="0" fontId="62" numFmtId="0" xfId="0" applyAlignment="1" applyBorder="1" applyFont="1">
      <alignment readingOrder="0" shrinkToFit="0" vertical="bottom" wrapText="1"/>
    </xf>
    <xf borderId="23" fillId="0" fontId="45" numFmtId="0" xfId="0" applyAlignment="1" applyBorder="1" applyFont="1">
      <alignment horizontal="center" readingOrder="0" shrinkToFit="0" vertical="bottom" wrapText="0"/>
    </xf>
    <xf borderId="0" fillId="2" fontId="13" numFmtId="1" xfId="0" applyAlignment="1" applyFont="1" applyNumberFormat="1">
      <alignment horizontal="center" readingOrder="0" shrinkToFit="0" wrapText="1"/>
    </xf>
    <xf borderId="22" fillId="0" fontId="25" numFmtId="0" xfId="0" applyAlignment="1" applyBorder="1" applyFont="1">
      <alignment readingOrder="0" shrinkToFit="0" vertical="bottom" wrapText="1"/>
    </xf>
    <xf borderId="7" fillId="0" fontId="45" numFmtId="0" xfId="0" applyAlignment="1" applyBorder="1" applyFont="1">
      <alignment horizontal="center" readingOrder="0" shrinkToFit="0" vertical="bottom" wrapText="0"/>
    </xf>
    <xf borderId="22" fillId="0" fontId="62" numFmtId="0" xfId="0" applyAlignment="1" applyBorder="1" applyFont="1">
      <alignment readingOrder="0" shrinkToFit="0" vertical="bottom" wrapText="1"/>
    </xf>
    <xf borderId="22" fillId="0" fontId="25" numFmtId="0" xfId="0" applyAlignment="1" applyBorder="1" applyFont="1">
      <alignment readingOrder="0" shrinkToFit="0" wrapText="1"/>
    </xf>
    <xf borderId="22" fillId="0" fontId="45" numFmtId="0" xfId="0" applyAlignment="1" applyBorder="1" applyFont="1">
      <alignment readingOrder="0" shrinkToFit="0" vertical="bottom" wrapText="0"/>
    </xf>
    <xf borderId="0" fillId="0" fontId="69" numFmtId="186" xfId="0" applyAlignment="1" applyFont="1" applyNumberFormat="1">
      <alignment readingOrder="0" shrinkToFit="0" wrapText="1"/>
    </xf>
    <xf borderId="1" fillId="8" fontId="17" numFmtId="0" xfId="0" applyAlignment="1" applyBorder="1" applyFont="1">
      <alignment readingOrder="0" shrinkToFit="0" vertical="bottom" wrapText="1"/>
    </xf>
    <xf borderId="1" fillId="0" fontId="25" numFmtId="0" xfId="0" applyAlignment="1" applyBorder="1" applyFont="1">
      <alignment readingOrder="0" shrinkToFit="0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3" numFmtId="1" xfId="0" applyAlignment="1" applyFont="1" applyNumberFormat="1">
      <alignment horizontal="center" shrinkToFit="0" vertical="center" wrapText="1"/>
    </xf>
    <xf borderId="0" fillId="0" fontId="13" numFmtId="1" xfId="0" applyAlignment="1" applyFont="1" applyNumberFormat="1">
      <alignment horizontal="center" readingOrder="0" shrinkToFit="0" vertical="center" wrapText="1"/>
    </xf>
    <xf borderId="0" fillId="0" fontId="13" numFmtId="172" xfId="0" applyAlignment="1" applyFont="1" applyNumberFormat="1">
      <alignment shrinkToFit="0" vertical="center" wrapText="1"/>
    </xf>
    <xf borderId="0" fillId="0" fontId="13" numFmtId="164" xfId="0" applyAlignment="1" applyFont="1" applyNumberFormat="1">
      <alignment shrinkToFit="0" vertical="center" wrapText="1"/>
    </xf>
    <xf borderId="1" fillId="8" fontId="17" numFmtId="0" xfId="0" applyAlignment="1" applyBorder="1" applyFont="1">
      <alignment readingOrder="0" shrinkToFit="0" vertical="center" wrapText="1"/>
    </xf>
    <xf borderId="0" fillId="0" fontId="13" numFmtId="187" xfId="0" applyAlignment="1" applyFont="1" applyNumberFormat="1">
      <alignment readingOrder="0" shrinkToFit="0" wrapText="1"/>
    </xf>
    <xf borderId="0" fillId="0" fontId="62" numFmtId="0" xfId="0" applyAlignment="1" applyFont="1">
      <alignment readingOrder="0" shrinkToFit="0" vertical="bottom" wrapText="1"/>
    </xf>
    <xf borderId="0" fillId="8" fontId="25" numFmtId="0" xfId="0" applyAlignment="1" applyFont="1">
      <alignment readingOrder="0" shrinkToFit="0" wrapText="1"/>
    </xf>
    <xf borderId="0" fillId="8" fontId="114" numFmtId="188" xfId="0" applyAlignment="1" applyFont="1" applyNumberFormat="1">
      <alignment horizontal="center" readingOrder="0" shrinkToFit="0" wrapText="1"/>
    </xf>
    <xf borderId="1" fillId="0" fontId="17" numFmtId="164" xfId="0" applyAlignment="1" applyBorder="1" applyFont="1" applyNumberFormat="1">
      <alignment readingOrder="0" shrinkToFit="0" vertical="bottom" wrapText="1"/>
    </xf>
    <xf borderId="1" fillId="0" fontId="46" numFmtId="0" xfId="0" applyAlignment="1" applyBorder="1" applyFont="1">
      <alignment horizontal="center" readingOrder="0" shrinkToFit="0" wrapText="1"/>
    </xf>
    <xf borderId="1" fillId="0" fontId="52" numFmtId="0" xfId="0" applyAlignment="1" applyBorder="1" applyFont="1">
      <alignment horizontal="left" readingOrder="0" shrinkToFit="0" wrapText="1"/>
    </xf>
    <xf borderId="1" fillId="0" fontId="52" numFmtId="0" xfId="0" applyAlignment="1" applyBorder="1" applyFont="1">
      <alignment readingOrder="0" shrinkToFit="0" wrapText="1"/>
    </xf>
    <xf borderId="1" fillId="0" fontId="52" numFmtId="0" xfId="0" applyAlignment="1" applyBorder="1" applyFont="1">
      <alignment shrinkToFit="0" wrapText="1"/>
    </xf>
    <xf borderId="1" fillId="0" fontId="52" numFmtId="0" xfId="0" applyAlignment="1" applyBorder="1" applyFont="1">
      <alignment horizontal="right" readingOrder="0" shrinkToFit="0" wrapText="1"/>
    </xf>
    <xf borderId="1" fillId="0" fontId="34" numFmtId="0" xfId="0" applyAlignment="1" applyBorder="1" applyFont="1">
      <alignment readingOrder="0" shrinkToFit="0" wrapText="1"/>
    </xf>
    <xf borderId="1" fillId="0" fontId="34" numFmtId="164" xfId="0" applyAlignment="1" applyBorder="1" applyFont="1" applyNumberFormat="1">
      <alignment shrinkToFit="0" wrapText="1"/>
    </xf>
    <xf borderId="0" fillId="0" fontId="52" numFmtId="0" xfId="0" applyAlignment="1" applyFont="1">
      <alignment shrinkToFit="0" wrapText="1"/>
    </xf>
    <xf borderId="1" fillId="8" fontId="34" numFmtId="0" xfId="0" applyAlignment="1" applyBorder="1" applyFont="1">
      <alignment horizontal="center" readingOrder="0" shrinkToFit="0" wrapText="1"/>
    </xf>
    <xf borderId="1" fillId="8" fontId="27" numFmtId="0" xfId="0" applyAlignment="1" applyBorder="1" applyFont="1">
      <alignment readingOrder="0" shrinkToFit="0" wrapText="1"/>
    </xf>
    <xf borderId="0" fillId="8" fontId="13" numFmtId="0" xfId="0" applyAlignment="1" applyFont="1">
      <alignment shrinkToFit="0" wrapText="1"/>
    </xf>
    <xf borderId="1" fillId="8" fontId="13" numFmtId="0" xfId="0" applyAlignment="1" applyBorder="1" applyFont="1">
      <alignment horizontal="center" readingOrder="0" shrinkToFit="0" wrapText="1"/>
    </xf>
    <xf borderId="1" fillId="8" fontId="13" numFmtId="0" xfId="0" applyAlignment="1" applyBorder="1" applyFont="1">
      <alignment horizontal="left" readingOrder="0" shrinkToFit="0" wrapText="1"/>
    </xf>
    <xf borderId="0" fillId="8" fontId="13" numFmtId="0" xfId="0" applyAlignment="1" applyFont="1">
      <alignment readingOrder="0" shrinkToFit="0" wrapText="1"/>
    </xf>
    <xf borderId="1" fillId="8" fontId="22" numFmtId="0" xfId="0" applyAlignment="1" applyBorder="1" applyFont="1">
      <alignment horizontal="center" shrinkToFit="0" vertical="bottom" wrapText="1"/>
    </xf>
    <xf borderId="1" fillId="8" fontId="22" numFmtId="0" xfId="0" applyAlignment="1" applyBorder="1" applyFont="1">
      <alignment shrinkToFit="0" vertical="bottom" wrapText="1"/>
    </xf>
    <xf borderId="1" fillId="8" fontId="22" numFmtId="0" xfId="0" applyAlignment="1" applyBorder="1" applyFont="1">
      <alignment horizontal="center" readingOrder="0" shrinkToFit="0" vertical="bottom" wrapText="1"/>
    </xf>
    <xf borderId="1" fillId="2" fontId="22" numFmtId="0" xfId="0" applyAlignment="1" applyBorder="1" applyFont="1">
      <alignment horizontal="center" readingOrder="0" shrinkToFit="0" vertical="bottom" wrapText="1"/>
    </xf>
    <xf borderId="0" fillId="8" fontId="13" numFmtId="0" xfId="0" applyAlignment="1" applyFont="1">
      <alignment readingOrder="0" shrinkToFit="0" wrapText="1"/>
    </xf>
    <xf borderId="1" fillId="8" fontId="13" numFmtId="0" xfId="0" applyAlignment="1" applyBorder="1" applyFont="1">
      <alignment readingOrder="0" shrinkToFit="0" wrapText="1"/>
    </xf>
    <xf borderId="1" fillId="8" fontId="34" numFmtId="0" xfId="0" applyAlignment="1" applyBorder="1" applyFont="1">
      <alignment readingOrder="0" shrinkToFit="0" wrapText="1"/>
    </xf>
    <xf borderId="1" fillId="8" fontId="13" numFmtId="0" xfId="0" applyAlignment="1" applyBorder="1" applyFont="1">
      <alignment readingOrder="0" shrinkToFit="0" wrapText="1"/>
    </xf>
    <xf borderId="1" fillId="8" fontId="13" numFmtId="0" xfId="0" applyAlignment="1" applyBorder="1" applyFont="1">
      <alignment shrinkToFit="0" wrapText="1"/>
    </xf>
    <xf borderId="1" fillId="8" fontId="34" numFmtId="0" xfId="0" applyAlignment="1" applyBorder="1" applyFont="1">
      <alignment shrinkToFit="0" wrapText="1"/>
    </xf>
    <xf borderId="0" fillId="8" fontId="13" numFmtId="0" xfId="0" applyAlignment="1" applyFont="1">
      <alignment horizontal="left" readingOrder="0" shrinkToFit="0" wrapText="1"/>
    </xf>
    <xf borderId="1" fillId="8" fontId="22" numFmtId="0" xfId="0" applyAlignment="1" applyBorder="1" applyFont="1">
      <alignment readingOrder="0" shrinkToFit="0" vertical="bottom" wrapText="1"/>
    </xf>
    <xf borderId="15" fillId="8" fontId="13" numFmtId="0" xfId="0" applyAlignment="1" applyBorder="1" applyFont="1">
      <alignment readingOrder="0" shrinkToFit="0" wrapText="1"/>
    </xf>
    <xf borderId="0" fillId="8" fontId="27" numFmtId="0" xfId="0" applyAlignment="1" applyFont="1">
      <alignment readingOrder="0" shrinkToFit="0" wrapText="1"/>
    </xf>
    <xf borderId="1" fillId="30" fontId="27" numFmtId="0" xfId="0" applyAlignment="1" applyBorder="1" applyFont="1">
      <alignment readingOrder="0" shrinkToFit="0" wrapText="1"/>
    </xf>
    <xf borderId="23" fillId="8" fontId="13" numFmtId="0" xfId="0" applyAlignment="1" applyBorder="1" applyFont="1">
      <alignment horizontal="left" readingOrder="0" shrinkToFit="0" wrapText="1"/>
    </xf>
    <xf borderId="23" fillId="2" fontId="13" numFmtId="0" xfId="0" applyAlignment="1" applyBorder="1" applyFont="1">
      <alignment horizontal="center" readingOrder="0" shrinkToFit="0" wrapText="1"/>
    </xf>
    <xf borderId="0" fillId="8" fontId="22" numFmtId="0" xfId="0" applyAlignment="1" applyFont="1">
      <alignment shrinkToFit="0" vertical="bottom" wrapText="1"/>
    </xf>
    <xf borderId="0" fillId="8" fontId="22" numFmtId="0" xfId="0" applyAlignment="1" applyFont="1">
      <alignment shrinkToFit="0" vertical="bottom" wrapText="1"/>
    </xf>
    <xf borderId="0" fillId="8" fontId="34" numFmtId="0" xfId="0" applyAlignment="1" applyFont="1">
      <alignment readingOrder="0" shrinkToFit="0" wrapText="1"/>
    </xf>
    <xf borderId="23" fillId="8" fontId="22" numFmtId="0" xfId="0" applyAlignment="1" applyBorder="1" applyFont="1">
      <alignment horizontal="center" readingOrder="0" shrinkToFit="0" vertical="bottom" wrapText="1"/>
    </xf>
    <xf borderId="23" fillId="8" fontId="22" numFmtId="0" xfId="0" applyAlignment="1" applyBorder="1" applyFont="1">
      <alignment shrinkToFit="0" vertical="bottom" wrapText="1"/>
    </xf>
    <xf borderId="23" fillId="8" fontId="13" numFmtId="0" xfId="0" applyAlignment="1" applyBorder="1" applyFont="1">
      <alignment horizontal="center" shrinkToFit="0" wrapText="1"/>
    </xf>
    <xf borderId="1" fillId="8" fontId="27" numFmtId="0" xfId="0" applyAlignment="1" applyBorder="1" applyFont="1">
      <alignment shrinkToFit="0" wrapText="1"/>
    </xf>
    <xf borderId="1" fillId="8" fontId="13" numFmtId="0" xfId="0" applyAlignment="1" applyBorder="1" applyFont="1">
      <alignment horizontal="center" shrinkToFit="0" wrapText="1"/>
    </xf>
    <xf borderId="1" fillId="8" fontId="13" numFmtId="0" xfId="0" applyAlignment="1" applyBorder="1" applyFont="1">
      <alignment horizontal="left" shrinkToFit="0" wrapText="1"/>
    </xf>
    <xf borderId="1" fillId="8" fontId="27" numFmtId="0" xfId="0" applyAlignment="1" applyBorder="1" applyFont="1">
      <alignment horizontal="left" readingOrder="0" shrinkToFit="0" wrapText="1"/>
    </xf>
    <xf borderId="0" fillId="8" fontId="13" numFmtId="0" xfId="0" applyAlignment="1" applyFont="1">
      <alignment horizontal="center" shrinkToFit="0" wrapText="1"/>
    </xf>
    <xf borderId="0" fillId="8" fontId="13" numFmtId="0" xfId="0" applyAlignment="1" applyFont="1">
      <alignment horizontal="left" shrinkToFit="0" wrapText="1"/>
    </xf>
    <xf borderId="0" fillId="8" fontId="27" numFmtId="0" xfId="0" applyAlignment="1" applyFont="1">
      <alignment shrinkToFit="0" wrapText="1"/>
    </xf>
    <xf borderId="1" fillId="0" fontId="52" numFmtId="0" xfId="0" applyAlignment="1" applyBorder="1" applyFont="1">
      <alignment horizontal="left" readingOrder="0" shrinkToFit="0" vertical="center" wrapText="1"/>
    </xf>
    <xf borderId="1" fillId="0" fontId="115" numFmtId="0" xfId="0" applyAlignment="1" applyBorder="1" applyFont="1">
      <alignment horizontal="center" readingOrder="0" shrinkToFit="0" vertical="center" wrapText="1"/>
    </xf>
    <xf borderId="1" fillId="0" fontId="80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116" numFmtId="164" xfId="0" applyAlignment="1" applyFont="1" applyNumberFormat="1">
      <alignment horizontal="center" readingOrder="0" shrinkToFit="0" vertical="center" wrapText="1"/>
    </xf>
    <xf borderId="1" fillId="2" fontId="26" numFmtId="189" xfId="0" applyAlignment="1" applyBorder="1" applyFont="1" applyNumberFormat="1">
      <alignment horizontal="center" readingOrder="0" shrinkToFit="0" vertical="center" wrapText="1"/>
    </xf>
    <xf borderId="1" fillId="2" fontId="52" numFmtId="166" xfId="0" applyAlignment="1" applyBorder="1" applyFont="1" applyNumberFormat="1">
      <alignment horizontal="left" readingOrder="0" shrinkToFit="0" vertical="center" wrapText="1"/>
    </xf>
    <xf borderId="1" fillId="2" fontId="26" numFmtId="166" xfId="0" applyAlignment="1" applyBorder="1" applyFont="1" applyNumberFormat="1">
      <alignment horizontal="center" readingOrder="0" shrinkToFit="0" vertical="center" wrapText="1"/>
    </xf>
    <xf borderId="1" fillId="2" fontId="26" numFmtId="0" xfId="0" applyAlignment="1" applyBorder="1" applyFont="1">
      <alignment horizontal="center" readingOrder="0" shrinkToFit="0" vertical="center" wrapText="1"/>
    </xf>
    <xf borderId="1" fillId="2" fontId="26" numFmtId="178" xfId="0" applyAlignment="1" applyBorder="1" applyFont="1" applyNumberFormat="1">
      <alignment horizontal="center" readingOrder="0" shrinkToFit="0" vertical="center" wrapText="1"/>
    </xf>
    <xf borderId="1" fillId="2" fontId="52" numFmtId="0" xfId="0" applyAlignment="1" applyBorder="1" applyFont="1">
      <alignment horizontal="left" readingOrder="0" shrinkToFit="0" vertical="center" wrapText="1"/>
    </xf>
    <xf borderId="0" fillId="45" fontId="116" numFmtId="164" xfId="0" applyAlignment="1" applyFill="1" applyFont="1" applyNumberFormat="1">
      <alignment horizontal="center" readingOrder="0" shrinkToFit="0" vertical="center" wrapText="1"/>
    </xf>
    <xf borderId="0" fillId="26" fontId="26" numFmtId="164" xfId="0" applyAlignment="1" applyFont="1" applyNumberFormat="1">
      <alignment horizontal="center" shrinkToFit="0" vertical="center" wrapText="1"/>
    </xf>
    <xf borderId="0" fillId="23" fontId="116" numFmtId="164" xfId="0" applyAlignment="1" applyFont="1" applyNumberFormat="1">
      <alignment horizontal="center" readingOrder="0" shrinkToFit="0" vertical="center" wrapText="1"/>
    </xf>
    <xf borderId="0" fillId="23" fontId="26" numFmtId="164" xfId="0" applyAlignment="1" applyFont="1" applyNumberFormat="1">
      <alignment horizontal="center" shrinkToFit="0" vertical="center" wrapText="1"/>
    </xf>
    <xf borderId="1" fillId="0" fontId="26" numFmtId="189" xfId="0" applyAlignment="1" applyBorder="1" applyFont="1" applyNumberFormat="1">
      <alignment horizontal="center" readingOrder="0" shrinkToFit="0" vertical="center" wrapText="1"/>
    </xf>
    <xf borderId="0" fillId="0" fontId="116" numFmtId="164" xfId="0" applyAlignment="1" applyFont="1" applyNumberFormat="1">
      <alignment horizontal="center" shrinkToFit="0" vertical="center" wrapText="1"/>
    </xf>
    <xf borderId="0" fillId="0" fontId="26" numFmtId="189" xfId="0" applyAlignment="1" applyFont="1" applyNumberFormat="1">
      <alignment horizontal="center" readingOrder="0" shrinkToFit="0" vertical="center" wrapText="1"/>
    </xf>
    <xf borderId="0" fillId="0" fontId="52" numFmtId="0" xfId="0" applyAlignment="1" applyFont="1">
      <alignment horizontal="left" readingOrder="0" shrinkToFit="0" vertical="center" wrapText="1"/>
    </xf>
    <xf borderId="0" fillId="0" fontId="26" numFmtId="178" xfId="0" applyAlignment="1" applyFont="1" applyNumberFormat="1">
      <alignment horizontal="center" readingOrder="0" shrinkToFit="0" vertical="center" wrapText="1"/>
    </xf>
    <xf borderId="0" fillId="0" fontId="52" numFmtId="0" xfId="0" applyAlignment="1" applyFont="1">
      <alignment horizontal="left" shrinkToFit="0" wrapText="1"/>
    </xf>
    <xf borderId="1" fillId="0" fontId="117" numFmtId="0" xfId="0" applyAlignment="1" applyBorder="1" applyFont="1">
      <alignment horizontal="center" readingOrder="0" shrinkToFit="0" vertical="center" wrapText="1"/>
    </xf>
    <xf borderId="1" fillId="0" fontId="116" numFmtId="0" xfId="0" applyAlignment="1" applyBorder="1" applyFont="1">
      <alignment horizontal="center" readingOrder="0" shrinkToFit="0" vertical="center" wrapText="1"/>
    </xf>
    <xf borderId="0" fillId="0" fontId="3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40" numFmtId="0" xfId="0" applyAlignment="1" applyFont="1">
      <alignment horizontal="left" readingOrder="0" shrinkToFit="0" vertical="center" wrapText="1"/>
    </xf>
    <xf borderId="0" fillId="8" fontId="40" numFmtId="0" xfId="0" applyAlignment="1" applyFont="1">
      <alignment horizontal="center" readingOrder="0" shrinkToFit="0" vertical="center" wrapText="1"/>
    </xf>
    <xf borderId="0" fillId="0" fontId="40" numFmtId="0" xfId="0" applyAlignment="1" applyFont="1">
      <alignment shrinkToFit="0" vertical="center" wrapText="1"/>
    </xf>
    <xf borderId="1" fillId="0" fontId="40" numFmtId="0" xfId="0" applyAlignment="1" applyBorder="1" applyFont="1">
      <alignment horizontal="left" readingOrder="0" shrinkToFit="0" vertical="center" wrapText="1"/>
    </xf>
    <xf borderId="1" fillId="8" fontId="40" numFmtId="0" xfId="0" applyAlignment="1" applyBorder="1" applyFont="1">
      <alignment horizontal="center" readingOrder="0" shrinkToFit="0" vertical="center" wrapText="1"/>
    </xf>
    <xf borderId="1" fillId="8" fontId="49" numFmtId="0" xfId="0" applyAlignment="1" applyBorder="1" applyFont="1">
      <alignment horizontal="center" readingOrder="0" shrinkToFit="0" vertical="center" wrapText="1"/>
    </xf>
    <xf borderId="1" fillId="0" fontId="40" numFmtId="0" xfId="0" applyAlignment="1" applyBorder="1" applyFont="1">
      <alignment readingOrder="0" shrinkToFit="0" vertical="center" wrapText="0"/>
    </xf>
    <xf borderId="1" fillId="0" fontId="53" numFmtId="164" xfId="0" applyAlignment="1" applyBorder="1" applyFont="1" applyNumberFormat="1">
      <alignment readingOrder="0" shrinkToFit="0" vertical="center" wrapText="1"/>
    </xf>
    <xf borderId="1" fillId="0" fontId="82" numFmtId="164" xfId="0" applyAlignment="1" applyBorder="1" applyFont="1" applyNumberFormat="1">
      <alignment readingOrder="0" shrinkToFit="0" vertical="center" wrapText="1"/>
    </xf>
    <xf borderId="1" fillId="0" fontId="117" numFmtId="0" xfId="0" applyAlignment="1" applyBorder="1" applyFont="1">
      <alignment horizontal="center" shrinkToFit="0" wrapText="1"/>
    </xf>
    <xf borderId="1" fillId="0" fontId="82" numFmtId="164" xfId="0" applyAlignment="1" applyBorder="1" applyFont="1" applyNumberFormat="1">
      <alignment shrinkToFit="0" wrapText="1"/>
    </xf>
    <xf borderId="1" fillId="0" fontId="117" numFmtId="0" xfId="0" applyAlignment="1" applyBorder="1" applyFont="1">
      <alignment horizontal="center" readingOrder="0" shrinkToFit="0" wrapText="1"/>
    </xf>
    <xf borderId="1" fillId="0" fontId="82" numFmtId="0" xfId="0" applyAlignment="1" applyBorder="1" applyFont="1">
      <alignment horizontal="left" readingOrder="0" shrinkToFit="0" wrapText="1"/>
    </xf>
    <xf borderId="21" fillId="0" fontId="82" numFmtId="0" xfId="0" applyAlignment="1" applyBorder="1" applyFont="1">
      <alignment horizontal="center" readingOrder="0" shrinkToFit="0" vertical="center" wrapText="1"/>
    </xf>
    <xf borderId="21" fillId="0" fontId="82" numFmtId="0" xfId="0" applyAlignment="1" applyBorder="1" applyFont="1">
      <alignment horizontal="center" shrinkToFit="0" vertical="center" wrapText="1"/>
    </xf>
    <xf borderId="1" fillId="0" fontId="82" numFmtId="0" xfId="0" applyAlignment="1" applyBorder="1" applyFont="1">
      <alignment horizontal="left" readingOrder="0" shrinkToFit="0" vertical="center" wrapText="1"/>
    </xf>
    <xf borderId="1" fillId="0" fontId="82" numFmtId="164" xfId="0" applyAlignment="1" applyBorder="1" applyFont="1" applyNumberFormat="1">
      <alignment horizontal="center" readingOrder="0" shrinkToFit="0" vertical="center" wrapText="1"/>
    </xf>
    <xf borderId="1" fillId="0" fontId="82" numFmtId="164" xfId="0" applyAlignment="1" applyBorder="1" applyFont="1" applyNumberFormat="1">
      <alignment horizontal="center" shrinkToFit="0" wrapText="1"/>
    </xf>
    <xf borderId="0" fillId="0" fontId="82" numFmtId="0" xfId="0" applyAlignment="1" applyFont="1">
      <alignment horizontal="center" shrinkToFit="0" vertical="center" wrapText="1"/>
    </xf>
    <xf borderId="1" fillId="0" fontId="65" numFmtId="0" xfId="0" applyAlignment="1" applyBorder="1" applyFont="1">
      <alignment horizontal="left" readingOrder="0" shrinkToFit="0" wrapText="1"/>
    </xf>
    <xf borderId="1" fillId="0" fontId="118" numFmtId="0" xfId="0" applyAlignment="1" applyBorder="1" applyFont="1">
      <alignment horizontal="center" readingOrder="0" shrinkToFit="0" vertical="center" wrapText="1"/>
    </xf>
    <xf borderId="1" fillId="0" fontId="65" numFmtId="0" xfId="0" applyAlignment="1" applyBorder="1" applyFont="1">
      <alignment horizontal="left" readingOrder="0" shrinkToFit="0" vertical="center" wrapText="1"/>
    </xf>
    <xf borderId="1" fillId="0" fontId="82" numFmtId="0" xfId="0" applyAlignment="1" applyBorder="1" applyFont="1">
      <alignment horizontal="left" shrinkToFit="0" wrapText="1"/>
    </xf>
    <xf borderId="1" fillId="0" fontId="82" numFmtId="0" xfId="0" applyAlignment="1" applyBorder="1" applyFont="1">
      <alignment horizontal="center" readingOrder="0" shrinkToFit="0" vertical="center" wrapText="1"/>
    </xf>
    <xf borderId="15" fillId="0" fontId="53" numFmtId="164" xfId="0" applyAlignment="1" applyBorder="1" applyFont="1" applyNumberFormat="1">
      <alignment horizontal="center" readingOrder="0" shrinkToFit="0" vertical="center" wrapText="1"/>
    </xf>
    <xf borderId="15" fillId="0" fontId="82" numFmtId="164" xfId="0" applyAlignment="1" applyBorder="1" applyFont="1" applyNumberFormat="1">
      <alignment horizontal="center" readingOrder="0" shrinkToFit="0" vertical="center" wrapText="1"/>
    </xf>
    <xf borderId="15" fillId="0" fontId="82" numFmtId="164" xfId="0" applyAlignment="1" applyBorder="1" applyFont="1" applyNumberFormat="1">
      <alignment horizontal="center" shrinkToFit="0" wrapText="1"/>
    </xf>
    <xf borderId="1" fillId="0" fontId="82" numFmtId="0" xfId="0" applyAlignment="1" applyBorder="1" applyFont="1">
      <alignment shrinkToFit="0" wrapText="1"/>
    </xf>
    <xf borderId="0" fillId="0" fontId="119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bottom" wrapText="1"/>
    </xf>
    <xf borderId="0" fillId="0" fontId="13" numFmtId="0" xfId="0" applyAlignment="1" applyFont="1">
      <alignment horizontal="left" shrinkToFit="0" vertical="bottom" wrapText="1"/>
    </xf>
    <xf borderId="48" fillId="0" fontId="120" numFmtId="0" xfId="0" applyAlignment="1" applyBorder="1" applyFont="1">
      <alignment horizontal="center" readingOrder="0" shrinkToFit="0" vertical="bottom" wrapText="1"/>
    </xf>
    <xf borderId="49" fillId="0" fontId="13" numFmtId="0" xfId="0" applyAlignment="1" applyBorder="1" applyFont="1">
      <alignment shrinkToFit="0" wrapText="1"/>
    </xf>
    <xf borderId="50" fillId="0" fontId="13" numFmtId="0" xfId="0" applyAlignment="1" applyBorder="1" applyFont="1">
      <alignment shrinkToFit="0" wrapText="1"/>
    </xf>
    <xf borderId="0" fillId="0" fontId="120" numFmtId="0" xfId="0" applyAlignment="1" applyFont="1">
      <alignment horizontal="center" shrinkToFit="0" wrapText="1"/>
    </xf>
    <xf borderId="51" fillId="0" fontId="120" numFmtId="0" xfId="0" applyAlignment="1" applyBorder="1" applyFont="1">
      <alignment horizontal="center" readingOrder="0" shrinkToFit="0" wrapText="1"/>
    </xf>
    <xf borderId="52" fillId="0" fontId="13" numFmtId="0" xfId="0" applyAlignment="1" applyBorder="1" applyFont="1">
      <alignment shrinkToFit="0" wrapText="1"/>
    </xf>
    <xf borderId="53" fillId="0" fontId="13" numFmtId="0" xfId="0" applyAlignment="1" applyBorder="1" applyFont="1">
      <alignment shrinkToFit="0" wrapText="1"/>
    </xf>
    <xf borderId="26" fillId="0" fontId="120" numFmtId="0" xfId="0" applyAlignment="1" applyBorder="1" applyFont="1">
      <alignment horizontal="center" readingOrder="0" shrinkToFit="0" vertical="bottom" wrapText="1"/>
    </xf>
    <xf borderId="54" fillId="0" fontId="13" numFmtId="0" xfId="0" applyAlignment="1" applyBorder="1" applyFont="1">
      <alignment shrinkToFit="0" wrapText="1"/>
    </xf>
    <xf borderId="0" fillId="0" fontId="120" numFmtId="0" xfId="0" applyAlignment="1" applyFont="1">
      <alignment horizontal="center" readingOrder="0" shrinkToFit="0" vertical="bottom" wrapText="1"/>
    </xf>
    <xf borderId="55" fillId="0" fontId="13" numFmtId="0" xfId="0" applyAlignment="1" applyBorder="1" applyFont="1">
      <alignment horizontal="left" shrinkToFit="0" vertical="bottom" wrapText="1"/>
    </xf>
    <xf borderId="56" fillId="0" fontId="13" numFmtId="0" xfId="0" applyAlignment="1" applyBorder="1" applyFont="1">
      <alignment horizontal="center" shrinkToFit="0" vertical="bottom" wrapText="1"/>
    </xf>
    <xf borderId="57" fillId="0" fontId="13" numFmtId="0" xfId="0" applyAlignment="1" applyBorder="1" applyFont="1">
      <alignment horizontal="left" shrinkToFit="0" vertical="bottom" wrapText="1"/>
    </xf>
    <xf borderId="58" fillId="0" fontId="13" numFmtId="0" xfId="0" applyAlignment="1" applyBorder="1" applyFont="1">
      <alignment horizontal="center" shrinkToFit="0" vertical="bottom" wrapText="1"/>
    </xf>
    <xf borderId="59" fillId="0" fontId="13" numFmtId="0" xfId="0" applyAlignment="1" applyBorder="1" applyFont="1">
      <alignment horizontal="left" shrinkToFit="0" vertical="bottom" wrapText="1"/>
    </xf>
    <xf borderId="60" fillId="0" fontId="13" numFmtId="0" xfId="0" applyAlignment="1" applyBorder="1" applyFont="1">
      <alignment horizontal="center" shrinkToFit="0" vertical="bottom" wrapText="1"/>
    </xf>
    <xf borderId="55" fillId="0" fontId="82" numFmtId="0" xfId="0" applyAlignment="1" applyBorder="1" applyFont="1">
      <alignment horizontal="center" readingOrder="0" shrinkToFit="0" vertical="center" wrapText="1"/>
    </xf>
    <xf borderId="0" fillId="0" fontId="82" numFmtId="0" xfId="0" applyAlignment="1" applyFont="1">
      <alignment horizontal="center" readingOrder="0" shrinkToFit="0" vertical="center" wrapText="1"/>
    </xf>
    <xf borderId="56" fillId="0" fontId="13" numFmtId="0" xfId="0" applyAlignment="1" applyBorder="1" applyFont="1">
      <alignment shrinkToFit="0" wrapText="1"/>
    </xf>
    <xf borderId="57" fillId="0" fontId="82" numFmtId="0" xfId="0" applyAlignment="1" applyBorder="1" applyFont="1">
      <alignment horizontal="center" readingOrder="0" shrinkToFit="0" vertical="center" wrapText="1"/>
    </xf>
    <xf borderId="58" fillId="0" fontId="13" numFmtId="0" xfId="0" applyAlignment="1" applyBorder="1" applyFont="1">
      <alignment shrinkToFit="0" wrapText="1"/>
    </xf>
    <xf borderId="59" fillId="0" fontId="82" numFmtId="0" xfId="0" applyAlignment="1" applyBorder="1" applyFont="1">
      <alignment horizontal="center" readingOrder="0" shrinkToFit="0" vertical="center" wrapText="1"/>
    </xf>
    <xf borderId="60" fillId="0" fontId="13" numFmtId="0" xfId="0" applyAlignment="1" applyBorder="1" applyFont="1">
      <alignment shrinkToFit="0" wrapText="1"/>
    </xf>
    <xf borderId="55" fillId="0" fontId="5" numFmtId="0" xfId="0" applyAlignment="1" applyBorder="1" applyFont="1">
      <alignment horizontal="left" readingOrder="0" shrinkToFit="0" vertical="bottom" wrapText="1"/>
    </xf>
    <xf borderId="0" fillId="0" fontId="13" numFmtId="0" xfId="0" applyAlignment="1" applyFont="1">
      <alignment horizontal="center" readingOrder="0" shrinkToFit="0" vertical="bottom" wrapText="1"/>
    </xf>
    <xf borderId="0" fillId="0" fontId="26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left" readingOrder="0" shrinkToFit="0" vertical="bottom" wrapText="1"/>
    </xf>
    <xf borderId="56" fillId="0" fontId="13" numFmtId="0" xfId="0" applyAlignment="1" applyBorder="1" applyFont="1">
      <alignment horizontal="center" readingOrder="0" shrinkToFit="0" vertical="bottom" wrapText="1"/>
    </xf>
    <xf borderId="57" fillId="0" fontId="5" numFmtId="0" xfId="0" applyAlignment="1" applyBorder="1" applyFont="1">
      <alignment horizontal="left" readingOrder="0" shrinkToFit="0" vertical="bottom" wrapText="1"/>
    </xf>
    <xf borderId="58" fillId="0" fontId="13" numFmtId="0" xfId="0" applyAlignment="1" applyBorder="1" applyFont="1">
      <alignment horizontal="center" readingOrder="0" shrinkToFit="0" vertical="bottom" wrapText="1"/>
    </xf>
    <xf borderId="59" fillId="0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60" fillId="0" fontId="5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55" fillId="0" fontId="51" numFmtId="0" xfId="0" applyAlignment="1" applyBorder="1" applyFont="1">
      <alignment horizontal="left" readingOrder="0" shrinkToFit="0" vertical="bottom" wrapText="1"/>
    </xf>
    <xf borderId="0" fillId="0" fontId="0" numFmtId="0" xfId="0" applyAlignment="1" applyFont="1">
      <alignment horizontal="center" readingOrder="0" shrinkToFit="0" wrapText="0"/>
    </xf>
    <xf borderId="0" fillId="0" fontId="51" numFmtId="0" xfId="0" applyAlignment="1" applyFont="1">
      <alignment horizontal="center" readingOrder="0" shrinkToFit="0" vertical="bottom" wrapText="1"/>
    </xf>
    <xf borderId="0" fillId="0" fontId="51" numFmtId="0" xfId="0" applyAlignment="1" applyFont="1">
      <alignment horizontal="left" readingOrder="0" shrinkToFit="0" vertical="bottom" wrapText="1"/>
    </xf>
    <xf borderId="56" fillId="0" fontId="0" numFmtId="0" xfId="0" applyAlignment="1" applyBorder="1" applyFont="1">
      <alignment horizontal="center" readingOrder="0" shrinkToFit="0" wrapText="0"/>
    </xf>
    <xf borderId="57" fillId="0" fontId="13" numFmtId="0" xfId="0" applyAlignment="1" applyBorder="1" applyFont="1">
      <alignment horizontal="left" readingOrder="0" shrinkToFit="0" vertical="bottom" wrapText="1"/>
    </xf>
    <xf borderId="0" fillId="0" fontId="13" numFmtId="0" xfId="0" applyAlignment="1" applyFont="1">
      <alignment horizontal="center" readingOrder="0" shrinkToFit="0" vertical="bottom" wrapText="1"/>
    </xf>
    <xf borderId="0" fillId="0" fontId="13" numFmtId="0" xfId="0" applyAlignment="1" applyFont="1">
      <alignment horizontal="left" readingOrder="0" shrinkToFit="0" vertical="bottom" wrapText="1"/>
    </xf>
    <xf borderId="58" fillId="0" fontId="13" numFmtId="0" xfId="0" applyAlignment="1" applyBorder="1" applyFont="1">
      <alignment horizontal="center" readingOrder="0" shrinkToFit="0" vertical="bottom" wrapText="1"/>
    </xf>
    <xf borderId="59" fillId="0" fontId="13" numFmtId="0" xfId="0" applyAlignment="1" applyBorder="1" applyFont="1">
      <alignment horizontal="left" readingOrder="0" shrinkToFit="0" vertical="bottom" wrapText="1"/>
    </xf>
    <xf borderId="0" fillId="0" fontId="13" numFmtId="0" xfId="0" applyAlignment="1" applyFont="1">
      <alignment horizontal="center" shrinkToFit="0" vertical="bottom" wrapText="1"/>
    </xf>
    <xf borderId="60" fillId="0" fontId="13" numFmtId="0" xfId="0" applyAlignment="1" applyBorder="1" applyFont="1">
      <alignment horizontal="center" shrinkToFit="0" vertical="bottom" wrapText="1"/>
    </xf>
    <xf borderId="0" fillId="6" fontId="13" numFmtId="0" xfId="0" applyAlignment="1" applyFont="1">
      <alignment readingOrder="0" shrinkToFit="0" vertical="center" wrapText="1"/>
    </xf>
    <xf borderId="0" fillId="12" fontId="13" numFmtId="0" xfId="0" applyAlignment="1" applyFont="1">
      <alignment horizontal="center" readingOrder="0" shrinkToFit="0" vertical="center" wrapText="1"/>
    </xf>
    <xf borderId="0" fillId="12" fontId="13" numFmtId="0" xfId="0" applyAlignment="1" applyFont="1">
      <alignment readingOrder="0" shrinkToFit="0" vertical="center" wrapText="1"/>
    </xf>
    <xf borderId="0" fillId="31" fontId="0" numFmtId="0" xfId="0" applyAlignment="1" applyFont="1">
      <alignment horizontal="center" readingOrder="0" shrinkToFit="0" wrapText="0"/>
    </xf>
    <xf borderId="0" fillId="31" fontId="13" numFmtId="0" xfId="0" applyAlignment="1" applyFont="1">
      <alignment horizontal="center" readingOrder="0" shrinkToFit="0" vertical="bottom" wrapText="1"/>
    </xf>
    <xf borderId="0" fillId="31" fontId="13" numFmtId="0" xfId="0" applyAlignment="1" applyFont="1">
      <alignment horizontal="center" shrinkToFit="0" vertical="bottom" wrapText="1"/>
    </xf>
    <xf borderId="0" fillId="27" fontId="13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0" fontId="51" numFmtId="0" xfId="0" applyAlignment="1" applyFont="1">
      <alignment horizontal="left" readingOrder="0" shrinkToFit="0" vertical="bottom" wrapText="1"/>
    </xf>
    <xf borderId="0" fillId="46" fontId="51" numFmtId="0" xfId="0" applyAlignment="1" applyFill="1" applyFont="1">
      <alignment horizontal="left" readingOrder="0" shrinkToFit="0" vertical="bottom" wrapText="1"/>
    </xf>
    <xf borderId="0" fillId="46" fontId="0" numFmtId="0" xfId="0" applyAlignment="1" applyFont="1">
      <alignment horizontal="center" readingOrder="0" shrinkToFit="0" wrapText="0"/>
    </xf>
    <xf borderId="56" fillId="46" fontId="0" numFmtId="0" xfId="0" applyAlignment="1" applyBorder="1" applyFont="1">
      <alignment horizontal="center" readingOrder="0" shrinkToFit="0" wrapText="0"/>
    </xf>
    <xf borderId="0" fillId="46" fontId="121" numFmtId="0" xfId="0" applyAlignment="1" applyFont="1">
      <alignment horizontal="left" readingOrder="0" shrinkToFit="0" vertical="bottom" wrapText="1"/>
    </xf>
    <xf borderId="0" fillId="46" fontId="122" numFmtId="0" xfId="0" applyAlignment="1" applyFont="1">
      <alignment horizontal="center" readingOrder="0" shrinkToFit="0" vertical="bottom" wrapText="1"/>
    </xf>
    <xf borderId="0" fillId="46" fontId="122" numFmtId="0" xfId="0" applyAlignment="1" applyFont="1">
      <alignment horizontal="center" readingOrder="0" shrinkToFit="0" vertical="bottom" wrapText="1"/>
    </xf>
    <xf borderId="58" fillId="46" fontId="122" numFmtId="0" xfId="0" applyAlignment="1" applyBorder="1" applyFont="1">
      <alignment horizontal="center" readingOrder="0" shrinkToFit="0" vertical="bottom" wrapText="1"/>
    </xf>
    <xf borderId="0" fillId="14" fontId="51" numFmtId="0" xfId="0" applyAlignment="1" applyFont="1">
      <alignment horizontal="left" readingOrder="0" shrinkToFit="0" vertical="bottom" wrapText="1"/>
    </xf>
    <xf borderId="0" fillId="14" fontId="13" numFmtId="0" xfId="0" applyAlignment="1" applyFont="1">
      <alignment horizontal="center" readingOrder="0" shrinkToFit="0" vertical="bottom" wrapText="1"/>
    </xf>
    <xf borderId="60" fillId="14" fontId="13" numFmtId="0" xfId="0" applyAlignment="1" applyBorder="1" applyFont="1">
      <alignment horizontal="center" readingOrder="0" shrinkToFit="0" vertical="bottom" wrapText="1"/>
    </xf>
    <xf borderId="0" fillId="2" fontId="13" numFmtId="0" xfId="0" applyAlignment="1" applyFont="1">
      <alignment readingOrder="0" shrinkToFit="0" vertical="center" wrapText="1"/>
    </xf>
    <xf borderId="60" fillId="14" fontId="13" numFmtId="0" xfId="0" applyAlignment="1" applyBorder="1" applyFont="1">
      <alignment horizontal="center" shrinkToFit="0" vertical="bottom" wrapText="1"/>
    </xf>
    <xf borderId="56" fillId="2" fontId="0" numFmtId="0" xfId="0" applyAlignment="1" applyBorder="1" applyFont="1">
      <alignment horizontal="center" readingOrder="0" shrinkToFit="0" wrapText="0"/>
    </xf>
    <xf borderId="60" fillId="2" fontId="13" numFmtId="0" xfId="0" applyAlignment="1" applyBorder="1" applyFont="1">
      <alignment horizontal="center" readingOrder="0" shrinkToFit="0" vertical="bottom" wrapText="1"/>
    </xf>
    <xf borderId="55" fillId="0" fontId="51" numFmtId="0" xfId="0" applyAlignment="1" applyBorder="1" applyFont="1">
      <alignment horizontal="left" shrinkToFit="0" vertical="bottom" wrapText="1"/>
    </xf>
    <xf borderId="0" fillId="0" fontId="51" numFmtId="0" xfId="0" applyAlignment="1" applyFont="1">
      <alignment horizontal="center" shrinkToFit="0" vertical="bottom" wrapText="1"/>
    </xf>
    <xf borderId="0" fillId="0" fontId="51" numFmtId="0" xfId="0" applyAlignment="1" applyFont="1">
      <alignment horizontal="left" shrinkToFit="0" vertical="bottom" wrapText="1"/>
    </xf>
    <xf borderId="56" fillId="0" fontId="51" numFmtId="0" xfId="0" applyAlignment="1" applyBorder="1" applyFont="1">
      <alignment horizontal="center" readingOrder="0" shrinkToFit="0" vertical="bottom" wrapText="1"/>
    </xf>
    <xf borderId="55" fillId="0" fontId="71" numFmtId="0" xfId="0" applyAlignment="1" applyBorder="1" applyFont="1">
      <alignment horizontal="center" readingOrder="0" shrinkToFit="0" vertical="bottom" wrapText="1"/>
    </xf>
    <xf borderId="0" fillId="0" fontId="71" numFmtId="0" xfId="0" applyAlignment="1" applyFont="1">
      <alignment horizontal="center" shrinkToFit="0" wrapText="1"/>
    </xf>
    <xf borderId="0" fillId="0" fontId="71" numFmtId="0" xfId="0" applyAlignment="1" applyFont="1">
      <alignment horizontal="center" readingOrder="0" shrinkToFit="0" vertical="bottom" wrapText="1"/>
    </xf>
    <xf borderId="0" fillId="0" fontId="46" numFmtId="0" xfId="0" applyAlignment="1" applyFont="1">
      <alignment horizontal="center" shrinkToFit="0" wrapText="1"/>
    </xf>
    <xf borderId="57" fillId="0" fontId="46" numFmtId="0" xfId="0" applyAlignment="1" applyBorder="1" applyFont="1">
      <alignment horizontal="center" readingOrder="0" shrinkToFit="0" vertical="bottom" wrapText="1"/>
    </xf>
    <xf borderId="0" fillId="0" fontId="46" numFmtId="0" xfId="0" applyAlignment="1" applyFont="1">
      <alignment horizontal="center" readingOrder="0" shrinkToFit="0" vertical="bottom" wrapText="1"/>
    </xf>
    <xf borderId="59" fillId="0" fontId="46" numFmtId="0" xfId="0" applyAlignment="1" applyBorder="1" applyFont="1">
      <alignment horizontal="center" readingOrder="0" shrinkToFit="0" vertical="bottom" wrapText="1"/>
    </xf>
    <xf borderId="0" fillId="0" fontId="51" numFmtId="0" xfId="0" applyAlignment="1" applyFont="1">
      <alignment horizontal="center" readingOrder="0" shrinkToFit="0" vertical="bottom" wrapText="1"/>
    </xf>
    <xf borderId="56" fillId="0" fontId="51" numFmtId="0" xfId="0" applyAlignment="1" applyBorder="1" applyFont="1">
      <alignment horizontal="center" readingOrder="0" shrinkToFit="0" vertical="bottom" wrapText="1"/>
    </xf>
    <xf borderId="59" fillId="0" fontId="5" numFmtId="0" xfId="0" applyAlignment="1" applyBorder="1" applyFont="1">
      <alignment horizontal="left" readingOrder="0" shrinkToFit="0" vertical="bottom" wrapText="1"/>
    </xf>
    <xf borderId="60" fillId="0" fontId="13" numFmtId="0" xfId="0" applyAlignment="1" applyBorder="1" applyFont="1">
      <alignment horizontal="center" readingOrder="0" shrinkToFit="0" vertical="bottom" wrapText="1"/>
    </xf>
    <xf borderId="0" fillId="8" fontId="13" numFmtId="0" xfId="0" applyAlignment="1" applyFont="1">
      <alignment horizontal="center" shrinkToFit="0" vertical="bottom" wrapText="1"/>
    </xf>
    <xf borderId="61" fillId="0" fontId="51" numFmtId="0" xfId="0" applyAlignment="1" applyBorder="1" applyFont="1">
      <alignment horizontal="left" readingOrder="0" shrinkToFit="0" vertical="bottom" wrapText="1"/>
    </xf>
    <xf borderId="62" fillId="0" fontId="0" numFmtId="0" xfId="0" applyAlignment="1" applyBorder="1" applyFont="1">
      <alignment horizontal="center" readingOrder="0" shrinkToFit="0" wrapText="0"/>
    </xf>
    <xf borderId="62" fillId="0" fontId="51" numFmtId="0" xfId="0" applyAlignment="1" applyBorder="1" applyFont="1">
      <alignment shrinkToFit="0" wrapText="1"/>
    </xf>
    <xf borderId="62" fillId="0" fontId="51" numFmtId="0" xfId="0" applyAlignment="1" applyBorder="1" applyFont="1">
      <alignment horizontal="left" readingOrder="0" shrinkToFit="0" vertical="bottom" wrapText="1"/>
    </xf>
    <xf borderId="63" fillId="0" fontId="0" numFmtId="0" xfId="0" applyAlignment="1" applyBorder="1" applyFont="1">
      <alignment horizontal="center" readingOrder="0" shrinkToFit="0" wrapText="0"/>
    </xf>
    <xf borderId="64" fillId="0" fontId="13" numFmtId="0" xfId="0" applyAlignment="1" applyBorder="1" applyFont="1">
      <alignment horizontal="left" readingOrder="0" shrinkToFit="0" vertical="bottom" wrapText="1"/>
    </xf>
    <xf borderId="65" fillId="0" fontId="13" numFmtId="0" xfId="0" applyAlignment="1" applyBorder="1" applyFont="1">
      <alignment horizontal="center" readingOrder="0" shrinkToFit="0" vertical="bottom" wrapText="1"/>
    </xf>
    <xf borderId="65" fillId="0" fontId="13" numFmtId="0" xfId="0" applyAlignment="1" applyBorder="1" applyFont="1">
      <alignment shrinkToFit="0" wrapText="1"/>
    </xf>
    <xf borderId="65" fillId="0" fontId="13" numFmtId="0" xfId="0" applyAlignment="1" applyBorder="1" applyFont="1">
      <alignment horizontal="left" readingOrder="0" shrinkToFit="0" vertical="bottom" wrapText="1"/>
    </xf>
    <xf borderId="66" fillId="0" fontId="13" numFmtId="0" xfId="0" applyAlignment="1" applyBorder="1" applyFont="1">
      <alignment horizontal="center" readingOrder="0" shrinkToFit="0" vertical="bottom" wrapText="1"/>
    </xf>
    <xf borderId="67" fillId="0" fontId="13" numFmtId="0" xfId="0" applyAlignment="1" applyBorder="1" applyFont="1">
      <alignment horizontal="left" readingOrder="0" shrinkToFit="0" vertical="bottom" wrapText="1"/>
    </xf>
    <xf borderId="36" fillId="0" fontId="13" numFmtId="0" xfId="0" applyAlignment="1" applyBorder="1" applyFont="1">
      <alignment horizontal="center" shrinkToFit="0" vertical="bottom" wrapText="1"/>
    </xf>
    <xf borderId="36" fillId="0" fontId="13" numFmtId="0" xfId="0" applyAlignment="1" applyBorder="1" applyFont="1">
      <alignment shrinkToFit="0" wrapText="1"/>
    </xf>
    <xf borderId="36" fillId="0" fontId="13" numFmtId="0" xfId="0" applyAlignment="1" applyBorder="1" applyFont="1">
      <alignment horizontal="left" readingOrder="0" shrinkToFit="0" vertical="bottom" wrapText="1"/>
    </xf>
    <xf borderId="68" fillId="0" fontId="13" numFmtId="0" xfId="0" applyAlignment="1" applyBorder="1" applyFont="1">
      <alignment horizontal="center" shrinkToFit="0" vertical="bottom" wrapText="1"/>
    </xf>
    <xf borderId="69" fillId="0" fontId="13" numFmtId="0" xfId="0" applyAlignment="1" applyBorder="1" applyFont="1">
      <alignment horizontal="center" shrinkToFit="0" vertical="bottom" wrapText="1"/>
    </xf>
    <xf borderId="0" fillId="0" fontId="13" numFmtId="0" xfId="0" applyAlignment="1" applyFont="1">
      <alignment horizontal="center" readingOrder="0" shrinkToFit="0" vertical="bottom" wrapText="1"/>
    </xf>
    <xf borderId="0" fillId="0" fontId="13" numFmtId="0" xfId="0" applyAlignment="1" applyFont="1">
      <alignment horizontal="left" readingOrder="0" shrinkToFit="0" vertical="bottom" wrapText="1"/>
    </xf>
    <xf borderId="21" fillId="0" fontId="13" numFmtId="0" xfId="0" applyAlignment="1" applyBorder="1" applyFont="1">
      <alignment horizontal="center" readingOrder="0" shrinkToFit="0" vertical="center" wrapText="1"/>
    </xf>
    <xf borderId="0" fillId="0" fontId="51" numFmtId="0" xfId="0" applyAlignment="1" applyFont="1">
      <alignment horizontal="center" readingOrder="0" shrinkToFit="0" vertical="center" wrapText="1"/>
    </xf>
    <xf borderId="21" fillId="0" fontId="26" numFmtId="0" xfId="0" applyAlignment="1" applyBorder="1" applyFont="1">
      <alignment horizontal="center" readingOrder="0" shrinkToFit="0" vertical="center" wrapText="1"/>
    </xf>
    <xf borderId="2" fillId="0" fontId="123" numFmtId="0" xfId="0" applyAlignment="1" applyBorder="1" applyFont="1">
      <alignment horizontal="center" shrinkToFit="0" vertical="center" wrapText="1"/>
    </xf>
    <xf borderId="22" fillId="0" fontId="13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horizontal="center" shrinkToFit="0" vertical="center" wrapText="1"/>
    </xf>
    <xf borderId="22" fillId="0" fontId="13" numFmtId="0" xfId="0" applyAlignment="1" applyBorder="1" applyFont="1">
      <alignment horizontal="center" shrinkToFit="0" vertical="center" wrapText="1"/>
    </xf>
    <xf borderId="5" fillId="0" fontId="124" numFmtId="0" xfId="0" applyAlignment="1" applyBorder="1" applyFont="1">
      <alignment horizontal="center" readingOrder="0" shrinkToFit="0" vertical="bottom" wrapText="1"/>
    </xf>
    <xf borderId="0" fillId="0" fontId="13" numFmtId="164" xfId="0" applyAlignment="1" applyFont="1" applyNumberFormat="1">
      <alignment horizontal="center" readingOrder="0" shrinkToFit="0" vertical="bottom" wrapText="1"/>
    </xf>
    <xf borderId="2" fillId="0" fontId="13" numFmtId="0" xfId="0" applyAlignment="1" applyBorder="1" applyFont="1">
      <alignment horizontal="center" shrinkToFit="0" vertical="bottom" wrapText="1"/>
    </xf>
    <xf borderId="3" fillId="0" fontId="13" numFmtId="0" xfId="0" applyAlignment="1" applyBorder="1" applyFont="1">
      <alignment horizontal="center" readingOrder="0" shrinkToFit="0" vertical="bottom" wrapText="1"/>
    </xf>
    <xf borderId="4" fillId="0" fontId="13" numFmtId="0" xfId="0" applyAlignment="1" applyBorder="1" applyFont="1">
      <alignment horizontal="center" shrinkToFit="0" vertical="bottom" wrapText="1"/>
    </xf>
    <xf borderId="70" fillId="0" fontId="13" numFmtId="0" xfId="0" applyAlignment="1" applyBorder="1" applyFont="1">
      <alignment horizontal="left" shrinkToFit="0" vertical="bottom" wrapText="1"/>
    </xf>
    <xf borderId="47" fillId="0" fontId="13" numFmtId="0" xfId="0" applyAlignment="1" applyBorder="1" applyFont="1">
      <alignment horizontal="center" shrinkToFit="0" vertical="bottom" wrapText="1"/>
    </xf>
    <xf borderId="2" fillId="0" fontId="13" numFmtId="0" xfId="0" applyAlignment="1" applyBorder="1" applyFont="1">
      <alignment horizontal="center" readingOrder="0" shrinkToFit="0" vertical="bottom" wrapText="1"/>
    </xf>
    <xf borderId="0" fillId="2" fontId="82" numFmtId="0" xfId="0" applyAlignment="1" applyFont="1">
      <alignment horizontal="center" readingOrder="0" shrinkToFit="0" vertical="bottom" wrapText="1"/>
    </xf>
    <xf borderId="5" fillId="0" fontId="13" numFmtId="0" xfId="0" applyAlignment="1" applyBorder="1" applyFont="1">
      <alignment horizontal="center" shrinkToFit="0" vertical="bottom" wrapText="1"/>
    </xf>
    <xf borderId="6" fillId="0" fontId="51" numFmtId="164" xfId="0" applyAlignment="1" applyBorder="1" applyFont="1" applyNumberFormat="1">
      <alignment horizontal="center" shrinkToFit="0" vertical="bottom" wrapText="1"/>
    </xf>
    <xf borderId="7" fillId="0" fontId="13" numFmtId="0" xfId="0" applyAlignment="1" applyBorder="1" applyFont="1">
      <alignment horizontal="center" shrinkToFit="0" vertical="bottom" wrapText="1"/>
    </xf>
    <xf borderId="6" fillId="0" fontId="13" numFmtId="164" xfId="0" applyAlignment="1" applyBorder="1" applyFont="1" applyNumberFormat="1">
      <alignment horizontal="center" shrinkToFit="0" vertical="bottom" wrapText="1"/>
    </xf>
    <xf borderId="5" fillId="0" fontId="13" numFmtId="0" xfId="0" applyAlignment="1" applyBorder="1" applyFont="1">
      <alignment horizontal="left" readingOrder="0" shrinkToFit="0" vertical="bottom" wrapText="1"/>
    </xf>
    <xf borderId="7" fillId="0" fontId="13" numFmtId="0" xfId="0" applyAlignment="1" applyBorder="1" applyFont="1">
      <alignment horizontal="center" shrinkToFit="0" vertical="bottom" wrapText="1"/>
    </xf>
    <xf borderId="5" fillId="0" fontId="26" numFmtId="164" xfId="0" applyAlignment="1" applyBorder="1" applyFont="1" applyNumberFormat="1">
      <alignment horizontal="center" shrinkToFit="0" vertical="bottom" wrapText="1"/>
    </xf>
    <xf borderId="15" fillId="0" fontId="13" numFmtId="0" xfId="0" applyAlignment="1" applyBorder="1" applyFont="1">
      <alignment horizontal="center" readingOrder="0" shrinkToFit="0" vertical="center" wrapText="1"/>
    </xf>
    <xf borderId="15" fillId="0" fontId="125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bottom" wrapText="1"/>
    </xf>
    <xf borderId="1" fillId="0" fontId="5" numFmtId="190" xfId="0" applyAlignment="1" applyBorder="1" applyFont="1" applyNumberFormat="1">
      <alignment horizontal="center" readingOrder="0" shrinkToFit="0" vertical="bottom" wrapText="1"/>
    </xf>
    <xf borderId="15" fillId="0" fontId="125" numFmtId="0" xfId="0" applyAlignment="1" applyBorder="1" applyFont="1">
      <alignment horizontal="center" readingOrder="0" shrinkToFit="0" vertical="bottom" wrapText="1"/>
    </xf>
    <xf borderId="1" fillId="0" fontId="13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1" fillId="17" fontId="5" numFmtId="0" xfId="0" applyAlignment="1" applyBorder="1" applyFont="1">
      <alignment horizontal="center" readingOrder="0" shrinkToFit="0" vertical="bottom" wrapText="1"/>
    </xf>
    <xf borderId="0" fillId="0" fontId="13" numFmtId="164" xfId="0" applyAlignment="1" applyFont="1" applyNumberFormat="1">
      <alignment horizontal="left" shrinkToFit="0" vertical="bottom" wrapText="1"/>
    </xf>
    <xf borderId="0" fillId="0" fontId="23" numFmtId="0" xfId="0" applyAlignment="1" applyFont="1">
      <alignment horizontal="center" readingOrder="0" shrinkToFit="0" vertical="bottom" wrapText="1"/>
    </xf>
    <xf borderId="15" fillId="2" fontId="125" numFmtId="0" xfId="0" applyAlignment="1" applyBorder="1" applyFont="1">
      <alignment horizontal="center" readingOrder="0" shrinkToFit="0" vertical="bottom" wrapText="1"/>
    </xf>
    <xf borderId="0" fillId="2" fontId="5" numFmtId="0" xfId="0" applyAlignment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 shrinkToFit="0" vertical="bottom" wrapText="1"/>
    </xf>
    <xf borderId="0" fillId="0" fontId="126" numFmtId="0" xfId="0" applyAlignment="1" applyFont="1">
      <alignment horizontal="center" readingOrder="0" shrinkToFit="0" vertical="bottom" wrapText="1"/>
    </xf>
    <xf borderId="1" fillId="17" fontId="5" numFmtId="190" xfId="0" applyAlignment="1" applyBorder="1" applyFont="1" applyNumberFormat="1">
      <alignment horizontal="center" readingOrder="0" shrinkToFit="0" vertical="bottom" wrapText="1"/>
    </xf>
    <xf borderId="1" fillId="17" fontId="13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27" numFmtId="0" xfId="0" applyAlignment="1" applyFont="1">
      <alignment horizontal="center" readingOrder="0" shrinkToFit="0" vertical="bottom" wrapText="1"/>
    </xf>
    <xf borderId="0" fillId="0" fontId="128" numFmtId="0" xfId="0" applyAlignment="1" applyFont="1">
      <alignment horizontal="center" readingOrder="0" shrinkToFit="0" vertical="bottom" wrapText="1"/>
    </xf>
    <xf borderId="0" fillId="0" fontId="13" numFmtId="0" xfId="0" applyAlignment="1" applyFont="1">
      <alignment horizontal="center" readingOrder="0" shrinkToFit="0" vertical="bottom" wrapText="1"/>
    </xf>
    <xf borderId="0" fillId="0" fontId="26" numFmtId="0" xfId="0" applyAlignment="1" applyFont="1">
      <alignment horizontal="center" readingOrder="0" shrinkToFit="0" vertical="bottom" wrapText="1"/>
    </xf>
    <xf borderId="0" fillId="2" fontId="26" numFmtId="171" xfId="0" applyAlignment="1" applyFont="1" applyNumberFormat="1">
      <alignment horizontal="center" readingOrder="0" shrinkToFit="0" vertical="bottom" wrapText="1"/>
    </xf>
    <xf borderId="0" fillId="0" fontId="13" numFmtId="171" xfId="0" applyAlignment="1" applyFont="1" applyNumberFormat="1">
      <alignment horizontal="center" readingOrder="0" shrinkToFit="0" vertical="bottom" wrapText="1"/>
    </xf>
    <xf borderId="0" fillId="0" fontId="13" numFmtId="191" xfId="0" applyAlignment="1" applyFont="1" applyNumberFormat="1">
      <alignment horizontal="center" readingOrder="0" shrinkToFit="0" vertical="bottom" wrapText="1"/>
    </xf>
    <xf borderId="0" fillId="0" fontId="13" numFmtId="171" xfId="0" applyAlignment="1" applyFont="1" applyNumberFormat="1">
      <alignment horizontal="center" readingOrder="0" shrinkToFit="0" wrapText="1"/>
    </xf>
    <xf borderId="0" fillId="0" fontId="13" numFmtId="192" xfId="0" applyAlignment="1" applyFont="1" applyNumberFormat="1">
      <alignment horizontal="center" readingOrder="0" shrinkToFit="0" wrapText="1"/>
    </xf>
    <xf borderId="0" fillId="0" fontId="0" numFmtId="0" xfId="0" applyAlignment="1" applyFont="1">
      <alignment horizontal="center" readingOrder="0" shrinkToFit="0" wrapText="1"/>
    </xf>
    <xf borderId="0" fillId="0" fontId="51" numFmtId="0" xfId="0" applyAlignment="1" applyFont="1">
      <alignment horizontal="center" readingOrder="0" shrinkToFit="0" vertical="bottom" wrapText="1"/>
    </xf>
    <xf borderId="0" fillId="0" fontId="62" numFmtId="0" xfId="0" applyAlignment="1" applyFont="1">
      <alignment horizontal="center" readingOrder="0" shrinkToFit="0" vertical="bottom" wrapText="1"/>
    </xf>
    <xf borderId="0" fillId="0" fontId="0" numFmtId="0" xfId="0" applyAlignment="1" applyFont="1">
      <alignment horizontal="center" shrinkToFit="0" wrapText="1"/>
    </xf>
    <xf borderId="0" fillId="0" fontId="62" numFmtId="0" xfId="0" applyAlignment="1" applyFont="1">
      <alignment horizontal="center" shrinkToFit="0" vertical="bottom" wrapText="1"/>
    </xf>
    <xf borderId="0" fillId="0" fontId="129" numFmtId="0" xfId="0" applyAlignment="1" applyFont="1">
      <alignment horizontal="center" readingOrder="0" shrinkToFit="0" wrapText="1"/>
    </xf>
    <xf borderId="0" fillId="28" fontId="5" numFmtId="0" xfId="0" applyAlignment="1" applyFont="1">
      <alignment horizontal="center" readingOrder="0" shrinkToFit="0" vertical="bottom" wrapText="1"/>
    </xf>
    <xf borderId="0" fillId="28" fontId="51" numFmtId="0" xfId="0" applyAlignment="1" applyFont="1">
      <alignment horizontal="center" readingOrder="0" shrinkToFit="0" vertical="bottom" wrapText="1"/>
    </xf>
    <xf borderId="0" fillId="28" fontId="13" numFmtId="0" xfId="0" applyAlignment="1" applyFont="1">
      <alignment horizontal="center" readingOrder="0" shrinkToFit="0" vertical="bottom" wrapText="1"/>
    </xf>
    <xf borderId="0" fillId="28" fontId="0" numFmtId="0" xfId="0" applyAlignment="1" applyFont="1">
      <alignment horizontal="center" readingOrder="0" shrinkToFit="0" wrapText="1"/>
    </xf>
    <xf borderId="0" fillId="28" fontId="51" numFmtId="0" xfId="0" applyAlignment="1" applyFont="1">
      <alignment horizontal="center" readingOrder="0" shrinkToFit="0" wrapText="1"/>
    </xf>
    <xf borderId="0" fillId="28" fontId="62" numFmtId="0" xfId="0" applyAlignment="1" applyFont="1">
      <alignment horizontal="center" readingOrder="0" shrinkToFit="0" vertical="bottom" wrapText="1"/>
    </xf>
    <xf borderId="0" fillId="28" fontId="0" numFmtId="0" xfId="0" applyAlignment="1" applyFont="1">
      <alignment horizontal="center" shrinkToFit="0" wrapText="1"/>
    </xf>
    <xf borderId="0" fillId="28" fontId="13" numFmtId="0" xfId="0" applyAlignment="1" applyFont="1">
      <alignment horizontal="center" readingOrder="0" shrinkToFit="0" wrapText="1"/>
    </xf>
    <xf borderId="0" fillId="28" fontId="13" numFmtId="0" xfId="0" applyAlignment="1" applyFont="1">
      <alignment horizontal="center" shrinkToFit="0" wrapText="1"/>
    </xf>
    <xf borderId="0" fillId="28" fontId="130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vertical="bottom" wrapText="1"/>
    </xf>
    <xf borderId="0" fillId="0" fontId="13" numFmtId="0" xfId="0" applyAlignment="1" applyFont="1">
      <alignment horizontal="center" shrinkToFit="0" vertical="bottom" wrapText="1"/>
    </xf>
    <xf borderId="0" fillId="0" fontId="127" numFmtId="0" xfId="0" applyAlignment="1" applyFont="1">
      <alignment horizontal="center" readingOrder="0" shrinkToFit="0" vertical="bottom" wrapText="1"/>
    </xf>
    <xf borderId="0" fillId="0" fontId="128" numFmtId="0" xfId="0" applyAlignment="1" applyFont="1">
      <alignment horizontal="center" readingOrder="0" shrinkToFit="0" vertical="bottom" wrapText="1"/>
    </xf>
    <xf borderId="0" fillId="0" fontId="52" numFmtId="0" xfId="0" applyAlignment="1" applyFont="1">
      <alignment horizontal="center" readingOrder="0" shrinkToFit="0" vertical="bottom" wrapText="1"/>
    </xf>
    <xf borderId="0" fillId="0" fontId="130" numFmtId="0" xfId="0" applyAlignment="1" applyFont="1">
      <alignment horizontal="center" readingOrder="0" shrinkToFit="0" wrapText="1"/>
    </xf>
    <xf borderId="0" fillId="0" fontId="52" numFmtId="0" xfId="0" applyAlignment="1" applyFont="1">
      <alignment horizontal="center" readingOrder="0" shrinkToFit="0" wrapText="1"/>
    </xf>
    <xf borderId="0" fillId="28" fontId="13" numFmtId="0" xfId="0" applyAlignment="1" applyFont="1">
      <alignment horizontal="center" readingOrder="0" shrinkToFit="0" vertical="bottom" wrapText="1"/>
    </xf>
    <xf borderId="0" fillId="28" fontId="13" numFmtId="0" xfId="0" applyAlignment="1" applyFont="1">
      <alignment horizontal="center" readingOrder="0" shrinkToFit="0" vertical="bottom" wrapText="1"/>
    </xf>
    <xf borderId="0" fillId="28" fontId="62" numFmtId="0" xfId="0" applyAlignment="1" applyFont="1">
      <alignment horizontal="center" shrinkToFit="0" vertical="bottom" wrapText="1"/>
    </xf>
    <xf borderId="0" fillId="28" fontId="13" numFmtId="0" xfId="0" applyAlignment="1" applyFont="1">
      <alignment horizontal="center" shrinkToFit="0" vertical="bottom" wrapText="1"/>
    </xf>
    <xf borderId="0" fillId="0" fontId="62" numFmtId="0" xfId="0" applyAlignment="1" applyFont="1">
      <alignment horizontal="center" shrinkToFit="0" vertical="bottom" wrapText="1"/>
    </xf>
    <xf borderId="0" fillId="28" fontId="51" numFmtId="0" xfId="0" applyAlignment="1" applyFont="1">
      <alignment horizontal="center" shrinkToFit="0" vertical="bottom" wrapText="1"/>
    </xf>
    <xf borderId="0" fillId="28" fontId="51" numFmtId="0" xfId="0" applyAlignment="1" applyFont="1">
      <alignment horizontal="center" shrinkToFit="0" vertical="bottom" wrapText="1"/>
    </xf>
    <xf borderId="0" fillId="28" fontId="13" numFmtId="0" xfId="0" applyAlignment="1" applyFont="1">
      <alignment horizontal="center" shrinkToFit="0" vertical="bottom" wrapText="1"/>
    </xf>
    <xf borderId="1" fillId="0" fontId="131" numFmtId="0" xfId="0" applyAlignment="1" applyBorder="1" applyFont="1">
      <alignment horizontal="center" readingOrder="0" shrinkToFit="0" vertical="bottom" wrapText="1"/>
    </xf>
    <xf borderId="1" fillId="0" fontId="132" numFmtId="0" xfId="0" applyAlignment="1" applyBorder="1" applyFont="1">
      <alignment horizontal="center" readingOrder="0" shrinkToFit="0" vertical="bottom" wrapText="1"/>
    </xf>
    <xf borderId="1" fillId="0" fontId="116" numFmtId="0" xfId="0" applyAlignment="1" applyBorder="1" applyFont="1">
      <alignment horizontal="left" readingOrder="0" shrinkToFit="0" vertical="bottom" wrapText="1"/>
    </xf>
    <xf borderId="1" fillId="0" fontId="116" numFmtId="0" xfId="0" applyAlignment="1" applyBorder="1" applyFont="1">
      <alignment horizontal="center" readingOrder="0" shrinkToFit="0" vertical="bottom" wrapText="1"/>
    </xf>
    <xf borderId="1" fillId="0" fontId="116" numFmtId="0" xfId="0" applyAlignment="1" applyBorder="1" applyFont="1">
      <alignment horizontal="center" readingOrder="0" shrinkToFit="0" vertical="bottom" wrapText="1"/>
    </xf>
    <xf borderId="0" fillId="0" fontId="116" numFmtId="0" xfId="0" applyAlignment="1" applyFont="1">
      <alignment horizontal="center" readingOrder="0" shrinkToFit="0" vertical="bottom" wrapText="1"/>
    </xf>
    <xf borderId="1" fillId="0" fontId="133" numFmtId="0" xfId="0" applyAlignment="1" applyBorder="1" applyFont="1">
      <alignment horizontal="center" readingOrder="0" shrinkToFit="0" wrapText="1"/>
    </xf>
    <xf borderId="1" fillId="0" fontId="134" numFmtId="0" xfId="0" applyAlignment="1" applyBorder="1" applyFont="1">
      <alignment readingOrder="0" shrinkToFit="0" wrapText="1"/>
    </xf>
    <xf borderId="1" fillId="0" fontId="26" numFmtId="0" xfId="0" applyAlignment="1" applyBorder="1" applyFont="1">
      <alignment horizontal="left" readingOrder="0" shrinkToFit="0" vertical="bottom" wrapText="1"/>
    </xf>
    <xf borderId="1" fillId="0" fontId="26" numFmtId="0" xfId="0" applyAlignment="1" applyBorder="1" applyFont="1">
      <alignment horizontal="left" readingOrder="0" shrinkToFit="0" vertical="bottom" wrapText="1"/>
    </xf>
    <xf borderId="0" fillId="0" fontId="26" numFmtId="0" xfId="0" applyAlignment="1" applyFont="1">
      <alignment horizontal="left" readingOrder="0" shrinkToFit="0" vertical="bottom" wrapText="1"/>
    </xf>
    <xf borderId="1" fillId="0" fontId="134" numFmtId="0" xfId="0" applyAlignment="1" applyBorder="1" applyFont="1">
      <alignment readingOrder="0" shrinkToFit="0" wrapText="1"/>
    </xf>
    <xf borderId="1" fillId="0" fontId="133" numFmtId="0" xfId="0" applyAlignment="1" applyBorder="1" applyFont="1">
      <alignment horizontal="center" readingOrder="0" shrinkToFit="0" wrapText="1"/>
    </xf>
    <xf borderId="1" fillId="0" fontId="135" numFmtId="0" xfId="0" applyAlignment="1" applyBorder="1" applyFont="1">
      <alignment horizontal="left" readingOrder="0" shrinkToFit="0" vertical="bottom" wrapText="1"/>
    </xf>
    <xf borderId="0" fillId="8" fontId="62" numFmtId="0" xfId="0" applyAlignment="1" applyFont="1">
      <alignment readingOrder="0" shrinkToFit="0" wrapText="1"/>
    </xf>
    <xf borderId="0" fillId="0" fontId="26" numFmtId="0" xfId="0" applyAlignment="1" applyFont="1">
      <alignment readingOrder="0" shrinkToFit="0" wrapText="1"/>
    </xf>
    <xf borderId="0" fillId="0" fontId="26" numFmtId="0" xfId="0" applyAlignment="1" applyFont="1">
      <alignment horizontal="left" readingOrder="0" shrinkToFit="0" vertical="bottom" wrapText="1"/>
    </xf>
    <xf borderId="1" fillId="0" fontId="26" numFmtId="0" xfId="0" applyAlignment="1" applyBorder="1" applyFont="1">
      <alignment horizontal="left" shrinkToFit="0" vertical="bottom" wrapText="1"/>
    </xf>
    <xf borderId="0" fillId="0" fontId="26" numFmtId="0" xfId="0" applyAlignment="1" applyFont="1">
      <alignment horizontal="left" shrinkToFit="0" vertical="bottom" wrapText="1"/>
    </xf>
    <xf borderId="0" fillId="0" fontId="133" numFmtId="0" xfId="0" applyAlignment="1" applyFont="1">
      <alignment horizontal="center" readingOrder="0" shrinkToFit="0" wrapText="1"/>
    </xf>
    <xf borderId="0" fillId="0" fontId="134" numFmtId="0" xfId="0" applyAlignment="1" applyFont="1">
      <alignment readingOrder="0" shrinkToFit="0" wrapText="1"/>
    </xf>
    <xf borderId="0" fillId="0" fontId="82" numFmtId="0" xfId="0" applyAlignment="1" applyFont="1">
      <alignment horizontal="center" readingOrder="0" shrinkToFit="0" wrapText="1"/>
    </xf>
    <xf borderId="71" fillId="0" fontId="82" numFmtId="0" xfId="0" applyAlignment="1" applyBorder="1" applyFont="1">
      <alignment horizontal="center" readingOrder="0" shrinkToFit="0" wrapText="1"/>
    </xf>
    <xf borderId="71" fillId="0" fontId="13" numFmtId="0" xfId="0" applyAlignment="1" applyBorder="1" applyFont="1">
      <alignment shrinkToFit="0" wrapText="1"/>
    </xf>
    <xf borderId="1" fillId="0" fontId="117" numFmtId="0" xfId="0" applyAlignment="1" applyBorder="1" applyFont="1">
      <alignment readingOrder="0" shrinkToFit="0" vertical="top" wrapText="1"/>
    </xf>
    <xf borderId="1" fillId="0" fontId="117" numFmtId="164" xfId="0" applyAlignment="1" applyBorder="1" applyFont="1" applyNumberFormat="1">
      <alignment readingOrder="0" shrinkToFit="0" vertical="top" wrapText="1"/>
    </xf>
    <xf borderId="0" fillId="0" fontId="13" numFmtId="193" xfId="0" applyAlignment="1" applyFont="1" applyNumberFormat="1">
      <alignment shrinkToFit="0" wrapText="1"/>
    </xf>
    <xf borderId="1" fillId="8" fontId="136" numFmtId="0" xfId="0" applyAlignment="1" applyBorder="1" applyFont="1">
      <alignment horizontal="center" readingOrder="0" shrinkToFit="0" vertical="center" wrapText="1"/>
    </xf>
    <xf borderId="0" fillId="0" fontId="46" numFmtId="0" xfId="0" applyAlignment="1" applyFont="1">
      <alignment horizontal="center" shrinkToFit="0" vertical="center" wrapText="1"/>
    </xf>
    <xf borderId="1" fillId="0" fontId="116" numFmtId="0" xfId="0" applyAlignment="1" applyBorder="1" applyFont="1">
      <alignment horizontal="right" readingOrder="0" shrinkToFit="0" vertical="center" wrapText="1"/>
    </xf>
    <xf borderId="1" fillId="0" fontId="52" numFmtId="0" xfId="0" applyAlignment="1" applyBorder="1" applyFont="1">
      <alignment horizontal="center" readingOrder="0" shrinkToFit="0" vertical="center" wrapText="1"/>
    </xf>
    <xf borderId="0" fillId="0" fontId="102" numFmtId="0" xfId="0" applyAlignment="1" applyFont="1">
      <alignment readingOrder="0" shrinkToFit="0" wrapText="1"/>
    </xf>
    <xf borderId="0" fillId="0" fontId="97" numFmtId="0" xfId="0" applyAlignment="1" applyFont="1">
      <alignment horizontal="left" readingOrder="0" shrinkToFit="0" wrapText="1"/>
    </xf>
    <xf borderId="0" fillId="0" fontId="102" numFmtId="0" xfId="0" applyAlignment="1" applyFont="1">
      <alignment horizontal="left" readingOrder="0" shrinkToFit="0" vertical="bottom" wrapText="0"/>
    </xf>
    <xf borderId="0" fillId="0" fontId="101" numFmtId="0" xfId="0" applyAlignment="1" applyFont="1">
      <alignment horizontal="center" readingOrder="0" shrinkToFit="0" wrapText="1"/>
    </xf>
    <xf borderId="0" fillId="0" fontId="101" numFmtId="0" xfId="0" applyAlignment="1" applyFont="1">
      <alignment horizontal="left" readingOrder="0" shrinkToFit="0" wrapText="1"/>
    </xf>
    <xf borderId="0" fillId="0" fontId="103" numFmtId="0" xfId="0" applyAlignment="1" applyFont="1">
      <alignment readingOrder="0" shrinkToFit="0" wrapText="1"/>
    </xf>
    <xf borderId="0" fillId="0" fontId="99" numFmtId="0" xfId="0" applyAlignment="1" applyFont="1">
      <alignment horizontal="left" shrinkToFit="0" wrapText="1"/>
    </xf>
    <xf borderId="0" fillId="0" fontId="102" numFmtId="0" xfId="0" applyAlignment="1" applyFont="1">
      <alignment horizontal="left" readingOrder="0" shrinkToFit="0" wrapText="1"/>
    </xf>
    <xf borderId="0" fillId="0" fontId="101" numFmtId="0" xfId="0" applyAlignment="1" applyFont="1">
      <alignment horizontal="left" shrinkToFit="0" wrapText="1"/>
    </xf>
    <xf borderId="72" fillId="0" fontId="37" numFmtId="0" xfId="0" applyAlignment="1" applyBorder="1" applyFont="1">
      <alignment horizontal="center" readingOrder="0" shrinkToFit="0" vertical="center" wrapText="1"/>
    </xf>
    <xf borderId="2" fillId="0" fontId="13" numFmtId="0" xfId="0" applyAlignment="1" applyBorder="1" applyFont="1">
      <alignment shrinkToFit="0" wrapText="1"/>
    </xf>
    <xf borderId="3" fillId="0" fontId="13" numFmtId="164" xfId="0" applyAlignment="1" applyBorder="1" applyFont="1" applyNumberFormat="1">
      <alignment horizontal="center" shrinkToFit="0" wrapText="1"/>
    </xf>
    <xf borderId="70" fillId="0" fontId="13" numFmtId="0" xfId="0" applyAlignment="1" applyBorder="1" applyFont="1">
      <alignment shrinkToFit="0" wrapText="1"/>
    </xf>
    <xf borderId="15" fillId="0" fontId="36" numFmtId="0" xfId="0" applyAlignment="1" applyBorder="1" applyFont="1">
      <alignment horizontal="center" readingOrder="0" shrinkToFit="0" wrapText="1"/>
    </xf>
    <xf borderId="15" fillId="0" fontId="36" numFmtId="0" xfId="0" applyAlignment="1" applyBorder="1" applyFont="1">
      <alignment horizontal="center" readingOrder="0" shrinkToFit="0" vertical="center" wrapText="1"/>
    </xf>
    <xf borderId="47" fillId="0" fontId="13" numFmtId="0" xfId="0" applyAlignment="1" applyBorder="1" applyFont="1">
      <alignment readingOrder="0" shrinkToFit="0" wrapText="1"/>
    </xf>
    <xf borderId="47" fillId="0" fontId="13" numFmtId="0" xfId="0" applyAlignment="1" applyBorder="1" applyFont="1">
      <alignment shrinkToFit="0" wrapText="1"/>
    </xf>
    <xf borderId="25" fillId="0" fontId="36" numFmtId="0" xfId="0" applyAlignment="1" applyBorder="1" applyFont="1">
      <alignment horizontal="center" readingOrder="0" shrinkToFit="0" wrapText="1"/>
    </xf>
    <xf borderId="21" fillId="0" fontId="52" numFmtId="0" xfId="0" applyAlignment="1" applyBorder="1" applyFont="1">
      <alignment horizontal="center" readingOrder="0" shrinkToFit="0" vertical="center" wrapText="1"/>
    </xf>
    <xf borderId="21" fillId="0" fontId="52" numFmtId="164" xfId="0" applyAlignment="1" applyBorder="1" applyFont="1" applyNumberFormat="1">
      <alignment horizontal="center" readingOrder="0" shrinkToFit="0" vertical="center" wrapText="1"/>
    </xf>
    <xf borderId="1" fillId="0" fontId="36" numFmtId="0" xfId="0" applyAlignment="1" applyBorder="1" applyFont="1">
      <alignment horizontal="center" readingOrder="0" shrinkToFit="0" wrapText="1"/>
    </xf>
    <xf borderId="1" fillId="0" fontId="82" numFmtId="0" xfId="0" applyAlignment="1" applyBorder="1" applyFont="1">
      <alignment readingOrder="0" shrinkToFit="0" wrapText="1"/>
    </xf>
    <xf borderId="1" fillId="0" fontId="52" numFmtId="0" xfId="0" applyAlignment="1" applyBorder="1" applyFont="1">
      <alignment readingOrder="0" shrinkToFit="0" wrapText="1"/>
    </xf>
    <xf borderId="1" fillId="0" fontId="52" numFmtId="164" xfId="0" applyAlignment="1" applyBorder="1" applyFont="1" applyNumberFormat="1">
      <alignment horizontal="center" readingOrder="0" shrinkToFit="0" wrapText="1"/>
    </xf>
    <xf borderId="21" fillId="0" fontId="52" numFmtId="164" xfId="0" applyAlignment="1" applyBorder="1" applyFont="1" applyNumberFormat="1">
      <alignment horizontal="center" readingOrder="0" shrinkToFit="0" wrapText="1"/>
    </xf>
    <xf borderId="15" fillId="0" fontId="52" numFmtId="164" xfId="0" applyAlignment="1" applyBorder="1" applyFont="1" applyNumberFormat="1">
      <alignment horizontal="center" readingOrder="0" shrinkToFit="0" wrapText="1"/>
    </xf>
    <xf borderId="24" fillId="0" fontId="52" numFmtId="164" xfId="0" applyAlignment="1" applyBorder="1" applyFont="1" applyNumberFormat="1">
      <alignment horizontal="center" readingOrder="0" shrinkToFit="0" wrapText="1"/>
    </xf>
    <xf borderId="22" fillId="0" fontId="52" numFmtId="164" xfId="0" applyAlignment="1" applyBorder="1" applyFont="1" applyNumberFormat="1">
      <alignment horizontal="center" readingOrder="0" shrinkToFit="0" wrapText="1"/>
    </xf>
    <xf borderId="6" fillId="8" fontId="10" numFmtId="0" xfId="0" applyAlignment="1" applyBorder="1" applyFont="1">
      <alignment horizontal="left" readingOrder="0" shrinkToFit="0" vertical="center" wrapText="1"/>
    </xf>
    <xf borderId="6" fillId="8" fontId="15" numFmtId="165" xfId="0" applyAlignment="1" applyBorder="1" applyFont="1" applyNumberFormat="1">
      <alignment horizontal="center" shrinkToFit="0" wrapText="1"/>
    </xf>
    <xf borderId="6" fillId="8" fontId="13" numFmtId="0" xfId="0" applyAlignment="1" applyBorder="1" applyFont="1">
      <alignment shrinkToFit="0" wrapText="1"/>
    </xf>
    <xf borderId="0" fillId="8" fontId="10" numFmtId="0" xfId="0" applyAlignment="1" applyFont="1">
      <alignment horizontal="left" readingOrder="0" shrinkToFit="0" vertical="center" wrapText="1"/>
    </xf>
    <xf borderId="0" fillId="8" fontId="15" numFmtId="165" xfId="0" applyAlignment="1" applyFont="1" applyNumberFormat="1">
      <alignment horizontal="center" shrinkToFit="0" wrapText="1"/>
    </xf>
    <xf borderId="21" fillId="0" fontId="36" numFmtId="0" xfId="0" applyAlignment="1" applyBorder="1" applyFont="1">
      <alignment horizontal="center" readingOrder="0" shrinkToFit="0" vertical="center" wrapText="1"/>
    </xf>
    <xf borderId="0" fillId="0" fontId="52" numFmtId="164" xfId="0" applyAlignment="1" applyFont="1" applyNumberFormat="1">
      <alignment horizontal="center" readingOrder="0" shrinkToFit="0" wrapText="1"/>
    </xf>
    <xf borderId="6" fillId="0" fontId="13" numFmtId="164" xfId="0" applyAlignment="1" applyBorder="1" applyFont="1" applyNumberFormat="1">
      <alignment horizontal="center" shrinkToFit="0" wrapText="1"/>
    </xf>
    <xf borderId="0" fillId="0" fontId="52" numFmtId="0" xfId="0" applyAlignment="1" applyFont="1">
      <alignment horizontal="center" readingOrder="0" shrinkToFit="0" vertical="center" wrapText="1"/>
    </xf>
    <xf borderId="6" fillId="0" fontId="10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165" xfId="0" applyAlignment="1" applyFont="1" applyNumberFormat="1">
      <alignment horizontal="center" readingOrder="0" shrinkToFit="0" vertical="center" wrapText="1"/>
    </xf>
    <xf borderId="6" fillId="0" fontId="52" numFmtId="164" xfId="0" applyAlignment="1" applyBorder="1" applyFont="1" applyNumberFormat="1">
      <alignment horizontal="center" readingOrder="0" shrinkToFit="0" wrapText="1"/>
    </xf>
    <xf borderId="3" fillId="0" fontId="52" numFmtId="164" xfId="0" applyAlignment="1" applyBorder="1" applyFont="1" applyNumberFormat="1">
      <alignment horizontal="center" readingOrder="0" shrinkToFit="0" wrapText="1"/>
    </xf>
    <xf borderId="3" fillId="0" fontId="52" numFmtId="0" xfId="0" applyAlignment="1" applyBorder="1" applyFont="1">
      <alignment shrinkToFit="0" wrapText="1"/>
    </xf>
    <xf borderId="0" fillId="8" fontId="10" numFmtId="165" xfId="0" applyAlignment="1" applyFont="1" applyNumberFormat="1">
      <alignment horizontal="center" readingOrder="0" shrinkToFit="0" vertical="center" wrapText="1"/>
    </xf>
    <xf borderId="6" fillId="0" fontId="52" numFmtId="0" xfId="0" applyAlignment="1" applyBorder="1" applyFont="1">
      <alignment readingOrder="0" shrinkToFit="0" wrapText="1"/>
    </xf>
    <xf borderId="0" fillId="0" fontId="52" numFmtId="0" xfId="0" applyAlignment="1" applyFont="1">
      <alignment readingOrder="0" shrinkToFit="0" wrapText="1"/>
    </xf>
    <xf borderId="3" fillId="0" fontId="52" numFmtId="0" xfId="0" applyAlignment="1" applyBorder="1" applyFont="1">
      <alignment readingOrder="0" shrinkToFit="0" wrapText="1"/>
    </xf>
    <xf borderId="23" fillId="0" fontId="52" numFmtId="0" xfId="0" applyAlignment="1" applyBorder="1" applyFont="1">
      <alignment readingOrder="0" shrinkToFit="0" wrapText="1"/>
    </xf>
    <xf borderId="15" fillId="0" fontId="13" numFmtId="0" xfId="0" applyAlignment="1" applyBorder="1" applyFont="1">
      <alignment shrinkToFit="0" wrapText="1"/>
    </xf>
    <xf borderId="21" fillId="0" fontId="52" numFmtId="0" xfId="0" applyAlignment="1" applyBorder="1" applyFont="1">
      <alignment readingOrder="0" shrinkToFit="0" wrapText="1"/>
    </xf>
    <xf borderId="21" fillId="0" fontId="13" numFmtId="0" xfId="0" applyAlignment="1" applyBorder="1" applyFont="1">
      <alignment shrinkToFit="0" wrapText="1"/>
    </xf>
    <xf borderId="15" fillId="0" fontId="34" numFmtId="0" xfId="0" applyAlignment="1" applyBorder="1" applyFont="1">
      <alignment horizontal="center" readingOrder="0" shrinkToFit="0" wrapText="1"/>
    </xf>
    <xf borderId="0" fillId="0" fontId="36" numFmtId="0" xfId="0" applyAlignment="1" applyFont="1">
      <alignment horizontal="center" readingOrder="0" shrinkToFit="0" wrapText="1"/>
    </xf>
    <xf borderId="1" fillId="0" fontId="41" numFmtId="0" xfId="0" applyAlignment="1" applyBorder="1" applyFont="1">
      <alignment readingOrder="0" shrinkToFit="0" wrapText="1"/>
    </xf>
    <xf borderId="1" fillId="0" fontId="41" numFmtId="164" xfId="0" applyAlignment="1" applyBorder="1" applyFont="1" applyNumberFormat="1">
      <alignment horizontal="center" readingOrder="0" shrinkToFit="0" wrapText="1"/>
    </xf>
    <xf borderId="1" fillId="0" fontId="49" numFmtId="0" xfId="0" applyAlignment="1" applyBorder="1" applyFont="1">
      <alignment horizontal="left" readingOrder="0" shrinkToFit="0" wrapText="1"/>
    </xf>
    <xf borderId="1" fillId="8" fontId="41" numFmtId="0" xfId="0" applyAlignment="1" applyBorder="1" applyFont="1">
      <alignment horizontal="left" readingOrder="0" shrinkToFit="0" vertical="center" wrapText="1"/>
    </xf>
    <xf borderId="1" fillId="8" fontId="41" numFmtId="165" xfId="0" applyAlignment="1" applyBorder="1" applyFont="1" applyNumberFormat="1">
      <alignment horizontal="center" readingOrder="0" shrinkToFit="0" vertical="center" wrapText="1"/>
    </xf>
    <xf borderId="0" fillId="8" fontId="10" numFmtId="0" xfId="0" applyAlignment="1" applyFont="1">
      <alignment horizontal="left" readingOrder="0" shrinkToFit="0" vertical="center" wrapText="1"/>
    </xf>
    <xf borderId="0" fillId="8" fontId="31" numFmtId="165" xfId="0" applyAlignment="1" applyFont="1" applyNumberFormat="1">
      <alignment horizontal="center" readingOrder="0" shrinkToFit="0" vertical="center" wrapText="1"/>
    </xf>
    <xf borderId="0" fillId="8" fontId="51" numFmtId="0" xfId="0" applyAlignment="1" applyFont="1">
      <alignment readingOrder="0" shrinkToFit="0" vertical="center" wrapText="1"/>
    </xf>
    <xf borderId="0" fillId="8" fontId="10" numFmtId="164" xfId="0" applyAlignment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2" fillId="0" fontId="137" numFmtId="0" xfId="0" applyAlignment="1" applyBorder="1" applyFont="1">
      <alignment horizontal="center" readingOrder="0" shrinkToFit="0" vertical="center" wrapText="1"/>
    </xf>
    <xf borderId="3" fillId="0" fontId="137" numFmtId="0" xfId="0" applyAlignment="1" applyBorder="1" applyFont="1">
      <alignment horizontal="center" readingOrder="0" shrinkToFit="0" vertical="center" wrapText="1"/>
    </xf>
    <xf borderId="3" fillId="0" fontId="13" numFmtId="0" xfId="0" applyAlignment="1" applyBorder="1" applyFont="1">
      <alignment shrinkToFit="0" vertical="center" wrapText="1"/>
    </xf>
    <xf borderId="70" fillId="0" fontId="137" numFmtId="0" xfId="0" applyAlignment="1" applyBorder="1" applyFont="1">
      <alignment horizontal="center" readingOrder="0" shrinkToFit="0" vertical="center" wrapText="1"/>
    </xf>
    <xf borderId="73" fillId="0" fontId="137" numFmtId="0" xfId="0" applyAlignment="1" applyBorder="1" applyFont="1">
      <alignment horizontal="center" readingOrder="0" shrinkToFit="0" vertical="center" wrapText="1"/>
    </xf>
    <xf borderId="74" fillId="0" fontId="137" numFmtId="0" xfId="0" applyAlignment="1" applyBorder="1" applyFont="1">
      <alignment horizontal="center" readingOrder="0" shrinkToFit="0" vertical="center" wrapText="1"/>
    </xf>
    <xf borderId="75" fillId="0" fontId="137" numFmtId="0" xfId="0" applyAlignment="1" applyBorder="1" applyFont="1">
      <alignment horizontal="center" readingOrder="0" shrinkToFit="0" vertical="center" wrapText="1"/>
    </xf>
    <xf borderId="9" fillId="0" fontId="137" numFmtId="0" xfId="0" applyAlignment="1" applyBorder="1" applyFont="1">
      <alignment horizontal="center" readingOrder="0" shrinkToFit="0" vertical="center" wrapText="1"/>
    </xf>
    <xf borderId="70" fillId="0" fontId="138" numFmtId="0" xfId="0" applyAlignment="1" applyBorder="1" applyFont="1">
      <alignment horizontal="center" readingOrder="0" shrinkToFit="0" vertical="center" wrapText="1"/>
    </xf>
    <xf borderId="13" fillId="0" fontId="138" numFmtId="0" xfId="0" applyAlignment="1" applyBorder="1" applyFont="1">
      <alignment horizontal="center" readingOrder="0" shrinkToFit="0" vertical="center" wrapText="1"/>
    </xf>
    <xf borderId="1" fillId="0" fontId="138" numFmtId="0" xfId="0" applyAlignment="1" applyBorder="1" applyFont="1">
      <alignment horizontal="center" readingOrder="0" shrinkToFit="0" vertical="center" wrapText="1"/>
    </xf>
    <xf borderId="14" fillId="0" fontId="138" numFmtId="0" xfId="0" applyAlignment="1" applyBorder="1" applyFont="1">
      <alignment horizontal="center" readingOrder="0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76" fillId="0" fontId="138" numFmtId="0" xfId="0" applyAlignment="1" applyBorder="1" applyFont="1">
      <alignment horizontal="center" readingOrder="0" shrinkToFit="0" vertical="center" wrapText="1"/>
    </xf>
    <xf borderId="16" fillId="0" fontId="138" numFmtId="0" xfId="0" applyAlignment="1" applyBorder="1" applyFont="1">
      <alignment horizontal="center" readingOrder="0" shrinkToFit="0" vertical="center" wrapText="1"/>
    </xf>
    <xf borderId="18" fillId="0" fontId="138" numFmtId="0" xfId="0" applyAlignment="1" applyBorder="1" applyFont="1">
      <alignment horizontal="center" readingOrder="0" shrinkToFit="0" vertical="center" wrapText="1"/>
    </xf>
    <xf borderId="19" fillId="0" fontId="138" numFmtId="0" xfId="0" applyAlignment="1" applyBorder="1" applyFont="1">
      <alignment horizontal="center" readingOrder="0" shrinkToFit="0" vertical="center" wrapText="1"/>
    </xf>
    <xf borderId="20" fillId="0" fontId="138" numFmtId="0" xfId="0" applyAlignment="1" applyBorder="1" applyFont="1">
      <alignment horizontal="center" readingOrder="0" shrinkToFit="0" vertical="center" wrapText="1"/>
    </xf>
    <xf borderId="17" fillId="0" fontId="138" numFmtId="0" xfId="0" applyAlignment="1" applyBorder="1" applyFont="1">
      <alignment horizontal="center" readingOrder="0" shrinkToFit="0" vertical="center" wrapText="1"/>
    </xf>
    <xf borderId="0" fillId="0" fontId="138" numFmtId="0" xfId="0" applyAlignment="1" applyFont="1">
      <alignment horizontal="center" readingOrder="0" shrinkToFit="0" vertical="center" wrapText="1"/>
    </xf>
    <xf borderId="1" fillId="2" fontId="26" numFmtId="0" xfId="0" applyAlignment="1" applyBorder="1" applyFont="1">
      <alignment horizontal="center" readingOrder="0" shrinkToFit="0" wrapText="1"/>
    </xf>
    <xf borderId="1" fillId="0" fontId="26" numFmtId="0" xfId="0" applyAlignment="1" applyBorder="1" applyFont="1">
      <alignment horizontal="left" readingOrder="0" shrinkToFit="0" wrapText="1"/>
    </xf>
    <xf borderId="1" fillId="0" fontId="26" numFmtId="0" xfId="0" applyAlignment="1" applyBorder="1" applyFont="1">
      <alignment horizontal="left" shrinkToFit="0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44" Type="http://schemas.openxmlformats.org/officeDocument/2006/relationships/worksheet" Target="worksheets/sheet42.xml"/><Relationship Id="rId43" Type="http://schemas.openxmlformats.org/officeDocument/2006/relationships/worksheet" Target="worksheets/sheet41.xml"/><Relationship Id="rId46" Type="http://schemas.openxmlformats.org/officeDocument/2006/relationships/worksheet" Target="worksheets/sheet44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47" Type="http://schemas.openxmlformats.org/officeDocument/2006/relationships/worksheet" Target="worksheets/sheet45.xml"/><Relationship Id="rId49" Type="http://schemas.openxmlformats.org/officeDocument/2006/relationships/worksheet" Target="worksheets/sheet4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33" Type="http://schemas.openxmlformats.org/officeDocument/2006/relationships/worksheet" Target="worksheets/sheet31.xml"/><Relationship Id="rId32" Type="http://schemas.openxmlformats.org/officeDocument/2006/relationships/worksheet" Target="worksheets/sheet30.xml"/><Relationship Id="rId35" Type="http://schemas.openxmlformats.org/officeDocument/2006/relationships/worksheet" Target="worksheets/sheet33.xml"/><Relationship Id="rId34" Type="http://schemas.openxmlformats.org/officeDocument/2006/relationships/worksheet" Target="worksheets/sheet32.xml"/><Relationship Id="rId71" Type="http://schemas.openxmlformats.org/officeDocument/2006/relationships/worksheet" Target="worksheets/sheet69.xml"/><Relationship Id="rId70" Type="http://schemas.openxmlformats.org/officeDocument/2006/relationships/worksheet" Target="worksheets/sheet68.xml"/><Relationship Id="rId37" Type="http://schemas.openxmlformats.org/officeDocument/2006/relationships/worksheet" Target="worksheets/sheet35.xml"/><Relationship Id="rId36" Type="http://schemas.openxmlformats.org/officeDocument/2006/relationships/worksheet" Target="worksheets/sheet34.xml"/><Relationship Id="rId39" Type="http://schemas.openxmlformats.org/officeDocument/2006/relationships/worksheet" Target="worksheets/sheet37.xml"/><Relationship Id="rId38" Type="http://schemas.openxmlformats.org/officeDocument/2006/relationships/worksheet" Target="worksheets/sheet36.xml"/><Relationship Id="rId62" Type="http://schemas.openxmlformats.org/officeDocument/2006/relationships/worksheet" Target="worksheets/sheet60.xml"/><Relationship Id="rId61" Type="http://schemas.openxmlformats.org/officeDocument/2006/relationships/worksheet" Target="worksheets/sheet59.xml"/><Relationship Id="rId20" Type="http://schemas.openxmlformats.org/officeDocument/2006/relationships/worksheet" Target="worksheets/sheet18.xml"/><Relationship Id="rId64" Type="http://schemas.openxmlformats.org/officeDocument/2006/relationships/worksheet" Target="worksheets/sheet62.xml"/><Relationship Id="rId63" Type="http://schemas.openxmlformats.org/officeDocument/2006/relationships/worksheet" Target="worksheets/sheet61.xml"/><Relationship Id="rId22" Type="http://schemas.openxmlformats.org/officeDocument/2006/relationships/worksheet" Target="worksheets/sheet20.xml"/><Relationship Id="rId66" Type="http://schemas.openxmlformats.org/officeDocument/2006/relationships/worksheet" Target="worksheets/sheet64.xml"/><Relationship Id="rId21" Type="http://schemas.openxmlformats.org/officeDocument/2006/relationships/worksheet" Target="worksheets/sheet19.xml"/><Relationship Id="rId65" Type="http://schemas.openxmlformats.org/officeDocument/2006/relationships/worksheet" Target="worksheets/sheet63.xml"/><Relationship Id="rId24" Type="http://schemas.openxmlformats.org/officeDocument/2006/relationships/worksheet" Target="worksheets/sheet22.xml"/><Relationship Id="rId68" Type="http://schemas.openxmlformats.org/officeDocument/2006/relationships/worksheet" Target="worksheets/sheet66.xml"/><Relationship Id="rId23" Type="http://schemas.openxmlformats.org/officeDocument/2006/relationships/worksheet" Target="worksheets/sheet21.xml"/><Relationship Id="rId67" Type="http://schemas.openxmlformats.org/officeDocument/2006/relationships/worksheet" Target="worksheets/sheet65.xml"/><Relationship Id="rId60" Type="http://schemas.openxmlformats.org/officeDocument/2006/relationships/worksheet" Target="worksheets/sheet58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69" Type="http://schemas.openxmlformats.org/officeDocument/2006/relationships/worksheet" Target="worksheets/sheet67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29" Type="http://schemas.openxmlformats.org/officeDocument/2006/relationships/worksheet" Target="worksheets/sheet27.xml"/><Relationship Id="rId51" Type="http://schemas.openxmlformats.org/officeDocument/2006/relationships/worksheet" Target="worksheets/sheet49.xml"/><Relationship Id="rId50" Type="http://schemas.openxmlformats.org/officeDocument/2006/relationships/worksheet" Target="worksheets/sheet48.xml"/><Relationship Id="rId53" Type="http://schemas.openxmlformats.org/officeDocument/2006/relationships/worksheet" Target="worksheets/sheet51.xml"/><Relationship Id="rId52" Type="http://schemas.openxmlformats.org/officeDocument/2006/relationships/worksheet" Target="worksheets/sheet50.xml"/><Relationship Id="rId11" Type="http://schemas.openxmlformats.org/officeDocument/2006/relationships/worksheet" Target="worksheets/sheet9.xml"/><Relationship Id="rId55" Type="http://schemas.openxmlformats.org/officeDocument/2006/relationships/worksheet" Target="worksheets/sheet53.xml"/><Relationship Id="rId10" Type="http://schemas.openxmlformats.org/officeDocument/2006/relationships/worksheet" Target="worksheets/sheet8.xml"/><Relationship Id="rId54" Type="http://schemas.openxmlformats.org/officeDocument/2006/relationships/worksheet" Target="worksheets/sheet52.xml"/><Relationship Id="rId13" Type="http://schemas.openxmlformats.org/officeDocument/2006/relationships/worksheet" Target="worksheets/sheet11.xml"/><Relationship Id="rId57" Type="http://schemas.openxmlformats.org/officeDocument/2006/relationships/worksheet" Target="worksheets/sheet55.xml"/><Relationship Id="rId12" Type="http://schemas.openxmlformats.org/officeDocument/2006/relationships/worksheet" Target="worksheets/sheet10.xml"/><Relationship Id="rId56" Type="http://schemas.openxmlformats.org/officeDocument/2006/relationships/worksheet" Target="worksheets/sheet54.xml"/><Relationship Id="rId15" Type="http://schemas.openxmlformats.org/officeDocument/2006/relationships/worksheet" Target="worksheets/sheet13.xml"/><Relationship Id="rId59" Type="http://schemas.openxmlformats.org/officeDocument/2006/relationships/worksheet" Target="worksheets/sheet57.xml"/><Relationship Id="rId14" Type="http://schemas.openxmlformats.org/officeDocument/2006/relationships/worksheet" Target="worksheets/sheet12.xml"/><Relationship Id="rId58" Type="http://schemas.openxmlformats.org/officeDocument/2006/relationships/worksheet" Target="worksheets/sheet56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4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1.38"/>
    <col customWidth="1" min="2" max="2" width="11.88"/>
    <col customWidth="1" min="3" max="3" width="10.5"/>
    <col customWidth="1" min="4" max="4" width="9.25"/>
    <col customWidth="1" min="5" max="6" width="8.75"/>
    <col customWidth="1" min="7" max="7" width="12.38"/>
    <col customWidth="1" min="8" max="8" width="8.38"/>
    <col customWidth="1" min="9" max="9" width="7.88"/>
    <col customWidth="1" min="10" max="10" width="10.0"/>
    <col customWidth="1" min="11" max="11" width="9.88"/>
    <col customWidth="1" min="12" max="12" width="10.38"/>
    <col customWidth="1" min="13" max="13" width="6.0"/>
    <col customWidth="1" min="14" max="14" width="8.88"/>
    <col customWidth="1" min="15" max="15" width="5.0"/>
    <col customWidth="1" min="16" max="16" width="9.5"/>
  </cols>
  <sheetData>
    <row r="1" ht="80.25" customHeight="1">
      <c r="A1" s="1" t="s">
        <v>0</v>
      </c>
      <c r="B1" s="2" t="s">
        <v>1</v>
      </c>
      <c r="C1" s="3"/>
      <c r="D1" s="4"/>
      <c r="E1" s="5" t="s">
        <v>2</v>
      </c>
      <c r="F1" s="5" t="s">
        <v>3</v>
      </c>
      <c r="G1" s="6"/>
      <c r="H1" s="7" t="s">
        <v>4</v>
      </c>
      <c r="I1" s="8" t="s">
        <v>5</v>
      </c>
      <c r="J1" s="9" t="s">
        <v>6</v>
      </c>
      <c r="K1" s="10" t="s">
        <v>7</v>
      </c>
      <c r="L1" s="11" t="s">
        <v>8</v>
      </c>
      <c r="M1" s="12" t="s">
        <v>9</v>
      </c>
      <c r="N1" s="13" t="s">
        <v>10</v>
      </c>
      <c r="O1" s="14" t="s">
        <v>11</v>
      </c>
      <c r="P1" s="15" t="s">
        <v>12</v>
      </c>
    </row>
    <row r="2" hidden="1">
      <c r="A2" s="16" t="s">
        <v>13</v>
      </c>
      <c r="B2" s="17"/>
      <c r="C2" s="18"/>
      <c r="D2" s="4"/>
      <c r="E2" s="19">
        <v>0.0</v>
      </c>
      <c r="F2" s="19">
        <v>0.0</v>
      </c>
      <c r="G2" s="20" t="s">
        <v>14</v>
      </c>
      <c r="H2" s="21">
        <v>0.0</v>
      </c>
      <c r="I2" s="22">
        <v>0.0</v>
      </c>
      <c r="J2" s="23"/>
      <c r="K2" s="24">
        <f>9288*1.19</f>
        <v>11052.72</v>
      </c>
      <c r="L2" s="24">
        <v>15000.0</v>
      </c>
      <c r="M2" s="25"/>
      <c r="N2" s="26"/>
      <c r="O2" s="27">
        <f>(L2/K2)-1</f>
        <v>0.3571320001</v>
      </c>
      <c r="P2" s="28">
        <f t="shared" ref="P2:P16" si="1">K2*F2</f>
        <v>0</v>
      </c>
    </row>
    <row r="3" hidden="1">
      <c r="A3" s="16" t="s">
        <v>15</v>
      </c>
      <c r="B3" s="17"/>
      <c r="C3" s="18"/>
      <c r="D3" s="4"/>
      <c r="E3" s="19">
        <v>0.0</v>
      </c>
      <c r="F3" s="19">
        <v>0.0</v>
      </c>
      <c r="G3" s="16" t="s">
        <v>16</v>
      </c>
      <c r="H3" s="21"/>
      <c r="I3" s="22">
        <v>8.0</v>
      </c>
      <c r="J3" s="29"/>
      <c r="K3" s="30">
        <v>8746.0</v>
      </c>
      <c r="L3" s="24">
        <v>30000.0</v>
      </c>
      <c r="M3" s="25">
        <v>19.0</v>
      </c>
      <c r="N3" s="31"/>
      <c r="O3" s="27">
        <f t="shared" ref="O3:O6" si="2">(L3/K3)-1</f>
        <v>2.430139492</v>
      </c>
      <c r="P3" s="28">
        <f t="shared" si="1"/>
        <v>0</v>
      </c>
    </row>
    <row r="4" hidden="1">
      <c r="A4" s="16" t="s">
        <v>17</v>
      </c>
      <c r="B4" s="17"/>
      <c r="C4" s="18"/>
      <c r="D4" s="4"/>
      <c r="E4" s="19">
        <v>0.0</v>
      </c>
      <c r="F4" s="19">
        <v>0.0</v>
      </c>
      <c r="G4" s="16" t="s">
        <v>16</v>
      </c>
      <c r="H4" s="21"/>
      <c r="I4" s="22">
        <v>50.0</v>
      </c>
      <c r="J4" s="29"/>
      <c r="K4" s="32">
        <f>1962*2</f>
        <v>3924</v>
      </c>
      <c r="L4" s="24">
        <v>30000.0</v>
      </c>
      <c r="M4" s="25"/>
      <c r="N4" s="31"/>
      <c r="O4" s="27">
        <f t="shared" si="2"/>
        <v>6.645259939</v>
      </c>
      <c r="P4" s="28">
        <f t="shared" si="1"/>
        <v>0</v>
      </c>
    </row>
    <row r="5" hidden="1">
      <c r="A5" s="16" t="s">
        <v>18</v>
      </c>
      <c r="B5" s="17"/>
      <c r="C5" s="18"/>
      <c r="D5" s="4"/>
      <c r="E5" s="19">
        <v>0.0</v>
      </c>
      <c r="F5" s="19">
        <v>0.0</v>
      </c>
      <c r="G5" s="16" t="s">
        <v>16</v>
      </c>
      <c r="H5" s="33"/>
      <c r="I5" s="22">
        <v>100.0</v>
      </c>
      <c r="J5" s="34"/>
      <c r="K5" s="35">
        <v>1712.0</v>
      </c>
      <c r="L5" s="24">
        <v>10000.0</v>
      </c>
      <c r="M5" s="25"/>
      <c r="N5" s="31"/>
      <c r="O5" s="27">
        <f t="shared" si="2"/>
        <v>4.841121495</v>
      </c>
      <c r="P5" s="28">
        <f t="shared" si="1"/>
        <v>0</v>
      </c>
    </row>
    <row r="6" hidden="1">
      <c r="A6" s="16" t="s">
        <v>19</v>
      </c>
      <c r="B6" s="17"/>
      <c r="C6" s="18"/>
      <c r="D6" s="4"/>
      <c r="E6" s="19">
        <v>0.0</v>
      </c>
      <c r="F6" s="19">
        <v>0.0</v>
      </c>
      <c r="G6" s="16" t="s">
        <v>20</v>
      </c>
      <c r="H6" s="21"/>
      <c r="I6" s="22" t="s">
        <v>21</v>
      </c>
      <c r="J6" s="29"/>
      <c r="K6" s="32">
        <v>4500.0</v>
      </c>
      <c r="L6" s="24">
        <v>12000.0</v>
      </c>
      <c r="M6" s="25"/>
      <c r="N6" s="31"/>
      <c r="O6" s="27">
        <f t="shared" si="2"/>
        <v>1.666666667</v>
      </c>
      <c r="P6" s="28">
        <f t="shared" si="1"/>
        <v>0</v>
      </c>
    </row>
    <row r="7" hidden="1">
      <c r="A7" s="16" t="s">
        <v>22</v>
      </c>
      <c r="B7" s="36"/>
      <c r="C7" s="18"/>
      <c r="D7" s="4"/>
      <c r="E7" s="19">
        <v>0.0</v>
      </c>
      <c r="F7" s="19">
        <v>0.0</v>
      </c>
      <c r="G7" s="16" t="s">
        <v>23</v>
      </c>
      <c r="H7" s="21"/>
      <c r="I7" s="22" t="s">
        <v>24</v>
      </c>
      <c r="J7" s="29"/>
      <c r="K7" s="32">
        <v>16900.0</v>
      </c>
      <c r="L7" s="32">
        <v>24000.0</v>
      </c>
      <c r="M7" s="25"/>
      <c r="N7" s="37"/>
      <c r="O7" s="27">
        <f t="shared" ref="O7:O8" si="3">(L7/K7)-1</f>
        <v>0.4201183432</v>
      </c>
      <c r="P7" s="28">
        <f t="shared" si="1"/>
        <v>0</v>
      </c>
    </row>
    <row r="8" hidden="1">
      <c r="A8" s="16" t="s">
        <v>25</v>
      </c>
      <c r="B8" s="36"/>
      <c r="C8" s="38"/>
      <c r="D8" s="4"/>
      <c r="E8" s="19">
        <v>0.0</v>
      </c>
      <c r="F8" s="19">
        <v>0.0</v>
      </c>
      <c r="G8" s="16" t="s">
        <v>26</v>
      </c>
      <c r="H8" s="21"/>
      <c r="I8" s="22">
        <v>20.0</v>
      </c>
      <c r="J8" s="29"/>
      <c r="K8" s="32">
        <v>16900.0</v>
      </c>
      <c r="L8" s="24">
        <v>24000.0</v>
      </c>
      <c r="M8" s="25"/>
      <c r="N8" s="39"/>
      <c r="O8" s="27">
        <f t="shared" si="3"/>
        <v>0.4201183432</v>
      </c>
      <c r="P8" s="28">
        <f t="shared" si="1"/>
        <v>0</v>
      </c>
    </row>
    <row r="9" hidden="1">
      <c r="A9" s="16" t="s">
        <v>27</v>
      </c>
      <c r="B9" s="17"/>
      <c r="C9" s="18"/>
      <c r="D9" s="4"/>
      <c r="E9" s="19">
        <v>0.0</v>
      </c>
      <c r="F9" s="19">
        <v>0.0</v>
      </c>
      <c r="G9" s="16" t="s">
        <v>16</v>
      </c>
      <c r="H9" s="33"/>
      <c r="I9" s="22">
        <v>50.0</v>
      </c>
      <c r="J9" s="34"/>
      <c r="K9" s="30">
        <v>1426.9789473684211</v>
      </c>
      <c r="L9" s="24">
        <v>10000.0</v>
      </c>
      <c r="M9" s="25"/>
      <c r="N9" s="31"/>
      <c r="O9" s="27">
        <f>(L9/K9)-1</f>
        <v>6.007811866</v>
      </c>
      <c r="P9" s="28">
        <f t="shared" si="1"/>
        <v>0</v>
      </c>
    </row>
    <row r="10" hidden="1">
      <c r="A10" s="40" t="s">
        <v>28</v>
      </c>
      <c r="B10" s="17" t="s">
        <v>29</v>
      </c>
      <c r="C10" s="18"/>
      <c r="D10" s="4"/>
      <c r="E10" s="19">
        <v>20.0</v>
      </c>
      <c r="F10" s="19">
        <v>20.0</v>
      </c>
      <c r="G10" s="20" t="s">
        <v>30</v>
      </c>
      <c r="H10" s="21"/>
      <c r="I10" s="22">
        <f>8+16*5</f>
        <v>88</v>
      </c>
      <c r="J10" s="29"/>
      <c r="K10" s="32">
        <f t="shared" ref="K10:K11" si="4">9300*1.19/5</f>
        <v>2213.4</v>
      </c>
      <c r="L10" s="24">
        <v>8000.0</v>
      </c>
      <c r="M10" s="25"/>
      <c r="N10" s="26"/>
      <c r="O10" s="27">
        <f t="shared" ref="O10:O21" si="5">(L10/K10)-1</f>
        <v>2.614348965</v>
      </c>
      <c r="P10" s="28">
        <f t="shared" si="1"/>
        <v>44268</v>
      </c>
    </row>
    <row r="11" hidden="1">
      <c r="A11" s="16" t="s">
        <v>31</v>
      </c>
      <c r="B11" s="17" t="s">
        <v>32</v>
      </c>
      <c r="C11" s="18"/>
      <c r="D11" s="4"/>
      <c r="E11" s="19">
        <v>10.0</v>
      </c>
      <c r="F11" s="19">
        <v>0.0</v>
      </c>
      <c r="G11" s="20" t="s">
        <v>30</v>
      </c>
      <c r="H11" s="21"/>
      <c r="I11" s="22">
        <v>26.0</v>
      </c>
      <c r="J11" s="29"/>
      <c r="K11" s="32">
        <f t="shared" si="4"/>
        <v>2213.4</v>
      </c>
      <c r="L11" s="24">
        <v>8000.0</v>
      </c>
      <c r="M11" s="25"/>
      <c r="N11" s="31"/>
      <c r="O11" s="27">
        <f t="shared" si="5"/>
        <v>2.614348965</v>
      </c>
      <c r="P11" s="28">
        <f t="shared" si="1"/>
        <v>0</v>
      </c>
    </row>
    <row r="12" hidden="1">
      <c r="A12" s="40" t="s">
        <v>33</v>
      </c>
      <c r="B12" s="36"/>
      <c r="C12" s="18"/>
      <c r="D12" s="4"/>
      <c r="E12" s="19">
        <v>0.0</v>
      </c>
      <c r="F12" s="19">
        <v>0.0</v>
      </c>
      <c r="G12" s="16" t="s">
        <v>26</v>
      </c>
      <c r="H12" s="21"/>
      <c r="I12" s="22">
        <v>10.0</v>
      </c>
      <c r="J12" s="29"/>
      <c r="K12" s="32">
        <v>16900.0</v>
      </c>
      <c r="L12" s="32">
        <v>24000.0</v>
      </c>
      <c r="M12" s="25"/>
      <c r="N12" s="26"/>
      <c r="O12" s="27">
        <f t="shared" si="5"/>
        <v>0.4201183432</v>
      </c>
      <c r="P12" s="28">
        <f t="shared" si="1"/>
        <v>0</v>
      </c>
    </row>
    <row r="13" hidden="1">
      <c r="A13" s="16" t="s">
        <v>34</v>
      </c>
      <c r="B13" s="17"/>
      <c r="C13" s="18"/>
      <c r="D13" s="4"/>
      <c r="E13" s="19">
        <v>0.0</v>
      </c>
      <c r="F13" s="19">
        <v>0.0</v>
      </c>
      <c r="G13" s="16" t="s">
        <v>16</v>
      </c>
      <c r="H13" s="21"/>
      <c r="I13" s="22">
        <v>58.0</v>
      </c>
      <c r="J13" s="23"/>
      <c r="K13" s="24">
        <v>4602.0</v>
      </c>
      <c r="L13" s="24">
        <v>12000.0</v>
      </c>
      <c r="M13" s="25"/>
      <c r="N13" s="26"/>
      <c r="O13" s="27">
        <f t="shared" si="5"/>
        <v>1.60756193</v>
      </c>
      <c r="P13" s="28">
        <f t="shared" si="1"/>
        <v>0</v>
      </c>
    </row>
    <row r="14" hidden="1">
      <c r="A14" s="16" t="s">
        <v>35</v>
      </c>
      <c r="B14" s="17"/>
      <c r="C14" s="18"/>
      <c r="D14" s="4"/>
      <c r="E14" s="19">
        <v>0.0</v>
      </c>
      <c r="F14" s="19">
        <v>0.0</v>
      </c>
      <c r="G14" s="16" t="s">
        <v>36</v>
      </c>
      <c r="H14" s="21"/>
      <c r="I14" s="22">
        <v>1.0</v>
      </c>
      <c r="J14" s="23"/>
      <c r="K14" s="24">
        <f>65000/200</f>
        <v>325</v>
      </c>
      <c r="L14" s="24">
        <v>800.0</v>
      </c>
      <c r="M14" s="25"/>
      <c r="N14" s="26"/>
      <c r="O14" s="27">
        <f t="shared" si="5"/>
        <v>1.461538462</v>
      </c>
      <c r="P14" s="28">
        <f t="shared" si="1"/>
        <v>0</v>
      </c>
    </row>
    <row r="15" hidden="1">
      <c r="A15" s="16" t="s">
        <v>37</v>
      </c>
      <c r="B15" s="17"/>
      <c r="C15" s="18"/>
      <c r="D15" s="41"/>
      <c r="E15" s="19">
        <v>0.0</v>
      </c>
      <c r="F15" s="19">
        <v>0.0</v>
      </c>
      <c r="G15" s="16" t="s">
        <v>36</v>
      </c>
      <c r="H15" s="21"/>
      <c r="I15" s="22"/>
      <c r="J15" s="23"/>
      <c r="K15" s="24">
        <v>65000.0</v>
      </c>
      <c r="L15" s="24">
        <v>105000.0</v>
      </c>
      <c r="M15" s="25"/>
      <c r="N15" s="26">
        <v>90000.0</v>
      </c>
      <c r="O15" s="27">
        <f t="shared" si="5"/>
        <v>0.6153846154</v>
      </c>
      <c r="P15" s="28">
        <f t="shared" si="1"/>
        <v>0</v>
      </c>
    </row>
    <row r="16" hidden="1">
      <c r="A16" s="42" t="s">
        <v>38</v>
      </c>
      <c r="B16" s="17"/>
      <c r="C16" s="18"/>
      <c r="D16" s="4"/>
      <c r="E16" s="19">
        <v>0.0</v>
      </c>
      <c r="F16" s="19"/>
      <c r="G16" s="16" t="s">
        <v>39</v>
      </c>
      <c r="H16" s="21"/>
      <c r="I16" s="22"/>
      <c r="J16" s="29"/>
      <c r="K16" s="43">
        <f>3200*1.19</f>
        <v>3808</v>
      </c>
      <c r="L16" s="44">
        <v>6000.0</v>
      </c>
      <c r="M16" s="25"/>
      <c r="N16" s="31"/>
      <c r="O16" s="27">
        <f t="shared" si="5"/>
        <v>0.5756302521</v>
      </c>
      <c r="P16" s="28">
        <f t="shared" si="1"/>
        <v>0</v>
      </c>
    </row>
    <row r="17" hidden="1">
      <c r="A17" s="16" t="s">
        <v>40</v>
      </c>
      <c r="B17" s="17"/>
      <c r="C17" s="18"/>
      <c r="D17" s="4"/>
      <c r="E17" s="19">
        <v>0.0</v>
      </c>
      <c r="F17" s="19">
        <v>0.0</v>
      </c>
      <c r="G17" s="20" t="s">
        <v>41</v>
      </c>
      <c r="H17" s="21"/>
      <c r="I17" s="22"/>
      <c r="J17" s="45"/>
      <c r="K17" s="46">
        <v>28000.0</v>
      </c>
      <c r="L17" s="46">
        <v>48000.0</v>
      </c>
      <c r="M17" s="25"/>
      <c r="N17" s="26">
        <v>38000.0</v>
      </c>
      <c r="O17" s="27">
        <f t="shared" si="5"/>
        <v>0.7142857143</v>
      </c>
      <c r="P17" s="28"/>
    </row>
    <row r="18" hidden="1">
      <c r="A18" s="16" t="s">
        <v>42</v>
      </c>
      <c r="B18" s="17"/>
      <c r="C18" s="18"/>
      <c r="D18" s="4"/>
      <c r="E18" s="19">
        <v>0.0</v>
      </c>
      <c r="F18" s="19">
        <v>0.0</v>
      </c>
      <c r="G18" s="20" t="s">
        <v>41</v>
      </c>
      <c r="H18" s="21"/>
      <c r="I18" s="22"/>
      <c r="J18" s="45"/>
      <c r="K18" s="46">
        <v>35000.0</v>
      </c>
      <c r="L18" s="46">
        <v>54000.0</v>
      </c>
      <c r="M18" s="25"/>
      <c r="N18" s="26">
        <v>44000.0</v>
      </c>
      <c r="O18" s="27">
        <f t="shared" si="5"/>
        <v>0.5428571429</v>
      </c>
      <c r="P18" s="28"/>
    </row>
    <row r="19" hidden="1">
      <c r="A19" s="16" t="s">
        <v>43</v>
      </c>
      <c r="B19" s="17" t="s">
        <v>44</v>
      </c>
      <c r="C19" s="18"/>
      <c r="D19" s="4"/>
      <c r="E19" s="19">
        <v>0.0</v>
      </c>
      <c r="F19" s="19">
        <v>0.0</v>
      </c>
      <c r="G19" s="20" t="s">
        <v>45</v>
      </c>
      <c r="H19" s="21"/>
      <c r="I19" s="22">
        <v>10.0</v>
      </c>
      <c r="J19" s="47">
        <v>45717.0</v>
      </c>
      <c r="K19" s="46">
        <f>121849*1.19</f>
        <v>145000.31</v>
      </c>
      <c r="L19" s="46">
        <v>178000.0</v>
      </c>
      <c r="M19" s="25"/>
      <c r="N19" s="26">
        <v>168000.0</v>
      </c>
      <c r="O19" s="27">
        <f t="shared" si="5"/>
        <v>0.2275835824</v>
      </c>
      <c r="P19" s="28">
        <f t="shared" ref="P19:P21" si="6">K19*F19</f>
        <v>0</v>
      </c>
    </row>
    <row r="20" hidden="1">
      <c r="A20" s="16" t="s">
        <v>46</v>
      </c>
      <c r="B20" s="17" t="s">
        <v>47</v>
      </c>
      <c r="C20" s="18"/>
      <c r="D20" s="4"/>
      <c r="E20" s="19"/>
      <c r="F20" s="19"/>
      <c r="G20" s="20" t="s">
        <v>48</v>
      </c>
      <c r="H20" s="21"/>
      <c r="I20" s="22">
        <v>0.0</v>
      </c>
      <c r="J20" s="29"/>
      <c r="K20" s="48">
        <v>116000.0</v>
      </c>
      <c r="L20" s="32">
        <v>145000.0</v>
      </c>
      <c r="M20" s="25"/>
      <c r="N20" s="31">
        <v>120000.0</v>
      </c>
      <c r="O20" s="27">
        <f t="shared" si="5"/>
        <v>0.25</v>
      </c>
      <c r="P20" s="28">
        <f t="shared" si="6"/>
        <v>0</v>
      </c>
    </row>
    <row r="21" hidden="1">
      <c r="A21" s="16" t="s">
        <v>49</v>
      </c>
      <c r="B21" s="49"/>
      <c r="C21" s="18"/>
      <c r="D21" s="4"/>
      <c r="E21" s="19">
        <v>0.0</v>
      </c>
      <c r="F21" s="19">
        <v>0.0</v>
      </c>
      <c r="G21" s="16" t="s">
        <v>50</v>
      </c>
      <c r="H21" s="21"/>
      <c r="I21" s="22"/>
      <c r="J21" s="29"/>
      <c r="K21" s="43">
        <v>35000.0</v>
      </c>
      <c r="L21" s="44">
        <v>48000.0</v>
      </c>
      <c r="M21" s="25"/>
      <c r="N21" s="26"/>
      <c r="O21" s="27">
        <f t="shared" si="5"/>
        <v>0.3714285714</v>
      </c>
      <c r="P21" s="28">
        <f t="shared" si="6"/>
        <v>0</v>
      </c>
    </row>
    <row r="22" hidden="1">
      <c r="A22" s="16" t="s">
        <v>51</v>
      </c>
      <c r="B22" s="36"/>
      <c r="C22" s="18"/>
      <c r="D22" s="4"/>
      <c r="E22" s="19">
        <v>0.0</v>
      </c>
      <c r="F22" s="19">
        <v>0.0</v>
      </c>
      <c r="G22" s="16" t="s">
        <v>52</v>
      </c>
      <c r="H22" s="21"/>
      <c r="I22" s="22"/>
      <c r="J22" s="29"/>
      <c r="K22" s="48">
        <v>24850.0</v>
      </c>
      <c r="L22" s="48">
        <v>48000.0</v>
      </c>
      <c r="M22" s="25" t="s">
        <v>53</v>
      </c>
      <c r="N22" s="50">
        <v>34000.0</v>
      </c>
      <c r="O22" s="27"/>
      <c r="P22" s="28"/>
    </row>
    <row r="23" hidden="1">
      <c r="A23" s="16" t="s">
        <v>54</v>
      </c>
      <c r="B23" s="51"/>
      <c r="C23" s="18" t="s">
        <v>55</v>
      </c>
      <c r="D23" s="4"/>
      <c r="E23" s="19">
        <v>0.0</v>
      </c>
      <c r="F23" s="19">
        <v>0.0</v>
      </c>
      <c r="G23" s="20" t="s">
        <v>14</v>
      </c>
      <c r="H23" s="21">
        <v>0.0</v>
      </c>
      <c r="I23" s="22">
        <v>0.0</v>
      </c>
      <c r="J23" s="29"/>
      <c r="K23" s="43">
        <v>49504.0</v>
      </c>
      <c r="L23" s="44">
        <v>65000.0</v>
      </c>
      <c r="M23" s="25"/>
      <c r="N23" s="26"/>
      <c r="O23" s="27">
        <f t="shared" ref="O23:O57" si="7">(L23/K23)-1</f>
        <v>0.3130252101</v>
      </c>
      <c r="P23" s="28">
        <f t="shared" ref="P23:P25" si="8">K23*F23</f>
        <v>0</v>
      </c>
    </row>
    <row r="24" hidden="1">
      <c r="A24" s="16" t="s">
        <v>56</v>
      </c>
      <c r="B24" s="17"/>
      <c r="C24" s="18"/>
      <c r="D24" s="4"/>
      <c r="E24" s="19">
        <v>0.0</v>
      </c>
      <c r="F24" s="19"/>
      <c r="G24" s="20" t="s">
        <v>57</v>
      </c>
      <c r="H24" s="21"/>
      <c r="I24" s="22"/>
      <c r="J24" s="29"/>
      <c r="K24" s="43">
        <v>7400.0</v>
      </c>
      <c r="L24" s="44">
        <v>12000.0</v>
      </c>
      <c r="M24" s="25"/>
      <c r="N24" s="31"/>
      <c r="O24" s="27">
        <f t="shared" si="7"/>
        <v>0.6216216216</v>
      </c>
      <c r="P24" s="28">
        <f t="shared" si="8"/>
        <v>0</v>
      </c>
    </row>
    <row r="25" hidden="1">
      <c r="A25" s="52" t="s">
        <v>58</v>
      </c>
      <c r="B25" s="36" t="s">
        <v>59</v>
      </c>
      <c r="C25" s="18"/>
      <c r="D25" s="4"/>
      <c r="E25" s="19">
        <v>0.0</v>
      </c>
      <c r="F25" s="19"/>
      <c r="G25" s="20" t="s">
        <v>60</v>
      </c>
      <c r="H25" s="21"/>
      <c r="I25" s="22"/>
      <c r="J25" s="29"/>
      <c r="K25" s="43">
        <f>24789.92*1.19</f>
        <v>29500.0048</v>
      </c>
      <c r="L25" s="44">
        <v>39000.0</v>
      </c>
      <c r="M25" s="25"/>
      <c r="N25" s="53"/>
      <c r="O25" s="27">
        <f t="shared" si="7"/>
        <v>0.3220336832</v>
      </c>
      <c r="P25" s="28">
        <f t="shared" si="8"/>
        <v>0</v>
      </c>
    </row>
    <row r="26" hidden="1">
      <c r="A26" s="16" t="s">
        <v>61</v>
      </c>
      <c r="B26" s="17"/>
      <c r="C26" s="18"/>
      <c r="D26" s="4"/>
      <c r="E26" s="19">
        <v>0.0</v>
      </c>
      <c r="F26" s="19">
        <v>0.0</v>
      </c>
      <c r="G26" s="20" t="s">
        <v>14</v>
      </c>
      <c r="H26" s="21">
        <v>0.0</v>
      </c>
      <c r="I26" s="22">
        <v>10.0</v>
      </c>
      <c r="J26" s="47">
        <v>46174.0</v>
      </c>
      <c r="K26" s="24">
        <f>50500*1.19</f>
        <v>60095</v>
      </c>
      <c r="L26" s="24">
        <v>76000.0</v>
      </c>
      <c r="M26" s="25"/>
      <c r="N26" s="26">
        <v>65000.0</v>
      </c>
      <c r="O26" s="27">
        <f t="shared" si="7"/>
        <v>0.2646642816</v>
      </c>
      <c r="P26" s="28">
        <f>K26*F27</f>
        <v>0</v>
      </c>
    </row>
    <row r="27" hidden="1">
      <c r="A27" s="42" t="s">
        <v>62</v>
      </c>
      <c r="B27" s="17"/>
      <c r="C27" s="18"/>
      <c r="D27" s="4"/>
      <c r="E27" s="19">
        <v>0.0</v>
      </c>
      <c r="F27" s="19">
        <v>0.0</v>
      </c>
      <c r="G27" s="54" t="s">
        <v>63</v>
      </c>
      <c r="H27" s="21"/>
      <c r="I27" s="22">
        <v>0.0</v>
      </c>
      <c r="J27" s="47">
        <v>46174.0</v>
      </c>
      <c r="K27" s="48">
        <f>26000*1.19</f>
        <v>30940</v>
      </c>
      <c r="L27" s="55">
        <v>55000.0</v>
      </c>
      <c r="M27" s="25"/>
      <c r="N27" s="26"/>
      <c r="O27" s="27">
        <f t="shared" si="7"/>
        <v>0.7776341306</v>
      </c>
      <c r="P27" s="28" t="str">
        <f>K27*#REF!</f>
        <v>#REF!</v>
      </c>
    </row>
    <row r="28" hidden="1">
      <c r="A28" s="52" t="s">
        <v>64</v>
      </c>
      <c r="B28" s="17"/>
      <c r="C28" s="18"/>
      <c r="D28" s="4"/>
      <c r="E28" s="19">
        <v>0.0</v>
      </c>
      <c r="F28" s="19">
        <v>0.0</v>
      </c>
      <c r="G28" s="20" t="s">
        <v>65</v>
      </c>
      <c r="H28" s="21"/>
      <c r="I28" s="22">
        <v>0.0</v>
      </c>
      <c r="J28" s="47">
        <v>46174.0</v>
      </c>
      <c r="K28" s="43">
        <v>7500.0</v>
      </c>
      <c r="L28" s="44">
        <v>12000.0</v>
      </c>
      <c r="M28" s="25"/>
      <c r="N28" s="26"/>
      <c r="O28" s="27">
        <f t="shared" si="7"/>
        <v>0.6</v>
      </c>
      <c r="P28" s="28">
        <f t="shared" ref="P28:P37" si="9">K28*F28</f>
        <v>0</v>
      </c>
    </row>
    <row r="29" hidden="1">
      <c r="A29" s="16" t="s">
        <v>66</v>
      </c>
      <c r="B29" s="17"/>
      <c r="C29" s="18"/>
      <c r="D29" s="4"/>
      <c r="E29" s="19">
        <v>0.0</v>
      </c>
      <c r="F29" s="19"/>
      <c r="G29" s="20" t="s">
        <v>57</v>
      </c>
      <c r="H29" s="21"/>
      <c r="I29" s="22"/>
      <c r="J29" s="29"/>
      <c r="K29" s="43">
        <v>1800.0</v>
      </c>
      <c r="L29" s="44">
        <v>3500.0</v>
      </c>
      <c r="M29" s="25"/>
      <c r="N29" s="31"/>
      <c r="O29" s="27">
        <f t="shared" si="7"/>
        <v>0.9444444444</v>
      </c>
      <c r="P29" s="28">
        <f t="shared" si="9"/>
        <v>0</v>
      </c>
    </row>
    <row r="30" hidden="1">
      <c r="A30" s="16" t="s">
        <v>67</v>
      </c>
      <c r="B30" s="17"/>
      <c r="C30" s="18"/>
      <c r="D30" s="4"/>
      <c r="E30" s="19">
        <v>0.0</v>
      </c>
      <c r="F30" s="19"/>
      <c r="G30" s="20" t="s">
        <v>57</v>
      </c>
      <c r="H30" s="21"/>
      <c r="I30" s="22"/>
      <c r="J30" s="29"/>
      <c r="K30" s="43">
        <v>6400.0</v>
      </c>
      <c r="L30" s="44">
        <v>9000.0</v>
      </c>
      <c r="M30" s="25"/>
      <c r="N30" s="31"/>
      <c r="O30" s="27">
        <f t="shared" si="7"/>
        <v>0.40625</v>
      </c>
      <c r="P30" s="28">
        <f t="shared" si="9"/>
        <v>0</v>
      </c>
    </row>
    <row r="31" hidden="1">
      <c r="A31" s="56" t="s">
        <v>68</v>
      </c>
      <c r="B31" s="36" t="s">
        <v>69</v>
      </c>
      <c r="C31" s="18"/>
      <c r="D31" s="4"/>
      <c r="E31" s="19">
        <v>0.0</v>
      </c>
      <c r="F31" s="19">
        <v>0.0</v>
      </c>
      <c r="G31" s="16" t="s">
        <v>70</v>
      </c>
      <c r="H31" s="21"/>
      <c r="I31" s="22">
        <v>0.0</v>
      </c>
      <c r="J31" s="47">
        <v>46082.0</v>
      </c>
      <c r="K31" s="32">
        <f>100000*0.8*1.19</f>
        <v>95200</v>
      </c>
      <c r="L31" s="24">
        <v>145000.0</v>
      </c>
      <c r="M31" s="25"/>
      <c r="N31" s="26"/>
      <c r="O31" s="27">
        <f t="shared" si="7"/>
        <v>0.5231092437</v>
      </c>
      <c r="P31" s="28">
        <f t="shared" si="9"/>
        <v>0</v>
      </c>
    </row>
    <row r="32" hidden="1">
      <c r="A32" s="16" t="s">
        <v>71</v>
      </c>
      <c r="B32" s="51" t="s">
        <v>72</v>
      </c>
      <c r="C32" s="18"/>
      <c r="D32" s="4"/>
      <c r="E32" s="19">
        <v>0.0</v>
      </c>
      <c r="F32" s="19">
        <v>0.0</v>
      </c>
      <c r="G32" s="20" t="s">
        <v>73</v>
      </c>
      <c r="H32" s="21"/>
      <c r="I32" s="22">
        <v>0.0</v>
      </c>
      <c r="J32" s="29"/>
      <c r="K32" s="43">
        <v>10868.0</v>
      </c>
      <c r="L32" s="44">
        <v>18000.0</v>
      </c>
      <c r="M32" s="25"/>
      <c r="N32" s="26"/>
      <c r="O32" s="27">
        <f t="shared" si="7"/>
        <v>0.6562384983</v>
      </c>
      <c r="P32" s="28">
        <f t="shared" si="9"/>
        <v>0</v>
      </c>
    </row>
    <row r="33" hidden="1">
      <c r="A33" s="16" t="s">
        <v>74</v>
      </c>
      <c r="B33" s="51" t="s">
        <v>72</v>
      </c>
      <c r="C33" s="18"/>
      <c r="D33" s="41"/>
      <c r="E33" s="19">
        <v>0.0</v>
      </c>
      <c r="F33" s="19">
        <v>0.0</v>
      </c>
      <c r="G33" s="16" t="s">
        <v>75</v>
      </c>
      <c r="H33" s="21"/>
      <c r="I33" s="22"/>
      <c r="J33" s="47">
        <v>46478.0</v>
      </c>
      <c r="K33" s="55">
        <v>12000.0</v>
      </c>
      <c r="L33" s="55">
        <v>20000.0</v>
      </c>
      <c r="M33" s="25" t="s">
        <v>76</v>
      </c>
      <c r="N33" s="26">
        <v>18000.0</v>
      </c>
      <c r="O33" s="27">
        <f t="shared" si="7"/>
        <v>0.6666666667</v>
      </c>
      <c r="P33" s="28">
        <f t="shared" si="9"/>
        <v>0</v>
      </c>
    </row>
    <row r="34" hidden="1">
      <c r="A34" s="16" t="s">
        <v>77</v>
      </c>
      <c r="B34" s="51" t="s">
        <v>72</v>
      </c>
      <c r="C34" s="18"/>
      <c r="D34" s="4"/>
      <c r="E34" s="19">
        <v>2.0</v>
      </c>
      <c r="F34" s="19">
        <v>0.0</v>
      </c>
      <c r="G34" s="20" t="s">
        <v>78</v>
      </c>
      <c r="H34" s="21">
        <v>2.0</v>
      </c>
      <c r="I34" s="22">
        <v>3.0</v>
      </c>
      <c r="J34" s="29"/>
      <c r="K34" s="48">
        <v>13272.0</v>
      </c>
      <c r="L34" s="55">
        <v>22000.0</v>
      </c>
      <c r="M34" s="25"/>
      <c r="N34" s="57"/>
      <c r="O34" s="27">
        <f t="shared" si="7"/>
        <v>0.6576250753</v>
      </c>
      <c r="P34" s="28">
        <f t="shared" si="9"/>
        <v>0</v>
      </c>
    </row>
    <row r="35" hidden="1">
      <c r="A35" s="16" t="s">
        <v>79</v>
      </c>
      <c r="B35" s="51" t="s">
        <v>72</v>
      </c>
      <c r="C35" s="18" t="s">
        <v>80</v>
      </c>
      <c r="D35" s="4">
        <f>(6500*1.19)/3</f>
        <v>2578.333333</v>
      </c>
      <c r="E35" s="19">
        <v>0.0</v>
      </c>
      <c r="F35" s="19">
        <v>0.0</v>
      </c>
      <c r="G35" s="54" t="s">
        <v>81</v>
      </c>
      <c r="H35" s="21"/>
      <c r="I35" s="22"/>
      <c r="J35" s="58">
        <v>45962.0</v>
      </c>
      <c r="K35" s="24">
        <f>(11654*1.19)/3</f>
        <v>4622.753333</v>
      </c>
      <c r="L35" s="24">
        <v>13000.0</v>
      </c>
      <c r="M35" s="25" t="s">
        <v>82</v>
      </c>
      <c r="N35" s="26"/>
      <c r="O35" s="27">
        <f t="shared" si="7"/>
        <v>1.81217687</v>
      </c>
      <c r="P35" s="28">
        <f t="shared" si="9"/>
        <v>0</v>
      </c>
    </row>
    <row r="36" hidden="1">
      <c r="A36" s="16" t="s">
        <v>83</v>
      </c>
      <c r="B36" s="51" t="s">
        <v>72</v>
      </c>
      <c r="C36" s="18"/>
      <c r="D36" s="4"/>
      <c r="E36" s="19">
        <v>0.0</v>
      </c>
      <c r="F36" s="19">
        <v>0.0</v>
      </c>
      <c r="G36" s="16" t="s">
        <v>84</v>
      </c>
      <c r="H36" s="21"/>
      <c r="I36" s="22">
        <v>0.0</v>
      </c>
      <c r="J36" s="29"/>
      <c r="K36" s="43">
        <v>2000.0</v>
      </c>
      <c r="L36" s="44">
        <v>10000.0</v>
      </c>
      <c r="M36" s="25"/>
      <c r="N36" s="31"/>
      <c r="O36" s="27">
        <f t="shared" si="7"/>
        <v>4</v>
      </c>
      <c r="P36" s="28">
        <f t="shared" si="9"/>
        <v>0</v>
      </c>
    </row>
    <row r="37" hidden="1">
      <c r="A37" s="16" t="s">
        <v>85</v>
      </c>
      <c r="B37" s="51" t="s">
        <v>86</v>
      </c>
      <c r="C37" s="18"/>
      <c r="D37" s="4"/>
      <c r="E37" s="19">
        <v>0.0</v>
      </c>
      <c r="F37" s="19">
        <v>0.0</v>
      </c>
      <c r="G37" s="16" t="s">
        <v>70</v>
      </c>
      <c r="H37" s="21"/>
      <c r="I37" s="22">
        <v>0.0</v>
      </c>
      <c r="J37" s="58">
        <v>45992.0</v>
      </c>
      <c r="K37" s="24">
        <f>32500*0.8</f>
        <v>26000</v>
      </c>
      <c r="L37" s="24">
        <v>35000.0</v>
      </c>
      <c r="M37" s="25" t="s">
        <v>76</v>
      </c>
      <c r="N37" s="26"/>
      <c r="O37" s="27">
        <f t="shared" si="7"/>
        <v>0.3461538462</v>
      </c>
      <c r="P37" s="28">
        <f t="shared" si="9"/>
        <v>0</v>
      </c>
    </row>
    <row r="38" hidden="1">
      <c r="A38" s="59" t="s">
        <v>87</v>
      </c>
      <c r="B38" s="51" t="s">
        <v>72</v>
      </c>
      <c r="C38" s="18"/>
      <c r="D38" s="4"/>
      <c r="E38" s="19"/>
      <c r="F38" s="19"/>
      <c r="G38" s="16" t="s">
        <v>88</v>
      </c>
      <c r="H38" s="21"/>
      <c r="I38" s="22">
        <v>2.0</v>
      </c>
      <c r="J38" s="47">
        <v>46844.0</v>
      </c>
      <c r="K38" s="60">
        <v>14173.0</v>
      </c>
      <c r="L38" s="55">
        <v>24000.0</v>
      </c>
      <c r="M38" s="25"/>
      <c r="N38" s="26"/>
      <c r="O38" s="27">
        <f t="shared" si="7"/>
        <v>0.6933606153</v>
      </c>
      <c r="P38" s="28" t="str">
        <f>K38*#REF!</f>
        <v>#REF!</v>
      </c>
    </row>
    <row r="39" hidden="1">
      <c r="A39" s="16" t="s">
        <v>89</v>
      </c>
      <c r="B39" s="51" t="s">
        <v>90</v>
      </c>
      <c r="C39" s="38"/>
      <c r="D39" s="61"/>
      <c r="E39" s="19"/>
      <c r="F39" s="62"/>
      <c r="G39" s="16" t="s">
        <v>91</v>
      </c>
      <c r="H39" s="21"/>
      <c r="I39" s="22">
        <v>11.0</v>
      </c>
      <c r="J39" s="47">
        <v>46447.0</v>
      </c>
      <c r="K39" s="60">
        <v>54000.0</v>
      </c>
      <c r="L39" s="55">
        <v>68000.0</v>
      </c>
      <c r="M39" s="25" t="s">
        <v>82</v>
      </c>
      <c r="N39" s="26"/>
      <c r="O39" s="27">
        <f t="shared" si="7"/>
        <v>0.2592592593</v>
      </c>
      <c r="P39" s="28">
        <f t="shared" ref="P39:P57" si="10">K39*F39</f>
        <v>0</v>
      </c>
    </row>
    <row r="40" hidden="1">
      <c r="A40" s="16" t="s">
        <v>92</v>
      </c>
      <c r="B40" s="51" t="s">
        <v>72</v>
      </c>
      <c r="C40" s="18"/>
      <c r="D40" s="4"/>
      <c r="E40" s="19">
        <v>0.0</v>
      </c>
      <c r="F40" s="19">
        <v>0.0</v>
      </c>
      <c r="G40" s="20" t="s">
        <v>93</v>
      </c>
      <c r="H40" s="21"/>
      <c r="I40" s="22">
        <v>6.0</v>
      </c>
      <c r="J40" s="58">
        <v>46296.0</v>
      </c>
      <c r="K40" s="48">
        <v>33800.0</v>
      </c>
      <c r="L40" s="55">
        <v>42500.0</v>
      </c>
      <c r="M40" s="25" t="s">
        <v>76</v>
      </c>
      <c r="N40" s="57"/>
      <c r="O40" s="27">
        <f t="shared" si="7"/>
        <v>0.2573964497</v>
      </c>
      <c r="P40" s="28">
        <f t="shared" si="10"/>
        <v>0</v>
      </c>
    </row>
    <row r="41" hidden="1">
      <c r="A41" s="16" t="s">
        <v>94</v>
      </c>
      <c r="B41" s="51" t="s">
        <v>72</v>
      </c>
      <c r="C41" s="18"/>
      <c r="D41" s="4"/>
      <c r="E41" s="19">
        <v>0.0</v>
      </c>
      <c r="F41" s="19">
        <v>0.0</v>
      </c>
      <c r="G41" s="20" t="s">
        <v>78</v>
      </c>
      <c r="H41" s="21">
        <v>1.0</v>
      </c>
      <c r="I41" s="22">
        <v>3.0</v>
      </c>
      <c r="J41" s="29"/>
      <c r="K41" s="32">
        <v>150579.0</v>
      </c>
      <c r="L41" s="24">
        <v>210000.0</v>
      </c>
      <c r="M41" s="25"/>
      <c r="N41" s="63" t="s">
        <v>95</v>
      </c>
      <c r="O41" s="27">
        <f t="shared" si="7"/>
        <v>0.3946167792</v>
      </c>
      <c r="P41" s="28">
        <f t="shared" si="10"/>
        <v>0</v>
      </c>
    </row>
    <row r="42" hidden="1">
      <c r="A42" s="16" t="s">
        <v>96</v>
      </c>
      <c r="B42" s="51" t="s">
        <v>72</v>
      </c>
      <c r="C42" s="64" t="s">
        <v>97</v>
      </c>
      <c r="D42" s="4"/>
      <c r="E42" s="19"/>
      <c r="F42" s="19"/>
      <c r="G42" s="16" t="s">
        <v>98</v>
      </c>
      <c r="H42" s="21">
        <v>10.0</v>
      </c>
      <c r="I42" s="22"/>
      <c r="J42" s="29" t="s">
        <v>99</v>
      </c>
      <c r="K42" s="48">
        <v>12400.0</v>
      </c>
      <c r="L42" s="55">
        <v>18000.0</v>
      </c>
      <c r="M42" s="25" t="s">
        <v>76</v>
      </c>
      <c r="N42" s="65">
        <v>15000.0</v>
      </c>
      <c r="O42" s="27">
        <f t="shared" si="7"/>
        <v>0.4516129032</v>
      </c>
      <c r="P42" s="28">
        <f t="shared" si="10"/>
        <v>0</v>
      </c>
    </row>
    <row r="43" hidden="1">
      <c r="A43" s="16" t="s">
        <v>100</v>
      </c>
      <c r="B43" s="17"/>
      <c r="C43" s="18"/>
      <c r="D43" s="4"/>
      <c r="E43" s="19">
        <v>0.0</v>
      </c>
      <c r="F43" s="19">
        <v>0.0</v>
      </c>
      <c r="G43" s="16" t="s">
        <v>84</v>
      </c>
      <c r="H43" s="21"/>
      <c r="I43" s="22">
        <v>0.0</v>
      </c>
      <c r="J43" s="29"/>
      <c r="K43" s="48">
        <v>37140.0</v>
      </c>
      <c r="L43" s="55">
        <v>46400.0</v>
      </c>
      <c r="M43" s="25"/>
      <c r="N43" s="57"/>
      <c r="O43" s="27">
        <f t="shared" si="7"/>
        <v>0.2493268713</v>
      </c>
      <c r="P43" s="28">
        <f t="shared" si="10"/>
        <v>0</v>
      </c>
    </row>
    <row r="44" hidden="1">
      <c r="A44" s="16" t="s">
        <v>101</v>
      </c>
      <c r="B44" s="17"/>
      <c r="C44" s="18"/>
      <c r="D44" s="66"/>
      <c r="E44" s="19">
        <v>0.0</v>
      </c>
      <c r="F44" s="19">
        <v>0.0</v>
      </c>
      <c r="G44" s="54" t="s">
        <v>102</v>
      </c>
      <c r="H44" s="21"/>
      <c r="I44" s="22">
        <v>8.0</v>
      </c>
      <c r="J44" s="29"/>
      <c r="K44" s="48">
        <f>21315*1.19</f>
        <v>25364.85</v>
      </c>
      <c r="L44" s="48">
        <v>38000.0</v>
      </c>
      <c r="M44" s="25" t="s">
        <v>82</v>
      </c>
      <c r="N44" s="26">
        <v>32000.0</v>
      </c>
      <c r="O44" s="27">
        <f t="shared" si="7"/>
        <v>0.4981362003</v>
      </c>
      <c r="P44" s="28">
        <f t="shared" si="10"/>
        <v>0</v>
      </c>
    </row>
    <row r="45" hidden="1">
      <c r="A45" s="42" t="s">
        <v>103</v>
      </c>
      <c r="B45" s="36"/>
      <c r="C45" s="18"/>
      <c r="D45" s="4"/>
      <c r="E45" s="19">
        <v>0.0</v>
      </c>
      <c r="F45" s="19">
        <v>0.0</v>
      </c>
      <c r="G45" s="16" t="s">
        <v>104</v>
      </c>
      <c r="H45" s="21"/>
      <c r="I45" s="22">
        <v>5.0</v>
      </c>
      <c r="J45" s="47">
        <v>46478.0</v>
      </c>
      <c r="K45" s="32">
        <f>23294*1.19</f>
        <v>27719.86</v>
      </c>
      <c r="L45" s="24">
        <v>40000.0</v>
      </c>
      <c r="M45" s="25"/>
      <c r="N45" s="26">
        <v>35000.0</v>
      </c>
      <c r="O45" s="27">
        <f t="shared" si="7"/>
        <v>0.4430087309</v>
      </c>
      <c r="P45" s="28">
        <f t="shared" si="10"/>
        <v>0</v>
      </c>
    </row>
    <row r="46" hidden="1">
      <c r="A46" s="16" t="s">
        <v>105</v>
      </c>
      <c r="B46" s="17"/>
      <c r="C46" s="18"/>
      <c r="D46" s="4"/>
      <c r="E46" s="19">
        <v>0.0</v>
      </c>
      <c r="F46" s="19">
        <v>0.0</v>
      </c>
      <c r="G46" s="16" t="s">
        <v>84</v>
      </c>
      <c r="H46" s="21"/>
      <c r="I46" s="22">
        <v>0.0</v>
      </c>
      <c r="J46" s="29"/>
      <c r="K46" s="43">
        <v>10320.0</v>
      </c>
      <c r="L46" s="44">
        <v>30000.0</v>
      </c>
      <c r="M46" s="25"/>
      <c r="N46" s="57"/>
      <c r="O46" s="27">
        <f t="shared" si="7"/>
        <v>1.906976744</v>
      </c>
      <c r="P46" s="28">
        <f t="shared" si="10"/>
        <v>0</v>
      </c>
    </row>
    <row r="47" hidden="1">
      <c r="A47" s="16" t="s">
        <v>106</v>
      </c>
      <c r="B47" s="36" t="s">
        <v>107</v>
      </c>
      <c r="C47" s="18"/>
      <c r="D47" s="4"/>
      <c r="E47" s="19">
        <v>0.0</v>
      </c>
      <c r="F47" s="19">
        <v>0.0</v>
      </c>
      <c r="G47" s="16" t="s">
        <v>70</v>
      </c>
      <c r="H47" s="21"/>
      <c r="I47" s="22">
        <v>0.0</v>
      </c>
      <c r="J47" s="47">
        <v>46023.0</v>
      </c>
      <c r="K47" s="32">
        <f>40000*0.8*1.19</f>
        <v>38080</v>
      </c>
      <c r="L47" s="32">
        <v>56000.0</v>
      </c>
      <c r="M47" s="25"/>
      <c r="N47" s="26"/>
      <c r="O47" s="27">
        <f t="shared" si="7"/>
        <v>0.4705882353</v>
      </c>
      <c r="P47" s="28">
        <f t="shared" si="10"/>
        <v>0</v>
      </c>
    </row>
    <row r="48" hidden="1">
      <c r="A48" s="42" t="s">
        <v>108</v>
      </c>
      <c r="B48" s="36"/>
      <c r="C48" s="18"/>
      <c r="D48" s="4"/>
      <c r="E48" s="19">
        <v>0.0</v>
      </c>
      <c r="F48" s="19">
        <v>10.0</v>
      </c>
      <c r="G48" s="16" t="s">
        <v>104</v>
      </c>
      <c r="H48" s="21"/>
      <c r="I48" s="22">
        <v>4.0</v>
      </c>
      <c r="J48" s="47">
        <v>46569.0</v>
      </c>
      <c r="K48" s="24">
        <f>25757*1.19</f>
        <v>30650.83</v>
      </c>
      <c r="L48" s="24">
        <v>45000.0</v>
      </c>
      <c r="M48" s="25"/>
      <c r="N48" s="26">
        <v>38000.0</v>
      </c>
      <c r="O48" s="27">
        <f t="shared" si="7"/>
        <v>0.4681494759</v>
      </c>
      <c r="P48" s="28">
        <f t="shared" si="10"/>
        <v>306508.3</v>
      </c>
    </row>
    <row r="49" hidden="1">
      <c r="A49" s="52" t="s">
        <v>109</v>
      </c>
      <c r="B49" s="36" t="s">
        <v>110</v>
      </c>
      <c r="C49" s="18"/>
      <c r="D49" s="67"/>
      <c r="E49" s="19">
        <v>0.0</v>
      </c>
      <c r="F49" s="19">
        <v>0.0</v>
      </c>
      <c r="G49" s="16" t="s">
        <v>111</v>
      </c>
      <c r="H49" s="21"/>
      <c r="I49" s="22"/>
      <c r="J49" s="23"/>
      <c r="K49" s="55">
        <f>24667*1.19</f>
        <v>29353.73</v>
      </c>
      <c r="L49" s="55">
        <v>45000.0</v>
      </c>
      <c r="M49" s="25"/>
      <c r="N49" s="26">
        <v>35000.0</v>
      </c>
      <c r="O49" s="27">
        <f t="shared" si="7"/>
        <v>0.5330249341</v>
      </c>
      <c r="P49" s="28">
        <f t="shared" si="10"/>
        <v>0</v>
      </c>
    </row>
    <row r="50" hidden="1">
      <c r="A50" s="16" t="s">
        <v>112</v>
      </c>
      <c r="B50" s="17" t="s">
        <v>113</v>
      </c>
      <c r="C50" s="68"/>
      <c r="D50" s="4"/>
      <c r="E50" s="19">
        <v>0.0</v>
      </c>
      <c r="F50" s="19">
        <v>0.0</v>
      </c>
      <c r="G50" s="20" t="s">
        <v>78</v>
      </c>
      <c r="H50" s="21">
        <v>3.0</v>
      </c>
      <c r="I50" s="22">
        <v>6.0</v>
      </c>
      <c r="J50" s="23"/>
      <c r="K50" s="24">
        <v>30257.0</v>
      </c>
      <c r="L50" s="24">
        <v>52000.0</v>
      </c>
      <c r="M50" s="25" t="s">
        <v>82</v>
      </c>
      <c r="N50" s="26">
        <v>38000.0</v>
      </c>
      <c r="O50" s="27">
        <f t="shared" si="7"/>
        <v>0.7186105695</v>
      </c>
      <c r="P50" s="28">
        <f t="shared" si="10"/>
        <v>0</v>
      </c>
    </row>
    <row r="51" hidden="1">
      <c r="A51" s="16" t="s">
        <v>114</v>
      </c>
      <c r="B51" s="51" t="s">
        <v>115</v>
      </c>
      <c r="C51" s="38"/>
      <c r="D51" s="61"/>
      <c r="E51" s="19"/>
      <c r="F51" s="62"/>
      <c r="G51" s="16" t="s">
        <v>91</v>
      </c>
      <c r="H51" s="21"/>
      <c r="I51" s="22">
        <v>3.0</v>
      </c>
      <c r="J51" s="45"/>
      <c r="K51" s="60">
        <v>118000.0</v>
      </c>
      <c r="L51" s="55">
        <v>170000.0</v>
      </c>
      <c r="M51" s="25" t="s">
        <v>82</v>
      </c>
      <c r="N51" s="26"/>
      <c r="O51" s="27">
        <f t="shared" si="7"/>
        <v>0.4406779661</v>
      </c>
      <c r="P51" s="28">
        <f t="shared" si="10"/>
        <v>0</v>
      </c>
    </row>
    <row r="52" hidden="1">
      <c r="A52" s="16" t="s">
        <v>116</v>
      </c>
      <c r="B52" s="36"/>
      <c r="C52" s="18"/>
      <c r="D52" s="4"/>
      <c r="E52" s="19">
        <v>0.0</v>
      </c>
      <c r="F52" s="19">
        <v>0.0</v>
      </c>
      <c r="G52" s="40" t="s">
        <v>93</v>
      </c>
      <c r="H52" s="21"/>
      <c r="I52" s="22">
        <v>3.0</v>
      </c>
      <c r="J52" s="29"/>
      <c r="K52" s="32">
        <v>19710.0</v>
      </c>
      <c r="L52" s="24">
        <v>24630.0</v>
      </c>
      <c r="M52" s="25"/>
      <c r="N52" s="69"/>
      <c r="O52" s="27">
        <f t="shared" si="7"/>
        <v>0.2496194825</v>
      </c>
      <c r="P52" s="28">
        <f t="shared" si="10"/>
        <v>0</v>
      </c>
    </row>
    <row r="53" hidden="1">
      <c r="A53" s="16" t="s">
        <v>117</v>
      </c>
      <c r="B53" s="17"/>
      <c r="C53" s="18" t="s">
        <v>118</v>
      </c>
      <c r="D53" s="4"/>
      <c r="E53" s="19">
        <v>0.0</v>
      </c>
      <c r="F53" s="19">
        <v>0.0</v>
      </c>
      <c r="G53" s="16" t="s">
        <v>119</v>
      </c>
      <c r="H53" s="21">
        <v>3.0</v>
      </c>
      <c r="I53" s="22">
        <v>4.0</v>
      </c>
      <c r="J53" s="45" t="s">
        <v>99</v>
      </c>
      <c r="K53" s="46">
        <v>45031.0</v>
      </c>
      <c r="L53" s="24">
        <v>58000.0</v>
      </c>
      <c r="M53" s="25" t="s">
        <v>120</v>
      </c>
      <c r="N53" s="26"/>
      <c r="O53" s="27">
        <f t="shared" si="7"/>
        <v>0.2880015989</v>
      </c>
      <c r="P53" s="28">
        <f t="shared" si="10"/>
        <v>0</v>
      </c>
    </row>
    <row r="54" hidden="1">
      <c r="A54" s="16" t="s">
        <v>121</v>
      </c>
      <c r="B54" s="17" t="s">
        <v>122</v>
      </c>
      <c r="C54" s="18" t="s">
        <v>123</v>
      </c>
      <c r="D54" s="4"/>
      <c r="E54" s="19">
        <v>1.0</v>
      </c>
      <c r="F54" s="19">
        <v>0.0</v>
      </c>
      <c r="G54" s="16" t="s">
        <v>124</v>
      </c>
      <c r="H54" s="21">
        <v>1.0</v>
      </c>
      <c r="I54" s="22">
        <v>2.0</v>
      </c>
      <c r="J54" s="58">
        <v>45931.0</v>
      </c>
      <c r="K54" s="55">
        <v>211194.0</v>
      </c>
      <c r="L54" s="55">
        <v>248000.0</v>
      </c>
      <c r="M54" s="25"/>
      <c r="N54" s="26"/>
      <c r="O54" s="27">
        <f t="shared" si="7"/>
        <v>0.1742757843</v>
      </c>
      <c r="P54" s="28">
        <f t="shared" si="10"/>
        <v>0</v>
      </c>
    </row>
    <row r="55" hidden="1">
      <c r="A55" s="16" t="s">
        <v>125</v>
      </c>
      <c r="B55" s="17"/>
      <c r="C55" s="18" t="s">
        <v>123</v>
      </c>
      <c r="D55" s="4"/>
      <c r="E55" s="19">
        <v>0.0</v>
      </c>
      <c r="F55" s="19">
        <v>0.0</v>
      </c>
      <c r="G55" s="16" t="s">
        <v>119</v>
      </c>
      <c r="H55" s="21">
        <v>0.0</v>
      </c>
      <c r="I55" s="22"/>
      <c r="J55" s="23"/>
      <c r="K55" s="55">
        <v>25000.0</v>
      </c>
      <c r="L55" s="55">
        <v>30000.0</v>
      </c>
      <c r="M55" s="25"/>
      <c r="N55" s="69"/>
      <c r="O55" s="27">
        <f t="shared" si="7"/>
        <v>0.2</v>
      </c>
      <c r="P55" s="28">
        <f t="shared" si="10"/>
        <v>0</v>
      </c>
    </row>
    <row r="56" hidden="1">
      <c r="A56" s="16" t="s">
        <v>126</v>
      </c>
      <c r="B56" s="17"/>
      <c r="C56" s="18"/>
      <c r="D56" s="4"/>
      <c r="E56" s="19">
        <v>0.0</v>
      </c>
      <c r="F56" s="19">
        <v>0.0</v>
      </c>
      <c r="G56" s="16" t="s">
        <v>127</v>
      </c>
      <c r="H56" s="21"/>
      <c r="I56" s="22">
        <v>0.0</v>
      </c>
      <c r="J56" s="29"/>
      <c r="K56" s="48">
        <v>26900.0</v>
      </c>
      <c r="L56" s="55">
        <v>33600.0</v>
      </c>
      <c r="M56" s="25"/>
      <c r="N56" s="69"/>
      <c r="O56" s="27">
        <f t="shared" si="7"/>
        <v>0.249070632</v>
      </c>
      <c r="P56" s="28">
        <f t="shared" si="10"/>
        <v>0</v>
      </c>
    </row>
    <row r="57" hidden="1">
      <c r="A57" s="16" t="s">
        <v>128</v>
      </c>
      <c r="B57" s="49"/>
      <c r="C57" s="18" t="s">
        <v>123</v>
      </c>
      <c r="D57" s="4"/>
      <c r="E57" s="19"/>
      <c r="F57" s="19"/>
      <c r="G57" s="16" t="s">
        <v>98</v>
      </c>
      <c r="H57" s="21">
        <v>0.0</v>
      </c>
      <c r="I57" s="22"/>
      <c r="J57" s="47">
        <v>46113.0</v>
      </c>
      <c r="K57" s="55">
        <v>13953.0</v>
      </c>
      <c r="L57" s="55">
        <v>22000.0</v>
      </c>
      <c r="M57" s="25"/>
      <c r="N57" s="70"/>
      <c r="O57" s="27">
        <f t="shared" si="7"/>
        <v>0.5767218519</v>
      </c>
      <c r="P57" s="28">
        <f t="shared" si="10"/>
        <v>0</v>
      </c>
    </row>
    <row r="58" hidden="1">
      <c r="A58" s="16" t="s">
        <v>129</v>
      </c>
      <c r="B58" s="49"/>
      <c r="C58" s="18" t="s">
        <v>123</v>
      </c>
      <c r="D58" s="4"/>
      <c r="E58" s="19"/>
      <c r="F58" s="19"/>
      <c r="G58" s="16" t="s">
        <v>98</v>
      </c>
      <c r="H58" s="21">
        <v>0.0</v>
      </c>
      <c r="I58" s="22"/>
      <c r="J58" s="29"/>
      <c r="K58" s="48">
        <v>15153.0</v>
      </c>
      <c r="L58" s="55">
        <v>22000.0</v>
      </c>
      <c r="M58" s="25"/>
      <c r="N58" s="26"/>
      <c r="O58" s="27" t="str">
        <f>(L58/#REF!)-1</f>
        <v>#REF!</v>
      </c>
      <c r="P58" s="28" t="str">
        <f>#REF!*K58</f>
        <v>#REF!</v>
      </c>
    </row>
    <row r="59" hidden="1">
      <c r="A59" s="42" t="s">
        <v>130</v>
      </c>
      <c r="B59" s="71"/>
      <c r="C59" s="18"/>
      <c r="D59" s="4"/>
      <c r="E59" s="19">
        <v>0.0</v>
      </c>
      <c r="F59" s="19">
        <v>0.0</v>
      </c>
      <c r="G59" s="54" t="s">
        <v>63</v>
      </c>
      <c r="H59" s="21"/>
      <c r="I59" s="22">
        <v>0.0</v>
      </c>
      <c r="J59" s="29"/>
      <c r="K59" s="43">
        <f t="shared" ref="K59:K60" si="11">8070*1.19</f>
        <v>9603.3</v>
      </c>
      <c r="L59" s="44">
        <v>20000.0</v>
      </c>
      <c r="M59" s="25"/>
      <c r="N59" s="26"/>
      <c r="O59" s="27">
        <f t="shared" ref="O59:O78" si="12">(L59/K59)-1</f>
        <v>1.082617434</v>
      </c>
      <c r="P59" s="28">
        <f t="shared" ref="P59:P78" si="13">K59*F59</f>
        <v>0</v>
      </c>
    </row>
    <row r="60" hidden="1">
      <c r="A60" s="42" t="s">
        <v>131</v>
      </c>
      <c r="B60" s="71"/>
      <c r="C60" s="18"/>
      <c r="D60" s="4"/>
      <c r="E60" s="19">
        <v>0.0</v>
      </c>
      <c r="F60" s="19">
        <v>0.0</v>
      </c>
      <c r="G60" s="54" t="s">
        <v>63</v>
      </c>
      <c r="H60" s="21"/>
      <c r="I60" s="22">
        <v>0.0</v>
      </c>
      <c r="J60" s="29"/>
      <c r="K60" s="43">
        <f t="shared" si="11"/>
        <v>9603.3</v>
      </c>
      <c r="L60" s="44">
        <v>20000.0</v>
      </c>
      <c r="M60" s="25"/>
      <c r="N60" s="26"/>
      <c r="O60" s="27">
        <f t="shared" si="12"/>
        <v>1.082617434</v>
      </c>
      <c r="P60" s="28">
        <f t="shared" si="13"/>
        <v>0</v>
      </c>
    </row>
    <row r="61" hidden="1">
      <c r="A61" s="16" t="s">
        <v>132</v>
      </c>
      <c r="B61" s="36" t="s">
        <v>133</v>
      </c>
      <c r="C61" s="18" t="s">
        <v>123</v>
      </c>
      <c r="D61" s="4"/>
      <c r="E61" s="19">
        <v>0.0</v>
      </c>
      <c r="F61" s="19">
        <v>0.0</v>
      </c>
      <c r="G61" s="16" t="s">
        <v>70</v>
      </c>
      <c r="H61" s="21"/>
      <c r="I61" s="22">
        <v>0.0</v>
      </c>
      <c r="J61" s="22" t="s">
        <v>134</v>
      </c>
      <c r="K61" s="32">
        <v>16800.0</v>
      </c>
      <c r="L61" s="24">
        <v>25000.0</v>
      </c>
      <c r="M61" s="72"/>
      <c r="N61" s="26">
        <v>22000.0</v>
      </c>
      <c r="O61" s="27">
        <f t="shared" si="12"/>
        <v>0.4880952381</v>
      </c>
      <c r="P61" s="28">
        <f t="shared" si="13"/>
        <v>0</v>
      </c>
    </row>
    <row r="62" hidden="1">
      <c r="A62" s="16" t="s">
        <v>135</v>
      </c>
      <c r="B62" s="36" t="s">
        <v>133</v>
      </c>
      <c r="C62" s="18" t="s">
        <v>123</v>
      </c>
      <c r="D62" s="4"/>
      <c r="E62" s="19">
        <v>0.0</v>
      </c>
      <c r="F62" s="19">
        <v>0.0</v>
      </c>
      <c r="G62" s="16" t="s">
        <v>70</v>
      </c>
      <c r="H62" s="21"/>
      <c r="I62" s="22">
        <v>0.0</v>
      </c>
      <c r="J62" s="47">
        <v>45717.0</v>
      </c>
      <c r="K62" s="32">
        <v>16800.0</v>
      </c>
      <c r="L62" s="24">
        <v>25000.0</v>
      </c>
      <c r="M62" s="72"/>
      <c r="N62" s="26"/>
      <c r="O62" s="27">
        <f t="shared" si="12"/>
        <v>0.4880952381</v>
      </c>
      <c r="P62" s="28">
        <f t="shared" si="13"/>
        <v>0</v>
      </c>
    </row>
    <row r="63" hidden="1">
      <c r="A63" s="16" t="s">
        <v>136</v>
      </c>
      <c r="B63" s="17"/>
      <c r="C63" s="18"/>
      <c r="D63" s="4"/>
      <c r="E63" s="19">
        <v>0.0</v>
      </c>
      <c r="F63" s="19"/>
      <c r="G63" s="16" t="s">
        <v>137</v>
      </c>
      <c r="H63" s="73"/>
      <c r="I63" s="22"/>
      <c r="J63" s="74"/>
      <c r="K63" s="75">
        <v>11700.0</v>
      </c>
      <c r="L63" s="44">
        <v>18000.0</v>
      </c>
      <c r="M63" s="25"/>
      <c r="N63" s="69"/>
      <c r="O63" s="27">
        <f t="shared" si="12"/>
        <v>0.5384615385</v>
      </c>
      <c r="P63" s="28">
        <f t="shared" si="13"/>
        <v>0</v>
      </c>
    </row>
    <row r="64" hidden="1">
      <c r="A64" s="16" t="s">
        <v>138</v>
      </c>
      <c r="B64" s="36" t="s">
        <v>139</v>
      </c>
      <c r="C64" s="18" t="s">
        <v>80</v>
      </c>
      <c r="D64" s="4">
        <f>(195200+37088)/6</f>
        <v>38714.66667</v>
      </c>
      <c r="E64" s="19">
        <v>0.0</v>
      </c>
      <c r="F64" s="19">
        <v>0.0</v>
      </c>
      <c r="G64" s="16" t="s">
        <v>70</v>
      </c>
      <c r="H64" s="21"/>
      <c r="I64" s="22">
        <v>0.0</v>
      </c>
      <c r="J64" s="47">
        <v>46023.0</v>
      </c>
      <c r="K64" s="32">
        <f>245000*0.8*1.19/6</f>
        <v>38873.33333</v>
      </c>
      <c r="L64" s="32">
        <v>65000.0</v>
      </c>
      <c r="M64" s="25"/>
      <c r="N64" s="26">
        <v>48000.0</v>
      </c>
      <c r="O64" s="27">
        <f t="shared" si="12"/>
        <v>0.6720974104</v>
      </c>
      <c r="P64" s="28">
        <f t="shared" si="13"/>
        <v>0</v>
      </c>
    </row>
    <row r="65" hidden="1">
      <c r="A65" s="16" t="s">
        <v>140</v>
      </c>
      <c r="B65" s="36" t="s">
        <v>141</v>
      </c>
      <c r="C65" s="18" t="s">
        <v>142</v>
      </c>
      <c r="D65" s="4"/>
      <c r="E65" s="19">
        <v>0.0</v>
      </c>
      <c r="F65" s="19">
        <v>0.0</v>
      </c>
      <c r="G65" s="16" t="s">
        <v>70</v>
      </c>
      <c r="H65" s="21"/>
      <c r="I65" s="22"/>
      <c r="J65" s="29"/>
      <c r="K65" s="43">
        <f>80000*0.8*1.19</f>
        <v>76160</v>
      </c>
      <c r="L65" s="43">
        <v>100000.0</v>
      </c>
      <c r="M65" s="25"/>
      <c r="N65" s="26"/>
      <c r="O65" s="27">
        <f t="shared" si="12"/>
        <v>0.3130252101</v>
      </c>
      <c r="P65" s="28">
        <f t="shared" si="13"/>
        <v>0</v>
      </c>
    </row>
    <row r="66" hidden="1">
      <c r="A66" s="16" t="s">
        <v>143</v>
      </c>
      <c r="B66" s="36"/>
      <c r="C66" s="18" t="s">
        <v>144</v>
      </c>
      <c r="D66" s="4">
        <v>38000.0</v>
      </c>
      <c r="E66" s="19">
        <v>0.0</v>
      </c>
      <c r="F66" s="19">
        <v>0.0</v>
      </c>
      <c r="G66" s="40" t="s">
        <v>93</v>
      </c>
      <c r="H66" s="21"/>
      <c r="I66" s="22">
        <v>0.0</v>
      </c>
      <c r="J66" s="23"/>
      <c r="K66" s="24">
        <v>36130.0</v>
      </c>
      <c r="L66" s="24">
        <v>49000.0</v>
      </c>
      <c r="M66" s="25"/>
      <c r="N66" s="76"/>
      <c r="O66" s="27">
        <f t="shared" si="12"/>
        <v>0.3562136728</v>
      </c>
      <c r="P66" s="28">
        <f t="shared" si="13"/>
        <v>0</v>
      </c>
    </row>
    <row r="67" hidden="1">
      <c r="A67" s="16" t="s">
        <v>145</v>
      </c>
      <c r="B67" s="36" t="s">
        <v>146</v>
      </c>
      <c r="C67" s="18" t="s">
        <v>142</v>
      </c>
      <c r="D67" s="4"/>
      <c r="E67" s="19">
        <v>0.0</v>
      </c>
      <c r="F67" s="19">
        <v>0.0</v>
      </c>
      <c r="G67" s="16" t="s">
        <v>70</v>
      </c>
      <c r="H67" s="21"/>
      <c r="I67" s="22"/>
      <c r="J67" s="22" t="s">
        <v>147</v>
      </c>
      <c r="K67" s="24">
        <f>250000*0.8</f>
        <v>200000</v>
      </c>
      <c r="L67" s="24">
        <v>270000.0</v>
      </c>
      <c r="M67" s="25"/>
      <c r="N67" s="26"/>
      <c r="O67" s="27">
        <f t="shared" si="12"/>
        <v>0.35</v>
      </c>
      <c r="P67" s="28">
        <f t="shared" si="13"/>
        <v>0</v>
      </c>
    </row>
    <row r="68" hidden="1">
      <c r="A68" s="16" t="s">
        <v>148</v>
      </c>
      <c r="B68" s="36"/>
      <c r="C68" s="18" t="s">
        <v>142</v>
      </c>
      <c r="D68" s="4"/>
      <c r="E68" s="19">
        <v>0.0</v>
      </c>
      <c r="F68" s="19">
        <v>0.0</v>
      </c>
      <c r="G68" s="16" t="s">
        <v>70</v>
      </c>
      <c r="H68" s="21"/>
      <c r="I68" s="22"/>
      <c r="J68" s="23"/>
      <c r="K68" s="48">
        <v>89000.0</v>
      </c>
      <c r="L68" s="55">
        <v>119000.0</v>
      </c>
      <c r="M68" s="25"/>
      <c r="N68" s="26"/>
      <c r="O68" s="27">
        <f t="shared" si="12"/>
        <v>0.3370786517</v>
      </c>
      <c r="P68" s="28">
        <f t="shared" si="13"/>
        <v>0</v>
      </c>
    </row>
    <row r="69" hidden="1">
      <c r="A69" s="16" t="s">
        <v>149</v>
      </c>
      <c r="B69" s="36"/>
      <c r="C69" s="18" t="s">
        <v>142</v>
      </c>
      <c r="D69" s="4"/>
      <c r="E69" s="19">
        <v>0.0</v>
      </c>
      <c r="F69" s="19">
        <v>0.0</v>
      </c>
      <c r="G69" s="16" t="s">
        <v>70</v>
      </c>
      <c r="H69" s="21"/>
      <c r="I69" s="22"/>
      <c r="J69" s="23"/>
      <c r="K69" s="44">
        <v>190000.0</v>
      </c>
      <c r="L69" s="44">
        <v>220000.0</v>
      </c>
      <c r="M69" s="25"/>
      <c r="N69" s="26"/>
      <c r="O69" s="27">
        <f t="shared" si="12"/>
        <v>0.1578947368</v>
      </c>
      <c r="P69" s="28">
        <f t="shared" si="13"/>
        <v>0</v>
      </c>
    </row>
    <row r="70" hidden="1">
      <c r="A70" s="16" t="s">
        <v>150</v>
      </c>
      <c r="B70" s="36" t="s">
        <v>151</v>
      </c>
      <c r="C70" s="18" t="s">
        <v>142</v>
      </c>
      <c r="D70" s="4"/>
      <c r="E70" s="19">
        <v>0.0</v>
      </c>
      <c r="F70" s="19">
        <v>0.0</v>
      </c>
      <c r="G70" s="16" t="s">
        <v>70</v>
      </c>
      <c r="H70" s="21"/>
      <c r="I70" s="22"/>
      <c r="J70" s="23"/>
      <c r="K70" s="24">
        <v>200000.0</v>
      </c>
      <c r="L70" s="24">
        <v>270000.0</v>
      </c>
      <c r="M70" s="25"/>
      <c r="N70" s="26"/>
      <c r="O70" s="27">
        <f t="shared" si="12"/>
        <v>0.35</v>
      </c>
      <c r="P70" s="28">
        <f t="shared" si="13"/>
        <v>0</v>
      </c>
    </row>
    <row r="71" hidden="1">
      <c r="A71" s="16" t="s">
        <v>152</v>
      </c>
      <c r="B71" s="36" t="s">
        <v>153</v>
      </c>
      <c r="C71" s="18" t="s">
        <v>142</v>
      </c>
      <c r="D71" s="4" t="s">
        <v>154</v>
      </c>
      <c r="E71" s="19">
        <v>0.0</v>
      </c>
      <c r="F71" s="19">
        <v>0.0</v>
      </c>
      <c r="G71" s="16" t="s">
        <v>70</v>
      </c>
      <c r="H71" s="21"/>
      <c r="I71" s="22"/>
      <c r="J71" s="29"/>
      <c r="K71" s="43">
        <f>123000*0.8*1.19</f>
        <v>117096</v>
      </c>
      <c r="L71" s="44">
        <v>165000.0</v>
      </c>
      <c r="M71" s="25"/>
      <c r="N71" s="26"/>
      <c r="O71" s="27">
        <f t="shared" si="12"/>
        <v>0.4091002255</v>
      </c>
      <c r="P71" s="28">
        <f t="shared" si="13"/>
        <v>0</v>
      </c>
    </row>
    <row r="72" hidden="1">
      <c r="A72" s="16" t="s">
        <v>155</v>
      </c>
      <c r="B72" s="17"/>
      <c r="C72" s="18"/>
      <c r="D72" s="4"/>
      <c r="E72" s="19">
        <v>0.0</v>
      </c>
      <c r="F72" s="19">
        <v>0.0</v>
      </c>
      <c r="G72" s="16" t="s">
        <v>119</v>
      </c>
      <c r="H72" s="21">
        <v>4.0</v>
      </c>
      <c r="I72" s="22">
        <v>0.0</v>
      </c>
      <c r="J72" s="23"/>
      <c r="K72" s="24">
        <v>115250.0</v>
      </c>
      <c r="L72" s="24">
        <v>148000.0</v>
      </c>
      <c r="M72" s="25" t="s">
        <v>120</v>
      </c>
      <c r="N72" s="26"/>
      <c r="O72" s="27">
        <f t="shared" si="12"/>
        <v>0.284164859</v>
      </c>
      <c r="P72" s="28">
        <f t="shared" si="13"/>
        <v>0</v>
      </c>
    </row>
    <row r="73" hidden="1">
      <c r="A73" s="16" t="s">
        <v>156</v>
      </c>
      <c r="B73" s="17" t="s">
        <v>157</v>
      </c>
      <c r="C73" s="18"/>
      <c r="D73" s="4"/>
      <c r="E73" s="19">
        <v>1.0</v>
      </c>
      <c r="F73" s="77">
        <v>0.0</v>
      </c>
      <c r="G73" s="16" t="s">
        <v>119</v>
      </c>
      <c r="H73" s="21">
        <v>1.0</v>
      </c>
      <c r="I73" s="22">
        <v>2.0</v>
      </c>
      <c r="J73" s="47">
        <v>45901.0</v>
      </c>
      <c r="K73" s="24">
        <v>97429.0</v>
      </c>
      <c r="L73" s="24">
        <v>125000.0</v>
      </c>
      <c r="M73" s="25" t="s">
        <v>120</v>
      </c>
      <c r="N73" s="26"/>
      <c r="O73" s="27">
        <f t="shared" si="12"/>
        <v>0.2829855587</v>
      </c>
      <c r="P73" s="28">
        <f t="shared" si="13"/>
        <v>0</v>
      </c>
    </row>
    <row r="74" hidden="1">
      <c r="A74" s="16" t="s">
        <v>158</v>
      </c>
      <c r="B74" s="36"/>
      <c r="C74" s="18"/>
      <c r="D74" s="4"/>
      <c r="E74" s="19">
        <v>0.0</v>
      </c>
      <c r="F74" s="19">
        <v>0.0</v>
      </c>
      <c r="G74" s="20" t="s">
        <v>159</v>
      </c>
      <c r="H74" s="21"/>
      <c r="I74" s="22">
        <v>0.0</v>
      </c>
      <c r="J74" s="29"/>
      <c r="K74" s="43">
        <v>141000.0</v>
      </c>
      <c r="L74" s="44">
        <v>175000.0</v>
      </c>
      <c r="M74" s="25"/>
      <c r="N74" s="69"/>
      <c r="O74" s="27">
        <f t="shared" si="12"/>
        <v>0.2411347518</v>
      </c>
      <c r="P74" s="28">
        <f t="shared" si="13"/>
        <v>0</v>
      </c>
    </row>
    <row r="75" hidden="1">
      <c r="A75" s="16" t="s">
        <v>160</v>
      </c>
      <c r="B75" s="36"/>
      <c r="C75" s="18"/>
      <c r="D75" s="4"/>
      <c r="E75" s="19">
        <v>0.0</v>
      </c>
      <c r="F75" s="19">
        <v>0.0</v>
      </c>
      <c r="G75" s="20" t="s">
        <v>159</v>
      </c>
      <c r="H75" s="21"/>
      <c r="I75" s="22">
        <v>0.0</v>
      </c>
      <c r="J75" s="29"/>
      <c r="K75" s="43">
        <v>292000.0</v>
      </c>
      <c r="L75" s="44">
        <v>365000.0</v>
      </c>
      <c r="M75" s="78"/>
      <c r="N75" s="69"/>
      <c r="O75" s="27">
        <f t="shared" si="12"/>
        <v>0.25</v>
      </c>
      <c r="P75" s="28">
        <f t="shared" si="13"/>
        <v>0</v>
      </c>
    </row>
    <row r="76" hidden="1">
      <c r="A76" s="16" t="s">
        <v>161</v>
      </c>
      <c r="B76" s="36"/>
      <c r="C76" s="18"/>
      <c r="D76" s="4"/>
      <c r="E76" s="19">
        <v>2.0</v>
      </c>
      <c r="F76" s="19">
        <v>0.0</v>
      </c>
      <c r="G76" s="20" t="s">
        <v>159</v>
      </c>
      <c r="H76" s="21"/>
      <c r="I76" s="22">
        <v>0.0</v>
      </c>
      <c r="J76" s="47">
        <v>45748.0</v>
      </c>
      <c r="K76" s="55">
        <v>287900.0</v>
      </c>
      <c r="L76" s="55">
        <v>359800.0</v>
      </c>
      <c r="M76" s="25"/>
      <c r="N76" s="50"/>
      <c r="O76" s="27">
        <f t="shared" si="12"/>
        <v>0.2497394929</v>
      </c>
      <c r="P76" s="28">
        <f t="shared" si="13"/>
        <v>0</v>
      </c>
    </row>
    <row r="77" hidden="1">
      <c r="A77" s="16" t="s">
        <v>162</v>
      </c>
      <c r="B77" s="49"/>
      <c r="C77" s="18"/>
      <c r="D77" s="4"/>
      <c r="E77" s="19"/>
      <c r="F77" s="19"/>
      <c r="G77" s="20" t="s">
        <v>163</v>
      </c>
      <c r="H77" s="21">
        <v>0.0</v>
      </c>
      <c r="I77" s="22">
        <v>0.0</v>
      </c>
      <c r="J77" s="58">
        <v>45870.0</v>
      </c>
      <c r="K77" s="79">
        <v>42000.0</v>
      </c>
      <c r="L77" s="79">
        <v>65000.0</v>
      </c>
      <c r="M77" s="25"/>
      <c r="N77" s="70"/>
      <c r="O77" s="27">
        <f t="shared" si="12"/>
        <v>0.5476190476</v>
      </c>
      <c r="P77" s="28">
        <f t="shared" si="13"/>
        <v>0</v>
      </c>
    </row>
    <row r="78" hidden="1">
      <c r="A78" s="16" t="s">
        <v>164</v>
      </c>
      <c r="B78" s="49"/>
      <c r="C78" s="18"/>
      <c r="D78" s="4"/>
      <c r="E78" s="19"/>
      <c r="F78" s="19"/>
      <c r="G78" s="20" t="s">
        <v>163</v>
      </c>
      <c r="H78" s="21">
        <v>0.0</v>
      </c>
      <c r="I78" s="22">
        <v>0.0</v>
      </c>
      <c r="J78" s="58">
        <v>45869.0</v>
      </c>
      <c r="K78" s="55">
        <v>65450.0</v>
      </c>
      <c r="L78" s="55">
        <v>88000.0</v>
      </c>
      <c r="M78" s="25"/>
      <c r="N78" s="70"/>
      <c r="O78" s="27">
        <f t="shared" si="12"/>
        <v>0.3445378151</v>
      </c>
      <c r="P78" s="28">
        <f t="shared" si="13"/>
        <v>0</v>
      </c>
    </row>
    <row r="79" hidden="1">
      <c r="A79" s="80" t="s">
        <v>165</v>
      </c>
      <c r="B79" s="81"/>
      <c r="C79" s="82"/>
      <c r="D79" s="83"/>
      <c r="E79" s="19">
        <v>0.0</v>
      </c>
      <c r="F79" s="19">
        <v>0.0</v>
      </c>
      <c r="G79" s="80"/>
      <c r="H79" s="84"/>
      <c r="I79" s="85"/>
      <c r="J79" s="86"/>
      <c r="K79" s="87"/>
      <c r="L79" s="87">
        <v>312000.0</v>
      </c>
      <c r="M79" s="88"/>
      <c r="N79" s="89"/>
      <c r="O79" s="90"/>
      <c r="P79" s="91"/>
    </row>
    <row r="80" hidden="1">
      <c r="A80" s="16" t="s">
        <v>166</v>
      </c>
      <c r="B80" s="36" t="s">
        <v>167</v>
      </c>
      <c r="C80" s="92" t="s">
        <v>168</v>
      </c>
      <c r="D80" s="4"/>
      <c r="E80" s="19">
        <v>0.0</v>
      </c>
      <c r="F80" s="19">
        <v>0.0</v>
      </c>
      <c r="G80" s="16" t="s">
        <v>169</v>
      </c>
      <c r="H80" s="21"/>
      <c r="I80" s="22"/>
      <c r="J80" s="23"/>
      <c r="K80" s="24">
        <v>80808.0</v>
      </c>
      <c r="L80" s="24">
        <v>120000.0</v>
      </c>
      <c r="M80" s="78" t="s">
        <v>76</v>
      </c>
      <c r="N80" s="26">
        <v>110000.0</v>
      </c>
      <c r="O80" s="27">
        <f t="shared" ref="O80:O82" si="14">(L80/K80)-1</f>
        <v>0.485001485</v>
      </c>
      <c r="P80" s="28">
        <f t="shared" ref="P80:P81" si="15">K80*F80</f>
        <v>0</v>
      </c>
    </row>
    <row r="81" hidden="1">
      <c r="A81" s="16" t="s">
        <v>170</v>
      </c>
      <c r="B81" s="36" t="s">
        <v>167</v>
      </c>
      <c r="C81" s="18"/>
      <c r="D81" s="4"/>
      <c r="E81" s="19">
        <v>0.0</v>
      </c>
      <c r="F81" s="19">
        <v>0.0</v>
      </c>
      <c r="G81" s="16" t="s">
        <v>169</v>
      </c>
      <c r="H81" s="21"/>
      <c r="I81" s="22"/>
      <c r="J81" s="23"/>
      <c r="K81" s="24">
        <v>97275.0</v>
      </c>
      <c r="L81" s="24">
        <v>130000.0</v>
      </c>
      <c r="M81" s="25" t="s">
        <v>76</v>
      </c>
      <c r="N81" s="26">
        <v>120000.0</v>
      </c>
      <c r="O81" s="27">
        <f t="shared" si="14"/>
        <v>0.3364173734</v>
      </c>
      <c r="P81" s="28">
        <f t="shared" si="15"/>
        <v>0</v>
      </c>
    </row>
    <row r="82" hidden="1">
      <c r="A82" s="16" t="s">
        <v>171</v>
      </c>
      <c r="B82" s="36" t="s">
        <v>167</v>
      </c>
      <c r="C82" s="18"/>
      <c r="D82" s="4"/>
      <c r="E82" s="19">
        <v>0.0</v>
      </c>
      <c r="F82" s="19">
        <v>0.0</v>
      </c>
      <c r="G82" s="16" t="s">
        <v>172</v>
      </c>
      <c r="H82" s="21"/>
      <c r="I82" s="22"/>
      <c r="J82" s="29"/>
      <c r="K82" s="32">
        <f>130000/15</f>
        <v>8666.666667</v>
      </c>
      <c r="L82" s="24">
        <v>20000.0</v>
      </c>
      <c r="M82" s="25"/>
      <c r="N82" s="26"/>
      <c r="O82" s="27">
        <f t="shared" si="14"/>
        <v>1.307692308</v>
      </c>
      <c r="P82" s="28">
        <f>K82*F81</f>
        <v>0</v>
      </c>
    </row>
    <row r="83" hidden="1">
      <c r="A83" s="16" t="s">
        <v>173</v>
      </c>
      <c r="B83" s="36" t="s">
        <v>167</v>
      </c>
      <c r="C83" s="92"/>
      <c r="D83" s="4"/>
      <c r="E83" s="19">
        <v>0.0</v>
      </c>
      <c r="F83" s="19">
        <v>0.0</v>
      </c>
      <c r="G83" s="16" t="s">
        <v>169</v>
      </c>
      <c r="H83" s="21"/>
      <c r="I83" s="22"/>
      <c r="J83" s="23"/>
      <c r="K83" s="24">
        <v>80808.0</v>
      </c>
      <c r="L83" s="24">
        <v>120000.0</v>
      </c>
      <c r="M83" s="78" t="s">
        <v>76</v>
      </c>
      <c r="N83" s="26"/>
      <c r="O83" s="27">
        <f t="shared" ref="O83:O131" si="16">(L83/K83)-1</f>
        <v>0.485001485</v>
      </c>
      <c r="P83" s="28">
        <f t="shared" ref="P83:P131" si="17">K83*F83</f>
        <v>0</v>
      </c>
    </row>
    <row r="84" hidden="1">
      <c r="A84" s="16" t="s">
        <v>174</v>
      </c>
      <c r="B84" s="36" t="s">
        <v>167</v>
      </c>
      <c r="C84" s="18"/>
      <c r="D84" s="4"/>
      <c r="E84" s="19">
        <v>0.0</v>
      </c>
      <c r="F84" s="19">
        <v>0.0</v>
      </c>
      <c r="G84" s="16" t="s">
        <v>169</v>
      </c>
      <c r="H84" s="21"/>
      <c r="I84" s="22"/>
      <c r="J84" s="23"/>
      <c r="K84" s="24">
        <v>87241.0</v>
      </c>
      <c r="L84" s="24">
        <v>120000.0</v>
      </c>
      <c r="M84" s="25" t="s">
        <v>76</v>
      </c>
      <c r="N84" s="26"/>
      <c r="O84" s="27">
        <f t="shared" si="16"/>
        <v>0.3755000516</v>
      </c>
      <c r="P84" s="28">
        <f t="shared" si="17"/>
        <v>0</v>
      </c>
    </row>
    <row r="85" hidden="1">
      <c r="A85" s="16" t="s">
        <v>175</v>
      </c>
      <c r="B85" s="17"/>
      <c r="C85" s="18"/>
      <c r="D85" s="4"/>
      <c r="E85" s="19">
        <v>0.0</v>
      </c>
      <c r="F85" s="19">
        <v>0.0</v>
      </c>
      <c r="G85" s="20" t="s">
        <v>176</v>
      </c>
      <c r="H85" s="21"/>
      <c r="I85" s="22"/>
      <c r="J85" s="29"/>
      <c r="K85" s="43">
        <v>25000.0</v>
      </c>
      <c r="L85" s="44">
        <v>35000.0</v>
      </c>
      <c r="M85" s="25"/>
      <c r="N85" s="57"/>
      <c r="O85" s="27">
        <f t="shared" si="16"/>
        <v>0.4</v>
      </c>
      <c r="P85" s="28">
        <f t="shared" si="17"/>
        <v>0</v>
      </c>
    </row>
    <row r="86" hidden="1">
      <c r="A86" s="93" t="s">
        <v>177</v>
      </c>
      <c r="B86" s="36"/>
      <c r="C86" s="38"/>
      <c r="D86" s="4"/>
      <c r="E86" s="19"/>
      <c r="F86" s="19"/>
      <c r="G86" s="40" t="s">
        <v>98</v>
      </c>
      <c r="H86" s="21">
        <v>0.0</v>
      </c>
      <c r="I86" s="22">
        <v>15.0</v>
      </c>
      <c r="J86" s="47"/>
      <c r="K86" s="48">
        <v>18683.0</v>
      </c>
      <c r="L86" s="48">
        <v>24000.0</v>
      </c>
      <c r="M86" s="25">
        <v>1.19</v>
      </c>
      <c r="N86" s="48">
        <v>22000.0</v>
      </c>
      <c r="O86" s="27">
        <f t="shared" si="16"/>
        <v>0.2845902692</v>
      </c>
      <c r="P86" s="28">
        <f t="shared" si="17"/>
        <v>0</v>
      </c>
    </row>
    <row r="87" hidden="1">
      <c r="A87" s="56" t="s">
        <v>178</v>
      </c>
      <c r="B87" s="36"/>
      <c r="C87" s="38"/>
      <c r="D87" s="4"/>
      <c r="E87" s="19"/>
      <c r="F87" s="19"/>
      <c r="G87" s="40" t="s">
        <v>98</v>
      </c>
      <c r="H87" s="21">
        <v>0.0</v>
      </c>
      <c r="I87" s="22">
        <v>19.0</v>
      </c>
      <c r="J87" s="22"/>
      <c r="K87" s="48">
        <v>18683.0</v>
      </c>
      <c r="L87" s="48">
        <v>24000.0</v>
      </c>
      <c r="M87" s="25">
        <v>1.19</v>
      </c>
      <c r="N87" s="48">
        <v>22000.0</v>
      </c>
      <c r="O87" s="27">
        <f t="shared" si="16"/>
        <v>0.2845902692</v>
      </c>
      <c r="P87" s="28">
        <f t="shared" si="17"/>
        <v>0</v>
      </c>
    </row>
    <row r="88" hidden="1">
      <c r="A88" s="16" t="s">
        <v>179</v>
      </c>
      <c r="B88" s="49"/>
      <c r="C88" s="38"/>
      <c r="D88" s="4"/>
      <c r="E88" s="19"/>
      <c r="F88" s="19"/>
      <c r="G88" s="40" t="s">
        <v>98</v>
      </c>
      <c r="H88" s="21">
        <v>0.0</v>
      </c>
      <c r="I88" s="22">
        <v>15.0</v>
      </c>
      <c r="J88" s="22"/>
      <c r="K88" s="48">
        <v>18683.0</v>
      </c>
      <c r="L88" s="48">
        <v>24000.0</v>
      </c>
      <c r="M88" s="25">
        <v>1.19</v>
      </c>
      <c r="N88" s="48">
        <v>22000.0</v>
      </c>
      <c r="O88" s="27">
        <f t="shared" si="16"/>
        <v>0.2845902692</v>
      </c>
      <c r="P88" s="28">
        <f t="shared" si="17"/>
        <v>0</v>
      </c>
    </row>
    <row r="89" hidden="1">
      <c r="A89" s="16" t="s">
        <v>180</v>
      </c>
      <c r="B89" s="49"/>
      <c r="C89" s="38"/>
      <c r="D89" s="4"/>
      <c r="E89" s="19"/>
      <c r="F89" s="19"/>
      <c r="G89" s="40" t="s">
        <v>98</v>
      </c>
      <c r="H89" s="21">
        <v>0.0</v>
      </c>
      <c r="I89" s="22">
        <v>3.0</v>
      </c>
      <c r="J89" s="47"/>
      <c r="K89" s="55">
        <v>18683.0</v>
      </c>
      <c r="L89" s="55">
        <v>24000.0</v>
      </c>
      <c r="M89" s="25">
        <v>1.19</v>
      </c>
      <c r="N89" s="48">
        <v>21000.0</v>
      </c>
      <c r="O89" s="27">
        <f t="shared" si="16"/>
        <v>0.2845902692</v>
      </c>
      <c r="P89" s="28">
        <f t="shared" si="17"/>
        <v>0</v>
      </c>
    </row>
    <row r="90" hidden="1">
      <c r="A90" s="16" t="s">
        <v>181</v>
      </c>
      <c r="B90" s="49"/>
      <c r="C90" s="38"/>
      <c r="D90" s="4"/>
      <c r="E90" s="19"/>
      <c r="F90" s="19"/>
      <c r="G90" s="40" t="s">
        <v>98</v>
      </c>
      <c r="H90" s="21">
        <v>0.0</v>
      </c>
      <c r="I90" s="22">
        <v>1.0</v>
      </c>
      <c r="J90" s="58"/>
      <c r="K90" s="55">
        <v>18683.0</v>
      </c>
      <c r="L90" s="55">
        <v>24000.0</v>
      </c>
      <c r="M90" s="25">
        <v>1.19</v>
      </c>
      <c r="N90" s="48">
        <v>21000.0</v>
      </c>
      <c r="O90" s="27">
        <f t="shared" si="16"/>
        <v>0.2845902692</v>
      </c>
      <c r="P90" s="28">
        <f t="shared" si="17"/>
        <v>0</v>
      </c>
    </row>
    <row r="91" hidden="1">
      <c r="A91" s="16" t="s">
        <v>182</v>
      </c>
      <c r="B91" s="49"/>
      <c r="C91" s="38"/>
      <c r="D91" s="4"/>
      <c r="E91" s="19"/>
      <c r="F91" s="19"/>
      <c r="G91" s="40" t="s">
        <v>98</v>
      </c>
      <c r="H91" s="21">
        <v>0.0</v>
      </c>
      <c r="I91" s="22">
        <v>12.0</v>
      </c>
      <c r="J91" s="47"/>
      <c r="K91" s="55">
        <v>18683.0</v>
      </c>
      <c r="L91" s="55">
        <v>24000.0</v>
      </c>
      <c r="M91" s="25">
        <v>1.19</v>
      </c>
      <c r="N91" s="48">
        <v>21000.0</v>
      </c>
      <c r="O91" s="27">
        <f t="shared" si="16"/>
        <v>0.2845902692</v>
      </c>
      <c r="P91" s="28">
        <f t="shared" si="17"/>
        <v>0</v>
      </c>
    </row>
    <row r="92" hidden="1">
      <c r="A92" s="40" t="s">
        <v>183</v>
      </c>
      <c r="B92" s="49"/>
      <c r="C92" s="38"/>
      <c r="D92" s="4"/>
      <c r="E92" s="19"/>
      <c r="F92" s="19"/>
      <c r="G92" s="40" t="s">
        <v>98</v>
      </c>
      <c r="H92" s="21">
        <v>0.0</v>
      </c>
      <c r="I92" s="22">
        <v>7.0</v>
      </c>
      <c r="J92" s="47"/>
      <c r="K92" s="55">
        <v>18683.0</v>
      </c>
      <c r="L92" s="55">
        <v>24000.0</v>
      </c>
      <c r="M92" s="25">
        <v>1.19</v>
      </c>
      <c r="N92" s="48">
        <v>21000.0</v>
      </c>
      <c r="O92" s="27">
        <f t="shared" si="16"/>
        <v>0.2845902692</v>
      </c>
      <c r="P92" s="28">
        <f t="shared" si="17"/>
        <v>0</v>
      </c>
    </row>
    <row r="93" hidden="1">
      <c r="A93" s="16" t="s">
        <v>184</v>
      </c>
      <c r="B93" s="49"/>
      <c r="C93" s="38"/>
      <c r="D93" s="4"/>
      <c r="E93" s="19"/>
      <c r="F93" s="19"/>
      <c r="G93" s="40" t="s">
        <v>98</v>
      </c>
      <c r="H93" s="21">
        <v>0.0</v>
      </c>
      <c r="I93" s="22">
        <v>5.0</v>
      </c>
      <c r="J93" s="47"/>
      <c r="K93" s="55">
        <v>18683.0</v>
      </c>
      <c r="L93" s="55">
        <v>24000.0</v>
      </c>
      <c r="M93" s="25">
        <v>1.19</v>
      </c>
      <c r="N93" s="48">
        <v>21000.0</v>
      </c>
      <c r="O93" s="27">
        <f t="shared" si="16"/>
        <v>0.2845902692</v>
      </c>
      <c r="P93" s="28">
        <f t="shared" si="17"/>
        <v>0</v>
      </c>
    </row>
    <row r="94" hidden="1">
      <c r="A94" s="16" t="s">
        <v>185</v>
      </c>
      <c r="B94" s="49"/>
      <c r="C94" s="38"/>
      <c r="D94" s="4"/>
      <c r="E94" s="19"/>
      <c r="F94" s="19"/>
      <c r="G94" s="40" t="s">
        <v>98</v>
      </c>
      <c r="H94" s="21">
        <v>0.0</v>
      </c>
      <c r="I94" s="22">
        <v>4.0</v>
      </c>
      <c r="J94" s="94"/>
      <c r="K94" s="55">
        <v>18683.0</v>
      </c>
      <c r="L94" s="55">
        <v>24000.0</v>
      </c>
      <c r="M94" s="25">
        <v>1.19</v>
      </c>
      <c r="N94" s="48">
        <v>21000.0</v>
      </c>
      <c r="O94" s="27">
        <f t="shared" si="16"/>
        <v>0.2845902692</v>
      </c>
      <c r="P94" s="28">
        <f t="shared" si="17"/>
        <v>0</v>
      </c>
    </row>
    <row r="95" hidden="1">
      <c r="A95" s="40" t="s">
        <v>186</v>
      </c>
      <c r="B95" s="49"/>
      <c r="C95" s="38"/>
      <c r="D95" s="4"/>
      <c r="E95" s="19"/>
      <c r="F95" s="19"/>
      <c r="G95" s="40" t="s">
        <v>98</v>
      </c>
      <c r="H95" s="21">
        <v>0.0</v>
      </c>
      <c r="I95" s="22">
        <v>10.0</v>
      </c>
      <c r="J95" s="22"/>
      <c r="K95" s="48">
        <v>9639.0</v>
      </c>
      <c r="L95" s="55">
        <v>14000.0</v>
      </c>
      <c r="M95" s="25">
        <v>1.19</v>
      </c>
      <c r="N95" s="48">
        <v>12000.0</v>
      </c>
      <c r="O95" s="27">
        <f t="shared" si="16"/>
        <v>0.452432825</v>
      </c>
      <c r="P95" s="28">
        <f t="shared" si="17"/>
        <v>0</v>
      </c>
    </row>
    <row r="96" hidden="1">
      <c r="A96" s="16" t="s">
        <v>187</v>
      </c>
      <c r="B96" s="49"/>
      <c r="C96" s="38"/>
      <c r="D96" s="4"/>
      <c r="E96" s="19"/>
      <c r="F96" s="19"/>
      <c r="G96" s="40" t="s">
        <v>98</v>
      </c>
      <c r="H96" s="21">
        <v>0.0</v>
      </c>
      <c r="I96" s="22">
        <v>14.0</v>
      </c>
      <c r="J96" s="47"/>
      <c r="K96" s="48">
        <v>9639.0</v>
      </c>
      <c r="L96" s="55">
        <v>14000.0</v>
      </c>
      <c r="M96" s="25">
        <v>1.19</v>
      </c>
      <c r="N96" s="48">
        <v>12000.0</v>
      </c>
      <c r="O96" s="27">
        <f t="shared" si="16"/>
        <v>0.452432825</v>
      </c>
      <c r="P96" s="28">
        <f t="shared" si="17"/>
        <v>0</v>
      </c>
    </row>
    <row r="97" hidden="1">
      <c r="A97" s="40" t="s">
        <v>188</v>
      </c>
      <c r="B97" s="49"/>
      <c r="C97" s="38"/>
      <c r="D97" s="4"/>
      <c r="E97" s="19"/>
      <c r="F97" s="19"/>
      <c r="G97" s="40" t="s">
        <v>98</v>
      </c>
      <c r="H97" s="21">
        <v>0.0</v>
      </c>
      <c r="I97" s="22">
        <v>7.0</v>
      </c>
      <c r="J97" s="22"/>
      <c r="K97" s="48">
        <v>9639.0</v>
      </c>
      <c r="L97" s="55">
        <v>14000.0</v>
      </c>
      <c r="M97" s="25">
        <v>1.19</v>
      </c>
      <c r="N97" s="48">
        <v>12000.0</v>
      </c>
      <c r="O97" s="27">
        <f t="shared" si="16"/>
        <v>0.452432825</v>
      </c>
      <c r="P97" s="28">
        <f t="shared" si="17"/>
        <v>0</v>
      </c>
    </row>
    <row r="98" hidden="1">
      <c r="A98" s="16" t="s">
        <v>189</v>
      </c>
      <c r="B98" s="49"/>
      <c r="C98" s="38"/>
      <c r="D98" s="4"/>
      <c r="E98" s="19"/>
      <c r="F98" s="19"/>
      <c r="G98" s="40" t="s">
        <v>98</v>
      </c>
      <c r="H98" s="21">
        <v>0.0</v>
      </c>
      <c r="I98" s="22">
        <v>10.0</v>
      </c>
      <c r="J98" s="58"/>
      <c r="K98" s="48">
        <v>9639.0</v>
      </c>
      <c r="L98" s="55">
        <v>14000.0</v>
      </c>
      <c r="M98" s="25">
        <v>1.19</v>
      </c>
      <c r="N98" s="48">
        <v>12000.0</v>
      </c>
      <c r="O98" s="27">
        <f t="shared" si="16"/>
        <v>0.452432825</v>
      </c>
      <c r="P98" s="28">
        <f t="shared" si="17"/>
        <v>0</v>
      </c>
    </row>
    <row r="99" hidden="1">
      <c r="A99" s="16" t="s">
        <v>190</v>
      </c>
      <c r="B99" s="49"/>
      <c r="C99" s="38"/>
      <c r="D99" s="4"/>
      <c r="E99" s="19"/>
      <c r="F99" s="19"/>
      <c r="G99" s="40" t="s">
        <v>98</v>
      </c>
      <c r="H99" s="21">
        <v>0.0</v>
      </c>
      <c r="I99" s="22">
        <v>2.0</v>
      </c>
      <c r="J99" s="22" t="s">
        <v>191</v>
      </c>
      <c r="K99" s="55">
        <v>55167.0</v>
      </c>
      <c r="L99" s="55">
        <v>70000.0</v>
      </c>
      <c r="M99" s="72"/>
      <c r="N99" s="26">
        <v>64000.0</v>
      </c>
      <c r="O99" s="27">
        <f t="shared" si="16"/>
        <v>0.2688745083</v>
      </c>
      <c r="P99" s="28">
        <f t="shared" si="17"/>
        <v>0</v>
      </c>
    </row>
    <row r="100" hidden="1">
      <c r="A100" s="16" t="s">
        <v>192</v>
      </c>
      <c r="B100" s="49"/>
      <c r="C100" s="38"/>
      <c r="D100" s="4"/>
      <c r="E100" s="19"/>
      <c r="F100" s="19"/>
      <c r="G100" s="20" t="s">
        <v>98</v>
      </c>
      <c r="H100" s="21">
        <v>0.0</v>
      </c>
      <c r="I100" s="22">
        <v>1.0</v>
      </c>
      <c r="J100" s="47">
        <v>46508.0</v>
      </c>
      <c r="K100" s="95">
        <f>54400*1.19</f>
        <v>64736</v>
      </c>
      <c r="L100" s="55">
        <v>78000.0</v>
      </c>
      <c r="M100" s="96"/>
      <c r="N100" s="26">
        <v>72000.0</v>
      </c>
      <c r="O100" s="27">
        <f t="shared" si="16"/>
        <v>0.2048937222</v>
      </c>
      <c r="P100" s="28">
        <f t="shared" si="17"/>
        <v>0</v>
      </c>
    </row>
    <row r="101" hidden="1">
      <c r="A101" s="40" t="s">
        <v>193</v>
      </c>
      <c r="B101" s="49"/>
      <c r="C101" s="68"/>
      <c r="D101" s="4"/>
      <c r="E101" s="19"/>
      <c r="F101" s="19"/>
      <c r="G101" s="20" t="s">
        <v>194</v>
      </c>
      <c r="H101" s="21">
        <v>0.0</v>
      </c>
      <c r="I101" s="22">
        <v>53.0</v>
      </c>
      <c r="J101" s="47">
        <v>46508.0</v>
      </c>
      <c r="K101" s="55">
        <v>10948.0</v>
      </c>
      <c r="L101" s="55">
        <v>15000.0</v>
      </c>
      <c r="M101" s="96">
        <f>L101-K101</f>
        <v>4052</v>
      </c>
      <c r="N101" s="26">
        <v>12000.0</v>
      </c>
      <c r="O101" s="27">
        <f t="shared" si="16"/>
        <v>0.3701132627</v>
      </c>
      <c r="P101" s="28">
        <f t="shared" si="17"/>
        <v>0</v>
      </c>
    </row>
    <row r="102" hidden="1">
      <c r="A102" s="40" t="s">
        <v>195</v>
      </c>
      <c r="B102" s="49"/>
      <c r="C102" s="68"/>
      <c r="D102" s="4"/>
      <c r="E102" s="19"/>
      <c r="F102" s="19"/>
      <c r="G102" s="40" t="s">
        <v>98</v>
      </c>
      <c r="H102" s="21">
        <v>0.0</v>
      </c>
      <c r="I102" s="22">
        <v>6.0</v>
      </c>
      <c r="J102" s="47">
        <v>46539.0</v>
      </c>
      <c r="K102" s="55">
        <v>18564.0</v>
      </c>
      <c r="L102" s="55">
        <v>27000.0</v>
      </c>
      <c r="M102" s="96"/>
      <c r="N102" s="48">
        <v>23000.0</v>
      </c>
      <c r="O102" s="27">
        <f t="shared" si="16"/>
        <v>0.454427925</v>
      </c>
      <c r="P102" s="28">
        <f t="shared" si="17"/>
        <v>0</v>
      </c>
    </row>
    <row r="103" hidden="1">
      <c r="A103" s="40" t="s">
        <v>196</v>
      </c>
      <c r="B103" s="49"/>
      <c r="C103" s="68"/>
      <c r="D103" s="4"/>
      <c r="E103" s="19"/>
      <c r="F103" s="19"/>
      <c r="G103" s="20" t="s">
        <v>98</v>
      </c>
      <c r="H103" s="21">
        <v>0.0</v>
      </c>
      <c r="I103" s="22">
        <v>3.0</v>
      </c>
      <c r="J103" s="47">
        <v>46478.0</v>
      </c>
      <c r="K103" s="55">
        <v>34391.0</v>
      </c>
      <c r="L103" s="55">
        <v>46000.0</v>
      </c>
      <c r="M103" s="96"/>
      <c r="N103" s="48">
        <v>39000.0</v>
      </c>
      <c r="O103" s="27">
        <f t="shared" si="16"/>
        <v>0.3375592452</v>
      </c>
      <c r="P103" s="28">
        <f t="shared" si="17"/>
        <v>0</v>
      </c>
    </row>
    <row r="104" hidden="1">
      <c r="A104" s="16" t="s">
        <v>197</v>
      </c>
      <c r="B104" s="49"/>
      <c r="C104" s="68"/>
      <c r="D104" s="4"/>
      <c r="E104" s="19"/>
      <c r="F104" s="19"/>
      <c r="G104" s="40" t="s">
        <v>98</v>
      </c>
      <c r="H104" s="21">
        <v>0.0</v>
      </c>
      <c r="I104" s="22">
        <v>0.0</v>
      </c>
      <c r="J104" s="47">
        <v>46508.0</v>
      </c>
      <c r="K104" s="55">
        <f>5400*1.19</f>
        <v>6426</v>
      </c>
      <c r="L104" s="55">
        <v>11000.0</v>
      </c>
      <c r="M104" s="96">
        <f>L104-K104</f>
        <v>4574</v>
      </c>
      <c r="N104" s="26">
        <v>9000.0</v>
      </c>
      <c r="O104" s="27">
        <f t="shared" si="16"/>
        <v>0.7117958294</v>
      </c>
      <c r="P104" s="28">
        <f t="shared" si="17"/>
        <v>0</v>
      </c>
    </row>
    <row r="105" hidden="1">
      <c r="A105" s="16" t="s">
        <v>198</v>
      </c>
      <c r="B105" s="49"/>
      <c r="C105" s="38"/>
      <c r="D105" s="4"/>
      <c r="E105" s="19"/>
      <c r="F105" s="19"/>
      <c r="G105" s="40" t="s">
        <v>98</v>
      </c>
      <c r="H105" s="21">
        <v>0.0</v>
      </c>
      <c r="I105" s="22"/>
      <c r="J105" s="29"/>
      <c r="K105" s="48">
        <f>L109/8</f>
        <v>9000</v>
      </c>
      <c r="L105" s="55">
        <v>12000.0</v>
      </c>
      <c r="M105" s="72"/>
      <c r="N105" s="26"/>
      <c r="O105" s="27">
        <f t="shared" si="16"/>
        <v>0.3333333333</v>
      </c>
      <c r="P105" s="28">
        <f t="shared" si="17"/>
        <v>0</v>
      </c>
    </row>
    <row r="106" hidden="1">
      <c r="A106" s="16" t="s">
        <v>199</v>
      </c>
      <c r="B106" s="49"/>
      <c r="C106" s="68"/>
      <c r="D106" s="4"/>
      <c r="E106" s="19"/>
      <c r="F106" s="19"/>
      <c r="G106" s="20" t="s">
        <v>200</v>
      </c>
      <c r="H106" s="21">
        <v>0.0</v>
      </c>
      <c r="I106" s="22">
        <v>1.0</v>
      </c>
      <c r="J106" s="47">
        <v>46784.0</v>
      </c>
      <c r="K106" s="55">
        <v>55167.0</v>
      </c>
      <c r="L106" s="55">
        <v>70000.0</v>
      </c>
      <c r="M106" s="72"/>
      <c r="N106" s="26">
        <v>64000.0</v>
      </c>
      <c r="O106" s="27">
        <f t="shared" si="16"/>
        <v>0.2688745083</v>
      </c>
      <c r="P106" s="28">
        <f t="shared" si="17"/>
        <v>0</v>
      </c>
    </row>
    <row r="107" hidden="1">
      <c r="A107" s="16" t="s">
        <v>201</v>
      </c>
      <c r="B107" s="49"/>
      <c r="C107" s="38"/>
      <c r="D107" s="4"/>
      <c r="E107" s="19"/>
      <c r="F107" s="19"/>
      <c r="G107" s="40" t="s">
        <v>98</v>
      </c>
      <c r="H107" s="21">
        <v>0.0</v>
      </c>
      <c r="I107" s="22">
        <v>1.0</v>
      </c>
      <c r="J107" s="29"/>
      <c r="K107" s="24">
        <v>101745.0</v>
      </c>
      <c r="L107" s="24">
        <v>130000.0</v>
      </c>
      <c r="M107" s="72"/>
      <c r="N107" s="26"/>
      <c r="O107" s="27">
        <f t="shared" si="16"/>
        <v>0.2777040641</v>
      </c>
      <c r="P107" s="28">
        <f t="shared" si="17"/>
        <v>0</v>
      </c>
    </row>
    <row r="108" hidden="1">
      <c r="A108" s="16" t="s">
        <v>202</v>
      </c>
      <c r="B108" s="49"/>
      <c r="C108" s="68"/>
      <c r="D108" s="4"/>
      <c r="E108" s="19"/>
      <c r="F108" s="19"/>
      <c r="G108" s="40" t="s">
        <v>98</v>
      </c>
      <c r="H108" s="21">
        <v>0.0</v>
      </c>
      <c r="I108" s="22">
        <v>4.0</v>
      </c>
      <c r="J108" s="47">
        <v>46844.0</v>
      </c>
      <c r="K108" s="55">
        <v>55167.0</v>
      </c>
      <c r="L108" s="55">
        <v>70000.0</v>
      </c>
      <c r="M108" s="72"/>
      <c r="N108" s="26">
        <v>64000.0</v>
      </c>
      <c r="O108" s="27">
        <f t="shared" si="16"/>
        <v>0.2688745083</v>
      </c>
      <c r="P108" s="28">
        <f t="shared" si="17"/>
        <v>0</v>
      </c>
    </row>
    <row r="109" hidden="1">
      <c r="A109" s="16" t="s">
        <v>203</v>
      </c>
      <c r="B109" s="49"/>
      <c r="C109" s="38"/>
      <c r="D109" s="4"/>
      <c r="E109" s="19"/>
      <c r="F109" s="19"/>
      <c r="G109" s="40" t="s">
        <v>98</v>
      </c>
      <c r="H109" s="21">
        <v>0.0</v>
      </c>
      <c r="I109" s="22"/>
      <c r="J109" s="47">
        <v>46874.0</v>
      </c>
      <c r="K109" s="55">
        <f t="shared" ref="K109:K110" si="18">47300*1.19</f>
        <v>56287</v>
      </c>
      <c r="L109" s="55">
        <v>72000.0</v>
      </c>
      <c r="M109" s="72"/>
      <c r="N109" s="26"/>
      <c r="O109" s="27">
        <f t="shared" si="16"/>
        <v>0.2791585979</v>
      </c>
      <c r="P109" s="28">
        <f t="shared" si="17"/>
        <v>0</v>
      </c>
    </row>
    <row r="110" hidden="1">
      <c r="A110" s="16" t="s">
        <v>204</v>
      </c>
      <c r="B110" s="49"/>
      <c r="C110" s="38"/>
      <c r="D110" s="4"/>
      <c r="E110" s="19"/>
      <c r="F110" s="19"/>
      <c r="G110" s="40" t="s">
        <v>98</v>
      </c>
      <c r="H110" s="21">
        <v>0.0</v>
      </c>
      <c r="I110" s="22">
        <v>1.0</v>
      </c>
      <c r="J110" s="47">
        <v>46874.0</v>
      </c>
      <c r="K110" s="55">
        <f t="shared" si="18"/>
        <v>56287</v>
      </c>
      <c r="L110" s="55">
        <v>72000.0</v>
      </c>
      <c r="M110" s="72"/>
      <c r="N110" s="26"/>
      <c r="O110" s="27">
        <f t="shared" si="16"/>
        <v>0.2791585979</v>
      </c>
      <c r="P110" s="28">
        <f t="shared" si="17"/>
        <v>0</v>
      </c>
    </row>
    <row r="111" hidden="1">
      <c r="A111" s="40" t="s">
        <v>205</v>
      </c>
      <c r="B111" s="49"/>
      <c r="C111" s="38"/>
      <c r="D111" s="4"/>
      <c r="E111" s="19"/>
      <c r="F111" s="19"/>
      <c r="G111" s="40" t="s">
        <v>98</v>
      </c>
      <c r="H111" s="21">
        <v>0.0</v>
      </c>
      <c r="I111" s="22">
        <v>2.0</v>
      </c>
      <c r="J111" s="47"/>
      <c r="K111" s="48">
        <v>18683.0</v>
      </c>
      <c r="L111" s="48">
        <v>24000.0</v>
      </c>
      <c r="M111" s="25">
        <v>1.19</v>
      </c>
      <c r="N111" s="48">
        <v>22000.0</v>
      </c>
      <c r="O111" s="27">
        <f t="shared" si="16"/>
        <v>0.2845902692</v>
      </c>
      <c r="P111" s="28">
        <f t="shared" si="17"/>
        <v>0</v>
      </c>
    </row>
    <row r="112" hidden="1">
      <c r="A112" s="16" t="s">
        <v>206</v>
      </c>
      <c r="B112" s="49"/>
      <c r="C112" s="38"/>
      <c r="D112" s="4"/>
      <c r="E112" s="19"/>
      <c r="F112" s="19"/>
      <c r="G112" s="40" t="s">
        <v>98</v>
      </c>
      <c r="H112" s="21">
        <v>0.0</v>
      </c>
      <c r="I112" s="22">
        <v>3.0</v>
      </c>
      <c r="J112" s="22"/>
      <c r="K112" s="48">
        <v>18683.0</v>
      </c>
      <c r="L112" s="48">
        <v>24000.0</v>
      </c>
      <c r="M112" s="25">
        <v>1.19</v>
      </c>
      <c r="N112" s="48">
        <v>22000.0</v>
      </c>
      <c r="O112" s="27">
        <f t="shared" si="16"/>
        <v>0.2845902692</v>
      </c>
      <c r="P112" s="28">
        <f t="shared" si="17"/>
        <v>0</v>
      </c>
    </row>
    <row r="113" hidden="1">
      <c r="A113" s="40" t="s">
        <v>207</v>
      </c>
      <c r="B113" s="49"/>
      <c r="C113" s="38"/>
      <c r="D113" s="4"/>
      <c r="E113" s="19"/>
      <c r="F113" s="19"/>
      <c r="G113" s="40" t="s">
        <v>98</v>
      </c>
      <c r="H113" s="21">
        <v>0.0</v>
      </c>
      <c r="I113" s="22">
        <v>3.0</v>
      </c>
      <c r="J113" s="29"/>
      <c r="K113" s="48">
        <v>18683.0</v>
      </c>
      <c r="L113" s="48">
        <v>24000.0</v>
      </c>
      <c r="M113" s="25">
        <v>1.19</v>
      </c>
      <c r="N113" s="48">
        <v>22000.0</v>
      </c>
      <c r="O113" s="27">
        <f t="shared" si="16"/>
        <v>0.2845902692</v>
      </c>
      <c r="P113" s="28">
        <f t="shared" si="17"/>
        <v>0</v>
      </c>
    </row>
    <row r="114" hidden="1">
      <c r="A114" s="16" t="s">
        <v>208</v>
      </c>
      <c r="B114" s="49"/>
      <c r="C114" s="38" t="s">
        <v>209</v>
      </c>
      <c r="D114" s="4"/>
      <c r="E114" s="19"/>
      <c r="F114" s="19"/>
      <c r="G114" s="40" t="s">
        <v>98</v>
      </c>
      <c r="H114" s="21">
        <v>0.0</v>
      </c>
      <c r="I114" s="22">
        <v>6.0</v>
      </c>
      <c r="J114" s="47"/>
      <c r="K114" s="55">
        <v>18683.0</v>
      </c>
      <c r="L114" s="55">
        <v>24000.0</v>
      </c>
      <c r="M114" s="25">
        <v>1.19</v>
      </c>
      <c r="N114" s="48">
        <v>21000.0</v>
      </c>
      <c r="O114" s="27">
        <f t="shared" si="16"/>
        <v>0.2845902692</v>
      </c>
      <c r="P114" s="28">
        <f t="shared" si="17"/>
        <v>0</v>
      </c>
    </row>
    <row r="115" hidden="1">
      <c r="A115" s="40" t="s">
        <v>210</v>
      </c>
      <c r="B115" s="49"/>
      <c r="C115" s="38"/>
      <c r="D115" s="4"/>
      <c r="E115" s="19"/>
      <c r="F115" s="19"/>
      <c r="G115" s="40" t="s">
        <v>98</v>
      </c>
      <c r="H115" s="21">
        <v>0.0</v>
      </c>
      <c r="I115" s="22">
        <v>3.0</v>
      </c>
      <c r="J115" s="47"/>
      <c r="K115" s="55">
        <v>18683.0</v>
      </c>
      <c r="L115" s="55">
        <v>24000.0</v>
      </c>
      <c r="M115" s="25">
        <v>1.19</v>
      </c>
      <c r="N115" s="48">
        <v>21000.0</v>
      </c>
      <c r="O115" s="27">
        <f t="shared" si="16"/>
        <v>0.2845902692</v>
      </c>
      <c r="P115" s="28">
        <f t="shared" si="17"/>
        <v>0</v>
      </c>
    </row>
    <row r="116" hidden="1">
      <c r="A116" s="40" t="s">
        <v>211</v>
      </c>
      <c r="B116" s="49"/>
      <c r="C116" s="38"/>
      <c r="D116" s="4"/>
      <c r="E116" s="19"/>
      <c r="F116" s="19"/>
      <c r="G116" s="40" t="s">
        <v>98</v>
      </c>
      <c r="H116" s="21">
        <v>0.0</v>
      </c>
      <c r="I116" s="22">
        <v>5.0</v>
      </c>
      <c r="J116" s="22"/>
      <c r="K116" s="55">
        <v>18683.0</v>
      </c>
      <c r="L116" s="55">
        <v>24000.0</v>
      </c>
      <c r="M116" s="25">
        <v>1.19</v>
      </c>
      <c r="N116" s="48">
        <v>21000.0</v>
      </c>
      <c r="O116" s="27">
        <f t="shared" si="16"/>
        <v>0.2845902692</v>
      </c>
      <c r="P116" s="28">
        <f t="shared" si="17"/>
        <v>0</v>
      </c>
    </row>
    <row r="117" hidden="1">
      <c r="A117" s="40" t="s">
        <v>212</v>
      </c>
      <c r="B117" s="49"/>
      <c r="C117" s="38"/>
      <c r="D117" s="4"/>
      <c r="E117" s="19"/>
      <c r="F117" s="19"/>
      <c r="G117" s="40" t="s">
        <v>98</v>
      </c>
      <c r="H117" s="21">
        <v>0.0</v>
      </c>
      <c r="I117" s="22">
        <v>3.0</v>
      </c>
      <c r="J117" s="23"/>
      <c r="K117" s="55">
        <v>18683.0</v>
      </c>
      <c r="L117" s="55">
        <v>24000.0</v>
      </c>
      <c r="M117" s="25">
        <v>1.19</v>
      </c>
      <c r="N117" s="48">
        <v>21000.0</v>
      </c>
      <c r="O117" s="27">
        <f t="shared" si="16"/>
        <v>0.2845902692</v>
      </c>
      <c r="P117" s="28">
        <f t="shared" si="17"/>
        <v>0</v>
      </c>
    </row>
    <row r="118" hidden="1">
      <c r="A118" s="40" t="s">
        <v>213</v>
      </c>
      <c r="B118" s="49"/>
      <c r="C118" s="38"/>
      <c r="D118" s="4"/>
      <c r="E118" s="19"/>
      <c r="F118" s="19"/>
      <c r="G118" s="40" t="s">
        <v>98</v>
      </c>
      <c r="H118" s="21">
        <v>0.0</v>
      </c>
      <c r="I118" s="22">
        <v>4.0</v>
      </c>
      <c r="J118" s="22"/>
      <c r="K118" s="55">
        <v>18683.0</v>
      </c>
      <c r="L118" s="55">
        <v>24000.0</v>
      </c>
      <c r="M118" s="25">
        <v>1.19</v>
      </c>
      <c r="N118" s="48">
        <v>21000.0</v>
      </c>
      <c r="O118" s="27">
        <f t="shared" si="16"/>
        <v>0.2845902692</v>
      </c>
      <c r="P118" s="28">
        <f t="shared" si="17"/>
        <v>0</v>
      </c>
    </row>
    <row r="119" hidden="1">
      <c r="A119" s="40" t="s">
        <v>214</v>
      </c>
      <c r="B119" s="49"/>
      <c r="C119" s="38" t="s">
        <v>209</v>
      </c>
      <c r="D119" s="4"/>
      <c r="E119" s="19"/>
      <c r="F119" s="19"/>
      <c r="G119" s="40" t="s">
        <v>98</v>
      </c>
      <c r="H119" s="21">
        <v>0.0</v>
      </c>
      <c r="I119" s="22">
        <v>6.0</v>
      </c>
      <c r="J119" s="47"/>
      <c r="K119" s="55">
        <v>18683.0</v>
      </c>
      <c r="L119" s="55">
        <v>24000.0</v>
      </c>
      <c r="M119" s="25">
        <v>1.19</v>
      </c>
      <c r="N119" s="48">
        <v>21000.0</v>
      </c>
      <c r="O119" s="27">
        <f t="shared" si="16"/>
        <v>0.2845902692</v>
      </c>
      <c r="P119" s="28">
        <f t="shared" si="17"/>
        <v>0</v>
      </c>
    </row>
    <row r="120" hidden="1">
      <c r="A120" s="40" t="s">
        <v>215</v>
      </c>
      <c r="B120" s="49"/>
      <c r="C120" s="38"/>
      <c r="D120" s="4"/>
      <c r="E120" s="19"/>
      <c r="F120" s="19"/>
      <c r="G120" s="40" t="s">
        <v>98</v>
      </c>
      <c r="H120" s="21">
        <v>0.0</v>
      </c>
      <c r="I120" s="22">
        <v>0.0</v>
      </c>
      <c r="J120" s="22"/>
      <c r="K120" s="48">
        <v>9639.0</v>
      </c>
      <c r="L120" s="55">
        <v>14000.0</v>
      </c>
      <c r="M120" s="25">
        <v>1.19</v>
      </c>
      <c r="N120" s="48">
        <v>12000.0</v>
      </c>
      <c r="O120" s="27">
        <f t="shared" si="16"/>
        <v>0.452432825</v>
      </c>
      <c r="P120" s="28">
        <f t="shared" si="17"/>
        <v>0</v>
      </c>
    </row>
    <row r="121" hidden="1">
      <c r="A121" s="16" t="s">
        <v>216</v>
      </c>
      <c r="B121" s="49"/>
      <c r="C121" s="38"/>
      <c r="D121" s="4"/>
      <c r="E121" s="19"/>
      <c r="F121" s="19"/>
      <c r="G121" s="40" t="s">
        <v>98</v>
      </c>
      <c r="H121" s="21">
        <v>0.0</v>
      </c>
      <c r="I121" s="22">
        <v>7.0</v>
      </c>
      <c r="J121" s="47"/>
      <c r="K121" s="48">
        <v>9639.0</v>
      </c>
      <c r="L121" s="55">
        <v>14000.0</v>
      </c>
      <c r="M121" s="25">
        <v>1.19</v>
      </c>
      <c r="N121" s="48">
        <v>12000.0</v>
      </c>
      <c r="O121" s="27">
        <f t="shared" si="16"/>
        <v>0.452432825</v>
      </c>
      <c r="P121" s="28">
        <f t="shared" si="17"/>
        <v>0</v>
      </c>
    </row>
    <row r="122" hidden="1">
      <c r="A122" s="40" t="s">
        <v>217</v>
      </c>
      <c r="B122" s="49"/>
      <c r="C122" s="38"/>
      <c r="D122" s="4"/>
      <c r="E122" s="19"/>
      <c r="F122" s="19"/>
      <c r="G122" s="40" t="s">
        <v>98</v>
      </c>
      <c r="H122" s="21">
        <v>0.0</v>
      </c>
      <c r="I122" s="22">
        <v>0.0</v>
      </c>
      <c r="J122" s="47"/>
      <c r="K122" s="48">
        <v>9639.0</v>
      </c>
      <c r="L122" s="55">
        <v>14000.0</v>
      </c>
      <c r="M122" s="25">
        <v>1.19</v>
      </c>
      <c r="N122" s="48">
        <v>12000.0</v>
      </c>
      <c r="O122" s="27">
        <f t="shared" si="16"/>
        <v>0.452432825</v>
      </c>
      <c r="P122" s="28">
        <f t="shared" si="17"/>
        <v>0</v>
      </c>
    </row>
    <row r="123" hidden="1">
      <c r="A123" s="16" t="s">
        <v>218</v>
      </c>
      <c r="B123" s="49"/>
      <c r="C123" s="38"/>
      <c r="D123" s="4"/>
      <c r="E123" s="19" t="s">
        <v>219</v>
      </c>
      <c r="F123" s="19"/>
      <c r="G123" s="40" t="s">
        <v>98</v>
      </c>
      <c r="H123" s="21">
        <v>0.0</v>
      </c>
      <c r="I123" s="22">
        <v>10.0</v>
      </c>
      <c r="J123" s="58"/>
      <c r="K123" s="48">
        <v>9639.0</v>
      </c>
      <c r="L123" s="55">
        <v>14000.0</v>
      </c>
      <c r="M123" s="25">
        <v>1.19</v>
      </c>
      <c r="N123" s="48">
        <v>12000.0</v>
      </c>
      <c r="O123" s="27">
        <f t="shared" si="16"/>
        <v>0.452432825</v>
      </c>
      <c r="P123" s="28">
        <f t="shared" si="17"/>
        <v>0</v>
      </c>
    </row>
    <row r="124" hidden="1">
      <c r="A124" s="40" t="s">
        <v>220</v>
      </c>
      <c r="B124" s="49"/>
      <c r="C124" s="38"/>
      <c r="D124" s="4"/>
      <c r="E124" s="19"/>
      <c r="F124" s="19"/>
      <c r="G124" s="40" t="s">
        <v>98</v>
      </c>
      <c r="H124" s="21">
        <v>0.0</v>
      </c>
      <c r="I124" s="22">
        <v>1.0</v>
      </c>
      <c r="J124" s="47">
        <v>46508.0</v>
      </c>
      <c r="K124" s="55">
        <v>55167.0</v>
      </c>
      <c r="L124" s="55">
        <v>70000.0</v>
      </c>
      <c r="M124" s="25"/>
      <c r="N124" s="26">
        <v>64000.0</v>
      </c>
      <c r="O124" s="27">
        <f t="shared" si="16"/>
        <v>0.2688745083</v>
      </c>
      <c r="P124" s="28">
        <f t="shared" si="17"/>
        <v>0</v>
      </c>
    </row>
    <row r="125" hidden="1">
      <c r="A125" s="40" t="s">
        <v>221</v>
      </c>
      <c r="B125" s="49"/>
      <c r="C125" s="38"/>
      <c r="D125" s="4"/>
      <c r="E125" s="19"/>
      <c r="F125" s="19"/>
      <c r="G125" s="20" t="s">
        <v>98</v>
      </c>
      <c r="H125" s="21">
        <v>0.0</v>
      </c>
      <c r="I125" s="22">
        <v>1.0</v>
      </c>
      <c r="J125" s="47">
        <v>46966.0</v>
      </c>
      <c r="K125" s="55">
        <v>55167.0</v>
      </c>
      <c r="L125" s="55">
        <v>70000.0</v>
      </c>
      <c r="M125" s="25"/>
      <c r="N125" s="26">
        <v>64000.0</v>
      </c>
      <c r="O125" s="27">
        <f t="shared" si="16"/>
        <v>0.2688745083</v>
      </c>
      <c r="P125" s="28">
        <f t="shared" si="17"/>
        <v>0</v>
      </c>
    </row>
    <row r="126" hidden="1">
      <c r="A126" s="40" t="s">
        <v>222</v>
      </c>
      <c r="B126" s="49"/>
      <c r="C126" s="38"/>
      <c r="D126" s="4"/>
      <c r="E126" s="19"/>
      <c r="F126" s="19"/>
      <c r="G126" s="40" t="s">
        <v>98</v>
      </c>
      <c r="H126" s="21">
        <v>0.0</v>
      </c>
      <c r="I126" s="22">
        <v>6.0</v>
      </c>
      <c r="J126" s="23"/>
      <c r="K126" s="55">
        <v>10948.0</v>
      </c>
      <c r="L126" s="55">
        <v>15000.0</v>
      </c>
      <c r="M126" s="78"/>
      <c r="N126" s="26"/>
      <c r="O126" s="27">
        <f t="shared" si="16"/>
        <v>0.3701132627</v>
      </c>
      <c r="P126" s="28">
        <f t="shared" si="17"/>
        <v>0</v>
      </c>
    </row>
    <row r="127" hidden="1">
      <c r="A127" s="40" t="s">
        <v>223</v>
      </c>
      <c r="B127" s="49"/>
      <c r="C127" s="38"/>
      <c r="D127" s="4"/>
      <c r="E127" s="19"/>
      <c r="F127" s="19"/>
      <c r="G127" s="40" t="s">
        <v>98</v>
      </c>
      <c r="H127" s="21">
        <v>0.0</v>
      </c>
      <c r="I127" s="22">
        <v>0.0</v>
      </c>
      <c r="J127" s="47">
        <v>46905.0</v>
      </c>
      <c r="K127" s="55">
        <v>18564.0</v>
      </c>
      <c r="L127" s="55">
        <v>27000.0</v>
      </c>
      <c r="M127" s="78"/>
      <c r="N127" s="48">
        <v>23000.0</v>
      </c>
      <c r="O127" s="27">
        <f t="shared" si="16"/>
        <v>0.454427925</v>
      </c>
      <c r="P127" s="28">
        <f t="shared" si="17"/>
        <v>0</v>
      </c>
    </row>
    <row r="128" hidden="1">
      <c r="A128" s="16" t="s">
        <v>224</v>
      </c>
      <c r="B128" s="49"/>
      <c r="C128" s="68"/>
      <c r="D128" s="4"/>
      <c r="E128" s="19"/>
      <c r="F128" s="19"/>
      <c r="G128" s="20" t="s">
        <v>98</v>
      </c>
      <c r="H128" s="21">
        <v>0.0</v>
      </c>
      <c r="I128" s="22">
        <v>1.0</v>
      </c>
      <c r="J128" s="23"/>
      <c r="K128" s="55">
        <v>34391.0</v>
      </c>
      <c r="L128" s="55">
        <v>46000.0</v>
      </c>
      <c r="M128" s="78"/>
      <c r="N128" s="26"/>
      <c r="O128" s="27">
        <f t="shared" si="16"/>
        <v>0.3375592452</v>
      </c>
      <c r="P128" s="28">
        <f t="shared" si="17"/>
        <v>0</v>
      </c>
    </row>
    <row r="129" hidden="1">
      <c r="A129" s="16" t="s">
        <v>225</v>
      </c>
      <c r="B129" s="49"/>
      <c r="C129" s="38"/>
      <c r="D129" s="4"/>
      <c r="E129" s="19"/>
      <c r="F129" s="19"/>
      <c r="G129" s="40" t="s">
        <v>98</v>
      </c>
      <c r="H129" s="21">
        <v>0.0</v>
      </c>
      <c r="I129" s="22">
        <v>13.0</v>
      </c>
      <c r="J129" s="23"/>
      <c r="K129" s="55">
        <f>5400*1.19</f>
        <v>6426</v>
      </c>
      <c r="L129" s="55">
        <v>11000.0</v>
      </c>
      <c r="M129" s="78"/>
      <c r="N129" s="26">
        <v>9000.0</v>
      </c>
      <c r="O129" s="27">
        <f t="shared" si="16"/>
        <v>0.7117958294</v>
      </c>
      <c r="P129" s="28">
        <f t="shared" si="17"/>
        <v>0</v>
      </c>
    </row>
    <row r="130" hidden="1">
      <c r="A130" s="16" t="s">
        <v>226</v>
      </c>
      <c r="B130" s="36"/>
      <c r="C130" s="38"/>
      <c r="D130" s="4"/>
      <c r="E130" s="19"/>
      <c r="F130" s="19"/>
      <c r="G130" s="16" t="s">
        <v>200</v>
      </c>
      <c r="H130" s="21">
        <v>0.0</v>
      </c>
      <c r="I130" s="22">
        <v>0.0</v>
      </c>
      <c r="J130" s="23"/>
      <c r="K130" s="55">
        <v>15470.0</v>
      </c>
      <c r="L130" s="55">
        <v>25000.0</v>
      </c>
      <c r="M130" s="25">
        <v>1.19</v>
      </c>
      <c r="N130" s="48">
        <v>20000.0</v>
      </c>
      <c r="O130" s="27">
        <f t="shared" si="16"/>
        <v>0.6160310278</v>
      </c>
      <c r="P130" s="28">
        <f t="shared" si="17"/>
        <v>0</v>
      </c>
    </row>
    <row r="131" hidden="1">
      <c r="A131" s="16" t="s">
        <v>227</v>
      </c>
      <c r="B131" s="36"/>
      <c r="C131" s="38"/>
      <c r="D131" s="4"/>
      <c r="E131" s="19"/>
      <c r="F131" s="19"/>
      <c r="G131" s="16" t="s">
        <v>200</v>
      </c>
      <c r="H131" s="21">
        <v>0.0</v>
      </c>
      <c r="I131" s="22">
        <v>0.0</v>
      </c>
      <c r="J131" s="23"/>
      <c r="K131" s="55">
        <v>29750.0</v>
      </c>
      <c r="L131" s="55">
        <v>40000.0</v>
      </c>
      <c r="M131" s="25">
        <v>1.19</v>
      </c>
      <c r="N131" s="48">
        <v>35000.0</v>
      </c>
      <c r="O131" s="27">
        <f t="shared" si="16"/>
        <v>0.3445378151</v>
      </c>
      <c r="P131" s="28">
        <f t="shared" si="17"/>
        <v>0</v>
      </c>
    </row>
    <row r="132" hidden="1">
      <c r="A132" s="16" t="s">
        <v>228</v>
      </c>
      <c r="B132" s="17"/>
      <c r="C132" s="18"/>
      <c r="D132" s="4"/>
      <c r="E132" s="19"/>
      <c r="F132" s="19"/>
      <c r="G132" s="16" t="s">
        <v>229</v>
      </c>
      <c r="H132" s="21"/>
      <c r="I132" s="22"/>
      <c r="J132" s="29"/>
      <c r="K132" s="48"/>
      <c r="L132" s="55"/>
      <c r="M132" s="25"/>
      <c r="N132" s="26"/>
      <c r="O132" s="27"/>
      <c r="P132" s="28"/>
    </row>
    <row r="133" hidden="1">
      <c r="A133" s="59" t="s">
        <v>230</v>
      </c>
      <c r="B133" s="97"/>
      <c r="C133" s="18"/>
      <c r="D133" s="98"/>
      <c r="E133" s="19">
        <v>0.0</v>
      </c>
      <c r="F133" s="19">
        <v>0.0</v>
      </c>
      <c r="G133" s="20" t="s">
        <v>231</v>
      </c>
      <c r="H133" s="99"/>
      <c r="I133" s="22"/>
      <c r="J133" s="100"/>
      <c r="K133" s="101">
        <v>25000.0</v>
      </c>
      <c r="L133" s="101">
        <v>50000.0</v>
      </c>
      <c r="M133" s="25"/>
      <c r="N133" s="102"/>
      <c r="O133" s="27"/>
      <c r="P133" s="28"/>
    </row>
    <row r="134" hidden="1">
      <c r="A134" s="16" t="s">
        <v>232</v>
      </c>
      <c r="B134" s="16" t="s">
        <v>233</v>
      </c>
      <c r="C134" s="103"/>
      <c r="D134" s="41"/>
      <c r="E134" s="19">
        <v>0.0</v>
      </c>
      <c r="F134" s="19">
        <v>0.0</v>
      </c>
      <c r="G134" s="16" t="s">
        <v>234</v>
      </c>
      <c r="H134" s="21"/>
      <c r="I134" s="22"/>
      <c r="J134" s="47">
        <v>46174.0</v>
      </c>
      <c r="K134" s="32">
        <f>72750*1.19</f>
        <v>86572.5</v>
      </c>
      <c r="L134" s="24">
        <v>110000.0</v>
      </c>
      <c r="M134" s="25"/>
      <c r="N134" s="26"/>
      <c r="O134" s="27">
        <f t="shared" ref="O134:O149" si="19">(L134/K134)-1</f>
        <v>0.2706113373</v>
      </c>
      <c r="P134" s="28">
        <f t="shared" ref="P134:P136" si="20">K134*F134</f>
        <v>0</v>
      </c>
    </row>
    <row r="135" hidden="1">
      <c r="A135" s="16" t="s">
        <v>235</v>
      </c>
      <c r="B135" s="17" t="s">
        <v>236</v>
      </c>
      <c r="C135" s="103" t="s">
        <v>237</v>
      </c>
      <c r="D135" s="4"/>
      <c r="E135" s="19">
        <v>0.0</v>
      </c>
      <c r="F135" s="19">
        <v>0.0</v>
      </c>
      <c r="G135" s="16" t="s">
        <v>238</v>
      </c>
      <c r="H135" s="21"/>
      <c r="I135" s="22"/>
      <c r="J135" s="47">
        <v>46082.0</v>
      </c>
      <c r="K135" s="48">
        <v>124000.0</v>
      </c>
      <c r="L135" s="48">
        <v>170000.0</v>
      </c>
      <c r="M135" s="25"/>
      <c r="N135" s="50">
        <v>150000.0</v>
      </c>
      <c r="O135" s="27">
        <f t="shared" si="19"/>
        <v>0.3709677419</v>
      </c>
      <c r="P135" s="28">
        <f t="shared" si="20"/>
        <v>0</v>
      </c>
    </row>
    <row r="136" hidden="1">
      <c r="A136" s="16" t="s">
        <v>239</v>
      </c>
      <c r="B136" s="17"/>
      <c r="C136" s="18"/>
      <c r="D136" s="41"/>
      <c r="E136" s="19">
        <v>0.0</v>
      </c>
      <c r="F136" s="19">
        <v>0.0</v>
      </c>
      <c r="G136" s="16" t="s">
        <v>238</v>
      </c>
      <c r="H136" s="21"/>
      <c r="I136" s="22"/>
      <c r="J136" s="22" t="s">
        <v>240</v>
      </c>
      <c r="K136" s="48">
        <v>140000.0</v>
      </c>
      <c r="L136" s="48">
        <v>190000.0</v>
      </c>
      <c r="M136" s="25"/>
      <c r="N136" s="26">
        <v>175000.0</v>
      </c>
      <c r="O136" s="27">
        <f t="shared" si="19"/>
        <v>0.3571428571</v>
      </c>
      <c r="P136" s="28">
        <f t="shared" si="20"/>
        <v>0</v>
      </c>
    </row>
    <row r="137" hidden="1">
      <c r="A137" s="16" t="s">
        <v>241</v>
      </c>
      <c r="B137" s="36" t="s">
        <v>242</v>
      </c>
      <c r="C137" s="104"/>
      <c r="D137" s="4"/>
      <c r="E137" s="19">
        <v>0.0</v>
      </c>
      <c r="F137" s="19">
        <v>0.0</v>
      </c>
      <c r="G137" s="16" t="s">
        <v>70</v>
      </c>
      <c r="H137" s="21"/>
      <c r="I137" s="22"/>
      <c r="J137" s="58">
        <v>45931.0</v>
      </c>
      <c r="K137" s="43">
        <v>58000.0</v>
      </c>
      <c r="L137" s="43">
        <v>70000.0</v>
      </c>
      <c r="M137" s="25"/>
      <c r="N137" s="26"/>
      <c r="O137" s="27">
        <f t="shared" si="19"/>
        <v>0.2068965517</v>
      </c>
      <c r="P137" s="28">
        <f>K137*F139</f>
        <v>0</v>
      </c>
    </row>
    <row r="138" hidden="1">
      <c r="A138" s="16" t="s">
        <v>243</v>
      </c>
      <c r="B138" s="36" t="s">
        <v>244</v>
      </c>
      <c r="C138" s="104"/>
      <c r="D138" s="4"/>
      <c r="E138" s="19">
        <v>0.0</v>
      </c>
      <c r="F138" s="19">
        <v>0.0</v>
      </c>
      <c r="G138" s="16" t="s">
        <v>70</v>
      </c>
      <c r="H138" s="21"/>
      <c r="I138" s="22"/>
      <c r="J138" s="58">
        <v>46113.0</v>
      </c>
      <c r="K138" s="24">
        <f>95000*0.8</f>
        <v>76000</v>
      </c>
      <c r="L138" s="32">
        <v>106000.0</v>
      </c>
      <c r="M138" s="25"/>
      <c r="N138" s="26">
        <v>88000.0</v>
      </c>
      <c r="O138" s="27">
        <f t="shared" si="19"/>
        <v>0.3947368421</v>
      </c>
      <c r="P138" s="28">
        <f t="shared" ref="P138:P149" si="21">K138*F138</f>
        <v>0</v>
      </c>
    </row>
    <row r="139" hidden="1">
      <c r="A139" s="16" t="s">
        <v>245</v>
      </c>
      <c r="B139" s="36" t="s">
        <v>246</v>
      </c>
      <c r="C139" s="105" t="s">
        <v>144</v>
      </c>
      <c r="D139" s="4">
        <v>79100.0</v>
      </c>
      <c r="E139" s="19">
        <v>0.0</v>
      </c>
      <c r="F139" s="19">
        <v>0.0</v>
      </c>
      <c r="G139" s="16" t="s">
        <v>70</v>
      </c>
      <c r="H139" s="21"/>
      <c r="I139" s="22"/>
      <c r="J139" s="47">
        <v>46023.0</v>
      </c>
      <c r="K139" s="32">
        <f>125000*0.8</f>
        <v>100000</v>
      </c>
      <c r="L139" s="32">
        <v>140000.0</v>
      </c>
      <c r="M139" s="25" t="s">
        <v>76</v>
      </c>
      <c r="N139" s="26"/>
      <c r="O139" s="27">
        <f t="shared" si="19"/>
        <v>0.4</v>
      </c>
      <c r="P139" s="28">
        <f t="shared" si="21"/>
        <v>0</v>
      </c>
    </row>
    <row r="140" hidden="1">
      <c r="A140" s="16" t="s">
        <v>247</v>
      </c>
      <c r="B140" s="17" t="s">
        <v>248</v>
      </c>
      <c r="C140" s="18"/>
      <c r="D140" s="4"/>
      <c r="E140" s="19">
        <v>0.0</v>
      </c>
      <c r="F140" s="19">
        <v>0.0</v>
      </c>
      <c r="G140" s="54" t="s">
        <v>102</v>
      </c>
      <c r="H140" s="21"/>
      <c r="I140" s="22">
        <v>3.0</v>
      </c>
      <c r="J140" s="47">
        <v>45901.0</v>
      </c>
      <c r="K140" s="48">
        <v>24000.0</v>
      </c>
      <c r="L140" s="48">
        <v>44000.0</v>
      </c>
      <c r="M140" s="25" t="s">
        <v>76</v>
      </c>
      <c r="N140" s="26">
        <v>38000.0</v>
      </c>
      <c r="O140" s="27">
        <f t="shared" si="19"/>
        <v>0.8333333333</v>
      </c>
      <c r="P140" s="28">
        <f t="shared" si="21"/>
        <v>0</v>
      </c>
    </row>
    <row r="141" hidden="1">
      <c r="A141" s="16" t="s">
        <v>249</v>
      </c>
      <c r="B141" s="17"/>
      <c r="C141" s="106"/>
      <c r="D141" s="4"/>
      <c r="E141" s="19">
        <v>0.0</v>
      </c>
      <c r="F141" s="19">
        <v>0.0</v>
      </c>
      <c r="G141" s="54" t="s">
        <v>102</v>
      </c>
      <c r="H141" s="21"/>
      <c r="I141" s="22">
        <v>0.0</v>
      </c>
      <c r="J141" s="29"/>
      <c r="K141" s="43">
        <v>37840.0</v>
      </c>
      <c r="L141" s="44">
        <v>56000.0</v>
      </c>
      <c r="M141" s="25" t="s">
        <v>76</v>
      </c>
      <c r="N141" s="26"/>
      <c r="O141" s="27">
        <f t="shared" si="19"/>
        <v>0.4799154334</v>
      </c>
      <c r="P141" s="28">
        <f t="shared" si="21"/>
        <v>0</v>
      </c>
    </row>
    <row r="142" hidden="1">
      <c r="A142" s="16" t="s">
        <v>250</v>
      </c>
      <c r="B142" s="17"/>
      <c r="C142" s="106"/>
      <c r="D142" s="107" t="s">
        <v>251</v>
      </c>
      <c r="E142" s="108">
        <v>3.0</v>
      </c>
      <c r="F142" s="19">
        <v>0.0</v>
      </c>
      <c r="G142" s="54" t="s">
        <v>102</v>
      </c>
      <c r="H142" s="21"/>
      <c r="I142" s="22">
        <v>1.0</v>
      </c>
      <c r="J142" s="47">
        <v>45748.0</v>
      </c>
      <c r="K142" s="32">
        <v>39732.0</v>
      </c>
      <c r="L142" s="24">
        <v>58000.0</v>
      </c>
      <c r="M142" s="25" t="s">
        <v>76</v>
      </c>
      <c r="N142" s="26"/>
      <c r="O142" s="27">
        <f t="shared" si="19"/>
        <v>0.4597805295</v>
      </c>
      <c r="P142" s="28">
        <f t="shared" si="21"/>
        <v>0</v>
      </c>
    </row>
    <row r="143" hidden="1">
      <c r="A143" s="16" t="s">
        <v>252</v>
      </c>
      <c r="B143" s="17" t="s">
        <v>253</v>
      </c>
      <c r="C143" s="103"/>
      <c r="D143" s="4"/>
      <c r="E143" s="19">
        <v>0.0</v>
      </c>
      <c r="F143" s="19">
        <v>12.0</v>
      </c>
      <c r="G143" s="20" t="s">
        <v>254</v>
      </c>
      <c r="H143" s="21"/>
      <c r="I143" s="22">
        <v>3.0</v>
      </c>
      <c r="J143" s="22" t="s">
        <v>255</v>
      </c>
      <c r="K143" s="32">
        <v>87000.0</v>
      </c>
      <c r="L143" s="24">
        <v>105000.0</v>
      </c>
      <c r="M143" s="25" t="s">
        <v>76</v>
      </c>
      <c r="N143" s="26">
        <v>98000.0</v>
      </c>
      <c r="O143" s="27">
        <f t="shared" si="19"/>
        <v>0.2068965517</v>
      </c>
      <c r="P143" s="28">
        <f t="shared" si="21"/>
        <v>1044000</v>
      </c>
    </row>
    <row r="144" hidden="1">
      <c r="A144" s="16" t="s">
        <v>256</v>
      </c>
      <c r="B144" s="17" t="s">
        <v>257</v>
      </c>
      <c r="C144" s="109"/>
      <c r="D144" s="4"/>
      <c r="E144" s="19">
        <v>0.0</v>
      </c>
      <c r="F144" s="19"/>
      <c r="G144" s="20" t="s">
        <v>57</v>
      </c>
      <c r="H144" s="21"/>
      <c r="I144" s="22"/>
      <c r="J144" s="58"/>
      <c r="K144" s="24">
        <v>28000.0</v>
      </c>
      <c r="L144" s="24">
        <v>42000.0</v>
      </c>
      <c r="M144" s="25"/>
      <c r="N144" s="26">
        <v>35000.0</v>
      </c>
      <c r="O144" s="27">
        <f t="shared" si="19"/>
        <v>0.5</v>
      </c>
      <c r="P144" s="28">
        <f t="shared" si="21"/>
        <v>0</v>
      </c>
    </row>
    <row r="145" hidden="1">
      <c r="A145" s="16" t="s">
        <v>258</v>
      </c>
      <c r="B145" s="17"/>
      <c r="C145" s="103"/>
      <c r="D145" s="4"/>
      <c r="E145" s="19">
        <v>0.0</v>
      </c>
      <c r="F145" s="19">
        <v>0.0</v>
      </c>
      <c r="G145" s="16" t="s">
        <v>259</v>
      </c>
      <c r="H145" s="21">
        <v>0.0</v>
      </c>
      <c r="I145" s="22">
        <v>0.0</v>
      </c>
      <c r="J145" s="29"/>
      <c r="K145" s="48">
        <v>171100.0</v>
      </c>
      <c r="L145" s="55">
        <v>215000.0</v>
      </c>
      <c r="M145" s="25"/>
      <c r="N145" s="26"/>
      <c r="O145" s="27">
        <f t="shared" si="19"/>
        <v>0.2565751023</v>
      </c>
      <c r="P145" s="28">
        <f t="shared" si="21"/>
        <v>0</v>
      </c>
    </row>
    <row r="146" hidden="1">
      <c r="A146" s="16" t="s">
        <v>260</v>
      </c>
      <c r="B146" s="17"/>
      <c r="C146" s="103"/>
      <c r="D146" s="4"/>
      <c r="E146" s="19">
        <v>0.0</v>
      </c>
      <c r="F146" s="19">
        <v>0.0</v>
      </c>
      <c r="G146" s="20" t="s">
        <v>14</v>
      </c>
      <c r="H146" s="21">
        <v>0.0</v>
      </c>
      <c r="I146" s="22">
        <v>0.0</v>
      </c>
      <c r="J146" s="29"/>
      <c r="K146" s="43">
        <v>144700.0</v>
      </c>
      <c r="L146" s="44">
        <v>180000.0</v>
      </c>
      <c r="M146" s="25"/>
      <c r="N146" s="69"/>
      <c r="O146" s="27">
        <f t="shared" si="19"/>
        <v>0.2439530062</v>
      </c>
      <c r="P146" s="28">
        <f t="shared" si="21"/>
        <v>0</v>
      </c>
    </row>
    <row r="147" hidden="1">
      <c r="A147" s="16" t="s">
        <v>261</v>
      </c>
      <c r="B147" s="17"/>
      <c r="C147" s="103"/>
      <c r="D147" s="4"/>
      <c r="E147" s="19">
        <v>0.0</v>
      </c>
      <c r="F147" s="19">
        <v>0.0</v>
      </c>
      <c r="G147" s="20" t="s">
        <v>14</v>
      </c>
      <c r="H147" s="21">
        <v>0.0</v>
      </c>
      <c r="I147" s="22">
        <v>0.0</v>
      </c>
      <c r="J147" s="29"/>
      <c r="K147" s="48">
        <v>280000.0</v>
      </c>
      <c r="L147" s="55">
        <v>364000.0</v>
      </c>
      <c r="M147" s="25"/>
      <c r="N147" s="69"/>
      <c r="O147" s="27">
        <f t="shared" si="19"/>
        <v>0.3</v>
      </c>
      <c r="P147" s="28">
        <f t="shared" si="21"/>
        <v>0</v>
      </c>
    </row>
    <row r="148" hidden="1">
      <c r="A148" s="16" t="s">
        <v>262</v>
      </c>
      <c r="B148" s="17"/>
      <c r="C148" s="103"/>
      <c r="D148" s="4"/>
      <c r="E148" s="19">
        <v>0.0</v>
      </c>
      <c r="F148" s="19">
        <v>0.0</v>
      </c>
      <c r="G148" s="16" t="s">
        <v>259</v>
      </c>
      <c r="H148" s="21">
        <v>0.0</v>
      </c>
      <c r="I148" s="22">
        <v>0.0</v>
      </c>
      <c r="J148" s="29"/>
      <c r="K148" s="32">
        <v>103000.0</v>
      </c>
      <c r="L148" s="24">
        <v>127000.0</v>
      </c>
      <c r="M148" s="25"/>
      <c r="N148" s="26"/>
      <c r="O148" s="27">
        <f t="shared" si="19"/>
        <v>0.2330097087</v>
      </c>
      <c r="P148" s="28">
        <f t="shared" si="21"/>
        <v>0</v>
      </c>
    </row>
    <row r="149" hidden="1">
      <c r="A149" s="16" t="s">
        <v>262</v>
      </c>
      <c r="B149" s="17"/>
      <c r="C149" s="103"/>
      <c r="D149" s="4"/>
      <c r="E149" s="19">
        <v>0.0</v>
      </c>
      <c r="F149" s="19">
        <v>0.0</v>
      </c>
      <c r="G149" s="16" t="s">
        <v>259</v>
      </c>
      <c r="H149" s="21">
        <v>0.0</v>
      </c>
      <c r="I149" s="22">
        <v>0.0</v>
      </c>
      <c r="J149" s="29"/>
      <c r="K149" s="48">
        <v>103400.0</v>
      </c>
      <c r="L149" s="55">
        <v>138000.0</v>
      </c>
      <c r="M149" s="25"/>
      <c r="N149" s="26"/>
      <c r="O149" s="27">
        <f t="shared" si="19"/>
        <v>0.334622824</v>
      </c>
      <c r="P149" s="28">
        <f t="shared" si="21"/>
        <v>0</v>
      </c>
    </row>
    <row r="150" hidden="1">
      <c r="A150" s="16" t="s">
        <v>263</v>
      </c>
      <c r="B150" s="36"/>
      <c r="C150" s="92"/>
      <c r="D150" s="61"/>
      <c r="E150" s="19"/>
      <c r="F150" s="19"/>
      <c r="G150" s="20" t="s">
        <v>264</v>
      </c>
      <c r="H150" s="21"/>
      <c r="I150" s="22">
        <v>1.0</v>
      </c>
      <c r="J150" s="47"/>
      <c r="K150" s="43"/>
      <c r="L150" s="44"/>
      <c r="M150" s="25"/>
      <c r="N150" s="26"/>
      <c r="O150" s="27"/>
      <c r="P150" s="28"/>
    </row>
    <row r="151" hidden="1">
      <c r="A151" s="16" t="s">
        <v>265</v>
      </c>
      <c r="B151" s="36" t="s">
        <v>266</v>
      </c>
      <c r="C151" s="92"/>
      <c r="D151" s="4"/>
      <c r="E151" s="19"/>
      <c r="F151" s="19"/>
      <c r="G151" s="20" t="s">
        <v>267</v>
      </c>
      <c r="H151" s="21"/>
      <c r="I151" s="22"/>
      <c r="J151" s="29"/>
      <c r="K151" s="48">
        <v>48897.0</v>
      </c>
      <c r="L151" s="55">
        <v>69000.0</v>
      </c>
      <c r="M151" s="25"/>
      <c r="N151" s="26">
        <v>58000.0</v>
      </c>
      <c r="O151" s="27">
        <f t="shared" ref="O151:O232" si="22">(L151/K151)-1</f>
        <v>0.4111295171</v>
      </c>
      <c r="P151" s="28">
        <f t="shared" ref="P151:P232" si="23">K151*F151</f>
        <v>0</v>
      </c>
    </row>
    <row r="152" hidden="1">
      <c r="A152" s="16" t="s">
        <v>268</v>
      </c>
      <c r="B152" s="36"/>
      <c r="C152" s="92"/>
      <c r="D152" s="4"/>
      <c r="E152" s="19"/>
      <c r="F152" s="19"/>
      <c r="G152" s="20" t="s">
        <v>267</v>
      </c>
      <c r="H152" s="21"/>
      <c r="I152" s="22"/>
      <c r="J152" s="29"/>
      <c r="K152" s="43">
        <f>L151/20</f>
        <v>3450</v>
      </c>
      <c r="L152" s="44">
        <v>4000.0</v>
      </c>
      <c r="M152" s="25"/>
      <c r="N152" s="26"/>
      <c r="O152" s="27">
        <f t="shared" si="22"/>
        <v>0.1594202899</v>
      </c>
      <c r="P152" s="28">
        <f t="shared" si="23"/>
        <v>0</v>
      </c>
    </row>
    <row r="153" hidden="1">
      <c r="A153" s="16" t="s">
        <v>269</v>
      </c>
      <c r="B153" s="49"/>
      <c r="C153" s="103"/>
      <c r="D153" s="4"/>
      <c r="E153" s="19">
        <v>0.0</v>
      </c>
      <c r="F153" s="19">
        <v>0.0</v>
      </c>
      <c r="G153" s="16" t="s">
        <v>270</v>
      </c>
      <c r="H153" s="21">
        <v>0.0</v>
      </c>
      <c r="I153" s="22">
        <v>0.0</v>
      </c>
      <c r="J153" s="29"/>
      <c r="K153" s="43">
        <v>102401.0</v>
      </c>
      <c r="L153" s="44">
        <v>140000.0</v>
      </c>
      <c r="M153" s="25" t="s">
        <v>82</v>
      </c>
      <c r="N153" s="70"/>
      <c r="O153" s="27">
        <f t="shared" si="22"/>
        <v>0.3671741487</v>
      </c>
      <c r="P153" s="28">
        <f t="shared" si="23"/>
        <v>0</v>
      </c>
    </row>
    <row r="154" hidden="1">
      <c r="A154" s="40" t="s">
        <v>271</v>
      </c>
      <c r="B154" s="17"/>
      <c r="C154" s="103"/>
      <c r="D154" s="4"/>
      <c r="E154" s="19">
        <v>0.0</v>
      </c>
      <c r="F154" s="19">
        <v>0.0</v>
      </c>
      <c r="G154" s="40" t="s">
        <v>93</v>
      </c>
      <c r="H154" s="21"/>
      <c r="I154" s="22">
        <v>0.0</v>
      </c>
      <c r="J154" s="29"/>
      <c r="K154" s="43">
        <v>5100.0</v>
      </c>
      <c r="L154" s="44">
        <v>7000.0</v>
      </c>
      <c r="M154" s="25"/>
      <c r="N154" s="69"/>
      <c r="O154" s="27">
        <f t="shared" si="22"/>
        <v>0.3725490196</v>
      </c>
      <c r="P154" s="28">
        <f t="shared" si="23"/>
        <v>0</v>
      </c>
    </row>
    <row r="155" hidden="1">
      <c r="A155" s="16" t="s">
        <v>272</v>
      </c>
      <c r="B155" s="17"/>
      <c r="C155" s="103"/>
      <c r="D155" s="4"/>
      <c r="E155" s="19"/>
      <c r="F155" s="19"/>
      <c r="G155" s="16" t="s">
        <v>273</v>
      </c>
      <c r="H155" s="21"/>
      <c r="I155" s="22">
        <v>0.0</v>
      </c>
      <c r="J155" s="22"/>
      <c r="K155" s="32">
        <v>119000.0</v>
      </c>
      <c r="L155" s="24">
        <v>148000.0</v>
      </c>
      <c r="M155" s="25"/>
      <c r="N155" s="69"/>
      <c r="O155" s="27">
        <f t="shared" si="22"/>
        <v>0.243697479</v>
      </c>
      <c r="P155" s="28">
        <f t="shared" si="23"/>
        <v>0</v>
      </c>
    </row>
    <row r="156" hidden="1">
      <c r="A156" s="16" t="s">
        <v>274</v>
      </c>
      <c r="B156" s="17"/>
      <c r="C156" s="103"/>
      <c r="D156" s="4"/>
      <c r="E156" s="19"/>
      <c r="F156" s="19"/>
      <c r="G156" s="16" t="s">
        <v>275</v>
      </c>
      <c r="H156" s="21"/>
      <c r="I156" s="22">
        <v>0.0</v>
      </c>
      <c r="J156" s="47"/>
      <c r="K156" s="32">
        <v>236500.0</v>
      </c>
      <c r="L156" s="24">
        <v>295000.0</v>
      </c>
      <c r="M156" s="25"/>
      <c r="N156" s="69"/>
      <c r="O156" s="27">
        <f t="shared" si="22"/>
        <v>0.2473572939</v>
      </c>
      <c r="P156" s="28">
        <f t="shared" si="23"/>
        <v>0</v>
      </c>
    </row>
    <row r="157" hidden="1">
      <c r="A157" s="16" t="s">
        <v>276</v>
      </c>
      <c r="B157" s="17"/>
      <c r="C157" s="18"/>
      <c r="D157" s="4"/>
      <c r="E157" s="19">
        <v>0.0</v>
      </c>
      <c r="F157" s="19">
        <v>0.0</v>
      </c>
      <c r="G157" s="16" t="s">
        <v>277</v>
      </c>
      <c r="H157" s="21"/>
      <c r="I157" s="22">
        <v>4.0</v>
      </c>
      <c r="J157" s="47">
        <v>45809.0</v>
      </c>
      <c r="K157" s="32">
        <f>176000*0.8</f>
        <v>140800</v>
      </c>
      <c r="L157" s="32">
        <v>176000.0</v>
      </c>
      <c r="M157" s="25" t="s">
        <v>82</v>
      </c>
      <c r="N157" s="26"/>
      <c r="O157" s="27">
        <f t="shared" si="22"/>
        <v>0.25</v>
      </c>
      <c r="P157" s="28">
        <f t="shared" si="23"/>
        <v>0</v>
      </c>
    </row>
    <row r="158" hidden="1">
      <c r="A158" s="16" t="s">
        <v>278</v>
      </c>
      <c r="B158" s="49"/>
      <c r="C158" s="92" t="s">
        <v>279</v>
      </c>
      <c r="D158" s="4"/>
      <c r="E158" s="19"/>
      <c r="F158" s="19"/>
      <c r="G158" s="16" t="s">
        <v>98</v>
      </c>
      <c r="H158" s="21">
        <v>10.0</v>
      </c>
      <c r="I158" s="22"/>
      <c r="J158" s="47">
        <v>46266.0</v>
      </c>
      <c r="K158" s="32">
        <v>110000.0</v>
      </c>
      <c r="L158" s="24">
        <v>165000.0</v>
      </c>
      <c r="M158" s="25" t="s">
        <v>76</v>
      </c>
      <c r="N158" s="70"/>
      <c r="O158" s="27">
        <f t="shared" si="22"/>
        <v>0.5</v>
      </c>
      <c r="P158" s="28">
        <f t="shared" si="23"/>
        <v>0</v>
      </c>
    </row>
    <row r="159" hidden="1">
      <c r="A159" s="16" t="s">
        <v>280</v>
      </c>
      <c r="B159" s="36"/>
      <c r="C159" s="103"/>
      <c r="D159" s="110"/>
      <c r="E159" s="19">
        <v>0.0</v>
      </c>
      <c r="F159" s="19">
        <v>0.0</v>
      </c>
      <c r="G159" s="16" t="s">
        <v>281</v>
      </c>
      <c r="H159" s="21"/>
      <c r="I159" s="22">
        <v>0.0</v>
      </c>
      <c r="J159" s="23"/>
      <c r="K159" s="24">
        <v>120000.0</v>
      </c>
      <c r="L159" s="24">
        <v>150000.0</v>
      </c>
      <c r="M159" s="25"/>
      <c r="N159" s="69"/>
      <c r="O159" s="27">
        <f t="shared" si="22"/>
        <v>0.25</v>
      </c>
      <c r="P159" s="28">
        <f t="shared" si="23"/>
        <v>0</v>
      </c>
    </row>
    <row r="160" hidden="1">
      <c r="A160" s="16" t="s">
        <v>282</v>
      </c>
      <c r="B160" s="49"/>
      <c r="C160" s="18" t="s">
        <v>55</v>
      </c>
      <c r="D160" s="4"/>
      <c r="E160" s="19">
        <v>0.0</v>
      </c>
      <c r="F160" s="19"/>
      <c r="G160" s="20" t="s">
        <v>283</v>
      </c>
      <c r="H160" s="21"/>
      <c r="I160" s="22"/>
      <c r="J160" s="29"/>
      <c r="K160" s="43">
        <v>2915.0</v>
      </c>
      <c r="L160" s="44">
        <v>6000.0</v>
      </c>
      <c r="M160" s="25"/>
      <c r="N160" s="69"/>
      <c r="O160" s="27">
        <f t="shared" si="22"/>
        <v>1.058319039</v>
      </c>
      <c r="P160" s="28">
        <f t="shared" si="23"/>
        <v>0</v>
      </c>
    </row>
    <row r="161" hidden="1">
      <c r="A161" s="59" t="s">
        <v>284</v>
      </c>
      <c r="B161" s="36"/>
      <c r="C161" s="103"/>
      <c r="D161" s="4"/>
      <c r="E161" s="19"/>
      <c r="F161" s="19"/>
      <c r="G161" s="16" t="s">
        <v>88</v>
      </c>
      <c r="H161" s="21"/>
      <c r="I161" s="22">
        <v>1.0</v>
      </c>
      <c r="J161" s="23"/>
      <c r="K161" s="55">
        <f>10610*1.19</f>
        <v>12625.9</v>
      </c>
      <c r="L161" s="55">
        <v>18000.0</v>
      </c>
      <c r="M161" s="25"/>
      <c r="N161" s="26"/>
      <c r="O161" s="27">
        <f t="shared" si="22"/>
        <v>0.4256409444</v>
      </c>
      <c r="P161" s="28">
        <f t="shared" si="23"/>
        <v>0</v>
      </c>
    </row>
    <row r="162" hidden="1">
      <c r="A162" s="16" t="s">
        <v>285</v>
      </c>
      <c r="B162" s="17"/>
      <c r="C162" s="103"/>
      <c r="D162" s="4"/>
      <c r="E162" s="19">
        <v>0.0</v>
      </c>
      <c r="F162" s="19">
        <v>0.0</v>
      </c>
      <c r="G162" s="20" t="s">
        <v>286</v>
      </c>
      <c r="H162" s="21"/>
      <c r="I162" s="22">
        <v>30.0</v>
      </c>
      <c r="J162" s="47">
        <v>46508.0</v>
      </c>
      <c r="K162" s="24">
        <v>669.0</v>
      </c>
      <c r="L162" s="24">
        <v>1000.0</v>
      </c>
      <c r="M162" s="25">
        <v>1.19</v>
      </c>
      <c r="N162" s="50"/>
      <c r="O162" s="27">
        <f t="shared" si="22"/>
        <v>0.4947683109</v>
      </c>
      <c r="P162" s="28">
        <f t="shared" si="23"/>
        <v>0</v>
      </c>
    </row>
    <row r="163" hidden="1">
      <c r="A163" s="40" t="s">
        <v>287</v>
      </c>
      <c r="B163" s="17" t="s">
        <v>288</v>
      </c>
      <c r="C163" s="18"/>
      <c r="D163" s="4"/>
      <c r="E163" s="19">
        <v>0.0</v>
      </c>
      <c r="F163" s="19">
        <v>0.0</v>
      </c>
      <c r="G163" s="20" t="s">
        <v>289</v>
      </c>
      <c r="H163" s="21"/>
      <c r="I163" s="22"/>
      <c r="J163" s="29"/>
      <c r="K163" s="32">
        <v>2859.0</v>
      </c>
      <c r="L163" s="24">
        <v>5000.0</v>
      </c>
      <c r="M163" s="25" t="s">
        <v>76</v>
      </c>
      <c r="N163" s="70"/>
      <c r="O163" s="27">
        <f t="shared" si="22"/>
        <v>0.7488632389</v>
      </c>
      <c r="P163" s="28">
        <f t="shared" si="23"/>
        <v>0</v>
      </c>
    </row>
    <row r="164" hidden="1">
      <c r="A164" s="42" t="s">
        <v>290</v>
      </c>
      <c r="B164" s="36"/>
      <c r="C164" s="18"/>
      <c r="D164" s="4"/>
      <c r="E164" s="19">
        <v>0.0</v>
      </c>
      <c r="F164" s="19"/>
      <c r="G164" s="20" t="s">
        <v>291</v>
      </c>
      <c r="H164" s="21"/>
      <c r="I164" s="22"/>
      <c r="J164" s="29"/>
      <c r="K164" s="32">
        <v>2000.0</v>
      </c>
      <c r="L164" s="24">
        <v>4000.0</v>
      </c>
      <c r="M164" s="25"/>
      <c r="N164" s="50"/>
      <c r="O164" s="27">
        <f t="shared" si="22"/>
        <v>1</v>
      </c>
      <c r="P164" s="28">
        <f t="shared" si="23"/>
        <v>0</v>
      </c>
    </row>
    <row r="165" hidden="1">
      <c r="A165" s="16" t="s">
        <v>292</v>
      </c>
      <c r="B165" s="36"/>
      <c r="C165" s="103"/>
      <c r="D165" s="4"/>
      <c r="E165" s="19">
        <v>0.0</v>
      </c>
      <c r="F165" s="19">
        <v>0.0</v>
      </c>
      <c r="G165" s="40" t="s">
        <v>93</v>
      </c>
      <c r="H165" s="21"/>
      <c r="I165" s="22">
        <v>6.0</v>
      </c>
      <c r="J165" s="47">
        <v>46569.0</v>
      </c>
      <c r="K165" s="32">
        <f>113848*1.19</f>
        <v>135479.12</v>
      </c>
      <c r="L165" s="24">
        <v>170000.0</v>
      </c>
      <c r="M165" s="25"/>
      <c r="N165" s="69"/>
      <c r="O165" s="27">
        <f t="shared" si="22"/>
        <v>0.2548059066</v>
      </c>
      <c r="P165" s="28">
        <f t="shared" si="23"/>
        <v>0</v>
      </c>
    </row>
    <row r="166" hidden="1">
      <c r="A166" s="16" t="s">
        <v>293</v>
      </c>
      <c r="B166" s="36"/>
      <c r="C166" s="103"/>
      <c r="D166" s="4"/>
      <c r="E166" s="19">
        <v>0.0</v>
      </c>
      <c r="F166" s="19">
        <v>0.0</v>
      </c>
      <c r="G166" s="40" t="s">
        <v>93</v>
      </c>
      <c r="H166" s="21"/>
      <c r="I166" s="22">
        <v>0.0</v>
      </c>
      <c r="J166" s="23"/>
      <c r="K166" s="24">
        <f>135500/100+600</f>
        <v>1955</v>
      </c>
      <c r="L166" s="24">
        <v>3000.0</v>
      </c>
      <c r="M166" s="25"/>
      <c r="N166" s="69"/>
      <c r="O166" s="27">
        <f t="shared" si="22"/>
        <v>0.5345268542</v>
      </c>
      <c r="P166" s="28">
        <f t="shared" si="23"/>
        <v>0</v>
      </c>
    </row>
    <row r="167" hidden="1">
      <c r="A167" s="16" t="s">
        <v>294</v>
      </c>
      <c r="B167" s="17" t="s">
        <v>295</v>
      </c>
      <c r="C167" s="103"/>
      <c r="D167" s="4"/>
      <c r="E167" s="19">
        <v>0.0</v>
      </c>
      <c r="F167" s="19">
        <v>4.0</v>
      </c>
      <c r="G167" s="16" t="s">
        <v>296</v>
      </c>
      <c r="H167" s="21"/>
      <c r="I167" s="22">
        <v>0.0</v>
      </c>
      <c r="J167" s="29"/>
      <c r="K167" s="32">
        <f>101800/100</f>
        <v>1018</v>
      </c>
      <c r="L167" s="24">
        <v>3000.0</v>
      </c>
      <c r="M167" s="25"/>
      <c r="N167" s="26"/>
      <c r="O167" s="27">
        <f t="shared" si="22"/>
        <v>1.946954813</v>
      </c>
      <c r="P167" s="28">
        <f t="shared" si="23"/>
        <v>4072</v>
      </c>
    </row>
    <row r="168" hidden="1">
      <c r="A168" s="52" t="s">
        <v>297</v>
      </c>
      <c r="B168" s="17" t="s">
        <v>298</v>
      </c>
      <c r="C168" s="103"/>
      <c r="D168" s="67"/>
      <c r="E168" s="19">
        <v>0.0</v>
      </c>
      <c r="F168" s="19"/>
      <c r="G168" s="20" t="s">
        <v>60</v>
      </c>
      <c r="H168" s="21"/>
      <c r="I168" s="22"/>
      <c r="J168" s="29"/>
      <c r="K168" s="48">
        <f t="shared" ref="K168:K170" si="24">9400*1.19/12</f>
        <v>932.1666667</v>
      </c>
      <c r="L168" s="55">
        <v>1500.0</v>
      </c>
      <c r="M168" s="25"/>
      <c r="N168" s="70"/>
      <c r="O168" s="27">
        <f t="shared" si="22"/>
        <v>0.6091543</v>
      </c>
      <c r="P168" s="28">
        <f t="shared" si="23"/>
        <v>0</v>
      </c>
    </row>
    <row r="169" hidden="1">
      <c r="A169" s="52" t="s">
        <v>299</v>
      </c>
      <c r="B169" s="17" t="s">
        <v>300</v>
      </c>
      <c r="C169" s="103"/>
      <c r="D169" s="67"/>
      <c r="E169" s="19">
        <v>0.0</v>
      </c>
      <c r="F169" s="19"/>
      <c r="G169" s="20" t="s">
        <v>60</v>
      </c>
      <c r="H169" s="21"/>
      <c r="I169" s="22"/>
      <c r="J169" s="29"/>
      <c r="K169" s="48">
        <f t="shared" si="24"/>
        <v>932.1666667</v>
      </c>
      <c r="L169" s="55">
        <v>1500.0</v>
      </c>
      <c r="M169" s="25"/>
      <c r="N169" s="26"/>
      <c r="O169" s="27">
        <f t="shared" si="22"/>
        <v>0.6091543</v>
      </c>
      <c r="P169" s="28">
        <f t="shared" si="23"/>
        <v>0</v>
      </c>
    </row>
    <row r="170" hidden="1">
      <c r="A170" s="52" t="s">
        <v>301</v>
      </c>
      <c r="B170" s="17" t="s">
        <v>298</v>
      </c>
      <c r="C170" s="103"/>
      <c r="D170" s="4"/>
      <c r="E170" s="19">
        <v>0.0</v>
      </c>
      <c r="F170" s="19"/>
      <c r="G170" s="20" t="s">
        <v>60</v>
      </c>
      <c r="H170" s="21"/>
      <c r="I170" s="22"/>
      <c r="J170" s="29"/>
      <c r="K170" s="48">
        <f t="shared" si="24"/>
        <v>932.1666667</v>
      </c>
      <c r="L170" s="55">
        <v>1500.0</v>
      </c>
      <c r="M170" s="25"/>
      <c r="N170" s="70"/>
      <c r="O170" s="27">
        <f t="shared" si="22"/>
        <v>0.6091543</v>
      </c>
      <c r="P170" s="28">
        <f t="shared" si="23"/>
        <v>0</v>
      </c>
    </row>
    <row r="171" hidden="1">
      <c r="A171" s="16" t="s">
        <v>302</v>
      </c>
      <c r="B171" s="17" t="s">
        <v>303</v>
      </c>
      <c r="C171" s="103"/>
      <c r="D171" s="4"/>
      <c r="E171" s="19"/>
      <c r="F171" s="19"/>
      <c r="G171" s="20" t="s">
        <v>304</v>
      </c>
      <c r="H171" s="21">
        <v>0.0</v>
      </c>
      <c r="I171" s="22">
        <v>22.0</v>
      </c>
      <c r="J171" s="58">
        <v>47027.0</v>
      </c>
      <c r="K171" s="48">
        <v>21539.0</v>
      </c>
      <c r="L171" s="55">
        <v>32000.0</v>
      </c>
      <c r="M171" s="25">
        <v>0.19</v>
      </c>
      <c r="N171" s="26">
        <v>26000.0</v>
      </c>
      <c r="O171" s="27">
        <f t="shared" si="22"/>
        <v>0.4856771438</v>
      </c>
      <c r="P171" s="28">
        <f t="shared" si="23"/>
        <v>0</v>
      </c>
    </row>
    <row r="172" hidden="1">
      <c r="A172" s="16" t="s">
        <v>305</v>
      </c>
      <c r="B172" s="17" t="s">
        <v>306</v>
      </c>
      <c r="C172" s="103"/>
      <c r="D172" s="4"/>
      <c r="E172" s="19"/>
      <c r="F172" s="19"/>
      <c r="G172" s="20" t="s">
        <v>304</v>
      </c>
      <c r="H172" s="21">
        <v>0.0</v>
      </c>
      <c r="I172" s="22">
        <v>21.0</v>
      </c>
      <c r="J172" s="58">
        <v>47027.0</v>
      </c>
      <c r="K172" s="48">
        <v>21539.0</v>
      </c>
      <c r="L172" s="55">
        <v>32000.0</v>
      </c>
      <c r="M172" s="25" t="s">
        <v>307</v>
      </c>
      <c r="N172" s="26">
        <v>26000.0</v>
      </c>
      <c r="O172" s="27">
        <f t="shared" si="22"/>
        <v>0.4856771438</v>
      </c>
      <c r="P172" s="28">
        <f t="shared" si="23"/>
        <v>0</v>
      </c>
    </row>
    <row r="173" hidden="1">
      <c r="A173" s="16" t="s">
        <v>308</v>
      </c>
      <c r="B173" s="36"/>
      <c r="C173" s="18"/>
      <c r="D173" s="4"/>
      <c r="E173" s="19">
        <v>0.0</v>
      </c>
      <c r="F173" s="19">
        <v>0.0</v>
      </c>
      <c r="G173" s="40" t="s">
        <v>93</v>
      </c>
      <c r="H173" s="21"/>
      <c r="I173" s="22">
        <v>0.0</v>
      </c>
      <c r="J173" s="29"/>
      <c r="K173" s="32">
        <v>21600.0</v>
      </c>
      <c r="L173" s="24">
        <v>30000.0</v>
      </c>
      <c r="M173" s="25"/>
      <c r="N173" s="26"/>
      <c r="O173" s="27">
        <f t="shared" si="22"/>
        <v>0.3888888889</v>
      </c>
      <c r="P173" s="28">
        <f t="shared" si="23"/>
        <v>0</v>
      </c>
    </row>
    <row r="174" hidden="1">
      <c r="A174" s="16" t="s">
        <v>309</v>
      </c>
      <c r="B174" s="36"/>
      <c r="C174" s="18"/>
      <c r="D174" s="4"/>
      <c r="E174" s="19">
        <v>0.0</v>
      </c>
      <c r="F174" s="19">
        <v>0.0</v>
      </c>
      <c r="G174" s="40" t="s">
        <v>93</v>
      </c>
      <c r="H174" s="21"/>
      <c r="I174" s="22">
        <v>0.0</v>
      </c>
      <c r="J174" s="29"/>
      <c r="K174" s="48">
        <v>33180.0</v>
      </c>
      <c r="L174" s="55">
        <v>42000.0</v>
      </c>
      <c r="M174" s="25"/>
      <c r="N174" s="31"/>
      <c r="O174" s="27">
        <f t="shared" si="22"/>
        <v>0.2658227848</v>
      </c>
      <c r="P174" s="28">
        <f t="shared" si="23"/>
        <v>0</v>
      </c>
    </row>
    <row r="175" hidden="1">
      <c r="A175" s="16" t="s">
        <v>310</v>
      </c>
      <c r="B175" s="17"/>
      <c r="C175" s="103"/>
      <c r="D175" s="4"/>
      <c r="E175" s="19">
        <v>0.0</v>
      </c>
      <c r="F175" s="19">
        <v>0.0</v>
      </c>
      <c r="G175" s="16" t="s">
        <v>311</v>
      </c>
      <c r="H175" s="21"/>
      <c r="I175" s="22">
        <v>0.0</v>
      </c>
      <c r="J175" s="29"/>
      <c r="K175" s="43">
        <v>15920.0</v>
      </c>
      <c r="L175" s="44">
        <v>20000.0</v>
      </c>
      <c r="M175" s="25"/>
      <c r="N175" s="69"/>
      <c r="O175" s="27">
        <f t="shared" si="22"/>
        <v>0.256281407</v>
      </c>
      <c r="P175" s="28">
        <f t="shared" si="23"/>
        <v>0</v>
      </c>
    </row>
    <row r="176" hidden="1">
      <c r="A176" s="16" t="s">
        <v>312</v>
      </c>
      <c r="B176" s="17"/>
      <c r="C176" s="103"/>
      <c r="D176" s="4"/>
      <c r="E176" s="19">
        <v>0.0</v>
      </c>
      <c r="F176" s="19">
        <v>0.0</v>
      </c>
      <c r="G176" s="16" t="s">
        <v>84</v>
      </c>
      <c r="H176" s="21"/>
      <c r="I176" s="22">
        <v>0.0</v>
      </c>
      <c r="J176" s="29"/>
      <c r="K176" s="43">
        <f>16*800</f>
        <v>12800</v>
      </c>
      <c r="L176" s="44">
        <v>20000.0</v>
      </c>
      <c r="M176" s="25"/>
      <c r="N176" s="69"/>
      <c r="O176" s="27">
        <f t="shared" si="22"/>
        <v>0.5625</v>
      </c>
      <c r="P176" s="28">
        <f t="shared" si="23"/>
        <v>0</v>
      </c>
    </row>
    <row r="177" hidden="1">
      <c r="A177" s="16" t="s">
        <v>313</v>
      </c>
      <c r="B177" s="17"/>
      <c r="C177" s="103"/>
      <c r="D177" s="4"/>
      <c r="E177" s="19">
        <v>0.0</v>
      </c>
      <c r="F177" s="19">
        <v>0.0</v>
      </c>
      <c r="G177" s="16" t="s">
        <v>311</v>
      </c>
      <c r="H177" s="21"/>
      <c r="I177" s="22">
        <v>0.0</v>
      </c>
      <c r="J177" s="29"/>
      <c r="K177" s="43">
        <v>15920.0</v>
      </c>
      <c r="L177" s="44">
        <v>20000.0</v>
      </c>
      <c r="M177" s="25"/>
      <c r="N177" s="69"/>
      <c r="O177" s="27">
        <f t="shared" si="22"/>
        <v>0.256281407</v>
      </c>
      <c r="P177" s="28">
        <f t="shared" si="23"/>
        <v>0</v>
      </c>
    </row>
    <row r="178" hidden="1">
      <c r="A178" s="16" t="s">
        <v>314</v>
      </c>
      <c r="B178" s="17"/>
      <c r="C178" s="103"/>
      <c r="D178" s="4"/>
      <c r="E178" s="19">
        <v>0.0</v>
      </c>
      <c r="F178" s="19">
        <v>0.0</v>
      </c>
      <c r="G178" s="16" t="s">
        <v>84</v>
      </c>
      <c r="H178" s="21"/>
      <c r="I178" s="22">
        <v>4.0</v>
      </c>
      <c r="J178" s="29"/>
      <c r="K178" s="43">
        <f t="shared" ref="K178:K180" si="25">16*800</f>
        <v>12800</v>
      </c>
      <c r="L178" s="44">
        <v>20000.0</v>
      </c>
      <c r="M178" s="25"/>
      <c r="N178" s="69"/>
      <c r="O178" s="27">
        <f t="shared" si="22"/>
        <v>0.5625</v>
      </c>
      <c r="P178" s="28">
        <f t="shared" si="23"/>
        <v>0</v>
      </c>
    </row>
    <row r="179" hidden="1">
      <c r="A179" s="16" t="s">
        <v>315</v>
      </c>
      <c r="B179" s="17"/>
      <c r="C179" s="103"/>
      <c r="D179" s="4"/>
      <c r="E179" s="19">
        <v>0.0</v>
      </c>
      <c r="F179" s="19">
        <v>0.0</v>
      </c>
      <c r="G179" s="16" t="s">
        <v>84</v>
      </c>
      <c r="H179" s="21"/>
      <c r="I179" s="22">
        <v>0.0</v>
      </c>
      <c r="J179" s="29"/>
      <c r="K179" s="43">
        <f t="shared" si="25"/>
        <v>12800</v>
      </c>
      <c r="L179" s="44">
        <v>18000.0</v>
      </c>
      <c r="M179" s="25"/>
      <c r="N179" s="50"/>
      <c r="O179" s="27">
        <f t="shared" si="22"/>
        <v>0.40625</v>
      </c>
      <c r="P179" s="28">
        <f t="shared" si="23"/>
        <v>0</v>
      </c>
    </row>
    <row r="180" hidden="1">
      <c r="A180" s="16" t="s">
        <v>316</v>
      </c>
      <c r="B180" s="17"/>
      <c r="C180" s="103"/>
      <c r="D180" s="4"/>
      <c r="E180" s="19">
        <v>0.0</v>
      </c>
      <c r="F180" s="19">
        <v>0.0</v>
      </c>
      <c r="G180" s="16" t="s">
        <v>84</v>
      </c>
      <c r="H180" s="21"/>
      <c r="I180" s="22">
        <v>1.0</v>
      </c>
      <c r="J180" s="29"/>
      <c r="K180" s="43">
        <f t="shared" si="25"/>
        <v>12800</v>
      </c>
      <c r="L180" s="44">
        <v>18000.0</v>
      </c>
      <c r="M180" s="25"/>
      <c r="N180" s="50"/>
      <c r="O180" s="27">
        <f t="shared" si="22"/>
        <v>0.40625</v>
      </c>
      <c r="P180" s="28">
        <f t="shared" si="23"/>
        <v>0</v>
      </c>
    </row>
    <row r="181" hidden="1">
      <c r="A181" s="16" t="s">
        <v>317</v>
      </c>
      <c r="B181" s="36"/>
      <c r="C181" s="103"/>
      <c r="D181" s="4"/>
      <c r="E181" s="19">
        <v>0.0</v>
      </c>
      <c r="F181" s="19">
        <v>0.0</v>
      </c>
      <c r="G181" s="16" t="s">
        <v>318</v>
      </c>
      <c r="H181" s="21"/>
      <c r="I181" s="22">
        <v>1.0</v>
      </c>
      <c r="J181" s="29"/>
      <c r="K181" s="43">
        <f t="shared" ref="K181:K184" si="26">9600/10</f>
        <v>960</v>
      </c>
      <c r="L181" s="44">
        <v>2500.0</v>
      </c>
      <c r="M181" s="25"/>
      <c r="N181" s="69"/>
      <c r="O181" s="27">
        <f t="shared" si="22"/>
        <v>1.604166667</v>
      </c>
      <c r="P181" s="28">
        <f t="shared" si="23"/>
        <v>0</v>
      </c>
    </row>
    <row r="182" hidden="1">
      <c r="A182" s="16" t="s">
        <v>319</v>
      </c>
      <c r="B182" s="36"/>
      <c r="C182" s="103"/>
      <c r="D182" s="4"/>
      <c r="E182" s="19">
        <v>0.0</v>
      </c>
      <c r="F182" s="19">
        <v>0.0</v>
      </c>
      <c r="G182" s="16" t="s">
        <v>318</v>
      </c>
      <c r="H182" s="21"/>
      <c r="I182" s="22">
        <v>1.0</v>
      </c>
      <c r="J182" s="29"/>
      <c r="K182" s="43">
        <f t="shared" si="26"/>
        <v>960</v>
      </c>
      <c r="L182" s="44">
        <v>2500.0</v>
      </c>
      <c r="M182" s="25"/>
      <c r="N182" s="69"/>
      <c r="O182" s="27">
        <f t="shared" si="22"/>
        <v>1.604166667</v>
      </c>
      <c r="P182" s="28">
        <f t="shared" si="23"/>
        <v>0</v>
      </c>
    </row>
    <row r="183" hidden="1">
      <c r="A183" s="16" t="s">
        <v>320</v>
      </c>
      <c r="B183" s="36"/>
      <c r="C183" s="103"/>
      <c r="D183" s="4"/>
      <c r="E183" s="19">
        <v>0.0</v>
      </c>
      <c r="F183" s="19">
        <v>0.0</v>
      </c>
      <c r="G183" s="16" t="s">
        <v>318</v>
      </c>
      <c r="H183" s="21"/>
      <c r="I183" s="22">
        <v>1.0</v>
      </c>
      <c r="J183" s="29"/>
      <c r="K183" s="43">
        <f t="shared" si="26"/>
        <v>960</v>
      </c>
      <c r="L183" s="44">
        <v>2500.0</v>
      </c>
      <c r="M183" s="25"/>
      <c r="N183" s="69"/>
      <c r="O183" s="27">
        <f t="shared" si="22"/>
        <v>1.604166667</v>
      </c>
      <c r="P183" s="28">
        <f t="shared" si="23"/>
        <v>0</v>
      </c>
    </row>
    <row r="184" hidden="1">
      <c r="A184" s="16" t="s">
        <v>321</v>
      </c>
      <c r="B184" s="36"/>
      <c r="C184" s="103"/>
      <c r="D184" s="4"/>
      <c r="E184" s="19">
        <v>0.0</v>
      </c>
      <c r="F184" s="19">
        <v>0.0</v>
      </c>
      <c r="G184" s="16" t="s">
        <v>318</v>
      </c>
      <c r="H184" s="21"/>
      <c r="I184" s="22">
        <v>2.0</v>
      </c>
      <c r="J184" s="29"/>
      <c r="K184" s="43">
        <f t="shared" si="26"/>
        <v>960</v>
      </c>
      <c r="L184" s="44">
        <v>2500.0</v>
      </c>
      <c r="M184" s="25"/>
      <c r="N184" s="69"/>
      <c r="O184" s="27">
        <f t="shared" si="22"/>
        <v>1.604166667</v>
      </c>
      <c r="P184" s="28">
        <f t="shared" si="23"/>
        <v>0</v>
      </c>
    </row>
    <row r="185" hidden="1">
      <c r="A185" s="16" t="s">
        <v>322</v>
      </c>
      <c r="B185" s="17"/>
      <c r="C185" s="103"/>
      <c r="D185" s="4"/>
      <c r="E185" s="19">
        <v>0.0</v>
      </c>
      <c r="F185" s="19">
        <v>0.0</v>
      </c>
      <c r="G185" s="16" t="s">
        <v>318</v>
      </c>
      <c r="H185" s="111"/>
      <c r="I185" s="22" t="s">
        <v>99</v>
      </c>
      <c r="J185" s="112"/>
      <c r="K185" s="113">
        <f>9800/10</f>
        <v>980</v>
      </c>
      <c r="L185" s="44">
        <v>3000.0</v>
      </c>
      <c r="M185" s="25"/>
      <c r="N185" s="26"/>
      <c r="O185" s="27">
        <f t="shared" si="22"/>
        <v>2.06122449</v>
      </c>
      <c r="P185" s="28">
        <f t="shared" si="23"/>
        <v>0</v>
      </c>
    </row>
    <row r="186" hidden="1">
      <c r="A186" s="16" t="s">
        <v>323</v>
      </c>
      <c r="B186" s="17"/>
      <c r="C186" s="109"/>
      <c r="D186" s="4"/>
      <c r="E186" s="19">
        <v>0.0</v>
      </c>
      <c r="F186" s="19"/>
      <c r="G186" s="56" t="s">
        <v>324</v>
      </c>
      <c r="H186" s="21"/>
      <c r="I186" s="22"/>
      <c r="J186" s="29"/>
      <c r="K186" s="43">
        <v>20800.0</v>
      </c>
      <c r="L186" s="44">
        <v>26000.0</v>
      </c>
      <c r="M186" s="25"/>
      <c r="N186" s="26"/>
      <c r="O186" s="27">
        <f t="shared" si="22"/>
        <v>0.25</v>
      </c>
      <c r="P186" s="28">
        <f t="shared" si="23"/>
        <v>0</v>
      </c>
    </row>
    <row r="187" hidden="1">
      <c r="A187" s="16" t="s">
        <v>325</v>
      </c>
      <c r="B187" s="17"/>
      <c r="C187" s="103"/>
      <c r="D187" s="4"/>
      <c r="E187" s="19">
        <v>0.0</v>
      </c>
      <c r="F187" s="19">
        <v>0.0</v>
      </c>
      <c r="G187" s="16" t="s">
        <v>84</v>
      </c>
      <c r="H187" s="21"/>
      <c r="I187" s="22">
        <v>1.0</v>
      </c>
      <c r="J187" s="29"/>
      <c r="K187" s="43">
        <v>18000.0</v>
      </c>
      <c r="L187" s="44">
        <v>25000.0</v>
      </c>
      <c r="M187" s="25"/>
      <c r="N187" s="69"/>
      <c r="O187" s="27">
        <f t="shared" si="22"/>
        <v>0.3888888889</v>
      </c>
      <c r="P187" s="28">
        <f t="shared" si="23"/>
        <v>0</v>
      </c>
    </row>
    <row r="188" hidden="1">
      <c r="A188" s="42" t="s">
        <v>326</v>
      </c>
      <c r="B188" s="71"/>
      <c r="C188" s="18"/>
      <c r="D188" s="4"/>
      <c r="E188" s="19">
        <v>0.0</v>
      </c>
      <c r="F188" s="19"/>
      <c r="G188" s="20" t="s">
        <v>291</v>
      </c>
      <c r="H188" s="21"/>
      <c r="I188" s="22"/>
      <c r="J188" s="29"/>
      <c r="K188" s="32">
        <v>1900.0</v>
      </c>
      <c r="L188" s="24">
        <v>3000.0</v>
      </c>
      <c r="M188" s="25"/>
      <c r="N188" s="50"/>
      <c r="O188" s="27">
        <f t="shared" si="22"/>
        <v>0.5789473684</v>
      </c>
      <c r="P188" s="28">
        <f t="shared" si="23"/>
        <v>0</v>
      </c>
    </row>
    <row r="189" hidden="1">
      <c r="A189" s="42" t="s">
        <v>327</v>
      </c>
      <c r="B189" s="114" t="s">
        <v>328</v>
      </c>
      <c r="C189" s="18"/>
      <c r="D189" s="4"/>
      <c r="E189" s="19">
        <v>0.0</v>
      </c>
      <c r="F189" s="19"/>
      <c r="G189" s="20" t="s">
        <v>291</v>
      </c>
      <c r="H189" s="21"/>
      <c r="I189" s="22"/>
      <c r="J189" s="29"/>
      <c r="K189" s="43">
        <v>3100.0</v>
      </c>
      <c r="L189" s="44">
        <v>5000.0</v>
      </c>
      <c r="M189" s="25"/>
      <c r="N189" s="50"/>
      <c r="O189" s="27">
        <f t="shared" si="22"/>
        <v>0.6129032258</v>
      </c>
      <c r="P189" s="28">
        <f t="shared" si="23"/>
        <v>0</v>
      </c>
    </row>
    <row r="190" hidden="1">
      <c r="A190" s="42" t="s">
        <v>329</v>
      </c>
      <c r="B190" s="36"/>
      <c r="C190" s="18"/>
      <c r="D190" s="4"/>
      <c r="E190" s="19">
        <v>0.0</v>
      </c>
      <c r="F190" s="19"/>
      <c r="G190" s="20" t="s">
        <v>291</v>
      </c>
      <c r="H190" s="21"/>
      <c r="I190" s="22"/>
      <c r="J190" s="29"/>
      <c r="K190" s="43">
        <v>27500.0</v>
      </c>
      <c r="L190" s="44">
        <v>48000.0</v>
      </c>
      <c r="M190" s="25"/>
      <c r="N190" s="50"/>
      <c r="O190" s="27">
        <f t="shared" si="22"/>
        <v>0.7454545455</v>
      </c>
      <c r="P190" s="28">
        <f t="shared" si="23"/>
        <v>0</v>
      </c>
    </row>
    <row r="191" hidden="1">
      <c r="A191" s="16" t="s">
        <v>330</v>
      </c>
      <c r="B191" s="49"/>
      <c r="C191" s="103"/>
      <c r="D191" s="4"/>
      <c r="E191" s="19">
        <v>0.0</v>
      </c>
      <c r="F191" s="19">
        <v>0.0</v>
      </c>
      <c r="G191" s="16" t="s">
        <v>331</v>
      </c>
      <c r="H191" s="21"/>
      <c r="I191" s="22">
        <f t="shared" ref="I191:I192" si="27">12+28</f>
        <v>40</v>
      </c>
      <c r="J191" s="29"/>
      <c r="K191" s="48">
        <v>5350.0</v>
      </c>
      <c r="L191" s="55">
        <v>8500.0</v>
      </c>
      <c r="M191" s="25"/>
      <c r="N191" s="70">
        <v>7500.0</v>
      </c>
      <c r="O191" s="27">
        <f t="shared" si="22"/>
        <v>0.5887850467</v>
      </c>
      <c r="P191" s="28">
        <f t="shared" si="23"/>
        <v>0</v>
      </c>
    </row>
    <row r="192" hidden="1">
      <c r="A192" s="40" t="s">
        <v>332</v>
      </c>
      <c r="B192" s="49"/>
      <c r="C192" s="103"/>
      <c r="D192" s="4"/>
      <c r="E192" s="19">
        <v>0.0</v>
      </c>
      <c r="F192" s="19">
        <v>0.0</v>
      </c>
      <c r="G192" s="16" t="s">
        <v>331</v>
      </c>
      <c r="H192" s="21"/>
      <c r="I192" s="22">
        <f t="shared" si="27"/>
        <v>40</v>
      </c>
      <c r="J192" s="29"/>
      <c r="K192" s="48">
        <v>3050.0</v>
      </c>
      <c r="L192" s="55">
        <v>5000.0</v>
      </c>
      <c r="M192" s="25"/>
      <c r="N192" s="70">
        <v>4500.0</v>
      </c>
      <c r="O192" s="27">
        <f t="shared" si="22"/>
        <v>0.6393442623</v>
      </c>
      <c r="P192" s="28">
        <f t="shared" si="23"/>
        <v>0</v>
      </c>
    </row>
    <row r="193" hidden="1">
      <c r="A193" s="16" t="s">
        <v>333</v>
      </c>
      <c r="B193" s="49"/>
      <c r="C193" s="103"/>
      <c r="D193" s="4"/>
      <c r="E193" s="19">
        <v>0.0</v>
      </c>
      <c r="F193" s="19">
        <v>0.0</v>
      </c>
      <c r="G193" s="20" t="s">
        <v>254</v>
      </c>
      <c r="H193" s="21"/>
      <c r="I193" s="22">
        <v>72.0</v>
      </c>
      <c r="J193" s="47">
        <v>46174.0</v>
      </c>
      <c r="K193" s="43">
        <f>19203*1.19</f>
        <v>22851.57</v>
      </c>
      <c r="L193" s="44">
        <v>32000.0</v>
      </c>
      <c r="M193" s="25"/>
      <c r="N193" s="26">
        <v>28000.0</v>
      </c>
      <c r="O193" s="27">
        <f t="shared" si="22"/>
        <v>0.4003414207</v>
      </c>
      <c r="P193" s="28">
        <f t="shared" si="23"/>
        <v>0</v>
      </c>
    </row>
    <row r="194" hidden="1">
      <c r="A194" s="16" t="s">
        <v>334</v>
      </c>
      <c r="B194" s="115" t="s">
        <v>335</v>
      </c>
      <c r="C194" s="103" t="s">
        <v>336</v>
      </c>
      <c r="D194" s="4"/>
      <c r="E194" s="19"/>
      <c r="F194" s="19"/>
      <c r="G194" s="20" t="s">
        <v>337</v>
      </c>
      <c r="H194" s="21"/>
      <c r="I194" s="22"/>
      <c r="J194" s="22" t="s">
        <v>338</v>
      </c>
      <c r="K194" s="48">
        <v>52000.0</v>
      </c>
      <c r="L194" s="55">
        <v>62000.0</v>
      </c>
      <c r="M194" s="25"/>
      <c r="N194" s="70"/>
      <c r="O194" s="27">
        <f t="shared" si="22"/>
        <v>0.1923076923</v>
      </c>
      <c r="P194" s="28">
        <f t="shared" si="23"/>
        <v>0</v>
      </c>
    </row>
    <row r="195" hidden="1">
      <c r="A195" s="16" t="s">
        <v>339</v>
      </c>
      <c r="B195" s="17"/>
      <c r="C195" s="103" t="s">
        <v>340</v>
      </c>
      <c r="D195" s="4"/>
      <c r="E195" s="19">
        <v>0.0</v>
      </c>
      <c r="F195" s="19">
        <v>0.0</v>
      </c>
      <c r="G195" s="20" t="s">
        <v>341</v>
      </c>
      <c r="H195" s="21"/>
      <c r="I195" s="22">
        <v>0.0</v>
      </c>
      <c r="J195" s="29"/>
      <c r="K195" s="43">
        <f>1639*1.19</f>
        <v>1950.41</v>
      </c>
      <c r="L195" s="44">
        <v>3000.0</v>
      </c>
      <c r="M195" s="25"/>
      <c r="N195" s="69"/>
      <c r="O195" s="27">
        <f t="shared" si="22"/>
        <v>0.5381381351</v>
      </c>
      <c r="P195" s="28">
        <f t="shared" si="23"/>
        <v>0</v>
      </c>
    </row>
    <row r="196" hidden="1">
      <c r="A196" s="16" t="s">
        <v>342</v>
      </c>
      <c r="B196" s="17"/>
      <c r="C196" s="103"/>
      <c r="D196" s="4"/>
      <c r="E196" s="19">
        <v>0.0</v>
      </c>
      <c r="F196" s="19">
        <v>0.0</v>
      </c>
      <c r="G196" s="20" t="s">
        <v>343</v>
      </c>
      <c r="H196" s="21"/>
      <c r="I196" s="22">
        <v>0.0</v>
      </c>
      <c r="J196" s="29"/>
      <c r="K196" s="43">
        <v>10500.0</v>
      </c>
      <c r="L196" s="44">
        <v>15000.0</v>
      </c>
      <c r="M196" s="25"/>
      <c r="N196" s="69"/>
      <c r="O196" s="27">
        <f t="shared" si="22"/>
        <v>0.4285714286</v>
      </c>
      <c r="P196" s="28">
        <f t="shared" si="23"/>
        <v>0</v>
      </c>
    </row>
    <row r="197" ht="17.25" hidden="1" customHeight="1">
      <c r="A197" s="16" t="s">
        <v>344</v>
      </c>
      <c r="B197" s="17"/>
      <c r="C197" s="103"/>
      <c r="D197" s="4"/>
      <c r="E197" s="19">
        <v>0.0</v>
      </c>
      <c r="F197" s="19"/>
      <c r="G197" s="20" t="s">
        <v>345</v>
      </c>
      <c r="H197" s="21"/>
      <c r="I197" s="22"/>
      <c r="J197" s="29"/>
      <c r="K197" s="43">
        <v>1000.0</v>
      </c>
      <c r="L197" s="44">
        <v>2000.0</v>
      </c>
      <c r="M197" s="25"/>
      <c r="N197" s="69"/>
      <c r="O197" s="27">
        <f t="shared" si="22"/>
        <v>1</v>
      </c>
      <c r="P197" s="28">
        <f t="shared" si="23"/>
        <v>0</v>
      </c>
    </row>
    <row r="198" hidden="1">
      <c r="A198" s="16" t="s">
        <v>346</v>
      </c>
      <c r="B198" s="17"/>
      <c r="C198" s="103"/>
      <c r="D198" s="4"/>
      <c r="E198" s="19">
        <v>0.0</v>
      </c>
      <c r="F198" s="19"/>
      <c r="G198" s="20" t="s">
        <v>345</v>
      </c>
      <c r="H198" s="21"/>
      <c r="I198" s="22"/>
      <c r="J198" s="29"/>
      <c r="K198" s="43">
        <v>13000.0</v>
      </c>
      <c r="L198" s="44">
        <v>20000.0</v>
      </c>
      <c r="M198" s="25"/>
      <c r="N198" s="69"/>
      <c r="O198" s="27">
        <f t="shared" si="22"/>
        <v>0.5384615385</v>
      </c>
      <c r="P198" s="28">
        <f t="shared" si="23"/>
        <v>0</v>
      </c>
    </row>
    <row r="199" hidden="1">
      <c r="A199" s="16" t="s">
        <v>347</v>
      </c>
      <c r="B199" s="49"/>
      <c r="C199" s="103" t="s">
        <v>336</v>
      </c>
      <c r="D199" s="4"/>
      <c r="E199" s="19"/>
      <c r="F199" s="19"/>
      <c r="G199" s="40" t="s">
        <v>98</v>
      </c>
      <c r="H199" s="21">
        <v>0.0</v>
      </c>
      <c r="I199" s="22"/>
      <c r="J199" s="47">
        <v>46054.0</v>
      </c>
      <c r="K199" s="24">
        <f>22500*1.19</f>
        <v>26775</v>
      </c>
      <c r="L199" s="24">
        <v>34000.0</v>
      </c>
      <c r="M199" s="25"/>
      <c r="N199" s="26">
        <v>31000.0</v>
      </c>
      <c r="O199" s="27">
        <f t="shared" si="22"/>
        <v>0.2698412698</v>
      </c>
      <c r="P199" s="28">
        <f t="shared" si="23"/>
        <v>0</v>
      </c>
    </row>
    <row r="200" hidden="1">
      <c r="A200" s="16" t="s">
        <v>348</v>
      </c>
      <c r="B200" s="49"/>
      <c r="C200" s="103"/>
      <c r="D200" s="4"/>
      <c r="E200" s="19"/>
      <c r="F200" s="19"/>
      <c r="G200" s="40" t="s">
        <v>98</v>
      </c>
      <c r="H200" s="21">
        <v>0.0</v>
      </c>
      <c r="I200" s="22"/>
      <c r="J200" s="29"/>
      <c r="K200" s="43">
        <f>1500*1.19</f>
        <v>1785</v>
      </c>
      <c r="L200" s="44">
        <v>3500.0</v>
      </c>
      <c r="M200" s="25"/>
      <c r="N200" s="26"/>
      <c r="O200" s="27">
        <f t="shared" si="22"/>
        <v>0.9607843137</v>
      </c>
      <c r="P200" s="28">
        <f t="shared" si="23"/>
        <v>0</v>
      </c>
    </row>
    <row r="201" hidden="1">
      <c r="A201" s="40" t="s">
        <v>349</v>
      </c>
      <c r="B201" s="17"/>
      <c r="C201" s="103"/>
      <c r="D201" s="4"/>
      <c r="E201" s="19">
        <v>0.0</v>
      </c>
      <c r="F201" s="19"/>
      <c r="G201" s="20" t="s">
        <v>350</v>
      </c>
      <c r="H201" s="21"/>
      <c r="I201" s="22"/>
      <c r="J201" s="29"/>
      <c r="K201" s="43">
        <v>1950.0</v>
      </c>
      <c r="L201" s="44">
        <v>3000.0</v>
      </c>
      <c r="M201" s="25"/>
      <c r="N201" s="69"/>
      <c r="O201" s="27">
        <f t="shared" si="22"/>
        <v>0.5384615385</v>
      </c>
      <c r="P201" s="28">
        <f t="shared" si="23"/>
        <v>0</v>
      </c>
    </row>
    <row r="202" hidden="1">
      <c r="A202" s="40" t="s">
        <v>351</v>
      </c>
      <c r="B202" s="17"/>
      <c r="C202" s="103" t="s">
        <v>336</v>
      </c>
      <c r="D202" s="4"/>
      <c r="E202" s="19"/>
      <c r="F202" s="19"/>
      <c r="G202" s="20" t="s">
        <v>352</v>
      </c>
      <c r="H202" s="21"/>
      <c r="I202" s="22"/>
      <c r="J202" s="22" t="s">
        <v>353</v>
      </c>
      <c r="K202" s="43">
        <f>36135*1.19</f>
        <v>43000.65</v>
      </c>
      <c r="L202" s="44">
        <v>58000.0</v>
      </c>
      <c r="M202" s="25"/>
      <c r="N202" s="70"/>
      <c r="O202" s="27">
        <f t="shared" si="22"/>
        <v>0.3488168202</v>
      </c>
      <c r="P202" s="28">
        <f t="shared" si="23"/>
        <v>0</v>
      </c>
    </row>
    <row r="203" hidden="1">
      <c r="A203" s="16" t="s">
        <v>354</v>
      </c>
      <c r="B203" s="17"/>
      <c r="C203" s="103"/>
      <c r="D203" s="4"/>
      <c r="E203" s="19">
        <v>0.0</v>
      </c>
      <c r="F203" s="19">
        <v>0.0</v>
      </c>
      <c r="G203" s="16" t="s">
        <v>355</v>
      </c>
      <c r="H203" s="21"/>
      <c r="I203" s="22">
        <v>0.0</v>
      </c>
      <c r="J203" s="29"/>
      <c r="K203" s="43">
        <v>2000.0</v>
      </c>
      <c r="L203" s="44">
        <v>4000.0</v>
      </c>
      <c r="M203" s="25"/>
      <c r="N203" s="69"/>
      <c r="O203" s="27">
        <f t="shared" si="22"/>
        <v>1</v>
      </c>
      <c r="P203" s="28">
        <f t="shared" si="23"/>
        <v>0</v>
      </c>
    </row>
    <row r="204" hidden="1">
      <c r="A204" s="16" t="s">
        <v>356</v>
      </c>
      <c r="B204" s="17" t="s">
        <v>357</v>
      </c>
      <c r="C204" s="103" t="s">
        <v>336</v>
      </c>
      <c r="D204" s="4"/>
      <c r="E204" s="19"/>
      <c r="F204" s="19"/>
      <c r="G204" s="20" t="s">
        <v>358</v>
      </c>
      <c r="H204" s="21"/>
      <c r="I204" s="22"/>
      <c r="J204" s="47">
        <v>47209.0</v>
      </c>
      <c r="K204" s="48">
        <v>34800.0</v>
      </c>
      <c r="L204" s="55">
        <v>42000.0</v>
      </c>
      <c r="M204" s="25"/>
      <c r="N204" s="70"/>
      <c r="O204" s="27">
        <f t="shared" si="22"/>
        <v>0.2068965517</v>
      </c>
      <c r="P204" s="28">
        <f t="shared" si="23"/>
        <v>0</v>
      </c>
    </row>
    <row r="205" hidden="1">
      <c r="A205" s="56" t="s">
        <v>359</v>
      </c>
      <c r="B205" s="49" t="s">
        <v>360</v>
      </c>
      <c r="C205" s="18"/>
      <c r="D205" s="4"/>
      <c r="E205" s="19"/>
      <c r="F205" s="19"/>
      <c r="G205" s="16" t="s">
        <v>98</v>
      </c>
      <c r="H205" s="21">
        <v>0.0</v>
      </c>
      <c r="I205" s="22">
        <v>20.0</v>
      </c>
      <c r="J205" s="47">
        <v>47331.0</v>
      </c>
      <c r="K205" s="48">
        <v>23000.0</v>
      </c>
      <c r="L205" s="48">
        <v>34000.0</v>
      </c>
      <c r="M205" s="25" t="s">
        <v>76</v>
      </c>
      <c r="N205" s="26">
        <v>28000.0</v>
      </c>
      <c r="O205" s="27">
        <f t="shared" si="22"/>
        <v>0.4782608696</v>
      </c>
      <c r="P205" s="28">
        <f t="shared" si="23"/>
        <v>0</v>
      </c>
    </row>
    <row r="206" hidden="1">
      <c r="A206" s="16" t="s">
        <v>361</v>
      </c>
      <c r="B206" s="49"/>
      <c r="C206" s="18"/>
      <c r="D206" s="4"/>
      <c r="E206" s="19"/>
      <c r="F206" s="19"/>
      <c r="G206" s="16" t="s">
        <v>200</v>
      </c>
      <c r="H206" s="21">
        <v>0.0</v>
      </c>
      <c r="I206" s="22">
        <v>26.0</v>
      </c>
      <c r="J206" s="47">
        <v>47239.0</v>
      </c>
      <c r="K206" s="48">
        <v>25850.0</v>
      </c>
      <c r="L206" s="55">
        <v>34000.0</v>
      </c>
      <c r="M206" s="25" t="s">
        <v>82</v>
      </c>
      <c r="N206" s="26">
        <v>28000.0</v>
      </c>
      <c r="O206" s="27">
        <f t="shared" si="22"/>
        <v>0.3152804642</v>
      </c>
      <c r="P206" s="28">
        <f t="shared" si="23"/>
        <v>0</v>
      </c>
    </row>
    <row r="207" hidden="1">
      <c r="A207" s="16" t="s">
        <v>362</v>
      </c>
      <c r="B207" s="51" t="s">
        <v>363</v>
      </c>
      <c r="C207" s="92" t="s">
        <v>279</v>
      </c>
      <c r="D207" s="61"/>
      <c r="E207" s="19"/>
      <c r="F207" s="62"/>
      <c r="G207" s="16" t="s">
        <v>91</v>
      </c>
      <c r="H207" s="21"/>
      <c r="I207" s="22">
        <v>25.0</v>
      </c>
      <c r="J207" s="47">
        <v>46023.0</v>
      </c>
      <c r="K207" s="60">
        <v>318000.0</v>
      </c>
      <c r="L207" s="55">
        <v>380000.0</v>
      </c>
      <c r="M207" s="25" t="s">
        <v>82</v>
      </c>
      <c r="N207" s="26"/>
      <c r="O207" s="27">
        <f t="shared" si="22"/>
        <v>0.1949685535</v>
      </c>
      <c r="P207" s="28">
        <f t="shared" si="23"/>
        <v>0</v>
      </c>
    </row>
    <row r="208" hidden="1">
      <c r="A208" s="16" t="s">
        <v>364</v>
      </c>
      <c r="B208" s="17"/>
      <c r="C208" s="38"/>
      <c r="D208" s="61"/>
      <c r="E208" s="19"/>
      <c r="F208" s="62"/>
      <c r="G208" s="16" t="s">
        <v>91</v>
      </c>
      <c r="H208" s="21"/>
      <c r="I208" s="22">
        <v>0.0</v>
      </c>
      <c r="J208" s="29"/>
      <c r="K208" s="32">
        <f>906000/100</f>
        <v>9060</v>
      </c>
      <c r="L208" s="24">
        <v>15000.0</v>
      </c>
      <c r="M208" s="25"/>
      <c r="N208" s="26"/>
      <c r="O208" s="27">
        <f t="shared" si="22"/>
        <v>0.6556291391</v>
      </c>
      <c r="P208" s="28">
        <f t="shared" si="23"/>
        <v>0</v>
      </c>
    </row>
    <row r="209" hidden="1">
      <c r="A209" s="16" t="s">
        <v>365</v>
      </c>
      <c r="B209" s="36" t="s">
        <v>366</v>
      </c>
      <c r="C209" s="18"/>
      <c r="D209" s="4"/>
      <c r="E209" s="19">
        <v>0.0</v>
      </c>
      <c r="F209" s="19">
        <v>0.0</v>
      </c>
      <c r="G209" s="16" t="s">
        <v>70</v>
      </c>
      <c r="H209" s="21"/>
      <c r="I209" s="22"/>
      <c r="J209" s="29"/>
      <c r="K209" s="48">
        <f t="shared" ref="K209:K210" si="28">100000</f>
        <v>100000</v>
      </c>
      <c r="L209" s="55">
        <v>140000.0</v>
      </c>
      <c r="M209" s="25" t="s">
        <v>76</v>
      </c>
      <c r="N209" s="26">
        <v>140000.0</v>
      </c>
      <c r="O209" s="27">
        <f t="shared" si="22"/>
        <v>0.4</v>
      </c>
      <c r="P209" s="28">
        <f t="shared" si="23"/>
        <v>0</v>
      </c>
    </row>
    <row r="210" hidden="1">
      <c r="A210" s="16" t="s">
        <v>367</v>
      </c>
      <c r="B210" s="36" t="s">
        <v>368</v>
      </c>
      <c r="C210" s="92"/>
      <c r="D210" s="4"/>
      <c r="E210" s="19">
        <v>0.0</v>
      </c>
      <c r="F210" s="19">
        <v>0.0</v>
      </c>
      <c r="G210" s="16" t="s">
        <v>70</v>
      </c>
      <c r="H210" s="21"/>
      <c r="I210" s="22"/>
      <c r="J210" s="29"/>
      <c r="K210" s="48">
        <f t="shared" si="28"/>
        <v>100000</v>
      </c>
      <c r="L210" s="55">
        <v>140000.0</v>
      </c>
      <c r="M210" s="25" t="s">
        <v>76</v>
      </c>
      <c r="N210" s="26">
        <v>140000.0</v>
      </c>
      <c r="O210" s="27">
        <f t="shared" si="22"/>
        <v>0.4</v>
      </c>
      <c r="P210" s="28">
        <f t="shared" si="23"/>
        <v>0</v>
      </c>
    </row>
    <row r="211" hidden="1">
      <c r="A211" s="16" t="s">
        <v>369</v>
      </c>
      <c r="B211" s="36"/>
      <c r="C211" s="18"/>
      <c r="D211" s="4" t="s">
        <v>154</v>
      </c>
      <c r="E211" s="19">
        <v>0.0</v>
      </c>
      <c r="F211" s="19">
        <v>0.0</v>
      </c>
      <c r="G211" s="16" t="s">
        <v>70</v>
      </c>
      <c r="H211" s="21"/>
      <c r="I211" s="22"/>
      <c r="J211" s="29"/>
      <c r="K211" s="43">
        <f t="shared" ref="K211:K212" si="29">200000*0.8</f>
        <v>160000</v>
      </c>
      <c r="L211" s="43">
        <v>230000.0</v>
      </c>
      <c r="M211" s="25"/>
      <c r="N211" s="26"/>
      <c r="O211" s="27">
        <f t="shared" si="22"/>
        <v>0.4375</v>
      </c>
      <c r="P211" s="28">
        <f t="shared" si="23"/>
        <v>0</v>
      </c>
    </row>
    <row r="212" hidden="1">
      <c r="A212" s="16" t="s">
        <v>370</v>
      </c>
      <c r="B212" s="36"/>
      <c r="C212" s="18"/>
      <c r="D212" s="4" t="s">
        <v>154</v>
      </c>
      <c r="E212" s="19">
        <v>0.0</v>
      </c>
      <c r="F212" s="19">
        <v>0.0</v>
      </c>
      <c r="G212" s="16" t="s">
        <v>70</v>
      </c>
      <c r="H212" s="21"/>
      <c r="I212" s="22"/>
      <c r="J212" s="29"/>
      <c r="K212" s="43">
        <f t="shared" si="29"/>
        <v>160000</v>
      </c>
      <c r="L212" s="43">
        <v>230000.0</v>
      </c>
      <c r="M212" s="25"/>
      <c r="N212" s="26"/>
      <c r="O212" s="27">
        <f t="shared" si="22"/>
        <v>0.4375</v>
      </c>
      <c r="P212" s="28">
        <f t="shared" si="23"/>
        <v>0</v>
      </c>
    </row>
    <row r="213" hidden="1">
      <c r="A213" s="16" t="s">
        <v>371</v>
      </c>
      <c r="B213" s="36"/>
      <c r="C213" s="103"/>
      <c r="D213" s="4"/>
      <c r="E213" s="19">
        <v>0.0</v>
      </c>
      <c r="F213" s="19">
        <v>0.0</v>
      </c>
      <c r="G213" s="56" t="s">
        <v>372</v>
      </c>
      <c r="H213" s="21"/>
      <c r="I213" s="22"/>
      <c r="J213" s="29" t="s">
        <v>373</v>
      </c>
      <c r="K213" s="48">
        <v>48744.0</v>
      </c>
      <c r="L213" s="55">
        <v>62000.0</v>
      </c>
      <c r="M213" s="25" t="s">
        <v>82</v>
      </c>
      <c r="N213" s="26"/>
      <c r="O213" s="27">
        <f t="shared" si="22"/>
        <v>0.2719514197</v>
      </c>
      <c r="P213" s="28">
        <f t="shared" si="23"/>
        <v>0</v>
      </c>
    </row>
    <row r="214" hidden="1">
      <c r="A214" s="16" t="s">
        <v>374</v>
      </c>
      <c r="B214" s="49"/>
      <c r="C214" s="103"/>
      <c r="D214" s="4"/>
      <c r="E214" s="19"/>
      <c r="F214" s="19"/>
      <c r="G214" s="40" t="s">
        <v>375</v>
      </c>
      <c r="H214" s="21">
        <v>0.0</v>
      </c>
      <c r="I214" s="22"/>
      <c r="J214" s="29"/>
      <c r="K214" s="43">
        <f>90000/50</f>
        <v>1800</v>
      </c>
      <c r="L214" s="44">
        <v>3000.0</v>
      </c>
      <c r="M214" s="25"/>
      <c r="N214" s="26"/>
      <c r="O214" s="27">
        <f t="shared" si="22"/>
        <v>0.6666666667</v>
      </c>
      <c r="P214" s="28">
        <f t="shared" si="23"/>
        <v>0</v>
      </c>
    </row>
    <row r="215" hidden="1">
      <c r="A215" s="16" t="s">
        <v>376</v>
      </c>
      <c r="B215" s="17"/>
      <c r="C215" s="18"/>
      <c r="D215" s="4"/>
      <c r="E215" s="19">
        <v>0.0</v>
      </c>
      <c r="F215" s="19">
        <v>0.0</v>
      </c>
      <c r="G215" s="20" t="s">
        <v>377</v>
      </c>
      <c r="H215" s="21"/>
      <c r="I215" s="22">
        <v>0.0</v>
      </c>
      <c r="J215" s="29"/>
      <c r="K215" s="43">
        <v>8900.0</v>
      </c>
      <c r="L215" s="44">
        <v>14000.0</v>
      </c>
      <c r="M215" s="25"/>
      <c r="N215" s="31"/>
      <c r="O215" s="27">
        <f t="shared" si="22"/>
        <v>0.5730337079</v>
      </c>
      <c r="P215" s="28">
        <f t="shared" si="23"/>
        <v>0</v>
      </c>
    </row>
    <row r="216" hidden="1">
      <c r="A216" s="16" t="s">
        <v>378</v>
      </c>
      <c r="B216" s="49" t="s">
        <v>379</v>
      </c>
      <c r="C216" s="38"/>
      <c r="D216" s="4"/>
      <c r="E216" s="19"/>
      <c r="F216" s="62"/>
      <c r="G216" s="40" t="s">
        <v>98</v>
      </c>
      <c r="H216" s="21">
        <v>0.0</v>
      </c>
      <c r="I216" s="22"/>
      <c r="J216" s="47">
        <v>46174.0</v>
      </c>
      <c r="K216" s="48">
        <f>82000/5</f>
        <v>16400</v>
      </c>
      <c r="L216" s="55">
        <v>18000.0</v>
      </c>
      <c r="M216" s="25" t="s">
        <v>76</v>
      </c>
      <c r="N216" s="70"/>
      <c r="O216" s="27">
        <f t="shared" si="22"/>
        <v>0.09756097561</v>
      </c>
      <c r="P216" s="28">
        <f t="shared" si="23"/>
        <v>0</v>
      </c>
    </row>
    <row r="217" hidden="1">
      <c r="A217" s="16" t="s">
        <v>380</v>
      </c>
      <c r="B217" s="49" t="s">
        <v>381</v>
      </c>
      <c r="C217" s="38">
        <f>L217/5</f>
        <v>16400</v>
      </c>
      <c r="D217" s="4"/>
      <c r="E217" s="19"/>
      <c r="F217" s="62"/>
      <c r="G217" s="40" t="s">
        <v>98</v>
      </c>
      <c r="H217" s="21">
        <v>0.0</v>
      </c>
      <c r="I217" s="22">
        <v>9.0</v>
      </c>
      <c r="J217" s="47">
        <v>46174.0</v>
      </c>
      <c r="K217" s="48">
        <v>68300.0</v>
      </c>
      <c r="L217" s="55">
        <v>82000.0</v>
      </c>
      <c r="M217" s="25" t="s">
        <v>76</v>
      </c>
      <c r="N217" s="65">
        <v>75000.0</v>
      </c>
      <c r="O217" s="27">
        <f t="shared" si="22"/>
        <v>0.2005856515</v>
      </c>
      <c r="P217" s="28">
        <f t="shared" si="23"/>
        <v>0</v>
      </c>
    </row>
    <row r="218" hidden="1">
      <c r="A218" s="16" t="s">
        <v>382</v>
      </c>
      <c r="B218" s="49" t="s">
        <v>381</v>
      </c>
      <c r="C218" s="18"/>
      <c r="D218" s="4"/>
      <c r="E218" s="19"/>
      <c r="F218" s="19"/>
      <c r="G218" s="16" t="s">
        <v>98</v>
      </c>
      <c r="H218" s="21">
        <v>0.0</v>
      </c>
      <c r="I218" s="22">
        <f>13*3</f>
        <v>39</v>
      </c>
      <c r="J218" s="47"/>
      <c r="K218" s="48">
        <v>52100.0</v>
      </c>
      <c r="L218" s="55">
        <v>63000.0</v>
      </c>
      <c r="M218" s="116" t="s">
        <v>76</v>
      </c>
      <c r="N218" s="48">
        <v>57000.0</v>
      </c>
      <c r="O218" s="27">
        <f t="shared" si="22"/>
        <v>0.2092130518</v>
      </c>
      <c r="P218" s="28">
        <f t="shared" si="23"/>
        <v>0</v>
      </c>
    </row>
    <row r="219" hidden="1">
      <c r="A219" s="16" t="s">
        <v>383</v>
      </c>
      <c r="B219" s="49" t="s">
        <v>381</v>
      </c>
      <c r="C219" s="18"/>
      <c r="D219" s="4"/>
      <c r="E219" s="19"/>
      <c r="F219" s="19"/>
      <c r="G219" s="16" t="s">
        <v>98</v>
      </c>
      <c r="H219" s="21">
        <v>0.0</v>
      </c>
      <c r="I219" s="22"/>
      <c r="J219" s="47"/>
      <c r="K219" s="48">
        <v>52100.0</v>
      </c>
      <c r="L219" s="55">
        <v>63000.0</v>
      </c>
      <c r="M219" s="116" t="s">
        <v>76</v>
      </c>
      <c r="N219" s="48">
        <v>57000.0</v>
      </c>
      <c r="O219" s="27">
        <f t="shared" si="22"/>
        <v>0.2092130518</v>
      </c>
      <c r="P219" s="28">
        <f t="shared" si="23"/>
        <v>0</v>
      </c>
    </row>
    <row r="220" hidden="1">
      <c r="A220" s="16" t="s">
        <v>384</v>
      </c>
      <c r="B220" s="49" t="s">
        <v>379</v>
      </c>
      <c r="C220" s="18"/>
      <c r="D220" s="4"/>
      <c r="E220" s="19"/>
      <c r="F220" s="19"/>
      <c r="G220" s="16" t="s">
        <v>98</v>
      </c>
      <c r="H220" s="21">
        <v>0.0</v>
      </c>
      <c r="I220" s="22"/>
      <c r="J220" s="47"/>
      <c r="K220" s="48">
        <f>63000/5</f>
        <v>12600</v>
      </c>
      <c r="L220" s="55">
        <v>15000.0</v>
      </c>
      <c r="M220" s="116" t="s">
        <v>76</v>
      </c>
      <c r="N220" s="117"/>
      <c r="O220" s="27">
        <f t="shared" si="22"/>
        <v>0.1904761905</v>
      </c>
      <c r="P220" s="28">
        <f t="shared" si="23"/>
        <v>0</v>
      </c>
    </row>
    <row r="221" hidden="1">
      <c r="A221" s="16" t="s">
        <v>385</v>
      </c>
      <c r="B221" s="49" t="s">
        <v>379</v>
      </c>
      <c r="C221" s="18"/>
      <c r="D221" s="4"/>
      <c r="E221" s="19"/>
      <c r="F221" s="19"/>
      <c r="G221" s="16" t="s">
        <v>98</v>
      </c>
      <c r="H221" s="21">
        <v>0.0</v>
      </c>
      <c r="I221" s="22">
        <f t="shared" ref="I221:I222" si="30">13*3</f>
        <v>39</v>
      </c>
      <c r="J221" s="47"/>
      <c r="K221" s="48">
        <v>61300.0</v>
      </c>
      <c r="L221" s="55">
        <v>72000.0</v>
      </c>
      <c r="M221" s="116" t="s">
        <v>76</v>
      </c>
      <c r="N221" s="26"/>
      <c r="O221" s="27">
        <f t="shared" si="22"/>
        <v>0.1745513866</v>
      </c>
      <c r="P221" s="28">
        <f t="shared" si="23"/>
        <v>0</v>
      </c>
    </row>
    <row r="222" hidden="1">
      <c r="A222" s="54" t="s">
        <v>386</v>
      </c>
      <c r="B222" s="49" t="s">
        <v>381</v>
      </c>
      <c r="C222" s="18"/>
      <c r="D222" s="4"/>
      <c r="E222" s="19"/>
      <c r="F222" s="19"/>
      <c r="G222" s="16" t="s">
        <v>98</v>
      </c>
      <c r="H222" s="21">
        <v>0.0</v>
      </c>
      <c r="I222" s="22">
        <f t="shared" si="30"/>
        <v>39</v>
      </c>
      <c r="J222" s="47"/>
      <c r="K222" s="48">
        <f>72000/5</f>
        <v>14400</v>
      </c>
      <c r="L222" s="55">
        <v>18000.0</v>
      </c>
      <c r="M222" s="116" t="s">
        <v>76</v>
      </c>
      <c r="N222" s="48"/>
      <c r="O222" s="27">
        <f t="shared" si="22"/>
        <v>0.25</v>
      </c>
      <c r="P222" s="28">
        <f t="shared" si="23"/>
        <v>0</v>
      </c>
    </row>
    <row r="223" hidden="1">
      <c r="A223" s="16" t="s">
        <v>387</v>
      </c>
      <c r="B223" s="49" t="s">
        <v>381</v>
      </c>
      <c r="C223" s="18"/>
      <c r="D223" s="4"/>
      <c r="E223" s="19"/>
      <c r="F223" s="19"/>
      <c r="G223" s="16" t="s">
        <v>98</v>
      </c>
      <c r="H223" s="21">
        <v>0.0</v>
      </c>
      <c r="I223" s="22">
        <v>4.0</v>
      </c>
      <c r="J223" s="47">
        <v>46143.0</v>
      </c>
      <c r="K223" s="60">
        <v>63000.0</v>
      </c>
      <c r="L223" s="55">
        <v>76000.0</v>
      </c>
      <c r="M223" s="25" t="s">
        <v>76</v>
      </c>
      <c r="N223" s="65">
        <v>68000.0</v>
      </c>
      <c r="O223" s="27">
        <f t="shared" si="22"/>
        <v>0.2063492063</v>
      </c>
      <c r="P223" s="28">
        <f t="shared" si="23"/>
        <v>0</v>
      </c>
    </row>
    <row r="224" hidden="1">
      <c r="A224" s="16" t="s">
        <v>388</v>
      </c>
      <c r="B224" s="49" t="s">
        <v>379</v>
      </c>
      <c r="C224" s="18"/>
      <c r="D224" s="4"/>
      <c r="E224" s="19"/>
      <c r="F224" s="19"/>
      <c r="G224" s="16" t="s">
        <v>98</v>
      </c>
      <c r="H224" s="21">
        <v>0.0</v>
      </c>
      <c r="I224" s="22"/>
      <c r="J224" s="47">
        <v>46143.0</v>
      </c>
      <c r="K224" s="60">
        <f>76000/5</f>
        <v>15200</v>
      </c>
      <c r="L224" s="55">
        <v>18000.0</v>
      </c>
      <c r="M224" s="25" t="s">
        <v>76</v>
      </c>
      <c r="N224" s="70"/>
      <c r="O224" s="27">
        <f t="shared" si="22"/>
        <v>0.1842105263</v>
      </c>
      <c r="P224" s="28">
        <f t="shared" si="23"/>
        <v>0</v>
      </c>
    </row>
    <row r="225" hidden="1">
      <c r="A225" s="16" t="s">
        <v>389</v>
      </c>
      <c r="B225" s="36"/>
      <c r="C225" s="109"/>
      <c r="D225" s="4"/>
      <c r="E225" s="19">
        <v>0.0</v>
      </c>
      <c r="F225" s="19">
        <v>0.0</v>
      </c>
      <c r="G225" s="40" t="s">
        <v>93</v>
      </c>
      <c r="H225" s="21"/>
      <c r="I225" s="22">
        <v>10.0</v>
      </c>
      <c r="J225" s="29"/>
      <c r="K225" s="48">
        <v>74900.0</v>
      </c>
      <c r="L225" s="55">
        <v>85000.0</v>
      </c>
      <c r="M225" s="25" t="s">
        <v>76</v>
      </c>
      <c r="N225" s="69"/>
      <c r="O225" s="27">
        <f t="shared" si="22"/>
        <v>0.1348464619</v>
      </c>
      <c r="P225" s="28">
        <f t="shared" si="23"/>
        <v>0</v>
      </c>
    </row>
    <row r="226" hidden="1">
      <c r="A226" s="16" t="s">
        <v>390</v>
      </c>
      <c r="B226" s="36"/>
      <c r="C226" s="109"/>
      <c r="D226" s="4"/>
      <c r="E226" s="19">
        <v>0.0</v>
      </c>
      <c r="F226" s="19">
        <v>0.0</v>
      </c>
      <c r="G226" s="40" t="s">
        <v>93</v>
      </c>
      <c r="H226" s="21"/>
      <c r="I226" s="22">
        <v>5.0</v>
      </c>
      <c r="J226" s="29"/>
      <c r="K226" s="48">
        <v>74900.0</v>
      </c>
      <c r="L226" s="55">
        <v>85000.0</v>
      </c>
      <c r="M226" s="25"/>
      <c r="N226" s="69"/>
      <c r="O226" s="27">
        <f t="shared" si="22"/>
        <v>0.1348464619</v>
      </c>
      <c r="P226" s="28">
        <f t="shared" si="23"/>
        <v>0</v>
      </c>
    </row>
    <row r="227" hidden="1">
      <c r="A227" s="16" t="s">
        <v>391</v>
      </c>
      <c r="B227" s="36"/>
      <c r="C227" s="109"/>
      <c r="D227" s="4"/>
      <c r="E227" s="19">
        <v>0.0</v>
      </c>
      <c r="F227" s="19">
        <v>0.0</v>
      </c>
      <c r="G227" s="40" t="s">
        <v>93</v>
      </c>
      <c r="H227" s="21"/>
      <c r="I227" s="22">
        <v>5.0</v>
      </c>
      <c r="J227" s="29"/>
      <c r="K227" s="48">
        <f>85000/5</f>
        <v>17000</v>
      </c>
      <c r="L227" s="55">
        <v>20000.0</v>
      </c>
      <c r="M227" s="25"/>
      <c r="N227" s="69"/>
      <c r="O227" s="27">
        <f t="shared" si="22"/>
        <v>0.1764705882</v>
      </c>
      <c r="P227" s="28">
        <f t="shared" si="23"/>
        <v>0</v>
      </c>
    </row>
    <row r="228" hidden="1">
      <c r="A228" s="16" t="s">
        <v>392</v>
      </c>
      <c r="B228" s="17"/>
      <c r="C228" s="18"/>
      <c r="D228" s="4"/>
      <c r="E228" s="19">
        <v>0.0</v>
      </c>
      <c r="F228" s="19">
        <v>0.0</v>
      </c>
      <c r="G228" s="16" t="s">
        <v>393</v>
      </c>
      <c r="H228" s="21">
        <v>0.0</v>
      </c>
      <c r="I228" s="22">
        <v>0.0</v>
      </c>
      <c r="J228" s="29"/>
      <c r="K228" s="48">
        <v>23000.0</v>
      </c>
      <c r="L228" s="55">
        <v>34000.0</v>
      </c>
      <c r="M228" s="25"/>
      <c r="N228" s="31">
        <v>28000.0</v>
      </c>
      <c r="O228" s="27">
        <f t="shared" si="22"/>
        <v>0.4782608696</v>
      </c>
      <c r="P228" s="28">
        <f t="shared" si="23"/>
        <v>0</v>
      </c>
    </row>
    <row r="229" hidden="1">
      <c r="A229" s="16" t="s">
        <v>394</v>
      </c>
      <c r="B229" s="17"/>
      <c r="C229" s="18"/>
      <c r="D229" s="4"/>
      <c r="E229" s="19">
        <v>0.0</v>
      </c>
      <c r="F229" s="19">
        <v>0.0</v>
      </c>
      <c r="G229" s="16" t="s">
        <v>393</v>
      </c>
      <c r="H229" s="21">
        <v>0.0</v>
      </c>
      <c r="I229" s="22">
        <v>0.0</v>
      </c>
      <c r="J229" s="29"/>
      <c r="K229" s="48">
        <v>68000.0</v>
      </c>
      <c r="L229" s="55">
        <v>86000.0</v>
      </c>
      <c r="M229" s="25"/>
      <c r="N229" s="31">
        <v>78000.0</v>
      </c>
      <c r="O229" s="27">
        <f t="shared" si="22"/>
        <v>0.2647058824</v>
      </c>
      <c r="P229" s="28">
        <f t="shared" si="23"/>
        <v>0</v>
      </c>
    </row>
    <row r="230" hidden="1">
      <c r="A230" s="52" t="s">
        <v>395</v>
      </c>
      <c r="B230" s="17"/>
      <c r="C230" s="109"/>
      <c r="D230" s="4"/>
      <c r="E230" s="19">
        <v>0.0</v>
      </c>
      <c r="F230" s="19"/>
      <c r="G230" s="20" t="s">
        <v>396</v>
      </c>
      <c r="H230" s="21"/>
      <c r="I230" s="22"/>
      <c r="J230" s="29"/>
      <c r="K230" s="48">
        <v>10710.0</v>
      </c>
      <c r="L230" s="44">
        <v>9000.0</v>
      </c>
      <c r="M230" s="25"/>
      <c r="N230" s="69"/>
      <c r="O230" s="27">
        <f t="shared" si="22"/>
        <v>-0.1596638655</v>
      </c>
      <c r="P230" s="28">
        <f t="shared" si="23"/>
        <v>0</v>
      </c>
    </row>
    <row r="231" hidden="1">
      <c r="A231" s="52" t="s">
        <v>397</v>
      </c>
      <c r="B231" s="17"/>
      <c r="C231" s="109"/>
      <c r="D231" s="4"/>
      <c r="E231" s="19">
        <v>0.0</v>
      </c>
      <c r="F231" s="19"/>
      <c r="G231" s="20" t="s">
        <v>396</v>
      </c>
      <c r="H231" s="21"/>
      <c r="I231" s="22"/>
      <c r="J231" s="29"/>
      <c r="K231" s="48">
        <v>8330.0</v>
      </c>
      <c r="L231" s="44">
        <v>8000.0</v>
      </c>
      <c r="M231" s="25"/>
      <c r="N231" s="69"/>
      <c r="O231" s="27">
        <f t="shared" si="22"/>
        <v>-0.03961584634</v>
      </c>
      <c r="P231" s="28">
        <f t="shared" si="23"/>
        <v>0</v>
      </c>
    </row>
    <row r="232" hidden="1">
      <c r="A232" s="118" t="s">
        <v>398</v>
      </c>
      <c r="B232" s="17"/>
      <c r="C232" s="109"/>
      <c r="D232" s="4"/>
      <c r="E232" s="19">
        <v>0.0</v>
      </c>
      <c r="F232" s="19"/>
      <c r="G232" s="20" t="s">
        <v>396</v>
      </c>
      <c r="H232" s="21"/>
      <c r="I232" s="22"/>
      <c r="J232" s="29"/>
      <c r="K232" s="48">
        <v>9520.0</v>
      </c>
      <c r="L232" s="44">
        <v>9000.0</v>
      </c>
      <c r="M232" s="25"/>
      <c r="N232" s="69"/>
      <c r="O232" s="27">
        <f t="shared" si="22"/>
        <v>-0.05462184874</v>
      </c>
      <c r="P232" s="28">
        <f t="shared" si="23"/>
        <v>0</v>
      </c>
    </row>
    <row r="233" hidden="1">
      <c r="A233" s="119" t="s">
        <v>399</v>
      </c>
      <c r="B233" s="51"/>
      <c r="C233" s="18"/>
      <c r="D233" s="4"/>
      <c r="E233" s="19">
        <v>0.0</v>
      </c>
      <c r="F233" s="19">
        <v>0.0</v>
      </c>
      <c r="G233" s="120" t="s">
        <v>400</v>
      </c>
      <c r="H233" s="21"/>
      <c r="I233" s="22">
        <v>9.0</v>
      </c>
      <c r="J233" s="29"/>
      <c r="K233" s="43"/>
      <c r="L233" s="44"/>
      <c r="M233" s="25"/>
      <c r="N233" s="26"/>
      <c r="O233" s="27"/>
      <c r="P233" s="28"/>
    </row>
    <row r="234" hidden="1">
      <c r="A234" s="16" t="s">
        <v>401</v>
      </c>
      <c r="B234" s="17"/>
      <c r="C234" s="109"/>
      <c r="D234" s="4"/>
      <c r="E234" s="19">
        <v>0.0</v>
      </c>
      <c r="F234" s="19">
        <v>0.0</v>
      </c>
      <c r="G234" s="54" t="s">
        <v>63</v>
      </c>
      <c r="H234" s="21"/>
      <c r="I234" s="22">
        <v>3.0</v>
      </c>
      <c r="J234" s="29"/>
      <c r="K234" s="32">
        <f>90640/2</f>
        <v>45320</v>
      </c>
      <c r="L234" s="24">
        <v>70000.0</v>
      </c>
      <c r="M234" s="25" t="s">
        <v>76</v>
      </c>
      <c r="N234" s="26"/>
      <c r="O234" s="27">
        <f t="shared" ref="O234:O248" si="31">(L234/K234)-1</f>
        <v>0.5445719329</v>
      </c>
      <c r="P234" s="28">
        <f t="shared" ref="P234:P253" si="32">K234*F234</f>
        <v>0</v>
      </c>
    </row>
    <row r="235" hidden="1">
      <c r="A235" s="16" t="s">
        <v>402</v>
      </c>
      <c r="B235" s="17"/>
      <c r="C235" s="109"/>
      <c r="D235" s="4"/>
      <c r="E235" s="19">
        <v>0.0</v>
      </c>
      <c r="F235" s="19">
        <v>0.0</v>
      </c>
      <c r="G235" s="16" t="s">
        <v>16</v>
      </c>
      <c r="H235" s="21"/>
      <c r="I235" s="22">
        <v>0.0</v>
      </c>
      <c r="J235" s="29"/>
      <c r="K235" s="43">
        <v>20000.0</v>
      </c>
      <c r="L235" s="44">
        <v>35000.0</v>
      </c>
      <c r="M235" s="25"/>
      <c r="N235" s="69"/>
      <c r="O235" s="27">
        <f t="shared" si="31"/>
        <v>0.75</v>
      </c>
      <c r="P235" s="28">
        <f t="shared" si="32"/>
        <v>0</v>
      </c>
    </row>
    <row r="236" hidden="1">
      <c r="A236" s="42" t="s">
        <v>403</v>
      </c>
      <c r="B236" s="121"/>
      <c r="C236" s="109"/>
      <c r="D236" s="4"/>
      <c r="E236" s="19">
        <v>0.0</v>
      </c>
      <c r="F236" s="19">
        <v>0.0</v>
      </c>
      <c r="G236" s="20" t="s">
        <v>84</v>
      </c>
      <c r="H236" s="21"/>
      <c r="I236" s="22">
        <v>0.0</v>
      </c>
      <c r="J236" s="29"/>
      <c r="K236" s="43">
        <v>17600.0</v>
      </c>
      <c r="L236" s="44">
        <v>32000.0</v>
      </c>
      <c r="M236" s="25"/>
      <c r="N236" s="69"/>
      <c r="O236" s="27">
        <f t="shared" si="31"/>
        <v>0.8181818182</v>
      </c>
      <c r="P236" s="28">
        <f t="shared" si="32"/>
        <v>0</v>
      </c>
    </row>
    <row r="237" hidden="1">
      <c r="A237" s="16" t="s">
        <v>404</v>
      </c>
      <c r="B237" s="17"/>
      <c r="C237" s="109"/>
      <c r="D237" s="4"/>
      <c r="E237" s="19">
        <v>0.0</v>
      </c>
      <c r="F237" s="19">
        <v>0.0</v>
      </c>
      <c r="G237" s="16" t="s">
        <v>405</v>
      </c>
      <c r="H237" s="21"/>
      <c r="I237" s="22">
        <v>0.0</v>
      </c>
      <c r="J237" s="29"/>
      <c r="K237" s="32">
        <v>4300.0</v>
      </c>
      <c r="L237" s="32">
        <v>9000.0</v>
      </c>
      <c r="M237" s="25"/>
      <c r="N237" s="69"/>
      <c r="O237" s="27">
        <f t="shared" si="31"/>
        <v>1.093023256</v>
      </c>
      <c r="P237" s="28">
        <f t="shared" si="32"/>
        <v>0</v>
      </c>
    </row>
    <row r="238" hidden="1">
      <c r="A238" s="16" t="s">
        <v>406</v>
      </c>
      <c r="B238" s="17" t="s">
        <v>407</v>
      </c>
      <c r="C238" s="109"/>
      <c r="D238" s="4"/>
      <c r="E238" s="19">
        <v>0.0</v>
      </c>
      <c r="F238" s="19">
        <v>0.0</v>
      </c>
      <c r="G238" s="16" t="s">
        <v>405</v>
      </c>
      <c r="H238" s="21"/>
      <c r="I238" s="22">
        <v>0.0</v>
      </c>
      <c r="J238" s="29"/>
      <c r="K238" s="32">
        <v>4900.0</v>
      </c>
      <c r="L238" s="32">
        <v>9000.0</v>
      </c>
      <c r="M238" s="25"/>
      <c r="N238" s="69"/>
      <c r="O238" s="27">
        <f t="shared" si="31"/>
        <v>0.8367346939</v>
      </c>
      <c r="P238" s="28">
        <f t="shared" si="32"/>
        <v>0</v>
      </c>
    </row>
    <row r="239" hidden="1">
      <c r="A239" s="16" t="s">
        <v>408</v>
      </c>
      <c r="B239" s="17" t="s">
        <v>409</v>
      </c>
      <c r="C239" s="109"/>
      <c r="D239" s="4"/>
      <c r="E239" s="19">
        <v>0.0</v>
      </c>
      <c r="F239" s="19">
        <v>0.0</v>
      </c>
      <c r="G239" s="16" t="s">
        <v>405</v>
      </c>
      <c r="H239" s="21"/>
      <c r="I239" s="22">
        <v>0.0</v>
      </c>
      <c r="J239" s="29"/>
      <c r="K239" s="32">
        <v>3360.0</v>
      </c>
      <c r="L239" s="32">
        <v>9000.0</v>
      </c>
      <c r="M239" s="25"/>
      <c r="N239" s="69"/>
      <c r="O239" s="27">
        <f t="shared" si="31"/>
        <v>1.678571429</v>
      </c>
      <c r="P239" s="28">
        <f t="shared" si="32"/>
        <v>0</v>
      </c>
    </row>
    <row r="240" hidden="1">
      <c r="A240" s="16" t="s">
        <v>410</v>
      </c>
      <c r="B240" s="17"/>
      <c r="C240" s="109"/>
      <c r="D240" s="4"/>
      <c r="E240" s="19">
        <v>0.0</v>
      </c>
      <c r="F240" s="19"/>
      <c r="G240" s="16" t="s">
        <v>411</v>
      </c>
      <c r="H240" s="21"/>
      <c r="I240" s="22"/>
      <c r="J240" s="29"/>
      <c r="K240" s="32">
        <f>84000/10</f>
        <v>8400</v>
      </c>
      <c r="L240" s="24">
        <v>18000.0</v>
      </c>
      <c r="M240" s="25" t="s">
        <v>76</v>
      </c>
      <c r="N240" s="69"/>
      <c r="O240" s="27">
        <f t="shared" si="31"/>
        <v>1.142857143</v>
      </c>
      <c r="P240" s="28">
        <f t="shared" si="32"/>
        <v>0</v>
      </c>
    </row>
    <row r="241" hidden="1">
      <c r="A241" s="16" t="s">
        <v>412</v>
      </c>
      <c r="B241" s="17" t="s">
        <v>413</v>
      </c>
      <c r="C241" s="109"/>
      <c r="D241" s="4"/>
      <c r="E241" s="19">
        <v>0.0</v>
      </c>
      <c r="F241" s="19">
        <v>0.0</v>
      </c>
      <c r="G241" s="16" t="s">
        <v>405</v>
      </c>
      <c r="H241" s="21"/>
      <c r="I241" s="22">
        <v>0.0</v>
      </c>
      <c r="J241" s="29"/>
      <c r="K241" s="48">
        <v>6500.0</v>
      </c>
      <c r="L241" s="48">
        <v>9000.0</v>
      </c>
      <c r="M241" s="25"/>
      <c r="N241" s="69"/>
      <c r="O241" s="27">
        <f t="shared" si="31"/>
        <v>0.3846153846</v>
      </c>
      <c r="P241" s="28">
        <f t="shared" si="32"/>
        <v>0</v>
      </c>
    </row>
    <row r="242" hidden="1">
      <c r="A242" s="16" t="s">
        <v>414</v>
      </c>
      <c r="B242" s="17" t="s">
        <v>415</v>
      </c>
      <c r="C242" s="109"/>
      <c r="D242" s="4"/>
      <c r="E242" s="19">
        <v>0.0</v>
      </c>
      <c r="F242" s="19">
        <v>0.0</v>
      </c>
      <c r="G242" s="16" t="s">
        <v>405</v>
      </c>
      <c r="H242" s="21"/>
      <c r="I242" s="22">
        <v>0.0</v>
      </c>
      <c r="J242" s="29"/>
      <c r="K242" s="48">
        <v>3900.0</v>
      </c>
      <c r="L242" s="48">
        <v>9000.0</v>
      </c>
      <c r="M242" s="25"/>
      <c r="N242" s="69"/>
      <c r="O242" s="27">
        <f t="shared" si="31"/>
        <v>1.307692308</v>
      </c>
      <c r="P242" s="28">
        <f t="shared" si="32"/>
        <v>0</v>
      </c>
    </row>
    <row r="243" hidden="1">
      <c r="A243" s="16" t="s">
        <v>416</v>
      </c>
      <c r="B243" s="17"/>
      <c r="C243" s="109"/>
      <c r="D243" s="4"/>
      <c r="E243" s="19">
        <v>0.0</v>
      </c>
      <c r="F243" s="19">
        <v>0.0</v>
      </c>
      <c r="G243" s="16" t="s">
        <v>286</v>
      </c>
      <c r="H243" s="21"/>
      <c r="I243" s="22">
        <v>1.0</v>
      </c>
      <c r="J243" s="29"/>
      <c r="K243" s="43">
        <v>8847.0</v>
      </c>
      <c r="L243" s="44">
        <v>14000.0</v>
      </c>
      <c r="M243" s="25"/>
      <c r="N243" s="69"/>
      <c r="O243" s="27">
        <f t="shared" si="31"/>
        <v>0.5824573302</v>
      </c>
      <c r="P243" s="28">
        <f t="shared" si="32"/>
        <v>0</v>
      </c>
    </row>
    <row r="244" hidden="1">
      <c r="A244" s="16" t="s">
        <v>417</v>
      </c>
      <c r="B244" s="51" t="s">
        <v>418</v>
      </c>
      <c r="C244" s="38"/>
      <c r="D244" s="67"/>
      <c r="E244" s="19"/>
      <c r="F244" s="19">
        <f>9906300/10</f>
        <v>990630</v>
      </c>
      <c r="G244" s="16" t="s">
        <v>419</v>
      </c>
      <c r="H244" s="21"/>
      <c r="I244" s="22">
        <v>9.0</v>
      </c>
      <c r="J244" s="29"/>
      <c r="K244" s="32">
        <v>980000.0</v>
      </c>
      <c r="L244" s="24">
        <v>1300000.0</v>
      </c>
      <c r="M244" s="25"/>
      <c r="N244" s="26">
        <v>1150000.0</v>
      </c>
      <c r="O244" s="27">
        <f t="shared" si="31"/>
        <v>0.3265306122</v>
      </c>
      <c r="P244" s="28">
        <f t="shared" si="32"/>
        <v>970817400000</v>
      </c>
    </row>
    <row r="245" hidden="1">
      <c r="A245" s="52" t="s">
        <v>420</v>
      </c>
      <c r="B245" s="17"/>
      <c r="C245" s="18"/>
      <c r="D245" s="4"/>
      <c r="E245" s="19">
        <v>0.0</v>
      </c>
      <c r="F245" s="19">
        <v>0.0</v>
      </c>
      <c r="G245" s="16" t="s">
        <v>421</v>
      </c>
      <c r="H245" s="21"/>
      <c r="I245" s="22"/>
      <c r="J245" s="23"/>
      <c r="K245" s="44">
        <f>33000*1.19</f>
        <v>39270</v>
      </c>
      <c r="L245" s="44">
        <v>48000.0</v>
      </c>
      <c r="M245" s="25"/>
      <c r="N245" s="50"/>
      <c r="O245" s="27">
        <f t="shared" si="31"/>
        <v>0.2223071047</v>
      </c>
      <c r="P245" s="28">
        <f t="shared" si="32"/>
        <v>0</v>
      </c>
    </row>
    <row r="246" hidden="1">
      <c r="A246" s="52" t="s">
        <v>422</v>
      </c>
      <c r="B246" s="17">
        <v>245021.0</v>
      </c>
      <c r="C246" s="18"/>
      <c r="D246" s="4"/>
      <c r="E246" s="19">
        <v>0.0</v>
      </c>
      <c r="F246" s="19">
        <v>0.0</v>
      </c>
      <c r="G246" s="16" t="s">
        <v>423</v>
      </c>
      <c r="H246" s="21"/>
      <c r="I246" s="22"/>
      <c r="J246" s="29"/>
      <c r="K246" s="43">
        <f>16000*1.19</f>
        <v>19040</v>
      </c>
      <c r="L246" s="44">
        <v>32000.0</v>
      </c>
      <c r="M246" s="25"/>
      <c r="N246" s="70"/>
      <c r="O246" s="27">
        <f t="shared" si="31"/>
        <v>0.6806722689</v>
      </c>
      <c r="P246" s="28">
        <f t="shared" si="32"/>
        <v>0</v>
      </c>
    </row>
    <row r="247" hidden="1">
      <c r="A247" s="122" t="s">
        <v>424</v>
      </c>
      <c r="B247" s="17">
        <v>245022.0</v>
      </c>
      <c r="C247" s="18"/>
      <c r="D247" s="4"/>
      <c r="E247" s="19">
        <v>0.0</v>
      </c>
      <c r="F247" s="19">
        <v>0.0</v>
      </c>
      <c r="G247" s="16" t="s">
        <v>425</v>
      </c>
      <c r="H247" s="21"/>
      <c r="I247" s="22">
        <v>0.0</v>
      </c>
      <c r="J247" s="29"/>
      <c r="K247" s="43">
        <f>52500*1.19</f>
        <v>62475</v>
      </c>
      <c r="L247" s="43">
        <v>95000.0</v>
      </c>
      <c r="M247" s="25"/>
      <c r="N247" s="70"/>
      <c r="O247" s="27">
        <f t="shared" si="31"/>
        <v>0.5206082433</v>
      </c>
      <c r="P247" s="28">
        <f t="shared" si="32"/>
        <v>0</v>
      </c>
    </row>
    <row r="248" hidden="1">
      <c r="A248" s="52" t="s">
        <v>426</v>
      </c>
      <c r="B248" s="51"/>
      <c r="C248" s="18"/>
      <c r="D248" s="4"/>
      <c r="E248" s="19">
        <v>0.0</v>
      </c>
      <c r="F248" s="19">
        <v>0.0</v>
      </c>
      <c r="G248" s="16" t="s">
        <v>427</v>
      </c>
      <c r="H248" s="21"/>
      <c r="I248" s="22"/>
      <c r="J248" s="29"/>
      <c r="K248" s="32">
        <v>3374.0</v>
      </c>
      <c r="L248" s="24">
        <v>6000.0</v>
      </c>
      <c r="M248" s="25"/>
      <c r="N248" s="26"/>
      <c r="O248" s="27">
        <f t="shared" si="31"/>
        <v>0.7783046829</v>
      </c>
      <c r="P248" s="28">
        <f t="shared" si="32"/>
        <v>0</v>
      </c>
    </row>
    <row r="249" hidden="1">
      <c r="A249" s="16" t="s">
        <v>428</v>
      </c>
      <c r="B249" s="17"/>
      <c r="C249" s="18"/>
      <c r="D249" s="4"/>
      <c r="E249" s="19">
        <v>0.0</v>
      </c>
      <c r="F249" s="19">
        <v>0.0</v>
      </c>
      <c r="G249" s="16" t="s">
        <v>16</v>
      </c>
      <c r="H249" s="33"/>
      <c r="I249" s="22">
        <v>0.0</v>
      </c>
      <c r="J249" s="34"/>
      <c r="K249" s="123">
        <v>1712.0</v>
      </c>
      <c r="L249" s="44">
        <v>8000.0</v>
      </c>
      <c r="M249" s="25"/>
      <c r="N249" s="31"/>
      <c r="O249" s="27">
        <f>(L249/K249)-1</f>
        <v>3.672897196</v>
      </c>
      <c r="P249" s="28">
        <f t="shared" si="32"/>
        <v>0</v>
      </c>
    </row>
    <row r="250" hidden="1">
      <c r="A250" s="16" t="s">
        <v>429</v>
      </c>
      <c r="B250" s="124" t="s">
        <v>430</v>
      </c>
      <c r="C250" s="18"/>
      <c r="D250" s="4"/>
      <c r="E250" s="19">
        <v>0.0</v>
      </c>
      <c r="F250" s="19"/>
      <c r="G250" s="16" t="s">
        <v>431</v>
      </c>
      <c r="H250" s="21"/>
      <c r="I250" s="22"/>
      <c r="J250" s="29"/>
      <c r="K250" s="32">
        <v>12500.0</v>
      </c>
      <c r="L250" s="24">
        <v>16000.0</v>
      </c>
      <c r="M250" s="25"/>
      <c r="N250" s="26"/>
      <c r="O250" s="27">
        <f t="shared" ref="O250:O297" si="33">(L250/K250)-1</f>
        <v>0.28</v>
      </c>
      <c r="P250" s="28">
        <f t="shared" si="32"/>
        <v>0</v>
      </c>
    </row>
    <row r="251" hidden="1">
      <c r="A251" s="16" t="s">
        <v>432</v>
      </c>
      <c r="B251" s="17"/>
      <c r="C251" s="18"/>
      <c r="D251" s="4"/>
      <c r="E251" s="19">
        <v>0.0</v>
      </c>
      <c r="F251" s="19"/>
      <c r="G251" s="16" t="s">
        <v>57</v>
      </c>
      <c r="H251" s="21"/>
      <c r="I251" s="22"/>
      <c r="J251" s="29"/>
      <c r="K251" s="43">
        <v>1550000.0</v>
      </c>
      <c r="L251" s="125">
        <f>K251*1.2</f>
        <v>1860000</v>
      </c>
      <c r="M251" s="25"/>
      <c r="N251" s="69"/>
      <c r="O251" s="27">
        <f t="shared" si="33"/>
        <v>0.2</v>
      </c>
      <c r="P251" s="28">
        <f t="shared" si="32"/>
        <v>0</v>
      </c>
    </row>
    <row r="252" hidden="1">
      <c r="A252" s="16" t="s">
        <v>433</v>
      </c>
      <c r="B252" s="36"/>
      <c r="C252" s="18"/>
      <c r="D252" s="4"/>
      <c r="E252" s="19">
        <v>0.0</v>
      </c>
      <c r="F252" s="19">
        <v>0.0</v>
      </c>
      <c r="G252" s="16" t="s">
        <v>434</v>
      </c>
      <c r="H252" s="21"/>
      <c r="I252" s="22">
        <v>0.0</v>
      </c>
      <c r="J252" s="29"/>
      <c r="K252" s="43">
        <v>6400.0</v>
      </c>
      <c r="L252" s="44">
        <v>10000.0</v>
      </c>
      <c r="M252" s="25"/>
      <c r="N252" s="69"/>
      <c r="O252" s="27">
        <f t="shared" si="33"/>
        <v>0.5625</v>
      </c>
      <c r="P252" s="28">
        <f t="shared" si="32"/>
        <v>0</v>
      </c>
    </row>
    <row r="253" hidden="1">
      <c r="A253" s="16" t="s">
        <v>435</v>
      </c>
      <c r="B253" s="17"/>
      <c r="C253" s="18"/>
      <c r="D253" s="4"/>
      <c r="E253" s="19">
        <v>0.0</v>
      </c>
      <c r="F253" s="19">
        <v>0.0</v>
      </c>
      <c r="G253" s="20" t="s">
        <v>286</v>
      </c>
      <c r="H253" s="21"/>
      <c r="I253" s="22">
        <v>0.0</v>
      </c>
      <c r="J253" s="29"/>
      <c r="K253" s="32">
        <v>1145.0</v>
      </c>
      <c r="L253" s="24">
        <v>4000.0</v>
      </c>
      <c r="M253" s="25"/>
      <c r="N253" s="50">
        <v>3000.0</v>
      </c>
      <c r="O253" s="27">
        <f t="shared" si="33"/>
        <v>2.493449782</v>
      </c>
      <c r="P253" s="28">
        <f t="shared" si="32"/>
        <v>0</v>
      </c>
    </row>
    <row r="254" hidden="1">
      <c r="A254" s="52" t="s">
        <v>436</v>
      </c>
      <c r="B254" s="49"/>
      <c r="C254" s="18"/>
      <c r="D254" s="4"/>
      <c r="E254" s="19">
        <v>0.0</v>
      </c>
      <c r="F254" s="19">
        <v>0.0</v>
      </c>
      <c r="G254" s="16" t="s">
        <v>437</v>
      </c>
      <c r="H254" s="21"/>
      <c r="I254" s="22">
        <v>20.0</v>
      </c>
      <c r="J254" s="29"/>
      <c r="K254" s="32">
        <v>400.0</v>
      </c>
      <c r="L254" s="24">
        <v>600.0</v>
      </c>
      <c r="M254" s="25"/>
      <c r="N254" s="70"/>
      <c r="O254" s="27">
        <f t="shared" si="33"/>
        <v>0.5</v>
      </c>
      <c r="P254" s="28" t="str">
        <f t="shared" ref="P254:P256" si="34">K254*#REF!</f>
        <v>#REF!</v>
      </c>
    </row>
    <row r="255" hidden="1">
      <c r="A255" s="52" t="s">
        <v>438</v>
      </c>
      <c r="B255" s="49"/>
      <c r="C255" s="18"/>
      <c r="D255" s="4"/>
      <c r="E255" s="19">
        <v>0.0</v>
      </c>
      <c r="F255" s="19">
        <v>0.0</v>
      </c>
      <c r="G255" s="16" t="s">
        <v>439</v>
      </c>
      <c r="H255" s="21"/>
      <c r="I255" s="22">
        <v>15.0</v>
      </c>
      <c r="J255" s="29"/>
      <c r="K255" s="43">
        <v>430.0</v>
      </c>
      <c r="L255" s="44">
        <v>600.0</v>
      </c>
      <c r="M255" s="25"/>
      <c r="N255" s="70"/>
      <c r="O255" s="27">
        <f t="shared" si="33"/>
        <v>0.3953488372</v>
      </c>
      <c r="P255" s="28" t="str">
        <f t="shared" si="34"/>
        <v>#REF!</v>
      </c>
    </row>
    <row r="256" hidden="1">
      <c r="A256" s="52" t="s">
        <v>440</v>
      </c>
      <c r="B256" s="126"/>
      <c r="C256" s="18"/>
      <c r="D256" s="4"/>
      <c r="E256" s="19">
        <v>0.0</v>
      </c>
      <c r="F256" s="19">
        <v>0.0</v>
      </c>
      <c r="G256" s="16" t="s">
        <v>437</v>
      </c>
      <c r="H256" s="21"/>
      <c r="I256" s="22" t="s">
        <v>441</v>
      </c>
      <c r="J256" s="29"/>
      <c r="K256" s="32">
        <v>2500.0</v>
      </c>
      <c r="L256" s="24">
        <v>5000.0</v>
      </c>
      <c r="M256" s="25"/>
      <c r="N256" s="70"/>
      <c r="O256" s="27">
        <f t="shared" si="33"/>
        <v>1</v>
      </c>
      <c r="P256" s="28" t="str">
        <f t="shared" si="34"/>
        <v>#REF!</v>
      </c>
    </row>
    <row r="257" hidden="1">
      <c r="A257" s="52" t="s">
        <v>442</v>
      </c>
      <c r="B257" s="36"/>
      <c r="C257" s="18"/>
      <c r="D257" s="4"/>
      <c r="E257" s="19">
        <v>0.0</v>
      </c>
      <c r="F257" s="19">
        <v>0.0</v>
      </c>
      <c r="G257" s="16" t="s">
        <v>443</v>
      </c>
      <c r="H257" s="21"/>
      <c r="I257" s="22">
        <v>0.0</v>
      </c>
      <c r="J257" s="23"/>
      <c r="K257" s="44" t="s">
        <v>328</v>
      </c>
      <c r="L257" s="44">
        <v>28000.0</v>
      </c>
      <c r="M257" s="25"/>
      <c r="N257" s="26"/>
      <c r="O257" s="27" t="str">
        <f t="shared" si="33"/>
        <v>#VALUE!</v>
      </c>
      <c r="P257" s="28">
        <f>L257*F258</f>
        <v>0</v>
      </c>
    </row>
    <row r="258" hidden="1">
      <c r="A258" s="52" t="s">
        <v>444</v>
      </c>
      <c r="B258" s="36" t="s">
        <v>445</v>
      </c>
      <c r="C258" s="18"/>
      <c r="D258" s="19"/>
      <c r="E258" s="19">
        <v>0.0</v>
      </c>
      <c r="F258" s="19">
        <v>0.0</v>
      </c>
      <c r="G258" s="16" t="s">
        <v>443</v>
      </c>
      <c r="H258" s="21"/>
      <c r="I258" s="22" t="s">
        <v>446</v>
      </c>
      <c r="J258" s="23"/>
      <c r="K258" s="24">
        <v>10115.0</v>
      </c>
      <c r="L258" s="24">
        <v>18000.0</v>
      </c>
      <c r="M258" s="25"/>
      <c r="N258" s="26">
        <v>13000.0</v>
      </c>
      <c r="O258" s="27">
        <f t="shared" si="33"/>
        <v>0.7795353435</v>
      </c>
      <c r="P258" s="28" t="str">
        <f>L258*#REF!</f>
        <v>#REF!</v>
      </c>
    </row>
    <row r="259" hidden="1">
      <c r="A259" s="16" t="s">
        <v>447</v>
      </c>
      <c r="B259" s="17"/>
      <c r="C259" s="18"/>
      <c r="D259" s="4"/>
      <c r="E259" s="19">
        <v>0.0</v>
      </c>
      <c r="F259" s="19">
        <v>0.0</v>
      </c>
      <c r="G259" s="20" t="s">
        <v>286</v>
      </c>
      <c r="H259" s="21"/>
      <c r="I259" s="22">
        <v>5.0</v>
      </c>
      <c r="J259" s="29"/>
      <c r="K259" s="32">
        <f>34986/25</f>
        <v>1399.44</v>
      </c>
      <c r="L259" s="24">
        <v>7000.0</v>
      </c>
      <c r="M259" s="25"/>
      <c r="N259" s="69"/>
      <c r="O259" s="27">
        <f t="shared" si="33"/>
        <v>4.0020008</v>
      </c>
      <c r="P259" s="28">
        <f t="shared" ref="P259:P287" si="35">K259*F259</f>
        <v>0</v>
      </c>
    </row>
    <row r="260" hidden="1">
      <c r="A260" s="16" t="s">
        <v>448</v>
      </c>
      <c r="B260" s="49"/>
      <c r="C260" s="18"/>
      <c r="D260" s="4"/>
      <c r="E260" s="19"/>
      <c r="F260" s="19"/>
      <c r="G260" s="20" t="s">
        <v>449</v>
      </c>
      <c r="H260" s="21">
        <v>0.0</v>
      </c>
      <c r="I260" s="22"/>
      <c r="J260" s="29"/>
      <c r="K260" s="48">
        <v>12019.0</v>
      </c>
      <c r="L260" s="55">
        <v>18000.0</v>
      </c>
      <c r="M260" s="25"/>
      <c r="N260" s="48">
        <v>16000.0</v>
      </c>
      <c r="O260" s="27">
        <f t="shared" si="33"/>
        <v>0.4976287545</v>
      </c>
      <c r="P260" s="28">
        <f t="shared" si="35"/>
        <v>0</v>
      </c>
    </row>
    <row r="261" hidden="1">
      <c r="A261" s="16" t="s">
        <v>450</v>
      </c>
      <c r="B261" s="49"/>
      <c r="C261" s="18"/>
      <c r="D261" s="4"/>
      <c r="E261" s="19"/>
      <c r="F261" s="19"/>
      <c r="G261" s="20" t="s">
        <v>449</v>
      </c>
      <c r="H261" s="21">
        <v>0.0</v>
      </c>
      <c r="I261" s="22"/>
      <c r="J261" s="29"/>
      <c r="K261" s="48">
        <v>14042.0</v>
      </c>
      <c r="L261" s="55">
        <v>18000.0</v>
      </c>
      <c r="M261" s="25">
        <v>1.19</v>
      </c>
      <c r="N261" s="65">
        <v>16000.0</v>
      </c>
      <c r="O261" s="27">
        <f t="shared" si="33"/>
        <v>0.2818686797</v>
      </c>
      <c r="P261" s="28">
        <f t="shared" si="35"/>
        <v>0</v>
      </c>
    </row>
    <row r="262" hidden="1">
      <c r="A262" s="16" t="s">
        <v>451</v>
      </c>
      <c r="B262" s="17"/>
      <c r="C262" s="18"/>
      <c r="D262" s="4"/>
      <c r="E262" s="19">
        <v>0.0</v>
      </c>
      <c r="F262" s="19">
        <v>0.0</v>
      </c>
      <c r="G262" s="20" t="s">
        <v>16</v>
      </c>
      <c r="H262" s="21"/>
      <c r="I262" s="22">
        <v>0.0</v>
      </c>
      <c r="J262" s="23"/>
      <c r="K262" s="127">
        <v>5422.5199999999995</v>
      </c>
      <c r="L262" s="55">
        <v>36000.0</v>
      </c>
      <c r="M262" s="25"/>
      <c r="N262" s="69"/>
      <c r="O262" s="27">
        <f t="shared" si="33"/>
        <v>5.638979663</v>
      </c>
      <c r="P262" s="28">
        <f t="shared" si="35"/>
        <v>0</v>
      </c>
    </row>
    <row r="263" hidden="1">
      <c r="A263" s="16" t="s">
        <v>452</v>
      </c>
      <c r="B263" s="17"/>
      <c r="C263" s="18"/>
      <c r="D263" s="4"/>
      <c r="E263" s="19">
        <v>0.0</v>
      </c>
      <c r="F263" s="77">
        <v>0.0</v>
      </c>
      <c r="G263" s="20" t="s">
        <v>14</v>
      </c>
      <c r="H263" s="21">
        <v>0.0</v>
      </c>
      <c r="I263" s="22">
        <v>0.0</v>
      </c>
      <c r="J263" s="23"/>
      <c r="K263" s="24">
        <f>42000*1.19</f>
        <v>49980</v>
      </c>
      <c r="L263" s="24">
        <v>68000.0</v>
      </c>
      <c r="M263" s="25"/>
      <c r="N263" s="69"/>
      <c r="O263" s="27">
        <f t="shared" si="33"/>
        <v>0.3605442177</v>
      </c>
      <c r="P263" s="28">
        <f t="shared" si="35"/>
        <v>0</v>
      </c>
    </row>
    <row r="264" hidden="1">
      <c r="A264" s="16" t="s">
        <v>453</v>
      </c>
      <c r="B264" s="51"/>
      <c r="C264" s="18"/>
      <c r="D264" s="4"/>
      <c r="E264" s="19">
        <v>0.0</v>
      </c>
      <c r="F264" s="19">
        <v>0.0</v>
      </c>
      <c r="G264" s="16" t="s">
        <v>84</v>
      </c>
      <c r="H264" s="21"/>
      <c r="I264" s="22">
        <v>0.0</v>
      </c>
      <c r="J264" s="29"/>
      <c r="K264" s="43">
        <v>900.0</v>
      </c>
      <c r="L264" s="44">
        <v>8000.0</v>
      </c>
      <c r="M264" s="25"/>
      <c r="N264" s="69"/>
      <c r="O264" s="27">
        <f t="shared" si="33"/>
        <v>7.888888889</v>
      </c>
      <c r="P264" s="28">
        <f t="shared" si="35"/>
        <v>0</v>
      </c>
    </row>
    <row r="265" hidden="1">
      <c r="A265" s="16" t="s">
        <v>454</v>
      </c>
      <c r="B265" s="17"/>
      <c r="C265" s="18"/>
      <c r="D265" s="4"/>
      <c r="E265" s="19">
        <v>0.0</v>
      </c>
      <c r="F265" s="19">
        <v>0.0</v>
      </c>
      <c r="G265" s="16" t="s">
        <v>16</v>
      </c>
      <c r="H265" s="21"/>
      <c r="I265" s="22">
        <v>0.0</v>
      </c>
      <c r="J265" s="29"/>
      <c r="K265" s="43">
        <v>6400.0</v>
      </c>
      <c r="L265" s="44">
        <v>22000.0</v>
      </c>
      <c r="M265" s="25"/>
      <c r="N265" s="69"/>
      <c r="O265" s="27">
        <f t="shared" si="33"/>
        <v>2.4375</v>
      </c>
      <c r="P265" s="28">
        <f t="shared" si="35"/>
        <v>0</v>
      </c>
    </row>
    <row r="266" hidden="1">
      <c r="A266" s="16" t="s">
        <v>455</v>
      </c>
      <c r="B266" s="51"/>
      <c r="C266" s="18"/>
      <c r="D266" s="4"/>
      <c r="E266" s="19">
        <v>0.0</v>
      </c>
      <c r="F266" s="19"/>
      <c r="G266" s="20" t="s">
        <v>57</v>
      </c>
      <c r="H266" s="21"/>
      <c r="I266" s="22"/>
      <c r="J266" s="29"/>
      <c r="K266" s="32">
        <f>232*4</f>
        <v>928</v>
      </c>
      <c r="L266" s="24">
        <v>3000.0</v>
      </c>
      <c r="M266" s="25"/>
      <c r="N266" s="26"/>
      <c r="O266" s="27">
        <f t="shared" si="33"/>
        <v>2.232758621</v>
      </c>
      <c r="P266" s="28">
        <f t="shared" si="35"/>
        <v>0</v>
      </c>
    </row>
    <row r="267" hidden="1">
      <c r="A267" s="52" t="s">
        <v>456</v>
      </c>
      <c r="B267" s="49"/>
      <c r="C267" s="18"/>
      <c r="D267" s="4"/>
      <c r="E267" s="19">
        <v>0.0</v>
      </c>
      <c r="F267" s="19"/>
      <c r="G267" s="20" t="s">
        <v>457</v>
      </c>
      <c r="H267" s="21"/>
      <c r="I267" s="22"/>
      <c r="J267" s="29"/>
      <c r="K267" s="32">
        <f>9900*1.19</f>
        <v>11781</v>
      </c>
      <c r="L267" s="32">
        <v>16000.0</v>
      </c>
      <c r="M267" s="25">
        <v>1.19</v>
      </c>
      <c r="N267" s="70"/>
      <c r="O267" s="27">
        <f t="shared" si="33"/>
        <v>0.3581190052</v>
      </c>
      <c r="P267" s="28">
        <f t="shared" si="35"/>
        <v>0</v>
      </c>
    </row>
    <row r="268" hidden="1">
      <c r="A268" s="16" t="s">
        <v>458</v>
      </c>
      <c r="B268" s="126"/>
      <c r="C268" s="18"/>
      <c r="D268" s="4"/>
      <c r="E268" s="19">
        <v>0.0</v>
      </c>
      <c r="F268" s="77">
        <v>0.0</v>
      </c>
      <c r="G268" s="20" t="s">
        <v>78</v>
      </c>
      <c r="H268" s="21">
        <v>13.0</v>
      </c>
      <c r="I268" s="22">
        <v>15.0</v>
      </c>
      <c r="J268" s="47">
        <v>45870.0</v>
      </c>
      <c r="K268" s="55">
        <v>5159.0</v>
      </c>
      <c r="L268" s="55">
        <v>8000.0</v>
      </c>
      <c r="M268" s="25" t="s">
        <v>76</v>
      </c>
      <c r="N268" s="26"/>
      <c r="O268" s="27">
        <f t="shared" si="33"/>
        <v>0.5506881179</v>
      </c>
      <c r="P268" s="28">
        <f t="shared" si="35"/>
        <v>0</v>
      </c>
    </row>
    <row r="269" hidden="1">
      <c r="A269" s="16" t="s">
        <v>459</v>
      </c>
      <c r="B269" s="17" t="s">
        <v>460</v>
      </c>
      <c r="C269" s="18"/>
      <c r="D269" s="4"/>
      <c r="E269" s="19">
        <v>0.0</v>
      </c>
      <c r="F269" s="77">
        <v>0.0</v>
      </c>
      <c r="G269" s="20" t="s">
        <v>78</v>
      </c>
      <c r="H269" s="21">
        <v>6.0</v>
      </c>
      <c r="I269" s="22">
        <v>23.0</v>
      </c>
      <c r="J269" s="23"/>
      <c r="K269" s="55">
        <v>14703.0</v>
      </c>
      <c r="L269" s="55">
        <v>22000.0</v>
      </c>
      <c r="M269" s="25" t="s">
        <v>76</v>
      </c>
      <c r="N269" s="26"/>
      <c r="O269" s="27">
        <f t="shared" si="33"/>
        <v>0.4962932735</v>
      </c>
      <c r="P269" s="28">
        <f t="shared" si="35"/>
        <v>0</v>
      </c>
    </row>
    <row r="270" hidden="1">
      <c r="A270" s="52" t="s">
        <v>461</v>
      </c>
      <c r="B270" s="17"/>
      <c r="C270" s="18"/>
      <c r="D270" s="4"/>
      <c r="E270" s="19">
        <v>0.0</v>
      </c>
      <c r="F270" s="19">
        <v>0.0</v>
      </c>
      <c r="G270" s="16" t="s">
        <v>462</v>
      </c>
      <c r="H270" s="21"/>
      <c r="I270" s="22">
        <v>0.0</v>
      </c>
      <c r="J270" s="29"/>
      <c r="K270" s="43">
        <v>116323.0</v>
      </c>
      <c r="L270" s="44">
        <v>154000.0</v>
      </c>
      <c r="M270" s="25"/>
      <c r="N270" s="70"/>
      <c r="O270" s="27">
        <f t="shared" si="33"/>
        <v>0.3238998306</v>
      </c>
      <c r="P270" s="28">
        <f t="shared" si="35"/>
        <v>0</v>
      </c>
    </row>
    <row r="271" hidden="1">
      <c r="A271" s="16" t="s">
        <v>463</v>
      </c>
      <c r="B271" s="51"/>
      <c r="C271" s="18"/>
      <c r="D271" s="4"/>
      <c r="E271" s="19">
        <v>0.0</v>
      </c>
      <c r="F271" s="19">
        <v>0.0</v>
      </c>
      <c r="G271" s="16" t="s">
        <v>462</v>
      </c>
      <c r="H271" s="21"/>
      <c r="I271" s="22">
        <v>0.0</v>
      </c>
      <c r="J271" s="29"/>
      <c r="K271" s="43">
        <v>86500.0</v>
      </c>
      <c r="L271" s="44">
        <v>115000.0</v>
      </c>
      <c r="M271" s="25"/>
      <c r="N271" s="69"/>
      <c r="O271" s="27">
        <f t="shared" si="33"/>
        <v>0.3294797688</v>
      </c>
      <c r="P271" s="28">
        <f t="shared" si="35"/>
        <v>0</v>
      </c>
    </row>
    <row r="272" hidden="1">
      <c r="A272" s="16" t="s">
        <v>464</v>
      </c>
      <c r="B272" s="49"/>
      <c r="C272" s="18">
        <f>K268*50</f>
        <v>257950</v>
      </c>
      <c r="D272" s="4"/>
      <c r="E272" s="19">
        <v>0.0</v>
      </c>
      <c r="F272" s="19">
        <v>0.0</v>
      </c>
      <c r="G272" s="16" t="s">
        <v>465</v>
      </c>
      <c r="H272" s="21"/>
      <c r="I272" s="22">
        <v>0.0</v>
      </c>
      <c r="J272" s="29"/>
      <c r="K272" s="48">
        <v>5800.0</v>
      </c>
      <c r="L272" s="55">
        <v>8000.0</v>
      </c>
      <c r="M272" s="25"/>
      <c r="N272" s="69"/>
      <c r="O272" s="27">
        <f t="shared" si="33"/>
        <v>0.3793103448</v>
      </c>
      <c r="P272" s="28">
        <f t="shared" si="35"/>
        <v>0</v>
      </c>
    </row>
    <row r="273" hidden="1">
      <c r="A273" s="16" t="s">
        <v>466</v>
      </c>
      <c r="B273" s="17"/>
      <c r="C273" s="18" t="s">
        <v>467</v>
      </c>
      <c r="D273" s="4"/>
      <c r="E273" s="19">
        <v>0.0</v>
      </c>
      <c r="F273" s="77">
        <v>0.0</v>
      </c>
      <c r="G273" s="20" t="s">
        <v>468</v>
      </c>
      <c r="H273" s="21">
        <v>4.0</v>
      </c>
      <c r="I273" s="22">
        <v>3.0</v>
      </c>
      <c r="J273" s="23"/>
      <c r="K273" s="24">
        <v>26891.0</v>
      </c>
      <c r="L273" s="24">
        <v>46000.0</v>
      </c>
      <c r="M273" s="25"/>
      <c r="N273" s="26"/>
      <c r="O273" s="27">
        <f t="shared" si="33"/>
        <v>0.7106094976</v>
      </c>
      <c r="P273" s="28">
        <f t="shared" si="35"/>
        <v>0</v>
      </c>
    </row>
    <row r="274" hidden="1">
      <c r="A274" s="16" t="s">
        <v>469</v>
      </c>
      <c r="B274" s="36"/>
      <c r="C274" s="18"/>
      <c r="D274" s="4"/>
      <c r="E274" s="19">
        <v>0.0</v>
      </c>
      <c r="F274" s="19">
        <v>0.0</v>
      </c>
      <c r="G274" s="16" t="s">
        <v>470</v>
      </c>
      <c r="H274" s="21"/>
      <c r="I274" s="22">
        <v>3.0</v>
      </c>
      <c r="J274" s="29"/>
      <c r="K274" s="48">
        <v>34990.0</v>
      </c>
      <c r="L274" s="55">
        <v>45000.0</v>
      </c>
      <c r="M274" s="25"/>
      <c r="N274" s="69"/>
      <c r="O274" s="27">
        <f t="shared" si="33"/>
        <v>0.2860817376</v>
      </c>
      <c r="P274" s="28">
        <f t="shared" si="35"/>
        <v>0</v>
      </c>
    </row>
    <row r="275" hidden="1">
      <c r="A275" s="16" t="s">
        <v>471</v>
      </c>
      <c r="B275" s="36" t="s">
        <v>472</v>
      </c>
      <c r="C275" s="18" t="s">
        <v>144</v>
      </c>
      <c r="D275" s="4">
        <v>17600.0</v>
      </c>
      <c r="E275" s="19">
        <v>0.0</v>
      </c>
      <c r="F275" s="19">
        <v>0.0</v>
      </c>
      <c r="G275" s="54" t="s">
        <v>473</v>
      </c>
      <c r="H275" s="21"/>
      <c r="I275" s="22"/>
      <c r="J275" s="29"/>
      <c r="K275" s="32">
        <v>21120.0</v>
      </c>
      <c r="L275" s="24">
        <v>38000.0</v>
      </c>
      <c r="M275" s="25" t="s">
        <v>76</v>
      </c>
      <c r="N275" s="26">
        <v>28000.0</v>
      </c>
      <c r="O275" s="27">
        <f t="shared" si="33"/>
        <v>0.7992424242</v>
      </c>
      <c r="P275" s="28">
        <f t="shared" si="35"/>
        <v>0</v>
      </c>
    </row>
    <row r="276" hidden="1">
      <c r="A276" s="16" t="s">
        <v>474</v>
      </c>
      <c r="B276" s="49"/>
      <c r="C276" s="18" t="s">
        <v>467</v>
      </c>
      <c r="D276" s="4"/>
      <c r="E276" s="19"/>
      <c r="F276" s="19"/>
      <c r="G276" s="20" t="s">
        <v>163</v>
      </c>
      <c r="H276" s="21">
        <v>0.0</v>
      </c>
      <c r="I276" s="22"/>
      <c r="J276" s="23"/>
      <c r="K276" s="95">
        <f>23100*1.19</f>
        <v>27489</v>
      </c>
      <c r="L276" s="55">
        <v>36000.0</v>
      </c>
      <c r="M276" s="25"/>
      <c r="N276" s="70">
        <v>32000.0</v>
      </c>
      <c r="O276" s="27">
        <f t="shared" si="33"/>
        <v>0.309614755</v>
      </c>
      <c r="P276" s="28">
        <f t="shared" si="35"/>
        <v>0</v>
      </c>
    </row>
    <row r="277" hidden="1">
      <c r="A277" s="16" t="s">
        <v>475</v>
      </c>
      <c r="B277" s="36"/>
      <c r="C277" s="18"/>
      <c r="D277" s="4"/>
      <c r="E277" s="19">
        <v>0.0</v>
      </c>
      <c r="F277" s="19">
        <v>0.0</v>
      </c>
      <c r="G277" s="16" t="s">
        <v>476</v>
      </c>
      <c r="H277" s="21"/>
      <c r="I277" s="22">
        <v>0.0</v>
      </c>
      <c r="J277" s="29"/>
      <c r="K277" s="48">
        <v>50800.0</v>
      </c>
      <c r="L277" s="55">
        <v>63600.0</v>
      </c>
      <c r="M277" s="25"/>
      <c r="N277" s="69"/>
      <c r="O277" s="27">
        <f t="shared" si="33"/>
        <v>0.2519685039</v>
      </c>
      <c r="P277" s="28">
        <f t="shared" si="35"/>
        <v>0</v>
      </c>
    </row>
    <row r="278" hidden="1">
      <c r="A278" s="16" t="s">
        <v>477</v>
      </c>
      <c r="B278" s="36" t="s">
        <v>478</v>
      </c>
      <c r="C278" s="18" t="s">
        <v>467</v>
      </c>
      <c r="D278" s="4"/>
      <c r="E278" s="19">
        <v>0.0</v>
      </c>
      <c r="F278" s="19">
        <v>0.0</v>
      </c>
      <c r="G278" s="16" t="s">
        <v>70</v>
      </c>
      <c r="H278" s="21"/>
      <c r="I278" s="22"/>
      <c r="J278" s="23"/>
      <c r="K278" s="55">
        <v>19200.0</v>
      </c>
      <c r="L278" s="55">
        <v>32000.0</v>
      </c>
      <c r="M278" s="25" t="s">
        <v>76</v>
      </c>
      <c r="N278" s="26">
        <v>25000.0</v>
      </c>
      <c r="O278" s="27">
        <f t="shared" si="33"/>
        <v>0.6666666667</v>
      </c>
      <c r="P278" s="28">
        <f t="shared" si="35"/>
        <v>0</v>
      </c>
    </row>
    <row r="279" hidden="1">
      <c r="A279" s="16" t="s">
        <v>479</v>
      </c>
      <c r="B279" s="17"/>
      <c r="C279" s="92"/>
      <c r="D279" s="4"/>
      <c r="E279" s="19">
        <v>0.0</v>
      </c>
      <c r="F279" s="19">
        <v>0.0</v>
      </c>
      <c r="G279" s="54" t="s">
        <v>63</v>
      </c>
      <c r="H279" s="21"/>
      <c r="I279" s="22">
        <v>2.0</v>
      </c>
      <c r="J279" s="47"/>
      <c r="K279" s="55">
        <f>70148/2</f>
        <v>35074</v>
      </c>
      <c r="L279" s="55">
        <v>55000.0</v>
      </c>
      <c r="M279" s="25" t="s">
        <v>82</v>
      </c>
      <c r="N279" s="26"/>
      <c r="O279" s="27">
        <f t="shared" si="33"/>
        <v>0.5681131322</v>
      </c>
      <c r="P279" s="28">
        <f t="shared" si="35"/>
        <v>0</v>
      </c>
    </row>
    <row r="280" hidden="1">
      <c r="A280" s="16" t="s">
        <v>480</v>
      </c>
      <c r="B280" s="17"/>
      <c r="C280" s="18"/>
      <c r="D280" s="4"/>
      <c r="E280" s="19">
        <v>0.0</v>
      </c>
      <c r="F280" s="19"/>
      <c r="G280" s="16" t="s">
        <v>57</v>
      </c>
      <c r="H280" s="21"/>
      <c r="I280" s="22"/>
      <c r="J280" s="29"/>
      <c r="K280" s="43">
        <v>59200.0</v>
      </c>
      <c r="L280" s="44">
        <v>75000.0</v>
      </c>
      <c r="M280" s="25"/>
      <c r="N280" s="69"/>
      <c r="O280" s="27">
        <f t="shared" si="33"/>
        <v>0.2668918919</v>
      </c>
      <c r="P280" s="28">
        <f t="shared" si="35"/>
        <v>0</v>
      </c>
    </row>
    <row r="281" hidden="1">
      <c r="A281" s="52" t="s">
        <v>481</v>
      </c>
      <c r="B281" s="17"/>
      <c r="C281" s="18"/>
      <c r="D281" s="4"/>
      <c r="E281" s="19">
        <v>0.0</v>
      </c>
      <c r="F281" s="19"/>
      <c r="G281" s="20" t="s">
        <v>482</v>
      </c>
      <c r="H281" s="21"/>
      <c r="I281" s="22"/>
      <c r="J281" s="29"/>
      <c r="K281" s="48">
        <f>3100*0.95*1.19</f>
        <v>3504.55</v>
      </c>
      <c r="L281" s="55">
        <v>7000.0</v>
      </c>
      <c r="M281" s="25"/>
      <c r="N281" s="70"/>
      <c r="O281" s="27">
        <f t="shared" si="33"/>
        <v>0.9974033756</v>
      </c>
      <c r="P281" s="28">
        <f t="shared" si="35"/>
        <v>0</v>
      </c>
    </row>
    <row r="282" hidden="1">
      <c r="A282" s="59" t="s">
        <v>483</v>
      </c>
      <c r="B282" s="97" t="s">
        <v>484</v>
      </c>
      <c r="C282" s="18"/>
      <c r="D282" s="98"/>
      <c r="E282" s="19">
        <v>0.0</v>
      </c>
      <c r="F282" s="128"/>
      <c r="G282" s="20" t="s">
        <v>485</v>
      </c>
      <c r="H282" s="21">
        <v>0.0</v>
      </c>
      <c r="I282" s="22"/>
      <c r="J282" s="29"/>
      <c r="K282" s="43">
        <v>1.0</v>
      </c>
      <c r="L282" s="43">
        <v>1.0</v>
      </c>
      <c r="M282" s="25"/>
      <c r="N282" s="26"/>
      <c r="O282" s="27">
        <f t="shared" si="33"/>
        <v>0</v>
      </c>
      <c r="P282" s="28">
        <f t="shared" si="35"/>
        <v>0</v>
      </c>
    </row>
    <row r="283" hidden="1">
      <c r="A283" s="59" t="s">
        <v>486</v>
      </c>
      <c r="B283" s="97" t="s">
        <v>484</v>
      </c>
      <c r="C283" s="18" t="s">
        <v>55</v>
      </c>
      <c r="D283" s="98"/>
      <c r="E283" s="19">
        <v>0.0</v>
      </c>
      <c r="F283" s="128"/>
      <c r="G283" s="20" t="s">
        <v>485</v>
      </c>
      <c r="H283" s="21">
        <v>0.0</v>
      </c>
      <c r="I283" s="22"/>
      <c r="J283" s="129"/>
      <c r="K283" s="130">
        <v>210000.0</v>
      </c>
      <c r="L283" s="43">
        <v>355000.0</v>
      </c>
      <c r="M283" s="25"/>
      <c r="N283" s="26"/>
      <c r="O283" s="27">
        <f t="shared" si="33"/>
        <v>0.6904761905</v>
      </c>
      <c r="P283" s="28">
        <f t="shared" si="35"/>
        <v>0</v>
      </c>
    </row>
    <row r="284" hidden="1">
      <c r="A284" s="59" t="s">
        <v>487</v>
      </c>
      <c r="B284" s="97" t="s">
        <v>484</v>
      </c>
      <c r="C284" s="18" t="s">
        <v>55</v>
      </c>
      <c r="D284" s="98"/>
      <c r="E284" s="19">
        <v>0.0</v>
      </c>
      <c r="F284" s="128"/>
      <c r="G284" s="20" t="s">
        <v>485</v>
      </c>
      <c r="H284" s="21">
        <v>0.0</v>
      </c>
      <c r="I284" s="22"/>
      <c r="J284" s="29"/>
      <c r="K284" s="43">
        <v>1.0</v>
      </c>
      <c r="L284" s="43">
        <v>1.0</v>
      </c>
      <c r="M284" s="25"/>
      <c r="N284" s="26"/>
      <c r="O284" s="27">
        <f t="shared" si="33"/>
        <v>0</v>
      </c>
      <c r="P284" s="28">
        <f t="shared" si="35"/>
        <v>0</v>
      </c>
    </row>
    <row r="285" hidden="1">
      <c r="A285" s="122" t="s">
        <v>488</v>
      </c>
      <c r="B285" s="17"/>
      <c r="C285" s="18"/>
      <c r="D285" s="4"/>
      <c r="E285" s="19">
        <v>0.0</v>
      </c>
      <c r="F285" s="19">
        <v>0.0</v>
      </c>
      <c r="G285" s="16" t="s">
        <v>437</v>
      </c>
      <c r="H285" s="21"/>
      <c r="I285" s="22">
        <v>0.0</v>
      </c>
      <c r="J285" s="29"/>
      <c r="K285" s="32">
        <v>2900.0</v>
      </c>
      <c r="L285" s="24">
        <v>9000.0</v>
      </c>
      <c r="M285" s="25"/>
      <c r="N285" s="70"/>
      <c r="O285" s="27">
        <f t="shared" si="33"/>
        <v>2.103448276</v>
      </c>
      <c r="P285" s="28">
        <f t="shared" si="35"/>
        <v>0</v>
      </c>
    </row>
    <row r="286" hidden="1">
      <c r="A286" s="122" t="s">
        <v>489</v>
      </c>
      <c r="B286" s="17"/>
      <c r="C286" s="18"/>
      <c r="D286" s="4"/>
      <c r="E286" s="19">
        <v>0.0</v>
      </c>
      <c r="F286" s="19">
        <v>0.0</v>
      </c>
      <c r="G286" s="16" t="s">
        <v>437</v>
      </c>
      <c r="H286" s="21"/>
      <c r="I286" s="22">
        <v>0.0</v>
      </c>
      <c r="J286" s="29"/>
      <c r="K286" s="32">
        <v>2900.0</v>
      </c>
      <c r="L286" s="24">
        <v>9000.0</v>
      </c>
      <c r="M286" s="25"/>
      <c r="N286" s="70"/>
      <c r="O286" s="27">
        <f t="shared" si="33"/>
        <v>2.103448276</v>
      </c>
      <c r="P286" s="28">
        <f t="shared" si="35"/>
        <v>0</v>
      </c>
    </row>
    <row r="287" hidden="1">
      <c r="A287" s="122" t="s">
        <v>490</v>
      </c>
      <c r="B287" s="17"/>
      <c r="C287" s="18"/>
      <c r="D287" s="4"/>
      <c r="E287" s="19">
        <v>0.0</v>
      </c>
      <c r="F287" s="19">
        <v>0.0</v>
      </c>
      <c r="G287" s="16" t="s">
        <v>437</v>
      </c>
      <c r="H287" s="21"/>
      <c r="I287" s="22">
        <v>0.0</v>
      </c>
      <c r="J287" s="29"/>
      <c r="K287" s="32">
        <v>2900.0</v>
      </c>
      <c r="L287" s="24">
        <v>9000.0</v>
      </c>
      <c r="M287" s="25"/>
      <c r="N287" s="70"/>
      <c r="O287" s="27">
        <f t="shared" si="33"/>
        <v>2.103448276</v>
      </c>
      <c r="P287" s="28">
        <f t="shared" si="35"/>
        <v>0</v>
      </c>
    </row>
    <row r="288" hidden="1">
      <c r="A288" s="122" t="s">
        <v>491</v>
      </c>
      <c r="B288" s="131" t="s">
        <v>492</v>
      </c>
      <c r="C288" s="18"/>
      <c r="D288" s="4"/>
      <c r="E288" s="19">
        <v>0.0</v>
      </c>
      <c r="F288" s="62">
        <v>0.0</v>
      </c>
      <c r="G288" s="16" t="s">
        <v>493</v>
      </c>
      <c r="H288" s="21"/>
      <c r="I288" s="22">
        <f>70+160</f>
        <v>230</v>
      </c>
      <c r="J288" s="29"/>
      <c r="K288" s="48">
        <v>2900.0</v>
      </c>
      <c r="L288" s="55">
        <v>9000.0</v>
      </c>
      <c r="M288" s="25"/>
      <c r="N288" s="70">
        <v>7000.0</v>
      </c>
      <c r="O288" s="27">
        <f t="shared" si="33"/>
        <v>2.103448276</v>
      </c>
      <c r="P288" s="28" t="str">
        <f t="shared" ref="P288:P289" si="36">K288*#REF!</f>
        <v>#REF!</v>
      </c>
    </row>
    <row r="289" hidden="1">
      <c r="A289" s="122" t="s">
        <v>494</v>
      </c>
      <c r="B289" s="17"/>
      <c r="C289" s="18"/>
      <c r="D289" s="4"/>
      <c r="E289" s="19">
        <v>0.0</v>
      </c>
      <c r="F289" s="19">
        <v>0.0</v>
      </c>
      <c r="G289" s="16" t="s">
        <v>437</v>
      </c>
      <c r="H289" s="21"/>
      <c r="I289" s="22">
        <v>10.0</v>
      </c>
      <c r="J289" s="29"/>
      <c r="K289" s="32">
        <v>3500.0</v>
      </c>
      <c r="L289" s="24">
        <v>9000.0</v>
      </c>
      <c r="M289" s="25"/>
      <c r="N289" s="70"/>
      <c r="O289" s="27">
        <f t="shared" si="33"/>
        <v>1.571428571</v>
      </c>
      <c r="P289" s="28" t="str">
        <f t="shared" si="36"/>
        <v>#REF!</v>
      </c>
    </row>
    <row r="290" hidden="1">
      <c r="A290" s="122" t="s">
        <v>495</v>
      </c>
      <c r="B290" s="17"/>
      <c r="C290" s="18"/>
      <c r="D290" s="132"/>
      <c r="E290" s="19">
        <v>0.0</v>
      </c>
      <c r="F290" s="19">
        <v>0.0</v>
      </c>
      <c r="G290" s="16" t="s">
        <v>437</v>
      </c>
      <c r="H290" s="21"/>
      <c r="I290" s="22">
        <v>0.0</v>
      </c>
      <c r="J290" s="29"/>
      <c r="K290" s="32">
        <v>3500.0</v>
      </c>
      <c r="L290" s="24">
        <v>8000.0</v>
      </c>
      <c r="M290" s="25"/>
      <c r="N290" s="70"/>
      <c r="O290" s="27">
        <f t="shared" si="33"/>
        <v>1.285714286</v>
      </c>
      <c r="P290" s="28">
        <f t="shared" ref="P290:P294" si="37">K290*F290</f>
        <v>0</v>
      </c>
    </row>
    <row r="291" hidden="1">
      <c r="A291" s="133" t="s">
        <v>496</v>
      </c>
      <c r="B291" s="134"/>
      <c r="C291" s="18"/>
      <c r="D291" s="4"/>
      <c r="E291" s="19">
        <v>0.0</v>
      </c>
      <c r="F291" s="19">
        <v>0.0</v>
      </c>
      <c r="G291" s="20" t="s">
        <v>497</v>
      </c>
      <c r="H291" s="21"/>
      <c r="I291" s="22">
        <v>0.0</v>
      </c>
      <c r="J291" s="23"/>
      <c r="K291" s="44">
        <f>26436/10</f>
        <v>2643.6</v>
      </c>
      <c r="L291" s="44">
        <v>9000.0</v>
      </c>
      <c r="M291" s="25"/>
      <c r="N291" s="63"/>
      <c r="O291" s="27">
        <f t="shared" si="33"/>
        <v>2.404448479</v>
      </c>
      <c r="P291" s="28">
        <f t="shared" si="37"/>
        <v>0</v>
      </c>
    </row>
    <row r="292" hidden="1">
      <c r="A292" s="122" t="s">
        <v>498</v>
      </c>
      <c r="B292" s="17"/>
      <c r="C292" s="18"/>
      <c r="D292" s="4"/>
      <c r="E292" s="19">
        <v>0.0</v>
      </c>
      <c r="F292" s="19">
        <v>0.0</v>
      </c>
      <c r="G292" s="16" t="s">
        <v>437</v>
      </c>
      <c r="H292" s="21"/>
      <c r="I292" s="22">
        <v>8.0</v>
      </c>
      <c r="J292" s="29"/>
      <c r="K292" s="32">
        <v>5000.0</v>
      </c>
      <c r="L292" s="24">
        <v>9000.0</v>
      </c>
      <c r="M292" s="25"/>
      <c r="N292" s="70"/>
      <c r="O292" s="27">
        <f t="shared" si="33"/>
        <v>0.8</v>
      </c>
      <c r="P292" s="28">
        <f t="shared" si="37"/>
        <v>0</v>
      </c>
    </row>
    <row r="293" hidden="1">
      <c r="A293" s="122" t="s">
        <v>499</v>
      </c>
      <c r="B293" s="17"/>
      <c r="C293" s="18"/>
      <c r="D293" s="132"/>
      <c r="E293" s="19">
        <v>0.0</v>
      </c>
      <c r="F293" s="19">
        <v>0.0</v>
      </c>
      <c r="G293" s="16" t="s">
        <v>437</v>
      </c>
      <c r="H293" s="21"/>
      <c r="I293" s="22">
        <v>0.0</v>
      </c>
      <c r="J293" s="29"/>
      <c r="K293" s="32">
        <v>5000.0</v>
      </c>
      <c r="L293" s="24">
        <v>9000.0</v>
      </c>
      <c r="M293" s="25"/>
      <c r="N293" s="70"/>
      <c r="O293" s="27">
        <f t="shared" si="33"/>
        <v>0.8</v>
      </c>
      <c r="P293" s="28">
        <f t="shared" si="37"/>
        <v>0</v>
      </c>
    </row>
    <row r="294" hidden="1">
      <c r="A294" s="16" t="s">
        <v>500</v>
      </c>
      <c r="B294" s="49"/>
      <c r="C294" s="18"/>
      <c r="D294" s="4"/>
      <c r="E294" s="19"/>
      <c r="F294" s="19"/>
      <c r="G294" s="40" t="s">
        <v>98</v>
      </c>
      <c r="H294" s="21">
        <v>0.0</v>
      </c>
      <c r="I294" s="22"/>
      <c r="J294" s="29"/>
      <c r="K294" s="48">
        <v>120.0</v>
      </c>
      <c r="L294" s="55">
        <v>200.0</v>
      </c>
      <c r="M294" s="25"/>
      <c r="N294" s="26"/>
      <c r="O294" s="27">
        <f t="shared" si="33"/>
        <v>0.6666666667</v>
      </c>
      <c r="P294" s="28">
        <f t="shared" si="37"/>
        <v>0</v>
      </c>
    </row>
    <row r="295" hidden="1">
      <c r="A295" s="16" t="s">
        <v>501</v>
      </c>
      <c r="B295" s="17"/>
      <c r="C295" s="18"/>
      <c r="D295" s="4"/>
      <c r="E295" s="19"/>
      <c r="F295" s="19"/>
      <c r="G295" s="16" t="s">
        <v>229</v>
      </c>
      <c r="H295" s="21"/>
      <c r="I295" s="22"/>
      <c r="J295" s="29"/>
      <c r="K295" s="48">
        <f>785085/144</f>
        <v>5451.979167</v>
      </c>
      <c r="L295" s="55">
        <v>9000.0</v>
      </c>
      <c r="M295" s="25"/>
      <c r="N295" s="50">
        <v>7500.0</v>
      </c>
      <c r="O295" s="27">
        <f t="shared" si="33"/>
        <v>0.6507766675</v>
      </c>
      <c r="P295" s="28"/>
    </row>
    <row r="296" hidden="1">
      <c r="A296" s="42" t="s">
        <v>502</v>
      </c>
      <c r="B296" s="71"/>
      <c r="C296" s="18"/>
      <c r="D296" s="4"/>
      <c r="E296" s="19">
        <v>0.0</v>
      </c>
      <c r="F296" s="19"/>
      <c r="G296" s="16" t="s">
        <v>503</v>
      </c>
      <c r="H296" s="21"/>
      <c r="I296" s="22"/>
      <c r="J296" s="29"/>
      <c r="K296" s="32">
        <v>3200.0</v>
      </c>
      <c r="L296" s="24">
        <v>6000.0</v>
      </c>
      <c r="M296" s="25"/>
      <c r="N296" s="26"/>
      <c r="O296" s="27">
        <f t="shared" si="33"/>
        <v>0.875</v>
      </c>
      <c r="P296" s="28">
        <f t="shared" ref="P296:P297" si="38">K296*F296</f>
        <v>0</v>
      </c>
    </row>
    <row r="297" hidden="1">
      <c r="A297" s="42" t="s">
        <v>504</v>
      </c>
      <c r="B297" s="71"/>
      <c r="C297" s="18"/>
      <c r="D297" s="4"/>
      <c r="E297" s="19">
        <v>0.0</v>
      </c>
      <c r="F297" s="19">
        <v>0.0</v>
      </c>
      <c r="G297" s="16" t="s">
        <v>341</v>
      </c>
      <c r="H297" s="21"/>
      <c r="I297" s="22">
        <v>7.0</v>
      </c>
      <c r="J297" s="29"/>
      <c r="K297" s="32">
        <f>3200/25</f>
        <v>128</v>
      </c>
      <c r="L297" s="24">
        <v>1000.0</v>
      </c>
      <c r="M297" s="25"/>
      <c r="N297" s="69"/>
      <c r="O297" s="27">
        <f t="shared" si="33"/>
        <v>6.8125</v>
      </c>
      <c r="P297" s="28">
        <f t="shared" si="38"/>
        <v>0</v>
      </c>
    </row>
    <row r="298" hidden="1">
      <c r="A298" s="16" t="s">
        <v>505</v>
      </c>
      <c r="B298" s="36"/>
      <c r="C298" s="18"/>
      <c r="D298" s="4"/>
      <c r="E298" s="19">
        <v>1.0</v>
      </c>
      <c r="F298" s="19"/>
      <c r="G298" s="16" t="s">
        <v>93</v>
      </c>
      <c r="H298" s="21"/>
      <c r="I298" s="22"/>
      <c r="J298" s="29"/>
      <c r="K298" s="48">
        <v>300380.0</v>
      </c>
      <c r="L298" s="55">
        <v>375500.0</v>
      </c>
      <c r="M298" s="25"/>
      <c r="N298" s="69"/>
      <c r="O298" s="27"/>
      <c r="P298" s="28"/>
    </row>
    <row r="299" hidden="1">
      <c r="A299" s="16" t="s">
        <v>506</v>
      </c>
      <c r="B299" s="36"/>
      <c r="C299" s="18"/>
      <c r="D299" s="4"/>
      <c r="E299" s="19">
        <v>5.0</v>
      </c>
      <c r="F299" s="19">
        <v>0.0</v>
      </c>
      <c r="G299" s="16" t="s">
        <v>281</v>
      </c>
      <c r="H299" s="21"/>
      <c r="I299" s="22">
        <v>2.0</v>
      </c>
      <c r="J299" s="29"/>
      <c r="K299" s="48">
        <v>91700.0</v>
      </c>
      <c r="L299" s="55">
        <v>114700.0</v>
      </c>
      <c r="M299" s="25" t="s">
        <v>82</v>
      </c>
      <c r="N299" s="69"/>
      <c r="O299" s="27">
        <f t="shared" ref="O299:O337" si="39">(L299/K299)-1</f>
        <v>0.2508178844</v>
      </c>
      <c r="P299" s="28">
        <f t="shared" ref="P299:P337" si="40">K299*F299</f>
        <v>0</v>
      </c>
    </row>
    <row r="300" hidden="1">
      <c r="A300" s="16" t="s">
        <v>507</v>
      </c>
      <c r="B300" s="36"/>
      <c r="C300" s="18"/>
      <c r="D300" s="4"/>
      <c r="E300" s="19">
        <v>0.0</v>
      </c>
      <c r="F300" s="19">
        <v>0.0</v>
      </c>
      <c r="G300" s="16" t="s">
        <v>281</v>
      </c>
      <c r="H300" s="21"/>
      <c r="I300" s="22">
        <v>0.0</v>
      </c>
      <c r="J300" s="29"/>
      <c r="K300" s="48">
        <v>79000.0</v>
      </c>
      <c r="L300" s="55">
        <v>98750.0</v>
      </c>
      <c r="M300" s="25" t="s">
        <v>82</v>
      </c>
      <c r="N300" s="69"/>
      <c r="O300" s="27">
        <f t="shared" si="39"/>
        <v>0.25</v>
      </c>
      <c r="P300" s="28">
        <f t="shared" si="40"/>
        <v>0</v>
      </c>
    </row>
    <row r="301" hidden="1">
      <c r="A301" s="42" t="s">
        <v>508</v>
      </c>
      <c r="B301" s="114" t="s">
        <v>509</v>
      </c>
      <c r="C301" s="18" t="s">
        <v>144</v>
      </c>
      <c r="D301" s="4">
        <v>60432.0</v>
      </c>
      <c r="E301" s="19">
        <v>0.0</v>
      </c>
      <c r="F301" s="19">
        <v>0.0</v>
      </c>
      <c r="G301" s="40" t="s">
        <v>93</v>
      </c>
      <c r="H301" s="21"/>
      <c r="I301" s="22">
        <v>20.0</v>
      </c>
      <c r="J301" s="23"/>
      <c r="K301" s="55">
        <v>57410.0</v>
      </c>
      <c r="L301" s="55">
        <v>72000.0</v>
      </c>
      <c r="M301" s="25">
        <v>0.0</v>
      </c>
      <c r="N301" s="26">
        <v>62000.0</v>
      </c>
      <c r="O301" s="27">
        <f t="shared" si="39"/>
        <v>0.2541369099</v>
      </c>
      <c r="P301" s="28">
        <f t="shared" si="40"/>
        <v>0</v>
      </c>
    </row>
    <row r="302" hidden="1">
      <c r="A302" s="16" t="s">
        <v>510</v>
      </c>
      <c r="B302" s="51" t="s">
        <v>511</v>
      </c>
      <c r="C302" s="38"/>
      <c r="D302" s="61"/>
      <c r="E302" s="19"/>
      <c r="F302" s="62"/>
      <c r="G302" s="16" t="s">
        <v>91</v>
      </c>
      <c r="H302" s="21"/>
      <c r="I302" s="22">
        <v>3.0</v>
      </c>
      <c r="J302" s="29"/>
      <c r="K302" s="48">
        <v>224000.0</v>
      </c>
      <c r="L302" s="55">
        <v>290000.0</v>
      </c>
      <c r="M302" s="25"/>
      <c r="N302" s="26"/>
      <c r="O302" s="27">
        <f t="shared" si="39"/>
        <v>0.2946428571</v>
      </c>
      <c r="P302" s="28">
        <f t="shared" si="40"/>
        <v>0</v>
      </c>
    </row>
    <row r="303" hidden="1">
      <c r="A303" s="52" t="s">
        <v>512</v>
      </c>
      <c r="B303" s="17"/>
      <c r="C303" s="18"/>
      <c r="D303" s="4"/>
      <c r="E303" s="19">
        <v>0.0</v>
      </c>
      <c r="F303" s="19">
        <v>0.0</v>
      </c>
      <c r="G303" s="20" t="s">
        <v>513</v>
      </c>
      <c r="H303" s="21"/>
      <c r="I303" s="22">
        <v>0.0</v>
      </c>
      <c r="J303" s="29"/>
      <c r="K303" s="43">
        <v>2400.0</v>
      </c>
      <c r="L303" s="44">
        <v>4500.0</v>
      </c>
      <c r="M303" s="25"/>
      <c r="N303" s="69"/>
      <c r="O303" s="27">
        <f t="shared" si="39"/>
        <v>0.875</v>
      </c>
      <c r="P303" s="28">
        <f t="shared" si="40"/>
        <v>0</v>
      </c>
    </row>
    <row r="304" hidden="1">
      <c r="A304" s="119" t="s">
        <v>514</v>
      </c>
      <c r="B304" s="36" t="s">
        <v>515</v>
      </c>
      <c r="C304" s="18"/>
      <c r="D304" s="4"/>
      <c r="E304" s="19">
        <v>0.0</v>
      </c>
      <c r="F304" s="19"/>
      <c r="G304" s="16" t="s">
        <v>516</v>
      </c>
      <c r="H304" s="21"/>
      <c r="I304" s="22"/>
      <c r="J304" s="29"/>
      <c r="K304" s="48">
        <f>26700/1000</f>
        <v>26.7</v>
      </c>
      <c r="L304" s="44">
        <v>500.0</v>
      </c>
      <c r="M304" s="25"/>
      <c r="N304" s="70"/>
      <c r="O304" s="27">
        <f t="shared" si="39"/>
        <v>17.72659176</v>
      </c>
      <c r="P304" s="28">
        <f t="shared" si="40"/>
        <v>0</v>
      </c>
    </row>
    <row r="305" hidden="1">
      <c r="A305" s="119" t="s">
        <v>517</v>
      </c>
      <c r="B305" s="36" t="s">
        <v>515</v>
      </c>
      <c r="C305" s="18"/>
      <c r="D305" s="4"/>
      <c r="E305" s="19">
        <v>0.0</v>
      </c>
      <c r="F305" s="19"/>
      <c r="G305" s="16" t="s">
        <v>516</v>
      </c>
      <c r="H305" s="21"/>
      <c r="I305" s="22"/>
      <c r="J305" s="29"/>
      <c r="K305" s="48">
        <f>5700/100</f>
        <v>57</v>
      </c>
      <c r="L305" s="44">
        <v>500.0</v>
      </c>
      <c r="M305" s="25"/>
      <c r="N305" s="70"/>
      <c r="O305" s="27">
        <f t="shared" si="39"/>
        <v>7.771929825</v>
      </c>
      <c r="P305" s="28">
        <f t="shared" si="40"/>
        <v>0</v>
      </c>
    </row>
    <row r="306" hidden="1">
      <c r="A306" s="119" t="s">
        <v>518</v>
      </c>
      <c r="B306" s="36" t="s">
        <v>515</v>
      </c>
      <c r="C306" s="18"/>
      <c r="D306" s="4"/>
      <c r="E306" s="19">
        <v>0.0</v>
      </c>
      <c r="F306" s="19"/>
      <c r="G306" s="16" t="s">
        <v>516</v>
      </c>
      <c r="H306" s="21"/>
      <c r="I306" s="22"/>
      <c r="J306" s="29"/>
      <c r="K306" s="48">
        <f>7200/100</f>
        <v>72</v>
      </c>
      <c r="L306" s="44">
        <v>100.0</v>
      </c>
      <c r="M306" s="25"/>
      <c r="N306" s="70"/>
      <c r="O306" s="27">
        <f t="shared" si="39"/>
        <v>0.3888888889</v>
      </c>
      <c r="P306" s="28">
        <f t="shared" si="40"/>
        <v>0</v>
      </c>
    </row>
    <row r="307" hidden="1">
      <c r="A307" s="119" t="s">
        <v>519</v>
      </c>
      <c r="B307" s="36" t="s">
        <v>515</v>
      </c>
      <c r="C307" s="18"/>
      <c r="D307" s="4"/>
      <c r="E307" s="19">
        <v>0.0</v>
      </c>
      <c r="F307" s="19"/>
      <c r="G307" s="16" t="s">
        <v>516</v>
      </c>
      <c r="H307" s="21"/>
      <c r="I307" s="22"/>
      <c r="J307" s="29"/>
      <c r="K307" s="48">
        <f>11200/100</f>
        <v>112</v>
      </c>
      <c r="L307" s="44">
        <v>200.0</v>
      </c>
      <c r="M307" s="25"/>
      <c r="N307" s="69"/>
      <c r="O307" s="27">
        <f t="shared" si="39"/>
        <v>0.7857142857</v>
      </c>
      <c r="P307" s="28">
        <f t="shared" si="40"/>
        <v>0</v>
      </c>
    </row>
    <row r="308" hidden="1">
      <c r="A308" s="16" t="s">
        <v>520</v>
      </c>
      <c r="B308" s="36" t="s">
        <v>521</v>
      </c>
      <c r="C308" s="18"/>
      <c r="D308" s="4"/>
      <c r="E308" s="19">
        <v>3.0</v>
      </c>
      <c r="F308" s="19">
        <v>5.0</v>
      </c>
      <c r="G308" s="16" t="s">
        <v>516</v>
      </c>
      <c r="H308" s="21"/>
      <c r="I308" s="22"/>
      <c r="J308" s="29"/>
      <c r="K308" s="43">
        <f>8000/100</f>
        <v>80</v>
      </c>
      <c r="L308" s="44">
        <v>200.0</v>
      </c>
      <c r="M308" s="25"/>
      <c r="N308" s="50"/>
      <c r="O308" s="27">
        <f t="shared" si="39"/>
        <v>1.5</v>
      </c>
      <c r="P308" s="28">
        <f t="shared" si="40"/>
        <v>400</v>
      </c>
    </row>
    <row r="309" hidden="1">
      <c r="A309" s="16" t="s">
        <v>522</v>
      </c>
      <c r="B309" s="36" t="s">
        <v>515</v>
      </c>
      <c r="C309" s="18"/>
      <c r="D309" s="4"/>
      <c r="E309" s="19">
        <v>0.0</v>
      </c>
      <c r="F309" s="19"/>
      <c r="G309" s="16" t="s">
        <v>516</v>
      </c>
      <c r="H309" s="21"/>
      <c r="I309" s="22"/>
      <c r="J309" s="29"/>
      <c r="K309" s="48">
        <f>9600/100</f>
        <v>96</v>
      </c>
      <c r="L309" s="44">
        <v>200.0</v>
      </c>
      <c r="M309" s="25"/>
      <c r="N309" s="50"/>
      <c r="O309" s="27">
        <f t="shared" si="39"/>
        <v>1.083333333</v>
      </c>
      <c r="P309" s="28">
        <f t="shared" si="40"/>
        <v>0</v>
      </c>
    </row>
    <row r="310" hidden="1">
      <c r="A310" s="54" t="s">
        <v>523</v>
      </c>
      <c r="B310" s="36" t="s">
        <v>515</v>
      </c>
      <c r="C310" s="18"/>
      <c r="D310" s="4" t="s">
        <v>524</v>
      </c>
      <c r="E310" s="19">
        <v>4.0</v>
      </c>
      <c r="F310" s="19">
        <v>0.0</v>
      </c>
      <c r="G310" s="16" t="s">
        <v>516</v>
      </c>
      <c r="H310" s="21">
        <v>0.0</v>
      </c>
      <c r="I310" s="22">
        <v>0.0</v>
      </c>
      <c r="J310" s="29"/>
      <c r="K310" s="48">
        <f>5800/100</f>
        <v>58</v>
      </c>
      <c r="L310" s="44">
        <v>100.0</v>
      </c>
      <c r="M310" s="25"/>
      <c r="N310" s="70"/>
      <c r="O310" s="27">
        <f t="shared" si="39"/>
        <v>0.724137931</v>
      </c>
      <c r="P310" s="28">
        <f t="shared" si="40"/>
        <v>0</v>
      </c>
    </row>
    <row r="311" hidden="1">
      <c r="A311" s="16" t="s">
        <v>525</v>
      </c>
      <c r="B311" s="36" t="s">
        <v>515</v>
      </c>
      <c r="C311" s="18"/>
      <c r="D311" s="4"/>
      <c r="E311" s="19">
        <v>0.0</v>
      </c>
      <c r="F311" s="19">
        <v>0.0</v>
      </c>
      <c r="G311" s="16" t="s">
        <v>516</v>
      </c>
      <c r="H311" s="21">
        <v>0.0</v>
      </c>
      <c r="I311" s="22">
        <v>0.0</v>
      </c>
      <c r="J311" s="29"/>
      <c r="K311" s="48">
        <f>7500/100</f>
        <v>75</v>
      </c>
      <c r="L311" s="44">
        <v>300.0</v>
      </c>
      <c r="M311" s="25"/>
      <c r="N311" s="70"/>
      <c r="O311" s="27">
        <f t="shared" si="39"/>
        <v>3</v>
      </c>
      <c r="P311" s="28">
        <f t="shared" si="40"/>
        <v>0</v>
      </c>
    </row>
    <row r="312" hidden="1">
      <c r="A312" s="16" t="s">
        <v>526</v>
      </c>
      <c r="B312" s="36"/>
      <c r="C312" s="18"/>
      <c r="D312" s="4" t="s">
        <v>527</v>
      </c>
      <c r="E312" s="19">
        <v>0.0</v>
      </c>
      <c r="F312" s="19">
        <v>0.0</v>
      </c>
      <c r="G312" s="16" t="s">
        <v>516</v>
      </c>
      <c r="H312" s="21">
        <v>0.0</v>
      </c>
      <c r="I312" s="22">
        <v>0.0</v>
      </c>
      <c r="J312" s="29"/>
      <c r="K312" s="43">
        <f>9000/100</f>
        <v>90</v>
      </c>
      <c r="L312" s="44">
        <v>300.0</v>
      </c>
      <c r="M312" s="25"/>
      <c r="N312" s="69"/>
      <c r="O312" s="27">
        <f t="shared" si="39"/>
        <v>2.333333333</v>
      </c>
      <c r="P312" s="28">
        <f t="shared" si="40"/>
        <v>0</v>
      </c>
    </row>
    <row r="313" hidden="1">
      <c r="A313" s="16" t="s">
        <v>528</v>
      </c>
      <c r="B313" s="36"/>
      <c r="C313" s="18"/>
      <c r="D313" s="4" t="s">
        <v>527</v>
      </c>
      <c r="E313" s="19">
        <v>0.0</v>
      </c>
      <c r="F313" s="19">
        <v>0.0</v>
      </c>
      <c r="G313" s="16" t="s">
        <v>516</v>
      </c>
      <c r="H313" s="21">
        <v>0.0</v>
      </c>
      <c r="I313" s="22">
        <v>0.0</v>
      </c>
      <c r="J313" s="22"/>
      <c r="K313" s="43">
        <f>10000/100</f>
        <v>100</v>
      </c>
      <c r="L313" s="44">
        <v>500.0</v>
      </c>
      <c r="M313" s="25"/>
      <c r="N313" s="69"/>
      <c r="O313" s="27">
        <f t="shared" si="39"/>
        <v>4</v>
      </c>
      <c r="P313" s="28">
        <f t="shared" si="40"/>
        <v>0</v>
      </c>
    </row>
    <row r="314" hidden="1">
      <c r="A314" s="16" t="s">
        <v>529</v>
      </c>
      <c r="B314" s="36" t="s">
        <v>515</v>
      </c>
      <c r="C314" s="18"/>
      <c r="D314" s="4"/>
      <c r="E314" s="19">
        <v>0.0</v>
      </c>
      <c r="F314" s="19">
        <v>0.0</v>
      </c>
      <c r="G314" s="16" t="s">
        <v>516</v>
      </c>
      <c r="H314" s="21">
        <v>0.0</v>
      </c>
      <c r="I314" s="22">
        <v>0.0</v>
      </c>
      <c r="J314" s="29"/>
      <c r="K314" s="48">
        <f>2800/100</f>
        <v>28</v>
      </c>
      <c r="L314" s="44">
        <v>100.0</v>
      </c>
      <c r="M314" s="25"/>
      <c r="N314" s="70"/>
      <c r="O314" s="27">
        <f t="shared" si="39"/>
        <v>2.571428571</v>
      </c>
      <c r="P314" s="28">
        <f t="shared" si="40"/>
        <v>0</v>
      </c>
    </row>
    <row r="315" hidden="1">
      <c r="A315" s="16" t="s">
        <v>530</v>
      </c>
      <c r="B315" s="36" t="s">
        <v>515</v>
      </c>
      <c r="C315" s="18"/>
      <c r="D315" s="4"/>
      <c r="E315" s="19">
        <v>0.0</v>
      </c>
      <c r="F315" s="19">
        <v>0.0</v>
      </c>
      <c r="G315" s="16" t="s">
        <v>516</v>
      </c>
      <c r="H315" s="21">
        <v>0.0</v>
      </c>
      <c r="I315" s="22">
        <v>0.0</v>
      </c>
      <c r="J315" s="29"/>
      <c r="K315" s="48">
        <f>3900/100</f>
        <v>39</v>
      </c>
      <c r="L315" s="44">
        <v>200.0</v>
      </c>
      <c r="M315" s="25"/>
      <c r="N315" s="70"/>
      <c r="O315" s="27">
        <f t="shared" si="39"/>
        <v>4.128205128</v>
      </c>
      <c r="P315" s="28">
        <f t="shared" si="40"/>
        <v>0</v>
      </c>
    </row>
    <row r="316" hidden="1">
      <c r="A316" s="16" t="s">
        <v>531</v>
      </c>
      <c r="B316" s="17" t="s">
        <v>532</v>
      </c>
      <c r="C316" s="18"/>
      <c r="D316" s="4"/>
      <c r="E316" s="19">
        <v>0.0</v>
      </c>
      <c r="F316" s="19">
        <v>0.0</v>
      </c>
      <c r="G316" s="16" t="s">
        <v>533</v>
      </c>
      <c r="H316" s="21"/>
      <c r="I316" s="22"/>
      <c r="J316" s="58">
        <v>46661.0</v>
      </c>
      <c r="K316" s="32">
        <v>6500.0</v>
      </c>
      <c r="L316" s="24">
        <v>20000.0</v>
      </c>
      <c r="M316" s="25"/>
      <c r="N316" s="70"/>
      <c r="O316" s="27">
        <f t="shared" si="39"/>
        <v>2.076923077</v>
      </c>
      <c r="P316" s="28">
        <f t="shared" si="40"/>
        <v>0</v>
      </c>
    </row>
    <row r="317" hidden="1">
      <c r="A317" s="16" t="s">
        <v>534</v>
      </c>
      <c r="B317" s="17"/>
      <c r="C317" s="18"/>
      <c r="D317" s="4"/>
      <c r="E317" s="19">
        <v>0.0</v>
      </c>
      <c r="F317" s="19"/>
      <c r="G317" s="16" t="s">
        <v>535</v>
      </c>
      <c r="H317" s="21"/>
      <c r="I317" s="22"/>
      <c r="J317" s="58">
        <v>46661.0</v>
      </c>
      <c r="K317" s="32">
        <v>10500.0</v>
      </c>
      <c r="L317" s="24">
        <v>22000.0</v>
      </c>
      <c r="M317" s="25"/>
      <c r="N317" s="70">
        <v>18000.0</v>
      </c>
      <c r="O317" s="27">
        <f t="shared" si="39"/>
        <v>1.095238095</v>
      </c>
      <c r="P317" s="28">
        <f t="shared" si="40"/>
        <v>0</v>
      </c>
    </row>
    <row r="318" hidden="1">
      <c r="A318" s="16" t="s">
        <v>536</v>
      </c>
      <c r="B318" s="17" t="s">
        <v>537</v>
      </c>
      <c r="C318" s="18"/>
      <c r="D318" s="4"/>
      <c r="E318" s="19">
        <v>0.0</v>
      </c>
      <c r="F318" s="19"/>
      <c r="G318" s="16" t="s">
        <v>535</v>
      </c>
      <c r="H318" s="21"/>
      <c r="I318" s="22"/>
      <c r="J318" s="29"/>
      <c r="K318" s="32">
        <v>16000.0</v>
      </c>
      <c r="L318" s="24">
        <v>32000.0</v>
      </c>
      <c r="M318" s="25"/>
      <c r="N318" s="70">
        <v>28000.0</v>
      </c>
      <c r="O318" s="27">
        <f t="shared" si="39"/>
        <v>1</v>
      </c>
      <c r="P318" s="28">
        <f t="shared" si="40"/>
        <v>0</v>
      </c>
    </row>
    <row r="319" hidden="1">
      <c r="A319" s="16" t="s">
        <v>538</v>
      </c>
      <c r="B319" s="17" t="s">
        <v>539</v>
      </c>
      <c r="C319" s="18"/>
      <c r="D319" s="4"/>
      <c r="E319" s="19">
        <v>0.0</v>
      </c>
      <c r="F319" s="19"/>
      <c r="G319" s="16" t="s">
        <v>535</v>
      </c>
      <c r="H319" s="21"/>
      <c r="I319" s="22"/>
      <c r="J319" s="29"/>
      <c r="K319" s="32">
        <v>32000.0</v>
      </c>
      <c r="L319" s="24">
        <v>48000.0</v>
      </c>
      <c r="M319" s="25"/>
      <c r="N319" s="70">
        <v>42000.0</v>
      </c>
      <c r="O319" s="27">
        <f t="shared" si="39"/>
        <v>0.5</v>
      </c>
      <c r="P319" s="28">
        <f t="shared" si="40"/>
        <v>0</v>
      </c>
    </row>
    <row r="320" hidden="1">
      <c r="A320" s="16" t="s">
        <v>540</v>
      </c>
      <c r="B320" s="36" t="s">
        <v>541</v>
      </c>
      <c r="C320" s="18"/>
      <c r="D320" s="4"/>
      <c r="E320" s="19">
        <v>0.0</v>
      </c>
      <c r="F320" s="19"/>
      <c r="G320" s="16" t="s">
        <v>535</v>
      </c>
      <c r="H320" s="21"/>
      <c r="I320" s="22"/>
      <c r="J320" s="29"/>
      <c r="K320" s="43">
        <v>45000.0</v>
      </c>
      <c r="L320" s="44">
        <v>110000.0</v>
      </c>
      <c r="M320" s="25"/>
      <c r="N320" s="70"/>
      <c r="O320" s="27">
        <f t="shared" si="39"/>
        <v>1.444444444</v>
      </c>
      <c r="P320" s="28">
        <f t="shared" si="40"/>
        <v>0</v>
      </c>
    </row>
    <row r="321" hidden="1">
      <c r="A321" s="16" t="s">
        <v>542</v>
      </c>
      <c r="B321" s="36" t="s">
        <v>543</v>
      </c>
      <c r="C321" s="18"/>
      <c r="D321" s="4"/>
      <c r="E321" s="19">
        <v>0.0</v>
      </c>
      <c r="F321" s="19"/>
      <c r="G321" s="16" t="s">
        <v>535</v>
      </c>
      <c r="H321" s="21"/>
      <c r="I321" s="22"/>
      <c r="J321" s="29"/>
      <c r="K321" s="32">
        <v>80000.0</v>
      </c>
      <c r="L321" s="24">
        <v>170000.0</v>
      </c>
      <c r="M321" s="25"/>
      <c r="N321" s="70"/>
      <c r="O321" s="27">
        <f t="shared" si="39"/>
        <v>1.125</v>
      </c>
      <c r="P321" s="28">
        <f t="shared" si="40"/>
        <v>0</v>
      </c>
    </row>
    <row r="322" hidden="1">
      <c r="A322" s="16" t="s">
        <v>544</v>
      </c>
      <c r="B322" s="36"/>
      <c r="C322" s="18"/>
      <c r="D322" s="4"/>
      <c r="E322" s="19">
        <v>0.0</v>
      </c>
      <c r="F322" s="19"/>
      <c r="G322" s="16" t="s">
        <v>516</v>
      </c>
      <c r="H322" s="21"/>
      <c r="I322" s="22"/>
      <c r="J322" s="29"/>
      <c r="K322" s="43">
        <f t="shared" ref="K322:K323" si="41">16500/100</f>
        <v>165</v>
      </c>
      <c r="L322" s="44">
        <v>200.0</v>
      </c>
      <c r="M322" s="25"/>
      <c r="N322" s="69"/>
      <c r="O322" s="27">
        <f t="shared" si="39"/>
        <v>0.2121212121</v>
      </c>
      <c r="P322" s="28">
        <f t="shared" si="40"/>
        <v>0</v>
      </c>
    </row>
    <row r="323" hidden="1">
      <c r="A323" s="16" t="s">
        <v>545</v>
      </c>
      <c r="B323" s="36"/>
      <c r="C323" s="18"/>
      <c r="D323" s="4"/>
      <c r="E323" s="19">
        <v>0.0</v>
      </c>
      <c r="F323" s="19"/>
      <c r="G323" s="16" t="s">
        <v>516</v>
      </c>
      <c r="H323" s="21"/>
      <c r="I323" s="22"/>
      <c r="J323" s="29"/>
      <c r="K323" s="43">
        <f t="shared" si="41"/>
        <v>165</v>
      </c>
      <c r="L323" s="44">
        <v>200.0</v>
      </c>
      <c r="M323" s="25"/>
      <c r="N323" s="69"/>
      <c r="O323" s="27">
        <f t="shared" si="39"/>
        <v>0.2121212121</v>
      </c>
      <c r="P323" s="28">
        <f t="shared" si="40"/>
        <v>0</v>
      </c>
    </row>
    <row r="324" hidden="1">
      <c r="A324" s="16" t="s">
        <v>546</v>
      </c>
      <c r="B324" s="36"/>
      <c r="C324" s="18" t="s">
        <v>547</v>
      </c>
      <c r="D324" s="4"/>
      <c r="E324" s="19">
        <v>0.0</v>
      </c>
      <c r="F324" s="19"/>
      <c r="G324" s="16" t="s">
        <v>516</v>
      </c>
      <c r="H324" s="21"/>
      <c r="I324" s="22"/>
      <c r="J324" s="29"/>
      <c r="K324" s="43">
        <f>2000/100</f>
        <v>20</v>
      </c>
      <c r="L324" s="44">
        <v>50.0</v>
      </c>
      <c r="M324" s="25"/>
      <c r="N324" s="69"/>
      <c r="O324" s="27">
        <f t="shared" si="39"/>
        <v>1.5</v>
      </c>
      <c r="P324" s="28">
        <f t="shared" si="40"/>
        <v>0</v>
      </c>
    </row>
    <row r="325" hidden="1">
      <c r="A325" s="119" t="s">
        <v>548</v>
      </c>
      <c r="B325" s="36"/>
      <c r="C325" s="18"/>
      <c r="D325" s="4"/>
      <c r="E325" s="19">
        <v>0.0</v>
      </c>
      <c r="F325" s="19"/>
      <c r="G325" s="16" t="s">
        <v>516</v>
      </c>
      <c r="H325" s="21"/>
      <c r="I325" s="22"/>
      <c r="J325" s="29"/>
      <c r="K325" s="43">
        <f>1500/100</f>
        <v>15</v>
      </c>
      <c r="L325" s="44">
        <v>500.0</v>
      </c>
      <c r="M325" s="25"/>
      <c r="N325" s="70"/>
      <c r="O325" s="27">
        <f t="shared" si="39"/>
        <v>32.33333333</v>
      </c>
      <c r="P325" s="28">
        <f t="shared" si="40"/>
        <v>0</v>
      </c>
    </row>
    <row r="326" hidden="1">
      <c r="A326" s="16" t="s">
        <v>549</v>
      </c>
      <c r="B326" s="36" t="s">
        <v>515</v>
      </c>
      <c r="C326" s="18"/>
      <c r="D326" s="4"/>
      <c r="E326" s="19">
        <v>0.0</v>
      </c>
      <c r="F326" s="19"/>
      <c r="G326" s="16" t="s">
        <v>516</v>
      </c>
      <c r="H326" s="21"/>
      <c r="I326" s="22"/>
      <c r="J326" s="29"/>
      <c r="K326" s="48">
        <f t="shared" ref="K326:K327" si="42">9600/100</f>
        <v>96</v>
      </c>
      <c r="L326" s="44">
        <v>200.0</v>
      </c>
      <c r="M326" s="25"/>
      <c r="N326" s="70"/>
      <c r="O326" s="27">
        <f t="shared" si="39"/>
        <v>1.083333333</v>
      </c>
      <c r="P326" s="28">
        <f t="shared" si="40"/>
        <v>0</v>
      </c>
    </row>
    <row r="327" hidden="1">
      <c r="A327" s="16" t="s">
        <v>550</v>
      </c>
      <c r="B327" s="36" t="s">
        <v>515</v>
      </c>
      <c r="C327" s="18"/>
      <c r="D327" s="4"/>
      <c r="E327" s="19">
        <v>0.0</v>
      </c>
      <c r="F327" s="19"/>
      <c r="G327" s="16" t="s">
        <v>516</v>
      </c>
      <c r="H327" s="21"/>
      <c r="I327" s="22"/>
      <c r="J327" s="29"/>
      <c r="K327" s="48">
        <f t="shared" si="42"/>
        <v>96</v>
      </c>
      <c r="L327" s="44">
        <v>200.0</v>
      </c>
      <c r="M327" s="25"/>
      <c r="N327" s="69"/>
      <c r="O327" s="27">
        <f t="shared" si="39"/>
        <v>1.083333333</v>
      </c>
      <c r="P327" s="28">
        <f t="shared" si="40"/>
        <v>0</v>
      </c>
    </row>
    <row r="328" hidden="1">
      <c r="A328" s="52" t="s">
        <v>551</v>
      </c>
      <c r="B328" s="17"/>
      <c r="C328" s="18"/>
      <c r="D328" s="4"/>
      <c r="E328" s="19">
        <v>0.0</v>
      </c>
      <c r="F328" s="19">
        <v>0.0</v>
      </c>
      <c r="G328" s="20" t="s">
        <v>437</v>
      </c>
      <c r="H328" s="21"/>
      <c r="I328" s="22" t="s">
        <v>99</v>
      </c>
      <c r="J328" s="29"/>
      <c r="K328" s="32">
        <v>2500.0</v>
      </c>
      <c r="L328" s="24">
        <v>4000.0</v>
      </c>
      <c r="M328" s="25"/>
      <c r="N328" s="70"/>
      <c r="O328" s="27">
        <f t="shared" si="39"/>
        <v>0.6</v>
      </c>
      <c r="P328" s="28">
        <f t="shared" si="40"/>
        <v>0</v>
      </c>
    </row>
    <row r="329" hidden="1">
      <c r="A329" s="16" t="s">
        <v>552</v>
      </c>
      <c r="B329" s="36"/>
      <c r="C329" s="18"/>
      <c r="D329" s="4"/>
      <c r="E329" s="19">
        <v>0.0</v>
      </c>
      <c r="F329" s="19"/>
      <c r="G329" s="16" t="s">
        <v>553</v>
      </c>
      <c r="H329" s="21"/>
      <c r="I329" s="22"/>
      <c r="J329" s="29"/>
      <c r="K329" s="43">
        <v>500.0</v>
      </c>
      <c r="L329" s="43">
        <v>1.0</v>
      </c>
      <c r="M329" s="25"/>
      <c r="N329" s="26"/>
      <c r="O329" s="27">
        <f t="shared" si="39"/>
        <v>-0.998</v>
      </c>
      <c r="P329" s="28">
        <f t="shared" si="40"/>
        <v>0</v>
      </c>
    </row>
    <row r="330" hidden="1">
      <c r="A330" s="16" t="s">
        <v>554</v>
      </c>
      <c r="B330" s="36"/>
      <c r="C330" s="18"/>
      <c r="D330" s="4"/>
      <c r="E330" s="19">
        <v>0.0</v>
      </c>
      <c r="F330" s="19">
        <v>5.0</v>
      </c>
      <c r="G330" s="16" t="s">
        <v>555</v>
      </c>
      <c r="H330" s="21"/>
      <c r="I330" s="22">
        <v>40.0</v>
      </c>
      <c r="J330" s="29"/>
      <c r="K330" s="43">
        <v>900.0</v>
      </c>
      <c r="L330" s="44">
        <v>2000.0</v>
      </c>
      <c r="M330" s="25"/>
      <c r="N330" s="69"/>
      <c r="O330" s="27">
        <f t="shared" si="39"/>
        <v>1.222222222</v>
      </c>
      <c r="P330" s="28">
        <f t="shared" si="40"/>
        <v>4500</v>
      </c>
    </row>
    <row r="331" hidden="1">
      <c r="A331" s="59" t="s">
        <v>556</v>
      </c>
      <c r="B331" s="97" t="s">
        <v>557</v>
      </c>
      <c r="C331" s="18" t="s">
        <v>558</v>
      </c>
      <c r="D331" s="98"/>
      <c r="E331" s="19">
        <v>0.0</v>
      </c>
      <c r="F331" s="128"/>
      <c r="G331" s="20" t="s">
        <v>485</v>
      </c>
      <c r="H331" s="21">
        <v>0.0</v>
      </c>
      <c r="I331" s="22"/>
      <c r="J331" s="29"/>
      <c r="K331" s="43">
        <v>75000.0</v>
      </c>
      <c r="L331" s="43">
        <v>90000.0</v>
      </c>
      <c r="M331" s="25"/>
      <c r="N331" s="26"/>
      <c r="O331" s="27">
        <f t="shared" si="39"/>
        <v>0.2</v>
      </c>
      <c r="P331" s="28">
        <f t="shared" si="40"/>
        <v>0</v>
      </c>
    </row>
    <row r="332" hidden="1">
      <c r="A332" s="16" t="s">
        <v>559</v>
      </c>
      <c r="B332" s="17" t="s">
        <v>560</v>
      </c>
      <c r="C332" s="18"/>
      <c r="D332" s="4"/>
      <c r="E332" s="19">
        <v>0.0</v>
      </c>
      <c r="F332" s="19">
        <v>0.0</v>
      </c>
      <c r="G332" s="16" t="s">
        <v>561</v>
      </c>
      <c r="H332" s="21"/>
      <c r="I332" s="22" t="s">
        <v>99</v>
      </c>
      <c r="J332" s="29"/>
      <c r="K332" s="43">
        <v>14800.0</v>
      </c>
      <c r="L332" s="44">
        <v>24000.0</v>
      </c>
      <c r="M332" s="25"/>
      <c r="N332" s="50">
        <v>17000.0</v>
      </c>
      <c r="O332" s="27">
        <f t="shared" si="39"/>
        <v>0.6216216216</v>
      </c>
      <c r="P332" s="28">
        <f t="shared" si="40"/>
        <v>0</v>
      </c>
    </row>
    <row r="333" hidden="1">
      <c r="A333" s="135" t="s">
        <v>562</v>
      </c>
      <c r="B333" s="17"/>
      <c r="C333" s="18"/>
      <c r="D333" s="4"/>
      <c r="E333" s="19">
        <v>3.0</v>
      </c>
      <c r="F333" s="19">
        <v>0.0</v>
      </c>
      <c r="G333" s="20" t="s">
        <v>563</v>
      </c>
      <c r="H333" s="21"/>
      <c r="I333" s="22">
        <v>1.0</v>
      </c>
      <c r="J333" s="23"/>
      <c r="K333" s="55">
        <f>32000*0.9*1.19</f>
        <v>34272</v>
      </c>
      <c r="L333" s="55">
        <v>56000.0</v>
      </c>
      <c r="M333" s="25"/>
      <c r="N333" s="70"/>
      <c r="O333" s="27">
        <f t="shared" si="39"/>
        <v>0.6339869281</v>
      </c>
      <c r="P333" s="28">
        <f t="shared" si="40"/>
        <v>0</v>
      </c>
    </row>
    <row r="334" hidden="1">
      <c r="A334" s="135" t="s">
        <v>564</v>
      </c>
      <c r="B334" s="136" t="s">
        <v>565</v>
      </c>
      <c r="C334" s="18"/>
      <c r="D334" s="4"/>
      <c r="E334" s="19">
        <v>0.0</v>
      </c>
      <c r="F334" s="19">
        <v>1.0</v>
      </c>
      <c r="G334" s="20" t="s">
        <v>563</v>
      </c>
      <c r="H334" s="21"/>
      <c r="I334" s="22">
        <v>0.0</v>
      </c>
      <c r="J334" s="23"/>
      <c r="K334" s="55">
        <f>38000*0.9*1.19</f>
        <v>40698</v>
      </c>
      <c r="L334" s="55">
        <v>60000.0</v>
      </c>
      <c r="M334" s="25"/>
      <c r="N334" s="70"/>
      <c r="O334" s="27">
        <f t="shared" si="39"/>
        <v>0.4742739201</v>
      </c>
      <c r="P334" s="28">
        <f t="shared" si="40"/>
        <v>40698</v>
      </c>
    </row>
    <row r="335" hidden="1">
      <c r="A335" s="40" t="s">
        <v>566</v>
      </c>
      <c r="B335" s="17"/>
      <c r="C335" s="18"/>
      <c r="D335" s="4"/>
      <c r="E335" s="19">
        <v>0.0</v>
      </c>
      <c r="F335" s="19">
        <v>0.0</v>
      </c>
      <c r="G335" s="16" t="s">
        <v>26</v>
      </c>
      <c r="H335" s="21"/>
      <c r="I335" s="22">
        <v>0.0</v>
      </c>
      <c r="J335" s="29"/>
      <c r="K335" s="43">
        <v>3500.0</v>
      </c>
      <c r="L335" s="44">
        <v>6000.0</v>
      </c>
      <c r="M335" s="25"/>
      <c r="N335" s="26"/>
      <c r="O335" s="27">
        <f t="shared" si="39"/>
        <v>0.7142857143</v>
      </c>
      <c r="P335" s="28">
        <f t="shared" si="40"/>
        <v>0</v>
      </c>
    </row>
    <row r="336" hidden="1">
      <c r="A336" s="52" t="s">
        <v>567</v>
      </c>
      <c r="B336" s="17"/>
      <c r="C336" s="18"/>
      <c r="D336" s="4"/>
      <c r="E336" s="19">
        <v>0.0</v>
      </c>
      <c r="F336" s="19">
        <v>0.0</v>
      </c>
      <c r="G336" s="16" t="s">
        <v>563</v>
      </c>
      <c r="H336" s="21"/>
      <c r="I336" s="22">
        <v>0.0</v>
      </c>
      <c r="J336" s="29"/>
      <c r="K336" s="43">
        <f>5500*1.19</f>
        <v>6545</v>
      </c>
      <c r="L336" s="44">
        <v>10000.0</v>
      </c>
      <c r="M336" s="25"/>
      <c r="N336" s="26"/>
      <c r="O336" s="27">
        <f t="shared" si="39"/>
        <v>0.5278838808</v>
      </c>
      <c r="P336" s="28">
        <f t="shared" si="40"/>
        <v>0</v>
      </c>
    </row>
    <row r="337" hidden="1">
      <c r="A337" s="52" t="s">
        <v>568</v>
      </c>
      <c r="B337" s="17"/>
      <c r="C337" s="18"/>
      <c r="D337" s="4"/>
      <c r="E337" s="19">
        <v>0.0</v>
      </c>
      <c r="F337" s="19"/>
      <c r="G337" s="16" t="s">
        <v>569</v>
      </c>
      <c r="H337" s="21"/>
      <c r="I337" s="22"/>
      <c r="J337" s="29">
        <f t="shared" ref="J337:K337" si="43">5400*1.19</f>
        <v>6426</v>
      </c>
      <c r="K337" s="48">
        <f t="shared" si="43"/>
        <v>6426</v>
      </c>
      <c r="L337" s="55">
        <v>10000.0</v>
      </c>
      <c r="M337" s="25"/>
      <c r="N337" s="26">
        <v>9000.0</v>
      </c>
      <c r="O337" s="27">
        <f t="shared" si="39"/>
        <v>0.5561780268</v>
      </c>
      <c r="P337" s="28">
        <f t="shared" si="40"/>
        <v>0</v>
      </c>
    </row>
    <row r="338" hidden="1">
      <c r="A338" s="135" t="s">
        <v>570</v>
      </c>
      <c r="B338" s="17"/>
      <c r="C338" s="18"/>
      <c r="D338" s="4"/>
      <c r="E338" s="19">
        <v>0.0</v>
      </c>
      <c r="F338" s="19">
        <v>0.0</v>
      </c>
      <c r="G338" s="20"/>
      <c r="H338" s="21"/>
      <c r="I338" s="22">
        <v>9.0</v>
      </c>
      <c r="J338" s="23"/>
      <c r="K338" s="24"/>
      <c r="L338" s="24"/>
      <c r="M338" s="25"/>
      <c r="N338" s="70"/>
      <c r="O338" s="27"/>
      <c r="P338" s="28"/>
    </row>
    <row r="339" hidden="1">
      <c r="A339" s="16" t="s">
        <v>571</v>
      </c>
      <c r="B339" s="36"/>
      <c r="C339" s="18"/>
      <c r="D339" s="4"/>
      <c r="E339" s="19"/>
      <c r="F339" s="19"/>
      <c r="G339" s="16" t="s">
        <v>572</v>
      </c>
      <c r="H339" s="21"/>
      <c r="I339" s="22"/>
      <c r="J339" s="29"/>
      <c r="K339" s="43">
        <v>3500.0</v>
      </c>
      <c r="L339" s="44">
        <v>6000.0</v>
      </c>
      <c r="M339" s="25"/>
      <c r="N339" s="26"/>
      <c r="O339" s="27">
        <f t="shared" ref="O339:O358" si="44">(L339/K339)-1</f>
        <v>0.7142857143</v>
      </c>
      <c r="P339" s="28">
        <f t="shared" ref="P339:P358" si="45">K339*F339</f>
        <v>0</v>
      </c>
    </row>
    <row r="340" hidden="1">
      <c r="A340" s="16" t="s">
        <v>573</v>
      </c>
      <c r="B340" s="36"/>
      <c r="C340" s="18"/>
      <c r="D340" s="4"/>
      <c r="E340" s="19"/>
      <c r="F340" s="19"/>
      <c r="G340" s="16" t="s">
        <v>572</v>
      </c>
      <c r="H340" s="21"/>
      <c r="I340" s="22"/>
      <c r="J340" s="29"/>
      <c r="K340" s="43">
        <v>4900.0</v>
      </c>
      <c r="L340" s="44">
        <v>7000.0</v>
      </c>
      <c r="M340" s="25"/>
      <c r="N340" s="26"/>
      <c r="O340" s="27">
        <f t="shared" si="44"/>
        <v>0.4285714286</v>
      </c>
      <c r="P340" s="28">
        <f t="shared" si="45"/>
        <v>0</v>
      </c>
    </row>
    <row r="341" hidden="1">
      <c r="A341" s="16" t="s">
        <v>574</v>
      </c>
      <c r="B341" s="36"/>
      <c r="C341" s="18"/>
      <c r="D341" s="4"/>
      <c r="E341" s="19"/>
      <c r="F341" s="19"/>
      <c r="G341" s="16" t="s">
        <v>575</v>
      </c>
      <c r="H341" s="21"/>
      <c r="I341" s="22"/>
      <c r="J341" s="29"/>
      <c r="K341" s="43">
        <v>14400.0</v>
      </c>
      <c r="L341" s="44">
        <v>22000.0</v>
      </c>
      <c r="M341" s="25"/>
      <c r="N341" s="26"/>
      <c r="O341" s="27">
        <f t="shared" si="44"/>
        <v>0.5277777778</v>
      </c>
      <c r="P341" s="28">
        <f t="shared" si="45"/>
        <v>0</v>
      </c>
    </row>
    <row r="342" hidden="1">
      <c r="A342" s="16" t="s">
        <v>576</v>
      </c>
      <c r="B342" s="36"/>
      <c r="C342" s="18"/>
      <c r="D342" s="4"/>
      <c r="E342" s="19">
        <v>0.0</v>
      </c>
      <c r="F342" s="19">
        <v>0.0</v>
      </c>
      <c r="G342" s="16" t="s">
        <v>577</v>
      </c>
      <c r="H342" s="21"/>
      <c r="I342" s="22">
        <v>1.0</v>
      </c>
      <c r="J342" s="29"/>
      <c r="K342" s="32">
        <f>56280*1.19</f>
        <v>66973.2</v>
      </c>
      <c r="L342" s="32">
        <v>83000.0</v>
      </c>
      <c r="M342" s="25"/>
      <c r="N342" s="26"/>
      <c r="O342" s="27">
        <f t="shared" si="44"/>
        <v>0.2393016908</v>
      </c>
      <c r="P342" s="28">
        <f t="shared" si="45"/>
        <v>0</v>
      </c>
    </row>
    <row r="343" hidden="1">
      <c r="A343" s="16" t="s">
        <v>578</v>
      </c>
      <c r="B343" s="36"/>
      <c r="C343" s="18"/>
      <c r="D343" s="4"/>
      <c r="E343" s="19"/>
      <c r="F343" s="19"/>
      <c r="G343" s="16" t="s">
        <v>575</v>
      </c>
      <c r="H343" s="21"/>
      <c r="I343" s="22"/>
      <c r="J343" s="29"/>
      <c r="K343" s="43">
        <v>2500.0</v>
      </c>
      <c r="L343" s="44">
        <v>6000.0</v>
      </c>
      <c r="M343" s="25"/>
      <c r="N343" s="26"/>
      <c r="O343" s="27">
        <f t="shared" si="44"/>
        <v>1.4</v>
      </c>
      <c r="P343" s="28">
        <f t="shared" si="45"/>
        <v>0</v>
      </c>
    </row>
    <row r="344" hidden="1">
      <c r="A344" s="16" t="s">
        <v>579</v>
      </c>
      <c r="B344" s="36"/>
      <c r="C344" s="38"/>
      <c r="D344" s="4"/>
      <c r="E344" s="19">
        <v>0.0</v>
      </c>
      <c r="F344" s="62">
        <v>0.0</v>
      </c>
      <c r="G344" s="16" t="s">
        <v>580</v>
      </c>
      <c r="H344" s="21"/>
      <c r="I344" s="22">
        <v>1.0</v>
      </c>
      <c r="J344" s="29"/>
      <c r="K344" s="30">
        <v>30173.699999999997</v>
      </c>
      <c r="L344" s="46">
        <v>95000.0</v>
      </c>
      <c r="M344" s="25"/>
      <c r="N344" s="26"/>
      <c r="O344" s="27">
        <f t="shared" si="44"/>
        <v>2.148437215</v>
      </c>
      <c r="P344" s="28">
        <f t="shared" si="45"/>
        <v>0</v>
      </c>
    </row>
    <row r="345" hidden="1">
      <c r="A345" s="16" t="s">
        <v>581</v>
      </c>
      <c r="B345" s="51" t="s">
        <v>582</v>
      </c>
      <c r="C345" s="18" t="s">
        <v>55</v>
      </c>
      <c r="D345" s="98"/>
      <c r="E345" s="19">
        <v>0.0</v>
      </c>
      <c r="F345" s="128"/>
      <c r="G345" s="20" t="s">
        <v>485</v>
      </c>
      <c r="H345" s="21">
        <v>0.0</v>
      </c>
      <c r="I345" s="22"/>
      <c r="J345" s="29"/>
      <c r="K345" s="43">
        <f>31953*1.19</f>
        <v>38024.07</v>
      </c>
      <c r="L345" s="44">
        <v>95000.0</v>
      </c>
      <c r="M345" s="25"/>
      <c r="N345" s="31"/>
      <c r="O345" s="27">
        <f t="shared" si="44"/>
        <v>1.49841745</v>
      </c>
      <c r="P345" s="28">
        <f t="shared" si="45"/>
        <v>0</v>
      </c>
    </row>
    <row r="346" hidden="1">
      <c r="A346" s="16" t="s">
        <v>583</v>
      </c>
      <c r="B346" s="36"/>
      <c r="C346" s="18"/>
      <c r="D346" s="4"/>
      <c r="E346" s="19"/>
      <c r="F346" s="19"/>
      <c r="G346" s="16" t="s">
        <v>572</v>
      </c>
      <c r="H346" s="21"/>
      <c r="I346" s="22"/>
      <c r="J346" s="29"/>
      <c r="K346" s="43">
        <v>3300.0</v>
      </c>
      <c r="L346" s="44">
        <v>12000.0</v>
      </c>
      <c r="M346" s="25"/>
      <c r="N346" s="26"/>
      <c r="O346" s="27">
        <f t="shared" si="44"/>
        <v>2.636363636</v>
      </c>
      <c r="P346" s="28">
        <f t="shared" si="45"/>
        <v>0</v>
      </c>
    </row>
    <row r="347" hidden="1">
      <c r="A347" s="16" t="s">
        <v>584</v>
      </c>
      <c r="B347" s="17"/>
      <c r="C347" s="18"/>
      <c r="D347" s="4"/>
      <c r="E347" s="19">
        <v>0.0</v>
      </c>
      <c r="F347" s="19">
        <v>0.0</v>
      </c>
      <c r="G347" s="137" t="s">
        <v>585</v>
      </c>
      <c r="H347" s="21"/>
      <c r="I347" s="22"/>
      <c r="J347" s="29"/>
      <c r="K347" s="48">
        <f>68000/100</f>
        <v>680</v>
      </c>
      <c r="L347" s="55">
        <v>2000.0</v>
      </c>
      <c r="M347" s="25"/>
      <c r="N347" s="26"/>
      <c r="O347" s="27">
        <f t="shared" si="44"/>
        <v>1.941176471</v>
      </c>
      <c r="P347" s="28">
        <f t="shared" si="45"/>
        <v>0</v>
      </c>
    </row>
    <row r="348" hidden="1">
      <c r="A348" s="16" t="s">
        <v>586</v>
      </c>
      <c r="B348" s="17"/>
      <c r="C348" s="18"/>
      <c r="D348" s="4" t="s">
        <v>587</v>
      </c>
      <c r="E348" s="19">
        <v>0.0</v>
      </c>
      <c r="F348" s="19">
        <v>0.0</v>
      </c>
      <c r="G348" s="16" t="s">
        <v>588</v>
      </c>
      <c r="H348" s="21"/>
      <c r="I348" s="22">
        <v>0.0</v>
      </c>
      <c r="J348" s="29"/>
      <c r="K348" s="43">
        <v>762.0</v>
      </c>
      <c r="L348" s="44">
        <v>2000.0</v>
      </c>
      <c r="M348" s="25"/>
      <c r="N348" s="26"/>
      <c r="O348" s="27">
        <f t="shared" si="44"/>
        <v>1.624671916</v>
      </c>
      <c r="P348" s="28">
        <f t="shared" si="45"/>
        <v>0</v>
      </c>
    </row>
    <row r="349" hidden="1">
      <c r="A349" s="16" t="s">
        <v>589</v>
      </c>
      <c r="B349" s="36"/>
      <c r="C349" s="18"/>
      <c r="D349" s="4"/>
      <c r="E349" s="19">
        <v>0.0</v>
      </c>
      <c r="F349" s="19">
        <v>0.0</v>
      </c>
      <c r="G349" s="16" t="s">
        <v>590</v>
      </c>
      <c r="H349" s="21">
        <v>9.0</v>
      </c>
      <c r="I349" s="22">
        <v>14.0</v>
      </c>
      <c r="J349" s="29"/>
      <c r="K349" s="32">
        <f>4900*1.19</f>
        <v>5831</v>
      </c>
      <c r="L349" s="24">
        <v>10000.0</v>
      </c>
      <c r="M349" s="25"/>
      <c r="N349" s="31"/>
      <c r="O349" s="27">
        <f t="shared" si="44"/>
        <v>0.714971703</v>
      </c>
      <c r="P349" s="28">
        <f t="shared" si="45"/>
        <v>0</v>
      </c>
    </row>
    <row r="350" hidden="1">
      <c r="A350" s="16" t="s">
        <v>591</v>
      </c>
      <c r="B350" s="49"/>
      <c r="C350" s="92"/>
      <c r="D350" s="4"/>
      <c r="E350" s="19">
        <v>0.0</v>
      </c>
      <c r="F350" s="19">
        <v>0.0</v>
      </c>
      <c r="G350" s="16" t="s">
        <v>590</v>
      </c>
      <c r="H350" s="21">
        <v>14.0</v>
      </c>
      <c r="I350" s="22">
        <v>27.0</v>
      </c>
      <c r="J350" s="29"/>
      <c r="K350" s="32">
        <f>8571*0.85*1.19</f>
        <v>8669.5665</v>
      </c>
      <c r="L350" s="24">
        <v>15000.0</v>
      </c>
      <c r="M350" s="25"/>
      <c r="N350" s="31"/>
      <c r="O350" s="27">
        <f t="shared" si="44"/>
        <v>0.7301903157</v>
      </c>
      <c r="P350" s="28">
        <f t="shared" si="45"/>
        <v>0</v>
      </c>
    </row>
    <row r="351" hidden="1">
      <c r="A351" s="16" t="s">
        <v>592</v>
      </c>
      <c r="B351" s="49"/>
      <c r="C351" s="92"/>
      <c r="D351" s="4"/>
      <c r="E351" s="19">
        <v>20.0</v>
      </c>
      <c r="F351" s="19">
        <v>30.0</v>
      </c>
      <c r="G351" s="16" t="s">
        <v>590</v>
      </c>
      <c r="H351" s="21">
        <v>0.0</v>
      </c>
      <c r="I351" s="22">
        <v>2.0</v>
      </c>
      <c r="J351" s="29"/>
      <c r="K351" s="48">
        <f>9000*1.19</f>
        <v>10710</v>
      </c>
      <c r="L351" s="55">
        <v>19000.0</v>
      </c>
      <c r="M351" s="25"/>
      <c r="N351" s="31"/>
      <c r="O351" s="27">
        <f t="shared" si="44"/>
        <v>0.7740429505</v>
      </c>
      <c r="P351" s="28">
        <f t="shared" si="45"/>
        <v>321300</v>
      </c>
    </row>
    <row r="352" hidden="1">
      <c r="A352" s="16" t="s">
        <v>593</v>
      </c>
      <c r="B352" s="49"/>
      <c r="C352" s="92"/>
      <c r="D352" s="4"/>
      <c r="E352" s="19">
        <v>10.0</v>
      </c>
      <c r="F352" s="19">
        <v>20.0</v>
      </c>
      <c r="G352" s="16" t="s">
        <v>590</v>
      </c>
      <c r="H352" s="21">
        <v>7.0</v>
      </c>
      <c r="I352" s="22">
        <v>8.0</v>
      </c>
      <c r="J352" s="29"/>
      <c r="K352" s="48">
        <f>10700*1.19</f>
        <v>12733</v>
      </c>
      <c r="L352" s="55">
        <v>21000.0</v>
      </c>
      <c r="M352" s="25"/>
      <c r="N352" s="31"/>
      <c r="O352" s="27">
        <f t="shared" si="44"/>
        <v>0.649257834</v>
      </c>
      <c r="P352" s="28">
        <f t="shared" si="45"/>
        <v>254660</v>
      </c>
    </row>
    <row r="353" hidden="1">
      <c r="A353" s="16" t="s">
        <v>594</v>
      </c>
      <c r="B353" s="17" t="s">
        <v>595</v>
      </c>
      <c r="C353" s="18"/>
      <c r="D353" s="4"/>
      <c r="E353" s="19">
        <v>0.0</v>
      </c>
      <c r="F353" s="19">
        <v>0.0</v>
      </c>
      <c r="G353" s="138" t="s">
        <v>596</v>
      </c>
      <c r="H353" s="139"/>
      <c r="I353" s="22" t="s">
        <v>597</v>
      </c>
      <c r="J353" s="140"/>
      <c r="K353" s="141">
        <f>910*1.19</f>
        <v>1082.9</v>
      </c>
      <c r="L353" s="44">
        <v>2000.0</v>
      </c>
      <c r="M353" s="25"/>
      <c r="N353" s="26"/>
      <c r="O353" s="27">
        <f t="shared" si="44"/>
        <v>0.8468926032</v>
      </c>
      <c r="P353" s="28">
        <f t="shared" si="45"/>
        <v>0</v>
      </c>
    </row>
    <row r="354" hidden="1">
      <c r="A354" s="16" t="s">
        <v>598</v>
      </c>
      <c r="B354" s="17" t="s">
        <v>599</v>
      </c>
      <c r="C354" s="18"/>
      <c r="D354" s="4"/>
      <c r="E354" s="19">
        <v>0.0</v>
      </c>
      <c r="F354" s="19">
        <v>0.0</v>
      </c>
      <c r="G354" s="138" t="s">
        <v>600</v>
      </c>
      <c r="H354" s="21"/>
      <c r="I354" s="22">
        <f>86</f>
        <v>86</v>
      </c>
      <c r="J354" s="29"/>
      <c r="K354" s="48">
        <v>1285.0</v>
      </c>
      <c r="L354" s="55">
        <v>2000.0</v>
      </c>
      <c r="M354" s="25"/>
      <c r="N354" s="26"/>
      <c r="O354" s="27">
        <f t="shared" si="44"/>
        <v>0.5564202335</v>
      </c>
      <c r="P354" s="28">
        <f t="shared" si="45"/>
        <v>0</v>
      </c>
    </row>
    <row r="355" hidden="1">
      <c r="A355" s="16" t="s">
        <v>601</v>
      </c>
      <c r="B355" s="17" t="s">
        <v>602</v>
      </c>
      <c r="C355" s="18"/>
      <c r="D355" s="4"/>
      <c r="E355" s="19">
        <v>100.0</v>
      </c>
      <c r="F355" s="19">
        <v>200.0</v>
      </c>
      <c r="G355" s="20" t="s">
        <v>600</v>
      </c>
      <c r="H355" s="21"/>
      <c r="I355" s="22" t="s">
        <v>603</v>
      </c>
      <c r="J355" s="29"/>
      <c r="K355" s="43">
        <v>1071.0</v>
      </c>
      <c r="L355" s="44">
        <v>2000.0</v>
      </c>
      <c r="M355" s="25"/>
      <c r="N355" s="26"/>
      <c r="O355" s="27">
        <f t="shared" si="44"/>
        <v>0.8674136321</v>
      </c>
      <c r="P355" s="28">
        <f t="shared" si="45"/>
        <v>214200</v>
      </c>
    </row>
    <row r="356" hidden="1">
      <c r="A356" s="16" t="s">
        <v>604</v>
      </c>
      <c r="B356" s="97" t="s">
        <v>605</v>
      </c>
      <c r="C356" s="92"/>
      <c r="D356" s="4"/>
      <c r="E356" s="19"/>
      <c r="F356" s="19">
        <v>0.0</v>
      </c>
      <c r="G356" s="16" t="s">
        <v>572</v>
      </c>
      <c r="H356" s="21"/>
      <c r="I356" s="22">
        <v>12.0</v>
      </c>
      <c r="J356" s="23"/>
      <c r="K356" s="24">
        <v>9782.0</v>
      </c>
      <c r="L356" s="24">
        <v>18000.0</v>
      </c>
      <c r="M356" s="25"/>
      <c r="N356" s="70"/>
      <c r="O356" s="27">
        <f t="shared" si="44"/>
        <v>0.840114496</v>
      </c>
      <c r="P356" s="28">
        <f t="shared" si="45"/>
        <v>0</v>
      </c>
    </row>
    <row r="357" hidden="1">
      <c r="A357" s="16" t="s">
        <v>606</v>
      </c>
      <c r="B357" s="142"/>
      <c r="C357" s="92"/>
      <c r="D357" s="4"/>
      <c r="E357" s="19"/>
      <c r="F357" s="19">
        <v>0.0</v>
      </c>
      <c r="G357" s="16" t="s">
        <v>572</v>
      </c>
      <c r="H357" s="143"/>
      <c r="I357" s="22">
        <v>36.0</v>
      </c>
      <c r="J357" s="144"/>
      <c r="K357" s="145">
        <v>12515.0</v>
      </c>
      <c r="L357" s="146">
        <v>24000.0</v>
      </c>
      <c r="M357" s="25"/>
      <c r="N357" s="70"/>
      <c r="O357" s="27">
        <f t="shared" si="44"/>
        <v>0.9176987615</v>
      </c>
      <c r="P357" s="28">
        <f t="shared" si="45"/>
        <v>0</v>
      </c>
    </row>
    <row r="358" hidden="1">
      <c r="A358" s="16" t="s">
        <v>607</v>
      </c>
      <c r="B358" s="142" t="s">
        <v>608</v>
      </c>
      <c r="C358" s="92"/>
      <c r="D358" s="4"/>
      <c r="E358" s="19"/>
      <c r="F358" s="19">
        <v>0.0</v>
      </c>
      <c r="G358" s="16" t="s">
        <v>572</v>
      </c>
      <c r="H358" s="21"/>
      <c r="I358" s="22">
        <v>30.0</v>
      </c>
      <c r="J358" s="29"/>
      <c r="K358" s="32">
        <v>17118.0</v>
      </c>
      <c r="L358" s="24">
        <v>32000.0</v>
      </c>
      <c r="M358" s="25"/>
      <c r="N358" s="70"/>
      <c r="O358" s="27">
        <f t="shared" si="44"/>
        <v>0.8693772637</v>
      </c>
      <c r="P358" s="28">
        <f t="shared" si="45"/>
        <v>0</v>
      </c>
    </row>
    <row r="359" hidden="1">
      <c r="A359" s="16" t="s">
        <v>609</v>
      </c>
      <c r="B359" s="51"/>
      <c r="C359" s="18" t="s">
        <v>547</v>
      </c>
      <c r="D359" s="4"/>
      <c r="E359" s="19">
        <v>0.0</v>
      </c>
      <c r="F359" s="19"/>
      <c r="G359" s="16" t="s">
        <v>610</v>
      </c>
      <c r="H359" s="21"/>
      <c r="I359" s="22"/>
      <c r="J359" s="29"/>
      <c r="K359" s="43">
        <v>1.0</v>
      </c>
      <c r="L359" s="44">
        <v>1.0</v>
      </c>
      <c r="M359" s="25"/>
      <c r="N359" s="26"/>
      <c r="O359" s="147" t="s">
        <v>611</v>
      </c>
      <c r="P359" s="28"/>
    </row>
    <row r="360" hidden="1">
      <c r="A360" s="52" t="s">
        <v>612</v>
      </c>
      <c r="B360" s="36"/>
      <c r="C360" s="18"/>
      <c r="D360" s="67"/>
      <c r="E360" s="19">
        <v>0.0</v>
      </c>
      <c r="F360" s="19">
        <v>0.0</v>
      </c>
      <c r="G360" s="56" t="s">
        <v>613</v>
      </c>
      <c r="H360" s="21"/>
      <c r="I360" s="22"/>
      <c r="J360" s="29"/>
      <c r="K360" s="48">
        <v>25935.0</v>
      </c>
      <c r="L360" s="55">
        <v>36000.0</v>
      </c>
      <c r="M360" s="25"/>
      <c r="N360" s="26">
        <v>29000.0</v>
      </c>
      <c r="O360" s="27">
        <f t="shared" ref="O360:O380" si="46">(L360/K360)-1</f>
        <v>0.3880855986</v>
      </c>
      <c r="P360" s="28"/>
    </row>
    <row r="361" hidden="1">
      <c r="A361" s="16" t="s">
        <v>614</v>
      </c>
      <c r="B361" s="17"/>
      <c r="C361" s="18"/>
      <c r="D361" s="4"/>
      <c r="E361" s="19">
        <v>0.0</v>
      </c>
      <c r="F361" s="19">
        <v>0.0</v>
      </c>
      <c r="G361" s="20" t="s">
        <v>615</v>
      </c>
      <c r="H361" s="21"/>
      <c r="I361" s="22">
        <v>12.0</v>
      </c>
      <c r="J361" s="29"/>
      <c r="K361" s="32">
        <f>345000/15</f>
        <v>23000</v>
      </c>
      <c r="L361" s="24">
        <v>50000.0</v>
      </c>
      <c r="M361" s="25"/>
      <c r="N361" s="26"/>
      <c r="O361" s="27">
        <f t="shared" si="46"/>
        <v>1.173913043</v>
      </c>
      <c r="P361" s="28">
        <f t="shared" ref="P361:P371" si="47">K361*F361</f>
        <v>0</v>
      </c>
    </row>
    <row r="362" hidden="1">
      <c r="A362" s="16" t="s">
        <v>616</v>
      </c>
      <c r="B362" s="148" t="s">
        <v>617</v>
      </c>
      <c r="C362" s="18"/>
      <c r="D362" s="4"/>
      <c r="E362" s="19">
        <v>0.0</v>
      </c>
      <c r="F362" s="19"/>
      <c r="G362" s="20" t="s">
        <v>618</v>
      </c>
      <c r="H362" s="21"/>
      <c r="I362" s="22"/>
      <c r="J362" s="29"/>
      <c r="K362" s="32">
        <v>15000.0</v>
      </c>
      <c r="L362" s="24">
        <v>25000.0</v>
      </c>
      <c r="M362" s="25"/>
      <c r="N362" s="26">
        <v>20000.0</v>
      </c>
      <c r="O362" s="27">
        <f t="shared" si="46"/>
        <v>0.6666666667</v>
      </c>
      <c r="P362" s="28">
        <f t="shared" si="47"/>
        <v>0</v>
      </c>
    </row>
    <row r="363" hidden="1">
      <c r="A363" s="52" t="s">
        <v>619</v>
      </c>
      <c r="B363" s="17"/>
      <c r="C363" s="18"/>
      <c r="D363" s="4"/>
      <c r="E363" s="19">
        <v>0.0</v>
      </c>
      <c r="F363" s="19">
        <v>0.0</v>
      </c>
      <c r="G363" s="16" t="s">
        <v>437</v>
      </c>
      <c r="H363" s="21"/>
      <c r="I363" s="22" t="s">
        <v>99</v>
      </c>
      <c r="J363" s="29"/>
      <c r="K363" s="43">
        <v>4000.0</v>
      </c>
      <c r="L363" s="44">
        <v>8000.0</v>
      </c>
      <c r="M363" s="25"/>
      <c r="N363" s="70"/>
      <c r="O363" s="27">
        <f t="shared" si="46"/>
        <v>1</v>
      </c>
      <c r="P363" s="28">
        <f t="shared" si="47"/>
        <v>0</v>
      </c>
    </row>
    <row r="364" hidden="1">
      <c r="A364" s="52" t="s">
        <v>620</v>
      </c>
      <c r="B364" s="17"/>
      <c r="C364" s="18"/>
      <c r="D364" s="4"/>
      <c r="E364" s="19">
        <v>0.0</v>
      </c>
      <c r="F364" s="19">
        <v>0.0</v>
      </c>
      <c r="G364" s="16" t="s">
        <v>437</v>
      </c>
      <c r="H364" s="21"/>
      <c r="I364" s="22" t="s">
        <v>99</v>
      </c>
      <c r="J364" s="29"/>
      <c r="K364" s="43">
        <v>4000.0</v>
      </c>
      <c r="L364" s="44">
        <v>8000.0</v>
      </c>
      <c r="M364" s="25"/>
      <c r="N364" s="70"/>
      <c r="O364" s="27">
        <f t="shared" si="46"/>
        <v>1</v>
      </c>
      <c r="P364" s="28">
        <f t="shared" si="47"/>
        <v>0</v>
      </c>
    </row>
    <row r="365" hidden="1">
      <c r="A365" s="52" t="s">
        <v>621</v>
      </c>
      <c r="B365" s="17"/>
      <c r="C365" s="18"/>
      <c r="D365" s="4"/>
      <c r="E365" s="19">
        <v>0.0</v>
      </c>
      <c r="F365" s="19">
        <v>0.0</v>
      </c>
      <c r="G365" s="16" t="s">
        <v>437</v>
      </c>
      <c r="H365" s="21"/>
      <c r="I365" s="22" t="s">
        <v>99</v>
      </c>
      <c r="J365" s="29"/>
      <c r="K365" s="43">
        <v>3800.0</v>
      </c>
      <c r="L365" s="44">
        <v>8000.0</v>
      </c>
      <c r="M365" s="25"/>
      <c r="N365" s="70"/>
      <c r="O365" s="27">
        <f t="shared" si="46"/>
        <v>1.105263158</v>
      </c>
      <c r="P365" s="28">
        <f t="shared" si="47"/>
        <v>0</v>
      </c>
    </row>
    <row r="366" hidden="1">
      <c r="A366" s="52" t="s">
        <v>622</v>
      </c>
      <c r="B366" s="17"/>
      <c r="C366" s="18"/>
      <c r="D366" s="4"/>
      <c r="E366" s="19">
        <v>0.0</v>
      </c>
      <c r="F366" s="19">
        <v>0.0</v>
      </c>
      <c r="G366" s="16" t="s">
        <v>437</v>
      </c>
      <c r="H366" s="21"/>
      <c r="I366" s="22" t="s">
        <v>99</v>
      </c>
      <c r="J366" s="29"/>
      <c r="K366" s="43">
        <v>3800.0</v>
      </c>
      <c r="L366" s="44">
        <v>8000.0</v>
      </c>
      <c r="M366" s="25"/>
      <c r="N366" s="70"/>
      <c r="O366" s="27">
        <f t="shared" si="46"/>
        <v>1.105263158</v>
      </c>
      <c r="P366" s="28">
        <f t="shared" si="47"/>
        <v>0</v>
      </c>
    </row>
    <row r="367" hidden="1">
      <c r="A367" s="52" t="s">
        <v>623</v>
      </c>
      <c r="B367" s="17"/>
      <c r="C367" s="18"/>
      <c r="D367" s="4"/>
      <c r="E367" s="19">
        <v>0.0</v>
      </c>
      <c r="F367" s="19">
        <v>0.0</v>
      </c>
      <c r="G367" s="16" t="s">
        <v>437</v>
      </c>
      <c r="H367" s="21"/>
      <c r="I367" s="22" t="s">
        <v>99</v>
      </c>
      <c r="J367" s="29"/>
      <c r="K367" s="43">
        <v>3800.0</v>
      </c>
      <c r="L367" s="44">
        <v>8000.0</v>
      </c>
      <c r="M367" s="25"/>
      <c r="N367" s="70"/>
      <c r="O367" s="27">
        <f t="shared" si="46"/>
        <v>1.105263158</v>
      </c>
      <c r="P367" s="28">
        <f t="shared" si="47"/>
        <v>0</v>
      </c>
    </row>
    <row r="368" hidden="1">
      <c r="A368" s="149" t="s">
        <v>624</v>
      </c>
      <c r="B368" s="71"/>
      <c r="C368" s="18"/>
      <c r="D368" s="4"/>
      <c r="E368" s="19">
        <v>0.0</v>
      </c>
      <c r="F368" s="19"/>
      <c r="G368" s="16" t="s">
        <v>625</v>
      </c>
      <c r="H368" s="21"/>
      <c r="I368" s="22"/>
      <c r="J368" s="29"/>
      <c r="K368" s="43">
        <v>183.0</v>
      </c>
      <c r="L368" s="44">
        <v>600.0</v>
      </c>
      <c r="M368" s="25"/>
      <c r="N368" s="26"/>
      <c r="O368" s="27">
        <f t="shared" si="46"/>
        <v>2.278688525</v>
      </c>
      <c r="P368" s="28">
        <f t="shared" si="47"/>
        <v>0</v>
      </c>
    </row>
    <row r="369" hidden="1">
      <c r="A369" s="52" t="s">
        <v>626</v>
      </c>
      <c r="B369" s="17"/>
      <c r="C369" s="18"/>
      <c r="D369" s="4"/>
      <c r="E369" s="19">
        <v>0.0</v>
      </c>
      <c r="F369" s="19">
        <v>0.0</v>
      </c>
      <c r="G369" s="16" t="s">
        <v>437</v>
      </c>
      <c r="H369" s="21"/>
      <c r="I369" s="22">
        <v>500.0</v>
      </c>
      <c r="J369" s="29"/>
      <c r="K369" s="43">
        <f>420000/200/14</f>
        <v>150</v>
      </c>
      <c r="L369" s="44">
        <v>600.0</v>
      </c>
      <c r="M369" s="25"/>
      <c r="N369" s="70"/>
      <c r="O369" s="27">
        <f t="shared" si="46"/>
        <v>3</v>
      </c>
      <c r="P369" s="28">
        <f t="shared" si="47"/>
        <v>0</v>
      </c>
    </row>
    <row r="370" hidden="1">
      <c r="A370" s="52" t="s">
        <v>627</v>
      </c>
      <c r="B370" s="36"/>
      <c r="C370" s="18"/>
      <c r="D370" s="4"/>
      <c r="E370" s="19">
        <v>0.0</v>
      </c>
      <c r="F370" s="19">
        <v>0.0</v>
      </c>
      <c r="G370" s="16" t="s">
        <v>437</v>
      </c>
      <c r="H370" s="21"/>
      <c r="I370" s="22">
        <v>50.0</v>
      </c>
      <c r="J370" s="29"/>
      <c r="K370" s="32">
        <f>70000/100</f>
        <v>700</v>
      </c>
      <c r="L370" s="32">
        <v>1500.0</v>
      </c>
      <c r="M370" s="25"/>
      <c r="N370" s="70"/>
      <c r="O370" s="27">
        <f t="shared" si="46"/>
        <v>1.142857143</v>
      </c>
      <c r="P370" s="28">
        <f t="shared" si="47"/>
        <v>0</v>
      </c>
    </row>
    <row r="371" hidden="1">
      <c r="A371" s="52" t="s">
        <v>628</v>
      </c>
      <c r="B371" s="17"/>
      <c r="C371" s="18"/>
      <c r="D371" s="4"/>
      <c r="E371" s="19">
        <v>0.0</v>
      </c>
      <c r="F371" s="19">
        <v>0.0</v>
      </c>
      <c r="G371" s="16" t="s">
        <v>437</v>
      </c>
      <c r="H371" s="21"/>
      <c r="I371" s="22">
        <v>500.0</v>
      </c>
      <c r="J371" s="29"/>
      <c r="K371" s="43">
        <f>420000/200/14</f>
        <v>150</v>
      </c>
      <c r="L371" s="44">
        <v>600.0</v>
      </c>
      <c r="M371" s="25"/>
      <c r="N371" s="70"/>
      <c r="O371" s="27">
        <f t="shared" si="46"/>
        <v>3</v>
      </c>
      <c r="P371" s="28">
        <f t="shared" si="47"/>
        <v>0</v>
      </c>
    </row>
    <row r="372" hidden="1">
      <c r="A372" s="16" t="s">
        <v>629</v>
      </c>
      <c r="B372" s="49"/>
      <c r="C372" s="18"/>
      <c r="D372" s="4"/>
      <c r="E372" s="19">
        <v>0.0</v>
      </c>
      <c r="F372" s="19">
        <v>0.0</v>
      </c>
      <c r="G372" s="16" t="s">
        <v>630</v>
      </c>
      <c r="H372" s="21"/>
      <c r="I372" s="22">
        <v>0.0</v>
      </c>
      <c r="J372" s="29"/>
      <c r="K372" s="32">
        <v>22000.0</v>
      </c>
      <c r="L372" s="24">
        <v>38000.0</v>
      </c>
      <c r="M372" s="25">
        <v>1.19</v>
      </c>
      <c r="N372" s="69"/>
      <c r="O372" s="27">
        <f t="shared" si="46"/>
        <v>0.7272727273</v>
      </c>
      <c r="P372" s="28"/>
    </row>
    <row r="373" hidden="1">
      <c r="A373" s="16" t="s">
        <v>631</v>
      </c>
      <c r="B373" s="49"/>
      <c r="C373" s="18"/>
      <c r="D373" s="4"/>
      <c r="E373" s="19">
        <v>0.0</v>
      </c>
      <c r="F373" s="19">
        <v>0.0</v>
      </c>
      <c r="G373" s="16" t="s">
        <v>630</v>
      </c>
      <c r="H373" s="21"/>
      <c r="I373" s="22"/>
      <c r="J373" s="29"/>
      <c r="K373" s="32">
        <f>22000/2.5</f>
        <v>8800</v>
      </c>
      <c r="L373" s="24">
        <v>18000.0</v>
      </c>
      <c r="M373" s="25"/>
      <c r="N373" s="69"/>
      <c r="O373" s="27">
        <f t="shared" si="46"/>
        <v>1.045454545</v>
      </c>
      <c r="P373" s="28"/>
    </row>
    <row r="374" hidden="1">
      <c r="A374" s="150" t="s">
        <v>632</v>
      </c>
      <c r="B374" s="36"/>
      <c r="C374" s="18"/>
      <c r="D374" s="4"/>
      <c r="E374" s="19">
        <v>0.0</v>
      </c>
      <c r="F374" s="62"/>
      <c r="G374" s="16" t="s">
        <v>39</v>
      </c>
      <c r="H374" s="21"/>
      <c r="I374" s="22"/>
      <c r="J374" s="29"/>
      <c r="K374" s="32">
        <v>2000.0</v>
      </c>
      <c r="L374" s="24">
        <v>7000.0</v>
      </c>
      <c r="M374" s="25"/>
      <c r="N374" s="26"/>
      <c r="O374" s="27">
        <f t="shared" si="46"/>
        <v>2.5</v>
      </c>
      <c r="P374" s="28" t="str">
        <f>K374*#REF!</f>
        <v>#REF!</v>
      </c>
    </row>
    <row r="375" hidden="1">
      <c r="A375" s="42" t="s">
        <v>633</v>
      </c>
      <c r="B375" s="114"/>
      <c r="C375" s="18"/>
      <c r="D375" s="4"/>
      <c r="E375" s="19"/>
      <c r="F375" s="19"/>
      <c r="G375" s="20" t="s">
        <v>291</v>
      </c>
      <c r="H375" s="21"/>
      <c r="I375" s="22"/>
      <c r="J375" s="29"/>
      <c r="K375" s="32">
        <f>11000/25</f>
        <v>440</v>
      </c>
      <c r="L375" s="24">
        <v>1000.0</v>
      </c>
      <c r="M375" s="25"/>
      <c r="N375" s="50"/>
      <c r="O375" s="27">
        <f t="shared" si="46"/>
        <v>1.272727273</v>
      </c>
      <c r="P375" s="28">
        <f t="shared" ref="P375:P383" si="48">K375*F375</f>
        <v>0</v>
      </c>
    </row>
    <row r="376" hidden="1">
      <c r="A376" s="16" t="s">
        <v>634</v>
      </c>
      <c r="B376" s="36"/>
      <c r="C376" s="18"/>
      <c r="D376" s="4"/>
      <c r="E376" s="19">
        <v>0.0</v>
      </c>
      <c r="F376" s="19">
        <v>0.0</v>
      </c>
      <c r="G376" s="20" t="s">
        <v>400</v>
      </c>
      <c r="H376" s="21"/>
      <c r="I376" s="22">
        <v>4.0</v>
      </c>
      <c r="J376" s="29"/>
      <c r="K376" s="32">
        <v>22479.0</v>
      </c>
      <c r="L376" s="24">
        <v>52000.0</v>
      </c>
      <c r="M376" s="25"/>
      <c r="N376" s="26"/>
      <c r="O376" s="27">
        <f t="shared" si="46"/>
        <v>1.313270163</v>
      </c>
      <c r="P376" s="28">
        <f t="shared" si="48"/>
        <v>0</v>
      </c>
    </row>
    <row r="377" hidden="1">
      <c r="A377" s="16" t="s">
        <v>635</v>
      </c>
      <c r="B377" s="36"/>
      <c r="C377" s="18"/>
      <c r="D377" s="4"/>
      <c r="E377" s="19">
        <v>0.0</v>
      </c>
      <c r="F377" s="19"/>
      <c r="G377" s="20" t="s">
        <v>57</v>
      </c>
      <c r="H377" s="21"/>
      <c r="I377" s="22"/>
      <c r="J377" s="29"/>
      <c r="K377" s="43">
        <v>800.0</v>
      </c>
      <c r="L377" s="44">
        <v>4000.0</v>
      </c>
      <c r="M377" s="25"/>
      <c r="N377" s="26"/>
      <c r="O377" s="27">
        <f t="shared" si="46"/>
        <v>4</v>
      </c>
      <c r="P377" s="28">
        <f t="shared" si="48"/>
        <v>0</v>
      </c>
    </row>
    <row r="378" hidden="1">
      <c r="A378" s="16" t="s">
        <v>636</v>
      </c>
      <c r="B378" s="36"/>
      <c r="C378" s="18"/>
      <c r="D378" s="4"/>
      <c r="E378" s="19">
        <v>0.0</v>
      </c>
      <c r="F378" s="19"/>
      <c r="G378" s="20" t="s">
        <v>57</v>
      </c>
      <c r="H378" s="21"/>
      <c r="I378" s="22"/>
      <c r="J378" s="29"/>
      <c r="K378" s="43">
        <f>14706*1.19/25</f>
        <v>700.0056</v>
      </c>
      <c r="L378" s="44">
        <v>4000.0</v>
      </c>
      <c r="M378" s="25"/>
      <c r="N378" s="26"/>
      <c r="O378" s="27">
        <f t="shared" si="46"/>
        <v>4.71424</v>
      </c>
      <c r="P378" s="28">
        <f t="shared" si="48"/>
        <v>0</v>
      </c>
    </row>
    <row r="379" hidden="1">
      <c r="A379" s="16" t="s">
        <v>637</v>
      </c>
      <c r="B379" s="51"/>
      <c r="C379" s="18"/>
      <c r="D379" s="4"/>
      <c r="E379" s="19">
        <v>0.0</v>
      </c>
      <c r="F379" s="19">
        <v>0.0</v>
      </c>
      <c r="G379" s="20" t="s">
        <v>93</v>
      </c>
      <c r="H379" s="21"/>
      <c r="I379" s="22">
        <v>0.0</v>
      </c>
      <c r="J379" s="29"/>
      <c r="K379" s="32">
        <v>85060.0</v>
      </c>
      <c r="L379" s="24">
        <v>108000.0</v>
      </c>
      <c r="M379" s="25"/>
      <c r="N379" s="57"/>
      <c r="O379" s="27">
        <f t="shared" si="46"/>
        <v>0.2696919821</v>
      </c>
      <c r="P379" s="28">
        <f t="shared" si="48"/>
        <v>0</v>
      </c>
    </row>
    <row r="380" hidden="1">
      <c r="A380" s="122" t="s">
        <v>638</v>
      </c>
      <c r="B380" s="17"/>
      <c r="C380" s="18"/>
      <c r="D380" s="4"/>
      <c r="E380" s="19">
        <v>0.0</v>
      </c>
      <c r="F380" s="19"/>
      <c r="G380" s="16" t="s">
        <v>553</v>
      </c>
      <c r="H380" s="21"/>
      <c r="I380" s="22"/>
      <c r="J380" s="29"/>
      <c r="K380" s="43">
        <v>1.0</v>
      </c>
      <c r="L380" s="43">
        <v>1.0</v>
      </c>
      <c r="M380" s="25"/>
      <c r="N380" s="26"/>
      <c r="O380" s="27">
        <f t="shared" si="46"/>
        <v>0</v>
      </c>
      <c r="P380" s="28">
        <f t="shared" si="48"/>
        <v>0</v>
      </c>
    </row>
    <row r="381" hidden="1">
      <c r="A381" s="16" t="s">
        <v>639</v>
      </c>
      <c r="B381" s="49"/>
      <c r="C381" s="18" t="s">
        <v>547</v>
      </c>
      <c r="D381" s="4"/>
      <c r="E381" s="19"/>
      <c r="F381" s="19"/>
      <c r="G381" s="20" t="s">
        <v>640</v>
      </c>
      <c r="H381" s="21">
        <v>0.0</v>
      </c>
      <c r="I381" s="22"/>
      <c r="J381" s="29"/>
      <c r="K381" s="43">
        <v>1.0</v>
      </c>
      <c r="L381" s="44">
        <v>0.0</v>
      </c>
      <c r="M381" s="25"/>
      <c r="N381" s="70"/>
      <c r="O381" s="147" t="s">
        <v>611</v>
      </c>
      <c r="P381" s="28">
        <f t="shared" si="48"/>
        <v>0</v>
      </c>
    </row>
    <row r="382" hidden="1">
      <c r="A382" s="42" t="s">
        <v>641</v>
      </c>
      <c r="B382" s="36"/>
      <c r="C382" s="18" t="s">
        <v>547</v>
      </c>
      <c r="D382" s="4"/>
      <c r="E382" s="19">
        <v>0.0</v>
      </c>
      <c r="F382" s="19"/>
      <c r="G382" s="151" t="s">
        <v>625</v>
      </c>
      <c r="H382" s="21"/>
      <c r="I382" s="22"/>
      <c r="J382" s="29"/>
      <c r="K382" s="43">
        <v>1.0</v>
      </c>
      <c r="L382" s="43">
        <v>1.0</v>
      </c>
      <c r="M382" s="25"/>
      <c r="N382" s="50"/>
      <c r="O382" s="27">
        <f t="shared" ref="O382:O398" si="49">(L382/K382)-1</f>
        <v>0</v>
      </c>
      <c r="P382" s="28">
        <f t="shared" si="48"/>
        <v>0</v>
      </c>
    </row>
    <row r="383" hidden="1">
      <c r="A383" s="42" t="s">
        <v>642</v>
      </c>
      <c r="B383" s="71"/>
      <c r="C383" s="18"/>
      <c r="D383" s="4"/>
      <c r="E383" s="19">
        <v>0.0</v>
      </c>
      <c r="F383" s="19">
        <v>0.0</v>
      </c>
      <c r="G383" s="20" t="s">
        <v>643</v>
      </c>
      <c r="H383" s="21"/>
      <c r="I383" s="22"/>
      <c r="J383" s="29"/>
      <c r="K383" s="43">
        <f>17200/25</f>
        <v>688</v>
      </c>
      <c r="L383" s="44">
        <v>1500.0</v>
      </c>
      <c r="M383" s="25"/>
      <c r="N383" s="26"/>
      <c r="O383" s="27">
        <f t="shared" si="49"/>
        <v>1.180232558</v>
      </c>
      <c r="P383" s="28">
        <f t="shared" si="48"/>
        <v>0</v>
      </c>
    </row>
    <row r="384" hidden="1">
      <c r="A384" s="42" t="s">
        <v>644</v>
      </c>
      <c r="B384" s="71"/>
      <c r="C384" s="18"/>
      <c r="D384" s="66"/>
      <c r="E384" s="19">
        <v>0.0</v>
      </c>
      <c r="F384" s="19"/>
      <c r="G384" s="20" t="s">
        <v>553</v>
      </c>
      <c r="H384" s="21"/>
      <c r="I384" s="22"/>
      <c r="J384" s="29"/>
      <c r="K384" s="32">
        <f>17200/100</f>
        <v>172</v>
      </c>
      <c r="L384" s="24">
        <v>1500.0</v>
      </c>
      <c r="M384" s="25"/>
      <c r="N384" s="26"/>
      <c r="O384" s="27">
        <f t="shared" si="49"/>
        <v>7.720930233</v>
      </c>
      <c r="P384" s="28" t="str">
        <f>K384*#REF!</f>
        <v>#REF!</v>
      </c>
    </row>
    <row r="385" hidden="1">
      <c r="A385" s="42" t="s">
        <v>645</v>
      </c>
      <c r="B385" s="17" t="s">
        <v>646</v>
      </c>
      <c r="C385" s="18"/>
      <c r="D385" s="4"/>
      <c r="E385" s="19">
        <v>0.0</v>
      </c>
      <c r="F385" s="19">
        <v>0.0</v>
      </c>
      <c r="G385" s="16" t="s">
        <v>104</v>
      </c>
      <c r="H385" s="21"/>
      <c r="I385" s="22">
        <v>0.0</v>
      </c>
      <c r="J385" s="29"/>
      <c r="K385" s="43">
        <v>8190.0</v>
      </c>
      <c r="L385" s="44">
        <v>14000.0</v>
      </c>
      <c r="M385" s="25"/>
      <c r="N385" s="26"/>
      <c r="O385" s="27">
        <f t="shared" si="49"/>
        <v>0.7094017094</v>
      </c>
      <c r="P385" s="28">
        <f t="shared" ref="P385:P400" si="50">K385*F385</f>
        <v>0</v>
      </c>
    </row>
    <row r="386" hidden="1">
      <c r="A386" s="42" t="s">
        <v>647</v>
      </c>
      <c r="B386" s="17"/>
      <c r="C386" s="18"/>
      <c r="D386" s="4"/>
      <c r="E386" s="19">
        <v>0.0</v>
      </c>
      <c r="F386" s="19">
        <v>0.0</v>
      </c>
      <c r="G386" s="54" t="s">
        <v>102</v>
      </c>
      <c r="H386" s="21"/>
      <c r="I386" s="22">
        <v>0.0</v>
      </c>
      <c r="J386" s="29"/>
      <c r="K386" s="43">
        <v>8000.0</v>
      </c>
      <c r="L386" s="44">
        <v>18000.0</v>
      </c>
      <c r="M386" s="25"/>
      <c r="N386" s="26"/>
      <c r="O386" s="27">
        <f t="shared" si="49"/>
        <v>1.25</v>
      </c>
      <c r="P386" s="28">
        <f t="shared" si="50"/>
        <v>0</v>
      </c>
    </row>
    <row r="387" hidden="1">
      <c r="A387" s="16" t="s">
        <v>648</v>
      </c>
      <c r="B387" s="17"/>
      <c r="C387" s="18"/>
      <c r="D387" s="4"/>
      <c r="E387" s="19"/>
      <c r="F387" s="19"/>
      <c r="G387" s="16" t="s">
        <v>88</v>
      </c>
      <c r="H387" s="21"/>
      <c r="I387" s="22">
        <v>0.0</v>
      </c>
      <c r="J387" s="29"/>
      <c r="K387" s="43">
        <v>8350.0</v>
      </c>
      <c r="L387" s="44">
        <v>12000.0</v>
      </c>
      <c r="M387" s="25"/>
      <c r="N387" s="26"/>
      <c r="O387" s="27">
        <f t="shared" si="49"/>
        <v>0.4371257485</v>
      </c>
      <c r="P387" s="28">
        <f t="shared" si="50"/>
        <v>0</v>
      </c>
    </row>
    <row r="388" hidden="1">
      <c r="A388" s="42" t="s">
        <v>649</v>
      </c>
      <c r="B388" s="17" t="s">
        <v>650</v>
      </c>
      <c r="C388" s="18"/>
      <c r="D388" s="4"/>
      <c r="E388" s="19">
        <v>0.0</v>
      </c>
      <c r="F388" s="19">
        <v>0.0</v>
      </c>
      <c r="G388" s="54" t="s">
        <v>473</v>
      </c>
      <c r="H388" s="21"/>
      <c r="I388" s="22"/>
      <c r="J388" s="47">
        <v>45840.0</v>
      </c>
      <c r="K388" s="48">
        <v>99000.0</v>
      </c>
      <c r="L388" s="48">
        <v>136000.0</v>
      </c>
      <c r="M388" s="25" t="s">
        <v>82</v>
      </c>
      <c r="N388" s="26"/>
      <c r="O388" s="27">
        <f t="shared" si="49"/>
        <v>0.3737373737</v>
      </c>
      <c r="P388" s="28">
        <f t="shared" si="50"/>
        <v>0</v>
      </c>
    </row>
    <row r="389" hidden="1">
      <c r="A389" s="42" t="s">
        <v>651</v>
      </c>
      <c r="B389" s="17"/>
      <c r="C389" s="18"/>
      <c r="D389" s="4"/>
      <c r="E389" s="19">
        <v>0.0</v>
      </c>
      <c r="F389" s="19">
        <v>0.0</v>
      </c>
      <c r="G389" s="54" t="s">
        <v>473</v>
      </c>
      <c r="H389" s="21"/>
      <c r="I389" s="22"/>
      <c r="J389" s="47">
        <v>45838.0</v>
      </c>
      <c r="K389" s="48">
        <f>100000/4</f>
        <v>25000</v>
      </c>
      <c r="L389" s="48">
        <v>46000.0</v>
      </c>
      <c r="M389" s="25" t="s">
        <v>82</v>
      </c>
      <c r="N389" s="26">
        <v>36000.0</v>
      </c>
      <c r="O389" s="27">
        <f t="shared" si="49"/>
        <v>0.84</v>
      </c>
      <c r="P389" s="28">
        <f t="shared" si="50"/>
        <v>0</v>
      </c>
    </row>
    <row r="390" hidden="1">
      <c r="A390" s="42" t="s">
        <v>652</v>
      </c>
      <c r="B390" s="17"/>
      <c r="C390" s="18"/>
      <c r="D390" s="4"/>
      <c r="E390" s="19">
        <v>0.0</v>
      </c>
      <c r="F390" s="19">
        <v>0.0</v>
      </c>
      <c r="G390" s="54" t="s">
        <v>473</v>
      </c>
      <c r="H390" s="21"/>
      <c r="I390" s="22"/>
      <c r="J390" s="47">
        <v>45837.0</v>
      </c>
      <c r="K390" s="48">
        <f>100000/3</f>
        <v>33333.33333</v>
      </c>
      <c r="L390" s="48">
        <v>54000.0</v>
      </c>
      <c r="M390" s="25" t="s">
        <v>82</v>
      </c>
      <c r="N390" s="26">
        <v>42000.0</v>
      </c>
      <c r="O390" s="27">
        <f t="shared" si="49"/>
        <v>0.62</v>
      </c>
      <c r="P390" s="28">
        <f t="shared" si="50"/>
        <v>0</v>
      </c>
    </row>
    <row r="391" hidden="1">
      <c r="A391" s="42" t="s">
        <v>653</v>
      </c>
      <c r="B391" s="17"/>
      <c r="C391" s="18"/>
      <c r="D391" s="4"/>
      <c r="E391" s="19">
        <v>0.0</v>
      </c>
      <c r="F391" s="19">
        <v>0.0</v>
      </c>
      <c r="G391" s="54" t="s">
        <v>473</v>
      </c>
      <c r="H391" s="21"/>
      <c r="I391" s="22"/>
      <c r="J391" s="47">
        <v>45839.0</v>
      </c>
      <c r="K391" s="32">
        <f>38104/2</f>
        <v>19052</v>
      </c>
      <c r="L391" s="32">
        <v>34000.0</v>
      </c>
      <c r="M391" s="25" t="s">
        <v>82</v>
      </c>
      <c r="N391" s="26"/>
      <c r="O391" s="27">
        <f t="shared" si="49"/>
        <v>0.7845895444</v>
      </c>
      <c r="P391" s="28">
        <f t="shared" si="50"/>
        <v>0</v>
      </c>
    </row>
    <row r="392" hidden="1">
      <c r="A392" s="16" t="s">
        <v>654</v>
      </c>
      <c r="B392" s="17"/>
      <c r="C392" s="18"/>
      <c r="D392" s="4"/>
      <c r="E392" s="19">
        <v>0.0</v>
      </c>
      <c r="F392" s="19">
        <v>0.0</v>
      </c>
      <c r="G392" s="120" t="s">
        <v>655</v>
      </c>
      <c r="H392" s="21"/>
      <c r="I392" s="22">
        <v>10.0</v>
      </c>
      <c r="J392" s="47">
        <v>46082.0</v>
      </c>
      <c r="K392" s="32">
        <v>18172.0</v>
      </c>
      <c r="L392" s="24">
        <v>32000.0</v>
      </c>
      <c r="M392" s="25" t="s">
        <v>82</v>
      </c>
      <c r="N392" s="31">
        <v>25000.0</v>
      </c>
      <c r="O392" s="27">
        <f t="shared" si="49"/>
        <v>0.7609509135</v>
      </c>
      <c r="P392" s="28">
        <f t="shared" si="50"/>
        <v>0</v>
      </c>
    </row>
    <row r="393" hidden="1">
      <c r="A393" s="16" t="s">
        <v>656</v>
      </c>
      <c r="B393" s="17"/>
      <c r="C393" s="18"/>
      <c r="D393" s="4"/>
      <c r="E393" s="19">
        <v>0.0</v>
      </c>
      <c r="F393" s="19">
        <v>0.0</v>
      </c>
      <c r="G393" s="40" t="s">
        <v>93</v>
      </c>
      <c r="H393" s="21"/>
      <c r="I393" s="22">
        <v>0.0</v>
      </c>
      <c r="J393" s="29"/>
      <c r="K393" s="32">
        <v>32130.0</v>
      </c>
      <c r="L393" s="24">
        <v>42000.0</v>
      </c>
      <c r="M393" s="25"/>
      <c r="N393" s="26"/>
      <c r="O393" s="27">
        <f t="shared" si="49"/>
        <v>0.3071895425</v>
      </c>
      <c r="P393" s="28">
        <f t="shared" si="50"/>
        <v>0</v>
      </c>
    </row>
    <row r="394" hidden="1">
      <c r="A394" s="16" t="s">
        <v>657</v>
      </c>
      <c r="B394" s="17"/>
      <c r="C394" s="18"/>
      <c r="D394" s="4"/>
      <c r="E394" s="19">
        <v>0.0</v>
      </c>
      <c r="F394" s="19">
        <v>0.0</v>
      </c>
      <c r="G394" s="120" t="s">
        <v>655</v>
      </c>
      <c r="H394" s="21"/>
      <c r="I394" s="22">
        <v>4.0</v>
      </c>
      <c r="J394" s="29"/>
      <c r="K394" s="32">
        <v>19360.0</v>
      </c>
      <c r="L394" s="24">
        <v>34000.0</v>
      </c>
      <c r="M394" s="25" t="s">
        <v>82</v>
      </c>
      <c r="N394" s="26">
        <v>25000.0</v>
      </c>
      <c r="O394" s="27">
        <f t="shared" si="49"/>
        <v>0.7561983471</v>
      </c>
      <c r="P394" s="28">
        <f t="shared" si="50"/>
        <v>0</v>
      </c>
    </row>
    <row r="395" hidden="1">
      <c r="A395" s="122" t="s">
        <v>658</v>
      </c>
      <c r="B395" s="17">
        <v>248002.0</v>
      </c>
      <c r="C395" s="18"/>
      <c r="D395" s="110"/>
      <c r="E395" s="19">
        <v>0.0</v>
      </c>
      <c r="F395" s="152">
        <v>0.0</v>
      </c>
      <c r="G395" s="16" t="s">
        <v>659</v>
      </c>
      <c r="H395" s="21"/>
      <c r="I395" s="22">
        <v>20.0</v>
      </c>
      <c r="J395" s="23"/>
      <c r="K395" s="44">
        <f>3347*1.19</f>
        <v>3982.93</v>
      </c>
      <c r="L395" s="44">
        <v>7000.0</v>
      </c>
      <c r="M395" s="25"/>
      <c r="N395" s="26"/>
      <c r="O395" s="27">
        <f t="shared" si="49"/>
        <v>0.7575001318</v>
      </c>
      <c r="P395" s="28">
        <f t="shared" si="50"/>
        <v>0</v>
      </c>
    </row>
    <row r="396" hidden="1">
      <c r="A396" s="122" t="s">
        <v>660</v>
      </c>
      <c r="B396" s="17">
        <v>241027.0</v>
      </c>
      <c r="C396" s="18"/>
      <c r="D396" s="4"/>
      <c r="E396" s="19">
        <v>0.0</v>
      </c>
      <c r="F396" s="19">
        <v>0.0</v>
      </c>
      <c r="G396" s="16" t="s">
        <v>425</v>
      </c>
      <c r="H396" s="21"/>
      <c r="I396" s="22">
        <v>60.0</v>
      </c>
      <c r="J396" s="29"/>
      <c r="K396" s="43">
        <f>1416*1.19</f>
        <v>1685.04</v>
      </c>
      <c r="L396" s="43">
        <v>4000.0</v>
      </c>
      <c r="M396" s="25"/>
      <c r="N396" s="70"/>
      <c r="O396" s="27">
        <f t="shared" si="49"/>
        <v>1.373830888</v>
      </c>
      <c r="P396" s="28">
        <f t="shared" si="50"/>
        <v>0</v>
      </c>
    </row>
    <row r="397" hidden="1">
      <c r="A397" s="16" t="s">
        <v>661</v>
      </c>
      <c r="B397" s="36"/>
      <c r="C397" s="18"/>
      <c r="D397" s="4"/>
      <c r="E397" s="19"/>
      <c r="F397" s="19"/>
      <c r="G397" s="16" t="s">
        <v>39</v>
      </c>
      <c r="H397" s="21"/>
      <c r="I397" s="22"/>
      <c r="J397" s="29"/>
      <c r="K397" s="43">
        <f>21795*1.19/10</f>
        <v>2593.605</v>
      </c>
      <c r="L397" s="44">
        <v>7000.0</v>
      </c>
      <c r="M397" s="25"/>
      <c r="N397" s="63"/>
      <c r="O397" s="27">
        <f t="shared" si="49"/>
        <v>1.698946062</v>
      </c>
      <c r="P397" s="28">
        <f t="shared" si="50"/>
        <v>0</v>
      </c>
    </row>
    <row r="398" hidden="1">
      <c r="A398" s="16" t="s">
        <v>662</v>
      </c>
      <c r="B398" s="36"/>
      <c r="C398" s="18"/>
      <c r="D398" s="4"/>
      <c r="E398" s="19">
        <v>0.0</v>
      </c>
      <c r="F398" s="19"/>
      <c r="G398" s="16" t="s">
        <v>39</v>
      </c>
      <c r="H398" s="21"/>
      <c r="I398" s="22"/>
      <c r="J398" s="29"/>
      <c r="K398" s="43">
        <f>2180.22*1.19/3</f>
        <v>864.8206</v>
      </c>
      <c r="L398" s="44">
        <v>5000.0</v>
      </c>
      <c r="M398" s="25"/>
      <c r="N398" s="50"/>
      <c r="O398" s="27">
        <f t="shared" si="49"/>
        <v>4.781545907</v>
      </c>
      <c r="P398" s="28">
        <f t="shared" si="50"/>
        <v>0</v>
      </c>
    </row>
    <row r="399" hidden="1">
      <c r="A399" s="42" t="s">
        <v>663</v>
      </c>
      <c r="B399" s="114"/>
      <c r="C399" s="153"/>
      <c r="D399" s="154"/>
      <c r="E399" s="19">
        <v>0.0</v>
      </c>
      <c r="F399" s="155"/>
      <c r="G399" s="20" t="s">
        <v>664</v>
      </c>
      <c r="H399" s="21"/>
      <c r="I399" s="22"/>
      <c r="J399" s="29"/>
      <c r="K399" s="32">
        <f>8067*1.19/12</f>
        <v>799.9775</v>
      </c>
      <c r="L399" s="24">
        <v>2000.0</v>
      </c>
      <c r="M399" s="25"/>
      <c r="N399" s="50"/>
      <c r="O399" s="27">
        <f>(L399/K398)-1</f>
        <v>1.312618363</v>
      </c>
      <c r="P399" s="28">
        <f t="shared" si="50"/>
        <v>0</v>
      </c>
    </row>
    <row r="400" hidden="1">
      <c r="A400" s="156" t="s">
        <v>665</v>
      </c>
      <c r="B400" s="71"/>
      <c r="C400" s="153"/>
      <c r="D400" s="4"/>
      <c r="E400" s="19">
        <v>0.0</v>
      </c>
      <c r="F400" s="19"/>
      <c r="G400" s="20" t="s">
        <v>666</v>
      </c>
      <c r="H400" s="33"/>
      <c r="I400" s="22"/>
      <c r="J400" s="34"/>
      <c r="K400" s="123">
        <f>7142*1.19/12</f>
        <v>708.2483333</v>
      </c>
      <c r="L400" s="44">
        <v>2000.0</v>
      </c>
      <c r="M400" s="25"/>
      <c r="N400" s="50"/>
      <c r="O400" s="27">
        <f>(L400/K400)-1</f>
        <v>1.823868276</v>
      </c>
      <c r="P400" s="28">
        <f t="shared" si="50"/>
        <v>0</v>
      </c>
    </row>
    <row r="401" hidden="1">
      <c r="A401" s="52" t="s">
        <v>667</v>
      </c>
      <c r="B401" s="126"/>
      <c r="C401" s="18"/>
      <c r="D401" s="4"/>
      <c r="E401" s="19">
        <v>0.0</v>
      </c>
      <c r="F401" s="19">
        <v>0.0</v>
      </c>
      <c r="G401" s="20" t="s">
        <v>668</v>
      </c>
      <c r="H401" s="21"/>
      <c r="I401" s="22">
        <v>7.0</v>
      </c>
      <c r="J401" s="29"/>
      <c r="K401" s="43"/>
      <c r="L401" s="44"/>
      <c r="M401" s="25"/>
      <c r="N401" s="70"/>
      <c r="O401" s="27"/>
      <c r="P401" s="28"/>
    </row>
    <row r="402" hidden="1">
      <c r="A402" s="16" t="s">
        <v>669</v>
      </c>
      <c r="B402" s="17"/>
      <c r="C402" s="18"/>
      <c r="D402" s="4"/>
      <c r="E402" s="19">
        <v>0.0</v>
      </c>
      <c r="F402" s="19">
        <v>0.0</v>
      </c>
      <c r="G402" s="16" t="s">
        <v>670</v>
      </c>
      <c r="H402" s="21"/>
      <c r="I402" s="22">
        <v>30.0</v>
      </c>
      <c r="J402" s="29"/>
      <c r="K402" s="43">
        <f>1800*1.19</f>
        <v>2142</v>
      </c>
      <c r="L402" s="44">
        <v>5000.0</v>
      </c>
      <c r="M402" s="25"/>
      <c r="N402" s="26"/>
      <c r="O402" s="27">
        <f t="shared" ref="O402:O436" si="51">(L402/K402)-1</f>
        <v>1.33426704</v>
      </c>
      <c r="P402" s="28">
        <f t="shared" ref="P402:P436" si="52">K402*F402</f>
        <v>0</v>
      </c>
    </row>
    <row r="403" hidden="1">
      <c r="A403" s="16" t="s">
        <v>669</v>
      </c>
      <c r="B403" s="17"/>
      <c r="C403" s="18"/>
      <c r="D403" s="4"/>
      <c r="E403" s="19">
        <v>0.0</v>
      </c>
      <c r="F403" s="19">
        <v>0.0</v>
      </c>
      <c r="G403" s="16" t="s">
        <v>671</v>
      </c>
      <c r="H403" s="21"/>
      <c r="I403" s="22">
        <v>0.0</v>
      </c>
      <c r="J403" s="29"/>
      <c r="K403" s="32">
        <v>2815.0</v>
      </c>
      <c r="L403" s="24">
        <v>5000.0</v>
      </c>
      <c r="M403" s="25"/>
      <c r="N403" s="26"/>
      <c r="O403" s="27">
        <f t="shared" si="51"/>
        <v>0.7761989343</v>
      </c>
      <c r="P403" s="28">
        <f t="shared" si="52"/>
        <v>0</v>
      </c>
    </row>
    <row r="404" hidden="1">
      <c r="A404" s="16" t="s">
        <v>672</v>
      </c>
      <c r="B404" s="17"/>
      <c r="C404" s="18"/>
      <c r="D404" s="110"/>
      <c r="E404" s="19">
        <v>0.0</v>
      </c>
      <c r="F404" s="152">
        <v>0.0</v>
      </c>
      <c r="G404" s="16" t="s">
        <v>670</v>
      </c>
      <c r="H404" s="21"/>
      <c r="I404" s="22">
        <v>20.0</v>
      </c>
      <c r="J404" s="29"/>
      <c r="K404" s="32">
        <f>9621/5</f>
        <v>1924.2</v>
      </c>
      <c r="L404" s="24">
        <v>4000.0</v>
      </c>
      <c r="M404" s="25"/>
      <c r="N404" s="26"/>
      <c r="O404" s="27">
        <f t="shared" si="51"/>
        <v>1.078785989</v>
      </c>
      <c r="P404" s="28">
        <f t="shared" si="52"/>
        <v>0</v>
      </c>
    </row>
    <row r="405" hidden="1">
      <c r="A405" s="16" t="s">
        <v>673</v>
      </c>
      <c r="B405" s="17"/>
      <c r="C405" s="18"/>
      <c r="D405" s="4"/>
      <c r="E405" s="19"/>
      <c r="F405" s="19"/>
      <c r="G405" s="16" t="s">
        <v>674</v>
      </c>
      <c r="H405" s="21"/>
      <c r="I405" s="22"/>
      <c r="J405" s="23"/>
      <c r="K405" s="24">
        <f>9621</f>
        <v>9621</v>
      </c>
      <c r="L405" s="24">
        <v>16000.0</v>
      </c>
      <c r="M405" s="25"/>
      <c r="N405" s="26"/>
      <c r="O405" s="27">
        <f t="shared" si="51"/>
        <v>0.6630287912</v>
      </c>
      <c r="P405" s="28">
        <f t="shared" si="52"/>
        <v>0</v>
      </c>
    </row>
    <row r="406" hidden="1">
      <c r="A406" s="122" t="s">
        <v>675</v>
      </c>
      <c r="B406" s="51">
        <v>242007.0</v>
      </c>
      <c r="C406" s="18"/>
      <c r="D406" s="66" t="s">
        <v>676</v>
      </c>
      <c r="E406" s="19">
        <v>0.0</v>
      </c>
      <c r="F406" s="19">
        <v>10.0</v>
      </c>
      <c r="G406" s="16" t="s">
        <v>425</v>
      </c>
      <c r="H406" s="21"/>
      <c r="I406" s="22">
        <v>2.0</v>
      </c>
      <c r="J406" s="29"/>
      <c r="K406" s="32">
        <f t="shared" ref="K406:K407" si="53">6290*1.19</f>
        <v>7485.1</v>
      </c>
      <c r="L406" s="32">
        <v>10000.0</v>
      </c>
      <c r="M406" s="25"/>
      <c r="N406" s="70"/>
      <c r="O406" s="27">
        <f t="shared" si="51"/>
        <v>0.3359874952</v>
      </c>
      <c r="P406" s="28">
        <f t="shared" si="52"/>
        <v>74851</v>
      </c>
    </row>
    <row r="407" hidden="1">
      <c r="A407" s="122" t="s">
        <v>677</v>
      </c>
      <c r="B407" s="51">
        <v>242006.0</v>
      </c>
      <c r="C407" s="18"/>
      <c r="D407" s="66" t="s">
        <v>676</v>
      </c>
      <c r="E407" s="19">
        <v>0.0</v>
      </c>
      <c r="F407" s="19">
        <v>10.0</v>
      </c>
      <c r="G407" s="16" t="s">
        <v>425</v>
      </c>
      <c r="H407" s="21"/>
      <c r="I407" s="22">
        <v>2.0</v>
      </c>
      <c r="J407" s="29"/>
      <c r="K407" s="32">
        <f t="shared" si="53"/>
        <v>7485.1</v>
      </c>
      <c r="L407" s="32">
        <v>10000.0</v>
      </c>
      <c r="M407" s="25"/>
      <c r="N407" s="70"/>
      <c r="O407" s="27">
        <f t="shared" si="51"/>
        <v>0.3359874952</v>
      </c>
      <c r="P407" s="28">
        <f t="shared" si="52"/>
        <v>74851</v>
      </c>
    </row>
    <row r="408" hidden="1">
      <c r="A408" s="16" t="s">
        <v>678</v>
      </c>
      <c r="B408" s="17"/>
      <c r="C408" s="18"/>
      <c r="D408" s="4"/>
      <c r="E408" s="19">
        <v>0.0</v>
      </c>
      <c r="F408" s="19">
        <v>0.0</v>
      </c>
      <c r="G408" s="16" t="s">
        <v>588</v>
      </c>
      <c r="H408" s="21"/>
      <c r="I408" s="22">
        <v>50.0</v>
      </c>
      <c r="J408" s="29"/>
      <c r="K408" s="43">
        <v>1700.0</v>
      </c>
      <c r="L408" s="44">
        <v>3500.0</v>
      </c>
      <c r="M408" s="25"/>
      <c r="N408" s="26"/>
      <c r="O408" s="27">
        <f t="shared" si="51"/>
        <v>1.058823529</v>
      </c>
      <c r="P408" s="28">
        <f t="shared" si="52"/>
        <v>0</v>
      </c>
    </row>
    <row r="409" hidden="1">
      <c r="A409" s="119" t="s">
        <v>679</v>
      </c>
      <c r="B409" s="17" t="s">
        <v>680</v>
      </c>
      <c r="C409" s="18"/>
      <c r="D409" s="4"/>
      <c r="E409" s="19">
        <v>0.0</v>
      </c>
      <c r="F409" s="19">
        <v>0.0</v>
      </c>
      <c r="G409" s="16" t="s">
        <v>671</v>
      </c>
      <c r="H409" s="73"/>
      <c r="I409" s="22">
        <v>0.0</v>
      </c>
      <c r="J409" s="74"/>
      <c r="K409" s="75">
        <v>3000.0</v>
      </c>
      <c r="L409" s="44">
        <v>4500.0</v>
      </c>
      <c r="M409" s="25"/>
      <c r="N409" s="26"/>
      <c r="O409" s="27">
        <f t="shared" si="51"/>
        <v>0.5</v>
      </c>
      <c r="P409" s="28">
        <f t="shared" si="52"/>
        <v>0</v>
      </c>
    </row>
    <row r="410" hidden="1">
      <c r="A410" s="122" t="s">
        <v>681</v>
      </c>
      <c r="B410" s="17">
        <v>241025.0</v>
      </c>
      <c r="C410" s="18"/>
      <c r="D410" s="4"/>
      <c r="E410" s="19">
        <v>0.0</v>
      </c>
      <c r="F410" s="19">
        <v>0.0</v>
      </c>
      <c r="G410" s="16" t="s">
        <v>425</v>
      </c>
      <c r="H410" s="21"/>
      <c r="I410" s="22">
        <f>60+50</f>
        <v>110</v>
      </c>
      <c r="J410" s="29"/>
      <c r="K410" s="43">
        <f>1416*1.19</f>
        <v>1685.04</v>
      </c>
      <c r="L410" s="43">
        <v>4000.0</v>
      </c>
      <c r="M410" s="25"/>
      <c r="N410" s="26"/>
      <c r="O410" s="27">
        <f t="shared" si="51"/>
        <v>1.373830888</v>
      </c>
      <c r="P410" s="28">
        <f t="shared" si="52"/>
        <v>0</v>
      </c>
    </row>
    <row r="411" hidden="1">
      <c r="A411" s="16" t="s">
        <v>682</v>
      </c>
      <c r="B411" s="36"/>
      <c r="C411" s="18"/>
      <c r="D411" s="4"/>
      <c r="E411" s="19"/>
      <c r="F411" s="19"/>
      <c r="G411" s="20" t="s">
        <v>683</v>
      </c>
      <c r="H411" s="21"/>
      <c r="I411" s="22">
        <v>1.0</v>
      </c>
      <c r="J411" s="23"/>
      <c r="K411" s="55">
        <v>3958.0</v>
      </c>
      <c r="L411" s="55">
        <v>7000.0</v>
      </c>
      <c r="M411" s="25"/>
      <c r="N411" s="26"/>
      <c r="O411" s="27">
        <f t="shared" si="51"/>
        <v>0.7685699848</v>
      </c>
      <c r="P411" s="28">
        <f t="shared" si="52"/>
        <v>0</v>
      </c>
    </row>
    <row r="412" hidden="1">
      <c r="A412" s="16" t="s">
        <v>684</v>
      </c>
      <c r="B412" s="36"/>
      <c r="C412" s="18"/>
      <c r="D412" s="4"/>
      <c r="E412" s="19"/>
      <c r="F412" s="19"/>
      <c r="G412" s="20" t="s">
        <v>683</v>
      </c>
      <c r="H412" s="21"/>
      <c r="I412" s="22">
        <v>2.0</v>
      </c>
      <c r="J412" s="23"/>
      <c r="K412" s="24">
        <v>22372.0</v>
      </c>
      <c r="L412" s="24">
        <v>32000.0</v>
      </c>
      <c r="M412" s="25"/>
      <c r="N412" s="26"/>
      <c r="O412" s="27">
        <f t="shared" si="51"/>
        <v>0.4303593778</v>
      </c>
      <c r="P412" s="28">
        <f t="shared" si="52"/>
        <v>0</v>
      </c>
    </row>
    <row r="413" hidden="1">
      <c r="A413" s="52" t="s">
        <v>685</v>
      </c>
      <c r="B413" s="17"/>
      <c r="C413" s="18"/>
      <c r="D413" s="4"/>
      <c r="E413" s="19">
        <v>0.0</v>
      </c>
      <c r="F413" s="19">
        <v>0.0</v>
      </c>
      <c r="G413" s="20" t="s">
        <v>563</v>
      </c>
      <c r="H413" s="21"/>
      <c r="I413" s="22">
        <v>0.0</v>
      </c>
      <c r="J413" s="29"/>
      <c r="K413" s="43">
        <v>2000.0</v>
      </c>
      <c r="L413" s="44">
        <v>6000.0</v>
      </c>
      <c r="M413" s="25"/>
      <c r="N413" s="26"/>
      <c r="O413" s="27">
        <f t="shared" si="51"/>
        <v>2</v>
      </c>
      <c r="P413" s="28">
        <f t="shared" si="52"/>
        <v>0</v>
      </c>
    </row>
    <row r="414" hidden="1">
      <c r="A414" s="122" t="s">
        <v>686</v>
      </c>
      <c r="B414" s="17">
        <v>241026.0</v>
      </c>
      <c r="C414" s="18" t="s">
        <v>687</v>
      </c>
      <c r="D414" s="4"/>
      <c r="E414" s="19">
        <v>0.0</v>
      </c>
      <c r="F414" s="19">
        <v>0.0</v>
      </c>
      <c r="G414" s="16" t="s">
        <v>425</v>
      </c>
      <c r="H414" s="21"/>
      <c r="I414" s="22">
        <f>80+50</f>
        <v>130</v>
      </c>
      <c r="J414" s="29"/>
      <c r="K414" s="43">
        <f>1416*1.19</f>
        <v>1685.04</v>
      </c>
      <c r="L414" s="43">
        <v>4000.0</v>
      </c>
      <c r="M414" s="25"/>
      <c r="N414" s="70"/>
      <c r="O414" s="27">
        <f t="shared" si="51"/>
        <v>1.373830888</v>
      </c>
      <c r="P414" s="28">
        <f t="shared" si="52"/>
        <v>0</v>
      </c>
    </row>
    <row r="415" hidden="1">
      <c r="A415" s="16" t="s">
        <v>688</v>
      </c>
      <c r="B415" s="49" t="s">
        <v>689</v>
      </c>
      <c r="C415" s="18"/>
      <c r="D415" s="4"/>
      <c r="E415" s="19">
        <v>0.0</v>
      </c>
      <c r="F415" s="19">
        <v>0.0</v>
      </c>
      <c r="G415" s="16" t="s">
        <v>690</v>
      </c>
      <c r="H415" s="21"/>
      <c r="I415" s="22">
        <v>40.0</v>
      </c>
      <c r="J415" s="29"/>
      <c r="K415" s="32">
        <v>11213.0</v>
      </c>
      <c r="L415" s="24">
        <v>14000.0</v>
      </c>
      <c r="M415" s="25"/>
      <c r="N415" s="69"/>
      <c r="O415" s="27">
        <f t="shared" si="51"/>
        <v>0.2485507893</v>
      </c>
      <c r="P415" s="28">
        <f t="shared" si="52"/>
        <v>0</v>
      </c>
    </row>
    <row r="416" hidden="1">
      <c r="A416" s="52" t="s">
        <v>691</v>
      </c>
      <c r="B416" s="51"/>
      <c r="C416" s="18"/>
      <c r="D416" s="4"/>
      <c r="E416" s="19">
        <v>0.0</v>
      </c>
      <c r="F416" s="19">
        <v>0.0</v>
      </c>
      <c r="G416" s="20" t="s">
        <v>692</v>
      </c>
      <c r="H416" s="21"/>
      <c r="I416" s="22">
        <v>0.0</v>
      </c>
      <c r="J416" s="29"/>
      <c r="K416" s="43">
        <v>3900.0</v>
      </c>
      <c r="L416" s="44">
        <v>7000.0</v>
      </c>
      <c r="M416" s="25"/>
      <c r="N416" s="26"/>
      <c r="O416" s="27">
        <f t="shared" si="51"/>
        <v>0.7948717949</v>
      </c>
      <c r="P416" s="28">
        <f t="shared" si="52"/>
        <v>0</v>
      </c>
    </row>
    <row r="417" hidden="1">
      <c r="A417" s="122" t="s">
        <v>693</v>
      </c>
      <c r="B417" s="51"/>
      <c r="C417" s="18"/>
      <c r="D417" s="4"/>
      <c r="E417" s="19">
        <v>0.0</v>
      </c>
      <c r="F417" s="19">
        <v>0.0</v>
      </c>
      <c r="G417" s="16" t="s">
        <v>425</v>
      </c>
      <c r="H417" s="21"/>
      <c r="I417" s="22">
        <v>8.0</v>
      </c>
      <c r="J417" s="29"/>
      <c r="K417" s="43">
        <f>6290*1.19</f>
        <v>7485.1</v>
      </c>
      <c r="L417" s="43">
        <v>10000.0</v>
      </c>
      <c r="M417" s="25"/>
      <c r="N417" s="26"/>
      <c r="O417" s="27">
        <f t="shared" si="51"/>
        <v>0.3359874952</v>
      </c>
      <c r="P417" s="28">
        <f t="shared" si="52"/>
        <v>0</v>
      </c>
    </row>
    <row r="418" hidden="1">
      <c r="A418" s="16" t="s">
        <v>694</v>
      </c>
      <c r="B418" s="17" t="s">
        <v>695</v>
      </c>
      <c r="C418" s="18"/>
      <c r="D418" s="4"/>
      <c r="E418" s="19">
        <v>10.0</v>
      </c>
      <c r="F418" s="19">
        <v>0.0</v>
      </c>
      <c r="G418" s="20" t="s">
        <v>696</v>
      </c>
      <c r="H418" s="21"/>
      <c r="I418" s="22"/>
      <c r="J418" s="29"/>
      <c r="K418" s="48">
        <v>42000.0</v>
      </c>
      <c r="L418" s="55">
        <v>52000.0</v>
      </c>
      <c r="M418" s="25"/>
      <c r="N418" s="26">
        <v>42000.0</v>
      </c>
      <c r="O418" s="27">
        <f t="shared" si="51"/>
        <v>0.2380952381</v>
      </c>
      <c r="P418" s="28">
        <f t="shared" si="52"/>
        <v>0</v>
      </c>
    </row>
    <row r="419" hidden="1">
      <c r="A419" s="52" t="s">
        <v>697</v>
      </c>
      <c r="B419" s="126"/>
      <c r="C419" s="18"/>
      <c r="D419" s="4"/>
      <c r="E419" s="19">
        <v>0.0</v>
      </c>
      <c r="F419" s="19">
        <v>0.0</v>
      </c>
      <c r="G419" s="20" t="s">
        <v>696</v>
      </c>
      <c r="H419" s="21"/>
      <c r="I419" s="22"/>
      <c r="J419" s="29"/>
      <c r="K419" s="43">
        <f>36900/144</f>
        <v>256.25</v>
      </c>
      <c r="L419" s="44">
        <v>500.0</v>
      </c>
      <c r="M419" s="25"/>
      <c r="N419" s="70"/>
      <c r="O419" s="27">
        <f t="shared" si="51"/>
        <v>0.9512195122</v>
      </c>
      <c r="P419" s="28">
        <f t="shared" si="52"/>
        <v>0</v>
      </c>
    </row>
    <row r="420" hidden="1">
      <c r="A420" s="16" t="s">
        <v>698</v>
      </c>
      <c r="B420" s="17"/>
      <c r="C420" s="18"/>
      <c r="D420" s="4"/>
      <c r="E420" s="19">
        <v>1.0</v>
      </c>
      <c r="F420" s="19">
        <v>0.0</v>
      </c>
      <c r="G420" s="16" t="s">
        <v>699</v>
      </c>
      <c r="H420" s="21"/>
      <c r="I420" s="22"/>
      <c r="J420" s="29"/>
      <c r="K420" s="48">
        <f>22950*1.19/20</f>
        <v>1365.525</v>
      </c>
      <c r="L420" s="55">
        <v>2000.0</v>
      </c>
      <c r="M420" s="25"/>
      <c r="N420" s="26"/>
      <c r="O420" s="27">
        <f t="shared" si="51"/>
        <v>0.4646381428</v>
      </c>
      <c r="P420" s="28">
        <f t="shared" si="52"/>
        <v>0</v>
      </c>
    </row>
    <row r="421" hidden="1">
      <c r="A421" s="16" t="s">
        <v>700</v>
      </c>
      <c r="B421" s="157"/>
      <c r="C421" s="92"/>
      <c r="D421" s="4"/>
      <c r="E421" s="19">
        <v>0.0</v>
      </c>
      <c r="F421" s="19">
        <v>0.0</v>
      </c>
      <c r="G421" s="137" t="s">
        <v>585</v>
      </c>
      <c r="H421" s="21"/>
      <c r="I421" s="22"/>
      <c r="J421" s="47"/>
      <c r="K421" s="48">
        <f>9200/18</f>
        <v>511.1111111</v>
      </c>
      <c r="L421" s="55">
        <v>1000.0</v>
      </c>
      <c r="M421" s="25"/>
      <c r="N421" s="102"/>
      <c r="O421" s="27">
        <f t="shared" si="51"/>
        <v>0.9565217391</v>
      </c>
      <c r="P421" s="28">
        <f t="shared" si="52"/>
        <v>0</v>
      </c>
    </row>
    <row r="422" hidden="1">
      <c r="A422" s="16" t="s">
        <v>701</v>
      </c>
      <c r="B422" s="157"/>
      <c r="C422" s="92"/>
      <c r="D422" s="4"/>
      <c r="E422" s="19">
        <v>0.0</v>
      </c>
      <c r="F422" s="19">
        <v>0.0</v>
      </c>
      <c r="G422" s="137" t="s">
        <v>585</v>
      </c>
      <c r="H422" s="21"/>
      <c r="I422" s="22"/>
      <c r="J422" s="47"/>
      <c r="K422" s="48">
        <v>9200.0</v>
      </c>
      <c r="L422" s="55">
        <v>15000.0</v>
      </c>
      <c r="M422" s="25"/>
      <c r="N422" s="102">
        <v>12000.0</v>
      </c>
      <c r="O422" s="27">
        <f t="shared" si="51"/>
        <v>0.6304347826</v>
      </c>
      <c r="P422" s="28">
        <f t="shared" si="52"/>
        <v>0</v>
      </c>
    </row>
    <row r="423" hidden="1">
      <c r="A423" s="16" t="s">
        <v>702</v>
      </c>
      <c r="B423" s="17"/>
      <c r="C423" s="18"/>
      <c r="D423" s="4"/>
      <c r="E423" s="19">
        <v>0.0</v>
      </c>
      <c r="F423" s="19">
        <v>0.0</v>
      </c>
      <c r="G423" s="137" t="s">
        <v>585</v>
      </c>
      <c r="H423" s="21"/>
      <c r="I423" s="22"/>
      <c r="J423" s="29"/>
      <c r="K423" s="48">
        <f>15000/18</f>
        <v>833.3333333</v>
      </c>
      <c r="L423" s="55">
        <v>2000.0</v>
      </c>
      <c r="M423" s="25"/>
      <c r="N423" s="39"/>
      <c r="O423" s="27">
        <f t="shared" si="51"/>
        <v>1.4</v>
      </c>
      <c r="P423" s="28">
        <f t="shared" si="52"/>
        <v>0</v>
      </c>
    </row>
    <row r="424" hidden="1">
      <c r="A424" s="16" t="s">
        <v>703</v>
      </c>
      <c r="B424" s="17" t="s">
        <v>704</v>
      </c>
      <c r="C424" s="18"/>
      <c r="D424" s="4"/>
      <c r="E424" s="19">
        <v>0.0</v>
      </c>
      <c r="F424" s="19">
        <v>0.0</v>
      </c>
      <c r="G424" s="16" t="s">
        <v>699</v>
      </c>
      <c r="H424" s="21"/>
      <c r="I424" s="22"/>
      <c r="J424" s="29"/>
      <c r="K424" s="43">
        <f>(81855*1.19)/120</f>
        <v>811.72875</v>
      </c>
      <c r="L424" s="44">
        <v>2000.0</v>
      </c>
      <c r="M424" s="25"/>
      <c r="N424" s="39"/>
      <c r="O424" s="27">
        <f t="shared" si="51"/>
        <v>1.46387725</v>
      </c>
      <c r="P424" s="28">
        <f t="shared" si="52"/>
        <v>0</v>
      </c>
    </row>
    <row r="425" hidden="1">
      <c r="A425" s="16" t="s">
        <v>705</v>
      </c>
      <c r="B425" s="17"/>
      <c r="C425" s="18"/>
      <c r="D425" s="4"/>
      <c r="E425" s="19">
        <v>1.0</v>
      </c>
      <c r="F425" s="19">
        <v>0.0</v>
      </c>
      <c r="G425" s="16" t="s">
        <v>699</v>
      </c>
      <c r="H425" s="21"/>
      <c r="I425" s="22"/>
      <c r="J425" s="29"/>
      <c r="K425" s="48">
        <f>22950*1.19/20</f>
        <v>1365.525</v>
      </c>
      <c r="L425" s="55">
        <v>2000.0</v>
      </c>
      <c r="M425" s="25"/>
      <c r="N425" s="39"/>
      <c r="O425" s="27">
        <f t="shared" si="51"/>
        <v>0.4646381428</v>
      </c>
      <c r="P425" s="28">
        <f t="shared" si="52"/>
        <v>0</v>
      </c>
    </row>
    <row r="426" hidden="1">
      <c r="A426" s="16" t="s">
        <v>706</v>
      </c>
      <c r="B426" s="157"/>
      <c r="C426" s="18"/>
      <c r="D426" s="4"/>
      <c r="E426" s="19">
        <v>0.0</v>
      </c>
      <c r="F426" s="19">
        <v>0.0</v>
      </c>
      <c r="G426" s="137" t="s">
        <v>585</v>
      </c>
      <c r="H426" s="21"/>
      <c r="I426" s="22"/>
      <c r="J426" s="29"/>
      <c r="K426" s="48">
        <v>990.0</v>
      </c>
      <c r="L426" s="55">
        <v>2000.0</v>
      </c>
      <c r="M426" s="25"/>
      <c r="N426" s="102"/>
      <c r="O426" s="27">
        <f t="shared" si="51"/>
        <v>1.02020202</v>
      </c>
      <c r="P426" s="28">
        <f t="shared" si="52"/>
        <v>0</v>
      </c>
    </row>
    <row r="427" hidden="1">
      <c r="A427" s="16" t="s">
        <v>707</v>
      </c>
      <c r="B427" s="157"/>
      <c r="C427" s="18"/>
      <c r="D427" s="4"/>
      <c r="E427" s="19">
        <v>0.0</v>
      </c>
      <c r="F427" s="19">
        <v>0.0</v>
      </c>
      <c r="G427" s="137" t="s">
        <v>585</v>
      </c>
      <c r="H427" s="21"/>
      <c r="I427" s="22"/>
      <c r="J427" s="29"/>
      <c r="K427" s="48">
        <f t="shared" ref="K427:K430" si="54">54600/60</f>
        <v>910</v>
      </c>
      <c r="L427" s="55">
        <v>2000.0</v>
      </c>
      <c r="M427" s="25"/>
      <c r="N427" s="39"/>
      <c r="O427" s="27">
        <f t="shared" si="51"/>
        <v>1.197802198</v>
      </c>
      <c r="P427" s="28">
        <f t="shared" si="52"/>
        <v>0</v>
      </c>
    </row>
    <row r="428" hidden="1">
      <c r="A428" s="16" t="s">
        <v>708</v>
      </c>
      <c r="B428" s="157"/>
      <c r="C428" s="18"/>
      <c r="D428" s="4"/>
      <c r="E428" s="19">
        <v>0.0</v>
      </c>
      <c r="F428" s="19">
        <v>0.0</v>
      </c>
      <c r="G428" s="137" t="s">
        <v>585</v>
      </c>
      <c r="H428" s="21"/>
      <c r="I428" s="22"/>
      <c r="J428" s="29"/>
      <c r="K428" s="48">
        <f t="shared" si="54"/>
        <v>910</v>
      </c>
      <c r="L428" s="55">
        <v>2000.0</v>
      </c>
      <c r="M428" s="25"/>
      <c r="N428" s="39"/>
      <c r="O428" s="27">
        <f t="shared" si="51"/>
        <v>1.197802198</v>
      </c>
      <c r="P428" s="28">
        <f t="shared" si="52"/>
        <v>0</v>
      </c>
    </row>
    <row r="429" hidden="1">
      <c r="A429" s="16" t="s">
        <v>709</v>
      </c>
      <c r="B429" s="157"/>
      <c r="C429" s="18"/>
      <c r="D429" s="4"/>
      <c r="E429" s="19">
        <v>0.0</v>
      </c>
      <c r="F429" s="19">
        <v>0.0</v>
      </c>
      <c r="G429" s="137" t="s">
        <v>585</v>
      </c>
      <c r="H429" s="21"/>
      <c r="I429" s="22"/>
      <c r="J429" s="29"/>
      <c r="K429" s="48">
        <f t="shared" si="54"/>
        <v>910</v>
      </c>
      <c r="L429" s="55">
        <v>2000.0</v>
      </c>
      <c r="M429" s="25"/>
      <c r="N429" s="39"/>
      <c r="O429" s="27">
        <f t="shared" si="51"/>
        <v>1.197802198</v>
      </c>
      <c r="P429" s="28">
        <f t="shared" si="52"/>
        <v>0</v>
      </c>
    </row>
    <row r="430" hidden="1">
      <c r="A430" s="16" t="s">
        <v>710</v>
      </c>
      <c r="B430" s="157"/>
      <c r="C430" s="18"/>
      <c r="D430" s="4"/>
      <c r="E430" s="19">
        <v>0.0</v>
      </c>
      <c r="F430" s="19">
        <v>0.0</v>
      </c>
      <c r="G430" s="137" t="s">
        <v>585</v>
      </c>
      <c r="H430" s="21"/>
      <c r="I430" s="22"/>
      <c r="J430" s="29"/>
      <c r="K430" s="48">
        <f t="shared" si="54"/>
        <v>910</v>
      </c>
      <c r="L430" s="55">
        <v>2000.0</v>
      </c>
      <c r="M430" s="25"/>
      <c r="N430" s="39"/>
      <c r="O430" s="27">
        <f t="shared" si="51"/>
        <v>1.197802198</v>
      </c>
      <c r="P430" s="28">
        <f t="shared" si="52"/>
        <v>0</v>
      </c>
    </row>
    <row r="431" hidden="1">
      <c r="A431" s="16" t="s">
        <v>711</v>
      </c>
      <c r="B431" s="157"/>
      <c r="C431" s="92"/>
      <c r="D431" s="4"/>
      <c r="E431" s="19">
        <v>0.0</v>
      </c>
      <c r="F431" s="19">
        <v>0.0</v>
      </c>
      <c r="G431" s="137" t="s">
        <v>585</v>
      </c>
      <c r="H431" s="21"/>
      <c r="I431" s="22"/>
      <c r="J431" s="47">
        <v>46935.0</v>
      </c>
      <c r="K431" s="48">
        <v>15900.0</v>
      </c>
      <c r="L431" s="55">
        <v>22000.0</v>
      </c>
      <c r="M431" s="25" t="s">
        <v>76</v>
      </c>
      <c r="N431" s="102">
        <v>18000.0</v>
      </c>
      <c r="O431" s="27">
        <f t="shared" si="51"/>
        <v>0.3836477987</v>
      </c>
      <c r="P431" s="28">
        <f t="shared" si="52"/>
        <v>0</v>
      </c>
    </row>
    <row r="432" hidden="1">
      <c r="A432" s="16" t="s">
        <v>712</v>
      </c>
      <c r="B432" s="157"/>
      <c r="C432" s="92"/>
      <c r="D432" s="4"/>
      <c r="E432" s="19">
        <v>0.0</v>
      </c>
      <c r="F432" s="19">
        <v>0.0</v>
      </c>
      <c r="G432" s="137" t="s">
        <v>585</v>
      </c>
      <c r="H432" s="21"/>
      <c r="I432" s="22"/>
      <c r="J432" s="47">
        <v>46935.0</v>
      </c>
      <c r="K432" s="48">
        <v>15900.0</v>
      </c>
      <c r="L432" s="55">
        <v>22000.0</v>
      </c>
      <c r="M432" s="25" t="s">
        <v>76</v>
      </c>
      <c r="N432" s="102">
        <v>18000.0</v>
      </c>
      <c r="O432" s="27">
        <f t="shared" si="51"/>
        <v>0.3836477987</v>
      </c>
      <c r="P432" s="28">
        <f t="shared" si="52"/>
        <v>0</v>
      </c>
    </row>
    <row r="433" hidden="1">
      <c r="A433" s="16" t="s">
        <v>713</v>
      </c>
      <c r="B433" s="17"/>
      <c r="C433" s="18"/>
      <c r="D433" s="4"/>
      <c r="E433" s="19">
        <v>0.0</v>
      </c>
      <c r="F433" s="19">
        <v>0.0</v>
      </c>
      <c r="G433" s="137" t="s">
        <v>585</v>
      </c>
      <c r="H433" s="21"/>
      <c r="I433" s="22"/>
      <c r="J433" s="29"/>
      <c r="K433" s="48">
        <f>22000/18</f>
        <v>1222.222222</v>
      </c>
      <c r="L433" s="55">
        <v>2000.0</v>
      </c>
      <c r="M433" s="25"/>
      <c r="N433" s="39"/>
      <c r="O433" s="27">
        <f t="shared" si="51"/>
        <v>0.6363636364</v>
      </c>
      <c r="P433" s="28">
        <f t="shared" si="52"/>
        <v>0</v>
      </c>
    </row>
    <row r="434" hidden="1">
      <c r="A434" s="16" t="s">
        <v>714</v>
      </c>
      <c r="B434" s="157"/>
      <c r="C434" s="92"/>
      <c r="D434" s="4"/>
      <c r="E434" s="19">
        <v>0.0</v>
      </c>
      <c r="F434" s="19">
        <v>0.0</v>
      </c>
      <c r="G434" s="137" t="s">
        <v>585</v>
      </c>
      <c r="H434" s="21"/>
      <c r="I434" s="22"/>
      <c r="J434" s="47">
        <v>46905.0</v>
      </c>
      <c r="K434" s="48">
        <v>14800.0</v>
      </c>
      <c r="L434" s="55">
        <v>20000.0</v>
      </c>
      <c r="M434" s="25"/>
      <c r="N434" s="102">
        <v>18000.0</v>
      </c>
      <c r="O434" s="27">
        <f t="shared" si="51"/>
        <v>0.3513513514</v>
      </c>
      <c r="P434" s="28">
        <f t="shared" si="52"/>
        <v>0</v>
      </c>
    </row>
    <row r="435" hidden="1">
      <c r="A435" s="16" t="s">
        <v>715</v>
      </c>
      <c r="B435" s="157"/>
      <c r="C435" s="18"/>
      <c r="D435" s="4"/>
      <c r="E435" s="19">
        <v>0.0</v>
      </c>
      <c r="F435" s="19">
        <v>0.0</v>
      </c>
      <c r="G435" s="137" t="s">
        <v>585</v>
      </c>
      <c r="H435" s="21"/>
      <c r="I435" s="22"/>
      <c r="J435" s="29"/>
      <c r="K435" s="48">
        <v>883.0</v>
      </c>
      <c r="L435" s="55">
        <v>2000.0</v>
      </c>
      <c r="M435" s="25"/>
      <c r="N435" s="39"/>
      <c r="O435" s="27">
        <f t="shared" si="51"/>
        <v>1.265005663</v>
      </c>
      <c r="P435" s="28">
        <f t="shared" si="52"/>
        <v>0</v>
      </c>
    </row>
    <row r="436" hidden="1">
      <c r="A436" s="16" t="s">
        <v>716</v>
      </c>
      <c r="B436" s="157"/>
      <c r="C436" s="92"/>
      <c r="D436" s="4"/>
      <c r="E436" s="19">
        <v>0.0</v>
      </c>
      <c r="F436" s="19">
        <v>0.0</v>
      </c>
      <c r="G436" s="137" t="s">
        <v>585</v>
      </c>
      <c r="H436" s="21"/>
      <c r="I436" s="22"/>
      <c r="J436" s="29"/>
      <c r="K436" s="48">
        <f>108000/120</f>
        <v>900</v>
      </c>
      <c r="L436" s="55">
        <v>2000.0</v>
      </c>
      <c r="M436" s="25"/>
      <c r="N436" s="102"/>
      <c r="O436" s="27">
        <f t="shared" si="51"/>
        <v>1.222222222</v>
      </c>
      <c r="P436" s="28">
        <f t="shared" si="52"/>
        <v>0</v>
      </c>
    </row>
    <row r="437" hidden="1">
      <c r="A437" s="16" t="s">
        <v>717</v>
      </c>
      <c r="B437" s="17"/>
      <c r="C437" s="18"/>
      <c r="D437" s="4"/>
      <c r="E437" s="19"/>
      <c r="F437" s="19"/>
      <c r="G437" s="20" t="s">
        <v>229</v>
      </c>
      <c r="H437" s="21"/>
      <c r="I437" s="22"/>
      <c r="J437" s="23"/>
      <c r="K437" s="55">
        <v>112000.0</v>
      </c>
      <c r="L437" s="55">
        <v>148000.0</v>
      </c>
      <c r="M437" s="25"/>
      <c r="N437" s="26">
        <v>120000.0</v>
      </c>
      <c r="O437" s="27"/>
      <c r="P437" s="28"/>
    </row>
    <row r="438" hidden="1">
      <c r="A438" s="16" t="s">
        <v>718</v>
      </c>
      <c r="B438" s="17"/>
      <c r="C438" s="18"/>
      <c r="D438" s="4"/>
      <c r="E438" s="19"/>
      <c r="F438" s="19"/>
      <c r="G438" s="20" t="s">
        <v>229</v>
      </c>
      <c r="H438" s="21"/>
      <c r="I438" s="22"/>
      <c r="J438" s="23"/>
      <c r="K438" s="55">
        <v>200000.0</v>
      </c>
      <c r="L438" s="55">
        <v>290000.0</v>
      </c>
      <c r="M438" s="25"/>
      <c r="N438" s="26">
        <v>225000.0</v>
      </c>
      <c r="O438" s="27"/>
      <c r="P438" s="28"/>
    </row>
    <row r="439" hidden="1">
      <c r="A439" s="16" t="s">
        <v>719</v>
      </c>
      <c r="B439" s="17"/>
      <c r="C439" s="18"/>
      <c r="D439" s="4"/>
      <c r="E439" s="19"/>
      <c r="F439" s="19"/>
      <c r="G439" s="20" t="s">
        <v>229</v>
      </c>
      <c r="H439" s="21"/>
      <c r="I439" s="22"/>
      <c r="J439" s="23"/>
      <c r="K439" s="55">
        <f>200000/6</f>
        <v>33333.33333</v>
      </c>
      <c r="L439" s="55">
        <v>60000.0</v>
      </c>
      <c r="M439" s="25"/>
      <c r="N439" s="26"/>
      <c r="O439" s="27"/>
      <c r="P439" s="28"/>
    </row>
    <row r="440" hidden="1">
      <c r="A440" s="16" t="s">
        <v>720</v>
      </c>
      <c r="B440" s="17"/>
      <c r="C440" s="92"/>
      <c r="D440" s="4"/>
      <c r="E440" s="19">
        <v>0.0</v>
      </c>
      <c r="F440" s="19">
        <v>0.0</v>
      </c>
      <c r="G440" s="137" t="s">
        <v>585</v>
      </c>
      <c r="H440" s="21"/>
      <c r="I440" s="22"/>
      <c r="J440" s="29"/>
      <c r="K440" s="48">
        <f>26800/30</f>
        <v>893.3333333</v>
      </c>
      <c r="L440" s="55">
        <v>2000.0</v>
      </c>
      <c r="M440" s="25"/>
      <c r="N440" s="102"/>
      <c r="O440" s="27">
        <f t="shared" ref="O440:O503" si="55">(L440/K440)-1</f>
        <v>1.23880597</v>
      </c>
      <c r="P440" s="28">
        <f t="shared" ref="P440:P503" si="56">K440*F440</f>
        <v>0</v>
      </c>
    </row>
    <row r="441" hidden="1">
      <c r="A441" s="16" t="s">
        <v>721</v>
      </c>
      <c r="B441" s="17"/>
      <c r="C441" s="18"/>
      <c r="D441" s="4"/>
      <c r="E441" s="19">
        <v>0.0</v>
      </c>
      <c r="F441" s="19">
        <v>0.0</v>
      </c>
      <c r="G441" s="16" t="s">
        <v>699</v>
      </c>
      <c r="H441" s="21"/>
      <c r="I441" s="22"/>
      <c r="J441" s="29"/>
      <c r="K441" s="48">
        <f>22950*1.19/20</f>
        <v>1365.525</v>
      </c>
      <c r="L441" s="55">
        <v>2000.0</v>
      </c>
      <c r="M441" s="25"/>
      <c r="N441" s="39"/>
      <c r="O441" s="27">
        <f t="shared" si="55"/>
        <v>0.4646381428</v>
      </c>
      <c r="P441" s="28">
        <f t="shared" si="56"/>
        <v>0</v>
      </c>
    </row>
    <row r="442" hidden="1">
      <c r="A442" s="16" t="s">
        <v>722</v>
      </c>
      <c r="B442" s="157"/>
      <c r="C442" s="92"/>
      <c r="D442" s="4"/>
      <c r="E442" s="19">
        <v>0.0</v>
      </c>
      <c r="F442" s="19">
        <v>0.0</v>
      </c>
      <c r="G442" s="137" t="s">
        <v>585</v>
      </c>
      <c r="H442" s="21"/>
      <c r="I442" s="22"/>
      <c r="J442" s="29"/>
      <c r="K442" s="48">
        <v>24100.0</v>
      </c>
      <c r="L442" s="55">
        <v>36000.0</v>
      </c>
      <c r="M442" s="25"/>
      <c r="N442" s="102"/>
      <c r="O442" s="27">
        <f t="shared" si="55"/>
        <v>0.4937759336</v>
      </c>
      <c r="P442" s="28">
        <f t="shared" si="56"/>
        <v>0</v>
      </c>
    </row>
    <row r="443" hidden="1">
      <c r="A443" s="16" t="s">
        <v>723</v>
      </c>
      <c r="B443" s="17"/>
      <c r="C443" s="18"/>
      <c r="D443" s="4"/>
      <c r="E443" s="19">
        <v>0.0</v>
      </c>
      <c r="F443" s="19">
        <v>0.0</v>
      </c>
      <c r="G443" s="137" t="s">
        <v>585</v>
      </c>
      <c r="H443" s="21"/>
      <c r="I443" s="22"/>
      <c r="J443" s="29"/>
      <c r="K443" s="48">
        <f>36000/75</f>
        <v>480</v>
      </c>
      <c r="L443" s="55">
        <v>1000.0</v>
      </c>
      <c r="M443" s="25"/>
      <c r="N443" s="39"/>
      <c r="O443" s="27">
        <f t="shared" si="55"/>
        <v>1.083333333</v>
      </c>
      <c r="P443" s="28">
        <f t="shared" si="56"/>
        <v>0</v>
      </c>
    </row>
    <row r="444" hidden="1">
      <c r="A444" s="16" t="s">
        <v>724</v>
      </c>
      <c r="B444" s="17"/>
      <c r="C444" s="18"/>
      <c r="D444" s="4"/>
      <c r="E444" s="19">
        <v>1.0</v>
      </c>
      <c r="F444" s="19">
        <v>0.0</v>
      </c>
      <c r="G444" s="16" t="s">
        <v>699</v>
      </c>
      <c r="H444" s="21"/>
      <c r="I444" s="22"/>
      <c r="J444" s="58">
        <v>46722.0</v>
      </c>
      <c r="K444" s="48">
        <f>22950*1.19/20</f>
        <v>1365.525</v>
      </c>
      <c r="L444" s="55">
        <v>2000.0</v>
      </c>
      <c r="M444" s="25"/>
      <c r="N444" s="39"/>
      <c r="O444" s="27">
        <f t="shared" si="55"/>
        <v>0.4646381428</v>
      </c>
      <c r="P444" s="28">
        <f t="shared" si="56"/>
        <v>0</v>
      </c>
    </row>
    <row r="445" hidden="1">
      <c r="A445" s="16" t="s">
        <v>725</v>
      </c>
      <c r="B445" s="17"/>
      <c r="C445" s="18"/>
      <c r="D445" s="4"/>
      <c r="E445" s="19">
        <v>0.0</v>
      </c>
      <c r="F445" s="19"/>
      <c r="G445" s="16" t="s">
        <v>726</v>
      </c>
      <c r="H445" s="21"/>
      <c r="I445" s="22"/>
      <c r="J445" s="58">
        <v>45992.0</v>
      </c>
      <c r="K445" s="43">
        <f>4563*1.19</f>
        <v>5429.97</v>
      </c>
      <c r="L445" s="44">
        <v>8000.0</v>
      </c>
      <c r="M445" s="25"/>
      <c r="N445" s="39"/>
      <c r="O445" s="27">
        <f t="shared" si="55"/>
        <v>0.4733046407</v>
      </c>
      <c r="P445" s="28">
        <f t="shared" si="56"/>
        <v>0</v>
      </c>
    </row>
    <row r="446" hidden="1">
      <c r="A446" s="16" t="s">
        <v>727</v>
      </c>
      <c r="B446" s="17"/>
      <c r="C446" s="18"/>
      <c r="D446" s="4"/>
      <c r="E446" s="19">
        <v>0.0</v>
      </c>
      <c r="F446" s="128"/>
      <c r="G446" s="16" t="s">
        <v>726</v>
      </c>
      <c r="H446" s="21"/>
      <c r="I446" s="22"/>
      <c r="J446" s="29"/>
      <c r="K446" s="32">
        <f>7677*1.19</f>
        <v>9135.63</v>
      </c>
      <c r="L446" s="24">
        <v>12000.0</v>
      </c>
      <c r="M446" s="25"/>
      <c r="N446" s="39"/>
      <c r="O446" s="27">
        <f t="shared" si="55"/>
        <v>0.313538311</v>
      </c>
      <c r="P446" s="28">
        <f t="shared" si="56"/>
        <v>0</v>
      </c>
    </row>
    <row r="447" hidden="1">
      <c r="A447" s="16" t="s">
        <v>728</v>
      </c>
      <c r="B447" s="17" t="s">
        <v>729</v>
      </c>
      <c r="C447" s="158" t="s">
        <v>730</v>
      </c>
      <c r="D447" s="61"/>
      <c r="E447" s="19"/>
      <c r="F447" s="19"/>
      <c r="G447" s="16" t="s">
        <v>731</v>
      </c>
      <c r="H447" s="21"/>
      <c r="I447" s="22">
        <v>19.0</v>
      </c>
      <c r="J447" s="47">
        <v>46447.0</v>
      </c>
      <c r="K447" s="48">
        <v>160000.0</v>
      </c>
      <c r="L447" s="55">
        <v>210000.0</v>
      </c>
      <c r="M447" s="25" t="s">
        <v>82</v>
      </c>
      <c r="N447" s="26">
        <v>190000.0</v>
      </c>
      <c r="O447" s="27">
        <f t="shared" si="55"/>
        <v>0.3125</v>
      </c>
      <c r="P447" s="28">
        <f t="shared" si="56"/>
        <v>0</v>
      </c>
    </row>
    <row r="448" hidden="1">
      <c r="A448" s="16" t="s">
        <v>732</v>
      </c>
      <c r="B448" s="17" t="s">
        <v>729</v>
      </c>
      <c r="C448" s="38"/>
      <c r="D448" s="61"/>
      <c r="E448" s="19"/>
      <c r="F448" s="19"/>
      <c r="G448" s="16" t="s">
        <v>731</v>
      </c>
      <c r="H448" s="21"/>
      <c r="I448" s="22">
        <v>5.0</v>
      </c>
      <c r="J448" s="47">
        <v>46478.0</v>
      </c>
      <c r="K448" s="48">
        <v>160000.0</v>
      </c>
      <c r="L448" s="55">
        <v>210000.0</v>
      </c>
      <c r="M448" s="25" t="s">
        <v>82</v>
      </c>
      <c r="N448" s="26">
        <v>190000.0</v>
      </c>
      <c r="O448" s="27">
        <f t="shared" si="55"/>
        <v>0.3125</v>
      </c>
      <c r="P448" s="28">
        <f t="shared" si="56"/>
        <v>0</v>
      </c>
    </row>
    <row r="449" hidden="1">
      <c r="A449" s="16" t="s">
        <v>733</v>
      </c>
      <c r="B449" s="17" t="s">
        <v>729</v>
      </c>
      <c r="C449" s="38"/>
      <c r="D449" s="61"/>
      <c r="E449" s="19"/>
      <c r="F449" s="19"/>
      <c r="G449" s="16" t="s">
        <v>731</v>
      </c>
      <c r="H449" s="21"/>
      <c r="I449" s="22">
        <v>1.0</v>
      </c>
      <c r="J449" s="47">
        <v>46388.0</v>
      </c>
      <c r="K449" s="55">
        <v>160000.0</v>
      </c>
      <c r="L449" s="55">
        <v>210000.0</v>
      </c>
      <c r="M449" s="25" t="s">
        <v>82</v>
      </c>
      <c r="N449" s="26">
        <v>190000.0</v>
      </c>
      <c r="O449" s="27">
        <f t="shared" si="55"/>
        <v>0.3125</v>
      </c>
      <c r="P449" s="28">
        <f t="shared" si="56"/>
        <v>0</v>
      </c>
    </row>
    <row r="450" hidden="1">
      <c r="A450" s="16" t="s">
        <v>734</v>
      </c>
      <c r="B450" s="17" t="s">
        <v>729</v>
      </c>
      <c r="C450" s="158" t="s">
        <v>730</v>
      </c>
      <c r="D450" s="61"/>
      <c r="E450" s="19"/>
      <c r="F450" s="19"/>
      <c r="G450" s="16" t="s">
        <v>731</v>
      </c>
      <c r="H450" s="21"/>
      <c r="I450" s="22">
        <v>11.0</v>
      </c>
      <c r="J450" s="58">
        <v>46357.0</v>
      </c>
      <c r="K450" s="55">
        <v>160000.0</v>
      </c>
      <c r="L450" s="55">
        <v>210000.0</v>
      </c>
      <c r="M450" s="25" t="s">
        <v>82</v>
      </c>
      <c r="N450" s="26">
        <v>190000.0</v>
      </c>
      <c r="O450" s="27">
        <f t="shared" si="55"/>
        <v>0.3125</v>
      </c>
      <c r="P450" s="28">
        <f t="shared" si="56"/>
        <v>0</v>
      </c>
    </row>
    <row r="451" hidden="1">
      <c r="A451" s="16" t="s">
        <v>735</v>
      </c>
      <c r="B451" s="17"/>
      <c r="C451" s="38"/>
      <c r="D451" s="61"/>
      <c r="E451" s="19"/>
      <c r="F451" s="19"/>
      <c r="G451" s="16" t="s">
        <v>731</v>
      </c>
      <c r="H451" s="21"/>
      <c r="I451" s="22">
        <v>0.0</v>
      </c>
      <c r="J451" s="23"/>
      <c r="K451" s="24">
        <f t="shared" ref="K451:K454" si="57">86000</f>
        <v>86000</v>
      </c>
      <c r="L451" s="24">
        <v>105000.0</v>
      </c>
      <c r="M451" s="25" t="s">
        <v>82</v>
      </c>
      <c r="N451" s="26"/>
      <c r="O451" s="27">
        <f t="shared" si="55"/>
        <v>0.2209302326</v>
      </c>
      <c r="P451" s="28">
        <f t="shared" si="56"/>
        <v>0</v>
      </c>
    </row>
    <row r="452" hidden="1">
      <c r="A452" s="16" t="s">
        <v>736</v>
      </c>
      <c r="B452" s="17"/>
      <c r="C452" s="158" t="s">
        <v>737</v>
      </c>
      <c r="D452" s="61"/>
      <c r="E452" s="19"/>
      <c r="F452" s="19"/>
      <c r="G452" s="16" t="s">
        <v>731</v>
      </c>
      <c r="H452" s="21"/>
      <c r="I452" s="22">
        <v>0.0</v>
      </c>
      <c r="J452" s="47">
        <v>46082.0</v>
      </c>
      <c r="K452" s="24">
        <f t="shared" si="57"/>
        <v>86000</v>
      </c>
      <c r="L452" s="24">
        <v>105000.0</v>
      </c>
      <c r="M452" s="25" t="s">
        <v>82</v>
      </c>
      <c r="N452" s="26"/>
      <c r="O452" s="27">
        <f t="shared" si="55"/>
        <v>0.2209302326</v>
      </c>
      <c r="P452" s="28">
        <f t="shared" si="56"/>
        <v>0</v>
      </c>
    </row>
    <row r="453" hidden="1">
      <c r="A453" s="16" t="s">
        <v>738</v>
      </c>
      <c r="B453" s="17"/>
      <c r="C453" s="158" t="s">
        <v>737</v>
      </c>
      <c r="D453" s="61"/>
      <c r="E453" s="19"/>
      <c r="F453" s="19"/>
      <c r="G453" s="16" t="s">
        <v>731</v>
      </c>
      <c r="H453" s="159"/>
      <c r="I453" s="160">
        <v>1.0</v>
      </c>
      <c r="J453" s="161">
        <v>45839.0</v>
      </c>
      <c r="K453" s="24">
        <f t="shared" si="57"/>
        <v>86000</v>
      </c>
      <c r="L453" s="24">
        <v>105000.0</v>
      </c>
      <c r="M453" s="25" t="s">
        <v>82</v>
      </c>
      <c r="N453" s="26"/>
      <c r="O453" s="27">
        <f t="shared" si="55"/>
        <v>0.2209302326</v>
      </c>
      <c r="P453" s="28">
        <f t="shared" si="56"/>
        <v>0</v>
      </c>
    </row>
    <row r="454" hidden="1">
      <c r="A454" s="16" t="s">
        <v>739</v>
      </c>
      <c r="B454" s="17"/>
      <c r="C454" s="158" t="s">
        <v>737</v>
      </c>
      <c r="D454" s="61"/>
      <c r="E454" s="19"/>
      <c r="F454" s="19"/>
      <c r="G454" s="16" t="s">
        <v>731</v>
      </c>
      <c r="H454" s="159"/>
      <c r="I454" s="160">
        <v>3.0</v>
      </c>
      <c r="J454" s="162">
        <v>45809.0</v>
      </c>
      <c r="K454" s="24">
        <f t="shared" si="57"/>
        <v>86000</v>
      </c>
      <c r="L454" s="24">
        <v>105000.0</v>
      </c>
      <c r="M454" s="25" t="s">
        <v>82</v>
      </c>
      <c r="N454" s="26"/>
      <c r="O454" s="27">
        <f t="shared" si="55"/>
        <v>0.2209302326</v>
      </c>
      <c r="P454" s="28">
        <f t="shared" si="56"/>
        <v>0</v>
      </c>
    </row>
    <row r="455" hidden="1">
      <c r="A455" s="16" t="s">
        <v>740</v>
      </c>
      <c r="B455" s="17"/>
      <c r="C455" s="18"/>
      <c r="D455" s="4"/>
      <c r="E455" s="19">
        <v>2.0</v>
      </c>
      <c r="F455" s="19">
        <v>0.0</v>
      </c>
      <c r="G455" s="16" t="s">
        <v>470</v>
      </c>
      <c r="H455" s="21"/>
      <c r="I455" s="22">
        <v>1.0</v>
      </c>
      <c r="J455" s="47">
        <v>47150.0</v>
      </c>
      <c r="K455" s="48">
        <v>46320.0</v>
      </c>
      <c r="L455" s="55">
        <v>58000.0</v>
      </c>
      <c r="M455" s="25">
        <v>1.19</v>
      </c>
      <c r="N455" s="102">
        <v>52000.0</v>
      </c>
      <c r="O455" s="27">
        <f t="shared" si="55"/>
        <v>0.2521588946</v>
      </c>
      <c r="P455" s="28">
        <f t="shared" si="56"/>
        <v>0</v>
      </c>
    </row>
    <row r="456" hidden="1">
      <c r="A456" s="16" t="s">
        <v>741</v>
      </c>
      <c r="B456" s="17"/>
      <c r="C456" s="18"/>
      <c r="D456" s="4"/>
      <c r="E456" s="19">
        <v>0.0</v>
      </c>
      <c r="F456" s="19">
        <v>0.0</v>
      </c>
      <c r="G456" s="16" t="s">
        <v>470</v>
      </c>
      <c r="H456" s="21"/>
      <c r="I456" s="22">
        <v>0.0</v>
      </c>
      <c r="J456" s="29"/>
      <c r="K456" s="32">
        <f>41690/10</f>
        <v>4169</v>
      </c>
      <c r="L456" s="24">
        <v>7000.0</v>
      </c>
      <c r="M456" s="25"/>
      <c r="N456" s="39"/>
      <c r="O456" s="27">
        <f t="shared" si="55"/>
        <v>0.6790597266</v>
      </c>
      <c r="P456" s="28">
        <f t="shared" si="56"/>
        <v>0</v>
      </c>
    </row>
    <row r="457" hidden="1">
      <c r="A457" s="16" t="s">
        <v>742</v>
      </c>
      <c r="B457" s="17"/>
      <c r="C457" s="18"/>
      <c r="D457" s="4"/>
      <c r="E457" s="19">
        <v>0.0</v>
      </c>
      <c r="F457" s="19">
        <v>0.0</v>
      </c>
      <c r="G457" s="16" t="s">
        <v>630</v>
      </c>
      <c r="H457" s="21"/>
      <c r="I457" s="22">
        <v>7.0</v>
      </c>
      <c r="J457" s="29"/>
      <c r="K457" s="32">
        <v>41000.0</v>
      </c>
      <c r="L457" s="24">
        <v>70000.0</v>
      </c>
      <c r="M457" s="25"/>
      <c r="N457" s="26"/>
      <c r="O457" s="27">
        <f t="shared" si="55"/>
        <v>0.7073170732</v>
      </c>
      <c r="P457" s="28">
        <f t="shared" si="56"/>
        <v>0</v>
      </c>
    </row>
    <row r="458" hidden="1">
      <c r="A458" s="16" t="s">
        <v>743</v>
      </c>
      <c r="B458" s="49"/>
      <c r="C458" s="18"/>
      <c r="D458" s="4"/>
      <c r="E458" s="19">
        <v>0.0</v>
      </c>
      <c r="F458" s="19">
        <v>0.0</v>
      </c>
      <c r="G458" s="16" t="s">
        <v>744</v>
      </c>
      <c r="H458" s="21"/>
      <c r="I458" s="22">
        <v>55.0</v>
      </c>
      <c r="J458" s="58">
        <v>47058.0</v>
      </c>
      <c r="K458" s="55">
        <f>38000*1.19</f>
        <v>45220</v>
      </c>
      <c r="L458" s="55">
        <v>75000.0</v>
      </c>
      <c r="M458" s="25"/>
      <c r="N458" s="163">
        <v>65000.0</v>
      </c>
      <c r="O458" s="27">
        <f t="shared" si="55"/>
        <v>0.6585581601</v>
      </c>
      <c r="P458" s="28">
        <f t="shared" si="56"/>
        <v>0</v>
      </c>
    </row>
    <row r="459" hidden="1">
      <c r="A459" s="16" t="s">
        <v>745</v>
      </c>
      <c r="B459" s="36"/>
      <c r="C459" s="18"/>
      <c r="D459" s="4"/>
      <c r="E459" s="19">
        <v>0.0</v>
      </c>
      <c r="F459" s="19">
        <v>0.0</v>
      </c>
      <c r="G459" s="16" t="s">
        <v>16</v>
      </c>
      <c r="H459" s="21"/>
      <c r="I459" s="22">
        <v>0.0</v>
      </c>
      <c r="J459" s="29"/>
      <c r="K459" s="43">
        <v>22000.0</v>
      </c>
      <c r="L459" s="44">
        <v>30000.0</v>
      </c>
      <c r="M459" s="25"/>
      <c r="N459" s="39"/>
      <c r="O459" s="27">
        <f t="shared" si="55"/>
        <v>0.3636363636</v>
      </c>
      <c r="P459" s="28">
        <f t="shared" si="56"/>
        <v>0</v>
      </c>
    </row>
    <row r="460" hidden="1">
      <c r="A460" s="59" t="s">
        <v>746</v>
      </c>
      <c r="B460" s="134"/>
      <c r="C460" s="18"/>
      <c r="D460" s="4"/>
      <c r="E460" s="19">
        <v>0.0</v>
      </c>
      <c r="F460" s="19"/>
      <c r="G460" s="20" t="s">
        <v>747</v>
      </c>
      <c r="H460" s="21"/>
      <c r="I460" s="22"/>
      <c r="J460" s="23"/>
      <c r="K460" s="55">
        <f>360000/54</f>
        <v>6666.666667</v>
      </c>
      <c r="L460" s="55">
        <v>15000.0</v>
      </c>
      <c r="M460" s="25"/>
      <c r="N460" s="102">
        <v>12000.0</v>
      </c>
      <c r="O460" s="27">
        <f t="shared" si="55"/>
        <v>1.25</v>
      </c>
      <c r="P460" s="28">
        <f t="shared" si="56"/>
        <v>0</v>
      </c>
    </row>
    <row r="461" hidden="1">
      <c r="A461" s="122" t="s">
        <v>748</v>
      </c>
      <c r="B461" s="36"/>
      <c r="C461" s="18"/>
      <c r="D461" s="4"/>
      <c r="E461" s="19"/>
      <c r="F461" s="19"/>
      <c r="G461" s="16" t="s">
        <v>39</v>
      </c>
      <c r="H461" s="21"/>
      <c r="I461" s="22"/>
      <c r="J461" s="29"/>
      <c r="K461" s="32">
        <f>10000/10</f>
        <v>1000</v>
      </c>
      <c r="L461" s="24">
        <v>5000.0</v>
      </c>
      <c r="M461" s="25"/>
      <c r="N461" s="39"/>
      <c r="O461" s="27">
        <f t="shared" si="55"/>
        <v>4</v>
      </c>
      <c r="P461" s="28">
        <f t="shared" si="56"/>
        <v>0</v>
      </c>
    </row>
    <row r="462" hidden="1">
      <c r="A462" s="122" t="s">
        <v>749</v>
      </c>
      <c r="B462" s="36"/>
      <c r="C462" s="18"/>
      <c r="D462" s="4"/>
      <c r="E462" s="19"/>
      <c r="F462" s="19"/>
      <c r="G462" s="16" t="s">
        <v>39</v>
      </c>
      <c r="H462" s="21"/>
      <c r="I462" s="22"/>
      <c r="J462" s="29"/>
      <c r="K462" s="32">
        <f>5000/10</f>
        <v>500</v>
      </c>
      <c r="L462" s="24">
        <v>3000.0</v>
      </c>
      <c r="M462" s="25"/>
      <c r="N462" s="39"/>
      <c r="O462" s="27">
        <f t="shared" si="55"/>
        <v>5</v>
      </c>
      <c r="P462" s="28">
        <f t="shared" si="56"/>
        <v>0</v>
      </c>
    </row>
    <row r="463" hidden="1">
      <c r="A463" s="16" t="s">
        <v>750</v>
      </c>
      <c r="B463" s="17" t="s">
        <v>751</v>
      </c>
      <c r="C463" s="18"/>
      <c r="D463" s="4"/>
      <c r="E463" s="19">
        <v>0.0</v>
      </c>
      <c r="F463" s="19">
        <v>0.0</v>
      </c>
      <c r="G463" s="16" t="s">
        <v>752</v>
      </c>
      <c r="H463" s="21"/>
      <c r="I463" s="22">
        <v>4.0</v>
      </c>
      <c r="J463" s="29"/>
      <c r="K463" s="32">
        <v>10500.0</v>
      </c>
      <c r="L463" s="24">
        <v>18000.0</v>
      </c>
      <c r="M463" s="25"/>
      <c r="N463" s="26">
        <v>15000.0</v>
      </c>
      <c r="O463" s="27">
        <f t="shared" si="55"/>
        <v>0.7142857143</v>
      </c>
      <c r="P463" s="28">
        <f t="shared" si="56"/>
        <v>0</v>
      </c>
    </row>
    <row r="464" hidden="1">
      <c r="A464" s="16" t="s">
        <v>753</v>
      </c>
      <c r="B464" s="17"/>
      <c r="C464" s="18"/>
      <c r="D464" s="164"/>
      <c r="E464" s="19">
        <v>0.0</v>
      </c>
      <c r="F464" s="19"/>
      <c r="G464" s="20" t="s">
        <v>610</v>
      </c>
      <c r="H464" s="21"/>
      <c r="I464" s="22"/>
      <c r="J464" s="29"/>
      <c r="K464" s="32">
        <v>67200.0</v>
      </c>
      <c r="L464" s="24">
        <v>85000.0</v>
      </c>
      <c r="M464" s="25"/>
      <c r="N464" s="39"/>
      <c r="O464" s="27">
        <f t="shared" si="55"/>
        <v>0.2648809524</v>
      </c>
      <c r="P464" s="28">
        <f t="shared" si="56"/>
        <v>0</v>
      </c>
    </row>
    <row r="465" hidden="1">
      <c r="A465" s="52" t="s">
        <v>754</v>
      </c>
      <c r="B465" s="36"/>
      <c r="C465" s="18"/>
      <c r="D465" s="4"/>
      <c r="E465" s="19">
        <v>0.0</v>
      </c>
      <c r="F465" s="19">
        <v>0.0</v>
      </c>
      <c r="G465" s="20" t="s">
        <v>755</v>
      </c>
      <c r="H465" s="21"/>
      <c r="I465" s="22">
        <v>18.0</v>
      </c>
      <c r="J465" s="29"/>
      <c r="K465" s="43">
        <v>3700.0</v>
      </c>
      <c r="L465" s="44">
        <v>12000.0</v>
      </c>
      <c r="M465" s="25"/>
      <c r="N465" s="39"/>
      <c r="O465" s="27">
        <f t="shared" si="55"/>
        <v>2.243243243</v>
      </c>
      <c r="P465" s="28">
        <f t="shared" si="56"/>
        <v>0</v>
      </c>
    </row>
    <row r="466" hidden="1">
      <c r="A466" s="16" t="s">
        <v>756</v>
      </c>
      <c r="B466" s="36"/>
      <c r="C466" s="18"/>
      <c r="D466" s="4"/>
      <c r="E466" s="19">
        <v>0.0</v>
      </c>
      <c r="F466" s="19">
        <v>0.0</v>
      </c>
      <c r="G466" s="20" t="s">
        <v>84</v>
      </c>
      <c r="H466" s="21"/>
      <c r="I466" s="22"/>
      <c r="J466" s="29"/>
      <c r="K466" s="43">
        <v>9150.0</v>
      </c>
      <c r="L466" s="44">
        <v>32000.0</v>
      </c>
      <c r="M466" s="25"/>
      <c r="N466" s="39"/>
      <c r="O466" s="27">
        <f t="shared" si="55"/>
        <v>2.49726776</v>
      </c>
      <c r="P466" s="28">
        <f t="shared" si="56"/>
        <v>0</v>
      </c>
    </row>
    <row r="467" hidden="1">
      <c r="A467" s="16" t="s">
        <v>757</v>
      </c>
      <c r="B467" s="36"/>
      <c r="C467" s="18"/>
      <c r="D467" s="4"/>
      <c r="E467" s="19">
        <v>0.0</v>
      </c>
      <c r="F467" s="19">
        <v>0.0</v>
      </c>
      <c r="G467" s="16" t="s">
        <v>16</v>
      </c>
      <c r="H467" s="21"/>
      <c r="I467" s="22"/>
      <c r="J467" s="29"/>
      <c r="K467" s="32">
        <v>6641.0</v>
      </c>
      <c r="L467" s="24">
        <v>40000.0</v>
      </c>
      <c r="M467" s="25"/>
      <c r="N467" s="39"/>
      <c r="O467" s="27">
        <f t="shared" si="55"/>
        <v>5.023189279</v>
      </c>
      <c r="P467" s="28">
        <f t="shared" si="56"/>
        <v>0</v>
      </c>
    </row>
    <row r="468" hidden="1">
      <c r="A468" s="52" t="s">
        <v>758</v>
      </c>
      <c r="B468" s="36"/>
      <c r="C468" s="18"/>
      <c r="D468" s="4"/>
      <c r="E468" s="19">
        <v>0.0</v>
      </c>
      <c r="F468" s="19">
        <v>0.0</v>
      </c>
      <c r="G468" s="20" t="s">
        <v>377</v>
      </c>
      <c r="H468" s="21"/>
      <c r="I468" s="22">
        <v>33.0</v>
      </c>
      <c r="J468" s="47">
        <v>46174.0</v>
      </c>
      <c r="K468" s="32">
        <f>26900*1.19</f>
        <v>32011</v>
      </c>
      <c r="L468" s="24">
        <v>38000.0</v>
      </c>
      <c r="M468" s="25"/>
      <c r="N468" s="39"/>
      <c r="O468" s="27">
        <f t="shared" si="55"/>
        <v>0.1870919371</v>
      </c>
      <c r="P468" s="28">
        <f t="shared" si="56"/>
        <v>0</v>
      </c>
    </row>
    <row r="469" hidden="1">
      <c r="A469" s="42" t="s">
        <v>759</v>
      </c>
      <c r="B469" s="17"/>
      <c r="C469" s="18" t="s">
        <v>547</v>
      </c>
      <c r="D469" s="4"/>
      <c r="E469" s="19">
        <v>0.0</v>
      </c>
      <c r="F469" s="19">
        <v>0.0</v>
      </c>
      <c r="G469" s="20" t="s">
        <v>760</v>
      </c>
      <c r="H469" s="21"/>
      <c r="I469" s="22">
        <v>0.0</v>
      </c>
      <c r="J469" s="29"/>
      <c r="K469" s="43"/>
      <c r="L469" s="44"/>
      <c r="M469" s="25"/>
      <c r="N469" s="39"/>
      <c r="O469" s="27" t="str">
        <f t="shared" si="55"/>
        <v>#DIV/0!</v>
      </c>
      <c r="P469" s="28">
        <f t="shared" si="56"/>
        <v>0</v>
      </c>
    </row>
    <row r="470" hidden="1">
      <c r="A470" s="59" t="s">
        <v>761</v>
      </c>
      <c r="B470" s="97" t="s">
        <v>762</v>
      </c>
      <c r="C470" s="18"/>
      <c r="D470" s="98"/>
      <c r="E470" s="19">
        <v>4.0</v>
      </c>
      <c r="F470" s="19"/>
      <c r="G470" s="20" t="s">
        <v>485</v>
      </c>
      <c r="H470" s="21">
        <v>2.0</v>
      </c>
      <c r="I470" s="22"/>
      <c r="J470" s="100"/>
      <c r="K470" s="165">
        <f>51658*1.19</f>
        <v>61473.02</v>
      </c>
      <c r="L470" s="165">
        <v>105000.0</v>
      </c>
      <c r="M470" s="25"/>
      <c r="N470" s="26"/>
      <c r="O470" s="27">
        <f t="shared" si="55"/>
        <v>0.7080664005</v>
      </c>
      <c r="P470" s="28">
        <f t="shared" si="56"/>
        <v>0</v>
      </c>
    </row>
    <row r="471" hidden="1">
      <c r="A471" s="16" t="s">
        <v>763</v>
      </c>
      <c r="B471" s="36"/>
      <c r="C471" s="18"/>
      <c r="D471" s="4"/>
      <c r="E471" s="19">
        <v>0.0</v>
      </c>
      <c r="F471" s="19">
        <v>0.0</v>
      </c>
      <c r="G471" s="20" t="s">
        <v>254</v>
      </c>
      <c r="H471" s="21"/>
      <c r="I471" s="22">
        <v>0.0</v>
      </c>
      <c r="J471" s="29"/>
      <c r="K471" s="43">
        <v>47100.0</v>
      </c>
      <c r="L471" s="44">
        <v>65000.0</v>
      </c>
      <c r="M471" s="25"/>
      <c r="N471" s="39"/>
      <c r="O471" s="27">
        <f t="shared" si="55"/>
        <v>0.3800424628</v>
      </c>
      <c r="P471" s="28">
        <f t="shared" si="56"/>
        <v>0</v>
      </c>
    </row>
    <row r="472" hidden="1">
      <c r="A472" s="16" t="s">
        <v>764</v>
      </c>
      <c r="B472" s="166"/>
      <c r="C472" s="18"/>
      <c r="D472" s="4" t="s">
        <v>676</v>
      </c>
      <c r="E472" s="19">
        <v>0.0</v>
      </c>
      <c r="F472" s="19">
        <v>0.0</v>
      </c>
      <c r="G472" s="20" t="s">
        <v>254</v>
      </c>
      <c r="H472" s="21"/>
      <c r="I472" s="22">
        <v>8.0</v>
      </c>
      <c r="J472" s="23" t="s">
        <v>99</v>
      </c>
      <c r="K472" s="44">
        <v>39276.0</v>
      </c>
      <c r="L472" s="44">
        <v>52000.0</v>
      </c>
      <c r="M472" s="25" t="s">
        <v>76</v>
      </c>
      <c r="N472" s="39"/>
      <c r="O472" s="27">
        <f t="shared" si="55"/>
        <v>0.3239637438</v>
      </c>
      <c r="P472" s="28">
        <f t="shared" si="56"/>
        <v>0</v>
      </c>
    </row>
    <row r="473" hidden="1">
      <c r="A473" s="16" t="s">
        <v>765</v>
      </c>
      <c r="B473" s="17"/>
      <c r="C473" s="18" t="s">
        <v>144</v>
      </c>
      <c r="D473" s="4">
        <v>77499.0</v>
      </c>
      <c r="E473" s="19">
        <v>0.0</v>
      </c>
      <c r="F473" s="77">
        <v>0.0</v>
      </c>
      <c r="G473" s="20" t="s">
        <v>78</v>
      </c>
      <c r="H473" s="21">
        <v>4.0</v>
      </c>
      <c r="I473" s="22">
        <v>3.0</v>
      </c>
      <c r="J473" s="23"/>
      <c r="K473" s="24">
        <v>72817.0</v>
      </c>
      <c r="L473" s="24">
        <v>98000.0</v>
      </c>
      <c r="M473" s="25" t="s">
        <v>82</v>
      </c>
      <c r="N473" s="39"/>
      <c r="O473" s="27">
        <f t="shared" si="55"/>
        <v>0.3458395704</v>
      </c>
      <c r="P473" s="28">
        <f t="shared" si="56"/>
        <v>0</v>
      </c>
    </row>
    <row r="474" hidden="1">
      <c r="A474" s="16" t="s">
        <v>766</v>
      </c>
      <c r="B474" s="17"/>
      <c r="C474" s="18"/>
      <c r="D474" s="4"/>
      <c r="E474" s="19">
        <v>0.0</v>
      </c>
      <c r="F474" s="19"/>
      <c r="G474" s="16" t="s">
        <v>767</v>
      </c>
      <c r="H474" s="21"/>
      <c r="I474" s="22"/>
      <c r="J474" s="29"/>
      <c r="K474" s="43">
        <v>1500000.0</v>
      </c>
      <c r="L474" s="125">
        <f>K474*1.2</f>
        <v>1800000</v>
      </c>
      <c r="M474" s="25"/>
      <c r="N474" s="39"/>
      <c r="O474" s="27">
        <f t="shared" si="55"/>
        <v>0.2</v>
      </c>
      <c r="P474" s="28">
        <f t="shared" si="56"/>
        <v>0</v>
      </c>
    </row>
    <row r="475" hidden="1">
      <c r="A475" s="52" t="s">
        <v>768</v>
      </c>
      <c r="B475" s="167"/>
      <c r="C475" s="68"/>
      <c r="D475" s="4"/>
      <c r="E475" s="19">
        <v>10.0</v>
      </c>
      <c r="F475" s="77">
        <v>0.0</v>
      </c>
      <c r="G475" s="20" t="s">
        <v>14</v>
      </c>
      <c r="H475" s="21">
        <v>4.0</v>
      </c>
      <c r="I475" s="22">
        <v>6.0</v>
      </c>
      <c r="J475" s="47">
        <v>46539.0</v>
      </c>
      <c r="K475" s="24">
        <v>13351.0</v>
      </c>
      <c r="L475" s="24">
        <v>20000.0</v>
      </c>
      <c r="M475" s="25" t="s">
        <v>76</v>
      </c>
      <c r="N475" s="39"/>
      <c r="O475" s="27">
        <f t="shared" si="55"/>
        <v>0.49801513</v>
      </c>
      <c r="P475" s="28">
        <f t="shared" si="56"/>
        <v>0</v>
      </c>
    </row>
    <row r="476" hidden="1">
      <c r="A476" s="52" t="s">
        <v>769</v>
      </c>
      <c r="B476" s="17"/>
      <c r="C476" s="68"/>
      <c r="D476" s="4"/>
      <c r="E476" s="19">
        <v>0.0</v>
      </c>
      <c r="F476" s="19">
        <v>0.0</v>
      </c>
      <c r="G476" s="20" t="s">
        <v>14</v>
      </c>
      <c r="H476" s="21">
        <v>1.0</v>
      </c>
      <c r="I476" s="22">
        <v>1.0</v>
      </c>
      <c r="J476" s="23"/>
      <c r="K476" s="44">
        <v>171200.0</v>
      </c>
      <c r="L476" s="44">
        <v>220000.0</v>
      </c>
      <c r="M476" s="25" t="s">
        <v>76</v>
      </c>
      <c r="N476" s="39"/>
      <c r="O476" s="27">
        <f t="shared" si="55"/>
        <v>0.285046729</v>
      </c>
      <c r="P476" s="28">
        <f t="shared" si="56"/>
        <v>0</v>
      </c>
    </row>
    <row r="477" hidden="1">
      <c r="A477" s="52" t="s">
        <v>770</v>
      </c>
      <c r="B477" s="17" t="s">
        <v>771</v>
      </c>
      <c r="C477" s="18"/>
      <c r="D477" s="4"/>
      <c r="E477" s="19">
        <v>0.0</v>
      </c>
      <c r="F477" s="19">
        <v>0.0</v>
      </c>
      <c r="G477" s="16" t="s">
        <v>772</v>
      </c>
      <c r="H477" s="21"/>
      <c r="I477" s="22">
        <v>0.0</v>
      </c>
      <c r="J477" s="29"/>
      <c r="K477" s="32">
        <f>9000*1.19</f>
        <v>10710</v>
      </c>
      <c r="L477" s="24">
        <v>15000.0</v>
      </c>
      <c r="M477" s="25"/>
      <c r="N477" s="39"/>
      <c r="O477" s="27">
        <f t="shared" si="55"/>
        <v>0.4005602241</v>
      </c>
      <c r="P477" s="28">
        <f t="shared" si="56"/>
        <v>0</v>
      </c>
    </row>
    <row r="478" hidden="1">
      <c r="A478" s="16" t="s">
        <v>773</v>
      </c>
      <c r="B478" s="36"/>
      <c r="C478" s="18"/>
      <c r="D478" s="4"/>
      <c r="E478" s="19">
        <v>0.0</v>
      </c>
      <c r="F478" s="19"/>
      <c r="G478" s="20" t="s">
        <v>610</v>
      </c>
      <c r="H478" s="21"/>
      <c r="I478" s="22"/>
      <c r="J478" s="29"/>
      <c r="K478" s="43">
        <v>33000.0</v>
      </c>
      <c r="L478" s="44">
        <v>45000.0</v>
      </c>
      <c r="M478" s="25" t="s">
        <v>82</v>
      </c>
      <c r="N478" s="39"/>
      <c r="O478" s="27">
        <f t="shared" si="55"/>
        <v>0.3636363636</v>
      </c>
      <c r="P478" s="28">
        <f t="shared" si="56"/>
        <v>0</v>
      </c>
    </row>
    <row r="479" hidden="1">
      <c r="A479" s="16" t="s">
        <v>774</v>
      </c>
      <c r="B479" s="36"/>
      <c r="C479" s="18"/>
      <c r="D479" s="4"/>
      <c r="E479" s="19">
        <v>0.0</v>
      </c>
      <c r="F479" s="19"/>
      <c r="G479" s="20" t="s">
        <v>610</v>
      </c>
      <c r="H479" s="21"/>
      <c r="I479" s="22"/>
      <c r="J479" s="29"/>
      <c r="K479" s="43">
        <v>33000.0</v>
      </c>
      <c r="L479" s="44">
        <v>45000.0</v>
      </c>
      <c r="M479" s="25"/>
      <c r="N479" s="39"/>
      <c r="O479" s="27">
        <f t="shared" si="55"/>
        <v>0.3636363636</v>
      </c>
      <c r="P479" s="28">
        <f t="shared" si="56"/>
        <v>0</v>
      </c>
    </row>
    <row r="480" hidden="1">
      <c r="A480" s="16" t="s">
        <v>775</v>
      </c>
      <c r="B480" s="49"/>
      <c r="C480" s="18" t="s">
        <v>55</v>
      </c>
      <c r="D480" s="4"/>
      <c r="E480" s="19">
        <v>0.0</v>
      </c>
      <c r="F480" s="19"/>
      <c r="G480" s="20" t="s">
        <v>610</v>
      </c>
      <c r="H480" s="21"/>
      <c r="I480" s="22"/>
      <c r="J480" s="29"/>
      <c r="K480" s="43">
        <v>33000.0</v>
      </c>
      <c r="L480" s="44">
        <v>45000.0</v>
      </c>
      <c r="M480" s="25" t="s">
        <v>82</v>
      </c>
      <c r="N480" s="39"/>
      <c r="O480" s="27">
        <f t="shared" si="55"/>
        <v>0.3636363636</v>
      </c>
      <c r="P480" s="28">
        <f t="shared" si="56"/>
        <v>0</v>
      </c>
    </row>
    <row r="481" hidden="1">
      <c r="A481" s="40" t="s">
        <v>776</v>
      </c>
      <c r="B481" s="49"/>
      <c r="C481" s="18" t="s">
        <v>55</v>
      </c>
      <c r="D481" s="4"/>
      <c r="E481" s="19">
        <v>0.0</v>
      </c>
      <c r="F481" s="19"/>
      <c r="G481" s="20" t="s">
        <v>610</v>
      </c>
      <c r="H481" s="21"/>
      <c r="I481" s="22"/>
      <c r="J481" s="29"/>
      <c r="K481" s="43">
        <v>33000.0</v>
      </c>
      <c r="L481" s="44">
        <v>45000.0</v>
      </c>
      <c r="M481" s="25" t="s">
        <v>82</v>
      </c>
      <c r="N481" s="26"/>
      <c r="O481" s="27">
        <f t="shared" si="55"/>
        <v>0.3636363636</v>
      </c>
      <c r="P481" s="28">
        <f t="shared" si="56"/>
        <v>0</v>
      </c>
    </row>
    <row r="482" hidden="1">
      <c r="A482" s="40" t="s">
        <v>777</v>
      </c>
      <c r="B482" s="36"/>
      <c r="C482" s="18"/>
      <c r="D482" s="4"/>
      <c r="E482" s="19">
        <v>0.0</v>
      </c>
      <c r="F482" s="19"/>
      <c r="G482" s="20" t="s">
        <v>610</v>
      </c>
      <c r="H482" s="21"/>
      <c r="I482" s="22"/>
      <c r="J482" s="29"/>
      <c r="K482" s="43">
        <v>33000.0</v>
      </c>
      <c r="L482" s="44">
        <v>45000.0</v>
      </c>
      <c r="M482" s="25" t="s">
        <v>82</v>
      </c>
      <c r="N482" s="39"/>
      <c r="O482" s="27">
        <f t="shared" si="55"/>
        <v>0.3636363636</v>
      </c>
      <c r="P482" s="28">
        <f t="shared" si="56"/>
        <v>0</v>
      </c>
    </row>
    <row r="483" hidden="1">
      <c r="A483" s="16" t="s">
        <v>778</v>
      </c>
      <c r="B483" s="36"/>
      <c r="C483" s="18"/>
      <c r="D483" s="4"/>
      <c r="E483" s="19">
        <v>0.0</v>
      </c>
      <c r="F483" s="19"/>
      <c r="G483" s="20" t="s">
        <v>610</v>
      </c>
      <c r="H483" s="21"/>
      <c r="I483" s="22"/>
      <c r="J483" s="29"/>
      <c r="K483" s="43">
        <v>33000.0</v>
      </c>
      <c r="L483" s="44">
        <v>45000.0</v>
      </c>
      <c r="M483" s="25" t="s">
        <v>82</v>
      </c>
      <c r="N483" s="39"/>
      <c r="O483" s="27">
        <f t="shared" si="55"/>
        <v>0.3636363636</v>
      </c>
      <c r="P483" s="28">
        <f t="shared" si="56"/>
        <v>0</v>
      </c>
    </row>
    <row r="484" hidden="1">
      <c r="A484" s="40" t="s">
        <v>779</v>
      </c>
      <c r="B484" s="36"/>
      <c r="C484" s="18"/>
      <c r="D484" s="4"/>
      <c r="E484" s="19">
        <v>0.0</v>
      </c>
      <c r="F484" s="19"/>
      <c r="G484" s="20" t="s">
        <v>610</v>
      </c>
      <c r="H484" s="21"/>
      <c r="I484" s="22"/>
      <c r="J484" s="29"/>
      <c r="K484" s="43">
        <v>33000.0</v>
      </c>
      <c r="L484" s="44">
        <v>45000.0</v>
      </c>
      <c r="M484" s="25"/>
      <c r="N484" s="39"/>
      <c r="O484" s="27">
        <f t="shared" si="55"/>
        <v>0.3636363636</v>
      </c>
      <c r="P484" s="28">
        <f t="shared" si="56"/>
        <v>0</v>
      </c>
    </row>
    <row r="485" hidden="1">
      <c r="A485" s="16" t="s">
        <v>780</v>
      </c>
      <c r="B485" s="36"/>
      <c r="C485" s="18"/>
      <c r="D485" s="4"/>
      <c r="E485" s="19">
        <v>0.0</v>
      </c>
      <c r="F485" s="19"/>
      <c r="G485" s="20" t="s">
        <v>610</v>
      </c>
      <c r="H485" s="21"/>
      <c r="I485" s="22"/>
      <c r="J485" s="29"/>
      <c r="K485" s="43">
        <v>33000.0</v>
      </c>
      <c r="L485" s="44">
        <v>45000.0</v>
      </c>
      <c r="M485" s="25" t="s">
        <v>82</v>
      </c>
      <c r="N485" s="39"/>
      <c r="O485" s="27">
        <f t="shared" si="55"/>
        <v>0.3636363636</v>
      </c>
      <c r="P485" s="28">
        <f t="shared" si="56"/>
        <v>0</v>
      </c>
    </row>
    <row r="486" hidden="1">
      <c r="A486" s="16" t="s">
        <v>781</v>
      </c>
      <c r="B486" s="54" t="s">
        <v>782</v>
      </c>
      <c r="C486" s="18"/>
      <c r="D486" s="4"/>
      <c r="E486" s="19">
        <v>0.0</v>
      </c>
      <c r="F486" s="19">
        <v>0.0</v>
      </c>
      <c r="G486" s="16" t="s">
        <v>783</v>
      </c>
      <c r="H486" s="21"/>
      <c r="I486" s="22">
        <v>9.0</v>
      </c>
      <c r="J486" s="29"/>
      <c r="K486" s="48">
        <v>15500.0</v>
      </c>
      <c r="L486" s="48">
        <v>27000.0</v>
      </c>
      <c r="M486" s="25" t="s">
        <v>82</v>
      </c>
      <c r="N486" s="26"/>
      <c r="O486" s="27">
        <f t="shared" si="55"/>
        <v>0.7419354839</v>
      </c>
      <c r="P486" s="28">
        <f t="shared" si="56"/>
        <v>0</v>
      </c>
    </row>
    <row r="487" hidden="1">
      <c r="A487" s="16" t="s">
        <v>784</v>
      </c>
      <c r="B487" s="54" t="s">
        <v>782</v>
      </c>
      <c r="C487" s="18"/>
      <c r="D487" s="107" t="s">
        <v>251</v>
      </c>
      <c r="E487" s="19">
        <v>20.0</v>
      </c>
      <c r="F487" s="19">
        <v>0.0</v>
      </c>
      <c r="G487" s="16" t="s">
        <v>783</v>
      </c>
      <c r="H487" s="21"/>
      <c r="I487" s="22">
        <v>9.0</v>
      </c>
      <c r="J487" s="29"/>
      <c r="K487" s="48">
        <v>15500.0</v>
      </c>
      <c r="L487" s="48">
        <v>27000.0</v>
      </c>
      <c r="M487" s="25" t="s">
        <v>82</v>
      </c>
      <c r="N487" s="26"/>
      <c r="O487" s="27">
        <f t="shared" si="55"/>
        <v>0.7419354839</v>
      </c>
      <c r="P487" s="28">
        <f t="shared" si="56"/>
        <v>0</v>
      </c>
    </row>
    <row r="488" hidden="1">
      <c r="A488" s="16" t="s">
        <v>785</v>
      </c>
      <c r="B488" s="54" t="s">
        <v>782</v>
      </c>
      <c r="C488" s="18"/>
      <c r="D488" s="4"/>
      <c r="E488" s="19">
        <v>0.0</v>
      </c>
      <c r="F488" s="19">
        <v>0.0</v>
      </c>
      <c r="G488" s="16" t="s">
        <v>783</v>
      </c>
      <c r="H488" s="21"/>
      <c r="I488" s="22">
        <v>0.0</v>
      </c>
      <c r="J488" s="29"/>
      <c r="K488" s="48">
        <v>15500.0</v>
      </c>
      <c r="L488" s="48">
        <v>27000.0</v>
      </c>
      <c r="M488" s="25" t="s">
        <v>82</v>
      </c>
      <c r="N488" s="39"/>
      <c r="O488" s="27">
        <f t="shared" si="55"/>
        <v>0.7419354839</v>
      </c>
      <c r="P488" s="28">
        <f t="shared" si="56"/>
        <v>0</v>
      </c>
    </row>
    <row r="489" hidden="1">
      <c r="A489" s="16" t="s">
        <v>786</v>
      </c>
      <c r="B489" s="54" t="s">
        <v>782</v>
      </c>
      <c r="C489" s="18"/>
      <c r="D489" s="4"/>
      <c r="E489" s="19">
        <v>0.0</v>
      </c>
      <c r="F489" s="19">
        <v>0.0</v>
      </c>
      <c r="G489" s="16" t="s">
        <v>783</v>
      </c>
      <c r="H489" s="21"/>
      <c r="I489" s="22">
        <v>0.0</v>
      </c>
      <c r="J489" s="29"/>
      <c r="K489" s="48">
        <v>15500.0</v>
      </c>
      <c r="L489" s="48">
        <v>27000.0</v>
      </c>
      <c r="M489" s="25" t="s">
        <v>82</v>
      </c>
      <c r="N489" s="39"/>
      <c r="O489" s="27">
        <f t="shared" si="55"/>
        <v>0.7419354839</v>
      </c>
      <c r="P489" s="28">
        <f t="shared" si="56"/>
        <v>0</v>
      </c>
    </row>
    <row r="490" hidden="1">
      <c r="A490" s="16" t="s">
        <v>787</v>
      </c>
      <c r="B490" s="54" t="s">
        <v>782</v>
      </c>
      <c r="C490" s="18"/>
      <c r="D490" s="4"/>
      <c r="E490" s="19">
        <v>0.0</v>
      </c>
      <c r="F490" s="19">
        <v>0.0</v>
      </c>
      <c r="G490" s="16" t="s">
        <v>783</v>
      </c>
      <c r="H490" s="21"/>
      <c r="I490" s="22">
        <v>0.0</v>
      </c>
      <c r="J490" s="29"/>
      <c r="K490" s="48">
        <v>15500.0</v>
      </c>
      <c r="L490" s="48">
        <v>27000.0</v>
      </c>
      <c r="M490" s="25" t="s">
        <v>82</v>
      </c>
      <c r="N490" s="39"/>
      <c r="O490" s="27">
        <f t="shared" si="55"/>
        <v>0.7419354839</v>
      </c>
      <c r="P490" s="28">
        <f t="shared" si="56"/>
        <v>0</v>
      </c>
    </row>
    <row r="491" hidden="1">
      <c r="A491" s="16" t="s">
        <v>788</v>
      </c>
      <c r="B491" s="54" t="s">
        <v>782</v>
      </c>
      <c r="C491" s="18"/>
      <c r="D491" s="4"/>
      <c r="E491" s="19">
        <v>0.0</v>
      </c>
      <c r="F491" s="19">
        <v>0.0</v>
      </c>
      <c r="G491" s="16" t="s">
        <v>783</v>
      </c>
      <c r="H491" s="21"/>
      <c r="I491" s="22">
        <v>0.0</v>
      </c>
      <c r="J491" s="29"/>
      <c r="K491" s="48">
        <v>15500.0</v>
      </c>
      <c r="L491" s="48">
        <v>27000.0</v>
      </c>
      <c r="M491" s="25" t="s">
        <v>82</v>
      </c>
      <c r="N491" s="39"/>
      <c r="O491" s="27">
        <f t="shared" si="55"/>
        <v>0.7419354839</v>
      </c>
      <c r="P491" s="28">
        <f t="shared" si="56"/>
        <v>0</v>
      </c>
    </row>
    <row r="492" hidden="1">
      <c r="A492" s="16" t="s">
        <v>789</v>
      </c>
      <c r="B492" s="54" t="s">
        <v>782</v>
      </c>
      <c r="C492" s="18"/>
      <c r="D492" s="4"/>
      <c r="E492" s="19">
        <v>0.0</v>
      </c>
      <c r="F492" s="19">
        <v>0.0</v>
      </c>
      <c r="G492" s="16" t="s">
        <v>783</v>
      </c>
      <c r="H492" s="21"/>
      <c r="I492" s="22">
        <v>21.0</v>
      </c>
      <c r="J492" s="29"/>
      <c r="K492" s="48">
        <v>15500.0</v>
      </c>
      <c r="L492" s="48">
        <v>27000.0</v>
      </c>
      <c r="M492" s="168" t="s">
        <v>76</v>
      </c>
      <c r="N492" s="39"/>
      <c r="O492" s="27">
        <f t="shared" si="55"/>
        <v>0.7419354839</v>
      </c>
      <c r="P492" s="28">
        <f t="shared" si="56"/>
        <v>0</v>
      </c>
    </row>
    <row r="493" hidden="1">
      <c r="A493" s="16" t="s">
        <v>790</v>
      </c>
      <c r="B493" s="54" t="s">
        <v>782</v>
      </c>
      <c r="C493" s="18"/>
      <c r="D493" s="107" t="s">
        <v>251</v>
      </c>
      <c r="E493" s="19">
        <v>20.0</v>
      </c>
      <c r="F493" s="19">
        <v>0.0</v>
      </c>
      <c r="G493" s="16" t="s">
        <v>783</v>
      </c>
      <c r="H493" s="21"/>
      <c r="I493" s="22">
        <v>10.0</v>
      </c>
      <c r="J493" s="29"/>
      <c r="K493" s="48">
        <v>15500.0</v>
      </c>
      <c r="L493" s="48">
        <v>27000.0</v>
      </c>
      <c r="M493" s="168" t="s">
        <v>76</v>
      </c>
      <c r="N493" s="39"/>
      <c r="O493" s="27">
        <f t="shared" si="55"/>
        <v>0.7419354839</v>
      </c>
      <c r="P493" s="28">
        <f t="shared" si="56"/>
        <v>0</v>
      </c>
    </row>
    <row r="494" hidden="1">
      <c r="A494" s="16" t="s">
        <v>791</v>
      </c>
      <c r="B494" s="17"/>
      <c r="C494" s="18"/>
      <c r="D494" s="4"/>
      <c r="E494" s="19">
        <v>0.0</v>
      </c>
      <c r="F494" s="19">
        <v>0.0</v>
      </c>
      <c r="G494" s="16" t="s">
        <v>792</v>
      </c>
      <c r="H494" s="21"/>
      <c r="I494" s="22">
        <v>0.0</v>
      </c>
      <c r="J494" s="29"/>
      <c r="K494" s="43">
        <v>190000.0</v>
      </c>
      <c r="L494" s="44">
        <v>220000.0</v>
      </c>
      <c r="M494" s="25"/>
      <c r="N494" s="39"/>
      <c r="O494" s="27">
        <f t="shared" si="55"/>
        <v>0.1578947368</v>
      </c>
      <c r="P494" s="28">
        <f t="shared" si="56"/>
        <v>0</v>
      </c>
    </row>
    <row r="495" hidden="1">
      <c r="A495" s="122" t="s">
        <v>793</v>
      </c>
      <c r="B495" s="17"/>
      <c r="C495" s="18"/>
      <c r="D495" s="4"/>
      <c r="E495" s="19">
        <v>0.0</v>
      </c>
      <c r="F495" s="19">
        <v>0.0</v>
      </c>
      <c r="G495" s="16" t="s">
        <v>16</v>
      </c>
      <c r="H495" s="73"/>
      <c r="I495" s="22">
        <v>0.0</v>
      </c>
      <c r="J495" s="74"/>
      <c r="K495" s="75">
        <v>289000.0</v>
      </c>
      <c r="L495" s="44">
        <v>550000.0</v>
      </c>
      <c r="M495" s="25"/>
      <c r="N495" s="39"/>
      <c r="O495" s="27">
        <f t="shared" si="55"/>
        <v>0.9031141869</v>
      </c>
      <c r="P495" s="28">
        <f t="shared" si="56"/>
        <v>0</v>
      </c>
    </row>
    <row r="496" hidden="1">
      <c r="A496" s="122" t="s">
        <v>794</v>
      </c>
      <c r="B496" s="134"/>
      <c r="C496" s="18"/>
      <c r="D496" s="4"/>
      <c r="E496" s="19">
        <v>0.0</v>
      </c>
      <c r="F496" s="19">
        <v>10.0</v>
      </c>
      <c r="G496" s="16" t="s">
        <v>16</v>
      </c>
      <c r="H496" s="21"/>
      <c r="I496" s="22">
        <v>0.0</v>
      </c>
      <c r="J496" s="29"/>
      <c r="K496" s="169">
        <v>10277.0</v>
      </c>
      <c r="L496" s="24">
        <v>50000.0</v>
      </c>
      <c r="M496" s="25"/>
      <c r="N496" s="102">
        <v>40000.0</v>
      </c>
      <c r="O496" s="27">
        <f t="shared" si="55"/>
        <v>3.865233045</v>
      </c>
      <c r="P496" s="28">
        <f t="shared" si="56"/>
        <v>102770</v>
      </c>
    </row>
    <row r="497" hidden="1">
      <c r="A497" s="122" t="s">
        <v>795</v>
      </c>
      <c r="B497" s="17">
        <v>241099.0</v>
      </c>
      <c r="C497" s="18"/>
      <c r="D497" s="4" t="s">
        <v>796</v>
      </c>
      <c r="E497" s="19">
        <v>0.0</v>
      </c>
      <c r="F497" s="19">
        <v>10.0</v>
      </c>
      <c r="G497" s="16" t="s">
        <v>425</v>
      </c>
      <c r="H497" s="21"/>
      <c r="I497" s="22">
        <v>9.0</v>
      </c>
      <c r="J497" s="29"/>
      <c r="K497" s="43">
        <f>14156*1.19</f>
        <v>16845.64</v>
      </c>
      <c r="L497" s="43">
        <v>28000.0</v>
      </c>
      <c r="M497" s="25"/>
      <c r="N497" s="39"/>
      <c r="O497" s="27">
        <f t="shared" si="55"/>
        <v>0.662151156</v>
      </c>
      <c r="P497" s="28">
        <f t="shared" si="56"/>
        <v>168456.4</v>
      </c>
    </row>
    <row r="498" hidden="1">
      <c r="A498" s="42" t="s">
        <v>797</v>
      </c>
      <c r="B498" s="71"/>
      <c r="C498" s="18"/>
      <c r="D498" s="4"/>
      <c r="E498" s="19">
        <v>0.0</v>
      </c>
      <c r="F498" s="19"/>
      <c r="G498" s="16" t="s">
        <v>798</v>
      </c>
      <c r="H498" s="21"/>
      <c r="I498" s="22"/>
      <c r="J498" s="29"/>
      <c r="K498" s="43">
        <v>1416.0</v>
      </c>
      <c r="L498" s="44">
        <v>5000.0</v>
      </c>
      <c r="M498" s="25"/>
      <c r="N498" s="39"/>
      <c r="O498" s="27">
        <f t="shared" si="55"/>
        <v>2.531073446</v>
      </c>
      <c r="P498" s="28">
        <f t="shared" si="56"/>
        <v>0</v>
      </c>
    </row>
    <row r="499" hidden="1">
      <c r="A499" s="42" t="s">
        <v>799</v>
      </c>
      <c r="B499" s="114" t="s">
        <v>328</v>
      </c>
      <c r="C499" s="18"/>
      <c r="D499" s="4"/>
      <c r="E499" s="19">
        <v>0.0</v>
      </c>
      <c r="F499" s="19"/>
      <c r="G499" s="16" t="s">
        <v>798</v>
      </c>
      <c r="H499" s="21"/>
      <c r="I499" s="22"/>
      <c r="J499" s="29"/>
      <c r="K499" s="43">
        <v>1443.0</v>
      </c>
      <c r="L499" s="44">
        <v>4000.0</v>
      </c>
      <c r="M499" s="25"/>
      <c r="N499" s="39"/>
      <c r="O499" s="27">
        <f t="shared" si="55"/>
        <v>1.772002772</v>
      </c>
      <c r="P499" s="28">
        <f t="shared" si="56"/>
        <v>0</v>
      </c>
    </row>
    <row r="500" hidden="1">
      <c r="A500" s="16" t="s">
        <v>800</v>
      </c>
      <c r="B500" s="49"/>
      <c r="C500" s="18"/>
      <c r="D500" s="4"/>
      <c r="E500" s="19">
        <v>0.0</v>
      </c>
      <c r="F500" s="19"/>
      <c r="G500" s="20" t="s">
        <v>57</v>
      </c>
      <c r="H500" s="21"/>
      <c r="I500" s="22"/>
      <c r="J500" s="58">
        <v>46357.0</v>
      </c>
      <c r="K500" s="32">
        <v>48000.0</v>
      </c>
      <c r="L500" s="24">
        <v>68000.0</v>
      </c>
      <c r="M500" s="25"/>
      <c r="N500" s="39"/>
      <c r="O500" s="27">
        <f t="shared" si="55"/>
        <v>0.4166666667</v>
      </c>
      <c r="P500" s="28">
        <f t="shared" si="56"/>
        <v>0</v>
      </c>
    </row>
    <row r="501" hidden="1">
      <c r="A501" s="16" t="s">
        <v>801</v>
      </c>
      <c r="B501" s="17"/>
      <c r="C501" s="18"/>
      <c r="D501" s="4"/>
      <c r="E501" s="19">
        <v>0.0</v>
      </c>
      <c r="F501" s="19"/>
      <c r="G501" s="20" t="s">
        <v>57</v>
      </c>
      <c r="H501" s="21"/>
      <c r="I501" s="22"/>
      <c r="J501" s="29"/>
      <c r="K501" s="43">
        <f>325*3</f>
        <v>975</v>
      </c>
      <c r="L501" s="44">
        <v>2000.0</v>
      </c>
      <c r="M501" s="25"/>
      <c r="N501" s="39"/>
      <c r="O501" s="27">
        <f t="shared" si="55"/>
        <v>1.051282051</v>
      </c>
      <c r="P501" s="28">
        <f t="shared" si="56"/>
        <v>0</v>
      </c>
    </row>
    <row r="502" hidden="1">
      <c r="A502" s="16" t="s">
        <v>802</v>
      </c>
      <c r="B502" s="17"/>
      <c r="C502" s="18"/>
      <c r="D502" s="4"/>
      <c r="E502" s="19">
        <v>0.0</v>
      </c>
      <c r="F502" s="19">
        <v>0.0</v>
      </c>
      <c r="G502" s="16" t="s">
        <v>580</v>
      </c>
      <c r="H502" s="33"/>
      <c r="I502" s="22">
        <v>0.0</v>
      </c>
      <c r="J502" s="170"/>
      <c r="K502" s="30">
        <v>4904.4</v>
      </c>
      <c r="L502" s="24">
        <v>22000.0</v>
      </c>
      <c r="M502" s="25"/>
      <c r="N502" s="39"/>
      <c r="O502" s="27">
        <f t="shared" si="55"/>
        <v>3.485767882</v>
      </c>
      <c r="P502" s="28">
        <f t="shared" si="56"/>
        <v>0</v>
      </c>
    </row>
    <row r="503" hidden="1">
      <c r="A503" s="16" t="s">
        <v>803</v>
      </c>
      <c r="B503" s="17"/>
      <c r="C503" s="18"/>
      <c r="D503" s="4"/>
      <c r="E503" s="19">
        <v>0.0</v>
      </c>
      <c r="F503" s="19">
        <v>0.0</v>
      </c>
      <c r="G503" s="16" t="s">
        <v>16</v>
      </c>
      <c r="H503" s="21"/>
      <c r="I503" s="22">
        <v>0.0</v>
      </c>
      <c r="J503" s="29"/>
      <c r="K503" s="43">
        <v>1500.0</v>
      </c>
      <c r="L503" s="44">
        <v>4000.0</v>
      </c>
      <c r="M503" s="25"/>
      <c r="N503" s="39"/>
      <c r="O503" s="27">
        <f t="shared" si="55"/>
        <v>1.666666667</v>
      </c>
      <c r="P503" s="28">
        <f t="shared" si="56"/>
        <v>0</v>
      </c>
    </row>
    <row r="504" hidden="1">
      <c r="A504" s="16" t="s">
        <v>804</v>
      </c>
      <c r="B504" s="36"/>
      <c r="C504" s="18"/>
      <c r="D504" s="4"/>
      <c r="E504" s="19">
        <v>0.0</v>
      </c>
      <c r="F504" s="19">
        <v>0.0</v>
      </c>
      <c r="G504" s="16" t="s">
        <v>580</v>
      </c>
      <c r="H504" s="21"/>
      <c r="I504" s="22"/>
      <c r="J504" s="45"/>
      <c r="K504" s="60">
        <v>75000.0</v>
      </c>
      <c r="L504" s="55">
        <v>170000.0</v>
      </c>
      <c r="M504" s="25"/>
      <c r="N504" s="39"/>
      <c r="O504" s="27"/>
      <c r="P504" s="28"/>
    </row>
    <row r="505" hidden="1">
      <c r="A505" s="16" t="s">
        <v>805</v>
      </c>
      <c r="B505" s="36"/>
      <c r="C505" s="18"/>
      <c r="D505" s="4"/>
      <c r="E505" s="19">
        <v>0.0</v>
      </c>
      <c r="F505" s="19"/>
      <c r="G505" s="16" t="s">
        <v>39</v>
      </c>
      <c r="H505" s="21"/>
      <c r="I505" s="22"/>
      <c r="J505" s="29"/>
      <c r="K505" s="43">
        <v>5420.0</v>
      </c>
      <c r="L505" s="44">
        <v>10000.0</v>
      </c>
      <c r="M505" s="25"/>
      <c r="N505" s="39"/>
      <c r="O505" s="27">
        <f t="shared" ref="O505:O511" si="58">(L505/K505)-1</f>
        <v>0.8450184502</v>
      </c>
      <c r="P505" s="28">
        <f t="shared" ref="P505:P511" si="59">K505*F505</f>
        <v>0</v>
      </c>
    </row>
    <row r="506" hidden="1">
      <c r="A506" s="16" t="s">
        <v>806</v>
      </c>
      <c r="B506" s="36"/>
      <c r="C506" s="18"/>
      <c r="D506" s="4"/>
      <c r="E506" s="19">
        <v>0.0</v>
      </c>
      <c r="F506" s="19"/>
      <c r="G506" s="16" t="s">
        <v>39</v>
      </c>
      <c r="H506" s="21"/>
      <c r="I506" s="22"/>
      <c r="J506" s="45"/>
      <c r="K506" s="46">
        <v>5500.0</v>
      </c>
      <c r="L506" s="24">
        <v>9000.0</v>
      </c>
      <c r="M506" s="25"/>
      <c r="N506" s="39"/>
      <c r="O506" s="27">
        <f t="shared" si="58"/>
        <v>0.6363636364</v>
      </c>
      <c r="P506" s="28">
        <f t="shared" si="59"/>
        <v>0</v>
      </c>
    </row>
    <row r="507" hidden="1">
      <c r="A507" s="16" t="s">
        <v>807</v>
      </c>
      <c r="B507" s="36"/>
      <c r="C507" s="18"/>
      <c r="D507" s="164"/>
      <c r="E507" s="19"/>
      <c r="F507" s="19"/>
      <c r="G507" s="16" t="s">
        <v>88</v>
      </c>
      <c r="H507" s="21"/>
      <c r="I507" s="22">
        <v>7.0</v>
      </c>
      <c r="J507" s="47">
        <v>46174.0</v>
      </c>
      <c r="K507" s="60">
        <v>26616.0</v>
      </c>
      <c r="L507" s="55">
        <v>32000.0</v>
      </c>
      <c r="M507" s="25"/>
      <c r="N507" s="39"/>
      <c r="O507" s="27">
        <f t="shared" si="58"/>
        <v>0.2022843402</v>
      </c>
      <c r="P507" s="28">
        <f t="shared" si="59"/>
        <v>0</v>
      </c>
    </row>
    <row r="508" hidden="1">
      <c r="A508" s="156" t="s">
        <v>808</v>
      </c>
      <c r="B508" s="114" t="s">
        <v>809</v>
      </c>
      <c r="C508" s="18"/>
      <c r="D508" s="4"/>
      <c r="E508" s="19"/>
      <c r="F508" s="19"/>
      <c r="G508" s="20" t="s">
        <v>810</v>
      </c>
      <c r="H508" s="21"/>
      <c r="I508" s="22">
        <v>19.0</v>
      </c>
      <c r="J508" s="29" t="s">
        <v>811</v>
      </c>
      <c r="K508" s="32">
        <v>2050.0</v>
      </c>
      <c r="L508" s="24">
        <v>3000.0</v>
      </c>
      <c r="M508" s="25"/>
      <c r="N508" s="39"/>
      <c r="O508" s="27">
        <f t="shared" si="58"/>
        <v>0.4634146341</v>
      </c>
      <c r="P508" s="28">
        <f t="shared" si="59"/>
        <v>0</v>
      </c>
    </row>
    <row r="509" hidden="1">
      <c r="A509" s="52" t="s">
        <v>812</v>
      </c>
      <c r="B509" s="17"/>
      <c r="C509" s="18"/>
      <c r="D509" s="4"/>
      <c r="E509" s="19">
        <v>0.0</v>
      </c>
      <c r="F509" s="19">
        <v>0.0</v>
      </c>
      <c r="G509" s="16" t="s">
        <v>813</v>
      </c>
      <c r="H509" s="33"/>
      <c r="I509" s="22">
        <v>5.0</v>
      </c>
      <c r="J509" s="34"/>
      <c r="K509" s="48">
        <v>3500.0</v>
      </c>
      <c r="L509" s="55">
        <v>7000.0</v>
      </c>
      <c r="M509" s="25"/>
      <c r="N509" s="39"/>
      <c r="O509" s="27">
        <f t="shared" si="58"/>
        <v>1</v>
      </c>
      <c r="P509" s="28">
        <f t="shared" si="59"/>
        <v>0</v>
      </c>
    </row>
    <row r="510" hidden="1">
      <c r="A510" s="40" t="s">
        <v>814</v>
      </c>
      <c r="B510" s="17"/>
      <c r="C510" s="18"/>
      <c r="D510" s="4"/>
      <c r="E510" s="19">
        <v>0.0</v>
      </c>
      <c r="F510" s="19">
        <v>0.0</v>
      </c>
      <c r="G510" s="16" t="s">
        <v>815</v>
      </c>
      <c r="H510" s="21"/>
      <c r="I510" s="22">
        <f>50+100</f>
        <v>150</v>
      </c>
      <c r="J510" s="45"/>
      <c r="K510" s="46">
        <f>4076*1.19</f>
        <v>4850.44</v>
      </c>
      <c r="L510" s="24">
        <v>8000.0</v>
      </c>
      <c r="M510" s="25" t="s">
        <v>82</v>
      </c>
      <c r="N510" s="39"/>
      <c r="O510" s="27">
        <f t="shared" si="58"/>
        <v>0.6493349057</v>
      </c>
      <c r="P510" s="28">
        <f t="shared" si="59"/>
        <v>0</v>
      </c>
    </row>
    <row r="511" hidden="1">
      <c r="A511" s="16" t="s">
        <v>816</v>
      </c>
      <c r="B511" s="17"/>
      <c r="C511" s="18" t="s">
        <v>547</v>
      </c>
      <c r="D511" s="4"/>
      <c r="E511" s="19">
        <v>0.0</v>
      </c>
      <c r="F511" s="19">
        <v>0.0</v>
      </c>
      <c r="G511" s="20" t="s">
        <v>84</v>
      </c>
      <c r="H511" s="21"/>
      <c r="I511" s="22">
        <v>0.0</v>
      </c>
      <c r="J511" s="29"/>
      <c r="K511" s="43"/>
      <c r="L511" s="44">
        <v>15000.0</v>
      </c>
      <c r="M511" s="25"/>
      <c r="N511" s="39"/>
      <c r="O511" s="27" t="str">
        <f t="shared" si="58"/>
        <v>#DIV/0!</v>
      </c>
      <c r="P511" s="28">
        <f t="shared" si="59"/>
        <v>0</v>
      </c>
    </row>
    <row r="512" hidden="1">
      <c r="A512" s="16" t="s">
        <v>817</v>
      </c>
      <c r="B512" s="17"/>
      <c r="C512" s="18"/>
      <c r="D512" s="4"/>
      <c r="E512" s="19">
        <v>0.0</v>
      </c>
      <c r="F512" s="19">
        <v>0.0</v>
      </c>
      <c r="G512" s="16"/>
      <c r="H512" s="21"/>
      <c r="I512" s="22">
        <v>21.0</v>
      </c>
      <c r="J512" s="29"/>
      <c r="K512" s="43"/>
      <c r="L512" s="32">
        <v>35000.0</v>
      </c>
      <c r="M512" s="25"/>
      <c r="N512" s="39"/>
      <c r="O512" s="27"/>
      <c r="P512" s="28"/>
    </row>
    <row r="513" hidden="1">
      <c r="A513" s="52" t="s">
        <v>818</v>
      </c>
      <c r="B513" s="17"/>
      <c r="C513" s="18" t="s">
        <v>547</v>
      </c>
      <c r="D513" s="4"/>
      <c r="E513" s="19">
        <v>0.0</v>
      </c>
      <c r="F513" s="19">
        <v>0.0</v>
      </c>
      <c r="G513" s="20" t="s">
        <v>813</v>
      </c>
      <c r="H513" s="21"/>
      <c r="I513" s="22">
        <v>0.0</v>
      </c>
      <c r="J513" s="29"/>
      <c r="K513" s="44">
        <v>5000.0</v>
      </c>
      <c r="L513" s="44">
        <v>5000.0</v>
      </c>
      <c r="M513" s="25"/>
      <c r="N513" s="39"/>
      <c r="O513" s="27">
        <f t="shared" ref="O513:O515" si="60">(L513/K513)-1</f>
        <v>0</v>
      </c>
      <c r="P513" s="28">
        <f t="shared" ref="P513:P515" si="61">K513*F513</f>
        <v>0</v>
      </c>
    </row>
    <row r="514" hidden="1">
      <c r="A514" s="16" t="s">
        <v>819</v>
      </c>
      <c r="B514" s="17"/>
      <c r="C514" s="18"/>
      <c r="D514" s="4"/>
      <c r="E514" s="19">
        <v>0.0</v>
      </c>
      <c r="F514" s="19">
        <v>0.0</v>
      </c>
      <c r="G514" s="16" t="s">
        <v>16</v>
      </c>
      <c r="H514" s="21"/>
      <c r="I514" s="22"/>
      <c r="J514" s="29"/>
      <c r="K514" s="32">
        <v>13119.0</v>
      </c>
      <c r="L514" s="32">
        <v>45000.0</v>
      </c>
      <c r="M514" s="25"/>
      <c r="N514" s="39"/>
      <c r="O514" s="27">
        <f t="shared" si="60"/>
        <v>2.430139492</v>
      </c>
      <c r="P514" s="28">
        <f t="shared" si="61"/>
        <v>0</v>
      </c>
    </row>
    <row r="515" hidden="1">
      <c r="A515" s="16" t="s">
        <v>820</v>
      </c>
      <c r="B515" s="17"/>
      <c r="C515" s="18"/>
      <c r="D515" s="4"/>
      <c r="E515" s="19">
        <v>0.0</v>
      </c>
      <c r="F515" s="19">
        <v>0.0</v>
      </c>
      <c r="G515" s="16" t="s">
        <v>821</v>
      </c>
      <c r="H515" s="21"/>
      <c r="I515" s="22"/>
      <c r="J515" s="29"/>
      <c r="K515" s="43">
        <f>11640*1.19</f>
        <v>13851.6</v>
      </c>
      <c r="L515" s="43">
        <v>20000.0</v>
      </c>
      <c r="M515" s="25"/>
      <c r="N515" s="102"/>
      <c r="O515" s="27">
        <f t="shared" si="60"/>
        <v>0.4438765197</v>
      </c>
      <c r="P515" s="28">
        <f t="shared" si="61"/>
        <v>0</v>
      </c>
    </row>
    <row r="516" hidden="1">
      <c r="A516" s="16" t="s">
        <v>822</v>
      </c>
      <c r="B516" s="49"/>
      <c r="C516" s="18"/>
      <c r="D516" s="4"/>
      <c r="E516" s="19">
        <v>0.0</v>
      </c>
      <c r="F516" s="19">
        <v>0.0</v>
      </c>
      <c r="G516" s="20" t="s">
        <v>400</v>
      </c>
      <c r="H516" s="21"/>
      <c r="I516" s="22">
        <v>1.0</v>
      </c>
      <c r="J516" s="23"/>
      <c r="K516" s="44"/>
      <c r="L516" s="44"/>
      <c r="M516" s="25"/>
      <c r="N516" s="39"/>
      <c r="O516" s="27"/>
      <c r="P516" s="28"/>
    </row>
    <row r="517" hidden="1">
      <c r="A517" s="16" t="s">
        <v>823</v>
      </c>
      <c r="B517" s="17"/>
      <c r="C517" s="18"/>
      <c r="D517" s="4"/>
      <c r="E517" s="19">
        <v>0.0</v>
      </c>
      <c r="F517" s="19">
        <v>0.0</v>
      </c>
      <c r="G517" s="16" t="s">
        <v>84</v>
      </c>
      <c r="H517" s="21"/>
      <c r="I517" s="22">
        <v>0.0</v>
      </c>
      <c r="J517" s="29"/>
      <c r="K517" s="43">
        <v>30000.0</v>
      </c>
      <c r="L517" s="44">
        <v>50000.0</v>
      </c>
      <c r="M517" s="25"/>
      <c r="N517" s="39"/>
      <c r="O517" s="27">
        <f t="shared" ref="O517:O566" si="62">(L517/K517)-1</f>
        <v>0.6666666667</v>
      </c>
      <c r="P517" s="28">
        <f t="shared" ref="P517:P534" si="63">K517*F517</f>
        <v>0</v>
      </c>
    </row>
    <row r="518" hidden="1">
      <c r="A518" s="16" t="s">
        <v>824</v>
      </c>
      <c r="B518" s="17" t="s">
        <v>328</v>
      </c>
      <c r="C518" s="18"/>
      <c r="D518" s="4"/>
      <c r="E518" s="19">
        <v>0.0</v>
      </c>
      <c r="F518" s="19">
        <v>0.0</v>
      </c>
      <c r="G518" s="20" t="s">
        <v>318</v>
      </c>
      <c r="H518" s="21"/>
      <c r="I518" s="22">
        <v>7.0</v>
      </c>
      <c r="J518" s="47">
        <v>46813.0</v>
      </c>
      <c r="K518" s="43">
        <f t="shared" ref="K518:K520" si="64">13600*1.19</f>
        <v>16184</v>
      </c>
      <c r="L518" s="44">
        <v>22000.0</v>
      </c>
      <c r="M518" s="25"/>
      <c r="N518" s="39"/>
      <c r="O518" s="27">
        <f t="shared" si="62"/>
        <v>0.3593672763</v>
      </c>
      <c r="P518" s="28">
        <f t="shared" si="63"/>
        <v>0</v>
      </c>
    </row>
    <row r="519" hidden="1">
      <c r="A519" s="16" t="s">
        <v>825</v>
      </c>
      <c r="B519" s="17" t="s">
        <v>328</v>
      </c>
      <c r="C519" s="18"/>
      <c r="D519" s="4"/>
      <c r="E519" s="19">
        <v>0.0</v>
      </c>
      <c r="F519" s="19">
        <v>0.0</v>
      </c>
      <c r="G519" s="20" t="s">
        <v>318</v>
      </c>
      <c r="H519" s="21"/>
      <c r="I519" s="22">
        <v>15.0</v>
      </c>
      <c r="J519" s="29"/>
      <c r="K519" s="43">
        <f t="shared" si="64"/>
        <v>16184</v>
      </c>
      <c r="L519" s="44">
        <v>22000.0</v>
      </c>
      <c r="M519" s="25"/>
      <c r="N519" s="39"/>
      <c r="O519" s="27">
        <f t="shared" si="62"/>
        <v>0.3593672763</v>
      </c>
      <c r="P519" s="28">
        <f t="shared" si="63"/>
        <v>0</v>
      </c>
    </row>
    <row r="520" hidden="1">
      <c r="A520" s="16" t="s">
        <v>826</v>
      </c>
      <c r="B520" s="171" t="s">
        <v>827</v>
      </c>
      <c r="C520" s="18"/>
      <c r="D520" s="4"/>
      <c r="E520" s="19">
        <v>0.0</v>
      </c>
      <c r="F520" s="19">
        <v>10.0</v>
      </c>
      <c r="G520" s="20" t="s">
        <v>318</v>
      </c>
      <c r="H520" s="21"/>
      <c r="I520" s="22">
        <v>21.0</v>
      </c>
      <c r="J520" s="29"/>
      <c r="K520" s="43">
        <f t="shared" si="64"/>
        <v>16184</v>
      </c>
      <c r="L520" s="44">
        <v>22000.0</v>
      </c>
      <c r="M520" s="25"/>
      <c r="N520" s="39"/>
      <c r="O520" s="27">
        <f t="shared" si="62"/>
        <v>0.3593672763</v>
      </c>
      <c r="P520" s="28">
        <f t="shared" si="63"/>
        <v>161840</v>
      </c>
    </row>
    <row r="521" hidden="1">
      <c r="A521" s="16" t="s">
        <v>828</v>
      </c>
      <c r="B521" s="36"/>
      <c r="C521" s="38"/>
      <c r="D521" s="4"/>
      <c r="E521" s="19">
        <v>0.0</v>
      </c>
      <c r="F521" s="19"/>
      <c r="G521" s="20" t="s">
        <v>829</v>
      </c>
      <c r="H521" s="21"/>
      <c r="I521" s="22"/>
      <c r="J521" s="23"/>
      <c r="K521" s="24">
        <f t="shared" ref="K521:K522" si="65">27731/25</f>
        <v>1109.24</v>
      </c>
      <c r="L521" s="24">
        <v>3000.0</v>
      </c>
      <c r="M521" s="25"/>
      <c r="N521" s="26"/>
      <c r="O521" s="27">
        <f t="shared" si="62"/>
        <v>1.70455447</v>
      </c>
      <c r="P521" s="28">
        <f t="shared" si="63"/>
        <v>0</v>
      </c>
    </row>
    <row r="522" hidden="1">
      <c r="A522" s="16" t="s">
        <v>830</v>
      </c>
      <c r="B522" s="36"/>
      <c r="C522" s="18"/>
      <c r="D522" s="4"/>
      <c r="E522" s="19">
        <v>0.0</v>
      </c>
      <c r="F522" s="19"/>
      <c r="G522" s="20" t="s">
        <v>829</v>
      </c>
      <c r="H522" s="21"/>
      <c r="I522" s="22"/>
      <c r="J522" s="23"/>
      <c r="K522" s="24">
        <f t="shared" si="65"/>
        <v>1109.24</v>
      </c>
      <c r="L522" s="24">
        <v>3000.0</v>
      </c>
      <c r="M522" s="25"/>
      <c r="N522" s="26"/>
      <c r="O522" s="27">
        <f t="shared" si="62"/>
        <v>1.70455447</v>
      </c>
      <c r="P522" s="28">
        <f t="shared" si="63"/>
        <v>0</v>
      </c>
    </row>
    <row r="523" hidden="1">
      <c r="A523" s="16" t="s">
        <v>831</v>
      </c>
      <c r="B523" s="49"/>
      <c r="C523" s="18"/>
      <c r="D523" s="4"/>
      <c r="E523" s="19">
        <v>0.0</v>
      </c>
      <c r="F523" s="19"/>
      <c r="G523" s="20" t="s">
        <v>829</v>
      </c>
      <c r="H523" s="21"/>
      <c r="I523" s="22"/>
      <c r="J523" s="23"/>
      <c r="K523" s="44">
        <f>23530*1.19</f>
        <v>28000.7</v>
      </c>
      <c r="L523" s="44">
        <v>35000.0</v>
      </c>
      <c r="M523" s="25"/>
      <c r="N523" s="39"/>
      <c r="O523" s="27">
        <f t="shared" si="62"/>
        <v>0.2499687508</v>
      </c>
      <c r="P523" s="28">
        <f t="shared" si="63"/>
        <v>0</v>
      </c>
    </row>
    <row r="524" hidden="1">
      <c r="A524" s="52" t="s">
        <v>832</v>
      </c>
      <c r="B524" s="17" t="s">
        <v>833</v>
      </c>
      <c r="C524" s="18"/>
      <c r="D524" s="4"/>
      <c r="E524" s="19">
        <v>0.0</v>
      </c>
      <c r="F524" s="19">
        <v>0.0</v>
      </c>
      <c r="G524" s="20" t="s">
        <v>563</v>
      </c>
      <c r="H524" s="21"/>
      <c r="I524" s="22">
        <v>6.0</v>
      </c>
      <c r="J524" s="29"/>
      <c r="K524" s="32">
        <f>7600*1.19</f>
        <v>9044</v>
      </c>
      <c r="L524" s="24">
        <v>18000.0</v>
      </c>
      <c r="M524" s="25"/>
      <c r="N524" s="70"/>
      <c r="O524" s="27">
        <f t="shared" si="62"/>
        <v>0.9902697921</v>
      </c>
      <c r="P524" s="28">
        <f t="shared" si="63"/>
        <v>0</v>
      </c>
    </row>
    <row r="525" hidden="1">
      <c r="A525" s="16" t="s">
        <v>834</v>
      </c>
      <c r="B525" s="17" t="s">
        <v>835</v>
      </c>
      <c r="C525" s="18"/>
      <c r="D525" s="4"/>
      <c r="E525" s="19">
        <v>0.0</v>
      </c>
      <c r="F525" s="19">
        <v>0.0</v>
      </c>
      <c r="G525" s="20" t="s">
        <v>30</v>
      </c>
      <c r="H525" s="21"/>
      <c r="I525" s="22">
        <f>28+20</f>
        <v>48</v>
      </c>
      <c r="J525" s="45"/>
      <c r="K525" s="172">
        <v>8800.0</v>
      </c>
      <c r="L525" s="44">
        <v>18000.0</v>
      </c>
      <c r="M525" s="25"/>
      <c r="N525" s="39"/>
      <c r="O525" s="27">
        <f t="shared" si="62"/>
        <v>1.045454545</v>
      </c>
      <c r="P525" s="28">
        <f t="shared" si="63"/>
        <v>0</v>
      </c>
    </row>
    <row r="526" hidden="1">
      <c r="A526" s="16" t="s">
        <v>836</v>
      </c>
      <c r="B526" s="17" t="s">
        <v>835</v>
      </c>
      <c r="C526" s="18"/>
      <c r="D526" s="4"/>
      <c r="E526" s="19">
        <v>0.0</v>
      </c>
      <c r="F526" s="19">
        <v>0.0</v>
      </c>
      <c r="G526" s="20" t="s">
        <v>30</v>
      </c>
      <c r="H526" s="21"/>
      <c r="I526" s="22">
        <f>34+18</f>
        <v>52</v>
      </c>
      <c r="J526" s="45"/>
      <c r="K526" s="172">
        <v>8800.0</v>
      </c>
      <c r="L526" s="44">
        <v>18000.0</v>
      </c>
      <c r="M526" s="25"/>
      <c r="N526" s="39"/>
      <c r="O526" s="27">
        <f t="shared" si="62"/>
        <v>1.045454545</v>
      </c>
      <c r="P526" s="28">
        <f t="shared" si="63"/>
        <v>0</v>
      </c>
    </row>
    <row r="527" hidden="1">
      <c r="A527" s="16" t="s">
        <v>837</v>
      </c>
      <c r="B527" s="17" t="s">
        <v>835</v>
      </c>
      <c r="C527" s="18"/>
      <c r="D527" s="4"/>
      <c r="E527" s="19">
        <v>0.0</v>
      </c>
      <c r="F527" s="19">
        <v>0.0</v>
      </c>
      <c r="G527" s="20" t="s">
        <v>30</v>
      </c>
      <c r="H527" s="21"/>
      <c r="I527" s="22">
        <f>41+15</f>
        <v>56</v>
      </c>
      <c r="J527" s="45"/>
      <c r="K527" s="172">
        <v>8800.0</v>
      </c>
      <c r="L527" s="44">
        <v>18000.0</v>
      </c>
      <c r="M527" s="25"/>
      <c r="N527" s="39"/>
      <c r="O527" s="27">
        <f t="shared" si="62"/>
        <v>1.045454545</v>
      </c>
      <c r="P527" s="28">
        <f t="shared" si="63"/>
        <v>0</v>
      </c>
    </row>
    <row r="528" hidden="1">
      <c r="A528" s="16" t="s">
        <v>838</v>
      </c>
      <c r="B528" s="17" t="s">
        <v>839</v>
      </c>
      <c r="C528" s="18"/>
      <c r="D528" s="4"/>
      <c r="E528" s="19">
        <v>0.0</v>
      </c>
      <c r="F528" s="19">
        <v>0.0</v>
      </c>
      <c r="G528" s="16" t="s">
        <v>840</v>
      </c>
      <c r="H528" s="21"/>
      <c r="I528" s="22">
        <f>41+35</f>
        <v>76</v>
      </c>
      <c r="J528" s="45"/>
      <c r="K528" s="46">
        <v>8000.0</v>
      </c>
      <c r="L528" s="24">
        <v>18000.0</v>
      </c>
      <c r="M528" s="25"/>
      <c r="N528" s="102">
        <v>11000.0</v>
      </c>
      <c r="O528" s="27">
        <f t="shared" si="62"/>
        <v>1.25</v>
      </c>
      <c r="P528" s="28">
        <f t="shared" si="63"/>
        <v>0</v>
      </c>
    </row>
    <row r="529" hidden="1">
      <c r="A529" s="59" t="s">
        <v>841</v>
      </c>
      <c r="B529" s="97" t="s">
        <v>842</v>
      </c>
      <c r="C529" s="18"/>
      <c r="D529" s="98"/>
      <c r="E529" s="19">
        <v>0.0</v>
      </c>
      <c r="F529" s="19"/>
      <c r="G529" s="20" t="s">
        <v>485</v>
      </c>
      <c r="H529" s="21">
        <v>11.0</v>
      </c>
      <c r="I529" s="22"/>
      <c r="J529" s="100"/>
      <c r="K529" s="165">
        <f>58360*1.19</f>
        <v>69448.4</v>
      </c>
      <c r="L529" s="165">
        <v>105000.0</v>
      </c>
      <c r="M529" s="25"/>
      <c r="N529" s="39"/>
      <c r="O529" s="27">
        <f t="shared" si="62"/>
        <v>0.5119138814</v>
      </c>
      <c r="P529" s="28">
        <f t="shared" si="63"/>
        <v>0</v>
      </c>
    </row>
    <row r="530" hidden="1">
      <c r="A530" s="59" t="s">
        <v>843</v>
      </c>
      <c r="B530" s="97" t="s">
        <v>844</v>
      </c>
      <c r="C530" s="18" t="s">
        <v>845</v>
      </c>
      <c r="D530" s="98"/>
      <c r="E530" s="19">
        <v>0.0</v>
      </c>
      <c r="F530" s="19"/>
      <c r="G530" s="20" t="s">
        <v>485</v>
      </c>
      <c r="H530" s="21">
        <v>0.0</v>
      </c>
      <c r="I530" s="22"/>
      <c r="J530" s="173"/>
      <c r="K530" s="174">
        <f>48840*1.19</f>
        <v>58119.6</v>
      </c>
      <c r="L530" s="175">
        <v>95000.0</v>
      </c>
      <c r="M530" s="25"/>
      <c r="N530" s="39"/>
      <c r="O530" s="27">
        <f t="shared" si="62"/>
        <v>0.6345604581</v>
      </c>
      <c r="P530" s="28">
        <f t="shared" si="63"/>
        <v>0</v>
      </c>
    </row>
    <row r="531" hidden="1">
      <c r="A531" s="52" t="s">
        <v>846</v>
      </c>
      <c r="B531" s="17" t="s">
        <v>847</v>
      </c>
      <c r="C531" s="18"/>
      <c r="D531" s="4"/>
      <c r="E531" s="19">
        <v>0.0</v>
      </c>
      <c r="F531" s="19"/>
      <c r="G531" s="16" t="s">
        <v>848</v>
      </c>
      <c r="H531" s="21"/>
      <c r="I531" s="22"/>
      <c r="J531" s="29"/>
      <c r="K531" s="32">
        <f>K532/5</f>
        <v>2142.77</v>
      </c>
      <c r="L531" s="24">
        <v>7000.0</v>
      </c>
      <c r="M531" s="25"/>
      <c r="N531" s="39"/>
      <c r="O531" s="27">
        <f t="shared" si="62"/>
        <v>2.266799517</v>
      </c>
      <c r="P531" s="28">
        <f t="shared" si="63"/>
        <v>0</v>
      </c>
    </row>
    <row r="532" hidden="1">
      <c r="A532" s="52" t="s">
        <v>849</v>
      </c>
      <c r="B532" s="36"/>
      <c r="C532" s="18"/>
      <c r="D532" s="4"/>
      <c r="E532" s="19">
        <v>0.0</v>
      </c>
      <c r="F532" s="19">
        <v>0.0</v>
      </c>
      <c r="G532" s="16" t="s">
        <v>580</v>
      </c>
      <c r="H532" s="21"/>
      <c r="I532" s="22">
        <v>0.0</v>
      </c>
      <c r="J532" s="29"/>
      <c r="K532" s="30">
        <v>10713.85</v>
      </c>
      <c r="L532" s="30">
        <v>70000.0</v>
      </c>
      <c r="M532" s="25"/>
      <c r="N532" s="70"/>
      <c r="O532" s="27">
        <f t="shared" si="62"/>
        <v>5.533599033</v>
      </c>
      <c r="P532" s="28">
        <f t="shared" si="63"/>
        <v>0</v>
      </c>
    </row>
    <row r="533" hidden="1">
      <c r="A533" s="52" t="s">
        <v>850</v>
      </c>
      <c r="B533" s="36" t="s">
        <v>851</v>
      </c>
      <c r="C533" s="18"/>
      <c r="D533" s="4"/>
      <c r="E533" s="19">
        <v>0.0</v>
      </c>
      <c r="F533" s="19"/>
      <c r="G533" s="16" t="s">
        <v>848</v>
      </c>
      <c r="H533" s="21"/>
      <c r="I533" s="22"/>
      <c r="J533" s="29"/>
      <c r="K533" s="32">
        <f>14200*1.19</f>
        <v>16898</v>
      </c>
      <c r="L533" s="24">
        <v>32000.0</v>
      </c>
      <c r="M533" s="25"/>
      <c r="N533" s="70"/>
      <c r="O533" s="27">
        <f t="shared" si="62"/>
        <v>0.8937152326</v>
      </c>
      <c r="P533" s="28">
        <f t="shared" si="63"/>
        <v>0</v>
      </c>
    </row>
    <row r="534" hidden="1">
      <c r="A534" s="16" t="s">
        <v>852</v>
      </c>
      <c r="B534" s="36"/>
      <c r="C534" s="18"/>
      <c r="D534" s="4"/>
      <c r="E534" s="19">
        <v>0.0</v>
      </c>
      <c r="F534" s="19">
        <v>0.0</v>
      </c>
      <c r="G534" s="16" t="s">
        <v>853</v>
      </c>
      <c r="H534" s="21"/>
      <c r="I534" s="22">
        <v>0.0</v>
      </c>
      <c r="J534" s="29"/>
      <c r="K534" s="43">
        <v>6800.0</v>
      </c>
      <c r="L534" s="44">
        <v>10000.0</v>
      </c>
      <c r="M534" s="25"/>
      <c r="N534" s="39"/>
      <c r="O534" s="27">
        <f t="shared" si="62"/>
        <v>0.4705882353</v>
      </c>
      <c r="P534" s="28">
        <f t="shared" si="63"/>
        <v>0</v>
      </c>
    </row>
    <row r="535" hidden="1">
      <c r="A535" s="16" t="s">
        <v>854</v>
      </c>
      <c r="B535" s="17"/>
      <c r="C535" s="18"/>
      <c r="D535" s="4"/>
      <c r="E535" s="19">
        <v>0.0</v>
      </c>
      <c r="F535" s="19">
        <v>0.0</v>
      </c>
      <c r="G535" s="16" t="s">
        <v>577</v>
      </c>
      <c r="H535" s="21"/>
      <c r="I535" s="22">
        <v>0.0</v>
      </c>
      <c r="J535" s="29"/>
      <c r="K535" s="43">
        <f>104000*1.19</f>
        <v>123760</v>
      </c>
      <c r="L535" s="44">
        <v>155000.0</v>
      </c>
      <c r="M535" s="25"/>
      <c r="N535" s="39"/>
      <c r="O535" s="27">
        <f t="shared" si="62"/>
        <v>0.2524240465</v>
      </c>
      <c r="P535" s="28"/>
    </row>
    <row r="536" hidden="1">
      <c r="A536" s="16" t="s">
        <v>855</v>
      </c>
      <c r="B536" s="51" t="s">
        <v>856</v>
      </c>
      <c r="C536" s="18"/>
      <c r="D536" s="4"/>
      <c r="E536" s="19">
        <v>0.0</v>
      </c>
      <c r="F536" s="19">
        <v>0.0</v>
      </c>
      <c r="G536" s="20" t="s">
        <v>93</v>
      </c>
      <c r="H536" s="21"/>
      <c r="I536" s="22">
        <v>0.0</v>
      </c>
      <c r="J536" s="29"/>
      <c r="K536" s="32">
        <v>87160.0</v>
      </c>
      <c r="L536" s="24">
        <v>109000.0</v>
      </c>
      <c r="M536" s="25"/>
      <c r="N536" s="57"/>
      <c r="O536" s="27">
        <f t="shared" si="62"/>
        <v>0.2505736576</v>
      </c>
      <c r="P536" s="28">
        <f t="shared" ref="P536:P562" si="66">K536*F536</f>
        <v>0</v>
      </c>
    </row>
    <row r="537" hidden="1">
      <c r="A537" s="59" t="s">
        <v>857</v>
      </c>
      <c r="B537" s="97" t="s">
        <v>858</v>
      </c>
      <c r="C537" s="18" t="s">
        <v>859</v>
      </c>
      <c r="D537" s="98"/>
      <c r="E537" s="19">
        <v>0.0</v>
      </c>
      <c r="F537" s="19"/>
      <c r="G537" s="20" t="s">
        <v>485</v>
      </c>
      <c r="H537" s="21">
        <v>1.0</v>
      </c>
      <c r="I537" s="22"/>
      <c r="J537" s="45"/>
      <c r="K537" s="60">
        <v>77469.0</v>
      </c>
      <c r="L537" s="101">
        <v>105000.0</v>
      </c>
      <c r="M537" s="25"/>
      <c r="N537" s="102">
        <v>88000.0</v>
      </c>
      <c r="O537" s="27">
        <f t="shared" si="62"/>
        <v>0.355380862</v>
      </c>
      <c r="P537" s="28">
        <f t="shared" si="66"/>
        <v>0</v>
      </c>
    </row>
    <row r="538" hidden="1">
      <c r="A538" s="59" t="s">
        <v>860</v>
      </c>
      <c r="B538" s="97" t="s">
        <v>861</v>
      </c>
      <c r="C538" s="18" t="s">
        <v>862</v>
      </c>
      <c r="D538" s="98"/>
      <c r="E538" s="19">
        <v>0.0</v>
      </c>
      <c r="F538" s="19"/>
      <c r="G538" s="16" t="s">
        <v>485</v>
      </c>
      <c r="H538" s="21">
        <v>0.0</v>
      </c>
      <c r="I538" s="22"/>
      <c r="J538" s="45"/>
      <c r="K538" s="60">
        <v>77469.0</v>
      </c>
      <c r="L538" s="101">
        <v>105000.0</v>
      </c>
      <c r="M538" s="25"/>
      <c r="N538" s="102">
        <v>88000.0</v>
      </c>
      <c r="O538" s="27">
        <f t="shared" si="62"/>
        <v>0.355380862</v>
      </c>
      <c r="P538" s="28">
        <f t="shared" si="66"/>
        <v>0</v>
      </c>
    </row>
    <row r="539" ht="27.0" hidden="1" customHeight="1">
      <c r="A539" s="59" t="s">
        <v>863</v>
      </c>
      <c r="B539" s="97" t="s">
        <v>864</v>
      </c>
      <c r="C539" s="18"/>
      <c r="D539" s="98"/>
      <c r="E539" s="19">
        <v>0.0</v>
      </c>
      <c r="F539" s="19"/>
      <c r="G539" s="16" t="s">
        <v>485</v>
      </c>
      <c r="H539" s="21">
        <v>0.0</v>
      </c>
      <c r="I539" s="22"/>
      <c r="J539" s="45"/>
      <c r="K539" s="60">
        <v>77469.0</v>
      </c>
      <c r="L539" s="101">
        <v>105000.0</v>
      </c>
      <c r="M539" s="25"/>
      <c r="N539" s="102">
        <v>88000.0</v>
      </c>
      <c r="O539" s="27">
        <f t="shared" si="62"/>
        <v>0.355380862</v>
      </c>
      <c r="P539" s="28">
        <f t="shared" si="66"/>
        <v>0</v>
      </c>
    </row>
    <row r="540" ht="27.0" hidden="1" customHeight="1">
      <c r="A540" s="59" t="s">
        <v>865</v>
      </c>
      <c r="B540" s="97" t="s">
        <v>866</v>
      </c>
      <c r="C540" s="18" t="s">
        <v>862</v>
      </c>
      <c r="D540" s="98"/>
      <c r="E540" s="19">
        <v>0.0</v>
      </c>
      <c r="F540" s="19"/>
      <c r="G540" s="16" t="s">
        <v>485</v>
      </c>
      <c r="H540" s="21">
        <v>2.0</v>
      </c>
      <c r="I540" s="22"/>
      <c r="J540" s="45" t="s">
        <v>867</v>
      </c>
      <c r="K540" s="60">
        <v>77469.0</v>
      </c>
      <c r="L540" s="101">
        <v>105000.0</v>
      </c>
      <c r="M540" s="25"/>
      <c r="N540" s="102">
        <v>88000.0</v>
      </c>
      <c r="O540" s="27">
        <f t="shared" si="62"/>
        <v>0.355380862</v>
      </c>
      <c r="P540" s="28">
        <f t="shared" si="66"/>
        <v>0</v>
      </c>
    </row>
    <row r="541" ht="27.0" hidden="1" customHeight="1">
      <c r="A541" s="59" t="s">
        <v>868</v>
      </c>
      <c r="B541" s="97" t="s">
        <v>869</v>
      </c>
      <c r="C541" s="18" t="s">
        <v>862</v>
      </c>
      <c r="D541" s="98"/>
      <c r="E541" s="19">
        <v>0.0</v>
      </c>
      <c r="F541" s="19"/>
      <c r="G541" s="16" t="s">
        <v>485</v>
      </c>
      <c r="H541" s="21">
        <v>0.0</v>
      </c>
      <c r="I541" s="22"/>
      <c r="J541" s="45" t="s">
        <v>867</v>
      </c>
      <c r="K541" s="60">
        <v>77469.0</v>
      </c>
      <c r="L541" s="101">
        <v>105000.0</v>
      </c>
      <c r="M541" s="25"/>
      <c r="N541" s="102">
        <v>88000.0</v>
      </c>
      <c r="O541" s="27">
        <f t="shared" si="62"/>
        <v>0.355380862</v>
      </c>
      <c r="P541" s="28">
        <f t="shared" si="66"/>
        <v>0</v>
      </c>
    </row>
    <row r="542" ht="27.0" hidden="1" customHeight="1">
      <c r="A542" s="59" t="s">
        <v>870</v>
      </c>
      <c r="B542" s="97" t="s">
        <v>871</v>
      </c>
      <c r="C542" s="18" t="s">
        <v>862</v>
      </c>
      <c r="D542" s="98"/>
      <c r="E542" s="19">
        <v>0.0</v>
      </c>
      <c r="F542" s="19"/>
      <c r="G542" s="16" t="s">
        <v>485</v>
      </c>
      <c r="H542" s="21">
        <v>1.0</v>
      </c>
      <c r="I542" s="22"/>
      <c r="J542" s="45" t="s">
        <v>867</v>
      </c>
      <c r="K542" s="60">
        <v>77469.0</v>
      </c>
      <c r="L542" s="101">
        <v>105000.0</v>
      </c>
      <c r="M542" s="25"/>
      <c r="N542" s="102">
        <v>88000.0</v>
      </c>
      <c r="O542" s="27">
        <f t="shared" si="62"/>
        <v>0.355380862</v>
      </c>
      <c r="P542" s="28">
        <f t="shared" si="66"/>
        <v>0</v>
      </c>
    </row>
    <row r="543" ht="27.0" hidden="1" customHeight="1">
      <c r="A543" s="59" t="s">
        <v>872</v>
      </c>
      <c r="B543" s="97" t="s">
        <v>873</v>
      </c>
      <c r="C543" s="18" t="s">
        <v>874</v>
      </c>
      <c r="D543" s="98"/>
      <c r="E543" s="19">
        <v>0.0</v>
      </c>
      <c r="F543" s="19"/>
      <c r="G543" s="16" t="s">
        <v>485</v>
      </c>
      <c r="H543" s="21">
        <v>1.0</v>
      </c>
      <c r="I543" s="22"/>
      <c r="J543" s="45"/>
      <c r="K543" s="60">
        <v>77469.0</v>
      </c>
      <c r="L543" s="101">
        <v>105000.0</v>
      </c>
      <c r="M543" s="25"/>
      <c r="N543" s="102">
        <v>88000.0</v>
      </c>
      <c r="O543" s="27">
        <f t="shared" si="62"/>
        <v>0.355380862</v>
      </c>
      <c r="P543" s="28">
        <f t="shared" si="66"/>
        <v>0</v>
      </c>
    </row>
    <row r="544" ht="27.0" hidden="1" customHeight="1">
      <c r="A544" s="59" t="s">
        <v>875</v>
      </c>
      <c r="B544" s="97" t="s">
        <v>876</v>
      </c>
      <c r="C544" s="18"/>
      <c r="D544" s="98"/>
      <c r="E544" s="19">
        <v>0.0</v>
      </c>
      <c r="F544" s="19"/>
      <c r="G544" s="20" t="s">
        <v>485</v>
      </c>
      <c r="H544" s="21">
        <v>1.0</v>
      </c>
      <c r="I544" s="22"/>
      <c r="J544" s="45"/>
      <c r="K544" s="60">
        <v>77469.0</v>
      </c>
      <c r="L544" s="101">
        <v>105000.0</v>
      </c>
      <c r="M544" s="25"/>
      <c r="N544" s="102">
        <v>88000.0</v>
      </c>
      <c r="O544" s="27">
        <f t="shared" si="62"/>
        <v>0.355380862</v>
      </c>
      <c r="P544" s="28">
        <f t="shared" si="66"/>
        <v>0</v>
      </c>
    </row>
    <row r="545" ht="27.0" hidden="1" customHeight="1">
      <c r="A545" s="59" t="s">
        <v>877</v>
      </c>
      <c r="B545" s="97" t="s">
        <v>878</v>
      </c>
      <c r="C545" s="18" t="s">
        <v>879</v>
      </c>
      <c r="D545" s="98"/>
      <c r="E545" s="19">
        <v>0.0</v>
      </c>
      <c r="F545" s="19"/>
      <c r="G545" s="16" t="s">
        <v>485</v>
      </c>
      <c r="H545" s="21">
        <v>3.0</v>
      </c>
      <c r="I545" s="22"/>
      <c r="J545" s="45"/>
      <c r="K545" s="60">
        <v>77469.0</v>
      </c>
      <c r="L545" s="101">
        <v>105000.0</v>
      </c>
      <c r="M545" s="25"/>
      <c r="N545" s="102">
        <v>88000.0</v>
      </c>
      <c r="O545" s="27">
        <f t="shared" si="62"/>
        <v>0.355380862</v>
      </c>
      <c r="P545" s="28">
        <f t="shared" si="66"/>
        <v>0</v>
      </c>
    </row>
    <row r="546" ht="27.0" hidden="1" customHeight="1">
      <c r="A546" s="59" t="s">
        <v>880</v>
      </c>
      <c r="B546" s="97" t="s">
        <v>881</v>
      </c>
      <c r="C546" s="18" t="s">
        <v>859</v>
      </c>
      <c r="D546" s="98"/>
      <c r="E546" s="19">
        <v>0.0</v>
      </c>
      <c r="F546" s="19"/>
      <c r="G546" s="20" t="s">
        <v>485</v>
      </c>
      <c r="H546" s="21">
        <v>1.0</v>
      </c>
      <c r="I546" s="22"/>
      <c r="J546" s="45"/>
      <c r="K546" s="60">
        <v>77469.0</v>
      </c>
      <c r="L546" s="101">
        <v>105000.0</v>
      </c>
      <c r="M546" s="25"/>
      <c r="N546" s="102">
        <v>88000.0</v>
      </c>
      <c r="O546" s="27">
        <f t="shared" si="62"/>
        <v>0.355380862</v>
      </c>
      <c r="P546" s="28">
        <f t="shared" si="66"/>
        <v>0</v>
      </c>
    </row>
    <row r="547" ht="27.0" hidden="1" customHeight="1">
      <c r="A547" s="52" t="s">
        <v>882</v>
      </c>
      <c r="B547" s="17"/>
      <c r="C547" s="18"/>
      <c r="D547" s="4"/>
      <c r="E547" s="19">
        <v>0.0</v>
      </c>
      <c r="F547" s="19">
        <v>0.0</v>
      </c>
      <c r="G547" s="16" t="s">
        <v>883</v>
      </c>
      <c r="H547" s="21"/>
      <c r="I547" s="22">
        <v>0.0</v>
      </c>
      <c r="J547" s="29"/>
      <c r="K547" s="43">
        <v>2950.0</v>
      </c>
      <c r="L547" s="44">
        <v>6000.0</v>
      </c>
      <c r="M547" s="25"/>
      <c r="N547" s="39"/>
      <c r="O547" s="27">
        <f t="shared" si="62"/>
        <v>1.033898305</v>
      </c>
      <c r="P547" s="28">
        <f t="shared" si="66"/>
        <v>0</v>
      </c>
    </row>
    <row r="548" hidden="1">
      <c r="A548" s="40" t="s">
        <v>884</v>
      </c>
      <c r="B548" s="49"/>
      <c r="C548" s="18"/>
      <c r="D548" s="4"/>
      <c r="E548" s="19"/>
      <c r="F548" s="19"/>
      <c r="G548" s="40" t="s">
        <v>375</v>
      </c>
      <c r="H548" s="21">
        <v>0.0</v>
      </c>
      <c r="I548" s="22"/>
      <c r="J548" s="29"/>
      <c r="K548" s="43">
        <v>100.0</v>
      </c>
      <c r="L548" s="44">
        <v>1000.0</v>
      </c>
      <c r="M548" s="25">
        <v>1.19</v>
      </c>
      <c r="N548" s="39"/>
      <c r="O548" s="27">
        <f t="shared" si="62"/>
        <v>9</v>
      </c>
      <c r="P548" s="28">
        <f t="shared" si="66"/>
        <v>0</v>
      </c>
    </row>
    <row r="549" hidden="1">
      <c r="A549" s="118" t="s">
        <v>885</v>
      </c>
      <c r="B549" s="17"/>
      <c r="C549" s="18"/>
      <c r="D549" s="67"/>
      <c r="E549" s="19">
        <v>0.0</v>
      </c>
      <c r="F549" s="19"/>
      <c r="G549" s="20" t="s">
        <v>886</v>
      </c>
      <c r="H549" s="21"/>
      <c r="I549" s="22"/>
      <c r="J549" s="29"/>
      <c r="K549" s="32">
        <v>2400.0</v>
      </c>
      <c r="L549" s="24">
        <v>3500.0</v>
      </c>
      <c r="M549" s="25"/>
      <c r="N549" s="39"/>
      <c r="O549" s="27">
        <f t="shared" si="62"/>
        <v>0.4583333333</v>
      </c>
      <c r="P549" s="28">
        <f t="shared" si="66"/>
        <v>0</v>
      </c>
    </row>
    <row r="550" hidden="1">
      <c r="A550" s="118" t="s">
        <v>887</v>
      </c>
      <c r="B550" s="36" t="s">
        <v>888</v>
      </c>
      <c r="C550" s="18"/>
      <c r="D550" s="67"/>
      <c r="E550" s="19">
        <v>0.0</v>
      </c>
      <c r="F550" s="19">
        <v>0.0</v>
      </c>
      <c r="G550" s="16" t="s">
        <v>889</v>
      </c>
      <c r="H550" s="21"/>
      <c r="I550" s="22">
        <v>0.0</v>
      </c>
      <c r="J550" s="29"/>
      <c r="K550" s="48">
        <v>21385.0</v>
      </c>
      <c r="L550" s="24">
        <v>28000.0</v>
      </c>
      <c r="M550" s="25"/>
      <c r="N550" s="26"/>
      <c r="O550" s="27">
        <f t="shared" si="62"/>
        <v>0.3093289689</v>
      </c>
      <c r="P550" s="28">
        <f t="shared" si="66"/>
        <v>0</v>
      </c>
    </row>
    <row r="551" hidden="1">
      <c r="A551" s="176" t="s">
        <v>890</v>
      </c>
      <c r="B551" s="36" t="s">
        <v>891</v>
      </c>
      <c r="C551" s="18"/>
      <c r="D551" s="4"/>
      <c r="E551" s="19">
        <v>0.0</v>
      </c>
      <c r="F551" s="19">
        <v>0.0</v>
      </c>
      <c r="G551" s="16" t="s">
        <v>70</v>
      </c>
      <c r="H551" s="21"/>
      <c r="I551" s="22"/>
      <c r="J551" s="29"/>
      <c r="K551" s="32">
        <f>29000*0.8*1.19</f>
        <v>27608</v>
      </c>
      <c r="L551" s="24">
        <v>36000.0</v>
      </c>
      <c r="M551" s="25"/>
      <c r="N551" s="39"/>
      <c r="O551" s="27">
        <f t="shared" si="62"/>
        <v>0.3039698638</v>
      </c>
      <c r="P551" s="28">
        <f t="shared" si="66"/>
        <v>0</v>
      </c>
    </row>
    <row r="552" hidden="1">
      <c r="A552" s="16" t="s">
        <v>892</v>
      </c>
      <c r="B552" s="36"/>
      <c r="C552" s="68"/>
      <c r="D552" s="4"/>
      <c r="E552" s="19">
        <v>0.0</v>
      </c>
      <c r="F552" s="19">
        <v>0.0</v>
      </c>
      <c r="G552" s="20" t="s">
        <v>78</v>
      </c>
      <c r="H552" s="21">
        <v>2.0</v>
      </c>
      <c r="I552" s="22">
        <v>5.0</v>
      </c>
      <c r="J552" s="45"/>
      <c r="K552" s="46">
        <v>11455.0</v>
      </c>
      <c r="L552" s="24">
        <v>28000.0</v>
      </c>
      <c r="M552" s="25" t="s">
        <v>76</v>
      </c>
      <c r="N552" s="39"/>
      <c r="O552" s="27">
        <f t="shared" si="62"/>
        <v>1.444347447</v>
      </c>
      <c r="P552" s="28">
        <f t="shared" si="66"/>
        <v>0</v>
      </c>
    </row>
    <row r="553" hidden="1">
      <c r="A553" s="52" t="s">
        <v>893</v>
      </c>
      <c r="B553" s="36"/>
      <c r="C553" s="18"/>
      <c r="D553" s="19"/>
      <c r="E553" s="19"/>
      <c r="F553" s="19"/>
      <c r="G553" s="16" t="s">
        <v>88</v>
      </c>
      <c r="H553" s="21"/>
      <c r="I553" s="22">
        <v>0.0</v>
      </c>
      <c r="J553" s="29"/>
      <c r="K553" s="32">
        <v>9063.0</v>
      </c>
      <c r="L553" s="24">
        <v>14000.0</v>
      </c>
      <c r="M553" s="25"/>
      <c r="N553" s="39"/>
      <c r="O553" s="27">
        <f t="shared" si="62"/>
        <v>0.544742359</v>
      </c>
      <c r="P553" s="28">
        <f t="shared" si="66"/>
        <v>0</v>
      </c>
    </row>
    <row r="554" hidden="1">
      <c r="A554" s="52" t="s">
        <v>894</v>
      </c>
      <c r="B554" s="36"/>
      <c r="C554" s="18"/>
      <c r="D554" s="4"/>
      <c r="E554" s="19"/>
      <c r="F554" s="19"/>
      <c r="G554" s="16" t="s">
        <v>88</v>
      </c>
      <c r="H554" s="21"/>
      <c r="I554" s="22">
        <v>19.0</v>
      </c>
      <c r="J554" s="29"/>
      <c r="K554" s="32">
        <v>19585.0</v>
      </c>
      <c r="L554" s="24">
        <v>28000.0</v>
      </c>
      <c r="M554" s="25"/>
      <c r="N554" s="39"/>
      <c r="O554" s="27">
        <f t="shared" si="62"/>
        <v>0.4296655604</v>
      </c>
      <c r="P554" s="28">
        <f t="shared" si="66"/>
        <v>0</v>
      </c>
    </row>
    <row r="555" hidden="1">
      <c r="A555" s="52" t="s">
        <v>895</v>
      </c>
      <c r="B555" s="36"/>
      <c r="C555" s="18"/>
      <c r="D555" s="4"/>
      <c r="E555" s="19">
        <v>0.0</v>
      </c>
      <c r="F555" s="19">
        <v>0.0</v>
      </c>
      <c r="G555" s="20" t="s">
        <v>613</v>
      </c>
      <c r="H555" s="21"/>
      <c r="I555" s="22">
        <v>15.0</v>
      </c>
      <c r="J555" s="29"/>
      <c r="K555" s="32">
        <v>12285.0</v>
      </c>
      <c r="L555" s="32">
        <v>17000.0</v>
      </c>
      <c r="M555" s="25"/>
      <c r="N555" s="26"/>
      <c r="O555" s="27">
        <f t="shared" si="62"/>
        <v>0.3838013838</v>
      </c>
      <c r="P555" s="28">
        <f t="shared" si="66"/>
        <v>0</v>
      </c>
    </row>
    <row r="556" hidden="1">
      <c r="A556" s="52" t="s">
        <v>896</v>
      </c>
      <c r="B556" s="36"/>
      <c r="C556" s="18"/>
      <c r="D556" s="4"/>
      <c r="E556" s="19">
        <v>0.0</v>
      </c>
      <c r="F556" s="19">
        <v>0.0</v>
      </c>
      <c r="G556" s="20" t="s">
        <v>377</v>
      </c>
      <c r="H556" s="21"/>
      <c r="I556" s="22">
        <v>7.0</v>
      </c>
      <c r="J556" s="23"/>
      <c r="K556" s="24">
        <v>16000.0</v>
      </c>
      <c r="L556" s="24">
        <v>28000.0</v>
      </c>
      <c r="M556" s="25"/>
      <c r="N556" s="70"/>
      <c r="O556" s="27">
        <f t="shared" si="62"/>
        <v>0.75</v>
      </c>
      <c r="P556" s="28">
        <f t="shared" si="66"/>
        <v>0</v>
      </c>
    </row>
    <row r="557" hidden="1">
      <c r="A557" s="52" t="s">
        <v>897</v>
      </c>
      <c r="B557" s="36"/>
      <c r="C557" s="18"/>
      <c r="D557" s="4"/>
      <c r="E557" s="19">
        <v>0.0</v>
      </c>
      <c r="F557" s="19">
        <v>10.0</v>
      </c>
      <c r="G557" s="20" t="s">
        <v>377</v>
      </c>
      <c r="H557" s="21"/>
      <c r="I557" s="22">
        <v>40.0</v>
      </c>
      <c r="J557" s="47">
        <v>46569.0</v>
      </c>
      <c r="K557" s="43">
        <v>6000.0</v>
      </c>
      <c r="L557" s="44">
        <v>10000.0</v>
      </c>
      <c r="M557" s="25"/>
      <c r="N557" s="26"/>
      <c r="O557" s="27">
        <f t="shared" si="62"/>
        <v>0.6666666667</v>
      </c>
      <c r="P557" s="28">
        <f t="shared" si="66"/>
        <v>60000</v>
      </c>
    </row>
    <row r="558" hidden="1">
      <c r="A558" s="16" t="s">
        <v>898</v>
      </c>
      <c r="B558" s="49"/>
      <c r="C558" s="18"/>
      <c r="D558" s="4"/>
      <c r="E558" s="19"/>
      <c r="F558" s="19"/>
      <c r="G558" s="16" t="s">
        <v>88</v>
      </c>
      <c r="H558" s="21"/>
      <c r="I558" s="22">
        <v>3.0</v>
      </c>
      <c r="J558" s="22" t="s">
        <v>899</v>
      </c>
      <c r="K558" s="43">
        <f>17786*1.19</f>
        <v>21165.34</v>
      </c>
      <c r="L558" s="44">
        <v>34000.0</v>
      </c>
      <c r="M558" s="25"/>
      <c r="N558" s="39"/>
      <c r="O558" s="27">
        <f t="shared" si="62"/>
        <v>0.6063998972</v>
      </c>
      <c r="P558" s="28">
        <f t="shared" si="66"/>
        <v>0</v>
      </c>
    </row>
    <row r="559" hidden="1">
      <c r="A559" s="16" t="s">
        <v>900</v>
      </c>
      <c r="B559" s="36"/>
      <c r="C559" s="18"/>
      <c r="D559" s="4"/>
      <c r="E559" s="19">
        <v>0.0</v>
      </c>
      <c r="F559" s="19"/>
      <c r="G559" s="16" t="s">
        <v>39</v>
      </c>
      <c r="H559" s="21"/>
      <c r="I559" s="22"/>
      <c r="J559" s="29"/>
      <c r="K559" s="43">
        <v>4000.0</v>
      </c>
      <c r="L559" s="44">
        <v>7000.0</v>
      </c>
      <c r="M559" s="25"/>
      <c r="N559" s="39"/>
      <c r="O559" s="27">
        <f t="shared" si="62"/>
        <v>0.75</v>
      </c>
      <c r="P559" s="28">
        <f t="shared" si="66"/>
        <v>0</v>
      </c>
    </row>
    <row r="560" hidden="1">
      <c r="A560" s="52" t="s">
        <v>901</v>
      </c>
      <c r="B560" s="36" t="s">
        <v>902</v>
      </c>
      <c r="C560" s="18" t="s">
        <v>903</v>
      </c>
      <c r="D560" s="67">
        <f>29000*0.95</f>
        <v>27550</v>
      </c>
      <c r="E560" s="19">
        <v>2.0</v>
      </c>
      <c r="F560" s="19"/>
      <c r="G560" s="20" t="s">
        <v>60</v>
      </c>
      <c r="H560" s="21"/>
      <c r="I560" s="22"/>
      <c r="J560" s="47">
        <v>46508.0</v>
      </c>
      <c r="K560" s="48">
        <v>29000.0</v>
      </c>
      <c r="L560" s="55">
        <v>38000.0</v>
      </c>
      <c r="M560" s="25" t="s">
        <v>76</v>
      </c>
      <c r="N560" s="26"/>
      <c r="O560" s="27">
        <f t="shared" si="62"/>
        <v>0.3103448276</v>
      </c>
      <c r="P560" s="28">
        <f t="shared" si="66"/>
        <v>0</v>
      </c>
    </row>
    <row r="561" hidden="1">
      <c r="A561" s="177" t="s">
        <v>904</v>
      </c>
      <c r="B561" s="36" t="s">
        <v>905</v>
      </c>
      <c r="C561" s="68"/>
      <c r="D561" s="4"/>
      <c r="E561" s="19">
        <v>5.0</v>
      </c>
      <c r="F561" s="19">
        <v>0.0</v>
      </c>
      <c r="G561" s="20" t="s">
        <v>78</v>
      </c>
      <c r="H561" s="21">
        <v>0.0</v>
      </c>
      <c r="I561" s="22">
        <v>5.0</v>
      </c>
      <c r="J561" s="23"/>
      <c r="K561" s="55">
        <v>21488.0</v>
      </c>
      <c r="L561" s="55">
        <v>34000.0</v>
      </c>
      <c r="M561" s="25"/>
      <c r="N561" s="102">
        <v>28000.0</v>
      </c>
      <c r="O561" s="27">
        <f t="shared" si="62"/>
        <v>0.582278481</v>
      </c>
      <c r="P561" s="28">
        <f t="shared" si="66"/>
        <v>0</v>
      </c>
    </row>
    <row r="562" hidden="1">
      <c r="A562" s="16" t="s">
        <v>906</v>
      </c>
      <c r="B562" s="49"/>
      <c r="C562" s="18"/>
      <c r="D562" s="4"/>
      <c r="E562" s="19"/>
      <c r="F562" s="19"/>
      <c r="G562" s="16" t="s">
        <v>375</v>
      </c>
      <c r="H562" s="21">
        <v>0.0</v>
      </c>
      <c r="I562" s="22"/>
      <c r="J562" s="29"/>
      <c r="K562" s="48">
        <v>6700.0</v>
      </c>
      <c r="L562" s="48">
        <v>9000.0</v>
      </c>
      <c r="M562" s="25" t="s">
        <v>76</v>
      </c>
      <c r="N562" s="102">
        <v>8000.0</v>
      </c>
      <c r="O562" s="27">
        <f t="shared" si="62"/>
        <v>0.3432835821</v>
      </c>
      <c r="P562" s="28">
        <f t="shared" si="66"/>
        <v>0</v>
      </c>
    </row>
    <row r="563" hidden="1">
      <c r="A563" s="16" t="s">
        <v>907</v>
      </c>
      <c r="B563" s="17" t="s">
        <v>908</v>
      </c>
      <c r="C563" s="38"/>
      <c r="D563" s="4"/>
      <c r="E563" s="19">
        <v>0.0</v>
      </c>
      <c r="F563" s="62">
        <v>0.0</v>
      </c>
      <c r="G563" s="16" t="s">
        <v>909</v>
      </c>
      <c r="H563" s="21"/>
      <c r="I563" s="22"/>
      <c r="J563" s="29"/>
      <c r="K563" s="48">
        <v>14280.0</v>
      </c>
      <c r="L563" s="60">
        <v>18000.0</v>
      </c>
      <c r="M563" s="25"/>
      <c r="N563" s="26"/>
      <c r="O563" s="27">
        <f t="shared" si="62"/>
        <v>0.2605042017</v>
      </c>
      <c r="P563" s="28"/>
    </row>
    <row r="564" hidden="1">
      <c r="A564" s="16" t="s">
        <v>910</v>
      </c>
      <c r="B564" s="17"/>
      <c r="C564" s="18"/>
      <c r="D564" s="4"/>
      <c r="E564" s="19">
        <v>0.0</v>
      </c>
      <c r="F564" s="19">
        <v>0.0</v>
      </c>
      <c r="G564" s="20" t="s">
        <v>911</v>
      </c>
      <c r="H564" s="21"/>
      <c r="I564" s="22"/>
      <c r="J564" s="29"/>
      <c r="K564" s="32">
        <v>1200.0</v>
      </c>
      <c r="L564" s="24">
        <v>2500.0</v>
      </c>
      <c r="M564" s="25"/>
      <c r="N564" s="39"/>
      <c r="O564" s="27">
        <f t="shared" si="62"/>
        <v>1.083333333</v>
      </c>
      <c r="P564" s="28">
        <f t="shared" ref="P564:P566" si="67">K564*F564</f>
        <v>0</v>
      </c>
    </row>
    <row r="565" hidden="1">
      <c r="A565" s="16" t="s">
        <v>912</v>
      </c>
      <c r="B565" s="17"/>
      <c r="C565" s="18"/>
      <c r="D565" s="4"/>
      <c r="E565" s="19">
        <v>0.0</v>
      </c>
      <c r="F565" s="19">
        <v>0.0</v>
      </c>
      <c r="G565" s="20" t="s">
        <v>911</v>
      </c>
      <c r="H565" s="21"/>
      <c r="I565" s="22"/>
      <c r="J565" s="29"/>
      <c r="K565" s="32">
        <v>1200.0</v>
      </c>
      <c r="L565" s="24">
        <v>3000.0</v>
      </c>
      <c r="M565" s="25"/>
      <c r="N565" s="39"/>
      <c r="O565" s="27">
        <f t="shared" si="62"/>
        <v>1.5</v>
      </c>
      <c r="P565" s="28">
        <f t="shared" si="67"/>
        <v>0</v>
      </c>
    </row>
    <row r="566" hidden="1">
      <c r="A566" s="122" t="s">
        <v>913</v>
      </c>
      <c r="B566" s="17">
        <v>242014.0</v>
      </c>
      <c r="C566" s="18"/>
      <c r="D566" s="4"/>
      <c r="E566" s="19">
        <v>0.0</v>
      </c>
      <c r="F566" s="19">
        <v>0.0</v>
      </c>
      <c r="G566" s="16" t="s">
        <v>914</v>
      </c>
      <c r="H566" s="73"/>
      <c r="I566" s="22">
        <v>200.0</v>
      </c>
      <c r="J566" s="74"/>
      <c r="K566" s="75">
        <v>600.0</v>
      </c>
      <c r="L566" s="44">
        <v>2500.0</v>
      </c>
      <c r="M566" s="25"/>
      <c r="N566" s="39"/>
      <c r="O566" s="27">
        <f t="shared" si="62"/>
        <v>3.166666667</v>
      </c>
      <c r="P566" s="28">
        <f t="shared" si="67"/>
        <v>0</v>
      </c>
    </row>
    <row r="567" hidden="1">
      <c r="A567" s="52" t="s">
        <v>915</v>
      </c>
      <c r="B567" s="17"/>
      <c r="C567" s="18"/>
      <c r="D567" s="4"/>
      <c r="E567" s="19">
        <v>0.0</v>
      </c>
      <c r="F567" s="19">
        <v>0.0</v>
      </c>
      <c r="G567" s="16" t="s">
        <v>400</v>
      </c>
      <c r="H567" s="21"/>
      <c r="I567" s="22"/>
      <c r="J567" s="29"/>
      <c r="K567" s="32">
        <v>21850.0</v>
      </c>
      <c r="L567" s="24">
        <v>70000.0</v>
      </c>
      <c r="M567" s="25"/>
      <c r="N567" s="102"/>
      <c r="O567" s="27"/>
      <c r="P567" s="28"/>
    </row>
    <row r="568" hidden="1">
      <c r="A568" s="122" t="s">
        <v>916</v>
      </c>
      <c r="B568" s="17">
        <v>241052.0</v>
      </c>
      <c r="C568" s="18"/>
      <c r="D568" s="4"/>
      <c r="E568" s="19">
        <v>0.0</v>
      </c>
      <c r="F568" s="19">
        <v>0.0</v>
      </c>
      <c r="G568" s="16" t="s">
        <v>425</v>
      </c>
      <c r="H568" s="21"/>
      <c r="I568" s="22"/>
      <c r="J568" s="29"/>
      <c r="K568" s="43">
        <f>8401*1.19</f>
        <v>9997.19</v>
      </c>
      <c r="L568" s="43">
        <v>14000.0</v>
      </c>
      <c r="M568" s="25"/>
      <c r="N568" s="39"/>
      <c r="O568" s="27">
        <f t="shared" ref="O568:O613" si="68">(L568/K568)-1</f>
        <v>0.4003935106</v>
      </c>
      <c r="P568" s="28">
        <f t="shared" ref="P568:P572" si="69">K568*F568</f>
        <v>0</v>
      </c>
    </row>
    <row r="569" hidden="1">
      <c r="A569" s="52" t="s">
        <v>917</v>
      </c>
      <c r="B569" s="17"/>
      <c r="C569" s="18"/>
      <c r="D569" s="4"/>
      <c r="E569" s="19">
        <v>0.0</v>
      </c>
      <c r="F569" s="19">
        <v>0.0</v>
      </c>
      <c r="G569" s="16" t="s">
        <v>918</v>
      </c>
      <c r="H569" s="21"/>
      <c r="I569" s="22">
        <f>22+150</f>
        <v>172</v>
      </c>
      <c r="J569" s="29"/>
      <c r="K569" s="32">
        <v>3000.0</v>
      </c>
      <c r="L569" s="24">
        <v>8000.0</v>
      </c>
      <c r="M569" s="25"/>
      <c r="N569" s="102">
        <v>6000.0</v>
      </c>
      <c r="O569" s="27">
        <f t="shared" si="68"/>
        <v>1.666666667</v>
      </c>
      <c r="P569" s="28">
        <f t="shared" si="69"/>
        <v>0</v>
      </c>
    </row>
    <row r="570" hidden="1">
      <c r="A570" s="122" t="s">
        <v>919</v>
      </c>
      <c r="B570" s="17">
        <v>241051.0</v>
      </c>
      <c r="C570" s="18"/>
      <c r="D570" s="4"/>
      <c r="E570" s="19">
        <v>0.0</v>
      </c>
      <c r="F570" s="19">
        <v>0.0</v>
      </c>
      <c r="G570" s="16" t="s">
        <v>425</v>
      </c>
      <c r="H570" s="21"/>
      <c r="I570" s="22"/>
      <c r="J570" s="29"/>
      <c r="K570" s="43">
        <f t="shared" ref="K570:K572" si="70">8401*1.19</f>
        <v>9997.19</v>
      </c>
      <c r="L570" s="43">
        <v>14000.0</v>
      </c>
      <c r="M570" s="25"/>
      <c r="N570" s="39"/>
      <c r="O570" s="27">
        <f t="shared" si="68"/>
        <v>0.4003935106</v>
      </c>
      <c r="P570" s="28">
        <f t="shared" si="69"/>
        <v>0</v>
      </c>
    </row>
    <row r="571" hidden="1">
      <c r="A571" s="122" t="s">
        <v>920</v>
      </c>
      <c r="B571" s="17">
        <v>241050.0</v>
      </c>
      <c r="C571" s="18"/>
      <c r="D571" s="4"/>
      <c r="E571" s="19">
        <v>0.0</v>
      </c>
      <c r="F571" s="19">
        <v>0.0</v>
      </c>
      <c r="G571" s="16" t="s">
        <v>425</v>
      </c>
      <c r="H571" s="21"/>
      <c r="I571" s="22"/>
      <c r="J571" s="29"/>
      <c r="K571" s="43">
        <f t="shared" si="70"/>
        <v>9997.19</v>
      </c>
      <c r="L571" s="43">
        <v>14000.0</v>
      </c>
      <c r="M571" s="25"/>
      <c r="N571" s="39"/>
      <c r="O571" s="27">
        <f t="shared" si="68"/>
        <v>0.4003935106</v>
      </c>
      <c r="P571" s="28">
        <f t="shared" si="69"/>
        <v>0</v>
      </c>
    </row>
    <row r="572" hidden="1">
      <c r="A572" s="122" t="s">
        <v>921</v>
      </c>
      <c r="B572" s="17">
        <v>241053.0</v>
      </c>
      <c r="C572" s="18"/>
      <c r="D572" s="4"/>
      <c r="E572" s="19">
        <v>0.0</v>
      </c>
      <c r="F572" s="19">
        <v>0.0</v>
      </c>
      <c r="G572" s="16" t="s">
        <v>425</v>
      </c>
      <c r="H572" s="21"/>
      <c r="I572" s="22"/>
      <c r="J572" s="29"/>
      <c r="K572" s="43">
        <f t="shared" si="70"/>
        <v>9997.19</v>
      </c>
      <c r="L572" s="43">
        <v>14000.0</v>
      </c>
      <c r="M572" s="25"/>
      <c r="N572" s="39"/>
      <c r="O572" s="27">
        <f t="shared" si="68"/>
        <v>0.4003935106</v>
      </c>
      <c r="P572" s="28">
        <f t="shared" si="69"/>
        <v>0</v>
      </c>
    </row>
    <row r="573" hidden="1">
      <c r="A573" s="176" t="s">
        <v>922</v>
      </c>
      <c r="B573" s="36" t="s">
        <v>923</v>
      </c>
      <c r="C573" s="18"/>
      <c r="D573" s="4"/>
      <c r="E573" s="19">
        <v>0.0</v>
      </c>
      <c r="F573" s="19">
        <v>0.0</v>
      </c>
      <c r="G573" s="16" t="s">
        <v>924</v>
      </c>
      <c r="H573" s="21"/>
      <c r="I573" s="22">
        <v>1.0</v>
      </c>
      <c r="J573" s="29"/>
      <c r="K573" s="32">
        <f>65000*0.8*1.19</f>
        <v>61880</v>
      </c>
      <c r="L573" s="24">
        <v>88000.0</v>
      </c>
      <c r="M573" s="25"/>
      <c r="N573" s="39"/>
      <c r="O573" s="27">
        <f t="shared" si="68"/>
        <v>0.4221073045</v>
      </c>
      <c r="P573" s="28"/>
    </row>
    <row r="574" hidden="1">
      <c r="A574" s="122" t="s">
        <v>925</v>
      </c>
      <c r="B574" s="17">
        <v>242012.0</v>
      </c>
      <c r="C574" s="18"/>
      <c r="D574" s="4"/>
      <c r="E574" s="19">
        <v>0.0</v>
      </c>
      <c r="F574" s="19">
        <v>0.0</v>
      </c>
      <c r="G574" s="16" t="s">
        <v>425</v>
      </c>
      <c r="H574" s="73"/>
      <c r="I574" s="22"/>
      <c r="J574" s="74"/>
      <c r="K574" s="75">
        <v>900.0</v>
      </c>
      <c r="L574" s="44">
        <v>1500.0</v>
      </c>
      <c r="M574" s="25"/>
      <c r="N574" s="39"/>
      <c r="O574" s="27">
        <f t="shared" si="68"/>
        <v>0.6666666667</v>
      </c>
      <c r="P574" s="28">
        <f t="shared" ref="P574:P613" si="71">K574*F574</f>
        <v>0</v>
      </c>
    </row>
    <row r="575" hidden="1">
      <c r="A575" s="122" t="s">
        <v>926</v>
      </c>
      <c r="B575" s="17">
        <v>242013.0</v>
      </c>
      <c r="C575" s="18"/>
      <c r="D575" s="4"/>
      <c r="E575" s="19">
        <v>0.0</v>
      </c>
      <c r="F575" s="19">
        <v>0.0</v>
      </c>
      <c r="G575" s="16" t="s">
        <v>425</v>
      </c>
      <c r="H575" s="21"/>
      <c r="I575" s="22"/>
      <c r="J575" s="29"/>
      <c r="K575" s="43">
        <f>1517*1.19</f>
        <v>1805.23</v>
      </c>
      <c r="L575" s="43">
        <v>3500.0</v>
      </c>
      <c r="M575" s="25"/>
      <c r="N575" s="39"/>
      <c r="O575" s="27">
        <f t="shared" si="68"/>
        <v>0.938811121</v>
      </c>
      <c r="P575" s="28">
        <f t="shared" si="71"/>
        <v>0</v>
      </c>
    </row>
    <row r="576" hidden="1">
      <c r="A576" s="122" t="s">
        <v>927</v>
      </c>
      <c r="B576" s="17">
        <v>241054.0</v>
      </c>
      <c r="C576" s="18"/>
      <c r="D576" s="4"/>
      <c r="E576" s="19">
        <v>0.0</v>
      </c>
      <c r="F576" s="19">
        <v>0.0</v>
      </c>
      <c r="G576" s="16" t="s">
        <v>425</v>
      </c>
      <c r="H576" s="73"/>
      <c r="I576" s="22"/>
      <c r="J576" s="74"/>
      <c r="K576" s="75">
        <f>7478*1.19</f>
        <v>8898.82</v>
      </c>
      <c r="L576" s="44">
        <f>K576*1.5</f>
        <v>13348.23</v>
      </c>
      <c r="M576" s="25"/>
      <c r="N576" s="39"/>
      <c r="O576" s="27">
        <f t="shared" si="68"/>
        <v>0.5</v>
      </c>
      <c r="P576" s="28">
        <f t="shared" si="71"/>
        <v>0</v>
      </c>
    </row>
    <row r="577" hidden="1">
      <c r="A577" s="122" t="s">
        <v>928</v>
      </c>
      <c r="B577" s="17">
        <v>242014.0</v>
      </c>
      <c r="C577" s="18" t="s">
        <v>929</v>
      </c>
      <c r="D577" s="4"/>
      <c r="E577" s="19">
        <v>0.0</v>
      </c>
      <c r="F577" s="19">
        <v>0.0</v>
      </c>
      <c r="G577" s="16" t="s">
        <v>425</v>
      </c>
      <c r="H577" s="73"/>
      <c r="I577" s="22"/>
      <c r="J577" s="74"/>
      <c r="K577" s="75">
        <v>500.0</v>
      </c>
      <c r="L577" s="44">
        <v>1000.0</v>
      </c>
      <c r="M577" s="25"/>
      <c r="N577" s="39"/>
      <c r="O577" s="27">
        <f t="shared" si="68"/>
        <v>1</v>
      </c>
      <c r="P577" s="28">
        <f t="shared" si="71"/>
        <v>0</v>
      </c>
    </row>
    <row r="578" hidden="1">
      <c r="A578" s="122" t="s">
        <v>930</v>
      </c>
      <c r="B578" s="17">
        <v>241055.0</v>
      </c>
      <c r="C578" s="18"/>
      <c r="D578" s="4"/>
      <c r="E578" s="19">
        <v>0.0</v>
      </c>
      <c r="F578" s="19">
        <v>0.0</v>
      </c>
      <c r="G578" s="16" t="s">
        <v>425</v>
      </c>
      <c r="H578" s="73"/>
      <c r="I578" s="22"/>
      <c r="J578" s="74"/>
      <c r="K578" s="75">
        <v>4000.0</v>
      </c>
      <c r="L578" s="44">
        <v>7000.0</v>
      </c>
      <c r="M578" s="25"/>
      <c r="N578" s="39"/>
      <c r="O578" s="27">
        <f t="shared" si="68"/>
        <v>0.75</v>
      </c>
      <c r="P578" s="28">
        <f t="shared" si="71"/>
        <v>0</v>
      </c>
    </row>
    <row r="579" hidden="1">
      <c r="A579" s="16" t="s">
        <v>931</v>
      </c>
      <c r="B579" s="51"/>
      <c r="C579" s="18"/>
      <c r="D579" s="4"/>
      <c r="E579" s="19">
        <v>0.0</v>
      </c>
      <c r="F579" s="19">
        <v>0.0</v>
      </c>
      <c r="G579" s="16" t="s">
        <v>932</v>
      </c>
      <c r="H579" s="21"/>
      <c r="I579" s="22">
        <v>5.0</v>
      </c>
      <c r="J579" s="29"/>
      <c r="K579" s="43">
        <f>27311*1.19/50</f>
        <v>650.0018</v>
      </c>
      <c r="L579" s="44">
        <v>2000.0</v>
      </c>
      <c r="M579" s="25"/>
      <c r="N579" s="39"/>
      <c r="O579" s="27">
        <f t="shared" si="68"/>
        <v>2.076914556</v>
      </c>
      <c r="P579" s="28">
        <f t="shared" si="71"/>
        <v>0</v>
      </c>
    </row>
    <row r="580" hidden="1">
      <c r="A580" s="16" t="s">
        <v>933</v>
      </c>
      <c r="B580" s="17"/>
      <c r="C580" s="18" t="s">
        <v>144</v>
      </c>
      <c r="D580" s="4">
        <f t="shared" ref="D580:D582" si="72">9874*1.19</f>
        <v>11750.06</v>
      </c>
      <c r="E580" s="19">
        <v>3.0</v>
      </c>
      <c r="F580" s="19">
        <v>0.0</v>
      </c>
      <c r="G580" s="20" t="s">
        <v>78</v>
      </c>
      <c r="H580" s="21">
        <v>3.0</v>
      </c>
      <c r="I580" s="22">
        <v>0.0</v>
      </c>
      <c r="J580" s="29"/>
      <c r="K580" s="48">
        <f t="shared" ref="K580:K588" si="73">10231*1.19</f>
        <v>12174.89</v>
      </c>
      <c r="L580" s="55">
        <v>16000.0</v>
      </c>
      <c r="M580" s="25"/>
      <c r="N580" s="39"/>
      <c r="O580" s="27">
        <f t="shared" si="68"/>
        <v>0.3141802513</v>
      </c>
      <c r="P580" s="28">
        <f t="shared" si="71"/>
        <v>0</v>
      </c>
    </row>
    <row r="581" hidden="1">
      <c r="A581" s="16" t="s">
        <v>934</v>
      </c>
      <c r="B581" s="17"/>
      <c r="C581" s="18" t="s">
        <v>144</v>
      </c>
      <c r="D581" s="4">
        <f t="shared" si="72"/>
        <v>11750.06</v>
      </c>
      <c r="E581" s="19">
        <v>1.0</v>
      </c>
      <c r="F581" s="77">
        <v>0.0</v>
      </c>
      <c r="G581" s="20" t="s">
        <v>78</v>
      </c>
      <c r="H581" s="21">
        <v>5.0</v>
      </c>
      <c r="I581" s="22">
        <v>0.0</v>
      </c>
      <c r="J581" s="29"/>
      <c r="K581" s="48">
        <f t="shared" si="73"/>
        <v>12174.89</v>
      </c>
      <c r="L581" s="55">
        <v>16000.0</v>
      </c>
      <c r="M581" s="25"/>
      <c r="N581" s="39"/>
      <c r="O581" s="27">
        <f t="shared" si="68"/>
        <v>0.3141802513</v>
      </c>
      <c r="P581" s="28">
        <f t="shared" si="71"/>
        <v>0</v>
      </c>
    </row>
    <row r="582" hidden="1">
      <c r="A582" s="16" t="s">
        <v>935</v>
      </c>
      <c r="B582" s="17"/>
      <c r="C582" s="18" t="s">
        <v>144</v>
      </c>
      <c r="D582" s="4">
        <f t="shared" si="72"/>
        <v>11750.06</v>
      </c>
      <c r="E582" s="19">
        <v>2.0</v>
      </c>
      <c r="F582" s="19">
        <v>0.0</v>
      </c>
      <c r="G582" s="20" t="s">
        <v>78</v>
      </c>
      <c r="H582" s="21">
        <v>4.0</v>
      </c>
      <c r="I582" s="22">
        <v>0.0</v>
      </c>
      <c r="J582" s="29"/>
      <c r="K582" s="48">
        <f t="shared" si="73"/>
        <v>12174.89</v>
      </c>
      <c r="L582" s="55">
        <v>16000.0</v>
      </c>
      <c r="M582" s="25"/>
      <c r="N582" s="39"/>
      <c r="O582" s="27">
        <f t="shared" si="68"/>
        <v>0.3141802513</v>
      </c>
      <c r="P582" s="28">
        <f t="shared" si="71"/>
        <v>0</v>
      </c>
    </row>
    <row r="583" hidden="1">
      <c r="A583" s="16" t="s">
        <v>936</v>
      </c>
      <c r="B583" s="17"/>
      <c r="C583" s="18"/>
      <c r="D583" s="4"/>
      <c r="E583" s="19">
        <v>0.0</v>
      </c>
      <c r="F583" s="77">
        <v>0.0</v>
      </c>
      <c r="G583" s="20" t="s">
        <v>78</v>
      </c>
      <c r="H583" s="21">
        <v>7.0</v>
      </c>
      <c r="I583" s="22">
        <v>0.0</v>
      </c>
      <c r="J583" s="29"/>
      <c r="K583" s="48">
        <f t="shared" si="73"/>
        <v>12174.89</v>
      </c>
      <c r="L583" s="55">
        <v>16000.0</v>
      </c>
      <c r="M583" s="25"/>
      <c r="N583" s="39"/>
      <c r="O583" s="27">
        <f t="shared" si="68"/>
        <v>0.3141802513</v>
      </c>
      <c r="P583" s="28">
        <f t="shared" si="71"/>
        <v>0</v>
      </c>
    </row>
    <row r="584" hidden="1">
      <c r="A584" s="16" t="s">
        <v>937</v>
      </c>
      <c r="B584" s="17"/>
      <c r="C584" s="18" t="s">
        <v>144</v>
      </c>
      <c r="D584" s="4">
        <f>9874*1.19</f>
        <v>11750.06</v>
      </c>
      <c r="E584" s="19">
        <v>3.0</v>
      </c>
      <c r="F584" s="19">
        <v>0.0</v>
      </c>
      <c r="G584" s="20" t="s">
        <v>78</v>
      </c>
      <c r="H584" s="21">
        <v>3.0</v>
      </c>
      <c r="I584" s="22">
        <v>0.0</v>
      </c>
      <c r="J584" s="29"/>
      <c r="K584" s="48">
        <f t="shared" si="73"/>
        <v>12174.89</v>
      </c>
      <c r="L584" s="55">
        <v>16000.0</v>
      </c>
      <c r="M584" s="25"/>
      <c r="N584" s="39"/>
      <c r="O584" s="27">
        <f t="shared" si="68"/>
        <v>0.3141802513</v>
      </c>
      <c r="P584" s="28">
        <f t="shared" si="71"/>
        <v>0</v>
      </c>
    </row>
    <row r="585" hidden="1">
      <c r="A585" s="16" t="s">
        <v>938</v>
      </c>
      <c r="B585" s="17"/>
      <c r="C585" s="18"/>
      <c r="D585" s="4"/>
      <c r="E585" s="19">
        <v>1.0</v>
      </c>
      <c r="F585" s="77">
        <v>0.0</v>
      </c>
      <c r="G585" s="20" t="s">
        <v>78</v>
      </c>
      <c r="H585" s="21">
        <v>5.0</v>
      </c>
      <c r="I585" s="22">
        <v>0.0</v>
      </c>
      <c r="J585" s="29"/>
      <c r="K585" s="48">
        <f t="shared" si="73"/>
        <v>12174.89</v>
      </c>
      <c r="L585" s="55">
        <v>16000.0</v>
      </c>
      <c r="M585" s="25"/>
      <c r="N585" s="39"/>
      <c r="O585" s="27">
        <f t="shared" si="68"/>
        <v>0.3141802513</v>
      </c>
      <c r="P585" s="28">
        <f t="shared" si="71"/>
        <v>0</v>
      </c>
    </row>
    <row r="586" hidden="1">
      <c r="A586" s="16" t="s">
        <v>939</v>
      </c>
      <c r="B586" s="17"/>
      <c r="C586" s="18" t="s">
        <v>144</v>
      </c>
      <c r="D586" s="4">
        <f t="shared" ref="D586:D587" si="74">9874*1.19</f>
        <v>11750.06</v>
      </c>
      <c r="E586" s="19">
        <v>2.0</v>
      </c>
      <c r="F586" s="77">
        <v>0.0</v>
      </c>
      <c r="G586" s="20" t="s">
        <v>78</v>
      </c>
      <c r="H586" s="21">
        <v>4.0</v>
      </c>
      <c r="I586" s="22">
        <v>0.0</v>
      </c>
      <c r="J586" s="29"/>
      <c r="K586" s="48">
        <f t="shared" si="73"/>
        <v>12174.89</v>
      </c>
      <c r="L586" s="55">
        <v>16000.0</v>
      </c>
      <c r="M586" s="25"/>
      <c r="N586" s="39"/>
      <c r="O586" s="27">
        <f t="shared" si="68"/>
        <v>0.3141802513</v>
      </c>
      <c r="P586" s="28">
        <f t="shared" si="71"/>
        <v>0</v>
      </c>
    </row>
    <row r="587" hidden="1">
      <c r="A587" s="16" t="s">
        <v>940</v>
      </c>
      <c r="B587" s="17"/>
      <c r="C587" s="18" t="s">
        <v>144</v>
      </c>
      <c r="D587" s="4">
        <f t="shared" si="74"/>
        <v>11750.06</v>
      </c>
      <c r="E587" s="19">
        <v>2.0</v>
      </c>
      <c r="F587" s="77">
        <v>0.0</v>
      </c>
      <c r="G587" s="20" t="s">
        <v>78</v>
      </c>
      <c r="H587" s="21">
        <v>4.0</v>
      </c>
      <c r="I587" s="22">
        <v>0.0</v>
      </c>
      <c r="J587" s="29"/>
      <c r="K587" s="48">
        <f t="shared" si="73"/>
        <v>12174.89</v>
      </c>
      <c r="L587" s="55">
        <v>16000.0</v>
      </c>
      <c r="M587" s="25"/>
      <c r="N587" s="39"/>
      <c r="O587" s="27">
        <f t="shared" si="68"/>
        <v>0.3141802513</v>
      </c>
      <c r="P587" s="28">
        <f t="shared" si="71"/>
        <v>0</v>
      </c>
    </row>
    <row r="588" hidden="1">
      <c r="A588" s="16" t="s">
        <v>941</v>
      </c>
      <c r="B588" s="17"/>
      <c r="C588" s="18"/>
      <c r="D588" s="4"/>
      <c r="E588" s="19">
        <v>0.0</v>
      </c>
      <c r="F588" s="77">
        <v>0.0</v>
      </c>
      <c r="G588" s="20" t="s">
        <v>78</v>
      </c>
      <c r="H588" s="21">
        <v>7.0</v>
      </c>
      <c r="I588" s="22">
        <v>0.0</v>
      </c>
      <c r="J588" s="29"/>
      <c r="K588" s="48">
        <f t="shared" si="73"/>
        <v>12174.89</v>
      </c>
      <c r="L588" s="55">
        <v>16000.0</v>
      </c>
      <c r="M588" s="25"/>
      <c r="N588" s="39"/>
      <c r="O588" s="27">
        <f t="shared" si="68"/>
        <v>0.3141802513</v>
      </c>
      <c r="P588" s="28">
        <f t="shared" si="71"/>
        <v>0</v>
      </c>
    </row>
    <row r="589" hidden="1">
      <c r="A589" s="16" t="s">
        <v>942</v>
      </c>
      <c r="B589" s="17"/>
      <c r="C589" s="18"/>
      <c r="D589" s="4" t="s">
        <v>796</v>
      </c>
      <c r="E589" s="19">
        <v>0.0</v>
      </c>
      <c r="F589" s="19"/>
      <c r="G589" s="16" t="s">
        <v>943</v>
      </c>
      <c r="H589" s="21"/>
      <c r="I589" s="22"/>
      <c r="J589" s="29"/>
      <c r="K589" s="43">
        <f>K592/15</f>
        <v>840.9333333</v>
      </c>
      <c r="L589" s="44">
        <v>30000.0</v>
      </c>
      <c r="M589" s="25"/>
      <c r="N589" s="39"/>
      <c r="O589" s="27">
        <f t="shared" si="68"/>
        <v>34.67464722</v>
      </c>
      <c r="P589" s="28">
        <f t="shared" si="71"/>
        <v>0</v>
      </c>
    </row>
    <row r="590" hidden="1">
      <c r="A590" s="16" t="s">
        <v>944</v>
      </c>
      <c r="B590" s="17"/>
      <c r="C590" s="18"/>
      <c r="D590" s="4"/>
      <c r="E590" s="19">
        <v>0.0</v>
      </c>
      <c r="F590" s="19"/>
      <c r="G590" s="16" t="s">
        <v>943</v>
      </c>
      <c r="H590" s="21"/>
      <c r="I590" s="22"/>
      <c r="J590" s="29"/>
      <c r="K590" s="43">
        <v>71400.0</v>
      </c>
      <c r="L590" s="44">
        <v>95000.0</v>
      </c>
      <c r="M590" s="25"/>
      <c r="N590" s="39"/>
      <c r="O590" s="27">
        <f t="shared" si="68"/>
        <v>0.3305322129</v>
      </c>
      <c r="P590" s="28">
        <f t="shared" si="71"/>
        <v>0</v>
      </c>
    </row>
    <row r="591" hidden="1">
      <c r="A591" s="16" t="s">
        <v>945</v>
      </c>
      <c r="B591" s="49"/>
      <c r="C591" s="18"/>
      <c r="D591" s="4"/>
      <c r="E591" s="19">
        <v>0.0</v>
      </c>
      <c r="F591" s="19">
        <v>0.0</v>
      </c>
      <c r="G591" s="16" t="s">
        <v>93</v>
      </c>
      <c r="H591" s="21"/>
      <c r="I591" s="22"/>
      <c r="J591" s="29"/>
      <c r="K591" s="32">
        <v>39730.0</v>
      </c>
      <c r="L591" s="24">
        <v>49600.0</v>
      </c>
      <c r="M591" s="168" t="s">
        <v>76</v>
      </c>
      <c r="N591" s="39"/>
      <c r="O591" s="27">
        <f t="shared" si="68"/>
        <v>0.2484268814</v>
      </c>
      <c r="P591" s="28">
        <f t="shared" si="71"/>
        <v>0</v>
      </c>
    </row>
    <row r="592" hidden="1">
      <c r="A592" s="16" t="s">
        <v>946</v>
      </c>
      <c r="B592" s="49" t="s">
        <v>947</v>
      </c>
      <c r="C592" s="18" t="s">
        <v>948</v>
      </c>
      <c r="D592" s="4"/>
      <c r="E592" s="19"/>
      <c r="F592" s="19"/>
      <c r="G592" s="16" t="s">
        <v>949</v>
      </c>
      <c r="H592" s="21">
        <v>0.0</v>
      </c>
      <c r="I592" s="22"/>
      <c r="J592" s="29"/>
      <c r="K592" s="48">
        <v>12614.0</v>
      </c>
      <c r="L592" s="55">
        <v>18000.0</v>
      </c>
      <c r="M592" s="25"/>
      <c r="N592" s="102">
        <v>15000.0</v>
      </c>
      <c r="O592" s="27">
        <f t="shared" si="68"/>
        <v>0.4269858887</v>
      </c>
      <c r="P592" s="28">
        <f t="shared" si="71"/>
        <v>0</v>
      </c>
    </row>
    <row r="593" hidden="1">
      <c r="A593" s="16" t="s">
        <v>950</v>
      </c>
      <c r="B593" s="49"/>
      <c r="C593" s="18" t="s">
        <v>951</v>
      </c>
      <c r="D593" s="4"/>
      <c r="E593" s="19"/>
      <c r="F593" s="19"/>
      <c r="G593" s="16" t="s">
        <v>952</v>
      </c>
      <c r="H593" s="21">
        <v>0.0</v>
      </c>
      <c r="I593" s="22"/>
      <c r="J593" s="29"/>
      <c r="K593" s="32">
        <f>62800*1.19</f>
        <v>74732</v>
      </c>
      <c r="L593" s="24">
        <v>110000.0</v>
      </c>
      <c r="M593" s="25">
        <v>85.0</v>
      </c>
      <c r="N593" s="102">
        <v>85000.0</v>
      </c>
      <c r="O593" s="27">
        <f t="shared" si="68"/>
        <v>0.4719263502</v>
      </c>
      <c r="P593" s="28">
        <f t="shared" si="71"/>
        <v>0</v>
      </c>
    </row>
    <row r="594" hidden="1">
      <c r="A594" s="16" t="s">
        <v>953</v>
      </c>
      <c r="B594" s="49" t="s">
        <v>954</v>
      </c>
      <c r="C594" s="18" t="s">
        <v>948</v>
      </c>
      <c r="D594" s="4"/>
      <c r="E594" s="19"/>
      <c r="F594" s="19"/>
      <c r="G594" s="16" t="s">
        <v>949</v>
      </c>
      <c r="H594" s="21">
        <v>0.0</v>
      </c>
      <c r="I594" s="22"/>
      <c r="J594" s="29"/>
      <c r="K594" s="48">
        <f>12614*48</f>
        <v>605472</v>
      </c>
      <c r="L594" s="55">
        <f>15000*48</f>
        <v>720000</v>
      </c>
      <c r="M594" s="25"/>
      <c r="N594" s="39">
        <f>690000/48</f>
        <v>14375</v>
      </c>
      <c r="O594" s="27">
        <f t="shared" si="68"/>
        <v>0.1891549072</v>
      </c>
      <c r="P594" s="28">
        <f t="shared" si="71"/>
        <v>0</v>
      </c>
    </row>
    <row r="595" hidden="1">
      <c r="A595" s="122" t="s">
        <v>955</v>
      </c>
      <c r="B595" s="17">
        <v>242010.0</v>
      </c>
      <c r="C595" s="18"/>
      <c r="D595" s="4"/>
      <c r="E595" s="19">
        <v>0.0</v>
      </c>
      <c r="F595" s="19">
        <v>0.0</v>
      </c>
      <c r="G595" s="16" t="s">
        <v>659</v>
      </c>
      <c r="H595" s="73"/>
      <c r="I595" s="22">
        <v>30.0</v>
      </c>
      <c r="J595" s="74"/>
      <c r="K595" s="75">
        <v>1000.0</v>
      </c>
      <c r="L595" s="44">
        <v>3000.0</v>
      </c>
      <c r="M595" s="25"/>
      <c r="N595" s="39"/>
      <c r="O595" s="27">
        <f t="shared" si="68"/>
        <v>2</v>
      </c>
      <c r="P595" s="28">
        <f t="shared" si="71"/>
        <v>0</v>
      </c>
    </row>
    <row r="596" hidden="1">
      <c r="A596" s="59" t="s">
        <v>956</v>
      </c>
      <c r="B596" s="121"/>
      <c r="C596" s="18"/>
      <c r="D596" s="4"/>
      <c r="E596" s="19">
        <v>0.0</v>
      </c>
      <c r="F596" s="19">
        <v>0.0</v>
      </c>
      <c r="G596" s="16" t="s">
        <v>84</v>
      </c>
      <c r="H596" s="21"/>
      <c r="I596" s="22">
        <v>0.0</v>
      </c>
      <c r="J596" s="29"/>
      <c r="K596" s="43">
        <v>18000.0</v>
      </c>
      <c r="L596" s="44">
        <v>40000.0</v>
      </c>
      <c r="M596" s="25"/>
      <c r="N596" s="39"/>
      <c r="O596" s="27">
        <f t="shared" si="68"/>
        <v>1.222222222</v>
      </c>
      <c r="P596" s="28">
        <f t="shared" si="71"/>
        <v>0</v>
      </c>
    </row>
    <row r="597" hidden="1">
      <c r="A597" s="16" t="s">
        <v>957</v>
      </c>
      <c r="B597" s="17"/>
      <c r="C597" s="158" t="s">
        <v>958</v>
      </c>
      <c r="D597" s="61"/>
      <c r="E597" s="19"/>
      <c r="F597" s="19"/>
      <c r="G597" s="16" t="s">
        <v>91</v>
      </c>
      <c r="H597" s="21"/>
      <c r="I597" s="22">
        <v>20.0</v>
      </c>
      <c r="J597" s="29" t="s">
        <v>959</v>
      </c>
      <c r="K597" s="32">
        <v>267000.0</v>
      </c>
      <c r="L597" s="24">
        <v>325000.0</v>
      </c>
      <c r="M597" s="25" t="s">
        <v>76</v>
      </c>
      <c r="N597" s="102">
        <v>270000.0</v>
      </c>
      <c r="O597" s="27">
        <f t="shared" si="68"/>
        <v>0.2172284644</v>
      </c>
      <c r="P597" s="28">
        <f t="shared" si="71"/>
        <v>0</v>
      </c>
    </row>
    <row r="598" hidden="1">
      <c r="A598" s="40" t="s">
        <v>960</v>
      </c>
      <c r="B598" s="17"/>
      <c r="C598" s="18"/>
      <c r="D598" s="4"/>
      <c r="E598" s="19">
        <v>0.0</v>
      </c>
      <c r="F598" s="19">
        <v>0.0</v>
      </c>
      <c r="G598" s="16" t="s">
        <v>961</v>
      </c>
      <c r="H598" s="21"/>
      <c r="I598" s="22">
        <v>0.0</v>
      </c>
      <c r="J598" s="29"/>
      <c r="K598" s="48">
        <v>13000.0</v>
      </c>
      <c r="L598" s="55">
        <v>24000.0</v>
      </c>
      <c r="M598" s="25"/>
      <c r="N598" s="102">
        <v>18000.0</v>
      </c>
      <c r="O598" s="27">
        <f t="shared" si="68"/>
        <v>0.8461538462</v>
      </c>
      <c r="P598" s="28">
        <f t="shared" si="71"/>
        <v>0</v>
      </c>
    </row>
    <row r="599" hidden="1">
      <c r="A599" s="16" t="s">
        <v>962</v>
      </c>
      <c r="B599" s="49"/>
      <c r="C599" s="92"/>
      <c r="D599" s="4"/>
      <c r="E599" s="19"/>
      <c r="F599" s="19"/>
      <c r="G599" s="16" t="s">
        <v>200</v>
      </c>
      <c r="H599" s="21">
        <v>0.0</v>
      </c>
      <c r="I599" s="22">
        <v>3.0</v>
      </c>
      <c r="J599" s="29"/>
      <c r="K599" s="48">
        <v>141253.0</v>
      </c>
      <c r="L599" s="48">
        <v>170000.0</v>
      </c>
      <c r="M599" s="25">
        <v>1.19</v>
      </c>
      <c r="N599" s="48">
        <v>155000.0</v>
      </c>
      <c r="O599" s="27">
        <f t="shared" si="68"/>
        <v>0.2035142616</v>
      </c>
      <c r="P599" s="28">
        <f t="shared" si="71"/>
        <v>0</v>
      </c>
    </row>
    <row r="600" hidden="1">
      <c r="A600" s="16" t="s">
        <v>963</v>
      </c>
      <c r="B600" s="49"/>
      <c r="C600" s="18"/>
      <c r="D600" s="4"/>
      <c r="E600" s="19">
        <v>0.0</v>
      </c>
      <c r="F600" s="19">
        <v>0.0</v>
      </c>
      <c r="G600" s="16" t="s">
        <v>341</v>
      </c>
      <c r="H600" s="21"/>
      <c r="I600" s="22"/>
      <c r="J600" s="29"/>
      <c r="K600" s="48">
        <f>170000/8</f>
        <v>21250</v>
      </c>
      <c r="L600" s="55">
        <v>30000.0</v>
      </c>
      <c r="M600" s="25"/>
      <c r="N600" s="39"/>
      <c r="O600" s="27">
        <f t="shared" si="68"/>
        <v>0.4117647059</v>
      </c>
      <c r="P600" s="28">
        <f t="shared" si="71"/>
        <v>0</v>
      </c>
    </row>
    <row r="601" hidden="1">
      <c r="A601" s="16" t="s">
        <v>964</v>
      </c>
      <c r="B601" s="36" t="s">
        <v>965</v>
      </c>
      <c r="C601" s="18"/>
      <c r="D601" s="4"/>
      <c r="E601" s="19">
        <v>0.0</v>
      </c>
      <c r="F601" s="19">
        <v>0.0</v>
      </c>
      <c r="G601" s="20" t="s">
        <v>966</v>
      </c>
      <c r="H601" s="21"/>
      <c r="I601" s="22">
        <v>4.0</v>
      </c>
      <c r="J601" s="29"/>
      <c r="K601" s="32">
        <v>30000.0</v>
      </c>
      <c r="L601" s="24">
        <v>40000.0</v>
      </c>
      <c r="M601" s="25"/>
      <c r="N601" s="102">
        <v>38000.0</v>
      </c>
      <c r="O601" s="27">
        <f t="shared" si="68"/>
        <v>0.3333333333</v>
      </c>
      <c r="P601" s="28">
        <f t="shared" si="71"/>
        <v>0</v>
      </c>
    </row>
    <row r="602" hidden="1">
      <c r="A602" s="42" t="s">
        <v>967</v>
      </c>
      <c r="B602" s="49"/>
      <c r="C602" s="18" t="s">
        <v>55</v>
      </c>
      <c r="D602" s="4" t="s">
        <v>968</v>
      </c>
      <c r="E602" s="19">
        <v>0.0</v>
      </c>
      <c r="F602" s="19"/>
      <c r="G602" s="20" t="s">
        <v>610</v>
      </c>
      <c r="H602" s="21"/>
      <c r="I602" s="22"/>
      <c r="J602" s="29"/>
      <c r="K602" s="43">
        <v>46500.0</v>
      </c>
      <c r="L602" s="43">
        <v>62000.0</v>
      </c>
      <c r="M602" s="25"/>
      <c r="N602" s="26"/>
      <c r="O602" s="27">
        <f t="shared" si="68"/>
        <v>0.3333333333</v>
      </c>
      <c r="P602" s="28">
        <f t="shared" si="71"/>
        <v>0</v>
      </c>
    </row>
    <row r="603" hidden="1">
      <c r="A603" s="42" t="s">
        <v>969</v>
      </c>
      <c r="B603" s="71"/>
      <c r="C603" s="18"/>
      <c r="D603" s="4"/>
      <c r="E603" s="19">
        <v>0.0</v>
      </c>
      <c r="F603" s="19"/>
      <c r="G603" s="20" t="s">
        <v>291</v>
      </c>
      <c r="H603" s="21"/>
      <c r="I603" s="22"/>
      <c r="J603" s="29"/>
      <c r="K603" s="32">
        <f>21008*1.19</f>
        <v>24999.52</v>
      </c>
      <c r="L603" s="24">
        <v>32000.0</v>
      </c>
      <c r="M603" s="25"/>
      <c r="N603" s="39"/>
      <c r="O603" s="27">
        <f t="shared" si="68"/>
        <v>0.2800245765</v>
      </c>
      <c r="P603" s="28">
        <f t="shared" si="71"/>
        <v>0</v>
      </c>
    </row>
    <row r="604" hidden="1">
      <c r="A604" s="122" t="s">
        <v>970</v>
      </c>
      <c r="B604" s="36" t="s">
        <v>971</v>
      </c>
      <c r="C604" s="18"/>
      <c r="D604" s="4"/>
      <c r="E604" s="19">
        <v>0.0</v>
      </c>
      <c r="F604" s="19">
        <v>0.0</v>
      </c>
      <c r="G604" s="16" t="s">
        <v>972</v>
      </c>
      <c r="H604" s="21"/>
      <c r="I604" s="22">
        <v>1.0</v>
      </c>
      <c r="J604" s="29"/>
      <c r="K604" s="48">
        <v>36985.0</v>
      </c>
      <c r="L604" s="24">
        <v>58000.0</v>
      </c>
      <c r="M604" s="25" t="s">
        <v>82</v>
      </c>
      <c r="N604" s="26"/>
      <c r="O604" s="27">
        <f t="shared" si="68"/>
        <v>0.5682033257</v>
      </c>
      <c r="P604" s="28">
        <f t="shared" si="71"/>
        <v>0</v>
      </c>
    </row>
    <row r="605" hidden="1">
      <c r="A605" s="16" t="s">
        <v>973</v>
      </c>
      <c r="B605" s="17" t="s">
        <v>974</v>
      </c>
      <c r="C605" s="18"/>
      <c r="D605" s="4"/>
      <c r="E605" s="19">
        <v>0.0</v>
      </c>
      <c r="F605" s="19">
        <v>0.0</v>
      </c>
      <c r="G605" s="20" t="s">
        <v>975</v>
      </c>
      <c r="H605" s="21"/>
      <c r="I605" s="22" t="s">
        <v>976</v>
      </c>
      <c r="J605" s="29"/>
      <c r="K605" s="48">
        <v>1200.0</v>
      </c>
      <c r="L605" s="55">
        <v>5000.0</v>
      </c>
      <c r="M605" s="25" t="s">
        <v>82</v>
      </c>
      <c r="N605" s="39"/>
      <c r="O605" s="27">
        <f t="shared" si="68"/>
        <v>3.166666667</v>
      </c>
      <c r="P605" s="28">
        <f t="shared" si="71"/>
        <v>0</v>
      </c>
    </row>
    <row r="606" hidden="1">
      <c r="A606" s="52" t="s">
        <v>977</v>
      </c>
      <c r="B606" s="17" t="s">
        <v>978</v>
      </c>
      <c r="C606" s="18"/>
      <c r="D606" s="4"/>
      <c r="E606" s="19">
        <v>0.0</v>
      </c>
      <c r="F606" s="19">
        <f>11080/80</f>
        <v>138.5</v>
      </c>
      <c r="G606" s="16" t="s">
        <v>979</v>
      </c>
      <c r="H606" s="33"/>
      <c r="I606" s="22" t="s">
        <v>99</v>
      </c>
      <c r="J606" s="34"/>
      <c r="K606" s="35">
        <f>9063/40</f>
        <v>226.575</v>
      </c>
      <c r="L606" s="24">
        <v>500.0</v>
      </c>
      <c r="M606" s="25"/>
      <c r="N606" s="39"/>
      <c r="O606" s="27">
        <f t="shared" si="68"/>
        <v>1.206774799</v>
      </c>
      <c r="P606" s="28">
        <f t="shared" si="71"/>
        <v>31380.6375</v>
      </c>
    </row>
    <row r="607" hidden="1">
      <c r="A607" s="59" t="s">
        <v>980</v>
      </c>
      <c r="B607" s="134"/>
      <c r="C607" s="18"/>
      <c r="D607" s="98"/>
      <c r="E607" s="19">
        <v>0.0</v>
      </c>
      <c r="F607" s="19"/>
      <c r="G607" s="20" t="s">
        <v>485</v>
      </c>
      <c r="H607" s="21">
        <v>0.0</v>
      </c>
      <c r="I607" s="22"/>
      <c r="J607" s="173"/>
      <c r="K607" s="174">
        <v>60000.0</v>
      </c>
      <c r="L607" s="175">
        <v>95000.0</v>
      </c>
      <c r="M607" s="25"/>
      <c r="N607" s="39"/>
      <c r="O607" s="27">
        <f t="shared" si="68"/>
        <v>0.5833333333</v>
      </c>
      <c r="P607" s="28">
        <f t="shared" si="71"/>
        <v>0</v>
      </c>
    </row>
    <row r="608" hidden="1">
      <c r="A608" s="149" t="s">
        <v>981</v>
      </c>
      <c r="B608" s="71"/>
      <c r="C608" s="18"/>
      <c r="D608" s="4"/>
      <c r="E608" s="19">
        <v>0.0</v>
      </c>
      <c r="F608" s="19"/>
      <c r="G608" s="16" t="s">
        <v>982</v>
      </c>
      <c r="H608" s="21"/>
      <c r="I608" s="22"/>
      <c r="J608" s="29"/>
      <c r="K608" s="43">
        <v>750.0</v>
      </c>
      <c r="L608" s="44">
        <v>1500.0</v>
      </c>
      <c r="M608" s="25"/>
      <c r="N608" s="39"/>
      <c r="O608" s="27">
        <f t="shared" si="68"/>
        <v>1</v>
      </c>
      <c r="P608" s="28">
        <f t="shared" si="71"/>
        <v>0</v>
      </c>
    </row>
    <row r="609" hidden="1">
      <c r="A609" s="16" t="s">
        <v>983</v>
      </c>
      <c r="B609" s="17" t="s">
        <v>984</v>
      </c>
      <c r="C609" s="18" t="s">
        <v>985</v>
      </c>
      <c r="D609" s="4"/>
      <c r="E609" s="19"/>
      <c r="F609" s="19"/>
      <c r="G609" s="16" t="s">
        <v>986</v>
      </c>
      <c r="H609" s="21"/>
      <c r="I609" s="22"/>
      <c r="J609" s="29"/>
      <c r="K609" s="48">
        <v>199000.0</v>
      </c>
      <c r="L609" s="55">
        <v>280000.0</v>
      </c>
      <c r="M609" s="25" t="s">
        <v>76</v>
      </c>
      <c r="N609" s="39"/>
      <c r="O609" s="27">
        <f t="shared" si="68"/>
        <v>0.4070351759</v>
      </c>
      <c r="P609" s="28">
        <f t="shared" si="71"/>
        <v>0</v>
      </c>
    </row>
    <row r="610" hidden="1">
      <c r="A610" s="16" t="s">
        <v>987</v>
      </c>
      <c r="B610" s="17" t="s">
        <v>984</v>
      </c>
      <c r="C610" s="18" t="s">
        <v>985</v>
      </c>
      <c r="D610" s="4"/>
      <c r="E610" s="19"/>
      <c r="F610" s="19"/>
      <c r="G610" s="16" t="s">
        <v>986</v>
      </c>
      <c r="H610" s="21"/>
      <c r="I610" s="22"/>
      <c r="J610" s="29"/>
      <c r="K610" s="48">
        <v>199000.0</v>
      </c>
      <c r="L610" s="55">
        <v>280000.0</v>
      </c>
      <c r="M610" s="25"/>
      <c r="N610" s="39"/>
      <c r="O610" s="27">
        <f t="shared" si="68"/>
        <v>0.4070351759</v>
      </c>
      <c r="P610" s="28">
        <f t="shared" si="71"/>
        <v>0</v>
      </c>
    </row>
    <row r="611" hidden="1">
      <c r="A611" s="16" t="s">
        <v>988</v>
      </c>
      <c r="B611" s="36"/>
      <c r="C611" s="18"/>
      <c r="D611" s="4"/>
      <c r="E611" s="19">
        <v>0.0</v>
      </c>
      <c r="F611" s="19">
        <v>0.0</v>
      </c>
      <c r="G611" s="16" t="s">
        <v>989</v>
      </c>
      <c r="H611" s="21"/>
      <c r="I611" s="22">
        <v>0.0</v>
      </c>
      <c r="J611" s="29"/>
      <c r="K611" s="32">
        <v>225000.0</v>
      </c>
      <c r="L611" s="24">
        <v>280000.0</v>
      </c>
      <c r="M611" s="25"/>
      <c r="N611" s="39"/>
      <c r="O611" s="27">
        <f t="shared" si="68"/>
        <v>0.2444444444</v>
      </c>
      <c r="P611" s="28">
        <f t="shared" si="71"/>
        <v>0</v>
      </c>
    </row>
    <row r="612" hidden="1">
      <c r="A612" s="16" t="s">
        <v>990</v>
      </c>
      <c r="B612" s="49"/>
      <c r="C612" s="18"/>
      <c r="D612" s="4"/>
      <c r="E612" s="19">
        <v>0.0</v>
      </c>
      <c r="F612" s="19">
        <v>0.0</v>
      </c>
      <c r="G612" s="16" t="s">
        <v>643</v>
      </c>
      <c r="H612" s="21"/>
      <c r="I612" s="22">
        <v>4.0</v>
      </c>
      <c r="J612" s="29"/>
      <c r="K612" s="32">
        <f>82000/4</f>
        <v>20500</v>
      </c>
      <c r="L612" s="24">
        <v>25000.0</v>
      </c>
      <c r="M612" s="25"/>
      <c r="N612" s="39"/>
      <c r="O612" s="27">
        <f t="shared" si="68"/>
        <v>0.2195121951</v>
      </c>
      <c r="P612" s="28">
        <f t="shared" si="71"/>
        <v>0</v>
      </c>
    </row>
    <row r="613" hidden="1">
      <c r="A613" s="16" t="s">
        <v>991</v>
      </c>
      <c r="B613" s="49"/>
      <c r="C613" s="18"/>
      <c r="D613" s="4"/>
      <c r="E613" s="19"/>
      <c r="F613" s="19"/>
      <c r="G613" s="16" t="s">
        <v>375</v>
      </c>
      <c r="H613" s="21">
        <v>0.0</v>
      </c>
      <c r="I613" s="22">
        <v>0.0</v>
      </c>
      <c r="J613" s="23"/>
      <c r="K613" s="24">
        <f>55500*1.19</f>
        <v>66045</v>
      </c>
      <c r="L613" s="24">
        <v>82000.0</v>
      </c>
      <c r="M613" s="25">
        <v>1.19</v>
      </c>
      <c r="N613" s="102">
        <v>74000.0</v>
      </c>
      <c r="O613" s="27">
        <f t="shared" si="68"/>
        <v>0.2415777122</v>
      </c>
      <c r="P613" s="28">
        <f t="shared" si="71"/>
        <v>0</v>
      </c>
    </row>
    <row r="614" hidden="1">
      <c r="A614" s="16" t="s">
        <v>992</v>
      </c>
      <c r="B614" s="178"/>
      <c r="C614" s="18"/>
      <c r="D614" s="4"/>
      <c r="E614" s="19">
        <v>0.0</v>
      </c>
      <c r="F614" s="19">
        <v>0.0</v>
      </c>
      <c r="G614" s="16" t="s">
        <v>400</v>
      </c>
      <c r="H614" s="21"/>
      <c r="I614" s="22">
        <v>3.0</v>
      </c>
      <c r="J614" s="29"/>
      <c r="K614" s="48">
        <v>138000.0</v>
      </c>
      <c r="L614" s="55">
        <v>370000.0</v>
      </c>
      <c r="M614" s="25"/>
      <c r="N614" s="39"/>
      <c r="O614" s="27"/>
      <c r="P614" s="28"/>
    </row>
    <row r="615" hidden="1">
      <c r="A615" s="16" t="s">
        <v>993</v>
      </c>
      <c r="B615" s="17"/>
      <c r="C615" s="18"/>
      <c r="D615" s="4"/>
      <c r="E615" s="19">
        <v>0.0</v>
      </c>
      <c r="F615" s="19"/>
      <c r="G615" s="16" t="s">
        <v>767</v>
      </c>
      <c r="H615" s="21"/>
      <c r="I615" s="22"/>
      <c r="J615" s="29"/>
      <c r="K615" s="43">
        <v>298000.0</v>
      </c>
      <c r="L615" s="44">
        <v>380000.0</v>
      </c>
      <c r="M615" s="25"/>
      <c r="N615" s="39"/>
      <c r="O615" s="27">
        <f t="shared" ref="O615:O653" si="75">(L615/K615)-1</f>
        <v>0.2751677852</v>
      </c>
      <c r="P615" s="28">
        <f t="shared" ref="P615:P653" si="76">K615*F615</f>
        <v>0</v>
      </c>
    </row>
    <row r="616" hidden="1">
      <c r="A616" s="16" t="s">
        <v>994</v>
      </c>
      <c r="B616" s="97" t="s">
        <v>995</v>
      </c>
      <c r="C616" s="18"/>
      <c r="D616" s="98"/>
      <c r="E616" s="19">
        <v>0.0</v>
      </c>
      <c r="F616" s="19"/>
      <c r="G616" s="20" t="s">
        <v>485</v>
      </c>
      <c r="H616" s="21">
        <v>14.0</v>
      </c>
      <c r="I616" s="22"/>
      <c r="J616" s="100"/>
      <c r="K616" s="165">
        <f>55092*1.19</f>
        <v>65559.48</v>
      </c>
      <c r="L616" s="24">
        <v>105000.0</v>
      </c>
      <c r="M616" s="25"/>
      <c r="N616" s="39"/>
      <c r="O616" s="27">
        <f t="shared" si="75"/>
        <v>0.6015990365</v>
      </c>
      <c r="P616" s="28">
        <f t="shared" si="76"/>
        <v>0</v>
      </c>
    </row>
    <row r="617" hidden="1">
      <c r="A617" s="16" t="s">
        <v>996</v>
      </c>
      <c r="B617" s="17" t="s">
        <v>997</v>
      </c>
      <c r="C617" s="18"/>
      <c r="D617" s="4" t="s">
        <v>998</v>
      </c>
      <c r="E617" s="19">
        <v>0.0</v>
      </c>
      <c r="F617" s="19">
        <v>5.0</v>
      </c>
      <c r="G617" s="20" t="s">
        <v>999</v>
      </c>
      <c r="H617" s="21"/>
      <c r="I617" s="22">
        <v>0.0</v>
      </c>
      <c r="J617" s="29"/>
      <c r="K617" s="32">
        <f>47601*1.19</f>
        <v>56645.19</v>
      </c>
      <c r="L617" s="24">
        <v>75000.0</v>
      </c>
      <c r="M617" s="25"/>
      <c r="N617" s="102">
        <v>62000.0</v>
      </c>
      <c r="O617" s="27">
        <f t="shared" si="75"/>
        <v>0.3240312196</v>
      </c>
      <c r="P617" s="28">
        <f t="shared" si="76"/>
        <v>283225.95</v>
      </c>
    </row>
    <row r="618" hidden="1">
      <c r="A618" s="16" t="s">
        <v>1000</v>
      </c>
      <c r="B618" s="17"/>
      <c r="C618" s="18"/>
      <c r="D618" s="19"/>
      <c r="E618" s="19">
        <v>0.0</v>
      </c>
      <c r="F618" s="19">
        <v>0.0</v>
      </c>
      <c r="G618" s="120" t="s">
        <v>1001</v>
      </c>
      <c r="H618" s="21"/>
      <c r="I618" s="22"/>
      <c r="J618" s="29"/>
      <c r="K618" s="48">
        <f>44880*1.19</f>
        <v>53407.2</v>
      </c>
      <c r="L618" s="48">
        <v>75000.0</v>
      </c>
      <c r="M618" s="25"/>
      <c r="N618" s="26">
        <v>62000.0</v>
      </c>
      <c r="O618" s="27">
        <f t="shared" si="75"/>
        <v>0.4043050375</v>
      </c>
      <c r="P618" s="28">
        <f t="shared" si="76"/>
        <v>0</v>
      </c>
    </row>
    <row r="619" hidden="1">
      <c r="A619" s="56" t="s">
        <v>1002</v>
      </c>
      <c r="B619" s="17"/>
      <c r="C619" s="18"/>
      <c r="D619" s="4"/>
      <c r="E619" s="19">
        <v>0.0</v>
      </c>
      <c r="F619" s="19">
        <v>0.0</v>
      </c>
      <c r="G619" s="16" t="s">
        <v>16</v>
      </c>
      <c r="H619" s="99"/>
      <c r="I619" s="22"/>
      <c r="J619" s="173"/>
      <c r="K619" s="179">
        <v>74341.0</v>
      </c>
      <c r="L619" s="24">
        <v>160000.0</v>
      </c>
      <c r="M619" s="25"/>
      <c r="N619" s="102">
        <v>145000.0</v>
      </c>
      <c r="O619" s="27">
        <f t="shared" si="75"/>
        <v>1.152244387</v>
      </c>
      <c r="P619" s="28">
        <f t="shared" si="76"/>
        <v>0</v>
      </c>
    </row>
    <row r="620" hidden="1">
      <c r="A620" s="56" t="s">
        <v>1003</v>
      </c>
      <c r="B620" s="51"/>
      <c r="C620" s="18" t="s">
        <v>55</v>
      </c>
      <c r="D620" s="4" t="s">
        <v>968</v>
      </c>
      <c r="E620" s="19">
        <v>0.0</v>
      </c>
      <c r="F620" s="19"/>
      <c r="G620" s="20" t="s">
        <v>610</v>
      </c>
      <c r="H620" s="99"/>
      <c r="I620" s="22"/>
      <c r="J620" s="173"/>
      <c r="K620" s="174">
        <v>105000.0</v>
      </c>
      <c r="L620" s="44">
        <v>120000.0</v>
      </c>
      <c r="M620" s="25"/>
      <c r="N620" s="31"/>
      <c r="O620" s="27">
        <f t="shared" si="75"/>
        <v>0.1428571429</v>
      </c>
      <c r="P620" s="28">
        <f t="shared" si="76"/>
        <v>0</v>
      </c>
    </row>
    <row r="621" hidden="1">
      <c r="A621" s="52" t="s">
        <v>1004</v>
      </c>
      <c r="B621" s="17"/>
      <c r="C621" s="18"/>
      <c r="D621" s="4"/>
      <c r="E621" s="19">
        <v>0.0</v>
      </c>
      <c r="F621" s="19">
        <v>0.0</v>
      </c>
      <c r="G621" s="20" t="s">
        <v>1005</v>
      </c>
      <c r="H621" s="21"/>
      <c r="I621" s="22">
        <v>0.0</v>
      </c>
      <c r="J621" s="29"/>
      <c r="K621" s="43">
        <v>10000.0</v>
      </c>
      <c r="L621" s="44">
        <v>18000.0</v>
      </c>
      <c r="M621" s="25"/>
      <c r="N621" s="39"/>
      <c r="O621" s="27">
        <f t="shared" si="75"/>
        <v>0.8</v>
      </c>
      <c r="P621" s="28">
        <f t="shared" si="76"/>
        <v>0</v>
      </c>
    </row>
    <row r="622" hidden="1">
      <c r="A622" s="59" t="s">
        <v>1006</v>
      </c>
      <c r="B622" s="121"/>
      <c r="C622" s="18"/>
      <c r="D622" s="4"/>
      <c r="E622" s="19">
        <v>0.0</v>
      </c>
      <c r="F622" s="19">
        <v>0.0</v>
      </c>
      <c r="G622" s="16" t="s">
        <v>16</v>
      </c>
      <c r="H622" s="21"/>
      <c r="I622" s="22" t="s">
        <v>1007</v>
      </c>
      <c r="J622" s="29"/>
      <c r="K622" s="32">
        <v>15449.0</v>
      </c>
      <c r="L622" s="24">
        <v>60000.0</v>
      </c>
      <c r="M622" s="25"/>
      <c r="N622" s="39"/>
      <c r="O622" s="27">
        <f t="shared" si="75"/>
        <v>2.883746521</v>
      </c>
      <c r="P622" s="28">
        <f t="shared" si="76"/>
        <v>0</v>
      </c>
    </row>
    <row r="623" hidden="1">
      <c r="A623" s="59" t="s">
        <v>1008</v>
      </c>
      <c r="B623" s="121"/>
      <c r="C623" s="18"/>
      <c r="D623" s="4"/>
      <c r="E623" s="19">
        <v>0.0</v>
      </c>
      <c r="F623" s="19">
        <v>0.0</v>
      </c>
      <c r="G623" s="16" t="s">
        <v>16</v>
      </c>
      <c r="H623" s="33"/>
      <c r="I623" s="22"/>
      <c r="J623" s="170"/>
      <c r="K623" s="127">
        <v>73566.0</v>
      </c>
      <c r="L623" s="55">
        <v>145000.0</v>
      </c>
      <c r="M623" s="25"/>
      <c r="N623" s="39"/>
      <c r="O623" s="27">
        <f t="shared" si="75"/>
        <v>0.9710192208</v>
      </c>
      <c r="P623" s="28">
        <f t="shared" si="76"/>
        <v>0</v>
      </c>
    </row>
    <row r="624" hidden="1">
      <c r="A624" s="52" t="s">
        <v>1009</v>
      </c>
      <c r="B624" s="17"/>
      <c r="C624" s="18"/>
      <c r="D624" s="4"/>
      <c r="E624" s="19">
        <v>0.0</v>
      </c>
      <c r="F624" s="19"/>
      <c r="G624" s="16" t="s">
        <v>1010</v>
      </c>
      <c r="H624" s="21"/>
      <c r="I624" s="22"/>
      <c r="J624" s="29"/>
      <c r="K624" s="43">
        <v>20200.0</v>
      </c>
      <c r="L624" s="44">
        <v>32000.0</v>
      </c>
      <c r="M624" s="25"/>
      <c r="N624" s="39"/>
      <c r="O624" s="27">
        <f t="shared" si="75"/>
        <v>0.5841584158</v>
      </c>
      <c r="P624" s="28">
        <f t="shared" si="76"/>
        <v>0</v>
      </c>
    </row>
    <row r="625" hidden="1">
      <c r="A625" s="16" t="s">
        <v>1011</v>
      </c>
      <c r="B625" s="17"/>
      <c r="C625" s="18"/>
      <c r="D625" s="4"/>
      <c r="E625" s="19">
        <v>0.0</v>
      </c>
      <c r="F625" s="19"/>
      <c r="G625" s="16" t="s">
        <v>1012</v>
      </c>
      <c r="H625" s="21"/>
      <c r="I625" s="22"/>
      <c r="J625" s="29"/>
      <c r="K625" s="43">
        <v>4499.0</v>
      </c>
      <c r="L625" s="44">
        <v>12000.0</v>
      </c>
      <c r="M625" s="25"/>
      <c r="N625" s="39"/>
      <c r="O625" s="27">
        <f t="shared" si="75"/>
        <v>1.667259391</v>
      </c>
      <c r="P625" s="28">
        <f t="shared" si="76"/>
        <v>0</v>
      </c>
    </row>
    <row r="626" hidden="1">
      <c r="A626" s="16" t="s">
        <v>1013</v>
      </c>
      <c r="B626" s="180"/>
      <c r="C626" s="18"/>
      <c r="D626" s="4"/>
      <c r="E626" s="19">
        <v>0.0</v>
      </c>
      <c r="F626" s="19"/>
      <c r="G626" s="16" t="s">
        <v>1012</v>
      </c>
      <c r="H626" s="21"/>
      <c r="I626" s="22"/>
      <c r="J626" s="29"/>
      <c r="K626" s="43">
        <v>4499.0</v>
      </c>
      <c r="L626" s="44">
        <v>12000.0</v>
      </c>
      <c r="M626" s="25"/>
      <c r="N626" s="39"/>
      <c r="O626" s="27">
        <f t="shared" si="75"/>
        <v>1.667259391</v>
      </c>
      <c r="P626" s="28">
        <f t="shared" si="76"/>
        <v>0</v>
      </c>
    </row>
    <row r="627" hidden="1">
      <c r="A627" s="16" t="s">
        <v>1014</v>
      </c>
      <c r="B627" s="36"/>
      <c r="C627" s="18"/>
      <c r="D627" s="4"/>
      <c r="E627" s="19">
        <v>0.0</v>
      </c>
      <c r="F627" s="19"/>
      <c r="G627" s="16" t="s">
        <v>1015</v>
      </c>
      <c r="H627" s="21"/>
      <c r="I627" s="22"/>
      <c r="J627" s="29"/>
      <c r="K627" s="43">
        <v>4499.0</v>
      </c>
      <c r="L627" s="44">
        <v>12000.0</v>
      </c>
      <c r="M627" s="25"/>
      <c r="N627" s="39"/>
      <c r="O627" s="27">
        <f t="shared" si="75"/>
        <v>1.667259391</v>
      </c>
      <c r="P627" s="28">
        <f t="shared" si="76"/>
        <v>0</v>
      </c>
    </row>
    <row r="628" hidden="1">
      <c r="A628" s="16" t="s">
        <v>1016</v>
      </c>
      <c r="B628" s="17"/>
      <c r="C628" s="18"/>
      <c r="D628" s="4"/>
      <c r="E628" s="19">
        <v>0.0</v>
      </c>
      <c r="F628" s="19">
        <v>0.0</v>
      </c>
      <c r="G628" s="16" t="s">
        <v>588</v>
      </c>
      <c r="H628" s="21"/>
      <c r="I628" s="22">
        <v>80.0</v>
      </c>
      <c r="J628" s="29"/>
      <c r="K628" s="32">
        <f>122*25</f>
        <v>3050</v>
      </c>
      <c r="L628" s="24">
        <v>5000.0</v>
      </c>
      <c r="M628" s="25"/>
      <c r="N628" s="39"/>
      <c r="O628" s="27">
        <f t="shared" si="75"/>
        <v>0.6393442623</v>
      </c>
      <c r="P628" s="28">
        <f t="shared" si="76"/>
        <v>0</v>
      </c>
    </row>
    <row r="629" hidden="1">
      <c r="A629" s="16" t="s">
        <v>1017</v>
      </c>
      <c r="B629" s="36"/>
      <c r="C629" s="18"/>
      <c r="D629" s="4"/>
      <c r="E629" s="19">
        <v>0.0</v>
      </c>
      <c r="F629" s="19">
        <v>0.0</v>
      </c>
      <c r="G629" s="16" t="s">
        <v>93</v>
      </c>
      <c r="H629" s="21"/>
      <c r="I629" s="22">
        <v>0.0</v>
      </c>
      <c r="J629" s="29"/>
      <c r="K629" s="43">
        <v>11400.0</v>
      </c>
      <c r="L629" s="44">
        <v>17000.0</v>
      </c>
      <c r="M629" s="25"/>
      <c r="N629" s="39"/>
      <c r="O629" s="27">
        <f t="shared" si="75"/>
        <v>0.4912280702</v>
      </c>
      <c r="P629" s="28">
        <f t="shared" si="76"/>
        <v>0</v>
      </c>
    </row>
    <row r="630" hidden="1">
      <c r="A630" s="16" t="s">
        <v>1018</v>
      </c>
      <c r="B630" s="178"/>
      <c r="C630" s="18"/>
      <c r="D630" s="4"/>
      <c r="E630" s="19">
        <v>0.0</v>
      </c>
      <c r="F630" s="19">
        <v>0.0</v>
      </c>
      <c r="G630" s="40" t="s">
        <v>93</v>
      </c>
      <c r="H630" s="21"/>
      <c r="I630" s="22">
        <v>0.0</v>
      </c>
      <c r="J630" s="29"/>
      <c r="K630" s="43">
        <v>50300.0</v>
      </c>
      <c r="L630" s="44">
        <v>65000.0</v>
      </c>
      <c r="M630" s="25" t="s">
        <v>82</v>
      </c>
      <c r="N630" s="39"/>
      <c r="O630" s="27">
        <f t="shared" si="75"/>
        <v>0.2922465209</v>
      </c>
      <c r="P630" s="28">
        <f t="shared" si="76"/>
        <v>0</v>
      </c>
    </row>
    <row r="631" hidden="1">
      <c r="A631" s="16" t="s">
        <v>1019</v>
      </c>
      <c r="B631" s="17"/>
      <c r="C631" s="18" t="s">
        <v>1020</v>
      </c>
      <c r="D631" s="4"/>
      <c r="E631" s="19">
        <v>0.0</v>
      </c>
      <c r="F631" s="19"/>
      <c r="G631" s="20" t="s">
        <v>610</v>
      </c>
      <c r="H631" s="21"/>
      <c r="I631" s="22"/>
      <c r="J631" s="29"/>
      <c r="K631" s="32">
        <f t="shared" ref="K631:K633" si="77">50420*1.19/4</f>
        <v>14999.95</v>
      </c>
      <c r="L631" s="24">
        <v>22000.0</v>
      </c>
      <c r="M631" s="25"/>
      <c r="N631" s="39"/>
      <c r="O631" s="27">
        <f t="shared" si="75"/>
        <v>0.4666715556</v>
      </c>
      <c r="P631" s="28">
        <f t="shared" si="76"/>
        <v>0</v>
      </c>
    </row>
    <row r="632" hidden="1">
      <c r="A632" s="16" t="s">
        <v>1021</v>
      </c>
      <c r="B632" s="36"/>
      <c r="C632" s="18" t="s">
        <v>1020</v>
      </c>
      <c r="D632" s="4"/>
      <c r="E632" s="19">
        <v>0.0</v>
      </c>
      <c r="F632" s="19"/>
      <c r="G632" s="20" t="s">
        <v>610</v>
      </c>
      <c r="H632" s="21"/>
      <c r="I632" s="22"/>
      <c r="J632" s="29"/>
      <c r="K632" s="32">
        <f t="shared" si="77"/>
        <v>14999.95</v>
      </c>
      <c r="L632" s="24">
        <v>22000.0</v>
      </c>
      <c r="M632" s="25"/>
      <c r="N632" s="39"/>
      <c r="O632" s="27">
        <f t="shared" si="75"/>
        <v>0.4666715556</v>
      </c>
      <c r="P632" s="28">
        <f t="shared" si="76"/>
        <v>0</v>
      </c>
    </row>
    <row r="633" hidden="1">
      <c r="A633" s="16" t="s">
        <v>1022</v>
      </c>
      <c r="B633" s="49"/>
      <c r="C633" s="18"/>
      <c r="D633" s="4"/>
      <c r="E633" s="19">
        <v>0.0</v>
      </c>
      <c r="F633" s="19"/>
      <c r="G633" s="20" t="s">
        <v>610</v>
      </c>
      <c r="H633" s="21"/>
      <c r="I633" s="22"/>
      <c r="J633" s="29"/>
      <c r="K633" s="32">
        <f t="shared" si="77"/>
        <v>14999.95</v>
      </c>
      <c r="L633" s="24">
        <v>22000.0</v>
      </c>
      <c r="M633" s="25"/>
      <c r="N633" s="39"/>
      <c r="O633" s="27">
        <f t="shared" si="75"/>
        <v>0.4666715556</v>
      </c>
      <c r="P633" s="28">
        <f t="shared" si="76"/>
        <v>0</v>
      </c>
    </row>
    <row r="634" hidden="1">
      <c r="A634" s="40" t="s">
        <v>1023</v>
      </c>
      <c r="B634" s="17"/>
      <c r="C634" s="18"/>
      <c r="D634" s="4"/>
      <c r="E634" s="19">
        <v>0.0</v>
      </c>
      <c r="F634" s="19"/>
      <c r="G634" s="20" t="s">
        <v>57</v>
      </c>
      <c r="H634" s="21"/>
      <c r="I634" s="22"/>
      <c r="J634" s="29"/>
      <c r="K634" s="43">
        <v>2600.0</v>
      </c>
      <c r="L634" s="44">
        <v>4000.0</v>
      </c>
      <c r="M634" s="25"/>
      <c r="N634" s="39"/>
      <c r="O634" s="27">
        <f t="shared" si="75"/>
        <v>0.5384615385</v>
      </c>
      <c r="P634" s="28">
        <f t="shared" si="76"/>
        <v>0</v>
      </c>
    </row>
    <row r="635" hidden="1">
      <c r="A635" s="59" t="s">
        <v>1024</v>
      </c>
      <c r="B635" s="134"/>
      <c r="C635" s="18"/>
      <c r="D635" s="4"/>
      <c r="E635" s="19">
        <v>0.0</v>
      </c>
      <c r="F635" s="19">
        <v>0.0</v>
      </c>
      <c r="G635" s="20" t="s">
        <v>26</v>
      </c>
      <c r="H635" s="21"/>
      <c r="I635" s="22">
        <v>100.0</v>
      </c>
      <c r="J635" s="29"/>
      <c r="K635" s="32">
        <v>1900.0</v>
      </c>
      <c r="L635" s="24">
        <v>4000.0</v>
      </c>
      <c r="M635" s="25"/>
      <c r="N635" s="39"/>
      <c r="O635" s="27">
        <f t="shared" si="75"/>
        <v>1.105263158</v>
      </c>
      <c r="P635" s="28">
        <f t="shared" si="76"/>
        <v>0</v>
      </c>
    </row>
    <row r="636" hidden="1">
      <c r="A636" s="122" t="s">
        <v>1025</v>
      </c>
      <c r="B636" s="17"/>
      <c r="C636" s="18"/>
      <c r="D636" s="4"/>
      <c r="E636" s="19">
        <v>0.0</v>
      </c>
      <c r="F636" s="19">
        <v>0.0</v>
      </c>
      <c r="G636" s="16" t="s">
        <v>425</v>
      </c>
      <c r="H636" s="73"/>
      <c r="I636" s="22">
        <v>0.0</v>
      </c>
      <c r="J636" s="74"/>
      <c r="K636" s="75">
        <v>250000.0</v>
      </c>
      <c r="L636" s="44">
        <f t="shared" ref="L636:L638" si="78">K636*1.5</f>
        <v>375000</v>
      </c>
      <c r="M636" s="25"/>
      <c r="N636" s="39"/>
      <c r="O636" s="27">
        <f t="shared" si="75"/>
        <v>0.5</v>
      </c>
      <c r="P636" s="28">
        <f t="shared" si="76"/>
        <v>0</v>
      </c>
    </row>
    <row r="637" hidden="1">
      <c r="A637" s="122" t="s">
        <v>1026</v>
      </c>
      <c r="B637" s="17"/>
      <c r="C637" s="18"/>
      <c r="D637" s="4"/>
      <c r="E637" s="19">
        <v>0.0</v>
      </c>
      <c r="F637" s="19">
        <v>0.0</v>
      </c>
      <c r="G637" s="16" t="s">
        <v>425</v>
      </c>
      <c r="H637" s="73"/>
      <c r="I637" s="22">
        <v>0.0</v>
      </c>
      <c r="J637" s="74"/>
      <c r="K637" s="75">
        <v>41000.0</v>
      </c>
      <c r="L637" s="44">
        <f t="shared" si="78"/>
        <v>61500</v>
      </c>
      <c r="M637" s="25"/>
      <c r="N637" s="39"/>
      <c r="O637" s="27">
        <f t="shared" si="75"/>
        <v>0.5</v>
      </c>
      <c r="P637" s="28">
        <f t="shared" si="76"/>
        <v>0</v>
      </c>
    </row>
    <row r="638" hidden="1">
      <c r="A638" s="122" t="s">
        <v>1027</v>
      </c>
      <c r="B638" s="17"/>
      <c r="C638" s="18"/>
      <c r="D638" s="4"/>
      <c r="E638" s="19">
        <v>0.0</v>
      </c>
      <c r="F638" s="19">
        <v>0.0</v>
      </c>
      <c r="G638" s="16" t="s">
        <v>425</v>
      </c>
      <c r="H638" s="73"/>
      <c r="I638" s="22">
        <v>0.0</v>
      </c>
      <c r="J638" s="74"/>
      <c r="K638" s="75">
        <v>62000.0</v>
      </c>
      <c r="L638" s="44">
        <f t="shared" si="78"/>
        <v>93000</v>
      </c>
      <c r="M638" s="25"/>
      <c r="N638" s="39"/>
      <c r="O638" s="27">
        <f t="shared" si="75"/>
        <v>0.5</v>
      </c>
      <c r="P638" s="28">
        <f t="shared" si="76"/>
        <v>0</v>
      </c>
    </row>
    <row r="639" hidden="1">
      <c r="A639" s="16" t="s">
        <v>1028</v>
      </c>
      <c r="B639" s="36"/>
      <c r="C639" s="18"/>
      <c r="D639" s="4"/>
      <c r="E639" s="19">
        <v>0.0</v>
      </c>
      <c r="F639" s="19"/>
      <c r="G639" s="16" t="s">
        <v>39</v>
      </c>
      <c r="H639" s="21"/>
      <c r="I639" s="22"/>
      <c r="J639" s="29"/>
      <c r="K639" s="32">
        <v>2300.0</v>
      </c>
      <c r="L639" s="24">
        <v>6000.0</v>
      </c>
      <c r="M639" s="25"/>
      <c r="N639" s="39"/>
      <c r="O639" s="27">
        <f t="shared" si="75"/>
        <v>1.608695652</v>
      </c>
      <c r="P639" s="28">
        <f t="shared" si="76"/>
        <v>0</v>
      </c>
    </row>
    <row r="640" hidden="1">
      <c r="A640" s="16" t="s">
        <v>1029</v>
      </c>
      <c r="B640" s="36"/>
      <c r="C640" s="18"/>
      <c r="D640" s="4"/>
      <c r="E640" s="19">
        <v>0.0</v>
      </c>
      <c r="F640" s="19"/>
      <c r="G640" s="16" t="s">
        <v>39</v>
      </c>
      <c r="H640" s="21"/>
      <c r="I640" s="22"/>
      <c r="J640" s="29"/>
      <c r="K640" s="43">
        <v>1986.0</v>
      </c>
      <c r="L640" s="44">
        <v>5500.0</v>
      </c>
      <c r="M640" s="25"/>
      <c r="N640" s="39"/>
      <c r="O640" s="27">
        <f t="shared" si="75"/>
        <v>1.7693857</v>
      </c>
      <c r="P640" s="28">
        <f t="shared" si="76"/>
        <v>0</v>
      </c>
    </row>
    <row r="641" hidden="1">
      <c r="A641" s="16" t="s">
        <v>1030</v>
      </c>
      <c r="B641" s="17"/>
      <c r="C641" s="18"/>
      <c r="D641" s="4"/>
      <c r="E641" s="19">
        <v>0.0</v>
      </c>
      <c r="F641" s="19">
        <v>0.0</v>
      </c>
      <c r="G641" s="16" t="s">
        <v>1031</v>
      </c>
      <c r="H641" s="21"/>
      <c r="I641" s="22">
        <v>134.0</v>
      </c>
      <c r="J641" s="29"/>
      <c r="K641" s="43">
        <v>1200.0</v>
      </c>
      <c r="L641" s="44">
        <v>2000.0</v>
      </c>
      <c r="M641" s="25"/>
      <c r="N641" s="39"/>
      <c r="O641" s="27">
        <f t="shared" si="75"/>
        <v>0.6666666667</v>
      </c>
      <c r="P641" s="28">
        <f t="shared" si="76"/>
        <v>0</v>
      </c>
    </row>
    <row r="642" hidden="1">
      <c r="A642" s="52" t="s">
        <v>1032</v>
      </c>
      <c r="B642" s="17" t="s">
        <v>1033</v>
      </c>
      <c r="C642" s="18"/>
      <c r="D642" s="4"/>
      <c r="E642" s="19"/>
      <c r="F642" s="19">
        <v>0.0</v>
      </c>
      <c r="G642" s="16" t="s">
        <v>1034</v>
      </c>
      <c r="H642" s="21">
        <v>0.0</v>
      </c>
      <c r="I642" s="22"/>
      <c r="J642" s="100"/>
      <c r="K642" s="101">
        <v>1131.0</v>
      </c>
      <c r="L642" s="101">
        <v>2000.0</v>
      </c>
      <c r="M642" s="25"/>
      <c r="N642" s="39"/>
      <c r="O642" s="27">
        <f t="shared" si="75"/>
        <v>0.7683465959</v>
      </c>
      <c r="P642" s="28">
        <f t="shared" si="76"/>
        <v>0</v>
      </c>
    </row>
    <row r="643" hidden="1">
      <c r="A643" s="16" t="s">
        <v>1035</v>
      </c>
      <c r="B643" s="97" t="s">
        <v>1036</v>
      </c>
      <c r="C643" s="18"/>
      <c r="D643" s="98"/>
      <c r="E643" s="19">
        <v>1.0</v>
      </c>
      <c r="F643" s="19"/>
      <c r="G643" s="20" t="s">
        <v>485</v>
      </c>
      <c r="H643" s="21">
        <v>2.0</v>
      </c>
      <c r="I643" s="22"/>
      <c r="J643" s="100"/>
      <c r="K643" s="101">
        <f t="shared" ref="K643:K653" si="79">74900*1.19</f>
        <v>89131</v>
      </c>
      <c r="L643" s="101">
        <v>115000.0</v>
      </c>
      <c r="M643" s="25"/>
      <c r="N643" s="102">
        <v>99000.0</v>
      </c>
      <c r="O643" s="27">
        <f t="shared" si="75"/>
        <v>0.2902357205</v>
      </c>
      <c r="P643" s="28">
        <f t="shared" si="76"/>
        <v>0</v>
      </c>
    </row>
    <row r="644" hidden="1">
      <c r="A644" s="16" t="s">
        <v>1037</v>
      </c>
      <c r="B644" s="97" t="s">
        <v>1038</v>
      </c>
      <c r="C644" s="18"/>
      <c r="D644" s="98"/>
      <c r="E644" s="19">
        <v>1.0</v>
      </c>
      <c r="F644" s="19"/>
      <c r="G644" s="20" t="s">
        <v>485</v>
      </c>
      <c r="H644" s="21">
        <v>2.0</v>
      </c>
      <c r="I644" s="22"/>
      <c r="J644" s="100"/>
      <c r="K644" s="101">
        <f t="shared" si="79"/>
        <v>89131</v>
      </c>
      <c r="L644" s="101">
        <v>115000.0</v>
      </c>
      <c r="M644" s="25"/>
      <c r="N644" s="102">
        <v>99000.0</v>
      </c>
      <c r="O644" s="27">
        <f t="shared" si="75"/>
        <v>0.2902357205</v>
      </c>
      <c r="P644" s="28">
        <f t="shared" si="76"/>
        <v>0</v>
      </c>
    </row>
    <row r="645" hidden="1">
      <c r="A645" s="16" t="s">
        <v>1039</v>
      </c>
      <c r="B645" s="97" t="s">
        <v>1040</v>
      </c>
      <c r="C645" s="18" t="s">
        <v>1041</v>
      </c>
      <c r="D645" s="98"/>
      <c r="E645" s="19">
        <v>1.0</v>
      </c>
      <c r="F645" s="19"/>
      <c r="G645" s="20" t="s">
        <v>485</v>
      </c>
      <c r="H645" s="21">
        <v>2.0</v>
      </c>
      <c r="I645" s="22"/>
      <c r="J645" s="100"/>
      <c r="K645" s="101">
        <f t="shared" si="79"/>
        <v>89131</v>
      </c>
      <c r="L645" s="101">
        <v>115000.0</v>
      </c>
      <c r="M645" s="25"/>
      <c r="N645" s="102">
        <v>99000.0</v>
      </c>
      <c r="O645" s="27">
        <f t="shared" si="75"/>
        <v>0.2902357205</v>
      </c>
      <c r="P645" s="28">
        <f t="shared" si="76"/>
        <v>0</v>
      </c>
    </row>
    <row r="646" hidden="1">
      <c r="A646" s="16" t="s">
        <v>1042</v>
      </c>
      <c r="B646" s="97" t="s">
        <v>1043</v>
      </c>
      <c r="C646" s="18" t="s">
        <v>1044</v>
      </c>
      <c r="D646" s="98"/>
      <c r="E646" s="19">
        <v>3.0</v>
      </c>
      <c r="F646" s="19"/>
      <c r="G646" s="20" t="s">
        <v>485</v>
      </c>
      <c r="H646" s="21">
        <v>0.0</v>
      </c>
      <c r="I646" s="22"/>
      <c r="J646" s="100"/>
      <c r="K646" s="101">
        <f t="shared" si="79"/>
        <v>89131</v>
      </c>
      <c r="L646" s="101">
        <v>115000.0</v>
      </c>
      <c r="M646" s="25"/>
      <c r="N646" s="102">
        <v>99000.0</v>
      </c>
      <c r="O646" s="27">
        <f t="shared" si="75"/>
        <v>0.2902357205</v>
      </c>
      <c r="P646" s="28">
        <f t="shared" si="76"/>
        <v>0</v>
      </c>
    </row>
    <row r="647" hidden="1">
      <c r="A647" s="16" t="s">
        <v>1045</v>
      </c>
      <c r="B647" s="97" t="s">
        <v>1046</v>
      </c>
      <c r="C647" s="18" t="s">
        <v>55</v>
      </c>
      <c r="D647" s="98"/>
      <c r="E647" s="19">
        <v>3.0</v>
      </c>
      <c r="F647" s="19"/>
      <c r="G647" s="20" t="s">
        <v>485</v>
      </c>
      <c r="H647" s="21">
        <v>0.0</v>
      </c>
      <c r="I647" s="22"/>
      <c r="J647" s="100"/>
      <c r="K647" s="101">
        <f t="shared" si="79"/>
        <v>89131</v>
      </c>
      <c r="L647" s="101">
        <v>115000.0</v>
      </c>
      <c r="M647" s="25"/>
      <c r="N647" s="102">
        <v>99000.0</v>
      </c>
      <c r="O647" s="27">
        <f t="shared" si="75"/>
        <v>0.2902357205</v>
      </c>
      <c r="P647" s="28">
        <f t="shared" si="76"/>
        <v>0</v>
      </c>
    </row>
    <row r="648" hidden="1">
      <c r="A648" s="16" t="s">
        <v>1047</v>
      </c>
      <c r="B648" s="142" t="s">
        <v>1048</v>
      </c>
      <c r="C648" s="18"/>
      <c r="D648" s="98"/>
      <c r="E648" s="19">
        <v>0.0</v>
      </c>
      <c r="F648" s="19"/>
      <c r="G648" s="20" t="s">
        <v>1049</v>
      </c>
      <c r="H648" s="21">
        <v>3.0</v>
      </c>
      <c r="I648" s="22"/>
      <c r="J648" s="100"/>
      <c r="K648" s="101">
        <f t="shared" si="79"/>
        <v>89131</v>
      </c>
      <c r="L648" s="101">
        <v>115000.0</v>
      </c>
      <c r="M648" s="25"/>
      <c r="N648" s="102">
        <v>99000.0</v>
      </c>
      <c r="O648" s="27">
        <f t="shared" si="75"/>
        <v>0.2902357205</v>
      </c>
      <c r="P648" s="28">
        <f t="shared" si="76"/>
        <v>0</v>
      </c>
    </row>
    <row r="649" hidden="1">
      <c r="A649" s="16" t="s">
        <v>1050</v>
      </c>
      <c r="B649" s="97" t="s">
        <v>1051</v>
      </c>
      <c r="C649" s="18" t="s">
        <v>55</v>
      </c>
      <c r="D649" s="98"/>
      <c r="E649" s="19">
        <v>3.0</v>
      </c>
      <c r="F649" s="19"/>
      <c r="G649" s="20" t="s">
        <v>485</v>
      </c>
      <c r="H649" s="21">
        <v>0.0</v>
      </c>
      <c r="I649" s="22"/>
      <c r="J649" s="100"/>
      <c r="K649" s="101">
        <f t="shared" si="79"/>
        <v>89131</v>
      </c>
      <c r="L649" s="101">
        <v>115000.0</v>
      </c>
      <c r="M649" s="25"/>
      <c r="N649" s="102">
        <v>99000.0</v>
      </c>
      <c r="O649" s="27">
        <f t="shared" si="75"/>
        <v>0.2902357205</v>
      </c>
      <c r="P649" s="28">
        <f t="shared" si="76"/>
        <v>0</v>
      </c>
    </row>
    <row r="650" hidden="1">
      <c r="A650" s="16" t="s">
        <v>1052</v>
      </c>
      <c r="B650" s="97" t="s">
        <v>1053</v>
      </c>
      <c r="C650" s="18" t="s">
        <v>1041</v>
      </c>
      <c r="D650" s="98"/>
      <c r="E650" s="19">
        <v>3.0</v>
      </c>
      <c r="F650" s="19"/>
      <c r="G650" s="20" t="s">
        <v>485</v>
      </c>
      <c r="H650" s="21">
        <v>0.0</v>
      </c>
      <c r="I650" s="22"/>
      <c r="J650" s="100"/>
      <c r="K650" s="101">
        <f t="shared" si="79"/>
        <v>89131</v>
      </c>
      <c r="L650" s="101">
        <v>115000.0</v>
      </c>
      <c r="M650" s="25"/>
      <c r="N650" s="102">
        <v>99000.0</v>
      </c>
      <c r="O650" s="27">
        <f t="shared" si="75"/>
        <v>0.2902357205</v>
      </c>
      <c r="P650" s="28">
        <f t="shared" si="76"/>
        <v>0</v>
      </c>
    </row>
    <row r="651" hidden="1">
      <c r="A651" s="16" t="s">
        <v>1054</v>
      </c>
      <c r="B651" s="97" t="s">
        <v>1055</v>
      </c>
      <c r="C651" s="18" t="s">
        <v>1044</v>
      </c>
      <c r="D651" s="98"/>
      <c r="E651" s="19">
        <v>2.0</v>
      </c>
      <c r="F651" s="19"/>
      <c r="G651" s="20" t="s">
        <v>485</v>
      </c>
      <c r="H651" s="21">
        <v>1.0</v>
      </c>
      <c r="I651" s="22"/>
      <c r="J651" s="100"/>
      <c r="K651" s="101">
        <f t="shared" si="79"/>
        <v>89131</v>
      </c>
      <c r="L651" s="101">
        <v>115000.0</v>
      </c>
      <c r="M651" s="25"/>
      <c r="N651" s="102">
        <v>99000.0</v>
      </c>
      <c r="O651" s="27">
        <f t="shared" si="75"/>
        <v>0.2902357205</v>
      </c>
      <c r="P651" s="28">
        <f t="shared" si="76"/>
        <v>0</v>
      </c>
    </row>
    <row r="652" hidden="1">
      <c r="A652" s="16" t="s">
        <v>1056</v>
      </c>
      <c r="B652" s="97" t="s">
        <v>1057</v>
      </c>
      <c r="C652" s="18"/>
      <c r="D652" s="98"/>
      <c r="E652" s="19">
        <v>2.0</v>
      </c>
      <c r="F652" s="19"/>
      <c r="G652" s="20" t="s">
        <v>485</v>
      </c>
      <c r="H652" s="21">
        <v>0.0</v>
      </c>
      <c r="I652" s="22"/>
      <c r="J652" s="173"/>
      <c r="K652" s="101">
        <f t="shared" si="79"/>
        <v>89131</v>
      </c>
      <c r="L652" s="101">
        <v>115000.0</v>
      </c>
      <c r="M652" s="25"/>
      <c r="N652" s="102">
        <v>99000.0</v>
      </c>
      <c r="O652" s="27">
        <f t="shared" si="75"/>
        <v>0.2902357205</v>
      </c>
      <c r="P652" s="28">
        <f t="shared" si="76"/>
        <v>0</v>
      </c>
    </row>
    <row r="653" hidden="1">
      <c r="A653" s="16" t="s">
        <v>1058</v>
      </c>
      <c r="B653" s="97" t="s">
        <v>1059</v>
      </c>
      <c r="C653" s="18" t="s">
        <v>55</v>
      </c>
      <c r="D653" s="98"/>
      <c r="E653" s="19">
        <v>1.0</v>
      </c>
      <c r="F653" s="19"/>
      <c r="G653" s="20" t="s">
        <v>485</v>
      </c>
      <c r="H653" s="21">
        <v>2.0</v>
      </c>
      <c r="I653" s="22"/>
      <c r="J653" s="100"/>
      <c r="K653" s="101">
        <f t="shared" si="79"/>
        <v>89131</v>
      </c>
      <c r="L653" s="101">
        <v>115000.0</v>
      </c>
      <c r="M653" s="25"/>
      <c r="N653" s="102">
        <v>99000.0</v>
      </c>
      <c r="O653" s="27">
        <f t="shared" si="75"/>
        <v>0.2902357205</v>
      </c>
      <c r="P653" s="28">
        <f t="shared" si="76"/>
        <v>0</v>
      </c>
    </row>
    <row r="654" hidden="1">
      <c r="A654" s="16" t="s">
        <v>1060</v>
      </c>
      <c r="B654" s="36"/>
      <c r="C654" s="18"/>
      <c r="D654" s="4"/>
      <c r="E654" s="19">
        <v>0.0</v>
      </c>
      <c r="F654" s="19">
        <v>0.0</v>
      </c>
      <c r="G654" s="16" t="s">
        <v>16</v>
      </c>
      <c r="H654" s="21"/>
      <c r="I654" s="22">
        <v>10.0</v>
      </c>
      <c r="J654" s="29"/>
      <c r="K654" s="24">
        <v>25830.0</v>
      </c>
      <c r="L654" s="55">
        <v>90000.0</v>
      </c>
      <c r="M654" s="25"/>
      <c r="N654" s="39"/>
      <c r="O654" s="27"/>
      <c r="P654" s="28"/>
    </row>
    <row r="655" hidden="1">
      <c r="A655" s="59" t="s">
        <v>1061</v>
      </c>
      <c r="B655" s="134" t="s">
        <v>1062</v>
      </c>
      <c r="C655" s="18" t="s">
        <v>55</v>
      </c>
      <c r="D655" s="98"/>
      <c r="E655" s="19">
        <v>0.0</v>
      </c>
      <c r="F655" s="19"/>
      <c r="G655" s="16" t="s">
        <v>485</v>
      </c>
      <c r="H655" s="21">
        <v>0.0</v>
      </c>
      <c r="I655" s="22"/>
      <c r="J655" s="173"/>
      <c r="K655" s="174">
        <f>37187*1.19</f>
        <v>44252.53</v>
      </c>
      <c r="L655" s="175">
        <v>95000.0</v>
      </c>
      <c r="M655" s="25"/>
      <c r="N655" s="26"/>
      <c r="O655" s="27">
        <f t="shared" ref="O655:O752" si="80">(L655/K655)-1</f>
        <v>1.146769913</v>
      </c>
      <c r="P655" s="28">
        <f t="shared" ref="P655:P674" si="81">K655*F655</f>
        <v>0</v>
      </c>
    </row>
    <row r="656" hidden="1">
      <c r="A656" s="42" t="s">
        <v>1063</v>
      </c>
      <c r="B656" s="71"/>
      <c r="C656" s="18" t="s">
        <v>547</v>
      </c>
      <c r="D656" s="4"/>
      <c r="E656" s="19">
        <v>0.0</v>
      </c>
      <c r="F656" s="19"/>
      <c r="G656" s="16" t="s">
        <v>291</v>
      </c>
      <c r="H656" s="21"/>
      <c r="I656" s="22"/>
      <c r="J656" s="29"/>
      <c r="K656" s="44">
        <v>6000.0</v>
      </c>
      <c r="L656" s="44">
        <v>6000.0</v>
      </c>
      <c r="M656" s="25"/>
      <c r="N656" s="39"/>
      <c r="O656" s="27">
        <f t="shared" si="80"/>
        <v>0</v>
      </c>
      <c r="P656" s="28">
        <f t="shared" si="81"/>
        <v>0</v>
      </c>
    </row>
    <row r="657" hidden="1">
      <c r="A657" s="42" t="s">
        <v>1064</v>
      </c>
      <c r="B657" s="71"/>
      <c r="C657" s="18"/>
      <c r="D657" s="4"/>
      <c r="E657" s="19">
        <v>0.0</v>
      </c>
      <c r="F657" s="19"/>
      <c r="G657" s="20" t="s">
        <v>291</v>
      </c>
      <c r="H657" s="21"/>
      <c r="I657" s="22"/>
      <c r="J657" s="29"/>
      <c r="K657" s="43">
        <v>4000.0</v>
      </c>
      <c r="L657" s="44">
        <v>8000.0</v>
      </c>
      <c r="M657" s="25"/>
      <c r="N657" s="39"/>
      <c r="O657" s="27">
        <f t="shared" si="80"/>
        <v>1</v>
      </c>
      <c r="P657" s="28">
        <f t="shared" si="81"/>
        <v>0</v>
      </c>
    </row>
    <row r="658" hidden="1">
      <c r="A658" s="42" t="s">
        <v>1065</v>
      </c>
      <c r="B658" s="71"/>
      <c r="C658" s="18"/>
      <c r="D658" s="4"/>
      <c r="E658" s="19">
        <v>0.0</v>
      </c>
      <c r="F658" s="19"/>
      <c r="G658" s="151" t="s">
        <v>625</v>
      </c>
      <c r="H658" s="21"/>
      <c r="I658" s="22"/>
      <c r="J658" s="29"/>
      <c r="K658" s="43">
        <v>2000.0</v>
      </c>
      <c r="L658" s="44">
        <v>10000.0</v>
      </c>
      <c r="M658" s="25"/>
      <c r="N658" s="39"/>
      <c r="O658" s="27">
        <f t="shared" si="80"/>
        <v>4</v>
      </c>
      <c r="P658" s="28">
        <f t="shared" si="81"/>
        <v>0</v>
      </c>
    </row>
    <row r="659" hidden="1">
      <c r="A659" s="42" t="s">
        <v>1066</v>
      </c>
      <c r="B659" s="71"/>
      <c r="C659" s="18"/>
      <c r="D659" s="4"/>
      <c r="E659" s="19">
        <v>20.0</v>
      </c>
      <c r="F659" s="19">
        <v>0.0</v>
      </c>
      <c r="G659" s="16" t="s">
        <v>513</v>
      </c>
      <c r="H659" s="21"/>
      <c r="I659" s="22">
        <v>10.0</v>
      </c>
      <c r="J659" s="29"/>
      <c r="K659" s="32">
        <f>10000*1.19</f>
        <v>11900</v>
      </c>
      <c r="L659" s="32">
        <v>15000.0</v>
      </c>
      <c r="M659" s="25"/>
      <c r="N659" s="39"/>
      <c r="O659" s="27">
        <f t="shared" si="80"/>
        <v>0.2605042017</v>
      </c>
      <c r="P659" s="28">
        <f t="shared" si="81"/>
        <v>0</v>
      </c>
    </row>
    <row r="660" hidden="1">
      <c r="A660" s="16" t="s">
        <v>1067</v>
      </c>
      <c r="B660" s="36"/>
      <c r="C660" s="18"/>
      <c r="D660" s="4"/>
      <c r="E660" s="19">
        <v>0.0</v>
      </c>
      <c r="F660" s="19">
        <v>0.0</v>
      </c>
      <c r="G660" s="16" t="s">
        <v>16</v>
      </c>
      <c r="H660" s="21"/>
      <c r="I660" s="22">
        <v>2.0</v>
      </c>
      <c r="J660" s="29"/>
      <c r="K660" s="32">
        <v>51618.0</v>
      </c>
      <c r="L660" s="55">
        <v>100000.0</v>
      </c>
      <c r="M660" s="25"/>
      <c r="N660" s="102">
        <v>70000.0</v>
      </c>
      <c r="O660" s="27">
        <f t="shared" si="80"/>
        <v>0.9373086908</v>
      </c>
      <c r="P660" s="28">
        <f t="shared" si="81"/>
        <v>0</v>
      </c>
    </row>
    <row r="661" hidden="1">
      <c r="A661" s="16" t="s">
        <v>1068</v>
      </c>
      <c r="B661" s="36"/>
      <c r="C661" s="18"/>
      <c r="D661" s="4"/>
      <c r="E661" s="19">
        <v>0.0</v>
      </c>
      <c r="F661" s="19">
        <v>0.0</v>
      </c>
      <c r="G661" s="16" t="s">
        <v>16</v>
      </c>
      <c r="H661" s="21"/>
      <c r="I661" s="22">
        <v>9.0</v>
      </c>
      <c r="J661" s="29"/>
      <c r="K661" s="43">
        <v>42210.0</v>
      </c>
      <c r="L661" s="55">
        <v>120000.0</v>
      </c>
      <c r="M661" s="25"/>
      <c r="N661" s="39"/>
      <c r="O661" s="27">
        <f t="shared" si="80"/>
        <v>1.842928216</v>
      </c>
      <c r="P661" s="28">
        <f t="shared" si="81"/>
        <v>0</v>
      </c>
    </row>
    <row r="662" hidden="1">
      <c r="A662" s="16" t="s">
        <v>1069</v>
      </c>
      <c r="B662" s="36"/>
      <c r="C662" s="18"/>
      <c r="D662" s="4" t="s">
        <v>796</v>
      </c>
      <c r="E662" s="19">
        <v>0.0</v>
      </c>
      <c r="F662" s="19">
        <v>100.0</v>
      </c>
      <c r="G662" s="20" t="s">
        <v>1070</v>
      </c>
      <c r="H662" s="21"/>
      <c r="I662" s="22">
        <v>30.0</v>
      </c>
      <c r="J662" s="29"/>
      <c r="K662" s="43">
        <v>2200.0</v>
      </c>
      <c r="L662" s="44">
        <v>6000.0</v>
      </c>
      <c r="M662" s="25"/>
      <c r="N662" s="102">
        <v>4000.0</v>
      </c>
      <c r="O662" s="27">
        <f t="shared" si="80"/>
        <v>1.727272727</v>
      </c>
      <c r="P662" s="28">
        <f t="shared" si="81"/>
        <v>220000</v>
      </c>
    </row>
    <row r="663" hidden="1">
      <c r="A663" s="16" t="s">
        <v>1071</v>
      </c>
      <c r="B663" s="36"/>
      <c r="C663" s="18"/>
      <c r="D663" s="110"/>
      <c r="E663" s="19">
        <v>0.0</v>
      </c>
      <c r="F663" s="19">
        <v>0.0</v>
      </c>
      <c r="G663" s="20" t="s">
        <v>1070</v>
      </c>
      <c r="H663" s="21"/>
      <c r="I663" s="22">
        <f>7*20</f>
        <v>140</v>
      </c>
      <c r="J663" s="29"/>
      <c r="K663" s="43">
        <v>2200.0</v>
      </c>
      <c r="L663" s="44">
        <v>6000.0</v>
      </c>
      <c r="M663" s="25"/>
      <c r="N663" s="102">
        <v>4000.0</v>
      </c>
      <c r="O663" s="27">
        <f t="shared" si="80"/>
        <v>1.727272727</v>
      </c>
      <c r="P663" s="28">
        <f t="shared" si="81"/>
        <v>0</v>
      </c>
    </row>
    <row r="664" hidden="1">
      <c r="A664" s="16" t="s">
        <v>1072</v>
      </c>
      <c r="B664" s="36"/>
      <c r="C664" s="18"/>
      <c r="D664" s="4" t="s">
        <v>796</v>
      </c>
      <c r="E664" s="19">
        <v>0.0</v>
      </c>
      <c r="F664" s="19">
        <v>50.0</v>
      </c>
      <c r="G664" s="20" t="s">
        <v>1070</v>
      </c>
      <c r="H664" s="21"/>
      <c r="I664" s="22">
        <v>60.0</v>
      </c>
      <c r="J664" s="29"/>
      <c r="K664" s="43">
        <v>2200.0</v>
      </c>
      <c r="L664" s="44">
        <v>6000.0</v>
      </c>
      <c r="M664" s="25"/>
      <c r="N664" s="102">
        <v>4000.0</v>
      </c>
      <c r="O664" s="27">
        <f t="shared" si="80"/>
        <v>1.727272727</v>
      </c>
      <c r="P664" s="28">
        <f t="shared" si="81"/>
        <v>110000</v>
      </c>
    </row>
    <row r="665" hidden="1">
      <c r="A665" s="16" t="s">
        <v>1073</v>
      </c>
      <c r="B665" s="36"/>
      <c r="C665" s="18"/>
      <c r="D665" s="4"/>
      <c r="E665" s="19">
        <v>0.0</v>
      </c>
      <c r="F665" s="19">
        <v>0.0</v>
      </c>
      <c r="G665" s="20" t="s">
        <v>1070</v>
      </c>
      <c r="H665" s="21"/>
      <c r="I665" s="22">
        <v>100.0</v>
      </c>
      <c r="J665" s="29"/>
      <c r="K665" s="43">
        <v>2200.0</v>
      </c>
      <c r="L665" s="44">
        <v>6000.0</v>
      </c>
      <c r="M665" s="25"/>
      <c r="N665" s="102">
        <v>4000.0</v>
      </c>
      <c r="O665" s="27">
        <f t="shared" si="80"/>
        <v>1.727272727</v>
      </c>
      <c r="P665" s="28">
        <f t="shared" si="81"/>
        <v>0</v>
      </c>
    </row>
    <row r="666" hidden="1">
      <c r="A666" s="59" t="s">
        <v>1074</v>
      </c>
      <c r="B666" s="134" t="s">
        <v>1075</v>
      </c>
      <c r="C666" s="18" t="s">
        <v>845</v>
      </c>
      <c r="D666" s="98"/>
      <c r="E666" s="19">
        <v>0.0</v>
      </c>
      <c r="F666" s="19"/>
      <c r="G666" s="16" t="s">
        <v>485</v>
      </c>
      <c r="H666" s="21">
        <v>0.0</v>
      </c>
      <c r="I666" s="22"/>
      <c r="J666" s="29"/>
      <c r="K666" s="32">
        <f>18950*1.19</f>
        <v>22550.5</v>
      </c>
      <c r="L666" s="165">
        <v>35000.0</v>
      </c>
      <c r="M666" s="25"/>
      <c r="N666" s="26"/>
      <c r="O666" s="27">
        <f t="shared" si="80"/>
        <v>0.5520720161</v>
      </c>
      <c r="P666" s="28">
        <f t="shared" si="81"/>
        <v>0</v>
      </c>
    </row>
    <row r="667" hidden="1">
      <c r="A667" s="149" t="s">
        <v>1076</v>
      </c>
      <c r="B667" s="71"/>
      <c r="C667" s="18"/>
      <c r="D667" s="181"/>
      <c r="E667" s="19">
        <v>0.0</v>
      </c>
      <c r="F667" s="19"/>
      <c r="G667" s="16" t="s">
        <v>1077</v>
      </c>
      <c r="H667" s="21"/>
      <c r="I667" s="22"/>
      <c r="J667" s="29"/>
      <c r="K667" s="32">
        <v>400.0</v>
      </c>
      <c r="L667" s="24">
        <v>1500.0</v>
      </c>
      <c r="M667" s="25"/>
      <c r="N667" s="39"/>
      <c r="O667" s="27">
        <f t="shared" si="80"/>
        <v>2.75</v>
      </c>
      <c r="P667" s="28">
        <f t="shared" si="81"/>
        <v>0</v>
      </c>
    </row>
    <row r="668" hidden="1">
      <c r="A668" s="16" t="s">
        <v>1078</v>
      </c>
      <c r="B668" s="36"/>
      <c r="C668" s="18"/>
      <c r="D668" s="4"/>
      <c r="E668" s="19">
        <v>0.0</v>
      </c>
      <c r="F668" s="19">
        <v>0.0</v>
      </c>
      <c r="G668" s="54" t="s">
        <v>63</v>
      </c>
      <c r="H668" s="21"/>
      <c r="I668" s="22">
        <v>0.0</v>
      </c>
      <c r="J668" s="29"/>
      <c r="K668" s="43">
        <f>112640/2</f>
        <v>56320</v>
      </c>
      <c r="L668" s="44">
        <v>80000.0</v>
      </c>
      <c r="M668" s="25"/>
      <c r="N668" s="39"/>
      <c r="O668" s="27">
        <f t="shared" si="80"/>
        <v>0.4204545455</v>
      </c>
      <c r="P668" s="28">
        <f t="shared" si="81"/>
        <v>0</v>
      </c>
    </row>
    <row r="669" hidden="1">
      <c r="A669" s="16" t="s">
        <v>1079</v>
      </c>
      <c r="B669" s="17"/>
      <c r="C669" s="18"/>
      <c r="D669" s="4"/>
      <c r="E669" s="19">
        <v>0.0</v>
      </c>
      <c r="F669" s="19">
        <v>0.0</v>
      </c>
      <c r="G669" s="16" t="s">
        <v>760</v>
      </c>
      <c r="H669" s="21"/>
      <c r="I669" s="22">
        <v>0.0</v>
      </c>
      <c r="J669" s="29"/>
      <c r="K669" s="43">
        <v>2000.0</v>
      </c>
      <c r="L669" s="44">
        <v>10000.0</v>
      </c>
      <c r="M669" s="25"/>
      <c r="N669" s="39"/>
      <c r="O669" s="27">
        <f t="shared" si="80"/>
        <v>4</v>
      </c>
      <c r="P669" s="28">
        <f t="shared" si="81"/>
        <v>0</v>
      </c>
    </row>
    <row r="670" hidden="1">
      <c r="A670" s="52" t="s">
        <v>1080</v>
      </c>
      <c r="B670" s="17"/>
      <c r="C670" s="18"/>
      <c r="D670" s="4"/>
      <c r="E670" s="19">
        <v>0.0</v>
      </c>
      <c r="F670" s="19">
        <v>0.0</v>
      </c>
      <c r="G670" s="16" t="s">
        <v>462</v>
      </c>
      <c r="H670" s="21"/>
      <c r="I670" s="22">
        <v>0.0</v>
      </c>
      <c r="J670" s="29"/>
      <c r="K670" s="43">
        <f>23400*1.19</f>
        <v>27846</v>
      </c>
      <c r="L670" s="44">
        <v>40000.0</v>
      </c>
      <c r="M670" s="25"/>
      <c r="N670" s="39"/>
      <c r="O670" s="27">
        <f t="shared" si="80"/>
        <v>0.4364720247</v>
      </c>
      <c r="P670" s="28">
        <f t="shared" si="81"/>
        <v>0</v>
      </c>
    </row>
    <row r="671" hidden="1">
      <c r="A671" s="59" t="s">
        <v>1081</v>
      </c>
      <c r="B671" s="36"/>
      <c r="C671" s="18"/>
      <c r="D671" s="110"/>
      <c r="E671" s="19">
        <v>0.0</v>
      </c>
      <c r="F671" s="19">
        <v>0.0</v>
      </c>
      <c r="G671" s="16" t="s">
        <v>93</v>
      </c>
      <c r="H671" s="21"/>
      <c r="I671" s="22">
        <v>1.0</v>
      </c>
      <c r="J671" s="29"/>
      <c r="K671" s="32">
        <v>22480.0</v>
      </c>
      <c r="L671" s="24">
        <v>28000.0</v>
      </c>
      <c r="M671" s="25"/>
      <c r="N671" s="39"/>
      <c r="O671" s="27">
        <f t="shared" si="80"/>
        <v>0.2455516014</v>
      </c>
      <c r="P671" s="28">
        <f t="shared" si="81"/>
        <v>0</v>
      </c>
    </row>
    <row r="672" hidden="1">
      <c r="A672" s="52" t="s">
        <v>1082</v>
      </c>
      <c r="B672" s="17"/>
      <c r="C672" s="18"/>
      <c r="D672" s="4"/>
      <c r="E672" s="19">
        <v>0.0</v>
      </c>
      <c r="F672" s="19"/>
      <c r="G672" s="20" t="s">
        <v>60</v>
      </c>
      <c r="H672" s="21"/>
      <c r="I672" s="22"/>
      <c r="J672" s="29"/>
      <c r="K672" s="32">
        <v>500.0</v>
      </c>
      <c r="L672" s="24">
        <v>1000.0</v>
      </c>
      <c r="M672" s="25"/>
      <c r="N672" s="39"/>
      <c r="O672" s="27">
        <f t="shared" si="80"/>
        <v>1</v>
      </c>
      <c r="P672" s="28">
        <f t="shared" si="81"/>
        <v>0</v>
      </c>
    </row>
    <row r="673" hidden="1">
      <c r="A673" s="16" t="s">
        <v>1083</v>
      </c>
      <c r="B673" s="51"/>
      <c r="C673" s="18"/>
      <c r="D673" s="98"/>
      <c r="E673" s="19">
        <v>0.0</v>
      </c>
      <c r="F673" s="19"/>
      <c r="G673" s="20" t="s">
        <v>485</v>
      </c>
      <c r="H673" s="21">
        <v>3.0</v>
      </c>
      <c r="I673" s="22"/>
      <c r="J673" s="182"/>
      <c r="K673" s="55">
        <v>273819.0</v>
      </c>
      <c r="L673" s="55">
        <v>320000.0</v>
      </c>
      <c r="M673" s="25"/>
      <c r="N673" s="39"/>
      <c r="O673" s="27">
        <f t="shared" si="80"/>
        <v>0.1686552065</v>
      </c>
      <c r="P673" s="28">
        <f t="shared" si="81"/>
        <v>0</v>
      </c>
    </row>
    <row r="674" hidden="1">
      <c r="A674" s="16" t="s">
        <v>1084</v>
      </c>
      <c r="B674" s="36"/>
      <c r="C674" s="18"/>
      <c r="D674" s="4"/>
      <c r="E674" s="19">
        <v>0.0</v>
      </c>
      <c r="F674" s="19">
        <v>0.0</v>
      </c>
      <c r="G674" s="20" t="s">
        <v>1085</v>
      </c>
      <c r="H674" s="21"/>
      <c r="I674" s="22"/>
      <c r="J674" s="47">
        <v>46569.0</v>
      </c>
      <c r="K674" s="48">
        <v>12285.0</v>
      </c>
      <c r="L674" s="55">
        <v>18000.0</v>
      </c>
      <c r="M674" s="25"/>
      <c r="N674" s="39"/>
      <c r="O674" s="27">
        <f t="shared" si="80"/>
        <v>0.4652014652</v>
      </c>
      <c r="P674" s="28">
        <f t="shared" si="81"/>
        <v>0</v>
      </c>
    </row>
    <row r="675" hidden="1">
      <c r="A675" s="52" t="s">
        <v>1086</v>
      </c>
      <c r="B675" s="16"/>
      <c r="C675" s="18"/>
      <c r="D675" s="98"/>
      <c r="E675" s="19">
        <v>0.0</v>
      </c>
      <c r="F675" s="19">
        <v>0.0</v>
      </c>
      <c r="G675" s="16" t="s">
        <v>613</v>
      </c>
      <c r="H675" s="21"/>
      <c r="I675" s="22"/>
      <c r="J675" s="47"/>
      <c r="K675" s="48">
        <v>10985.0</v>
      </c>
      <c r="L675" s="48">
        <v>16000.0</v>
      </c>
      <c r="M675" s="25"/>
      <c r="N675" s="39"/>
      <c r="O675" s="27">
        <f t="shared" si="80"/>
        <v>0.456531634</v>
      </c>
      <c r="P675" s="28"/>
    </row>
    <row r="676" hidden="1">
      <c r="A676" s="52" t="s">
        <v>1087</v>
      </c>
      <c r="B676" s="16" t="s">
        <v>1088</v>
      </c>
      <c r="C676" s="18"/>
      <c r="D676" s="98"/>
      <c r="E676" s="19"/>
      <c r="F676" s="19"/>
      <c r="G676" s="16" t="s">
        <v>88</v>
      </c>
      <c r="H676" s="21"/>
      <c r="I676" s="22">
        <v>4.0</v>
      </c>
      <c r="J676" s="47">
        <v>46174.0</v>
      </c>
      <c r="K676" s="48">
        <v>13101.0</v>
      </c>
      <c r="L676" s="48">
        <v>18000.0</v>
      </c>
      <c r="M676" s="25"/>
      <c r="N676" s="39"/>
      <c r="O676" s="27">
        <f t="shared" si="80"/>
        <v>0.3739409205</v>
      </c>
      <c r="P676" s="28">
        <f t="shared" ref="P676:P752" si="82">K676*F676</f>
        <v>0</v>
      </c>
    </row>
    <row r="677" hidden="1">
      <c r="A677" s="16" t="s">
        <v>1089</v>
      </c>
      <c r="B677" s="16" t="s">
        <v>1090</v>
      </c>
      <c r="C677" s="18"/>
      <c r="D677" s="4"/>
      <c r="E677" s="19">
        <v>15.0</v>
      </c>
      <c r="F677" s="19">
        <v>0.0</v>
      </c>
      <c r="G677" s="16" t="s">
        <v>1090</v>
      </c>
      <c r="H677" s="21"/>
      <c r="I677" s="22">
        <v>0.0</v>
      </c>
      <c r="J677" s="47">
        <v>46419.0</v>
      </c>
      <c r="K677" s="48">
        <v>8970.0</v>
      </c>
      <c r="L677" s="55">
        <v>12000.0</v>
      </c>
      <c r="M677" s="25"/>
      <c r="N677" s="39"/>
      <c r="O677" s="27">
        <f t="shared" si="80"/>
        <v>0.3377926421</v>
      </c>
      <c r="P677" s="28">
        <f t="shared" si="82"/>
        <v>0</v>
      </c>
    </row>
    <row r="678" hidden="1">
      <c r="A678" s="59" t="s">
        <v>1091</v>
      </c>
      <c r="B678" s="97" t="s">
        <v>1092</v>
      </c>
      <c r="C678" s="18" t="s">
        <v>845</v>
      </c>
      <c r="D678" s="98"/>
      <c r="E678" s="19">
        <v>0.0</v>
      </c>
      <c r="F678" s="19"/>
      <c r="G678" s="20" t="s">
        <v>485</v>
      </c>
      <c r="H678" s="21">
        <v>0.0</v>
      </c>
      <c r="I678" s="22"/>
      <c r="J678" s="173"/>
      <c r="K678" s="24">
        <f>47617*1.19</f>
        <v>56664.23</v>
      </c>
      <c r="L678" s="24">
        <v>95000.0</v>
      </c>
      <c r="M678" s="25"/>
      <c r="N678" s="39"/>
      <c r="O678" s="27">
        <f t="shared" si="80"/>
        <v>0.6765426796</v>
      </c>
      <c r="P678" s="28">
        <f t="shared" si="82"/>
        <v>0</v>
      </c>
    </row>
    <row r="679" hidden="1">
      <c r="A679" s="40" t="s">
        <v>1093</v>
      </c>
      <c r="B679" s="36" t="s">
        <v>1094</v>
      </c>
      <c r="C679" s="18"/>
      <c r="D679" s="4"/>
      <c r="E679" s="19">
        <v>0.0</v>
      </c>
      <c r="F679" s="19"/>
      <c r="G679" s="20" t="s">
        <v>1095</v>
      </c>
      <c r="H679" s="21"/>
      <c r="I679" s="22">
        <v>35.0</v>
      </c>
      <c r="J679" s="29"/>
      <c r="K679" s="48">
        <v>6783.0</v>
      </c>
      <c r="L679" s="55">
        <v>12000.0</v>
      </c>
      <c r="M679" s="25"/>
      <c r="N679" s="39"/>
      <c r="O679" s="27">
        <f t="shared" si="80"/>
        <v>0.7691287041</v>
      </c>
      <c r="P679" s="28">
        <f t="shared" si="82"/>
        <v>0</v>
      </c>
    </row>
    <row r="680" hidden="1">
      <c r="A680" s="16" t="s">
        <v>1096</v>
      </c>
      <c r="B680" s="183" t="s">
        <v>1097</v>
      </c>
      <c r="C680" s="18" t="s">
        <v>1098</v>
      </c>
      <c r="D680" s="4"/>
      <c r="E680" s="19"/>
      <c r="F680" s="19"/>
      <c r="G680" s="16" t="s">
        <v>1099</v>
      </c>
      <c r="H680" s="21">
        <v>0.0</v>
      </c>
      <c r="I680" s="22"/>
      <c r="J680" s="29"/>
      <c r="K680" s="48">
        <v>17017.0</v>
      </c>
      <c r="L680" s="48">
        <v>24000.0</v>
      </c>
      <c r="M680" s="25"/>
      <c r="N680" s="26" t="s">
        <v>1100</v>
      </c>
      <c r="O680" s="27">
        <f t="shared" si="80"/>
        <v>0.4103543515</v>
      </c>
      <c r="P680" s="28">
        <f t="shared" si="82"/>
        <v>0</v>
      </c>
    </row>
    <row r="681" hidden="1">
      <c r="A681" s="42" t="s">
        <v>1101</v>
      </c>
      <c r="B681" s="71"/>
      <c r="C681" s="18"/>
      <c r="D681" s="4"/>
      <c r="E681" s="19">
        <v>0.0</v>
      </c>
      <c r="F681" s="19"/>
      <c r="G681" s="16" t="s">
        <v>553</v>
      </c>
      <c r="H681" s="21"/>
      <c r="I681" s="22"/>
      <c r="J681" s="29"/>
      <c r="K681" s="32">
        <f>590*1.19</f>
        <v>702.1</v>
      </c>
      <c r="L681" s="24">
        <v>1500.0</v>
      </c>
      <c r="M681" s="25"/>
      <c r="N681" s="26"/>
      <c r="O681" s="27">
        <f t="shared" si="80"/>
        <v>1.136447799</v>
      </c>
      <c r="P681" s="28">
        <f t="shared" si="82"/>
        <v>0</v>
      </c>
    </row>
    <row r="682" hidden="1">
      <c r="A682" s="122" t="s">
        <v>1102</v>
      </c>
      <c r="B682" s="17">
        <v>242001.0</v>
      </c>
      <c r="C682" s="18"/>
      <c r="D682" s="4"/>
      <c r="E682" s="19">
        <v>0.0</v>
      </c>
      <c r="F682" s="19">
        <v>0.0</v>
      </c>
      <c r="G682" s="16" t="s">
        <v>659</v>
      </c>
      <c r="H682" s="73"/>
      <c r="I682" s="22">
        <v>0.0</v>
      </c>
      <c r="J682" s="74"/>
      <c r="K682" s="75">
        <v>4500.0</v>
      </c>
      <c r="L682" s="44">
        <v>7000.0</v>
      </c>
      <c r="M682" s="25"/>
      <c r="N682" s="39"/>
      <c r="O682" s="27">
        <f t="shared" si="80"/>
        <v>0.5555555556</v>
      </c>
      <c r="P682" s="28">
        <f t="shared" si="82"/>
        <v>0</v>
      </c>
    </row>
    <row r="683" hidden="1">
      <c r="A683" s="122" t="s">
        <v>1103</v>
      </c>
      <c r="B683" s="17">
        <v>242002.0</v>
      </c>
      <c r="C683" s="18"/>
      <c r="D683" s="4"/>
      <c r="E683" s="19">
        <v>0.0</v>
      </c>
      <c r="F683" s="19">
        <v>0.0</v>
      </c>
      <c r="G683" s="16" t="s">
        <v>659</v>
      </c>
      <c r="H683" s="73"/>
      <c r="I683" s="22">
        <v>13.0</v>
      </c>
      <c r="J683" s="74"/>
      <c r="K683" s="75">
        <f>5796*1.19</f>
        <v>6897.24</v>
      </c>
      <c r="L683" s="75">
        <v>10000.0</v>
      </c>
      <c r="M683" s="25"/>
      <c r="N683" s="39"/>
      <c r="O683" s="27">
        <f t="shared" si="80"/>
        <v>0.4498553044</v>
      </c>
      <c r="P683" s="28">
        <f t="shared" si="82"/>
        <v>0</v>
      </c>
    </row>
    <row r="684" hidden="1">
      <c r="A684" s="122" t="s">
        <v>1104</v>
      </c>
      <c r="B684" s="17">
        <v>242003.0</v>
      </c>
      <c r="C684" s="18"/>
      <c r="D684" s="4"/>
      <c r="E684" s="19">
        <v>0.0</v>
      </c>
      <c r="F684" s="19">
        <v>0.0</v>
      </c>
      <c r="G684" s="16" t="s">
        <v>659</v>
      </c>
      <c r="H684" s="73"/>
      <c r="I684" s="22">
        <v>10.0</v>
      </c>
      <c r="J684" s="74"/>
      <c r="K684" s="75">
        <v>5300.0</v>
      </c>
      <c r="L684" s="44">
        <v>7000.0</v>
      </c>
      <c r="M684" s="25"/>
      <c r="N684" s="39"/>
      <c r="O684" s="27">
        <f t="shared" si="80"/>
        <v>0.320754717</v>
      </c>
      <c r="P684" s="28">
        <f t="shared" si="82"/>
        <v>0</v>
      </c>
    </row>
    <row r="685" hidden="1">
      <c r="A685" s="16" t="s">
        <v>1105</v>
      </c>
      <c r="B685" s="49" t="s">
        <v>689</v>
      </c>
      <c r="C685" s="18"/>
      <c r="D685" s="4"/>
      <c r="E685" s="19">
        <v>0.0</v>
      </c>
      <c r="F685" s="19">
        <v>0.0</v>
      </c>
      <c r="G685" s="16" t="s">
        <v>16</v>
      </c>
      <c r="H685" s="21"/>
      <c r="I685" s="22">
        <v>30.0</v>
      </c>
      <c r="J685" s="29"/>
      <c r="K685" s="43">
        <v>1433.0</v>
      </c>
      <c r="L685" s="44">
        <v>14000.0</v>
      </c>
      <c r="M685" s="25"/>
      <c r="N685" s="102">
        <v>9000.0</v>
      </c>
      <c r="O685" s="27">
        <f t="shared" si="80"/>
        <v>8.769713887</v>
      </c>
      <c r="P685" s="28">
        <f t="shared" si="82"/>
        <v>0</v>
      </c>
    </row>
    <row r="686" hidden="1">
      <c r="A686" s="122" t="s">
        <v>1106</v>
      </c>
      <c r="B686" s="17">
        <v>241017.0</v>
      </c>
      <c r="C686" s="18"/>
      <c r="D686" s="4"/>
      <c r="E686" s="19">
        <v>0.0</v>
      </c>
      <c r="F686" s="19">
        <v>0.0</v>
      </c>
      <c r="G686" s="16" t="s">
        <v>659</v>
      </c>
      <c r="H686" s="73"/>
      <c r="I686" s="22">
        <v>30.0</v>
      </c>
      <c r="J686" s="74"/>
      <c r="K686" s="75">
        <f>697*1.19</f>
        <v>829.43</v>
      </c>
      <c r="L686" s="44">
        <v>2000.0</v>
      </c>
      <c r="M686" s="25"/>
      <c r="N686" s="39"/>
      <c r="O686" s="27">
        <f t="shared" si="80"/>
        <v>1.411294503</v>
      </c>
      <c r="P686" s="28">
        <f t="shared" si="82"/>
        <v>0</v>
      </c>
    </row>
    <row r="687" hidden="1">
      <c r="A687" s="122" t="s">
        <v>1107</v>
      </c>
      <c r="B687" s="17"/>
      <c r="C687" s="92">
        <v>321300.0</v>
      </c>
      <c r="D687" s="4"/>
      <c r="E687" s="19">
        <v>0.0</v>
      </c>
      <c r="F687" s="19">
        <v>0.0</v>
      </c>
      <c r="G687" s="16" t="s">
        <v>1108</v>
      </c>
      <c r="H687" s="73"/>
      <c r="I687" s="22">
        <v>4.0</v>
      </c>
      <c r="J687" s="74"/>
      <c r="K687" s="184">
        <v>321300.0</v>
      </c>
      <c r="L687" s="55"/>
      <c r="M687" s="25"/>
      <c r="N687" s="102"/>
      <c r="O687" s="27">
        <f t="shared" si="80"/>
        <v>-1</v>
      </c>
      <c r="P687" s="28">
        <f t="shared" si="82"/>
        <v>0</v>
      </c>
    </row>
    <row r="688" hidden="1">
      <c r="A688" s="122" t="s">
        <v>1109</v>
      </c>
      <c r="B688" s="17"/>
      <c r="C688" s="18"/>
      <c r="D688" s="4"/>
      <c r="E688" s="19">
        <v>0.0</v>
      </c>
      <c r="F688" s="19">
        <v>0.0</v>
      </c>
      <c r="G688" s="16" t="s">
        <v>16</v>
      </c>
      <c r="H688" s="73"/>
      <c r="I688" s="22">
        <v>10.0</v>
      </c>
      <c r="J688" s="74"/>
      <c r="K688" s="44">
        <v>90000.0</v>
      </c>
      <c r="L688" s="44">
        <v>90000.0</v>
      </c>
      <c r="M688" s="25"/>
      <c r="N688" s="39"/>
      <c r="O688" s="27">
        <f t="shared" si="80"/>
        <v>0</v>
      </c>
      <c r="P688" s="28">
        <f t="shared" si="82"/>
        <v>0</v>
      </c>
    </row>
    <row r="689" hidden="1">
      <c r="A689" s="42" t="s">
        <v>1110</v>
      </c>
      <c r="B689" s="17" t="s">
        <v>1111</v>
      </c>
      <c r="C689" s="18"/>
      <c r="D689" s="19"/>
      <c r="E689" s="19">
        <v>0.0</v>
      </c>
      <c r="F689" s="19">
        <v>0.0</v>
      </c>
      <c r="G689" s="54" t="s">
        <v>1112</v>
      </c>
      <c r="H689" s="21"/>
      <c r="I689" s="22">
        <v>3.0</v>
      </c>
      <c r="J689" s="29"/>
      <c r="K689" s="32">
        <v>47430.0</v>
      </c>
      <c r="L689" s="32">
        <v>78000.0</v>
      </c>
      <c r="M689" s="25" t="s">
        <v>82</v>
      </c>
      <c r="N689" s="26">
        <v>48000.0</v>
      </c>
      <c r="O689" s="27">
        <f t="shared" si="80"/>
        <v>0.6445287793</v>
      </c>
      <c r="P689" s="28">
        <f t="shared" si="82"/>
        <v>0</v>
      </c>
    </row>
    <row r="690" hidden="1">
      <c r="A690" s="118" t="s">
        <v>1113</v>
      </c>
      <c r="B690" s="17" t="s">
        <v>1114</v>
      </c>
      <c r="C690" s="18"/>
      <c r="D690" s="67"/>
      <c r="E690" s="19">
        <v>0.0</v>
      </c>
      <c r="F690" s="19">
        <v>0.0</v>
      </c>
      <c r="G690" s="16" t="s">
        <v>1115</v>
      </c>
      <c r="H690" s="33"/>
      <c r="I690" s="22">
        <v>11.0</v>
      </c>
      <c r="J690" s="34"/>
      <c r="K690" s="48">
        <v>7800.0</v>
      </c>
      <c r="L690" s="55">
        <v>12000.0</v>
      </c>
      <c r="M690" s="25"/>
      <c r="N690" s="39"/>
      <c r="O690" s="27">
        <f t="shared" si="80"/>
        <v>0.5384615385</v>
      </c>
      <c r="P690" s="28">
        <f t="shared" si="82"/>
        <v>0</v>
      </c>
    </row>
    <row r="691" hidden="1">
      <c r="A691" s="118" t="s">
        <v>1116</v>
      </c>
      <c r="B691" s="17" t="s">
        <v>1117</v>
      </c>
      <c r="C691" s="18"/>
      <c r="D691" s="4"/>
      <c r="E691" s="19">
        <v>0.0</v>
      </c>
      <c r="F691" s="19">
        <v>0.0</v>
      </c>
      <c r="G691" s="16" t="s">
        <v>1118</v>
      </c>
      <c r="H691" s="21"/>
      <c r="I691" s="22">
        <v>4.0</v>
      </c>
      <c r="J691" s="23"/>
      <c r="K691" s="24">
        <f>10335*1.19</f>
        <v>12298.65</v>
      </c>
      <c r="L691" s="24">
        <v>18000.0</v>
      </c>
      <c r="M691" s="25"/>
      <c r="N691" s="26"/>
      <c r="O691" s="27">
        <f t="shared" si="80"/>
        <v>0.4635752705</v>
      </c>
      <c r="P691" s="28">
        <f t="shared" si="82"/>
        <v>0</v>
      </c>
    </row>
    <row r="692" hidden="1">
      <c r="A692" s="52" t="s">
        <v>1119</v>
      </c>
      <c r="B692" s="17" t="s">
        <v>1120</v>
      </c>
      <c r="C692" s="18"/>
      <c r="D692" s="67"/>
      <c r="E692" s="19">
        <v>0.0</v>
      </c>
      <c r="F692" s="19">
        <v>0.0</v>
      </c>
      <c r="G692" s="16" t="s">
        <v>1121</v>
      </c>
      <c r="H692" s="21"/>
      <c r="I692" s="22">
        <v>0.0</v>
      </c>
      <c r="J692" s="29"/>
      <c r="K692" s="32">
        <f>21385*1.19</f>
        <v>25448.15</v>
      </c>
      <c r="L692" s="32">
        <v>35000.0</v>
      </c>
      <c r="M692" s="25"/>
      <c r="N692" s="39"/>
      <c r="O692" s="27">
        <f t="shared" si="80"/>
        <v>0.3753455556</v>
      </c>
      <c r="P692" s="28">
        <f t="shared" si="82"/>
        <v>0</v>
      </c>
    </row>
    <row r="693" hidden="1">
      <c r="A693" s="52" t="s">
        <v>1122</v>
      </c>
      <c r="B693" s="36" t="s">
        <v>1123</v>
      </c>
      <c r="C693" s="18"/>
      <c r="D693" s="67"/>
      <c r="E693" s="19">
        <v>0.0</v>
      </c>
      <c r="F693" s="19">
        <v>0.0</v>
      </c>
      <c r="G693" s="16" t="s">
        <v>1124</v>
      </c>
      <c r="H693" s="21"/>
      <c r="I693" s="22">
        <v>6.0</v>
      </c>
      <c r="J693" s="22" t="s">
        <v>1125</v>
      </c>
      <c r="K693" s="55">
        <f>9685*1.19</f>
        <v>11525.15</v>
      </c>
      <c r="L693" s="24">
        <v>15000.0</v>
      </c>
      <c r="M693" s="25"/>
      <c r="N693" s="26"/>
      <c r="O693" s="27">
        <f t="shared" si="80"/>
        <v>0.3015014989</v>
      </c>
      <c r="P693" s="28">
        <f t="shared" si="82"/>
        <v>0</v>
      </c>
    </row>
    <row r="694" hidden="1">
      <c r="A694" s="185" t="s">
        <v>1126</v>
      </c>
      <c r="B694" s="36" t="s">
        <v>1127</v>
      </c>
      <c r="C694" s="18"/>
      <c r="D694" s="4"/>
      <c r="E694" s="19">
        <v>0.0</v>
      </c>
      <c r="F694" s="19">
        <v>10.0</v>
      </c>
      <c r="G694" s="20" t="s">
        <v>1128</v>
      </c>
      <c r="H694" s="21"/>
      <c r="I694" s="22">
        <v>8.0</v>
      </c>
      <c r="J694" s="29"/>
      <c r="K694" s="32">
        <f t="shared" ref="K694:K696" si="83">6100*1.19</f>
        <v>7259</v>
      </c>
      <c r="L694" s="24">
        <v>11000.0</v>
      </c>
      <c r="M694" s="25"/>
      <c r="N694" s="70"/>
      <c r="O694" s="27">
        <f t="shared" si="80"/>
        <v>0.5153602425</v>
      </c>
      <c r="P694" s="28">
        <f t="shared" si="82"/>
        <v>72590</v>
      </c>
    </row>
    <row r="695" hidden="1">
      <c r="A695" s="52" t="s">
        <v>1129</v>
      </c>
      <c r="B695" s="36" t="s">
        <v>1127</v>
      </c>
      <c r="C695" s="18"/>
      <c r="D695" s="4" t="s">
        <v>1130</v>
      </c>
      <c r="E695" s="19">
        <v>0.0</v>
      </c>
      <c r="F695" s="19">
        <v>6.0</v>
      </c>
      <c r="G695" s="20" t="s">
        <v>1128</v>
      </c>
      <c r="H695" s="21"/>
      <c r="I695" s="22">
        <v>10.0</v>
      </c>
      <c r="J695" s="29"/>
      <c r="K695" s="32">
        <f t="shared" si="83"/>
        <v>7259</v>
      </c>
      <c r="L695" s="24">
        <v>11000.0</v>
      </c>
      <c r="M695" s="25"/>
      <c r="N695" s="39"/>
      <c r="O695" s="27">
        <f t="shared" si="80"/>
        <v>0.5153602425</v>
      </c>
      <c r="P695" s="28">
        <f t="shared" si="82"/>
        <v>43554</v>
      </c>
    </row>
    <row r="696" hidden="1">
      <c r="A696" s="52" t="s">
        <v>1131</v>
      </c>
      <c r="B696" s="36" t="s">
        <v>1127</v>
      </c>
      <c r="C696" s="18"/>
      <c r="D696" s="4"/>
      <c r="E696" s="19">
        <v>0.0</v>
      </c>
      <c r="F696" s="19">
        <v>0.0</v>
      </c>
      <c r="G696" s="20" t="s">
        <v>1128</v>
      </c>
      <c r="H696" s="21"/>
      <c r="I696" s="22">
        <v>14.0</v>
      </c>
      <c r="J696" s="29"/>
      <c r="K696" s="32">
        <f t="shared" si="83"/>
        <v>7259</v>
      </c>
      <c r="L696" s="24">
        <v>11000.0</v>
      </c>
      <c r="M696" s="25"/>
      <c r="N696" s="39"/>
      <c r="O696" s="27">
        <f t="shared" si="80"/>
        <v>0.5153602425</v>
      </c>
      <c r="P696" s="28">
        <f t="shared" si="82"/>
        <v>0</v>
      </c>
    </row>
    <row r="697" hidden="1">
      <c r="A697" s="52" t="s">
        <v>1132</v>
      </c>
      <c r="B697" s="17">
        <v>249014.0</v>
      </c>
      <c r="C697" s="18"/>
      <c r="D697" s="4"/>
      <c r="E697" s="19">
        <v>0.0</v>
      </c>
      <c r="F697" s="19">
        <v>0.0</v>
      </c>
      <c r="G697" s="16" t="s">
        <v>425</v>
      </c>
      <c r="H697" s="21"/>
      <c r="I697" s="22">
        <v>0.0</v>
      </c>
      <c r="J697" s="29"/>
      <c r="K697" s="43">
        <f>18721/6</f>
        <v>3120.166667</v>
      </c>
      <c r="L697" s="44">
        <v>3500.0</v>
      </c>
      <c r="M697" s="25"/>
      <c r="N697" s="39"/>
      <c r="O697" s="27">
        <f t="shared" si="80"/>
        <v>0.1217349501</v>
      </c>
      <c r="P697" s="28">
        <f t="shared" si="82"/>
        <v>0</v>
      </c>
    </row>
    <row r="698" hidden="1">
      <c r="A698" s="16" t="s">
        <v>1133</v>
      </c>
      <c r="B698" s="49"/>
      <c r="C698" s="18"/>
      <c r="D698" s="4"/>
      <c r="E698" s="19">
        <v>0.0</v>
      </c>
      <c r="F698" s="19">
        <v>0.0</v>
      </c>
      <c r="G698" s="16" t="s">
        <v>16</v>
      </c>
      <c r="H698" s="21"/>
      <c r="I698" s="22">
        <v>5.0</v>
      </c>
      <c r="J698" s="29"/>
      <c r="K698" s="32">
        <v>43730.0</v>
      </c>
      <c r="L698" s="186">
        <v>224000.0</v>
      </c>
      <c r="M698" s="25"/>
      <c r="N698" s="39"/>
      <c r="O698" s="27">
        <f t="shared" si="80"/>
        <v>4.122341642</v>
      </c>
      <c r="P698" s="28">
        <f t="shared" si="82"/>
        <v>0</v>
      </c>
    </row>
    <row r="699" hidden="1">
      <c r="A699" s="16" t="s">
        <v>1134</v>
      </c>
      <c r="B699" s="49"/>
      <c r="C699" s="18"/>
      <c r="D699" s="4"/>
      <c r="E699" s="19">
        <v>0.0</v>
      </c>
      <c r="F699" s="19">
        <v>0.0</v>
      </c>
      <c r="G699" s="16" t="s">
        <v>16</v>
      </c>
      <c r="H699" s="21"/>
      <c r="I699" s="22">
        <v>5.0</v>
      </c>
      <c r="J699" s="29"/>
      <c r="K699" s="32">
        <f>43730/120</f>
        <v>364.4166667</v>
      </c>
      <c r="L699" s="186">
        <v>7000.0</v>
      </c>
      <c r="M699" s="25"/>
      <c r="N699" s="39"/>
      <c r="O699" s="27">
        <f t="shared" si="80"/>
        <v>18.20878116</v>
      </c>
      <c r="P699" s="28">
        <f t="shared" si="82"/>
        <v>0</v>
      </c>
    </row>
    <row r="700" hidden="1">
      <c r="A700" s="16" t="s">
        <v>1135</v>
      </c>
      <c r="B700" s="49"/>
      <c r="C700" s="18"/>
      <c r="D700" s="4"/>
      <c r="E700" s="19">
        <v>0.0</v>
      </c>
      <c r="F700" s="19">
        <v>0.0</v>
      </c>
      <c r="G700" s="16" t="s">
        <v>16</v>
      </c>
      <c r="H700" s="21"/>
      <c r="I700" s="22">
        <v>5.0</v>
      </c>
      <c r="J700" s="29"/>
      <c r="K700" s="43">
        <f>55406/50</f>
        <v>1108.12</v>
      </c>
      <c r="L700" s="44">
        <v>7000.0</v>
      </c>
      <c r="M700" s="25"/>
      <c r="N700" s="39"/>
      <c r="O700" s="27">
        <f t="shared" si="80"/>
        <v>5.317005378</v>
      </c>
      <c r="P700" s="28">
        <f t="shared" si="82"/>
        <v>0</v>
      </c>
    </row>
    <row r="701" hidden="1">
      <c r="A701" s="16" t="s">
        <v>1136</v>
      </c>
      <c r="B701" s="49"/>
      <c r="C701" s="18"/>
      <c r="D701" s="4"/>
      <c r="E701" s="19">
        <v>0.0</v>
      </c>
      <c r="F701" s="19">
        <v>0.0</v>
      </c>
      <c r="G701" s="16" t="s">
        <v>16</v>
      </c>
      <c r="H701" s="21"/>
      <c r="I701" s="22">
        <v>0.0</v>
      </c>
      <c r="J701" s="29"/>
      <c r="K701" s="43">
        <v>4656.0</v>
      </c>
      <c r="L701" s="44">
        <v>7000.0</v>
      </c>
      <c r="M701" s="25"/>
      <c r="N701" s="39"/>
      <c r="O701" s="27">
        <f t="shared" si="80"/>
        <v>0.5034364261</v>
      </c>
      <c r="P701" s="28">
        <f t="shared" si="82"/>
        <v>0</v>
      </c>
    </row>
    <row r="702" hidden="1">
      <c r="A702" s="16" t="s">
        <v>1137</v>
      </c>
      <c r="B702" s="49"/>
      <c r="C702" s="18"/>
      <c r="D702" s="4"/>
      <c r="E702" s="19">
        <v>0.0</v>
      </c>
      <c r="F702" s="19">
        <v>0.0</v>
      </c>
      <c r="G702" s="16" t="s">
        <v>16</v>
      </c>
      <c r="H702" s="21"/>
      <c r="I702" s="22">
        <v>0.0</v>
      </c>
      <c r="J702" s="29"/>
      <c r="K702" s="43">
        <v>4656.0</v>
      </c>
      <c r="L702" s="44">
        <v>7000.0</v>
      </c>
      <c r="M702" s="25"/>
      <c r="N702" s="39"/>
      <c r="O702" s="27">
        <f t="shared" si="80"/>
        <v>0.5034364261</v>
      </c>
      <c r="P702" s="28">
        <f t="shared" si="82"/>
        <v>0</v>
      </c>
    </row>
    <row r="703" ht="27.75" hidden="1" customHeight="1">
      <c r="A703" s="16" t="s">
        <v>1138</v>
      </c>
      <c r="B703" s="49"/>
      <c r="C703" s="18"/>
      <c r="D703" s="4"/>
      <c r="E703" s="19">
        <v>0.0</v>
      </c>
      <c r="F703" s="19">
        <v>0.0</v>
      </c>
      <c r="G703" s="16" t="s">
        <v>16</v>
      </c>
      <c r="H703" s="21"/>
      <c r="I703" s="22">
        <v>0.0</v>
      </c>
      <c r="J703" s="29"/>
      <c r="K703" s="43">
        <v>4656.0</v>
      </c>
      <c r="L703" s="44">
        <v>7000.0</v>
      </c>
      <c r="M703" s="25"/>
      <c r="N703" s="39"/>
      <c r="O703" s="27">
        <f t="shared" si="80"/>
        <v>0.5034364261</v>
      </c>
      <c r="P703" s="28">
        <f t="shared" si="82"/>
        <v>0</v>
      </c>
    </row>
    <row r="704" ht="27.75" hidden="1" customHeight="1">
      <c r="A704" s="16" t="s">
        <v>1139</v>
      </c>
      <c r="B704" s="49"/>
      <c r="C704" s="18"/>
      <c r="D704" s="4"/>
      <c r="E704" s="19">
        <v>0.0</v>
      </c>
      <c r="F704" s="19">
        <v>0.0</v>
      </c>
      <c r="G704" s="16" t="s">
        <v>16</v>
      </c>
      <c r="H704" s="21"/>
      <c r="I704" s="22">
        <v>0.0</v>
      </c>
      <c r="J704" s="29"/>
      <c r="K704" s="43">
        <v>4656.0</v>
      </c>
      <c r="L704" s="44">
        <v>7000.0</v>
      </c>
      <c r="M704" s="25"/>
      <c r="N704" s="39"/>
      <c r="O704" s="27">
        <f t="shared" si="80"/>
        <v>0.5034364261</v>
      </c>
      <c r="P704" s="28">
        <f t="shared" si="82"/>
        <v>0</v>
      </c>
    </row>
    <row r="705" ht="27.75" hidden="1" customHeight="1">
      <c r="A705" s="16" t="s">
        <v>1140</v>
      </c>
      <c r="B705" s="49"/>
      <c r="C705" s="18"/>
      <c r="D705" s="4"/>
      <c r="E705" s="19">
        <v>0.0</v>
      </c>
      <c r="F705" s="19">
        <v>0.0</v>
      </c>
      <c r="G705" s="16" t="s">
        <v>16</v>
      </c>
      <c r="H705" s="21"/>
      <c r="I705" s="22">
        <v>0.0</v>
      </c>
      <c r="J705" s="29"/>
      <c r="K705" s="43">
        <v>4656.0</v>
      </c>
      <c r="L705" s="44">
        <v>7000.0</v>
      </c>
      <c r="M705" s="25"/>
      <c r="N705" s="39"/>
      <c r="O705" s="27">
        <f t="shared" si="80"/>
        <v>0.5034364261</v>
      </c>
      <c r="P705" s="28">
        <f t="shared" si="82"/>
        <v>0</v>
      </c>
    </row>
    <row r="706" ht="27.75" hidden="1" customHeight="1">
      <c r="A706" s="16" t="s">
        <v>1141</v>
      </c>
      <c r="B706" s="49"/>
      <c r="C706" s="18"/>
      <c r="D706" s="4"/>
      <c r="E706" s="19">
        <v>0.0</v>
      </c>
      <c r="F706" s="19">
        <v>0.0</v>
      </c>
      <c r="G706" s="16" t="s">
        <v>16</v>
      </c>
      <c r="H706" s="21"/>
      <c r="I706" s="22">
        <v>0.0</v>
      </c>
      <c r="J706" s="29"/>
      <c r="K706" s="43">
        <v>4656.0</v>
      </c>
      <c r="L706" s="44">
        <v>7000.0</v>
      </c>
      <c r="M706" s="25"/>
      <c r="N706" s="39"/>
      <c r="O706" s="27">
        <f t="shared" si="80"/>
        <v>0.5034364261</v>
      </c>
      <c r="P706" s="28">
        <f t="shared" si="82"/>
        <v>0</v>
      </c>
    </row>
    <row r="707" hidden="1">
      <c r="A707" s="16" t="s">
        <v>1142</v>
      </c>
      <c r="B707" s="49"/>
      <c r="C707" s="18"/>
      <c r="D707" s="4"/>
      <c r="E707" s="19">
        <v>0.0</v>
      </c>
      <c r="F707" s="19">
        <v>0.0</v>
      </c>
      <c r="G707" s="16" t="s">
        <v>16</v>
      </c>
      <c r="H707" s="21"/>
      <c r="I707" s="22">
        <v>0.0</v>
      </c>
      <c r="J707" s="29"/>
      <c r="K707" s="43">
        <v>4656.0</v>
      </c>
      <c r="L707" s="44">
        <v>7000.0</v>
      </c>
      <c r="M707" s="25"/>
      <c r="N707" s="39"/>
      <c r="O707" s="27">
        <f t="shared" si="80"/>
        <v>0.5034364261</v>
      </c>
      <c r="P707" s="28">
        <f t="shared" si="82"/>
        <v>0</v>
      </c>
    </row>
    <row r="708" hidden="1">
      <c r="A708" s="16" t="s">
        <v>1143</v>
      </c>
      <c r="B708" s="49"/>
      <c r="C708" s="18"/>
      <c r="D708" s="4"/>
      <c r="E708" s="19">
        <v>0.0</v>
      </c>
      <c r="F708" s="19">
        <v>0.0</v>
      </c>
      <c r="G708" s="16" t="s">
        <v>16</v>
      </c>
      <c r="H708" s="21"/>
      <c r="I708" s="22">
        <v>0.0</v>
      </c>
      <c r="J708" s="29"/>
      <c r="K708" s="43">
        <v>4656.0</v>
      </c>
      <c r="L708" s="44">
        <v>7000.0</v>
      </c>
      <c r="M708" s="25"/>
      <c r="N708" s="39"/>
      <c r="O708" s="27">
        <f t="shared" si="80"/>
        <v>0.5034364261</v>
      </c>
      <c r="P708" s="28">
        <f t="shared" si="82"/>
        <v>0</v>
      </c>
    </row>
    <row r="709" hidden="1">
      <c r="A709" s="16" t="s">
        <v>1144</v>
      </c>
      <c r="B709" s="49"/>
      <c r="C709" s="18"/>
      <c r="D709" s="4"/>
      <c r="E709" s="19">
        <v>0.0</v>
      </c>
      <c r="F709" s="19">
        <v>0.0</v>
      </c>
      <c r="G709" s="16" t="s">
        <v>16</v>
      </c>
      <c r="H709" s="21"/>
      <c r="I709" s="22">
        <v>0.0</v>
      </c>
      <c r="J709" s="29"/>
      <c r="K709" s="43">
        <v>4656.0</v>
      </c>
      <c r="L709" s="44">
        <v>7000.0</v>
      </c>
      <c r="M709" s="25"/>
      <c r="N709" s="39"/>
      <c r="O709" s="27">
        <f t="shared" si="80"/>
        <v>0.5034364261</v>
      </c>
      <c r="P709" s="28">
        <f t="shared" si="82"/>
        <v>0</v>
      </c>
    </row>
    <row r="710" hidden="1">
      <c r="A710" s="16" t="s">
        <v>1145</v>
      </c>
      <c r="B710" s="17"/>
      <c r="C710" s="18"/>
      <c r="D710" s="4"/>
      <c r="E710" s="19">
        <v>0.0</v>
      </c>
      <c r="F710" s="19"/>
      <c r="G710" s="16" t="s">
        <v>625</v>
      </c>
      <c r="H710" s="21"/>
      <c r="I710" s="22"/>
      <c r="J710" s="29"/>
      <c r="K710" s="32">
        <v>1500.0</v>
      </c>
      <c r="L710" s="24">
        <v>3000.0</v>
      </c>
      <c r="M710" s="25"/>
      <c r="N710" s="39"/>
      <c r="O710" s="27">
        <f t="shared" si="80"/>
        <v>1</v>
      </c>
      <c r="P710" s="28">
        <f t="shared" si="82"/>
        <v>0</v>
      </c>
    </row>
    <row r="711" hidden="1">
      <c r="A711" s="52" t="s">
        <v>1146</v>
      </c>
      <c r="B711" s="17" t="s">
        <v>1147</v>
      </c>
      <c r="C711" s="18"/>
      <c r="D711" s="67" t="s">
        <v>1148</v>
      </c>
      <c r="E711" s="19">
        <v>0.0</v>
      </c>
      <c r="F711" s="19"/>
      <c r="G711" s="16" t="s">
        <v>1149</v>
      </c>
      <c r="H711" s="21"/>
      <c r="I711" s="22"/>
      <c r="J711" s="29"/>
      <c r="K711" s="32">
        <v>28000.0</v>
      </c>
      <c r="L711" s="32">
        <v>35000.0</v>
      </c>
      <c r="M711" s="25" t="s">
        <v>82</v>
      </c>
      <c r="N711" s="39"/>
      <c r="O711" s="27">
        <f t="shared" si="80"/>
        <v>0.25</v>
      </c>
      <c r="P711" s="28">
        <f t="shared" si="82"/>
        <v>0</v>
      </c>
    </row>
    <row r="712" hidden="1">
      <c r="A712" s="16" t="s">
        <v>1150</v>
      </c>
      <c r="B712" s="36"/>
      <c r="C712" s="18"/>
      <c r="D712" s="4"/>
      <c r="E712" s="19">
        <v>0.0</v>
      </c>
      <c r="F712" s="19">
        <v>0.0</v>
      </c>
      <c r="G712" s="16" t="s">
        <v>577</v>
      </c>
      <c r="H712" s="21"/>
      <c r="I712" s="22">
        <v>0.0</v>
      </c>
      <c r="J712" s="29"/>
      <c r="K712" s="43">
        <v>10500.0</v>
      </c>
      <c r="L712" s="44">
        <v>15000.0</v>
      </c>
      <c r="M712" s="25"/>
      <c r="N712" s="26"/>
      <c r="O712" s="27">
        <f t="shared" si="80"/>
        <v>0.4285714286</v>
      </c>
      <c r="P712" s="28">
        <f t="shared" si="82"/>
        <v>0</v>
      </c>
    </row>
    <row r="713" hidden="1">
      <c r="A713" s="59" t="s">
        <v>1151</v>
      </c>
      <c r="B713" s="97" t="s">
        <v>1152</v>
      </c>
      <c r="C713" s="18"/>
      <c r="D713" s="4"/>
      <c r="E713" s="19">
        <v>0.0</v>
      </c>
      <c r="F713" s="19"/>
      <c r="G713" s="20" t="s">
        <v>1153</v>
      </c>
      <c r="H713" s="21"/>
      <c r="I713" s="22"/>
      <c r="J713" s="29"/>
      <c r="K713" s="32">
        <v>1390.0</v>
      </c>
      <c r="L713" s="24">
        <v>4000.0</v>
      </c>
      <c r="M713" s="25"/>
      <c r="N713" s="39"/>
      <c r="O713" s="27">
        <f t="shared" si="80"/>
        <v>1.877697842</v>
      </c>
      <c r="P713" s="28">
        <f t="shared" si="82"/>
        <v>0</v>
      </c>
    </row>
    <row r="714" hidden="1">
      <c r="A714" s="59" t="s">
        <v>1154</v>
      </c>
      <c r="B714" s="97" t="s">
        <v>1155</v>
      </c>
      <c r="C714" s="18"/>
      <c r="D714" s="98"/>
      <c r="E714" s="19">
        <v>0.0</v>
      </c>
      <c r="F714" s="19"/>
      <c r="G714" s="20" t="s">
        <v>485</v>
      </c>
      <c r="H714" s="21">
        <v>5.0</v>
      </c>
      <c r="I714" s="22"/>
      <c r="J714" s="100"/>
      <c r="K714" s="101">
        <f>74900*1.19</f>
        <v>89131</v>
      </c>
      <c r="L714" s="101">
        <v>115000.0</v>
      </c>
      <c r="M714" s="25"/>
      <c r="N714" s="102">
        <v>99000.0</v>
      </c>
      <c r="O714" s="27">
        <f t="shared" si="80"/>
        <v>0.2902357205</v>
      </c>
      <c r="P714" s="28">
        <f t="shared" si="82"/>
        <v>0</v>
      </c>
    </row>
    <row r="715" hidden="1">
      <c r="A715" s="40" t="s">
        <v>1156</v>
      </c>
      <c r="B715" s="36"/>
      <c r="C715" s="18" t="s">
        <v>1157</v>
      </c>
      <c r="D715" s="4"/>
      <c r="E715" s="19">
        <v>0.0</v>
      </c>
      <c r="F715" s="19">
        <v>0.0</v>
      </c>
      <c r="G715" s="16" t="s">
        <v>1158</v>
      </c>
      <c r="H715" s="21"/>
      <c r="I715" s="22">
        <v>0.0</v>
      </c>
      <c r="J715" s="29"/>
      <c r="K715" s="43">
        <f>10900*1.19</f>
        <v>12971</v>
      </c>
      <c r="L715" s="44">
        <v>25000.0</v>
      </c>
      <c r="M715" s="25"/>
      <c r="N715" s="39"/>
      <c r="O715" s="27">
        <f t="shared" si="80"/>
        <v>0.9273764552</v>
      </c>
      <c r="P715" s="28">
        <f t="shared" si="82"/>
        <v>0</v>
      </c>
    </row>
    <row r="716" hidden="1">
      <c r="A716" s="16" t="s">
        <v>1159</v>
      </c>
      <c r="B716" s="49"/>
      <c r="C716" s="18"/>
      <c r="D716" s="4"/>
      <c r="E716" s="19">
        <v>0.0</v>
      </c>
      <c r="F716" s="19">
        <v>0.0</v>
      </c>
      <c r="G716" s="16" t="s">
        <v>16</v>
      </c>
      <c r="H716" s="21"/>
      <c r="I716" s="22"/>
      <c r="J716" s="29"/>
      <c r="K716" s="30">
        <v>402.316</v>
      </c>
      <c r="L716" s="24">
        <v>4000.0</v>
      </c>
      <c r="M716" s="25"/>
      <c r="N716" s="39"/>
      <c r="O716" s="27">
        <f t="shared" si="80"/>
        <v>8.942433311</v>
      </c>
      <c r="P716" s="28">
        <f t="shared" si="82"/>
        <v>0</v>
      </c>
    </row>
    <row r="717" hidden="1">
      <c r="A717" s="16" t="s">
        <v>1160</v>
      </c>
      <c r="B717" s="36"/>
      <c r="C717" s="18" t="s">
        <v>1157</v>
      </c>
      <c r="D717" s="4"/>
      <c r="E717" s="19">
        <v>0.0</v>
      </c>
      <c r="F717" s="19"/>
      <c r="G717" s="16" t="s">
        <v>1161</v>
      </c>
      <c r="H717" s="21"/>
      <c r="I717" s="22"/>
      <c r="J717" s="23"/>
      <c r="K717" s="44">
        <f t="shared" ref="K717:K726" si="84">34290*1.19/5</f>
        <v>8161.02</v>
      </c>
      <c r="L717" s="44">
        <v>18000.0</v>
      </c>
      <c r="M717" s="25"/>
      <c r="N717" s="102">
        <v>14000.0</v>
      </c>
      <c r="O717" s="27">
        <f t="shared" si="80"/>
        <v>1.205606652</v>
      </c>
      <c r="P717" s="28">
        <f t="shared" si="82"/>
        <v>0</v>
      </c>
    </row>
    <row r="718" hidden="1">
      <c r="A718" s="16" t="s">
        <v>1162</v>
      </c>
      <c r="B718" s="17"/>
      <c r="C718" s="18" t="s">
        <v>1157</v>
      </c>
      <c r="D718" s="4"/>
      <c r="E718" s="19">
        <v>0.0</v>
      </c>
      <c r="F718" s="19">
        <v>0.0</v>
      </c>
      <c r="G718" s="16" t="s">
        <v>16</v>
      </c>
      <c r="H718" s="21"/>
      <c r="I718" s="22">
        <v>13.0</v>
      </c>
      <c r="J718" s="23"/>
      <c r="K718" s="44">
        <f t="shared" si="84"/>
        <v>8161.02</v>
      </c>
      <c r="L718" s="44">
        <v>18000.0</v>
      </c>
      <c r="M718" s="25"/>
      <c r="N718" s="102">
        <v>14000.0</v>
      </c>
      <c r="O718" s="27">
        <f t="shared" si="80"/>
        <v>1.205606652</v>
      </c>
      <c r="P718" s="28">
        <f t="shared" si="82"/>
        <v>0</v>
      </c>
    </row>
    <row r="719" hidden="1">
      <c r="A719" s="16" t="s">
        <v>1163</v>
      </c>
      <c r="B719" s="36"/>
      <c r="C719" s="18" t="s">
        <v>1157</v>
      </c>
      <c r="D719" s="4"/>
      <c r="E719" s="19">
        <v>0.0</v>
      </c>
      <c r="F719" s="19"/>
      <c r="G719" s="16" t="s">
        <v>1164</v>
      </c>
      <c r="H719" s="21"/>
      <c r="I719" s="22"/>
      <c r="J719" s="23"/>
      <c r="K719" s="44">
        <f t="shared" si="84"/>
        <v>8161.02</v>
      </c>
      <c r="L719" s="44">
        <v>18000.0</v>
      </c>
      <c r="M719" s="25"/>
      <c r="N719" s="102">
        <v>14000.0</v>
      </c>
      <c r="O719" s="27">
        <f t="shared" si="80"/>
        <v>1.205606652</v>
      </c>
      <c r="P719" s="28">
        <f t="shared" si="82"/>
        <v>0</v>
      </c>
    </row>
    <row r="720" hidden="1">
      <c r="A720" s="16" t="s">
        <v>1165</v>
      </c>
      <c r="B720" s="36"/>
      <c r="C720" s="18" t="s">
        <v>1157</v>
      </c>
      <c r="D720" s="4"/>
      <c r="E720" s="19">
        <v>0.0</v>
      </c>
      <c r="F720" s="19"/>
      <c r="G720" s="16" t="s">
        <v>1164</v>
      </c>
      <c r="H720" s="21"/>
      <c r="I720" s="22"/>
      <c r="J720" s="23"/>
      <c r="K720" s="44">
        <f t="shared" si="84"/>
        <v>8161.02</v>
      </c>
      <c r="L720" s="44">
        <v>18000.0</v>
      </c>
      <c r="M720" s="25"/>
      <c r="N720" s="102">
        <v>14000.0</v>
      </c>
      <c r="O720" s="27">
        <f t="shared" si="80"/>
        <v>1.205606652</v>
      </c>
      <c r="P720" s="28">
        <f t="shared" si="82"/>
        <v>0</v>
      </c>
    </row>
    <row r="721" hidden="1">
      <c r="A721" s="16" t="s">
        <v>1166</v>
      </c>
      <c r="B721" s="36"/>
      <c r="C721" s="18" t="s">
        <v>1157</v>
      </c>
      <c r="D721" s="4"/>
      <c r="E721" s="19">
        <v>0.0</v>
      </c>
      <c r="F721" s="19"/>
      <c r="G721" s="16" t="s">
        <v>1164</v>
      </c>
      <c r="H721" s="21"/>
      <c r="I721" s="22"/>
      <c r="J721" s="23"/>
      <c r="K721" s="44">
        <f t="shared" si="84"/>
        <v>8161.02</v>
      </c>
      <c r="L721" s="44">
        <v>18000.0</v>
      </c>
      <c r="M721" s="25"/>
      <c r="N721" s="102">
        <v>14000.0</v>
      </c>
      <c r="O721" s="27">
        <f t="shared" si="80"/>
        <v>1.205606652</v>
      </c>
      <c r="P721" s="28">
        <f t="shared" si="82"/>
        <v>0</v>
      </c>
    </row>
    <row r="722" hidden="1">
      <c r="A722" s="16" t="s">
        <v>1167</v>
      </c>
      <c r="B722" s="36"/>
      <c r="C722" s="18" t="s">
        <v>1157</v>
      </c>
      <c r="D722" s="4"/>
      <c r="E722" s="19">
        <v>0.0</v>
      </c>
      <c r="F722" s="19"/>
      <c r="G722" s="16" t="s">
        <v>1164</v>
      </c>
      <c r="H722" s="21"/>
      <c r="I722" s="22"/>
      <c r="J722" s="23"/>
      <c r="K722" s="44">
        <f t="shared" si="84"/>
        <v>8161.02</v>
      </c>
      <c r="L722" s="44">
        <v>18000.0</v>
      </c>
      <c r="M722" s="25"/>
      <c r="N722" s="102">
        <v>14000.0</v>
      </c>
      <c r="O722" s="27">
        <f t="shared" si="80"/>
        <v>1.205606652</v>
      </c>
      <c r="P722" s="28">
        <f t="shared" si="82"/>
        <v>0</v>
      </c>
    </row>
    <row r="723" hidden="1">
      <c r="A723" s="187" t="s">
        <v>1168</v>
      </c>
      <c r="B723" s="36"/>
      <c r="C723" s="18" t="s">
        <v>1157</v>
      </c>
      <c r="D723" s="4"/>
      <c r="E723" s="19">
        <v>0.0</v>
      </c>
      <c r="F723" s="19"/>
      <c r="G723" s="16" t="s">
        <v>1164</v>
      </c>
      <c r="H723" s="21"/>
      <c r="I723" s="22"/>
      <c r="J723" s="23"/>
      <c r="K723" s="44">
        <f t="shared" si="84"/>
        <v>8161.02</v>
      </c>
      <c r="L723" s="44">
        <v>18000.0</v>
      </c>
      <c r="M723" s="25"/>
      <c r="N723" s="102">
        <v>14000.0</v>
      </c>
      <c r="O723" s="27">
        <f t="shared" si="80"/>
        <v>1.205606652</v>
      </c>
      <c r="P723" s="28">
        <f t="shared" si="82"/>
        <v>0</v>
      </c>
    </row>
    <row r="724" hidden="1">
      <c r="A724" s="187" t="s">
        <v>1169</v>
      </c>
      <c r="B724" s="36"/>
      <c r="C724" s="18" t="s">
        <v>1157</v>
      </c>
      <c r="D724" s="4"/>
      <c r="E724" s="19">
        <v>0.0</v>
      </c>
      <c r="F724" s="19"/>
      <c r="G724" s="16" t="s">
        <v>1164</v>
      </c>
      <c r="H724" s="21"/>
      <c r="I724" s="22"/>
      <c r="J724" s="23"/>
      <c r="K724" s="44">
        <f t="shared" si="84"/>
        <v>8161.02</v>
      </c>
      <c r="L724" s="44">
        <v>18000.0</v>
      </c>
      <c r="M724" s="25"/>
      <c r="N724" s="102">
        <v>14000.0</v>
      </c>
      <c r="O724" s="27">
        <f t="shared" si="80"/>
        <v>1.205606652</v>
      </c>
      <c r="P724" s="28">
        <f t="shared" si="82"/>
        <v>0</v>
      </c>
    </row>
    <row r="725" hidden="1">
      <c r="A725" s="187" t="s">
        <v>1170</v>
      </c>
      <c r="B725" s="36">
        <v>245034.0</v>
      </c>
      <c r="C725" s="18" t="s">
        <v>1157</v>
      </c>
      <c r="D725" s="4"/>
      <c r="E725" s="19">
        <v>0.0</v>
      </c>
      <c r="F725" s="19"/>
      <c r="G725" s="16" t="s">
        <v>1164</v>
      </c>
      <c r="H725" s="21"/>
      <c r="I725" s="22"/>
      <c r="J725" s="23"/>
      <c r="K725" s="44">
        <f t="shared" si="84"/>
        <v>8161.02</v>
      </c>
      <c r="L725" s="44">
        <v>18000.0</v>
      </c>
      <c r="M725" s="25"/>
      <c r="N725" s="102">
        <v>14000.0</v>
      </c>
      <c r="O725" s="27">
        <f t="shared" si="80"/>
        <v>1.205606652</v>
      </c>
      <c r="P725" s="28">
        <f t="shared" si="82"/>
        <v>0</v>
      </c>
    </row>
    <row r="726" hidden="1">
      <c r="A726" s="187" t="s">
        <v>1171</v>
      </c>
      <c r="B726" s="36">
        <v>245035.0</v>
      </c>
      <c r="C726" s="18" t="s">
        <v>1157</v>
      </c>
      <c r="D726" s="4"/>
      <c r="E726" s="19">
        <v>0.0</v>
      </c>
      <c r="F726" s="19"/>
      <c r="G726" s="16" t="s">
        <v>1164</v>
      </c>
      <c r="H726" s="21"/>
      <c r="I726" s="22"/>
      <c r="J726" s="23"/>
      <c r="K726" s="44">
        <f t="shared" si="84"/>
        <v>8161.02</v>
      </c>
      <c r="L726" s="44">
        <v>18000.0</v>
      </c>
      <c r="M726" s="25"/>
      <c r="N726" s="102">
        <v>14000.0</v>
      </c>
      <c r="O726" s="27">
        <f t="shared" si="80"/>
        <v>1.205606652</v>
      </c>
      <c r="P726" s="28">
        <f t="shared" si="82"/>
        <v>0</v>
      </c>
    </row>
    <row r="727" hidden="1">
      <c r="A727" s="187" t="s">
        <v>1172</v>
      </c>
      <c r="B727" s="36">
        <v>245032.0</v>
      </c>
      <c r="C727" s="18" t="s">
        <v>1157</v>
      </c>
      <c r="D727" s="4"/>
      <c r="E727" s="19">
        <v>0.0</v>
      </c>
      <c r="F727" s="19"/>
      <c r="G727" s="16" t="s">
        <v>1161</v>
      </c>
      <c r="H727" s="21"/>
      <c r="I727" s="22"/>
      <c r="J727" s="23"/>
      <c r="K727" s="44">
        <v>6378.0</v>
      </c>
      <c r="L727" s="44">
        <v>18000.0</v>
      </c>
      <c r="M727" s="25"/>
      <c r="N727" s="102">
        <v>14000.0</v>
      </c>
      <c r="O727" s="27">
        <f t="shared" si="80"/>
        <v>1.822201317</v>
      </c>
      <c r="P727" s="28">
        <f t="shared" si="82"/>
        <v>0</v>
      </c>
    </row>
    <row r="728" hidden="1">
      <c r="A728" s="187" t="s">
        <v>1173</v>
      </c>
      <c r="B728" s="36">
        <v>245033.0</v>
      </c>
      <c r="C728" s="18" t="s">
        <v>1157</v>
      </c>
      <c r="D728" s="4"/>
      <c r="E728" s="19">
        <v>0.0</v>
      </c>
      <c r="F728" s="19"/>
      <c r="G728" s="16" t="s">
        <v>1161</v>
      </c>
      <c r="H728" s="21"/>
      <c r="I728" s="22"/>
      <c r="J728" s="23"/>
      <c r="K728" s="44">
        <v>6378.0</v>
      </c>
      <c r="L728" s="44">
        <v>18000.0</v>
      </c>
      <c r="M728" s="25"/>
      <c r="N728" s="102">
        <v>14000.0</v>
      </c>
      <c r="O728" s="27">
        <f t="shared" si="80"/>
        <v>1.822201317</v>
      </c>
      <c r="P728" s="28">
        <f t="shared" si="82"/>
        <v>0</v>
      </c>
    </row>
    <row r="729" hidden="1">
      <c r="A729" s="187" t="s">
        <v>1174</v>
      </c>
      <c r="B729" s="36">
        <v>245034.0</v>
      </c>
      <c r="C729" s="18" t="s">
        <v>1157</v>
      </c>
      <c r="D729" s="4"/>
      <c r="E729" s="19">
        <v>0.0</v>
      </c>
      <c r="F729" s="19"/>
      <c r="G729" s="16" t="s">
        <v>1161</v>
      </c>
      <c r="H729" s="21"/>
      <c r="I729" s="22"/>
      <c r="J729" s="23"/>
      <c r="K729" s="44">
        <v>6378.0</v>
      </c>
      <c r="L729" s="44">
        <v>18000.0</v>
      </c>
      <c r="M729" s="25"/>
      <c r="N729" s="102">
        <v>14000.0</v>
      </c>
      <c r="O729" s="27">
        <f t="shared" si="80"/>
        <v>1.822201317</v>
      </c>
      <c r="P729" s="28">
        <f t="shared" si="82"/>
        <v>0</v>
      </c>
    </row>
    <row r="730" hidden="1">
      <c r="A730" s="187" t="s">
        <v>1175</v>
      </c>
      <c r="B730" s="36">
        <v>245035.0</v>
      </c>
      <c r="C730" s="18" t="s">
        <v>1157</v>
      </c>
      <c r="D730" s="4"/>
      <c r="E730" s="19">
        <v>0.0</v>
      </c>
      <c r="F730" s="19"/>
      <c r="G730" s="16" t="s">
        <v>1161</v>
      </c>
      <c r="H730" s="21"/>
      <c r="I730" s="22"/>
      <c r="J730" s="23"/>
      <c r="K730" s="44">
        <v>6378.0</v>
      </c>
      <c r="L730" s="44">
        <v>18000.0</v>
      </c>
      <c r="M730" s="25"/>
      <c r="N730" s="102">
        <v>14000.0</v>
      </c>
      <c r="O730" s="27">
        <f t="shared" si="80"/>
        <v>1.822201317</v>
      </c>
      <c r="P730" s="28">
        <f t="shared" si="82"/>
        <v>0</v>
      </c>
    </row>
    <row r="731" hidden="1">
      <c r="A731" s="16" t="s">
        <v>1176</v>
      </c>
      <c r="B731" s="36"/>
      <c r="C731" s="18" t="s">
        <v>1157</v>
      </c>
      <c r="D731" s="4"/>
      <c r="E731" s="19">
        <v>0.0</v>
      </c>
      <c r="F731" s="19"/>
      <c r="G731" s="16" t="s">
        <v>1164</v>
      </c>
      <c r="H731" s="21"/>
      <c r="I731" s="22"/>
      <c r="J731" s="23"/>
      <c r="K731" s="44">
        <f t="shared" ref="K731:K736" si="85">34290*1.19/5</f>
        <v>8161.02</v>
      </c>
      <c r="L731" s="44">
        <v>18000.0</v>
      </c>
      <c r="M731" s="25"/>
      <c r="N731" s="102">
        <v>14000.0</v>
      </c>
      <c r="O731" s="27">
        <f t="shared" si="80"/>
        <v>1.205606652</v>
      </c>
      <c r="P731" s="28">
        <f t="shared" si="82"/>
        <v>0</v>
      </c>
    </row>
    <row r="732" hidden="1">
      <c r="A732" s="16" t="s">
        <v>1177</v>
      </c>
      <c r="B732" s="36"/>
      <c r="C732" s="18" t="s">
        <v>1157</v>
      </c>
      <c r="D732" s="4"/>
      <c r="E732" s="19">
        <v>0.0</v>
      </c>
      <c r="F732" s="19"/>
      <c r="G732" s="16" t="s">
        <v>1161</v>
      </c>
      <c r="H732" s="21"/>
      <c r="I732" s="22"/>
      <c r="J732" s="23"/>
      <c r="K732" s="44">
        <f t="shared" si="85"/>
        <v>8161.02</v>
      </c>
      <c r="L732" s="44">
        <v>18000.0</v>
      </c>
      <c r="M732" s="25"/>
      <c r="N732" s="102">
        <v>14000.0</v>
      </c>
      <c r="O732" s="27">
        <f t="shared" si="80"/>
        <v>1.205606652</v>
      </c>
      <c r="P732" s="28">
        <f t="shared" si="82"/>
        <v>0</v>
      </c>
    </row>
    <row r="733" hidden="1">
      <c r="A733" s="16" t="s">
        <v>1178</v>
      </c>
      <c r="B733" s="36"/>
      <c r="C733" s="18" t="s">
        <v>1157</v>
      </c>
      <c r="D733" s="4"/>
      <c r="E733" s="19">
        <v>0.0</v>
      </c>
      <c r="F733" s="19"/>
      <c r="G733" s="16" t="s">
        <v>1164</v>
      </c>
      <c r="H733" s="21"/>
      <c r="I733" s="22"/>
      <c r="J733" s="23"/>
      <c r="K733" s="44">
        <f t="shared" si="85"/>
        <v>8161.02</v>
      </c>
      <c r="L733" s="44">
        <v>18000.0</v>
      </c>
      <c r="M733" s="25"/>
      <c r="N733" s="102">
        <v>14000.0</v>
      </c>
      <c r="O733" s="27">
        <f t="shared" si="80"/>
        <v>1.205606652</v>
      </c>
      <c r="P733" s="28">
        <f t="shared" si="82"/>
        <v>0</v>
      </c>
    </row>
    <row r="734" hidden="1">
      <c r="A734" s="16" t="s">
        <v>1179</v>
      </c>
      <c r="B734" s="36"/>
      <c r="C734" s="18" t="s">
        <v>1157</v>
      </c>
      <c r="D734" s="4"/>
      <c r="E734" s="19">
        <v>0.0</v>
      </c>
      <c r="F734" s="19"/>
      <c r="G734" s="16" t="s">
        <v>1164</v>
      </c>
      <c r="H734" s="21"/>
      <c r="I734" s="22"/>
      <c r="J734" s="23"/>
      <c r="K734" s="44">
        <f t="shared" si="85"/>
        <v>8161.02</v>
      </c>
      <c r="L734" s="44">
        <v>18000.0</v>
      </c>
      <c r="M734" s="25"/>
      <c r="N734" s="102">
        <v>14000.0</v>
      </c>
      <c r="O734" s="27">
        <f t="shared" si="80"/>
        <v>1.205606652</v>
      </c>
      <c r="P734" s="28">
        <f t="shared" si="82"/>
        <v>0</v>
      </c>
    </row>
    <row r="735" hidden="1">
      <c r="A735" s="16" t="s">
        <v>1180</v>
      </c>
      <c r="B735" s="36"/>
      <c r="C735" s="18" t="s">
        <v>1157</v>
      </c>
      <c r="D735" s="4"/>
      <c r="E735" s="19">
        <v>0.0</v>
      </c>
      <c r="F735" s="19"/>
      <c r="G735" s="16" t="s">
        <v>1164</v>
      </c>
      <c r="H735" s="21"/>
      <c r="I735" s="22"/>
      <c r="J735" s="23"/>
      <c r="K735" s="44">
        <f t="shared" si="85"/>
        <v>8161.02</v>
      </c>
      <c r="L735" s="44">
        <v>18000.0</v>
      </c>
      <c r="M735" s="25"/>
      <c r="N735" s="102">
        <v>14000.0</v>
      </c>
      <c r="O735" s="27">
        <f t="shared" si="80"/>
        <v>1.205606652</v>
      </c>
      <c r="P735" s="28">
        <f t="shared" si="82"/>
        <v>0</v>
      </c>
    </row>
    <row r="736" hidden="1">
      <c r="A736" s="16" t="s">
        <v>1181</v>
      </c>
      <c r="B736" s="36"/>
      <c r="C736" s="18" t="s">
        <v>1157</v>
      </c>
      <c r="D736" s="4"/>
      <c r="E736" s="19">
        <v>0.0</v>
      </c>
      <c r="F736" s="19"/>
      <c r="G736" s="16" t="s">
        <v>1164</v>
      </c>
      <c r="H736" s="21"/>
      <c r="I736" s="22"/>
      <c r="J736" s="23"/>
      <c r="K736" s="44">
        <f t="shared" si="85"/>
        <v>8161.02</v>
      </c>
      <c r="L736" s="44">
        <v>18000.0</v>
      </c>
      <c r="M736" s="25"/>
      <c r="N736" s="102">
        <v>14000.0</v>
      </c>
      <c r="O736" s="27">
        <f t="shared" si="80"/>
        <v>1.205606652</v>
      </c>
      <c r="P736" s="28">
        <f t="shared" si="82"/>
        <v>0</v>
      </c>
    </row>
    <row r="737" hidden="1">
      <c r="A737" s="16" t="s">
        <v>1182</v>
      </c>
      <c r="B737" s="36">
        <v>245037.0</v>
      </c>
      <c r="C737" s="18" t="s">
        <v>1157</v>
      </c>
      <c r="D737" s="4"/>
      <c r="E737" s="19">
        <v>0.0</v>
      </c>
      <c r="F737" s="19">
        <v>0.0</v>
      </c>
      <c r="G737" s="16" t="s">
        <v>914</v>
      </c>
      <c r="H737" s="21"/>
      <c r="I737" s="22" t="s">
        <v>99</v>
      </c>
      <c r="J737" s="23"/>
      <c r="K737" s="44">
        <v>6378.0</v>
      </c>
      <c r="L737" s="44">
        <v>18000.0</v>
      </c>
      <c r="M737" s="25"/>
      <c r="N737" s="102">
        <v>14000.0</v>
      </c>
      <c r="O737" s="27">
        <f t="shared" si="80"/>
        <v>1.822201317</v>
      </c>
      <c r="P737" s="28">
        <f t="shared" si="82"/>
        <v>0</v>
      </c>
    </row>
    <row r="738" hidden="1">
      <c r="A738" s="16" t="s">
        <v>1183</v>
      </c>
      <c r="B738" s="36"/>
      <c r="C738" s="18" t="s">
        <v>1157</v>
      </c>
      <c r="D738" s="4"/>
      <c r="E738" s="19">
        <v>0.0</v>
      </c>
      <c r="F738" s="19"/>
      <c r="G738" s="16" t="s">
        <v>1164</v>
      </c>
      <c r="H738" s="21"/>
      <c r="I738" s="22"/>
      <c r="J738" s="23"/>
      <c r="K738" s="44">
        <f t="shared" ref="K738:K742" si="86">34290*1.19/5</f>
        <v>8161.02</v>
      </c>
      <c r="L738" s="44">
        <v>18000.0</v>
      </c>
      <c r="M738" s="25"/>
      <c r="N738" s="102">
        <v>14000.0</v>
      </c>
      <c r="O738" s="27">
        <f t="shared" si="80"/>
        <v>1.205606652</v>
      </c>
      <c r="P738" s="28">
        <f t="shared" si="82"/>
        <v>0</v>
      </c>
    </row>
    <row r="739" hidden="1">
      <c r="A739" s="16" t="s">
        <v>1184</v>
      </c>
      <c r="B739" s="36"/>
      <c r="C739" s="18" t="s">
        <v>1157</v>
      </c>
      <c r="D739" s="4"/>
      <c r="E739" s="19">
        <v>0.0</v>
      </c>
      <c r="F739" s="19"/>
      <c r="G739" s="16" t="s">
        <v>1164</v>
      </c>
      <c r="H739" s="21"/>
      <c r="I739" s="22"/>
      <c r="J739" s="23"/>
      <c r="K739" s="44">
        <f t="shared" si="86"/>
        <v>8161.02</v>
      </c>
      <c r="L739" s="44">
        <v>18000.0</v>
      </c>
      <c r="M739" s="25"/>
      <c r="N739" s="102">
        <v>14000.0</v>
      </c>
      <c r="O739" s="27">
        <f t="shared" si="80"/>
        <v>1.205606652</v>
      </c>
      <c r="P739" s="28">
        <f t="shared" si="82"/>
        <v>0</v>
      </c>
    </row>
    <row r="740" hidden="1">
      <c r="A740" s="16" t="s">
        <v>1185</v>
      </c>
      <c r="B740" s="36"/>
      <c r="C740" s="18" t="s">
        <v>1157</v>
      </c>
      <c r="D740" s="4"/>
      <c r="E740" s="19">
        <v>0.0</v>
      </c>
      <c r="F740" s="19"/>
      <c r="G740" s="16" t="s">
        <v>1161</v>
      </c>
      <c r="H740" s="21"/>
      <c r="I740" s="22"/>
      <c r="J740" s="23"/>
      <c r="K740" s="44">
        <f t="shared" si="86"/>
        <v>8161.02</v>
      </c>
      <c r="L740" s="44">
        <v>18000.0</v>
      </c>
      <c r="M740" s="25"/>
      <c r="N740" s="102">
        <v>14000.0</v>
      </c>
      <c r="O740" s="27">
        <f t="shared" si="80"/>
        <v>1.205606652</v>
      </c>
      <c r="P740" s="28">
        <f t="shared" si="82"/>
        <v>0</v>
      </c>
    </row>
    <row r="741" hidden="1">
      <c r="A741" s="16" t="s">
        <v>1186</v>
      </c>
      <c r="B741" s="36"/>
      <c r="C741" s="18" t="s">
        <v>1157</v>
      </c>
      <c r="D741" s="4"/>
      <c r="E741" s="19">
        <v>0.0</v>
      </c>
      <c r="F741" s="19"/>
      <c r="G741" s="16" t="s">
        <v>1164</v>
      </c>
      <c r="H741" s="21"/>
      <c r="I741" s="22"/>
      <c r="J741" s="23"/>
      <c r="K741" s="44">
        <f t="shared" si="86"/>
        <v>8161.02</v>
      </c>
      <c r="L741" s="44">
        <v>18000.0</v>
      </c>
      <c r="M741" s="25"/>
      <c r="N741" s="102">
        <v>14000.0</v>
      </c>
      <c r="O741" s="27">
        <f t="shared" si="80"/>
        <v>1.205606652</v>
      </c>
      <c r="P741" s="28">
        <f t="shared" si="82"/>
        <v>0</v>
      </c>
    </row>
    <row r="742" hidden="1">
      <c r="A742" s="16" t="s">
        <v>1187</v>
      </c>
      <c r="B742" s="36"/>
      <c r="C742" s="18" t="s">
        <v>1157</v>
      </c>
      <c r="D742" s="4"/>
      <c r="E742" s="19">
        <v>0.0</v>
      </c>
      <c r="F742" s="19"/>
      <c r="G742" s="16" t="s">
        <v>1164</v>
      </c>
      <c r="H742" s="21"/>
      <c r="I742" s="22"/>
      <c r="J742" s="23"/>
      <c r="K742" s="44">
        <f t="shared" si="86"/>
        <v>8161.02</v>
      </c>
      <c r="L742" s="44">
        <v>18000.0</v>
      </c>
      <c r="M742" s="25"/>
      <c r="N742" s="102">
        <v>14000.0</v>
      </c>
      <c r="O742" s="27">
        <f t="shared" si="80"/>
        <v>1.205606652</v>
      </c>
      <c r="P742" s="28">
        <f t="shared" si="82"/>
        <v>0</v>
      </c>
    </row>
    <row r="743" hidden="1">
      <c r="A743" s="16" t="s">
        <v>1188</v>
      </c>
      <c r="B743" s="36">
        <v>245039.0</v>
      </c>
      <c r="C743" s="18" t="s">
        <v>1157</v>
      </c>
      <c r="D743" s="4"/>
      <c r="E743" s="19">
        <v>0.0</v>
      </c>
      <c r="F743" s="19"/>
      <c r="G743" s="16" t="s">
        <v>1161</v>
      </c>
      <c r="H743" s="21"/>
      <c r="I743" s="22"/>
      <c r="J743" s="23"/>
      <c r="K743" s="44">
        <v>6378.0</v>
      </c>
      <c r="L743" s="44">
        <v>18000.0</v>
      </c>
      <c r="M743" s="25"/>
      <c r="N743" s="102">
        <v>14000.0</v>
      </c>
      <c r="O743" s="27">
        <f t="shared" si="80"/>
        <v>1.822201317</v>
      </c>
      <c r="P743" s="28">
        <f t="shared" si="82"/>
        <v>0</v>
      </c>
    </row>
    <row r="744" hidden="1">
      <c r="A744" s="16" t="s">
        <v>1189</v>
      </c>
      <c r="B744" s="36"/>
      <c r="C744" s="18" t="s">
        <v>1157</v>
      </c>
      <c r="D744" s="4"/>
      <c r="E744" s="19">
        <v>0.0</v>
      </c>
      <c r="F744" s="19"/>
      <c r="G744" s="16" t="s">
        <v>1164</v>
      </c>
      <c r="H744" s="21"/>
      <c r="I744" s="22"/>
      <c r="J744" s="23"/>
      <c r="K744" s="44">
        <f t="shared" ref="K744:K746" si="87">34290*1.19/5</f>
        <v>8161.02</v>
      </c>
      <c r="L744" s="44">
        <v>18000.0</v>
      </c>
      <c r="M744" s="25"/>
      <c r="N744" s="102">
        <v>14000.0</v>
      </c>
      <c r="O744" s="27">
        <f t="shared" si="80"/>
        <v>1.205606652</v>
      </c>
      <c r="P744" s="28">
        <f t="shared" si="82"/>
        <v>0</v>
      </c>
    </row>
    <row r="745" hidden="1">
      <c r="A745" s="16" t="s">
        <v>1190</v>
      </c>
      <c r="B745" s="36"/>
      <c r="C745" s="18" t="s">
        <v>1157</v>
      </c>
      <c r="D745" s="4"/>
      <c r="E745" s="19">
        <v>0.0</v>
      </c>
      <c r="F745" s="19"/>
      <c r="G745" s="16" t="s">
        <v>1161</v>
      </c>
      <c r="H745" s="21"/>
      <c r="I745" s="22"/>
      <c r="J745" s="23"/>
      <c r="K745" s="44">
        <f t="shared" si="87"/>
        <v>8161.02</v>
      </c>
      <c r="L745" s="44">
        <v>18000.0</v>
      </c>
      <c r="M745" s="25"/>
      <c r="N745" s="102">
        <v>14000.0</v>
      </c>
      <c r="O745" s="27">
        <f t="shared" si="80"/>
        <v>1.205606652</v>
      </c>
      <c r="P745" s="28">
        <f t="shared" si="82"/>
        <v>0</v>
      </c>
    </row>
    <row r="746" hidden="1">
      <c r="A746" s="16" t="s">
        <v>1191</v>
      </c>
      <c r="B746" s="36"/>
      <c r="C746" s="18" t="s">
        <v>1157</v>
      </c>
      <c r="D746" s="4"/>
      <c r="E746" s="19">
        <v>0.0</v>
      </c>
      <c r="F746" s="19"/>
      <c r="G746" s="16" t="s">
        <v>1164</v>
      </c>
      <c r="H746" s="21"/>
      <c r="I746" s="22"/>
      <c r="J746" s="23"/>
      <c r="K746" s="44">
        <f t="shared" si="87"/>
        <v>8161.02</v>
      </c>
      <c r="L746" s="44">
        <v>18000.0</v>
      </c>
      <c r="M746" s="25"/>
      <c r="N746" s="102">
        <v>14000.0</v>
      </c>
      <c r="O746" s="27">
        <f t="shared" si="80"/>
        <v>1.205606652</v>
      </c>
      <c r="P746" s="28">
        <f t="shared" si="82"/>
        <v>0</v>
      </c>
    </row>
    <row r="747" hidden="1">
      <c r="A747" s="16" t="s">
        <v>1192</v>
      </c>
      <c r="B747" s="36">
        <v>245041.0</v>
      </c>
      <c r="C747" s="18" t="s">
        <v>1157</v>
      </c>
      <c r="D747" s="4"/>
      <c r="E747" s="19">
        <v>0.0</v>
      </c>
      <c r="F747" s="19"/>
      <c r="G747" s="16" t="s">
        <v>1161</v>
      </c>
      <c r="H747" s="21"/>
      <c r="I747" s="22"/>
      <c r="J747" s="23"/>
      <c r="K747" s="44">
        <v>6378.0</v>
      </c>
      <c r="L747" s="44">
        <v>18000.0</v>
      </c>
      <c r="M747" s="25"/>
      <c r="N747" s="102">
        <v>14000.0</v>
      </c>
      <c r="O747" s="27">
        <f t="shared" si="80"/>
        <v>1.822201317</v>
      </c>
      <c r="P747" s="28">
        <f t="shared" si="82"/>
        <v>0</v>
      </c>
    </row>
    <row r="748" hidden="1">
      <c r="A748" s="16" t="s">
        <v>1193</v>
      </c>
      <c r="B748" s="36"/>
      <c r="C748" s="18" t="s">
        <v>1157</v>
      </c>
      <c r="D748" s="4"/>
      <c r="E748" s="19">
        <v>0.0</v>
      </c>
      <c r="F748" s="19"/>
      <c r="G748" s="16" t="s">
        <v>1164</v>
      </c>
      <c r="H748" s="21"/>
      <c r="I748" s="22"/>
      <c r="J748" s="23"/>
      <c r="K748" s="44">
        <f t="shared" ref="K748:K750" si="88">34290*1.19/5</f>
        <v>8161.02</v>
      </c>
      <c r="L748" s="44">
        <v>18000.0</v>
      </c>
      <c r="M748" s="25"/>
      <c r="N748" s="102">
        <v>14000.0</v>
      </c>
      <c r="O748" s="27">
        <f t="shared" si="80"/>
        <v>1.205606652</v>
      </c>
      <c r="P748" s="28">
        <f t="shared" si="82"/>
        <v>0</v>
      </c>
    </row>
    <row r="749" hidden="1">
      <c r="A749" s="16" t="s">
        <v>1194</v>
      </c>
      <c r="B749" s="36"/>
      <c r="C749" s="18" t="s">
        <v>1157</v>
      </c>
      <c r="D749" s="4"/>
      <c r="E749" s="19">
        <v>0.0</v>
      </c>
      <c r="F749" s="19"/>
      <c r="G749" s="16" t="s">
        <v>1161</v>
      </c>
      <c r="H749" s="21"/>
      <c r="I749" s="22"/>
      <c r="J749" s="23"/>
      <c r="K749" s="44">
        <f t="shared" si="88"/>
        <v>8161.02</v>
      </c>
      <c r="L749" s="44">
        <v>18000.0</v>
      </c>
      <c r="M749" s="25"/>
      <c r="N749" s="102">
        <v>14000.0</v>
      </c>
      <c r="O749" s="27">
        <f t="shared" si="80"/>
        <v>1.205606652</v>
      </c>
      <c r="P749" s="28">
        <f t="shared" si="82"/>
        <v>0</v>
      </c>
    </row>
    <row r="750" hidden="1">
      <c r="A750" s="16" t="s">
        <v>1195</v>
      </c>
      <c r="B750" s="36"/>
      <c r="C750" s="18" t="s">
        <v>1157</v>
      </c>
      <c r="D750" s="4"/>
      <c r="E750" s="19">
        <v>0.0</v>
      </c>
      <c r="F750" s="19"/>
      <c r="G750" s="16" t="s">
        <v>1164</v>
      </c>
      <c r="H750" s="21"/>
      <c r="I750" s="22"/>
      <c r="J750" s="23"/>
      <c r="K750" s="44">
        <f t="shared" si="88"/>
        <v>8161.02</v>
      </c>
      <c r="L750" s="44">
        <v>18000.0</v>
      </c>
      <c r="M750" s="25"/>
      <c r="N750" s="102">
        <v>14000.0</v>
      </c>
      <c r="O750" s="27">
        <f t="shared" si="80"/>
        <v>1.205606652</v>
      </c>
      <c r="P750" s="28">
        <f t="shared" si="82"/>
        <v>0</v>
      </c>
    </row>
    <row r="751" hidden="1">
      <c r="A751" s="16" t="s">
        <v>1196</v>
      </c>
      <c r="B751" s="36">
        <v>245043.0</v>
      </c>
      <c r="C751" s="18" t="s">
        <v>1157</v>
      </c>
      <c r="D751" s="4"/>
      <c r="E751" s="19">
        <v>0.0</v>
      </c>
      <c r="F751" s="19"/>
      <c r="G751" s="16" t="s">
        <v>1161</v>
      </c>
      <c r="H751" s="21"/>
      <c r="I751" s="22"/>
      <c r="J751" s="23"/>
      <c r="K751" s="44">
        <v>6378.0</v>
      </c>
      <c r="L751" s="44">
        <v>18000.0</v>
      </c>
      <c r="M751" s="25"/>
      <c r="N751" s="102">
        <v>14000.0</v>
      </c>
      <c r="O751" s="27">
        <f t="shared" si="80"/>
        <v>1.822201317</v>
      </c>
      <c r="P751" s="28">
        <f t="shared" si="82"/>
        <v>0</v>
      </c>
    </row>
    <row r="752" hidden="1">
      <c r="A752" s="16" t="s">
        <v>1197</v>
      </c>
      <c r="B752" s="36"/>
      <c r="C752" s="18"/>
      <c r="D752" s="4"/>
      <c r="E752" s="19">
        <v>0.0</v>
      </c>
      <c r="F752" s="19">
        <v>0.0</v>
      </c>
      <c r="G752" s="16" t="s">
        <v>1198</v>
      </c>
      <c r="H752" s="21"/>
      <c r="I752" s="22">
        <v>100.0</v>
      </c>
      <c r="J752" s="29"/>
      <c r="K752" s="32">
        <v>2800.0</v>
      </c>
      <c r="L752" s="32">
        <v>12000.0</v>
      </c>
      <c r="M752" s="25"/>
      <c r="N752" s="39"/>
      <c r="O752" s="27">
        <f t="shared" si="80"/>
        <v>3.285714286</v>
      </c>
      <c r="P752" s="28">
        <f t="shared" si="82"/>
        <v>0</v>
      </c>
    </row>
    <row r="753" hidden="1">
      <c r="A753" s="16" t="s">
        <v>1199</v>
      </c>
      <c r="B753" s="36"/>
      <c r="C753" s="18" t="s">
        <v>1200</v>
      </c>
      <c r="D753" s="4"/>
      <c r="E753" s="19"/>
      <c r="F753" s="19"/>
      <c r="G753" s="16" t="s">
        <v>1201</v>
      </c>
      <c r="H753" s="21">
        <v>0.0</v>
      </c>
      <c r="I753" s="22"/>
      <c r="J753" s="23"/>
      <c r="K753" s="24">
        <f>9500*1.19</f>
        <v>11305</v>
      </c>
      <c r="L753" s="24">
        <v>16000.0</v>
      </c>
      <c r="M753" s="25"/>
      <c r="N753" s="39"/>
      <c r="O753" s="27"/>
      <c r="P753" s="28"/>
    </row>
    <row r="754" hidden="1">
      <c r="A754" s="16" t="s">
        <v>1202</v>
      </c>
      <c r="B754" s="79">
        <f>L754*4</f>
        <v>64000</v>
      </c>
      <c r="C754" s="18" t="s">
        <v>1200</v>
      </c>
      <c r="D754" s="4"/>
      <c r="E754" s="19"/>
      <c r="F754" s="19"/>
      <c r="G754" s="20" t="s">
        <v>375</v>
      </c>
      <c r="H754" s="21">
        <v>0.0</v>
      </c>
      <c r="I754" s="22"/>
      <c r="J754" s="29"/>
      <c r="K754" s="32">
        <f>9000*1.19</f>
        <v>10710</v>
      </c>
      <c r="L754" s="24">
        <v>16000.0</v>
      </c>
      <c r="M754" s="25"/>
      <c r="N754" s="70"/>
      <c r="O754" s="27">
        <f>(L754/K754)-1</f>
        <v>0.4939309057</v>
      </c>
      <c r="P754" s="28">
        <f>K754*F754</f>
        <v>0</v>
      </c>
    </row>
    <row r="755" hidden="1">
      <c r="A755" s="16" t="s">
        <v>1203</v>
      </c>
      <c r="B755" s="36"/>
      <c r="C755" s="18" t="s">
        <v>1200</v>
      </c>
      <c r="D755" s="4"/>
      <c r="E755" s="19"/>
      <c r="F755" s="19"/>
      <c r="G755" s="16" t="s">
        <v>1201</v>
      </c>
      <c r="H755" s="21">
        <v>0.0</v>
      </c>
      <c r="I755" s="22"/>
      <c r="J755" s="23"/>
      <c r="K755" s="24">
        <f>9500*1.19</f>
        <v>11305</v>
      </c>
      <c r="L755" s="24">
        <v>16000.0</v>
      </c>
      <c r="M755" s="25"/>
      <c r="N755" s="39"/>
      <c r="O755" s="27"/>
      <c r="P755" s="28"/>
    </row>
    <row r="756" hidden="1">
      <c r="A756" s="16" t="s">
        <v>1204</v>
      </c>
      <c r="B756" s="36"/>
      <c r="C756" s="18"/>
      <c r="D756" s="4"/>
      <c r="E756" s="19">
        <v>0.0</v>
      </c>
      <c r="F756" s="19">
        <v>0.0</v>
      </c>
      <c r="G756" s="16" t="s">
        <v>1205</v>
      </c>
      <c r="H756" s="21"/>
      <c r="I756" s="22"/>
      <c r="J756" s="29"/>
      <c r="K756" s="43">
        <f>11452*1.19</f>
        <v>13627.88</v>
      </c>
      <c r="L756" s="44">
        <v>18000.0</v>
      </c>
      <c r="M756" s="25"/>
      <c r="N756" s="39"/>
      <c r="O756" s="27">
        <f t="shared" ref="O756:O764" si="89">(L756/K756)-1</f>
        <v>0.3208217272</v>
      </c>
      <c r="P756" s="28">
        <f t="shared" ref="P756:P764" si="90">K756*F756</f>
        <v>0</v>
      </c>
    </row>
    <row r="757" hidden="1">
      <c r="A757" s="16" t="s">
        <v>1206</v>
      </c>
      <c r="B757" s="17"/>
      <c r="C757" s="18"/>
      <c r="D757" s="4"/>
      <c r="E757" s="19">
        <v>0.0</v>
      </c>
      <c r="F757" s="19">
        <v>0.0</v>
      </c>
      <c r="G757" s="40" t="s">
        <v>93</v>
      </c>
      <c r="H757" s="21"/>
      <c r="I757" s="22">
        <v>10.0</v>
      </c>
      <c r="J757" s="29"/>
      <c r="K757" s="32">
        <v>10670.0</v>
      </c>
      <c r="L757" s="24">
        <v>14000.0</v>
      </c>
      <c r="M757" s="25"/>
      <c r="N757" s="39"/>
      <c r="O757" s="27">
        <f t="shared" si="89"/>
        <v>0.3120899719</v>
      </c>
      <c r="P757" s="28">
        <f t="shared" si="90"/>
        <v>0</v>
      </c>
    </row>
    <row r="758" hidden="1">
      <c r="A758" s="16" t="s">
        <v>1207</v>
      </c>
      <c r="B758" s="17"/>
      <c r="C758" s="18"/>
      <c r="D758" s="4"/>
      <c r="E758" s="19">
        <v>0.0</v>
      </c>
      <c r="F758" s="19">
        <v>0.0</v>
      </c>
      <c r="G758" s="40" t="s">
        <v>93</v>
      </c>
      <c r="H758" s="21"/>
      <c r="I758" s="22"/>
      <c r="J758" s="29"/>
      <c r="K758" s="32">
        <v>10670.0</v>
      </c>
      <c r="L758" s="24">
        <v>14000.0</v>
      </c>
      <c r="M758" s="25"/>
      <c r="N758" s="39"/>
      <c r="O758" s="27">
        <f t="shared" si="89"/>
        <v>0.3120899719</v>
      </c>
      <c r="P758" s="28">
        <f t="shared" si="90"/>
        <v>0</v>
      </c>
    </row>
    <row r="759" hidden="1">
      <c r="A759" s="16" t="s">
        <v>1208</v>
      </c>
      <c r="B759" s="17"/>
      <c r="C759" s="18"/>
      <c r="D759" s="4"/>
      <c r="E759" s="19">
        <v>0.0</v>
      </c>
      <c r="F759" s="19">
        <v>0.0</v>
      </c>
      <c r="G759" s="40" t="s">
        <v>93</v>
      </c>
      <c r="H759" s="21"/>
      <c r="I759" s="22"/>
      <c r="J759" s="29"/>
      <c r="K759" s="32">
        <v>10670.0</v>
      </c>
      <c r="L759" s="24">
        <v>14000.0</v>
      </c>
      <c r="M759" s="25"/>
      <c r="N759" s="39"/>
      <c r="O759" s="27">
        <f t="shared" si="89"/>
        <v>0.3120899719</v>
      </c>
      <c r="P759" s="28">
        <f t="shared" si="90"/>
        <v>0</v>
      </c>
    </row>
    <row r="760" hidden="1">
      <c r="A760" s="16" t="s">
        <v>1209</v>
      </c>
      <c r="B760" s="36"/>
      <c r="C760" s="18"/>
      <c r="D760" s="4"/>
      <c r="E760" s="19">
        <v>0.0</v>
      </c>
      <c r="F760" s="19">
        <v>0.0</v>
      </c>
      <c r="G760" s="16" t="s">
        <v>1210</v>
      </c>
      <c r="H760" s="21"/>
      <c r="I760" s="22"/>
      <c r="J760" s="23"/>
      <c r="K760" s="24">
        <v>10710.0</v>
      </c>
      <c r="L760" s="24">
        <v>18000.0</v>
      </c>
      <c r="M760" s="25"/>
      <c r="N760" s="102">
        <v>14000.0</v>
      </c>
      <c r="O760" s="27">
        <f t="shared" si="89"/>
        <v>0.6806722689</v>
      </c>
      <c r="P760" s="28">
        <f t="shared" si="90"/>
        <v>0</v>
      </c>
    </row>
    <row r="761" hidden="1">
      <c r="A761" s="16" t="s">
        <v>1211</v>
      </c>
      <c r="B761" s="49"/>
      <c r="C761" s="18"/>
      <c r="D761" s="4"/>
      <c r="E761" s="19">
        <v>0.0</v>
      </c>
      <c r="F761" s="19">
        <v>0.0</v>
      </c>
      <c r="G761" s="20" t="s">
        <v>159</v>
      </c>
      <c r="H761" s="21"/>
      <c r="I761" s="22"/>
      <c r="J761" s="29"/>
      <c r="K761" s="48">
        <v>22230.0</v>
      </c>
      <c r="L761" s="55">
        <v>28000.0</v>
      </c>
      <c r="M761" s="25"/>
      <c r="N761" s="70"/>
      <c r="O761" s="27">
        <f t="shared" si="89"/>
        <v>0.2595591543</v>
      </c>
      <c r="P761" s="28">
        <f t="shared" si="90"/>
        <v>0</v>
      </c>
    </row>
    <row r="762" hidden="1">
      <c r="A762" s="16" t="s">
        <v>1212</v>
      </c>
      <c r="B762" s="17"/>
      <c r="C762" s="18" t="s">
        <v>1157</v>
      </c>
      <c r="D762" s="4"/>
      <c r="E762" s="19">
        <v>0.0</v>
      </c>
      <c r="F762" s="19">
        <v>0.0</v>
      </c>
      <c r="G762" s="16" t="s">
        <v>1158</v>
      </c>
      <c r="H762" s="21"/>
      <c r="I762" s="22"/>
      <c r="J762" s="29"/>
      <c r="K762" s="43">
        <f>11000*1.19</f>
        <v>13090</v>
      </c>
      <c r="L762" s="44">
        <v>25000.0</v>
      </c>
      <c r="M762" s="25"/>
      <c r="N762" s="102">
        <v>20000.0</v>
      </c>
      <c r="O762" s="27">
        <f t="shared" si="89"/>
        <v>0.909854851</v>
      </c>
      <c r="P762" s="28">
        <f t="shared" si="90"/>
        <v>0</v>
      </c>
    </row>
    <row r="763" hidden="1">
      <c r="A763" s="16" t="s">
        <v>1213</v>
      </c>
      <c r="B763" s="49"/>
      <c r="C763" s="18"/>
      <c r="D763" s="4"/>
      <c r="E763" s="19"/>
      <c r="F763" s="19"/>
      <c r="G763" s="20" t="s">
        <v>375</v>
      </c>
      <c r="H763" s="21">
        <v>0.0</v>
      </c>
      <c r="I763" s="22"/>
      <c r="J763" s="29"/>
      <c r="K763" s="32">
        <f>24500*1.19</f>
        <v>29155</v>
      </c>
      <c r="L763" s="24">
        <v>46000.0</v>
      </c>
      <c r="M763" s="25"/>
      <c r="N763" s="70"/>
      <c r="O763" s="27">
        <f t="shared" si="89"/>
        <v>0.5777739667</v>
      </c>
      <c r="P763" s="28">
        <f t="shared" si="90"/>
        <v>0</v>
      </c>
    </row>
    <row r="764" hidden="1">
      <c r="A764" s="16" t="s">
        <v>1214</v>
      </c>
      <c r="B764" s="17"/>
      <c r="C764" s="18" t="s">
        <v>1020</v>
      </c>
      <c r="D764" s="188"/>
      <c r="E764" s="19">
        <v>0.0</v>
      </c>
      <c r="F764" s="19"/>
      <c r="G764" s="16" t="s">
        <v>1215</v>
      </c>
      <c r="H764" s="21"/>
      <c r="I764" s="22"/>
      <c r="J764" s="29"/>
      <c r="K764" s="32">
        <v>45339.0</v>
      </c>
      <c r="L764" s="24">
        <v>56000.0</v>
      </c>
      <c r="M764" s="25"/>
      <c r="N764" s="39"/>
      <c r="O764" s="27">
        <f t="shared" si="89"/>
        <v>0.2351397252</v>
      </c>
      <c r="P764" s="28">
        <f t="shared" si="90"/>
        <v>0</v>
      </c>
    </row>
    <row r="765" hidden="1">
      <c r="A765" s="16" t="s">
        <v>1216</v>
      </c>
      <c r="B765" s="36"/>
      <c r="C765" s="18" t="s">
        <v>1200</v>
      </c>
      <c r="D765" s="4"/>
      <c r="E765" s="19"/>
      <c r="F765" s="19"/>
      <c r="G765" s="16" t="s">
        <v>1201</v>
      </c>
      <c r="H765" s="21">
        <v>0.0</v>
      </c>
      <c r="I765" s="22"/>
      <c r="J765" s="23"/>
      <c r="K765" s="24">
        <f t="shared" ref="K765:K768" si="91">9000*1.19</f>
        <v>10710</v>
      </c>
      <c r="L765" s="24">
        <v>16000.0</v>
      </c>
      <c r="M765" s="25"/>
      <c r="N765" s="39"/>
      <c r="O765" s="27"/>
      <c r="P765" s="28"/>
    </row>
    <row r="766" hidden="1">
      <c r="A766" s="16" t="s">
        <v>1217</v>
      </c>
      <c r="B766" s="36"/>
      <c r="C766" s="18" t="s">
        <v>1200</v>
      </c>
      <c r="D766" s="4"/>
      <c r="E766" s="19"/>
      <c r="F766" s="19"/>
      <c r="G766" s="16" t="s">
        <v>1201</v>
      </c>
      <c r="H766" s="21">
        <v>0.0</v>
      </c>
      <c r="I766" s="22"/>
      <c r="J766" s="23"/>
      <c r="K766" s="24">
        <f t="shared" si="91"/>
        <v>10710</v>
      </c>
      <c r="L766" s="24">
        <v>16000.0</v>
      </c>
      <c r="M766" s="25"/>
      <c r="N766" s="39"/>
      <c r="O766" s="27"/>
      <c r="P766" s="28"/>
    </row>
    <row r="767" hidden="1">
      <c r="A767" s="16" t="s">
        <v>1218</v>
      </c>
      <c r="B767" s="36"/>
      <c r="C767" s="18" t="s">
        <v>1200</v>
      </c>
      <c r="D767" s="4"/>
      <c r="E767" s="19"/>
      <c r="F767" s="19"/>
      <c r="G767" s="16" t="s">
        <v>1201</v>
      </c>
      <c r="H767" s="21">
        <v>0.0</v>
      </c>
      <c r="I767" s="22"/>
      <c r="J767" s="23"/>
      <c r="K767" s="24">
        <f t="shared" si="91"/>
        <v>10710</v>
      </c>
      <c r="L767" s="24">
        <v>16000.0</v>
      </c>
      <c r="M767" s="25"/>
      <c r="N767" s="26"/>
      <c r="O767" s="27"/>
      <c r="P767" s="28"/>
    </row>
    <row r="768" hidden="1">
      <c r="A768" s="16" t="s">
        <v>1219</v>
      </c>
      <c r="B768" s="36"/>
      <c r="C768" s="18" t="s">
        <v>1200</v>
      </c>
      <c r="D768" s="4"/>
      <c r="E768" s="19"/>
      <c r="F768" s="19"/>
      <c r="G768" s="16" t="s">
        <v>1201</v>
      </c>
      <c r="H768" s="21">
        <v>0.0</v>
      </c>
      <c r="I768" s="22"/>
      <c r="J768" s="23"/>
      <c r="K768" s="24">
        <f t="shared" si="91"/>
        <v>10710</v>
      </c>
      <c r="L768" s="24">
        <v>16000.0</v>
      </c>
      <c r="M768" s="25"/>
      <c r="N768" s="39"/>
      <c r="O768" s="27"/>
      <c r="P768" s="28"/>
    </row>
    <row r="769" hidden="1">
      <c r="A769" s="16" t="s">
        <v>1220</v>
      </c>
      <c r="B769" s="36"/>
      <c r="C769" s="18"/>
      <c r="D769" s="4"/>
      <c r="E769" s="19">
        <v>0.0</v>
      </c>
      <c r="F769" s="19"/>
      <c r="G769" s="16" t="s">
        <v>1012</v>
      </c>
      <c r="H769" s="21"/>
      <c r="I769" s="22"/>
      <c r="J769" s="29"/>
      <c r="K769" s="43">
        <v>86430.0</v>
      </c>
      <c r="L769" s="44">
        <v>102000.0</v>
      </c>
      <c r="M769" s="25"/>
      <c r="N769" s="39"/>
      <c r="O769" s="27">
        <f t="shared" ref="O769:O789" si="92">(L769/K769)-1</f>
        <v>0.1801457827</v>
      </c>
      <c r="P769" s="28">
        <f t="shared" ref="P769:P789" si="93">K769*F769</f>
        <v>0</v>
      </c>
    </row>
    <row r="770" hidden="1">
      <c r="A770" s="16" t="s">
        <v>1221</v>
      </c>
      <c r="B770" s="49"/>
      <c r="C770" s="18"/>
      <c r="D770" s="4"/>
      <c r="E770" s="19">
        <v>0.0</v>
      </c>
      <c r="F770" s="19">
        <v>0.0</v>
      </c>
      <c r="G770" s="16" t="s">
        <v>16</v>
      </c>
      <c r="H770" s="21"/>
      <c r="I770" s="22"/>
      <c r="J770" s="29"/>
      <c r="K770" s="32">
        <v>674.0</v>
      </c>
      <c r="L770" s="24">
        <v>4000.0</v>
      </c>
      <c r="M770" s="25"/>
      <c r="N770" s="39"/>
      <c r="O770" s="27">
        <f t="shared" si="92"/>
        <v>4.934718101</v>
      </c>
      <c r="P770" s="28">
        <f t="shared" si="93"/>
        <v>0</v>
      </c>
    </row>
    <row r="771" hidden="1">
      <c r="A771" s="16" t="s">
        <v>1222</v>
      </c>
      <c r="B771" s="189">
        <f>L771</f>
        <v>50000</v>
      </c>
      <c r="C771" s="18" t="s">
        <v>1200</v>
      </c>
      <c r="D771" s="4"/>
      <c r="E771" s="19"/>
      <c r="F771" s="19"/>
      <c r="G771" s="16" t="s">
        <v>1201</v>
      </c>
      <c r="H771" s="21">
        <v>0.0</v>
      </c>
      <c r="I771" s="22"/>
      <c r="J771" s="23"/>
      <c r="K771" s="24">
        <f>24500*1.19</f>
        <v>29155</v>
      </c>
      <c r="L771" s="24">
        <v>50000.0</v>
      </c>
      <c r="M771" s="25"/>
      <c r="N771" s="39"/>
      <c r="O771" s="27">
        <f t="shared" si="92"/>
        <v>0.714971703</v>
      </c>
      <c r="P771" s="28">
        <f t="shared" si="93"/>
        <v>0</v>
      </c>
    </row>
    <row r="772" hidden="1">
      <c r="A772" s="118" t="s">
        <v>1223</v>
      </c>
      <c r="B772" s="17"/>
      <c r="C772" s="18"/>
      <c r="D772" s="4"/>
      <c r="E772" s="19">
        <v>0.0</v>
      </c>
      <c r="F772" s="19">
        <v>0.0</v>
      </c>
      <c r="G772" s="40" t="s">
        <v>563</v>
      </c>
      <c r="H772" s="21"/>
      <c r="I772" s="22"/>
      <c r="J772" s="29"/>
      <c r="K772" s="43">
        <v>2500.0</v>
      </c>
      <c r="L772" s="44">
        <v>3500.0</v>
      </c>
      <c r="M772" s="25"/>
      <c r="N772" s="39"/>
      <c r="O772" s="27">
        <f t="shared" si="92"/>
        <v>0.4</v>
      </c>
      <c r="P772" s="28">
        <f t="shared" si="93"/>
        <v>0</v>
      </c>
    </row>
    <row r="773" hidden="1">
      <c r="A773" s="118" t="s">
        <v>1223</v>
      </c>
      <c r="B773" s="17"/>
      <c r="C773" s="18"/>
      <c r="D773" s="4"/>
      <c r="E773" s="19">
        <v>0.0</v>
      </c>
      <c r="F773" s="19">
        <v>0.0</v>
      </c>
      <c r="G773" s="16" t="s">
        <v>425</v>
      </c>
      <c r="H773" s="21"/>
      <c r="I773" s="22"/>
      <c r="J773" s="29"/>
      <c r="K773" s="43">
        <v>2500.0</v>
      </c>
      <c r="L773" s="44">
        <v>3500.0</v>
      </c>
      <c r="M773" s="25"/>
      <c r="N773" s="39"/>
      <c r="O773" s="27">
        <f t="shared" si="92"/>
        <v>0.4</v>
      </c>
      <c r="P773" s="28">
        <f t="shared" si="93"/>
        <v>0</v>
      </c>
    </row>
    <row r="774" hidden="1">
      <c r="A774" s="16" t="s">
        <v>1224</v>
      </c>
      <c r="B774" s="49"/>
      <c r="C774" s="18"/>
      <c r="D774" s="4"/>
      <c r="E774" s="19">
        <v>0.0</v>
      </c>
      <c r="F774" s="19">
        <v>0.0</v>
      </c>
      <c r="G774" s="20" t="s">
        <v>1225</v>
      </c>
      <c r="H774" s="21"/>
      <c r="I774" s="22"/>
      <c r="J774" s="29"/>
      <c r="K774" s="32">
        <v>10670.0</v>
      </c>
      <c r="L774" s="24">
        <v>14000.0</v>
      </c>
      <c r="M774" s="25"/>
      <c r="N774" s="39"/>
      <c r="O774" s="27">
        <f t="shared" si="92"/>
        <v>0.3120899719</v>
      </c>
      <c r="P774" s="28">
        <f t="shared" si="93"/>
        <v>0</v>
      </c>
    </row>
    <row r="775" hidden="1">
      <c r="A775" s="16" t="s">
        <v>1226</v>
      </c>
      <c r="B775" s="17"/>
      <c r="C775" s="18"/>
      <c r="D775" s="4"/>
      <c r="E775" s="19">
        <v>0.0</v>
      </c>
      <c r="F775" s="19"/>
      <c r="G775" s="16" t="s">
        <v>1227</v>
      </c>
      <c r="H775" s="21"/>
      <c r="I775" s="22"/>
      <c r="J775" s="29"/>
      <c r="K775" s="43">
        <v>1800.0</v>
      </c>
      <c r="L775" s="44">
        <v>4000.0</v>
      </c>
      <c r="M775" s="25"/>
      <c r="N775" s="39"/>
      <c r="O775" s="27">
        <f t="shared" si="92"/>
        <v>1.222222222</v>
      </c>
      <c r="P775" s="28">
        <f t="shared" si="93"/>
        <v>0</v>
      </c>
    </row>
    <row r="776" hidden="1">
      <c r="A776" s="16" t="s">
        <v>1228</v>
      </c>
      <c r="B776" s="36"/>
      <c r="C776" s="18" t="s">
        <v>1157</v>
      </c>
      <c r="D776" s="4"/>
      <c r="E776" s="19">
        <v>0.0</v>
      </c>
      <c r="F776" s="19"/>
      <c r="G776" s="16" t="s">
        <v>1229</v>
      </c>
      <c r="H776" s="21"/>
      <c r="I776" s="22"/>
      <c r="J776" s="29"/>
      <c r="K776" s="43">
        <f>10677*1.19</f>
        <v>12705.63</v>
      </c>
      <c r="L776" s="44">
        <v>25000.0</v>
      </c>
      <c r="M776" s="25"/>
      <c r="N776" s="102">
        <v>22000.0</v>
      </c>
      <c r="O776" s="27">
        <f t="shared" si="92"/>
        <v>0.9676316719</v>
      </c>
      <c r="P776" s="28">
        <f t="shared" si="93"/>
        <v>0</v>
      </c>
    </row>
    <row r="777" hidden="1">
      <c r="A777" s="16" t="s">
        <v>1230</v>
      </c>
      <c r="B777" s="17"/>
      <c r="C777" s="18"/>
      <c r="D777" s="4"/>
      <c r="E777" s="19">
        <v>0.0</v>
      </c>
      <c r="F777" s="19"/>
      <c r="G777" s="20" t="s">
        <v>1231</v>
      </c>
      <c r="H777" s="21"/>
      <c r="I777" s="22"/>
      <c r="J777" s="29"/>
      <c r="K777" s="43">
        <v>21000.0</v>
      </c>
      <c r="L777" s="44">
        <v>45000.0</v>
      </c>
      <c r="M777" s="25"/>
      <c r="N777" s="39"/>
      <c r="O777" s="27">
        <f t="shared" si="92"/>
        <v>1.142857143</v>
      </c>
      <c r="P777" s="28">
        <f t="shared" si="93"/>
        <v>0</v>
      </c>
    </row>
    <row r="778" hidden="1">
      <c r="A778" s="16" t="s">
        <v>1232</v>
      </c>
      <c r="B778" s="17" t="s">
        <v>1233</v>
      </c>
      <c r="C778" s="18"/>
      <c r="D778" s="4"/>
      <c r="E778" s="19">
        <v>0.0</v>
      </c>
      <c r="F778" s="19"/>
      <c r="G778" s="20" t="s">
        <v>1234</v>
      </c>
      <c r="H778" s="21"/>
      <c r="I778" s="22"/>
      <c r="J778" s="29"/>
      <c r="K778" s="32">
        <v>14700.0</v>
      </c>
      <c r="L778" s="24">
        <v>45000.0</v>
      </c>
      <c r="M778" s="25"/>
      <c r="N778" s="39"/>
      <c r="O778" s="27">
        <f t="shared" si="92"/>
        <v>2.06122449</v>
      </c>
      <c r="P778" s="28">
        <f t="shared" si="93"/>
        <v>0</v>
      </c>
    </row>
    <row r="779" hidden="1">
      <c r="A779" s="16" t="s">
        <v>1235</v>
      </c>
      <c r="B779" s="17"/>
      <c r="C779" s="18"/>
      <c r="D779" s="4"/>
      <c r="E779" s="19">
        <v>0.0</v>
      </c>
      <c r="F779" s="19"/>
      <c r="G779" s="20" t="s">
        <v>1231</v>
      </c>
      <c r="H779" s="21"/>
      <c r="I779" s="22"/>
      <c r="J779" s="29"/>
      <c r="K779" s="43">
        <v>9400.0</v>
      </c>
      <c r="L779" s="44">
        <v>25000.0</v>
      </c>
      <c r="M779" s="25"/>
      <c r="N779" s="39"/>
      <c r="O779" s="27">
        <f t="shared" si="92"/>
        <v>1.659574468</v>
      </c>
      <c r="P779" s="28">
        <f t="shared" si="93"/>
        <v>0</v>
      </c>
    </row>
    <row r="780" hidden="1">
      <c r="A780" s="16" t="s">
        <v>1236</v>
      </c>
      <c r="B780" s="49"/>
      <c r="C780" s="18" t="s">
        <v>1200</v>
      </c>
      <c r="D780" s="4"/>
      <c r="E780" s="19"/>
      <c r="F780" s="19"/>
      <c r="G780" s="20" t="s">
        <v>375</v>
      </c>
      <c r="H780" s="21">
        <v>0.0</v>
      </c>
      <c r="I780" s="22"/>
      <c r="J780" s="29"/>
      <c r="K780" s="32">
        <f>46400*1.19</f>
        <v>55216</v>
      </c>
      <c r="L780" s="24">
        <v>70000.0</v>
      </c>
      <c r="M780" s="25"/>
      <c r="N780" s="70"/>
      <c r="O780" s="27">
        <f t="shared" si="92"/>
        <v>0.2677484787</v>
      </c>
      <c r="P780" s="28">
        <f t="shared" si="93"/>
        <v>0</v>
      </c>
    </row>
    <row r="781" hidden="1">
      <c r="A781" s="52" t="s">
        <v>1237</v>
      </c>
      <c r="B781" s="17"/>
      <c r="C781" s="18"/>
      <c r="D781" s="4"/>
      <c r="E781" s="19">
        <v>0.0</v>
      </c>
      <c r="F781" s="19"/>
      <c r="G781" s="20" t="s">
        <v>457</v>
      </c>
      <c r="H781" s="21"/>
      <c r="I781" s="22"/>
      <c r="J781" s="29"/>
      <c r="K781" s="48">
        <f>8500*1.19</f>
        <v>10115</v>
      </c>
      <c r="L781" s="55">
        <v>16000.0</v>
      </c>
      <c r="M781" s="25"/>
      <c r="N781" s="39"/>
      <c r="O781" s="27">
        <f t="shared" si="92"/>
        <v>0.5818091943</v>
      </c>
      <c r="P781" s="28">
        <f t="shared" si="93"/>
        <v>0</v>
      </c>
    </row>
    <row r="782" hidden="1">
      <c r="A782" s="16" t="s">
        <v>1238</v>
      </c>
      <c r="B782" s="17"/>
      <c r="C782" s="18"/>
      <c r="D782" s="4"/>
      <c r="E782" s="19">
        <v>0.0</v>
      </c>
      <c r="F782" s="19"/>
      <c r="G782" s="20" t="s">
        <v>1231</v>
      </c>
      <c r="H782" s="21"/>
      <c r="I782" s="22"/>
      <c r="J782" s="29"/>
      <c r="K782" s="43">
        <v>7200.0</v>
      </c>
      <c r="L782" s="44">
        <v>20000.0</v>
      </c>
      <c r="M782" s="25"/>
      <c r="N782" s="39"/>
      <c r="O782" s="27">
        <f t="shared" si="92"/>
        <v>1.777777778</v>
      </c>
      <c r="P782" s="28">
        <f t="shared" si="93"/>
        <v>0</v>
      </c>
    </row>
    <row r="783" hidden="1">
      <c r="A783" s="16" t="s">
        <v>1239</v>
      </c>
      <c r="B783" s="17" t="s">
        <v>1240</v>
      </c>
      <c r="C783" s="18"/>
      <c r="D783" s="4"/>
      <c r="E783" s="19">
        <v>0.0</v>
      </c>
      <c r="F783" s="19"/>
      <c r="G783" s="16" t="s">
        <v>1241</v>
      </c>
      <c r="H783" s="21"/>
      <c r="I783" s="22"/>
      <c r="J783" s="58">
        <v>46327.0</v>
      </c>
      <c r="K783" s="32">
        <v>121500.0</v>
      </c>
      <c r="L783" s="24">
        <v>165000.0</v>
      </c>
      <c r="M783" s="25" t="s">
        <v>76</v>
      </c>
      <c r="N783" s="102">
        <v>145000.0</v>
      </c>
      <c r="O783" s="27">
        <f t="shared" si="92"/>
        <v>0.3580246914</v>
      </c>
      <c r="P783" s="28">
        <f t="shared" si="93"/>
        <v>0</v>
      </c>
    </row>
    <row r="784" hidden="1">
      <c r="A784" s="16" t="s">
        <v>1242</v>
      </c>
      <c r="B784" s="17" t="s">
        <v>1243</v>
      </c>
      <c r="C784" s="18"/>
      <c r="D784" s="4"/>
      <c r="E784" s="19">
        <v>0.0</v>
      </c>
      <c r="F784" s="19"/>
      <c r="G784" s="16" t="s">
        <v>1241</v>
      </c>
      <c r="H784" s="21"/>
      <c r="I784" s="22"/>
      <c r="J784" s="58">
        <v>46143.0</v>
      </c>
      <c r="K784" s="48">
        <v>121500.0</v>
      </c>
      <c r="L784" s="55">
        <v>165000.0</v>
      </c>
      <c r="M784" s="25" t="s">
        <v>76</v>
      </c>
      <c r="N784" s="102">
        <v>145000.0</v>
      </c>
      <c r="O784" s="27">
        <f t="shared" si="92"/>
        <v>0.3580246914</v>
      </c>
      <c r="P784" s="28">
        <f t="shared" si="93"/>
        <v>0</v>
      </c>
    </row>
    <row r="785" hidden="1">
      <c r="A785" s="16" t="s">
        <v>1244</v>
      </c>
      <c r="B785" s="17" t="s">
        <v>1243</v>
      </c>
      <c r="C785" s="18"/>
      <c r="D785" s="4"/>
      <c r="E785" s="19">
        <v>0.0</v>
      </c>
      <c r="F785" s="19"/>
      <c r="G785" s="16" t="s">
        <v>1241</v>
      </c>
      <c r="H785" s="21"/>
      <c r="I785" s="22"/>
      <c r="J785" s="29"/>
      <c r="K785" s="48">
        <v>121500.0</v>
      </c>
      <c r="L785" s="55">
        <v>165000.0</v>
      </c>
      <c r="M785" s="25" t="s">
        <v>76</v>
      </c>
      <c r="N785" s="102">
        <v>145000.0</v>
      </c>
      <c r="O785" s="27">
        <f t="shared" si="92"/>
        <v>0.3580246914</v>
      </c>
      <c r="P785" s="28">
        <f t="shared" si="93"/>
        <v>0</v>
      </c>
    </row>
    <row r="786" hidden="1">
      <c r="A786" s="16" t="s">
        <v>1245</v>
      </c>
      <c r="B786" s="17" t="s">
        <v>1243</v>
      </c>
      <c r="C786" s="18"/>
      <c r="D786" s="4"/>
      <c r="E786" s="19">
        <v>0.0</v>
      </c>
      <c r="F786" s="19"/>
      <c r="G786" s="16" t="s">
        <v>1241</v>
      </c>
      <c r="H786" s="21"/>
      <c r="I786" s="22"/>
      <c r="J786" s="29"/>
      <c r="K786" s="48">
        <v>121500.0</v>
      </c>
      <c r="L786" s="55">
        <v>165000.0</v>
      </c>
      <c r="M786" s="25" t="s">
        <v>76</v>
      </c>
      <c r="N786" s="102">
        <v>145000.0</v>
      </c>
      <c r="O786" s="27">
        <f t="shared" si="92"/>
        <v>0.3580246914</v>
      </c>
      <c r="P786" s="28">
        <f t="shared" si="93"/>
        <v>0</v>
      </c>
    </row>
    <row r="787" hidden="1">
      <c r="A787" s="16" t="s">
        <v>1246</v>
      </c>
      <c r="B787" s="17" t="s">
        <v>1247</v>
      </c>
      <c r="C787" s="18"/>
      <c r="D787" s="4"/>
      <c r="E787" s="19">
        <v>0.0</v>
      </c>
      <c r="F787" s="19"/>
      <c r="G787" s="16" t="s">
        <v>1241</v>
      </c>
      <c r="H787" s="21"/>
      <c r="I787" s="22"/>
      <c r="J787" s="23"/>
      <c r="K787" s="55">
        <v>150462.0</v>
      </c>
      <c r="L787" s="55">
        <v>190000.0</v>
      </c>
      <c r="M787" s="25" t="s">
        <v>76</v>
      </c>
      <c r="N787" s="26">
        <v>170000.0</v>
      </c>
      <c r="O787" s="27">
        <f t="shared" si="92"/>
        <v>0.2627773125</v>
      </c>
      <c r="P787" s="28">
        <f t="shared" si="93"/>
        <v>0</v>
      </c>
    </row>
    <row r="788" hidden="1">
      <c r="A788" s="16" t="s">
        <v>1248</v>
      </c>
      <c r="B788" s="17" t="s">
        <v>1249</v>
      </c>
      <c r="C788" s="18"/>
      <c r="D788" s="4"/>
      <c r="E788" s="19" t="s">
        <v>1250</v>
      </c>
      <c r="F788" s="19">
        <f>169312</f>
        <v>169312</v>
      </c>
      <c r="G788" s="16" t="s">
        <v>1251</v>
      </c>
      <c r="H788" s="21"/>
      <c r="I788" s="22">
        <v>0.0</v>
      </c>
      <c r="J788" s="29"/>
      <c r="K788" s="48">
        <v>161250.0</v>
      </c>
      <c r="L788" s="55">
        <v>220000.0</v>
      </c>
      <c r="M788" s="25" t="s">
        <v>76</v>
      </c>
      <c r="N788" s="102">
        <v>178000.0</v>
      </c>
      <c r="O788" s="27">
        <f t="shared" si="92"/>
        <v>0.3643410853</v>
      </c>
      <c r="P788" s="28">
        <f t="shared" si="93"/>
        <v>27301560000</v>
      </c>
    </row>
    <row r="789" hidden="1">
      <c r="A789" s="52" t="s">
        <v>1252</v>
      </c>
      <c r="B789" s="17" t="s">
        <v>1253</v>
      </c>
      <c r="C789" s="18"/>
      <c r="D789" s="4"/>
      <c r="E789" s="19">
        <v>0.0</v>
      </c>
      <c r="F789" s="19">
        <v>0.0</v>
      </c>
      <c r="G789" s="16" t="s">
        <v>1254</v>
      </c>
      <c r="H789" s="21"/>
      <c r="I789" s="22">
        <f>12*5</f>
        <v>60</v>
      </c>
      <c r="J789" s="29"/>
      <c r="K789" s="32">
        <v>11900.0</v>
      </c>
      <c r="L789" s="32">
        <v>18000.0</v>
      </c>
      <c r="M789" s="25"/>
      <c r="N789" s="70"/>
      <c r="O789" s="27">
        <f t="shared" si="92"/>
        <v>0.512605042</v>
      </c>
      <c r="P789" s="28">
        <f t="shared" si="93"/>
        <v>0</v>
      </c>
    </row>
    <row r="790" hidden="1">
      <c r="A790" s="16" t="s">
        <v>1255</v>
      </c>
      <c r="B790" s="180"/>
      <c r="C790" s="18"/>
      <c r="D790" s="4"/>
      <c r="E790" s="19">
        <v>0.0</v>
      </c>
      <c r="F790" s="19">
        <v>0.0</v>
      </c>
      <c r="G790" s="16" t="s">
        <v>580</v>
      </c>
      <c r="H790" s="21"/>
      <c r="I790" s="22"/>
      <c r="J790" s="29"/>
      <c r="K790" s="48">
        <v>381000.0</v>
      </c>
      <c r="L790" s="55">
        <v>550000.0</v>
      </c>
      <c r="M790" s="25"/>
      <c r="N790" s="39"/>
      <c r="O790" s="27"/>
      <c r="P790" s="28"/>
    </row>
    <row r="791" hidden="1">
      <c r="A791" s="16" t="s">
        <v>1256</v>
      </c>
      <c r="B791" s="180" t="s">
        <v>1257</v>
      </c>
      <c r="C791" s="18"/>
      <c r="D791" s="4"/>
      <c r="E791" s="19">
        <v>0.0</v>
      </c>
      <c r="F791" s="19"/>
      <c r="G791" s="16" t="s">
        <v>39</v>
      </c>
      <c r="H791" s="21"/>
      <c r="I791" s="22"/>
      <c r="J791" s="29"/>
      <c r="K791" s="32">
        <v>3203.0</v>
      </c>
      <c r="L791" s="24">
        <v>10000.0</v>
      </c>
      <c r="M791" s="25"/>
      <c r="N791" s="39"/>
      <c r="O791" s="27">
        <f t="shared" ref="O791:O820" si="94">(L791/K791)-1</f>
        <v>2.122073057</v>
      </c>
      <c r="P791" s="28">
        <f t="shared" ref="P791:P823" si="95">K791*F791</f>
        <v>0</v>
      </c>
    </row>
    <row r="792" hidden="1">
      <c r="A792" s="40" t="s">
        <v>1258</v>
      </c>
      <c r="B792" s="36"/>
      <c r="C792" s="18"/>
      <c r="D792" s="4"/>
      <c r="E792" s="19">
        <v>0.0</v>
      </c>
      <c r="F792" s="19"/>
      <c r="G792" s="20" t="s">
        <v>1259</v>
      </c>
      <c r="H792" s="21"/>
      <c r="I792" s="22"/>
      <c r="J792" s="29"/>
      <c r="K792" s="43">
        <v>2500.0</v>
      </c>
      <c r="L792" s="44">
        <v>3500.0</v>
      </c>
      <c r="M792" s="25"/>
      <c r="N792" s="39"/>
      <c r="O792" s="27">
        <f t="shared" si="94"/>
        <v>0.4</v>
      </c>
      <c r="P792" s="28">
        <f t="shared" si="95"/>
        <v>0</v>
      </c>
    </row>
    <row r="793" hidden="1">
      <c r="A793" s="40" t="s">
        <v>1260</v>
      </c>
      <c r="B793" s="17"/>
      <c r="C793" s="18"/>
      <c r="D793" s="4"/>
      <c r="E793" s="19">
        <v>0.0</v>
      </c>
      <c r="F793" s="19"/>
      <c r="G793" s="20" t="s">
        <v>57</v>
      </c>
      <c r="H793" s="21"/>
      <c r="I793" s="22"/>
      <c r="J793" s="29"/>
      <c r="K793" s="43">
        <v>3500.0</v>
      </c>
      <c r="L793" s="44">
        <v>5000.0</v>
      </c>
      <c r="M793" s="25"/>
      <c r="N793" s="39"/>
      <c r="O793" s="27">
        <f t="shared" si="94"/>
        <v>0.4285714286</v>
      </c>
      <c r="P793" s="28">
        <f t="shared" si="95"/>
        <v>0</v>
      </c>
    </row>
    <row r="794" hidden="1">
      <c r="A794" s="52" t="s">
        <v>1261</v>
      </c>
      <c r="B794" s="36"/>
      <c r="C794" s="18"/>
      <c r="D794" s="4"/>
      <c r="E794" s="19">
        <v>0.0</v>
      </c>
      <c r="F794" s="19">
        <v>1.0</v>
      </c>
      <c r="G794" s="20" t="s">
        <v>377</v>
      </c>
      <c r="H794" s="21"/>
      <c r="I794" s="22">
        <v>0.0</v>
      </c>
      <c r="J794" s="29"/>
      <c r="K794" s="32">
        <v>35000.0</v>
      </c>
      <c r="L794" s="24">
        <v>52000.0</v>
      </c>
      <c r="M794" s="25" t="s">
        <v>82</v>
      </c>
      <c r="N794" s="39"/>
      <c r="O794" s="27">
        <f t="shared" si="94"/>
        <v>0.4857142857</v>
      </c>
      <c r="P794" s="28">
        <f t="shared" si="95"/>
        <v>35000</v>
      </c>
    </row>
    <row r="795" hidden="1">
      <c r="A795" s="119" t="s">
        <v>1262</v>
      </c>
      <c r="B795" s="51"/>
      <c r="C795" s="18"/>
      <c r="D795" s="4"/>
      <c r="E795" s="19">
        <v>0.0</v>
      </c>
      <c r="F795" s="19">
        <v>0.0</v>
      </c>
      <c r="G795" s="20" t="s">
        <v>497</v>
      </c>
      <c r="H795" s="190"/>
      <c r="I795" s="22"/>
      <c r="J795" s="191"/>
      <c r="K795" s="192">
        <f>6274/10</f>
        <v>627.4</v>
      </c>
      <c r="L795" s="44">
        <v>1000.0</v>
      </c>
      <c r="M795" s="25"/>
      <c r="N795" s="39"/>
      <c r="O795" s="27">
        <f t="shared" si="94"/>
        <v>0.5938795027</v>
      </c>
      <c r="P795" s="28">
        <f t="shared" si="95"/>
        <v>0</v>
      </c>
    </row>
    <row r="796" hidden="1">
      <c r="A796" s="119" t="s">
        <v>1263</v>
      </c>
      <c r="B796" s="51"/>
      <c r="C796" s="18"/>
      <c r="D796" s="4"/>
      <c r="E796" s="19">
        <v>0.0</v>
      </c>
      <c r="F796" s="19">
        <v>0.0</v>
      </c>
      <c r="G796" s="20" t="s">
        <v>497</v>
      </c>
      <c r="H796" s="190"/>
      <c r="I796" s="22">
        <f>11*50</f>
        <v>550</v>
      </c>
      <c r="J796" s="191"/>
      <c r="K796" s="192">
        <f>8248/20</f>
        <v>412.4</v>
      </c>
      <c r="L796" s="44">
        <v>1000.0</v>
      </c>
      <c r="M796" s="25"/>
      <c r="N796" s="39"/>
      <c r="O796" s="27">
        <f t="shared" si="94"/>
        <v>1.424830262</v>
      </c>
      <c r="P796" s="28">
        <f t="shared" si="95"/>
        <v>0</v>
      </c>
    </row>
    <row r="797" hidden="1">
      <c r="A797" s="119" t="s">
        <v>1264</v>
      </c>
      <c r="B797" s="51" t="s">
        <v>1265</v>
      </c>
      <c r="C797" s="18"/>
      <c r="D797" s="4"/>
      <c r="E797" s="19">
        <v>0.0</v>
      </c>
      <c r="F797" s="19">
        <v>5.0</v>
      </c>
      <c r="G797" s="20" t="s">
        <v>1266</v>
      </c>
      <c r="H797" s="190"/>
      <c r="I797" s="22">
        <v>0.0</v>
      </c>
      <c r="J797" s="191"/>
      <c r="K797" s="184">
        <f>8000/20</f>
        <v>400</v>
      </c>
      <c r="L797" s="55">
        <v>1000.0</v>
      </c>
      <c r="M797" s="25"/>
      <c r="N797" s="39"/>
      <c r="O797" s="27">
        <f t="shared" si="94"/>
        <v>1.5</v>
      </c>
      <c r="P797" s="28">
        <f t="shared" si="95"/>
        <v>2000</v>
      </c>
    </row>
    <row r="798" hidden="1">
      <c r="A798" s="16" t="s">
        <v>1267</v>
      </c>
      <c r="B798" s="17"/>
      <c r="C798" s="18"/>
      <c r="D798" s="4"/>
      <c r="E798" s="19">
        <v>0.0</v>
      </c>
      <c r="F798" s="19">
        <v>100.0</v>
      </c>
      <c r="G798" s="16" t="s">
        <v>1268</v>
      </c>
      <c r="H798" s="21"/>
      <c r="I798" s="22">
        <v>141.0</v>
      </c>
      <c r="J798" s="47">
        <v>46539.0</v>
      </c>
      <c r="K798" s="32">
        <v>3000.0</v>
      </c>
      <c r="L798" s="24">
        <v>7000.0</v>
      </c>
      <c r="M798" s="25"/>
      <c r="N798" s="39"/>
      <c r="O798" s="27">
        <f t="shared" si="94"/>
        <v>1.333333333</v>
      </c>
      <c r="P798" s="28">
        <f t="shared" si="95"/>
        <v>300000</v>
      </c>
    </row>
    <row r="799" hidden="1">
      <c r="A799" s="16" t="s">
        <v>1269</v>
      </c>
      <c r="B799" s="17" t="s">
        <v>1270</v>
      </c>
      <c r="C799" s="18"/>
      <c r="D799" s="4"/>
      <c r="E799" s="19">
        <v>0.0</v>
      </c>
      <c r="F799" s="19">
        <v>0.0</v>
      </c>
      <c r="G799" s="20" t="s">
        <v>286</v>
      </c>
      <c r="H799" s="21"/>
      <c r="I799" s="22"/>
      <c r="J799" s="29"/>
      <c r="K799" s="48">
        <f>197</f>
        <v>197</v>
      </c>
      <c r="L799" s="55">
        <v>1000.0</v>
      </c>
      <c r="M799" s="25"/>
      <c r="N799" s="39"/>
      <c r="O799" s="27">
        <f t="shared" si="94"/>
        <v>4.076142132</v>
      </c>
      <c r="P799" s="28">
        <f t="shared" si="95"/>
        <v>0</v>
      </c>
    </row>
    <row r="800" hidden="1">
      <c r="A800" s="16" t="s">
        <v>1271</v>
      </c>
      <c r="B800" s="17"/>
      <c r="C800" s="18"/>
      <c r="D800" s="4"/>
      <c r="E800" s="19">
        <v>0.0</v>
      </c>
      <c r="F800" s="19">
        <v>0.0</v>
      </c>
      <c r="G800" s="16" t="s">
        <v>1272</v>
      </c>
      <c r="H800" s="21"/>
      <c r="I800" s="22">
        <v>7.0</v>
      </c>
      <c r="J800" s="29"/>
      <c r="K800" s="43">
        <v>7950.0</v>
      </c>
      <c r="L800" s="44">
        <v>12000.0</v>
      </c>
      <c r="M800" s="25"/>
      <c r="N800" s="39"/>
      <c r="O800" s="27">
        <f t="shared" si="94"/>
        <v>0.5094339623</v>
      </c>
      <c r="P800" s="28">
        <f t="shared" si="95"/>
        <v>0</v>
      </c>
    </row>
    <row r="801" hidden="1">
      <c r="A801" s="16" t="s">
        <v>1273</v>
      </c>
      <c r="B801" s="17"/>
      <c r="C801" s="18"/>
      <c r="D801" s="4"/>
      <c r="E801" s="19">
        <v>0.0</v>
      </c>
      <c r="F801" s="19">
        <v>0.0</v>
      </c>
      <c r="G801" s="16" t="s">
        <v>1272</v>
      </c>
      <c r="H801" s="21"/>
      <c r="I801" s="22">
        <v>9.0</v>
      </c>
      <c r="J801" s="29"/>
      <c r="K801" s="43">
        <v>7950.0</v>
      </c>
      <c r="L801" s="44">
        <v>12000.0</v>
      </c>
      <c r="M801" s="25"/>
      <c r="N801" s="39"/>
      <c r="O801" s="27">
        <f t="shared" si="94"/>
        <v>0.5094339623</v>
      </c>
      <c r="P801" s="28">
        <f t="shared" si="95"/>
        <v>0</v>
      </c>
    </row>
    <row r="802" hidden="1">
      <c r="A802" s="16" t="s">
        <v>1274</v>
      </c>
      <c r="B802" s="17"/>
      <c r="C802" s="18"/>
      <c r="D802" s="4"/>
      <c r="E802" s="19">
        <v>0.0</v>
      </c>
      <c r="F802" s="19">
        <v>0.0</v>
      </c>
      <c r="G802" s="16" t="s">
        <v>1272</v>
      </c>
      <c r="H802" s="21"/>
      <c r="I802" s="22">
        <v>1.0</v>
      </c>
      <c r="J802" s="29"/>
      <c r="K802" s="43">
        <v>7950.0</v>
      </c>
      <c r="L802" s="44">
        <v>12000.0</v>
      </c>
      <c r="M802" s="25"/>
      <c r="N802" s="39"/>
      <c r="O802" s="27">
        <f t="shared" si="94"/>
        <v>0.5094339623</v>
      </c>
      <c r="P802" s="28">
        <f t="shared" si="95"/>
        <v>0</v>
      </c>
    </row>
    <row r="803" hidden="1">
      <c r="A803" s="16" t="s">
        <v>1275</v>
      </c>
      <c r="B803" s="17"/>
      <c r="C803" s="18"/>
      <c r="D803" s="4"/>
      <c r="E803" s="19">
        <v>0.0</v>
      </c>
      <c r="F803" s="19">
        <v>0.0</v>
      </c>
      <c r="G803" s="16" t="s">
        <v>1272</v>
      </c>
      <c r="H803" s="21"/>
      <c r="I803" s="22">
        <v>0.0</v>
      </c>
      <c r="J803" s="29"/>
      <c r="K803" s="43">
        <v>7950.0</v>
      </c>
      <c r="L803" s="44">
        <v>12000.0</v>
      </c>
      <c r="M803" s="25"/>
      <c r="N803" s="39"/>
      <c r="O803" s="27">
        <f t="shared" si="94"/>
        <v>0.5094339623</v>
      </c>
      <c r="P803" s="28">
        <f t="shared" si="95"/>
        <v>0</v>
      </c>
    </row>
    <row r="804" hidden="1">
      <c r="A804" s="16" t="s">
        <v>1276</v>
      </c>
      <c r="B804" s="17"/>
      <c r="C804" s="18"/>
      <c r="D804" s="4"/>
      <c r="E804" s="19">
        <v>0.0</v>
      </c>
      <c r="F804" s="19">
        <v>0.0</v>
      </c>
      <c r="G804" s="16" t="s">
        <v>1272</v>
      </c>
      <c r="H804" s="21"/>
      <c r="I804" s="22">
        <v>0.0</v>
      </c>
      <c r="J804" s="29"/>
      <c r="K804" s="43">
        <v>7950.0</v>
      </c>
      <c r="L804" s="44">
        <v>10000.0</v>
      </c>
      <c r="M804" s="25"/>
      <c r="N804" s="39"/>
      <c r="O804" s="27">
        <f t="shared" si="94"/>
        <v>0.2578616352</v>
      </c>
      <c r="P804" s="28">
        <f t="shared" si="95"/>
        <v>0</v>
      </c>
    </row>
    <row r="805" hidden="1">
      <c r="A805" s="16" t="s">
        <v>1277</v>
      </c>
      <c r="B805" s="17"/>
      <c r="C805" s="18"/>
      <c r="D805" s="4"/>
      <c r="E805" s="19">
        <v>0.0</v>
      </c>
      <c r="F805" s="19">
        <v>0.0</v>
      </c>
      <c r="G805" s="16" t="s">
        <v>1272</v>
      </c>
      <c r="H805" s="21"/>
      <c r="I805" s="22">
        <v>0.0</v>
      </c>
      <c r="J805" s="29"/>
      <c r="K805" s="43">
        <v>7950.0</v>
      </c>
      <c r="L805" s="44">
        <v>12000.0</v>
      </c>
      <c r="M805" s="25"/>
      <c r="N805" s="39"/>
      <c r="O805" s="27">
        <f t="shared" si="94"/>
        <v>0.5094339623</v>
      </c>
      <c r="P805" s="28">
        <f t="shared" si="95"/>
        <v>0</v>
      </c>
    </row>
    <row r="806" hidden="1">
      <c r="A806" s="40" t="s">
        <v>1278</v>
      </c>
      <c r="B806" s="36"/>
      <c r="C806" s="18"/>
      <c r="D806" s="4"/>
      <c r="E806" s="19">
        <v>0.0</v>
      </c>
      <c r="F806" s="19">
        <v>0.0</v>
      </c>
      <c r="G806" s="16" t="s">
        <v>1279</v>
      </c>
      <c r="H806" s="21"/>
      <c r="I806" s="22">
        <v>0.0</v>
      </c>
      <c r="J806" s="29"/>
      <c r="K806" s="43">
        <v>3800.0</v>
      </c>
      <c r="L806" s="44">
        <v>6500.0</v>
      </c>
      <c r="M806" s="25"/>
      <c r="N806" s="39"/>
      <c r="O806" s="27">
        <f t="shared" si="94"/>
        <v>0.7105263158</v>
      </c>
      <c r="P806" s="28">
        <f t="shared" si="95"/>
        <v>0</v>
      </c>
    </row>
    <row r="807" hidden="1">
      <c r="A807" s="16" t="s">
        <v>1280</v>
      </c>
      <c r="B807" s="36"/>
      <c r="C807" s="18"/>
      <c r="D807" s="4"/>
      <c r="E807" s="19"/>
      <c r="F807" s="19"/>
      <c r="G807" s="16" t="s">
        <v>88</v>
      </c>
      <c r="H807" s="21"/>
      <c r="I807" s="22">
        <v>0.0</v>
      </c>
      <c r="J807" s="29"/>
      <c r="K807" s="43">
        <v>6078.0</v>
      </c>
      <c r="L807" s="44">
        <v>12000.0</v>
      </c>
      <c r="M807" s="25"/>
      <c r="N807" s="39"/>
      <c r="O807" s="27">
        <f t="shared" si="94"/>
        <v>0.9743336624</v>
      </c>
      <c r="P807" s="28">
        <f t="shared" si="95"/>
        <v>0</v>
      </c>
    </row>
    <row r="808" hidden="1">
      <c r="A808" s="16" t="s">
        <v>1281</v>
      </c>
      <c r="B808" s="51"/>
      <c r="C808" s="18" t="s">
        <v>55</v>
      </c>
      <c r="D808" s="4"/>
      <c r="E808" s="19"/>
      <c r="F808" s="19"/>
      <c r="G808" s="16" t="s">
        <v>88</v>
      </c>
      <c r="H808" s="21"/>
      <c r="I808" s="22">
        <v>0.0</v>
      </c>
      <c r="J808" s="29"/>
      <c r="K808" s="43">
        <f>4673*1.19</f>
        <v>5560.87</v>
      </c>
      <c r="L808" s="44">
        <v>9000.0</v>
      </c>
      <c r="M808" s="25"/>
      <c r="N808" s="26"/>
      <c r="O808" s="27">
        <f t="shared" si="94"/>
        <v>0.618451789</v>
      </c>
      <c r="P808" s="28">
        <f t="shared" si="95"/>
        <v>0</v>
      </c>
    </row>
    <row r="809" hidden="1">
      <c r="A809" s="16" t="s">
        <v>1282</v>
      </c>
      <c r="B809" s="36"/>
      <c r="C809" s="18"/>
      <c r="D809" s="4"/>
      <c r="E809" s="19"/>
      <c r="F809" s="19"/>
      <c r="G809" s="16" t="s">
        <v>88</v>
      </c>
      <c r="H809" s="21"/>
      <c r="I809" s="22">
        <v>8.0</v>
      </c>
      <c r="J809" s="29"/>
      <c r="K809" s="43">
        <v>2125.0</v>
      </c>
      <c r="L809" s="44">
        <v>3000.0</v>
      </c>
      <c r="M809" s="25"/>
      <c r="N809" s="39"/>
      <c r="O809" s="27">
        <f t="shared" si="94"/>
        <v>0.4117647059</v>
      </c>
      <c r="P809" s="28">
        <f t="shared" si="95"/>
        <v>0</v>
      </c>
    </row>
    <row r="810" hidden="1">
      <c r="A810" s="16" t="s">
        <v>1283</v>
      </c>
      <c r="B810" s="36"/>
      <c r="C810" s="18"/>
      <c r="D810" s="4"/>
      <c r="E810" s="19"/>
      <c r="F810" s="19"/>
      <c r="G810" s="16" t="s">
        <v>88</v>
      </c>
      <c r="H810" s="21"/>
      <c r="I810" s="22">
        <v>0.0</v>
      </c>
      <c r="J810" s="29"/>
      <c r="K810" s="43">
        <v>6078.0</v>
      </c>
      <c r="L810" s="44">
        <v>12000.0</v>
      </c>
      <c r="M810" s="25"/>
      <c r="N810" s="39"/>
      <c r="O810" s="27">
        <f t="shared" si="94"/>
        <v>0.9743336624</v>
      </c>
      <c r="P810" s="28">
        <f t="shared" si="95"/>
        <v>0</v>
      </c>
    </row>
    <row r="811" hidden="1">
      <c r="A811" s="16" t="s">
        <v>1284</v>
      </c>
      <c r="B811" s="17"/>
      <c r="C811" s="18"/>
      <c r="D811" s="4"/>
      <c r="E811" s="19">
        <v>0.0</v>
      </c>
      <c r="F811" s="19">
        <v>0.0</v>
      </c>
      <c r="G811" s="120" t="s">
        <v>1285</v>
      </c>
      <c r="H811" s="21"/>
      <c r="I811" s="22">
        <v>1.0</v>
      </c>
      <c r="J811" s="29"/>
      <c r="K811" s="48">
        <v>75440.0</v>
      </c>
      <c r="L811" s="55">
        <v>125000.0</v>
      </c>
      <c r="M811" s="25" t="s">
        <v>82</v>
      </c>
      <c r="N811" s="48">
        <v>98000.0</v>
      </c>
      <c r="O811" s="27">
        <f t="shared" si="94"/>
        <v>0.6569459173</v>
      </c>
      <c r="P811" s="28">
        <f t="shared" si="95"/>
        <v>0</v>
      </c>
    </row>
    <row r="812" hidden="1">
      <c r="A812" s="16" t="s">
        <v>1286</v>
      </c>
      <c r="B812" s="17"/>
      <c r="C812" s="18"/>
      <c r="D812" s="4"/>
      <c r="E812" s="19">
        <v>0.0</v>
      </c>
      <c r="F812" s="19">
        <v>0.0</v>
      </c>
      <c r="G812" s="120" t="s">
        <v>1285</v>
      </c>
      <c r="H812" s="21"/>
      <c r="I812" s="22">
        <v>0.0</v>
      </c>
      <c r="J812" s="29"/>
      <c r="K812" s="48">
        <f>125000/4</f>
        <v>31250</v>
      </c>
      <c r="L812" s="55">
        <v>40000.0</v>
      </c>
      <c r="M812" s="25" t="s">
        <v>82</v>
      </c>
      <c r="N812" s="48">
        <v>28000.0</v>
      </c>
      <c r="O812" s="27">
        <f t="shared" si="94"/>
        <v>0.28</v>
      </c>
      <c r="P812" s="28">
        <f t="shared" si="95"/>
        <v>0</v>
      </c>
    </row>
    <row r="813" hidden="1">
      <c r="A813" s="16" t="s">
        <v>1287</v>
      </c>
      <c r="B813" s="17"/>
      <c r="C813" s="18"/>
      <c r="D813" s="4"/>
      <c r="E813" s="19">
        <v>0.0</v>
      </c>
      <c r="F813" s="19">
        <v>0.0</v>
      </c>
      <c r="G813" s="120" t="s">
        <v>1285</v>
      </c>
      <c r="H813" s="21"/>
      <c r="I813" s="22">
        <v>0.0</v>
      </c>
      <c r="J813" s="29"/>
      <c r="K813" s="48">
        <f>125000/40</f>
        <v>3125</v>
      </c>
      <c r="L813" s="55">
        <v>7000.0</v>
      </c>
      <c r="M813" s="25" t="s">
        <v>82</v>
      </c>
      <c r="N813" s="48">
        <v>4000.0</v>
      </c>
      <c r="O813" s="27">
        <f t="shared" si="94"/>
        <v>1.24</v>
      </c>
      <c r="P813" s="28">
        <f t="shared" si="95"/>
        <v>0</v>
      </c>
    </row>
    <row r="814" hidden="1">
      <c r="A814" s="16" t="s">
        <v>1288</v>
      </c>
      <c r="B814" s="49"/>
      <c r="C814" s="18"/>
      <c r="D814" s="4"/>
      <c r="E814" s="19">
        <v>0.0</v>
      </c>
      <c r="F814" s="19">
        <v>0.0</v>
      </c>
      <c r="G814" s="20" t="s">
        <v>254</v>
      </c>
      <c r="H814" s="21"/>
      <c r="I814" s="22"/>
      <c r="J814" s="29"/>
      <c r="K814" s="43">
        <f>65800/20</f>
        <v>3290</v>
      </c>
      <c r="L814" s="44">
        <v>7000.0</v>
      </c>
      <c r="M814" s="25"/>
      <c r="N814" s="39"/>
      <c r="O814" s="27">
        <f t="shared" si="94"/>
        <v>1.127659574</v>
      </c>
      <c r="P814" s="28">
        <f t="shared" si="95"/>
        <v>0</v>
      </c>
    </row>
    <row r="815" hidden="1">
      <c r="A815" s="16" t="s">
        <v>1289</v>
      </c>
      <c r="B815" s="36" t="s">
        <v>1290</v>
      </c>
      <c r="C815" s="18"/>
      <c r="D815" s="4" t="s">
        <v>1291</v>
      </c>
      <c r="E815" s="19">
        <v>0.0</v>
      </c>
      <c r="F815" s="19"/>
      <c r="G815" s="16" t="s">
        <v>1292</v>
      </c>
      <c r="H815" s="21"/>
      <c r="I815" s="22"/>
      <c r="J815" s="29"/>
      <c r="K815" s="32">
        <f>5000/10</f>
        <v>500</v>
      </c>
      <c r="L815" s="24">
        <v>2500.0</v>
      </c>
      <c r="M815" s="25"/>
      <c r="N815" s="39"/>
      <c r="O815" s="27">
        <f t="shared" si="94"/>
        <v>4</v>
      </c>
      <c r="P815" s="28">
        <f t="shared" si="95"/>
        <v>0</v>
      </c>
    </row>
    <row r="816" hidden="1">
      <c r="A816" s="16" t="s">
        <v>1293</v>
      </c>
      <c r="B816" s="36" t="s">
        <v>1294</v>
      </c>
      <c r="C816" s="18"/>
      <c r="D816" s="4"/>
      <c r="E816" s="19"/>
      <c r="F816" s="19"/>
      <c r="G816" s="16" t="s">
        <v>88</v>
      </c>
      <c r="H816" s="21"/>
      <c r="I816" s="22">
        <v>27.0</v>
      </c>
      <c r="J816" s="47">
        <v>46508.0</v>
      </c>
      <c r="K816" s="48">
        <v>13059.0</v>
      </c>
      <c r="L816" s="48">
        <v>18000.0</v>
      </c>
      <c r="M816" s="25"/>
      <c r="N816" s="102">
        <v>16000.0</v>
      </c>
      <c r="O816" s="27">
        <f t="shared" si="94"/>
        <v>0.3783597519</v>
      </c>
      <c r="P816" s="28">
        <f t="shared" si="95"/>
        <v>0</v>
      </c>
    </row>
    <row r="817" hidden="1">
      <c r="A817" s="16" t="s">
        <v>1295</v>
      </c>
      <c r="B817" s="17" t="s">
        <v>1296</v>
      </c>
      <c r="C817" s="18"/>
      <c r="D817" s="4"/>
      <c r="E817" s="19"/>
      <c r="F817" s="19"/>
      <c r="G817" s="16" t="s">
        <v>88</v>
      </c>
      <c r="H817" s="21"/>
      <c r="I817" s="22">
        <v>4.0</v>
      </c>
      <c r="J817" s="29"/>
      <c r="K817" s="48">
        <v>29178.0</v>
      </c>
      <c r="L817" s="55">
        <v>36000.0</v>
      </c>
      <c r="M817" s="25"/>
      <c r="N817" s="39"/>
      <c r="O817" s="27">
        <f t="shared" si="94"/>
        <v>0.2338062924</v>
      </c>
      <c r="P817" s="28">
        <f t="shared" si="95"/>
        <v>0</v>
      </c>
    </row>
    <row r="818" hidden="1">
      <c r="A818" s="52" t="s">
        <v>1297</v>
      </c>
      <c r="B818" s="17" t="s">
        <v>1298</v>
      </c>
      <c r="C818" s="18" t="s">
        <v>547</v>
      </c>
      <c r="D818" s="4"/>
      <c r="E818" s="19">
        <v>0.0</v>
      </c>
      <c r="F818" s="19">
        <v>0.0</v>
      </c>
      <c r="G818" s="16" t="s">
        <v>104</v>
      </c>
      <c r="H818" s="21"/>
      <c r="I818" s="22">
        <v>0.0</v>
      </c>
      <c r="J818" s="29"/>
      <c r="K818" s="43">
        <v>1.0</v>
      </c>
      <c r="L818" s="44">
        <v>1.0</v>
      </c>
      <c r="M818" s="25"/>
      <c r="N818" s="39"/>
      <c r="O818" s="27">
        <f t="shared" si="94"/>
        <v>0</v>
      </c>
      <c r="P818" s="28">
        <f t="shared" si="95"/>
        <v>0</v>
      </c>
    </row>
    <row r="819" hidden="1">
      <c r="A819" s="52" t="s">
        <v>1299</v>
      </c>
      <c r="B819" s="17" t="s">
        <v>1298</v>
      </c>
      <c r="C819" s="18"/>
      <c r="D819" s="4"/>
      <c r="E819" s="19">
        <v>0.0</v>
      </c>
      <c r="F819" s="19">
        <v>20.0</v>
      </c>
      <c r="G819" s="20" t="s">
        <v>377</v>
      </c>
      <c r="H819" s="21"/>
      <c r="I819" s="22">
        <v>31.0</v>
      </c>
      <c r="J819" s="47">
        <v>46054.0</v>
      </c>
      <c r="K819" s="32">
        <v>10500.0</v>
      </c>
      <c r="L819" s="24">
        <v>16000.0</v>
      </c>
      <c r="M819" s="25" t="s">
        <v>82</v>
      </c>
      <c r="N819" s="31">
        <v>14000.0</v>
      </c>
      <c r="O819" s="27">
        <f t="shared" si="94"/>
        <v>0.5238095238</v>
      </c>
      <c r="P819" s="28">
        <f t="shared" si="95"/>
        <v>210000</v>
      </c>
    </row>
    <row r="820" hidden="1">
      <c r="A820" s="52" t="s">
        <v>1300</v>
      </c>
      <c r="B820" s="51" t="s">
        <v>1296</v>
      </c>
      <c r="C820" s="18" t="s">
        <v>55</v>
      </c>
      <c r="D820" s="4"/>
      <c r="E820" s="19">
        <v>0.0</v>
      </c>
      <c r="F820" s="19">
        <v>0.0</v>
      </c>
      <c r="G820" s="20" t="s">
        <v>377</v>
      </c>
      <c r="H820" s="21"/>
      <c r="I820" s="22">
        <v>9.0</v>
      </c>
      <c r="J820" s="23"/>
      <c r="K820" s="24">
        <v>25000.0</v>
      </c>
      <c r="L820" s="32">
        <v>36000.0</v>
      </c>
      <c r="M820" s="25" t="s">
        <v>82</v>
      </c>
      <c r="N820" s="26"/>
      <c r="O820" s="27">
        <f t="shared" si="94"/>
        <v>0.44</v>
      </c>
      <c r="P820" s="28">
        <f t="shared" si="95"/>
        <v>0</v>
      </c>
    </row>
    <row r="821" hidden="1">
      <c r="A821" s="16" t="s">
        <v>1301</v>
      </c>
      <c r="B821" s="17" t="s">
        <v>1302</v>
      </c>
      <c r="C821" s="18" t="s">
        <v>1303</v>
      </c>
      <c r="D821" s="19"/>
      <c r="E821" s="19">
        <v>0.0</v>
      </c>
      <c r="F821" s="19">
        <v>15.0</v>
      </c>
      <c r="G821" s="16" t="s">
        <v>1304</v>
      </c>
      <c r="H821" s="21"/>
      <c r="I821" s="22">
        <v>2.0</v>
      </c>
      <c r="J821" s="29"/>
      <c r="K821" s="32">
        <f>231059*1.19/15</f>
        <v>18330.68067</v>
      </c>
      <c r="L821" s="32">
        <v>30000.0</v>
      </c>
      <c r="M821" s="25"/>
      <c r="N821" s="102">
        <v>24000.0</v>
      </c>
      <c r="O821" s="27">
        <f>(L821/K821)-1</f>
        <v>0.6366004376</v>
      </c>
      <c r="P821" s="28">
        <f t="shared" si="95"/>
        <v>274960.21</v>
      </c>
    </row>
    <row r="822" hidden="1">
      <c r="A822" s="16" t="s">
        <v>1305</v>
      </c>
      <c r="B822" s="17"/>
      <c r="C822" s="18"/>
      <c r="D822" s="4"/>
      <c r="E822" s="19">
        <v>0.0</v>
      </c>
      <c r="F822" s="19">
        <v>0.0</v>
      </c>
      <c r="G822" s="16" t="s">
        <v>1306</v>
      </c>
      <c r="H822" s="21"/>
      <c r="I822" s="22">
        <v>69.0</v>
      </c>
      <c r="J822" s="29"/>
      <c r="K822" s="48">
        <f>60800/8</f>
        <v>7600</v>
      </c>
      <c r="L822" s="48">
        <v>10000.0</v>
      </c>
      <c r="M822" s="25" t="s">
        <v>76</v>
      </c>
      <c r="N822" s="39"/>
      <c r="O822" s="27">
        <f t="shared" ref="O822:O841" si="96">(L822/K822)-1</f>
        <v>0.3157894737</v>
      </c>
      <c r="P822" s="28">
        <f t="shared" si="95"/>
        <v>0</v>
      </c>
    </row>
    <row r="823" hidden="1">
      <c r="A823" s="16" t="s">
        <v>1307</v>
      </c>
      <c r="B823" s="17" t="s">
        <v>1308</v>
      </c>
      <c r="C823" s="92"/>
      <c r="D823" s="4"/>
      <c r="E823" s="19">
        <v>0.0</v>
      </c>
      <c r="F823" s="19">
        <v>0.0</v>
      </c>
      <c r="G823" s="20" t="s">
        <v>1309</v>
      </c>
      <c r="H823" s="21">
        <v>3.0</v>
      </c>
      <c r="I823" s="22"/>
      <c r="J823" s="47">
        <v>47178.0</v>
      </c>
      <c r="K823" s="48">
        <f>61642/15</f>
        <v>4109.466667</v>
      </c>
      <c r="L823" s="55">
        <v>8000.0</v>
      </c>
      <c r="M823" s="25"/>
      <c r="N823" s="102">
        <v>6000.0</v>
      </c>
      <c r="O823" s="27">
        <f t="shared" si="96"/>
        <v>0.9467246358</v>
      </c>
      <c r="P823" s="28">
        <f t="shared" si="95"/>
        <v>0</v>
      </c>
    </row>
    <row r="824" hidden="1">
      <c r="A824" s="52" t="s">
        <v>1310</v>
      </c>
      <c r="B824" s="36"/>
      <c r="C824" s="18"/>
      <c r="D824" s="4"/>
      <c r="E824" s="19">
        <v>0.0</v>
      </c>
      <c r="F824" s="19">
        <v>0.0</v>
      </c>
      <c r="G824" s="16" t="s">
        <v>437</v>
      </c>
      <c r="H824" s="21"/>
      <c r="I824" s="22" t="s">
        <v>99</v>
      </c>
      <c r="J824" s="29"/>
      <c r="K824" s="43">
        <v>6000.0</v>
      </c>
      <c r="L824" s="44">
        <v>15000.0</v>
      </c>
      <c r="M824" s="25"/>
      <c r="N824" s="39"/>
      <c r="O824" s="27">
        <f t="shared" si="96"/>
        <v>1.5</v>
      </c>
      <c r="P824" s="28" t="str">
        <f>K824*#REF!</f>
        <v>#REF!</v>
      </c>
    </row>
    <row r="825" hidden="1">
      <c r="A825" s="52" t="s">
        <v>1311</v>
      </c>
      <c r="B825" s="36"/>
      <c r="C825" s="18"/>
      <c r="D825" s="4"/>
      <c r="E825" s="19">
        <v>0.0</v>
      </c>
      <c r="F825" s="19">
        <v>0.0</v>
      </c>
      <c r="G825" s="16" t="s">
        <v>437</v>
      </c>
      <c r="H825" s="21"/>
      <c r="I825" s="22" t="s">
        <v>99</v>
      </c>
      <c r="J825" s="29"/>
      <c r="K825" s="43">
        <v>5000.0</v>
      </c>
      <c r="L825" s="44">
        <v>12000.0</v>
      </c>
      <c r="M825" s="25"/>
      <c r="N825" s="39"/>
      <c r="O825" s="27">
        <f t="shared" si="96"/>
        <v>1.4</v>
      </c>
      <c r="P825" s="28">
        <f t="shared" ref="P825:P827" si="97">K825*F825</f>
        <v>0</v>
      </c>
    </row>
    <row r="826" hidden="1">
      <c r="A826" s="52" t="s">
        <v>1312</v>
      </c>
      <c r="B826" s="36"/>
      <c r="C826" s="18"/>
      <c r="D826" s="4"/>
      <c r="E826" s="19">
        <v>0.0</v>
      </c>
      <c r="F826" s="19">
        <v>0.0</v>
      </c>
      <c r="G826" s="16" t="s">
        <v>437</v>
      </c>
      <c r="H826" s="21"/>
      <c r="I826" s="22">
        <v>4.0</v>
      </c>
      <c r="J826" s="29"/>
      <c r="K826" s="43">
        <v>8000.0</v>
      </c>
      <c r="L826" s="44">
        <v>15000.0</v>
      </c>
      <c r="M826" s="25"/>
      <c r="N826" s="39"/>
      <c r="O826" s="27">
        <f t="shared" si="96"/>
        <v>0.875</v>
      </c>
      <c r="P826" s="28">
        <f t="shared" si="97"/>
        <v>0</v>
      </c>
    </row>
    <row r="827" hidden="1">
      <c r="A827" s="52" t="s">
        <v>1313</v>
      </c>
      <c r="B827" s="36"/>
      <c r="C827" s="18"/>
      <c r="D827" s="4"/>
      <c r="E827" s="19">
        <v>0.0</v>
      </c>
      <c r="F827" s="19">
        <v>0.0</v>
      </c>
      <c r="G827" s="16" t="s">
        <v>437</v>
      </c>
      <c r="H827" s="21"/>
      <c r="I827" s="22" t="s">
        <v>99</v>
      </c>
      <c r="J827" s="29"/>
      <c r="K827" s="43">
        <v>9000.0</v>
      </c>
      <c r="L827" s="44">
        <v>18000.0</v>
      </c>
      <c r="M827" s="25"/>
      <c r="N827" s="39"/>
      <c r="O827" s="27">
        <f t="shared" si="96"/>
        <v>1</v>
      </c>
      <c r="P827" s="28">
        <f t="shared" si="97"/>
        <v>0</v>
      </c>
    </row>
    <row r="828" hidden="1">
      <c r="A828" s="52" t="s">
        <v>1314</v>
      </c>
      <c r="B828" s="36"/>
      <c r="C828" s="18"/>
      <c r="D828" s="4"/>
      <c r="E828" s="19">
        <v>0.0</v>
      </c>
      <c r="F828" s="19">
        <v>0.0</v>
      </c>
      <c r="G828" s="16" t="s">
        <v>437</v>
      </c>
      <c r="H828" s="21"/>
      <c r="I828" s="22">
        <v>13.0</v>
      </c>
      <c r="J828" s="23"/>
      <c r="K828" s="44">
        <v>7000.0</v>
      </c>
      <c r="L828" s="44">
        <v>18000.0</v>
      </c>
      <c r="M828" s="25"/>
      <c r="N828" s="39"/>
      <c r="O828" s="27">
        <f t="shared" si="96"/>
        <v>1.571428571</v>
      </c>
      <c r="P828" s="28" t="str">
        <f>K828*#REF!</f>
        <v>#REF!</v>
      </c>
    </row>
    <row r="829" hidden="1">
      <c r="A829" s="52" t="s">
        <v>1315</v>
      </c>
      <c r="B829" s="17"/>
      <c r="C829" s="18"/>
      <c r="D829" s="4"/>
      <c r="E829" s="19">
        <v>0.0</v>
      </c>
      <c r="F829" s="19">
        <v>0.0</v>
      </c>
      <c r="G829" s="16" t="s">
        <v>437</v>
      </c>
      <c r="H829" s="21"/>
      <c r="I829" s="22">
        <v>11.0</v>
      </c>
      <c r="J829" s="29"/>
      <c r="K829" s="43">
        <v>6000.0</v>
      </c>
      <c r="L829" s="44">
        <v>15000.0</v>
      </c>
      <c r="M829" s="25"/>
      <c r="N829" s="39"/>
      <c r="O829" s="27">
        <f t="shared" si="96"/>
        <v>1.5</v>
      </c>
      <c r="P829" s="28">
        <f t="shared" ref="P829:P833" si="98">K829*F829</f>
        <v>0</v>
      </c>
    </row>
    <row r="830" hidden="1">
      <c r="A830" s="52" t="s">
        <v>1316</v>
      </c>
      <c r="B830" s="36" t="s">
        <v>680</v>
      </c>
      <c r="C830" s="18"/>
      <c r="D830" s="4"/>
      <c r="E830" s="19">
        <v>0.0</v>
      </c>
      <c r="F830" s="19">
        <v>0.0</v>
      </c>
      <c r="G830" s="16" t="s">
        <v>437</v>
      </c>
      <c r="H830" s="21"/>
      <c r="I830" s="22" t="s">
        <v>99</v>
      </c>
      <c r="J830" s="29"/>
      <c r="K830" s="43">
        <v>2000.0</v>
      </c>
      <c r="L830" s="44">
        <v>8000.0</v>
      </c>
      <c r="M830" s="25"/>
      <c r="N830" s="39"/>
      <c r="O830" s="27">
        <f t="shared" si="96"/>
        <v>3</v>
      </c>
      <c r="P830" s="28">
        <f t="shared" si="98"/>
        <v>0</v>
      </c>
    </row>
    <row r="831" hidden="1">
      <c r="A831" s="119" t="s">
        <v>1317</v>
      </c>
      <c r="B831" s="51"/>
      <c r="C831" s="18"/>
      <c r="D831" s="4"/>
      <c r="E831" s="19">
        <v>0.0</v>
      </c>
      <c r="F831" s="19">
        <v>0.0</v>
      </c>
      <c r="G831" s="20" t="s">
        <v>497</v>
      </c>
      <c r="H831" s="190"/>
      <c r="I831" s="22" t="s">
        <v>99</v>
      </c>
      <c r="J831" s="191"/>
      <c r="K831" s="192">
        <f>8125/25</f>
        <v>325</v>
      </c>
      <c r="L831" s="44">
        <v>500.0</v>
      </c>
      <c r="M831" s="25"/>
      <c r="N831" s="39"/>
      <c r="O831" s="27">
        <f t="shared" si="96"/>
        <v>0.5384615385</v>
      </c>
      <c r="P831" s="28">
        <f t="shared" si="98"/>
        <v>0</v>
      </c>
    </row>
    <row r="832" hidden="1">
      <c r="A832" s="52" t="s">
        <v>1318</v>
      </c>
      <c r="B832" s="36" t="s">
        <v>680</v>
      </c>
      <c r="C832" s="18"/>
      <c r="D832" s="4"/>
      <c r="E832" s="19">
        <v>0.0</v>
      </c>
      <c r="F832" s="19">
        <v>0.0</v>
      </c>
      <c r="G832" s="16" t="s">
        <v>437</v>
      </c>
      <c r="H832" s="21"/>
      <c r="I832" s="22" t="s">
        <v>99</v>
      </c>
      <c r="J832" s="29"/>
      <c r="K832" s="43">
        <v>350.0</v>
      </c>
      <c r="L832" s="44">
        <v>1000.0</v>
      </c>
      <c r="M832" s="25"/>
      <c r="N832" s="39"/>
      <c r="O832" s="27">
        <f t="shared" si="96"/>
        <v>1.857142857</v>
      </c>
      <c r="P832" s="28">
        <f t="shared" si="98"/>
        <v>0</v>
      </c>
    </row>
    <row r="833" hidden="1">
      <c r="A833" s="122" t="s">
        <v>1319</v>
      </c>
      <c r="B833" s="36"/>
      <c r="C833" s="18"/>
      <c r="D833" s="4"/>
      <c r="E833" s="19">
        <v>0.0</v>
      </c>
      <c r="F833" s="19">
        <v>0.0</v>
      </c>
      <c r="G833" s="16" t="s">
        <v>437</v>
      </c>
      <c r="H833" s="21"/>
      <c r="I833" s="22" t="s">
        <v>99</v>
      </c>
      <c r="J833" s="29"/>
      <c r="K833" s="43">
        <v>350.0</v>
      </c>
      <c r="L833" s="44">
        <v>500.0</v>
      </c>
      <c r="M833" s="25"/>
      <c r="N833" s="39"/>
      <c r="O833" s="27">
        <f t="shared" si="96"/>
        <v>0.4285714286</v>
      </c>
      <c r="P833" s="28">
        <f t="shared" si="98"/>
        <v>0</v>
      </c>
    </row>
    <row r="834" hidden="1">
      <c r="A834" s="52" t="s">
        <v>1320</v>
      </c>
      <c r="B834" s="17"/>
      <c r="C834" s="18"/>
      <c r="D834" s="4"/>
      <c r="E834" s="19">
        <v>0.0</v>
      </c>
      <c r="F834" s="19">
        <v>0.0</v>
      </c>
      <c r="G834" s="16" t="s">
        <v>437</v>
      </c>
      <c r="H834" s="21"/>
      <c r="I834" s="22" t="s">
        <v>99</v>
      </c>
      <c r="J834" s="29"/>
      <c r="K834" s="43">
        <v>1000.0</v>
      </c>
      <c r="L834" s="44">
        <v>1500.0</v>
      </c>
      <c r="M834" s="25"/>
      <c r="N834" s="39"/>
      <c r="O834" s="27">
        <f t="shared" si="96"/>
        <v>0.5</v>
      </c>
      <c r="P834" s="28" t="str">
        <f>K834*#REF!</f>
        <v>#REF!</v>
      </c>
    </row>
    <row r="835" hidden="1">
      <c r="A835" s="52" t="s">
        <v>1321</v>
      </c>
      <c r="B835" s="17"/>
      <c r="C835" s="18"/>
      <c r="D835" s="4"/>
      <c r="E835" s="19">
        <v>0.0</v>
      </c>
      <c r="F835" s="19">
        <v>0.0</v>
      </c>
      <c r="G835" s="16" t="s">
        <v>437</v>
      </c>
      <c r="H835" s="21"/>
      <c r="I835" s="22">
        <v>8.0</v>
      </c>
      <c r="J835" s="29"/>
      <c r="K835" s="43">
        <v>1000.0</v>
      </c>
      <c r="L835" s="44">
        <v>1500.0</v>
      </c>
      <c r="M835" s="25"/>
      <c r="N835" s="39"/>
      <c r="O835" s="27">
        <f t="shared" si="96"/>
        <v>0.5</v>
      </c>
      <c r="P835" s="28">
        <f t="shared" ref="P835:P839" si="99">K835*F835</f>
        <v>0</v>
      </c>
    </row>
    <row r="836" hidden="1">
      <c r="A836" s="52" t="s">
        <v>1322</v>
      </c>
      <c r="B836" s="36"/>
      <c r="C836" s="18"/>
      <c r="D836" s="4"/>
      <c r="E836" s="19">
        <v>0.0</v>
      </c>
      <c r="F836" s="19">
        <v>0.0</v>
      </c>
      <c r="G836" s="16" t="s">
        <v>439</v>
      </c>
      <c r="H836" s="21"/>
      <c r="I836" s="22" t="s">
        <v>99</v>
      </c>
      <c r="J836" s="29"/>
      <c r="K836" s="43">
        <v>350.0</v>
      </c>
      <c r="L836" s="44">
        <v>500.0</v>
      </c>
      <c r="M836" s="25"/>
      <c r="N836" s="39"/>
      <c r="O836" s="27">
        <f t="shared" si="96"/>
        <v>0.4285714286</v>
      </c>
      <c r="P836" s="28">
        <f t="shared" si="99"/>
        <v>0</v>
      </c>
    </row>
    <row r="837" hidden="1">
      <c r="A837" s="52" t="s">
        <v>1323</v>
      </c>
      <c r="B837" s="36"/>
      <c r="C837" s="18"/>
      <c r="D837" s="4"/>
      <c r="E837" s="19">
        <v>0.0</v>
      </c>
      <c r="F837" s="19">
        <v>0.0</v>
      </c>
      <c r="G837" s="16" t="s">
        <v>439</v>
      </c>
      <c r="H837" s="21"/>
      <c r="I837" s="22">
        <f>12+19</f>
        <v>31</v>
      </c>
      <c r="J837" s="29"/>
      <c r="K837" s="43">
        <v>350.0</v>
      </c>
      <c r="L837" s="44">
        <v>500.0</v>
      </c>
      <c r="M837" s="25"/>
      <c r="N837" s="39"/>
      <c r="O837" s="27">
        <f t="shared" si="96"/>
        <v>0.4285714286</v>
      </c>
      <c r="P837" s="28">
        <f t="shared" si="99"/>
        <v>0</v>
      </c>
    </row>
    <row r="838" hidden="1">
      <c r="A838" s="119" t="s">
        <v>1324</v>
      </c>
      <c r="B838" s="193" t="s">
        <v>1325</v>
      </c>
      <c r="C838" s="18"/>
      <c r="D838" s="4"/>
      <c r="E838" s="19"/>
      <c r="F838" s="19"/>
      <c r="G838" s="20" t="s">
        <v>1326</v>
      </c>
      <c r="H838" s="21">
        <v>0.0</v>
      </c>
      <c r="I838" s="22"/>
      <c r="J838" s="74"/>
      <c r="K838" s="194">
        <f>13685/100</f>
        <v>136.85</v>
      </c>
      <c r="L838" s="24">
        <v>500.0</v>
      </c>
      <c r="M838" s="25"/>
      <c r="N838" s="39"/>
      <c r="O838" s="27">
        <f t="shared" si="96"/>
        <v>2.653635367</v>
      </c>
      <c r="P838" s="28">
        <f t="shared" si="99"/>
        <v>0</v>
      </c>
    </row>
    <row r="839" hidden="1">
      <c r="A839" s="16" t="s">
        <v>1327</v>
      </c>
      <c r="B839" s="49"/>
      <c r="C839" s="18"/>
      <c r="D839" s="4" t="s">
        <v>676</v>
      </c>
      <c r="E839" s="19">
        <v>0.0</v>
      </c>
      <c r="F839" s="19">
        <v>20.0</v>
      </c>
      <c r="G839" s="20" t="s">
        <v>1328</v>
      </c>
      <c r="H839" s="21"/>
      <c r="I839" s="22">
        <v>8.0</v>
      </c>
      <c r="J839" s="47">
        <v>46508.0</v>
      </c>
      <c r="K839" s="43">
        <v>6188.0</v>
      </c>
      <c r="L839" s="44">
        <v>8000.0</v>
      </c>
      <c r="M839" s="25"/>
      <c r="N839" s="39"/>
      <c r="O839" s="27">
        <f t="shared" si="96"/>
        <v>0.2928248222</v>
      </c>
      <c r="P839" s="28">
        <f t="shared" si="99"/>
        <v>123760</v>
      </c>
    </row>
    <row r="840" hidden="1">
      <c r="A840" s="16" t="s">
        <v>1329</v>
      </c>
      <c r="B840" s="4" t="s">
        <v>1330</v>
      </c>
      <c r="C840" s="18"/>
      <c r="D840" s="4"/>
      <c r="E840" s="19">
        <v>0.0</v>
      </c>
      <c r="F840" s="19">
        <v>0.0</v>
      </c>
      <c r="G840" s="16" t="s">
        <v>1331</v>
      </c>
      <c r="H840" s="21"/>
      <c r="I840" s="22">
        <v>0.0</v>
      </c>
      <c r="J840" s="23"/>
      <c r="K840" s="24">
        <f>10367*1.19</f>
        <v>12336.73</v>
      </c>
      <c r="L840" s="24">
        <v>15000.0</v>
      </c>
      <c r="M840" s="25"/>
      <c r="N840" s="39"/>
      <c r="O840" s="27">
        <f t="shared" si="96"/>
        <v>0.2158813559</v>
      </c>
      <c r="P840" s="28"/>
    </row>
    <row r="841" hidden="1">
      <c r="A841" s="42" t="s">
        <v>1332</v>
      </c>
      <c r="B841" s="71"/>
      <c r="C841" s="18"/>
      <c r="D841" s="4"/>
      <c r="E841" s="19">
        <v>0.0</v>
      </c>
      <c r="F841" s="19"/>
      <c r="G841" s="20" t="s">
        <v>1333</v>
      </c>
      <c r="H841" s="21"/>
      <c r="I841" s="22"/>
      <c r="J841" s="29"/>
      <c r="K841" s="43">
        <v>240.0</v>
      </c>
      <c r="L841" s="44">
        <v>1000.0</v>
      </c>
      <c r="M841" s="25"/>
      <c r="N841" s="39"/>
      <c r="O841" s="27">
        <f t="shared" si="96"/>
        <v>3.166666667</v>
      </c>
      <c r="P841" s="28">
        <f>K841*F841</f>
        <v>0</v>
      </c>
    </row>
    <row r="842" hidden="1">
      <c r="A842" s="16" t="s">
        <v>1334</v>
      </c>
      <c r="B842" s="17"/>
      <c r="C842" s="18"/>
      <c r="D842" s="4"/>
      <c r="E842" s="19">
        <v>0.0</v>
      </c>
      <c r="F842" s="19">
        <v>0.0</v>
      </c>
      <c r="G842" s="20" t="s">
        <v>1335</v>
      </c>
      <c r="H842" s="21"/>
      <c r="I842" s="22"/>
      <c r="J842" s="29"/>
      <c r="K842" s="43"/>
      <c r="L842" s="44">
        <v>45000.0</v>
      </c>
      <c r="M842" s="25"/>
      <c r="N842" s="39"/>
      <c r="O842" s="27"/>
      <c r="P842" s="28"/>
    </row>
    <row r="843" hidden="1">
      <c r="A843" s="16" t="s">
        <v>1336</v>
      </c>
      <c r="B843" s="49"/>
      <c r="C843" s="18"/>
      <c r="D843" s="4" t="s">
        <v>998</v>
      </c>
      <c r="E843" s="19">
        <v>0.0</v>
      </c>
      <c r="F843" s="19">
        <v>10.0</v>
      </c>
      <c r="G843" s="20" t="s">
        <v>1205</v>
      </c>
      <c r="H843" s="21"/>
      <c r="I843" s="22">
        <v>2.0</v>
      </c>
      <c r="J843" s="29"/>
      <c r="K843" s="43">
        <f>45000*1.19</f>
        <v>53550</v>
      </c>
      <c r="L843" s="44">
        <v>76000.0</v>
      </c>
      <c r="M843" s="25"/>
      <c r="N843" s="39"/>
      <c r="O843" s="27">
        <f t="shared" ref="O843:O876" si="100">(L843/K843)-1</f>
        <v>0.4192343604</v>
      </c>
      <c r="P843" s="28">
        <f t="shared" ref="P843:P876" si="101">K843*F843</f>
        <v>535500</v>
      </c>
    </row>
    <row r="844" hidden="1">
      <c r="A844" s="40" t="s">
        <v>1337</v>
      </c>
      <c r="B844" s="17"/>
      <c r="C844" s="18"/>
      <c r="D844" s="4"/>
      <c r="E844" s="19">
        <v>0.0</v>
      </c>
      <c r="F844" s="19"/>
      <c r="G844" s="16" t="s">
        <v>1338</v>
      </c>
      <c r="H844" s="21"/>
      <c r="I844" s="22"/>
      <c r="J844" s="29"/>
      <c r="K844" s="43">
        <v>100000.0</v>
      </c>
      <c r="L844" s="44">
        <v>145000.0</v>
      </c>
      <c r="M844" s="25"/>
      <c r="N844" s="39"/>
      <c r="O844" s="27">
        <f t="shared" si="100"/>
        <v>0.45</v>
      </c>
      <c r="P844" s="28">
        <f t="shared" si="101"/>
        <v>0</v>
      </c>
    </row>
    <row r="845" hidden="1">
      <c r="A845" s="16" t="s">
        <v>1339</v>
      </c>
      <c r="B845" s="195"/>
      <c r="C845" s="18"/>
      <c r="D845" s="4"/>
      <c r="E845" s="19">
        <v>0.0</v>
      </c>
      <c r="F845" s="19">
        <v>0.0</v>
      </c>
      <c r="G845" s="16" t="s">
        <v>1340</v>
      </c>
      <c r="H845" s="21"/>
      <c r="I845" s="22"/>
      <c r="J845" s="29"/>
      <c r="K845" s="43">
        <v>3016.0</v>
      </c>
      <c r="L845" s="44">
        <v>10000.0</v>
      </c>
      <c r="M845" s="25"/>
      <c r="N845" s="39"/>
      <c r="O845" s="27">
        <f t="shared" si="100"/>
        <v>2.315649867</v>
      </c>
      <c r="P845" s="28">
        <f t="shared" si="101"/>
        <v>0</v>
      </c>
    </row>
    <row r="846" hidden="1">
      <c r="A846" s="16" t="s">
        <v>1341</v>
      </c>
      <c r="B846" s="196"/>
      <c r="C846" s="18"/>
      <c r="D846" s="4"/>
      <c r="E846" s="19">
        <v>0.0</v>
      </c>
      <c r="F846" s="19">
        <v>0.0</v>
      </c>
      <c r="G846" s="16" t="s">
        <v>1340</v>
      </c>
      <c r="H846" s="21"/>
      <c r="I846" s="22"/>
      <c r="J846" s="29"/>
      <c r="K846" s="43">
        <v>2936.0</v>
      </c>
      <c r="L846" s="44">
        <v>10000.0</v>
      </c>
      <c r="M846" s="25"/>
      <c r="N846" s="39"/>
      <c r="O846" s="27">
        <f t="shared" si="100"/>
        <v>2.40599455</v>
      </c>
      <c r="P846" s="28">
        <f t="shared" si="101"/>
        <v>0</v>
      </c>
    </row>
    <row r="847" hidden="1">
      <c r="A847" s="16" t="s">
        <v>1342</v>
      </c>
      <c r="B847" s="195"/>
      <c r="C847" s="18"/>
      <c r="D847" s="4"/>
      <c r="E847" s="19">
        <v>0.0</v>
      </c>
      <c r="F847" s="19">
        <v>0.0</v>
      </c>
      <c r="G847" s="16" t="s">
        <v>1340</v>
      </c>
      <c r="H847" s="21"/>
      <c r="I847" s="22"/>
      <c r="J847" s="29"/>
      <c r="K847" s="43">
        <v>3016.0</v>
      </c>
      <c r="L847" s="44">
        <v>10000.0</v>
      </c>
      <c r="M847" s="25"/>
      <c r="N847" s="39"/>
      <c r="O847" s="27">
        <f t="shared" si="100"/>
        <v>2.315649867</v>
      </c>
      <c r="P847" s="28">
        <f t="shared" si="101"/>
        <v>0</v>
      </c>
    </row>
    <row r="848" hidden="1">
      <c r="A848" s="16" t="s">
        <v>1343</v>
      </c>
      <c r="B848" s="195"/>
      <c r="C848" s="18"/>
      <c r="D848" s="4"/>
      <c r="E848" s="19">
        <v>0.0</v>
      </c>
      <c r="F848" s="19">
        <v>0.0</v>
      </c>
      <c r="G848" s="16" t="s">
        <v>1340</v>
      </c>
      <c r="H848" s="21"/>
      <c r="I848" s="22"/>
      <c r="J848" s="29"/>
      <c r="K848" s="43">
        <v>3016.0</v>
      </c>
      <c r="L848" s="44">
        <v>10000.0</v>
      </c>
      <c r="M848" s="25"/>
      <c r="N848" s="39"/>
      <c r="O848" s="27">
        <f t="shared" si="100"/>
        <v>2.315649867</v>
      </c>
      <c r="P848" s="28">
        <f t="shared" si="101"/>
        <v>0</v>
      </c>
    </row>
    <row r="849" hidden="1">
      <c r="A849" s="16" t="s">
        <v>1344</v>
      </c>
      <c r="B849" s="195"/>
      <c r="C849" s="18"/>
      <c r="D849" s="4"/>
      <c r="E849" s="19">
        <v>0.0</v>
      </c>
      <c r="F849" s="19">
        <v>0.0</v>
      </c>
      <c r="G849" s="16" t="s">
        <v>1340</v>
      </c>
      <c r="H849" s="21"/>
      <c r="I849" s="22"/>
      <c r="J849" s="29"/>
      <c r="K849" s="43">
        <v>3016.0</v>
      </c>
      <c r="L849" s="44">
        <v>10000.0</v>
      </c>
      <c r="M849" s="25"/>
      <c r="N849" s="39"/>
      <c r="O849" s="27">
        <f t="shared" si="100"/>
        <v>2.315649867</v>
      </c>
      <c r="P849" s="28">
        <f t="shared" si="101"/>
        <v>0</v>
      </c>
    </row>
    <row r="850" hidden="1">
      <c r="A850" s="16" t="s">
        <v>1345</v>
      </c>
      <c r="B850" s="195"/>
      <c r="C850" s="18"/>
      <c r="D850" s="4"/>
      <c r="E850" s="19">
        <v>0.0</v>
      </c>
      <c r="F850" s="19">
        <v>0.0</v>
      </c>
      <c r="G850" s="16" t="s">
        <v>1340</v>
      </c>
      <c r="H850" s="21"/>
      <c r="I850" s="22"/>
      <c r="J850" s="29"/>
      <c r="K850" s="43">
        <v>3016.0</v>
      </c>
      <c r="L850" s="44">
        <v>10000.0</v>
      </c>
      <c r="M850" s="25"/>
      <c r="N850" s="39"/>
      <c r="O850" s="27">
        <f t="shared" si="100"/>
        <v>2.315649867</v>
      </c>
      <c r="P850" s="28">
        <f t="shared" si="101"/>
        <v>0</v>
      </c>
    </row>
    <row r="851" hidden="1">
      <c r="A851" s="16" t="s">
        <v>1346</v>
      </c>
      <c r="B851" s="195"/>
      <c r="C851" s="18"/>
      <c r="D851" s="4"/>
      <c r="E851" s="19">
        <v>0.0</v>
      </c>
      <c r="F851" s="19">
        <v>0.0</v>
      </c>
      <c r="G851" s="16" t="s">
        <v>1340</v>
      </c>
      <c r="H851" s="21"/>
      <c r="I851" s="22"/>
      <c r="J851" s="29"/>
      <c r="K851" s="43">
        <v>3016.0</v>
      </c>
      <c r="L851" s="44">
        <v>10000.0</v>
      </c>
      <c r="M851" s="25"/>
      <c r="N851" s="39"/>
      <c r="O851" s="27">
        <f t="shared" si="100"/>
        <v>2.315649867</v>
      </c>
      <c r="P851" s="28">
        <f t="shared" si="101"/>
        <v>0</v>
      </c>
    </row>
    <row r="852" hidden="1">
      <c r="A852" s="16" t="s">
        <v>1347</v>
      </c>
      <c r="B852" s="195"/>
      <c r="C852" s="18"/>
      <c r="D852" s="4"/>
      <c r="E852" s="19">
        <v>0.0</v>
      </c>
      <c r="F852" s="19">
        <v>0.0</v>
      </c>
      <c r="G852" s="16" t="s">
        <v>1340</v>
      </c>
      <c r="H852" s="21"/>
      <c r="I852" s="22"/>
      <c r="J852" s="29"/>
      <c r="K852" s="43">
        <v>3016.0</v>
      </c>
      <c r="L852" s="44">
        <v>10000.0</v>
      </c>
      <c r="M852" s="25"/>
      <c r="N852" s="39"/>
      <c r="O852" s="27">
        <f t="shared" si="100"/>
        <v>2.315649867</v>
      </c>
      <c r="P852" s="28">
        <f t="shared" si="101"/>
        <v>0</v>
      </c>
    </row>
    <row r="853" hidden="1">
      <c r="A853" s="42" t="s">
        <v>1348</v>
      </c>
      <c r="B853" s="195"/>
      <c r="C853" s="18"/>
      <c r="D853" s="4"/>
      <c r="E853" s="19">
        <v>0.0</v>
      </c>
      <c r="F853" s="19">
        <v>0.0</v>
      </c>
      <c r="G853" s="16" t="s">
        <v>1340</v>
      </c>
      <c r="H853" s="21"/>
      <c r="I853" s="22"/>
      <c r="J853" s="29"/>
      <c r="K853" s="43">
        <v>3016.0</v>
      </c>
      <c r="L853" s="44">
        <v>10000.0</v>
      </c>
      <c r="M853" s="25"/>
      <c r="N853" s="39"/>
      <c r="O853" s="27">
        <f t="shared" si="100"/>
        <v>2.315649867</v>
      </c>
      <c r="P853" s="28">
        <f t="shared" si="101"/>
        <v>0</v>
      </c>
    </row>
    <row r="854" hidden="1">
      <c r="A854" s="42" t="s">
        <v>1349</v>
      </c>
      <c r="B854" s="195"/>
      <c r="C854" s="18"/>
      <c r="D854" s="4"/>
      <c r="E854" s="19">
        <v>0.0</v>
      </c>
      <c r="F854" s="19">
        <v>0.0</v>
      </c>
      <c r="G854" s="16" t="s">
        <v>1340</v>
      </c>
      <c r="H854" s="21"/>
      <c r="I854" s="22"/>
      <c r="J854" s="29"/>
      <c r="K854" s="43">
        <v>4000.0</v>
      </c>
      <c r="L854" s="44">
        <v>10000.0</v>
      </c>
      <c r="M854" s="25"/>
      <c r="N854" s="39"/>
      <c r="O854" s="27">
        <f t="shared" si="100"/>
        <v>1.5</v>
      </c>
      <c r="P854" s="28">
        <f t="shared" si="101"/>
        <v>0</v>
      </c>
    </row>
    <row r="855" hidden="1">
      <c r="A855" s="42" t="s">
        <v>1350</v>
      </c>
      <c r="B855" s="195"/>
      <c r="C855" s="18"/>
      <c r="D855" s="4"/>
      <c r="E855" s="19">
        <v>0.0</v>
      </c>
      <c r="F855" s="19">
        <v>0.0</v>
      </c>
      <c r="G855" s="16" t="s">
        <v>1340</v>
      </c>
      <c r="H855" s="21"/>
      <c r="I855" s="22"/>
      <c r="J855" s="29"/>
      <c r="K855" s="43">
        <v>3016.0</v>
      </c>
      <c r="L855" s="44">
        <v>10000.0</v>
      </c>
      <c r="M855" s="25"/>
      <c r="N855" s="39"/>
      <c r="O855" s="27">
        <f t="shared" si="100"/>
        <v>2.315649867</v>
      </c>
      <c r="P855" s="28">
        <f t="shared" si="101"/>
        <v>0</v>
      </c>
    </row>
    <row r="856" hidden="1">
      <c r="A856" s="42" t="s">
        <v>1351</v>
      </c>
      <c r="B856" s="195"/>
      <c r="C856" s="18"/>
      <c r="D856" s="4"/>
      <c r="E856" s="19">
        <v>0.0</v>
      </c>
      <c r="F856" s="19">
        <v>0.0</v>
      </c>
      <c r="G856" s="16" t="s">
        <v>1340</v>
      </c>
      <c r="H856" s="21"/>
      <c r="I856" s="22"/>
      <c r="J856" s="29"/>
      <c r="K856" s="43">
        <v>3016.0</v>
      </c>
      <c r="L856" s="44">
        <v>10000.0</v>
      </c>
      <c r="M856" s="25"/>
      <c r="N856" s="39"/>
      <c r="O856" s="27">
        <f t="shared" si="100"/>
        <v>2.315649867</v>
      </c>
      <c r="P856" s="28">
        <f t="shared" si="101"/>
        <v>0</v>
      </c>
    </row>
    <row r="857" hidden="1">
      <c r="A857" s="42" t="s">
        <v>1352</v>
      </c>
      <c r="B857" s="195"/>
      <c r="C857" s="18"/>
      <c r="D857" s="4"/>
      <c r="E857" s="19">
        <v>0.0</v>
      </c>
      <c r="F857" s="19">
        <v>0.0</v>
      </c>
      <c r="G857" s="16" t="s">
        <v>1340</v>
      </c>
      <c r="H857" s="21"/>
      <c r="I857" s="22"/>
      <c r="J857" s="29"/>
      <c r="K857" s="43">
        <v>3016.0</v>
      </c>
      <c r="L857" s="44">
        <v>10000.0</v>
      </c>
      <c r="M857" s="25"/>
      <c r="N857" s="39"/>
      <c r="O857" s="27">
        <f t="shared" si="100"/>
        <v>2.315649867</v>
      </c>
      <c r="P857" s="28">
        <f t="shared" si="101"/>
        <v>0</v>
      </c>
    </row>
    <row r="858" hidden="1">
      <c r="A858" s="42" t="s">
        <v>1353</v>
      </c>
      <c r="B858" s="195"/>
      <c r="C858" s="18"/>
      <c r="D858" s="4"/>
      <c r="E858" s="19">
        <v>0.0</v>
      </c>
      <c r="F858" s="19">
        <v>0.0</v>
      </c>
      <c r="G858" s="16" t="s">
        <v>1340</v>
      </c>
      <c r="H858" s="21"/>
      <c r="I858" s="22"/>
      <c r="J858" s="29"/>
      <c r="K858" s="43">
        <v>3016.0</v>
      </c>
      <c r="L858" s="44">
        <v>10000.0</v>
      </c>
      <c r="M858" s="25"/>
      <c r="N858" s="39"/>
      <c r="O858" s="27">
        <f t="shared" si="100"/>
        <v>2.315649867</v>
      </c>
      <c r="P858" s="28">
        <f t="shared" si="101"/>
        <v>0</v>
      </c>
    </row>
    <row r="859" hidden="1">
      <c r="A859" s="42" t="s">
        <v>1354</v>
      </c>
      <c r="B859" s="195"/>
      <c r="C859" s="18"/>
      <c r="D859" s="4"/>
      <c r="E859" s="19">
        <v>0.0</v>
      </c>
      <c r="F859" s="19">
        <v>0.0</v>
      </c>
      <c r="G859" s="16" t="s">
        <v>1340</v>
      </c>
      <c r="H859" s="21"/>
      <c r="I859" s="22"/>
      <c r="J859" s="29"/>
      <c r="K859" s="43">
        <v>3016.0</v>
      </c>
      <c r="L859" s="44">
        <v>10000.0</v>
      </c>
      <c r="M859" s="25"/>
      <c r="N859" s="39"/>
      <c r="O859" s="27">
        <f t="shared" si="100"/>
        <v>2.315649867</v>
      </c>
      <c r="P859" s="28">
        <f t="shared" si="101"/>
        <v>0</v>
      </c>
    </row>
    <row r="860" hidden="1">
      <c r="A860" s="42" t="s">
        <v>1355</v>
      </c>
      <c r="B860" s="195"/>
      <c r="C860" s="18"/>
      <c r="D860" s="4"/>
      <c r="E860" s="19">
        <v>0.0</v>
      </c>
      <c r="F860" s="19">
        <v>0.0</v>
      </c>
      <c r="G860" s="16" t="s">
        <v>1340</v>
      </c>
      <c r="H860" s="21"/>
      <c r="I860" s="22"/>
      <c r="J860" s="29"/>
      <c r="K860" s="43">
        <v>3016.0</v>
      </c>
      <c r="L860" s="44">
        <v>10000.0</v>
      </c>
      <c r="M860" s="25"/>
      <c r="N860" s="39"/>
      <c r="O860" s="27">
        <f t="shared" si="100"/>
        <v>2.315649867</v>
      </c>
      <c r="P860" s="28">
        <f t="shared" si="101"/>
        <v>0</v>
      </c>
    </row>
    <row r="861" hidden="1">
      <c r="A861" s="42" t="s">
        <v>1356</v>
      </c>
      <c r="B861" s="195"/>
      <c r="C861" s="18"/>
      <c r="D861" s="4"/>
      <c r="E861" s="19">
        <v>0.0</v>
      </c>
      <c r="F861" s="19">
        <v>0.0</v>
      </c>
      <c r="G861" s="16" t="s">
        <v>1340</v>
      </c>
      <c r="H861" s="21"/>
      <c r="I861" s="22"/>
      <c r="J861" s="29"/>
      <c r="K861" s="43">
        <v>3016.0</v>
      </c>
      <c r="L861" s="44">
        <v>10000.0</v>
      </c>
      <c r="M861" s="25"/>
      <c r="N861" s="39"/>
      <c r="O861" s="27">
        <f t="shared" si="100"/>
        <v>2.315649867</v>
      </c>
      <c r="P861" s="28">
        <f t="shared" si="101"/>
        <v>0</v>
      </c>
    </row>
    <row r="862" hidden="1">
      <c r="A862" s="42" t="s">
        <v>1357</v>
      </c>
      <c r="B862" s="195"/>
      <c r="C862" s="18"/>
      <c r="D862" s="4"/>
      <c r="E862" s="19">
        <v>0.0</v>
      </c>
      <c r="F862" s="19">
        <v>0.0</v>
      </c>
      <c r="G862" s="16" t="s">
        <v>1340</v>
      </c>
      <c r="H862" s="21"/>
      <c r="I862" s="22"/>
      <c r="J862" s="29"/>
      <c r="K862" s="43">
        <v>3016.0</v>
      </c>
      <c r="L862" s="44">
        <v>10000.0</v>
      </c>
      <c r="M862" s="25"/>
      <c r="N862" s="39"/>
      <c r="O862" s="27">
        <f t="shared" si="100"/>
        <v>2.315649867</v>
      </c>
      <c r="P862" s="28">
        <f t="shared" si="101"/>
        <v>0</v>
      </c>
    </row>
    <row r="863" hidden="1">
      <c r="A863" s="42" t="s">
        <v>1358</v>
      </c>
      <c r="B863" s="195"/>
      <c r="C863" s="18"/>
      <c r="D863" s="4"/>
      <c r="E863" s="19">
        <v>0.0</v>
      </c>
      <c r="F863" s="19">
        <v>0.0</v>
      </c>
      <c r="G863" s="16" t="s">
        <v>1340</v>
      </c>
      <c r="H863" s="21"/>
      <c r="I863" s="22"/>
      <c r="J863" s="29"/>
      <c r="K863" s="43">
        <v>3016.0</v>
      </c>
      <c r="L863" s="44">
        <v>10000.0</v>
      </c>
      <c r="M863" s="25"/>
      <c r="N863" s="39"/>
      <c r="O863" s="27">
        <f t="shared" si="100"/>
        <v>2.315649867</v>
      </c>
      <c r="P863" s="28">
        <f t="shared" si="101"/>
        <v>0</v>
      </c>
    </row>
    <row r="864" hidden="1">
      <c r="A864" s="42" t="s">
        <v>1359</v>
      </c>
      <c r="B864" s="195"/>
      <c r="C864" s="18"/>
      <c r="D864" s="4"/>
      <c r="E864" s="19">
        <v>0.0</v>
      </c>
      <c r="F864" s="19">
        <v>0.0</v>
      </c>
      <c r="G864" s="16" t="s">
        <v>1340</v>
      </c>
      <c r="H864" s="21"/>
      <c r="I864" s="22"/>
      <c r="J864" s="29"/>
      <c r="K864" s="43">
        <v>3016.0</v>
      </c>
      <c r="L864" s="44">
        <v>10000.0</v>
      </c>
      <c r="M864" s="25"/>
      <c r="N864" s="39"/>
      <c r="O864" s="27">
        <f t="shared" si="100"/>
        <v>2.315649867</v>
      </c>
      <c r="P864" s="28">
        <f t="shared" si="101"/>
        <v>0</v>
      </c>
    </row>
    <row r="865" hidden="1">
      <c r="A865" s="42" t="s">
        <v>1360</v>
      </c>
      <c r="B865" s="195"/>
      <c r="C865" s="18"/>
      <c r="D865" s="4"/>
      <c r="E865" s="19">
        <v>0.0</v>
      </c>
      <c r="F865" s="19">
        <v>0.0</v>
      </c>
      <c r="G865" s="16" t="s">
        <v>1340</v>
      </c>
      <c r="H865" s="21"/>
      <c r="I865" s="22"/>
      <c r="J865" s="29"/>
      <c r="K865" s="43">
        <v>3016.0</v>
      </c>
      <c r="L865" s="44">
        <v>10000.0</v>
      </c>
      <c r="M865" s="25"/>
      <c r="N865" s="39"/>
      <c r="O865" s="27">
        <f t="shared" si="100"/>
        <v>2.315649867</v>
      </c>
      <c r="P865" s="28">
        <f t="shared" si="101"/>
        <v>0</v>
      </c>
    </row>
    <row r="866" hidden="1">
      <c r="A866" s="16" t="s">
        <v>1361</v>
      </c>
      <c r="B866" s="195"/>
      <c r="C866" s="18"/>
      <c r="D866" s="4"/>
      <c r="E866" s="19">
        <v>0.0</v>
      </c>
      <c r="F866" s="19">
        <v>0.0</v>
      </c>
      <c r="G866" s="16" t="s">
        <v>1340</v>
      </c>
      <c r="H866" s="21"/>
      <c r="I866" s="22"/>
      <c r="J866" s="29"/>
      <c r="K866" s="43">
        <v>3016.0</v>
      </c>
      <c r="L866" s="44">
        <v>10000.0</v>
      </c>
      <c r="M866" s="25"/>
      <c r="N866" s="39"/>
      <c r="O866" s="27">
        <f t="shared" si="100"/>
        <v>2.315649867</v>
      </c>
      <c r="P866" s="28">
        <f t="shared" si="101"/>
        <v>0</v>
      </c>
    </row>
    <row r="867" hidden="1">
      <c r="A867" s="16" t="s">
        <v>1362</v>
      </c>
      <c r="B867" s="195"/>
      <c r="C867" s="18"/>
      <c r="D867" s="4"/>
      <c r="E867" s="19">
        <v>0.0</v>
      </c>
      <c r="F867" s="19">
        <v>0.0</v>
      </c>
      <c r="G867" s="16" t="s">
        <v>1340</v>
      </c>
      <c r="H867" s="21"/>
      <c r="I867" s="22"/>
      <c r="J867" s="29"/>
      <c r="K867" s="43">
        <v>2936.0</v>
      </c>
      <c r="L867" s="44">
        <v>10000.0</v>
      </c>
      <c r="M867" s="25"/>
      <c r="N867" s="39"/>
      <c r="O867" s="27">
        <f t="shared" si="100"/>
        <v>2.40599455</v>
      </c>
      <c r="P867" s="28">
        <f t="shared" si="101"/>
        <v>0</v>
      </c>
    </row>
    <row r="868" hidden="1">
      <c r="A868" s="40" t="s">
        <v>1363</v>
      </c>
      <c r="B868" s="195"/>
      <c r="C868" s="18"/>
      <c r="D868" s="4"/>
      <c r="E868" s="19">
        <v>0.0</v>
      </c>
      <c r="F868" s="19">
        <v>0.0</v>
      </c>
      <c r="G868" s="16" t="s">
        <v>1340</v>
      </c>
      <c r="H868" s="21"/>
      <c r="I868" s="22"/>
      <c r="J868" s="29"/>
      <c r="K868" s="43">
        <v>4000.0</v>
      </c>
      <c r="L868" s="44">
        <v>10000.0</v>
      </c>
      <c r="M868" s="25"/>
      <c r="N868" s="39"/>
      <c r="O868" s="27">
        <f t="shared" si="100"/>
        <v>1.5</v>
      </c>
      <c r="P868" s="28">
        <f t="shared" si="101"/>
        <v>0</v>
      </c>
    </row>
    <row r="869" hidden="1">
      <c r="A869" s="40" t="s">
        <v>1364</v>
      </c>
      <c r="B869" s="195"/>
      <c r="C869" s="18"/>
      <c r="D869" s="4"/>
      <c r="E869" s="19">
        <v>0.0</v>
      </c>
      <c r="F869" s="19">
        <v>0.0</v>
      </c>
      <c r="G869" s="16" t="s">
        <v>1340</v>
      </c>
      <c r="H869" s="21"/>
      <c r="I869" s="22"/>
      <c r="J869" s="29"/>
      <c r="K869" s="43">
        <v>3016.0</v>
      </c>
      <c r="L869" s="44">
        <v>10000.0</v>
      </c>
      <c r="M869" s="25"/>
      <c r="N869" s="39"/>
      <c r="O869" s="27">
        <f t="shared" si="100"/>
        <v>2.315649867</v>
      </c>
      <c r="P869" s="28">
        <f t="shared" si="101"/>
        <v>0</v>
      </c>
    </row>
    <row r="870" hidden="1">
      <c r="A870" s="40" t="s">
        <v>1365</v>
      </c>
      <c r="B870" s="195"/>
      <c r="C870" s="18"/>
      <c r="D870" s="4"/>
      <c r="E870" s="19">
        <v>0.0</v>
      </c>
      <c r="F870" s="19">
        <v>0.0</v>
      </c>
      <c r="G870" s="16" t="s">
        <v>1340</v>
      </c>
      <c r="H870" s="21"/>
      <c r="I870" s="22"/>
      <c r="J870" s="29"/>
      <c r="K870" s="43">
        <v>3016.0</v>
      </c>
      <c r="L870" s="44">
        <v>10000.0</v>
      </c>
      <c r="M870" s="25"/>
      <c r="N870" s="39"/>
      <c r="O870" s="27">
        <f t="shared" si="100"/>
        <v>2.315649867</v>
      </c>
      <c r="P870" s="28">
        <f t="shared" si="101"/>
        <v>0</v>
      </c>
    </row>
    <row r="871" hidden="1">
      <c r="A871" s="40" t="s">
        <v>1366</v>
      </c>
      <c r="B871" s="195"/>
      <c r="C871" s="18"/>
      <c r="D871" s="4"/>
      <c r="E871" s="19">
        <v>0.0</v>
      </c>
      <c r="F871" s="19">
        <v>0.0</v>
      </c>
      <c r="G871" s="16" t="s">
        <v>1340</v>
      </c>
      <c r="H871" s="21"/>
      <c r="I871" s="22"/>
      <c r="J871" s="29"/>
      <c r="K871" s="43">
        <v>3016.0</v>
      </c>
      <c r="L871" s="44">
        <v>10000.0</v>
      </c>
      <c r="M871" s="25"/>
      <c r="N871" s="39"/>
      <c r="O871" s="27">
        <f t="shared" si="100"/>
        <v>2.315649867</v>
      </c>
      <c r="P871" s="28">
        <f t="shared" si="101"/>
        <v>0</v>
      </c>
    </row>
    <row r="872" hidden="1">
      <c r="A872" s="40" t="s">
        <v>1367</v>
      </c>
      <c r="B872" s="49"/>
      <c r="C872" s="18"/>
      <c r="D872" s="4"/>
      <c r="E872" s="19">
        <v>0.0</v>
      </c>
      <c r="F872" s="19">
        <v>0.0</v>
      </c>
      <c r="G872" s="16" t="s">
        <v>1340</v>
      </c>
      <c r="H872" s="21"/>
      <c r="I872" s="22"/>
      <c r="J872" s="29"/>
      <c r="K872" s="43">
        <v>2936.0</v>
      </c>
      <c r="L872" s="44">
        <v>10000.0</v>
      </c>
      <c r="M872" s="25"/>
      <c r="N872" s="39"/>
      <c r="O872" s="27">
        <f t="shared" si="100"/>
        <v>2.40599455</v>
      </c>
      <c r="P872" s="28">
        <f t="shared" si="101"/>
        <v>0</v>
      </c>
    </row>
    <row r="873" hidden="1">
      <c r="A873" s="16" t="s">
        <v>1368</v>
      </c>
      <c r="B873" s="195"/>
      <c r="C873" s="18"/>
      <c r="D873" s="4"/>
      <c r="E873" s="19">
        <v>0.0</v>
      </c>
      <c r="F873" s="19">
        <v>0.0</v>
      </c>
      <c r="G873" s="16" t="s">
        <v>1340</v>
      </c>
      <c r="H873" s="21"/>
      <c r="I873" s="22"/>
      <c r="J873" s="29"/>
      <c r="K873" s="43">
        <v>3016.0</v>
      </c>
      <c r="L873" s="44">
        <v>10000.0</v>
      </c>
      <c r="M873" s="25"/>
      <c r="N873" s="39"/>
      <c r="O873" s="27">
        <f t="shared" si="100"/>
        <v>2.315649867</v>
      </c>
      <c r="P873" s="28">
        <f t="shared" si="101"/>
        <v>0</v>
      </c>
    </row>
    <row r="874" hidden="1">
      <c r="A874" s="16" t="s">
        <v>1369</v>
      </c>
      <c r="B874" s="195"/>
      <c r="C874" s="18"/>
      <c r="D874" s="4"/>
      <c r="E874" s="19">
        <v>0.0</v>
      </c>
      <c r="F874" s="19">
        <v>0.0</v>
      </c>
      <c r="G874" s="16" t="s">
        <v>1340</v>
      </c>
      <c r="H874" s="21"/>
      <c r="I874" s="22"/>
      <c r="J874" s="29"/>
      <c r="K874" s="43">
        <v>3016.0</v>
      </c>
      <c r="L874" s="44">
        <v>10000.0</v>
      </c>
      <c r="M874" s="25"/>
      <c r="N874" s="39"/>
      <c r="O874" s="27">
        <f t="shared" si="100"/>
        <v>2.315649867</v>
      </c>
      <c r="P874" s="28">
        <f t="shared" si="101"/>
        <v>0</v>
      </c>
    </row>
    <row r="875" hidden="1">
      <c r="A875" s="16" t="s">
        <v>1370</v>
      </c>
      <c r="B875" s="195"/>
      <c r="C875" s="18"/>
      <c r="D875" s="4"/>
      <c r="E875" s="19">
        <v>0.0</v>
      </c>
      <c r="F875" s="19">
        <v>0.0</v>
      </c>
      <c r="G875" s="16" t="s">
        <v>1340</v>
      </c>
      <c r="H875" s="21"/>
      <c r="I875" s="22"/>
      <c r="J875" s="29"/>
      <c r="K875" s="43">
        <v>3016.0</v>
      </c>
      <c r="L875" s="44">
        <v>10000.0</v>
      </c>
      <c r="M875" s="25"/>
      <c r="N875" s="39"/>
      <c r="O875" s="27">
        <f t="shared" si="100"/>
        <v>2.315649867</v>
      </c>
      <c r="P875" s="28">
        <f t="shared" si="101"/>
        <v>0</v>
      </c>
    </row>
    <row r="876" hidden="1">
      <c r="A876" s="16" t="s">
        <v>1371</v>
      </c>
      <c r="B876" s="51"/>
      <c r="C876" s="18"/>
      <c r="D876" s="4"/>
      <c r="E876" s="19">
        <v>0.0</v>
      </c>
      <c r="F876" s="19">
        <v>0.0</v>
      </c>
      <c r="G876" s="16" t="s">
        <v>1340</v>
      </c>
      <c r="H876" s="21"/>
      <c r="I876" s="22"/>
      <c r="J876" s="29"/>
      <c r="K876" s="43">
        <v>3016.0</v>
      </c>
      <c r="L876" s="44">
        <v>10000.0</v>
      </c>
      <c r="M876" s="25"/>
      <c r="N876" s="39"/>
      <c r="O876" s="27">
        <f t="shared" si="100"/>
        <v>2.315649867</v>
      </c>
      <c r="P876" s="28">
        <f t="shared" si="101"/>
        <v>0</v>
      </c>
    </row>
    <row r="877" hidden="1">
      <c r="A877" s="16" t="s">
        <v>1372</v>
      </c>
      <c r="B877" s="17"/>
      <c r="C877" s="38"/>
      <c r="D877" s="4"/>
      <c r="E877" s="19">
        <v>0.0</v>
      </c>
      <c r="F877" s="19">
        <v>0.0</v>
      </c>
      <c r="G877" s="16"/>
      <c r="H877" s="21"/>
      <c r="I877" s="22">
        <v>12.0</v>
      </c>
      <c r="J877" s="29"/>
      <c r="K877" s="43"/>
      <c r="L877" s="172"/>
      <c r="M877" s="25"/>
      <c r="N877" s="26"/>
      <c r="O877" s="27"/>
      <c r="P877" s="28"/>
    </row>
    <row r="878" hidden="1">
      <c r="A878" s="16" t="s">
        <v>1373</v>
      </c>
      <c r="B878" s="17" t="s">
        <v>1374</v>
      </c>
      <c r="C878" s="18"/>
      <c r="D878" s="4"/>
      <c r="E878" s="19"/>
      <c r="F878" s="19"/>
      <c r="G878" s="20" t="s">
        <v>1375</v>
      </c>
      <c r="H878" s="21">
        <v>0.0</v>
      </c>
      <c r="I878" s="22"/>
      <c r="J878" s="29"/>
      <c r="K878" s="48">
        <f t="shared" ref="K878:K881" si="102">1583*1.19</f>
        <v>1883.77</v>
      </c>
      <c r="L878" s="55">
        <v>3000.0</v>
      </c>
      <c r="M878" s="25"/>
      <c r="N878" s="26"/>
      <c r="O878" s="27">
        <f t="shared" ref="O878:O893" si="103">(L878/K878)-1</f>
        <v>0.5925511076</v>
      </c>
      <c r="P878" s="28">
        <f t="shared" ref="P878:P893" si="104">K878*F878</f>
        <v>0</v>
      </c>
    </row>
    <row r="879" hidden="1">
      <c r="A879" s="16" t="s">
        <v>1376</v>
      </c>
      <c r="B879" s="17" t="s">
        <v>1377</v>
      </c>
      <c r="C879" s="18"/>
      <c r="D879" s="4"/>
      <c r="E879" s="19"/>
      <c r="F879" s="19"/>
      <c r="G879" s="20" t="s">
        <v>1375</v>
      </c>
      <c r="H879" s="21">
        <v>0.0</v>
      </c>
      <c r="I879" s="22"/>
      <c r="J879" s="29"/>
      <c r="K879" s="48">
        <f t="shared" si="102"/>
        <v>1883.77</v>
      </c>
      <c r="L879" s="55">
        <v>3000.0</v>
      </c>
      <c r="M879" s="25"/>
      <c r="N879" s="39"/>
      <c r="O879" s="27">
        <f t="shared" si="103"/>
        <v>0.5925511076</v>
      </c>
      <c r="P879" s="28">
        <f t="shared" si="104"/>
        <v>0</v>
      </c>
    </row>
    <row r="880" hidden="1">
      <c r="A880" s="16" t="s">
        <v>1378</v>
      </c>
      <c r="B880" s="17" t="s">
        <v>1379</v>
      </c>
      <c r="C880" s="18"/>
      <c r="D880" s="4"/>
      <c r="E880" s="19"/>
      <c r="F880" s="19"/>
      <c r="G880" s="20" t="s">
        <v>1375</v>
      </c>
      <c r="H880" s="21">
        <v>0.0</v>
      </c>
      <c r="I880" s="22"/>
      <c r="J880" s="29"/>
      <c r="K880" s="48">
        <f t="shared" si="102"/>
        <v>1883.77</v>
      </c>
      <c r="L880" s="55">
        <v>3000.0</v>
      </c>
      <c r="M880" s="25"/>
      <c r="N880" s="39"/>
      <c r="O880" s="27">
        <f t="shared" si="103"/>
        <v>0.5925511076</v>
      </c>
      <c r="P880" s="28">
        <f t="shared" si="104"/>
        <v>0</v>
      </c>
    </row>
    <row r="881" hidden="1">
      <c r="A881" s="16" t="s">
        <v>1380</v>
      </c>
      <c r="B881" s="17" t="s">
        <v>1377</v>
      </c>
      <c r="C881" s="18"/>
      <c r="D881" s="4"/>
      <c r="E881" s="19"/>
      <c r="F881" s="19"/>
      <c r="G881" s="20" t="s">
        <v>1375</v>
      </c>
      <c r="H881" s="21">
        <v>0.0</v>
      </c>
      <c r="I881" s="22"/>
      <c r="J881" s="29"/>
      <c r="K881" s="32">
        <f t="shared" si="102"/>
        <v>1883.77</v>
      </c>
      <c r="L881" s="24">
        <v>3000.0</v>
      </c>
      <c r="M881" s="25"/>
      <c r="N881" s="39"/>
      <c r="O881" s="27">
        <f t="shared" si="103"/>
        <v>0.5925511076</v>
      </c>
      <c r="P881" s="28">
        <f t="shared" si="104"/>
        <v>0</v>
      </c>
    </row>
    <row r="882" hidden="1">
      <c r="A882" s="119" t="s">
        <v>1381</v>
      </c>
      <c r="B882" s="51"/>
      <c r="C882" s="18"/>
      <c r="D882" s="4"/>
      <c r="E882" s="19">
        <v>0.0</v>
      </c>
      <c r="F882" s="19"/>
      <c r="G882" s="20" t="s">
        <v>1382</v>
      </c>
      <c r="H882" s="73"/>
      <c r="I882" s="22"/>
      <c r="J882" s="74"/>
      <c r="K882" s="75">
        <v>1133.0</v>
      </c>
      <c r="L882" s="44">
        <v>4000.0</v>
      </c>
      <c r="M882" s="25"/>
      <c r="N882" s="39"/>
      <c r="O882" s="27">
        <f t="shared" si="103"/>
        <v>2.530450132</v>
      </c>
      <c r="P882" s="28">
        <f t="shared" si="104"/>
        <v>0</v>
      </c>
    </row>
    <row r="883" hidden="1">
      <c r="A883" s="119" t="s">
        <v>1381</v>
      </c>
      <c r="B883" s="51"/>
      <c r="C883" s="18"/>
      <c r="D883" s="4"/>
      <c r="E883" s="19">
        <v>0.0</v>
      </c>
      <c r="F883" s="19">
        <v>0.0</v>
      </c>
      <c r="G883" s="20" t="s">
        <v>1383</v>
      </c>
      <c r="H883" s="99"/>
      <c r="I883" s="22"/>
      <c r="J883" s="173"/>
      <c r="K883" s="174">
        <f>188655/100</f>
        <v>1886.55</v>
      </c>
      <c r="L883" s="44">
        <v>4000.0</v>
      </c>
      <c r="M883" s="25"/>
      <c r="N883" s="39"/>
      <c r="O883" s="27">
        <f t="shared" si="103"/>
        <v>1.120272455</v>
      </c>
      <c r="P883" s="28">
        <f t="shared" si="104"/>
        <v>0</v>
      </c>
    </row>
    <row r="884" hidden="1">
      <c r="A884" s="16" t="s">
        <v>1384</v>
      </c>
      <c r="B884" s="116" t="s">
        <v>1385</v>
      </c>
      <c r="C884" s="38"/>
      <c r="D884" s="98"/>
      <c r="E884" s="19"/>
      <c r="F884" s="19"/>
      <c r="G884" s="16" t="s">
        <v>1386</v>
      </c>
      <c r="H884" s="21">
        <v>0.0</v>
      </c>
      <c r="I884" s="22"/>
      <c r="J884" s="29"/>
      <c r="K884" s="32">
        <v>14280.0</v>
      </c>
      <c r="L884" s="24">
        <v>24000.0</v>
      </c>
      <c r="M884" s="25"/>
      <c r="N884" s="197">
        <v>18000.0</v>
      </c>
      <c r="O884" s="27">
        <f t="shared" si="103"/>
        <v>0.6806722689</v>
      </c>
      <c r="P884" s="28">
        <f t="shared" si="104"/>
        <v>0</v>
      </c>
    </row>
    <row r="885" hidden="1">
      <c r="A885" s="16" t="s">
        <v>1387</v>
      </c>
      <c r="B885" s="116" t="s">
        <v>1385</v>
      </c>
      <c r="C885" s="38"/>
      <c r="D885" s="4"/>
      <c r="E885" s="19"/>
      <c r="F885" s="19"/>
      <c r="G885" s="16" t="s">
        <v>1386</v>
      </c>
      <c r="H885" s="21">
        <v>0.0</v>
      </c>
      <c r="I885" s="22"/>
      <c r="J885" s="29"/>
      <c r="K885" s="32">
        <v>14280.0</v>
      </c>
      <c r="L885" s="24">
        <v>24000.0</v>
      </c>
      <c r="M885" s="25"/>
      <c r="N885" s="197">
        <v>18000.0</v>
      </c>
      <c r="O885" s="27">
        <f t="shared" si="103"/>
        <v>0.6806722689</v>
      </c>
      <c r="P885" s="28">
        <f t="shared" si="104"/>
        <v>0</v>
      </c>
    </row>
    <row r="886" hidden="1">
      <c r="A886" s="16" t="s">
        <v>1388</v>
      </c>
      <c r="B886" s="116" t="s">
        <v>1385</v>
      </c>
      <c r="C886" s="38"/>
      <c r="D886" s="4"/>
      <c r="E886" s="19"/>
      <c r="F886" s="19"/>
      <c r="G886" s="16" t="s">
        <v>1386</v>
      </c>
      <c r="H886" s="21">
        <v>0.0</v>
      </c>
      <c r="I886" s="22"/>
      <c r="J886" s="29"/>
      <c r="K886" s="32">
        <v>14280.0</v>
      </c>
      <c r="L886" s="24">
        <v>24000.0</v>
      </c>
      <c r="M886" s="25"/>
      <c r="N886" s="197">
        <v>18000.0</v>
      </c>
      <c r="O886" s="27">
        <f t="shared" si="103"/>
        <v>0.6806722689</v>
      </c>
      <c r="P886" s="28">
        <f t="shared" si="104"/>
        <v>0</v>
      </c>
    </row>
    <row r="887" hidden="1">
      <c r="A887" s="16" t="s">
        <v>1389</v>
      </c>
      <c r="B887" s="198" t="s">
        <v>1390</v>
      </c>
      <c r="C887" s="38"/>
      <c r="D887" s="4"/>
      <c r="E887" s="19"/>
      <c r="F887" s="19"/>
      <c r="G887" s="16" t="s">
        <v>1386</v>
      </c>
      <c r="H887" s="21">
        <v>0.0</v>
      </c>
      <c r="I887" s="22"/>
      <c r="J887" s="29"/>
      <c r="K887" s="43">
        <v>21250.0</v>
      </c>
      <c r="L887" s="44">
        <v>30000.0</v>
      </c>
      <c r="M887" s="25"/>
      <c r="N887" s="39"/>
      <c r="O887" s="27">
        <f t="shared" si="103"/>
        <v>0.4117647059</v>
      </c>
      <c r="P887" s="28">
        <f t="shared" si="104"/>
        <v>0</v>
      </c>
    </row>
    <row r="888" hidden="1">
      <c r="A888" s="16" t="s">
        <v>1391</v>
      </c>
      <c r="B888" s="198" t="s">
        <v>1390</v>
      </c>
      <c r="C888" s="38"/>
      <c r="D888" s="4"/>
      <c r="E888" s="19"/>
      <c r="F888" s="19"/>
      <c r="G888" s="16" t="s">
        <v>1386</v>
      </c>
      <c r="H888" s="21">
        <v>0.0</v>
      </c>
      <c r="I888" s="22"/>
      <c r="J888" s="29"/>
      <c r="K888" s="32">
        <v>21250.0</v>
      </c>
      <c r="L888" s="24">
        <v>30000.0</v>
      </c>
      <c r="M888" s="25"/>
      <c r="N888" s="39"/>
      <c r="O888" s="27">
        <f t="shared" si="103"/>
        <v>0.4117647059</v>
      </c>
      <c r="P888" s="28">
        <f t="shared" si="104"/>
        <v>0</v>
      </c>
    </row>
    <row r="889" hidden="1">
      <c r="A889" s="16" t="s">
        <v>1392</v>
      </c>
      <c r="B889" s="198" t="s">
        <v>1390</v>
      </c>
      <c r="C889" s="38"/>
      <c r="D889" s="4"/>
      <c r="E889" s="19"/>
      <c r="F889" s="19"/>
      <c r="G889" s="16" t="s">
        <v>1386</v>
      </c>
      <c r="H889" s="21">
        <v>0.0</v>
      </c>
      <c r="I889" s="22"/>
      <c r="J889" s="29"/>
      <c r="K889" s="32">
        <v>21250.0</v>
      </c>
      <c r="L889" s="24">
        <v>30000.0</v>
      </c>
      <c r="M889" s="25"/>
      <c r="N889" s="39"/>
      <c r="O889" s="27">
        <f t="shared" si="103"/>
        <v>0.4117647059</v>
      </c>
      <c r="P889" s="28">
        <f t="shared" si="104"/>
        <v>0</v>
      </c>
    </row>
    <row r="890" hidden="1">
      <c r="A890" s="119" t="s">
        <v>1393</v>
      </c>
      <c r="B890" s="51"/>
      <c r="C890" s="18"/>
      <c r="D890" s="4"/>
      <c r="E890" s="19">
        <v>0.0</v>
      </c>
      <c r="F890" s="19">
        <v>0.0</v>
      </c>
      <c r="G890" s="20" t="s">
        <v>1394</v>
      </c>
      <c r="H890" s="73"/>
      <c r="I890" s="22" t="s">
        <v>1395</v>
      </c>
      <c r="J890" s="74"/>
      <c r="K890" s="75">
        <v>3300.0</v>
      </c>
      <c r="L890" s="44">
        <v>5000.0</v>
      </c>
      <c r="M890" s="25"/>
      <c r="N890" s="39"/>
      <c r="O890" s="27">
        <f t="shared" si="103"/>
        <v>0.5151515152</v>
      </c>
      <c r="P890" s="28">
        <f t="shared" si="104"/>
        <v>0</v>
      </c>
    </row>
    <row r="891" hidden="1">
      <c r="A891" s="40" t="s">
        <v>1396</v>
      </c>
      <c r="B891" s="36"/>
      <c r="C891" s="18"/>
      <c r="D891" s="4"/>
      <c r="E891" s="19">
        <v>0.0</v>
      </c>
      <c r="F891" s="19"/>
      <c r="G891" s="16" t="s">
        <v>1397</v>
      </c>
      <c r="H891" s="21"/>
      <c r="I891" s="22"/>
      <c r="J891" s="29"/>
      <c r="K891" s="43">
        <v>50.0</v>
      </c>
      <c r="L891" s="44">
        <v>300.0</v>
      </c>
      <c r="M891" s="25"/>
      <c r="N891" s="39"/>
      <c r="O891" s="27">
        <f t="shared" si="103"/>
        <v>5</v>
      </c>
      <c r="P891" s="28">
        <f t="shared" si="104"/>
        <v>0</v>
      </c>
    </row>
    <row r="892" hidden="1">
      <c r="A892" s="56" t="s">
        <v>1398</v>
      </c>
      <c r="B892" s="49"/>
      <c r="C892" s="18"/>
      <c r="D892" s="4"/>
      <c r="E892" s="19"/>
      <c r="F892" s="19"/>
      <c r="G892" s="20" t="s">
        <v>98</v>
      </c>
      <c r="H892" s="21">
        <v>0.0</v>
      </c>
      <c r="I892" s="22"/>
      <c r="J892" s="29"/>
      <c r="K892" s="32">
        <f>3300*1.19</f>
        <v>3927</v>
      </c>
      <c r="L892" s="24">
        <v>7000.0</v>
      </c>
      <c r="M892" s="25"/>
      <c r="N892" s="102">
        <v>6000.0</v>
      </c>
      <c r="O892" s="27">
        <f t="shared" si="103"/>
        <v>0.7825311943</v>
      </c>
      <c r="P892" s="28">
        <f t="shared" si="104"/>
        <v>0</v>
      </c>
    </row>
    <row r="893" hidden="1">
      <c r="A893" s="16" t="s">
        <v>1399</v>
      </c>
      <c r="B893" s="17"/>
      <c r="C893" s="18"/>
      <c r="D893" s="4"/>
      <c r="E893" s="19"/>
      <c r="F893" s="19"/>
      <c r="G893" s="16" t="s">
        <v>1400</v>
      </c>
      <c r="H893" s="21"/>
      <c r="I893" s="22">
        <v>0.0</v>
      </c>
      <c r="J893" s="29"/>
      <c r="K893" s="32">
        <v>380000.0</v>
      </c>
      <c r="L893" s="24">
        <v>550000.0</v>
      </c>
      <c r="M893" s="25"/>
      <c r="N893" s="39"/>
      <c r="O893" s="27">
        <f t="shared" si="103"/>
        <v>0.4473684211</v>
      </c>
      <c r="P893" s="28">
        <f t="shared" si="104"/>
        <v>0</v>
      </c>
    </row>
    <row r="894" hidden="1">
      <c r="A894" s="16" t="s">
        <v>1401</v>
      </c>
      <c r="B894" s="17"/>
      <c r="C894" s="18"/>
      <c r="D894" s="4"/>
      <c r="E894" s="19">
        <v>0.0</v>
      </c>
      <c r="F894" s="19">
        <v>0.0</v>
      </c>
      <c r="G894" s="16" t="s">
        <v>1402</v>
      </c>
      <c r="H894" s="21"/>
      <c r="I894" s="22"/>
      <c r="J894" s="29"/>
      <c r="K894" s="32">
        <v>235000.0</v>
      </c>
      <c r="L894" s="24">
        <v>320000.0</v>
      </c>
      <c r="M894" s="25"/>
      <c r="N894" s="39"/>
      <c r="O894" s="27"/>
      <c r="P894" s="28"/>
    </row>
    <row r="895" hidden="1">
      <c r="A895" s="16" t="s">
        <v>1403</v>
      </c>
      <c r="B895" s="17"/>
      <c r="C895" s="18"/>
      <c r="D895" s="4"/>
      <c r="E895" s="19">
        <v>0.0</v>
      </c>
      <c r="F895" s="19">
        <v>0.0</v>
      </c>
      <c r="G895" s="16" t="s">
        <v>16</v>
      </c>
      <c r="H895" s="21"/>
      <c r="I895" s="22">
        <v>2.0</v>
      </c>
      <c r="J895" s="29"/>
      <c r="K895" s="32">
        <v>380000.0</v>
      </c>
      <c r="L895" s="24">
        <v>550000.0</v>
      </c>
      <c r="M895" s="25"/>
      <c r="N895" s="102">
        <v>490000.0</v>
      </c>
      <c r="O895" s="27">
        <f t="shared" ref="O895:O948" si="105">(L895/K895)-1</f>
        <v>0.4473684211</v>
      </c>
      <c r="P895" s="28">
        <f t="shared" ref="P895:P902" si="106">K895*F895</f>
        <v>0</v>
      </c>
    </row>
    <row r="896" hidden="1">
      <c r="A896" s="52" t="s">
        <v>1404</v>
      </c>
      <c r="B896" s="36"/>
      <c r="C896" s="18"/>
      <c r="D896" s="4"/>
      <c r="E896" s="19">
        <v>0.0</v>
      </c>
      <c r="F896" s="19">
        <v>0.0</v>
      </c>
      <c r="G896" s="20" t="s">
        <v>563</v>
      </c>
      <c r="H896" s="21"/>
      <c r="I896" s="22">
        <v>2.0</v>
      </c>
      <c r="J896" s="29"/>
      <c r="K896" s="32">
        <f>35000*1.19</f>
        <v>41650</v>
      </c>
      <c r="L896" s="24">
        <v>3500.0</v>
      </c>
      <c r="M896" s="25"/>
      <c r="N896" s="26"/>
      <c r="O896" s="27">
        <f t="shared" si="105"/>
        <v>-0.9159663866</v>
      </c>
      <c r="P896" s="28">
        <f t="shared" si="106"/>
        <v>0</v>
      </c>
    </row>
    <row r="897" hidden="1">
      <c r="A897" s="52" t="s">
        <v>1405</v>
      </c>
      <c r="B897" s="36"/>
      <c r="C897" s="18"/>
      <c r="D897" s="4"/>
      <c r="E897" s="19">
        <v>0.0</v>
      </c>
      <c r="F897" s="19">
        <v>0.0</v>
      </c>
      <c r="G897" s="20" t="s">
        <v>563</v>
      </c>
      <c r="H897" s="21"/>
      <c r="I897" s="22">
        <v>60.0</v>
      </c>
      <c r="J897" s="29"/>
      <c r="K897" s="32">
        <v>1319.0</v>
      </c>
      <c r="L897" s="24">
        <v>3500.0</v>
      </c>
      <c r="M897" s="25"/>
      <c r="N897" s="26"/>
      <c r="O897" s="27">
        <f t="shared" si="105"/>
        <v>1.653525398</v>
      </c>
      <c r="P897" s="28">
        <f t="shared" si="106"/>
        <v>0</v>
      </c>
    </row>
    <row r="898" hidden="1">
      <c r="A898" s="16" t="s">
        <v>1406</v>
      </c>
      <c r="B898" s="36"/>
      <c r="C898" s="18"/>
      <c r="D898" s="199"/>
      <c r="E898" s="19">
        <v>0.0</v>
      </c>
      <c r="F898" s="19">
        <v>0.0</v>
      </c>
      <c r="G898" s="16" t="s">
        <v>1407</v>
      </c>
      <c r="H898" s="21"/>
      <c r="I898" s="22">
        <v>2.0</v>
      </c>
      <c r="J898" s="47">
        <v>46447.0</v>
      </c>
      <c r="K898" s="55">
        <f>10985</f>
        <v>10985</v>
      </c>
      <c r="L898" s="24">
        <v>18000.0</v>
      </c>
      <c r="M898" s="25"/>
      <c r="N898" s="26"/>
      <c r="O898" s="27">
        <f t="shared" si="105"/>
        <v>0.6385980883</v>
      </c>
      <c r="P898" s="28">
        <f t="shared" si="106"/>
        <v>0</v>
      </c>
    </row>
    <row r="899" hidden="1">
      <c r="A899" s="16" t="s">
        <v>1408</v>
      </c>
      <c r="B899" s="49"/>
      <c r="C899" s="18" t="s">
        <v>1409</v>
      </c>
      <c r="D899" s="4"/>
      <c r="E899" s="19"/>
      <c r="F899" s="19"/>
      <c r="G899" s="16" t="s">
        <v>1410</v>
      </c>
      <c r="H899" s="21"/>
      <c r="I899" s="22">
        <v>14.0</v>
      </c>
      <c r="J899" s="23"/>
      <c r="K899" s="55">
        <v>12757.0</v>
      </c>
      <c r="L899" s="55">
        <v>18000.0</v>
      </c>
      <c r="M899" s="25" t="s">
        <v>82</v>
      </c>
      <c r="N899" s="102">
        <v>15000.0</v>
      </c>
      <c r="O899" s="27">
        <f t="shared" si="105"/>
        <v>0.4109900447</v>
      </c>
      <c r="P899" s="28">
        <f t="shared" si="106"/>
        <v>0</v>
      </c>
    </row>
    <row r="900" hidden="1">
      <c r="A900" s="16" t="s">
        <v>1411</v>
      </c>
      <c r="B900" s="49"/>
      <c r="C900" s="18"/>
      <c r="D900" s="4"/>
      <c r="E900" s="19">
        <v>12.0</v>
      </c>
      <c r="F900" s="19"/>
      <c r="G900" s="16" t="s">
        <v>1412</v>
      </c>
      <c r="H900" s="21"/>
      <c r="I900" s="22"/>
      <c r="J900" s="22" t="s">
        <v>1413</v>
      </c>
      <c r="K900" s="55">
        <v>9638.0</v>
      </c>
      <c r="L900" s="55">
        <v>14000.0</v>
      </c>
      <c r="M900" s="25" t="s">
        <v>82</v>
      </c>
      <c r="N900" s="102">
        <v>11000.0</v>
      </c>
      <c r="O900" s="27">
        <f t="shared" si="105"/>
        <v>0.4525835236</v>
      </c>
      <c r="P900" s="28">
        <f t="shared" si="106"/>
        <v>0</v>
      </c>
    </row>
    <row r="901" hidden="1">
      <c r="A901" s="16" t="s">
        <v>1414</v>
      </c>
      <c r="B901" s="17" t="s">
        <v>1415</v>
      </c>
      <c r="C901" s="18" t="s">
        <v>144</v>
      </c>
      <c r="D901" s="4">
        <v>17301.0</v>
      </c>
      <c r="E901" s="19">
        <v>0.0</v>
      </c>
      <c r="F901" s="19"/>
      <c r="G901" s="16" t="s">
        <v>1416</v>
      </c>
      <c r="H901" s="21">
        <v>4.0</v>
      </c>
      <c r="I901" s="22"/>
      <c r="J901" s="23"/>
      <c r="K901" s="24">
        <v>16995.0</v>
      </c>
      <c r="L901" s="24">
        <v>26000.0</v>
      </c>
      <c r="M901" s="25"/>
      <c r="N901" s="39"/>
      <c r="O901" s="27">
        <f t="shared" si="105"/>
        <v>0.529861724</v>
      </c>
      <c r="P901" s="28">
        <f t="shared" si="106"/>
        <v>0</v>
      </c>
    </row>
    <row r="902" hidden="1">
      <c r="A902" s="16" t="s">
        <v>1417</v>
      </c>
      <c r="B902" s="17"/>
      <c r="C902" s="18"/>
      <c r="D902" s="199"/>
      <c r="E902" s="19">
        <v>0.0</v>
      </c>
      <c r="F902" s="19">
        <v>0.0</v>
      </c>
      <c r="G902" s="20" t="s">
        <v>78</v>
      </c>
      <c r="H902" s="21">
        <v>1.0</v>
      </c>
      <c r="I902" s="22">
        <v>5.0</v>
      </c>
      <c r="J902" s="23"/>
      <c r="K902" s="24">
        <v>14500.0</v>
      </c>
      <c r="L902" s="24">
        <v>26000.0</v>
      </c>
      <c r="M902" s="25"/>
      <c r="N902" s="39"/>
      <c r="O902" s="27">
        <f t="shared" si="105"/>
        <v>0.7931034483</v>
      </c>
      <c r="P902" s="28">
        <f t="shared" si="106"/>
        <v>0</v>
      </c>
    </row>
    <row r="903" hidden="1">
      <c r="A903" s="52" t="s">
        <v>1418</v>
      </c>
      <c r="B903" s="36"/>
      <c r="C903" s="18"/>
      <c r="D903" s="4"/>
      <c r="E903" s="19">
        <v>0.0</v>
      </c>
      <c r="F903" s="19">
        <v>12.0</v>
      </c>
      <c r="G903" s="20" t="s">
        <v>377</v>
      </c>
      <c r="H903" s="21"/>
      <c r="I903" s="22">
        <v>0.0</v>
      </c>
      <c r="J903" s="47"/>
      <c r="K903" s="32">
        <f>19000*1.19</f>
        <v>22610</v>
      </c>
      <c r="L903" s="24">
        <v>28000.0</v>
      </c>
      <c r="M903" s="25"/>
      <c r="N903" s="39"/>
      <c r="O903" s="27">
        <f t="shared" si="105"/>
        <v>0.2383900929</v>
      </c>
      <c r="P903" s="28"/>
    </row>
    <row r="904" hidden="1">
      <c r="A904" s="42" t="s">
        <v>1419</v>
      </c>
      <c r="B904" s="17"/>
      <c r="C904" s="18"/>
      <c r="D904" s="4"/>
      <c r="E904" s="19">
        <v>0.0</v>
      </c>
      <c r="F904" s="19">
        <v>0.0</v>
      </c>
      <c r="G904" s="54" t="s">
        <v>102</v>
      </c>
      <c r="H904" s="21"/>
      <c r="I904" s="22">
        <v>2.0</v>
      </c>
      <c r="J904" s="29"/>
      <c r="K904" s="48">
        <v>33478.0</v>
      </c>
      <c r="L904" s="55">
        <v>48000.0</v>
      </c>
      <c r="M904" s="25"/>
      <c r="N904" s="39"/>
      <c r="O904" s="27">
        <f t="shared" si="105"/>
        <v>0.4337774061</v>
      </c>
      <c r="P904" s="28">
        <f t="shared" ref="P904:P928" si="107">K904*F904</f>
        <v>0</v>
      </c>
    </row>
    <row r="905" hidden="1">
      <c r="A905" s="42" t="s">
        <v>1420</v>
      </c>
      <c r="B905" s="36">
        <v>29674.0</v>
      </c>
      <c r="C905" s="18"/>
      <c r="D905" s="4"/>
      <c r="E905" s="19">
        <v>1.0</v>
      </c>
      <c r="F905" s="77">
        <v>0.0</v>
      </c>
      <c r="G905" s="20" t="s">
        <v>14</v>
      </c>
      <c r="H905" s="21">
        <v>1.0</v>
      </c>
      <c r="I905" s="22">
        <v>0.0</v>
      </c>
      <c r="J905" s="29"/>
      <c r="K905" s="48">
        <v>69900.0</v>
      </c>
      <c r="L905" s="55">
        <v>89000.0</v>
      </c>
      <c r="M905" s="25"/>
      <c r="N905" s="102">
        <v>79000.0</v>
      </c>
      <c r="O905" s="27">
        <f t="shared" si="105"/>
        <v>0.2732474964</v>
      </c>
      <c r="P905" s="28">
        <f t="shared" si="107"/>
        <v>0</v>
      </c>
    </row>
    <row r="906" hidden="1">
      <c r="A906" s="52" t="s">
        <v>1421</v>
      </c>
      <c r="B906" s="36"/>
      <c r="C906" s="18" t="s">
        <v>1422</v>
      </c>
      <c r="D906" s="4"/>
      <c r="E906" s="19">
        <v>0.0</v>
      </c>
      <c r="F906" s="19">
        <v>0.0</v>
      </c>
      <c r="G906" s="16" t="s">
        <v>1423</v>
      </c>
      <c r="H906" s="21"/>
      <c r="I906" s="22"/>
      <c r="J906" s="47">
        <v>46508.0</v>
      </c>
      <c r="K906" s="60">
        <v>7961.0</v>
      </c>
      <c r="L906" s="55">
        <v>8000.0</v>
      </c>
      <c r="M906" s="25"/>
      <c r="N906" s="39"/>
      <c r="O906" s="27">
        <f t="shared" si="105"/>
        <v>0.00489888205</v>
      </c>
      <c r="P906" s="28">
        <f t="shared" si="107"/>
        <v>0</v>
      </c>
    </row>
    <row r="907" hidden="1">
      <c r="A907" s="52" t="s">
        <v>1424</v>
      </c>
      <c r="B907" s="36"/>
      <c r="C907" s="18"/>
      <c r="D907" s="4"/>
      <c r="E907" s="19">
        <v>0.0</v>
      </c>
      <c r="F907" s="19">
        <v>0.0</v>
      </c>
      <c r="G907" s="16" t="s">
        <v>1423</v>
      </c>
      <c r="H907" s="21"/>
      <c r="I907" s="22">
        <v>20.0</v>
      </c>
      <c r="J907" s="29"/>
      <c r="K907" s="43">
        <v>5114.0</v>
      </c>
      <c r="L907" s="24">
        <v>8000.0</v>
      </c>
      <c r="M907" s="25" t="s">
        <v>82</v>
      </c>
      <c r="N907" s="39"/>
      <c r="O907" s="27">
        <f t="shared" si="105"/>
        <v>0.564333203</v>
      </c>
      <c r="P907" s="200">
        <f t="shared" si="107"/>
        <v>0</v>
      </c>
    </row>
    <row r="908" hidden="1">
      <c r="A908" s="16" t="s">
        <v>1425</v>
      </c>
      <c r="B908" s="17"/>
      <c r="C908" s="18"/>
      <c r="D908" s="4"/>
      <c r="E908" s="19">
        <v>0.0</v>
      </c>
      <c r="F908" s="19">
        <v>0.0</v>
      </c>
      <c r="G908" s="20" t="s">
        <v>286</v>
      </c>
      <c r="H908" s="21"/>
      <c r="I908" s="22">
        <v>0.0</v>
      </c>
      <c r="J908" s="29"/>
      <c r="K908" s="43">
        <v>17136.0</v>
      </c>
      <c r="L908" s="44">
        <v>23000.0</v>
      </c>
      <c r="M908" s="25"/>
      <c r="N908" s="39"/>
      <c r="O908" s="27">
        <f t="shared" si="105"/>
        <v>0.3422035481</v>
      </c>
      <c r="P908" s="28">
        <f t="shared" si="107"/>
        <v>0</v>
      </c>
    </row>
    <row r="909" hidden="1">
      <c r="A909" s="16" t="s">
        <v>1426</v>
      </c>
      <c r="B909" s="17"/>
      <c r="C909" s="18"/>
      <c r="D909" s="4"/>
      <c r="E909" s="19">
        <v>0.0</v>
      </c>
      <c r="F909" s="19">
        <v>0.0</v>
      </c>
      <c r="G909" s="20" t="s">
        <v>286</v>
      </c>
      <c r="H909" s="21"/>
      <c r="I909" s="22">
        <v>0.0</v>
      </c>
      <c r="J909" s="29"/>
      <c r="K909" s="43">
        <v>18445.0</v>
      </c>
      <c r="L909" s="44">
        <v>23000.0</v>
      </c>
      <c r="M909" s="25"/>
      <c r="N909" s="39"/>
      <c r="O909" s="27">
        <f t="shared" si="105"/>
        <v>0.2469503931</v>
      </c>
      <c r="P909" s="28">
        <f t="shared" si="107"/>
        <v>0</v>
      </c>
    </row>
    <row r="910" hidden="1">
      <c r="A910" s="52" t="s">
        <v>1427</v>
      </c>
      <c r="B910" s="36" t="s">
        <v>1428</v>
      </c>
      <c r="C910" s="18"/>
      <c r="D910" s="4"/>
      <c r="E910" s="19">
        <v>0.0</v>
      </c>
      <c r="F910" s="19"/>
      <c r="G910" s="20" t="s">
        <v>1429</v>
      </c>
      <c r="H910" s="21"/>
      <c r="I910" s="22"/>
      <c r="J910" s="29"/>
      <c r="K910" s="48">
        <f t="shared" ref="K910:K911" si="108">2800*0.95*1.19</f>
        <v>3165.4</v>
      </c>
      <c r="L910" s="48">
        <v>8000.0</v>
      </c>
      <c r="M910" s="25"/>
      <c r="N910" s="39"/>
      <c r="O910" s="27">
        <f t="shared" si="105"/>
        <v>1.52732672</v>
      </c>
      <c r="P910" s="28">
        <f t="shared" si="107"/>
        <v>0</v>
      </c>
    </row>
    <row r="911" hidden="1">
      <c r="A911" s="52" t="s">
        <v>1430</v>
      </c>
      <c r="B911" s="36" t="s">
        <v>1428</v>
      </c>
      <c r="C911" s="18"/>
      <c r="D911" s="4"/>
      <c r="E911" s="19">
        <v>0.0</v>
      </c>
      <c r="F911" s="19"/>
      <c r="G911" s="20" t="s">
        <v>1429</v>
      </c>
      <c r="H911" s="21"/>
      <c r="I911" s="22"/>
      <c r="J911" s="29"/>
      <c r="K911" s="48">
        <f t="shared" si="108"/>
        <v>3165.4</v>
      </c>
      <c r="L911" s="48">
        <v>8000.0</v>
      </c>
      <c r="M911" s="25"/>
      <c r="N911" s="39"/>
      <c r="O911" s="27">
        <f t="shared" si="105"/>
        <v>1.52732672</v>
      </c>
      <c r="P911" s="28">
        <f t="shared" si="107"/>
        <v>0</v>
      </c>
    </row>
    <row r="912" hidden="1">
      <c r="A912" s="16" t="s">
        <v>1431</v>
      </c>
      <c r="B912" s="36"/>
      <c r="C912" s="18"/>
      <c r="D912" s="4"/>
      <c r="E912" s="19"/>
      <c r="F912" s="19"/>
      <c r="G912" s="16" t="s">
        <v>88</v>
      </c>
      <c r="H912" s="21"/>
      <c r="I912" s="22">
        <v>0.0</v>
      </c>
      <c r="J912" s="47">
        <v>45809.0</v>
      </c>
      <c r="K912" s="43">
        <f>9244*1.19</f>
        <v>11000.36</v>
      </c>
      <c r="L912" s="43">
        <v>17000.0</v>
      </c>
      <c r="M912" s="25"/>
      <c r="N912" s="39"/>
      <c r="O912" s="27">
        <f t="shared" si="105"/>
        <v>0.5454039686</v>
      </c>
      <c r="P912" s="28">
        <f t="shared" si="107"/>
        <v>0</v>
      </c>
    </row>
    <row r="913" hidden="1">
      <c r="A913" s="16" t="s">
        <v>1432</v>
      </c>
      <c r="B913" s="17"/>
      <c r="C913" s="18"/>
      <c r="D913" s="4"/>
      <c r="E913" s="19">
        <v>0.0</v>
      </c>
      <c r="F913" s="19">
        <v>0.0</v>
      </c>
      <c r="G913" s="54" t="s">
        <v>102</v>
      </c>
      <c r="H913" s="21"/>
      <c r="I913" s="22">
        <v>0.0</v>
      </c>
      <c r="J913" s="29"/>
      <c r="K913" s="43">
        <v>32500.0</v>
      </c>
      <c r="L913" s="44">
        <v>50000.0</v>
      </c>
      <c r="M913" s="25"/>
      <c r="N913" s="39"/>
      <c r="O913" s="27">
        <f t="shared" si="105"/>
        <v>0.5384615385</v>
      </c>
      <c r="P913" s="28">
        <f t="shared" si="107"/>
        <v>0</v>
      </c>
    </row>
    <row r="914" hidden="1">
      <c r="A914" s="16" t="s">
        <v>1433</v>
      </c>
      <c r="B914" s="17"/>
      <c r="C914" s="18"/>
      <c r="D914" s="4"/>
      <c r="E914" s="19">
        <v>0.0</v>
      </c>
      <c r="F914" s="19">
        <v>0.0</v>
      </c>
      <c r="G914" s="54" t="s">
        <v>102</v>
      </c>
      <c r="H914" s="21"/>
      <c r="I914" s="22">
        <v>0.0</v>
      </c>
      <c r="J914" s="29"/>
      <c r="K914" s="43">
        <v>32500.0</v>
      </c>
      <c r="L914" s="44">
        <v>50000.0</v>
      </c>
      <c r="M914" s="25"/>
      <c r="N914" s="102"/>
      <c r="O914" s="27">
        <f t="shared" si="105"/>
        <v>0.5384615385</v>
      </c>
      <c r="P914" s="28">
        <f t="shared" si="107"/>
        <v>0</v>
      </c>
    </row>
    <row r="915" hidden="1">
      <c r="A915" s="16" t="s">
        <v>1434</v>
      </c>
      <c r="B915" s="17"/>
      <c r="C915" s="158"/>
      <c r="D915" s="67"/>
      <c r="E915" s="19"/>
      <c r="F915" s="19"/>
      <c r="G915" s="40" t="s">
        <v>1435</v>
      </c>
      <c r="H915" s="21"/>
      <c r="I915" s="22">
        <v>3.0</v>
      </c>
      <c r="J915" s="47">
        <v>45901.0</v>
      </c>
      <c r="K915" s="24">
        <v>48000.0</v>
      </c>
      <c r="L915" s="24">
        <v>64000.0</v>
      </c>
      <c r="M915" s="25"/>
      <c r="N915" s="102">
        <v>54000.0</v>
      </c>
      <c r="O915" s="27">
        <f t="shared" si="105"/>
        <v>0.3333333333</v>
      </c>
      <c r="P915" s="28">
        <f t="shared" si="107"/>
        <v>0</v>
      </c>
    </row>
    <row r="916" hidden="1">
      <c r="A916" s="16" t="s">
        <v>1436</v>
      </c>
      <c r="B916" s="17"/>
      <c r="C916" s="158"/>
      <c r="D916" s="67"/>
      <c r="E916" s="19"/>
      <c r="F916" s="19"/>
      <c r="G916" s="40" t="s">
        <v>1435</v>
      </c>
      <c r="H916" s="21"/>
      <c r="I916" s="22">
        <v>4.0</v>
      </c>
      <c r="J916" s="94"/>
      <c r="K916" s="24">
        <v>48000.0</v>
      </c>
      <c r="L916" s="24">
        <v>64000.0</v>
      </c>
      <c r="M916" s="25"/>
      <c r="N916" s="102">
        <v>54000.0</v>
      </c>
      <c r="O916" s="27">
        <f t="shared" si="105"/>
        <v>0.3333333333</v>
      </c>
      <c r="P916" s="28">
        <f t="shared" si="107"/>
        <v>0</v>
      </c>
    </row>
    <row r="917" hidden="1">
      <c r="A917" s="16" t="s">
        <v>1437</v>
      </c>
      <c r="B917" s="17"/>
      <c r="C917" s="158"/>
      <c r="D917" s="67"/>
      <c r="E917" s="19"/>
      <c r="F917" s="19"/>
      <c r="G917" s="40" t="s">
        <v>1435</v>
      </c>
      <c r="H917" s="21"/>
      <c r="I917" s="22">
        <v>6.0</v>
      </c>
      <c r="J917" s="58">
        <v>46327.0</v>
      </c>
      <c r="K917" s="24">
        <v>48000.0</v>
      </c>
      <c r="L917" s="24">
        <v>64000.0</v>
      </c>
      <c r="M917" s="25"/>
      <c r="N917" s="102">
        <v>54000.0</v>
      </c>
      <c r="O917" s="27">
        <f t="shared" si="105"/>
        <v>0.3333333333</v>
      </c>
      <c r="P917" s="28">
        <f t="shared" si="107"/>
        <v>0</v>
      </c>
    </row>
    <row r="918" hidden="1">
      <c r="A918" s="16" t="s">
        <v>1438</v>
      </c>
      <c r="B918" s="17"/>
      <c r="C918" s="158"/>
      <c r="D918" s="67"/>
      <c r="E918" s="19"/>
      <c r="F918" s="19"/>
      <c r="G918" s="40" t="s">
        <v>1435</v>
      </c>
      <c r="H918" s="21"/>
      <c r="I918" s="22">
        <v>40.0</v>
      </c>
      <c r="J918" s="58">
        <v>46327.0</v>
      </c>
      <c r="K918" s="24">
        <v>48000.0</v>
      </c>
      <c r="L918" s="24">
        <v>64000.0</v>
      </c>
      <c r="M918" s="25"/>
      <c r="N918" s="102">
        <v>54000.0</v>
      </c>
      <c r="O918" s="27">
        <f t="shared" si="105"/>
        <v>0.3333333333</v>
      </c>
      <c r="P918" s="28">
        <f t="shared" si="107"/>
        <v>0</v>
      </c>
    </row>
    <row r="919" hidden="1">
      <c r="A919" s="16" t="s">
        <v>1439</v>
      </c>
      <c r="B919" s="17"/>
      <c r="C919" s="158"/>
      <c r="D919" s="67"/>
      <c r="E919" s="19"/>
      <c r="F919" s="19"/>
      <c r="G919" s="40" t="s">
        <v>1435</v>
      </c>
      <c r="H919" s="21"/>
      <c r="I919" s="22">
        <v>45.0</v>
      </c>
      <c r="J919" s="22" t="s">
        <v>1440</v>
      </c>
      <c r="K919" s="24">
        <v>48000.0</v>
      </c>
      <c r="L919" s="24">
        <v>64000.0</v>
      </c>
      <c r="M919" s="25"/>
      <c r="N919" s="102">
        <v>54000.0</v>
      </c>
      <c r="O919" s="27">
        <f t="shared" si="105"/>
        <v>0.3333333333</v>
      </c>
      <c r="P919" s="28">
        <f t="shared" si="107"/>
        <v>0</v>
      </c>
    </row>
    <row r="920" hidden="1">
      <c r="A920" s="16" t="s">
        <v>1441</v>
      </c>
      <c r="B920" s="17"/>
      <c r="C920" s="68"/>
      <c r="D920" s="4"/>
      <c r="E920" s="19">
        <v>0.0</v>
      </c>
      <c r="F920" s="19">
        <v>0.0</v>
      </c>
      <c r="G920" s="20" t="s">
        <v>468</v>
      </c>
      <c r="H920" s="21">
        <v>1.0</v>
      </c>
      <c r="I920" s="22">
        <v>3.0</v>
      </c>
      <c r="J920" s="45"/>
      <c r="K920" s="32">
        <f t="shared" ref="K920:K922" si="109">54613</f>
        <v>54613</v>
      </c>
      <c r="L920" s="24">
        <v>85000.0</v>
      </c>
      <c r="M920" s="25" t="s">
        <v>82</v>
      </c>
      <c r="N920" s="102">
        <v>62000.0</v>
      </c>
      <c r="O920" s="27">
        <f t="shared" si="105"/>
        <v>0.5564059839</v>
      </c>
      <c r="P920" s="28">
        <f t="shared" si="107"/>
        <v>0</v>
      </c>
    </row>
    <row r="921" hidden="1">
      <c r="A921" s="16" t="s">
        <v>1442</v>
      </c>
      <c r="B921" s="17"/>
      <c r="C921" s="18"/>
      <c r="D921" s="4"/>
      <c r="E921" s="19">
        <v>0.0</v>
      </c>
      <c r="F921" s="77">
        <v>0.0</v>
      </c>
      <c r="G921" s="20" t="s">
        <v>468</v>
      </c>
      <c r="H921" s="21">
        <v>1.0</v>
      </c>
      <c r="I921" s="22">
        <v>2.0</v>
      </c>
      <c r="J921" s="45"/>
      <c r="K921" s="32">
        <f t="shared" si="109"/>
        <v>54613</v>
      </c>
      <c r="L921" s="24">
        <v>85000.0</v>
      </c>
      <c r="M921" s="25" t="s">
        <v>76</v>
      </c>
      <c r="N921" s="102">
        <v>62000.0</v>
      </c>
      <c r="O921" s="27">
        <f t="shared" si="105"/>
        <v>0.5564059839</v>
      </c>
      <c r="P921" s="28">
        <f t="shared" si="107"/>
        <v>0</v>
      </c>
    </row>
    <row r="922" hidden="1">
      <c r="A922" s="16" t="s">
        <v>1443</v>
      </c>
      <c r="B922" s="17"/>
      <c r="C922" s="18"/>
      <c r="D922" s="4"/>
      <c r="E922" s="19">
        <v>0.0</v>
      </c>
      <c r="F922" s="77">
        <v>0.0</v>
      </c>
      <c r="G922" s="20" t="s">
        <v>468</v>
      </c>
      <c r="H922" s="21">
        <v>3.0</v>
      </c>
      <c r="I922" s="22">
        <v>1.0</v>
      </c>
      <c r="J922" s="29"/>
      <c r="K922" s="32">
        <f t="shared" si="109"/>
        <v>54613</v>
      </c>
      <c r="L922" s="24">
        <v>85000.0</v>
      </c>
      <c r="M922" s="25" t="s">
        <v>82</v>
      </c>
      <c r="N922" s="102">
        <v>62000.0</v>
      </c>
      <c r="O922" s="27">
        <f t="shared" si="105"/>
        <v>0.5564059839</v>
      </c>
      <c r="P922" s="28">
        <f t="shared" si="107"/>
        <v>0</v>
      </c>
    </row>
    <row r="923" hidden="1">
      <c r="A923" s="16" t="s">
        <v>1444</v>
      </c>
      <c r="B923" s="17"/>
      <c r="C923" s="18"/>
      <c r="D923" s="4"/>
      <c r="E923" s="19">
        <v>0.0</v>
      </c>
      <c r="F923" s="77">
        <v>0.0</v>
      </c>
      <c r="G923" s="20" t="s">
        <v>468</v>
      </c>
      <c r="H923" s="21">
        <v>0.0</v>
      </c>
      <c r="I923" s="22">
        <v>0.0</v>
      </c>
      <c r="J923" s="45"/>
      <c r="K923" s="46">
        <v>54613.0</v>
      </c>
      <c r="L923" s="24">
        <v>85000.0</v>
      </c>
      <c r="M923" s="25" t="s">
        <v>82</v>
      </c>
      <c r="N923" s="39"/>
      <c r="O923" s="27">
        <f t="shared" si="105"/>
        <v>0.5564059839</v>
      </c>
      <c r="P923" s="28">
        <f t="shared" si="107"/>
        <v>0</v>
      </c>
    </row>
    <row r="924" hidden="1">
      <c r="A924" s="16" t="s">
        <v>1445</v>
      </c>
      <c r="B924" s="17"/>
      <c r="C924" s="18"/>
      <c r="D924" s="4"/>
      <c r="E924" s="19">
        <v>0.0</v>
      </c>
      <c r="F924" s="19">
        <v>0.0</v>
      </c>
      <c r="G924" s="20" t="s">
        <v>286</v>
      </c>
      <c r="H924" s="21"/>
      <c r="I924" s="22">
        <v>0.0</v>
      </c>
      <c r="J924" s="29"/>
      <c r="K924" s="43">
        <v>4600.0</v>
      </c>
      <c r="L924" s="44">
        <v>8000.0</v>
      </c>
      <c r="M924" s="25"/>
      <c r="N924" s="39"/>
      <c r="O924" s="27">
        <f t="shared" si="105"/>
        <v>0.7391304348</v>
      </c>
      <c r="P924" s="28">
        <f t="shared" si="107"/>
        <v>0</v>
      </c>
    </row>
    <row r="925" hidden="1">
      <c r="A925" s="16" t="s">
        <v>1446</v>
      </c>
      <c r="B925" s="36"/>
      <c r="C925" s="18"/>
      <c r="D925" s="4"/>
      <c r="E925" s="19">
        <v>2.0</v>
      </c>
      <c r="F925" s="19"/>
      <c r="G925" s="16" t="s">
        <v>1412</v>
      </c>
      <c r="H925" s="21"/>
      <c r="I925" s="22"/>
      <c r="J925" s="29"/>
      <c r="K925" s="48">
        <v>4935.0</v>
      </c>
      <c r="L925" s="55">
        <v>8000.0</v>
      </c>
      <c r="M925" s="25" t="s">
        <v>76</v>
      </c>
      <c r="N925" s="39"/>
      <c r="O925" s="27">
        <f t="shared" si="105"/>
        <v>0.6210739615</v>
      </c>
      <c r="P925" s="28">
        <f t="shared" si="107"/>
        <v>0</v>
      </c>
    </row>
    <row r="926" hidden="1">
      <c r="A926" s="16" t="s">
        <v>1447</v>
      </c>
      <c r="B926" s="49" t="s">
        <v>1448</v>
      </c>
      <c r="C926" s="18"/>
      <c r="D926" s="4"/>
      <c r="E926" s="19">
        <v>15.0</v>
      </c>
      <c r="F926" s="19">
        <v>20.0</v>
      </c>
      <c r="G926" s="16" t="s">
        <v>1449</v>
      </c>
      <c r="H926" s="21"/>
      <c r="I926" s="22">
        <v>4.0</v>
      </c>
      <c r="J926" s="29"/>
      <c r="K926" s="48">
        <f>5095</f>
        <v>5095</v>
      </c>
      <c r="L926" s="48">
        <v>8000.0</v>
      </c>
      <c r="M926" s="25" t="s">
        <v>76</v>
      </c>
      <c r="N926" s="39"/>
      <c r="O926" s="27">
        <f t="shared" si="105"/>
        <v>0.5701668302</v>
      </c>
      <c r="P926" s="28">
        <f t="shared" si="107"/>
        <v>101900</v>
      </c>
    </row>
    <row r="927" hidden="1">
      <c r="A927" s="16" t="s">
        <v>1450</v>
      </c>
      <c r="B927" s="49" t="s">
        <v>1451</v>
      </c>
      <c r="C927" s="18"/>
      <c r="D927" s="4"/>
      <c r="E927" s="19"/>
      <c r="F927" s="19"/>
      <c r="G927" s="16" t="s">
        <v>88</v>
      </c>
      <c r="H927" s="21"/>
      <c r="I927" s="22">
        <v>55.0</v>
      </c>
      <c r="J927" s="47">
        <v>46174.0</v>
      </c>
      <c r="K927" s="32">
        <v>4040.0</v>
      </c>
      <c r="L927" s="24">
        <v>8000.0</v>
      </c>
      <c r="M927" s="25" t="s">
        <v>76</v>
      </c>
      <c r="N927" s="39"/>
      <c r="O927" s="27">
        <f t="shared" si="105"/>
        <v>0.9801980198</v>
      </c>
      <c r="P927" s="28">
        <f t="shared" si="107"/>
        <v>0</v>
      </c>
    </row>
    <row r="928" hidden="1">
      <c r="A928" s="16" t="s">
        <v>1452</v>
      </c>
      <c r="B928" s="51"/>
      <c r="C928" s="18" t="s">
        <v>55</v>
      </c>
      <c r="D928" s="4"/>
      <c r="E928" s="19">
        <v>0.0</v>
      </c>
      <c r="F928" s="19">
        <v>0.0</v>
      </c>
      <c r="G928" s="20" t="s">
        <v>286</v>
      </c>
      <c r="H928" s="21"/>
      <c r="I928" s="22">
        <v>0.0</v>
      </c>
      <c r="J928" s="29"/>
      <c r="K928" s="43">
        <f>77469/100</f>
        <v>774.69</v>
      </c>
      <c r="L928" s="44">
        <v>1500.0</v>
      </c>
      <c r="M928" s="25"/>
      <c r="N928" s="39"/>
      <c r="O928" s="27">
        <f t="shared" si="105"/>
        <v>0.9362583743</v>
      </c>
      <c r="P928" s="28">
        <f t="shared" si="107"/>
        <v>0</v>
      </c>
    </row>
    <row r="929" hidden="1">
      <c r="A929" s="122" t="s">
        <v>1453</v>
      </c>
      <c r="B929" s="17"/>
      <c r="C929" s="18"/>
      <c r="D929" s="4"/>
      <c r="E929" s="19">
        <v>0.0</v>
      </c>
      <c r="F929" s="19">
        <v>0.0</v>
      </c>
      <c r="G929" s="16" t="s">
        <v>659</v>
      </c>
      <c r="H929" s="21"/>
      <c r="I929" s="22">
        <v>9.0</v>
      </c>
      <c r="J929" s="23"/>
      <c r="K929" s="24">
        <f>(20000*1.19)/10</f>
        <v>2380</v>
      </c>
      <c r="L929" s="24">
        <v>4000.0</v>
      </c>
      <c r="M929" s="25"/>
      <c r="N929" s="39"/>
      <c r="O929" s="27">
        <f t="shared" si="105"/>
        <v>0.6806722689</v>
      </c>
      <c r="P929" s="28" t="str">
        <f>K929*#REF!</f>
        <v>#REF!</v>
      </c>
    </row>
    <row r="930" hidden="1">
      <c r="A930" s="16" t="s">
        <v>1454</v>
      </c>
      <c r="B930" s="17"/>
      <c r="C930" s="18"/>
      <c r="D930" s="4"/>
      <c r="E930" s="19">
        <v>0.0</v>
      </c>
      <c r="F930" s="19">
        <v>0.0</v>
      </c>
      <c r="G930" s="16" t="s">
        <v>1455</v>
      </c>
      <c r="H930" s="21"/>
      <c r="I930" s="22"/>
      <c r="J930" s="47">
        <v>46844.0</v>
      </c>
      <c r="K930" s="32">
        <v>25000.0</v>
      </c>
      <c r="L930" s="32">
        <v>38000.0</v>
      </c>
      <c r="M930" s="25"/>
      <c r="N930" s="102">
        <v>32000.0</v>
      </c>
      <c r="O930" s="27">
        <f t="shared" si="105"/>
        <v>0.52</v>
      </c>
      <c r="P930" s="28">
        <f t="shared" ref="P930:P954" si="110">K930*F930</f>
        <v>0</v>
      </c>
    </row>
    <row r="931" hidden="1">
      <c r="A931" s="16" t="s">
        <v>1456</v>
      </c>
      <c r="B931" s="17"/>
      <c r="C931" s="18"/>
      <c r="D931" s="4"/>
      <c r="E931" s="19">
        <v>0.0</v>
      </c>
      <c r="F931" s="19">
        <v>0.0</v>
      </c>
      <c r="G931" s="16" t="s">
        <v>1455</v>
      </c>
      <c r="H931" s="21"/>
      <c r="I931" s="22"/>
      <c r="J931" s="47">
        <v>46844.0</v>
      </c>
      <c r="K931" s="32">
        <v>25000.0</v>
      </c>
      <c r="L931" s="32">
        <v>38000.0</v>
      </c>
      <c r="M931" s="25"/>
      <c r="N931" s="102">
        <v>32000.0</v>
      </c>
      <c r="O931" s="27">
        <f t="shared" si="105"/>
        <v>0.52</v>
      </c>
      <c r="P931" s="28">
        <f t="shared" si="110"/>
        <v>0</v>
      </c>
    </row>
    <row r="932" hidden="1">
      <c r="A932" s="16" t="s">
        <v>1457</v>
      </c>
      <c r="B932" s="17"/>
      <c r="C932" s="18"/>
      <c r="D932" s="4"/>
      <c r="E932" s="19">
        <v>0.0</v>
      </c>
      <c r="F932" s="19">
        <v>0.0</v>
      </c>
      <c r="G932" s="16" t="s">
        <v>1455</v>
      </c>
      <c r="H932" s="21"/>
      <c r="I932" s="22"/>
      <c r="J932" s="58">
        <v>47088.0</v>
      </c>
      <c r="K932" s="32">
        <v>25000.0</v>
      </c>
      <c r="L932" s="32">
        <v>38000.0</v>
      </c>
      <c r="M932" s="25"/>
      <c r="N932" s="102">
        <v>32000.0</v>
      </c>
      <c r="O932" s="27">
        <f t="shared" si="105"/>
        <v>0.52</v>
      </c>
      <c r="P932" s="28">
        <f t="shared" si="110"/>
        <v>0</v>
      </c>
    </row>
    <row r="933" hidden="1">
      <c r="A933" s="16" t="s">
        <v>1458</v>
      </c>
      <c r="B933" s="17"/>
      <c r="C933" s="18"/>
      <c r="D933" s="4"/>
      <c r="E933" s="19">
        <v>0.0</v>
      </c>
      <c r="F933" s="19">
        <v>5.0</v>
      </c>
      <c r="G933" s="16" t="s">
        <v>1455</v>
      </c>
      <c r="H933" s="21"/>
      <c r="I933" s="22"/>
      <c r="J933" s="58">
        <v>47088.0</v>
      </c>
      <c r="K933" s="32">
        <v>25000.0</v>
      </c>
      <c r="L933" s="32">
        <v>52000.0</v>
      </c>
      <c r="M933" s="25"/>
      <c r="N933" s="102">
        <v>32000.0</v>
      </c>
      <c r="O933" s="27">
        <f t="shared" si="105"/>
        <v>1.08</v>
      </c>
      <c r="P933" s="28">
        <f t="shared" si="110"/>
        <v>125000</v>
      </c>
    </row>
    <row r="934" hidden="1">
      <c r="A934" s="59" t="s">
        <v>1459</v>
      </c>
      <c r="B934" s="134" t="s">
        <v>1460</v>
      </c>
      <c r="C934" s="18"/>
      <c r="D934" s="4"/>
      <c r="E934" s="19">
        <v>0.0</v>
      </c>
      <c r="F934" s="19">
        <v>0.0</v>
      </c>
      <c r="G934" s="20" t="s">
        <v>1461</v>
      </c>
      <c r="H934" s="21"/>
      <c r="I934" s="22"/>
      <c r="J934" s="23"/>
      <c r="K934" s="24">
        <v>257000.0</v>
      </c>
      <c r="L934" s="24">
        <v>340000.0</v>
      </c>
      <c r="M934" s="25"/>
      <c r="N934" s="39"/>
      <c r="O934" s="27">
        <f t="shared" si="105"/>
        <v>0.3229571984</v>
      </c>
      <c r="P934" s="28">
        <f t="shared" si="110"/>
        <v>0</v>
      </c>
    </row>
    <row r="935" hidden="1">
      <c r="A935" s="59" t="s">
        <v>1462</v>
      </c>
      <c r="B935" s="134" t="s">
        <v>1463</v>
      </c>
      <c r="C935" s="18" t="s">
        <v>1464</v>
      </c>
      <c r="D935" s="4"/>
      <c r="E935" s="19">
        <v>0.0</v>
      </c>
      <c r="F935" s="19">
        <v>0.0</v>
      </c>
      <c r="G935" s="20" t="s">
        <v>1461</v>
      </c>
      <c r="H935" s="21"/>
      <c r="I935" s="22"/>
      <c r="J935" s="29"/>
      <c r="K935" s="43">
        <v>55000.0</v>
      </c>
      <c r="L935" s="44">
        <v>90000.0</v>
      </c>
      <c r="M935" s="25"/>
      <c r="N935" s="39"/>
      <c r="O935" s="27">
        <f t="shared" si="105"/>
        <v>0.6363636364</v>
      </c>
      <c r="P935" s="28">
        <f t="shared" si="110"/>
        <v>0</v>
      </c>
    </row>
    <row r="936" hidden="1">
      <c r="A936" s="59" t="s">
        <v>1465</v>
      </c>
      <c r="B936" s="134" t="s">
        <v>1460</v>
      </c>
      <c r="C936" s="18" t="s">
        <v>1466</v>
      </c>
      <c r="D936" s="4"/>
      <c r="E936" s="19">
        <v>0.0</v>
      </c>
      <c r="F936" s="19">
        <v>0.0</v>
      </c>
      <c r="G936" s="20" t="s">
        <v>1461</v>
      </c>
      <c r="H936" s="21"/>
      <c r="I936" s="22"/>
      <c r="J936" s="29"/>
      <c r="K936" s="48">
        <v>138050.0</v>
      </c>
      <c r="L936" s="55">
        <v>174000.0</v>
      </c>
      <c r="M936" s="25"/>
      <c r="N936" s="39"/>
      <c r="O936" s="27">
        <f t="shared" si="105"/>
        <v>0.2604128939</v>
      </c>
      <c r="P936" s="28">
        <f t="shared" si="110"/>
        <v>0</v>
      </c>
    </row>
    <row r="937" hidden="1">
      <c r="A937" s="59" t="s">
        <v>1467</v>
      </c>
      <c r="B937" s="134" t="s">
        <v>1460</v>
      </c>
      <c r="C937" s="18" t="s">
        <v>1466</v>
      </c>
      <c r="D937" s="4"/>
      <c r="E937" s="19">
        <v>0.0</v>
      </c>
      <c r="F937" s="19">
        <v>0.0</v>
      </c>
      <c r="G937" s="20" t="s">
        <v>1461</v>
      </c>
      <c r="H937" s="21"/>
      <c r="I937" s="22"/>
      <c r="J937" s="29"/>
      <c r="K937" s="48">
        <v>138050.0</v>
      </c>
      <c r="L937" s="55">
        <v>174000.0</v>
      </c>
      <c r="M937" s="25"/>
      <c r="N937" s="39"/>
      <c r="O937" s="27">
        <f t="shared" si="105"/>
        <v>0.2604128939</v>
      </c>
      <c r="P937" s="28">
        <f t="shared" si="110"/>
        <v>0</v>
      </c>
    </row>
    <row r="938" hidden="1">
      <c r="A938" s="59" t="s">
        <v>1468</v>
      </c>
      <c r="B938" s="134" t="s">
        <v>1460</v>
      </c>
      <c r="C938" s="18" t="s">
        <v>1466</v>
      </c>
      <c r="D938" s="4"/>
      <c r="E938" s="19">
        <v>0.0</v>
      </c>
      <c r="F938" s="19">
        <v>0.0</v>
      </c>
      <c r="G938" s="20" t="s">
        <v>1461</v>
      </c>
      <c r="H938" s="21"/>
      <c r="I938" s="22"/>
      <c r="J938" s="29"/>
      <c r="K938" s="48">
        <v>138050.0</v>
      </c>
      <c r="L938" s="55">
        <v>174000.0</v>
      </c>
      <c r="M938" s="25"/>
      <c r="N938" s="39"/>
      <c r="O938" s="27">
        <f t="shared" si="105"/>
        <v>0.2604128939</v>
      </c>
      <c r="P938" s="28">
        <f t="shared" si="110"/>
        <v>0</v>
      </c>
    </row>
    <row r="939" hidden="1">
      <c r="A939" s="59" t="s">
        <v>1469</v>
      </c>
      <c r="B939" s="134" t="s">
        <v>1460</v>
      </c>
      <c r="C939" s="18" t="s">
        <v>1466</v>
      </c>
      <c r="D939" s="4"/>
      <c r="E939" s="19">
        <v>0.0</v>
      </c>
      <c r="F939" s="19">
        <v>0.0</v>
      </c>
      <c r="G939" s="20" t="s">
        <v>1461</v>
      </c>
      <c r="H939" s="21"/>
      <c r="I939" s="22"/>
      <c r="J939" s="29"/>
      <c r="K939" s="48">
        <v>138050.0</v>
      </c>
      <c r="L939" s="55">
        <v>174000.0</v>
      </c>
      <c r="M939" s="25"/>
      <c r="N939" s="39"/>
      <c r="O939" s="27">
        <f t="shared" si="105"/>
        <v>0.2604128939</v>
      </c>
      <c r="P939" s="28">
        <f t="shared" si="110"/>
        <v>0</v>
      </c>
    </row>
    <row r="940" hidden="1">
      <c r="A940" s="59" t="s">
        <v>1470</v>
      </c>
      <c r="B940" s="134" t="s">
        <v>1460</v>
      </c>
      <c r="C940" s="18" t="s">
        <v>1466</v>
      </c>
      <c r="D940" s="4"/>
      <c r="E940" s="19">
        <v>0.0</v>
      </c>
      <c r="F940" s="19">
        <v>0.0</v>
      </c>
      <c r="G940" s="20" t="s">
        <v>1461</v>
      </c>
      <c r="H940" s="21"/>
      <c r="I940" s="22"/>
      <c r="J940" s="29"/>
      <c r="K940" s="48">
        <v>138050.0</v>
      </c>
      <c r="L940" s="55">
        <v>174000.0</v>
      </c>
      <c r="M940" s="25"/>
      <c r="N940" s="39"/>
      <c r="O940" s="27">
        <f t="shared" si="105"/>
        <v>0.2604128939</v>
      </c>
      <c r="P940" s="28">
        <f t="shared" si="110"/>
        <v>0</v>
      </c>
    </row>
    <row r="941" hidden="1">
      <c r="A941" s="59" t="s">
        <v>1471</v>
      </c>
      <c r="B941" s="134" t="s">
        <v>1460</v>
      </c>
      <c r="C941" s="18" t="s">
        <v>1466</v>
      </c>
      <c r="D941" s="4"/>
      <c r="E941" s="19">
        <v>0.0</v>
      </c>
      <c r="F941" s="19">
        <v>0.0</v>
      </c>
      <c r="G941" s="20" t="s">
        <v>1461</v>
      </c>
      <c r="H941" s="21"/>
      <c r="I941" s="22"/>
      <c r="J941" s="29"/>
      <c r="K941" s="48">
        <v>138050.0</v>
      </c>
      <c r="L941" s="55">
        <v>174000.0</v>
      </c>
      <c r="M941" s="25"/>
      <c r="N941" s="39"/>
      <c r="O941" s="27">
        <f t="shared" si="105"/>
        <v>0.2604128939</v>
      </c>
      <c r="P941" s="28">
        <f t="shared" si="110"/>
        <v>0</v>
      </c>
    </row>
    <row r="942" hidden="1">
      <c r="A942" s="59" t="s">
        <v>1472</v>
      </c>
      <c r="B942" s="134" t="s">
        <v>1460</v>
      </c>
      <c r="C942" s="18" t="s">
        <v>1466</v>
      </c>
      <c r="D942" s="4"/>
      <c r="E942" s="19">
        <v>0.0</v>
      </c>
      <c r="F942" s="19">
        <v>0.0</v>
      </c>
      <c r="G942" s="20" t="s">
        <v>1461</v>
      </c>
      <c r="H942" s="21"/>
      <c r="I942" s="22"/>
      <c r="J942" s="29"/>
      <c r="K942" s="48">
        <v>138050.0</v>
      </c>
      <c r="L942" s="55">
        <v>174000.0</v>
      </c>
      <c r="M942" s="25"/>
      <c r="N942" s="39"/>
      <c r="O942" s="27">
        <f t="shared" si="105"/>
        <v>0.2604128939</v>
      </c>
      <c r="P942" s="28">
        <f t="shared" si="110"/>
        <v>0</v>
      </c>
    </row>
    <row r="943" hidden="1">
      <c r="A943" s="59" t="s">
        <v>1473</v>
      </c>
      <c r="B943" s="134" t="s">
        <v>1460</v>
      </c>
      <c r="C943" s="18" t="s">
        <v>1474</v>
      </c>
      <c r="D943" s="4"/>
      <c r="E943" s="19">
        <v>0.0</v>
      </c>
      <c r="F943" s="19">
        <v>0.0</v>
      </c>
      <c r="G943" s="20" t="s">
        <v>1461</v>
      </c>
      <c r="H943" s="21"/>
      <c r="I943" s="22"/>
      <c r="J943" s="29"/>
      <c r="K943" s="48">
        <v>179950.0</v>
      </c>
      <c r="L943" s="55">
        <v>198000.0</v>
      </c>
      <c r="M943" s="25"/>
      <c r="N943" s="39"/>
      <c r="O943" s="27">
        <f t="shared" si="105"/>
        <v>0.1003056405</v>
      </c>
      <c r="P943" s="28">
        <f t="shared" si="110"/>
        <v>0</v>
      </c>
    </row>
    <row r="944" hidden="1">
      <c r="A944" s="59" t="s">
        <v>1475</v>
      </c>
      <c r="B944" s="134" t="s">
        <v>1460</v>
      </c>
      <c r="C944" s="18" t="s">
        <v>1474</v>
      </c>
      <c r="D944" s="4"/>
      <c r="E944" s="19">
        <v>0.0</v>
      </c>
      <c r="F944" s="19">
        <v>0.0</v>
      </c>
      <c r="G944" s="20" t="s">
        <v>1461</v>
      </c>
      <c r="H944" s="21"/>
      <c r="I944" s="22"/>
      <c r="J944" s="29"/>
      <c r="K944" s="48">
        <v>179950.0</v>
      </c>
      <c r="L944" s="55">
        <v>198000.0</v>
      </c>
      <c r="M944" s="25"/>
      <c r="N944" s="39"/>
      <c r="O944" s="27">
        <f t="shared" si="105"/>
        <v>0.1003056405</v>
      </c>
      <c r="P944" s="28">
        <f t="shared" si="110"/>
        <v>0</v>
      </c>
    </row>
    <row r="945" hidden="1">
      <c r="A945" s="59" t="s">
        <v>1476</v>
      </c>
      <c r="B945" s="134" t="s">
        <v>1477</v>
      </c>
      <c r="C945" s="18" t="s">
        <v>1464</v>
      </c>
      <c r="D945" s="4"/>
      <c r="E945" s="19">
        <v>0.0</v>
      </c>
      <c r="F945" s="19">
        <v>0.0</v>
      </c>
      <c r="G945" s="20" t="s">
        <v>1461</v>
      </c>
      <c r="H945" s="21"/>
      <c r="I945" s="22"/>
      <c r="J945" s="29"/>
      <c r="K945" s="201">
        <v>93296.0</v>
      </c>
      <c r="L945" s="202">
        <v>110000.0</v>
      </c>
      <c r="M945" s="25"/>
      <c r="N945" s="39"/>
      <c r="O945" s="27">
        <f t="shared" si="105"/>
        <v>0.1790430458</v>
      </c>
      <c r="P945" s="28">
        <f t="shared" si="110"/>
        <v>0</v>
      </c>
    </row>
    <row r="946" hidden="1">
      <c r="A946" s="16" t="s">
        <v>1478</v>
      </c>
      <c r="B946" s="134" t="s">
        <v>1460</v>
      </c>
      <c r="C946" s="18"/>
      <c r="D946" s="4"/>
      <c r="E946" s="19">
        <v>0.0</v>
      </c>
      <c r="F946" s="19">
        <v>0.0</v>
      </c>
      <c r="G946" s="20" t="s">
        <v>1461</v>
      </c>
      <c r="H946" s="21"/>
      <c r="I946" s="22"/>
      <c r="J946" s="29"/>
      <c r="K946" s="48">
        <f>108319*1.19</f>
        <v>128899.61</v>
      </c>
      <c r="L946" s="55">
        <v>160000.0</v>
      </c>
      <c r="M946" s="25"/>
      <c r="N946" s="39"/>
      <c r="O946" s="27">
        <f t="shared" si="105"/>
        <v>0.2412760597</v>
      </c>
      <c r="P946" s="28">
        <f t="shared" si="110"/>
        <v>0</v>
      </c>
    </row>
    <row r="947" hidden="1">
      <c r="A947" s="59" t="s">
        <v>1479</v>
      </c>
      <c r="B947" s="134" t="s">
        <v>1460</v>
      </c>
      <c r="C947" s="18"/>
      <c r="D947" s="4"/>
      <c r="E947" s="19">
        <v>0.0</v>
      </c>
      <c r="F947" s="19">
        <v>0.0</v>
      </c>
      <c r="G947" s="20" t="s">
        <v>1461</v>
      </c>
      <c r="H947" s="21"/>
      <c r="I947" s="22"/>
      <c r="J947" s="29" t="s">
        <v>1480</v>
      </c>
      <c r="K947" s="48">
        <f>37000+77000</f>
        <v>114000</v>
      </c>
      <c r="L947" s="55">
        <v>145000.0</v>
      </c>
      <c r="M947" s="25"/>
      <c r="N947" s="39"/>
      <c r="O947" s="27">
        <f t="shared" si="105"/>
        <v>0.2719298246</v>
      </c>
      <c r="P947" s="28">
        <f t="shared" si="110"/>
        <v>0</v>
      </c>
    </row>
    <row r="948" hidden="1">
      <c r="A948" s="59" t="s">
        <v>1481</v>
      </c>
      <c r="B948" s="134" t="s">
        <v>1460</v>
      </c>
      <c r="C948" s="18"/>
      <c r="D948" s="19"/>
      <c r="E948" s="19">
        <v>0.0</v>
      </c>
      <c r="F948" s="19">
        <v>0.0</v>
      </c>
      <c r="G948" s="20" t="s">
        <v>1461</v>
      </c>
      <c r="H948" s="21"/>
      <c r="I948" s="22"/>
      <c r="J948" s="29"/>
      <c r="K948" s="48">
        <f>108319*1.19</f>
        <v>128899.61</v>
      </c>
      <c r="L948" s="55">
        <v>170000.0</v>
      </c>
      <c r="M948" s="25"/>
      <c r="N948" s="102">
        <v>150000.0</v>
      </c>
      <c r="O948" s="27">
        <f t="shared" si="105"/>
        <v>0.3188558135</v>
      </c>
      <c r="P948" s="28">
        <f t="shared" si="110"/>
        <v>0</v>
      </c>
    </row>
    <row r="949" hidden="1">
      <c r="A949" s="16" t="s">
        <v>1482</v>
      </c>
      <c r="B949" s="134" t="s">
        <v>1460</v>
      </c>
      <c r="C949" s="18"/>
      <c r="D949" s="4"/>
      <c r="E949" s="19">
        <v>0.0</v>
      </c>
      <c r="F949" s="19">
        <v>0.0</v>
      </c>
      <c r="G949" s="20" t="s">
        <v>1461</v>
      </c>
      <c r="H949" s="21"/>
      <c r="I949" s="22" t="s">
        <v>99</v>
      </c>
      <c r="J949" s="29"/>
      <c r="K949" s="43">
        <v>31500.0</v>
      </c>
      <c r="L949" s="44">
        <v>45000.0</v>
      </c>
      <c r="M949" s="25"/>
      <c r="N949" s="39"/>
      <c r="O949" s="27">
        <f>(L949/K949)-1</f>
        <v>0.4285714286</v>
      </c>
      <c r="P949" s="28">
        <f t="shared" si="110"/>
        <v>0</v>
      </c>
    </row>
    <row r="950" hidden="1">
      <c r="A950" s="59" t="s">
        <v>1483</v>
      </c>
      <c r="B950" s="134" t="s">
        <v>1460</v>
      </c>
      <c r="C950" s="18"/>
      <c r="D950" s="4"/>
      <c r="E950" s="19">
        <v>0.0</v>
      </c>
      <c r="F950" s="19">
        <v>0.0</v>
      </c>
      <c r="G950" s="20" t="s">
        <v>1461</v>
      </c>
      <c r="H950" s="21"/>
      <c r="I950" s="22" t="s">
        <v>99</v>
      </c>
      <c r="J950" s="29"/>
      <c r="K950" s="43">
        <v>158000.0</v>
      </c>
      <c r="L950" s="44">
        <v>230000.0</v>
      </c>
      <c r="M950" s="25"/>
      <c r="N950" s="39"/>
      <c r="O950" s="27">
        <f t="shared" ref="O950:O954" si="111">(L950/K950)-1</f>
        <v>0.4556962025</v>
      </c>
      <c r="P950" s="28">
        <f t="shared" si="110"/>
        <v>0</v>
      </c>
    </row>
    <row r="951" hidden="1">
      <c r="A951" s="59" t="s">
        <v>1484</v>
      </c>
      <c r="B951" s="134" t="s">
        <v>1460</v>
      </c>
      <c r="C951" s="18"/>
      <c r="D951" s="4"/>
      <c r="E951" s="19">
        <v>0.0</v>
      </c>
      <c r="F951" s="19">
        <v>0.0</v>
      </c>
      <c r="G951" s="20" t="s">
        <v>1461</v>
      </c>
      <c r="H951" s="21"/>
      <c r="I951" s="22"/>
      <c r="J951" s="29"/>
      <c r="K951" s="43">
        <v>266000.0</v>
      </c>
      <c r="L951" s="44">
        <v>350000.0</v>
      </c>
      <c r="M951" s="25"/>
      <c r="N951" s="39"/>
      <c r="O951" s="27">
        <f t="shared" si="111"/>
        <v>0.3157894737</v>
      </c>
      <c r="P951" s="28">
        <f t="shared" si="110"/>
        <v>0</v>
      </c>
    </row>
    <row r="952" hidden="1">
      <c r="A952" s="59" t="s">
        <v>1485</v>
      </c>
      <c r="B952" s="134" t="s">
        <v>1460</v>
      </c>
      <c r="C952" s="18"/>
      <c r="D952" s="19"/>
      <c r="E952" s="19">
        <v>0.0</v>
      </c>
      <c r="F952" s="19">
        <v>0.0</v>
      </c>
      <c r="G952" s="20" t="s">
        <v>1461</v>
      </c>
      <c r="H952" s="21"/>
      <c r="I952" s="22"/>
      <c r="J952" s="29"/>
      <c r="K952" s="43">
        <v>210000.0</v>
      </c>
      <c r="L952" s="44">
        <v>280000.0</v>
      </c>
      <c r="M952" s="25"/>
      <c r="N952" s="39"/>
      <c r="O952" s="27">
        <f t="shared" si="111"/>
        <v>0.3333333333</v>
      </c>
      <c r="P952" s="28">
        <f t="shared" si="110"/>
        <v>0</v>
      </c>
    </row>
    <row r="953" hidden="1">
      <c r="A953" s="59" t="s">
        <v>1486</v>
      </c>
      <c r="B953" s="134" t="s">
        <v>1460</v>
      </c>
      <c r="C953" s="18"/>
      <c r="D953" s="4"/>
      <c r="E953" s="19">
        <v>0.0</v>
      </c>
      <c r="F953" s="19">
        <v>0.0</v>
      </c>
      <c r="G953" s="20" t="s">
        <v>1461</v>
      </c>
      <c r="H953" s="21"/>
      <c r="I953" s="22"/>
      <c r="J953" s="29"/>
      <c r="K953" s="32">
        <f>280000*1.19</f>
        <v>333200</v>
      </c>
      <c r="L953" s="24">
        <v>440000.0</v>
      </c>
      <c r="M953" s="25"/>
      <c r="N953" s="102">
        <v>390000.0</v>
      </c>
      <c r="O953" s="27">
        <f t="shared" si="111"/>
        <v>0.3205282113</v>
      </c>
      <c r="P953" s="28">
        <f t="shared" si="110"/>
        <v>0</v>
      </c>
    </row>
    <row r="954" hidden="1">
      <c r="A954" s="59" t="s">
        <v>1487</v>
      </c>
      <c r="B954" s="203" t="s">
        <v>1488</v>
      </c>
      <c r="C954" s="204" t="s">
        <v>1464</v>
      </c>
      <c r="D954" s="205"/>
      <c r="E954" s="19">
        <v>0.0</v>
      </c>
      <c r="F954" s="19">
        <v>0.0</v>
      </c>
      <c r="G954" s="20" t="s">
        <v>1461</v>
      </c>
      <c r="H954" s="206"/>
      <c r="I954" s="207"/>
      <c r="J954" s="208" t="s">
        <v>1480</v>
      </c>
      <c r="K954" s="209">
        <v>37000.0</v>
      </c>
      <c r="L954" s="209">
        <v>54000.0</v>
      </c>
      <c r="M954" s="25"/>
      <c r="N954" s="39"/>
      <c r="O954" s="27">
        <f t="shared" si="111"/>
        <v>0.4594594595</v>
      </c>
      <c r="P954" s="28">
        <f t="shared" si="110"/>
        <v>0</v>
      </c>
    </row>
    <row r="955" hidden="1">
      <c r="A955" s="210" t="s">
        <v>1489</v>
      </c>
      <c r="B955" s="203" t="s">
        <v>1490</v>
      </c>
      <c r="C955" s="204" t="s">
        <v>1464</v>
      </c>
      <c r="D955" s="205"/>
      <c r="E955" s="19">
        <v>0.0</v>
      </c>
      <c r="F955" s="19">
        <v>0.0</v>
      </c>
      <c r="G955" s="20" t="s">
        <v>1461</v>
      </c>
      <c r="H955" s="206"/>
      <c r="I955" s="207"/>
      <c r="J955" s="208" t="s">
        <v>1480</v>
      </c>
      <c r="K955" s="202">
        <v>20680.0</v>
      </c>
      <c r="L955" s="211">
        <v>45000.0</v>
      </c>
      <c r="M955" s="25"/>
      <c r="N955" s="39"/>
      <c r="O955" s="27"/>
      <c r="P955" s="28"/>
    </row>
    <row r="956" hidden="1">
      <c r="A956" s="59" t="s">
        <v>1491</v>
      </c>
      <c r="B956" s="134" t="s">
        <v>1492</v>
      </c>
      <c r="C956" s="18" t="s">
        <v>1464</v>
      </c>
      <c r="D956" s="4"/>
      <c r="E956" s="19">
        <v>0.0</v>
      </c>
      <c r="F956" s="19">
        <v>0.0</v>
      </c>
      <c r="G956" s="20" t="s">
        <v>1461</v>
      </c>
      <c r="H956" s="21"/>
      <c r="I956" s="22"/>
      <c r="J956" s="29" t="s">
        <v>1480</v>
      </c>
      <c r="K956" s="48">
        <v>77000.0</v>
      </c>
      <c r="L956" s="55">
        <v>98000.0</v>
      </c>
      <c r="M956" s="25"/>
      <c r="N956" s="39"/>
      <c r="O956" s="27">
        <f t="shared" ref="O956:O962" si="112">(L956/K956)-1</f>
        <v>0.2727272727</v>
      </c>
      <c r="P956" s="28">
        <f t="shared" ref="P956:P962" si="113">K956*F956</f>
        <v>0</v>
      </c>
    </row>
    <row r="957" hidden="1">
      <c r="A957" s="59" t="s">
        <v>1493</v>
      </c>
      <c r="B957" s="203" t="s">
        <v>1494</v>
      </c>
      <c r="C957" s="204" t="s">
        <v>1464</v>
      </c>
      <c r="D957" s="205"/>
      <c r="E957" s="19">
        <v>0.0</v>
      </c>
      <c r="F957" s="19">
        <v>0.0</v>
      </c>
      <c r="G957" s="20" t="s">
        <v>1461</v>
      </c>
      <c r="H957" s="206"/>
      <c r="I957" s="207"/>
      <c r="J957" s="212"/>
      <c r="K957" s="201">
        <v>84728.0</v>
      </c>
      <c r="L957" s="202">
        <v>105000.0</v>
      </c>
      <c r="M957" s="25"/>
      <c r="N957" s="39"/>
      <c r="O957" s="27">
        <f t="shared" si="112"/>
        <v>0.2392597488</v>
      </c>
      <c r="P957" s="28">
        <f t="shared" si="113"/>
        <v>0</v>
      </c>
    </row>
    <row r="958" hidden="1">
      <c r="A958" s="59" t="s">
        <v>1495</v>
      </c>
      <c r="B958" s="134" t="s">
        <v>1460</v>
      </c>
      <c r="C958" s="18"/>
      <c r="D958" s="19"/>
      <c r="E958" s="19">
        <v>0.0</v>
      </c>
      <c r="F958" s="19">
        <v>0.0</v>
      </c>
      <c r="G958" s="20" t="s">
        <v>1461</v>
      </c>
      <c r="H958" s="21"/>
      <c r="I958" s="22"/>
      <c r="J958" s="29"/>
      <c r="K958" s="48">
        <f>90672*1.19</f>
        <v>107899.68</v>
      </c>
      <c r="L958" s="55">
        <v>160000.0</v>
      </c>
      <c r="M958" s="25"/>
      <c r="N958" s="39"/>
      <c r="O958" s="27">
        <f t="shared" si="112"/>
        <v>0.4828588926</v>
      </c>
      <c r="P958" s="28">
        <f t="shared" si="113"/>
        <v>0</v>
      </c>
    </row>
    <row r="959" hidden="1">
      <c r="A959" s="59" t="s">
        <v>1496</v>
      </c>
      <c r="B959" s="134" t="s">
        <v>1460</v>
      </c>
      <c r="C959" s="18"/>
      <c r="D959" s="19"/>
      <c r="E959" s="19">
        <v>0.0</v>
      </c>
      <c r="F959" s="19">
        <v>0.0</v>
      </c>
      <c r="G959" s="20" t="s">
        <v>1461</v>
      </c>
      <c r="H959" s="21"/>
      <c r="I959" s="22"/>
      <c r="J959" s="29"/>
      <c r="K959" s="43">
        <v>89000.0</v>
      </c>
      <c r="L959" s="44">
        <v>140000.0</v>
      </c>
      <c r="M959" s="25"/>
      <c r="N959" s="39"/>
      <c r="O959" s="27">
        <f t="shared" si="112"/>
        <v>0.5730337079</v>
      </c>
      <c r="P959" s="28">
        <f t="shared" si="113"/>
        <v>0</v>
      </c>
    </row>
    <row r="960" hidden="1">
      <c r="A960" s="16" t="s">
        <v>1497</v>
      </c>
      <c r="B960" s="134" t="s">
        <v>1460</v>
      </c>
      <c r="C960" s="18"/>
      <c r="D960" s="4"/>
      <c r="E960" s="19">
        <v>0.0</v>
      </c>
      <c r="F960" s="19">
        <v>0.0</v>
      </c>
      <c r="G960" s="20" t="s">
        <v>1461</v>
      </c>
      <c r="H960" s="21"/>
      <c r="I960" s="22"/>
      <c r="J960" s="29"/>
      <c r="K960" s="43">
        <v>54000.0</v>
      </c>
      <c r="L960" s="44">
        <v>90000.0</v>
      </c>
      <c r="M960" s="25"/>
      <c r="N960" s="39"/>
      <c r="O960" s="27">
        <f t="shared" si="112"/>
        <v>0.6666666667</v>
      </c>
      <c r="P960" s="28">
        <f t="shared" si="113"/>
        <v>0</v>
      </c>
    </row>
    <row r="961" hidden="1">
      <c r="A961" s="16" t="s">
        <v>1498</v>
      </c>
      <c r="B961" s="36"/>
      <c r="C961" s="18"/>
      <c r="D961" s="19"/>
      <c r="E961" s="19">
        <v>0.0</v>
      </c>
      <c r="F961" s="19">
        <v>0.0</v>
      </c>
      <c r="G961" s="54" t="s">
        <v>63</v>
      </c>
      <c r="H961" s="213"/>
      <c r="I961" s="22">
        <v>1.0</v>
      </c>
      <c r="J961" s="214"/>
      <c r="K961" s="48">
        <v>33440.0</v>
      </c>
      <c r="L961" s="55">
        <v>48000.0</v>
      </c>
      <c r="M961" s="25"/>
      <c r="N961" s="26">
        <v>42000.0</v>
      </c>
      <c r="O961" s="27">
        <f t="shared" si="112"/>
        <v>0.4354066986</v>
      </c>
      <c r="P961" s="28">
        <f t="shared" si="113"/>
        <v>0</v>
      </c>
    </row>
    <row r="962" hidden="1">
      <c r="A962" s="16" t="s">
        <v>1499</v>
      </c>
      <c r="B962" s="49"/>
      <c r="C962" s="92"/>
      <c r="D962" s="4"/>
      <c r="E962" s="19">
        <v>0.0</v>
      </c>
      <c r="F962" s="19"/>
      <c r="G962" s="16" t="s">
        <v>744</v>
      </c>
      <c r="H962" s="215"/>
      <c r="I962" s="22">
        <v>1.0</v>
      </c>
      <c r="J962" s="216"/>
      <c r="K962" s="217">
        <v>6367.0</v>
      </c>
      <c r="L962" s="184">
        <v>12000.0</v>
      </c>
      <c r="M962" s="25"/>
      <c r="N962" s="102">
        <v>10000.0</v>
      </c>
      <c r="O962" s="27">
        <f t="shared" si="112"/>
        <v>0.8847180776</v>
      </c>
      <c r="P962" s="28">
        <f t="shared" si="113"/>
        <v>0</v>
      </c>
    </row>
    <row r="963" hidden="1">
      <c r="A963" s="16" t="s">
        <v>1500</v>
      </c>
      <c r="B963" s="17"/>
      <c r="C963" s="38"/>
      <c r="D963" s="4"/>
      <c r="E963" s="19"/>
      <c r="F963" s="19"/>
      <c r="G963" s="16" t="s">
        <v>159</v>
      </c>
      <c r="H963" s="21"/>
      <c r="I963" s="22">
        <v>1.0</v>
      </c>
      <c r="J963" s="29"/>
      <c r="K963" s="48">
        <f>196800/3</f>
        <v>65600</v>
      </c>
      <c r="L963" s="60">
        <v>110000.0</v>
      </c>
      <c r="M963" s="25"/>
      <c r="N963" s="26"/>
      <c r="O963" s="27"/>
      <c r="P963" s="28"/>
    </row>
    <row r="964" hidden="1">
      <c r="A964" s="42" t="s">
        <v>1501</v>
      </c>
      <c r="B964" s="71"/>
      <c r="C964" s="18"/>
      <c r="D964" s="4"/>
      <c r="E964" s="19">
        <v>0.0</v>
      </c>
      <c r="F964" s="19">
        <v>0.0</v>
      </c>
      <c r="G964" s="16" t="s">
        <v>465</v>
      </c>
      <c r="H964" s="21"/>
      <c r="I964" s="22">
        <v>0.0</v>
      </c>
      <c r="J964" s="29"/>
      <c r="K964" s="43">
        <v>45800.0</v>
      </c>
      <c r="L964" s="44">
        <v>60000.0</v>
      </c>
      <c r="M964" s="25"/>
      <c r="N964" s="39"/>
      <c r="O964" s="27">
        <f t="shared" ref="O964:O982" si="114">(L964/K964)-1</f>
        <v>0.3100436681</v>
      </c>
      <c r="P964" s="28">
        <f t="shared" ref="P964:P990" si="115">K964*F964</f>
        <v>0</v>
      </c>
    </row>
    <row r="965" hidden="1">
      <c r="A965" s="42" t="s">
        <v>1502</v>
      </c>
      <c r="B965" s="114" t="s">
        <v>1503</v>
      </c>
      <c r="C965" s="18"/>
      <c r="D965" s="107" t="s">
        <v>251</v>
      </c>
      <c r="E965" s="19">
        <v>6.0</v>
      </c>
      <c r="F965" s="19">
        <v>0.0</v>
      </c>
      <c r="G965" s="54" t="s">
        <v>63</v>
      </c>
      <c r="H965" s="21"/>
      <c r="I965" s="22">
        <v>0.0</v>
      </c>
      <c r="J965" s="29"/>
      <c r="K965" s="32">
        <f>52712</f>
        <v>52712</v>
      </c>
      <c r="L965" s="24">
        <v>72000.0</v>
      </c>
      <c r="M965" s="25" t="s">
        <v>82</v>
      </c>
      <c r="N965" s="102">
        <v>65000.0</v>
      </c>
      <c r="O965" s="27">
        <f t="shared" si="114"/>
        <v>0.3659128851</v>
      </c>
      <c r="P965" s="28">
        <f t="shared" si="115"/>
        <v>0</v>
      </c>
    </row>
    <row r="966" hidden="1">
      <c r="A966" s="16" t="s">
        <v>1504</v>
      </c>
      <c r="B966" s="17"/>
      <c r="C966" s="18"/>
      <c r="D966" s="4"/>
      <c r="E966" s="19">
        <v>0.0</v>
      </c>
      <c r="F966" s="19">
        <v>0.0</v>
      </c>
      <c r="G966" s="20" t="s">
        <v>1225</v>
      </c>
      <c r="H966" s="21"/>
      <c r="I966" s="22">
        <v>0.0</v>
      </c>
      <c r="J966" s="29"/>
      <c r="K966" s="43">
        <v>90320.0</v>
      </c>
      <c r="L966" s="44">
        <v>112000.0</v>
      </c>
      <c r="M966" s="25"/>
      <c r="N966" s="39"/>
      <c r="O966" s="27">
        <f t="shared" si="114"/>
        <v>0.2400354296</v>
      </c>
      <c r="P966" s="28">
        <f t="shared" si="115"/>
        <v>0</v>
      </c>
    </row>
    <row r="967" hidden="1">
      <c r="A967" s="16" t="s">
        <v>1505</v>
      </c>
      <c r="B967" s="17"/>
      <c r="C967" s="18"/>
      <c r="D967" s="4"/>
      <c r="E967" s="19">
        <v>0.0</v>
      </c>
      <c r="F967" s="19">
        <v>0.0</v>
      </c>
      <c r="G967" s="20" t="s">
        <v>1225</v>
      </c>
      <c r="H967" s="21"/>
      <c r="I967" s="22">
        <v>2.0</v>
      </c>
      <c r="J967" s="22" t="s">
        <v>1506</v>
      </c>
      <c r="K967" s="48">
        <v>15400.0</v>
      </c>
      <c r="L967" s="55">
        <v>19300.0</v>
      </c>
      <c r="M967" s="25" t="s">
        <v>76</v>
      </c>
      <c r="N967" s="39"/>
      <c r="O967" s="27">
        <f t="shared" si="114"/>
        <v>0.2532467532</v>
      </c>
      <c r="P967" s="28">
        <f t="shared" si="115"/>
        <v>0</v>
      </c>
    </row>
    <row r="968" hidden="1">
      <c r="A968" s="16" t="s">
        <v>1507</v>
      </c>
      <c r="B968" s="36"/>
      <c r="C968" s="18"/>
      <c r="D968" s="4"/>
      <c r="E968" s="19"/>
      <c r="F968" s="19"/>
      <c r="G968" s="16" t="s">
        <v>1400</v>
      </c>
      <c r="H968" s="21"/>
      <c r="I968" s="22">
        <v>0.0</v>
      </c>
      <c r="J968" s="29"/>
      <c r="K968" s="32">
        <f>319328*1.19</f>
        <v>380000.32</v>
      </c>
      <c r="L968" s="24">
        <v>460000.0</v>
      </c>
      <c r="M968" s="25"/>
      <c r="N968" s="39"/>
      <c r="O968" s="27">
        <f t="shared" si="114"/>
        <v>0.2105252964</v>
      </c>
      <c r="P968" s="28">
        <f t="shared" si="115"/>
        <v>0</v>
      </c>
    </row>
    <row r="969" hidden="1">
      <c r="A969" s="16" t="s">
        <v>1508</v>
      </c>
      <c r="B969" s="49"/>
      <c r="C969" s="18" t="s">
        <v>55</v>
      </c>
      <c r="D969" s="4"/>
      <c r="E969" s="19"/>
      <c r="F969" s="19"/>
      <c r="G969" s="20" t="s">
        <v>88</v>
      </c>
      <c r="H969" s="21"/>
      <c r="I969" s="22">
        <v>2.0</v>
      </c>
      <c r="J969" s="29"/>
      <c r="K969" s="43">
        <f>5591*1.19</f>
        <v>6653.29</v>
      </c>
      <c r="L969" s="43">
        <v>12000.0</v>
      </c>
      <c r="M969" s="25"/>
      <c r="N969" s="26"/>
      <c r="O969" s="27">
        <f t="shared" si="114"/>
        <v>0.8036189614</v>
      </c>
      <c r="P969" s="28">
        <f t="shared" si="115"/>
        <v>0</v>
      </c>
    </row>
    <row r="970" hidden="1">
      <c r="A970" s="16" t="s">
        <v>1509</v>
      </c>
      <c r="B970" s="36"/>
      <c r="C970" s="18"/>
      <c r="D970" s="4"/>
      <c r="E970" s="19"/>
      <c r="F970" s="19"/>
      <c r="G970" s="20" t="s">
        <v>1510</v>
      </c>
      <c r="H970" s="21"/>
      <c r="I970" s="22">
        <v>0.0</v>
      </c>
      <c r="J970" s="29"/>
      <c r="K970" s="43">
        <v>6678.0</v>
      </c>
      <c r="L970" s="44">
        <v>12000.0</v>
      </c>
      <c r="M970" s="25"/>
      <c r="N970" s="39"/>
      <c r="O970" s="27">
        <f t="shared" si="114"/>
        <v>0.7969451932</v>
      </c>
      <c r="P970" s="28">
        <f t="shared" si="115"/>
        <v>0</v>
      </c>
    </row>
    <row r="971" hidden="1">
      <c r="A971" s="119" t="s">
        <v>1511</v>
      </c>
      <c r="B971" s="51"/>
      <c r="C971" s="18"/>
      <c r="D971" s="4"/>
      <c r="E971" s="19">
        <v>0.0</v>
      </c>
      <c r="F971" s="19">
        <v>0.0</v>
      </c>
      <c r="G971" s="20" t="s">
        <v>497</v>
      </c>
      <c r="H971" s="190"/>
      <c r="I971" s="22">
        <v>0.0</v>
      </c>
      <c r="J971" s="191"/>
      <c r="K971" s="192">
        <v>11182.0</v>
      </c>
      <c r="L971" s="44">
        <v>18000.0</v>
      </c>
      <c r="M971" s="25"/>
      <c r="N971" s="39"/>
      <c r="O971" s="27">
        <f t="shared" si="114"/>
        <v>0.6097299231</v>
      </c>
      <c r="P971" s="28">
        <f t="shared" si="115"/>
        <v>0</v>
      </c>
    </row>
    <row r="972" hidden="1">
      <c r="A972" s="16" t="s">
        <v>1512</v>
      </c>
      <c r="B972" s="36"/>
      <c r="C972" s="18"/>
      <c r="D972" s="4"/>
      <c r="E972" s="19">
        <v>0.0</v>
      </c>
      <c r="F972" s="19">
        <v>0.0</v>
      </c>
      <c r="G972" s="20" t="s">
        <v>1513</v>
      </c>
      <c r="H972" s="21"/>
      <c r="I972" s="22">
        <v>0.0</v>
      </c>
      <c r="J972" s="29"/>
      <c r="K972" s="43">
        <v>3000.0</v>
      </c>
      <c r="L972" s="44">
        <v>5000.0</v>
      </c>
      <c r="M972" s="78"/>
      <c r="N972" s="39"/>
      <c r="O972" s="27">
        <f t="shared" si="114"/>
        <v>0.6666666667</v>
      </c>
      <c r="P972" s="28">
        <f t="shared" si="115"/>
        <v>0</v>
      </c>
    </row>
    <row r="973" hidden="1">
      <c r="A973" s="16" t="s">
        <v>1514</v>
      </c>
      <c r="B973" s="36"/>
      <c r="C973" s="18"/>
      <c r="D973" s="4"/>
      <c r="E973" s="19">
        <v>0.0</v>
      </c>
      <c r="F973" s="19">
        <v>0.0</v>
      </c>
      <c r="G973" s="16" t="s">
        <v>1331</v>
      </c>
      <c r="H973" s="21"/>
      <c r="I973" s="22">
        <v>3.0</v>
      </c>
      <c r="J973" s="47">
        <v>46539.0</v>
      </c>
      <c r="K973" s="48">
        <f>12935*1.19</f>
        <v>15392.65</v>
      </c>
      <c r="L973" s="55">
        <v>18000.0</v>
      </c>
      <c r="M973" s="25" t="s">
        <v>9</v>
      </c>
      <c r="N973" s="26"/>
      <c r="O973" s="27">
        <f t="shared" si="114"/>
        <v>0.1693892864</v>
      </c>
      <c r="P973" s="28">
        <f t="shared" si="115"/>
        <v>0</v>
      </c>
    </row>
    <row r="974" hidden="1">
      <c r="A974" s="52" t="s">
        <v>1515</v>
      </c>
      <c r="B974" s="49"/>
      <c r="C974" s="18"/>
      <c r="D974" s="4"/>
      <c r="E974" s="19">
        <v>0.0</v>
      </c>
      <c r="F974" s="19">
        <v>0.0</v>
      </c>
      <c r="G974" s="20" t="s">
        <v>1513</v>
      </c>
      <c r="H974" s="21"/>
      <c r="I974" s="22">
        <v>0.0</v>
      </c>
      <c r="J974" s="29"/>
      <c r="K974" s="43">
        <v>3000.0</v>
      </c>
      <c r="L974" s="44">
        <v>4000.0</v>
      </c>
      <c r="M974" s="25"/>
      <c r="N974" s="39"/>
      <c r="O974" s="27">
        <f t="shared" si="114"/>
        <v>0.3333333333</v>
      </c>
      <c r="P974" s="28">
        <f t="shared" si="115"/>
        <v>0</v>
      </c>
    </row>
    <row r="975" hidden="1">
      <c r="A975" s="16" t="s">
        <v>1516</v>
      </c>
      <c r="B975" s="36" t="s">
        <v>1517</v>
      </c>
      <c r="C975" s="18"/>
      <c r="D975" s="4"/>
      <c r="E975" s="19"/>
      <c r="F975" s="19"/>
      <c r="G975" s="16" t="s">
        <v>88</v>
      </c>
      <c r="H975" s="21"/>
      <c r="I975" s="22">
        <v>33.0</v>
      </c>
      <c r="J975" s="58">
        <v>45931.0</v>
      </c>
      <c r="K975" s="48">
        <v>5280.0</v>
      </c>
      <c r="L975" s="55">
        <v>12000.0</v>
      </c>
      <c r="M975" s="25"/>
      <c r="N975" s="39"/>
      <c r="O975" s="27">
        <f t="shared" si="114"/>
        <v>1.272727273</v>
      </c>
      <c r="P975" s="28">
        <f t="shared" si="115"/>
        <v>0</v>
      </c>
    </row>
    <row r="976" hidden="1">
      <c r="A976" s="52" t="s">
        <v>1518</v>
      </c>
      <c r="B976" s="36" t="s">
        <v>1517</v>
      </c>
      <c r="C976" s="18"/>
      <c r="D976" s="218"/>
      <c r="E976" s="19">
        <v>10.0</v>
      </c>
      <c r="F976" s="19">
        <v>20.0</v>
      </c>
      <c r="G976" s="16" t="s">
        <v>104</v>
      </c>
      <c r="H976" s="21"/>
      <c r="I976" s="22">
        <v>7.0</v>
      </c>
      <c r="J976" s="47">
        <v>46478.0</v>
      </c>
      <c r="K976" s="55">
        <v>9001.0</v>
      </c>
      <c r="L976" s="24">
        <v>12000.0</v>
      </c>
      <c r="M976" s="25" t="s">
        <v>76</v>
      </c>
      <c r="N976" s="39"/>
      <c r="O976" s="27">
        <f t="shared" si="114"/>
        <v>0.3331852016</v>
      </c>
      <c r="P976" s="28">
        <f t="shared" si="115"/>
        <v>180020</v>
      </c>
    </row>
    <row r="977" hidden="1">
      <c r="A977" s="52" t="s">
        <v>1519</v>
      </c>
      <c r="B977" s="36" t="s">
        <v>1520</v>
      </c>
      <c r="C977" s="18"/>
      <c r="D977" s="4"/>
      <c r="E977" s="19">
        <v>0.0</v>
      </c>
      <c r="F977" s="19">
        <v>0.0</v>
      </c>
      <c r="G977" s="20" t="s">
        <v>1521</v>
      </c>
      <c r="H977" s="21"/>
      <c r="I977" s="22">
        <v>18.0</v>
      </c>
      <c r="J977" s="47">
        <v>46419.0</v>
      </c>
      <c r="K977" s="32">
        <v>7000.0</v>
      </c>
      <c r="L977" s="24">
        <v>12000.0</v>
      </c>
      <c r="M977" s="25"/>
      <c r="N977" s="26"/>
      <c r="O977" s="27">
        <f t="shared" si="114"/>
        <v>0.7142857143</v>
      </c>
      <c r="P977" s="28">
        <f t="shared" si="115"/>
        <v>0</v>
      </c>
    </row>
    <row r="978" hidden="1">
      <c r="A978" s="52" t="s">
        <v>1522</v>
      </c>
      <c r="B978" s="36"/>
      <c r="C978" s="18"/>
      <c r="D978" s="4"/>
      <c r="E978" s="19">
        <v>0.0</v>
      </c>
      <c r="F978" s="19">
        <v>8.0</v>
      </c>
      <c r="G978" s="20" t="s">
        <v>377</v>
      </c>
      <c r="H978" s="21"/>
      <c r="I978" s="22">
        <v>28.0</v>
      </c>
      <c r="J978" s="58">
        <v>45962.0</v>
      </c>
      <c r="K978" s="32">
        <v>18500.0</v>
      </c>
      <c r="L978" s="24">
        <v>28000.0</v>
      </c>
      <c r="M978" s="25"/>
      <c r="N978" s="102">
        <v>24000.0</v>
      </c>
      <c r="O978" s="27">
        <f t="shared" si="114"/>
        <v>0.5135135135</v>
      </c>
      <c r="P978" s="28">
        <f t="shared" si="115"/>
        <v>148000</v>
      </c>
    </row>
    <row r="979" hidden="1">
      <c r="A979" s="16" t="s">
        <v>1523</v>
      </c>
      <c r="B979" s="51"/>
      <c r="C979" s="18"/>
      <c r="D979" s="4"/>
      <c r="E979" s="19"/>
      <c r="F979" s="19"/>
      <c r="G979" s="16" t="s">
        <v>88</v>
      </c>
      <c r="H979" s="21"/>
      <c r="I979" s="22">
        <v>29.0</v>
      </c>
      <c r="J979" s="47">
        <v>46175.0</v>
      </c>
      <c r="K979" s="48">
        <v>19182.0</v>
      </c>
      <c r="L979" s="55">
        <v>28000.0</v>
      </c>
      <c r="M979" s="25"/>
      <c r="N979" s="102">
        <v>24000.0</v>
      </c>
      <c r="O979" s="27">
        <f t="shared" si="114"/>
        <v>0.4597018038</v>
      </c>
      <c r="P979" s="28">
        <f t="shared" si="115"/>
        <v>0</v>
      </c>
    </row>
    <row r="980" hidden="1">
      <c r="A980" s="52" t="s">
        <v>1524</v>
      </c>
      <c r="B980" s="36"/>
      <c r="C980" s="18"/>
      <c r="D980" s="4"/>
      <c r="E980" s="19">
        <v>0.0</v>
      </c>
      <c r="F980" s="19">
        <v>0.0</v>
      </c>
      <c r="G980" s="20" t="s">
        <v>377</v>
      </c>
      <c r="H980" s="21"/>
      <c r="I980" s="22">
        <v>1.0</v>
      </c>
      <c r="J980" s="29"/>
      <c r="K980" s="32">
        <v>58000.0</v>
      </c>
      <c r="L980" s="24">
        <v>84000.0</v>
      </c>
      <c r="M980" s="25"/>
      <c r="N980" s="102">
        <v>72000.0</v>
      </c>
      <c r="O980" s="27">
        <f t="shared" si="114"/>
        <v>0.4482758621</v>
      </c>
      <c r="P980" s="28">
        <f t="shared" si="115"/>
        <v>0</v>
      </c>
    </row>
    <row r="981" hidden="1">
      <c r="A981" s="16" t="s">
        <v>1525</v>
      </c>
      <c r="B981" s="17"/>
      <c r="C981" s="18"/>
      <c r="D981" s="4"/>
      <c r="E981" s="19">
        <v>0.0</v>
      </c>
      <c r="F981" s="19"/>
      <c r="G981" s="20" t="s">
        <v>57</v>
      </c>
      <c r="H981" s="21"/>
      <c r="I981" s="22"/>
      <c r="J981" s="29"/>
      <c r="K981" s="43">
        <v>6500.0</v>
      </c>
      <c r="L981" s="44">
        <v>10000.0</v>
      </c>
      <c r="M981" s="78"/>
      <c r="N981" s="39"/>
      <c r="O981" s="27">
        <f t="shared" si="114"/>
        <v>0.5384615385</v>
      </c>
      <c r="P981" s="28">
        <f t="shared" si="115"/>
        <v>0</v>
      </c>
    </row>
    <row r="982" hidden="1">
      <c r="A982" s="52" t="s">
        <v>1526</v>
      </c>
      <c r="B982" s="49"/>
      <c r="C982" s="18" t="s">
        <v>547</v>
      </c>
      <c r="D982" s="4"/>
      <c r="E982" s="19">
        <v>0.0</v>
      </c>
      <c r="F982" s="19">
        <v>0.0</v>
      </c>
      <c r="G982" s="16" t="s">
        <v>104</v>
      </c>
      <c r="H982" s="21"/>
      <c r="I982" s="22">
        <v>0.0</v>
      </c>
      <c r="J982" s="29"/>
      <c r="K982" s="43"/>
      <c r="L982" s="44"/>
      <c r="M982" s="25"/>
      <c r="N982" s="39"/>
      <c r="O982" s="27" t="str">
        <f t="shared" si="114"/>
        <v>#DIV/0!</v>
      </c>
      <c r="P982" s="28">
        <f t="shared" si="115"/>
        <v>0</v>
      </c>
    </row>
    <row r="983" hidden="1">
      <c r="A983" s="119" t="s">
        <v>1527</v>
      </c>
      <c r="B983" s="51"/>
      <c r="C983" s="18"/>
      <c r="D983" s="4"/>
      <c r="E983" s="19">
        <v>0.0</v>
      </c>
      <c r="F983" s="19">
        <v>0.0</v>
      </c>
      <c r="G983" s="20" t="s">
        <v>497</v>
      </c>
      <c r="H983" s="190"/>
      <c r="I983" s="22">
        <v>0.0</v>
      </c>
      <c r="J983" s="191"/>
      <c r="K983" s="192">
        <v>7597.0</v>
      </c>
      <c r="L983" s="44">
        <v>9000.0</v>
      </c>
      <c r="M983" s="25"/>
      <c r="N983" s="39"/>
      <c r="O983" s="147" t="s">
        <v>611</v>
      </c>
      <c r="P983" s="28">
        <f t="shared" si="115"/>
        <v>0</v>
      </c>
    </row>
    <row r="984" hidden="1">
      <c r="A984" s="59" t="s">
        <v>1528</v>
      </c>
      <c r="B984" s="97" t="s">
        <v>1529</v>
      </c>
      <c r="C984" s="18" t="s">
        <v>55</v>
      </c>
      <c r="D984" s="4"/>
      <c r="E984" s="19">
        <v>0.0</v>
      </c>
      <c r="F984" s="19"/>
      <c r="G984" s="16" t="s">
        <v>485</v>
      </c>
      <c r="H984" s="21">
        <v>0.0</v>
      </c>
      <c r="I984" s="22"/>
      <c r="J984" s="29"/>
      <c r="K984" s="43">
        <f>91603*1.19</f>
        <v>109007.57</v>
      </c>
      <c r="L984" s="44">
        <v>160000.0</v>
      </c>
      <c r="M984" s="25"/>
      <c r="N984" s="31"/>
      <c r="O984" s="27">
        <f t="shared" ref="O984:O996" si="116">(L984/K984)-1</f>
        <v>0.4677879711</v>
      </c>
      <c r="P984" s="28">
        <f t="shared" si="115"/>
        <v>0</v>
      </c>
    </row>
    <row r="985" hidden="1">
      <c r="A985" s="16" t="s">
        <v>1530</v>
      </c>
      <c r="B985" s="17" t="s">
        <v>1531</v>
      </c>
      <c r="C985" s="18"/>
      <c r="D985" s="4"/>
      <c r="E985" s="19">
        <v>0.0</v>
      </c>
      <c r="F985" s="19">
        <v>0.0</v>
      </c>
      <c r="G985" s="20" t="s">
        <v>286</v>
      </c>
      <c r="H985" s="21"/>
      <c r="I985" s="22">
        <v>100.0</v>
      </c>
      <c r="J985" s="29"/>
      <c r="K985" s="32">
        <f>304*1.19</f>
        <v>361.76</v>
      </c>
      <c r="L985" s="24">
        <v>800.0</v>
      </c>
      <c r="M985" s="25">
        <v>0.1</v>
      </c>
      <c r="N985" s="70"/>
      <c r="O985" s="27">
        <f t="shared" si="116"/>
        <v>1.21141088</v>
      </c>
      <c r="P985" s="28">
        <f t="shared" si="115"/>
        <v>0</v>
      </c>
    </row>
    <row r="986" hidden="1">
      <c r="A986" s="40" t="s">
        <v>1532</v>
      </c>
      <c r="B986" s="17" t="s">
        <v>1533</v>
      </c>
      <c r="C986" s="18"/>
      <c r="D986" s="4"/>
      <c r="E986" s="19">
        <v>0.0</v>
      </c>
      <c r="F986" s="19">
        <v>0.0</v>
      </c>
      <c r="G986" s="20" t="s">
        <v>286</v>
      </c>
      <c r="H986" s="21"/>
      <c r="I986" s="22">
        <v>200.0</v>
      </c>
      <c r="J986" s="29"/>
      <c r="K986" s="32">
        <f>208*1.19</f>
        <v>247.52</v>
      </c>
      <c r="L986" s="24">
        <v>500.0</v>
      </c>
      <c r="M986" s="25"/>
      <c r="N986" s="39"/>
      <c r="O986" s="27">
        <f t="shared" si="116"/>
        <v>1.020038785</v>
      </c>
      <c r="P986" s="28">
        <f t="shared" si="115"/>
        <v>0</v>
      </c>
    </row>
    <row r="987" hidden="1">
      <c r="A987" s="40" t="s">
        <v>1534</v>
      </c>
      <c r="B987" s="17" t="s">
        <v>1535</v>
      </c>
      <c r="C987" s="18"/>
      <c r="D987" s="4"/>
      <c r="E987" s="19">
        <v>0.0</v>
      </c>
      <c r="F987" s="19">
        <v>0.0</v>
      </c>
      <c r="G987" s="20" t="s">
        <v>286</v>
      </c>
      <c r="H987" s="21"/>
      <c r="I987" s="22">
        <v>100.0</v>
      </c>
      <c r="J987" s="29"/>
      <c r="K987" s="32">
        <f>376*1.19</f>
        <v>447.44</v>
      </c>
      <c r="L987" s="24">
        <v>1000.0</v>
      </c>
      <c r="M987" s="25"/>
      <c r="N987" s="70"/>
      <c r="O987" s="27">
        <f t="shared" si="116"/>
        <v>1.234936528</v>
      </c>
      <c r="P987" s="28">
        <f t="shared" si="115"/>
        <v>0</v>
      </c>
    </row>
    <row r="988" hidden="1">
      <c r="A988" s="40" t="s">
        <v>1536</v>
      </c>
      <c r="B988" s="17" t="s">
        <v>1537</v>
      </c>
      <c r="C988" s="18"/>
      <c r="D988" s="4"/>
      <c r="E988" s="19">
        <v>0.0</v>
      </c>
      <c r="F988" s="19">
        <v>0.0</v>
      </c>
      <c r="G988" s="20" t="s">
        <v>286</v>
      </c>
      <c r="H988" s="21"/>
      <c r="I988" s="22">
        <v>300.0</v>
      </c>
      <c r="J988" s="29"/>
      <c r="K988" s="32">
        <f>189*1.19</f>
        <v>224.91</v>
      </c>
      <c r="L988" s="24">
        <v>600.0</v>
      </c>
      <c r="M988" s="25"/>
      <c r="N988" s="70"/>
      <c r="O988" s="27">
        <f t="shared" si="116"/>
        <v>1.66773376</v>
      </c>
      <c r="P988" s="28">
        <f t="shared" si="115"/>
        <v>0</v>
      </c>
    </row>
    <row r="989" hidden="1">
      <c r="A989" s="16" t="s">
        <v>1538</v>
      </c>
      <c r="B989" s="17" t="s">
        <v>1539</v>
      </c>
      <c r="C989" s="18"/>
      <c r="D989" s="4"/>
      <c r="E989" s="19">
        <v>0.0</v>
      </c>
      <c r="F989" s="19">
        <v>0.0</v>
      </c>
      <c r="G989" s="20" t="s">
        <v>1540</v>
      </c>
      <c r="H989" s="21"/>
      <c r="I989" s="22"/>
      <c r="J989" s="29"/>
      <c r="K989" s="48">
        <v>40000.0</v>
      </c>
      <c r="L989" s="55">
        <v>70000.0</v>
      </c>
      <c r="M989" s="25"/>
      <c r="N989" s="39"/>
      <c r="O989" s="27">
        <f t="shared" si="116"/>
        <v>0.75</v>
      </c>
      <c r="P989" s="28">
        <f t="shared" si="115"/>
        <v>0</v>
      </c>
    </row>
    <row r="990" hidden="1">
      <c r="A990" s="16" t="s">
        <v>1541</v>
      </c>
      <c r="B990" s="36" t="s">
        <v>1542</v>
      </c>
      <c r="C990" s="18"/>
      <c r="D990" s="4"/>
      <c r="E990" s="19">
        <v>0.0</v>
      </c>
      <c r="F990" s="19">
        <v>0.0</v>
      </c>
      <c r="G990" s="16" t="s">
        <v>16</v>
      </c>
      <c r="H990" s="21"/>
      <c r="I990" s="22">
        <v>0.0</v>
      </c>
      <c r="J990" s="29"/>
      <c r="K990" s="43">
        <v>33000.0</v>
      </c>
      <c r="L990" s="44">
        <v>140000.0</v>
      </c>
      <c r="M990" s="25"/>
      <c r="N990" s="39"/>
      <c r="O990" s="27">
        <f t="shared" si="116"/>
        <v>3.242424242</v>
      </c>
      <c r="P990" s="28">
        <f t="shared" si="115"/>
        <v>0</v>
      </c>
    </row>
    <row r="991" hidden="1">
      <c r="A991" s="16" t="s">
        <v>1543</v>
      </c>
      <c r="B991" s="17" t="s">
        <v>44</v>
      </c>
      <c r="C991" s="38"/>
      <c r="D991" s="4"/>
      <c r="E991" s="19">
        <v>0.0</v>
      </c>
      <c r="F991" s="19">
        <v>0.0</v>
      </c>
      <c r="G991" s="20" t="s">
        <v>45</v>
      </c>
      <c r="H991" s="21"/>
      <c r="I991" s="22">
        <v>1.0</v>
      </c>
      <c r="J991" s="45"/>
      <c r="K991" s="46">
        <f>2488400+2063100</f>
        <v>4551500</v>
      </c>
      <c r="L991" s="46">
        <v>4900000.0</v>
      </c>
      <c r="M991" s="25"/>
      <c r="N991" s="26"/>
      <c r="O991" s="27">
        <f t="shared" si="116"/>
        <v>0.07656816434</v>
      </c>
      <c r="P991" s="28"/>
    </row>
    <row r="992" hidden="1">
      <c r="A992" s="16" t="s">
        <v>1544</v>
      </c>
      <c r="B992" s="17"/>
      <c r="C992" s="18"/>
      <c r="D992" s="4"/>
      <c r="E992" s="19">
        <v>0.0</v>
      </c>
      <c r="F992" s="19">
        <v>0.0</v>
      </c>
      <c r="G992" s="16" t="s">
        <v>16</v>
      </c>
      <c r="H992" s="33"/>
      <c r="I992" s="22">
        <v>7.0</v>
      </c>
      <c r="J992" s="34"/>
      <c r="K992" s="30">
        <v>16398.75</v>
      </c>
      <c r="L992" s="24">
        <v>70000.0</v>
      </c>
      <c r="M992" s="25"/>
      <c r="N992" s="39"/>
      <c r="O992" s="27">
        <f t="shared" si="116"/>
        <v>3.268618035</v>
      </c>
      <c r="P992" s="28">
        <f t="shared" ref="P992:P996" si="117">K992*F992</f>
        <v>0</v>
      </c>
    </row>
    <row r="993" hidden="1">
      <c r="A993" s="52" t="s">
        <v>1545</v>
      </c>
      <c r="B993" s="17"/>
      <c r="C993" s="18"/>
      <c r="D993" s="4"/>
      <c r="E993" s="19">
        <v>0.0</v>
      </c>
      <c r="F993" s="19">
        <v>0.0</v>
      </c>
      <c r="G993" s="16" t="s">
        <v>437</v>
      </c>
      <c r="H993" s="21"/>
      <c r="I993" s="22">
        <v>0.0</v>
      </c>
      <c r="J993" s="29"/>
      <c r="K993" s="43">
        <v>4900.0</v>
      </c>
      <c r="L993" s="44">
        <v>9000.0</v>
      </c>
      <c r="M993" s="25"/>
      <c r="N993" s="39"/>
      <c r="O993" s="27">
        <f t="shared" si="116"/>
        <v>0.8367346939</v>
      </c>
      <c r="P993" s="28">
        <f t="shared" si="117"/>
        <v>0</v>
      </c>
    </row>
    <row r="994" hidden="1">
      <c r="A994" s="52" t="s">
        <v>1546</v>
      </c>
      <c r="B994" s="17"/>
      <c r="C994" s="18"/>
      <c r="D994" s="4"/>
      <c r="E994" s="19">
        <v>0.0</v>
      </c>
      <c r="F994" s="19">
        <v>0.0</v>
      </c>
      <c r="G994" s="16" t="s">
        <v>437</v>
      </c>
      <c r="H994" s="21"/>
      <c r="I994" s="22">
        <v>0.0</v>
      </c>
      <c r="J994" s="29"/>
      <c r="K994" s="43">
        <v>6900.0</v>
      </c>
      <c r="L994" s="44">
        <v>9000.0</v>
      </c>
      <c r="M994" s="25"/>
      <c r="N994" s="39"/>
      <c r="O994" s="27">
        <f t="shared" si="116"/>
        <v>0.3043478261</v>
      </c>
      <c r="P994" s="28">
        <f t="shared" si="117"/>
        <v>0</v>
      </c>
    </row>
    <row r="995" hidden="1">
      <c r="A995" s="52" t="s">
        <v>1547</v>
      </c>
      <c r="B995" s="17"/>
      <c r="C995" s="18"/>
      <c r="D995" s="4"/>
      <c r="E995" s="19">
        <v>0.0</v>
      </c>
      <c r="F995" s="19">
        <v>0.0</v>
      </c>
      <c r="G995" s="16" t="s">
        <v>437</v>
      </c>
      <c r="H995" s="21"/>
      <c r="I995" s="22">
        <v>0.0</v>
      </c>
      <c r="J995" s="29"/>
      <c r="K995" s="43">
        <v>4900.0</v>
      </c>
      <c r="L995" s="44">
        <v>9000.0</v>
      </c>
      <c r="M995" s="25"/>
      <c r="N995" s="39"/>
      <c r="O995" s="27">
        <f t="shared" si="116"/>
        <v>0.8367346939</v>
      </c>
      <c r="P995" s="28">
        <f t="shared" si="117"/>
        <v>0</v>
      </c>
    </row>
    <row r="996" hidden="1">
      <c r="A996" s="122" t="s">
        <v>1548</v>
      </c>
      <c r="B996" s="134"/>
      <c r="C996" s="18"/>
      <c r="D996" s="4"/>
      <c r="E996" s="19">
        <v>0.0</v>
      </c>
      <c r="F996" s="19">
        <v>0.0</v>
      </c>
      <c r="G996" s="16" t="s">
        <v>16</v>
      </c>
      <c r="H996" s="33"/>
      <c r="I996" s="22">
        <v>8.0</v>
      </c>
      <c r="J996" s="34"/>
      <c r="K996" s="123">
        <v>101737.0</v>
      </c>
      <c r="L996" s="44">
        <v>260000.0</v>
      </c>
      <c r="M996" s="25"/>
      <c r="N996" s="102">
        <v>190000.0</v>
      </c>
      <c r="O996" s="27">
        <f t="shared" si="116"/>
        <v>1.55560907</v>
      </c>
      <c r="P996" s="28">
        <f t="shared" si="117"/>
        <v>0</v>
      </c>
    </row>
    <row r="997" hidden="1">
      <c r="A997" s="16" t="s">
        <v>1549</v>
      </c>
      <c r="B997" s="17"/>
      <c r="C997" s="18"/>
      <c r="D997" s="4"/>
      <c r="E997" s="19">
        <v>0.0</v>
      </c>
      <c r="F997" s="19">
        <v>0.0</v>
      </c>
      <c r="G997" s="16" t="s">
        <v>1205</v>
      </c>
      <c r="H997" s="21"/>
      <c r="I997" s="22">
        <v>20.0</v>
      </c>
      <c r="J997" s="29"/>
      <c r="K997" s="43"/>
      <c r="L997" s="32">
        <v>25000.0</v>
      </c>
      <c r="M997" s="25"/>
      <c r="N997" s="39"/>
      <c r="O997" s="27"/>
      <c r="P997" s="28"/>
    </row>
    <row r="998" hidden="1">
      <c r="A998" s="16" t="s">
        <v>1550</v>
      </c>
      <c r="B998" s="17"/>
      <c r="C998" s="18"/>
      <c r="D998" s="4"/>
      <c r="E998" s="19">
        <v>0.0</v>
      </c>
      <c r="F998" s="19">
        <v>0.0</v>
      </c>
      <c r="G998" s="20" t="s">
        <v>1551</v>
      </c>
      <c r="H998" s="21"/>
      <c r="I998" s="22">
        <v>0.0</v>
      </c>
      <c r="J998" s="29"/>
      <c r="K998" s="43">
        <v>260000.0</v>
      </c>
      <c r="L998" s="44">
        <v>450000.0</v>
      </c>
      <c r="M998" s="25"/>
      <c r="N998" s="39"/>
      <c r="O998" s="27">
        <f t="shared" ref="O998:O1002" si="118">(L998/K998)-1</f>
        <v>0.7307692308</v>
      </c>
      <c r="P998" s="28">
        <f>K998*F998</f>
        <v>0</v>
      </c>
    </row>
    <row r="999" hidden="1">
      <c r="A999" s="16" t="s">
        <v>1552</v>
      </c>
      <c r="B999" s="17" t="s">
        <v>44</v>
      </c>
      <c r="C999" s="18"/>
      <c r="D999" s="19"/>
      <c r="E999" s="19">
        <v>0.0</v>
      </c>
      <c r="F999" s="19">
        <v>0.0</v>
      </c>
      <c r="G999" s="16" t="s">
        <v>45</v>
      </c>
      <c r="H999" s="21"/>
      <c r="I999" s="22">
        <v>1.0</v>
      </c>
      <c r="J999" s="45"/>
      <c r="K999" s="46">
        <v>2452400.0</v>
      </c>
      <c r="L999" s="46">
        <v>2700000.0</v>
      </c>
      <c r="M999" s="25"/>
      <c r="N999" s="69"/>
      <c r="O999" s="27">
        <f t="shared" si="118"/>
        <v>0.1009623226</v>
      </c>
      <c r="P999" s="28"/>
    </row>
    <row r="1000" hidden="1">
      <c r="A1000" s="16" t="s">
        <v>1553</v>
      </c>
      <c r="B1000" s="17" t="s">
        <v>44</v>
      </c>
      <c r="C1000" s="18"/>
      <c r="D1000" s="19"/>
      <c r="E1000" s="19">
        <v>0.0</v>
      </c>
      <c r="F1000" s="19">
        <v>0.0</v>
      </c>
      <c r="G1000" s="16" t="s">
        <v>45</v>
      </c>
      <c r="H1000" s="21"/>
      <c r="I1000" s="22">
        <v>1.0</v>
      </c>
      <c r="J1000" s="45"/>
      <c r="K1000" s="46">
        <v>2452400.0</v>
      </c>
      <c r="L1000" s="46">
        <v>2700000.0</v>
      </c>
      <c r="M1000" s="25"/>
      <c r="N1000" s="69"/>
      <c r="O1000" s="27">
        <f t="shared" si="118"/>
        <v>0.1009623226</v>
      </c>
      <c r="P1000" s="28"/>
    </row>
    <row r="1001" hidden="1">
      <c r="A1001" s="16" t="s">
        <v>1554</v>
      </c>
      <c r="B1001" s="36"/>
      <c r="C1001" s="18"/>
      <c r="D1001" s="4"/>
      <c r="E1001" s="19"/>
      <c r="F1001" s="19"/>
      <c r="G1001" s="16" t="s">
        <v>1201</v>
      </c>
      <c r="H1001" s="21">
        <v>0.0</v>
      </c>
      <c r="I1001" s="22"/>
      <c r="J1001" s="29"/>
      <c r="K1001" s="43">
        <f>29750*1.19</f>
        <v>35402.5</v>
      </c>
      <c r="L1001" s="43">
        <v>60000.0</v>
      </c>
      <c r="M1001" s="25"/>
      <c r="N1001" s="39"/>
      <c r="O1001" s="27">
        <f t="shared" si="118"/>
        <v>0.6947955653</v>
      </c>
      <c r="P1001" s="28">
        <f t="shared" ref="P1001:P1002" si="119">K1001*F1001</f>
        <v>0</v>
      </c>
    </row>
    <row r="1002" hidden="1">
      <c r="A1002" s="119" t="s">
        <v>1555</v>
      </c>
      <c r="B1002" s="17"/>
      <c r="C1002" s="18"/>
      <c r="D1002" s="4"/>
      <c r="E1002" s="19">
        <v>0.0</v>
      </c>
      <c r="F1002" s="19">
        <v>0.0</v>
      </c>
      <c r="G1002" s="16" t="s">
        <v>16</v>
      </c>
      <c r="H1002" s="73"/>
      <c r="I1002" s="22">
        <v>0.0</v>
      </c>
      <c r="J1002" s="74"/>
      <c r="K1002" s="75">
        <v>17000.0</v>
      </c>
      <c r="L1002" s="44">
        <v>35000.0</v>
      </c>
      <c r="M1002" s="25"/>
      <c r="N1002" s="39"/>
      <c r="O1002" s="27">
        <f t="shared" si="118"/>
        <v>1.058823529</v>
      </c>
      <c r="P1002" s="28">
        <f t="shared" si="119"/>
        <v>0</v>
      </c>
    </row>
    <row r="1003" hidden="1">
      <c r="A1003" s="16" t="s">
        <v>1556</v>
      </c>
      <c r="B1003" s="36"/>
      <c r="C1003" s="18"/>
      <c r="D1003" s="4"/>
      <c r="E1003" s="19">
        <v>0.0</v>
      </c>
      <c r="F1003" s="19">
        <v>0.0</v>
      </c>
      <c r="G1003" s="16" t="s">
        <v>400</v>
      </c>
      <c r="H1003" s="21"/>
      <c r="I1003" s="22">
        <v>3.0</v>
      </c>
      <c r="J1003" s="29"/>
      <c r="K1003" s="32"/>
      <c r="L1003" s="32"/>
      <c r="M1003" s="25"/>
      <c r="N1003" s="26"/>
      <c r="O1003" s="27"/>
      <c r="P1003" s="28"/>
    </row>
    <row r="1004" hidden="1">
      <c r="A1004" s="219" t="s">
        <v>1557</v>
      </c>
      <c r="B1004" s="17">
        <v>240041.0</v>
      </c>
      <c r="C1004" s="18"/>
      <c r="D1004" s="4"/>
      <c r="E1004" s="19">
        <v>0.0</v>
      </c>
      <c r="F1004" s="19">
        <v>0.0</v>
      </c>
      <c r="G1004" s="16" t="s">
        <v>659</v>
      </c>
      <c r="H1004" s="21"/>
      <c r="I1004" s="22">
        <v>2.0</v>
      </c>
      <c r="J1004" s="29"/>
      <c r="K1004" s="43">
        <f t="shared" ref="K1004:K1005" si="120">38637*1.19</f>
        <v>45978.03</v>
      </c>
      <c r="L1004" s="44">
        <v>70000.0</v>
      </c>
      <c r="M1004" s="25"/>
      <c r="N1004" s="39"/>
      <c r="O1004" s="27">
        <f t="shared" ref="O1004:O1008" si="121">(L1004/K1004)-1</f>
        <v>0.5224662736</v>
      </c>
      <c r="P1004" s="28">
        <f t="shared" ref="P1004:P1008" si="122">K1004*F1004</f>
        <v>0</v>
      </c>
    </row>
    <row r="1005" hidden="1">
      <c r="A1005" s="219" t="s">
        <v>1558</v>
      </c>
      <c r="B1005" s="17">
        <v>240043.0</v>
      </c>
      <c r="C1005" s="18"/>
      <c r="D1005" s="4"/>
      <c r="E1005" s="19">
        <v>0.0</v>
      </c>
      <c r="F1005" s="19">
        <v>0.0</v>
      </c>
      <c r="G1005" s="16" t="s">
        <v>425</v>
      </c>
      <c r="H1005" s="21"/>
      <c r="I1005" s="22">
        <v>28.0</v>
      </c>
      <c r="J1005" s="29"/>
      <c r="K1005" s="43">
        <f t="shared" si="120"/>
        <v>45978.03</v>
      </c>
      <c r="L1005" s="44">
        <v>70000.0</v>
      </c>
      <c r="M1005" s="25"/>
      <c r="N1005" s="39"/>
      <c r="O1005" s="27">
        <f t="shared" si="121"/>
        <v>0.5224662736</v>
      </c>
      <c r="P1005" s="28">
        <f t="shared" si="122"/>
        <v>0</v>
      </c>
    </row>
    <row r="1006" hidden="1">
      <c r="A1006" s="16" t="s">
        <v>1559</v>
      </c>
      <c r="B1006" s="17"/>
      <c r="C1006" s="18"/>
      <c r="D1006" s="4"/>
      <c r="E1006" s="19">
        <v>0.0</v>
      </c>
      <c r="F1006" s="19">
        <v>0.0</v>
      </c>
      <c r="G1006" s="40" t="s">
        <v>93</v>
      </c>
      <c r="H1006" s="21"/>
      <c r="I1006" s="22">
        <v>0.0</v>
      </c>
      <c r="J1006" s="29"/>
      <c r="K1006" s="43">
        <v>112000.0</v>
      </c>
      <c r="L1006" s="43">
        <v>141000.0</v>
      </c>
      <c r="M1006" s="25"/>
      <c r="N1006" s="39"/>
      <c r="O1006" s="27">
        <f t="shared" si="121"/>
        <v>0.2589285714</v>
      </c>
      <c r="P1006" s="28">
        <f t="shared" si="122"/>
        <v>0</v>
      </c>
    </row>
    <row r="1007" hidden="1">
      <c r="A1007" s="16" t="s">
        <v>1560</v>
      </c>
      <c r="B1007" s="36"/>
      <c r="C1007" s="18"/>
      <c r="D1007" s="66"/>
      <c r="E1007" s="19">
        <v>0.0</v>
      </c>
      <c r="F1007" s="19">
        <v>0.0</v>
      </c>
      <c r="G1007" s="16" t="s">
        <v>70</v>
      </c>
      <c r="H1007" s="111"/>
      <c r="I1007" s="22"/>
      <c r="J1007" s="112"/>
      <c r="K1007" s="113">
        <v>202000.0</v>
      </c>
      <c r="L1007" s="44">
        <v>270000.0</v>
      </c>
      <c r="M1007" s="25"/>
      <c r="N1007" s="39"/>
      <c r="O1007" s="27">
        <f t="shared" si="121"/>
        <v>0.3366336634</v>
      </c>
      <c r="P1007" s="28">
        <f t="shared" si="122"/>
        <v>0</v>
      </c>
    </row>
    <row r="1008" hidden="1">
      <c r="A1008" s="16" t="s">
        <v>1561</v>
      </c>
      <c r="B1008" s="36"/>
      <c r="C1008" s="18"/>
      <c r="D1008" s="4"/>
      <c r="E1008" s="19">
        <v>0.0</v>
      </c>
      <c r="F1008" s="19">
        <v>0.0</v>
      </c>
      <c r="G1008" s="16" t="s">
        <v>70</v>
      </c>
      <c r="H1008" s="111"/>
      <c r="I1008" s="22"/>
      <c r="J1008" s="112"/>
      <c r="K1008" s="113">
        <v>190000.0</v>
      </c>
      <c r="L1008" s="44">
        <v>240000.0</v>
      </c>
      <c r="M1008" s="25"/>
      <c r="N1008" s="39"/>
      <c r="O1008" s="27">
        <f t="shared" si="121"/>
        <v>0.2631578947</v>
      </c>
      <c r="P1008" s="28">
        <f t="shared" si="122"/>
        <v>0</v>
      </c>
    </row>
    <row r="1009" hidden="1">
      <c r="A1009" s="16" t="s">
        <v>1562</v>
      </c>
      <c r="B1009" s="17"/>
      <c r="C1009" s="18"/>
      <c r="D1009" s="4"/>
      <c r="E1009" s="19">
        <v>0.0</v>
      </c>
      <c r="F1009" s="19">
        <v>0.0</v>
      </c>
      <c r="G1009" s="16" t="s">
        <v>400</v>
      </c>
      <c r="H1009" s="21"/>
      <c r="I1009" s="22">
        <v>3.0</v>
      </c>
      <c r="J1009" s="29"/>
      <c r="K1009" s="30">
        <v>21865.0</v>
      </c>
      <c r="L1009" s="24">
        <v>70000.0</v>
      </c>
      <c r="M1009" s="25"/>
      <c r="N1009" s="102">
        <v>50000.0</v>
      </c>
      <c r="O1009" s="27"/>
      <c r="P1009" s="28"/>
    </row>
    <row r="1010" hidden="1">
      <c r="A1010" s="16" t="s">
        <v>1563</v>
      </c>
      <c r="B1010" s="17"/>
      <c r="C1010" s="18"/>
      <c r="D1010" s="4"/>
      <c r="E1010" s="19">
        <v>0.0</v>
      </c>
      <c r="F1010" s="19">
        <v>0.0</v>
      </c>
      <c r="G1010" s="16" t="s">
        <v>1564</v>
      </c>
      <c r="H1010" s="21"/>
      <c r="I1010" s="22">
        <v>0.0</v>
      </c>
      <c r="J1010" s="29"/>
      <c r="K1010" s="32">
        <v>364000.0</v>
      </c>
      <c r="L1010" s="24">
        <v>430000.0</v>
      </c>
      <c r="M1010" s="25"/>
      <c r="N1010" s="102">
        <v>380000.0</v>
      </c>
      <c r="O1010" s="27">
        <f t="shared" ref="O1010:O1045" si="123">(L1010/K1010)-1</f>
        <v>0.1813186813</v>
      </c>
      <c r="P1010" s="28">
        <f t="shared" ref="P1010:P1019" si="124">K1010*F1010</f>
        <v>0</v>
      </c>
    </row>
    <row r="1011" hidden="1">
      <c r="A1011" s="122" t="s">
        <v>1565</v>
      </c>
      <c r="B1011" s="134"/>
      <c r="C1011" s="18"/>
      <c r="D1011" s="4"/>
      <c r="E1011" s="19">
        <v>0.0</v>
      </c>
      <c r="F1011" s="19">
        <v>0.0</v>
      </c>
      <c r="G1011" s="16" t="s">
        <v>16</v>
      </c>
      <c r="H1011" s="21"/>
      <c r="I1011" s="22" t="s">
        <v>1566</v>
      </c>
      <c r="J1011" s="29"/>
      <c r="K1011" s="43">
        <v>87500.0</v>
      </c>
      <c r="L1011" s="44">
        <v>240000.0</v>
      </c>
      <c r="M1011" s="25"/>
      <c r="N1011" s="102">
        <v>190000.0</v>
      </c>
      <c r="O1011" s="27">
        <f t="shared" si="123"/>
        <v>1.742857143</v>
      </c>
      <c r="P1011" s="28">
        <f t="shared" si="124"/>
        <v>0</v>
      </c>
    </row>
    <row r="1012" hidden="1">
      <c r="A1012" s="16" t="s">
        <v>1567</v>
      </c>
      <c r="B1012" s="36" t="s">
        <v>328</v>
      </c>
      <c r="C1012" s="18"/>
      <c r="D1012" s="4"/>
      <c r="E1012" s="19">
        <v>2.0</v>
      </c>
      <c r="F1012" s="19">
        <v>0.0</v>
      </c>
      <c r="G1012" s="16" t="s">
        <v>93</v>
      </c>
      <c r="H1012" s="21"/>
      <c r="I1012" s="22">
        <v>0.0</v>
      </c>
      <c r="J1012" s="29"/>
      <c r="K1012" s="48">
        <v>292300.0</v>
      </c>
      <c r="L1012" s="55">
        <v>365000.0</v>
      </c>
      <c r="M1012" s="25"/>
      <c r="N1012" s="69"/>
      <c r="O1012" s="27">
        <f t="shared" si="123"/>
        <v>0.2487170715</v>
      </c>
      <c r="P1012" s="28">
        <f t="shared" si="124"/>
        <v>0</v>
      </c>
    </row>
    <row r="1013" hidden="1">
      <c r="A1013" s="137" t="s">
        <v>1568</v>
      </c>
      <c r="B1013" s="17" t="s">
        <v>44</v>
      </c>
      <c r="C1013" s="18"/>
      <c r="D1013" s="4"/>
      <c r="E1013" s="19">
        <v>0.0</v>
      </c>
      <c r="F1013" s="19">
        <v>0.0</v>
      </c>
      <c r="G1013" s="16" t="s">
        <v>1569</v>
      </c>
      <c r="H1013" s="220"/>
      <c r="I1013" s="22">
        <v>0.0</v>
      </c>
      <c r="J1013" s="172"/>
      <c r="K1013" s="60">
        <v>2782560.0</v>
      </c>
      <c r="L1013" s="60">
        <v>3150000.0</v>
      </c>
      <c r="M1013" s="25"/>
      <c r="N1013" s="221">
        <v>3080000.0</v>
      </c>
      <c r="O1013" s="27">
        <f t="shared" si="123"/>
        <v>0.1320510609</v>
      </c>
      <c r="P1013" s="28">
        <f t="shared" si="124"/>
        <v>0</v>
      </c>
    </row>
    <row r="1014" hidden="1">
      <c r="A1014" s="16" t="s">
        <v>1570</v>
      </c>
      <c r="B1014" s="36" t="s">
        <v>1571</v>
      </c>
      <c r="C1014" s="18" t="s">
        <v>1572</v>
      </c>
      <c r="D1014" s="4"/>
      <c r="E1014" s="19"/>
      <c r="F1014" s="19"/>
      <c r="G1014" s="16" t="s">
        <v>1573</v>
      </c>
      <c r="H1014" s="21"/>
      <c r="I1014" s="22"/>
      <c r="J1014" s="23"/>
      <c r="K1014" s="55">
        <v>142000.0</v>
      </c>
      <c r="L1014" s="55">
        <v>250000.0</v>
      </c>
      <c r="M1014" s="25"/>
      <c r="N1014" s="102">
        <v>190000.0</v>
      </c>
      <c r="O1014" s="27">
        <f t="shared" si="123"/>
        <v>0.7605633803</v>
      </c>
      <c r="P1014" s="28">
        <f t="shared" si="124"/>
        <v>0</v>
      </c>
    </row>
    <row r="1015" hidden="1">
      <c r="A1015" s="16" t="s">
        <v>1574</v>
      </c>
      <c r="B1015" s="222" t="s">
        <v>1575</v>
      </c>
      <c r="C1015" s="18" t="s">
        <v>1572</v>
      </c>
      <c r="D1015" s="4"/>
      <c r="E1015" s="19"/>
      <c r="F1015" s="19"/>
      <c r="G1015" s="16" t="s">
        <v>1573</v>
      </c>
      <c r="H1015" s="21"/>
      <c r="I1015" s="22"/>
      <c r="J1015" s="45"/>
      <c r="K1015" s="60">
        <v>223000.0</v>
      </c>
      <c r="L1015" s="55">
        <v>350000.0</v>
      </c>
      <c r="M1015" s="25"/>
      <c r="N1015" s="39"/>
      <c r="O1015" s="27">
        <f t="shared" si="123"/>
        <v>0.5695067265</v>
      </c>
      <c r="P1015" s="28">
        <f t="shared" si="124"/>
        <v>0</v>
      </c>
    </row>
    <row r="1016" hidden="1">
      <c r="A1016" s="16" t="s">
        <v>1576</v>
      </c>
      <c r="B1016" s="36" t="s">
        <v>1577</v>
      </c>
      <c r="C1016" s="18"/>
      <c r="D1016" s="4" t="s">
        <v>998</v>
      </c>
      <c r="E1016" s="19">
        <v>0.0</v>
      </c>
      <c r="F1016" s="19">
        <v>31.0</v>
      </c>
      <c r="G1016" s="16" t="s">
        <v>1210</v>
      </c>
      <c r="H1016" s="21"/>
      <c r="I1016" s="22">
        <v>4.0</v>
      </c>
      <c r="J1016" s="58">
        <v>46327.0</v>
      </c>
      <c r="K1016" s="55">
        <f>102419*1.19</f>
        <v>121878.61</v>
      </c>
      <c r="L1016" s="55">
        <v>160000.0</v>
      </c>
      <c r="M1016" s="25" t="s">
        <v>82</v>
      </c>
      <c r="N1016" s="102">
        <v>140000.0</v>
      </c>
      <c r="O1016" s="27">
        <f t="shared" si="123"/>
        <v>0.3127816276</v>
      </c>
      <c r="P1016" s="28">
        <f t="shared" si="124"/>
        <v>3778236.91</v>
      </c>
    </row>
    <row r="1017" hidden="1">
      <c r="A1017" s="59" t="s">
        <v>1578</v>
      </c>
      <c r="B1017" s="17"/>
      <c r="C1017" s="18"/>
      <c r="D1017" s="4"/>
      <c r="E1017" s="19">
        <v>0.0</v>
      </c>
      <c r="F1017" s="19">
        <v>0.0</v>
      </c>
      <c r="G1017" s="16" t="s">
        <v>16</v>
      </c>
      <c r="H1017" s="21"/>
      <c r="I1017" s="22">
        <v>0.0</v>
      </c>
      <c r="J1017" s="29"/>
      <c r="K1017" s="30">
        <v>4023.1600000000003</v>
      </c>
      <c r="L1017" s="24">
        <v>50000.0</v>
      </c>
      <c r="M1017" s="25"/>
      <c r="N1017" s="39"/>
      <c r="O1017" s="27">
        <f t="shared" si="123"/>
        <v>11.42804164</v>
      </c>
      <c r="P1017" s="28">
        <f t="shared" si="124"/>
        <v>0</v>
      </c>
    </row>
    <row r="1018" hidden="1">
      <c r="A1018" s="59" t="s">
        <v>1579</v>
      </c>
      <c r="B1018" s="121"/>
      <c r="C1018" s="18"/>
      <c r="D1018" s="4"/>
      <c r="E1018" s="19">
        <v>0.0</v>
      </c>
      <c r="F1018" s="19">
        <v>0.0</v>
      </c>
      <c r="G1018" s="16" t="s">
        <v>16</v>
      </c>
      <c r="H1018" s="21"/>
      <c r="I1018" s="22">
        <v>0.0</v>
      </c>
      <c r="J1018" s="29"/>
      <c r="K1018" s="32">
        <v>4498.0</v>
      </c>
      <c r="L1018" s="24">
        <v>50000.0</v>
      </c>
      <c r="M1018" s="25"/>
      <c r="N1018" s="39"/>
      <c r="O1018" s="27">
        <f t="shared" si="123"/>
        <v>10.11605158</v>
      </c>
      <c r="P1018" s="28">
        <f t="shared" si="124"/>
        <v>0</v>
      </c>
    </row>
    <row r="1019" hidden="1">
      <c r="A1019" s="59" t="s">
        <v>1580</v>
      </c>
      <c r="B1019" s="121"/>
      <c r="C1019" s="18"/>
      <c r="D1019" s="4"/>
      <c r="E1019" s="19">
        <v>0.0</v>
      </c>
      <c r="F1019" s="19"/>
      <c r="G1019" s="20" t="s">
        <v>57</v>
      </c>
      <c r="H1019" s="21"/>
      <c r="I1019" s="22"/>
      <c r="J1019" s="29"/>
      <c r="K1019" s="32">
        <v>4498.0</v>
      </c>
      <c r="L1019" s="24">
        <v>50000.0</v>
      </c>
      <c r="M1019" s="25"/>
      <c r="N1019" s="39"/>
      <c r="O1019" s="27">
        <f t="shared" si="123"/>
        <v>10.11605158</v>
      </c>
      <c r="P1019" s="28">
        <f t="shared" si="124"/>
        <v>0</v>
      </c>
    </row>
    <row r="1020" hidden="1">
      <c r="A1020" s="16" t="s">
        <v>1581</v>
      </c>
      <c r="B1020" s="36" t="s">
        <v>1582</v>
      </c>
      <c r="C1020" s="18" t="s">
        <v>1572</v>
      </c>
      <c r="D1020" s="4"/>
      <c r="E1020" s="19"/>
      <c r="F1020" s="19"/>
      <c r="G1020" s="16" t="s">
        <v>1583</v>
      </c>
      <c r="H1020" s="21"/>
      <c r="I1020" s="22"/>
      <c r="J1020" s="23"/>
      <c r="K1020" s="55">
        <v>520000.0</v>
      </c>
      <c r="L1020" s="55">
        <v>590000.0</v>
      </c>
      <c r="M1020" s="25"/>
      <c r="N1020" s="102">
        <v>540000.0</v>
      </c>
      <c r="O1020" s="27">
        <f t="shared" si="123"/>
        <v>0.1346153846</v>
      </c>
      <c r="P1020" s="28">
        <f>K1020*F1021</f>
        <v>355667676000</v>
      </c>
    </row>
    <row r="1021" hidden="1">
      <c r="A1021" s="16" t="s">
        <v>1584</v>
      </c>
      <c r="B1021" s="36" t="s">
        <v>1585</v>
      </c>
      <c r="C1021" s="18" t="s">
        <v>1572</v>
      </c>
      <c r="D1021" s="4"/>
      <c r="E1021" s="19" t="s">
        <v>1250</v>
      </c>
      <c r="F1021" s="19">
        <f>574770*1.19</f>
        <v>683976.3</v>
      </c>
      <c r="G1021" s="16" t="s">
        <v>1583</v>
      </c>
      <c r="H1021" s="21"/>
      <c r="I1021" s="22"/>
      <c r="J1021" s="23"/>
      <c r="K1021" s="55">
        <f>574770*1.19</f>
        <v>683976.3</v>
      </c>
      <c r="L1021" s="55">
        <v>780000.0</v>
      </c>
      <c r="M1021" s="25"/>
      <c r="N1021" s="102">
        <v>720000.0</v>
      </c>
      <c r="O1021" s="27">
        <f t="shared" si="123"/>
        <v>0.1403903907</v>
      </c>
      <c r="P1021" s="28" t="str">
        <f>K1021*#REF!</f>
        <v>#REF!</v>
      </c>
    </row>
    <row r="1022" hidden="1">
      <c r="A1022" s="16" t="s">
        <v>1586</v>
      </c>
      <c r="B1022" s="49"/>
      <c r="C1022" s="18"/>
      <c r="D1022" s="4" t="s">
        <v>998</v>
      </c>
      <c r="E1022" s="19">
        <v>0.0</v>
      </c>
      <c r="F1022" s="19">
        <v>2.0</v>
      </c>
      <c r="G1022" s="20" t="s">
        <v>254</v>
      </c>
      <c r="H1022" s="21"/>
      <c r="I1022" s="22">
        <v>0.0</v>
      </c>
      <c r="J1022" s="23"/>
      <c r="K1022" s="24">
        <f>235000*1.19</f>
        <v>279650</v>
      </c>
      <c r="L1022" s="32">
        <v>380000.0</v>
      </c>
      <c r="M1022" s="25"/>
      <c r="N1022" s="39"/>
      <c r="O1022" s="27">
        <f t="shared" si="123"/>
        <v>0.3588414089</v>
      </c>
      <c r="P1022" s="28">
        <f t="shared" ref="P1022:P1039" si="125">K1022*F1022</f>
        <v>559300</v>
      </c>
    </row>
    <row r="1023" hidden="1">
      <c r="A1023" s="16" t="s">
        <v>1587</v>
      </c>
      <c r="B1023" s="49"/>
      <c r="C1023" s="18"/>
      <c r="D1023" s="4" t="s">
        <v>998</v>
      </c>
      <c r="E1023" s="19">
        <v>0.0</v>
      </c>
      <c r="F1023" s="19">
        <v>15.0</v>
      </c>
      <c r="G1023" s="20" t="s">
        <v>254</v>
      </c>
      <c r="H1023" s="21"/>
      <c r="I1023" s="22">
        <v>0.0</v>
      </c>
      <c r="J1023" s="23"/>
      <c r="K1023" s="24">
        <f t="shared" ref="K1023:K1024" si="126">245000*1.19</f>
        <v>291550</v>
      </c>
      <c r="L1023" s="32">
        <v>380000.0</v>
      </c>
      <c r="M1023" s="25"/>
      <c r="N1023" s="39"/>
      <c r="O1023" s="27">
        <f t="shared" si="123"/>
        <v>0.3033784943</v>
      </c>
      <c r="P1023" s="28">
        <f t="shared" si="125"/>
        <v>4373250</v>
      </c>
    </row>
    <row r="1024" hidden="1">
      <c r="A1024" s="16" t="s">
        <v>1588</v>
      </c>
      <c r="B1024" s="49"/>
      <c r="C1024" s="223" t="s">
        <v>1589</v>
      </c>
      <c r="D1024" s="4" t="s">
        <v>998</v>
      </c>
      <c r="E1024" s="19">
        <v>0.0</v>
      </c>
      <c r="F1024" s="19">
        <v>2.0</v>
      </c>
      <c r="G1024" s="20" t="s">
        <v>254</v>
      </c>
      <c r="H1024" s="21"/>
      <c r="I1024" s="22">
        <v>0.0</v>
      </c>
      <c r="J1024" s="23"/>
      <c r="K1024" s="24">
        <f t="shared" si="126"/>
        <v>291550</v>
      </c>
      <c r="L1024" s="32">
        <v>380000.0</v>
      </c>
      <c r="M1024" s="25"/>
      <c r="N1024" s="39"/>
      <c r="O1024" s="27">
        <f t="shared" si="123"/>
        <v>0.3033784943</v>
      </c>
      <c r="P1024" s="28">
        <f t="shared" si="125"/>
        <v>583100</v>
      </c>
    </row>
    <row r="1025" hidden="1">
      <c r="A1025" s="16" t="s">
        <v>1590</v>
      </c>
      <c r="B1025" s="17"/>
      <c r="C1025" s="18"/>
      <c r="D1025" s="4" t="s">
        <v>676</v>
      </c>
      <c r="E1025" s="19">
        <v>0.0</v>
      </c>
      <c r="F1025" s="19">
        <v>20.0</v>
      </c>
      <c r="G1025" s="16" t="s">
        <v>588</v>
      </c>
      <c r="H1025" s="21"/>
      <c r="I1025" s="22">
        <v>4.0</v>
      </c>
      <c r="J1025" s="47">
        <v>45383.0</v>
      </c>
      <c r="K1025" s="43">
        <v>5435.0</v>
      </c>
      <c r="L1025" s="44">
        <v>10000.0</v>
      </c>
      <c r="M1025" s="25"/>
      <c r="N1025" s="39"/>
      <c r="O1025" s="27">
        <f t="shared" si="123"/>
        <v>0.8399264029</v>
      </c>
      <c r="P1025" s="28">
        <f t="shared" si="125"/>
        <v>108700</v>
      </c>
    </row>
    <row r="1026" hidden="1">
      <c r="A1026" s="16" t="s">
        <v>1591</v>
      </c>
      <c r="B1026" s="16" t="s">
        <v>1592</v>
      </c>
      <c r="C1026" s="18"/>
      <c r="D1026" s="4"/>
      <c r="E1026" s="19">
        <v>0.0</v>
      </c>
      <c r="F1026" s="19">
        <v>0.0</v>
      </c>
      <c r="G1026" s="16" t="s">
        <v>588</v>
      </c>
      <c r="H1026" s="21"/>
      <c r="I1026" s="22" t="s">
        <v>1593</v>
      </c>
      <c r="J1026" s="29"/>
      <c r="K1026" s="48">
        <v>9089.0</v>
      </c>
      <c r="L1026" s="55">
        <v>14000.0</v>
      </c>
      <c r="M1026" s="25"/>
      <c r="N1026" s="39"/>
      <c r="O1026" s="27">
        <f t="shared" si="123"/>
        <v>0.5403234679</v>
      </c>
      <c r="P1026" s="28">
        <f t="shared" si="125"/>
        <v>0</v>
      </c>
    </row>
    <row r="1027" hidden="1">
      <c r="A1027" s="16" t="s">
        <v>1594</v>
      </c>
      <c r="B1027" s="16" t="s">
        <v>1595</v>
      </c>
      <c r="C1027" s="18"/>
      <c r="D1027" s="4"/>
      <c r="E1027" s="19">
        <v>0.0</v>
      </c>
      <c r="F1027" s="19">
        <v>0.0</v>
      </c>
      <c r="G1027" s="16" t="s">
        <v>588</v>
      </c>
      <c r="H1027" s="21"/>
      <c r="I1027" s="22">
        <v>0.0</v>
      </c>
      <c r="J1027" s="29"/>
      <c r="K1027" s="43">
        <v>7429.0</v>
      </c>
      <c r="L1027" s="44">
        <v>12000.0</v>
      </c>
      <c r="M1027" s="25"/>
      <c r="N1027" s="39"/>
      <c r="O1027" s="27">
        <f t="shared" si="123"/>
        <v>0.6152914255</v>
      </c>
      <c r="P1027" s="28">
        <f t="shared" si="125"/>
        <v>0</v>
      </c>
    </row>
    <row r="1028" hidden="1">
      <c r="A1028" s="16" t="s">
        <v>1596</v>
      </c>
      <c r="B1028" s="36"/>
      <c r="C1028" s="18"/>
      <c r="D1028" s="4"/>
      <c r="E1028" s="19">
        <v>0.0</v>
      </c>
      <c r="F1028" s="19"/>
      <c r="G1028" s="16" t="s">
        <v>57</v>
      </c>
      <c r="H1028" s="21"/>
      <c r="I1028" s="22"/>
      <c r="J1028" s="45"/>
      <c r="K1028" s="172">
        <v>1.0</v>
      </c>
      <c r="L1028" s="44">
        <v>1.0</v>
      </c>
      <c r="M1028" s="25" t="s">
        <v>82</v>
      </c>
      <c r="N1028" s="39"/>
      <c r="O1028" s="27">
        <f t="shared" si="123"/>
        <v>0</v>
      </c>
      <c r="P1028" s="28">
        <f t="shared" si="125"/>
        <v>0</v>
      </c>
    </row>
    <row r="1029" hidden="1">
      <c r="A1029" s="16" t="s">
        <v>1597</v>
      </c>
      <c r="B1029" s="157"/>
      <c r="C1029" s="92"/>
      <c r="D1029" s="4"/>
      <c r="E1029" s="19">
        <v>0.0</v>
      </c>
      <c r="F1029" s="19">
        <v>0.0</v>
      </c>
      <c r="G1029" s="137" t="s">
        <v>585</v>
      </c>
      <c r="H1029" s="21"/>
      <c r="I1029" s="22"/>
      <c r="J1029" s="29"/>
      <c r="K1029" s="48">
        <v>33700.0</v>
      </c>
      <c r="L1029" s="55">
        <v>44000.0</v>
      </c>
      <c r="M1029" s="25"/>
      <c r="N1029" s="102"/>
      <c r="O1029" s="27">
        <f t="shared" si="123"/>
        <v>0.3056379822</v>
      </c>
      <c r="P1029" s="28">
        <f t="shared" si="125"/>
        <v>0</v>
      </c>
    </row>
    <row r="1030" hidden="1">
      <c r="A1030" s="16" t="s">
        <v>1598</v>
      </c>
      <c r="B1030" s="157"/>
      <c r="C1030" s="92"/>
      <c r="D1030" s="4"/>
      <c r="E1030" s="19">
        <v>0.0</v>
      </c>
      <c r="F1030" s="19">
        <v>0.0</v>
      </c>
      <c r="G1030" s="137" t="s">
        <v>585</v>
      </c>
      <c r="H1030" s="21"/>
      <c r="I1030" s="22"/>
      <c r="J1030" s="29"/>
      <c r="K1030" s="48">
        <v>33700.0</v>
      </c>
      <c r="L1030" s="55">
        <v>44000.0</v>
      </c>
      <c r="M1030" s="25"/>
      <c r="N1030" s="102"/>
      <c r="O1030" s="27">
        <f t="shared" si="123"/>
        <v>0.3056379822</v>
      </c>
      <c r="P1030" s="28">
        <f t="shared" si="125"/>
        <v>0</v>
      </c>
    </row>
    <row r="1031" hidden="1">
      <c r="A1031" s="16" t="s">
        <v>1599</v>
      </c>
      <c r="B1031" s="157"/>
      <c r="C1031" s="92"/>
      <c r="D1031" s="4"/>
      <c r="E1031" s="19">
        <v>0.0</v>
      </c>
      <c r="F1031" s="19">
        <v>0.0</v>
      </c>
      <c r="G1031" s="137" t="s">
        <v>585</v>
      </c>
      <c r="H1031" s="21"/>
      <c r="I1031" s="22"/>
      <c r="J1031" s="29"/>
      <c r="K1031" s="48">
        <v>33700.0</v>
      </c>
      <c r="L1031" s="55">
        <v>44000.0</v>
      </c>
      <c r="M1031" s="25"/>
      <c r="N1031" s="102"/>
      <c r="O1031" s="27">
        <f t="shared" si="123"/>
        <v>0.3056379822</v>
      </c>
      <c r="P1031" s="28">
        <f t="shared" si="125"/>
        <v>0</v>
      </c>
    </row>
    <row r="1032" hidden="1">
      <c r="A1032" s="16" t="s">
        <v>1600</v>
      </c>
      <c r="B1032" s="17"/>
      <c r="C1032" s="18" t="s">
        <v>1601</v>
      </c>
      <c r="D1032" s="4"/>
      <c r="E1032" s="19">
        <v>0.0</v>
      </c>
      <c r="F1032" s="19">
        <v>0.0</v>
      </c>
      <c r="G1032" s="16" t="s">
        <v>1551</v>
      </c>
      <c r="H1032" s="21"/>
      <c r="I1032" s="22"/>
      <c r="J1032" s="29"/>
      <c r="K1032" s="44">
        <v>220000.0</v>
      </c>
      <c r="L1032" s="44">
        <v>220000.0</v>
      </c>
      <c r="M1032" s="25"/>
      <c r="N1032" s="26"/>
      <c r="O1032" s="27">
        <f t="shared" si="123"/>
        <v>0</v>
      </c>
      <c r="P1032" s="28">
        <f t="shared" si="125"/>
        <v>0</v>
      </c>
    </row>
    <row r="1033" hidden="1">
      <c r="A1033" s="16" t="s">
        <v>1602</v>
      </c>
      <c r="B1033" s="17"/>
      <c r="C1033" s="18"/>
      <c r="D1033" s="4"/>
      <c r="E1033" s="19">
        <v>0.0</v>
      </c>
      <c r="F1033" s="19">
        <v>0.0</v>
      </c>
      <c r="G1033" s="16" t="s">
        <v>16</v>
      </c>
      <c r="H1033" s="21"/>
      <c r="I1033" s="22" t="s">
        <v>1603</v>
      </c>
      <c r="J1033" s="29"/>
      <c r="K1033" s="32">
        <v>38000.0</v>
      </c>
      <c r="L1033" s="24">
        <v>80000.0</v>
      </c>
      <c r="M1033" s="25"/>
      <c r="N1033" s="26"/>
      <c r="O1033" s="27">
        <f t="shared" si="123"/>
        <v>1.105263158</v>
      </c>
      <c r="P1033" s="28">
        <f t="shared" si="125"/>
        <v>0</v>
      </c>
    </row>
    <row r="1034" hidden="1">
      <c r="A1034" s="59" t="s">
        <v>1604</v>
      </c>
      <c r="B1034" s="121"/>
      <c r="C1034" s="18" t="s">
        <v>547</v>
      </c>
      <c r="D1034" s="4"/>
      <c r="E1034" s="19">
        <v>0.0</v>
      </c>
      <c r="F1034" s="19"/>
      <c r="G1034" s="20" t="s">
        <v>57</v>
      </c>
      <c r="H1034" s="21"/>
      <c r="I1034" s="22"/>
      <c r="J1034" s="29"/>
      <c r="K1034" s="43"/>
      <c r="L1034" s="44"/>
      <c r="M1034" s="25"/>
      <c r="N1034" s="26"/>
      <c r="O1034" s="27" t="str">
        <f t="shared" si="123"/>
        <v>#DIV/0!</v>
      </c>
      <c r="P1034" s="28">
        <f t="shared" si="125"/>
        <v>0</v>
      </c>
    </row>
    <row r="1035" hidden="1">
      <c r="A1035" s="59" t="s">
        <v>1605</v>
      </c>
      <c r="B1035" s="121"/>
      <c r="C1035" s="18" t="s">
        <v>547</v>
      </c>
      <c r="D1035" s="4"/>
      <c r="E1035" s="19">
        <v>0.0</v>
      </c>
      <c r="F1035" s="19"/>
      <c r="G1035" s="20" t="s">
        <v>57</v>
      </c>
      <c r="H1035" s="21"/>
      <c r="I1035" s="22"/>
      <c r="J1035" s="29"/>
      <c r="K1035" s="43"/>
      <c r="L1035" s="44"/>
      <c r="M1035" s="25"/>
      <c r="N1035" s="26"/>
      <c r="O1035" s="27" t="str">
        <f t="shared" si="123"/>
        <v>#DIV/0!</v>
      </c>
      <c r="P1035" s="28">
        <f t="shared" si="125"/>
        <v>0</v>
      </c>
    </row>
    <row r="1036" hidden="1">
      <c r="A1036" s="16" t="s">
        <v>1606</v>
      </c>
      <c r="B1036" s="17"/>
      <c r="C1036" s="18" t="s">
        <v>1607</v>
      </c>
      <c r="D1036" s="4"/>
      <c r="E1036" s="19">
        <v>0.0</v>
      </c>
      <c r="F1036" s="19">
        <v>0.0</v>
      </c>
      <c r="G1036" s="16" t="s">
        <v>1608</v>
      </c>
      <c r="H1036" s="21"/>
      <c r="I1036" s="22">
        <v>0.0</v>
      </c>
      <c r="J1036" s="29"/>
      <c r="K1036" s="43">
        <f>180672*1.19*0.85</f>
        <v>182749.728</v>
      </c>
      <c r="L1036" s="44">
        <v>270000.0</v>
      </c>
      <c r="M1036" s="25"/>
      <c r="N1036" s="50"/>
      <c r="O1036" s="27">
        <f t="shared" si="123"/>
        <v>0.4774303795</v>
      </c>
      <c r="P1036" s="28">
        <f t="shared" si="125"/>
        <v>0</v>
      </c>
    </row>
    <row r="1037" hidden="1">
      <c r="A1037" s="42" t="s">
        <v>1609</v>
      </c>
      <c r="B1037" s="36"/>
      <c r="C1037" s="18"/>
      <c r="D1037" s="4"/>
      <c r="E1037" s="19">
        <v>0.0</v>
      </c>
      <c r="F1037" s="19">
        <v>0.0</v>
      </c>
      <c r="G1037" s="16" t="s">
        <v>84</v>
      </c>
      <c r="H1037" s="73"/>
      <c r="I1037" s="22">
        <v>0.0</v>
      </c>
      <c r="J1037" s="74"/>
      <c r="K1037" s="44">
        <v>60000.0</v>
      </c>
      <c r="L1037" s="44">
        <v>60000.0</v>
      </c>
      <c r="M1037" s="25"/>
      <c r="N1037" s="26"/>
      <c r="O1037" s="27">
        <f t="shared" si="123"/>
        <v>0</v>
      </c>
      <c r="P1037" s="28">
        <f t="shared" si="125"/>
        <v>0</v>
      </c>
    </row>
    <row r="1038" hidden="1">
      <c r="A1038" s="16" t="s">
        <v>1610</v>
      </c>
      <c r="B1038" s="17"/>
      <c r="C1038" s="18"/>
      <c r="D1038" s="4"/>
      <c r="E1038" s="19">
        <v>0.0</v>
      </c>
      <c r="F1038" s="19">
        <v>0.0</v>
      </c>
      <c r="G1038" s="16" t="s">
        <v>580</v>
      </c>
      <c r="H1038" s="21"/>
      <c r="I1038" s="22">
        <v>3.0</v>
      </c>
      <c r="J1038" s="29"/>
      <c r="K1038" s="43">
        <v>60000.0</v>
      </c>
      <c r="L1038" s="44">
        <v>110000.0</v>
      </c>
      <c r="M1038" s="25"/>
      <c r="N1038" s="69"/>
      <c r="O1038" s="27">
        <f t="shared" si="123"/>
        <v>0.8333333333</v>
      </c>
      <c r="P1038" s="28">
        <f t="shared" si="125"/>
        <v>0</v>
      </c>
    </row>
    <row r="1039" hidden="1">
      <c r="A1039" s="16" t="s">
        <v>1611</v>
      </c>
      <c r="B1039" s="17"/>
      <c r="C1039" s="18"/>
      <c r="D1039" s="4" t="s">
        <v>796</v>
      </c>
      <c r="E1039" s="19">
        <v>0.0</v>
      </c>
      <c r="F1039" s="19">
        <v>20.0</v>
      </c>
      <c r="G1039" s="16" t="s">
        <v>16</v>
      </c>
      <c r="H1039" s="21"/>
      <c r="I1039" s="22">
        <v>6.0</v>
      </c>
      <c r="J1039" s="29"/>
      <c r="K1039" s="43">
        <v>13438.0</v>
      </c>
      <c r="L1039" s="44">
        <v>40000.0</v>
      </c>
      <c r="M1039" s="25"/>
      <c r="N1039" s="26"/>
      <c r="O1039" s="27">
        <f t="shared" si="123"/>
        <v>1.976633428</v>
      </c>
      <c r="P1039" s="28">
        <f t="shared" si="125"/>
        <v>268760</v>
      </c>
    </row>
    <row r="1040" hidden="1">
      <c r="A1040" s="16" t="s">
        <v>1612</v>
      </c>
      <c r="B1040" s="36" t="s">
        <v>1613</v>
      </c>
      <c r="C1040" s="18"/>
      <c r="D1040" s="4"/>
      <c r="E1040" s="19"/>
      <c r="F1040" s="19"/>
      <c r="G1040" s="16" t="s">
        <v>1614</v>
      </c>
      <c r="H1040" s="21">
        <v>0.0</v>
      </c>
      <c r="I1040" s="22"/>
      <c r="J1040" s="29"/>
      <c r="K1040" s="32">
        <f>86900*1.19</f>
        <v>103411</v>
      </c>
      <c r="L1040" s="32">
        <v>150000.0</v>
      </c>
      <c r="M1040" s="25"/>
      <c r="N1040" s="26">
        <v>148000.0</v>
      </c>
      <c r="O1040" s="27">
        <f t="shared" si="123"/>
        <v>0.4505226717</v>
      </c>
      <c r="P1040" s="28"/>
    </row>
    <row r="1041" hidden="1">
      <c r="A1041" s="16" t="s">
        <v>1615</v>
      </c>
      <c r="B1041" s="36" t="s">
        <v>1616</v>
      </c>
      <c r="C1041" s="18"/>
      <c r="D1041" s="4"/>
      <c r="E1041" s="19"/>
      <c r="F1041" s="19"/>
      <c r="G1041" s="16" t="s">
        <v>1614</v>
      </c>
      <c r="H1041" s="21">
        <v>0.0</v>
      </c>
      <c r="I1041" s="22"/>
      <c r="J1041" s="29"/>
      <c r="K1041" s="32">
        <v>84500.0</v>
      </c>
      <c r="L1041" s="32">
        <v>130000.0</v>
      </c>
      <c r="M1041" s="25"/>
      <c r="N1041" s="26">
        <v>110000.0</v>
      </c>
      <c r="O1041" s="27">
        <f t="shared" si="123"/>
        <v>0.5384615385</v>
      </c>
      <c r="P1041" s="28"/>
    </row>
    <row r="1042" hidden="1">
      <c r="A1042" s="16" t="s">
        <v>1617</v>
      </c>
      <c r="B1042" s="17"/>
      <c r="C1042" s="18"/>
      <c r="D1042" s="4"/>
      <c r="E1042" s="19">
        <v>0.0</v>
      </c>
      <c r="F1042" s="19">
        <v>0.0</v>
      </c>
      <c r="G1042" s="16" t="s">
        <v>580</v>
      </c>
      <c r="H1042" s="21"/>
      <c r="I1042" s="22">
        <v>6.0</v>
      </c>
      <c r="J1042" s="29"/>
      <c r="K1042" s="43">
        <v>60000.0</v>
      </c>
      <c r="L1042" s="44">
        <v>110000.0</v>
      </c>
      <c r="M1042" s="25"/>
      <c r="N1042" s="69"/>
      <c r="O1042" s="27">
        <f t="shared" si="123"/>
        <v>0.8333333333</v>
      </c>
      <c r="P1042" s="28">
        <f t="shared" ref="P1042:P1045" si="127">K1042*F1042</f>
        <v>0</v>
      </c>
    </row>
    <row r="1043" hidden="1">
      <c r="A1043" s="16" t="s">
        <v>1618</v>
      </c>
      <c r="B1043" s="17"/>
      <c r="C1043" s="18"/>
      <c r="D1043" s="4"/>
      <c r="E1043" s="19"/>
      <c r="F1043" s="19"/>
      <c r="G1043" s="16" t="s">
        <v>1619</v>
      </c>
      <c r="H1043" s="21">
        <v>0.0</v>
      </c>
      <c r="I1043" s="22"/>
      <c r="J1043" s="29"/>
      <c r="K1043" s="43">
        <f>205882*1.19*0.85</f>
        <v>208249.643</v>
      </c>
      <c r="L1043" s="44">
        <v>270000.0</v>
      </c>
      <c r="M1043" s="25"/>
      <c r="N1043" s="50"/>
      <c r="O1043" s="27">
        <f t="shared" si="123"/>
        <v>0.2965208301</v>
      </c>
      <c r="P1043" s="28">
        <f t="shared" si="127"/>
        <v>0</v>
      </c>
    </row>
    <row r="1044" hidden="1">
      <c r="A1044" s="16" t="s">
        <v>1620</v>
      </c>
      <c r="B1044" s="17"/>
      <c r="C1044" s="18"/>
      <c r="D1044" s="4"/>
      <c r="E1044" s="19">
        <v>0.0</v>
      </c>
      <c r="F1044" s="19">
        <v>0.0</v>
      </c>
      <c r="G1044" s="16" t="s">
        <v>580</v>
      </c>
      <c r="H1044" s="21"/>
      <c r="I1044" s="22">
        <v>3.0</v>
      </c>
      <c r="J1044" s="29"/>
      <c r="K1044" s="43">
        <v>110000.0</v>
      </c>
      <c r="L1044" s="44">
        <v>180000.0</v>
      </c>
      <c r="M1044" s="25"/>
      <c r="N1044" s="69"/>
      <c r="O1044" s="27">
        <f t="shared" si="123"/>
        <v>0.6363636364</v>
      </c>
      <c r="P1044" s="28">
        <f t="shared" si="127"/>
        <v>0</v>
      </c>
    </row>
    <row r="1045" hidden="1">
      <c r="A1045" s="16" t="s">
        <v>1621</v>
      </c>
      <c r="B1045" s="17"/>
      <c r="C1045" s="18"/>
      <c r="D1045" s="4"/>
      <c r="E1045" s="19">
        <v>0.0</v>
      </c>
      <c r="F1045" s="19">
        <v>0.0</v>
      </c>
      <c r="G1045" s="16" t="s">
        <v>580</v>
      </c>
      <c r="H1045" s="21"/>
      <c r="I1045" s="22">
        <v>5.0</v>
      </c>
      <c r="J1045" s="29"/>
      <c r="K1045" s="43">
        <v>21000.0</v>
      </c>
      <c r="L1045" s="44">
        <v>54000.0</v>
      </c>
      <c r="M1045" s="25"/>
      <c r="N1045" s="69"/>
      <c r="O1045" s="27">
        <f t="shared" si="123"/>
        <v>1.571428571</v>
      </c>
      <c r="P1045" s="28">
        <f t="shared" si="127"/>
        <v>0</v>
      </c>
    </row>
    <row r="1046" hidden="1">
      <c r="A1046" s="16" t="s">
        <v>1622</v>
      </c>
      <c r="B1046" s="49"/>
      <c r="C1046" s="64"/>
      <c r="D1046" s="4"/>
      <c r="E1046" s="19"/>
      <c r="F1046" s="19"/>
      <c r="G1046" s="20" t="s">
        <v>98</v>
      </c>
      <c r="H1046" s="21">
        <v>0.0</v>
      </c>
      <c r="I1046" s="22"/>
      <c r="J1046" s="29"/>
      <c r="K1046" s="43"/>
      <c r="L1046" s="44"/>
      <c r="M1046" s="25"/>
      <c r="N1046" s="70"/>
      <c r="O1046" s="27"/>
      <c r="P1046" s="28"/>
    </row>
    <row r="1047" hidden="1">
      <c r="A1047" s="16" t="s">
        <v>1623</v>
      </c>
      <c r="B1047" s="49"/>
      <c r="C1047" s="64"/>
      <c r="D1047" s="4"/>
      <c r="E1047" s="19"/>
      <c r="F1047" s="19"/>
      <c r="G1047" s="20" t="s">
        <v>98</v>
      </c>
      <c r="H1047" s="21">
        <v>0.0</v>
      </c>
      <c r="I1047" s="22"/>
      <c r="J1047" s="29"/>
      <c r="K1047" s="43">
        <v>400000.0</v>
      </c>
      <c r="L1047" s="44">
        <v>479000.0</v>
      </c>
      <c r="M1047" s="25"/>
      <c r="N1047" s="70"/>
      <c r="O1047" s="27">
        <f t="shared" ref="O1047:O1063" si="128">(L1047/K1047)-1</f>
        <v>0.1975</v>
      </c>
      <c r="P1047" s="28">
        <f t="shared" ref="P1047:P1059" si="129">K1047*F1047</f>
        <v>0</v>
      </c>
    </row>
    <row r="1048" hidden="1">
      <c r="A1048" s="224" t="s">
        <v>1624</v>
      </c>
      <c r="B1048" s="36"/>
      <c r="C1048" s="18" t="s">
        <v>1572</v>
      </c>
      <c r="D1048" s="4"/>
      <c r="E1048" s="19">
        <v>0.0</v>
      </c>
      <c r="F1048" s="19">
        <v>0.0</v>
      </c>
      <c r="G1048" s="16" t="s">
        <v>1210</v>
      </c>
      <c r="H1048" s="21"/>
      <c r="I1048" s="22">
        <v>0.0</v>
      </c>
      <c r="J1048" s="29"/>
      <c r="K1048" s="48">
        <v>226900.0</v>
      </c>
      <c r="L1048" s="55">
        <v>290000.0</v>
      </c>
      <c r="M1048" s="25"/>
      <c r="N1048" s="26"/>
      <c r="O1048" s="27">
        <f t="shared" si="128"/>
        <v>0.2780960776</v>
      </c>
      <c r="P1048" s="28">
        <f t="shared" si="129"/>
        <v>0</v>
      </c>
    </row>
    <row r="1049" hidden="1">
      <c r="A1049" s="16" t="s">
        <v>1625</v>
      </c>
      <c r="B1049" s="36"/>
      <c r="C1049" s="18" t="s">
        <v>1572</v>
      </c>
      <c r="D1049" s="61"/>
      <c r="E1049" s="19"/>
      <c r="F1049" s="19"/>
      <c r="G1049" s="16" t="s">
        <v>1626</v>
      </c>
      <c r="H1049" s="21"/>
      <c r="I1049" s="22"/>
      <c r="J1049" s="29">
        <v>280.0</v>
      </c>
      <c r="K1049" s="48">
        <f>180000+91000</f>
        <v>271000</v>
      </c>
      <c r="L1049" s="55">
        <v>280000.0</v>
      </c>
      <c r="M1049" s="25"/>
      <c r="N1049" s="43">
        <v>270000.0</v>
      </c>
      <c r="O1049" s="27">
        <f t="shared" si="128"/>
        <v>0.0332103321</v>
      </c>
      <c r="P1049" s="28">
        <f t="shared" si="129"/>
        <v>0</v>
      </c>
    </row>
    <row r="1050" hidden="1">
      <c r="A1050" s="16" t="s">
        <v>1627</v>
      </c>
      <c r="B1050" s="36"/>
      <c r="C1050" s="18" t="s">
        <v>1572</v>
      </c>
      <c r="D1050" s="61"/>
      <c r="E1050" s="19"/>
      <c r="F1050" s="19"/>
      <c r="G1050" s="16" t="s">
        <v>1626</v>
      </c>
      <c r="H1050" s="21"/>
      <c r="I1050" s="22"/>
      <c r="J1050" s="29"/>
      <c r="K1050" s="48">
        <f>348480+87120+87120</f>
        <v>522720</v>
      </c>
      <c r="L1050" s="55">
        <v>650000.0</v>
      </c>
      <c r="M1050" s="25"/>
      <c r="N1050" s="26"/>
      <c r="O1050" s="27">
        <f t="shared" si="128"/>
        <v>0.2434955617</v>
      </c>
      <c r="P1050" s="28">
        <f t="shared" si="129"/>
        <v>0</v>
      </c>
    </row>
    <row r="1051" hidden="1">
      <c r="A1051" s="16" t="s">
        <v>1628</v>
      </c>
      <c r="B1051" s="36"/>
      <c r="C1051" s="18"/>
      <c r="D1051" s="4"/>
      <c r="E1051" s="19">
        <v>0.0</v>
      </c>
      <c r="F1051" s="19">
        <v>4.0</v>
      </c>
      <c r="G1051" s="16" t="s">
        <v>1400</v>
      </c>
      <c r="H1051" s="21"/>
      <c r="I1051" s="22"/>
      <c r="J1051" s="29"/>
      <c r="K1051" s="48">
        <v>178000.0</v>
      </c>
      <c r="L1051" s="55">
        <v>230000.0</v>
      </c>
      <c r="M1051" s="25"/>
      <c r="N1051" s="26"/>
      <c r="O1051" s="27">
        <f t="shared" si="128"/>
        <v>0.2921348315</v>
      </c>
      <c r="P1051" s="28">
        <f t="shared" si="129"/>
        <v>712000</v>
      </c>
    </row>
    <row r="1052" hidden="1">
      <c r="A1052" s="52" t="s">
        <v>1629</v>
      </c>
      <c r="B1052" s="17"/>
      <c r="C1052" s="18"/>
      <c r="D1052" s="4"/>
      <c r="E1052" s="19">
        <v>0.0</v>
      </c>
      <c r="F1052" s="19">
        <v>0.0</v>
      </c>
      <c r="G1052" s="16" t="s">
        <v>1630</v>
      </c>
      <c r="H1052" s="21"/>
      <c r="I1052" s="22">
        <v>1.0</v>
      </c>
      <c r="J1052" s="29"/>
      <c r="K1052" s="32">
        <v>60690.0</v>
      </c>
      <c r="L1052" s="24">
        <v>75000.0</v>
      </c>
      <c r="M1052" s="25"/>
      <c r="N1052" s="70"/>
      <c r="O1052" s="27">
        <f t="shared" si="128"/>
        <v>0.235788433</v>
      </c>
      <c r="P1052" s="200">
        <f t="shared" si="129"/>
        <v>0</v>
      </c>
    </row>
    <row r="1053" hidden="1">
      <c r="A1053" s="16" t="s">
        <v>1631</v>
      </c>
      <c r="B1053" s="36"/>
      <c r="C1053" s="18"/>
      <c r="D1053" s="4"/>
      <c r="E1053" s="19">
        <v>0.0</v>
      </c>
      <c r="F1053" s="19">
        <v>0.0</v>
      </c>
      <c r="G1053" s="16" t="s">
        <v>1400</v>
      </c>
      <c r="H1053" s="21"/>
      <c r="I1053" s="22"/>
      <c r="J1053" s="29"/>
      <c r="K1053" s="43">
        <v>417000.0</v>
      </c>
      <c r="L1053" s="44">
        <v>495000.0</v>
      </c>
      <c r="M1053" s="25"/>
      <c r="N1053" s="26"/>
      <c r="O1053" s="27">
        <f t="shared" si="128"/>
        <v>0.1870503597</v>
      </c>
      <c r="P1053" s="28">
        <f t="shared" si="129"/>
        <v>0</v>
      </c>
    </row>
    <row r="1054" hidden="1">
      <c r="A1054" s="118" t="s">
        <v>1632</v>
      </c>
      <c r="B1054" s="17"/>
      <c r="C1054" s="18"/>
      <c r="D1054" s="4"/>
      <c r="E1054" s="19">
        <v>0.0</v>
      </c>
      <c r="F1054" s="19">
        <v>0.0</v>
      </c>
      <c r="G1054" s="16" t="s">
        <v>437</v>
      </c>
      <c r="H1054" s="21"/>
      <c r="I1054" s="22">
        <v>67.0</v>
      </c>
      <c r="J1054" s="29"/>
      <c r="K1054" s="32">
        <v>4900.0</v>
      </c>
      <c r="L1054" s="24">
        <v>9000.0</v>
      </c>
      <c r="M1054" s="25"/>
      <c r="N1054" s="70"/>
      <c r="O1054" s="27">
        <f t="shared" si="128"/>
        <v>0.8367346939</v>
      </c>
      <c r="P1054" s="28">
        <f t="shared" si="129"/>
        <v>0</v>
      </c>
    </row>
    <row r="1055" hidden="1">
      <c r="A1055" s="16" t="s">
        <v>1633</v>
      </c>
      <c r="B1055" s="17"/>
      <c r="C1055" s="18"/>
      <c r="D1055" s="4"/>
      <c r="E1055" s="19">
        <v>0.0</v>
      </c>
      <c r="F1055" s="19"/>
      <c r="G1055" s="16" t="s">
        <v>57</v>
      </c>
      <c r="H1055" s="21"/>
      <c r="I1055" s="22"/>
      <c r="J1055" s="29"/>
      <c r="K1055" s="43">
        <v>214000.0</v>
      </c>
      <c r="L1055" s="44">
        <v>260000.0</v>
      </c>
      <c r="M1055" s="25"/>
      <c r="N1055" s="26"/>
      <c r="O1055" s="27">
        <f t="shared" si="128"/>
        <v>0.214953271</v>
      </c>
      <c r="P1055" s="28">
        <f t="shared" si="129"/>
        <v>0</v>
      </c>
    </row>
    <row r="1056" hidden="1">
      <c r="A1056" s="16" t="s">
        <v>1634</v>
      </c>
      <c r="B1056" s="36"/>
      <c r="C1056" s="18"/>
      <c r="D1056" s="4"/>
      <c r="E1056" s="19">
        <v>0.0</v>
      </c>
      <c r="F1056" s="19">
        <v>0.0</v>
      </c>
      <c r="G1056" s="16" t="s">
        <v>1635</v>
      </c>
      <c r="H1056" s="21"/>
      <c r="I1056" s="22">
        <v>3.0</v>
      </c>
      <c r="J1056" s="23"/>
      <c r="K1056" s="44">
        <f>91616*1.19</f>
        <v>109023.04</v>
      </c>
      <c r="L1056" s="44">
        <f t="shared" ref="L1056:L1058" si="130">18*8000</f>
        <v>144000</v>
      </c>
      <c r="M1056" s="25"/>
      <c r="N1056" s="26"/>
      <c r="O1056" s="27">
        <f t="shared" si="128"/>
        <v>0.3208217272</v>
      </c>
      <c r="P1056" s="28">
        <f t="shared" si="129"/>
        <v>0</v>
      </c>
    </row>
    <row r="1057" hidden="1">
      <c r="A1057" s="16" t="s">
        <v>1636</v>
      </c>
      <c r="B1057" s="36"/>
      <c r="C1057" s="18"/>
      <c r="D1057" s="4" t="s">
        <v>998</v>
      </c>
      <c r="E1057" s="19">
        <v>0.0</v>
      </c>
      <c r="F1057" s="19">
        <v>1.0</v>
      </c>
      <c r="G1057" s="16" t="s">
        <v>1635</v>
      </c>
      <c r="H1057" s="21"/>
      <c r="I1057" s="22">
        <v>2.0</v>
      </c>
      <c r="J1057" s="23"/>
      <c r="K1057" s="44">
        <f t="shared" ref="K1057:K1058" si="131">13628*8</f>
        <v>109024</v>
      </c>
      <c r="L1057" s="44">
        <f t="shared" si="130"/>
        <v>144000</v>
      </c>
      <c r="M1057" s="25"/>
      <c r="N1057" s="26"/>
      <c r="O1057" s="27">
        <f t="shared" si="128"/>
        <v>0.3208100969</v>
      </c>
      <c r="P1057" s="28">
        <f t="shared" si="129"/>
        <v>109024</v>
      </c>
    </row>
    <row r="1058" hidden="1">
      <c r="A1058" s="16" t="s">
        <v>1637</v>
      </c>
      <c r="B1058" s="36"/>
      <c r="C1058" s="18"/>
      <c r="D1058" s="4" t="s">
        <v>998</v>
      </c>
      <c r="E1058" s="19">
        <v>0.0</v>
      </c>
      <c r="F1058" s="19">
        <v>1.0</v>
      </c>
      <c r="G1058" s="16" t="s">
        <v>1635</v>
      </c>
      <c r="H1058" s="21"/>
      <c r="I1058" s="22">
        <v>2.0</v>
      </c>
      <c r="J1058" s="23"/>
      <c r="K1058" s="44">
        <f t="shared" si="131"/>
        <v>109024</v>
      </c>
      <c r="L1058" s="44">
        <f t="shared" si="130"/>
        <v>144000</v>
      </c>
      <c r="M1058" s="25"/>
      <c r="N1058" s="26"/>
      <c r="O1058" s="27">
        <f t="shared" si="128"/>
        <v>0.3208100969</v>
      </c>
      <c r="P1058" s="28">
        <f t="shared" si="129"/>
        <v>109024</v>
      </c>
    </row>
    <row r="1059" hidden="1">
      <c r="A1059" s="16" t="s">
        <v>1638</v>
      </c>
      <c r="B1059" s="17"/>
      <c r="C1059" s="18"/>
      <c r="D1059" s="4"/>
      <c r="E1059" s="19">
        <v>0.0</v>
      </c>
      <c r="F1059" s="19">
        <v>0.0</v>
      </c>
      <c r="G1059" s="16" t="s">
        <v>1639</v>
      </c>
      <c r="H1059" s="21"/>
      <c r="I1059" s="22" t="s">
        <v>99</v>
      </c>
      <c r="J1059" s="29"/>
      <c r="K1059" s="43">
        <v>110000.0</v>
      </c>
      <c r="L1059" s="44">
        <v>310000.0</v>
      </c>
      <c r="M1059" s="25"/>
      <c r="N1059" s="39"/>
      <c r="O1059" s="27">
        <f t="shared" si="128"/>
        <v>1.818181818</v>
      </c>
      <c r="P1059" s="28">
        <f t="shared" si="129"/>
        <v>0</v>
      </c>
    </row>
    <row r="1060" hidden="1">
      <c r="A1060" s="225" t="s">
        <v>1640</v>
      </c>
      <c r="B1060" s="17"/>
      <c r="C1060" s="18"/>
      <c r="D1060" s="4"/>
      <c r="E1060" s="19">
        <v>0.0</v>
      </c>
      <c r="F1060" s="19">
        <v>0.0</v>
      </c>
      <c r="G1060" s="16" t="s">
        <v>580</v>
      </c>
      <c r="H1060" s="21"/>
      <c r="I1060" s="22"/>
      <c r="J1060" s="29"/>
      <c r="K1060" s="30">
        <v>18497.79</v>
      </c>
      <c r="L1060" s="44">
        <v>55000.0</v>
      </c>
      <c r="M1060" s="25"/>
      <c r="N1060" s="69"/>
      <c r="O1060" s="27">
        <f t="shared" si="128"/>
        <v>1.973328165</v>
      </c>
      <c r="P1060" s="28"/>
    </row>
    <row r="1061" hidden="1">
      <c r="A1061" s="16" t="s">
        <v>1641</v>
      </c>
      <c r="B1061" s="126"/>
      <c r="C1061" s="18"/>
      <c r="D1061" s="4"/>
      <c r="E1061" s="19">
        <v>0.0</v>
      </c>
      <c r="F1061" s="19"/>
      <c r="G1061" s="16" t="s">
        <v>1642</v>
      </c>
      <c r="H1061" s="21"/>
      <c r="I1061" s="22"/>
      <c r="J1061" s="29"/>
      <c r="K1061" s="43">
        <f t="shared" ref="K1061:K1062" si="132">900</f>
        <v>900</v>
      </c>
      <c r="L1061" s="44">
        <v>4000.0</v>
      </c>
      <c r="M1061" s="25"/>
      <c r="N1061" s="26"/>
      <c r="O1061" s="27">
        <f t="shared" si="128"/>
        <v>3.444444444</v>
      </c>
      <c r="P1061" s="28">
        <f t="shared" ref="P1061:P1065" si="133">K1061*F1061</f>
        <v>0</v>
      </c>
    </row>
    <row r="1062" hidden="1">
      <c r="A1062" s="16" t="s">
        <v>1643</v>
      </c>
      <c r="B1062" s="167" t="s">
        <v>1644</v>
      </c>
      <c r="C1062" s="18"/>
      <c r="D1062" s="4"/>
      <c r="E1062" s="19">
        <v>0.0</v>
      </c>
      <c r="F1062" s="19"/>
      <c r="G1062" s="16" t="s">
        <v>1645</v>
      </c>
      <c r="H1062" s="21"/>
      <c r="I1062" s="22"/>
      <c r="J1062" s="29"/>
      <c r="K1062" s="43">
        <f t="shared" si="132"/>
        <v>900</v>
      </c>
      <c r="L1062" s="44">
        <v>4000.0</v>
      </c>
      <c r="M1062" s="25"/>
      <c r="N1062" s="26"/>
      <c r="O1062" s="27">
        <f t="shared" si="128"/>
        <v>3.444444444</v>
      </c>
      <c r="P1062" s="28">
        <f t="shared" si="133"/>
        <v>0</v>
      </c>
    </row>
    <row r="1063" hidden="1">
      <c r="A1063" s="16" t="s">
        <v>1646</v>
      </c>
      <c r="B1063" s="157" t="s">
        <v>1647</v>
      </c>
      <c r="C1063" s="18"/>
      <c r="D1063" s="4"/>
      <c r="E1063" s="19">
        <v>0.0</v>
      </c>
      <c r="F1063" s="19"/>
      <c r="G1063" s="16" t="s">
        <v>1642</v>
      </c>
      <c r="H1063" s="21"/>
      <c r="I1063" s="22"/>
      <c r="J1063" s="29"/>
      <c r="K1063" s="43">
        <f>9000/10</f>
        <v>900</v>
      </c>
      <c r="L1063" s="44">
        <v>4000.0</v>
      </c>
      <c r="M1063" s="25"/>
      <c r="N1063" s="26"/>
      <c r="O1063" s="27">
        <f t="shared" si="128"/>
        <v>3.444444444</v>
      </c>
      <c r="P1063" s="28">
        <f t="shared" si="133"/>
        <v>0</v>
      </c>
    </row>
    <row r="1064" hidden="1">
      <c r="A1064" s="16" t="s">
        <v>1648</v>
      </c>
      <c r="B1064" s="17" t="s">
        <v>1649</v>
      </c>
      <c r="C1064" s="18"/>
      <c r="D1064" s="19"/>
      <c r="E1064" s="19">
        <v>0.0</v>
      </c>
      <c r="F1064" s="19">
        <v>0.0</v>
      </c>
      <c r="G1064" s="16" t="s">
        <v>1650</v>
      </c>
      <c r="H1064" s="21"/>
      <c r="I1064" s="22">
        <v>2.0</v>
      </c>
      <c r="J1064" s="47">
        <v>46113.0</v>
      </c>
      <c r="K1064" s="48">
        <v>395304.0</v>
      </c>
      <c r="L1064" s="55">
        <v>495000.0</v>
      </c>
      <c r="M1064" s="25"/>
      <c r="N1064" s="26">
        <v>440000.0</v>
      </c>
      <c r="O1064" s="27">
        <f t="shared" ref="O1064:O1065" si="134">(L1064/K1064)-1</f>
        <v>0.2522008378</v>
      </c>
      <c r="P1064" s="28">
        <f t="shared" si="133"/>
        <v>0</v>
      </c>
    </row>
    <row r="1065" hidden="1">
      <c r="A1065" s="16" t="s">
        <v>1651</v>
      </c>
      <c r="B1065" s="17"/>
      <c r="C1065" s="18"/>
      <c r="D1065" s="4"/>
      <c r="E1065" s="19">
        <v>0.0</v>
      </c>
      <c r="F1065" s="19">
        <v>0.0</v>
      </c>
      <c r="G1065" s="16" t="s">
        <v>1650</v>
      </c>
      <c r="H1065" s="21"/>
      <c r="I1065" s="22"/>
      <c r="J1065" s="29"/>
      <c r="K1065" s="48">
        <f>495000/8</f>
        <v>61875</v>
      </c>
      <c r="L1065" s="55">
        <v>70000.0</v>
      </c>
      <c r="M1065" s="25"/>
      <c r="N1065" s="26"/>
      <c r="O1065" s="27">
        <f t="shared" si="134"/>
        <v>0.1313131313</v>
      </c>
      <c r="P1065" s="28">
        <f t="shared" si="133"/>
        <v>0</v>
      </c>
    </row>
    <row r="1066" hidden="1">
      <c r="A1066" s="16" t="s">
        <v>1652</v>
      </c>
      <c r="B1066" s="17"/>
      <c r="C1066" s="18"/>
      <c r="D1066" s="4"/>
      <c r="E1066" s="19">
        <v>0.0</v>
      </c>
      <c r="F1066" s="19">
        <v>0.0</v>
      </c>
      <c r="G1066" s="16" t="s">
        <v>400</v>
      </c>
      <c r="H1066" s="21"/>
      <c r="I1066" s="22">
        <v>3.0</v>
      </c>
      <c r="J1066" s="29"/>
      <c r="K1066" s="48">
        <v>136000.0</v>
      </c>
      <c r="L1066" s="55">
        <v>460000.0</v>
      </c>
      <c r="M1066" s="25"/>
      <c r="N1066" s="26"/>
      <c r="O1066" s="27">
        <f t="shared" ref="O1066:O1072" si="135">(L1066/K1066)-1</f>
        <v>2.382352941</v>
      </c>
      <c r="P1066" s="28"/>
    </row>
    <row r="1067" hidden="1">
      <c r="A1067" s="16" t="s">
        <v>1653</v>
      </c>
      <c r="B1067" s="17"/>
      <c r="C1067" s="18"/>
      <c r="D1067" s="4"/>
      <c r="E1067" s="19">
        <v>0.0</v>
      </c>
      <c r="F1067" s="19">
        <v>1.0</v>
      </c>
      <c r="G1067" s="16" t="s">
        <v>154</v>
      </c>
      <c r="H1067" s="21"/>
      <c r="I1067" s="22">
        <v>0.0</v>
      </c>
      <c r="J1067" s="29"/>
      <c r="K1067" s="48">
        <v>743000.0</v>
      </c>
      <c r="L1067" s="55">
        <v>1050000.0</v>
      </c>
      <c r="M1067" s="25"/>
      <c r="N1067" s="26"/>
      <c r="O1067" s="27">
        <f t="shared" si="135"/>
        <v>0.4131897712</v>
      </c>
      <c r="P1067" s="28"/>
    </row>
    <row r="1068" hidden="1">
      <c r="A1068" s="16" t="s">
        <v>1654</v>
      </c>
      <c r="B1068" s="17"/>
      <c r="C1068" s="18"/>
      <c r="D1068" s="4"/>
      <c r="E1068" s="19">
        <v>0.0</v>
      </c>
      <c r="F1068" s="19">
        <v>0.0</v>
      </c>
      <c r="G1068" s="16" t="s">
        <v>154</v>
      </c>
      <c r="H1068" s="21"/>
      <c r="I1068" s="22">
        <v>1.0</v>
      </c>
      <c r="J1068" s="29"/>
      <c r="K1068" s="48">
        <v>384000.0</v>
      </c>
      <c r="L1068" s="55">
        <v>540000.0</v>
      </c>
      <c r="M1068" s="25"/>
      <c r="N1068" s="117">
        <v>480000.0</v>
      </c>
      <c r="O1068" s="27">
        <f t="shared" si="135"/>
        <v>0.40625</v>
      </c>
      <c r="P1068" s="28"/>
    </row>
    <row r="1069" hidden="1">
      <c r="A1069" s="122" t="s">
        <v>1655</v>
      </c>
      <c r="B1069" s="17"/>
      <c r="C1069" s="18"/>
      <c r="D1069" s="4"/>
      <c r="E1069" s="19">
        <v>0.0</v>
      </c>
      <c r="F1069" s="19">
        <v>0.0</v>
      </c>
      <c r="G1069" s="16" t="s">
        <v>1108</v>
      </c>
      <c r="H1069" s="21"/>
      <c r="I1069" s="22"/>
      <c r="J1069" s="29">
        <f>200000*1.19</f>
        <v>238000</v>
      </c>
      <c r="K1069" s="48">
        <v>250000.0</v>
      </c>
      <c r="L1069" s="55">
        <v>420000.0</v>
      </c>
      <c r="M1069" s="25"/>
      <c r="N1069" s="102">
        <v>370000.0</v>
      </c>
      <c r="O1069" s="27">
        <f t="shared" si="135"/>
        <v>0.68</v>
      </c>
      <c r="P1069" s="28"/>
    </row>
    <row r="1070" hidden="1">
      <c r="A1070" s="122" t="s">
        <v>1656</v>
      </c>
      <c r="B1070" s="17"/>
      <c r="C1070" s="18"/>
      <c r="D1070" s="4"/>
      <c r="E1070" s="19">
        <v>0.0</v>
      </c>
      <c r="F1070" s="19">
        <v>0.0</v>
      </c>
      <c r="G1070" s="16" t="s">
        <v>1108</v>
      </c>
      <c r="H1070" s="73"/>
      <c r="I1070" s="22">
        <v>4.0</v>
      </c>
      <c r="J1070" s="74">
        <f>320000*1.19</f>
        <v>380800</v>
      </c>
      <c r="K1070" s="184">
        <v>380000.0</v>
      </c>
      <c r="L1070" s="55">
        <v>540000.0</v>
      </c>
      <c r="M1070" s="25"/>
      <c r="N1070" s="102">
        <v>480000.0</v>
      </c>
      <c r="O1070" s="27">
        <f t="shared" si="135"/>
        <v>0.4210526316</v>
      </c>
      <c r="P1070" s="28">
        <f>K1070*F1070</f>
        <v>0</v>
      </c>
    </row>
    <row r="1071" hidden="1">
      <c r="A1071" s="16" t="s">
        <v>1657</v>
      </c>
      <c r="B1071" s="17" t="s">
        <v>1658</v>
      </c>
      <c r="C1071" s="18"/>
      <c r="D1071" s="4"/>
      <c r="E1071" s="19">
        <v>0.0</v>
      </c>
      <c r="F1071" s="19">
        <v>0.0</v>
      </c>
      <c r="G1071" s="16" t="s">
        <v>1659</v>
      </c>
      <c r="H1071" s="21">
        <v>0.0</v>
      </c>
      <c r="I1071" s="22"/>
      <c r="J1071" s="29"/>
      <c r="K1071" s="32">
        <v>5000000.0</v>
      </c>
      <c r="L1071" s="24">
        <v>5500000.0</v>
      </c>
      <c r="M1071" s="25"/>
      <c r="N1071" s="26"/>
      <c r="O1071" s="27">
        <f t="shared" si="135"/>
        <v>0.1</v>
      </c>
      <c r="P1071" s="28"/>
    </row>
    <row r="1072" hidden="1">
      <c r="A1072" s="16" t="s">
        <v>1660</v>
      </c>
      <c r="B1072" s="17"/>
      <c r="C1072" s="18"/>
      <c r="D1072" s="4"/>
      <c r="E1072" s="19">
        <v>0.0</v>
      </c>
      <c r="F1072" s="19">
        <v>0.0</v>
      </c>
      <c r="G1072" s="16" t="s">
        <v>1661</v>
      </c>
      <c r="H1072" s="21"/>
      <c r="I1072" s="22"/>
      <c r="J1072" s="29"/>
      <c r="K1072" s="48">
        <v>150000.0</v>
      </c>
      <c r="L1072" s="55">
        <v>350000.0</v>
      </c>
      <c r="M1072" s="25"/>
      <c r="N1072" s="26">
        <v>240000.0</v>
      </c>
      <c r="O1072" s="27">
        <f t="shared" si="135"/>
        <v>1.333333333</v>
      </c>
      <c r="P1072" s="28"/>
    </row>
    <row r="1073" hidden="1">
      <c r="A1073" s="16" t="s">
        <v>1662</v>
      </c>
      <c r="B1073" s="17"/>
      <c r="C1073" s="18"/>
      <c r="D1073" s="4"/>
      <c r="E1073" s="19">
        <v>0.0</v>
      </c>
      <c r="F1073" s="19">
        <v>0.0</v>
      </c>
      <c r="G1073" s="16" t="s">
        <v>400</v>
      </c>
      <c r="H1073" s="21"/>
      <c r="I1073" s="22">
        <v>2.0</v>
      </c>
      <c r="J1073" s="29"/>
      <c r="K1073" s="48">
        <v>130000.0</v>
      </c>
      <c r="L1073" s="55">
        <v>280000.0</v>
      </c>
      <c r="M1073" s="25"/>
      <c r="N1073" s="26"/>
      <c r="O1073" s="27"/>
      <c r="P1073" s="28"/>
    </row>
    <row r="1074" hidden="1">
      <c r="A1074" s="122" t="s">
        <v>1663</v>
      </c>
      <c r="B1074" s="17"/>
      <c r="C1074" s="18"/>
      <c r="D1074" s="4"/>
      <c r="E1074" s="19">
        <v>0.0</v>
      </c>
      <c r="F1074" s="19">
        <v>0.0</v>
      </c>
      <c r="G1074" s="16" t="s">
        <v>16</v>
      </c>
      <c r="H1074" s="73"/>
      <c r="I1074" s="22">
        <v>0.0</v>
      </c>
      <c r="J1074" s="74"/>
      <c r="K1074" s="75"/>
      <c r="L1074" s="24">
        <v>240000.0</v>
      </c>
      <c r="M1074" s="25"/>
      <c r="N1074" s="26"/>
      <c r="O1074" s="27"/>
      <c r="P1074" s="28"/>
    </row>
    <row r="1075" hidden="1">
      <c r="A1075" s="16" t="s">
        <v>1664</v>
      </c>
      <c r="B1075" s="17"/>
      <c r="C1075" s="18"/>
      <c r="D1075" s="4"/>
      <c r="E1075" s="19">
        <v>0.0</v>
      </c>
      <c r="F1075" s="19">
        <v>0.0</v>
      </c>
      <c r="G1075" s="20" t="s">
        <v>78</v>
      </c>
      <c r="H1075" s="21">
        <v>0.0</v>
      </c>
      <c r="I1075" s="22">
        <v>0.0</v>
      </c>
      <c r="J1075" s="29"/>
      <c r="K1075" s="43">
        <v>18300.0</v>
      </c>
      <c r="L1075" s="44">
        <v>23000.0</v>
      </c>
      <c r="M1075" s="25" t="s">
        <v>82</v>
      </c>
      <c r="N1075" s="26"/>
      <c r="O1075" s="27">
        <f t="shared" ref="O1075:O1081" si="136">(L1075/K1075)-1</f>
        <v>0.2568306011</v>
      </c>
      <c r="P1075" s="28">
        <f t="shared" ref="P1075:P1081" si="137">K1075*F1075</f>
        <v>0</v>
      </c>
    </row>
    <row r="1076" hidden="1">
      <c r="A1076" s="16" t="s">
        <v>1665</v>
      </c>
      <c r="B1076" s="49"/>
      <c r="C1076" s="18"/>
      <c r="D1076" s="4"/>
      <c r="E1076" s="19">
        <v>0.0</v>
      </c>
      <c r="F1076" s="19">
        <v>0.0</v>
      </c>
      <c r="G1076" s="16" t="s">
        <v>1449</v>
      </c>
      <c r="H1076" s="21"/>
      <c r="I1076" s="22">
        <v>1.0</v>
      </c>
      <c r="J1076" s="47">
        <v>46054.0</v>
      </c>
      <c r="K1076" s="32">
        <v>9427.0</v>
      </c>
      <c r="L1076" s="24">
        <v>14000.0</v>
      </c>
      <c r="M1076" s="25" t="s">
        <v>76</v>
      </c>
      <c r="N1076" s="26"/>
      <c r="O1076" s="27">
        <f t="shared" si="136"/>
        <v>0.4850960008</v>
      </c>
      <c r="P1076" s="28">
        <f t="shared" si="137"/>
        <v>0</v>
      </c>
    </row>
    <row r="1077" hidden="1">
      <c r="A1077" s="16" t="s">
        <v>1666</v>
      </c>
      <c r="B1077" s="17"/>
      <c r="C1077" s="18"/>
      <c r="D1077" s="4"/>
      <c r="E1077" s="19">
        <v>0.0</v>
      </c>
      <c r="F1077" s="19"/>
      <c r="G1077" s="16" t="s">
        <v>1015</v>
      </c>
      <c r="H1077" s="21"/>
      <c r="I1077" s="22"/>
      <c r="J1077" s="29"/>
      <c r="K1077" s="43">
        <v>7000.0</v>
      </c>
      <c r="L1077" s="44">
        <v>10000.0</v>
      </c>
      <c r="M1077" s="25"/>
      <c r="N1077" s="26"/>
      <c r="O1077" s="27">
        <f t="shared" si="136"/>
        <v>0.4285714286</v>
      </c>
      <c r="P1077" s="28">
        <f t="shared" si="137"/>
        <v>0</v>
      </c>
    </row>
    <row r="1078" hidden="1">
      <c r="A1078" s="16" t="s">
        <v>1667</v>
      </c>
      <c r="B1078" s="17"/>
      <c r="C1078" s="18"/>
      <c r="D1078" s="4"/>
      <c r="E1078" s="19">
        <v>0.0</v>
      </c>
      <c r="F1078" s="19"/>
      <c r="G1078" s="16" t="s">
        <v>1015</v>
      </c>
      <c r="H1078" s="21"/>
      <c r="I1078" s="22"/>
      <c r="J1078" s="29"/>
      <c r="K1078" s="43">
        <v>7000.0</v>
      </c>
      <c r="L1078" s="44">
        <v>10000.0</v>
      </c>
      <c r="M1078" s="25"/>
      <c r="N1078" s="26"/>
      <c r="O1078" s="27">
        <f t="shared" si="136"/>
        <v>0.4285714286</v>
      </c>
      <c r="P1078" s="28">
        <f t="shared" si="137"/>
        <v>0</v>
      </c>
    </row>
    <row r="1079" hidden="1">
      <c r="A1079" s="16" t="s">
        <v>1668</v>
      </c>
      <c r="B1079" s="17"/>
      <c r="C1079" s="18"/>
      <c r="D1079" s="4"/>
      <c r="E1079" s="19">
        <v>0.0</v>
      </c>
      <c r="F1079" s="19"/>
      <c r="G1079" s="16" t="s">
        <v>1015</v>
      </c>
      <c r="H1079" s="21"/>
      <c r="I1079" s="22"/>
      <c r="J1079" s="29"/>
      <c r="K1079" s="43">
        <v>7000.0</v>
      </c>
      <c r="L1079" s="44">
        <v>10000.0</v>
      </c>
      <c r="M1079" s="25"/>
      <c r="N1079" s="26"/>
      <c r="O1079" s="27">
        <f t="shared" si="136"/>
        <v>0.4285714286</v>
      </c>
      <c r="P1079" s="28">
        <f t="shared" si="137"/>
        <v>0</v>
      </c>
    </row>
    <row r="1080" hidden="1">
      <c r="A1080" s="16" t="s">
        <v>1669</v>
      </c>
      <c r="B1080" s="36"/>
      <c r="C1080" s="18"/>
      <c r="D1080" s="4"/>
      <c r="E1080" s="19"/>
      <c r="F1080" s="19"/>
      <c r="G1080" s="16" t="s">
        <v>39</v>
      </c>
      <c r="H1080" s="21"/>
      <c r="I1080" s="22"/>
      <c r="J1080" s="29"/>
      <c r="K1080" s="32">
        <f t="shared" ref="K1080:K1081" si="138">24500/200</f>
        <v>122.5</v>
      </c>
      <c r="L1080" s="24">
        <v>500.0</v>
      </c>
      <c r="M1080" s="25"/>
      <c r="N1080" s="50"/>
      <c r="O1080" s="27">
        <f t="shared" si="136"/>
        <v>3.081632653</v>
      </c>
      <c r="P1080" s="28">
        <f t="shared" si="137"/>
        <v>0</v>
      </c>
    </row>
    <row r="1081" hidden="1">
      <c r="A1081" s="16" t="s">
        <v>1670</v>
      </c>
      <c r="B1081" s="36"/>
      <c r="C1081" s="18"/>
      <c r="D1081" s="4"/>
      <c r="E1081" s="19"/>
      <c r="F1081" s="19"/>
      <c r="G1081" s="16" t="s">
        <v>39</v>
      </c>
      <c r="H1081" s="21"/>
      <c r="I1081" s="22"/>
      <c r="J1081" s="29"/>
      <c r="K1081" s="32">
        <f t="shared" si="138"/>
        <v>122.5</v>
      </c>
      <c r="L1081" s="24">
        <v>500.0</v>
      </c>
      <c r="M1081" s="25"/>
      <c r="N1081" s="50"/>
      <c r="O1081" s="27">
        <f t="shared" si="136"/>
        <v>3.081632653</v>
      </c>
      <c r="P1081" s="28">
        <f t="shared" si="137"/>
        <v>0</v>
      </c>
    </row>
    <row r="1082" hidden="1">
      <c r="A1082" s="52" t="s">
        <v>1671</v>
      </c>
      <c r="B1082" s="17"/>
      <c r="C1082" s="18"/>
      <c r="D1082" s="4"/>
      <c r="E1082" s="19">
        <v>0.0</v>
      </c>
      <c r="F1082" s="19">
        <v>0.0</v>
      </c>
      <c r="G1082" s="16" t="s">
        <v>580</v>
      </c>
      <c r="H1082" s="21"/>
      <c r="I1082" s="22" t="s">
        <v>1672</v>
      </c>
      <c r="J1082" s="23"/>
      <c r="K1082" s="186">
        <v>10058.0</v>
      </c>
      <c r="L1082" s="24">
        <v>48000.0</v>
      </c>
      <c r="M1082" s="25"/>
      <c r="N1082" s="70"/>
      <c r="O1082" s="27"/>
      <c r="P1082" s="28"/>
    </row>
    <row r="1083" hidden="1">
      <c r="A1083" s="16" t="s">
        <v>1673</v>
      </c>
      <c r="B1083" s="17"/>
      <c r="C1083" s="18"/>
      <c r="D1083" s="4"/>
      <c r="E1083" s="19">
        <v>0.0</v>
      </c>
      <c r="F1083" s="19">
        <v>0.0</v>
      </c>
      <c r="G1083" s="16" t="s">
        <v>1225</v>
      </c>
      <c r="H1083" s="21"/>
      <c r="I1083" s="22"/>
      <c r="J1083" s="45"/>
      <c r="K1083" s="48">
        <f t="shared" ref="K1083:K1090" si="139">12940</f>
        <v>12940</v>
      </c>
      <c r="L1083" s="55">
        <v>22000.0</v>
      </c>
      <c r="M1083" s="25"/>
      <c r="N1083" s="31">
        <v>18000.0</v>
      </c>
      <c r="O1083" s="27">
        <f t="shared" ref="O1083:O1160" si="140">(L1083/K1083)-1</f>
        <v>0.7001545595</v>
      </c>
      <c r="P1083" s="28">
        <f t="shared" ref="P1083:P1102" si="141">K1083*F1083</f>
        <v>0</v>
      </c>
    </row>
    <row r="1084" hidden="1">
      <c r="A1084" s="16" t="s">
        <v>1674</v>
      </c>
      <c r="B1084" s="17"/>
      <c r="C1084" s="18"/>
      <c r="D1084" s="4"/>
      <c r="E1084" s="19">
        <v>0.0</v>
      </c>
      <c r="F1084" s="19">
        <v>0.0</v>
      </c>
      <c r="G1084" s="16" t="s">
        <v>1225</v>
      </c>
      <c r="H1084" s="21"/>
      <c r="I1084" s="22"/>
      <c r="J1084" s="45"/>
      <c r="K1084" s="48">
        <f t="shared" si="139"/>
        <v>12940</v>
      </c>
      <c r="L1084" s="55">
        <v>22000.0</v>
      </c>
      <c r="M1084" s="25"/>
      <c r="N1084" s="31">
        <v>18000.0</v>
      </c>
      <c r="O1084" s="27">
        <f t="shared" si="140"/>
        <v>0.7001545595</v>
      </c>
      <c r="P1084" s="28">
        <f t="shared" si="141"/>
        <v>0</v>
      </c>
    </row>
    <row r="1085" hidden="1">
      <c r="A1085" s="16" t="s">
        <v>1675</v>
      </c>
      <c r="B1085" s="17"/>
      <c r="C1085" s="18"/>
      <c r="D1085" s="4"/>
      <c r="E1085" s="19">
        <v>0.0</v>
      </c>
      <c r="F1085" s="19">
        <v>0.0</v>
      </c>
      <c r="G1085" s="16" t="s">
        <v>1225</v>
      </c>
      <c r="H1085" s="21"/>
      <c r="I1085" s="22">
        <v>0.0</v>
      </c>
      <c r="J1085" s="45"/>
      <c r="K1085" s="48">
        <f t="shared" si="139"/>
        <v>12940</v>
      </c>
      <c r="L1085" s="55">
        <v>22000.0</v>
      </c>
      <c r="M1085" s="25"/>
      <c r="N1085" s="31">
        <v>18000.0</v>
      </c>
      <c r="O1085" s="27">
        <f t="shared" si="140"/>
        <v>0.7001545595</v>
      </c>
      <c r="P1085" s="28">
        <f t="shared" si="141"/>
        <v>0</v>
      </c>
    </row>
    <row r="1086" hidden="1">
      <c r="A1086" s="16" t="s">
        <v>1676</v>
      </c>
      <c r="B1086" s="17"/>
      <c r="C1086" s="18"/>
      <c r="D1086" s="4"/>
      <c r="E1086" s="19">
        <v>0.0</v>
      </c>
      <c r="F1086" s="19">
        <v>0.0</v>
      </c>
      <c r="G1086" s="16" t="s">
        <v>1225</v>
      </c>
      <c r="H1086" s="21"/>
      <c r="I1086" s="22">
        <v>0.0</v>
      </c>
      <c r="J1086" s="45"/>
      <c r="K1086" s="48">
        <f t="shared" si="139"/>
        <v>12940</v>
      </c>
      <c r="L1086" s="55">
        <v>22000.0</v>
      </c>
      <c r="M1086" s="25"/>
      <c r="N1086" s="31">
        <v>18000.0</v>
      </c>
      <c r="O1086" s="27">
        <f t="shared" si="140"/>
        <v>0.7001545595</v>
      </c>
      <c r="P1086" s="28">
        <f t="shared" si="141"/>
        <v>0</v>
      </c>
    </row>
    <row r="1087" hidden="1">
      <c r="A1087" s="16" t="s">
        <v>1677</v>
      </c>
      <c r="B1087" s="17"/>
      <c r="C1087" s="18"/>
      <c r="D1087" s="4"/>
      <c r="E1087" s="19">
        <v>0.0</v>
      </c>
      <c r="F1087" s="19">
        <v>0.0</v>
      </c>
      <c r="G1087" s="16" t="s">
        <v>1225</v>
      </c>
      <c r="H1087" s="21"/>
      <c r="I1087" s="22">
        <v>0.0</v>
      </c>
      <c r="J1087" s="45"/>
      <c r="K1087" s="48">
        <f t="shared" si="139"/>
        <v>12940</v>
      </c>
      <c r="L1087" s="55">
        <v>22000.0</v>
      </c>
      <c r="M1087" s="25"/>
      <c r="N1087" s="31">
        <v>18000.0</v>
      </c>
      <c r="O1087" s="27">
        <f t="shared" si="140"/>
        <v>0.7001545595</v>
      </c>
      <c r="P1087" s="28">
        <f t="shared" si="141"/>
        <v>0</v>
      </c>
    </row>
    <row r="1088" hidden="1">
      <c r="A1088" s="16" t="s">
        <v>1678</v>
      </c>
      <c r="B1088" s="17"/>
      <c r="C1088" s="18"/>
      <c r="D1088" s="4"/>
      <c r="E1088" s="19">
        <v>0.0</v>
      </c>
      <c r="F1088" s="19">
        <v>0.0</v>
      </c>
      <c r="G1088" s="16" t="s">
        <v>1225</v>
      </c>
      <c r="H1088" s="21"/>
      <c r="I1088" s="22">
        <v>0.0</v>
      </c>
      <c r="J1088" s="45"/>
      <c r="K1088" s="48">
        <f t="shared" si="139"/>
        <v>12940</v>
      </c>
      <c r="L1088" s="55">
        <v>22000.0</v>
      </c>
      <c r="M1088" s="25"/>
      <c r="N1088" s="31">
        <v>18000.0</v>
      </c>
      <c r="O1088" s="27">
        <f t="shared" si="140"/>
        <v>0.7001545595</v>
      </c>
      <c r="P1088" s="28">
        <f t="shared" si="141"/>
        <v>0</v>
      </c>
    </row>
    <row r="1089" hidden="1">
      <c r="A1089" s="16" t="s">
        <v>1679</v>
      </c>
      <c r="B1089" s="17"/>
      <c r="C1089" s="18"/>
      <c r="D1089" s="4"/>
      <c r="E1089" s="19">
        <v>0.0</v>
      </c>
      <c r="F1089" s="19">
        <v>0.0</v>
      </c>
      <c r="G1089" s="16" t="s">
        <v>1225</v>
      </c>
      <c r="H1089" s="21"/>
      <c r="I1089" s="22">
        <v>0.0</v>
      </c>
      <c r="J1089" s="45"/>
      <c r="K1089" s="48">
        <f t="shared" si="139"/>
        <v>12940</v>
      </c>
      <c r="L1089" s="55">
        <v>22000.0</v>
      </c>
      <c r="M1089" s="25"/>
      <c r="N1089" s="31">
        <v>18000.0</v>
      </c>
      <c r="O1089" s="27">
        <f t="shared" si="140"/>
        <v>0.7001545595</v>
      </c>
      <c r="P1089" s="28">
        <f t="shared" si="141"/>
        <v>0</v>
      </c>
    </row>
    <row r="1090" hidden="1">
      <c r="A1090" s="16" t="s">
        <v>1680</v>
      </c>
      <c r="B1090" s="17"/>
      <c r="C1090" s="18"/>
      <c r="D1090" s="4"/>
      <c r="E1090" s="19">
        <v>0.0</v>
      </c>
      <c r="F1090" s="19">
        <v>0.0</v>
      </c>
      <c r="G1090" s="16" t="s">
        <v>1225</v>
      </c>
      <c r="H1090" s="21"/>
      <c r="I1090" s="22">
        <v>0.0</v>
      </c>
      <c r="J1090" s="45"/>
      <c r="K1090" s="48">
        <f t="shared" si="139"/>
        <v>12940</v>
      </c>
      <c r="L1090" s="55">
        <v>22000.0</v>
      </c>
      <c r="M1090" s="25"/>
      <c r="N1090" s="31">
        <v>18000.0</v>
      </c>
      <c r="O1090" s="27">
        <f t="shared" si="140"/>
        <v>0.7001545595</v>
      </c>
      <c r="P1090" s="28">
        <f t="shared" si="141"/>
        <v>0</v>
      </c>
    </row>
    <row r="1091" hidden="1">
      <c r="A1091" s="16" t="s">
        <v>1681</v>
      </c>
      <c r="B1091" s="17"/>
      <c r="C1091" s="18"/>
      <c r="D1091" s="4"/>
      <c r="E1091" s="19">
        <v>0.0</v>
      </c>
      <c r="F1091" s="19">
        <v>0.0</v>
      </c>
      <c r="G1091" s="16" t="s">
        <v>1225</v>
      </c>
      <c r="H1091" s="21"/>
      <c r="I1091" s="22">
        <v>0.0</v>
      </c>
      <c r="J1091" s="29"/>
      <c r="K1091" s="48">
        <v>14340.0</v>
      </c>
      <c r="L1091" s="55">
        <v>25000.0</v>
      </c>
      <c r="M1091" s="25"/>
      <c r="N1091" s="26">
        <v>20000.0</v>
      </c>
      <c r="O1091" s="27">
        <f t="shared" si="140"/>
        <v>0.7433751743</v>
      </c>
      <c r="P1091" s="28">
        <f t="shared" si="141"/>
        <v>0</v>
      </c>
    </row>
    <row r="1092" hidden="1">
      <c r="A1092" s="16" t="s">
        <v>1682</v>
      </c>
      <c r="B1092" s="17"/>
      <c r="C1092" s="18"/>
      <c r="D1092" s="4"/>
      <c r="E1092" s="19">
        <v>0.0</v>
      </c>
      <c r="F1092" s="19">
        <v>0.0</v>
      </c>
      <c r="G1092" s="16" t="s">
        <v>1225</v>
      </c>
      <c r="H1092" s="21"/>
      <c r="I1092" s="22">
        <v>0.0</v>
      </c>
      <c r="J1092" s="45"/>
      <c r="K1092" s="48">
        <f t="shared" ref="K1092:K1094" si="142">12940</f>
        <v>12940</v>
      </c>
      <c r="L1092" s="55">
        <v>22000.0</v>
      </c>
      <c r="M1092" s="25"/>
      <c r="N1092" s="31">
        <v>18000.0</v>
      </c>
      <c r="O1092" s="27">
        <f t="shared" si="140"/>
        <v>0.7001545595</v>
      </c>
      <c r="P1092" s="28">
        <f t="shared" si="141"/>
        <v>0</v>
      </c>
    </row>
    <row r="1093" hidden="1">
      <c r="A1093" s="16" t="s">
        <v>1683</v>
      </c>
      <c r="B1093" s="17"/>
      <c r="C1093" s="18"/>
      <c r="D1093" s="4"/>
      <c r="E1093" s="19">
        <v>0.0</v>
      </c>
      <c r="F1093" s="19">
        <v>0.0</v>
      </c>
      <c r="G1093" s="16" t="s">
        <v>1225</v>
      </c>
      <c r="H1093" s="21"/>
      <c r="I1093" s="22">
        <v>0.0</v>
      </c>
      <c r="J1093" s="45"/>
      <c r="K1093" s="48">
        <f t="shared" si="142"/>
        <v>12940</v>
      </c>
      <c r="L1093" s="55">
        <v>22000.0</v>
      </c>
      <c r="M1093" s="25"/>
      <c r="N1093" s="31">
        <v>18000.0</v>
      </c>
      <c r="O1093" s="27">
        <f t="shared" si="140"/>
        <v>0.7001545595</v>
      </c>
      <c r="P1093" s="28">
        <f t="shared" si="141"/>
        <v>0</v>
      </c>
    </row>
    <row r="1094" hidden="1">
      <c r="A1094" s="16" t="s">
        <v>1684</v>
      </c>
      <c r="B1094" s="17"/>
      <c r="C1094" s="18"/>
      <c r="D1094" s="4"/>
      <c r="E1094" s="19">
        <v>0.0</v>
      </c>
      <c r="F1094" s="19">
        <v>0.0</v>
      </c>
      <c r="G1094" s="16" t="s">
        <v>1225</v>
      </c>
      <c r="H1094" s="21"/>
      <c r="I1094" s="22">
        <v>0.0</v>
      </c>
      <c r="J1094" s="45"/>
      <c r="K1094" s="48">
        <f t="shared" si="142"/>
        <v>12940</v>
      </c>
      <c r="L1094" s="55">
        <v>22000.0</v>
      </c>
      <c r="M1094" s="25"/>
      <c r="N1094" s="31">
        <v>18000.0</v>
      </c>
      <c r="O1094" s="27">
        <f t="shared" si="140"/>
        <v>0.7001545595</v>
      </c>
      <c r="P1094" s="28">
        <f t="shared" si="141"/>
        <v>0</v>
      </c>
    </row>
    <row r="1095" hidden="1">
      <c r="A1095" s="16" t="s">
        <v>1685</v>
      </c>
      <c r="B1095" s="36"/>
      <c r="C1095" s="18"/>
      <c r="D1095" s="98"/>
      <c r="E1095" s="19">
        <v>0.0</v>
      </c>
      <c r="F1095" s="19"/>
      <c r="G1095" s="20" t="s">
        <v>610</v>
      </c>
      <c r="H1095" s="21"/>
      <c r="I1095" s="22"/>
      <c r="J1095" s="23"/>
      <c r="K1095" s="24">
        <v>39270.0</v>
      </c>
      <c r="L1095" s="24">
        <v>62000.0</v>
      </c>
      <c r="M1095" s="25"/>
      <c r="N1095" s="26"/>
      <c r="O1095" s="27">
        <f t="shared" si="140"/>
        <v>0.5788133435</v>
      </c>
      <c r="P1095" s="28">
        <f t="shared" si="141"/>
        <v>0</v>
      </c>
    </row>
    <row r="1096" hidden="1">
      <c r="A1096" s="16" t="s">
        <v>1686</v>
      </c>
      <c r="B1096" s="36"/>
      <c r="C1096" s="18" t="s">
        <v>1020</v>
      </c>
      <c r="D1096" s="98"/>
      <c r="E1096" s="19">
        <v>0.0</v>
      </c>
      <c r="F1096" s="19"/>
      <c r="G1096" s="20" t="s">
        <v>610</v>
      </c>
      <c r="H1096" s="21"/>
      <c r="I1096" s="22"/>
      <c r="J1096" s="23"/>
      <c r="K1096" s="24">
        <v>39270.0</v>
      </c>
      <c r="L1096" s="24">
        <v>62000.0</v>
      </c>
      <c r="M1096" s="25"/>
      <c r="N1096" s="26"/>
      <c r="O1096" s="27">
        <f t="shared" si="140"/>
        <v>0.5788133435</v>
      </c>
      <c r="P1096" s="28">
        <f t="shared" si="141"/>
        <v>0</v>
      </c>
    </row>
    <row r="1097" hidden="1">
      <c r="A1097" s="16" t="s">
        <v>1687</v>
      </c>
      <c r="B1097" s="36"/>
      <c r="C1097" s="18" t="s">
        <v>1020</v>
      </c>
      <c r="D1097" s="98"/>
      <c r="E1097" s="19">
        <v>0.0</v>
      </c>
      <c r="F1097" s="19"/>
      <c r="G1097" s="20" t="s">
        <v>610</v>
      </c>
      <c r="H1097" s="21"/>
      <c r="I1097" s="22"/>
      <c r="J1097" s="23"/>
      <c r="K1097" s="24">
        <v>39270.0</v>
      </c>
      <c r="L1097" s="24">
        <v>62000.0</v>
      </c>
      <c r="M1097" s="25"/>
      <c r="N1097" s="26"/>
      <c r="O1097" s="27">
        <f t="shared" si="140"/>
        <v>0.5788133435</v>
      </c>
      <c r="P1097" s="28">
        <f t="shared" si="141"/>
        <v>0</v>
      </c>
    </row>
    <row r="1098" hidden="1">
      <c r="A1098" s="16" t="s">
        <v>1688</v>
      </c>
      <c r="B1098" s="36"/>
      <c r="C1098" s="18" t="s">
        <v>1020</v>
      </c>
      <c r="D1098" s="98"/>
      <c r="E1098" s="19">
        <v>0.0</v>
      </c>
      <c r="F1098" s="19"/>
      <c r="G1098" s="20" t="s">
        <v>610</v>
      </c>
      <c r="H1098" s="21"/>
      <c r="I1098" s="22"/>
      <c r="J1098" s="23"/>
      <c r="K1098" s="24">
        <v>39270.0</v>
      </c>
      <c r="L1098" s="24">
        <v>62000.0</v>
      </c>
      <c r="M1098" s="25"/>
      <c r="N1098" s="26"/>
      <c r="O1098" s="27">
        <f t="shared" si="140"/>
        <v>0.5788133435</v>
      </c>
      <c r="P1098" s="28">
        <f t="shared" si="141"/>
        <v>0</v>
      </c>
    </row>
    <row r="1099" hidden="1">
      <c r="A1099" s="16" t="s">
        <v>1689</v>
      </c>
      <c r="B1099" s="36"/>
      <c r="C1099" s="18"/>
      <c r="D1099" s="98"/>
      <c r="E1099" s="19">
        <v>0.0</v>
      </c>
      <c r="F1099" s="19"/>
      <c r="G1099" s="20" t="s">
        <v>610</v>
      </c>
      <c r="H1099" s="21"/>
      <c r="I1099" s="22"/>
      <c r="J1099" s="23"/>
      <c r="K1099" s="24">
        <v>39270.0</v>
      </c>
      <c r="L1099" s="24">
        <v>62000.0</v>
      </c>
      <c r="M1099" s="25"/>
      <c r="N1099" s="26"/>
      <c r="O1099" s="27">
        <f t="shared" si="140"/>
        <v>0.5788133435</v>
      </c>
      <c r="P1099" s="28">
        <f t="shared" si="141"/>
        <v>0</v>
      </c>
    </row>
    <row r="1100" hidden="1">
      <c r="A1100" s="16" t="s">
        <v>1690</v>
      </c>
      <c r="B1100" s="36"/>
      <c r="C1100" s="18"/>
      <c r="D1100" s="98"/>
      <c r="E1100" s="19">
        <v>0.0</v>
      </c>
      <c r="F1100" s="19"/>
      <c r="G1100" s="20" t="s">
        <v>610</v>
      </c>
      <c r="H1100" s="21"/>
      <c r="I1100" s="22"/>
      <c r="J1100" s="23"/>
      <c r="K1100" s="24">
        <v>39270.0</v>
      </c>
      <c r="L1100" s="24">
        <v>62000.0</v>
      </c>
      <c r="M1100" s="25"/>
      <c r="N1100" s="26"/>
      <c r="O1100" s="27">
        <f t="shared" si="140"/>
        <v>0.5788133435</v>
      </c>
      <c r="P1100" s="28">
        <f t="shared" si="141"/>
        <v>0</v>
      </c>
    </row>
    <row r="1101" hidden="1">
      <c r="A1101" s="16" t="s">
        <v>1691</v>
      </c>
      <c r="B1101" s="36"/>
      <c r="C1101" s="18"/>
      <c r="D1101" s="98"/>
      <c r="E1101" s="19">
        <v>0.0</v>
      </c>
      <c r="F1101" s="19"/>
      <c r="G1101" s="20" t="s">
        <v>610</v>
      </c>
      <c r="H1101" s="21"/>
      <c r="I1101" s="22"/>
      <c r="J1101" s="23"/>
      <c r="K1101" s="24">
        <v>39270.0</v>
      </c>
      <c r="L1101" s="24">
        <v>62000.0</v>
      </c>
      <c r="M1101" s="25"/>
      <c r="N1101" s="26"/>
      <c r="O1101" s="27">
        <f t="shared" si="140"/>
        <v>0.5788133435</v>
      </c>
      <c r="P1101" s="28">
        <f t="shared" si="141"/>
        <v>0</v>
      </c>
    </row>
    <row r="1102" hidden="1">
      <c r="A1102" s="40" t="s">
        <v>1692</v>
      </c>
      <c r="B1102" s="36"/>
      <c r="C1102" s="18" t="s">
        <v>1020</v>
      </c>
      <c r="D1102" s="98"/>
      <c r="E1102" s="19">
        <v>0.0</v>
      </c>
      <c r="F1102" s="19"/>
      <c r="G1102" s="20" t="s">
        <v>610</v>
      </c>
      <c r="H1102" s="21"/>
      <c r="I1102" s="22"/>
      <c r="J1102" s="23"/>
      <c r="K1102" s="24">
        <v>39270.0</v>
      </c>
      <c r="L1102" s="24">
        <v>62000.0</v>
      </c>
      <c r="M1102" s="25"/>
      <c r="N1102" s="26"/>
      <c r="O1102" s="27">
        <f t="shared" si="140"/>
        <v>0.5788133435</v>
      </c>
      <c r="P1102" s="28">
        <f t="shared" si="141"/>
        <v>0</v>
      </c>
    </row>
    <row r="1103" hidden="1">
      <c r="A1103" s="16" t="s">
        <v>1693</v>
      </c>
      <c r="B1103" s="36"/>
      <c r="C1103" s="18"/>
      <c r="D1103" s="98"/>
      <c r="E1103" s="19">
        <v>0.0</v>
      </c>
      <c r="F1103" s="19"/>
      <c r="G1103" s="20" t="s">
        <v>610</v>
      </c>
      <c r="H1103" s="21"/>
      <c r="I1103" s="22"/>
      <c r="J1103" s="23"/>
      <c r="K1103" s="24">
        <v>39270.0</v>
      </c>
      <c r="L1103" s="24">
        <v>62000.0</v>
      </c>
      <c r="M1103" s="25"/>
      <c r="N1103" s="26"/>
      <c r="O1103" s="27">
        <f t="shared" si="140"/>
        <v>0.5788133435</v>
      </c>
      <c r="P1103" s="28" t="str">
        <f>K1103*#REF!</f>
        <v>#REF!</v>
      </c>
    </row>
    <row r="1104" hidden="1">
      <c r="A1104" s="16" t="s">
        <v>1694</v>
      </c>
      <c r="B1104" s="36"/>
      <c r="C1104" s="18"/>
      <c r="D1104" s="98"/>
      <c r="E1104" s="19">
        <v>0.0</v>
      </c>
      <c r="F1104" s="19"/>
      <c r="G1104" s="20" t="s">
        <v>610</v>
      </c>
      <c r="H1104" s="21"/>
      <c r="I1104" s="22"/>
      <c r="J1104" s="23"/>
      <c r="K1104" s="24">
        <v>39270.0</v>
      </c>
      <c r="L1104" s="24">
        <v>62000.0</v>
      </c>
      <c r="M1104" s="25"/>
      <c r="N1104" s="26"/>
      <c r="O1104" s="27">
        <f t="shared" si="140"/>
        <v>0.5788133435</v>
      </c>
      <c r="P1104" s="28">
        <f t="shared" ref="P1104:P1158" si="143">K1104*F1104</f>
        <v>0</v>
      </c>
    </row>
    <row r="1105" hidden="1">
      <c r="A1105" s="16" t="s">
        <v>1695</v>
      </c>
      <c r="B1105" s="36"/>
      <c r="C1105" s="18"/>
      <c r="D1105" s="98"/>
      <c r="E1105" s="19">
        <v>0.0</v>
      </c>
      <c r="F1105" s="19"/>
      <c r="G1105" s="20" t="s">
        <v>610</v>
      </c>
      <c r="H1105" s="21"/>
      <c r="I1105" s="22"/>
      <c r="J1105" s="23"/>
      <c r="K1105" s="24">
        <v>39270.0</v>
      </c>
      <c r="L1105" s="24">
        <v>62000.0</v>
      </c>
      <c r="M1105" s="25"/>
      <c r="N1105" s="26"/>
      <c r="O1105" s="27">
        <f t="shared" si="140"/>
        <v>0.5788133435</v>
      </c>
      <c r="P1105" s="28">
        <f t="shared" si="143"/>
        <v>0</v>
      </c>
    </row>
    <row r="1106" hidden="1">
      <c r="A1106" s="16" t="s">
        <v>1696</v>
      </c>
      <c r="B1106" s="36"/>
      <c r="C1106" s="18"/>
      <c r="D1106" s="98"/>
      <c r="E1106" s="19">
        <v>0.0</v>
      </c>
      <c r="F1106" s="19"/>
      <c r="G1106" s="20" t="s">
        <v>610</v>
      </c>
      <c r="H1106" s="21"/>
      <c r="I1106" s="22"/>
      <c r="J1106" s="23"/>
      <c r="K1106" s="24">
        <v>39270.0</v>
      </c>
      <c r="L1106" s="24">
        <v>62000.0</v>
      </c>
      <c r="M1106" s="25"/>
      <c r="N1106" s="26"/>
      <c r="O1106" s="27">
        <f t="shared" si="140"/>
        <v>0.5788133435</v>
      </c>
      <c r="P1106" s="28">
        <f t="shared" si="143"/>
        <v>0</v>
      </c>
    </row>
    <row r="1107" hidden="1">
      <c r="A1107" s="16" t="s">
        <v>1697</v>
      </c>
      <c r="B1107" s="36"/>
      <c r="C1107" s="18"/>
      <c r="D1107" s="98"/>
      <c r="E1107" s="19">
        <v>0.0</v>
      </c>
      <c r="F1107" s="19"/>
      <c r="G1107" s="20" t="s">
        <v>610</v>
      </c>
      <c r="H1107" s="21"/>
      <c r="I1107" s="22"/>
      <c r="J1107" s="23"/>
      <c r="K1107" s="24">
        <v>39270.0</v>
      </c>
      <c r="L1107" s="24">
        <v>62000.0</v>
      </c>
      <c r="M1107" s="25"/>
      <c r="N1107" s="26"/>
      <c r="O1107" s="27">
        <f t="shared" si="140"/>
        <v>0.5788133435</v>
      </c>
      <c r="P1107" s="28">
        <f t="shared" si="143"/>
        <v>0</v>
      </c>
    </row>
    <row r="1108" hidden="1">
      <c r="A1108" s="16" t="s">
        <v>1698</v>
      </c>
      <c r="B1108" s="36"/>
      <c r="C1108" s="18"/>
      <c r="D1108" s="98"/>
      <c r="E1108" s="19">
        <v>0.0</v>
      </c>
      <c r="F1108" s="19"/>
      <c r="G1108" s="20" t="s">
        <v>610</v>
      </c>
      <c r="H1108" s="21"/>
      <c r="I1108" s="22"/>
      <c r="J1108" s="23"/>
      <c r="K1108" s="24">
        <v>39270.0</v>
      </c>
      <c r="L1108" s="24">
        <v>62000.0</v>
      </c>
      <c r="M1108" s="25"/>
      <c r="N1108" s="26"/>
      <c r="O1108" s="27">
        <f t="shared" si="140"/>
        <v>0.5788133435</v>
      </c>
      <c r="P1108" s="28">
        <f t="shared" si="143"/>
        <v>0</v>
      </c>
    </row>
    <row r="1109" hidden="1">
      <c r="A1109" s="40" t="s">
        <v>1699</v>
      </c>
      <c r="B1109" s="36"/>
      <c r="C1109" s="18" t="s">
        <v>1020</v>
      </c>
      <c r="D1109" s="98"/>
      <c r="E1109" s="19">
        <v>0.0</v>
      </c>
      <c r="F1109" s="19"/>
      <c r="G1109" s="20" t="s">
        <v>610</v>
      </c>
      <c r="H1109" s="21"/>
      <c r="I1109" s="22"/>
      <c r="J1109" s="29"/>
      <c r="K1109" s="24">
        <v>39270.0</v>
      </c>
      <c r="L1109" s="24">
        <v>62000.0</v>
      </c>
      <c r="M1109" s="25"/>
      <c r="N1109" s="26"/>
      <c r="O1109" s="27">
        <f t="shared" si="140"/>
        <v>0.5788133435</v>
      </c>
      <c r="P1109" s="28">
        <f t="shared" si="143"/>
        <v>0</v>
      </c>
    </row>
    <row r="1110" hidden="1">
      <c r="A1110" s="16" t="s">
        <v>1700</v>
      </c>
      <c r="B1110" s="36"/>
      <c r="C1110" s="18"/>
      <c r="D1110" s="4"/>
      <c r="E1110" s="19">
        <v>0.0</v>
      </c>
      <c r="F1110" s="19"/>
      <c r="G1110" s="20" t="s">
        <v>610</v>
      </c>
      <c r="H1110" s="21"/>
      <c r="I1110" s="22"/>
      <c r="J1110" s="23"/>
      <c r="K1110" s="24">
        <v>55335.0</v>
      </c>
      <c r="L1110" s="24">
        <v>72000.0</v>
      </c>
      <c r="M1110" s="25"/>
      <c r="N1110" s="26">
        <v>64000.0</v>
      </c>
      <c r="O1110" s="27">
        <f t="shared" si="140"/>
        <v>0.3011656275</v>
      </c>
      <c r="P1110" s="28">
        <f t="shared" si="143"/>
        <v>0</v>
      </c>
    </row>
    <row r="1111" hidden="1">
      <c r="A1111" s="16" t="s">
        <v>1701</v>
      </c>
      <c r="B1111" s="36"/>
      <c r="C1111" s="18"/>
      <c r="D1111" s="4"/>
      <c r="E1111" s="19">
        <v>0.0</v>
      </c>
      <c r="F1111" s="19"/>
      <c r="G1111" s="20" t="s">
        <v>610</v>
      </c>
      <c r="H1111" s="21"/>
      <c r="I1111" s="22"/>
      <c r="J1111" s="23"/>
      <c r="K1111" s="24">
        <v>55335.0</v>
      </c>
      <c r="L1111" s="24">
        <v>72000.0</v>
      </c>
      <c r="M1111" s="25"/>
      <c r="N1111" s="26">
        <v>64000.0</v>
      </c>
      <c r="O1111" s="27">
        <f t="shared" si="140"/>
        <v>0.3011656275</v>
      </c>
      <c r="P1111" s="28">
        <f t="shared" si="143"/>
        <v>0</v>
      </c>
    </row>
    <row r="1112" hidden="1">
      <c r="A1112" s="16" t="s">
        <v>1702</v>
      </c>
      <c r="B1112" s="36"/>
      <c r="C1112" s="18"/>
      <c r="D1112" s="4"/>
      <c r="E1112" s="19">
        <v>0.0</v>
      </c>
      <c r="F1112" s="19"/>
      <c r="G1112" s="20" t="s">
        <v>610</v>
      </c>
      <c r="H1112" s="21"/>
      <c r="I1112" s="22"/>
      <c r="J1112" s="23"/>
      <c r="K1112" s="24">
        <v>55335.0</v>
      </c>
      <c r="L1112" s="24">
        <v>72000.0</v>
      </c>
      <c r="M1112" s="25"/>
      <c r="N1112" s="26">
        <v>64000.0</v>
      </c>
      <c r="O1112" s="27">
        <f t="shared" si="140"/>
        <v>0.3011656275</v>
      </c>
      <c r="P1112" s="28">
        <f t="shared" si="143"/>
        <v>0</v>
      </c>
    </row>
    <row r="1113" hidden="1">
      <c r="A1113" s="119" t="s">
        <v>1703</v>
      </c>
      <c r="B1113" s="36"/>
      <c r="C1113" s="18"/>
      <c r="D1113" s="4"/>
      <c r="E1113" s="19">
        <v>0.0</v>
      </c>
      <c r="F1113" s="19">
        <v>0.0</v>
      </c>
      <c r="G1113" s="16" t="s">
        <v>1205</v>
      </c>
      <c r="H1113" s="21"/>
      <c r="I1113" s="22">
        <v>0.0</v>
      </c>
      <c r="J1113" s="23"/>
      <c r="K1113" s="44">
        <f t="shared" ref="K1113:K1117" si="144">16336*1.19</f>
        <v>19439.84</v>
      </c>
      <c r="L1113" s="44">
        <v>32000.0</v>
      </c>
      <c r="M1113" s="25"/>
      <c r="N1113" s="26"/>
      <c r="O1113" s="27">
        <f t="shared" si="140"/>
        <v>0.6461040832</v>
      </c>
      <c r="P1113" s="28">
        <f t="shared" si="143"/>
        <v>0</v>
      </c>
    </row>
    <row r="1114" hidden="1">
      <c r="A1114" s="119" t="s">
        <v>1704</v>
      </c>
      <c r="B1114" s="36"/>
      <c r="C1114" s="18"/>
      <c r="D1114" s="4"/>
      <c r="E1114" s="19">
        <v>0.0</v>
      </c>
      <c r="F1114" s="19">
        <v>0.0</v>
      </c>
      <c r="G1114" s="16" t="s">
        <v>1635</v>
      </c>
      <c r="H1114" s="21"/>
      <c r="I1114" s="22">
        <v>0.0</v>
      </c>
      <c r="J1114" s="23"/>
      <c r="K1114" s="44">
        <f t="shared" si="144"/>
        <v>19439.84</v>
      </c>
      <c r="L1114" s="44">
        <v>32000.0</v>
      </c>
      <c r="M1114" s="25"/>
      <c r="N1114" s="26"/>
      <c r="O1114" s="27">
        <f t="shared" si="140"/>
        <v>0.6461040832</v>
      </c>
      <c r="P1114" s="28">
        <f t="shared" si="143"/>
        <v>0</v>
      </c>
    </row>
    <row r="1115" hidden="1">
      <c r="A1115" s="119" t="s">
        <v>1705</v>
      </c>
      <c r="B1115" s="36"/>
      <c r="C1115" s="18"/>
      <c r="D1115" s="4"/>
      <c r="E1115" s="19">
        <v>0.0</v>
      </c>
      <c r="F1115" s="19">
        <v>0.0</v>
      </c>
      <c r="G1115" s="16" t="s">
        <v>1635</v>
      </c>
      <c r="H1115" s="21"/>
      <c r="I1115" s="22">
        <v>0.0</v>
      </c>
      <c r="J1115" s="23"/>
      <c r="K1115" s="44">
        <f t="shared" si="144"/>
        <v>19439.84</v>
      </c>
      <c r="L1115" s="44">
        <v>32000.0</v>
      </c>
      <c r="M1115" s="25"/>
      <c r="N1115" s="26"/>
      <c r="O1115" s="27">
        <f t="shared" si="140"/>
        <v>0.6461040832</v>
      </c>
      <c r="P1115" s="28">
        <f t="shared" si="143"/>
        <v>0</v>
      </c>
    </row>
    <row r="1116" hidden="1">
      <c r="A1116" s="119" t="s">
        <v>1706</v>
      </c>
      <c r="B1116" s="36"/>
      <c r="C1116" s="18"/>
      <c r="D1116" s="4"/>
      <c r="E1116" s="19">
        <v>0.0</v>
      </c>
      <c r="F1116" s="19">
        <v>0.0</v>
      </c>
      <c r="G1116" s="16" t="s">
        <v>1635</v>
      </c>
      <c r="H1116" s="21"/>
      <c r="I1116" s="22">
        <v>0.0</v>
      </c>
      <c r="J1116" s="23"/>
      <c r="K1116" s="44">
        <f t="shared" si="144"/>
        <v>19439.84</v>
      </c>
      <c r="L1116" s="44">
        <v>32000.0</v>
      </c>
      <c r="M1116" s="25"/>
      <c r="N1116" s="26"/>
      <c r="O1116" s="27">
        <f t="shared" si="140"/>
        <v>0.6461040832</v>
      </c>
      <c r="P1116" s="28">
        <f t="shared" si="143"/>
        <v>0</v>
      </c>
    </row>
    <row r="1117" hidden="1">
      <c r="A1117" s="119" t="s">
        <v>1707</v>
      </c>
      <c r="B1117" s="36"/>
      <c r="C1117" s="18"/>
      <c r="D1117" s="4"/>
      <c r="E1117" s="19">
        <v>0.0</v>
      </c>
      <c r="F1117" s="19">
        <v>0.0</v>
      </c>
      <c r="G1117" s="16" t="s">
        <v>1635</v>
      </c>
      <c r="H1117" s="21"/>
      <c r="I1117" s="22">
        <v>0.0</v>
      </c>
      <c r="J1117" s="23"/>
      <c r="K1117" s="44">
        <f t="shared" si="144"/>
        <v>19439.84</v>
      </c>
      <c r="L1117" s="44">
        <v>32000.0</v>
      </c>
      <c r="M1117" s="25"/>
      <c r="N1117" s="26"/>
      <c r="O1117" s="27">
        <f t="shared" si="140"/>
        <v>0.6461040832</v>
      </c>
      <c r="P1117" s="28">
        <f t="shared" si="143"/>
        <v>0</v>
      </c>
    </row>
    <row r="1118" hidden="1">
      <c r="A1118" s="16" t="s">
        <v>1708</v>
      </c>
      <c r="B1118" s="36"/>
      <c r="C1118" s="18"/>
      <c r="D1118" s="4"/>
      <c r="E1118" s="19">
        <v>0.0</v>
      </c>
      <c r="F1118" s="19"/>
      <c r="G1118" s="20" t="s">
        <v>610</v>
      </c>
      <c r="H1118" s="99"/>
      <c r="I1118" s="22"/>
      <c r="J1118" s="182"/>
      <c r="K1118" s="226">
        <v>23145.0</v>
      </c>
      <c r="L1118" s="24">
        <v>32000.0</v>
      </c>
      <c r="M1118" s="25"/>
      <c r="N1118" s="26">
        <v>28000.0</v>
      </c>
      <c r="O1118" s="27">
        <f t="shared" si="140"/>
        <v>0.382588032</v>
      </c>
      <c r="P1118" s="28">
        <f t="shared" si="143"/>
        <v>0</v>
      </c>
    </row>
    <row r="1119" hidden="1">
      <c r="A1119" s="16" t="s">
        <v>1709</v>
      </c>
      <c r="B1119" s="36"/>
      <c r="C1119" s="18"/>
      <c r="D1119" s="4"/>
      <c r="E1119" s="19">
        <v>0.0</v>
      </c>
      <c r="F1119" s="19"/>
      <c r="G1119" s="20" t="s">
        <v>610</v>
      </c>
      <c r="H1119" s="99"/>
      <c r="I1119" s="22"/>
      <c r="J1119" s="182"/>
      <c r="K1119" s="226">
        <v>23145.0</v>
      </c>
      <c r="L1119" s="24">
        <v>32000.0</v>
      </c>
      <c r="M1119" s="25"/>
      <c r="N1119" s="26">
        <v>28000.0</v>
      </c>
      <c r="O1119" s="27">
        <f t="shared" si="140"/>
        <v>0.382588032</v>
      </c>
      <c r="P1119" s="28">
        <f t="shared" si="143"/>
        <v>0</v>
      </c>
    </row>
    <row r="1120" hidden="1">
      <c r="A1120" s="16" t="s">
        <v>1710</v>
      </c>
      <c r="B1120" s="36"/>
      <c r="C1120" s="18"/>
      <c r="D1120" s="4"/>
      <c r="E1120" s="19">
        <v>0.0</v>
      </c>
      <c r="F1120" s="19"/>
      <c r="G1120" s="20" t="s">
        <v>610</v>
      </c>
      <c r="H1120" s="99"/>
      <c r="I1120" s="22"/>
      <c r="J1120" s="182"/>
      <c r="K1120" s="226">
        <v>23145.0</v>
      </c>
      <c r="L1120" s="24">
        <v>32000.0</v>
      </c>
      <c r="M1120" s="25"/>
      <c r="N1120" s="26">
        <v>28000.0</v>
      </c>
      <c r="O1120" s="27">
        <f t="shared" si="140"/>
        <v>0.382588032</v>
      </c>
      <c r="P1120" s="28">
        <f t="shared" si="143"/>
        <v>0</v>
      </c>
    </row>
    <row r="1121" hidden="1">
      <c r="A1121" s="16" t="s">
        <v>1711</v>
      </c>
      <c r="B1121" s="36"/>
      <c r="C1121" s="18"/>
      <c r="D1121" s="4"/>
      <c r="E1121" s="19">
        <v>0.0</v>
      </c>
      <c r="F1121" s="19"/>
      <c r="G1121" s="20" t="s">
        <v>610</v>
      </c>
      <c r="H1121" s="99"/>
      <c r="I1121" s="22"/>
      <c r="J1121" s="182"/>
      <c r="K1121" s="226">
        <v>23145.0</v>
      </c>
      <c r="L1121" s="24">
        <v>32000.0</v>
      </c>
      <c r="M1121" s="25"/>
      <c r="N1121" s="26">
        <v>28000.0</v>
      </c>
      <c r="O1121" s="27">
        <f t="shared" si="140"/>
        <v>0.382588032</v>
      </c>
      <c r="P1121" s="28">
        <f t="shared" si="143"/>
        <v>0</v>
      </c>
    </row>
    <row r="1122" hidden="1">
      <c r="A1122" s="16" t="s">
        <v>1712</v>
      </c>
      <c r="B1122" s="36"/>
      <c r="C1122" s="18"/>
      <c r="D1122" s="4"/>
      <c r="E1122" s="19">
        <v>0.0</v>
      </c>
      <c r="F1122" s="19"/>
      <c r="G1122" s="20" t="s">
        <v>610</v>
      </c>
      <c r="H1122" s="99"/>
      <c r="I1122" s="22"/>
      <c r="J1122" s="182"/>
      <c r="K1122" s="226">
        <v>23145.0</v>
      </c>
      <c r="L1122" s="24">
        <v>32000.0</v>
      </c>
      <c r="M1122" s="25"/>
      <c r="N1122" s="26">
        <v>28000.0</v>
      </c>
      <c r="O1122" s="27">
        <f t="shared" si="140"/>
        <v>0.382588032</v>
      </c>
      <c r="P1122" s="28">
        <f t="shared" si="143"/>
        <v>0</v>
      </c>
    </row>
    <row r="1123" hidden="1">
      <c r="A1123" s="16" t="s">
        <v>1713</v>
      </c>
      <c r="B1123" s="36"/>
      <c r="C1123" s="18"/>
      <c r="D1123" s="4"/>
      <c r="E1123" s="19">
        <v>0.0</v>
      </c>
      <c r="F1123" s="19"/>
      <c r="G1123" s="20" t="s">
        <v>610</v>
      </c>
      <c r="H1123" s="99"/>
      <c r="I1123" s="22"/>
      <c r="J1123" s="182"/>
      <c r="K1123" s="226">
        <v>23145.0</v>
      </c>
      <c r="L1123" s="24">
        <v>32000.0</v>
      </c>
      <c r="M1123" s="25"/>
      <c r="N1123" s="26">
        <v>28000.0</v>
      </c>
      <c r="O1123" s="27">
        <f t="shared" si="140"/>
        <v>0.382588032</v>
      </c>
      <c r="P1123" s="28">
        <f t="shared" si="143"/>
        <v>0</v>
      </c>
    </row>
    <row r="1124" hidden="1">
      <c r="A1124" s="16" t="s">
        <v>1714</v>
      </c>
      <c r="B1124" s="36"/>
      <c r="C1124" s="18"/>
      <c r="D1124" s="4"/>
      <c r="E1124" s="19">
        <v>0.0</v>
      </c>
      <c r="F1124" s="19"/>
      <c r="G1124" s="20" t="s">
        <v>610</v>
      </c>
      <c r="H1124" s="99"/>
      <c r="I1124" s="22"/>
      <c r="J1124" s="182"/>
      <c r="K1124" s="226">
        <v>23145.0</v>
      </c>
      <c r="L1124" s="24">
        <v>32000.0</v>
      </c>
      <c r="M1124" s="25"/>
      <c r="N1124" s="26">
        <v>28000.0</v>
      </c>
      <c r="O1124" s="27">
        <f t="shared" si="140"/>
        <v>0.382588032</v>
      </c>
      <c r="P1124" s="28">
        <f t="shared" si="143"/>
        <v>0</v>
      </c>
    </row>
    <row r="1125" hidden="1">
      <c r="A1125" s="16" t="s">
        <v>1715</v>
      </c>
      <c r="B1125" s="36"/>
      <c r="C1125" s="18" t="s">
        <v>1020</v>
      </c>
      <c r="D1125" s="4"/>
      <c r="E1125" s="19">
        <v>0.0</v>
      </c>
      <c r="F1125" s="19"/>
      <c r="G1125" s="20" t="s">
        <v>610</v>
      </c>
      <c r="H1125" s="99"/>
      <c r="I1125" s="22"/>
      <c r="J1125" s="182"/>
      <c r="K1125" s="226">
        <v>23145.0</v>
      </c>
      <c r="L1125" s="24">
        <v>32000.0</v>
      </c>
      <c r="M1125" s="25"/>
      <c r="N1125" s="26">
        <v>28000.0</v>
      </c>
      <c r="O1125" s="27">
        <f t="shared" si="140"/>
        <v>0.382588032</v>
      </c>
      <c r="P1125" s="28">
        <f t="shared" si="143"/>
        <v>0</v>
      </c>
    </row>
    <row r="1126" hidden="1">
      <c r="A1126" s="16" t="s">
        <v>1716</v>
      </c>
      <c r="B1126" s="36"/>
      <c r="C1126" s="18" t="s">
        <v>1020</v>
      </c>
      <c r="D1126" s="4"/>
      <c r="E1126" s="19">
        <v>0.0</v>
      </c>
      <c r="F1126" s="19"/>
      <c r="G1126" s="138" t="s">
        <v>610</v>
      </c>
      <c r="H1126" s="99"/>
      <c r="I1126" s="22"/>
      <c r="J1126" s="182"/>
      <c r="K1126" s="226">
        <v>23145.0</v>
      </c>
      <c r="L1126" s="24">
        <v>32000.0</v>
      </c>
      <c r="M1126" s="25"/>
      <c r="N1126" s="26">
        <v>28000.0</v>
      </c>
      <c r="O1126" s="27">
        <f t="shared" si="140"/>
        <v>0.382588032</v>
      </c>
      <c r="P1126" s="28">
        <f t="shared" si="143"/>
        <v>0</v>
      </c>
    </row>
    <row r="1127" hidden="1">
      <c r="A1127" s="16" t="s">
        <v>1717</v>
      </c>
      <c r="B1127" s="36"/>
      <c r="C1127" s="18"/>
      <c r="D1127" s="4"/>
      <c r="E1127" s="19">
        <v>0.0</v>
      </c>
      <c r="F1127" s="19"/>
      <c r="G1127" s="20" t="s">
        <v>610</v>
      </c>
      <c r="H1127" s="99"/>
      <c r="I1127" s="22"/>
      <c r="J1127" s="173"/>
      <c r="K1127" s="227">
        <v>44625.0</v>
      </c>
      <c r="L1127" s="24">
        <v>58000.0</v>
      </c>
      <c r="M1127" s="25"/>
      <c r="N1127" s="26"/>
      <c r="O1127" s="27">
        <f t="shared" si="140"/>
        <v>0.299719888</v>
      </c>
      <c r="P1127" s="28">
        <f t="shared" si="143"/>
        <v>0</v>
      </c>
    </row>
    <row r="1128" hidden="1">
      <c r="A1128" s="16" t="s">
        <v>1718</v>
      </c>
      <c r="B1128" s="36"/>
      <c r="C1128" s="18"/>
      <c r="D1128" s="4"/>
      <c r="E1128" s="19">
        <v>0.0</v>
      </c>
      <c r="F1128" s="19"/>
      <c r="G1128" s="20" t="s">
        <v>610</v>
      </c>
      <c r="H1128" s="99"/>
      <c r="I1128" s="22"/>
      <c r="J1128" s="173"/>
      <c r="K1128" s="227">
        <v>44625.0</v>
      </c>
      <c r="L1128" s="24">
        <v>58000.0</v>
      </c>
      <c r="M1128" s="25"/>
      <c r="N1128" s="26"/>
      <c r="O1128" s="27">
        <f t="shared" si="140"/>
        <v>0.299719888</v>
      </c>
      <c r="P1128" s="28">
        <f t="shared" si="143"/>
        <v>0</v>
      </c>
    </row>
    <row r="1129" hidden="1">
      <c r="A1129" s="16" t="s">
        <v>1719</v>
      </c>
      <c r="B1129" s="36"/>
      <c r="C1129" s="18"/>
      <c r="D1129" s="4"/>
      <c r="E1129" s="19">
        <v>0.0</v>
      </c>
      <c r="F1129" s="19"/>
      <c r="G1129" s="20" t="s">
        <v>610</v>
      </c>
      <c r="H1129" s="99"/>
      <c r="I1129" s="22"/>
      <c r="J1129" s="173"/>
      <c r="K1129" s="227">
        <v>44625.0</v>
      </c>
      <c r="L1129" s="24">
        <v>58000.0</v>
      </c>
      <c r="M1129" s="25"/>
      <c r="N1129" s="26"/>
      <c r="O1129" s="27">
        <f t="shared" si="140"/>
        <v>0.299719888</v>
      </c>
      <c r="P1129" s="28">
        <f t="shared" si="143"/>
        <v>0</v>
      </c>
    </row>
    <row r="1130" hidden="1">
      <c r="A1130" s="16" t="s">
        <v>1720</v>
      </c>
      <c r="B1130" s="36"/>
      <c r="C1130" s="18"/>
      <c r="D1130" s="4"/>
      <c r="E1130" s="19">
        <v>0.0</v>
      </c>
      <c r="F1130" s="19"/>
      <c r="G1130" s="20" t="s">
        <v>610</v>
      </c>
      <c r="H1130" s="99"/>
      <c r="I1130" s="22"/>
      <c r="J1130" s="173"/>
      <c r="K1130" s="227">
        <v>44625.0</v>
      </c>
      <c r="L1130" s="24">
        <v>58000.0</v>
      </c>
      <c r="M1130" s="25"/>
      <c r="N1130" s="26"/>
      <c r="O1130" s="27">
        <f t="shared" si="140"/>
        <v>0.299719888</v>
      </c>
      <c r="P1130" s="28">
        <f t="shared" si="143"/>
        <v>0</v>
      </c>
    </row>
    <row r="1131" hidden="1">
      <c r="A1131" s="16" t="s">
        <v>1721</v>
      </c>
      <c r="B1131" s="36"/>
      <c r="C1131" s="18"/>
      <c r="D1131" s="4"/>
      <c r="E1131" s="19">
        <v>0.0</v>
      </c>
      <c r="F1131" s="19"/>
      <c r="G1131" s="20" t="s">
        <v>610</v>
      </c>
      <c r="H1131" s="99"/>
      <c r="I1131" s="22"/>
      <c r="J1131" s="173"/>
      <c r="K1131" s="227">
        <v>44625.0</v>
      </c>
      <c r="L1131" s="24">
        <v>58000.0</v>
      </c>
      <c r="M1131" s="25"/>
      <c r="N1131" s="26"/>
      <c r="O1131" s="27">
        <f t="shared" si="140"/>
        <v>0.299719888</v>
      </c>
      <c r="P1131" s="28">
        <f t="shared" si="143"/>
        <v>0</v>
      </c>
    </row>
    <row r="1132" hidden="1">
      <c r="A1132" s="16" t="s">
        <v>1722</v>
      </c>
      <c r="B1132" s="36"/>
      <c r="C1132" s="18"/>
      <c r="D1132" s="4"/>
      <c r="E1132" s="19">
        <v>0.0</v>
      </c>
      <c r="F1132" s="19"/>
      <c r="G1132" s="20" t="s">
        <v>610</v>
      </c>
      <c r="H1132" s="21"/>
      <c r="I1132" s="22"/>
      <c r="J1132" s="23"/>
      <c r="K1132" s="227">
        <v>44625.0</v>
      </c>
      <c r="L1132" s="24">
        <v>58000.0</v>
      </c>
      <c r="M1132" s="25"/>
      <c r="N1132" s="26"/>
      <c r="O1132" s="27">
        <f t="shared" si="140"/>
        <v>0.299719888</v>
      </c>
      <c r="P1132" s="28">
        <f t="shared" si="143"/>
        <v>0</v>
      </c>
    </row>
    <row r="1133" hidden="1">
      <c r="A1133" s="16" t="s">
        <v>1723</v>
      </c>
      <c r="B1133" s="36"/>
      <c r="C1133" s="18"/>
      <c r="D1133" s="4"/>
      <c r="E1133" s="19">
        <v>0.0</v>
      </c>
      <c r="F1133" s="19"/>
      <c r="G1133" s="20" t="s">
        <v>610</v>
      </c>
      <c r="H1133" s="21"/>
      <c r="I1133" s="22"/>
      <c r="J1133" s="23"/>
      <c r="K1133" s="227">
        <v>44625.0</v>
      </c>
      <c r="L1133" s="24">
        <v>58000.0</v>
      </c>
      <c r="M1133" s="25"/>
      <c r="N1133" s="26"/>
      <c r="O1133" s="27">
        <f t="shared" si="140"/>
        <v>0.299719888</v>
      </c>
      <c r="P1133" s="28">
        <f t="shared" si="143"/>
        <v>0</v>
      </c>
    </row>
    <row r="1134" hidden="1">
      <c r="A1134" s="16" t="s">
        <v>1724</v>
      </c>
      <c r="B1134" s="36"/>
      <c r="C1134" s="18"/>
      <c r="D1134" s="4"/>
      <c r="E1134" s="19">
        <v>0.0</v>
      </c>
      <c r="F1134" s="19"/>
      <c r="G1134" s="20" t="s">
        <v>610</v>
      </c>
      <c r="H1134" s="99"/>
      <c r="I1134" s="22"/>
      <c r="J1134" s="173"/>
      <c r="K1134" s="227">
        <v>44625.0</v>
      </c>
      <c r="L1134" s="24">
        <v>58000.0</v>
      </c>
      <c r="M1134" s="25"/>
      <c r="N1134" s="26"/>
      <c r="O1134" s="27">
        <f t="shared" si="140"/>
        <v>0.299719888</v>
      </c>
      <c r="P1134" s="28">
        <f t="shared" si="143"/>
        <v>0</v>
      </c>
    </row>
    <row r="1135" hidden="1">
      <c r="A1135" s="16" t="s">
        <v>1725</v>
      </c>
      <c r="B1135" s="36"/>
      <c r="C1135" s="18"/>
      <c r="D1135" s="4"/>
      <c r="E1135" s="19">
        <v>0.0</v>
      </c>
      <c r="F1135" s="19"/>
      <c r="G1135" s="20" t="s">
        <v>610</v>
      </c>
      <c r="H1135" s="99"/>
      <c r="I1135" s="22"/>
      <c r="J1135" s="173"/>
      <c r="K1135" s="227">
        <v>44625.0</v>
      </c>
      <c r="L1135" s="24">
        <v>58000.0</v>
      </c>
      <c r="M1135" s="25"/>
      <c r="N1135" s="26"/>
      <c r="O1135" s="27">
        <f t="shared" si="140"/>
        <v>0.299719888</v>
      </c>
      <c r="P1135" s="28">
        <f t="shared" si="143"/>
        <v>0</v>
      </c>
    </row>
    <row r="1136" hidden="1">
      <c r="A1136" s="16" t="s">
        <v>1726</v>
      </c>
      <c r="B1136" s="36"/>
      <c r="C1136" s="18"/>
      <c r="D1136" s="4"/>
      <c r="E1136" s="19">
        <v>0.0</v>
      </c>
      <c r="F1136" s="19"/>
      <c r="G1136" s="20" t="s">
        <v>610</v>
      </c>
      <c r="H1136" s="99"/>
      <c r="I1136" s="22"/>
      <c r="J1136" s="173"/>
      <c r="K1136" s="227">
        <v>44625.0</v>
      </c>
      <c r="L1136" s="24">
        <v>58000.0</v>
      </c>
      <c r="M1136" s="25"/>
      <c r="N1136" s="26"/>
      <c r="O1136" s="27">
        <f t="shared" si="140"/>
        <v>0.299719888</v>
      </c>
      <c r="P1136" s="28">
        <f t="shared" si="143"/>
        <v>0</v>
      </c>
    </row>
    <row r="1137" hidden="1">
      <c r="A1137" s="16" t="s">
        <v>1727</v>
      </c>
      <c r="B1137" s="36"/>
      <c r="C1137" s="18"/>
      <c r="D1137" s="4"/>
      <c r="E1137" s="19">
        <v>0.0</v>
      </c>
      <c r="F1137" s="19"/>
      <c r="G1137" s="20" t="s">
        <v>610</v>
      </c>
      <c r="H1137" s="99"/>
      <c r="I1137" s="22"/>
      <c r="J1137" s="173"/>
      <c r="K1137" s="227">
        <v>44625.0</v>
      </c>
      <c r="L1137" s="24">
        <v>58000.0</v>
      </c>
      <c r="M1137" s="25"/>
      <c r="N1137" s="26"/>
      <c r="O1137" s="27">
        <f t="shared" si="140"/>
        <v>0.299719888</v>
      </c>
      <c r="P1137" s="28">
        <f t="shared" si="143"/>
        <v>0</v>
      </c>
    </row>
    <row r="1138" hidden="1">
      <c r="A1138" s="16" t="s">
        <v>1728</v>
      </c>
      <c r="B1138" s="36"/>
      <c r="C1138" s="18"/>
      <c r="D1138" s="4"/>
      <c r="E1138" s="19">
        <v>0.0</v>
      </c>
      <c r="F1138" s="19"/>
      <c r="G1138" s="20" t="s">
        <v>610</v>
      </c>
      <c r="H1138" s="99"/>
      <c r="I1138" s="22"/>
      <c r="J1138" s="173"/>
      <c r="K1138" s="227">
        <v>44625.0</v>
      </c>
      <c r="L1138" s="24">
        <v>58000.0</v>
      </c>
      <c r="M1138" s="25"/>
      <c r="N1138" s="26"/>
      <c r="O1138" s="27">
        <f t="shared" si="140"/>
        <v>0.299719888</v>
      </c>
      <c r="P1138" s="28">
        <f t="shared" si="143"/>
        <v>0</v>
      </c>
    </row>
    <row r="1139" hidden="1">
      <c r="A1139" s="16" t="s">
        <v>1729</v>
      </c>
      <c r="B1139" s="36"/>
      <c r="C1139" s="18"/>
      <c r="D1139" s="4"/>
      <c r="E1139" s="19">
        <v>0.0</v>
      </c>
      <c r="F1139" s="19"/>
      <c r="G1139" s="20" t="s">
        <v>610</v>
      </c>
      <c r="H1139" s="99"/>
      <c r="I1139" s="22"/>
      <c r="J1139" s="182"/>
      <c r="K1139" s="226">
        <v>23145.0</v>
      </c>
      <c r="L1139" s="24">
        <v>32000.0</v>
      </c>
      <c r="M1139" s="25"/>
      <c r="N1139" s="26">
        <v>28000.0</v>
      </c>
      <c r="O1139" s="27">
        <f t="shared" si="140"/>
        <v>0.382588032</v>
      </c>
      <c r="P1139" s="28">
        <f t="shared" si="143"/>
        <v>0</v>
      </c>
    </row>
    <row r="1140" hidden="1">
      <c r="A1140" s="16" t="s">
        <v>1730</v>
      </c>
      <c r="B1140" s="36"/>
      <c r="C1140" s="18"/>
      <c r="D1140" s="4"/>
      <c r="E1140" s="19">
        <v>0.0</v>
      </c>
      <c r="F1140" s="19"/>
      <c r="G1140" s="20" t="s">
        <v>610</v>
      </c>
      <c r="H1140" s="99"/>
      <c r="I1140" s="22"/>
      <c r="J1140" s="182"/>
      <c r="K1140" s="226">
        <v>23145.0</v>
      </c>
      <c r="L1140" s="24">
        <v>32000.0</v>
      </c>
      <c r="M1140" s="25"/>
      <c r="N1140" s="26">
        <v>28000.0</v>
      </c>
      <c r="O1140" s="27">
        <f t="shared" si="140"/>
        <v>0.382588032</v>
      </c>
      <c r="P1140" s="28">
        <f t="shared" si="143"/>
        <v>0</v>
      </c>
    </row>
    <row r="1141" hidden="1">
      <c r="A1141" s="16" t="s">
        <v>1731</v>
      </c>
      <c r="B1141" s="36"/>
      <c r="C1141" s="18"/>
      <c r="D1141" s="4"/>
      <c r="E1141" s="19">
        <v>0.0</v>
      </c>
      <c r="F1141" s="19"/>
      <c r="G1141" s="20" t="s">
        <v>610</v>
      </c>
      <c r="H1141" s="99"/>
      <c r="I1141" s="22"/>
      <c r="J1141" s="182"/>
      <c r="K1141" s="226">
        <v>23145.0</v>
      </c>
      <c r="L1141" s="24">
        <v>32000.0</v>
      </c>
      <c r="M1141" s="25"/>
      <c r="N1141" s="26">
        <v>28000.0</v>
      </c>
      <c r="O1141" s="27">
        <f t="shared" si="140"/>
        <v>0.382588032</v>
      </c>
      <c r="P1141" s="28">
        <f t="shared" si="143"/>
        <v>0</v>
      </c>
    </row>
    <row r="1142" hidden="1">
      <c r="A1142" s="16" t="s">
        <v>1732</v>
      </c>
      <c r="B1142" s="36"/>
      <c r="C1142" s="18"/>
      <c r="D1142" s="4"/>
      <c r="E1142" s="19">
        <v>0.0</v>
      </c>
      <c r="F1142" s="19"/>
      <c r="G1142" s="20" t="s">
        <v>610</v>
      </c>
      <c r="H1142" s="99"/>
      <c r="I1142" s="22"/>
      <c r="J1142" s="182"/>
      <c r="K1142" s="226">
        <v>23145.0</v>
      </c>
      <c r="L1142" s="24">
        <v>32000.0</v>
      </c>
      <c r="M1142" s="25"/>
      <c r="N1142" s="26">
        <v>28000.0</v>
      </c>
      <c r="O1142" s="27">
        <f t="shared" si="140"/>
        <v>0.382588032</v>
      </c>
      <c r="P1142" s="28">
        <f t="shared" si="143"/>
        <v>0</v>
      </c>
    </row>
    <row r="1143" hidden="1">
      <c r="A1143" s="16" t="s">
        <v>1733</v>
      </c>
      <c r="B1143" s="36"/>
      <c r="C1143" s="18"/>
      <c r="D1143" s="4"/>
      <c r="E1143" s="19">
        <v>0.0</v>
      </c>
      <c r="F1143" s="19"/>
      <c r="G1143" s="20" t="s">
        <v>610</v>
      </c>
      <c r="H1143" s="99"/>
      <c r="I1143" s="22"/>
      <c r="J1143" s="182"/>
      <c r="K1143" s="226">
        <v>23145.0</v>
      </c>
      <c r="L1143" s="24">
        <v>32000.0</v>
      </c>
      <c r="M1143" s="25"/>
      <c r="N1143" s="26">
        <v>28000.0</v>
      </c>
      <c r="O1143" s="27">
        <f t="shared" si="140"/>
        <v>0.382588032</v>
      </c>
      <c r="P1143" s="28">
        <f t="shared" si="143"/>
        <v>0</v>
      </c>
    </row>
    <row r="1144" hidden="1">
      <c r="A1144" s="16" t="s">
        <v>1734</v>
      </c>
      <c r="B1144" s="36"/>
      <c r="C1144" s="18"/>
      <c r="D1144" s="4"/>
      <c r="E1144" s="19">
        <v>0.0</v>
      </c>
      <c r="F1144" s="19"/>
      <c r="G1144" s="20" t="s">
        <v>610</v>
      </c>
      <c r="H1144" s="99"/>
      <c r="I1144" s="22"/>
      <c r="J1144" s="182"/>
      <c r="K1144" s="226">
        <v>23145.0</v>
      </c>
      <c r="L1144" s="24">
        <v>32000.0</v>
      </c>
      <c r="M1144" s="25"/>
      <c r="N1144" s="26">
        <v>28000.0</v>
      </c>
      <c r="O1144" s="27">
        <f t="shared" si="140"/>
        <v>0.382588032</v>
      </c>
      <c r="P1144" s="28">
        <f t="shared" si="143"/>
        <v>0</v>
      </c>
    </row>
    <row r="1145" hidden="1">
      <c r="A1145" s="16" t="s">
        <v>1735</v>
      </c>
      <c r="B1145" s="36"/>
      <c r="C1145" s="18"/>
      <c r="D1145" s="4"/>
      <c r="E1145" s="19">
        <v>0.0</v>
      </c>
      <c r="F1145" s="19"/>
      <c r="G1145" s="20" t="s">
        <v>610</v>
      </c>
      <c r="H1145" s="99"/>
      <c r="I1145" s="22"/>
      <c r="J1145" s="182"/>
      <c r="K1145" s="226">
        <v>23145.0</v>
      </c>
      <c r="L1145" s="24">
        <v>32000.0</v>
      </c>
      <c r="M1145" s="25"/>
      <c r="N1145" s="26">
        <v>28000.0</v>
      </c>
      <c r="O1145" s="27">
        <f t="shared" si="140"/>
        <v>0.382588032</v>
      </c>
      <c r="P1145" s="28">
        <f t="shared" si="143"/>
        <v>0</v>
      </c>
    </row>
    <row r="1146" hidden="1">
      <c r="A1146" s="16" t="s">
        <v>1736</v>
      </c>
      <c r="B1146" s="36"/>
      <c r="C1146" s="18" t="s">
        <v>1020</v>
      </c>
      <c r="D1146" s="4"/>
      <c r="E1146" s="19">
        <v>0.0</v>
      </c>
      <c r="F1146" s="19"/>
      <c r="G1146" s="20" t="s">
        <v>610</v>
      </c>
      <c r="H1146" s="99"/>
      <c r="I1146" s="22"/>
      <c r="J1146" s="182"/>
      <c r="K1146" s="226">
        <v>23145.0</v>
      </c>
      <c r="L1146" s="24">
        <v>32000.0</v>
      </c>
      <c r="M1146" s="25"/>
      <c r="N1146" s="26">
        <v>28000.0</v>
      </c>
      <c r="O1146" s="27">
        <f t="shared" si="140"/>
        <v>0.382588032</v>
      </c>
      <c r="P1146" s="28">
        <f t="shared" si="143"/>
        <v>0</v>
      </c>
    </row>
    <row r="1147" hidden="1">
      <c r="A1147" s="16" t="s">
        <v>1737</v>
      </c>
      <c r="B1147" s="36"/>
      <c r="C1147" s="18"/>
      <c r="D1147" s="4"/>
      <c r="E1147" s="19">
        <v>0.0</v>
      </c>
      <c r="F1147" s="19"/>
      <c r="G1147" s="20" t="s">
        <v>610</v>
      </c>
      <c r="H1147" s="99"/>
      <c r="I1147" s="22"/>
      <c r="J1147" s="182"/>
      <c r="K1147" s="226">
        <v>23145.0</v>
      </c>
      <c r="L1147" s="24">
        <v>32000.0</v>
      </c>
      <c r="M1147" s="25"/>
      <c r="N1147" s="26">
        <v>28000.0</v>
      </c>
      <c r="O1147" s="27">
        <f t="shared" si="140"/>
        <v>0.382588032</v>
      </c>
      <c r="P1147" s="28">
        <f t="shared" si="143"/>
        <v>0</v>
      </c>
    </row>
    <row r="1148" hidden="1">
      <c r="A1148" s="16" t="s">
        <v>1738</v>
      </c>
      <c r="B1148" s="36"/>
      <c r="C1148" s="18"/>
      <c r="D1148" s="4"/>
      <c r="E1148" s="19">
        <v>0.0</v>
      </c>
      <c r="F1148" s="19"/>
      <c r="G1148" s="20" t="s">
        <v>610</v>
      </c>
      <c r="H1148" s="99"/>
      <c r="I1148" s="22"/>
      <c r="J1148" s="182"/>
      <c r="K1148" s="226">
        <v>23145.0</v>
      </c>
      <c r="L1148" s="24">
        <v>32000.0</v>
      </c>
      <c r="M1148" s="25"/>
      <c r="N1148" s="26">
        <v>28000.0</v>
      </c>
      <c r="O1148" s="27">
        <f t="shared" si="140"/>
        <v>0.382588032</v>
      </c>
      <c r="P1148" s="28">
        <f t="shared" si="143"/>
        <v>0</v>
      </c>
    </row>
    <row r="1149" hidden="1">
      <c r="A1149" s="16" t="s">
        <v>1739</v>
      </c>
      <c r="B1149" s="36"/>
      <c r="C1149" s="18"/>
      <c r="D1149" s="4"/>
      <c r="E1149" s="19">
        <v>0.0</v>
      </c>
      <c r="F1149" s="19"/>
      <c r="G1149" s="20" t="s">
        <v>610</v>
      </c>
      <c r="H1149" s="99"/>
      <c r="I1149" s="22"/>
      <c r="J1149" s="182"/>
      <c r="K1149" s="226">
        <v>23145.0</v>
      </c>
      <c r="L1149" s="24">
        <v>32000.0</v>
      </c>
      <c r="M1149" s="25"/>
      <c r="N1149" s="26">
        <v>28000.0</v>
      </c>
      <c r="O1149" s="27">
        <f t="shared" si="140"/>
        <v>0.382588032</v>
      </c>
      <c r="P1149" s="28">
        <f t="shared" si="143"/>
        <v>0</v>
      </c>
    </row>
    <row r="1150" hidden="1">
      <c r="A1150" s="16" t="s">
        <v>1740</v>
      </c>
      <c r="B1150" s="36"/>
      <c r="C1150" s="18"/>
      <c r="D1150" s="4"/>
      <c r="E1150" s="19">
        <v>0.0</v>
      </c>
      <c r="F1150" s="19"/>
      <c r="G1150" s="20" t="s">
        <v>610</v>
      </c>
      <c r="H1150" s="99"/>
      <c r="I1150" s="22"/>
      <c r="J1150" s="182"/>
      <c r="K1150" s="226">
        <v>23145.0</v>
      </c>
      <c r="L1150" s="24">
        <v>32000.0</v>
      </c>
      <c r="M1150" s="25"/>
      <c r="N1150" s="26">
        <v>28000.0</v>
      </c>
      <c r="O1150" s="27">
        <f t="shared" si="140"/>
        <v>0.382588032</v>
      </c>
      <c r="P1150" s="28">
        <f t="shared" si="143"/>
        <v>0</v>
      </c>
    </row>
    <row r="1151" hidden="1">
      <c r="A1151" s="119" t="s">
        <v>1741</v>
      </c>
      <c r="B1151" s="36"/>
      <c r="C1151" s="18"/>
      <c r="D1151" s="4"/>
      <c r="E1151" s="19">
        <v>0.0</v>
      </c>
      <c r="F1151" s="19"/>
      <c r="G1151" s="20" t="s">
        <v>610</v>
      </c>
      <c r="H1151" s="21"/>
      <c r="I1151" s="22"/>
      <c r="J1151" s="29"/>
      <c r="K1151" s="43">
        <f>80750*1.16</f>
        <v>93670</v>
      </c>
      <c r="L1151" s="44">
        <v>125000.0</v>
      </c>
      <c r="M1151" s="25"/>
      <c r="N1151" s="26"/>
      <c r="O1151" s="27">
        <f t="shared" si="140"/>
        <v>0.3344720828</v>
      </c>
      <c r="P1151" s="28">
        <f t="shared" si="143"/>
        <v>0</v>
      </c>
    </row>
    <row r="1152" hidden="1">
      <c r="A1152" s="119" t="s">
        <v>1742</v>
      </c>
      <c r="B1152" s="36" t="s">
        <v>680</v>
      </c>
      <c r="C1152" s="18"/>
      <c r="D1152" s="4"/>
      <c r="E1152" s="19">
        <v>0.0</v>
      </c>
      <c r="F1152" s="19"/>
      <c r="G1152" s="20" t="s">
        <v>610</v>
      </c>
      <c r="H1152" s="73"/>
      <c r="I1152" s="22"/>
      <c r="J1152" s="74"/>
      <c r="K1152" s="75">
        <f>145900*1.16</f>
        <v>169244</v>
      </c>
      <c r="L1152" s="44">
        <v>210000.0</v>
      </c>
      <c r="M1152" s="25"/>
      <c r="N1152" s="26"/>
      <c r="O1152" s="27">
        <f t="shared" si="140"/>
        <v>0.240812082</v>
      </c>
      <c r="P1152" s="28">
        <f t="shared" si="143"/>
        <v>0</v>
      </c>
    </row>
    <row r="1153" hidden="1">
      <c r="A1153" s="16" t="s">
        <v>1743</v>
      </c>
      <c r="B1153" s="36"/>
      <c r="C1153" s="18"/>
      <c r="D1153" s="4"/>
      <c r="E1153" s="19"/>
      <c r="F1153" s="19"/>
      <c r="G1153" s="16" t="s">
        <v>88</v>
      </c>
      <c r="H1153" s="21"/>
      <c r="I1153" s="22">
        <v>0.0</v>
      </c>
      <c r="J1153" s="29"/>
      <c r="K1153" s="43">
        <v>6418.0</v>
      </c>
      <c r="L1153" s="44">
        <v>10000.0</v>
      </c>
      <c r="M1153" s="25"/>
      <c r="N1153" s="26"/>
      <c r="O1153" s="27">
        <f t="shared" si="140"/>
        <v>0.5581177937</v>
      </c>
      <c r="P1153" s="28">
        <f t="shared" si="143"/>
        <v>0</v>
      </c>
    </row>
    <row r="1154" hidden="1">
      <c r="A1154" s="16" t="s">
        <v>1744</v>
      </c>
      <c r="B1154" s="36"/>
      <c r="C1154" s="18"/>
      <c r="D1154" s="4"/>
      <c r="E1154" s="19">
        <v>0.0</v>
      </c>
      <c r="F1154" s="19">
        <v>0.0</v>
      </c>
      <c r="G1154" s="16" t="s">
        <v>1513</v>
      </c>
      <c r="H1154" s="21"/>
      <c r="I1154" s="22">
        <v>0.0</v>
      </c>
      <c r="J1154" s="29"/>
      <c r="K1154" s="43">
        <v>2000.0</v>
      </c>
      <c r="L1154" s="44">
        <v>3000.0</v>
      </c>
      <c r="M1154" s="25"/>
      <c r="N1154" s="50"/>
      <c r="O1154" s="27">
        <f t="shared" si="140"/>
        <v>0.5</v>
      </c>
      <c r="P1154" s="28">
        <f t="shared" si="143"/>
        <v>0</v>
      </c>
    </row>
    <row r="1155" hidden="1">
      <c r="A1155" s="16" t="s">
        <v>1745</v>
      </c>
      <c r="B1155" s="166"/>
      <c r="C1155" s="18"/>
      <c r="D1155" s="4"/>
      <c r="E1155" s="19">
        <v>0.0</v>
      </c>
      <c r="F1155" s="19">
        <v>0.0</v>
      </c>
      <c r="G1155" s="16" t="s">
        <v>999</v>
      </c>
      <c r="H1155" s="21"/>
      <c r="I1155" s="22">
        <v>0.0</v>
      </c>
      <c r="J1155" s="29"/>
      <c r="K1155" s="43">
        <v>35822.0</v>
      </c>
      <c r="L1155" s="44">
        <v>48000.0</v>
      </c>
      <c r="M1155" s="25" t="s">
        <v>76</v>
      </c>
      <c r="N1155" s="26"/>
      <c r="O1155" s="27">
        <f t="shared" si="140"/>
        <v>0.3399586846</v>
      </c>
      <c r="P1155" s="28">
        <f t="shared" si="143"/>
        <v>0</v>
      </c>
    </row>
    <row r="1156" hidden="1">
      <c r="A1156" s="52" t="s">
        <v>1746</v>
      </c>
      <c r="B1156" s="17"/>
      <c r="C1156" s="18"/>
      <c r="D1156" s="4"/>
      <c r="E1156" s="19">
        <v>0.0</v>
      </c>
      <c r="F1156" s="19">
        <v>0.0</v>
      </c>
      <c r="G1156" s="16" t="s">
        <v>1747</v>
      </c>
      <c r="H1156" s="21"/>
      <c r="I1156" s="22">
        <v>0.0</v>
      </c>
      <c r="J1156" s="29"/>
      <c r="K1156" s="48">
        <f>8600*2</f>
        <v>17200</v>
      </c>
      <c r="L1156" s="55">
        <v>25000.0</v>
      </c>
      <c r="M1156" s="78"/>
      <c r="N1156" s="26"/>
      <c r="O1156" s="27">
        <f t="shared" si="140"/>
        <v>0.4534883721</v>
      </c>
      <c r="P1156" s="28">
        <f t="shared" si="143"/>
        <v>0</v>
      </c>
    </row>
    <row r="1157" hidden="1">
      <c r="A1157" s="40" t="s">
        <v>1748</v>
      </c>
      <c r="B1157" s="17" t="s">
        <v>1749</v>
      </c>
      <c r="C1157" s="18"/>
      <c r="D1157" s="4"/>
      <c r="E1157" s="19">
        <v>0.0</v>
      </c>
      <c r="F1157" s="19">
        <v>0.0</v>
      </c>
      <c r="G1157" s="16" t="s">
        <v>561</v>
      </c>
      <c r="H1157" s="21"/>
      <c r="I1157" s="22" t="s">
        <v>99</v>
      </c>
      <c r="J1157" s="29"/>
      <c r="K1157" s="32">
        <v>9200.0</v>
      </c>
      <c r="L1157" s="24">
        <v>24000.0</v>
      </c>
      <c r="M1157" s="25"/>
      <c r="N1157" s="26">
        <v>12000.0</v>
      </c>
      <c r="O1157" s="27">
        <f t="shared" si="140"/>
        <v>1.608695652</v>
      </c>
      <c r="P1157" s="28">
        <f t="shared" si="143"/>
        <v>0</v>
      </c>
    </row>
    <row r="1158" hidden="1">
      <c r="A1158" s="40" t="s">
        <v>1750</v>
      </c>
      <c r="B1158" s="17"/>
      <c r="C1158" s="18"/>
      <c r="D1158" s="4"/>
      <c r="E1158" s="19">
        <v>0.0</v>
      </c>
      <c r="F1158" s="19">
        <v>0.0</v>
      </c>
      <c r="G1158" s="40" t="s">
        <v>93</v>
      </c>
      <c r="H1158" s="21"/>
      <c r="I1158" s="22" t="s">
        <v>99</v>
      </c>
      <c r="J1158" s="29"/>
      <c r="K1158" s="32">
        <f>K1157/40</f>
        <v>230</v>
      </c>
      <c r="L1158" s="24">
        <v>1000.0</v>
      </c>
      <c r="M1158" s="25"/>
      <c r="N1158" s="26"/>
      <c r="O1158" s="27">
        <f t="shared" si="140"/>
        <v>3.347826087</v>
      </c>
      <c r="P1158" s="28">
        <f t="shared" si="143"/>
        <v>0</v>
      </c>
    </row>
    <row r="1159" hidden="1">
      <c r="A1159" s="16" t="s">
        <v>1751</v>
      </c>
      <c r="B1159" s="17"/>
      <c r="C1159" s="18"/>
      <c r="D1159" s="4"/>
      <c r="E1159" s="19"/>
      <c r="F1159" s="19"/>
      <c r="G1159" s="20" t="s">
        <v>1752</v>
      </c>
      <c r="H1159" s="21"/>
      <c r="I1159" s="22"/>
      <c r="J1159" s="23"/>
      <c r="K1159" s="24">
        <v>295000.0</v>
      </c>
      <c r="L1159" s="24">
        <v>490000.0</v>
      </c>
      <c r="M1159" s="25"/>
      <c r="N1159" s="26"/>
      <c r="O1159" s="27">
        <f t="shared" si="140"/>
        <v>0.6610169492</v>
      </c>
      <c r="P1159" s="28"/>
    </row>
    <row r="1160" hidden="1">
      <c r="A1160" s="52" t="s">
        <v>1753</v>
      </c>
      <c r="B1160" s="36" t="s">
        <v>1754</v>
      </c>
      <c r="C1160" s="18"/>
      <c r="D1160" s="67"/>
      <c r="E1160" s="19">
        <v>30.0</v>
      </c>
      <c r="F1160" s="19">
        <v>0.0</v>
      </c>
      <c r="G1160" s="16" t="s">
        <v>1755</v>
      </c>
      <c r="H1160" s="21"/>
      <c r="I1160" s="22">
        <v>40.0</v>
      </c>
      <c r="J1160" s="29"/>
      <c r="K1160" s="48">
        <v>2200.0</v>
      </c>
      <c r="L1160" s="55">
        <v>4000.0</v>
      </c>
      <c r="M1160" s="25"/>
      <c r="N1160" s="26"/>
      <c r="O1160" s="27">
        <f t="shared" si="140"/>
        <v>0.8181818182</v>
      </c>
      <c r="P1160" s="28">
        <f>K1160*F1160</f>
        <v>0</v>
      </c>
    </row>
    <row r="1161" hidden="1">
      <c r="A1161" s="16" t="s">
        <v>1756</v>
      </c>
      <c r="B1161" s="51" t="s">
        <v>1757</v>
      </c>
      <c r="C1161" s="38"/>
      <c r="D1161" s="67"/>
      <c r="E1161" s="19"/>
      <c r="F1161" s="19">
        <f>174790*0.85*1.19</f>
        <v>176800.085</v>
      </c>
      <c r="G1161" s="16" t="s">
        <v>1435</v>
      </c>
      <c r="H1161" s="21"/>
      <c r="I1161" s="22">
        <v>2.0</v>
      </c>
      <c r="J1161" s="23"/>
      <c r="K1161" s="55">
        <v>208000.0</v>
      </c>
      <c r="L1161" s="55">
        <v>240000.0</v>
      </c>
      <c r="M1161" s="25"/>
      <c r="N1161" s="26">
        <v>200000.0</v>
      </c>
      <c r="O1161" s="27"/>
      <c r="P1161" s="28"/>
    </row>
    <row r="1162" hidden="1">
      <c r="A1162" s="16" t="s">
        <v>1758</v>
      </c>
      <c r="B1162" s="17"/>
      <c r="C1162" s="38"/>
      <c r="D1162" s="4"/>
      <c r="E1162" s="19">
        <v>0.0</v>
      </c>
      <c r="F1162" s="19">
        <v>0.0</v>
      </c>
      <c r="G1162" s="16" t="s">
        <v>400</v>
      </c>
      <c r="H1162" s="33"/>
      <c r="I1162" s="22">
        <v>1.0</v>
      </c>
      <c r="J1162" s="170"/>
      <c r="K1162" s="30">
        <v>192089.0</v>
      </c>
      <c r="L1162" s="24">
        <v>320000.0</v>
      </c>
      <c r="M1162" s="25"/>
      <c r="N1162" s="26"/>
      <c r="O1162" s="27"/>
      <c r="P1162" s="28"/>
    </row>
    <row r="1163" hidden="1">
      <c r="A1163" s="42" t="s">
        <v>1759</v>
      </c>
      <c r="B1163" s="71"/>
      <c r="C1163" s="18"/>
      <c r="D1163" s="4"/>
      <c r="E1163" s="19">
        <v>0.0</v>
      </c>
      <c r="F1163" s="19"/>
      <c r="G1163" s="16" t="s">
        <v>1760</v>
      </c>
      <c r="H1163" s="21"/>
      <c r="I1163" s="22"/>
      <c r="J1163" s="29"/>
      <c r="K1163" s="32">
        <v>65000.0</v>
      </c>
      <c r="L1163" s="24">
        <v>95000.0</v>
      </c>
      <c r="M1163" s="25"/>
      <c r="N1163" s="26"/>
      <c r="O1163" s="27">
        <f>(L1163/K1163)-1</f>
        <v>0.4615384615</v>
      </c>
      <c r="P1163" s="28">
        <f>K1163*F1163</f>
        <v>0</v>
      </c>
    </row>
    <row r="1164" hidden="1">
      <c r="A1164" s="16" t="s">
        <v>1761</v>
      </c>
      <c r="B1164" s="17"/>
      <c r="C1164" s="38"/>
      <c r="D1164" s="4"/>
      <c r="E1164" s="19">
        <v>0.0</v>
      </c>
      <c r="F1164" s="19">
        <v>0.0</v>
      </c>
      <c r="G1164" s="16" t="s">
        <v>470</v>
      </c>
      <c r="H1164" s="21"/>
      <c r="I1164" s="22">
        <v>0.0</v>
      </c>
      <c r="J1164" s="29"/>
      <c r="K1164" s="43"/>
      <c r="L1164" s="172">
        <v>615000.0</v>
      </c>
      <c r="M1164" s="25"/>
      <c r="N1164" s="26"/>
      <c r="O1164" s="27"/>
      <c r="P1164" s="28"/>
    </row>
    <row r="1165" hidden="1">
      <c r="A1165" s="16" t="s">
        <v>1762</v>
      </c>
      <c r="B1165" s="17"/>
      <c r="C1165" s="18"/>
      <c r="D1165" s="4"/>
      <c r="E1165" s="19">
        <v>0.0</v>
      </c>
      <c r="F1165" s="19">
        <v>0.0</v>
      </c>
      <c r="G1165" s="20" t="s">
        <v>93</v>
      </c>
      <c r="H1165" s="21"/>
      <c r="I1165" s="22">
        <v>0.0</v>
      </c>
      <c r="J1165" s="29"/>
      <c r="K1165" s="32">
        <v>191600.0</v>
      </c>
      <c r="L1165" s="24">
        <v>239000.0</v>
      </c>
      <c r="M1165" s="25"/>
      <c r="N1165" s="26"/>
      <c r="O1165" s="27">
        <f t="shared" ref="O1165:O1192" si="145">(L1165/K1165)-1</f>
        <v>0.2473903967</v>
      </c>
      <c r="P1165" s="28">
        <f t="shared" ref="P1165:P1191" si="146">K1165*F1165</f>
        <v>0</v>
      </c>
    </row>
    <row r="1166" hidden="1">
      <c r="A1166" s="52" t="s">
        <v>1763</v>
      </c>
      <c r="B1166" s="17" t="s">
        <v>1764</v>
      </c>
      <c r="C1166" s="18"/>
      <c r="D1166" s="4" t="s">
        <v>1765</v>
      </c>
      <c r="E1166" s="19">
        <v>0.0</v>
      </c>
      <c r="F1166" s="19">
        <v>2.0</v>
      </c>
      <c r="G1166" s="16" t="s">
        <v>1766</v>
      </c>
      <c r="H1166" s="21"/>
      <c r="I1166" s="22">
        <v>2.0</v>
      </c>
      <c r="J1166" s="29"/>
      <c r="K1166" s="48">
        <f>19400*0.95*1.19</f>
        <v>21931.7</v>
      </c>
      <c r="L1166" s="55">
        <v>35000.0</v>
      </c>
      <c r="M1166" s="25"/>
      <c r="N1166" s="50"/>
      <c r="O1166" s="27">
        <f t="shared" si="145"/>
        <v>0.5958635218</v>
      </c>
      <c r="P1166" s="200">
        <f t="shared" si="146"/>
        <v>43863.4</v>
      </c>
    </row>
    <row r="1167" hidden="1">
      <c r="A1167" s="149" t="s">
        <v>1767</v>
      </c>
      <c r="B1167" s="71"/>
      <c r="C1167" s="18"/>
      <c r="D1167" s="4"/>
      <c r="E1167" s="19">
        <v>0.0</v>
      </c>
      <c r="F1167" s="19"/>
      <c r="G1167" s="16" t="s">
        <v>1077</v>
      </c>
      <c r="H1167" s="21"/>
      <c r="I1167" s="22"/>
      <c r="J1167" s="29"/>
      <c r="K1167" s="43">
        <v>400.0</v>
      </c>
      <c r="L1167" s="44">
        <v>5600.0</v>
      </c>
      <c r="M1167" s="25"/>
      <c r="N1167" s="26"/>
      <c r="O1167" s="27">
        <f t="shared" si="145"/>
        <v>13</v>
      </c>
      <c r="P1167" s="28">
        <f t="shared" si="146"/>
        <v>0</v>
      </c>
    </row>
    <row r="1168" hidden="1">
      <c r="A1168" s="122" t="s">
        <v>1768</v>
      </c>
      <c r="B1168" s="17"/>
      <c r="C1168" s="18"/>
      <c r="D1168" s="4"/>
      <c r="E1168" s="19">
        <v>0.0</v>
      </c>
      <c r="F1168" s="19"/>
      <c r="G1168" s="16" t="s">
        <v>1769</v>
      </c>
      <c r="H1168" s="73"/>
      <c r="I1168" s="22"/>
      <c r="J1168" s="74"/>
      <c r="K1168" s="75">
        <v>10000.0</v>
      </c>
      <c r="L1168" s="44">
        <v>40000.0</v>
      </c>
      <c r="M1168" s="25"/>
      <c r="N1168" s="26"/>
      <c r="O1168" s="27">
        <f t="shared" si="145"/>
        <v>3</v>
      </c>
      <c r="P1168" s="28">
        <f t="shared" si="146"/>
        <v>0</v>
      </c>
    </row>
    <row r="1169" hidden="1">
      <c r="A1169" s="122" t="s">
        <v>1770</v>
      </c>
      <c r="B1169" s="17">
        <v>241019.0</v>
      </c>
      <c r="C1169" s="18" t="s">
        <v>1771</v>
      </c>
      <c r="D1169" s="4"/>
      <c r="E1169" s="19">
        <v>0.0</v>
      </c>
      <c r="F1169" s="19">
        <v>0.0</v>
      </c>
      <c r="G1169" s="16" t="s">
        <v>659</v>
      </c>
      <c r="H1169" s="21"/>
      <c r="I1169" s="22">
        <v>50.0</v>
      </c>
      <c r="J1169" s="23"/>
      <c r="K1169" s="44">
        <f>2264*1.19</f>
        <v>2694.16</v>
      </c>
      <c r="L1169" s="44">
        <v>5000.0</v>
      </c>
      <c r="M1169" s="25"/>
      <c r="N1169" s="70"/>
      <c r="O1169" s="27">
        <f t="shared" si="145"/>
        <v>0.8558660213</v>
      </c>
      <c r="P1169" s="28">
        <f t="shared" si="146"/>
        <v>0</v>
      </c>
    </row>
    <row r="1170" hidden="1">
      <c r="A1170" s="122" t="s">
        <v>1772</v>
      </c>
      <c r="B1170" s="17">
        <v>241018.0</v>
      </c>
      <c r="C1170" s="18" t="s">
        <v>687</v>
      </c>
      <c r="D1170" s="4"/>
      <c r="E1170" s="19">
        <v>0.0</v>
      </c>
      <c r="F1170" s="19">
        <v>0.0</v>
      </c>
      <c r="G1170" s="16" t="s">
        <v>659</v>
      </c>
      <c r="H1170" s="21"/>
      <c r="I1170" s="22">
        <v>90.0</v>
      </c>
      <c r="J1170" s="23"/>
      <c r="K1170" s="44">
        <f t="shared" ref="K1170:K1171" si="147">2103*1.19</f>
        <v>2502.57</v>
      </c>
      <c r="L1170" s="44">
        <v>5000.0</v>
      </c>
      <c r="M1170" s="25"/>
      <c r="N1170" s="70"/>
      <c r="O1170" s="27">
        <f t="shared" si="145"/>
        <v>0.9979461114</v>
      </c>
      <c r="P1170" s="28">
        <f t="shared" si="146"/>
        <v>0</v>
      </c>
    </row>
    <row r="1171" hidden="1">
      <c r="A1171" s="122" t="s">
        <v>1773</v>
      </c>
      <c r="B1171" s="17">
        <v>241018.0</v>
      </c>
      <c r="C1171" s="18" t="s">
        <v>687</v>
      </c>
      <c r="D1171" s="4"/>
      <c r="E1171" s="19">
        <v>0.0</v>
      </c>
      <c r="F1171" s="19">
        <v>0.0</v>
      </c>
      <c r="G1171" s="16" t="s">
        <v>659</v>
      </c>
      <c r="H1171" s="21"/>
      <c r="I1171" s="22">
        <v>50.0</v>
      </c>
      <c r="J1171" s="23"/>
      <c r="K1171" s="44">
        <f t="shared" si="147"/>
        <v>2502.57</v>
      </c>
      <c r="L1171" s="44">
        <v>5000.0</v>
      </c>
      <c r="M1171" s="25"/>
      <c r="N1171" s="70"/>
      <c r="O1171" s="27">
        <f t="shared" si="145"/>
        <v>0.9979461114</v>
      </c>
      <c r="P1171" s="28">
        <f t="shared" si="146"/>
        <v>0</v>
      </c>
    </row>
    <row r="1172" hidden="1">
      <c r="A1172" s="122" t="s">
        <v>1774</v>
      </c>
      <c r="B1172" s="17"/>
      <c r="C1172" s="18"/>
      <c r="D1172" s="4"/>
      <c r="E1172" s="19">
        <v>0.0</v>
      </c>
      <c r="F1172" s="19">
        <v>0.0</v>
      </c>
      <c r="G1172" s="16" t="s">
        <v>1775</v>
      </c>
      <c r="H1172" s="73"/>
      <c r="I1172" s="22">
        <v>20.0</v>
      </c>
      <c r="J1172" s="74"/>
      <c r="K1172" s="194">
        <f t="shared" ref="K1172:K1173" si="148">99000/6</f>
        <v>16500</v>
      </c>
      <c r="L1172" s="24">
        <v>26000.0</v>
      </c>
      <c r="M1172" s="25"/>
      <c r="N1172" s="26"/>
      <c r="O1172" s="27">
        <f t="shared" si="145"/>
        <v>0.5757575758</v>
      </c>
      <c r="P1172" s="28">
        <f t="shared" si="146"/>
        <v>0</v>
      </c>
    </row>
    <row r="1173" hidden="1">
      <c r="A1173" s="122" t="s">
        <v>1776</v>
      </c>
      <c r="B1173" s="17"/>
      <c r="C1173" s="18"/>
      <c r="D1173" s="4"/>
      <c r="E1173" s="19">
        <v>0.0</v>
      </c>
      <c r="F1173" s="19">
        <v>0.0</v>
      </c>
      <c r="G1173" s="16" t="s">
        <v>1775</v>
      </c>
      <c r="H1173" s="73"/>
      <c r="I1173" s="22">
        <v>7.0</v>
      </c>
      <c r="J1173" s="74"/>
      <c r="K1173" s="194">
        <f t="shared" si="148"/>
        <v>16500</v>
      </c>
      <c r="L1173" s="24">
        <v>26000.0</v>
      </c>
      <c r="M1173" s="25"/>
      <c r="N1173" s="26"/>
      <c r="O1173" s="27">
        <f t="shared" si="145"/>
        <v>0.5757575758</v>
      </c>
      <c r="P1173" s="28">
        <f t="shared" si="146"/>
        <v>0</v>
      </c>
    </row>
    <row r="1174" hidden="1">
      <c r="A1174" s="52" t="s">
        <v>1777</v>
      </c>
      <c r="B1174" s="49"/>
      <c r="C1174" s="18"/>
      <c r="D1174" s="4"/>
      <c r="E1174" s="19">
        <v>0.0</v>
      </c>
      <c r="F1174" s="19">
        <v>0.0</v>
      </c>
      <c r="G1174" s="16" t="s">
        <v>932</v>
      </c>
      <c r="H1174" s="21"/>
      <c r="I1174" s="22">
        <v>0.0</v>
      </c>
      <c r="J1174" s="29"/>
      <c r="K1174" s="43">
        <f>5126*1.19</f>
        <v>6099.94</v>
      </c>
      <c r="L1174" s="44">
        <v>12000.0</v>
      </c>
      <c r="M1174" s="25"/>
      <c r="N1174" s="26"/>
      <c r="O1174" s="27">
        <f t="shared" si="145"/>
        <v>0.9672324646</v>
      </c>
      <c r="P1174" s="28">
        <f t="shared" si="146"/>
        <v>0</v>
      </c>
    </row>
    <row r="1175" hidden="1">
      <c r="A1175" s="122" t="s">
        <v>1778</v>
      </c>
      <c r="B1175" s="17">
        <v>241021.0</v>
      </c>
      <c r="C1175" s="18" t="s">
        <v>1779</v>
      </c>
      <c r="D1175" s="4"/>
      <c r="E1175" s="19">
        <v>0.0</v>
      </c>
      <c r="F1175" s="19">
        <v>0.0</v>
      </c>
      <c r="G1175" s="16" t="s">
        <v>1780</v>
      </c>
      <c r="H1175" s="21"/>
      <c r="I1175" s="22">
        <v>9.0</v>
      </c>
      <c r="J1175" s="23"/>
      <c r="K1175" s="24">
        <f>1846*1.19</f>
        <v>2196.74</v>
      </c>
      <c r="L1175" s="24">
        <v>4000.0</v>
      </c>
      <c r="M1175" s="25"/>
      <c r="N1175" s="70">
        <v>3000.0</v>
      </c>
      <c r="O1175" s="27">
        <f t="shared" si="145"/>
        <v>0.8208800313</v>
      </c>
      <c r="P1175" s="28">
        <f t="shared" si="146"/>
        <v>0</v>
      </c>
    </row>
    <row r="1176" hidden="1">
      <c r="A1176" s="219" t="s">
        <v>1781</v>
      </c>
      <c r="B1176" s="17">
        <v>241022.0</v>
      </c>
      <c r="C1176" s="18" t="s">
        <v>1782</v>
      </c>
      <c r="D1176" s="4"/>
      <c r="E1176" s="19">
        <v>0.0</v>
      </c>
      <c r="F1176" s="19">
        <v>0.0</v>
      </c>
      <c r="G1176" s="16" t="s">
        <v>1780</v>
      </c>
      <c r="H1176" s="21"/>
      <c r="I1176" s="22">
        <v>0.0</v>
      </c>
      <c r="J1176" s="23"/>
      <c r="K1176" s="24">
        <f>1385*1.19</f>
        <v>1648.15</v>
      </c>
      <c r="L1176" s="24">
        <v>4000.0</v>
      </c>
      <c r="M1176" s="25"/>
      <c r="N1176" s="70">
        <v>3000.0</v>
      </c>
      <c r="O1176" s="27">
        <f t="shared" si="145"/>
        <v>1.426963565</v>
      </c>
      <c r="P1176" s="28">
        <f t="shared" si="146"/>
        <v>0</v>
      </c>
    </row>
    <row r="1177" hidden="1">
      <c r="A1177" s="228" t="s">
        <v>1783</v>
      </c>
      <c r="B1177" s="134" t="s">
        <v>1784</v>
      </c>
      <c r="C1177" s="18" t="s">
        <v>845</v>
      </c>
      <c r="D1177" s="98"/>
      <c r="E1177" s="19">
        <v>0.0</v>
      </c>
      <c r="F1177" s="19"/>
      <c r="G1177" s="20" t="s">
        <v>485</v>
      </c>
      <c r="H1177" s="21">
        <v>0.0</v>
      </c>
      <c r="I1177" s="22"/>
      <c r="J1177" s="173"/>
      <c r="K1177" s="174">
        <f>18764*1.19</f>
        <v>22329.16</v>
      </c>
      <c r="L1177" s="229">
        <v>35000.0</v>
      </c>
      <c r="M1177" s="25"/>
      <c r="N1177" s="26"/>
      <c r="O1177" s="27">
        <f t="shared" si="145"/>
        <v>0.567457083</v>
      </c>
      <c r="P1177" s="28">
        <f t="shared" si="146"/>
        <v>0</v>
      </c>
    </row>
    <row r="1178" hidden="1">
      <c r="A1178" s="59" t="s">
        <v>1785</v>
      </c>
      <c r="B1178" s="134" t="s">
        <v>1786</v>
      </c>
      <c r="C1178" s="18" t="s">
        <v>55</v>
      </c>
      <c r="D1178" s="98"/>
      <c r="E1178" s="19">
        <v>0.0</v>
      </c>
      <c r="F1178" s="19"/>
      <c r="G1178" s="16" t="s">
        <v>485</v>
      </c>
      <c r="H1178" s="21">
        <v>0.0</v>
      </c>
      <c r="I1178" s="22"/>
      <c r="J1178" s="29"/>
      <c r="K1178" s="43">
        <f t="shared" ref="K1178:K1179" si="149">26432*1.19</f>
        <v>31454.08</v>
      </c>
      <c r="L1178" s="229">
        <v>55000.0</v>
      </c>
      <c r="M1178" s="25"/>
      <c r="N1178" s="26"/>
      <c r="O1178" s="27">
        <f t="shared" si="145"/>
        <v>0.7485807882</v>
      </c>
      <c r="P1178" s="28">
        <f t="shared" si="146"/>
        <v>0</v>
      </c>
    </row>
    <row r="1179" hidden="1">
      <c r="A1179" s="59" t="s">
        <v>1787</v>
      </c>
      <c r="B1179" s="134" t="s">
        <v>1788</v>
      </c>
      <c r="C1179" s="18" t="s">
        <v>55</v>
      </c>
      <c r="D1179" s="98"/>
      <c r="E1179" s="19">
        <v>0.0</v>
      </c>
      <c r="F1179" s="19"/>
      <c r="G1179" s="16" t="s">
        <v>485</v>
      </c>
      <c r="H1179" s="21">
        <v>0.0</v>
      </c>
      <c r="I1179" s="22"/>
      <c r="J1179" s="29"/>
      <c r="K1179" s="43">
        <f t="shared" si="149"/>
        <v>31454.08</v>
      </c>
      <c r="L1179" s="229">
        <v>55000.0</v>
      </c>
      <c r="M1179" s="25"/>
      <c r="N1179" s="26"/>
      <c r="O1179" s="27">
        <f t="shared" si="145"/>
        <v>0.7485807882</v>
      </c>
      <c r="P1179" s="28">
        <f t="shared" si="146"/>
        <v>0</v>
      </c>
    </row>
    <row r="1180" hidden="1">
      <c r="A1180" s="59" t="s">
        <v>1789</v>
      </c>
      <c r="B1180" s="134"/>
      <c r="C1180" s="18"/>
      <c r="D1180" s="4"/>
      <c r="E1180" s="19">
        <v>0.0</v>
      </c>
      <c r="F1180" s="19">
        <v>0.0</v>
      </c>
      <c r="G1180" s="16" t="s">
        <v>84</v>
      </c>
      <c r="H1180" s="21"/>
      <c r="I1180" s="22" t="s">
        <v>99</v>
      </c>
      <c r="J1180" s="29"/>
      <c r="K1180" s="43">
        <v>4000.0</v>
      </c>
      <c r="L1180" s="44">
        <v>10000.0</v>
      </c>
      <c r="M1180" s="25"/>
      <c r="N1180" s="26"/>
      <c r="O1180" s="27">
        <f t="shared" si="145"/>
        <v>1.5</v>
      </c>
      <c r="P1180" s="28">
        <f t="shared" si="146"/>
        <v>0</v>
      </c>
    </row>
    <row r="1181" hidden="1">
      <c r="A1181" s="59" t="s">
        <v>1790</v>
      </c>
      <c r="B1181" s="134"/>
      <c r="C1181" s="18"/>
      <c r="D1181" s="4"/>
      <c r="E1181" s="19">
        <v>0.0</v>
      </c>
      <c r="F1181" s="19">
        <v>0.0</v>
      </c>
      <c r="G1181" s="16" t="s">
        <v>84</v>
      </c>
      <c r="H1181" s="21"/>
      <c r="I1181" s="22" t="s">
        <v>99</v>
      </c>
      <c r="J1181" s="29"/>
      <c r="K1181" s="43">
        <v>4000.0</v>
      </c>
      <c r="L1181" s="44">
        <v>10000.0</v>
      </c>
      <c r="M1181" s="25"/>
      <c r="N1181" s="26"/>
      <c r="O1181" s="27">
        <f t="shared" si="145"/>
        <v>1.5</v>
      </c>
      <c r="P1181" s="28">
        <f t="shared" si="146"/>
        <v>0</v>
      </c>
    </row>
    <row r="1182" hidden="1">
      <c r="A1182" s="40" t="s">
        <v>1791</v>
      </c>
      <c r="B1182" s="17"/>
      <c r="C1182" s="18"/>
      <c r="D1182" s="4"/>
      <c r="E1182" s="19">
        <v>0.0</v>
      </c>
      <c r="F1182" s="19">
        <v>0.0</v>
      </c>
      <c r="G1182" s="16" t="s">
        <v>286</v>
      </c>
      <c r="H1182" s="21"/>
      <c r="I1182" s="22">
        <v>0.0</v>
      </c>
      <c r="J1182" s="29"/>
      <c r="K1182" s="43">
        <v>7687.0</v>
      </c>
      <c r="L1182" s="44">
        <v>11000.0</v>
      </c>
      <c r="M1182" s="25"/>
      <c r="N1182" s="26"/>
      <c r="O1182" s="27">
        <f t="shared" si="145"/>
        <v>0.4309873813</v>
      </c>
      <c r="P1182" s="28">
        <f t="shared" si="146"/>
        <v>0</v>
      </c>
    </row>
    <row r="1183" hidden="1">
      <c r="A1183" s="16" t="s">
        <v>1792</v>
      </c>
      <c r="B1183" s="51" t="s">
        <v>1793</v>
      </c>
      <c r="C1183" s="18"/>
      <c r="D1183" s="230"/>
      <c r="E1183" s="19">
        <v>0.0</v>
      </c>
      <c r="F1183" s="19">
        <v>0.0</v>
      </c>
      <c r="G1183" s="54" t="s">
        <v>102</v>
      </c>
      <c r="H1183" s="21"/>
      <c r="I1183" s="22">
        <v>4.0</v>
      </c>
      <c r="J1183" s="29"/>
      <c r="K1183" s="32">
        <f>15423*1.19</f>
        <v>18353.37</v>
      </c>
      <c r="L1183" s="24">
        <v>38000.0</v>
      </c>
      <c r="M1183" s="25"/>
      <c r="N1183" s="26"/>
      <c r="O1183" s="27">
        <f t="shared" si="145"/>
        <v>1.070464443</v>
      </c>
      <c r="P1183" s="28">
        <f t="shared" si="146"/>
        <v>0</v>
      </c>
    </row>
    <row r="1184" hidden="1">
      <c r="A1184" s="119" t="s">
        <v>1794</v>
      </c>
      <c r="B1184" s="51"/>
      <c r="C1184" s="18"/>
      <c r="D1184" s="4"/>
      <c r="E1184" s="19">
        <v>0.0</v>
      </c>
      <c r="F1184" s="19">
        <v>0.0</v>
      </c>
      <c r="G1184" s="120" t="s">
        <v>1795</v>
      </c>
      <c r="H1184" s="21"/>
      <c r="I1184" s="22">
        <v>0.0</v>
      </c>
      <c r="J1184" s="29"/>
      <c r="K1184" s="43">
        <f>63050*1.19</f>
        <v>75029.5</v>
      </c>
      <c r="L1184" s="44">
        <v>100000.0</v>
      </c>
      <c r="M1184" s="25"/>
      <c r="N1184" s="26"/>
      <c r="O1184" s="27">
        <f t="shared" si="145"/>
        <v>0.3328090951</v>
      </c>
      <c r="P1184" s="28">
        <f t="shared" si="146"/>
        <v>0</v>
      </c>
    </row>
    <row r="1185" hidden="1">
      <c r="A1185" s="119" t="s">
        <v>1796</v>
      </c>
      <c r="B1185" s="51"/>
      <c r="C1185" s="18"/>
      <c r="D1185" s="4"/>
      <c r="E1185" s="19">
        <v>0.0</v>
      </c>
      <c r="F1185" s="19">
        <v>0.0</v>
      </c>
      <c r="G1185" s="120" t="s">
        <v>1795</v>
      </c>
      <c r="H1185" s="21"/>
      <c r="I1185" s="22">
        <v>0.0</v>
      </c>
      <c r="J1185" s="29"/>
      <c r="K1185" s="43">
        <f>99910*1.19</f>
        <v>118892.9</v>
      </c>
      <c r="L1185" s="44">
        <v>145000.0</v>
      </c>
      <c r="M1185" s="25"/>
      <c r="N1185" s="26"/>
      <c r="O1185" s="27">
        <f t="shared" si="145"/>
        <v>0.2195850215</v>
      </c>
      <c r="P1185" s="28">
        <f t="shared" si="146"/>
        <v>0</v>
      </c>
    </row>
    <row r="1186" hidden="1">
      <c r="A1186" s="42" t="s">
        <v>1797</v>
      </c>
      <c r="B1186" s="17"/>
      <c r="C1186" s="18"/>
      <c r="D1186" s="4"/>
      <c r="E1186" s="19">
        <v>0.0</v>
      </c>
      <c r="F1186" s="19">
        <v>0.0</v>
      </c>
      <c r="G1186" s="20" t="s">
        <v>1798</v>
      </c>
      <c r="H1186" s="21">
        <v>1.0</v>
      </c>
      <c r="I1186" s="22">
        <v>0.0</v>
      </c>
      <c r="J1186" s="29"/>
      <c r="K1186" s="32">
        <v>153800.0</v>
      </c>
      <c r="L1186" s="24">
        <v>195000.0</v>
      </c>
      <c r="M1186" s="25"/>
      <c r="N1186" s="26"/>
      <c r="O1186" s="27">
        <f t="shared" si="145"/>
        <v>0.2678803641</v>
      </c>
      <c r="P1186" s="28">
        <f t="shared" si="146"/>
        <v>0</v>
      </c>
    </row>
    <row r="1187" hidden="1">
      <c r="A1187" s="118" t="s">
        <v>1799</v>
      </c>
      <c r="B1187" s="17" t="s">
        <v>340</v>
      </c>
      <c r="C1187" s="18"/>
      <c r="D1187" s="4"/>
      <c r="E1187" s="19">
        <v>100.0</v>
      </c>
      <c r="F1187" s="19">
        <v>0.0</v>
      </c>
      <c r="G1187" s="16" t="s">
        <v>1800</v>
      </c>
      <c r="H1187" s="21"/>
      <c r="I1187" s="22">
        <v>50.0</v>
      </c>
      <c r="J1187" s="29"/>
      <c r="K1187" s="43">
        <v>252.0</v>
      </c>
      <c r="L1187" s="44">
        <v>500.0</v>
      </c>
      <c r="M1187" s="25"/>
      <c r="N1187" s="26"/>
      <c r="O1187" s="27">
        <f t="shared" si="145"/>
        <v>0.9841269841</v>
      </c>
      <c r="P1187" s="28">
        <f t="shared" si="146"/>
        <v>0</v>
      </c>
    </row>
    <row r="1188" hidden="1">
      <c r="A1188" s="118" t="s">
        <v>1801</v>
      </c>
      <c r="B1188" s="36" t="s">
        <v>1802</v>
      </c>
      <c r="C1188" s="18"/>
      <c r="D1188" s="4" t="s">
        <v>1803</v>
      </c>
      <c r="E1188" s="19">
        <v>0.0</v>
      </c>
      <c r="F1188" s="19"/>
      <c r="G1188" s="20" t="s">
        <v>1804</v>
      </c>
      <c r="H1188" s="21"/>
      <c r="I1188" s="22"/>
      <c r="J1188" s="29"/>
      <c r="K1188" s="48">
        <f>5000*0.95*1.19</f>
        <v>5652.5</v>
      </c>
      <c r="L1188" s="48">
        <v>10000.0</v>
      </c>
      <c r="M1188" s="25"/>
      <c r="N1188" s="50"/>
      <c r="O1188" s="27">
        <f t="shared" si="145"/>
        <v>0.7691287041</v>
      </c>
      <c r="P1188" s="28">
        <f t="shared" si="146"/>
        <v>0</v>
      </c>
    </row>
    <row r="1189" hidden="1">
      <c r="A1189" s="52" t="s">
        <v>1805</v>
      </c>
      <c r="B1189" s="17" t="s">
        <v>1806</v>
      </c>
      <c r="C1189" s="18"/>
      <c r="D1189" s="4"/>
      <c r="E1189" s="19">
        <v>0.0</v>
      </c>
      <c r="F1189" s="19"/>
      <c r="G1189" s="20" t="s">
        <v>1807</v>
      </c>
      <c r="H1189" s="21"/>
      <c r="I1189" s="22"/>
      <c r="J1189" s="29"/>
      <c r="K1189" s="48">
        <f>5400*1.19</f>
        <v>6426</v>
      </c>
      <c r="L1189" s="55">
        <v>10000.0</v>
      </c>
      <c r="M1189" s="25"/>
      <c r="N1189" s="50"/>
      <c r="O1189" s="27">
        <f t="shared" si="145"/>
        <v>0.5561780268</v>
      </c>
      <c r="P1189" s="28">
        <f t="shared" si="146"/>
        <v>0</v>
      </c>
    </row>
    <row r="1190" hidden="1">
      <c r="A1190" s="16" t="s">
        <v>1808</v>
      </c>
      <c r="B1190" s="17" t="s">
        <v>1809</v>
      </c>
      <c r="C1190" s="18"/>
      <c r="D1190" s="4" t="s">
        <v>1810</v>
      </c>
      <c r="E1190" s="19">
        <v>0.0</v>
      </c>
      <c r="F1190" s="19"/>
      <c r="G1190" s="16" t="s">
        <v>1811</v>
      </c>
      <c r="H1190" s="21"/>
      <c r="I1190" s="22"/>
      <c r="J1190" s="29"/>
      <c r="K1190" s="43">
        <v>1260.0</v>
      </c>
      <c r="L1190" s="44">
        <v>3500.0</v>
      </c>
      <c r="M1190" s="25"/>
      <c r="N1190" s="26"/>
      <c r="O1190" s="27">
        <f t="shared" si="145"/>
        <v>1.777777778</v>
      </c>
      <c r="P1190" s="28">
        <f t="shared" si="146"/>
        <v>0</v>
      </c>
    </row>
    <row r="1191" hidden="1">
      <c r="A1191" s="16" t="s">
        <v>1812</v>
      </c>
      <c r="B1191" s="36"/>
      <c r="C1191" s="18"/>
      <c r="D1191" s="4"/>
      <c r="E1191" s="19">
        <v>0.0</v>
      </c>
      <c r="F1191" s="19"/>
      <c r="G1191" s="16" t="s">
        <v>57</v>
      </c>
      <c r="H1191" s="21"/>
      <c r="I1191" s="22"/>
      <c r="J1191" s="29"/>
      <c r="K1191" s="43">
        <v>1.0</v>
      </c>
      <c r="L1191" s="44">
        <v>3000.0</v>
      </c>
      <c r="M1191" s="25"/>
      <c r="N1191" s="26"/>
      <c r="O1191" s="27">
        <f t="shared" si="145"/>
        <v>2999</v>
      </c>
      <c r="P1191" s="28">
        <f t="shared" si="146"/>
        <v>0</v>
      </c>
    </row>
    <row r="1192" hidden="1">
      <c r="A1192" s="231" t="s">
        <v>1813</v>
      </c>
      <c r="B1192" s="36"/>
      <c r="C1192" s="18"/>
      <c r="D1192" s="67"/>
      <c r="E1192" s="19"/>
      <c r="F1192" s="19"/>
      <c r="G1192" s="16" t="s">
        <v>1814</v>
      </c>
      <c r="H1192" s="21"/>
      <c r="I1192" s="22">
        <v>0.0</v>
      </c>
      <c r="J1192" s="29"/>
      <c r="K1192" s="48">
        <f>56471*1.19</f>
        <v>67200.49</v>
      </c>
      <c r="L1192" s="55">
        <v>96000.0</v>
      </c>
      <c r="M1192" s="25"/>
      <c r="N1192" s="26"/>
      <c r="O1192" s="27">
        <f t="shared" si="145"/>
        <v>0.428561012</v>
      </c>
      <c r="P1192" s="28"/>
    </row>
    <row r="1193" hidden="1">
      <c r="A1193" s="52" t="s">
        <v>1815</v>
      </c>
      <c r="B1193" s="16"/>
      <c r="C1193" s="18"/>
      <c r="D1193" s="98"/>
      <c r="E1193" s="19">
        <v>0.0</v>
      </c>
      <c r="F1193" s="19">
        <v>0.0</v>
      </c>
      <c r="G1193" s="16" t="s">
        <v>563</v>
      </c>
      <c r="H1193" s="21"/>
      <c r="I1193" s="22"/>
      <c r="J1193" s="47"/>
      <c r="K1193" s="48">
        <f t="shared" ref="K1193:K1194" si="150">28000*1.19/2</f>
        <v>16660</v>
      </c>
      <c r="L1193" s="48">
        <v>23000.0</v>
      </c>
      <c r="M1193" s="25">
        <v>19.0</v>
      </c>
      <c r="N1193" s="39"/>
      <c r="O1193" s="27">
        <f>(L1193/K1193)-1</f>
        <v>0.3805522209</v>
      </c>
      <c r="P1193" s="28">
        <f>K1193*F1193</f>
        <v>0</v>
      </c>
    </row>
    <row r="1194" hidden="1">
      <c r="A1194" s="231" t="s">
        <v>1816</v>
      </c>
      <c r="B1194" s="36"/>
      <c r="C1194" s="18"/>
      <c r="D1194" s="4"/>
      <c r="E1194" s="19">
        <v>0.0</v>
      </c>
      <c r="F1194" s="19">
        <v>0.0</v>
      </c>
      <c r="G1194" s="16" t="s">
        <v>65</v>
      </c>
      <c r="H1194" s="21"/>
      <c r="I1194" s="22">
        <v>0.0</v>
      </c>
      <c r="J1194" s="29"/>
      <c r="K1194" s="32">
        <f t="shared" si="150"/>
        <v>16660</v>
      </c>
      <c r="L1194" s="24">
        <v>23000.0</v>
      </c>
      <c r="M1194" s="25"/>
      <c r="N1194" s="26"/>
      <c r="O1194" s="27">
        <f t="shared" ref="O1194:O1203" si="151">(L1194/K1194)-1</f>
        <v>0.3805522209</v>
      </c>
      <c r="P1194" s="28"/>
    </row>
    <row r="1195" hidden="1">
      <c r="A1195" s="16" t="s">
        <v>1817</v>
      </c>
      <c r="B1195" s="17" t="s">
        <v>1818</v>
      </c>
      <c r="C1195" s="18"/>
      <c r="D1195" s="4"/>
      <c r="E1195" s="19">
        <v>0.0</v>
      </c>
      <c r="F1195" s="19"/>
      <c r="G1195" s="16" t="s">
        <v>1811</v>
      </c>
      <c r="H1195" s="21"/>
      <c r="I1195" s="22"/>
      <c r="J1195" s="29"/>
      <c r="K1195" s="48">
        <f>162000*1.19/35</f>
        <v>5508</v>
      </c>
      <c r="L1195" s="55">
        <v>9000.0</v>
      </c>
      <c r="M1195" s="25"/>
      <c r="N1195" s="26"/>
      <c r="O1195" s="27">
        <f t="shared" si="151"/>
        <v>0.6339869281</v>
      </c>
      <c r="P1195" s="28">
        <f t="shared" ref="P1195:P1196" si="152">K1195*F1195</f>
        <v>0</v>
      </c>
    </row>
    <row r="1196" hidden="1">
      <c r="A1196" s="16" t="s">
        <v>1819</v>
      </c>
      <c r="B1196" s="36"/>
      <c r="C1196" s="18"/>
      <c r="D1196" s="4"/>
      <c r="E1196" s="19">
        <v>0.0</v>
      </c>
      <c r="F1196" s="19">
        <v>0.0</v>
      </c>
      <c r="G1196" s="20" t="s">
        <v>1820</v>
      </c>
      <c r="H1196" s="21"/>
      <c r="I1196" s="22">
        <v>0.0</v>
      </c>
      <c r="J1196" s="29"/>
      <c r="K1196" s="43">
        <v>48900.0</v>
      </c>
      <c r="L1196" s="44">
        <v>70000.0</v>
      </c>
      <c r="M1196" s="25"/>
      <c r="N1196" s="26"/>
      <c r="O1196" s="27">
        <f t="shared" si="151"/>
        <v>0.4314928425</v>
      </c>
      <c r="P1196" s="28">
        <f t="shared" si="152"/>
        <v>0</v>
      </c>
    </row>
    <row r="1197" hidden="1">
      <c r="A1197" s="16" t="s">
        <v>1821</v>
      </c>
      <c r="B1197" s="36"/>
      <c r="C1197" s="18"/>
      <c r="D1197" s="4"/>
      <c r="E1197" s="19"/>
      <c r="F1197" s="19">
        <v>0.0</v>
      </c>
      <c r="G1197" s="20" t="s">
        <v>45</v>
      </c>
      <c r="H1197" s="21"/>
      <c r="I1197" s="22"/>
      <c r="J1197" s="29"/>
      <c r="K1197" s="48">
        <v>90375.0</v>
      </c>
      <c r="L1197" s="55">
        <v>110000.0</v>
      </c>
      <c r="M1197" s="25"/>
      <c r="N1197" s="26">
        <v>98000.0</v>
      </c>
      <c r="O1197" s="27">
        <f t="shared" si="151"/>
        <v>0.2171507607</v>
      </c>
      <c r="P1197" s="28"/>
    </row>
    <row r="1198" hidden="1">
      <c r="A1198" s="16" t="s">
        <v>1822</v>
      </c>
      <c r="B1198" s="17" t="s">
        <v>1823</v>
      </c>
      <c r="C1198" s="38"/>
      <c r="D1198" s="67"/>
      <c r="E1198" s="19"/>
      <c r="F1198" s="19"/>
      <c r="G1198" s="16" t="s">
        <v>1435</v>
      </c>
      <c r="H1198" s="143"/>
      <c r="I1198" s="22">
        <v>3.0</v>
      </c>
      <c r="J1198" s="232"/>
      <c r="K1198" s="233">
        <v>595000.0</v>
      </c>
      <c r="L1198" s="55">
        <v>720000.0</v>
      </c>
      <c r="M1198" s="25"/>
      <c r="N1198" s="26">
        <v>640000.0</v>
      </c>
      <c r="O1198" s="27">
        <f t="shared" si="151"/>
        <v>0.2100840336</v>
      </c>
      <c r="P1198" s="28">
        <f t="shared" ref="P1198:P1203" si="153">K1198*F1198</f>
        <v>0</v>
      </c>
    </row>
    <row r="1199" hidden="1">
      <c r="A1199" s="234" t="s">
        <v>1824</v>
      </c>
      <c r="B1199" s="17" t="s">
        <v>1825</v>
      </c>
      <c r="C1199" s="18" t="s">
        <v>948</v>
      </c>
      <c r="D1199" s="4"/>
      <c r="E1199" s="19" t="s">
        <v>1826</v>
      </c>
      <c r="F1199" s="19" t="s">
        <v>1827</v>
      </c>
      <c r="G1199" s="16" t="s">
        <v>1828</v>
      </c>
      <c r="H1199" s="21">
        <v>0.0</v>
      </c>
      <c r="I1199" s="235"/>
      <c r="J1199" s="29"/>
      <c r="K1199" s="32">
        <f>6400*1.19</f>
        <v>7616</v>
      </c>
      <c r="L1199" s="24">
        <v>13000.0</v>
      </c>
      <c r="M1199" s="25"/>
      <c r="N1199" s="70">
        <v>9000.0</v>
      </c>
      <c r="O1199" s="27">
        <f t="shared" si="151"/>
        <v>0.7069327731</v>
      </c>
      <c r="P1199" s="28" t="str">
        <f t="shared" si="153"/>
        <v>#VALUE!</v>
      </c>
    </row>
    <row r="1200" hidden="1">
      <c r="A1200" s="16" t="s">
        <v>1829</v>
      </c>
      <c r="B1200" s="17"/>
      <c r="C1200" s="18"/>
      <c r="D1200" s="4"/>
      <c r="E1200" s="19">
        <v>0.0</v>
      </c>
      <c r="F1200" s="19">
        <v>0.0</v>
      </c>
      <c r="G1200" s="16" t="s">
        <v>425</v>
      </c>
      <c r="H1200" s="99"/>
      <c r="I1200" s="22">
        <v>0.0</v>
      </c>
      <c r="J1200" s="182"/>
      <c r="K1200" s="236">
        <f>410851*1.19</f>
        <v>488912.69</v>
      </c>
      <c r="L1200" s="44">
        <v>720000.0</v>
      </c>
      <c r="M1200" s="25"/>
      <c r="N1200" s="26"/>
      <c r="O1200" s="27">
        <f t="shared" si="151"/>
        <v>0.4726555778</v>
      </c>
      <c r="P1200" s="28">
        <f t="shared" si="153"/>
        <v>0</v>
      </c>
    </row>
    <row r="1201" hidden="1">
      <c r="A1201" s="122" t="s">
        <v>1830</v>
      </c>
      <c r="B1201" s="17"/>
      <c r="C1201" s="18"/>
      <c r="D1201" s="4"/>
      <c r="E1201" s="19">
        <v>0.0</v>
      </c>
      <c r="F1201" s="19">
        <v>0.0</v>
      </c>
      <c r="G1201" s="16" t="s">
        <v>16</v>
      </c>
      <c r="H1201" s="73"/>
      <c r="I1201" s="22">
        <v>1.0</v>
      </c>
      <c r="J1201" s="74"/>
      <c r="K1201" s="75">
        <v>239400.0</v>
      </c>
      <c r="L1201" s="44">
        <v>550000.0</v>
      </c>
      <c r="M1201" s="25"/>
      <c r="N1201" s="26"/>
      <c r="O1201" s="27">
        <f t="shared" si="151"/>
        <v>1.297410192</v>
      </c>
      <c r="P1201" s="28">
        <f t="shared" si="153"/>
        <v>0</v>
      </c>
    </row>
    <row r="1202" hidden="1">
      <c r="A1202" s="122" t="s">
        <v>1831</v>
      </c>
      <c r="B1202" s="17"/>
      <c r="C1202" s="18"/>
      <c r="D1202" s="4"/>
      <c r="E1202" s="19">
        <v>0.0</v>
      </c>
      <c r="F1202" s="19">
        <v>0.0</v>
      </c>
      <c r="G1202" s="16" t="s">
        <v>16</v>
      </c>
      <c r="H1202" s="73"/>
      <c r="I1202" s="22">
        <v>0.0</v>
      </c>
      <c r="J1202" s="74"/>
      <c r="K1202" s="75">
        <v>291000.0</v>
      </c>
      <c r="L1202" s="44">
        <v>550000.0</v>
      </c>
      <c r="M1202" s="25"/>
      <c r="N1202" s="26"/>
      <c r="O1202" s="27">
        <f t="shared" si="151"/>
        <v>0.8900343643</v>
      </c>
      <c r="P1202" s="28">
        <f t="shared" si="153"/>
        <v>0</v>
      </c>
    </row>
    <row r="1203" hidden="1">
      <c r="A1203" s="122" t="s">
        <v>1832</v>
      </c>
      <c r="B1203" s="17">
        <v>243002.0</v>
      </c>
      <c r="C1203" s="18"/>
      <c r="D1203" s="98"/>
      <c r="E1203" s="19">
        <v>0.0</v>
      </c>
      <c r="F1203" s="19">
        <v>0.0</v>
      </c>
      <c r="G1203" s="16" t="s">
        <v>425</v>
      </c>
      <c r="H1203" s="21"/>
      <c r="I1203" s="22">
        <v>10.0</v>
      </c>
      <c r="J1203" s="23"/>
      <c r="K1203" s="55">
        <v>500000.0</v>
      </c>
      <c r="L1203" s="55">
        <v>580000.0</v>
      </c>
      <c r="M1203" s="25"/>
      <c r="N1203" s="26">
        <v>570000.0</v>
      </c>
      <c r="O1203" s="27">
        <f t="shared" si="151"/>
        <v>0.16</v>
      </c>
      <c r="P1203" s="28">
        <f t="shared" si="153"/>
        <v>0</v>
      </c>
    </row>
    <row r="1204" hidden="1">
      <c r="A1204" s="122" t="s">
        <v>1833</v>
      </c>
      <c r="B1204" s="17"/>
      <c r="C1204" s="18"/>
      <c r="D1204" s="4"/>
      <c r="E1204" s="19">
        <v>0.0</v>
      </c>
      <c r="F1204" s="19">
        <v>0.0</v>
      </c>
      <c r="G1204" s="16" t="s">
        <v>400</v>
      </c>
      <c r="H1204" s="73"/>
      <c r="I1204" s="22">
        <v>3.0</v>
      </c>
      <c r="J1204" s="74"/>
      <c r="K1204" s="75"/>
      <c r="L1204" s="44"/>
      <c r="M1204" s="25"/>
      <c r="N1204" s="26"/>
      <c r="O1204" s="27"/>
      <c r="P1204" s="28"/>
    </row>
    <row r="1205" hidden="1">
      <c r="A1205" s="122" t="s">
        <v>1834</v>
      </c>
      <c r="B1205" s="17"/>
      <c r="C1205" s="18"/>
      <c r="D1205" s="4"/>
      <c r="E1205" s="19">
        <v>0.0</v>
      </c>
      <c r="F1205" s="19"/>
      <c r="G1205" s="16" t="s">
        <v>553</v>
      </c>
      <c r="H1205" s="21"/>
      <c r="I1205" s="22"/>
      <c r="J1205" s="29"/>
      <c r="K1205" s="43">
        <v>1.0</v>
      </c>
      <c r="L1205" s="43">
        <v>1.0</v>
      </c>
      <c r="M1205" s="25"/>
      <c r="N1205" s="50"/>
      <c r="O1205" s="27">
        <f t="shared" ref="O1205:O1221" si="154">(L1205/K1205)-1</f>
        <v>0</v>
      </c>
      <c r="P1205" s="28">
        <f t="shared" ref="P1205:P1213" si="155">K1205*F1205</f>
        <v>0</v>
      </c>
    </row>
    <row r="1206" hidden="1">
      <c r="A1206" s="40" t="s">
        <v>1835</v>
      </c>
      <c r="B1206" s="36"/>
      <c r="C1206" s="18" t="s">
        <v>1020</v>
      </c>
      <c r="D1206" s="4"/>
      <c r="E1206" s="19">
        <v>0.0</v>
      </c>
      <c r="F1206" s="19">
        <v>5.0</v>
      </c>
      <c r="G1206" s="16" t="s">
        <v>610</v>
      </c>
      <c r="H1206" s="21"/>
      <c r="I1206" s="22"/>
      <c r="J1206" s="23"/>
      <c r="K1206" s="55">
        <f>73949*1.19</f>
        <v>87999.31</v>
      </c>
      <c r="L1206" s="55">
        <v>110000.0</v>
      </c>
      <c r="M1206" s="25"/>
      <c r="N1206" s="26">
        <v>94000.0</v>
      </c>
      <c r="O1206" s="27">
        <f t="shared" si="154"/>
        <v>0.2500098012</v>
      </c>
      <c r="P1206" s="28">
        <f t="shared" si="155"/>
        <v>439996.55</v>
      </c>
    </row>
    <row r="1207" hidden="1">
      <c r="A1207" s="118" t="s">
        <v>1836</v>
      </c>
      <c r="B1207" s="17"/>
      <c r="C1207" s="18"/>
      <c r="D1207" s="4"/>
      <c r="E1207" s="19">
        <v>0.0</v>
      </c>
      <c r="F1207" s="19">
        <v>0.0</v>
      </c>
      <c r="G1207" s="16" t="s">
        <v>513</v>
      </c>
      <c r="H1207" s="21"/>
      <c r="I1207" s="22">
        <v>0.0</v>
      </c>
      <c r="J1207" s="29"/>
      <c r="K1207" s="43">
        <v>7000.0</v>
      </c>
      <c r="L1207" s="44">
        <v>12000.0</v>
      </c>
      <c r="M1207" s="25"/>
      <c r="N1207" s="26"/>
      <c r="O1207" s="27">
        <f t="shared" si="154"/>
        <v>0.7142857143</v>
      </c>
      <c r="P1207" s="28">
        <f t="shared" si="155"/>
        <v>0</v>
      </c>
    </row>
    <row r="1208" hidden="1">
      <c r="A1208" s="122" t="s">
        <v>1837</v>
      </c>
      <c r="B1208" s="17">
        <v>248003.0</v>
      </c>
      <c r="C1208" s="18"/>
      <c r="D1208" s="4"/>
      <c r="E1208" s="19">
        <v>0.0</v>
      </c>
      <c r="F1208" s="19">
        <v>0.0</v>
      </c>
      <c r="G1208" s="16" t="s">
        <v>659</v>
      </c>
      <c r="H1208" s="73"/>
      <c r="I1208" s="22">
        <v>30.0</v>
      </c>
      <c r="J1208" s="74"/>
      <c r="K1208" s="75">
        <f>9596*1.19/12</f>
        <v>951.6033333</v>
      </c>
      <c r="L1208" s="44">
        <v>2000.0</v>
      </c>
      <c r="M1208" s="25"/>
      <c r="N1208" s="26"/>
      <c r="O1208" s="27">
        <f t="shared" si="154"/>
        <v>1.101716051</v>
      </c>
      <c r="P1208" s="28">
        <f t="shared" si="155"/>
        <v>0</v>
      </c>
    </row>
    <row r="1209" hidden="1">
      <c r="A1209" s="16" t="s">
        <v>1838</v>
      </c>
      <c r="B1209" s="178"/>
      <c r="C1209" s="18" t="s">
        <v>985</v>
      </c>
      <c r="D1209" s="4"/>
      <c r="E1209" s="19">
        <v>0.0</v>
      </c>
      <c r="F1209" s="19">
        <v>0.0</v>
      </c>
      <c r="G1209" s="40" t="s">
        <v>93</v>
      </c>
      <c r="H1209" s="21"/>
      <c r="I1209" s="22">
        <v>0.0</v>
      </c>
      <c r="J1209" s="29"/>
      <c r="K1209" s="48">
        <v>206700.0</v>
      </c>
      <c r="L1209" s="55">
        <v>229700.0</v>
      </c>
      <c r="M1209" s="25" t="s">
        <v>82</v>
      </c>
      <c r="N1209" s="39"/>
      <c r="O1209" s="27">
        <f t="shared" si="154"/>
        <v>0.1112723754</v>
      </c>
      <c r="P1209" s="28">
        <f t="shared" si="155"/>
        <v>0</v>
      </c>
    </row>
    <row r="1210" hidden="1">
      <c r="A1210" s="16" t="s">
        <v>1839</v>
      </c>
      <c r="B1210" s="51" t="s">
        <v>1840</v>
      </c>
      <c r="C1210" s="38"/>
      <c r="D1210" s="61"/>
      <c r="E1210" s="19"/>
      <c r="F1210" s="19"/>
      <c r="G1210" s="16" t="s">
        <v>91</v>
      </c>
      <c r="H1210" s="21">
        <f>87*2</f>
        <v>174</v>
      </c>
      <c r="I1210" s="22">
        <v>3.0</v>
      </c>
      <c r="J1210" s="47">
        <v>46508.0</v>
      </c>
      <c r="K1210" s="24">
        <f>174000/2</f>
        <v>87000</v>
      </c>
      <c r="L1210" s="24">
        <v>120000.0</v>
      </c>
      <c r="M1210" s="25"/>
      <c r="N1210" s="102">
        <v>90000.0</v>
      </c>
      <c r="O1210" s="27">
        <f t="shared" si="154"/>
        <v>0.3793103448</v>
      </c>
      <c r="P1210" s="28">
        <f t="shared" si="155"/>
        <v>0</v>
      </c>
    </row>
    <row r="1211" hidden="1">
      <c r="A1211" s="16" t="s">
        <v>1841</v>
      </c>
      <c r="B1211" s="17" t="s">
        <v>1842</v>
      </c>
      <c r="C1211" s="18"/>
      <c r="D1211" s="4" t="s">
        <v>1148</v>
      </c>
      <c r="E1211" s="19">
        <v>0.0</v>
      </c>
      <c r="F1211" s="19">
        <v>15.0</v>
      </c>
      <c r="G1211" s="20" t="s">
        <v>911</v>
      </c>
      <c r="H1211" s="21"/>
      <c r="I1211" s="22">
        <v>11.0</v>
      </c>
      <c r="J1211" s="29"/>
      <c r="K1211" s="32">
        <v>96000.0</v>
      </c>
      <c r="L1211" s="24">
        <v>130000.0</v>
      </c>
      <c r="M1211" s="25"/>
      <c r="N1211" s="26">
        <v>110000.0</v>
      </c>
      <c r="O1211" s="27">
        <f t="shared" si="154"/>
        <v>0.3541666667</v>
      </c>
      <c r="P1211" s="28">
        <f t="shared" si="155"/>
        <v>1440000</v>
      </c>
    </row>
    <row r="1212" hidden="1">
      <c r="A1212" s="16" t="s">
        <v>1843</v>
      </c>
      <c r="B1212" s="17" t="s">
        <v>1842</v>
      </c>
      <c r="C1212" s="18"/>
      <c r="D1212" s="4" t="s">
        <v>1148</v>
      </c>
      <c r="E1212" s="19">
        <v>0.0</v>
      </c>
      <c r="F1212" s="19">
        <v>15.0</v>
      </c>
      <c r="G1212" s="20" t="s">
        <v>911</v>
      </c>
      <c r="H1212" s="21"/>
      <c r="I1212" s="22">
        <v>0.0</v>
      </c>
      <c r="J1212" s="29"/>
      <c r="K1212" s="32">
        <v>96000.0</v>
      </c>
      <c r="L1212" s="24">
        <v>130000.0</v>
      </c>
      <c r="M1212" s="25"/>
      <c r="N1212" s="26"/>
      <c r="O1212" s="27">
        <f t="shared" si="154"/>
        <v>0.3541666667</v>
      </c>
      <c r="P1212" s="28">
        <f t="shared" si="155"/>
        <v>1440000</v>
      </c>
    </row>
    <row r="1213" hidden="1">
      <c r="A1213" s="52" t="s">
        <v>1844</v>
      </c>
      <c r="B1213" s="17" t="s">
        <v>1845</v>
      </c>
      <c r="C1213" s="18"/>
      <c r="D1213" s="4" t="s">
        <v>1148</v>
      </c>
      <c r="E1213" s="19">
        <v>0.0</v>
      </c>
      <c r="F1213" s="19">
        <v>15.0</v>
      </c>
      <c r="G1213" s="16" t="s">
        <v>1846</v>
      </c>
      <c r="H1213" s="21"/>
      <c r="I1213" s="22">
        <v>5.0</v>
      </c>
      <c r="J1213" s="29"/>
      <c r="K1213" s="32">
        <v>45000.0</v>
      </c>
      <c r="L1213" s="24">
        <v>65000.0</v>
      </c>
      <c r="M1213" s="25"/>
      <c r="N1213" s="26">
        <v>55000.0</v>
      </c>
      <c r="O1213" s="27">
        <f t="shared" si="154"/>
        <v>0.4444444444</v>
      </c>
      <c r="P1213" s="28">
        <f t="shared" si="155"/>
        <v>675000</v>
      </c>
    </row>
    <row r="1214" hidden="1">
      <c r="A1214" s="16" t="s">
        <v>1847</v>
      </c>
      <c r="B1214" s="17"/>
      <c r="C1214" s="18"/>
      <c r="D1214" s="4"/>
      <c r="E1214" s="19">
        <v>0.0</v>
      </c>
      <c r="F1214" s="19">
        <v>0.0</v>
      </c>
      <c r="G1214" s="16" t="s">
        <v>1846</v>
      </c>
      <c r="H1214" s="237"/>
      <c r="I1214" s="22">
        <v>11.0</v>
      </c>
      <c r="J1214" s="238"/>
      <c r="K1214" s="239"/>
      <c r="L1214" s="44">
        <v>78000.0</v>
      </c>
      <c r="M1214" s="25"/>
      <c r="N1214" s="26"/>
      <c r="O1214" s="27" t="str">
        <f t="shared" si="154"/>
        <v>#DIV/0!</v>
      </c>
      <c r="P1214" s="28">
        <f>L1214*F1214</f>
        <v>0</v>
      </c>
    </row>
    <row r="1215" hidden="1">
      <c r="A1215" s="52" t="s">
        <v>1848</v>
      </c>
      <c r="B1215" s="17" t="s">
        <v>1845</v>
      </c>
      <c r="C1215" s="18"/>
      <c r="D1215" s="4" t="s">
        <v>1148</v>
      </c>
      <c r="E1215" s="19">
        <v>0.0</v>
      </c>
      <c r="F1215" s="19">
        <v>10.0</v>
      </c>
      <c r="G1215" s="16" t="s">
        <v>1846</v>
      </c>
      <c r="H1215" s="21"/>
      <c r="I1215" s="22">
        <v>0.0</v>
      </c>
      <c r="J1215" s="29"/>
      <c r="K1215" s="32">
        <v>45000.0</v>
      </c>
      <c r="L1215" s="24">
        <v>65000.0</v>
      </c>
      <c r="M1215" s="25"/>
      <c r="N1215" s="26"/>
      <c r="O1215" s="27">
        <f t="shared" si="154"/>
        <v>0.4444444444</v>
      </c>
      <c r="P1215" s="28">
        <f t="shared" ref="P1215:P1221" si="156">K1215*F1215</f>
        <v>450000</v>
      </c>
    </row>
    <row r="1216" hidden="1">
      <c r="A1216" s="52" t="s">
        <v>1849</v>
      </c>
      <c r="B1216" s="17"/>
      <c r="C1216" s="18"/>
      <c r="D1216" s="4"/>
      <c r="E1216" s="19">
        <v>0.0</v>
      </c>
      <c r="F1216" s="19">
        <v>0.0</v>
      </c>
      <c r="G1216" s="16" t="s">
        <v>692</v>
      </c>
      <c r="H1216" s="21"/>
      <c r="I1216" s="22">
        <v>0.0</v>
      </c>
      <c r="J1216" s="29"/>
      <c r="K1216" s="43">
        <f t="shared" ref="K1216:K1217" si="157">82000*1.19</f>
        <v>97580</v>
      </c>
      <c r="L1216" s="44">
        <v>130000.0</v>
      </c>
      <c r="M1216" s="25"/>
      <c r="N1216" s="26"/>
      <c r="O1216" s="27">
        <f t="shared" si="154"/>
        <v>0.3322402132</v>
      </c>
      <c r="P1216" s="28">
        <f t="shared" si="156"/>
        <v>0</v>
      </c>
    </row>
    <row r="1217" hidden="1">
      <c r="A1217" s="52" t="s">
        <v>1850</v>
      </c>
      <c r="B1217" s="17"/>
      <c r="C1217" s="18"/>
      <c r="D1217" s="4"/>
      <c r="E1217" s="19">
        <v>0.0</v>
      </c>
      <c r="F1217" s="19">
        <v>0.0</v>
      </c>
      <c r="G1217" s="16" t="s">
        <v>692</v>
      </c>
      <c r="H1217" s="21"/>
      <c r="I1217" s="22">
        <v>0.0</v>
      </c>
      <c r="J1217" s="29"/>
      <c r="K1217" s="43">
        <f t="shared" si="157"/>
        <v>97580</v>
      </c>
      <c r="L1217" s="44">
        <v>130000.0</v>
      </c>
      <c r="M1217" s="25"/>
      <c r="N1217" s="26"/>
      <c r="O1217" s="27">
        <f t="shared" si="154"/>
        <v>0.3322402132</v>
      </c>
      <c r="P1217" s="28">
        <f t="shared" si="156"/>
        <v>0</v>
      </c>
    </row>
    <row r="1218" hidden="1">
      <c r="A1218" s="16" t="s">
        <v>1851</v>
      </c>
      <c r="B1218" s="17"/>
      <c r="C1218" s="18"/>
      <c r="D1218" s="4"/>
      <c r="E1218" s="19">
        <v>0.0</v>
      </c>
      <c r="F1218" s="19">
        <v>0.0</v>
      </c>
      <c r="G1218" s="20" t="s">
        <v>911</v>
      </c>
      <c r="H1218" s="21"/>
      <c r="I1218" s="22">
        <v>0.0</v>
      </c>
      <c r="J1218" s="29"/>
      <c r="K1218" s="48">
        <f>170000*1.19</f>
        <v>202300</v>
      </c>
      <c r="L1218" s="55">
        <v>280000.0</v>
      </c>
      <c r="M1218" s="25"/>
      <c r="N1218" s="26">
        <v>240000.0</v>
      </c>
      <c r="O1218" s="27">
        <f t="shared" si="154"/>
        <v>0.384083045</v>
      </c>
      <c r="P1218" s="28">
        <f t="shared" si="156"/>
        <v>0</v>
      </c>
    </row>
    <row r="1219" hidden="1">
      <c r="A1219" s="16" t="s">
        <v>1852</v>
      </c>
      <c r="B1219" s="17"/>
      <c r="C1219" s="18"/>
      <c r="D1219" s="4"/>
      <c r="E1219" s="19">
        <v>0.0</v>
      </c>
      <c r="F1219" s="19">
        <v>0.0</v>
      </c>
      <c r="G1219" s="20" t="s">
        <v>911</v>
      </c>
      <c r="H1219" s="21"/>
      <c r="I1219" s="22">
        <v>3.0</v>
      </c>
      <c r="J1219" s="29"/>
      <c r="K1219" s="32">
        <f>90000*1.19</f>
        <v>107100</v>
      </c>
      <c r="L1219" s="24">
        <v>160000.0</v>
      </c>
      <c r="M1219" s="25"/>
      <c r="N1219" s="26">
        <v>145000.0</v>
      </c>
      <c r="O1219" s="27">
        <f t="shared" si="154"/>
        <v>0.4939309057</v>
      </c>
      <c r="P1219" s="28">
        <f t="shared" si="156"/>
        <v>0</v>
      </c>
    </row>
    <row r="1220" hidden="1">
      <c r="A1220" s="16" t="s">
        <v>1853</v>
      </c>
      <c r="B1220" s="17" t="s">
        <v>1854</v>
      </c>
      <c r="C1220" s="18"/>
      <c r="D1220" s="4"/>
      <c r="E1220" s="19">
        <v>0.0</v>
      </c>
      <c r="F1220" s="19">
        <v>0.0</v>
      </c>
      <c r="G1220" s="16" t="s">
        <v>1855</v>
      </c>
      <c r="H1220" s="21"/>
      <c r="I1220" s="22">
        <v>19.0</v>
      </c>
      <c r="J1220" s="23"/>
      <c r="K1220" s="24">
        <v>3000.0</v>
      </c>
      <c r="L1220" s="24">
        <v>4000.0</v>
      </c>
      <c r="M1220" s="25"/>
      <c r="N1220" s="26"/>
      <c r="O1220" s="27">
        <f t="shared" si="154"/>
        <v>0.3333333333</v>
      </c>
      <c r="P1220" s="28">
        <f t="shared" si="156"/>
        <v>0</v>
      </c>
    </row>
    <row r="1221" hidden="1">
      <c r="A1221" s="16" t="s">
        <v>1856</v>
      </c>
      <c r="B1221" s="17" t="s">
        <v>1857</v>
      </c>
      <c r="C1221" s="18"/>
      <c r="D1221" s="4"/>
      <c r="E1221" s="19">
        <v>0.0</v>
      </c>
      <c r="F1221" s="19">
        <v>0.0</v>
      </c>
      <c r="G1221" s="16" t="s">
        <v>1855</v>
      </c>
      <c r="H1221" s="21"/>
      <c r="I1221" s="22">
        <v>22.0</v>
      </c>
      <c r="J1221" s="29"/>
      <c r="K1221" s="48">
        <v>3500.0</v>
      </c>
      <c r="L1221" s="55">
        <v>6000.0</v>
      </c>
      <c r="M1221" s="116"/>
      <c r="N1221" s="48">
        <v>4500.0</v>
      </c>
      <c r="O1221" s="27">
        <f t="shared" si="154"/>
        <v>0.7142857143</v>
      </c>
      <c r="P1221" s="28">
        <f t="shared" si="156"/>
        <v>0</v>
      </c>
    </row>
    <row r="1222" hidden="1">
      <c r="A1222" s="16" t="s">
        <v>1858</v>
      </c>
      <c r="B1222" s="17" t="s">
        <v>1857</v>
      </c>
      <c r="C1222" s="18"/>
      <c r="D1222" s="4"/>
      <c r="E1222" s="19">
        <v>0.0</v>
      </c>
      <c r="F1222" s="19">
        <v>0.0</v>
      </c>
      <c r="G1222" s="16" t="s">
        <v>1855</v>
      </c>
      <c r="H1222" s="21"/>
      <c r="I1222" s="22">
        <v>53.0</v>
      </c>
      <c r="J1222" s="29"/>
      <c r="K1222" s="48">
        <v>3500.0</v>
      </c>
      <c r="L1222" s="55">
        <v>6000.0</v>
      </c>
      <c r="M1222" s="116"/>
      <c r="N1222" s="48">
        <v>4500.0</v>
      </c>
      <c r="O1222" s="27"/>
      <c r="P1222" s="28"/>
    </row>
    <row r="1223" hidden="1">
      <c r="A1223" s="16" t="s">
        <v>1859</v>
      </c>
      <c r="B1223" s="17" t="s">
        <v>1857</v>
      </c>
      <c r="C1223" s="18"/>
      <c r="D1223" s="4"/>
      <c r="E1223" s="19">
        <v>0.0</v>
      </c>
      <c r="F1223" s="19">
        <v>0.0</v>
      </c>
      <c r="G1223" s="16" t="s">
        <v>1855</v>
      </c>
      <c r="H1223" s="21"/>
      <c r="I1223" s="22">
        <v>18.0</v>
      </c>
      <c r="J1223" s="29"/>
      <c r="K1223" s="48">
        <v>3500.0</v>
      </c>
      <c r="L1223" s="55">
        <v>6000.0</v>
      </c>
      <c r="M1223" s="116"/>
      <c r="N1223" s="48">
        <v>4500.0</v>
      </c>
      <c r="O1223" s="27">
        <f t="shared" ref="O1223:O1226" si="158">(L1223/K1223)-1</f>
        <v>0.7142857143</v>
      </c>
      <c r="P1223" s="28">
        <f t="shared" ref="P1223:P1226" si="159">K1223*F1223</f>
        <v>0</v>
      </c>
    </row>
    <row r="1224" hidden="1">
      <c r="A1224" s="16" t="s">
        <v>1860</v>
      </c>
      <c r="B1224" s="17"/>
      <c r="C1224" s="18"/>
      <c r="D1224" s="4"/>
      <c r="E1224" s="19">
        <v>0.0</v>
      </c>
      <c r="F1224" s="19">
        <v>0.0</v>
      </c>
      <c r="G1224" s="16" t="s">
        <v>1855</v>
      </c>
      <c r="H1224" s="21"/>
      <c r="I1224" s="22">
        <v>0.0</v>
      </c>
      <c r="J1224" s="29"/>
      <c r="K1224" s="43">
        <v>3500.0</v>
      </c>
      <c r="L1224" s="44">
        <v>5000.0</v>
      </c>
      <c r="M1224" s="25"/>
      <c r="N1224" s="26"/>
      <c r="O1224" s="27">
        <f t="shared" si="158"/>
        <v>0.4285714286</v>
      </c>
      <c r="P1224" s="28">
        <f t="shared" si="159"/>
        <v>0</v>
      </c>
    </row>
    <row r="1225" hidden="1">
      <c r="A1225" s="16" t="s">
        <v>1861</v>
      </c>
      <c r="B1225" s="36"/>
      <c r="C1225" s="18"/>
      <c r="D1225" s="4"/>
      <c r="E1225" s="19">
        <v>0.0</v>
      </c>
      <c r="F1225" s="19">
        <v>0.0</v>
      </c>
      <c r="G1225" s="16" t="s">
        <v>1862</v>
      </c>
      <c r="H1225" s="21"/>
      <c r="I1225" s="22"/>
      <c r="J1225" s="47">
        <v>46388.0</v>
      </c>
      <c r="K1225" s="48">
        <v>9620.0</v>
      </c>
      <c r="L1225" s="24">
        <v>13000.0</v>
      </c>
      <c r="M1225" s="25" t="s">
        <v>76</v>
      </c>
      <c r="N1225" s="26"/>
      <c r="O1225" s="27">
        <f t="shared" si="158"/>
        <v>0.3513513514</v>
      </c>
      <c r="P1225" s="28">
        <f t="shared" si="159"/>
        <v>0</v>
      </c>
    </row>
    <row r="1226" hidden="1">
      <c r="A1226" s="40" t="s">
        <v>1863</v>
      </c>
      <c r="B1226" s="36"/>
      <c r="C1226" s="18"/>
      <c r="D1226" s="4"/>
      <c r="E1226" s="19">
        <v>0.0</v>
      </c>
      <c r="F1226" s="19">
        <v>0.0</v>
      </c>
      <c r="G1226" s="16" t="s">
        <v>1862</v>
      </c>
      <c r="H1226" s="21"/>
      <c r="I1226" s="22"/>
      <c r="J1226" s="47">
        <v>46388.0</v>
      </c>
      <c r="K1226" s="55">
        <v>9243.0</v>
      </c>
      <c r="L1226" s="24">
        <v>12000.0</v>
      </c>
      <c r="M1226" s="25" t="s">
        <v>76</v>
      </c>
      <c r="N1226" s="26"/>
      <c r="O1226" s="27">
        <f t="shared" si="158"/>
        <v>0.2982797793</v>
      </c>
      <c r="P1226" s="28">
        <f t="shared" si="159"/>
        <v>0</v>
      </c>
    </row>
    <row r="1227" hidden="1">
      <c r="A1227" s="122" t="s">
        <v>1864</v>
      </c>
      <c r="B1227" s="17"/>
      <c r="C1227" s="18"/>
      <c r="D1227" s="98"/>
      <c r="E1227" s="19">
        <v>0.0</v>
      </c>
      <c r="F1227" s="19">
        <v>0.0</v>
      </c>
      <c r="G1227" s="16" t="s">
        <v>400</v>
      </c>
      <c r="H1227" s="21"/>
      <c r="I1227" s="22"/>
      <c r="J1227" s="23"/>
      <c r="K1227" s="30">
        <v>1279200.0</v>
      </c>
      <c r="L1227" s="186">
        <v>2800000.0</v>
      </c>
      <c r="M1227" s="25"/>
      <c r="N1227" s="26"/>
      <c r="O1227" s="27"/>
      <c r="P1227" s="28"/>
    </row>
    <row r="1228" hidden="1">
      <c r="A1228" s="16" t="s">
        <v>1865</v>
      </c>
      <c r="B1228" s="36"/>
      <c r="C1228" s="18"/>
      <c r="D1228" s="4"/>
      <c r="E1228" s="19">
        <v>0.0</v>
      </c>
      <c r="F1228" s="19">
        <v>0.0</v>
      </c>
      <c r="G1228" s="16" t="s">
        <v>470</v>
      </c>
      <c r="H1228" s="21"/>
      <c r="I1228" s="22">
        <v>1.0</v>
      </c>
      <c r="J1228" s="29"/>
      <c r="K1228" s="48">
        <f>167900/2</f>
        <v>83950</v>
      </c>
      <c r="L1228" s="55">
        <v>105000.0</v>
      </c>
      <c r="M1228" s="25"/>
      <c r="N1228" s="26"/>
      <c r="O1228" s="27">
        <f t="shared" ref="O1228:O1264" si="160">(L1228/K1228)-1</f>
        <v>0.2507444908</v>
      </c>
      <c r="P1228" s="28">
        <f t="shared" ref="P1228:P1257" si="161">K1228*F1228</f>
        <v>0</v>
      </c>
    </row>
    <row r="1229" hidden="1">
      <c r="A1229" s="16" t="s">
        <v>1866</v>
      </c>
      <c r="B1229" s="36"/>
      <c r="C1229" s="18"/>
      <c r="D1229" s="4"/>
      <c r="E1229" s="19">
        <v>0.0</v>
      </c>
      <c r="F1229" s="19">
        <v>0.0</v>
      </c>
      <c r="G1229" s="16" t="s">
        <v>470</v>
      </c>
      <c r="H1229" s="21"/>
      <c r="I1229" s="22">
        <v>1.0</v>
      </c>
      <c r="J1229" s="29"/>
      <c r="K1229" s="48">
        <v>116100.0</v>
      </c>
      <c r="L1229" s="55">
        <v>145000.0</v>
      </c>
      <c r="M1229" s="25"/>
      <c r="N1229" s="26"/>
      <c r="O1229" s="27">
        <f t="shared" si="160"/>
        <v>0.2489233419</v>
      </c>
      <c r="P1229" s="28">
        <f t="shared" si="161"/>
        <v>0</v>
      </c>
    </row>
    <row r="1230" hidden="1">
      <c r="A1230" s="52" t="s">
        <v>1867</v>
      </c>
      <c r="B1230" s="17"/>
      <c r="C1230" s="18"/>
      <c r="D1230" s="4"/>
      <c r="E1230" s="19">
        <v>0.0</v>
      </c>
      <c r="F1230" s="19">
        <v>0.0</v>
      </c>
      <c r="G1230" s="16" t="s">
        <v>1868</v>
      </c>
      <c r="H1230" s="21"/>
      <c r="I1230" s="22">
        <v>0.0</v>
      </c>
      <c r="J1230" s="29"/>
      <c r="K1230" s="43">
        <f>67000*1.19</f>
        <v>79730</v>
      </c>
      <c r="L1230" s="44">
        <v>100000.0</v>
      </c>
      <c r="M1230" s="25"/>
      <c r="N1230" s="26"/>
      <c r="O1230" s="27">
        <f t="shared" si="160"/>
        <v>0.2542330365</v>
      </c>
      <c r="P1230" s="28">
        <f t="shared" si="161"/>
        <v>0</v>
      </c>
    </row>
    <row r="1231" hidden="1">
      <c r="A1231" s="52" t="s">
        <v>1869</v>
      </c>
      <c r="B1231" s="36"/>
      <c r="C1231" s="18"/>
      <c r="D1231" s="4"/>
      <c r="E1231" s="19">
        <v>0.0</v>
      </c>
      <c r="F1231" s="19">
        <v>0.0</v>
      </c>
      <c r="G1231" s="16" t="s">
        <v>1868</v>
      </c>
      <c r="H1231" s="21"/>
      <c r="I1231" s="22">
        <v>13.0</v>
      </c>
      <c r="J1231" s="29"/>
      <c r="K1231" s="32">
        <v>75000.0</v>
      </c>
      <c r="L1231" s="24">
        <v>110000.0</v>
      </c>
      <c r="M1231" s="25"/>
      <c r="N1231" s="26">
        <v>98000.0</v>
      </c>
      <c r="O1231" s="27">
        <f t="shared" si="160"/>
        <v>0.4666666667</v>
      </c>
      <c r="P1231" s="28">
        <f t="shared" si="161"/>
        <v>0</v>
      </c>
    </row>
    <row r="1232" hidden="1">
      <c r="A1232" s="52" t="s">
        <v>1870</v>
      </c>
      <c r="B1232" s="240"/>
      <c r="C1232" s="18"/>
      <c r="D1232" s="4"/>
      <c r="E1232" s="19">
        <v>0.0</v>
      </c>
      <c r="F1232" s="19">
        <v>0.0</v>
      </c>
      <c r="G1232" s="16" t="s">
        <v>1868</v>
      </c>
      <c r="H1232" s="21"/>
      <c r="I1232" s="22">
        <v>3.0</v>
      </c>
      <c r="J1232" s="29"/>
      <c r="K1232" s="43">
        <f>58000*1.19</f>
        <v>69020</v>
      </c>
      <c r="L1232" s="44">
        <v>80000.0</v>
      </c>
      <c r="M1232" s="25"/>
      <c r="N1232" s="26"/>
      <c r="O1232" s="27">
        <f t="shared" si="160"/>
        <v>0.1590843234</v>
      </c>
      <c r="P1232" s="28">
        <f t="shared" si="161"/>
        <v>0</v>
      </c>
    </row>
    <row r="1233" hidden="1">
      <c r="A1233" s="52" t="s">
        <v>1871</v>
      </c>
      <c r="B1233" s="17"/>
      <c r="C1233" s="18"/>
      <c r="D1233" s="4"/>
      <c r="E1233" s="19">
        <v>0.0</v>
      </c>
      <c r="F1233" s="19">
        <v>0.0</v>
      </c>
      <c r="G1233" s="16" t="s">
        <v>1868</v>
      </c>
      <c r="H1233" s="21"/>
      <c r="I1233" s="22">
        <v>0.0</v>
      </c>
      <c r="J1233" s="29"/>
      <c r="K1233" s="43">
        <f>48000*1.19</f>
        <v>57120</v>
      </c>
      <c r="L1233" s="44">
        <v>72000.0</v>
      </c>
      <c r="M1233" s="25"/>
      <c r="N1233" s="26"/>
      <c r="O1233" s="27">
        <f t="shared" si="160"/>
        <v>0.2605042017</v>
      </c>
      <c r="P1233" s="28">
        <f t="shared" si="161"/>
        <v>0</v>
      </c>
    </row>
    <row r="1234" hidden="1">
      <c r="A1234" s="52" t="s">
        <v>1872</v>
      </c>
      <c r="B1234" s="17"/>
      <c r="C1234" s="18"/>
      <c r="D1234" s="4"/>
      <c r="E1234" s="19">
        <v>0.0</v>
      </c>
      <c r="F1234" s="19">
        <v>0.0</v>
      </c>
      <c r="G1234" s="16" t="s">
        <v>1868</v>
      </c>
      <c r="H1234" s="33"/>
      <c r="I1234" s="22">
        <v>0.0</v>
      </c>
      <c r="J1234" s="34"/>
      <c r="K1234" s="123">
        <f>55000*1.19</f>
        <v>65450</v>
      </c>
      <c r="L1234" s="44">
        <v>82000.0</v>
      </c>
      <c r="M1234" s="25"/>
      <c r="N1234" s="26"/>
      <c r="O1234" s="27">
        <f t="shared" si="160"/>
        <v>0.2528647823</v>
      </c>
      <c r="P1234" s="28">
        <f t="shared" si="161"/>
        <v>0</v>
      </c>
    </row>
    <row r="1235" hidden="1">
      <c r="A1235" s="42" t="s">
        <v>1873</v>
      </c>
      <c r="B1235" s="51"/>
      <c r="C1235" s="18"/>
      <c r="D1235" s="4"/>
      <c r="E1235" s="19">
        <v>0.0</v>
      </c>
      <c r="F1235" s="19">
        <v>0.0</v>
      </c>
      <c r="G1235" s="16" t="s">
        <v>1874</v>
      </c>
      <c r="H1235" s="21"/>
      <c r="I1235" s="22" t="s">
        <v>99</v>
      </c>
      <c r="J1235" s="23"/>
      <c r="K1235" s="44">
        <v>70000.0</v>
      </c>
      <c r="L1235" s="44">
        <v>120000.0</v>
      </c>
      <c r="M1235" s="25"/>
      <c r="N1235" s="26"/>
      <c r="O1235" s="27">
        <f t="shared" si="160"/>
        <v>0.7142857143</v>
      </c>
      <c r="P1235" s="28">
        <f t="shared" si="161"/>
        <v>0</v>
      </c>
    </row>
    <row r="1236" hidden="1">
      <c r="A1236" s="42" t="s">
        <v>1875</v>
      </c>
      <c r="B1236" s="51"/>
      <c r="C1236" s="18"/>
      <c r="D1236" s="4"/>
      <c r="E1236" s="19">
        <v>0.0</v>
      </c>
      <c r="F1236" s="19">
        <v>0.0</v>
      </c>
      <c r="G1236" s="16" t="s">
        <v>1876</v>
      </c>
      <c r="H1236" s="21"/>
      <c r="I1236" s="22"/>
      <c r="J1236" s="23"/>
      <c r="K1236" s="44">
        <v>244200.0</v>
      </c>
      <c r="L1236" s="44">
        <v>290000.0</v>
      </c>
      <c r="M1236" s="25"/>
      <c r="N1236" s="26"/>
      <c r="O1236" s="27">
        <f t="shared" si="160"/>
        <v>0.1875511876</v>
      </c>
      <c r="P1236" s="28">
        <f t="shared" si="161"/>
        <v>0</v>
      </c>
    </row>
    <row r="1237" hidden="1">
      <c r="A1237" s="16" t="s">
        <v>1877</v>
      </c>
      <c r="B1237" s="241"/>
      <c r="C1237" s="18"/>
      <c r="D1237" s="4"/>
      <c r="E1237" s="19"/>
      <c r="F1237" s="19"/>
      <c r="G1237" s="16" t="s">
        <v>640</v>
      </c>
      <c r="H1237" s="21">
        <v>0.0</v>
      </c>
      <c r="I1237" s="22"/>
      <c r="J1237" s="23"/>
      <c r="K1237" s="55">
        <f>79900*1.19</f>
        <v>95081</v>
      </c>
      <c r="L1237" s="55">
        <v>126000.0</v>
      </c>
      <c r="M1237" s="25"/>
      <c r="N1237" s="70"/>
      <c r="O1237" s="27">
        <f t="shared" si="160"/>
        <v>0.3251858941</v>
      </c>
      <c r="P1237" s="28">
        <f t="shared" si="161"/>
        <v>0</v>
      </c>
    </row>
    <row r="1238" hidden="1">
      <c r="A1238" s="16" t="s">
        <v>1878</v>
      </c>
      <c r="B1238" s="157"/>
      <c r="C1238" s="18"/>
      <c r="D1238" s="4"/>
      <c r="E1238" s="19"/>
      <c r="F1238" s="19"/>
      <c r="G1238" s="16" t="s">
        <v>640</v>
      </c>
      <c r="H1238" s="21">
        <v>0.0</v>
      </c>
      <c r="I1238" s="22"/>
      <c r="J1238" s="29"/>
      <c r="K1238" s="43">
        <v>23300.0</v>
      </c>
      <c r="L1238" s="44">
        <v>35000.0</v>
      </c>
      <c r="M1238" s="25"/>
      <c r="N1238" s="26"/>
      <c r="O1238" s="27">
        <f t="shared" si="160"/>
        <v>0.5021459227</v>
      </c>
      <c r="P1238" s="28">
        <f t="shared" si="161"/>
        <v>0</v>
      </c>
    </row>
    <row r="1239" hidden="1">
      <c r="A1239" s="16" t="s">
        <v>1879</v>
      </c>
      <c r="B1239" s="241"/>
      <c r="C1239" s="18"/>
      <c r="D1239" s="4"/>
      <c r="E1239" s="19">
        <v>0.0</v>
      </c>
      <c r="F1239" s="19">
        <v>0.0</v>
      </c>
      <c r="G1239" s="16" t="s">
        <v>341</v>
      </c>
      <c r="H1239" s="21"/>
      <c r="I1239" s="22">
        <f>13+8</f>
        <v>21</v>
      </c>
      <c r="J1239" s="29"/>
      <c r="K1239" s="43">
        <f>L1237/50</f>
        <v>2520</v>
      </c>
      <c r="L1239" s="44">
        <v>5000.0</v>
      </c>
      <c r="M1239" s="25"/>
      <c r="N1239" s="26"/>
      <c r="O1239" s="27">
        <f t="shared" si="160"/>
        <v>0.9841269841</v>
      </c>
      <c r="P1239" s="28">
        <f t="shared" si="161"/>
        <v>0</v>
      </c>
    </row>
    <row r="1240" hidden="1">
      <c r="A1240" s="16" t="s">
        <v>1880</v>
      </c>
      <c r="B1240" s="36" t="s">
        <v>1881</v>
      </c>
      <c r="C1240" s="18" t="s">
        <v>1020</v>
      </c>
      <c r="D1240" s="98"/>
      <c r="E1240" s="19"/>
      <c r="F1240" s="19"/>
      <c r="G1240" s="16" t="s">
        <v>610</v>
      </c>
      <c r="H1240" s="21"/>
      <c r="I1240" s="22"/>
      <c r="J1240" s="23"/>
      <c r="K1240" s="55">
        <f>101260*1.19</f>
        <v>120499.4</v>
      </c>
      <c r="L1240" s="55">
        <v>140000.0</v>
      </c>
      <c r="M1240" s="25"/>
      <c r="N1240" s="26"/>
      <c r="O1240" s="27">
        <f t="shared" si="160"/>
        <v>0.1618315112</v>
      </c>
      <c r="P1240" s="28">
        <f t="shared" si="161"/>
        <v>0</v>
      </c>
    </row>
    <row r="1241" hidden="1">
      <c r="A1241" s="42" t="s">
        <v>1882</v>
      </c>
      <c r="B1241" s="51"/>
      <c r="C1241" s="18"/>
      <c r="D1241" s="4"/>
      <c r="E1241" s="19"/>
      <c r="F1241" s="19"/>
      <c r="G1241" s="16" t="s">
        <v>98</v>
      </c>
      <c r="H1241" s="21">
        <v>0.0</v>
      </c>
      <c r="I1241" s="22">
        <v>1.0</v>
      </c>
      <c r="J1241" s="58">
        <v>46296.0</v>
      </c>
      <c r="K1241" s="24">
        <f t="shared" ref="K1241:K1242" si="162">19800*1.19</f>
        <v>23562</v>
      </c>
      <c r="L1241" s="24">
        <v>30000.0</v>
      </c>
      <c r="M1241" s="25">
        <v>1.19</v>
      </c>
      <c r="N1241" s="26">
        <v>27200.0</v>
      </c>
      <c r="O1241" s="27">
        <f t="shared" si="160"/>
        <v>0.2732365674</v>
      </c>
      <c r="P1241" s="28">
        <f t="shared" si="161"/>
        <v>0</v>
      </c>
    </row>
    <row r="1242" hidden="1">
      <c r="A1242" s="42" t="s">
        <v>1883</v>
      </c>
      <c r="B1242" s="51"/>
      <c r="C1242" s="18"/>
      <c r="D1242" s="4"/>
      <c r="E1242" s="19"/>
      <c r="F1242" s="19"/>
      <c r="G1242" s="16" t="s">
        <v>98</v>
      </c>
      <c r="H1242" s="21">
        <v>0.0</v>
      </c>
      <c r="I1242" s="22">
        <v>0.0</v>
      </c>
      <c r="J1242" s="23"/>
      <c r="K1242" s="24">
        <f t="shared" si="162"/>
        <v>23562</v>
      </c>
      <c r="L1242" s="24">
        <v>30000.0</v>
      </c>
      <c r="M1242" s="25">
        <v>1.19</v>
      </c>
      <c r="N1242" s="26">
        <v>27200.0</v>
      </c>
      <c r="O1242" s="27">
        <f t="shared" si="160"/>
        <v>0.2732365674</v>
      </c>
      <c r="P1242" s="28">
        <f t="shared" si="161"/>
        <v>0</v>
      </c>
    </row>
    <row r="1243" hidden="1">
      <c r="A1243" s="40" t="s">
        <v>1884</v>
      </c>
      <c r="B1243" s="17"/>
      <c r="C1243" s="18"/>
      <c r="D1243" s="4"/>
      <c r="E1243" s="19">
        <v>0.0</v>
      </c>
      <c r="F1243" s="19">
        <v>0.0</v>
      </c>
      <c r="G1243" s="16" t="s">
        <v>93</v>
      </c>
      <c r="H1243" s="21"/>
      <c r="I1243" s="22">
        <v>0.0</v>
      </c>
      <c r="J1243" s="29"/>
      <c r="K1243" s="43">
        <v>25000.0</v>
      </c>
      <c r="L1243" s="44">
        <v>42000.0</v>
      </c>
      <c r="M1243" s="25"/>
      <c r="N1243" s="26"/>
      <c r="O1243" s="27">
        <f t="shared" si="160"/>
        <v>0.68</v>
      </c>
      <c r="P1243" s="28">
        <f t="shared" si="161"/>
        <v>0</v>
      </c>
    </row>
    <row r="1244" hidden="1">
      <c r="A1244" s="40" t="s">
        <v>1885</v>
      </c>
      <c r="B1244" s="17"/>
      <c r="C1244" s="18"/>
      <c r="D1244" s="4"/>
      <c r="E1244" s="19">
        <v>0.0</v>
      </c>
      <c r="F1244" s="19">
        <v>0.0</v>
      </c>
      <c r="G1244" s="16" t="s">
        <v>93</v>
      </c>
      <c r="H1244" s="21"/>
      <c r="I1244" s="22">
        <v>0.0</v>
      </c>
      <c r="J1244" s="29"/>
      <c r="K1244" s="43">
        <v>24000.0</v>
      </c>
      <c r="L1244" s="44">
        <v>42000.0</v>
      </c>
      <c r="M1244" s="25"/>
      <c r="N1244" s="26"/>
      <c r="O1244" s="27">
        <f t="shared" si="160"/>
        <v>0.75</v>
      </c>
      <c r="P1244" s="28">
        <f t="shared" si="161"/>
        <v>0</v>
      </c>
    </row>
    <row r="1245" hidden="1">
      <c r="A1245" s="16" t="s">
        <v>1886</v>
      </c>
      <c r="B1245" s="17"/>
      <c r="C1245" s="18"/>
      <c r="D1245" s="4"/>
      <c r="E1245" s="19">
        <v>0.0</v>
      </c>
      <c r="F1245" s="19"/>
      <c r="G1245" s="16" t="s">
        <v>1259</v>
      </c>
      <c r="H1245" s="21"/>
      <c r="I1245" s="22"/>
      <c r="J1245" s="29"/>
      <c r="K1245" s="43">
        <v>55000.0</v>
      </c>
      <c r="L1245" s="44">
        <v>75000.0</v>
      </c>
      <c r="M1245" s="25"/>
      <c r="N1245" s="26"/>
      <c r="O1245" s="27">
        <f t="shared" si="160"/>
        <v>0.3636363636</v>
      </c>
      <c r="P1245" s="28">
        <f t="shared" si="161"/>
        <v>0</v>
      </c>
    </row>
    <row r="1246" hidden="1">
      <c r="A1246" s="16" t="s">
        <v>1887</v>
      </c>
      <c r="B1246" s="17" t="s">
        <v>1888</v>
      </c>
      <c r="C1246" s="18"/>
      <c r="D1246" s="4"/>
      <c r="E1246" s="19">
        <v>1.0</v>
      </c>
      <c r="F1246" s="19">
        <v>0.0</v>
      </c>
      <c r="G1246" s="16" t="s">
        <v>119</v>
      </c>
      <c r="H1246" s="21">
        <v>0.0</v>
      </c>
      <c r="I1246" s="22">
        <v>1.0</v>
      </c>
      <c r="J1246" s="29"/>
      <c r="K1246" s="48">
        <v>87100.0</v>
      </c>
      <c r="L1246" s="55">
        <v>124000.0</v>
      </c>
      <c r="M1246" s="25"/>
      <c r="N1246" s="26"/>
      <c r="O1246" s="27">
        <f t="shared" si="160"/>
        <v>0.4236509759</v>
      </c>
      <c r="P1246" s="28">
        <f t="shared" si="161"/>
        <v>0</v>
      </c>
    </row>
    <row r="1247" hidden="1">
      <c r="A1247" s="16" t="s">
        <v>1889</v>
      </c>
      <c r="B1247" s="17" t="s">
        <v>1890</v>
      </c>
      <c r="C1247" s="38"/>
      <c r="D1247" s="4"/>
      <c r="E1247" s="19">
        <v>0.0</v>
      </c>
      <c r="F1247" s="19">
        <v>0.0</v>
      </c>
      <c r="G1247" s="20" t="s">
        <v>468</v>
      </c>
      <c r="H1247" s="21">
        <v>2.0</v>
      </c>
      <c r="I1247" s="22">
        <v>2.0</v>
      </c>
      <c r="J1247" s="45"/>
      <c r="K1247" s="46">
        <v>112867.0</v>
      </c>
      <c r="L1247" s="24">
        <v>145000.0</v>
      </c>
      <c r="M1247" s="25"/>
      <c r="N1247" s="26"/>
      <c r="O1247" s="27">
        <f t="shared" si="160"/>
        <v>0.2846979188</v>
      </c>
      <c r="P1247" s="28">
        <f t="shared" si="161"/>
        <v>0</v>
      </c>
    </row>
    <row r="1248" hidden="1">
      <c r="A1248" s="42" t="s">
        <v>1891</v>
      </c>
      <c r="B1248" s="71"/>
      <c r="C1248" s="18"/>
      <c r="D1248" s="4"/>
      <c r="E1248" s="19"/>
      <c r="F1248" s="19"/>
      <c r="G1248" s="16" t="s">
        <v>1400</v>
      </c>
      <c r="H1248" s="21"/>
      <c r="I1248" s="22">
        <v>1.0</v>
      </c>
      <c r="J1248" s="23"/>
      <c r="K1248" s="55">
        <v>93000.0</v>
      </c>
      <c r="L1248" s="55">
        <v>98000.0</v>
      </c>
      <c r="M1248" s="25"/>
      <c r="N1248" s="48">
        <v>90000.0</v>
      </c>
      <c r="O1248" s="27">
        <f t="shared" si="160"/>
        <v>0.05376344086</v>
      </c>
      <c r="P1248" s="28">
        <f t="shared" si="161"/>
        <v>0</v>
      </c>
    </row>
    <row r="1249" hidden="1">
      <c r="A1249" s="42" t="s">
        <v>1892</v>
      </c>
      <c r="B1249" s="71"/>
      <c r="C1249" s="18"/>
      <c r="D1249" s="4"/>
      <c r="E1249" s="19"/>
      <c r="F1249" s="19"/>
      <c r="G1249" s="16" t="s">
        <v>1400</v>
      </c>
      <c r="H1249" s="21"/>
      <c r="I1249" s="22">
        <v>1.0</v>
      </c>
      <c r="J1249" s="23"/>
      <c r="K1249" s="55">
        <v>224999.0</v>
      </c>
      <c r="L1249" s="55">
        <v>280000.0</v>
      </c>
      <c r="M1249" s="25"/>
      <c r="N1249" s="48">
        <v>260000.0</v>
      </c>
      <c r="O1249" s="27">
        <f t="shared" si="160"/>
        <v>0.2444499753</v>
      </c>
      <c r="P1249" s="28">
        <f t="shared" si="161"/>
        <v>0</v>
      </c>
    </row>
    <row r="1250" hidden="1">
      <c r="A1250" s="16" t="s">
        <v>1893</v>
      </c>
      <c r="B1250" s="17"/>
      <c r="C1250" s="18"/>
      <c r="D1250" s="4"/>
      <c r="E1250" s="19">
        <v>0.0</v>
      </c>
      <c r="F1250" s="19">
        <v>0.0</v>
      </c>
      <c r="G1250" s="16" t="s">
        <v>1400</v>
      </c>
      <c r="H1250" s="21"/>
      <c r="I1250" s="22"/>
      <c r="J1250" s="23">
        <f>633752*1.19/80</f>
        <v>9427.061</v>
      </c>
      <c r="K1250" s="44">
        <f>621743/50*1.19</f>
        <v>14797.4834</v>
      </c>
      <c r="L1250" s="44">
        <v>18000.0</v>
      </c>
      <c r="M1250" s="25"/>
      <c r="N1250" s="26"/>
      <c r="O1250" s="27">
        <f t="shared" si="160"/>
        <v>0.2164230575</v>
      </c>
      <c r="P1250" s="28">
        <f t="shared" si="161"/>
        <v>0</v>
      </c>
    </row>
    <row r="1251" hidden="1">
      <c r="A1251" s="16" t="s">
        <v>1894</v>
      </c>
      <c r="B1251" s="17" t="s">
        <v>1895</v>
      </c>
      <c r="C1251" s="18"/>
      <c r="D1251" s="4"/>
      <c r="E1251" s="19">
        <v>0.0</v>
      </c>
      <c r="F1251" s="19">
        <v>0.0</v>
      </c>
      <c r="G1251" s="16" t="s">
        <v>1400</v>
      </c>
      <c r="H1251" s="21"/>
      <c r="I1251" s="22">
        <v>35.0</v>
      </c>
      <c r="J1251" s="47">
        <v>46447.0</v>
      </c>
      <c r="K1251" s="32">
        <f t="shared" ref="K1251:K1252" si="163">9244*1.19</f>
        <v>11000.36</v>
      </c>
      <c r="L1251" s="24">
        <v>15000.0</v>
      </c>
      <c r="M1251" s="25"/>
      <c r="N1251" s="50">
        <v>12000.0</v>
      </c>
      <c r="O1251" s="27">
        <f t="shared" si="160"/>
        <v>0.363591737</v>
      </c>
      <c r="P1251" s="28">
        <f t="shared" si="161"/>
        <v>0</v>
      </c>
    </row>
    <row r="1252" hidden="1">
      <c r="A1252" s="16" t="s">
        <v>1896</v>
      </c>
      <c r="B1252" s="17" t="s">
        <v>1895</v>
      </c>
      <c r="C1252" s="18"/>
      <c r="D1252" s="4"/>
      <c r="E1252" s="19">
        <v>0.0</v>
      </c>
      <c r="F1252" s="19">
        <v>0.0</v>
      </c>
      <c r="G1252" s="16" t="s">
        <v>1400</v>
      </c>
      <c r="H1252" s="21"/>
      <c r="I1252" s="22">
        <v>40.0</v>
      </c>
      <c r="J1252" s="47">
        <v>46570.0</v>
      </c>
      <c r="K1252" s="32">
        <f t="shared" si="163"/>
        <v>11000.36</v>
      </c>
      <c r="L1252" s="24">
        <v>15000.0</v>
      </c>
      <c r="M1252" s="25"/>
      <c r="N1252" s="26">
        <v>12000.0</v>
      </c>
      <c r="O1252" s="27">
        <f t="shared" si="160"/>
        <v>0.363591737</v>
      </c>
      <c r="P1252" s="28">
        <f t="shared" si="161"/>
        <v>0</v>
      </c>
    </row>
    <row r="1253" hidden="1">
      <c r="A1253" s="16" t="s">
        <v>1897</v>
      </c>
      <c r="B1253" s="17"/>
      <c r="C1253" s="18"/>
      <c r="D1253" s="4"/>
      <c r="E1253" s="19">
        <v>0.0</v>
      </c>
      <c r="F1253" s="19">
        <v>0.0</v>
      </c>
      <c r="G1253" s="16" t="s">
        <v>580</v>
      </c>
      <c r="H1253" s="21"/>
      <c r="I1253" s="22">
        <v>2.0</v>
      </c>
      <c r="J1253" s="47"/>
      <c r="K1253" s="24">
        <v>19459.850000000002</v>
      </c>
      <c r="L1253" s="24">
        <v>100000.0</v>
      </c>
      <c r="M1253" s="25"/>
      <c r="N1253" s="26"/>
      <c r="O1253" s="27">
        <f t="shared" si="160"/>
        <v>4.138785756</v>
      </c>
      <c r="P1253" s="28">
        <f t="shared" si="161"/>
        <v>0</v>
      </c>
    </row>
    <row r="1254" hidden="1">
      <c r="A1254" s="16" t="s">
        <v>1898</v>
      </c>
      <c r="B1254" s="17"/>
      <c r="C1254" s="18"/>
      <c r="D1254" s="19"/>
      <c r="E1254" s="19">
        <v>0.0</v>
      </c>
      <c r="F1254" s="19">
        <v>0.0</v>
      </c>
      <c r="G1254" s="16" t="s">
        <v>63</v>
      </c>
      <c r="H1254" s="21"/>
      <c r="I1254" s="22">
        <v>1.0</v>
      </c>
      <c r="J1254" s="47"/>
      <c r="K1254" s="32">
        <v>201520.0</v>
      </c>
      <c r="L1254" s="24">
        <v>310000.0</v>
      </c>
      <c r="M1254" s="25"/>
      <c r="N1254" s="26"/>
      <c r="O1254" s="27">
        <f t="shared" si="160"/>
        <v>0.5383088527</v>
      </c>
      <c r="P1254" s="28">
        <f t="shared" si="161"/>
        <v>0</v>
      </c>
    </row>
    <row r="1255" hidden="1">
      <c r="A1255" s="16" t="s">
        <v>1899</v>
      </c>
      <c r="B1255" s="17"/>
      <c r="C1255" s="18"/>
      <c r="D1255" s="107" t="s">
        <v>251</v>
      </c>
      <c r="E1255" s="19">
        <v>1.0</v>
      </c>
      <c r="F1255" s="19">
        <v>1.0</v>
      </c>
      <c r="G1255" s="16" t="s">
        <v>63</v>
      </c>
      <c r="H1255" s="21"/>
      <c r="I1255" s="22">
        <v>0.0</v>
      </c>
      <c r="J1255" s="29"/>
      <c r="K1255" s="32">
        <v>201520.0</v>
      </c>
      <c r="L1255" s="24">
        <v>310000.0</v>
      </c>
      <c r="M1255" s="25"/>
      <c r="N1255" s="26"/>
      <c r="O1255" s="27">
        <f t="shared" si="160"/>
        <v>0.5383088527</v>
      </c>
      <c r="P1255" s="28">
        <f t="shared" si="161"/>
        <v>201520</v>
      </c>
    </row>
    <row r="1256" hidden="1">
      <c r="A1256" s="16" t="s">
        <v>1900</v>
      </c>
      <c r="B1256" s="17"/>
      <c r="C1256" s="18"/>
      <c r="D1256" s="4"/>
      <c r="E1256" s="19">
        <v>0.0</v>
      </c>
      <c r="F1256" s="19">
        <v>0.0</v>
      </c>
      <c r="G1256" s="16" t="s">
        <v>16</v>
      </c>
      <c r="H1256" s="21"/>
      <c r="I1256" s="22">
        <v>0.0</v>
      </c>
      <c r="J1256" s="29"/>
      <c r="K1256" s="43">
        <v>25000.0</v>
      </c>
      <c r="L1256" s="44">
        <v>45000.0</v>
      </c>
      <c r="M1256" s="25"/>
      <c r="N1256" s="26"/>
      <c r="O1256" s="27">
        <f t="shared" si="160"/>
        <v>0.8</v>
      </c>
      <c r="P1256" s="28">
        <f t="shared" si="161"/>
        <v>0</v>
      </c>
    </row>
    <row r="1257" hidden="1">
      <c r="A1257" s="52" t="s">
        <v>1901</v>
      </c>
      <c r="B1257" s="17" t="s">
        <v>1902</v>
      </c>
      <c r="C1257" s="18"/>
      <c r="D1257" s="4"/>
      <c r="E1257" s="19">
        <v>3.0</v>
      </c>
      <c r="F1257" s="19">
        <v>0.0</v>
      </c>
      <c r="G1257" s="16" t="s">
        <v>1903</v>
      </c>
      <c r="H1257" s="21"/>
      <c r="I1257" s="22">
        <v>7.0</v>
      </c>
      <c r="J1257" s="29"/>
      <c r="K1257" s="32">
        <f>12500*1.19</f>
        <v>14875</v>
      </c>
      <c r="L1257" s="24">
        <v>32000.0</v>
      </c>
      <c r="M1257" s="25"/>
      <c r="N1257" s="26"/>
      <c r="O1257" s="27">
        <f t="shared" si="160"/>
        <v>1.151260504</v>
      </c>
      <c r="P1257" s="28">
        <f t="shared" si="161"/>
        <v>0</v>
      </c>
    </row>
    <row r="1258" hidden="1">
      <c r="A1258" s="16" t="s">
        <v>1904</v>
      </c>
      <c r="B1258" s="36"/>
      <c r="C1258" s="18"/>
      <c r="D1258" s="4"/>
      <c r="E1258" s="19">
        <v>0.0</v>
      </c>
      <c r="F1258" s="19">
        <v>0.0</v>
      </c>
      <c r="G1258" s="16" t="s">
        <v>643</v>
      </c>
      <c r="H1258" s="21"/>
      <c r="I1258" s="22">
        <v>0.0</v>
      </c>
      <c r="J1258" s="29"/>
      <c r="K1258" s="32">
        <v>120000.0</v>
      </c>
      <c r="L1258" s="24">
        <v>150000.0</v>
      </c>
      <c r="M1258" s="25"/>
      <c r="N1258" s="26"/>
      <c r="O1258" s="27">
        <f t="shared" si="160"/>
        <v>0.25</v>
      </c>
      <c r="P1258" s="28">
        <f>K1258*F1260</f>
        <v>0</v>
      </c>
    </row>
    <row r="1259" hidden="1">
      <c r="A1259" s="16" t="s">
        <v>1905</v>
      </c>
      <c r="B1259" s="36"/>
      <c r="C1259" s="18"/>
      <c r="D1259" s="19"/>
      <c r="E1259" s="19">
        <v>0.0</v>
      </c>
      <c r="F1259" s="19">
        <v>0.0</v>
      </c>
      <c r="G1259" s="16" t="s">
        <v>1818</v>
      </c>
      <c r="H1259" s="21"/>
      <c r="I1259" s="22">
        <v>3.0</v>
      </c>
      <c r="J1259" s="29"/>
      <c r="K1259" s="48">
        <v>293000.0</v>
      </c>
      <c r="L1259" s="55">
        <v>360000.0</v>
      </c>
      <c r="M1259" s="25"/>
      <c r="N1259" s="26"/>
      <c r="O1259" s="27">
        <f t="shared" si="160"/>
        <v>0.228668942</v>
      </c>
      <c r="P1259" s="28">
        <f t="shared" ref="P1259:P1260" si="164">K1259*F1260</f>
        <v>0</v>
      </c>
    </row>
    <row r="1260" hidden="1">
      <c r="A1260" s="16" t="s">
        <v>1906</v>
      </c>
      <c r="B1260" s="36"/>
      <c r="C1260" s="18"/>
      <c r="D1260" s="19"/>
      <c r="E1260" s="19">
        <v>0.0</v>
      </c>
      <c r="F1260" s="19">
        <v>0.0</v>
      </c>
      <c r="G1260" s="16" t="s">
        <v>1907</v>
      </c>
      <c r="H1260" s="21"/>
      <c r="I1260" s="22">
        <v>3.0</v>
      </c>
      <c r="J1260" s="29"/>
      <c r="K1260" s="48">
        <f>293400*2</f>
        <v>586800</v>
      </c>
      <c r="L1260" s="55">
        <v>690000.0</v>
      </c>
      <c r="M1260" s="25"/>
      <c r="N1260" s="26"/>
      <c r="O1260" s="27">
        <f t="shared" si="160"/>
        <v>0.1758691207</v>
      </c>
      <c r="P1260" s="28">
        <f t="shared" si="164"/>
        <v>0</v>
      </c>
    </row>
    <row r="1261" hidden="1">
      <c r="A1261" s="40" t="s">
        <v>1908</v>
      </c>
      <c r="B1261" s="17"/>
      <c r="C1261" s="18"/>
      <c r="D1261" s="4"/>
      <c r="E1261" s="19">
        <v>0.0</v>
      </c>
      <c r="F1261" s="19">
        <v>0.0</v>
      </c>
      <c r="G1261" s="16" t="s">
        <v>1909</v>
      </c>
      <c r="H1261" s="21"/>
      <c r="I1261" s="22"/>
      <c r="J1261" s="29"/>
      <c r="K1261" s="43">
        <v>15000.0</v>
      </c>
      <c r="L1261" s="44">
        <v>20000.0</v>
      </c>
      <c r="M1261" s="25"/>
      <c r="N1261" s="26"/>
      <c r="O1261" s="27">
        <f t="shared" si="160"/>
        <v>0.3333333333</v>
      </c>
      <c r="P1261" s="28">
        <f t="shared" ref="P1261:P1264" si="165">K1261*F1261</f>
        <v>0</v>
      </c>
    </row>
    <row r="1262" hidden="1">
      <c r="A1262" s="16" t="s">
        <v>1910</v>
      </c>
      <c r="B1262" s="36" t="s">
        <v>1911</v>
      </c>
      <c r="C1262" s="18"/>
      <c r="D1262" s="4"/>
      <c r="E1262" s="19">
        <v>0.0</v>
      </c>
      <c r="F1262" s="19">
        <v>0.0</v>
      </c>
      <c r="G1262" s="16" t="s">
        <v>70</v>
      </c>
      <c r="H1262" s="21"/>
      <c r="I1262" s="22"/>
      <c r="J1262" s="29"/>
      <c r="K1262" s="32">
        <f>85000*0.8</f>
        <v>68000</v>
      </c>
      <c r="L1262" s="24">
        <v>85000.0</v>
      </c>
      <c r="M1262" s="25" t="s">
        <v>82</v>
      </c>
      <c r="N1262" s="26"/>
      <c r="O1262" s="27">
        <f t="shared" si="160"/>
        <v>0.25</v>
      </c>
      <c r="P1262" s="28">
        <f t="shared" si="165"/>
        <v>0</v>
      </c>
    </row>
    <row r="1263" hidden="1">
      <c r="A1263" s="16" t="s">
        <v>1912</v>
      </c>
      <c r="B1263" s="36"/>
      <c r="C1263" s="18"/>
      <c r="D1263" s="4"/>
      <c r="E1263" s="19">
        <v>0.0</v>
      </c>
      <c r="F1263" s="19"/>
      <c r="G1263" s="16" t="s">
        <v>57</v>
      </c>
      <c r="H1263" s="21"/>
      <c r="I1263" s="22"/>
      <c r="J1263" s="29"/>
      <c r="K1263" s="43">
        <v>5800.0</v>
      </c>
      <c r="L1263" s="44">
        <v>10000.0</v>
      </c>
      <c r="M1263" s="25"/>
      <c r="N1263" s="26"/>
      <c r="O1263" s="27">
        <f t="shared" si="160"/>
        <v>0.724137931</v>
      </c>
      <c r="P1263" s="28">
        <f t="shared" si="165"/>
        <v>0</v>
      </c>
    </row>
    <row r="1264" hidden="1">
      <c r="A1264" s="16" t="s">
        <v>1913</v>
      </c>
      <c r="B1264" s="36" t="s">
        <v>1914</v>
      </c>
      <c r="C1264" s="18"/>
      <c r="D1264" s="4"/>
      <c r="E1264" s="19">
        <v>0.0</v>
      </c>
      <c r="F1264" s="19">
        <v>100.0</v>
      </c>
      <c r="G1264" s="16" t="s">
        <v>1915</v>
      </c>
      <c r="H1264" s="21"/>
      <c r="I1264" s="22">
        <f>8*20</f>
        <v>160</v>
      </c>
      <c r="J1264" s="58">
        <v>45931.0</v>
      </c>
      <c r="K1264" s="48">
        <v>4600.0</v>
      </c>
      <c r="L1264" s="55">
        <v>15000.0</v>
      </c>
      <c r="M1264" s="25"/>
      <c r="N1264" s="26">
        <v>8000.0</v>
      </c>
      <c r="O1264" s="27">
        <f t="shared" si="160"/>
        <v>2.260869565</v>
      </c>
      <c r="P1264" s="28">
        <f t="shared" si="165"/>
        <v>460000</v>
      </c>
    </row>
    <row r="1265" hidden="1">
      <c r="A1265" s="16" t="s">
        <v>1916</v>
      </c>
      <c r="B1265" s="36"/>
      <c r="C1265" s="18"/>
      <c r="D1265" s="4"/>
      <c r="E1265" s="19">
        <v>0.0</v>
      </c>
      <c r="F1265" s="19">
        <v>0.0</v>
      </c>
      <c r="G1265" s="16" t="s">
        <v>1917</v>
      </c>
      <c r="H1265" s="21"/>
      <c r="I1265" s="22"/>
      <c r="J1265" s="58"/>
      <c r="K1265" s="48">
        <v>750.0</v>
      </c>
      <c r="L1265" s="55">
        <v>2000.0</v>
      </c>
      <c r="M1265" s="25"/>
      <c r="N1265" s="26"/>
      <c r="O1265" s="27"/>
      <c r="P1265" s="28"/>
    </row>
    <row r="1266" hidden="1">
      <c r="A1266" s="16" t="s">
        <v>1918</v>
      </c>
      <c r="B1266" s="36"/>
      <c r="C1266" s="18"/>
      <c r="D1266" s="4"/>
      <c r="E1266" s="19">
        <v>0.0</v>
      </c>
      <c r="F1266" s="19">
        <v>0.0</v>
      </c>
      <c r="G1266" s="16" t="s">
        <v>1108</v>
      </c>
      <c r="H1266" s="21"/>
      <c r="I1266" s="22">
        <v>0.0</v>
      </c>
      <c r="J1266" s="23"/>
      <c r="K1266" s="24">
        <v>10000.0</v>
      </c>
      <c r="L1266" s="24">
        <v>16000.0</v>
      </c>
      <c r="M1266" s="25"/>
      <c r="N1266" s="26"/>
      <c r="O1266" s="27">
        <f t="shared" ref="O1266:O1267" si="166">(L1266/K1266)-1</f>
        <v>0.6</v>
      </c>
      <c r="P1266" s="28">
        <f t="shared" ref="P1266:P1267" si="167">K1266*F1266</f>
        <v>0</v>
      </c>
    </row>
    <row r="1267" hidden="1">
      <c r="A1267" s="52" t="s">
        <v>1919</v>
      </c>
      <c r="B1267" s="17"/>
      <c r="C1267" s="18" t="s">
        <v>547</v>
      </c>
      <c r="D1267" s="4"/>
      <c r="E1267" s="19">
        <v>0.0</v>
      </c>
      <c r="F1267" s="19">
        <v>0.0</v>
      </c>
      <c r="G1267" s="16" t="s">
        <v>437</v>
      </c>
      <c r="H1267" s="21"/>
      <c r="I1267" s="22">
        <v>0.0</v>
      </c>
      <c r="J1267" s="29"/>
      <c r="K1267" s="43"/>
      <c r="L1267" s="44">
        <v>10000.0</v>
      </c>
      <c r="M1267" s="25"/>
      <c r="N1267" s="70"/>
      <c r="O1267" s="27" t="str">
        <f t="shared" si="166"/>
        <v>#DIV/0!</v>
      </c>
      <c r="P1267" s="28">
        <f t="shared" si="167"/>
        <v>0</v>
      </c>
    </row>
    <row r="1268" hidden="1">
      <c r="A1268" s="16" t="s">
        <v>1920</v>
      </c>
      <c r="B1268" s="54" t="s">
        <v>1921</v>
      </c>
      <c r="C1268" s="18"/>
      <c r="D1268" s="4"/>
      <c r="E1268" s="19">
        <v>0.0</v>
      </c>
      <c r="F1268" s="19">
        <v>0.0</v>
      </c>
      <c r="G1268" s="16" t="s">
        <v>1922</v>
      </c>
      <c r="H1268" s="21"/>
      <c r="I1268" s="22">
        <v>2.0</v>
      </c>
      <c r="J1268" s="29"/>
      <c r="K1268" s="48">
        <v>16900.0</v>
      </c>
      <c r="L1268" s="55">
        <v>28000.0</v>
      </c>
      <c r="M1268" s="25"/>
      <c r="N1268" s="26"/>
      <c r="O1268" s="27"/>
      <c r="P1268" s="28"/>
    </row>
    <row r="1269" hidden="1">
      <c r="A1269" s="16" t="s">
        <v>1923</v>
      </c>
      <c r="B1269" s="54" t="s">
        <v>1924</v>
      </c>
      <c r="C1269" s="18"/>
      <c r="D1269" s="4"/>
      <c r="E1269" s="19">
        <v>0.0</v>
      </c>
      <c r="F1269" s="19">
        <v>0.0</v>
      </c>
      <c r="G1269" s="16" t="s">
        <v>1922</v>
      </c>
      <c r="H1269" s="21"/>
      <c r="I1269" s="22">
        <v>2.0</v>
      </c>
      <c r="J1269" s="29"/>
      <c r="K1269" s="48">
        <v>20000.0</v>
      </c>
      <c r="L1269" s="55">
        <v>28000.0</v>
      </c>
      <c r="M1269" s="25"/>
      <c r="N1269" s="26"/>
      <c r="O1269" s="27"/>
      <c r="P1269" s="28"/>
    </row>
    <row r="1270" hidden="1">
      <c r="A1270" s="16" t="s">
        <v>1925</v>
      </c>
      <c r="B1270" s="36"/>
      <c r="C1270" s="18"/>
      <c r="D1270" s="4"/>
      <c r="E1270" s="19"/>
      <c r="F1270" s="19"/>
      <c r="G1270" s="16" t="s">
        <v>1926</v>
      </c>
      <c r="H1270" s="21"/>
      <c r="I1270" s="22">
        <v>18.0</v>
      </c>
      <c r="J1270" s="22" t="s">
        <v>1927</v>
      </c>
      <c r="K1270" s="48">
        <v>3436.0</v>
      </c>
      <c r="L1270" s="55">
        <v>7000.0</v>
      </c>
      <c r="M1270" s="25"/>
      <c r="N1270" s="26"/>
      <c r="O1270" s="27">
        <f t="shared" ref="O1270:O1282" si="168">(L1270/K1270)-1</f>
        <v>1.037252619</v>
      </c>
      <c r="P1270" s="28">
        <f t="shared" ref="P1270:P1308" si="169">K1270*F1270</f>
        <v>0</v>
      </c>
    </row>
    <row r="1271" hidden="1">
      <c r="A1271" s="16" t="s">
        <v>1928</v>
      </c>
      <c r="B1271" s="17"/>
      <c r="C1271" s="18"/>
      <c r="D1271" s="4"/>
      <c r="E1271" s="19">
        <v>0.0</v>
      </c>
      <c r="F1271" s="19">
        <v>0.0</v>
      </c>
      <c r="G1271" s="20" t="s">
        <v>1929</v>
      </c>
      <c r="H1271" s="21">
        <v>0.0</v>
      </c>
      <c r="I1271" s="22">
        <v>0.0</v>
      </c>
      <c r="J1271" s="23"/>
      <c r="K1271" s="55">
        <v>29000.0</v>
      </c>
      <c r="L1271" s="55">
        <v>45000.0</v>
      </c>
      <c r="M1271" s="25"/>
      <c r="N1271" s="26"/>
      <c r="O1271" s="27">
        <f t="shared" si="168"/>
        <v>0.5517241379</v>
      </c>
      <c r="P1271" s="28">
        <f t="shared" si="169"/>
        <v>0</v>
      </c>
    </row>
    <row r="1272" hidden="1">
      <c r="A1272" s="16" t="s">
        <v>1930</v>
      </c>
      <c r="B1272" s="17" t="s">
        <v>680</v>
      </c>
      <c r="C1272" s="18"/>
      <c r="D1272" s="4"/>
      <c r="E1272" s="19">
        <v>0.0</v>
      </c>
      <c r="F1272" s="19">
        <v>0.0</v>
      </c>
      <c r="G1272" s="16" t="s">
        <v>671</v>
      </c>
      <c r="H1272" s="21"/>
      <c r="I1272" s="22">
        <v>0.0</v>
      </c>
      <c r="J1272" s="29"/>
      <c r="K1272" s="43">
        <v>5543.0</v>
      </c>
      <c r="L1272" s="44">
        <v>9000.0</v>
      </c>
      <c r="M1272" s="25"/>
      <c r="N1272" s="26"/>
      <c r="O1272" s="27">
        <f t="shared" si="168"/>
        <v>0.6236694931</v>
      </c>
      <c r="P1272" s="28">
        <f t="shared" si="169"/>
        <v>0</v>
      </c>
    </row>
    <row r="1273" hidden="1">
      <c r="A1273" s="16" t="s">
        <v>1931</v>
      </c>
      <c r="B1273" s="17" t="s">
        <v>1932</v>
      </c>
      <c r="C1273" s="18"/>
      <c r="D1273" s="4"/>
      <c r="E1273" s="19">
        <v>0.0</v>
      </c>
      <c r="F1273" s="19">
        <v>0.0</v>
      </c>
      <c r="G1273" s="16" t="s">
        <v>1933</v>
      </c>
      <c r="H1273" s="21"/>
      <c r="I1273" s="22">
        <v>5.0</v>
      </c>
      <c r="J1273" s="29"/>
      <c r="K1273" s="48">
        <v>5543.0</v>
      </c>
      <c r="L1273" s="55">
        <v>7000.0</v>
      </c>
      <c r="M1273" s="25"/>
      <c r="N1273" s="26"/>
      <c r="O1273" s="27">
        <f t="shared" si="168"/>
        <v>0.2628540502</v>
      </c>
      <c r="P1273" s="28">
        <f t="shared" si="169"/>
        <v>0</v>
      </c>
    </row>
    <row r="1274" hidden="1">
      <c r="A1274" s="16" t="s">
        <v>1934</v>
      </c>
      <c r="B1274" s="36"/>
      <c r="C1274" s="18"/>
      <c r="D1274" s="4"/>
      <c r="E1274" s="19">
        <v>0.0</v>
      </c>
      <c r="F1274" s="19">
        <v>0.0</v>
      </c>
      <c r="G1274" s="16" t="s">
        <v>1935</v>
      </c>
      <c r="H1274" s="21"/>
      <c r="I1274" s="22">
        <v>1.0</v>
      </c>
      <c r="J1274" s="29"/>
      <c r="K1274" s="43">
        <v>6000.0</v>
      </c>
      <c r="L1274" s="44">
        <v>9000.0</v>
      </c>
      <c r="M1274" s="25"/>
      <c r="N1274" s="26"/>
      <c r="O1274" s="27">
        <f t="shared" si="168"/>
        <v>0.5</v>
      </c>
      <c r="P1274" s="28">
        <f t="shared" si="169"/>
        <v>0</v>
      </c>
    </row>
    <row r="1275" hidden="1">
      <c r="A1275" s="16" t="s">
        <v>1936</v>
      </c>
      <c r="B1275" s="36"/>
      <c r="C1275" s="18"/>
      <c r="D1275" s="4"/>
      <c r="E1275" s="19">
        <v>0.0</v>
      </c>
      <c r="F1275" s="19"/>
      <c r="G1275" s="16" t="s">
        <v>57</v>
      </c>
      <c r="H1275" s="21"/>
      <c r="I1275" s="22"/>
      <c r="J1275" s="29"/>
      <c r="K1275" s="43">
        <v>850.0</v>
      </c>
      <c r="L1275" s="44">
        <v>1500.0</v>
      </c>
      <c r="M1275" s="25"/>
      <c r="N1275" s="26"/>
      <c r="O1275" s="27">
        <f t="shared" si="168"/>
        <v>0.7647058824</v>
      </c>
      <c r="P1275" s="28">
        <f t="shared" si="169"/>
        <v>0</v>
      </c>
    </row>
    <row r="1276" hidden="1">
      <c r="A1276" s="40" t="s">
        <v>1937</v>
      </c>
      <c r="B1276" s="17"/>
      <c r="C1276" s="18"/>
      <c r="D1276" s="4"/>
      <c r="E1276" s="19">
        <v>0.0</v>
      </c>
      <c r="F1276" s="19">
        <v>0.0</v>
      </c>
      <c r="G1276" s="16" t="s">
        <v>1938</v>
      </c>
      <c r="H1276" s="33"/>
      <c r="I1276" s="22">
        <v>1.0</v>
      </c>
      <c r="J1276" s="34"/>
      <c r="K1276" s="123">
        <f>10500*0.8</f>
        <v>8400</v>
      </c>
      <c r="L1276" s="44">
        <v>18000.0</v>
      </c>
      <c r="M1276" s="25"/>
      <c r="N1276" s="26"/>
      <c r="O1276" s="27">
        <f t="shared" si="168"/>
        <v>1.142857143</v>
      </c>
      <c r="P1276" s="28">
        <f t="shared" si="169"/>
        <v>0</v>
      </c>
    </row>
    <row r="1277" hidden="1">
      <c r="A1277" s="16" t="s">
        <v>1939</v>
      </c>
      <c r="B1277" s="17"/>
      <c r="C1277" s="18"/>
      <c r="D1277" s="4"/>
      <c r="E1277" s="19">
        <v>0.0</v>
      </c>
      <c r="F1277" s="19">
        <v>0.0</v>
      </c>
      <c r="G1277" s="16" t="s">
        <v>93</v>
      </c>
      <c r="H1277" s="21"/>
      <c r="I1277" s="22">
        <v>0.0</v>
      </c>
      <c r="J1277" s="29"/>
      <c r="K1277" s="43">
        <v>3769.0</v>
      </c>
      <c r="L1277" s="44">
        <v>6000.0</v>
      </c>
      <c r="M1277" s="25"/>
      <c r="N1277" s="26"/>
      <c r="O1277" s="27">
        <f t="shared" si="168"/>
        <v>0.5919342001</v>
      </c>
      <c r="P1277" s="28">
        <f t="shared" si="169"/>
        <v>0</v>
      </c>
    </row>
    <row r="1278" hidden="1">
      <c r="A1278" s="52" t="s">
        <v>1940</v>
      </c>
      <c r="B1278" s="36" t="s">
        <v>1941</v>
      </c>
      <c r="C1278" s="18"/>
      <c r="D1278" s="4"/>
      <c r="E1278" s="19">
        <v>0.0</v>
      </c>
      <c r="F1278" s="19"/>
      <c r="G1278" s="20" t="s">
        <v>1942</v>
      </c>
      <c r="H1278" s="21"/>
      <c r="I1278" s="22"/>
      <c r="J1278" s="29"/>
      <c r="K1278" s="32">
        <f>(34000*0.95*1.19)/12</f>
        <v>3203.083333</v>
      </c>
      <c r="L1278" s="24">
        <v>5000.0</v>
      </c>
      <c r="M1278" s="25"/>
      <c r="N1278" s="26"/>
      <c r="O1278" s="27">
        <f t="shared" si="168"/>
        <v>0.5609959154</v>
      </c>
      <c r="P1278" s="28">
        <f t="shared" si="169"/>
        <v>0</v>
      </c>
    </row>
    <row r="1279" hidden="1">
      <c r="A1279" s="16" t="s">
        <v>1943</v>
      </c>
      <c r="B1279" s="36"/>
      <c r="C1279" s="18"/>
      <c r="D1279" s="4"/>
      <c r="E1279" s="19">
        <v>0.0</v>
      </c>
      <c r="F1279" s="19">
        <v>0.0</v>
      </c>
      <c r="G1279" s="16" t="s">
        <v>1513</v>
      </c>
      <c r="H1279" s="21"/>
      <c r="I1279" s="22">
        <v>0.0</v>
      </c>
      <c r="J1279" s="29"/>
      <c r="K1279" s="43">
        <v>1000.0</v>
      </c>
      <c r="L1279" s="44">
        <v>1400.0</v>
      </c>
      <c r="M1279" s="25"/>
      <c r="N1279" s="26"/>
      <c r="O1279" s="27">
        <f t="shared" si="168"/>
        <v>0.4</v>
      </c>
      <c r="P1279" s="28">
        <f t="shared" si="169"/>
        <v>0</v>
      </c>
    </row>
    <row r="1280" hidden="1">
      <c r="A1280" s="16" t="s">
        <v>1944</v>
      </c>
      <c r="B1280" s="17"/>
      <c r="C1280" s="18"/>
      <c r="D1280" s="4"/>
      <c r="E1280" s="19">
        <v>0.0</v>
      </c>
      <c r="F1280" s="19"/>
      <c r="G1280" s="16" t="s">
        <v>1945</v>
      </c>
      <c r="H1280" s="21"/>
      <c r="I1280" s="22"/>
      <c r="J1280" s="29"/>
      <c r="K1280" s="43">
        <v>500.0</v>
      </c>
      <c r="L1280" s="44">
        <v>2000.0</v>
      </c>
      <c r="M1280" s="25"/>
      <c r="N1280" s="50"/>
      <c r="O1280" s="27">
        <f t="shared" si="168"/>
        <v>3</v>
      </c>
      <c r="P1280" s="28">
        <f t="shared" si="169"/>
        <v>0</v>
      </c>
    </row>
    <row r="1281" hidden="1">
      <c r="A1281" s="16" t="s">
        <v>1946</v>
      </c>
      <c r="B1281" s="17"/>
      <c r="C1281" s="18"/>
      <c r="D1281" s="4"/>
      <c r="E1281" s="19">
        <v>0.0</v>
      </c>
      <c r="F1281" s="19">
        <v>0.0</v>
      </c>
      <c r="G1281" s="16" t="s">
        <v>1947</v>
      </c>
      <c r="H1281" s="21"/>
      <c r="I1281" s="22">
        <v>0.0</v>
      </c>
      <c r="J1281" s="29"/>
      <c r="K1281" s="32">
        <f>74223*1.19/50</f>
        <v>1766.5074</v>
      </c>
      <c r="L1281" s="24">
        <v>3500.0</v>
      </c>
      <c r="M1281" s="25"/>
      <c r="N1281" s="26"/>
      <c r="O1281" s="27">
        <f t="shared" si="168"/>
        <v>0.9813106925</v>
      </c>
      <c r="P1281" s="28">
        <f t="shared" si="169"/>
        <v>0</v>
      </c>
    </row>
    <row r="1282" hidden="1">
      <c r="A1282" s="16" t="s">
        <v>1948</v>
      </c>
      <c r="B1282" s="17"/>
      <c r="C1282" s="18"/>
      <c r="D1282" s="4"/>
      <c r="E1282" s="19">
        <v>0.0</v>
      </c>
      <c r="F1282" s="19">
        <v>0.0</v>
      </c>
      <c r="G1282" s="16" t="s">
        <v>1947</v>
      </c>
      <c r="H1282" s="21"/>
      <c r="I1282" s="22">
        <v>0.0</v>
      </c>
      <c r="J1282" s="29"/>
      <c r="K1282" s="32">
        <f>74223*1.19</f>
        <v>88325.37</v>
      </c>
      <c r="L1282" s="24">
        <v>110000.0</v>
      </c>
      <c r="M1282" s="25"/>
      <c r="N1282" s="26"/>
      <c r="O1282" s="27">
        <f t="shared" si="168"/>
        <v>0.2453952924</v>
      </c>
      <c r="P1282" s="28">
        <f t="shared" si="169"/>
        <v>0</v>
      </c>
    </row>
    <row r="1283" hidden="1">
      <c r="A1283" s="42" t="s">
        <v>1949</v>
      </c>
      <c r="B1283" s="17"/>
      <c r="C1283" s="18"/>
      <c r="D1283" s="4"/>
      <c r="E1283" s="19">
        <v>0.0</v>
      </c>
      <c r="F1283" s="19"/>
      <c r="G1283" s="20" t="s">
        <v>291</v>
      </c>
      <c r="H1283" s="143"/>
      <c r="I1283" s="22"/>
      <c r="J1283" s="242"/>
      <c r="K1283" s="243">
        <v>6722.0</v>
      </c>
      <c r="L1283" s="145">
        <v>7000.0</v>
      </c>
      <c r="M1283" s="25"/>
      <c r="N1283" s="50"/>
      <c r="O1283" s="147" t="s">
        <v>611</v>
      </c>
      <c r="P1283" s="28">
        <f t="shared" si="169"/>
        <v>0</v>
      </c>
    </row>
    <row r="1284" hidden="1">
      <c r="A1284" s="42" t="s">
        <v>1950</v>
      </c>
      <c r="B1284" s="17"/>
      <c r="C1284" s="18"/>
      <c r="D1284" s="4"/>
      <c r="E1284" s="19">
        <v>0.0</v>
      </c>
      <c r="F1284" s="19"/>
      <c r="G1284" s="16" t="s">
        <v>553</v>
      </c>
      <c r="H1284" s="237"/>
      <c r="I1284" s="22"/>
      <c r="J1284" s="244"/>
      <c r="K1284" s="245">
        <f>4000/12</f>
        <v>333.3333333</v>
      </c>
      <c r="L1284" s="24">
        <v>4000.0</v>
      </c>
      <c r="M1284" s="25"/>
      <c r="N1284" s="50"/>
      <c r="O1284" s="147" t="s">
        <v>611</v>
      </c>
      <c r="P1284" s="28">
        <f t="shared" si="169"/>
        <v>0</v>
      </c>
    </row>
    <row r="1285" hidden="1">
      <c r="A1285" s="42" t="s">
        <v>1951</v>
      </c>
      <c r="B1285" s="17"/>
      <c r="C1285" s="18"/>
      <c r="D1285" s="4"/>
      <c r="E1285" s="19"/>
      <c r="F1285" s="19"/>
      <c r="G1285" s="16" t="s">
        <v>553</v>
      </c>
      <c r="H1285" s="21"/>
      <c r="I1285" s="22"/>
      <c r="J1285" s="29"/>
      <c r="K1285" s="32">
        <v>3900.0</v>
      </c>
      <c r="L1285" s="24">
        <v>4000.0</v>
      </c>
      <c r="M1285" s="25"/>
      <c r="N1285" s="26"/>
      <c r="O1285" s="147" t="s">
        <v>611</v>
      </c>
      <c r="P1285" s="28">
        <f t="shared" si="169"/>
        <v>0</v>
      </c>
    </row>
    <row r="1286" hidden="1">
      <c r="A1286" s="42" t="s">
        <v>1952</v>
      </c>
      <c r="B1286" s="17"/>
      <c r="C1286" s="18"/>
      <c r="D1286" s="4"/>
      <c r="E1286" s="19">
        <v>0.0</v>
      </c>
      <c r="F1286" s="19"/>
      <c r="G1286" s="16" t="s">
        <v>553</v>
      </c>
      <c r="H1286" s="21"/>
      <c r="I1286" s="22"/>
      <c r="J1286" s="29"/>
      <c r="K1286" s="32">
        <v>3900.0</v>
      </c>
      <c r="L1286" s="24">
        <v>4000.0</v>
      </c>
      <c r="M1286" s="25"/>
      <c r="N1286" s="26"/>
      <c r="O1286" s="147" t="s">
        <v>611</v>
      </c>
      <c r="P1286" s="28">
        <f t="shared" si="169"/>
        <v>0</v>
      </c>
    </row>
    <row r="1287" hidden="1">
      <c r="A1287" s="42" t="s">
        <v>1953</v>
      </c>
      <c r="B1287" s="17"/>
      <c r="C1287" s="18"/>
      <c r="D1287" s="4"/>
      <c r="E1287" s="19">
        <v>0.0</v>
      </c>
      <c r="F1287" s="19"/>
      <c r="G1287" s="16" t="s">
        <v>553</v>
      </c>
      <c r="H1287" s="21"/>
      <c r="I1287" s="22"/>
      <c r="J1287" s="29"/>
      <c r="K1287" s="32">
        <v>3900.0</v>
      </c>
      <c r="L1287" s="24">
        <v>4000.0</v>
      </c>
      <c r="M1287" s="25"/>
      <c r="N1287" s="50"/>
      <c r="O1287" s="147" t="s">
        <v>611</v>
      </c>
      <c r="P1287" s="28">
        <f t="shared" si="169"/>
        <v>0</v>
      </c>
    </row>
    <row r="1288" hidden="1">
      <c r="A1288" s="42" t="s">
        <v>1954</v>
      </c>
      <c r="B1288" s="17"/>
      <c r="C1288" s="18"/>
      <c r="D1288" s="4"/>
      <c r="E1288" s="19">
        <v>0.0</v>
      </c>
      <c r="F1288" s="19"/>
      <c r="G1288" s="16" t="s">
        <v>553</v>
      </c>
      <c r="H1288" s="21"/>
      <c r="I1288" s="22"/>
      <c r="J1288" s="29"/>
      <c r="K1288" s="43">
        <v>8000.0</v>
      </c>
      <c r="L1288" s="44">
        <v>9000.0</v>
      </c>
      <c r="M1288" s="25"/>
      <c r="N1288" s="50"/>
      <c r="O1288" s="147" t="s">
        <v>611</v>
      </c>
      <c r="P1288" s="28">
        <f t="shared" si="169"/>
        <v>0</v>
      </c>
    </row>
    <row r="1289" hidden="1">
      <c r="A1289" s="42" t="s">
        <v>1955</v>
      </c>
      <c r="B1289" s="17"/>
      <c r="C1289" s="18"/>
      <c r="D1289" s="4"/>
      <c r="E1289" s="19"/>
      <c r="F1289" s="19"/>
      <c r="G1289" s="16" t="s">
        <v>553</v>
      </c>
      <c r="H1289" s="21"/>
      <c r="I1289" s="22"/>
      <c r="J1289" s="29"/>
      <c r="K1289" s="32">
        <v>1200.0</v>
      </c>
      <c r="L1289" s="24">
        <v>5000.0</v>
      </c>
      <c r="M1289" s="25"/>
      <c r="N1289" s="26"/>
      <c r="O1289" s="147" t="s">
        <v>611</v>
      </c>
      <c r="P1289" s="28">
        <f t="shared" si="169"/>
        <v>0</v>
      </c>
    </row>
    <row r="1290" hidden="1">
      <c r="A1290" s="42" t="s">
        <v>1956</v>
      </c>
      <c r="B1290" s="17"/>
      <c r="C1290" s="18"/>
      <c r="D1290" s="4"/>
      <c r="E1290" s="19"/>
      <c r="F1290" s="19"/>
      <c r="G1290" s="16" t="s">
        <v>553</v>
      </c>
      <c r="H1290" s="21"/>
      <c r="I1290" s="22"/>
      <c r="J1290" s="29"/>
      <c r="K1290" s="32">
        <f>7000/12</f>
        <v>583.3333333</v>
      </c>
      <c r="L1290" s="24">
        <v>2000.0</v>
      </c>
      <c r="M1290" s="25"/>
      <c r="N1290" s="26"/>
      <c r="O1290" s="147" t="s">
        <v>611</v>
      </c>
      <c r="P1290" s="28">
        <f t="shared" si="169"/>
        <v>0</v>
      </c>
    </row>
    <row r="1291" hidden="1">
      <c r="A1291" s="42" t="s">
        <v>1957</v>
      </c>
      <c r="B1291" s="17"/>
      <c r="C1291" s="18"/>
      <c r="D1291" s="4"/>
      <c r="E1291" s="19">
        <v>0.0</v>
      </c>
      <c r="F1291" s="19"/>
      <c r="G1291" s="16" t="s">
        <v>1958</v>
      </c>
      <c r="H1291" s="21"/>
      <c r="I1291" s="22"/>
      <c r="J1291" s="29"/>
      <c r="K1291" s="43">
        <v>2300.0</v>
      </c>
      <c r="L1291" s="44">
        <v>3000.0</v>
      </c>
      <c r="M1291" s="25"/>
      <c r="N1291" s="26"/>
      <c r="O1291" s="147" t="s">
        <v>611</v>
      </c>
      <c r="P1291" s="28">
        <f t="shared" si="169"/>
        <v>0</v>
      </c>
    </row>
    <row r="1292" hidden="1">
      <c r="A1292" s="42" t="s">
        <v>1959</v>
      </c>
      <c r="B1292" s="17"/>
      <c r="C1292" s="18"/>
      <c r="D1292" s="4"/>
      <c r="E1292" s="19">
        <v>0.0</v>
      </c>
      <c r="F1292" s="19"/>
      <c r="G1292" s="16" t="s">
        <v>553</v>
      </c>
      <c r="H1292" s="21"/>
      <c r="I1292" s="22"/>
      <c r="J1292" s="29"/>
      <c r="K1292" s="32">
        <f>1850*1.19</f>
        <v>2201.5</v>
      </c>
      <c r="L1292" s="32">
        <v>3000.0</v>
      </c>
      <c r="M1292" s="25"/>
      <c r="N1292" s="26"/>
      <c r="O1292" s="147" t="s">
        <v>611</v>
      </c>
      <c r="P1292" s="28">
        <f t="shared" si="169"/>
        <v>0</v>
      </c>
    </row>
    <row r="1293" hidden="1">
      <c r="A1293" s="42" t="s">
        <v>1960</v>
      </c>
      <c r="B1293" s="17"/>
      <c r="C1293" s="18"/>
      <c r="D1293" s="4"/>
      <c r="E1293" s="19">
        <v>0.0</v>
      </c>
      <c r="F1293" s="19"/>
      <c r="G1293" s="16" t="s">
        <v>553</v>
      </c>
      <c r="H1293" s="237"/>
      <c r="I1293" s="22"/>
      <c r="J1293" s="244"/>
      <c r="K1293" s="245">
        <f>2600*1.19</f>
        <v>3094</v>
      </c>
      <c r="L1293" s="145">
        <v>4000.0</v>
      </c>
      <c r="M1293" s="25"/>
      <c r="N1293" s="26"/>
      <c r="O1293" s="147" t="s">
        <v>611</v>
      </c>
      <c r="P1293" s="28">
        <f t="shared" si="169"/>
        <v>0</v>
      </c>
    </row>
    <row r="1294" hidden="1">
      <c r="A1294" s="42" t="s">
        <v>1961</v>
      </c>
      <c r="B1294" s="17"/>
      <c r="C1294" s="18"/>
      <c r="D1294" s="4"/>
      <c r="E1294" s="19">
        <v>0.0</v>
      </c>
      <c r="F1294" s="19"/>
      <c r="G1294" s="16" t="s">
        <v>553</v>
      </c>
      <c r="H1294" s="21"/>
      <c r="I1294" s="22"/>
      <c r="J1294" s="29"/>
      <c r="K1294" s="43">
        <v>1000.0</v>
      </c>
      <c r="L1294" s="44">
        <v>2000.0</v>
      </c>
      <c r="M1294" s="25"/>
      <c r="N1294" s="50"/>
      <c r="O1294" s="147" t="s">
        <v>611</v>
      </c>
      <c r="P1294" s="28">
        <f t="shared" si="169"/>
        <v>0</v>
      </c>
    </row>
    <row r="1295" hidden="1">
      <c r="A1295" s="42" t="s">
        <v>1962</v>
      </c>
      <c r="B1295" s="17"/>
      <c r="C1295" s="18"/>
      <c r="D1295" s="4"/>
      <c r="E1295" s="19">
        <v>0.0</v>
      </c>
      <c r="F1295" s="19"/>
      <c r="G1295" s="16" t="s">
        <v>553</v>
      </c>
      <c r="H1295" s="21"/>
      <c r="I1295" s="22"/>
      <c r="J1295" s="29"/>
      <c r="K1295" s="43">
        <v>1000.0</v>
      </c>
      <c r="L1295" s="44">
        <v>2000.0</v>
      </c>
      <c r="M1295" s="25"/>
      <c r="N1295" s="50"/>
      <c r="O1295" s="147" t="s">
        <v>611</v>
      </c>
      <c r="P1295" s="28">
        <f t="shared" si="169"/>
        <v>0</v>
      </c>
    </row>
    <row r="1296" hidden="1">
      <c r="A1296" s="42" t="s">
        <v>1963</v>
      </c>
      <c r="B1296" s="17"/>
      <c r="C1296" s="18"/>
      <c r="D1296" s="4"/>
      <c r="E1296" s="19">
        <v>0.0</v>
      </c>
      <c r="F1296" s="19"/>
      <c r="G1296" s="16" t="s">
        <v>553</v>
      </c>
      <c r="H1296" s="21"/>
      <c r="I1296" s="22"/>
      <c r="J1296" s="29"/>
      <c r="K1296" s="43">
        <v>1000.0</v>
      </c>
      <c r="L1296" s="44">
        <v>2000.0</v>
      </c>
      <c r="M1296" s="25"/>
      <c r="N1296" s="50"/>
      <c r="O1296" s="147" t="s">
        <v>611</v>
      </c>
      <c r="P1296" s="28">
        <f t="shared" si="169"/>
        <v>0</v>
      </c>
    </row>
    <row r="1297" hidden="1">
      <c r="A1297" s="42" t="s">
        <v>1964</v>
      </c>
      <c r="B1297" s="71"/>
      <c r="C1297" s="18"/>
      <c r="D1297" s="4"/>
      <c r="E1297" s="19">
        <v>0.0</v>
      </c>
      <c r="F1297" s="19"/>
      <c r="G1297" s="16" t="s">
        <v>1958</v>
      </c>
      <c r="H1297" s="21"/>
      <c r="I1297" s="22"/>
      <c r="J1297" s="29"/>
      <c r="K1297" s="43">
        <v>1000.0</v>
      </c>
      <c r="L1297" s="44">
        <v>2000.0</v>
      </c>
      <c r="M1297" s="25"/>
      <c r="N1297" s="50"/>
      <c r="O1297" s="147" t="s">
        <v>611</v>
      </c>
      <c r="P1297" s="28">
        <f t="shared" si="169"/>
        <v>0</v>
      </c>
    </row>
    <row r="1298" hidden="1">
      <c r="A1298" s="16" t="s">
        <v>1965</v>
      </c>
      <c r="B1298" s="36"/>
      <c r="C1298" s="18"/>
      <c r="D1298" s="4"/>
      <c r="E1298" s="19">
        <v>0.0</v>
      </c>
      <c r="F1298" s="19"/>
      <c r="G1298" s="16" t="s">
        <v>553</v>
      </c>
      <c r="H1298" s="21"/>
      <c r="I1298" s="22"/>
      <c r="J1298" s="29"/>
      <c r="K1298" s="43">
        <v>2269.0</v>
      </c>
      <c r="L1298" s="44">
        <v>4000.0</v>
      </c>
      <c r="M1298" s="25"/>
      <c r="N1298" s="50"/>
      <c r="O1298" s="147" t="s">
        <v>611</v>
      </c>
      <c r="P1298" s="28">
        <f t="shared" si="169"/>
        <v>0</v>
      </c>
    </row>
    <row r="1299" hidden="1">
      <c r="A1299" s="16" t="s">
        <v>1966</v>
      </c>
      <c r="B1299" s="36"/>
      <c r="C1299" s="18"/>
      <c r="D1299" s="4"/>
      <c r="E1299" s="19">
        <v>0.0</v>
      </c>
      <c r="F1299" s="19"/>
      <c r="G1299" s="16" t="s">
        <v>553</v>
      </c>
      <c r="H1299" s="21"/>
      <c r="I1299" s="22"/>
      <c r="J1299" s="29"/>
      <c r="K1299" s="32">
        <f t="shared" ref="K1299:K1300" si="170">3000*1.19</f>
        <v>3570</v>
      </c>
      <c r="L1299" s="24">
        <v>4000.0</v>
      </c>
      <c r="M1299" s="25"/>
      <c r="N1299" s="50"/>
      <c r="O1299" s="147" t="s">
        <v>611</v>
      </c>
      <c r="P1299" s="28">
        <f t="shared" si="169"/>
        <v>0</v>
      </c>
    </row>
    <row r="1300" hidden="1">
      <c r="A1300" s="16" t="s">
        <v>1967</v>
      </c>
      <c r="B1300" s="49"/>
      <c r="C1300" s="18"/>
      <c r="D1300" s="4"/>
      <c r="E1300" s="19"/>
      <c r="F1300" s="19"/>
      <c r="G1300" s="16" t="s">
        <v>553</v>
      </c>
      <c r="H1300" s="21"/>
      <c r="I1300" s="22"/>
      <c r="J1300" s="29"/>
      <c r="K1300" s="32">
        <f t="shared" si="170"/>
        <v>3570</v>
      </c>
      <c r="L1300" s="24">
        <v>4000.0</v>
      </c>
      <c r="M1300" s="25"/>
      <c r="N1300" s="50"/>
      <c r="O1300" s="147" t="s">
        <v>611</v>
      </c>
      <c r="P1300" s="28">
        <f t="shared" si="169"/>
        <v>0</v>
      </c>
    </row>
    <row r="1301" hidden="1">
      <c r="A1301" s="16" t="s">
        <v>1968</v>
      </c>
      <c r="B1301" s="36"/>
      <c r="C1301" s="18"/>
      <c r="D1301" s="4"/>
      <c r="E1301" s="19">
        <v>0.0</v>
      </c>
      <c r="F1301" s="19"/>
      <c r="G1301" s="16" t="s">
        <v>553</v>
      </c>
      <c r="H1301" s="21"/>
      <c r="I1301" s="22"/>
      <c r="J1301" s="29"/>
      <c r="K1301" s="43">
        <v>2700.0</v>
      </c>
      <c r="L1301" s="43">
        <v>4000.0</v>
      </c>
      <c r="M1301" s="25"/>
      <c r="N1301" s="26"/>
      <c r="O1301" s="147" t="s">
        <v>611</v>
      </c>
      <c r="P1301" s="28">
        <f t="shared" si="169"/>
        <v>0</v>
      </c>
    </row>
    <row r="1302" hidden="1">
      <c r="A1302" s="42" t="s">
        <v>1969</v>
      </c>
      <c r="B1302" s="17"/>
      <c r="C1302" s="18"/>
      <c r="D1302" s="4"/>
      <c r="E1302" s="19">
        <v>0.0</v>
      </c>
      <c r="F1302" s="19"/>
      <c r="G1302" s="16" t="s">
        <v>553</v>
      </c>
      <c r="H1302" s="21"/>
      <c r="I1302" s="22"/>
      <c r="J1302" s="29"/>
      <c r="K1302" s="43">
        <v>1000.0</v>
      </c>
      <c r="L1302" s="44">
        <v>2000.0</v>
      </c>
      <c r="M1302" s="25"/>
      <c r="N1302" s="26"/>
      <c r="O1302" s="147" t="s">
        <v>611</v>
      </c>
      <c r="P1302" s="28">
        <f t="shared" si="169"/>
        <v>0</v>
      </c>
    </row>
    <row r="1303" hidden="1">
      <c r="A1303" s="42" t="s">
        <v>1970</v>
      </c>
      <c r="B1303" s="71"/>
      <c r="C1303" s="18"/>
      <c r="D1303" s="4"/>
      <c r="E1303" s="19">
        <v>0.0</v>
      </c>
      <c r="F1303" s="19"/>
      <c r="G1303" s="16" t="s">
        <v>553</v>
      </c>
      <c r="H1303" s="21"/>
      <c r="I1303" s="22"/>
      <c r="J1303" s="29"/>
      <c r="K1303" s="43">
        <v>1000.0</v>
      </c>
      <c r="L1303" s="44">
        <v>2000.0</v>
      </c>
      <c r="M1303" s="25"/>
      <c r="N1303" s="26"/>
      <c r="O1303" s="147" t="s">
        <v>611</v>
      </c>
      <c r="P1303" s="28">
        <f t="shared" si="169"/>
        <v>0</v>
      </c>
    </row>
    <row r="1304" hidden="1">
      <c r="A1304" s="42" t="s">
        <v>1971</v>
      </c>
      <c r="B1304" s="71"/>
      <c r="C1304" s="18"/>
      <c r="D1304" s="4"/>
      <c r="E1304" s="19">
        <v>0.0</v>
      </c>
      <c r="F1304" s="19"/>
      <c r="G1304" s="16" t="s">
        <v>553</v>
      </c>
      <c r="H1304" s="21"/>
      <c r="I1304" s="22"/>
      <c r="J1304" s="29"/>
      <c r="K1304" s="43">
        <v>1000.0</v>
      </c>
      <c r="L1304" s="44">
        <v>2000.0</v>
      </c>
      <c r="M1304" s="25"/>
      <c r="N1304" s="26"/>
      <c r="O1304" s="147" t="s">
        <v>611</v>
      </c>
      <c r="P1304" s="28">
        <f t="shared" si="169"/>
        <v>0</v>
      </c>
    </row>
    <row r="1305" hidden="1">
      <c r="A1305" s="42" t="s">
        <v>1972</v>
      </c>
      <c r="B1305" s="71"/>
      <c r="C1305" s="18"/>
      <c r="D1305" s="4"/>
      <c r="E1305" s="19">
        <v>0.0</v>
      </c>
      <c r="F1305" s="19"/>
      <c r="G1305" s="16" t="s">
        <v>553</v>
      </c>
      <c r="H1305" s="21"/>
      <c r="I1305" s="22"/>
      <c r="J1305" s="29"/>
      <c r="K1305" s="32">
        <v>2300.0</v>
      </c>
      <c r="L1305" s="24">
        <v>3000.0</v>
      </c>
      <c r="M1305" s="25"/>
      <c r="N1305" s="50"/>
      <c r="O1305" s="147" t="s">
        <v>611</v>
      </c>
      <c r="P1305" s="28">
        <f t="shared" si="169"/>
        <v>0</v>
      </c>
    </row>
    <row r="1306" hidden="1">
      <c r="A1306" s="42" t="s">
        <v>1973</v>
      </c>
      <c r="B1306" s="36"/>
      <c r="C1306" s="18"/>
      <c r="D1306" s="4"/>
      <c r="E1306" s="19">
        <v>0.0</v>
      </c>
      <c r="F1306" s="19"/>
      <c r="G1306" s="16" t="s">
        <v>553</v>
      </c>
      <c r="H1306" s="21"/>
      <c r="I1306" s="22"/>
      <c r="J1306" s="29"/>
      <c r="K1306" s="32">
        <v>1300.0</v>
      </c>
      <c r="L1306" s="24">
        <v>2000.0</v>
      </c>
      <c r="M1306" s="25"/>
      <c r="N1306" s="26"/>
      <c r="O1306" s="27">
        <f>(L1306/K1306)-1</f>
        <v>0.5384615385</v>
      </c>
      <c r="P1306" s="28">
        <f t="shared" si="169"/>
        <v>0</v>
      </c>
    </row>
    <row r="1307" hidden="1">
      <c r="A1307" s="42" t="s">
        <v>1974</v>
      </c>
      <c r="B1307" s="71"/>
      <c r="C1307" s="18"/>
      <c r="D1307" s="4"/>
      <c r="E1307" s="19">
        <v>0.0</v>
      </c>
      <c r="F1307" s="19"/>
      <c r="G1307" s="16" t="s">
        <v>553</v>
      </c>
      <c r="H1307" s="21"/>
      <c r="I1307" s="22"/>
      <c r="J1307" s="29"/>
      <c r="K1307" s="43">
        <v>1000.0</v>
      </c>
      <c r="L1307" s="44">
        <v>2000.0</v>
      </c>
      <c r="M1307" s="25"/>
      <c r="N1307" s="70"/>
      <c r="O1307" s="147" t="s">
        <v>611</v>
      </c>
      <c r="P1307" s="28">
        <f t="shared" si="169"/>
        <v>0</v>
      </c>
    </row>
    <row r="1308" hidden="1">
      <c r="A1308" s="42" t="s">
        <v>1975</v>
      </c>
      <c r="B1308" s="71"/>
      <c r="C1308" s="18"/>
      <c r="D1308" s="4"/>
      <c r="E1308" s="19">
        <v>0.0</v>
      </c>
      <c r="F1308" s="19"/>
      <c r="G1308" s="16" t="s">
        <v>553</v>
      </c>
      <c r="H1308" s="21"/>
      <c r="I1308" s="22"/>
      <c r="J1308" s="29"/>
      <c r="K1308" s="43">
        <v>1000.0</v>
      </c>
      <c r="L1308" s="44">
        <v>2000.0</v>
      </c>
      <c r="M1308" s="25"/>
      <c r="N1308" s="26"/>
      <c r="O1308" s="147" t="s">
        <v>611</v>
      </c>
      <c r="P1308" s="28">
        <f t="shared" si="169"/>
        <v>0</v>
      </c>
    </row>
    <row r="1309" hidden="1">
      <c r="A1309" s="42" t="s">
        <v>1976</v>
      </c>
      <c r="B1309" s="36"/>
      <c r="C1309" s="18"/>
      <c r="D1309" s="4"/>
      <c r="E1309" s="19">
        <v>0.0</v>
      </c>
      <c r="F1309" s="19">
        <v>0.0</v>
      </c>
      <c r="G1309" s="16"/>
      <c r="H1309" s="21"/>
      <c r="I1309" s="22">
        <v>3.0</v>
      </c>
      <c r="J1309" s="29"/>
      <c r="K1309" s="43"/>
      <c r="L1309" s="44"/>
      <c r="M1309" s="25"/>
      <c r="N1309" s="26"/>
      <c r="O1309" s="27"/>
      <c r="P1309" s="28"/>
    </row>
    <row r="1310" hidden="1">
      <c r="A1310" s="16" t="s">
        <v>1977</v>
      </c>
      <c r="B1310" s="36"/>
      <c r="C1310" s="18"/>
      <c r="D1310" s="4"/>
      <c r="E1310" s="19">
        <v>0.0</v>
      </c>
      <c r="F1310" s="19"/>
      <c r="G1310" s="16" t="s">
        <v>553</v>
      </c>
      <c r="H1310" s="21"/>
      <c r="I1310" s="22"/>
      <c r="J1310" s="29"/>
      <c r="K1310" s="43">
        <v>1000.0</v>
      </c>
      <c r="L1310" s="44">
        <v>2000.0</v>
      </c>
      <c r="M1310" s="25"/>
      <c r="N1310" s="50"/>
      <c r="O1310" s="147" t="s">
        <v>611</v>
      </c>
      <c r="P1310" s="28">
        <f t="shared" ref="P1310:P1321" si="171">K1310*F1310</f>
        <v>0</v>
      </c>
    </row>
    <row r="1311" hidden="1">
      <c r="A1311" s="42" t="s">
        <v>1978</v>
      </c>
      <c r="B1311" s="71"/>
      <c r="C1311" s="18"/>
      <c r="D1311" s="4"/>
      <c r="E1311" s="19">
        <v>0.0</v>
      </c>
      <c r="F1311" s="19"/>
      <c r="G1311" s="16" t="s">
        <v>553</v>
      </c>
      <c r="H1311" s="21"/>
      <c r="I1311" s="22"/>
      <c r="J1311" s="29"/>
      <c r="K1311" s="43">
        <v>1000.0</v>
      </c>
      <c r="L1311" s="44">
        <v>2000.0</v>
      </c>
      <c r="M1311" s="25"/>
      <c r="N1311" s="26"/>
      <c r="O1311" s="147" t="s">
        <v>611</v>
      </c>
      <c r="P1311" s="28">
        <f t="shared" si="171"/>
        <v>0</v>
      </c>
    </row>
    <row r="1312" hidden="1">
      <c r="A1312" s="42" t="s">
        <v>1979</v>
      </c>
      <c r="B1312" s="71"/>
      <c r="C1312" s="18"/>
      <c r="D1312" s="4"/>
      <c r="E1312" s="19">
        <v>0.0</v>
      </c>
      <c r="F1312" s="19"/>
      <c r="G1312" s="16" t="s">
        <v>553</v>
      </c>
      <c r="H1312" s="21"/>
      <c r="I1312" s="22"/>
      <c r="J1312" s="29"/>
      <c r="K1312" s="32">
        <f>2000*1.19</f>
        <v>2380</v>
      </c>
      <c r="L1312" s="24">
        <v>2000.0</v>
      </c>
      <c r="M1312" s="25"/>
      <c r="N1312" s="26"/>
      <c r="O1312" s="147" t="s">
        <v>611</v>
      </c>
      <c r="P1312" s="28">
        <f t="shared" si="171"/>
        <v>0</v>
      </c>
    </row>
    <row r="1313" hidden="1">
      <c r="A1313" s="42" t="s">
        <v>1980</v>
      </c>
      <c r="B1313" s="71"/>
      <c r="C1313" s="18"/>
      <c r="D1313" s="4"/>
      <c r="E1313" s="19">
        <v>0.0</v>
      </c>
      <c r="F1313" s="19"/>
      <c r="G1313" s="16" t="s">
        <v>553</v>
      </c>
      <c r="H1313" s="21"/>
      <c r="I1313" s="22"/>
      <c r="J1313" s="29"/>
      <c r="K1313" s="32">
        <f>4500*1.19</f>
        <v>5355</v>
      </c>
      <c r="L1313" s="24">
        <v>2000.0</v>
      </c>
      <c r="M1313" s="25"/>
      <c r="N1313" s="26"/>
      <c r="O1313" s="147" t="s">
        <v>611</v>
      </c>
      <c r="P1313" s="28">
        <f t="shared" si="171"/>
        <v>0</v>
      </c>
    </row>
    <row r="1314" hidden="1">
      <c r="A1314" s="149" t="s">
        <v>1981</v>
      </c>
      <c r="B1314" s="71"/>
      <c r="C1314" s="18"/>
      <c r="D1314" s="4"/>
      <c r="E1314" s="19">
        <v>0.0</v>
      </c>
      <c r="F1314" s="19"/>
      <c r="G1314" s="16" t="s">
        <v>1982</v>
      </c>
      <c r="H1314" s="21"/>
      <c r="I1314" s="22"/>
      <c r="J1314" s="29"/>
      <c r="K1314" s="43">
        <v>17500.0</v>
      </c>
      <c r="L1314" s="44">
        <v>20000.0</v>
      </c>
      <c r="M1314" s="25"/>
      <c r="N1314" s="26"/>
      <c r="O1314" s="147" t="s">
        <v>611</v>
      </c>
      <c r="P1314" s="28">
        <f t="shared" si="171"/>
        <v>0</v>
      </c>
    </row>
    <row r="1315" hidden="1">
      <c r="A1315" s="16" t="s">
        <v>1983</v>
      </c>
      <c r="B1315" s="17"/>
      <c r="C1315" s="18"/>
      <c r="D1315" s="4"/>
      <c r="E1315" s="19">
        <v>0.0</v>
      </c>
      <c r="F1315" s="19"/>
      <c r="G1315" s="16" t="s">
        <v>39</v>
      </c>
      <c r="H1315" s="237"/>
      <c r="I1315" s="22"/>
      <c r="J1315" s="244"/>
      <c r="K1315" s="246">
        <v>1000.0</v>
      </c>
      <c r="L1315" s="247">
        <v>2000.0</v>
      </c>
      <c r="M1315" s="25"/>
      <c r="N1315" s="26"/>
      <c r="O1315" s="147" t="s">
        <v>611</v>
      </c>
      <c r="P1315" s="28">
        <f t="shared" si="171"/>
        <v>0</v>
      </c>
    </row>
    <row r="1316" hidden="1">
      <c r="A1316" s="16" t="s">
        <v>1984</v>
      </c>
      <c r="B1316" s="36"/>
      <c r="C1316" s="18"/>
      <c r="D1316" s="4" t="s">
        <v>998</v>
      </c>
      <c r="E1316" s="19">
        <v>0.0</v>
      </c>
      <c r="F1316" s="19">
        <v>4.0</v>
      </c>
      <c r="G1316" s="16" t="s">
        <v>73</v>
      </c>
      <c r="H1316" s="21"/>
      <c r="I1316" s="22">
        <v>1.0</v>
      </c>
      <c r="J1316" s="248" t="s">
        <v>1985</v>
      </c>
      <c r="K1316" s="32">
        <v>350000.0</v>
      </c>
      <c r="L1316" s="24">
        <v>590000.0</v>
      </c>
      <c r="M1316" s="25" t="s">
        <v>82</v>
      </c>
      <c r="N1316" s="26"/>
      <c r="O1316" s="27">
        <f t="shared" ref="O1316:O1321" si="172">(L1316/K1316)-1</f>
        <v>0.6857142857</v>
      </c>
      <c r="P1316" s="28">
        <f t="shared" si="171"/>
        <v>1400000</v>
      </c>
    </row>
    <row r="1317" hidden="1">
      <c r="A1317" s="16" t="s">
        <v>1986</v>
      </c>
      <c r="B1317" s="36"/>
      <c r="C1317" s="18"/>
      <c r="D1317" s="4"/>
      <c r="E1317" s="19">
        <v>0.0</v>
      </c>
      <c r="F1317" s="19">
        <v>0.0</v>
      </c>
      <c r="G1317" s="16" t="s">
        <v>73</v>
      </c>
      <c r="H1317" s="21"/>
      <c r="I1317" s="22">
        <v>1.0</v>
      </c>
      <c r="J1317" s="29"/>
      <c r="K1317" s="32">
        <v>330000.0</v>
      </c>
      <c r="L1317" s="24">
        <v>590000.0</v>
      </c>
      <c r="M1317" s="25" t="s">
        <v>82</v>
      </c>
      <c r="N1317" s="26"/>
      <c r="O1317" s="27">
        <f t="shared" si="172"/>
        <v>0.7878787879</v>
      </c>
      <c r="P1317" s="28">
        <f t="shared" si="171"/>
        <v>0</v>
      </c>
    </row>
    <row r="1318" hidden="1">
      <c r="A1318" s="122" t="s">
        <v>1987</v>
      </c>
      <c r="B1318" s="17"/>
      <c r="C1318" s="18"/>
      <c r="D1318" s="4"/>
      <c r="E1318" s="19">
        <v>0.0</v>
      </c>
      <c r="F1318" s="19">
        <v>0.0</v>
      </c>
      <c r="G1318" s="16" t="s">
        <v>425</v>
      </c>
      <c r="H1318" s="73"/>
      <c r="I1318" s="22">
        <v>0.0</v>
      </c>
      <c r="J1318" s="74"/>
      <c r="K1318" s="75">
        <v>928000.0</v>
      </c>
      <c r="L1318" s="44">
        <f>K1318*1.5</f>
        <v>1392000</v>
      </c>
      <c r="M1318" s="25"/>
      <c r="N1318" s="26"/>
      <c r="O1318" s="27">
        <f t="shared" si="172"/>
        <v>0.5</v>
      </c>
      <c r="P1318" s="28">
        <f t="shared" si="171"/>
        <v>0</v>
      </c>
    </row>
    <row r="1319" hidden="1">
      <c r="A1319" s="40" t="s">
        <v>1988</v>
      </c>
      <c r="B1319" s="17"/>
      <c r="C1319" s="18"/>
      <c r="D1319" s="4"/>
      <c r="E1319" s="19">
        <v>0.0</v>
      </c>
      <c r="F1319" s="19">
        <v>0.0</v>
      </c>
      <c r="G1319" s="16" t="s">
        <v>93</v>
      </c>
      <c r="H1319" s="21"/>
      <c r="I1319" s="22"/>
      <c r="J1319" s="29"/>
      <c r="K1319" s="43">
        <v>6500.0</v>
      </c>
      <c r="L1319" s="44">
        <v>10000.0</v>
      </c>
      <c r="M1319" s="25"/>
      <c r="N1319" s="26"/>
      <c r="O1319" s="27">
        <f t="shared" si="172"/>
        <v>0.5384615385</v>
      </c>
      <c r="P1319" s="28">
        <f t="shared" si="171"/>
        <v>0</v>
      </c>
    </row>
    <row r="1320" hidden="1">
      <c r="A1320" s="16" t="s">
        <v>1989</v>
      </c>
      <c r="B1320" s="17"/>
      <c r="C1320" s="18"/>
      <c r="D1320" s="4"/>
      <c r="E1320" s="19">
        <v>0.0</v>
      </c>
      <c r="F1320" s="19">
        <v>0.0</v>
      </c>
      <c r="G1320" s="20" t="s">
        <v>1990</v>
      </c>
      <c r="H1320" s="21">
        <v>0.0</v>
      </c>
      <c r="I1320" s="22">
        <v>0.0</v>
      </c>
      <c r="J1320" s="45"/>
      <c r="K1320" s="172">
        <f>39433*1.19</f>
        <v>46925.27</v>
      </c>
      <c r="L1320" s="44">
        <v>62000.0</v>
      </c>
      <c r="M1320" s="25"/>
      <c r="N1320" s="26"/>
      <c r="O1320" s="27">
        <f t="shared" si="172"/>
        <v>0.3212497232</v>
      </c>
      <c r="P1320" s="28">
        <f t="shared" si="171"/>
        <v>0</v>
      </c>
    </row>
    <row r="1321" hidden="1">
      <c r="A1321" s="16" t="s">
        <v>1991</v>
      </c>
      <c r="B1321" s="17"/>
      <c r="C1321" s="18"/>
      <c r="D1321" s="4"/>
      <c r="E1321" s="19">
        <v>0.0</v>
      </c>
      <c r="F1321" s="19">
        <v>0.0</v>
      </c>
      <c r="G1321" s="20" t="s">
        <v>14</v>
      </c>
      <c r="H1321" s="21">
        <v>0.0</v>
      </c>
      <c r="I1321" s="22">
        <v>0.0</v>
      </c>
      <c r="J1321" s="45"/>
      <c r="K1321" s="172">
        <v>15366.0</v>
      </c>
      <c r="L1321" s="44">
        <v>20000.0</v>
      </c>
      <c r="M1321" s="25"/>
      <c r="N1321" s="31"/>
      <c r="O1321" s="27">
        <f t="shared" si="172"/>
        <v>0.3015749056</v>
      </c>
      <c r="P1321" s="28">
        <f t="shared" si="171"/>
        <v>0</v>
      </c>
    </row>
    <row r="1322" hidden="1">
      <c r="A1322" s="16" t="s">
        <v>1992</v>
      </c>
      <c r="B1322" s="17"/>
      <c r="C1322" s="18"/>
      <c r="D1322" s="4"/>
      <c r="E1322" s="19"/>
      <c r="F1322" s="19"/>
      <c r="G1322" s="20" t="s">
        <v>1993</v>
      </c>
      <c r="H1322" s="21"/>
      <c r="I1322" s="22"/>
      <c r="J1322" s="23"/>
      <c r="K1322" s="55">
        <v>23300.0</v>
      </c>
      <c r="L1322" s="55">
        <v>29000.0</v>
      </c>
      <c r="M1322" s="25"/>
      <c r="N1322" s="26"/>
      <c r="O1322" s="27"/>
      <c r="P1322" s="28"/>
    </row>
    <row r="1323" hidden="1">
      <c r="A1323" s="16" t="s">
        <v>1994</v>
      </c>
      <c r="B1323" s="17"/>
      <c r="C1323" s="18"/>
      <c r="D1323" s="4"/>
      <c r="E1323" s="19">
        <v>0.0</v>
      </c>
      <c r="F1323" s="19"/>
      <c r="G1323" s="16" t="s">
        <v>1995</v>
      </c>
      <c r="H1323" s="21"/>
      <c r="I1323" s="22"/>
      <c r="J1323" s="23"/>
      <c r="K1323" s="44">
        <v>63780.0</v>
      </c>
      <c r="L1323" s="44">
        <v>80000.0</v>
      </c>
      <c r="M1323" s="25"/>
      <c r="N1323" s="26"/>
      <c r="O1323" s="27">
        <f t="shared" ref="O1323:O1332" si="173">(L1323/K1323)-1</f>
        <v>0.2543116965</v>
      </c>
      <c r="P1323" s="28">
        <f t="shared" ref="P1323:P1332" si="174">K1323*F1323</f>
        <v>0</v>
      </c>
    </row>
    <row r="1324" hidden="1">
      <c r="A1324" s="16" t="s">
        <v>1996</v>
      </c>
      <c r="B1324" s="36" t="s">
        <v>1997</v>
      </c>
      <c r="C1324" s="18"/>
      <c r="D1324" s="4"/>
      <c r="E1324" s="19">
        <v>0.0</v>
      </c>
      <c r="F1324" s="19">
        <v>0.0</v>
      </c>
      <c r="G1324" s="16" t="s">
        <v>70</v>
      </c>
      <c r="H1324" s="21"/>
      <c r="I1324" s="22"/>
      <c r="J1324" s="29"/>
      <c r="K1324" s="32">
        <f>32000*0.8*1.19</f>
        <v>30464</v>
      </c>
      <c r="L1324" s="24">
        <v>48000.0</v>
      </c>
      <c r="M1324" s="25"/>
      <c r="N1324" s="26"/>
      <c r="O1324" s="27">
        <f t="shared" si="173"/>
        <v>0.5756302521</v>
      </c>
      <c r="P1324" s="28">
        <f t="shared" si="174"/>
        <v>0</v>
      </c>
    </row>
    <row r="1325" hidden="1">
      <c r="A1325" s="16" t="s">
        <v>1998</v>
      </c>
      <c r="B1325" s="148"/>
      <c r="C1325" s="18"/>
      <c r="D1325" s="4"/>
      <c r="E1325" s="19">
        <v>0.0</v>
      </c>
      <c r="F1325" s="19">
        <v>0.0</v>
      </c>
      <c r="G1325" s="16" t="s">
        <v>102</v>
      </c>
      <c r="H1325" s="99"/>
      <c r="I1325" s="22">
        <v>1.0</v>
      </c>
      <c r="J1325" s="173"/>
      <c r="K1325" s="249">
        <v>28644.0</v>
      </c>
      <c r="L1325" s="249">
        <v>40000.0</v>
      </c>
      <c r="M1325" s="25" t="s">
        <v>76</v>
      </c>
      <c r="N1325" s="26">
        <v>35000.0</v>
      </c>
      <c r="O1325" s="27">
        <f t="shared" si="173"/>
        <v>0.3964530094</v>
      </c>
      <c r="P1325" s="28">
        <f t="shared" si="174"/>
        <v>0</v>
      </c>
    </row>
    <row r="1326" hidden="1">
      <c r="A1326" s="16" t="s">
        <v>1999</v>
      </c>
      <c r="B1326" s="49" t="s">
        <v>2000</v>
      </c>
      <c r="C1326" s="18"/>
      <c r="D1326" s="4"/>
      <c r="E1326" s="19">
        <v>12.0</v>
      </c>
      <c r="F1326" s="19">
        <v>0.0</v>
      </c>
      <c r="G1326" s="16" t="s">
        <v>104</v>
      </c>
      <c r="H1326" s="21"/>
      <c r="I1326" s="22">
        <v>2.0</v>
      </c>
      <c r="J1326" s="47">
        <v>46388.0</v>
      </c>
      <c r="K1326" s="48">
        <f>9376*1.19</f>
        <v>11157.44</v>
      </c>
      <c r="L1326" s="32">
        <v>16000.0</v>
      </c>
      <c r="M1326" s="25"/>
      <c r="N1326" s="26"/>
      <c r="O1326" s="27">
        <f t="shared" si="173"/>
        <v>0.4340207073</v>
      </c>
      <c r="P1326" s="28">
        <f t="shared" si="174"/>
        <v>0</v>
      </c>
    </row>
    <row r="1327" hidden="1">
      <c r="A1327" s="16" t="s">
        <v>2001</v>
      </c>
      <c r="B1327" s="36">
        <f>9685*1.19</f>
        <v>11525.15</v>
      </c>
      <c r="C1327" s="18"/>
      <c r="D1327" s="4" t="s">
        <v>328</v>
      </c>
      <c r="E1327" s="19">
        <v>0.0</v>
      </c>
      <c r="F1327" s="19">
        <v>0.0</v>
      </c>
      <c r="G1327" s="16" t="s">
        <v>2002</v>
      </c>
      <c r="H1327" s="21"/>
      <c r="I1327" s="22">
        <v>4.0</v>
      </c>
      <c r="J1327" s="47">
        <v>46844.0</v>
      </c>
      <c r="K1327" s="48">
        <f>9685*1.19</f>
        <v>11525.15</v>
      </c>
      <c r="L1327" s="55">
        <v>14000.0</v>
      </c>
      <c r="M1327" s="25"/>
      <c r="N1327" s="26"/>
      <c r="O1327" s="27">
        <f t="shared" si="173"/>
        <v>0.2147347323</v>
      </c>
      <c r="P1327" s="28">
        <f t="shared" si="174"/>
        <v>0</v>
      </c>
    </row>
    <row r="1328" hidden="1">
      <c r="A1328" s="16" t="s">
        <v>2003</v>
      </c>
      <c r="B1328" s="36"/>
      <c r="C1328" s="18"/>
      <c r="D1328" s="4" t="s">
        <v>328</v>
      </c>
      <c r="E1328" s="19">
        <v>0.0</v>
      </c>
      <c r="F1328" s="19">
        <v>0.0</v>
      </c>
      <c r="G1328" s="16" t="s">
        <v>2002</v>
      </c>
      <c r="H1328" s="21"/>
      <c r="I1328" s="22">
        <v>4.0</v>
      </c>
      <c r="J1328" s="47">
        <v>46843.0</v>
      </c>
      <c r="K1328" s="48">
        <f>25945*1.19</f>
        <v>30874.55</v>
      </c>
      <c r="L1328" s="55">
        <v>44000.0</v>
      </c>
      <c r="M1328" s="25"/>
      <c r="N1328" s="26"/>
      <c r="O1328" s="27">
        <f t="shared" si="173"/>
        <v>0.4251219856</v>
      </c>
      <c r="P1328" s="28">
        <f t="shared" si="174"/>
        <v>0</v>
      </c>
    </row>
    <row r="1329" hidden="1">
      <c r="A1329" s="16" t="s">
        <v>2004</v>
      </c>
      <c r="B1329" s="36"/>
      <c r="C1329" s="18"/>
      <c r="D1329" s="4"/>
      <c r="E1329" s="19">
        <v>0.0</v>
      </c>
      <c r="F1329" s="19">
        <v>0.0</v>
      </c>
      <c r="G1329" s="16" t="s">
        <v>63</v>
      </c>
      <c r="H1329" s="21"/>
      <c r="I1329" s="22">
        <v>0.0</v>
      </c>
      <c r="J1329" s="29"/>
      <c r="K1329" s="48">
        <v>8000.0</v>
      </c>
      <c r="L1329" s="55">
        <v>16000.0</v>
      </c>
      <c r="M1329" s="25" t="s">
        <v>76</v>
      </c>
      <c r="N1329" s="26"/>
      <c r="O1329" s="27">
        <f t="shared" si="173"/>
        <v>1</v>
      </c>
      <c r="P1329" s="28">
        <f t="shared" si="174"/>
        <v>0</v>
      </c>
    </row>
    <row r="1330" hidden="1">
      <c r="A1330" s="52" t="s">
        <v>2005</v>
      </c>
      <c r="B1330" s="36"/>
      <c r="C1330" s="18" t="s">
        <v>2006</v>
      </c>
      <c r="D1330" s="188"/>
      <c r="E1330" s="19"/>
      <c r="F1330" s="19"/>
      <c r="G1330" s="16" t="s">
        <v>88</v>
      </c>
      <c r="H1330" s="21"/>
      <c r="I1330" s="22">
        <v>16.0</v>
      </c>
      <c r="J1330" s="47">
        <v>46419.0</v>
      </c>
      <c r="K1330" s="24">
        <v>10534.0</v>
      </c>
      <c r="L1330" s="24">
        <v>14000.0</v>
      </c>
      <c r="M1330" s="25"/>
      <c r="N1330" s="26"/>
      <c r="O1330" s="27">
        <f t="shared" si="173"/>
        <v>0.3290298082</v>
      </c>
      <c r="P1330" s="28">
        <f t="shared" si="174"/>
        <v>0</v>
      </c>
    </row>
    <row r="1331" hidden="1">
      <c r="A1331" s="52" t="s">
        <v>2007</v>
      </c>
      <c r="B1331" s="157"/>
      <c r="C1331" s="18"/>
      <c r="D1331" s="67"/>
      <c r="E1331" s="19">
        <v>0.0</v>
      </c>
      <c r="F1331" s="19">
        <v>0.0</v>
      </c>
      <c r="G1331" s="16" t="s">
        <v>2008</v>
      </c>
      <c r="H1331" s="21"/>
      <c r="I1331" s="22">
        <v>5.0</v>
      </c>
      <c r="J1331" s="47">
        <v>45870.0</v>
      </c>
      <c r="K1331" s="48">
        <v>52400.0</v>
      </c>
      <c r="L1331" s="55">
        <v>68000.0</v>
      </c>
      <c r="M1331" s="25" t="s">
        <v>76</v>
      </c>
      <c r="N1331" s="26"/>
      <c r="O1331" s="27">
        <f t="shared" si="173"/>
        <v>0.2977099237</v>
      </c>
      <c r="P1331" s="28">
        <f t="shared" si="174"/>
        <v>0</v>
      </c>
    </row>
    <row r="1332" hidden="1">
      <c r="A1332" s="16" t="s">
        <v>2009</v>
      </c>
      <c r="B1332" s="157"/>
      <c r="C1332" s="18"/>
      <c r="D1332" s="4"/>
      <c r="E1332" s="19">
        <v>0.0</v>
      </c>
      <c r="F1332" s="19">
        <v>0.0</v>
      </c>
      <c r="G1332" s="20" t="s">
        <v>1820</v>
      </c>
      <c r="H1332" s="21"/>
      <c r="I1332" s="22">
        <v>0.0</v>
      </c>
      <c r="J1332" s="29"/>
      <c r="K1332" s="43"/>
      <c r="L1332" s="44"/>
      <c r="M1332" s="25"/>
      <c r="N1332" s="26"/>
      <c r="O1332" s="27" t="str">
        <f t="shared" si="173"/>
        <v>#DIV/0!</v>
      </c>
      <c r="P1332" s="28">
        <f t="shared" si="174"/>
        <v>0</v>
      </c>
    </row>
    <row r="1333" hidden="1">
      <c r="A1333" s="52" t="s">
        <v>2010</v>
      </c>
      <c r="B1333" s="157"/>
      <c r="C1333" s="18"/>
      <c r="D1333" s="67"/>
      <c r="E1333" s="19">
        <v>0.0</v>
      </c>
      <c r="F1333" s="19">
        <v>0.0</v>
      </c>
      <c r="G1333" s="16" t="s">
        <v>65</v>
      </c>
      <c r="H1333" s="21"/>
      <c r="I1333" s="22">
        <v>1.0</v>
      </c>
      <c r="J1333" s="47"/>
      <c r="K1333" s="48">
        <f>45500*0.95*1.19</f>
        <v>51437.75</v>
      </c>
      <c r="L1333" s="55">
        <v>70000.0</v>
      </c>
      <c r="M1333" s="25"/>
      <c r="N1333" s="26">
        <v>58000.0</v>
      </c>
      <c r="O1333" s="27"/>
      <c r="P1333" s="28"/>
    </row>
    <row r="1334" hidden="1">
      <c r="A1334" s="52" t="s">
        <v>2011</v>
      </c>
      <c r="B1334" s="157"/>
      <c r="C1334" s="18"/>
      <c r="D1334" s="98">
        <f>18600*1.19</f>
        <v>22134</v>
      </c>
      <c r="E1334" s="19">
        <v>0.0</v>
      </c>
      <c r="F1334" s="19">
        <v>0.0</v>
      </c>
      <c r="G1334" s="16" t="s">
        <v>2008</v>
      </c>
      <c r="H1334" s="21"/>
      <c r="I1334" s="22">
        <v>0.0</v>
      </c>
      <c r="J1334" s="22" t="s">
        <v>2012</v>
      </c>
      <c r="K1334" s="55">
        <v>16200.0</v>
      </c>
      <c r="L1334" s="55">
        <v>24000.0</v>
      </c>
      <c r="M1334" s="25"/>
      <c r="N1334" s="26">
        <v>20000.0</v>
      </c>
      <c r="O1334" s="27">
        <f t="shared" ref="O1334:O1338" si="175">(L1334/K1334)-1</f>
        <v>0.4814814815</v>
      </c>
      <c r="P1334" s="28">
        <f t="shared" ref="P1334:P1338" si="176">K1334*F1334</f>
        <v>0</v>
      </c>
    </row>
    <row r="1335" hidden="1">
      <c r="A1335" s="59" t="s">
        <v>2013</v>
      </c>
      <c r="B1335" s="49" t="s">
        <v>2014</v>
      </c>
      <c r="C1335" s="92"/>
      <c r="D1335" s="4"/>
      <c r="E1335" s="19">
        <v>0.0</v>
      </c>
      <c r="F1335" s="19">
        <v>0.0</v>
      </c>
      <c r="G1335" s="16" t="s">
        <v>1251</v>
      </c>
      <c r="H1335" s="21"/>
      <c r="I1335" s="22">
        <v>1.0</v>
      </c>
      <c r="J1335" s="29"/>
      <c r="K1335" s="48">
        <v>149900.0</v>
      </c>
      <c r="L1335" s="55">
        <v>205000.0</v>
      </c>
      <c r="M1335" s="25"/>
      <c r="N1335" s="26"/>
      <c r="O1335" s="27">
        <f t="shared" si="175"/>
        <v>0.3675783856</v>
      </c>
      <c r="P1335" s="28">
        <f t="shared" si="176"/>
        <v>0</v>
      </c>
    </row>
    <row r="1336" hidden="1">
      <c r="A1336" s="16" t="s">
        <v>2015</v>
      </c>
      <c r="B1336" s="17" t="s">
        <v>2016</v>
      </c>
      <c r="C1336" s="18"/>
      <c r="D1336" s="4"/>
      <c r="E1336" s="19">
        <v>0.0</v>
      </c>
      <c r="F1336" s="19"/>
      <c r="G1336" s="16" t="s">
        <v>2017</v>
      </c>
      <c r="H1336" s="21"/>
      <c r="I1336" s="22"/>
      <c r="J1336" s="23"/>
      <c r="K1336" s="44">
        <v>8400.0</v>
      </c>
      <c r="L1336" s="44">
        <v>12000.0</v>
      </c>
      <c r="M1336" s="25"/>
      <c r="N1336" s="50"/>
      <c r="O1336" s="27">
        <f t="shared" si="175"/>
        <v>0.4285714286</v>
      </c>
      <c r="P1336" s="28">
        <f t="shared" si="176"/>
        <v>0</v>
      </c>
    </row>
    <row r="1337" hidden="1">
      <c r="A1337" s="16" t="s">
        <v>2018</v>
      </c>
      <c r="B1337" s="17" t="s">
        <v>2016</v>
      </c>
      <c r="C1337" s="18"/>
      <c r="D1337" s="4"/>
      <c r="E1337" s="19">
        <v>0.0</v>
      </c>
      <c r="F1337" s="19"/>
      <c r="G1337" s="16" t="s">
        <v>2017</v>
      </c>
      <c r="H1337" s="21"/>
      <c r="I1337" s="22"/>
      <c r="J1337" s="23"/>
      <c r="K1337" s="44">
        <v>8400.0</v>
      </c>
      <c r="L1337" s="44">
        <v>12000.0</v>
      </c>
      <c r="M1337" s="25"/>
      <c r="N1337" s="26"/>
      <c r="O1337" s="27">
        <f t="shared" si="175"/>
        <v>0.4285714286</v>
      </c>
      <c r="P1337" s="28">
        <f t="shared" si="176"/>
        <v>0</v>
      </c>
    </row>
    <row r="1338" hidden="1">
      <c r="A1338" s="16" t="s">
        <v>2019</v>
      </c>
      <c r="B1338" s="17" t="s">
        <v>2016</v>
      </c>
      <c r="C1338" s="18"/>
      <c r="D1338" s="4"/>
      <c r="E1338" s="19">
        <v>0.0</v>
      </c>
      <c r="F1338" s="19"/>
      <c r="G1338" s="16" t="s">
        <v>2017</v>
      </c>
      <c r="H1338" s="21"/>
      <c r="I1338" s="22"/>
      <c r="J1338" s="23"/>
      <c r="K1338" s="44">
        <v>8400.0</v>
      </c>
      <c r="L1338" s="44">
        <v>12000.0</v>
      </c>
      <c r="M1338" s="25"/>
      <c r="N1338" s="26"/>
      <c r="O1338" s="27">
        <f t="shared" si="175"/>
        <v>0.4285714286</v>
      </c>
      <c r="P1338" s="28">
        <f t="shared" si="176"/>
        <v>0</v>
      </c>
    </row>
    <row r="1339" hidden="1">
      <c r="A1339" s="42" t="s">
        <v>2020</v>
      </c>
      <c r="B1339" s="17"/>
      <c r="C1339" s="18"/>
      <c r="D1339" s="4"/>
      <c r="E1339" s="19">
        <v>0.0</v>
      </c>
      <c r="F1339" s="19">
        <v>0.0</v>
      </c>
      <c r="G1339" s="16" t="s">
        <v>2021</v>
      </c>
      <c r="H1339" s="21"/>
      <c r="I1339" s="22">
        <v>1.0</v>
      </c>
      <c r="J1339" s="29"/>
      <c r="K1339" s="43"/>
      <c r="L1339" s="44"/>
      <c r="M1339" s="25"/>
      <c r="N1339" s="50"/>
      <c r="O1339" s="147"/>
      <c r="P1339" s="28"/>
    </row>
    <row r="1340" hidden="1">
      <c r="A1340" s="42" t="s">
        <v>2022</v>
      </c>
      <c r="B1340" s="114"/>
      <c r="C1340" s="18"/>
      <c r="D1340" s="4"/>
      <c r="E1340" s="19">
        <v>0.0</v>
      </c>
      <c r="F1340" s="19"/>
      <c r="G1340" s="16" t="s">
        <v>2023</v>
      </c>
      <c r="H1340" s="21"/>
      <c r="I1340" s="22"/>
      <c r="J1340" s="29"/>
      <c r="K1340" s="32">
        <f>3800/12</f>
        <v>316.6666667</v>
      </c>
      <c r="L1340" s="24">
        <v>600.0</v>
      </c>
      <c r="M1340" s="25"/>
      <c r="N1340" s="50"/>
      <c r="O1340" s="27">
        <f>(L1340/K1340)-1</f>
        <v>0.8947368421</v>
      </c>
      <c r="P1340" s="28">
        <f>K1340*F1340</f>
        <v>0</v>
      </c>
    </row>
    <row r="1341" hidden="1">
      <c r="A1341" s="42" t="s">
        <v>2024</v>
      </c>
      <c r="B1341" s="114"/>
      <c r="C1341" s="18"/>
      <c r="D1341" s="4"/>
      <c r="E1341" s="19">
        <v>0.0</v>
      </c>
      <c r="F1341" s="19"/>
      <c r="G1341" s="16" t="s">
        <v>2023</v>
      </c>
      <c r="H1341" s="21"/>
      <c r="I1341" s="22"/>
      <c r="J1341" s="29"/>
      <c r="K1341" s="43"/>
      <c r="L1341" s="44"/>
      <c r="M1341" s="25"/>
      <c r="N1341" s="50"/>
      <c r="O1341" s="27"/>
      <c r="P1341" s="28"/>
    </row>
    <row r="1342" hidden="1">
      <c r="A1342" s="40" t="s">
        <v>2025</v>
      </c>
      <c r="B1342" s="17"/>
      <c r="C1342" s="18"/>
      <c r="D1342" s="4"/>
      <c r="E1342" s="19">
        <v>0.0</v>
      </c>
      <c r="F1342" s="19"/>
      <c r="G1342" s="16" t="s">
        <v>57</v>
      </c>
      <c r="H1342" s="21"/>
      <c r="I1342" s="22"/>
      <c r="J1342" s="29"/>
      <c r="K1342" s="43">
        <v>6000.0</v>
      </c>
      <c r="L1342" s="44">
        <v>9000.0</v>
      </c>
      <c r="M1342" s="25"/>
      <c r="N1342" s="26"/>
      <c r="O1342" s="27">
        <f t="shared" ref="O1342:O1388" si="177">(L1342/K1342)-1</f>
        <v>0.5</v>
      </c>
      <c r="P1342" s="28">
        <f t="shared" ref="P1342:P1388" si="178">K1342*F1342</f>
        <v>0</v>
      </c>
    </row>
    <row r="1343" hidden="1">
      <c r="A1343" s="16" t="s">
        <v>2026</v>
      </c>
      <c r="B1343" s="17"/>
      <c r="C1343" s="18"/>
      <c r="D1343" s="4"/>
      <c r="E1343" s="19">
        <v>0.0</v>
      </c>
      <c r="F1343" s="19">
        <v>0.0</v>
      </c>
      <c r="G1343" s="16" t="s">
        <v>104</v>
      </c>
      <c r="H1343" s="21"/>
      <c r="I1343" s="22">
        <v>0.0</v>
      </c>
      <c r="J1343" s="29"/>
      <c r="K1343" s="43">
        <v>12176.0</v>
      </c>
      <c r="L1343" s="44">
        <v>16000.0</v>
      </c>
      <c r="M1343" s="25"/>
      <c r="N1343" s="26"/>
      <c r="O1343" s="27">
        <f t="shared" si="177"/>
        <v>0.3140604468</v>
      </c>
      <c r="P1343" s="28">
        <f t="shared" si="178"/>
        <v>0</v>
      </c>
    </row>
    <row r="1344" hidden="1">
      <c r="A1344" s="59" t="s">
        <v>2027</v>
      </c>
      <c r="B1344" s="97" t="s">
        <v>2028</v>
      </c>
      <c r="C1344" s="18"/>
      <c r="D1344" s="98"/>
      <c r="E1344" s="19">
        <v>0.0</v>
      </c>
      <c r="F1344" s="19"/>
      <c r="G1344" s="16" t="s">
        <v>485</v>
      </c>
      <c r="H1344" s="21">
        <v>0.0</v>
      </c>
      <c r="I1344" s="22"/>
      <c r="J1344" s="22"/>
      <c r="K1344" s="236">
        <f>104363*1.19</f>
        <v>124191.97</v>
      </c>
      <c r="L1344" s="175">
        <v>180000.0</v>
      </c>
      <c r="M1344" s="25"/>
      <c r="N1344" s="26"/>
      <c r="O1344" s="27">
        <f t="shared" si="177"/>
        <v>0.4493690695</v>
      </c>
      <c r="P1344" s="28">
        <f t="shared" si="178"/>
        <v>0</v>
      </c>
    </row>
    <row r="1345" hidden="1">
      <c r="A1345" s="59" t="s">
        <v>2029</v>
      </c>
      <c r="B1345" s="97" t="s">
        <v>2030</v>
      </c>
      <c r="C1345" s="18"/>
      <c r="D1345" s="98"/>
      <c r="E1345" s="19">
        <v>0.0</v>
      </c>
      <c r="F1345" s="19"/>
      <c r="G1345" s="16" t="s">
        <v>485</v>
      </c>
      <c r="H1345" s="21">
        <v>0.0</v>
      </c>
      <c r="I1345" s="22"/>
      <c r="J1345" s="22"/>
      <c r="K1345" s="236">
        <f>94875*1.19</f>
        <v>112901.25</v>
      </c>
      <c r="L1345" s="175">
        <v>180000.0</v>
      </c>
      <c r="M1345" s="25"/>
      <c r="N1345" s="26"/>
      <c r="O1345" s="27">
        <f t="shared" si="177"/>
        <v>0.5943136148</v>
      </c>
      <c r="P1345" s="28">
        <f t="shared" si="178"/>
        <v>0</v>
      </c>
    </row>
    <row r="1346" hidden="1">
      <c r="A1346" s="59" t="s">
        <v>2031</v>
      </c>
      <c r="B1346" s="97" t="s">
        <v>2032</v>
      </c>
      <c r="C1346" s="18"/>
      <c r="D1346" s="98"/>
      <c r="E1346" s="19">
        <v>0.0</v>
      </c>
      <c r="F1346" s="19"/>
      <c r="G1346" s="16" t="s">
        <v>485</v>
      </c>
      <c r="H1346" s="21">
        <v>0.0</v>
      </c>
      <c r="I1346" s="22"/>
      <c r="J1346" s="22"/>
      <c r="K1346" s="250">
        <v>136612.0</v>
      </c>
      <c r="L1346" s="101">
        <v>199000.0</v>
      </c>
      <c r="M1346" s="25"/>
      <c r="N1346" s="26"/>
      <c r="O1346" s="27">
        <f t="shared" si="177"/>
        <v>0.4566802331</v>
      </c>
      <c r="P1346" s="28">
        <f t="shared" si="178"/>
        <v>0</v>
      </c>
    </row>
    <row r="1347" hidden="1">
      <c r="A1347" s="122" t="s">
        <v>2033</v>
      </c>
      <c r="B1347" s="17">
        <v>241003.0</v>
      </c>
      <c r="C1347" s="18"/>
      <c r="D1347" s="4"/>
      <c r="E1347" s="19">
        <v>0.0</v>
      </c>
      <c r="F1347" s="19">
        <v>0.0</v>
      </c>
      <c r="G1347" s="16" t="s">
        <v>425</v>
      </c>
      <c r="H1347" s="73"/>
      <c r="I1347" s="22">
        <f>26+40</f>
        <v>66</v>
      </c>
      <c r="J1347" s="74"/>
      <c r="K1347" s="75">
        <v>400.0</v>
      </c>
      <c r="L1347" s="44">
        <v>2000.0</v>
      </c>
      <c r="M1347" s="25"/>
      <c r="N1347" s="26"/>
      <c r="O1347" s="27">
        <f t="shared" si="177"/>
        <v>4</v>
      </c>
      <c r="P1347" s="28">
        <f t="shared" si="178"/>
        <v>0</v>
      </c>
    </row>
    <row r="1348" hidden="1">
      <c r="A1348" s="122" t="s">
        <v>2034</v>
      </c>
      <c r="B1348" s="17">
        <v>241007.0</v>
      </c>
      <c r="C1348" s="18"/>
      <c r="D1348" s="4"/>
      <c r="E1348" s="19">
        <v>0.0</v>
      </c>
      <c r="F1348" s="19">
        <v>0.0</v>
      </c>
      <c r="G1348" s="16" t="s">
        <v>425</v>
      </c>
      <c r="H1348" s="73"/>
      <c r="I1348" s="22">
        <f>30+50</f>
        <v>80</v>
      </c>
      <c r="J1348" s="74"/>
      <c r="K1348" s="75">
        <v>400.0</v>
      </c>
      <c r="L1348" s="44">
        <v>2000.0</v>
      </c>
      <c r="M1348" s="25"/>
      <c r="N1348" s="26"/>
      <c r="O1348" s="27">
        <f t="shared" si="177"/>
        <v>4</v>
      </c>
      <c r="P1348" s="28">
        <f t="shared" si="178"/>
        <v>0</v>
      </c>
    </row>
    <row r="1349" hidden="1">
      <c r="A1349" s="122" t="s">
        <v>2035</v>
      </c>
      <c r="B1349" s="17">
        <v>241012.0</v>
      </c>
      <c r="C1349" s="18"/>
      <c r="D1349" s="4"/>
      <c r="E1349" s="19">
        <v>0.0</v>
      </c>
      <c r="F1349" s="19">
        <v>0.0</v>
      </c>
      <c r="G1349" s="16" t="s">
        <v>425</v>
      </c>
      <c r="H1349" s="73"/>
      <c r="I1349" s="22">
        <f>55+50</f>
        <v>105</v>
      </c>
      <c r="J1349" s="74"/>
      <c r="K1349" s="75">
        <v>400.0</v>
      </c>
      <c r="L1349" s="44">
        <v>2000.0</v>
      </c>
      <c r="M1349" s="25"/>
      <c r="N1349" s="26"/>
      <c r="O1349" s="27">
        <f t="shared" si="177"/>
        <v>4</v>
      </c>
      <c r="P1349" s="28">
        <f t="shared" si="178"/>
        <v>0</v>
      </c>
    </row>
    <row r="1350" hidden="1">
      <c r="A1350" s="122" t="s">
        <v>2036</v>
      </c>
      <c r="B1350" s="17">
        <v>241004.0</v>
      </c>
      <c r="C1350" s="18"/>
      <c r="D1350" s="4"/>
      <c r="E1350" s="19">
        <v>0.0</v>
      </c>
      <c r="F1350" s="19">
        <v>0.0</v>
      </c>
      <c r="G1350" s="16" t="s">
        <v>425</v>
      </c>
      <c r="H1350" s="73"/>
      <c r="I1350" s="22">
        <v>50.0</v>
      </c>
      <c r="J1350" s="74"/>
      <c r="K1350" s="75">
        <f>62726*1.19/100</f>
        <v>746.4394</v>
      </c>
      <c r="L1350" s="44">
        <v>2000.0</v>
      </c>
      <c r="M1350" s="25"/>
      <c r="N1350" s="26"/>
      <c r="O1350" s="27">
        <f t="shared" si="177"/>
        <v>1.679386967</v>
      </c>
      <c r="P1350" s="28">
        <f t="shared" si="178"/>
        <v>0</v>
      </c>
    </row>
    <row r="1351" hidden="1">
      <c r="A1351" s="122" t="s">
        <v>2037</v>
      </c>
      <c r="B1351" s="17">
        <v>241008.0</v>
      </c>
      <c r="C1351" s="18"/>
      <c r="D1351" s="4"/>
      <c r="E1351" s="19">
        <v>0.0</v>
      </c>
      <c r="F1351" s="19">
        <v>0.0</v>
      </c>
      <c r="G1351" s="16" t="s">
        <v>425</v>
      </c>
      <c r="H1351" s="73"/>
      <c r="I1351" s="22">
        <f>29+16+50</f>
        <v>95</v>
      </c>
      <c r="J1351" s="74"/>
      <c r="K1351" s="75">
        <v>400.0</v>
      </c>
      <c r="L1351" s="44">
        <v>2000.0</v>
      </c>
      <c r="M1351" s="25"/>
      <c r="N1351" s="26"/>
      <c r="O1351" s="27">
        <f t="shared" si="177"/>
        <v>4</v>
      </c>
      <c r="P1351" s="28">
        <f t="shared" si="178"/>
        <v>0</v>
      </c>
    </row>
    <row r="1352" hidden="1">
      <c r="A1352" s="122" t="s">
        <v>2038</v>
      </c>
      <c r="B1352" s="17">
        <v>241016.0</v>
      </c>
      <c r="C1352" s="18"/>
      <c r="D1352" s="4"/>
      <c r="E1352" s="19">
        <v>0.0</v>
      </c>
      <c r="F1352" s="19">
        <v>0.0</v>
      </c>
      <c r="G1352" s="16" t="s">
        <v>425</v>
      </c>
      <c r="H1352" s="21"/>
      <c r="I1352" s="22">
        <f>30+21</f>
        <v>51</v>
      </c>
      <c r="J1352" s="29"/>
      <c r="K1352" s="43">
        <f>627*1.19</f>
        <v>746.13</v>
      </c>
      <c r="L1352" s="44">
        <v>2000.0</v>
      </c>
      <c r="M1352" s="25"/>
      <c r="N1352" s="26"/>
      <c r="O1352" s="27">
        <f t="shared" si="177"/>
        <v>1.680498037</v>
      </c>
      <c r="P1352" s="28">
        <f t="shared" si="178"/>
        <v>0</v>
      </c>
    </row>
    <row r="1353" hidden="1">
      <c r="A1353" s="122" t="s">
        <v>2039</v>
      </c>
      <c r="B1353" s="17">
        <v>241013.0</v>
      </c>
      <c r="C1353" s="18"/>
      <c r="D1353" s="4"/>
      <c r="E1353" s="19">
        <v>0.0</v>
      </c>
      <c r="F1353" s="19">
        <v>0.0</v>
      </c>
      <c r="G1353" s="16" t="s">
        <v>425</v>
      </c>
      <c r="H1353" s="73"/>
      <c r="I1353" s="22">
        <v>0.0</v>
      </c>
      <c r="J1353" s="74"/>
      <c r="K1353" s="75">
        <v>400.0</v>
      </c>
      <c r="L1353" s="44">
        <v>2000.0</v>
      </c>
      <c r="M1353" s="25"/>
      <c r="N1353" s="26"/>
      <c r="O1353" s="27">
        <f t="shared" si="177"/>
        <v>4</v>
      </c>
      <c r="P1353" s="28">
        <f t="shared" si="178"/>
        <v>0</v>
      </c>
    </row>
    <row r="1354" hidden="1">
      <c r="A1354" s="122" t="s">
        <v>2040</v>
      </c>
      <c r="B1354" s="17">
        <v>241009.0</v>
      </c>
      <c r="C1354" s="18"/>
      <c r="D1354" s="4"/>
      <c r="E1354" s="19">
        <v>0.0</v>
      </c>
      <c r="F1354" s="19">
        <v>0.0</v>
      </c>
      <c r="G1354" s="16" t="s">
        <v>425</v>
      </c>
      <c r="H1354" s="73"/>
      <c r="I1354" s="22">
        <v>0.0</v>
      </c>
      <c r="J1354" s="74"/>
      <c r="K1354" s="75">
        <v>400.0</v>
      </c>
      <c r="L1354" s="44">
        <v>2000.0</v>
      </c>
      <c r="M1354" s="25"/>
      <c r="N1354" s="26"/>
      <c r="O1354" s="27">
        <f t="shared" si="177"/>
        <v>4</v>
      </c>
      <c r="P1354" s="28">
        <f t="shared" si="178"/>
        <v>0</v>
      </c>
    </row>
    <row r="1355" hidden="1">
      <c r="A1355" s="122" t="s">
        <v>2041</v>
      </c>
      <c r="B1355" s="17">
        <v>241061.0</v>
      </c>
      <c r="C1355" s="18"/>
      <c r="D1355" s="4"/>
      <c r="E1355" s="19">
        <v>0.0</v>
      </c>
      <c r="F1355" s="19">
        <v>0.0</v>
      </c>
      <c r="G1355" s="16" t="s">
        <v>425</v>
      </c>
      <c r="H1355" s="73"/>
      <c r="I1355" s="22">
        <v>0.0</v>
      </c>
      <c r="J1355" s="74"/>
      <c r="K1355" s="75">
        <v>400.0</v>
      </c>
      <c r="L1355" s="44">
        <v>2000.0</v>
      </c>
      <c r="M1355" s="25"/>
      <c r="N1355" s="26"/>
      <c r="O1355" s="27">
        <f t="shared" si="177"/>
        <v>4</v>
      </c>
      <c r="P1355" s="28">
        <f t="shared" si="178"/>
        <v>0</v>
      </c>
    </row>
    <row r="1356" hidden="1">
      <c r="A1356" s="52" t="s">
        <v>2042</v>
      </c>
      <c r="B1356" s="36">
        <f>12800*1.19</f>
        <v>15232</v>
      </c>
      <c r="C1356" s="18"/>
      <c r="D1356" s="4"/>
      <c r="E1356" s="19">
        <v>0.0</v>
      </c>
      <c r="F1356" s="19">
        <v>0.0</v>
      </c>
      <c r="G1356" s="16" t="s">
        <v>513</v>
      </c>
      <c r="H1356" s="21"/>
      <c r="I1356" s="22">
        <v>4.0</v>
      </c>
      <c r="J1356" s="29"/>
      <c r="K1356" s="43">
        <f>17500*1.19</f>
        <v>20825</v>
      </c>
      <c r="L1356" s="44">
        <v>30000.0</v>
      </c>
      <c r="M1356" s="25"/>
      <c r="N1356" s="50"/>
      <c r="O1356" s="27">
        <f t="shared" si="177"/>
        <v>0.4405762305</v>
      </c>
      <c r="P1356" s="28">
        <f t="shared" si="178"/>
        <v>0</v>
      </c>
    </row>
    <row r="1357" hidden="1">
      <c r="A1357" s="52" t="s">
        <v>2043</v>
      </c>
      <c r="B1357" s="134" t="s">
        <v>1460</v>
      </c>
      <c r="C1357" s="18"/>
      <c r="D1357" s="4"/>
      <c r="E1357" s="19">
        <v>0.0</v>
      </c>
      <c r="F1357" s="19">
        <v>2.0</v>
      </c>
      <c r="G1357" s="16" t="s">
        <v>1108</v>
      </c>
      <c r="H1357" s="21"/>
      <c r="I1357" s="22">
        <v>3.0</v>
      </c>
      <c r="J1357" s="29"/>
      <c r="K1357" s="32">
        <f>128000*1.19</f>
        <v>152320</v>
      </c>
      <c r="L1357" s="24">
        <v>190000.0</v>
      </c>
      <c r="M1357" s="25"/>
      <c r="N1357" s="50"/>
      <c r="O1357" s="27">
        <f t="shared" si="177"/>
        <v>0.2473739496</v>
      </c>
      <c r="P1357" s="28">
        <f t="shared" si="178"/>
        <v>304640</v>
      </c>
    </row>
    <row r="1358" hidden="1">
      <c r="A1358" s="122" t="s">
        <v>2044</v>
      </c>
      <c r="B1358" s="36" t="s">
        <v>2045</v>
      </c>
      <c r="C1358" s="18"/>
      <c r="D1358" s="4"/>
      <c r="E1358" s="19">
        <v>0.0</v>
      </c>
      <c r="F1358" s="19"/>
      <c r="G1358" s="16" t="s">
        <v>2046</v>
      </c>
      <c r="H1358" s="21"/>
      <c r="I1358" s="22"/>
      <c r="J1358" s="23"/>
      <c r="K1358" s="24">
        <v>4165.0</v>
      </c>
      <c r="L1358" s="24">
        <v>7000.0</v>
      </c>
      <c r="M1358" s="25"/>
      <c r="N1358" s="70"/>
      <c r="O1358" s="27">
        <f t="shared" si="177"/>
        <v>0.6806722689</v>
      </c>
      <c r="P1358" s="28">
        <f t="shared" si="178"/>
        <v>0</v>
      </c>
    </row>
    <row r="1359" hidden="1">
      <c r="A1359" s="122" t="s">
        <v>2047</v>
      </c>
      <c r="B1359" s="17">
        <v>241001.0</v>
      </c>
      <c r="C1359" s="18"/>
      <c r="D1359" s="4"/>
      <c r="E1359" s="19">
        <v>0.0</v>
      </c>
      <c r="F1359" s="19">
        <v>0.0</v>
      </c>
      <c r="G1359" s="16" t="s">
        <v>425</v>
      </c>
      <c r="H1359" s="73"/>
      <c r="I1359" s="22">
        <f>15+31+50</f>
        <v>96</v>
      </c>
      <c r="J1359" s="74"/>
      <c r="K1359" s="75">
        <f>62726*1.19/100</f>
        <v>746.4394</v>
      </c>
      <c r="L1359" s="44">
        <v>2000.0</v>
      </c>
      <c r="M1359" s="25"/>
      <c r="N1359" s="26"/>
      <c r="O1359" s="27">
        <f t="shared" si="177"/>
        <v>1.679386967</v>
      </c>
      <c r="P1359" s="28">
        <f t="shared" si="178"/>
        <v>0</v>
      </c>
    </row>
    <row r="1360" hidden="1">
      <c r="A1360" s="122" t="s">
        <v>2048</v>
      </c>
      <c r="B1360" s="17">
        <v>241005.0</v>
      </c>
      <c r="C1360" s="18"/>
      <c r="D1360" s="4"/>
      <c r="E1360" s="19">
        <v>0.0</v>
      </c>
      <c r="F1360" s="19">
        <v>0.0</v>
      </c>
      <c r="G1360" s="16" t="s">
        <v>425</v>
      </c>
      <c r="H1360" s="73"/>
      <c r="I1360" s="22">
        <v>50.0</v>
      </c>
      <c r="J1360" s="74"/>
      <c r="K1360" s="75">
        <v>400.0</v>
      </c>
      <c r="L1360" s="44">
        <v>2000.0</v>
      </c>
      <c r="M1360" s="25"/>
      <c r="N1360" s="26"/>
      <c r="O1360" s="27">
        <f t="shared" si="177"/>
        <v>4</v>
      </c>
      <c r="P1360" s="28">
        <f t="shared" si="178"/>
        <v>0</v>
      </c>
    </row>
    <row r="1361" hidden="1">
      <c r="A1361" s="122" t="s">
        <v>2049</v>
      </c>
      <c r="B1361" s="17">
        <v>241014.0</v>
      </c>
      <c r="C1361" s="18"/>
      <c r="D1361" s="4"/>
      <c r="E1361" s="19">
        <v>0.0</v>
      </c>
      <c r="F1361" s="19">
        <v>0.0</v>
      </c>
      <c r="G1361" s="16" t="s">
        <v>425</v>
      </c>
      <c r="H1361" s="73"/>
      <c r="I1361" s="22">
        <f>15+22</f>
        <v>37</v>
      </c>
      <c r="J1361" s="74"/>
      <c r="K1361" s="75">
        <v>400.0</v>
      </c>
      <c r="L1361" s="44">
        <v>2000.0</v>
      </c>
      <c r="M1361" s="25"/>
      <c r="N1361" s="26"/>
      <c r="O1361" s="27">
        <f t="shared" si="177"/>
        <v>4</v>
      </c>
      <c r="P1361" s="28">
        <f t="shared" si="178"/>
        <v>0</v>
      </c>
    </row>
    <row r="1362" hidden="1">
      <c r="A1362" s="122" t="s">
        <v>2050</v>
      </c>
      <c r="B1362" s="17">
        <v>241010.0</v>
      </c>
      <c r="C1362" s="18"/>
      <c r="D1362" s="4"/>
      <c r="E1362" s="19">
        <v>0.0</v>
      </c>
      <c r="F1362" s="19">
        <v>0.0</v>
      </c>
      <c r="G1362" s="16" t="s">
        <v>425</v>
      </c>
      <c r="H1362" s="73"/>
      <c r="I1362" s="22">
        <v>50.0</v>
      </c>
      <c r="J1362" s="74"/>
      <c r="K1362" s="75">
        <f>62726*1.19/100</f>
        <v>746.4394</v>
      </c>
      <c r="L1362" s="44">
        <v>2000.0</v>
      </c>
      <c r="M1362" s="25"/>
      <c r="N1362" s="26"/>
      <c r="O1362" s="27">
        <f t="shared" si="177"/>
        <v>1.679386967</v>
      </c>
      <c r="P1362" s="28">
        <f t="shared" si="178"/>
        <v>0</v>
      </c>
    </row>
    <row r="1363" hidden="1">
      <c r="A1363" s="122" t="s">
        <v>2051</v>
      </c>
      <c r="B1363" s="17">
        <v>241002.0</v>
      </c>
      <c r="C1363" s="18"/>
      <c r="D1363" s="4"/>
      <c r="E1363" s="19">
        <v>0.0</v>
      </c>
      <c r="F1363" s="19">
        <v>0.0</v>
      </c>
      <c r="G1363" s="16" t="s">
        <v>425</v>
      </c>
      <c r="H1363" s="73"/>
      <c r="I1363" s="22">
        <v>20.0</v>
      </c>
      <c r="J1363" s="74"/>
      <c r="K1363" s="75">
        <v>400.0</v>
      </c>
      <c r="L1363" s="44">
        <v>2000.0</v>
      </c>
      <c r="M1363" s="25"/>
      <c r="N1363" s="26"/>
      <c r="O1363" s="27">
        <f t="shared" si="177"/>
        <v>4</v>
      </c>
      <c r="P1363" s="28">
        <f t="shared" si="178"/>
        <v>0</v>
      </c>
    </row>
    <row r="1364" hidden="1">
      <c r="A1364" s="122" t="s">
        <v>2052</v>
      </c>
      <c r="B1364" s="17">
        <v>241006.0</v>
      </c>
      <c r="C1364" s="18"/>
      <c r="D1364" s="4"/>
      <c r="E1364" s="19">
        <v>0.0</v>
      </c>
      <c r="F1364" s="19">
        <v>0.0</v>
      </c>
      <c r="G1364" s="16" t="s">
        <v>425</v>
      </c>
      <c r="H1364" s="73"/>
      <c r="I1364" s="22">
        <v>9.0</v>
      </c>
      <c r="J1364" s="74"/>
      <c r="K1364" s="75">
        <v>400.0</v>
      </c>
      <c r="L1364" s="44">
        <v>2000.0</v>
      </c>
      <c r="M1364" s="25"/>
      <c r="N1364" s="26"/>
      <c r="O1364" s="27">
        <f t="shared" si="177"/>
        <v>4</v>
      </c>
      <c r="P1364" s="28">
        <f t="shared" si="178"/>
        <v>0</v>
      </c>
    </row>
    <row r="1365" hidden="1">
      <c r="A1365" s="122" t="s">
        <v>2053</v>
      </c>
      <c r="B1365" s="17">
        <v>241015.0</v>
      </c>
      <c r="C1365" s="18"/>
      <c r="D1365" s="4"/>
      <c r="E1365" s="19">
        <v>0.0</v>
      </c>
      <c r="F1365" s="19">
        <v>0.0</v>
      </c>
      <c r="G1365" s="16" t="s">
        <v>425</v>
      </c>
      <c r="H1365" s="73"/>
      <c r="I1365" s="22">
        <v>8.0</v>
      </c>
      <c r="J1365" s="74"/>
      <c r="K1365" s="75"/>
      <c r="L1365" s="44">
        <v>2000.0</v>
      </c>
      <c r="M1365" s="25"/>
      <c r="N1365" s="26"/>
      <c r="O1365" s="27" t="str">
        <f t="shared" si="177"/>
        <v>#DIV/0!</v>
      </c>
      <c r="P1365" s="28">
        <f t="shared" si="178"/>
        <v>0</v>
      </c>
    </row>
    <row r="1366" hidden="1">
      <c r="A1366" s="122" t="s">
        <v>2054</v>
      </c>
      <c r="B1366" s="17">
        <v>241011.0</v>
      </c>
      <c r="C1366" s="18"/>
      <c r="D1366" s="4"/>
      <c r="E1366" s="19">
        <v>0.0</v>
      </c>
      <c r="F1366" s="19">
        <v>0.0</v>
      </c>
      <c r="G1366" s="16" t="s">
        <v>425</v>
      </c>
      <c r="H1366" s="73"/>
      <c r="I1366" s="22">
        <v>14.0</v>
      </c>
      <c r="J1366" s="74"/>
      <c r="K1366" s="75">
        <v>400.0</v>
      </c>
      <c r="L1366" s="44">
        <v>2000.0</v>
      </c>
      <c r="M1366" s="25"/>
      <c r="N1366" s="26"/>
      <c r="O1366" s="27">
        <f t="shared" si="177"/>
        <v>4</v>
      </c>
      <c r="P1366" s="28">
        <f t="shared" si="178"/>
        <v>0</v>
      </c>
    </row>
    <row r="1367" hidden="1">
      <c r="A1367" s="52" t="s">
        <v>2055</v>
      </c>
      <c r="B1367" s="17"/>
      <c r="C1367" s="18"/>
      <c r="D1367" s="4"/>
      <c r="E1367" s="19">
        <v>0.0</v>
      </c>
      <c r="F1367" s="19"/>
      <c r="G1367" s="16" t="s">
        <v>2056</v>
      </c>
      <c r="H1367" s="21"/>
      <c r="I1367" s="22"/>
      <c r="J1367" s="29"/>
      <c r="K1367" s="43">
        <v>2080.0</v>
      </c>
      <c r="L1367" s="44">
        <v>4000.0</v>
      </c>
      <c r="M1367" s="25"/>
      <c r="N1367" s="26"/>
      <c r="O1367" s="27">
        <f t="shared" si="177"/>
        <v>0.9230769231</v>
      </c>
      <c r="P1367" s="28">
        <f t="shared" si="178"/>
        <v>0</v>
      </c>
    </row>
    <row r="1368" hidden="1">
      <c r="A1368" s="52" t="s">
        <v>2057</v>
      </c>
      <c r="B1368" s="17"/>
      <c r="C1368" s="18"/>
      <c r="D1368" s="4"/>
      <c r="E1368" s="19">
        <v>0.0</v>
      </c>
      <c r="F1368" s="19"/>
      <c r="G1368" s="16" t="s">
        <v>2056</v>
      </c>
      <c r="H1368" s="21"/>
      <c r="I1368" s="22"/>
      <c r="J1368" s="29"/>
      <c r="K1368" s="43">
        <v>2080.0</v>
      </c>
      <c r="L1368" s="44">
        <v>4000.0</v>
      </c>
      <c r="M1368" s="25"/>
      <c r="N1368" s="26"/>
      <c r="O1368" s="27">
        <f t="shared" si="177"/>
        <v>0.9230769231</v>
      </c>
      <c r="P1368" s="28">
        <f t="shared" si="178"/>
        <v>0</v>
      </c>
    </row>
    <row r="1369" hidden="1">
      <c r="A1369" s="52" t="s">
        <v>2058</v>
      </c>
      <c r="B1369" s="36"/>
      <c r="C1369" s="18"/>
      <c r="D1369" s="4"/>
      <c r="E1369" s="19">
        <v>0.0</v>
      </c>
      <c r="F1369" s="19"/>
      <c r="G1369" s="16" t="s">
        <v>2056</v>
      </c>
      <c r="H1369" s="21"/>
      <c r="I1369" s="22"/>
      <c r="J1369" s="29"/>
      <c r="K1369" s="43">
        <v>2479.0</v>
      </c>
      <c r="L1369" s="44">
        <v>4000.0</v>
      </c>
      <c r="M1369" s="25"/>
      <c r="N1369" s="26"/>
      <c r="O1369" s="27">
        <f t="shared" si="177"/>
        <v>0.6135538524</v>
      </c>
      <c r="P1369" s="28">
        <f t="shared" si="178"/>
        <v>0</v>
      </c>
    </row>
    <row r="1370" hidden="1">
      <c r="A1370" s="52" t="s">
        <v>2059</v>
      </c>
      <c r="B1370" s="134"/>
      <c r="C1370" s="18"/>
      <c r="D1370" s="4"/>
      <c r="E1370" s="19">
        <v>0.0</v>
      </c>
      <c r="F1370" s="19"/>
      <c r="G1370" s="16" t="s">
        <v>2056</v>
      </c>
      <c r="H1370" s="21"/>
      <c r="I1370" s="22"/>
      <c r="J1370" s="29"/>
      <c r="K1370" s="43">
        <f t="shared" ref="K1370:K1371" si="179">25000*1.19/12</f>
        <v>2479.166667</v>
      </c>
      <c r="L1370" s="44">
        <v>4000.0</v>
      </c>
      <c r="M1370" s="25"/>
      <c r="N1370" s="26"/>
      <c r="O1370" s="27">
        <f t="shared" si="177"/>
        <v>0.6134453782</v>
      </c>
      <c r="P1370" s="28">
        <f t="shared" si="178"/>
        <v>0</v>
      </c>
    </row>
    <row r="1371" hidden="1">
      <c r="A1371" s="52" t="s">
        <v>2060</v>
      </c>
      <c r="B1371" s="36"/>
      <c r="C1371" s="18"/>
      <c r="D1371" s="4"/>
      <c r="E1371" s="19">
        <v>0.0</v>
      </c>
      <c r="F1371" s="19"/>
      <c r="G1371" s="16" t="s">
        <v>2056</v>
      </c>
      <c r="H1371" s="21"/>
      <c r="I1371" s="22"/>
      <c r="J1371" s="29"/>
      <c r="K1371" s="43">
        <f t="shared" si="179"/>
        <v>2479.166667</v>
      </c>
      <c r="L1371" s="44">
        <v>4000.0</v>
      </c>
      <c r="M1371" s="25"/>
      <c r="N1371" s="26"/>
      <c r="O1371" s="27">
        <f t="shared" si="177"/>
        <v>0.6134453782</v>
      </c>
      <c r="P1371" s="28">
        <f t="shared" si="178"/>
        <v>0</v>
      </c>
    </row>
    <row r="1372" hidden="1">
      <c r="A1372" s="52" t="s">
        <v>2061</v>
      </c>
      <c r="B1372" s="17"/>
      <c r="C1372" s="18"/>
      <c r="D1372" s="4"/>
      <c r="E1372" s="19">
        <v>0.0</v>
      </c>
      <c r="F1372" s="19"/>
      <c r="G1372" s="16" t="s">
        <v>2056</v>
      </c>
      <c r="H1372" s="21"/>
      <c r="I1372" s="22"/>
      <c r="J1372" s="29"/>
      <c r="K1372" s="43">
        <v>2080.0</v>
      </c>
      <c r="L1372" s="44">
        <v>4000.0</v>
      </c>
      <c r="M1372" s="25"/>
      <c r="N1372" s="69"/>
      <c r="O1372" s="27">
        <f t="shared" si="177"/>
        <v>0.9230769231</v>
      </c>
      <c r="P1372" s="28">
        <f t="shared" si="178"/>
        <v>0</v>
      </c>
    </row>
    <row r="1373" hidden="1">
      <c r="A1373" s="52" t="s">
        <v>2062</v>
      </c>
      <c r="B1373" s="17"/>
      <c r="C1373" s="18"/>
      <c r="D1373" s="4"/>
      <c r="E1373" s="19">
        <v>0.0</v>
      </c>
      <c r="F1373" s="19"/>
      <c r="G1373" s="16" t="s">
        <v>2056</v>
      </c>
      <c r="H1373" s="21"/>
      <c r="I1373" s="22"/>
      <c r="J1373" s="29"/>
      <c r="K1373" s="43">
        <v>2080.0</v>
      </c>
      <c r="L1373" s="44">
        <v>4000.0</v>
      </c>
      <c r="M1373" s="25"/>
      <c r="N1373" s="26"/>
      <c r="O1373" s="27">
        <f t="shared" si="177"/>
        <v>0.9230769231</v>
      </c>
      <c r="P1373" s="28">
        <f t="shared" si="178"/>
        <v>0</v>
      </c>
    </row>
    <row r="1374" hidden="1">
      <c r="A1374" s="16" t="s">
        <v>2063</v>
      </c>
      <c r="B1374" s="17" t="s">
        <v>44</v>
      </c>
      <c r="C1374" s="18"/>
      <c r="D1374" s="4"/>
      <c r="E1374" s="19">
        <v>0.0</v>
      </c>
      <c r="F1374" s="19">
        <v>1.0</v>
      </c>
      <c r="G1374" s="16" t="s">
        <v>45</v>
      </c>
      <c r="H1374" s="21"/>
      <c r="I1374" s="22">
        <v>2.0</v>
      </c>
      <c r="J1374" s="45"/>
      <c r="K1374" s="46">
        <v>2488400.0</v>
      </c>
      <c r="L1374" s="46">
        <v>2900000.0</v>
      </c>
      <c r="M1374" s="25"/>
      <c r="N1374" s="69"/>
      <c r="O1374" s="27">
        <f t="shared" si="177"/>
        <v>0.1654074908</v>
      </c>
      <c r="P1374" s="28">
        <f t="shared" si="178"/>
        <v>2488400</v>
      </c>
    </row>
    <row r="1375" hidden="1">
      <c r="A1375" s="16" t="s">
        <v>2064</v>
      </c>
      <c r="B1375" s="17" t="s">
        <v>44</v>
      </c>
      <c r="C1375" s="18"/>
      <c r="D1375" s="4"/>
      <c r="E1375" s="19">
        <v>0.0</v>
      </c>
      <c r="F1375" s="19">
        <v>0.0</v>
      </c>
      <c r="G1375" s="16" t="s">
        <v>1569</v>
      </c>
      <c r="H1375" s="21"/>
      <c r="I1375" s="22">
        <v>2.0</v>
      </c>
      <c r="J1375" s="45"/>
      <c r="K1375" s="46">
        <v>1079000.0</v>
      </c>
      <c r="L1375" s="46">
        <v>1260000.0</v>
      </c>
      <c r="M1375" s="25"/>
      <c r="N1375" s="69"/>
      <c r="O1375" s="27">
        <f t="shared" si="177"/>
        <v>0.1677479147</v>
      </c>
      <c r="P1375" s="28">
        <f t="shared" si="178"/>
        <v>0</v>
      </c>
    </row>
    <row r="1376" hidden="1">
      <c r="A1376" s="156" t="s">
        <v>2065</v>
      </c>
      <c r="B1376" s="71"/>
      <c r="C1376" s="18"/>
      <c r="D1376" s="4"/>
      <c r="E1376" s="19">
        <v>0.0</v>
      </c>
      <c r="F1376" s="19"/>
      <c r="G1376" s="16" t="s">
        <v>291</v>
      </c>
      <c r="H1376" s="21"/>
      <c r="I1376" s="22"/>
      <c r="J1376" s="29"/>
      <c r="K1376" s="43">
        <f>13026*1.19/20</f>
        <v>775.047</v>
      </c>
      <c r="L1376" s="44">
        <v>1000.0</v>
      </c>
      <c r="M1376" s="25"/>
      <c r="N1376" s="50"/>
      <c r="O1376" s="27">
        <f t="shared" si="177"/>
        <v>0.2902443336</v>
      </c>
      <c r="P1376" s="28">
        <f t="shared" si="178"/>
        <v>0</v>
      </c>
    </row>
    <row r="1377" hidden="1">
      <c r="A1377" s="122" t="s">
        <v>2066</v>
      </c>
      <c r="B1377" s="17"/>
      <c r="C1377" s="18" t="s">
        <v>1157</v>
      </c>
      <c r="D1377" s="4"/>
      <c r="E1377" s="19">
        <v>0.0</v>
      </c>
      <c r="F1377" s="19">
        <v>0.0</v>
      </c>
      <c r="G1377" s="16" t="s">
        <v>580</v>
      </c>
      <c r="H1377" s="21"/>
      <c r="I1377" s="22"/>
      <c r="J1377" s="23"/>
      <c r="K1377" s="44">
        <f t="shared" ref="K1377:K1379" si="180">8962*1.19</f>
        <v>10664.78</v>
      </c>
      <c r="L1377" s="44">
        <v>35000.0</v>
      </c>
      <c r="M1377" s="25"/>
      <c r="N1377" s="251">
        <v>14000.0</v>
      </c>
      <c r="O1377" s="27">
        <f t="shared" si="177"/>
        <v>2.281830474</v>
      </c>
      <c r="P1377" s="28">
        <f t="shared" si="178"/>
        <v>0</v>
      </c>
    </row>
    <row r="1378" hidden="1">
      <c r="A1378" s="122" t="s">
        <v>2067</v>
      </c>
      <c r="B1378" s="17">
        <v>241035.0</v>
      </c>
      <c r="C1378" s="18" t="s">
        <v>1157</v>
      </c>
      <c r="D1378" s="4"/>
      <c r="E1378" s="19">
        <v>0.0</v>
      </c>
      <c r="F1378" s="19">
        <v>0.0</v>
      </c>
      <c r="G1378" s="16" t="s">
        <v>425</v>
      </c>
      <c r="H1378" s="21"/>
      <c r="I1378" s="22"/>
      <c r="J1378" s="23"/>
      <c r="K1378" s="44">
        <f t="shared" si="180"/>
        <v>10664.78</v>
      </c>
      <c r="L1378" s="44">
        <v>20000.0</v>
      </c>
      <c r="M1378" s="25"/>
      <c r="N1378" s="251">
        <v>14000.0</v>
      </c>
      <c r="O1378" s="27">
        <f t="shared" si="177"/>
        <v>0.8753316993</v>
      </c>
      <c r="P1378" s="28">
        <f t="shared" si="178"/>
        <v>0</v>
      </c>
    </row>
    <row r="1379" hidden="1">
      <c r="A1379" s="122" t="s">
        <v>2068</v>
      </c>
      <c r="B1379" s="17">
        <v>241034.0</v>
      </c>
      <c r="C1379" s="18" t="s">
        <v>1157</v>
      </c>
      <c r="D1379" s="4"/>
      <c r="E1379" s="19">
        <v>0.0</v>
      </c>
      <c r="F1379" s="19">
        <v>0.0</v>
      </c>
      <c r="G1379" s="16" t="s">
        <v>425</v>
      </c>
      <c r="H1379" s="21"/>
      <c r="I1379" s="22">
        <v>85.0</v>
      </c>
      <c r="J1379" s="23"/>
      <c r="K1379" s="44">
        <f t="shared" si="180"/>
        <v>10664.78</v>
      </c>
      <c r="L1379" s="44">
        <v>20000.0</v>
      </c>
      <c r="M1379" s="25"/>
      <c r="N1379" s="251">
        <v>14000.0</v>
      </c>
      <c r="O1379" s="27">
        <f t="shared" si="177"/>
        <v>0.8753316993</v>
      </c>
      <c r="P1379" s="28">
        <f t="shared" si="178"/>
        <v>0</v>
      </c>
    </row>
    <row r="1380" hidden="1">
      <c r="A1380" s="122" t="s">
        <v>2069</v>
      </c>
      <c r="B1380" s="17">
        <v>241032.0</v>
      </c>
      <c r="C1380" s="18" t="s">
        <v>1157</v>
      </c>
      <c r="D1380" s="4"/>
      <c r="E1380" s="19">
        <v>0.0</v>
      </c>
      <c r="F1380" s="19">
        <v>0.0</v>
      </c>
      <c r="G1380" s="16" t="s">
        <v>2070</v>
      </c>
      <c r="H1380" s="21"/>
      <c r="I1380" s="22" t="s">
        <v>99</v>
      </c>
      <c r="J1380" s="23"/>
      <c r="K1380" s="44">
        <v>8532.0</v>
      </c>
      <c r="L1380" s="44">
        <v>20000.0</v>
      </c>
      <c r="M1380" s="25"/>
      <c r="N1380" s="251">
        <v>14000.0</v>
      </c>
      <c r="O1380" s="27">
        <f t="shared" si="177"/>
        <v>1.344116268</v>
      </c>
      <c r="P1380" s="28">
        <f t="shared" si="178"/>
        <v>0</v>
      </c>
    </row>
    <row r="1381" hidden="1">
      <c r="A1381" s="122" t="s">
        <v>2071</v>
      </c>
      <c r="B1381" s="17"/>
      <c r="C1381" s="18" t="s">
        <v>1157</v>
      </c>
      <c r="D1381" s="4"/>
      <c r="E1381" s="19">
        <v>0.0</v>
      </c>
      <c r="F1381" s="19">
        <v>0.0</v>
      </c>
      <c r="G1381" s="16" t="s">
        <v>425</v>
      </c>
      <c r="H1381" s="21"/>
      <c r="I1381" s="22" t="s">
        <v>99</v>
      </c>
      <c r="J1381" s="23"/>
      <c r="K1381" s="44">
        <f t="shared" ref="K1381:K1383" si="181">8962*1.19</f>
        <v>10664.78</v>
      </c>
      <c r="L1381" s="44">
        <v>20000.0</v>
      </c>
      <c r="M1381" s="25"/>
      <c r="N1381" s="251">
        <v>14000.0</v>
      </c>
      <c r="O1381" s="27">
        <f t="shared" si="177"/>
        <v>0.8753316993</v>
      </c>
      <c r="P1381" s="28">
        <f t="shared" si="178"/>
        <v>0</v>
      </c>
    </row>
    <row r="1382" hidden="1">
      <c r="A1382" s="122" t="s">
        <v>2072</v>
      </c>
      <c r="B1382" s="17">
        <v>241033.0</v>
      </c>
      <c r="C1382" s="18" t="s">
        <v>1157</v>
      </c>
      <c r="D1382" s="4"/>
      <c r="E1382" s="19">
        <v>0.0</v>
      </c>
      <c r="F1382" s="19">
        <v>0.0</v>
      </c>
      <c r="G1382" s="16" t="s">
        <v>425</v>
      </c>
      <c r="H1382" s="21"/>
      <c r="I1382" s="22" t="s">
        <v>99</v>
      </c>
      <c r="J1382" s="23"/>
      <c r="K1382" s="44">
        <f t="shared" si="181"/>
        <v>10664.78</v>
      </c>
      <c r="L1382" s="44">
        <v>20000.0</v>
      </c>
      <c r="M1382" s="25"/>
      <c r="N1382" s="251">
        <v>14000.0</v>
      </c>
      <c r="O1382" s="27">
        <f t="shared" si="177"/>
        <v>0.8753316993</v>
      </c>
      <c r="P1382" s="28">
        <f t="shared" si="178"/>
        <v>0</v>
      </c>
    </row>
    <row r="1383" hidden="1">
      <c r="A1383" s="122" t="s">
        <v>2073</v>
      </c>
      <c r="B1383" s="17">
        <v>241037.0</v>
      </c>
      <c r="C1383" s="18" t="s">
        <v>1157</v>
      </c>
      <c r="D1383" s="4"/>
      <c r="E1383" s="19">
        <v>0.0</v>
      </c>
      <c r="F1383" s="19">
        <v>0.0</v>
      </c>
      <c r="G1383" s="16" t="s">
        <v>425</v>
      </c>
      <c r="H1383" s="21"/>
      <c r="I1383" s="22" t="s">
        <v>99</v>
      </c>
      <c r="J1383" s="23"/>
      <c r="K1383" s="44">
        <f t="shared" si="181"/>
        <v>10664.78</v>
      </c>
      <c r="L1383" s="44">
        <v>20000.0</v>
      </c>
      <c r="M1383" s="25"/>
      <c r="N1383" s="251">
        <v>14000.0</v>
      </c>
      <c r="O1383" s="27">
        <f t="shared" si="177"/>
        <v>0.8753316993</v>
      </c>
      <c r="P1383" s="28">
        <f t="shared" si="178"/>
        <v>0</v>
      </c>
    </row>
    <row r="1384" hidden="1">
      <c r="A1384" s="122" t="s">
        <v>2074</v>
      </c>
      <c r="B1384" s="17">
        <v>241036.0</v>
      </c>
      <c r="C1384" s="18" t="s">
        <v>1157</v>
      </c>
      <c r="D1384" s="4"/>
      <c r="E1384" s="19">
        <v>0.0</v>
      </c>
      <c r="F1384" s="19">
        <v>0.0</v>
      </c>
      <c r="G1384" s="16" t="s">
        <v>425</v>
      </c>
      <c r="H1384" s="21"/>
      <c r="I1384" s="22" t="s">
        <v>99</v>
      </c>
      <c r="J1384" s="23"/>
      <c r="K1384" s="44">
        <v>8532.0</v>
      </c>
      <c r="L1384" s="44">
        <v>20000.0</v>
      </c>
      <c r="M1384" s="25"/>
      <c r="N1384" s="251">
        <v>14000.0</v>
      </c>
      <c r="O1384" s="27">
        <f t="shared" si="177"/>
        <v>1.344116268</v>
      </c>
      <c r="P1384" s="28">
        <f t="shared" si="178"/>
        <v>0</v>
      </c>
    </row>
    <row r="1385" hidden="1">
      <c r="A1385" s="122" t="s">
        <v>2075</v>
      </c>
      <c r="B1385" s="17">
        <v>241030.0</v>
      </c>
      <c r="C1385" s="18" t="s">
        <v>1157</v>
      </c>
      <c r="D1385" s="4"/>
      <c r="E1385" s="19">
        <v>0.0</v>
      </c>
      <c r="F1385" s="19">
        <v>0.0</v>
      </c>
      <c r="G1385" s="16" t="s">
        <v>2070</v>
      </c>
      <c r="H1385" s="21"/>
      <c r="I1385" s="22" t="s">
        <v>99</v>
      </c>
      <c r="J1385" s="23"/>
      <c r="K1385" s="44">
        <v>8532.0</v>
      </c>
      <c r="L1385" s="44">
        <v>20000.0</v>
      </c>
      <c r="M1385" s="25"/>
      <c r="N1385" s="251">
        <v>14000.0</v>
      </c>
      <c r="O1385" s="27">
        <f t="shared" si="177"/>
        <v>1.344116268</v>
      </c>
      <c r="P1385" s="28">
        <f t="shared" si="178"/>
        <v>0</v>
      </c>
    </row>
    <row r="1386" hidden="1">
      <c r="A1386" s="122" t="s">
        <v>2076</v>
      </c>
      <c r="B1386" s="17">
        <v>241029.0</v>
      </c>
      <c r="C1386" s="18" t="s">
        <v>1157</v>
      </c>
      <c r="D1386" s="4"/>
      <c r="E1386" s="19">
        <v>0.0</v>
      </c>
      <c r="F1386" s="19">
        <v>0.0</v>
      </c>
      <c r="G1386" s="16" t="s">
        <v>2070</v>
      </c>
      <c r="H1386" s="21"/>
      <c r="I1386" s="22" t="s">
        <v>99</v>
      </c>
      <c r="J1386" s="23"/>
      <c r="K1386" s="44">
        <v>8532.0</v>
      </c>
      <c r="L1386" s="44">
        <v>20000.0</v>
      </c>
      <c r="M1386" s="25"/>
      <c r="N1386" s="251">
        <v>14000.0</v>
      </c>
      <c r="O1386" s="27">
        <f t="shared" si="177"/>
        <v>1.344116268</v>
      </c>
      <c r="P1386" s="28">
        <f t="shared" si="178"/>
        <v>0</v>
      </c>
    </row>
    <row r="1387" hidden="1">
      <c r="A1387" s="122" t="s">
        <v>2077</v>
      </c>
      <c r="B1387" s="17">
        <v>241028.0</v>
      </c>
      <c r="C1387" s="18" t="s">
        <v>1157</v>
      </c>
      <c r="D1387" s="4"/>
      <c r="E1387" s="19">
        <v>0.0</v>
      </c>
      <c r="F1387" s="19">
        <v>0.0</v>
      </c>
      <c r="G1387" s="16" t="s">
        <v>2070</v>
      </c>
      <c r="H1387" s="21"/>
      <c r="I1387" s="22" t="s">
        <v>99</v>
      </c>
      <c r="J1387" s="23"/>
      <c r="K1387" s="44">
        <v>8532.0</v>
      </c>
      <c r="L1387" s="44">
        <v>20000.0</v>
      </c>
      <c r="M1387" s="25"/>
      <c r="N1387" s="251">
        <v>14000.0</v>
      </c>
      <c r="O1387" s="27">
        <f t="shared" si="177"/>
        <v>1.344116268</v>
      </c>
      <c r="P1387" s="28">
        <f t="shared" si="178"/>
        <v>0</v>
      </c>
    </row>
    <row r="1388" hidden="1">
      <c r="A1388" s="122" t="s">
        <v>2078</v>
      </c>
      <c r="B1388" s="17">
        <v>241031.0</v>
      </c>
      <c r="C1388" s="18" t="s">
        <v>1157</v>
      </c>
      <c r="D1388" s="4"/>
      <c r="E1388" s="19">
        <v>0.0</v>
      </c>
      <c r="F1388" s="19">
        <v>0.0</v>
      </c>
      <c r="G1388" s="16" t="s">
        <v>2079</v>
      </c>
      <c r="H1388" s="21"/>
      <c r="I1388" s="22"/>
      <c r="J1388" s="23"/>
      <c r="K1388" s="44">
        <f>8962*1.19</f>
        <v>10664.78</v>
      </c>
      <c r="L1388" s="44">
        <v>20000.0</v>
      </c>
      <c r="M1388" s="25"/>
      <c r="N1388" s="251">
        <v>14000.0</v>
      </c>
      <c r="O1388" s="27">
        <f t="shared" si="177"/>
        <v>0.8753316993</v>
      </c>
      <c r="P1388" s="28">
        <f t="shared" si="178"/>
        <v>0</v>
      </c>
    </row>
    <row r="1389" hidden="1">
      <c r="A1389" s="122" t="s">
        <v>2080</v>
      </c>
      <c r="B1389" s="17"/>
      <c r="C1389" s="18"/>
      <c r="D1389" s="4"/>
      <c r="E1389" s="19"/>
      <c r="F1389" s="19"/>
      <c r="G1389" s="16" t="s">
        <v>1630</v>
      </c>
      <c r="H1389" s="21"/>
      <c r="I1389" s="22"/>
      <c r="J1389" s="23"/>
      <c r="K1389" s="55">
        <v>16958.0</v>
      </c>
      <c r="L1389" s="55">
        <v>75000.0</v>
      </c>
      <c r="M1389" s="25"/>
      <c r="N1389" s="251"/>
      <c r="O1389" s="27"/>
      <c r="P1389" s="28"/>
    </row>
    <row r="1390" hidden="1">
      <c r="A1390" s="122" t="s">
        <v>2081</v>
      </c>
      <c r="B1390" s="17"/>
      <c r="C1390" s="18" t="s">
        <v>1157</v>
      </c>
      <c r="D1390" s="4"/>
      <c r="E1390" s="19">
        <v>0.0</v>
      </c>
      <c r="F1390" s="19">
        <v>0.0</v>
      </c>
      <c r="G1390" s="16" t="s">
        <v>1630</v>
      </c>
      <c r="H1390" s="21"/>
      <c r="I1390" s="22" t="s">
        <v>99</v>
      </c>
      <c r="J1390" s="23"/>
      <c r="K1390" s="24">
        <f t="shared" ref="K1390:K1400" si="182">41961*1.19</f>
        <v>49933.59</v>
      </c>
      <c r="L1390" s="24">
        <v>70000.0</v>
      </c>
      <c r="M1390" s="25"/>
      <c r="N1390" s="251"/>
      <c r="O1390" s="27">
        <f t="shared" ref="O1390:O1421" si="183">(L1390/K1390)-1</f>
        <v>0.401861953</v>
      </c>
      <c r="P1390" s="28">
        <f t="shared" ref="P1390:P1421" si="184">K1390*F1390</f>
        <v>0</v>
      </c>
    </row>
    <row r="1391" hidden="1">
      <c r="A1391" s="122" t="s">
        <v>2082</v>
      </c>
      <c r="B1391" s="17">
        <v>244015.0</v>
      </c>
      <c r="C1391" s="18"/>
      <c r="D1391" s="66"/>
      <c r="E1391" s="19">
        <v>0.0</v>
      </c>
      <c r="F1391" s="19">
        <v>0.0</v>
      </c>
      <c r="G1391" s="16" t="s">
        <v>2083</v>
      </c>
      <c r="H1391" s="21"/>
      <c r="I1391" s="22">
        <v>4.0</v>
      </c>
      <c r="J1391" s="23"/>
      <c r="K1391" s="24">
        <f t="shared" si="182"/>
        <v>49933.59</v>
      </c>
      <c r="L1391" s="24">
        <v>70000.0</v>
      </c>
      <c r="M1391" s="25"/>
      <c r="N1391" s="26"/>
      <c r="O1391" s="27">
        <f t="shared" si="183"/>
        <v>0.401861953</v>
      </c>
      <c r="P1391" s="28">
        <f t="shared" si="184"/>
        <v>0</v>
      </c>
    </row>
    <row r="1392" hidden="1">
      <c r="A1392" s="122" t="s">
        <v>2084</v>
      </c>
      <c r="B1392" s="17">
        <v>244004.0</v>
      </c>
      <c r="C1392" s="18"/>
      <c r="D1392" s="66"/>
      <c r="E1392" s="19">
        <v>0.0</v>
      </c>
      <c r="F1392" s="19">
        <v>0.0</v>
      </c>
      <c r="G1392" s="16" t="s">
        <v>2083</v>
      </c>
      <c r="H1392" s="21"/>
      <c r="I1392" s="22"/>
      <c r="J1392" s="23"/>
      <c r="K1392" s="24">
        <f t="shared" si="182"/>
        <v>49933.59</v>
      </c>
      <c r="L1392" s="24">
        <v>70000.0</v>
      </c>
      <c r="M1392" s="25"/>
      <c r="N1392" s="26"/>
      <c r="O1392" s="27">
        <f t="shared" si="183"/>
        <v>0.401861953</v>
      </c>
      <c r="P1392" s="28">
        <f t="shared" si="184"/>
        <v>0</v>
      </c>
    </row>
    <row r="1393" hidden="1">
      <c r="A1393" s="16" t="s">
        <v>2085</v>
      </c>
      <c r="B1393" s="17">
        <v>244010.0</v>
      </c>
      <c r="C1393" s="18"/>
      <c r="D1393" s="66"/>
      <c r="E1393" s="19">
        <v>0.0</v>
      </c>
      <c r="F1393" s="19">
        <v>0.0</v>
      </c>
      <c r="G1393" s="16" t="s">
        <v>2083</v>
      </c>
      <c r="H1393" s="21"/>
      <c r="I1393" s="22">
        <v>15.0</v>
      </c>
      <c r="J1393" s="23"/>
      <c r="K1393" s="24">
        <f t="shared" si="182"/>
        <v>49933.59</v>
      </c>
      <c r="L1393" s="24">
        <v>70000.0</v>
      </c>
      <c r="M1393" s="25"/>
      <c r="N1393" s="70"/>
      <c r="O1393" s="27">
        <f t="shared" si="183"/>
        <v>0.401861953</v>
      </c>
      <c r="P1393" s="28">
        <f t="shared" si="184"/>
        <v>0</v>
      </c>
    </row>
    <row r="1394" hidden="1">
      <c r="A1394" s="122" t="s">
        <v>2086</v>
      </c>
      <c r="B1394" s="17">
        <v>244005.0</v>
      </c>
      <c r="C1394" s="18"/>
      <c r="D1394" s="66"/>
      <c r="E1394" s="19">
        <v>0.0</v>
      </c>
      <c r="F1394" s="19">
        <v>0.0</v>
      </c>
      <c r="G1394" s="16" t="s">
        <v>2083</v>
      </c>
      <c r="H1394" s="21"/>
      <c r="I1394" s="22">
        <v>16.0</v>
      </c>
      <c r="J1394" s="23"/>
      <c r="K1394" s="24">
        <f t="shared" si="182"/>
        <v>49933.59</v>
      </c>
      <c r="L1394" s="24">
        <v>70000.0</v>
      </c>
      <c r="M1394" s="25"/>
      <c r="N1394" s="70"/>
      <c r="O1394" s="27">
        <f t="shared" si="183"/>
        <v>0.401861953</v>
      </c>
      <c r="P1394" s="28">
        <f t="shared" si="184"/>
        <v>0</v>
      </c>
    </row>
    <row r="1395" hidden="1">
      <c r="A1395" s="122" t="s">
        <v>2087</v>
      </c>
      <c r="B1395" s="17">
        <v>244008.0</v>
      </c>
      <c r="C1395" s="18" t="s">
        <v>687</v>
      </c>
      <c r="D1395" s="66"/>
      <c r="E1395" s="19">
        <v>0.0</v>
      </c>
      <c r="F1395" s="19">
        <v>0.0</v>
      </c>
      <c r="G1395" s="16" t="s">
        <v>2083</v>
      </c>
      <c r="H1395" s="21"/>
      <c r="I1395" s="22">
        <v>30.0</v>
      </c>
      <c r="J1395" s="23"/>
      <c r="K1395" s="24">
        <f t="shared" si="182"/>
        <v>49933.59</v>
      </c>
      <c r="L1395" s="24">
        <v>70000.0</v>
      </c>
      <c r="M1395" s="25"/>
      <c r="N1395" s="70"/>
      <c r="O1395" s="27">
        <f t="shared" si="183"/>
        <v>0.401861953</v>
      </c>
      <c r="P1395" s="28">
        <f t="shared" si="184"/>
        <v>0</v>
      </c>
    </row>
    <row r="1396" hidden="1">
      <c r="A1396" s="122" t="s">
        <v>2088</v>
      </c>
      <c r="B1396" s="17">
        <v>244016.0</v>
      </c>
      <c r="C1396" s="18" t="s">
        <v>687</v>
      </c>
      <c r="D1396" s="66"/>
      <c r="E1396" s="19">
        <v>0.0</v>
      </c>
      <c r="F1396" s="19">
        <v>0.0</v>
      </c>
      <c r="G1396" s="16" t="s">
        <v>2083</v>
      </c>
      <c r="H1396" s="21"/>
      <c r="I1396" s="22">
        <v>15.0</v>
      </c>
      <c r="J1396" s="23"/>
      <c r="K1396" s="24">
        <f t="shared" si="182"/>
        <v>49933.59</v>
      </c>
      <c r="L1396" s="24">
        <v>70000.0</v>
      </c>
      <c r="M1396" s="25"/>
      <c r="N1396" s="70"/>
      <c r="O1396" s="27">
        <f t="shared" si="183"/>
        <v>0.401861953</v>
      </c>
      <c r="P1396" s="28">
        <f t="shared" si="184"/>
        <v>0</v>
      </c>
    </row>
    <row r="1397" hidden="1">
      <c r="A1397" s="122" t="s">
        <v>2089</v>
      </c>
      <c r="B1397" s="17">
        <v>244006.0</v>
      </c>
      <c r="C1397" s="18"/>
      <c r="D1397" s="66"/>
      <c r="E1397" s="19">
        <v>0.0</v>
      </c>
      <c r="F1397" s="19">
        <v>0.0</v>
      </c>
      <c r="G1397" s="16" t="s">
        <v>2083</v>
      </c>
      <c r="H1397" s="21"/>
      <c r="I1397" s="22">
        <v>22.0</v>
      </c>
      <c r="J1397" s="23"/>
      <c r="K1397" s="24">
        <f t="shared" si="182"/>
        <v>49933.59</v>
      </c>
      <c r="L1397" s="24">
        <v>70000.0</v>
      </c>
      <c r="M1397" s="25"/>
      <c r="N1397" s="70"/>
      <c r="O1397" s="27">
        <f t="shared" si="183"/>
        <v>0.401861953</v>
      </c>
      <c r="P1397" s="28">
        <f t="shared" si="184"/>
        <v>0</v>
      </c>
    </row>
    <row r="1398" hidden="1">
      <c r="A1398" s="122" t="s">
        <v>2090</v>
      </c>
      <c r="B1398" s="17">
        <v>244003.0</v>
      </c>
      <c r="C1398" s="18" t="s">
        <v>687</v>
      </c>
      <c r="D1398" s="66"/>
      <c r="E1398" s="19">
        <v>0.0</v>
      </c>
      <c r="F1398" s="19">
        <v>0.0</v>
      </c>
      <c r="G1398" s="16" t="s">
        <v>2083</v>
      </c>
      <c r="H1398" s="21"/>
      <c r="I1398" s="22">
        <v>28.0</v>
      </c>
      <c r="J1398" s="23"/>
      <c r="K1398" s="24">
        <f t="shared" si="182"/>
        <v>49933.59</v>
      </c>
      <c r="L1398" s="24">
        <v>70000.0</v>
      </c>
      <c r="M1398" s="25"/>
      <c r="N1398" s="70"/>
      <c r="O1398" s="27">
        <f t="shared" si="183"/>
        <v>0.401861953</v>
      </c>
      <c r="P1398" s="28">
        <f t="shared" si="184"/>
        <v>0</v>
      </c>
    </row>
    <row r="1399" hidden="1">
      <c r="A1399" s="122" t="s">
        <v>2091</v>
      </c>
      <c r="B1399" s="17">
        <v>244007.0</v>
      </c>
      <c r="C1399" s="18"/>
      <c r="D1399" s="66"/>
      <c r="E1399" s="19">
        <v>0.0</v>
      </c>
      <c r="F1399" s="19">
        <v>0.0</v>
      </c>
      <c r="G1399" s="16" t="s">
        <v>2083</v>
      </c>
      <c r="H1399" s="21"/>
      <c r="I1399" s="22"/>
      <c r="J1399" s="23"/>
      <c r="K1399" s="24">
        <f t="shared" si="182"/>
        <v>49933.59</v>
      </c>
      <c r="L1399" s="24">
        <v>70000.0</v>
      </c>
      <c r="M1399" s="25"/>
      <c r="N1399" s="26"/>
      <c r="O1399" s="27">
        <f t="shared" si="183"/>
        <v>0.401861953</v>
      </c>
      <c r="P1399" s="28">
        <f t="shared" si="184"/>
        <v>0</v>
      </c>
    </row>
    <row r="1400" hidden="1">
      <c r="A1400" s="122" t="s">
        <v>2092</v>
      </c>
      <c r="B1400" s="17">
        <v>244012.0</v>
      </c>
      <c r="C1400" s="18" t="s">
        <v>687</v>
      </c>
      <c r="D1400" s="66"/>
      <c r="E1400" s="19">
        <v>0.0</v>
      </c>
      <c r="F1400" s="19">
        <v>0.0</v>
      </c>
      <c r="G1400" s="16" t="s">
        <v>2083</v>
      </c>
      <c r="H1400" s="21"/>
      <c r="I1400" s="22">
        <v>24.0</v>
      </c>
      <c r="J1400" s="23"/>
      <c r="K1400" s="24">
        <f t="shared" si="182"/>
        <v>49933.59</v>
      </c>
      <c r="L1400" s="24">
        <v>70000.0</v>
      </c>
      <c r="M1400" s="25"/>
      <c r="N1400" s="70"/>
      <c r="O1400" s="27">
        <f t="shared" si="183"/>
        <v>0.401861953</v>
      </c>
      <c r="P1400" s="28">
        <f t="shared" si="184"/>
        <v>0</v>
      </c>
    </row>
    <row r="1401" hidden="1">
      <c r="A1401" s="16" t="s">
        <v>2093</v>
      </c>
      <c r="B1401" s="17"/>
      <c r="C1401" s="18"/>
      <c r="D1401" s="4"/>
      <c r="E1401" s="19">
        <v>0.0</v>
      </c>
      <c r="F1401" s="19">
        <v>0.0</v>
      </c>
      <c r="G1401" s="16" t="s">
        <v>65</v>
      </c>
      <c r="H1401" s="21"/>
      <c r="I1401" s="22"/>
      <c r="J1401" s="29"/>
      <c r="K1401" s="32">
        <f>600*1.19</f>
        <v>714</v>
      </c>
      <c r="L1401" s="24">
        <v>1500.0</v>
      </c>
      <c r="M1401" s="25"/>
      <c r="N1401" s="69"/>
      <c r="O1401" s="27">
        <f t="shared" si="183"/>
        <v>1.100840336</v>
      </c>
      <c r="P1401" s="28">
        <f t="shared" si="184"/>
        <v>0</v>
      </c>
    </row>
    <row r="1402" hidden="1">
      <c r="A1402" s="42" t="s">
        <v>2094</v>
      </c>
      <c r="B1402" s="17"/>
      <c r="C1402" s="18"/>
      <c r="D1402" s="4" t="s">
        <v>676</v>
      </c>
      <c r="E1402" s="19">
        <v>0.0</v>
      </c>
      <c r="F1402" s="19"/>
      <c r="G1402" s="16" t="s">
        <v>553</v>
      </c>
      <c r="H1402" s="21"/>
      <c r="I1402" s="22"/>
      <c r="J1402" s="29"/>
      <c r="K1402" s="43">
        <v>450.0</v>
      </c>
      <c r="L1402" s="44">
        <v>2000.0</v>
      </c>
      <c r="M1402" s="25"/>
      <c r="N1402" s="69"/>
      <c r="O1402" s="27">
        <f t="shared" si="183"/>
        <v>3.444444444</v>
      </c>
      <c r="P1402" s="28">
        <f t="shared" si="184"/>
        <v>0</v>
      </c>
    </row>
    <row r="1403" hidden="1">
      <c r="A1403" s="42" t="s">
        <v>2095</v>
      </c>
      <c r="B1403" s="71"/>
      <c r="C1403" s="18"/>
      <c r="D1403" s="4"/>
      <c r="E1403" s="19">
        <v>0.0</v>
      </c>
      <c r="F1403" s="19"/>
      <c r="G1403" s="16" t="s">
        <v>553</v>
      </c>
      <c r="H1403" s="21"/>
      <c r="I1403" s="22"/>
      <c r="J1403" s="29"/>
      <c r="K1403" s="43">
        <f>2500/6</f>
        <v>416.6666667</v>
      </c>
      <c r="L1403" s="44">
        <v>2000.0</v>
      </c>
      <c r="M1403" s="25"/>
      <c r="N1403" s="26"/>
      <c r="O1403" s="27">
        <f t="shared" si="183"/>
        <v>3.8</v>
      </c>
      <c r="P1403" s="28">
        <f t="shared" si="184"/>
        <v>0</v>
      </c>
    </row>
    <row r="1404" hidden="1">
      <c r="A1404" s="52" t="s">
        <v>2096</v>
      </c>
      <c r="B1404" s="36"/>
      <c r="C1404" s="18"/>
      <c r="D1404" s="4"/>
      <c r="E1404" s="19">
        <v>100.0</v>
      </c>
      <c r="F1404" s="19">
        <v>0.0</v>
      </c>
      <c r="G1404" s="16" t="s">
        <v>2097</v>
      </c>
      <c r="H1404" s="21"/>
      <c r="I1404" s="22"/>
      <c r="J1404" s="23"/>
      <c r="K1404" s="44">
        <f t="shared" ref="K1404:K1409" si="185">22300*1.19</f>
        <v>26537</v>
      </c>
      <c r="L1404" s="44">
        <v>35000.0</v>
      </c>
      <c r="M1404" s="25"/>
      <c r="N1404" s="70"/>
      <c r="O1404" s="27">
        <f t="shared" si="183"/>
        <v>0.3189132155</v>
      </c>
      <c r="P1404" s="28">
        <f t="shared" si="184"/>
        <v>0</v>
      </c>
    </row>
    <row r="1405" hidden="1">
      <c r="A1405" s="52" t="s">
        <v>2098</v>
      </c>
      <c r="B1405" s="36"/>
      <c r="C1405" s="18"/>
      <c r="D1405" s="4"/>
      <c r="E1405" s="19">
        <v>0.0</v>
      </c>
      <c r="F1405" s="19">
        <v>0.0</v>
      </c>
      <c r="G1405" s="16" t="s">
        <v>2097</v>
      </c>
      <c r="H1405" s="21"/>
      <c r="I1405" s="22"/>
      <c r="J1405" s="23"/>
      <c r="K1405" s="44">
        <f t="shared" si="185"/>
        <v>26537</v>
      </c>
      <c r="L1405" s="44">
        <v>35000.0</v>
      </c>
      <c r="M1405" s="25"/>
      <c r="N1405" s="70"/>
      <c r="O1405" s="27">
        <f t="shared" si="183"/>
        <v>0.3189132155</v>
      </c>
      <c r="P1405" s="28">
        <f t="shared" si="184"/>
        <v>0</v>
      </c>
    </row>
    <row r="1406" hidden="1">
      <c r="A1406" s="52" t="s">
        <v>2099</v>
      </c>
      <c r="B1406" s="36"/>
      <c r="C1406" s="18"/>
      <c r="D1406" s="4"/>
      <c r="E1406" s="19">
        <v>0.0</v>
      </c>
      <c r="F1406" s="19">
        <v>0.0</v>
      </c>
      <c r="G1406" s="16" t="s">
        <v>2097</v>
      </c>
      <c r="H1406" s="21"/>
      <c r="I1406" s="22"/>
      <c r="J1406" s="23"/>
      <c r="K1406" s="44">
        <f t="shared" si="185"/>
        <v>26537</v>
      </c>
      <c r="L1406" s="44">
        <v>35000.0</v>
      </c>
      <c r="M1406" s="25"/>
      <c r="N1406" s="70"/>
      <c r="O1406" s="27">
        <f t="shared" si="183"/>
        <v>0.3189132155</v>
      </c>
      <c r="P1406" s="28">
        <f t="shared" si="184"/>
        <v>0</v>
      </c>
    </row>
    <row r="1407" hidden="1">
      <c r="A1407" s="52" t="s">
        <v>2100</v>
      </c>
      <c r="B1407" s="36">
        <v>245012.0</v>
      </c>
      <c r="C1407" s="18"/>
      <c r="D1407" s="4"/>
      <c r="E1407" s="19">
        <v>0.0</v>
      </c>
      <c r="F1407" s="19">
        <v>0.0</v>
      </c>
      <c r="G1407" s="16" t="s">
        <v>2097</v>
      </c>
      <c r="H1407" s="21"/>
      <c r="I1407" s="22"/>
      <c r="J1407" s="23"/>
      <c r="K1407" s="44">
        <f t="shared" si="185"/>
        <v>26537</v>
      </c>
      <c r="L1407" s="44">
        <v>35000.0</v>
      </c>
      <c r="M1407" s="25"/>
      <c r="N1407" s="70"/>
      <c r="O1407" s="27">
        <f t="shared" si="183"/>
        <v>0.3189132155</v>
      </c>
      <c r="P1407" s="28">
        <f t="shared" si="184"/>
        <v>0</v>
      </c>
    </row>
    <row r="1408" hidden="1">
      <c r="A1408" s="52" t="s">
        <v>2101</v>
      </c>
      <c r="B1408" s="36">
        <v>245018.0</v>
      </c>
      <c r="C1408" s="18"/>
      <c r="D1408" s="4"/>
      <c r="E1408" s="19">
        <v>0.0</v>
      </c>
      <c r="F1408" s="19">
        <v>0.0</v>
      </c>
      <c r="G1408" s="16" t="s">
        <v>659</v>
      </c>
      <c r="H1408" s="21"/>
      <c r="I1408" s="22"/>
      <c r="J1408" s="23"/>
      <c r="K1408" s="44">
        <f t="shared" si="185"/>
        <v>26537</v>
      </c>
      <c r="L1408" s="44">
        <v>35000.0</v>
      </c>
      <c r="M1408" s="25"/>
      <c r="N1408" s="70"/>
      <c r="O1408" s="27">
        <f t="shared" si="183"/>
        <v>0.3189132155</v>
      </c>
      <c r="P1408" s="28">
        <f t="shared" si="184"/>
        <v>0</v>
      </c>
    </row>
    <row r="1409" hidden="1">
      <c r="A1409" s="52" t="s">
        <v>2102</v>
      </c>
      <c r="B1409" s="36">
        <v>245014.0</v>
      </c>
      <c r="C1409" s="18"/>
      <c r="D1409" s="4"/>
      <c r="E1409" s="19">
        <v>0.0</v>
      </c>
      <c r="F1409" s="19">
        <v>0.0</v>
      </c>
      <c r="G1409" s="16" t="s">
        <v>2097</v>
      </c>
      <c r="H1409" s="21"/>
      <c r="I1409" s="22"/>
      <c r="J1409" s="23"/>
      <c r="K1409" s="44">
        <f t="shared" si="185"/>
        <v>26537</v>
      </c>
      <c r="L1409" s="44">
        <v>35000.0</v>
      </c>
      <c r="M1409" s="25"/>
      <c r="N1409" s="70"/>
      <c r="O1409" s="27">
        <f t="shared" si="183"/>
        <v>0.3189132155</v>
      </c>
      <c r="P1409" s="28">
        <f t="shared" si="184"/>
        <v>0</v>
      </c>
    </row>
    <row r="1410" hidden="1">
      <c r="A1410" s="52" t="s">
        <v>2103</v>
      </c>
      <c r="B1410" s="17"/>
      <c r="C1410" s="18"/>
      <c r="D1410" s="4"/>
      <c r="E1410" s="19">
        <v>0.0</v>
      </c>
      <c r="F1410" s="19">
        <v>0.0</v>
      </c>
      <c r="G1410" s="16" t="s">
        <v>65</v>
      </c>
      <c r="H1410" s="21"/>
      <c r="I1410" s="22">
        <v>20.0</v>
      </c>
      <c r="J1410" s="23"/>
      <c r="K1410" s="24">
        <f>2000*1.19</f>
        <v>2380</v>
      </c>
      <c r="L1410" s="24">
        <v>7000.0</v>
      </c>
      <c r="M1410" s="25"/>
      <c r="N1410" s="252"/>
      <c r="O1410" s="27">
        <f t="shared" si="183"/>
        <v>1.941176471</v>
      </c>
      <c r="P1410" s="28">
        <f t="shared" si="184"/>
        <v>0</v>
      </c>
    </row>
    <row r="1411" hidden="1">
      <c r="A1411" s="42" t="s">
        <v>2104</v>
      </c>
      <c r="B1411" s="71"/>
      <c r="C1411" s="18"/>
      <c r="D1411" s="4"/>
      <c r="E1411" s="19">
        <v>0.0</v>
      </c>
      <c r="F1411" s="19"/>
      <c r="G1411" s="16" t="s">
        <v>553</v>
      </c>
      <c r="H1411" s="21"/>
      <c r="I1411" s="22"/>
      <c r="J1411" s="29"/>
      <c r="K1411" s="43">
        <f t="shared" ref="K1411:K1412" si="186">6500/6</f>
        <v>1083.333333</v>
      </c>
      <c r="L1411" s="44">
        <v>5000.0</v>
      </c>
      <c r="M1411" s="25"/>
      <c r="N1411" s="26"/>
      <c r="O1411" s="27">
        <f t="shared" si="183"/>
        <v>3.615384615</v>
      </c>
      <c r="P1411" s="28">
        <f t="shared" si="184"/>
        <v>0</v>
      </c>
    </row>
    <row r="1412" hidden="1">
      <c r="A1412" s="42" t="s">
        <v>2105</v>
      </c>
      <c r="B1412" s="71"/>
      <c r="C1412" s="18"/>
      <c r="D1412" s="4"/>
      <c r="E1412" s="19">
        <v>0.0</v>
      </c>
      <c r="F1412" s="19"/>
      <c r="G1412" s="16" t="s">
        <v>553</v>
      </c>
      <c r="H1412" s="21"/>
      <c r="I1412" s="22"/>
      <c r="J1412" s="29"/>
      <c r="K1412" s="43">
        <f t="shared" si="186"/>
        <v>1083.333333</v>
      </c>
      <c r="L1412" s="44">
        <v>25000.0</v>
      </c>
      <c r="M1412" s="25"/>
      <c r="N1412" s="26"/>
      <c r="O1412" s="27">
        <f t="shared" si="183"/>
        <v>22.07692308</v>
      </c>
      <c r="P1412" s="28">
        <f t="shared" si="184"/>
        <v>0</v>
      </c>
    </row>
    <row r="1413" hidden="1">
      <c r="A1413" s="40" t="s">
        <v>2106</v>
      </c>
      <c r="B1413" s="17"/>
      <c r="C1413" s="18"/>
      <c r="D1413" s="4"/>
      <c r="E1413" s="19">
        <v>0.0</v>
      </c>
      <c r="F1413" s="19"/>
      <c r="G1413" s="16" t="s">
        <v>2107</v>
      </c>
      <c r="H1413" s="21"/>
      <c r="I1413" s="22"/>
      <c r="J1413" s="29"/>
      <c r="K1413" s="43">
        <v>3500.0</v>
      </c>
      <c r="L1413" s="44">
        <v>8000.0</v>
      </c>
      <c r="M1413" s="25"/>
      <c r="N1413" s="69"/>
      <c r="O1413" s="27">
        <f t="shared" si="183"/>
        <v>1.285714286</v>
      </c>
      <c r="P1413" s="28">
        <f t="shared" si="184"/>
        <v>0</v>
      </c>
    </row>
    <row r="1414" hidden="1">
      <c r="A1414" s="42" t="s">
        <v>2108</v>
      </c>
      <c r="B1414" s="71"/>
      <c r="C1414" s="18"/>
      <c r="D1414" s="4"/>
      <c r="E1414" s="19">
        <v>0.0</v>
      </c>
      <c r="F1414" s="19"/>
      <c r="G1414" s="16" t="s">
        <v>2109</v>
      </c>
      <c r="H1414" s="21"/>
      <c r="I1414" s="22"/>
      <c r="J1414" s="29"/>
      <c r="K1414" s="43">
        <v>1000.0</v>
      </c>
      <c r="L1414" s="44">
        <v>2000.0</v>
      </c>
      <c r="M1414" s="25"/>
      <c r="N1414" s="50"/>
      <c r="O1414" s="27">
        <f t="shared" si="183"/>
        <v>1</v>
      </c>
      <c r="P1414" s="28">
        <f t="shared" si="184"/>
        <v>0</v>
      </c>
    </row>
    <row r="1415" hidden="1">
      <c r="A1415" s="59" t="s">
        <v>2110</v>
      </c>
      <c r="B1415" s="134" t="s">
        <v>2111</v>
      </c>
      <c r="C1415" s="18" t="s">
        <v>2112</v>
      </c>
      <c r="D1415" s="98"/>
      <c r="E1415" s="19">
        <v>0.0</v>
      </c>
      <c r="F1415" s="19"/>
      <c r="G1415" s="16" t="s">
        <v>485</v>
      </c>
      <c r="H1415" s="21">
        <v>0.0</v>
      </c>
      <c r="I1415" s="22"/>
      <c r="J1415" s="22"/>
      <c r="K1415" s="174">
        <f t="shared" ref="K1415:K1416" si="187">45491*1.19</f>
        <v>54134.29</v>
      </c>
      <c r="L1415" s="175">
        <v>95000.0</v>
      </c>
      <c r="M1415" s="25"/>
      <c r="N1415" s="26"/>
      <c r="O1415" s="27">
        <f t="shared" si="183"/>
        <v>0.7548950951</v>
      </c>
      <c r="P1415" s="28">
        <f t="shared" si="184"/>
        <v>0</v>
      </c>
    </row>
    <row r="1416" hidden="1">
      <c r="A1416" s="59" t="s">
        <v>2113</v>
      </c>
      <c r="B1416" s="97" t="s">
        <v>2114</v>
      </c>
      <c r="C1416" s="18" t="s">
        <v>2112</v>
      </c>
      <c r="D1416" s="98"/>
      <c r="E1416" s="19">
        <v>0.0</v>
      </c>
      <c r="F1416" s="19"/>
      <c r="G1416" s="16" t="s">
        <v>485</v>
      </c>
      <c r="H1416" s="21">
        <v>0.0</v>
      </c>
      <c r="I1416" s="22"/>
      <c r="J1416" s="22"/>
      <c r="K1416" s="174">
        <f t="shared" si="187"/>
        <v>54134.29</v>
      </c>
      <c r="L1416" s="175">
        <v>95000.0</v>
      </c>
      <c r="M1416" s="25"/>
      <c r="N1416" s="26"/>
      <c r="O1416" s="27">
        <f t="shared" si="183"/>
        <v>0.7548950951</v>
      </c>
      <c r="P1416" s="28">
        <f t="shared" si="184"/>
        <v>0</v>
      </c>
    </row>
    <row r="1417" hidden="1">
      <c r="A1417" s="253" t="s">
        <v>2115</v>
      </c>
      <c r="B1417" s="97" t="s">
        <v>2116</v>
      </c>
      <c r="C1417" s="18" t="s">
        <v>845</v>
      </c>
      <c r="D1417" s="4"/>
      <c r="E1417" s="19">
        <v>0.0</v>
      </c>
      <c r="F1417" s="19"/>
      <c r="G1417" s="16" t="s">
        <v>485</v>
      </c>
      <c r="H1417" s="21">
        <v>0.0</v>
      </c>
      <c r="I1417" s="22"/>
      <c r="J1417" s="22"/>
      <c r="K1417" s="174">
        <f>36739*1.19</f>
        <v>43719.41</v>
      </c>
      <c r="L1417" s="175">
        <v>95000.0</v>
      </c>
      <c r="M1417" s="25"/>
      <c r="N1417" s="31"/>
      <c r="O1417" s="27">
        <f t="shared" si="183"/>
        <v>1.172947897</v>
      </c>
      <c r="P1417" s="28">
        <f t="shared" si="184"/>
        <v>0</v>
      </c>
    </row>
    <row r="1418" hidden="1">
      <c r="A1418" s="59" t="s">
        <v>2117</v>
      </c>
      <c r="B1418" s="121"/>
      <c r="C1418" s="18"/>
      <c r="D1418" s="4"/>
      <c r="E1418" s="19">
        <v>0.0</v>
      </c>
      <c r="F1418" s="19">
        <v>0.0</v>
      </c>
      <c r="G1418" s="16" t="s">
        <v>84</v>
      </c>
      <c r="H1418" s="21"/>
      <c r="I1418" s="254" t="s">
        <v>676</v>
      </c>
      <c r="J1418" s="29"/>
      <c r="K1418" s="43">
        <v>38800.0</v>
      </c>
      <c r="L1418" s="44">
        <v>70000.0</v>
      </c>
      <c r="M1418" s="25"/>
      <c r="N1418" s="69"/>
      <c r="O1418" s="27">
        <f t="shared" si="183"/>
        <v>0.8041237113</v>
      </c>
      <c r="P1418" s="28">
        <f t="shared" si="184"/>
        <v>0</v>
      </c>
    </row>
    <row r="1419" hidden="1">
      <c r="A1419" s="16" t="s">
        <v>2118</v>
      </c>
      <c r="B1419" s="17" t="s">
        <v>1285</v>
      </c>
      <c r="C1419" s="38"/>
      <c r="D1419" s="61"/>
      <c r="E1419" s="19"/>
      <c r="F1419" s="19"/>
      <c r="G1419" s="16" t="s">
        <v>2119</v>
      </c>
      <c r="H1419" s="21"/>
      <c r="I1419" s="22">
        <v>3.0</v>
      </c>
      <c r="J1419" s="29"/>
      <c r="K1419" s="32">
        <v>75000.0</v>
      </c>
      <c r="L1419" s="24">
        <v>130000.0</v>
      </c>
      <c r="M1419" s="25"/>
      <c r="N1419" s="26">
        <v>110000.0</v>
      </c>
      <c r="O1419" s="27">
        <f t="shared" si="183"/>
        <v>0.7333333333</v>
      </c>
      <c r="P1419" s="28">
        <f t="shared" si="184"/>
        <v>0</v>
      </c>
    </row>
    <row r="1420" hidden="1">
      <c r="A1420" s="40" t="s">
        <v>2120</v>
      </c>
      <c r="B1420" s="17"/>
      <c r="C1420" s="18"/>
      <c r="D1420" s="4"/>
      <c r="E1420" s="19">
        <v>0.0</v>
      </c>
      <c r="F1420" s="19"/>
      <c r="G1420" s="16" t="s">
        <v>2121</v>
      </c>
      <c r="H1420" s="21"/>
      <c r="I1420" s="22"/>
      <c r="J1420" s="29"/>
      <c r="K1420" s="48">
        <v>15000.0</v>
      </c>
      <c r="L1420" s="55">
        <v>70000.0</v>
      </c>
      <c r="M1420" s="25"/>
      <c r="N1420" s="50">
        <v>55000.0</v>
      </c>
      <c r="O1420" s="27">
        <f t="shared" si="183"/>
        <v>3.666666667</v>
      </c>
      <c r="P1420" s="28">
        <f t="shared" si="184"/>
        <v>0</v>
      </c>
    </row>
    <row r="1421" hidden="1">
      <c r="A1421" s="16" t="s">
        <v>2122</v>
      </c>
      <c r="B1421" s="17"/>
      <c r="C1421" s="38"/>
      <c r="D1421" s="61"/>
      <c r="E1421" s="19">
        <v>0.0</v>
      </c>
      <c r="F1421" s="19">
        <v>0.0</v>
      </c>
      <c r="G1421" s="16" t="s">
        <v>2123</v>
      </c>
      <c r="H1421" s="21"/>
      <c r="I1421" s="22">
        <v>1.0</v>
      </c>
      <c r="J1421" s="29"/>
      <c r="K1421" s="32">
        <v>75000.0</v>
      </c>
      <c r="L1421" s="24">
        <v>130000.0</v>
      </c>
      <c r="M1421" s="25"/>
      <c r="N1421" s="26">
        <v>110000.0</v>
      </c>
      <c r="O1421" s="27">
        <f t="shared" si="183"/>
        <v>0.7333333333</v>
      </c>
      <c r="P1421" s="28">
        <f t="shared" si="184"/>
        <v>0</v>
      </c>
    </row>
    <row r="1422" hidden="1">
      <c r="A1422" s="16" t="s">
        <v>2124</v>
      </c>
      <c r="B1422" s="17"/>
      <c r="C1422" s="18"/>
      <c r="D1422" s="4"/>
      <c r="E1422" s="19">
        <v>0.0</v>
      </c>
      <c r="F1422" s="19">
        <v>0.0</v>
      </c>
      <c r="G1422" s="20" t="s">
        <v>909</v>
      </c>
      <c r="H1422" s="21"/>
      <c r="I1422" s="22"/>
      <c r="J1422" s="29"/>
      <c r="K1422" s="43"/>
      <c r="L1422" s="44" t="s">
        <v>2125</v>
      </c>
      <c r="M1422" s="25"/>
      <c r="N1422" s="39"/>
      <c r="O1422" s="27"/>
      <c r="P1422" s="28"/>
    </row>
    <row r="1423" hidden="1">
      <c r="A1423" s="16" t="s">
        <v>2126</v>
      </c>
      <c r="B1423" s="49"/>
      <c r="C1423" s="18"/>
      <c r="D1423" s="19"/>
      <c r="E1423" s="19">
        <v>0.0</v>
      </c>
      <c r="F1423" s="19">
        <v>0.0</v>
      </c>
      <c r="G1423" s="20" t="s">
        <v>909</v>
      </c>
      <c r="H1423" s="21"/>
      <c r="I1423" s="22"/>
      <c r="J1423" s="23"/>
      <c r="K1423" s="24"/>
      <c r="L1423" s="24"/>
      <c r="M1423" s="25"/>
      <c r="N1423" s="70"/>
      <c r="O1423" s="27"/>
      <c r="P1423" s="28"/>
    </row>
    <row r="1424" hidden="1">
      <c r="A1424" s="16" t="s">
        <v>2127</v>
      </c>
      <c r="B1424" s="42" t="s">
        <v>2128</v>
      </c>
      <c r="C1424" s="18" t="s">
        <v>2129</v>
      </c>
      <c r="D1424" s="4"/>
      <c r="E1424" s="19">
        <v>0.0</v>
      </c>
      <c r="F1424" s="19">
        <v>0.0</v>
      </c>
      <c r="G1424" s="20" t="s">
        <v>2130</v>
      </c>
      <c r="H1424" s="21"/>
      <c r="I1424" s="22"/>
      <c r="J1424" s="29"/>
      <c r="K1424" s="32">
        <v>2000.0</v>
      </c>
      <c r="L1424" s="55">
        <v>4000.0</v>
      </c>
      <c r="M1424" s="25"/>
      <c r="N1424" s="69"/>
      <c r="O1424" s="27">
        <f t="shared" ref="O1424:O1449" si="188">(L1424/K1424)-1</f>
        <v>1</v>
      </c>
      <c r="P1424" s="28">
        <f t="shared" ref="P1424:P1449" si="189">K1424*F1424</f>
        <v>0</v>
      </c>
    </row>
    <row r="1425" hidden="1">
      <c r="A1425" s="16" t="s">
        <v>2131</v>
      </c>
      <c r="B1425" s="42" t="s">
        <v>2132</v>
      </c>
      <c r="C1425" s="18" t="s">
        <v>2133</v>
      </c>
      <c r="D1425" s="4" t="s">
        <v>2134</v>
      </c>
      <c r="E1425" s="19">
        <v>0.0</v>
      </c>
      <c r="F1425" s="19">
        <v>80.0</v>
      </c>
      <c r="G1425" s="20" t="s">
        <v>2130</v>
      </c>
      <c r="H1425" s="21"/>
      <c r="I1425" s="22"/>
      <c r="J1425" s="29"/>
      <c r="K1425" s="32">
        <v>2000.0</v>
      </c>
      <c r="L1425" s="55">
        <v>4000.0</v>
      </c>
      <c r="M1425" s="25"/>
      <c r="N1425" s="69"/>
      <c r="O1425" s="27">
        <f t="shared" si="188"/>
        <v>1</v>
      </c>
      <c r="P1425" s="28">
        <f t="shared" si="189"/>
        <v>160000</v>
      </c>
    </row>
    <row r="1426" hidden="1">
      <c r="A1426" s="16" t="s">
        <v>2135</v>
      </c>
      <c r="B1426" s="42" t="s">
        <v>2136</v>
      </c>
      <c r="C1426" s="18"/>
      <c r="D1426" s="4"/>
      <c r="E1426" s="19">
        <v>0.0</v>
      </c>
      <c r="F1426" s="19">
        <v>30.0</v>
      </c>
      <c r="G1426" s="20" t="s">
        <v>2130</v>
      </c>
      <c r="H1426" s="21"/>
      <c r="I1426" s="22"/>
      <c r="J1426" s="29"/>
      <c r="K1426" s="32">
        <v>2500.0</v>
      </c>
      <c r="L1426" s="55">
        <v>5000.0</v>
      </c>
      <c r="M1426" s="25"/>
      <c r="N1426" s="69"/>
      <c r="O1426" s="27">
        <f t="shared" si="188"/>
        <v>1</v>
      </c>
      <c r="P1426" s="28">
        <f t="shared" si="189"/>
        <v>75000</v>
      </c>
    </row>
    <row r="1427" hidden="1">
      <c r="A1427" s="16" t="s">
        <v>2137</v>
      </c>
      <c r="B1427" s="42" t="s">
        <v>2138</v>
      </c>
      <c r="C1427" s="18"/>
      <c r="D1427" s="4"/>
      <c r="E1427" s="19">
        <v>0.0</v>
      </c>
      <c r="F1427" s="19">
        <v>60.0</v>
      </c>
      <c r="G1427" s="20" t="s">
        <v>2139</v>
      </c>
      <c r="H1427" s="21"/>
      <c r="I1427" s="22">
        <v>80.0</v>
      </c>
      <c r="J1427" s="29"/>
      <c r="K1427" s="32">
        <v>2300.0</v>
      </c>
      <c r="L1427" s="55">
        <v>4000.0</v>
      </c>
      <c r="M1427" s="25"/>
      <c r="N1427" s="69"/>
      <c r="O1427" s="27">
        <f t="shared" si="188"/>
        <v>0.7391304348</v>
      </c>
      <c r="P1427" s="28">
        <f t="shared" si="189"/>
        <v>138000</v>
      </c>
    </row>
    <row r="1428" hidden="1">
      <c r="A1428" s="16" t="s">
        <v>2140</v>
      </c>
      <c r="B1428" s="42" t="s">
        <v>2141</v>
      </c>
      <c r="C1428" s="18"/>
      <c r="D1428" s="4"/>
      <c r="E1428" s="19">
        <v>0.0</v>
      </c>
      <c r="F1428" s="19">
        <v>30.0</v>
      </c>
      <c r="G1428" s="20" t="s">
        <v>2139</v>
      </c>
      <c r="H1428" s="21"/>
      <c r="I1428" s="22">
        <v>65.0</v>
      </c>
      <c r="J1428" s="29"/>
      <c r="K1428" s="32">
        <v>2300.0</v>
      </c>
      <c r="L1428" s="55">
        <v>4000.0</v>
      </c>
      <c r="M1428" s="25"/>
      <c r="N1428" s="69"/>
      <c r="O1428" s="27">
        <f t="shared" si="188"/>
        <v>0.7391304348</v>
      </c>
      <c r="P1428" s="28">
        <f t="shared" si="189"/>
        <v>69000</v>
      </c>
    </row>
    <row r="1429" hidden="1">
      <c r="A1429" s="16" t="s">
        <v>2142</v>
      </c>
      <c r="B1429" s="42" t="s">
        <v>2143</v>
      </c>
      <c r="C1429" s="18"/>
      <c r="D1429" s="4" t="s">
        <v>2144</v>
      </c>
      <c r="E1429" s="19">
        <v>50.0</v>
      </c>
      <c r="F1429" s="19">
        <v>50.0</v>
      </c>
      <c r="G1429" s="20" t="s">
        <v>2139</v>
      </c>
      <c r="H1429" s="21"/>
      <c r="I1429" s="22">
        <v>60.0</v>
      </c>
      <c r="J1429" s="29"/>
      <c r="K1429" s="32">
        <v>2500.0</v>
      </c>
      <c r="L1429" s="55">
        <v>5000.0</v>
      </c>
      <c r="M1429" s="25"/>
      <c r="N1429" s="69"/>
      <c r="O1429" s="27">
        <f t="shared" si="188"/>
        <v>1</v>
      </c>
      <c r="P1429" s="28">
        <f t="shared" si="189"/>
        <v>125000</v>
      </c>
    </row>
    <row r="1430" hidden="1">
      <c r="A1430" s="16" t="s">
        <v>2145</v>
      </c>
      <c r="B1430" s="42"/>
      <c r="C1430" s="18"/>
      <c r="D1430" s="4"/>
      <c r="E1430" s="19">
        <v>0.0</v>
      </c>
      <c r="F1430" s="19">
        <v>0.0</v>
      </c>
      <c r="G1430" s="20" t="s">
        <v>580</v>
      </c>
      <c r="H1430" s="21"/>
      <c r="I1430" s="22">
        <v>16.0</v>
      </c>
      <c r="J1430" s="29"/>
      <c r="K1430" s="24">
        <v>96206.0</v>
      </c>
      <c r="L1430" s="24">
        <v>280000.0</v>
      </c>
      <c r="M1430" s="25"/>
      <c r="N1430" s="69"/>
      <c r="O1430" s="27">
        <f t="shared" si="188"/>
        <v>1.910421387</v>
      </c>
      <c r="P1430" s="28">
        <f t="shared" si="189"/>
        <v>0</v>
      </c>
    </row>
    <row r="1431" hidden="1">
      <c r="A1431" s="16" t="s">
        <v>2146</v>
      </c>
      <c r="B1431" s="36"/>
      <c r="C1431" s="18"/>
      <c r="D1431" s="4"/>
      <c r="E1431" s="19">
        <v>0.0</v>
      </c>
      <c r="F1431" s="19">
        <v>0.0</v>
      </c>
      <c r="G1431" s="16" t="s">
        <v>643</v>
      </c>
      <c r="H1431" s="21"/>
      <c r="I1431" s="22">
        <v>0.0</v>
      </c>
      <c r="J1431" s="29"/>
      <c r="K1431" s="43">
        <v>80000.0</v>
      </c>
      <c r="L1431" s="44">
        <v>120000.0</v>
      </c>
      <c r="M1431" s="25"/>
      <c r="N1431" s="69"/>
      <c r="O1431" s="27">
        <f t="shared" si="188"/>
        <v>0.5</v>
      </c>
      <c r="P1431" s="28">
        <f t="shared" si="189"/>
        <v>0</v>
      </c>
    </row>
    <row r="1432" hidden="1">
      <c r="A1432" s="16" t="s">
        <v>2147</v>
      </c>
      <c r="B1432" s="36"/>
      <c r="C1432" s="18"/>
      <c r="D1432" s="4"/>
      <c r="E1432" s="19">
        <v>0.0</v>
      </c>
      <c r="F1432" s="19">
        <v>0.0</v>
      </c>
      <c r="G1432" s="16" t="s">
        <v>1907</v>
      </c>
      <c r="H1432" s="21"/>
      <c r="I1432" s="22">
        <v>14.0</v>
      </c>
      <c r="J1432" s="29"/>
      <c r="K1432" s="32">
        <v>120000.0</v>
      </c>
      <c r="L1432" s="24">
        <v>180000.0</v>
      </c>
      <c r="M1432" s="25"/>
      <c r="N1432" s="69"/>
      <c r="O1432" s="27">
        <f t="shared" si="188"/>
        <v>0.5</v>
      </c>
      <c r="P1432" s="28">
        <f t="shared" si="189"/>
        <v>0</v>
      </c>
    </row>
    <row r="1433" hidden="1">
      <c r="A1433" s="16" t="s">
        <v>2148</v>
      </c>
      <c r="B1433" s="17" t="s">
        <v>2149</v>
      </c>
      <c r="C1433" s="18"/>
      <c r="D1433" s="4"/>
      <c r="E1433" s="19">
        <v>10.0</v>
      </c>
      <c r="F1433" s="19"/>
      <c r="G1433" s="16" t="s">
        <v>396</v>
      </c>
      <c r="H1433" s="21"/>
      <c r="I1433" s="22"/>
      <c r="J1433" s="29"/>
      <c r="K1433" s="48">
        <f>9000*0.95*1.19</f>
        <v>10174.5</v>
      </c>
      <c r="L1433" s="55">
        <v>16000.0</v>
      </c>
      <c r="M1433" s="25"/>
      <c r="N1433" s="69"/>
      <c r="O1433" s="27">
        <f t="shared" si="188"/>
        <v>0.5725588481</v>
      </c>
      <c r="P1433" s="28">
        <f t="shared" si="189"/>
        <v>0</v>
      </c>
    </row>
    <row r="1434" hidden="1">
      <c r="A1434" s="16" t="s">
        <v>2150</v>
      </c>
      <c r="B1434" s="17"/>
      <c r="C1434" s="18"/>
      <c r="D1434" s="4"/>
      <c r="E1434" s="19">
        <v>0.0</v>
      </c>
      <c r="F1434" s="19">
        <v>0.0</v>
      </c>
      <c r="G1434" s="20" t="s">
        <v>966</v>
      </c>
      <c r="H1434" s="21"/>
      <c r="I1434" s="22">
        <v>0.0</v>
      </c>
      <c r="J1434" s="29"/>
      <c r="K1434" s="43">
        <v>3000.0</v>
      </c>
      <c r="L1434" s="44">
        <v>5000.0</v>
      </c>
      <c r="M1434" s="25"/>
      <c r="N1434" s="69"/>
      <c r="O1434" s="27">
        <f t="shared" si="188"/>
        <v>0.6666666667</v>
      </c>
      <c r="P1434" s="28">
        <f t="shared" si="189"/>
        <v>0</v>
      </c>
    </row>
    <row r="1435" hidden="1">
      <c r="A1435" s="122" t="s">
        <v>2151</v>
      </c>
      <c r="B1435" s="17"/>
      <c r="C1435" s="18"/>
      <c r="D1435" s="4"/>
      <c r="E1435" s="19">
        <v>0.0</v>
      </c>
      <c r="F1435" s="19">
        <v>0.0</v>
      </c>
      <c r="G1435" s="16" t="s">
        <v>425</v>
      </c>
      <c r="H1435" s="73"/>
      <c r="I1435" s="22">
        <v>0.0</v>
      </c>
      <c r="J1435" s="74"/>
      <c r="K1435" s="75">
        <v>11000.0</v>
      </c>
      <c r="L1435" s="44">
        <f>K1435*1.5</f>
        <v>16500</v>
      </c>
      <c r="M1435" s="25"/>
      <c r="N1435" s="70"/>
      <c r="O1435" s="27">
        <f t="shared" si="188"/>
        <v>0.5</v>
      </c>
      <c r="P1435" s="28">
        <f t="shared" si="189"/>
        <v>0</v>
      </c>
    </row>
    <row r="1436" hidden="1">
      <c r="A1436" s="52" t="s">
        <v>2152</v>
      </c>
      <c r="B1436" s="17" t="s">
        <v>2153</v>
      </c>
      <c r="C1436" s="18"/>
      <c r="D1436" s="4" t="s">
        <v>2154</v>
      </c>
      <c r="E1436" s="19">
        <v>0.0</v>
      </c>
      <c r="F1436" s="19">
        <v>20.0</v>
      </c>
      <c r="G1436" s="16" t="s">
        <v>2155</v>
      </c>
      <c r="H1436" s="21"/>
      <c r="I1436" s="22">
        <v>12.0</v>
      </c>
      <c r="J1436" s="29"/>
      <c r="K1436" s="43">
        <f>29000*0.95*1.19/10</f>
        <v>3278.45</v>
      </c>
      <c r="L1436" s="44">
        <v>4000.0</v>
      </c>
      <c r="M1436" s="25">
        <v>1.19</v>
      </c>
      <c r="N1436" s="26"/>
      <c r="O1436" s="27">
        <f t="shared" si="188"/>
        <v>0.2200887615</v>
      </c>
      <c r="P1436" s="28">
        <f t="shared" si="189"/>
        <v>65569</v>
      </c>
    </row>
    <row r="1437" hidden="1">
      <c r="A1437" s="52" t="s">
        <v>2156</v>
      </c>
      <c r="B1437" s="131" t="s">
        <v>2157</v>
      </c>
      <c r="C1437" s="18">
        <f>34000/50</f>
        <v>680</v>
      </c>
      <c r="D1437" s="4"/>
      <c r="E1437" s="19">
        <v>0.0</v>
      </c>
      <c r="F1437" s="19">
        <v>2.0</v>
      </c>
      <c r="G1437" s="16" t="s">
        <v>2158</v>
      </c>
      <c r="H1437" s="21"/>
      <c r="I1437" s="22">
        <v>700.0</v>
      </c>
      <c r="J1437" s="29"/>
      <c r="K1437" s="43">
        <v>450.0</v>
      </c>
      <c r="L1437" s="44">
        <v>2000.0</v>
      </c>
      <c r="M1437" s="25"/>
      <c r="N1437" s="70"/>
      <c r="O1437" s="27">
        <f t="shared" si="188"/>
        <v>3.444444444</v>
      </c>
      <c r="P1437" s="28">
        <f t="shared" si="189"/>
        <v>900</v>
      </c>
    </row>
    <row r="1438" hidden="1">
      <c r="A1438" s="16" t="s">
        <v>2159</v>
      </c>
      <c r="B1438" s="51"/>
      <c r="C1438" s="18"/>
      <c r="D1438" s="98"/>
      <c r="E1438" s="19"/>
      <c r="F1438" s="19"/>
      <c r="G1438" s="16" t="s">
        <v>88</v>
      </c>
      <c r="H1438" s="21"/>
      <c r="I1438" s="22">
        <v>0.0</v>
      </c>
      <c r="J1438" s="47">
        <v>46204.0</v>
      </c>
      <c r="K1438" s="55">
        <v>15008.0</v>
      </c>
      <c r="L1438" s="55">
        <v>22000.0</v>
      </c>
      <c r="M1438" s="25"/>
      <c r="N1438" s="26">
        <v>18000.0</v>
      </c>
      <c r="O1438" s="27">
        <f t="shared" si="188"/>
        <v>0.4658848614</v>
      </c>
      <c r="P1438" s="28">
        <f t="shared" si="189"/>
        <v>0</v>
      </c>
    </row>
    <row r="1439" hidden="1">
      <c r="A1439" s="16" t="s">
        <v>2160</v>
      </c>
      <c r="B1439" s="17"/>
      <c r="C1439" s="18"/>
      <c r="D1439" s="4"/>
      <c r="E1439" s="19">
        <v>0.0</v>
      </c>
      <c r="F1439" s="19">
        <v>0.0</v>
      </c>
      <c r="G1439" s="16" t="s">
        <v>26</v>
      </c>
      <c r="H1439" s="21"/>
      <c r="I1439" s="22">
        <v>13.0</v>
      </c>
      <c r="J1439" s="29"/>
      <c r="K1439" s="32">
        <v>4500.0</v>
      </c>
      <c r="L1439" s="24">
        <v>10000.0</v>
      </c>
      <c r="M1439" s="25"/>
      <c r="N1439" s="26"/>
      <c r="O1439" s="27">
        <f t="shared" si="188"/>
        <v>1.222222222</v>
      </c>
      <c r="P1439" s="28">
        <f t="shared" si="189"/>
        <v>0</v>
      </c>
    </row>
    <row r="1440" hidden="1">
      <c r="A1440" s="59" t="s">
        <v>2161</v>
      </c>
      <c r="B1440" s="17"/>
      <c r="C1440" s="18"/>
      <c r="D1440" s="4"/>
      <c r="E1440" s="19">
        <v>0.0</v>
      </c>
      <c r="F1440" s="19">
        <v>0.0</v>
      </c>
      <c r="G1440" s="16" t="s">
        <v>2162</v>
      </c>
      <c r="H1440" s="21"/>
      <c r="I1440" s="22">
        <v>120.0</v>
      </c>
      <c r="J1440" s="29"/>
      <c r="K1440" s="43">
        <v>1341.0</v>
      </c>
      <c r="L1440" s="44">
        <v>3000.0</v>
      </c>
      <c r="M1440" s="25"/>
      <c r="N1440" s="26"/>
      <c r="O1440" s="27">
        <f t="shared" si="188"/>
        <v>1.237136465</v>
      </c>
      <c r="P1440" s="28">
        <f t="shared" si="189"/>
        <v>0</v>
      </c>
    </row>
    <row r="1441" hidden="1">
      <c r="A1441" s="52" t="s">
        <v>2163</v>
      </c>
      <c r="B1441" s="17"/>
      <c r="C1441" s="18"/>
      <c r="D1441" s="4"/>
      <c r="E1441" s="19">
        <v>0.0</v>
      </c>
      <c r="F1441" s="19"/>
      <c r="G1441" s="16" t="s">
        <v>2164</v>
      </c>
      <c r="H1441" s="21"/>
      <c r="I1441" s="22"/>
      <c r="J1441" s="29"/>
      <c r="K1441" s="43">
        <v>2900.0</v>
      </c>
      <c r="L1441" s="44">
        <v>10000.0</v>
      </c>
      <c r="M1441" s="25"/>
      <c r="N1441" s="26"/>
      <c r="O1441" s="27">
        <f t="shared" si="188"/>
        <v>2.448275862</v>
      </c>
      <c r="P1441" s="28">
        <f t="shared" si="189"/>
        <v>0</v>
      </c>
    </row>
    <row r="1442" hidden="1">
      <c r="A1442" s="122" t="s">
        <v>2165</v>
      </c>
      <c r="B1442" s="17">
        <v>241024.0</v>
      </c>
      <c r="C1442" s="18"/>
      <c r="D1442" s="4"/>
      <c r="E1442" s="19">
        <v>0.0</v>
      </c>
      <c r="F1442" s="19">
        <v>0.0</v>
      </c>
      <c r="G1442" s="16" t="s">
        <v>425</v>
      </c>
      <c r="H1442" s="21"/>
      <c r="I1442" s="22">
        <v>28.0</v>
      </c>
      <c r="J1442" s="29"/>
      <c r="K1442" s="43">
        <f>1643*1.19</f>
        <v>1955.17</v>
      </c>
      <c r="L1442" s="44">
        <v>3500.0</v>
      </c>
      <c r="M1442" s="25"/>
      <c r="N1442" s="70"/>
      <c r="O1442" s="27">
        <f t="shared" si="188"/>
        <v>0.7901256668</v>
      </c>
      <c r="P1442" s="28">
        <f t="shared" si="189"/>
        <v>0</v>
      </c>
    </row>
    <row r="1443" hidden="1">
      <c r="A1443" s="52" t="s">
        <v>2166</v>
      </c>
      <c r="B1443" s="17"/>
      <c r="C1443" s="18"/>
      <c r="D1443" s="67"/>
      <c r="E1443" s="19">
        <v>0.0</v>
      </c>
      <c r="F1443" s="19">
        <v>15.0</v>
      </c>
      <c r="G1443" s="16" t="s">
        <v>563</v>
      </c>
      <c r="H1443" s="21"/>
      <c r="I1443" s="22">
        <v>9.0</v>
      </c>
      <c r="J1443" s="29"/>
      <c r="K1443" s="32">
        <f>6300*1.19</f>
        <v>7497</v>
      </c>
      <c r="L1443" s="32">
        <v>15000.0</v>
      </c>
      <c r="M1443" s="25"/>
      <c r="N1443" s="70"/>
      <c r="O1443" s="27">
        <f t="shared" si="188"/>
        <v>1.00080032</v>
      </c>
      <c r="P1443" s="28">
        <f t="shared" si="189"/>
        <v>112455</v>
      </c>
    </row>
    <row r="1444" hidden="1">
      <c r="A1444" s="52" t="s">
        <v>2167</v>
      </c>
      <c r="B1444" s="17"/>
      <c r="C1444" s="18"/>
      <c r="D1444" s="4"/>
      <c r="E1444" s="19">
        <v>0.0</v>
      </c>
      <c r="F1444" s="19">
        <v>0.0</v>
      </c>
      <c r="G1444" s="16" t="s">
        <v>2168</v>
      </c>
      <c r="H1444" s="21"/>
      <c r="I1444" s="22">
        <v>0.0</v>
      </c>
      <c r="J1444" s="29"/>
      <c r="K1444" s="43">
        <v>7000.0</v>
      </c>
      <c r="L1444" s="44">
        <v>15000.0</v>
      </c>
      <c r="M1444" s="25"/>
      <c r="N1444" s="26"/>
      <c r="O1444" s="27">
        <f t="shared" si="188"/>
        <v>1.142857143</v>
      </c>
      <c r="P1444" s="28">
        <f t="shared" si="189"/>
        <v>0</v>
      </c>
    </row>
    <row r="1445" hidden="1">
      <c r="A1445" s="59" t="s">
        <v>2169</v>
      </c>
      <c r="B1445" s="17" t="s">
        <v>680</v>
      </c>
      <c r="C1445" s="18"/>
      <c r="D1445" s="4"/>
      <c r="E1445" s="19">
        <v>0.0</v>
      </c>
      <c r="F1445" s="19">
        <v>0.0</v>
      </c>
      <c r="G1445" s="16" t="s">
        <v>2170</v>
      </c>
      <c r="H1445" s="21"/>
      <c r="I1445" s="22">
        <v>5.0</v>
      </c>
      <c r="J1445" s="29"/>
      <c r="K1445" s="43">
        <v>2200.0</v>
      </c>
      <c r="L1445" s="44">
        <v>5000.0</v>
      </c>
      <c r="M1445" s="25"/>
      <c r="N1445" s="26"/>
      <c r="O1445" s="27">
        <f t="shared" si="188"/>
        <v>1.272727273</v>
      </c>
      <c r="P1445" s="28">
        <f t="shared" si="189"/>
        <v>0</v>
      </c>
    </row>
    <row r="1446" hidden="1">
      <c r="A1446" s="118" t="s">
        <v>2171</v>
      </c>
      <c r="B1446" s="17">
        <v>241023.0</v>
      </c>
      <c r="C1446" s="18"/>
      <c r="D1446" s="4"/>
      <c r="E1446" s="19">
        <v>0.0</v>
      </c>
      <c r="F1446" s="19">
        <v>0.0</v>
      </c>
      <c r="G1446" s="16" t="s">
        <v>425</v>
      </c>
      <c r="H1446" s="21"/>
      <c r="I1446" s="22">
        <v>40.0</v>
      </c>
      <c r="J1446" s="23"/>
      <c r="K1446" s="44">
        <f>1846*1.19</f>
        <v>2196.74</v>
      </c>
      <c r="L1446" s="44">
        <v>4000.0</v>
      </c>
      <c r="M1446" s="25"/>
      <c r="N1446" s="70"/>
      <c r="O1446" s="27">
        <f t="shared" si="188"/>
        <v>0.8208800313</v>
      </c>
      <c r="P1446" s="28">
        <f t="shared" si="189"/>
        <v>0</v>
      </c>
    </row>
    <row r="1447" hidden="1">
      <c r="A1447" s="59" t="s">
        <v>2172</v>
      </c>
      <c r="B1447" s="134"/>
      <c r="C1447" s="18" t="s">
        <v>2112</v>
      </c>
      <c r="D1447" s="98"/>
      <c r="E1447" s="19">
        <v>0.0</v>
      </c>
      <c r="F1447" s="19"/>
      <c r="G1447" s="16" t="s">
        <v>485</v>
      </c>
      <c r="H1447" s="21">
        <v>0.0</v>
      </c>
      <c r="I1447" s="22"/>
      <c r="J1447" s="22"/>
      <c r="K1447" s="43">
        <v>20000.0</v>
      </c>
      <c r="L1447" s="44">
        <v>30000.0</v>
      </c>
      <c r="M1447" s="25"/>
      <c r="N1447" s="26"/>
      <c r="O1447" s="27">
        <f t="shared" si="188"/>
        <v>0.5</v>
      </c>
      <c r="P1447" s="28">
        <f t="shared" si="189"/>
        <v>0</v>
      </c>
    </row>
    <row r="1448" hidden="1">
      <c r="A1448" s="255" t="s">
        <v>2173</v>
      </c>
      <c r="B1448" s="121"/>
      <c r="C1448" s="18"/>
      <c r="D1448" s="4"/>
      <c r="E1448" s="19">
        <v>0.0</v>
      </c>
      <c r="F1448" s="19">
        <v>0.0</v>
      </c>
      <c r="G1448" s="16" t="s">
        <v>16</v>
      </c>
      <c r="H1448" s="21"/>
      <c r="I1448" s="22">
        <v>21.0</v>
      </c>
      <c r="J1448" s="29"/>
      <c r="K1448" s="43">
        <f>180000/100</f>
        <v>1800</v>
      </c>
      <c r="L1448" s="44">
        <v>15000.0</v>
      </c>
      <c r="M1448" s="25"/>
      <c r="N1448" s="26">
        <v>10000.0</v>
      </c>
      <c r="O1448" s="27">
        <f t="shared" si="188"/>
        <v>7.333333333</v>
      </c>
      <c r="P1448" s="28">
        <f t="shared" si="189"/>
        <v>0</v>
      </c>
    </row>
    <row r="1449" hidden="1">
      <c r="A1449" s="255" t="s">
        <v>2174</v>
      </c>
      <c r="B1449" s="121"/>
      <c r="C1449" s="18"/>
      <c r="D1449" s="4"/>
      <c r="E1449" s="19">
        <v>0.0</v>
      </c>
      <c r="F1449" s="19"/>
      <c r="G1449" s="16" t="s">
        <v>93</v>
      </c>
      <c r="H1449" s="21"/>
      <c r="I1449" s="22">
        <v>0.0</v>
      </c>
      <c r="J1449" s="29"/>
      <c r="K1449" s="48">
        <v>29400.0</v>
      </c>
      <c r="L1449" s="55">
        <v>36000.0</v>
      </c>
      <c r="M1449" s="25"/>
      <c r="N1449" s="26"/>
      <c r="O1449" s="27">
        <f t="shared" si="188"/>
        <v>0.2244897959</v>
      </c>
      <c r="P1449" s="28">
        <f t="shared" si="189"/>
        <v>0</v>
      </c>
    </row>
    <row r="1450" hidden="1">
      <c r="A1450" s="255" t="s">
        <v>2175</v>
      </c>
      <c r="B1450" s="121"/>
      <c r="C1450" s="18"/>
      <c r="D1450" s="4"/>
      <c r="E1450" s="19"/>
      <c r="F1450" s="19"/>
      <c r="G1450" s="16"/>
      <c r="H1450" s="21"/>
      <c r="I1450" s="22"/>
      <c r="J1450" s="29"/>
      <c r="K1450" s="48"/>
      <c r="L1450" s="55"/>
      <c r="M1450" s="25"/>
      <c r="N1450" s="26"/>
      <c r="O1450" s="27"/>
      <c r="P1450" s="28"/>
    </row>
    <row r="1451" hidden="1">
      <c r="A1451" s="255" t="s">
        <v>2176</v>
      </c>
      <c r="B1451" s="121"/>
      <c r="C1451" s="18"/>
      <c r="D1451" s="4"/>
      <c r="E1451" s="19">
        <v>0.0</v>
      </c>
      <c r="F1451" s="19">
        <v>0.0</v>
      </c>
      <c r="G1451" s="16" t="s">
        <v>93</v>
      </c>
      <c r="H1451" s="21"/>
      <c r="I1451" s="22">
        <v>0.0</v>
      </c>
      <c r="J1451" s="29"/>
      <c r="K1451" s="43">
        <v>16160.0</v>
      </c>
      <c r="L1451" s="44">
        <v>21000.0</v>
      </c>
      <c r="M1451" s="25"/>
      <c r="N1451" s="26"/>
      <c r="O1451" s="27">
        <f t="shared" ref="O1451:O1467" si="190">(L1451/K1451)-1</f>
        <v>0.2995049505</v>
      </c>
      <c r="P1451" s="28">
        <f t="shared" ref="P1451:P1454" si="191">K1451*F1451</f>
        <v>0</v>
      </c>
    </row>
    <row r="1452" hidden="1">
      <c r="A1452" s="255" t="s">
        <v>2177</v>
      </c>
      <c r="B1452" s="121"/>
      <c r="C1452" s="18"/>
      <c r="D1452" s="4"/>
      <c r="E1452" s="19">
        <v>0.0</v>
      </c>
      <c r="F1452" s="19">
        <v>0.0</v>
      </c>
      <c r="G1452" s="16" t="s">
        <v>16</v>
      </c>
      <c r="H1452" s="21"/>
      <c r="I1452" s="22">
        <v>17.0</v>
      </c>
      <c r="J1452" s="29"/>
      <c r="K1452" s="32">
        <f t="shared" ref="K1452:K1454" si="192">180000/100</f>
        <v>1800</v>
      </c>
      <c r="L1452" s="24">
        <v>15000.0</v>
      </c>
      <c r="M1452" s="25"/>
      <c r="N1452" s="26"/>
      <c r="O1452" s="27">
        <f t="shared" si="190"/>
        <v>7.333333333</v>
      </c>
      <c r="P1452" s="28">
        <f t="shared" si="191"/>
        <v>0</v>
      </c>
    </row>
    <row r="1453" hidden="1">
      <c r="A1453" s="255" t="s">
        <v>2178</v>
      </c>
      <c r="B1453" s="121"/>
      <c r="C1453" s="18"/>
      <c r="D1453" s="4"/>
      <c r="E1453" s="19">
        <v>0.0</v>
      </c>
      <c r="F1453" s="19">
        <v>0.0</v>
      </c>
      <c r="G1453" s="16" t="s">
        <v>16</v>
      </c>
      <c r="H1453" s="21"/>
      <c r="I1453" s="22">
        <v>17.0</v>
      </c>
      <c r="J1453" s="29"/>
      <c r="K1453" s="43">
        <f t="shared" si="192"/>
        <v>1800</v>
      </c>
      <c r="L1453" s="44">
        <v>60000.0</v>
      </c>
      <c r="M1453" s="25"/>
      <c r="N1453" s="26"/>
      <c r="O1453" s="27">
        <f t="shared" si="190"/>
        <v>32.33333333</v>
      </c>
      <c r="P1453" s="28">
        <f t="shared" si="191"/>
        <v>0</v>
      </c>
    </row>
    <row r="1454" hidden="1">
      <c r="A1454" s="255" t="s">
        <v>2179</v>
      </c>
      <c r="B1454" s="121"/>
      <c r="C1454" s="18"/>
      <c r="D1454" s="4" t="s">
        <v>676</v>
      </c>
      <c r="E1454" s="19">
        <v>0.0</v>
      </c>
      <c r="F1454" s="19">
        <v>3.0</v>
      </c>
      <c r="G1454" s="16" t="s">
        <v>16</v>
      </c>
      <c r="H1454" s="21"/>
      <c r="I1454" s="22">
        <v>1.0</v>
      </c>
      <c r="J1454" s="29"/>
      <c r="K1454" s="32">
        <f t="shared" si="192"/>
        <v>1800</v>
      </c>
      <c r="L1454" s="24">
        <v>15000.0</v>
      </c>
      <c r="M1454" s="25"/>
      <c r="N1454" s="26"/>
      <c r="O1454" s="27">
        <f t="shared" si="190"/>
        <v>7.333333333</v>
      </c>
      <c r="P1454" s="28">
        <f t="shared" si="191"/>
        <v>5400</v>
      </c>
    </row>
    <row r="1455" hidden="1">
      <c r="A1455" s="16" t="s">
        <v>2180</v>
      </c>
      <c r="B1455" s="36"/>
      <c r="C1455" s="18"/>
      <c r="D1455" s="4" t="s">
        <v>998</v>
      </c>
      <c r="E1455" s="19">
        <v>0.0</v>
      </c>
      <c r="F1455" s="19">
        <v>5.0</v>
      </c>
      <c r="G1455" s="16" t="s">
        <v>73</v>
      </c>
      <c r="H1455" s="21"/>
      <c r="I1455" s="22"/>
      <c r="J1455" s="29"/>
      <c r="K1455" s="32">
        <f>(255000/10)</f>
        <v>25500</v>
      </c>
      <c r="L1455" s="24">
        <v>30000.0</v>
      </c>
      <c r="M1455" s="25" t="s">
        <v>82</v>
      </c>
      <c r="N1455" s="26"/>
      <c r="O1455" s="27">
        <f t="shared" si="190"/>
        <v>0.1764705882</v>
      </c>
      <c r="P1455" s="28" t="str">
        <f t="shared" ref="P1455:P1456" si="193">K1455*#REF!</f>
        <v>#REF!</v>
      </c>
    </row>
    <row r="1456" hidden="1">
      <c r="A1456" s="16" t="s">
        <v>2181</v>
      </c>
      <c r="B1456" s="36"/>
      <c r="C1456" s="18"/>
      <c r="D1456" s="4"/>
      <c r="E1456" s="19">
        <v>0.0</v>
      </c>
      <c r="F1456" s="19">
        <v>0.0</v>
      </c>
      <c r="G1456" s="16" t="s">
        <v>73</v>
      </c>
      <c r="H1456" s="21"/>
      <c r="I1456" s="22" t="s">
        <v>2182</v>
      </c>
      <c r="J1456" s="29"/>
      <c r="K1456" s="32">
        <f>(270000/15)*1.19</f>
        <v>21420</v>
      </c>
      <c r="L1456" s="24">
        <v>30000.0</v>
      </c>
      <c r="M1456" s="25" t="s">
        <v>82</v>
      </c>
      <c r="N1456" s="26"/>
      <c r="O1456" s="27">
        <f t="shared" si="190"/>
        <v>0.4005602241</v>
      </c>
      <c r="P1456" s="28" t="str">
        <f t="shared" si="193"/>
        <v>#REF!</v>
      </c>
    </row>
    <row r="1457" hidden="1">
      <c r="A1457" s="256" t="s">
        <v>2183</v>
      </c>
      <c r="B1457" s="134"/>
      <c r="C1457" s="18"/>
      <c r="D1457" s="4"/>
      <c r="E1457" s="19">
        <v>0.0</v>
      </c>
      <c r="F1457" s="19">
        <v>0.0</v>
      </c>
      <c r="G1457" s="16" t="s">
        <v>2184</v>
      </c>
      <c r="H1457" s="21"/>
      <c r="I1457" s="22">
        <v>0.0</v>
      </c>
      <c r="J1457" s="29"/>
      <c r="K1457" s="43">
        <v>48000.0</v>
      </c>
      <c r="L1457" s="44">
        <v>70000.0</v>
      </c>
      <c r="M1457" s="25"/>
      <c r="N1457" s="26"/>
      <c r="O1457" s="27">
        <f t="shared" si="190"/>
        <v>0.4583333333</v>
      </c>
      <c r="P1457" s="28">
        <f t="shared" ref="P1457:P1467" si="194">K1457*F1457</f>
        <v>0</v>
      </c>
    </row>
    <row r="1458" hidden="1">
      <c r="A1458" s="256" t="s">
        <v>2185</v>
      </c>
      <c r="B1458" s="134"/>
      <c r="C1458" s="18"/>
      <c r="D1458" s="4"/>
      <c r="E1458" s="19">
        <v>0.0</v>
      </c>
      <c r="F1458" s="19">
        <v>0.0</v>
      </c>
      <c r="G1458" s="16" t="s">
        <v>2184</v>
      </c>
      <c r="H1458" s="21"/>
      <c r="I1458" s="22">
        <v>2.0</v>
      </c>
      <c r="J1458" s="29"/>
      <c r="K1458" s="48">
        <v>94500.0</v>
      </c>
      <c r="L1458" s="55">
        <v>130000.0</v>
      </c>
      <c r="M1458" s="25"/>
      <c r="N1458" s="26"/>
      <c r="O1458" s="27">
        <f t="shared" si="190"/>
        <v>0.3756613757</v>
      </c>
      <c r="P1458" s="28">
        <f t="shared" si="194"/>
        <v>0</v>
      </c>
    </row>
    <row r="1459" hidden="1">
      <c r="A1459" s="16" t="s">
        <v>2186</v>
      </c>
      <c r="B1459" s="36" t="s">
        <v>2187</v>
      </c>
      <c r="C1459" s="18" t="s">
        <v>144</v>
      </c>
      <c r="D1459" s="4">
        <v>68300.0</v>
      </c>
      <c r="E1459" s="19">
        <v>0.0</v>
      </c>
      <c r="F1459" s="19">
        <v>0.0</v>
      </c>
      <c r="G1459" s="16" t="s">
        <v>70</v>
      </c>
      <c r="H1459" s="21"/>
      <c r="I1459" s="22"/>
      <c r="J1459" s="58">
        <v>45931.0</v>
      </c>
      <c r="K1459" s="32">
        <f t="shared" ref="K1459:K1460" si="195">90000*0.8</f>
        <v>72000</v>
      </c>
      <c r="L1459" s="24">
        <v>100000.0</v>
      </c>
      <c r="M1459" s="25" t="s">
        <v>82</v>
      </c>
      <c r="N1459" s="26"/>
      <c r="O1459" s="27">
        <f t="shared" si="190"/>
        <v>0.3888888889</v>
      </c>
      <c r="P1459" s="28">
        <f t="shared" si="194"/>
        <v>0</v>
      </c>
    </row>
    <row r="1460" hidden="1">
      <c r="A1460" s="16" t="s">
        <v>2188</v>
      </c>
      <c r="B1460" s="36" t="s">
        <v>2187</v>
      </c>
      <c r="C1460" s="18" t="s">
        <v>144</v>
      </c>
      <c r="D1460" s="4">
        <v>68300.0</v>
      </c>
      <c r="E1460" s="19">
        <v>0.0</v>
      </c>
      <c r="F1460" s="19">
        <v>0.0</v>
      </c>
      <c r="G1460" s="16" t="s">
        <v>70</v>
      </c>
      <c r="H1460" s="21"/>
      <c r="I1460" s="22"/>
      <c r="J1460" s="22" t="s">
        <v>2189</v>
      </c>
      <c r="K1460" s="32">
        <f t="shared" si="195"/>
        <v>72000</v>
      </c>
      <c r="L1460" s="24">
        <v>100000.0</v>
      </c>
      <c r="M1460" s="25" t="s">
        <v>82</v>
      </c>
      <c r="N1460" s="26"/>
      <c r="O1460" s="27">
        <f t="shared" si="190"/>
        <v>0.3888888889</v>
      </c>
      <c r="P1460" s="28">
        <f t="shared" si="194"/>
        <v>0</v>
      </c>
    </row>
    <row r="1461" hidden="1">
      <c r="A1461" s="16" t="s">
        <v>2190</v>
      </c>
      <c r="B1461" s="36" t="s">
        <v>2187</v>
      </c>
      <c r="C1461" s="18" t="s">
        <v>144</v>
      </c>
      <c r="D1461" s="4">
        <v>68300.0</v>
      </c>
      <c r="E1461" s="19">
        <v>0.0</v>
      </c>
      <c r="F1461" s="19">
        <v>0.0</v>
      </c>
      <c r="G1461" s="16" t="s">
        <v>70</v>
      </c>
      <c r="H1461" s="21"/>
      <c r="I1461" s="22"/>
      <c r="J1461" s="47">
        <v>45748.0</v>
      </c>
      <c r="K1461" s="32">
        <v>72000.0</v>
      </c>
      <c r="L1461" s="24">
        <v>100000.0</v>
      </c>
      <c r="M1461" s="25" t="s">
        <v>76</v>
      </c>
      <c r="N1461" s="26"/>
      <c r="O1461" s="27">
        <f t="shared" si="190"/>
        <v>0.3888888889</v>
      </c>
      <c r="P1461" s="28">
        <f t="shared" si="194"/>
        <v>0</v>
      </c>
    </row>
    <row r="1462" hidden="1">
      <c r="A1462" s="16" t="s">
        <v>2191</v>
      </c>
      <c r="B1462" s="36" t="s">
        <v>2192</v>
      </c>
      <c r="C1462" s="18" t="s">
        <v>144</v>
      </c>
      <c r="D1462" s="4">
        <v>272600.0</v>
      </c>
      <c r="E1462" s="19">
        <v>0.0</v>
      </c>
      <c r="F1462" s="19">
        <v>0.0</v>
      </c>
      <c r="G1462" s="16" t="s">
        <v>70</v>
      </c>
      <c r="H1462" s="21"/>
      <c r="I1462" s="22"/>
      <c r="J1462" s="29"/>
      <c r="K1462" s="48">
        <v>272600.0</v>
      </c>
      <c r="L1462" s="55">
        <v>340000.0</v>
      </c>
      <c r="M1462" s="25" t="s">
        <v>76</v>
      </c>
      <c r="N1462" s="26">
        <v>210000.0</v>
      </c>
      <c r="O1462" s="27">
        <f t="shared" si="190"/>
        <v>0.2472487161</v>
      </c>
      <c r="P1462" s="28">
        <f t="shared" si="194"/>
        <v>0</v>
      </c>
    </row>
    <row r="1463" hidden="1">
      <c r="A1463" s="52" t="s">
        <v>2193</v>
      </c>
      <c r="B1463" s="17"/>
      <c r="C1463" s="18"/>
      <c r="D1463" s="4"/>
      <c r="E1463" s="19">
        <v>0.0</v>
      </c>
      <c r="F1463" s="19">
        <v>0.0</v>
      </c>
      <c r="G1463" s="16" t="s">
        <v>563</v>
      </c>
      <c r="H1463" s="21"/>
      <c r="I1463" s="22">
        <v>7.0</v>
      </c>
      <c r="J1463" s="29"/>
      <c r="K1463" s="48">
        <v>25000.0</v>
      </c>
      <c r="L1463" s="55">
        <v>45000.0</v>
      </c>
      <c r="M1463" s="25"/>
      <c r="N1463" s="26"/>
      <c r="O1463" s="27">
        <f t="shared" si="190"/>
        <v>0.8</v>
      </c>
      <c r="P1463" s="28">
        <f t="shared" si="194"/>
        <v>0</v>
      </c>
    </row>
    <row r="1464" hidden="1">
      <c r="A1464" s="52" t="s">
        <v>2194</v>
      </c>
      <c r="B1464" s="17"/>
      <c r="C1464" s="18"/>
      <c r="D1464" s="67"/>
      <c r="E1464" s="19">
        <v>1.0</v>
      </c>
      <c r="F1464" s="19">
        <v>10.0</v>
      </c>
      <c r="G1464" s="16" t="s">
        <v>563</v>
      </c>
      <c r="H1464" s="21"/>
      <c r="I1464" s="22">
        <v>16.0</v>
      </c>
      <c r="J1464" s="23"/>
      <c r="K1464" s="24">
        <f>(33000*1.19)/10</f>
        <v>3927</v>
      </c>
      <c r="L1464" s="24">
        <v>6000.0</v>
      </c>
      <c r="M1464" s="25"/>
      <c r="N1464" s="26"/>
      <c r="O1464" s="27">
        <f t="shared" si="190"/>
        <v>0.5278838808</v>
      </c>
      <c r="P1464" s="28">
        <f t="shared" si="194"/>
        <v>39270</v>
      </c>
    </row>
    <row r="1465" hidden="1">
      <c r="A1465" s="16" t="s">
        <v>2195</v>
      </c>
      <c r="B1465" s="51" t="s">
        <v>2196</v>
      </c>
      <c r="C1465" s="18"/>
      <c r="D1465" s="4"/>
      <c r="E1465" s="19">
        <v>0.0</v>
      </c>
      <c r="F1465" s="19">
        <v>0.0</v>
      </c>
      <c r="G1465" s="16" t="s">
        <v>1661</v>
      </c>
      <c r="H1465" s="21"/>
      <c r="I1465" s="22">
        <v>4.0</v>
      </c>
      <c r="J1465" s="29"/>
      <c r="K1465" s="32">
        <v>115000.0</v>
      </c>
      <c r="L1465" s="24">
        <v>200000.0</v>
      </c>
      <c r="M1465" s="25"/>
      <c r="N1465" s="50"/>
      <c r="O1465" s="27">
        <f t="shared" si="190"/>
        <v>0.7391304348</v>
      </c>
      <c r="P1465" s="28">
        <f t="shared" si="194"/>
        <v>0</v>
      </c>
    </row>
    <row r="1466" hidden="1">
      <c r="A1466" s="59" t="s">
        <v>2197</v>
      </c>
      <c r="B1466" s="17"/>
      <c r="C1466" s="18"/>
      <c r="D1466" s="4"/>
      <c r="E1466" s="19">
        <v>0.0</v>
      </c>
      <c r="F1466" s="19">
        <v>0.0</v>
      </c>
      <c r="G1466" s="16" t="s">
        <v>2162</v>
      </c>
      <c r="H1466" s="21"/>
      <c r="I1466" s="22">
        <v>100.0</v>
      </c>
      <c r="J1466" s="29"/>
      <c r="K1466" s="43">
        <v>141.0</v>
      </c>
      <c r="L1466" s="44">
        <v>500.0</v>
      </c>
      <c r="M1466" s="25"/>
      <c r="N1466" s="26"/>
      <c r="O1466" s="27">
        <f t="shared" si="190"/>
        <v>2.546099291</v>
      </c>
      <c r="P1466" s="28">
        <f t="shared" si="194"/>
        <v>0</v>
      </c>
    </row>
    <row r="1467" hidden="1">
      <c r="A1467" s="40" t="s">
        <v>2198</v>
      </c>
      <c r="B1467" s="17"/>
      <c r="C1467" s="18"/>
      <c r="D1467" s="4"/>
      <c r="E1467" s="19">
        <v>0.0</v>
      </c>
      <c r="F1467" s="19">
        <v>2.0</v>
      </c>
      <c r="G1467" s="16" t="s">
        <v>2199</v>
      </c>
      <c r="H1467" s="21"/>
      <c r="I1467" s="22"/>
      <c r="J1467" s="29"/>
      <c r="K1467" s="43">
        <v>12000.0</v>
      </c>
      <c r="L1467" s="44">
        <v>20000.0</v>
      </c>
      <c r="M1467" s="25"/>
      <c r="N1467" s="26"/>
      <c r="O1467" s="27">
        <f t="shared" si="190"/>
        <v>0.6666666667</v>
      </c>
      <c r="P1467" s="28">
        <f t="shared" si="194"/>
        <v>24000</v>
      </c>
    </row>
    <row r="1468" hidden="1">
      <c r="A1468" s="16" t="s">
        <v>2200</v>
      </c>
      <c r="B1468" s="17"/>
      <c r="C1468" s="18"/>
      <c r="D1468" s="4"/>
      <c r="E1468" s="19">
        <v>0.0</v>
      </c>
      <c r="F1468" s="19">
        <v>0.0</v>
      </c>
      <c r="G1468" s="16" t="s">
        <v>400</v>
      </c>
      <c r="H1468" s="21"/>
      <c r="I1468" s="22">
        <v>9.0</v>
      </c>
      <c r="J1468" s="29"/>
      <c r="K1468" s="43"/>
      <c r="L1468" s="44"/>
      <c r="M1468" s="25"/>
      <c r="N1468" s="26"/>
      <c r="O1468" s="27"/>
      <c r="P1468" s="28"/>
    </row>
    <row r="1469" hidden="1">
      <c r="A1469" s="122" t="s">
        <v>2201</v>
      </c>
      <c r="B1469" s="156"/>
      <c r="C1469" s="18"/>
      <c r="D1469" s="4"/>
      <c r="E1469" s="19">
        <v>0.0</v>
      </c>
      <c r="F1469" s="19">
        <v>0.0</v>
      </c>
      <c r="G1469" s="16" t="s">
        <v>580</v>
      </c>
      <c r="H1469" s="21"/>
      <c r="I1469" s="22">
        <v>5.0</v>
      </c>
      <c r="J1469" s="29"/>
      <c r="K1469" s="32">
        <f>55000/2</f>
        <v>27500</v>
      </c>
      <c r="L1469" s="24">
        <v>90000.0</v>
      </c>
      <c r="M1469" s="25"/>
      <c r="N1469" s="50">
        <v>60000.0</v>
      </c>
      <c r="O1469" s="27">
        <f t="shared" ref="O1469:O1507" si="196">(L1469/K1469)-1</f>
        <v>2.272727273</v>
      </c>
      <c r="P1469" s="28">
        <f>K1469*F1469</f>
        <v>0</v>
      </c>
    </row>
    <row r="1470" hidden="1">
      <c r="A1470" s="122" t="s">
        <v>2202</v>
      </c>
      <c r="B1470" s="156"/>
      <c r="C1470" s="18"/>
      <c r="D1470" s="4"/>
      <c r="E1470" s="19">
        <v>0.0</v>
      </c>
      <c r="F1470" s="19">
        <v>0.0</v>
      </c>
      <c r="G1470" s="16" t="s">
        <v>580</v>
      </c>
      <c r="H1470" s="21"/>
      <c r="I1470" s="22"/>
      <c r="J1470" s="29"/>
      <c r="K1470" s="32">
        <v>55000.0</v>
      </c>
      <c r="L1470" s="24">
        <v>150000.0</v>
      </c>
      <c r="M1470" s="25"/>
      <c r="N1470" s="50">
        <v>110000.0</v>
      </c>
      <c r="O1470" s="27">
        <f t="shared" si="196"/>
        <v>1.727272727</v>
      </c>
      <c r="P1470" s="28"/>
    </row>
    <row r="1471" hidden="1">
      <c r="A1471" s="122" t="s">
        <v>2203</v>
      </c>
      <c r="B1471" s="17">
        <v>240033.0</v>
      </c>
      <c r="C1471" s="18" t="s">
        <v>687</v>
      </c>
      <c r="D1471" s="257"/>
      <c r="E1471" s="19">
        <v>0.0</v>
      </c>
      <c r="F1471" s="19">
        <v>0.0</v>
      </c>
      <c r="G1471" s="16" t="s">
        <v>2204</v>
      </c>
      <c r="H1471" s="21"/>
      <c r="I1471" s="22">
        <v>70.0</v>
      </c>
      <c r="J1471" s="23"/>
      <c r="K1471" s="55">
        <f t="shared" ref="K1471:K1473" si="197">3200*0.95*1.19</f>
        <v>3617.6</v>
      </c>
      <c r="L1471" s="55">
        <v>9000.0</v>
      </c>
      <c r="M1471" s="25"/>
      <c r="N1471" s="70"/>
      <c r="O1471" s="27">
        <f t="shared" si="196"/>
        <v>1.48783724</v>
      </c>
      <c r="P1471" s="28">
        <f t="shared" ref="P1471:P1500" si="198">K1471*F1471</f>
        <v>0</v>
      </c>
    </row>
    <row r="1472" hidden="1">
      <c r="A1472" s="122" t="s">
        <v>2205</v>
      </c>
      <c r="B1472" s="17">
        <v>240031.0</v>
      </c>
      <c r="C1472" s="18" t="s">
        <v>687</v>
      </c>
      <c r="D1472" s="257"/>
      <c r="E1472" s="19">
        <v>0.0</v>
      </c>
      <c r="F1472" s="19">
        <v>0.0</v>
      </c>
      <c r="G1472" s="16" t="s">
        <v>2204</v>
      </c>
      <c r="H1472" s="21"/>
      <c r="I1472" s="22">
        <v>80.0</v>
      </c>
      <c r="J1472" s="23"/>
      <c r="K1472" s="55">
        <f t="shared" si="197"/>
        <v>3617.6</v>
      </c>
      <c r="L1472" s="55">
        <v>9000.0</v>
      </c>
      <c r="M1472" s="25"/>
      <c r="N1472" s="70"/>
      <c r="O1472" s="27">
        <f t="shared" si="196"/>
        <v>1.48783724</v>
      </c>
      <c r="P1472" s="28">
        <f t="shared" si="198"/>
        <v>0</v>
      </c>
    </row>
    <row r="1473" hidden="1">
      <c r="A1473" s="122" t="s">
        <v>2206</v>
      </c>
      <c r="B1473" s="17">
        <v>240032.0</v>
      </c>
      <c r="C1473" s="18" t="s">
        <v>687</v>
      </c>
      <c r="D1473" s="257"/>
      <c r="E1473" s="19">
        <v>0.0</v>
      </c>
      <c r="F1473" s="19">
        <v>0.0</v>
      </c>
      <c r="G1473" s="16" t="s">
        <v>2204</v>
      </c>
      <c r="H1473" s="21"/>
      <c r="I1473" s="22">
        <v>70.0</v>
      </c>
      <c r="J1473" s="23"/>
      <c r="K1473" s="55">
        <f t="shared" si="197"/>
        <v>3617.6</v>
      </c>
      <c r="L1473" s="55">
        <v>9000.0</v>
      </c>
      <c r="M1473" s="25"/>
      <c r="N1473" s="70"/>
      <c r="O1473" s="27">
        <f t="shared" si="196"/>
        <v>1.48783724</v>
      </c>
      <c r="P1473" s="28">
        <f t="shared" si="198"/>
        <v>0</v>
      </c>
    </row>
    <row r="1474" hidden="1">
      <c r="A1474" s="122" t="s">
        <v>2207</v>
      </c>
      <c r="B1474" s="258">
        <f>120137</f>
        <v>120137</v>
      </c>
      <c r="C1474" s="223" t="s">
        <v>2208</v>
      </c>
      <c r="D1474" s="4"/>
      <c r="E1474" s="19">
        <v>0.0</v>
      </c>
      <c r="F1474" s="19">
        <v>0.0</v>
      </c>
      <c r="G1474" s="16" t="s">
        <v>1205</v>
      </c>
      <c r="H1474" s="21"/>
      <c r="I1474" s="22">
        <v>18.0</v>
      </c>
      <c r="J1474" s="29"/>
      <c r="K1474" s="43">
        <f>108000*1.19</f>
        <v>128520</v>
      </c>
      <c r="L1474" s="44">
        <v>165000.0</v>
      </c>
      <c r="M1474" s="25" t="s">
        <v>9</v>
      </c>
      <c r="N1474" s="26">
        <v>148000.0</v>
      </c>
      <c r="O1474" s="27">
        <f t="shared" si="196"/>
        <v>0.2838468721</v>
      </c>
      <c r="P1474" s="28">
        <f t="shared" si="198"/>
        <v>0</v>
      </c>
    </row>
    <row r="1475" hidden="1">
      <c r="A1475" s="122" t="s">
        <v>2209</v>
      </c>
      <c r="B1475" s="17">
        <v>240037.0</v>
      </c>
      <c r="C1475" s="18"/>
      <c r="D1475" s="4"/>
      <c r="E1475" s="19">
        <v>0.0</v>
      </c>
      <c r="F1475" s="19">
        <v>0.0</v>
      </c>
      <c r="G1475" s="16" t="s">
        <v>659</v>
      </c>
      <c r="H1475" s="21"/>
      <c r="I1475" s="22">
        <v>0.0</v>
      </c>
      <c r="J1475" s="259"/>
      <c r="K1475" s="260">
        <f t="shared" ref="K1475:K1478" si="199">3029*1.19</f>
        <v>3604.51</v>
      </c>
      <c r="L1475" s="44">
        <v>9000.0</v>
      </c>
      <c r="M1475" s="25"/>
      <c r="N1475" s="70"/>
      <c r="O1475" s="27">
        <f t="shared" si="196"/>
        <v>1.496871974</v>
      </c>
      <c r="P1475" s="28">
        <f t="shared" si="198"/>
        <v>0</v>
      </c>
    </row>
    <row r="1476" hidden="1">
      <c r="A1476" s="122" t="s">
        <v>2210</v>
      </c>
      <c r="B1476" s="17">
        <v>240040.0</v>
      </c>
      <c r="C1476" s="18"/>
      <c r="D1476" s="4"/>
      <c r="E1476" s="19">
        <v>0.0</v>
      </c>
      <c r="F1476" s="19">
        <v>0.0</v>
      </c>
      <c r="G1476" s="16" t="s">
        <v>659</v>
      </c>
      <c r="H1476" s="21"/>
      <c r="I1476" s="22" t="s">
        <v>99</v>
      </c>
      <c r="J1476" s="259"/>
      <c r="K1476" s="260">
        <f t="shared" si="199"/>
        <v>3604.51</v>
      </c>
      <c r="L1476" s="44">
        <v>9000.0</v>
      </c>
      <c r="M1476" s="25"/>
      <c r="N1476" s="70"/>
      <c r="O1476" s="27">
        <f t="shared" si="196"/>
        <v>1.496871974</v>
      </c>
      <c r="P1476" s="28">
        <f t="shared" si="198"/>
        <v>0</v>
      </c>
    </row>
    <row r="1477" hidden="1">
      <c r="A1477" s="122" t="s">
        <v>2211</v>
      </c>
      <c r="B1477" s="17">
        <v>240038.0</v>
      </c>
      <c r="C1477" s="18"/>
      <c r="D1477" s="4"/>
      <c r="E1477" s="19">
        <v>0.0</v>
      </c>
      <c r="F1477" s="19">
        <v>0.0</v>
      </c>
      <c r="G1477" s="16" t="s">
        <v>659</v>
      </c>
      <c r="H1477" s="21"/>
      <c r="I1477" s="22" t="s">
        <v>99</v>
      </c>
      <c r="J1477" s="259"/>
      <c r="K1477" s="260">
        <f t="shared" si="199"/>
        <v>3604.51</v>
      </c>
      <c r="L1477" s="44">
        <v>9000.0</v>
      </c>
      <c r="M1477" s="25"/>
      <c r="N1477" s="70"/>
      <c r="O1477" s="27">
        <f t="shared" si="196"/>
        <v>1.496871974</v>
      </c>
      <c r="P1477" s="28">
        <f t="shared" si="198"/>
        <v>0</v>
      </c>
    </row>
    <row r="1478" hidden="1">
      <c r="A1478" s="122" t="s">
        <v>2212</v>
      </c>
      <c r="B1478" s="17">
        <v>240039.0</v>
      </c>
      <c r="C1478" s="18"/>
      <c r="D1478" s="4"/>
      <c r="E1478" s="19">
        <v>0.0</v>
      </c>
      <c r="F1478" s="19">
        <v>0.0</v>
      </c>
      <c r="G1478" s="16" t="s">
        <v>659</v>
      </c>
      <c r="H1478" s="21"/>
      <c r="I1478" s="22">
        <v>50.0</v>
      </c>
      <c r="J1478" s="259"/>
      <c r="K1478" s="260">
        <f t="shared" si="199"/>
        <v>3604.51</v>
      </c>
      <c r="L1478" s="44">
        <v>9000.0</v>
      </c>
      <c r="M1478" s="25"/>
      <c r="N1478" s="70"/>
      <c r="O1478" s="27">
        <f t="shared" si="196"/>
        <v>1.496871974</v>
      </c>
      <c r="P1478" s="28">
        <f t="shared" si="198"/>
        <v>0</v>
      </c>
    </row>
    <row r="1479" hidden="1">
      <c r="A1479" s="122" t="s">
        <v>2213</v>
      </c>
      <c r="B1479" s="17">
        <v>240030.0</v>
      </c>
      <c r="C1479" s="18"/>
      <c r="D1479" s="4"/>
      <c r="E1479" s="19">
        <v>0.0</v>
      </c>
      <c r="F1479" s="19">
        <v>0.0</v>
      </c>
      <c r="G1479" s="16" t="s">
        <v>659</v>
      </c>
      <c r="H1479" s="21"/>
      <c r="I1479" s="22" t="s">
        <v>99</v>
      </c>
      <c r="J1479" s="23"/>
      <c r="K1479" s="44">
        <f t="shared" ref="K1479:K1484" si="200">5251*1.19</f>
        <v>6248.69</v>
      </c>
      <c r="L1479" s="44">
        <v>9000.0</v>
      </c>
      <c r="M1479" s="25"/>
      <c r="N1479" s="26"/>
      <c r="O1479" s="27">
        <f t="shared" si="196"/>
        <v>0.4403018873</v>
      </c>
      <c r="P1479" s="28">
        <f t="shared" si="198"/>
        <v>0</v>
      </c>
    </row>
    <row r="1480" hidden="1">
      <c r="A1480" s="122" t="s">
        <v>2214</v>
      </c>
      <c r="B1480" s="17">
        <v>240028.0</v>
      </c>
      <c r="C1480" s="18"/>
      <c r="D1480" s="4"/>
      <c r="E1480" s="19">
        <v>0.0</v>
      </c>
      <c r="F1480" s="19">
        <v>0.0</v>
      </c>
      <c r="G1480" s="16" t="s">
        <v>659</v>
      </c>
      <c r="H1480" s="21"/>
      <c r="I1480" s="22" t="s">
        <v>99</v>
      </c>
      <c r="J1480" s="23"/>
      <c r="K1480" s="44">
        <f t="shared" si="200"/>
        <v>6248.69</v>
      </c>
      <c r="L1480" s="44">
        <v>9000.0</v>
      </c>
      <c r="M1480" s="25"/>
      <c r="N1480" s="26"/>
      <c r="O1480" s="27">
        <f t="shared" si="196"/>
        <v>0.4403018873</v>
      </c>
      <c r="P1480" s="28">
        <f t="shared" si="198"/>
        <v>0</v>
      </c>
    </row>
    <row r="1481" hidden="1">
      <c r="A1481" s="122" t="s">
        <v>2215</v>
      </c>
      <c r="B1481" s="17">
        <v>240029.0</v>
      </c>
      <c r="C1481" s="18"/>
      <c r="D1481" s="4"/>
      <c r="E1481" s="19">
        <v>0.0</v>
      </c>
      <c r="F1481" s="19">
        <v>0.0</v>
      </c>
      <c r="G1481" s="16" t="s">
        <v>659</v>
      </c>
      <c r="H1481" s="21"/>
      <c r="I1481" s="22" t="s">
        <v>99</v>
      </c>
      <c r="J1481" s="23"/>
      <c r="K1481" s="44">
        <f t="shared" si="200"/>
        <v>6248.69</v>
      </c>
      <c r="L1481" s="44">
        <v>9000.0</v>
      </c>
      <c r="M1481" s="25"/>
      <c r="N1481" s="70"/>
      <c r="O1481" s="27">
        <f t="shared" si="196"/>
        <v>0.4403018873</v>
      </c>
      <c r="P1481" s="28">
        <f t="shared" si="198"/>
        <v>0</v>
      </c>
    </row>
    <row r="1482" hidden="1">
      <c r="A1482" s="122" t="s">
        <v>2216</v>
      </c>
      <c r="B1482" s="17">
        <v>240025.0</v>
      </c>
      <c r="C1482" s="18"/>
      <c r="D1482" s="4"/>
      <c r="E1482" s="19">
        <v>0.0</v>
      </c>
      <c r="F1482" s="19">
        <v>0.0</v>
      </c>
      <c r="G1482" s="16" t="s">
        <v>659</v>
      </c>
      <c r="H1482" s="21"/>
      <c r="I1482" s="22">
        <v>12.0</v>
      </c>
      <c r="J1482" s="23"/>
      <c r="K1482" s="44">
        <f t="shared" si="200"/>
        <v>6248.69</v>
      </c>
      <c r="L1482" s="44">
        <v>9000.0</v>
      </c>
      <c r="M1482" s="25"/>
      <c r="N1482" s="26"/>
      <c r="O1482" s="27">
        <f t="shared" si="196"/>
        <v>0.4403018873</v>
      </c>
      <c r="P1482" s="28">
        <f t="shared" si="198"/>
        <v>0</v>
      </c>
    </row>
    <row r="1483" hidden="1">
      <c r="A1483" s="122" t="s">
        <v>2217</v>
      </c>
      <c r="B1483" s="17">
        <v>240027.0</v>
      </c>
      <c r="C1483" s="18"/>
      <c r="D1483" s="4"/>
      <c r="E1483" s="19">
        <v>0.0</v>
      </c>
      <c r="F1483" s="19">
        <v>0.0</v>
      </c>
      <c r="G1483" s="16" t="s">
        <v>659</v>
      </c>
      <c r="H1483" s="21"/>
      <c r="I1483" s="22">
        <v>20.0</v>
      </c>
      <c r="J1483" s="23"/>
      <c r="K1483" s="44">
        <f t="shared" si="200"/>
        <v>6248.69</v>
      </c>
      <c r="L1483" s="44">
        <v>9000.0</v>
      </c>
      <c r="M1483" s="25"/>
      <c r="N1483" s="26"/>
      <c r="O1483" s="27">
        <f t="shared" si="196"/>
        <v>0.4403018873</v>
      </c>
      <c r="P1483" s="28">
        <f t="shared" si="198"/>
        <v>0</v>
      </c>
    </row>
    <row r="1484" hidden="1">
      <c r="A1484" s="122" t="s">
        <v>2218</v>
      </c>
      <c r="B1484" s="17">
        <v>240026.0</v>
      </c>
      <c r="C1484" s="18"/>
      <c r="D1484" s="4"/>
      <c r="E1484" s="19">
        <v>0.0</v>
      </c>
      <c r="F1484" s="19">
        <v>0.0</v>
      </c>
      <c r="G1484" s="16" t="s">
        <v>659</v>
      </c>
      <c r="H1484" s="21"/>
      <c r="I1484" s="22">
        <v>50.0</v>
      </c>
      <c r="J1484" s="23"/>
      <c r="K1484" s="44">
        <f t="shared" si="200"/>
        <v>6248.69</v>
      </c>
      <c r="L1484" s="44">
        <v>9000.0</v>
      </c>
      <c r="M1484" s="25"/>
      <c r="N1484" s="26"/>
      <c r="O1484" s="27">
        <f t="shared" si="196"/>
        <v>0.4403018873</v>
      </c>
      <c r="P1484" s="28">
        <f t="shared" si="198"/>
        <v>0</v>
      </c>
    </row>
    <row r="1485" hidden="1">
      <c r="A1485" s="16" t="s">
        <v>2219</v>
      </c>
      <c r="B1485" s="36"/>
      <c r="C1485" s="18"/>
      <c r="D1485" s="4"/>
      <c r="E1485" s="19">
        <v>0.0</v>
      </c>
      <c r="F1485" s="19">
        <v>10.0</v>
      </c>
      <c r="G1485" s="16" t="s">
        <v>932</v>
      </c>
      <c r="H1485" s="21"/>
      <c r="I1485" s="22">
        <v>10.0</v>
      </c>
      <c r="J1485" s="29"/>
      <c r="K1485" s="43">
        <f t="shared" ref="K1485:K1486" si="201">2269*1.19</f>
        <v>2700.11</v>
      </c>
      <c r="L1485" s="44">
        <v>6000.0</v>
      </c>
      <c r="M1485" s="25"/>
      <c r="N1485" s="26"/>
      <c r="O1485" s="27">
        <f t="shared" si="196"/>
        <v>1.222131691</v>
      </c>
      <c r="P1485" s="28">
        <f t="shared" si="198"/>
        <v>27001.1</v>
      </c>
    </row>
    <row r="1486" hidden="1">
      <c r="A1486" s="16" t="s">
        <v>2220</v>
      </c>
      <c r="B1486" s="49"/>
      <c r="C1486" s="18"/>
      <c r="D1486" s="4"/>
      <c r="E1486" s="19">
        <v>0.0</v>
      </c>
      <c r="F1486" s="19">
        <v>10.0</v>
      </c>
      <c r="G1486" s="16" t="s">
        <v>932</v>
      </c>
      <c r="H1486" s="21"/>
      <c r="I1486" s="22">
        <v>10.0</v>
      </c>
      <c r="J1486" s="29"/>
      <c r="K1486" s="43">
        <f t="shared" si="201"/>
        <v>2700.11</v>
      </c>
      <c r="L1486" s="44">
        <v>6000.0</v>
      </c>
      <c r="M1486" s="25"/>
      <c r="N1486" s="26"/>
      <c r="O1486" s="27">
        <f t="shared" si="196"/>
        <v>1.222131691</v>
      </c>
      <c r="P1486" s="28">
        <f t="shared" si="198"/>
        <v>27001.1</v>
      </c>
    </row>
    <row r="1487" hidden="1">
      <c r="A1487" s="122" t="s">
        <v>2221</v>
      </c>
      <c r="B1487" s="17">
        <v>241060.0</v>
      </c>
      <c r="C1487" s="18"/>
      <c r="D1487" s="4"/>
      <c r="E1487" s="19">
        <v>0.0</v>
      </c>
      <c r="F1487" s="19">
        <v>0.0</v>
      </c>
      <c r="G1487" s="16" t="s">
        <v>659</v>
      </c>
      <c r="H1487" s="21"/>
      <c r="I1487" s="22">
        <v>20.0</v>
      </c>
      <c r="J1487" s="23"/>
      <c r="K1487" s="44">
        <f t="shared" ref="K1487:K1489" si="202">3786*1.19</f>
        <v>4505.34</v>
      </c>
      <c r="L1487" s="44">
        <v>9000.0</v>
      </c>
      <c r="M1487" s="25"/>
      <c r="N1487" s="26"/>
      <c r="O1487" s="27">
        <f t="shared" si="196"/>
        <v>0.9976294797</v>
      </c>
      <c r="P1487" s="28">
        <f t="shared" si="198"/>
        <v>0</v>
      </c>
    </row>
    <row r="1488" hidden="1">
      <c r="A1488" s="122" t="s">
        <v>2222</v>
      </c>
      <c r="B1488" s="17">
        <v>241058.0</v>
      </c>
      <c r="C1488" s="18"/>
      <c r="D1488" s="4"/>
      <c r="E1488" s="19">
        <v>0.0</v>
      </c>
      <c r="F1488" s="19">
        <v>0.0</v>
      </c>
      <c r="G1488" s="16" t="s">
        <v>659</v>
      </c>
      <c r="H1488" s="21"/>
      <c r="I1488" s="22">
        <v>20.0</v>
      </c>
      <c r="J1488" s="23"/>
      <c r="K1488" s="44">
        <f t="shared" si="202"/>
        <v>4505.34</v>
      </c>
      <c r="L1488" s="44">
        <v>9000.0</v>
      </c>
      <c r="M1488" s="25"/>
      <c r="N1488" s="70"/>
      <c r="O1488" s="27">
        <f t="shared" si="196"/>
        <v>0.9976294797</v>
      </c>
      <c r="P1488" s="28">
        <f t="shared" si="198"/>
        <v>0</v>
      </c>
    </row>
    <row r="1489" hidden="1">
      <c r="A1489" s="122" t="s">
        <v>2223</v>
      </c>
      <c r="B1489" s="17">
        <v>241059.0</v>
      </c>
      <c r="C1489" s="18"/>
      <c r="D1489" s="4"/>
      <c r="E1489" s="19">
        <v>0.0</v>
      </c>
      <c r="F1489" s="19">
        <v>0.0</v>
      </c>
      <c r="G1489" s="16" t="s">
        <v>659</v>
      </c>
      <c r="H1489" s="21"/>
      <c r="I1489" s="22">
        <v>20.0</v>
      </c>
      <c r="J1489" s="23"/>
      <c r="K1489" s="44">
        <f t="shared" si="202"/>
        <v>4505.34</v>
      </c>
      <c r="L1489" s="44">
        <v>9000.0</v>
      </c>
      <c r="M1489" s="25"/>
      <c r="N1489" s="70"/>
      <c r="O1489" s="27">
        <f t="shared" si="196"/>
        <v>0.9976294797</v>
      </c>
      <c r="P1489" s="28">
        <f t="shared" si="198"/>
        <v>0</v>
      </c>
    </row>
    <row r="1490" hidden="1">
      <c r="A1490" s="40" t="s">
        <v>2224</v>
      </c>
      <c r="B1490" s="17"/>
      <c r="C1490" s="18"/>
      <c r="D1490" s="4"/>
      <c r="E1490" s="19">
        <v>0.0</v>
      </c>
      <c r="F1490" s="19"/>
      <c r="G1490" s="16" t="s">
        <v>57</v>
      </c>
      <c r="H1490" s="21"/>
      <c r="I1490" s="22"/>
      <c r="J1490" s="29"/>
      <c r="K1490" s="43">
        <v>80000.0</v>
      </c>
      <c r="L1490" s="44">
        <v>150000.0</v>
      </c>
      <c r="M1490" s="25"/>
      <c r="N1490" s="26"/>
      <c r="O1490" s="27">
        <f t="shared" si="196"/>
        <v>0.875</v>
      </c>
      <c r="P1490" s="28">
        <f t="shared" si="198"/>
        <v>0</v>
      </c>
    </row>
    <row r="1491" hidden="1">
      <c r="A1491" s="16" t="s">
        <v>2225</v>
      </c>
      <c r="B1491" s="49"/>
      <c r="C1491" s="18"/>
      <c r="D1491" s="4"/>
      <c r="E1491" s="19"/>
      <c r="F1491" s="19"/>
      <c r="G1491" s="20" t="s">
        <v>98</v>
      </c>
      <c r="H1491" s="21">
        <v>0.0</v>
      </c>
      <c r="I1491" s="22"/>
      <c r="J1491" s="29"/>
      <c r="K1491" s="32">
        <v>6600.0</v>
      </c>
      <c r="L1491" s="24">
        <v>14000.0</v>
      </c>
      <c r="M1491" s="25"/>
      <c r="N1491" s="26">
        <v>11000.0</v>
      </c>
      <c r="O1491" s="27">
        <f t="shared" si="196"/>
        <v>1.121212121</v>
      </c>
      <c r="P1491" s="28">
        <f t="shared" si="198"/>
        <v>0</v>
      </c>
    </row>
    <row r="1492" hidden="1">
      <c r="A1492" s="16" t="s">
        <v>2226</v>
      </c>
      <c r="B1492" s="49"/>
      <c r="C1492" s="18"/>
      <c r="D1492" s="4"/>
      <c r="E1492" s="19"/>
      <c r="F1492" s="19"/>
      <c r="G1492" s="20" t="s">
        <v>98</v>
      </c>
      <c r="H1492" s="21">
        <v>0.0</v>
      </c>
      <c r="I1492" s="22"/>
      <c r="J1492" s="29"/>
      <c r="K1492" s="32">
        <v>6600.0</v>
      </c>
      <c r="L1492" s="24">
        <v>14000.0</v>
      </c>
      <c r="M1492" s="25"/>
      <c r="N1492" s="26"/>
      <c r="O1492" s="27">
        <f t="shared" si="196"/>
        <v>1.121212121</v>
      </c>
      <c r="P1492" s="28">
        <f t="shared" si="198"/>
        <v>0</v>
      </c>
    </row>
    <row r="1493" hidden="1">
      <c r="A1493" s="16" t="s">
        <v>2227</v>
      </c>
      <c r="B1493" s="49"/>
      <c r="C1493" s="18"/>
      <c r="D1493" s="4"/>
      <c r="E1493" s="19"/>
      <c r="F1493" s="19"/>
      <c r="G1493" s="20" t="s">
        <v>98</v>
      </c>
      <c r="H1493" s="21">
        <v>0.0</v>
      </c>
      <c r="I1493" s="22"/>
      <c r="J1493" s="29"/>
      <c r="K1493" s="32">
        <v>6600.0</v>
      </c>
      <c r="L1493" s="24">
        <v>14000.0</v>
      </c>
      <c r="M1493" s="25"/>
      <c r="N1493" s="26"/>
      <c r="O1493" s="27">
        <f t="shared" si="196"/>
        <v>1.121212121</v>
      </c>
      <c r="P1493" s="28">
        <f t="shared" si="198"/>
        <v>0</v>
      </c>
    </row>
    <row r="1494" hidden="1">
      <c r="A1494" s="40" t="s">
        <v>2228</v>
      </c>
      <c r="B1494" s="17"/>
      <c r="C1494" s="18"/>
      <c r="D1494" s="4"/>
      <c r="E1494" s="19">
        <v>0.0</v>
      </c>
      <c r="F1494" s="19"/>
      <c r="G1494" s="16" t="s">
        <v>57</v>
      </c>
      <c r="H1494" s="21"/>
      <c r="I1494" s="22"/>
      <c r="J1494" s="29"/>
      <c r="K1494" s="43">
        <v>250.0</v>
      </c>
      <c r="L1494" s="44">
        <v>1000.0</v>
      </c>
      <c r="M1494" s="25"/>
      <c r="N1494" s="26"/>
      <c r="O1494" s="27">
        <f t="shared" si="196"/>
        <v>3</v>
      </c>
      <c r="P1494" s="28">
        <f t="shared" si="198"/>
        <v>0</v>
      </c>
    </row>
    <row r="1495" hidden="1">
      <c r="A1495" s="52" t="s">
        <v>2229</v>
      </c>
      <c r="B1495" s="17"/>
      <c r="C1495" s="18"/>
      <c r="D1495" s="4"/>
      <c r="E1495" s="19">
        <v>0.0</v>
      </c>
      <c r="F1495" s="19">
        <v>0.0</v>
      </c>
      <c r="G1495" s="16" t="s">
        <v>2230</v>
      </c>
      <c r="H1495" s="21"/>
      <c r="I1495" s="22">
        <v>40.0</v>
      </c>
      <c r="J1495" s="29"/>
      <c r="K1495" s="32">
        <f>60518/200</f>
        <v>302.59</v>
      </c>
      <c r="L1495" s="24">
        <v>500.0</v>
      </c>
      <c r="M1495" s="25"/>
      <c r="N1495" s="26"/>
      <c r="O1495" s="27">
        <f t="shared" si="196"/>
        <v>0.6524009386</v>
      </c>
      <c r="P1495" s="28">
        <f t="shared" si="198"/>
        <v>0</v>
      </c>
    </row>
    <row r="1496" hidden="1">
      <c r="A1496" s="52" t="s">
        <v>2231</v>
      </c>
      <c r="B1496" s="17" t="s">
        <v>2232</v>
      </c>
      <c r="C1496" s="18"/>
      <c r="D1496" s="4"/>
      <c r="E1496" s="19">
        <v>0.0</v>
      </c>
      <c r="F1496" s="19">
        <v>0.0</v>
      </c>
      <c r="G1496" s="16" t="s">
        <v>2230</v>
      </c>
      <c r="H1496" s="21"/>
      <c r="I1496" s="22">
        <v>0.0</v>
      </c>
      <c r="J1496" s="29"/>
      <c r="K1496" s="32">
        <v>60518.0</v>
      </c>
      <c r="L1496" s="24">
        <v>80000.0</v>
      </c>
      <c r="M1496" s="25"/>
      <c r="N1496" s="26"/>
      <c r="O1496" s="27">
        <f t="shared" si="196"/>
        <v>0.3219207509</v>
      </c>
      <c r="P1496" s="28">
        <f t="shared" si="198"/>
        <v>0</v>
      </c>
    </row>
    <row r="1497" hidden="1">
      <c r="A1497" s="52" t="s">
        <v>2233</v>
      </c>
      <c r="B1497" s="17" t="s">
        <v>2234</v>
      </c>
      <c r="C1497" s="18"/>
      <c r="D1497" s="4"/>
      <c r="E1497" s="19">
        <v>0.0</v>
      </c>
      <c r="F1497" s="19">
        <v>0.0</v>
      </c>
      <c r="G1497" s="16" t="s">
        <v>2235</v>
      </c>
      <c r="H1497" s="21"/>
      <c r="I1497" s="22">
        <v>100.0</v>
      </c>
      <c r="J1497" s="29"/>
      <c r="K1497" s="32">
        <v>4760.0</v>
      </c>
      <c r="L1497" s="24">
        <v>8000.0</v>
      </c>
      <c r="M1497" s="25"/>
      <c r="N1497" s="26"/>
      <c r="O1497" s="27">
        <f t="shared" si="196"/>
        <v>0.6806722689</v>
      </c>
      <c r="P1497" s="28">
        <f t="shared" si="198"/>
        <v>0</v>
      </c>
    </row>
    <row r="1498" hidden="1">
      <c r="A1498" s="16" t="s">
        <v>2236</v>
      </c>
      <c r="B1498" s="17"/>
      <c r="C1498" s="261"/>
      <c r="D1498" s="67"/>
      <c r="E1498" s="19"/>
      <c r="F1498" s="19"/>
      <c r="G1498" s="16" t="s">
        <v>1435</v>
      </c>
      <c r="H1498" s="21"/>
      <c r="I1498" s="22">
        <v>50.0</v>
      </c>
      <c r="J1498" s="45"/>
      <c r="K1498" s="172">
        <f>27000/15</f>
        <v>1800</v>
      </c>
      <c r="L1498" s="44">
        <v>3000.0</v>
      </c>
      <c r="M1498" s="25"/>
      <c r="N1498" s="26"/>
      <c r="O1498" s="27">
        <f t="shared" si="196"/>
        <v>0.6666666667</v>
      </c>
      <c r="P1498" s="28">
        <f t="shared" si="198"/>
        <v>0</v>
      </c>
    </row>
    <row r="1499" hidden="1">
      <c r="A1499" s="16" t="s">
        <v>2237</v>
      </c>
      <c r="B1499" s="17"/>
      <c r="C1499" s="38"/>
      <c r="D1499" s="61"/>
      <c r="E1499" s="19"/>
      <c r="F1499" s="19"/>
      <c r="G1499" s="16" t="s">
        <v>2238</v>
      </c>
      <c r="H1499" s="21"/>
      <c r="I1499" s="22"/>
      <c r="J1499" s="23"/>
      <c r="K1499" s="44">
        <v>960.0</v>
      </c>
      <c r="L1499" s="44">
        <v>2000.0</v>
      </c>
      <c r="M1499" s="25"/>
      <c r="N1499" s="26"/>
      <c r="O1499" s="27">
        <f t="shared" si="196"/>
        <v>1.083333333</v>
      </c>
      <c r="P1499" s="28">
        <f t="shared" si="198"/>
        <v>0</v>
      </c>
    </row>
    <row r="1500" hidden="1">
      <c r="A1500" s="16" t="s">
        <v>2239</v>
      </c>
      <c r="B1500" s="17"/>
      <c r="C1500" s="38"/>
      <c r="D1500" s="61"/>
      <c r="E1500" s="19"/>
      <c r="F1500" s="19"/>
      <c r="G1500" s="16" t="s">
        <v>1435</v>
      </c>
      <c r="H1500" s="21"/>
      <c r="I1500" s="22">
        <v>100.0</v>
      </c>
      <c r="J1500" s="29"/>
      <c r="K1500" s="43">
        <f>48807/50</f>
        <v>976.14</v>
      </c>
      <c r="L1500" s="44">
        <v>3000.0</v>
      </c>
      <c r="M1500" s="25"/>
      <c r="N1500" s="26"/>
      <c r="O1500" s="27">
        <f t="shared" si="196"/>
        <v>2.073329645</v>
      </c>
      <c r="P1500" s="28">
        <f t="shared" si="198"/>
        <v>0</v>
      </c>
    </row>
    <row r="1501" hidden="1">
      <c r="A1501" s="16" t="s">
        <v>2240</v>
      </c>
      <c r="B1501" s="17"/>
      <c r="C1501" s="38"/>
      <c r="D1501" s="4"/>
      <c r="E1501" s="19">
        <v>0.0</v>
      </c>
      <c r="F1501" s="19">
        <v>0.0</v>
      </c>
      <c r="G1501" s="16"/>
      <c r="H1501" s="21"/>
      <c r="I1501" s="22">
        <f>16*12</f>
        <v>192</v>
      </c>
      <c r="J1501" s="45"/>
      <c r="K1501" s="172"/>
      <c r="L1501" s="44"/>
      <c r="M1501" s="25"/>
      <c r="N1501" s="26"/>
      <c r="O1501" s="27" t="str">
        <f t="shared" si="196"/>
        <v>#DIV/0!</v>
      </c>
      <c r="P1501" s="28"/>
    </row>
    <row r="1502" hidden="1">
      <c r="A1502" s="16" t="s">
        <v>2241</v>
      </c>
      <c r="B1502" s="17"/>
      <c r="C1502" s="38"/>
      <c r="D1502" s="61"/>
      <c r="E1502" s="19"/>
      <c r="F1502" s="19"/>
      <c r="G1502" s="16" t="s">
        <v>1435</v>
      </c>
      <c r="H1502" s="21"/>
      <c r="I1502" s="22">
        <v>100.0</v>
      </c>
      <c r="J1502" s="45"/>
      <c r="K1502" s="172">
        <f>15000/8</f>
        <v>1875</v>
      </c>
      <c r="L1502" s="44">
        <v>3000.0</v>
      </c>
      <c r="M1502" s="25"/>
      <c r="N1502" s="26"/>
      <c r="O1502" s="27">
        <f t="shared" si="196"/>
        <v>0.6</v>
      </c>
      <c r="P1502" s="28">
        <f t="shared" ref="P1502:P1504" si="203">K1502*F1502</f>
        <v>0</v>
      </c>
    </row>
    <row r="1503" hidden="1">
      <c r="A1503" s="16" t="s">
        <v>2242</v>
      </c>
      <c r="B1503" s="17" t="s">
        <v>2243</v>
      </c>
      <c r="C1503" s="38"/>
      <c r="D1503" s="61"/>
      <c r="E1503" s="19"/>
      <c r="F1503" s="19"/>
      <c r="G1503" s="16" t="s">
        <v>1435</v>
      </c>
      <c r="H1503" s="21"/>
      <c r="I1503" s="22">
        <v>100.0</v>
      </c>
      <c r="J1503" s="29"/>
      <c r="K1503" s="48">
        <v>1594.0</v>
      </c>
      <c r="L1503" s="55">
        <v>3000.0</v>
      </c>
      <c r="M1503" s="25"/>
      <c r="N1503" s="26"/>
      <c r="O1503" s="27">
        <f t="shared" si="196"/>
        <v>0.8820577164</v>
      </c>
      <c r="P1503" s="28">
        <f t="shared" si="203"/>
        <v>0</v>
      </c>
    </row>
    <row r="1504" hidden="1">
      <c r="A1504" s="16" t="s">
        <v>2244</v>
      </c>
      <c r="B1504" s="17"/>
      <c r="C1504" s="38"/>
      <c r="D1504" s="61"/>
      <c r="E1504" s="19"/>
      <c r="F1504" s="19"/>
      <c r="G1504" s="16" t="s">
        <v>1435</v>
      </c>
      <c r="H1504" s="21"/>
      <c r="I1504" s="22">
        <v>300.0</v>
      </c>
      <c r="J1504" s="45"/>
      <c r="K1504" s="172">
        <f>58080/50</f>
        <v>1161.6</v>
      </c>
      <c r="L1504" s="44">
        <v>3000.0</v>
      </c>
      <c r="M1504" s="25"/>
      <c r="N1504" s="26"/>
      <c r="O1504" s="27">
        <f t="shared" si="196"/>
        <v>1.582644628</v>
      </c>
      <c r="P1504" s="28">
        <f t="shared" si="203"/>
        <v>0</v>
      </c>
    </row>
    <row r="1505" hidden="1">
      <c r="A1505" s="16" t="s">
        <v>2245</v>
      </c>
      <c r="B1505" s="49" t="s">
        <v>2246</v>
      </c>
      <c r="C1505" s="18"/>
      <c r="D1505" s="4"/>
      <c r="E1505" s="19">
        <v>0.0</v>
      </c>
      <c r="F1505" s="19">
        <v>0.0</v>
      </c>
      <c r="G1505" s="16" t="s">
        <v>2247</v>
      </c>
      <c r="H1505" s="21"/>
      <c r="I1505" s="22"/>
      <c r="J1505" s="23"/>
      <c r="K1505" s="24">
        <v>14900.0</v>
      </c>
      <c r="L1505" s="24">
        <v>20000.0</v>
      </c>
      <c r="M1505" s="25" t="s">
        <v>76</v>
      </c>
      <c r="N1505" s="31"/>
      <c r="O1505" s="27">
        <f t="shared" si="196"/>
        <v>0.3422818792</v>
      </c>
      <c r="P1505" s="28" t="str">
        <f t="shared" ref="P1505:P1506" si="204">K1505*#REF!</f>
        <v>#REF!</v>
      </c>
    </row>
    <row r="1506" hidden="1">
      <c r="A1506" s="16" t="s">
        <v>2248</v>
      </c>
      <c r="B1506" s="49" t="s">
        <v>2246</v>
      </c>
      <c r="C1506" s="18"/>
      <c r="D1506" s="4"/>
      <c r="E1506" s="19">
        <v>0.0</v>
      </c>
      <c r="F1506" s="19">
        <v>0.0</v>
      </c>
      <c r="G1506" s="16" t="s">
        <v>2247</v>
      </c>
      <c r="H1506" s="21"/>
      <c r="I1506" s="22"/>
      <c r="J1506" s="23"/>
      <c r="K1506" s="24">
        <v>14530.0</v>
      </c>
      <c r="L1506" s="24">
        <v>20000.0</v>
      </c>
      <c r="M1506" s="25" t="s">
        <v>76</v>
      </c>
      <c r="N1506" s="31"/>
      <c r="O1506" s="27">
        <f t="shared" si="196"/>
        <v>0.3764624914</v>
      </c>
      <c r="P1506" s="28" t="str">
        <f t="shared" si="204"/>
        <v>#REF!</v>
      </c>
    </row>
    <row r="1507" hidden="1">
      <c r="A1507" s="16" t="s">
        <v>2249</v>
      </c>
      <c r="B1507" s="36"/>
      <c r="C1507" s="18"/>
      <c r="D1507" s="4"/>
      <c r="E1507" s="19">
        <v>10.0</v>
      </c>
      <c r="F1507" s="19">
        <v>0.0</v>
      </c>
      <c r="G1507" s="16" t="s">
        <v>93</v>
      </c>
      <c r="H1507" s="21"/>
      <c r="I1507" s="22"/>
      <c r="J1507" s="29"/>
      <c r="K1507" s="43">
        <f>50000/24</f>
        <v>2083.333333</v>
      </c>
      <c r="L1507" s="44">
        <v>4000.0</v>
      </c>
      <c r="M1507" s="25"/>
      <c r="N1507" s="26"/>
      <c r="O1507" s="27">
        <f t="shared" si="196"/>
        <v>0.92</v>
      </c>
      <c r="P1507" s="28">
        <f>K1507*F1507</f>
        <v>0</v>
      </c>
    </row>
    <row r="1508" hidden="1">
      <c r="A1508" s="187" t="s">
        <v>2250</v>
      </c>
      <c r="B1508" s="17"/>
      <c r="C1508" s="18"/>
      <c r="D1508" s="4"/>
      <c r="E1508" s="19">
        <v>0.0</v>
      </c>
      <c r="F1508" s="19">
        <v>0.0</v>
      </c>
      <c r="G1508" s="16" t="s">
        <v>154</v>
      </c>
      <c r="H1508" s="21"/>
      <c r="I1508" s="22"/>
      <c r="J1508" s="29"/>
      <c r="K1508" s="48">
        <v>3000.0</v>
      </c>
      <c r="L1508" s="55">
        <v>4000.0</v>
      </c>
      <c r="M1508" s="25"/>
      <c r="N1508" s="26">
        <v>3000.0</v>
      </c>
      <c r="O1508" s="27"/>
      <c r="P1508" s="28"/>
    </row>
    <row r="1509" hidden="1">
      <c r="A1509" s="187" t="s">
        <v>2251</v>
      </c>
      <c r="B1509" s="36"/>
      <c r="C1509" s="18"/>
      <c r="D1509" s="4"/>
      <c r="E1509" s="19"/>
      <c r="F1509" s="19"/>
      <c r="G1509" s="16" t="s">
        <v>154</v>
      </c>
      <c r="H1509" s="21"/>
      <c r="I1509" s="22"/>
      <c r="J1509" s="23"/>
      <c r="K1509" s="55">
        <v>47600.0</v>
      </c>
      <c r="L1509" s="55">
        <v>59500.0</v>
      </c>
      <c r="M1509" s="25"/>
      <c r="N1509" s="163">
        <v>54000.0</v>
      </c>
      <c r="O1509" s="27"/>
      <c r="P1509" s="28"/>
    </row>
    <row r="1510" hidden="1">
      <c r="A1510" s="16" t="s">
        <v>2252</v>
      </c>
      <c r="B1510" s="17"/>
      <c r="C1510" s="18"/>
      <c r="D1510" s="4"/>
      <c r="E1510" s="19">
        <v>0.0</v>
      </c>
      <c r="F1510" s="19">
        <v>0.0</v>
      </c>
      <c r="G1510" s="16" t="s">
        <v>792</v>
      </c>
      <c r="H1510" s="21"/>
      <c r="I1510" s="22">
        <v>0.0</v>
      </c>
      <c r="J1510" s="29"/>
      <c r="K1510" s="48">
        <v>90000.0</v>
      </c>
      <c r="L1510" s="55">
        <v>170000.0</v>
      </c>
      <c r="M1510" s="25"/>
      <c r="N1510" s="26"/>
      <c r="O1510" s="27">
        <f t="shared" ref="O1510:O1511" si="205">(L1510/K1510)-1</f>
        <v>0.8888888889</v>
      </c>
      <c r="P1510" s="28">
        <f t="shared" ref="P1510:P1511" si="206">K1510*F1510</f>
        <v>0</v>
      </c>
    </row>
    <row r="1511" hidden="1">
      <c r="A1511" s="16" t="s">
        <v>2253</v>
      </c>
      <c r="B1511" s="17"/>
      <c r="C1511" s="18"/>
      <c r="D1511" s="4"/>
      <c r="E1511" s="19">
        <v>0.0</v>
      </c>
      <c r="F1511" s="19">
        <v>0.0</v>
      </c>
      <c r="G1511" s="16" t="s">
        <v>792</v>
      </c>
      <c r="H1511" s="21"/>
      <c r="I1511" s="22">
        <v>0.0</v>
      </c>
      <c r="J1511" s="29"/>
      <c r="K1511" s="48">
        <f>90000/5</f>
        <v>18000</v>
      </c>
      <c r="L1511" s="55">
        <v>50000.0</v>
      </c>
      <c r="M1511" s="25"/>
      <c r="N1511" s="26"/>
      <c r="O1511" s="27">
        <f t="shared" si="205"/>
        <v>1.777777778</v>
      </c>
      <c r="P1511" s="28">
        <f t="shared" si="206"/>
        <v>0</v>
      </c>
    </row>
    <row r="1512" hidden="1">
      <c r="A1512" s="42" t="s">
        <v>2254</v>
      </c>
      <c r="B1512" s="71"/>
      <c r="C1512" s="18"/>
      <c r="D1512" s="4"/>
      <c r="E1512" s="19"/>
      <c r="F1512" s="19"/>
      <c r="G1512" s="20" t="s">
        <v>2255</v>
      </c>
      <c r="H1512" s="21"/>
      <c r="I1512" s="22"/>
      <c r="J1512" s="29"/>
      <c r="K1512" s="48">
        <v>36000.0</v>
      </c>
      <c r="L1512" s="55">
        <v>45000.0</v>
      </c>
      <c r="M1512" s="25"/>
      <c r="N1512" s="102"/>
      <c r="O1512" s="27"/>
      <c r="P1512" s="28"/>
    </row>
    <row r="1513" hidden="1">
      <c r="A1513" s="16" t="s">
        <v>2256</v>
      </c>
      <c r="B1513" s="17"/>
      <c r="C1513" s="18"/>
      <c r="D1513" s="4"/>
      <c r="E1513" s="19">
        <v>0.0</v>
      </c>
      <c r="F1513" s="19">
        <v>0.0</v>
      </c>
      <c r="G1513" s="16" t="s">
        <v>16</v>
      </c>
      <c r="H1513" s="21"/>
      <c r="I1513" s="22">
        <v>8.0</v>
      </c>
      <c r="J1513" s="29"/>
      <c r="K1513" s="43">
        <v>140000.0</v>
      </c>
      <c r="L1513" s="44">
        <v>250000.0</v>
      </c>
      <c r="M1513" s="25"/>
      <c r="N1513" s="26"/>
      <c r="O1513" s="262">
        <f>(L1513/K1513)-1</f>
        <v>0.7857142857</v>
      </c>
      <c r="P1513" s="28">
        <f>K1513*F1513</f>
        <v>0</v>
      </c>
    </row>
    <row r="1514" hidden="1">
      <c r="A1514" s="16" t="s">
        <v>2257</v>
      </c>
      <c r="B1514" s="17"/>
      <c r="C1514" s="18"/>
      <c r="D1514" s="4"/>
      <c r="E1514" s="19">
        <v>0.0</v>
      </c>
      <c r="F1514" s="19">
        <v>0.0</v>
      </c>
      <c r="G1514" s="16" t="s">
        <v>400</v>
      </c>
      <c r="H1514" s="21"/>
      <c r="I1514" s="22"/>
      <c r="J1514" s="29"/>
      <c r="K1514" s="30">
        <v>170210.0</v>
      </c>
      <c r="L1514" s="186">
        <v>290000.0</v>
      </c>
      <c r="M1514" s="25"/>
      <c r="N1514" s="26"/>
      <c r="O1514" s="27"/>
      <c r="P1514" s="28"/>
    </row>
    <row r="1515" hidden="1">
      <c r="A1515" s="16" t="s">
        <v>2258</v>
      </c>
      <c r="B1515" s="17"/>
      <c r="C1515" s="18"/>
      <c r="D1515" s="19"/>
      <c r="E1515" s="19">
        <v>0.0</v>
      </c>
      <c r="F1515" s="19"/>
      <c r="G1515" s="16" t="s">
        <v>2259</v>
      </c>
      <c r="H1515" s="21"/>
      <c r="I1515" s="263"/>
      <c r="J1515" s="29"/>
      <c r="K1515" s="43">
        <f>157857*1.19</f>
        <v>187849.83</v>
      </c>
      <c r="L1515" s="43">
        <v>250000.0</v>
      </c>
      <c r="M1515" s="25"/>
      <c r="N1515" s="26"/>
      <c r="O1515" s="27">
        <f t="shared" ref="O1515:O1546" si="207">(L1515/K1515)-1</f>
        <v>0.3308502861</v>
      </c>
      <c r="P1515" s="28">
        <f t="shared" ref="P1515:P1519" si="208">K1515*F1515</f>
        <v>0</v>
      </c>
    </row>
    <row r="1516" hidden="1">
      <c r="A1516" s="16" t="s">
        <v>2260</v>
      </c>
      <c r="B1516" s="17"/>
      <c r="C1516" s="18"/>
      <c r="D1516" s="4"/>
      <c r="E1516" s="19">
        <v>0.0</v>
      </c>
      <c r="F1516" s="19">
        <v>0.0</v>
      </c>
      <c r="G1516" s="16" t="s">
        <v>16</v>
      </c>
      <c r="H1516" s="21"/>
      <c r="I1516" s="22">
        <v>0.0</v>
      </c>
      <c r="J1516" s="29"/>
      <c r="K1516" s="43">
        <v>122670.0</v>
      </c>
      <c r="L1516" s="43">
        <v>220000.0</v>
      </c>
      <c r="M1516" s="25"/>
      <c r="N1516" s="26"/>
      <c r="O1516" s="264">
        <f t="shared" si="207"/>
        <v>0.7934295264</v>
      </c>
      <c r="P1516" s="28">
        <f t="shared" si="208"/>
        <v>0</v>
      </c>
    </row>
    <row r="1517" hidden="1">
      <c r="A1517" s="40" t="s">
        <v>2261</v>
      </c>
      <c r="B1517" s="17"/>
      <c r="C1517" s="18"/>
      <c r="D1517" s="4"/>
      <c r="E1517" s="19">
        <v>0.0</v>
      </c>
      <c r="F1517" s="19"/>
      <c r="G1517" s="16" t="s">
        <v>57</v>
      </c>
      <c r="H1517" s="21"/>
      <c r="I1517" s="22"/>
      <c r="J1517" s="29"/>
      <c r="K1517" s="43">
        <v>800.0</v>
      </c>
      <c r="L1517" s="44">
        <v>1200.0</v>
      </c>
      <c r="M1517" s="25"/>
      <c r="N1517" s="26"/>
      <c r="O1517" s="27">
        <f t="shared" si="207"/>
        <v>0.5</v>
      </c>
      <c r="P1517" s="28">
        <f t="shared" si="208"/>
        <v>0</v>
      </c>
    </row>
    <row r="1518" hidden="1">
      <c r="A1518" s="59" t="s">
        <v>2262</v>
      </c>
      <c r="B1518" s="142"/>
      <c r="C1518" s="18"/>
      <c r="D1518" s="4" t="s">
        <v>676</v>
      </c>
      <c r="E1518" s="19">
        <v>0.0</v>
      </c>
      <c r="F1518" s="19">
        <v>1.0</v>
      </c>
      <c r="G1518" s="16" t="s">
        <v>670</v>
      </c>
      <c r="H1518" s="21"/>
      <c r="I1518" s="22">
        <v>30.0</v>
      </c>
      <c r="J1518" s="29"/>
      <c r="K1518" s="43">
        <f>43000*1.19</f>
        <v>51170</v>
      </c>
      <c r="L1518" s="44">
        <v>90000.0</v>
      </c>
      <c r="M1518" s="25"/>
      <c r="N1518" s="26"/>
      <c r="O1518" s="27">
        <f t="shared" si="207"/>
        <v>0.7588430721</v>
      </c>
      <c r="P1518" s="28">
        <f t="shared" si="208"/>
        <v>51170</v>
      </c>
    </row>
    <row r="1519" hidden="1">
      <c r="A1519" s="59" t="s">
        <v>2262</v>
      </c>
      <c r="B1519" s="142" t="s">
        <v>2263</v>
      </c>
      <c r="C1519" s="18"/>
      <c r="D1519" s="4" t="s">
        <v>1148</v>
      </c>
      <c r="E1519" s="19">
        <v>0.0</v>
      </c>
      <c r="F1519" s="19">
        <v>1.0</v>
      </c>
      <c r="G1519" s="16" t="s">
        <v>2264</v>
      </c>
      <c r="H1519" s="21"/>
      <c r="I1519" s="22">
        <v>0.0</v>
      </c>
      <c r="J1519" s="29"/>
      <c r="K1519" s="48">
        <v>41650.0</v>
      </c>
      <c r="L1519" s="55">
        <v>80000.0</v>
      </c>
      <c r="M1519" s="25"/>
      <c r="N1519" s="26"/>
      <c r="O1519" s="27">
        <f t="shared" si="207"/>
        <v>0.9207683073</v>
      </c>
      <c r="P1519" s="28">
        <f t="shared" si="208"/>
        <v>41650</v>
      </c>
    </row>
    <row r="1520" hidden="1">
      <c r="A1520" s="59" t="s">
        <v>2265</v>
      </c>
      <c r="B1520" s="142"/>
      <c r="C1520" s="18"/>
      <c r="D1520" s="4"/>
      <c r="E1520" s="19">
        <v>0.0</v>
      </c>
      <c r="F1520" s="19">
        <v>0.0</v>
      </c>
      <c r="G1520" s="16" t="s">
        <v>671</v>
      </c>
      <c r="H1520" s="21"/>
      <c r="I1520" s="22">
        <v>0.0</v>
      </c>
      <c r="J1520" s="29"/>
      <c r="K1520" s="48">
        <f>41650/72</f>
        <v>578.4722222</v>
      </c>
      <c r="L1520" s="55">
        <v>2000.0</v>
      </c>
      <c r="M1520" s="25"/>
      <c r="N1520" s="26"/>
      <c r="O1520" s="27">
        <f t="shared" si="207"/>
        <v>2.457382953</v>
      </c>
      <c r="P1520" s="28">
        <f>K1520*F1539</f>
        <v>0</v>
      </c>
    </row>
    <row r="1521" hidden="1">
      <c r="A1521" s="16" t="s">
        <v>2266</v>
      </c>
      <c r="B1521" s="17"/>
      <c r="C1521" s="18"/>
      <c r="D1521" s="4"/>
      <c r="E1521" s="19">
        <v>0.0</v>
      </c>
      <c r="F1521" s="19"/>
      <c r="G1521" s="16" t="s">
        <v>767</v>
      </c>
      <c r="H1521" s="21"/>
      <c r="I1521" s="22"/>
      <c r="J1521" s="29"/>
      <c r="K1521" s="43">
        <v>4690000.0</v>
      </c>
      <c r="L1521" s="125">
        <f>K1521*1.2</f>
        <v>5628000</v>
      </c>
      <c r="M1521" s="25"/>
      <c r="N1521" s="26"/>
      <c r="O1521" s="27">
        <f t="shared" si="207"/>
        <v>0.2</v>
      </c>
      <c r="P1521" s="28">
        <f t="shared" ref="P1521:P1538" si="209">K1521*F1521</f>
        <v>0</v>
      </c>
    </row>
    <row r="1522" hidden="1">
      <c r="A1522" s="16" t="s">
        <v>2267</v>
      </c>
      <c r="B1522" s="17"/>
      <c r="C1522" s="18"/>
      <c r="D1522" s="4"/>
      <c r="E1522" s="19">
        <v>0.0</v>
      </c>
      <c r="F1522" s="19"/>
      <c r="G1522" s="16" t="s">
        <v>767</v>
      </c>
      <c r="H1522" s="21"/>
      <c r="I1522" s="22"/>
      <c r="J1522" s="29"/>
      <c r="K1522" s="43">
        <v>3960000.0</v>
      </c>
      <c r="L1522" s="44">
        <v>4800000.0</v>
      </c>
      <c r="M1522" s="25"/>
      <c r="N1522" s="26"/>
      <c r="O1522" s="27">
        <f t="shared" si="207"/>
        <v>0.2121212121</v>
      </c>
      <c r="P1522" s="28">
        <f t="shared" si="209"/>
        <v>0</v>
      </c>
    </row>
    <row r="1523" hidden="1">
      <c r="A1523" s="16" t="s">
        <v>2268</v>
      </c>
      <c r="B1523" s="36"/>
      <c r="C1523" s="18"/>
      <c r="D1523" s="4"/>
      <c r="E1523" s="19">
        <v>1.0</v>
      </c>
      <c r="F1523" s="19">
        <v>0.0</v>
      </c>
      <c r="G1523" s="16" t="s">
        <v>2269</v>
      </c>
      <c r="H1523" s="21"/>
      <c r="I1523" s="22"/>
      <c r="J1523" s="58">
        <v>45962.0</v>
      </c>
      <c r="K1523" s="32">
        <v>34270.0</v>
      </c>
      <c r="L1523" s="24">
        <v>42000.0</v>
      </c>
      <c r="M1523" s="25"/>
      <c r="N1523" s="26"/>
      <c r="O1523" s="27">
        <f t="shared" si="207"/>
        <v>0.2255617158</v>
      </c>
      <c r="P1523" s="28">
        <f t="shared" si="209"/>
        <v>0</v>
      </c>
    </row>
    <row r="1524" hidden="1">
      <c r="A1524" s="16" t="s">
        <v>2270</v>
      </c>
      <c r="B1524" s="36"/>
      <c r="C1524" s="18"/>
      <c r="D1524" s="4"/>
      <c r="E1524" s="19">
        <v>0.0</v>
      </c>
      <c r="F1524" s="19"/>
      <c r="G1524" s="16" t="s">
        <v>575</v>
      </c>
      <c r="H1524" s="21"/>
      <c r="I1524" s="22"/>
      <c r="J1524" s="29"/>
      <c r="K1524" s="43">
        <v>3400.0</v>
      </c>
      <c r="L1524" s="44">
        <v>6000.0</v>
      </c>
      <c r="M1524" s="25"/>
      <c r="N1524" s="26"/>
      <c r="O1524" s="27">
        <f t="shared" si="207"/>
        <v>0.7647058824</v>
      </c>
      <c r="P1524" s="28">
        <f t="shared" si="209"/>
        <v>0</v>
      </c>
    </row>
    <row r="1525" hidden="1">
      <c r="A1525" s="16" t="s">
        <v>2271</v>
      </c>
      <c r="B1525" s="36"/>
      <c r="C1525" s="18" t="s">
        <v>328</v>
      </c>
      <c r="D1525" s="4"/>
      <c r="E1525" s="19">
        <v>0.0</v>
      </c>
      <c r="F1525" s="19">
        <v>0.0</v>
      </c>
      <c r="G1525" s="16" t="s">
        <v>590</v>
      </c>
      <c r="H1525" s="21">
        <v>0.0</v>
      </c>
      <c r="I1525" s="22">
        <v>5.0</v>
      </c>
      <c r="J1525" s="29"/>
      <c r="K1525" s="24">
        <v>3995.0</v>
      </c>
      <c r="L1525" s="24">
        <v>7000.0</v>
      </c>
      <c r="M1525" s="25"/>
      <c r="N1525" s="31"/>
      <c r="O1525" s="27">
        <f t="shared" si="207"/>
        <v>0.7521902378</v>
      </c>
      <c r="P1525" s="28">
        <f t="shared" si="209"/>
        <v>0</v>
      </c>
    </row>
    <row r="1526" hidden="1">
      <c r="A1526" s="16" t="s">
        <v>2272</v>
      </c>
      <c r="B1526" s="36"/>
      <c r="C1526" s="18" t="s">
        <v>2273</v>
      </c>
      <c r="D1526" s="61"/>
      <c r="E1526" s="19"/>
      <c r="F1526" s="19"/>
      <c r="G1526" s="16" t="s">
        <v>1626</v>
      </c>
      <c r="H1526" s="160" t="s">
        <v>2274</v>
      </c>
      <c r="I1526" s="160">
        <v>22.0</v>
      </c>
      <c r="J1526" s="162">
        <v>45809.0</v>
      </c>
      <c r="K1526" s="60">
        <v>87120.0</v>
      </c>
      <c r="L1526" s="55">
        <v>120000.0</v>
      </c>
      <c r="M1526" s="25"/>
      <c r="N1526" s="265">
        <v>70000.0</v>
      </c>
      <c r="O1526" s="27">
        <f t="shared" si="207"/>
        <v>0.3774104683</v>
      </c>
      <c r="P1526" s="28">
        <f t="shared" si="209"/>
        <v>0</v>
      </c>
    </row>
    <row r="1527" hidden="1">
      <c r="A1527" s="16" t="s">
        <v>2275</v>
      </c>
      <c r="B1527" s="36"/>
      <c r="C1527" s="18" t="s">
        <v>2276</v>
      </c>
      <c r="D1527" s="67"/>
      <c r="E1527" s="19"/>
      <c r="F1527" s="19"/>
      <c r="G1527" s="16" t="s">
        <v>1626</v>
      </c>
      <c r="H1527" s="21"/>
      <c r="I1527" s="22">
        <v>5.0</v>
      </c>
      <c r="J1527" s="45"/>
      <c r="K1527" s="60">
        <v>91000.0</v>
      </c>
      <c r="L1527" s="55">
        <v>120000.0</v>
      </c>
      <c r="M1527" s="25"/>
      <c r="N1527" s="26">
        <v>100000.0</v>
      </c>
      <c r="O1527" s="27">
        <f t="shared" si="207"/>
        <v>0.3186813187</v>
      </c>
      <c r="P1527" s="28">
        <f t="shared" si="209"/>
        <v>0</v>
      </c>
    </row>
    <row r="1528" hidden="1">
      <c r="A1528" s="224" t="s">
        <v>2277</v>
      </c>
      <c r="B1528" s="36"/>
      <c r="C1528" s="18" t="s">
        <v>2276</v>
      </c>
      <c r="D1528" s="4"/>
      <c r="E1528" s="19">
        <v>0.0</v>
      </c>
      <c r="F1528" s="19">
        <v>0.0</v>
      </c>
      <c r="G1528" s="16" t="s">
        <v>93</v>
      </c>
      <c r="H1528" s="21"/>
      <c r="I1528" s="22">
        <v>0.0</v>
      </c>
      <c r="J1528" s="29"/>
      <c r="K1528" s="48">
        <v>96500.0</v>
      </c>
      <c r="L1528" s="55">
        <v>120500.0</v>
      </c>
      <c r="M1528" s="25"/>
      <c r="N1528" s="26"/>
      <c r="O1528" s="27">
        <f t="shared" si="207"/>
        <v>0.2487046632</v>
      </c>
      <c r="P1528" s="28">
        <f t="shared" si="209"/>
        <v>0</v>
      </c>
    </row>
    <row r="1529" hidden="1">
      <c r="A1529" s="224" t="s">
        <v>2278</v>
      </c>
      <c r="B1529" s="36"/>
      <c r="C1529" s="18" t="s">
        <v>2279</v>
      </c>
      <c r="D1529" s="4"/>
      <c r="E1529" s="19">
        <v>0.0</v>
      </c>
      <c r="F1529" s="19">
        <v>0.0</v>
      </c>
      <c r="G1529" s="16" t="s">
        <v>1210</v>
      </c>
      <c r="H1529" s="21"/>
      <c r="I1529" s="22">
        <v>0.0</v>
      </c>
      <c r="J1529" s="29"/>
      <c r="K1529" s="48">
        <f>164800/2</f>
        <v>82400</v>
      </c>
      <c r="L1529" s="55">
        <v>120000.0</v>
      </c>
      <c r="M1529" s="25"/>
      <c r="N1529" s="26">
        <v>100000.0</v>
      </c>
      <c r="O1529" s="27">
        <f t="shared" si="207"/>
        <v>0.4563106796</v>
      </c>
      <c r="P1529" s="28">
        <f t="shared" si="209"/>
        <v>0</v>
      </c>
    </row>
    <row r="1530" hidden="1">
      <c r="A1530" s="224" t="s">
        <v>2280</v>
      </c>
      <c r="B1530" s="36"/>
      <c r="C1530" s="18" t="s">
        <v>2279</v>
      </c>
      <c r="D1530" s="4"/>
      <c r="E1530" s="19">
        <v>0.0</v>
      </c>
      <c r="F1530" s="19">
        <v>0.0</v>
      </c>
      <c r="G1530" s="16" t="s">
        <v>93</v>
      </c>
      <c r="H1530" s="21"/>
      <c r="I1530" s="22">
        <v>0.0</v>
      </c>
      <c r="J1530" s="29"/>
      <c r="K1530" s="48">
        <v>92600.0</v>
      </c>
      <c r="L1530" s="55">
        <v>115700.0</v>
      </c>
      <c r="M1530" s="25"/>
      <c r="N1530" s="26"/>
      <c r="O1530" s="27">
        <f t="shared" si="207"/>
        <v>0.2494600432</v>
      </c>
      <c r="P1530" s="28">
        <f t="shared" si="209"/>
        <v>0</v>
      </c>
    </row>
    <row r="1531" hidden="1">
      <c r="A1531" s="16" t="s">
        <v>2281</v>
      </c>
      <c r="B1531" s="51" t="s">
        <v>2282</v>
      </c>
      <c r="C1531" s="18" t="s">
        <v>2279</v>
      </c>
      <c r="D1531" s="67"/>
      <c r="E1531" s="19"/>
      <c r="F1531" s="19"/>
      <c r="G1531" s="16" t="s">
        <v>1626</v>
      </c>
      <c r="H1531" s="21"/>
      <c r="I1531" s="22">
        <v>41.0</v>
      </c>
      <c r="J1531" s="45"/>
      <c r="K1531" s="60">
        <v>87120.0</v>
      </c>
      <c r="L1531" s="55">
        <v>120000.0</v>
      </c>
      <c r="M1531" s="25"/>
      <c r="N1531" s="26"/>
      <c r="O1531" s="27">
        <f t="shared" si="207"/>
        <v>0.3774104683</v>
      </c>
      <c r="P1531" s="28">
        <f t="shared" si="209"/>
        <v>0</v>
      </c>
    </row>
    <row r="1532" hidden="1">
      <c r="A1532" s="16" t="s">
        <v>2283</v>
      </c>
      <c r="B1532" s="36" t="s">
        <v>2284</v>
      </c>
      <c r="C1532" s="18" t="s">
        <v>2279</v>
      </c>
      <c r="D1532" s="4"/>
      <c r="E1532" s="19">
        <v>0.0</v>
      </c>
      <c r="F1532" s="19">
        <v>12.0</v>
      </c>
      <c r="G1532" s="20" t="s">
        <v>48</v>
      </c>
      <c r="H1532" s="21"/>
      <c r="I1532" s="22">
        <v>0.0</v>
      </c>
      <c r="J1532" s="29"/>
      <c r="K1532" s="48">
        <v>114500.0</v>
      </c>
      <c r="L1532" s="55">
        <v>160000.0</v>
      </c>
      <c r="M1532" s="25"/>
      <c r="N1532" s="26"/>
      <c r="O1532" s="27">
        <f t="shared" si="207"/>
        <v>0.3973799127</v>
      </c>
      <c r="P1532" s="28">
        <f t="shared" si="209"/>
        <v>1374000</v>
      </c>
    </row>
    <row r="1533" hidden="1">
      <c r="A1533" s="16" t="s">
        <v>2285</v>
      </c>
      <c r="B1533" s="17" t="s">
        <v>2286</v>
      </c>
      <c r="C1533" s="18"/>
      <c r="D1533" s="4"/>
      <c r="E1533" s="19">
        <v>0.0</v>
      </c>
      <c r="F1533" s="19">
        <v>0.0</v>
      </c>
      <c r="G1533" s="266" t="s">
        <v>513</v>
      </c>
      <c r="H1533" s="21"/>
      <c r="I1533" s="22">
        <v>20.0</v>
      </c>
      <c r="J1533" s="29"/>
      <c r="K1533" s="32">
        <f>6664/12</f>
        <v>555.3333333</v>
      </c>
      <c r="L1533" s="24">
        <v>1500.0</v>
      </c>
      <c r="M1533" s="25"/>
      <c r="N1533" s="26"/>
      <c r="O1533" s="27">
        <f t="shared" si="207"/>
        <v>1.701080432</v>
      </c>
      <c r="P1533" s="28">
        <f t="shared" si="209"/>
        <v>0</v>
      </c>
    </row>
    <row r="1534" hidden="1">
      <c r="A1534" s="16" t="s">
        <v>2287</v>
      </c>
      <c r="B1534" s="222" t="s">
        <v>2288</v>
      </c>
      <c r="C1534" s="18"/>
      <c r="D1534" s="4"/>
      <c r="E1534" s="19">
        <v>0.0</v>
      </c>
      <c r="F1534" s="19"/>
      <c r="G1534" s="134" t="s">
        <v>2289</v>
      </c>
      <c r="H1534" s="21"/>
      <c r="I1534" s="22"/>
      <c r="J1534" s="47">
        <v>45870.0</v>
      </c>
      <c r="K1534" s="43">
        <v>415000.0</v>
      </c>
      <c r="L1534" s="44">
        <v>490000.0</v>
      </c>
      <c r="M1534" s="25" t="s">
        <v>76</v>
      </c>
      <c r="N1534" s="69"/>
      <c r="O1534" s="27">
        <f t="shared" si="207"/>
        <v>0.1807228916</v>
      </c>
      <c r="P1534" s="28">
        <f t="shared" si="209"/>
        <v>0</v>
      </c>
    </row>
    <row r="1535" hidden="1">
      <c r="A1535" s="16" t="s">
        <v>2290</v>
      </c>
      <c r="B1535" s="51"/>
      <c r="C1535" s="18"/>
      <c r="D1535" s="4"/>
      <c r="E1535" s="19">
        <v>0.0</v>
      </c>
      <c r="F1535" s="19">
        <v>0.0</v>
      </c>
      <c r="G1535" s="16" t="s">
        <v>2291</v>
      </c>
      <c r="H1535" s="21"/>
      <c r="I1535" s="22">
        <v>1.0</v>
      </c>
      <c r="J1535" s="29"/>
      <c r="K1535" s="43">
        <v>331000.0</v>
      </c>
      <c r="L1535" s="44">
        <v>430000.0</v>
      </c>
      <c r="M1535" s="25" t="s">
        <v>76</v>
      </c>
      <c r="N1535" s="26"/>
      <c r="O1535" s="27">
        <f t="shared" si="207"/>
        <v>0.2990936556</v>
      </c>
      <c r="P1535" s="28">
        <f t="shared" si="209"/>
        <v>0</v>
      </c>
    </row>
    <row r="1536" hidden="1">
      <c r="A1536" s="16" t="s">
        <v>2292</v>
      </c>
      <c r="B1536" s="51" t="s">
        <v>2293</v>
      </c>
      <c r="C1536" s="18"/>
      <c r="D1536" s="98"/>
      <c r="E1536" s="19">
        <v>4.0</v>
      </c>
      <c r="F1536" s="19"/>
      <c r="G1536" s="16" t="s">
        <v>485</v>
      </c>
      <c r="H1536" s="21">
        <v>1.0</v>
      </c>
      <c r="I1536" s="22"/>
      <c r="J1536" s="22"/>
      <c r="K1536" s="32">
        <f>64782*1.19</f>
        <v>77090.58</v>
      </c>
      <c r="L1536" s="24">
        <v>105000.0</v>
      </c>
      <c r="M1536" s="25"/>
      <c r="N1536" s="26">
        <v>95000.0</v>
      </c>
      <c r="O1536" s="27">
        <f t="shared" si="207"/>
        <v>0.3620341162</v>
      </c>
      <c r="P1536" s="28">
        <f t="shared" si="209"/>
        <v>0</v>
      </c>
    </row>
    <row r="1537">
      <c r="A1537" s="16" t="s">
        <v>2294</v>
      </c>
      <c r="B1537" s="51" t="s">
        <v>2295</v>
      </c>
      <c r="C1537" s="18"/>
      <c r="D1537" s="98"/>
      <c r="E1537" s="19">
        <v>2.0</v>
      </c>
      <c r="F1537" s="19"/>
      <c r="G1537" s="16" t="s">
        <v>485</v>
      </c>
      <c r="H1537" s="21">
        <v>0.0</v>
      </c>
      <c r="I1537" s="22"/>
      <c r="J1537" s="22"/>
      <c r="K1537" s="250">
        <v>153153.0</v>
      </c>
      <c r="L1537" s="55">
        <v>230000.0</v>
      </c>
      <c r="M1537" s="25"/>
      <c r="N1537" s="26"/>
      <c r="O1537" s="27">
        <f t="shared" si="207"/>
        <v>0.5017662076</v>
      </c>
      <c r="P1537" s="28">
        <f t="shared" si="209"/>
        <v>0</v>
      </c>
    </row>
    <row r="1538" hidden="1">
      <c r="A1538" s="16" t="s">
        <v>2296</v>
      </c>
      <c r="B1538" s="17"/>
      <c r="C1538" s="18"/>
      <c r="D1538" s="4" t="s">
        <v>676</v>
      </c>
      <c r="E1538" s="19">
        <v>0.0</v>
      </c>
      <c r="F1538" s="19">
        <v>100.0</v>
      </c>
      <c r="G1538" s="16" t="s">
        <v>670</v>
      </c>
      <c r="H1538" s="21"/>
      <c r="I1538" s="22">
        <v>30.0</v>
      </c>
      <c r="J1538" s="29"/>
      <c r="K1538" s="43">
        <f>500*1.19</f>
        <v>595</v>
      </c>
      <c r="L1538" s="44">
        <v>1000.0</v>
      </c>
      <c r="M1538" s="25"/>
      <c r="N1538" s="26"/>
      <c r="O1538" s="27">
        <f t="shared" si="207"/>
        <v>0.6806722689</v>
      </c>
      <c r="P1538" s="28">
        <f t="shared" si="209"/>
        <v>59500</v>
      </c>
    </row>
    <row r="1539" hidden="1">
      <c r="A1539" s="16" t="s">
        <v>2296</v>
      </c>
      <c r="B1539" s="17"/>
      <c r="C1539" s="18"/>
      <c r="D1539" s="4"/>
      <c r="E1539" s="19">
        <v>0.0</v>
      </c>
      <c r="F1539" s="19">
        <v>0.0</v>
      </c>
      <c r="G1539" s="16" t="s">
        <v>671</v>
      </c>
      <c r="H1539" s="21"/>
      <c r="I1539" s="22"/>
      <c r="J1539" s="29"/>
      <c r="K1539" s="32">
        <v>609.0</v>
      </c>
      <c r="L1539" s="24">
        <v>1500.0</v>
      </c>
      <c r="M1539" s="25"/>
      <c r="N1539" s="26"/>
      <c r="O1539" s="27">
        <f t="shared" si="207"/>
        <v>1.463054187</v>
      </c>
      <c r="P1539" s="28" t="str">
        <f>K1539*#REF!</f>
        <v>#REF!</v>
      </c>
    </row>
    <row r="1540" hidden="1">
      <c r="A1540" s="16" t="s">
        <v>2297</v>
      </c>
      <c r="B1540" s="17"/>
      <c r="C1540" s="18"/>
      <c r="D1540" s="4"/>
      <c r="E1540" s="19">
        <v>0.0</v>
      </c>
      <c r="F1540" s="19">
        <v>0.0</v>
      </c>
      <c r="G1540" s="16" t="s">
        <v>93</v>
      </c>
      <c r="H1540" s="99"/>
      <c r="I1540" s="22">
        <v>3.0</v>
      </c>
      <c r="J1540" s="173" t="s">
        <v>2298</v>
      </c>
      <c r="K1540" s="249">
        <v>64700.0</v>
      </c>
      <c r="L1540" s="55">
        <v>80800.0</v>
      </c>
      <c r="M1540" s="25">
        <v>0.19</v>
      </c>
      <c r="N1540" s="26"/>
      <c r="O1540" s="27">
        <f t="shared" si="207"/>
        <v>0.2488408037</v>
      </c>
      <c r="P1540" s="28">
        <f t="shared" ref="P1540:P1592" si="210">K1540*F1540</f>
        <v>0</v>
      </c>
    </row>
    <row r="1541" hidden="1">
      <c r="A1541" s="52" t="s">
        <v>2299</v>
      </c>
      <c r="B1541" s="17"/>
      <c r="C1541" s="18"/>
      <c r="D1541" s="4"/>
      <c r="E1541" s="19">
        <v>0.0</v>
      </c>
      <c r="F1541" s="19">
        <v>0.0</v>
      </c>
      <c r="G1541" s="16" t="s">
        <v>513</v>
      </c>
      <c r="H1541" s="21"/>
      <c r="I1541" s="22">
        <v>4.0</v>
      </c>
      <c r="J1541" s="259"/>
      <c r="K1541" s="48">
        <f>(7200*0.95*1.19)</f>
        <v>8139.6</v>
      </c>
      <c r="L1541" s="55">
        <v>12000.0</v>
      </c>
      <c r="M1541" s="25"/>
      <c r="N1541" s="26"/>
      <c r="O1541" s="27">
        <f t="shared" si="207"/>
        <v>0.4742739201</v>
      </c>
      <c r="P1541" s="28">
        <f t="shared" si="210"/>
        <v>0</v>
      </c>
    </row>
    <row r="1542" hidden="1">
      <c r="A1542" s="52" t="s">
        <v>2300</v>
      </c>
      <c r="B1542" s="17"/>
      <c r="C1542" s="18" t="s">
        <v>547</v>
      </c>
      <c r="D1542" s="4"/>
      <c r="E1542" s="19">
        <v>0.0</v>
      </c>
      <c r="F1542" s="19">
        <v>0.0</v>
      </c>
      <c r="G1542" s="16" t="s">
        <v>513</v>
      </c>
      <c r="H1542" s="21"/>
      <c r="I1542" s="22">
        <v>200.0</v>
      </c>
      <c r="J1542" s="29"/>
      <c r="K1542" s="48">
        <f>8140/50</f>
        <v>162.8</v>
      </c>
      <c r="L1542" s="55">
        <v>400.0</v>
      </c>
      <c r="M1542" s="25"/>
      <c r="N1542" s="26"/>
      <c r="O1542" s="27">
        <f t="shared" si="207"/>
        <v>1.457002457</v>
      </c>
      <c r="P1542" s="28">
        <f t="shared" si="210"/>
        <v>0</v>
      </c>
    </row>
    <row r="1543" hidden="1">
      <c r="A1543" s="40" t="s">
        <v>2301</v>
      </c>
      <c r="B1543" s="17"/>
      <c r="C1543" s="18"/>
      <c r="D1543" s="4"/>
      <c r="E1543" s="19">
        <v>0.0</v>
      </c>
      <c r="F1543" s="19">
        <v>0.0</v>
      </c>
      <c r="G1543" s="16" t="s">
        <v>93</v>
      </c>
      <c r="H1543" s="21"/>
      <c r="I1543" s="22"/>
      <c r="J1543" s="29"/>
      <c r="K1543" s="43">
        <v>7110.0</v>
      </c>
      <c r="L1543" s="44">
        <v>12000.0</v>
      </c>
      <c r="M1543" s="25"/>
      <c r="N1543" s="26"/>
      <c r="O1543" s="27">
        <f t="shared" si="207"/>
        <v>0.6877637131</v>
      </c>
      <c r="P1543" s="28">
        <f t="shared" si="210"/>
        <v>0</v>
      </c>
    </row>
    <row r="1544" hidden="1">
      <c r="A1544" s="40" t="s">
        <v>2302</v>
      </c>
      <c r="B1544" s="17"/>
      <c r="C1544" s="18"/>
      <c r="D1544" s="4"/>
      <c r="E1544" s="19">
        <v>0.0</v>
      </c>
      <c r="F1544" s="19">
        <v>0.0</v>
      </c>
      <c r="G1544" s="16" t="s">
        <v>93</v>
      </c>
      <c r="H1544" s="21"/>
      <c r="I1544" s="22"/>
      <c r="J1544" s="29"/>
      <c r="K1544" s="43">
        <v>7110.0</v>
      </c>
      <c r="L1544" s="44">
        <v>12000.0</v>
      </c>
      <c r="M1544" s="25"/>
      <c r="N1544" s="26"/>
      <c r="O1544" s="27">
        <f t="shared" si="207"/>
        <v>0.6877637131</v>
      </c>
      <c r="P1544" s="28">
        <f t="shared" si="210"/>
        <v>0</v>
      </c>
    </row>
    <row r="1545" hidden="1">
      <c r="A1545" s="40" t="s">
        <v>2303</v>
      </c>
      <c r="B1545" s="17"/>
      <c r="C1545" s="18"/>
      <c r="D1545" s="4"/>
      <c r="E1545" s="19">
        <v>0.0</v>
      </c>
      <c r="F1545" s="19">
        <v>0.0</v>
      </c>
      <c r="G1545" s="16" t="s">
        <v>93</v>
      </c>
      <c r="H1545" s="21"/>
      <c r="I1545" s="22"/>
      <c r="J1545" s="29"/>
      <c r="K1545" s="43">
        <v>7110.0</v>
      </c>
      <c r="L1545" s="44">
        <v>12000.0</v>
      </c>
      <c r="M1545" s="25"/>
      <c r="N1545" s="26"/>
      <c r="O1545" s="27">
        <f t="shared" si="207"/>
        <v>0.6877637131</v>
      </c>
      <c r="P1545" s="28">
        <f t="shared" si="210"/>
        <v>0</v>
      </c>
    </row>
    <row r="1546" hidden="1">
      <c r="A1546" s="16" t="s">
        <v>2304</v>
      </c>
      <c r="B1546" s="17">
        <v>2.508588001E9</v>
      </c>
      <c r="C1546" s="18"/>
      <c r="D1546" s="4"/>
      <c r="E1546" s="19">
        <v>0.0</v>
      </c>
      <c r="F1546" s="19">
        <v>0.0</v>
      </c>
      <c r="G1546" s="16" t="s">
        <v>93</v>
      </c>
      <c r="H1546" s="99"/>
      <c r="I1546" s="22">
        <v>3.0</v>
      </c>
      <c r="J1546" s="267">
        <v>46447.0</v>
      </c>
      <c r="K1546" s="249">
        <v>64700.0</v>
      </c>
      <c r="L1546" s="48">
        <v>80800.0</v>
      </c>
      <c r="M1546" s="25"/>
      <c r="N1546" s="26"/>
      <c r="O1546" s="27">
        <f t="shared" si="207"/>
        <v>0.2488408037</v>
      </c>
      <c r="P1546" s="28">
        <f t="shared" si="210"/>
        <v>0</v>
      </c>
    </row>
    <row r="1547" hidden="1">
      <c r="A1547" s="16" t="s">
        <v>2305</v>
      </c>
      <c r="B1547" s="17"/>
      <c r="C1547" s="18"/>
      <c r="D1547" s="4"/>
      <c r="E1547" s="19">
        <v>0.0</v>
      </c>
      <c r="F1547" s="19"/>
      <c r="G1547" s="16" t="s">
        <v>2306</v>
      </c>
      <c r="H1547" s="21"/>
      <c r="I1547" s="22"/>
      <c r="J1547" s="29"/>
      <c r="K1547" s="43">
        <v>6000.0</v>
      </c>
      <c r="L1547" s="125">
        <v>9000.0</v>
      </c>
      <c r="M1547" s="25"/>
      <c r="N1547" s="26"/>
      <c r="O1547" s="27">
        <f>(L1547/K1547)-1</f>
        <v>0.5</v>
      </c>
      <c r="P1547" s="28">
        <f t="shared" si="210"/>
        <v>0</v>
      </c>
    </row>
    <row r="1548" hidden="1">
      <c r="A1548" s="16" t="s">
        <v>2307</v>
      </c>
      <c r="B1548" s="36"/>
      <c r="C1548" s="18"/>
      <c r="D1548" s="4"/>
      <c r="E1548" s="19">
        <v>0.0</v>
      </c>
      <c r="F1548" s="19"/>
      <c r="G1548" s="16" t="s">
        <v>2306</v>
      </c>
      <c r="H1548" s="21"/>
      <c r="I1548" s="22"/>
      <c r="J1548" s="29"/>
      <c r="K1548" s="43">
        <v>10000.0</v>
      </c>
      <c r="L1548" s="44">
        <v>16000.0</v>
      </c>
      <c r="M1548" s="25"/>
      <c r="N1548" s="26"/>
      <c r="O1548" s="27">
        <f t="shared" ref="O1548:O1592" si="211">(L1548/K1548)-1</f>
        <v>0.6</v>
      </c>
      <c r="P1548" s="28">
        <f t="shared" si="210"/>
        <v>0</v>
      </c>
    </row>
    <row r="1549" hidden="1">
      <c r="A1549" s="16" t="s">
        <v>2308</v>
      </c>
      <c r="B1549" s="36"/>
      <c r="C1549" s="18"/>
      <c r="D1549" s="4"/>
      <c r="E1549" s="19">
        <v>0.0</v>
      </c>
      <c r="F1549" s="19"/>
      <c r="G1549" s="16" t="s">
        <v>57</v>
      </c>
      <c r="H1549" s="21"/>
      <c r="I1549" s="22"/>
      <c r="J1549" s="29"/>
      <c r="K1549" s="43">
        <v>48500.0</v>
      </c>
      <c r="L1549" s="44">
        <v>72000.0</v>
      </c>
      <c r="M1549" s="25"/>
      <c r="N1549" s="26"/>
      <c r="O1549" s="27">
        <f t="shared" si="211"/>
        <v>0.4845360825</v>
      </c>
      <c r="P1549" s="28">
        <f t="shared" si="210"/>
        <v>0</v>
      </c>
    </row>
    <row r="1550" hidden="1">
      <c r="A1550" s="16" t="s">
        <v>2309</v>
      </c>
      <c r="B1550" s="36"/>
      <c r="C1550" s="18"/>
      <c r="D1550" s="4"/>
      <c r="E1550" s="19">
        <v>0.0</v>
      </c>
      <c r="F1550" s="19"/>
      <c r="G1550" s="16" t="s">
        <v>57</v>
      </c>
      <c r="H1550" s="21"/>
      <c r="I1550" s="22"/>
      <c r="J1550" s="29"/>
      <c r="K1550" s="43">
        <v>29800.0</v>
      </c>
      <c r="L1550" s="44">
        <v>45000.0</v>
      </c>
      <c r="M1550" s="25" t="s">
        <v>82</v>
      </c>
      <c r="N1550" s="26"/>
      <c r="O1550" s="27">
        <f t="shared" si="211"/>
        <v>0.5100671141</v>
      </c>
      <c r="P1550" s="28">
        <f t="shared" si="210"/>
        <v>0</v>
      </c>
    </row>
    <row r="1551" hidden="1">
      <c r="A1551" s="16" t="s">
        <v>2310</v>
      </c>
      <c r="B1551" s="167" t="s">
        <v>2311</v>
      </c>
      <c r="C1551" s="18"/>
      <c r="D1551" s="4"/>
      <c r="E1551" s="19">
        <v>0.0</v>
      </c>
      <c r="F1551" s="19"/>
      <c r="G1551" s="16" t="s">
        <v>2312</v>
      </c>
      <c r="H1551" s="21"/>
      <c r="I1551" s="22"/>
      <c r="J1551" s="29"/>
      <c r="K1551" s="43">
        <v>42000.0</v>
      </c>
      <c r="L1551" s="44">
        <v>60000.0</v>
      </c>
      <c r="M1551" s="25" t="s">
        <v>82</v>
      </c>
      <c r="N1551" s="26"/>
      <c r="O1551" s="27">
        <f t="shared" si="211"/>
        <v>0.4285714286</v>
      </c>
      <c r="P1551" s="28">
        <f t="shared" si="210"/>
        <v>0</v>
      </c>
    </row>
    <row r="1552" hidden="1">
      <c r="A1552" s="16" t="s">
        <v>2313</v>
      </c>
      <c r="B1552" s="17" t="s">
        <v>2314</v>
      </c>
      <c r="C1552" s="18"/>
      <c r="D1552" s="4"/>
      <c r="E1552" s="19">
        <v>0.0</v>
      </c>
      <c r="F1552" s="19"/>
      <c r="G1552" s="16" t="s">
        <v>2315</v>
      </c>
      <c r="H1552" s="21"/>
      <c r="I1552" s="22"/>
      <c r="J1552" s="47">
        <v>46174.0</v>
      </c>
      <c r="K1552" s="48">
        <v>120000.0</v>
      </c>
      <c r="L1552" s="55">
        <v>180000.0</v>
      </c>
      <c r="M1552" s="25" t="s">
        <v>82</v>
      </c>
      <c r="N1552" s="50">
        <v>150000.0</v>
      </c>
      <c r="O1552" s="27">
        <f t="shared" si="211"/>
        <v>0.5</v>
      </c>
      <c r="P1552" s="28">
        <f t="shared" si="210"/>
        <v>0</v>
      </c>
    </row>
    <row r="1553" hidden="1">
      <c r="A1553" s="16" t="s">
        <v>2316</v>
      </c>
      <c r="B1553" s="17" t="s">
        <v>2314</v>
      </c>
      <c r="C1553" s="18"/>
      <c r="D1553" s="4"/>
      <c r="E1553" s="19">
        <v>0.0</v>
      </c>
      <c r="F1553" s="19"/>
      <c r="G1553" s="16" t="s">
        <v>2315</v>
      </c>
      <c r="H1553" s="21"/>
      <c r="I1553" s="22"/>
      <c r="J1553" s="47"/>
      <c r="K1553" s="48">
        <v>120000.0</v>
      </c>
      <c r="L1553" s="55">
        <v>180000.0</v>
      </c>
      <c r="M1553" s="25" t="s">
        <v>82</v>
      </c>
      <c r="N1553" s="50">
        <v>150000.0</v>
      </c>
      <c r="O1553" s="27">
        <f t="shared" si="211"/>
        <v>0.5</v>
      </c>
      <c r="P1553" s="28">
        <f t="shared" si="210"/>
        <v>0</v>
      </c>
    </row>
    <row r="1554" hidden="1">
      <c r="A1554" s="16" t="s">
        <v>2317</v>
      </c>
      <c r="B1554" s="126"/>
      <c r="C1554" s="18"/>
      <c r="D1554" s="4"/>
      <c r="E1554" s="19">
        <v>0.0</v>
      </c>
      <c r="F1554" s="19"/>
      <c r="G1554" s="16" t="s">
        <v>57</v>
      </c>
      <c r="H1554" s="21"/>
      <c r="I1554" s="22"/>
      <c r="J1554" s="29"/>
      <c r="K1554" s="43">
        <v>29800.0</v>
      </c>
      <c r="L1554" s="44">
        <v>45000.0</v>
      </c>
      <c r="M1554" s="25" t="s">
        <v>82</v>
      </c>
      <c r="N1554" s="26"/>
      <c r="O1554" s="27">
        <f t="shared" si="211"/>
        <v>0.5100671141</v>
      </c>
      <c r="P1554" s="28">
        <f t="shared" si="210"/>
        <v>0</v>
      </c>
    </row>
    <row r="1555" hidden="1">
      <c r="A1555" s="16" t="s">
        <v>2318</v>
      </c>
      <c r="B1555" s="126"/>
      <c r="C1555" s="18"/>
      <c r="D1555" s="4"/>
      <c r="E1555" s="19">
        <v>0.0</v>
      </c>
      <c r="F1555" s="19"/>
      <c r="G1555" s="16" t="s">
        <v>57</v>
      </c>
      <c r="H1555" s="21"/>
      <c r="I1555" s="22"/>
      <c r="J1555" s="29"/>
      <c r="K1555" s="43">
        <v>29800.0</v>
      </c>
      <c r="L1555" s="44">
        <v>45000.0</v>
      </c>
      <c r="M1555" s="25" t="s">
        <v>82</v>
      </c>
      <c r="N1555" s="26"/>
      <c r="O1555" s="27">
        <f t="shared" si="211"/>
        <v>0.5100671141</v>
      </c>
      <c r="P1555" s="28">
        <f t="shared" si="210"/>
        <v>0</v>
      </c>
    </row>
    <row r="1556" hidden="1">
      <c r="A1556" s="16" t="s">
        <v>2319</v>
      </c>
      <c r="B1556" s="126"/>
      <c r="C1556" s="18"/>
      <c r="D1556" s="4"/>
      <c r="E1556" s="19">
        <v>0.0</v>
      </c>
      <c r="F1556" s="19"/>
      <c r="G1556" s="16" t="s">
        <v>57</v>
      </c>
      <c r="H1556" s="21"/>
      <c r="I1556" s="22"/>
      <c r="J1556" s="29"/>
      <c r="K1556" s="43">
        <v>30800.0</v>
      </c>
      <c r="L1556" s="44">
        <v>45000.0</v>
      </c>
      <c r="M1556" s="25" t="s">
        <v>82</v>
      </c>
      <c r="N1556" s="26"/>
      <c r="O1556" s="27">
        <f t="shared" si="211"/>
        <v>0.461038961</v>
      </c>
      <c r="P1556" s="28">
        <f t="shared" si="210"/>
        <v>0</v>
      </c>
    </row>
    <row r="1557" hidden="1">
      <c r="A1557" s="16" t="s">
        <v>2320</v>
      </c>
      <c r="B1557" s="36"/>
      <c r="C1557" s="18"/>
      <c r="D1557" s="4"/>
      <c r="E1557" s="19">
        <v>0.0</v>
      </c>
      <c r="F1557" s="19"/>
      <c r="G1557" s="16" t="s">
        <v>57</v>
      </c>
      <c r="H1557" s="21"/>
      <c r="I1557" s="22"/>
      <c r="J1557" s="29"/>
      <c r="K1557" s="43">
        <v>29800.0</v>
      </c>
      <c r="L1557" s="44">
        <v>45000.0</v>
      </c>
      <c r="M1557" s="25" t="s">
        <v>82</v>
      </c>
      <c r="N1557" s="26"/>
      <c r="O1557" s="27">
        <f t="shared" si="211"/>
        <v>0.5100671141</v>
      </c>
      <c r="P1557" s="28">
        <f t="shared" si="210"/>
        <v>0</v>
      </c>
    </row>
    <row r="1558" hidden="1">
      <c r="A1558" s="16" t="s">
        <v>2321</v>
      </c>
      <c r="B1558" s="167" t="s">
        <v>2322</v>
      </c>
      <c r="C1558" s="18"/>
      <c r="D1558" s="19"/>
      <c r="E1558" s="19">
        <v>0.0</v>
      </c>
      <c r="F1558" s="19">
        <v>5.0</v>
      </c>
      <c r="G1558" s="16" t="s">
        <v>2312</v>
      </c>
      <c r="H1558" s="21"/>
      <c r="I1558" s="22"/>
      <c r="J1558" s="29"/>
      <c r="K1558" s="32">
        <v>42000.0</v>
      </c>
      <c r="L1558" s="24">
        <v>60000.0</v>
      </c>
      <c r="M1558" s="25" t="s">
        <v>82</v>
      </c>
      <c r="N1558" s="26"/>
      <c r="O1558" s="27">
        <f t="shared" si="211"/>
        <v>0.4285714286</v>
      </c>
      <c r="P1558" s="28">
        <f t="shared" si="210"/>
        <v>210000</v>
      </c>
    </row>
    <row r="1559" hidden="1">
      <c r="A1559" s="16" t="s">
        <v>2323</v>
      </c>
      <c r="B1559" s="167" t="s">
        <v>2324</v>
      </c>
      <c r="C1559" s="18"/>
      <c r="D1559" s="19"/>
      <c r="E1559" s="19">
        <v>0.0</v>
      </c>
      <c r="F1559" s="19">
        <v>5.0</v>
      </c>
      <c r="G1559" s="16" t="s">
        <v>2312</v>
      </c>
      <c r="H1559" s="21"/>
      <c r="I1559" s="22"/>
      <c r="J1559" s="47">
        <v>46388.0</v>
      </c>
      <c r="K1559" s="32">
        <v>42000.0</v>
      </c>
      <c r="L1559" s="24">
        <v>60000.0</v>
      </c>
      <c r="M1559" s="25" t="s">
        <v>82</v>
      </c>
      <c r="N1559" s="26"/>
      <c r="O1559" s="27">
        <f t="shared" si="211"/>
        <v>0.4285714286</v>
      </c>
      <c r="P1559" s="28">
        <f t="shared" si="210"/>
        <v>210000</v>
      </c>
    </row>
    <row r="1560" hidden="1">
      <c r="A1560" s="16" t="s">
        <v>2325</v>
      </c>
      <c r="B1560" s="167" t="s">
        <v>2326</v>
      </c>
      <c r="C1560" s="18"/>
      <c r="D1560" s="19"/>
      <c r="E1560" s="19">
        <v>0.0</v>
      </c>
      <c r="F1560" s="19">
        <v>2.0</v>
      </c>
      <c r="G1560" s="16" t="s">
        <v>2312</v>
      </c>
      <c r="H1560" s="21"/>
      <c r="I1560" s="22"/>
      <c r="J1560" s="29"/>
      <c r="K1560" s="32">
        <v>42000.0</v>
      </c>
      <c r="L1560" s="24">
        <v>60000.0</v>
      </c>
      <c r="M1560" s="25" t="s">
        <v>82</v>
      </c>
      <c r="N1560" s="26"/>
      <c r="O1560" s="27">
        <f t="shared" si="211"/>
        <v>0.4285714286</v>
      </c>
      <c r="P1560" s="28">
        <f t="shared" si="210"/>
        <v>84000</v>
      </c>
    </row>
    <row r="1561" hidden="1">
      <c r="A1561" s="16" t="s">
        <v>2327</v>
      </c>
      <c r="B1561" s="17"/>
      <c r="C1561" s="18"/>
      <c r="D1561" s="4"/>
      <c r="E1561" s="19">
        <v>0.0</v>
      </c>
      <c r="F1561" s="19"/>
      <c r="G1561" s="16" t="s">
        <v>2315</v>
      </c>
      <c r="H1561" s="21"/>
      <c r="I1561" s="22"/>
      <c r="J1561" s="29"/>
      <c r="K1561" s="43">
        <v>32000.0</v>
      </c>
      <c r="L1561" s="44">
        <v>48000.0</v>
      </c>
      <c r="M1561" s="25" t="s">
        <v>82</v>
      </c>
      <c r="N1561" s="26"/>
      <c r="O1561" s="27">
        <f t="shared" si="211"/>
        <v>0.5</v>
      </c>
      <c r="P1561" s="28">
        <f t="shared" si="210"/>
        <v>0</v>
      </c>
    </row>
    <row r="1562" hidden="1">
      <c r="A1562" s="16" t="s">
        <v>2328</v>
      </c>
      <c r="B1562" s="167" t="s">
        <v>2329</v>
      </c>
      <c r="C1562" s="18"/>
      <c r="D1562" s="4"/>
      <c r="E1562" s="19">
        <v>0.0</v>
      </c>
      <c r="F1562" s="19">
        <v>2.0</v>
      </c>
      <c r="G1562" s="16" t="s">
        <v>2315</v>
      </c>
      <c r="H1562" s="21"/>
      <c r="I1562" s="22"/>
      <c r="J1562" s="29"/>
      <c r="K1562" s="32">
        <v>155000.0</v>
      </c>
      <c r="L1562" s="24">
        <v>180000.0</v>
      </c>
      <c r="M1562" s="25" t="s">
        <v>82</v>
      </c>
      <c r="N1562" s="26"/>
      <c r="O1562" s="27">
        <f t="shared" si="211"/>
        <v>0.1612903226</v>
      </c>
      <c r="P1562" s="28">
        <f t="shared" si="210"/>
        <v>310000</v>
      </c>
    </row>
    <row r="1563" hidden="1">
      <c r="A1563" s="16" t="s">
        <v>2330</v>
      </c>
      <c r="B1563" s="167"/>
      <c r="C1563" s="18"/>
      <c r="D1563" s="4"/>
      <c r="E1563" s="19">
        <v>0.0</v>
      </c>
      <c r="F1563" s="19"/>
      <c r="G1563" s="16" t="s">
        <v>2315</v>
      </c>
      <c r="H1563" s="21"/>
      <c r="I1563" s="22"/>
      <c r="J1563" s="29"/>
      <c r="K1563" s="43">
        <v>32000.0</v>
      </c>
      <c r="L1563" s="44">
        <v>48000.0</v>
      </c>
      <c r="M1563" s="25" t="s">
        <v>82</v>
      </c>
      <c r="N1563" s="26"/>
      <c r="O1563" s="27">
        <f t="shared" si="211"/>
        <v>0.5</v>
      </c>
      <c r="P1563" s="28">
        <f t="shared" si="210"/>
        <v>0</v>
      </c>
    </row>
    <row r="1564" hidden="1">
      <c r="A1564" s="16" t="s">
        <v>2331</v>
      </c>
      <c r="B1564" s="167" t="s">
        <v>2332</v>
      </c>
      <c r="C1564" s="18"/>
      <c r="D1564" s="4" t="s">
        <v>676</v>
      </c>
      <c r="E1564" s="19">
        <v>0.0</v>
      </c>
      <c r="F1564" s="19">
        <v>2.0</v>
      </c>
      <c r="G1564" s="16" t="s">
        <v>2315</v>
      </c>
      <c r="H1564" s="21"/>
      <c r="I1564" s="22"/>
      <c r="J1564" s="29"/>
      <c r="K1564" s="43">
        <v>155000.0</v>
      </c>
      <c r="L1564" s="44">
        <v>180000.0</v>
      </c>
      <c r="M1564" s="25" t="s">
        <v>82</v>
      </c>
      <c r="N1564" s="26"/>
      <c r="O1564" s="27">
        <f t="shared" si="211"/>
        <v>0.1612903226</v>
      </c>
      <c r="P1564" s="28">
        <f t="shared" si="210"/>
        <v>310000</v>
      </c>
    </row>
    <row r="1565" hidden="1">
      <c r="A1565" s="16" t="s">
        <v>2333</v>
      </c>
      <c r="B1565" s="167"/>
      <c r="C1565" s="18"/>
      <c r="D1565" s="4"/>
      <c r="E1565" s="19">
        <v>0.0</v>
      </c>
      <c r="F1565" s="19"/>
      <c r="G1565" s="16" t="s">
        <v>2315</v>
      </c>
      <c r="H1565" s="21"/>
      <c r="I1565" s="22"/>
      <c r="J1565" s="29"/>
      <c r="K1565" s="43">
        <v>32000.0</v>
      </c>
      <c r="L1565" s="44">
        <v>48000.0</v>
      </c>
      <c r="M1565" s="25" t="s">
        <v>82</v>
      </c>
      <c r="N1565" s="26"/>
      <c r="O1565" s="27">
        <f t="shared" si="211"/>
        <v>0.5</v>
      </c>
      <c r="P1565" s="28">
        <f t="shared" si="210"/>
        <v>0</v>
      </c>
    </row>
    <row r="1566" hidden="1">
      <c r="A1566" s="16" t="s">
        <v>2334</v>
      </c>
      <c r="B1566" s="167" t="s">
        <v>2332</v>
      </c>
      <c r="C1566" s="18"/>
      <c r="D1566" s="4"/>
      <c r="E1566" s="19">
        <v>0.0</v>
      </c>
      <c r="F1566" s="19"/>
      <c r="G1566" s="16" t="s">
        <v>2315</v>
      </c>
      <c r="H1566" s="21"/>
      <c r="I1566" s="22"/>
      <c r="J1566" s="29"/>
      <c r="K1566" s="32">
        <v>155000.0</v>
      </c>
      <c r="L1566" s="24">
        <v>180000.0</v>
      </c>
      <c r="M1566" s="25" t="s">
        <v>82</v>
      </c>
      <c r="N1566" s="26"/>
      <c r="O1566" s="27">
        <f t="shared" si="211"/>
        <v>0.1612903226</v>
      </c>
      <c r="P1566" s="28">
        <f t="shared" si="210"/>
        <v>0</v>
      </c>
    </row>
    <row r="1567" hidden="1">
      <c r="A1567" s="16" t="s">
        <v>2335</v>
      </c>
      <c r="B1567" s="167" t="s">
        <v>2332</v>
      </c>
      <c r="C1567" s="18"/>
      <c r="D1567" s="4"/>
      <c r="E1567" s="19">
        <v>0.0</v>
      </c>
      <c r="F1567" s="19"/>
      <c r="G1567" s="16" t="s">
        <v>2315</v>
      </c>
      <c r="H1567" s="21"/>
      <c r="I1567" s="22"/>
      <c r="J1567" s="47">
        <v>46266.0</v>
      </c>
      <c r="K1567" s="43">
        <v>155000.0</v>
      </c>
      <c r="L1567" s="44">
        <v>180000.0</v>
      </c>
      <c r="M1567" s="25" t="s">
        <v>82</v>
      </c>
      <c r="N1567" s="26"/>
      <c r="O1567" s="27">
        <f t="shared" si="211"/>
        <v>0.1612903226</v>
      </c>
      <c r="P1567" s="28">
        <f t="shared" si="210"/>
        <v>0</v>
      </c>
    </row>
    <row r="1568" hidden="1">
      <c r="A1568" s="16" t="s">
        <v>2336</v>
      </c>
      <c r="B1568" s="17"/>
      <c r="C1568" s="18"/>
      <c r="D1568" s="4"/>
      <c r="E1568" s="19">
        <v>0.0</v>
      </c>
      <c r="F1568" s="19">
        <v>0.0</v>
      </c>
      <c r="G1568" s="16" t="s">
        <v>63</v>
      </c>
      <c r="H1568" s="21"/>
      <c r="I1568" s="22">
        <v>0.0</v>
      </c>
      <c r="J1568" s="29"/>
      <c r="K1568" s="43">
        <v>28644.0</v>
      </c>
      <c r="L1568" s="44">
        <v>40000.0</v>
      </c>
      <c r="M1568" s="25" t="s">
        <v>82</v>
      </c>
      <c r="N1568" s="26"/>
      <c r="O1568" s="27">
        <f t="shared" si="211"/>
        <v>0.3964530094</v>
      </c>
      <c r="P1568" s="28">
        <f t="shared" si="210"/>
        <v>0</v>
      </c>
    </row>
    <row r="1569" hidden="1">
      <c r="A1569" s="16" t="s">
        <v>2337</v>
      </c>
      <c r="B1569" s="17"/>
      <c r="C1569" s="18"/>
      <c r="D1569" s="4"/>
      <c r="E1569" s="19">
        <v>0.0</v>
      </c>
      <c r="F1569" s="19">
        <v>0.0</v>
      </c>
      <c r="G1569" s="16" t="s">
        <v>63</v>
      </c>
      <c r="H1569" s="21"/>
      <c r="I1569" s="22">
        <v>0.0</v>
      </c>
      <c r="J1569" s="29"/>
      <c r="K1569" s="43">
        <v>28644.0</v>
      </c>
      <c r="L1569" s="44">
        <v>40000.0</v>
      </c>
      <c r="M1569" s="25" t="s">
        <v>82</v>
      </c>
      <c r="N1569" s="26"/>
      <c r="O1569" s="27">
        <f t="shared" si="211"/>
        <v>0.3964530094</v>
      </c>
      <c r="P1569" s="28">
        <f t="shared" si="210"/>
        <v>0</v>
      </c>
    </row>
    <row r="1570" hidden="1">
      <c r="A1570" s="16" t="s">
        <v>2338</v>
      </c>
      <c r="B1570" s="17"/>
      <c r="C1570" s="18"/>
      <c r="D1570" s="4"/>
      <c r="E1570" s="19">
        <v>0.0</v>
      </c>
      <c r="F1570" s="19">
        <v>0.0</v>
      </c>
      <c r="G1570" s="16" t="s">
        <v>63</v>
      </c>
      <c r="H1570" s="21"/>
      <c r="I1570" s="22">
        <v>0.0</v>
      </c>
      <c r="J1570" s="29"/>
      <c r="K1570" s="43">
        <v>28644.0</v>
      </c>
      <c r="L1570" s="44">
        <v>40000.0</v>
      </c>
      <c r="M1570" s="25" t="s">
        <v>82</v>
      </c>
      <c r="N1570" s="26"/>
      <c r="O1570" s="27">
        <f t="shared" si="211"/>
        <v>0.3964530094</v>
      </c>
      <c r="P1570" s="28">
        <f t="shared" si="210"/>
        <v>0</v>
      </c>
    </row>
    <row r="1571" hidden="1">
      <c r="A1571" s="16" t="s">
        <v>2339</v>
      </c>
      <c r="B1571" s="17"/>
      <c r="C1571" s="18"/>
      <c r="D1571" s="4"/>
      <c r="E1571" s="19">
        <v>0.0</v>
      </c>
      <c r="F1571" s="19">
        <v>0.0</v>
      </c>
      <c r="G1571" s="16" t="s">
        <v>63</v>
      </c>
      <c r="H1571" s="21"/>
      <c r="I1571" s="22">
        <v>0.0</v>
      </c>
      <c r="J1571" s="29"/>
      <c r="K1571" s="43">
        <v>28644.0</v>
      </c>
      <c r="L1571" s="44">
        <v>40000.0</v>
      </c>
      <c r="M1571" s="25" t="s">
        <v>82</v>
      </c>
      <c r="N1571" s="26"/>
      <c r="O1571" s="27">
        <f t="shared" si="211"/>
        <v>0.3964530094</v>
      </c>
      <c r="P1571" s="28">
        <f t="shared" si="210"/>
        <v>0</v>
      </c>
    </row>
    <row r="1572" hidden="1">
      <c r="A1572" s="16" t="s">
        <v>2340</v>
      </c>
      <c r="B1572" s="17"/>
      <c r="C1572" s="18"/>
      <c r="D1572" s="4"/>
      <c r="E1572" s="19">
        <v>0.0</v>
      </c>
      <c r="F1572" s="19">
        <v>0.0</v>
      </c>
      <c r="G1572" s="16" t="s">
        <v>63</v>
      </c>
      <c r="H1572" s="21"/>
      <c r="I1572" s="22">
        <v>0.0</v>
      </c>
      <c r="J1572" s="29"/>
      <c r="K1572" s="43">
        <v>28644.0</v>
      </c>
      <c r="L1572" s="44">
        <v>40000.0</v>
      </c>
      <c r="M1572" s="25" t="s">
        <v>82</v>
      </c>
      <c r="N1572" s="26"/>
      <c r="O1572" s="27">
        <f t="shared" si="211"/>
        <v>0.3964530094</v>
      </c>
      <c r="P1572" s="28">
        <f t="shared" si="210"/>
        <v>0</v>
      </c>
    </row>
    <row r="1573" hidden="1">
      <c r="A1573" s="16" t="s">
        <v>2341</v>
      </c>
      <c r="B1573" s="17"/>
      <c r="C1573" s="18"/>
      <c r="D1573" s="4"/>
      <c r="E1573" s="19">
        <v>0.0</v>
      </c>
      <c r="F1573" s="19">
        <v>0.0</v>
      </c>
      <c r="G1573" s="16" t="s">
        <v>63</v>
      </c>
      <c r="H1573" s="21"/>
      <c r="I1573" s="22">
        <v>0.0</v>
      </c>
      <c r="J1573" s="29"/>
      <c r="K1573" s="43">
        <v>28644.0</v>
      </c>
      <c r="L1573" s="44">
        <v>40000.0</v>
      </c>
      <c r="M1573" s="25" t="s">
        <v>82</v>
      </c>
      <c r="N1573" s="26"/>
      <c r="O1573" s="27">
        <f t="shared" si="211"/>
        <v>0.3964530094</v>
      </c>
      <c r="P1573" s="28">
        <f t="shared" si="210"/>
        <v>0</v>
      </c>
    </row>
    <row r="1574" hidden="1">
      <c r="A1574" s="16" t="s">
        <v>2342</v>
      </c>
      <c r="B1574" s="17"/>
      <c r="C1574" s="18"/>
      <c r="D1574" s="4"/>
      <c r="E1574" s="19">
        <v>0.0</v>
      </c>
      <c r="F1574" s="19">
        <v>0.0</v>
      </c>
      <c r="G1574" s="16" t="s">
        <v>63</v>
      </c>
      <c r="H1574" s="21"/>
      <c r="I1574" s="22">
        <v>0.0</v>
      </c>
      <c r="J1574" s="29"/>
      <c r="K1574" s="43">
        <v>28644.0</v>
      </c>
      <c r="L1574" s="44">
        <v>40000.0</v>
      </c>
      <c r="M1574" s="25" t="s">
        <v>82</v>
      </c>
      <c r="N1574" s="26"/>
      <c r="O1574" s="27">
        <f t="shared" si="211"/>
        <v>0.3964530094</v>
      </c>
      <c r="P1574" s="28">
        <f t="shared" si="210"/>
        <v>0</v>
      </c>
    </row>
    <row r="1575" hidden="1">
      <c r="A1575" s="16" t="s">
        <v>2343</v>
      </c>
      <c r="B1575" s="17"/>
      <c r="C1575" s="18"/>
      <c r="D1575" s="4"/>
      <c r="E1575" s="19">
        <v>0.0</v>
      </c>
      <c r="F1575" s="19">
        <v>0.0</v>
      </c>
      <c r="G1575" s="16" t="s">
        <v>63</v>
      </c>
      <c r="H1575" s="21"/>
      <c r="I1575" s="22">
        <v>0.0</v>
      </c>
      <c r="J1575" s="29"/>
      <c r="K1575" s="43">
        <v>28644.0</v>
      </c>
      <c r="L1575" s="44">
        <v>40000.0</v>
      </c>
      <c r="M1575" s="25" t="s">
        <v>82</v>
      </c>
      <c r="N1575" s="26"/>
      <c r="O1575" s="27">
        <f t="shared" si="211"/>
        <v>0.3964530094</v>
      </c>
      <c r="P1575" s="28">
        <f t="shared" si="210"/>
        <v>0</v>
      </c>
    </row>
    <row r="1576" hidden="1">
      <c r="A1576" s="16" t="s">
        <v>2344</v>
      </c>
      <c r="B1576" s="17"/>
      <c r="C1576" s="18"/>
      <c r="D1576" s="4"/>
      <c r="E1576" s="19">
        <v>0.0</v>
      </c>
      <c r="F1576" s="19">
        <v>0.0</v>
      </c>
      <c r="G1576" s="16" t="s">
        <v>93</v>
      </c>
      <c r="H1576" s="21"/>
      <c r="I1576" s="22">
        <v>0.0</v>
      </c>
      <c r="J1576" s="29"/>
      <c r="K1576" s="32">
        <v>389000.0</v>
      </c>
      <c r="L1576" s="24">
        <v>450000.0</v>
      </c>
      <c r="M1576" s="25"/>
      <c r="N1576" s="26"/>
      <c r="O1576" s="27">
        <f t="shared" si="211"/>
        <v>0.1568123393</v>
      </c>
      <c r="P1576" s="28">
        <f t="shared" si="210"/>
        <v>0</v>
      </c>
    </row>
    <row r="1577" hidden="1">
      <c r="A1577" s="16" t="s">
        <v>2345</v>
      </c>
      <c r="B1577" s="26">
        <v>33000.0</v>
      </c>
      <c r="C1577" s="18"/>
      <c r="D1577" s="4"/>
      <c r="E1577" s="19">
        <v>0.0</v>
      </c>
      <c r="F1577" s="19">
        <v>4.0</v>
      </c>
      <c r="G1577" s="16" t="s">
        <v>1205</v>
      </c>
      <c r="H1577" s="21"/>
      <c r="I1577" s="22">
        <v>0.0</v>
      </c>
      <c r="J1577" s="29"/>
      <c r="K1577" s="43">
        <v>46297.0</v>
      </c>
      <c r="L1577" s="44">
        <v>58000.0</v>
      </c>
      <c r="M1577" s="25" t="s">
        <v>82</v>
      </c>
      <c r="N1577" s="26">
        <v>52000.0</v>
      </c>
      <c r="O1577" s="27">
        <f t="shared" si="211"/>
        <v>0.2527809577</v>
      </c>
      <c r="P1577" s="28">
        <f t="shared" si="210"/>
        <v>185188</v>
      </c>
    </row>
    <row r="1578" hidden="1">
      <c r="A1578" s="16" t="s">
        <v>2346</v>
      </c>
      <c r="B1578" s="26">
        <v>33000.0</v>
      </c>
      <c r="C1578" s="18"/>
      <c r="D1578" s="4"/>
      <c r="E1578" s="19">
        <v>0.0</v>
      </c>
      <c r="F1578" s="19">
        <v>4.0</v>
      </c>
      <c r="G1578" s="16" t="s">
        <v>1205</v>
      </c>
      <c r="H1578" s="21"/>
      <c r="I1578" s="22">
        <v>0.0</v>
      </c>
      <c r="J1578" s="29"/>
      <c r="K1578" s="43">
        <v>46297.0</v>
      </c>
      <c r="L1578" s="44">
        <v>58000.0</v>
      </c>
      <c r="M1578" s="25" t="s">
        <v>82</v>
      </c>
      <c r="N1578" s="26">
        <v>52000.0</v>
      </c>
      <c r="O1578" s="27">
        <f t="shared" si="211"/>
        <v>0.2527809577</v>
      </c>
      <c r="P1578" s="28">
        <f t="shared" si="210"/>
        <v>185188</v>
      </c>
    </row>
    <row r="1579" hidden="1">
      <c r="A1579" s="16" t="s">
        <v>2347</v>
      </c>
      <c r="B1579" s="26">
        <v>33000.0</v>
      </c>
      <c r="C1579" s="18"/>
      <c r="D1579" s="4"/>
      <c r="E1579" s="19">
        <v>0.0</v>
      </c>
      <c r="F1579" s="19">
        <v>5.0</v>
      </c>
      <c r="G1579" s="16" t="s">
        <v>1205</v>
      </c>
      <c r="H1579" s="21"/>
      <c r="I1579" s="22">
        <v>1.0</v>
      </c>
      <c r="J1579" s="29"/>
      <c r="K1579" s="43">
        <v>46297.0</v>
      </c>
      <c r="L1579" s="44">
        <v>58000.0</v>
      </c>
      <c r="M1579" s="25" t="s">
        <v>82</v>
      </c>
      <c r="N1579" s="26">
        <v>52000.0</v>
      </c>
      <c r="O1579" s="27">
        <f t="shared" si="211"/>
        <v>0.2527809577</v>
      </c>
      <c r="P1579" s="28">
        <f t="shared" si="210"/>
        <v>231485</v>
      </c>
    </row>
    <row r="1580" hidden="1">
      <c r="A1580" s="16" t="s">
        <v>2348</v>
      </c>
      <c r="B1580" s="26">
        <v>33000.0</v>
      </c>
      <c r="C1580" s="18"/>
      <c r="D1580" s="4"/>
      <c r="E1580" s="19">
        <v>0.0</v>
      </c>
      <c r="F1580" s="19">
        <v>5.0</v>
      </c>
      <c r="G1580" s="16" t="s">
        <v>1205</v>
      </c>
      <c r="H1580" s="21"/>
      <c r="I1580" s="22">
        <v>0.0</v>
      </c>
      <c r="J1580" s="29"/>
      <c r="K1580" s="43">
        <v>46297.0</v>
      </c>
      <c r="L1580" s="44">
        <v>58000.0</v>
      </c>
      <c r="M1580" s="25" t="s">
        <v>82</v>
      </c>
      <c r="N1580" s="26">
        <v>52000.0</v>
      </c>
      <c r="O1580" s="27">
        <f t="shared" si="211"/>
        <v>0.2527809577</v>
      </c>
      <c r="P1580" s="28">
        <f t="shared" si="210"/>
        <v>231485</v>
      </c>
    </row>
    <row r="1581" hidden="1">
      <c r="A1581" s="16" t="s">
        <v>2349</v>
      </c>
      <c r="B1581" s="26">
        <v>33000.0</v>
      </c>
      <c r="C1581" s="18"/>
      <c r="D1581" s="4"/>
      <c r="E1581" s="19">
        <v>0.0</v>
      </c>
      <c r="F1581" s="19">
        <v>2.0</v>
      </c>
      <c r="G1581" s="16" t="s">
        <v>1205</v>
      </c>
      <c r="H1581" s="21"/>
      <c r="I1581" s="22">
        <v>1.0</v>
      </c>
      <c r="J1581" s="29"/>
      <c r="K1581" s="43">
        <v>46297.0</v>
      </c>
      <c r="L1581" s="44">
        <v>58000.0</v>
      </c>
      <c r="M1581" s="25" t="s">
        <v>82</v>
      </c>
      <c r="N1581" s="26">
        <v>52000.0</v>
      </c>
      <c r="O1581" s="27">
        <f t="shared" si="211"/>
        <v>0.2527809577</v>
      </c>
      <c r="P1581" s="28">
        <f t="shared" si="210"/>
        <v>92594</v>
      </c>
    </row>
    <row r="1582" hidden="1">
      <c r="A1582" s="16" t="s">
        <v>2350</v>
      </c>
      <c r="B1582" s="26">
        <v>33000.0</v>
      </c>
      <c r="C1582" s="18"/>
      <c r="D1582" s="4"/>
      <c r="E1582" s="19">
        <v>0.0</v>
      </c>
      <c r="F1582" s="19">
        <v>2.0</v>
      </c>
      <c r="G1582" s="16" t="s">
        <v>1205</v>
      </c>
      <c r="H1582" s="21"/>
      <c r="I1582" s="22">
        <v>0.0</v>
      </c>
      <c r="J1582" s="29"/>
      <c r="K1582" s="43">
        <v>46297.0</v>
      </c>
      <c r="L1582" s="44">
        <v>58000.0</v>
      </c>
      <c r="M1582" s="25" t="s">
        <v>82</v>
      </c>
      <c r="N1582" s="26">
        <v>52000.0</v>
      </c>
      <c r="O1582" s="27">
        <f t="shared" si="211"/>
        <v>0.2527809577</v>
      </c>
      <c r="P1582" s="28">
        <f t="shared" si="210"/>
        <v>92594</v>
      </c>
    </row>
    <row r="1583" hidden="1">
      <c r="A1583" s="16" t="s">
        <v>2351</v>
      </c>
      <c r="B1583" s="26">
        <v>33000.0</v>
      </c>
      <c r="C1583" s="18"/>
      <c r="D1583" s="4"/>
      <c r="E1583" s="19">
        <v>0.0</v>
      </c>
      <c r="F1583" s="19">
        <v>1.0</v>
      </c>
      <c r="G1583" s="16" t="s">
        <v>1205</v>
      </c>
      <c r="H1583" s="21"/>
      <c r="I1583" s="22">
        <v>0.0</v>
      </c>
      <c r="J1583" s="29"/>
      <c r="K1583" s="43">
        <v>46297.0</v>
      </c>
      <c r="L1583" s="44">
        <v>58000.0</v>
      </c>
      <c r="M1583" s="25" t="s">
        <v>82</v>
      </c>
      <c r="N1583" s="26">
        <v>52000.0</v>
      </c>
      <c r="O1583" s="27">
        <f t="shared" si="211"/>
        <v>0.2527809577</v>
      </c>
      <c r="P1583" s="28">
        <f t="shared" si="210"/>
        <v>46297</v>
      </c>
    </row>
    <row r="1584" hidden="1">
      <c r="A1584" s="16" t="s">
        <v>2352</v>
      </c>
      <c r="B1584" s="26">
        <v>33000.0</v>
      </c>
      <c r="C1584" s="18"/>
      <c r="D1584" s="4"/>
      <c r="E1584" s="19">
        <v>0.0</v>
      </c>
      <c r="F1584" s="19">
        <v>1.0</v>
      </c>
      <c r="G1584" s="16" t="s">
        <v>1205</v>
      </c>
      <c r="H1584" s="21"/>
      <c r="I1584" s="22">
        <v>0.0</v>
      </c>
      <c r="J1584" s="29"/>
      <c r="K1584" s="43">
        <v>46297.0</v>
      </c>
      <c r="L1584" s="44">
        <v>58000.0</v>
      </c>
      <c r="M1584" s="25" t="s">
        <v>82</v>
      </c>
      <c r="N1584" s="26">
        <v>52000.0</v>
      </c>
      <c r="O1584" s="27">
        <f t="shared" si="211"/>
        <v>0.2527809577</v>
      </c>
      <c r="P1584" s="28">
        <f t="shared" si="210"/>
        <v>46297</v>
      </c>
    </row>
    <row r="1585" hidden="1">
      <c r="A1585" s="16" t="s">
        <v>2353</v>
      </c>
      <c r="B1585" s="36"/>
      <c r="C1585" s="18" t="s">
        <v>985</v>
      </c>
      <c r="D1585" s="4"/>
      <c r="E1585" s="19">
        <v>0.0</v>
      </c>
      <c r="F1585" s="19">
        <v>0.0</v>
      </c>
      <c r="G1585" s="20" t="s">
        <v>1820</v>
      </c>
      <c r="H1585" s="21"/>
      <c r="I1585" s="22">
        <f>15+31</f>
        <v>46</v>
      </c>
      <c r="J1585" s="29"/>
      <c r="K1585" s="48">
        <v>180000.0</v>
      </c>
      <c r="L1585" s="48">
        <v>260000.0</v>
      </c>
      <c r="M1585" s="25" t="s">
        <v>82</v>
      </c>
      <c r="N1585" s="26" t="s">
        <v>2354</v>
      </c>
      <c r="O1585" s="27">
        <f t="shared" si="211"/>
        <v>0.4444444444</v>
      </c>
      <c r="P1585" s="28">
        <f t="shared" si="210"/>
        <v>0</v>
      </c>
    </row>
    <row r="1586" hidden="1">
      <c r="A1586" s="16" t="s">
        <v>2355</v>
      </c>
      <c r="B1586" s="36"/>
      <c r="C1586" s="18" t="s">
        <v>985</v>
      </c>
      <c r="D1586" s="4"/>
      <c r="E1586" s="19">
        <v>0.0</v>
      </c>
      <c r="F1586" s="19">
        <v>0.0</v>
      </c>
      <c r="G1586" s="20" t="s">
        <v>1820</v>
      </c>
      <c r="H1586" s="21"/>
      <c r="I1586" s="22">
        <f>14+15</f>
        <v>29</v>
      </c>
      <c r="J1586" s="29"/>
      <c r="K1586" s="48">
        <v>180000.0</v>
      </c>
      <c r="L1586" s="48">
        <v>260000.0</v>
      </c>
      <c r="M1586" s="25" t="s">
        <v>82</v>
      </c>
      <c r="N1586" s="26">
        <v>220000.0</v>
      </c>
      <c r="O1586" s="27">
        <f t="shared" si="211"/>
        <v>0.4444444444</v>
      </c>
      <c r="P1586" s="28">
        <f t="shared" si="210"/>
        <v>0</v>
      </c>
    </row>
    <row r="1587" hidden="1">
      <c r="A1587" s="16" t="s">
        <v>2356</v>
      </c>
      <c r="B1587" s="36"/>
      <c r="C1587" s="18" t="s">
        <v>985</v>
      </c>
      <c r="D1587" s="4"/>
      <c r="E1587" s="19">
        <v>0.0</v>
      </c>
      <c r="F1587" s="19">
        <v>0.0</v>
      </c>
      <c r="G1587" s="20" t="s">
        <v>1820</v>
      </c>
      <c r="H1587" s="21"/>
      <c r="I1587" s="22">
        <v>29.0</v>
      </c>
      <c r="J1587" s="29"/>
      <c r="K1587" s="48">
        <v>180000.0</v>
      </c>
      <c r="L1587" s="48">
        <v>260000.0</v>
      </c>
      <c r="M1587" s="25" t="s">
        <v>82</v>
      </c>
      <c r="N1587" s="26">
        <v>220000.0</v>
      </c>
      <c r="O1587" s="27">
        <f t="shared" si="211"/>
        <v>0.4444444444</v>
      </c>
      <c r="P1587" s="28">
        <f t="shared" si="210"/>
        <v>0</v>
      </c>
    </row>
    <row r="1588" hidden="1">
      <c r="A1588" s="40" t="s">
        <v>2357</v>
      </c>
      <c r="B1588" s="36"/>
      <c r="C1588" s="18"/>
      <c r="D1588" s="4"/>
      <c r="E1588" s="19">
        <v>0.0</v>
      </c>
      <c r="F1588" s="19"/>
      <c r="G1588" s="16" t="s">
        <v>2269</v>
      </c>
      <c r="H1588" s="21"/>
      <c r="I1588" s="22"/>
      <c r="J1588" s="29"/>
      <c r="K1588" s="43">
        <v>3000.0</v>
      </c>
      <c r="L1588" s="44">
        <v>6000.0</v>
      </c>
      <c r="M1588" s="25" t="s">
        <v>82</v>
      </c>
      <c r="N1588" s="26"/>
      <c r="O1588" s="27">
        <f t="shared" si="211"/>
        <v>1</v>
      </c>
      <c r="P1588" s="28">
        <f t="shared" si="210"/>
        <v>0</v>
      </c>
    </row>
    <row r="1589" hidden="1">
      <c r="A1589" s="16" t="s">
        <v>2358</v>
      </c>
      <c r="B1589" s="17"/>
      <c r="C1589" s="18"/>
      <c r="D1589" s="4"/>
      <c r="E1589" s="19">
        <v>0.0</v>
      </c>
      <c r="F1589" s="19"/>
      <c r="G1589" s="16" t="s">
        <v>57</v>
      </c>
      <c r="H1589" s="21"/>
      <c r="I1589" s="22"/>
      <c r="J1589" s="29"/>
      <c r="K1589" s="43">
        <v>16000.0</v>
      </c>
      <c r="L1589" s="44">
        <v>30000.0</v>
      </c>
      <c r="M1589" s="25" t="s">
        <v>82</v>
      </c>
      <c r="N1589" s="26"/>
      <c r="O1589" s="27">
        <f t="shared" si="211"/>
        <v>0.875</v>
      </c>
      <c r="P1589" s="28">
        <f t="shared" si="210"/>
        <v>0</v>
      </c>
    </row>
    <row r="1590" hidden="1">
      <c r="A1590" s="16" t="s">
        <v>2359</v>
      </c>
      <c r="B1590" s="17"/>
      <c r="C1590" s="18"/>
      <c r="D1590" s="4"/>
      <c r="E1590" s="19">
        <v>0.0</v>
      </c>
      <c r="F1590" s="19"/>
      <c r="G1590" s="16" t="s">
        <v>57</v>
      </c>
      <c r="H1590" s="21"/>
      <c r="I1590" s="22"/>
      <c r="J1590" s="29"/>
      <c r="K1590" s="43">
        <v>16000.0</v>
      </c>
      <c r="L1590" s="44">
        <v>30000.0</v>
      </c>
      <c r="M1590" s="25" t="s">
        <v>82</v>
      </c>
      <c r="N1590" s="26"/>
      <c r="O1590" s="27">
        <f t="shared" si="211"/>
        <v>0.875</v>
      </c>
      <c r="P1590" s="28">
        <f t="shared" si="210"/>
        <v>0</v>
      </c>
    </row>
    <row r="1591" hidden="1">
      <c r="A1591" s="16" t="s">
        <v>2360</v>
      </c>
      <c r="B1591" s="36"/>
      <c r="C1591" s="18"/>
      <c r="D1591" s="4"/>
      <c r="E1591" s="19">
        <v>0.0</v>
      </c>
      <c r="F1591" s="19"/>
      <c r="G1591" s="16" t="s">
        <v>57</v>
      </c>
      <c r="H1591" s="21"/>
      <c r="I1591" s="22"/>
      <c r="J1591" s="29"/>
      <c r="K1591" s="43">
        <v>16000.0</v>
      </c>
      <c r="L1591" s="44">
        <v>30000.0</v>
      </c>
      <c r="M1591" s="25" t="s">
        <v>82</v>
      </c>
      <c r="N1591" s="26"/>
      <c r="O1591" s="27">
        <f t="shared" si="211"/>
        <v>0.875</v>
      </c>
      <c r="P1591" s="28">
        <f t="shared" si="210"/>
        <v>0</v>
      </c>
    </row>
    <row r="1592" hidden="1">
      <c r="A1592" s="16" t="s">
        <v>2361</v>
      </c>
      <c r="B1592" s="17" t="s">
        <v>2362</v>
      </c>
      <c r="C1592" s="18"/>
      <c r="D1592" s="4"/>
      <c r="E1592" s="19">
        <v>0.0</v>
      </c>
      <c r="F1592" s="19">
        <v>0.0</v>
      </c>
      <c r="G1592" s="16" t="s">
        <v>277</v>
      </c>
      <c r="H1592" s="21"/>
      <c r="I1592" s="22">
        <v>1.0</v>
      </c>
      <c r="J1592" s="58">
        <v>45992.0</v>
      </c>
      <c r="K1592" s="48">
        <f>360000/15</f>
        <v>24000</v>
      </c>
      <c r="L1592" s="55">
        <v>36000.0</v>
      </c>
      <c r="M1592" s="25" t="s">
        <v>82</v>
      </c>
      <c r="N1592" s="26">
        <v>30000.0</v>
      </c>
      <c r="O1592" s="27">
        <f t="shared" si="211"/>
        <v>0.5</v>
      </c>
      <c r="P1592" s="28">
        <f t="shared" si="210"/>
        <v>0</v>
      </c>
    </row>
    <row r="1593" hidden="1">
      <c r="A1593" s="16" t="s">
        <v>2363</v>
      </c>
      <c r="B1593" s="17"/>
      <c r="C1593" s="18"/>
      <c r="D1593" s="4"/>
      <c r="E1593" s="19">
        <v>0.0</v>
      </c>
      <c r="F1593" s="19">
        <v>0.0</v>
      </c>
      <c r="G1593" s="16" t="s">
        <v>277</v>
      </c>
      <c r="H1593" s="21"/>
      <c r="I1593" s="22"/>
      <c r="J1593" s="58"/>
      <c r="K1593" s="48">
        <f>360000</f>
        <v>360000</v>
      </c>
      <c r="L1593" s="55">
        <v>460000.0</v>
      </c>
      <c r="M1593" s="25"/>
      <c r="N1593" s="26">
        <v>410000.0</v>
      </c>
      <c r="O1593" s="27"/>
      <c r="P1593" s="28"/>
    </row>
    <row r="1594" hidden="1">
      <c r="A1594" s="16" t="s">
        <v>2364</v>
      </c>
      <c r="B1594" s="26">
        <v>33000.0</v>
      </c>
      <c r="C1594" s="18"/>
      <c r="D1594" s="4"/>
      <c r="E1594" s="19">
        <v>0.0</v>
      </c>
      <c r="F1594" s="19">
        <v>0.0</v>
      </c>
      <c r="G1594" s="16" t="s">
        <v>1205</v>
      </c>
      <c r="H1594" s="21"/>
      <c r="I1594" s="22">
        <v>12.0</v>
      </c>
      <c r="J1594" s="29"/>
      <c r="K1594" s="32">
        <v>33000.0</v>
      </c>
      <c r="L1594" s="24">
        <v>58000.0</v>
      </c>
      <c r="M1594" s="25" t="s">
        <v>82</v>
      </c>
      <c r="N1594" s="26">
        <v>52000.0</v>
      </c>
      <c r="O1594" s="27">
        <f t="shared" ref="O1594:O1661" si="212">(L1594/K1594)-1</f>
        <v>0.7575757576</v>
      </c>
      <c r="P1594" s="28">
        <f t="shared" ref="P1594:P1661" si="213">K1594*F1594</f>
        <v>0</v>
      </c>
    </row>
    <row r="1595" hidden="1">
      <c r="A1595" s="16" t="s">
        <v>2365</v>
      </c>
      <c r="B1595" s="26">
        <v>33000.0</v>
      </c>
      <c r="C1595" s="18"/>
      <c r="D1595" s="4"/>
      <c r="E1595" s="19">
        <v>0.0</v>
      </c>
      <c r="F1595" s="19">
        <v>16.0</v>
      </c>
      <c r="G1595" s="16" t="s">
        <v>1205</v>
      </c>
      <c r="H1595" s="21"/>
      <c r="I1595" s="22">
        <v>0.0</v>
      </c>
      <c r="J1595" s="29"/>
      <c r="K1595" s="32">
        <v>33000.0</v>
      </c>
      <c r="L1595" s="24">
        <v>58000.0</v>
      </c>
      <c r="M1595" s="25" t="s">
        <v>82</v>
      </c>
      <c r="N1595" s="26">
        <v>52000.0</v>
      </c>
      <c r="O1595" s="27">
        <f t="shared" si="212"/>
        <v>0.7575757576</v>
      </c>
      <c r="P1595" s="28">
        <f t="shared" si="213"/>
        <v>528000</v>
      </c>
    </row>
    <row r="1596" hidden="1">
      <c r="A1596" s="16" t="s">
        <v>2366</v>
      </c>
      <c r="B1596" s="26">
        <v>33000.0</v>
      </c>
      <c r="C1596" s="18"/>
      <c r="D1596" s="4"/>
      <c r="E1596" s="19">
        <v>0.0</v>
      </c>
      <c r="F1596" s="19">
        <v>0.0</v>
      </c>
      <c r="G1596" s="16" t="s">
        <v>1205</v>
      </c>
      <c r="H1596" s="21"/>
      <c r="I1596" s="22">
        <v>0.0</v>
      </c>
      <c r="J1596" s="29"/>
      <c r="K1596" s="32">
        <v>33000.0</v>
      </c>
      <c r="L1596" s="24">
        <v>58000.0</v>
      </c>
      <c r="M1596" s="25" t="s">
        <v>82</v>
      </c>
      <c r="N1596" s="26">
        <v>52000.0</v>
      </c>
      <c r="O1596" s="27">
        <f t="shared" si="212"/>
        <v>0.7575757576</v>
      </c>
      <c r="P1596" s="28">
        <f t="shared" si="213"/>
        <v>0</v>
      </c>
    </row>
    <row r="1597" hidden="1">
      <c r="A1597" s="16" t="s">
        <v>2367</v>
      </c>
      <c r="B1597" s="36"/>
      <c r="C1597" s="18"/>
      <c r="D1597" s="4"/>
      <c r="E1597" s="19">
        <v>0.0</v>
      </c>
      <c r="F1597" s="19">
        <v>0.0</v>
      </c>
      <c r="G1597" s="16" t="s">
        <v>84</v>
      </c>
      <c r="H1597" s="21"/>
      <c r="I1597" s="22">
        <v>0.0</v>
      </c>
      <c r="J1597" s="29"/>
      <c r="K1597" s="43">
        <v>27000.0</v>
      </c>
      <c r="L1597" s="44">
        <v>48000.0</v>
      </c>
      <c r="M1597" s="25" t="s">
        <v>82</v>
      </c>
      <c r="N1597" s="26"/>
      <c r="O1597" s="27">
        <f t="shared" si="212"/>
        <v>0.7777777778</v>
      </c>
      <c r="P1597" s="28">
        <f t="shared" si="213"/>
        <v>0</v>
      </c>
    </row>
    <row r="1598" hidden="1">
      <c r="A1598" s="42" t="s">
        <v>2368</v>
      </c>
      <c r="B1598" s="17"/>
      <c r="C1598" s="18"/>
      <c r="D1598" s="4"/>
      <c r="E1598" s="19">
        <v>0.0</v>
      </c>
      <c r="F1598" s="19"/>
      <c r="G1598" s="16" t="s">
        <v>767</v>
      </c>
      <c r="H1598" s="21"/>
      <c r="I1598" s="22"/>
      <c r="J1598" s="29"/>
      <c r="K1598" s="32">
        <v>88000.0</v>
      </c>
      <c r="L1598" s="32">
        <v>130000.0</v>
      </c>
      <c r="M1598" s="25" t="s">
        <v>82</v>
      </c>
      <c r="N1598" s="26"/>
      <c r="O1598" s="27">
        <f t="shared" si="212"/>
        <v>0.4772727273</v>
      </c>
      <c r="P1598" s="28">
        <f t="shared" si="213"/>
        <v>0</v>
      </c>
    </row>
    <row r="1599" hidden="1">
      <c r="A1599" s="42" t="s">
        <v>2369</v>
      </c>
      <c r="B1599" s="17"/>
      <c r="C1599" s="18"/>
      <c r="D1599" s="4"/>
      <c r="E1599" s="19">
        <v>0.0</v>
      </c>
      <c r="F1599" s="19"/>
      <c r="G1599" s="16" t="s">
        <v>767</v>
      </c>
      <c r="H1599" s="21"/>
      <c r="I1599" s="22"/>
      <c r="J1599" s="29"/>
      <c r="K1599" s="32">
        <v>93000.0</v>
      </c>
      <c r="L1599" s="32">
        <v>130000.0</v>
      </c>
      <c r="M1599" s="25" t="s">
        <v>82</v>
      </c>
      <c r="N1599" s="26"/>
      <c r="O1599" s="27">
        <f t="shared" si="212"/>
        <v>0.3978494624</v>
      </c>
      <c r="P1599" s="28">
        <f t="shared" si="213"/>
        <v>0</v>
      </c>
    </row>
    <row r="1600" hidden="1">
      <c r="A1600" s="16" t="s">
        <v>2370</v>
      </c>
      <c r="B1600" s="42" t="s">
        <v>2371</v>
      </c>
      <c r="C1600" s="18"/>
      <c r="D1600" s="4"/>
      <c r="E1600" s="19">
        <v>0.0</v>
      </c>
      <c r="F1600" s="19">
        <v>0.0</v>
      </c>
      <c r="G1600" s="16" t="s">
        <v>473</v>
      </c>
      <c r="H1600" s="21"/>
      <c r="I1600" s="22"/>
      <c r="J1600" s="29"/>
      <c r="K1600" s="48">
        <v>22880.0</v>
      </c>
      <c r="L1600" s="55">
        <v>38000.0</v>
      </c>
      <c r="M1600" s="25" t="s">
        <v>82</v>
      </c>
      <c r="N1600" s="26"/>
      <c r="O1600" s="27">
        <f t="shared" si="212"/>
        <v>0.6608391608</v>
      </c>
      <c r="P1600" s="28">
        <f t="shared" si="213"/>
        <v>0</v>
      </c>
    </row>
    <row r="1601" hidden="1">
      <c r="A1601" s="16" t="s">
        <v>2372</v>
      </c>
      <c r="B1601" s="42" t="s">
        <v>2371</v>
      </c>
      <c r="C1601" s="18"/>
      <c r="D1601" s="4"/>
      <c r="E1601" s="19">
        <v>0.0</v>
      </c>
      <c r="F1601" s="19">
        <v>0.0</v>
      </c>
      <c r="G1601" s="16" t="s">
        <v>473</v>
      </c>
      <c r="H1601" s="21"/>
      <c r="I1601" s="22"/>
      <c r="J1601" s="29"/>
      <c r="K1601" s="48">
        <v>22880.0</v>
      </c>
      <c r="L1601" s="55">
        <v>38000.0</v>
      </c>
      <c r="M1601" s="25" t="s">
        <v>82</v>
      </c>
      <c r="N1601" s="26"/>
      <c r="O1601" s="27">
        <f t="shared" si="212"/>
        <v>0.6608391608</v>
      </c>
      <c r="P1601" s="28">
        <f t="shared" si="213"/>
        <v>0</v>
      </c>
    </row>
    <row r="1602" hidden="1">
      <c r="A1602" s="16" t="s">
        <v>2373</v>
      </c>
      <c r="B1602" s="42" t="s">
        <v>2371</v>
      </c>
      <c r="C1602" s="18" t="s">
        <v>144</v>
      </c>
      <c r="D1602" s="4">
        <v>22000.0</v>
      </c>
      <c r="E1602" s="19">
        <v>0.0</v>
      </c>
      <c r="F1602" s="19">
        <v>0.0</v>
      </c>
      <c r="G1602" s="16" t="s">
        <v>473</v>
      </c>
      <c r="H1602" s="21"/>
      <c r="I1602" s="22"/>
      <c r="J1602" s="29"/>
      <c r="K1602" s="48">
        <v>22880.0</v>
      </c>
      <c r="L1602" s="55">
        <v>38000.0</v>
      </c>
      <c r="M1602" s="25" t="s">
        <v>82</v>
      </c>
      <c r="N1602" s="26">
        <v>28000.0</v>
      </c>
      <c r="O1602" s="27">
        <f t="shared" si="212"/>
        <v>0.6608391608</v>
      </c>
      <c r="P1602" s="28">
        <f t="shared" si="213"/>
        <v>0</v>
      </c>
    </row>
    <row r="1603" hidden="1">
      <c r="A1603" s="16" t="s">
        <v>2374</v>
      </c>
      <c r="B1603" s="156"/>
      <c r="C1603" s="18"/>
      <c r="D1603" s="4"/>
      <c r="E1603" s="19">
        <v>0.0</v>
      </c>
      <c r="F1603" s="19">
        <v>5.0</v>
      </c>
      <c r="G1603" s="16" t="s">
        <v>2375</v>
      </c>
      <c r="H1603" s="21"/>
      <c r="I1603" s="22"/>
      <c r="J1603" s="29"/>
      <c r="K1603" s="32">
        <v>25000.0</v>
      </c>
      <c r="L1603" s="24">
        <v>36000.0</v>
      </c>
      <c r="M1603" s="25" t="s">
        <v>82</v>
      </c>
      <c r="N1603" s="26"/>
      <c r="O1603" s="27">
        <f t="shared" si="212"/>
        <v>0.44</v>
      </c>
      <c r="P1603" s="28">
        <f t="shared" si="213"/>
        <v>125000</v>
      </c>
    </row>
    <row r="1604" hidden="1">
      <c r="A1604" s="16" t="s">
        <v>2376</v>
      </c>
      <c r="B1604" s="156"/>
      <c r="C1604" s="18"/>
      <c r="D1604" s="4"/>
      <c r="E1604" s="19">
        <v>0.0</v>
      </c>
      <c r="F1604" s="19">
        <v>5.0</v>
      </c>
      <c r="G1604" s="16" t="s">
        <v>2375</v>
      </c>
      <c r="H1604" s="21"/>
      <c r="I1604" s="22"/>
      <c r="J1604" s="47">
        <v>46419.0</v>
      </c>
      <c r="K1604" s="32">
        <v>25000.0</v>
      </c>
      <c r="L1604" s="24">
        <v>36000.0</v>
      </c>
      <c r="M1604" s="25" t="s">
        <v>82</v>
      </c>
      <c r="N1604" s="26"/>
      <c r="O1604" s="27">
        <f t="shared" si="212"/>
        <v>0.44</v>
      </c>
      <c r="P1604" s="28">
        <f t="shared" si="213"/>
        <v>125000</v>
      </c>
    </row>
    <row r="1605" hidden="1">
      <c r="A1605" s="42" t="s">
        <v>2377</v>
      </c>
      <c r="B1605" s="17"/>
      <c r="C1605" s="18"/>
      <c r="D1605" s="4"/>
      <c r="E1605" s="19">
        <v>0.0</v>
      </c>
      <c r="F1605" s="19">
        <v>0.0</v>
      </c>
      <c r="G1605" s="16" t="s">
        <v>84</v>
      </c>
      <c r="H1605" s="21"/>
      <c r="I1605" s="22">
        <v>0.0</v>
      </c>
      <c r="J1605" s="29"/>
      <c r="K1605" s="43">
        <v>31600.0</v>
      </c>
      <c r="L1605" s="44">
        <v>44000.0</v>
      </c>
      <c r="M1605" s="25" t="s">
        <v>82</v>
      </c>
      <c r="N1605" s="26"/>
      <c r="O1605" s="27">
        <f t="shared" si="212"/>
        <v>0.3924050633</v>
      </c>
      <c r="P1605" s="28">
        <f t="shared" si="213"/>
        <v>0</v>
      </c>
    </row>
    <row r="1606" hidden="1">
      <c r="A1606" s="42" t="s">
        <v>2378</v>
      </c>
      <c r="B1606" s="17"/>
      <c r="C1606" s="18"/>
      <c r="D1606" s="4"/>
      <c r="E1606" s="19">
        <v>0.0</v>
      </c>
      <c r="F1606" s="19">
        <v>0.0</v>
      </c>
      <c r="G1606" s="16" t="s">
        <v>84</v>
      </c>
      <c r="H1606" s="21"/>
      <c r="I1606" s="22">
        <v>0.0</v>
      </c>
      <c r="J1606" s="29"/>
      <c r="K1606" s="43">
        <v>31600.0</v>
      </c>
      <c r="L1606" s="44">
        <v>44000.0</v>
      </c>
      <c r="M1606" s="25" t="s">
        <v>82</v>
      </c>
      <c r="N1606" s="26"/>
      <c r="O1606" s="27">
        <f t="shared" si="212"/>
        <v>0.3924050633</v>
      </c>
      <c r="P1606" s="28">
        <f t="shared" si="213"/>
        <v>0</v>
      </c>
    </row>
    <row r="1607" hidden="1">
      <c r="A1607" s="16" t="s">
        <v>2379</v>
      </c>
      <c r="B1607" s="51" t="s">
        <v>2380</v>
      </c>
      <c r="C1607" s="18" t="s">
        <v>144</v>
      </c>
      <c r="D1607" s="4">
        <v>62500.0</v>
      </c>
      <c r="E1607" s="19">
        <v>0.0</v>
      </c>
      <c r="F1607" s="77">
        <v>0.0</v>
      </c>
      <c r="G1607" s="20" t="s">
        <v>78</v>
      </c>
      <c r="H1607" s="21">
        <v>2.0</v>
      </c>
      <c r="I1607" s="22">
        <v>1.0</v>
      </c>
      <c r="J1607" s="23"/>
      <c r="K1607" s="24">
        <v>76458.0</v>
      </c>
      <c r="L1607" s="24">
        <v>98000.0</v>
      </c>
      <c r="M1607" s="25" t="s">
        <v>82</v>
      </c>
      <c r="N1607" s="26">
        <v>88000.0</v>
      </c>
      <c r="O1607" s="27">
        <f t="shared" si="212"/>
        <v>0.2817494572</v>
      </c>
      <c r="P1607" s="28">
        <f t="shared" si="213"/>
        <v>0</v>
      </c>
    </row>
    <row r="1608" hidden="1">
      <c r="A1608" s="16" t="s">
        <v>2381</v>
      </c>
      <c r="B1608" s="51"/>
      <c r="C1608" s="18"/>
      <c r="D1608" s="4"/>
      <c r="E1608" s="19">
        <v>0.0</v>
      </c>
      <c r="F1608" s="19">
        <v>0.0</v>
      </c>
      <c r="G1608" s="20" t="s">
        <v>78</v>
      </c>
      <c r="H1608" s="21">
        <v>1.0</v>
      </c>
      <c r="I1608" s="22">
        <v>2.0</v>
      </c>
      <c r="J1608" s="23"/>
      <c r="K1608" s="24">
        <v>76458.0</v>
      </c>
      <c r="L1608" s="24">
        <v>98000.0</v>
      </c>
      <c r="M1608" s="25" t="s">
        <v>82</v>
      </c>
      <c r="N1608" s="26">
        <v>88000.0</v>
      </c>
      <c r="O1608" s="27">
        <f t="shared" si="212"/>
        <v>0.2817494572</v>
      </c>
      <c r="P1608" s="28">
        <f t="shared" si="213"/>
        <v>0</v>
      </c>
    </row>
    <row r="1609" hidden="1">
      <c r="A1609" s="16" t="s">
        <v>2382</v>
      </c>
      <c r="B1609" s="51"/>
      <c r="C1609" s="18"/>
      <c r="D1609" s="4"/>
      <c r="E1609" s="19">
        <v>0.0</v>
      </c>
      <c r="F1609" s="77">
        <v>0.0</v>
      </c>
      <c r="G1609" s="20" t="s">
        <v>78</v>
      </c>
      <c r="H1609" s="21">
        <v>1.0</v>
      </c>
      <c r="I1609" s="22">
        <v>0.0</v>
      </c>
      <c r="J1609" s="23"/>
      <c r="K1609" s="24">
        <v>76458.0</v>
      </c>
      <c r="L1609" s="24">
        <v>98000.0</v>
      </c>
      <c r="M1609" s="25" t="s">
        <v>82</v>
      </c>
      <c r="N1609" s="26">
        <v>88000.0</v>
      </c>
      <c r="O1609" s="27">
        <f t="shared" si="212"/>
        <v>0.2817494572</v>
      </c>
      <c r="P1609" s="28">
        <f t="shared" si="213"/>
        <v>0</v>
      </c>
    </row>
    <row r="1610" hidden="1">
      <c r="A1610" s="16" t="s">
        <v>2383</v>
      </c>
      <c r="B1610" s="51"/>
      <c r="C1610" s="18"/>
      <c r="D1610" s="4"/>
      <c r="E1610" s="19">
        <v>0.0</v>
      </c>
      <c r="F1610" s="19">
        <v>0.0</v>
      </c>
      <c r="G1610" s="20" t="s">
        <v>78</v>
      </c>
      <c r="H1610" s="21">
        <v>1.0</v>
      </c>
      <c r="I1610" s="22">
        <v>2.0</v>
      </c>
      <c r="J1610" s="23"/>
      <c r="K1610" s="24">
        <v>76458.0</v>
      </c>
      <c r="L1610" s="24">
        <v>98000.0</v>
      </c>
      <c r="M1610" s="25" t="s">
        <v>82</v>
      </c>
      <c r="N1610" s="26">
        <v>88000.0</v>
      </c>
      <c r="O1610" s="27">
        <f t="shared" si="212"/>
        <v>0.2817494572</v>
      </c>
      <c r="P1610" s="28">
        <f t="shared" si="213"/>
        <v>0</v>
      </c>
    </row>
    <row r="1611" hidden="1">
      <c r="A1611" s="16" t="s">
        <v>2384</v>
      </c>
      <c r="B1611" s="51"/>
      <c r="C1611" s="18" t="s">
        <v>144</v>
      </c>
      <c r="D1611" s="4">
        <v>62500.0</v>
      </c>
      <c r="E1611" s="19">
        <v>0.0</v>
      </c>
      <c r="F1611" s="77">
        <v>0.0</v>
      </c>
      <c r="G1611" s="20" t="s">
        <v>78</v>
      </c>
      <c r="H1611" s="21">
        <v>2.0</v>
      </c>
      <c r="I1611" s="22">
        <v>1.0</v>
      </c>
      <c r="J1611" s="23"/>
      <c r="K1611" s="24">
        <v>76458.0</v>
      </c>
      <c r="L1611" s="24">
        <v>98000.0</v>
      </c>
      <c r="M1611" s="25" t="s">
        <v>82</v>
      </c>
      <c r="N1611" s="26">
        <v>88000.0</v>
      </c>
      <c r="O1611" s="27">
        <f t="shared" si="212"/>
        <v>0.2817494572</v>
      </c>
      <c r="P1611" s="28">
        <f t="shared" si="213"/>
        <v>0</v>
      </c>
    </row>
    <row r="1612" hidden="1">
      <c r="A1612" s="16" t="s">
        <v>2385</v>
      </c>
      <c r="B1612" s="51"/>
      <c r="C1612" s="18"/>
      <c r="D1612" s="4"/>
      <c r="E1612" s="19">
        <v>0.0</v>
      </c>
      <c r="F1612" s="19">
        <v>0.0</v>
      </c>
      <c r="G1612" s="20" t="s">
        <v>78</v>
      </c>
      <c r="H1612" s="21">
        <v>1.0</v>
      </c>
      <c r="I1612" s="22">
        <v>4.0</v>
      </c>
      <c r="J1612" s="23"/>
      <c r="K1612" s="24">
        <v>76458.0</v>
      </c>
      <c r="L1612" s="24">
        <v>98000.0</v>
      </c>
      <c r="M1612" s="25" t="s">
        <v>82</v>
      </c>
      <c r="N1612" s="26">
        <v>88000.0</v>
      </c>
      <c r="O1612" s="27">
        <f t="shared" si="212"/>
        <v>0.2817494572</v>
      </c>
      <c r="P1612" s="28">
        <f t="shared" si="213"/>
        <v>0</v>
      </c>
    </row>
    <row r="1613" hidden="1">
      <c r="A1613" s="16" t="s">
        <v>2386</v>
      </c>
      <c r="B1613" s="51"/>
      <c r="C1613" s="18" t="s">
        <v>144</v>
      </c>
      <c r="D1613" s="4">
        <v>62500.0</v>
      </c>
      <c r="E1613" s="19">
        <v>0.0</v>
      </c>
      <c r="F1613" s="77">
        <v>0.0</v>
      </c>
      <c r="G1613" s="20" t="s">
        <v>78</v>
      </c>
      <c r="H1613" s="21">
        <v>1.0</v>
      </c>
      <c r="I1613" s="22">
        <v>0.0</v>
      </c>
      <c r="J1613" s="47">
        <v>46447.0</v>
      </c>
      <c r="K1613" s="24">
        <v>76458.0</v>
      </c>
      <c r="L1613" s="24">
        <v>98000.0</v>
      </c>
      <c r="M1613" s="25" t="s">
        <v>82</v>
      </c>
      <c r="N1613" s="26">
        <v>88000.0</v>
      </c>
      <c r="O1613" s="27">
        <f t="shared" si="212"/>
        <v>0.2817494572</v>
      </c>
      <c r="P1613" s="28">
        <f t="shared" si="213"/>
        <v>0</v>
      </c>
    </row>
    <row r="1614" hidden="1">
      <c r="A1614" s="16" t="s">
        <v>2387</v>
      </c>
      <c r="B1614" s="51"/>
      <c r="C1614" s="18" t="s">
        <v>144</v>
      </c>
      <c r="D1614" s="4">
        <v>62500.0</v>
      </c>
      <c r="E1614" s="19">
        <v>0.0</v>
      </c>
      <c r="F1614" s="19">
        <v>0.0</v>
      </c>
      <c r="G1614" s="20" t="s">
        <v>78</v>
      </c>
      <c r="H1614" s="21">
        <v>1.0</v>
      </c>
      <c r="I1614" s="22">
        <v>7.0</v>
      </c>
      <c r="J1614" s="47">
        <v>46508.0</v>
      </c>
      <c r="K1614" s="24">
        <v>76458.0</v>
      </c>
      <c r="L1614" s="24">
        <v>98000.0</v>
      </c>
      <c r="M1614" s="25" t="s">
        <v>82</v>
      </c>
      <c r="N1614" s="26">
        <v>88000.0</v>
      </c>
      <c r="O1614" s="27">
        <f t="shared" si="212"/>
        <v>0.2817494572</v>
      </c>
      <c r="P1614" s="28">
        <f t="shared" si="213"/>
        <v>0</v>
      </c>
    </row>
    <row r="1615" hidden="1">
      <c r="A1615" s="16" t="s">
        <v>2388</v>
      </c>
      <c r="B1615" s="51"/>
      <c r="C1615" s="18" t="s">
        <v>144</v>
      </c>
      <c r="D1615" s="4">
        <v>62500.0</v>
      </c>
      <c r="E1615" s="19">
        <v>0.0</v>
      </c>
      <c r="F1615" s="19">
        <v>0.0</v>
      </c>
      <c r="G1615" s="20" t="s">
        <v>78</v>
      </c>
      <c r="H1615" s="21">
        <v>1.0</v>
      </c>
      <c r="I1615" s="22">
        <v>0.0</v>
      </c>
      <c r="J1615" s="47">
        <v>46448.0</v>
      </c>
      <c r="K1615" s="24">
        <v>76458.0</v>
      </c>
      <c r="L1615" s="24">
        <v>98000.0</v>
      </c>
      <c r="M1615" s="25" t="s">
        <v>82</v>
      </c>
      <c r="N1615" s="26">
        <v>88000.0</v>
      </c>
      <c r="O1615" s="27">
        <f t="shared" si="212"/>
        <v>0.2817494572</v>
      </c>
      <c r="P1615" s="28">
        <f t="shared" si="213"/>
        <v>0</v>
      </c>
    </row>
    <row r="1616" hidden="1">
      <c r="A1616" s="16" t="s">
        <v>2389</v>
      </c>
      <c r="B1616" s="51"/>
      <c r="C1616" s="38"/>
      <c r="D1616" s="4"/>
      <c r="E1616" s="19">
        <v>0.0</v>
      </c>
      <c r="F1616" s="19">
        <v>0.0</v>
      </c>
      <c r="G1616" s="20" t="s">
        <v>78</v>
      </c>
      <c r="H1616" s="21">
        <v>2.0</v>
      </c>
      <c r="I1616" s="22">
        <v>3.0</v>
      </c>
      <c r="J1616" s="47">
        <v>46447.0</v>
      </c>
      <c r="K1616" s="24">
        <v>76458.0</v>
      </c>
      <c r="L1616" s="24">
        <v>98000.0</v>
      </c>
      <c r="M1616" s="25" t="s">
        <v>82</v>
      </c>
      <c r="N1616" s="26">
        <v>88000.0</v>
      </c>
      <c r="O1616" s="27">
        <f t="shared" si="212"/>
        <v>0.2817494572</v>
      </c>
      <c r="P1616" s="28">
        <f t="shared" si="213"/>
        <v>0</v>
      </c>
    </row>
    <row r="1617" hidden="1">
      <c r="A1617" s="16" t="s">
        <v>2390</v>
      </c>
      <c r="B1617" s="51"/>
      <c r="C1617" s="18" t="s">
        <v>144</v>
      </c>
      <c r="D1617" s="4">
        <v>62500.0</v>
      </c>
      <c r="E1617" s="19">
        <v>2.0</v>
      </c>
      <c r="F1617" s="19">
        <v>0.0</v>
      </c>
      <c r="G1617" s="20" t="s">
        <v>78</v>
      </c>
      <c r="H1617" s="21">
        <v>0.0</v>
      </c>
      <c r="I1617" s="22">
        <v>4.0</v>
      </c>
      <c r="J1617" s="47">
        <v>46478.0</v>
      </c>
      <c r="K1617" s="24">
        <v>76458.0</v>
      </c>
      <c r="L1617" s="24">
        <v>98000.0</v>
      </c>
      <c r="M1617" s="25" t="s">
        <v>82</v>
      </c>
      <c r="N1617" s="26">
        <v>88000.0</v>
      </c>
      <c r="O1617" s="27">
        <f t="shared" si="212"/>
        <v>0.2817494572</v>
      </c>
      <c r="P1617" s="28">
        <f t="shared" si="213"/>
        <v>0</v>
      </c>
    </row>
    <row r="1618" hidden="1">
      <c r="A1618" s="16" t="s">
        <v>2391</v>
      </c>
      <c r="B1618" s="51"/>
      <c r="C1618" s="38"/>
      <c r="D1618" s="4"/>
      <c r="E1618" s="19">
        <v>0.0</v>
      </c>
      <c r="F1618" s="19">
        <v>0.0</v>
      </c>
      <c r="G1618" s="20" t="s">
        <v>78</v>
      </c>
      <c r="H1618" s="21">
        <v>2.0</v>
      </c>
      <c r="I1618" s="22">
        <v>4.0</v>
      </c>
      <c r="J1618" s="47">
        <v>46479.0</v>
      </c>
      <c r="K1618" s="24">
        <v>76458.0</v>
      </c>
      <c r="L1618" s="24">
        <v>98000.0</v>
      </c>
      <c r="M1618" s="25" t="s">
        <v>82</v>
      </c>
      <c r="N1618" s="26">
        <v>88000.0</v>
      </c>
      <c r="O1618" s="27">
        <f t="shared" si="212"/>
        <v>0.2817494572</v>
      </c>
      <c r="P1618" s="28">
        <f t="shared" si="213"/>
        <v>0</v>
      </c>
    </row>
    <row r="1619" hidden="1">
      <c r="A1619" s="16" t="s">
        <v>2392</v>
      </c>
      <c r="B1619" s="36"/>
      <c r="C1619" s="68"/>
      <c r="D1619" s="4"/>
      <c r="E1619" s="19">
        <v>0.0</v>
      </c>
      <c r="F1619" s="19">
        <v>0.0</v>
      </c>
      <c r="G1619" s="20" t="s">
        <v>14</v>
      </c>
      <c r="H1619" s="21">
        <v>1.0</v>
      </c>
      <c r="I1619" s="22">
        <v>0.0</v>
      </c>
      <c r="J1619" s="23"/>
      <c r="K1619" s="55">
        <v>97600.0</v>
      </c>
      <c r="L1619" s="55">
        <v>120000.0</v>
      </c>
      <c r="M1619" s="25" t="s">
        <v>82</v>
      </c>
      <c r="N1619" s="26">
        <v>102000.0</v>
      </c>
      <c r="O1619" s="27">
        <f t="shared" si="212"/>
        <v>0.2295081967</v>
      </c>
      <c r="P1619" s="28">
        <f t="shared" si="213"/>
        <v>0</v>
      </c>
    </row>
    <row r="1620" hidden="1">
      <c r="A1620" s="16" t="s">
        <v>2393</v>
      </c>
      <c r="B1620" s="36"/>
      <c r="C1620" s="18"/>
      <c r="D1620" s="4"/>
      <c r="E1620" s="19">
        <v>0.0</v>
      </c>
      <c r="F1620" s="19">
        <v>0.0</v>
      </c>
      <c r="G1620" s="20" t="s">
        <v>14</v>
      </c>
      <c r="H1620" s="21">
        <v>1.0</v>
      </c>
      <c r="I1620" s="22">
        <v>0.0</v>
      </c>
      <c r="J1620" s="23"/>
      <c r="K1620" s="55">
        <v>97600.0</v>
      </c>
      <c r="L1620" s="55">
        <v>120000.0</v>
      </c>
      <c r="M1620" s="25" t="s">
        <v>82</v>
      </c>
      <c r="N1620" s="26">
        <v>102000.0</v>
      </c>
      <c r="O1620" s="27">
        <f t="shared" si="212"/>
        <v>0.2295081967</v>
      </c>
      <c r="P1620" s="28">
        <f t="shared" si="213"/>
        <v>0</v>
      </c>
    </row>
    <row r="1621" hidden="1">
      <c r="A1621" s="16" t="s">
        <v>2394</v>
      </c>
      <c r="B1621" s="36" t="s">
        <v>2395</v>
      </c>
      <c r="C1621" s="18"/>
      <c r="D1621" s="4"/>
      <c r="E1621" s="19">
        <v>0.0</v>
      </c>
      <c r="F1621" s="19">
        <v>0.0</v>
      </c>
      <c r="G1621" s="20" t="s">
        <v>14</v>
      </c>
      <c r="H1621" s="21">
        <v>6.0</v>
      </c>
      <c r="I1621" s="22">
        <v>15.0</v>
      </c>
      <c r="J1621" s="47">
        <v>46447.0</v>
      </c>
      <c r="K1621" s="55">
        <v>97600.0</v>
      </c>
      <c r="L1621" s="55">
        <v>120000.0</v>
      </c>
      <c r="M1621" s="25" t="s">
        <v>82</v>
      </c>
      <c r="N1621" s="26">
        <v>102000.0</v>
      </c>
      <c r="O1621" s="27">
        <f t="shared" si="212"/>
        <v>0.2295081967</v>
      </c>
      <c r="P1621" s="28">
        <f t="shared" si="213"/>
        <v>0</v>
      </c>
    </row>
    <row r="1622" hidden="1">
      <c r="A1622" s="16" t="s">
        <v>2396</v>
      </c>
      <c r="B1622" s="36" t="s">
        <v>2395</v>
      </c>
      <c r="C1622" s="18"/>
      <c r="D1622" s="4"/>
      <c r="E1622" s="19">
        <v>0.0</v>
      </c>
      <c r="F1622" s="19">
        <v>0.0</v>
      </c>
      <c r="G1622" s="20" t="s">
        <v>14</v>
      </c>
      <c r="H1622" s="21">
        <v>11.0</v>
      </c>
      <c r="I1622" s="22">
        <v>10.0</v>
      </c>
      <c r="J1622" s="47">
        <v>46419.0</v>
      </c>
      <c r="K1622" s="55">
        <v>97600.0</v>
      </c>
      <c r="L1622" s="55">
        <v>120000.0</v>
      </c>
      <c r="M1622" s="25" t="s">
        <v>82</v>
      </c>
      <c r="N1622" s="26">
        <v>102000.0</v>
      </c>
      <c r="O1622" s="27">
        <f t="shared" si="212"/>
        <v>0.2295081967</v>
      </c>
      <c r="P1622" s="28">
        <f t="shared" si="213"/>
        <v>0</v>
      </c>
    </row>
    <row r="1623" hidden="1">
      <c r="A1623" s="16" t="s">
        <v>2397</v>
      </c>
      <c r="B1623" s="36"/>
      <c r="C1623" s="18"/>
      <c r="D1623" s="4"/>
      <c r="E1623" s="19">
        <v>0.0</v>
      </c>
      <c r="F1623" s="19">
        <v>0.0</v>
      </c>
      <c r="G1623" s="20" t="s">
        <v>14</v>
      </c>
      <c r="H1623" s="21">
        <v>0.0</v>
      </c>
      <c r="I1623" s="22">
        <v>0.0</v>
      </c>
      <c r="J1623" s="47">
        <v>46478.0</v>
      </c>
      <c r="K1623" s="43">
        <v>26700.0</v>
      </c>
      <c r="L1623" s="44">
        <v>38000.0</v>
      </c>
      <c r="M1623" s="25" t="s">
        <v>82</v>
      </c>
      <c r="N1623" s="26"/>
      <c r="O1623" s="27">
        <f t="shared" si="212"/>
        <v>0.4232209738</v>
      </c>
      <c r="P1623" s="28">
        <f t="shared" si="213"/>
        <v>0</v>
      </c>
    </row>
    <row r="1624" hidden="1">
      <c r="A1624" s="16" t="s">
        <v>2398</v>
      </c>
      <c r="B1624" s="36"/>
      <c r="C1624" s="18"/>
      <c r="D1624" s="4"/>
      <c r="E1624" s="19">
        <v>0.0</v>
      </c>
      <c r="F1624" s="19">
        <v>0.0</v>
      </c>
      <c r="G1624" s="20" t="s">
        <v>14</v>
      </c>
      <c r="H1624" s="21">
        <v>0.0</v>
      </c>
      <c r="I1624" s="22">
        <v>0.0</v>
      </c>
      <c r="J1624" s="47">
        <v>46478.0</v>
      </c>
      <c r="K1624" s="43">
        <v>26700.0</v>
      </c>
      <c r="L1624" s="44">
        <v>38000.0</v>
      </c>
      <c r="M1624" s="25" t="s">
        <v>82</v>
      </c>
      <c r="N1624" s="26"/>
      <c r="O1624" s="27">
        <f t="shared" si="212"/>
        <v>0.4232209738</v>
      </c>
      <c r="P1624" s="28">
        <f t="shared" si="213"/>
        <v>0</v>
      </c>
    </row>
    <row r="1625" hidden="1">
      <c r="A1625" s="16" t="s">
        <v>2399</v>
      </c>
      <c r="B1625" s="36"/>
      <c r="C1625" s="18"/>
      <c r="D1625" s="4"/>
      <c r="E1625" s="19">
        <v>0.0</v>
      </c>
      <c r="F1625" s="19">
        <v>0.0</v>
      </c>
      <c r="G1625" s="20" t="s">
        <v>14</v>
      </c>
      <c r="H1625" s="21">
        <v>0.0</v>
      </c>
      <c r="I1625" s="22">
        <v>0.0</v>
      </c>
      <c r="J1625" s="29"/>
      <c r="K1625" s="43">
        <v>26700.0</v>
      </c>
      <c r="L1625" s="44">
        <v>38000.0</v>
      </c>
      <c r="M1625" s="25" t="s">
        <v>82</v>
      </c>
      <c r="N1625" s="26"/>
      <c r="O1625" s="27">
        <f t="shared" si="212"/>
        <v>0.4232209738</v>
      </c>
      <c r="P1625" s="28">
        <f t="shared" si="213"/>
        <v>0</v>
      </c>
    </row>
    <row r="1626" hidden="1">
      <c r="A1626" s="16" t="s">
        <v>2400</v>
      </c>
      <c r="B1626" s="36" t="s">
        <v>2401</v>
      </c>
      <c r="C1626" s="18"/>
      <c r="D1626" s="4"/>
      <c r="E1626" s="19">
        <v>0.0</v>
      </c>
      <c r="F1626" s="19">
        <v>0.0</v>
      </c>
      <c r="G1626" s="16" t="s">
        <v>70</v>
      </c>
      <c r="H1626" s="21"/>
      <c r="I1626" s="22"/>
      <c r="J1626" s="23"/>
      <c r="K1626" s="24">
        <v>28800.0</v>
      </c>
      <c r="L1626" s="24">
        <v>46000.0</v>
      </c>
      <c r="M1626" s="25" t="s">
        <v>82</v>
      </c>
      <c r="N1626" s="26"/>
      <c r="O1626" s="27">
        <f t="shared" si="212"/>
        <v>0.5972222222</v>
      </c>
      <c r="P1626" s="28">
        <f t="shared" si="213"/>
        <v>0</v>
      </c>
    </row>
    <row r="1627" hidden="1">
      <c r="A1627" s="16" t="s">
        <v>2402</v>
      </c>
      <c r="B1627" s="36" t="s">
        <v>2401</v>
      </c>
      <c r="C1627" s="18"/>
      <c r="D1627" s="4"/>
      <c r="E1627" s="19">
        <v>0.0</v>
      </c>
      <c r="F1627" s="19">
        <v>0.0</v>
      </c>
      <c r="G1627" s="16" t="s">
        <v>70</v>
      </c>
      <c r="H1627" s="21"/>
      <c r="I1627" s="22"/>
      <c r="J1627" s="23"/>
      <c r="K1627" s="24">
        <v>28800.0</v>
      </c>
      <c r="L1627" s="24">
        <v>46000.0</v>
      </c>
      <c r="M1627" s="25" t="s">
        <v>82</v>
      </c>
      <c r="N1627" s="26"/>
      <c r="O1627" s="27">
        <f t="shared" si="212"/>
        <v>0.5972222222</v>
      </c>
      <c r="P1627" s="28">
        <f t="shared" si="213"/>
        <v>0</v>
      </c>
    </row>
    <row r="1628" hidden="1">
      <c r="A1628" s="16" t="s">
        <v>2403</v>
      </c>
      <c r="B1628" s="36"/>
      <c r="C1628" s="18"/>
      <c r="D1628" s="4"/>
      <c r="E1628" s="19">
        <v>0.0</v>
      </c>
      <c r="F1628" s="19">
        <v>0.0</v>
      </c>
      <c r="G1628" s="16" t="s">
        <v>70</v>
      </c>
      <c r="H1628" s="21"/>
      <c r="I1628" s="22"/>
      <c r="J1628" s="23"/>
      <c r="K1628" s="44">
        <v>28800.0</v>
      </c>
      <c r="L1628" s="44">
        <v>46000.0</v>
      </c>
      <c r="M1628" s="25" t="s">
        <v>82</v>
      </c>
      <c r="N1628" s="26"/>
      <c r="O1628" s="27">
        <f t="shared" si="212"/>
        <v>0.5972222222</v>
      </c>
      <c r="P1628" s="28">
        <f t="shared" si="213"/>
        <v>0</v>
      </c>
    </row>
    <row r="1629" hidden="1">
      <c r="A1629" s="16" t="s">
        <v>2404</v>
      </c>
      <c r="B1629" s="17"/>
      <c r="C1629" s="18"/>
      <c r="D1629" s="4"/>
      <c r="E1629" s="19">
        <v>0.0</v>
      </c>
      <c r="F1629" s="19">
        <v>0.0</v>
      </c>
      <c r="G1629" s="16" t="s">
        <v>70</v>
      </c>
      <c r="H1629" s="21"/>
      <c r="I1629" s="22"/>
      <c r="J1629" s="23"/>
      <c r="K1629" s="44">
        <v>28800.0</v>
      </c>
      <c r="L1629" s="44">
        <v>46000.0</v>
      </c>
      <c r="M1629" s="25" t="s">
        <v>82</v>
      </c>
      <c r="N1629" s="26"/>
      <c r="O1629" s="27">
        <f t="shared" si="212"/>
        <v>0.5972222222</v>
      </c>
      <c r="P1629" s="28">
        <f t="shared" si="213"/>
        <v>0</v>
      </c>
    </row>
    <row r="1630" hidden="1">
      <c r="A1630" s="16" t="s">
        <v>2405</v>
      </c>
      <c r="B1630" s="36"/>
      <c r="C1630" s="18"/>
      <c r="D1630" s="4"/>
      <c r="E1630" s="19">
        <v>0.0</v>
      </c>
      <c r="F1630" s="19">
        <v>0.0</v>
      </c>
      <c r="G1630" s="16" t="s">
        <v>70</v>
      </c>
      <c r="H1630" s="21"/>
      <c r="I1630" s="22"/>
      <c r="J1630" s="23"/>
      <c r="K1630" s="44">
        <v>28800.0</v>
      </c>
      <c r="L1630" s="44">
        <v>46000.0</v>
      </c>
      <c r="M1630" s="25" t="s">
        <v>82</v>
      </c>
      <c r="N1630" s="26"/>
      <c r="O1630" s="27">
        <f t="shared" si="212"/>
        <v>0.5972222222</v>
      </c>
      <c r="P1630" s="28">
        <f t="shared" si="213"/>
        <v>0</v>
      </c>
    </row>
    <row r="1631" hidden="1">
      <c r="A1631" s="16" t="s">
        <v>2406</v>
      </c>
      <c r="B1631" s="36"/>
      <c r="C1631" s="18"/>
      <c r="D1631" s="4"/>
      <c r="E1631" s="19">
        <v>0.0</v>
      </c>
      <c r="F1631" s="19">
        <v>0.0</v>
      </c>
      <c r="G1631" s="16" t="s">
        <v>70</v>
      </c>
      <c r="H1631" s="21"/>
      <c r="I1631" s="22"/>
      <c r="J1631" s="23"/>
      <c r="K1631" s="44">
        <v>28800.0</v>
      </c>
      <c r="L1631" s="44">
        <v>46000.0</v>
      </c>
      <c r="M1631" s="25" t="s">
        <v>82</v>
      </c>
      <c r="N1631" s="26"/>
      <c r="O1631" s="27">
        <f t="shared" si="212"/>
        <v>0.5972222222</v>
      </c>
      <c r="P1631" s="28">
        <f t="shared" si="213"/>
        <v>0</v>
      </c>
    </row>
    <row r="1632" hidden="1">
      <c r="A1632" s="16" t="s">
        <v>2407</v>
      </c>
      <c r="B1632" s="36"/>
      <c r="C1632" s="18"/>
      <c r="D1632" s="4"/>
      <c r="E1632" s="19">
        <v>0.0</v>
      </c>
      <c r="F1632" s="19">
        <v>0.0</v>
      </c>
      <c r="G1632" s="16" t="s">
        <v>70</v>
      </c>
      <c r="H1632" s="21"/>
      <c r="I1632" s="22"/>
      <c r="J1632" s="23"/>
      <c r="K1632" s="44">
        <v>28800.0</v>
      </c>
      <c r="L1632" s="44">
        <v>46000.0</v>
      </c>
      <c r="M1632" s="25" t="s">
        <v>82</v>
      </c>
      <c r="N1632" s="26"/>
      <c r="O1632" s="27">
        <f t="shared" si="212"/>
        <v>0.5972222222</v>
      </c>
      <c r="P1632" s="28">
        <f t="shared" si="213"/>
        <v>0</v>
      </c>
    </row>
    <row r="1633" hidden="1">
      <c r="A1633" s="16" t="s">
        <v>2408</v>
      </c>
      <c r="B1633" s="36"/>
      <c r="C1633" s="18"/>
      <c r="D1633" s="4"/>
      <c r="E1633" s="19">
        <v>0.0</v>
      </c>
      <c r="F1633" s="19">
        <v>0.0</v>
      </c>
      <c r="G1633" s="16" t="s">
        <v>70</v>
      </c>
      <c r="H1633" s="21"/>
      <c r="I1633" s="22"/>
      <c r="J1633" s="23"/>
      <c r="K1633" s="44">
        <v>28800.0</v>
      </c>
      <c r="L1633" s="44">
        <v>46000.0</v>
      </c>
      <c r="M1633" s="25" t="s">
        <v>82</v>
      </c>
      <c r="N1633" s="26"/>
      <c r="O1633" s="27">
        <f t="shared" si="212"/>
        <v>0.5972222222</v>
      </c>
      <c r="P1633" s="28">
        <f t="shared" si="213"/>
        <v>0</v>
      </c>
    </row>
    <row r="1634" hidden="1">
      <c r="A1634" s="16" t="s">
        <v>2409</v>
      </c>
      <c r="B1634" s="36" t="s">
        <v>2410</v>
      </c>
      <c r="C1634" s="18"/>
      <c r="D1634" s="4"/>
      <c r="E1634" s="19">
        <v>0.0</v>
      </c>
      <c r="F1634" s="19">
        <v>0.0</v>
      </c>
      <c r="G1634" s="16" t="s">
        <v>2411</v>
      </c>
      <c r="H1634" s="21"/>
      <c r="I1634" s="22"/>
      <c r="J1634" s="29"/>
      <c r="K1634" s="32">
        <f t="shared" ref="K1634:K1635" si="214">38000*0.8</f>
        <v>30400</v>
      </c>
      <c r="L1634" s="32">
        <v>48000.0</v>
      </c>
      <c r="M1634" s="25" t="s">
        <v>82</v>
      </c>
      <c r="N1634" s="26"/>
      <c r="O1634" s="27">
        <f t="shared" si="212"/>
        <v>0.5789473684</v>
      </c>
      <c r="P1634" s="28">
        <f t="shared" si="213"/>
        <v>0</v>
      </c>
    </row>
    <row r="1635" hidden="1">
      <c r="A1635" s="16" t="s">
        <v>2412</v>
      </c>
      <c r="B1635" s="36" t="s">
        <v>2410</v>
      </c>
      <c r="C1635" s="18"/>
      <c r="D1635" s="4"/>
      <c r="E1635" s="19">
        <v>0.0</v>
      </c>
      <c r="F1635" s="19">
        <v>0.0</v>
      </c>
      <c r="G1635" s="16" t="s">
        <v>2411</v>
      </c>
      <c r="H1635" s="21"/>
      <c r="I1635" s="22"/>
      <c r="J1635" s="29"/>
      <c r="K1635" s="32">
        <f t="shared" si="214"/>
        <v>30400</v>
      </c>
      <c r="L1635" s="32">
        <v>48000.0</v>
      </c>
      <c r="M1635" s="25" t="s">
        <v>82</v>
      </c>
      <c r="N1635" s="26"/>
      <c r="O1635" s="27">
        <f t="shared" si="212"/>
        <v>0.5789473684</v>
      </c>
      <c r="P1635" s="28">
        <f t="shared" si="213"/>
        <v>0</v>
      </c>
    </row>
    <row r="1636" hidden="1">
      <c r="A1636" s="16" t="s">
        <v>2413</v>
      </c>
      <c r="B1636" s="36" t="s">
        <v>2414</v>
      </c>
      <c r="C1636" s="18"/>
      <c r="D1636" s="4"/>
      <c r="E1636" s="19">
        <v>0.0</v>
      </c>
      <c r="F1636" s="19">
        <v>2.0</v>
      </c>
      <c r="G1636" s="16" t="s">
        <v>2415</v>
      </c>
      <c r="H1636" s="21"/>
      <c r="I1636" s="22">
        <v>0.0</v>
      </c>
      <c r="J1636" s="29"/>
      <c r="K1636" s="32">
        <f t="shared" ref="K1636:K1637" si="215">90000*0.8</f>
        <v>72000</v>
      </c>
      <c r="L1636" s="24">
        <v>100000.0</v>
      </c>
      <c r="M1636" s="25"/>
      <c r="N1636" s="26"/>
      <c r="O1636" s="27">
        <f t="shared" si="212"/>
        <v>0.3888888889</v>
      </c>
      <c r="P1636" s="28">
        <f t="shared" si="213"/>
        <v>144000</v>
      </c>
    </row>
    <row r="1637" hidden="1">
      <c r="A1637" s="16" t="s">
        <v>2416</v>
      </c>
      <c r="B1637" s="36" t="s">
        <v>2417</v>
      </c>
      <c r="C1637" s="18" t="s">
        <v>144</v>
      </c>
      <c r="D1637" s="4">
        <v>62000.0</v>
      </c>
      <c r="E1637" s="19">
        <v>0.0</v>
      </c>
      <c r="F1637" s="19">
        <v>2.0</v>
      </c>
      <c r="G1637" s="16" t="s">
        <v>2415</v>
      </c>
      <c r="H1637" s="21"/>
      <c r="I1637" s="22">
        <v>0.0</v>
      </c>
      <c r="J1637" s="47">
        <v>45809.0</v>
      </c>
      <c r="K1637" s="32">
        <f t="shared" si="215"/>
        <v>72000</v>
      </c>
      <c r="L1637" s="24">
        <v>100000.0</v>
      </c>
      <c r="M1637" s="25"/>
      <c r="N1637" s="26"/>
      <c r="O1637" s="27">
        <f t="shared" si="212"/>
        <v>0.3888888889</v>
      </c>
      <c r="P1637" s="28">
        <f t="shared" si="213"/>
        <v>144000</v>
      </c>
    </row>
    <row r="1638" hidden="1">
      <c r="A1638" s="40" t="s">
        <v>2418</v>
      </c>
      <c r="B1638" s="17"/>
      <c r="C1638" s="18"/>
      <c r="D1638" s="4"/>
      <c r="E1638" s="19">
        <v>0.0</v>
      </c>
      <c r="F1638" s="19">
        <v>0.0</v>
      </c>
      <c r="G1638" s="16" t="s">
        <v>2419</v>
      </c>
      <c r="H1638" s="21"/>
      <c r="I1638" s="22">
        <v>0.0</v>
      </c>
      <c r="J1638" s="29"/>
      <c r="K1638" s="43">
        <v>23000.0</v>
      </c>
      <c r="L1638" s="44">
        <v>40000.0</v>
      </c>
      <c r="M1638" s="25" t="s">
        <v>82</v>
      </c>
      <c r="N1638" s="26"/>
      <c r="O1638" s="27">
        <f t="shared" si="212"/>
        <v>0.7391304348</v>
      </c>
      <c r="P1638" s="28">
        <f t="shared" si="213"/>
        <v>0</v>
      </c>
    </row>
    <row r="1639" hidden="1">
      <c r="A1639" s="16" t="s">
        <v>2420</v>
      </c>
      <c r="B1639" s="51" t="s">
        <v>2421</v>
      </c>
      <c r="C1639" s="38"/>
      <c r="D1639" s="61"/>
      <c r="E1639" s="19"/>
      <c r="F1639" s="19"/>
      <c r="G1639" s="16" t="s">
        <v>2422</v>
      </c>
      <c r="H1639" s="21"/>
      <c r="I1639" s="22">
        <v>1.0</v>
      </c>
      <c r="J1639" s="23"/>
      <c r="K1639" s="55">
        <v>213000.0</v>
      </c>
      <c r="L1639" s="55">
        <v>260000.0</v>
      </c>
      <c r="M1639" s="25" t="s">
        <v>82</v>
      </c>
      <c r="N1639" s="26">
        <v>200000.0</v>
      </c>
      <c r="O1639" s="27">
        <f t="shared" si="212"/>
        <v>0.220657277</v>
      </c>
      <c r="P1639" s="28">
        <f t="shared" si="213"/>
        <v>0</v>
      </c>
    </row>
    <row r="1640" hidden="1">
      <c r="A1640" s="16" t="s">
        <v>2423</v>
      </c>
      <c r="B1640" s="51" t="s">
        <v>2421</v>
      </c>
      <c r="C1640" s="38"/>
      <c r="D1640" s="61"/>
      <c r="E1640" s="19"/>
      <c r="F1640" s="19"/>
      <c r="G1640" s="16" t="s">
        <v>2422</v>
      </c>
      <c r="H1640" s="21"/>
      <c r="I1640" s="22">
        <v>0.0</v>
      </c>
      <c r="J1640" s="23"/>
      <c r="K1640" s="55">
        <v>213000.0</v>
      </c>
      <c r="L1640" s="55">
        <v>260000.0</v>
      </c>
      <c r="M1640" s="25" t="s">
        <v>82</v>
      </c>
      <c r="N1640" s="26">
        <v>200000.0</v>
      </c>
      <c r="O1640" s="27">
        <f t="shared" si="212"/>
        <v>0.220657277</v>
      </c>
      <c r="P1640" s="28">
        <f t="shared" si="213"/>
        <v>0</v>
      </c>
    </row>
    <row r="1641" hidden="1">
      <c r="A1641" s="16" t="s">
        <v>2424</v>
      </c>
      <c r="B1641" s="51" t="s">
        <v>2421</v>
      </c>
      <c r="C1641" s="38"/>
      <c r="D1641" s="67"/>
      <c r="E1641" s="19"/>
      <c r="F1641" s="19"/>
      <c r="G1641" s="16" t="s">
        <v>2422</v>
      </c>
      <c r="H1641" s="21"/>
      <c r="I1641" s="22">
        <v>1.0</v>
      </c>
      <c r="J1641" s="29"/>
      <c r="K1641" s="48">
        <v>213000.0</v>
      </c>
      <c r="L1641" s="55">
        <v>260000.0</v>
      </c>
      <c r="M1641" s="25" t="s">
        <v>82</v>
      </c>
      <c r="N1641" s="26">
        <v>200000.0</v>
      </c>
      <c r="O1641" s="27">
        <f t="shared" si="212"/>
        <v>0.220657277</v>
      </c>
      <c r="P1641" s="28">
        <f t="shared" si="213"/>
        <v>0</v>
      </c>
    </row>
    <row r="1642" hidden="1">
      <c r="A1642" s="16" t="s">
        <v>2425</v>
      </c>
      <c r="B1642" s="51" t="s">
        <v>2421</v>
      </c>
      <c r="C1642" s="38"/>
      <c r="D1642" s="67"/>
      <c r="E1642" s="19"/>
      <c r="F1642" s="19"/>
      <c r="G1642" s="16" t="s">
        <v>2422</v>
      </c>
      <c r="H1642" s="21"/>
      <c r="I1642" s="22">
        <v>0.0</v>
      </c>
      <c r="J1642" s="29"/>
      <c r="K1642" s="48">
        <v>213000.0</v>
      </c>
      <c r="L1642" s="55">
        <v>260000.0</v>
      </c>
      <c r="M1642" s="25" t="s">
        <v>82</v>
      </c>
      <c r="N1642" s="26">
        <v>200000.0</v>
      </c>
      <c r="O1642" s="27">
        <f t="shared" si="212"/>
        <v>0.220657277</v>
      </c>
      <c r="P1642" s="28">
        <f t="shared" si="213"/>
        <v>0</v>
      </c>
    </row>
    <row r="1643" hidden="1">
      <c r="A1643" s="42" t="s">
        <v>2426</v>
      </c>
      <c r="B1643" s="17" t="s">
        <v>2427</v>
      </c>
      <c r="C1643" s="18"/>
      <c r="D1643" s="4"/>
      <c r="E1643" s="19">
        <v>0.0</v>
      </c>
      <c r="F1643" s="19"/>
      <c r="G1643" s="16" t="s">
        <v>767</v>
      </c>
      <c r="H1643" s="21"/>
      <c r="I1643" s="22"/>
      <c r="J1643" s="29"/>
      <c r="K1643" s="32">
        <v>88000.0</v>
      </c>
      <c r="L1643" s="32">
        <v>130000.0</v>
      </c>
      <c r="M1643" s="25" t="s">
        <v>82</v>
      </c>
      <c r="N1643" s="26"/>
      <c r="O1643" s="27">
        <f t="shared" si="212"/>
        <v>0.4772727273</v>
      </c>
      <c r="P1643" s="28">
        <f t="shared" si="213"/>
        <v>0</v>
      </c>
    </row>
    <row r="1644" hidden="1">
      <c r="A1644" s="16" t="s">
        <v>2428</v>
      </c>
      <c r="B1644" s="36"/>
      <c r="C1644" s="18"/>
      <c r="D1644" s="4"/>
      <c r="E1644" s="19">
        <v>0.0</v>
      </c>
      <c r="F1644" s="19">
        <v>0.0</v>
      </c>
      <c r="G1644" s="16" t="s">
        <v>93</v>
      </c>
      <c r="H1644" s="21"/>
      <c r="I1644" s="22">
        <v>0.0</v>
      </c>
      <c r="J1644" s="29"/>
      <c r="K1644" s="55">
        <v>40000.0</v>
      </c>
      <c r="L1644" s="55">
        <v>54000.0</v>
      </c>
      <c r="M1644" s="25" t="s">
        <v>82</v>
      </c>
      <c r="N1644" s="26"/>
      <c r="O1644" s="27">
        <f t="shared" si="212"/>
        <v>0.35</v>
      </c>
      <c r="P1644" s="28">
        <f t="shared" si="213"/>
        <v>0</v>
      </c>
    </row>
    <row r="1645" hidden="1">
      <c r="A1645" s="16" t="s">
        <v>2429</v>
      </c>
      <c r="B1645" s="17"/>
      <c r="C1645" s="18"/>
      <c r="D1645" s="4"/>
      <c r="E1645" s="19">
        <v>0.0</v>
      </c>
      <c r="F1645" s="19">
        <v>0.0</v>
      </c>
      <c r="G1645" s="16" t="s">
        <v>277</v>
      </c>
      <c r="H1645" s="21"/>
      <c r="I1645" s="22">
        <v>3.0</v>
      </c>
      <c r="J1645" s="47">
        <v>46023.0</v>
      </c>
      <c r="K1645" s="32">
        <v>87250.0</v>
      </c>
      <c r="L1645" s="24">
        <v>115000.0</v>
      </c>
      <c r="M1645" s="25" t="s">
        <v>82</v>
      </c>
      <c r="N1645" s="26">
        <v>94000.0</v>
      </c>
      <c r="O1645" s="27">
        <f t="shared" si="212"/>
        <v>0.3180515759</v>
      </c>
      <c r="P1645" s="28">
        <f t="shared" si="213"/>
        <v>0</v>
      </c>
    </row>
    <row r="1646" hidden="1">
      <c r="A1646" s="16" t="s">
        <v>2430</v>
      </c>
      <c r="B1646" s="17"/>
      <c r="C1646" s="18"/>
      <c r="D1646" s="4"/>
      <c r="E1646" s="19">
        <v>0.0</v>
      </c>
      <c r="F1646" s="19">
        <v>0.0</v>
      </c>
      <c r="G1646" s="16" t="s">
        <v>277</v>
      </c>
      <c r="H1646" s="21"/>
      <c r="I1646" s="22">
        <v>3.0</v>
      </c>
      <c r="J1646" s="47">
        <v>46054.0</v>
      </c>
      <c r="K1646" s="32">
        <v>87250.0</v>
      </c>
      <c r="L1646" s="24">
        <v>115000.0</v>
      </c>
      <c r="M1646" s="25" t="s">
        <v>82</v>
      </c>
      <c r="N1646" s="26">
        <v>94000.0</v>
      </c>
      <c r="O1646" s="27">
        <f t="shared" si="212"/>
        <v>0.3180515759</v>
      </c>
      <c r="P1646" s="28">
        <f t="shared" si="213"/>
        <v>0</v>
      </c>
    </row>
    <row r="1647" hidden="1">
      <c r="A1647" s="150" t="s">
        <v>2431</v>
      </c>
      <c r="B1647" s="17" t="s">
        <v>2432</v>
      </c>
      <c r="C1647" s="18"/>
      <c r="D1647" s="19"/>
      <c r="E1647" s="19">
        <v>0.0</v>
      </c>
      <c r="F1647" s="19">
        <v>0.0</v>
      </c>
      <c r="G1647" s="16" t="s">
        <v>277</v>
      </c>
      <c r="H1647" s="21"/>
      <c r="I1647" s="22">
        <v>0.0</v>
      </c>
      <c r="J1647" s="29"/>
      <c r="K1647" s="32">
        <f>79476</f>
        <v>79476</v>
      </c>
      <c r="L1647" s="32">
        <v>115000.0</v>
      </c>
      <c r="M1647" s="25" t="s">
        <v>82</v>
      </c>
      <c r="N1647" s="26">
        <v>94000.0</v>
      </c>
      <c r="O1647" s="27">
        <f t="shared" si="212"/>
        <v>0.446977704</v>
      </c>
      <c r="P1647" s="28">
        <f t="shared" si="213"/>
        <v>0</v>
      </c>
    </row>
    <row r="1648" hidden="1">
      <c r="A1648" s="16" t="s">
        <v>2433</v>
      </c>
      <c r="B1648" s="17"/>
      <c r="C1648" s="18"/>
      <c r="D1648" s="4"/>
      <c r="E1648" s="19">
        <v>0.0</v>
      </c>
      <c r="F1648" s="19">
        <v>0.0</v>
      </c>
      <c r="G1648" s="16" t="s">
        <v>277</v>
      </c>
      <c r="H1648" s="21"/>
      <c r="I1648" s="22">
        <v>1.0</v>
      </c>
      <c r="J1648" s="58">
        <v>46296.0</v>
      </c>
      <c r="K1648" s="32">
        <v>79476.0</v>
      </c>
      <c r="L1648" s="32">
        <v>115000.0</v>
      </c>
      <c r="M1648" s="25" t="s">
        <v>82</v>
      </c>
      <c r="N1648" s="26">
        <v>94000.0</v>
      </c>
      <c r="O1648" s="27">
        <f t="shared" si="212"/>
        <v>0.446977704</v>
      </c>
      <c r="P1648" s="28">
        <f t="shared" si="213"/>
        <v>0</v>
      </c>
    </row>
    <row r="1649" hidden="1">
      <c r="A1649" s="16" t="s">
        <v>2434</v>
      </c>
      <c r="B1649" s="17"/>
      <c r="C1649" s="18"/>
      <c r="D1649" s="4"/>
      <c r="E1649" s="19">
        <v>0.0</v>
      </c>
      <c r="F1649" s="19">
        <v>0.0</v>
      </c>
      <c r="G1649" s="16" t="s">
        <v>277</v>
      </c>
      <c r="H1649" s="21"/>
      <c r="I1649" s="22">
        <v>3.0</v>
      </c>
      <c r="J1649" s="58">
        <v>45992.0</v>
      </c>
      <c r="K1649" s="32">
        <v>83600.0</v>
      </c>
      <c r="L1649" s="32">
        <v>115000.0</v>
      </c>
      <c r="M1649" s="25" t="s">
        <v>82</v>
      </c>
      <c r="N1649" s="26">
        <v>94000.0</v>
      </c>
      <c r="O1649" s="27">
        <f t="shared" si="212"/>
        <v>0.3755980861</v>
      </c>
      <c r="P1649" s="28">
        <f t="shared" si="213"/>
        <v>0</v>
      </c>
    </row>
    <row r="1650" hidden="1">
      <c r="A1650" s="16" t="s">
        <v>2435</v>
      </c>
      <c r="B1650" s="17"/>
      <c r="C1650" s="18"/>
      <c r="D1650" s="4"/>
      <c r="E1650" s="19">
        <v>0.0</v>
      </c>
      <c r="F1650" s="19">
        <v>0.0</v>
      </c>
      <c r="G1650" s="16" t="s">
        <v>277</v>
      </c>
      <c r="H1650" s="21"/>
      <c r="I1650" s="22">
        <v>3.0</v>
      </c>
      <c r="J1650" s="58">
        <v>46327.0</v>
      </c>
      <c r="K1650" s="32">
        <v>83600.0</v>
      </c>
      <c r="L1650" s="32">
        <v>115000.0</v>
      </c>
      <c r="M1650" s="25" t="s">
        <v>82</v>
      </c>
      <c r="N1650" s="26">
        <v>94000.0</v>
      </c>
      <c r="O1650" s="27">
        <f t="shared" si="212"/>
        <v>0.3755980861</v>
      </c>
      <c r="P1650" s="28">
        <f t="shared" si="213"/>
        <v>0</v>
      </c>
    </row>
    <row r="1651" hidden="1">
      <c r="A1651" s="16" t="s">
        <v>2436</v>
      </c>
      <c r="B1651" s="17"/>
      <c r="C1651" s="18"/>
      <c r="D1651" s="4"/>
      <c r="E1651" s="19">
        <v>0.0</v>
      </c>
      <c r="F1651" s="19">
        <v>0.0</v>
      </c>
      <c r="G1651" s="16" t="s">
        <v>277</v>
      </c>
      <c r="H1651" s="21"/>
      <c r="I1651" s="22">
        <v>1.0</v>
      </c>
      <c r="J1651" s="47">
        <v>46113.0</v>
      </c>
      <c r="K1651" s="32">
        <v>83600.0</v>
      </c>
      <c r="L1651" s="32">
        <v>115000.0</v>
      </c>
      <c r="M1651" s="25" t="s">
        <v>82</v>
      </c>
      <c r="N1651" s="26">
        <v>94000.0</v>
      </c>
      <c r="O1651" s="27">
        <f t="shared" si="212"/>
        <v>0.3755980861</v>
      </c>
      <c r="P1651" s="28">
        <f t="shared" si="213"/>
        <v>0</v>
      </c>
    </row>
    <row r="1652" hidden="1">
      <c r="A1652" s="16" t="s">
        <v>2437</v>
      </c>
      <c r="B1652" s="17"/>
      <c r="C1652" s="18"/>
      <c r="D1652" s="4"/>
      <c r="E1652" s="19">
        <v>0.0</v>
      </c>
      <c r="F1652" s="19">
        <v>0.0</v>
      </c>
      <c r="G1652" s="16" t="s">
        <v>277</v>
      </c>
      <c r="H1652" s="21"/>
      <c r="I1652" s="22">
        <v>1.0</v>
      </c>
      <c r="J1652" s="47">
        <v>46174.0</v>
      </c>
      <c r="K1652" s="32">
        <v>83600.0</v>
      </c>
      <c r="L1652" s="32">
        <v>115000.0</v>
      </c>
      <c r="M1652" s="25" t="s">
        <v>82</v>
      </c>
      <c r="N1652" s="26">
        <v>94000.0</v>
      </c>
      <c r="O1652" s="27">
        <f t="shared" si="212"/>
        <v>0.3755980861</v>
      </c>
      <c r="P1652" s="28">
        <f t="shared" si="213"/>
        <v>0</v>
      </c>
    </row>
    <row r="1653" hidden="1">
      <c r="A1653" s="16" t="s">
        <v>2438</v>
      </c>
      <c r="B1653" s="17"/>
      <c r="C1653" s="18"/>
      <c r="D1653" s="4"/>
      <c r="E1653" s="19">
        <v>0.0</v>
      </c>
      <c r="F1653" s="19">
        <v>0.0</v>
      </c>
      <c r="G1653" s="16" t="s">
        <v>277</v>
      </c>
      <c r="H1653" s="21"/>
      <c r="I1653" s="22">
        <v>3.0</v>
      </c>
      <c r="J1653" s="47">
        <v>46204.0</v>
      </c>
      <c r="K1653" s="32">
        <v>83600.0</v>
      </c>
      <c r="L1653" s="32">
        <v>115000.0</v>
      </c>
      <c r="M1653" s="25" t="s">
        <v>82</v>
      </c>
      <c r="N1653" s="26">
        <v>94000.0</v>
      </c>
      <c r="O1653" s="27">
        <f t="shared" si="212"/>
        <v>0.3755980861</v>
      </c>
      <c r="P1653" s="28">
        <f t="shared" si="213"/>
        <v>0</v>
      </c>
    </row>
    <row r="1654" hidden="1">
      <c r="A1654" s="16" t="s">
        <v>2439</v>
      </c>
      <c r="B1654" s="17"/>
      <c r="C1654" s="18"/>
      <c r="D1654" s="4"/>
      <c r="E1654" s="19">
        <v>0.0</v>
      </c>
      <c r="F1654" s="19">
        <v>0.0</v>
      </c>
      <c r="G1654" s="16" t="s">
        <v>277</v>
      </c>
      <c r="H1654" s="21"/>
      <c r="I1654" s="22">
        <v>3.0</v>
      </c>
      <c r="J1654" s="47">
        <v>46023.0</v>
      </c>
      <c r="K1654" s="32">
        <v>83600.0</v>
      </c>
      <c r="L1654" s="32">
        <v>115000.0</v>
      </c>
      <c r="M1654" s="25" t="s">
        <v>82</v>
      </c>
      <c r="N1654" s="26">
        <v>94000.0</v>
      </c>
      <c r="O1654" s="27">
        <f t="shared" si="212"/>
        <v>0.3755980861</v>
      </c>
      <c r="P1654" s="28">
        <f t="shared" si="213"/>
        <v>0</v>
      </c>
    </row>
    <row r="1655" hidden="1">
      <c r="A1655" s="16" t="s">
        <v>2440</v>
      </c>
      <c r="B1655" s="36" t="s">
        <v>2441</v>
      </c>
      <c r="C1655" s="18" t="s">
        <v>144</v>
      </c>
      <c r="D1655" s="4">
        <v>51200.0</v>
      </c>
      <c r="E1655" s="19">
        <v>0.0</v>
      </c>
      <c r="F1655" s="19">
        <v>3.0</v>
      </c>
      <c r="G1655" s="16" t="s">
        <v>2442</v>
      </c>
      <c r="H1655" s="21"/>
      <c r="I1655" s="22">
        <v>0.0</v>
      </c>
      <c r="J1655" s="47">
        <v>46143.0</v>
      </c>
      <c r="K1655" s="32">
        <f>90000*0.8</f>
        <v>72000</v>
      </c>
      <c r="L1655" s="24">
        <v>120000.0</v>
      </c>
      <c r="M1655" s="25" t="s">
        <v>82</v>
      </c>
      <c r="N1655" s="26">
        <v>98000.0</v>
      </c>
      <c r="O1655" s="27">
        <f t="shared" si="212"/>
        <v>0.6666666667</v>
      </c>
      <c r="P1655" s="28">
        <f t="shared" si="213"/>
        <v>216000</v>
      </c>
    </row>
    <row r="1656" hidden="1">
      <c r="A1656" s="16" t="s">
        <v>2443</v>
      </c>
      <c r="B1656" s="36" t="s">
        <v>2444</v>
      </c>
      <c r="C1656" s="18"/>
      <c r="D1656" s="4"/>
      <c r="E1656" s="19">
        <v>0.0</v>
      </c>
      <c r="F1656" s="19">
        <v>0.0</v>
      </c>
      <c r="G1656" s="16" t="s">
        <v>2442</v>
      </c>
      <c r="H1656" s="21"/>
      <c r="I1656" s="22">
        <v>2.0</v>
      </c>
      <c r="J1656" s="29"/>
      <c r="K1656" s="43">
        <v>116000.0</v>
      </c>
      <c r="L1656" s="44">
        <v>152000.0</v>
      </c>
      <c r="M1656" s="25" t="s">
        <v>82</v>
      </c>
      <c r="N1656" s="26">
        <v>98000.0</v>
      </c>
      <c r="O1656" s="27">
        <f t="shared" si="212"/>
        <v>0.3103448276</v>
      </c>
      <c r="P1656" s="28">
        <f t="shared" si="213"/>
        <v>0</v>
      </c>
    </row>
    <row r="1657" hidden="1">
      <c r="A1657" s="16" t="s">
        <v>2445</v>
      </c>
      <c r="B1657" s="49"/>
      <c r="C1657" s="64" t="s">
        <v>97</v>
      </c>
      <c r="D1657" s="4"/>
      <c r="E1657" s="19"/>
      <c r="F1657" s="19"/>
      <c r="G1657" s="16" t="s">
        <v>98</v>
      </c>
      <c r="H1657" s="21">
        <v>1.0</v>
      </c>
      <c r="I1657" s="22"/>
      <c r="J1657" s="29"/>
      <c r="K1657" s="48">
        <v>72300.0</v>
      </c>
      <c r="L1657" s="55">
        <v>89000.0</v>
      </c>
      <c r="M1657" s="25" t="s">
        <v>76</v>
      </c>
      <c r="N1657" s="70">
        <v>75000.0</v>
      </c>
      <c r="O1657" s="27">
        <f t="shared" si="212"/>
        <v>0.2309820194</v>
      </c>
      <c r="P1657" s="28">
        <f t="shared" si="213"/>
        <v>0</v>
      </c>
    </row>
    <row r="1658" hidden="1">
      <c r="A1658" s="16" t="s">
        <v>2446</v>
      </c>
      <c r="B1658" s="49"/>
      <c r="C1658" s="64" t="s">
        <v>97</v>
      </c>
      <c r="D1658" s="4"/>
      <c r="E1658" s="19"/>
      <c r="F1658" s="19"/>
      <c r="G1658" s="16" t="s">
        <v>98</v>
      </c>
      <c r="H1658" s="21">
        <v>3.0</v>
      </c>
      <c r="I1658" s="22"/>
      <c r="J1658" s="29"/>
      <c r="K1658" s="48">
        <v>72300.0</v>
      </c>
      <c r="L1658" s="55">
        <v>89000.0</v>
      </c>
      <c r="M1658" s="25" t="s">
        <v>76</v>
      </c>
      <c r="N1658" s="70">
        <v>75000.0</v>
      </c>
      <c r="O1658" s="27">
        <f t="shared" si="212"/>
        <v>0.2309820194</v>
      </c>
      <c r="P1658" s="28">
        <f t="shared" si="213"/>
        <v>0</v>
      </c>
    </row>
    <row r="1659" hidden="1">
      <c r="A1659" s="16" t="s">
        <v>2447</v>
      </c>
      <c r="B1659" s="49"/>
      <c r="C1659" s="64" t="s">
        <v>97</v>
      </c>
      <c r="D1659" s="4"/>
      <c r="E1659" s="19"/>
      <c r="F1659" s="19"/>
      <c r="G1659" s="16" t="s">
        <v>98</v>
      </c>
      <c r="H1659" s="21">
        <v>2.0</v>
      </c>
      <c r="I1659" s="22"/>
      <c r="J1659" s="47">
        <v>46447.0</v>
      </c>
      <c r="K1659" s="48">
        <v>72300.0</v>
      </c>
      <c r="L1659" s="55">
        <v>89000.0</v>
      </c>
      <c r="M1659" s="25" t="s">
        <v>76</v>
      </c>
      <c r="N1659" s="70">
        <v>75000.0</v>
      </c>
      <c r="O1659" s="27">
        <f t="shared" si="212"/>
        <v>0.2309820194</v>
      </c>
      <c r="P1659" s="28">
        <f t="shared" si="213"/>
        <v>0</v>
      </c>
    </row>
    <row r="1660" hidden="1">
      <c r="A1660" s="56" t="s">
        <v>2448</v>
      </c>
      <c r="B1660" s="49"/>
      <c r="C1660" s="64" t="s">
        <v>97</v>
      </c>
      <c r="D1660" s="4"/>
      <c r="E1660" s="19"/>
      <c r="F1660" s="19"/>
      <c r="G1660" s="16" t="s">
        <v>98</v>
      </c>
      <c r="H1660" s="21">
        <v>0.0</v>
      </c>
      <c r="I1660" s="22"/>
      <c r="J1660" s="22" t="s">
        <v>2449</v>
      </c>
      <c r="K1660" s="48">
        <v>72300.0</v>
      </c>
      <c r="L1660" s="55">
        <v>89000.0</v>
      </c>
      <c r="M1660" s="25" t="s">
        <v>76</v>
      </c>
      <c r="N1660" s="70">
        <v>75000.0</v>
      </c>
      <c r="O1660" s="27">
        <f t="shared" si="212"/>
        <v>0.2309820194</v>
      </c>
      <c r="P1660" s="28">
        <f t="shared" si="213"/>
        <v>0</v>
      </c>
    </row>
    <row r="1661" hidden="1">
      <c r="A1661" s="56" t="s">
        <v>2450</v>
      </c>
      <c r="B1661" s="49"/>
      <c r="C1661" s="64" t="s">
        <v>97</v>
      </c>
      <c r="D1661" s="4"/>
      <c r="E1661" s="19"/>
      <c r="F1661" s="19"/>
      <c r="G1661" s="16" t="s">
        <v>98</v>
      </c>
      <c r="H1661" s="21">
        <v>6.0</v>
      </c>
      <c r="I1661" s="22"/>
      <c r="J1661" s="47">
        <v>45870.0</v>
      </c>
      <c r="K1661" s="48">
        <v>72300.0</v>
      </c>
      <c r="L1661" s="55">
        <v>89000.0</v>
      </c>
      <c r="M1661" s="25" t="s">
        <v>76</v>
      </c>
      <c r="N1661" s="70">
        <v>75000.0</v>
      </c>
      <c r="O1661" s="27">
        <f t="shared" si="212"/>
        <v>0.2309820194</v>
      </c>
      <c r="P1661" s="28">
        <f t="shared" si="213"/>
        <v>0</v>
      </c>
    </row>
    <row r="1662" hidden="1">
      <c r="A1662" s="268" t="s">
        <v>2450</v>
      </c>
      <c r="B1662" s="49"/>
      <c r="C1662" s="18"/>
      <c r="D1662" s="4"/>
      <c r="E1662" s="19">
        <v>0.0</v>
      </c>
      <c r="F1662" s="19">
        <v>0.0</v>
      </c>
      <c r="G1662" s="16"/>
      <c r="H1662" s="21"/>
      <c r="I1662" s="22">
        <v>6.0</v>
      </c>
      <c r="J1662" s="29"/>
      <c r="K1662" s="48">
        <v>72300.0</v>
      </c>
      <c r="L1662" s="24"/>
      <c r="M1662" s="25"/>
      <c r="N1662" s="70"/>
      <c r="O1662" s="27"/>
      <c r="P1662" s="28"/>
    </row>
    <row r="1663" hidden="1">
      <c r="A1663" s="56" t="s">
        <v>2451</v>
      </c>
      <c r="B1663" s="49">
        <f>75*5</f>
        <v>375</v>
      </c>
      <c r="C1663" s="18" t="s">
        <v>985</v>
      </c>
      <c r="D1663" s="4"/>
      <c r="E1663" s="19"/>
      <c r="F1663" s="19"/>
      <c r="G1663" s="16" t="s">
        <v>98</v>
      </c>
      <c r="H1663" s="21">
        <v>2.0</v>
      </c>
      <c r="I1663" s="22"/>
      <c r="J1663" s="29"/>
      <c r="K1663" s="48">
        <v>72300.0</v>
      </c>
      <c r="L1663" s="55">
        <v>89000.0</v>
      </c>
      <c r="M1663" s="25" t="s">
        <v>76</v>
      </c>
      <c r="N1663" s="70">
        <v>75000.0</v>
      </c>
      <c r="O1663" s="27">
        <f t="shared" ref="O1663:O1692" si="216">(L1663/K1663)-1</f>
        <v>0.2309820194</v>
      </c>
      <c r="P1663" s="28">
        <f t="shared" ref="P1663:P1692" si="217">K1663*F1663</f>
        <v>0</v>
      </c>
    </row>
    <row r="1664" hidden="1">
      <c r="A1664" s="56" t="s">
        <v>2452</v>
      </c>
      <c r="B1664" s="49"/>
      <c r="C1664" s="18" t="s">
        <v>985</v>
      </c>
      <c r="D1664" s="4"/>
      <c r="E1664" s="19"/>
      <c r="F1664" s="19"/>
      <c r="G1664" s="16" t="s">
        <v>98</v>
      </c>
      <c r="H1664" s="21">
        <v>3.0</v>
      </c>
      <c r="I1664" s="22"/>
      <c r="J1664" s="29"/>
      <c r="K1664" s="48">
        <v>72300.0</v>
      </c>
      <c r="L1664" s="55">
        <v>89000.0</v>
      </c>
      <c r="M1664" s="25" t="s">
        <v>76</v>
      </c>
      <c r="N1664" s="70">
        <v>75000.0</v>
      </c>
      <c r="O1664" s="27">
        <f t="shared" si="216"/>
        <v>0.2309820194</v>
      </c>
      <c r="P1664" s="28">
        <f t="shared" si="217"/>
        <v>0</v>
      </c>
    </row>
    <row r="1665" hidden="1">
      <c r="A1665" s="56" t="s">
        <v>2453</v>
      </c>
      <c r="B1665" s="49">
        <v>140.0</v>
      </c>
      <c r="C1665" s="64" t="s">
        <v>97</v>
      </c>
      <c r="D1665" s="4"/>
      <c r="E1665" s="19"/>
      <c r="F1665" s="19"/>
      <c r="G1665" s="16" t="s">
        <v>98</v>
      </c>
      <c r="H1665" s="21">
        <v>6.0</v>
      </c>
      <c r="I1665" s="22"/>
      <c r="J1665" s="29"/>
      <c r="K1665" s="48">
        <v>72300.0</v>
      </c>
      <c r="L1665" s="55">
        <v>89000.0</v>
      </c>
      <c r="M1665" s="25" t="s">
        <v>76</v>
      </c>
      <c r="N1665" s="70">
        <v>75000.0</v>
      </c>
      <c r="O1665" s="27">
        <f t="shared" si="216"/>
        <v>0.2309820194</v>
      </c>
      <c r="P1665" s="28">
        <f t="shared" si="217"/>
        <v>0</v>
      </c>
    </row>
    <row r="1666" hidden="1">
      <c r="A1666" s="56" t="s">
        <v>2454</v>
      </c>
      <c r="B1666" s="49">
        <v>10.0</v>
      </c>
      <c r="C1666" s="18"/>
      <c r="D1666" s="4"/>
      <c r="E1666" s="19"/>
      <c r="F1666" s="19"/>
      <c r="G1666" s="16" t="s">
        <v>98</v>
      </c>
      <c r="H1666" s="21">
        <v>1.0</v>
      </c>
      <c r="I1666" s="22"/>
      <c r="J1666" s="58">
        <v>46508.0</v>
      </c>
      <c r="K1666" s="48">
        <v>72300.0</v>
      </c>
      <c r="L1666" s="55">
        <v>89000.0</v>
      </c>
      <c r="M1666" s="25" t="s">
        <v>76</v>
      </c>
      <c r="N1666" s="70">
        <v>75000.0</v>
      </c>
      <c r="O1666" s="27">
        <f t="shared" si="216"/>
        <v>0.2309820194</v>
      </c>
      <c r="P1666" s="28">
        <f t="shared" si="217"/>
        <v>0</v>
      </c>
    </row>
    <row r="1667" hidden="1">
      <c r="A1667" s="56" t="s">
        <v>2455</v>
      </c>
      <c r="B1667" s="49"/>
      <c r="C1667" s="18"/>
      <c r="D1667" s="4"/>
      <c r="E1667" s="19"/>
      <c r="F1667" s="19"/>
      <c r="G1667" s="16" t="s">
        <v>98</v>
      </c>
      <c r="H1667" s="21">
        <v>3.0</v>
      </c>
      <c r="I1667" s="22"/>
      <c r="J1667" s="58">
        <v>46296.0</v>
      </c>
      <c r="K1667" s="48">
        <v>72300.0</v>
      </c>
      <c r="L1667" s="55">
        <v>89000.0</v>
      </c>
      <c r="M1667" s="25" t="s">
        <v>76</v>
      </c>
      <c r="N1667" s="70">
        <v>75000.0</v>
      </c>
      <c r="O1667" s="27">
        <f t="shared" si="216"/>
        <v>0.2309820194</v>
      </c>
      <c r="P1667" s="28">
        <f t="shared" si="217"/>
        <v>0</v>
      </c>
    </row>
    <row r="1668" hidden="1">
      <c r="A1668" s="56" t="s">
        <v>2456</v>
      </c>
      <c r="B1668" s="49"/>
      <c r="C1668" s="64" t="s">
        <v>97</v>
      </c>
      <c r="D1668" s="4"/>
      <c r="E1668" s="19"/>
      <c r="F1668" s="19"/>
      <c r="G1668" s="16" t="s">
        <v>98</v>
      </c>
      <c r="H1668" s="21">
        <v>3.0</v>
      </c>
      <c r="I1668" s="22"/>
      <c r="J1668" s="58">
        <v>45962.0</v>
      </c>
      <c r="K1668" s="48">
        <v>72300.0</v>
      </c>
      <c r="L1668" s="55">
        <v>89000.0</v>
      </c>
      <c r="M1668" s="25" t="s">
        <v>76</v>
      </c>
      <c r="N1668" s="70">
        <v>75000.0</v>
      </c>
      <c r="O1668" s="27">
        <f t="shared" si="216"/>
        <v>0.2309820194</v>
      </c>
      <c r="P1668" s="28">
        <f t="shared" si="217"/>
        <v>0</v>
      </c>
    </row>
    <row r="1669" hidden="1">
      <c r="A1669" s="16" t="s">
        <v>2457</v>
      </c>
      <c r="B1669" s="49"/>
      <c r="C1669" s="18" t="s">
        <v>985</v>
      </c>
      <c r="D1669" s="4"/>
      <c r="E1669" s="19"/>
      <c r="F1669" s="19"/>
      <c r="G1669" s="16" t="s">
        <v>98</v>
      </c>
      <c r="H1669" s="21">
        <v>5.0</v>
      </c>
      <c r="I1669" s="22"/>
      <c r="J1669" s="47">
        <v>46508.0</v>
      </c>
      <c r="K1669" s="48">
        <v>72300.0</v>
      </c>
      <c r="L1669" s="55">
        <v>89000.0</v>
      </c>
      <c r="M1669" s="25" t="s">
        <v>76</v>
      </c>
      <c r="N1669" s="70">
        <v>75000.0</v>
      </c>
      <c r="O1669" s="27">
        <f t="shared" si="216"/>
        <v>0.2309820194</v>
      </c>
      <c r="P1669" s="28">
        <f t="shared" si="217"/>
        <v>0</v>
      </c>
    </row>
    <row r="1670" hidden="1">
      <c r="A1670" s="16" t="s">
        <v>2458</v>
      </c>
      <c r="B1670" s="49"/>
      <c r="C1670" s="18" t="s">
        <v>985</v>
      </c>
      <c r="D1670" s="4"/>
      <c r="E1670" s="19"/>
      <c r="F1670" s="19"/>
      <c r="G1670" s="16" t="s">
        <v>98</v>
      </c>
      <c r="H1670" s="21">
        <v>1.0</v>
      </c>
      <c r="I1670" s="22"/>
      <c r="J1670" s="29"/>
      <c r="K1670" s="48">
        <v>72300.0</v>
      </c>
      <c r="L1670" s="55">
        <v>89000.0</v>
      </c>
      <c r="M1670" s="25" t="s">
        <v>76</v>
      </c>
      <c r="N1670" s="70">
        <v>75000.0</v>
      </c>
      <c r="O1670" s="27">
        <f t="shared" si="216"/>
        <v>0.2309820194</v>
      </c>
      <c r="P1670" s="28">
        <f t="shared" si="217"/>
        <v>0</v>
      </c>
    </row>
    <row r="1671" hidden="1">
      <c r="A1671" s="16" t="s">
        <v>2459</v>
      </c>
      <c r="B1671" s="49"/>
      <c r="C1671" s="18"/>
      <c r="D1671" s="4"/>
      <c r="E1671" s="19"/>
      <c r="F1671" s="19"/>
      <c r="G1671" s="16" t="s">
        <v>98</v>
      </c>
      <c r="H1671" s="21">
        <v>5.0</v>
      </c>
      <c r="I1671" s="22"/>
      <c r="J1671" s="29"/>
      <c r="K1671" s="48">
        <v>72300.0</v>
      </c>
      <c r="L1671" s="55">
        <v>89000.0</v>
      </c>
      <c r="M1671" s="25" t="s">
        <v>76</v>
      </c>
      <c r="N1671" s="70">
        <v>75000.0</v>
      </c>
      <c r="O1671" s="27">
        <f t="shared" si="216"/>
        <v>0.2309820194</v>
      </c>
      <c r="P1671" s="28">
        <f t="shared" si="217"/>
        <v>0</v>
      </c>
    </row>
    <row r="1672" hidden="1">
      <c r="A1672" s="16" t="s">
        <v>2460</v>
      </c>
      <c r="B1672" s="49"/>
      <c r="C1672" s="18"/>
      <c r="D1672" s="4"/>
      <c r="E1672" s="19"/>
      <c r="F1672" s="19"/>
      <c r="G1672" s="16" t="s">
        <v>98</v>
      </c>
      <c r="H1672" s="21">
        <v>5.0</v>
      </c>
      <c r="I1672" s="22"/>
      <c r="J1672" s="29"/>
      <c r="K1672" s="48">
        <v>72300.0</v>
      </c>
      <c r="L1672" s="55">
        <v>89000.0</v>
      </c>
      <c r="M1672" s="25" t="s">
        <v>76</v>
      </c>
      <c r="N1672" s="70">
        <v>75000.0</v>
      </c>
      <c r="O1672" s="27">
        <f t="shared" si="216"/>
        <v>0.2309820194</v>
      </c>
      <c r="P1672" s="28">
        <f t="shared" si="217"/>
        <v>0</v>
      </c>
    </row>
    <row r="1673" hidden="1">
      <c r="A1673" s="16" t="s">
        <v>2461</v>
      </c>
      <c r="B1673" s="17"/>
      <c r="C1673" s="18"/>
      <c r="D1673" s="4"/>
      <c r="E1673" s="19">
        <v>0.0</v>
      </c>
      <c r="F1673" s="19"/>
      <c r="G1673" s="16" t="s">
        <v>57</v>
      </c>
      <c r="H1673" s="21"/>
      <c r="I1673" s="22"/>
      <c r="J1673" s="29"/>
      <c r="K1673" s="43">
        <v>22000.0</v>
      </c>
      <c r="L1673" s="44">
        <v>35000.0</v>
      </c>
      <c r="M1673" s="25" t="s">
        <v>82</v>
      </c>
      <c r="N1673" s="26"/>
      <c r="O1673" s="27">
        <f t="shared" si="216"/>
        <v>0.5909090909</v>
      </c>
      <c r="P1673" s="28">
        <f t="shared" si="217"/>
        <v>0</v>
      </c>
    </row>
    <row r="1674" hidden="1">
      <c r="A1674" s="16" t="s">
        <v>2462</v>
      </c>
      <c r="B1674" s="17"/>
      <c r="C1674" s="18"/>
      <c r="D1674" s="4"/>
      <c r="E1674" s="19">
        <v>0.0</v>
      </c>
      <c r="F1674" s="19"/>
      <c r="G1674" s="16" t="s">
        <v>57</v>
      </c>
      <c r="H1674" s="21"/>
      <c r="I1674" s="22"/>
      <c r="J1674" s="29"/>
      <c r="K1674" s="43">
        <v>22000.0</v>
      </c>
      <c r="L1674" s="44">
        <v>35000.0</v>
      </c>
      <c r="M1674" s="25" t="s">
        <v>82</v>
      </c>
      <c r="N1674" s="26"/>
      <c r="O1674" s="27">
        <f t="shared" si="216"/>
        <v>0.5909090909</v>
      </c>
      <c r="P1674" s="28">
        <f t="shared" si="217"/>
        <v>0</v>
      </c>
    </row>
    <row r="1675" hidden="1">
      <c r="A1675" s="16" t="s">
        <v>2463</v>
      </c>
      <c r="B1675" s="36"/>
      <c r="C1675" s="18"/>
      <c r="D1675" s="4"/>
      <c r="E1675" s="19">
        <v>0.0</v>
      </c>
      <c r="F1675" s="19"/>
      <c r="G1675" s="16" t="s">
        <v>57</v>
      </c>
      <c r="H1675" s="21"/>
      <c r="I1675" s="22"/>
      <c r="J1675" s="29"/>
      <c r="K1675" s="43">
        <v>22000.0</v>
      </c>
      <c r="L1675" s="44">
        <v>35000.0</v>
      </c>
      <c r="M1675" s="25" t="s">
        <v>82</v>
      </c>
      <c r="N1675" s="26"/>
      <c r="O1675" s="27">
        <f t="shared" si="216"/>
        <v>0.5909090909</v>
      </c>
      <c r="P1675" s="28">
        <f t="shared" si="217"/>
        <v>0</v>
      </c>
    </row>
    <row r="1676" hidden="1">
      <c r="A1676" s="16" t="s">
        <v>2464</v>
      </c>
      <c r="B1676" s="17"/>
      <c r="C1676" s="18"/>
      <c r="D1676" s="4"/>
      <c r="E1676" s="19">
        <v>0.0</v>
      </c>
      <c r="F1676" s="19"/>
      <c r="G1676" s="16" t="s">
        <v>57</v>
      </c>
      <c r="H1676" s="21"/>
      <c r="I1676" s="22"/>
      <c r="J1676" s="29"/>
      <c r="K1676" s="43">
        <v>22000.0</v>
      </c>
      <c r="L1676" s="44">
        <v>35000.0</v>
      </c>
      <c r="M1676" s="25" t="s">
        <v>82</v>
      </c>
      <c r="N1676" s="26"/>
      <c r="O1676" s="27">
        <f t="shared" si="216"/>
        <v>0.5909090909</v>
      </c>
      <c r="P1676" s="28">
        <f t="shared" si="217"/>
        <v>0</v>
      </c>
    </row>
    <row r="1677" hidden="1">
      <c r="A1677" s="16" t="s">
        <v>2465</v>
      </c>
      <c r="B1677" s="36"/>
      <c r="C1677" s="18"/>
      <c r="D1677" s="4"/>
      <c r="E1677" s="19">
        <v>0.0</v>
      </c>
      <c r="F1677" s="19"/>
      <c r="G1677" s="16" t="s">
        <v>2466</v>
      </c>
      <c r="H1677" s="21"/>
      <c r="I1677" s="22"/>
      <c r="J1677" s="29"/>
      <c r="K1677" s="32">
        <v>2500.0</v>
      </c>
      <c r="L1677" s="24">
        <v>5000.0</v>
      </c>
      <c r="M1677" s="25"/>
      <c r="N1677" s="70"/>
      <c r="O1677" s="27">
        <f t="shared" si="216"/>
        <v>1</v>
      </c>
      <c r="P1677" s="28">
        <f t="shared" si="217"/>
        <v>0</v>
      </c>
    </row>
    <row r="1678" ht="24.0" hidden="1" customHeight="1">
      <c r="A1678" s="269" t="s">
        <v>2467</v>
      </c>
      <c r="B1678" s="17"/>
      <c r="C1678" s="18"/>
      <c r="D1678" s="4"/>
      <c r="E1678" s="19">
        <v>0.0</v>
      </c>
      <c r="F1678" s="19">
        <v>0.0</v>
      </c>
      <c r="G1678" s="16" t="s">
        <v>2468</v>
      </c>
      <c r="H1678" s="21"/>
      <c r="I1678" s="22"/>
      <c r="J1678" s="29"/>
      <c r="K1678" s="48">
        <v>9685.0</v>
      </c>
      <c r="L1678" s="24">
        <v>15000.0</v>
      </c>
      <c r="M1678" s="25"/>
      <c r="N1678" s="26">
        <v>12000.0</v>
      </c>
      <c r="O1678" s="27">
        <f t="shared" si="216"/>
        <v>0.5487867837</v>
      </c>
      <c r="P1678" s="28">
        <f t="shared" si="217"/>
        <v>0</v>
      </c>
    </row>
    <row r="1679" hidden="1">
      <c r="A1679" s="42" t="s">
        <v>2469</v>
      </c>
      <c r="B1679" s="17"/>
      <c r="C1679" s="18" t="s">
        <v>547</v>
      </c>
      <c r="D1679" s="4"/>
      <c r="E1679" s="19">
        <v>0.0</v>
      </c>
      <c r="F1679" s="19">
        <v>0.0</v>
      </c>
      <c r="G1679" s="16" t="s">
        <v>760</v>
      </c>
      <c r="H1679" s="21"/>
      <c r="I1679" s="22">
        <v>0.0</v>
      </c>
      <c r="J1679" s="29"/>
      <c r="K1679" s="43">
        <v>1.0</v>
      </c>
      <c r="L1679" s="43">
        <v>1.0</v>
      </c>
      <c r="M1679" s="25"/>
      <c r="N1679" s="26"/>
      <c r="O1679" s="27">
        <f t="shared" si="216"/>
        <v>0</v>
      </c>
      <c r="P1679" s="28">
        <f t="shared" si="217"/>
        <v>0</v>
      </c>
    </row>
    <row r="1680" hidden="1">
      <c r="A1680" s="118" t="s">
        <v>2470</v>
      </c>
      <c r="B1680" s="36" t="s">
        <v>2471</v>
      </c>
      <c r="C1680" s="18"/>
      <c r="D1680" s="4"/>
      <c r="E1680" s="19">
        <v>0.0</v>
      </c>
      <c r="F1680" s="19"/>
      <c r="G1680" s="16" t="s">
        <v>2472</v>
      </c>
      <c r="H1680" s="21"/>
      <c r="I1680" s="22"/>
      <c r="J1680" s="29"/>
      <c r="K1680" s="43">
        <f>4490*1.19</f>
        <v>5343.1</v>
      </c>
      <c r="L1680" s="44">
        <v>9000.0</v>
      </c>
      <c r="M1680" s="25"/>
      <c r="N1680" s="26"/>
      <c r="O1680" s="27">
        <f t="shared" si="216"/>
        <v>0.6844154143</v>
      </c>
      <c r="P1680" s="28">
        <f t="shared" si="217"/>
        <v>0</v>
      </c>
    </row>
    <row r="1681" hidden="1">
      <c r="A1681" s="16" t="s">
        <v>2473</v>
      </c>
      <c r="B1681" s="36" t="s">
        <v>2474</v>
      </c>
      <c r="C1681" s="18"/>
      <c r="D1681" s="4"/>
      <c r="E1681" s="19"/>
      <c r="F1681" s="19"/>
      <c r="G1681" s="16" t="s">
        <v>2475</v>
      </c>
      <c r="H1681" s="21"/>
      <c r="I1681" s="22">
        <v>22.0</v>
      </c>
      <c r="J1681" s="29"/>
      <c r="K1681" s="48">
        <f>5382*1.19</f>
        <v>6404.58</v>
      </c>
      <c r="L1681" s="55">
        <v>9000.0</v>
      </c>
      <c r="M1681" s="25"/>
      <c r="N1681" s="26"/>
      <c r="O1681" s="27">
        <f t="shared" si="216"/>
        <v>0.405244372</v>
      </c>
      <c r="P1681" s="28">
        <f t="shared" si="217"/>
        <v>0</v>
      </c>
    </row>
    <row r="1682" hidden="1">
      <c r="A1682" s="52" t="s">
        <v>2476</v>
      </c>
      <c r="B1682" s="17"/>
      <c r="C1682" s="18"/>
      <c r="D1682" s="4"/>
      <c r="E1682" s="19">
        <v>0.0</v>
      </c>
      <c r="F1682" s="19">
        <v>0.0</v>
      </c>
      <c r="G1682" s="16" t="s">
        <v>2477</v>
      </c>
      <c r="H1682" s="21"/>
      <c r="I1682" s="22">
        <v>10.0</v>
      </c>
      <c r="J1682" s="29"/>
      <c r="K1682" s="48">
        <f>18500*1.19-925</f>
        <v>21090</v>
      </c>
      <c r="L1682" s="55">
        <v>36000.0</v>
      </c>
      <c r="M1682" s="25"/>
      <c r="N1682" s="26"/>
      <c r="O1682" s="27">
        <f t="shared" si="216"/>
        <v>0.706970128</v>
      </c>
      <c r="P1682" s="28">
        <f t="shared" si="217"/>
        <v>0</v>
      </c>
    </row>
    <row r="1683" hidden="1">
      <c r="A1683" s="42" t="s">
        <v>2478</v>
      </c>
      <c r="B1683" s="36"/>
      <c r="C1683" s="18" t="s">
        <v>547</v>
      </c>
      <c r="D1683" s="4"/>
      <c r="E1683" s="19">
        <v>0.0</v>
      </c>
      <c r="F1683" s="19">
        <v>0.0</v>
      </c>
      <c r="G1683" s="16" t="s">
        <v>2479</v>
      </c>
      <c r="H1683" s="21"/>
      <c r="I1683" s="22">
        <v>5.0</v>
      </c>
      <c r="J1683" s="29"/>
      <c r="K1683" s="43">
        <v>1.0</v>
      </c>
      <c r="L1683" s="43">
        <v>1.0</v>
      </c>
      <c r="M1683" s="25"/>
      <c r="N1683" s="26"/>
      <c r="O1683" s="27">
        <f t="shared" si="216"/>
        <v>0</v>
      </c>
      <c r="P1683" s="28">
        <f t="shared" si="217"/>
        <v>0</v>
      </c>
    </row>
    <row r="1684" hidden="1">
      <c r="A1684" s="122" t="s">
        <v>2480</v>
      </c>
      <c r="B1684" s="17">
        <v>240001.0</v>
      </c>
      <c r="C1684" s="18"/>
      <c r="D1684" s="4"/>
      <c r="E1684" s="19">
        <v>0.0</v>
      </c>
      <c r="F1684" s="19">
        <v>0.0</v>
      </c>
      <c r="G1684" s="16" t="s">
        <v>425</v>
      </c>
      <c r="H1684" s="21"/>
      <c r="I1684" s="22">
        <v>80.0</v>
      </c>
      <c r="J1684" s="29"/>
      <c r="K1684" s="43">
        <f>320*1.19</f>
        <v>380.8</v>
      </c>
      <c r="L1684" s="44">
        <v>1000.0</v>
      </c>
      <c r="M1684" s="25"/>
      <c r="N1684" s="26"/>
      <c r="O1684" s="27">
        <f t="shared" si="216"/>
        <v>1.62605042</v>
      </c>
      <c r="P1684" s="28">
        <f t="shared" si="217"/>
        <v>0</v>
      </c>
    </row>
    <row r="1685" hidden="1">
      <c r="A1685" s="122" t="s">
        <v>2481</v>
      </c>
      <c r="B1685" s="17">
        <v>240003.0</v>
      </c>
      <c r="C1685" s="18"/>
      <c r="D1685" s="4"/>
      <c r="E1685" s="19">
        <v>0.0</v>
      </c>
      <c r="F1685" s="19">
        <v>0.0</v>
      </c>
      <c r="G1685" s="16" t="s">
        <v>425</v>
      </c>
      <c r="H1685" s="73"/>
      <c r="I1685" s="22">
        <v>40.0</v>
      </c>
      <c r="J1685" s="74"/>
      <c r="K1685" s="75">
        <v>427.0</v>
      </c>
      <c r="L1685" s="44">
        <v>1500.0</v>
      </c>
      <c r="M1685" s="25"/>
      <c r="N1685" s="26"/>
      <c r="O1685" s="27">
        <f t="shared" si="216"/>
        <v>2.512880562</v>
      </c>
      <c r="P1685" s="28">
        <f t="shared" si="217"/>
        <v>0</v>
      </c>
    </row>
    <row r="1686" hidden="1">
      <c r="A1686" s="122" t="s">
        <v>2482</v>
      </c>
      <c r="B1686" s="17">
        <v>240015.0</v>
      </c>
      <c r="C1686" s="18"/>
      <c r="D1686" s="4"/>
      <c r="E1686" s="19">
        <v>0.0</v>
      </c>
      <c r="F1686" s="19">
        <v>0.0</v>
      </c>
      <c r="G1686" s="16" t="s">
        <v>425</v>
      </c>
      <c r="H1686" s="21"/>
      <c r="I1686" s="22">
        <v>20.0</v>
      </c>
      <c r="J1686" s="74"/>
      <c r="K1686" s="75">
        <f>703*1.19</f>
        <v>836.57</v>
      </c>
      <c r="L1686" s="44">
        <v>1500.0</v>
      </c>
      <c r="M1686" s="25"/>
      <c r="N1686" s="70"/>
      <c r="O1686" s="27">
        <f t="shared" si="216"/>
        <v>0.7930358488</v>
      </c>
      <c r="P1686" s="28">
        <f t="shared" si="217"/>
        <v>0</v>
      </c>
    </row>
    <row r="1687" hidden="1">
      <c r="A1687" s="122" t="s">
        <v>2483</v>
      </c>
      <c r="B1687" s="17">
        <v>240009.0</v>
      </c>
      <c r="C1687" s="18"/>
      <c r="D1687" s="4"/>
      <c r="E1687" s="19">
        <v>0.0</v>
      </c>
      <c r="F1687" s="19">
        <v>0.0</v>
      </c>
      <c r="G1687" s="16" t="s">
        <v>425</v>
      </c>
      <c r="H1687" s="21"/>
      <c r="I1687" s="22">
        <v>20.0</v>
      </c>
      <c r="J1687" s="45"/>
      <c r="K1687" s="172">
        <f>790*1.19</f>
        <v>940.1</v>
      </c>
      <c r="L1687" s="172">
        <v>2000.0</v>
      </c>
      <c r="M1687" s="25"/>
      <c r="N1687" s="70"/>
      <c r="O1687" s="27">
        <f t="shared" si="216"/>
        <v>1.127433252</v>
      </c>
      <c r="P1687" s="28">
        <f t="shared" si="217"/>
        <v>0</v>
      </c>
    </row>
    <row r="1688" hidden="1">
      <c r="A1688" s="122" t="s">
        <v>2484</v>
      </c>
      <c r="B1688" s="17">
        <v>240011.0</v>
      </c>
      <c r="C1688" s="18"/>
      <c r="D1688" s="4"/>
      <c r="E1688" s="19">
        <v>0.0</v>
      </c>
      <c r="F1688" s="19">
        <v>0.0</v>
      </c>
      <c r="G1688" s="16" t="s">
        <v>425</v>
      </c>
      <c r="H1688" s="21"/>
      <c r="I1688" s="22">
        <v>80.0</v>
      </c>
      <c r="J1688" s="74"/>
      <c r="K1688" s="75">
        <f t="shared" ref="K1688:K1691" si="218">703*1.19</f>
        <v>836.57</v>
      </c>
      <c r="L1688" s="44">
        <v>1500.0</v>
      </c>
      <c r="M1688" s="25"/>
      <c r="N1688" s="70"/>
      <c r="O1688" s="27">
        <f t="shared" si="216"/>
        <v>0.7930358488</v>
      </c>
      <c r="P1688" s="28">
        <f t="shared" si="217"/>
        <v>0</v>
      </c>
    </row>
    <row r="1689" hidden="1">
      <c r="A1689" s="122" t="s">
        <v>2485</v>
      </c>
      <c r="B1689" s="17">
        <v>240005.0</v>
      </c>
      <c r="C1689" s="18"/>
      <c r="D1689" s="4"/>
      <c r="E1689" s="19">
        <v>0.0</v>
      </c>
      <c r="F1689" s="19">
        <v>0.0</v>
      </c>
      <c r="G1689" s="16" t="s">
        <v>425</v>
      </c>
      <c r="H1689" s="21"/>
      <c r="I1689" s="22">
        <v>30.0</v>
      </c>
      <c r="J1689" s="74"/>
      <c r="K1689" s="75">
        <f t="shared" si="218"/>
        <v>836.57</v>
      </c>
      <c r="L1689" s="44">
        <v>1500.0</v>
      </c>
      <c r="M1689" s="25"/>
      <c r="N1689" s="26"/>
      <c r="O1689" s="27">
        <f t="shared" si="216"/>
        <v>0.7930358488</v>
      </c>
      <c r="P1689" s="28">
        <f t="shared" si="217"/>
        <v>0</v>
      </c>
    </row>
    <row r="1690" hidden="1">
      <c r="A1690" s="122" t="s">
        <v>2486</v>
      </c>
      <c r="B1690" s="17">
        <v>240013.0</v>
      </c>
      <c r="C1690" s="18"/>
      <c r="D1690" s="4"/>
      <c r="E1690" s="19">
        <v>0.0</v>
      </c>
      <c r="F1690" s="19">
        <v>0.0</v>
      </c>
      <c r="G1690" s="16" t="s">
        <v>425</v>
      </c>
      <c r="H1690" s="21"/>
      <c r="I1690" s="22">
        <v>30.0</v>
      </c>
      <c r="J1690" s="74"/>
      <c r="K1690" s="75">
        <f t="shared" si="218"/>
        <v>836.57</v>
      </c>
      <c r="L1690" s="44">
        <v>1500.0</v>
      </c>
      <c r="M1690" s="25"/>
      <c r="N1690" s="70"/>
      <c r="O1690" s="27">
        <f t="shared" si="216"/>
        <v>0.7930358488</v>
      </c>
      <c r="P1690" s="28">
        <f t="shared" si="217"/>
        <v>0</v>
      </c>
    </row>
    <row r="1691" hidden="1">
      <c r="A1691" s="122" t="s">
        <v>2487</v>
      </c>
      <c r="B1691" s="17">
        <v>240007.0</v>
      </c>
      <c r="C1691" s="18"/>
      <c r="D1691" s="4"/>
      <c r="E1691" s="19">
        <v>0.0</v>
      </c>
      <c r="F1691" s="19">
        <v>0.0</v>
      </c>
      <c r="G1691" s="16" t="s">
        <v>425</v>
      </c>
      <c r="H1691" s="21"/>
      <c r="I1691" s="22">
        <v>30.0</v>
      </c>
      <c r="J1691" s="74"/>
      <c r="K1691" s="75">
        <f t="shared" si="218"/>
        <v>836.57</v>
      </c>
      <c r="L1691" s="44">
        <v>1500.0</v>
      </c>
      <c r="M1691" s="25"/>
      <c r="N1691" s="26"/>
      <c r="O1691" s="27">
        <f t="shared" si="216"/>
        <v>0.7930358488</v>
      </c>
      <c r="P1691" s="28">
        <f t="shared" si="217"/>
        <v>0</v>
      </c>
    </row>
    <row r="1692" hidden="1">
      <c r="A1692" s="122" t="s">
        <v>2488</v>
      </c>
      <c r="B1692" s="17">
        <v>240002.0</v>
      </c>
      <c r="C1692" s="18"/>
      <c r="D1692" s="4"/>
      <c r="E1692" s="19">
        <v>0.0</v>
      </c>
      <c r="F1692" s="19">
        <v>0.0</v>
      </c>
      <c r="G1692" s="16" t="s">
        <v>425</v>
      </c>
      <c r="H1692" s="73"/>
      <c r="I1692" s="22">
        <v>21.0</v>
      </c>
      <c r="J1692" s="74"/>
      <c r="K1692" s="75">
        <v>300.0</v>
      </c>
      <c r="L1692" s="44">
        <v>1000.0</v>
      </c>
      <c r="M1692" s="25"/>
      <c r="N1692" s="26"/>
      <c r="O1692" s="27">
        <f t="shared" si="216"/>
        <v>2.333333333</v>
      </c>
      <c r="P1692" s="28">
        <f t="shared" si="217"/>
        <v>0</v>
      </c>
    </row>
    <row r="1693" hidden="1">
      <c r="A1693" s="16" t="s">
        <v>2489</v>
      </c>
      <c r="B1693" s="51">
        <v>1.0</v>
      </c>
      <c r="C1693" s="270"/>
      <c r="D1693" s="136"/>
      <c r="E1693" s="19">
        <v>0.0</v>
      </c>
      <c r="F1693" s="19">
        <v>0.0</v>
      </c>
      <c r="G1693" s="16" t="s">
        <v>93</v>
      </c>
      <c r="H1693" s="271"/>
      <c r="I1693" s="49"/>
      <c r="J1693" s="26"/>
      <c r="K1693" s="48">
        <v>706000.0</v>
      </c>
      <c r="L1693" s="55">
        <v>882000.0</v>
      </c>
      <c r="M1693" s="49"/>
      <c r="N1693" s="26"/>
      <c r="O1693" s="27"/>
      <c r="P1693" s="28"/>
    </row>
    <row r="1694" hidden="1">
      <c r="A1694" s="16" t="s">
        <v>2490</v>
      </c>
      <c r="B1694" s="49"/>
      <c r="C1694" s="270"/>
      <c r="D1694" s="136"/>
      <c r="E1694" s="19">
        <v>0.0</v>
      </c>
      <c r="F1694" s="19">
        <v>0.0</v>
      </c>
      <c r="G1694" s="16" t="s">
        <v>93</v>
      </c>
      <c r="H1694" s="271"/>
      <c r="I1694" s="49"/>
      <c r="J1694" s="272"/>
      <c r="K1694" s="55">
        <v>1154000.0</v>
      </c>
      <c r="L1694" s="55">
        <v>1443000.0</v>
      </c>
      <c r="M1694" s="49"/>
      <c r="N1694" s="70"/>
      <c r="O1694" s="27"/>
      <c r="P1694" s="28"/>
    </row>
    <row r="1695" hidden="1">
      <c r="A1695" s="16" t="s">
        <v>2491</v>
      </c>
      <c r="B1695" s="49">
        <v>1.0</v>
      </c>
      <c r="C1695" s="270"/>
      <c r="D1695" s="136"/>
      <c r="E1695" s="19">
        <v>0.0</v>
      </c>
      <c r="F1695" s="19">
        <v>0.0</v>
      </c>
      <c r="G1695" s="16" t="s">
        <v>93</v>
      </c>
      <c r="H1695" s="271"/>
      <c r="I1695" s="49"/>
      <c r="J1695" s="26"/>
      <c r="K1695" s="48">
        <v>1005000.0</v>
      </c>
      <c r="L1695" s="48">
        <v>1256000.0</v>
      </c>
      <c r="M1695" s="49"/>
      <c r="N1695" s="50"/>
      <c r="O1695" s="27"/>
      <c r="P1695" s="28"/>
    </row>
    <row r="1696" hidden="1">
      <c r="A1696" s="16" t="s">
        <v>2492</v>
      </c>
      <c r="B1696" s="17"/>
      <c r="C1696" s="18"/>
      <c r="D1696" s="4"/>
      <c r="E1696" s="19">
        <v>0.0</v>
      </c>
      <c r="F1696" s="19">
        <v>0.0</v>
      </c>
      <c r="G1696" s="16" t="s">
        <v>792</v>
      </c>
      <c r="H1696" s="21"/>
      <c r="I1696" s="22">
        <v>1.0</v>
      </c>
      <c r="J1696" s="29"/>
      <c r="K1696" s="43"/>
      <c r="L1696" s="44">
        <v>450000.0</v>
      </c>
      <c r="M1696" s="25"/>
      <c r="N1696" s="26"/>
      <c r="O1696" s="27" t="str">
        <f t="shared" ref="O1696:O1731" si="219">(L1696/K1696)-1</f>
        <v>#DIV/0!</v>
      </c>
      <c r="P1696" s="28">
        <f t="shared" ref="P1696:P1705" si="220">K1696*F1696</f>
        <v>0</v>
      </c>
    </row>
    <row r="1697" hidden="1">
      <c r="A1697" s="40" t="s">
        <v>2493</v>
      </c>
      <c r="B1697" s="17"/>
      <c r="C1697" s="38"/>
      <c r="D1697" s="4"/>
      <c r="E1697" s="19">
        <v>1.0</v>
      </c>
      <c r="F1697" s="19"/>
      <c r="G1697" s="16" t="s">
        <v>2494</v>
      </c>
      <c r="H1697" s="21">
        <v>1.0</v>
      </c>
      <c r="I1697" s="22"/>
      <c r="J1697" s="47">
        <v>46054.0</v>
      </c>
      <c r="K1697" s="60">
        <v>185600.0</v>
      </c>
      <c r="L1697" s="55">
        <v>220000.0</v>
      </c>
      <c r="M1697" s="25" t="s">
        <v>76</v>
      </c>
      <c r="N1697" s="26"/>
      <c r="O1697" s="27">
        <f t="shared" si="219"/>
        <v>0.1853448276</v>
      </c>
      <c r="P1697" s="28">
        <f t="shared" si="220"/>
        <v>0</v>
      </c>
    </row>
    <row r="1698" hidden="1">
      <c r="A1698" s="52" t="s">
        <v>2495</v>
      </c>
      <c r="B1698" s="49"/>
      <c r="C1698" s="18"/>
      <c r="D1698" s="4"/>
      <c r="E1698" s="19"/>
      <c r="F1698" s="19"/>
      <c r="G1698" s="16" t="s">
        <v>88</v>
      </c>
      <c r="H1698" s="21"/>
      <c r="I1698" s="22">
        <v>0.0</v>
      </c>
      <c r="J1698" s="29"/>
      <c r="K1698" s="48">
        <f>11235*1.19</f>
        <v>13369.65</v>
      </c>
      <c r="L1698" s="55">
        <v>18000.0</v>
      </c>
      <c r="M1698" s="25"/>
      <c r="N1698" s="26"/>
      <c r="O1698" s="27">
        <f t="shared" si="219"/>
        <v>0.3463329257</v>
      </c>
      <c r="P1698" s="28">
        <f t="shared" si="220"/>
        <v>0</v>
      </c>
    </row>
    <row r="1699" hidden="1">
      <c r="A1699" s="16" t="s">
        <v>2496</v>
      </c>
      <c r="B1699" s="17"/>
      <c r="C1699" s="18"/>
      <c r="D1699" s="4"/>
      <c r="E1699" s="19">
        <v>0.0</v>
      </c>
      <c r="F1699" s="19">
        <v>0.0</v>
      </c>
      <c r="G1699" s="16" t="s">
        <v>588</v>
      </c>
      <c r="H1699" s="21"/>
      <c r="I1699" s="22">
        <f>12+19</f>
        <v>31</v>
      </c>
      <c r="J1699" s="47">
        <v>47300.0</v>
      </c>
      <c r="K1699" s="32">
        <v>4282.0</v>
      </c>
      <c r="L1699" s="32">
        <v>6000.0</v>
      </c>
      <c r="M1699" s="25"/>
      <c r="N1699" s="26"/>
      <c r="O1699" s="27">
        <f t="shared" si="219"/>
        <v>0.4012143858</v>
      </c>
      <c r="P1699" s="28">
        <f t="shared" si="220"/>
        <v>0</v>
      </c>
    </row>
    <row r="1700" hidden="1">
      <c r="A1700" s="16" t="s">
        <v>2497</v>
      </c>
      <c r="B1700" s="17"/>
      <c r="C1700" s="18"/>
      <c r="D1700" s="4"/>
      <c r="E1700" s="19">
        <v>0.0</v>
      </c>
      <c r="F1700" s="19">
        <v>0.0</v>
      </c>
      <c r="G1700" s="16" t="s">
        <v>588</v>
      </c>
      <c r="H1700" s="21"/>
      <c r="I1700" s="22">
        <v>10.0</v>
      </c>
      <c r="J1700" s="47">
        <v>46508.0</v>
      </c>
      <c r="K1700" s="32">
        <v>2975.0</v>
      </c>
      <c r="L1700" s="32">
        <v>4000.0</v>
      </c>
      <c r="M1700" s="25"/>
      <c r="N1700" s="26"/>
      <c r="O1700" s="27">
        <f t="shared" si="219"/>
        <v>0.3445378151</v>
      </c>
      <c r="P1700" s="28">
        <f t="shared" si="220"/>
        <v>0</v>
      </c>
    </row>
    <row r="1701" hidden="1">
      <c r="A1701" s="16" t="s">
        <v>2498</v>
      </c>
      <c r="B1701" s="17"/>
      <c r="C1701" s="18"/>
      <c r="D1701" s="4"/>
      <c r="E1701" s="19">
        <v>0.0</v>
      </c>
      <c r="F1701" s="19">
        <v>0.0</v>
      </c>
      <c r="G1701" s="16" t="s">
        <v>670</v>
      </c>
      <c r="H1701" s="21"/>
      <c r="I1701" s="22">
        <v>0.0</v>
      </c>
      <c r="J1701" s="29"/>
      <c r="K1701" s="43">
        <f>2178*1.19</f>
        <v>2591.82</v>
      </c>
      <c r="L1701" s="44">
        <v>4500.0</v>
      </c>
      <c r="M1701" s="25"/>
      <c r="N1701" s="26"/>
      <c r="O1701" s="27">
        <f t="shared" si="219"/>
        <v>0.7362316828</v>
      </c>
      <c r="P1701" s="28">
        <f t="shared" si="220"/>
        <v>0</v>
      </c>
    </row>
    <row r="1702" hidden="1">
      <c r="A1702" s="16" t="s">
        <v>2499</v>
      </c>
      <c r="B1702" s="17"/>
      <c r="C1702" s="18"/>
      <c r="D1702" s="4"/>
      <c r="E1702" s="19">
        <v>0.0</v>
      </c>
      <c r="F1702" s="19">
        <v>0.0</v>
      </c>
      <c r="G1702" s="16" t="s">
        <v>670</v>
      </c>
      <c r="H1702" s="21"/>
      <c r="I1702" s="22">
        <v>6.0</v>
      </c>
      <c r="J1702" s="29"/>
      <c r="K1702" s="43">
        <f>910*1.19</f>
        <v>1082.9</v>
      </c>
      <c r="L1702" s="44">
        <v>3000.0</v>
      </c>
      <c r="M1702" s="25"/>
      <c r="N1702" s="26"/>
      <c r="O1702" s="27">
        <f t="shared" si="219"/>
        <v>1.770338905</v>
      </c>
      <c r="P1702" s="28">
        <f t="shared" si="220"/>
        <v>0</v>
      </c>
    </row>
    <row r="1703" hidden="1">
      <c r="A1703" s="16" t="s">
        <v>2500</v>
      </c>
      <c r="B1703" s="17"/>
      <c r="C1703" s="18"/>
      <c r="D1703" s="4"/>
      <c r="E1703" s="19">
        <v>0.0</v>
      </c>
      <c r="F1703" s="19">
        <v>0.0</v>
      </c>
      <c r="G1703" s="16" t="s">
        <v>670</v>
      </c>
      <c r="H1703" s="21"/>
      <c r="I1703" s="22">
        <v>3.0</v>
      </c>
      <c r="J1703" s="29"/>
      <c r="K1703" s="43">
        <f>4202*1.19</f>
        <v>5000.38</v>
      </c>
      <c r="L1703" s="44">
        <v>8500.0</v>
      </c>
      <c r="M1703" s="25"/>
      <c r="N1703" s="26"/>
      <c r="O1703" s="27">
        <f t="shared" si="219"/>
        <v>0.6998708098</v>
      </c>
      <c r="P1703" s="28">
        <f t="shared" si="220"/>
        <v>0</v>
      </c>
    </row>
    <row r="1704" hidden="1">
      <c r="A1704" s="16" t="s">
        <v>2501</v>
      </c>
      <c r="B1704" s="17"/>
      <c r="C1704" s="18"/>
      <c r="D1704" s="4"/>
      <c r="E1704" s="19"/>
      <c r="F1704" s="19"/>
      <c r="G1704" s="16" t="s">
        <v>2502</v>
      </c>
      <c r="H1704" s="21"/>
      <c r="I1704" s="22">
        <v>0.0</v>
      </c>
      <c r="J1704" s="47">
        <v>46478.0</v>
      </c>
      <c r="K1704" s="32">
        <v>6288.0</v>
      </c>
      <c r="L1704" s="32">
        <v>9000.0</v>
      </c>
      <c r="M1704" s="25"/>
      <c r="N1704" s="26"/>
      <c r="O1704" s="27">
        <f t="shared" si="219"/>
        <v>0.4312977099</v>
      </c>
      <c r="P1704" s="28">
        <f t="shared" si="220"/>
        <v>0</v>
      </c>
    </row>
    <row r="1705" hidden="1">
      <c r="A1705" s="16" t="s">
        <v>2503</v>
      </c>
      <c r="B1705" s="17"/>
      <c r="C1705" s="18"/>
      <c r="D1705" s="4"/>
      <c r="E1705" s="19">
        <v>0.0</v>
      </c>
      <c r="F1705" s="19">
        <v>0.0</v>
      </c>
      <c r="G1705" s="16" t="s">
        <v>93</v>
      </c>
      <c r="H1705" s="21"/>
      <c r="I1705" s="22">
        <v>1.0</v>
      </c>
      <c r="J1705" s="47">
        <v>47150.0</v>
      </c>
      <c r="K1705" s="48">
        <v>188200.0</v>
      </c>
      <c r="L1705" s="55">
        <v>235000.0</v>
      </c>
      <c r="M1705" s="25"/>
      <c r="N1705" s="26">
        <v>194000.0</v>
      </c>
      <c r="O1705" s="27">
        <f t="shared" si="219"/>
        <v>0.2486716259</v>
      </c>
      <c r="P1705" s="28">
        <f t="shared" si="220"/>
        <v>0</v>
      </c>
    </row>
    <row r="1706" hidden="1">
      <c r="A1706" s="52" t="s">
        <v>2504</v>
      </c>
      <c r="B1706" s="17"/>
      <c r="C1706" s="18"/>
      <c r="D1706" s="4"/>
      <c r="E1706" s="19">
        <v>0.0</v>
      </c>
      <c r="F1706" s="19">
        <v>0.0</v>
      </c>
      <c r="G1706" s="16" t="s">
        <v>2505</v>
      </c>
      <c r="H1706" s="21"/>
      <c r="I1706" s="22">
        <v>2.0</v>
      </c>
      <c r="J1706" s="29"/>
      <c r="K1706" s="48">
        <f>6100*1.19</f>
        <v>7259</v>
      </c>
      <c r="L1706" s="55">
        <v>12000.0</v>
      </c>
      <c r="M1706" s="25"/>
      <c r="N1706" s="26">
        <v>10000.0</v>
      </c>
      <c r="O1706" s="27">
        <f t="shared" si="219"/>
        <v>0.6531202645</v>
      </c>
      <c r="P1706" s="28" t="str">
        <f>K1706*#REF!</f>
        <v>#REF!</v>
      </c>
    </row>
    <row r="1707" hidden="1">
      <c r="A1707" s="42" t="s">
        <v>2506</v>
      </c>
      <c r="B1707" s="273"/>
      <c r="C1707" s="18"/>
      <c r="D1707" s="107"/>
      <c r="E1707" s="19">
        <v>10.0</v>
      </c>
      <c r="F1707" s="19">
        <v>10.0</v>
      </c>
      <c r="G1707" s="16" t="s">
        <v>102</v>
      </c>
      <c r="H1707" s="21"/>
      <c r="I1707" s="22">
        <v>2.0</v>
      </c>
      <c r="J1707" s="29"/>
      <c r="K1707" s="32">
        <v>29040.0</v>
      </c>
      <c r="L1707" s="24">
        <v>40000.0</v>
      </c>
      <c r="M1707" s="25"/>
      <c r="N1707" s="26">
        <v>34000.0</v>
      </c>
      <c r="O1707" s="27">
        <f t="shared" si="219"/>
        <v>0.3774104683</v>
      </c>
      <c r="P1707" s="28">
        <f t="shared" ref="P1707:P1731" si="221">K1707*F1707</f>
        <v>290400</v>
      </c>
    </row>
    <row r="1708" hidden="1">
      <c r="A1708" s="16" t="s">
        <v>2507</v>
      </c>
      <c r="B1708" s="17"/>
      <c r="C1708" s="18"/>
      <c r="D1708" s="4"/>
      <c r="E1708" s="19">
        <v>0.0</v>
      </c>
      <c r="F1708" s="19">
        <v>0.0</v>
      </c>
      <c r="G1708" s="16" t="s">
        <v>1328</v>
      </c>
      <c r="H1708" s="21"/>
      <c r="I1708" s="22">
        <v>0.0</v>
      </c>
      <c r="J1708" s="29"/>
      <c r="K1708" s="43">
        <v>29500.0</v>
      </c>
      <c r="L1708" s="44">
        <v>36000.0</v>
      </c>
      <c r="M1708" s="25"/>
      <c r="N1708" s="26"/>
      <c r="O1708" s="27">
        <f t="shared" si="219"/>
        <v>0.2203389831</v>
      </c>
      <c r="P1708" s="28">
        <f t="shared" si="221"/>
        <v>0</v>
      </c>
    </row>
    <row r="1709" hidden="1">
      <c r="A1709" s="16" t="s">
        <v>2508</v>
      </c>
      <c r="B1709" s="17"/>
      <c r="C1709" s="18"/>
      <c r="D1709" s="4"/>
      <c r="E1709" s="19">
        <v>4.0</v>
      </c>
      <c r="F1709" s="19">
        <v>0.0</v>
      </c>
      <c r="G1709" s="16" t="s">
        <v>476</v>
      </c>
      <c r="H1709" s="21"/>
      <c r="I1709" s="22">
        <v>3.0</v>
      </c>
      <c r="J1709" s="29"/>
      <c r="K1709" s="48">
        <v>37000.0</v>
      </c>
      <c r="L1709" s="48">
        <v>46000.0</v>
      </c>
      <c r="M1709" s="25" t="s">
        <v>82</v>
      </c>
      <c r="N1709" s="26"/>
      <c r="O1709" s="27">
        <f t="shared" si="219"/>
        <v>0.2432432432</v>
      </c>
      <c r="P1709" s="28">
        <f t="shared" si="221"/>
        <v>0</v>
      </c>
    </row>
    <row r="1710" hidden="1">
      <c r="A1710" s="16" t="s">
        <v>2509</v>
      </c>
      <c r="B1710" s="17"/>
      <c r="C1710" s="18"/>
      <c r="D1710" s="4"/>
      <c r="E1710" s="19">
        <v>0.0</v>
      </c>
      <c r="F1710" s="19"/>
      <c r="G1710" s="16" t="s">
        <v>57</v>
      </c>
      <c r="H1710" s="21"/>
      <c r="I1710" s="22"/>
      <c r="J1710" s="29"/>
      <c r="K1710" s="43">
        <v>10000.0</v>
      </c>
      <c r="L1710" s="44">
        <v>15000.0</v>
      </c>
      <c r="M1710" s="25" t="s">
        <v>82</v>
      </c>
      <c r="N1710" s="26"/>
      <c r="O1710" s="27">
        <f t="shared" si="219"/>
        <v>0.5</v>
      </c>
      <c r="P1710" s="28">
        <f t="shared" si="221"/>
        <v>0</v>
      </c>
    </row>
    <row r="1711" hidden="1">
      <c r="A1711" s="16" t="s">
        <v>2510</v>
      </c>
      <c r="B1711" s="17"/>
      <c r="C1711" s="18"/>
      <c r="D1711" s="4"/>
      <c r="E1711" s="19">
        <v>0.0</v>
      </c>
      <c r="F1711" s="19"/>
      <c r="G1711" s="16" t="s">
        <v>57</v>
      </c>
      <c r="H1711" s="21"/>
      <c r="I1711" s="22"/>
      <c r="J1711" s="29"/>
      <c r="K1711" s="43">
        <f>130900/5</f>
        <v>26180</v>
      </c>
      <c r="L1711" s="44">
        <v>39000.0</v>
      </c>
      <c r="M1711" s="25"/>
      <c r="N1711" s="26"/>
      <c r="O1711" s="27">
        <f t="shared" si="219"/>
        <v>0.4896867838</v>
      </c>
      <c r="P1711" s="28">
        <f t="shared" si="221"/>
        <v>0</v>
      </c>
    </row>
    <row r="1712" hidden="1">
      <c r="A1712" s="16" t="s">
        <v>2511</v>
      </c>
      <c r="B1712" s="17"/>
      <c r="C1712" s="18"/>
      <c r="D1712" s="4"/>
      <c r="E1712" s="19">
        <v>0.0</v>
      </c>
      <c r="F1712" s="19"/>
      <c r="G1712" s="16" t="s">
        <v>2512</v>
      </c>
      <c r="H1712" s="21"/>
      <c r="I1712" s="22"/>
      <c r="J1712" s="29"/>
      <c r="K1712" s="43">
        <v>2200.0</v>
      </c>
      <c r="L1712" s="44">
        <v>6000.0</v>
      </c>
      <c r="M1712" s="25" t="s">
        <v>82</v>
      </c>
      <c r="N1712" s="26"/>
      <c r="O1712" s="27">
        <f t="shared" si="219"/>
        <v>1.727272727</v>
      </c>
      <c r="P1712" s="28">
        <f t="shared" si="221"/>
        <v>0</v>
      </c>
    </row>
    <row r="1713" hidden="1">
      <c r="A1713" s="52" t="s">
        <v>2513</v>
      </c>
      <c r="B1713" s="17"/>
      <c r="C1713" s="18"/>
      <c r="D1713" s="4"/>
      <c r="E1713" s="19">
        <v>0.0</v>
      </c>
      <c r="F1713" s="19">
        <v>2.0</v>
      </c>
      <c r="G1713" s="16" t="s">
        <v>2199</v>
      </c>
      <c r="H1713" s="21"/>
      <c r="I1713" s="22"/>
      <c r="J1713" s="23"/>
      <c r="K1713" s="24">
        <v>22000.0</v>
      </c>
      <c r="L1713" s="24">
        <v>32000.0</v>
      </c>
      <c r="M1713" s="25"/>
      <c r="N1713" s="26"/>
      <c r="O1713" s="27">
        <f t="shared" si="219"/>
        <v>0.4545454545</v>
      </c>
      <c r="P1713" s="28">
        <f t="shared" si="221"/>
        <v>44000</v>
      </c>
    </row>
    <row r="1714" hidden="1">
      <c r="A1714" s="16" t="s">
        <v>2514</v>
      </c>
      <c r="B1714" s="17"/>
      <c r="C1714" s="18"/>
      <c r="D1714" s="4"/>
      <c r="E1714" s="19">
        <v>0.0</v>
      </c>
      <c r="F1714" s="19">
        <v>0.0</v>
      </c>
      <c r="G1714" s="16" t="s">
        <v>1935</v>
      </c>
      <c r="H1714" s="21"/>
      <c r="I1714" s="22">
        <v>0.0</v>
      </c>
      <c r="J1714" s="29"/>
      <c r="K1714" s="43">
        <v>1462.0</v>
      </c>
      <c r="L1714" s="44">
        <v>2500.0</v>
      </c>
      <c r="M1714" s="25"/>
      <c r="N1714" s="26"/>
      <c r="O1714" s="27">
        <f t="shared" si="219"/>
        <v>0.7099863201</v>
      </c>
      <c r="P1714" s="28">
        <f t="shared" si="221"/>
        <v>0</v>
      </c>
    </row>
    <row r="1715" hidden="1">
      <c r="A1715" s="16" t="s">
        <v>2515</v>
      </c>
      <c r="B1715" s="49"/>
      <c r="C1715" s="18"/>
      <c r="D1715" s="4"/>
      <c r="E1715" s="19">
        <v>0.0</v>
      </c>
      <c r="F1715" s="19">
        <v>0.0</v>
      </c>
      <c r="G1715" s="16" t="s">
        <v>93</v>
      </c>
      <c r="H1715" s="21"/>
      <c r="I1715" s="22">
        <v>0.0</v>
      </c>
      <c r="J1715" s="29"/>
      <c r="K1715" s="48">
        <f>137590/10</f>
        <v>13759</v>
      </c>
      <c r="L1715" s="55">
        <v>20000.0</v>
      </c>
      <c r="M1715" s="25"/>
      <c r="N1715" s="26">
        <v>16000.0</v>
      </c>
      <c r="O1715" s="27">
        <f t="shared" si="219"/>
        <v>0.4535940112</v>
      </c>
      <c r="P1715" s="28">
        <f t="shared" si="221"/>
        <v>0</v>
      </c>
    </row>
    <row r="1716" hidden="1">
      <c r="A1716" s="16" t="s">
        <v>2516</v>
      </c>
      <c r="B1716" s="49">
        <v>2.206802401E9</v>
      </c>
      <c r="C1716" s="18"/>
      <c r="D1716" s="4"/>
      <c r="E1716" s="19">
        <v>0.0</v>
      </c>
      <c r="F1716" s="19">
        <v>0.0</v>
      </c>
      <c r="G1716" s="16" t="s">
        <v>93</v>
      </c>
      <c r="H1716" s="21"/>
      <c r="I1716" s="22">
        <v>1.0</v>
      </c>
      <c r="J1716" s="58">
        <v>46692.0</v>
      </c>
      <c r="K1716" s="48">
        <v>144800.0</v>
      </c>
      <c r="L1716" s="55">
        <v>181100.0</v>
      </c>
      <c r="M1716" s="25"/>
      <c r="N1716" s="26"/>
      <c r="O1716" s="27">
        <f t="shared" si="219"/>
        <v>0.2506906077</v>
      </c>
      <c r="P1716" s="28">
        <f t="shared" si="221"/>
        <v>0</v>
      </c>
    </row>
    <row r="1717" hidden="1">
      <c r="A1717" s="16" t="s">
        <v>2517</v>
      </c>
      <c r="B1717" s="17"/>
      <c r="C1717" s="18" t="s">
        <v>144</v>
      </c>
      <c r="D1717" s="4">
        <v>34300.0</v>
      </c>
      <c r="E1717" s="19">
        <v>3.0</v>
      </c>
      <c r="F1717" s="19">
        <v>0.0</v>
      </c>
      <c r="G1717" s="16" t="s">
        <v>93</v>
      </c>
      <c r="H1717" s="21"/>
      <c r="I1717" s="22">
        <v>2.0</v>
      </c>
      <c r="J1717" s="23"/>
      <c r="K1717" s="55">
        <v>32590.0</v>
      </c>
      <c r="L1717" s="55">
        <v>46000.0</v>
      </c>
      <c r="M1717" s="25" t="s">
        <v>76</v>
      </c>
      <c r="N1717" s="26"/>
      <c r="O1717" s="27">
        <f t="shared" si="219"/>
        <v>0.4114759129</v>
      </c>
      <c r="P1717" s="28">
        <f t="shared" si="221"/>
        <v>0</v>
      </c>
    </row>
    <row r="1718" hidden="1">
      <c r="A1718" s="16" t="s">
        <v>2518</v>
      </c>
      <c r="B1718" s="17"/>
      <c r="C1718" s="18"/>
      <c r="D1718" s="4"/>
      <c r="E1718" s="19">
        <v>0.0</v>
      </c>
      <c r="F1718" s="19">
        <v>0.0</v>
      </c>
      <c r="G1718" s="16" t="s">
        <v>473</v>
      </c>
      <c r="H1718" s="21"/>
      <c r="I1718" s="22"/>
      <c r="J1718" s="29"/>
      <c r="K1718" s="48">
        <v>28000.0</v>
      </c>
      <c r="L1718" s="55">
        <v>54000.0</v>
      </c>
      <c r="M1718" s="25" t="s">
        <v>76</v>
      </c>
      <c r="N1718" s="26">
        <v>44000.0</v>
      </c>
      <c r="O1718" s="27">
        <f t="shared" si="219"/>
        <v>0.9285714286</v>
      </c>
      <c r="P1718" s="28">
        <f t="shared" si="221"/>
        <v>0</v>
      </c>
    </row>
    <row r="1719" hidden="1">
      <c r="A1719" s="16" t="s">
        <v>2519</v>
      </c>
      <c r="B1719" s="36" t="s">
        <v>2520</v>
      </c>
      <c r="C1719" s="18" t="s">
        <v>144</v>
      </c>
      <c r="D1719" s="4">
        <v>28700.0</v>
      </c>
      <c r="E1719" s="19">
        <v>0.0</v>
      </c>
      <c r="F1719" s="19">
        <v>0.0</v>
      </c>
      <c r="G1719" s="16" t="s">
        <v>70</v>
      </c>
      <c r="H1719" s="21"/>
      <c r="I1719" s="22"/>
      <c r="J1719" s="58">
        <v>45962.0</v>
      </c>
      <c r="K1719" s="32">
        <f>40000*0.8</f>
        <v>32000</v>
      </c>
      <c r="L1719" s="24">
        <v>54000.0</v>
      </c>
      <c r="M1719" s="25"/>
      <c r="N1719" s="26"/>
      <c r="O1719" s="27">
        <f t="shared" si="219"/>
        <v>0.6875</v>
      </c>
      <c r="P1719" s="28">
        <f t="shared" si="221"/>
        <v>0</v>
      </c>
    </row>
    <row r="1720" hidden="1">
      <c r="A1720" s="16" t="s">
        <v>2521</v>
      </c>
      <c r="B1720" s="17" t="s">
        <v>2522</v>
      </c>
      <c r="C1720" s="18"/>
      <c r="D1720" s="4"/>
      <c r="E1720" s="19">
        <v>0.0</v>
      </c>
      <c r="F1720" s="19">
        <v>0.0</v>
      </c>
      <c r="G1720" s="20" t="s">
        <v>78</v>
      </c>
      <c r="H1720" s="21">
        <v>3.0</v>
      </c>
      <c r="I1720" s="22">
        <v>4.0</v>
      </c>
      <c r="J1720" s="29"/>
      <c r="K1720" s="32">
        <v>26760.0</v>
      </c>
      <c r="L1720" s="24">
        <v>54000.0</v>
      </c>
      <c r="M1720" s="25"/>
      <c r="N1720" s="31">
        <v>35000.0</v>
      </c>
      <c r="O1720" s="27">
        <f t="shared" si="219"/>
        <v>1.01793722</v>
      </c>
      <c r="P1720" s="28">
        <f t="shared" si="221"/>
        <v>0</v>
      </c>
    </row>
    <row r="1721" hidden="1">
      <c r="A1721" s="224" t="s">
        <v>2523</v>
      </c>
      <c r="B1721" s="36"/>
      <c r="C1721" s="18" t="s">
        <v>1572</v>
      </c>
      <c r="D1721" s="4"/>
      <c r="E1721" s="19">
        <v>0.0</v>
      </c>
      <c r="F1721" s="19">
        <v>0.0</v>
      </c>
      <c r="G1721" s="16" t="s">
        <v>93</v>
      </c>
      <c r="H1721" s="21"/>
      <c r="I1721" s="22">
        <v>0.0</v>
      </c>
      <c r="J1721" s="29"/>
      <c r="K1721" s="48">
        <v>266300.0</v>
      </c>
      <c r="L1721" s="55">
        <v>333500.0</v>
      </c>
      <c r="M1721" s="25">
        <v>1.19</v>
      </c>
      <c r="N1721" s="26"/>
      <c r="O1721" s="27">
        <f t="shared" si="219"/>
        <v>0.2523469771</v>
      </c>
      <c r="P1721" s="28">
        <f t="shared" si="221"/>
        <v>0</v>
      </c>
    </row>
    <row r="1722" hidden="1">
      <c r="A1722" s="224" t="s">
        <v>2524</v>
      </c>
      <c r="B1722" s="36"/>
      <c r="C1722" s="18" t="s">
        <v>1572</v>
      </c>
      <c r="D1722" s="4"/>
      <c r="E1722" s="19">
        <v>0.0</v>
      </c>
      <c r="F1722" s="19">
        <v>0.0</v>
      </c>
      <c r="G1722" s="16" t="s">
        <v>93</v>
      </c>
      <c r="H1722" s="21"/>
      <c r="I1722" s="22">
        <v>0.0</v>
      </c>
      <c r="J1722" s="29"/>
      <c r="K1722" s="48">
        <f>200000+48000</f>
        <v>248000</v>
      </c>
      <c r="L1722" s="55">
        <v>352000.0</v>
      </c>
      <c r="M1722" s="25">
        <v>1.19</v>
      </c>
      <c r="N1722" s="63"/>
      <c r="O1722" s="27">
        <f t="shared" si="219"/>
        <v>0.4193548387</v>
      </c>
      <c r="P1722" s="28">
        <f t="shared" si="221"/>
        <v>0</v>
      </c>
    </row>
    <row r="1723" hidden="1">
      <c r="A1723" s="224" t="s">
        <v>2525</v>
      </c>
      <c r="B1723" s="36">
        <v>297770.0</v>
      </c>
      <c r="C1723" s="18" t="s">
        <v>2526</v>
      </c>
      <c r="D1723" s="4"/>
      <c r="E1723" s="19">
        <v>0.0</v>
      </c>
      <c r="F1723" s="19">
        <v>0.0</v>
      </c>
      <c r="G1723" s="16" t="s">
        <v>93</v>
      </c>
      <c r="H1723" s="21"/>
      <c r="I1723" s="22">
        <v>6.0</v>
      </c>
      <c r="J1723" s="47">
        <v>46419.0</v>
      </c>
      <c r="K1723" s="48">
        <v>82900.0</v>
      </c>
      <c r="L1723" s="55">
        <v>110000.0</v>
      </c>
      <c r="M1723" s="25">
        <v>1.19</v>
      </c>
      <c r="N1723" s="26"/>
      <c r="O1723" s="27">
        <f t="shared" si="219"/>
        <v>0.3268998794</v>
      </c>
      <c r="P1723" s="28">
        <f t="shared" si="221"/>
        <v>0</v>
      </c>
    </row>
    <row r="1724" hidden="1">
      <c r="A1724" s="16" t="s">
        <v>2527</v>
      </c>
      <c r="B1724" s="36"/>
      <c r="C1724" s="18" t="s">
        <v>2526</v>
      </c>
      <c r="D1724" s="4"/>
      <c r="E1724" s="19">
        <v>0.0</v>
      </c>
      <c r="F1724" s="19"/>
      <c r="G1724" s="16" t="s">
        <v>1573</v>
      </c>
      <c r="H1724" s="21"/>
      <c r="I1724" s="22"/>
      <c r="J1724" s="29"/>
      <c r="K1724" s="48">
        <v>110000.0</v>
      </c>
      <c r="L1724" s="55">
        <v>160000.0</v>
      </c>
      <c r="M1724" s="25"/>
      <c r="N1724" s="26">
        <v>130000.0</v>
      </c>
      <c r="O1724" s="27">
        <f t="shared" si="219"/>
        <v>0.4545454545</v>
      </c>
      <c r="P1724" s="28">
        <f t="shared" si="221"/>
        <v>0</v>
      </c>
    </row>
    <row r="1725" hidden="1">
      <c r="A1725" s="16" t="s">
        <v>2528</v>
      </c>
      <c r="B1725" s="36" t="s">
        <v>2529</v>
      </c>
      <c r="C1725" s="18" t="s">
        <v>2530</v>
      </c>
      <c r="D1725" s="4"/>
      <c r="E1725" s="19">
        <v>0.0</v>
      </c>
      <c r="F1725" s="19"/>
      <c r="G1725" s="16" t="s">
        <v>1573</v>
      </c>
      <c r="H1725" s="21"/>
      <c r="I1725" s="22"/>
      <c r="J1725" s="29"/>
      <c r="K1725" s="48"/>
      <c r="L1725" s="55">
        <v>120000.0</v>
      </c>
      <c r="M1725" s="25"/>
      <c r="N1725" s="70"/>
      <c r="O1725" s="27" t="str">
        <f t="shared" si="219"/>
        <v>#DIV/0!</v>
      </c>
      <c r="P1725" s="28">
        <f t="shared" si="221"/>
        <v>0</v>
      </c>
    </row>
    <row r="1726" hidden="1">
      <c r="A1726" s="224" t="s">
        <v>2531</v>
      </c>
      <c r="B1726" s="36">
        <v>292818.0</v>
      </c>
      <c r="C1726" s="18" t="s">
        <v>2530</v>
      </c>
      <c r="D1726" s="4"/>
      <c r="E1726" s="19">
        <v>0.0</v>
      </c>
      <c r="F1726" s="19">
        <v>0.0</v>
      </c>
      <c r="G1726" s="16" t="s">
        <v>93</v>
      </c>
      <c r="H1726" s="21"/>
      <c r="I1726" s="22">
        <v>1.0</v>
      </c>
      <c r="J1726" s="23"/>
      <c r="K1726" s="55">
        <v>213000.0</v>
      </c>
      <c r="L1726" s="55">
        <v>266300.0</v>
      </c>
      <c r="M1726" s="25">
        <v>1.19</v>
      </c>
      <c r="N1726" s="26"/>
      <c r="O1726" s="27">
        <f t="shared" si="219"/>
        <v>0.2502347418</v>
      </c>
      <c r="P1726" s="28">
        <f t="shared" si="221"/>
        <v>0</v>
      </c>
    </row>
    <row r="1727" hidden="1">
      <c r="A1727" s="16" t="s">
        <v>2532</v>
      </c>
      <c r="B1727" s="17"/>
      <c r="C1727" s="18"/>
      <c r="D1727" s="4"/>
      <c r="E1727" s="19">
        <v>0.0</v>
      </c>
      <c r="F1727" s="19">
        <v>2.0</v>
      </c>
      <c r="G1727" s="16" t="s">
        <v>2533</v>
      </c>
      <c r="H1727" s="21"/>
      <c r="I1727" s="22">
        <v>0.0</v>
      </c>
      <c r="J1727" s="29"/>
      <c r="K1727" s="43">
        <f>30478*1.19+7500</f>
        <v>43768.82</v>
      </c>
      <c r="L1727" s="44">
        <v>60000.0</v>
      </c>
      <c r="M1727" s="25"/>
      <c r="N1727" s="26"/>
      <c r="O1727" s="27">
        <f t="shared" si="219"/>
        <v>0.3708388757</v>
      </c>
      <c r="P1727" s="28">
        <f t="shared" si="221"/>
        <v>87537.64</v>
      </c>
    </row>
    <row r="1728" hidden="1">
      <c r="A1728" s="224" t="s">
        <v>2534</v>
      </c>
      <c r="B1728" s="36"/>
      <c r="C1728" s="18" t="s">
        <v>2526</v>
      </c>
      <c r="D1728" s="4"/>
      <c r="E1728" s="19">
        <v>0.0</v>
      </c>
      <c r="F1728" s="19">
        <v>0.0</v>
      </c>
      <c r="G1728" s="16" t="s">
        <v>1210</v>
      </c>
      <c r="H1728" s="21"/>
      <c r="I1728" s="22">
        <v>10.0</v>
      </c>
      <c r="J1728" s="29"/>
      <c r="K1728" s="48">
        <f>164800/2</f>
        <v>82400</v>
      </c>
      <c r="L1728" s="55">
        <v>120000.0</v>
      </c>
      <c r="M1728" s="25"/>
      <c r="N1728" s="26">
        <v>98000.0</v>
      </c>
      <c r="O1728" s="27">
        <f t="shared" si="219"/>
        <v>0.4563106796</v>
      </c>
      <c r="P1728" s="28">
        <f t="shared" si="221"/>
        <v>0</v>
      </c>
    </row>
    <row r="1729" hidden="1">
      <c r="A1729" s="16" t="s">
        <v>2535</v>
      </c>
      <c r="B1729" s="51" t="s">
        <v>1840</v>
      </c>
      <c r="C1729" s="18" t="s">
        <v>2526</v>
      </c>
      <c r="D1729" s="67"/>
      <c r="E1729" s="19"/>
      <c r="F1729" s="19"/>
      <c r="G1729" s="16" t="s">
        <v>1626</v>
      </c>
      <c r="H1729" s="21"/>
      <c r="I1729" s="22">
        <v>40.0</v>
      </c>
      <c r="J1729" s="45">
        <v>120.0</v>
      </c>
      <c r="K1729" s="60">
        <v>91000.0</v>
      </c>
      <c r="L1729" s="55">
        <v>120000.0</v>
      </c>
      <c r="M1729" s="25">
        <v>1.19</v>
      </c>
      <c r="N1729" s="43">
        <v>98000.0</v>
      </c>
      <c r="O1729" s="27">
        <f t="shared" si="219"/>
        <v>0.3186813187</v>
      </c>
      <c r="P1729" s="28">
        <f t="shared" si="221"/>
        <v>0</v>
      </c>
    </row>
    <row r="1730" hidden="1">
      <c r="A1730" s="16" t="s">
        <v>2536</v>
      </c>
      <c r="B1730" s="36"/>
      <c r="C1730" s="18" t="s">
        <v>2530</v>
      </c>
      <c r="D1730" s="67"/>
      <c r="E1730" s="19"/>
      <c r="F1730" s="19"/>
      <c r="G1730" s="16" t="s">
        <v>1626</v>
      </c>
      <c r="H1730" s="21"/>
      <c r="I1730" s="22">
        <v>189.0</v>
      </c>
      <c r="J1730" s="45">
        <v>210.0</v>
      </c>
      <c r="K1730" s="60">
        <v>180000.0</v>
      </c>
      <c r="L1730" s="55">
        <v>210000.0</v>
      </c>
      <c r="M1730" s="25">
        <v>1.19</v>
      </c>
      <c r="N1730" s="43">
        <v>180000.0</v>
      </c>
      <c r="O1730" s="27">
        <f t="shared" si="219"/>
        <v>0.1666666667</v>
      </c>
      <c r="P1730" s="28">
        <f t="shared" si="221"/>
        <v>0</v>
      </c>
    </row>
    <row r="1731" hidden="1">
      <c r="A1731" s="16" t="s">
        <v>2537</v>
      </c>
      <c r="B1731" s="51" t="s">
        <v>2538</v>
      </c>
      <c r="C1731" s="18" t="s">
        <v>2530</v>
      </c>
      <c r="D1731" s="67"/>
      <c r="E1731" s="19"/>
      <c r="F1731" s="19"/>
      <c r="G1731" s="16" t="s">
        <v>1626</v>
      </c>
      <c r="H1731" s="21"/>
      <c r="I1731" s="22">
        <v>5.0</v>
      </c>
      <c r="J1731" s="45"/>
      <c r="K1731" s="60">
        <v>407000.0</v>
      </c>
      <c r="L1731" s="55">
        <v>450000.0</v>
      </c>
      <c r="M1731" s="25"/>
      <c r="N1731" s="26">
        <v>440000.0</v>
      </c>
      <c r="O1731" s="27">
        <f t="shared" si="219"/>
        <v>0.1056511057</v>
      </c>
      <c r="P1731" s="28">
        <f t="shared" si="221"/>
        <v>0</v>
      </c>
    </row>
    <row r="1732" hidden="1">
      <c r="A1732" s="16" t="s">
        <v>2539</v>
      </c>
      <c r="B1732" s="36"/>
      <c r="C1732" s="18"/>
      <c r="D1732" s="4"/>
      <c r="E1732" s="19"/>
      <c r="F1732" s="19"/>
      <c r="G1732" s="16" t="s">
        <v>2540</v>
      </c>
      <c r="H1732" s="21"/>
      <c r="I1732" s="22"/>
      <c r="J1732" s="29"/>
      <c r="K1732" s="48">
        <f>145900/2*1.19</f>
        <v>86810.5</v>
      </c>
      <c r="L1732" s="48">
        <v>120000.0</v>
      </c>
      <c r="M1732" s="25"/>
      <c r="N1732" s="50"/>
      <c r="O1732" s="27"/>
      <c r="P1732" s="28"/>
    </row>
    <row r="1733" hidden="1">
      <c r="A1733" s="16" t="s">
        <v>2541</v>
      </c>
      <c r="B1733" s="36"/>
      <c r="C1733" s="18"/>
      <c r="D1733" s="4"/>
      <c r="E1733" s="19">
        <v>0.0</v>
      </c>
      <c r="F1733" s="19">
        <v>0.0</v>
      </c>
      <c r="G1733" s="16" t="s">
        <v>643</v>
      </c>
      <c r="H1733" s="21" t="s">
        <v>2542</v>
      </c>
      <c r="I1733" s="22">
        <v>0.0</v>
      </c>
      <c r="J1733" s="29"/>
      <c r="K1733" s="48">
        <f>450000/56</f>
        <v>8035.714286</v>
      </c>
      <c r="L1733" s="48">
        <v>10000.0</v>
      </c>
      <c r="M1733" s="25"/>
      <c r="N1733" s="50"/>
      <c r="O1733" s="27">
        <f t="shared" ref="O1733:O1736" si="222">(L1733/K1733)-1</f>
        <v>0.2444444444</v>
      </c>
      <c r="P1733" s="28">
        <f t="shared" ref="P1733:P1736" si="223">K1733*F1733</f>
        <v>0</v>
      </c>
    </row>
    <row r="1734" hidden="1">
      <c r="A1734" s="224" t="s">
        <v>2543</v>
      </c>
      <c r="B1734" s="36" t="s">
        <v>2529</v>
      </c>
      <c r="C1734" s="18" t="s">
        <v>2530</v>
      </c>
      <c r="D1734" s="4"/>
      <c r="E1734" s="19">
        <v>0.0</v>
      </c>
      <c r="F1734" s="19">
        <v>0.0</v>
      </c>
      <c r="G1734" s="16" t="s">
        <v>1210</v>
      </c>
      <c r="H1734" s="21"/>
      <c r="I1734" s="22">
        <v>8.0</v>
      </c>
      <c r="J1734" s="29"/>
      <c r="K1734" s="48">
        <v>144500.0</v>
      </c>
      <c r="L1734" s="55">
        <v>210000.0</v>
      </c>
      <c r="M1734" s="25"/>
      <c r="N1734" s="26"/>
      <c r="O1734" s="27">
        <f t="shared" si="222"/>
        <v>0.4532871972</v>
      </c>
      <c r="P1734" s="28">
        <f t="shared" si="223"/>
        <v>0</v>
      </c>
    </row>
    <row r="1735" hidden="1">
      <c r="A1735" s="16" t="s">
        <v>2544</v>
      </c>
      <c r="B1735" s="36" t="s">
        <v>2545</v>
      </c>
      <c r="C1735" s="18" t="s">
        <v>2273</v>
      </c>
      <c r="D1735" s="4"/>
      <c r="E1735" s="19">
        <v>0.0</v>
      </c>
      <c r="F1735" s="19">
        <v>0.0</v>
      </c>
      <c r="G1735" s="16" t="s">
        <v>2546</v>
      </c>
      <c r="H1735" s="21"/>
      <c r="I1735" s="22">
        <v>8.0</v>
      </c>
      <c r="J1735" s="45"/>
      <c r="K1735" s="60">
        <v>101800.0</v>
      </c>
      <c r="L1735" s="55">
        <v>160000.0</v>
      </c>
      <c r="M1735" s="25"/>
      <c r="N1735" s="26"/>
      <c r="O1735" s="27">
        <f t="shared" si="222"/>
        <v>0.5717092338</v>
      </c>
      <c r="P1735" s="28">
        <f t="shared" si="223"/>
        <v>0</v>
      </c>
    </row>
    <row r="1736" hidden="1">
      <c r="A1736" s="16" t="s">
        <v>2547</v>
      </c>
      <c r="B1736" s="17"/>
      <c r="C1736" s="18"/>
      <c r="D1736" s="4"/>
      <c r="E1736" s="19">
        <v>0.0</v>
      </c>
      <c r="F1736" s="19">
        <v>0.0</v>
      </c>
      <c r="G1736" s="16" t="s">
        <v>2533</v>
      </c>
      <c r="H1736" s="21"/>
      <c r="I1736" s="22">
        <v>0.0</v>
      </c>
      <c r="J1736" s="29"/>
      <c r="K1736" s="48">
        <v>84141.0</v>
      </c>
      <c r="L1736" s="55">
        <v>110000.0</v>
      </c>
      <c r="M1736" s="25"/>
      <c r="N1736" s="26"/>
      <c r="O1736" s="27">
        <f t="shared" si="222"/>
        <v>0.3073293638</v>
      </c>
      <c r="P1736" s="28">
        <f t="shared" si="223"/>
        <v>0</v>
      </c>
    </row>
    <row r="1737" hidden="1">
      <c r="A1737" s="16" t="s">
        <v>2548</v>
      </c>
      <c r="B1737" s="17"/>
      <c r="C1737" s="18"/>
      <c r="D1737" s="4"/>
      <c r="E1737" s="19">
        <v>0.0</v>
      </c>
      <c r="F1737" s="19">
        <v>0.0</v>
      </c>
      <c r="G1737" s="16" t="s">
        <v>580</v>
      </c>
      <c r="H1737" s="33"/>
      <c r="I1737" s="22"/>
      <c r="J1737" s="170"/>
      <c r="K1737" s="32">
        <v>3280.0</v>
      </c>
      <c r="L1737" s="24">
        <v>20000.0</v>
      </c>
      <c r="M1737" s="25"/>
      <c r="N1737" s="39"/>
      <c r="O1737" s="27"/>
      <c r="P1737" s="28"/>
    </row>
    <row r="1738" hidden="1">
      <c r="A1738" s="16" t="s">
        <v>2549</v>
      </c>
      <c r="B1738" s="17" t="s">
        <v>2550</v>
      </c>
      <c r="C1738" s="18"/>
      <c r="D1738" s="4"/>
      <c r="E1738" s="19">
        <v>0.0</v>
      </c>
      <c r="F1738" s="19">
        <v>0.0</v>
      </c>
      <c r="G1738" s="16" t="s">
        <v>286</v>
      </c>
      <c r="H1738" s="21"/>
      <c r="I1738" s="22">
        <v>38.0</v>
      </c>
      <c r="J1738" s="29"/>
      <c r="K1738" s="32">
        <v>2455.0</v>
      </c>
      <c r="L1738" s="24">
        <v>4000.0</v>
      </c>
      <c r="M1738" s="25" t="s">
        <v>76</v>
      </c>
      <c r="N1738" s="70"/>
      <c r="O1738" s="27">
        <f t="shared" ref="O1738:O1740" si="224">(L1738/K1738)-1</f>
        <v>0.6293279022</v>
      </c>
      <c r="P1738" s="28">
        <f t="shared" ref="P1738:P1740" si="225">K1738*F1738</f>
        <v>0</v>
      </c>
    </row>
    <row r="1739" hidden="1">
      <c r="A1739" s="16" t="s">
        <v>2551</v>
      </c>
      <c r="B1739" s="17" t="s">
        <v>2552</v>
      </c>
      <c r="C1739" s="18"/>
      <c r="D1739" s="4"/>
      <c r="E1739" s="19">
        <v>0.0</v>
      </c>
      <c r="F1739" s="19">
        <v>0.0</v>
      </c>
      <c r="G1739" s="16" t="s">
        <v>286</v>
      </c>
      <c r="H1739" s="21"/>
      <c r="I1739" s="22">
        <v>30.0</v>
      </c>
      <c r="J1739" s="29"/>
      <c r="K1739" s="32">
        <v>3169.0</v>
      </c>
      <c r="L1739" s="24">
        <v>5000.0</v>
      </c>
      <c r="M1739" s="25" t="s">
        <v>76</v>
      </c>
      <c r="N1739" s="26"/>
      <c r="O1739" s="27">
        <f t="shared" si="224"/>
        <v>0.5777847902</v>
      </c>
      <c r="P1739" s="28">
        <f t="shared" si="225"/>
        <v>0</v>
      </c>
    </row>
    <row r="1740" hidden="1">
      <c r="A1740" s="56" t="s">
        <v>2553</v>
      </c>
      <c r="B1740" s="17" t="s">
        <v>2554</v>
      </c>
      <c r="C1740" s="18"/>
      <c r="D1740" s="4"/>
      <c r="E1740" s="19">
        <v>0.0</v>
      </c>
      <c r="F1740" s="19">
        <v>0.0</v>
      </c>
      <c r="G1740" s="16" t="s">
        <v>286</v>
      </c>
      <c r="H1740" s="21"/>
      <c r="I1740" s="22">
        <v>16.0</v>
      </c>
      <c r="J1740" s="29"/>
      <c r="K1740" s="32">
        <v>2882.0</v>
      </c>
      <c r="L1740" s="24">
        <v>6000.0</v>
      </c>
      <c r="M1740" s="25" t="s">
        <v>76</v>
      </c>
      <c r="N1740" s="70">
        <v>4000.0</v>
      </c>
      <c r="O1740" s="27">
        <f t="shared" si="224"/>
        <v>1.081887578</v>
      </c>
      <c r="P1740" s="28">
        <f t="shared" si="225"/>
        <v>0</v>
      </c>
    </row>
    <row r="1741" hidden="1">
      <c r="A1741" s="16" t="s">
        <v>2555</v>
      </c>
      <c r="B1741" s="97"/>
      <c r="C1741" s="18"/>
      <c r="D1741" s="98"/>
      <c r="E1741" s="19">
        <v>0.0</v>
      </c>
      <c r="F1741" s="19">
        <v>0.0</v>
      </c>
      <c r="G1741" s="16" t="s">
        <v>93</v>
      </c>
      <c r="H1741" s="99"/>
      <c r="I1741" s="22" t="s">
        <v>99</v>
      </c>
      <c r="J1741" s="182"/>
      <c r="K1741" s="226">
        <v>85100.0</v>
      </c>
      <c r="L1741" s="165">
        <v>106400.0</v>
      </c>
      <c r="M1741" s="25"/>
      <c r="N1741" s="31"/>
      <c r="O1741" s="27"/>
      <c r="P1741" s="28"/>
    </row>
    <row r="1742" hidden="1">
      <c r="A1742" s="16" t="s">
        <v>2556</v>
      </c>
      <c r="B1742" s="97" t="s">
        <v>2557</v>
      </c>
      <c r="C1742" s="18"/>
      <c r="D1742" s="98"/>
      <c r="E1742" s="19">
        <v>10.0</v>
      </c>
      <c r="F1742" s="19"/>
      <c r="G1742" s="16" t="s">
        <v>485</v>
      </c>
      <c r="H1742" s="21">
        <v>0.0</v>
      </c>
      <c r="I1742" s="22"/>
      <c r="J1742" s="22"/>
      <c r="K1742" s="250">
        <f>67000*1.19</f>
        <v>79730</v>
      </c>
      <c r="L1742" s="101">
        <v>110000.0</v>
      </c>
      <c r="M1742" s="25"/>
      <c r="N1742" s="26"/>
      <c r="O1742" s="27">
        <f t="shared" ref="O1742:O1744" si="226">(L1742/K1742)-1</f>
        <v>0.3796563401</v>
      </c>
      <c r="P1742" s="28">
        <f t="shared" ref="P1742:P1744" si="227">K1742*F1742</f>
        <v>0</v>
      </c>
    </row>
    <row r="1743" hidden="1">
      <c r="A1743" s="16" t="s">
        <v>2558</v>
      </c>
      <c r="B1743" s="97" t="s">
        <v>2559</v>
      </c>
      <c r="C1743" s="18" t="s">
        <v>558</v>
      </c>
      <c r="D1743" s="98"/>
      <c r="E1743" s="19">
        <v>0.0</v>
      </c>
      <c r="F1743" s="19"/>
      <c r="G1743" s="16" t="s">
        <v>485</v>
      </c>
      <c r="H1743" s="21">
        <v>0.0</v>
      </c>
      <c r="I1743" s="22"/>
      <c r="J1743" s="22"/>
      <c r="K1743" s="174">
        <f t="shared" ref="K1743:K1744" si="228">49867*1.19</f>
        <v>59341.73</v>
      </c>
      <c r="L1743" s="175">
        <v>95000.0</v>
      </c>
      <c r="M1743" s="25"/>
      <c r="N1743" s="26"/>
      <c r="O1743" s="27">
        <f t="shared" si="226"/>
        <v>0.6008970416</v>
      </c>
      <c r="P1743" s="28">
        <f t="shared" si="227"/>
        <v>0</v>
      </c>
    </row>
    <row r="1744" hidden="1">
      <c r="A1744" s="16" t="s">
        <v>2558</v>
      </c>
      <c r="B1744" s="97" t="s">
        <v>2560</v>
      </c>
      <c r="C1744" s="18" t="s">
        <v>558</v>
      </c>
      <c r="D1744" s="98"/>
      <c r="E1744" s="19">
        <v>0.0</v>
      </c>
      <c r="F1744" s="19"/>
      <c r="G1744" s="16" t="s">
        <v>485</v>
      </c>
      <c r="H1744" s="21">
        <v>0.0</v>
      </c>
      <c r="I1744" s="22"/>
      <c r="J1744" s="173"/>
      <c r="K1744" s="174">
        <f t="shared" si="228"/>
        <v>59341.73</v>
      </c>
      <c r="L1744" s="175">
        <v>95000.0</v>
      </c>
      <c r="M1744" s="25"/>
      <c r="N1744" s="26"/>
      <c r="O1744" s="27">
        <f t="shared" si="226"/>
        <v>0.6008970416</v>
      </c>
      <c r="P1744" s="28">
        <f t="shared" si="227"/>
        <v>0</v>
      </c>
    </row>
    <row r="1745" hidden="1">
      <c r="A1745" s="16" t="s">
        <v>2561</v>
      </c>
      <c r="B1745" s="134" t="s">
        <v>1460</v>
      </c>
      <c r="C1745" s="18"/>
      <c r="D1745" s="98"/>
      <c r="E1745" s="19">
        <v>0.0</v>
      </c>
      <c r="F1745" s="19">
        <v>0.0</v>
      </c>
      <c r="G1745" s="16" t="s">
        <v>577</v>
      </c>
      <c r="H1745" s="21"/>
      <c r="I1745" s="22"/>
      <c r="J1745" s="29"/>
      <c r="K1745" s="48">
        <v>176400.0</v>
      </c>
      <c r="L1745" s="101">
        <v>190000.0</v>
      </c>
      <c r="M1745" s="25"/>
      <c r="N1745" s="26"/>
      <c r="O1745" s="27"/>
      <c r="P1745" s="28"/>
    </row>
    <row r="1746" hidden="1">
      <c r="A1746" s="16" t="s">
        <v>2562</v>
      </c>
      <c r="B1746" s="97" t="s">
        <v>2563</v>
      </c>
      <c r="C1746" s="18"/>
      <c r="D1746" s="98"/>
      <c r="E1746" s="19">
        <v>6.0</v>
      </c>
      <c r="F1746" s="19"/>
      <c r="G1746" s="16" t="s">
        <v>485</v>
      </c>
      <c r="H1746" s="21">
        <v>3.0</v>
      </c>
      <c r="I1746" s="22"/>
      <c r="J1746" s="29"/>
      <c r="K1746" s="48">
        <f>103600*1.19</f>
        <v>123284</v>
      </c>
      <c r="L1746" s="48">
        <v>148000.0</v>
      </c>
      <c r="M1746" s="25"/>
      <c r="N1746" s="26">
        <v>135000.0</v>
      </c>
      <c r="O1746" s="27">
        <f t="shared" ref="O1746:O1747" si="229">(L1746/K1746)-1</f>
        <v>0.2004801921</v>
      </c>
      <c r="P1746" s="28">
        <f t="shared" ref="P1746:P1747" si="230">K1746*F1746</f>
        <v>0</v>
      </c>
    </row>
    <row r="1747" hidden="1">
      <c r="A1747" s="16" t="s">
        <v>2564</v>
      </c>
      <c r="B1747" s="51"/>
      <c r="C1747" s="18"/>
      <c r="D1747" s="4"/>
      <c r="E1747" s="19">
        <v>0.0</v>
      </c>
      <c r="F1747" s="19">
        <v>0.0</v>
      </c>
      <c r="G1747" s="20" t="s">
        <v>93</v>
      </c>
      <c r="H1747" s="21"/>
      <c r="I1747" s="22" t="s">
        <v>99</v>
      </c>
      <c r="J1747" s="29"/>
      <c r="K1747" s="32">
        <v>135980.0</v>
      </c>
      <c r="L1747" s="24">
        <v>152000.0</v>
      </c>
      <c r="M1747" s="25"/>
      <c r="N1747" s="57"/>
      <c r="O1747" s="27">
        <f t="shared" si="229"/>
        <v>0.1178114429</v>
      </c>
      <c r="P1747" s="28">
        <f t="shared" si="230"/>
        <v>0</v>
      </c>
    </row>
    <row r="1748" hidden="1">
      <c r="A1748" s="16" t="s">
        <v>2565</v>
      </c>
      <c r="B1748" s="51"/>
      <c r="C1748" s="18"/>
      <c r="D1748" s="4"/>
      <c r="E1748" s="19">
        <v>0.0</v>
      </c>
      <c r="F1748" s="19">
        <v>0.0</v>
      </c>
      <c r="G1748" s="20" t="s">
        <v>2566</v>
      </c>
      <c r="H1748" s="21">
        <v>0.0</v>
      </c>
      <c r="I1748" s="22">
        <v>1.0</v>
      </c>
      <c r="J1748" s="29"/>
      <c r="K1748" s="32"/>
      <c r="L1748" s="24">
        <v>135000.0</v>
      </c>
      <c r="M1748" s="25"/>
      <c r="N1748" s="57"/>
      <c r="O1748" s="27"/>
      <c r="P1748" s="28"/>
    </row>
    <row r="1749" hidden="1">
      <c r="A1749" s="16" t="s">
        <v>2567</v>
      </c>
      <c r="B1749" s="97" t="s">
        <v>2568</v>
      </c>
      <c r="C1749" s="18" t="s">
        <v>558</v>
      </c>
      <c r="D1749" s="98"/>
      <c r="E1749" s="19">
        <v>0.0</v>
      </c>
      <c r="F1749" s="19"/>
      <c r="G1749" s="16" t="s">
        <v>485</v>
      </c>
      <c r="H1749" s="21">
        <v>0.0</v>
      </c>
      <c r="I1749" s="22"/>
      <c r="J1749" s="173"/>
      <c r="K1749" s="174">
        <f>36924*1.19</f>
        <v>43939.56</v>
      </c>
      <c r="L1749" s="175">
        <v>95000.0</v>
      </c>
      <c r="M1749" s="25"/>
      <c r="N1749" s="26"/>
      <c r="O1749" s="27">
        <f t="shared" ref="O1749:O1784" si="231">(L1749/K1749)-1</f>
        <v>1.162060794</v>
      </c>
      <c r="P1749" s="28">
        <f t="shared" ref="P1749:P1750" si="232">K1749*F1749</f>
        <v>0</v>
      </c>
    </row>
    <row r="1750" hidden="1">
      <c r="A1750" s="16" t="s">
        <v>2569</v>
      </c>
      <c r="B1750" s="134" t="s">
        <v>1460</v>
      </c>
      <c r="C1750" s="18"/>
      <c r="D1750" s="4"/>
      <c r="E1750" s="19">
        <v>0.0</v>
      </c>
      <c r="F1750" s="19">
        <v>0.0</v>
      </c>
      <c r="G1750" s="20" t="s">
        <v>93</v>
      </c>
      <c r="H1750" s="21"/>
      <c r="I1750" s="22" t="s">
        <v>99</v>
      </c>
      <c r="J1750" s="29"/>
      <c r="K1750" s="48">
        <v>165000.0</v>
      </c>
      <c r="L1750" s="55">
        <v>200000.0</v>
      </c>
      <c r="M1750" s="25"/>
      <c r="N1750" s="57"/>
      <c r="O1750" s="27">
        <f t="shared" si="231"/>
        <v>0.2121212121</v>
      </c>
      <c r="P1750" s="28">
        <f t="shared" si="232"/>
        <v>0</v>
      </c>
    </row>
    <row r="1751" hidden="1">
      <c r="A1751" s="16" t="s">
        <v>2570</v>
      </c>
      <c r="B1751" s="17"/>
      <c r="C1751" s="18"/>
      <c r="D1751" s="4"/>
      <c r="E1751" s="19">
        <v>0.0</v>
      </c>
      <c r="F1751" s="19">
        <v>0.0</v>
      </c>
      <c r="G1751" s="16" t="s">
        <v>16</v>
      </c>
      <c r="H1751" s="21"/>
      <c r="I1751" s="22">
        <v>3.0</v>
      </c>
      <c r="J1751" s="29"/>
      <c r="K1751" s="48">
        <v>42000.0</v>
      </c>
      <c r="L1751" s="55">
        <v>70000.0</v>
      </c>
      <c r="M1751" s="25"/>
      <c r="N1751" s="26"/>
      <c r="O1751" s="27">
        <f t="shared" si="231"/>
        <v>0.6666666667</v>
      </c>
      <c r="P1751" s="28"/>
    </row>
    <row r="1752" hidden="1">
      <c r="A1752" s="16" t="s">
        <v>2571</v>
      </c>
      <c r="B1752" s="17"/>
      <c r="C1752" s="18"/>
      <c r="D1752" s="4"/>
      <c r="E1752" s="19">
        <v>0.0</v>
      </c>
      <c r="F1752" s="19">
        <v>0.0</v>
      </c>
      <c r="G1752" s="16" t="s">
        <v>630</v>
      </c>
      <c r="H1752" s="21"/>
      <c r="I1752" s="22">
        <v>3.0</v>
      </c>
      <c r="J1752" s="29"/>
      <c r="K1752" s="43">
        <v>46560.0</v>
      </c>
      <c r="L1752" s="44">
        <v>90000.0</v>
      </c>
      <c r="M1752" s="25"/>
      <c r="N1752" s="26"/>
      <c r="O1752" s="27">
        <f t="shared" si="231"/>
        <v>0.9329896907</v>
      </c>
      <c r="P1752" s="28"/>
    </row>
    <row r="1753" hidden="1">
      <c r="A1753" s="16" t="s">
        <v>2572</v>
      </c>
      <c r="B1753" s="17"/>
      <c r="C1753" s="18"/>
      <c r="D1753" s="4"/>
      <c r="E1753" s="19">
        <v>0.0</v>
      </c>
      <c r="F1753" s="19">
        <v>0.0</v>
      </c>
      <c r="G1753" s="16" t="s">
        <v>16</v>
      </c>
      <c r="H1753" s="21"/>
      <c r="I1753" s="22">
        <v>0.0</v>
      </c>
      <c r="J1753" s="29"/>
      <c r="K1753" s="32">
        <v>319.0</v>
      </c>
      <c r="L1753" s="24">
        <v>1000.0</v>
      </c>
      <c r="M1753" s="25"/>
      <c r="N1753" s="26"/>
      <c r="O1753" s="27">
        <f t="shared" si="231"/>
        <v>2.134796238</v>
      </c>
      <c r="P1753" s="28">
        <f t="shared" ref="P1753:P1778" si="233">K1753*F1753</f>
        <v>0</v>
      </c>
    </row>
    <row r="1754" hidden="1">
      <c r="A1754" s="16" t="s">
        <v>2573</v>
      </c>
      <c r="B1754" s="17"/>
      <c r="C1754" s="18"/>
      <c r="D1754" s="4"/>
      <c r="E1754" s="19">
        <v>0.0</v>
      </c>
      <c r="F1754" s="19"/>
      <c r="G1754" s="16" t="s">
        <v>57</v>
      </c>
      <c r="H1754" s="21"/>
      <c r="I1754" s="22"/>
      <c r="J1754" s="29"/>
      <c r="K1754" s="43">
        <v>10000.0</v>
      </c>
      <c r="L1754" s="44">
        <v>20000.0</v>
      </c>
      <c r="M1754" s="25"/>
      <c r="N1754" s="26"/>
      <c r="O1754" s="27">
        <f t="shared" si="231"/>
        <v>1</v>
      </c>
      <c r="P1754" s="28">
        <f t="shared" si="233"/>
        <v>0</v>
      </c>
    </row>
    <row r="1755" hidden="1">
      <c r="A1755" s="56" t="s">
        <v>2574</v>
      </c>
      <c r="B1755" s="17" t="s">
        <v>2575</v>
      </c>
      <c r="C1755" s="18"/>
      <c r="D1755" s="4"/>
      <c r="E1755" s="19">
        <v>0.0</v>
      </c>
      <c r="F1755" s="19">
        <v>0.0</v>
      </c>
      <c r="G1755" s="16" t="s">
        <v>286</v>
      </c>
      <c r="H1755" s="21"/>
      <c r="I1755" s="22">
        <v>0.0</v>
      </c>
      <c r="J1755" s="29"/>
      <c r="K1755" s="24">
        <v>7318.0</v>
      </c>
      <c r="L1755" s="24">
        <v>11000.0</v>
      </c>
      <c r="M1755" s="25"/>
      <c r="N1755" s="50"/>
      <c r="O1755" s="27">
        <f t="shared" si="231"/>
        <v>0.5031429352</v>
      </c>
      <c r="P1755" s="28">
        <f t="shared" si="233"/>
        <v>0</v>
      </c>
    </row>
    <row r="1756" hidden="1">
      <c r="A1756" s="56" t="s">
        <v>2576</v>
      </c>
      <c r="B1756" s="17" t="s">
        <v>2577</v>
      </c>
      <c r="C1756" s="18"/>
      <c r="D1756" s="4"/>
      <c r="E1756" s="19">
        <v>0.0</v>
      </c>
      <c r="F1756" s="19">
        <v>0.0</v>
      </c>
      <c r="G1756" s="16" t="s">
        <v>286</v>
      </c>
      <c r="H1756" s="21"/>
      <c r="I1756" s="22">
        <v>0.0</v>
      </c>
      <c r="J1756" s="29"/>
      <c r="K1756" s="24">
        <v>7741.0</v>
      </c>
      <c r="L1756" s="24">
        <v>11000.0</v>
      </c>
      <c r="M1756" s="25"/>
      <c r="N1756" s="50"/>
      <c r="O1756" s="27">
        <f t="shared" si="231"/>
        <v>0.4210050381</v>
      </c>
      <c r="P1756" s="28">
        <f t="shared" si="233"/>
        <v>0</v>
      </c>
    </row>
    <row r="1757" hidden="1">
      <c r="A1757" s="56" t="s">
        <v>2578</v>
      </c>
      <c r="B1757" s="17"/>
      <c r="C1757" s="18"/>
      <c r="D1757" s="4"/>
      <c r="E1757" s="19">
        <v>0.0</v>
      </c>
      <c r="F1757" s="19">
        <v>0.0</v>
      </c>
      <c r="G1757" s="16" t="s">
        <v>286</v>
      </c>
      <c r="H1757" s="21"/>
      <c r="I1757" s="22" t="s">
        <v>99</v>
      </c>
      <c r="J1757" s="29"/>
      <c r="K1757" s="32">
        <v>7233.0</v>
      </c>
      <c r="L1757" s="24">
        <v>11000.0</v>
      </c>
      <c r="M1757" s="25"/>
      <c r="N1757" s="26"/>
      <c r="O1757" s="27">
        <f t="shared" si="231"/>
        <v>0.5208074105</v>
      </c>
      <c r="P1757" s="28">
        <f t="shared" si="233"/>
        <v>0</v>
      </c>
    </row>
    <row r="1758" hidden="1">
      <c r="A1758" s="56" t="s">
        <v>2579</v>
      </c>
      <c r="B1758" s="17" t="s">
        <v>2580</v>
      </c>
      <c r="C1758" s="18"/>
      <c r="D1758" s="4"/>
      <c r="E1758" s="19">
        <v>0.0</v>
      </c>
      <c r="F1758" s="19">
        <v>0.0</v>
      </c>
      <c r="G1758" s="16" t="s">
        <v>286</v>
      </c>
      <c r="H1758" s="21"/>
      <c r="I1758" s="22" t="s">
        <v>99</v>
      </c>
      <c r="J1758" s="29"/>
      <c r="K1758" s="32">
        <v>7625.0</v>
      </c>
      <c r="L1758" s="24">
        <v>11000.0</v>
      </c>
      <c r="M1758" s="25" t="s">
        <v>76</v>
      </c>
      <c r="N1758" s="70"/>
      <c r="O1758" s="27">
        <f t="shared" si="231"/>
        <v>0.4426229508</v>
      </c>
      <c r="P1758" s="28">
        <f t="shared" si="233"/>
        <v>0</v>
      </c>
    </row>
    <row r="1759" hidden="1">
      <c r="A1759" s="56" t="s">
        <v>2581</v>
      </c>
      <c r="B1759" s="17"/>
      <c r="C1759" s="18"/>
      <c r="D1759" s="4"/>
      <c r="E1759" s="19">
        <v>0.0</v>
      </c>
      <c r="F1759" s="19">
        <v>0.0</v>
      </c>
      <c r="G1759" s="16" t="s">
        <v>286</v>
      </c>
      <c r="H1759" s="21"/>
      <c r="I1759" s="22" t="s">
        <v>99</v>
      </c>
      <c r="J1759" s="29"/>
      <c r="K1759" s="32">
        <v>7233.0</v>
      </c>
      <c r="L1759" s="24">
        <v>11000.0</v>
      </c>
      <c r="M1759" s="25" t="s">
        <v>76</v>
      </c>
      <c r="N1759" s="70"/>
      <c r="O1759" s="27">
        <f t="shared" si="231"/>
        <v>0.5208074105</v>
      </c>
      <c r="P1759" s="28">
        <f t="shared" si="233"/>
        <v>0</v>
      </c>
    </row>
    <row r="1760" hidden="1">
      <c r="A1760" s="56" t="s">
        <v>2582</v>
      </c>
      <c r="B1760" s="17" t="s">
        <v>2583</v>
      </c>
      <c r="C1760" s="18"/>
      <c r="D1760" s="4"/>
      <c r="E1760" s="19">
        <v>0.0</v>
      </c>
      <c r="F1760" s="19">
        <v>0.0</v>
      </c>
      <c r="G1760" s="16" t="s">
        <v>286</v>
      </c>
      <c r="H1760" s="21"/>
      <c r="I1760" s="22" t="s">
        <v>99</v>
      </c>
      <c r="J1760" s="29"/>
      <c r="K1760" s="32">
        <v>7354.0</v>
      </c>
      <c r="L1760" s="24">
        <v>11000.0</v>
      </c>
      <c r="M1760" s="25" t="s">
        <v>76</v>
      </c>
      <c r="N1760" s="26"/>
      <c r="O1760" s="27">
        <f t="shared" si="231"/>
        <v>0.495784607</v>
      </c>
      <c r="P1760" s="28">
        <f t="shared" si="233"/>
        <v>0</v>
      </c>
    </row>
    <row r="1761" hidden="1">
      <c r="A1761" s="56" t="s">
        <v>2584</v>
      </c>
      <c r="B1761" s="17" t="s">
        <v>2585</v>
      </c>
      <c r="C1761" s="18"/>
      <c r="D1761" s="4"/>
      <c r="E1761" s="19">
        <v>0.0</v>
      </c>
      <c r="F1761" s="19">
        <v>0.0</v>
      </c>
      <c r="G1761" s="16" t="s">
        <v>286</v>
      </c>
      <c r="H1761" s="21"/>
      <c r="I1761" s="22" t="s">
        <v>99</v>
      </c>
      <c r="J1761" s="29"/>
      <c r="K1761" s="32">
        <v>9181.0</v>
      </c>
      <c r="L1761" s="24">
        <v>11000.0</v>
      </c>
      <c r="M1761" s="25" t="s">
        <v>76</v>
      </c>
      <c r="N1761" s="70"/>
      <c r="O1761" s="27">
        <f t="shared" si="231"/>
        <v>0.1981265657</v>
      </c>
      <c r="P1761" s="28">
        <f t="shared" si="233"/>
        <v>0</v>
      </c>
    </row>
    <row r="1762" hidden="1">
      <c r="A1762" s="56" t="s">
        <v>2586</v>
      </c>
      <c r="B1762" s="17"/>
      <c r="C1762" s="18"/>
      <c r="D1762" s="4"/>
      <c r="E1762" s="19">
        <v>0.0</v>
      </c>
      <c r="F1762" s="19">
        <v>0.0</v>
      </c>
      <c r="G1762" s="16" t="s">
        <v>286</v>
      </c>
      <c r="H1762" s="21"/>
      <c r="I1762" s="22" t="s">
        <v>99</v>
      </c>
      <c r="J1762" s="29"/>
      <c r="K1762" s="32">
        <v>7233.0</v>
      </c>
      <c r="L1762" s="24">
        <v>11000.0</v>
      </c>
      <c r="M1762" s="25" t="s">
        <v>76</v>
      </c>
      <c r="N1762" s="26"/>
      <c r="O1762" s="27">
        <f t="shared" si="231"/>
        <v>0.5208074105</v>
      </c>
      <c r="P1762" s="28">
        <f t="shared" si="233"/>
        <v>0</v>
      </c>
    </row>
    <row r="1763" hidden="1">
      <c r="A1763" s="16" t="s">
        <v>2587</v>
      </c>
      <c r="B1763" s="17" t="s">
        <v>2588</v>
      </c>
      <c r="C1763" s="18"/>
      <c r="D1763" s="4"/>
      <c r="E1763" s="19">
        <v>0.0</v>
      </c>
      <c r="F1763" s="19">
        <v>0.0</v>
      </c>
      <c r="G1763" s="16" t="s">
        <v>630</v>
      </c>
      <c r="H1763" s="21"/>
      <c r="I1763" s="22">
        <v>31.0</v>
      </c>
      <c r="J1763" s="22" t="s">
        <v>2589</v>
      </c>
      <c r="K1763" s="32">
        <v>14000.0</v>
      </c>
      <c r="L1763" s="24">
        <v>38000.0</v>
      </c>
      <c r="M1763" s="25" t="s">
        <v>76</v>
      </c>
      <c r="N1763" s="70">
        <v>28000.0</v>
      </c>
      <c r="O1763" s="27">
        <f t="shared" si="231"/>
        <v>1.714285714</v>
      </c>
      <c r="P1763" s="28">
        <f t="shared" si="233"/>
        <v>0</v>
      </c>
    </row>
    <row r="1764" hidden="1">
      <c r="A1764" s="16" t="s">
        <v>2590</v>
      </c>
      <c r="B1764" s="17" t="s">
        <v>2588</v>
      </c>
      <c r="C1764" s="18"/>
      <c r="D1764" s="4"/>
      <c r="E1764" s="19">
        <v>0.0</v>
      </c>
      <c r="F1764" s="19">
        <v>0.0</v>
      </c>
      <c r="G1764" s="16" t="s">
        <v>630</v>
      </c>
      <c r="H1764" s="21"/>
      <c r="I1764" s="22">
        <f>17+47</f>
        <v>64</v>
      </c>
      <c r="J1764" s="47">
        <v>46478.0</v>
      </c>
      <c r="K1764" s="32">
        <v>14000.0</v>
      </c>
      <c r="L1764" s="24">
        <v>38000.0</v>
      </c>
      <c r="M1764" s="25" t="s">
        <v>76</v>
      </c>
      <c r="N1764" s="70">
        <v>28000.0</v>
      </c>
      <c r="O1764" s="27">
        <f t="shared" si="231"/>
        <v>1.714285714</v>
      </c>
      <c r="P1764" s="28">
        <f t="shared" si="233"/>
        <v>0</v>
      </c>
    </row>
    <row r="1765" hidden="1">
      <c r="A1765" s="16" t="s">
        <v>2591</v>
      </c>
      <c r="B1765" s="17" t="s">
        <v>2588</v>
      </c>
      <c r="C1765" s="18"/>
      <c r="D1765" s="4"/>
      <c r="E1765" s="19">
        <v>0.0</v>
      </c>
      <c r="F1765" s="19">
        <v>0.0</v>
      </c>
      <c r="G1765" s="16" t="s">
        <v>630</v>
      </c>
      <c r="H1765" s="21"/>
      <c r="I1765" s="22">
        <v>51.0</v>
      </c>
      <c r="J1765" s="58">
        <v>46661.0</v>
      </c>
      <c r="K1765" s="32">
        <v>14000.0</v>
      </c>
      <c r="L1765" s="24">
        <v>38000.0</v>
      </c>
      <c r="M1765" s="25" t="s">
        <v>76</v>
      </c>
      <c r="N1765" s="70">
        <v>28000.0</v>
      </c>
      <c r="O1765" s="27">
        <f t="shared" si="231"/>
        <v>1.714285714</v>
      </c>
      <c r="P1765" s="28">
        <f t="shared" si="233"/>
        <v>0</v>
      </c>
    </row>
    <row r="1766" hidden="1">
      <c r="A1766" s="16" t="s">
        <v>2592</v>
      </c>
      <c r="B1766" s="17" t="s">
        <v>2588</v>
      </c>
      <c r="C1766" s="18" t="s">
        <v>55</v>
      </c>
      <c r="D1766" s="4"/>
      <c r="E1766" s="19">
        <v>0.0</v>
      </c>
      <c r="F1766" s="19">
        <v>0.0</v>
      </c>
      <c r="G1766" s="16" t="s">
        <v>630</v>
      </c>
      <c r="H1766" s="21"/>
      <c r="I1766" s="22">
        <v>9.0</v>
      </c>
      <c r="J1766" s="47">
        <v>46569.0</v>
      </c>
      <c r="K1766" s="32">
        <v>14000.0</v>
      </c>
      <c r="L1766" s="24">
        <v>38000.0</v>
      </c>
      <c r="M1766" s="25" t="s">
        <v>76</v>
      </c>
      <c r="N1766" s="70">
        <v>28000.0</v>
      </c>
      <c r="O1766" s="27">
        <f t="shared" si="231"/>
        <v>1.714285714</v>
      </c>
      <c r="P1766" s="28">
        <f t="shared" si="233"/>
        <v>0</v>
      </c>
    </row>
    <row r="1767" hidden="1">
      <c r="A1767" s="56" t="s">
        <v>2593</v>
      </c>
      <c r="B1767" s="17" t="s">
        <v>2594</v>
      </c>
      <c r="C1767" s="18"/>
      <c r="D1767" s="4"/>
      <c r="E1767" s="19">
        <v>0.0</v>
      </c>
      <c r="F1767" s="19">
        <v>0.0</v>
      </c>
      <c r="G1767" s="16" t="s">
        <v>286</v>
      </c>
      <c r="H1767" s="21"/>
      <c r="I1767" s="22">
        <v>0.0</v>
      </c>
      <c r="J1767" s="29"/>
      <c r="K1767" s="43">
        <v>5303.0</v>
      </c>
      <c r="L1767" s="44">
        <v>11000.0</v>
      </c>
      <c r="M1767" s="25"/>
      <c r="N1767" s="26"/>
      <c r="O1767" s="27">
        <f t="shared" si="231"/>
        <v>1.074297567</v>
      </c>
      <c r="P1767" s="28">
        <f t="shared" si="233"/>
        <v>0</v>
      </c>
    </row>
    <row r="1768" hidden="1">
      <c r="A1768" s="56" t="s">
        <v>2595</v>
      </c>
      <c r="B1768" s="17" t="s">
        <v>2596</v>
      </c>
      <c r="C1768" s="18"/>
      <c r="D1768" s="4"/>
      <c r="E1768" s="19">
        <v>0.0</v>
      </c>
      <c r="F1768" s="19">
        <v>0.0</v>
      </c>
      <c r="G1768" s="16" t="s">
        <v>286</v>
      </c>
      <c r="H1768" s="21"/>
      <c r="I1768" s="22">
        <v>0.0</v>
      </c>
      <c r="J1768" s="29"/>
      <c r="K1768" s="43">
        <v>5303.0</v>
      </c>
      <c r="L1768" s="44">
        <v>11000.0</v>
      </c>
      <c r="M1768" s="25"/>
      <c r="N1768" s="50"/>
      <c r="O1768" s="27">
        <f t="shared" si="231"/>
        <v>1.074297567</v>
      </c>
      <c r="P1768" s="28">
        <f t="shared" si="233"/>
        <v>0</v>
      </c>
    </row>
    <row r="1769" hidden="1">
      <c r="A1769" s="56" t="s">
        <v>2597</v>
      </c>
      <c r="B1769" s="17" t="s">
        <v>2598</v>
      </c>
      <c r="C1769" s="18"/>
      <c r="D1769" s="4"/>
      <c r="E1769" s="19">
        <v>0.0</v>
      </c>
      <c r="F1769" s="19">
        <v>0.0</v>
      </c>
      <c r="G1769" s="16" t="s">
        <v>286</v>
      </c>
      <c r="H1769" s="21"/>
      <c r="I1769" s="22">
        <v>0.0</v>
      </c>
      <c r="J1769" s="29"/>
      <c r="K1769" s="43">
        <v>5303.0</v>
      </c>
      <c r="L1769" s="44">
        <v>11000.0</v>
      </c>
      <c r="M1769" s="25"/>
      <c r="N1769" s="50"/>
      <c r="O1769" s="27">
        <f t="shared" si="231"/>
        <v>1.074297567</v>
      </c>
      <c r="P1769" s="28">
        <f t="shared" si="233"/>
        <v>0</v>
      </c>
    </row>
    <row r="1770" hidden="1">
      <c r="A1770" s="16" t="s">
        <v>2599</v>
      </c>
      <c r="B1770" s="17" t="s">
        <v>2600</v>
      </c>
      <c r="C1770" s="18"/>
      <c r="D1770" s="4"/>
      <c r="E1770" s="19">
        <v>0.0</v>
      </c>
      <c r="F1770" s="19">
        <v>0.0</v>
      </c>
      <c r="G1770" s="16" t="s">
        <v>630</v>
      </c>
      <c r="H1770" s="21"/>
      <c r="I1770" s="22">
        <v>72.0</v>
      </c>
      <c r="J1770" s="47">
        <v>46844.0</v>
      </c>
      <c r="K1770" s="32">
        <v>13000.0</v>
      </c>
      <c r="L1770" s="24">
        <v>30000.0</v>
      </c>
      <c r="M1770" s="25" t="s">
        <v>76</v>
      </c>
      <c r="N1770" s="70">
        <v>24000.0</v>
      </c>
      <c r="O1770" s="27">
        <f t="shared" si="231"/>
        <v>1.307692308</v>
      </c>
      <c r="P1770" s="28">
        <f t="shared" si="233"/>
        <v>0</v>
      </c>
    </row>
    <row r="1771" hidden="1">
      <c r="A1771" s="16" t="s">
        <v>2601</v>
      </c>
      <c r="B1771" s="17" t="s">
        <v>2600</v>
      </c>
      <c r="C1771" s="18"/>
      <c r="D1771" s="4"/>
      <c r="E1771" s="19">
        <v>0.0</v>
      </c>
      <c r="F1771" s="19">
        <v>0.0</v>
      </c>
      <c r="G1771" s="16" t="s">
        <v>630</v>
      </c>
      <c r="H1771" s="21"/>
      <c r="I1771" s="22">
        <f>16+29</f>
        <v>45</v>
      </c>
      <c r="J1771" s="58">
        <v>46661.0</v>
      </c>
      <c r="K1771" s="32">
        <v>13000.0</v>
      </c>
      <c r="L1771" s="24">
        <v>30000.0</v>
      </c>
      <c r="M1771" s="25" t="s">
        <v>76</v>
      </c>
      <c r="N1771" s="70">
        <v>24000.0</v>
      </c>
      <c r="O1771" s="27">
        <f t="shared" si="231"/>
        <v>1.307692308</v>
      </c>
      <c r="P1771" s="28">
        <f t="shared" si="233"/>
        <v>0</v>
      </c>
    </row>
    <row r="1772" hidden="1">
      <c r="A1772" s="16" t="s">
        <v>2602</v>
      </c>
      <c r="B1772" s="17" t="s">
        <v>2600</v>
      </c>
      <c r="C1772" s="18"/>
      <c r="D1772" s="4"/>
      <c r="E1772" s="19">
        <v>0.0</v>
      </c>
      <c r="F1772" s="19">
        <v>6.0</v>
      </c>
      <c r="G1772" s="16" t="s">
        <v>630</v>
      </c>
      <c r="H1772" s="21"/>
      <c r="I1772" s="22">
        <v>26.0</v>
      </c>
      <c r="J1772" s="47">
        <v>46235.0</v>
      </c>
      <c r="K1772" s="32">
        <v>13000.0</v>
      </c>
      <c r="L1772" s="24">
        <v>30000.0</v>
      </c>
      <c r="M1772" s="25" t="s">
        <v>76</v>
      </c>
      <c r="N1772" s="70">
        <v>24000.0</v>
      </c>
      <c r="O1772" s="27">
        <f t="shared" si="231"/>
        <v>1.307692308</v>
      </c>
      <c r="P1772" s="28">
        <f t="shared" si="233"/>
        <v>78000</v>
      </c>
    </row>
    <row r="1773" hidden="1">
      <c r="A1773" s="16" t="s">
        <v>2603</v>
      </c>
      <c r="B1773" s="17" t="s">
        <v>2600</v>
      </c>
      <c r="C1773" s="18"/>
      <c r="D1773" s="4"/>
      <c r="E1773" s="19">
        <v>0.0</v>
      </c>
      <c r="F1773" s="19">
        <v>0.0</v>
      </c>
      <c r="G1773" s="16" t="s">
        <v>630</v>
      </c>
      <c r="H1773" s="21"/>
      <c r="I1773" s="22">
        <v>5.0</v>
      </c>
      <c r="J1773" s="47">
        <v>46235.0</v>
      </c>
      <c r="K1773" s="32">
        <v>13000.0</v>
      </c>
      <c r="L1773" s="24">
        <v>30000.0</v>
      </c>
      <c r="M1773" s="25" t="s">
        <v>76</v>
      </c>
      <c r="N1773" s="70">
        <v>24000.0</v>
      </c>
      <c r="O1773" s="27">
        <f t="shared" si="231"/>
        <v>1.307692308</v>
      </c>
      <c r="P1773" s="28">
        <f t="shared" si="233"/>
        <v>0</v>
      </c>
    </row>
    <row r="1774" hidden="1">
      <c r="A1774" s="16" t="s">
        <v>2604</v>
      </c>
      <c r="B1774" s="17" t="s">
        <v>2605</v>
      </c>
      <c r="C1774" s="18"/>
      <c r="D1774" s="4"/>
      <c r="E1774" s="19">
        <v>0.0</v>
      </c>
      <c r="F1774" s="19">
        <v>0.0</v>
      </c>
      <c r="G1774" s="20" t="s">
        <v>2606</v>
      </c>
      <c r="H1774" s="21"/>
      <c r="I1774" s="22">
        <v>26.0</v>
      </c>
      <c r="J1774" s="58">
        <v>47027.0</v>
      </c>
      <c r="K1774" s="32">
        <v>55000.0</v>
      </c>
      <c r="L1774" s="24">
        <v>98000.0</v>
      </c>
      <c r="M1774" s="25" t="s">
        <v>76</v>
      </c>
      <c r="N1774" s="31">
        <v>80000.0</v>
      </c>
      <c r="O1774" s="27">
        <f t="shared" si="231"/>
        <v>0.7818181818</v>
      </c>
      <c r="P1774" s="28">
        <f t="shared" si="233"/>
        <v>0</v>
      </c>
    </row>
    <row r="1775" hidden="1">
      <c r="A1775" s="16" t="s">
        <v>2607</v>
      </c>
      <c r="B1775" s="17" t="s">
        <v>2608</v>
      </c>
      <c r="C1775" s="18"/>
      <c r="D1775" s="4"/>
      <c r="E1775" s="19">
        <v>0.0</v>
      </c>
      <c r="F1775" s="19">
        <v>0.0</v>
      </c>
      <c r="G1775" s="20" t="s">
        <v>2606</v>
      </c>
      <c r="H1775" s="21"/>
      <c r="I1775" s="22">
        <v>31.0</v>
      </c>
      <c r="J1775" s="58">
        <v>47027.0</v>
      </c>
      <c r="K1775" s="32">
        <v>6600.0</v>
      </c>
      <c r="L1775" s="24">
        <v>98000.0</v>
      </c>
      <c r="M1775" s="25" t="s">
        <v>76</v>
      </c>
      <c r="N1775" s="31">
        <v>80000.0</v>
      </c>
      <c r="O1775" s="27">
        <f t="shared" si="231"/>
        <v>13.84848485</v>
      </c>
      <c r="P1775" s="28">
        <f t="shared" si="233"/>
        <v>0</v>
      </c>
    </row>
    <row r="1776" hidden="1">
      <c r="A1776" s="16" t="s">
        <v>2609</v>
      </c>
      <c r="B1776" s="17"/>
      <c r="C1776" s="18"/>
      <c r="D1776" s="4"/>
      <c r="E1776" s="19">
        <v>0.0</v>
      </c>
      <c r="F1776" s="19">
        <v>0.0</v>
      </c>
      <c r="G1776" s="20" t="s">
        <v>2606</v>
      </c>
      <c r="H1776" s="21"/>
      <c r="I1776" s="22">
        <v>74.0</v>
      </c>
      <c r="J1776" s="58">
        <v>46661.0</v>
      </c>
      <c r="K1776" s="32">
        <v>55000.0</v>
      </c>
      <c r="L1776" s="24">
        <v>98000.0</v>
      </c>
      <c r="M1776" s="25" t="s">
        <v>76</v>
      </c>
      <c r="N1776" s="26">
        <v>80000.0</v>
      </c>
      <c r="O1776" s="27">
        <f t="shared" si="231"/>
        <v>0.7818181818</v>
      </c>
      <c r="P1776" s="28">
        <f t="shared" si="233"/>
        <v>0</v>
      </c>
    </row>
    <row r="1777" hidden="1">
      <c r="A1777" s="16" t="s">
        <v>2610</v>
      </c>
      <c r="B1777" s="17" t="s">
        <v>2611</v>
      </c>
      <c r="C1777" s="18"/>
      <c r="D1777" s="4"/>
      <c r="E1777" s="19">
        <v>0.0</v>
      </c>
      <c r="F1777" s="19">
        <v>0.0</v>
      </c>
      <c r="G1777" s="20" t="s">
        <v>2606</v>
      </c>
      <c r="H1777" s="21"/>
      <c r="I1777" s="22">
        <v>8.0</v>
      </c>
      <c r="J1777" s="58">
        <v>46296.0</v>
      </c>
      <c r="K1777" s="32">
        <v>55000.0</v>
      </c>
      <c r="L1777" s="24">
        <v>98000.0</v>
      </c>
      <c r="M1777" s="25" t="s">
        <v>76</v>
      </c>
      <c r="N1777" s="26">
        <v>80000.0</v>
      </c>
      <c r="O1777" s="27">
        <f t="shared" si="231"/>
        <v>0.7818181818</v>
      </c>
      <c r="P1777" s="28">
        <f t="shared" si="233"/>
        <v>0</v>
      </c>
    </row>
    <row r="1778" hidden="1">
      <c r="A1778" s="42" t="s">
        <v>2612</v>
      </c>
      <c r="B1778" s="114" t="s">
        <v>2613</v>
      </c>
      <c r="C1778" s="18"/>
      <c r="D1778" s="4"/>
      <c r="E1778" s="19">
        <v>0.0</v>
      </c>
      <c r="F1778" s="19">
        <v>0.0</v>
      </c>
      <c r="G1778" s="16" t="s">
        <v>1400</v>
      </c>
      <c r="H1778" s="21"/>
      <c r="I1778" s="22">
        <v>1.0</v>
      </c>
      <c r="J1778" s="47">
        <v>46174.0</v>
      </c>
      <c r="K1778" s="48">
        <f t="shared" ref="K1778:K1779" si="234">283255/3</f>
        <v>94418.33333</v>
      </c>
      <c r="L1778" s="55">
        <v>136000.0</v>
      </c>
      <c r="M1778" s="25" t="s">
        <v>2614</v>
      </c>
      <c r="N1778" s="70">
        <v>108000.0</v>
      </c>
      <c r="O1778" s="27">
        <f t="shared" si="231"/>
        <v>0.4403982277</v>
      </c>
      <c r="P1778" s="28">
        <f t="shared" si="233"/>
        <v>0</v>
      </c>
    </row>
    <row r="1779" hidden="1">
      <c r="A1779" s="42" t="s">
        <v>2615</v>
      </c>
      <c r="B1779" s="114" t="s">
        <v>2613</v>
      </c>
      <c r="C1779" s="18"/>
      <c r="D1779" s="4"/>
      <c r="E1779" s="19">
        <v>0.0</v>
      </c>
      <c r="F1779" s="19">
        <v>3.0</v>
      </c>
      <c r="G1779" s="16" t="s">
        <v>1400</v>
      </c>
      <c r="H1779" s="21"/>
      <c r="I1779" s="22">
        <v>0.0</v>
      </c>
      <c r="J1779" s="47">
        <v>46174.0</v>
      </c>
      <c r="K1779" s="48">
        <f t="shared" si="234"/>
        <v>94418.33333</v>
      </c>
      <c r="L1779" s="55">
        <v>136000.0</v>
      </c>
      <c r="M1779" s="25" t="s">
        <v>2614</v>
      </c>
      <c r="N1779" s="26">
        <v>108000.0</v>
      </c>
      <c r="O1779" s="27">
        <f t="shared" si="231"/>
        <v>0.4403982277</v>
      </c>
      <c r="P1779" s="28">
        <f>K1779*F1778</f>
        <v>0</v>
      </c>
    </row>
    <row r="1780" hidden="1">
      <c r="A1780" s="52" t="s">
        <v>2616</v>
      </c>
      <c r="B1780" s="17"/>
      <c r="C1780" s="18"/>
      <c r="D1780" s="4"/>
      <c r="E1780" s="19">
        <v>0.0</v>
      </c>
      <c r="F1780" s="19">
        <v>0.0</v>
      </c>
      <c r="G1780" s="16" t="s">
        <v>2617</v>
      </c>
      <c r="H1780" s="21"/>
      <c r="I1780" s="22"/>
      <c r="J1780" s="29"/>
      <c r="K1780" s="32">
        <f>3500*0.95*1.19</f>
        <v>3956.75</v>
      </c>
      <c r="L1780" s="24">
        <v>8000.0</v>
      </c>
      <c r="M1780" s="25"/>
      <c r="N1780" s="26"/>
      <c r="O1780" s="27">
        <f t="shared" si="231"/>
        <v>1.021861376</v>
      </c>
      <c r="P1780" s="28">
        <f t="shared" ref="P1780:P1784" si="235">K1780*F1780</f>
        <v>0</v>
      </c>
    </row>
    <row r="1781" hidden="1">
      <c r="A1781" s="52" t="s">
        <v>2618</v>
      </c>
      <c r="B1781" s="17"/>
      <c r="C1781" s="18"/>
      <c r="D1781" s="4"/>
      <c r="E1781" s="19">
        <v>0.0</v>
      </c>
      <c r="F1781" s="19">
        <v>0.0</v>
      </c>
      <c r="G1781" s="16" t="s">
        <v>2617</v>
      </c>
      <c r="H1781" s="21"/>
      <c r="I1781" s="22">
        <v>50.0</v>
      </c>
      <c r="J1781" s="29"/>
      <c r="K1781" s="32">
        <f t="shared" ref="K1781:K1782" si="236">7700*1.19/3</f>
        <v>3054.333333</v>
      </c>
      <c r="L1781" s="24">
        <v>8000.0</v>
      </c>
      <c r="M1781" s="25"/>
      <c r="N1781" s="26"/>
      <c r="O1781" s="27">
        <f t="shared" si="231"/>
        <v>1.61922951</v>
      </c>
      <c r="P1781" s="28">
        <f t="shared" si="235"/>
        <v>0</v>
      </c>
    </row>
    <row r="1782" hidden="1">
      <c r="A1782" s="52" t="s">
        <v>2619</v>
      </c>
      <c r="B1782" s="17"/>
      <c r="C1782" s="18"/>
      <c r="D1782" s="4"/>
      <c r="E1782" s="19">
        <v>0.0</v>
      </c>
      <c r="F1782" s="19">
        <v>0.0</v>
      </c>
      <c r="G1782" s="16" t="s">
        <v>2617</v>
      </c>
      <c r="H1782" s="21"/>
      <c r="I1782" s="22">
        <v>68.0</v>
      </c>
      <c r="J1782" s="29"/>
      <c r="K1782" s="32">
        <f t="shared" si="236"/>
        <v>3054.333333</v>
      </c>
      <c r="L1782" s="24">
        <v>8000.0</v>
      </c>
      <c r="M1782" s="25"/>
      <c r="N1782" s="26"/>
      <c r="O1782" s="27">
        <f t="shared" si="231"/>
        <v>1.61922951</v>
      </c>
      <c r="P1782" s="28">
        <f t="shared" si="235"/>
        <v>0</v>
      </c>
    </row>
    <row r="1783" hidden="1">
      <c r="A1783" s="16" t="s">
        <v>2620</v>
      </c>
      <c r="B1783" s="17"/>
      <c r="C1783" s="18"/>
      <c r="D1783" s="4"/>
      <c r="E1783" s="19">
        <v>0.0</v>
      </c>
      <c r="F1783" s="19">
        <v>0.0</v>
      </c>
      <c r="G1783" s="16" t="s">
        <v>2621</v>
      </c>
      <c r="H1783" s="21"/>
      <c r="I1783" s="22">
        <v>0.0</v>
      </c>
      <c r="J1783" s="29"/>
      <c r="K1783" s="43">
        <v>2800.0</v>
      </c>
      <c r="L1783" s="44">
        <v>14000.0</v>
      </c>
      <c r="M1783" s="25"/>
      <c r="N1783" s="26"/>
      <c r="O1783" s="27">
        <f t="shared" si="231"/>
        <v>4</v>
      </c>
      <c r="P1783" s="28">
        <f t="shared" si="235"/>
        <v>0</v>
      </c>
    </row>
    <row r="1784" hidden="1">
      <c r="A1784" s="52" t="s">
        <v>2622</v>
      </c>
      <c r="B1784" s="17"/>
      <c r="C1784" s="18"/>
      <c r="D1784" s="4"/>
      <c r="E1784" s="19">
        <v>0.0</v>
      </c>
      <c r="F1784" s="19">
        <v>0.0</v>
      </c>
      <c r="G1784" s="16" t="s">
        <v>2617</v>
      </c>
      <c r="H1784" s="21"/>
      <c r="I1784" s="22">
        <f>17*5</f>
        <v>85</v>
      </c>
      <c r="J1784" s="29"/>
      <c r="K1784" s="32">
        <f>7700*1.19/3</f>
        <v>3054.333333</v>
      </c>
      <c r="L1784" s="24">
        <v>8000.0</v>
      </c>
      <c r="M1784" s="25"/>
      <c r="N1784" s="26"/>
      <c r="O1784" s="27">
        <f t="shared" si="231"/>
        <v>1.61922951</v>
      </c>
      <c r="P1784" s="28">
        <f t="shared" si="235"/>
        <v>0</v>
      </c>
    </row>
    <row r="1785" hidden="1">
      <c r="A1785" s="16" t="s">
        <v>2623</v>
      </c>
      <c r="B1785" s="17"/>
      <c r="C1785" s="18"/>
      <c r="D1785" s="4"/>
      <c r="E1785" s="19">
        <v>0.0</v>
      </c>
      <c r="F1785" s="19">
        <v>0.0</v>
      </c>
      <c r="G1785" s="16" t="s">
        <v>2624</v>
      </c>
      <c r="H1785" s="21"/>
      <c r="I1785" s="22"/>
      <c r="J1785" s="29"/>
      <c r="K1785" s="43"/>
      <c r="L1785" s="44">
        <v>11000.0</v>
      </c>
      <c r="M1785" s="25"/>
      <c r="N1785" s="26"/>
      <c r="O1785" s="27"/>
      <c r="P1785" s="28"/>
    </row>
    <row r="1786" hidden="1">
      <c r="A1786" s="16" t="s">
        <v>2625</v>
      </c>
      <c r="B1786" s="131" t="s">
        <v>2626</v>
      </c>
      <c r="C1786" s="18"/>
      <c r="D1786" s="4"/>
      <c r="E1786" s="19">
        <v>0.0</v>
      </c>
      <c r="F1786" s="19">
        <v>8.0</v>
      </c>
      <c r="G1786" s="16" t="s">
        <v>2627</v>
      </c>
      <c r="H1786" s="21"/>
      <c r="I1786" s="22"/>
      <c r="J1786" s="29"/>
      <c r="K1786" s="32">
        <v>11000.0</v>
      </c>
      <c r="L1786" s="274">
        <v>18000.0</v>
      </c>
      <c r="M1786" s="25"/>
      <c r="N1786" s="26"/>
      <c r="O1786" s="27">
        <f t="shared" ref="O1786:O1789" si="237">(L1786/K1786)-1</f>
        <v>0.6363636364</v>
      </c>
      <c r="P1786" s="28">
        <f t="shared" ref="P1786:P1789" si="238">K1786*F1786</f>
        <v>88000</v>
      </c>
    </row>
    <row r="1787" hidden="1">
      <c r="A1787" s="16" t="s">
        <v>2628</v>
      </c>
      <c r="B1787" s="193" t="s">
        <v>2629</v>
      </c>
      <c r="C1787" s="18"/>
      <c r="D1787" s="4"/>
      <c r="E1787" s="19">
        <v>0.0</v>
      </c>
      <c r="F1787" s="19">
        <v>10.0</v>
      </c>
      <c r="G1787" s="16" t="s">
        <v>2627</v>
      </c>
      <c r="H1787" s="21"/>
      <c r="I1787" s="22"/>
      <c r="J1787" s="29"/>
      <c r="K1787" s="43">
        <v>10000.0</v>
      </c>
      <c r="L1787" s="275">
        <v>18000.0</v>
      </c>
      <c r="M1787" s="25"/>
      <c r="N1787" s="26"/>
      <c r="O1787" s="27">
        <f t="shared" si="237"/>
        <v>0.8</v>
      </c>
      <c r="P1787" s="28">
        <f t="shared" si="238"/>
        <v>100000</v>
      </c>
    </row>
    <row r="1788" hidden="1">
      <c r="A1788" s="16" t="s">
        <v>2630</v>
      </c>
      <c r="B1788" s="193" t="s">
        <v>2631</v>
      </c>
      <c r="C1788" s="18"/>
      <c r="D1788" s="4"/>
      <c r="E1788" s="19">
        <v>0.0</v>
      </c>
      <c r="F1788" s="19"/>
      <c r="G1788" s="16" t="s">
        <v>2632</v>
      </c>
      <c r="H1788" s="21"/>
      <c r="I1788" s="22"/>
      <c r="J1788" s="29"/>
      <c r="K1788" s="43">
        <v>6600.0</v>
      </c>
      <c r="L1788" s="44">
        <v>10000.0</v>
      </c>
      <c r="M1788" s="25"/>
      <c r="N1788" s="26"/>
      <c r="O1788" s="27">
        <f t="shared" si="237"/>
        <v>0.5151515152</v>
      </c>
      <c r="P1788" s="28">
        <f t="shared" si="238"/>
        <v>0</v>
      </c>
    </row>
    <row r="1789" hidden="1">
      <c r="A1789" s="16" t="s">
        <v>2633</v>
      </c>
      <c r="B1789" s="49"/>
      <c r="C1789" s="18"/>
      <c r="D1789" s="4"/>
      <c r="E1789" s="19">
        <v>0.0</v>
      </c>
      <c r="F1789" s="19"/>
      <c r="G1789" s="16" t="s">
        <v>625</v>
      </c>
      <c r="H1789" s="21"/>
      <c r="I1789" s="22"/>
      <c r="J1789" s="29"/>
      <c r="K1789" s="43">
        <v>6500.0</v>
      </c>
      <c r="L1789" s="44">
        <v>10000.0</v>
      </c>
      <c r="M1789" s="25"/>
      <c r="N1789" s="26"/>
      <c r="O1789" s="27">
        <f t="shared" si="237"/>
        <v>0.5384615385</v>
      </c>
      <c r="P1789" s="28">
        <f t="shared" si="238"/>
        <v>0</v>
      </c>
    </row>
    <row r="1790" hidden="1">
      <c r="A1790" s="16" t="s">
        <v>2634</v>
      </c>
      <c r="B1790" s="36"/>
      <c r="C1790" s="18"/>
      <c r="D1790" s="4"/>
      <c r="E1790" s="19">
        <v>0.0</v>
      </c>
      <c r="F1790" s="19"/>
      <c r="G1790" s="16" t="s">
        <v>2635</v>
      </c>
      <c r="H1790" s="21"/>
      <c r="I1790" s="22"/>
      <c r="J1790" s="29"/>
      <c r="K1790" s="43"/>
      <c r="L1790" s="43"/>
      <c r="M1790" s="25"/>
      <c r="N1790" s="50"/>
      <c r="O1790" s="27"/>
      <c r="P1790" s="28"/>
    </row>
    <row r="1791" hidden="1">
      <c r="A1791" s="16" t="s">
        <v>2636</v>
      </c>
      <c r="B1791" s="36"/>
      <c r="C1791" s="18"/>
      <c r="D1791" s="4"/>
      <c r="E1791" s="19">
        <v>0.0</v>
      </c>
      <c r="F1791" s="19"/>
      <c r="G1791" s="16" t="s">
        <v>1333</v>
      </c>
      <c r="H1791" s="21"/>
      <c r="I1791" s="22"/>
      <c r="J1791" s="29"/>
      <c r="K1791" s="43"/>
      <c r="L1791" s="43"/>
      <c r="M1791" s="25"/>
      <c r="N1791" s="50"/>
      <c r="O1791" s="27"/>
      <c r="P1791" s="28"/>
    </row>
    <row r="1792" hidden="1">
      <c r="A1792" s="16" t="s">
        <v>2637</v>
      </c>
      <c r="B1792" s="36"/>
      <c r="C1792" s="18"/>
      <c r="D1792" s="4"/>
      <c r="E1792" s="19">
        <v>0.0</v>
      </c>
      <c r="F1792" s="19"/>
      <c r="G1792" s="16" t="s">
        <v>1333</v>
      </c>
      <c r="H1792" s="21"/>
      <c r="I1792" s="22"/>
      <c r="J1792" s="29"/>
      <c r="K1792" s="32">
        <f>140+19</f>
        <v>159</v>
      </c>
      <c r="L1792" s="43">
        <v>500.0</v>
      </c>
      <c r="M1792" s="25"/>
      <c r="N1792" s="50"/>
      <c r="O1792" s="27">
        <f t="shared" ref="O1792:O1796" si="239">(L1792/K1792)-1</f>
        <v>2.144654088</v>
      </c>
      <c r="P1792" s="28"/>
    </row>
    <row r="1793" hidden="1">
      <c r="A1793" s="52" t="s">
        <v>2638</v>
      </c>
      <c r="B1793" s="17" t="s">
        <v>2639</v>
      </c>
      <c r="C1793" s="18"/>
      <c r="D1793" s="4"/>
      <c r="E1793" s="19">
        <v>0.0</v>
      </c>
      <c r="F1793" s="19">
        <v>0.0</v>
      </c>
      <c r="G1793" s="16" t="s">
        <v>2640</v>
      </c>
      <c r="H1793" s="21"/>
      <c r="I1793" s="22"/>
      <c r="J1793" s="29"/>
      <c r="K1793" s="32">
        <f>2845*1.19</f>
        <v>3385.55</v>
      </c>
      <c r="L1793" s="24">
        <v>5000.0</v>
      </c>
      <c r="M1793" s="25">
        <v>0.19</v>
      </c>
      <c r="N1793" s="26"/>
      <c r="O1793" s="27">
        <f t="shared" si="239"/>
        <v>0.4768649112</v>
      </c>
      <c r="P1793" s="28">
        <f t="shared" ref="P1793:P1796" si="240">K1793*F1793</f>
        <v>0</v>
      </c>
    </row>
    <row r="1794" hidden="1">
      <c r="A1794" s="52" t="s">
        <v>2641</v>
      </c>
      <c r="B1794" s="17" t="s">
        <v>2642</v>
      </c>
      <c r="C1794" s="18"/>
      <c r="D1794" s="4"/>
      <c r="E1794" s="19">
        <v>0.0</v>
      </c>
      <c r="F1794" s="19">
        <v>0.0</v>
      </c>
      <c r="G1794" s="16" t="s">
        <v>2640</v>
      </c>
      <c r="H1794" s="21"/>
      <c r="I1794" s="22">
        <v>7.0</v>
      </c>
      <c r="J1794" s="29"/>
      <c r="K1794" s="32">
        <f t="shared" ref="K1794:K1795" si="241">3170*1.19</f>
        <v>3772.3</v>
      </c>
      <c r="L1794" s="24">
        <v>7000.0</v>
      </c>
      <c r="M1794" s="25">
        <v>0.19</v>
      </c>
      <c r="N1794" s="26"/>
      <c r="O1794" s="27">
        <f t="shared" si="239"/>
        <v>0.8556318426</v>
      </c>
      <c r="P1794" s="28">
        <f t="shared" si="240"/>
        <v>0</v>
      </c>
    </row>
    <row r="1795" hidden="1">
      <c r="A1795" s="52" t="s">
        <v>2643</v>
      </c>
      <c r="B1795" s="17"/>
      <c r="C1795" s="18"/>
      <c r="D1795" s="4"/>
      <c r="E1795" s="19">
        <v>0.0</v>
      </c>
      <c r="F1795" s="19">
        <v>0.0</v>
      </c>
      <c r="G1795" s="16" t="s">
        <v>2640</v>
      </c>
      <c r="H1795" s="21"/>
      <c r="I1795" s="22">
        <v>11.0</v>
      </c>
      <c r="J1795" s="29"/>
      <c r="K1795" s="32">
        <f t="shared" si="241"/>
        <v>3772.3</v>
      </c>
      <c r="L1795" s="24">
        <v>7000.0</v>
      </c>
      <c r="M1795" s="25">
        <v>0.19</v>
      </c>
      <c r="N1795" s="26"/>
      <c r="O1795" s="27">
        <f t="shared" si="239"/>
        <v>0.8556318426</v>
      </c>
      <c r="P1795" s="28">
        <f t="shared" si="240"/>
        <v>0</v>
      </c>
    </row>
    <row r="1796" hidden="1">
      <c r="A1796" s="16" t="s">
        <v>2644</v>
      </c>
      <c r="B1796" s="17" t="s">
        <v>2645</v>
      </c>
      <c r="C1796" s="18"/>
      <c r="D1796" s="4"/>
      <c r="E1796" s="19">
        <v>0.0</v>
      </c>
      <c r="F1796" s="19">
        <v>0.0</v>
      </c>
      <c r="G1796" s="16" t="s">
        <v>286</v>
      </c>
      <c r="H1796" s="21"/>
      <c r="I1796" s="22">
        <v>2.0</v>
      </c>
      <c r="J1796" s="45"/>
      <c r="K1796" s="46">
        <f>1923*1.19</f>
        <v>2288.37</v>
      </c>
      <c r="L1796" s="24">
        <v>4000.0</v>
      </c>
      <c r="M1796" s="25">
        <v>0.19</v>
      </c>
      <c r="N1796" s="70"/>
      <c r="O1796" s="27">
        <f t="shared" si="239"/>
        <v>0.7479690784</v>
      </c>
      <c r="P1796" s="28">
        <f t="shared" si="240"/>
        <v>0</v>
      </c>
    </row>
    <row r="1797" hidden="1">
      <c r="A1797" s="16" t="s">
        <v>2646</v>
      </c>
      <c r="B1797" s="36"/>
      <c r="C1797" s="18"/>
      <c r="D1797" s="4"/>
      <c r="E1797" s="19">
        <v>0.0</v>
      </c>
      <c r="F1797" s="19"/>
      <c r="G1797" s="16" t="s">
        <v>1333</v>
      </c>
      <c r="H1797" s="21"/>
      <c r="I1797" s="22"/>
      <c r="J1797" s="29"/>
      <c r="K1797" s="32">
        <f>406+208</f>
        <v>614</v>
      </c>
      <c r="L1797" s="32">
        <v>5000.0</v>
      </c>
      <c r="M1797" s="25"/>
      <c r="N1797" s="50"/>
      <c r="O1797" s="27"/>
      <c r="P1797" s="28"/>
    </row>
    <row r="1798" hidden="1">
      <c r="A1798" s="16" t="s">
        <v>2647</v>
      </c>
      <c r="B1798" s="36"/>
      <c r="C1798" s="18"/>
      <c r="D1798" s="4"/>
      <c r="E1798" s="19">
        <v>0.0</v>
      </c>
      <c r="F1798" s="19"/>
      <c r="G1798" s="16" t="s">
        <v>1333</v>
      </c>
      <c r="H1798" s="21"/>
      <c r="I1798" s="22"/>
      <c r="J1798" s="29"/>
      <c r="K1798" s="32">
        <f>208+74</f>
        <v>282</v>
      </c>
      <c r="L1798" s="43"/>
      <c r="M1798" s="25"/>
      <c r="N1798" s="50"/>
      <c r="O1798" s="27"/>
      <c r="P1798" s="28"/>
    </row>
    <row r="1799" hidden="1">
      <c r="A1799" s="122" t="s">
        <v>2648</v>
      </c>
      <c r="B1799" s="17">
        <v>249008.0</v>
      </c>
      <c r="C1799" s="18"/>
      <c r="D1799" s="4"/>
      <c r="E1799" s="19">
        <v>0.0</v>
      </c>
      <c r="F1799" s="19">
        <v>0.0</v>
      </c>
      <c r="G1799" s="16" t="s">
        <v>2649</v>
      </c>
      <c r="H1799" s="21"/>
      <c r="I1799" s="22"/>
      <c r="J1799" s="45"/>
      <c r="K1799" s="172">
        <f>6629*1.19</f>
        <v>7888.51</v>
      </c>
      <c r="L1799" s="44">
        <v>15000.0</v>
      </c>
      <c r="M1799" s="25"/>
      <c r="N1799" s="26"/>
      <c r="O1799" s="27">
        <f t="shared" ref="O1799:O1842" si="242">(L1799/K1799)-1</f>
        <v>0.9014997763</v>
      </c>
      <c r="P1799" s="28">
        <f t="shared" ref="P1799:P1837" si="243">K1799*F1799</f>
        <v>0</v>
      </c>
    </row>
    <row r="1800" hidden="1">
      <c r="A1800" s="122" t="s">
        <v>2650</v>
      </c>
      <c r="B1800" s="273" t="s">
        <v>2651</v>
      </c>
      <c r="C1800" s="18"/>
      <c r="D1800" s="4"/>
      <c r="E1800" s="19"/>
      <c r="F1800" s="19">
        <v>0.0</v>
      </c>
      <c r="G1800" s="16" t="s">
        <v>2652</v>
      </c>
      <c r="H1800" s="21"/>
      <c r="I1800" s="22" t="s">
        <v>2653</v>
      </c>
      <c r="J1800" s="45"/>
      <c r="K1800" s="60">
        <v>3451.0</v>
      </c>
      <c r="L1800" s="55">
        <v>12000.0</v>
      </c>
      <c r="M1800" s="25"/>
      <c r="N1800" s="26"/>
      <c r="O1800" s="27">
        <f t="shared" si="242"/>
        <v>2.47725297</v>
      </c>
      <c r="P1800" s="28">
        <f t="shared" si="243"/>
        <v>0</v>
      </c>
    </row>
    <row r="1801" hidden="1">
      <c r="A1801" s="122" t="s">
        <v>2654</v>
      </c>
      <c r="B1801" s="17">
        <v>249002.0</v>
      </c>
      <c r="C1801" s="18"/>
      <c r="D1801" s="4"/>
      <c r="E1801" s="19">
        <v>0.0</v>
      </c>
      <c r="F1801" s="19">
        <v>0.0</v>
      </c>
      <c r="G1801" s="16" t="s">
        <v>2649</v>
      </c>
      <c r="H1801" s="21"/>
      <c r="I1801" s="22">
        <v>0.0</v>
      </c>
      <c r="J1801" s="45"/>
      <c r="K1801" s="172">
        <f>6201*1.19</f>
        <v>7379.19</v>
      </c>
      <c r="L1801" s="43">
        <v>12000.0</v>
      </c>
      <c r="M1801" s="25"/>
      <c r="N1801" s="26"/>
      <c r="O1801" s="27">
        <f t="shared" si="242"/>
        <v>0.626194745</v>
      </c>
      <c r="P1801" s="28">
        <f t="shared" si="243"/>
        <v>0</v>
      </c>
    </row>
    <row r="1802" hidden="1">
      <c r="A1802" s="122" t="s">
        <v>2655</v>
      </c>
      <c r="B1802" s="17" t="s">
        <v>2656</v>
      </c>
      <c r="C1802" s="18"/>
      <c r="D1802" s="4"/>
      <c r="E1802" s="19"/>
      <c r="F1802" s="19">
        <v>0.0</v>
      </c>
      <c r="G1802" s="16" t="s">
        <v>2652</v>
      </c>
      <c r="H1802" s="21"/>
      <c r="I1802" s="22" t="s">
        <v>2657</v>
      </c>
      <c r="J1802" s="45"/>
      <c r="K1802" s="60">
        <v>3094.0</v>
      </c>
      <c r="L1802" s="55">
        <v>8000.0</v>
      </c>
      <c r="M1802" s="25"/>
      <c r="N1802" s="26"/>
      <c r="O1802" s="27">
        <f t="shared" si="242"/>
        <v>1.585649644</v>
      </c>
      <c r="P1802" s="28">
        <f t="shared" si="243"/>
        <v>0</v>
      </c>
    </row>
    <row r="1803" hidden="1">
      <c r="A1803" s="122" t="s">
        <v>2658</v>
      </c>
      <c r="B1803" s="17">
        <v>249001.0</v>
      </c>
      <c r="C1803" s="18"/>
      <c r="D1803" s="4"/>
      <c r="E1803" s="19">
        <v>0.0</v>
      </c>
      <c r="F1803" s="19">
        <v>0.0</v>
      </c>
      <c r="G1803" s="16" t="s">
        <v>2649</v>
      </c>
      <c r="H1803" s="21"/>
      <c r="I1803" s="22"/>
      <c r="J1803" s="29"/>
      <c r="K1803" s="43">
        <f>3754*1.19</f>
        <v>4467.26</v>
      </c>
      <c r="L1803" s="44">
        <v>7000.0</v>
      </c>
      <c r="M1803" s="25"/>
      <c r="N1803" s="26"/>
      <c r="O1803" s="27">
        <f t="shared" si="242"/>
        <v>0.5669560312</v>
      </c>
      <c r="P1803" s="28">
        <f t="shared" si="243"/>
        <v>0</v>
      </c>
    </row>
    <row r="1804" hidden="1">
      <c r="A1804" s="122" t="s">
        <v>2659</v>
      </c>
      <c r="B1804" s="17">
        <v>249001.0</v>
      </c>
      <c r="C1804" s="18"/>
      <c r="D1804" s="4"/>
      <c r="E1804" s="19"/>
      <c r="F1804" s="19"/>
      <c r="G1804" s="16" t="s">
        <v>2660</v>
      </c>
      <c r="H1804" s="21">
        <v>0.0</v>
      </c>
      <c r="I1804" s="22"/>
      <c r="J1804" s="45"/>
      <c r="K1804" s="172">
        <f>4876*1.19</f>
        <v>5802.44</v>
      </c>
      <c r="L1804" s="44">
        <v>7000.0</v>
      </c>
      <c r="M1804" s="25"/>
      <c r="N1804" s="70"/>
      <c r="O1804" s="27">
        <f t="shared" si="242"/>
        <v>0.2063890363</v>
      </c>
      <c r="P1804" s="28">
        <f t="shared" si="243"/>
        <v>0</v>
      </c>
    </row>
    <row r="1805" hidden="1">
      <c r="A1805" s="16" t="s">
        <v>2661</v>
      </c>
      <c r="B1805" s="17"/>
      <c r="C1805" s="18"/>
      <c r="D1805" s="4"/>
      <c r="E1805" s="19">
        <v>0.0</v>
      </c>
      <c r="F1805" s="19">
        <v>0.0</v>
      </c>
      <c r="G1805" s="16" t="s">
        <v>1108</v>
      </c>
      <c r="H1805" s="21"/>
      <c r="I1805" s="22"/>
      <c r="J1805" s="29"/>
      <c r="K1805" s="43">
        <f>26000*1.19</f>
        <v>30940</v>
      </c>
      <c r="L1805" s="44">
        <v>45000.0</v>
      </c>
      <c r="M1805" s="25"/>
      <c r="N1805" s="26"/>
      <c r="O1805" s="27">
        <f t="shared" si="242"/>
        <v>0.454427925</v>
      </c>
      <c r="P1805" s="28">
        <f t="shared" si="243"/>
        <v>0</v>
      </c>
    </row>
    <row r="1806" hidden="1">
      <c r="A1806" s="16" t="s">
        <v>2662</v>
      </c>
      <c r="B1806" s="49"/>
      <c r="C1806" s="18"/>
      <c r="D1806" s="4"/>
      <c r="E1806" s="19">
        <v>0.0</v>
      </c>
      <c r="F1806" s="19">
        <v>0.0</v>
      </c>
      <c r="G1806" s="16" t="s">
        <v>254</v>
      </c>
      <c r="H1806" s="21"/>
      <c r="I1806" s="22">
        <v>0.0</v>
      </c>
      <c r="J1806" s="23"/>
      <c r="K1806" s="44">
        <v>270000.0</v>
      </c>
      <c r="L1806" s="44">
        <v>330000.0</v>
      </c>
      <c r="M1806" s="25"/>
      <c r="N1806" s="26"/>
      <c r="O1806" s="27">
        <f t="shared" si="242"/>
        <v>0.2222222222</v>
      </c>
      <c r="P1806" s="28">
        <f t="shared" si="243"/>
        <v>0</v>
      </c>
    </row>
    <row r="1807" hidden="1">
      <c r="A1807" s="16" t="s">
        <v>2663</v>
      </c>
      <c r="B1807" s="36"/>
      <c r="C1807" s="18"/>
      <c r="D1807" s="4"/>
      <c r="E1807" s="19">
        <v>0.0</v>
      </c>
      <c r="F1807" s="19">
        <v>0.0</v>
      </c>
      <c r="G1807" s="16" t="s">
        <v>84</v>
      </c>
      <c r="H1807" s="21"/>
      <c r="I1807" s="22"/>
      <c r="J1807" s="29"/>
      <c r="K1807" s="43">
        <f>28*800</f>
        <v>22400</v>
      </c>
      <c r="L1807" s="44">
        <v>42000.0</v>
      </c>
      <c r="M1807" s="25"/>
      <c r="N1807" s="26"/>
      <c r="O1807" s="27">
        <f t="shared" si="242"/>
        <v>0.875</v>
      </c>
      <c r="P1807" s="28">
        <f t="shared" si="243"/>
        <v>0</v>
      </c>
    </row>
    <row r="1808" hidden="1">
      <c r="A1808" s="16" t="s">
        <v>2664</v>
      </c>
      <c r="B1808" s="17"/>
      <c r="C1808" s="18"/>
      <c r="D1808" s="4"/>
      <c r="E1808" s="19">
        <v>0.0</v>
      </c>
      <c r="F1808" s="19">
        <v>0.0</v>
      </c>
      <c r="G1808" s="16" t="s">
        <v>1108</v>
      </c>
      <c r="H1808" s="21"/>
      <c r="I1808" s="22">
        <v>0.0</v>
      </c>
      <c r="J1808" s="45"/>
      <c r="K1808" s="60">
        <v>70210.0</v>
      </c>
      <c r="L1808" s="55">
        <v>88000.0</v>
      </c>
      <c r="M1808" s="25"/>
      <c r="N1808" s="48">
        <v>75000.0</v>
      </c>
      <c r="O1808" s="27">
        <f t="shared" si="242"/>
        <v>0.253382709</v>
      </c>
      <c r="P1808" s="28">
        <f t="shared" si="243"/>
        <v>0</v>
      </c>
    </row>
    <row r="1809" hidden="1">
      <c r="A1809" s="40" t="s">
        <v>2665</v>
      </c>
      <c r="B1809" s="17"/>
      <c r="C1809" s="18"/>
      <c r="D1809" s="4"/>
      <c r="E1809" s="19">
        <v>0.0</v>
      </c>
      <c r="F1809" s="19">
        <v>0.0</v>
      </c>
      <c r="G1809" s="16" t="s">
        <v>1108</v>
      </c>
      <c r="H1809" s="21"/>
      <c r="I1809" s="22">
        <v>0.0</v>
      </c>
      <c r="J1809" s="45"/>
      <c r="K1809" s="60">
        <v>70210.0</v>
      </c>
      <c r="L1809" s="55">
        <v>88000.0</v>
      </c>
      <c r="M1809" s="116"/>
      <c r="N1809" s="48">
        <v>78000.0</v>
      </c>
      <c r="O1809" s="27">
        <f t="shared" si="242"/>
        <v>0.253382709</v>
      </c>
      <c r="P1809" s="28">
        <f t="shared" si="243"/>
        <v>0</v>
      </c>
    </row>
    <row r="1810" hidden="1">
      <c r="A1810" s="16" t="s">
        <v>2666</v>
      </c>
      <c r="B1810" s="17"/>
      <c r="C1810" s="18"/>
      <c r="D1810" s="4"/>
      <c r="E1810" s="19">
        <v>0.0</v>
      </c>
      <c r="F1810" s="19"/>
      <c r="G1810" s="16" t="s">
        <v>2667</v>
      </c>
      <c r="H1810" s="21"/>
      <c r="I1810" s="22"/>
      <c r="J1810" s="45"/>
      <c r="K1810" s="60">
        <f>34000*1.19</f>
        <v>40460</v>
      </c>
      <c r="L1810" s="55">
        <v>54000.0</v>
      </c>
      <c r="M1810" s="25"/>
      <c r="N1810" s="50">
        <v>48000.0</v>
      </c>
      <c r="O1810" s="27">
        <f t="shared" si="242"/>
        <v>0.3346515077</v>
      </c>
      <c r="P1810" s="28">
        <f t="shared" si="243"/>
        <v>0</v>
      </c>
    </row>
    <row r="1811" hidden="1">
      <c r="A1811" s="16" t="s">
        <v>2668</v>
      </c>
      <c r="B1811" s="17"/>
      <c r="C1811" s="68"/>
      <c r="D1811" s="4"/>
      <c r="E1811" s="19">
        <v>2.0</v>
      </c>
      <c r="F1811" s="77">
        <v>0.0</v>
      </c>
      <c r="G1811" s="16" t="s">
        <v>2669</v>
      </c>
      <c r="H1811" s="21">
        <v>1.0</v>
      </c>
      <c r="I1811" s="22">
        <v>2.0</v>
      </c>
      <c r="J1811" s="45"/>
      <c r="K1811" s="60">
        <v>185000.0</v>
      </c>
      <c r="L1811" s="55">
        <v>240000.0</v>
      </c>
      <c r="M1811" s="25" t="s">
        <v>82</v>
      </c>
      <c r="N1811" s="26"/>
      <c r="O1811" s="27">
        <f t="shared" si="242"/>
        <v>0.2972972973</v>
      </c>
      <c r="P1811" s="28">
        <f t="shared" si="243"/>
        <v>0</v>
      </c>
    </row>
    <row r="1812" hidden="1">
      <c r="A1812" s="16" t="s">
        <v>2670</v>
      </c>
      <c r="B1812" s="17">
        <v>31973.0</v>
      </c>
      <c r="C1812" s="68"/>
      <c r="D1812" s="4"/>
      <c r="E1812" s="19">
        <v>0.0</v>
      </c>
      <c r="F1812" s="19">
        <v>0.0</v>
      </c>
      <c r="G1812" s="16" t="s">
        <v>2669</v>
      </c>
      <c r="H1812" s="21">
        <v>0.0</v>
      </c>
      <c r="I1812" s="22">
        <v>3.0</v>
      </c>
      <c r="J1812" s="45"/>
      <c r="K1812" s="60">
        <v>3700.0</v>
      </c>
      <c r="L1812" s="55">
        <v>6000.0</v>
      </c>
      <c r="M1812" s="25" t="s">
        <v>82</v>
      </c>
      <c r="N1812" s="26"/>
      <c r="O1812" s="27">
        <f t="shared" si="242"/>
        <v>0.6216216216</v>
      </c>
      <c r="P1812" s="28">
        <f t="shared" si="243"/>
        <v>0</v>
      </c>
    </row>
    <row r="1813" hidden="1">
      <c r="A1813" s="16" t="s">
        <v>2671</v>
      </c>
      <c r="B1813" s="51">
        <v>29676.0</v>
      </c>
      <c r="C1813" s="68"/>
      <c r="D1813" s="4"/>
      <c r="E1813" s="19">
        <v>0.0</v>
      </c>
      <c r="F1813" s="19">
        <v>0.0</v>
      </c>
      <c r="G1813" s="16" t="s">
        <v>2669</v>
      </c>
      <c r="H1813" s="21">
        <v>1.0</v>
      </c>
      <c r="I1813" s="22">
        <v>3.0</v>
      </c>
      <c r="J1813" s="29"/>
      <c r="K1813" s="48">
        <v>106000.0</v>
      </c>
      <c r="L1813" s="48">
        <v>130000.0</v>
      </c>
      <c r="M1813" s="25" t="s">
        <v>82</v>
      </c>
      <c r="N1813" s="26"/>
      <c r="O1813" s="27">
        <f t="shared" si="242"/>
        <v>0.2264150943</v>
      </c>
      <c r="P1813" s="28">
        <f t="shared" si="243"/>
        <v>0</v>
      </c>
    </row>
    <row r="1814" hidden="1">
      <c r="A1814" s="122" t="s">
        <v>2672</v>
      </c>
      <c r="B1814" s="17"/>
      <c r="C1814" s="18"/>
      <c r="D1814" s="4"/>
      <c r="E1814" s="19">
        <v>0.0</v>
      </c>
      <c r="F1814" s="19">
        <v>0.0</v>
      </c>
      <c r="G1814" s="16" t="s">
        <v>254</v>
      </c>
      <c r="H1814" s="21"/>
      <c r="I1814" s="22">
        <v>0.0</v>
      </c>
      <c r="J1814" s="29"/>
      <c r="K1814" s="43">
        <v>122000.0</v>
      </c>
      <c r="L1814" s="44">
        <v>160000.0</v>
      </c>
      <c r="M1814" s="25"/>
      <c r="N1814" s="26"/>
      <c r="O1814" s="27">
        <f t="shared" si="242"/>
        <v>0.3114754098</v>
      </c>
      <c r="P1814" s="28">
        <f t="shared" si="243"/>
        <v>0</v>
      </c>
    </row>
    <row r="1815" hidden="1">
      <c r="A1815" s="256" t="s">
        <v>2673</v>
      </c>
      <c r="B1815" s="97" t="s">
        <v>2674</v>
      </c>
      <c r="C1815" s="18"/>
      <c r="D1815" s="4"/>
      <c r="E1815" s="19">
        <v>0.0</v>
      </c>
      <c r="F1815" s="19">
        <v>0.0</v>
      </c>
      <c r="G1815" s="16" t="s">
        <v>2675</v>
      </c>
      <c r="H1815" s="21"/>
      <c r="I1815" s="22">
        <v>1.0</v>
      </c>
      <c r="J1815" s="29"/>
      <c r="K1815" s="43">
        <v>480000.0</v>
      </c>
      <c r="L1815" s="44">
        <v>750000.0</v>
      </c>
      <c r="M1815" s="25"/>
      <c r="N1815" s="50"/>
      <c r="O1815" s="27">
        <f t="shared" si="242"/>
        <v>0.5625</v>
      </c>
      <c r="P1815" s="28">
        <f t="shared" si="243"/>
        <v>0</v>
      </c>
    </row>
    <row r="1816" hidden="1">
      <c r="A1816" s="16" t="s">
        <v>2676</v>
      </c>
      <c r="B1816" s="167" t="s">
        <v>2677</v>
      </c>
      <c r="C1816" s="18"/>
      <c r="D1816" s="4"/>
      <c r="E1816" s="19">
        <v>0.0</v>
      </c>
      <c r="F1816" s="19">
        <v>0.0</v>
      </c>
      <c r="G1816" s="16" t="s">
        <v>1400</v>
      </c>
      <c r="H1816" s="21"/>
      <c r="I1816" s="22">
        <v>0.0</v>
      </c>
      <c r="J1816" s="23"/>
      <c r="K1816" s="55">
        <v>109081.0</v>
      </c>
      <c r="L1816" s="55">
        <v>155000.0</v>
      </c>
      <c r="M1816" s="25"/>
      <c r="N1816" s="50">
        <v>120000.0</v>
      </c>
      <c r="O1816" s="27">
        <f t="shared" si="242"/>
        <v>0.4209624041</v>
      </c>
      <c r="P1816" s="28">
        <f t="shared" si="243"/>
        <v>0</v>
      </c>
    </row>
    <row r="1817" hidden="1">
      <c r="A1817" s="16" t="s">
        <v>2678</v>
      </c>
      <c r="B1817" s="36" t="s">
        <v>2679</v>
      </c>
      <c r="C1817" s="18"/>
      <c r="D1817" s="4"/>
      <c r="E1817" s="19">
        <v>0.0</v>
      </c>
      <c r="F1817" s="19">
        <v>0.0</v>
      </c>
      <c r="G1817" s="16" t="s">
        <v>1400</v>
      </c>
      <c r="H1817" s="21"/>
      <c r="I1817" s="22">
        <v>1.0</v>
      </c>
      <c r="J1817" s="23"/>
      <c r="K1817" s="55">
        <v>113000.0</v>
      </c>
      <c r="L1817" s="55">
        <v>170000.0</v>
      </c>
      <c r="M1817" s="25"/>
      <c r="N1817" s="50"/>
      <c r="O1817" s="27">
        <f t="shared" si="242"/>
        <v>0.5044247788</v>
      </c>
      <c r="P1817" s="28">
        <f t="shared" si="243"/>
        <v>0</v>
      </c>
    </row>
    <row r="1818" hidden="1">
      <c r="A1818" s="16" t="s">
        <v>2680</v>
      </c>
      <c r="B1818" s="36" t="s">
        <v>2681</v>
      </c>
      <c r="C1818" s="18"/>
      <c r="D1818" s="4"/>
      <c r="E1818" s="19">
        <v>0.0</v>
      </c>
      <c r="F1818" s="19">
        <v>3.0</v>
      </c>
      <c r="G1818" s="16" t="s">
        <v>1400</v>
      </c>
      <c r="H1818" s="21"/>
      <c r="I1818" s="22">
        <v>0.0</v>
      </c>
      <c r="J1818" s="23"/>
      <c r="K1818" s="55">
        <v>71470.0</v>
      </c>
      <c r="L1818" s="55">
        <v>100000.0</v>
      </c>
      <c r="M1818" s="25"/>
      <c r="N1818" s="50"/>
      <c r="O1818" s="27">
        <f t="shared" si="242"/>
        <v>0.3991884707</v>
      </c>
      <c r="P1818" s="28">
        <f t="shared" si="243"/>
        <v>214410</v>
      </c>
    </row>
    <row r="1819" hidden="1">
      <c r="A1819" s="16" t="s">
        <v>2682</v>
      </c>
      <c r="B1819" s="36" t="s">
        <v>2683</v>
      </c>
      <c r="C1819" s="18"/>
      <c r="D1819" s="4"/>
      <c r="E1819" s="19">
        <v>0.0</v>
      </c>
      <c r="F1819" s="19">
        <v>0.0</v>
      </c>
      <c r="G1819" s="16" t="s">
        <v>1400</v>
      </c>
      <c r="H1819" s="21"/>
      <c r="I1819" s="22">
        <v>2.0</v>
      </c>
      <c r="J1819" s="47">
        <v>46569.0</v>
      </c>
      <c r="K1819" s="55">
        <v>71470.0</v>
      </c>
      <c r="L1819" s="24">
        <v>100000.0</v>
      </c>
      <c r="M1819" s="25"/>
      <c r="N1819" s="26"/>
      <c r="O1819" s="27">
        <f t="shared" si="242"/>
        <v>0.3991884707</v>
      </c>
      <c r="P1819" s="28">
        <f t="shared" si="243"/>
        <v>0</v>
      </c>
    </row>
    <row r="1820" hidden="1">
      <c r="A1820" s="16" t="s">
        <v>2684</v>
      </c>
      <c r="B1820" s="36" t="s">
        <v>2685</v>
      </c>
      <c r="C1820" s="18"/>
      <c r="D1820" s="4"/>
      <c r="E1820" s="19">
        <v>0.0</v>
      </c>
      <c r="F1820" s="19">
        <v>0.0</v>
      </c>
      <c r="G1820" s="16" t="s">
        <v>1400</v>
      </c>
      <c r="H1820" s="21"/>
      <c r="I1820" s="22">
        <v>2.0</v>
      </c>
      <c r="J1820" s="23"/>
      <c r="K1820" s="55">
        <v>71470.0</v>
      </c>
      <c r="L1820" s="24">
        <v>100000.0</v>
      </c>
      <c r="M1820" s="25"/>
      <c r="N1820" s="50"/>
      <c r="O1820" s="27">
        <f t="shared" si="242"/>
        <v>0.3991884707</v>
      </c>
      <c r="P1820" s="28">
        <f t="shared" si="243"/>
        <v>0</v>
      </c>
    </row>
    <row r="1821" hidden="1">
      <c r="A1821" s="16" t="s">
        <v>2686</v>
      </c>
      <c r="B1821" s="36"/>
      <c r="C1821" s="18"/>
      <c r="D1821" s="4"/>
      <c r="E1821" s="19">
        <v>0.0</v>
      </c>
      <c r="F1821" s="19">
        <v>2.0</v>
      </c>
      <c r="G1821" s="16" t="s">
        <v>1400</v>
      </c>
      <c r="H1821" s="21"/>
      <c r="I1821" s="22">
        <v>0.0</v>
      </c>
      <c r="J1821" s="23"/>
      <c r="K1821" s="55">
        <v>71470.0</v>
      </c>
      <c r="L1821" s="24">
        <v>100000.0</v>
      </c>
      <c r="M1821" s="25"/>
      <c r="N1821" s="50"/>
      <c r="O1821" s="27">
        <f t="shared" si="242"/>
        <v>0.3991884707</v>
      </c>
      <c r="P1821" s="28">
        <f t="shared" si="243"/>
        <v>142940</v>
      </c>
    </row>
    <row r="1822" hidden="1">
      <c r="A1822" s="42" t="s">
        <v>2687</v>
      </c>
      <c r="B1822" s="17"/>
      <c r="C1822" s="38"/>
      <c r="D1822" s="61"/>
      <c r="E1822" s="19"/>
      <c r="F1822" s="19"/>
      <c r="G1822" s="16" t="s">
        <v>91</v>
      </c>
      <c r="H1822" s="21"/>
      <c r="I1822" s="22">
        <v>0.0</v>
      </c>
      <c r="J1822" s="29"/>
      <c r="K1822" s="43">
        <v>300000.0</v>
      </c>
      <c r="L1822" s="44">
        <v>350000.0</v>
      </c>
      <c r="M1822" s="25"/>
      <c r="N1822" s="26"/>
      <c r="O1822" s="27">
        <f t="shared" si="242"/>
        <v>0.1666666667</v>
      </c>
      <c r="P1822" s="28">
        <f t="shared" si="243"/>
        <v>0</v>
      </c>
    </row>
    <row r="1823" hidden="1">
      <c r="A1823" s="42" t="s">
        <v>2688</v>
      </c>
      <c r="B1823" s="51" t="s">
        <v>2689</v>
      </c>
      <c r="C1823" s="38"/>
      <c r="D1823" s="61"/>
      <c r="E1823" s="19"/>
      <c r="F1823" s="19">
        <f>326400/4</f>
        <v>81600</v>
      </c>
      <c r="G1823" s="16" t="s">
        <v>91</v>
      </c>
      <c r="H1823" s="21"/>
      <c r="I1823" s="22">
        <v>1.0</v>
      </c>
      <c r="J1823" s="47">
        <v>46113.0</v>
      </c>
      <c r="K1823" s="46">
        <f>384000/4</f>
        <v>96000</v>
      </c>
      <c r="L1823" s="24">
        <v>125000.0</v>
      </c>
      <c r="M1823" s="25" t="s">
        <v>82</v>
      </c>
      <c r="N1823" s="26">
        <v>110000.0</v>
      </c>
      <c r="O1823" s="27">
        <f t="shared" si="242"/>
        <v>0.3020833333</v>
      </c>
      <c r="P1823" s="28">
        <f t="shared" si="243"/>
        <v>7833600000</v>
      </c>
    </row>
    <row r="1824" hidden="1">
      <c r="A1824" s="42" t="s">
        <v>2690</v>
      </c>
      <c r="B1824" s="17"/>
      <c r="C1824" s="38" t="s">
        <v>2691</v>
      </c>
      <c r="D1824" s="61"/>
      <c r="E1824" s="19"/>
      <c r="F1824" s="19"/>
      <c r="G1824" s="16" t="s">
        <v>91</v>
      </c>
      <c r="H1824" s="21"/>
      <c r="I1824" s="22">
        <v>0.0</v>
      </c>
      <c r="J1824" s="58">
        <v>45992.0</v>
      </c>
      <c r="K1824" s="32">
        <v>315455.0</v>
      </c>
      <c r="L1824" s="24">
        <v>390000.0</v>
      </c>
      <c r="M1824" s="25"/>
      <c r="N1824" s="26">
        <v>295000.0</v>
      </c>
      <c r="O1824" s="27">
        <f t="shared" si="242"/>
        <v>0.2363094578</v>
      </c>
      <c r="P1824" s="28">
        <f t="shared" si="243"/>
        <v>0</v>
      </c>
    </row>
    <row r="1825" hidden="1">
      <c r="A1825" s="16" t="s">
        <v>2692</v>
      </c>
      <c r="B1825" s="97" t="s">
        <v>2693</v>
      </c>
      <c r="C1825" s="18"/>
      <c r="D1825" s="98"/>
      <c r="E1825" s="19">
        <v>0.0</v>
      </c>
      <c r="F1825" s="19"/>
      <c r="G1825" s="16" t="s">
        <v>485</v>
      </c>
      <c r="H1825" s="21">
        <v>0.0</v>
      </c>
      <c r="I1825" s="22"/>
      <c r="J1825" s="173"/>
      <c r="K1825" s="174">
        <v>49210.0</v>
      </c>
      <c r="L1825" s="175">
        <v>95000.0</v>
      </c>
      <c r="M1825" s="25"/>
      <c r="N1825" s="26"/>
      <c r="O1825" s="27">
        <f t="shared" si="242"/>
        <v>0.9305019305</v>
      </c>
      <c r="P1825" s="28">
        <f t="shared" si="243"/>
        <v>0</v>
      </c>
    </row>
    <row r="1826" hidden="1">
      <c r="A1826" s="16" t="s">
        <v>2694</v>
      </c>
      <c r="B1826" s="36"/>
      <c r="C1826" s="18"/>
      <c r="D1826" s="4"/>
      <c r="E1826" s="19">
        <v>0.0</v>
      </c>
      <c r="F1826" s="19">
        <v>0.0</v>
      </c>
      <c r="G1826" s="16" t="s">
        <v>1400</v>
      </c>
      <c r="H1826" s="21"/>
      <c r="I1826" s="22">
        <v>0.0</v>
      </c>
      <c r="J1826" s="23"/>
      <c r="K1826" s="55">
        <v>90300.0</v>
      </c>
      <c r="L1826" s="55">
        <v>140000.0</v>
      </c>
      <c r="M1826" s="25"/>
      <c r="N1826" s="50"/>
      <c r="O1826" s="27">
        <f t="shared" si="242"/>
        <v>0.5503875969</v>
      </c>
      <c r="P1826" s="28">
        <f t="shared" si="243"/>
        <v>0</v>
      </c>
    </row>
    <row r="1827" hidden="1">
      <c r="A1827" s="16" t="s">
        <v>2695</v>
      </c>
      <c r="B1827" s="36" t="s">
        <v>2696</v>
      </c>
      <c r="C1827" s="18"/>
      <c r="D1827" s="4"/>
      <c r="E1827" s="19">
        <v>0.0</v>
      </c>
      <c r="F1827" s="19">
        <v>0.0</v>
      </c>
      <c r="G1827" s="16" t="s">
        <v>1400</v>
      </c>
      <c r="H1827" s="21"/>
      <c r="I1827" s="22">
        <v>1.0</v>
      </c>
      <c r="J1827" s="23"/>
      <c r="K1827" s="55">
        <v>90300.0</v>
      </c>
      <c r="L1827" s="55">
        <v>140000.0</v>
      </c>
      <c r="M1827" s="25"/>
      <c r="N1827" s="50"/>
      <c r="O1827" s="27">
        <f t="shared" si="242"/>
        <v>0.5503875969</v>
      </c>
      <c r="P1827" s="28">
        <f t="shared" si="243"/>
        <v>0</v>
      </c>
    </row>
    <row r="1828" hidden="1">
      <c r="A1828" s="16" t="s">
        <v>2697</v>
      </c>
      <c r="B1828" s="36" t="s">
        <v>2696</v>
      </c>
      <c r="C1828" s="18"/>
      <c r="D1828" s="4"/>
      <c r="E1828" s="19">
        <v>0.0</v>
      </c>
      <c r="F1828" s="19">
        <v>0.0</v>
      </c>
      <c r="G1828" s="16" t="s">
        <v>1400</v>
      </c>
      <c r="H1828" s="21"/>
      <c r="I1828" s="22">
        <v>0.0</v>
      </c>
      <c r="J1828" s="23"/>
      <c r="K1828" s="55">
        <v>90300.0</v>
      </c>
      <c r="L1828" s="55">
        <v>140000.0</v>
      </c>
      <c r="M1828" s="25"/>
      <c r="N1828" s="26"/>
      <c r="O1828" s="27">
        <f t="shared" si="242"/>
        <v>0.5503875969</v>
      </c>
      <c r="P1828" s="28">
        <f t="shared" si="243"/>
        <v>0</v>
      </c>
    </row>
    <row r="1829" hidden="1">
      <c r="A1829" s="52" t="s">
        <v>2698</v>
      </c>
      <c r="B1829" s="36" t="s">
        <v>328</v>
      </c>
      <c r="C1829" s="18"/>
      <c r="D1829" s="67"/>
      <c r="E1829" s="19">
        <v>0.0</v>
      </c>
      <c r="F1829" s="19">
        <v>20.0</v>
      </c>
      <c r="G1829" s="16" t="s">
        <v>513</v>
      </c>
      <c r="H1829" s="21"/>
      <c r="I1829" s="22">
        <v>11.0</v>
      </c>
      <c r="J1829" s="29"/>
      <c r="K1829" s="43">
        <f>16000*0.95*1.19</f>
        <v>18088</v>
      </c>
      <c r="L1829" s="24">
        <v>27000.0</v>
      </c>
      <c r="M1829" s="25"/>
      <c r="N1829" s="50">
        <v>23000.0</v>
      </c>
      <c r="O1829" s="27">
        <f t="shared" si="242"/>
        <v>0.4927023441</v>
      </c>
      <c r="P1829" s="28">
        <f t="shared" si="243"/>
        <v>361760</v>
      </c>
    </row>
    <row r="1830" hidden="1">
      <c r="A1830" s="16" t="s">
        <v>2699</v>
      </c>
      <c r="B1830" s="193" t="s">
        <v>2700</v>
      </c>
      <c r="C1830" s="18"/>
      <c r="D1830" s="4"/>
      <c r="E1830" s="19">
        <v>0.0</v>
      </c>
      <c r="F1830" s="19">
        <v>20.0</v>
      </c>
      <c r="G1830" s="16" t="s">
        <v>2701</v>
      </c>
      <c r="H1830" s="21"/>
      <c r="I1830" s="22">
        <v>78.0</v>
      </c>
      <c r="J1830" s="29"/>
      <c r="K1830" s="32">
        <f>11429*1.19</f>
        <v>13600.51</v>
      </c>
      <c r="L1830" s="24">
        <v>22000.0</v>
      </c>
      <c r="M1830" s="25"/>
      <c r="N1830" s="26"/>
      <c r="O1830" s="27">
        <f t="shared" si="242"/>
        <v>0.6175863993</v>
      </c>
      <c r="P1830" s="28">
        <f t="shared" si="243"/>
        <v>272010.2</v>
      </c>
    </row>
    <row r="1831" hidden="1">
      <c r="A1831" s="135" t="s">
        <v>2702</v>
      </c>
      <c r="B1831" s="36" t="s">
        <v>328</v>
      </c>
      <c r="C1831" s="18"/>
      <c r="D1831" s="4"/>
      <c r="E1831" s="19"/>
      <c r="F1831" s="19"/>
      <c r="G1831" s="16" t="s">
        <v>375</v>
      </c>
      <c r="H1831" s="21">
        <v>0.0</v>
      </c>
      <c r="I1831" s="22"/>
      <c r="J1831" s="29"/>
      <c r="K1831" s="32">
        <f>12400*1.19</f>
        <v>14756</v>
      </c>
      <c r="L1831" s="24">
        <v>22000.0</v>
      </c>
      <c r="M1831" s="25">
        <v>1.19</v>
      </c>
      <c r="N1831" s="26"/>
      <c r="O1831" s="27">
        <f t="shared" si="242"/>
        <v>0.4909189482</v>
      </c>
      <c r="P1831" s="28">
        <f t="shared" si="243"/>
        <v>0</v>
      </c>
    </row>
    <row r="1832" hidden="1">
      <c r="A1832" s="16" t="s">
        <v>2703</v>
      </c>
      <c r="B1832" s="36" t="s">
        <v>328</v>
      </c>
      <c r="C1832" s="18"/>
      <c r="D1832" s="4"/>
      <c r="E1832" s="19">
        <v>0.0</v>
      </c>
      <c r="F1832" s="19">
        <v>0.0</v>
      </c>
      <c r="G1832" s="16" t="s">
        <v>93</v>
      </c>
      <c r="H1832" s="21"/>
      <c r="I1832" s="22">
        <v>1.0</v>
      </c>
      <c r="J1832" s="29"/>
      <c r="K1832" s="43">
        <v>23000.0</v>
      </c>
      <c r="L1832" s="44">
        <v>28000.0</v>
      </c>
      <c r="M1832" s="25"/>
      <c r="N1832" s="69"/>
      <c r="O1832" s="27">
        <f t="shared" si="242"/>
        <v>0.2173913043</v>
      </c>
      <c r="P1832" s="28">
        <f t="shared" si="243"/>
        <v>0</v>
      </c>
    </row>
    <row r="1833" hidden="1">
      <c r="A1833" s="52" t="s">
        <v>2704</v>
      </c>
      <c r="B1833" s="36"/>
      <c r="C1833" s="18" t="s">
        <v>1200</v>
      </c>
      <c r="D1833" s="4"/>
      <c r="E1833" s="19"/>
      <c r="F1833" s="19"/>
      <c r="G1833" s="16" t="s">
        <v>2705</v>
      </c>
      <c r="H1833" s="21">
        <v>0.0</v>
      </c>
      <c r="I1833" s="22"/>
      <c r="J1833" s="23"/>
      <c r="K1833" s="24">
        <v>20825.0</v>
      </c>
      <c r="L1833" s="24">
        <v>27000.0</v>
      </c>
      <c r="M1833" s="25">
        <v>1.19</v>
      </c>
      <c r="N1833" s="70">
        <v>25000.0</v>
      </c>
      <c r="O1833" s="27">
        <f t="shared" si="242"/>
        <v>0.2965186074</v>
      </c>
      <c r="P1833" s="28">
        <f t="shared" si="243"/>
        <v>0</v>
      </c>
    </row>
    <row r="1834" hidden="1">
      <c r="A1834" s="52" t="s">
        <v>2706</v>
      </c>
      <c r="B1834" s="36"/>
      <c r="C1834" s="38"/>
      <c r="D1834" s="4"/>
      <c r="E1834" s="19"/>
      <c r="F1834" s="19"/>
      <c r="G1834" s="16" t="s">
        <v>88</v>
      </c>
      <c r="H1834" s="21"/>
      <c r="I1834" s="22">
        <v>18.0</v>
      </c>
      <c r="J1834" s="29"/>
      <c r="K1834" s="48">
        <v>8706.0</v>
      </c>
      <c r="L1834" s="48">
        <v>12000.0</v>
      </c>
      <c r="M1834" s="25"/>
      <c r="N1834" s="26"/>
      <c r="O1834" s="27">
        <f t="shared" si="242"/>
        <v>0.3783597519</v>
      </c>
      <c r="P1834" s="28">
        <f t="shared" si="243"/>
        <v>0</v>
      </c>
    </row>
    <row r="1835" hidden="1">
      <c r="A1835" s="16" t="s">
        <v>2707</v>
      </c>
      <c r="B1835" s="157"/>
      <c r="C1835" s="18"/>
      <c r="D1835" s="4"/>
      <c r="E1835" s="19">
        <v>0.0</v>
      </c>
      <c r="F1835" s="19">
        <v>3.0</v>
      </c>
      <c r="G1835" s="266" t="s">
        <v>2708</v>
      </c>
      <c r="H1835" s="21"/>
      <c r="I1835" s="22">
        <v>0.0</v>
      </c>
      <c r="J1835" s="23"/>
      <c r="K1835" s="55">
        <v>3700.0</v>
      </c>
      <c r="L1835" s="55">
        <v>8000.0</v>
      </c>
      <c r="M1835" s="25"/>
      <c r="N1835" s="31"/>
      <c r="O1835" s="27">
        <f t="shared" si="242"/>
        <v>1.162162162</v>
      </c>
      <c r="P1835" s="28">
        <f t="shared" si="243"/>
        <v>11100</v>
      </c>
    </row>
    <row r="1836" hidden="1">
      <c r="A1836" s="16" t="s">
        <v>2709</v>
      </c>
      <c r="B1836" s="157"/>
      <c r="C1836" s="18"/>
      <c r="D1836" s="4"/>
      <c r="E1836" s="19"/>
      <c r="F1836" s="19"/>
      <c r="G1836" s="266" t="s">
        <v>2710</v>
      </c>
      <c r="H1836" s="21"/>
      <c r="I1836" s="22"/>
      <c r="J1836" s="23"/>
      <c r="K1836" s="55">
        <v>23300.0</v>
      </c>
      <c r="L1836" s="55">
        <v>32000.0</v>
      </c>
      <c r="M1836" s="25"/>
      <c r="N1836" s="31"/>
      <c r="O1836" s="27">
        <f t="shared" si="242"/>
        <v>0.3733905579</v>
      </c>
      <c r="P1836" s="28">
        <f t="shared" si="243"/>
        <v>0</v>
      </c>
    </row>
    <row r="1837" hidden="1">
      <c r="A1837" s="52" t="s">
        <v>2711</v>
      </c>
      <c r="B1837" s="36"/>
      <c r="C1837" s="18"/>
      <c r="D1837" s="4"/>
      <c r="E1837" s="19">
        <v>0.0</v>
      </c>
      <c r="F1837" s="19">
        <v>0.0</v>
      </c>
      <c r="G1837" s="16" t="s">
        <v>437</v>
      </c>
      <c r="H1837" s="21"/>
      <c r="I1837" s="22">
        <v>50.0</v>
      </c>
      <c r="J1837" s="29"/>
      <c r="K1837" s="43">
        <v>1100.0</v>
      </c>
      <c r="L1837" s="44">
        <v>2000.0</v>
      </c>
      <c r="M1837" s="25"/>
      <c r="N1837" s="70"/>
      <c r="O1837" s="27">
        <f t="shared" si="242"/>
        <v>0.8181818182</v>
      </c>
      <c r="P1837" s="28">
        <f t="shared" si="243"/>
        <v>0</v>
      </c>
    </row>
    <row r="1838" hidden="1">
      <c r="A1838" s="16" t="s">
        <v>2712</v>
      </c>
      <c r="B1838" s="17"/>
      <c r="C1838" s="18"/>
      <c r="D1838" s="66"/>
      <c r="E1838" s="19">
        <v>0.0</v>
      </c>
      <c r="F1838" s="19">
        <v>0.0</v>
      </c>
      <c r="G1838" s="16" t="s">
        <v>1935</v>
      </c>
      <c r="H1838" s="21"/>
      <c r="I1838" s="22">
        <v>7.0</v>
      </c>
      <c r="J1838" s="23"/>
      <c r="K1838" s="24">
        <f>2014*0.91*1.19</f>
        <v>2180.9606</v>
      </c>
      <c r="L1838" s="24">
        <v>3000.0</v>
      </c>
      <c r="M1838" s="25"/>
      <c r="N1838" s="70"/>
      <c r="O1838" s="27">
        <f t="shared" si="242"/>
        <v>0.3755406677</v>
      </c>
      <c r="P1838" s="28" t="str">
        <f>K1838*#REF!</f>
        <v>#REF!</v>
      </c>
    </row>
    <row r="1839" hidden="1">
      <c r="A1839" s="119" t="s">
        <v>2713</v>
      </c>
      <c r="B1839" s="17"/>
      <c r="C1839" s="18"/>
      <c r="D1839" s="4"/>
      <c r="E1839" s="19">
        <v>0.0</v>
      </c>
      <c r="F1839" s="19"/>
      <c r="G1839" s="16" t="s">
        <v>57</v>
      </c>
      <c r="H1839" s="73"/>
      <c r="I1839" s="22"/>
      <c r="J1839" s="74"/>
      <c r="K1839" s="75">
        <v>170000.0</v>
      </c>
      <c r="L1839" s="44">
        <v>210000.0</v>
      </c>
      <c r="M1839" s="25"/>
      <c r="N1839" s="31"/>
      <c r="O1839" s="27">
        <f t="shared" si="242"/>
        <v>0.2352941176</v>
      </c>
      <c r="P1839" s="28">
        <f t="shared" ref="P1839:P1842" si="244">K1839*F1839</f>
        <v>0</v>
      </c>
    </row>
    <row r="1840" hidden="1">
      <c r="A1840" s="52" t="s">
        <v>2714</v>
      </c>
      <c r="B1840" s="17" t="s">
        <v>2715</v>
      </c>
      <c r="C1840" s="18"/>
      <c r="D1840" s="19"/>
      <c r="E1840" s="19">
        <v>0.0</v>
      </c>
      <c r="F1840" s="19"/>
      <c r="G1840" s="16" t="s">
        <v>2716</v>
      </c>
      <c r="H1840" s="21"/>
      <c r="I1840" s="22"/>
      <c r="J1840" s="23"/>
      <c r="K1840" s="24">
        <f>18000*1.19/6</f>
        <v>3570</v>
      </c>
      <c r="L1840" s="24">
        <v>5000.0</v>
      </c>
      <c r="M1840" s="25"/>
      <c r="N1840" s="70"/>
      <c r="O1840" s="27">
        <f t="shared" si="242"/>
        <v>0.4005602241</v>
      </c>
      <c r="P1840" s="28">
        <f t="shared" si="244"/>
        <v>0</v>
      </c>
    </row>
    <row r="1841" hidden="1">
      <c r="A1841" s="42" t="s">
        <v>2717</v>
      </c>
      <c r="B1841" s="17"/>
      <c r="C1841" s="18"/>
      <c r="D1841" s="4"/>
      <c r="E1841" s="19">
        <v>0.0</v>
      </c>
      <c r="F1841" s="19">
        <v>0.0</v>
      </c>
      <c r="G1841" s="16" t="s">
        <v>2718</v>
      </c>
      <c r="H1841" s="21"/>
      <c r="I1841" s="22">
        <v>2.0</v>
      </c>
      <c r="J1841" s="23"/>
      <c r="K1841" s="55">
        <v>22688.0</v>
      </c>
      <c r="L1841" s="48">
        <v>32000.0</v>
      </c>
      <c r="M1841" s="25"/>
      <c r="N1841" s="26"/>
      <c r="O1841" s="27">
        <f t="shared" si="242"/>
        <v>0.4104372355</v>
      </c>
      <c r="P1841" s="28">
        <f t="shared" si="244"/>
        <v>0</v>
      </c>
    </row>
    <row r="1842" hidden="1">
      <c r="A1842" s="122" t="s">
        <v>2719</v>
      </c>
      <c r="B1842" s="17"/>
      <c r="C1842" s="18"/>
      <c r="D1842" s="4"/>
      <c r="E1842" s="19">
        <v>0.0</v>
      </c>
      <c r="F1842" s="19">
        <v>0.0</v>
      </c>
      <c r="G1842" s="20" t="s">
        <v>911</v>
      </c>
      <c r="H1842" s="73"/>
      <c r="I1842" s="22"/>
      <c r="J1842" s="74"/>
      <c r="K1842" s="184">
        <v>119.0</v>
      </c>
      <c r="L1842" s="55">
        <v>1000.0</v>
      </c>
      <c r="M1842" s="25"/>
      <c r="N1842" s="31"/>
      <c r="O1842" s="27">
        <f t="shared" si="242"/>
        <v>7.403361345</v>
      </c>
      <c r="P1842" s="28">
        <f t="shared" si="244"/>
        <v>0</v>
      </c>
    </row>
    <row r="1843" hidden="1">
      <c r="A1843" s="42" t="s">
        <v>2720</v>
      </c>
      <c r="B1843" s="71"/>
      <c r="C1843" s="18"/>
      <c r="D1843" s="4"/>
      <c r="E1843" s="19">
        <v>0.0</v>
      </c>
      <c r="F1843" s="19">
        <v>0.0</v>
      </c>
      <c r="G1843" s="16" t="s">
        <v>2721</v>
      </c>
      <c r="H1843" s="21"/>
      <c r="I1843" s="22">
        <v>50.0</v>
      </c>
      <c r="J1843" s="29"/>
      <c r="K1843" s="32">
        <f>83.61+83.61+143+143</f>
        <v>453.22</v>
      </c>
      <c r="L1843" s="24">
        <v>12000.0</v>
      </c>
      <c r="M1843" s="25"/>
      <c r="N1843" s="26"/>
      <c r="O1843" s="27"/>
      <c r="P1843" s="28"/>
    </row>
    <row r="1844" hidden="1">
      <c r="A1844" s="16" t="s">
        <v>2722</v>
      </c>
      <c r="B1844" s="17" t="s">
        <v>2723</v>
      </c>
      <c r="C1844" s="18"/>
      <c r="D1844" s="4"/>
      <c r="E1844" s="19">
        <v>0.0</v>
      </c>
      <c r="F1844" s="19">
        <v>0.0</v>
      </c>
      <c r="G1844" s="16" t="s">
        <v>2724</v>
      </c>
      <c r="H1844" s="21"/>
      <c r="I1844" s="22">
        <v>18.0</v>
      </c>
      <c r="J1844" s="29"/>
      <c r="K1844" s="48">
        <v>900.0</v>
      </c>
      <c r="L1844" s="55">
        <v>2000.0</v>
      </c>
      <c r="M1844" s="25"/>
      <c r="N1844" s="31"/>
      <c r="O1844" s="27">
        <f t="shared" ref="O1844:O1859" si="245">(L1844/K1844)-1</f>
        <v>1.222222222</v>
      </c>
      <c r="P1844" s="28">
        <f t="shared" ref="P1844:P1852" si="246">K1844*F1844</f>
        <v>0</v>
      </c>
    </row>
    <row r="1845" hidden="1">
      <c r="A1845" s="16" t="s">
        <v>2725</v>
      </c>
      <c r="B1845" s="17" t="s">
        <v>2723</v>
      </c>
      <c r="C1845" s="18"/>
      <c r="D1845" s="4"/>
      <c r="E1845" s="19">
        <v>0.0</v>
      </c>
      <c r="F1845" s="19">
        <v>0.0</v>
      </c>
      <c r="G1845" s="16" t="s">
        <v>2726</v>
      </c>
      <c r="H1845" s="21"/>
      <c r="I1845" s="22">
        <v>22.0</v>
      </c>
      <c r="J1845" s="29"/>
      <c r="K1845" s="48">
        <v>900.0</v>
      </c>
      <c r="L1845" s="55">
        <v>2000.0</v>
      </c>
      <c r="M1845" s="25"/>
      <c r="N1845" s="31"/>
      <c r="O1845" s="27">
        <f t="shared" si="245"/>
        <v>1.222222222</v>
      </c>
      <c r="P1845" s="28">
        <f t="shared" si="246"/>
        <v>0</v>
      </c>
    </row>
    <row r="1846" hidden="1">
      <c r="A1846" s="16" t="s">
        <v>2727</v>
      </c>
      <c r="B1846" s="17" t="s">
        <v>2723</v>
      </c>
      <c r="C1846" s="18"/>
      <c r="D1846" s="4"/>
      <c r="E1846" s="19">
        <v>0.0</v>
      </c>
      <c r="F1846" s="19">
        <v>0.0</v>
      </c>
      <c r="G1846" s="16" t="s">
        <v>2726</v>
      </c>
      <c r="H1846" s="21"/>
      <c r="I1846" s="22">
        <v>20.0</v>
      </c>
      <c r="J1846" s="29"/>
      <c r="K1846" s="48">
        <v>900.0</v>
      </c>
      <c r="L1846" s="55">
        <v>2000.0</v>
      </c>
      <c r="M1846" s="25"/>
      <c r="N1846" s="31"/>
      <c r="O1846" s="27">
        <f t="shared" si="245"/>
        <v>1.222222222</v>
      </c>
      <c r="P1846" s="28">
        <f t="shared" si="246"/>
        <v>0</v>
      </c>
    </row>
    <row r="1847" hidden="1">
      <c r="A1847" s="16" t="s">
        <v>2728</v>
      </c>
      <c r="B1847" s="17" t="s">
        <v>2723</v>
      </c>
      <c r="C1847" s="18"/>
      <c r="D1847" s="4"/>
      <c r="E1847" s="19">
        <v>0.0</v>
      </c>
      <c r="F1847" s="19">
        <v>0.0</v>
      </c>
      <c r="G1847" s="16" t="s">
        <v>2726</v>
      </c>
      <c r="H1847" s="21"/>
      <c r="I1847" s="22">
        <v>18.0</v>
      </c>
      <c r="J1847" s="29"/>
      <c r="K1847" s="48">
        <v>900.0</v>
      </c>
      <c r="L1847" s="55">
        <v>2000.0</v>
      </c>
      <c r="M1847" s="25"/>
      <c r="N1847" s="31"/>
      <c r="O1847" s="27">
        <f t="shared" si="245"/>
        <v>1.222222222</v>
      </c>
      <c r="P1847" s="28">
        <f t="shared" si="246"/>
        <v>0</v>
      </c>
    </row>
    <row r="1848" hidden="1">
      <c r="A1848" s="16" t="s">
        <v>2729</v>
      </c>
      <c r="B1848" s="17" t="s">
        <v>2723</v>
      </c>
      <c r="C1848" s="18"/>
      <c r="D1848" s="4"/>
      <c r="E1848" s="19">
        <v>0.0</v>
      </c>
      <c r="F1848" s="19">
        <v>0.0</v>
      </c>
      <c r="G1848" s="16" t="s">
        <v>2726</v>
      </c>
      <c r="H1848" s="21"/>
      <c r="I1848" s="22">
        <v>21.0</v>
      </c>
      <c r="J1848" s="29"/>
      <c r="K1848" s="48">
        <v>900.0</v>
      </c>
      <c r="L1848" s="55">
        <v>2000.0</v>
      </c>
      <c r="M1848" s="25"/>
      <c r="N1848" s="31"/>
      <c r="O1848" s="27">
        <f t="shared" si="245"/>
        <v>1.222222222</v>
      </c>
      <c r="P1848" s="28">
        <f t="shared" si="246"/>
        <v>0</v>
      </c>
    </row>
    <row r="1849" hidden="1">
      <c r="A1849" s="16" t="s">
        <v>2730</v>
      </c>
      <c r="B1849" s="17" t="s">
        <v>2723</v>
      </c>
      <c r="C1849" s="18"/>
      <c r="D1849" s="4"/>
      <c r="E1849" s="19">
        <v>0.0</v>
      </c>
      <c r="F1849" s="19">
        <v>0.0</v>
      </c>
      <c r="G1849" s="16" t="s">
        <v>2726</v>
      </c>
      <c r="H1849" s="21"/>
      <c r="I1849" s="22">
        <v>20.0</v>
      </c>
      <c r="J1849" s="29"/>
      <c r="K1849" s="48">
        <v>900.0</v>
      </c>
      <c r="L1849" s="55">
        <v>2000.0</v>
      </c>
      <c r="M1849" s="25"/>
      <c r="N1849" s="31"/>
      <c r="O1849" s="27">
        <f t="shared" si="245"/>
        <v>1.222222222</v>
      </c>
      <c r="P1849" s="28">
        <f t="shared" si="246"/>
        <v>0</v>
      </c>
    </row>
    <row r="1850" hidden="1">
      <c r="A1850" s="16" t="s">
        <v>2731</v>
      </c>
      <c r="B1850" s="17" t="s">
        <v>2723</v>
      </c>
      <c r="C1850" s="18"/>
      <c r="D1850" s="4"/>
      <c r="E1850" s="19">
        <v>0.0</v>
      </c>
      <c r="F1850" s="19">
        <v>0.0</v>
      </c>
      <c r="G1850" s="16" t="s">
        <v>2726</v>
      </c>
      <c r="H1850" s="21"/>
      <c r="I1850" s="22">
        <v>27.0</v>
      </c>
      <c r="J1850" s="29"/>
      <c r="K1850" s="48">
        <v>900.0</v>
      </c>
      <c r="L1850" s="55">
        <v>2000.0</v>
      </c>
      <c r="M1850" s="25"/>
      <c r="N1850" s="31"/>
      <c r="O1850" s="27">
        <f t="shared" si="245"/>
        <v>1.222222222</v>
      </c>
      <c r="P1850" s="28">
        <f t="shared" si="246"/>
        <v>0</v>
      </c>
    </row>
    <row r="1851" hidden="1">
      <c r="A1851" s="16" t="s">
        <v>2732</v>
      </c>
      <c r="B1851" s="17" t="s">
        <v>2723</v>
      </c>
      <c r="C1851" s="18"/>
      <c r="D1851" s="4"/>
      <c r="E1851" s="19">
        <v>0.0</v>
      </c>
      <c r="F1851" s="19">
        <v>0.0</v>
      </c>
      <c r="G1851" s="16" t="s">
        <v>2726</v>
      </c>
      <c r="H1851" s="21"/>
      <c r="I1851" s="22">
        <v>22.0</v>
      </c>
      <c r="J1851" s="29"/>
      <c r="K1851" s="48">
        <v>900.0</v>
      </c>
      <c r="L1851" s="55">
        <v>2000.0</v>
      </c>
      <c r="M1851" s="25"/>
      <c r="N1851" s="31"/>
      <c r="O1851" s="27">
        <f t="shared" si="245"/>
        <v>1.222222222</v>
      </c>
      <c r="P1851" s="28">
        <f t="shared" si="246"/>
        <v>0</v>
      </c>
    </row>
    <row r="1852" hidden="1">
      <c r="A1852" s="59" t="s">
        <v>2733</v>
      </c>
      <c r="B1852" s="17"/>
      <c r="C1852" s="18"/>
      <c r="D1852" s="4"/>
      <c r="E1852" s="19">
        <v>0.0</v>
      </c>
      <c r="F1852" s="19"/>
      <c r="G1852" s="16" t="s">
        <v>57</v>
      </c>
      <c r="H1852" s="21"/>
      <c r="I1852" s="22"/>
      <c r="J1852" s="29"/>
      <c r="K1852" s="43">
        <v>5000.0</v>
      </c>
      <c r="L1852" s="44">
        <v>15000.0</v>
      </c>
      <c r="M1852" s="25"/>
      <c r="N1852" s="31"/>
      <c r="O1852" s="27">
        <f t="shared" si="245"/>
        <v>2</v>
      </c>
      <c r="P1852" s="28">
        <f t="shared" si="246"/>
        <v>0</v>
      </c>
    </row>
    <row r="1853" hidden="1">
      <c r="A1853" s="16" t="s">
        <v>2734</v>
      </c>
      <c r="B1853" s="134"/>
      <c r="C1853" s="18"/>
      <c r="D1853" s="154"/>
      <c r="E1853" s="19">
        <v>0.0</v>
      </c>
      <c r="F1853" s="19">
        <v>0.0</v>
      </c>
      <c r="G1853" s="16" t="s">
        <v>2735</v>
      </c>
      <c r="H1853" s="21"/>
      <c r="I1853" s="22" t="s">
        <v>2736</v>
      </c>
      <c r="J1853" s="29"/>
      <c r="K1853" s="32">
        <f>83720/10/6</f>
        <v>1395.333333</v>
      </c>
      <c r="L1853" s="48">
        <v>3500.0</v>
      </c>
      <c r="M1853" s="25"/>
      <c r="N1853" s="69"/>
      <c r="O1853" s="27">
        <f t="shared" si="245"/>
        <v>1.508361204</v>
      </c>
      <c r="P1853" s="28" t="str">
        <f>K1853*#REF!</f>
        <v>#REF!</v>
      </c>
    </row>
    <row r="1854" hidden="1">
      <c r="A1854" s="16" t="s">
        <v>2737</v>
      </c>
      <c r="B1854" s="17"/>
      <c r="C1854" s="18"/>
      <c r="D1854" s="4"/>
      <c r="E1854" s="19">
        <v>0.0</v>
      </c>
      <c r="F1854" s="19"/>
      <c r="G1854" s="16" t="s">
        <v>767</v>
      </c>
      <c r="H1854" s="21"/>
      <c r="I1854" s="22"/>
      <c r="J1854" s="29"/>
      <c r="K1854" s="43">
        <v>1.0</v>
      </c>
      <c r="L1854" s="44">
        <v>1.0</v>
      </c>
      <c r="M1854" s="25"/>
      <c r="N1854" s="31"/>
      <c r="O1854" s="27">
        <f t="shared" si="245"/>
        <v>0</v>
      </c>
      <c r="P1854" s="28">
        <f t="shared" ref="P1854:P1859" si="247">K1854*F1854</f>
        <v>0</v>
      </c>
    </row>
    <row r="1855" hidden="1">
      <c r="A1855" s="42" t="s">
        <v>2738</v>
      </c>
      <c r="B1855" s="114" t="s">
        <v>2739</v>
      </c>
      <c r="C1855" s="18"/>
      <c r="D1855" s="4"/>
      <c r="E1855" s="19">
        <v>0.0</v>
      </c>
      <c r="F1855" s="19">
        <v>0.0</v>
      </c>
      <c r="G1855" s="16" t="s">
        <v>1400</v>
      </c>
      <c r="H1855" s="21"/>
      <c r="I1855" s="22">
        <v>0.0</v>
      </c>
      <c r="J1855" s="23"/>
      <c r="K1855" s="55">
        <v>221900.0</v>
      </c>
      <c r="L1855" s="55">
        <v>280000.0</v>
      </c>
      <c r="M1855" s="25"/>
      <c r="N1855" s="26"/>
      <c r="O1855" s="27">
        <f t="shared" si="245"/>
        <v>0.261829653</v>
      </c>
      <c r="P1855" s="28">
        <f t="shared" si="247"/>
        <v>0</v>
      </c>
    </row>
    <row r="1856" hidden="1">
      <c r="A1856" s="42" t="s">
        <v>2740</v>
      </c>
      <c r="B1856" s="114" t="s">
        <v>2739</v>
      </c>
      <c r="C1856" s="18"/>
      <c r="D1856" s="4"/>
      <c r="E1856" s="19">
        <v>0.0</v>
      </c>
      <c r="F1856" s="19">
        <v>2.0</v>
      </c>
      <c r="G1856" s="16" t="s">
        <v>1400</v>
      </c>
      <c r="H1856" s="21"/>
      <c r="I1856" s="22">
        <v>0.0</v>
      </c>
      <c r="J1856" s="58">
        <v>46661.0</v>
      </c>
      <c r="K1856" s="55">
        <v>221900.0</v>
      </c>
      <c r="L1856" s="55">
        <v>280000.0</v>
      </c>
      <c r="M1856" s="25"/>
      <c r="N1856" s="26"/>
      <c r="O1856" s="27">
        <f t="shared" si="245"/>
        <v>0.261829653</v>
      </c>
      <c r="P1856" s="28">
        <f t="shared" si="247"/>
        <v>443800</v>
      </c>
    </row>
    <row r="1857" hidden="1">
      <c r="A1857" s="42" t="s">
        <v>2741</v>
      </c>
      <c r="B1857" s="114" t="s">
        <v>2739</v>
      </c>
      <c r="C1857" s="18"/>
      <c r="D1857" s="4"/>
      <c r="E1857" s="19">
        <v>0.0</v>
      </c>
      <c r="F1857" s="19">
        <v>2.0</v>
      </c>
      <c r="G1857" s="16" t="s">
        <v>1400</v>
      </c>
      <c r="H1857" s="21"/>
      <c r="I1857" s="22">
        <v>0.0</v>
      </c>
      <c r="J1857" s="23"/>
      <c r="K1857" s="55">
        <v>221900.0</v>
      </c>
      <c r="L1857" s="55">
        <v>280000.0</v>
      </c>
      <c r="M1857" s="25"/>
      <c r="N1857" s="50">
        <v>220000.0</v>
      </c>
      <c r="O1857" s="27">
        <f t="shared" si="245"/>
        <v>0.261829653</v>
      </c>
      <c r="P1857" s="28">
        <f t="shared" si="247"/>
        <v>443800</v>
      </c>
    </row>
    <row r="1858" hidden="1">
      <c r="A1858" s="42" t="s">
        <v>2742</v>
      </c>
      <c r="B1858" s="114" t="s">
        <v>2743</v>
      </c>
      <c r="C1858" s="18"/>
      <c r="D1858" s="4"/>
      <c r="E1858" s="19">
        <v>0.0</v>
      </c>
      <c r="F1858" s="19">
        <v>0.0</v>
      </c>
      <c r="G1858" s="16" t="s">
        <v>1400</v>
      </c>
      <c r="H1858" s="21"/>
      <c r="I1858" s="22">
        <v>2.0</v>
      </c>
      <c r="J1858" s="58">
        <v>45992.0</v>
      </c>
      <c r="K1858" s="55">
        <v>162500.0</v>
      </c>
      <c r="L1858" s="55">
        <v>230000.0</v>
      </c>
      <c r="M1858" s="25"/>
      <c r="N1858" s="50">
        <v>220000.0</v>
      </c>
      <c r="O1858" s="27">
        <f t="shared" si="245"/>
        <v>0.4153846154</v>
      </c>
      <c r="P1858" s="28">
        <f t="shared" si="247"/>
        <v>0</v>
      </c>
    </row>
    <row r="1859" hidden="1">
      <c r="A1859" s="42" t="s">
        <v>2744</v>
      </c>
      <c r="B1859" s="71"/>
      <c r="C1859" s="18"/>
      <c r="D1859" s="4"/>
      <c r="E1859" s="19">
        <v>0.0</v>
      </c>
      <c r="F1859" s="19">
        <v>0.0</v>
      </c>
      <c r="G1859" s="16" t="s">
        <v>1400</v>
      </c>
      <c r="H1859" s="21"/>
      <c r="I1859" s="22">
        <v>1.0</v>
      </c>
      <c r="J1859" s="47">
        <v>45901.0</v>
      </c>
      <c r="K1859" s="55">
        <v>162500.0</v>
      </c>
      <c r="L1859" s="55">
        <v>230000.0</v>
      </c>
      <c r="M1859" s="25"/>
      <c r="N1859" s="50">
        <v>220000.0</v>
      </c>
      <c r="O1859" s="27">
        <f t="shared" si="245"/>
        <v>0.4153846154</v>
      </c>
      <c r="P1859" s="28">
        <f t="shared" si="247"/>
        <v>0</v>
      </c>
    </row>
    <row r="1860" hidden="1">
      <c r="A1860" s="42" t="s">
        <v>2745</v>
      </c>
      <c r="B1860" s="71"/>
      <c r="C1860" s="18"/>
      <c r="D1860" s="4"/>
      <c r="E1860" s="19">
        <v>0.0</v>
      </c>
      <c r="F1860" s="19">
        <v>0.0</v>
      </c>
      <c r="G1860" s="16" t="s">
        <v>1400</v>
      </c>
      <c r="H1860" s="21"/>
      <c r="I1860" s="22">
        <v>0.0</v>
      </c>
      <c r="J1860" s="23"/>
      <c r="K1860" s="55">
        <v>162500.0</v>
      </c>
      <c r="L1860" s="55">
        <v>230000.0</v>
      </c>
      <c r="M1860" s="25"/>
      <c r="N1860" s="31"/>
      <c r="O1860" s="27"/>
      <c r="P1860" s="28"/>
    </row>
    <row r="1861" hidden="1">
      <c r="A1861" s="42" t="s">
        <v>2746</v>
      </c>
      <c r="B1861" s="36"/>
      <c r="C1861" s="18"/>
      <c r="D1861" s="4"/>
      <c r="E1861" s="19">
        <v>0.0</v>
      </c>
      <c r="F1861" s="19"/>
      <c r="G1861" s="16" t="s">
        <v>625</v>
      </c>
      <c r="H1861" s="21"/>
      <c r="I1861" s="22"/>
      <c r="J1861" s="29"/>
      <c r="K1861" s="43">
        <v>1.0</v>
      </c>
      <c r="L1861" s="43">
        <v>1.0</v>
      </c>
      <c r="M1861" s="25"/>
      <c r="N1861" s="26"/>
      <c r="O1861" s="27">
        <f t="shared" ref="O1861:O1863" si="248">(L1861/K1861)-1</f>
        <v>0</v>
      </c>
      <c r="P1861" s="28">
        <f t="shared" ref="P1861:P1881" si="249">K1861*F1861</f>
        <v>0</v>
      </c>
    </row>
    <row r="1862" hidden="1">
      <c r="A1862" s="42" t="s">
        <v>2746</v>
      </c>
      <c r="B1862" s="36"/>
      <c r="C1862" s="18"/>
      <c r="D1862" s="4"/>
      <c r="E1862" s="19">
        <v>0.0</v>
      </c>
      <c r="F1862" s="19"/>
      <c r="G1862" s="16" t="s">
        <v>39</v>
      </c>
      <c r="H1862" s="21"/>
      <c r="I1862" s="22"/>
      <c r="J1862" s="29"/>
      <c r="K1862" s="43">
        <v>1.0</v>
      </c>
      <c r="L1862" s="43">
        <v>1.0</v>
      </c>
      <c r="M1862" s="25"/>
      <c r="N1862" s="26"/>
      <c r="O1862" s="27">
        <f t="shared" si="248"/>
        <v>0</v>
      </c>
      <c r="P1862" s="28">
        <f t="shared" si="249"/>
        <v>0</v>
      </c>
    </row>
    <row r="1863" hidden="1">
      <c r="A1863" s="42" t="s">
        <v>2747</v>
      </c>
      <c r="B1863" s="36"/>
      <c r="C1863" s="18"/>
      <c r="D1863" s="4"/>
      <c r="E1863" s="19">
        <v>0.0</v>
      </c>
      <c r="F1863" s="19"/>
      <c r="G1863" s="16" t="s">
        <v>39</v>
      </c>
      <c r="H1863" s="21"/>
      <c r="I1863" s="22"/>
      <c r="J1863" s="29"/>
      <c r="K1863" s="43">
        <v>6000.0</v>
      </c>
      <c r="L1863" s="44">
        <v>1000.0</v>
      </c>
      <c r="M1863" s="25"/>
      <c r="N1863" s="26"/>
      <c r="O1863" s="27">
        <f t="shared" si="248"/>
        <v>-0.8333333333</v>
      </c>
      <c r="P1863" s="28">
        <f t="shared" si="249"/>
        <v>0</v>
      </c>
    </row>
    <row r="1864" hidden="1">
      <c r="A1864" s="122" t="s">
        <v>2748</v>
      </c>
      <c r="B1864" s="36"/>
      <c r="C1864" s="18"/>
      <c r="D1864" s="4"/>
      <c r="E1864" s="19">
        <v>0.0</v>
      </c>
      <c r="F1864" s="19"/>
      <c r="G1864" s="16" t="s">
        <v>2749</v>
      </c>
      <c r="H1864" s="21"/>
      <c r="I1864" s="22"/>
      <c r="J1864" s="29"/>
      <c r="K1864" s="43">
        <f>24370*1.19</f>
        <v>29000.3</v>
      </c>
      <c r="L1864" s="44">
        <v>30000.0</v>
      </c>
      <c r="M1864" s="25"/>
      <c r="N1864" s="39"/>
      <c r="O1864" s="147" t="s">
        <v>611</v>
      </c>
      <c r="P1864" s="28">
        <f t="shared" si="249"/>
        <v>0</v>
      </c>
    </row>
    <row r="1865" hidden="1">
      <c r="A1865" s="42" t="s">
        <v>2750</v>
      </c>
      <c r="B1865" s="36"/>
      <c r="C1865" s="18"/>
      <c r="D1865" s="4"/>
      <c r="E1865" s="19">
        <v>0.0</v>
      </c>
      <c r="F1865" s="19"/>
      <c r="G1865" s="16" t="s">
        <v>2749</v>
      </c>
      <c r="H1865" s="21"/>
      <c r="I1865" s="22"/>
      <c r="J1865" s="29"/>
      <c r="K1865" s="43">
        <v>1250.0</v>
      </c>
      <c r="L1865" s="44">
        <v>2000.0</v>
      </c>
      <c r="M1865" s="25"/>
      <c r="N1865" s="26"/>
      <c r="O1865" s="27">
        <f t="shared" ref="O1865:O1881" si="250">(L1865/K1865)-1</f>
        <v>0.6</v>
      </c>
      <c r="P1865" s="28">
        <f t="shared" si="249"/>
        <v>0</v>
      </c>
    </row>
    <row r="1866" hidden="1">
      <c r="A1866" s="42" t="s">
        <v>2751</v>
      </c>
      <c r="B1866" s="71"/>
      <c r="C1866" s="18"/>
      <c r="D1866" s="4"/>
      <c r="E1866" s="19">
        <v>0.0</v>
      </c>
      <c r="F1866" s="19"/>
      <c r="G1866" s="20" t="s">
        <v>291</v>
      </c>
      <c r="H1866" s="21"/>
      <c r="I1866" s="22"/>
      <c r="J1866" s="29"/>
      <c r="K1866" s="32">
        <v>900.0</v>
      </c>
      <c r="L1866" s="24">
        <v>1500.0</v>
      </c>
      <c r="M1866" s="25"/>
      <c r="N1866" s="50"/>
      <c r="O1866" s="27">
        <f t="shared" si="250"/>
        <v>0.6666666667</v>
      </c>
      <c r="P1866" s="28">
        <f t="shared" si="249"/>
        <v>0</v>
      </c>
    </row>
    <row r="1867" hidden="1">
      <c r="A1867" s="52" t="s">
        <v>2752</v>
      </c>
      <c r="B1867" s="17" t="s">
        <v>2753</v>
      </c>
      <c r="C1867" s="38"/>
      <c r="D1867" s="4" t="s">
        <v>2754</v>
      </c>
      <c r="E1867" s="19">
        <v>0.0</v>
      </c>
      <c r="F1867" s="19">
        <v>20.0</v>
      </c>
      <c r="G1867" s="16" t="s">
        <v>2755</v>
      </c>
      <c r="H1867" s="21"/>
      <c r="I1867" s="22">
        <v>17.0</v>
      </c>
      <c r="J1867" s="23"/>
      <c r="K1867" s="55">
        <v>2501.0</v>
      </c>
      <c r="L1867" s="55">
        <v>5000.0</v>
      </c>
      <c r="M1867" s="25"/>
      <c r="N1867" s="70"/>
      <c r="O1867" s="27">
        <f t="shared" si="250"/>
        <v>0.9992003199</v>
      </c>
      <c r="P1867" s="28">
        <f t="shared" si="249"/>
        <v>50020</v>
      </c>
    </row>
    <row r="1868" hidden="1">
      <c r="A1868" s="122" t="s">
        <v>2756</v>
      </c>
      <c r="B1868" s="51"/>
      <c r="C1868" s="18"/>
      <c r="D1868" s="4"/>
      <c r="E1868" s="19">
        <v>0.0</v>
      </c>
      <c r="F1868" s="19"/>
      <c r="G1868" s="16" t="s">
        <v>2757</v>
      </c>
      <c r="H1868" s="21"/>
      <c r="I1868" s="22"/>
      <c r="J1868" s="23"/>
      <c r="K1868" s="44">
        <v>1550.0</v>
      </c>
      <c r="L1868" s="44">
        <v>8000.0</v>
      </c>
      <c r="M1868" s="25"/>
      <c r="N1868" s="26"/>
      <c r="O1868" s="27">
        <f t="shared" si="250"/>
        <v>4.161290323</v>
      </c>
      <c r="P1868" s="28">
        <f t="shared" si="249"/>
        <v>0</v>
      </c>
    </row>
    <row r="1869" hidden="1">
      <c r="A1869" s="52" t="s">
        <v>2758</v>
      </c>
      <c r="B1869" s="17" t="s">
        <v>2759</v>
      </c>
      <c r="C1869" s="38"/>
      <c r="D1869" s="4" t="s">
        <v>2754</v>
      </c>
      <c r="E1869" s="19">
        <v>0.0</v>
      </c>
      <c r="F1869" s="19">
        <v>20.0</v>
      </c>
      <c r="G1869" s="16" t="s">
        <v>2755</v>
      </c>
      <c r="H1869" s="21"/>
      <c r="I1869" s="22">
        <v>50.0</v>
      </c>
      <c r="J1869" s="23"/>
      <c r="K1869" s="55">
        <v>2261.0</v>
      </c>
      <c r="L1869" s="55">
        <v>4000.0</v>
      </c>
      <c r="M1869" s="25"/>
      <c r="N1869" s="50">
        <v>3000.0</v>
      </c>
      <c r="O1869" s="27">
        <f t="shared" si="250"/>
        <v>0.7691287041</v>
      </c>
      <c r="P1869" s="28">
        <f t="shared" si="249"/>
        <v>45220</v>
      </c>
    </row>
    <row r="1870" hidden="1">
      <c r="A1870" s="40" t="s">
        <v>2760</v>
      </c>
      <c r="B1870" s="17"/>
      <c r="C1870" s="18"/>
      <c r="D1870" s="4"/>
      <c r="E1870" s="19">
        <v>0.0</v>
      </c>
      <c r="F1870" s="19">
        <v>0.0</v>
      </c>
      <c r="G1870" s="16" t="s">
        <v>1935</v>
      </c>
      <c r="H1870" s="21"/>
      <c r="I1870" s="22" t="s">
        <v>99</v>
      </c>
      <c r="J1870" s="29"/>
      <c r="K1870" s="43">
        <v>1359.0</v>
      </c>
      <c r="L1870" s="44">
        <v>2500.0</v>
      </c>
      <c r="M1870" s="25"/>
      <c r="N1870" s="31"/>
      <c r="O1870" s="27">
        <f t="shared" si="250"/>
        <v>0.8395879323</v>
      </c>
      <c r="P1870" s="28">
        <f t="shared" si="249"/>
        <v>0</v>
      </c>
    </row>
    <row r="1871" hidden="1">
      <c r="A1871" s="16" t="s">
        <v>2761</v>
      </c>
      <c r="B1871" s="36"/>
      <c r="C1871" s="18"/>
      <c r="D1871" s="4"/>
      <c r="E1871" s="19">
        <v>0.0</v>
      </c>
      <c r="F1871" s="19"/>
      <c r="G1871" s="16" t="s">
        <v>2762</v>
      </c>
      <c r="H1871" s="21"/>
      <c r="I1871" s="22"/>
      <c r="J1871" s="29"/>
      <c r="K1871" s="43">
        <f>(208000/80)/50*20</f>
        <v>1040</v>
      </c>
      <c r="L1871" s="44">
        <v>3000.0</v>
      </c>
      <c r="M1871" s="25"/>
      <c r="N1871" s="26"/>
      <c r="O1871" s="27">
        <f t="shared" si="250"/>
        <v>1.884615385</v>
      </c>
      <c r="P1871" s="28">
        <f t="shared" si="249"/>
        <v>0</v>
      </c>
    </row>
    <row r="1872" hidden="1">
      <c r="A1872" s="16" t="s">
        <v>2763</v>
      </c>
      <c r="B1872" s="36"/>
      <c r="C1872" s="18"/>
      <c r="D1872" s="4"/>
      <c r="E1872" s="19">
        <v>0.0</v>
      </c>
      <c r="F1872" s="19">
        <v>0.0</v>
      </c>
      <c r="G1872" s="16" t="s">
        <v>590</v>
      </c>
      <c r="H1872" s="21">
        <v>0.0</v>
      </c>
      <c r="I1872" s="22">
        <v>5.0</v>
      </c>
      <c r="J1872" s="29"/>
      <c r="K1872" s="43">
        <v>4000.0</v>
      </c>
      <c r="L1872" s="44">
        <v>6000.0</v>
      </c>
      <c r="M1872" s="25"/>
      <c r="N1872" s="26"/>
      <c r="O1872" s="27">
        <f t="shared" si="250"/>
        <v>0.5</v>
      </c>
      <c r="P1872" s="28">
        <f t="shared" si="249"/>
        <v>0</v>
      </c>
    </row>
    <row r="1873" hidden="1">
      <c r="A1873" s="59" t="s">
        <v>2764</v>
      </c>
      <c r="B1873" s="49"/>
      <c r="C1873" s="18"/>
      <c r="D1873" s="4"/>
      <c r="E1873" s="19">
        <v>0.0</v>
      </c>
      <c r="F1873" s="19"/>
      <c r="G1873" s="16" t="s">
        <v>2765</v>
      </c>
      <c r="H1873" s="21"/>
      <c r="I1873" s="22"/>
      <c r="J1873" s="29"/>
      <c r="K1873" s="43">
        <v>5000.0</v>
      </c>
      <c r="L1873" s="44">
        <v>10000.0</v>
      </c>
      <c r="M1873" s="25"/>
      <c r="N1873" s="31"/>
      <c r="O1873" s="27">
        <f t="shared" si="250"/>
        <v>1</v>
      </c>
      <c r="P1873" s="28">
        <f t="shared" si="249"/>
        <v>0</v>
      </c>
    </row>
    <row r="1874" hidden="1">
      <c r="A1874" s="59" t="s">
        <v>2766</v>
      </c>
      <c r="B1874" s="49"/>
      <c r="C1874" s="18"/>
      <c r="D1874" s="4"/>
      <c r="E1874" s="19">
        <v>0.0</v>
      </c>
      <c r="F1874" s="19"/>
      <c r="G1874" s="16" t="s">
        <v>2765</v>
      </c>
      <c r="H1874" s="21"/>
      <c r="I1874" s="22"/>
      <c r="J1874" s="29"/>
      <c r="K1874" s="43">
        <v>5000.0</v>
      </c>
      <c r="L1874" s="44">
        <v>8000.0</v>
      </c>
      <c r="M1874" s="25"/>
      <c r="N1874" s="26"/>
      <c r="O1874" s="27">
        <f t="shared" si="250"/>
        <v>0.6</v>
      </c>
      <c r="P1874" s="28">
        <f t="shared" si="249"/>
        <v>0</v>
      </c>
    </row>
    <row r="1875" hidden="1">
      <c r="A1875" s="16" t="s">
        <v>2767</v>
      </c>
      <c r="B1875" s="36"/>
      <c r="C1875" s="18"/>
      <c r="D1875" s="4"/>
      <c r="E1875" s="19">
        <v>0.0</v>
      </c>
      <c r="F1875" s="19">
        <v>0.0</v>
      </c>
      <c r="G1875" s="16" t="s">
        <v>84</v>
      </c>
      <c r="H1875" s="21"/>
      <c r="I1875" s="22"/>
      <c r="J1875" s="29"/>
      <c r="K1875" s="43">
        <v>11520.0</v>
      </c>
      <c r="L1875" s="44">
        <v>20000.0</v>
      </c>
      <c r="M1875" s="25"/>
      <c r="N1875" s="31"/>
      <c r="O1875" s="27">
        <f t="shared" si="250"/>
        <v>0.7361111111</v>
      </c>
      <c r="P1875" s="28">
        <f t="shared" si="249"/>
        <v>0</v>
      </c>
    </row>
    <row r="1876" hidden="1">
      <c r="A1876" s="122" t="s">
        <v>2768</v>
      </c>
      <c r="B1876" s="17">
        <v>249003.0</v>
      </c>
      <c r="C1876" s="18" t="s">
        <v>2769</v>
      </c>
      <c r="D1876" s="67"/>
      <c r="E1876" s="19">
        <v>60.0</v>
      </c>
      <c r="F1876" s="19">
        <v>40.0</v>
      </c>
      <c r="G1876" s="16" t="s">
        <v>2770</v>
      </c>
      <c r="H1876" s="21"/>
      <c r="I1876" s="22"/>
      <c r="J1876" s="29"/>
      <c r="K1876" s="32">
        <v>3484.0</v>
      </c>
      <c r="L1876" s="24">
        <v>5000.0</v>
      </c>
      <c r="M1876" s="25"/>
      <c r="N1876" s="70"/>
      <c r="O1876" s="27">
        <f t="shared" si="250"/>
        <v>0.4351320321</v>
      </c>
      <c r="P1876" s="28">
        <f t="shared" si="249"/>
        <v>139360</v>
      </c>
    </row>
    <row r="1877" hidden="1">
      <c r="A1877" s="16" t="s">
        <v>2771</v>
      </c>
      <c r="B1877" s="17" t="s">
        <v>1818</v>
      </c>
      <c r="C1877" s="18"/>
      <c r="D1877" s="4"/>
      <c r="E1877" s="19">
        <v>0.0</v>
      </c>
      <c r="F1877" s="19"/>
      <c r="G1877" s="16" t="s">
        <v>1811</v>
      </c>
      <c r="H1877" s="21"/>
      <c r="I1877" s="22"/>
      <c r="J1877" s="29"/>
      <c r="K1877" s="48">
        <f>212500*1.19/40</f>
        <v>6321.875</v>
      </c>
      <c r="L1877" s="55">
        <v>9000.0</v>
      </c>
      <c r="M1877" s="25"/>
      <c r="N1877" s="26"/>
      <c r="O1877" s="27">
        <f t="shared" si="250"/>
        <v>0.4236282748</v>
      </c>
      <c r="P1877" s="28">
        <f t="shared" si="249"/>
        <v>0</v>
      </c>
    </row>
    <row r="1878" hidden="1">
      <c r="A1878" s="122" t="s">
        <v>2772</v>
      </c>
      <c r="B1878" s="17">
        <v>247006.0</v>
      </c>
      <c r="C1878" s="18"/>
      <c r="D1878" s="4"/>
      <c r="E1878" s="19">
        <v>0.0</v>
      </c>
      <c r="F1878" s="19">
        <v>0.0</v>
      </c>
      <c r="G1878" s="16" t="s">
        <v>425</v>
      </c>
      <c r="H1878" s="73"/>
      <c r="I1878" s="22"/>
      <c r="J1878" s="74"/>
      <c r="K1878" s="75">
        <v>230000.0</v>
      </c>
      <c r="L1878" s="44">
        <f t="shared" ref="L1878:L1879" si="251">K1878*1.5</f>
        <v>345000</v>
      </c>
      <c r="M1878" s="25"/>
      <c r="N1878" s="26"/>
      <c r="O1878" s="27">
        <f t="shared" si="250"/>
        <v>0.5</v>
      </c>
      <c r="P1878" s="28">
        <f t="shared" si="249"/>
        <v>0</v>
      </c>
    </row>
    <row r="1879" hidden="1">
      <c r="A1879" s="122" t="s">
        <v>2773</v>
      </c>
      <c r="B1879" s="17">
        <v>247005.0</v>
      </c>
      <c r="C1879" s="18"/>
      <c r="D1879" s="4"/>
      <c r="E1879" s="19">
        <v>0.0</v>
      </c>
      <c r="F1879" s="19">
        <v>0.0</v>
      </c>
      <c r="G1879" s="16" t="s">
        <v>425</v>
      </c>
      <c r="H1879" s="73"/>
      <c r="I1879" s="22"/>
      <c r="J1879" s="74"/>
      <c r="K1879" s="75">
        <v>130000.0</v>
      </c>
      <c r="L1879" s="44">
        <f t="shared" si="251"/>
        <v>195000</v>
      </c>
      <c r="M1879" s="25"/>
      <c r="N1879" s="26"/>
      <c r="O1879" s="27">
        <f t="shared" si="250"/>
        <v>0.5</v>
      </c>
      <c r="P1879" s="28">
        <f t="shared" si="249"/>
        <v>0</v>
      </c>
    </row>
    <row r="1880" hidden="1">
      <c r="A1880" s="16" t="s">
        <v>2774</v>
      </c>
      <c r="B1880" s="36"/>
      <c r="C1880" s="18" t="s">
        <v>328</v>
      </c>
      <c r="D1880" s="4"/>
      <c r="E1880" s="19">
        <v>0.0</v>
      </c>
      <c r="F1880" s="19">
        <v>0.0</v>
      </c>
      <c r="G1880" s="54" t="s">
        <v>63</v>
      </c>
      <c r="H1880" s="21"/>
      <c r="I1880" s="22">
        <v>1.0</v>
      </c>
      <c r="J1880" s="23"/>
      <c r="K1880" s="55">
        <v>106480.0</v>
      </c>
      <c r="L1880" s="55">
        <v>142000.0</v>
      </c>
      <c r="M1880" s="25" t="s">
        <v>82</v>
      </c>
      <c r="N1880" s="26"/>
      <c r="O1880" s="27">
        <f t="shared" si="250"/>
        <v>0.3335837716</v>
      </c>
      <c r="P1880" s="28">
        <f t="shared" si="249"/>
        <v>0</v>
      </c>
    </row>
    <row r="1881" hidden="1">
      <c r="A1881" s="224" t="s">
        <v>2775</v>
      </c>
      <c r="B1881" s="17"/>
      <c r="C1881" s="38"/>
      <c r="D1881" s="61"/>
      <c r="E1881" s="19"/>
      <c r="F1881" s="19"/>
      <c r="G1881" s="16" t="s">
        <v>1626</v>
      </c>
      <c r="H1881" s="21"/>
      <c r="I1881" s="22">
        <v>0.0</v>
      </c>
      <c r="J1881" s="45"/>
      <c r="K1881" s="172">
        <v>445280.0</v>
      </c>
      <c r="L1881" s="44">
        <v>500000.0</v>
      </c>
      <c r="M1881" s="25"/>
      <c r="N1881" s="26"/>
      <c r="O1881" s="27">
        <f t="shared" si="250"/>
        <v>0.1228889687</v>
      </c>
      <c r="P1881" s="28">
        <f t="shared" si="249"/>
        <v>0</v>
      </c>
    </row>
    <row r="1882" hidden="1">
      <c r="A1882" s="16" t="s">
        <v>2776</v>
      </c>
      <c r="B1882" s="36"/>
      <c r="C1882" s="18"/>
      <c r="D1882" s="4"/>
      <c r="E1882" s="19">
        <v>0.0</v>
      </c>
      <c r="F1882" s="19">
        <v>0.0</v>
      </c>
      <c r="G1882" s="20" t="s">
        <v>580</v>
      </c>
      <c r="H1882" s="21"/>
      <c r="I1882" s="22">
        <v>1.0</v>
      </c>
      <c r="J1882" s="29"/>
      <c r="K1882" s="32"/>
      <c r="L1882" s="55">
        <v>420000.0</v>
      </c>
      <c r="M1882" s="25"/>
      <c r="N1882" s="31"/>
      <c r="O1882" s="27"/>
      <c r="P1882" s="28"/>
    </row>
    <row r="1883" hidden="1">
      <c r="A1883" s="16" t="s">
        <v>2777</v>
      </c>
      <c r="B1883" s="36"/>
      <c r="C1883" s="18"/>
      <c r="D1883" s="4"/>
      <c r="E1883" s="19">
        <v>0.0</v>
      </c>
      <c r="F1883" s="19">
        <v>0.0</v>
      </c>
      <c r="G1883" s="20" t="s">
        <v>2778</v>
      </c>
      <c r="H1883" s="21"/>
      <c r="I1883" s="22">
        <v>19.0</v>
      </c>
      <c r="J1883" s="29"/>
      <c r="K1883" s="32">
        <v>18000.0</v>
      </c>
      <c r="L1883" s="24">
        <v>28000.0</v>
      </c>
      <c r="M1883" s="25"/>
      <c r="N1883" s="31"/>
      <c r="O1883" s="27">
        <f t="shared" ref="O1883:O1884" si="252">(L1883/K1883)-1</f>
        <v>0.5555555556</v>
      </c>
      <c r="P1883" s="28">
        <f t="shared" ref="P1883:P1884" si="253">K1883*F1883</f>
        <v>0</v>
      </c>
    </row>
    <row r="1884" hidden="1">
      <c r="A1884" s="16" t="s">
        <v>2779</v>
      </c>
      <c r="B1884" s="36"/>
      <c r="C1884" s="18"/>
      <c r="D1884" s="4"/>
      <c r="E1884" s="19">
        <v>0.0</v>
      </c>
      <c r="F1884" s="19">
        <v>0.0</v>
      </c>
      <c r="G1884" s="20" t="s">
        <v>2780</v>
      </c>
      <c r="H1884" s="21"/>
      <c r="I1884" s="22"/>
      <c r="J1884" s="29"/>
      <c r="K1884" s="43">
        <v>7500.0</v>
      </c>
      <c r="L1884" s="44">
        <v>17000.0</v>
      </c>
      <c r="M1884" s="25"/>
      <c r="N1884" s="26"/>
      <c r="O1884" s="27">
        <f t="shared" si="252"/>
        <v>1.266666667</v>
      </c>
      <c r="P1884" s="28">
        <f t="shared" si="253"/>
        <v>0</v>
      </c>
    </row>
    <row r="1885" hidden="1">
      <c r="A1885" s="16" t="s">
        <v>2781</v>
      </c>
      <c r="B1885" s="17"/>
      <c r="C1885" s="38"/>
      <c r="D1885" s="4"/>
      <c r="E1885" s="19">
        <v>0.0</v>
      </c>
      <c r="F1885" s="19">
        <v>0.0</v>
      </c>
      <c r="G1885" s="16"/>
      <c r="H1885" s="21"/>
      <c r="I1885" s="22">
        <v>2.0</v>
      </c>
      <c r="J1885" s="47">
        <v>45778.0</v>
      </c>
      <c r="K1885" s="43"/>
      <c r="L1885" s="172"/>
      <c r="M1885" s="25"/>
      <c r="N1885" s="26"/>
      <c r="O1885" s="27"/>
      <c r="P1885" s="28"/>
    </row>
    <row r="1886" hidden="1">
      <c r="A1886" s="40" t="s">
        <v>2782</v>
      </c>
      <c r="B1886" s="17"/>
      <c r="C1886" s="18"/>
      <c r="D1886" s="4"/>
      <c r="E1886" s="19">
        <v>0.0</v>
      </c>
      <c r="F1886" s="19"/>
      <c r="G1886" s="16" t="s">
        <v>57</v>
      </c>
      <c r="H1886" s="21"/>
      <c r="I1886" s="22"/>
      <c r="J1886" s="29"/>
      <c r="K1886" s="43">
        <v>200000.0</v>
      </c>
      <c r="L1886" s="44">
        <v>245000.0</v>
      </c>
      <c r="M1886" s="25"/>
      <c r="N1886" s="31"/>
      <c r="O1886" s="27">
        <f t="shared" ref="O1886:O1911" si="254">(L1886/K1886)-1</f>
        <v>0.225</v>
      </c>
      <c r="P1886" s="28">
        <f t="shared" ref="P1886:P1900" si="255">K1886*F1886</f>
        <v>0</v>
      </c>
    </row>
    <row r="1887" hidden="1">
      <c r="A1887" s="42" t="s">
        <v>2783</v>
      </c>
      <c r="B1887" s="17"/>
      <c r="C1887" s="38"/>
      <c r="D1887" s="61"/>
      <c r="E1887" s="19"/>
      <c r="F1887" s="19"/>
      <c r="G1887" s="16" t="s">
        <v>2784</v>
      </c>
      <c r="H1887" s="21"/>
      <c r="I1887" s="22">
        <v>0.0</v>
      </c>
      <c r="J1887" s="29"/>
      <c r="K1887" s="43"/>
      <c r="L1887" s="44"/>
      <c r="M1887" s="25"/>
      <c r="N1887" s="26"/>
      <c r="O1887" s="27" t="str">
        <f t="shared" si="254"/>
        <v>#DIV/0!</v>
      </c>
      <c r="P1887" s="28">
        <f t="shared" si="255"/>
        <v>0</v>
      </c>
    </row>
    <row r="1888" hidden="1">
      <c r="A1888" s="40" t="s">
        <v>2785</v>
      </c>
      <c r="B1888" s="49"/>
      <c r="C1888" s="18"/>
      <c r="D1888" s="4"/>
      <c r="E1888" s="19">
        <v>0.0</v>
      </c>
      <c r="F1888" s="19"/>
      <c r="G1888" s="20" t="s">
        <v>2786</v>
      </c>
      <c r="H1888" s="21"/>
      <c r="I1888" s="22"/>
      <c r="J1888" s="29"/>
      <c r="K1888" s="43">
        <v>68300.0</v>
      </c>
      <c r="L1888" s="44">
        <v>75000.0</v>
      </c>
      <c r="M1888" s="25"/>
      <c r="N1888" s="26"/>
      <c r="O1888" s="27">
        <f t="shared" si="254"/>
        <v>0.0980966325</v>
      </c>
      <c r="P1888" s="28">
        <f t="shared" si="255"/>
        <v>0</v>
      </c>
    </row>
    <row r="1889" hidden="1">
      <c r="A1889" s="16" t="s">
        <v>2787</v>
      </c>
      <c r="B1889" s="36" t="s">
        <v>2788</v>
      </c>
      <c r="C1889" s="18"/>
      <c r="D1889" s="4"/>
      <c r="E1889" s="19">
        <v>0.0</v>
      </c>
      <c r="F1889" s="19">
        <v>0.0</v>
      </c>
      <c r="G1889" s="16" t="s">
        <v>70</v>
      </c>
      <c r="H1889" s="21"/>
      <c r="I1889" s="22"/>
      <c r="J1889" s="29"/>
      <c r="K1889" s="43">
        <f>100000*0.8*1.19</f>
        <v>95200</v>
      </c>
      <c r="L1889" s="44">
        <v>145000.0</v>
      </c>
      <c r="M1889" s="25"/>
      <c r="N1889" s="26"/>
      <c r="O1889" s="27">
        <f t="shared" si="254"/>
        <v>0.5231092437</v>
      </c>
      <c r="P1889" s="28">
        <f t="shared" si="255"/>
        <v>0</v>
      </c>
    </row>
    <row r="1890" hidden="1">
      <c r="A1890" s="42" t="s">
        <v>2789</v>
      </c>
      <c r="B1890" s="71"/>
      <c r="C1890" s="18"/>
      <c r="D1890" s="4"/>
      <c r="E1890" s="19">
        <v>0.0</v>
      </c>
      <c r="F1890" s="19"/>
      <c r="G1890" s="20" t="s">
        <v>291</v>
      </c>
      <c r="H1890" s="21"/>
      <c r="I1890" s="22"/>
      <c r="J1890" s="29"/>
      <c r="K1890" s="32">
        <f>23529.41*1.19</f>
        <v>27999.9979</v>
      </c>
      <c r="L1890" s="24">
        <v>40000.0</v>
      </c>
      <c r="M1890" s="25"/>
      <c r="N1890" s="70" t="s">
        <v>2790</v>
      </c>
      <c r="O1890" s="27">
        <f t="shared" si="254"/>
        <v>0.4285715357</v>
      </c>
      <c r="P1890" s="28">
        <f t="shared" si="255"/>
        <v>0</v>
      </c>
    </row>
    <row r="1891" hidden="1">
      <c r="A1891" s="16" t="s">
        <v>2791</v>
      </c>
      <c r="B1891" s="49"/>
      <c r="C1891" s="18"/>
      <c r="D1891" s="4"/>
      <c r="E1891" s="19"/>
      <c r="F1891" s="19"/>
      <c r="G1891" s="16" t="s">
        <v>1926</v>
      </c>
      <c r="H1891" s="21"/>
      <c r="I1891" s="22"/>
      <c r="J1891" s="47">
        <v>46478.0</v>
      </c>
      <c r="K1891" s="55">
        <f>6650*1.19</f>
        <v>7913.5</v>
      </c>
      <c r="L1891" s="55">
        <v>12000.0</v>
      </c>
      <c r="M1891" s="25"/>
      <c r="N1891" s="26"/>
      <c r="O1891" s="27">
        <f t="shared" si="254"/>
        <v>0.5163960321</v>
      </c>
      <c r="P1891" s="28">
        <f t="shared" si="255"/>
        <v>0</v>
      </c>
    </row>
    <row r="1892" hidden="1">
      <c r="A1892" s="16" t="s">
        <v>2792</v>
      </c>
      <c r="B1892" s="36"/>
      <c r="C1892" s="18"/>
      <c r="D1892" s="4"/>
      <c r="E1892" s="19"/>
      <c r="F1892" s="19"/>
      <c r="G1892" s="16" t="s">
        <v>88</v>
      </c>
      <c r="H1892" s="21"/>
      <c r="I1892" s="22">
        <v>7.0</v>
      </c>
      <c r="J1892" s="47">
        <v>46174.0</v>
      </c>
      <c r="K1892" s="24">
        <f>5311*1.19</f>
        <v>6320.09</v>
      </c>
      <c r="L1892" s="32">
        <v>12000.0</v>
      </c>
      <c r="M1892" s="25"/>
      <c r="N1892" s="26"/>
      <c r="O1892" s="27">
        <f t="shared" si="254"/>
        <v>0.8987071387</v>
      </c>
      <c r="P1892" s="28">
        <f t="shared" si="255"/>
        <v>0</v>
      </c>
    </row>
    <row r="1893" hidden="1">
      <c r="A1893" s="16" t="s">
        <v>2793</v>
      </c>
      <c r="B1893" s="17"/>
      <c r="C1893" s="18"/>
      <c r="D1893" s="4"/>
      <c r="E1893" s="19">
        <v>0.0</v>
      </c>
      <c r="F1893" s="19">
        <v>0.0</v>
      </c>
      <c r="G1893" s="16" t="s">
        <v>2794</v>
      </c>
      <c r="H1893" s="21"/>
      <c r="I1893" s="22">
        <f>194+50</f>
        <v>244</v>
      </c>
      <c r="J1893" s="29"/>
      <c r="K1893" s="48">
        <v>2400.0</v>
      </c>
      <c r="L1893" s="55">
        <v>7000.0</v>
      </c>
      <c r="M1893" s="25"/>
      <c r="N1893" s="26"/>
      <c r="O1893" s="27">
        <f t="shared" si="254"/>
        <v>1.916666667</v>
      </c>
      <c r="P1893" s="28">
        <f t="shared" si="255"/>
        <v>0</v>
      </c>
    </row>
    <row r="1894" hidden="1">
      <c r="A1894" s="16" t="s">
        <v>2795</v>
      </c>
      <c r="B1894" s="17"/>
      <c r="C1894" s="18"/>
      <c r="D1894" s="4"/>
      <c r="E1894" s="19">
        <v>0.0</v>
      </c>
      <c r="F1894" s="19">
        <v>0.0</v>
      </c>
      <c r="G1894" s="16" t="s">
        <v>2794</v>
      </c>
      <c r="H1894" s="21"/>
      <c r="I1894" s="22">
        <f>168+50+50</f>
        <v>268</v>
      </c>
      <c r="J1894" s="29"/>
      <c r="K1894" s="48">
        <v>4900.0</v>
      </c>
      <c r="L1894" s="55">
        <v>7000.0</v>
      </c>
      <c r="M1894" s="25"/>
      <c r="N1894" s="26"/>
      <c r="O1894" s="27">
        <f t="shared" si="254"/>
        <v>0.4285714286</v>
      </c>
      <c r="P1894" s="28">
        <f t="shared" si="255"/>
        <v>0</v>
      </c>
    </row>
    <row r="1895" hidden="1">
      <c r="A1895" s="40" t="s">
        <v>2796</v>
      </c>
      <c r="B1895" s="17"/>
      <c r="C1895" s="18"/>
      <c r="D1895" s="4"/>
      <c r="E1895" s="19">
        <v>0.0</v>
      </c>
      <c r="F1895" s="19">
        <v>0.0</v>
      </c>
      <c r="G1895" s="16" t="s">
        <v>2794</v>
      </c>
      <c r="H1895" s="21"/>
      <c r="I1895" s="22">
        <v>53.0</v>
      </c>
      <c r="J1895" s="29"/>
      <c r="K1895" s="48">
        <v>5200.0</v>
      </c>
      <c r="L1895" s="55">
        <v>8000.0</v>
      </c>
      <c r="M1895" s="25"/>
      <c r="N1895" s="26"/>
      <c r="O1895" s="27">
        <f t="shared" si="254"/>
        <v>0.5384615385</v>
      </c>
      <c r="P1895" s="28">
        <f t="shared" si="255"/>
        <v>0</v>
      </c>
    </row>
    <row r="1896" hidden="1">
      <c r="A1896" s="16" t="s">
        <v>2797</v>
      </c>
      <c r="B1896" s="17"/>
      <c r="C1896" s="18"/>
      <c r="D1896" s="4"/>
      <c r="E1896" s="19">
        <v>0.0</v>
      </c>
      <c r="F1896" s="19">
        <v>0.0</v>
      </c>
      <c r="G1896" s="16" t="s">
        <v>2794</v>
      </c>
      <c r="H1896" s="21"/>
      <c r="I1896" s="22">
        <f>52+25</f>
        <v>77</v>
      </c>
      <c r="J1896" s="29"/>
      <c r="K1896" s="48">
        <v>7900.0</v>
      </c>
      <c r="L1896" s="55">
        <v>10000.0</v>
      </c>
      <c r="M1896" s="25"/>
      <c r="N1896" s="26"/>
      <c r="O1896" s="27">
        <f t="shared" si="254"/>
        <v>0.2658227848</v>
      </c>
      <c r="P1896" s="28">
        <f t="shared" si="255"/>
        <v>0</v>
      </c>
    </row>
    <row r="1897" hidden="1">
      <c r="A1897" s="16" t="s">
        <v>2798</v>
      </c>
      <c r="B1897" s="17" t="s">
        <v>2799</v>
      </c>
      <c r="C1897" s="276"/>
      <c r="D1897" s="4"/>
      <c r="E1897" s="19">
        <v>0.0</v>
      </c>
      <c r="F1897" s="19">
        <v>0.0</v>
      </c>
      <c r="G1897" s="16" t="s">
        <v>1876</v>
      </c>
      <c r="H1897" s="21"/>
      <c r="I1897" s="22"/>
      <c r="J1897" s="58"/>
      <c r="K1897" s="48">
        <f>494050/214</f>
        <v>2308.64486</v>
      </c>
      <c r="L1897" s="55">
        <v>3500.0</v>
      </c>
      <c r="M1897" s="25"/>
      <c r="N1897" s="26"/>
      <c r="O1897" s="27">
        <f t="shared" si="254"/>
        <v>0.5160408865</v>
      </c>
      <c r="P1897" s="28">
        <f t="shared" si="255"/>
        <v>0</v>
      </c>
    </row>
    <row r="1898" hidden="1">
      <c r="A1898" s="16" t="s">
        <v>2800</v>
      </c>
      <c r="B1898" s="17"/>
      <c r="C1898" s="277"/>
      <c r="D1898" s="4"/>
      <c r="E1898" s="19">
        <v>99.0</v>
      </c>
      <c r="F1898" s="19">
        <v>0.0</v>
      </c>
      <c r="G1898" s="16" t="s">
        <v>1876</v>
      </c>
      <c r="H1898" s="21"/>
      <c r="I1898" s="22"/>
      <c r="J1898" s="58"/>
      <c r="K1898" s="55">
        <f>492980/33</f>
        <v>14938.78788</v>
      </c>
      <c r="L1898" s="55">
        <v>18000.0</v>
      </c>
      <c r="M1898" s="25"/>
      <c r="N1898" s="26">
        <v>16000.0</v>
      </c>
      <c r="O1898" s="27">
        <f t="shared" si="254"/>
        <v>0.2049170352</v>
      </c>
      <c r="P1898" s="28">
        <f t="shared" si="255"/>
        <v>0</v>
      </c>
    </row>
    <row r="1899" hidden="1">
      <c r="A1899" s="16" t="s">
        <v>2801</v>
      </c>
      <c r="B1899" s="17" t="s">
        <v>2799</v>
      </c>
      <c r="C1899" s="276"/>
      <c r="D1899" s="4"/>
      <c r="E1899" s="19">
        <v>0.0</v>
      </c>
      <c r="F1899" s="19">
        <v>0.0</v>
      </c>
      <c r="G1899" s="16" t="s">
        <v>1876</v>
      </c>
      <c r="H1899" s="21"/>
      <c r="I1899" s="22"/>
      <c r="J1899" s="29"/>
      <c r="K1899" s="48">
        <f>323440/150</f>
        <v>2156.266667</v>
      </c>
      <c r="L1899" s="55">
        <v>3500.0</v>
      </c>
      <c r="M1899" s="25"/>
      <c r="N1899" s="26"/>
      <c r="O1899" s="27">
        <f t="shared" si="254"/>
        <v>0.6231758595</v>
      </c>
      <c r="P1899" s="28">
        <f t="shared" si="255"/>
        <v>0</v>
      </c>
    </row>
    <row r="1900" hidden="1">
      <c r="A1900" s="16" t="s">
        <v>2802</v>
      </c>
      <c r="B1900" s="17"/>
      <c r="C1900" s="277"/>
      <c r="D1900" s="4"/>
      <c r="E1900" s="19">
        <v>0.0</v>
      </c>
      <c r="F1900" s="19">
        <v>0.0</v>
      </c>
      <c r="G1900" s="16" t="s">
        <v>1876</v>
      </c>
      <c r="H1900" s="21"/>
      <c r="I1900" s="22"/>
      <c r="J1900" s="23"/>
      <c r="K1900" s="55">
        <f>322260/33</f>
        <v>9765.454545</v>
      </c>
      <c r="L1900" s="55">
        <v>15000.0</v>
      </c>
      <c r="M1900" s="25"/>
      <c r="N1900" s="26">
        <v>16000.0</v>
      </c>
      <c r="O1900" s="27">
        <f t="shared" si="254"/>
        <v>0.5360268106</v>
      </c>
      <c r="P1900" s="28">
        <f t="shared" si="255"/>
        <v>0</v>
      </c>
    </row>
    <row r="1901" hidden="1">
      <c r="A1901" s="40" t="s">
        <v>2803</v>
      </c>
      <c r="B1901" s="17" t="s">
        <v>2799</v>
      </c>
      <c r="C1901" s="277"/>
      <c r="D1901" s="4"/>
      <c r="E1901" s="19">
        <v>0.0</v>
      </c>
      <c r="F1901" s="19">
        <v>0.0</v>
      </c>
      <c r="G1901" s="16" t="s">
        <v>1876</v>
      </c>
      <c r="H1901" s="21"/>
      <c r="I1901" s="22"/>
      <c r="J1901" s="23"/>
      <c r="K1901" s="55">
        <f>384270/150</f>
        <v>2561.8</v>
      </c>
      <c r="L1901" s="55">
        <v>3500.0</v>
      </c>
      <c r="M1901" s="25"/>
      <c r="N1901" s="26"/>
      <c r="O1901" s="27">
        <f t="shared" si="254"/>
        <v>0.3662268717</v>
      </c>
      <c r="P1901" s="28">
        <f t="shared" ref="P1901:P1902" si="256">K1901*F1902</f>
        <v>0</v>
      </c>
    </row>
    <row r="1902" hidden="1">
      <c r="A1902" s="16" t="s">
        <v>2804</v>
      </c>
      <c r="B1902" s="17"/>
      <c r="C1902" s="277"/>
      <c r="D1902" s="4"/>
      <c r="E1902" s="19">
        <v>33.0</v>
      </c>
      <c r="F1902" s="19">
        <v>0.0</v>
      </c>
      <c r="G1902" s="16" t="s">
        <v>1876</v>
      </c>
      <c r="H1902" s="21"/>
      <c r="I1902" s="22"/>
      <c r="J1902" s="23"/>
      <c r="K1902" s="55">
        <f>382880/33</f>
        <v>11602.42424</v>
      </c>
      <c r="L1902" s="55">
        <v>18000.0</v>
      </c>
      <c r="M1902" s="25"/>
      <c r="N1902" s="26">
        <v>16000.0</v>
      </c>
      <c r="O1902" s="27">
        <f t="shared" si="254"/>
        <v>0.5513999164</v>
      </c>
      <c r="P1902" s="28">
        <f t="shared" si="256"/>
        <v>0</v>
      </c>
    </row>
    <row r="1903" hidden="1">
      <c r="A1903" s="16" t="s">
        <v>2805</v>
      </c>
      <c r="B1903" s="17"/>
      <c r="C1903" s="277"/>
      <c r="D1903" s="4"/>
      <c r="E1903" s="19">
        <v>0.0</v>
      </c>
      <c r="F1903" s="19">
        <v>0.0</v>
      </c>
      <c r="G1903" s="16" t="s">
        <v>1876</v>
      </c>
      <c r="H1903" s="21"/>
      <c r="I1903" s="22"/>
      <c r="J1903" s="23"/>
      <c r="K1903" s="55">
        <f>412440/33</f>
        <v>12498.18182</v>
      </c>
      <c r="L1903" s="55">
        <v>18000.0</v>
      </c>
      <c r="M1903" s="25"/>
      <c r="N1903" s="26">
        <v>16000.0</v>
      </c>
      <c r="O1903" s="27">
        <f t="shared" si="254"/>
        <v>0.440209485</v>
      </c>
      <c r="P1903" s="28">
        <f t="shared" ref="P1903:P1905" si="257">K1903*F1903</f>
        <v>0</v>
      </c>
    </row>
    <row r="1904" hidden="1">
      <c r="A1904" s="16" t="s">
        <v>2806</v>
      </c>
      <c r="B1904" s="17" t="s">
        <v>2799</v>
      </c>
      <c r="C1904" s="276"/>
      <c r="D1904" s="4"/>
      <c r="E1904" s="19">
        <v>0.0</v>
      </c>
      <c r="F1904" s="19">
        <v>0.0</v>
      </c>
      <c r="G1904" s="16" t="s">
        <v>1876</v>
      </c>
      <c r="H1904" s="21"/>
      <c r="I1904" s="22"/>
      <c r="J1904" s="29"/>
      <c r="K1904" s="55">
        <f>413830/150</f>
        <v>2758.866667</v>
      </c>
      <c r="L1904" s="55">
        <v>3500.0</v>
      </c>
      <c r="M1904" s="25"/>
      <c r="N1904" s="26"/>
      <c r="O1904" s="27">
        <f t="shared" si="254"/>
        <v>0.2686368799</v>
      </c>
      <c r="P1904" s="28">
        <f t="shared" si="257"/>
        <v>0</v>
      </c>
    </row>
    <row r="1905" hidden="1">
      <c r="A1905" s="16" t="s">
        <v>2807</v>
      </c>
      <c r="B1905" s="17"/>
      <c r="C1905" s="276"/>
      <c r="D1905" s="4"/>
      <c r="E1905" s="19">
        <v>33.0</v>
      </c>
      <c r="F1905" s="19">
        <v>0.0</v>
      </c>
      <c r="G1905" s="16" t="s">
        <v>1876</v>
      </c>
      <c r="H1905" s="21"/>
      <c r="I1905" s="22"/>
      <c r="J1905" s="58"/>
      <c r="K1905" s="55">
        <f>446500/33</f>
        <v>13530.30303</v>
      </c>
      <c r="L1905" s="55">
        <v>18000.0</v>
      </c>
      <c r="M1905" s="25"/>
      <c r="N1905" s="26">
        <v>16000.0</v>
      </c>
      <c r="O1905" s="27">
        <f t="shared" si="254"/>
        <v>0.3303471445</v>
      </c>
      <c r="P1905" s="28">
        <f t="shared" si="257"/>
        <v>0</v>
      </c>
    </row>
    <row r="1906" hidden="1">
      <c r="A1906" s="16" t="s">
        <v>2808</v>
      </c>
      <c r="B1906" s="17" t="s">
        <v>2799</v>
      </c>
      <c r="C1906" s="276"/>
      <c r="D1906" s="4"/>
      <c r="E1906" s="19">
        <v>0.0</v>
      </c>
      <c r="F1906" s="19">
        <v>0.0</v>
      </c>
      <c r="G1906" s="16" t="s">
        <v>1876</v>
      </c>
      <c r="H1906" s="21"/>
      <c r="I1906" s="22"/>
      <c r="J1906" s="29"/>
      <c r="K1906" s="48">
        <f>448110/150</f>
        <v>2987.4</v>
      </c>
      <c r="L1906" s="55">
        <v>3500.0</v>
      </c>
      <c r="M1906" s="25"/>
      <c r="N1906" s="26"/>
      <c r="O1906" s="27">
        <f t="shared" si="254"/>
        <v>0.1715873335</v>
      </c>
      <c r="P1906" s="28">
        <f>K1906*F1905</f>
        <v>0</v>
      </c>
    </row>
    <row r="1907" hidden="1">
      <c r="A1907" s="42" t="s">
        <v>2809</v>
      </c>
      <c r="B1907" s="36"/>
      <c r="C1907" s="18"/>
      <c r="D1907" s="4"/>
      <c r="E1907" s="19">
        <v>0.0</v>
      </c>
      <c r="F1907" s="19"/>
      <c r="G1907" s="20" t="s">
        <v>2810</v>
      </c>
      <c r="H1907" s="21"/>
      <c r="I1907" s="22"/>
      <c r="J1907" s="47"/>
      <c r="K1907" s="43">
        <v>9600.0</v>
      </c>
      <c r="L1907" s="44">
        <v>15000.0</v>
      </c>
      <c r="M1907" s="25"/>
      <c r="N1907" s="70"/>
      <c r="O1907" s="27">
        <f t="shared" si="254"/>
        <v>0.5625</v>
      </c>
      <c r="P1907" s="28">
        <f t="shared" ref="P1907:P1911" si="258">K1907*F1907</f>
        <v>0</v>
      </c>
    </row>
    <row r="1908" hidden="1">
      <c r="A1908" s="42" t="s">
        <v>2811</v>
      </c>
      <c r="B1908" s="71"/>
      <c r="C1908" s="153"/>
      <c r="D1908" s="4"/>
      <c r="E1908" s="19">
        <v>0.0</v>
      </c>
      <c r="F1908" s="19"/>
      <c r="G1908" s="20" t="s">
        <v>2810</v>
      </c>
      <c r="H1908" s="21"/>
      <c r="I1908" s="22"/>
      <c r="J1908" s="47">
        <v>46174.0</v>
      </c>
      <c r="K1908" s="32">
        <v>10250.0</v>
      </c>
      <c r="L1908" s="24">
        <v>13000.0</v>
      </c>
      <c r="M1908" s="25"/>
      <c r="N1908" s="50"/>
      <c r="O1908" s="27">
        <f t="shared" si="254"/>
        <v>0.2682926829</v>
      </c>
      <c r="P1908" s="28">
        <f t="shared" si="258"/>
        <v>0</v>
      </c>
    </row>
    <row r="1909" hidden="1">
      <c r="A1909" s="16" t="s">
        <v>2812</v>
      </c>
      <c r="B1909" s="36"/>
      <c r="C1909" s="153"/>
      <c r="D1909" s="4"/>
      <c r="E1909" s="19">
        <v>0.0</v>
      </c>
      <c r="F1909" s="19"/>
      <c r="G1909" s="20" t="s">
        <v>2813</v>
      </c>
      <c r="H1909" s="21"/>
      <c r="I1909" s="22"/>
      <c r="J1909" s="29"/>
      <c r="K1909" s="43">
        <v>9600.0</v>
      </c>
      <c r="L1909" s="44">
        <v>15000.0</v>
      </c>
      <c r="M1909" s="25" t="s">
        <v>76</v>
      </c>
      <c r="N1909" s="70"/>
      <c r="O1909" s="27">
        <f t="shared" si="254"/>
        <v>0.5625</v>
      </c>
      <c r="P1909" s="28">
        <f t="shared" si="258"/>
        <v>0</v>
      </c>
    </row>
    <row r="1910" hidden="1">
      <c r="A1910" s="16" t="s">
        <v>2814</v>
      </c>
      <c r="B1910" s="51" t="s">
        <v>2815</v>
      </c>
      <c r="C1910" s="38" t="s">
        <v>2816</v>
      </c>
      <c r="D1910" s="61"/>
      <c r="E1910" s="19"/>
      <c r="F1910" s="19"/>
      <c r="G1910" s="16" t="s">
        <v>91</v>
      </c>
      <c r="H1910" s="21"/>
      <c r="I1910" s="22">
        <v>19.0</v>
      </c>
      <c r="J1910" s="29" t="s">
        <v>2817</v>
      </c>
      <c r="K1910" s="32">
        <v>160000.0</v>
      </c>
      <c r="L1910" s="24">
        <v>210000.0</v>
      </c>
      <c r="M1910" s="25"/>
      <c r="N1910" s="26">
        <v>170000.0</v>
      </c>
      <c r="O1910" s="27">
        <f t="shared" si="254"/>
        <v>0.3125</v>
      </c>
      <c r="P1910" s="28">
        <f t="shared" si="258"/>
        <v>0</v>
      </c>
    </row>
    <row r="1911" hidden="1">
      <c r="A1911" s="16" t="s">
        <v>2818</v>
      </c>
      <c r="B1911" s="51" t="s">
        <v>2819</v>
      </c>
      <c r="C1911" s="38"/>
      <c r="D1911" s="61"/>
      <c r="E1911" s="19"/>
      <c r="F1911" s="19"/>
      <c r="G1911" s="16" t="s">
        <v>91</v>
      </c>
      <c r="H1911" s="21"/>
      <c r="I1911" s="22">
        <v>1.0</v>
      </c>
      <c r="J1911" s="47">
        <v>46023.0</v>
      </c>
      <c r="K1911" s="32">
        <v>96000.0</v>
      </c>
      <c r="L1911" s="46">
        <v>130000.0</v>
      </c>
      <c r="M1911" s="25"/>
      <c r="N1911" s="26">
        <v>95000.0</v>
      </c>
      <c r="O1911" s="27">
        <f t="shared" si="254"/>
        <v>0.3541666667</v>
      </c>
      <c r="P1911" s="28">
        <f t="shared" si="258"/>
        <v>0</v>
      </c>
    </row>
    <row r="1912" hidden="1">
      <c r="A1912" s="16" t="s">
        <v>2820</v>
      </c>
      <c r="B1912" s="17"/>
      <c r="C1912" s="18"/>
      <c r="D1912" s="4"/>
      <c r="E1912" s="19">
        <v>0.0</v>
      </c>
      <c r="F1912" s="19">
        <v>0.0</v>
      </c>
      <c r="G1912" s="20" t="s">
        <v>1335</v>
      </c>
      <c r="H1912" s="21"/>
      <c r="I1912" s="22"/>
      <c r="J1912" s="29"/>
      <c r="K1912" s="43"/>
      <c r="L1912" s="44">
        <v>45000.0</v>
      </c>
      <c r="M1912" s="25"/>
      <c r="N1912" s="39"/>
      <c r="O1912" s="27"/>
      <c r="P1912" s="28"/>
    </row>
    <row r="1913" hidden="1">
      <c r="A1913" s="16" t="s">
        <v>2821</v>
      </c>
      <c r="B1913" s="17"/>
      <c r="C1913" s="18"/>
      <c r="D1913" s="4"/>
      <c r="E1913" s="19">
        <v>0.0</v>
      </c>
      <c r="F1913" s="19">
        <v>0.0</v>
      </c>
      <c r="G1913" s="20" t="s">
        <v>1335</v>
      </c>
      <c r="H1913" s="21"/>
      <c r="I1913" s="22"/>
      <c r="J1913" s="29"/>
      <c r="K1913" s="43"/>
      <c r="L1913" s="44">
        <v>35000.0</v>
      </c>
      <c r="M1913" s="25"/>
      <c r="N1913" s="39"/>
      <c r="O1913" s="27"/>
      <c r="P1913" s="28"/>
    </row>
  </sheetData>
  <autoFilter ref="$A$1:$P$1913">
    <filterColumn colId="0">
      <filters>
        <filter val="Bandas de Acero"/>
        <filter val="Removedor de coronas Tumba coronas en T"/>
      </filters>
    </filterColumn>
  </autoFilter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278" t="s">
        <v>2822</v>
      </c>
      <c r="B1" s="2" t="s">
        <v>1</v>
      </c>
      <c r="C1" s="279"/>
      <c r="D1" s="136"/>
      <c r="E1" s="5" t="s">
        <v>2</v>
      </c>
      <c r="F1" s="5" t="s">
        <v>3</v>
      </c>
      <c r="G1" s="6" t="s">
        <v>2823</v>
      </c>
      <c r="H1" s="6"/>
    </row>
    <row r="2">
      <c r="A2" s="40" t="s">
        <v>28</v>
      </c>
      <c r="B2" s="17" t="s">
        <v>29</v>
      </c>
      <c r="C2" s="270"/>
      <c r="D2" s="136"/>
      <c r="E2" s="19">
        <v>20.0</v>
      </c>
      <c r="F2" s="19">
        <v>20.0</v>
      </c>
      <c r="G2" s="79">
        <v>40.0</v>
      </c>
      <c r="H2" s="79">
        <f>G2*7556</f>
        <v>302240</v>
      </c>
    </row>
    <row r="3">
      <c r="A3" s="16" t="s">
        <v>31</v>
      </c>
      <c r="B3" s="17" t="s">
        <v>32</v>
      </c>
      <c r="C3" s="270"/>
      <c r="D3" s="136"/>
      <c r="E3" s="19">
        <v>10.0</v>
      </c>
      <c r="F3" s="19">
        <v>0.0</v>
      </c>
      <c r="G3" s="79">
        <v>10.0</v>
      </c>
      <c r="H3" s="79">
        <f>10*7557</f>
        <v>75570</v>
      </c>
    </row>
    <row r="4">
      <c r="A4" s="16" t="s">
        <v>601</v>
      </c>
      <c r="B4" s="17" t="s">
        <v>602</v>
      </c>
      <c r="C4" s="270"/>
      <c r="D4" s="136"/>
      <c r="E4" s="19">
        <v>100.0</v>
      </c>
      <c r="F4" s="19">
        <v>200.0</v>
      </c>
      <c r="G4" s="79">
        <v>300.0</v>
      </c>
      <c r="H4" s="79">
        <f>300*1071</f>
        <v>321300</v>
      </c>
    </row>
    <row r="5">
      <c r="G5" s="280"/>
      <c r="H5" s="280"/>
    </row>
    <row r="6">
      <c r="G6" s="280"/>
      <c r="H6" s="280"/>
    </row>
    <row r="7">
      <c r="G7" s="280"/>
      <c r="H7" s="280"/>
    </row>
    <row r="8">
      <c r="G8" s="280"/>
      <c r="H8" s="280"/>
    </row>
    <row r="9">
      <c r="G9" s="280"/>
      <c r="H9" s="280"/>
    </row>
    <row r="10">
      <c r="G10" s="280"/>
      <c r="H10" s="280"/>
    </row>
    <row r="11">
      <c r="G11" s="280"/>
      <c r="H11" s="280"/>
    </row>
    <row r="12">
      <c r="G12" s="280"/>
      <c r="H12" s="280"/>
    </row>
    <row r="13">
      <c r="G13" s="280"/>
      <c r="H13" s="280"/>
    </row>
    <row r="14">
      <c r="G14" s="280"/>
      <c r="H14" s="280"/>
    </row>
    <row r="15">
      <c r="G15" s="280"/>
      <c r="H15" s="280"/>
    </row>
    <row r="16">
      <c r="G16" s="280"/>
      <c r="H16" s="280"/>
    </row>
    <row r="17">
      <c r="G17" s="280"/>
      <c r="H17" s="280"/>
    </row>
    <row r="18">
      <c r="G18" s="280"/>
      <c r="H18" s="280"/>
    </row>
    <row r="19">
      <c r="G19" s="280"/>
      <c r="H19" s="280"/>
    </row>
    <row r="20">
      <c r="G20" s="280"/>
      <c r="H20" s="280"/>
    </row>
    <row r="21">
      <c r="G21" s="280"/>
      <c r="H21" s="280"/>
    </row>
    <row r="22">
      <c r="G22" s="280"/>
      <c r="H22" s="280"/>
    </row>
    <row r="23">
      <c r="G23" s="280"/>
      <c r="H23" s="280"/>
    </row>
    <row r="24">
      <c r="G24" s="280"/>
      <c r="H24" s="280"/>
    </row>
    <row r="25">
      <c r="G25" s="280"/>
      <c r="H25" s="280"/>
    </row>
    <row r="26">
      <c r="G26" s="280"/>
      <c r="H26" s="280"/>
    </row>
    <row r="27">
      <c r="G27" s="280"/>
      <c r="H27" s="280"/>
    </row>
    <row r="28">
      <c r="G28" s="280"/>
      <c r="H28" s="280"/>
    </row>
    <row r="29">
      <c r="G29" s="280"/>
      <c r="H29" s="280"/>
    </row>
    <row r="30">
      <c r="G30" s="280"/>
      <c r="H30" s="280"/>
    </row>
    <row r="31">
      <c r="G31" s="280"/>
      <c r="H31" s="280"/>
    </row>
    <row r="32">
      <c r="G32" s="280"/>
      <c r="H32" s="280"/>
    </row>
    <row r="33">
      <c r="G33" s="280"/>
      <c r="H33" s="280"/>
    </row>
    <row r="34">
      <c r="G34" s="280"/>
      <c r="H34" s="280"/>
    </row>
    <row r="35">
      <c r="G35" s="280"/>
      <c r="H35" s="280"/>
    </row>
    <row r="36">
      <c r="G36" s="280"/>
      <c r="H36" s="280"/>
    </row>
    <row r="37">
      <c r="G37" s="280"/>
      <c r="H37" s="280"/>
    </row>
    <row r="38">
      <c r="G38" s="280"/>
      <c r="H38" s="280"/>
    </row>
    <row r="39">
      <c r="G39" s="280"/>
      <c r="H39" s="280"/>
    </row>
    <row r="40">
      <c r="G40" s="280"/>
      <c r="H40" s="280"/>
    </row>
    <row r="41">
      <c r="G41" s="280"/>
      <c r="H41" s="280"/>
    </row>
    <row r="42">
      <c r="G42" s="280"/>
      <c r="H42" s="280"/>
    </row>
    <row r="43">
      <c r="G43" s="280"/>
      <c r="H43" s="280"/>
    </row>
    <row r="44">
      <c r="G44" s="280"/>
      <c r="H44" s="280"/>
    </row>
    <row r="45">
      <c r="G45" s="280"/>
      <c r="H45" s="280"/>
    </row>
    <row r="46">
      <c r="G46" s="280"/>
      <c r="H46" s="280"/>
    </row>
    <row r="47">
      <c r="G47" s="280"/>
      <c r="H47" s="280"/>
    </row>
    <row r="48">
      <c r="G48" s="280"/>
      <c r="H48" s="280"/>
    </row>
    <row r="49">
      <c r="G49" s="280"/>
      <c r="H49" s="280"/>
    </row>
    <row r="50">
      <c r="G50" s="280"/>
      <c r="H50" s="280"/>
    </row>
    <row r="51">
      <c r="G51" s="280"/>
      <c r="H51" s="280"/>
    </row>
    <row r="52">
      <c r="G52" s="280"/>
      <c r="H52" s="280"/>
    </row>
    <row r="53">
      <c r="G53" s="280"/>
      <c r="H53" s="280"/>
    </row>
    <row r="54">
      <c r="G54" s="280"/>
      <c r="H54" s="280"/>
    </row>
    <row r="55">
      <c r="G55" s="280"/>
      <c r="H55" s="280"/>
    </row>
    <row r="56">
      <c r="G56" s="280"/>
      <c r="H56" s="280"/>
    </row>
    <row r="57">
      <c r="G57" s="280"/>
      <c r="H57" s="280"/>
    </row>
    <row r="58">
      <c r="G58" s="280"/>
      <c r="H58" s="280"/>
    </row>
    <row r="59">
      <c r="G59" s="280"/>
      <c r="H59" s="280"/>
    </row>
    <row r="60">
      <c r="G60" s="280"/>
      <c r="H60" s="280"/>
    </row>
    <row r="61">
      <c r="G61" s="280"/>
      <c r="H61" s="280"/>
    </row>
    <row r="62">
      <c r="G62" s="280"/>
      <c r="H62" s="280"/>
    </row>
    <row r="63">
      <c r="G63" s="280"/>
      <c r="H63" s="280"/>
    </row>
    <row r="64">
      <c r="G64" s="280"/>
      <c r="H64" s="280"/>
    </row>
    <row r="65">
      <c r="G65" s="280"/>
      <c r="H65" s="280"/>
    </row>
    <row r="66">
      <c r="G66" s="280"/>
      <c r="H66" s="280"/>
    </row>
    <row r="67">
      <c r="G67" s="280"/>
      <c r="H67" s="280"/>
    </row>
    <row r="68">
      <c r="G68" s="280"/>
      <c r="H68" s="280"/>
    </row>
    <row r="69">
      <c r="G69" s="280"/>
      <c r="H69" s="280"/>
    </row>
    <row r="70">
      <c r="G70" s="280"/>
      <c r="H70" s="280"/>
    </row>
    <row r="71">
      <c r="G71" s="280"/>
      <c r="H71" s="280"/>
    </row>
    <row r="72">
      <c r="G72" s="280"/>
      <c r="H72" s="280"/>
    </row>
    <row r="73">
      <c r="G73" s="280"/>
      <c r="H73" s="280"/>
    </row>
    <row r="74">
      <c r="G74" s="280"/>
      <c r="H74" s="280"/>
    </row>
    <row r="75">
      <c r="G75" s="280"/>
      <c r="H75" s="280"/>
    </row>
    <row r="76">
      <c r="G76" s="280"/>
      <c r="H76" s="280"/>
    </row>
    <row r="77">
      <c r="G77" s="280"/>
      <c r="H77" s="280"/>
    </row>
    <row r="78">
      <c r="G78" s="280"/>
      <c r="H78" s="280"/>
    </row>
    <row r="79">
      <c r="G79" s="280"/>
      <c r="H79" s="280"/>
    </row>
    <row r="80">
      <c r="G80" s="280"/>
      <c r="H80" s="280"/>
    </row>
    <row r="81">
      <c r="G81" s="280"/>
      <c r="H81" s="280"/>
    </row>
    <row r="82">
      <c r="G82" s="280"/>
      <c r="H82" s="280"/>
    </row>
    <row r="83">
      <c r="G83" s="280"/>
      <c r="H83" s="280"/>
    </row>
    <row r="84">
      <c r="G84" s="280"/>
      <c r="H84" s="280"/>
    </row>
    <row r="85">
      <c r="G85" s="280"/>
      <c r="H85" s="280"/>
    </row>
    <row r="86">
      <c r="G86" s="280"/>
      <c r="H86" s="280"/>
    </row>
    <row r="87">
      <c r="G87" s="280"/>
      <c r="H87" s="280"/>
    </row>
    <row r="88">
      <c r="G88" s="280"/>
      <c r="H88" s="280"/>
    </row>
    <row r="89">
      <c r="G89" s="280"/>
      <c r="H89" s="280"/>
    </row>
    <row r="90">
      <c r="G90" s="280"/>
      <c r="H90" s="280"/>
    </row>
    <row r="91">
      <c r="G91" s="280"/>
      <c r="H91" s="280"/>
    </row>
    <row r="92">
      <c r="G92" s="280"/>
      <c r="H92" s="280"/>
    </row>
    <row r="93">
      <c r="G93" s="280"/>
      <c r="H93" s="280"/>
    </row>
    <row r="94">
      <c r="G94" s="280"/>
      <c r="H94" s="280"/>
    </row>
    <row r="95">
      <c r="G95" s="280"/>
      <c r="H95" s="280"/>
    </row>
    <row r="96">
      <c r="G96" s="280"/>
      <c r="H96" s="280"/>
    </row>
    <row r="97">
      <c r="G97" s="280"/>
      <c r="H97" s="280"/>
    </row>
    <row r="98">
      <c r="G98" s="280"/>
      <c r="H98" s="280"/>
    </row>
    <row r="99">
      <c r="G99" s="280"/>
      <c r="H99" s="280"/>
    </row>
    <row r="100">
      <c r="G100" s="280"/>
      <c r="H100" s="280"/>
    </row>
    <row r="101">
      <c r="G101" s="280"/>
      <c r="H101" s="280"/>
    </row>
    <row r="102">
      <c r="G102" s="280"/>
      <c r="H102" s="280"/>
    </row>
    <row r="103">
      <c r="G103" s="280"/>
      <c r="H103" s="280"/>
    </row>
    <row r="104">
      <c r="G104" s="280"/>
      <c r="H104" s="280"/>
    </row>
    <row r="105">
      <c r="G105" s="280"/>
      <c r="H105" s="280"/>
    </row>
    <row r="106">
      <c r="G106" s="280"/>
      <c r="H106" s="280"/>
    </row>
    <row r="107">
      <c r="G107" s="280"/>
      <c r="H107" s="280"/>
    </row>
    <row r="108">
      <c r="G108" s="280"/>
      <c r="H108" s="280"/>
    </row>
    <row r="109">
      <c r="G109" s="280"/>
      <c r="H109" s="280"/>
    </row>
    <row r="110">
      <c r="G110" s="280"/>
      <c r="H110" s="280"/>
    </row>
    <row r="111">
      <c r="G111" s="280"/>
      <c r="H111" s="280"/>
    </row>
    <row r="112">
      <c r="G112" s="280"/>
      <c r="H112" s="280"/>
    </row>
    <row r="113">
      <c r="G113" s="280"/>
      <c r="H113" s="280"/>
    </row>
    <row r="114">
      <c r="G114" s="280"/>
      <c r="H114" s="280"/>
    </row>
    <row r="115">
      <c r="G115" s="280"/>
      <c r="H115" s="280"/>
    </row>
    <row r="116">
      <c r="G116" s="280"/>
      <c r="H116" s="280"/>
    </row>
    <row r="117">
      <c r="G117" s="280"/>
      <c r="H117" s="280"/>
    </row>
    <row r="118">
      <c r="G118" s="280"/>
      <c r="H118" s="280"/>
    </row>
    <row r="119">
      <c r="G119" s="280"/>
      <c r="H119" s="280"/>
    </row>
    <row r="120">
      <c r="G120" s="280"/>
      <c r="H120" s="280"/>
    </row>
    <row r="121">
      <c r="G121" s="280"/>
      <c r="H121" s="280"/>
    </row>
    <row r="122">
      <c r="G122" s="280"/>
      <c r="H122" s="280"/>
    </row>
    <row r="123">
      <c r="G123" s="280"/>
      <c r="H123" s="280"/>
    </row>
    <row r="124">
      <c r="G124" s="280"/>
      <c r="H124" s="280"/>
    </row>
    <row r="125">
      <c r="G125" s="280"/>
      <c r="H125" s="280"/>
    </row>
    <row r="126">
      <c r="G126" s="280"/>
      <c r="H126" s="280"/>
    </row>
    <row r="127">
      <c r="G127" s="280"/>
      <c r="H127" s="280"/>
    </row>
    <row r="128">
      <c r="G128" s="280"/>
      <c r="H128" s="280"/>
    </row>
    <row r="129">
      <c r="G129" s="280"/>
      <c r="H129" s="280"/>
    </row>
    <row r="130">
      <c r="G130" s="280"/>
      <c r="H130" s="280"/>
    </row>
    <row r="131">
      <c r="G131" s="280"/>
      <c r="H131" s="280"/>
    </row>
    <row r="132">
      <c r="G132" s="280"/>
      <c r="H132" s="280"/>
    </row>
    <row r="133">
      <c r="G133" s="280"/>
      <c r="H133" s="280"/>
    </row>
    <row r="134">
      <c r="G134" s="280"/>
      <c r="H134" s="280"/>
    </row>
    <row r="135">
      <c r="G135" s="280"/>
      <c r="H135" s="280"/>
    </row>
    <row r="136">
      <c r="G136" s="280"/>
      <c r="H136" s="280"/>
    </row>
    <row r="137">
      <c r="G137" s="280"/>
      <c r="H137" s="280"/>
    </row>
    <row r="138">
      <c r="G138" s="280"/>
      <c r="H138" s="280"/>
    </row>
    <row r="139">
      <c r="G139" s="280"/>
      <c r="H139" s="280"/>
    </row>
    <row r="140">
      <c r="G140" s="280"/>
      <c r="H140" s="280"/>
    </row>
    <row r="141">
      <c r="G141" s="280"/>
      <c r="H141" s="280"/>
    </row>
    <row r="142">
      <c r="G142" s="280"/>
      <c r="H142" s="280"/>
    </row>
    <row r="143">
      <c r="G143" s="280"/>
      <c r="H143" s="280"/>
    </row>
    <row r="144">
      <c r="G144" s="280"/>
      <c r="H144" s="280"/>
    </row>
    <row r="145">
      <c r="G145" s="280"/>
      <c r="H145" s="280"/>
    </row>
    <row r="146">
      <c r="G146" s="280"/>
      <c r="H146" s="280"/>
    </row>
    <row r="147">
      <c r="G147" s="280"/>
      <c r="H147" s="280"/>
    </row>
    <row r="148">
      <c r="G148" s="280"/>
      <c r="H148" s="280"/>
    </row>
    <row r="149">
      <c r="G149" s="280"/>
      <c r="H149" s="280"/>
    </row>
    <row r="150">
      <c r="G150" s="280"/>
      <c r="H150" s="280"/>
    </row>
    <row r="151">
      <c r="G151" s="280"/>
      <c r="H151" s="280"/>
    </row>
    <row r="152">
      <c r="G152" s="280"/>
      <c r="H152" s="280"/>
    </row>
    <row r="153">
      <c r="G153" s="280"/>
      <c r="H153" s="280"/>
    </row>
    <row r="154">
      <c r="G154" s="280"/>
      <c r="H154" s="280"/>
    </row>
    <row r="155">
      <c r="G155" s="280"/>
      <c r="H155" s="280"/>
    </row>
    <row r="156">
      <c r="G156" s="280"/>
      <c r="H156" s="280"/>
    </row>
    <row r="157">
      <c r="G157" s="280"/>
      <c r="H157" s="280"/>
    </row>
    <row r="158">
      <c r="G158" s="280"/>
      <c r="H158" s="280"/>
    </row>
    <row r="159">
      <c r="G159" s="280"/>
      <c r="H159" s="280"/>
    </row>
    <row r="160">
      <c r="G160" s="280"/>
      <c r="H160" s="280"/>
    </row>
    <row r="161">
      <c r="G161" s="280"/>
      <c r="H161" s="280"/>
    </row>
    <row r="162">
      <c r="G162" s="280"/>
      <c r="H162" s="280"/>
    </row>
    <row r="163">
      <c r="G163" s="280"/>
      <c r="H163" s="280"/>
    </row>
    <row r="164">
      <c r="G164" s="280"/>
      <c r="H164" s="280"/>
    </row>
    <row r="165">
      <c r="G165" s="280"/>
      <c r="H165" s="280"/>
    </row>
    <row r="166">
      <c r="G166" s="280"/>
      <c r="H166" s="280"/>
    </row>
    <row r="167">
      <c r="G167" s="280"/>
      <c r="H167" s="280"/>
    </row>
    <row r="168">
      <c r="G168" s="280"/>
      <c r="H168" s="280"/>
    </row>
    <row r="169">
      <c r="G169" s="280"/>
      <c r="H169" s="280"/>
    </row>
    <row r="170">
      <c r="G170" s="280"/>
      <c r="H170" s="280"/>
    </row>
    <row r="171">
      <c r="G171" s="280"/>
      <c r="H171" s="280"/>
    </row>
    <row r="172">
      <c r="G172" s="280"/>
      <c r="H172" s="280"/>
    </row>
    <row r="173">
      <c r="G173" s="280"/>
      <c r="H173" s="280"/>
    </row>
    <row r="174">
      <c r="G174" s="280"/>
      <c r="H174" s="280"/>
    </row>
    <row r="175">
      <c r="G175" s="280"/>
      <c r="H175" s="280"/>
    </row>
    <row r="176">
      <c r="G176" s="280"/>
      <c r="H176" s="280"/>
    </row>
    <row r="177">
      <c r="G177" s="280"/>
      <c r="H177" s="280"/>
    </row>
    <row r="178">
      <c r="G178" s="280"/>
      <c r="H178" s="280"/>
    </row>
    <row r="179">
      <c r="G179" s="280"/>
      <c r="H179" s="280"/>
    </row>
    <row r="180">
      <c r="G180" s="280"/>
      <c r="H180" s="280"/>
    </row>
    <row r="181">
      <c r="G181" s="280"/>
      <c r="H181" s="280"/>
    </row>
    <row r="182">
      <c r="G182" s="280"/>
      <c r="H182" s="280"/>
    </row>
    <row r="183">
      <c r="G183" s="280"/>
      <c r="H183" s="280"/>
    </row>
    <row r="184">
      <c r="G184" s="280"/>
      <c r="H184" s="280"/>
    </row>
    <row r="185">
      <c r="G185" s="280"/>
      <c r="H185" s="280"/>
    </row>
    <row r="186">
      <c r="G186" s="280"/>
      <c r="H186" s="280"/>
    </row>
    <row r="187">
      <c r="G187" s="280"/>
      <c r="H187" s="280"/>
    </row>
    <row r="188">
      <c r="G188" s="280"/>
      <c r="H188" s="280"/>
    </row>
    <row r="189">
      <c r="G189" s="280"/>
      <c r="H189" s="280"/>
    </row>
    <row r="190">
      <c r="G190" s="280"/>
      <c r="H190" s="280"/>
    </row>
    <row r="191">
      <c r="G191" s="280"/>
      <c r="H191" s="280"/>
    </row>
    <row r="192">
      <c r="G192" s="280"/>
      <c r="H192" s="280"/>
    </row>
    <row r="193">
      <c r="G193" s="280"/>
      <c r="H193" s="280"/>
    </row>
    <row r="194">
      <c r="G194" s="280"/>
      <c r="H194" s="280"/>
    </row>
    <row r="195">
      <c r="G195" s="280"/>
      <c r="H195" s="280"/>
    </row>
    <row r="196">
      <c r="G196" s="280"/>
      <c r="H196" s="280"/>
    </row>
    <row r="197">
      <c r="G197" s="280"/>
      <c r="H197" s="280"/>
    </row>
    <row r="198">
      <c r="G198" s="280"/>
      <c r="H198" s="280"/>
    </row>
    <row r="199">
      <c r="G199" s="280"/>
      <c r="H199" s="280"/>
    </row>
    <row r="200">
      <c r="G200" s="280"/>
      <c r="H200" s="280"/>
    </row>
    <row r="201">
      <c r="G201" s="280"/>
      <c r="H201" s="280"/>
    </row>
    <row r="202">
      <c r="G202" s="280"/>
      <c r="H202" s="280"/>
    </row>
    <row r="203">
      <c r="G203" s="280"/>
      <c r="H203" s="280"/>
    </row>
    <row r="204">
      <c r="G204" s="280"/>
      <c r="H204" s="280"/>
    </row>
    <row r="205">
      <c r="G205" s="280"/>
      <c r="H205" s="280"/>
    </row>
    <row r="206">
      <c r="G206" s="280"/>
      <c r="H206" s="280"/>
    </row>
    <row r="207">
      <c r="G207" s="280"/>
      <c r="H207" s="280"/>
    </row>
    <row r="208">
      <c r="G208" s="280"/>
      <c r="H208" s="280"/>
    </row>
    <row r="209">
      <c r="G209" s="280"/>
      <c r="H209" s="280"/>
    </row>
    <row r="210">
      <c r="G210" s="280"/>
      <c r="H210" s="280"/>
    </row>
    <row r="211">
      <c r="G211" s="280"/>
      <c r="H211" s="280"/>
    </row>
    <row r="212">
      <c r="G212" s="280"/>
      <c r="H212" s="280"/>
    </row>
    <row r="213">
      <c r="G213" s="280"/>
      <c r="H213" s="280"/>
    </row>
    <row r="214">
      <c r="G214" s="280"/>
      <c r="H214" s="280"/>
    </row>
    <row r="215">
      <c r="G215" s="280"/>
      <c r="H215" s="280"/>
    </row>
    <row r="216">
      <c r="G216" s="280"/>
      <c r="H216" s="280"/>
    </row>
    <row r="217">
      <c r="G217" s="280"/>
      <c r="H217" s="280"/>
    </row>
    <row r="218">
      <c r="G218" s="280"/>
      <c r="H218" s="280"/>
    </row>
    <row r="219">
      <c r="G219" s="280"/>
      <c r="H219" s="280"/>
    </row>
    <row r="220">
      <c r="G220" s="280"/>
      <c r="H220" s="280"/>
    </row>
    <row r="221">
      <c r="G221" s="280"/>
      <c r="H221" s="280"/>
    </row>
    <row r="222">
      <c r="G222" s="280"/>
      <c r="H222" s="280"/>
    </row>
    <row r="223">
      <c r="G223" s="280"/>
      <c r="H223" s="280"/>
    </row>
    <row r="224">
      <c r="G224" s="280"/>
      <c r="H224" s="280"/>
    </row>
    <row r="225">
      <c r="G225" s="280"/>
      <c r="H225" s="280"/>
    </row>
    <row r="226">
      <c r="G226" s="280"/>
      <c r="H226" s="280"/>
    </row>
    <row r="227">
      <c r="G227" s="280"/>
      <c r="H227" s="280"/>
    </row>
    <row r="228">
      <c r="G228" s="280"/>
      <c r="H228" s="280"/>
    </row>
    <row r="229">
      <c r="G229" s="280"/>
      <c r="H229" s="280"/>
    </row>
    <row r="230">
      <c r="G230" s="280"/>
      <c r="H230" s="280"/>
    </row>
    <row r="231">
      <c r="G231" s="280"/>
      <c r="H231" s="280"/>
    </row>
    <row r="232">
      <c r="G232" s="280"/>
      <c r="H232" s="280"/>
    </row>
    <row r="233">
      <c r="G233" s="280"/>
      <c r="H233" s="280"/>
    </row>
    <row r="234">
      <c r="G234" s="280"/>
      <c r="H234" s="280"/>
    </row>
    <row r="235">
      <c r="G235" s="280"/>
      <c r="H235" s="280"/>
    </row>
    <row r="236">
      <c r="G236" s="280"/>
      <c r="H236" s="280"/>
    </row>
    <row r="237">
      <c r="G237" s="280"/>
      <c r="H237" s="280"/>
    </row>
    <row r="238">
      <c r="G238" s="280"/>
      <c r="H238" s="280"/>
    </row>
    <row r="239">
      <c r="G239" s="280"/>
      <c r="H239" s="280"/>
    </row>
    <row r="240">
      <c r="G240" s="280"/>
      <c r="H240" s="280"/>
    </row>
    <row r="241">
      <c r="G241" s="280"/>
      <c r="H241" s="280"/>
    </row>
    <row r="242">
      <c r="G242" s="280"/>
      <c r="H242" s="280"/>
    </row>
    <row r="243">
      <c r="G243" s="280"/>
      <c r="H243" s="280"/>
    </row>
    <row r="244">
      <c r="G244" s="280"/>
      <c r="H244" s="280"/>
    </row>
    <row r="245">
      <c r="G245" s="280"/>
      <c r="H245" s="280"/>
    </row>
    <row r="246">
      <c r="G246" s="280"/>
      <c r="H246" s="280"/>
    </row>
    <row r="247">
      <c r="G247" s="280"/>
      <c r="H247" s="280"/>
    </row>
    <row r="248">
      <c r="G248" s="280"/>
      <c r="H248" s="280"/>
    </row>
    <row r="249">
      <c r="G249" s="280"/>
      <c r="H249" s="280"/>
    </row>
    <row r="250">
      <c r="G250" s="280"/>
      <c r="H250" s="280"/>
    </row>
    <row r="251">
      <c r="G251" s="280"/>
      <c r="H251" s="280"/>
    </row>
    <row r="252">
      <c r="G252" s="280"/>
      <c r="H252" s="280"/>
    </row>
    <row r="253">
      <c r="G253" s="280"/>
      <c r="H253" s="280"/>
    </row>
    <row r="254">
      <c r="G254" s="280"/>
      <c r="H254" s="280"/>
    </row>
    <row r="255">
      <c r="G255" s="280"/>
      <c r="H255" s="280"/>
    </row>
    <row r="256">
      <c r="G256" s="280"/>
      <c r="H256" s="280"/>
    </row>
    <row r="257">
      <c r="G257" s="280"/>
      <c r="H257" s="280"/>
    </row>
    <row r="258">
      <c r="G258" s="280"/>
      <c r="H258" s="280"/>
    </row>
    <row r="259">
      <c r="G259" s="280"/>
      <c r="H259" s="280"/>
    </row>
    <row r="260">
      <c r="G260" s="280"/>
      <c r="H260" s="280"/>
    </row>
    <row r="261">
      <c r="G261" s="280"/>
      <c r="H261" s="280"/>
    </row>
    <row r="262">
      <c r="G262" s="280"/>
      <c r="H262" s="280"/>
    </row>
    <row r="263">
      <c r="G263" s="280"/>
      <c r="H263" s="280"/>
    </row>
    <row r="264">
      <c r="G264" s="280"/>
      <c r="H264" s="280"/>
    </row>
    <row r="265">
      <c r="G265" s="280"/>
      <c r="H265" s="280"/>
    </row>
    <row r="266">
      <c r="G266" s="280"/>
      <c r="H266" s="280"/>
    </row>
    <row r="267">
      <c r="G267" s="280"/>
      <c r="H267" s="280"/>
    </row>
    <row r="268">
      <c r="G268" s="280"/>
      <c r="H268" s="280"/>
    </row>
    <row r="269">
      <c r="G269" s="280"/>
      <c r="H269" s="280"/>
    </row>
    <row r="270">
      <c r="G270" s="280"/>
      <c r="H270" s="280"/>
    </row>
    <row r="271">
      <c r="G271" s="280"/>
      <c r="H271" s="280"/>
    </row>
    <row r="272">
      <c r="G272" s="280"/>
      <c r="H272" s="280"/>
    </row>
    <row r="273">
      <c r="G273" s="280"/>
      <c r="H273" s="280"/>
    </row>
    <row r="274">
      <c r="G274" s="280"/>
      <c r="H274" s="280"/>
    </row>
    <row r="275">
      <c r="G275" s="280"/>
      <c r="H275" s="280"/>
    </row>
    <row r="276">
      <c r="G276" s="280"/>
      <c r="H276" s="280"/>
    </row>
    <row r="277">
      <c r="G277" s="280"/>
      <c r="H277" s="280"/>
    </row>
    <row r="278">
      <c r="G278" s="280"/>
      <c r="H278" s="280"/>
    </row>
    <row r="279">
      <c r="G279" s="280"/>
      <c r="H279" s="280"/>
    </row>
    <row r="280">
      <c r="G280" s="280"/>
      <c r="H280" s="280"/>
    </row>
    <row r="281">
      <c r="G281" s="280"/>
      <c r="H281" s="280"/>
    </row>
    <row r="282">
      <c r="G282" s="280"/>
      <c r="H282" s="280"/>
    </row>
    <row r="283">
      <c r="G283" s="280"/>
      <c r="H283" s="280"/>
    </row>
    <row r="284">
      <c r="G284" s="280"/>
      <c r="H284" s="280"/>
    </row>
    <row r="285">
      <c r="G285" s="280"/>
      <c r="H285" s="280"/>
    </row>
    <row r="286">
      <c r="G286" s="280"/>
      <c r="H286" s="280"/>
    </row>
    <row r="287">
      <c r="G287" s="280"/>
      <c r="H287" s="280"/>
    </row>
    <row r="288">
      <c r="G288" s="280"/>
      <c r="H288" s="280"/>
    </row>
    <row r="289">
      <c r="G289" s="280"/>
      <c r="H289" s="280"/>
    </row>
    <row r="290">
      <c r="G290" s="280"/>
      <c r="H290" s="280"/>
    </row>
    <row r="291">
      <c r="G291" s="280"/>
      <c r="H291" s="280"/>
    </row>
    <row r="292">
      <c r="G292" s="280"/>
      <c r="H292" s="280"/>
    </row>
    <row r="293">
      <c r="G293" s="280"/>
      <c r="H293" s="280"/>
    </row>
    <row r="294">
      <c r="G294" s="280"/>
      <c r="H294" s="280"/>
    </row>
    <row r="295">
      <c r="G295" s="280"/>
      <c r="H295" s="280"/>
    </row>
    <row r="296">
      <c r="G296" s="280"/>
      <c r="H296" s="280"/>
    </row>
    <row r="297">
      <c r="G297" s="280"/>
      <c r="H297" s="280"/>
    </row>
    <row r="298">
      <c r="G298" s="280"/>
      <c r="H298" s="280"/>
    </row>
    <row r="299">
      <c r="G299" s="280"/>
      <c r="H299" s="280"/>
    </row>
    <row r="300">
      <c r="G300" s="280"/>
      <c r="H300" s="280"/>
    </row>
    <row r="301">
      <c r="G301" s="280"/>
      <c r="H301" s="280"/>
    </row>
    <row r="302">
      <c r="G302" s="280"/>
      <c r="H302" s="280"/>
    </row>
    <row r="303">
      <c r="G303" s="280"/>
      <c r="H303" s="280"/>
    </row>
    <row r="304">
      <c r="G304" s="280"/>
      <c r="H304" s="280"/>
    </row>
    <row r="305">
      <c r="G305" s="280"/>
      <c r="H305" s="280"/>
    </row>
    <row r="306">
      <c r="G306" s="280"/>
      <c r="H306" s="280"/>
    </row>
    <row r="307">
      <c r="G307" s="280"/>
      <c r="H307" s="280"/>
    </row>
    <row r="308">
      <c r="G308" s="280"/>
      <c r="H308" s="280"/>
    </row>
    <row r="309">
      <c r="G309" s="280"/>
      <c r="H309" s="280"/>
    </row>
    <row r="310">
      <c r="G310" s="280"/>
      <c r="H310" s="280"/>
    </row>
    <row r="311">
      <c r="G311" s="280"/>
      <c r="H311" s="280"/>
    </row>
    <row r="312">
      <c r="G312" s="280"/>
      <c r="H312" s="280"/>
    </row>
    <row r="313">
      <c r="G313" s="280"/>
      <c r="H313" s="280"/>
    </row>
    <row r="314">
      <c r="G314" s="280"/>
      <c r="H314" s="280"/>
    </row>
    <row r="315">
      <c r="G315" s="280"/>
      <c r="H315" s="280"/>
    </row>
    <row r="316">
      <c r="G316" s="280"/>
      <c r="H316" s="280"/>
    </row>
    <row r="317">
      <c r="G317" s="280"/>
      <c r="H317" s="280"/>
    </row>
    <row r="318">
      <c r="G318" s="280"/>
      <c r="H318" s="280"/>
    </row>
    <row r="319">
      <c r="G319" s="280"/>
      <c r="H319" s="280"/>
    </row>
    <row r="320">
      <c r="G320" s="280"/>
      <c r="H320" s="280"/>
    </row>
    <row r="321">
      <c r="G321" s="280"/>
      <c r="H321" s="280"/>
    </row>
    <row r="322">
      <c r="G322" s="280"/>
      <c r="H322" s="280"/>
    </row>
    <row r="323">
      <c r="G323" s="280"/>
      <c r="H323" s="280"/>
    </row>
    <row r="324">
      <c r="G324" s="280"/>
      <c r="H324" s="280"/>
    </row>
    <row r="325">
      <c r="G325" s="280"/>
      <c r="H325" s="280"/>
    </row>
    <row r="326">
      <c r="G326" s="280"/>
      <c r="H326" s="280"/>
    </row>
    <row r="327">
      <c r="G327" s="280"/>
      <c r="H327" s="280"/>
    </row>
    <row r="328">
      <c r="G328" s="280"/>
      <c r="H328" s="280"/>
    </row>
    <row r="329">
      <c r="G329" s="280"/>
      <c r="H329" s="280"/>
    </row>
    <row r="330">
      <c r="G330" s="280"/>
      <c r="H330" s="280"/>
    </row>
    <row r="331">
      <c r="G331" s="280"/>
      <c r="H331" s="280"/>
    </row>
    <row r="332">
      <c r="G332" s="280"/>
      <c r="H332" s="280"/>
    </row>
    <row r="333">
      <c r="G333" s="280"/>
      <c r="H333" s="280"/>
    </row>
    <row r="334">
      <c r="G334" s="280"/>
      <c r="H334" s="280"/>
    </row>
    <row r="335">
      <c r="G335" s="280"/>
      <c r="H335" s="280"/>
    </row>
    <row r="336">
      <c r="G336" s="280"/>
      <c r="H336" s="280"/>
    </row>
    <row r="337">
      <c r="G337" s="280"/>
      <c r="H337" s="280"/>
    </row>
    <row r="338">
      <c r="G338" s="280"/>
      <c r="H338" s="280"/>
    </row>
    <row r="339">
      <c r="G339" s="280"/>
      <c r="H339" s="280"/>
    </row>
    <row r="340">
      <c r="G340" s="280"/>
      <c r="H340" s="280"/>
    </row>
    <row r="341">
      <c r="G341" s="280"/>
      <c r="H341" s="280"/>
    </row>
    <row r="342">
      <c r="G342" s="280"/>
      <c r="H342" s="280"/>
    </row>
    <row r="343">
      <c r="G343" s="280"/>
      <c r="H343" s="280"/>
    </row>
    <row r="344">
      <c r="G344" s="280"/>
      <c r="H344" s="280"/>
    </row>
    <row r="345">
      <c r="G345" s="280"/>
      <c r="H345" s="280"/>
    </row>
    <row r="346">
      <c r="G346" s="280"/>
      <c r="H346" s="280"/>
    </row>
    <row r="347">
      <c r="G347" s="280"/>
      <c r="H347" s="280"/>
    </row>
    <row r="348">
      <c r="G348" s="280"/>
      <c r="H348" s="280"/>
    </row>
    <row r="349">
      <c r="G349" s="280"/>
      <c r="H349" s="280"/>
    </row>
    <row r="350">
      <c r="G350" s="280"/>
      <c r="H350" s="280"/>
    </row>
    <row r="351">
      <c r="G351" s="280"/>
      <c r="H351" s="280"/>
    </row>
    <row r="352">
      <c r="G352" s="280"/>
      <c r="H352" s="280"/>
    </row>
    <row r="353">
      <c r="G353" s="280"/>
      <c r="H353" s="280"/>
    </row>
    <row r="354">
      <c r="G354" s="280"/>
      <c r="H354" s="280"/>
    </row>
    <row r="355">
      <c r="G355" s="280"/>
      <c r="H355" s="280"/>
    </row>
    <row r="356">
      <c r="G356" s="280"/>
      <c r="H356" s="280"/>
    </row>
    <row r="357">
      <c r="G357" s="280"/>
      <c r="H357" s="280"/>
    </row>
    <row r="358">
      <c r="G358" s="280"/>
      <c r="H358" s="280"/>
    </row>
    <row r="359">
      <c r="G359" s="280"/>
      <c r="H359" s="280"/>
    </row>
    <row r="360">
      <c r="G360" s="280"/>
      <c r="H360" s="280"/>
    </row>
    <row r="361">
      <c r="G361" s="280"/>
      <c r="H361" s="280"/>
    </row>
    <row r="362">
      <c r="G362" s="280"/>
      <c r="H362" s="280"/>
    </row>
    <row r="363">
      <c r="G363" s="280"/>
      <c r="H363" s="280"/>
    </row>
    <row r="364">
      <c r="G364" s="280"/>
      <c r="H364" s="280"/>
    </row>
    <row r="365">
      <c r="G365" s="280"/>
      <c r="H365" s="280"/>
    </row>
    <row r="366">
      <c r="G366" s="280"/>
      <c r="H366" s="280"/>
    </row>
    <row r="367">
      <c r="G367" s="280"/>
      <c r="H367" s="280"/>
    </row>
    <row r="368">
      <c r="G368" s="280"/>
      <c r="H368" s="280"/>
    </row>
    <row r="369">
      <c r="G369" s="280"/>
      <c r="H369" s="280"/>
    </row>
    <row r="370">
      <c r="G370" s="280"/>
      <c r="H370" s="280"/>
    </row>
    <row r="371">
      <c r="G371" s="280"/>
      <c r="H371" s="280"/>
    </row>
    <row r="372">
      <c r="G372" s="280"/>
      <c r="H372" s="280"/>
    </row>
    <row r="373">
      <c r="G373" s="280"/>
      <c r="H373" s="280"/>
    </row>
    <row r="374">
      <c r="G374" s="280"/>
      <c r="H374" s="280"/>
    </row>
    <row r="375">
      <c r="G375" s="280"/>
      <c r="H375" s="280"/>
    </row>
    <row r="376">
      <c r="G376" s="280"/>
      <c r="H376" s="280"/>
    </row>
    <row r="377">
      <c r="G377" s="280"/>
      <c r="H377" s="280"/>
    </row>
    <row r="378">
      <c r="G378" s="280"/>
      <c r="H378" s="280"/>
    </row>
    <row r="379">
      <c r="G379" s="280"/>
      <c r="H379" s="280"/>
    </row>
    <row r="380">
      <c r="G380" s="280"/>
      <c r="H380" s="280"/>
    </row>
    <row r="381">
      <c r="G381" s="280"/>
      <c r="H381" s="280"/>
    </row>
    <row r="382">
      <c r="G382" s="280"/>
      <c r="H382" s="280"/>
    </row>
    <row r="383">
      <c r="G383" s="280"/>
      <c r="H383" s="280"/>
    </row>
    <row r="384">
      <c r="G384" s="280"/>
      <c r="H384" s="280"/>
    </row>
    <row r="385">
      <c r="G385" s="280"/>
      <c r="H385" s="280"/>
    </row>
    <row r="386">
      <c r="G386" s="280"/>
      <c r="H386" s="280"/>
    </row>
    <row r="387">
      <c r="G387" s="280"/>
      <c r="H387" s="280"/>
    </row>
    <row r="388">
      <c r="G388" s="280"/>
      <c r="H388" s="280"/>
    </row>
    <row r="389">
      <c r="G389" s="280"/>
      <c r="H389" s="280"/>
    </row>
    <row r="390">
      <c r="G390" s="280"/>
      <c r="H390" s="280"/>
    </row>
    <row r="391">
      <c r="G391" s="280"/>
      <c r="H391" s="280"/>
    </row>
    <row r="392">
      <c r="G392" s="280"/>
      <c r="H392" s="280"/>
    </row>
    <row r="393">
      <c r="G393" s="280"/>
      <c r="H393" s="280"/>
    </row>
    <row r="394">
      <c r="G394" s="280"/>
      <c r="H394" s="280"/>
    </row>
    <row r="395">
      <c r="G395" s="280"/>
      <c r="H395" s="280"/>
    </row>
    <row r="396">
      <c r="G396" s="280"/>
      <c r="H396" s="280"/>
    </row>
    <row r="397">
      <c r="G397" s="280"/>
      <c r="H397" s="280"/>
    </row>
    <row r="398">
      <c r="G398" s="280"/>
      <c r="H398" s="280"/>
    </row>
    <row r="399">
      <c r="G399" s="280"/>
      <c r="H399" s="280"/>
    </row>
    <row r="400">
      <c r="G400" s="280"/>
      <c r="H400" s="280"/>
    </row>
    <row r="401">
      <c r="G401" s="280"/>
      <c r="H401" s="280"/>
    </row>
    <row r="402">
      <c r="G402" s="280"/>
      <c r="H402" s="280"/>
    </row>
    <row r="403">
      <c r="G403" s="280"/>
      <c r="H403" s="280"/>
    </row>
    <row r="404">
      <c r="G404" s="280"/>
      <c r="H404" s="280"/>
    </row>
    <row r="405">
      <c r="G405" s="280"/>
      <c r="H405" s="280"/>
    </row>
    <row r="406">
      <c r="G406" s="280"/>
      <c r="H406" s="280"/>
    </row>
    <row r="407">
      <c r="G407" s="280"/>
      <c r="H407" s="280"/>
    </row>
    <row r="408">
      <c r="G408" s="280"/>
      <c r="H408" s="280"/>
    </row>
    <row r="409">
      <c r="G409" s="280"/>
      <c r="H409" s="280"/>
    </row>
    <row r="410">
      <c r="G410" s="280"/>
      <c r="H410" s="280"/>
    </row>
    <row r="411">
      <c r="G411" s="280"/>
      <c r="H411" s="280"/>
    </row>
    <row r="412">
      <c r="G412" s="280"/>
      <c r="H412" s="280"/>
    </row>
    <row r="413">
      <c r="G413" s="280"/>
      <c r="H413" s="280"/>
    </row>
    <row r="414">
      <c r="G414" s="280"/>
      <c r="H414" s="280"/>
    </row>
    <row r="415">
      <c r="G415" s="280"/>
      <c r="H415" s="280"/>
    </row>
    <row r="416">
      <c r="G416" s="280"/>
      <c r="H416" s="280"/>
    </row>
    <row r="417">
      <c r="G417" s="280"/>
      <c r="H417" s="280"/>
    </row>
    <row r="418">
      <c r="G418" s="280"/>
      <c r="H418" s="280"/>
    </row>
    <row r="419">
      <c r="G419" s="280"/>
      <c r="H419" s="280"/>
    </row>
    <row r="420">
      <c r="G420" s="280"/>
      <c r="H420" s="280"/>
    </row>
    <row r="421">
      <c r="G421" s="280"/>
      <c r="H421" s="280"/>
    </row>
    <row r="422">
      <c r="G422" s="280"/>
      <c r="H422" s="280"/>
    </row>
    <row r="423">
      <c r="G423" s="280"/>
      <c r="H423" s="280"/>
    </row>
    <row r="424">
      <c r="G424" s="280"/>
      <c r="H424" s="280"/>
    </row>
    <row r="425">
      <c r="G425" s="280"/>
      <c r="H425" s="280"/>
    </row>
    <row r="426">
      <c r="G426" s="280"/>
      <c r="H426" s="280"/>
    </row>
    <row r="427">
      <c r="G427" s="280"/>
      <c r="H427" s="280"/>
    </row>
    <row r="428">
      <c r="G428" s="280"/>
      <c r="H428" s="280"/>
    </row>
    <row r="429">
      <c r="G429" s="280"/>
      <c r="H429" s="280"/>
    </row>
    <row r="430">
      <c r="G430" s="280"/>
      <c r="H430" s="280"/>
    </row>
    <row r="431">
      <c r="G431" s="280"/>
      <c r="H431" s="280"/>
    </row>
    <row r="432">
      <c r="G432" s="280"/>
      <c r="H432" s="280"/>
    </row>
    <row r="433">
      <c r="G433" s="280"/>
      <c r="H433" s="280"/>
    </row>
    <row r="434">
      <c r="G434" s="280"/>
      <c r="H434" s="280"/>
    </row>
    <row r="435">
      <c r="G435" s="280"/>
      <c r="H435" s="280"/>
    </row>
    <row r="436">
      <c r="G436" s="280"/>
      <c r="H436" s="280"/>
    </row>
    <row r="437">
      <c r="G437" s="280"/>
      <c r="H437" s="280"/>
    </row>
    <row r="438">
      <c r="G438" s="280"/>
      <c r="H438" s="280"/>
    </row>
    <row r="439">
      <c r="G439" s="280"/>
      <c r="H439" s="280"/>
    </row>
    <row r="440">
      <c r="G440" s="280"/>
      <c r="H440" s="280"/>
    </row>
    <row r="441">
      <c r="G441" s="280"/>
      <c r="H441" s="280"/>
    </row>
    <row r="442">
      <c r="G442" s="280"/>
      <c r="H442" s="280"/>
    </row>
    <row r="443">
      <c r="G443" s="280"/>
      <c r="H443" s="280"/>
    </row>
    <row r="444">
      <c r="G444" s="280"/>
      <c r="H444" s="280"/>
    </row>
    <row r="445">
      <c r="G445" s="280"/>
      <c r="H445" s="280"/>
    </row>
    <row r="446">
      <c r="G446" s="280"/>
      <c r="H446" s="280"/>
    </row>
    <row r="447">
      <c r="G447" s="280"/>
      <c r="H447" s="280"/>
    </row>
    <row r="448">
      <c r="G448" s="280"/>
      <c r="H448" s="280"/>
    </row>
    <row r="449">
      <c r="G449" s="280"/>
      <c r="H449" s="280"/>
    </row>
    <row r="450">
      <c r="G450" s="280"/>
      <c r="H450" s="280"/>
    </row>
    <row r="451">
      <c r="G451" s="280"/>
      <c r="H451" s="280"/>
    </row>
    <row r="452">
      <c r="G452" s="280"/>
      <c r="H452" s="280"/>
    </row>
    <row r="453">
      <c r="G453" s="280"/>
      <c r="H453" s="280"/>
    </row>
    <row r="454">
      <c r="G454" s="280"/>
      <c r="H454" s="280"/>
    </row>
    <row r="455">
      <c r="G455" s="280"/>
      <c r="H455" s="280"/>
    </row>
    <row r="456">
      <c r="G456" s="280"/>
      <c r="H456" s="280"/>
    </row>
    <row r="457">
      <c r="G457" s="280"/>
      <c r="H457" s="280"/>
    </row>
    <row r="458">
      <c r="G458" s="280"/>
      <c r="H458" s="280"/>
    </row>
    <row r="459">
      <c r="G459" s="280"/>
      <c r="H459" s="280"/>
    </row>
    <row r="460">
      <c r="G460" s="280"/>
      <c r="H460" s="280"/>
    </row>
    <row r="461">
      <c r="G461" s="280"/>
      <c r="H461" s="280"/>
    </row>
    <row r="462">
      <c r="G462" s="280"/>
      <c r="H462" s="280"/>
    </row>
    <row r="463">
      <c r="G463" s="280"/>
      <c r="H463" s="280"/>
    </row>
    <row r="464">
      <c r="G464" s="280"/>
      <c r="H464" s="280"/>
    </row>
    <row r="465">
      <c r="G465" s="280"/>
      <c r="H465" s="280"/>
    </row>
    <row r="466">
      <c r="G466" s="280"/>
      <c r="H466" s="280"/>
    </row>
    <row r="467">
      <c r="G467" s="280"/>
      <c r="H467" s="280"/>
    </row>
    <row r="468">
      <c r="G468" s="280"/>
      <c r="H468" s="280"/>
    </row>
    <row r="469">
      <c r="G469" s="280"/>
      <c r="H469" s="280"/>
    </row>
    <row r="470">
      <c r="G470" s="280"/>
      <c r="H470" s="280"/>
    </row>
    <row r="471">
      <c r="G471" s="280"/>
      <c r="H471" s="280"/>
    </row>
    <row r="472">
      <c r="G472" s="280"/>
      <c r="H472" s="280"/>
    </row>
    <row r="473">
      <c r="G473" s="280"/>
      <c r="H473" s="280"/>
    </row>
    <row r="474">
      <c r="G474" s="280"/>
      <c r="H474" s="280"/>
    </row>
    <row r="475">
      <c r="G475" s="280"/>
      <c r="H475" s="280"/>
    </row>
    <row r="476">
      <c r="G476" s="280"/>
      <c r="H476" s="280"/>
    </row>
    <row r="477">
      <c r="G477" s="280"/>
      <c r="H477" s="280"/>
    </row>
    <row r="478">
      <c r="G478" s="280"/>
      <c r="H478" s="280"/>
    </row>
    <row r="479">
      <c r="G479" s="280"/>
      <c r="H479" s="280"/>
    </row>
    <row r="480">
      <c r="G480" s="280"/>
      <c r="H480" s="280"/>
    </row>
    <row r="481">
      <c r="G481" s="280"/>
      <c r="H481" s="280"/>
    </row>
    <row r="482">
      <c r="G482" s="280"/>
      <c r="H482" s="280"/>
    </row>
    <row r="483">
      <c r="G483" s="280"/>
      <c r="H483" s="280"/>
    </row>
    <row r="484">
      <c r="G484" s="280"/>
      <c r="H484" s="280"/>
    </row>
    <row r="485">
      <c r="G485" s="280"/>
      <c r="H485" s="280"/>
    </row>
    <row r="486">
      <c r="G486" s="280"/>
      <c r="H486" s="280"/>
    </row>
    <row r="487">
      <c r="G487" s="280"/>
      <c r="H487" s="280"/>
    </row>
    <row r="488">
      <c r="G488" s="280"/>
      <c r="H488" s="280"/>
    </row>
    <row r="489">
      <c r="G489" s="280"/>
      <c r="H489" s="280"/>
    </row>
    <row r="490">
      <c r="G490" s="280"/>
      <c r="H490" s="280"/>
    </row>
    <row r="491">
      <c r="G491" s="280"/>
      <c r="H491" s="280"/>
    </row>
    <row r="492">
      <c r="G492" s="280"/>
      <c r="H492" s="280"/>
    </row>
    <row r="493">
      <c r="G493" s="280"/>
      <c r="H493" s="280"/>
    </row>
    <row r="494">
      <c r="G494" s="280"/>
      <c r="H494" s="280"/>
    </row>
    <row r="495">
      <c r="G495" s="280"/>
      <c r="H495" s="280"/>
    </row>
    <row r="496">
      <c r="G496" s="280"/>
      <c r="H496" s="280"/>
    </row>
    <row r="497">
      <c r="G497" s="280"/>
      <c r="H497" s="280"/>
    </row>
    <row r="498">
      <c r="G498" s="280"/>
      <c r="H498" s="280"/>
    </row>
    <row r="499">
      <c r="G499" s="280"/>
      <c r="H499" s="280"/>
    </row>
    <row r="500">
      <c r="G500" s="280"/>
      <c r="H500" s="280"/>
    </row>
    <row r="501">
      <c r="G501" s="280"/>
      <c r="H501" s="280"/>
    </row>
    <row r="502">
      <c r="G502" s="280"/>
      <c r="H502" s="280"/>
    </row>
    <row r="503">
      <c r="G503" s="280"/>
      <c r="H503" s="280"/>
    </row>
    <row r="504">
      <c r="G504" s="280"/>
      <c r="H504" s="280"/>
    </row>
    <row r="505">
      <c r="G505" s="280"/>
      <c r="H505" s="280"/>
    </row>
    <row r="506">
      <c r="G506" s="280"/>
      <c r="H506" s="280"/>
    </row>
    <row r="507">
      <c r="G507" s="280"/>
      <c r="H507" s="280"/>
    </row>
    <row r="508">
      <c r="G508" s="280"/>
      <c r="H508" s="280"/>
    </row>
    <row r="509">
      <c r="G509" s="280"/>
      <c r="H509" s="280"/>
    </row>
    <row r="510">
      <c r="G510" s="280"/>
      <c r="H510" s="280"/>
    </row>
    <row r="511">
      <c r="G511" s="280"/>
      <c r="H511" s="280"/>
    </row>
    <row r="512">
      <c r="G512" s="280"/>
      <c r="H512" s="280"/>
    </row>
    <row r="513">
      <c r="G513" s="280"/>
      <c r="H513" s="280"/>
    </row>
    <row r="514">
      <c r="G514" s="280"/>
      <c r="H514" s="280"/>
    </row>
    <row r="515">
      <c r="G515" s="280"/>
      <c r="H515" s="280"/>
    </row>
    <row r="516">
      <c r="G516" s="280"/>
      <c r="H516" s="280"/>
    </row>
    <row r="517">
      <c r="G517" s="280"/>
      <c r="H517" s="280"/>
    </row>
    <row r="518">
      <c r="G518" s="280"/>
      <c r="H518" s="280"/>
    </row>
    <row r="519">
      <c r="G519" s="280"/>
      <c r="H519" s="280"/>
    </row>
    <row r="520">
      <c r="G520" s="280"/>
      <c r="H520" s="280"/>
    </row>
    <row r="521">
      <c r="G521" s="280"/>
      <c r="H521" s="280"/>
    </row>
    <row r="522">
      <c r="G522" s="280"/>
      <c r="H522" s="280"/>
    </row>
    <row r="523">
      <c r="G523" s="280"/>
      <c r="H523" s="280"/>
    </row>
    <row r="524">
      <c r="G524" s="280"/>
      <c r="H524" s="280"/>
    </row>
    <row r="525">
      <c r="G525" s="280"/>
      <c r="H525" s="280"/>
    </row>
    <row r="526">
      <c r="G526" s="280"/>
      <c r="H526" s="280"/>
    </row>
    <row r="527">
      <c r="G527" s="280"/>
      <c r="H527" s="280"/>
    </row>
    <row r="528">
      <c r="G528" s="280"/>
      <c r="H528" s="280"/>
    </row>
    <row r="529">
      <c r="G529" s="280"/>
      <c r="H529" s="280"/>
    </row>
    <row r="530">
      <c r="G530" s="280"/>
      <c r="H530" s="280"/>
    </row>
    <row r="531">
      <c r="G531" s="280"/>
      <c r="H531" s="280"/>
    </row>
    <row r="532">
      <c r="G532" s="280"/>
      <c r="H532" s="280"/>
    </row>
    <row r="533">
      <c r="G533" s="280"/>
      <c r="H533" s="280"/>
    </row>
    <row r="534">
      <c r="G534" s="280"/>
      <c r="H534" s="280"/>
    </row>
    <row r="535">
      <c r="G535" s="280"/>
      <c r="H535" s="280"/>
    </row>
    <row r="536">
      <c r="G536" s="280"/>
      <c r="H536" s="280"/>
    </row>
    <row r="537">
      <c r="G537" s="280"/>
      <c r="H537" s="280"/>
    </row>
    <row r="538">
      <c r="G538" s="280"/>
      <c r="H538" s="280"/>
    </row>
    <row r="539">
      <c r="G539" s="280"/>
      <c r="H539" s="280"/>
    </row>
    <row r="540">
      <c r="G540" s="280"/>
      <c r="H540" s="280"/>
    </row>
    <row r="541">
      <c r="G541" s="280"/>
      <c r="H541" s="280"/>
    </row>
    <row r="542">
      <c r="G542" s="280"/>
      <c r="H542" s="280"/>
    </row>
    <row r="543">
      <c r="G543" s="280"/>
      <c r="H543" s="280"/>
    </row>
    <row r="544">
      <c r="G544" s="280"/>
      <c r="H544" s="280"/>
    </row>
    <row r="545">
      <c r="G545" s="280"/>
      <c r="H545" s="280"/>
    </row>
    <row r="546">
      <c r="G546" s="280"/>
      <c r="H546" s="280"/>
    </row>
    <row r="547">
      <c r="G547" s="280"/>
      <c r="H547" s="280"/>
    </row>
    <row r="548">
      <c r="G548" s="280"/>
      <c r="H548" s="280"/>
    </row>
    <row r="549">
      <c r="G549" s="280"/>
      <c r="H549" s="280"/>
    </row>
    <row r="550">
      <c r="G550" s="280"/>
      <c r="H550" s="280"/>
    </row>
    <row r="551">
      <c r="G551" s="280"/>
      <c r="H551" s="280"/>
    </row>
    <row r="552">
      <c r="G552" s="280"/>
      <c r="H552" s="280"/>
    </row>
    <row r="553">
      <c r="G553" s="280"/>
      <c r="H553" s="280"/>
    </row>
    <row r="554">
      <c r="G554" s="280"/>
      <c r="H554" s="280"/>
    </row>
    <row r="555">
      <c r="G555" s="280"/>
      <c r="H555" s="280"/>
    </row>
    <row r="556">
      <c r="G556" s="280"/>
      <c r="H556" s="280"/>
    </row>
    <row r="557">
      <c r="G557" s="280"/>
      <c r="H557" s="280"/>
    </row>
    <row r="558">
      <c r="G558" s="280"/>
      <c r="H558" s="280"/>
    </row>
    <row r="559">
      <c r="G559" s="280"/>
      <c r="H559" s="280"/>
    </row>
    <row r="560">
      <c r="G560" s="280"/>
      <c r="H560" s="280"/>
    </row>
    <row r="561">
      <c r="G561" s="280"/>
      <c r="H561" s="280"/>
    </row>
    <row r="562">
      <c r="G562" s="280"/>
      <c r="H562" s="280"/>
    </row>
    <row r="563">
      <c r="G563" s="280"/>
      <c r="H563" s="280"/>
    </row>
    <row r="564">
      <c r="G564" s="280"/>
      <c r="H564" s="280"/>
    </row>
    <row r="565">
      <c r="G565" s="280"/>
      <c r="H565" s="280"/>
    </row>
    <row r="566">
      <c r="G566" s="280"/>
      <c r="H566" s="280"/>
    </row>
    <row r="567">
      <c r="G567" s="280"/>
      <c r="H567" s="280"/>
    </row>
    <row r="568">
      <c r="G568" s="280"/>
      <c r="H568" s="280"/>
    </row>
    <row r="569">
      <c r="G569" s="280"/>
      <c r="H569" s="280"/>
    </row>
    <row r="570">
      <c r="G570" s="280"/>
      <c r="H570" s="280"/>
    </row>
    <row r="571">
      <c r="G571" s="280"/>
      <c r="H571" s="280"/>
    </row>
    <row r="572">
      <c r="G572" s="280"/>
      <c r="H572" s="280"/>
    </row>
    <row r="573">
      <c r="G573" s="280"/>
      <c r="H573" s="280"/>
    </row>
    <row r="574">
      <c r="G574" s="280"/>
      <c r="H574" s="280"/>
    </row>
    <row r="575">
      <c r="G575" s="280"/>
      <c r="H575" s="280"/>
    </row>
    <row r="576">
      <c r="G576" s="280"/>
      <c r="H576" s="280"/>
    </row>
    <row r="577">
      <c r="G577" s="280"/>
      <c r="H577" s="280"/>
    </row>
    <row r="578">
      <c r="G578" s="280"/>
      <c r="H578" s="280"/>
    </row>
    <row r="579">
      <c r="G579" s="280"/>
      <c r="H579" s="280"/>
    </row>
    <row r="580">
      <c r="G580" s="280"/>
      <c r="H580" s="280"/>
    </row>
    <row r="581">
      <c r="G581" s="280"/>
      <c r="H581" s="280"/>
    </row>
    <row r="582">
      <c r="G582" s="280"/>
      <c r="H582" s="280"/>
    </row>
    <row r="583">
      <c r="G583" s="280"/>
      <c r="H583" s="280"/>
    </row>
    <row r="584">
      <c r="G584" s="280"/>
      <c r="H584" s="280"/>
    </row>
    <row r="585">
      <c r="G585" s="280"/>
      <c r="H585" s="280"/>
    </row>
    <row r="586">
      <c r="G586" s="280"/>
      <c r="H586" s="280"/>
    </row>
    <row r="587">
      <c r="G587" s="280"/>
      <c r="H587" s="280"/>
    </row>
    <row r="588">
      <c r="G588" s="280"/>
      <c r="H588" s="280"/>
    </row>
    <row r="589">
      <c r="G589" s="280"/>
      <c r="H589" s="280"/>
    </row>
    <row r="590">
      <c r="G590" s="280"/>
      <c r="H590" s="280"/>
    </row>
    <row r="591">
      <c r="G591" s="280"/>
      <c r="H591" s="280"/>
    </row>
    <row r="592">
      <c r="G592" s="280"/>
      <c r="H592" s="280"/>
    </row>
    <row r="593">
      <c r="G593" s="280"/>
      <c r="H593" s="280"/>
    </row>
    <row r="594">
      <c r="G594" s="280"/>
      <c r="H594" s="280"/>
    </row>
    <row r="595">
      <c r="G595" s="280"/>
      <c r="H595" s="280"/>
    </row>
    <row r="596">
      <c r="G596" s="280"/>
      <c r="H596" s="280"/>
    </row>
    <row r="597">
      <c r="G597" s="280"/>
      <c r="H597" s="280"/>
    </row>
    <row r="598">
      <c r="G598" s="280"/>
      <c r="H598" s="280"/>
    </row>
    <row r="599">
      <c r="G599" s="280"/>
      <c r="H599" s="280"/>
    </row>
    <row r="600">
      <c r="G600" s="280"/>
      <c r="H600" s="280"/>
    </row>
    <row r="601">
      <c r="G601" s="280"/>
      <c r="H601" s="280"/>
    </row>
    <row r="602">
      <c r="G602" s="280"/>
      <c r="H602" s="280"/>
    </row>
    <row r="603">
      <c r="G603" s="280"/>
      <c r="H603" s="280"/>
    </row>
    <row r="604">
      <c r="G604" s="280"/>
      <c r="H604" s="280"/>
    </row>
    <row r="605">
      <c r="G605" s="280"/>
      <c r="H605" s="280"/>
    </row>
    <row r="606">
      <c r="G606" s="280"/>
      <c r="H606" s="280"/>
    </row>
    <row r="607">
      <c r="G607" s="280"/>
      <c r="H607" s="280"/>
    </row>
    <row r="608">
      <c r="G608" s="280"/>
      <c r="H608" s="280"/>
    </row>
    <row r="609">
      <c r="G609" s="280"/>
      <c r="H609" s="280"/>
    </row>
    <row r="610">
      <c r="G610" s="280"/>
      <c r="H610" s="280"/>
    </row>
    <row r="611">
      <c r="G611" s="280"/>
      <c r="H611" s="280"/>
    </row>
    <row r="612">
      <c r="G612" s="280"/>
      <c r="H612" s="280"/>
    </row>
    <row r="613">
      <c r="G613" s="280"/>
      <c r="H613" s="280"/>
    </row>
    <row r="614">
      <c r="G614" s="280"/>
      <c r="H614" s="280"/>
    </row>
    <row r="615">
      <c r="G615" s="280"/>
      <c r="H615" s="280"/>
    </row>
    <row r="616">
      <c r="G616" s="280"/>
      <c r="H616" s="280"/>
    </row>
    <row r="617">
      <c r="G617" s="280"/>
      <c r="H617" s="280"/>
    </row>
    <row r="618">
      <c r="G618" s="280"/>
      <c r="H618" s="280"/>
    </row>
    <row r="619">
      <c r="G619" s="280"/>
      <c r="H619" s="280"/>
    </row>
    <row r="620">
      <c r="G620" s="280"/>
      <c r="H620" s="280"/>
    </row>
    <row r="621">
      <c r="G621" s="280"/>
      <c r="H621" s="280"/>
    </row>
    <row r="622">
      <c r="G622" s="280"/>
      <c r="H622" s="280"/>
    </row>
    <row r="623">
      <c r="G623" s="280"/>
      <c r="H623" s="280"/>
    </row>
    <row r="624">
      <c r="G624" s="280"/>
      <c r="H624" s="280"/>
    </row>
    <row r="625">
      <c r="G625" s="280"/>
      <c r="H625" s="280"/>
    </row>
    <row r="626">
      <c r="G626" s="280"/>
      <c r="H626" s="280"/>
    </row>
    <row r="627">
      <c r="G627" s="280"/>
      <c r="H627" s="280"/>
    </row>
    <row r="628">
      <c r="G628" s="280"/>
      <c r="H628" s="280"/>
    </row>
    <row r="629">
      <c r="G629" s="280"/>
      <c r="H629" s="280"/>
    </row>
    <row r="630">
      <c r="G630" s="280"/>
      <c r="H630" s="280"/>
    </row>
    <row r="631">
      <c r="G631" s="280"/>
      <c r="H631" s="280"/>
    </row>
    <row r="632">
      <c r="G632" s="280"/>
      <c r="H632" s="280"/>
    </row>
    <row r="633">
      <c r="G633" s="280"/>
      <c r="H633" s="280"/>
    </row>
    <row r="634">
      <c r="G634" s="280"/>
      <c r="H634" s="280"/>
    </row>
    <row r="635">
      <c r="G635" s="280"/>
      <c r="H635" s="280"/>
    </row>
    <row r="636">
      <c r="G636" s="280"/>
      <c r="H636" s="280"/>
    </row>
    <row r="637">
      <c r="G637" s="280"/>
      <c r="H637" s="280"/>
    </row>
    <row r="638">
      <c r="G638" s="280"/>
      <c r="H638" s="280"/>
    </row>
    <row r="639">
      <c r="G639" s="280"/>
      <c r="H639" s="280"/>
    </row>
    <row r="640">
      <c r="G640" s="280"/>
      <c r="H640" s="280"/>
    </row>
    <row r="641">
      <c r="G641" s="280"/>
      <c r="H641" s="280"/>
    </row>
    <row r="642">
      <c r="G642" s="280"/>
      <c r="H642" s="280"/>
    </row>
    <row r="643">
      <c r="G643" s="280"/>
      <c r="H643" s="280"/>
    </row>
    <row r="644">
      <c r="G644" s="280"/>
      <c r="H644" s="280"/>
    </row>
    <row r="645">
      <c r="G645" s="280"/>
      <c r="H645" s="280"/>
    </row>
    <row r="646">
      <c r="G646" s="280"/>
      <c r="H646" s="280"/>
    </row>
    <row r="647">
      <c r="G647" s="280"/>
      <c r="H647" s="280"/>
    </row>
    <row r="648">
      <c r="G648" s="280"/>
      <c r="H648" s="280"/>
    </row>
    <row r="649">
      <c r="G649" s="280"/>
      <c r="H649" s="280"/>
    </row>
    <row r="650">
      <c r="G650" s="280"/>
      <c r="H650" s="280"/>
    </row>
    <row r="651">
      <c r="G651" s="280"/>
      <c r="H651" s="280"/>
    </row>
    <row r="652">
      <c r="G652" s="280"/>
      <c r="H652" s="280"/>
    </row>
    <row r="653">
      <c r="G653" s="280"/>
      <c r="H653" s="280"/>
    </row>
    <row r="654">
      <c r="G654" s="280"/>
      <c r="H654" s="280"/>
    </row>
    <row r="655">
      <c r="G655" s="280"/>
      <c r="H655" s="280"/>
    </row>
    <row r="656">
      <c r="G656" s="280"/>
      <c r="H656" s="280"/>
    </row>
    <row r="657">
      <c r="G657" s="280"/>
      <c r="H657" s="280"/>
    </row>
    <row r="658">
      <c r="G658" s="280"/>
      <c r="H658" s="280"/>
    </row>
    <row r="659">
      <c r="G659" s="280"/>
      <c r="H659" s="280"/>
    </row>
    <row r="660">
      <c r="G660" s="280"/>
      <c r="H660" s="280"/>
    </row>
    <row r="661">
      <c r="G661" s="280"/>
      <c r="H661" s="280"/>
    </row>
    <row r="662">
      <c r="G662" s="280"/>
      <c r="H662" s="280"/>
    </row>
    <row r="663">
      <c r="G663" s="280"/>
      <c r="H663" s="280"/>
    </row>
    <row r="664">
      <c r="G664" s="280"/>
      <c r="H664" s="280"/>
    </row>
    <row r="665">
      <c r="G665" s="280"/>
      <c r="H665" s="280"/>
    </row>
    <row r="666">
      <c r="G666" s="280"/>
      <c r="H666" s="280"/>
    </row>
    <row r="667">
      <c r="G667" s="280"/>
      <c r="H667" s="280"/>
    </row>
    <row r="668">
      <c r="G668" s="280"/>
      <c r="H668" s="280"/>
    </row>
    <row r="669">
      <c r="G669" s="280"/>
      <c r="H669" s="280"/>
    </row>
    <row r="670">
      <c r="G670" s="280"/>
      <c r="H670" s="280"/>
    </row>
    <row r="671">
      <c r="G671" s="280"/>
      <c r="H671" s="280"/>
    </row>
    <row r="672">
      <c r="G672" s="280"/>
      <c r="H672" s="280"/>
    </row>
    <row r="673">
      <c r="G673" s="280"/>
      <c r="H673" s="280"/>
    </row>
    <row r="674">
      <c r="G674" s="280"/>
      <c r="H674" s="280"/>
    </row>
    <row r="675">
      <c r="G675" s="280"/>
      <c r="H675" s="280"/>
    </row>
    <row r="676">
      <c r="G676" s="280"/>
      <c r="H676" s="280"/>
    </row>
    <row r="677">
      <c r="G677" s="280"/>
      <c r="H677" s="280"/>
    </row>
    <row r="678">
      <c r="G678" s="280"/>
      <c r="H678" s="280"/>
    </row>
    <row r="679">
      <c r="G679" s="280"/>
      <c r="H679" s="280"/>
    </row>
    <row r="680">
      <c r="G680" s="280"/>
      <c r="H680" s="280"/>
    </row>
    <row r="681">
      <c r="G681" s="280"/>
      <c r="H681" s="280"/>
    </row>
    <row r="682">
      <c r="G682" s="280"/>
      <c r="H682" s="280"/>
    </row>
    <row r="683">
      <c r="G683" s="280"/>
      <c r="H683" s="280"/>
    </row>
    <row r="684">
      <c r="G684" s="280"/>
      <c r="H684" s="280"/>
    </row>
    <row r="685">
      <c r="G685" s="280"/>
      <c r="H685" s="280"/>
    </row>
    <row r="686">
      <c r="G686" s="280"/>
      <c r="H686" s="280"/>
    </row>
    <row r="687">
      <c r="G687" s="280"/>
      <c r="H687" s="280"/>
    </row>
    <row r="688">
      <c r="G688" s="280"/>
      <c r="H688" s="280"/>
    </row>
    <row r="689">
      <c r="G689" s="280"/>
      <c r="H689" s="280"/>
    </row>
    <row r="690">
      <c r="G690" s="280"/>
      <c r="H690" s="280"/>
    </row>
    <row r="691">
      <c r="G691" s="280"/>
      <c r="H691" s="280"/>
    </row>
    <row r="692">
      <c r="G692" s="280"/>
      <c r="H692" s="280"/>
    </row>
    <row r="693">
      <c r="G693" s="280"/>
      <c r="H693" s="280"/>
    </row>
    <row r="694">
      <c r="G694" s="280"/>
      <c r="H694" s="280"/>
    </row>
    <row r="695">
      <c r="G695" s="280"/>
      <c r="H695" s="280"/>
    </row>
    <row r="696">
      <c r="G696" s="280"/>
      <c r="H696" s="280"/>
    </row>
    <row r="697">
      <c r="G697" s="280"/>
      <c r="H697" s="280"/>
    </row>
    <row r="698">
      <c r="G698" s="280"/>
      <c r="H698" s="280"/>
    </row>
    <row r="699">
      <c r="G699" s="280"/>
      <c r="H699" s="280"/>
    </row>
    <row r="700">
      <c r="G700" s="280"/>
      <c r="H700" s="280"/>
    </row>
    <row r="701">
      <c r="G701" s="280"/>
      <c r="H701" s="280"/>
    </row>
    <row r="702">
      <c r="G702" s="280"/>
      <c r="H702" s="280"/>
    </row>
    <row r="703">
      <c r="G703" s="280"/>
      <c r="H703" s="280"/>
    </row>
    <row r="704">
      <c r="G704" s="280"/>
      <c r="H704" s="280"/>
    </row>
    <row r="705">
      <c r="G705" s="280"/>
      <c r="H705" s="280"/>
    </row>
    <row r="706">
      <c r="G706" s="280"/>
      <c r="H706" s="280"/>
    </row>
    <row r="707">
      <c r="G707" s="280"/>
      <c r="H707" s="280"/>
    </row>
    <row r="708">
      <c r="G708" s="280"/>
      <c r="H708" s="280"/>
    </row>
    <row r="709">
      <c r="G709" s="280"/>
      <c r="H709" s="280"/>
    </row>
    <row r="710">
      <c r="G710" s="280"/>
      <c r="H710" s="280"/>
    </row>
    <row r="711">
      <c r="G711" s="280"/>
      <c r="H711" s="280"/>
    </row>
    <row r="712">
      <c r="G712" s="280"/>
      <c r="H712" s="280"/>
    </row>
    <row r="713">
      <c r="G713" s="280"/>
      <c r="H713" s="280"/>
    </row>
    <row r="714">
      <c r="G714" s="280"/>
      <c r="H714" s="280"/>
    </row>
    <row r="715">
      <c r="G715" s="280"/>
      <c r="H715" s="280"/>
    </row>
    <row r="716">
      <c r="G716" s="280"/>
      <c r="H716" s="280"/>
    </row>
    <row r="717">
      <c r="G717" s="280"/>
      <c r="H717" s="280"/>
    </row>
    <row r="718">
      <c r="G718" s="280"/>
      <c r="H718" s="280"/>
    </row>
    <row r="719">
      <c r="G719" s="280"/>
      <c r="H719" s="280"/>
    </row>
    <row r="720">
      <c r="G720" s="280"/>
      <c r="H720" s="280"/>
    </row>
    <row r="721">
      <c r="G721" s="280"/>
      <c r="H721" s="280"/>
    </row>
    <row r="722">
      <c r="G722" s="280"/>
      <c r="H722" s="280"/>
    </row>
    <row r="723">
      <c r="G723" s="280"/>
      <c r="H723" s="280"/>
    </row>
    <row r="724">
      <c r="G724" s="280"/>
      <c r="H724" s="280"/>
    </row>
    <row r="725">
      <c r="G725" s="280"/>
      <c r="H725" s="280"/>
    </row>
    <row r="726">
      <c r="G726" s="280"/>
      <c r="H726" s="280"/>
    </row>
    <row r="727">
      <c r="G727" s="280"/>
      <c r="H727" s="280"/>
    </row>
    <row r="728">
      <c r="G728" s="280"/>
      <c r="H728" s="280"/>
    </row>
    <row r="729">
      <c r="G729" s="280"/>
      <c r="H729" s="280"/>
    </row>
    <row r="730">
      <c r="G730" s="280"/>
      <c r="H730" s="280"/>
    </row>
    <row r="731">
      <c r="G731" s="280"/>
      <c r="H731" s="280"/>
    </row>
    <row r="732">
      <c r="G732" s="280"/>
      <c r="H732" s="280"/>
    </row>
    <row r="733">
      <c r="G733" s="280"/>
      <c r="H733" s="280"/>
    </row>
    <row r="734">
      <c r="G734" s="280"/>
      <c r="H734" s="280"/>
    </row>
    <row r="735">
      <c r="G735" s="280"/>
      <c r="H735" s="280"/>
    </row>
    <row r="736">
      <c r="G736" s="280"/>
      <c r="H736" s="280"/>
    </row>
    <row r="737">
      <c r="G737" s="280"/>
      <c r="H737" s="280"/>
    </row>
    <row r="738">
      <c r="G738" s="280"/>
      <c r="H738" s="280"/>
    </row>
    <row r="739">
      <c r="G739" s="280"/>
      <c r="H739" s="280"/>
    </row>
    <row r="740">
      <c r="G740" s="280"/>
      <c r="H740" s="280"/>
    </row>
    <row r="741">
      <c r="G741" s="280"/>
      <c r="H741" s="280"/>
    </row>
    <row r="742">
      <c r="G742" s="280"/>
      <c r="H742" s="280"/>
    </row>
    <row r="743">
      <c r="G743" s="280"/>
      <c r="H743" s="280"/>
    </row>
    <row r="744">
      <c r="G744" s="280"/>
      <c r="H744" s="280"/>
    </row>
    <row r="745">
      <c r="G745" s="280"/>
      <c r="H745" s="280"/>
    </row>
    <row r="746">
      <c r="G746" s="280"/>
      <c r="H746" s="280"/>
    </row>
    <row r="747">
      <c r="G747" s="280"/>
      <c r="H747" s="280"/>
    </row>
    <row r="748">
      <c r="G748" s="280"/>
      <c r="H748" s="280"/>
    </row>
    <row r="749">
      <c r="G749" s="280"/>
      <c r="H749" s="280"/>
    </row>
    <row r="750">
      <c r="G750" s="280"/>
      <c r="H750" s="280"/>
    </row>
    <row r="751">
      <c r="G751" s="280"/>
      <c r="H751" s="280"/>
    </row>
    <row r="752">
      <c r="G752" s="280"/>
      <c r="H752" s="280"/>
    </row>
    <row r="753">
      <c r="G753" s="280"/>
      <c r="H753" s="280"/>
    </row>
    <row r="754">
      <c r="G754" s="280"/>
      <c r="H754" s="280"/>
    </row>
    <row r="755">
      <c r="G755" s="280"/>
      <c r="H755" s="280"/>
    </row>
    <row r="756">
      <c r="G756" s="280"/>
      <c r="H756" s="280"/>
    </row>
    <row r="757">
      <c r="G757" s="280"/>
      <c r="H757" s="280"/>
    </row>
    <row r="758">
      <c r="G758" s="280"/>
      <c r="H758" s="280"/>
    </row>
    <row r="759">
      <c r="G759" s="280"/>
      <c r="H759" s="280"/>
    </row>
    <row r="760">
      <c r="G760" s="280"/>
      <c r="H760" s="280"/>
    </row>
    <row r="761">
      <c r="G761" s="280"/>
      <c r="H761" s="280"/>
    </row>
    <row r="762">
      <c r="G762" s="280"/>
      <c r="H762" s="280"/>
    </row>
    <row r="763">
      <c r="G763" s="280"/>
      <c r="H763" s="280"/>
    </row>
    <row r="764">
      <c r="G764" s="280"/>
      <c r="H764" s="280"/>
    </row>
    <row r="765">
      <c r="G765" s="280"/>
      <c r="H765" s="280"/>
    </row>
    <row r="766">
      <c r="G766" s="280"/>
      <c r="H766" s="280"/>
    </row>
    <row r="767">
      <c r="G767" s="280"/>
      <c r="H767" s="280"/>
    </row>
    <row r="768">
      <c r="G768" s="280"/>
      <c r="H768" s="280"/>
    </row>
    <row r="769">
      <c r="G769" s="280"/>
      <c r="H769" s="280"/>
    </row>
    <row r="770">
      <c r="G770" s="280"/>
      <c r="H770" s="280"/>
    </row>
    <row r="771">
      <c r="G771" s="280"/>
      <c r="H771" s="280"/>
    </row>
    <row r="772">
      <c r="G772" s="280"/>
      <c r="H772" s="280"/>
    </row>
    <row r="773">
      <c r="G773" s="280"/>
      <c r="H773" s="280"/>
    </row>
    <row r="774">
      <c r="G774" s="280"/>
      <c r="H774" s="280"/>
    </row>
    <row r="775">
      <c r="G775" s="280"/>
      <c r="H775" s="280"/>
    </row>
    <row r="776">
      <c r="G776" s="280"/>
      <c r="H776" s="280"/>
    </row>
    <row r="777">
      <c r="G777" s="280"/>
      <c r="H777" s="280"/>
    </row>
    <row r="778">
      <c r="G778" s="280"/>
      <c r="H778" s="280"/>
    </row>
    <row r="779">
      <c r="G779" s="280"/>
      <c r="H779" s="280"/>
    </row>
    <row r="780">
      <c r="G780" s="280"/>
      <c r="H780" s="280"/>
    </row>
    <row r="781">
      <c r="G781" s="280"/>
      <c r="H781" s="280"/>
    </row>
    <row r="782">
      <c r="G782" s="280"/>
      <c r="H782" s="280"/>
    </row>
    <row r="783">
      <c r="G783" s="280"/>
      <c r="H783" s="280"/>
    </row>
    <row r="784">
      <c r="G784" s="280"/>
      <c r="H784" s="280"/>
    </row>
    <row r="785">
      <c r="G785" s="280"/>
      <c r="H785" s="280"/>
    </row>
    <row r="786">
      <c r="G786" s="280"/>
      <c r="H786" s="280"/>
    </row>
    <row r="787">
      <c r="G787" s="280"/>
      <c r="H787" s="280"/>
    </row>
    <row r="788">
      <c r="G788" s="280"/>
      <c r="H788" s="280"/>
    </row>
    <row r="789">
      <c r="G789" s="280"/>
      <c r="H789" s="280"/>
    </row>
    <row r="790">
      <c r="G790" s="280"/>
      <c r="H790" s="280"/>
    </row>
    <row r="791">
      <c r="G791" s="280"/>
      <c r="H791" s="280"/>
    </row>
    <row r="792">
      <c r="G792" s="280"/>
      <c r="H792" s="280"/>
    </row>
    <row r="793">
      <c r="G793" s="280"/>
      <c r="H793" s="280"/>
    </row>
    <row r="794">
      <c r="G794" s="280"/>
      <c r="H794" s="280"/>
    </row>
    <row r="795">
      <c r="G795" s="280"/>
      <c r="H795" s="280"/>
    </row>
    <row r="796">
      <c r="G796" s="280"/>
      <c r="H796" s="280"/>
    </row>
    <row r="797">
      <c r="G797" s="280"/>
      <c r="H797" s="280"/>
    </row>
    <row r="798">
      <c r="G798" s="280"/>
      <c r="H798" s="280"/>
    </row>
    <row r="799">
      <c r="G799" s="280"/>
      <c r="H799" s="280"/>
    </row>
    <row r="800">
      <c r="G800" s="280"/>
      <c r="H800" s="280"/>
    </row>
    <row r="801">
      <c r="G801" s="280"/>
      <c r="H801" s="280"/>
    </row>
    <row r="802">
      <c r="G802" s="280"/>
      <c r="H802" s="280"/>
    </row>
    <row r="803">
      <c r="G803" s="280"/>
      <c r="H803" s="280"/>
    </row>
    <row r="804">
      <c r="G804" s="280"/>
      <c r="H804" s="280"/>
    </row>
    <row r="805">
      <c r="G805" s="280"/>
      <c r="H805" s="280"/>
    </row>
    <row r="806">
      <c r="G806" s="280"/>
      <c r="H806" s="280"/>
    </row>
    <row r="807">
      <c r="G807" s="280"/>
      <c r="H807" s="280"/>
    </row>
    <row r="808">
      <c r="G808" s="280"/>
      <c r="H808" s="280"/>
    </row>
    <row r="809">
      <c r="G809" s="280"/>
      <c r="H809" s="280"/>
    </row>
    <row r="810">
      <c r="G810" s="280"/>
      <c r="H810" s="280"/>
    </row>
    <row r="811">
      <c r="G811" s="280"/>
      <c r="H811" s="280"/>
    </row>
    <row r="812">
      <c r="G812" s="280"/>
      <c r="H812" s="280"/>
    </row>
    <row r="813">
      <c r="G813" s="280"/>
      <c r="H813" s="280"/>
    </row>
    <row r="814">
      <c r="G814" s="280"/>
      <c r="H814" s="280"/>
    </row>
    <row r="815">
      <c r="G815" s="280"/>
      <c r="H815" s="280"/>
    </row>
    <row r="816">
      <c r="G816" s="280"/>
      <c r="H816" s="280"/>
    </row>
    <row r="817">
      <c r="G817" s="280"/>
      <c r="H817" s="280"/>
    </row>
    <row r="818">
      <c r="G818" s="280"/>
      <c r="H818" s="280"/>
    </row>
    <row r="819">
      <c r="G819" s="280"/>
      <c r="H819" s="280"/>
    </row>
    <row r="820">
      <c r="G820" s="280"/>
      <c r="H820" s="280"/>
    </row>
    <row r="821">
      <c r="G821" s="280"/>
      <c r="H821" s="280"/>
    </row>
    <row r="822">
      <c r="G822" s="280"/>
      <c r="H822" s="280"/>
    </row>
    <row r="823">
      <c r="G823" s="280"/>
      <c r="H823" s="280"/>
    </row>
    <row r="824">
      <c r="G824" s="280"/>
      <c r="H824" s="280"/>
    </row>
    <row r="825">
      <c r="G825" s="280"/>
      <c r="H825" s="280"/>
    </row>
    <row r="826">
      <c r="G826" s="280"/>
      <c r="H826" s="280"/>
    </row>
    <row r="827">
      <c r="G827" s="280"/>
      <c r="H827" s="280"/>
    </row>
    <row r="828">
      <c r="G828" s="280"/>
      <c r="H828" s="280"/>
    </row>
    <row r="829">
      <c r="G829" s="280"/>
      <c r="H829" s="280"/>
    </row>
    <row r="830">
      <c r="G830" s="280"/>
      <c r="H830" s="280"/>
    </row>
    <row r="831">
      <c r="G831" s="280"/>
      <c r="H831" s="280"/>
    </row>
    <row r="832">
      <c r="G832" s="280"/>
      <c r="H832" s="280"/>
    </row>
    <row r="833">
      <c r="G833" s="280"/>
      <c r="H833" s="280"/>
    </row>
    <row r="834">
      <c r="G834" s="280"/>
      <c r="H834" s="280"/>
    </row>
    <row r="835">
      <c r="G835" s="280"/>
      <c r="H835" s="280"/>
    </row>
    <row r="836">
      <c r="G836" s="280"/>
      <c r="H836" s="280"/>
    </row>
    <row r="837">
      <c r="G837" s="280"/>
      <c r="H837" s="280"/>
    </row>
    <row r="838">
      <c r="G838" s="280"/>
      <c r="H838" s="280"/>
    </row>
    <row r="839">
      <c r="G839" s="280"/>
      <c r="H839" s="280"/>
    </row>
    <row r="840">
      <c r="G840" s="280"/>
      <c r="H840" s="280"/>
    </row>
    <row r="841">
      <c r="G841" s="280"/>
      <c r="H841" s="280"/>
    </row>
    <row r="842">
      <c r="G842" s="280"/>
      <c r="H842" s="280"/>
    </row>
    <row r="843">
      <c r="G843" s="280"/>
      <c r="H843" s="280"/>
    </row>
    <row r="844">
      <c r="G844" s="280"/>
      <c r="H844" s="280"/>
    </row>
    <row r="845">
      <c r="G845" s="280"/>
      <c r="H845" s="280"/>
    </row>
    <row r="846">
      <c r="G846" s="280"/>
      <c r="H846" s="280"/>
    </row>
    <row r="847">
      <c r="G847" s="280"/>
      <c r="H847" s="280"/>
    </row>
    <row r="848">
      <c r="G848" s="280"/>
      <c r="H848" s="280"/>
    </row>
    <row r="849">
      <c r="G849" s="280"/>
      <c r="H849" s="280"/>
    </row>
    <row r="850">
      <c r="G850" s="280"/>
      <c r="H850" s="280"/>
    </row>
    <row r="851">
      <c r="G851" s="280"/>
      <c r="H851" s="280"/>
    </row>
    <row r="852">
      <c r="G852" s="280"/>
      <c r="H852" s="280"/>
    </row>
    <row r="853">
      <c r="G853" s="280"/>
      <c r="H853" s="280"/>
    </row>
    <row r="854">
      <c r="G854" s="280"/>
      <c r="H854" s="280"/>
    </row>
    <row r="855">
      <c r="G855" s="280"/>
      <c r="H855" s="280"/>
    </row>
    <row r="856">
      <c r="G856" s="280"/>
      <c r="H856" s="280"/>
    </row>
    <row r="857">
      <c r="G857" s="280"/>
      <c r="H857" s="280"/>
    </row>
    <row r="858">
      <c r="G858" s="280"/>
      <c r="H858" s="280"/>
    </row>
    <row r="859">
      <c r="G859" s="280"/>
      <c r="H859" s="280"/>
    </row>
    <row r="860">
      <c r="G860" s="280"/>
      <c r="H860" s="280"/>
    </row>
    <row r="861">
      <c r="G861" s="280"/>
      <c r="H861" s="280"/>
    </row>
    <row r="862">
      <c r="G862" s="280"/>
      <c r="H862" s="280"/>
    </row>
    <row r="863">
      <c r="G863" s="280"/>
      <c r="H863" s="280"/>
    </row>
    <row r="864">
      <c r="G864" s="280"/>
      <c r="H864" s="280"/>
    </row>
    <row r="865">
      <c r="G865" s="280"/>
      <c r="H865" s="280"/>
    </row>
    <row r="866">
      <c r="G866" s="280"/>
      <c r="H866" s="280"/>
    </row>
    <row r="867">
      <c r="G867" s="280"/>
      <c r="H867" s="280"/>
    </row>
    <row r="868">
      <c r="G868" s="280"/>
      <c r="H868" s="280"/>
    </row>
    <row r="869">
      <c r="G869" s="280"/>
      <c r="H869" s="280"/>
    </row>
    <row r="870">
      <c r="G870" s="280"/>
      <c r="H870" s="280"/>
    </row>
    <row r="871">
      <c r="G871" s="280"/>
      <c r="H871" s="280"/>
    </row>
    <row r="872">
      <c r="G872" s="280"/>
      <c r="H872" s="280"/>
    </row>
    <row r="873">
      <c r="G873" s="280"/>
      <c r="H873" s="280"/>
    </row>
    <row r="874">
      <c r="G874" s="280"/>
      <c r="H874" s="280"/>
    </row>
    <row r="875">
      <c r="G875" s="280"/>
      <c r="H875" s="280"/>
    </row>
    <row r="876">
      <c r="G876" s="280"/>
      <c r="H876" s="280"/>
    </row>
    <row r="877">
      <c r="G877" s="280"/>
      <c r="H877" s="280"/>
    </row>
    <row r="878">
      <c r="G878" s="280"/>
      <c r="H878" s="280"/>
    </row>
    <row r="879">
      <c r="G879" s="280"/>
      <c r="H879" s="280"/>
    </row>
    <row r="880">
      <c r="G880" s="280"/>
      <c r="H880" s="280"/>
    </row>
    <row r="881">
      <c r="G881" s="280"/>
      <c r="H881" s="280"/>
    </row>
    <row r="882">
      <c r="G882" s="280"/>
      <c r="H882" s="280"/>
    </row>
    <row r="883">
      <c r="G883" s="280"/>
      <c r="H883" s="280"/>
    </row>
    <row r="884">
      <c r="G884" s="280"/>
      <c r="H884" s="280"/>
    </row>
    <row r="885">
      <c r="G885" s="280"/>
      <c r="H885" s="280"/>
    </row>
    <row r="886">
      <c r="G886" s="280"/>
      <c r="H886" s="280"/>
    </row>
    <row r="887">
      <c r="G887" s="280"/>
      <c r="H887" s="280"/>
    </row>
    <row r="888">
      <c r="G888" s="280"/>
      <c r="H888" s="280"/>
    </row>
    <row r="889">
      <c r="G889" s="280"/>
      <c r="H889" s="280"/>
    </row>
    <row r="890">
      <c r="G890" s="280"/>
      <c r="H890" s="280"/>
    </row>
    <row r="891">
      <c r="G891" s="280"/>
      <c r="H891" s="280"/>
    </row>
    <row r="892">
      <c r="G892" s="280"/>
      <c r="H892" s="280"/>
    </row>
    <row r="893">
      <c r="G893" s="280"/>
      <c r="H893" s="280"/>
    </row>
    <row r="894">
      <c r="G894" s="280"/>
      <c r="H894" s="280"/>
    </row>
    <row r="895">
      <c r="G895" s="280"/>
      <c r="H895" s="280"/>
    </row>
    <row r="896">
      <c r="G896" s="280"/>
      <c r="H896" s="280"/>
    </row>
    <row r="897">
      <c r="G897" s="280"/>
      <c r="H897" s="280"/>
    </row>
    <row r="898">
      <c r="G898" s="280"/>
      <c r="H898" s="280"/>
    </row>
    <row r="899">
      <c r="G899" s="280"/>
      <c r="H899" s="280"/>
    </row>
    <row r="900">
      <c r="G900" s="280"/>
      <c r="H900" s="280"/>
    </row>
    <row r="901">
      <c r="G901" s="280"/>
      <c r="H901" s="280"/>
    </row>
    <row r="902">
      <c r="G902" s="280"/>
      <c r="H902" s="280"/>
    </row>
    <row r="903">
      <c r="G903" s="280"/>
      <c r="H903" s="280"/>
    </row>
    <row r="904">
      <c r="G904" s="280"/>
      <c r="H904" s="280"/>
    </row>
    <row r="905">
      <c r="G905" s="280"/>
      <c r="H905" s="280"/>
    </row>
    <row r="906">
      <c r="G906" s="280"/>
      <c r="H906" s="280"/>
    </row>
    <row r="907">
      <c r="G907" s="280"/>
      <c r="H907" s="280"/>
    </row>
    <row r="908">
      <c r="G908" s="280"/>
      <c r="H908" s="280"/>
    </row>
    <row r="909">
      <c r="G909" s="280"/>
      <c r="H909" s="280"/>
    </row>
    <row r="910">
      <c r="G910" s="280"/>
      <c r="H910" s="280"/>
    </row>
    <row r="911">
      <c r="G911" s="280"/>
      <c r="H911" s="280"/>
    </row>
    <row r="912">
      <c r="G912" s="280"/>
      <c r="H912" s="280"/>
    </row>
    <row r="913">
      <c r="G913" s="280"/>
      <c r="H913" s="280"/>
    </row>
    <row r="914">
      <c r="G914" s="280"/>
      <c r="H914" s="280"/>
    </row>
    <row r="915">
      <c r="G915" s="280"/>
      <c r="H915" s="280"/>
    </row>
    <row r="916">
      <c r="G916" s="280"/>
      <c r="H916" s="280"/>
    </row>
    <row r="917">
      <c r="G917" s="280"/>
      <c r="H917" s="280"/>
    </row>
    <row r="918">
      <c r="G918" s="280"/>
      <c r="H918" s="280"/>
    </row>
    <row r="919">
      <c r="G919" s="280"/>
      <c r="H919" s="280"/>
    </row>
    <row r="920">
      <c r="G920" s="280"/>
      <c r="H920" s="280"/>
    </row>
    <row r="921">
      <c r="G921" s="280"/>
      <c r="H921" s="280"/>
    </row>
    <row r="922">
      <c r="G922" s="280"/>
      <c r="H922" s="280"/>
    </row>
    <row r="923">
      <c r="G923" s="280"/>
      <c r="H923" s="280"/>
    </row>
    <row r="924">
      <c r="G924" s="280"/>
      <c r="H924" s="280"/>
    </row>
    <row r="925">
      <c r="G925" s="280"/>
      <c r="H925" s="280"/>
    </row>
    <row r="926">
      <c r="G926" s="280"/>
      <c r="H926" s="280"/>
    </row>
    <row r="927">
      <c r="G927" s="280"/>
      <c r="H927" s="280"/>
    </row>
    <row r="928">
      <c r="G928" s="280"/>
      <c r="H928" s="280"/>
    </row>
    <row r="929">
      <c r="G929" s="280"/>
      <c r="H929" s="280"/>
    </row>
    <row r="930">
      <c r="G930" s="280"/>
      <c r="H930" s="280"/>
    </row>
    <row r="931">
      <c r="G931" s="280"/>
      <c r="H931" s="280"/>
    </row>
    <row r="932">
      <c r="G932" s="280"/>
      <c r="H932" s="280"/>
    </row>
    <row r="933">
      <c r="G933" s="280"/>
      <c r="H933" s="280"/>
    </row>
    <row r="934">
      <c r="G934" s="280"/>
      <c r="H934" s="280"/>
    </row>
    <row r="935">
      <c r="G935" s="280"/>
      <c r="H935" s="280"/>
    </row>
    <row r="936">
      <c r="G936" s="280"/>
      <c r="H936" s="280"/>
    </row>
    <row r="937">
      <c r="G937" s="280"/>
      <c r="H937" s="280"/>
    </row>
    <row r="938">
      <c r="G938" s="280"/>
      <c r="H938" s="280"/>
    </row>
    <row r="939">
      <c r="G939" s="280"/>
      <c r="H939" s="280"/>
    </row>
    <row r="940">
      <c r="G940" s="280"/>
      <c r="H940" s="280"/>
    </row>
    <row r="941">
      <c r="G941" s="280"/>
      <c r="H941" s="280"/>
    </row>
    <row r="942">
      <c r="G942" s="280"/>
      <c r="H942" s="280"/>
    </row>
    <row r="943">
      <c r="G943" s="280"/>
      <c r="H943" s="280"/>
    </row>
    <row r="944">
      <c r="G944" s="280"/>
      <c r="H944" s="280"/>
    </row>
    <row r="945">
      <c r="G945" s="280"/>
      <c r="H945" s="280"/>
    </row>
    <row r="946">
      <c r="G946" s="280"/>
      <c r="H946" s="280"/>
    </row>
    <row r="947">
      <c r="G947" s="280"/>
      <c r="H947" s="280"/>
    </row>
    <row r="948">
      <c r="G948" s="280"/>
      <c r="H948" s="280"/>
    </row>
    <row r="949">
      <c r="G949" s="280"/>
      <c r="H949" s="280"/>
    </row>
    <row r="950">
      <c r="G950" s="280"/>
      <c r="H950" s="280"/>
    </row>
    <row r="951">
      <c r="G951" s="280"/>
      <c r="H951" s="280"/>
    </row>
    <row r="952">
      <c r="G952" s="280"/>
      <c r="H952" s="280"/>
    </row>
    <row r="953">
      <c r="G953" s="280"/>
      <c r="H953" s="280"/>
    </row>
    <row r="954">
      <c r="G954" s="280"/>
      <c r="H954" s="280"/>
    </row>
    <row r="955">
      <c r="G955" s="280"/>
      <c r="H955" s="280"/>
    </row>
    <row r="956">
      <c r="G956" s="280"/>
      <c r="H956" s="280"/>
    </row>
    <row r="957">
      <c r="G957" s="280"/>
      <c r="H957" s="280"/>
    </row>
    <row r="958">
      <c r="G958" s="280"/>
      <c r="H958" s="280"/>
    </row>
    <row r="959">
      <c r="G959" s="280"/>
      <c r="H959" s="280"/>
    </row>
    <row r="960">
      <c r="G960" s="280"/>
      <c r="H960" s="280"/>
    </row>
    <row r="961">
      <c r="G961" s="280"/>
      <c r="H961" s="280"/>
    </row>
    <row r="962">
      <c r="G962" s="280"/>
      <c r="H962" s="280"/>
    </row>
    <row r="963">
      <c r="G963" s="280"/>
      <c r="H963" s="280"/>
    </row>
    <row r="964">
      <c r="G964" s="280"/>
      <c r="H964" s="280"/>
    </row>
    <row r="965">
      <c r="G965" s="280"/>
      <c r="H965" s="280"/>
    </row>
    <row r="966">
      <c r="G966" s="280"/>
      <c r="H966" s="280"/>
    </row>
    <row r="967">
      <c r="G967" s="280"/>
      <c r="H967" s="280"/>
    </row>
    <row r="968">
      <c r="G968" s="280"/>
      <c r="H968" s="280"/>
    </row>
    <row r="969">
      <c r="G969" s="280"/>
      <c r="H969" s="280"/>
    </row>
    <row r="970">
      <c r="G970" s="280"/>
      <c r="H970" s="280"/>
    </row>
    <row r="971">
      <c r="G971" s="280"/>
      <c r="H971" s="280"/>
    </row>
    <row r="972">
      <c r="G972" s="280"/>
      <c r="H972" s="280"/>
    </row>
    <row r="973">
      <c r="G973" s="280"/>
      <c r="H973" s="280"/>
    </row>
    <row r="974">
      <c r="G974" s="280"/>
      <c r="H974" s="280"/>
    </row>
    <row r="975">
      <c r="G975" s="280"/>
      <c r="H975" s="280"/>
    </row>
    <row r="976">
      <c r="G976" s="280"/>
      <c r="H976" s="280"/>
    </row>
    <row r="977">
      <c r="G977" s="280"/>
      <c r="H977" s="280"/>
    </row>
    <row r="978">
      <c r="G978" s="280"/>
      <c r="H978" s="280"/>
    </row>
    <row r="979">
      <c r="G979" s="280"/>
      <c r="H979" s="280"/>
    </row>
    <row r="980">
      <c r="G980" s="280"/>
      <c r="H980" s="280"/>
    </row>
    <row r="981">
      <c r="G981" s="280"/>
      <c r="H981" s="280"/>
    </row>
    <row r="982">
      <c r="G982" s="280"/>
      <c r="H982" s="280"/>
    </row>
    <row r="983">
      <c r="G983" s="280"/>
      <c r="H983" s="280"/>
    </row>
    <row r="984">
      <c r="G984" s="280"/>
      <c r="H984" s="280"/>
    </row>
    <row r="985">
      <c r="G985" s="280"/>
      <c r="H985" s="280"/>
    </row>
    <row r="986">
      <c r="G986" s="280"/>
      <c r="H986" s="280"/>
    </row>
    <row r="987">
      <c r="G987" s="280"/>
      <c r="H987" s="280"/>
    </row>
    <row r="988">
      <c r="G988" s="280"/>
      <c r="H988" s="280"/>
    </row>
    <row r="989">
      <c r="G989" s="280"/>
      <c r="H989" s="280"/>
    </row>
    <row r="990">
      <c r="G990" s="280"/>
      <c r="H990" s="280"/>
    </row>
    <row r="991">
      <c r="G991" s="280"/>
      <c r="H991" s="280"/>
    </row>
    <row r="992">
      <c r="G992" s="280"/>
      <c r="H992" s="280"/>
    </row>
    <row r="993">
      <c r="G993" s="280"/>
      <c r="H993" s="280"/>
    </row>
    <row r="994">
      <c r="G994" s="280"/>
      <c r="H994" s="280"/>
    </row>
    <row r="995">
      <c r="G995" s="280"/>
      <c r="H995" s="280"/>
    </row>
    <row r="996">
      <c r="G996" s="280"/>
      <c r="H996" s="280"/>
    </row>
    <row r="997">
      <c r="G997" s="280"/>
      <c r="H997" s="280"/>
    </row>
    <row r="998">
      <c r="G998" s="280"/>
      <c r="H998" s="280"/>
    </row>
    <row r="999">
      <c r="G999" s="280"/>
      <c r="H999" s="280"/>
    </row>
    <row r="1000">
      <c r="G1000" s="280"/>
      <c r="H1000" s="28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281" t="s">
        <v>2824</v>
      </c>
      <c r="B1" s="282"/>
      <c r="C1" s="282"/>
      <c r="D1" s="283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</row>
    <row r="2">
      <c r="A2" s="284"/>
      <c r="B2" s="285"/>
      <c r="C2" s="285"/>
      <c r="D2" s="286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</row>
    <row r="3">
      <c r="A3" s="287"/>
      <c r="B3" s="287"/>
      <c r="C3" s="288" t="s">
        <v>2825</v>
      </c>
      <c r="D3" s="288" t="s">
        <v>2826</v>
      </c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</row>
    <row r="4">
      <c r="A4" s="288" t="s">
        <v>2827</v>
      </c>
      <c r="B4" s="288">
        <v>9.0</v>
      </c>
      <c r="C4" s="289">
        <v>46021.0</v>
      </c>
      <c r="D4" s="288">
        <v>2.400004102E9</v>
      </c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</row>
    <row r="5">
      <c r="A5" s="288" t="s">
        <v>2828</v>
      </c>
      <c r="B5" s="288">
        <v>1.0</v>
      </c>
      <c r="C5" s="289">
        <v>45931.0</v>
      </c>
      <c r="D5" s="288">
        <v>2.400002387E9</v>
      </c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  <c r="AA5" s="280"/>
    </row>
    <row r="6">
      <c r="A6" s="288" t="s">
        <v>2829</v>
      </c>
      <c r="B6" s="288">
        <v>6.0</v>
      </c>
      <c r="C6" s="289">
        <v>45931.0</v>
      </c>
      <c r="D6" s="288">
        <v>2.400002664E9</v>
      </c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  <c r="AA6" s="280"/>
    </row>
    <row r="7">
      <c r="A7" s="288" t="s">
        <v>2830</v>
      </c>
      <c r="B7" s="288">
        <v>4.0</v>
      </c>
      <c r="C7" s="290">
        <v>45935.0</v>
      </c>
      <c r="D7" s="288">
        <v>2.400002664E9</v>
      </c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  <c r="AA7" s="280"/>
    </row>
    <row r="8">
      <c r="A8" s="288" t="s">
        <v>2830</v>
      </c>
      <c r="B8" s="288">
        <v>1.0</v>
      </c>
      <c r="C8" s="290">
        <v>45934.0</v>
      </c>
      <c r="D8" s="288">
        <v>2.400002387E9</v>
      </c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  <c r="AA8" s="280"/>
    </row>
    <row r="9">
      <c r="A9" s="280"/>
      <c r="B9" s="280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</row>
    <row r="10">
      <c r="A10" s="280"/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</row>
    <row r="11">
      <c r="A11" s="280"/>
      <c r="B11" s="280"/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</row>
    <row r="12">
      <c r="A12" s="281" t="s">
        <v>2824</v>
      </c>
      <c r="B12" s="282"/>
      <c r="C12" s="282"/>
      <c r="D12" s="283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</row>
    <row r="13">
      <c r="A13" s="284"/>
      <c r="B13" s="285"/>
      <c r="C13" s="285"/>
      <c r="D13" s="286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</row>
    <row r="14">
      <c r="A14" s="287"/>
      <c r="B14" s="287"/>
      <c r="C14" s="288" t="s">
        <v>2825</v>
      </c>
      <c r="D14" s="288" t="s">
        <v>2826</v>
      </c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</row>
    <row r="15">
      <c r="A15" s="288" t="s">
        <v>2827</v>
      </c>
      <c r="B15" s="288">
        <v>9.0</v>
      </c>
      <c r="C15" s="289">
        <v>46021.0</v>
      </c>
      <c r="D15" s="288">
        <v>2.400004102E9</v>
      </c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</row>
    <row r="16">
      <c r="A16" s="288" t="s">
        <v>2828</v>
      </c>
      <c r="B16" s="288">
        <v>2.0</v>
      </c>
      <c r="C16" s="289">
        <v>45931.0</v>
      </c>
      <c r="D16" s="288">
        <v>2.400002387E9</v>
      </c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  <c r="AA16" s="280"/>
    </row>
    <row r="17">
      <c r="A17" s="288"/>
      <c r="B17" s="288">
        <v>10.0</v>
      </c>
      <c r="C17" s="289">
        <v>45931.0</v>
      </c>
      <c r="D17" s="288">
        <v>2.400002664E9</v>
      </c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</row>
    <row r="18">
      <c r="A18" s="280"/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</row>
    <row r="19">
      <c r="A19" s="280"/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</row>
    <row r="20">
      <c r="A20" s="280"/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</row>
    <row r="21">
      <c r="A21" s="280"/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</row>
    <row r="22">
      <c r="A22" s="280"/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</row>
    <row r="23">
      <c r="A23" s="280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</row>
    <row r="24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</row>
    <row r="25">
      <c r="A25" s="280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  <c r="AA25" s="280"/>
    </row>
    <row r="26">
      <c r="A26" s="280"/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</row>
    <row r="27">
      <c r="A27" s="280"/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</row>
    <row r="28">
      <c r="A28" s="280"/>
      <c r="B28" s="280"/>
      <c r="C28" s="280"/>
      <c r="D28" s="280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</row>
    <row r="29">
      <c r="A29" s="280"/>
      <c r="B29" s="280"/>
      <c r="C29" s="280"/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</row>
    <row r="30">
      <c r="A30" s="280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  <c r="AA30" s="280"/>
    </row>
    <row r="31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  <c r="AA31" s="280"/>
    </row>
    <row r="32">
      <c r="A32" s="280"/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</row>
    <row r="33">
      <c r="A33" s="280"/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</row>
    <row r="34">
      <c r="A34" s="280"/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</row>
    <row r="35">
      <c r="A35" s="280"/>
      <c r="B35" s="280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</row>
    <row r="36">
      <c r="A36" s="280"/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280"/>
    </row>
    <row r="37">
      <c r="A37" s="280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</row>
    <row r="38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</row>
    <row r="39">
      <c r="A39" s="280"/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</row>
    <row r="40">
      <c r="A40" s="280"/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80"/>
    </row>
    <row r="41">
      <c r="A41" s="280"/>
      <c r="B41" s="280"/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  <c r="AA41" s="280"/>
    </row>
    <row r="42">
      <c r="A42" s="280"/>
      <c r="B42" s="280"/>
      <c r="C42" s="280"/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Y42" s="280"/>
      <c r="Z42" s="280"/>
      <c r="AA42" s="280"/>
    </row>
    <row r="43">
      <c r="A43" s="280"/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0"/>
      <c r="AA43" s="280"/>
    </row>
    <row r="44">
      <c r="A44" s="280"/>
      <c r="B44" s="280"/>
      <c r="C44" s="280"/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  <c r="AA44" s="280"/>
    </row>
    <row r="45">
      <c r="A45" s="280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  <c r="AA45" s="280"/>
    </row>
    <row r="46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  <c r="AA46" s="280"/>
    </row>
    <row r="47">
      <c r="A47" s="280"/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80"/>
    </row>
    <row r="48">
      <c r="A48" s="280"/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80"/>
    </row>
    <row r="49">
      <c r="A49" s="280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</row>
    <row r="50">
      <c r="A50" s="280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  <c r="AA50" s="280"/>
    </row>
    <row r="51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  <c r="AA51" s="280"/>
    </row>
    <row r="52">
      <c r="A52" s="280"/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80"/>
    </row>
    <row r="53">
      <c r="A53" s="280"/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  <c r="AA53" s="280"/>
    </row>
    <row r="54">
      <c r="A54" s="280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  <c r="AA54" s="280"/>
    </row>
    <row r="55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  <c r="AA55" s="280"/>
    </row>
    <row r="56">
      <c r="A56" s="280"/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80"/>
    </row>
    <row r="57">
      <c r="A57" s="280"/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</row>
    <row r="58">
      <c r="A58" s="280"/>
      <c r="B58" s="280"/>
      <c r="C58" s="280"/>
      <c r="D58" s="280"/>
      <c r="E58" s="280"/>
      <c r="F58" s="280"/>
      <c r="G58" s="280"/>
      <c r="H58" s="280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  <c r="AA58" s="280"/>
    </row>
    <row r="59">
      <c r="A59" s="280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  <c r="AA59" s="280"/>
    </row>
    <row r="60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Y60" s="280"/>
      <c r="Z60" s="280"/>
      <c r="AA60" s="280"/>
    </row>
    <row r="61">
      <c r="A61" s="280"/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80"/>
    </row>
    <row r="62">
      <c r="A62" s="280"/>
      <c r="B62" s="280"/>
      <c r="C62" s="280"/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  <c r="AA62" s="280"/>
    </row>
    <row r="63">
      <c r="A63" s="280"/>
      <c r="B63" s="280"/>
      <c r="C63" s="280"/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  <c r="AA63" s="280"/>
    </row>
    <row r="64">
      <c r="A64" s="280"/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  <c r="AA64" s="280"/>
    </row>
    <row r="65">
      <c r="A65" s="280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  <c r="Z65" s="280"/>
      <c r="AA65" s="280"/>
    </row>
    <row r="66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  <c r="AA66" s="280"/>
    </row>
    <row r="67">
      <c r="A67" s="280"/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80"/>
    </row>
    <row r="68">
      <c r="A68" s="280"/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80"/>
    </row>
    <row r="69">
      <c r="A69" s="280"/>
      <c r="B69" s="280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  <c r="AA69" s="280"/>
    </row>
    <row r="70">
      <c r="A70" s="280"/>
      <c r="B70" s="280"/>
      <c r="C70" s="280"/>
      <c r="D70" s="280"/>
      <c r="E70" s="280"/>
      <c r="F70" s="280"/>
      <c r="G70" s="280"/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  <c r="AA70" s="280"/>
    </row>
    <row r="71">
      <c r="A71" s="280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  <c r="AA71" s="280"/>
    </row>
    <row r="7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  <c r="AA72" s="280"/>
    </row>
    <row r="73">
      <c r="A73" s="280"/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80"/>
    </row>
    <row r="74">
      <c r="A74" s="280"/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80"/>
    </row>
    <row r="75">
      <c r="A75" s="280"/>
      <c r="B75" s="280"/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  <c r="AA75" s="280"/>
    </row>
    <row r="76">
      <c r="A76" s="280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  <c r="AA76" s="280"/>
    </row>
    <row r="77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  <c r="Z77" s="280"/>
      <c r="AA77" s="280"/>
    </row>
    <row r="78">
      <c r="A78" s="280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80"/>
    </row>
    <row r="79">
      <c r="A79" s="280"/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80"/>
    </row>
    <row r="80">
      <c r="A80" s="280"/>
      <c r="B80" s="280"/>
      <c r="C80" s="280"/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  <c r="AA80" s="280"/>
    </row>
    <row r="81">
      <c r="A81" s="280"/>
      <c r="B81" s="280"/>
      <c r="C81" s="280"/>
      <c r="D81" s="280"/>
      <c r="E81" s="280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  <c r="AA81" s="280"/>
    </row>
    <row r="82">
      <c r="A82" s="280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  <c r="AA82" s="280"/>
    </row>
    <row r="83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  <c r="AA83" s="280"/>
    </row>
    <row r="84">
      <c r="A84" s="280"/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80"/>
    </row>
    <row r="85">
      <c r="A85" s="280"/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80"/>
    </row>
    <row r="86">
      <c r="A86" s="280"/>
      <c r="B86" s="280"/>
      <c r="C86" s="280"/>
      <c r="D86" s="280"/>
      <c r="E86" s="280"/>
      <c r="F86" s="280"/>
      <c r="G86" s="280"/>
      <c r="H86" s="280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  <c r="AA86" s="280"/>
    </row>
    <row r="87">
      <c r="A87" s="280"/>
      <c r="B87" s="280"/>
      <c r="C87" s="280"/>
      <c r="D87" s="280"/>
      <c r="E87" s="280"/>
      <c r="F87" s="280"/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  <c r="Z87" s="280"/>
      <c r="AA87" s="280"/>
    </row>
    <row r="88">
      <c r="A88" s="280"/>
      <c r="B88" s="280"/>
      <c r="C88" s="280"/>
      <c r="D88" s="280"/>
      <c r="E88" s="280"/>
      <c r="F88" s="280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  <c r="AA88" s="280"/>
    </row>
    <row r="89">
      <c r="A89" s="280"/>
      <c r="B89" s="280"/>
      <c r="C89" s="280"/>
      <c r="D89" s="280"/>
      <c r="E89" s="280"/>
      <c r="F89" s="280"/>
      <c r="G89" s="280"/>
      <c r="H89" s="280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0"/>
      <c r="AA89" s="280"/>
    </row>
    <row r="90">
      <c r="A90" s="280"/>
      <c r="B90" s="280"/>
      <c r="C90" s="280"/>
      <c r="D90" s="280"/>
      <c r="E90" s="280"/>
      <c r="F90" s="280"/>
      <c r="G90" s="280"/>
      <c r="H90" s="280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0"/>
      <c r="AA90" s="280"/>
    </row>
    <row r="91">
      <c r="A91" s="280"/>
      <c r="B91" s="280"/>
      <c r="C91" s="280"/>
      <c r="D91" s="280"/>
      <c r="E91" s="280"/>
      <c r="F91" s="280"/>
      <c r="G91" s="280"/>
      <c r="H91" s="280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  <c r="AA91" s="280"/>
    </row>
    <row r="92">
      <c r="A92" s="280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  <c r="Z92" s="280"/>
      <c r="AA92" s="280"/>
    </row>
    <row r="93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  <c r="Z93" s="280"/>
      <c r="AA93" s="280"/>
    </row>
    <row r="94">
      <c r="A94" s="280"/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80"/>
    </row>
    <row r="95">
      <c r="A95" s="280"/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80"/>
    </row>
    <row r="96">
      <c r="A96" s="280"/>
      <c r="B96" s="280"/>
      <c r="C96" s="280"/>
      <c r="D96" s="280"/>
      <c r="E96" s="280"/>
      <c r="F96" s="280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  <c r="AA96" s="280"/>
    </row>
    <row r="97">
      <c r="A97" s="280"/>
      <c r="B97" s="280"/>
      <c r="C97" s="280"/>
      <c r="D97" s="280"/>
      <c r="E97" s="280"/>
      <c r="F97" s="280"/>
      <c r="G97" s="280"/>
      <c r="H97" s="280"/>
      <c r="I97" s="280"/>
      <c r="J97" s="280"/>
      <c r="K97" s="280"/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  <c r="X97" s="280"/>
      <c r="Y97" s="280"/>
      <c r="Z97" s="280"/>
      <c r="AA97" s="280"/>
    </row>
    <row r="98">
      <c r="A98" s="280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  <c r="AA98" s="280"/>
    </row>
    <row r="99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  <c r="X99" s="280"/>
      <c r="Y99" s="280"/>
      <c r="Z99" s="280"/>
      <c r="AA99" s="280"/>
    </row>
    <row r="100">
      <c r="A100" s="280"/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80"/>
    </row>
    <row r="101">
      <c r="A101" s="280"/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80"/>
    </row>
    <row r="102">
      <c r="A102" s="280"/>
      <c r="B102" s="280"/>
      <c r="C102" s="280"/>
      <c r="D102" s="280"/>
      <c r="E102" s="280"/>
      <c r="F102" s="280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  <c r="AA102" s="280"/>
    </row>
    <row r="103">
      <c r="A103" s="280"/>
      <c r="B103" s="280"/>
      <c r="C103" s="280"/>
      <c r="D103" s="280"/>
      <c r="E103" s="280"/>
      <c r="F103" s="280"/>
      <c r="G103" s="280"/>
      <c r="H103" s="280"/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  <c r="X103" s="280"/>
      <c r="Y103" s="280"/>
      <c r="Z103" s="280"/>
      <c r="AA103" s="280"/>
    </row>
    <row r="104">
      <c r="A104" s="280"/>
      <c r="B104" s="280"/>
      <c r="C104" s="280"/>
      <c r="D104" s="280"/>
      <c r="E104" s="280"/>
      <c r="F104" s="280"/>
      <c r="G104" s="280"/>
      <c r="H104" s="280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  <c r="AA104" s="280"/>
    </row>
    <row r="105">
      <c r="A105" s="280"/>
      <c r="B105" s="280"/>
      <c r="C105" s="280"/>
      <c r="D105" s="280"/>
      <c r="E105" s="280"/>
      <c r="F105" s="280"/>
      <c r="G105" s="280"/>
      <c r="H105" s="280"/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  <c r="AA105" s="280"/>
    </row>
    <row r="106">
      <c r="A106" s="280"/>
      <c r="B106" s="280"/>
      <c r="C106" s="280"/>
      <c r="D106" s="280"/>
      <c r="E106" s="280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  <c r="AA106" s="280"/>
    </row>
    <row r="107">
      <c r="A107" s="280"/>
      <c r="B107" s="280"/>
      <c r="C107" s="280"/>
      <c r="D107" s="280"/>
      <c r="E107" s="280"/>
      <c r="F107" s="280"/>
      <c r="G107" s="280"/>
      <c r="H107" s="280"/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  <c r="Z107" s="280"/>
      <c r="AA107" s="280"/>
    </row>
    <row r="108">
      <c r="A108" s="280"/>
      <c r="B108" s="280"/>
      <c r="C108" s="280"/>
      <c r="D108" s="280"/>
      <c r="E108" s="280"/>
      <c r="F108" s="280"/>
      <c r="G108" s="280"/>
      <c r="H108" s="280"/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  <c r="X108" s="280"/>
      <c r="Y108" s="280"/>
      <c r="Z108" s="280"/>
      <c r="AA108" s="280"/>
    </row>
    <row r="109">
      <c r="A109" s="280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  <c r="X109" s="280"/>
      <c r="Y109" s="280"/>
      <c r="Z109" s="280"/>
      <c r="AA109" s="280"/>
    </row>
    <row r="110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  <c r="X110" s="280"/>
      <c r="Y110" s="280"/>
      <c r="Z110" s="280"/>
      <c r="AA110" s="280"/>
    </row>
    <row r="111">
      <c r="A111" s="280"/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80"/>
    </row>
    <row r="112">
      <c r="A112" s="280"/>
      <c r="B112" s="280"/>
      <c r="C112" s="280"/>
      <c r="D112" s="280"/>
      <c r="E112" s="280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  <c r="AA112" s="280"/>
    </row>
    <row r="113">
      <c r="A113" s="280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  <c r="AA113" s="280"/>
    </row>
    <row r="114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  <c r="X114" s="280"/>
      <c r="Y114" s="280"/>
      <c r="Z114" s="280"/>
      <c r="AA114" s="280"/>
    </row>
    <row r="115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80"/>
    </row>
    <row r="116">
      <c r="A116" s="280"/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  <c r="AA116" s="280"/>
    </row>
    <row r="117">
      <c r="A117" s="280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  <c r="Z117" s="280"/>
      <c r="AA117" s="280"/>
    </row>
    <row r="118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  <c r="AA118" s="280"/>
    </row>
    <row r="119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80"/>
    </row>
    <row r="120">
      <c r="A120" s="280"/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80"/>
    </row>
    <row r="121">
      <c r="A121" s="280"/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  <c r="AA121" s="280"/>
    </row>
    <row r="122">
      <c r="A122" s="280"/>
      <c r="B122" s="280"/>
      <c r="C122" s="280"/>
      <c r="D122" s="280"/>
      <c r="E122" s="280"/>
      <c r="F122" s="280"/>
      <c r="G122" s="280"/>
      <c r="H122" s="280"/>
      <c r="I122" s="280"/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  <c r="X122" s="280"/>
      <c r="Y122" s="280"/>
      <c r="Z122" s="280"/>
      <c r="AA122" s="280"/>
    </row>
    <row r="123">
      <c r="A123" s="280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  <c r="AA123" s="280"/>
    </row>
    <row r="124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  <c r="AA124" s="280"/>
    </row>
    <row r="125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80"/>
    </row>
    <row r="126">
      <c r="A126" s="280"/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80"/>
    </row>
    <row r="127">
      <c r="A127" s="280"/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  <c r="AA127" s="280"/>
    </row>
    <row r="128">
      <c r="A128" s="280"/>
      <c r="B128" s="280"/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  <c r="AA128" s="280"/>
    </row>
    <row r="129">
      <c r="A129" s="280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  <c r="Z129" s="280"/>
      <c r="AA129" s="280"/>
    </row>
    <row r="130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  <c r="AA130" s="280"/>
    </row>
    <row r="131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80"/>
    </row>
    <row r="132">
      <c r="A132" s="280"/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80"/>
    </row>
    <row r="133">
      <c r="A133" s="280"/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  <c r="AA133" s="280"/>
    </row>
    <row r="134">
      <c r="A134" s="280"/>
      <c r="B134" s="280"/>
      <c r="C134" s="280"/>
      <c r="D134" s="280"/>
      <c r="E134" s="280"/>
      <c r="F134" s="280"/>
      <c r="G134" s="280"/>
      <c r="H134" s="280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  <c r="X134" s="280"/>
      <c r="Y134" s="280"/>
      <c r="Z134" s="280"/>
      <c r="AA134" s="280"/>
    </row>
    <row r="135">
      <c r="A135" s="280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  <c r="X135" s="280"/>
      <c r="Y135" s="280"/>
      <c r="Z135" s="280"/>
      <c r="AA135" s="280"/>
    </row>
    <row r="136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  <c r="X136" s="280"/>
      <c r="Y136" s="280"/>
      <c r="Z136" s="280"/>
      <c r="AA136" s="280"/>
    </row>
    <row r="137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80"/>
    </row>
    <row r="138">
      <c r="A138" s="280"/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80"/>
    </row>
    <row r="139">
      <c r="A139" s="280"/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  <c r="AA139" s="280"/>
    </row>
    <row r="140">
      <c r="A140" s="280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  <c r="X140" s="280"/>
      <c r="Y140" s="280"/>
      <c r="Z140" s="280"/>
      <c r="AA140" s="280"/>
    </row>
    <row r="141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  <c r="X141" s="280"/>
      <c r="Y141" s="280"/>
      <c r="Z141" s="280"/>
      <c r="AA141" s="280"/>
    </row>
    <row r="142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80"/>
    </row>
    <row r="143">
      <c r="A143" s="280"/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80"/>
    </row>
    <row r="144">
      <c r="A144" s="280"/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  <c r="AA144" s="280"/>
    </row>
    <row r="145">
      <c r="A145" s="280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  <c r="X145" s="280"/>
      <c r="Y145" s="280"/>
      <c r="Z145" s="280"/>
      <c r="AA145" s="280"/>
    </row>
    <row r="146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  <c r="X146" s="280"/>
      <c r="Y146" s="280"/>
      <c r="Z146" s="280"/>
      <c r="AA146" s="280"/>
    </row>
    <row r="147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80"/>
    </row>
    <row r="148">
      <c r="A148" s="280"/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80"/>
    </row>
    <row r="149">
      <c r="A149" s="280"/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  <c r="AA149" s="280"/>
    </row>
    <row r="150">
      <c r="A150" s="280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  <c r="X150" s="280"/>
      <c r="Y150" s="280"/>
      <c r="Z150" s="280"/>
      <c r="AA150" s="280"/>
    </row>
    <row r="151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  <c r="X151" s="280"/>
      <c r="Y151" s="280"/>
      <c r="Z151" s="280"/>
      <c r="AA151" s="280"/>
    </row>
    <row r="152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80"/>
    </row>
    <row r="153">
      <c r="A153" s="280"/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80"/>
    </row>
    <row r="154">
      <c r="A154" s="280"/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  <c r="AA154" s="280"/>
    </row>
    <row r="155">
      <c r="A155" s="280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  <c r="AA155" s="280"/>
    </row>
    <row r="156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  <c r="AA156" s="280"/>
    </row>
    <row r="157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  <c r="AA157" s="280"/>
    </row>
    <row r="158">
      <c r="A158" s="280"/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80"/>
    </row>
    <row r="159">
      <c r="A159" s="280"/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80"/>
    </row>
    <row r="160">
      <c r="A160" s="280"/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  <c r="AA160" s="280"/>
    </row>
    <row r="161">
      <c r="A161" s="280"/>
      <c r="B161" s="280"/>
      <c r="C161" s="280"/>
      <c r="D161" s="280"/>
      <c r="E161" s="280"/>
      <c r="F161" s="280"/>
      <c r="G161" s="280"/>
      <c r="H161" s="280"/>
      <c r="I161" s="280"/>
      <c r="J161" s="280"/>
      <c r="K161" s="280"/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  <c r="X161" s="280"/>
      <c r="Y161" s="280"/>
      <c r="Z161" s="280"/>
      <c r="AA161" s="280"/>
    </row>
    <row r="162">
      <c r="A162" s="280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  <c r="X162" s="280"/>
      <c r="Y162" s="280"/>
      <c r="Z162" s="280"/>
      <c r="AA162" s="280"/>
    </row>
    <row r="163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  <c r="Z163" s="280"/>
      <c r="AA163" s="280"/>
    </row>
    <row r="164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  <c r="X164" s="280"/>
      <c r="Y164" s="280"/>
      <c r="Z164" s="280"/>
      <c r="AA164" s="280"/>
    </row>
    <row r="165">
      <c r="A165" s="280"/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80"/>
    </row>
    <row r="166">
      <c r="A166" s="280"/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80"/>
    </row>
    <row r="167">
      <c r="A167" s="280"/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  <c r="AA167" s="280"/>
    </row>
    <row r="168">
      <c r="A168" s="280"/>
      <c r="B168" s="280"/>
      <c r="C168" s="280"/>
      <c r="D168" s="280"/>
      <c r="E168" s="280"/>
      <c r="F168" s="280"/>
      <c r="G168" s="280"/>
      <c r="H168" s="280"/>
      <c r="I168" s="280"/>
      <c r="J168" s="280"/>
      <c r="K168" s="280"/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  <c r="X168" s="280"/>
      <c r="Y168" s="280"/>
      <c r="Z168" s="280"/>
      <c r="AA168" s="280"/>
    </row>
    <row r="169">
      <c r="A169" s="280"/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  <c r="AA169" s="280"/>
    </row>
    <row r="170">
      <c r="A170" s="280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  <c r="AA170" s="280"/>
    </row>
    <row r="171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  <c r="Z171" s="280"/>
      <c r="AA171" s="280"/>
    </row>
    <row r="172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80"/>
    </row>
    <row r="173">
      <c r="A173" s="280"/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  <c r="AA173" s="280"/>
    </row>
    <row r="174">
      <c r="A174" s="280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  <c r="Z174" s="280"/>
      <c r="AA174" s="280"/>
    </row>
    <row r="175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  <c r="X175" s="280"/>
      <c r="Y175" s="280"/>
      <c r="Z175" s="280"/>
      <c r="AA175" s="280"/>
    </row>
    <row r="176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  <c r="AA176" s="280"/>
    </row>
    <row r="177">
      <c r="A177" s="280"/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80"/>
    </row>
    <row r="178">
      <c r="A178" s="280"/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80"/>
    </row>
    <row r="179">
      <c r="A179" s="280"/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  <c r="AA179" s="280"/>
    </row>
    <row r="180">
      <c r="A180" s="280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  <c r="Z180" s="280"/>
      <c r="AA180" s="280"/>
    </row>
    <row r="181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  <c r="X181" s="280"/>
      <c r="Y181" s="280"/>
      <c r="Z181" s="280"/>
      <c r="AA181" s="280"/>
    </row>
    <row r="182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80"/>
    </row>
    <row r="183">
      <c r="A183" s="280"/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  <c r="AA183" s="280"/>
    </row>
    <row r="184">
      <c r="A184" s="280"/>
      <c r="B184" s="280"/>
      <c r="C184" s="280"/>
      <c r="D184" s="280"/>
      <c r="E184" s="280"/>
      <c r="F184" s="280"/>
      <c r="G184" s="280"/>
      <c r="H184" s="280"/>
      <c r="I184" s="280"/>
      <c r="J184" s="280"/>
      <c r="K184" s="280"/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  <c r="X184" s="280"/>
      <c r="Y184" s="280"/>
      <c r="Z184" s="280"/>
      <c r="AA184" s="280"/>
    </row>
    <row r="185">
      <c r="A185" s="280"/>
      <c r="B185" s="280"/>
      <c r="C185" s="280"/>
      <c r="D185" s="280"/>
      <c r="E185" s="280"/>
      <c r="F185" s="280"/>
      <c r="G185" s="280"/>
      <c r="H185" s="280"/>
      <c r="I185" s="280"/>
      <c r="J185" s="280"/>
      <c r="K185" s="280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  <c r="X185" s="280"/>
      <c r="Y185" s="280"/>
      <c r="Z185" s="280"/>
      <c r="AA185" s="280"/>
    </row>
    <row r="186">
      <c r="A186" s="280"/>
      <c r="B186" s="280"/>
      <c r="C186" s="280"/>
      <c r="D186" s="280"/>
      <c r="E186" s="280"/>
      <c r="F186" s="280"/>
      <c r="G186" s="280"/>
      <c r="H186" s="280"/>
      <c r="I186" s="280"/>
      <c r="J186" s="280"/>
      <c r="K186" s="280"/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  <c r="X186" s="280"/>
      <c r="Y186" s="280"/>
      <c r="Z186" s="280"/>
      <c r="AA186" s="280"/>
    </row>
    <row r="187">
      <c r="A187" s="280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0"/>
      <c r="Y187" s="280"/>
      <c r="Z187" s="280"/>
      <c r="AA187" s="280"/>
    </row>
    <row r="188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  <c r="AA188" s="280"/>
    </row>
    <row r="189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80"/>
    </row>
    <row r="190">
      <c r="A190" s="280"/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80"/>
    </row>
    <row r="191">
      <c r="A191" s="280"/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  <c r="AA191" s="280"/>
    </row>
    <row r="192">
      <c r="A192" s="280"/>
      <c r="B192" s="280"/>
      <c r="C192" s="280"/>
      <c r="D192" s="280"/>
      <c r="E192" s="280"/>
      <c r="F192" s="280"/>
      <c r="G192" s="280"/>
      <c r="H192" s="280"/>
      <c r="I192" s="280"/>
      <c r="J192" s="280"/>
      <c r="K192" s="280"/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  <c r="X192" s="280"/>
      <c r="Y192" s="280"/>
      <c r="Z192" s="280"/>
      <c r="AA192" s="280"/>
    </row>
    <row r="193">
      <c r="A193" s="280"/>
      <c r="B193" s="280"/>
      <c r="C193" s="280"/>
      <c r="D193" s="280"/>
      <c r="E193" s="280"/>
      <c r="F193" s="280"/>
      <c r="G193" s="280"/>
      <c r="H193" s="280"/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  <c r="Z193" s="280"/>
      <c r="AA193" s="280"/>
    </row>
    <row r="194">
      <c r="A194" s="280"/>
      <c r="B194" s="280"/>
      <c r="C194" s="280"/>
      <c r="D194" s="280"/>
      <c r="E194" s="280"/>
      <c r="F194" s="280"/>
      <c r="G194" s="280"/>
      <c r="H194" s="280"/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  <c r="X194" s="280"/>
      <c r="Y194" s="280"/>
      <c r="Z194" s="280"/>
      <c r="AA194" s="280"/>
    </row>
    <row r="195">
      <c r="A195" s="280"/>
      <c r="B195" s="280"/>
      <c r="C195" s="280"/>
      <c r="D195" s="280"/>
      <c r="E195" s="280"/>
      <c r="F195" s="280"/>
      <c r="G195" s="280"/>
      <c r="H195" s="280"/>
      <c r="I195" s="280"/>
      <c r="J195" s="280"/>
      <c r="K195" s="280"/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  <c r="X195" s="280"/>
      <c r="Y195" s="280"/>
      <c r="Z195" s="280"/>
      <c r="AA195" s="280"/>
    </row>
    <row r="196">
      <c r="A196" s="280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  <c r="Z196" s="280"/>
      <c r="AA196" s="280"/>
    </row>
    <row r="197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  <c r="AA197" s="280"/>
    </row>
    <row r="198">
      <c r="A198" s="280"/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80"/>
    </row>
    <row r="199">
      <c r="A199" s="280"/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80"/>
    </row>
    <row r="200">
      <c r="A200" s="280"/>
      <c r="B200" s="280"/>
      <c r="C200" s="280"/>
      <c r="D200" s="28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  <c r="AA200" s="280"/>
    </row>
    <row r="201">
      <c r="A201" s="280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  <c r="AA201" s="280"/>
    </row>
    <row r="20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  <c r="AA202" s="280"/>
    </row>
    <row r="203">
      <c r="A203" s="280"/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80"/>
    </row>
    <row r="204">
      <c r="A204" s="280"/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80"/>
    </row>
    <row r="205">
      <c r="A205" s="280"/>
      <c r="B205" s="280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  <c r="AA205" s="280"/>
    </row>
    <row r="206">
      <c r="A206" s="280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  <c r="AA206" s="280"/>
    </row>
    <row r="207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  <c r="AA207" s="280"/>
    </row>
    <row r="208">
      <c r="A208" s="280"/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80"/>
    </row>
    <row r="209">
      <c r="A209" s="280"/>
      <c r="B209" s="280"/>
      <c r="C209" s="280"/>
      <c r="D209" s="280"/>
      <c r="E209" s="280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  <c r="AA209" s="280"/>
    </row>
    <row r="210">
      <c r="A210" s="280"/>
      <c r="B210" s="280"/>
      <c r="C210" s="280"/>
      <c r="D210" s="280"/>
      <c r="E210" s="280"/>
      <c r="F210" s="280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  <c r="AA210" s="280"/>
    </row>
    <row r="211">
      <c r="A211" s="280"/>
      <c r="B211" s="280"/>
      <c r="C211" s="280"/>
      <c r="D211" s="280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  <c r="AA211" s="280"/>
    </row>
    <row r="212">
      <c r="A212" s="280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  <c r="AA212" s="280"/>
    </row>
    <row r="213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  <c r="AA213" s="280"/>
    </row>
    <row r="214">
      <c r="A214" s="280"/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80"/>
    </row>
    <row r="215">
      <c r="A215" s="280"/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80"/>
    </row>
    <row r="216">
      <c r="A216" s="280"/>
      <c r="B216" s="280"/>
      <c r="C216" s="280"/>
      <c r="D216" s="280"/>
      <c r="E216" s="280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  <c r="AA216" s="280"/>
    </row>
    <row r="217">
      <c r="A217" s="280"/>
      <c r="B217" s="280"/>
      <c r="C217" s="280"/>
      <c r="D217" s="280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  <c r="AA217" s="280"/>
    </row>
    <row r="218">
      <c r="A218" s="280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  <c r="AA218" s="280"/>
    </row>
    <row r="219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  <c r="AA219" s="280"/>
    </row>
    <row r="220">
      <c r="A220" s="280"/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280"/>
    </row>
    <row r="221">
      <c r="A221" s="280"/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80"/>
    </row>
    <row r="222">
      <c r="A222" s="280"/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80"/>
    </row>
    <row r="223">
      <c r="A223" s="280"/>
      <c r="B223" s="280"/>
      <c r="C223" s="280"/>
      <c r="D223" s="28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  <c r="AA223" s="280"/>
    </row>
    <row r="224">
      <c r="A224" s="280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  <c r="AA224" s="280"/>
    </row>
    <row r="225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  <c r="AA225" s="280"/>
    </row>
    <row r="226">
      <c r="A226" s="280"/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280"/>
    </row>
    <row r="227">
      <c r="A227" s="280"/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80"/>
    </row>
    <row r="228">
      <c r="A228" s="280"/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80"/>
    </row>
    <row r="229">
      <c r="A229" s="280"/>
      <c r="B229" s="280"/>
      <c r="C229" s="280"/>
      <c r="D229" s="28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  <c r="AA229" s="280"/>
    </row>
    <row r="230">
      <c r="A230" s="280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  <c r="AA230" s="280"/>
    </row>
    <row r="231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  <c r="Z231" s="280"/>
      <c r="AA231" s="280"/>
    </row>
    <row r="232">
      <c r="A232" s="280"/>
      <c r="B232" s="280"/>
      <c r="C232" s="280"/>
      <c r="D232" s="28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  <c r="AA232" s="280"/>
    </row>
    <row r="233">
      <c r="A233" s="280"/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80"/>
    </row>
    <row r="234">
      <c r="A234" s="280"/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80"/>
    </row>
    <row r="235">
      <c r="A235" s="280"/>
      <c r="B235" s="280"/>
      <c r="C235" s="280"/>
      <c r="D235" s="28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  <c r="AA235" s="280"/>
    </row>
    <row r="236">
      <c r="A236" s="280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280"/>
    </row>
    <row r="237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  <c r="AA237" s="280"/>
    </row>
    <row r="238">
      <c r="A238" s="280"/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80"/>
    </row>
    <row r="239">
      <c r="A239" s="280"/>
      <c r="B239" s="280"/>
      <c r="C239" s="280"/>
      <c r="D239" s="28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  <c r="AA239" s="280"/>
    </row>
    <row r="240">
      <c r="A240" s="280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  <c r="AA240" s="280"/>
    </row>
    <row r="241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  <c r="Z241" s="280"/>
      <c r="AA241" s="280"/>
    </row>
    <row r="242">
      <c r="A242" s="280"/>
      <c r="B242" s="280"/>
      <c r="C242" s="280"/>
      <c r="D242" s="28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  <c r="AA242" s="280"/>
    </row>
    <row r="243">
      <c r="A243" s="280"/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80"/>
    </row>
    <row r="244">
      <c r="A244" s="280"/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80"/>
    </row>
    <row r="245">
      <c r="A245" s="280"/>
      <c r="B245" s="280"/>
      <c r="C245" s="280"/>
      <c r="D245" s="280"/>
      <c r="E245" s="280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  <c r="AA245" s="280"/>
    </row>
    <row r="246">
      <c r="A246" s="280"/>
      <c r="B246" s="280"/>
      <c r="C246" s="280"/>
      <c r="D246" s="280"/>
      <c r="E246" s="280"/>
      <c r="F246" s="280"/>
      <c r="G246" s="280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  <c r="AA246" s="280"/>
    </row>
    <row r="247">
      <c r="A247" s="280"/>
      <c r="B247" s="280"/>
      <c r="C247" s="280"/>
      <c r="D247" s="280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  <c r="AA247" s="280"/>
    </row>
    <row r="248">
      <c r="A248" s="280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  <c r="AA248" s="280"/>
    </row>
    <row r="249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  <c r="AA249" s="280"/>
    </row>
    <row r="250">
      <c r="A250" s="280"/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80"/>
    </row>
    <row r="251">
      <c r="A251" s="280"/>
      <c r="B251" s="280"/>
      <c r="C251" s="280"/>
      <c r="D251" s="280"/>
      <c r="E251" s="280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  <c r="AA251" s="280"/>
    </row>
    <row r="252">
      <c r="A252" s="280"/>
      <c r="B252" s="280"/>
      <c r="C252" s="280"/>
      <c r="D252" s="28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  <c r="AA252" s="280"/>
    </row>
    <row r="253">
      <c r="A253" s="280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  <c r="AA253" s="280"/>
    </row>
    <row r="254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  <c r="AA254" s="280"/>
    </row>
    <row r="255">
      <c r="A255" s="280"/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80"/>
    </row>
    <row r="256">
      <c r="A256" s="280"/>
      <c r="B256" s="280"/>
      <c r="C256" s="280"/>
      <c r="D256" s="280"/>
      <c r="E256" s="280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  <c r="AA256" s="280"/>
    </row>
    <row r="257">
      <c r="A257" s="280"/>
      <c r="B257" s="280"/>
      <c r="C257" s="280"/>
      <c r="D257" s="280"/>
      <c r="E257" s="280"/>
      <c r="F257" s="280"/>
      <c r="G257" s="280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  <c r="Z257" s="280"/>
      <c r="AA257" s="280"/>
    </row>
    <row r="258">
      <c r="A258" s="280"/>
      <c r="B258" s="280"/>
      <c r="C258" s="280"/>
      <c r="D258" s="280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  <c r="Z258" s="280"/>
      <c r="AA258" s="280"/>
    </row>
    <row r="259">
      <c r="A259" s="280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  <c r="Z259" s="280"/>
      <c r="AA259" s="280"/>
    </row>
    <row r="260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  <c r="AA260" s="280"/>
    </row>
    <row r="261">
      <c r="A261" s="280"/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80"/>
    </row>
    <row r="262">
      <c r="A262" s="280"/>
      <c r="B262" s="280"/>
      <c r="C262" s="280"/>
      <c r="D262" s="280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  <c r="AA262" s="280"/>
    </row>
    <row r="263">
      <c r="A263" s="280"/>
      <c r="B263" s="280"/>
      <c r="C263" s="280"/>
      <c r="D263" s="280"/>
      <c r="E263" s="280"/>
      <c r="F263" s="280"/>
      <c r="G263" s="280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  <c r="Z263" s="280"/>
      <c r="AA263" s="280"/>
    </row>
    <row r="264">
      <c r="A264" s="280"/>
      <c r="B264" s="280"/>
      <c r="C264" s="280"/>
      <c r="D264" s="280"/>
      <c r="E264" s="280"/>
      <c r="F264" s="280"/>
      <c r="G264" s="280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  <c r="Z264" s="280"/>
      <c r="AA264" s="280"/>
    </row>
    <row r="265">
      <c r="A265" s="280"/>
      <c r="B265" s="280"/>
      <c r="C265" s="280"/>
      <c r="D265" s="280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  <c r="AA265" s="280"/>
    </row>
    <row r="266">
      <c r="A266" s="280"/>
      <c r="B266" s="280"/>
      <c r="C266" s="280"/>
      <c r="D266" s="280"/>
      <c r="E266" s="280"/>
      <c r="F266" s="280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  <c r="Z266" s="280"/>
      <c r="AA266" s="280"/>
    </row>
    <row r="267">
      <c r="A267" s="280"/>
      <c r="B267" s="280"/>
      <c r="C267" s="280"/>
      <c r="D267" s="280"/>
      <c r="E267" s="280"/>
      <c r="F267" s="280"/>
      <c r="G267" s="280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  <c r="Z267" s="280"/>
      <c r="AA267" s="280"/>
    </row>
    <row r="268">
      <c r="A268" s="280"/>
      <c r="B268" s="280"/>
      <c r="C268" s="280"/>
      <c r="D268" s="280"/>
      <c r="E268" s="280"/>
      <c r="F268" s="280"/>
      <c r="G268" s="280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  <c r="Z268" s="280"/>
      <c r="AA268" s="280"/>
    </row>
    <row r="269">
      <c r="A269" s="280"/>
      <c r="B269" s="280"/>
      <c r="C269" s="280"/>
      <c r="D269" s="280"/>
      <c r="E269" s="280"/>
      <c r="F269" s="280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  <c r="Z269" s="280"/>
      <c r="AA269" s="280"/>
    </row>
    <row r="270">
      <c r="A270" s="280"/>
      <c r="B270" s="280"/>
      <c r="C270" s="280"/>
      <c r="D270" s="280"/>
      <c r="E270" s="280"/>
      <c r="F270" s="280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  <c r="Z270" s="280"/>
      <c r="AA270" s="280"/>
    </row>
    <row r="271">
      <c r="A271" s="280"/>
      <c r="B271" s="280"/>
      <c r="C271" s="280"/>
      <c r="D271" s="280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  <c r="Z271" s="280"/>
      <c r="AA271" s="280"/>
    </row>
    <row r="272">
      <c r="A272" s="280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  <c r="Z272" s="280"/>
      <c r="AA272" s="280"/>
    </row>
    <row r="273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  <c r="Z273" s="280"/>
      <c r="AA273" s="280"/>
    </row>
    <row r="274">
      <c r="A274" s="280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  <c r="AA274" s="280"/>
    </row>
    <row r="275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</row>
    <row r="276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  <c r="Z276" s="280"/>
      <c r="AA276" s="280"/>
    </row>
    <row r="277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  <c r="AA277" s="280"/>
    </row>
    <row r="278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  <c r="Z278" s="280"/>
      <c r="AA278" s="280"/>
    </row>
    <row r="279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  <c r="Z279" s="280"/>
      <c r="AA279" s="280"/>
    </row>
    <row r="280">
      <c r="A280" s="280"/>
      <c r="B280" s="280"/>
      <c r="C280" s="280"/>
      <c r="D280" s="280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  <c r="AA280" s="280"/>
    </row>
    <row r="281">
      <c r="A281" s="280"/>
      <c r="B281" s="280"/>
      <c r="C281" s="280"/>
      <c r="D281" s="280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  <c r="Z281" s="280"/>
      <c r="AA281" s="280"/>
    </row>
    <row r="282">
      <c r="A282" s="280"/>
      <c r="B282" s="280"/>
      <c r="C282" s="280"/>
      <c r="D282" s="280"/>
      <c r="E282" s="280"/>
      <c r="F282" s="280"/>
      <c r="G282" s="280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  <c r="AA282" s="280"/>
    </row>
    <row r="283">
      <c r="A283" s="280"/>
      <c r="B283" s="280"/>
      <c r="C283" s="280"/>
      <c r="D283" s="280"/>
      <c r="E283" s="280"/>
      <c r="F283" s="280"/>
      <c r="G283" s="280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  <c r="Z283" s="280"/>
      <c r="AA283" s="280"/>
    </row>
    <row r="284">
      <c r="A284" s="280"/>
      <c r="B284" s="280"/>
      <c r="C284" s="280"/>
      <c r="D284" s="280"/>
      <c r="E284" s="280"/>
      <c r="F284" s="280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  <c r="Z284" s="280"/>
      <c r="AA284" s="280"/>
    </row>
    <row r="285">
      <c r="A285" s="280"/>
      <c r="B285" s="280"/>
      <c r="C285" s="280"/>
      <c r="D285" s="280"/>
      <c r="E285" s="280"/>
      <c r="F285" s="280"/>
      <c r="G285" s="280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  <c r="AA285" s="280"/>
    </row>
    <row r="286">
      <c r="A286" s="280"/>
      <c r="B286" s="280"/>
      <c r="C286" s="280"/>
      <c r="D286" s="280"/>
      <c r="E286" s="280"/>
      <c r="F286" s="280"/>
      <c r="G286" s="280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  <c r="Z286" s="280"/>
      <c r="AA286" s="280"/>
    </row>
    <row r="287">
      <c r="A287" s="280"/>
      <c r="B287" s="280"/>
      <c r="C287" s="280"/>
      <c r="D287" s="280"/>
      <c r="E287" s="280"/>
      <c r="F287" s="280"/>
      <c r="G287" s="280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  <c r="Z287" s="280"/>
      <c r="AA287" s="280"/>
    </row>
    <row r="288">
      <c r="A288" s="280"/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  <c r="AA288" s="280"/>
    </row>
    <row r="289">
      <c r="A289" s="280"/>
      <c r="B289" s="280"/>
      <c r="C289" s="280"/>
      <c r="D289" s="280"/>
      <c r="E289" s="280"/>
      <c r="F289" s="280"/>
      <c r="G289" s="280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  <c r="Z289" s="280"/>
      <c r="AA289" s="280"/>
    </row>
    <row r="290">
      <c r="A290" s="280"/>
      <c r="B290" s="280"/>
      <c r="C290" s="280"/>
      <c r="D290" s="280"/>
      <c r="E290" s="280"/>
      <c r="F290" s="280"/>
      <c r="G290" s="280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  <c r="Z290" s="280"/>
      <c r="AA290" s="280"/>
    </row>
    <row r="291">
      <c r="A291" s="280"/>
      <c r="B291" s="280"/>
      <c r="C291" s="280"/>
      <c r="D291" s="280"/>
      <c r="E291" s="280"/>
      <c r="F291" s="280"/>
      <c r="G291" s="280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  <c r="Z291" s="280"/>
      <c r="AA291" s="280"/>
    </row>
    <row r="292">
      <c r="A292" s="280"/>
      <c r="B292" s="280"/>
      <c r="C292" s="280"/>
      <c r="D292" s="280"/>
      <c r="E292" s="280"/>
      <c r="F292" s="280"/>
      <c r="G292" s="280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  <c r="Z292" s="280"/>
      <c r="AA292" s="280"/>
    </row>
    <row r="293">
      <c r="A293" s="280"/>
      <c r="B293" s="280"/>
      <c r="C293" s="280"/>
      <c r="D293" s="280"/>
      <c r="E293" s="280"/>
      <c r="F293" s="280"/>
      <c r="G293" s="280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  <c r="Z293" s="280"/>
      <c r="AA293" s="280"/>
    </row>
    <row r="294">
      <c r="A294" s="280"/>
      <c r="B294" s="280"/>
      <c r="C294" s="280"/>
      <c r="D294" s="280"/>
      <c r="E294" s="280"/>
      <c r="F294" s="280"/>
      <c r="G294" s="280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  <c r="Z294" s="280"/>
      <c r="AA294" s="280"/>
    </row>
    <row r="295">
      <c r="A295" s="280"/>
      <c r="B295" s="280"/>
      <c r="C295" s="280"/>
      <c r="D295" s="280"/>
      <c r="E295" s="280"/>
      <c r="F295" s="280"/>
      <c r="G295" s="280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  <c r="Z295" s="280"/>
      <c r="AA295" s="280"/>
    </row>
    <row r="296">
      <c r="A296" s="280"/>
      <c r="B296" s="280"/>
      <c r="C296" s="280"/>
      <c r="D296" s="280"/>
      <c r="E296" s="280"/>
      <c r="F296" s="280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  <c r="AA296" s="280"/>
    </row>
    <row r="297">
      <c r="A297" s="280"/>
      <c r="B297" s="280"/>
      <c r="C297" s="280"/>
      <c r="D297" s="280"/>
      <c r="E297" s="280"/>
      <c r="F297" s="280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  <c r="AA297" s="280"/>
    </row>
    <row r="298">
      <c r="A298" s="280"/>
      <c r="B298" s="280"/>
      <c r="C298" s="280"/>
      <c r="D298" s="280"/>
      <c r="E298" s="280"/>
      <c r="F298" s="280"/>
      <c r="G298" s="280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  <c r="Z298" s="280"/>
      <c r="AA298" s="280"/>
    </row>
    <row r="299">
      <c r="A299" s="280"/>
      <c r="B299" s="280"/>
      <c r="C299" s="280"/>
      <c r="D299" s="280"/>
      <c r="E299" s="280"/>
      <c r="F299" s="280"/>
      <c r="G299" s="280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  <c r="Z299" s="280"/>
      <c r="AA299" s="280"/>
    </row>
    <row r="300">
      <c r="A300" s="280"/>
      <c r="B300" s="280"/>
      <c r="C300" s="280"/>
      <c r="D300" s="280"/>
      <c r="E300" s="280"/>
      <c r="F300" s="280"/>
      <c r="G300" s="280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  <c r="Z300" s="280"/>
      <c r="AA300" s="280"/>
    </row>
    <row r="301">
      <c r="A301" s="280"/>
      <c r="B301" s="280"/>
      <c r="C301" s="280"/>
      <c r="D301" s="280"/>
      <c r="E301" s="280"/>
      <c r="F301" s="280"/>
      <c r="G301" s="280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  <c r="Z301" s="280"/>
      <c r="AA301" s="280"/>
    </row>
    <row r="302">
      <c r="A302" s="280"/>
      <c r="B302" s="280"/>
      <c r="C302" s="280"/>
      <c r="D302" s="280"/>
      <c r="E302" s="280"/>
      <c r="F302" s="280"/>
      <c r="G302" s="280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  <c r="Z302" s="280"/>
      <c r="AA302" s="280"/>
    </row>
    <row r="303">
      <c r="A303" s="280"/>
      <c r="B303" s="280"/>
      <c r="C303" s="280"/>
      <c r="D303" s="280"/>
      <c r="E303" s="280"/>
      <c r="F303" s="280"/>
      <c r="G303" s="280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  <c r="Z303" s="280"/>
      <c r="AA303" s="280"/>
    </row>
    <row r="304">
      <c r="A304" s="280"/>
      <c r="B304" s="280"/>
      <c r="C304" s="280"/>
      <c r="D304" s="280"/>
      <c r="E304" s="280"/>
      <c r="F304" s="280"/>
      <c r="G304" s="280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  <c r="Z304" s="280"/>
      <c r="AA304" s="280"/>
    </row>
    <row r="305">
      <c r="A305" s="280"/>
      <c r="B305" s="280"/>
      <c r="C305" s="280"/>
      <c r="D305" s="280"/>
      <c r="E305" s="280"/>
      <c r="F305" s="280"/>
      <c r="G305" s="280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  <c r="Z305" s="280"/>
      <c r="AA305" s="280"/>
    </row>
    <row r="306">
      <c r="A306" s="280"/>
      <c r="B306" s="280"/>
      <c r="C306" s="280"/>
      <c r="D306" s="280"/>
      <c r="E306" s="280"/>
      <c r="F306" s="280"/>
      <c r="G306" s="280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  <c r="Z306" s="280"/>
      <c r="AA306" s="280"/>
    </row>
    <row r="307">
      <c r="A307" s="280"/>
      <c r="B307" s="280"/>
      <c r="C307" s="280"/>
      <c r="D307" s="280"/>
      <c r="E307" s="280"/>
      <c r="F307" s="280"/>
      <c r="G307" s="280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  <c r="AA307" s="280"/>
    </row>
    <row r="308">
      <c r="A308" s="280"/>
      <c r="B308" s="280"/>
      <c r="C308" s="280"/>
      <c r="D308" s="280"/>
      <c r="E308" s="280"/>
      <c r="F308" s="280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  <c r="AA308" s="280"/>
    </row>
    <row r="309">
      <c r="A309" s="280"/>
      <c r="B309" s="280"/>
      <c r="C309" s="280"/>
      <c r="D309" s="280"/>
      <c r="E309" s="280"/>
      <c r="F309" s="280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  <c r="Z309" s="280"/>
      <c r="AA309" s="280"/>
    </row>
    <row r="310">
      <c r="A310" s="280"/>
      <c r="B310" s="280"/>
      <c r="C310" s="280"/>
      <c r="D310" s="280"/>
      <c r="E310" s="280"/>
      <c r="F310" s="280"/>
      <c r="G310" s="280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  <c r="AA310" s="280"/>
    </row>
    <row r="311">
      <c r="A311" s="280"/>
      <c r="B311" s="280"/>
      <c r="C311" s="280"/>
      <c r="D311" s="280"/>
      <c r="E311" s="280"/>
      <c r="F311" s="280"/>
      <c r="G311" s="280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  <c r="Z311" s="280"/>
      <c r="AA311" s="280"/>
    </row>
    <row r="312">
      <c r="A312" s="280"/>
      <c r="B312" s="280"/>
      <c r="C312" s="280"/>
      <c r="D312" s="280"/>
      <c r="E312" s="280"/>
      <c r="F312" s="280"/>
      <c r="G312" s="280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  <c r="Z312" s="280"/>
      <c r="AA312" s="280"/>
    </row>
    <row r="313">
      <c r="A313" s="280"/>
      <c r="B313" s="280"/>
      <c r="C313" s="280"/>
      <c r="D313" s="280"/>
      <c r="E313" s="280"/>
      <c r="F313" s="280"/>
      <c r="G313" s="280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  <c r="Z313" s="280"/>
      <c r="AA313" s="280"/>
    </row>
    <row r="314">
      <c r="A314" s="280"/>
      <c r="B314" s="280"/>
      <c r="C314" s="280"/>
      <c r="D314" s="280"/>
      <c r="E314" s="280"/>
      <c r="F314" s="280"/>
      <c r="G314" s="280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  <c r="Z314" s="280"/>
      <c r="AA314" s="280"/>
    </row>
    <row r="315">
      <c r="A315" s="280"/>
      <c r="B315" s="280"/>
      <c r="C315" s="280"/>
      <c r="D315" s="280"/>
      <c r="E315" s="280"/>
      <c r="F315" s="280"/>
      <c r="G315" s="280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  <c r="Z315" s="280"/>
      <c r="AA315" s="280"/>
    </row>
    <row r="316">
      <c r="A316" s="280"/>
      <c r="B316" s="280"/>
      <c r="C316" s="280"/>
      <c r="D316" s="280"/>
      <c r="E316" s="280"/>
      <c r="F316" s="280"/>
      <c r="G316" s="280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  <c r="Z316" s="280"/>
      <c r="AA316" s="280"/>
    </row>
    <row r="317">
      <c r="A317" s="280"/>
      <c r="B317" s="280"/>
      <c r="C317" s="280"/>
      <c r="D317" s="280"/>
      <c r="E317" s="280"/>
      <c r="F317" s="280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  <c r="AA317" s="280"/>
    </row>
    <row r="318">
      <c r="A318" s="280"/>
      <c r="B318" s="280"/>
      <c r="C318" s="280"/>
      <c r="D318" s="280"/>
      <c r="E318" s="280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  <c r="AA318" s="280"/>
    </row>
    <row r="319">
      <c r="A319" s="280"/>
      <c r="B319" s="280"/>
      <c r="C319" s="280"/>
      <c r="D319" s="280"/>
      <c r="E319" s="280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  <c r="AA319" s="280"/>
    </row>
    <row r="320">
      <c r="A320" s="280"/>
      <c r="B320" s="280"/>
      <c r="C320" s="280"/>
      <c r="D320" s="280"/>
      <c r="E320" s="280"/>
      <c r="F320" s="280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  <c r="Z320" s="280"/>
      <c r="AA320" s="280"/>
    </row>
    <row r="321">
      <c r="A321" s="280"/>
      <c r="B321" s="280"/>
      <c r="C321" s="280"/>
      <c r="D321" s="280"/>
      <c r="E321" s="280"/>
      <c r="F321" s="280"/>
      <c r="G321" s="280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  <c r="Z321" s="280"/>
      <c r="AA321" s="280"/>
    </row>
    <row r="322">
      <c r="A322" s="280"/>
      <c r="B322" s="280"/>
      <c r="C322" s="280"/>
      <c r="D322" s="280"/>
      <c r="E322" s="280"/>
      <c r="F322" s="280"/>
      <c r="G322" s="280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  <c r="Z322" s="280"/>
      <c r="AA322" s="280"/>
    </row>
    <row r="323">
      <c r="A323" s="280"/>
      <c r="B323" s="280"/>
      <c r="C323" s="280"/>
      <c r="D323" s="280"/>
      <c r="E323" s="280"/>
      <c r="F323" s="280"/>
      <c r="G323" s="280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  <c r="Z323" s="280"/>
      <c r="AA323" s="280"/>
    </row>
    <row r="324">
      <c r="A324" s="280"/>
      <c r="B324" s="280"/>
      <c r="C324" s="280"/>
      <c r="D324" s="280"/>
      <c r="E324" s="280"/>
      <c r="F324" s="280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  <c r="Z324" s="280"/>
      <c r="AA324" s="280"/>
    </row>
    <row r="325">
      <c r="A325" s="280"/>
      <c r="B325" s="280"/>
      <c r="C325" s="280"/>
      <c r="D325" s="280"/>
      <c r="E325" s="280"/>
      <c r="F325" s="280"/>
      <c r="G325" s="280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  <c r="Z325" s="280"/>
      <c r="AA325" s="280"/>
    </row>
    <row r="326">
      <c r="A326" s="280"/>
      <c r="B326" s="280"/>
      <c r="C326" s="280"/>
      <c r="D326" s="280"/>
      <c r="E326" s="280"/>
      <c r="F326" s="280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  <c r="Z326" s="280"/>
      <c r="AA326" s="280"/>
    </row>
    <row r="327">
      <c r="A327" s="280"/>
      <c r="B327" s="280"/>
      <c r="C327" s="280"/>
      <c r="D327" s="280"/>
      <c r="E327" s="280"/>
      <c r="F327" s="280"/>
      <c r="G327" s="280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  <c r="Z327" s="280"/>
      <c r="AA327" s="280"/>
    </row>
    <row r="328">
      <c r="A328" s="280"/>
      <c r="B328" s="280"/>
      <c r="C328" s="280"/>
      <c r="D328" s="280"/>
      <c r="E328" s="280"/>
      <c r="F328" s="280"/>
      <c r="G328" s="280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  <c r="Z328" s="280"/>
      <c r="AA328" s="280"/>
    </row>
    <row r="329">
      <c r="A329" s="280"/>
      <c r="B329" s="280"/>
      <c r="C329" s="280"/>
      <c r="D329" s="280"/>
      <c r="E329" s="280"/>
      <c r="F329" s="280"/>
      <c r="G329" s="280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  <c r="Z329" s="280"/>
      <c r="AA329" s="280"/>
    </row>
    <row r="330">
      <c r="A330" s="280"/>
      <c r="B330" s="280"/>
      <c r="C330" s="280"/>
      <c r="D330" s="280"/>
      <c r="E330" s="280"/>
      <c r="F330" s="280"/>
      <c r="G330" s="280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  <c r="Z330" s="280"/>
      <c r="AA330" s="280"/>
    </row>
    <row r="331">
      <c r="A331" s="280"/>
      <c r="B331" s="280"/>
      <c r="C331" s="280"/>
      <c r="D331" s="280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  <c r="AA331" s="280"/>
    </row>
    <row r="332">
      <c r="A332" s="280"/>
      <c r="B332" s="280"/>
      <c r="C332" s="280"/>
      <c r="D332" s="280"/>
      <c r="E332" s="280"/>
      <c r="F332" s="280"/>
      <c r="G332" s="280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  <c r="Z332" s="280"/>
      <c r="AA332" s="280"/>
    </row>
    <row r="333">
      <c r="A333" s="280"/>
      <c r="B333" s="280"/>
      <c r="C333" s="280"/>
      <c r="D333" s="280"/>
      <c r="E333" s="280"/>
      <c r="F333" s="280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  <c r="AA333" s="280"/>
    </row>
    <row r="334">
      <c r="A334" s="280"/>
      <c r="B334" s="280"/>
      <c r="C334" s="280"/>
      <c r="D334" s="280"/>
      <c r="E334" s="280"/>
      <c r="F334" s="280"/>
      <c r="G334" s="280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  <c r="Z334" s="280"/>
      <c r="AA334" s="280"/>
    </row>
    <row r="335">
      <c r="A335" s="280"/>
      <c r="B335" s="280"/>
      <c r="C335" s="280"/>
      <c r="D335" s="280"/>
      <c r="E335" s="280"/>
      <c r="F335" s="280"/>
      <c r="G335" s="280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  <c r="Z335" s="280"/>
      <c r="AA335" s="280"/>
    </row>
    <row r="336">
      <c r="A336" s="280"/>
      <c r="B336" s="280"/>
      <c r="C336" s="280"/>
      <c r="D336" s="280"/>
      <c r="E336" s="280"/>
      <c r="F336" s="280"/>
      <c r="G336" s="280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  <c r="Z336" s="280"/>
      <c r="AA336" s="280"/>
    </row>
    <row r="337">
      <c r="A337" s="280"/>
      <c r="B337" s="280"/>
      <c r="C337" s="280"/>
      <c r="D337" s="280"/>
      <c r="E337" s="280"/>
      <c r="F337" s="280"/>
      <c r="G337" s="280"/>
      <c r="H337" s="280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  <c r="Z337" s="280"/>
      <c r="AA337" s="280"/>
    </row>
    <row r="338">
      <c r="A338" s="280"/>
      <c r="B338" s="280"/>
      <c r="C338" s="280"/>
      <c r="D338" s="280"/>
      <c r="E338" s="280"/>
      <c r="F338" s="280"/>
      <c r="G338" s="280"/>
      <c r="H338" s="280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  <c r="Z338" s="280"/>
      <c r="AA338" s="280"/>
    </row>
    <row r="339">
      <c r="A339" s="280"/>
      <c r="B339" s="280"/>
      <c r="C339" s="280"/>
      <c r="D339" s="280"/>
      <c r="E339" s="280"/>
      <c r="F339" s="280"/>
      <c r="G339" s="280"/>
      <c r="H339" s="280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  <c r="Z339" s="280"/>
      <c r="AA339" s="280"/>
    </row>
    <row r="340">
      <c r="A340" s="280"/>
      <c r="B340" s="280"/>
      <c r="C340" s="280"/>
      <c r="D340" s="280"/>
      <c r="E340" s="280"/>
      <c r="F340" s="280"/>
      <c r="G340" s="280"/>
      <c r="H340" s="280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  <c r="Z340" s="280"/>
      <c r="AA340" s="280"/>
    </row>
    <row r="341">
      <c r="A341" s="280"/>
      <c r="B341" s="280"/>
      <c r="C341" s="280"/>
      <c r="D341" s="280"/>
      <c r="E341" s="280"/>
      <c r="F341" s="280"/>
      <c r="G341" s="280"/>
      <c r="H341" s="280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  <c r="Z341" s="280"/>
      <c r="AA341" s="280"/>
    </row>
    <row r="342">
      <c r="A342" s="280"/>
      <c r="B342" s="280"/>
      <c r="C342" s="280"/>
      <c r="D342" s="280"/>
      <c r="E342" s="280"/>
      <c r="F342" s="280"/>
      <c r="G342" s="280"/>
      <c r="H342" s="280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  <c r="Z342" s="280"/>
      <c r="AA342" s="280"/>
    </row>
    <row r="343">
      <c r="A343" s="280"/>
      <c r="B343" s="280"/>
      <c r="C343" s="280"/>
      <c r="D343" s="280"/>
      <c r="E343" s="280"/>
      <c r="F343" s="280"/>
      <c r="G343" s="280"/>
      <c r="H343" s="280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  <c r="Z343" s="280"/>
      <c r="AA343" s="280"/>
    </row>
    <row r="344">
      <c r="A344" s="280"/>
      <c r="B344" s="280"/>
      <c r="C344" s="280"/>
      <c r="D344" s="280"/>
      <c r="E344" s="280"/>
      <c r="F344" s="280"/>
      <c r="G344" s="280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  <c r="Z344" s="280"/>
      <c r="AA344" s="280"/>
    </row>
    <row r="345">
      <c r="A345" s="280"/>
      <c r="B345" s="280"/>
      <c r="C345" s="280"/>
      <c r="D345" s="280"/>
      <c r="E345" s="280"/>
      <c r="F345" s="280"/>
      <c r="G345" s="280"/>
      <c r="H345" s="280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  <c r="Z345" s="280"/>
      <c r="AA345" s="280"/>
    </row>
    <row r="346">
      <c r="A346" s="280"/>
      <c r="B346" s="280"/>
      <c r="C346" s="280"/>
      <c r="D346" s="280"/>
      <c r="E346" s="280"/>
      <c r="F346" s="280"/>
      <c r="G346" s="280"/>
      <c r="H346" s="280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  <c r="Z346" s="280"/>
      <c r="AA346" s="280"/>
    </row>
    <row r="347">
      <c r="A347" s="280"/>
      <c r="B347" s="280"/>
      <c r="C347" s="280"/>
      <c r="D347" s="280"/>
      <c r="E347" s="280"/>
      <c r="F347" s="280"/>
      <c r="G347" s="280"/>
      <c r="H347" s="280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  <c r="Z347" s="280"/>
      <c r="AA347" s="280"/>
    </row>
    <row r="348">
      <c r="A348" s="280"/>
      <c r="B348" s="280"/>
      <c r="C348" s="280"/>
      <c r="D348" s="280"/>
      <c r="E348" s="280"/>
      <c r="F348" s="280"/>
      <c r="G348" s="280"/>
      <c r="H348" s="280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  <c r="Z348" s="280"/>
      <c r="AA348" s="280"/>
    </row>
    <row r="349">
      <c r="A349" s="280"/>
      <c r="B349" s="280"/>
      <c r="C349" s="280"/>
      <c r="D349" s="280"/>
      <c r="E349" s="280"/>
      <c r="F349" s="280"/>
      <c r="G349" s="280"/>
      <c r="H349" s="280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  <c r="Z349" s="280"/>
      <c r="AA349" s="280"/>
    </row>
    <row r="350">
      <c r="A350" s="280"/>
      <c r="B350" s="280"/>
      <c r="C350" s="280"/>
      <c r="D350" s="280"/>
      <c r="E350" s="280"/>
      <c r="F350" s="280"/>
      <c r="G350" s="280"/>
      <c r="H350" s="280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  <c r="Z350" s="280"/>
      <c r="AA350" s="280"/>
    </row>
    <row r="351">
      <c r="A351" s="280"/>
      <c r="B351" s="280"/>
      <c r="C351" s="280"/>
      <c r="D351" s="280"/>
      <c r="E351" s="280"/>
      <c r="F351" s="280"/>
      <c r="G351" s="280"/>
      <c r="H351" s="280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  <c r="Z351" s="280"/>
      <c r="AA351" s="280"/>
    </row>
    <row r="352">
      <c r="A352" s="280"/>
      <c r="B352" s="280"/>
      <c r="C352" s="280"/>
      <c r="D352" s="280"/>
      <c r="E352" s="280"/>
      <c r="F352" s="280"/>
      <c r="G352" s="280"/>
      <c r="H352" s="280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  <c r="Z352" s="280"/>
      <c r="AA352" s="280"/>
    </row>
    <row r="353">
      <c r="A353" s="280"/>
      <c r="B353" s="280"/>
      <c r="C353" s="280"/>
      <c r="D353" s="280"/>
      <c r="E353" s="280"/>
      <c r="F353" s="280"/>
      <c r="G353" s="280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  <c r="Z353" s="280"/>
      <c r="AA353" s="280"/>
    </row>
    <row r="354">
      <c r="A354" s="280"/>
      <c r="B354" s="280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  <c r="Z354" s="280"/>
      <c r="AA354" s="280"/>
    </row>
    <row r="355">
      <c r="A355" s="280"/>
      <c r="B355" s="280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  <c r="Z355" s="280"/>
      <c r="AA355" s="280"/>
    </row>
    <row r="356">
      <c r="A356" s="280"/>
      <c r="B356" s="280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  <c r="Z356" s="280"/>
      <c r="AA356" s="280"/>
    </row>
    <row r="357">
      <c r="A357" s="280"/>
      <c r="B357" s="280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  <c r="Z357" s="280"/>
      <c r="AA357" s="280"/>
    </row>
    <row r="358">
      <c r="A358" s="280"/>
      <c r="B358" s="280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  <c r="Z358" s="280"/>
      <c r="AA358" s="280"/>
    </row>
    <row r="359">
      <c r="A359" s="280"/>
      <c r="B359" s="280"/>
      <c r="C359" s="280"/>
      <c r="D359" s="280"/>
      <c r="E359" s="280"/>
      <c r="F359" s="280"/>
      <c r="G359" s="280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  <c r="Z359" s="280"/>
      <c r="AA359" s="280"/>
    </row>
    <row r="360">
      <c r="A360" s="280"/>
      <c r="B360" s="280"/>
      <c r="C360" s="280"/>
      <c r="D360" s="280"/>
      <c r="E360" s="280"/>
      <c r="F360" s="280"/>
      <c r="G360" s="280"/>
      <c r="H360" s="280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  <c r="Z360" s="280"/>
      <c r="AA360" s="280"/>
    </row>
    <row r="361">
      <c r="A361" s="280"/>
      <c r="B361" s="280"/>
      <c r="C361" s="280"/>
      <c r="D361" s="280"/>
      <c r="E361" s="280"/>
      <c r="F361" s="280"/>
      <c r="G361" s="280"/>
      <c r="H361" s="280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  <c r="Z361" s="280"/>
      <c r="AA361" s="280"/>
    </row>
    <row r="362">
      <c r="A362" s="280"/>
      <c r="B362" s="280"/>
      <c r="C362" s="280"/>
      <c r="D362" s="280"/>
      <c r="E362" s="280"/>
      <c r="F362" s="280"/>
      <c r="G362" s="280"/>
      <c r="H362" s="280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  <c r="Z362" s="280"/>
      <c r="AA362" s="280"/>
    </row>
    <row r="363">
      <c r="A363" s="280"/>
      <c r="B363" s="280"/>
      <c r="C363" s="280"/>
      <c r="D363" s="280"/>
      <c r="E363" s="280"/>
      <c r="F363" s="280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  <c r="Z363" s="280"/>
      <c r="AA363" s="280"/>
    </row>
    <row r="364">
      <c r="A364" s="280"/>
      <c r="B364" s="280"/>
      <c r="C364" s="280"/>
      <c r="D364" s="280"/>
      <c r="E364" s="280"/>
      <c r="F364" s="280"/>
      <c r="G364" s="280"/>
      <c r="H364" s="280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  <c r="Z364" s="280"/>
      <c r="AA364" s="280"/>
    </row>
    <row r="365">
      <c r="A365" s="280"/>
      <c r="B365" s="280"/>
      <c r="C365" s="280"/>
      <c r="D365" s="280"/>
      <c r="E365" s="280"/>
      <c r="F365" s="280"/>
      <c r="G365" s="280"/>
      <c r="H365" s="280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  <c r="Z365" s="280"/>
      <c r="AA365" s="280"/>
    </row>
    <row r="366">
      <c r="A366" s="280"/>
      <c r="B366" s="280"/>
      <c r="C366" s="280"/>
      <c r="D366" s="280"/>
      <c r="E366" s="280"/>
      <c r="F366" s="280"/>
      <c r="G366" s="280"/>
      <c r="H366" s="280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  <c r="Z366" s="280"/>
      <c r="AA366" s="280"/>
    </row>
    <row r="367">
      <c r="A367" s="280"/>
      <c r="B367" s="280"/>
      <c r="C367" s="280"/>
      <c r="D367" s="280"/>
      <c r="E367" s="280"/>
      <c r="F367" s="280"/>
      <c r="G367" s="280"/>
      <c r="H367" s="280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  <c r="Z367" s="280"/>
      <c r="AA367" s="280"/>
    </row>
    <row r="368">
      <c r="A368" s="280"/>
      <c r="B368" s="280"/>
      <c r="C368" s="280"/>
      <c r="D368" s="280"/>
      <c r="E368" s="280"/>
      <c r="F368" s="280"/>
      <c r="G368" s="280"/>
      <c r="H368" s="280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  <c r="Z368" s="280"/>
      <c r="AA368" s="280"/>
    </row>
    <row r="369">
      <c r="A369" s="280"/>
      <c r="B369" s="280"/>
      <c r="C369" s="280"/>
      <c r="D369" s="280"/>
      <c r="E369" s="280"/>
      <c r="F369" s="280"/>
      <c r="G369" s="280"/>
      <c r="H369" s="280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  <c r="Z369" s="280"/>
      <c r="AA369" s="280"/>
    </row>
    <row r="370">
      <c r="A370" s="280"/>
      <c r="B370" s="280"/>
      <c r="C370" s="280"/>
      <c r="D370" s="280"/>
      <c r="E370" s="280"/>
      <c r="F370" s="280"/>
      <c r="G370" s="280"/>
      <c r="H370" s="280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  <c r="Z370" s="280"/>
      <c r="AA370" s="280"/>
    </row>
    <row r="371">
      <c r="A371" s="280"/>
      <c r="B371" s="280"/>
      <c r="C371" s="280"/>
      <c r="D371" s="280"/>
      <c r="E371" s="280"/>
      <c r="F371" s="280"/>
      <c r="G371" s="280"/>
      <c r="H371" s="280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  <c r="AA371" s="280"/>
    </row>
    <row r="372">
      <c r="A372" s="280"/>
      <c r="B372" s="280"/>
      <c r="C372" s="280"/>
      <c r="D372" s="280"/>
      <c r="E372" s="280"/>
      <c r="F372" s="280"/>
      <c r="G372" s="280"/>
      <c r="H372" s="280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  <c r="Z372" s="280"/>
      <c r="AA372" s="280"/>
    </row>
    <row r="373">
      <c r="A373" s="280"/>
      <c r="B373" s="280"/>
      <c r="C373" s="280"/>
      <c r="D373" s="280"/>
      <c r="E373" s="280"/>
      <c r="F373" s="280"/>
      <c r="G373" s="280"/>
      <c r="H373" s="280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  <c r="Z373" s="280"/>
      <c r="AA373" s="280"/>
    </row>
    <row r="374">
      <c r="A374" s="280"/>
      <c r="B374" s="280"/>
      <c r="C374" s="280"/>
      <c r="D374" s="280"/>
      <c r="E374" s="280"/>
      <c r="F374" s="280"/>
      <c r="G374" s="280"/>
      <c r="H374" s="280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  <c r="Z374" s="280"/>
      <c r="AA374" s="280"/>
    </row>
    <row r="375">
      <c r="A375" s="280"/>
      <c r="B375" s="280"/>
      <c r="C375" s="280"/>
      <c r="D375" s="280"/>
      <c r="E375" s="280"/>
      <c r="F375" s="280"/>
      <c r="G375" s="280"/>
      <c r="H375" s="280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  <c r="Z375" s="280"/>
      <c r="AA375" s="280"/>
    </row>
    <row r="376">
      <c r="A376" s="280"/>
      <c r="B376" s="280"/>
      <c r="C376" s="280"/>
      <c r="D376" s="280"/>
      <c r="E376" s="280"/>
      <c r="F376" s="280"/>
      <c r="G376" s="280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  <c r="Z376" s="280"/>
      <c r="AA376" s="280"/>
    </row>
    <row r="377">
      <c r="A377" s="280"/>
      <c r="B377" s="280"/>
      <c r="C377" s="280"/>
      <c r="D377" s="280"/>
      <c r="E377" s="280"/>
      <c r="F377" s="280"/>
      <c r="G377" s="280"/>
      <c r="H377" s="280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  <c r="Z377" s="280"/>
      <c r="AA377" s="280"/>
    </row>
    <row r="378">
      <c r="A378" s="280"/>
      <c r="B378" s="280"/>
      <c r="C378" s="280"/>
      <c r="D378" s="280"/>
      <c r="E378" s="280"/>
      <c r="F378" s="280"/>
      <c r="G378" s="280"/>
      <c r="H378" s="280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  <c r="AA378" s="280"/>
    </row>
    <row r="379">
      <c r="A379" s="280"/>
      <c r="B379" s="280"/>
      <c r="C379" s="280"/>
      <c r="D379" s="280"/>
      <c r="E379" s="280"/>
      <c r="F379" s="280"/>
      <c r="G379" s="280"/>
      <c r="H379" s="280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  <c r="Z379" s="280"/>
      <c r="AA379" s="280"/>
    </row>
    <row r="380">
      <c r="A380" s="280"/>
      <c r="B380" s="280"/>
      <c r="C380" s="280"/>
      <c r="D380" s="280"/>
      <c r="E380" s="280"/>
      <c r="F380" s="280"/>
      <c r="G380" s="280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  <c r="AA380" s="280"/>
    </row>
    <row r="381">
      <c r="A381" s="280"/>
      <c r="B381" s="280"/>
      <c r="C381" s="280"/>
      <c r="D381" s="280"/>
      <c r="E381" s="280"/>
      <c r="F381" s="280"/>
      <c r="G381" s="280"/>
      <c r="H381" s="280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  <c r="Z381" s="280"/>
      <c r="AA381" s="280"/>
    </row>
    <row r="382">
      <c r="A382" s="280"/>
      <c r="B382" s="280"/>
      <c r="C382" s="280"/>
      <c r="D382" s="280"/>
      <c r="E382" s="280"/>
      <c r="F382" s="280"/>
      <c r="G382" s="280"/>
      <c r="H382" s="280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  <c r="Z382" s="280"/>
      <c r="AA382" s="280"/>
    </row>
    <row r="383">
      <c r="A383" s="280"/>
      <c r="B383" s="280"/>
      <c r="C383" s="280"/>
      <c r="D383" s="280"/>
      <c r="E383" s="280"/>
      <c r="F383" s="280"/>
      <c r="G383" s="280"/>
      <c r="H383" s="280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  <c r="Z383" s="280"/>
      <c r="AA383" s="280"/>
    </row>
    <row r="384">
      <c r="A384" s="280"/>
      <c r="B384" s="280"/>
      <c r="C384" s="280"/>
      <c r="D384" s="280"/>
      <c r="E384" s="280"/>
      <c r="F384" s="280"/>
      <c r="G384" s="280"/>
      <c r="H384" s="280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  <c r="Z384" s="280"/>
      <c r="AA384" s="280"/>
    </row>
    <row r="385">
      <c r="A385" s="280"/>
      <c r="B385" s="280"/>
      <c r="C385" s="280"/>
      <c r="D385" s="280"/>
      <c r="E385" s="280"/>
      <c r="F385" s="280"/>
      <c r="G385" s="280"/>
      <c r="H385" s="280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  <c r="Z385" s="280"/>
      <c r="AA385" s="280"/>
    </row>
    <row r="386">
      <c r="A386" s="280"/>
      <c r="B386" s="280"/>
      <c r="C386" s="280"/>
      <c r="D386" s="280"/>
      <c r="E386" s="280"/>
      <c r="F386" s="280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  <c r="Z386" s="280"/>
      <c r="AA386" s="280"/>
    </row>
    <row r="387">
      <c r="A387" s="280"/>
      <c r="B387" s="280"/>
      <c r="C387" s="280"/>
      <c r="D387" s="280"/>
      <c r="E387" s="280"/>
      <c r="F387" s="280"/>
      <c r="G387" s="280"/>
      <c r="H387" s="280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  <c r="Z387" s="280"/>
      <c r="AA387" s="280"/>
    </row>
    <row r="388">
      <c r="A388" s="280"/>
      <c r="B388" s="280"/>
      <c r="C388" s="280"/>
      <c r="D388" s="280"/>
      <c r="E388" s="280"/>
      <c r="F388" s="280"/>
      <c r="G388" s="280"/>
      <c r="H388" s="280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  <c r="Z388" s="280"/>
      <c r="AA388" s="280"/>
    </row>
    <row r="389">
      <c r="A389" s="280"/>
      <c r="B389" s="280"/>
      <c r="C389" s="280"/>
      <c r="D389" s="280"/>
      <c r="E389" s="280"/>
      <c r="F389" s="280"/>
      <c r="G389" s="280"/>
      <c r="H389" s="280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  <c r="Z389" s="280"/>
      <c r="AA389" s="280"/>
    </row>
    <row r="390">
      <c r="A390" s="280"/>
      <c r="B390" s="280"/>
      <c r="C390" s="280"/>
      <c r="D390" s="280"/>
      <c r="E390" s="280"/>
      <c r="F390" s="280"/>
      <c r="G390" s="280"/>
      <c r="H390" s="280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  <c r="Z390" s="280"/>
      <c r="AA390" s="280"/>
    </row>
    <row r="391">
      <c r="A391" s="280"/>
      <c r="B391" s="280"/>
      <c r="C391" s="280"/>
      <c r="D391" s="280"/>
      <c r="E391" s="280"/>
      <c r="F391" s="280"/>
      <c r="G391" s="280"/>
      <c r="H391" s="280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  <c r="Z391" s="280"/>
      <c r="AA391" s="280"/>
    </row>
    <row r="392">
      <c r="A392" s="280"/>
      <c r="B392" s="280"/>
      <c r="C392" s="280"/>
      <c r="D392" s="280"/>
      <c r="E392" s="280"/>
      <c r="F392" s="280"/>
      <c r="G392" s="280"/>
      <c r="H392" s="280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  <c r="Z392" s="280"/>
      <c r="AA392" s="280"/>
    </row>
    <row r="393">
      <c r="A393" s="280"/>
      <c r="B393" s="280"/>
      <c r="C393" s="280"/>
      <c r="D393" s="280"/>
      <c r="E393" s="280"/>
      <c r="F393" s="280"/>
      <c r="G393" s="280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  <c r="Z393" s="280"/>
      <c r="AA393" s="280"/>
    </row>
    <row r="394">
      <c r="A394" s="280"/>
      <c r="B394" s="280"/>
      <c r="C394" s="280"/>
      <c r="D394" s="280"/>
      <c r="E394" s="280"/>
      <c r="F394" s="280"/>
      <c r="G394" s="280"/>
      <c r="H394" s="280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  <c r="Z394" s="280"/>
      <c r="AA394" s="280"/>
    </row>
    <row r="395">
      <c r="A395" s="280"/>
      <c r="B395" s="280"/>
      <c r="C395" s="280"/>
      <c r="D395" s="280"/>
      <c r="E395" s="280"/>
      <c r="F395" s="280"/>
      <c r="G395" s="280"/>
      <c r="H395" s="280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  <c r="Z395" s="280"/>
      <c r="AA395" s="280"/>
    </row>
    <row r="396">
      <c r="A396" s="280"/>
      <c r="B396" s="280"/>
      <c r="C396" s="280"/>
      <c r="D396" s="280"/>
      <c r="E396" s="280"/>
      <c r="F396" s="280"/>
      <c r="G396" s="280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  <c r="Z396" s="280"/>
      <c r="AA396" s="280"/>
    </row>
    <row r="397">
      <c r="A397" s="280"/>
      <c r="B397" s="280"/>
      <c r="C397" s="280"/>
      <c r="D397" s="280"/>
      <c r="E397" s="280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  <c r="AA397" s="280"/>
    </row>
    <row r="398">
      <c r="A398" s="280"/>
      <c r="B398" s="280"/>
      <c r="C398" s="280"/>
      <c r="D398" s="280"/>
      <c r="E398" s="280"/>
      <c r="F398" s="280"/>
      <c r="G398" s="280"/>
      <c r="H398" s="280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  <c r="Z398" s="280"/>
      <c r="AA398" s="280"/>
    </row>
    <row r="399">
      <c r="A399" s="280"/>
      <c r="B399" s="280"/>
      <c r="C399" s="280"/>
      <c r="D399" s="280"/>
      <c r="E399" s="280"/>
      <c r="F399" s="280"/>
      <c r="G399" s="280"/>
      <c r="H399" s="280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  <c r="Z399" s="280"/>
      <c r="AA399" s="280"/>
    </row>
    <row r="400">
      <c r="A400" s="280"/>
      <c r="B400" s="280"/>
      <c r="C400" s="280"/>
      <c r="D400" s="280"/>
      <c r="E400" s="280"/>
      <c r="F400" s="280"/>
      <c r="G400" s="280"/>
      <c r="H400" s="280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  <c r="Z400" s="280"/>
      <c r="AA400" s="280"/>
    </row>
    <row r="401">
      <c r="A401" s="280"/>
      <c r="B401" s="280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  <c r="Z401" s="280"/>
      <c r="AA401" s="280"/>
    </row>
    <row r="402">
      <c r="A402" s="280"/>
      <c r="B402" s="280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  <c r="Z402" s="280"/>
      <c r="AA402" s="280"/>
    </row>
    <row r="403">
      <c r="A403" s="280"/>
      <c r="B403" s="280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  <c r="Z403" s="280"/>
      <c r="AA403" s="280"/>
    </row>
    <row r="404">
      <c r="A404" s="280"/>
      <c r="B404" s="280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  <c r="AA404" s="280"/>
    </row>
    <row r="405">
      <c r="A405" s="280"/>
      <c r="B405" s="280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  <c r="Z405" s="280"/>
      <c r="AA405" s="280"/>
    </row>
    <row r="406">
      <c r="A406" s="280"/>
      <c r="B406" s="280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  <c r="Z406" s="280"/>
      <c r="AA406" s="280"/>
    </row>
    <row r="407">
      <c r="A407" s="280"/>
      <c r="B407" s="280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  <c r="Z407" s="280"/>
      <c r="AA407" s="280"/>
    </row>
    <row r="408">
      <c r="A408" s="280"/>
      <c r="B408" s="280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  <c r="Z408" s="280"/>
      <c r="AA408" s="280"/>
    </row>
    <row r="409">
      <c r="A409" s="280"/>
      <c r="B409" s="280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  <c r="Z409" s="280"/>
      <c r="AA409" s="280"/>
    </row>
    <row r="410">
      <c r="A410" s="280"/>
      <c r="B410" s="280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  <c r="Z410" s="280"/>
      <c r="AA410" s="280"/>
    </row>
    <row r="411">
      <c r="A411" s="280"/>
      <c r="B411" s="280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  <c r="AA411" s="280"/>
    </row>
    <row r="412">
      <c r="A412" s="280"/>
      <c r="B412" s="280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  <c r="Z412" s="280"/>
      <c r="AA412" s="280"/>
    </row>
    <row r="413">
      <c r="A413" s="280"/>
      <c r="B413" s="280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  <c r="Z413" s="280"/>
      <c r="AA413" s="280"/>
    </row>
    <row r="414">
      <c r="A414" s="280"/>
      <c r="B414" s="280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  <c r="Z414" s="280"/>
      <c r="AA414" s="280"/>
    </row>
    <row r="415">
      <c r="A415" s="280"/>
      <c r="B415" s="280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  <c r="Z415" s="280"/>
      <c r="AA415" s="280"/>
    </row>
    <row r="416">
      <c r="A416" s="280"/>
      <c r="B416" s="280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  <c r="Z416" s="280"/>
      <c r="AA416" s="280"/>
    </row>
    <row r="417">
      <c r="A417" s="280"/>
      <c r="B417" s="280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  <c r="Z417" s="280"/>
      <c r="AA417" s="280"/>
    </row>
    <row r="418">
      <c r="A418" s="280"/>
      <c r="B418" s="280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  <c r="Z418" s="280"/>
      <c r="AA418" s="280"/>
    </row>
    <row r="419">
      <c r="A419" s="280"/>
      <c r="B419" s="280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  <c r="Z419" s="280"/>
      <c r="AA419" s="280"/>
    </row>
    <row r="420">
      <c r="A420" s="280"/>
      <c r="B420" s="280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  <c r="Z420" s="280"/>
      <c r="AA420" s="280"/>
    </row>
    <row r="421">
      <c r="A421" s="280"/>
      <c r="B421" s="280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  <c r="Z421" s="280"/>
      <c r="AA421" s="280"/>
    </row>
    <row r="422">
      <c r="A422" s="280"/>
      <c r="B422" s="280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  <c r="AA422" s="280"/>
    </row>
    <row r="423">
      <c r="A423" s="280"/>
      <c r="B423" s="280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  <c r="Z423" s="280"/>
      <c r="AA423" s="280"/>
    </row>
    <row r="424">
      <c r="A424" s="280"/>
      <c r="B424" s="280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  <c r="Z424" s="280"/>
      <c r="AA424" s="280"/>
    </row>
    <row r="425">
      <c r="A425" s="280"/>
      <c r="B425" s="280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  <c r="Z425" s="280"/>
      <c r="AA425" s="280"/>
    </row>
    <row r="426">
      <c r="A426" s="280"/>
      <c r="B426" s="280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  <c r="Z426" s="280"/>
      <c r="AA426" s="280"/>
    </row>
    <row r="427">
      <c r="A427" s="280"/>
      <c r="B427" s="280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  <c r="AA427" s="280"/>
    </row>
    <row r="428">
      <c r="A428" s="280"/>
      <c r="B428" s="280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  <c r="Z428" s="280"/>
      <c r="AA428" s="280"/>
    </row>
    <row r="429">
      <c r="A429" s="280"/>
      <c r="B429" s="280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  <c r="Z429" s="280"/>
      <c r="AA429" s="280"/>
    </row>
    <row r="430">
      <c r="A430" s="280"/>
      <c r="B430" s="280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  <c r="Z430" s="280"/>
      <c r="AA430" s="280"/>
    </row>
    <row r="431">
      <c r="A431" s="280"/>
      <c r="B431" s="280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  <c r="Z431" s="280"/>
      <c r="AA431" s="280"/>
    </row>
    <row r="432">
      <c r="A432" s="280"/>
      <c r="B432" s="280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  <c r="AA432" s="280"/>
    </row>
    <row r="433">
      <c r="A433" s="280"/>
      <c r="B433" s="280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  <c r="Z433" s="280"/>
      <c r="AA433" s="280"/>
    </row>
    <row r="434">
      <c r="A434" s="280"/>
      <c r="B434" s="280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  <c r="Z434" s="280"/>
      <c r="AA434" s="280"/>
    </row>
    <row r="435">
      <c r="A435" s="280"/>
      <c r="B435" s="280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  <c r="Z435" s="280"/>
      <c r="AA435" s="280"/>
    </row>
    <row r="436">
      <c r="A436" s="280"/>
      <c r="B436" s="280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  <c r="Z436" s="280"/>
      <c r="AA436" s="280"/>
    </row>
    <row r="437">
      <c r="A437" s="280"/>
      <c r="B437" s="280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  <c r="Z437" s="280"/>
      <c r="AA437" s="280"/>
    </row>
    <row r="438">
      <c r="A438" s="280"/>
      <c r="B438" s="280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  <c r="Z438" s="280"/>
      <c r="AA438" s="280"/>
    </row>
    <row r="439">
      <c r="A439" s="280"/>
      <c r="B439" s="280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  <c r="Z439" s="280"/>
      <c r="AA439" s="280"/>
    </row>
    <row r="440">
      <c r="A440" s="280"/>
      <c r="B440" s="280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  <c r="Z440" s="280"/>
      <c r="AA440" s="280"/>
    </row>
    <row r="441">
      <c r="A441" s="280"/>
      <c r="B441" s="280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  <c r="Z441" s="280"/>
      <c r="AA441" s="280"/>
    </row>
    <row r="442">
      <c r="A442" s="280"/>
      <c r="B442" s="280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  <c r="Z442" s="280"/>
      <c r="AA442" s="280"/>
    </row>
    <row r="443">
      <c r="A443" s="280"/>
      <c r="B443" s="280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  <c r="Z443" s="280"/>
      <c r="AA443" s="280"/>
    </row>
    <row r="444">
      <c r="A444" s="280"/>
      <c r="B444" s="280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  <c r="Z444" s="280"/>
      <c r="AA444" s="280"/>
    </row>
    <row r="445">
      <c r="A445" s="280"/>
      <c r="B445" s="280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  <c r="Z445" s="280"/>
      <c r="AA445" s="280"/>
    </row>
    <row r="446">
      <c r="A446" s="280"/>
      <c r="B446" s="280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  <c r="Z446" s="280"/>
      <c r="AA446" s="280"/>
    </row>
    <row r="447">
      <c r="A447" s="280"/>
      <c r="B447" s="280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  <c r="Z447" s="280"/>
      <c r="AA447" s="280"/>
    </row>
    <row r="448">
      <c r="A448" s="280"/>
      <c r="B448" s="280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  <c r="Z448" s="280"/>
      <c r="AA448" s="280"/>
    </row>
    <row r="449">
      <c r="A449" s="280"/>
      <c r="B449" s="280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  <c r="Z449" s="280"/>
      <c r="AA449" s="280"/>
    </row>
    <row r="450">
      <c r="A450" s="280"/>
      <c r="B450" s="280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  <c r="Z450" s="280"/>
      <c r="AA450" s="280"/>
    </row>
    <row r="451">
      <c r="A451" s="280"/>
      <c r="B451" s="280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  <c r="Z451" s="280"/>
      <c r="AA451" s="280"/>
    </row>
    <row r="452">
      <c r="A452" s="280"/>
      <c r="B452" s="280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  <c r="Z452" s="280"/>
      <c r="AA452" s="280"/>
    </row>
    <row r="453">
      <c r="A453" s="280"/>
      <c r="B453" s="280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  <c r="Z453" s="280"/>
      <c r="AA453" s="280"/>
    </row>
    <row r="454">
      <c r="A454" s="280"/>
      <c r="B454" s="280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  <c r="Z454" s="280"/>
      <c r="AA454" s="280"/>
    </row>
    <row r="455">
      <c r="A455" s="280"/>
      <c r="B455" s="280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  <c r="Z455" s="280"/>
      <c r="AA455" s="280"/>
    </row>
    <row r="456">
      <c r="A456" s="280"/>
      <c r="B456" s="280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  <c r="Z456" s="280"/>
      <c r="AA456" s="280"/>
    </row>
    <row r="457">
      <c r="A457" s="280"/>
      <c r="B457" s="280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  <c r="Z457" s="280"/>
      <c r="AA457" s="280"/>
    </row>
    <row r="458">
      <c r="A458" s="280"/>
      <c r="B458" s="280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  <c r="Z458" s="280"/>
      <c r="AA458" s="280"/>
    </row>
    <row r="459">
      <c r="A459" s="280"/>
      <c r="B459" s="280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  <c r="Z459" s="280"/>
      <c r="AA459" s="280"/>
    </row>
    <row r="460">
      <c r="A460" s="280"/>
      <c r="B460" s="280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  <c r="Z460" s="280"/>
      <c r="AA460" s="280"/>
    </row>
    <row r="461">
      <c r="A461" s="280"/>
      <c r="B461" s="280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  <c r="Z461" s="280"/>
      <c r="AA461" s="280"/>
    </row>
    <row r="462">
      <c r="A462" s="280"/>
      <c r="B462" s="280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  <c r="Z462" s="280"/>
      <c r="AA462" s="280"/>
    </row>
    <row r="463">
      <c r="A463" s="280"/>
      <c r="B463" s="280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  <c r="AA463" s="280"/>
    </row>
    <row r="464">
      <c r="A464" s="280"/>
      <c r="B464" s="280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  <c r="Z464" s="280"/>
      <c r="AA464" s="280"/>
    </row>
    <row r="465">
      <c r="A465" s="280"/>
      <c r="B465" s="280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  <c r="Z465" s="280"/>
      <c r="AA465" s="280"/>
    </row>
    <row r="466">
      <c r="A466" s="280"/>
      <c r="B466" s="280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  <c r="Z466" s="280"/>
      <c r="AA466" s="280"/>
    </row>
    <row r="467">
      <c r="A467" s="280"/>
      <c r="B467" s="280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  <c r="Z467" s="280"/>
      <c r="AA467" s="280"/>
    </row>
    <row r="468">
      <c r="A468" s="280"/>
      <c r="B468" s="280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  <c r="Z468" s="280"/>
      <c r="AA468" s="280"/>
    </row>
    <row r="469">
      <c r="A469" s="280"/>
      <c r="B469" s="280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  <c r="Z469" s="280"/>
      <c r="AA469" s="280"/>
    </row>
    <row r="470">
      <c r="A470" s="280"/>
      <c r="B470" s="280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  <c r="Z470" s="280"/>
      <c r="AA470" s="280"/>
    </row>
    <row r="471">
      <c r="A471" s="280"/>
      <c r="B471" s="280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  <c r="AA471" s="280"/>
    </row>
    <row r="472">
      <c r="A472" s="280"/>
      <c r="B472" s="280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  <c r="Z472" s="280"/>
      <c r="AA472" s="280"/>
    </row>
    <row r="473">
      <c r="A473" s="280"/>
      <c r="B473" s="280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  <c r="Z473" s="280"/>
      <c r="AA473" s="280"/>
    </row>
    <row r="474">
      <c r="A474" s="280"/>
      <c r="B474" s="280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  <c r="Z474" s="280"/>
      <c r="AA474" s="280"/>
    </row>
    <row r="475">
      <c r="A475" s="280"/>
      <c r="B475" s="280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  <c r="Z475" s="280"/>
      <c r="AA475" s="280"/>
    </row>
    <row r="476">
      <c r="A476" s="280"/>
      <c r="B476" s="280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  <c r="Z476" s="280"/>
      <c r="AA476" s="280"/>
    </row>
    <row r="477">
      <c r="A477" s="280"/>
      <c r="B477" s="280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  <c r="Z477" s="280"/>
      <c r="AA477" s="280"/>
    </row>
    <row r="478">
      <c r="A478" s="280"/>
      <c r="B478" s="280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  <c r="Z478" s="280"/>
      <c r="AA478" s="280"/>
    </row>
    <row r="479">
      <c r="A479" s="280"/>
      <c r="B479" s="280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  <c r="Z479" s="280"/>
      <c r="AA479" s="280"/>
    </row>
    <row r="480">
      <c r="A480" s="280"/>
      <c r="B480" s="280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  <c r="Z480" s="280"/>
      <c r="AA480" s="280"/>
    </row>
    <row r="481">
      <c r="A481" s="280"/>
      <c r="B481" s="280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  <c r="Z481" s="280"/>
      <c r="AA481" s="280"/>
    </row>
    <row r="482">
      <c r="A482" s="280"/>
      <c r="B482" s="280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  <c r="Z482" s="280"/>
      <c r="AA482" s="280"/>
    </row>
    <row r="483">
      <c r="A483" s="280"/>
      <c r="B483" s="280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  <c r="Z483" s="280"/>
      <c r="AA483" s="280"/>
    </row>
    <row r="484">
      <c r="A484" s="280"/>
      <c r="B484" s="280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  <c r="Z484" s="280"/>
      <c r="AA484" s="280"/>
    </row>
    <row r="485">
      <c r="A485" s="280"/>
      <c r="B485" s="280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  <c r="Z485" s="280"/>
      <c r="AA485" s="280"/>
    </row>
    <row r="486">
      <c r="A486" s="280"/>
      <c r="B486" s="280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  <c r="Z486" s="280"/>
      <c r="AA486" s="280"/>
    </row>
    <row r="487">
      <c r="A487" s="280"/>
      <c r="B487" s="280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  <c r="Z487" s="280"/>
      <c r="AA487" s="280"/>
    </row>
    <row r="488">
      <c r="A488" s="280"/>
      <c r="B488" s="280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  <c r="Z488" s="280"/>
      <c r="AA488" s="280"/>
    </row>
    <row r="489">
      <c r="A489" s="280"/>
      <c r="B489" s="280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  <c r="Z489" s="280"/>
      <c r="AA489" s="280"/>
    </row>
    <row r="490">
      <c r="A490" s="280"/>
      <c r="B490" s="280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  <c r="Z490" s="280"/>
      <c r="AA490" s="280"/>
    </row>
    <row r="491">
      <c r="A491" s="280"/>
      <c r="B491" s="280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  <c r="Z491" s="280"/>
      <c r="AA491" s="280"/>
    </row>
    <row r="492">
      <c r="A492" s="280"/>
      <c r="B492" s="280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  <c r="Z492" s="280"/>
      <c r="AA492" s="280"/>
    </row>
    <row r="493">
      <c r="A493" s="280"/>
      <c r="B493" s="280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  <c r="AA493" s="280"/>
    </row>
    <row r="494">
      <c r="A494" s="280"/>
      <c r="B494" s="280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  <c r="Z494" s="280"/>
      <c r="AA494" s="280"/>
    </row>
    <row r="495">
      <c r="A495" s="280"/>
      <c r="B495" s="280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  <c r="Z495" s="280"/>
      <c r="AA495" s="280"/>
    </row>
    <row r="496">
      <c r="A496" s="280"/>
      <c r="B496" s="280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  <c r="Z496" s="280"/>
      <c r="AA496" s="280"/>
    </row>
    <row r="497">
      <c r="A497" s="280"/>
      <c r="B497" s="280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  <c r="Z497" s="280"/>
      <c r="AA497" s="280"/>
    </row>
    <row r="498">
      <c r="A498" s="280"/>
      <c r="B498" s="280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  <c r="Z498" s="280"/>
      <c r="AA498" s="280"/>
    </row>
    <row r="499">
      <c r="A499" s="280"/>
      <c r="B499" s="280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  <c r="Z499" s="280"/>
      <c r="AA499" s="280"/>
    </row>
    <row r="500">
      <c r="A500" s="280"/>
      <c r="B500" s="280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  <c r="Z500" s="280"/>
      <c r="AA500" s="280"/>
    </row>
    <row r="501">
      <c r="A501" s="280"/>
      <c r="B501" s="280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  <c r="Z501" s="280"/>
      <c r="AA501" s="280"/>
    </row>
    <row r="502">
      <c r="A502" s="280"/>
      <c r="B502" s="280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  <c r="Z502" s="280"/>
      <c r="AA502" s="280"/>
    </row>
    <row r="503">
      <c r="A503" s="280"/>
      <c r="B503" s="280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  <c r="Z503" s="280"/>
      <c r="AA503" s="280"/>
    </row>
    <row r="504">
      <c r="A504" s="280"/>
      <c r="B504" s="280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  <c r="Z504" s="280"/>
      <c r="AA504" s="280"/>
    </row>
    <row r="505">
      <c r="A505" s="280"/>
      <c r="B505" s="280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  <c r="Z505" s="280"/>
      <c r="AA505" s="280"/>
    </row>
    <row r="506">
      <c r="A506" s="280"/>
      <c r="B506" s="280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  <c r="Z506" s="280"/>
      <c r="AA506" s="280"/>
    </row>
    <row r="507">
      <c r="A507" s="280"/>
      <c r="B507" s="280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  <c r="Z507" s="280"/>
      <c r="AA507" s="280"/>
    </row>
    <row r="508">
      <c r="A508" s="280"/>
      <c r="B508" s="280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  <c r="Z508" s="280"/>
      <c r="AA508" s="280"/>
    </row>
    <row r="509">
      <c r="A509" s="280"/>
      <c r="B509" s="280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  <c r="Z509" s="280"/>
      <c r="AA509" s="280"/>
    </row>
    <row r="510">
      <c r="A510" s="280"/>
      <c r="B510" s="280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  <c r="Z510" s="280"/>
      <c r="AA510" s="280"/>
    </row>
    <row r="511">
      <c r="A511" s="280"/>
      <c r="B511" s="280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  <c r="Z511" s="280"/>
      <c r="AA511" s="280"/>
    </row>
    <row r="512">
      <c r="A512" s="280"/>
      <c r="B512" s="280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  <c r="Z512" s="280"/>
      <c r="AA512" s="280"/>
    </row>
    <row r="513">
      <c r="A513" s="280"/>
      <c r="B513" s="280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  <c r="Z513" s="280"/>
      <c r="AA513" s="280"/>
    </row>
    <row r="514">
      <c r="A514" s="280"/>
      <c r="B514" s="280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  <c r="Z514" s="280"/>
      <c r="AA514" s="280"/>
    </row>
    <row r="515">
      <c r="A515" s="280"/>
      <c r="B515" s="280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  <c r="Z515" s="280"/>
      <c r="AA515" s="280"/>
    </row>
    <row r="516">
      <c r="A516" s="280"/>
      <c r="B516" s="280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  <c r="Z516" s="280"/>
      <c r="AA516" s="280"/>
    </row>
    <row r="517">
      <c r="A517" s="280"/>
      <c r="B517" s="280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  <c r="Z517" s="280"/>
      <c r="AA517" s="280"/>
    </row>
    <row r="518">
      <c r="A518" s="280"/>
      <c r="B518" s="280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  <c r="Z518" s="280"/>
      <c r="AA518" s="280"/>
    </row>
    <row r="519">
      <c r="A519" s="280"/>
      <c r="B519" s="280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  <c r="Z519" s="280"/>
      <c r="AA519" s="280"/>
    </row>
    <row r="520">
      <c r="A520" s="280"/>
      <c r="B520" s="280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  <c r="Z520" s="280"/>
      <c r="AA520" s="280"/>
    </row>
    <row r="521">
      <c r="A521" s="280"/>
      <c r="B521" s="280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  <c r="Z521" s="280"/>
      <c r="AA521" s="280"/>
    </row>
    <row r="522">
      <c r="A522" s="280"/>
      <c r="B522" s="280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  <c r="Z522" s="280"/>
      <c r="AA522" s="280"/>
    </row>
    <row r="523">
      <c r="A523" s="280"/>
      <c r="B523" s="280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  <c r="Z523" s="280"/>
      <c r="AA523" s="280"/>
    </row>
    <row r="524">
      <c r="A524" s="280"/>
      <c r="B524" s="280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  <c r="Z524" s="280"/>
      <c r="AA524" s="280"/>
    </row>
    <row r="525">
      <c r="A525" s="280"/>
      <c r="B525" s="280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  <c r="Z525" s="280"/>
      <c r="AA525" s="280"/>
    </row>
    <row r="526">
      <c r="A526" s="280"/>
      <c r="B526" s="280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  <c r="Z526" s="280"/>
      <c r="AA526" s="280"/>
    </row>
    <row r="527">
      <c r="A527" s="280"/>
      <c r="B527" s="280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  <c r="Z527" s="280"/>
      <c r="AA527" s="280"/>
    </row>
    <row r="528">
      <c r="A528" s="280"/>
      <c r="B528" s="280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  <c r="Z528" s="280"/>
      <c r="AA528" s="280"/>
    </row>
    <row r="529">
      <c r="A529" s="280"/>
      <c r="B529" s="280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  <c r="AA529" s="280"/>
    </row>
    <row r="530">
      <c r="A530" s="280"/>
      <c r="B530" s="280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  <c r="Z530" s="280"/>
      <c r="AA530" s="280"/>
    </row>
    <row r="531">
      <c r="A531" s="280"/>
      <c r="B531" s="280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  <c r="Z531" s="280"/>
      <c r="AA531" s="280"/>
    </row>
    <row r="532">
      <c r="A532" s="280"/>
      <c r="B532" s="280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  <c r="Z532" s="280"/>
      <c r="AA532" s="280"/>
    </row>
    <row r="533">
      <c r="A533" s="280"/>
      <c r="B533" s="280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  <c r="Z533" s="280"/>
      <c r="AA533" s="280"/>
    </row>
    <row r="534">
      <c r="A534" s="280"/>
      <c r="B534" s="280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  <c r="Z534" s="280"/>
      <c r="AA534" s="280"/>
    </row>
    <row r="535">
      <c r="A535" s="280"/>
      <c r="B535" s="280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  <c r="Z535" s="280"/>
      <c r="AA535" s="280"/>
    </row>
    <row r="536">
      <c r="A536" s="280"/>
      <c r="B536" s="280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  <c r="Z536" s="280"/>
      <c r="AA536" s="280"/>
    </row>
    <row r="537">
      <c r="A537" s="280"/>
      <c r="B537" s="280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  <c r="Z537" s="280"/>
      <c r="AA537" s="280"/>
    </row>
    <row r="538">
      <c r="A538" s="280"/>
      <c r="B538" s="280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  <c r="Z538" s="280"/>
      <c r="AA538" s="280"/>
    </row>
    <row r="539">
      <c r="A539" s="280"/>
      <c r="B539" s="280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  <c r="Z539" s="280"/>
      <c r="AA539" s="280"/>
    </row>
    <row r="540">
      <c r="A540" s="280"/>
      <c r="B540" s="280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  <c r="Z540" s="280"/>
      <c r="AA540" s="280"/>
    </row>
    <row r="541">
      <c r="A541" s="280"/>
      <c r="B541" s="280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  <c r="Z541" s="280"/>
      <c r="AA541" s="280"/>
    </row>
    <row r="542">
      <c r="A542" s="280"/>
      <c r="B542" s="280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  <c r="Z542" s="280"/>
      <c r="AA542" s="280"/>
    </row>
    <row r="543">
      <c r="A543" s="280"/>
      <c r="B543" s="280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  <c r="Z543" s="280"/>
      <c r="AA543" s="280"/>
    </row>
    <row r="544">
      <c r="A544" s="280"/>
      <c r="B544" s="280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  <c r="Z544" s="280"/>
      <c r="AA544" s="280"/>
    </row>
    <row r="545">
      <c r="A545" s="280"/>
      <c r="B545" s="280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  <c r="Z545" s="280"/>
      <c r="AA545" s="280"/>
    </row>
    <row r="546">
      <c r="A546" s="280"/>
      <c r="B546" s="280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  <c r="Z546" s="280"/>
      <c r="AA546" s="280"/>
    </row>
    <row r="547">
      <c r="A547" s="280"/>
      <c r="B547" s="280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  <c r="Z547" s="280"/>
      <c r="AA547" s="280"/>
    </row>
    <row r="548">
      <c r="A548" s="280"/>
      <c r="B548" s="280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  <c r="Z548" s="280"/>
      <c r="AA548" s="280"/>
    </row>
    <row r="549">
      <c r="A549" s="280"/>
      <c r="B549" s="280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  <c r="Z549" s="280"/>
      <c r="AA549" s="280"/>
    </row>
    <row r="550">
      <c r="A550" s="280"/>
      <c r="B550" s="280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  <c r="Z550" s="280"/>
      <c r="AA550" s="280"/>
    </row>
    <row r="551">
      <c r="A551" s="280"/>
      <c r="B551" s="280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  <c r="Z551" s="280"/>
      <c r="AA551" s="280"/>
    </row>
    <row r="552">
      <c r="A552" s="280"/>
      <c r="B552" s="280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  <c r="Z552" s="280"/>
      <c r="AA552" s="280"/>
    </row>
    <row r="553">
      <c r="A553" s="280"/>
      <c r="B553" s="280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  <c r="Z553" s="280"/>
      <c r="AA553" s="280"/>
    </row>
    <row r="554">
      <c r="A554" s="280"/>
      <c r="B554" s="280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  <c r="AA554" s="280"/>
    </row>
    <row r="555">
      <c r="A555" s="280"/>
      <c r="B555" s="280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  <c r="Z555" s="280"/>
      <c r="AA555" s="280"/>
    </row>
    <row r="556">
      <c r="A556" s="280"/>
      <c r="B556" s="280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  <c r="Z556" s="280"/>
      <c r="AA556" s="280"/>
    </row>
    <row r="557">
      <c r="A557" s="280"/>
      <c r="B557" s="280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  <c r="Z557" s="280"/>
      <c r="AA557" s="280"/>
    </row>
    <row r="558">
      <c r="A558" s="280"/>
      <c r="B558" s="280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  <c r="Z558" s="280"/>
      <c r="AA558" s="280"/>
    </row>
    <row r="559">
      <c r="A559" s="280"/>
      <c r="B559" s="280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  <c r="Z559" s="280"/>
      <c r="AA559" s="280"/>
    </row>
    <row r="560">
      <c r="A560" s="280"/>
      <c r="B560" s="280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  <c r="Z560" s="280"/>
      <c r="AA560" s="280"/>
    </row>
    <row r="561">
      <c r="A561" s="280"/>
      <c r="B561" s="280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  <c r="Z561" s="280"/>
      <c r="AA561" s="280"/>
    </row>
    <row r="562">
      <c r="A562" s="280"/>
      <c r="B562" s="280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  <c r="Z562" s="280"/>
      <c r="AA562" s="280"/>
    </row>
    <row r="563">
      <c r="A563" s="280"/>
      <c r="B563" s="280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  <c r="Z563" s="280"/>
      <c r="AA563" s="280"/>
    </row>
    <row r="564">
      <c r="A564" s="280"/>
      <c r="B564" s="280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  <c r="Z564" s="280"/>
      <c r="AA564" s="280"/>
    </row>
    <row r="565">
      <c r="A565" s="280"/>
      <c r="B565" s="280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  <c r="Z565" s="280"/>
      <c r="AA565" s="280"/>
    </row>
    <row r="566">
      <c r="A566" s="280"/>
      <c r="B566" s="280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  <c r="Z566" s="280"/>
      <c r="AA566" s="280"/>
    </row>
    <row r="567">
      <c r="A567" s="280"/>
      <c r="B567" s="280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  <c r="Z567" s="280"/>
      <c r="AA567" s="280"/>
    </row>
    <row r="568">
      <c r="A568" s="280"/>
      <c r="B568" s="280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  <c r="Z568" s="280"/>
      <c r="AA568" s="280"/>
    </row>
    <row r="569">
      <c r="A569" s="280"/>
      <c r="B569" s="280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  <c r="Z569" s="280"/>
      <c r="AA569" s="280"/>
    </row>
    <row r="570">
      <c r="A570" s="280"/>
      <c r="B570" s="280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  <c r="AA570" s="280"/>
    </row>
    <row r="571">
      <c r="A571" s="280"/>
      <c r="B571" s="280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  <c r="Z571" s="280"/>
      <c r="AA571" s="280"/>
    </row>
    <row r="572">
      <c r="A572" s="280"/>
      <c r="B572" s="280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  <c r="Z572" s="280"/>
      <c r="AA572" s="280"/>
    </row>
    <row r="573">
      <c r="A573" s="280"/>
      <c r="B573" s="280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  <c r="AA573" s="280"/>
    </row>
    <row r="574">
      <c r="A574" s="280"/>
      <c r="B574" s="280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  <c r="Z574" s="280"/>
      <c r="AA574" s="280"/>
    </row>
    <row r="575">
      <c r="A575" s="280"/>
      <c r="B575" s="280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  <c r="Z575" s="280"/>
      <c r="AA575" s="280"/>
    </row>
    <row r="576">
      <c r="A576" s="280"/>
      <c r="B576" s="280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  <c r="Z576" s="280"/>
      <c r="AA576" s="280"/>
    </row>
    <row r="577">
      <c r="A577" s="280"/>
      <c r="B577" s="280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  <c r="Z577" s="280"/>
      <c r="AA577" s="280"/>
    </row>
    <row r="578">
      <c r="A578" s="280"/>
      <c r="B578" s="280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  <c r="Z578" s="280"/>
      <c r="AA578" s="280"/>
    </row>
    <row r="579">
      <c r="A579" s="280"/>
      <c r="B579" s="280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  <c r="Z579" s="280"/>
      <c r="AA579" s="280"/>
    </row>
    <row r="580">
      <c r="A580" s="280"/>
      <c r="B580" s="280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  <c r="Z580" s="280"/>
      <c r="AA580" s="280"/>
    </row>
    <row r="581">
      <c r="A581" s="280"/>
      <c r="B581" s="280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  <c r="Z581" s="280"/>
      <c r="AA581" s="280"/>
    </row>
    <row r="582">
      <c r="A582" s="280"/>
      <c r="B582" s="280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  <c r="Z582" s="280"/>
      <c r="AA582" s="280"/>
    </row>
    <row r="583">
      <c r="A583" s="280"/>
      <c r="B583" s="280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  <c r="Z583" s="280"/>
      <c r="AA583" s="280"/>
    </row>
    <row r="584">
      <c r="A584" s="280"/>
      <c r="B584" s="280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  <c r="Z584" s="280"/>
      <c r="AA584" s="280"/>
    </row>
    <row r="585">
      <c r="A585" s="280"/>
      <c r="B585" s="280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  <c r="Z585" s="280"/>
      <c r="AA585" s="280"/>
    </row>
    <row r="586">
      <c r="A586" s="280"/>
      <c r="B586" s="280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  <c r="Z586" s="280"/>
      <c r="AA586" s="280"/>
    </row>
    <row r="587">
      <c r="A587" s="280"/>
      <c r="B587" s="280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  <c r="Z587" s="280"/>
      <c r="AA587" s="280"/>
    </row>
    <row r="588">
      <c r="A588" s="280"/>
      <c r="B588" s="280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  <c r="Z588" s="280"/>
      <c r="AA588" s="280"/>
    </row>
    <row r="589">
      <c r="A589" s="280"/>
      <c r="B589" s="280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  <c r="AA589" s="280"/>
    </row>
    <row r="590">
      <c r="A590" s="280"/>
      <c r="B590" s="280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  <c r="Z590" s="280"/>
      <c r="AA590" s="280"/>
    </row>
    <row r="591">
      <c r="A591" s="280"/>
      <c r="B591" s="280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  <c r="Z591" s="280"/>
      <c r="AA591" s="280"/>
    </row>
    <row r="592">
      <c r="A592" s="280"/>
      <c r="B592" s="280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  <c r="Z592" s="280"/>
      <c r="AA592" s="280"/>
    </row>
    <row r="593">
      <c r="A593" s="280"/>
      <c r="B593" s="280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  <c r="Z593" s="280"/>
      <c r="AA593" s="280"/>
    </row>
    <row r="594">
      <c r="A594" s="280"/>
      <c r="B594" s="280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  <c r="Z594" s="280"/>
      <c r="AA594" s="280"/>
    </row>
    <row r="595">
      <c r="A595" s="280"/>
      <c r="B595" s="280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  <c r="Z595" s="280"/>
      <c r="AA595" s="280"/>
    </row>
    <row r="596">
      <c r="A596" s="280"/>
      <c r="B596" s="280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  <c r="Z596" s="280"/>
      <c r="AA596" s="280"/>
    </row>
    <row r="597">
      <c r="A597" s="280"/>
      <c r="B597" s="280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  <c r="Z597" s="280"/>
      <c r="AA597" s="280"/>
    </row>
    <row r="598">
      <c r="A598" s="280"/>
      <c r="B598" s="280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  <c r="Z598" s="280"/>
      <c r="AA598" s="280"/>
    </row>
    <row r="599">
      <c r="A599" s="280"/>
      <c r="B599" s="280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  <c r="Z599" s="280"/>
      <c r="AA599" s="280"/>
    </row>
    <row r="600">
      <c r="A600" s="280"/>
      <c r="B600" s="280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  <c r="Z600" s="280"/>
      <c r="AA600" s="280"/>
    </row>
    <row r="601">
      <c r="A601" s="280"/>
      <c r="B601" s="280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  <c r="Z601" s="280"/>
      <c r="AA601" s="280"/>
    </row>
    <row r="602">
      <c r="A602" s="280"/>
      <c r="B602" s="280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  <c r="Z602" s="280"/>
      <c r="AA602" s="280"/>
    </row>
    <row r="603">
      <c r="A603" s="280"/>
      <c r="B603" s="280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  <c r="Z603" s="280"/>
      <c r="AA603" s="280"/>
    </row>
    <row r="604">
      <c r="A604" s="280"/>
      <c r="B604" s="280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  <c r="Z604" s="280"/>
      <c r="AA604" s="280"/>
    </row>
    <row r="605">
      <c r="A605" s="280"/>
      <c r="B605" s="280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  <c r="Z605" s="280"/>
      <c r="AA605" s="280"/>
    </row>
    <row r="606">
      <c r="A606" s="280"/>
      <c r="B606" s="280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  <c r="Z606" s="280"/>
      <c r="AA606" s="280"/>
    </row>
    <row r="607">
      <c r="A607" s="280"/>
      <c r="B607" s="280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  <c r="Z607" s="280"/>
      <c r="AA607" s="280"/>
    </row>
    <row r="608">
      <c r="A608" s="280"/>
      <c r="B608" s="280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  <c r="Z608" s="280"/>
      <c r="AA608" s="280"/>
    </row>
    <row r="609">
      <c r="A609" s="280"/>
      <c r="B609" s="280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  <c r="Z609" s="280"/>
      <c r="AA609" s="280"/>
    </row>
    <row r="610">
      <c r="A610" s="280"/>
      <c r="B610" s="280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  <c r="Z610" s="280"/>
      <c r="AA610" s="280"/>
    </row>
    <row r="611">
      <c r="A611" s="280"/>
      <c r="B611" s="280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  <c r="Z611" s="280"/>
      <c r="AA611" s="280"/>
    </row>
    <row r="612">
      <c r="A612" s="280"/>
      <c r="B612" s="280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  <c r="Z612" s="280"/>
      <c r="AA612" s="280"/>
    </row>
    <row r="613">
      <c r="A613" s="280"/>
      <c r="B613" s="280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  <c r="Z613" s="280"/>
      <c r="AA613" s="280"/>
    </row>
    <row r="614">
      <c r="A614" s="280"/>
      <c r="B614" s="280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  <c r="Z614" s="280"/>
      <c r="AA614" s="280"/>
    </row>
    <row r="615">
      <c r="A615" s="280"/>
      <c r="B615" s="280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  <c r="AA615" s="280"/>
    </row>
    <row r="616">
      <c r="A616" s="280"/>
      <c r="B616" s="280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  <c r="Z616" s="280"/>
      <c r="AA616" s="280"/>
    </row>
    <row r="617">
      <c r="A617" s="280"/>
      <c r="B617" s="280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  <c r="Z617" s="280"/>
      <c r="AA617" s="280"/>
    </row>
    <row r="618">
      <c r="A618" s="280"/>
      <c r="B618" s="280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  <c r="Z618" s="280"/>
      <c r="AA618" s="280"/>
    </row>
    <row r="619">
      <c r="A619" s="280"/>
      <c r="B619" s="280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  <c r="Z619" s="280"/>
      <c r="AA619" s="280"/>
    </row>
    <row r="620">
      <c r="A620" s="280"/>
      <c r="B620" s="280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  <c r="Z620" s="280"/>
      <c r="AA620" s="280"/>
    </row>
    <row r="621">
      <c r="A621" s="280"/>
      <c r="B621" s="280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  <c r="Z621" s="280"/>
      <c r="AA621" s="280"/>
    </row>
    <row r="622">
      <c r="A622" s="280"/>
      <c r="B622" s="280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  <c r="Z622" s="280"/>
      <c r="AA622" s="280"/>
    </row>
    <row r="623">
      <c r="A623" s="280"/>
      <c r="B623" s="280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  <c r="Z623" s="280"/>
      <c r="AA623" s="280"/>
    </row>
    <row r="624">
      <c r="A624" s="280"/>
      <c r="B624" s="280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  <c r="Z624" s="280"/>
      <c r="AA624" s="280"/>
    </row>
    <row r="625">
      <c r="A625" s="280"/>
      <c r="B625" s="280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  <c r="Z625" s="280"/>
      <c r="AA625" s="280"/>
    </row>
    <row r="626">
      <c r="A626" s="280"/>
      <c r="B626" s="280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  <c r="Z626" s="280"/>
      <c r="AA626" s="280"/>
    </row>
    <row r="627">
      <c r="A627" s="280"/>
      <c r="B627" s="280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  <c r="Z627" s="280"/>
      <c r="AA627" s="280"/>
    </row>
    <row r="628">
      <c r="A628" s="280"/>
      <c r="B628" s="280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  <c r="Z628" s="280"/>
      <c r="AA628" s="280"/>
    </row>
    <row r="629">
      <c r="A629" s="280"/>
      <c r="B629" s="280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  <c r="Z629" s="280"/>
      <c r="AA629" s="280"/>
    </row>
    <row r="630">
      <c r="A630" s="280"/>
      <c r="B630" s="280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  <c r="Z630" s="280"/>
      <c r="AA630" s="280"/>
    </row>
    <row r="631">
      <c r="A631" s="280"/>
      <c r="B631" s="280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  <c r="Z631" s="280"/>
      <c r="AA631" s="280"/>
    </row>
    <row r="632">
      <c r="A632" s="280"/>
      <c r="B632" s="280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  <c r="Z632" s="280"/>
      <c r="AA632" s="280"/>
    </row>
    <row r="633">
      <c r="A633" s="280"/>
      <c r="B633" s="280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  <c r="Z633" s="280"/>
      <c r="AA633" s="280"/>
    </row>
    <row r="634">
      <c r="A634" s="280"/>
      <c r="B634" s="280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  <c r="Z634" s="280"/>
      <c r="AA634" s="280"/>
    </row>
    <row r="635">
      <c r="A635" s="280"/>
      <c r="B635" s="280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  <c r="Z635" s="280"/>
      <c r="AA635" s="280"/>
    </row>
    <row r="636">
      <c r="A636" s="280"/>
      <c r="B636" s="280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  <c r="Z636" s="280"/>
      <c r="AA636" s="280"/>
    </row>
    <row r="637">
      <c r="A637" s="280"/>
      <c r="B637" s="280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  <c r="Z637" s="280"/>
      <c r="AA637" s="280"/>
    </row>
    <row r="638">
      <c r="A638" s="280"/>
      <c r="B638" s="280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  <c r="Z638" s="280"/>
      <c r="AA638" s="280"/>
    </row>
    <row r="639">
      <c r="A639" s="280"/>
      <c r="B639" s="280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  <c r="Z639" s="280"/>
      <c r="AA639" s="280"/>
    </row>
    <row r="640">
      <c r="A640" s="280"/>
      <c r="B640" s="280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  <c r="Z640" s="280"/>
      <c r="AA640" s="280"/>
    </row>
    <row r="641">
      <c r="A641" s="280"/>
      <c r="B641" s="280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  <c r="Z641" s="280"/>
      <c r="AA641" s="280"/>
    </row>
    <row r="642">
      <c r="A642" s="280"/>
      <c r="B642" s="280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  <c r="Z642" s="280"/>
      <c r="AA642" s="280"/>
    </row>
    <row r="643">
      <c r="A643" s="280"/>
      <c r="B643" s="280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  <c r="Z643" s="280"/>
      <c r="AA643" s="280"/>
    </row>
    <row r="644">
      <c r="A644" s="280"/>
      <c r="B644" s="280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  <c r="Z644" s="280"/>
      <c r="AA644" s="280"/>
    </row>
    <row r="645">
      <c r="A645" s="280"/>
      <c r="B645" s="280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  <c r="Z645" s="280"/>
      <c r="AA645" s="280"/>
    </row>
    <row r="646">
      <c r="A646" s="280"/>
      <c r="B646" s="280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  <c r="Z646" s="280"/>
      <c r="AA646" s="280"/>
    </row>
    <row r="647">
      <c r="A647" s="280"/>
      <c r="B647" s="280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  <c r="Z647" s="280"/>
      <c r="AA647" s="280"/>
    </row>
    <row r="648">
      <c r="A648" s="280"/>
      <c r="B648" s="280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  <c r="Z648" s="280"/>
      <c r="AA648" s="280"/>
    </row>
    <row r="649">
      <c r="A649" s="280"/>
      <c r="B649" s="280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  <c r="Z649" s="280"/>
      <c r="AA649" s="280"/>
    </row>
    <row r="650">
      <c r="A650" s="280"/>
      <c r="B650" s="280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  <c r="Z650" s="280"/>
      <c r="AA650" s="280"/>
    </row>
    <row r="651">
      <c r="A651" s="280"/>
      <c r="B651" s="280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  <c r="Z651" s="280"/>
      <c r="AA651" s="280"/>
    </row>
    <row r="652">
      <c r="A652" s="280"/>
      <c r="B652" s="280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  <c r="Z652" s="280"/>
      <c r="AA652" s="280"/>
    </row>
    <row r="653">
      <c r="A653" s="280"/>
      <c r="B653" s="280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  <c r="Z653" s="280"/>
      <c r="AA653" s="280"/>
    </row>
    <row r="654">
      <c r="A654" s="280"/>
      <c r="B654" s="280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  <c r="Z654" s="280"/>
      <c r="AA654" s="280"/>
    </row>
    <row r="655">
      <c r="A655" s="280"/>
      <c r="B655" s="280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  <c r="Z655" s="280"/>
      <c r="AA655" s="280"/>
    </row>
    <row r="656">
      <c r="A656" s="280"/>
      <c r="B656" s="280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  <c r="Z656" s="280"/>
      <c r="AA656" s="280"/>
    </row>
    <row r="657">
      <c r="A657" s="280"/>
      <c r="B657" s="280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  <c r="Z657" s="280"/>
      <c r="AA657" s="280"/>
    </row>
    <row r="658">
      <c r="A658" s="280"/>
      <c r="B658" s="280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  <c r="Z658" s="280"/>
      <c r="AA658" s="280"/>
    </row>
    <row r="659">
      <c r="A659" s="280"/>
      <c r="B659" s="280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  <c r="Z659" s="280"/>
      <c r="AA659" s="280"/>
    </row>
    <row r="660">
      <c r="A660" s="280"/>
      <c r="B660" s="280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  <c r="Z660" s="280"/>
      <c r="AA660" s="280"/>
    </row>
    <row r="661">
      <c r="A661" s="280"/>
      <c r="B661" s="280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  <c r="Z661" s="280"/>
      <c r="AA661" s="280"/>
    </row>
    <row r="662">
      <c r="A662" s="280"/>
      <c r="B662" s="280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  <c r="AA662" s="280"/>
    </row>
    <row r="663">
      <c r="A663" s="280"/>
      <c r="B663" s="280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  <c r="Z663" s="280"/>
      <c r="AA663" s="280"/>
    </row>
    <row r="664">
      <c r="A664" s="280"/>
      <c r="B664" s="280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  <c r="Z664" s="280"/>
      <c r="AA664" s="280"/>
    </row>
    <row r="665">
      <c r="A665" s="280"/>
      <c r="B665" s="280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  <c r="Z665" s="280"/>
      <c r="AA665" s="280"/>
    </row>
    <row r="666">
      <c r="A666" s="280"/>
      <c r="B666" s="280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  <c r="Z666" s="280"/>
      <c r="AA666" s="280"/>
    </row>
    <row r="667">
      <c r="A667" s="280"/>
      <c r="B667" s="280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  <c r="Z667" s="280"/>
      <c r="AA667" s="280"/>
    </row>
    <row r="668">
      <c r="A668" s="280"/>
      <c r="B668" s="280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  <c r="Z668" s="280"/>
      <c r="AA668" s="280"/>
    </row>
    <row r="669">
      <c r="A669" s="280"/>
      <c r="B669" s="280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  <c r="Z669" s="280"/>
      <c r="AA669" s="280"/>
    </row>
    <row r="670">
      <c r="A670" s="280"/>
      <c r="B670" s="280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  <c r="Z670" s="280"/>
      <c r="AA670" s="280"/>
    </row>
    <row r="671">
      <c r="A671" s="280"/>
      <c r="B671" s="280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  <c r="Z671" s="280"/>
      <c r="AA671" s="280"/>
    </row>
    <row r="672">
      <c r="A672" s="280"/>
      <c r="B672" s="280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  <c r="Z672" s="280"/>
      <c r="AA672" s="280"/>
    </row>
    <row r="673">
      <c r="A673" s="280"/>
      <c r="B673" s="280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  <c r="Z673" s="280"/>
      <c r="AA673" s="280"/>
    </row>
    <row r="674">
      <c r="A674" s="280"/>
      <c r="B674" s="280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  <c r="Z674" s="280"/>
      <c r="AA674" s="280"/>
    </row>
    <row r="675">
      <c r="A675" s="280"/>
      <c r="B675" s="280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  <c r="Z675" s="280"/>
      <c r="AA675" s="280"/>
    </row>
    <row r="676">
      <c r="A676" s="280"/>
      <c r="B676" s="280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  <c r="AA676" s="280"/>
    </row>
    <row r="677">
      <c r="A677" s="280"/>
      <c r="B677" s="280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  <c r="Z677" s="280"/>
      <c r="AA677" s="280"/>
    </row>
    <row r="678">
      <c r="A678" s="280"/>
      <c r="B678" s="280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  <c r="Z678" s="280"/>
      <c r="AA678" s="280"/>
    </row>
    <row r="679">
      <c r="A679" s="280"/>
      <c r="B679" s="280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  <c r="Z679" s="280"/>
      <c r="AA679" s="280"/>
    </row>
    <row r="680">
      <c r="A680" s="280"/>
      <c r="B680" s="280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  <c r="Z680" s="280"/>
      <c r="AA680" s="280"/>
    </row>
    <row r="681">
      <c r="A681" s="280"/>
      <c r="B681" s="280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  <c r="Z681" s="280"/>
      <c r="AA681" s="280"/>
    </row>
    <row r="682">
      <c r="A682" s="280"/>
      <c r="B682" s="280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  <c r="Z682" s="280"/>
      <c r="AA682" s="280"/>
    </row>
    <row r="683">
      <c r="A683" s="280"/>
      <c r="B683" s="280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  <c r="Z683" s="280"/>
      <c r="AA683" s="280"/>
    </row>
    <row r="684">
      <c r="A684" s="280"/>
      <c r="B684" s="280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  <c r="Z684" s="280"/>
      <c r="AA684" s="280"/>
    </row>
    <row r="685">
      <c r="A685" s="280"/>
      <c r="B685" s="280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  <c r="Z685" s="280"/>
      <c r="AA685" s="280"/>
    </row>
    <row r="686">
      <c r="A686" s="280"/>
      <c r="B686" s="280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  <c r="Z686" s="280"/>
      <c r="AA686" s="280"/>
    </row>
    <row r="687">
      <c r="A687" s="280"/>
      <c r="B687" s="280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  <c r="Z687" s="280"/>
      <c r="AA687" s="280"/>
    </row>
    <row r="688">
      <c r="A688" s="280"/>
      <c r="B688" s="280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  <c r="Z688" s="280"/>
      <c r="AA688" s="280"/>
    </row>
    <row r="689">
      <c r="A689" s="280"/>
      <c r="B689" s="280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  <c r="Z689" s="280"/>
      <c r="AA689" s="280"/>
    </row>
    <row r="690">
      <c r="A690" s="280"/>
      <c r="B690" s="280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  <c r="Z690" s="280"/>
      <c r="AA690" s="280"/>
    </row>
    <row r="691">
      <c r="A691" s="280"/>
      <c r="B691" s="280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  <c r="Z691" s="280"/>
      <c r="AA691" s="280"/>
    </row>
    <row r="692">
      <c r="A692" s="280"/>
      <c r="B692" s="280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  <c r="Z692" s="280"/>
      <c r="AA692" s="280"/>
    </row>
    <row r="693">
      <c r="A693" s="280"/>
      <c r="B693" s="280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  <c r="Z693" s="280"/>
      <c r="AA693" s="280"/>
    </row>
    <row r="694">
      <c r="A694" s="280"/>
      <c r="B694" s="280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  <c r="Z694" s="280"/>
      <c r="AA694" s="280"/>
    </row>
    <row r="695">
      <c r="A695" s="280"/>
      <c r="B695" s="280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  <c r="Z695" s="280"/>
      <c r="AA695" s="280"/>
    </row>
    <row r="696">
      <c r="A696" s="280"/>
      <c r="B696" s="280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  <c r="Z696" s="280"/>
      <c r="AA696" s="280"/>
    </row>
    <row r="697">
      <c r="A697" s="280"/>
      <c r="B697" s="280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  <c r="Z697" s="280"/>
      <c r="AA697" s="280"/>
    </row>
    <row r="698">
      <c r="A698" s="280"/>
      <c r="B698" s="280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  <c r="Z698" s="280"/>
      <c r="AA698" s="280"/>
    </row>
    <row r="699">
      <c r="A699" s="280"/>
      <c r="B699" s="280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  <c r="Z699" s="280"/>
      <c r="AA699" s="280"/>
    </row>
    <row r="700">
      <c r="A700" s="280"/>
      <c r="B700" s="280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  <c r="Z700" s="280"/>
      <c r="AA700" s="280"/>
    </row>
    <row r="701">
      <c r="A701" s="280"/>
      <c r="B701" s="280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  <c r="Z701" s="280"/>
      <c r="AA701" s="280"/>
    </row>
    <row r="702">
      <c r="A702" s="280"/>
      <c r="B702" s="280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  <c r="Z702" s="280"/>
      <c r="AA702" s="280"/>
    </row>
    <row r="703">
      <c r="A703" s="280"/>
      <c r="B703" s="280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  <c r="Z703" s="280"/>
      <c r="AA703" s="280"/>
    </row>
    <row r="704">
      <c r="A704" s="280"/>
      <c r="B704" s="280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  <c r="Z704" s="280"/>
      <c r="AA704" s="280"/>
    </row>
    <row r="705">
      <c r="A705" s="280"/>
      <c r="B705" s="280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  <c r="Z705" s="280"/>
      <c r="AA705" s="280"/>
    </row>
    <row r="706">
      <c r="A706" s="280"/>
      <c r="B706" s="280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  <c r="Z706" s="280"/>
      <c r="AA706" s="280"/>
    </row>
    <row r="707">
      <c r="A707" s="280"/>
      <c r="B707" s="280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  <c r="Z707" s="280"/>
      <c r="AA707" s="280"/>
    </row>
    <row r="708">
      <c r="A708" s="280"/>
      <c r="B708" s="280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  <c r="Z708" s="280"/>
      <c r="AA708" s="280"/>
    </row>
    <row r="709">
      <c r="A709" s="280"/>
      <c r="B709" s="280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  <c r="Z709" s="280"/>
      <c r="AA709" s="280"/>
    </row>
    <row r="710">
      <c r="A710" s="280"/>
      <c r="B710" s="280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  <c r="Z710" s="280"/>
      <c r="AA710" s="280"/>
    </row>
    <row r="711">
      <c r="A711" s="280"/>
      <c r="B711" s="280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  <c r="Z711" s="280"/>
      <c r="AA711" s="280"/>
    </row>
    <row r="712">
      <c r="A712" s="280"/>
      <c r="B712" s="280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  <c r="Z712" s="280"/>
      <c r="AA712" s="280"/>
    </row>
    <row r="713">
      <c r="A713" s="280"/>
      <c r="B713" s="280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  <c r="Z713" s="280"/>
      <c r="AA713" s="280"/>
    </row>
    <row r="714">
      <c r="A714" s="280"/>
      <c r="B714" s="280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  <c r="Z714" s="280"/>
      <c r="AA714" s="280"/>
    </row>
    <row r="715">
      <c r="A715" s="280"/>
      <c r="B715" s="280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  <c r="Z715" s="280"/>
      <c r="AA715" s="280"/>
    </row>
    <row r="716">
      <c r="A716" s="280"/>
      <c r="B716" s="280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  <c r="Z716" s="280"/>
      <c r="AA716" s="280"/>
    </row>
    <row r="717">
      <c r="A717" s="280"/>
      <c r="B717" s="280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  <c r="Z717" s="280"/>
      <c r="AA717" s="280"/>
    </row>
    <row r="718">
      <c r="A718" s="280"/>
      <c r="B718" s="280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  <c r="Z718" s="280"/>
      <c r="AA718" s="280"/>
    </row>
    <row r="719">
      <c r="A719" s="280"/>
      <c r="B719" s="280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  <c r="Z719" s="280"/>
      <c r="AA719" s="280"/>
    </row>
    <row r="720">
      <c r="A720" s="280"/>
      <c r="B720" s="280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  <c r="Z720" s="280"/>
      <c r="AA720" s="280"/>
    </row>
    <row r="721">
      <c r="A721" s="280"/>
      <c r="B721" s="280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  <c r="Z721" s="280"/>
      <c r="AA721" s="280"/>
    </row>
    <row r="722">
      <c r="A722" s="280"/>
      <c r="B722" s="280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  <c r="AA722" s="280"/>
    </row>
    <row r="723">
      <c r="A723" s="280"/>
      <c r="B723" s="280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  <c r="Z723" s="280"/>
      <c r="AA723" s="280"/>
    </row>
    <row r="724">
      <c r="A724" s="280"/>
      <c r="B724" s="280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  <c r="Z724" s="280"/>
      <c r="AA724" s="280"/>
    </row>
    <row r="725">
      <c r="A725" s="280"/>
      <c r="B725" s="280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  <c r="Z725" s="280"/>
      <c r="AA725" s="280"/>
    </row>
    <row r="726">
      <c r="A726" s="280"/>
      <c r="B726" s="280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  <c r="Z726" s="280"/>
      <c r="AA726" s="280"/>
    </row>
    <row r="727">
      <c r="A727" s="280"/>
      <c r="B727" s="280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  <c r="Z727" s="280"/>
      <c r="AA727" s="280"/>
    </row>
    <row r="728">
      <c r="A728" s="280"/>
      <c r="B728" s="280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  <c r="Z728" s="280"/>
      <c r="AA728" s="280"/>
    </row>
    <row r="729">
      <c r="A729" s="280"/>
      <c r="B729" s="280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  <c r="Z729" s="280"/>
      <c r="AA729" s="280"/>
    </row>
    <row r="730">
      <c r="A730" s="280"/>
      <c r="B730" s="280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  <c r="Z730" s="280"/>
      <c r="AA730" s="280"/>
    </row>
    <row r="731">
      <c r="A731" s="280"/>
      <c r="B731" s="280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  <c r="Z731" s="280"/>
      <c r="AA731" s="280"/>
    </row>
    <row r="732">
      <c r="A732" s="280"/>
      <c r="B732" s="280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  <c r="Z732" s="280"/>
      <c r="AA732" s="280"/>
    </row>
    <row r="733">
      <c r="A733" s="280"/>
      <c r="B733" s="280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  <c r="Z733" s="280"/>
      <c r="AA733" s="280"/>
    </row>
    <row r="734">
      <c r="A734" s="280"/>
      <c r="B734" s="280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  <c r="Z734" s="280"/>
      <c r="AA734" s="280"/>
    </row>
    <row r="735">
      <c r="A735" s="280"/>
      <c r="B735" s="280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  <c r="Z735" s="280"/>
      <c r="AA735" s="280"/>
    </row>
    <row r="736">
      <c r="A736" s="280"/>
      <c r="B736" s="280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  <c r="Z736" s="280"/>
      <c r="AA736" s="280"/>
    </row>
    <row r="737">
      <c r="A737" s="280"/>
      <c r="B737" s="280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  <c r="Z737" s="280"/>
      <c r="AA737" s="280"/>
    </row>
    <row r="738">
      <c r="A738" s="280"/>
      <c r="B738" s="280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  <c r="Z738" s="280"/>
      <c r="AA738" s="280"/>
    </row>
    <row r="739">
      <c r="A739" s="280"/>
      <c r="B739" s="280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  <c r="Z739" s="280"/>
      <c r="AA739" s="280"/>
    </row>
    <row r="740">
      <c r="A740" s="280"/>
      <c r="B740" s="280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  <c r="Z740" s="280"/>
      <c r="AA740" s="280"/>
    </row>
    <row r="741">
      <c r="A741" s="280"/>
      <c r="B741" s="280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  <c r="Z741" s="280"/>
      <c r="AA741" s="280"/>
    </row>
    <row r="742">
      <c r="A742" s="280"/>
      <c r="B742" s="280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  <c r="Z742" s="280"/>
      <c r="AA742" s="280"/>
    </row>
    <row r="743">
      <c r="A743" s="280"/>
      <c r="B743" s="280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  <c r="Z743" s="280"/>
      <c r="AA743" s="280"/>
    </row>
    <row r="744">
      <c r="A744" s="280"/>
      <c r="B744" s="280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  <c r="Z744" s="280"/>
      <c r="AA744" s="280"/>
    </row>
    <row r="745">
      <c r="A745" s="280"/>
      <c r="B745" s="280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  <c r="Z745" s="280"/>
      <c r="AA745" s="280"/>
    </row>
    <row r="746">
      <c r="A746" s="280"/>
      <c r="B746" s="280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  <c r="Z746" s="280"/>
      <c r="AA746" s="280"/>
    </row>
    <row r="747">
      <c r="A747" s="280"/>
      <c r="B747" s="280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  <c r="Z747" s="280"/>
      <c r="AA747" s="280"/>
    </row>
    <row r="748">
      <c r="A748" s="280"/>
      <c r="B748" s="280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  <c r="Z748" s="280"/>
      <c r="AA748" s="280"/>
    </row>
    <row r="749">
      <c r="A749" s="280"/>
      <c r="B749" s="280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  <c r="Z749" s="280"/>
      <c r="AA749" s="280"/>
    </row>
    <row r="750">
      <c r="A750" s="280"/>
      <c r="B750" s="280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  <c r="Z750" s="280"/>
      <c r="AA750" s="280"/>
    </row>
    <row r="751">
      <c r="A751" s="280"/>
      <c r="B751" s="280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  <c r="Z751" s="280"/>
      <c r="AA751" s="280"/>
    </row>
    <row r="752">
      <c r="A752" s="280"/>
      <c r="B752" s="280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  <c r="Z752" s="280"/>
      <c r="AA752" s="280"/>
    </row>
    <row r="753">
      <c r="A753" s="280"/>
      <c r="B753" s="280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  <c r="Z753" s="280"/>
      <c r="AA753" s="280"/>
    </row>
    <row r="754">
      <c r="A754" s="280"/>
      <c r="B754" s="280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  <c r="Z754" s="280"/>
      <c r="AA754" s="280"/>
    </row>
    <row r="755">
      <c r="A755" s="280"/>
      <c r="B755" s="280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  <c r="Z755" s="280"/>
      <c r="AA755" s="280"/>
    </row>
    <row r="756">
      <c r="A756" s="280"/>
      <c r="B756" s="280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  <c r="Z756" s="280"/>
      <c r="AA756" s="280"/>
    </row>
    <row r="757">
      <c r="A757" s="280"/>
      <c r="B757" s="280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  <c r="Z757" s="280"/>
      <c r="AA757" s="280"/>
    </row>
    <row r="758">
      <c r="A758" s="280"/>
      <c r="B758" s="280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  <c r="Z758" s="280"/>
      <c r="AA758" s="280"/>
    </row>
    <row r="759">
      <c r="A759" s="280"/>
      <c r="B759" s="280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  <c r="Z759" s="280"/>
      <c r="AA759" s="280"/>
    </row>
    <row r="760">
      <c r="A760" s="280"/>
      <c r="B760" s="280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  <c r="Z760" s="280"/>
      <c r="AA760" s="280"/>
    </row>
    <row r="761">
      <c r="A761" s="280"/>
      <c r="B761" s="280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  <c r="Z761" s="280"/>
      <c r="AA761" s="280"/>
    </row>
    <row r="762">
      <c r="A762" s="280"/>
      <c r="B762" s="280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  <c r="Z762" s="280"/>
      <c r="AA762" s="280"/>
    </row>
    <row r="763">
      <c r="A763" s="280"/>
      <c r="B763" s="280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  <c r="Z763" s="280"/>
      <c r="AA763" s="280"/>
    </row>
    <row r="764">
      <c r="A764" s="280"/>
      <c r="B764" s="280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  <c r="Z764" s="280"/>
      <c r="AA764" s="280"/>
    </row>
    <row r="765">
      <c r="A765" s="280"/>
      <c r="B765" s="280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  <c r="Z765" s="280"/>
      <c r="AA765" s="280"/>
    </row>
    <row r="766">
      <c r="A766" s="280"/>
      <c r="B766" s="280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  <c r="Z766" s="280"/>
      <c r="AA766" s="280"/>
    </row>
    <row r="767">
      <c r="A767" s="280"/>
      <c r="B767" s="280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  <c r="Z767" s="280"/>
      <c r="AA767" s="280"/>
    </row>
    <row r="768">
      <c r="A768" s="280"/>
      <c r="B768" s="280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  <c r="Z768" s="280"/>
      <c r="AA768" s="280"/>
    </row>
    <row r="769">
      <c r="A769" s="280"/>
      <c r="B769" s="280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  <c r="Z769" s="280"/>
      <c r="AA769" s="280"/>
    </row>
    <row r="770">
      <c r="A770" s="280"/>
      <c r="B770" s="280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  <c r="Z770" s="280"/>
      <c r="AA770" s="280"/>
    </row>
    <row r="771">
      <c r="A771" s="280"/>
      <c r="B771" s="280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  <c r="Z771" s="280"/>
      <c r="AA771" s="280"/>
    </row>
    <row r="772">
      <c r="A772" s="280"/>
      <c r="B772" s="280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  <c r="Z772" s="280"/>
      <c r="AA772" s="280"/>
    </row>
    <row r="773">
      <c r="A773" s="280"/>
      <c r="B773" s="280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  <c r="Z773" s="280"/>
      <c r="AA773" s="280"/>
    </row>
    <row r="774">
      <c r="A774" s="280"/>
      <c r="B774" s="280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  <c r="Z774" s="280"/>
      <c r="AA774" s="280"/>
    </row>
    <row r="775">
      <c r="A775" s="280"/>
      <c r="B775" s="280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  <c r="Z775" s="280"/>
      <c r="AA775" s="280"/>
    </row>
    <row r="776">
      <c r="A776" s="280"/>
      <c r="B776" s="280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  <c r="Z776" s="280"/>
      <c r="AA776" s="280"/>
    </row>
    <row r="777">
      <c r="A777" s="280"/>
      <c r="B777" s="280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  <c r="Z777" s="280"/>
      <c r="AA777" s="280"/>
    </row>
    <row r="778">
      <c r="A778" s="280"/>
      <c r="B778" s="280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  <c r="Z778" s="280"/>
      <c r="AA778" s="280"/>
    </row>
    <row r="779">
      <c r="A779" s="280"/>
      <c r="B779" s="280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  <c r="Z779" s="280"/>
      <c r="AA779" s="280"/>
    </row>
    <row r="780">
      <c r="A780" s="280"/>
      <c r="B780" s="280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  <c r="Z780" s="280"/>
      <c r="AA780" s="280"/>
    </row>
    <row r="781">
      <c r="A781" s="280"/>
      <c r="B781" s="280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  <c r="Z781" s="280"/>
      <c r="AA781" s="280"/>
    </row>
    <row r="782">
      <c r="A782" s="280"/>
      <c r="B782" s="280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  <c r="Z782" s="280"/>
      <c r="AA782" s="280"/>
    </row>
    <row r="783">
      <c r="A783" s="280"/>
      <c r="B783" s="280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  <c r="Z783" s="280"/>
      <c r="AA783" s="280"/>
    </row>
    <row r="784">
      <c r="A784" s="280"/>
      <c r="B784" s="280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  <c r="Z784" s="280"/>
      <c r="AA784" s="280"/>
    </row>
    <row r="785">
      <c r="A785" s="280"/>
      <c r="B785" s="280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  <c r="Z785" s="280"/>
      <c r="AA785" s="280"/>
    </row>
    <row r="786">
      <c r="A786" s="280"/>
      <c r="B786" s="280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  <c r="Z786" s="280"/>
      <c r="AA786" s="280"/>
    </row>
    <row r="787">
      <c r="A787" s="280"/>
      <c r="B787" s="280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  <c r="Z787" s="280"/>
      <c r="AA787" s="280"/>
    </row>
    <row r="788">
      <c r="A788" s="280"/>
      <c r="B788" s="280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  <c r="Z788" s="280"/>
      <c r="AA788" s="280"/>
    </row>
    <row r="789">
      <c r="A789" s="280"/>
      <c r="B789" s="280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  <c r="AA789" s="280"/>
    </row>
    <row r="790">
      <c r="A790" s="280"/>
      <c r="B790" s="280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  <c r="Z790" s="280"/>
      <c r="AA790" s="280"/>
    </row>
    <row r="791">
      <c r="A791" s="280"/>
      <c r="B791" s="280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  <c r="Z791" s="280"/>
      <c r="AA791" s="280"/>
    </row>
    <row r="792">
      <c r="A792" s="280"/>
      <c r="B792" s="280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  <c r="Z792" s="280"/>
      <c r="AA792" s="280"/>
    </row>
    <row r="793">
      <c r="A793" s="280"/>
      <c r="B793" s="280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  <c r="Z793" s="280"/>
      <c r="AA793" s="280"/>
    </row>
    <row r="794">
      <c r="A794" s="280"/>
      <c r="B794" s="280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  <c r="Z794" s="280"/>
      <c r="AA794" s="280"/>
    </row>
    <row r="795">
      <c r="A795" s="280"/>
      <c r="B795" s="280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  <c r="Z795" s="280"/>
      <c r="AA795" s="280"/>
    </row>
    <row r="796">
      <c r="A796" s="280"/>
      <c r="B796" s="280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  <c r="Z796" s="280"/>
      <c r="AA796" s="280"/>
    </row>
    <row r="797">
      <c r="A797" s="280"/>
      <c r="B797" s="280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  <c r="Z797" s="280"/>
      <c r="AA797" s="280"/>
    </row>
    <row r="798">
      <c r="A798" s="280"/>
      <c r="B798" s="280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  <c r="Z798" s="280"/>
      <c r="AA798" s="280"/>
    </row>
    <row r="799">
      <c r="A799" s="280"/>
      <c r="B799" s="280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  <c r="Z799" s="280"/>
      <c r="AA799" s="280"/>
    </row>
    <row r="800">
      <c r="A800" s="280"/>
      <c r="B800" s="280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  <c r="Z800" s="280"/>
      <c r="AA800" s="280"/>
    </row>
    <row r="801">
      <c r="A801" s="280"/>
      <c r="B801" s="280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  <c r="Z801" s="280"/>
      <c r="AA801" s="280"/>
    </row>
    <row r="802">
      <c r="A802" s="280"/>
      <c r="B802" s="280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  <c r="Z802" s="280"/>
      <c r="AA802" s="280"/>
    </row>
    <row r="803">
      <c r="A803" s="280"/>
      <c r="B803" s="280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  <c r="Z803" s="280"/>
      <c r="AA803" s="280"/>
    </row>
    <row r="804">
      <c r="A804" s="280"/>
      <c r="B804" s="280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  <c r="Z804" s="280"/>
      <c r="AA804" s="280"/>
    </row>
    <row r="805">
      <c r="A805" s="280"/>
      <c r="B805" s="280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  <c r="Z805" s="280"/>
      <c r="AA805" s="280"/>
    </row>
    <row r="806">
      <c r="A806" s="280"/>
      <c r="B806" s="280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  <c r="Z806" s="280"/>
      <c r="AA806" s="280"/>
    </row>
    <row r="807">
      <c r="A807" s="280"/>
      <c r="B807" s="280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  <c r="Z807" s="280"/>
      <c r="AA807" s="280"/>
    </row>
    <row r="808">
      <c r="A808" s="280"/>
      <c r="B808" s="280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  <c r="Z808" s="280"/>
      <c r="AA808" s="280"/>
    </row>
    <row r="809">
      <c r="A809" s="280"/>
      <c r="B809" s="280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  <c r="Z809" s="280"/>
      <c r="AA809" s="280"/>
    </row>
    <row r="810">
      <c r="A810" s="280"/>
      <c r="B810" s="280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  <c r="Z810" s="280"/>
      <c r="AA810" s="280"/>
    </row>
    <row r="811">
      <c r="A811" s="280"/>
      <c r="B811" s="280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  <c r="Z811" s="280"/>
      <c r="AA811" s="280"/>
    </row>
    <row r="812">
      <c r="A812" s="280"/>
      <c r="B812" s="280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  <c r="Z812" s="280"/>
      <c r="AA812" s="280"/>
    </row>
    <row r="813">
      <c r="A813" s="280"/>
      <c r="B813" s="280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  <c r="Z813" s="280"/>
      <c r="AA813" s="280"/>
    </row>
    <row r="814">
      <c r="A814" s="280"/>
      <c r="B814" s="280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  <c r="Z814" s="280"/>
      <c r="AA814" s="280"/>
    </row>
    <row r="815">
      <c r="A815" s="280"/>
      <c r="B815" s="280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  <c r="Z815" s="280"/>
      <c r="AA815" s="280"/>
    </row>
    <row r="816">
      <c r="A816" s="280"/>
      <c r="B816" s="280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  <c r="Z816" s="280"/>
      <c r="AA816" s="280"/>
    </row>
    <row r="817">
      <c r="A817" s="280"/>
      <c r="B817" s="280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  <c r="Z817" s="280"/>
      <c r="AA817" s="280"/>
    </row>
    <row r="818">
      <c r="A818" s="280"/>
      <c r="B818" s="280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  <c r="Z818" s="280"/>
      <c r="AA818" s="280"/>
    </row>
    <row r="819">
      <c r="A819" s="280"/>
      <c r="B819" s="280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  <c r="Z819" s="280"/>
      <c r="AA819" s="280"/>
    </row>
    <row r="820">
      <c r="A820" s="280"/>
      <c r="B820" s="280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  <c r="Z820" s="280"/>
      <c r="AA820" s="280"/>
    </row>
    <row r="821">
      <c r="A821" s="280"/>
      <c r="B821" s="280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  <c r="Z821" s="280"/>
      <c r="AA821" s="280"/>
    </row>
    <row r="822">
      <c r="A822" s="280"/>
      <c r="B822" s="280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  <c r="Z822" s="280"/>
      <c r="AA822" s="280"/>
    </row>
    <row r="823">
      <c r="A823" s="280"/>
      <c r="B823" s="280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  <c r="Z823" s="280"/>
      <c r="AA823" s="280"/>
    </row>
    <row r="824">
      <c r="A824" s="280"/>
      <c r="B824" s="280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  <c r="Z824" s="280"/>
      <c r="AA824" s="280"/>
    </row>
    <row r="825">
      <c r="A825" s="280"/>
      <c r="B825" s="280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  <c r="Z825" s="280"/>
      <c r="AA825" s="280"/>
    </row>
    <row r="826">
      <c r="A826" s="280"/>
      <c r="B826" s="280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  <c r="Z826" s="280"/>
      <c r="AA826" s="280"/>
    </row>
    <row r="827">
      <c r="A827" s="280"/>
      <c r="B827" s="280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  <c r="Z827" s="280"/>
      <c r="AA827" s="280"/>
    </row>
    <row r="828">
      <c r="A828" s="280"/>
      <c r="B828" s="280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  <c r="Z828" s="280"/>
      <c r="AA828" s="280"/>
    </row>
    <row r="829">
      <c r="A829" s="280"/>
      <c r="B829" s="280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  <c r="Z829" s="280"/>
      <c r="AA829" s="280"/>
    </row>
    <row r="830">
      <c r="A830" s="280"/>
      <c r="B830" s="280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  <c r="Z830" s="280"/>
      <c r="AA830" s="280"/>
    </row>
    <row r="831">
      <c r="A831" s="280"/>
      <c r="B831" s="280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  <c r="Z831" s="280"/>
      <c r="AA831" s="280"/>
    </row>
    <row r="832">
      <c r="A832" s="280"/>
      <c r="B832" s="280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  <c r="Z832" s="280"/>
      <c r="AA832" s="280"/>
    </row>
    <row r="833">
      <c r="A833" s="280"/>
      <c r="B833" s="280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  <c r="Z833" s="280"/>
      <c r="AA833" s="280"/>
    </row>
    <row r="834">
      <c r="A834" s="280"/>
      <c r="B834" s="280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  <c r="Z834" s="280"/>
      <c r="AA834" s="280"/>
    </row>
    <row r="835">
      <c r="A835" s="280"/>
      <c r="B835" s="280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  <c r="Z835" s="280"/>
      <c r="AA835" s="280"/>
    </row>
    <row r="836">
      <c r="A836" s="280"/>
      <c r="B836" s="280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  <c r="Z836" s="280"/>
      <c r="AA836" s="280"/>
    </row>
    <row r="837">
      <c r="A837" s="280"/>
      <c r="B837" s="280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  <c r="Z837" s="280"/>
      <c r="AA837" s="280"/>
    </row>
    <row r="838">
      <c r="A838" s="280"/>
      <c r="B838" s="280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  <c r="AA838" s="280"/>
    </row>
    <row r="839">
      <c r="A839" s="280"/>
      <c r="B839" s="280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  <c r="Z839" s="280"/>
      <c r="AA839" s="280"/>
    </row>
    <row r="840">
      <c r="A840" s="280"/>
      <c r="B840" s="280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  <c r="Z840" s="280"/>
      <c r="AA840" s="280"/>
    </row>
    <row r="841">
      <c r="A841" s="280"/>
      <c r="B841" s="280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  <c r="Z841" s="280"/>
      <c r="AA841" s="280"/>
    </row>
    <row r="842">
      <c r="A842" s="280"/>
      <c r="B842" s="280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  <c r="Z842" s="280"/>
      <c r="AA842" s="280"/>
    </row>
    <row r="843">
      <c r="A843" s="280"/>
      <c r="B843" s="280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  <c r="Z843" s="280"/>
      <c r="AA843" s="280"/>
    </row>
    <row r="844">
      <c r="A844" s="280"/>
      <c r="B844" s="280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  <c r="Z844" s="280"/>
      <c r="AA844" s="280"/>
    </row>
    <row r="845">
      <c r="A845" s="280"/>
      <c r="B845" s="280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  <c r="Z845" s="280"/>
      <c r="AA845" s="280"/>
    </row>
    <row r="846">
      <c r="A846" s="280"/>
      <c r="B846" s="280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  <c r="Z846" s="280"/>
      <c r="AA846" s="280"/>
    </row>
    <row r="847">
      <c r="A847" s="280"/>
      <c r="B847" s="280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  <c r="Z847" s="280"/>
      <c r="AA847" s="280"/>
    </row>
    <row r="848">
      <c r="A848" s="280"/>
      <c r="B848" s="280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  <c r="Z848" s="280"/>
      <c r="AA848" s="280"/>
    </row>
    <row r="849">
      <c r="A849" s="280"/>
      <c r="B849" s="280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  <c r="AA849" s="280"/>
    </row>
    <row r="850">
      <c r="A850" s="280"/>
      <c r="B850" s="280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  <c r="Z850" s="280"/>
      <c r="AA850" s="280"/>
    </row>
    <row r="851">
      <c r="A851" s="280"/>
      <c r="B851" s="280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  <c r="Z851" s="280"/>
      <c r="AA851" s="280"/>
    </row>
    <row r="852">
      <c r="A852" s="280"/>
      <c r="B852" s="280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  <c r="Z852" s="280"/>
      <c r="AA852" s="280"/>
    </row>
    <row r="853">
      <c r="A853" s="280"/>
      <c r="B853" s="280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  <c r="Z853" s="280"/>
      <c r="AA853" s="280"/>
    </row>
    <row r="854">
      <c r="A854" s="280"/>
      <c r="B854" s="280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  <c r="Z854" s="280"/>
      <c r="AA854" s="280"/>
    </row>
    <row r="855">
      <c r="A855" s="280"/>
      <c r="B855" s="280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  <c r="Z855" s="280"/>
      <c r="AA855" s="280"/>
    </row>
    <row r="856">
      <c r="A856" s="280"/>
      <c r="B856" s="280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  <c r="Z856" s="280"/>
      <c r="AA856" s="280"/>
    </row>
    <row r="857">
      <c r="A857" s="280"/>
      <c r="B857" s="280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  <c r="Z857" s="280"/>
      <c r="AA857" s="280"/>
    </row>
    <row r="858">
      <c r="A858" s="280"/>
      <c r="B858" s="280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  <c r="Z858" s="280"/>
      <c r="AA858" s="280"/>
    </row>
    <row r="859">
      <c r="A859" s="280"/>
      <c r="B859" s="280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  <c r="Z859" s="280"/>
      <c r="AA859" s="280"/>
    </row>
    <row r="860">
      <c r="A860" s="280"/>
      <c r="B860" s="280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  <c r="Z860" s="280"/>
      <c r="AA860" s="280"/>
    </row>
    <row r="861">
      <c r="A861" s="280"/>
      <c r="B861" s="280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  <c r="Z861" s="280"/>
      <c r="AA861" s="280"/>
    </row>
    <row r="862">
      <c r="A862" s="280"/>
      <c r="B862" s="280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  <c r="Z862" s="280"/>
      <c r="AA862" s="280"/>
    </row>
    <row r="863">
      <c r="A863" s="280"/>
      <c r="B863" s="280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  <c r="Z863" s="280"/>
      <c r="AA863" s="280"/>
    </row>
    <row r="864">
      <c r="A864" s="280"/>
      <c r="B864" s="280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  <c r="Z864" s="280"/>
      <c r="AA864" s="280"/>
    </row>
    <row r="865">
      <c r="A865" s="280"/>
      <c r="B865" s="280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  <c r="Z865" s="280"/>
      <c r="AA865" s="280"/>
    </row>
    <row r="866">
      <c r="A866" s="280"/>
      <c r="B866" s="280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  <c r="Z866" s="280"/>
      <c r="AA866" s="280"/>
    </row>
    <row r="867">
      <c r="A867" s="280"/>
      <c r="B867" s="280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  <c r="Z867" s="280"/>
      <c r="AA867" s="280"/>
    </row>
    <row r="868">
      <c r="A868" s="280"/>
      <c r="B868" s="280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  <c r="Z868" s="280"/>
      <c r="AA868" s="280"/>
    </row>
    <row r="869">
      <c r="A869" s="280"/>
      <c r="B869" s="280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  <c r="Z869" s="280"/>
      <c r="AA869" s="280"/>
    </row>
    <row r="870">
      <c r="A870" s="280"/>
      <c r="B870" s="280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  <c r="Z870" s="280"/>
      <c r="AA870" s="280"/>
    </row>
    <row r="871">
      <c r="A871" s="280"/>
      <c r="B871" s="280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  <c r="Z871" s="280"/>
      <c r="AA871" s="280"/>
    </row>
    <row r="872">
      <c r="A872" s="280"/>
      <c r="B872" s="280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  <c r="Z872" s="280"/>
      <c r="AA872" s="280"/>
    </row>
    <row r="873">
      <c r="A873" s="280"/>
      <c r="B873" s="280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  <c r="Z873" s="280"/>
      <c r="AA873" s="280"/>
    </row>
    <row r="874">
      <c r="A874" s="280"/>
      <c r="B874" s="280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  <c r="Z874" s="280"/>
      <c r="AA874" s="280"/>
    </row>
    <row r="875">
      <c r="A875" s="280"/>
      <c r="B875" s="280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  <c r="Z875" s="280"/>
      <c r="AA875" s="280"/>
    </row>
    <row r="876">
      <c r="A876" s="280"/>
      <c r="B876" s="280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  <c r="Z876" s="280"/>
      <c r="AA876" s="280"/>
    </row>
    <row r="877">
      <c r="A877" s="280"/>
      <c r="B877" s="280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  <c r="Z877" s="280"/>
      <c r="AA877" s="280"/>
    </row>
    <row r="878">
      <c r="A878" s="280"/>
      <c r="B878" s="280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  <c r="Z878" s="280"/>
      <c r="AA878" s="280"/>
    </row>
    <row r="879">
      <c r="A879" s="280"/>
      <c r="B879" s="280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  <c r="Z879" s="280"/>
      <c r="AA879" s="280"/>
    </row>
    <row r="880">
      <c r="A880" s="280"/>
      <c r="B880" s="280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  <c r="Z880" s="280"/>
      <c r="AA880" s="280"/>
    </row>
    <row r="881">
      <c r="A881" s="280"/>
      <c r="B881" s="280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  <c r="Z881" s="280"/>
      <c r="AA881" s="280"/>
    </row>
    <row r="882">
      <c r="A882" s="280"/>
      <c r="B882" s="280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  <c r="Z882" s="280"/>
      <c r="AA882" s="280"/>
    </row>
    <row r="883">
      <c r="A883" s="280"/>
      <c r="B883" s="280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  <c r="Z883" s="280"/>
      <c r="AA883" s="280"/>
    </row>
    <row r="884">
      <c r="A884" s="280"/>
      <c r="B884" s="280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  <c r="Z884" s="280"/>
      <c r="AA884" s="280"/>
    </row>
    <row r="885">
      <c r="A885" s="280"/>
      <c r="B885" s="280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  <c r="Z885" s="280"/>
      <c r="AA885" s="280"/>
    </row>
    <row r="886">
      <c r="A886" s="280"/>
      <c r="B886" s="280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  <c r="Z886" s="280"/>
      <c r="AA886" s="280"/>
    </row>
    <row r="887">
      <c r="A887" s="280"/>
      <c r="B887" s="280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  <c r="Z887" s="280"/>
      <c r="AA887" s="280"/>
    </row>
    <row r="888">
      <c r="A888" s="280"/>
      <c r="B888" s="280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  <c r="Z888" s="280"/>
      <c r="AA888" s="280"/>
    </row>
    <row r="889">
      <c r="A889" s="280"/>
      <c r="B889" s="280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  <c r="Z889" s="280"/>
      <c r="AA889" s="280"/>
    </row>
    <row r="890">
      <c r="A890" s="280"/>
      <c r="B890" s="280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  <c r="Z890" s="280"/>
      <c r="AA890" s="280"/>
    </row>
    <row r="891">
      <c r="A891" s="280"/>
      <c r="B891" s="280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  <c r="Z891" s="280"/>
      <c r="AA891" s="280"/>
    </row>
    <row r="892">
      <c r="A892" s="280"/>
      <c r="B892" s="280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  <c r="Z892" s="280"/>
      <c r="AA892" s="280"/>
    </row>
    <row r="893">
      <c r="A893" s="280"/>
      <c r="B893" s="280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  <c r="Z893" s="280"/>
      <c r="AA893" s="280"/>
    </row>
    <row r="894">
      <c r="A894" s="280"/>
      <c r="B894" s="280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  <c r="Z894" s="280"/>
      <c r="AA894" s="280"/>
    </row>
    <row r="895">
      <c r="A895" s="280"/>
      <c r="B895" s="280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  <c r="Z895" s="280"/>
      <c r="AA895" s="280"/>
    </row>
    <row r="896">
      <c r="A896" s="280"/>
      <c r="B896" s="280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  <c r="Z896" s="280"/>
      <c r="AA896" s="280"/>
    </row>
    <row r="897">
      <c r="A897" s="280"/>
      <c r="B897" s="280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  <c r="Z897" s="280"/>
      <c r="AA897" s="280"/>
    </row>
    <row r="898">
      <c r="A898" s="280"/>
      <c r="B898" s="280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  <c r="Z898" s="280"/>
      <c r="AA898" s="280"/>
    </row>
    <row r="899">
      <c r="A899" s="280"/>
      <c r="B899" s="280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  <c r="Z899" s="280"/>
      <c r="AA899" s="280"/>
    </row>
    <row r="900">
      <c r="A900" s="280"/>
      <c r="B900" s="280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  <c r="Z900" s="280"/>
      <c r="AA900" s="280"/>
    </row>
    <row r="901">
      <c r="A901" s="280"/>
      <c r="B901" s="280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  <c r="Z901" s="280"/>
      <c r="AA901" s="280"/>
    </row>
    <row r="902">
      <c r="A902" s="280"/>
      <c r="B902" s="280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  <c r="Z902" s="280"/>
      <c r="AA902" s="280"/>
    </row>
    <row r="903">
      <c r="A903" s="280"/>
      <c r="B903" s="280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  <c r="Z903" s="280"/>
      <c r="AA903" s="280"/>
    </row>
    <row r="904">
      <c r="A904" s="280"/>
      <c r="B904" s="280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  <c r="Z904" s="280"/>
      <c r="AA904" s="280"/>
    </row>
    <row r="905">
      <c r="A905" s="280"/>
      <c r="B905" s="280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  <c r="Z905" s="280"/>
      <c r="AA905" s="280"/>
    </row>
    <row r="906">
      <c r="A906" s="280"/>
      <c r="B906" s="280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  <c r="Z906" s="280"/>
      <c r="AA906" s="280"/>
    </row>
    <row r="907">
      <c r="A907" s="280"/>
      <c r="B907" s="280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  <c r="Z907" s="280"/>
      <c r="AA907" s="280"/>
    </row>
    <row r="908">
      <c r="A908" s="280"/>
      <c r="B908" s="280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  <c r="Z908" s="280"/>
      <c r="AA908" s="280"/>
    </row>
    <row r="909">
      <c r="A909" s="280"/>
      <c r="B909" s="280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  <c r="Z909" s="280"/>
      <c r="AA909" s="280"/>
    </row>
    <row r="910">
      <c r="A910" s="280"/>
      <c r="B910" s="280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  <c r="Z910" s="280"/>
      <c r="AA910" s="280"/>
    </row>
    <row r="911">
      <c r="A911" s="280"/>
      <c r="B911" s="280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  <c r="Z911" s="280"/>
      <c r="AA911" s="280"/>
    </row>
    <row r="912">
      <c r="A912" s="280"/>
      <c r="B912" s="280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  <c r="Z912" s="280"/>
      <c r="AA912" s="280"/>
    </row>
    <row r="913">
      <c r="A913" s="280"/>
      <c r="B913" s="280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  <c r="Z913" s="280"/>
      <c r="AA913" s="280"/>
    </row>
    <row r="914">
      <c r="A914" s="280"/>
      <c r="B914" s="280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  <c r="Z914" s="280"/>
      <c r="AA914" s="280"/>
    </row>
    <row r="915">
      <c r="A915" s="280"/>
      <c r="B915" s="280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  <c r="Z915" s="280"/>
      <c r="AA915" s="280"/>
    </row>
    <row r="916">
      <c r="A916" s="280"/>
      <c r="B916" s="280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  <c r="Z916" s="280"/>
      <c r="AA916" s="280"/>
    </row>
    <row r="917">
      <c r="A917" s="280"/>
      <c r="B917" s="280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  <c r="Z917" s="280"/>
      <c r="AA917" s="280"/>
    </row>
    <row r="918">
      <c r="A918" s="280"/>
      <c r="B918" s="280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  <c r="Z918" s="280"/>
      <c r="AA918" s="280"/>
    </row>
    <row r="919">
      <c r="A919" s="280"/>
      <c r="B919" s="280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  <c r="Z919" s="280"/>
      <c r="AA919" s="280"/>
    </row>
    <row r="920">
      <c r="A920" s="280"/>
      <c r="B920" s="280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  <c r="Z920" s="280"/>
      <c r="AA920" s="280"/>
    </row>
    <row r="921">
      <c r="A921" s="280"/>
      <c r="B921" s="280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  <c r="Z921" s="280"/>
      <c r="AA921" s="280"/>
    </row>
    <row r="922">
      <c r="A922" s="280"/>
      <c r="B922" s="280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  <c r="Z922" s="280"/>
      <c r="AA922" s="280"/>
    </row>
    <row r="923">
      <c r="A923" s="280"/>
      <c r="B923" s="280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  <c r="AA923" s="280"/>
    </row>
    <row r="924">
      <c r="A924" s="280"/>
      <c r="B924" s="280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  <c r="Z924" s="280"/>
      <c r="AA924" s="280"/>
    </row>
    <row r="925">
      <c r="A925" s="280"/>
      <c r="B925" s="280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  <c r="Z925" s="280"/>
      <c r="AA925" s="280"/>
    </row>
    <row r="926">
      <c r="A926" s="280"/>
      <c r="B926" s="280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  <c r="Z926" s="280"/>
      <c r="AA926" s="280"/>
    </row>
    <row r="927">
      <c r="A927" s="280"/>
      <c r="B927" s="280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  <c r="Z927" s="280"/>
      <c r="AA927" s="280"/>
    </row>
    <row r="928">
      <c r="A928" s="280"/>
      <c r="B928" s="280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  <c r="Z928" s="280"/>
      <c r="AA928" s="280"/>
    </row>
    <row r="929">
      <c r="A929" s="280"/>
      <c r="B929" s="280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  <c r="Z929" s="280"/>
      <c r="AA929" s="280"/>
    </row>
    <row r="930">
      <c r="A930" s="280"/>
      <c r="B930" s="280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  <c r="Z930" s="280"/>
      <c r="AA930" s="280"/>
    </row>
    <row r="931">
      <c r="A931" s="280"/>
      <c r="B931" s="280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  <c r="Z931" s="280"/>
      <c r="AA931" s="280"/>
    </row>
    <row r="932">
      <c r="A932" s="280"/>
      <c r="B932" s="280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  <c r="Z932" s="280"/>
      <c r="AA932" s="280"/>
    </row>
    <row r="933">
      <c r="A933" s="280"/>
      <c r="B933" s="280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  <c r="Z933" s="280"/>
      <c r="AA933" s="280"/>
    </row>
    <row r="934">
      <c r="A934" s="280"/>
      <c r="B934" s="280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  <c r="Z934" s="280"/>
      <c r="AA934" s="280"/>
    </row>
    <row r="935">
      <c r="A935" s="280"/>
      <c r="B935" s="280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  <c r="Z935" s="280"/>
      <c r="AA935" s="280"/>
    </row>
    <row r="936">
      <c r="A936" s="280"/>
      <c r="B936" s="280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  <c r="Z936" s="280"/>
      <c r="AA936" s="280"/>
    </row>
    <row r="937">
      <c r="A937" s="280"/>
      <c r="B937" s="280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  <c r="Z937" s="280"/>
      <c r="AA937" s="280"/>
    </row>
    <row r="938">
      <c r="A938" s="280"/>
      <c r="B938" s="280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  <c r="Z938" s="280"/>
      <c r="AA938" s="280"/>
    </row>
    <row r="939">
      <c r="A939" s="280"/>
      <c r="B939" s="280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  <c r="Z939" s="280"/>
      <c r="AA939" s="280"/>
    </row>
    <row r="940">
      <c r="A940" s="280"/>
      <c r="B940" s="280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  <c r="Z940" s="280"/>
      <c r="AA940" s="280"/>
    </row>
    <row r="941">
      <c r="A941" s="280"/>
      <c r="B941" s="280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  <c r="Z941" s="280"/>
      <c r="AA941" s="280"/>
    </row>
    <row r="942">
      <c r="A942" s="280"/>
      <c r="B942" s="280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  <c r="Z942" s="280"/>
      <c r="AA942" s="280"/>
    </row>
    <row r="943">
      <c r="A943" s="280"/>
      <c r="B943" s="280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  <c r="Z943" s="280"/>
      <c r="AA943" s="280"/>
    </row>
    <row r="944">
      <c r="A944" s="280"/>
      <c r="B944" s="280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  <c r="Z944" s="280"/>
      <c r="AA944" s="280"/>
    </row>
    <row r="945">
      <c r="A945" s="280"/>
      <c r="B945" s="280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  <c r="Z945" s="280"/>
      <c r="AA945" s="280"/>
    </row>
    <row r="946">
      <c r="A946" s="280"/>
      <c r="B946" s="280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  <c r="Z946" s="280"/>
      <c r="AA946" s="280"/>
    </row>
    <row r="947">
      <c r="A947" s="280"/>
      <c r="B947" s="280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  <c r="Z947" s="280"/>
      <c r="AA947" s="280"/>
    </row>
    <row r="948">
      <c r="A948" s="280"/>
      <c r="B948" s="280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  <c r="Z948" s="280"/>
      <c r="AA948" s="280"/>
    </row>
    <row r="949">
      <c r="A949" s="280"/>
      <c r="B949" s="280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  <c r="Z949" s="280"/>
      <c r="AA949" s="280"/>
    </row>
    <row r="950">
      <c r="A950" s="280"/>
      <c r="B950" s="280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  <c r="Z950" s="280"/>
      <c r="AA950" s="280"/>
    </row>
    <row r="951">
      <c r="A951" s="280"/>
      <c r="B951" s="280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  <c r="Z951" s="280"/>
      <c r="AA951" s="280"/>
    </row>
    <row r="952">
      <c r="A952" s="280"/>
      <c r="B952" s="280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  <c r="Z952" s="280"/>
      <c r="AA952" s="280"/>
    </row>
    <row r="953">
      <c r="A953" s="280"/>
      <c r="B953" s="280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  <c r="Z953" s="280"/>
      <c r="AA953" s="280"/>
    </row>
    <row r="954">
      <c r="A954" s="280"/>
      <c r="B954" s="280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  <c r="Z954" s="280"/>
      <c r="AA954" s="280"/>
    </row>
    <row r="955">
      <c r="A955" s="280"/>
      <c r="B955" s="280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  <c r="Z955" s="280"/>
      <c r="AA955" s="280"/>
    </row>
    <row r="956">
      <c r="A956" s="280"/>
      <c r="B956" s="280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  <c r="Z956" s="280"/>
      <c r="AA956" s="280"/>
    </row>
    <row r="957">
      <c r="A957" s="280"/>
      <c r="B957" s="280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  <c r="Z957" s="280"/>
      <c r="AA957" s="280"/>
    </row>
    <row r="958">
      <c r="A958" s="280"/>
      <c r="B958" s="280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  <c r="Z958" s="280"/>
      <c r="AA958" s="280"/>
    </row>
    <row r="959">
      <c r="A959" s="280"/>
      <c r="B959" s="280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  <c r="Z959" s="280"/>
      <c r="AA959" s="280"/>
    </row>
    <row r="960">
      <c r="A960" s="280"/>
      <c r="B960" s="280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  <c r="Z960" s="280"/>
      <c r="AA960" s="280"/>
    </row>
    <row r="961">
      <c r="A961" s="280"/>
      <c r="B961" s="280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  <c r="Z961" s="280"/>
      <c r="AA961" s="280"/>
    </row>
    <row r="962">
      <c r="A962" s="280"/>
      <c r="B962" s="280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  <c r="Z962" s="280"/>
      <c r="AA962" s="280"/>
    </row>
    <row r="963">
      <c r="A963" s="280"/>
      <c r="B963" s="280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  <c r="Z963" s="280"/>
      <c r="AA963" s="280"/>
    </row>
    <row r="964">
      <c r="A964" s="280"/>
      <c r="B964" s="280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  <c r="X964" s="280"/>
      <c r="Y964" s="280"/>
      <c r="Z964" s="280"/>
      <c r="AA964" s="280"/>
    </row>
    <row r="965">
      <c r="A965" s="280"/>
      <c r="B965" s="280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  <c r="X965" s="280"/>
      <c r="Y965" s="280"/>
      <c r="Z965" s="280"/>
      <c r="AA965" s="280"/>
    </row>
    <row r="966">
      <c r="A966" s="280"/>
      <c r="B966" s="280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  <c r="X966" s="280"/>
      <c r="Y966" s="280"/>
      <c r="Z966" s="280"/>
      <c r="AA966" s="280"/>
    </row>
    <row r="967">
      <c r="A967" s="280"/>
      <c r="B967" s="280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  <c r="X967" s="280"/>
      <c r="Y967" s="280"/>
      <c r="Z967" s="280"/>
      <c r="AA967" s="280"/>
    </row>
    <row r="968">
      <c r="A968" s="280"/>
      <c r="B968" s="280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  <c r="X968" s="280"/>
      <c r="Y968" s="280"/>
      <c r="Z968" s="280"/>
      <c r="AA968" s="280"/>
    </row>
    <row r="969">
      <c r="A969" s="280"/>
      <c r="B969" s="280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  <c r="X969" s="280"/>
      <c r="Y969" s="280"/>
      <c r="Z969" s="280"/>
      <c r="AA969" s="280"/>
    </row>
    <row r="970">
      <c r="A970" s="280"/>
      <c r="B970" s="280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  <c r="X970" s="280"/>
      <c r="Y970" s="280"/>
      <c r="Z970" s="280"/>
      <c r="AA970" s="280"/>
    </row>
    <row r="971">
      <c r="A971" s="280"/>
      <c r="B971" s="280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0"/>
      <c r="P971" s="280"/>
      <c r="Q971" s="280"/>
      <c r="R971" s="280"/>
      <c r="S971" s="280"/>
      <c r="T971" s="280"/>
      <c r="U971" s="280"/>
      <c r="V971" s="280"/>
      <c r="W971" s="280"/>
      <c r="X971" s="280"/>
      <c r="Y971" s="280"/>
      <c r="Z971" s="280"/>
      <c r="AA971" s="280"/>
    </row>
    <row r="972">
      <c r="A972" s="280"/>
      <c r="B972" s="280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0"/>
      <c r="P972" s="280"/>
      <c r="Q972" s="280"/>
      <c r="R972" s="280"/>
      <c r="S972" s="280"/>
      <c r="T972" s="280"/>
      <c r="U972" s="280"/>
      <c r="V972" s="280"/>
      <c r="W972" s="280"/>
      <c r="X972" s="280"/>
      <c r="Y972" s="280"/>
      <c r="Z972" s="280"/>
      <c r="AA972" s="280"/>
    </row>
    <row r="973">
      <c r="A973" s="280"/>
      <c r="B973" s="280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0"/>
      <c r="P973" s="280"/>
      <c r="Q973" s="280"/>
      <c r="R973" s="280"/>
      <c r="S973" s="280"/>
      <c r="T973" s="280"/>
      <c r="U973" s="280"/>
      <c r="V973" s="280"/>
      <c r="W973" s="280"/>
      <c r="X973" s="280"/>
      <c r="Y973" s="280"/>
      <c r="Z973" s="280"/>
      <c r="AA973" s="280"/>
    </row>
    <row r="974">
      <c r="A974" s="280"/>
      <c r="B974" s="280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0"/>
      <c r="P974" s="280"/>
      <c r="Q974" s="280"/>
      <c r="R974" s="280"/>
      <c r="S974" s="280"/>
      <c r="T974" s="280"/>
      <c r="U974" s="280"/>
      <c r="V974" s="280"/>
      <c r="W974" s="280"/>
      <c r="X974" s="280"/>
      <c r="Y974" s="280"/>
      <c r="Z974" s="280"/>
      <c r="AA974" s="280"/>
    </row>
    <row r="975">
      <c r="A975" s="280"/>
      <c r="B975" s="280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0"/>
      <c r="P975" s="280"/>
      <c r="Q975" s="280"/>
      <c r="R975" s="280"/>
      <c r="S975" s="280"/>
      <c r="T975" s="280"/>
      <c r="U975" s="280"/>
      <c r="V975" s="280"/>
      <c r="W975" s="280"/>
      <c r="X975" s="280"/>
      <c r="Y975" s="280"/>
      <c r="Z975" s="280"/>
      <c r="AA975" s="280"/>
    </row>
    <row r="976">
      <c r="A976" s="280"/>
      <c r="B976" s="280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0"/>
      <c r="P976" s="280"/>
      <c r="Q976" s="280"/>
      <c r="R976" s="280"/>
      <c r="S976" s="280"/>
      <c r="T976" s="280"/>
      <c r="U976" s="280"/>
      <c r="V976" s="280"/>
      <c r="W976" s="280"/>
      <c r="X976" s="280"/>
      <c r="Y976" s="280"/>
      <c r="Z976" s="280"/>
      <c r="AA976" s="280"/>
    </row>
  </sheetData>
  <mergeCells count="2">
    <mergeCell ref="A1:D2"/>
    <mergeCell ref="A12:D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5.88"/>
    <col customWidth="1" min="2" max="2" width="21.38"/>
    <col customWidth="1" min="7" max="8" width="12.75"/>
  </cols>
  <sheetData>
    <row r="2">
      <c r="A2" s="291" t="s">
        <v>2831</v>
      </c>
      <c r="B2" s="292" t="s">
        <v>2832</v>
      </c>
      <c r="D2" s="293" t="s">
        <v>2833</v>
      </c>
      <c r="E2" s="293" t="s">
        <v>2834</v>
      </c>
      <c r="F2" s="293" t="s">
        <v>2835</v>
      </c>
      <c r="G2" s="293" t="s">
        <v>2836</v>
      </c>
      <c r="H2" s="293" t="s">
        <v>2837</v>
      </c>
    </row>
    <row r="3">
      <c r="A3" s="16" t="s">
        <v>247</v>
      </c>
      <c r="B3" s="51" t="s">
        <v>248</v>
      </c>
      <c r="C3" s="270"/>
      <c r="D3" s="272">
        <v>45901.0</v>
      </c>
      <c r="E3" s="26">
        <v>24000.0</v>
      </c>
      <c r="F3" s="26">
        <v>44000.0</v>
      </c>
      <c r="G3" s="126"/>
      <c r="H3" s="126"/>
    </row>
    <row r="4">
      <c r="A4" s="16" t="s">
        <v>252</v>
      </c>
      <c r="B4" s="51" t="s">
        <v>253</v>
      </c>
      <c r="C4" s="294"/>
      <c r="D4" s="272">
        <v>46082.0</v>
      </c>
      <c r="E4" s="26">
        <v>87000.0</v>
      </c>
      <c r="F4" s="79">
        <v>105000.0</v>
      </c>
      <c r="G4" s="126"/>
      <c r="H4" s="126"/>
    </row>
    <row r="5">
      <c r="A5" s="16" t="s">
        <v>471</v>
      </c>
      <c r="B5" s="49" t="s">
        <v>472</v>
      </c>
      <c r="C5" s="270" t="s">
        <v>144</v>
      </c>
      <c r="D5" s="272">
        <v>46023.0</v>
      </c>
      <c r="E5" s="26">
        <v>21120.0</v>
      </c>
      <c r="F5" s="79">
        <v>38000.0</v>
      </c>
      <c r="G5" s="126"/>
      <c r="H5" s="126"/>
    </row>
    <row r="6">
      <c r="A6" s="16" t="s">
        <v>477</v>
      </c>
      <c r="B6" s="49" t="s">
        <v>478</v>
      </c>
      <c r="C6" s="270" t="s">
        <v>467</v>
      </c>
      <c r="D6" s="272">
        <v>46054.0</v>
      </c>
      <c r="E6" s="79">
        <v>19200.0</v>
      </c>
      <c r="F6" s="79">
        <v>32000.0</v>
      </c>
      <c r="G6" s="126"/>
      <c r="H6" s="126"/>
    </row>
    <row r="7">
      <c r="A7" s="42" t="s">
        <v>653</v>
      </c>
      <c r="B7" s="51"/>
      <c r="C7" s="270"/>
      <c r="D7" s="272">
        <v>45839.0</v>
      </c>
      <c r="E7" s="26">
        <f>38104/2</f>
        <v>19052</v>
      </c>
      <c r="F7" s="26">
        <v>34000.0</v>
      </c>
      <c r="G7" s="126"/>
      <c r="H7" s="126"/>
    </row>
    <row r="8">
      <c r="A8" s="16" t="s">
        <v>2838</v>
      </c>
      <c r="B8" s="51"/>
      <c r="C8" s="295" t="s">
        <v>737</v>
      </c>
      <c r="D8" s="272">
        <v>45839.0</v>
      </c>
      <c r="E8" s="79">
        <f>86000</f>
        <v>86000</v>
      </c>
      <c r="F8" s="79">
        <v>105000.0</v>
      </c>
      <c r="G8" s="126"/>
      <c r="H8" s="126"/>
    </row>
    <row r="9">
      <c r="A9" s="42" t="s">
        <v>1110</v>
      </c>
      <c r="B9" s="51" t="s">
        <v>1111</v>
      </c>
      <c r="C9" s="270"/>
      <c r="D9" s="296">
        <v>45992.0</v>
      </c>
      <c r="E9" s="26">
        <v>47430.0</v>
      </c>
      <c r="F9" s="26">
        <v>78000.0</v>
      </c>
      <c r="G9" s="126"/>
      <c r="H9" s="126"/>
    </row>
    <row r="10">
      <c r="A10" s="16" t="s">
        <v>1239</v>
      </c>
      <c r="B10" s="51" t="s">
        <v>1240</v>
      </c>
      <c r="C10" s="270"/>
      <c r="D10" s="296">
        <v>45962.0</v>
      </c>
      <c r="E10" s="26">
        <v>121500.0</v>
      </c>
      <c r="F10" s="79">
        <v>165000.0</v>
      </c>
      <c r="G10" s="126"/>
      <c r="H10" s="126"/>
    </row>
    <row r="11">
      <c r="A11" s="16" t="s">
        <v>1242</v>
      </c>
      <c r="B11" s="51" t="s">
        <v>1243</v>
      </c>
      <c r="C11" s="270"/>
      <c r="D11" s="296">
        <v>46113.0</v>
      </c>
      <c r="E11" s="26">
        <v>121500.0</v>
      </c>
      <c r="F11" s="79">
        <v>165000.0</v>
      </c>
      <c r="G11" s="126"/>
      <c r="H11" s="126"/>
    </row>
    <row r="12">
      <c r="A12" s="16" t="s">
        <v>1910</v>
      </c>
      <c r="B12" s="49" t="s">
        <v>1911</v>
      </c>
      <c r="C12" s="270"/>
      <c r="D12" s="272">
        <v>45809.0</v>
      </c>
      <c r="E12" s="26">
        <f>85000*0.8</f>
        <v>68000</v>
      </c>
      <c r="F12" s="79">
        <v>85000.0</v>
      </c>
      <c r="G12" s="126"/>
      <c r="H12" s="126"/>
    </row>
    <row r="13">
      <c r="A13" s="16" t="s">
        <v>2353</v>
      </c>
      <c r="B13" s="49"/>
      <c r="C13" s="270" t="s">
        <v>985</v>
      </c>
      <c r="D13" s="272">
        <v>45870.0</v>
      </c>
      <c r="E13" s="26">
        <v>180000.0</v>
      </c>
      <c r="F13" s="26">
        <v>260000.0</v>
      </c>
      <c r="G13" s="126"/>
      <c r="H13" s="126"/>
    </row>
    <row r="14">
      <c r="A14" s="42" t="s">
        <v>2690</v>
      </c>
      <c r="B14" s="51" t="s">
        <v>2839</v>
      </c>
      <c r="C14" s="297" t="s">
        <v>2691</v>
      </c>
      <c r="D14" s="49" t="s">
        <v>2840</v>
      </c>
      <c r="E14" s="26">
        <v>315455.0</v>
      </c>
      <c r="F14" s="79">
        <v>390000.0</v>
      </c>
      <c r="G14" s="126"/>
      <c r="H14" s="126"/>
    </row>
    <row r="15">
      <c r="A15" s="167" t="s">
        <v>2841</v>
      </c>
      <c r="B15" s="126"/>
      <c r="C15" s="126"/>
      <c r="D15" s="167" t="s">
        <v>2842</v>
      </c>
      <c r="E15" s="102">
        <v>350000.0</v>
      </c>
      <c r="F15" s="102">
        <v>290000.0</v>
      </c>
      <c r="G15" s="126"/>
      <c r="H15" s="126"/>
    </row>
    <row r="16">
      <c r="A16" s="126"/>
      <c r="B16" s="126"/>
      <c r="C16" s="126"/>
      <c r="D16" s="126"/>
      <c r="E16" s="39"/>
      <c r="F16" s="39"/>
      <c r="G16" s="126"/>
      <c r="H16" s="126"/>
    </row>
    <row r="17">
      <c r="A17" s="126"/>
      <c r="B17" s="126"/>
      <c r="C17" s="126"/>
      <c r="D17" s="126"/>
      <c r="E17" s="39"/>
      <c r="F17" s="39"/>
      <c r="G17" s="126"/>
      <c r="H17" s="126"/>
    </row>
    <row r="18">
      <c r="A18" s="126"/>
      <c r="B18" s="126"/>
      <c r="C18" s="126"/>
      <c r="D18" s="126"/>
      <c r="E18" s="39"/>
      <c r="F18" s="39"/>
      <c r="G18" s="126"/>
      <c r="H18" s="126"/>
    </row>
    <row r="19">
      <c r="A19" s="126"/>
      <c r="B19" s="126"/>
      <c r="C19" s="126"/>
      <c r="D19" s="126"/>
      <c r="E19" s="39"/>
      <c r="F19" s="39"/>
      <c r="G19" s="126"/>
      <c r="H19" s="126"/>
    </row>
    <row r="20">
      <c r="A20" s="126"/>
      <c r="B20" s="126"/>
      <c r="C20" s="126"/>
      <c r="D20" s="126"/>
      <c r="E20" s="39"/>
      <c r="F20" s="39"/>
      <c r="G20" s="126"/>
      <c r="H20" s="126"/>
    </row>
    <row r="21">
      <c r="A21" s="126"/>
      <c r="B21" s="126"/>
      <c r="C21" s="126"/>
      <c r="D21" s="126"/>
      <c r="E21" s="39"/>
      <c r="F21" s="39"/>
      <c r="G21" s="126"/>
      <c r="H21" s="126"/>
    </row>
    <row r="22">
      <c r="A22" s="126"/>
      <c r="B22" s="126"/>
      <c r="C22" s="126"/>
      <c r="D22" s="126"/>
      <c r="E22" s="39"/>
      <c r="F22" s="39"/>
      <c r="G22" s="126"/>
      <c r="H22" s="126"/>
    </row>
    <row r="23">
      <c r="A23" s="126"/>
      <c r="B23" s="126"/>
      <c r="C23" s="126"/>
      <c r="D23" s="126"/>
      <c r="E23" s="39"/>
      <c r="F23" s="39"/>
      <c r="G23" s="126"/>
      <c r="H23" s="126"/>
    </row>
    <row r="24">
      <c r="A24" s="126"/>
      <c r="B24" s="126"/>
      <c r="C24" s="126"/>
      <c r="D24" s="126"/>
      <c r="E24" s="39"/>
      <c r="F24" s="39"/>
      <c r="G24" s="126"/>
      <c r="H24" s="126"/>
    </row>
    <row r="25">
      <c r="A25" s="126"/>
      <c r="B25" s="126"/>
      <c r="C25" s="126"/>
      <c r="D25" s="126"/>
      <c r="E25" s="39"/>
      <c r="F25" s="39"/>
      <c r="G25" s="126"/>
      <c r="H25" s="126"/>
    </row>
    <row r="26">
      <c r="A26" s="126"/>
      <c r="B26" s="126"/>
      <c r="C26" s="126"/>
      <c r="D26" s="126"/>
      <c r="E26" s="39"/>
      <c r="F26" s="39"/>
      <c r="G26" s="126"/>
      <c r="H26" s="126"/>
    </row>
    <row r="27">
      <c r="A27" s="126"/>
      <c r="B27" s="126"/>
      <c r="C27" s="126"/>
      <c r="D27" s="126"/>
      <c r="E27" s="39"/>
      <c r="F27" s="39"/>
      <c r="G27" s="126"/>
      <c r="H27" s="126"/>
    </row>
    <row r="28">
      <c r="A28" s="126"/>
      <c r="B28" s="126"/>
      <c r="C28" s="126"/>
      <c r="D28" s="126"/>
      <c r="E28" s="39"/>
      <c r="F28" s="39"/>
      <c r="G28" s="126"/>
      <c r="H28" s="126"/>
    </row>
    <row r="29">
      <c r="A29" s="126"/>
      <c r="B29" s="126"/>
      <c r="C29" s="126"/>
      <c r="D29" s="126"/>
      <c r="E29" s="39"/>
      <c r="F29" s="39"/>
      <c r="G29" s="126"/>
      <c r="H29" s="126"/>
    </row>
    <row r="30">
      <c r="A30" s="126"/>
      <c r="B30" s="126"/>
      <c r="C30" s="126"/>
      <c r="D30" s="126"/>
      <c r="E30" s="39"/>
      <c r="F30" s="39"/>
      <c r="G30" s="126"/>
      <c r="H30" s="126"/>
    </row>
    <row r="31">
      <c r="A31" s="126"/>
      <c r="B31" s="126"/>
      <c r="C31" s="126"/>
      <c r="D31" s="126"/>
      <c r="E31" s="39"/>
      <c r="F31" s="39"/>
      <c r="G31" s="126"/>
      <c r="H31" s="126"/>
    </row>
    <row r="32">
      <c r="A32" s="126"/>
      <c r="B32" s="126"/>
      <c r="C32" s="126"/>
      <c r="D32" s="126"/>
      <c r="E32" s="39"/>
      <c r="F32" s="39"/>
      <c r="G32" s="126"/>
      <c r="H32" s="126"/>
    </row>
    <row r="33">
      <c r="A33" s="126"/>
      <c r="B33" s="126"/>
      <c r="C33" s="126"/>
      <c r="D33" s="126"/>
      <c r="E33" s="39"/>
      <c r="F33" s="39"/>
      <c r="G33" s="126"/>
      <c r="H33" s="126"/>
    </row>
    <row r="34">
      <c r="A34" s="126"/>
      <c r="B34" s="126"/>
      <c r="C34" s="126"/>
      <c r="D34" s="126"/>
      <c r="E34" s="126"/>
      <c r="F34" s="126"/>
      <c r="G34" s="126"/>
      <c r="H34" s="126"/>
    </row>
    <row r="35">
      <c r="A35" s="126"/>
      <c r="B35" s="126"/>
      <c r="C35" s="126"/>
      <c r="D35" s="126"/>
      <c r="E35" s="126"/>
      <c r="F35" s="126"/>
      <c r="G35" s="126"/>
      <c r="H35" s="126"/>
    </row>
    <row r="36">
      <c r="A36" s="126"/>
      <c r="B36" s="126"/>
      <c r="C36" s="126"/>
      <c r="D36" s="126"/>
      <c r="E36" s="126"/>
      <c r="F36" s="126"/>
      <c r="G36" s="126"/>
      <c r="H36" s="1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3.0"/>
    <col customWidth="1" min="2" max="2" width="9.13"/>
    <col customWidth="1" min="4" max="4" width="6.88"/>
  </cols>
  <sheetData>
    <row r="1">
      <c r="A1" s="278" t="s">
        <v>2843</v>
      </c>
      <c r="B1" s="2" t="s">
        <v>1</v>
      </c>
      <c r="C1" s="3"/>
      <c r="D1" s="4"/>
      <c r="E1" s="5" t="s">
        <v>2</v>
      </c>
      <c r="F1" s="5" t="s">
        <v>3</v>
      </c>
      <c r="G1" s="6"/>
      <c r="H1" s="7" t="s">
        <v>4</v>
      </c>
      <c r="I1" s="8" t="s">
        <v>5</v>
      </c>
      <c r="J1" s="9" t="s">
        <v>6</v>
      </c>
      <c r="K1" s="10" t="s">
        <v>7</v>
      </c>
      <c r="L1" s="11" t="s">
        <v>8</v>
      </c>
    </row>
    <row r="2" hidden="1">
      <c r="A2" s="52" t="s">
        <v>426</v>
      </c>
      <c r="B2" s="51"/>
      <c r="C2" s="18"/>
      <c r="D2" s="4"/>
      <c r="E2" s="19"/>
      <c r="F2" s="19">
        <v>0.0</v>
      </c>
      <c r="G2" s="16" t="s">
        <v>427</v>
      </c>
      <c r="H2" s="21"/>
      <c r="I2" s="22"/>
      <c r="J2" s="29"/>
      <c r="K2" s="32">
        <v>3374.0</v>
      </c>
      <c r="L2" s="24">
        <v>6000.0</v>
      </c>
    </row>
    <row r="3" hidden="1">
      <c r="A3" s="16" t="s">
        <v>698</v>
      </c>
      <c r="B3" s="17"/>
      <c r="C3" s="18"/>
      <c r="D3" s="4"/>
      <c r="E3" s="19"/>
      <c r="F3" s="19">
        <v>0.0</v>
      </c>
      <c r="G3" s="16" t="s">
        <v>699</v>
      </c>
      <c r="H3" s="21"/>
      <c r="I3" s="22">
        <v>20.0</v>
      </c>
      <c r="J3" s="29"/>
      <c r="K3" s="48">
        <f>22950*1.19/20</f>
        <v>1365.525</v>
      </c>
      <c r="L3" s="55">
        <v>2000.0</v>
      </c>
    </row>
    <row r="4" hidden="1">
      <c r="A4" s="16" t="s">
        <v>703</v>
      </c>
      <c r="B4" s="17" t="s">
        <v>704</v>
      </c>
      <c r="C4" s="18"/>
      <c r="D4" s="4"/>
      <c r="E4" s="19"/>
      <c r="F4" s="19">
        <v>0.0</v>
      </c>
      <c r="G4" s="16" t="s">
        <v>699</v>
      </c>
      <c r="H4" s="21"/>
      <c r="I4" s="22">
        <v>20.0</v>
      </c>
      <c r="J4" s="29"/>
      <c r="K4" s="43">
        <f>(81855*1.19)/120</f>
        <v>811.72875</v>
      </c>
      <c r="L4" s="44">
        <v>2000.0</v>
      </c>
    </row>
    <row r="5" hidden="1">
      <c r="A5" s="16" t="s">
        <v>705</v>
      </c>
      <c r="B5" s="17"/>
      <c r="C5" s="18"/>
      <c r="D5" s="4"/>
      <c r="E5" s="19"/>
      <c r="F5" s="19">
        <v>0.0</v>
      </c>
      <c r="G5" s="16" t="s">
        <v>699</v>
      </c>
      <c r="H5" s="21"/>
      <c r="I5" s="22">
        <v>20.0</v>
      </c>
      <c r="J5" s="29"/>
      <c r="K5" s="48">
        <f t="shared" ref="K5:K7" si="1">22950*1.19/20</f>
        <v>1365.525</v>
      </c>
      <c r="L5" s="55">
        <v>2000.0</v>
      </c>
    </row>
    <row r="6" hidden="1">
      <c r="A6" s="16" t="s">
        <v>721</v>
      </c>
      <c r="B6" s="17"/>
      <c r="C6" s="18"/>
      <c r="D6" s="4"/>
      <c r="E6" s="19"/>
      <c r="F6" s="19">
        <v>0.0</v>
      </c>
      <c r="G6" s="16" t="s">
        <v>699</v>
      </c>
      <c r="H6" s="21"/>
      <c r="I6" s="22">
        <v>20.0</v>
      </c>
      <c r="J6" s="29"/>
      <c r="K6" s="48">
        <f t="shared" si="1"/>
        <v>1365.525</v>
      </c>
      <c r="L6" s="55">
        <v>2000.0</v>
      </c>
    </row>
    <row r="7" hidden="1">
      <c r="A7" s="16" t="s">
        <v>724</v>
      </c>
      <c r="B7" s="17"/>
      <c r="C7" s="18"/>
      <c r="D7" s="4"/>
      <c r="E7" s="19"/>
      <c r="F7" s="19">
        <v>0.0</v>
      </c>
      <c r="G7" s="16" t="s">
        <v>699</v>
      </c>
      <c r="H7" s="21"/>
      <c r="I7" s="22">
        <v>20.0</v>
      </c>
      <c r="J7" s="58">
        <v>46722.0</v>
      </c>
      <c r="K7" s="48">
        <f t="shared" si="1"/>
        <v>1365.525</v>
      </c>
      <c r="L7" s="55">
        <v>2000.0</v>
      </c>
    </row>
    <row r="8" hidden="1">
      <c r="A8" s="16" t="s">
        <v>725</v>
      </c>
      <c r="B8" s="17"/>
      <c r="C8" s="18"/>
      <c r="D8" s="4"/>
      <c r="E8" s="19"/>
      <c r="F8" s="19">
        <v>0.0</v>
      </c>
      <c r="G8" s="16" t="s">
        <v>726</v>
      </c>
      <c r="H8" s="21"/>
      <c r="I8" s="22"/>
      <c r="J8" s="58">
        <v>45992.0</v>
      </c>
      <c r="K8" s="43">
        <f>4563*1.19</f>
        <v>5429.97</v>
      </c>
      <c r="L8" s="44">
        <v>8000.0</v>
      </c>
    </row>
    <row r="9" hidden="1">
      <c r="A9" s="16" t="s">
        <v>727</v>
      </c>
      <c r="B9" s="17"/>
      <c r="C9" s="18"/>
      <c r="D9" s="4"/>
      <c r="E9" s="19"/>
      <c r="F9" s="19">
        <v>0.0</v>
      </c>
      <c r="G9" s="16" t="s">
        <v>726</v>
      </c>
      <c r="H9" s="21"/>
      <c r="I9" s="22"/>
      <c r="J9" s="29"/>
      <c r="K9" s="32">
        <f>7677*1.19</f>
        <v>9135.63</v>
      </c>
      <c r="L9" s="24">
        <v>12000.0</v>
      </c>
    </row>
    <row r="10" hidden="1">
      <c r="A10" s="16" t="s">
        <v>820</v>
      </c>
      <c r="B10" s="17"/>
      <c r="C10" s="18"/>
      <c r="D10" s="4"/>
      <c r="E10" s="19"/>
      <c r="F10" s="19">
        <v>0.0</v>
      </c>
      <c r="G10" s="16" t="s">
        <v>821</v>
      </c>
      <c r="H10" s="21"/>
      <c r="I10" s="22">
        <v>8.0</v>
      </c>
      <c r="J10" s="29"/>
      <c r="K10" s="43">
        <f>11640*1.19</f>
        <v>13851.6</v>
      </c>
      <c r="L10" s="43">
        <v>20000.0</v>
      </c>
    </row>
    <row r="11" hidden="1">
      <c r="A11" s="16" t="s">
        <v>1160</v>
      </c>
      <c r="B11" s="36"/>
      <c r="C11" s="18" t="s">
        <v>1157</v>
      </c>
      <c r="D11" s="4"/>
      <c r="E11" s="19"/>
      <c r="F11" s="19">
        <v>0.0</v>
      </c>
      <c r="G11" s="16" t="s">
        <v>1161</v>
      </c>
      <c r="H11" s="21"/>
      <c r="I11" s="22"/>
      <c r="J11" s="23"/>
      <c r="K11" s="44">
        <f t="shared" ref="K11:K19" si="2">34290*1.19/5</f>
        <v>8161.02</v>
      </c>
      <c r="L11" s="44">
        <v>18000.0</v>
      </c>
    </row>
    <row r="12" hidden="1">
      <c r="A12" s="16" t="s">
        <v>1163</v>
      </c>
      <c r="B12" s="36"/>
      <c r="C12" s="18" t="s">
        <v>1157</v>
      </c>
      <c r="D12" s="4"/>
      <c r="E12" s="19"/>
      <c r="F12" s="19">
        <v>0.0</v>
      </c>
      <c r="G12" s="16" t="s">
        <v>1164</v>
      </c>
      <c r="H12" s="21"/>
      <c r="I12" s="22"/>
      <c r="J12" s="23"/>
      <c r="K12" s="44">
        <f t="shared" si="2"/>
        <v>8161.02</v>
      </c>
      <c r="L12" s="44">
        <v>18000.0</v>
      </c>
    </row>
    <row r="13" hidden="1">
      <c r="A13" s="16" t="s">
        <v>1165</v>
      </c>
      <c r="B13" s="36"/>
      <c r="C13" s="18" t="s">
        <v>1157</v>
      </c>
      <c r="D13" s="4"/>
      <c r="E13" s="19"/>
      <c r="F13" s="19">
        <v>0.0</v>
      </c>
      <c r="G13" s="16" t="s">
        <v>1164</v>
      </c>
      <c r="H13" s="21"/>
      <c r="I13" s="22"/>
      <c r="J13" s="23"/>
      <c r="K13" s="44">
        <f t="shared" si="2"/>
        <v>8161.02</v>
      </c>
      <c r="L13" s="44">
        <v>18000.0</v>
      </c>
    </row>
    <row r="14" hidden="1">
      <c r="A14" s="16" t="s">
        <v>1166</v>
      </c>
      <c r="B14" s="36"/>
      <c r="C14" s="18" t="s">
        <v>1157</v>
      </c>
      <c r="D14" s="4"/>
      <c r="E14" s="19"/>
      <c r="F14" s="19">
        <v>0.0</v>
      </c>
      <c r="G14" s="16" t="s">
        <v>1164</v>
      </c>
      <c r="H14" s="21"/>
      <c r="I14" s="22"/>
      <c r="J14" s="23"/>
      <c r="K14" s="44">
        <f t="shared" si="2"/>
        <v>8161.02</v>
      </c>
      <c r="L14" s="44">
        <v>18000.0</v>
      </c>
    </row>
    <row r="15" hidden="1">
      <c r="A15" s="16" t="s">
        <v>1167</v>
      </c>
      <c r="B15" s="36"/>
      <c r="C15" s="18" t="s">
        <v>1157</v>
      </c>
      <c r="D15" s="4"/>
      <c r="E15" s="19"/>
      <c r="F15" s="19">
        <v>0.0</v>
      </c>
      <c r="G15" s="16" t="s">
        <v>1164</v>
      </c>
      <c r="H15" s="21"/>
      <c r="I15" s="22"/>
      <c r="J15" s="23"/>
      <c r="K15" s="44">
        <f t="shared" si="2"/>
        <v>8161.02</v>
      </c>
      <c r="L15" s="44">
        <v>18000.0</v>
      </c>
    </row>
    <row r="16" hidden="1">
      <c r="A16" s="187" t="s">
        <v>1168</v>
      </c>
      <c r="B16" s="36"/>
      <c r="C16" s="18" t="s">
        <v>1157</v>
      </c>
      <c r="D16" s="4"/>
      <c r="E16" s="19"/>
      <c r="F16" s="19">
        <v>0.0</v>
      </c>
      <c r="G16" s="16" t="s">
        <v>1164</v>
      </c>
      <c r="H16" s="21"/>
      <c r="I16" s="22"/>
      <c r="J16" s="23"/>
      <c r="K16" s="44">
        <f t="shared" si="2"/>
        <v>8161.02</v>
      </c>
      <c r="L16" s="44">
        <v>18000.0</v>
      </c>
    </row>
    <row r="17" hidden="1">
      <c r="A17" s="187" t="s">
        <v>1169</v>
      </c>
      <c r="B17" s="36"/>
      <c r="C17" s="18" t="s">
        <v>1157</v>
      </c>
      <c r="D17" s="4"/>
      <c r="E17" s="19"/>
      <c r="F17" s="19">
        <v>0.0</v>
      </c>
      <c r="G17" s="16" t="s">
        <v>1164</v>
      </c>
      <c r="H17" s="21"/>
      <c r="I17" s="22"/>
      <c r="J17" s="23"/>
      <c r="K17" s="44">
        <f t="shared" si="2"/>
        <v>8161.02</v>
      </c>
      <c r="L17" s="44">
        <v>18000.0</v>
      </c>
    </row>
    <row r="18" hidden="1">
      <c r="A18" s="187" t="s">
        <v>1170</v>
      </c>
      <c r="B18" s="36">
        <v>245034.0</v>
      </c>
      <c r="C18" s="18" t="s">
        <v>1157</v>
      </c>
      <c r="D18" s="4"/>
      <c r="E18" s="19"/>
      <c r="F18" s="19">
        <v>0.0</v>
      </c>
      <c r="G18" s="16" t="s">
        <v>1164</v>
      </c>
      <c r="H18" s="21"/>
      <c r="I18" s="22"/>
      <c r="J18" s="23"/>
      <c r="K18" s="44">
        <f t="shared" si="2"/>
        <v>8161.02</v>
      </c>
      <c r="L18" s="44">
        <v>18000.0</v>
      </c>
    </row>
    <row r="19" hidden="1">
      <c r="A19" s="187" t="s">
        <v>1171</v>
      </c>
      <c r="B19" s="36">
        <v>245035.0</v>
      </c>
      <c r="C19" s="18" t="s">
        <v>1157</v>
      </c>
      <c r="D19" s="4"/>
      <c r="E19" s="19"/>
      <c r="F19" s="19">
        <v>0.0</v>
      </c>
      <c r="G19" s="16" t="s">
        <v>1164</v>
      </c>
      <c r="H19" s="21"/>
      <c r="I19" s="22"/>
      <c r="J19" s="23"/>
      <c r="K19" s="44">
        <f t="shared" si="2"/>
        <v>8161.02</v>
      </c>
      <c r="L19" s="44">
        <v>18000.0</v>
      </c>
    </row>
    <row r="20" hidden="1">
      <c r="A20" s="187" t="s">
        <v>1172</v>
      </c>
      <c r="B20" s="36">
        <v>245032.0</v>
      </c>
      <c r="C20" s="18" t="s">
        <v>1157</v>
      </c>
      <c r="D20" s="4"/>
      <c r="E20" s="19"/>
      <c r="F20" s="19">
        <v>0.0</v>
      </c>
      <c r="G20" s="16" t="s">
        <v>1161</v>
      </c>
      <c r="H20" s="21"/>
      <c r="I20" s="22"/>
      <c r="J20" s="23"/>
      <c r="K20" s="44">
        <v>6378.0</v>
      </c>
      <c r="L20" s="44">
        <v>18000.0</v>
      </c>
    </row>
    <row r="21" hidden="1">
      <c r="A21" s="187" t="s">
        <v>1173</v>
      </c>
      <c r="B21" s="36">
        <v>245033.0</v>
      </c>
      <c r="C21" s="18" t="s">
        <v>1157</v>
      </c>
      <c r="D21" s="4"/>
      <c r="E21" s="19"/>
      <c r="F21" s="19">
        <v>0.0</v>
      </c>
      <c r="G21" s="16" t="s">
        <v>1161</v>
      </c>
      <c r="H21" s="21"/>
      <c r="I21" s="22"/>
      <c r="J21" s="23"/>
      <c r="K21" s="44">
        <v>6378.0</v>
      </c>
      <c r="L21" s="44">
        <v>18000.0</v>
      </c>
    </row>
    <row r="22" hidden="1">
      <c r="A22" s="187" t="s">
        <v>1174</v>
      </c>
      <c r="B22" s="36">
        <v>245034.0</v>
      </c>
      <c r="C22" s="18" t="s">
        <v>1157</v>
      </c>
      <c r="D22" s="4"/>
      <c r="E22" s="19"/>
      <c r="F22" s="19">
        <v>0.0</v>
      </c>
      <c r="G22" s="16" t="s">
        <v>1161</v>
      </c>
      <c r="H22" s="21"/>
      <c r="I22" s="22"/>
      <c r="J22" s="23"/>
      <c r="K22" s="44">
        <v>6378.0</v>
      </c>
      <c r="L22" s="44">
        <v>18000.0</v>
      </c>
    </row>
    <row r="23" hidden="1">
      <c r="A23" s="187" t="s">
        <v>1175</v>
      </c>
      <c r="B23" s="36">
        <v>245035.0</v>
      </c>
      <c r="C23" s="18" t="s">
        <v>1157</v>
      </c>
      <c r="D23" s="4"/>
      <c r="E23" s="19"/>
      <c r="F23" s="19">
        <v>0.0</v>
      </c>
      <c r="G23" s="16" t="s">
        <v>1161</v>
      </c>
      <c r="H23" s="21"/>
      <c r="I23" s="22"/>
      <c r="J23" s="23"/>
      <c r="K23" s="44">
        <v>6378.0</v>
      </c>
      <c r="L23" s="44">
        <v>18000.0</v>
      </c>
    </row>
    <row r="24" hidden="1">
      <c r="A24" s="16" t="s">
        <v>1176</v>
      </c>
      <c r="B24" s="36"/>
      <c r="C24" s="18" t="s">
        <v>1157</v>
      </c>
      <c r="D24" s="4"/>
      <c r="E24" s="19"/>
      <c r="F24" s="19">
        <v>0.0</v>
      </c>
      <c r="G24" s="16" t="s">
        <v>1164</v>
      </c>
      <c r="H24" s="21"/>
      <c r="I24" s="22"/>
      <c r="J24" s="23"/>
      <c r="K24" s="44">
        <f t="shared" ref="K24:K34" si="3">34290*1.19/5</f>
        <v>8161.02</v>
      </c>
      <c r="L24" s="44">
        <v>18000.0</v>
      </c>
    </row>
    <row r="25" hidden="1">
      <c r="A25" s="16" t="s">
        <v>1177</v>
      </c>
      <c r="B25" s="36"/>
      <c r="C25" s="18" t="s">
        <v>1157</v>
      </c>
      <c r="D25" s="4"/>
      <c r="E25" s="19"/>
      <c r="F25" s="19">
        <v>0.0</v>
      </c>
      <c r="G25" s="16" t="s">
        <v>1161</v>
      </c>
      <c r="H25" s="21"/>
      <c r="I25" s="22"/>
      <c r="J25" s="23"/>
      <c r="K25" s="44">
        <f t="shared" si="3"/>
        <v>8161.02</v>
      </c>
      <c r="L25" s="44">
        <v>18000.0</v>
      </c>
    </row>
    <row r="26" hidden="1">
      <c r="A26" s="16" t="s">
        <v>1178</v>
      </c>
      <c r="B26" s="36"/>
      <c r="C26" s="18" t="s">
        <v>1157</v>
      </c>
      <c r="D26" s="4"/>
      <c r="E26" s="19"/>
      <c r="F26" s="19">
        <v>0.0</v>
      </c>
      <c r="G26" s="16" t="s">
        <v>1164</v>
      </c>
      <c r="H26" s="21"/>
      <c r="I26" s="22"/>
      <c r="J26" s="23"/>
      <c r="K26" s="44">
        <f t="shared" si="3"/>
        <v>8161.02</v>
      </c>
      <c r="L26" s="44">
        <v>18000.0</v>
      </c>
    </row>
    <row r="27" hidden="1">
      <c r="A27" s="16" t="s">
        <v>1179</v>
      </c>
      <c r="B27" s="36"/>
      <c r="C27" s="18" t="s">
        <v>1157</v>
      </c>
      <c r="D27" s="4"/>
      <c r="E27" s="19"/>
      <c r="F27" s="19">
        <v>0.0</v>
      </c>
      <c r="G27" s="16" t="s">
        <v>1164</v>
      </c>
      <c r="H27" s="21"/>
      <c r="I27" s="22"/>
      <c r="J27" s="23"/>
      <c r="K27" s="44">
        <f t="shared" si="3"/>
        <v>8161.02</v>
      </c>
      <c r="L27" s="44">
        <v>18000.0</v>
      </c>
    </row>
    <row r="28" hidden="1">
      <c r="A28" s="16" t="s">
        <v>1180</v>
      </c>
      <c r="B28" s="36"/>
      <c r="C28" s="18" t="s">
        <v>1157</v>
      </c>
      <c r="D28" s="4"/>
      <c r="E28" s="19"/>
      <c r="F28" s="19">
        <v>0.0</v>
      </c>
      <c r="G28" s="16" t="s">
        <v>1164</v>
      </c>
      <c r="H28" s="21"/>
      <c r="I28" s="22"/>
      <c r="J28" s="23"/>
      <c r="K28" s="44">
        <f t="shared" si="3"/>
        <v>8161.02</v>
      </c>
      <c r="L28" s="44">
        <v>18000.0</v>
      </c>
    </row>
    <row r="29" hidden="1">
      <c r="A29" s="16" t="s">
        <v>1181</v>
      </c>
      <c r="B29" s="36"/>
      <c r="C29" s="18" t="s">
        <v>1157</v>
      </c>
      <c r="D29" s="4"/>
      <c r="E29" s="19"/>
      <c r="F29" s="19">
        <v>0.0</v>
      </c>
      <c r="G29" s="16" t="s">
        <v>1164</v>
      </c>
      <c r="H29" s="21"/>
      <c r="I29" s="22"/>
      <c r="J29" s="23"/>
      <c r="K29" s="44">
        <f t="shared" si="3"/>
        <v>8161.02</v>
      </c>
      <c r="L29" s="44">
        <v>18000.0</v>
      </c>
    </row>
    <row r="30" hidden="1">
      <c r="A30" s="16" t="s">
        <v>1183</v>
      </c>
      <c r="B30" s="36"/>
      <c r="C30" s="18" t="s">
        <v>1157</v>
      </c>
      <c r="D30" s="4"/>
      <c r="E30" s="19"/>
      <c r="F30" s="19">
        <v>0.0</v>
      </c>
      <c r="G30" s="16" t="s">
        <v>1164</v>
      </c>
      <c r="H30" s="21"/>
      <c r="I30" s="22"/>
      <c r="J30" s="23"/>
      <c r="K30" s="44">
        <f t="shared" si="3"/>
        <v>8161.02</v>
      </c>
      <c r="L30" s="44">
        <v>18000.0</v>
      </c>
    </row>
    <row r="31" hidden="1">
      <c r="A31" s="16" t="s">
        <v>1184</v>
      </c>
      <c r="B31" s="36"/>
      <c r="C31" s="18" t="s">
        <v>1157</v>
      </c>
      <c r="D31" s="4"/>
      <c r="E31" s="19"/>
      <c r="F31" s="19">
        <v>0.0</v>
      </c>
      <c r="G31" s="16" t="s">
        <v>1164</v>
      </c>
      <c r="H31" s="21"/>
      <c r="I31" s="22"/>
      <c r="J31" s="23"/>
      <c r="K31" s="44">
        <f t="shared" si="3"/>
        <v>8161.02</v>
      </c>
      <c r="L31" s="44">
        <v>18000.0</v>
      </c>
    </row>
    <row r="32" hidden="1">
      <c r="A32" s="16" t="s">
        <v>1185</v>
      </c>
      <c r="B32" s="36"/>
      <c r="C32" s="18" t="s">
        <v>1157</v>
      </c>
      <c r="D32" s="4"/>
      <c r="E32" s="19"/>
      <c r="F32" s="19">
        <v>0.0</v>
      </c>
      <c r="G32" s="16" t="s">
        <v>1161</v>
      </c>
      <c r="H32" s="21"/>
      <c r="I32" s="22"/>
      <c r="J32" s="23"/>
      <c r="K32" s="44">
        <f t="shared" si="3"/>
        <v>8161.02</v>
      </c>
      <c r="L32" s="44">
        <v>18000.0</v>
      </c>
    </row>
    <row r="33" hidden="1">
      <c r="A33" s="16" t="s">
        <v>1186</v>
      </c>
      <c r="B33" s="36"/>
      <c r="C33" s="18" t="s">
        <v>1157</v>
      </c>
      <c r="D33" s="4"/>
      <c r="E33" s="19"/>
      <c r="F33" s="19">
        <v>0.0</v>
      </c>
      <c r="G33" s="16" t="s">
        <v>1164</v>
      </c>
      <c r="H33" s="21"/>
      <c r="I33" s="22"/>
      <c r="J33" s="23"/>
      <c r="K33" s="44">
        <f t="shared" si="3"/>
        <v>8161.02</v>
      </c>
      <c r="L33" s="44">
        <v>18000.0</v>
      </c>
    </row>
    <row r="34" hidden="1">
      <c r="A34" s="16" t="s">
        <v>1187</v>
      </c>
      <c r="B34" s="36"/>
      <c r="C34" s="18" t="s">
        <v>1157</v>
      </c>
      <c r="D34" s="4"/>
      <c r="E34" s="19"/>
      <c r="F34" s="19">
        <v>0.0</v>
      </c>
      <c r="G34" s="16" t="s">
        <v>1164</v>
      </c>
      <c r="H34" s="21"/>
      <c r="I34" s="22"/>
      <c r="J34" s="23"/>
      <c r="K34" s="44">
        <f t="shared" si="3"/>
        <v>8161.02</v>
      </c>
      <c r="L34" s="44">
        <v>18000.0</v>
      </c>
    </row>
    <row r="35" hidden="1">
      <c r="A35" s="16" t="s">
        <v>1188</v>
      </c>
      <c r="B35" s="36">
        <v>245039.0</v>
      </c>
      <c r="C35" s="18" t="s">
        <v>1157</v>
      </c>
      <c r="D35" s="4"/>
      <c r="E35" s="19"/>
      <c r="F35" s="19">
        <v>0.0</v>
      </c>
      <c r="G35" s="16" t="s">
        <v>1161</v>
      </c>
      <c r="H35" s="21"/>
      <c r="I35" s="22"/>
      <c r="J35" s="23"/>
      <c r="K35" s="44">
        <v>6378.0</v>
      </c>
      <c r="L35" s="44">
        <v>18000.0</v>
      </c>
    </row>
    <row r="36" hidden="1">
      <c r="A36" s="16" t="s">
        <v>1189</v>
      </c>
      <c r="B36" s="36"/>
      <c r="C36" s="18" t="s">
        <v>1157</v>
      </c>
      <c r="D36" s="4"/>
      <c r="E36" s="19"/>
      <c r="F36" s="19">
        <v>0.0</v>
      </c>
      <c r="G36" s="16" t="s">
        <v>1164</v>
      </c>
      <c r="H36" s="21"/>
      <c r="I36" s="22"/>
      <c r="J36" s="23"/>
      <c r="K36" s="44">
        <f t="shared" ref="K36:K38" si="4">34290*1.19/5</f>
        <v>8161.02</v>
      </c>
      <c r="L36" s="44">
        <v>18000.0</v>
      </c>
    </row>
    <row r="37" hidden="1">
      <c r="A37" s="16" t="s">
        <v>1190</v>
      </c>
      <c r="B37" s="36"/>
      <c r="C37" s="18" t="s">
        <v>1157</v>
      </c>
      <c r="D37" s="4"/>
      <c r="E37" s="19"/>
      <c r="F37" s="19">
        <v>0.0</v>
      </c>
      <c r="G37" s="16" t="s">
        <v>1161</v>
      </c>
      <c r="H37" s="21"/>
      <c r="I37" s="22"/>
      <c r="J37" s="23"/>
      <c r="K37" s="44">
        <f t="shared" si="4"/>
        <v>8161.02</v>
      </c>
      <c r="L37" s="44">
        <v>18000.0</v>
      </c>
    </row>
    <row r="38" hidden="1">
      <c r="A38" s="16" t="s">
        <v>1191</v>
      </c>
      <c r="B38" s="36"/>
      <c r="C38" s="18" t="s">
        <v>1157</v>
      </c>
      <c r="D38" s="4"/>
      <c r="E38" s="19"/>
      <c r="F38" s="19">
        <v>0.0</v>
      </c>
      <c r="G38" s="16" t="s">
        <v>1164</v>
      </c>
      <c r="H38" s="21"/>
      <c r="I38" s="22"/>
      <c r="J38" s="23"/>
      <c r="K38" s="44">
        <f t="shared" si="4"/>
        <v>8161.02</v>
      </c>
      <c r="L38" s="44">
        <v>18000.0</v>
      </c>
    </row>
    <row r="39" hidden="1">
      <c r="A39" s="16" t="s">
        <v>1192</v>
      </c>
      <c r="B39" s="36">
        <v>245041.0</v>
      </c>
      <c r="C39" s="18" t="s">
        <v>1157</v>
      </c>
      <c r="D39" s="4"/>
      <c r="E39" s="19"/>
      <c r="F39" s="19">
        <v>0.0</v>
      </c>
      <c r="G39" s="16" t="s">
        <v>1161</v>
      </c>
      <c r="H39" s="21"/>
      <c r="I39" s="22"/>
      <c r="J39" s="23"/>
      <c r="K39" s="44">
        <v>6378.0</v>
      </c>
      <c r="L39" s="44">
        <v>18000.0</v>
      </c>
    </row>
    <row r="40" hidden="1">
      <c r="A40" s="16" t="s">
        <v>1193</v>
      </c>
      <c r="B40" s="36"/>
      <c r="C40" s="18" t="s">
        <v>1157</v>
      </c>
      <c r="D40" s="4"/>
      <c r="E40" s="19"/>
      <c r="F40" s="19">
        <v>0.0</v>
      </c>
      <c r="G40" s="16" t="s">
        <v>1164</v>
      </c>
      <c r="H40" s="21"/>
      <c r="I40" s="22"/>
      <c r="J40" s="23"/>
      <c r="K40" s="44">
        <f t="shared" ref="K40:K42" si="5">34290*1.19/5</f>
        <v>8161.02</v>
      </c>
      <c r="L40" s="44">
        <v>18000.0</v>
      </c>
    </row>
    <row r="41" hidden="1">
      <c r="A41" s="16" t="s">
        <v>1194</v>
      </c>
      <c r="B41" s="36"/>
      <c r="C41" s="18" t="s">
        <v>1157</v>
      </c>
      <c r="D41" s="4"/>
      <c r="E41" s="19"/>
      <c r="F41" s="19">
        <v>0.0</v>
      </c>
      <c r="G41" s="16" t="s">
        <v>1161</v>
      </c>
      <c r="H41" s="21"/>
      <c r="I41" s="22"/>
      <c r="J41" s="23"/>
      <c r="K41" s="44">
        <f t="shared" si="5"/>
        <v>8161.02</v>
      </c>
      <c r="L41" s="44">
        <v>18000.0</v>
      </c>
    </row>
    <row r="42" hidden="1">
      <c r="A42" s="16" t="s">
        <v>1195</v>
      </c>
      <c r="B42" s="36"/>
      <c r="C42" s="18" t="s">
        <v>1157</v>
      </c>
      <c r="D42" s="4"/>
      <c r="E42" s="19"/>
      <c r="F42" s="19">
        <v>0.0</v>
      </c>
      <c r="G42" s="16" t="s">
        <v>1164</v>
      </c>
      <c r="H42" s="21"/>
      <c r="I42" s="22"/>
      <c r="J42" s="23"/>
      <c r="K42" s="44">
        <f t="shared" si="5"/>
        <v>8161.02</v>
      </c>
      <c r="L42" s="44">
        <v>18000.0</v>
      </c>
    </row>
    <row r="43" hidden="1">
      <c r="A43" s="16" t="s">
        <v>1196</v>
      </c>
      <c r="B43" s="36">
        <v>245043.0</v>
      </c>
      <c r="C43" s="18" t="s">
        <v>1157</v>
      </c>
      <c r="D43" s="4"/>
      <c r="E43" s="19"/>
      <c r="F43" s="19">
        <v>0.0</v>
      </c>
      <c r="G43" s="16" t="s">
        <v>1161</v>
      </c>
      <c r="H43" s="21"/>
      <c r="I43" s="22"/>
      <c r="J43" s="23"/>
      <c r="K43" s="44">
        <v>6378.0</v>
      </c>
      <c r="L43" s="44">
        <v>18000.0</v>
      </c>
    </row>
    <row r="44" hidden="1">
      <c r="A44" s="42" t="s">
        <v>1875</v>
      </c>
      <c r="B44" s="51"/>
      <c r="C44" s="18"/>
      <c r="D44" s="4"/>
      <c r="E44" s="19"/>
      <c r="F44" s="19">
        <v>0.0</v>
      </c>
      <c r="G44" s="16" t="s">
        <v>1876</v>
      </c>
      <c r="H44" s="21"/>
      <c r="I44" s="22"/>
      <c r="J44" s="23"/>
      <c r="K44" s="44">
        <v>244200.0</v>
      </c>
      <c r="L44" s="44">
        <v>290000.0</v>
      </c>
    </row>
    <row r="45" hidden="1">
      <c r="A45" s="16" t="s">
        <v>2798</v>
      </c>
      <c r="B45" s="17" t="s">
        <v>2799</v>
      </c>
      <c r="C45" s="276"/>
      <c r="D45" s="4"/>
      <c r="E45" s="19"/>
      <c r="F45" s="19">
        <v>0.0</v>
      </c>
      <c r="G45" s="16" t="s">
        <v>1876</v>
      </c>
      <c r="H45" s="21"/>
      <c r="I45" s="22">
        <v>130.0</v>
      </c>
      <c r="J45" s="58"/>
      <c r="K45" s="48">
        <f>494050/214</f>
        <v>2308.64486</v>
      </c>
      <c r="L45" s="55">
        <v>3500.0</v>
      </c>
    </row>
    <row r="46">
      <c r="A46" s="16" t="s">
        <v>2800</v>
      </c>
      <c r="B46" s="17"/>
      <c r="C46" s="277"/>
      <c r="D46" s="4"/>
      <c r="E46" s="19"/>
      <c r="F46" s="19">
        <v>66.0</v>
      </c>
      <c r="G46" s="16" t="s">
        <v>1876</v>
      </c>
      <c r="H46" s="21"/>
      <c r="I46" s="22">
        <v>25.0</v>
      </c>
      <c r="J46" s="58"/>
      <c r="K46" s="55">
        <f>492980/33</f>
        <v>14938.78788</v>
      </c>
      <c r="L46" s="55">
        <v>18000.0</v>
      </c>
    </row>
    <row r="47" hidden="1">
      <c r="A47" s="16" t="s">
        <v>2801</v>
      </c>
      <c r="B47" s="17" t="s">
        <v>2799</v>
      </c>
      <c r="C47" s="276"/>
      <c r="D47" s="4"/>
      <c r="E47" s="19"/>
      <c r="F47" s="19">
        <v>0.0</v>
      </c>
      <c r="G47" s="16" t="s">
        <v>1876</v>
      </c>
      <c r="H47" s="21"/>
      <c r="I47" s="22">
        <v>100.0</v>
      </c>
      <c r="J47" s="29"/>
      <c r="K47" s="48">
        <f>323440/150</f>
        <v>2156.266667</v>
      </c>
      <c r="L47" s="55">
        <v>3500.0</v>
      </c>
    </row>
    <row r="48" hidden="1">
      <c r="A48" s="16" t="s">
        <v>2802</v>
      </c>
      <c r="B48" s="17"/>
      <c r="C48" s="277"/>
      <c r="D48" s="4"/>
      <c r="E48" s="19"/>
      <c r="F48" s="19">
        <v>0.0</v>
      </c>
      <c r="G48" s="16" t="s">
        <v>1876</v>
      </c>
      <c r="H48" s="21"/>
      <c r="I48" s="22">
        <f>33+33+33</f>
        <v>99</v>
      </c>
      <c r="J48" s="23"/>
      <c r="K48" s="55">
        <f>322260/33</f>
        <v>9765.454545</v>
      </c>
      <c r="L48" s="55">
        <v>15000.0</v>
      </c>
    </row>
    <row r="49">
      <c r="A49" s="40" t="s">
        <v>2803</v>
      </c>
      <c r="B49" s="17" t="s">
        <v>2799</v>
      </c>
      <c r="C49" s="277"/>
      <c r="D49" s="4"/>
      <c r="E49" s="19"/>
      <c r="F49" s="19">
        <v>214.0</v>
      </c>
      <c r="G49" s="16" t="s">
        <v>1876</v>
      </c>
      <c r="H49" s="21"/>
      <c r="I49" s="22">
        <v>40.0</v>
      </c>
      <c r="J49" s="23"/>
      <c r="K49" s="55">
        <f>384270/150</f>
        <v>2561.8</v>
      </c>
      <c r="L49" s="55">
        <v>3500.0</v>
      </c>
    </row>
    <row r="50">
      <c r="A50" s="16" t="s">
        <v>2804</v>
      </c>
      <c r="B50" s="17"/>
      <c r="C50" s="277"/>
      <c r="D50" s="4"/>
      <c r="E50" s="19"/>
      <c r="F50" s="19">
        <v>33.0</v>
      </c>
      <c r="G50" s="16" t="s">
        <v>1876</v>
      </c>
      <c r="H50" s="21"/>
      <c r="I50" s="22">
        <f>33+25</f>
        <v>58</v>
      </c>
      <c r="J50" s="23"/>
      <c r="K50" s="55">
        <f>382880/33</f>
        <v>11602.42424</v>
      </c>
      <c r="L50" s="55">
        <v>18000.0</v>
      </c>
    </row>
    <row r="51">
      <c r="A51" s="16" t="s">
        <v>2805</v>
      </c>
      <c r="B51" s="17"/>
      <c r="C51" s="277"/>
      <c r="D51" s="4"/>
      <c r="E51" s="19"/>
      <c r="F51" s="19">
        <v>33.0</v>
      </c>
      <c r="G51" s="16" t="s">
        <v>1876</v>
      </c>
      <c r="H51" s="21"/>
      <c r="I51" s="22">
        <f>33+15</f>
        <v>48</v>
      </c>
      <c r="J51" s="23"/>
      <c r="K51" s="55">
        <f>412440/33</f>
        <v>12498.18182</v>
      </c>
      <c r="L51" s="55">
        <v>18000.0</v>
      </c>
    </row>
    <row r="52" hidden="1">
      <c r="A52" s="16" t="s">
        <v>2806</v>
      </c>
      <c r="B52" s="17" t="s">
        <v>2799</v>
      </c>
      <c r="C52" s="276"/>
      <c r="D52" s="4"/>
      <c r="E52" s="19"/>
      <c r="F52" s="19">
        <v>0.0</v>
      </c>
      <c r="G52" s="16" t="s">
        <v>1876</v>
      </c>
      <c r="H52" s="21"/>
      <c r="I52" s="22">
        <v>50.0</v>
      </c>
      <c r="J52" s="29"/>
      <c r="K52" s="55">
        <f>413830/150</f>
        <v>2758.866667</v>
      </c>
      <c r="L52" s="55">
        <v>3500.0</v>
      </c>
    </row>
    <row r="53">
      <c r="A53" s="16" t="s">
        <v>2807</v>
      </c>
      <c r="B53" s="17"/>
      <c r="C53" s="276"/>
      <c r="D53" s="4"/>
      <c r="E53" s="19"/>
      <c r="F53" s="19">
        <v>33.0</v>
      </c>
      <c r="G53" s="16" t="s">
        <v>1876</v>
      </c>
      <c r="H53" s="21"/>
      <c r="I53" s="22">
        <v>25.0</v>
      </c>
      <c r="J53" s="58"/>
      <c r="K53" s="55">
        <f>446500/33</f>
        <v>13530.30303</v>
      </c>
      <c r="L53" s="55">
        <v>18000.0</v>
      </c>
    </row>
    <row r="54" hidden="1">
      <c r="A54" s="16" t="s">
        <v>2808</v>
      </c>
      <c r="B54" s="17" t="s">
        <v>2799</v>
      </c>
      <c r="C54" s="276"/>
      <c r="D54" s="4"/>
      <c r="E54" s="19"/>
      <c r="F54" s="19">
        <v>0.0</v>
      </c>
      <c r="G54" s="16" t="s">
        <v>1876</v>
      </c>
      <c r="H54" s="21"/>
      <c r="I54" s="22">
        <v>50.0</v>
      </c>
      <c r="J54" s="29"/>
      <c r="K54" s="48">
        <f>448110/150</f>
        <v>2987.4</v>
      </c>
      <c r="L54" s="55">
        <v>3500.0</v>
      </c>
    </row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5">
      <filters>
        <filter val="66"/>
        <filter val="33"/>
        <filter val="214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1.38"/>
    <col customWidth="1" min="2" max="2" width="11.88"/>
    <col customWidth="1" min="3" max="3" width="10.5"/>
    <col customWidth="1" min="4" max="4" width="9.25"/>
    <col customWidth="1" min="5" max="6" width="8.75"/>
    <col customWidth="1" min="7" max="7" width="12.38"/>
    <col customWidth="1" min="8" max="8" width="8.38"/>
    <col customWidth="1" min="9" max="9" width="7.88"/>
    <col customWidth="1" min="10" max="10" width="10.0"/>
    <col customWidth="1" min="11" max="11" width="9.88"/>
    <col customWidth="1" min="12" max="12" width="10.38"/>
    <col customWidth="1" min="13" max="13" width="6.0"/>
    <col customWidth="1" min="14" max="14" width="8.88"/>
    <col customWidth="1" min="15" max="15" width="5.0"/>
    <col customWidth="1" min="16" max="16" width="9.5"/>
  </cols>
  <sheetData>
    <row r="1" ht="80.25" customHeight="1">
      <c r="A1" s="278" t="s">
        <v>2822</v>
      </c>
      <c r="B1" s="2" t="s">
        <v>1</v>
      </c>
      <c r="C1" s="3"/>
      <c r="D1" s="4"/>
      <c r="E1" s="5" t="s">
        <v>2</v>
      </c>
      <c r="F1" s="5" t="s">
        <v>3</v>
      </c>
      <c r="G1" s="6"/>
      <c r="H1" s="7" t="s">
        <v>4</v>
      </c>
      <c r="I1" s="8" t="s">
        <v>5</v>
      </c>
      <c r="J1" s="9" t="s">
        <v>6</v>
      </c>
      <c r="K1" s="10" t="s">
        <v>7</v>
      </c>
      <c r="L1" s="11" t="s">
        <v>8</v>
      </c>
      <c r="M1" s="12" t="s">
        <v>9</v>
      </c>
      <c r="N1" s="13" t="s">
        <v>10</v>
      </c>
      <c r="O1" s="14" t="s">
        <v>11</v>
      </c>
      <c r="P1" s="15" t="s">
        <v>12</v>
      </c>
    </row>
    <row r="2" hidden="1">
      <c r="A2" s="16" t="s">
        <v>13</v>
      </c>
      <c r="B2" s="17"/>
      <c r="C2" s="18"/>
      <c r="D2" s="4"/>
      <c r="E2" s="19">
        <v>0.0</v>
      </c>
      <c r="F2" s="19">
        <v>0.0</v>
      </c>
      <c r="G2" s="20" t="s">
        <v>14</v>
      </c>
      <c r="H2" s="21">
        <v>0.0</v>
      </c>
      <c r="I2" s="22">
        <v>0.0</v>
      </c>
      <c r="J2" s="23"/>
      <c r="K2" s="24">
        <f>9288*1.19</f>
        <v>11052.72</v>
      </c>
      <c r="L2" s="24">
        <v>15000.0</v>
      </c>
      <c r="M2" s="25"/>
      <c r="N2" s="26"/>
      <c r="O2" s="27">
        <f>(L2/K2)-1</f>
        <v>0.3571320001</v>
      </c>
      <c r="P2" s="28">
        <f t="shared" ref="P2:P16" si="1">K2*F2</f>
        <v>0</v>
      </c>
    </row>
    <row r="3" hidden="1">
      <c r="A3" s="16" t="s">
        <v>15</v>
      </c>
      <c r="B3" s="17"/>
      <c r="C3" s="18"/>
      <c r="D3" s="4"/>
      <c r="E3" s="19">
        <v>0.0</v>
      </c>
      <c r="F3" s="19">
        <v>0.0</v>
      </c>
      <c r="G3" s="16" t="s">
        <v>16</v>
      </c>
      <c r="H3" s="21"/>
      <c r="I3" s="22">
        <v>8.0</v>
      </c>
      <c r="J3" s="29"/>
      <c r="K3" s="30">
        <v>8746.0</v>
      </c>
      <c r="L3" s="24">
        <v>30000.0</v>
      </c>
      <c r="M3" s="25">
        <v>19.0</v>
      </c>
      <c r="N3" s="31"/>
      <c r="O3" s="27">
        <f t="shared" ref="O3:O6" si="2">(L3/K3)-1</f>
        <v>2.430139492</v>
      </c>
      <c r="P3" s="28">
        <f t="shared" si="1"/>
        <v>0</v>
      </c>
    </row>
    <row r="4" hidden="1">
      <c r="A4" s="16" t="s">
        <v>17</v>
      </c>
      <c r="B4" s="17"/>
      <c r="C4" s="18"/>
      <c r="D4" s="4"/>
      <c r="E4" s="19">
        <v>0.0</v>
      </c>
      <c r="F4" s="19">
        <v>0.0</v>
      </c>
      <c r="G4" s="16" t="s">
        <v>16</v>
      </c>
      <c r="H4" s="21"/>
      <c r="I4" s="22">
        <v>50.0</v>
      </c>
      <c r="J4" s="29"/>
      <c r="K4" s="32">
        <f>1962*2</f>
        <v>3924</v>
      </c>
      <c r="L4" s="24">
        <v>30000.0</v>
      </c>
      <c r="M4" s="25"/>
      <c r="N4" s="31"/>
      <c r="O4" s="27">
        <f t="shared" si="2"/>
        <v>6.645259939</v>
      </c>
      <c r="P4" s="28">
        <f t="shared" si="1"/>
        <v>0</v>
      </c>
    </row>
    <row r="5" hidden="1">
      <c r="A5" s="16" t="s">
        <v>18</v>
      </c>
      <c r="B5" s="17"/>
      <c r="C5" s="18"/>
      <c r="D5" s="4"/>
      <c r="E5" s="19">
        <v>0.0</v>
      </c>
      <c r="F5" s="19">
        <v>0.0</v>
      </c>
      <c r="G5" s="16" t="s">
        <v>16</v>
      </c>
      <c r="H5" s="33"/>
      <c r="I5" s="22">
        <v>100.0</v>
      </c>
      <c r="J5" s="34"/>
      <c r="K5" s="35">
        <v>1712.0</v>
      </c>
      <c r="L5" s="24">
        <v>10000.0</v>
      </c>
      <c r="M5" s="25"/>
      <c r="N5" s="31"/>
      <c r="O5" s="27">
        <f t="shared" si="2"/>
        <v>4.841121495</v>
      </c>
      <c r="P5" s="28">
        <f t="shared" si="1"/>
        <v>0</v>
      </c>
    </row>
    <row r="6" hidden="1">
      <c r="A6" s="16" t="s">
        <v>19</v>
      </c>
      <c r="B6" s="17"/>
      <c r="C6" s="18"/>
      <c r="D6" s="4"/>
      <c r="E6" s="19">
        <v>0.0</v>
      </c>
      <c r="F6" s="19">
        <v>0.0</v>
      </c>
      <c r="G6" s="16" t="s">
        <v>20</v>
      </c>
      <c r="H6" s="21"/>
      <c r="I6" s="22" t="s">
        <v>21</v>
      </c>
      <c r="J6" s="29"/>
      <c r="K6" s="32">
        <v>4500.0</v>
      </c>
      <c r="L6" s="24">
        <v>12000.0</v>
      </c>
      <c r="M6" s="25"/>
      <c r="N6" s="31"/>
      <c r="O6" s="27">
        <f t="shared" si="2"/>
        <v>1.666666667</v>
      </c>
      <c r="P6" s="28">
        <f t="shared" si="1"/>
        <v>0</v>
      </c>
    </row>
    <row r="7" hidden="1">
      <c r="A7" s="16" t="s">
        <v>22</v>
      </c>
      <c r="B7" s="36"/>
      <c r="C7" s="18"/>
      <c r="D7" s="4"/>
      <c r="E7" s="19">
        <v>0.0</v>
      </c>
      <c r="F7" s="19">
        <v>0.0</v>
      </c>
      <c r="G7" s="16" t="s">
        <v>23</v>
      </c>
      <c r="H7" s="21"/>
      <c r="I7" s="22" t="s">
        <v>24</v>
      </c>
      <c r="J7" s="29"/>
      <c r="K7" s="32">
        <v>16900.0</v>
      </c>
      <c r="L7" s="32">
        <v>24000.0</v>
      </c>
      <c r="M7" s="25"/>
      <c r="N7" s="37"/>
      <c r="O7" s="27">
        <f t="shared" ref="O7:O8" si="3">(L7/K7)-1</f>
        <v>0.4201183432</v>
      </c>
      <c r="P7" s="28">
        <f t="shared" si="1"/>
        <v>0</v>
      </c>
    </row>
    <row r="8" hidden="1">
      <c r="A8" s="16" t="s">
        <v>25</v>
      </c>
      <c r="B8" s="36"/>
      <c r="C8" s="38"/>
      <c r="D8" s="4"/>
      <c r="E8" s="19">
        <v>0.0</v>
      </c>
      <c r="F8" s="19">
        <v>0.0</v>
      </c>
      <c r="G8" s="16" t="s">
        <v>26</v>
      </c>
      <c r="H8" s="21"/>
      <c r="I8" s="22">
        <v>20.0</v>
      </c>
      <c r="J8" s="29"/>
      <c r="K8" s="32">
        <v>16900.0</v>
      </c>
      <c r="L8" s="24">
        <v>24000.0</v>
      </c>
      <c r="M8" s="25"/>
      <c r="N8" s="39"/>
      <c r="O8" s="27">
        <f t="shared" si="3"/>
        <v>0.4201183432</v>
      </c>
      <c r="P8" s="28">
        <f t="shared" si="1"/>
        <v>0</v>
      </c>
    </row>
    <row r="9" hidden="1">
      <c r="A9" s="16" t="s">
        <v>27</v>
      </c>
      <c r="B9" s="17"/>
      <c r="C9" s="18"/>
      <c r="D9" s="4"/>
      <c r="E9" s="19">
        <v>0.0</v>
      </c>
      <c r="F9" s="19">
        <v>0.0</v>
      </c>
      <c r="G9" s="16" t="s">
        <v>16</v>
      </c>
      <c r="H9" s="33"/>
      <c r="I9" s="22">
        <v>50.0</v>
      </c>
      <c r="J9" s="34"/>
      <c r="K9" s="30">
        <v>1426.9789473684211</v>
      </c>
      <c r="L9" s="24">
        <v>10000.0</v>
      </c>
      <c r="M9" s="25"/>
      <c r="N9" s="31"/>
      <c r="O9" s="27">
        <f>(L9/K9)-1</f>
        <v>6.007811866</v>
      </c>
      <c r="P9" s="28">
        <f t="shared" si="1"/>
        <v>0</v>
      </c>
    </row>
    <row r="10" hidden="1">
      <c r="A10" s="40" t="s">
        <v>28</v>
      </c>
      <c r="B10" s="17" t="s">
        <v>29</v>
      </c>
      <c r="C10" s="18"/>
      <c r="D10" s="4"/>
      <c r="E10" s="19">
        <v>20.0</v>
      </c>
      <c r="F10" s="19">
        <v>20.0</v>
      </c>
      <c r="G10" s="20" t="s">
        <v>30</v>
      </c>
      <c r="H10" s="21"/>
      <c r="I10" s="22">
        <f>8+16*5</f>
        <v>88</v>
      </c>
      <c r="J10" s="29"/>
      <c r="K10" s="32">
        <f t="shared" ref="K10:K11" si="4">9300*1.19/5</f>
        <v>2213.4</v>
      </c>
      <c r="L10" s="24">
        <v>8000.0</v>
      </c>
      <c r="M10" s="25"/>
      <c r="N10" s="26"/>
      <c r="O10" s="27">
        <f t="shared" ref="O10:O21" si="5">(L10/K10)-1</f>
        <v>2.614348965</v>
      </c>
      <c r="P10" s="28">
        <f t="shared" si="1"/>
        <v>44268</v>
      </c>
    </row>
    <row r="11" hidden="1">
      <c r="A11" s="16" t="s">
        <v>31</v>
      </c>
      <c r="B11" s="17" t="s">
        <v>32</v>
      </c>
      <c r="C11" s="18"/>
      <c r="D11" s="4"/>
      <c r="E11" s="19">
        <v>10.0</v>
      </c>
      <c r="F11" s="19">
        <v>0.0</v>
      </c>
      <c r="G11" s="20" t="s">
        <v>30</v>
      </c>
      <c r="H11" s="21"/>
      <c r="I11" s="22">
        <v>26.0</v>
      </c>
      <c r="J11" s="29"/>
      <c r="K11" s="32">
        <f t="shared" si="4"/>
        <v>2213.4</v>
      </c>
      <c r="L11" s="24">
        <v>8000.0</v>
      </c>
      <c r="M11" s="25"/>
      <c r="N11" s="31"/>
      <c r="O11" s="27">
        <f t="shared" si="5"/>
        <v>2.614348965</v>
      </c>
      <c r="P11" s="28">
        <f t="shared" si="1"/>
        <v>0</v>
      </c>
    </row>
    <row r="12" hidden="1">
      <c r="A12" s="40" t="s">
        <v>33</v>
      </c>
      <c r="B12" s="36"/>
      <c r="C12" s="18"/>
      <c r="D12" s="4"/>
      <c r="E12" s="19">
        <v>0.0</v>
      </c>
      <c r="F12" s="19">
        <v>0.0</v>
      </c>
      <c r="G12" s="16" t="s">
        <v>26</v>
      </c>
      <c r="H12" s="21"/>
      <c r="I12" s="22">
        <v>10.0</v>
      </c>
      <c r="J12" s="29"/>
      <c r="K12" s="32">
        <v>16900.0</v>
      </c>
      <c r="L12" s="32">
        <v>24000.0</v>
      </c>
      <c r="M12" s="25"/>
      <c r="N12" s="26"/>
      <c r="O12" s="27">
        <f t="shared" si="5"/>
        <v>0.4201183432</v>
      </c>
      <c r="P12" s="28">
        <f t="shared" si="1"/>
        <v>0</v>
      </c>
    </row>
    <row r="13" hidden="1">
      <c r="A13" s="16" t="s">
        <v>34</v>
      </c>
      <c r="B13" s="17"/>
      <c r="C13" s="18"/>
      <c r="D13" s="4"/>
      <c r="E13" s="19">
        <v>0.0</v>
      </c>
      <c r="F13" s="19">
        <v>0.0</v>
      </c>
      <c r="G13" s="16" t="s">
        <v>16</v>
      </c>
      <c r="H13" s="21"/>
      <c r="I13" s="22">
        <v>58.0</v>
      </c>
      <c r="J13" s="23"/>
      <c r="K13" s="24">
        <v>4602.0</v>
      </c>
      <c r="L13" s="24">
        <v>12000.0</v>
      </c>
      <c r="M13" s="25"/>
      <c r="N13" s="26"/>
      <c r="O13" s="27">
        <f t="shared" si="5"/>
        <v>1.60756193</v>
      </c>
      <c r="P13" s="28">
        <f t="shared" si="1"/>
        <v>0</v>
      </c>
    </row>
    <row r="14" hidden="1">
      <c r="A14" s="16" t="s">
        <v>35</v>
      </c>
      <c r="B14" s="17"/>
      <c r="C14" s="18"/>
      <c r="D14" s="4"/>
      <c r="E14" s="19">
        <v>0.0</v>
      </c>
      <c r="F14" s="19">
        <v>0.0</v>
      </c>
      <c r="G14" s="16" t="s">
        <v>36</v>
      </c>
      <c r="H14" s="21"/>
      <c r="I14" s="22">
        <v>1.0</v>
      </c>
      <c r="J14" s="23"/>
      <c r="K14" s="24">
        <f>65000/200</f>
        <v>325</v>
      </c>
      <c r="L14" s="24">
        <v>800.0</v>
      </c>
      <c r="M14" s="25"/>
      <c r="N14" s="26"/>
      <c r="O14" s="27">
        <f t="shared" si="5"/>
        <v>1.461538462</v>
      </c>
      <c r="P14" s="28">
        <f t="shared" si="1"/>
        <v>0</v>
      </c>
    </row>
    <row r="15" hidden="1">
      <c r="A15" s="16" t="s">
        <v>37</v>
      </c>
      <c r="B15" s="17"/>
      <c r="C15" s="18"/>
      <c r="D15" s="41"/>
      <c r="E15" s="19">
        <v>0.0</v>
      </c>
      <c r="F15" s="19">
        <v>0.0</v>
      </c>
      <c r="G15" s="16" t="s">
        <v>36</v>
      </c>
      <c r="H15" s="21"/>
      <c r="I15" s="22"/>
      <c r="J15" s="23"/>
      <c r="K15" s="24">
        <v>65000.0</v>
      </c>
      <c r="L15" s="24">
        <v>105000.0</v>
      </c>
      <c r="M15" s="25"/>
      <c r="N15" s="26">
        <v>90000.0</v>
      </c>
      <c r="O15" s="27">
        <f t="shared" si="5"/>
        <v>0.6153846154</v>
      </c>
      <c r="P15" s="28">
        <f t="shared" si="1"/>
        <v>0</v>
      </c>
    </row>
    <row r="16" hidden="1">
      <c r="A16" s="42" t="s">
        <v>38</v>
      </c>
      <c r="B16" s="17"/>
      <c r="C16" s="18"/>
      <c r="D16" s="4"/>
      <c r="E16" s="19">
        <v>0.0</v>
      </c>
      <c r="F16" s="19"/>
      <c r="G16" s="16" t="s">
        <v>39</v>
      </c>
      <c r="H16" s="21"/>
      <c r="I16" s="22"/>
      <c r="J16" s="29"/>
      <c r="K16" s="43">
        <f>3200*1.19</f>
        <v>3808</v>
      </c>
      <c r="L16" s="44">
        <v>6000.0</v>
      </c>
      <c r="M16" s="25"/>
      <c r="N16" s="31"/>
      <c r="O16" s="27">
        <f t="shared" si="5"/>
        <v>0.5756302521</v>
      </c>
      <c r="P16" s="28">
        <f t="shared" si="1"/>
        <v>0</v>
      </c>
    </row>
    <row r="17" hidden="1">
      <c r="A17" s="16" t="s">
        <v>40</v>
      </c>
      <c r="B17" s="17"/>
      <c r="C17" s="18"/>
      <c r="D17" s="4"/>
      <c r="E17" s="19">
        <v>0.0</v>
      </c>
      <c r="F17" s="19">
        <v>0.0</v>
      </c>
      <c r="G17" s="20" t="s">
        <v>41</v>
      </c>
      <c r="H17" s="21"/>
      <c r="I17" s="22"/>
      <c r="J17" s="45"/>
      <c r="K17" s="46">
        <v>28000.0</v>
      </c>
      <c r="L17" s="46">
        <v>48000.0</v>
      </c>
      <c r="M17" s="25"/>
      <c r="N17" s="26">
        <v>38000.0</v>
      </c>
      <c r="O17" s="27">
        <f t="shared" si="5"/>
        <v>0.7142857143</v>
      </c>
      <c r="P17" s="28"/>
    </row>
    <row r="18" hidden="1">
      <c r="A18" s="16" t="s">
        <v>42</v>
      </c>
      <c r="B18" s="17"/>
      <c r="C18" s="18"/>
      <c r="D18" s="4"/>
      <c r="E18" s="19">
        <v>0.0</v>
      </c>
      <c r="F18" s="19">
        <v>0.0</v>
      </c>
      <c r="G18" s="20" t="s">
        <v>41</v>
      </c>
      <c r="H18" s="21"/>
      <c r="I18" s="22"/>
      <c r="J18" s="45"/>
      <c r="K18" s="46">
        <v>35000.0</v>
      </c>
      <c r="L18" s="46">
        <v>54000.0</v>
      </c>
      <c r="M18" s="25"/>
      <c r="N18" s="26">
        <v>44000.0</v>
      </c>
      <c r="O18" s="27">
        <f t="shared" si="5"/>
        <v>0.5428571429</v>
      </c>
      <c r="P18" s="28"/>
    </row>
    <row r="19" hidden="1">
      <c r="A19" s="16" t="s">
        <v>43</v>
      </c>
      <c r="B19" s="17" t="s">
        <v>44</v>
      </c>
      <c r="C19" s="18"/>
      <c r="D19" s="4"/>
      <c r="E19" s="19">
        <v>0.0</v>
      </c>
      <c r="F19" s="19">
        <v>0.0</v>
      </c>
      <c r="G19" s="20" t="s">
        <v>45</v>
      </c>
      <c r="H19" s="21"/>
      <c r="I19" s="22">
        <v>10.0</v>
      </c>
      <c r="J19" s="47">
        <v>45717.0</v>
      </c>
      <c r="K19" s="46">
        <f>121849*1.19</f>
        <v>145000.31</v>
      </c>
      <c r="L19" s="46">
        <v>178000.0</v>
      </c>
      <c r="M19" s="25"/>
      <c r="N19" s="26">
        <v>168000.0</v>
      </c>
      <c r="O19" s="27">
        <f t="shared" si="5"/>
        <v>0.2275835824</v>
      </c>
      <c r="P19" s="28">
        <f t="shared" ref="P19:P21" si="6">K19*F19</f>
        <v>0</v>
      </c>
    </row>
    <row r="20" hidden="1">
      <c r="A20" s="16" t="s">
        <v>46</v>
      </c>
      <c r="B20" s="17" t="s">
        <v>47</v>
      </c>
      <c r="C20" s="18"/>
      <c r="D20" s="4"/>
      <c r="E20" s="19"/>
      <c r="F20" s="19"/>
      <c r="G20" s="20" t="s">
        <v>48</v>
      </c>
      <c r="H20" s="21"/>
      <c r="I20" s="22">
        <v>0.0</v>
      </c>
      <c r="J20" s="29"/>
      <c r="K20" s="48">
        <v>116000.0</v>
      </c>
      <c r="L20" s="32">
        <v>145000.0</v>
      </c>
      <c r="M20" s="25"/>
      <c r="N20" s="31">
        <v>120000.0</v>
      </c>
      <c r="O20" s="27">
        <f t="shared" si="5"/>
        <v>0.25</v>
      </c>
      <c r="P20" s="28">
        <f t="shared" si="6"/>
        <v>0</v>
      </c>
    </row>
    <row r="21" hidden="1">
      <c r="A21" s="16" t="s">
        <v>49</v>
      </c>
      <c r="B21" s="49"/>
      <c r="C21" s="18"/>
      <c r="D21" s="4"/>
      <c r="E21" s="19">
        <v>0.0</v>
      </c>
      <c r="F21" s="19">
        <v>0.0</v>
      </c>
      <c r="G21" s="16" t="s">
        <v>50</v>
      </c>
      <c r="H21" s="21"/>
      <c r="I21" s="22"/>
      <c r="J21" s="29"/>
      <c r="K21" s="43">
        <v>35000.0</v>
      </c>
      <c r="L21" s="44">
        <v>48000.0</v>
      </c>
      <c r="M21" s="25"/>
      <c r="N21" s="26"/>
      <c r="O21" s="27">
        <f t="shared" si="5"/>
        <v>0.3714285714</v>
      </c>
      <c r="P21" s="28">
        <f t="shared" si="6"/>
        <v>0</v>
      </c>
    </row>
    <row r="22" hidden="1">
      <c r="A22" s="16" t="s">
        <v>51</v>
      </c>
      <c r="B22" s="36"/>
      <c r="C22" s="18"/>
      <c r="D22" s="4"/>
      <c r="E22" s="19">
        <v>0.0</v>
      </c>
      <c r="F22" s="19">
        <v>0.0</v>
      </c>
      <c r="G22" s="16" t="s">
        <v>52</v>
      </c>
      <c r="H22" s="21"/>
      <c r="I22" s="22"/>
      <c r="J22" s="29"/>
      <c r="K22" s="48">
        <v>24850.0</v>
      </c>
      <c r="L22" s="48">
        <v>48000.0</v>
      </c>
      <c r="M22" s="25" t="s">
        <v>53</v>
      </c>
      <c r="N22" s="50">
        <v>34000.0</v>
      </c>
      <c r="O22" s="27"/>
      <c r="P22" s="28"/>
    </row>
    <row r="23" hidden="1">
      <c r="A23" s="16" t="s">
        <v>54</v>
      </c>
      <c r="B23" s="51"/>
      <c r="C23" s="18" t="s">
        <v>55</v>
      </c>
      <c r="D23" s="4"/>
      <c r="E23" s="19">
        <v>0.0</v>
      </c>
      <c r="F23" s="19">
        <v>0.0</v>
      </c>
      <c r="G23" s="20" t="s">
        <v>14</v>
      </c>
      <c r="H23" s="21">
        <v>0.0</v>
      </c>
      <c r="I23" s="22">
        <v>0.0</v>
      </c>
      <c r="J23" s="29"/>
      <c r="K23" s="43">
        <v>49504.0</v>
      </c>
      <c r="L23" s="44">
        <v>65000.0</v>
      </c>
      <c r="M23" s="25"/>
      <c r="N23" s="26"/>
      <c r="O23" s="27">
        <f t="shared" ref="O23:O57" si="7">(L23/K23)-1</f>
        <v>0.3130252101</v>
      </c>
      <c r="P23" s="28">
        <f t="shared" ref="P23:P25" si="8">K23*F23</f>
        <v>0</v>
      </c>
    </row>
    <row r="24" hidden="1">
      <c r="A24" s="16" t="s">
        <v>56</v>
      </c>
      <c r="B24" s="17"/>
      <c r="C24" s="18"/>
      <c r="D24" s="4"/>
      <c r="E24" s="19">
        <v>0.0</v>
      </c>
      <c r="F24" s="19"/>
      <c r="G24" s="20" t="s">
        <v>57</v>
      </c>
      <c r="H24" s="21"/>
      <c r="I24" s="22"/>
      <c r="J24" s="29"/>
      <c r="K24" s="43">
        <v>7400.0</v>
      </c>
      <c r="L24" s="44">
        <v>12000.0</v>
      </c>
      <c r="M24" s="25"/>
      <c r="N24" s="31"/>
      <c r="O24" s="27">
        <f t="shared" si="7"/>
        <v>0.6216216216</v>
      </c>
      <c r="P24" s="28">
        <f t="shared" si="8"/>
        <v>0</v>
      </c>
    </row>
    <row r="25" hidden="1">
      <c r="A25" s="52" t="s">
        <v>58</v>
      </c>
      <c r="B25" s="36" t="s">
        <v>59</v>
      </c>
      <c r="C25" s="18"/>
      <c r="D25" s="4"/>
      <c r="E25" s="19">
        <v>0.0</v>
      </c>
      <c r="F25" s="19"/>
      <c r="G25" s="20" t="s">
        <v>60</v>
      </c>
      <c r="H25" s="21"/>
      <c r="I25" s="22"/>
      <c r="J25" s="29"/>
      <c r="K25" s="43">
        <f>24789.92*1.19</f>
        <v>29500.0048</v>
      </c>
      <c r="L25" s="44">
        <v>39000.0</v>
      </c>
      <c r="M25" s="25"/>
      <c r="N25" s="53"/>
      <c r="O25" s="27">
        <f t="shared" si="7"/>
        <v>0.3220336832</v>
      </c>
      <c r="P25" s="28">
        <f t="shared" si="8"/>
        <v>0</v>
      </c>
    </row>
    <row r="26" hidden="1">
      <c r="A26" s="16" t="s">
        <v>61</v>
      </c>
      <c r="B26" s="17"/>
      <c r="C26" s="18"/>
      <c r="D26" s="4"/>
      <c r="E26" s="19">
        <v>0.0</v>
      </c>
      <c r="F26" s="19">
        <v>0.0</v>
      </c>
      <c r="G26" s="20" t="s">
        <v>14</v>
      </c>
      <c r="H26" s="21">
        <v>0.0</v>
      </c>
      <c r="I26" s="22">
        <v>10.0</v>
      </c>
      <c r="J26" s="47">
        <v>46174.0</v>
      </c>
      <c r="K26" s="24">
        <f>50500*1.19</f>
        <v>60095</v>
      </c>
      <c r="L26" s="24">
        <v>76000.0</v>
      </c>
      <c r="M26" s="25"/>
      <c r="N26" s="26">
        <v>65000.0</v>
      </c>
      <c r="O26" s="27">
        <f t="shared" si="7"/>
        <v>0.2646642816</v>
      </c>
      <c r="P26" s="28">
        <f>K26*F27</f>
        <v>0</v>
      </c>
    </row>
    <row r="27" hidden="1">
      <c r="A27" s="42" t="s">
        <v>62</v>
      </c>
      <c r="B27" s="17"/>
      <c r="C27" s="18"/>
      <c r="D27" s="4"/>
      <c r="E27" s="19">
        <v>0.0</v>
      </c>
      <c r="F27" s="19">
        <v>0.0</v>
      </c>
      <c r="G27" s="54" t="s">
        <v>63</v>
      </c>
      <c r="H27" s="21"/>
      <c r="I27" s="22">
        <v>0.0</v>
      </c>
      <c r="J27" s="47">
        <v>46174.0</v>
      </c>
      <c r="K27" s="48">
        <f>26000*1.19</f>
        <v>30940</v>
      </c>
      <c r="L27" s="55">
        <v>55000.0</v>
      </c>
      <c r="M27" s="25"/>
      <c r="N27" s="26"/>
      <c r="O27" s="27">
        <f t="shared" si="7"/>
        <v>0.7776341306</v>
      </c>
      <c r="P27" s="28" t="str">
        <f>K27*#REF!</f>
        <v>#REF!</v>
      </c>
    </row>
    <row r="28" hidden="1">
      <c r="A28" s="52" t="s">
        <v>64</v>
      </c>
      <c r="B28" s="17"/>
      <c r="C28" s="18"/>
      <c r="D28" s="4"/>
      <c r="E28" s="19">
        <v>0.0</v>
      </c>
      <c r="F28" s="19">
        <v>0.0</v>
      </c>
      <c r="G28" s="20" t="s">
        <v>65</v>
      </c>
      <c r="H28" s="21"/>
      <c r="I28" s="22">
        <v>0.0</v>
      </c>
      <c r="J28" s="47">
        <v>46174.0</v>
      </c>
      <c r="K28" s="43">
        <v>7500.0</v>
      </c>
      <c r="L28" s="44">
        <v>12000.0</v>
      </c>
      <c r="M28" s="25"/>
      <c r="N28" s="26"/>
      <c r="O28" s="27">
        <f t="shared" si="7"/>
        <v>0.6</v>
      </c>
      <c r="P28" s="28">
        <f t="shared" ref="P28:P37" si="9">K28*F28</f>
        <v>0</v>
      </c>
    </row>
    <row r="29" hidden="1">
      <c r="A29" s="16" t="s">
        <v>66</v>
      </c>
      <c r="B29" s="17"/>
      <c r="C29" s="18"/>
      <c r="D29" s="4"/>
      <c r="E29" s="19">
        <v>0.0</v>
      </c>
      <c r="F29" s="19"/>
      <c r="G29" s="20" t="s">
        <v>57</v>
      </c>
      <c r="H29" s="21"/>
      <c r="I29" s="22"/>
      <c r="J29" s="29"/>
      <c r="K29" s="43">
        <v>1800.0</v>
      </c>
      <c r="L29" s="44">
        <v>3500.0</v>
      </c>
      <c r="M29" s="25"/>
      <c r="N29" s="31"/>
      <c r="O29" s="27">
        <f t="shared" si="7"/>
        <v>0.9444444444</v>
      </c>
      <c r="P29" s="28">
        <f t="shared" si="9"/>
        <v>0</v>
      </c>
    </row>
    <row r="30" hidden="1">
      <c r="A30" s="16" t="s">
        <v>67</v>
      </c>
      <c r="B30" s="17"/>
      <c r="C30" s="18"/>
      <c r="D30" s="4"/>
      <c r="E30" s="19">
        <v>0.0</v>
      </c>
      <c r="F30" s="19"/>
      <c r="G30" s="20" t="s">
        <v>57</v>
      </c>
      <c r="H30" s="21"/>
      <c r="I30" s="22"/>
      <c r="J30" s="29"/>
      <c r="K30" s="43">
        <v>6400.0</v>
      </c>
      <c r="L30" s="44">
        <v>9000.0</v>
      </c>
      <c r="M30" s="25"/>
      <c r="N30" s="31"/>
      <c r="O30" s="27">
        <f t="shared" si="7"/>
        <v>0.40625</v>
      </c>
      <c r="P30" s="28">
        <f t="shared" si="9"/>
        <v>0</v>
      </c>
    </row>
    <row r="31" hidden="1">
      <c r="A31" s="56" t="s">
        <v>68</v>
      </c>
      <c r="B31" s="36" t="s">
        <v>69</v>
      </c>
      <c r="C31" s="18"/>
      <c r="D31" s="4"/>
      <c r="E31" s="19">
        <v>0.0</v>
      </c>
      <c r="F31" s="19">
        <v>0.0</v>
      </c>
      <c r="G31" s="16" t="s">
        <v>70</v>
      </c>
      <c r="H31" s="21"/>
      <c r="I31" s="22">
        <v>0.0</v>
      </c>
      <c r="J31" s="47">
        <v>46082.0</v>
      </c>
      <c r="K31" s="32">
        <f>100000*0.8*1.19</f>
        <v>95200</v>
      </c>
      <c r="L31" s="24">
        <v>145000.0</v>
      </c>
      <c r="M31" s="25"/>
      <c r="N31" s="26"/>
      <c r="O31" s="27">
        <f t="shared" si="7"/>
        <v>0.5231092437</v>
      </c>
      <c r="P31" s="28">
        <f t="shared" si="9"/>
        <v>0</v>
      </c>
    </row>
    <row r="32" hidden="1">
      <c r="A32" s="16" t="s">
        <v>71</v>
      </c>
      <c r="B32" s="51" t="s">
        <v>72</v>
      </c>
      <c r="C32" s="18"/>
      <c r="D32" s="4"/>
      <c r="E32" s="19">
        <v>0.0</v>
      </c>
      <c r="F32" s="19">
        <v>0.0</v>
      </c>
      <c r="G32" s="20" t="s">
        <v>73</v>
      </c>
      <c r="H32" s="21"/>
      <c r="I32" s="22">
        <v>0.0</v>
      </c>
      <c r="J32" s="29"/>
      <c r="K32" s="43">
        <v>10868.0</v>
      </c>
      <c r="L32" s="44">
        <v>18000.0</v>
      </c>
      <c r="M32" s="25"/>
      <c r="N32" s="26"/>
      <c r="O32" s="27">
        <f t="shared" si="7"/>
        <v>0.6562384983</v>
      </c>
      <c r="P32" s="28">
        <f t="shared" si="9"/>
        <v>0</v>
      </c>
    </row>
    <row r="33" hidden="1">
      <c r="A33" s="16" t="s">
        <v>74</v>
      </c>
      <c r="B33" s="51" t="s">
        <v>72</v>
      </c>
      <c r="C33" s="18"/>
      <c r="D33" s="41"/>
      <c r="E33" s="19">
        <v>0.0</v>
      </c>
      <c r="F33" s="19">
        <v>0.0</v>
      </c>
      <c r="G33" s="16" t="s">
        <v>75</v>
      </c>
      <c r="H33" s="21"/>
      <c r="I33" s="22"/>
      <c r="J33" s="47">
        <v>46478.0</v>
      </c>
      <c r="K33" s="55">
        <v>12000.0</v>
      </c>
      <c r="L33" s="55">
        <v>20000.0</v>
      </c>
      <c r="M33" s="25" t="s">
        <v>76</v>
      </c>
      <c r="N33" s="26">
        <v>18000.0</v>
      </c>
      <c r="O33" s="27">
        <f t="shared" si="7"/>
        <v>0.6666666667</v>
      </c>
      <c r="P33" s="28">
        <f t="shared" si="9"/>
        <v>0</v>
      </c>
    </row>
    <row r="34" hidden="1">
      <c r="A34" s="16" t="s">
        <v>77</v>
      </c>
      <c r="B34" s="51" t="s">
        <v>72</v>
      </c>
      <c r="C34" s="18"/>
      <c r="D34" s="4"/>
      <c r="E34" s="19">
        <v>2.0</v>
      </c>
      <c r="F34" s="19">
        <v>0.0</v>
      </c>
      <c r="G34" s="20" t="s">
        <v>78</v>
      </c>
      <c r="H34" s="21">
        <v>2.0</v>
      </c>
      <c r="I34" s="22">
        <v>3.0</v>
      </c>
      <c r="J34" s="29"/>
      <c r="K34" s="48">
        <v>13272.0</v>
      </c>
      <c r="L34" s="55">
        <v>22000.0</v>
      </c>
      <c r="M34" s="25"/>
      <c r="N34" s="57"/>
      <c r="O34" s="27">
        <f t="shared" si="7"/>
        <v>0.6576250753</v>
      </c>
      <c r="P34" s="28">
        <f t="shared" si="9"/>
        <v>0</v>
      </c>
    </row>
    <row r="35" hidden="1">
      <c r="A35" s="16" t="s">
        <v>79</v>
      </c>
      <c r="B35" s="51" t="s">
        <v>72</v>
      </c>
      <c r="C35" s="18" t="s">
        <v>80</v>
      </c>
      <c r="D35" s="4">
        <f>(6500*1.19)/3</f>
        <v>2578.333333</v>
      </c>
      <c r="E35" s="19">
        <v>0.0</v>
      </c>
      <c r="F35" s="19">
        <v>0.0</v>
      </c>
      <c r="G35" s="54" t="s">
        <v>81</v>
      </c>
      <c r="H35" s="21"/>
      <c r="I35" s="22"/>
      <c r="J35" s="58">
        <v>45962.0</v>
      </c>
      <c r="K35" s="24">
        <f>(11654*1.19)/3</f>
        <v>4622.753333</v>
      </c>
      <c r="L35" s="24">
        <v>13000.0</v>
      </c>
      <c r="M35" s="25" t="s">
        <v>82</v>
      </c>
      <c r="N35" s="26"/>
      <c r="O35" s="27">
        <f t="shared" si="7"/>
        <v>1.81217687</v>
      </c>
      <c r="P35" s="28">
        <f t="shared" si="9"/>
        <v>0</v>
      </c>
    </row>
    <row r="36" hidden="1">
      <c r="A36" s="16" t="s">
        <v>83</v>
      </c>
      <c r="B36" s="51" t="s">
        <v>72</v>
      </c>
      <c r="C36" s="18"/>
      <c r="D36" s="4"/>
      <c r="E36" s="19">
        <v>0.0</v>
      </c>
      <c r="F36" s="19">
        <v>0.0</v>
      </c>
      <c r="G36" s="16" t="s">
        <v>84</v>
      </c>
      <c r="H36" s="21"/>
      <c r="I36" s="22">
        <v>0.0</v>
      </c>
      <c r="J36" s="29"/>
      <c r="K36" s="43">
        <v>2000.0</v>
      </c>
      <c r="L36" s="44">
        <v>10000.0</v>
      </c>
      <c r="M36" s="25"/>
      <c r="N36" s="31"/>
      <c r="O36" s="27">
        <f t="shared" si="7"/>
        <v>4</v>
      </c>
      <c r="P36" s="28">
        <f t="shared" si="9"/>
        <v>0</v>
      </c>
    </row>
    <row r="37" hidden="1">
      <c r="A37" s="16" t="s">
        <v>85</v>
      </c>
      <c r="B37" s="51" t="s">
        <v>86</v>
      </c>
      <c r="C37" s="18"/>
      <c r="D37" s="4"/>
      <c r="E37" s="19">
        <v>0.0</v>
      </c>
      <c r="F37" s="19">
        <v>0.0</v>
      </c>
      <c r="G37" s="16" t="s">
        <v>70</v>
      </c>
      <c r="H37" s="21"/>
      <c r="I37" s="22">
        <v>0.0</v>
      </c>
      <c r="J37" s="58">
        <v>45992.0</v>
      </c>
      <c r="K37" s="24">
        <f>32500*0.8</f>
        <v>26000</v>
      </c>
      <c r="L37" s="24">
        <v>35000.0</v>
      </c>
      <c r="M37" s="25" t="s">
        <v>76</v>
      </c>
      <c r="N37" s="26"/>
      <c r="O37" s="27">
        <f t="shared" si="7"/>
        <v>0.3461538462</v>
      </c>
      <c r="P37" s="28">
        <f t="shared" si="9"/>
        <v>0</v>
      </c>
    </row>
    <row r="38" hidden="1">
      <c r="A38" s="59" t="s">
        <v>87</v>
      </c>
      <c r="B38" s="51" t="s">
        <v>72</v>
      </c>
      <c r="C38" s="18"/>
      <c r="D38" s="4"/>
      <c r="E38" s="19"/>
      <c r="F38" s="19"/>
      <c r="G38" s="16" t="s">
        <v>88</v>
      </c>
      <c r="H38" s="21"/>
      <c r="I38" s="22">
        <v>2.0</v>
      </c>
      <c r="J38" s="47">
        <v>46844.0</v>
      </c>
      <c r="K38" s="60">
        <v>14173.0</v>
      </c>
      <c r="L38" s="55">
        <v>24000.0</v>
      </c>
      <c r="M38" s="25"/>
      <c r="N38" s="26"/>
      <c r="O38" s="27">
        <f t="shared" si="7"/>
        <v>0.6933606153</v>
      </c>
      <c r="P38" s="28" t="str">
        <f>K38*#REF!</f>
        <v>#REF!</v>
      </c>
    </row>
    <row r="39" hidden="1">
      <c r="A39" s="16" t="s">
        <v>89</v>
      </c>
      <c r="B39" s="51" t="s">
        <v>90</v>
      </c>
      <c r="C39" s="38"/>
      <c r="D39" s="61"/>
      <c r="E39" s="19"/>
      <c r="F39" s="62"/>
      <c r="G39" s="16" t="s">
        <v>91</v>
      </c>
      <c r="H39" s="21"/>
      <c r="I39" s="22">
        <v>11.0</v>
      </c>
      <c r="J39" s="47">
        <v>46447.0</v>
      </c>
      <c r="K39" s="60">
        <v>54000.0</v>
      </c>
      <c r="L39" s="55">
        <v>68000.0</v>
      </c>
      <c r="M39" s="25" t="s">
        <v>82</v>
      </c>
      <c r="N39" s="26"/>
      <c r="O39" s="27">
        <f t="shared" si="7"/>
        <v>0.2592592593</v>
      </c>
      <c r="P39" s="28">
        <f t="shared" ref="P39:P57" si="10">K39*F39</f>
        <v>0</v>
      </c>
    </row>
    <row r="40" hidden="1">
      <c r="A40" s="16" t="s">
        <v>92</v>
      </c>
      <c r="B40" s="51" t="s">
        <v>72</v>
      </c>
      <c r="C40" s="18"/>
      <c r="D40" s="4"/>
      <c r="E40" s="19"/>
      <c r="F40" s="19">
        <v>0.0</v>
      </c>
      <c r="G40" s="20" t="s">
        <v>93</v>
      </c>
      <c r="H40" s="21"/>
      <c r="I40" s="22"/>
      <c r="J40" s="58">
        <v>46296.0</v>
      </c>
      <c r="K40" s="48">
        <v>33800.0</v>
      </c>
      <c r="L40" s="55">
        <v>42500.0</v>
      </c>
      <c r="M40" s="25" t="s">
        <v>76</v>
      </c>
      <c r="N40" s="57"/>
      <c r="O40" s="27">
        <f t="shared" si="7"/>
        <v>0.2573964497</v>
      </c>
      <c r="P40" s="28">
        <f t="shared" si="10"/>
        <v>0</v>
      </c>
    </row>
    <row r="41" hidden="1">
      <c r="A41" s="16" t="s">
        <v>94</v>
      </c>
      <c r="B41" s="51" t="s">
        <v>72</v>
      </c>
      <c r="C41" s="18"/>
      <c r="D41" s="4"/>
      <c r="E41" s="19">
        <v>0.0</v>
      </c>
      <c r="F41" s="19">
        <v>0.0</v>
      </c>
      <c r="G41" s="20" t="s">
        <v>78</v>
      </c>
      <c r="H41" s="21">
        <v>1.0</v>
      </c>
      <c r="I41" s="22">
        <v>3.0</v>
      </c>
      <c r="J41" s="29"/>
      <c r="K41" s="32">
        <v>150579.0</v>
      </c>
      <c r="L41" s="24">
        <v>210000.0</v>
      </c>
      <c r="M41" s="25"/>
      <c r="N41" s="63" t="s">
        <v>95</v>
      </c>
      <c r="O41" s="27">
        <f t="shared" si="7"/>
        <v>0.3946167792</v>
      </c>
      <c r="P41" s="28">
        <f t="shared" si="10"/>
        <v>0</v>
      </c>
    </row>
    <row r="42" hidden="1">
      <c r="A42" s="16" t="s">
        <v>96</v>
      </c>
      <c r="B42" s="51" t="s">
        <v>72</v>
      </c>
      <c r="C42" s="64" t="s">
        <v>97</v>
      </c>
      <c r="D42" s="4"/>
      <c r="E42" s="19"/>
      <c r="F42" s="19"/>
      <c r="G42" s="16" t="s">
        <v>98</v>
      </c>
      <c r="H42" s="21">
        <v>10.0</v>
      </c>
      <c r="I42" s="22"/>
      <c r="J42" s="29" t="s">
        <v>99</v>
      </c>
      <c r="K42" s="48">
        <v>12400.0</v>
      </c>
      <c r="L42" s="55">
        <v>18000.0</v>
      </c>
      <c r="M42" s="25" t="s">
        <v>76</v>
      </c>
      <c r="N42" s="65">
        <v>15000.0</v>
      </c>
      <c r="O42" s="27">
        <f t="shared" si="7"/>
        <v>0.4516129032</v>
      </c>
      <c r="P42" s="28">
        <f t="shared" si="10"/>
        <v>0</v>
      </c>
    </row>
    <row r="43" hidden="1">
      <c r="A43" s="16" t="s">
        <v>100</v>
      </c>
      <c r="B43" s="17"/>
      <c r="C43" s="18"/>
      <c r="D43" s="4"/>
      <c r="E43" s="19">
        <v>0.0</v>
      </c>
      <c r="F43" s="19">
        <v>0.0</v>
      </c>
      <c r="G43" s="16" t="s">
        <v>84</v>
      </c>
      <c r="H43" s="21"/>
      <c r="I43" s="22">
        <v>0.0</v>
      </c>
      <c r="J43" s="29"/>
      <c r="K43" s="48">
        <v>37140.0</v>
      </c>
      <c r="L43" s="55">
        <v>46400.0</v>
      </c>
      <c r="M43" s="25"/>
      <c r="N43" s="57"/>
      <c r="O43" s="27">
        <f t="shared" si="7"/>
        <v>0.2493268713</v>
      </c>
      <c r="P43" s="28">
        <f t="shared" si="10"/>
        <v>0</v>
      </c>
    </row>
    <row r="44" hidden="1">
      <c r="A44" s="16" t="s">
        <v>101</v>
      </c>
      <c r="B44" s="17"/>
      <c r="C44" s="18"/>
      <c r="D44" s="66"/>
      <c r="E44" s="19">
        <v>0.0</v>
      </c>
      <c r="F44" s="19">
        <v>0.0</v>
      </c>
      <c r="G44" s="54" t="s">
        <v>102</v>
      </c>
      <c r="H44" s="21"/>
      <c r="I44" s="22">
        <v>8.0</v>
      </c>
      <c r="J44" s="29"/>
      <c r="K44" s="48">
        <f>21315*1.19</f>
        <v>25364.85</v>
      </c>
      <c r="L44" s="48">
        <v>38000.0</v>
      </c>
      <c r="M44" s="25" t="s">
        <v>82</v>
      </c>
      <c r="N44" s="26">
        <v>32000.0</v>
      </c>
      <c r="O44" s="27">
        <f t="shared" si="7"/>
        <v>0.4981362003</v>
      </c>
      <c r="P44" s="28">
        <f t="shared" si="10"/>
        <v>0</v>
      </c>
    </row>
    <row r="45" hidden="1">
      <c r="A45" s="42" t="s">
        <v>103</v>
      </c>
      <c r="B45" s="36"/>
      <c r="C45" s="18"/>
      <c r="D45" s="4"/>
      <c r="E45" s="19">
        <v>0.0</v>
      </c>
      <c r="F45" s="19">
        <v>0.0</v>
      </c>
      <c r="G45" s="16" t="s">
        <v>104</v>
      </c>
      <c r="H45" s="21"/>
      <c r="I45" s="22">
        <v>5.0</v>
      </c>
      <c r="J45" s="47">
        <v>46478.0</v>
      </c>
      <c r="K45" s="32">
        <f>23294*1.19</f>
        <v>27719.86</v>
      </c>
      <c r="L45" s="24">
        <v>40000.0</v>
      </c>
      <c r="M45" s="25"/>
      <c r="N45" s="26">
        <v>35000.0</v>
      </c>
      <c r="O45" s="27">
        <f t="shared" si="7"/>
        <v>0.4430087309</v>
      </c>
      <c r="P45" s="28">
        <f t="shared" si="10"/>
        <v>0</v>
      </c>
    </row>
    <row r="46" hidden="1">
      <c r="A46" s="16" t="s">
        <v>105</v>
      </c>
      <c r="B46" s="17"/>
      <c r="C46" s="18"/>
      <c r="D46" s="4"/>
      <c r="E46" s="19">
        <v>0.0</v>
      </c>
      <c r="F46" s="19">
        <v>0.0</v>
      </c>
      <c r="G46" s="16" t="s">
        <v>84</v>
      </c>
      <c r="H46" s="21"/>
      <c r="I46" s="22">
        <v>0.0</v>
      </c>
      <c r="J46" s="29"/>
      <c r="K46" s="43">
        <v>10320.0</v>
      </c>
      <c r="L46" s="44">
        <v>30000.0</v>
      </c>
      <c r="M46" s="25"/>
      <c r="N46" s="57"/>
      <c r="O46" s="27">
        <f t="shared" si="7"/>
        <v>1.906976744</v>
      </c>
      <c r="P46" s="28">
        <f t="shared" si="10"/>
        <v>0</v>
      </c>
    </row>
    <row r="47" hidden="1">
      <c r="A47" s="16" t="s">
        <v>106</v>
      </c>
      <c r="B47" s="36" t="s">
        <v>107</v>
      </c>
      <c r="C47" s="18"/>
      <c r="D47" s="4"/>
      <c r="E47" s="19">
        <v>0.0</v>
      </c>
      <c r="F47" s="19">
        <v>0.0</v>
      </c>
      <c r="G47" s="16" t="s">
        <v>70</v>
      </c>
      <c r="H47" s="21"/>
      <c r="I47" s="22">
        <v>0.0</v>
      </c>
      <c r="J47" s="47">
        <v>46023.0</v>
      </c>
      <c r="K47" s="32">
        <f>40000*0.8*1.19</f>
        <v>38080</v>
      </c>
      <c r="L47" s="32">
        <v>56000.0</v>
      </c>
      <c r="M47" s="25"/>
      <c r="N47" s="26"/>
      <c r="O47" s="27">
        <f t="shared" si="7"/>
        <v>0.4705882353</v>
      </c>
      <c r="P47" s="28">
        <f t="shared" si="10"/>
        <v>0</v>
      </c>
    </row>
    <row r="48" hidden="1">
      <c r="A48" s="42" t="s">
        <v>108</v>
      </c>
      <c r="B48" s="36"/>
      <c r="C48" s="18"/>
      <c r="D48" s="4"/>
      <c r="E48" s="19">
        <v>0.0</v>
      </c>
      <c r="F48" s="19">
        <v>10.0</v>
      </c>
      <c r="G48" s="16" t="s">
        <v>104</v>
      </c>
      <c r="H48" s="21"/>
      <c r="I48" s="22">
        <v>4.0</v>
      </c>
      <c r="J48" s="47">
        <v>46569.0</v>
      </c>
      <c r="K48" s="24">
        <f>25757*1.19</f>
        <v>30650.83</v>
      </c>
      <c r="L48" s="24">
        <v>45000.0</v>
      </c>
      <c r="M48" s="25"/>
      <c r="N48" s="26">
        <v>38000.0</v>
      </c>
      <c r="O48" s="27">
        <f t="shared" si="7"/>
        <v>0.4681494759</v>
      </c>
      <c r="P48" s="28">
        <f t="shared" si="10"/>
        <v>306508.3</v>
      </c>
    </row>
    <row r="49" hidden="1">
      <c r="A49" s="52" t="s">
        <v>109</v>
      </c>
      <c r="B49" s="36" t="s">
        <v>110</v>
      </c>
      <c r="C49" s="18"/>
      <c r="D49" s="67"/>
      <c r="E49" s="19">
        <v>0.0</v>
      </c>
      <c r="F49" s="19">
        <v>0.0</v>
      </c>
      <c r="G49" s="16" t="s">
        <v>111</v>
      </c>
      <c r="H49" s="21"/>
      <c r="I49" s="22"/>
      <c r="J49" s="23"/>
      <c r="K49" s="55">
        <f>24667*1.19</f>
        <v>29353.73</v>
      </c>
      <c r="L49" s="55">
        <v>45000.0</v>
      </c>
      <c r="M49" s="25"/>
      <c r="N49" s="26">
        <v>35000.0</v>
      </c>
      <c r="O49" s="27">
        <f t="shared" si="7"/>
        <v>0.5330249341</v>
      </c>
      <c r="P49" s="28">
        <f t="shared" si="10"/>
        <v>0</v>
      </c>
    </row>
    <row r="50" hidden="1">
      <c r="A50" s="16" t="s">
        <v>112</v>
      </c>
      <c r="B50" s="17" t="s">
        <v>113</v>
      </c>
      <c r="C50" s="68"/>
      <c r="D50" s="4"/>
      <c r="E50" s="19">
        <v>0.0</v>
      </c>
      <c r="F50" s="19">
        <v>0.0</v>
      </c>
      <c r="G50" s="20" t="s">
        <v>78</v>
      </c>
      <c r="H50" s="21">
        <v>3.0</v>
      </c>
      <c r="I50" s="22">
        <v>6.0</v>
      </c>
      <c r="J50" s="23"/>
      <c r="K50" s="24">
        <v>30257.0</v>
      </c>
      <c r="L50" s="24">
        <v>52000.0</v>
      </c>
      <c r="M50" s="25" t="s">
        <v>82</v>
      </c>
      <c r="N50" s="26">
        <v>38000.0</v>
      </c>
      <c r="O50" s="27">
        <f t="shared" si="7"/>
        <v>0.7186105695</v>
      </c>
      <c r="P50" s="28">
        <f t="shared" si="10"/>
        <v>0</v>
      </c>
    </row>
    <row r="51" hidden="1">
      <c r="A51" s="16" t="s">
        <v>114</v>
      </c>
      <c r="B51" s="51" t="s">
        <v>115</v>
      </c>
      <c r="C51" s="38"/>
      <c r="D51" s="61"/>
      <c r="E51" s="19"/>
      <c r="F51" s="62"/>
      <c r="G51" s="16" t="s">
        <v>91</v>
      </c>
      <c r="H51" s="21"/>
      <c r="I51" s="22">
        <v>3.0</v>
      </c>
      <c r="J51" s="45"/>
      <c r="K51" s="60">
        <v>118000.0</v>
      </c>
      <c r="L51" s="55">
        <v>170000.0</v>
      </c>
      <c r="M51" s="25" t="s">
        <v>82</v>
      </c>
      <c r="N51" s="26"/>
      <c r="O51" s="27">
        <f t="shared" si="7"/>
        <v>0.4406779661</v>
      </c>
      <c r="P51" s="28">
        <f t="shared" si="10"/>
        <v>0</v>
      </c>
    </row>
    <row r="52" hidden="1">
      <c r="A52" s="16" t="s">
        <v>116</v>
      </c>
      <c r="B52" s="36"/>
      <c r="C52" s="18"/>
      <c r="D52" s="4"/>
      <c r="E52" s="19"/>
      <c r="F52" s="19">
        <v>0.0</v>
      </c>
      <c r="G52" s="40" t="s">
        <v>93</v>
      </c>
      <c r="H52" s="21"/>
      <c r="I52" s="22"/>
      <c r="J52" s="29"/>
      <c r="K52" s="32">
        <v>19710.0</v>
      </c>
      <c r="L52" s="24">
        <v>24630.0</v>
      </c>
      <c r="M52" s="25"/>
      <c r="N52" s="69"/>
      <c r="O52" s="27">
        <f t="shared" si="7"/>
        <v>0.2496194825</v>
      </c>
      <c r="P52" s="28">
        <f t="shared" si="10"/>
        <v>0</v>
      </c>
    </row>
    <row r="53" hidden="1">
      <c r="A53" s="16" t="s">
        <v>117</v>
      </c>
      <c r="B53" s="17"/>
      <c r="C53" s="18" t="s">
        <v>118</v>
      </c>
      <c r="D53" s="4"/>
      <c r="E53" s="19">
        <v>0.0</v>
      </c>
      <c r="F53" s="19">
        <v>0.0</v>
      </c>
      <c r="G53" s="16" t="s">
        <v>119</v>
      </c>
      <c r="H53" s="21">
        <v>3.0</v>
      </c>
      <c r="I53" s="22">
        <v>4.0</v>
      </c>
      <c r="J53" s="45" t="s">
        <v>99</v>
      </c>
      <c r="K53" s="46">
        <v>45031.0</v>
      </c>
      <c r="L53" s="24">
        <v>58000.0</v>
      </c>
      <c r="M53" s="25" t="s">
        <v>120</v>
      </c>
      <c r="N53" s="26"/>
      <c r="O53" s="27">
        <f t="shared" si="7"/>
        <v>0.2880015989</v>
      </c>
      <c r="P53" s="28">
        <f t="shared" si="10"/>
        <v>0</v>
      </c>
    </row>
    <row r="54" hidden="1">
      <c r="A54" s="16" t="s">
        <v>121</v>
      </c>
      <c r="B54" s="17" t="s">
        <v>122</v>
      </c>
      <c r="C54" s="18" t="s">
        <v>123</v>
      </c>
      <c r="D54" s="4"/>
      <c r="E54" s="19">
        <v>1.0</v>
      </c>
      <c r="F54" s="19">
        <v>0.0</v>
      </c>
      <c r="G54" s="16" t="s">
        <v>124</v>
      </c>
      <c r="H54" s="21">
        <v>1.0</v>
      </c>
      <c r="I54" s="22">
        <v>2.0</v>
      </c>
      <c r="J54" s="58">
        <v>45931.0</v>
      </c>
      <c r="K54" s="55">
        <v>211194.0</v>
      </c>
      <c r="L54" s="55">
        <v>248000.0</v>
      </c>
      <c r="M54" s="25"/>
      <c r="N54" s="26"/>
      <c r="O54" s="27">
        <f t="shared" si="7"/>
        <v>0.1742757843</v>
      </c>
      <c r="P54" s="28">
        <f t="shared" si="10"/>
        <v>0</v>
      </c>
    </row>
    <row r="55" hidden="1">
      <c r="A55" s="16" t="s">
        <v>125</v>
      </c>
      <c r="B55" s="17"/>
      <c r="C55" s="18" t="s">
        <v>123</v>
      </c>
      <c r="D55" s="4"/>
      <c r="E55" s="19">
        <v>0.0</v>
      </c>
      <c r="F55" s="19">
        <v>0.0</v>
      </c>
      <c r="G55" s="16" t="s">
        <v>119</v>
      </c>
      <c r="H55" s="21">
        <v>0.0</v>
      </c>
      <c r="I55" s="22"/>
      <c r="J55" s="23"/>
      <c r="K55" s="55">
        <v>25000.0</v>
      </c>
      <c r="L55" s="55">
        <v>30000.0</v>
      </c>
      <c r="M55" s="25"/>
      <c r="N55" s="69"/>
      <c r="O55" s="27">
        <f t="shared" si="7"/>
        <v>0.2</v>
      </c>
      <c r="P55" s="28">
        <f t="shared" si="10"/>
        <v>0</v>
      </c>
    </row>
    <row r="56" hidden="1">
      <c r="A56" s="16" t="s">
        <v>126</v>
      </c>
      <c r="B56" s="17"/>
      <c r="C56" s="18"/>
      <c r="D56" s="4"/>
      <c r="E56" s="19"/>
      <c r="F56" s="19">
        <v>0.0</v>
      </c>
      <c r="G56" s="16" t="s">
        <v>127</v>
      </c>
      <c r="H56" s="21"/>
      <c r="I56" s="22"/>
      <c r="J56" s="29"/>
      <c r="K56" s="48">
        <v>26900.0</v>
      </c>
      <c r="L56" s="55">
        <v>33600.0</v>
      </c>
      <c r="M56" s="25"/>
      <c r="N56" s="69"/>
      <c r="O56" s="27">
        <f t="shared" si="7"/>
        <v>0.249070632</v>
      </c>
      <c r="P56" s="28">
        <f t="shared" si="10"/>
        <v>0</v>
      </c>
    </row>
    <row r="57" hidden="1">
      <c r="A57" s="16" t="s">
        <v>128</v>
      </c>
      <c r="B57" s="49"/>
      <c r="C57" s="18" t="s">
        <v>123</v>
      </c>
      <c r="D57" s="4"/>
      <c r="E57" s="19"/>
      <c r="F57" s="19"/>
      <c r="G57" s="16" t="s">
        <v>98</v>
      </c>
      <c r="H57" s="21">
        <v>0.0</v>
      </c>
      <c r="I57" s="22"/>
      <c r="J57" s="47">
        <v>46113.0</v>
      </c>
      <c r="K57" s="55">
        <v>13953.0</v>
      </c>
      <c r="L57" s="55">
        <v>22000.0</v>
      </c>
      <c r="M57" s="25"/>
      <c r="N57" s="70"/>
      <c r="O57" s="27">
        <f t="shared" si="7"/>
        <v>0.5767218519</v>
      </c>
      <c r="P57" s="28">
        <f t="shared" si="10"/>
        <v>0</v>
      </c>
    </row>
    <row r="58" hidden="1">
      <c r="A58" s="16" t="s">
        <v>129</v>
      </c>
      <c r="B58" s="49"/>
      <c r="C58" s="18" t="s">
        <v>123</v>
      </c>
      <c r="D58" s="4"/>
      <c r="E58" s="19"/>
      <c r="F58" s="19"/>
      <c r="G58" s="16" t="s">
        <v>98</v>
      </c>
      <c r="H58" s="21">
        <v>0.0</v>
      </c>
      <c r="I58" s="22"/>
      <c r="J58" s="29"/>
      <c r="K58" s="48">
        <v>15153.0</v>
      </c>
      <c r="L58" s="55">
        <v>22000.0</v>
      </c>
      <c r="M58" s="25"/>
      <c r="N58" s="26"/>
      <c r="O58" s="27" t="str">
        <f>(L58/#REF!)-1</f>
        <v>#REF!</v>
      </c>
      <c r="P58" s="28" t="str">
        <f>#REF!*K58</f>
        <v>#REF!</v>
      </c>
    </row>
    <row r="59" hidden="1">
      <c r="A59" s="42" t="s">
        <v>130</v>
      </c>
      <c r="B59" s="71"/>
      <c r="C59" s="18"/>
      <c r="D59" s="4"/>
      <c r="E59" s="19">
        <v>0.0</v>
      </c>
      <c r="F59" s="19">
        <v>0.0</v>
      </c>
      <c r="G59" s="54" t="s">
        <v>63</v>
      </c>
      <c r="H59" s="21"/>
      <c r="I59" s="22">
        <v>0.0</v>
      </c>
      <c r="J59" s="29"/>
      <c r="K59" s="43">
        <f t="shared" ref="K59:K60" si="11">8070*1.19</f>
        <v>9603.3</v>
      </c>
      <c r="L59" s="44">
        <v>20000.0</v>
      </c>
      <c r="M59" s="25"/>
      <c r="N59" s="26"/>
      <c r="O59" s="27">
        <f t="shared" ref="O59:O78" si="12">(L59/K59)-1</f>
        <v>1.082617434</v>
      </c>
      <c r="P59" s="28">
        <f t="shared" ref="P59:P78" si="13">K59*F59</f>
        <v>0</v>
      </c>
    </row>
    <row r="60" hidden="1">
      <c r="A60" s="42" t="s">
        <v>131</v>
      </c>
      <c r="B60" s="71"/>
      <c r="C60" s="18"/>
      <c r="D60" s="4"/>
      <c r="E60" s="19">
        <v>0.0</v>
      </c>
      <c r="F60" s="19">
        <v>0.0</v>
      </c>
      <c r="G60" s="54" t="s">
        <v>63</v>
      </c>
      <c r="H60" s="21"/>
      <c r="I60" s="22">
        <v>0.0</v>
      </c>
      <c r="J60" s="29"/>
      <c r="K60" s="43">
        <f t="shared" si="11"/>
        <v>9603.3</v>
      </c>
      <c r="L60" s="44">
        <v>20000.0</v>
      </c>
      <c r="M60" s="25"/>
      <c r="N60" s="26"/>
      <c r="O60" s="27">
        <f t="shared" si="12"/>
        <v>1.082617434</v>
      </c>
      <c r="P60" s="28">
        <f t="shared" si="13"/>
        <v>0</v>
      </c>
    </row>
    <row r="61" hidden="1">
      <c r="A61" s="16" t="s">
        <v>132</v>
      </c>
      <c r="B61" s="36" t="s">
        <v>133</v>
      </c>
      <c r="C61" s="18" t="s">
        <v>123</v>
      </c>
      <c r="D61" s="4"/>
      <c r="E61" s="19">
        <v>0.0</v>
      </c>
      <c r="F61" s="19">
        <v>0.0</v>
      </c>
      <c r="G61" s="16" t="s">
        <v>70</v>
      </c>
      <c r="H61" s="21"/>
      <c r="I61" s="22">
        <v>0.0</v>
      </c>
      <c r="J61" s="22" t="s">
        <v>134</v>
      </c>
      <c r="K61" s="32">
        <v>16800.0</v>
      </c>
      <c r="L61" s="24">
        <v>25000.0</v>
      </c>
      <c r="M61" s="72"/>
      <c r="N61" s="26">
        <v>22000.0</v>
      </c>
      <c r="O61" s="27">
        <f t="shared" si="12"/>
        <v>0.4880952381</v>
      </c>
      <c r="P61" s="28">
        <f t="shared" si="13"/>
        <v>0</v>
      </c>
    </row>
    <row r="62" hidden="1">
      <c r="A62" s="16" t="s">
        <v>135</v>
      </c>
      <c r="B62" s="36" t="s">
        <v>133</v>
      </c>
      <c r="C62" s="18" t="s">
        <v>123</v>
      </c>
      <c r="D62" s="4"/>
      <c r="E62" s="19">
        <v>0.0</v>
      </c>
      <c r="F62" s="19">
        <v>0.0</v>
      </c>
      <c r="G62" s="16" t="s">
        <v>70</v>
      </c>
      <c r="H62" s="21"/>
      <c r="I62" s="22">
        <v>0.0</v>
      </c>
      <c r="J62" s="47">
        <v>45717.0</v>
      </c>
      <c r="K62" s="32">
        <v>16800.0</v>
      </c>
      <c r="L62" s="24">
        <v>25000.0</v>
      </c>
      <c r="M62" s="72"/>
      <c r="N62" s="26"/>
      <c r="O62" s="27">
        <f t="shared" si="12"/>
        <v>0.4880952381</v>
      </c>
      <c r="P62" s="28">
        <f t="shared" si="13"/>
        <v>0</v>
      </c>
    </row>
    <row r="63" hidden="1">
      <c r="A63" s="16" t="s">
        <v>136</v>
      </c>
      <c r="B63" s="17"/>
      <c r="C63" s="18"/>
      <c r="D63" s="4"/>
      <c r="E63" s="19">
        <v>0.0</v>
      </c>
      <c r="F63" s="19"/>
      <c r="G63" s="16" t="s">
        <v>137</v>
      </c>
      <c r="H63" s="73"/>
      <c r="I63" s="22"/>
      <c r="J63" s="74"/>
      <c r="K63" s="75">
        <v>11700.0</v>
      </c>
      <c r="L63" s="44">
        <v>18000.0</v>
      </c>
      <c r="M63" s="25"/>
      <c r="N63" s="69"/>
      <c r="O63" s="27">
        <f t="shared" si="12"/>
        <v>0.5384615385</v>
      </c>
      <c r="P63" s="28">
        <f t="shared" si="13"/>
        <v>0</v>
      </c>
    </row>
    <row r="64" hidden="1">
      <c r="A64" s="16" t="s">
        <v>138</v>
      </c>
      <c r="B64" s="36" t="s">
        <v>139</v>
      </c>
      <c r="C64" s="18" t="s">
        <v>80</v>
      </c>
      <c r="D64" s="4">
        <f>(195200+37088)/6</f>
        <v>38714.66667</v>
      </c>
      <c r="E64" s="19">
        <v>0.0</v>
      </c>
      <c r="F64" s="19">
        <v>0.0</v>
      </c>
      <c r="G64" s="16" t="s">
        <v>70</v>
      </c>
      <c r="H64" s="21"/>
      <c r="I64" s="22">
        <v>0.0</v>
      </c>
      <c r="J64" s="47">
        <v>46023.0</v>
      </c>
      <c r="K64" s="32">
        <f>245000*0.8*1.19/6</f>
        <v>38873.33333</v>
      </c>
      <c r="L64" s="32">
        <v>65000.0</v>
      </c>
      <c r="M64" s="25"/>
      <c r="N64" s="26">
        <v>48000.0</v>
      </c>
      <c r="O64" s="27">
        <f t="shared" si="12"/>
        <v>0.6720974104</v>
      </c>
      <c r="P64" s="28">
        <f t="shared" si="13"/>
        <v>0</v>
      </c>
    </row>
    <row r="65" hidden="1">
      <c r="A65" s="16" t="s">
        <v>140</v>
      </c>
      <c r="B65" s="36" t="s">
        <v>141</v>
      </c>
      <c r="C65" s="18" t="s">
        <v>142</v>
      </c>
      <c r="D65" s="4"/>
      <c r="E65" s="19">
        <v>0.0</v>
      </c>
      <c r="F65" s="19">
        <v>0.0</v>
      </c>
      <c r="G65" s="16" t="s">
        <v>70</v>
      </c>
      <c r="H65" s="21"/>
      <c r="I65" s="22"/>
      <c r="J65" s="29"/>
      <c r="K65" s="43">
        <f>80000*0.8*1.19</f>
        <v>76160</v>
      </c>
      <c r="L65" s="43">
        <v>100000.0</v>
      </c>
      <c r="M65" s="25"/>
      <c r="N65" s="26"/>
      <c r="O65" s="27">
        <f t="shared" si="12"/>
        <v>0.3130252101</v>
      </c>
      <c r="P65" s="28">
        <f t="shared" si="13"/>
        <v>0</v>
      </c>
    </row>
    <row r="66" hidden="1">
      <c r="A66" s="16" t="s">
        <v>143</v>
      </c>
      <c r="B66" s="36"/>
      <c r="C66" s="18" t="s">
        <v>144</v>
      </c>
      <c r="D66" s="4">
        <v>38000.0</v>
      </c>
      <c r="E66" s="19"/>
      <c r="F66" s="19">
        <v>0.0</v>
      </c>
      <c r="G66" s="40" t="s">
        <v>93</v>
      </c>
      <c r="H66" s="21"/>
      <c r="I66" s="22"/>
      <c r="J66" s="23"/>
      <c r="K66" s="24">
        <v>36130.0</v>
      </c>
      <c r="L66" s="24">
        <v>49000.0</v>
      </c>
      <c r="M66" s="25"/>
      <c r="N66" s="76"/>
      <c r="O66" s="27">
        <f t="shared" si="12"/>
        <v>0.3562136728</v>
      </c>
      <c r="P66" s="28">
        <f t="shared" si="13"/>
        <v>0</v>
      </c>
    </row>
    <row r="67" hidden="1">
      <c r="A67" s="16" t="s">
        <v>145</v>
      </c>
      <c r="B67" s="36" t="s">
        <v>146</v>
      </c>
      <c r="C67" s="18" t="s">
        <v>142</v>
      </c>
      <c r="D67" s="4"/>
      <c r="E67" s="19">
        <v>0.0</v>
      </c>
      <c r="F67" s="19">
        <v>0.0</v>
      </c>
      <c r="G67" s="16" t="s">
        <v>70</v>
      </c>
      <c r="H67" s="21"/>
      <c r="I67" s="22"/>
      <c r="J67" s="22" t="s">
        <v>147</v>
      </c>
      <c r="K67" s="24">
        <f>250000*0.8</f>
        <v>200000</v>
      </c>
      <c r="L67" s="24">
        <v>270000.0</v>
      </c>
      <c r="M67" s="25"/>
      <c r="N67" s="26"/>
      <c r="O67" s="27">
        <f t="shared" si="12"/>
        <v>0.35</v>
      </c>
      <c r="P67" s="28">
        <f t="shared" si="13"/>
        <v>0</v>
      </c>
    </row>
    <row r="68" hidden="1">
      <c r="A68" s="16" t="s">
        <v>148</v>
      </c>
      <c r="B68" s="36"/>
      <c r="C68" s="18" t="s">
        <v>142</v>
      </c>
      <c r="D68" s="4"/>
      <c r="E68" s="19">
        <v>0.0</v>
      </c>
      <c r="F68" s="19">
        <v>0.0</v>
      </c>
      <c r="G68" s="16" t="s">
        <v>70</v>
      </c>
      <c r="H68" s="21"/>
      <c r="I68" s="22"/>
      <c r="J68" s="23"/>
      <c r="K68" s="48">
        <v>89000.0</v>
      </c>
      <c r="L68" s="55">
        <v>119000.0</v>
      </c>
      <c r="M68" s="25"/>
      <c r="N68" s="26"/>
      <c r="O68" s="27">
        <f t="shared" si="12"/>
        <v>0.3370786517</v>
      </c>
      <c r="P68" s="28">
        <f t="shared" si="13"/>
        <v>0</v>
      </c>
    </row>
    <row r="69" hidden="1">
      <c r="A69" s="16" t="s">
        <v>149</v>
      </c>
      <c r="B69" s="36"/>
      <c r="C69" s="18" t="s">
        <v>142</v>
      </c>
      <c r="D69" s="4"/>
      <c r="E69" s="19">
        <v>0.0</v>
      </c>
      <c r="F69" s="19">
        <v>0.0</v>
      </c>
      <c r="G69" s="16" t="s">
        <v>70</v>
      </c>
      <c r="H69" s="21"/>
      <c r="I69" s="22"/>
      <c r="J69" s="23"/>
      <c r="K69" s="44">
        <v>190000.0</v>
      </c>
      <c r="L69" s="44">
        <v>220000.0</v>
      </c>
      <c r="M69" s="25"/>
      <c r="N69" s="26"/>
      <c r="O69" s="27">
        <f t="shared" si="12"/>
        <v>0.1578947368</v>
      </c>
      <c r="P69" s="28">
        <f t="shared" si="13"/>
        <v>0</v>
      </c>
    </row>
    <row r="70" hidden="1">
      <c r="A70" s="16" t="s">
        <v>150</v>
      </c>
      <c r="B70" s="36" t="s">
        <v>151</v>
      </c>
      <c r="C70" s="18" t="s">
        <v>142</v>
      </c>
      <c r="D70" s="4"/>
      <c r="E70" s="19">
        <v>0.0</v>
      </c>
      <c r="F70" s="19">
        <v>0.0</v>
      </c>
      <c r="G70" s="16" t="s">
        <v>70</v>
      </c>
      <c r="H70" s="21"/>
      <c r="I70" s="22"/>
      <c r="J70" s="23"/>
      <c r="K70" s="24">
        <v>200000.0</v>
      </c>
      <c r="L70" s="24">
        <v>270000.0</v>
      </c>
      <c r="M70" s="25"/>
      <c r="N70" s="26"/>
      <c r="O70" s="27">
        <f t="shared" si="12"/>
        <v>0.35</v>
      </c>
      <c r="P70" s="28">
        <f t="shared" si="13"/>
        <v>0</v>
      </c>
    </row>
    <row r="71" hidden="1">
      <c r="A71" s="16" t="s">
        <v>152</v>
      </c>
      <c r="B71" s="36" t="s">
        <v>153</v>
      </c>
      <c r="C71" s="18" t="s">
        <v>142</v>
      </c>
      <c r="D71" s="4" t="s">
        <v>154</v>
      </c>
      <c r="E71" s="19">
        <v>0.0</v>
      </c>
      <c r="F71" s="19">
        <v>0.0</v>
      </c>
      <c r="G71" s="16" t="s">
        <v>70</v>
      </c>
      <c r="H71" s="21"/>
      <c r="I71" s="22"/>
      <c r="J71" s="29"/>
      <c r="K71" s="43">
        <f>123000*0.8*1.19</f>
        <v>117096</v>
      </c>
      <c r="L71" s="44">
        <v>165000.0</v>
      </c>
      <c r="M71" s="25"/>
      <c r="N71" s="26"/>
      <c r="O71" s="27">
        <f t="shared" si="12"/>
        <v>0.4091002255</v>
      </c>
      <c r="P71" s="28">
        <f t="shared" si="13"/>
        <v>0</v>
      </c>
    </row>
    <row r="72" hidden="1">
      <c r="A72" s="16" t="s">
        <v>155</v>
      </c>
      <c r="B72" s="17"/>
      <c r="C72" s="18"/>
      <c r="D72" s="4"/>
      <c r="E72" s="19">
        <v>0.0</v>
      </c>
      <c r="F72" s="19">
        <v>0.0</v>
      </c>
      <c r="G72" s="16" t="s">
        <v>119</v>
      </c>
      <c r="H72" s="21">
        <v>4.0</v>
      </c>
      <c r="I72" s="22">
        <v>0.0</v>
      </c>
      <c r="J72" s="23"/>
      <c r="K72" s="24">
        <v>115250.0</v>
      </c>
      <c r="L72" s="24">
        <v>148000.0</v>
      </c>
      <c r="M72" s="25" t="s">
        <v>120</v>
      </c>
      <c r="N72" s="26"/>
      <c r="O72" s="27">
        <f t="shared" si="12"/>
        <v>0.284164859</v>
      </c>
      <c r="P72" s="28">
        <f t="shared" si="13"/>
        <v>0</v>
      </c>
    </row>
    <row r="73">
      <c r="A73" s="16" t="s">
        <v>156</v>
      </c>
      <c r="B73" s="17" t="s">
        <v>157</v>
      </c>
      <c r="C73" s="18"/>
      <c r="D73" s="4"/>
      <c r="E73" s="19">
        <v>1.0</v>
      </c>
      <c r="F73" s="77">
        <v>0.0</v>
      </c>
      <c r="G73" s="16" t="s">
        <v>119</v>
      </c>
      <c r="H73" s="21">
        <v>1.0</v>
      </c>
      <c r="I73" s="22">
        <v>2.0</v>
      </c>
      <c r="J73" s="47">
        <v>45901.0</v>
      </c>
      <c r="K73" s="24">
        <v>97429.0</v>
      </c>
      <c r="L73" s="24">
        <v>125000.0</v>
      </c>
      <c r="M73" s="25" t="s">
        <v>120</v>
      </c>
      <c r="N73" s="26"/>
      <c r="O73" s="27">
        <f t="shared" si="12"/>
        <v>0.2829855587</v>
      </c>
      <c r="P73" s="28">
        <f t="shared" si="13"/>
        <v>0</v>
      </c>
    </row>
    <row r="74" hidden="1">
      <c r="A74" s="16" t="s">
        <v>158</v>
      </c>
      <c r="B74" s="36"/>
      <c r="C74" s="18"/>
      <c r="D74" s="4"/>
      <c r="E74" s="19"/>
      <c r="F74" s="19">
        <v>0.0</v>
      </c>
      <c r="G74" s="20" t="s">
        <v>159</v>
      </c>
      <c r="H74" s="21"/>
      <c r="I74" s="22"/>
      <c r="J74" s="29"/>
      <c r="K74" s="43">
        <v>141000.0</v>
      </c>
      <c r="L74" s="44">
        <v>175000.0</v>
      </c>
      <c r="M74" s="25"/>
      <c r="N74" s="69"/>
      <c r="O74" s="27">
        <f t="shared" si="12"/>
        <v>0.2411347518</v>
      </c>
      <c r="P74" s="28">
        <f t="shared" si="13"/>
        <v>0</v>
      </c>
    </row>
    <row r="75" hidden="1">
      <c r="A75" s="16" t="s">
        <v>160</v>
      </c>
      <c r="B75" s="36"/>
      <c r="C75" s="18"/>
      <c r="D75" s="4"/>
      <c r="E75" s="19"/>
      <c r="F75" s="19">
        <v>0.0</v>
      </c>
      <c r="G75" s="20" t="s">
        <v>159</v>
      </c>
      <c r="H75" s="21"/>
      <c r="I75" s="22"/>
      <c r="J75" s="29"/>
      <c r="K75" s="43">
        <v>292000.0</v>
      </c>
      <c r="L75" s="44">
        <v>365000.0</v>
      </c>
      <c r="M75" s="78"/>
      <c r="N75" s="69"/>
      <c r="O75" s="27">
        <f t="shared" si="12"/>
        <v>0.25</v>
      </c>
      <c r="P75" s="28">
        <f t="shared" si="13"/>
        <v>0</v>
      </c>
    </row>
    <row r="76" hidden="1">
      <c r="A76" s="16" t="s">
        <v>161</v>
      </c>
      <c r="B76" s="36"/>
      <c r="C76" s="18"/>
      <c r="D76" s="4"/>
      <c r="E76" s="19"/>
      <c r="F76" s="19">
        <v>0.0</v>
      </c>
      <c r="G76" s="20" t="s">
        <v>159</v>
      </c>
      <c r="H76" s="21"/>
      <c r="I76" s="22"/>
      <c r="J76" s="47">
        <v>45748.0</v>
      </c>
      <c r="K76" s="55">
        <v>287900.0</v>
      </c>
      <c r="L76" s="55">
        <v>359800.0</v>
      </c>
      <c r="M76" s="25"/>
      <c r="N76" s="50"/>
      <c r="O76" s="27">
        <f t="shared" si="12"/>
        <v>0.2497394929</v>
      </c>
      <c r="P76" s="28">
        <f t="shared" si="13"/>
        <v>0</v>
      </c>
    </row>
    <row r="77" hidden="1">
      <c r="A77" s="16" t="s">
        <v>162</v>
      </c>
      <c r="B77" s="49"/>
      <c r="C77" s="18"/>
      <c r="D77" s="4"/>
      <c r="E77" s="19"/>
      <c r="F77" s="19"/>
      <c r="G77" s="20" t="s">
        <v>163</v>
      </c>
      <c r="H77" s="21">
        <v>0.0</v>
      </c>
      <c r="I77" s="22">
        <v>0.0</v>
      </c>
      <c r="J77" s="58">
        <v>45870.0</v>
      </c>
      <c r="K77" s="79">
        <v>42000.0</v>
      </c>
      <c r="L77" s="79">
        <v>65000.0</v>
      </c>
      <c r="M77" s="25"/>
      <c r="N77" s="70"/>
      <c r="O77" s="27">
        <f t="shared" si="12"/>
        <v>0.5476190476</v>
      </c>
      <c r="P77" s="28">
        <f t="shared" si="13"/>
        <v>0</v>
      </c>
    </row>
    <row r="78" hidden="1">
      <c r="A78" s="16" t="s">
        <v>164</v>
      </c>
      <c r="B78" s="49"/>
      <c r="C78" s="18"/>
      <c r="D78" s="4"/>
      <c r="E78" s="19"/>
      <c r="F78" s="19"/>
      <c r="G78" s="20" t="s">
        <v>163</v>
      </c>
      <c r="H78" s="21">
        <v>0.0</v>
      </c>
      <c r="I78" s="22">
        <v>0.0</v>
      </c>
      <c r="J78" s="58">
        <v>45869.0</v>
      </c>
      <c r="K78" s="55">
        <v>65450.0</v>
      </c>
      <c r="L78" s="55">
        <v>88000.0</v>
      </c>
      <c r="M78" s="25"/>
      <c r="N78" s="70"/>
      <c r="O78" s="27">
        <f t="shared" si="12"/>
        <v>0.3445378151</v>
      </c>
      <c r="P78" s="28">
        <f t="shared" si="13"/>
        <v>0</v>
      </c>
    </row>
    <row r="79" hidden="1">
      <c r="A79" s="80" t="s">
        <v>165</v>
      </c>
      <c r="B79" s="81"/>
      <c r="C79" s="82"/>
      <c r="D79" s="83"/>
      <c r="E79" s="19">
        <v>0.0</v>
      </c>
      <c r="F79" s="19">
        <v>0.0</v>
      </c>
      <c r="G79" s="80"/>
      <c r="H79" s="84"/>
      <c r="I79" s="85"/>
      <c r="J79" s="86"/>
      <c r="K79" s="87"/>
      <c r="L79" s="87">
        <v>312000.0</v>
      </c>
      <c r="M79" s="88"/>
      <c r="N79" s="89"/>
      <c r="O79" s="90"/>
      <c r="P79" s="91"/>
    </row>
    <row r="80" hidden="1">
      <c r="A80" s="16" t="s">
        <v>166</v>
      </c>
      <c r="B80" s="36" t="s">
        <v>167</v>
      </c>
      <c r="C80" s="92" t="s">
        <v>168</v>
      </c>
      <c r="D80" s="4"/>
      <c r="E80" s="19">
        <v>0.0</v>
      </c>
      <c r="F80" s="19">
        <v>0.0</v>
      </c>
      <c r="G80" s="16" t="s">
        <v>169</v>
      </c>
      <c r="H80" s="21"/>
      <c r="I80" s="22"/>
      <c r="J80" s="23"/>
      <c r="K80" s="24">
        <v>80808.0</v>
      </c>
      <c r="L80" s="24">
        <v>120000.0</v>
      </c>
      <c r="M80" s="78" t="s">
        <v>76</v>
      </c>
      <c r="N80" s="26">
        <v>110000.0</v>
      </c>
      <c r="O80" s="27">
        <f t="shared" ref="O80:O82" si="14">(L80/K80)-1</f>
        <v>0.485001485</v>
      </c>
      <c r="P80" s="28">
        <f t="shared" ref="P80:P81" si="15">K80*F80</f>
        <v>0</v>
      </c>
    </row>
    <row r="81" hidden="1">
      <c r="A81" s="16" t="s">
        <v>170</v>
      </c>
      <c r="B81" s="36" t="s">
        <v>167</v>
      </c>
      <c r="C81" s="18"/>
      <c r="D81" s="4"/>
      <c r="E81" s="19">
        <v>0.0</v>
      </c>
      <c r="F81" s="19">
        <v>0.0</v>
      </c>
      <c r="G81" s="16" t="s">
        <v>169</v>
      </c>
      <c r="H81" s="21"/>
      <c r="I81" s="22"/>
      <c r="J81" s="23"/>
      <c r="K81" s="24">
        <v>97275.0</v>
      </c>
      <c r="L81" s="24">
        <v>130000.0</v>
      </c>
      <c r="M81" s="25" t="s">
        <v>76</v>
      </c>
      <c r="N81" s="26">
        <v>120000.0</v>
      </c>
      <c r="O81" s="27">
        <f t="shared" si="14"/>
        <v>0.3364173734</v>
      </c>
      <c r="P81" s="28">
        <f t="shared" si="15"/>
        <v>0</v>
      </c>
    </row>
    <row r="82" hidden="1">
      <c r="A82" s="16" t="s">
        <v>171</v>
      </c>
      <c r="B82" s="36" t="s">
        <v>167</v>
      </c>
      <c r="C82" s="18"/>
      <c r="D82" s="4"/>
      <c r="E82" s="19">
        <v>0.0</v>
      </c>
      <c r="F82" s="19">
        <v>0.0</v>
      </c>
      <c r="G82" s="16" t="s">
        <v>172</v>
      </c>
      <c r="H82" s="21"/>
      <c r="I82" s="22"/>
      <c r="J82" s="29"/>
      <c r="K82" s="32">
        <f>130000/15</f>
        <v>8666.666667</v>
      </c>
      <c r="L82" s="24">
        <v>20000.0</v>
      </c>
      <c r="M82" s="25"/>
      <c r="N82" s="26"/>
      <c r="O82" s="27">
        <f t="shared" si="14"/>
        <v>1.307692308</v>
      </c>
      <c r="P82" s="28">
        <f>K82*F81</f>
        <v>0</v>
      </c>
    </row>
    <row r="83" hidden="1">
      <c r="A83" s="16" t="s">
        <v>173</v>
      </c>
      <c r="B83" s="36" t="s">
        <v>167</v>
      </c>
      <c r="C83" s="92"/>
      <c r="D83" s="4"/>
      <c r="E83" s="19">
        <v>0.0</v>
      </c>
      <c r="F83" s="19">
        <v>0.0</v>
      </c>
      <c r="G83" s="16" t="s">
        <v>169</v>
      </c>
      <c r="H83" s="21"/>
      <c r="I83" s="22"/>
      <c r="J83" s="23"/>
      <c r="K83" s="24">
        <v>80808.0</v>
      </c>
      <c r="L83" s="24">
        <v>120000.0</v>
      </c>
      <c r="M83" s="78" t="s">
        <v>76</v>
      </c>
      <c r="N83" s="26"/>
      <c r="O83" s="27">
        <f t="shared" ref="O83:O131" si="16">(L83/K83)-1</f>
        <v>0.485001485</v>
      </c>
      <c r="P83" s="28">
        <f t="shared" ref="P83:P131" si="17">K83*F83</f>
        <v>0</v>
      </c>
    </row>
    <row r="84" hidden="1">
      <c r="A84" s="16" t="s">
        <v>174</v>
      </c>
      <c r="B84" s="36" t="s">
        <v>167</v>
      </c>
      <c r="C84" s="18"/>
      <c r="D84" s="4"/>
      <c r="E84" s="19">
        <v>0.0</v>
      </c>
      <c r="F84" s="19">
        <v>0.0</v>
      </c>
      <c r="G84" s="16" t="s">
        <v>169</v>
      </c>
      <c r="H84" s="21"/>
      <c r="I84" s="22"/>
      <c r="J84" s="23"/>
      <c r="K84" s="24">
        <v>87241.0</v>
      </c>
      <c r="L84" s="24">
        <v>120000.0</v>
      </c>
      <c r="M84" s="25" t="s">
        <v>76</v>
      </c>
      <c r="N84" s="26"/>
      <c r="O84" s="27">
        <f t="shared" si="16"/>
        <v>0.3755000516</v>
      </c>
      <c r="P84" s="28">
        <f t="shared" si="17"/>
        <v>0</v>
      </c>
    </row>
    <row r="85" hidden="1">
      <c r="A85" s="16" t="s">
        <v>175</v>
      </c>
      <c r="B85" s="17"/>
      <c r="C85" s="18"/>
      <c r="D85" s="4"/>
      <c r="E85" s="19">
        <v>0.0</v>
      </c>
      <c r="F85" s="19">
        <v>0.0</v>
      </c>
      <c r="G85" s="20" t="s">
        <v>176</v>
      </c>
      <c r="H85" s="21"/>
      <c r="I85" s="22"/>
      <c r="J85" s="29"/>
      <c r="K85" s="43">
        <v>25000.0</v>
      </c>
      <c r="L85" s="44">
        <v>35000.0</v>
      </c>
      <c r="M85" s="25"/>
      <c r="N85" s="57"/>
      <c r="O85" s="27">
        <f t="shared" si="16"/>
        <v>0.4</v>
      </c>
      <c r="P85" s="28">
        <f t="shared" si="17"/>
        <v>0</v>
      </c>
    </row>
    <row r="86" hidden="1">
      <c r="A86" s="93" t="s">
        <v>177</v>
      </c>
      <c r="B86" s="36"/>
      <c r="C86" s="38"/>
      <c r="D86" s="4"/>
      <c r="E86" s="19"/>
      <c r="F86" s="19"/>
      <c r="G86" s="40" t="s">
        <v>98</v>
      </c>
      <c r="H86" s="21">
        <v>0.0</v>
      </c>
      <c r="I86" s="22">
        <v>15.0</v>
      </c>
      <c r="J86" s="47"/>
      <c r="K86" s="48">
        <v>18683.0</v>
      </c>
      <c r="L86" s="48">
        <v>24000.0</v>
      </c>
      <c r="M86" s="25">
        <v>1.19</v>
      </c>
      <c r="N86" s="48">
        <v>22000.0</v>
      </c>
      <c r="O86" s="27">
        <f t="shared" si="16"/>
        <v>0.2845902692</v>
      </c>
      <c r="P86" s="28">
        <f t="shared" si="17"/>
        <v>0</v>
      </c>
    </row>
    <row r="87" hidden="1">
      <c r="A87" s="56" t="s">
        <v>178</v>
      </c>
      <c r="B87" s="36"/>
      <c r="C87" s="38"/>
      <c r="D87" s="4"/>
      <c r="E87" s="19"/>
      <c r="F87" s="19"/>
      <c r="G87" s="40" t="s">
        <v>98</v>
      </c>
      <c r="H87" s="21">
        <v>0.0</v>
      </c>
      <c r="I87" s="22">
        <v>19.0</v>
      </c>
      <c r="J87" s="22"/>
      <c r="K87" s="48">
        <v>18683.0</v>
      </c>
      <c r="L87" s="48">
        <v>24000.0</v>
      </c>
      <c r="M87" s="25">
        <v>1.19</v>
      </c>
      <c r="N87" s="48">
        <v>22000.0</v>
      </c>
      <c r="O87" s="27">
        <f t="shared" si="16"/>
        <v>0.2845902692</v>
      </c>
      <c r="P87" s="28">
        <f t="shared" si="17"/>
        <v>0</v>
      </c>
    </row>
    <row r="88" hidden="1">
      <c r="A88" s="16" t="s">
        <v>179</v>
      </c>
      <c r="B88" s="49"/>
      <c r="C88" s="38"/>
      <c r="D88" s="4"/>
      <c r="E88" s="19"/>
      <c r="F88" s="19"/>
      <c r="G88" s="40" t="s">
        <v>98</v>
      </c>
      <c r="H88" s="21">
        <v>0.0</v>
      </c>
      <c r="I88" s="22">
        <v>15.0</v>
      </c>
      <c r="J88" s="22"/>
      <c r="K88" s="48">
        <v>18683.0</v>
      </c>
      <c r="L88" s="48">
        <v>24000.0</v>
      </c>
      <c r="M88" s="25">
        <v>1.19</v>
      </c>
      <c r="N88" s="48">
        <v>22000.0</v>
      </c>
      <c r="O88" s="27">
        <f t="shared" si="16"/>
        <v>0.2845902692</v>
      </c>
      <c r="P88" s="28">
        <f t="shared" si="17"/>
        <v>0</v>
      </c>
    </row>
    <row r="89" hidden="1">
      <c r="A89" s="16" t="s">
        <v>180</v>
      </c>
      <c r="B89" s="49"/>
      <c r="C89" s="38"/>
      <c r="D89" s="4"/>
      <c r="E89" s="19"/>
      <c r="F89" s="19"/>
      <c r="G89" s="40" t="s">
        <v>98</v>
      </c>
      <c r="H89" s="21">
        <v>0.0</v>
      </c>
      <c r="I89" s="22">
        <v>3.0</v>
      </c>
      <c r="J89" s="47"/>
      <c r="K89" s="55">
        <v>18683.0</v>
      </c>
      <c r="L89" s="55">
        <v>24000.0</v>
      </c>
      <c r="M89" s="25">
        <v>1.19</v>
      </c>
      <c r="N89" s="48">
        <v>21000.0</v>
      </c>
      <c r="O89" s="27">
        <f t="shared" si="16"/>
        <v>0.2845902692</v>
      </c>
      <c r="P89" s="28">
        <f t="shared" si="17"/>
        <v>0</v>
      </c>
    </row>
    <row r="90" hidden="1">
      <c r="A90" s="16" t="s">
        <v>181</v>
      </c>
      <c r="B90" s="49"/>
      <c r="C90" s="38"/>
      <c r="D90" s="4"/>
      <c r="E90" s="19"/>
      <c r="F90" s="19"/>
      <c r="G90" s="40" t="s">
        <v>98</v>
      </c>
      <c r="H90" s="21">
        <v>0.0</v>
      </c>
      <c r="I90" s="22">
        <v>1.0</v>
      </c>
      <c r="J90" s="58"/>
      <c r="K90" s="55">
        <v>18683.0</v>
      </c>
      <c r="L90" s="55">
        <v>24000.0</v>
      </c>
      <c r="M90" s="25">
        <v>1.19</v>
      </c>
      <c r="N90" s="48">
        <v>21000.0</v>
      </c>
      <c r="O90" s="27">
        <f t="shared" si="16"/>
        <v>0.2845902692</v>
      </c>
      <c r="P90" s="28">
        <f t="shared" si="17"/>
        <v>0</v>
      </c>
    </row>
    <row r="91" hidden="1">
      <c r="A91" s="16" t="s">
        <v>182</v>
      </c>
      <c r="B91" s="49"/>
      <c r="C91" s="38"/>
      <c r="D91" s="4"/>
      <c r="E91" s="19"/>
      <c r="F91" s="19"/>
      <c r="G91" s="40" t="s">
        <v>98</v>
      </c>
      <c r="H91" s="21">
        <v>0.0</v>
      </c>
      <c r="I91" s="22">
        <v>12.0</v>
      </c>
      <c r="J91" s="47"/>
      <c r="K91" s="55">
        <v>18683.0</v>
      </c>
      <c r="L91" s="55">
        <v>24000.0</v>
      </c>
      <c r="M91" s="25">
        <v>1.19</v>
      </c>
      <c r="N91" s="48">
        <v>21000.0</v>
      </c>
      <c r="O91" s="27">
        <f t="shared" si="16"/>
        <v>0.2845902692</v>
      </c>
      <c r="P91" s="28">
        <f t="shared" si="17"/>
        <v>0</v>
      </c>
    </row>
    <row r="92" hidden="1">
      <c r="A92" s="40" t="s">
        <v>183</v>
      </c>
      <c r="B92" s="49"/>
      <c r="C92" s="38"/>
      <c r="D92" s="4"/>
      <c r="E92" s="19"/>
      <c r="F92" s="19"/>
      <c r="G92" s="40" t="s">
        <v>98</v>
      </c>
      <c r="H92" s="21">
        <v>0.0</v>
      </c>
      <c r="I92" s="22">
        <v>7.0</v>
      </c>
      <c r="J92" s="47"/>
      <c r="K92" s="55">
        <v>18683.0</v>
      </c>
      <c r="L92" s="55">
        <v>24000.0</v>
      </c>
      <c r="M92" s="25">
        <v>1.19</v>
      </c>
      <c r="N92" s="48">
        <v>21000.0</v>
      </c>
      <c r="O92" s="27">
        <f t="shared" si="16"/>
        <v>0.2845902692</v>
      </c>
      <c r="P92" s="28">
        <f t="shared" si="17"/>
        <v>0</v>
      </c>
    </row>
    <row r="93" hidden="1">
      <c r="A93" s="16" t="s">
        <v>184</v>
      </c>
      <c r="B93" s="49"/>
      <c r="C93" s="38"/>
      <c r="D93" s="4"/>
      <c r="E93" s="19"/>
      <c r="F93" s="19"/>
      <c r="G93" s="40" t="s">
        <v>98</v>
      </c>
      <c r="H93" s="21">
        <v>0.0</v>
      </c>
      <c r="I93" s="22">
        <v>5.0</v>
      </c>
      <c r="J93" s="47"/>
      <c r="K93" s="55">
        <v>18683.0</v>
      </c>
      <c r="L93" s="55">
        <v>24000.0</v>
      </c>
      <c r="M93" s="25">
        <v>1.19</v>
      </c>
      <c r="N93" s="48">
        <v>21000.0</v>
      </c>
      <c r="O93" s="27">
        <f t="shared" si="16"/>
        <v>0.2845902692</v>
      </c>
      <c r="P93" s="28">
        <f t="shared" si="17"/>
        <v>0</v>
      </c>
    </row>
    <row r="94" hidden="1">
      <c r="A94" s="16" t="s">
        <v>185</v>
      </c>
      <c r="B94" s="49"/>
      <c r="C94" s="38"/>
      <c r="D94" s="4"/>
      <c r="E94" s="19"/>
      <c r="F94" s="19"/>
      <c r="G94" s="40" t="s">
        <v>98</v>
      </c>
      <c r="H94" s="21">
        <v>0.0</v>
      </c>
      <c r="I94" s="22">
        <v>4.0</v>
      </c>
      <c r="J94" s="94"/>
      <c r="K94" s="55">
        <v>18683.0</v>
      </c>
      <c r="L94" s="55">
        <v>24000.0</v>
      </c>
      <c r="M94" s="25">
        <v>1.19</v>
      </c>
      <c r="N94" s="48">
        <v>21000.0</v>
      </c>
      <c r="O94" s="27">
        <f t="shared" si="16"/>
        <v>0.2845902692</v>
      </c>
      <c r="P94" s="28">
        <f t="shared" si="17"/>
        <v>0</v>
      </c>
    </row>
    <row r="95" hidden="1">
      <c r="A95" s="40" t="s">
        <v>186</v>
      </c>
      <c r="B95" s="49"/>
      <c r="C95" s="38"/>
      <c r="D95" s="4"/>
      <c r="E95" s="19"/>
      <c r="F95" s="19"/>
      <c r="G95" s="40" t="s">
        <v>98</v>
      </c>
      <c r="H95" s="21">
        <v>0.0</v>
      </c>
      <c r="I95" s="22">
        <v>10.0</v>
      </c>
      <c r="J95" s="22"/>
      <c r="K95" s="48">
        <v>9639.0</v>
      </c>
      <c r="L95" s="55">
        <v>14000.0</v>
      </c>
      <c r="M95" s="25">
        <v>1.19</v>
      </c>
      <c r="N95" s="48">
        <v>12000.0</v>
      </c>
      <c r="O95" s="27">
        <f t="shared" si="16"/>
        <v>0.452432825</v>
      </c>
      <c r="P95" s="28">
        <f t="shared" si="17"/>
        <v>0</v>
      </c>
    </row>
    <row r="96" hidden="1">
      <c r="A96" s="16" t="s">
        <v>187</v>
      </c>
      <c r="B96" s="49"/>
      <c r="C96" s="38"/>
      <c r="D96" s="4"/>
      <c r="E96" s="19"/>
      <c r="F96" s="19"/>
      <c r="G96" s="40" t="s">
        <v>98</v>
      </c>
      <c r="H96" s="21">
        <v>0.0</v>
      </c>
      <c r="I96" s="22">
        <v>14.0</v>
      </c>
      <c r="J96" s="47"/>
      <c r="K96" s="48">
        <v>9639.0</v>
      </c>
      <c r="L96" s="55">
        <v>14000.0</v>
      </c>
      <c r="M96" s="25">
        <v>1.19</v>
      </c>
      <c r="N96" s="48">
        <v>12000.0</v>
      </c>
      <c r="O96" s="27">
        <f t="shared" si="16"/>
        <v>0.452432825</v>
      </c>
      <c r="P96" s="28">
        <f t="shared" si="17"/>
        <v>0</v>
      </c>
    </row>
    <row r="97" hidden="1">
      <c r="A97" s="40" t="s">
        <v>188</v>
      </c>
      <c r="B97" s="49"/>
      <c r="C97" s="38"/>
      <c r="D97" s="4"/>
      <c r="E97" s="19"/>
      <c r="F97" s="19"/>
      <c r="G97" s="40" t="s">
        <v>98</v>
      </c>
      <c r="H97" s="21">
        <v>0.0</v>
      </c>
      <c r="I97" s="22">
        <v>7.0</v>
      </c>
      <c r="J97" s="22"/>
      <c r="K97" s="48">
        <v>9639.0</v>
      </c>
      <c r="L97" s="55">
        <v>14000.0</v>
      </c>
      <c r="M97" s="25">
        <v>1.19</v>
      </c>
      <c r="N97" s="48">
        <v>12000.0</v>
      </c>
      <c r="O97" s="27">
        <f t="shared" si="16"/>
        <v>0.452432825</v>
      </c>
      <c r="P97" s="28">
        <f t="shared" si="17"/>
        <v>0</v>
      </c>
    </row>
    <row r="98" hidden="1">
      <c r="A98" s="16" t="s">
        <v>189</v>
      </c>
      <c r="B98" s="49"/>
      <c r="C98" s="38"/>
      <c r="D98" s="4"/>
      <c r="E98" s="19"/>
      <c r="F98" s="19"/>
      <c r="G98" s="40" t="s">
        <v>98</v>
      </c>
      <c r="H98" s="21">
        <v>0.0</v>
      </c>
      <c r="I98" s="22">
        <v>10.0</v>
      </c>
      <c r="J98" s="58"/>
      <c r="K98" s="48">
        <v>9639.0</v>
      </c>
      <c r="L98" s="55">
        <v>14000.0</v>
      </c>
      <c r="M98" s="25">
        <v>1.19</v>
      </c>
      <c r="N98" s="48">
        <v>12000.0</v>
      </c>
      <c r="O98" s="27">
        <f t="shared" si="16"/>
        <v>0.452432825</v>
      </c>
      <c r="P98" s="28">
        <f t="shared" si="17"/>
        <v>0</v>
      </c>
    </row>
    <row r="99" hidden="1">
      <c r="A99" s="16" t="s">
        <v>190</v>
      </c>
      <c r="B99" s="49"/>
      <c r="C99" s="38"/>
      <c r="D99" s="4"/>
      <c r="E99" s="19"/>
      <c r="F99" s="19"/>
      <c r="G99" s="40" t="s">
        <v>98</v>
      </c>
      <c r="H99" s="21">
        <v>0.0</v>
      </c>
      <c r="I99" s="22">
        <v>2.0</v>
      </c>
      <c r="J99" s="22" t="s">
        <v>191</v>
      </c>
      <c r="K99" s="55">
        <v>55167.0</v>
      </c>
      <c r="L99" s="55">
        <v>70000.0</v>
      </c>
      <c r="M99" s="72"/>
      <c r="N99" s="26">
        <v>64000.0</v>
      </c>
      <c r="O99" s="27">
        <f t="shared" si="16"/>
        <v>0.2688745083</v>
      </c>
      <c r="P99" s="28">
        <f t="shared" si="17"/>
        <v>0</v>
      </c>
    </row>
    <row r="100" hidden="1">
      <c r="A100" s="16" t="s">
        <v>192</v>
      </c>
      <c r="B100" s="49"/>
      <c r="C100" s="38"/>
      <c r="D100" s="4"/>
      <c r="E100" s="19"/>
      <c r="F100" s="19"/>
      <c r="G100" s="20" t="s">
        <v>98</v>
      </c>
      <c r="H100" s="21">
        <v>0.0</v>
      </c>
      <c r="I100" s="22">
        <v>1.0</v>
      </c>
      <c r="J100" s="47">
        <v>46508.0</v>
      </c>
      <c r="K100" s="95">
        <f>54400*1.19</f>
        <v>64736</v>
      </c>
      <c r="L100" s="55">
        <v>78000.0</v>
      </c>
      <c r="M100" s="96"/>
      <c r="N100" s="26">
        <v>72000.0</v>
      </c>
      <c r="O100" s="27">
        <f t="shared" si="16"/>
        <v>0.2048937222</v>
      </c>
      <c r="P100" s="28">
        <f t="shared" si="17"/>
        <v>0</v>
      </c>
    </row>
    <row r="101" hidden="1">
      <c r="A101" s="40" t="s">
        <v>193</v>
      </c>
      <c r="B101" s="49"/>
      <c r="C101" s="68"/>
      <c r="D101" s="4"/>
      <c r="E101" s="19"/>
      <c r="F101" s="19"/>
      <c r="G101" s="20" t="s">
        <v>194</v>
      </c>
      <c r="H101" s="21">
        <v>0.0</v>
      </c>
      <c r="I101" s="22">
        <v>53.0</v>
      </c>
      <c r="J101" s="47">
        <v>46508.0</v>
      </c>
      <c r="K101" s="55">
        <v>10948.0</v>
      </c>
      <c r="L101" s="55">
        <v>15000.0</v>
      </c>
      <c r="M101" s="96">
        <f>L101-K101</f>
        <v>4052</v>
      </c>
      <c r="N101" s="26">
        <v>12000.0</v>
      </c>
      <c r="O101" s="27">
        <f t="shared" si="16"/>
        <v>0.3701132627</v>
      </c>
      <c r="P101" s="28">
        <f t="shared" si="17"/>
        <v>0</v>
      </c>
    </row>
    <row r="102" hidden="1">
      <c r="A102" s="40" t="s">
        <v>195</v>
      </c>
      <c r="B102" s="49"/>
      <c r="C102" s="68"/>
      <c r="D102" s="4"/>
      <c r="E102" s="19"/>
      <c r="F102" s="19"/>
      <c r="G102" s="40" t="s">
        <v>98</v>
      </c>
      <c r="H102" s="21">
        <v>0.0</v>
      </c>
      <c r="I102" s="22">
        <v>6.0</v>
      </c>
      <c r="J102" s="47">
        <v>46539.0</v>
      </c>
      <c r="K102" s="55">
        <v>18564.0</v>
      </c>
      <c r="L102" s="55">
        <v>27000.0</v>
      </c>
      <c r="M102" s="96"/>
      <c r="N102" s="48">
        <v>23000.0</v>
      </c>
      <c r="O102" s="27">
        <f t="shared" si="16"/>
        <v>0.454427925</v>
      </c>
      <c r="P102" s="28">
        <f t="shared" si="17"/>
        <v>0</v>
      </c>
    </row>
    <row r="103" hidden="1">
      <c r="A103" s="40" t="s">
        <v>196</v>
      </c>
      <c r="B103" s="49"/>
      <c r="C103" s="68"/>
      <c r="D103" s="4"/>
      <c r="E103" s="19"/>
      <c r="F103" s="19"/>
      <c r="G103" s="20" t="s">
        <v>98</v>
      </c>
      <c r="H103" s="21">
        <v>0.0</v>
      </c>
      <c r="I103" s="22">
        <v>3.0</v>
      </c>
      <c r="J103" s="47">
        <v>46478.0</v>
      </c>
      <c r="K103" s="55">
        <v>34391.0</v>
      </c>
      <c r="L103" s="55">
        <v>46000.0</v>
      </c>
      <c r="M103" s="96"/>
      <c r="N103" s="48">
        <v>39000.0</v>
      </c>
      <c r="O103" s="27">
        <f t="shared" si="16"/>
        <v>0.3375592452</v>
      </c>
      <c r="P103" s="28">
        <f t="shared" si="17"/>
        <v>0</v>
      </c>
    </row>
    <row r="104" hidden="1">
      <c r="A104" s="16" t="s">
        <v>197</v>
      </c>
      <c r="B104" s="49"/>
      <c r="C104" s="68"/>
      <c r="D104" s="4"/>
      <c r="E104" s="19"/>
      <c r="F104" s="19"/>
      <c r="G104" s="40" t="s">
        <v>98</v>
      </c>
      <c r="H104" s="21">
        <v>0.0</v>
      </c>
      <c r="I104" s="22">
        <v>0.0</v>
      </c>
      <c r="J104" s="47">
        <v>46508.0</v>
      </c>
      <c r="K104" s="55">
        <f>5400*1.19</f>
        <v>6426</v>
      </c>
      <c r="L104" s="55">
        <v>11000.0</v>
      </c>
      <c r="M104" s="96">
        <f>L104-K104</f>
        <v>4574</v>
      </c>
      <c r="N104" s="26">
        <v>9000.0</v>
      </c>
      <c r="O104" s="27">
        <f t="shared" si="16"/>
        <v>0.7117958294</v>
      </c>
      <c r="P104" s="28">
        <f t="shared" si="17"/>
        <v>0</v>
      </c>
    </row>
    <row r="105" hidden="1">
      <c r="A105" s="16" t="s">
        <v>198</v>
      </c>
      <c r="B105" s="49"/>
      <c r="C105" s="38"/>
      <c r="D105" s="4"/>
      <c r="E105" s="19"/>
      <c r="F105" s="19"/>
      <c r="G105" s="40" t="s">
        <v>98</v>
      </c>
      <c r="H105" s="21">
        <v>0.0</v>
      </c>
      <c r="I105" s="22"/>
      <c r="J105" s="29"/>
      <c r="K105" s="48">
        <f>L109/8</f>
        <v>9000</v>
      </c>
      <c r="L105" s="55">
        <v>12000.0</v>
      </c>
      <c r="M105" s="72"/>
      <c r="N105" s="26"/>
      <c r="O105" s="27">
        <f t="shared" si="16"/>
        <v>0.3333333333</v>
      </c>
      <c r="P105" s="28">
        <f t="shared" si="17"/>
        <v>0</v>
      </c>
    </row>
    <row r="106" hidden="1">
      <c r="A106" s="16" t="s">
        <v>199</v>
      </c>
      <c r="B106" s="49"/>
      <c r="C106" s="68"/>
      <c r="D106" s="4"/>
      <c r="E106" s="19"/>
      <c r="F106" s="19"/>
      <c r="G106" s="20" t="s">
        <v>200</v>
      </c>
      <c r="H106" s="21">
        <v>0.0</v>
      </c>
      <c r="I106" s="22">
        <v>1.0</v>
      </c>
      <c r="J106" s="47">
        <v>46784.0</v>
      </c>
      <c r="K106" s="55">
        <v>55167.0</v>
      </c>
      <c r="L106" s="55">
        <v>70000.0</v>
      </c>
      <c r="M106" s="72"/>
      <c r="N106" s="26">
        <v>64000.0</v>
      </c>
      <c r="O106" s="27">
        <f t="shared" si="16"/>
        <v>0.2688745083</v>
      </c>
      <c r="P106" s="28">
        <f t="shared" si="17"/>
        <v>0</v>
      </c>
    </row>
    <row r="107" hidden="1">
      <c r="A107" s="16" t="s">
        <v>201</v>
      </c>
      <c r="B107" s="49"/>
      <c r="C107" s="38"/>
      <c r="D107" s="4"/>
      <c r="E107" s="19"/>
      <c r="F107" s="19"/>
      <c r="G107" s="40" t="s">
        <v>98</v>
      </c>
      <c r="H107" s="21">
        <v>0.0</v>
      </c>
      <c r="I107" s="22">
        <v>1.0</v>
      </c>
      <c r="J107" s="29"/>
      <c r="K107" s="24">
        <v>101745.0</v>
      </c>
      <c r="L107" s="24">
        <v>130000.0</v>
      </c>
      <c r="M107" s="72"/>
      <c r="N107" s="26"/>
      <c r="O107" s="27">
        <f t="shared" si="16"/>
        <v>0.2777040641</v>
      </c>
      <c r="P107" s="28">
        <f t="shared" si="17"/>
        <v>0</v>
      </c>
    </row>
    <row r="108" hidden="1">
      <c r="A108" s="16" t="s">
        <v>202</v>
      </c>
      <c r="B108" s="49"/>
      <c r="C108" s="68"/>
      <c r="D108" s="4"/>
      <c r="E108" s="19"/>
      <c r="F108" s="19"/>
      <c r="G108" s="40" t="s">
        <v>98</v>
      </c>
      <c r="H108" s="21">
        <v>0.0</v>
      </c>
      <c r="I108" s="22">
        <v>4.0</v>
      </c>
      <c r="J108" s="47">
        <v>46844.0</v>
      </c>
      <c r="K108" s="55">
        <v>55167.0</v>
      </c>
      <c r="L108" s="55">
        <v>70000.0</v>
      </c>
      <c r="M108" s="72"/>
      <c r="N108" s="26">
        <v>64000.0</v>
      </c>
      <c r="O108" s="27">
        <f t="shared" si="16"/>
        <v>0.2688745083</v>
      </c>
      <c r="P108" s="28">
        <f t="shared" si="17"/>
        <v>0</v>
      </c>
    </row>
    <row r="109" hidden="1">
      <c r="A109" s="16" t="s">
        <v>203</v>
      </c>
      <c r="B109" s="49"/>
      <c r="C109" s="38"/>
      <c r="D109" s="4"/>
      <c r="E109" s="19"/>
      <c r="F109" s="19"/>
      <c r="G109" s="40" t="s">
        <v>98</v>
      </c>
      <c r="H109" s="21">
        <v>0.0</v>
      </c>
      <c r="I109" s="22"/>
      <c r="J109" s="47">
        <v>46874.0</v>
      </c>
      <c r="K109" s="55">
        <f t="shared" ref="K109:K110" si="18">47300*1.19</f>
        <v>56287</v>
      </c>
      <c r="L109" s="55">
        <v>72000.0</v>
      </c>
      <c r="M109" s="72"/>
      <c r="N109" s="26"/>
      <c r="O109" s="27">
        <f t="shared" si="16"/>
        <v>0.2791585979</v>
      </c>
      <c r="P109" s="28">
        <f t="shared" si="17"/>
        <v>0</v>
      </c>
    </row>
    <row r="110" hidden="1">
      <c r="A110" s="16" t="s">
        <v>204</v>
      </c>
      <c r="B110" s="49"/>
      <c r="C110" s="38"/>
      <c r="D110" s="4"/>
      <c r="E110" s="19"/>
      <c r="F110" s="19"/>
      <c r="G110" s="40" t="s">
        <v>98</v>
      </c>
      <c r="H110" s="21">
        <v>0.0</v>
      </c>
      <c r="I110" s="22">
        <v>1.0</v>
      </c>
      <c r="J110" s="47">
        <v>46874.0</v>
      </c>
      <c r="K110" s="55">
        <f t="shared" si="18"/>
        <v>56287</v>
      </c>
      <c r="L110" s="55">
        <v>72000.0</v>
      </c>
      <c r="M110" s="72"/>
      <c r="N110" s="26"/>
      <c r="O110" s="27">
        <f t="shared" si="16"/>
        <v>0.2791585979</v>
      </c>
      <c r="P110" s="28">
        <f t="shared" si="17"/>
        <v>0</v>
      </c>
    </row>
    <row r="111" hidden="1">
      <c r="A111" s="40" t="s">
        <v>205</v>
      </c>
      <c r="B111" s="49"/>
      <c r="C111" s="38"/>
      <c r="D111" s="4"/>
      <c r="E111" s="19"/>
      <c r="F111" s="19"/>
      <c r="G111" s="40" t="s">
        <v>98</v>
      </c>
      <c r="H111" s="21">
        <v>0.0</v>
      </c>
      <c r="I111" s="22">
        <v>2.0</v>
      </c>
      <c r="J111" s="47"/>
      <c r="K111" s="48">
        <v>18683.0</v>
      </c>
      <c r="L111" s="48">
        <v>24000.0</v>
      </c>
      <c r="M111" s="25">
        <v>1.19</v>
      </c>
      <c r="N111" s="48">
        <v>22000.0</v>
      </c>
      <c r="O111" s="27">
        <f t="shared" si="16"/>
        <v>0.2845902692</v>
      </c>
      <c r="P111" s="28">
        <f t="shared" si="17"/>
        <v>0</v>
      </c>
    </row>
    <row r="112" hidden="1">
      <c r="A112" s="16" t="s">
        <v>206</v>
      </c>
      <c r="B112" s="49"/>
      <c r="C112" s="38"/>
      <c r="D112" s="4"/>
      <c r="E112" s="19"/>
      <c r="F112" s="19"/>
      <c r="G112" s="40" t="s">
        <v>98</v>
      </c>
      <c r="H112" s="21">
        <v>0.0</v>
      </c>
      <c r="I112" s="22">
        <v>3.0</v>
      </c>
      <c r="J112" s="22"/>
      <c r="K112" s="48">
        <v>18683.0</v>
      </c>
      <c r="L112" s="48">
        <v>24000.0</v>
      </c>
      <c r="M112" s="25">
        <v>1.19</v>
      </c>
      <c r="N112" s="48">
        <v>22000.0</v>
      </c>
      <c r="O112" s="27">
        <f t="shared" si="16"/>
        <v>0.2845902692</v>
      </c>
      <c r="P112" s="28">
        <f t="shared" si="17"/>
        <v>0</v>
      </c>
    </row>
    <row r="113" hidden="1">
      <c r="A113" s="40" t="s">
        <v>207</v>
      </c>
      <c r="B113" s="49"/>
      <c r="C113" s="38"/>
      <c r="D113" s="4"/>
      <c r="E113" s="19"/>
      <c r="F113" s="19"/>
      <c r="G113" s="40" t="s">
        <v>98</v>
      </c>
      <c r="H113" s="21">
        <v>0.0</v>
      </c>
      <c r="I113" s="22">
        <v>3.0</v>
      </c>
      <c r="J113" s="29"/>
      <c r="K113" s="48">
        <v>18683.0</v>
      </c>
      <c r="L113" s="48">
        <v>24000.0</v>
      </c>
      <c r="M113" s="25">
        <v>1.19</v>
      </c>
      <c r="N113" s="48">
        <v>22000.0</v>
      </c>
      <c r="O113" s="27">
        <f t="shared" si="16"/>
        <v>0.2845902692</v>
      </c>
      <c r="P113" s="28">
        <f t="shared" si="17"/>
        <v>0</v>
      </c>
    </row>
    <row r="114" hidden="1">
      <c r="A114" s="16" t="s">
        <v>208</v>
      </c>
      <c r="B114" s="49"/>
      <c r="C114" s="38" t="s">
        <v>209</v>
      </c>
      <c r="D114" s="4"/>
      <c r="E114" s="19"/>
      <c r="F114" s="19"/>
      <c r="G114" s="40" t="s">
        <v>98</v>
      </c>
      <c r="H114" s="21">
        <v>0.0</v>
      </c>
      <c r="I114" s="22">
        <v>6.0</v>
      </c>
      <c r="J114" s="47"/>
      <c r="K114" s="55">
        <v>18683.0</v>
      </c>
      <c r="L114" s="55">
        <v>24000.0</v>
      </c>
      <c r="M114" s="25">
        <v>1.19</v>
      </c>
      <c r="N114" s="48">
        <v>21000.0</v>
      </c>
      <c r="O114" s="27">
        <f t="shared" si="16"/>
        <v>0.2845902692</v>
      </c>
      <c r="P114" s="28">
        <f t="shared" si="17"/>
        <v>0</v>
      </c>
    </row>
    <row r="115" hidden="1">
      <c r="A115" s="40" t="s">
        <v>210</v>
      </c>
      <c r="B115" s="49"/>
      <c r="C115" s="38"/>
      <c r="D115" s="4"/>
      <c r="E115" s="19"/>
      <c r="F115" s="19"/>
      <c r="G115" s="40" t="s">
        <v>98</v>
      </c>
      <c r="H115" s="21">
        <v>0.0</v>
      </c>
      <c r="I115" s="22">
        <v>3.0</v>
      </c>
      <c r="J115" s="47"/>
      <c r="K115" s="55">
        <v>18683.0</v>
      </c>
      <c r="L115" s="55">
        <v>24000.0</v>
      </c>
      <c r="M115" s="25">
        <v>1.19</v>
      </c>
      <c r="N115" s="48">
        <v>21000.0</v>
      </c>
      <c r="O115" s="27">
        <f t="shared" si="16"/>
        <v>0.2845902692</v>
      </c>
      <c r="P115" s="28">
        <f t="shared" si="17"/>
        <v>0</v>
      </c>
    </row>
    <row r="116" hidden="1">
      <c r="A116" s="40" t="s">
        <v>211</v>
      </c>
      <c r="B116" s="49"/>
      <c r="C116" s="38"/>
      <c r="D116" s="4"/>
      <c r="E116" s="19"/>
      <c r="F116" s="19"/>
      <c r="G116" s="40" t="s">
        <v>98</v>
      </c>
      <c r="H116" s="21">
        <v>0.0</v>
      </c>
      <c r="I116" s="22">
        <v>5.0</v>
      </c>
      <c r="J116" s="22"/>
      <c r="K116" s="55">
        <v>18683.0</v>
      </c>
      <c r="L116" s="55">
        <v>24000.0</v>
      </c>
      <c r="M116" s="25">
        <v>1.19</v>
      </c>
      <c r="N116" s="48">
        <v>21000.0</v>
      </c>
      <c r="O116" s="27">
        <f t="shared" si="16"/>
        <v>0.2845902692</v>
      </c>
      <c r="P116" s="28">
        <f t="shared" si="17"/>
        <v>0</v>
      </c>
    </row>
    <row r="117" hidden="1">
      <c r="A117" s="40" t="s">
        <v>212</v>
      </c>
      <c r="B117" s="49"/>
      <c r="C117" s="38"/>
      <c r="D117" s="4"/>
      <c r="E117" s="19"/>
      <c r="F117" s="19"/>
      <c r="G117" s="40" t="s">
        <v>98</v>
      </c>
      <c r="H117" s="21">
        <v>0.0</v>
      </c>
      <c r="I117" s="22">
        <v>3.0</v>
      </c>
      <c r="J117" s="23"/>
      <c r="K117" s="55">
        <v>18683.0</v>
      </c>
      <c r="L117" s="55">
        <v>24000.0</v>
      </c>
      <c r="M117" s="25">
        <v>1.19</v>
      </c>
      <c r="N117" s="48">
        <v>21000.0</v>
      </c>
      <c r="O117" s="27">
        <f t="shared" si="16"/>
        <v>0.2845902692</v>
      </c>
      <c r="P117" s="28">
        <f t="shared" si="17"/>
        <v>0</v>
      </c>
    </row>
    <row r="118" hidden="1">
      <c r="A118" s="40" t="s">
        <v>213</v>
      </c>
      <c r="B118" s="49"/>
      <c r="C118" s="38"/>
      <c r="D118" s="4"/>
      <c r="E118" s="19"/>
      <c r="F118" s="19"/>
      <c r="G118" s="40" t="s">
        <v>98</v>
      </c>
      <c r="H118" s="21">
        <v>0.0</v>
      </c>
      <c r="I118" s="22">
        <v>4.0</v>
      </c>
      <c r="J118" s="22"/>
      <c r="K118" s="55">
        <v>18683.0</v>
      </c>
      <c r="L118" s="55">
        <v>24000.0</v>
      </c>
      <c r="M118" s="25">
        <v>1.19</v>
      </c>
      <c r="N118" s="48">
        <v>21000.0</v>
      </c>
      <c r="O118" s="27">
        <f t="shared" si="16"/>
        <v>0.2845902692</v>
      </c>
      <c r="P118" s="28">
        <f t="shared" si="17"/>
        <v>0</v>
      </c>
    </row>
    <row r="119" hidden="1">
      <c r="A119" s="40" t="s">
        <v>214</v>
      </c>
      <c r="B119" s="49"/>
      <c r="C119" s="38" t="s">
        <v>209</v>
      </c>
      <c r="D119" s="4"/>
      <c r="E119" s="19"/>
      <c r="F119" s="19"/>
      <c r="G119" s="40" t="s">
        <v>98</v>
      </c>
      <c r="H119" s="21">
        <v>0.0</v>
      </c>
      <c r="I119" s="22">
        <v>6.0</v>
      </c>
      <c r="J119" s="47"/>
      <c r="K119" s="55">
        <v>18683.0</v>
      </c>
      <c r="L119" s="55">
        <v>24000.0</v>
      </c>
      <c r="M119" s="25">
        <v>1.19</v>
      </c>
      <c r="N119" s="48">
        <v>21000.0</v>
      </c>
      <c r="O119" s="27">
        <f t="shared" si="16"/>
        <v>0.2845902692</v>
      </c>
      <c r="P119" s="28">
        <f t="shared" si="17"/>
        <v>0</v>
      </c>
    </row>
    <row r="120" hidden="1">
      <c r="A120" s="40" t="s">
        <v>215</v>
      </c>
      <c r="B120" s="49"/>
      <c r="C120" s="38"/>
      <c r="D120" s="4"/>
      <c r="E120" s="19"/>
      <c r="F120" s="19"/>
      <c r="G120" s="40" t="s">
        <v>98</v>
      </c>
      <c r="H120" s="21">
        <v>0.0</v>
      </c>
      <c r="I120" s="22">
        <v>0.0</v>
      </c>
      <c r="J120" s="22"/>
      <c r="K120" s="48">
        <v>9639.0</v>
      </c>
      <c r="L120" s="55">
        <v>14000.0</v>
      </c>
      <c r="M120" s="25">
        <v>1.19</v>
      </c>
      <c r="N120" s="48">
        <v>12000.0</v>
      </c>
      <c r="O120" s="27">
        <f t="shared" si="16"/>
        <v>0.452432825</v>
      </c>
      <c r="P120" s="28">
        <f t="shared" si="17"/>
        <v>0</v>
      </c>
    </row>
    <row r="121" hidden="1">
      <c r="A121" s="16" t="s">
        <v>216</v>
      </c>
      <c r="B121" s="49"/>
      <c r="C121" s="38"/>
      <c r="D121" s="4"/>
      <c r="E121" s="19"/>
      <c r="F121" s="19"/>
      <c r="G121" s="40" t="s">
        <v>98</v>
      </c>
      <c r="H121" s="21">
        <v>0.0</v>
      </c>
      <c r="I121" s="22">
        <v>7.0</v>
      </c>
      <c r="J121" s="47"/>
      <c r="K121" s="48">
        <v>9639.0</v>
      </c>
      <c r="L121" s="55">
        <v>14000.0</v>
      </c>
      <c r="M121" s="25">
        <v>1.19</v>
      </c>
      <c r="N121" s="48">
        <v>12000.0</v>
      </c>
      <c r="O121" s="27">
        <f t="shared" si="16"/>
        <v>0.452432825</v>
      </c>
      <c r="P121" s="28">
        <f t="shared" si="17"/>
        <v>0</v>
      </c>
    </row>
    <row r="122" hidden="1">
      <c r="A122" s="40" t="s">
        <v>217</v>
      </c>
      <c r="B122" s="49"/>
      <c r="C122" s="38"/>
      <c r="D122" s="4"/>
      <c r="E122" s="19"/>
      <c r="F122" s="19"/>
      <c r="G122" s="40" t="s">
        <v>98</v>
      </c>
      <c r="H122" s="21">
        <v>0.0</v>
      </c>
      <c r="I122" s="22">
        <v>0.0</v>
      </c>
      <c r="J122" s="47"/>
      <c r="K122" s="48">
        <v>9639.0</v>
      </c>
      <c r="L122" s="55">
        <v>14000.0</v>
      </c>
      <c r="M122" s="25">
        <v>1.19</v>
      </c>
      <c r="N122" s="48">
        <v>12000.0</v>
      </c>
      <c r="O122" s="27">
        <f t="shared" si="16"/>
        <v>0.452432825</v>
      </c>
      <c r="P122" s="28">
        <f t="shared" si="17"/>
        <v>0</v>
      </c>
    </row>
    <row r="123" hidden="1">
      <c r="A123" s="16" t="s">
        <v>218</v>
      </c>
      <c r="B123" s="49"/>
      <c r="C123" s="38"/>
      <c r="D123" s="4"/>
      <c r="E123" s="19" t="s">
        <v>219</v>
      </c>
      <c r="F123" s="19"/>
      <c r="G123" s="40" t="s">
        <v>98</v>
      </c>
      <c r="H123" s="21">
        <v>0.0</v>
      </c>
      <c r="I123" s="22">
        <v>10.0</v>
      </c>
      <c r="J123" s="58"/>
      <c r="K123" s="48">
        <v>9639.0</v>
      </c>
      <c r="L123" s="55">
        <v>14000.0</v>
      </c>
      <c r="M123" s="25">
        <v>1.19</v>
      </c>
      <c r="N123" s="48">
        <v>12000.0</v>
      </c>
      <c r="O123" s="27">
        <f t="shared" si="16"/>
        <v>0.452432825</v>
      </c>
      <c r="P123" s="28">
        <f t="shared" si="17"/>
        <v>0</v>
      </c>
    </row>
    <row r="124" hidden="1">
      <c r="A124" s="40" t="s">
        <v>220</v>
      </c>
      <c r="B124" s="49"/>
      <c r="C124" s="38"/>
      <c r="D124" s="4"/>
      <c r="E124" s="19"/>
      <c r="F124" s="19"/>
      <c r="G124" s="40" t="s">
        <v>98</v>
      </c>
      <c r="H124" s="21">
        <v>0.0</v>
      </c>
      <c r="I124" s="22">
        <v>1.0</v>
      </c>
      <c r="J124" s="47">
        <v>46508.0</v>
      </c>
      <c r="K124" s="55">
        <v>55167.0</v>
      </c>
      <c r="L124" s="55">
        <v>70000.0</v>
      </c>
      <c r="M124" s="25"/>
      <c r="N124" s="26">
        <v>64000.0</v>
      </c>
      <c r="O124" s="27">
        <f t="shared" si="16"/>
        <v>0.2688745083</v>
      </c>
      <c r="P124" s="28">
        <f t="shared" si="17"/>
        <v>0</v>
      </c>
    </row>
    <row r="125" hidden="1">
      <c r="A125" s="40" t="s">
        <v>221</v>
      </c>
      <c r="B125" s="49"/>
      <c r="C125" s="38"/>
      <c r="D125" s="4"/>
      <c r="E125" s="19"/>
      <c r="F125" s="19"/>
      <c r="G125" s="20" t="s">
        <v>98</v>
      </c>
      <c r="H125" s="21">
        <v>0.0</v>
      </c>
      <c r="I125" s="22">
        <v>1.0</v>
      </c>
      <c r="J125" s="47">
        <v>46966.0</v>
      </c>
      <c r="K125" s="55">
        <v>55167.0</v>
      </c>
      <c r="L125" s="55">
        <v>70000.0</v>
      </c>
      <c r="M125" s="25"/>
      <c r="N125" s="26">
        <v>64000.0</v>
      </c>
      <c r="O125" s="27">
        <f t="shared" si="16"/>
        <v>0.2688745083</v>
      </c>
      <c r="P125" s="28">
        <f t="shared" si="17"/>
        <v>0</v>
      </c>
    </row>
    <row r="126" hidden="1">
      <c r="A126" s="40" t="s">
        <v>222</v>
      </c>
      <c r="B126" s="49"/>
      <c r="C126" s="38"/>
      <c r="D126" s="4"/>
      <c r="E126" s="19"/>
      <c r="F126" s="19"/>
      <c r="G126" s="40" t="s">
        <v>98</v>
      </c>
      <c r="H126" s="21">
        <v>0.0</v>
      </c>
      <c r="I126" s="22">
        <v>6.0</v>
      </c>
      <c r="J126" s="23"/>
      <c r="K126" s="55">
        <v>10948.0</v>
      </c>
      <c r="L126" s="55">
        <v>15000.0</v>
      </c>
      <c r="M126" s="78"/>
      <c r="N126" s="26"/>
      <c r="O126" s="27">
        <f t="shared" si="16"/>
        <v>0.3701132627</v>
      </c>
      <c r="P126" s="28">
        <f t="shared" si="17"/>
        <v>0</v>
      </c>
    </row>
    <row r="127" hidden="1">
      <c r="A127" s="40" t="s">
        <v>223</v>
      </c>
      <c r="B127" s="49"/>
      <c r="C127" s="38"/>
      <c r="D127" s="4"/>
      <c r="E127" s="19"/>
      <c r="F127" s="19"/>
      <c r="G127" s="40" t="s">
        <v>98</v>
      </c>
      <c r="H127" s="21">
        <v>0.0</v>
      </c>
      <c r="I127" s="22">
        <v>0.0</v>
      </c>
      <c r="J127" s="47">
        <v>46905.0</v>
      </c>
      <c r="K127" s="55">
        <v>18564.0</v>
      </c>
      <c r="L127" s="55">
        <v>27000.0</v>
      </c>
      <c r="M127" s="78"/>
      <c r="N127" s="48">
        <v>23000.0</v>
      </c>
      <c r="O127" s="27">
        <f t="shared" si="16"/>
        <v>0.454427925</v>
      </c>
      <c r="P127" s="28">
        <f t="shared" si="17"/>
        <v>0</v>
      </c>
    </row>
    <row r="128" hidden="1">
      <c r="A128" s="16" t="s">
        <v>224</v>
      </c>
      <c r="B128" s="49"/>
      <c r="C128" s="68"/>
      <c r="D128" s="4"/>
      <c r="E128" s="19"/>
      <c r="F128" s="19"/>
      <c r="G128" s="20" t="s">
        <v>98</v>
      </c>
      <c r="H128" s="21">
        <v>0.0</v>
      </c>
      <c r="I128" s="22">
        <v>1.0</v>
      </c>
      <c r="J128" s="23"/>
      <c r="K128" s="55">
        <v>34391.0</v>
      </c>
      <c r="L128" s="55">
        <v>46000.0</v>
      </c>
      <c r="M128" s="78"/>
      <c r="N128" s="26"/>
      <c r="O128" s="27">
        <f t="shared" si="16"/>
        <v>0.3375592452</v>
      </c>
      <c r="P128" s="28">
        <f t="shared" si="17"/>
        <v>0</v>
      </c>
    </row>
    <row r="129" hidden="1">
      <c r="A129" s="16" t="s">
        <v>225</v>
      </c>
      <c r="B129" s="49"/>
      <c r="C129" s="38"/>
      <c r="D129" s="4"/>
      <c r="E129" s="19"/>
      <c r="F129" s="19"/>
      <c r="G129" s="40" t="s">
        <v>98</v>
      </c>
      <c r="H129" s="21">
        <v>0.0</v>
      </c>
      <c r="I129" s="22">
        <v>13.0</v>
      </c>
      <c r="J129" s="23"/>
      <c r="K129" s="55">
        <f>5400*1.19</f>
        <v>6426</v>
      </c>
      <c r="L129" s="55">
        <v>11000.0</v>
      </c>
      <c r="M129" s="78"/>
      <c r="N129" s="26">
        <v>9000.0</v>
      </c>
      <c r="O129" s="27">
        <f t="shared" si="16"/>
        <v>0.7117958294</v>
      </c>
      <c r="P129" s="28">
        <f t="shared" si="17"/>
        <v>0</v>
      </c>
    </row>
    <row r="130" hidden="1">
      <c r="A130" s="16" t="s">
        <v>226</v>
      </c>
      <c r="B130" s="36"/>
      <c r="C130" s="38"/>
      <c r="D130" s="4"/>
      <c r="E130" s="19"/>
      <c r="F130" s="19"/>
      <c r="G130" s="16" t="s">
        <v>200</v>
      </c>
      <c r="H130" s="21">
        <v>0.0</v>
      </c>
      <c r="I130" s="22">
        <v>0.0</v>
      </c>
      <c r="J130" s="23"/>
      <c r="K130" s="55">
        <v>15470.0</v>
      </c>
      <c r="L130" s="55">
        <v>25000.0</v>
      </c>
      <c r="M130" s="25">
        <v>1.19</v>
      </c>
      <c r="N130" s="48">
        <v>20000.0</v>
      </c>
      <c r="O130" s="27">
        <f t="shared" si="16"/>
        <v>0.6160310278</v>
      </c>
      <c r="P130" s="28">
        <f t="shared" si="17"/>
        <v>0</v>
      </c>
    </row>
    <row r="131" hidden="1">
      <c r="A131" s="16" t="s">
        <v>227</v>
      </c>
      <c r="B131" s="36"/>
      <c r="C131" s="38"/>
      <c r="D131" s="4"/>
      <c r="E131" s="19"/>
      <c r="F131" s="19"/>
      <c r="G131" s="16" t="s">
        <v>200</v>
      </c>
      <c r="H131" s="21">
        <v>0.0</v>
      </c>
      <c r="I131" s="22">
        <v>0.0</v>
      </c>
      <c r="J131" s="23"/>
      <c r="K131" s="55">
        <v>29750.0</v>
      </c>
      <c r="L131" s="55">
        <v>40000.0</v>
      </c>
      <c r="M131" s="25">
        <v>1.19</v>
      </c>
      <c r="N131" s="48">
        <v>35000.0</v>
      </c>
      <c r="O131" s="27">
        <f t="shared" si="16"/>
        <v>0.3445378151</v>
      </c>
      <c r="P131" s="28">
        <f t="shared" si="17"/>
        <v>0</v>
      </c>
    </row>
    <row r="132" hidden="1">
      <c r="A132" s="16" t="s">
        <v>228</v>
      </c>
      <c r="B132" s="17"/>
      <c r="C132" s="18"/>
      <c r="D132" s="4"/>
      <c r="E132" s="19"/>
      <c r="F132" s="19"/>
      <c r="G132" s="16" t="s">
        <v>229</v>
      </c>
      <c r="H132" s="21"/>
      <c r="I132" s="22"/>
      <c r="J132" s="29"/>
      <c r="K132" s="48"/>
      <c r="L132" s="55"/>
      <c r="M132" s="25"/>
      <c r="N132" s="26"/>
      <c r="O132" s="27"/>
      <c r="P132" s="28"/>
    </row>
    <row r="133" hidden="1">
      <c r="A133" s="59" t="s">
        <v>230</v>
      </c>
      <c r="B133" s="97"/>
      <c r="C133" s="18"/>
      <c r="D133" s="98"/>
      <c r="E133" s="19">
        <v>0.0</v>
      </c>
      <c r="F133" s="19">
        <v>0.0</v>
      </c>
      <c r="G133" s="20" t="s">
        <v>231</v>
      </c>
      <c r="H133" s="99"/>
      <c r="I133" s="22"/>
      <c r="J133" s="100"/>
      <c r="K133" s="101">
        <v>25000.0</v>
      </c>
      <c r="L133" s="101">
        <v>50000.0</v>
      </c>
      <c r="M133" s="25"/>
      <c r="N133" s="102"/>
      <c r="O133" s="27"/>
      <c r="P133" s="28"/>
    </row>
    <row r="134" hidden="1">
      <c r="A134" s="16" t="s">
        <v>232</v>
      </c>
      <c r="B134" s="16" t="s">
        <v>233</v>
      </c>
      <c r="C134" s="103"/>
      <c r="D134" s="41"/>
      <c r="E134" s="19">
        <v>0.0</v>
      </c>
      <c r="F134" s="19">
        <v>0.0</v>
      </c>
      <c r="G134" s="16" t="s">
        <v>234</v>
      </c>
      <c r="H134" s="21"/>
      <c r="I134" s="22"/>
      <c r="J134" s="47">
        <v>46174.0</v>
      </c>
      <c r="K134" s="32">
        <f>72750*1.19</f>
        <v>86572.5</v>
      </c>
      <c r="L134" s="24">
        <v>110000.0</v>
      </c>
      <c r="M134" s="25"/>
      <c r="N134" s="26"/>
      <c r="O134" s="27">
        <f t="shared" ref="O134:O149" si="19">(L134/K134)-1</f>
        <v>0.2706113373</v>
      </c>
      <c r="P134" s="28">
        <f t="shared" ref="P134:P136" si="20">K134*F134</f>
        <v>0</v>
      </c>
    </row>
    <row r="135" hidden="1">
      <c r="A135" s="16" t="s">
        <v>235</v>
      </c>
      <c r="B135" s="17" t="s">
        <v>236</v>
      </c>
      <c r="C135" s="103" t="s">
        <v>237</v>
      </c>
      <c r="D135" s="4"/>
      <c r="E135" s="19">
        <v>0.0</v>
      </c>
      <c r="F135" s="19">
        <v>0.0</v>
      </c>
      <c r="G135" s="16" t="s">
        <v>238</v>
      </c>
      <c r="H135" s="21"/>
      <c r="I135" s="22"/>
      <c r="J135" s="47">
        <v>46082.0</v>
      </c>
      <c r="K135" s="48">
        <v>124000.0</v>
      </c>
      <c r="L135" s="48">
        <v>170000.0</v>
      </c>
      <c r="M135" s="25"/>
      <c r="N135" s="50">
        <v>150000.0</v>
      </c>
      <c r="O135" s="27">
        <f t="shared" si="19"/>
        <v>0.3709677419</v>
      </c>
      <c r="P135" s="28">
        <f t="shared" si="20"/>
        <v>0</v>
      </c>
    </row>
    <row r="136" hidden="1">
      <c r="A136" s="16" t="s">
        <v>239</v>
      </c>
      <c r="B136" s="17"/>
      <c r="C136" s="18"/>
      <c r="D136" s="41"/>
      <c r="E136" s="19">
        <v>0.0</v>
      </c>
      <c r="F136" s="19">
        <v>0.0</v>
      </c>
      <c r="G136" s="16" t="s">
        <v>238</v>
      </c>
      <c r="H136" s="21"/>
      <c r="I136" s="22"/>
      <c r="J136" s="22" t="s">
        <v>240</v>
      </c>
      <c r="K136" s="48">
        <v>140000.0</v>
      </c>
      <c r="L136" s="48">
        <v>190000.0</v>
      </c>
      <c r="M136" s="25"/>
      <c r="N136" s="26">
        <v>175000.0</v>
      </c>
      <c r="O136" s="27">
        <f t="shared" si="19"/>
        <v>0.3571428571</v>
      </c>
      <c r="P136" s="28">
        <f t="shared" si="20"/>
        <v>0</v>
      </c>
    </row>
    <row r="137" hidden="1">
      <c r="A137" s="16" t="s">
        <v>241</v>
      </c>
      <c r="B137" s="36" t="s">
        <v>242</v>
      </c>
      <c r="C137" s="104"/>
      <c r="D137" s="4"/>
      <c r="E137" s="19">
        <v>0.0</v>
      </c>
      <c r="F137" s="19">
        <v>0.0</v>
      </c>
      <c r="G137" s="16" t="s">
        <v>70</v>
      </c>
      <c r="H137" s="21"/>
      <c r="I137" s="22"/>
      <c r="J137" s="58">
        <v>45931.0</v>
      </c>
      <c r="K137" s="43">
        <v>58000.0</v>
      </c>
      <c r="L137" s="43">
        <v>70000.0</v>
      </c>
      <c r="M137" s="25"/>
      <c r="N137" s="26"/>
      <c r="O137" s="27">
        <f t="shared" si="19"/>
        <v>0.2068965517</v>
      </c>
      <c r="P137" s="28">
        <f>K137*F139</f>
        <v>0</v>
      </c>
    </row>
    <row r="138" hidden="1">
      <c r="A138" s="16" t="s">
        <v>243</v>
      </c>
      <c r="B138" s="36" t="s">
        <v>244</v>
      </c>
      <c r="C138" s="104"/>
      <c r="D138" s="4"/>
      <c r="E138" s="19">
        <v>0.0</v>
      </c>
      <c r="F138" s="19">
        <v>0.0</v>
      </c>
      <c r="G138" s="16" t="s">
        <v>70</v>
      </c>
      <c r="H138" s="21"/>
      <c r="I138" s="22"/>
      <c r="J138" s="58">
        <v>46113.0</v>
      </c>
      <c r="K138" s="24">
        <f>95000*0.8</f>
        <v>76000</v>
      </c>
      <c r="L138" s="32">
        <v>106000.0</v>
      </c>
      <c r="M138" s="25"/>
      <c r="N138" s="26">
        <v>88000.0</v>
      </c>
      <c r="O138" s="27">
        <f t="shared" si="19"/>
        <v>0.3947368421</v>
      </c>
      <c r="P138" s="28">
        <f t="shared" ref="P138:P149" si="21">K138*F138</f>
        <v>0</v>
      </c>
    </row>
    <row r="139" hidden="1">
      <c r="A139" s="16" t="s">
        <v>245</v>
      </c>
      <c r="B139" s="36" t="s">
        <v>246</v>
      </c>
      <c r="C139" s="105" t="s">
        <v>144</v>
      </c>
      <c r="D139" s="4">
        <v>79100.0</v>
      </c>
      <c r="E139" s="19">
        <v>0.0</v>
      </c>
      <c r="F139" s="19">
        <v>0.0</v>
      </c>
      <c r="G139" s="16" t="s">
        <v>70</v>
      </c>
      <c r="H139" s="21"/>
      <c r="I139" s="22"/>
      <c r="J139" s="47">
        <v>46023.0</v>
      </c>
      <c r="K139" s="32">
        <f>125000*0.8</f>
        <v>100000</v>
      </c>
      <c r="L139" s="32">
        <v>140000.0</v>
      </c>
      <c r="M139" s="25" t="s">
        <v>76</v>
      </c>
      <c r="N139" s="26"/>
      <c r="O139" s="27">
        <f t="shared" si="19"/>
        <v>0.4</v>
      </c>
      <c r="P139" s="28">
        <f t="shared" si="21"/>
        <v>0</v>
      </c>
    </row>
    <row r="140" hidden="1">
      <c r="A140" s="16" t="s">
        <v>247</v>
      </c>
      <c r="B140" s="17" t="s">
        <v>248</v>
      </c>
      <c r="C140" s="18"/>
      <c r="D140" s="4"/>
      <c r="E140" s="19">
        <v>0.0</v>
      </c>
      <c r="F140" s="19">
        <v>0.0</v>
      </c>
      <c r="G140" s="54" t="s">
        <v>102</v>
      </c>
      <c r="H140" s="21"/>
      <c r="I140" s="22">
        <v>3.0</v>
      </c>
      <c r="J140" s="47">
        <v>45901.0</v>
      </c>
      <c r="K140" s="48">
        <v>24000.0</v>
      </c>
      <c r="L140" s="48">
        <v>44000.0</v>
      </c>
      <c r="M140" s="25" t="s">
        <v>76</v>
      </c>
      <c r="N140" s="26">
        <v>38000.0</v>
      </c>
      <c r="O140" s="27">
        <f t="shared" si="19"/>
        <v>0.8333333333</v>
      </c>
      <c r="P140" s="28">
        <f t="shared" si="21"/>
        <v>0</v>
      </c>
    </row>
    <row r="141" hidden="1">
      <c r="A141" s="16" t="s">
        <v>249</v>
      </c>
      <c r="B141" s="17"/>
      <c r="C141" s="106"/>
      <c r="D141" s="4"/>
      <c r="E141" s="19">
        <v>0.0</v>
      </c>
      <c r="F141" s="19">
        <v>0.0</v>
      </c>
      <c r="G141" s="54" t="s">
        <v>102</v>
      </c>
      <c r="H141" s="21"/>
      <c r="I141" s="22">
        <v>0.0</v>
      </c>
      <c r="J141" s="29"/>
      <c r="K141" s="43">
        <v>37840.0</v>
      </c>
      <c r="L141" s="44">
        <v>56000.0</v>
      </c>
      <c r="M141" s="25" t="s">
        <v>76</v>
      </c>
      <c r="N141" s="26"/>
      <c r="O141" s="27">
        <f t="shared" si="19"/>
        <v>0.4799154334</v>
      </c>
      <c r="P141" s="28">
        <f t="shared" si="21"/>
        <v>0</v>
      </c>
    </row>
    <row r="142" hidden="1">
      <c r="A142" s="16" t="s">
        <v>250</v>
      </c>
      <c r="B142" s="17"/>
      <c r="C142" s="106"/>
      <c r="D142" s="107" t="s">
        <v>251</v>
      </c>
      <c r="E142" s="108">
        <v>3.0</v>
      </c>
      <c r="F142" s="19">
        <v>0.0</v>
      </c>
      <c r="G142" s="54" t="s">
        <v>102</v>
      </c>
      <c r="H142" s="21"/>
      <c r="I142" s="22">
        <v>1.0</v>
      </c>
      <c r="J142" s="47">
        <v>45748.0</v>
      </c>
      <c r="K142" s="32">
        <v>39732.0</v>
      </c>
      <c r="L142" s="24">
        <v>58000.0</v>
      </c>
      <c r="M142" s="25" t="s">
        <v>76</v>
      </c>
      <c r="N142" s="26"/>
      <c r="O142" s="27">
        <f t="shared" si="19"/>
        <v>0.4597805295</v>
      </c>
      <c r="P142" s="28">
        <f t="shared" si="21"/>
        <v>0</v>
      </c>
    </row>
    <row r="143" hidden="1">
      <c r="A143" s="16" t="s">
        <v>252</v>
      </c>
      <c r="B143" s="17" t="s">
        <v>253</v>
      </c>
      <c r="C143" s="103"/>
      <c r="D143" s="4"/>
      <c r="E143" s="19">
        <v>0.0</v>
      </c>
      <c r="F143" s="19">
        <v>12.0</v>
      </c>
      <c r="G143" s="20" t="s">
        <v>254</v>
      </c>
      <c r="H143" s="21"/>
      <c r="I143" s="22">
        <v>3.0</v>
      </c>
      <c r="J143" s="22" t="s">
        <v>255</v>
      </c>
      <c r="K143" s="32">
        <v>87000.0</v>
      </c>
      <c r="L143" s="24">
        <v>105000.0</v>
      </c>
      <c r="M143" s="25" t="s">
        <v>76</v>
      </c>
      <c r="N143" s="26">
        <v>98000.0</v>
      </c>
      <c r="O143" s="27">
        <f t="shared" si="19"/>
        <v>0.2068965517</v>
      </c>
      <c r="P143" s="28">
        <f t="shared" si="21"/>
        <v>1044000</v>
      </c>
    </row>
    <row r="144" hidden="1">
      <c r="A144" s="16" t="s">
        <v>256</v>
      </c>
      <c r="B144" s="17" t="s">
        <v>257</v>
      </c>
      <c r="C144" s="109"/>
      <c r="D144" s="4"/>
      <c r="E144" s="19">
        <v>0.0</v>
      </c>
      <c r="F144" s="19"/>
      <c r="G144" s="20" t="s">
        <v>57</v>
      </c>
      <c r="H144" s="21"/>
      <c r="I144" s="22"/>
      <c r="J144" s="58"/>
      <c r="K144" s="24">
        <v>28000.0</v>
      </c>
      <c r="L144" s="24">
        <v>42000.0</v>
      </c>
      <c r="M144" s="25"/>
      <c r="N144" s="26">
        <v>35000.0</v>
      </c>
      <c r="O144" s="27">
        <f t="shared" si="19"/>
        <v>0.5</v>
      </c>
      <c r="P144" s="28">
        <f t="shared" si="21"/>
        <v>0</v>
      </c>
    </row>
    <row r="145" hidden="1">
      <c r="A145" s="16" t="s">
        <v>258</v>
      </c>
      <c r="B145" s="17"/>
      <c r="C145" s="103"/>
      <c r="D145" s="4"/>
      <c r="E145" s="19">
        <v>0.0</v>
      </c>
      <c r="F145" s="19">
        <v>0.0</v>
      </c>
      <c r="G145" s="16" t="s">
        <v>259</v>
      </c>
      <c r="H145" s="21">
        <v>0.0</v>
      </c>
      <c r="I145" s="22">
        <v>0.0</v>
      </c>
      <c r="J145" s="29"/>
      <c r="K145" s="48">
        <v>171100.0</v>
      </c>
      <c r="L145" s="55">
        <v>215000.0</v>
      </c>
      <c r="M145" s="25"/>
      <c r="N145" s="26"/>
      <c r="O145" s="27">
        <f t="shared" si="19"/>
        <v>0.2565751023</v>
      </c>
      <c r="P145" s="28">
        <f t="shared" si="21"/>
        <v>0</v>
      </c>
    </row>
    <row r="146" hidden="1">
      <c r="A146" s="16" t="s">
        <v>260</v>
      </c>
      <c r="B146" s="17"/>
      <c r="C146" s="103"/>
      <c r="D146" s="4"/>
      <c r="E146" s="19">
        <v>0.0</v>
      </c>
      <c r="F146" s="19">
        <v>0.0</v>
      </c>
      <c r="G146" s="20" t="s">
        <v>14</v>
      </c>
      <c r="H146" s="21">
        <v>0.0</v>
      </c>
      <c r="I146" s="22">
        <v>0.0</v>
      </c>
      <c r="J146" s="29"/>
      <c r="K146" s="43">
        <v>144700.0</v>
      </c>
      <c r="L146" s="44">
        <v>180000.0</v>
      </c>
      <c r="M146" s="25"/>
      <c r="N146" s="69"/>
      <c r="O146" s="27">
        <f t="shared" si="19"/>
        <v>0.2439530062</v>
      </c>
      <c r="P146" s="28">
        <f t="shared" si="21"/>
        <v>0</v>
      </c>
    </row>
    <row r="147" hidden="1">
      <c r="A147" s="16" t="s">
        <v>261</v>
      </c>
      <c r="B147" s="17"/>
      <c r="C147" s="103"/>
      <c r="D147" s="4"/>
      <c r="E147" s="19">
        <v>0.0</v>
      </c>
      <c r="F147" s="19">
        <v>0.0</v>
      </c>
      <c r="G147" s="20" t="s">
        <v>14</v>
      </c>
      <c r="H147" s="21">
        <v>0.0</v>
      </c>
      <c r="I147" s="22">
        <v>0.0</v>
      </c>
      <c r="J147" s="29"/>
      <c r="K147" s="48">
        <v>280000.0</v>
      </c>
      <c r="L147" s="55">
        <v>364000.0</v>
      </c>
      <c r="M147" s="25"/>
      <c r="N147" s="69"/>
      <c r="O147" s="27">
        <f t="shared" si="19"/>
        <v>0.3</v>
      </c>
      <c r="P147" s="28">
        <f t="shared" si="21"/>
        <v>0</v>
      </c>
    </row>
    <row r="148" hidden="1">
      <c r="A148" s="16" t="s">
        <v>262</v>
      </c>
      <c r="B148" s="17"/>
      <c r="C148" s="103"/>
      <c r="D148" s="4"/>
      <c r="E148" s="19">
        <v>0.0</v>
      </c>
      <c r="F148" s="19">
        <v>0.0</v>
      </c>
      <c r="G148" s="16" t="s">
        <v>259</v>
      </c>
      <c r="H148" s="21">
        <v>0.0</v>
      </c>
      <c r="I148" s="22">
        <v>0.0</v>
      </c>
      <c r="J148" s="29"/>
      <c r="K148" s="32">
        <v>103000.0</v>
      </c>
      <c r="L148" s="24">
        <v>127000.0</v>
      </c>
      <c r="M148" s="25"/>
      <c r="N148" s="26"/>
      <c r="O148" s="27">
        <f t="shared" si="19"/>
        <v>0.2330097087</v>
      </c>
      <c r="P148" s="28">
        <f t="shared" si="21"/>
        <v>0</v>
      </c>
    </row>
    <row r="149" hidden="1">
      <c r="A149" s="16" t="s">
        <v>262</v>
      </c>
      <c r="B149" s="17"/>
      <c r="C149" s="103"/>
      <c r="D149" s="4"/>
      <c r="E149" s="19">
        <v>0.0</v>
      </c>
      <c r="F149" s="19">
        <v>0.0</v>
      </c>
      <c r="G149" s="16" t="s">
        <v>259</v>
      </c>
      <c r="H149" s="21">
        <v>0.0</v>
      </c>
      <c r="I149" s="22">
        <v>0.0</v>
      </c>
      <c r="J149" s="29"/>
      <c r="K149" s="48">
        <v>103400.0</v>
      </c>
      <c r="L149" s="55">
        <v>138000.0</v>
      </c>
      <c r="M149" s="25"/>
      <c r="N149" s="26"/>
      <c r="O149" s="27">
        <f t="shared" si="19"/>
        <v>0.334622824</v>
      </c>
      <c r="P149" s="28">
        <f t="shared" si="21"/>
        <v>0</v>
      </c>
    </row>
    <row r="150" hidden="1">
      <c r="A150" s="16" t="s">
        <v>263</v>
      </c>
      <c r="B150" s="36"/>
      <c r="C150" s="92"/>
      <c r="D150" s="61"/>
      <c r="E150" s="19"/>
      <c r="F150" s="19"/>
      <c r="G150" s="20" t="s">
        <v>264</v>
      </c>
      <c r="H150" s="21"/>
      <c r="I150" s="22">
        <v>1.0</v>
      </c>
      <c r="J150" s="47"/>
      <c r="K150" s="43"/>
      <c r="L150" s="44"/>
      <c r="M150" s="25"/>
      <c r="N150" s="26"/>
      <c r="O150" s="27"/>
      <c r="P150" s="28"/>
    </row>
    <row r="151" hidden="1">
      <c r="A151" s="16" t="s">
        <v>2844</v>
      </c>
      <c r="B151" s="36" t="s">
        <v>266</v>
      </c>
      <c r="C151" s="92"/>
      <c r="D151" s="4"/>
      <c r="E151" s="19"/>
      <c r="F151" s="19"/>
      <c r="G151" s="20" t="s">
        <v>267</v>
      </c>
      <c r="H151" s="21"/>
      <c r="I151" s="22"/>
      <c r="J151" s="29"/>
      <c r="K151" s="48">
        <v>48897.0</v>
      </c>
      <c r="L151" s="55">
        <v>69000.0</v>
      </c>
      <c r="M151" s="25"/>
      <c r="N151" s="26">
        <v>58000.0</v>
      </c>
      <c r="O151" s="27">
        <f t="shared" ref="O151:O232" si="22">(L151/K151)-1</f>
        <v>0.4111295171</v>
      </c>
      <c r="P151" s="28">
        <f t="shared" ref="P151:P232" si="23">K151*F151</f>
        <v>0</v>
      </c>
    </row>
    <row r="152" hidden="1">
      <c r="A152" s="16" t="s">
        <v>268</v>
      </c>
      <c r="B152" s="36"/>
      <c r="C152" s="92"/>
      <c r="D152" s="4"/>
      <c r="E152" s="19"/>
      <c r="F152" s="19"/>
      <c r="G152" s="20" t="s">
        <v>267</v>
      </c>
      <c r="H152" s="21"/>
      <c r="I152" s="22"/>
      <c r="J152" s="29"/>
      <c r="K152" s="43">
        <f>L151/20</f>
        <v>3450</v>
      </c>
      <c r="L152" s="44">
        <v>4000.0</v>
      </c>
      <c r="M152" s="25"/>
      <c r="N152" s="26"/>
      <c r="O152" s="27">
        <f t="shared" si="22"/>
        <v>0.1594202899</v>
      </c>
      <c r="P152" s="28">
        <f t="shared" si="23"/>
        <v>0</v>
      </c>
    </row>
    <row r="153" hidden="1">
      <c r="A153" s="16" t="s">
        <v>269</v>
      </c>
      <c r="B153" s="49"/>
      <c r="C153" s="103"/>
      <c r="D153" s="4"/>
      <c r="E153" s="19">
        <v>0.0</v>
      </c>
      <c r="F153" s="19">
        <v>0.0</v>
      </c>
      <c r="G153" s="16" t="s">
        <v>270</v>
      </c>
      <c r="H153" s="21">
        <v>0.0</v>
      </c>
      <c r="I153" s="22">
        <v>0.0</v>
      </c>
      <c r="J153" s="29"/>
      <c r="K153" s="43">
        <v>102401.0</v>
      </c>
      <c r="L153" s="44">
        <v>140000.0</v>
      </c>
      <c r="M153" s="25" t="s">
        <v>82</v>
      </c>
      <c r="N153" s="70"/>
      <c r="O153" s="27">
        <f t="shared" si="22"/>
        <v>0.3671741487</v>
      </c>
      <c r="P153" s="28">
        <f t="shared" si="23"/>
        <v>0</v>
      </c>
    </row>
    <row r="154" hidden="1">
      <c r="A154" s="40" t="s">
        <v>271</v>
      </c>
      <c r="B154" s="17"/>
      <c r="C154" s="103"/>
      <c r="D154" s="4"/>
      <c r="E154" s="19"/>
      <c r="F154" s="19">
        <v>0.0</v>
      </c>
      <c r="G154" s="40" t="s">
        <v>93</v>
      </c>
      <c r="H154" s="21"/>
      <c r="I154" s="22"/>
      <c r="J154" s="29"/>
      <c r="K154" s="43">
        <v>5100.0</v>
      </c>
      <c r="L154" s="44">
        <v>7000.0</v>
      </c>
      <c r="M154" s="25"/>
      <c r="N154" s="69"/>
      <c r="O154" s="27">
        <f t="shared" si="22"/>
        <v>0.3725490196</v>
      </c>
      <c r="P154" s="28">
        <f t="shared" si="23"/>
        <v>0</v>
      </c>
    </row>
    <row r="155" hidden="1">
      <c r="A155" s="16" t="s">
        <v>272</v>
      </c>
      <c r="B155" s="17"/>
      <c r="C155" s="103"/>
      <c r="D155" s="4"/>
      <c r="E155" s="19"/>
      <c r="F155" s="19"/>
      <c r="G155" s="16" t="s">
        <v>273</v>
      </c>
      <c r="H155" s="21"/>
      <c r="I155" s="22">
        <v>0.0</v>
      </c>
      <c r="J155" s="22"/>
      <c r="K155" s="32">
        <v>119000.0</v>
      </c>
      <c r="L155" s="24">
        <v>148000.0</v>
      </c>
      <c r="M155" s="25"/>
      <c r="N155" s="69"/>
      <c r="O155" s="27">
        <f t="shared" si="22"/>
        <v>0.243697479</v>
      </c>
      <c r="P155" s="28">
        <f t="shared" si="23"/>
        <v>0</v>
      </c>
    </row>
    <row r="156" hidden="1">
      <c r="A156" s="16" t="s">
        <v>274</v>
      </c>
      <c r="B156" s="17"/>
      <c r="C156" s="103"/>
      <c r="D156" s="4"/>
      <c r="E156" s="19"/>
      <c r="F156" s="19"/>
      <c r="G156" s="16" t="s">
        <v>275</v>
      </c>
      <c r="H156" s="21"/>
      <c r="I156" s="22">
        <v>0.0</v>
      </c>
      <c r="J156" s="47"/>
      <c r="K156" s="32">
        <v>236500.0</v>
      </c>
      <c r="L156" s="24">
        <v>295000.0</v>
      </c>
      <c r="M156" s="25"/>
      <c r="N156" s="69"/>
      <c r="O156" s="27">
        <f t="shared" si="22"/>
        <v>0.2473572939</v>
      </c>
      <c r="P156" s="28">
        <f t="shared" si="23"/>
        <v>0</v>
      </c>
    </row>
    <row r="157" hidden="1">
      <c r="A157" s="16" t="s">
        <v>276</v>
      </c>
      <c r="B157" s="17"/>
      <c r="C157" s="18"/>
      <c r="D157" s="4"/>
      <c r="E157" s="19">
        <v>0.0</v>
      </c>
      <c r="F157" s="19">
        <v>0.0</v>
      </c>
      <c r="G157" s="16" t="s">
        <v>277</v>
      </c>
      <c r="H157" s="21"/>
      <c r="I157" s="22">
        <v>4.0</v>
      </c>
      <c r="J157" s="47">
        <v>45809.0</v>
      </c>
      <c r="K157" s="32">
        <f>176000*0.8</f>
        <v>140800</v>
      </c>
      <c r="L157" s="32">
        <v>176000.0</v>
      </c>
      <c r="M157" s="25" t="s">
        <v>82</v>
      </c>
      <c r="N157" s="26"/>
      <c r="O157" s="27">
        <f t="shared" si="22"/>
        <v>0.25</v>
      </c>
      <c r="P157" s="28">
        <f t="shared" si="23"/>
        <v>0</v>
      </c>
    </row>
    <row r="158" hidden="1">
      <c r="A158" s="16" t="s">
        <v>278</v>
      </c>
      <c r="B158" s="49"/>
      <c r="C158" s="92" t="s">
        <v>279</v>
      </c>
      <c r="D158" s="4"/>
      <c r="E158" s="19"/>
      <c r="F158" s="19"/>
      <c r="G158" s="16" t="s">
        <v>98</v>
      </c>
      <c r="H158" s="21">
        <v>10.0</v>
      </c>
      <c r="I158" s="22"/>
      <c r="J158" s="47">
        <v>46266.0</v>
      </c>
      <c r="K158" s="32">
        <v>110000.0</v>
      </c>
      <c r="L158" s="24">
        <v>165000.0</v>
      </c>
      <c r="M158" s="25" t="s">
        <v>76</v>
      </c>
      <c r="N158" s="70"/>
      <c r="O158" s="27">
        <f t="shared" si="22"/>
        <v>0.5</v>
      </c>
      <c r="P158" s="28">
        <f t="shared" si="23"/>
        <v>0</v>
      </c>
    </row>
    <row r="159" hidden="1">
      <c r="A159" s="16" t="s">
        <v>280</v>
      </c>
      <c r="B159" s="36"/>
      <c r="C159" s="103"/>
      <c r="D159" s="110"/>
      <c r="E159" s="19"/>
      <c r="F159" s="19">
        <v>1.0</v>
      </c>
      <c r="G159" s="16" t="s">
        <v>281</v>
      </c>
      <c r="H159" s="21"/>
      <c r="I159" s="22"/>
      <c r="J159" s="23"/>
      <c r="K159" s="24">
        <v>120000.0</v>
      </c>
      <c r="L159" s="24">
        <v>150000.0</v>
      </c>
      <c r="M159" s="25"/>
      <c r="N159" s="69"/>
      <c r="O159" s="27">
        <f t="shared" si="22"/>
        <v>0.25</v>
      </c>
      <c r="P159" s="28">
        <f t="shared" si="23"/>
        <v>120000</v>
      </c>
    </row>
    <row r="160" hidden="1">
      <c r="A160" s="16" t="s">
        <v>282</v>
      </c>
      <c r="B160" s="49"/>
      <c r="C160" s="18" t="s">
        <v>55</v>
      </c>
      <c r="D160" s="4"/>
      <c r="E160" s="19">
        <v>0.0</v>
      </c>
      <c r="F160" s="19"/>
      <c r="G160" s="20" t="s">
        <v>283</v>
      </c>
      <c r="H160" s="21"/>
      <c r="I160" s="22"/>
      <c r="J160" s="29"/>
      <c r="K160" s="43">
        <v>2915.0</v>
      </c>
      <c r="L160" s="44">
        <v>6000.0</v>
      </c>
      <c r="M160" s="25"/>
      <c r="N160" s="69"/>
      <c r="O160" s="27">
        <f t="shared" si="22"/>
        <v>1.058319039</v>
      </c>
      <c r="P160" s="28">
        <f t="shared" si="23"/>
        <v>0</v>
      </c>
    </row>
    <row r="161" hidden="1">
      <c r="A161" s="59" t="s">
        <v>284</v>
      </c>
      <c r="B161" s="36"/>
      <c r="C161" s="103"/>
      <c r="D161" s="4"/>
      <c r="E161" s="19"/>
      <c r="F161" s="19"/>
      <c r="G161" s="16" t="s">
        <v>88</v>
      </c>
      <c r="H161" s="21"/>
      <c r="I161" s="22">
        <v>1.0</v>
      </c>
      <c r="J161" s="23"/>
      <c r="K161" s="55">
        <f>10610*1.19</f>
        <v>12625.9</v>
      </c>
      <c r="L161" s="55">
        <v>18000.0</v>
      </c>
      <c r="M161" s="25"/>
      <c r="N161" s="26"/>
      <c r="O161" s="27">
        <f t="shared" si="22"/>
        <v>0.4256409444</v>
      </c>
      <c r="P161" s="28">
        <f t="shared" si="23"/>
        <v>0</v>
      </c>
    </row>
    <row r="162" hidden="1">
      <c r="A162" s="16" t="s">
        <v>285</v>
      </c>
      <c r="B162" s="17"/>
      <c r="C162" s="103"/>
      <c r="D162" s="4"/>
      <c r="E162" s="19">
        <v>0.0</v>
      </c>
      <c r="F162" s="19">
        <v>0.0</v>
      </c>
      <c r="G162" s="20" t="s">
        <v>286</v>
      </c>
      <c r="H162" s="21"/>
      <c r="I162" s="22">
        <v>30.0</v>
      </c>
      <c r="J162" s="47">
        <v>46508.0</v>
      </c>
      <c r="K162" s="24">
        <v>669.0</v>
      </c>
      <c r="L162" s="24">
        <v>1000.0</v>
      </c>
      <c r="M162" s="25">
        <v>1.19</v>
      </c>
      <c r="N162" s="50"/>
      <c r="O162" s="27">
        <f t="shared" si="22"/>
        <v>0.4947683109</v>
      </c>
      <c r="P162" s="28">
        <f t="shared" si="23"/>
        <v>0</v>
      </c>
    </row>
    <row r="163" hidden="1">
      <c r="A163" s="40" t="s">
        <v>287</v>
      </c>
      <c r="B163" s="17" t="s">
        <v>288</v>
      </c>
      <c r="C163" s="18"/>
      <c r="D163" s="4"/>
      <c r="E163" s="19">
        <v>0.0</v>
      </c>
      <c r="F163" s="19">
        <v>0.0</v>
      </c>
      <c r="G163" s="20" t="s">
        <v>289</v>
      </c>
      <c r="H163" s="21"/>
      <c r="I163" s="22"/>
      <c r="J163" s="29"/>
      <c r="K163" s="32">
        <v>2859.0</v>
      </c>
      <c r="L163" s="24">
        <v>5000.0</v>
      </c>
      <c r="M163" s="25" t="s">
        <v>76</v>
      </c>
      <c r="N163" s="70"/>
      <c r="O163" s="27">
        <f t="shared" si="22"/>
        <v>0.7488632389</v>
      </c>
      <c r="P163" s="28">
        <f t="shared" si="23"/>
        <v>0</v>
      </c>
    </row>
    <row r="164" hidden="1">
      <c r="A164" s="42" t="s">
        <v>290</v>
      </c>
      <c r="B164" s="36"/>
      <c r="C164" s="18"/>
      <c r="D164" s="4"/>
      <c r="E164" s="19">
        <v>0.0</v>
      </c>
      <c r="F164" s="19"/>
      <c r="G164" s="20" t="s">
        <v>291</v>
      </c>
      <c r="H164" s="21"/>
      <c r="I164" s="22"/>
      <c r="J164" s="29"/>
      <c r="K164" s="32">
        <v>2000.0</v>
      </c>
      <c r="L164" s="24">
        <v>4000.0</v>
      </c>
      <c r="M164" s="25"/>
      <c r="N164" s="50"/>
      <c r="O164" s="27">
        <f t="shared" si="22"/>
        <v>1</v>
      </c>
      <c r="P164" s="28">
        <f t="shared" si="23"/>
        <v>0</v>
      </c>
    </row>
    <row r="165" hidden="1">
      <c r="A165" s="16" t="s">
        <v>292</v>
      </c>
      <c r="B165" s="36"/>
      <c r="C165" s="103"/>
      <c r="D165" s="4"/>
      <c r="E165" s="19"/>
      <c r="F165" s="19">
        <v>0.0</v>
      </c>
      <c r="G165" s="40" t="s">
        <v>93</v>
      </c>
      <c r="H165" s="21"/>
      <c r="I165" s="22"/>
      <c r="J165" s="47">
        <v>46569.0</v>
      </c>
      <c r="K165" s="32">
        <f>113848*1.19</f>
        <v>135479.12</v>
      </c>
      <c r="L165" s="24">
        <v>170000.0</v>
      </c>
      <c r="M165" s="25"/>
      <c r="N165" s="69"/>
      <c r="O165" s="27">
        <f t="shared" si="22"/>
        <v>0.2548059066</v>
      </c>
      <c r="P165" s="28">
        <f t="shared" si="23"/>
        <v>0</v>
      </c>
    </row>
    <row r="166" hidden="1">
      <c r="A166" s="16" t="s">
        <v>293</v>
      </c>
      <c r="B166" s="36"/>
      <c r="C166" s="103"/>
      <c r="D166" s="4"/>
      <c r="E166" s="19"/>
      <c r="F166" s="19">
        <v>0.0</v>
      </c>
      <c r="G166" s="40" t="s">
        <v>93</v>
      </c>
      <c r="H166" s="21"/>
      <c r="I166" s="22"/>
      <c r="J166" s="23"/>
      <c r="K166" s="24">
        <f>135500/100+600</f>
        <v>1955</v>
      </c>
      <c r="L166" s="24">
        <v>3000.0</v>
      </c>
      <c r="M166" s="25"/>
      <c r="N166" s="69"/>
      <c r="O166" s="27">
        <f t="shared" si="22"/>
        <v>0.5345268542</v>
      </c>
      <c r="P166" s="28">
        <f t="shared" si="23"/>
        <v>0</v>
      </c>
    </row>
    <row r="167" hidden="1">
      <c r="A167" s="16" t="s">
        <v>294</v>
      </c>
      <c r="B167" s="17" t="s">
        <v>295</v>
      </c>
      <c r="C167" s="103"/>
      <c r="D167" s="4"/>
      <c r="E167" s="19"/>
      <c r="F167" s="19">
        <v>0.0</v>
      </c>
      <c r="G167" s="16" t="s">
        <v>296</v>
      </c>
      <c r="H167" s="21"/>
      <c r="I167" s="22"/>
      <c r="J167" s="29"/>
      <c r="K167" s="32">
        <f>101800/100</f>
        <v>1018</v>
      </c>
      <c r="L167" s="24">
        <v>3000.0</v>
      </c>
      <c r="M167" s="25"/>
      <c r="N167" s="26"/>
      <c r="O167" s="27">
        <f t="shared" si="22"/>
        <v>1.946954813</v>
      </c>
      <c r="P167" s="28">
        <f t="shared" si="23"/>
        <v>0</v>
      </c>
    </row>
    <row r="168" hidden="1">
      <c r="A168" s="52" t="s">
        <v>297</v>
      </c>
      <c r="B168" s="17" t="s">
        <v>298</v>
      </c>
      <c r="C168" s="103"/>
      <c r="D168" s="67"/>
      <c r="E168" s="19">
        <v>0.0</v>
      </c>
      <c r="F168" s="19"/>
      <c r="G168" s="20" t="s">
        <v>60</v>
      </c>
      <c r="H168" s="21"/>
      <c r="I168" s="22"/>
      <c r="J168" s="29"/>
      <c r="K168" s="48">
        <f t="shared" ref="K168:K170" si="24">9400*1.19/12</f>
        <v>932.1666667</v>
      </c>
      <c r="L168" s="55">
        <v>1500.0</v>
      </c>
      <c r="M168" s="25"/>
      <c r="N168" s="70"/>
      <c r="O168" s="27">
        <f t="shared" si="22"/>
        <v>0.6091543</v>
      </c>
      <c r="P168" s="28">
        <f t="shared" si="23"/>
        <v>0</v>
      </c>
    </row>
    <row r="169" hidden="1">
      <c r="A169" s="52" t="s">
        <v>299</v>
      </c>
      <c r="B169" s="17" t="s">
        <v>300</v>
      </c>
      <c r="C169" s="103"/>
      <c r="D169" s="67"/>
      <c r="E169" s="19">
        <v>0.0</v>
      </c>
      <c r="F169" s="19"/>
      <c r="G169" s="20" t="s">
        <v>60</v>
      </c>
      <c r="H169" s="21"/>
      <c r="I169" s="22"/>
      <c r="J169" s="29"/>
      <c r="K169" s="48">
        <f t="shared" si="24"/>
        <v>932.1666667</v>
      </c>
      <c r="L169" s="55">
        <v>1500.0</v>
      </c>
      <c r="M169" s="25"/>
      <c r="N169" s="26"/>
      <c r="O169" s="27">
        <f t="shared" si="22"/>
        <v>0.6091543</v>
      </c>
      <c r="P169" s="28">
        <f t="shared" si="23"/>
        <v>0</v>
      </c>
    </row>
    <row r="170" hidden="1">
      <c r="A170" s="52" t="s">
        <v>301</v>
      </c>
      <c r="B170" s="17" t="s">
        <v>298</v>
      </c>
      <c r="C170" s="103"/>
      <c r="D170" s="4"/>
      <c r="E170" s="19">
        <v>0.0</v>
      </c>
      <c r="F170" s="19"/>
      <c r="G170" s="20" t="s">
        <v>60</v>
      </c>
      <c r="H170" s="21"/>
      <c r="I170" s="22"/>
      <c r="J170" s="29"/>
      <c r="K170" s="48">
        <f t="shared" si="24"/>
        <v>932.1666667</v>
      </c>
      <c r="L170" s="55">
        <v>1500.0</v>
      </c>
      <c r="M170" s="25"/>
      <c r="N170" s="70"/>
      <c r="O170" s="27">
        <f t="shared" si="22"/>
        <v>0.6091543</v>
      </c>
      <c r="P170" s="28">
        <f t="shared" si="23"/>
        <v>0</v>
      </c>
    </row>
    <row r="171" hidden="1">
      <c r="A171" s="16" t="s">
        <v>302</v>
      </c>
      <c r="B171" s="17" t="s">
        <v>303</v>
      </c>
      <c r="C171" s="103"/>
      <c r="D171" s="4"/>
      <c r="E171" s="19"/>
      <c r="F171" s="19">
        <v>0.0</v>
      </c>
      <c r="G171" s="20" t="s">
        <v>304</v>
      </c>
      <c r="H171" s="21">
        <v>0.0</v>
      </c>
      <c r="I171" s="22"/>
      <c r="J171" s="58">
        <v>47027.0</v>
      </c>
      <c r="K171" s="48">
        <v>21539.0</v>
      </c>
      <c r="L171" s="55">
        <v>32000.0</v>
      </c>
      <c r="M171" s="25">
        <v>0.19</v>
      </c>
      <c r="N171" s="26">
        <v>26000.0</v>
      </c>
      <c r="O171" s="27">
        <f t="shared" si="22"/>
        <v>0.4856771438</v>
      </c>
      <c r="P171" s="28">
        <f t="shared" si="23"/>
        <v>0</v>
      </c>
    </row>
    <row r="172" hidden="1">
      <c r="A172" s="16" t="s">
        <v>305</v>
      </c>
      <c r="B172" s="17" t="s">
        <v>306</v>
      </c>
      <c r="C172" s="103"/>
      <c r="D172" s="4"/>
      <c r="E172" s="19"/>
      <c r="F172" s="19">
        <v>0.0</v>
      </c>
      <c r="G172" s="20" t="s">
        <v>304</v>
      </c>
      <c r="H172" s="21">
        <v>0.0</v>
      </c>
      <c r="I172" s="22"/>
      <c r="J172" s="58">
        <v>47027.0</v>
      </c>
      <c r="K172" s="48">
        <v>21539.0</v>
      </c>
      <c r="L172" s="55">
        <v>32000.0</v>
      </c>
      <c r="M172" s="25" t="s">
        <v>307</v>
      </c>
      <c r="N172" s="26">
        <v>26000.0</v>
      </c>
      <c r="O172" s="27">
        <f t="shared" si="22"/>
        <v>0.4856771438</v>
      </c>
      <c r="P172" s="28">
        <f t="shared" si="23"/>
        <v>0</v>
      </c>
    </row>
    <row r="173" hidden="1">
      <c r="A173" s="16" t="s">
        <v>308</v>
      </c>
      <c r="B173" s="36"/>
      <c r="C173" s="18"/>
      <c r="D173" s="4"/>
      <c r="E173" s="19"/>
      <c r="F173" s="19">
        <v>0.0</v>
      </c>
      <c r="G173" s="40" t="s">
        <v>93</v>
      </c>
      <c r="H173" s="21"/>
      <c r="I173" s="22"/>
      <c r="J173" s="29"/>
      <c r="K173" s="32">
        <v>21600.0</v>
      </c>
      <c r="L173" s="24">
        <v>30000.0</v>
      </c>
      <c r="M173" s="25"/>
      <c r="N173" s="26"/>
      <c r="O173" s="27">
        <f t="shared" si="22"/>
        <v>0.3888888889</v>
      </c>
      <c r="P173" s="28">
        <f t="shared" si="23"/>
        <v>0</v>
      </c>
    </row>
    <row r="174" hidden="1">
      <c r="A174" s="16" t="s">
        <v>309</v>
      </c>
      <c r="B174" s="36"/>
      <c r="C174" s="18"/>
      <c r="D174" s="4"/>
      <c r="E174" s="19"/>
      <c r="F174" s="19">
        <v>0.0</v>
      </c>
      <c r="G174" s="40" t="s">
        <v>93</v>
      </c>
      <c r="H174" s="21"/>
      <c r="I174" s="22"/>
      <c r="J174" s="29"/>
      <c r="K174" s="48">
        <v>33180.0</v>
      </c>
      <c r="L174" s="55">
        <v>42000.0</v>
      </c>
      <c r="M174" s="25"/>
      <c r="N174" s="31"/>
      <c r="O174" s="27">
        <f t="shared" si="22"/>
        <v>0.2658227848</v>
      </c>
      <c r="P174" s="28">
        <f t="shared" si="23"/>
        <v>0</v>
      </c>
    </row>
    <row r="175" hidden="1">
      <c r="A175" s="16" t="s">
        <v>310</v>
      </c>
      <c r="B175" s="17"/>
      <c r="C175" s="103"/>
      <c r="D175" s="4"/>
      <c r="E175" s="19">
        <v>0.0</v>
      </c>
      <c r="F175" s="19">
        <v>0.0</v>
      </c>
      <c r="G175" s="16" t="s">
        <v>311</v>
      </c>
      <c r="H175" s="21"/>
      <c r="I175" s="22">
        <v>0.0</v>
      </c>
      <c r="J175" s="29"/>
      <c r="K175" s="43">
        <v>15920.0</v>
      </c>
      <c r="L175" s="44">
        <v>20000.0</v>
      </c>
      <c r="M175" s="25"/>
      <c r="N175" s="69"/>
      <c r="O175" s="27">
        <f t="shared" si="22"/>
        <v>0.256281407</v>
      </c>
      <c r="P175" s="28">
        <f t="shared" si="23"/>
        <v>0</v>
      </c>
    </row>
    <row r="176" hidden="1">
      <c r="A176" s="16" t="s">
        <v>312</v>
      </c>
      <c r="B176" s="17"/>
      <c r="C176" s="103"/>
      <c r="D176" s="4"/>
      <c r="E176" s="19">
        <v>0.0</v>
      </c>
      <c r="F176" s="19">
        <v>0.0</v>
      </c>
      <c r="G176" s="16" t="s">
        <v>84</v>
      </c>
      <c r="H176" s="21"/>
      <c r="I176" s="22">
        <v>0.0</v>
      </c>
      <c r="J176" s="29"/>
      <c r="K176" s="43">
        <f>16*800</f>
        <v>12800</v>
      </c>
      <c r="L176" s="44">
        <v>20000.0</v>
      </c>
      <c r="M176" s="25"/>
      <c r="N176" s="69"/>
      <c r="O176" s="27">
        <f t="shared" si="22"/>
        <v>0.5625</v>
      </c>
      <c r="P176" s="28">
        <f t="shared" si="23"/>
        <v>0</v>
      </c>
    </row>
    <row r="177" hidden="1">
      <c r="A177" s="16" t="s">
        <v>313</v>
      </c>
      <c r="B177" s="17"/>
      <c r="C177" s="103"/>
      <c r="D177" s="4"/>
      <c r="E177" s="19">
        <v>0.0</v>
      </c>
      <c r="F177" s="19">
        <v>0.0</v>
      </c>
      <c r="G177" s="16" t="s">
        <v>311</v>
      </c>
      <c r="H177" s="21"/>
      <c r="I177" s="22">
        <v>0.0</v>
      </c>
      <c r="J177" s="29"/>
      <c r="K177" s="43">
        <v>15920.0</v>
      </c>
      <c r="L177" s="44">
        <v>20000.0</v>
      </c>
      <c r="M177" s="25"/>
      <c r="N177" s="69"/>
      <c r="O177" s="27">
        <f t="shared" si="22"/>
        <v>0.256281407</v>
      </c>
      <c r="P177" s="28">
        <f t="shared" si="23"/>
        <v>0</v>
      </c>
    </row>
    <row r="178" hidden="1">
      <c r="A178" s="16" t="s">
        <v>314</v>
      </c>
      <c r="B178" s="17"/>
      <c r="C178" s="103"/>
      <c r="D178" s="4"/>
      <c r="E178" s="19">
        <v>0.0</v>
      </c>
      <c r="F178" s="19">
        <v>0.0</v>
      </c>
      <c r="G178" s="16" t="s">
        <v>84</v>
      </c>
      <c r="H178" s="21"/>
      <c r="I178" s="22">
        <v>4.0</v>
      </c>
      <c r="J178" s="29"/>
      <c r="K178" s="43">
        <f t="shared" ref="K178:K180" si="25">16*800</f>
        <v>12800</v>
      </c>
      <c r="L178" s="44">
        <v>20000.0</v>
      </c>
      <c r="M178" s="25"/>
      <c r="N178" s="69"/>
      <c r="O178" s="27">
        <f t="shared" si="22"/>
        <v>0.5625</v>
      </c>
      <c r="P178" s="28">
        <f t="shared" si="23"/>
        <v>0</v>
      </c>
    </row>
    <row r="179" hidden="1">
      <c r="A179" s="16" t="s">
        <v>315</v>
      </c>
      <c r="B179" s="17"/>
      <c r="C179" s="103"/>
      <c r="D179" s="4"/>
      <c r="E179" s="19">
        <v>0.0</v>
      </c>
      <c r="F179" s="19">
        <v>0.0</v>
      </c>
      <c r="G179" s="16" t="s">
        <v>84</v>
      </c>
      <c r="H179" s="21"/>
      <c r="I179" s="22">
        <v>0.0</v>
      </c>
      <c r="J179" s="29"/>
      <c r="K179" s="43">
        <f t="shared" si="25"/>
        <v>12800</v>
      </c>
      <c r="L179" s="44">
        <v>18000.0</v>
      </c>
      <c r="M179" s="25"/>
      <c r="N179" s="50"/>
      <c r="O179" s="27">
        <f t="shared" si="22"/>
        <v>0.40625</v>
      </c>
      <c r="P179" s="28">
        <f t="shared" si="23"/>
        <v>0</v>
      </c>
    </row>
    <row r="180" hidden="1">
      <c r="A180" s="16" t="s">
        <v>316</v>
      </c>
      <c r="B180" s="17"/>
      <c r="C180" s="103"/>
      <c r="D180" s="4"/>
      <c r="E180" s="19">
        <v>0.0</v>
      </c>
      <c r="F180" s="19">
        <v>0.0</v>
      </c>
      <c r="G180" s="16" t="s">
        <v>84</v>
      </c>
      <c r="H180" s="21"/>
      <c r="I180" s="22">
        <v>1.0</v>
      </c>
      <c r="J180" s="29"/>
      <c r="K180" s="43">
        <f t="shared" si="25"/>
        <v>12800</v>
      </c>
      <c r="L180" s="44">
        <v>18000.0</v>
      </c>
      <c r="M180" s="25"/>
      <c r="N180" s="50"/>
      <c r="O180" s="27">
        <f t="shared" si="22"/>
        <v>0.40625</v>
      </c>
      <c r="P180" s="28">
        <f t="shared" si="23"/>
        <v>0</v>
      </c>
    </row>
    <row r="181" hidden="1">
      <c r="A181" s="16" t="s">
        <v>317</v>
      </c>
      <c r="B181" s="36"/>
      <c r="C181" s="103"/>
      <c r="D181" s="4"/>
      <c r="E181" s="19">
        <v>0.0</v>
      </c>
      <c r="F181" s="19">
        <v>0.0</v>
      </c>
      <c r="G181" s="16" t="s">
        <v>318</v>
      </c>
      <c r="H181" s="21"/>
      <c r="I181" s="22">
        <v>1.0</v>
      </c>
      <c r="J181" s="29"/>
      <c r="K181" s="43">
        <f t="shared" ref="K181:K184" si="26">9600/10</f>
        <v>960</v>
      </c>
      <c r="L181" s="44">
        <v>2500.0</v>
      </c>
      <c r="M181" s="25"/>
      <c r="N181" s="69"/>
      <c r="O181" s="27">
        <f t="shared" si="22"/>
        <v>1.604166667</v>
      </c>
      <c r="P181" s="28">
        <f t="shared" si="23"/>
        <v>0</v>
      </c>
    </row>
    <row r="182" hidden="1">
      <c r="A182" s="16" t="s">
        <v>319</v>
      </c>
      <c r="B182" s="36"/>
      <c r="C182" s="103"/>
      <c r="D182" s="4"/>
      <c r="E182" s="19">
        <v>0.0</v>
      </c>
      <c r="F182" s="19">
        <v>0.0</v>
      </c>
      <c r="G182" s="16" t="s">
        <v>318</v>
      </c>
      <c r="H182" s="21"/>
      <c r="I182" s="22">
        <v>1.0</v>
      </c>
      <c r="J182" s="29"/>
      <c r="K182" s="43">
        <f t="shared" si="26"/>
        <v>960</v>
      </c>
      <c r="L182" s="44">
        <v>2500.0</v>
      </c>
      <c r="M182" s="25"/>
      <c r="N182" s="69"/>
      <c r="O182" s="27">
        <f t="shared" si="22"/>
        <v>1.604166667</v>
      </c>
      <c r="P182" s="28">
        <f t="shared" si="23"/>
        <v>0</v>
      </c>
    </row>
    <row r="183" hidden="1">
      <c r="A183" s="16" t="s">
        <v>320</v>
      </c>
      <c r="B183" s="36"/>
      <c r="C183" s="103"/>
      <c r="D183" s="4"/>
      <c r="E183" s="19">
        <v>0.0</v>
      </c>
      <c r="F183" s="19">
        <v>0.0</v>
      </c>
      <c r="G183" s="16" t="s">
        <v>318</v>
      </c>
      <c r="H183" s="21"/>
      <c r="I183" s="22">
        <v>1.0</v>
      </c>
      <c r="J183" s="29"/>
      <c r="K183" s="43">
        <f t="shared" si="26"/>
        <v>960</v>
      </c>
      <c r="L183" s="44">
        <v>2500.0</v>
      </c>
      <c r="M183" s="25"/>
      <c r="N183" s="69"/>
      <c r="O183" s="27">
        <f t="shared" si="22"/>
        <v>1.604166667</v>
      </c>
      <c r="P183" s="28">
        <f t="shared" si="23"/>
        <v>0</v>
      </c>
    </row>
    <row r="184" hidden="1">
      <c r="A184" s="16" t="s">
        <v>321</v>
      </c>
      <c r="B184" s="36"/>
      <c r="C184" s="103"/>
      <c r="D184" s="4"/>
      <c r="E184" s="19">
        <v>0.0</v>
      </c>
      <c r="F184" s="19">
        <v>0.0</v>
      </c>
      <c r="G184" s="16" t="s">
        <v>318</v>
      </c>
      <c r="H184" s="21"/>
      <c r="I184" s="22">
        <v>2.0</v>
      </c>
      <c r="J184" s="29"/>
      <c r="K184" s="43">
        <f t="shared" si="26"/>
        <v>960</v>
      </c>
      <c r="L184" s="44">
        <v>2500.0</v>
      </c>
      <c r="M184" s="25"/>
      <c r="N184" s="69"/>
      <c r="O184" s="27">
        <f t="shared" si="22"/>
        <v>1.604166667</v>
      </c>
      <c r="P184" s="28">
        <f t="shared" si="23"/>
        <v>0</v>
      </c>
    </row>
    <row r="185" hidden="1">
      <c r="A185" s="16" t="s">
        <v>322</v>
      </c>
      <c r="B185" s="17"/>
      <c r="C185" s="103"/>
      <c r="D185" s="4"/>
      <c r="E185" s="19">
        <v>0.0</v>
      </c>
      <c r="F185" s="19">
        <v>0.0</v>
      </c>
      <c r="G185" s="16" t="s">
        <v>318</v>
      </c>
      <c r="H185" s="111"/>
      <c r="I185" s="22" t="s">
        <v>99</v>
      </c>
      <c r="J185" s="112"/>
      <c r="K185" s="113">
        <f>9800/10</f>
        <v>980</v>
      </c>
      <c r="L185" s="44">
        <v>3000.0</v>
      </c>
      <c r="M185" s="25"/>
      <c r="N185" s="26"/>
      <c r="O185" s="27">
        <f t="shared" si="22"/>
        <v>2.06122449</v>
      </c>
      <c r="P185" s="28">
        <f t="shared" si="23"/>
        <v>0</v>
      </c>
    </row>
    <row r="186" hidden="1">
      <c r="A186" s="16" t="s">
        <v>323</v>
      </c>
      <c r="B186" s="17"/>
      <c r="C186" s="109"/>
      <c r="D186" s="4"/>
      <c r="E186" s="19">
        <v>0.0</v>
      </c>
      <c r="F186" s="19"/>
      <c r="G186" s="56" t="s">
        <v>324</v>
      </c>
      <c r="H186" s="21"/>
      <c r="I186" s="22"/>
      <c r="J186" s="29"/>
      <c r="K186" s="43">
        <v>20800.0</v>
      </c>
      <c r="L186" s="44">
        <v>26000.0</v>
      </c>
      <c r="M186" s="25"/>
      <c r="N186" s="26"/>
      <c r="O186" s="27">
        <f t="shared" si="22"/>
        <v>0.25</v>
      </c>
      <c r="P186" s="28">
        <f t="shared" si="23"/>
        <v>0</v>
      </c>
    </row>
    <row r="187" hidden="1">
      <c r="A187" s="16" t="s">
        <v>325</v>
      </c>
      <c r="B187" s="17"/>
      <c r="C187" s="103"/>
      <c r="D187" s="4"/>
      <c r="E187" s="19">
        <v>0.0</v>
      </c>
      <c r="F187" s="19">
        <v>0.0</v>
      </c>
      <c r="G187" s="16" t="s">
        <v>84</v>
      </c>
      <c r="H187" s="21"/>
      <c r="I187" s="22">
        <v>1.0</v>
      </c>
      <c r="J187" s="29"/>
      <c r="K187" s="43">
        <v>18000.0</v>
      </c>
      <c r="L187" s="44">
        <v>25000.0</v>
      </c>
      <c r="M187" s="25"/>
      <c r="N187" s="69"/>
      <c r="O187" s="27">
        <f t="shared" si="22"/>
        <v>0.3888888889</v>
      </c>
      <c r="P187" s="28">
        <f t="shared" si="23"/>
        <v>0</v>
      </c>
    </row>
    <row r="188" hidden="1">
      <c r="A188" s="42" t="s">
        <v>326</v>
      </c>
      <c r="B188" s="71"/>
      <c r="C188" s="18"/>
      <c r="D188" s="4"/>
      <c r="E188" s="19">
        <v>0.0</v>
      </c>
      <c r="F188" s="19"/>
      <c r="G188" s="20" t="s">
        <v>291</v>
      </c>
      <c r="H188" s="21"/>
      <c r="I188" s="22"/>
      <c r="J188" s="29"/>
      <c r="K188" s="32">
        <v>1900.0</v>
      </c>
      <c r="L188" s="24">
        <v>3000.0</v>
      </c>
      <c r="M188" s="25"/>
      <c r="N188" s="50"/>
      <c r="O188" s="27">
        <f t="shared" si="22"/>
        <v>0.5789473684</v>
      </c>
      <c r="P188" s="28">
        <f t="shared" si="23"/>
        <v>0</v>
      </c>
    </row>
    <row r="189" hidden="1">
      <c r="A189" s="42" t="s">
        <v>327</v>
      </c>
      <c r="B189" s="114" t="s">
        <v>328</v>
      </c>
      <c r="C189" s="18"/>
      <c r="D189" s="4"/>
      <c r="E189" s="19">
        <v>0.0</v>
      </c>
      <c r="F189" s="19"/>
      <c r="G189" s="20" t="s">
        <v>291</v>
      </c>
      <c r="H189" s="21"/>
      <c r="I189" s="22"/>
      <c r="J189" s="29"/>
      <c r="K189" s="43">
        <v>3100.0</v>
      </c>
      <c r="L189" s="44">
        <v>5000.0</v>
      </c>
      <c r="M189" s="25"/>
      <c r="N189" s="50"/>
      <c r="O189" s="27">
        <f t="shared" si="22"/>
        <v>0.6129032258</v>
      </c>
      <c r="P189" s="28">
        <f t="shared" si="23"/>
        <v>0</v>
      </c>
    </row>
    <row r="190" hidden="1">
      <c r="A190" s="42" t="s">
        <v>329</v>
      </c>
      <c r="B190" s="36"/>
      <c r="C190" s="18"/>
      <c r="D190" s="4"/>
      <c r="E190" s="19">
        <v>0.0</v>
      </c>
      <c r="F190" s="19"/>
      <c r="G190" s="20" t="s">
        <v>291</v>
      </c>
      <c r="H190" s="21"/>
      <c r="I190" s="22"/>
      <c r="J190" s="29"/>
      <c r="K190" s="43">
        <v>27500.0</v>
      </c>
      <c r="L190" s="44">
        <v>48000.0</v>
      </c>
      <c r="M190" s="25"/>
      <c r="N190" s="50"/>
      <c r="O190" s="27">
        <f t="shared" si="22"/>
        <v>0.7454545455</v>
      </c>
      <c r="P190" s="28">
        <f t="shared" si="23"/>
        <v>0</v>
      </c>
    </row>
    <row r="191" hidden="1">
      <c r="A191" s="16" t="s">
        <v>330</v>
      </c>
      <c r="B191" s="49"/>
      <c r="C191" s="103"/>
      <c r="D191" s="4"/>
      <c r="E191" s="19">
        <v>0.0</v>
      </c>
      <c r="F191" s="19">
        <v>0.0</v>
      </c>
      <c r="G191" s="16" t="s">
        <v>331</v>
      </c>
      <c r="H191" s="21"/>
      <c r="I191" s="22">
        <f t="shared" ref="I191:I192" si="27">12+28</f>
        <v>40</v>
      </c>
      <c r="J191" s="29"/>
      <c r="K191" s="48">
        <v>5350.0</v>
      </c>
      <c r="L191" s="55">
        <v>8500.0</v>
      </c>
      <c r="M191" s="25"/>
      <c r="N191" s="70">
        <v>7500.0</v>
      </c>
      <c r="O191" s="27">
        <f t="shared" si="22"/>
        <v>0.5887850467</v>
      </c>
      <c r="P191" s="28">
        <f t="shared" si="23"/>
        <v>0</v>
      </c>
    </row>
    <row r="192" hidden="1">
      <c r="A192" s="40" t="s">
        <v>332</v>
      </c>
      <c r="B192" s="49"/>
      <c r="C192" s="103"/>
      <c r="D192" s="4"/>
      <c r="E192" s="19">
        <v>0.0</v>
      </c>
      <c r="F192" s="19">
        <v>0.0</v>
      </c>
      <c r="G192" s="16" t="s">
        <v>331</v>
      </c>
      <c r="H192" s="21"/>
      <c r="I192" s="22">
        <f t="shared" si="27"/>
        <v>40</v>
      </c>
      <c r="J192" s="29"/>
      <c r="K192" s="48">
        <v>3050.0</v>
      </c>
      <c r="L192" s="55">
        <v>5000.0</v>
      </c>
      <c r="M192" s="25"/>
      <c r="N192" s="70">
        <v>4500.0</v>
      </c>
      <c r="O192" s="27">
        <f t="shared" si="22"/>
        <v>0.6393442623</v>
      </c>
      <c r="P192" s="28">
        <f t="shared" si="23"/>
        <v>0</v>
      </c>
    </row>
    <row r="193" hidden="1">
      <c r="A193" s="16" t="s">
        <v>333</v>
      </c>
      <c r="B193" s="49"/>
      <c r="C193" s="103"/>
      <c r="D193" s="4"/>
      <c r="E193" s="19">
        <v>0.0</v>
      </c>
      <c r="F193" s="19">
        <v>0.0</v>
      </c>
      <c r="G193" s="20" t="s">
        <v>254</v>
      </c>
      <c r="H193" s="21"/>
      <c r="I193" s="22">
        <v>72.0</v>
      </c>
      <c r="J193" s="47">
        <v>46174.0</v>
      </c>
      <c r="K193" s="43">
        <f>19203*1.19</f>
        <v>22851.57</v>
      </c>
      <c r="L193" s="44">
        <v>32000.0</v>
      </c>
      <c r="M193" s="25"/>
      <c r="N193" s="26">
        <v>28000.0</v>
      </c>
      <c r="O193" s="27">
        <f t="shared" si="22"/>
        <v>0.4003414207</v>
      </c>
      <c r="P193" s="28">
        <f t="shared" si="23"/>
        <v>0</v>
      </c>
    </row>
    <row r="194" hidden="1">
      <c r="A194" s="16" t="s">
        <v>334</v>
      </c>
      <c r="B194" s="115" t="s">
        <v>335</v>
      </c>
      <c r="C194" s="103" t="s">
        <v>336</v>
      </c>
      <c r="D194" s="4"/>
      <c r="E194" s="19"/>
      <c r="F194" s="19"/>
      <c r="G194" s="20" t="s">
        <v>337</v>
      </c>
      <c r="H194" s="21"/>
      <c r="I194" s="22"/>
      <c r="J194" s="22" t="s">
        <v>338</v>
      </c>
      <c r="K194" s="48">
        <v>52000.0</v>
      </c>
      <c r="L194" s="55">
        <v>62000.0</v>
      </c>
      <c r="M194" s="25"/>
      <c r="N194" s="70"/>
      <c r="O194" s="27">
        <f t="shared" si="22"/>
        <v>0.1923076923</v>
      </c>
      <c r="P194" s="28">
        <f t="shared" si="23"/>
        <v>0</v>
      </c>
    </row>
    <row r="195" hidden="1">
      <c r="A195" s="16" t="s">
        <v>339</v>
      </c>
      <c r="B195" s="17"/>
      <c r="C195" s="103" t="s">
        <v>340</v>
      </c>
      <c r="D195" s="4"/>
      <c r="E195" s="19">
        <v>0.0</v>
      </c>
      <c r="F195" s="19">
        <v>0.0</v>
      </c>
      <c r="G195" s="20" t="s">
        <v>341</v>
      </c>
      <c r="H195" s="21"/>
      <c r="I195" s="22">
        <v>0.0</v>
      </c>
      <c r="J195" s="29"/>
      <c r="K195" s="43">
        <f>1639*1.19</f>
        <v>1950.41</v>
      </c>
      <c r="L195" s="44">
        <v>3000.0</v>
      </c>
      <c r="M195" s="25"/>
      <c r="N195" s="69"/>
      <c r="O195" s="27">
        <f t="shared" si="22"/>
        <v>0.5381381351</v>
      </c>
      <c r="P195" s="28">
        <f t="shared" si="23"/>
        <v>0</v>
      </c>
    </row>
    <row r="196" hidden="1">
      <c r="A196" s="16" t="s">
        <v>342</v>
      </c>
      <c r="B196" s="17"/>
      <c r="C196" s="103"/>
      <c r="D196" s="4"/>
      <c r="E196" s="19">
        <v>0.0</v>
      </c>
      <c r="F196" s="19">
        <v>0.0</v>
      </c>
      <c r="G196" s="20" t="s">
        <v>343</v>
      </c>
      <c r="H196" s="21"/>
      <c r="I196" s="22">
        <v>0.0</v>
      </c>
      <c r="J196" s="29"/>
      <c r="K196" s="43">
        <v>10500.0</v>
      </c>
      <c r="L196" s="44">
        <v>15000.0</v>
      </c>
      <c r="M196" s="25"/>
      <c r="N196" s="69"/>
      <c r="O196" s="27">
        <f t="shared" si="22"/>
        <v>0.4285714286</v>
      </c>
      <c r="P196" s="28">
        <f t="shared" si="23"/>
        <v>0</v>
      </c>
    </row>
    <row r="197" ht="17.25" hidden="1" customHeight="1">
      <c r="A197" s="16" t="s">
        <v>344</v>
      </c>
      <c r="B197" s="17"/>
      <c r="C197" s="103"/>
      <c r="D197" s="4"/>
      <c r="E197" s="19">
        <v>0.0</v>
      </c>
      <c r="F197" s="19"/>
      <c r="G197" s="20" t="s">
        <v>345</v>
      </c>
      <c r="H197" s="21"/>
      <c r="I197" s="22"/>
      <c r="J197" s="29"/>
      <c r="K197" s="43">
        <v>1000.0</v>
      </c>
      <c r="L197" s="44">
        <v>2000.0</v>
      </c>
      <c r="M197" s="25"/>
      <c r="N197" s="69"/>
      <c r="O197" s="27">
        <f t="shared" si="22"/>
        <v>1</v>
      </c>
      <c r="P197" s="28">
        <f t="shared" si="23"/>
        <v>0</v>
      </c>
    </row>
    <row r="198" hidden="1">
      <c r="A198" s="16" t="s">
        <v>346</v>
      </c>
      <c r="B198" s="17"/>
      <c r="C198" s="103"/>
      <c r="D198" s="4"/>
      <c r="E198" s="19">
        <v>0.0</v>
      </c>
      <c r="F198" s="19"/>
      <c r="G198" s="20" t="s">
        <v>345</v>
      </c>
      <c r="H198" s="21"/>
      <c r="I198" s="22"/>
      <c r="J198" s="29"/>
      <c r="K198" s="43">
        <v>13000.0</v>
      </c>
      <c r="L198" s="44">
        <v>20000.0</v>
      </c>
      <c r="M198" s="25"/>
      <c r="N198" s="69"/>
      <c r="O198" s="27">
        <f t="shared" si="22"/>
        <v>0.5384615385</v>
      </c>
      <c r="P198" s="28">
        <f t="shared" si="23"/>
        <v>0</v>
      </c>
    </row>
    <row r="199" hidden="1">
      <c r="A199" s="16" t="s">
        <v>347</v>
      </c>
      <c r="B199" s="49"/>
      <c r="C199" s="103" t="s">
        <v>336</v>
      </c>
      <c r="D199" s="4"/>
      <c r="E199" s="19"/>
      <c r="F199" s="19"/>
      <c r="G199" s="40" t="s">
        <v>98</v>
      </c>
      <c r="H199" s="21">
        <v>0.0</v>
      </c>
      <c r="I199" s="22"/>
      <c r="J199" s="47">
        <v>46054.0</v>
      </c>
      <c r="K199" s="24">
        <f>22500*1.19</f>
        <v>26775</v>
      </c>
      <c r="L199" s="24">
        <v>34000.0</v>
      </c>
      <c r="M199" s="25"/>
      <c r="N199" s="26">
        <v>31000.0</v>
      </c>
      <c r="O199" s="27">
        <f t="shared" si="22"/>
        <v>0.2698412698</v>
      </c>
      <c r="P199" s="28">
        <f t="shared" si="23"/>
        <v>0</v>
      </c>
    </row>
    <row r="200" hidden="1">
      <c r="A200" s="16" t="s">
        <v>348</v>
      </c>
      <c r="B200" s="49"/>
      <c r="C200" s="103"/>
      <c r="D200" s="4"/>
      <c r="E200" s="19"/>
      <c r="F200" s="19"/>
      <c r="G200" s="40" t="s">
        <v>98</v>
      </c>
      <c r="H200" s="21">
        <v>0.0</v>
      </c>
      <c r="I200" s="22"/>
      <c r="J200" s="29"/>
      <c r="K200" s="43">
        <f>1500*1.19</f>
        <v>1785</v>
      </c>
      <c r="L200" s="44">
        <v>3500.0</v>
      </c>
      <c r="M200" s="25"/>
      <c r="N200" s="26"/>
      <c r="O200" s="27">
        <f t="shared" si="22"/>
        <v>0.9607843137</v>
      </c>
      <c r="P200" s="28">
        <f t="shared" si="23"/>
        <v>0</v>
      </c>
    </row>
    <row r="201" hidden="1">
      <c r="A201" s="40" t="s">
        <v>349</v>
      </c>
      <c r="B201" s="17"/>
      <c r="C201" s="103"/>
      <c r="D201" s="4"/>
      <c r="E201" s="19">
        <v>0.0</v>
      </c>
      <c r="F201" s="19"/>
      <c r="G201" s="20" t="s">
        <v>350</v>
      </c>
      <c r="H201" s="21"/>
      <c r="I201" s="22"/>
      <c r="J201" s="29"/>
      <c r="K201" s="43">
        <v>1950.0</v>
      </c>
      <c r="L201" s="44">
        <v>3000.0</v>
      </c>
      <c r="M201" s="25"/>
      <c r="N201" s="69"/>
      <c r="O201" s="27">
        <f t="shared" si="22"/>
        <v>0.5384615385</v>
      </c>
      <c r="P201" s="28">
        <f t="shared" si="23"/>
        <v>0</v>
      </c>
    </row>
    <row r="202" hidden="1">
      <c r="A202" s="40" t="s">
        <v>351</v>
      </c>
      <c r="B202" s="17"/>
      <c r="C202" s="103" t="s">
        <v>336</v>
      </c>
      <c r="D202" s="4"/>
      <c r="E202" s="19"/>
      <c r="F202" s="19"/>
      <c r="G202" s="20" t="s">
        <v>352</v>
      </c>
      <c r="H202" s="21"/>
      <c r="I202" s="22"/>
      <c r="J202" s="22" t="s">
        <v>353</v>
      </c>
      <c r="K202" s="43">
        <f>36135*1.19</f>
        <v>43000.65</v>
      </c>
      <c r="L202" s="44">
        <v>58000.0</v>
      </c>
      <c r="M202" s="25"/>
      <c r="N202" s="70"/>
      <c r="O202" s="27">
        <f t="shared" si="22"/>
        <v>0.3488168202</v>
      </c>
      <c r="P202" s="28">
        <f t="shared" si="23"/>
        <v>0</v>
      </c>
    </row>
    <row r="203" hidden="1">
      <c r="A203" s="16" t="s">
        <v>354</v>
      </c>
      <c r="B203" s="17"/>
      <c r="C203" s="103"/>
      <c r="D203" s="4"/>
      <c r="E203" s="19">
        <v>0.0</v>
      </c>
      <c r="F203" s="19">
        <v>0.0</v>
      </c>
      <c r="G203" s="16" t="s">
        <v>355</v>
      </c>
      <c r="H203" s="21"/>
      <c r="I203" s="22">
        <v>0.0</v>
      </c>
      <c r="J203" s="29"/>
      <c r="K203" s="43">
        <v>2000.0</v>
      </c>
      <c r="L203" s="44">
        <v>4000.0</v>
      </c>
      <c r="M203" s="25"/>
      <c r="N203" s="69"/>
      <c r="O203" s="27">
        <f t="shared" si="22"/>
        <v>1</v>
      </c>
      <c r="P203" s="28">
        <f t="shared" si="23"/>
        <v>0</v>
      </c>
    </row>
    <row r="204" hidden="1">
      <c r="A204" s="16" t="s">
        <v>356</v>
      </c>
      <c r="B204" s="17" t="s">
        <v>357</v>
      </c>
      <c r="C204" s="103" t="s">
        <v>336</v>
      </c>
      <c r="D204" s="4"/>
      <c r="E204" s="19"/>
      <c r="F204" s="19"/>
      <c r="G204" s="20" t="s">
        <v>358</v>
      </c>
      <c r="H204" s="21"/>
      <c r="I204" s="22"/>
      <c r="J204" s="47">
        <v>47209.0</v>
      </c>
      <c r="K204" s="48">
        <v>34800.0</v>
      </c>
      <c r="L204" s="55">
        <v>42000.0</v>
      </c>
      <c r="M204" s="25"/>
      <c r="N204" s="70"/>
      <c r="O204" s="27">
        <f t="shared" si="22"/>
        <v>0.2068965517</v>
      </c>
      <c r="P204" s="28">
        <f t="shared" si="23"/>
        <v>0</v>
      </c>
    </row>
    <row r="205" hidden="1">
      <c r="A205" s="56" t="s">
        <v>359</v>
      </c>
      <c r="B205" s="49" t="s">
        <v>360</v>
      </c>
      <c r="C205" s="18"/>
      <c r="D205" s="4"/>
      <c r="E205" s="19"/>
      <c r="F205" s="19"/>
      <c r="G205" s="16" t="s">
        <v>98</v>
      </c>
      <c r="H205" s="21">
        <v>0.0</v>
      </c>
      <c r="I205" s="22">
        <v>20.0</v>
      </c>
      <c r="J205" s="47">
        <v>47331.0</v>
      </c>
      <c r="K205" s="48">
        <v>23000.0</v>
      </c>
      <c r="L205" s="48">
        <v>34000.0</v>
      </c>
      <c r="M205" s="25" t="s">
        <v>76</v>
      </c>
      <c r="N205" s="26">
        <v>28000.0</v>
      </c>
      <c r="O205" s="27">
        <f t="shared" si="22"/>
        <v>0.4782608696</v>
      </c>
      <c r="P205" s="28">
        <f t="shared" si="23"/>
        <v>0</v>
      </c>
    </row>
    <row r="206" hidden="1">
      <c r="A206" s="16" t="s">
        <v>361</v>
      </c>
      <c r="B206" s="49"/>
      <c r="C206" s="18"/>
      <c r="D206" s="4"/>
      <c r="E206" s="19"/>
      <c r="F206" s="19"/>
      <c r="G206" s="16" t="s">
        <v>200</v>
      </c>
      <c r="H206" s="21">
        <v>0.0</v>
      </c>
      <c r="I206" s="22">
        <v>26.0</v>
      </c>
      <c r="J206" s="47">
        <v>47239.0</v>
      </c>
      <c r="K206" s="48">
        <v>25850.0</v>
      </c>
      <c r="L206" s="55">
        <v>34000.0</v>
      </c>
      <c r="M206" s="25" t="s">
        <v>82</v>
      </c>
      <c r="N206" s="26">
        <v>28000.0</v>
      </c>
      <c r="O206" s="27">
        <f t="shared" si="22"/>
        <v>0.3152804642</v>
      </c>
      <c r="P206" s="28">
        <f t="shared" si="23"/>
        <v>0</v>
      </c>
    </row>
    <row r="207" hidden="1">
      <c r="A207" s="16" t="s">
        <v>362</v>
      </c>
      <c r="B207" s="51" t="s">
        <v>363</v>
      </c>
      <c r="C207" s="92" t="s">
        <v>279</v>
      </c>
      <c r="D207" s="61"/>
      <c r="E207" s="19"/>
      <c r="F207" s="62"/>
      <c r="G207" s="16" t="s">
        <v>91</v>
      </c>
      <c r="H207" s="21"/>
      <c r="I207" s="22">
        <v>25.0</v>
      </c>
      <c r="J207" s="47">
        <v>46023.0</v>
      </c>
      <c r="K207" s="60">
        <v>318000.0</v>
      </c>
      <c r="L207" s="55">
        <v>380000.0</v>
      </c>
      <c r="M207" s="25" t="s">
        <v>82</v>
      </c>
      <c r="N207" s="26"/>
      <c r="O207" s="27">
        <f t="shared" si="22"/>
        <v>0.1949685535</v>
      </c>
      <c r="P207" s="28">
        <f t="shared" si="23"/>
        <v>0</v>
      </c>
    </row>
    <row r="208" hidden="1">
      <c r="A208" s="16" t="s">
        <v>364</v>
      </c>
      <c r="B208" s="17"/>
      <c r="C208" s="38"/>
      <c r="D208" s="61"/>
      <c r="E208" s="19"/>
      <c r="F208" s="62"/>
      <c r="G208" s="16" t="s">
        <v>91</v>
      </c>
      <c r="H208" s="21"/>
      <c r="I208" s="22">
        <v>0.0</v>
      </c>
      <c r="J208" s="29"/>
      <c r="K208" s="32">
        <f>906000/100</f>
        <v>9060</v>
      </c>
      <c r="L208" s="24">
        <v>15000.0</v>
      </c>
      <c r="M208" s="25"/>
      <c r="N208" s="26"/>
      <c r="O208" s="27">
        <f t="shared" si="22"/>
        <v>0.6556291391</v>
      </c>
      <c r="P208" s="28">
        <f t="shared" si="23"/>
        <v>0</v>
      </c>
    </row>
    <row r="209" hidden="1">
      <c r="A209" s="16" t="s">
        <v>365</v>
      </c>
      <c r="B209" s="36" t="s">
        <v>366</v>
      </c>
      <c r="C209" s="18"/>
      <c r="D209" s="4"/>
      <c r="E209" s="19">
        <v>0.0</v>
      </c>
      <c r="F209" s="19">
        <v>0.0</v>
      </c>
      <c r="G209" s="16" t="s">
        <v>70</v>
      </c>
      <c r="H209" s="21"/>
      <c r="I209" s="22"/>
      <c r="J209" s="29"/>
      <c r="K209" s="48">
        <f t="shared" ref="K209:K210" si="28">100000</f>
        <v>100000</v>
      </c>
      <c r="L209" s="55">
        <v>140000.0</v>
      </c>
      <c r="M209" s="25" t="s">
        <v>76</v>
      </c>
      <c r="N209" s="26">
        <v>140000.0</v>
      </c>
      <c r="O209" s="27">
        <f t="shared" si="22"/>
        <v>0.4</v>
      </c>
      <c r="P209" s="28">
        <f t="shared" si="23"/>
        <v>0</v>
      </c>
    </row>
    <row r="210" hidden="1">
      <c r="A210" s="16" t="s">
        <v>367</v>
      </c>
      <c r="B210" s="36" t="s">
        <v>368</v>
      </c>
      <c r="C210" s="92"/>
      <c r="D210" s="4"/>
      <c r="E210" s="19">
        <v>0.0</v>
      </c>
      <c r="F210" s="19">
        <v>0.0</v>
      </c>
      <c r="G210" s="16" t="s">
        <v>70</v>
      </c>
      <c r="H210" s="21"/>
      <c r="I210" s="22"/>
      <c r="J210" s="29"/>
      <c r="K210" s="48">
        <f t="shared" si="28"/>
        <v>100000</v>
      </c>
      <c r="L210" s="55">
        <v>140000.0</v>
      </c>
      <c r="M210" s="25" t="s">
        <v>76</v>
      </c>
      <c r="N210" s="26">
        <v>140000.0</v>
      </c>
      <c r="O210" s="27">
        <f t="shared" si="22"/>
        <v>0.4</v>
      </c>
      <c r="P210" s="28">
        <f t="shared" si="23"/>
        <v>0</v>
      </c>
    </row>
    <row r="211" hidden="1">
      <c r="A211" s="16" t="s">
        <v>369</v>
      </c>
      <c r="B211" s="36"/>
      <c r="C211" s="18"/>
      <c r="D211" s="4" t="s">
        <v>154</v>
      </c>
      <c r="E211" s="19">
        <v>0.0</v>
      </c>
      <c r="F211" s="19">
        <v>0.0</v>
      </c>
      <c r="G211" s="16" t="s">
        <v>70</v>
      </c>
      <c r="H211" s="21"/>
      <c r="I211" s="22"/>
      <c r="J211" s="29"/>
      <c r="K211" s="43">
        <f t="shared" ref="K211:K212" si="29">200000*0.8</f>
        <v>160000</v>
      </c>
      <c r="L211" s="43">
        <v>230000.0</v>
      </c>
      <c r="M211" s="25"/>
      <c r="N211" s="26"/>
      <c r="O211" s="27">
        <f t="shared" si="22"/>
        <v>0.4375</v>
      </c>
      <c r="P211" s="28">
        <f t="shared" si="23"/>
        <v>0</v>
      </c>
    </row>
    <row r="212" hidden="1">
      <c r="A212" s="16" t="s">
        <v>370</v>
      </c>
      <c r="B212" s="36"/>
      <c r="C212" s="18"/>
      <c r="D212" s="4" t="s">
        <v>154</v>
      </c>
      <c r="E212" s="19">
        <v>0.0</v>
      </c>
      <c r="F212" s="19">
        <v>0.0</v>
      </c>
      <c r="G212" s="16" t="s">
        <v>70</v>
      </c>
      <c r="H212" s="21"/>
      <c r="I212" s="22"/>
      <c r="J212" s="29"/>
      <c r="K212" s="43">
        <f t="shared" si="29"/>
        <v>160000</v>
      </c>
      <c r="L212" s="43">
        <v>230000.0</v>
      </c>
      <c r="M212" s="25"/>
      <c r="N212" s="26"/>
      <c r="O212" s="27">
        <f t="shared" si="22"/>
        <v>0.4375</v>
      </c>
      <c r="P212" s="28">
        <f t="shared" si="23"/>
        <v>0</v>
      </c>
    </row>
    <row r="213" hidden="1">
      <c r="A213" s="16" t="s">
        <v>371</v>
      </c>
      <c r="B213" s="36"/>
      <c r="C213" s="103"/>
      <c r="D213" s="4"/>
      <c r="E213" s="19">
        <v>0.0</v>
      </c>
      <c r="F213" s="19">
        <v>0.0</v>
      </c>
      <c r="G213" s="56" t="s">
        <v>372</v>
      </c>
      <c r="H213" s="21"/>
      <c r="I213" s="22"/>
      <c r="J213" s="29" t="s">
        <v>373</v>
      </c>
      <c r="K213" s="48">
        <v>48744.0</v>
      </c>
      <c r="L213" s="55">
        <v>62000.0</v>
      </c>
      <c r="M213" s="25" t="s">
        <v>82</v>
      </c>
      <c r="N213" s="26"/>
      <c r="O213" s="27">
        <f t="shared" si="22"/>
        <v>0.2719514197</v>
      </c>
      <c r="P213" s="28">
        <f t="shared" si="23"/>
        <v>0</v>
      </c>
    </row>
    <row r="214" hidden="1">
      <c r="A214" s="16" t="s">
        <v>374</v>
      </c>
      <c r="B214" s="49"/>
      <c r="C214" s="103"/>
      <c r="D214" s="4"/>
      <c r="E214" s="19"/>
      <c r="F214" s="19"/>
      <c r="G214" s="40" t="s">
        <v>375</v>
      </c>
      <c r="H214" s="21">
        <v>0.0</v>
      </c>
      <c r="I214" s="22"/>
      <c r="J214" s="29"/>
      <c r="K214" s="43">
        <f>90000/50</f>
        <v>1800</v>
      </c>
      <c r="L214" s="44">
        <v>3000.0</v>
      </c>
      <c r="M214" s="25"/>
      <c r="N214" s="26"/>
      <c r="O214" s="27">
        <f t="shared" si="22"/>
        <v>0.6666666667</v>
      </c>
      <c r="P214" s="28">
        <f t="shared" si="23"/>
        <v>0</v>
      </c>
    </row>
    <row r="215" hidden="1">
      <c r="A215" s="16" t="s">
        <v>376</v>
      </c>
      <c r="B215" s="17"/>
      <c r="C215" s="18"/>
      <c r="D215" s="4"/>
      <c r="E215" s="19">
        <v>0.0</v>
      </c>
      <c r="F215" s="19">
        <v>0.0</v>
      </c>
      <c r="G215" s="20" t="s">
        <v>377</v>
      </c>
      <c r="H215" s="21"/>
      <c r="I215" s="22">
        <v>0.0</v>
      </c>
      <c r="J215" s="29"/>
      <c r="K215" s="43">
        <v>8900.0</v>
      </c>
      <c r="L215" s="44">
        <v>14000.0</v>
      </c>
      <c r="M215" s="25"/>
      <c r="N215" s="31"/>
      <c r="O215" s="27">
        <f t="shared" si="22"/>
        <v>0.5730337079</v>
      </c>
      <c r="P215" s="28">
        <f t="shared" si="23"/>
        <v>0</v>
      </c>
    </row>
    <row r="216" hidden="1">
      <c r="A216" s="16" t="s">
        <v>378</v>
      </c>
      <c r="B216" s="49" t="s">
        <v>379</v>
      </c>
      <c r="C216" s="38"/>
      <c r="D216" s="4"/>
      <c r="E216" s="19"/>
      <c r="F216" s="62"/>
      <c r="G216" s="40" t="s">
        <v>98</v>
      </c>
      <c r="H216" s="21">
        <v>0.0</v>
      </c>
      <c r="I216" s="22"/>
      <c r="J216" s="47">
        <v>46174.0</v>
      </c>
      <c r="K216" s="48">
        <f>82000/5</f>
        <v>16400</v>
      </c>
      <c r="L216" s="55">
        <v>18000.0</v>
      </c>
      <c r="M216" s="25" t="s">
        <v>76</v>
      </c>
      <c r="N216" s="70"/>
      <c r="O216" s="27">
        <f t="shared" si="22"/>
        <v>0.09756097561</v>
      </c>
      <c r="P216" s="28">
        <f t="shared" si="23"/>
        <v>0</v>
      </c>
    </row>
    <row r="217" hidden="1">
      <c r="A217" s="16" t="s">
        <v>380</v>
      </c>
      <c r="B217" s="49" t="s">
        <v>381</v>
      </c>
      <c r="C217" s="38">
        <f>L217/5</f>
        <v>16400</v>
      </c>
      <c r="D217" s="4"/>
      <c r="E217" s="19"/>
      <c r="F217" s="62"/>
      <c r="G217" s="40" t="s">
        <v>98</v>
      </c>
      <c r="H217" s="21">
        <v>0.0</v>
      </c>
      <c r="I217" s="22">
        <v>9.0</v>
      </c>
      <c r="J217" s="47">
        <v>46174.0</v>
      </c>
      <c r="K217" s="48">
        <v>68300.0</v>
      </c>
      <c r="L217" s="55">
        <v>82000.0</v>
      </c>
      <c r="M217" s="25" t="s">
        <v>76</v>
      </c>
      <c r="N217" s="65">
        <v>75000.0</v>
      </c>
      <c r="O217" s="27">
        <f t="shared" si="22"/>
        <v>0.2005856515</v>
      </c>
      <c r="P217" s="28">
        <f t="shared" si="23"/>
        <v>0</v>
      </c>
    </row>
    <row r="218" hidden="1">
      <c r="A218" s="16" t="s">
        <v>382</v>
      </c>
      <c r="B218" s="49" t="s">
        <v>381</v>
      </c>
      <c r="C218" s="18"/>
      <c r="D218" s="4"/>
      <c r="E218" s="19"/>
      <c r="F218" s="19"/>
      <c r="G218" s="16" t="s">
        <v>98</v>
      </c>
      <c r="H218" s="21">
        <v>0.0</v>
      </c>
      <c r="I218" s="22">
        <f>13*3</f>
        <v>39</v>
      </c>
      <c r="J218" s="47"/>
      <c r="K218" s="48">
        <v>52100.0</v>
      </c>
      <c r="L218" s="55">
        <v>63000.0</v>
      </c>
      <c r="M218" s="116" t="s">
        <v>76</v>
      </c>
      <c r="N218" s="48">
        <v>57000.0</v>
      </c>
      <c r="O218" s="27">
        <f t="shared" si="22"/>
        <v>0.2092130518</v>
      </c>
      <c r="P218" s="28">
        <f t="shared" si="23"/>
        <v>0</v>
      </c>
    </row>
    <row r="219" hidden="1">
      <c r="A219" s="16" t="s">
        <v>383</v>
      </c>
      <c r="B219" s="49" t="s">
        <v>381</v>
      </c>
      <c r="C219" s="18"/>
      <c r="D219" s="4"/>
      <c r="E219" s="19"/>
      <c r="F219" s="19"/>
      <c r="G219" s="16" t="s">
        <v>98</v>
      </c>
      <c r="H219" s="21">
        <v>0.0</v>
      </c>
      <c r="I219" s="22"/>
      <c r="J219" s="47"/>
      <c r="K219" s="48">
        <v>52100.0</v>
      </c>
      <c r="L219" s="55">
        <v>63000.0</v>
      </c>
      <c r="M219" s="116" t="s">
        <v>76</v>
      </c>
      <c r="N219" s="48">
        <v>57000.0</v>
      </c>
      <c r="O219" s="27">
        <f t="shared" si="22"/>
        <v>0.2092130518</v>
      </c>
      <c r="P219" s="28">
        <f t="shared" si="23"/>
        <v>0</v>
      </c>
    </row>
    <row r="220" hidden="1">
      <c r="A220" s="16" t="s">
        <v>384</v>
      </c>
      <c r="B220" s="49" t="s">
        <v>379</v>
      </c>
      <c r="C220" s="18"/>
      <c r="D220" s="4"/>
      <c r="E220" s="19"/>
      <c r="F220" s="19"/>
      <c r="G220" s="16" t="s">
        <v>98</v>
      </c>
      <c r="H220" s="21">
        <v>0.0</v>
      </c>
      <c r="I220" s="22"/>
      <c r="J220" s="47"/>
      <c r="K220" s="48">
        <f>63000/5</f>
        <v>12600</v>
      </c>
      <c r="L220" s="55">
        <v>15000.0</v>
      </c>
      <c r="M220" s="116" t="s">
        <v>76</v>
      </c>
      <c r="N220" s="117"/>
      <c r="O220" s="27">
        <f t="shared" si="22"/>
        <v>0.1904761905</v>
      </c>
      <c r="P220" s="28">
        <f t="shared" si="23"/>
        <v>0</v>
      </c>
    </row>
    <row r="221" hidden="1">
      <c r="A221" s="16" t="s">
        <v>385</v>
      </c>
      <c r="B221" s="49" t="s">
        <v>379</v>
      </c>
      <c r="C221" s="18"/>
      <c r="D221" s="4"/>
      <c r="E221" s="19"/>
      <c r="F221" s="19"/>
      <c r="G221" s="16" t="s">
        <v>98</v>
      </c>
      <c r="H221" s="21">
        <v>0.0</v>
      </c>
      <c r="I221" s="22">
        <f t="shared" ref="I221:I222" si="30">13*3</f>
        <v>39</v>
      </c>
      <c r="J221" s="47"/>
      <c r="K221" s="48">
        <v>61300.0</v>
      </c>
      <c r="L221" s="55">
        <v>72000.0</v>
      </c>
      <c r="M221" s="116" t="s">
        <v>76</v>
      </c>
      <c r="N221" s="26"/>
      <c r="O221" s="27">
        <f t="shared" si="22"/>
        <v>0.1745513866</v>
      </c>
      <c r="P221" s="28">
        <f t="shared" si="23"/>
        <v>0</v>
      </c>
    </row>
    <row r="222" hidden="1">
      <c r="A222" s="54" t="s">
        <v>386</v>
      </c>
      <c r="B222" s="49" t="s">
        <v>381</v>
      </c>
      <c r="C222" s="18"/>
      <c r="D222" s="4"/>
      <c r="E222" s="19"/>
      <c r="F222" s="19"/>
      <c r="G222" s="16" t="s">
        <v>98</v>
      </c>
      <c r="H222" s="21">
        <v>0.0</v>
      </c>
      <c r="I222" s="22">
        <f t="shared" si="30"/>
        <v>39</v>
      </c>
      <c r="J222" s="47"/>
      <c r="K222" s="48">
        <f>72000/5</f>
        <v>14400</v>
      </c>
      <c r="L222" s="55">
        <v>18000.0</v>
      </c>
      <c r="M222" s="116" t="s">
        <v>76</v>
      </c>
      <c r="N222" s="48"/>
      <c r="O222" s="27">
        <f t="shared" si="22"/>
        <v>0.25</v>
      </c>
      <c r="P222" s="28">
        <f t="shared" si="23"/>
        <v>0</v>
      </c>
    </row>
    <row r="223" hidden="1">
      <c r="A223" s="16" t="s">
        <v>387</v>
      </c>
      <c r="B223" s="49" t="s">
        <v>381</v>
      </c>
      <c r="C223" s="18"/>
      <c r="D223" s="4"/>
      <c r="E223" s="19"/>
      <c r="F223" s="19"/>
      <c r="G223" s="16" t="s">
        <v>98</v>
      </c>
      <c r="H223" s="21">
        <v>0.0</v>
      </c>
      <c r="I223" s="22">
        <v>4.0</v>
      </c>
      <c r="J223" s="47">
        <v>46143.0</v>
      </c>
      <c r="K223" s="60">
        <v>63000.0</v>
      </c>
      <c r="L223" s="55">
        <v>76000.0</v>
      </c>
      <c r="M223" s="25" t="s">
        <v>76</v>
      </c>
      <c r="N223" s="65">
        <v>68000.0</v>
      </c>
      <c r="O223" s="27">
        <f t="shared" si="22"/>
        <v>0.2063492063</v>
      </c>
      <c r="P223" s="28">
        <f t="shared" si="23"/>
        <v>0</v>
      </c>
    </row>
    <row r="224" hidden="1">
      <c r="A224" s="16" t="s">
        <v>388</v>
      </c>
      <c r="B224" s="49" t="s">
        <v>379</v>
      </c>
      <c r="C224" s="18"/>
      <c r="D224" s="4"/>
      <c r="E224" s="19"/>
      <c r="F224" s="19"/>
      <c r="G224" s="16" t="s">
        <v>98</v>
      </c>
      <c r="H224" s="21">
        <v>0.0</v>
      </c>
      <c r="I224" s="22"/>
      <c r="J224" s="47">
        <v>46143.0</v>
      </c>
      <c r="K224" s="60">
        <f>76000/5</f>
        <v>15200</v>
      </c>
      <c r="L224" s="55">
        <v>18000.0</v>
      </c>
      <c r="M224" s="25" t="s">
        <v>76</v>
      </c>
      <c r="N224" s="70"/>
      <c r="O224" s="27">
        <f t="shared" si="22"/>
        <v>0.1842105263</v>
      </c>
      <c r="P224" s="28">
        <f t="shared" si="23"/>
        <v>0</v>
      </c>
    </row>
    <row r="225" hidden="1">
      <c r="A225" s="16" t="s">
        <v>389</v>
      </c>
      <c r="B225" s="36"/>
      <c r="C225" s="109"/>
      <c r="D225" s="4"/>
      <c r="E225" s="19"/>
      <c r="F225" s="19">
        <v>3.0</v>
      </c>
      <c r="G225" s="40" t="s">
        <v>93</v>
      </c>
      <c r="H225" s="21"/>
      <c r="I225" s="22"/>
      <c r="J225" s="29"/>
      <c r="K225" s="48">
        <v>74900.0</v>
      </c>
      <c r="L225" s="55">
        <v>85000.0</v>
      </c>
      <c r="M225" s="25" t="s">
        <v>76</v>
      </c>
      <c r="N225" s="69"/>
      <c r="O225" s="27">
        <f t="shared" si="22"/>
        <v>0.1348464619</v>
      </c>
      <c r="P225" s="28">
        <f t="shared" si="23"/>
        <v>224700</v>
      </c>
    </row>
    <row r="226" hidden="1">
      <c r="A226" s="16" t="s">
        <v>390</v>
      </c>
      <c r="B226" s="36"/>
      <c r="C226" s="109"/>
      <c r="D226" s="4"/>
      <c r="E226" s="19"/>
      <c r="F226" s="19">
        <v>0.0</v>
      </c>
      <c r="G226" s="40" t="s">
        <v>93</v>
      </c>
      <c r="H226" s="21"/>
      <c r="I226" s="22"/>
      <c r="J226" s="29"/>
      <c r="K226" s="48">
        <v>74900.0</v>
      </c>
      <c r="L226" s="55">
        <v>85000.0</v>
      </c>
      <c r="M226" s="25"/>
      <c r="N226" s="69"/>
      <c r="O226" s="27">
        <f t="shared" si="22"/>
        <v>0.1348464619</v>
      </c>
      <c r="P226" s="28">
        <f t="shared" si="23"/>
        <v>0</v>
      </c>
    </row>
    <row r="227" hidden="1">
      <c r="A227" s="16" t="s">
        <v>391</v>
      </c>
      <c r="B227" s="36"/>
      <c r="C227" s="109"/>
      <c r="D227" s="4"/>
      <c r="E227" s="19"/>
      <c r="F227" s="19">
        <v>0.0</v>
      </c>
      <c r="G227" s="40" t="s">
        <v>93</v>
      </c>
      <c r="H227" s="21"/>
      <c r="I227" s="22"/>
      <c r="J227" s="29"/>
      <c r="K227" s="48">
        <f>85000/5</f>
        <v>17000</v>
      </c>
      <c r="L227" s="55">
        <v>20000.0</v>
      </c>
      <c r="M227" s="25"/>
      <c r="N227" s="69"/>
      <c r="O227" s="27">
        <f t="shared" si="22"/>
        <v>0.1764705882</v>
      </c>
      <c r="P227" s="28">
        <f t="shared" si="23"/>
        <v>0</v>
      </c>
    </row>
    <row r="228" hidden="1">
      <c r="A228" s="16" t="s">
        <v>392</v>
      </c>
      <c r="B228" s="17"/>
      <c r="C228" s="18"/>
      <c r="D228" s="4"/>
      <c r="E228" s="19">
        <v>0.0</v>
      </c>
      <c r="F228" s="19">
        <v>0.0</v>
      </c>
      <c r="G228" s="16" t="s">
        <v>393</v>
      </c>
      <c r="H228" s="21">
        <v>0.0</v>
      </c>
      <c r="I228" s="22">
        <v>0.0</v>
      </c>
      <c r="J228" s="29"/>
      <c r="K228" s="48">
        <v>23000.0</v>
      </c>
      <c r="L228" s="55">
        <v>34000.0</v>
      </c>
      <c r="M228" s="25"/>
      <c r="N228" s="31">
        <v>28000.0</v>
      </c>
      <c r="O228" s="27">
        <f t="shared" si="22"/>
        <v>0.4782608696</v>
      </c>
      <c r="P228" s="28">
        <f t="shared" si="23"/>
        <v>0</v>
      </c>
    </row>
    <row r="229" hidden="1">
      <c r="A229" s="16" t="s">
        <v>394</v>
      </c>
      <c r="B229" s="17"/>
      <c r="C229" s="18"/>
      <c r="D229" s="4"/>
      <c r="E229" s="19">
        <v>0.0</v>
      </c>
      <c r="F229" s="19">
        <v>0.0</v>
      </c>
      <c r="G229" s="16" t="s">
        <v>393</v>
      </c>
      <c r="H229" s="21">
        <v>0.0</v>
      </c>
      <c r="I229" s="22">
        <v>0.0</v>
      </c>
      <c r="J229" s="29"/>
      <c r="K229" s="48">
        <v>68000.0</v>
      </c>
      <c r="L229" s="55">
        <v>86000.0</v>
      </c>
      <c r="M229" s="25"/>
      <c r="N229" s="31">
        <v>78000.0</v>
      </c>
      <c r="O229" s="27">
        <f t="shared" si="22"/>
        <v>0.2647058824</v>
      </c>
      <c r="P229" s="28">
        <f t="shared" si="23"/>
        <v>0</v>
      </c>
    </row>
    <row r="230" hidden="1">
      <c r="A230" s="52" t="s">
        <v>395</v>
      </c>
      <c r="B230" s="17"/>
      <c r="C230" s="109"/>
      <c r="D230" s="4"/>
      <c r="E230" s="19">
        <v>0.0</v>
      </c>
      <c r="F230" s="19"/>
      <c r="G230" s="20" t="s">
        <v>396</v>
      </c>
      <c r="H230" s="21"/>
      <c r="I230" s="22"/>
      <c r="J230" s="29"/>
      <c r="K230" s="48">
        <v>10710.0</v>
      </c>
      <c r="L230" s="44">
        <v>9000.0</v>
      </c>
      <c r="M230" s="25"/>
      <c r="N230" s="69"/>
      <c r="O230" s="27">
        <f t="shared" si="22"/>
        <v>-0.1596638655</v>
      </c>
      <c r="P230" s="28">
        <f t="shared" si="23"/>
        <v>0</v>
      </c>
    </row>
    <row r="231" hidden="1">
      <c r="A231" s="52" t="s">
        <v>397</v>
      </c>
      <c r="B231" s="17"/>
      <c r="C231" s="109"/>
      <c r="D231" s="4"/>
      <c r="E231" s="19">
        <v>0.0</v>
      </c>
      <c r="F231" s="19"/>
      <c r="G231" s="20" t="s">
        <v>396</v>
      </c>
      <c r="H231" s="21"/>
      <c r="I231" s="22"/>
      <c r="J231" s="29"/>
      <c r="K231" s="48">
        <v>8330.0</v>
      </c>
      <c r="L231" s="44">
        <v>8000.0</v>
      </c>
      <c r="M231" s="25"/>
      <c r="N231" s="69"/>
      <c r="O231" s="27">
        <f t="shared" si="22"/>
        <v>-0.03961584634</v>
      </c>
      <c r="P231" s="28">
        <f t="shared" si="23"/>
        <v>0</v>
      </c>
    </row>
    <row r="232" hidden="1">
      <c r="A232" s="118" t="s">
        <v>398</v>
      </c>
      <c r="B232" s="17"/>
      <c r="C232" s="109"/>
      <c r="D232" s="4"/>
      <c r="E232" s="19">
        <v>0.0</v>
      </c>
      <c r="F232" s="19"/>
      <c r="G232" s="20" t="s">
        <v>396</v>
      </c>
      <c r="H232" s="21"/>
      <c r="I232" s="22"/>
      <c r="J232" s="29"/>
      <c r="K232" s="48">
        <v>9520.0</v>
      </c>
      <c r="L232" s="44">
        <v>9000.0</v>
      </c>
      <c r="M232" s="25"/>
      <c r="N232" s="69"/>
      <c r="O232" s="27">
        <f t="shared" si="22"/>
        <v>-0.05462184874</v>
      </c>
      <c r="P232" s="28">
        <f t="shared" si="23"/>
        <v>0</v>
      </c>
    </row>
    <row r="233" hidden="1">
      <c r="A233" s="119" t="s">
        <v>399</v>
      </c>
      <c r="B233" s="51"/>
      <c r="C233" s="18"/>
      <c r="D233" s="4"/>
      <c r="E233" s="19">
        <v>0.0</v>
      </c>
      <c r="F233" s="19">
        <v>0.0</v>
      </c>
      <c r="G233" s="120" t="s">
        <v>400</v>
      </c>
      <c r="H233" s="21"/>
      <c r="I233" s="22">
        <v>9.0</v>
      </c>
      <c r="J233" s="29"/>
      <c r="K233" s="43"/>
      <c r="L233" s="44"/>
      <c r="M233" s="25"/>
      <c r="N233" s="26"/>
      <c r="O233" s="27"/>
      <c r="P233" s="28"/>
    </row>
    <row r="234" hidden="1">
      <c r="A234" s="16" t="s">
        <v>401</v>
      </c>
      <c r="B234" s="17"/>
      <c r="C234" s="109"/>
      <c r="D234" s="4"/>
      <c r="E234" s="19">
        <v>0.0</v>
      </c>
      <c r="F234" s="19">
        <v>0.0</v>
      </c>
      <c r="G234" s="54" t="s">
        <v>63</v>
      </c>
      <c r="H234" s="21"/>
      <c r="I234" s="22">
        <v>3.0</v>
      </c>
      <c r="J234" s="29"/>
      <c r="K234" s="32">
        <f>90640/2</f>
        <v>45320</v>
      </c>
      <c r="L234" s="24">
        <v>70000.0</v>
      </c>
      <c r="M234" s="25" t="s">
        <v>76</v>
      </c>
      <c r="N234" s="26"/>
      <c r="O234" s="27">
        <f t="shared" ref="O234:O248" si="31">(L234/K234)-1</f>
        <v>0.5445719329</v>
      </c>
      <c r="P234" s="28">
        <f t="shared" ref="P234:P253" si="32">K234*F234</f>
        <v>0</v>
      </c>
    </row>
    <row r="235" hidden="1">
      <c r="A235" s="16" t="s">
        <v>402</v>
      </c>
      <c r="B235" s="17"/>
      <c r="C235" s="109"/>
      <c r="D235" s="4"/>
      <c r="E235" s="19">
        <v>0.0</v>
      </c>
      <c r="F235" s="19">
        <v>0.0</v>
      </c>
      <c r="G235" s="16" t="s">
        <v>16</v>
      </c>
      <c r="H235" s="21"/>
      <c r="I235" s="22">
        <v>0.0</v>
      </c>
      <c r="J235" s="29"/>
      <c r="K235" s="43">
        <v>20000.0</v>
      </c>
      <c r="L235" s="44">
        <v>35000.0</v>
      </c>
      <c r="M235" s="25"/>
      <c r="N235" s="69"/>
      <c r="O235" s="27">
        <f t="shared" si="31"/>
        <v>0.75</v>
      </c>
      <c r="P235" s="28">
        <f t="shared" si="32"/>
        <v>0</v>
      </c>
    </row>
    <row r="236" hidden="1">
      <c r="A236" s="42" t="s">
        <v>403</v>
      </c>
      <c r="B236" s="121"/>
      <c r="C236" s="109"/>
      <c r="D236" s="4"/>
      <c r="E236" s="19">
        <v>0.0</v>
      </c>
      <c r="F236" s="19">
        <v>0.0</v>
      </c>
      <c r="G236" s="20" t="s">
        <v>84</v>
      </c>
      <c r="H236" s="21"/>
      <c r="I236" s="22">
        <v>0.0</v>
      </c>
      <c r="J236" s="29"/>
      <c r="K236" s="43">
        <v>17600.0</v>
      </c>
      <c r="L236" s="44">
        <v>32000.0</v>
      </c>
      <c r="M236" s="25"/>
      <c r="N236" s="69"/>
      <c r="O236" s="27">
        <f t="shared" si="31"/>
        <v>0.8181818182</v>
      </c>
      <c r="P236" s="28">
        <f t="shared" si="32"/>
        <v>0</v>
      </c>
    </row>
    <row r="237" hidden="1">
      <c r="A237" s="16" t="s">
        <v>404</v>
      </c>
      <c r="B237" s="17"/>
      <c r="C237" s="109"/>
      <c r="D237" s="4"/>
      <c r="E237" s="19">
        <v>0.0</v>
      </c>
      <c r="F237" s="19">
        <v>0.0</v>
      </c>
      <c r="G237" s="16" t="s">
        <v>405</v>
      </c>
      <c r="H237" s="21"/>
      <c r="I237" s="22">
        <v>0.0</v>
      </c>
      <c r="J237" s="29"/>
      <c r="K237" s="32">
        <v>4300.0</v>
      </c>
      <c r="L237" s="32">
        <v>9000.0</v>
      </c>
      <c r="M237" s="25"/>
      <c r="N237" s="69"/>
      <c r="O237" s="27">
        <f t="shared" si="31"/>
        <v>1.093023256</v>
      </c>
      <c r="P237" s="28">
        <f t="shared" si="32"/>
        <v>0</v>
      </c>
    </row>
    <row r="238" hidden="1">
      <c r="A238" s="16" t="s">
        <v>406</v>
      </c>
      <c r="B238" s="17" t="s">
        <v>407</v>
      </c>
      <c r="C238" s="109"/>
      <c r="D238" s="4"/>
      <c r="E238" s="19">
        <v>0.0</v>
      </c>
      <c r="F238" s="19">
        <v>0.0</v>
      </c>
      <c r="G238" s="16" t="s">
        <v>405</v>
      </c>
      <c r="H238" s="21"/>
      <c r="I238" s="22">
        <v>0.0</v>
      </c>
      <c r="J238" s="29"/>
      <c r="K238" s="32">
        <v>4900.0</v>
      </c>
      <c r="L238" s="32">
        <v>9000.0</v>
      </c>
      <c r="M238" s="25"/>
      <c r="N238" s="69"/>
      <c r="O238" s="27">
        <f t="shared" si="31"/>
        <v>0.8367346939</v>
      </c>
      <c r="P238" s="28">
        <f t="shared" si="32"/>
        <v>0</v>
      </c>
    </row>
    <row r="239" hidden="1">
      <c r="A239" s="16" t="s">
        <v>408</v>
      </c>
      <c r="B239" s="17" t="s">
        <v>409</v>
      </c>
      <c r="C239" s="109"/>
      <c r="D239" s="4"/>
      <c r="E239" s="19">
        <v>0.0</v>
      </c>
      <c r="F239" s="19">
        <v>0.0</v>
      </c>
      <c r="G239" s="16" t="s">
        <v>405</v>
      </c>
      <c r="H239" s="21"/>
      <c r="I239" s="22">
        <v>0.0</v>
      </c>
      <c r="J239" s="29"/>
      <c r="K239" s="32">
        <v>3360.0</v>
      </c>
      <c r="L239" s="32">
        <v>9000.0</v>
      </c>
      <c r="M239" s="25"/>
      <c r="N239" s="69"/>
      <c r="O239" s="27">
        <f t="shared" si="31"/>
        <v>1.678571429</v>
      </c>
      <c r="P239" s="28">
        <f t="shared" si="32"/>
        <v>0</v>
      </c>
    </row>
    <row r="240" hidden="1">
      <c r="A240" s="16" t="s">
        <v>410</v>
      </c>
      <c r="B240" s="17"/>
      <c r="C240" s="109"/>
      <c r="D240" s="4"/>
      <c r="E240" s="19">
        <v>0.0</v>
      </c>
      <c r="F240" s="19"/>
      <c r="G240" s="16" t="s">
        <v>411</v>
      </c>
      <c r="H240" s="21"/>
      <c r="I240" s="22"/>
      <c r="J240" s="29"/>
      <c r="K240" s="32">
        <f>84000/10</f>
        <v>8400</v>
      </c>
      <c r="L240" s="24">
        <v>18000.0</v>
      </c>
      <c r="M240" s="25" t="s">
        <v>76</v>
      </c>
      <c r="N240" s="69"/>
      <c r="O240" s="27">
        <f t="shared" si="31"/>
        <v>1.142857143</v>
      </c>
      <c r="P240" s="28">
        <f t="shared" si="32"/>
        <v>0</v>
      </c>
    </row>
    <row r="241" hidden="1">
      <c r="A241" s="16" t="s">
        <v>412</v>
      </c>
      <c r="B241" s="17" t="s">
        <v>413</v>
      </c>
      <c r="C241" s="109"/>
      <c r="D241" s="4"/>
      <c r="E241" s="19">
        <v>0.0</v>
      </c>
      <c r="F241" s="19">
        <v>0.0</v>
      </c>
      <c r="G241" s="16" t="s">
        <v>405</v>
      </c>
      <c r="H241" s="21"/>
      <c r="I241" s="22">
        <v>0.0</v>
      </c>
      <c r="J241" s="29"/>
      <c r="K241" s="48">
        <v>6500.0</v>
      </c>
      <c r="L241" s="48">
        <v>9000.0</v>
      </c>
      <c r="M241" s="25"/>
      <c r="N241" s="69"/>
      <c r="O241" s="27">
        <f t="shared" si="31"/>
        <v>0.3846153846</v>
      </c>
      <c r="P241" s="28">
        <f t="shared" si="32"/>
        <v>0</v>
      </c>
    </row>
    <row r="242" hidden="1">
      <c r="A242" s="16" t="s">
        <v>414</v>
      </c>
      <c r="B242" s="17" t="s">
        <v>415</v>
      </c>
      <c r="C242" s="109"/>
      <c r="D242" s="4"/>
      <c r="E242" s="19">
        <v>0.0</v>
      </c>
      <c r="F242" s="19">
        <v>0.0</v>
      </c>
      <c r="G242" s="16" t="s">
        <v>405</v>
      </c>
      <c r="H242" s="21"/>
      <c r="I242" s="22">
        <v>0.0</v>
      </c>
      <c r="J242" s="29"/>
      <c r="K242" s="48">
        <v>3900.0</v>
      </c>
      <c r="L242" s="48">
        <v>9000.0</v>
      </c>
      <c r="M242" s="25"/>
      <c r="N242" s="69"/>
      <c r="O242" s="27">
        <f t="shared" si="31"/>
        <v>1.307692308</v>
      </c>
      <c r="P242" s="28">
        <f t="shared" si="32"/>
        <v>0</v>
      </c>
    </row>
    <row r="243" hidden="1">
      <c r="A243" s="16" t="s">
        <v>416</v>
      </c>
      <c r="B243" s="17"/>
      <c r="C243" s="109"/>
      <c r="D243" s="4"/>
      <c r="E243" s="19">
        <v>0.0</v>
      </c>
      <c r="F243" s="19">
        <v>0.0</v>
      </c>
      <c r="G243" s="16" t="s">
        <v>286</v>
      </c>
      <c r="H243" s="21"/>
      <c r="I243" s="22">
        <v>1.0</v>
      </c>
      <c r="J243" s="29"/>
      <c r="K243" s="43">
        <v>8847.0</v>
      </c>
      <c r="L243" s="44">
        <v>14000.0</v>
      </c>
      <c r="M243" s="25"/>
      <c r="N243" s="69"/>
      <c r="O243" s="27">
        <f t="shared" si="31"/>
        <v>0.5824573302</v>
      </c>
      <c r="P243" s="28">
        <f t="shared" si="32"/>
        <v>0</v>
      </c>
    </row>
    <row r="244" hidden="1">
      <c r="A244" s="16" t="s">
        <v>417</v>
      </c>
      <c r="B244" s="51" t="s">
        <v>418</v>
      </c>
      <c r="C244" s="38"/>
      <c r="D244" s="67"/>
      <c r="E244" s="19"/>
      <c r="F244" s="19">
        <f>9906300/10</f>
        <v>990630</v>
      </c>
      <c r="G244" s="16" t="s">
        <v>419</v>
      </c>
      <c r="H244" s="21"/>
      <c r="I244" s="22">
        <v>9.0</v>
      </c>
      <c r="J244" s="29"/>
      <c r="K244" s="32">
        <v>980000.0</v>
      </c>
      <c r="L244" s="24">
        <v>1300000.0</v>
      </c>
      <c r="M244" s="25"/>
      <c r="N244" s="26">
        <v>1150000.0</v>
      </c>
      <c r="O244" s="27">
        <f t="shared" si="31"/>
        <v>0.3265306122</v>
      </c>
      <c r="P244" s="28">
        <f t="shared" si="32"/>
        <v>970817400000</v>
      </c>
    </row>
    <row r="245" hidden="1">
      <c r="A245" s="52" t="s">
        <v>420</v>
      </c>
      <c r="B245" s="17"/>
      <c r="C245" s="18"/>
      <c r="D245" s="4"/>
      <c r="E245" s="19">
        <v>0.0</v>
      </c>
      <c r="F245" s="19">
        <v>0.0</v>
      </c>
      <c r="G245" s="16" t="s">
        <v>421</v>
      </c>
      <c r="H245" s="21"/>
      <c r="I245" s="22"/>
      <c r="J245" s="23"/>
      <c r="K245" s="44">
        <f>33000*1.19</f>
        <v>39270</v>
      </c>
      <c r="L245" s="44">
        <v>48000.0</v>
      </c>
      <c r="M245" s="25"/>
      <c r="N245" s="50"/>
      <c r="O245" s="27">
        <f t="shared" si="31"/>
        <v>0.2223071047</v>
      </c>
      <c r="P245" s="28">
        <f t="shared" si="32"/>
        <v>0</v>
      </c>
    </row>
    <row r="246" hidden="1">
      <c r="A246" s="52" t="s">
        <v>422</v>
      </c>
      <c r="B246" s="17">
        <v>245021.0</v>
      </c>
      <c r="C246" s="18"/>
      <c r="D246" s="4"/>
      <c r="E246" s="19">
        <v>0.0</v>
      </c>
      <c r="F246" s="19">
        <v>0.0</v>
      </c>
      <c r="G246" s="16" t="s">
        <v>423</v>
      </c>
      <c r="H246" s="21"/>
      <c r="I246" s="22"/>
      <c r="J246" s="29"/>
      <c r="K246" s="43">
        <f>16000*1.19</f>
        <v>19040</v>
      </c>
      <c r="L246" s="44">
        <v>32000.0</v>
      </c>
      <c r="M246" s="25"/>
      <c r="N246" s="70"/>
      <c r="O246" s="27">
        <f t="shared" si="31"/>
        <v>0.6806722689</v>
      </c>
      <c r="P246" s="28">
        <f t="shared" si="32"/>
        <v>0</v>
      </c>
    </row>
    <row r="247" hidden="1">
      <c r="A247" s="122" t="s">
        <v>424</v>
      </c>
      <c r="B247" s="17">
        <v>245022.0</v>
      </c>
      <c r="C247" s="18"/>
      <c r="D247" s="4"/>
      <c r="E247" s="19">
        <v>0.0</v>
      </c>
      <c r="F247" s="19">
        <v>0.0</v>
      </c>
      <c r="G247" s="16" t="s">
        <v>425</v>
      </c>
      <c r="H247" s="21"/>
      <c r="I247" s="22">
        <v>0.0</v>
      </c>
      <c r="J247" s="29"/>
      <c r="K247" s="43">
        <f>52500*1.19</f>
        <v>62475</v>
      </c>
      <c r="L247" s="43">
        <v>95000.0</v>
      </c>
      <c r="M247" s="25"/>
      <c r="N247" s="70"/>
      <c r="O247" s="27">
        <f t="shared" si="31"/>
        <v>0.5206082433</v>
      </c>
      <c r="P247" s="28">
        <f t="shared" si="32"/>
        <v>0</v>
      </c>
    </row>
    <row r="248" hidden="1">
      <c r="A248" s="52" t="s">
        <v>426</v>
      </c>
      <c r="B248" s="51"/>
      <c r="C248" s="18"/>
      <c r="D248" s="4"/>
      <c r="E248" s="19">
        <v>0.0</v>
      </c>
      <c r="F248" s="19">
        <v>0.0</v>
      </c>
      <c r="G248" s="16" t="s">
        <v>427</v>
      </c>
      <c r="H248" s="21"/>
      <c r="I248" s="22"/>
      <c r="J248" s="29"/>
      <c r="K248" s="32">
        <v>3374.0</v>
      </c>
      <c r="L248" s="24">
        <v>6000.0</v>
      </c>
      <c r="M248" s="25"/>
      <c r="N248" s="26"/>
      <c r="O248" s="27">
        <f t="shared" si="31"/>
        <v>0.7783046829</v>
      </c>
      <c r="P248" s="28">
        <f t="shared" si="32"/>
        <v>0</v>
      </c>
    </row>
    <row r="249" hidden="1">
      <c r="A249" s="16" t="s">
        <v>428</v>
      </c>
      <c r="B249" s="17"/>
      <c r="C249" s="18"/>
      <c r="D249" s="4"/>
      <c r="E249" s="19">
        <v>0.0</v>
      </c>
      <c r="F249" s="19">
        <v>0.0</v>
      </c>
      <c r="G249" s="16" t="s">
        <v>16</v>
      </c>
      <c r="H249" s="33"/>
      <c r="I249" s="22">
        <v>0.0</v>
      </c>
      <c r="J249" s="34"/>
      <c r="K249" s="123">
        <v>1712.0</v>
      </c>
      <c r="L249" s="44">
        <v>8000.0</v>
      </c>
      <c r="M249" s="25"/>
      <c r="N249" s="31"/>
      <c r="O249" s="27">
        <f>(L249/K249)-1</f>
        <v>3.672897196</v>
      </c>
      <c r="P249" s="28">
        <f t="shared" si="32"/>
        <v>0</v>
      </c>
    </row>
    <row r="250" hidden="1">
      <c r="A250" s="16" t="s">
        <v>429</v>
      </c>
      <c r="B250" s="124" t="s">
        <v>430</v>
      </c>
      <c r="C250" s="18"/>
      <c r="D250" s="4"/>
      <c r="E250" s="19"/>
      <c r="F250" s="19">
        <v>0.0</v>
      </c>
      <c r="G250" s="16" t="s">
        <v>431</v>
      </c>
      <c r="H250" s="21"/>
      <c r="I250" s="22"/>
      <c r="J250" s="29"/>
      <c r="K250" s="32">
        <v>12500.0</v>
      </c>
      <c r="L250" s="24">
        <v>16000.0</v>
      </c>
      <c r="M250" s="25"/>
      <c r="N250" s="26"/>
      <c r="O250" s="27">
        <f t="shared" ref="O250:O297" si="33">(L250/K250)-1</f>
        <v>0.28</v>
      </c>
      <c r="P250" s="28">
        <f t="shared" si="32"/>
        <v>0</v>
      </c>
    </row>
    <row r="251" hidden="1">
      <c r="A251" s="16" t="s">
        <v>432</v>
      </c>
      <c r="B251" s="17"/>
      <c r="C251" s="18"/>
      <c r="D251" s="4"/>
      <c r="E251" s="19">
        <v>0.0</v>
      </c>
      <c r="F251" s="19"/>
      <c r="G251" s="16" t="s">
        <v>57</v>
      </c>
      <c r="H251" s="21"/>
      <c r="I251" s="22"/>
      <c r="J251" s="29"/>
      <c r="K251" s="43">
        <v>1550000.0</v>
      </c>
      <c r="L251" s="125">
        <f>K251*1.2</f>
        <v>1860000</v>
      </c>
      <c r="M251" s="25"/>
      <c r="N251" s="69"/>
      <c r="O251" s="27">
        <f t="shared" si="33"/>
        <v>0.2</v>
      </c>
      <c r="P251" s="28">
        <f t="shared" si="32"/>
        <v>0</v>
      </c>
    </row>
    <row r="252" hidden="1">
      <c r="A252" s="16" t="s">
        <v>433</v>
      </c>
      <c r="B252" s="36"/>
      <c r="C252" s="18"/>
      <c r="D252" s="4"/>
      <c r="E252" s="19">
        <v>0.0</v>
      </c>
      <c r="F252" s="19">
        <v>0.0</v>
      </c>
      <c r="G252" s="16" t="s">
        <v>434</v>
      </c>
      <c r="H252" s="21"/>
      <c r="I252" s="22">
        <v>0.0</v>
      </c>
      <c r="J252" s="29"/>
      <c r="K252" s="43">
        <v>6400.0</v>
      </c>
      <c r="L252" s="44">
        <v>10000.0</v>
      </c>
      <c r="M252" s="25"/>
      <c r="N252" s="69"/>
      <c r="O252" s="27">
        <f t="shared" si="33"/>
        <v>0.5625</v>
      </c>
      <c r="P252" s="28">
        <f t="shared" si="32"/>
        <v>0</v>
      </c>
    </row>
    <row r="253" hidden="1">
      <c r="A253" s="16" t="s">
        <v>435</v>
      </c>
      <c r="B253" s="17"/>
      <c r="C253" s="18"/>
      <c r="D253" s="4"/>
      <c r="E253" s="19">
        <v>0.0</v>
      </c>
      <c r="F253" s="19">
        <v>0.0</v>
      </c>
      <c r="G253" s="20" t="s">
        <v>286</v>
      </c>
      <c r="H253" s="21"/>
      <c r="I253" s="22">
        <v>0.0</v>
      </c>
      <c r="J253" s="29"/>
      <c r="K253" s="32">
        <v>1145.0</v>
      </c>
      <c r="L253" s="24">
        <v>4000.0</v>
      </c>
      <c r="M253" s="25"/>
      <c r="N253" s="50">
        <v>3000.0</v>
      </c>
      <c r="O253" s="27">
        <f t="shared" si="33"/>
        <v>2.493449782</v>
      </c>
      <c r="P253" s="28">
        <f t="shared" si="32"/>
        <v>0</v>
      </c>
    </row>
    <row r="254" hidden="1">
      <c r="A254" s="52" t="s">
        <v>436</v>
      </c>
      <c r="B254" s="49"/>
      <c r="C254" s="18"/>
      <c r="D254" s="4"/>
      <c r="E254" s="19">
        <v>0.0</v>
      </c>
      <c r="F254" s="19">
        <v>0.0</v>
      </c>
      <c r="G254" s="16" t="s">
        <v>437</v>
      </c>
      <c r="H254" s="21"/>
      <c r="I254" s="22">
        <v>20.0</v>
      </c>
      <c r="J254" s="29"/>
      <c r="K254" s="32">
        <v>400.0</v>
      </c>
      <c r="L254" s="24">
        <v>600.0</v>
      </c>
      <c r="M254" s="25"/>
      <c r="N254" s="70"/>
      <c r="O254" s="27">
        <f t="shared" si="33"/>
        <v>0.5</v>
      </c>
      <c r="P254" s="28" t="str">
        <f t="shared" ref="P254:P256" si="34">K254*#REF!</f>
        <v>#REF!</v>
      </c>
    </row>
    <row r="255" hidden="1">
      <c r="A255" s="52" t="s">
        <v>2845</v>
      </c>
      <c r="B255" s="49"/>
      <c r="C255" s="18"/>
      <c r="D255" s="4"/>
      <c r="E255" s="19">
        <v>0.0</v>
      </c>
      <c r="F255" s="19">
        <v>0.0</v>
      </c>
      <c r="G255" s="16" t="s">
        <v>439</v>
      </c>
      <c r="H255" s="21"/>
      <c r="I255" s="22">
        <v>15.0</v>
      </c>
      <c r="J255" s="29"/>
      <c r="K255" s="43">
        <v>430.0</v>
      </c>
      <c r="L255" s="44">
        <v>600.0</v>
      </c>
      <c r="M255" s="25"/>
      <c r="N255" s="70"/>
      <c r="O255" s="27">
        <f t="shared" si="33"/>
        <v>0.3953488372</v>
      </c>
      <c r="P255" s="28" t="str">
        <f t="shared" si="34"/>
        <v>#REF!</v>
      </c>
    </row>
    <row r="256" hidden="1">
      <c r="A256" s="52" t="s">
        <v>440</v>
      </c>
      <c r="B256" s="126"/>
      <c r="C256" s="18"/>
      <c r="D256" s="4"/>
      <c r="E256" s="19">
        <v>0.0</v>
      </c>
      <c r="F256" s="19">
        <v>0.0</v>
      </c>
      <c r="G256" s="16" t="s">
        <v>437</v>
      </c>
      <c r="H256" s="21"/>
      <c r="I256" s="22" t="s">
        <v>441</v>
      </c>
      <c r="J256" s="29"/>
      <c r="K256" s="32">
        <v>2500.0</v>
      </c>
      <c r="L256" s="24">
        <v>5000.0</v>
      </c>
      <c r="M256" s="25"/>
      <c r="N256" s="70"/>
      <c r="O256" s="27">
        <f t="shared" si="33"/>
        <v>1</v>
      </c>
      <c r="P256" s="28" t="str">
        <f t="shared" si="34"/>
        <v>#REF!</v>
      </c>
    </row>
    <row r="257" hidden="1">
      <c r="A257" s="52" t="s">
        <v>442</v>
      </c>
      <c r="B257" s="36"/>
      <c r="C257" s="18"/>
      <c r="D257" s="4"/>
      <c r="E257" s="19">
        <v>0.0</v>
      </c>
      <c r="F257" s="19">
        <v>0.0</v>
      </c>
      <c r="G257" s="16" t="s">
        <v>443</v>
      </c>
      <c r="H257" s="21"/>
      <c r="I257" s="22">
        <v>0.0</v>
      </c>
      <c r="J257" s="23"/>
      <c r="K257" s="44" t="s">
        <v>328</v>
      </c>
      <c r="L257" s="44">
        <v>28000.0</v>
      </c>
      <c r="M257" s="25"/>
      <c r="N257" s="26"/>
      <c r="O257" s="27" t="str">
        <f t="shared" si="33"/>
        <v>#VALUE!</v>
      </c>
      <c r="P257" s="28">
        <f>L257*F258</f>
        <v>0</v>
      </c>
    </row>
    <row r="258" hidden="1">
      <c r="A258" s="52" t="s">
        <v>444</v>
      </c>
      <c r="B258" s="36" t="s">
        <v>445</v>
      </c>
      <c r="C258" s="18"/>
      <c r="D258" s="19"/>
      <c r="E258" s="19">
        <v>0.0</v>
      </c>
      <c r="F258" s="19">
        <v>0.0</v>
      </c>
      <c r="G258" s="16" t="s">
        <v>443</v>
      </c>
      <c r="H258" s="21"/>
      <c r="I258" s="22" t="s">
        <v>446</v>
      </c>
      <c r="J258" s="23"/>
      <c r="K258" s="24">
        <v>10115.0</v>
      </c>
      <c r="L258" s="24">
        <v>18000.0</v>
      </c>
      <c r="M258" s="25"/>
      <c r="N258" s="26">
        <v>13000.0</v>
      </c>
      <c r="O258" s="27">
        <f t="shared" si="33"/>
        <v>0.7795353435</v>
      </c>
      <c r="P258" s="28" t="str">
        <f>L258*#REF!</f>
        <v>#REF!</v>
      </c>
    </row>
    <row r="259" hidden="1">
      <c r="A259" s="16" t="s">
        <v>447</v>
      </c>
      <c r="B259" s="17"/>
      <c r="C259" s="18"/>
      <c r="D259" s="4"/>
      <c r="E259" s="19">
        <v>0.0</v>
      </c>
      <c r="F259" s="19">
        <v>0.0</v>
      </c>
      <c r="G259" s="20" t="s">
        <v>286</v>
      </c>
      <c r="H259" s="21"/>
      <c r="I259" s="22">
        <v>5.0</v>
      </c>
      <c r="J259" s="29"/>
      <c r="K259" s="32">
        <f>34986/25</f>
        <v>1399.44</v>
      </c>
      <c r="L259" s="24">
        <v>7000.0</v>
      </c>
      <c r="M259" s="25"/>
      <c r="N259" s="69"/>
      <c r="O259" s="27">
        <f t="shared" si="33"/>
        <v>4.0020008</v>
      </c>
      <c r="P259" s="28">
        <f t="shared" ref="P259:P287" si="35">K259*F259</f>
        <v>0</v>
      </c>
    </row>
    <row r="260" hidden="1">
      <c r="A260" s="16" t="s">
        <v>448</v>
      </c>
      <c r="B260" s="49"/>
      <c r="C260" s="18"/>
      <c r="D260" s="4"/>
      <c r="E260" s="19"/>
      <c r="F260" s="19">
        <v>0.0</v>
      </c>
      <c r="G260" s="20" t="s">
        <v>449</v>
      </c>
      <c r="H260" s="21">
        <v>0.0</v>
      </c>
      <c r="I260" s="22"/>
      <c r="J260" s="29"/>
      <c r="K260" s="48">
        <v>12019.0</v>
      </c>
      <c r="L260" s="55">
        <v>18000.0</v>
      </c>
      <c r="M260" s="25"/>
      <c r="N260" s="48">
        <v>16000.0</v>
      </c>
      <c r="O260" s="27">
        <f t="shared" si="33"/>
        <v>0.4976287545</v>
      </c>
      <c r="P260" s="28">
        <f t="shared" si="35"/>
        <v>0</v>
      </c>
    </row>
    <row r="261" hidden="1">
      <c r="A261" s="16" t="s">
        <v>450</v>
      </c>
      <c r="B261" s="49"/>
      <c r="C261" s="18"/>
      <c r="D261" s="4"/>
      <c r="E261" s="19"/>
      <c r="F261" s="19">
        <v>0.0</v>
      </c>
      <c r="G261" s="20" t="s">
        <v>449</v>
      </c>
      <c r="H261" s="21">
        <v>0.0</v>
      </c>
      <c r="I261" s="22"/>
      <c r="J261" s="29"/>
      <c r="K261" s="48">
        <v>14042.0</v>
      </c>
      <c r="L261" s="55">
        <v>18000.0</v>
      </c>
      <c r="M261" s="25">
        <v>1.19</v>
      </c>
      <c r="N261" s="65">
        <v>16000.0</v>
      </c>
      <c r="O261" s="27">
        <f t="shared" si="33"/>
        <v>0.2818686797</v>
      </c>
      <c r="P261" s="28">
        <f t="shared" si="35"/>
        <v>0</v>
      </c>
    </row>
    <row r="262" hidden="1">
      <c r="A262" s="16" t="s">
        <v>451</v>
      </c>
      <c r="B262" s="17"/>
      <c r="C262" s="18"/>
      <c r="D262" s="4"/>
      <c r="E262" s="19">
        <v>0.0</v>
      </c>
      <c r="F262" s="19">
        <v>0.0</v>
      </c>
      <c r="G262" s="20" t="s">
        <v>16</v>
      </c>
      <c r="H262" s="21"/>
      <c r="I262" s="22">
        <v>0.0</v>
      </c>
      <c r="J262" s="23"/>
      <c r="K262" s="127">
        <v>5422.5199999999995</v>
      </c>
      <c r="L262" s="55">
        <v>36000.0</v>
      </c>
      <c r="M262" s="25"/>
      <c r="N262" s="69"/>
      <c r="O262" s="27">
        <f t="shared" si="33"/>
        <v>5.638979663</v>
      </c>
      <c r="P262" s="28">
        <f t="shared" si="35"/>
        <v>0</v>
      </c>
    </row>
    <row r="263" hidden="1">
      <c r="A263" s="16" t="s">
        <v>452</v>
      </c>
      <c r="B263" s="17"/>
      <c r="C263" s="18"/>
      <c r="D263" s="4"/>
      <c r="E263" s="19">
        <v>0.0</v>
      </c>
      <c r="F263" s="77">
        <v>0.0</v>
      </c>
      <c r="G263" s="20" t="s">
        <v>14</v>
      </c>
      <c r="H263" s="21">
        <v>0.0</v>
      </c>
      <c r="I263" s="22">
        <v>0.0</v>
      </c>
      <c r="J263" s="23"/>
      <c r="K263" s="24">
        <f>42000*1.19</f>
        <v>49980</v>
      </c>
      <c r="L263" s="24">
        <v>68000.0</v>
      </c>
      <c r="M263" s="25"/>
      <c r="N263" s="69"/>
      <c r="O263" s="27">
        <f t="shared" si="33"/>
        <v>0.3605442177</v>
      </c>
      <c r="P263" s="28">
        <f t="shared" si="35"/>
        <v>0</v>
      </c>
    </row>
    <row r="264" hidden="1">
      <c r="A264" s="16" t="s">
        <v>453</v>
      </c>
      <c r="B264" s="51"/>
      <c r="C264" s="18"/>
      <c r="D264" s="4"/>
      <c r="E264" s="19">
        <v>0.0</v>
      </c>
      <c r="F264" s="19">
        <v>0.0</v>
      </c>
      <c r="G264" s="16" t="s">
        <v>84</v>
      </c>
      <c r="H264" s="21"/>
      <c r="I264" s="22">
        <v>0.0</v>
      </c>
      <c r="J264" s="29"/>
      <c r="K264" s="43">
        <v>900.0</v>
      </c>
      <c r="L264" s="44">
        <v>8000.0</v>
      </c>
      <c r="M264" s="25"/>
      <c r="N264" s="69"/>
      <c r="O264" s="27">
        <f t="shared" si="33"/>
        <v>7.888888889</v>
      </c>
      <c r="P264" s="28">
        <f t="shared" si="35"/>
        <v>0</v>
      </c>
    </row>
    <row r="265" hidden="1">
      <c r="A265" s="16" t="s">
        <v>454</v>
      </c>
      <c r="B265" s="17"/>
      <c r="C265" s="18"/>
      <c r="D265" s="4"/>
      <c r="E265" s="19">
        <v>0.0</v>
      </c>
      <c r="F265" s="19">
        <v>0.0</v>
      </c>
      <c r="G265" s="16" t="s">
        <v>16</v>
      </c>
      <c r="H265" s="21"/>
      <c r="I265" s="22">
        <v>0.0</v>
      </c>
      <c r="J265" s="29"/>
      <c r="K265" s="43">
        <v>6400.0</v>
      </c>
      <c r="L265" s="44">
        <v>22000.0</v>
      </c>
      <c r="M265" s="25"/>
      <c r="N265" s="69"/>
      <c r="O265" s="27">
        <f t="shared" si="33"/>
        <v>2.4375</v>
      </c>
      <c r="P265" s="28">
        <f t="shared" si="35"/>
        <v>0</v>
      </c>
    </row>
    <row r="266" hidden="1">
      <c r="A266" s="16" t="s">
        <v>455</v>
      </c>
      <c r="B266" s="51"/>
      <c r="C266" s="18"/>
      <c r="D266" s="4"/>
      <c r="E266" s="19">
        <v>0.0</v>
      </c>
      <c r="F266" s="19"/>
      <c r="G266" s="20" t="s">
        <v>57</v>
      </c>
      <c r="H266" s="21"/>
      <c r="I266" s="22"/>
      <c r="J266" s="29"/>
      <c r="K266" s="32">
        <f>232*4</f>
        <v>928</v>
      </c>
      <c r="L266" s="24">
        <v>3000.0</v>
      </c>
      <c r="M266" s="25"/>
      <c r="N266" s="26"/>
      <c r="O266" s="27">
        <f t="shared" si="33"/>
        <v>2.232758621</v>
      </c>
      <c r="P266" s="28">
        <f t="shared" si="35"/>
        <v>0</v>
      </c>
    </row>
    <row r="267" hidden="1">
      <c r="A267" s="52" t="s">
        <v>456</v>
      </c>
      <c r="B267" s="49"/>
      <c r="C267" s="18"/>
      <c r="D267" s="4"/>
      <c r="E267" s="19">
        <v>0.0</v>
      </c>
      <c r="F267" s="19"/>
      <c r="G267" s="20" t="s">
        <v>457</v>
      </c>
      <c r="H267" s="21"/>
      <c r="I267" s="22"/>
      <c r="J267" s="29"/>
      <c r="K267" s="32">
        <f>9900*1.19</f>
        <v>11781</v>
      </c>
      <c r="L267" s="32">
        <v>16000.0</v>
      </c>
      <c r="M267" s="25">
        <v>1.19</v>
      </c>
      <c r="N267" s="70"/>
      <c r="O267" s="27">
        <f t="shared" si="33"/>
        <v>0.3581190052</v>
      </c>
      <c r="P267" s="28">
        <f t="shared" si="35"/>
        <v>0</v>
      </c>
    </row>
    <row r="268" hidden="1">
      <c r="A268" s="16" t="s">
        <v>458</v>
      </c>
      <c r="B268" s="126"/>
      <c r="C268" s="18"/>
      <c r="D268" s="4"/>
      <c r="E268" s="19">
        <v>0.0</v>
      </c>
      <c r="F268" s="77">
        <v>0.0</v>
      </c>
      <c r="G268" s="20" t="s">
        <v>78</v>
      </c>
      <c r="H268" s="21">
        <v>13.0</v>
      </c>
      <c r="I268" s="22">
        <v>15.0</v>
      </c>
      <c r="J268" s="47">
        <v>45870.0</v>
      </c>
      <c r="K268" s="55">
        <v>5159.0</v>
      </c>
      <c r="L268" s="55">
        <v>8000.0</v>
      </c>
      <c r="M268" s="25" t="s">
        <v>76</v>
      </c>
      <c r="N268" s="26"/>
      <c r="O268" s="27">
        <f t="shared" si="33"/>
        <v>0.5506881179</v>
      </c>
      <c r="P268" s="28">
        <f t="shared" si="35"/>
        <v>0</v>
      </c>
    </row>
    <row r="269" hidden="1">
      <c r="A269" s="16" t="s">
        <v>459</v>
      </c>
      <c r="B269" s="17" t="s">
        <v>460</v>
      </c>
      <c r="C269" s="18"/>
      <c r="D269" s="4"/>
      <c r="E269" s="19">
        <v>0.0</v>
      </c>
      <c r="F269" s="77">
        <v>0.0</v>
      </c>
      <c r="G269" s="20" t="s">
        <v>78</v>
      </c>
      <c r="H269" s="21">
        <v>6.0</v>
      </c>
      <c r="I269" s="22">
        <v>23.0</v>
      </c>
      <c r="J269" s="23"/>
      <c r="K269" s="55">
        <v>14703.0</v>
      </c>
      <c r="L269" s="55">
        <v>22000.0</v>
      </c>
      <c r="M269" s="25" t="s">
        <v>76</v>
      </c>
      <c r="N269" s="26"/>
      <c r="O269" s="27">
        <f t="shared" si="33"/>
        <v>0.4962932735</v>
      </c>
      <c r="P269" s="28">
        <f t="shared" si="35"/>
        <v>0</v>
      </c>
    </row>
    <row r="270" hidden="1">
      <c r="A270" s="52" t="s">
        <v>461</v>
      </c>
      <c r="B270" s="17"/>
      <c r="C270" s="18"/>
      <c r="D270" s="4"/>
      <c r="E270" s="19">
        <v>0.0</v>
      </c>
      <c r="F270" s="19">
        <v>0.0</v>
      </c>
      <c r="G270" s="16" t="s">
        <v>462</v>
      </c>
      <c r="H270" s="21"/>
      <c r="I270" s="22">
        <v>0.0</v>
      </c>
      <c r="J270" s="29"/>
      <c r="K270" s="43">
        <v>116323.0</v>
      </c>
      <c r="L270" s="44">
        <v>154000.0</v>
      </c>
      <c r="M270" s="25"/>
      <c r="N270" s="70"/>
      <c r="O270" s="27">
        <f t="shared" si="33"/>
        <v>0.3238998306</v>
      </c>
      <c r="P270" s="28">
        <f t="shared" si="35"/>
        <v>0</v>
      </c>
    </row>
    <row r="271" hidden="1">
      <c r="A271" s="16" t="s">
        <v>463</v>
      </c>
      <c r="B271" s="51"/>
      <c r="C271" s="18"/>
      <c r="D271" s="4"/>
      <c r="E271" s="19">
        <v>0.0</v>
      </c>
      <c r="F271" s="19">
        <v>0.0</v>
      </c>
      <c r="G271" s="16" t="s">
        <v>462</v>
      </c>
      <c r="H271" s="21"/>
      <c r="I271" s="22">
        <v>0.0</v>
      </c>
      <c r="J271" s="29"/>
      <c r="K271" s="43">
        <v>86500.0</v>
      </c>
      <c r="L271" s="44">
        <v>115000.0</v>
      </c>
      <c r="M271" s="25"/>
      <c r="N271" s="69"/>
      <c r="O271" s="27">
        <f t="shared" si="33"/>
        <v>0.3294797688</v>
      </c>
      <c r="P271" s="28">
        <f t="shared" si="35"/>
        <v>0</v>
      </c>
    </row>
    <row r="272" hidden="1">
      <c r="A272" s="16" t="s">
        <v>464</v>
      </c>
      <c r="B272" s="49"/>
      <c r="C272" s="18">
        <f>K268*50</f>
        <v>257950</v>
      </c>
      <c r="D272" s="4"/>
      <c r="E272" s="19">
        <v>0.0</v>
      </c>
      <c r="F272" s="19">
        <v>0.0</v>
      </c>
      <c r="G272" s="16" t="s">
        <v>465</v>
      </c>
      <c r="H272" s="21"/>
      <c r="I272" s="22">
        <v>0.0</v>
      </c>
      <c r="J272" s="29"/>
      <c r="K272" s="48">
        <v>5800.0</v>
      </c>
      <c r="L272" s="55">
        <v>8000.0</v>
      </c>
      <c r="M272" s="25"/>
      <c r="N272" s="69"/>
      <c r="O272" s="27">
        <f t="shared" si="33"/>
        <v>0.3793103448</v>
      </c>
      <c r="P272" s="28">
        <f t="shared" si="35"/>
        <v>0</v>
      </c>
    </row>
    <row r="273">
      <c r="A273" s="16" t="s">
        <v>466</v>
      </c>
      <c r="B273" s="17"/>
      <c r="C273" s="18" t="s">
        <v>467</v>
      </c>
      <c r="D273" s="4"/>
      <c r="E273" s="19">
        <v>0.0</v>
      </c>
      <c r="F273" s="77">
        <v>0.0</v>
      </c>
      <c r="G273" s="20" t="s">
        <v>468</v>
      </c>
      <c r="H273" s="21">
        <v>4.0</v>
      </c>
      <c r="I273" s="22">
        <v>3.0</v>
      </c>
      <c r="J273" s="23"/>
      <c r="K273" s="24">
        <v>26891.0</v>
      </c>
      <c r="L273" s="24">
        <v>46000.0</v>
      </c>
      <c r="M273" s="25"/>
      <c r="N273" s="26"/>
      <c r="O273" s="27">
        <f t="shared" si="33"/>
        <v>0.7106094976</v>
      </c>
      <c r="P273" s="28">
        <f t="shared" si="35"/>
        <v>0</v>
      </c>
    </row>
    <row r="274" hidden="1">
      <c r="A274" s="16" t="s">
        <v>469</v>
      </c>
      <c r="B274" s="36"/>
      <c r="C274" s="18"/>
      <c r="D274" s="4"/>
      <c r="E274" s="19"/>
      <c r="F274" s="19">
        <v>1.0</v>
      </c>
      <c r="G274" s="16" t="s">
        <v>470</v>
      </c>
      <c r="H274" s="21"/>
      <c r="I274" s="22"/>
      <c r="J274" s="29"/>
      <c r="K274" s="48">
        <v>34990.0</v>
      </c>
      <c r="L274" s="55">
        <v>45000.0</v>
      </c>
      <c r="M274" s="25"/>
      <c r="N274" s="69"/>
      <c r="O274" s="27">
        <f t="shared" si="33"/>
        <v>0.2860817376</v>
      </c>
      <c r="P274" s="28">
        <f t="shared" si="35"/>
        <v>34990</v>
      </c>
    </row>
    <row r="275" hidden="1">
      <c r="A275" s="16" t="s">
        <v>471</v>
      </c>
      <c r="B275" s="36" t="s">
        <v>472</v>
      </c>
      <c r="C275" s="18" t="s">
        <v>144</v>
      </c>
      <c r="D275" s="4">
        <v>17600.0</v>
      </c>
      <c r="E275" s="19">
        <v>0.0</v>
      </c>
      <c r="F275" s="19">
        <v>0.0</v>
      </c>
      <c r="G275" s="54" t="s">
        <v>473</v>
      </c>
      <c r="H275" s="21"/>
      <c r="I275" s="22"/>
      <c r="J275" s="29"/>
      <c r="K275" s="32">
        <v>21120.0</v>
      </c>
      <c r="L275" s="24">
        <v>38000.0</v>
      </c>
      <c r="M275" s="25" t="s">
        <v>76</v>
      </c>
      <c r="N275" s="26">
        <v>28000.0</v>
      </c>
      <c r="O275" s="27">
        <f t="shared" si="33"/>
        <v>0.7992424242</v>
      </c>
      <c r="P275" s="28">
        <f t="shared" si="35"/>
        <v>0</v>
      </c>
    </row>
    <row r="276" hidden="1">
      <c r="A276" s="16" t="s">
        <v>474</v>
      </c>
      <c r="B276" s="49"/>
      <c r="C276" s="18" t="s">
        <v>467</v>
      </c>
      <c r="D276" s="4"/>
      <c r="E276" s="19"/>
      <c r="F276" s="19"/>
      <c r="G276" s="20" t="s">
        <v>163</v>
      </c>
      <c r="H276" s="21">
        <v>0.0</v>
      </c>
      <c r="I276" s="22"/>
      <c r="J276" s="23"/>
      <c r="K276" s="95">
        <f>23100*1.19</f>
        <v>27489</v>
      </c>
      <c r="L276" s="55">
        <v>36000.0</v>
      </c>
      <c r="M276" s="25"/>
      <c r="N276" s="70">
        <v>32000.0</v>
      </c>
      <c r="O276" s="27">
        <f t="shared" si="33"/>
        <v>0.309614755</v>
      </c>
      <c r="P276" s="28">
        <f t="shared" si="35"/>
        <v>0</v>
      </c>
    </row>
    <row r="277" hidden="1">
      <c r="A277" s="16" t="s">
        <v>475</v>
      </c>
      <c r="B277" s="36"/>
      <c r="C277" s="18"/>
      <c r="D277" s="4"/>
      <c r="E277" s="19"/>
      <c r="F277" s="19">
        <v>0.0</v>
      </c>
      <c r="G277" s="16" t="s">
        <v>476</v>
      </c>
      <c r="H277" s="21"/>
      <c r="I277" s="22"/>
      <c r="J277" s="29"/>
      <c r="K277" s="48">
        <v>50800.0</v>
      </c>
      <c r="L277" s="55">
        <v>63600.0</v>
      </c>
      <c r="M277" s="25"/>
      <c r="N277" s="69"/>
      <c r="O277" s="27">
        <f t="shared" si="33"/>
        <v>0.2519685039</v>
      </c>
      <c r="P277" s="28">
        <f t="shared" si="35"/>
        <v>0</v>
      </c>
    </row>
    <row r="278" hidden="1">
      <c r="A278" s="16" t="s">
        <v>477</v>
      </c>
      <c r="B278" s="36" t="s">
        <v>478</v>
      </c>
      <c r="C278" s="18" t="s">
        <v>467</v>
      </c>
      <c r="D278" s="4"/>
      <c r="E278" s="19">
        <v>0.0</v>
      </c>
      <c r="F278" s="19">
        <v>0.0</v>
      </c>
      <c r="G278" s="16" t="s">
        <v>70</v>
      </c>
      <c r="H278" s="21"/>
      <c r="I278" s="22"/>
      <c r="J278" s="23"/>
      <c r="K278" s="55">
        <v>19200.0</v>
      </c>
      <c r="L278" s="55">
        <v>32000.0</v>
      </c>
      <c r="M278" s="25" t="s">
        <v>76</v>
      </c>
      <c r="N278" s="26">
        <v>25000.0</v>
      </c>
      <c r="O278" s="27">
        <f t="shared" si="33"/>
        <v>0.6666666667</v>
      </c>
      <c r="P278" s="28">
        <f t="shared" si="35"/>
        <v>0</v>
      </c>
    </row>
    <row r="279" hidden="1">
      <c r="A279" s="16" t="s">
        <v>479</v>
      </c>
      <c r="B279" s="17"/>
      <c r="C279" s="92"/>
      <c r="D279" s="4"/>
      <c r="E279" s="19">
        <v>0.0</v>
      </c>
      <c r="F279" s="19">
        <v>0.0</v>
      </c>
      <c r="G279" s="54" t="s">
        <v>63</v>
      </c>
      <c r="H279" s="21"/>
      <c r="I279" s="22">
        <v>2.0</v>
      </c>
      <c r="J279" s="47"/>
      <c r="K279" s="55">
        <f>70148/2</f>
        <v>35074</v>
      </c>
      <c r="L279" s="55">
        <v>55000.0</v>
      </c>
      <c r="M279" s="25" t="s">
        <v>82</v>
      </c>
      <c r="N279" s="26"/>
      <c r="O279" s="27">
        <f t="shared" si="33"/>
        <v>0.5681131322</v>
      </c>
      <c r="P279" s="28">
        <f t="shared" si="35"/>
        <v>0</v>
      </c>
    </row>
    <row r="280" hidden="1">
      <c r="A280" s="16" t="s">
        <v>480</v>
      </c>
      <c r="B280" s="17"/>
      <c r="C280" s="18"/>
      <c r="D280" s="4"/>
      <c r="E280" s="19">
        <v>0.0</v>
      </c>
      <c r="F280" s="19"/>
      <c r="G280" s="16" t="s">
        <v>57</v>
      </c>
      <c r="H280" s="21"/>
      <c r="I280" s="22"/>
      <c r="J280" s="29"/>
      <c r="K280" s="43">
        <v>59200.0</v>
      </c>
      <c r="L280" s="44">
        <v>75000.0</v>
      </c>
      <c r="M280" s="25"/>
      <c r="N280" s="69"/>
      <c r="O280" s="27">
        <f t="shared" si="33"/>
        <v>0.2668918919</v>
      </c>
      <c r="P280" s="28">
        <f t="shared" si="35"/>
        <v>0</v>
      </c>
    </row>
    <row r="281" hidden="1">
      <c r="A281" s="52" t="s">
        <v>481</v>
      </c>
      <c r="B281" s="17"/>
      <c r="C281" s="18"/>
      <c r="D281" s="4"/>
      <c r="E281" s="19">
        <v>0.0</v>
      </c>
      <c r="F281" s="19"/>
      <c r="G281" s="20" t="s">
        <v>482</v>
      </c>
      <c r="H281" s="21"/>
      <c r="I281" s="22"/>
      <c r="J281" s="29"/>
      <c r="K281" s="48">
        <f>3100*0.95*1.19</f>
        <v>3504.55</v>
      </c>
      <c r="L281" s="55">
        <v>7000.0</v>
      </c>
      <c r="M281" s="25"/>
      <c r="N281" s="70"/>
      <c r="O281" s="27">
        <f t="shared" si="33"/>
        <v>0.9974033756</v>
      </c>
      <c r="P281" s="28">
        <f t="shared" si="35"/>
        <v>0</v>
      </c>
    </row>
    <row r="282" hidden="1">
      <c r="A282" s="59" t="s">
        <v>483</v>
      </c>
      <c r="B282" s="97" t="s">
        <v>484</v>
      </c>
      <c r="C282" s="18"/>
      <c r="D282" s="98"/>
      <c r="E282" s="19">
        <v>0.0</v>
      </c>
      <c r="F282" s="128"/>
      <c r="G282" s="20" t="s">
        <v>485</v>
      </c>
      <c r="H282" s="21">
        <v>0.0</v>
      </c>
      <c r="I282" s="22"/>
      <c r="J282" s="29"/>
      <c r="K282" s="43">
        <v>1.0</v>
      </c>
      <c r="L282" s="43">
        <v>1.0</v>
      </c>
      <c r="M282" s="25"/>
      <c r="N282" s="26"/>
      <c r="O282" s="27">
        <f t="shared" si="33"/>
        <v>0</v>
      </c>
      <c r="P282" s="28">
        <f t="shared" si="35"/>
        <v>0</v>
      </c>
    </row>
    <row r="283" hidden="1">
      <c r="A283" s="59" t="s">
        <v>486</v>
      </c>
      <c r="B283" s="97" t="s">
        <v>484</v>
      </c>
      <c r="C283" s="18" t="s">
        <v>55</v>
      </c>
      <c r="D283" s="98"/>
      <c r="E283" s="19">
        <v>0.0</v>
      </c>
      <c r="F283" s="128"/>
      <c r="G283" s="20" t="s">
        <v>485</v>
      </c>
      <c r="H283" s="21">
        <v>0.0</v>
      </c>
      <c r="I283" s="22"/>
      <c r="J283" s="129"/>
      <c r="K283" s="130">
        <v>210000.0</v>
      </c>
      <c r="L283" s="43">
        <v>355000.0</v>
      </c>
      <c r="M283" s="25"/>
      <c r="N283" s="26"/>
      <c r="O283" s="27">
        <f t="shared" si="33"/>
        <v>0.6904761905</v>
      </c>
      <c r="P283" s="28">
        <f t="shared" si="35"/>
        <v>0</v>
      </c>
    </row>
    <row r="284" hidden="1">
      <c r="A284" s="59" t="s">
        <v>487</v>
      </c>
      <c r="B284" s="97" t="s">
        <v>484</v>
      </c>
      <c r="C284" s="18" t="s">
        <v>55</v>
      </c>
      <c r="D284" s="98"/>
      <c r="E284" s="19">
        <v>0.0</v>
      </c>
      <c r="F284" s="128"/>
      <c r="G284" s="20" t="s">
        <v>485</v>
      </c>
      <c r="H284" s="21">
        <v>0.0</v>
      </c>
      <c r="I284" s="22"/>
      <c r="J284" s="29"/>
      <c r="K284" s="43">
        <v>1.0</v>
      </c>
      <c r="L284" s="43">
        <v>1.0</v>
      </c>
      <c r="M284" s="25"/>
      <c r="N284" s="26"/>
      <c r="O284" s="27">
        <f t="shared" si="33"/>
        <v>0</v>
      </c>
      <c r="P284" s="28">
        <f t="shared" si="35"/>
        <v>0</v>
      </c>
    </row>
    <row r="285" hidden="1">
      <c r="A285" s="122" t="s">
        <v>488</v>
      </c>
      <c r="B285" s="17"/>
      <c r="C285" s="18"/>
      <c r="D285" s="4"/>
      <c r="E285" s="19">
        <v>0.0</v>
      </c>
      <c r="F285" s="19">
        <v>0.0</v>
      </c>
      <c r="G285" s="16" t="s">
        <v>437</v>
      </c>
      <c r="H285" s="21"/>
      <c r="I285" s="22">
        <v>0.0</v>
      </c>
      <c r="J285" s="29"/>
      <c r="K285" s="32">
        <v>2900.0</v>
      </c>
      <c r="L285" s="24">
        <v>9000.0</v>
      </c>
      <c r="M285" s="25"/>
      <c r="N285" s="70"/>
      <c r="O285" s="27">
        <f t="shared" si="33"/>
        <v>2.103448276</v>
      </c>
      <c r="P285" s="28">
        <f t="shared" si="35"/>
        <v>0</v>
      </c>
    </row>
    <row r="286" hidden="1">
      <c r="A286" s="122" t="s">
        <v>489</v>
      </c>
      <c r="B286" s="17"/>
      <c r="C286" s="18"/>
      <c r="D286" s="4"/>
      <c r="E286" s="19">
        <v>0.0</v>
      </c>
      <c r="F286" s="19">
        <v>0.0</v>
      </c>
      <c r="G286" s="16" t="s">
        <v>437</v>
      </c>
      <c r="H286" s="21"/>
      <c r="I286" s="22">
        <v>0.0</v>
      </c>
      <c r="J286" s="29"/>
      <c r="K286" s="32">
        <v>2900.0</v>
      </c>
      <c r="L286" s="24">
        <v>9000.0</v>
      </c>
      <c r="M286" s="25"/>
      <c r="N286" s="70"/>
      <c r="O286" s="27">
        <f t="shared" si="33"/>
        <v>2.103448276</v>
      </c>
      <c r="P286" s="28">
        <f t="shared" si="35"/>
        <v>0</v>
      </c>
    </row>
    <row r="287" hidden="1">
      <c r="A287" s="122" t="s">
        <v>490</v>
      </c>
      <c r="B287" s="17"/>
      <c r="C287" s="18"/>
      <c r="D287" s="4"/>
      <c r="E287" s="19">
        <v>0.0</v>
      </c>
      <c r="F287" s="19">
        <v>0.0</v>
      </c>
      <c r="G287" s="16" t="s">
        <v>437</v>
      </c>
      <c r="H287" s="21"/>
      <c r="I287" s="22">
        <v>0.0</v>
      </c>
      <c r="J287" s="29"/>
      <c r="K287" s="32">
        <v>2900.0</v>
      </c>
      <c r="L287" s="24">
        <v>9000.0</v>
      </c>
      <c r="M287" s="25"/>
      <c r="N287" s="70"/>
      <c r="O287" s="27">
        <f t="shared" si="33"/>
        <v>2.103448276</v>
      </c>
      <c r="P287" s="28">
        <f t="shared" si="35"/>
        <v>0</v>
      </c>
    </row>
    <row r="288" hidden="1">
      <c r="A288" s="122" t="s">
        <v>491</v>
      </c>
      <c r="B288" s="131" t="s">
        <v>492</v>
      </c>
      <c r="C288" s="18"/>
      <c r="D288" s="4"/>
      <c r="E288" s="19">
        <v>0.0</v>
      </c>
      <c r="F288" s="62">
        <v>0.0</v>
      </c>
      <c r="G288" s="16" t="s">
        <v>493</v>
      </c>
      <c r="H288" s="21"/>
      <c r="I288" s="22">
        <f>70+160</f>
        <v>230</v>
      </c>
      <c r="J288" s="29"/>
      <c r="K288" s="48">
        <v>2900.0</v>
      </c>
      <c r="L288" s="55">
        <v>9000.0</v>
      </c>
      <c r="M288" s="25"/>
      <c r="N288" s="70">
        <v>7000.0</v>
      </c>
      <c r="O288" s="27">
        <f t="shared" si="33"/>
        <v>2.103448276</v>
      </c>
      <c r="P288" s="28" t="str">
        <f t="shared" ref="P288:P289" si="36">K288*#REF!</f>
        <v>#REF!</v>
      </c>
    </row>
    <row r="289" hidden="1">
      <c r="A289" s="122" t="s">
        <v>494</v>
      </c>
      <c r="B289" s="17"/>
      <c r="C289" s="18"/>
      <c r="D289" s="4"/>
      <c r="E289" s="19">
        <v>0.0</v>
      </c>
      <c r="F289" s="19">
        <v>0.0</v>
      </c>
      <c r="G289" s="16" t="s">
        <v>437</v>
      </c>
      <c r="H289" s="21"/>
      <c r="I289" s="22">
        <v>10.0</v>
      </c>
      <c r="J289" s="29"/>
      <c r="K289" s="32">
        <v>3500.0</v>
      </c>
      <c r="L289" s="24">
        <v>9000.0</v>
      </c>
      <c r="M289" s="25"/>
      <c r="N289" s="70"/>
      <c r="O289" s="27">
        <f t="shared" si="33"/>
        <v>1.571428571</v>
      </c>
      <c r="P289" s="28" t="str">
        <f t="shared" si="36"/>
        <v>#REF!</v>
      </c>
    </row>
    <row r="290" hidden="1">
      <c r="A290" s="122" t="s">
        <v>495</v>
      </c>
      <c r="B290" s="17"/>
      <c r="C290" s="18"/>
      <c r="D290" s="132"/>
      <c r="E290" s="19">
        <v>0.0</v>
      </c>
      <c r="F290" s="19">
        <v>0.0</v>
      </c>
      <c r="G290" s="16" t="s">
        <v>437</v>
      </c>
      <c r="H290" s="21"/>
      <c r="I290" s="22">
        <v>0.0</v>
      </c>
      <c r="J290" s="29"/>
      <c r="K290" s="32">
        <v>3500.0</v>
      </c>
      <c r="L290" s="24">
        <v>8000.0</v>
      </c>
      <c r="M290" s="25"/>
      <c r="N290" s="70"/>
      <c r="O290" s="27">
        <f t="shared" si="33"/>
        <v>1.285714286</v>
      </c>
      <c r="P290" s="28">
        <f t="shared" ref="P290:P294" si="37">K290*F290</f>
        <v>0</v>
      </c>
    </row>
    <row r="291" hidden="1">
      <c r="A291" s="133" t="s">
        <v>496</v>
      </c>
      <c r="B291" s="134"/>
      <c r="C291" s="18"/>
      <c r="D291" s="4"/>
      <c r="E291" s="19">
        <v>0.0</v>
      </c>
      <c r="F291" s="19">
        <v>0.0</v>
      </c>
      <c r="G291" s="20" t="s">
        <v>497</v>
      </c>
      <c r="H291" s="21"/>
      <c r="I291" s="22">
        <v>0.0</v>
      </c>
      <c r="J291" s="23"/>
      <c r="K291" s="44">
        <f>26436/10</f>
        <v>2643.6</v>
      </c>
      <c r="L291" s="44">
        <v>9000.0</v>
      </c>
      <c r="M291" s="25"/>
      <c r="N291" s="63"/>
      <c r="O291" s="27">
        <f t="shared" si="33"/>
        <v>2.404448479</v>
      </c>
      <c r="P291" s="28">
        <f t="shared" si="37"/>
        <v>0</v>
      </c>
    </row>
    <row r="292" hidden="1">
      <c r="A292" s="122" t="s">
        <v>498</v>
      </c>
      <c r="B292" s="17"/>
      <c r="C292" s="18"/>
      <c r="D292" s="4"/>
      <c r="E292" s="19">
        <v>0.0</v>
      </c>
      <c r="F292" s="19">
        <v>0.0</v>
      </c>
      <c r="G292" s="16" t="s">
        <v>437</v>
      </c>
      <c r="H292" s="21"/>
      <c r="I292" s="22">
        <v>8.0</v>
      </c>
      <c r="J292" s="29"/>
      <c r="K292" s="32">
        <v>5000.0</v>
      </c>
      <c r="L292" s="24">
        <v>9000.0</v>
      </c>
      <c r="M292" s="25"/>
      <c r="N292" s="70"/>
      <c r="O292" s="27">
        <f t="shared" si="33"/>
        <v>0.8</v>
      </c>
      <c r="P292" s="28">
        <f t="shared" si="37"/>
        <v>0</v>
      </c>
    </row>
    <row r="293" hidden="1">
      <c r="A293" s="122" t="s">
        <v>499</v>
      </c>
      <c r="B293" s="17"/>
      <c r="C293" s="18"/>
      <c r="D293" s="132"/>
      <c r="E293" s="19">
        <v>0.0</v>
      </c>
      <c r="F293" s="19">
        <v>0.0</v>
      </c>
      <c r="G293" s="16" t="s">
        <v>437</v>
      </c>
      <c r="H293" s="21"/>
      <c r="I293" s="22">
        <v>0.0</v>
      </c>
      <c r="J293" s="29"/>
      <c r="K293" s="32">
        <v>5000.0</v>
      </c>
      <c r="L293" s="24">
        <v>9000.0</v>
      </c>
      <c r="M293" s="25"/>
      <c r="N293" s="70"/>
      <c r="O293" s="27">
        <f t="shared" si="33"/>
        <v>0.8</v>
      </c>
      <c r="P293" s="28">
        <f t="shared" si="37"/>
        <v>0</v>
      </c>
    </row>
    <row r="294" hidden="1">
      <c r="A294" s="16" t="s">
        <v>500</v>
      </c>
      <c r="B294" s="49"/>
      <c r="C294" s="18"/>
      <c r="D294" s="4"/>
      <c r="E294" s="19"/>
      <c r="F294" s="19"/>
      <c r="G294" s="40" t="s">
        <v>98</v>
      </c>
      <c r="H294" s="21">
        <v>0.0</v>
      </c>
      <c r="I294" s="22"/>
      <c r="J294" s="29"/>
      <c r="K294" s="48">
        <v>120.0</v>
      </c>
      <c r="L294" s="55">
        <v>200.0</v>
      </c>
      <c r="M294" s="25"/>
      <c r="N294" s="26"/>
      <c r="O294" s="27">
        <f t="shared" si="33"/>
        <v>0.6666666667</v>
      </c>
      <c r="P294" s="28">
        <f t="shared" si="37"/>
        <v>0</v>
      </c>
    </row>
    <row r="295" hidden="1">
      <c r="A295" s="16" t="s">
        <v>501</v>
      </c>
      <c r="B295" s="17"/>
      <c r="C295" s="18"/>
      <c r="D295" s="4"/>
      <c r="E295" s="19"/>
      <c r="F295" s="19"/>
      <c r="G295" s="16" t="s">
        <v>229</v>
      </c>
      <c r="H295" s="21"/>
      <c r="I295" s="22"/>
      <c r="J295" s="29"/>
      <c r="K295" s="48">
        <f>785085/144</f>
        <v>5451.979167</v>
      </c>
      <c r="L295" s="55">
        <v>9000.0</v>
      </c>
      <c r="M295" s="25"/>
      <c r="N295" s="50">
        <v>7500.0</v>
      </c>
      <c r="O295" s="27">
        <f t="shared" si="33"/>
        <v>0.6507766675</v>
      </c>
      <c r="P295" s="28"/>
    </row>
    <row r="296" hidden="1">
      <c r="A296" s="42" t="s">
        <v>502</v>
      </c>
      <c r="B296" s="71"/>
      <c r="C296" s="18"/>
      <c r="D296" s="4"/>
      <c r="E296" s="19">
        <v>0.0</v>
      </c>
      <c r="F296" s="19"/>
      <c r="G296" s="16" t="s">
        <v>503</v>
      </c>
      <c r="H296" s="21"/>
      <c r="I296" s="22"/>
      <c r="J296" s="29"/>
      <c r="K296" s="32">
        <v>3200.0</v>
      </c>
      <c r="L296" s="24">
        <v>6000.0</v>
      </c>
      <c r="M296" s="25"/>
      <c r="N296" s="26"/>
      <c r="O296" s="27">
        <f t="shared" si="33"/>
        <v>0.875</v>
      </c>
      <c r="P296" s="28">
        <f t="shared" ref="P296:P297" si="38">K296*F296</f>
        <v>0</v>
      </c>
    </row>
    <row r="297" hidden="1">
      <c r="A297" s="42" t="s">
        <v>504</v>
      </c>
      <c r="B297" s="71"/>
      <c r="C297" s="18"/>
      <c r="D297" s="4"/>
      <c r="E297" s="19">
        <v>0.0</v>
      </c>
      <c r="F297" s="19">
        <v>0.0</v>
      </c>
      <c r="G297" s="16" t="s">
        <v>341</v>
      </c>
      <c r="H297" s="21"/>
      <c r="I297" s="22">
        <v>7.0</v>
      </c>
      <c r="J297" s="29"/>
      <c r="K297" s="32">
        <f>3200/25</f>
        <v>128</v>
      </c>
      <c r="L297" s="24">
        <v>1000.0</v>
      </c>
      <c r="M297" s="25"/>
      <c r="N297" s="69"/>
      <c r="O297" s="27">
        <f t="shared" si="33"/>
        <v>6.8125</v>
      </c>
      <c r="P297" s="28">
        <f t="shared" si="38"/>
        <v>0</v>
      </c>
    </row>
    <row r="298" hidden="1">
      <c r="A298" s="16" t="s">
        <v>505</v>
      </c>
      <c r="B298" s="36"/>
      <c r="C298" s="18"/>
      <c r="D298" s="4"/>
      <c r="E298" s="19"/>
      <c r="F298" s="19">
        <v>0.0</v>
      </c>
      <c r="G298" s="16" t="s">
        <v>93</v>
      </c>
      <c r="H298" s="21"/>
      <c r="I298" s="22"/>
      <c r="J298" s="29"/>
      <c r="K298" s="48">
        <v>300380.0</v>
      </c>
      <c r="L298" s="55">
        <v>375500.0</v>
      </c>
      <c r="M298" s="25"/>
      <c r="N298" s="69"/>
      <c r="O298" s="27"/>
      <c r="P298" s="28"/>
    </row>
    <row r="299" hidden="1">
      <c r="A299" s="16" t="s">
        <v>506</v>
      </c>
      <c r="B299" s="36"/>
      <c r="C299" s="18"/>
      <c r="D299" s="4"/>
      <c r="E299" s="19"/>
      <c r="F299" s="19">
        <v>2.0</v>
      </c>
      <c r="G299" s="16" t="s">
        <v>281</v>
      </c>
      <c r="H299" s="21"/>
      <c r="I299" s="22"/>
      <c r="J299" s="29"/>
      <c r="K299" s="48">
        <v>91700.0</v>
      </c>
      <c r="L299" s="55">
        <v>114700.0</v>
      </c>
      <c r="M299" s="25" t="s">
        <v>82</v>
      </c>
      <c r="N299" s="69"/>
      <c r="O299" s="27">
        <f t="shared" ref="O299:O337" si="39">(L299/K299)-1</f>
        <v>0.2508178844</v>
      </c>
      <c r="P299" s="28">
        <f t="shared" ref="P299:P337" si="40">K299*F299</f>
        <v>183400</v>
      </c>
    </row>
    <row r="300" hidden="1">
      <c r="A300" s="16" t="s">
        <v>507</v>
      </c>
      <c r="B300" s="36"/>
      <c r="C300" s="18"/>
      <c r="D300" s="4"/>
      <c r="E300" s="19"/>
      <c r="F300" s="19">
        <v>0.0</v>
      </c>
      <c r="G300" s="16" t="s">
        <v>281</v>
      </c>
      <c r="H300" s="21"/>
      <c r="I300" s="22"/>
      <c r="J300" s="29"/>
      <c r="K300" s="48">
        <v>79000.0</v>
      </c>
      <c r="L300" s="55">
        <v>98750.0</v>
      </c>
      <c r="M300" s="25" t="s">
        <v>82</v>
      </c>
      <c r="N300" s="69"/>
      <c r="O300" s="27">
        <f t="shared" si="39"/>
        <v>0.25</v>
      </c>
      <c r="P300" s="28">
        <f t="shared" si="40"/>
        <v>0</v>
      </c>
    </row>
    <row r="301" hidden="1">
      <c r="A301" s="42" t="s">
        <v>508</v>
      </c>
      <c r="B301" s="114" t="s">
        <v>509</v>
      </c>
      <c r="C301" s="18" t="s">
        <v>144</v>
      </c>
      <c r="D301" s="4">
        <v>60432.0</v>
      </c>
      <c r="E301" s="19"/>
      <c r="F301" s="19">
        <v>2.0</v>
      </c>
      <c r="G301" s="40" t="s">
        <v>93</v>
      </c>
      <c r="H301" s="21"/>
      <c r="I301" s="22"/>
      <c r="J301" s="23"/>
      <c r="K301" s="55">
        <v>57410.0</v>
      </c>
      <c r="L301" s="55">
        <v>72000.0</v>
      </c>
      <c r="M301" s="25">
        <v>0.0</v>
      </c>
      <c r="N301" s="26">
        <v>62000.0</v>
      </c>
      <c r="O301" s="27">
        <f t="shared" si="39"/>
        <v>0.2541369099</v>
      </c>
      <c r="P301" s="28">
        <f t="shared" si="40"/>
        <v>114820</v>
      </c>
    </row>
    <row r="302" hidden="1">
      <c r="A302" s="16" t="s">
        <v>510</v>
      </c>
      <c r="B302" s="51" t="s">
        <v>511</v>
      </c>
      <c r="C302" s="38"/>
      <c r="D302" s="61"/>
      <c r="E302" s="19"/>
      <c r="F302" s="62"/>
      <c r="G302" s="16" t="s">
        <v>91</v>
      </c>
      <c r="H302" s="21"/>
      <c r="I302" s="22">
        <v>3.0</v>
      </c>
      <c r="J302" s="29"/>
      <c r="K302" s="48">
        <v>224000.0</v>
      </c>
      <c r="L302" s="55">
        <v>290000.0</v>
      </c>
      <c r="M302" s="25"/>
      <c r="N302" s="26"/>
      <c r="O302" s="27">
        <f t="shared" si="39"/>
        <v>0.2946428571</v>
      </c>
      <c r="P302" s="28">
        <f t="shared" si="40"/>
        <v>0</v>
      </c>
    </row>
    <row r="303" hidden="1">
      <c r="A303" s="52" t="s">
        <v>512</v>
      </c>
      <c r="B303" s="17"/>
      <c r="C303" s="18"/>
      <c r="D303" s="4"/>
      <c r="E303" s="19">
        <v>0.0</v>
      </c>
      <c r="F303" s="19">
        <v>0.0</v>
      </c>
      <c r="G303" s="20" t="s">
        <v>513</v>
      </c>
      <c r="H303" s="21"/>
      <c r="I303" s="22">
        <v>0.0</v>
      </c>
      <c r="J303" s="29"/>
      <c r="K303" s="43">
        <v>2400.0</v>
      </c>
      <c r="L303" s="44">
        <v>4500.0</v>
      </c>
      <c r="M303" s="25"/>
      <c r="N303" s="69"/>
      <c r="O303" s="27">
        <f t="shared" si="39"/>
        <v>0.875</v>
      </c>
      <c r="P303" s="28">
        <f t="shared" si="40"/>
        <v>0</v>
      </c>
    </row>
    <row r="304" hidden="1">
      <c r="A304" s="119" t="s">
        <v>514</v>
      </c>
      <c r="B304" s="36" t="s">
        <v>515</v>
      </c>
      <c r="C304" s="18"/>
      <c r="D304" s="4"/>
      <c r="E304" s="19">
        <v>0.0</v>
      </c>
      <c r="F304" s="19"/>
      <c r="G304" s="16" t="s">
        <v>516</v>
      </c>
      <c r="H304" s="21"/>
      <c r="I304" s="22"/>
      <c r="J304" s="29"/>
      <c r="K304" s="48">
        <f>26700/1000</f>
        <v>26.7</v>
      </c>
      <c r="L304" s="44">
        <v>500.0</v>
      </c>
      <c r="M304" s="25"/>
      <c r="N304" s="70"/>
      <c r="O304" s="27">
        <f t="shared" si="39"/>
        <v>17.72659176</v>
      </c>
      <c r="P304" s="28">
        <f t="shared" si="40"/>
        <v>0</v>
      </c>
    </row>
    <row r="305" hidden="1">
      <c r="A305" s="119" t="s">
        <v>517</v>
      </c>
      <c r="B305" s="36" t="s">
        <v>515</v>
      </c>
      <c r="C305" s="18"/>
      <c r="D305" s="4"/>
      <c r="E305" s="19">
        <v>0.0</v>
      </c>
      <c r="F305" s="19"/>
      <c r="G305" s="16" t="s">
        <v>516</v>
      </c>
      <c r="H305" s="21"/>
      <c r="I305" s="22"/>
      <c r="J305" s="29"/>
      <c r="K305" s="48">
        <f>5700/100</f>
        <v>57</v>
      </c>
      <c r="L305" s="44">
        <v>500.0</v>
      </c>
      <c r="M305" s="25"/>
      <c r="N305" s="70"/>
      <c r="O305" s="27">
        <f t="shared" si="39"/>
        <v>7.771929825</v>
      </c>
      <c r="P305" s="28">
        <f t="shared" si="40"/>
        <v>0</v>
      </c>
    </row>
    <row r="306" hidden="1">
      <c r="A306" s="119" t="s">
        <v>518</v>
      </c>
      <c r="B306" s="36" t="s">
        <v>515</v>
      </c>
      <c r="C306" s="18"/>
      <c r="D306" s="4"/>
      <c r="E306" s="19">
        <v>0.0</v>
      </c>
      <c r="F306" s="19"/>
      <c r="G306" s="16" t="s">
        <v>516</v>
      </c>
      <c r="H306" s="21"/>
      <c r="I306" s="22"/>
      <c r="J306" s="29"/>
      <c r="K306" s="48">
        <f>7200/100</f>
        <v>72</v>
      </c>
      <c r="L306" s="44">
        <v>100.0</v>
      </c>
      <c r="M306" s="25"/>
      <c r="N306" s="70"/>
      <c r="O306" s="27">
        <f t="shared" si="39"/>
        <v>0.3888888889</v>
      </c>
      <c r="P306" s="28">
        <f t="shared" si="40"/>
        <v>0</v>
      </c>
    </row>
    <row r="307" hidden="1">
      <c r="A307" s="119" t="s">
        <v>519</v>
      </c>
      <c r="B307" s="36" t="s">
        <v>515</v>
      </c>
      <c r="C307" s="18"/>
      <c r="D307" s="4"/>
      <c r="E307" s="19">
        <v>0.0</v>
      </c>
      <c r="F307" s="19"/>
      <c r="G307" s="16" t="s">
        <v>516</v>
      </c>
      <c r="H307" s="21"/>
      <c r="I307" s="22"/>
      <c r="J307" s="29"/>
      <c r="K307" s="48">
        <f>11200/100</f>
        <v>112</v>
      </c>
      <c r="L307" s="44">
        <v>200.0</v>
      </c>
      <c r="M307" s="25"/>
      <c r="N307" s="69"/>
      <c r="O307" s="27">
        <f t="shared" si="39"/>
        <v>0.7857142857</v>
      </c>
      <c r="P307" s="28">
        <f t="shared" si="40"/>
        <v>0</v>
      </c>
    </row>
    <row r="308" hidden="1">
      <c r="A308" s="16" t="s">
        <v>520</v>
      </c>
      <c r="B308" s="36" t="s">
        <v>521</v>
      </c>
      <c r="C308" s="18"/>
      <c r="D308" s="4"/>
      <c r="E308" s="19">
        <v>3.0</v>
      </c>
      <c r="F308" s="19">
        <v>5.0</v>
      </c>
      <c r="G308" s="16" t="s">
        <v>516</v>
      </c>
      <c r="H308" s="21"/>
      <c r="I308" s="22"/>
      <c r="J308" s="29"/>
      <c r="K308" s="43">
        <f>8000/100</f>
        <v>80</v>
      </c>
      <c r="L308" s="44">
        <v>200.0</v>
      </c>
      <c r="M308" s="25"/>
      <c r="N308" s="50"/>
      <c r="O308" s="27">
        <f t="shared" si="39"/>
        <v>1.5</v>
      </c>
      <c r="P308" s="28">
        <f t="shared" si="40"/>
        <v>400</v>
      </c>
    </row>
    <row r="309" hidden="1">
      <c r="A309" s="16" t="s">
        <v>522</v>
      </c>
      <c r="B309" s="36" t="s">
        <v>515</v>
      </c>
      <c r="C309" s="18"/>
      <c r="D309" s="4"/>
      <c r="E309" s="19">
        <v>0.0</v>
      </c>
      <c r="F309" s="19"/>
      <c r="G309" s="16" t="s">
        <v>516</v>
      </c>
      <c r="H309" s="21"/>
      <c r="I309" s="22"/>
      <c r="J309" s="29"/>
      <c r="K309" s="48">
        <f>9600/100</f>
        <v>96</v>
      </c>
      <c r="L309" s="44">
        <v>200.0</v>
      </c>
      <c r="M309" s="25"/>
      <c r="N309" s="50"/>
      <c r="O309" s="27">
        <f t="shared" si="39"/>
        <v>1.083333333</v>
      </c>
      <c r="P309" s="28">
        <f t="shared" si="40"/>
        <v>0</v>
      </c>
    </row>
    <row r="310" hidden="1">
      <c r="A310" s="54" t="s">
        <v>523</v>
      </c>
      <c r="B310" s="36" t="s">
        <v>515</v>
      </c>
      <c r="C310" s="18"/>
      <c r="D310" s="4" t="s">
        <v>524</v>
      </c>
      <c r="E310" s="19">
        <v>4.0</v>
      </c>
      <c r="F310" s="19">
        <v>0.0</v>
      </c>
      <c r="G310" s="16" t="s">
        <v>516</v>
      </c>
      <c r="H310" s="21">
        <v>0.0</v>
      </c>
      <c r="I310" s="22">
        <v>0.0</v>
      </c>
      <c r="J310" s="29"/>
      <c r="K310" s="48">
        <f>5800/100</f>
        <v>58</v>
      </c>
      <c r="L310" s="44">
        <v>100.0</v>
      </c>
      <c r="M310" s="25"/>
      <c r="N310" s="70"/>
      <c r="O310" s="27">
        <f t="shared" si="39"/>
        <v>0.724137931</v>
      </c>
      <c r="P310" s="28">
        <f t="shared" si="40"/>
        <v>0</v>
      </c>
    </row>
    <row r="311" hidden="1">
      <c r="A311" s="16" t="s">
        <v>525</v>
      </c>
      <c r="B311" s="36" t="s">
        <v>515</v>
      </c>
      <c r="C311" s="18"/>
      <c r="D311" s="4"/>
      <c r="E311" s="19">
        <v>0.0</v>
      </c>
      <c r="F311" s="19">
        <v>0.0</v>
      </c>
      <c r="G311" s="16" t="s">
        <v>516</v>
      </c>
      <c r="H311" s="21">
        <v>0.0</v>
      </c>
      <c r="I311" s="22">
        <v>0.0</v>
      </c>
      <c r="J311" s="29"/>
      <c r="K311" s="48">
        <f>7500/100</f>
        <v>75</v>
      </c>
      <c r="L311" s="44">
        <v>300.0</v>
      </c>
      <c r="M311" s="25"/>
      <c r="N311" s="70"/>
      <c r="O311" s="27">
        <f t="shared" si="39"/>
        <v>3</v>
      </c>
      <c r="P311" s="28">
        <f t="shared" si="40"/>
        <v>0</v>
      </c>
    </row>
    <row r="312" hidden="1">
      <c r="A312" s="16" t="s">
        <v>526</v>
      </c>
      <c r="B312" s="36"/>
      <c r="C312" s="18"/>
      <c r="D312" s="4" t="s">
        <v>527</v>
      </c>
      <c r="E312" s="19">
        <v>0.0</v>
      </c>
      <c r="F312" s="19">
        <v>0.0</v>
      </c>
      <c r="G312" s="16" t="s">
        <v>516</v>
      </c>
      <c r="H312" s="21">
        <v>0.0</v>
      </c>
      <c r="I312" s="22">
        <v>0.0</v>
      </c>
      <c r="J312" s="29"/>
      <c r="K312" s="43">
        <f>9000/100</f>
        <v>90</v>
      </c>
      <c r="L312" s="44">
        <v>300.0</v>
      </c>
      <c r="M312" s="25"/>
      <c r="N312" s="69"/>
      <c r="O312" s="27">
        <f t="shared" si="39"/>
        <v>2.333333333</v>
      </c>
      <c r="P312" s="28">
        <f t="shared" si="40"/>
        <v>0</v>
      </c>
    </row>
    <row r="313" hidden="1">
      <c r="A313" s="16" t="s">
        <v>528</v>
      </c>
      <c r="B313" s="36"/>
      <c r="C313" s="18"/>
      <c r="D313" s="4" t="s">
        <v>527</v>
      </c>
      <c r="E313" s="19">
        <v>0.0</v>
      </c>
      <c r="F313" s="19">
        <v>0.0</v>
      </c>
      <c r="G313" s="16" t="s">
        <v>516</v>
      </c>
      <c r="H313" s="21">
        <v>0.0</v>
      </c>
      <c r="I313" s="22">
        <v>0.0</v>
      </c>
      <c r="J313" s="22"/>
      <c r="K313" s="43">
        <f>10000/100</f>
        <v>100</v>
      </c>
      <c r="L313" s="44">
        <v>500.0</v>
      </c>
      <c r="M313" s="25"/>
      <c r="N313" s="69"/>
      <c r="O313" s="27">
        <f t="shared" si="39"/>
        <v>4</v>
      </c>
      <c r="P313" s="28">
        <f t="shared" si="40"/>
        <v>0</v>
      </c>
    </row>
    <row r="314" hidden="1">
      <c r="A314" s="16" t="s">
        <v>529</v>
      </c>
      <c r="B314" s="36" t="s">
        <v>515</v>
      </c>
      <c r="C314" s="18"/>
      <c r="D314" s="4"/>
      <c r="E314" s="19">
        <v>0.0</v>
      </c>
      <c r="F314" s="19">
        <v>0.0</v>
      </c>
      <c r="G314" s="16" t="s">
        <v>516</v>
      </c>
      <c r="H314" s="21">
        <v>0.0</v>
      </c>
      <c r="I314" s="22">
        <v>0.0</v>
      </c>
      <c r="J314" s="29"/>
      <c r="K314" s="48">
        <f>2800/100</f>
        <v>28</v>
      </c>
      <c r="L314" s="44">
        <v>100.0</v>
      </c>
      <c r="M314" s="25"/>
      <c r="N314" s="70"/>
      <c r="O314" s="27">
        <f t="shared" si="39"/>
        <v>2.571428571</v>
      </c>
      <c r="P314" s="28">
        <f t="shared" si="40"/>
        <v>0</v>
      </c>
    </row>
    <row r="315" hidden="1">
      <c r="A315" s="16" t="s">
        <v>530</v>
      </c>
      <c r="B315" s="36" t="s">
        <v>515</v>
      </c>
      <c r="C315" s="18"/>
      <c r="D315" s="4"/>
      <c r="E315" s="19">
        <v>0.0</v>
      </c>
      <c r="F315" s="19">
        <v>0.0</v>
      </c>
      <c r="G315" s="16" t="s">
        <v>516</v>
      </c>
      <c r="H315" s="21">
        <v>0.0</v>
      </c>
      <c r="I315" s="22">
        <v>0.0</v>
      </c>
      <c r="J315" s="29"/>
      <c r="K315" s="48">
        <f>3900/100</f>
        <v>39</v>
      </c>
      <c r="L315" s="44">
        <v>200.0</v>
      </c>
      <c r="M315" s="25"/>
      <c r="N315" s="70"/>
      <c r="O315" s="27">
        <f t="shared" si="39"/>
        <v>4.128205128</v>
      </c>
      <c r="P315" s="28">
        <f t="shared" si="40"/>
        <v>0</v>
      </c>
    </row>
    <row r="316" hidden="1">
      <c r="A316" s="16" t="s">
        <v>531</v>
      </c>
      <c r="B316" s="17" t="s">
        <v>532</v>
      </c>
      <c r="C316" s="18"/>
      <c r="D316" s="4"/>
      <c r="E316" s="19">
        <v>0.0</v>
      </c>
      <c r="F316" s="19">
        <v>0.0</v>
      </c>
      <c r="G316" s="16" t="s">
        <v>533</v>
      </c>
      <c r="H316" s="21"/>
      <c r="I316" s="22"/>
      <c r="J316" s="58">
        <v>46661.0</v>
      </c>
      <c r="K316" s="32">
        <v>6500.0</v>
      </c>
      <c r="L316" s="24">
        <v>20000.0</v>
      </c>
      <c r="M316" s="25"/>
      <c r="N316" s="70"/>
      <c r="O316" s="27">
        <f t="shared" si="39"/>
        <v>2.076923077</v>
      </c>
      <c r="P316" s="28">
        <f t="shared" si="40"/>
        <v>0</v>
      </c>
    </row>
    <row r="317" hidden="1">
      <c r="A317" s="16" t="s">
        <v>534</v>
      </c>
      <c r="B317" s="17"/>
      <c r="C317" s="18"/>
      <c r="D317" s="4"/>
      <c r="E317" s="19">
        <v>0.0</v>
      </c>
      <c r="F317" s="19"/>
      <c r="G317" s="16" t="s">
        <v>535</v>
      </c>
      <c r="H317" s="21"/>
      <c r="I317" s="22"/>
      <c r="J317" s="58">
        <v>46661.0</v>
      </c>
      <c r="K317" s="32">
        <v>10500.0</v>
      </c>
      <c r="L317" s="24">
        <v>22000.0</v>
      </c>
      <c r="M317" s="25"/>
      <c r="N317" s="70">
        <v>18000.0</v>
      </c>
      <c r="O317" s="27">
        <f t="shared" si="39"/>
        <v>1.095238095</v>
      </c>
      <c r="P317" s="28">
        <f t="shared" si="40"/>
        <v>0</v>
      </c>
    </row>
    <row r="318" hidden="1">
      <c r="A318" s="16" t="s">
        <v>536</v>
      </c>
      <c r="B318" s="17" t="s">
        <v>537</v>
      </c>
      <c r="C318" s="18"/>
      <c r="D318" s="4"/>
      <c r="E318" s="19">
        <v>0.0</v>
      </c>
      <c r="F318" s="19"/>
      <c r="G318" s="16" t="s">
        <v>535</v>
      </c>
      <c r="H318" s="21"/>
      <c r="I318" s="22"/>
      <c r="J318" s="29"/>
      <c r="K318" s="32">
        <v>16000.0</v>
      </c>
      <c r="L318" s="24">
        <v>32000.0</v>
      </c>
      <c r="M318" s="25"/>
      <c r="N318" s="70">
        <v>28000.0</v>
      </c>
      <c r="O318" s="27">
        <f t="shared" si="39"/>
        <v>1</v>
      </c>
      <c r="P318" s="28">
        <f t="shared" si="40"/>
        <v>0</v>
      </c>
    </row>
    <row r="319" hidden="1">
      <c r="A319" s="16" t="s">
        <v>538</v>
      </c>
      <c r="B319" s="17" t="s">
        <v>539</v>
      </c>
      <c r="C319" s="18"/>
      <c r="D319" s="4"/>
      <c r="E319" s="19">
        <v>0.0</v>
      </c>
      <c r="F319" s="19"/>
      <c r="G319" s="16" t="s">
        <v>535</v>
      </c>
      <c r="H319" s="21"/>
      <c r="I319" s="22"/>
      <c r="J319" s="29"/>
      <c r="K319" s="32">
        <v>32000.0</v>
      </c>
      <c r="L319" s="24">
        <v>48000.0</v>
      </c>
      <c r="M319" s="25"/>
      <c r="N319" s="70">
        <v>42000.0</v>
      </c>
      <c r="O319" s="27">
        <f t="shared" si="39"/>
        <v>0.5</v>
      </c>
      <c r="P319" s="28">
        <f t="shared" si="40"/>
        <v>0</v>
      </c>
    </row>
    <row r="320" hidden="1">
      <c r="A320" s="16" t="s">
        <v>540</v>
      </c>
      <c r="B320" s="36" t="s">
        <v>541</v>
      </c>
      <c r="C320" s="18"/>
      <c r="D320" s="4"/>
      <c r="E320" s="19">
        <v>0.0</v>
      </c>
      <c r="F320" s="19"/>
      <c r="G320" s="16" t="s">
        <v>535</v>
      </c>
      <c r="H320" s="21"/>
      <c r="I320" s="22"/>
      <c r="J320" s="29"/>
      <c r="K320" s="43">
        <v>45000.0</v>
      </c>
      <c r="L320" s="44">
        <v>110000.0</v>
      </c>
      <c r="M320" s="25"/>
      <c r="N320" s="70"/>
      <c r="O320" s="27">
        <f t="shared" si="39"/>
        <v>1.444444444</v>
      </c>
      <c r="P320" s="28">
        <f t="shared" si="40"/>
        <v>0</v>
      </c>
    </row>
    <row r="321" hidden="1">
      <c r="A321" s="16" t="s">
        <v>542</v>
      </c>
      <c r="B321" s="36" t="s">
        <v>543</v>
      </c>
      <c r="C321" s="18"/>
      <c r="D321" s="4"/>
      <c r="E321" s="19">
        <v>0.0</v>
      </c>
      <c r="F321" s="19"/>
      <c r="G321" s="16" t="s">
        <v>535</v>
      </c>
      <c r="H321" s="21"/>
      <c r="I321" s="22"/>
      <c r="J321" s="29"/>
      <c r="K321" s="32">
        <v>80000.0</v>
      </c>
      <c r="L321" s="24">
        <v>170000.0</v>
      </c>
      <c r="M321" s="25"/>
      <c r="N321" s="70"/>
      <c r="O321" s="27">
        <f t="shared" si="39"/>
        <v>1.125</v>
      </c>
      <c r="P321" s="28">
        <f t="shared" si="40"/>
        <v>0</v>
      </c>
    </row>
    <row r="322" hidden="1">
      <c r="A322" s="16" t="s">
        <v>544</v>
      </c>
      <c r="B322" s="36"/>
      <c r="C322" s="18"/>
      <c r="D322" s="4"/>
      <c r="E322" s="19">
        <v>0.0</v>
      </c>
      <c r="F322" s="19"/>
      <c r="G322" s="16" t="s">
        <v>516</v>
      </c>
      <c r="H322" s="21"/>
      <c r="I322" s="22"/>
      <c r="J322" s="29"/>
      <c r="K322" s="43">
        <f t="shared" ref="K322:K323" si="41">16500/100</f>
        <v>165</v>
      </c>
      <c r="L322" s="44">
        <v>200.0</v>
      </c>
      <c r="M322" s="25"/>
      <c r="N322" s="69"/>
      <c r="O322" s="27">
        <f t="shared" si="39"/>
        <v>0.2121212121</v>
      </c>
      <c r="P322" s="28">
        <f t="shared" si="40"/>
        <v>0</v>
      </c>
    </row>
    <row r="323" hidden="1">
      <c r="A323" s="16" t="s">
        <v>545</v>
      </c>
      <c r="B323" s="36"/>
      <c r="C323" s="18"/>
      <c r="D323" s="4"/>
      <c r="E323" s="19">
        <v>0.0</v>
      </c>
      <c r="F323" s="19"/>
      <c r="G323" s="16" t="s">
        <v>516</v>
      </c>
      <c r="H323" s="21"/>
      <c r="I323" s="22"/>
      <c r="J323" s="29"/>
      <c r="K323" s="43">
        <f t="shared" si="41"/>
        <v>165</v>
      </c>
      <c r="L323" s="44">
        <v>200.0</v>
      </c>
      <c r="M323" s="25"/>
      <c r="N323" s="69"/>
      <c r="O323" s="27">
        <f t="shared" si="39"/>
        <v>0.2121212121</v>
      </c>
      <c r="P323" s="28">
        <f t="shared" si="40"/>
        <v>0</v>
      </c>
    </row>
    <row r="324" hidden="1">
      <c r="A324" s="16" t="s">
        <v>546</v>
      </c>
      <c r="B324" s="36"/>
      <c r="C324" s="18" t="s">
        <v>547</v>
      </c>
      <c r="D324" s="4"/>
      <c r="E324" s="19">
        <v>0.0</v>
      </c>
      <c r="F324" s="19"/>
      <c r="G324" s="16" t="s">
        <v>516</v>
      </c>
      <c r="H324" s="21"/>
      <c r="I324" s="22"/>
      <c r="J324" s="29"/>
      <c r="K324" s="43">
        <f>2000/100</f>
        <v>20</v>
      </c>
      <c r="L324" s="44">
        <v>50.0</v>
      </c>
      <c r="M324" s="25"/>
      <c r="N324" s="69"/>
      <c r="O324" s="27">
        <f t="shared" si="39"/>
        <v>1.5</v>
      </c>
      <c r="P324" s="28">
        <f t="shared" si="40"/>
        <v>0</v>
      </c>
    </row>
    <row r="325" hidden="1">
      <c r="A325" s="119" t="s">
        <v>548</v>
      </c>
      <c r="B325" s="36"/>
      <c r="C325" s="18"/>
      <c r="D325" s="4"/>
      <c r="E325" s="19">
        <v>0.0</v>
      </c>
      <c r="F325" s="19"/>
      <c r="G325" s="16" t="s">
        <v>516</v>
      </c>
      <c r="H325" s="21"/>
      <c r="I325" s="22"/>
      <c r="J325" s="29"/>
      <c r="K325" s="43">
        <f>1500/100</f>
        <v>15</v>
      </c>
      <c r="L325" s="44">
        <v>500.0</v>
      </c>
      <c r="M325" s="25"/>
      <c r="N325" s="70"/>
      <c r="O325" s="27">
        <f t="shared" si="39"/>
        <v>32.33333333</v>
      </c>
      <c r="P325" s="28">
        <f t="shared" si="40"/>
        <v>0</v>
      </c>
    </row>
    <row r="326" hidden="1">
      <c r="A326" s="16" t="s">
        <v>549</v>
      </c>
      <c r="B326" s="36" t="s">
        <v>515</v>
      </c>
      <c r="C326" s="18"/>
      <c r="D326" s="4"/>
      <c r="E326" s="19">
        <v>0.0</v>
      </c>
      <c r="F326" s="19"/>
      <c r="G326" s="16" t="s">
        <v>516</v>
      </c>
      <c r="H326" s="21"/>
      <c r="I326" s="22"/>
      <c r="J326" s="29"/>
      <c r="K326" s="48">
        <f t="shared" ref="K326:K327" si="42">9600/100</f>
        <v>96</v>
      </c>
      <c r="L326" s="44">
        <v>200.0</v>
      </c>
      <c r="M326" s="25"/>
      <c r="N326" s="70"/>
      <c r="O326" s="27">
        <f t="shared" si="39"/>
        <v>1.083333333</v>
      </c>
      <c r="P326" s="28">
        <f t="shared" si="40"/>
        <v>0</v>
      </c>
    </row>
    <row r="327" hidden="1">
      <c r="A327" s="16" t="s">
        <v>550</v>
      </c>
      <c r="B327" s="36" t="s">
        <v>515</v>
      </c>
      <c r="C327" s="18"/>
      <c r="D327" s="4"/>
      <c r="E327" s="19">
        <v>0.0</v>
      </c>
      <c r="F327" s="19"/>
      <c r="G327" s="16" t="s">
        <v>516</v>
      </c>
      <c r="H327" s="21"/>
      <c r="I327" s="22"/>
      <c r="J327" s="29"/>
      <c r="K327" s="48">
        <f t="shared" si="42"/>
        <v>96</v>
      </c>
      <c r="L327" s="44">
        <v>200.0</v>
      </c>
      <c r="M327" s="25"/>
      <c r="N327" s="69"/>
      <c r="O327" s="27">
        <f t="shared" si="39"/>
        <v>1.083333333</v>
      </c>
      <c r="P327" s="28">
        <f t="shared" si="40"/>
        <v>0</v>
      </c>
    </row>
    <row r="328" hidden="1">
      <c r="A328" s="52" t="s">
        <v>551</v>
      </c>
      <c r="B328" s="17"/>
      <c r="C328" s="18"/>
      <c r="D328" s="4"/>
      <c r="E328" s="19">
        <v>0.0</v>
      </c>
      <c r="F328" s="19">
        <v>0.0</v>
      </c>
      <c r="G328" s="20" t="s">
        <v>437</v>
      </c>
      <c r="H328" s="21"/>
      <c r="I328" s="22" t="s">
        <v>99</v>
      </c>
      <c r="J328" s="29"/>
      <c r="K328" s="32">
        <v>2500.0</v>
      </c>
      <c r="L328" s="24">
        <v>4000.0</v>
      </c>
      <c r="M328" s="25"/>
      <c r="N328" s="70"/>
      <c r="O328" s="27">
        <f t="shared" si="39"/>
        <v>0.6</v>
      </c>
      <c r="P328" s="28">
        <f t="shared" si="40"/>
        <v>0</v>
      </c>
    </row>
    <row r="329" hidden="1">
      <c r="A329" s="16" t="s">
        <v>552</v>
      </c>
      <c r="B329" s="36"/>
      <c r="C329" s="18"/>
      <c r="D329" s="4"/>
      <c r="E329" s="19">
        <v>0.0</v>
      </c>
      <c r="F329" s="19"/>
      <c r="G329" s="16" t="s">
        <v>553</v>
      </c>
      <c r="H329" s="21"/>
      <c r="I329" s="22"/>
      <c r="J329" s="29"/>
      <c r="K329" s="43">
        <v>500.0</v>
      </c>
      <c r="L329" s="43">
        <v>1.0</v>
      </c>
      <c r="M329" s="25"/>
      <c r="N329" s="26"/>
      <c r="O329" s="27">
        <f t="shared" si="39"/>
        <v>-0.998</v>
      </c>
      <c r="P329" s="28">
        <f t="shared" si="40"/>
        <v>0</v>
      </c>
    </row>
    <row r="330" hidden="1">
      <c r="A330" s="16" t="s">
        <v>554</v>
      </c>
      <c r="B330" s="36"/>
      <c r="C330" s="18"/>
      <c r="D330" s="4"/>
      <c r="E330" s="19">
        <v>0.0</v>
      </c>
      <c r="F330" s="19">
        <v>5.0</v>
      </c>
      <c r="G330" s="16" t="s">
        <v>555</v>
      </c>
      <c r="H330" s="21"/>
      <c r="I330" s="22">
        <v>40.0</v>
      </c>
      <c r="J330" s="29"/>
      <c r="K330" s="43">
        <v>900.0</v>
      </c>
      <c r="L330" s="44">
        <v>2000.0</v>
      </c>
      <c r="M330" s="25"/>
      <c r="N330" s="69"/>
      <c r="O330" s="27">
        <f t="shared" si="39"/>
        <v>1.222222222</v>
      </c>
      <c r="P330" s="28">
        <f t="shared" si="40"/>
        <v>4500</v>
      </c>
    </row>
    <row r="331" hidden="1">
      <c r="A331" s="59" t="s">
        <v>556</v>
      </c>
      <c r="B331" s="97" t="s">
        <v>557</v>
      </c>
      <c r="C331" s="18" t="s">
        <v>558</v>
      </c>
      <c r="D331" s="98"/>
      <c r="E331" s="19">
        <v>0.0</v>
      </c>
      <c r="F331" s="128"/>
      <c r="G331" s="20" t="s">
        <v>485</v>
      </c>
      <c r="H331" s="21">
        <v>0.0</v>
      </c>
      <c r="I331" s="22"/>
      <c r="J331" s="29"/>
      <c r="K331" s="43">
        <v>75000.0</v>
      </c>
      <c r="L331" s="43">
        <v>90000.0</v>
      </c>
      <c r="M331" s="25"/>
      <c r="N331" s="26"/>
      <c r="O331" s="27">
        <f t="shared" si="39"/>
        <v>0.2</v>
      </c>
      <c r="P331" s="28">
        <f t="shared" si="40"/>
        <v>0</v>
      </c>
    </row>
    <row r="332" hidden="1">
      <c r="A332" s="16" t="s">
        <v>559</v>
      </c>
      <c r="B332" s="17" t="s">
        <v>560</v>
      </c>
      <c r="C332" s="18"/>
      <c r="D332" s="4"/>
      <c r="E332" s="19"/>
      <c r="F332" s="19">
        <v>0.0</v>
      </c>
      <c r="G332" s="16" t="s">
        <v>561</v>
      </c>
      <c r="H332" s="21"/>
      <c r="I332" s="22"/>
      <c r="J332" s="29"/>
      <c r="K332" s="43">
        <v>14800.0</v>
      </c>
      <c r="L332" s="44">
        <v>24000.0</v>
      </c>
      <c r="M332" s="25"/>
      <c r="N332" s="50">
        <v>17000.0</v>
      </c>
      <c r="O332" s="27">
        <f t="shared" si="39"/>
        <v>0.6216216216</v>
      </c>
      <c r="P332" s="28">
        <f t="shared" si="40"/>
        <v>0</v>
      </c>
    </row>
    <row r="333" hidden="1">
      <c r="A333" s="135" t="s">
        <v>562</v>
      </c>
      <c r="B333" s="17"/>
      <c r="C333" s="18"/>
      <c r="D333" s="4"/>
      <c r="E333" s="19">
        <v>3.0</v>
      </c>
      <c r="F333" s="19">
        <v>0.0</v>
      </c>
      <c r="G333" s="20" t="s">
        <v>563</v>
      </c>
      <c r="H333" s="21"/>
      <c r="I333" s="22">
        <v>1.0</v>
      </c>
      <c r="J333" s="23"/>
      <c r="K333" s="55">
        <f>32000*0.9*1.19</f>
        <v>34272</v>
      </c>
      <c r="L333" s="55">
        <v>56000.0</v>
      </c>
      <c r="M333" s="25"/>
      <c r="N333" s="70"/>
      <c r="O333" s="27">
        <f t="shared" si="39"/>
        <v>0.6339869281</v>
      </c>
      <c r="P333" s="28">
        <f t="shared" si="40"/>
        <v>0</v>
      </c>
    </row>
    <row r="334" hidden="1">
      <c r="A334" s="135" t="s">
        <v>564</v>
      </c>
      <c r="B334" s="136" t="s">
        <v>565</v>
      </c>
      <c r="C334" s="18"/>
      <c r="D334" s="4"/>
      <c r="E334" s="19">
        <v>0.0</v>
      </c>
      <c r="F334" s="19">
        <v>1.0</v>
      </c>
      <c r="G334" s="20" t="s">
        <v>563</v>
      </c>
      <c r="H334" s="21"/>
      <c r="I334" s="22">
        <v>0.0</v>
      </c>
      <c r="J334" s="23"/>
      <c r="K334" s="55">
        <f>38000*0.9*1.19</f>
        <v>40698</v>
      </c>
      <c r="L334" s="55">
        <v>60000.0</v>
      </c>
      <c r="M334" s="25"/>
      <c r="N334" s="70"/>
      <c r="O334" s="27">
        <f t="shared" si="39"/>
        <v>0.4742739201</v>
      </c>
      <c r="P334" s="28">
        <f t="shared" si="40"/>
        <v>40698</v>
      </c>
    </row>
    <row r="335" hidden="1">
      <c r="A335" s="40" t="s">
        <v>566</v>
      </c>
      <c r="B335" s="17"/>
      <c r="C335" s="18"/>
      <c r="D335" s="4"/>
      <c r="E335" s="19">
        <v>0.0</v>
      </c>
      <c r="F335" s="19">
        <v>0.0</v>
      </c>
      <c r="G335" s="16" t="s">
        <v>26</v>
      </c>
      <c r="H335" s="21"/>
      <c r="I335" s="22">
        <v>0.0</v>
      </c>
      <c r="J335" s="29"/>
      <c r="K335" s="43">
        <v>3500.0</v>
      </c>
      <c r="L335" s="44">
        <v>6000.0</v>
      </c>
      <c r="M335" s="25"/>
      <c r="N335" s="26"/>
      <c r="O335" s="27">
        <f t="shared" si="39"/>
        <v>0.7142857143</v>
      </c>
      <c r="P335" s="28">
        <f t="shared" si="40"/>
        <v>0</v>
      </c>
    </row>
    <row r="336" hidden="1">
      <c r="A336" s="52" t="s">
        <v>567</v>
      </c>
      <c r="B336" s="17"/>
      <c r="C336" s="18"/>
      <c r="D336" s="4"/>
      <c r="E336" s="19">
        <v>0.0</v>
      </c>
      <c r="F336" s="19">
        <v>0.0</v>
      </c>
      <c r="G336" s="16" t="s">
        <v>563</v>
      </c>
      <c r="H336" s="21"/>
      <c r="I336" s="22">
        <v>0.0</v>
      </c>
      <c r="J336" s="29"/>
      <c r="K336" s="43">
        <f>5500*1.19</f>
        <v>6545</v>
      </c>
      <c r="L336" s="44">
        <v>10000.0</v>
      </c>
      <c r="M336" s="25"/>
      <c r="N336" s="26"/>
      <c r="O336" s="27">
        <f t="shared" si="39"/>
        <v>0.5278838808</v>
      </c>
      <c r="P336" s="28">
        <f t="shared" si="40"/>
        <v>0</v>
      </c>
    </row>
    <row r="337" hidden="1">
      <c r="A337" s="52" t="s">
        <v>568</v>
      </c>
      <c r="B337" s="17"/>
      <c r="C337" s="18"/>
      <c r="D337" s="4"/>
      <c r="E337" s="19">
        <v>0.0</v>
      </c>
      <c r="F337" s="19"/>
      <c r="G337" s="16" t="s">
        <v>569</v>
      </c>
      <c r="H337" s="21"/>
      <c r="I337" s="22"/>
      <c r="J337" s="29">
        <f t="shared" ref="J337:K337" si="43">5400*1.19</f>
        <v>6426</v>
      </c>
      <c r="K337" s="48">
        <f t="shared" si="43"/>
        <v>6426</v>
      </c>
      <c r="L337" s="55">
        <v>10000.0</v>
      </c>
      <c r="M337" s="25"/>
      <c r="N337" s="26">
        <v>9000.0</v>
      </c>
      <c r="O337" s="27">
        <f t="shared" si="39"/>
        <v>0.5561780268</v>
      </c>
      <c r="P337" s="28">
        <f t="shared" si="40"/>
        <v>0</v>
      </c>
    </row>
    <row r="338" hidden="1">
      <c r="A338" s="135" t="s">
        <v>570</v>
      </c>
      <c r="B338" s="17"/>
      <c r="C338" s="18"/>
      <c r="D338" s="4"/>
      <c r="E338" s="19">
        <v>0.0</v>
      </c>
      <c r="F338" s="19">
        <v>0.0</v>
      </c>
      <c r="G338" s="20"/>
      <c r="H338" s="21"/>
      <c r="I338" s="22">
        <v>9.0</v>
      </c>
      <c r="J338" s="23"/>
      <c r="K338" s="24"/>
      <c r="L338" s="24"/>
      <c r="M338" s="25"/>
      <c r="N338" s="70"/>
      <c r="O338" s="27"/>
      <c r="P338" s="28"/>
    </row>
    <row r="339" hidden="1">
      <c r="A339" s="16" t="s">
        <v>571</v>
      </c>
      <c r="B339" s="36"/>
      <c r="C339" s="18"/>
      <c r="D339" s="4"/>
      <c r="E339" s="19"/>
      <c r="F339" s="19"/>
      <c r="G339" s="16" t="s">
        <v>572</v>
      </c>
      <c r="H339" s="21"/>
      <c r="I339" s="22"/>
      <c r="J339" s="29"/>
      <c r="K339" s="43">
        <v>3500.0</v>
      </c>
      <c r="L339" s="44">
        <v>6000.0</v>
      </c>
      <c r="M339" s="25"/>
      <c r="N339" s="26"/>
      <c r="O339" s="27">
        <f t="shared" ref="O339:O358" si="44">(L339/K339)-1</f>
        <v>0.7142857143</v>
      </c>
      <c r="P339" s="28">
        <f t="shared" ref="P339:P358" si="45">K339*F339</f>
        <v>0</v>
      </c>
    </row>
    <row r="340" hidden="1">
      <c r="A340" s="16" t="s">
        <v>573</v>
      </c>
      <c r="B340" s="36"/>
      <c r="C340" s="18"/>
      <c r="D340" s="4"/>
      <c r="E340" s="19"/>
      <c r="F340" s="19"/>
      <c r="G340" s="16" t="s">
        <v>572</v>
      </c>
      <c r="H340" s="21"/>
      <c r="I340" s="22"/>
      <c r="J340" s="29"/>
      <c r="K340" s="43">
        <v>4900.0</v>
      </c>
      <c r="L340" s="44">
        <v>7000.0</v>
      </c>
      <c r="M340" s="25"/>
      <c r="N340" s="26"/>
      <c r="O340" s="27">
        <f t="shared" si="44"/>
        <v>0.4285714286</v>
      </c>
      <c r="P340" s="28">
        <f t="shared" si="45"/>
        <v>0</v>
      </c>
    </row>
    <row r="341" hidden="1">
      <c r="A341" s="16" t="s">
        <v>574</v>
      </c>
      <c r="B341" s="36"/>
      <c r="C341" s="18"/>
      <c r="D341" s="4"/>
      <c r="E341" s="19"/>
      <c r="F341" s="19"/>
      <c r="G341" s="16" t="s">
        <v>575</v>
      </c>
      <c r="H341" s="21"/>
      <c r="I341" s="22"/>
      <c r="J341" s="29"/>
      <c r="K341" s="43">
        <v>14400.0</v>
      </c>
      <c r="L341" s="44">
        <v>22000.0</v>
      </c>
      <c r="M341" s="25"/>
      <c r="N341" s="26"/>
      <c r="O341" s="27">
        <f t="shared" si="44"/>
        <v>0.5277777778</v>
      </c>
      <c r="P341" s="28">
        <f t="shared" si="45"/>
        <v>0</v>
      </c>
    </row>
    <row r="342" hidden="1">
      <c r="A342" s="16" t="s">
        <v>576</v>
      </c>
      <c r="B342" s="36"/>
      <c r="C342" s="18"/>
      <c r="D342" s="4"/>
      <c r="E342" s="19">
        <v>0.0</v>
      </c>
      <c r="F342" s="19">
        <v>0.0</v>
      </c>
      <c r="G342" s="16" t="s">
        <v>577</v>
      </c>
      <c r="H342" s="21"/>
      <c r="I342" s="22">
        <v>1.0</v>
      </c>
      <c r="J342" s="29"/>
      <c r="K342" s="32">
        <f>56280*1.19</f>
        <v>66973.2</v>
      </c>
      <c r="L342" s="32">
        <v>83000.0</v>
      </c>
      <c r="M342" s="25"/>
      <c r="N342" s="26"/>
      <c r="O342" s="27">
        <f t="shared" si="44"/>
        <v>0.2393016908</v>
      </c>
      <c r="P342" s="28">
        <f t="shared" si="45"/>
        <v>0</v>
      </c>
    </row>
    <row r="343" hidden="1">
      <c r="A343" s="16" t="s">
        <v>578</v>
      </c>
      <c r="B343" s="36"/>
      <c r="C343" s="18"/>
      <c r="D343" s="4"/>
      <c r="E343" s="19"/>
      <c r="F343" s="19"/>
      <c r="G343" s="16" t="s">
        <v>575</v>
      </c>
      <c r="H343" s="21"/>
      <c r="I343" s="22"/>
      <c r="J343" s="29"/>
      <c r="K343" s="43">
        <v>2500.0</v>
      </c>
      <c r="L343" s="44">
        <v>6000.0</v>
      </c>
      <c r="M343" s="25"/>
      <c r="N343" s="26"/>
      <c r="O343" s="27">
        <f t="shared" si="44"/>
        <v>1.4</v>
      </c>
      <c r="P343" s="28">
        <f t="shared" si="45"/>
        <v>0</v>
      </c>
    </row>
    <row r="344" hidden="1">
      <c r="A344" s="16" t="s">
        <v>579</v>
      </c>
      <c r="B344" s="36"/>
      <c r="C344" s="38"/>
      <c r="D344" s="4"/>
      <c r="E344" s="19">
        <v>0.0</v>
      </c>
      <c r="F344" s="62">
        <v>0.0</v>
      </c>
      <c r="G344" s="16" t="s">
        <v>580</v>
      </c>
      <c r="H344" s="21"/>
      <c r="I344" s="22">
        <v>1.0</v>
      </c>
      <c r="J344" s="29"/>
      <c r="K344" s="30">
        <v>30173.699999999997</v>
      </c>
      <c r="L344" s="46">
        <v>95000.0</v>
      </c>
      <c r="M344" s="25"/>
      <c r="N344" s="26"/>
      <c r="O344" s="27">
        <f t="shared" si="44"/>
        <v>2.148437215</v>
      </c>
      <c r="P344" s="28">
        <f t="shared" si="45"/>
        <v>0</v>
      </c>
    </row>
    <row r="345" hidden="1">
      <c r="A345" s="16" t="s">
        <v>581</v>
      </c>
      <c r="B345" s="51" t="s">
        <v>582</v>
      </c>
      <c r="C345" s="18" t="s">
        <v>55</v>
      </c>
      <c r="D345" s="98"/>
      <c r="E345" s="19">
        <v>0.0</v>
      </c>
      <c r="F345" s="128"/>
      <c r="G345" s="20" t="s">
        <v>485</v>
      </c>
      <c r="H345" s="21">
        <v>0.0</v>
      </c>
      <c r="I345" s="22"/>
      <c r="J345" s="29"/>
      <c r="K345" s="43">
        <f>31953*1.19</f>
        <v>38024.07</v>
      </c>
      <c r="L345" s="44">
        <v>95000.0</v>
      </c>
      <c r="M345" s="25"/>
      <c r="N345" s="31"/>
      <c r="O345" s="27">
        <f t="shared" si="44"/>
        <v>1.49841745</v>
      </c>
      <c r="P345" s="28">
        <f t="shared" si="45"/>
        <v>0</v>
      </c>
    </row>
    <row r="346" hidden="1">
      <c r="A346" s="16" t="s">
        <v>583</v>
      </c>
      <c r="B346" s="36"/>
      <c r="C346" s="18"/>
      <c r="D346" s="4"/>
      <c r="E346" s="19"/>
      <c r="F346" s="19"/>
      <c r="G346" s="16" t="s">
        <v>572</v>
      </c>
      <c r="H346" s="21"/>
      <c r="I346" s="22"/>
      <c r="J346" s="29"/>
      <c r="K346" s="43">
        <v>3300.0</v>
      </c>
      <c r="L346" s="44">
        <v>12000.0</v>
      </c>
      <c r="M346" s="25"/>
      <c r="N346" s="26"/>
      <c r="O346" s="27">
        <f t="shared" si="44"/>
        <v>2.636363636</v>
      </c>
      <c r="P346" s="28">
        <f t="shared" si="45"/>
        <v>0</v>
      </c>
    </row>
    <row r="347" hidden="1">
      <c r="A347" s="16" t="s">
        <v>584</v>
      </c>
      <c r="B347" s="17"/>
      <c r="C347" s="18"/>
      <c r="D347" s="4"/>
      <c r="E347" s="19">
        <v>0.0</v>
      </c>
      <c r="F347" s="19">
        <v>0.0</v>
      </c>
      <c r="G347" s="137" t="s">
        <v>585</v>
      </c>
      <c r="H347" s="21"/>
      <c r="I347" s="22"/>
      <c r="J347" s="29"/>
      <c r="K347" s="48">
        <f>68000/100</f>
        <v>680</v>
      </c>
      <c r="L347" s="55">
        <v>2000.0</v>
      </c>
      <c r="M347" s="25"/>
      <c r="N347" s="26"/>
      <c r="O347" s="27">
        <f t="shared" si="44"/>
        <v>1.941176471</v>
      </c>
      <c r="P347" s="28">
        <f t="shared" si="45"/>
        <v>0</v>
      </c>
    </row>
    <row r="348" hidden="1">
      <c r="A348" s="16" t="s">
        <v>586</v>
      </c>
      <c r="B348" s="17"/>
      <c r="C348" s="18"/>
      <c r="D348" s="4" t="s">
        <v>587</v>
      </c>
      <c r="E348" s="19">
        <v>0.0</v>
      </c>
      <c r="F348" s="19">
        <v>0.0</v>
      </c>
      <c r="G348" s="16" t="s">
        <v>588</v>
      </c>
      <c r="H348" s="21"/>
      <c r="I348" s="22">
        <v>0.0</v>
      </c>
      <c r="J348" s="29"/>
      <c r="K348" s="43">
        <v>762.0</v>
      </c>
      <c r="L348" s="44">
        <v>2000.0</v>
      </c>
      <c r="M348" s="25"/>
      <c r="N348" s="26"/>
      <c r="O348" s="27">
        <f t="shared" si="44"/>
        <v>1.624671916</v>
      </c>
      <c r="P348" s="28">
        <f t="shared" si="45"/>
        <v>0</v>
      </c>
    </row>
    <row r="349" hidden="1">
      <c r="A349" s="16" t="s">
        <v>589</v>
      </c>
      <c r="B349" s="36"/>
      <c r="C349" s="18"/>
      <c r="D349" s="4"/>
      <c r="E349" s="19">
        <v>0.0</v>
      </c>
      <c r="F349" s="19">
        <v>0.0</v>
      </c>
      <c r="G349" s="16" t="s">
        <v>590</v>
      </c>
      <c r="H349" s="21">
        <v>9.0</v>
      </c>
      <c r="I349" s="22">
        <v>14.0</v>
      </c>
      <c r="J349" s="29"/>
      <c r="K349" s="32">
        <f>4900*1.19</f>
        <v>5831</v>
      </c>
      <c r="L349" s="24">
        <v>10000.0</v>
      </c>
      <c r="M349" s="25"/>
      <c r="N349" s="31"/>
      <c r="O349" s="27">
        <f t="shared" si="44"/>
        <v>0.714971703</v>
      </c>
      <c r="P349" s="28">
        <f t="shared" si="45"/>
        <v>0</v>
      </c>
    </row>
    <row r="350" hidden="1">
      <c r="A350" s="16" t="s">
        <v>591</v>
      </c>
      <c r="B350" s="49"/>
      <c r="C350" s="92"/>
      <c r="D350" s="4"/>
      <c r="E350" s="19">
        <v>0.0</v>
      </c>
      <c r="F350" s="19">
        <v>0.0</v>
      </c>
      <c r="G350" s="16" t="s">
        <v>590</v>
      </c>
      <c r="H350" s="21">
        <v>14.0</v>
      </c>
      <c r="I350" s="22">
        <v>27.0</v>
      </c>
      <c r="J350" s="29"/>
      <c r="K350" s="32">
        <f>8571*0.85*1.19</f>
        <v>8669.5665</v>
      </c>
      <c r="L350" s="24">
        <v>15000.0</v>
      </c>
      <c r="M350" s="25"/>
      <c r="N350" s="31"/>
      <c r="O350" s="27">
        <f t="shared" si="44"/>
        <v>0.7301903157</v>
      </c>
      <c r="P350" s="28">
        <f t="shared" si="45"/>
        <v>0</v>
      </c>
    </row>
    <row r="351" hidden="1">
      <c r="A351" s="16" t="s">
        <v>592</v>
      </c>
      <c r="B351" s="49"/>
      <c r="C351" s="92"/>
      <c r="D351" s="4"/>
      <c r="E351" s="19">
        <v>20.0</v>
      </c>
      <c r="F351" s="19">
        <v>30.0</v>
      </c>
      <c r="G351" s="16" t="s">
        <v>590</v>
      </c>
      <c r="H351" s="21">
        <v>0.0</v>
      </c>
      <c r="I351" s="22">
        <v>2.0</v>
      </c>
      <c r="J351" s="29"/>
      <c r="K351" s="48">
        <f>9000*1.19</f>
        <v>10710</v>
      </c>
      <c r="L351" s="55">
        <v>19000.0</v>
      </c>
      <c r="M351" s="25"/>
      <c r="N351" s="31"/>
      <c r="O351" s="27">
        <f t="shared" si="44"/>
        <v>0.7740429505</v>
      </c>
      <c r="P351" s="28">
        <f t="shared" si="45"/>
        <v>321300</v>
      </c>
    </row>
    <row r="352" hidden="1">
      <c r="A352" s="16" t="s">
        <v>593</v>
      </c>
      <c r="B352" s="49"/>
      <c r="C352" s="92"/>
      <c r="D352" s="4"/>
      <c r="E352" s="19">
        <v>10.0</v>
      </c>
      <c r="F352" s="19">
        <v>20.0</v>
      </c>
      <c r="G352" s="16" t="s">
        <v>590</v>
      </c>
      <c r="H352" s="21">
        <v>7.0</v>
      </c>
      <c r="I352" s="22">
        <v>8.0</v>
      </c>
      <c r="J352" s="29"/>
      <c r="K352" s="48">
        <f>10700*1.19</f>
        <v>12733</v>
      </c>
      <c r="L352" s="55">
        <v>21000.0</v>
      </c>
      <c r="M352" s="25"/>
      <c r="N352" s="31"/>
      <c r="O352" s="27">
        <f t="shared" si="44"/>
        <v>0.649257834</v>
      </c>
      <c r="P352" s="28">
        <f t="shared" si="45"/>
        <v>254660</v>
      </c>
    </row>
    <row r="353" hidden="1">
      <c r="A353" s="16" t="s">
        <v>594</v>
      </c>
      <c r="B353" s="17" t="s">
        <v>595</v>
      </c>
      <c r="C353" s="18"/>
      <c r="D353" s="4"/>
      <c r="E353" s="19">
        <v>0.0</v>
      </c>
      <c r="F353" s="19">
        <v>0.0</v>
      </c>
      <c r="G353" s="138" t="s">
        <v>596</v>
      </c>
      <c r="H353" s="139"/>
      <c r="I353" s="22" t="s">
        <v>597</v>
      </c>
      <c r="J353" s="140"/>
      <c r="K353" s="141">
        <f>910*1.19</f>
        <v>1082.9</v>
      </c>
      <c r="L353" s="44">
        <v>2000.0</v>
      </c>
      <c r="M353" s="25"/>
      <c r="N353" s="26"/>
      <c r="O353" s="27">
        <f t="shared" si="44"/>
        <v>0.8468926032</v>
      </c>
      <c r="P353" s="28">
        <f t="shared" si="45"/>
        <v>0</v>
      </c>
    </row>
    <row r="354" hidden="1">
      <c r="A354" s="16" t="s">
        <v>598</v>
      </c>
      <c r="B354" s="17" t="s">
        <v>599</v>
      </c>
      <c r="C354" s="18"/>
      <c r="D354" s="4"/>
      <c r="E354" s="19">
        <v>0.0</v>
      </c>
      <c r="F354" s="19">
        <v>0.0</v>
      </c>
      <c r="G354" s="138" t="s">
        <v>600</v>
      </c>
      <c r="H354" s="21"/>
      <c r="I354" s="22">
        <f>86</f>
        <v>86</v>
      </c>
      <c r="J354" s="29"/>
      <c r="K354" s="48">
        <v>1285.0</v>
      </c>
      <c r="L354" s="55">
        <v>2000.0</v>
      </c>
      <c r="M354" s="25"/>
      <c r="N354" s="26"/>
      <c r="O354" s="27">
        <f t="shared" si="44"/>
        <v>0.5564202335</v>
      </c>
      <c r="P354" s="28">
        <f t="shared" si="45"/>
        <v>0</v>
      </c>
    </row>
    <row r="355" hidden="1">
      <c r="A355" s="16" t="s">
        <v>601</v>
      </c>
      <c r="B355" s="17" t="s">
        <v>602</v>
      </c>
      <c r="C355" s="18"/>
      <c r="D355" s="4"/>
      <c r="E355" s="19">
        <v>100.0</v>
      </c>
      <c r="F355" s="19">
        <v>200.0</v>
      </c>
      <c r="G355" s="20" t="s">
        <v>600</v>
      </c>
      <c r="H355" s="21"/>
      <c r="I355" s="22" t="s">
        <v>603</v>
      </c>
      <c r="J355" s="29"/>
      <c r="K355" s="43">
        <v>1071.0</v>
      </c>
      <c r="L355" s="44">
        <v>2000.0</v>
      </c>
      <c r="M355" s="25"/>
      <c r="N355" s="26"/>
      <c r="O355" s="27">
        <f t="shared" si="44"/>
        <v>0.8674136321</v>
      </c>
      <c r="P355" s="28">
        <f t="shared" si="45"/>
        <v>214200</v>
      </c>
    </row>
    <row r="356" hidden="1">
      <c r="A356" s="16" t="s">
        <v>604</v>
      </c>
      <c r="B356" s="97" t="s">
        <v>605</v>
      </c>
      <c r="C356" s="92"/>
      <c r="D356" s="4"/>
      <c r="E356" s="19"/>
      <c r="F356" s="19">
        <v>0.0</v>
      </c>
      <c r="G356" s="16" t="s">
        <v>572</v>
      </c>
      <c r="H356" s="21"/>
      <c r="I356" s="22">
        <v>12.0</v>
      </c>
      <c r="J356" s="23"/>
      <c r="K356" s="24">
        <v>9782.0</v>
      </c>
      <c r="L356" s="24">
        <v>18000.0</v>
      </c>
      <c r="M356" s="25"/>
      <c r="N356" s="70"/>
      <c r="O356" s="27">
        <f t="shared" si="44"/>
        <v>0.840114496</v>
      </c>
      <c r="P356" s="28">
        <f t="shared" si="45"/>
        <v>0</v>
      </c>
    </row>
    <row r="357" hidden="1">
      <c r="A357" s="16" t="s">
        <v>606</v>
      </c>
      <c r="B357" s="142"/>
      <c r="C357" s="92"/>
      <c r="D357" s="4"/>
      <c r="E357" s="19"/>
      <c r="F357" s="19">
        <v>0.0</v>
      </c>
      <c r="G357" s="16" t="s">
        <v>572</v>
      </c>
      <c r="H357" s="143"/>
      <c r="I357" s="22">
        <v>36.0</v>
      </c>
      <c r="J357" s="144"/>
      <c r="K357" s="145">
        <v>12515.0</v>
      </c>
      <c r="L357" s="146">
        <v>24000.0</v>
      </c>
      <c r="M357" s="25"/>
      <c r="N357" s="70"/>
      <c r="O357" s="27">
        <f t="shared" si="44"/>
        <v>0.9176987615</v>
      </c>
      <c r="P357" s="28">
        <f t="shared" si="45"/>
        <v>0</v>
      </c>
    </row>
    <row r="358" hidden="1">
      <c r="A358" s="16" t="s">
        <v>607</v>
      </c>
      <c r="B358" s="142" t="s">
        <v>608</v>
      </c>
      <c r="C358" s="92"/>
      <c r="D358" s="4"/>
      <c r="E358" s="19"/>
      <c r="F358" s="19">
        <v>0.0</v>
      </c>
      <c r="G358" s="16" t="s">
        <v>572</v>
      </c>
      <c r="H358" s="21"/>
      <c r="I358" s="22">
        <v>30.0</v>
      </c>
      <c r="J358" s="29"/>
      <c r="K358" s="32">
        <v>17118.0</v>
      </c>
      <c r="L358" s="24">
        <v>32000.0</v>
      </c>
      <c r="M358" s="25"/>
      <c r="N358" s="70"/>
      <c r="O358" s="27">
        <f t="shared" si="44"/>
        <v>0.8693772637</v>
      </c>
      <c r="P358" s="28">
        <f t="shared" si="45"/>
        <v>0</v>
      </c>
    </row>
    <row r="359" hidden="1">
      <c r="A359" s="16" t="s">
        <v>609</v>
      </c>
      <c r="B359" s="51"/>
      <c r="C359" s="18" t="s">
        <v>547</v>
      </c>
      <c r="D359" s="4"/>
      <c r="E359" s="19">
        <v>0.0</v>
      </c>
      <c r="F359" s="19"/>
      <c r="G359" s="16" t="s">
        <v>610</v>
      </c>
      <c r="H359" s="21"/>
      <c r="I359" s="22"/>
      <c r="J359" s="29"/>
      <c r="K359" s="43">
        <v>1.0</v>
      </c>
      <c r="L359" s="44">
        <v>1.0</v>
      </c>
      <c r="M359" s="25"/>
      <c r="N359" s="26"/>
      <c r="O359" s="147" t="s">
        <v>611</v>
      </c>
      <c r="P359" s="28"/>
    </row>
    <row r="360" hidden="1">
      <c r="A360" s="52" t="s">
        <v>612</v>
      </c>
      <c r="B360" s="36"/>
      <c r="C360" s="18"/>
      <c r="D360" s="67"/>
      <c r="E360" s="19">
        <v>0.0</v>
      </c>
      <c r="F360" s="19">
        <v>0.0</v>
      </c>
      <c r="G360" s="56" t="s">
        <v>613</v>
      </c>
      <c r="H360" s="21"/>
      <c r="I360" s="22"/>
      <c r="J360" s="29"/>
      <c r="K360" s="48">
        <v>25935.0</v>
      </c>
      <c r="L360" s="55">
        <v>36000.0</v>
      </c>
      <c r="M360" s="25"/>
      <c r="N360" s="26">
        <v>29000.0</v>
      </c>
      <c r="O360" s="27">
        <f t="shared" ref="O360:O380" si="46">(L360/K360)-1</f>
        <v>0.3880855986</v>
      </c>
      <c r="P360" s="28"/>
    </row>
    <row r="361" hidden="1">
      <c r="A361" s="16" t="s">
        <v>614</v>
      </c>
      <c r="B361" s="17"/>
      <c r="C361" s="18"/>
      <c r="D361" s="4"/>
      <c r="E361" s="19">
        <v>0.0</v>
      </c>
      <c r="F361" s="19">
        <v>0.0</v>
      </c>
      <c r="G361" s="20" t="s">
        <v>615</v>
      </c>
      <c r="H361" s="21"/>
      <c r="I361" s="22">
        <v>12.0</v>
      </c>
      <c r="J361" s="29"/>
      <c r="K361" s="32">
        <f>345000/15</f>
        <v>23000</v>
      </c>
      <c r="L361" s="24">
        <v>50000.0</v>
      </c>
      <c r="M361" s="25"/>
      <c r="N361" s="26"/>
      <c r="O361" s="27">
        <f t="shared" si="46"/>
        <v>1.173913043</v>
      </c>
      <c r="P361" s="28">
        <f t="shared" ref="P361:P371" si="47">K361*F361</f>
        <v>0</v>
      </c>
    </row>
    <row r="362" hidden="1">
      <c r="A362" s="16" t="s">
        <v>616</v>
      </c>
      <c r="B362" s="148" t="s">
        <v>617</v>
      </c>
      <c r="C362" s="18"/>
      <c r="D362" s="4"/>
      <c r="E362" s="19">
        <v>0.0</v>
      </c>
      <c r="F362" s="19"/>
      <c r="G362" s="20" t="s">
        <v>618</v>
      </c>
      <c r="H362" s="21"/>
      <c r="I362" s="22"/>
      <c r="J362" s="29"/>
      <c r="K362" s="32">
        <v>15000.0</v>
      </c>
      <c r="L362" s="24">
        <v>25000.0</v>
      </c>
      <c r="M362" s="25"/>
      <c r="N362" s="26">
        <v>20000.0</v>
      </c>
      <c r="O362" s="27">
        <f t="shared" si="46"/>
        <v>0.6666666667</v>
      </c>
      <c r="P362" s="28">
        <f t="shared" si="47"/>
        <v>0</v>
      </c>
    </row>
    <row r="363" hidden="1">
      <c r="A363" s="52" t="s">
        <v>619</v>
      </c>
      <c r="B363" s="17"/>
      <c r="C363" s="18"/>
      <c r="D363" s="4"/>
      <c r="E363" s="19">
        <v>0.0</v>
      </c>
      <c r="F363" s="19">
        <v>0.0</v>
      </c>
      <c r="G363" s="16" t="s">
        <v>437</v>
      </c>
      <c r="H363" s="21"/>
      <c r="I363" s="22" t="s">
        <v>99</v>
      </c>
      <c r="J363" s="29"/>
      <c r="K363" s="43">
        <v>4000.0</v>
      </c>
      <c r="L363" s="44">
        <v>8000.0</v>
      </c>
      <c r="M363" s="25"/>
      <c r="N363" s="70"/>
      <c r="O363" s="27">
        <f t="shared" si="46"/>
        <v>1</v>
      </c>
      <c r="P363" s="28">
        <f t="shared" si="47"/>
        <v>0</v>
      </c>
    </row>
    <row r="364" hidden="1">
      <c r="A364" s="52" t="s">
        <v>620</v>
      </c>
      <c r="B364" s="17"/>
      <c r="C364" s="18"/>
      <c r="D364" s="4"/>
      <c r="E364" s="19">
        <v>0.0</v>
      </c>
      <c r="F364" s="19">
        <v>0.0</v>
      </c>
      <c r="G364" s="16" t="s">
        <v>437</v>
      </c>
      <c r="H364" s="21"/>
      <c r="I364" s="22" t="s">
        <v>99</v>
      </c>
      <c r="J364" s="29"/>
      <c r="K364" s="43">
        <v>4000.0</v>
      </c>
      <c r="L364" s="44">
        <v>8000.0</v>
      </c>
      <c r="M364" s="25"/>
      <c r="N364" s="70"/>
      <c r="O364" s="27">
        <f t="shared" si="46"/>
        <v>1</v>
      </c>
      <c r="P364" s="28">
        <f t="shared" si="47"/>
        <v>0</v>
      </c>
    </row>
    <row r="365" hidden="1">
      <c r="A365" s="52" t="s">
        <v>621</v>
      </c>
      <c r="B365" s="17"/>
      <c r="C365" s="18"/>
      <c r="D365" s="4"/>
      <c r="E365" s="19">
        <v>0.0</v>
      </c>
      <c r="F365" s="19">
        <v>0.0</v>
      </c>
      <c r="G365" s="16" t="s">
        <v>437</v>
      </c>
      <c r="H365" s="21"/>
      <c r="I365" s="22" t="s">
        <v>99</v>
      </c>
      <c r="J365" s="29"/>
      <c r="K365" s="43">
        <v>3800.0</v>
      </c>
      <c r="L365" s="44">
        <v>8000.0</v>
      </c>
      <c r="M365" s="25"/>
      <c r="N365" s="70"/>
      <c r="O365" s="27">
        <f t="shared" si="46"/>
        <v>1.105263158</v>
      </c>
      <c r="P365" s="28">
        <f t="shared" si="47"/>
        <v>0</v>
      </c>
    </row>
    <row r="366" hidden="1">
      <c r="A366" s="52" t="s">
        <v>622</v>
      </c>
      <c r="B366" s="17"/>
      <c r="C366" s="18"/>
      <c r="D366" s="4"/>
      <c r="E366" s="19">
        <v>0.0</v>
      </c>
      <c r="F366" s="19">
        <v>0.0</v>
      </c>
      <c r="G366" s="16" t="s">
        <v>437</v>
      </c>
      <c r="H366" s="21"/>
      <c r="I366" s="22" t="s">
        <v>99</v>
      </c>
      <c r="J366" s="29"/>
      <c r="K366" s="43">
        <v>3800.0</v>
      </c>
      <c r="L366" s="44">
        <v>8000.0</v>
      </c>
      <c r="M366" s="25"/>
      <c r="N366" s="70"/>
      <c r="O366" s="27">
        <f t="shared" si="46"/>
        <v>1.105263158</v>
      </c>
      <c r="P366" s="28">
        <f t="shared" si="47"/>
        <v>0</v>
      </c>
    </row>
    <row r="367" hidden="1">
      <c r="A367" s="52" t="s">
        <v>623</v>
      </c>
      <c r="B367" s="17"/>
      <c r="C367" s="18"/>
      <c r="D367" s="4"/>
      <c r="E367" s="19">
        <v>0.0</v>
      </c>
      <c r="F367" s="19">
        <v>0.0</v>
      </c>
      <c r="G367" s="16" t="s">
        <v>437</v>
      </c>
      <c r="H367" s="21"/>
      <c r="I367" s="22" t="s">
        <v>99</v>
      </c>
      <c r="J367" s="29"/>
      <c r="K367" s="43">
        <v>3800.0</v>
      </c>
      <c r="L367" s="44">
        <v>8000.0</v>
      </c>
      <c r="M367" s="25"/>
      <c r="N367" s="70"/>
      <c r="O367" s="27">
        <f t="shared" si="46"/>
        <v>1.105263158</v>
      </c>
      <c r="P367" s="28">
        <f t="shared" si="47"/>
        <v>0</v>
      </c>
    </row>
    <row r="368" hidden="1">
      <c r="A368" s="149" t="s">
        <v>624</v>
      </c>
      <c r="B368" s="71"/>
      <c r="C368" s="18"/>
      <c r="D368" s="4"/>
      <c r="E368" s="19">
        <v>0.0</v>
      </c>
      <c r="F368" s="19"/>
      <c r="G368" s="16" t="s">
        <v>625</v>
      </c>
      <c r="H368" s="21"/>
      <c r="I368" s="22"/>
      <c r="J368" s="29"/>
      <c r="K368" s="43">
        <v>183.0</v>
      </c>
      <c r="L368" s="44">
        <v>600.0</v>
      </c>
      <c r="M368" s="25"/>
      <c r="N368" s="26"/>
      <c r="O368" s="27">
        <f t="shared" si="46"/>
        <v>2.278688525</v>
      </c>
      <c r="P368" s="28">
        <f t="shared" si="47"/>
        <v>0</v>
      </c>
    </row>
    <row r="369" hidden="1">
      <c r="A369" s="52" t="s">
        <v>626</v>
      </c>
      <c r="B369" s="17"/>
      <c r="C369" s="18"/>
      <c r="D369" s="4"/>
      <c r="E369" s="19">
        <v>0.0</v>
      </c>
      <c r="F369" s="19">
        <v>0.0</v>
      </c>
      <c r="G369" s="16" t="s">
        <v>437</v>
      </c>
      <c r="H369" s="21"/>
      <c r="I369" s="22">
        <v>500.0</v>
      </c>
      <c r="J369" s="29"/>
      <c r="K369" s="43">
        <f>420000/200/14</f>
        <v>150</v>
      </c>
      <c r="L369" s="44">
        <v>600.0</v>
      </c>
      <c r="M369" s="25"/>
      <c r="N369" s="70"/>
      <c r="O369" s="27">
        <f t="shared" si="46"/>
        <v>3</v>
      </c>
      <c r="P369" s="28">
        <f t="shared" si="47"/>
        <v>0</v>
      </c>
    </row>
    <row r="370" hidden="1">
      <c r="A370" s="52" t="s">
        <v>627</v>
      </c>
      <c r="B370" s="36"/>
      <c r="C370" s="18"/>
      <c r="D370" s="4"/>
      <c r="E370" s="19">
        <v>0.0</v>
      </c>
      <c r="F370" s="19">
        <v>0.0</v>
      </c>
      <c r="G370" s="16" t="s">
        <v>437</v>
      </c>
      <c r="H370" s="21"/>
      <c r="I370" s="22">
        <v>50.0</v>
      </c>
      <c r="J370" s="29"/>
      <c r="K370" s="32">
        <f>70000/100</f>
        <v>700</v>
      </c>
      <c r="L370" s="32">
        <v>1500.0</v>
      </c>
      <c r="M370" s="25"/>
      <c r="N370" s="70"/>
      <c r="O370" s="27">
        <f t="shared" si="46"/>
        <v>1.142857143</v>
      </c>
      <c r="P370" s="28">
        <f t="shared" si="47"/>
        <v>0</v>
      </c>
    </row>
    <row r="371" hidden="1">
      <c r="A371" s="52" t="s">
        <v>2846</v>
      </c>
      <c r="B371" s="17"/>
      <c r="C371" s="18"/>
      <c r="D371" s="4"/>
      <c r="E371" s="19">
        <v>0.0</v>
      </c>
      <c r="F371" s="19">
        <v>0.0</v>
      </c>
      <c r="G371" s="16" t="s">
        <v>437</v>
      </c>
      <c r="H371" s="21"/>
      <c r="I371" s="22">
        <v>500.0</v>
      </c>
      <c r="J371" s="29"/>
      <c r="K371" s="43">
        <f>420000/200/14</f>
        <v>150</v>
      </c>
      <c r="L371" s="44">
        <v>600.0</v>
      </c>
      <c r="M371" s="25"/>
      <c r="N371" s="70"/>
      <c r="O371" s="27">
        <f t="shared" si="46"/>
        <v>3</v>
      </c>
      <c r="P371" s="28">
        <f t="shared" si="47"/>
        <v>0</v>
      </c>
    </row>
    <row r="372" hidden="1">
      <c r="A372" s="16" t="s">
        <v>629</v>
      </c>
      <c r="B372" s="49"/>
      <c r="C372" s="18"/>
      <c r="D372" s="4"/>
      <c r="E372" s="19">
        <v>0.0</v>
      </c>
      <c r="F372" s="19">
        <v>0.0</v>
      </c>
      <c r="G372" s="16" t="s">
        <v>630</v>
      </c>
      <c r="H372" s="21"/>
      <c r="I372" s="22">
        <v>0.0</v>
      </c>
      <c r="J372" s="29"/>
      <c r="K372" s="32">
        <v>22000.0</v>
      </c>
      <c r="L372" s="24">
        <v>38000.0</v>
      </c>
      <c r="M372" s="25">
        <v>1.19</v>
      </c>
      <c r="N372" s="69"/>
      <c r="O372" s="27">
        <f t="shared" si="46"/>
        <v>0.7272727273</v>
      </c>
      <c r="P372" s="28"/>
    </row>
    <row r="373" hidden="1">
      <c r="A373" s="16" t="s">
        <v>631</v>
      </c>
      <c r="B373" s="49"/>
      <c r="C373" s="18"/>
      <c r="D373" s="4"/>
      <c r="E373" s="19">
        <v>0.0</v>
      </c>
      <c r="F373" s="19">
        <v>0.0</v>
      </c>
      <c r="G373" s="16" t="s">
        <v>630</v>
      </c>
      <c r="H373" s="21"/>
      <c r="I373" s="22"/>
      <c r="J373" s="29"/>
      <c r="K373" s="32">
        <f>22000/2.5</f>
        <v>8800</v>
      </c>
      <c r="L373" s="24">
        <v>18000.0</v>
      </c>
      <c r="M373" s="25"/>
      <c r="N373" s="69"/>
      <c r="O373" s="27">
        <f t="shared" si="46"/>
        <v>1.045454545</v>
      </c>
      <c r="P373" s="28"/>
    </row>
    <row r="374" hidden="1">
      <c r="A374" s="150" t="s">
        <v>632</v>
      </c>
      <c r="B374" s="36"/>
      <c r="C374" s="18"/>
      <c r="D374" s="4"/>
      <c r="E374" s="19">
        <v>0.0</v>
      </c>
      <c r="F374" s="62"/>
      <c r="G374" s="16" t="s">
        <v>39</v>
      </c>
      <c r="H374" s="21"/>
      <c r="I374" s="22"/>
      <c r="J374" s="29"/>
      <c r="K374" s="32">
        <v>2000.0</v>
      </c>
      <c r="L374" s="24">
        <v>7000.0</v>
      </c>
      <c r="M374" s="25"/>
      <c r="N374" s="26"/>
      <c r="O374" s="27">
        <f t="shared" si="46"/>
        <v>2.5</v>
      </c>
      <c r="P374" s="28" t="str">
        <f>K374*#REF!</f>
        <v>#REF!</v>
      </c>
    </row>
    <row r="375" hidden="1">
      <c r="A375" s="42" t="s">
        <v>633</v>
      </c>
      <c r="B375" s="114"/>
      <c r="C375" s="18"/>
      <c r="D375" s="4"/>
      <c r="E375" s="19"/>
      <c r="F375" s="19"/>
      <c r="G375" s="20" t="s">
        <v>291</v>
      </c>
      <c r="H375" s="21"/>
      <c r="I375" s="22"/>
      <c r="J375" s="29"/>
      <c r="K375" s="32">
        <f>11000/25</f>
        <v>440</v>
      </c>
      <c r="L375" s="24">
        <v>1000.0</v>
      </c>
      <c r="M375" s="25"/>
      <c r="N375" s="50"/>
      <c r="O375" s="27">
        <f t="shared" si="46"/>
        <v>1.272727273</v>
      </c>
      <c r="P375" s="28">
        <f t="shared" ref="P375:P383" si="48">K375*F375</f>
        <v>0</v>
      </c>
    </row>
    <row r="376" hidden="1">
      <c r="A376" s="16" t="s">
        <v>634</v>
      </c>
      <c r="B376" s="36"/>
      <c r="C376" s="18"/>
      <c r="D376" s="4"/>
      <c r="E376" s="19">
        <v>0.0</v>
      </c>
      <c r="F376" s="19">
        <v>0.0</v>
      </c>
      <c r="G376" s="20" t="s">
        <v>400</v>
      </c>
      <c r="H376" s="21"/>
      <c r="I376" s="22">
        <v>4.0</v>
      </c>
      <c r="J376" s="29"/>
      <c r="K376" s="32">
        <v>22479.0</v>
      </c>
      <c r="L376" s="24">
        <v>52000.0</v>
      </c>
      <c r="M376" s="25"/>
      <c r="N376" s="26"/>
      <c r="O376" s="27">
        <f t="shared" si="46"/>
        <v>1.313270163</v>
      </c>
      <c r="P376" s="28">
        <f t="shared" si="48"/>
        <v>0</v>
      </c>
    </row>
    <row r="377" hidden="1">
      <c r="A377" s="16" t="s">
        <v>635</v>
      </c>
      <c r="B377" s="36"/>
      <c r="C377" s="18"/>
      <c r="D377" s="4"/>
      <c r="E377" s="19">
        <v>0.0</v>
      </c>
      <c r="F377" s="19"/>
      <c r="G377" s="20" t="s">
        <v>57</v>
      </c>
      <c r="H377" s="21"/>
      <c r="I377" s="22"/>
      <c r="J377" s="29"/>
      <c r="K377" s="43">
        <v>800.0</v>
      </c>
      <c r="L377" s="44">
        <v>4000.0</v>
      </c>
      <c r="M377" s="25"/>
      <c r="N377" s="26"/>
      <c r="O377" s="27">
        <f t="shared" si="46"/>
        <v>4</v>
      </c>
      <c r="P377" s="28">
        <f t="shared" si="48"/>
        <v>0</v>
      </c>
    </row>
    <row r="378" hidden="1">
      <c r="A378" s="16" t="s">
        <v>636</v>
      </c>
      <c r="B378" s="36"/>
      <c r="C378" s="18"/>
      <c r="D378" s="4"/>
      <c r="E378" s="19">
        <v>0.0</v>
      </c>
      <c r="F378" s="19"/>
      <c r="G378" s="20" t="s">
        <v>57</v>
      </c>
      <c r="H378" s="21"/>
      <c r="I378" s="22"/>
      <c r="J378" s="29"/>
      <c r="K378" s="43">
        <f>14706*1.19/25</f>
        <v>700.0056</v>
      </c>
      <c r="L378" s="44">
        <v>4000.0</v>
      </c>
      <c r="M378" s="25"/>
      <c r="N378" s="26"/>
      <c r="O378" s="27">
        <f t="shared" si="46"/>
        <v>4.71424</v>
      </c>
      <c r="P378" s="28">
        <f t="shared" si="48"/>
        <v>0</v>
      </c>
    </row>
    <row r="379" hidden="1">
      <c r="A379" s="16" t="s">
        <v>637</v>
      </c>
      <c r="B379" s="51"/>
      <c r="C379" s="18"/>
      <c r="D379" s="4"/>
      <c r="E379" s="19"/>
      <c r="F379" s="19">
        <v>0.0</v>
      </c>
      <c r="G379" s="20" t="s">
        <v>93</v>
      </c>
      <c r="H379" s="21"/>
      <c r="I379" s="22"/>
      <c r="J379" s="29"/>
      <c r="K379" s="32">
        <v>85060.0</v>
      </c>
      <c r="L379" s="24">
        <v>108000.0</v>
      </c>
      <c r="M379" s="25"/>
      <c r="N379" s="57"/>
      <c r="O379" s="27">
        <f t="shared" si="46"/>
        <v>0.2696919821</v>
      </c>
      <c r="P379" s="28">
        <f t="shared" si="48"/>
        <v>0</v>
      </c>
    </row>
    <row r="380" hidden="1">
      <c r="A380" s="122" t="s">
        <v>638</v>
      </c>
      <c r="B380" s="17"/>
      <c r="C380" s="18"/>
      <c r="D380" s="4"/>
      <c r="E380" s="19">
        <v>0.0</v>
      </c>
      <c r="F380" s="19"/>
      <c r="G380" s="16" t="s">
        <v>553</v>
      </c>
      <c r="H380" s="21"/>
      <c r="I380" s="22"/>
      <c r="J380" s="29"/>
      <c r="K380" s="43">
        <v>1.0</v>
      </c>
      <c r="L380" s="43">
        <v>1.0</v>
      </c>
      <c r="M380" s="25"/>
      <c r="N380" s="26"/>
      <c r="O380" s="27">
        <f t="shared" si="46"/>
        <v>0</v>
      </c>
      <c r="P380" s="28">
        <f t="shared" si="48"/>
        <v>0</v>
      </c>
    </row>
    <row r="381" hidden="1">
      <c r="A381" s="16" t="s">
        <v>639</v>
      </c>
      <c r="B381" s="49"/>
      <c r="C381" s="18" t="s">
        <v>547</v>
      </c>
      <c r="D381" s="4"/>
      <c r="E381" s="19"/>
      <c r="F381" s="19"/>
      <c r="G381" s="20" t="s">
        <v>640</v>
      </c>
      <c r="H381" s="21">
        <v>0.0</v>
      </c>
      <c r="I381" s="22"/>
      <c r="J381" s="29"/>
      <c r="K381" s="43">
        <v>1.0</v>
      </c>
      <c r="L381" s="44">
        <v>0.0</v>
      </c>
      <c r="M381" s="25"/>
      <c r="N381" s="70"/>
      <c r="O381" s="147" t="s">
        <v>611</v>
      </c>
      <c r="P381" s="28">
        <f t="shared" si="48"/>
        <v>0</v>
      </c>
    </row>
    <row r="382" hidden="1">
      <c r="A382" s="42" t="s">
        <v>641</v>
      </c>
      <c r="B382" s="36"/>
      <c r="C382" s="18" t="s">
        <v>547</v>
      </c>
      <c r="D382" s="4"/>
      <c r="E382" s="19">
        <v>0.0</v>
      </c>
      <c r="F382" s="19"/>
      <c r="G382" s="151" t="s">
        <v>625</v>
      </c>
      <c r="H382" s="21"/>
      <c r="I382" s="22"/>
      <c r="J382" s="29"/>
      <c r="K382" s="43">
        <v>1.0</v>
      </c>
      <c r="L382" s="43">
        <v>1.0</v>
      </c>
      <c r="M382" s="25"/>
      <c r="N382" s="50"/>
      <c r="O382" s="27">
        <f t="shared" ref="O382:O398" si="49">(L382/K382)-1</f>
        <v>0</v>
      </c>
      <c r="P382" s="28">
        <f t="shared" si="48"/>
        <v>0</v>
      </c>
    </row>
    <row r="383" hidden="1">
      <c r="A383" s="42" t="s">
        <v>642</v>
      </c>
      <c r="B383" s="71"/>
      <c r="C383" s="18"/>
      <c r="D383" s="4"/>
      <c r="E383" s="19">
        <v>0.0</v>
      </c>
      <c r="F383" s="19">
        <v>0.0</v>
      </c>
      <c r="G383" s="20" t="s">
        <v>643</v>
      </c>
      <c r="H383" s="21"/>
      <c r="I383" s="22"/>
      <c r="J383" s="29"/>
      <c r="K383" s="43">
        <f>17200/25</f>
        <v>688</v>
      </c>
      <c r="L383" s="44">
        <v>1500.0</v>
      </c>
      <c r="M383" s="25"/>
      <c r="N383" s="26"/>
      <c r="O383" s="27">
        <f t="shared" si="49"/>
        <v>1.180232558</v>
      </c>
      <c r="P383" s="28">
        <f t="shared" si="48"/>
        <v>0</v>
      </c>
    </row>
    <row r="384" hidden="1">
      <c r="A384" s="42" t="s">
        <v>644</v>
      </c>
      <c r="B384" s="71"/>
      <c r="C384" s="18"/>
      <c r="D384" s="66"/>
      <c r="E384" s="19">
        <v>0.0</v>
      </c>
      <c r="F384" s="19"/>
      <c r="G384" s="20" t="s">
        <v>553</v>
      </c>
      <c r="H384" s="21"/>
      <c r="I384" s="22"/>
      <c r="J384" s="29"/>
      <c r="K384" s="32">
        <f>17200/100</f>
        <v>172</v>
      </c>
      <c r="L384" s="24">
        <v>1500.0</v>
      </c>
      <c r="M384" s="25"/>
      <c r="N384" s="26"/>
      <c r="O384" s="27">
        <f t="shared" si="49"/>
        <v>7.720930233</v>
      </c>
      <c r="P384" s="28" t="str">
        <f>K384*#REF!</f>
        <v>#REF!</v>
      </c>
    </row>
    <row r="385" hidden="1">
      <c r="A385" s="42" t="s">
        <v>645</v>
      </c>
      <c r="B385" s="17" t="s">
        <v>646</v>
      </c>
      <c r="C385" s="18"/>
      <c r="D385" s="4"/>
      <c r="E385" s="19">
        <v>0.0</v>
      </c>
      <c r="F385" s="19">
        <v>0.0</v>
      </c>
      <c r="G385" s="16" t="s">
        <v>104</v>
      </c>
      <c r="H385" s="21"/>
      <c r="I385" s="22">
        <v>0.0</v>
      </c>
      <c r="J385" s="29"/>
      <c r="K385" s="43">
        <v>8190.0</v>
      </c>
      <c r="L385" s="44">
        <v>14000.0</v>
      </c>
      <c r="M385" s="25"/>
      <c r="N385" s="26"/>
      <c r="O385" s="27">
        <f t="shared" si="49"/>
        <v>0.7094017094</v>
      </c>
      <c r="P385" s="28">
        <f t="shared" ref="P385:P400" si="50">K385*F385</f>
        <v>0</v>
      </c>
    </row>
    <row r="386" hidden="1">
      <c r="A386" s="42" t="s">
        <v>647</v>
      </c>
      <c r="B386" s="17"/>
      <c r="C386" s="18"/>
      <c r="D386" s="4"/>
      <c r="E386" s="19">
        <v>0.0</v>
      </c>
      <c r="F386" s="19">
        <v>0.0</v>
      </c>
      <c r="G386" s="54" t="s">
        <v>102</v>
      </c>
      <c r="H386" s="21"/>
      <c r="I386" s="22">
        <v>0.0</v>
      </c>
      <c r="J386" s="29"/>
      <c r="K386" s="43">
        <v>8000.0</v>
      </c>
      <c r="L386" s="44">
        <v>18000.0</v>
      </c>
      <c r="M386" s="25"/>
      <c r="N386" s="26"/>
      <c r="O386" s="27">
        <f t="shared" si="49"/>
        <v>1.25</v>
      </c>
      <c r="P386" s="28">
        <f t="shared" si="50"/>
        <v>0</v>
      </c>
    </row>
    <row r="387" hidden="1">
      <c r="A387" s="16" t="s">
        <v>648</v>
      </c>
      <c r="B387" s="17"/>
      <c r="C387" s="18"/>
      <c r="D387" s="4"/>
      <c r="E387" s="19"/>
      <c r="F387" s="19"/>
      <c r="G387" s="16" t="s">
        <v>88</v>
      </c>
      <c r="H387" s="21"/>
      <c r="I387" s="22">
        <v>0.0</v>
      </c>
      <c r="J387" s="29"/>
      <c r="K387" s="43">
        <v>8350.0</v>
      </c>
      <c r="L387" s="44">
        <v>12000.0</v>
      </c>
      <c r="M387" s="25"/>
      <c r="N387" s="26"/>
      <c r="O387" s="27">
        <f t="shared" si="49"/>
        <v>0.4371257485</v>
      </c>
      <c r="P387" s="28">
        <f t="shared" si="50"/>
        <v>0</v>
      </c>
    </row>
    <row r="388" hidden="1">
      <c r="A388" s="42" t="s">
        <v>649</v>
      </c>
      <c r="B388" s="17" t="s">
        <v>650</v>
      </c>
      <c r="C388" s="18"/>
      <c r="D388" s="4"/>
      <c r="E388" s="19">
        <v>0.0</v>
      </c>
      <c r="F388" s="19">
        <v>0.0</v>
      </c>
      <c r="G388" s="54" t="s">
        <v>473</v>
      </c>
      <c r="H388" s="21"/>
      <c r="I388" s="22"/>
      <c r="J388" s="47">
        <v>45840.0</v>
      </c>
      <c r="K388" s="48">
        <v>99000.0</v>
      </c>
      <c r="L388" s="48">
        <v>136000.0</v>
      </c>
      <c r="M388" s="25" t="s">
        <v>82</v>
      </c>
      <c r="N388" s="26"/>
      <c r="O388" s="27">
        <f t="shared" si="49"/>
        <v>0.3737373737</v>
      </c>
      <c r="P388" s="28">
        <f t="shared" si="50"/>
        <v>0</v>
      </c>
    </row>
    <row r="389" hidden="1">
      <c r="A389" s="42" t="s">
        <v>651</v>
      </c>
      <c r="B389" s="17"/>
      <c r="C389" s="18"/>
      <c r="D389" s="4"/>
      <c r="E389" s="19">
        <v>0.0</v>
      </c>
      <c r="F389" s="19">
        <v>0.0</v>
      </c>
      <c r="G389" s="54" t="s">
        <v>473</v>
      </c>
      <c r="H389" s="21"/>
      <c r="I389" s="22"/>
      <c r="J389" s="47">
        <v>45838.0</v>
      </c>
      <c r="K389" s="48">
        <f>100000/4</f>
        <v>25000</v>
      </c>
      <c r="L389" s="48">
        <v>46000.0</v>
      </c>
      <c r="M389" s="25" t="s">
        <v>82</v>
      </c>
      <c r="N389" s="26">
        <v>36000.0</v>
      </c>
      <c r="O389" s="27">
        <f t="shared" si="49"/>
        <v>0.84</v>
      </c>
      <c r="P389" s="28">
        <f t="shared" si="50"/>
        <v>0</v>
      </c>
    </row>
    <row r="390" hidden="1">
      <c r="A390" s="42" t="s">
        <v>652</v>
      </c>
      <c r="B390" s="17"/>
      <c r="C390" s="18"/>
      <c r="D390" s="4"/>
      <c r="E390" s="19">
        <v>0.0</v>
      </c>
      <c r="F390" s="19">
        <v>0.0</v>
      </c>
      <c r="G390" s="54" t="s">
        <v>473</v>
      </c>
      <c r="H390" s="21"/>
      <c r="I390" s="22"/>
      <c r="J390" s="47">
        <v>45837.0</v>
      </c>
      <c r="K390" s="48">
        <f>100000/3</f>
        <v>33333.33333</v>
      </c>
      <c r="L390" s="48">
        <v>54000.0</v>
      </c>
      <c r="M390" s="25" t="s">
        <v>82</v>
      </c>
      <c r="N390" s="26">
        <v>42000.0</v>
      </c>
      <c r="O390" s="27">
        <f t="shared" si="49"/>
        <v>0.62</v>
      </c>
      <c r="P390" s="28">
        <f t="shared" si="50"/>
        <v>0</v>
      </c>
    </row>
    <row r="391" hidden="1">
      <c r="A391" s="42" t="s">
        <v>653</v>
      </c>
      <c r="B391" s="17"/>
      <c r="C391" s="18"/>
      <c r="D391" s="4"/>
      <c r="E391" s="19">
        <v>0.0</v>
      </c>
      <c r="F391" s="19">
        <v>0.0</v>
      </c>
      <c r="G391" s="54" t="s">
        <v>473</v>
      </c>
      <c r="H391" s="21"/>
      <c r="I391" s="22"/>
      <c r="J391" s="47">
        <v>45839.0</v>
      </c>
      <c r="K391" s="32">
        <f>38104/2</f>
        <v>19052</v>
      </c>
      <c r="L391" s="32">
        <v>34000.0</v>
      </c>
      <c r="M391" s="25" t="s">
        <v>82</v>
      </c>
      <c r="N391" s="26"/>
      <c r="O391" s="27">
        <f t="shared" si="49"/>
        <v>0.7845895444</v>
      </c>
      <c r="P391" s="28">
        <f t="shared" si="50"/>
        <v>0</v>
      </c>
    </row>
    <row r="392" hidden="1">
      <c r="A392" s="16" t="s">
        <v>654</v>
      </c>
      <c r="B392" s="17"/>
      <c r="C392" s="18"/>
      <c r="D392" s="4"/>
      <c r="E392" s="19">
        <v>0.0</v>
      </c>
      <c r="F392" s="19">
        <v>0.0</v>
      </c>
      <c r="G392" s="120" t="s">
        <v>655</v>
      </c>
      <c r="H392" s="21"/>
      <c r="I392" s="22">
        <v>10.0</v>
      </c>
      <c r="J392" s="47">
        <v>46082.0</v>
      </c>
      <c r="K392" s="32">
        <v>18172.0</v>
      </c>
      <c r="L392" s="24">
        <v>32000.0</v>
      </c>
      <c r="M392" s="25" t="s">
        <v>82</v>
      </c>
      <c r="N392" s="31">
        <v>25000.0</v>
      </c>
      <c r="O392" s="27">
        <f t="shared" si="49"/>
        <v>0.7609509135</v>
      </c>
      <c r="P392" s="28">
        <f t="shared" si="50"/>
        <v>0</v>
      </c>
    </row>
    <row r="393" hidden="1">
      <c r="A393" s="16" t="s">
        <v>656</v>
      </c>
      <c r="B393" s="17"/>
      <c r="C393" s="18"/>
      <c r="D393" s="4"/>
      <c r="E393" s="19"/>
      <c r="F393" s="19">
        <v>0.0</v>
      </c>
      <c r="G393" s="40" t="s">
        <v>93</v>
      </c>
      <c r="H393" s="21"/>
      <c r="I393" s="22"/>
      <c r="J393" s="29"/>
      <c r="K393" s="32">
        <v>32130.0</v>
      </c>
      <c r="L393" s="24">
        <v>42000.0</v>
      </c>
      <c r="M393" s="25"/>
      <c r="N393" s="26"/>
      <c r="O393" s="27">
        <f t="shared" si="49"/>
        <v>0.3071895425</v>
      </c>
      <c r="P393" s="28">
        <f t="shared" si="50"/>
        <v>0</v>
      </c>
    </row>
    <row r="394" hidden="1">
      <c r="A394" s="16" t="s">
        <v>657</v>
      </c>
      <c r="B394" s="17"/>
      <c r="C394" s="18"/>
      <c r="D394" s="4"/>
      <c r="E394" s="19">
        <v>0.0</v>
      </c>
      <c r="F394" s="19">
        <v>0.0</v>
      </c>
      <c r="G394" s="120" t="s">
        <v>655</v>
      </c>
      <c r="H394" s="21"/>
      <c r="I394" s="22">
        <v>4.0</v>
      </c>
      <c r="J394" s="29"/>
      <c r="K394" s="32">
        <v>19360.0</v>
      </c>
      <c r="L394" s="24">
        <v>34000.0</v>
      </c>
      <c r="M394" s="25" t="s">
        <v>82</v>
      </c>
      <c r="N394" s="26">
        <v>25000.0</v>
      </c>
      <c r="O394" s="27">
        <f t="shared" si="49"/>
        <v>0.7561983471</v>
      </c>
      <c r="P394" s="28">
        <f t="shared" si="50"/>
        <v>0</v>
      </c>
    </row>
    <row r="395" hidden="1">
      <c r="A395" s="122" t="s">
        <v>658</v>
      </c>
      <c r="B395" s="17">
        <v>248002.0</v>
      </c>
      <c r="C395" s="18"/>
      <c r="D395" s="110"/>
      <c r="E395" s="19">
        <v>0.0</v>
      </c>
      <c r="F395" s="152">
        <v>0.0</v>
      </c>
      <c r="G395" s="16" t="s">
        <v>659</v>
      </c>
      <c r="H395" s="21"/>
      <c r="I395" s="22">
        <v>20.0</v>
      </c>
      <c r="J395" s="23"/>
      <c r="K395" s="44">
        <f>3347*1.19</f>
        <v>3982.93</v>
      </c>
      <c r="L395" s="44">
        <v>7000.0</v>
      </c>
      <c r="M395" s="25"/>
      <c r="N395" s="26"/>
      <c r="O395" s="27">
        <f t="shared" si="49"/>
        <v>0.7575001318</v>
      </c>
      <c r="P395" s="28">
        <f t="shared" si="50"/>
        <v>0</v>
      </c>
    </row>
    <row r="396" hidden="1">
      <c r="A396" s="122" t="s">
        <v>660</v>
      </c>
      <c r="B396" s="17">
        <v>241027.0</v>
      </c>
      <c r="C396" s="18"/>
      <c r="D396" s="4"/>
      <c r="E396" s="19">
        <v>0.0</v>
      </c>
      <c r="F396" s="19">
        <v>0.0</v>
      </c>
      <c r="G396" s="16" t="s">
        <v>425</v>
      </c>
      <c r="H396" s="21"/>
      <c r="I396" s="22">
        <v>60.0</v>
      </c>
      <c r="J396" s="29"/>
      <c r="K396" s="43">
        <f>1416*1.19</f>
        <v>1685.04</v>
      </c>
      <c r="L396" s="43">
        <v>4000.0</v>
      </c>
      <c r="M396" s="25"/>
      <c r="N396" s="70"/>
      <c r="O396" s="27">
        <f t="shared" si="49"/>
        <v>1.373830888</v>
      </c>
      <c r="P396" s="28">
        <f t="shared" si="50"/>
        <v>0</v>
      </c>
    </row>
    <row r="397" hidden="1">
      <c r="A397" s="16" t="s">
        <v>661</v>
      </c>
      <c r="B397" s="36"/>
      <c r="C397" s="18"/>
      <c r="D397" s="4"/>
      <c r="E397" s="19"/>
      <c r="F397" s="19"/>
      <c r="G397" s="16" t="s">
        <v>39</v>
      </c>
      <c r="H397" s="21"/>
      <c r="I397" s="22"/>
      <c r="J397" s="29"/>
      <c r="K397" s="43">
        <f>21795*1.19/10</f>
        <v>2593.605</v>
      </c>
      <c r="L397" s="44">
        <v>7000.0</v>
      </c>
      <c r="M397" s="25"/>
      <c r="N397" s="63"/>
      <c r="O397" s="27">
        <f t="shared" si="49"/>
        <v>1.698946062</v>
      </c>
      <c r="P397" s="28">
        <f t="shared" si="50"/>
        <v>0</v>
      </c>
    </row>
    <row r="398" hidden="1">
      <c r="A398" s="16" t="s">
        <v>662</v>
      </c>
      <c r="B398" s="36"/>
      <c r="C398" s="18"/>
      <c r="D398" s="4"/>
      <c r="E398" s="19">
        <v>0.0</v>
      </c>
      <c r="F398" s="19"/>
      <c r="G398" s="16" t="s">
        <v>39</v>
      </c>
      <c r="H398" s="21"/>
      <c r="I398" s="22"/>
      <c r="J398" s="29"/>
      <c r="K398" s="43">
        <f>2180.22*1.19/3</f>
        <v>864.8206</v>
      </c>
      <c r="L398" s="44">
        <v>5000.0</v>
      </c>
      <c r="M398" s="25"/>
      <c r="N398" s="50"/>
      <c r="O398" s="27">
        <f t="shared" si="49"/>
        <v>4.781545907</v>
      </c>
      <c r="P398" s="28">
        <f t="shared" si="50"/>
        <v>0</v>
      </c>
    </row>
    <row r="399" hidden="1">
      <c r="A399" s="42" t="s">
        <v>663</v>
      </c>
      <c r="B399" s="114"/>
      <c r="C399" s="153"/>
      <c r="D399" s="154"/>
      <c r="E399" s="19">
        <v>0.0</v>
      </c>
      <c r="F399" s="155"/>
      <c r="G399" s="20" t="s">
        <v>664</v>
      </c>
      <c r="H399" s="21"/>
      <c r="I399" s="22"/>
      <c r="J399" s="29"/>
      <c r="K399" s="32">
        <f>8067*1.19/12</f>
        <v>799.9775</v>
      </c>
      <c r="L399" s="24">
        <v>2000.0</v>
      </c>
      <c r="M399" s="25"/>
      <c r="N399" s="50"/>
      <c r="O399" s="27">
        <f>(L399/K398)-1</f>
        <v>1.312618363</v>
      </c>
      <c r="P399" s="28">
        <f t="shared" si="50"/>
        <v>0</v>
      </c>
    </row>
    <row r="400" hidden="1">
      <c r="A400" s="156" t="s">
        <v>665</v>
      </c>
      <c r="B400" s="71"/>
      <c r="C400" s="153"/>
      <c r="D400" s="4"/>
      <c r="E400" s="19">
        <v>0.0</v>
      </c>
      <c r="F400" s="19"/>
      <c r="G400" s="20" t="s">
        <v>666</v>
      </c>
      <c r="H400" s="33"/>
      <c r="I400" s="22"/>
      <c r="J400" s="34"/>
      <c r="K400" s="123">
        <f>7142*1.19/12</f>
        <v>708.2483333</v>
      </c>
      <c r="L400" s="44">
        <v>2000.0</v>
      </c>
      <c r="M400" s="25"/>
      <c r="N400" s="50"/>
      <c r="O400" s="27">
        <f>(L400/K400)-1</f>
        <v>1.823868276</v>
      </c>
      <c r="P400" s="28">
        <f t="shared" si="50"/>
        <v>0</v>
      </c>
    </row>
    <row r="401" hidden="1">
      <c r="A401" s="52" t="s">
        <v>667</v>
      </c>
      <c r="B401" s="126"/>
      <c r="C401" s="18"/>
      <c r="D401" s="4"/>
      <c r="E401" s="19">
        <v>0.0</v>
      </c>
      <c r="F401" s="19">
        <v>0.0</v>
      </c>
      <c r="G401" s="20" t="s">
        <v>668</v>
      </c>
      <c r="H401" s="21"/>
      <c r="I401" s="22">
        <v>7.0</v>
      </c>
      <c r="J401" s="29"/>
      <c r="K401" s="43"/>
      <c r="L401" s="44"/>
      <c r="M401" s="25"/>
      <c r="N401" s="70"/>
      <c r="O401" s="27"/>
      <c r="P401" s="28"/>
    </row>
    <row r="402" hidden="1">
      <c r="A402" s="16" t="s">
        <v>669</v>
      </c>
      <c r="B402" s="17"/>
      <c r="C402" s="18"/>
      <c r="D402" s="4"/>
      <c r="E402" s="19">
        <v>0.0</v>
      </c>
      <c r="F402" s="19">
        <v>0.0</v>
      </c>
      <c r="G402" s="16" t="s">
        <v>670</v>
      </c>
      <c r="H402" s="21"/>
      <c r="I402" s="22">
        <v>30.0</v>
      </c>
      <c r="J402" s="29"/>
      <c r="K402" s="43">
        <f>1800*1.19</f>
        <v>2142</v>
      </c>
      <c r="L402" s="44">
        <v>5000.0</v>
      </c>
      <c r="M402" s="25"/>
      <c r="N402" s="26"/>
      <c r="O402" s="27">
        <f t="shared" ref="O402:O436" si="51">(L402/K402)-1</f>
        <v>1.33426704</v>
      </c>
      <c r="P402" s="28">
        <f t="shared" ref="P402:P436" si="52">K402*F402</f>
        <v>0</v>
      </c>
    </row>
    <row r="403" hidden="1">
      <c r="A403" s="16" t="s">
        <v>669</v>
      </c>
      <c r="B403" s="17"/>
      <c r="C403" s="18"/>
      <c r="D403" s="4"/>
      <c r="E403" s="19">
        <v>0.0</v>
      </c>
      <c r="F403" s="19">
        <v>0.0</v>
      </c>
      <c r="G403" s="16" t="s">
        <v>671</v>
      </c>
      <c r="H403" s="21"/>
      <c r="I403" s="22">
        <v>0.0</v>
      </c>
      <c r="J403" s="29"/>
      <c r="K403" s="32">
        <v>2815.0</v>
      </c>
      <c r="L403" s="24">
        <v>5000.0</v>
      </c>
      <c r="M403" s="25"/>
      <c r="N403" s="26"/>
      <c r="O403" s="27">
        <f t="shared" si="51"/>
        <v>0.7761989343</v>
      </c>
      <c r="P403" s="28">
        <f t="shared" si="52"/>
        <v>0</v>
      </c>
    </row>
    <row r="404" hidden="1">
      <c r="A404" s="16" t="s">
        <v>672</v>
      </c>
      <c r="B404" s="17"/>
      <c r="C404" s="18"/>
      <c r="D404" s="110"/>
      <c r="E404" s="19">
        <v>0.0</v>
      </c>
      <c r="F404" s="152">
        <v>0.0</v>
      </c>
      <c r="G404" s="16" t="s">
        <v>670</v>
      </c>
      <c r="H404" s="21"/>
      <c r="I404" s="22">
        <v>20.0</v>
      </c>
      <c r="J404" s="29"/>
      <c r="K404" s="32">
        <f>9621/5</f>
        <v>1924.2</v>
      </c>
      <c r="L404" s="24">
        <v>4000.0</v>
      </c>
      <c r="M404" s="25"/>
      <c r="N404" s="26"/>
      <c r="O404" s="27">
        <f t="shared" si="51"/>
        <v>1.078785989</v>
      </c>
      <c r="P404" s="28">
        <f t="shared" si="52"/>
        <v>0</v>
      </c>
    </row>
    <row r="405" hidden="1">
      <c r="A405" s="16" t="s">
        <v>673</v>
      </c>
      <c r="B405" s="17"/>
      <c r="C405" s="18"/>
      <c r="D405" s="4"/>
      <c r="E405" s="19"/>
      <c r="F405" s="19"/>
      <c r="G405" s="16" t="s">
        <v>674</v>
      </c>
      <c r="H405" s="21"/>
      <c r="I405" s="22"/>
      <c r="J405" s="23"/>
      <c r="K405" s="24">
        <f>9621</f>
        <v>9621</v>
      </c>
      <c r="L405" s="24">
        <v>16000.0</v>
      </c>
      <c r="M405" s="25"/>
      <c r="N405" s="26"/>
      <c r="O405" s="27">
        <f t="shared" si="51"/>
        <v>0.6630287912</v>
      </c>
      <c r="P405" s="28">
        <f t="shared" si="52"/>
        <v>0</v>
      </c>
    </row>
    <row r="406" hidden="1">
      <c r="A406" s="122" t="s">
        <v>675</v>
      </c>
      <c r="B406" s="51">
        <v>242007.0</v>
      </c>
      <c r="C406" s="18"/>
      <c r="D406" s="66" t="s">
        <v>676</v>
      </c>
      <c r="E406" s="19">
        <v>0.0</v>
      </c>
      <c r="F406" s="19">
        <v>10.0</v>
      </c>
      <c r="G406" s="16" t="s">
        <v>425</v>
      </c>
      <c r="H406" s="21"/>
      <c r="I406" s="22">
        <v>2.0</v>
      </c>
      <c r="J406" s="29"/>
      <c r="K406" s="32">
        <f t="shared" ref="K406:K407" si="53">6290*1.19</f>
        <v>7485.1</v>
      </c>
      <c r="L406" s="32">
        <v>10000.0</v>
      </c>
      <c r="M406" s="25"/>
      <c r="N406" s="70"/>
      <c r="O406" s="27">
        <f t="shared" si="51"/>
        <v>0.3359874952</v>
      </c>
      <c r="P406" s="28">
        <f t="shared" si="52"/>
        <v>74851</v>
      </c>
    </row>
    <row r="407" hidden="1">
      <c r="A407" s="122" t="s">
        <v>677</v>
      </c>
      <c r="B407" s="51">
        <v>242006.0</v>
      </c>
      <c r="C407" s="18"/>
      <c r="D407" s="66" t="s">
        <v>676</v>
      </c>
      <c r="E407" s="19">
        <v>0.0</v>
      </c>
      <c r="F407" s="19">
        <v>10.0</v>
      </c>
      <c r="G407" s="16" t="s">
        <v>425</v>
      </c>
      <c r="H407" s="21"/>
      <c r="I407" s="22">
        <v>2.0</v>
      </c>
      <c r="J407" s="29"/>
      <c r="K407" s="32">
        <f t="shared" si="53"/>
        <v>7485.1</v>
      </c>
      <c r="L407" s="32">
        <v>10000.0</v>
      </c>
      <c r="M407" s="25"/>
      <c r="N407" s="70"/>
      <c r="O407" s="27">
        <f t="shared" si="51"/>
        <v>0.3359874952</v>
      </c>
      <c r="P407" s="28">
        <f t="shared" si="52"/>
        <v>74851</v>
      </c>
    </row>
    <row r="408" hidden="1">
      <c r="A408" s="16" t="s">
        <v>678</v>
      </c>
      <c r="B408" s="17"/>
      <c r="C408" s="18"/>
      <c r="D408" s="4"/>
      <c r="E408" s="19">
        <v>0.0</v>
      </c>
      <c r="F408" s="19">
        <v>0.0</v>
      </c>
      <c r="G408" s="16" t="s">
        <v>588</v>
      </c>
      <c r="H408" s="21"/>
      <c r="I408" s="22">
        <v>50.0</v>
      </c>
      <c r="J408" s="29"/>
      <c r="K408" s="43">
        <v>1700.0</v>
      </c>
      <c r="L408" s="44">
        <v>3500.0</v>
      </c>
      <c r="M408" s="25"/>
      <c r="N408" s="26"/>
      <c r="O408" s="27">
        <f t="shared" si="51"/>
        <v>1.058823529</v>
      </c>
      <c r="P408" s="28">
        <f t="shared" si="52"/>
        <v>0</v>
      </c>
    </row>
    <row r="409" hidden="1">
      <c r="A409" s="119" t="s">
        <v>679</v>
      </c>
      <c r="B409" s="17" t="s">
        <v>680</v>
      </c>
      <c r="C409" s="18"/>
      <c r="D409" s="4"/>
      <c r="E409" s="19">
        <v>0.0</v>
      </c>
      <c r="F409" s="19">
        <v>0.0</v>
      </c>
      <c r="G409" s="16" t="s">
        <v>671</v>
      </c>
      <c r="H409" s="73"/>
      <c r="I409" s="22">
        <v>0.0</v>
      </c>
      <c r="J409" s="74"/>
      <c r="K409" s="75">
        <v>3000.0</v>
      </c>
      <c r="L409" s="44">
        <v>4500.0</v>
      </c>
      <c r="M409" s="25"/>
      <c r="N409" s="26"/>
      <c r="O409" s="27">
        <f t="shared" si="51"/>
        <v>0.5</v>
      </c>
      <c r="P409" s="28">
        <f t="shared" si="52"/>
        <v>0</v>
      </c>
    </row>
    <row r="410" hidden="1">
      <c r="A410" s="122" t="s">
        <v>681</v>
      </c>
      <c r="B410" s="17">
        <v>241025.0</v>
      </c>
      <c r="C410" s="18"/>
      <c r="D410" s="4"/>
      <c r="E410" s="19">
        <v>0.0</v>
      </c>
      <c r="F410" s="19">
        <v>0.0</v>
      </c>
      <c r="G410" s="16" t="s">
        <v>425</v>
      </c>
      <c r="H410" s="21"/>
      <c r="I410" s="22">
        <f>60+50</f>
        <v>110</v>
      </c>
      <c r="J410" s="29"/>
      <c r="K410" s="43">
        <f>1416*1.19</f>
        <v>1685.04</v>
      </c>
      <c r="L410" s="43">
        <v>4000.0</v>
      </c>
      <c r="M410" s="25"/>
      <c r="N410" s="26"/>
      <c r="O410" s="27">
        <f t="shared" si="51"/>
        <v>1.373830888</v>
      </c>
      <c r="P410" s="28">
        <f t="shared" si="52"/>
        <v>0</v>
      </c>
    </row>
    <row r="411" hidden="1">
      <c r="A411" s="16" t="s">
        <v>682</v>
      </c>
      <c r="B411" s="36"/>
      <c r="C411" s="18"/>
      <c r="D411" s="4"/>
      <c r="E411" s="19"/>
      <c r="F411" s="19"/>
      <c r="G411" s="20" t="s">
        <v>683</v>
      </c>
      <c r="H411" s="21"/>
      <c r="I411" s="22">
        <v>1.0</v>
      </c>
      <c r="J411" s="23"/>
      <c r="K411" s="55">
        <v>3958.0</v>
      </c>
      <c r="L411" s="55">
        <v>7000.0</v>
      </c>
      <c r="M411" s="25"/>
      <c r="N411" s="26"/>
      <c r="O411" s="27">
        <f t="shared" si="51"/>
        <v>0.7685699848</v>
      </c>
      <c r="P411" s="28">
        <f t="shared" si="52"/>
        <v>0</v>
      </c>
    </row>
    <row r="412" hidden="1">
      <c r="A412" s="16" t="s">
        <v>684</v>
      </c>
      <c r="B412" s="36"/>
      <c r="C412" s="18"/>
      <c r="D412" s="4"/>
      <c r="E412" s="19"/>
      <c r="F412" s="19"/>
      <c r="G412" s="20" t="s">
        <v>683</v>
      </c>
      <c r="H412" s="21"/>
      <c r="I412" s="22">
        <v>2.0</v>
      </c>
      <c r="J412" s="23"/>
      <c r="K412" s="24">
        <v>22372.0</v>
      </c>
      <c r="L412" s="24">
        <v>32000.0</v>
      </c>
      <c r="M412" s="25"/>
      <c r="N412" s="26"/>
      <c r="O412" s="27">
        <f t="shared" si="51"/>
        <v>0.4303593778</v>
      </c>
      <c r="P412" s="28">
        <f t="shared" si="52"/>
        <v>0</v>
      </c>
    </row>
    <row r="413" hidden="1">
      <c r="A413" s="52" t="s">
        <v>685</v>
      </c>
      <c r="B413" s="17"/>
      <c r="C413" s="18"/>
      <c r="D413" s="4"/>
      <c r="E413" s="19">
        <v>0.0</v>
      </c>
      <c r="F413" s="19">
        <v>0.0</v>
      </c>
      <c r="G413" s="20" t="s">
        <v>563</v>
      </c>
      <c r="H413" s="21"/>
      <c r="I413" s="22">
        <v>0.0</v>
      </c>
      <c r="J413" s="29"/>
      <c r="K413" s="43">
        <v>2000.0</v>
      </c>
      <c r="L413" s="44">
        <v>6000.0</v>
      </c>
      <c r="M413" s="25"/>
      <c r="N413" s="26"/>
      <c r="O413" s="27">
        <f t="shared" si="51"/>
        <v>2</v>
      </c>
      <c r="P413" s="28">
        <f t="shared" si="52"/>
        <v>0</v>
      </c>
    </row>
    <row r="414" hidden="1">
      <c r="A414" s="122" t="s">
        <v>686</v>
      </c>
      <c r="B414" s="17">
        <v>241026.0</v>
      </c>
      <c r="C414" s="18" t="s">
        <v>687</v>
      </c>
      <c r="D414" s="4"/>
      <c r="E414" s="19">
        <v>0.0</v>
      </c>
      <c r="F414" s="19">
        <v>0.0</v>
      </c>
      <c r="G414" s="16" t="s">
        <v>425</v>
      </c>
      <c r="H414" s="21"/>
      <c r="I414" s="22">
        <f>80+50</f>
        <v>130</v>
      </c>
      <c r="J414" s="29"/>
      <c r="K414" s="43">
        <f>1416*1.19</f>
        <v>1685.04</v>
      </c>
      <c r="L414" s="43">
        <v>4000.0</v>
      </c>
      <c r="M414" s="25"/>
      <c r="N414" s="70"/>
      <c r="O414" s="27">
        <f t="shared" si="51"/>
        <v>1.373830888</v>
      </c>
      <c r="P414" s="28">
        <f t="shared" si="52"/>
        <v>0</v>
      </c>
    </row>
    <row r="415" hidden="1">
      <c r="A415" s="16" t="s">
        <v>688</v>
      </c>
      <c r="B415" s="49" t="s">
        <v>689</v>
      </c>
      <c r="C415" s="18"/>
      <c r="D415" s="4"/>
      <c r="E415" s="19"/>
      <c r="F415" s="19">
        <v>0.0</v>
      </c>
      <c r="G415" s="16" t="s">
        <v>690</v>
      </c>
      <c r="H415" s="21"/>
      <c r="I415" s="22"/>
      <c r="J415" s="29"/>
      <c r="K415" s="32">
        <v>11213.0</v>
      </c>
      <c r="L415" s="24">
        <v>14000.0</v>
      </c>
      <c r="M415" s="25"/>
      <c r="N415" s="69"/>
      <c r="O415" s="27">
        <f t="shared" si="51"/>
        <v>0.2485507893</v>
      </c>
      <c r="P415" s="28">
        <f t="shared" si="52"/>
        <v>0</v>
      </c>
    </row>
    <row r="416" hidden="1">
      <c r="A416" s="52" t="s">
        <v>691</v>
      </c>
      <c r="B416" s="51"/>
      <c r="C416" s="18"/>
      <c r="D416" s="4"/>
      <c r="E416" s="19">
        <v>0.0</v>
      </c>
      <c r="F416" s="19">
        <v>0.0</v>
      </c>
      <c r="G416" s="20" t="s">
        <v>692</v>
      </c>
      <c r="H416" s="21"/>
      <c r="I416" s="22">
        <v>0.0</v>
      </c>
      <c r="J416" s="29"/>
      <c r="K416" s="43">
        <v>3900.0</v>
      </c>
      <c r="L416" s="44">
        <v>7000.0</v>
      </c>
      <c r="M416" s="25"/>
      <c r="N416" s="26"/>
      <c r="O416" s="27">
        <f t="shared" si="51"/>
        <v>0.7948717949</v>
      </c>
      <c r="P416" s="28">
        <f t="shared" si="52"/>
        <v>0</v>
      </c>
    </row>
    <row r="417" hidden="1">
      <c r="A417" s="122" t="s">
        <v>693</v>
      </c>
      <c r="B417" s="51"/>
      <c r="C417" s="18"/>
      <c r="D417" s="4"/>
      <c r="E417" s="19">
        <v>0.0</v>
      </c>
      <c r="F417" s="19">
        <v>0.0</v>
      </c>
      <c r="G417" s="16" t="s">
        <v>425</v>
      </c>
      <c r="H417" s="21"/>
      <c r="I417" s="22">
        <v>8.0</v>
      </c>
      <c r="J417" s="29"/>
      <c r="K417" s="43">
        <f>6290*1.19</f>
        <v>7485.1</v>
      </c>
      <c r="L417" s="43">
        <v>10000.0</v>
      </c>
      <c r="M417" s="25"/>
      <c r="N417" s="26"/>
      <c r="O417" s="27">
        <f t="shared" si="51"/>
        <v>0.3359874952</v>
      </c>
      <c r="P417" s="28">
        <f t="shared" si="52"/>
        <v>0</v>
      </c>
    </row>
    <row r="418" hidden="1">
      <c r="A418" s="16" t="s">
        <v>694</v>
      </c>
      <c r="B418" s="17" t="s">
        <v>695</v>
      </c>
      <c r="C418" s="18"/>
      <c r="D418" s="4"/>
      <c r="E418" s="19">
        <v>10.0</v>
      </c>
      <c r="F418" s="19">
        <v>0.0</v>
      </c>
      <c r="G418" s="20" t="s">
        <v>696</v>
      </c>
      <c r="H418" s="21"/>
      <c r="I418" s="22"/>
      <c r="J418" s="29"/>
      <c r="K418" s="48">
        <v>42000.0</v>
      </c>
      <c r="L418" s="55">
        <v>52000.0</v>
      </c>
      <c r="M418" s="25"/>
      <c r="N418" s="26">
        <v>42000.0</v>
      </c>
      <c r="O418" s="27">
        <f t="shared" si="51"/>
        <v>0.2380952381</v>
      </c>
      <c r="P418" s="28">
        <f t="shared" si="52"/>
        <v>0</v>
      </c>
    </row>
    <row r="419" hidden="1">
      <c r="A419" s="52" t="s">
        <v>697</v>
      </c>
      <c r="B419" s="126"/>
      <c r="C419" s="18"/>
      <c r="D419" s="4"/>
      <c r="E419" s="19">
        <v>0.0</v>
      </c>
      <c r="F419" s="19">
        <v>0.0</v>
      </c>
      <c r="G419" s="20" t="s">
        <v>696</v>
      </c>
      <c r="H419" s="21"/>
      <c r="I419" s="22"/>
      <c r="J419" s="29"/>
      <c r="K419" s="43">
        <f>36900/144</f>
        <v>256.25</v>
      </c>
      <c r="L419" s="44">
        <v>500.0</v>
      </c>
      <c r="M419" s="25"/>
      <c r="N419" s="70"/>
      <c r="O419" s="27">
        <f t="shared" si="51"/>
        <v>0.9512195122</v>
      </c>
      <c r="P419" s="28">
        <f t="shared" si="52"/>
        <v>0</v>
      </c>
    </row>
    <row r="420" hidden="1">
      <c r="A420" s="16" t="s">
        <v>698</v>
      </c>
      <c r="B420" s="17"/>
      <c r="C420" s="18"/>
      <c r="D420" s="4"/>
      <c r="E420" s="19">
        <v>1.0</v>
      </c>
      <c r="F420" s="19">
        <v>0.0</v>
      </c>
      <c r="G420" s="16" t="s">
        <v>699</v>
      </c>
      <c r="H420" s="21"/>
      <c r="I420" s="22"/>
      <c r="J420" s="29"/>
      <c r="K420" s="48">
        <f>22950*1.19/20</f>
        <v>1365.525</v>
      </c>
      <c r="L420" s="55">
        <v>2000.0</v>
      </c>
      <c r="M420" s="25"/>
      <c r="N420" s="26"/>
      <c r="O420" s="27">
        <f t="shared" si="51"/>
        <v>0.4646381428</v>
      </c>
      <c r="P420" s="28">
        <f t="shared" si="52"/>
        <v>0</v>
      </c>
    </row>
    <row r="421" hidden="1">
      <c r="A421" s="16" t="s">
        <v>700</v>
      </c>
      <c r="B421" s="157"/>
      <c r="C421" s="92"/>
      <c r="D421" s="4"/>
      <c r="E421" s="19">
        <v>0.0</v>
      </c>
      <c r="F421" s="19">
        <v>0.0</v>
      </c>
      <c r="G421" s="137" t="s">
        <v>585</v>
      </c>
      <c r="H421" s="21"/>
      <c r="I421" s="22"/>
      <c r="J421" s="47"/>
      <c r="K421" s="48">
        <f>9200/18</f>
        <v>511.1111111</v>
      </c>
      <c r="L421" s="55">
        <v>1000.0</v>
      </c>
      <c r="M421" s="25"/>
      <c r="N421" s="102"/>
      <c r="O421" s="27">
        <f t="shared" si="51"/>
        <v>0.9565217391</v>
      </c>
      <c r="P421" s="28">
        <f t="shared" si="52"/>
        <v>0</v>
      </c>
    </row>
    <row r="422" hidden="1">
      <c r="A422" s="16" t="s">
        <v>701</v>
      </c>
      <c r="B422" s="157"/>
      <c r="C422" s="92"/>
      <c r="D422" s="4"/>
      <c r="E422" s="19">
        <v>0.0</v>
      </c>
      <c r="F422" s="19">
        <v>0.0</v>
      </c>
      <c r="G422" s="137" t="s">
        <v>585</v>
      </c>
      <c r="H422" s="21"/>
      <c r="I422" s="22"/>
      <c r="J422" s="47"/>
      <c r="K422" s="48">
        <v>9200.0</v>
      </c>
      <c r="L422" s="55">
        <v>15000.0</v>
      </c>
      <c r="M422" s="25"/>
      <c r="N422" s="102">
        <v>12000.0</v>
      </c>
      <c r="O422" s="27">
        <f t="shared" si="51"/>
        <v>0.6304347826</v>
      </c>
      <c r="P422" s="28">
        <f t="shared" si="52"/>
        <v>0</v>
      </c>
    </row>
    <row r="423" hidden="1">
      <c r="A423" s="16" t="s">
        <v>702</v>
      </c>
      <c r="B423" s="17"/>
      <c r="C423" s="18"/>
      <c r="D423" s="4"/>
      <c r="E423" s="19">
        <v>0.0</v>
      </c>
      <c r="F423" s="19">
        <v>0.0</v>
      </c>
      <c r="G423" s="137" t="s">
        <v>585</v>
      </c>
      <c r="H423" s="21"/>
      <c r="I423" s="22"/>
      <c r="J423" s="29"/>
      <c r="K423" s="48">
        <f>15000/18</f>
        <v>833.3333333</v>
      </c>
      <c r="L423" s="55">
        <v>2000.0</v>
      </c>
      <c r="M423" s="25"/>
      <c r="N423" s="39"/>
      <c r="O423" s="27">
        <f t="shared" si="51"/>
        <v>1.4</v>
      </c>
      <c r="P423" s="28">
        <f t="shared" si="52"/>
        <v>0</v>
      </c>
    </row>
    <row r="424" hidden="1">
      <c r="A424" s="16" t="s">
        <v>703</v>
      </c>
      <c r="B424" s="17" t="s">
        <v>704</v>
      </c>
      <c r="C424" s="18"/>
      <c r="D424" s="4"/>
      <c r="E424" s="19">
        <v>0.0</v>
      </c>
      <c r="F424" s="19">
        <v>0.0</v>
      </c>
      <c r="G424" s="16" t="s">
        <v>699</v>
      </c>
      <c r="H424" s="21"/>
      <c r="I424" s="22"/>
      <c r="J424" s="29"/>
      <c r="K424" s="43">
        <f>(81855*1.19)/120</f>
        <v>811.72875</v>
      </c>
      <c r="L424" s="44">
        <v>2000.0</v>
      </c>
      <c r="M424" s="25"/>
      <c r="N424" s="39"/>
      <c r="O424" s="27">
        <f t="shared" si="51"/>
        <v>1.46387725</v>
      </c>
      <c r="P424" s="28">
        <f t="shared" si="52"/>
        <v>0</v>
      </c>
    </row>
    <row r="425" hidden="1">
      <c r="A425" s="16" t="s">
        <v>705</v>
      </c>
      <c r="B425" s="17"/>
      <c r="C425" s="18"/>
      <c r="D425" s="4"/>
      <c r="E425" s="19">
        <v>1.0</v>
      </c>
      <c r="F425" s="19">
        <v>0.0</v>
      </c>
      <c r="G425" s="16" t="s">
        <v>699</v>
      </c>
      <c r="H425" s="21"/>
      <c r="I425" s="22"/>
      <c r="J425" s="29"/>
      <c r="K425" s="48">
        <f>22950*1.19/20</f>
        <v>1365.525</v>
      </c>
      <c r="L425" s="55">
        <v>2000.0</v>
      </c>
      <c r="M425" s="25"/>
      <c r="N425" s="39"/>
      <c r="O425" s="27">
        <f t="shared" si="51"/>
        <v>0.4646381428</v>
      </c>
      <c r="P425" s="28">
        <f t="shared" si="52"/>
        <v>0</v>
      </c>
    </row>
    <row r="426" hidden="1">
      <c r="A426" s="16" t="s">
        <v>706</v>
      </c>
      <c r="B426" s="157"/>
      <c r="C426" s="18"/>
      <c r="D426" s="4"/>
      <c r="E426" s="19">
        <v>0.0</v>
      </c>
      <c r="F426" s="19">
        <v>0.0</v>
      </c>
      <c r="G426" s="137" t="s">
        <v>585</v>
      </c>
      <c r="H426" s="21"/>
      <c r="I426" s="22"/>
      <c r="J426" s="29"/>
      <c r="K426" s="48">
        <v>990.0</v>
      </c>
      <c r="L426" s="55">
        <v>2000.0</v>
      </c>
      <c r="M426" s="25"/>
      <c r="N426" s="102"/>
      <c r="O426" s="27">
        <f t="shared" si="51"/>
        <v>1.02020202</v>
      </c>
      <c r="P426" s="28">
        <f t="shared" si="52"/>
        <v>0</v>
      </c>
    </row>
    <row r="427" hidden="1">
      <c r="A427" s="16" t="s">
        <v>707</v>
      </c>
      <c r="B427" s="157"/>
      <c r="C427" s="18"/>
      <c r="D427" s="4"/>
      <c r="E427" s="19">
        <v>0.0</v>
      </c>
      <c r="F427" s="19">
        <v>0.0</v>
      </c>
      <c r="G427" s="137" t="s">
        <v>585</v>
      </c>
      <c r="H427" s="21"/>
      <c r="I427" s="22"/>
      <c r="J427" s="29"/>
      <c r="K427" s="48">
        <f t="shared" ref="K427:K430" si="54">54600/60</f>
        <v>910</v>
      </c>
      <c r="L427" s="55">
        <v>2000.0</v>
      </c>
      <c r="M427" s="25"/>
      <c r="N427" s="39"/>
      <c r="O427" s="27">
        <f t="shared" si="51"/>
        <v>1.197802198</v>
      </c>
      <c r="P427" s="28">
        <f t="shared" si="52"/>
        <v>0</v>
      </c>
    </row>
    <row r="428" hidden="1">
      <c r="A428" s="16" t="s">
        <v>708</v>
      </c>
      <c r="B428" s="157"/>
      <c r="C428" s="18"/>
      <c r="D428" s="4"/>
      <c r="E428" s="19">
        <v>0.0</v>
      </c>
      <c r="F428" s="19">
        <v>0.0</v>
      </c>
      <c r="G428" s="137" t="s">
        <v>585</v>
      </c>
      <c r="H428" s="21"/>
      <c r="I428" s="22"/>
      <c r="J428" s="29"/>
      <c r="K428" s="48">
        <f t="shared" si="54"/>
        <v>910</v>
      </c>
      <c r="L428" s="55">
        <v>2000.0</v>
      </c>
      <c r="M428" s="25"/>
      <c r="N428" s="39"/>
      <c r="O428" s="27">
        <f t="shared" si="51"/>
        <v>1.197802198</v>
      </c>
      <c r="P428" s="28">
        <f t="shared" si="52"/>
        <v>0</v>
      </c>
    </row>
    <row r="429" hidden="1">
      <c r="A429" s="16" t="s">
        <v>709</v>
      </c>
      <c r="B429" s="157"/>
      <c r="C429" s="18"/>
      <c r="D429" s="4"/>
      <c r="E429" s="19">
        <v>0.0</v>
      </c>
      <c r="F429" s="19">
        <v>0.0</v>
      </c>
      <c r="G429" s="137" t="s">
        <v>585</v>
      </c>
      <c r="H429" s="21"/>
      <c r="I429" s="22"/>
      <c r="J429" s="29"/>
      <c r="K429" s="48">
        <f t="shared" si="54"/>
        <v>910</v>
      </c>
      <c r="L429" s="55">
        <v>2000.0</v>
      </c>
      <c r="M429" s="25"/>
      <c r="N429" s="39"/>
      <c r="O429" s="27">
        <f t="shared" si="51"/>
        <v>1.197802198</v>
      </c>
      <c r="P429" s="28">
        <f t="shared" si="52"/>
        <v>0</v>
      </c>
    </row>
    <row r="430" hidden="1">
      <c r="A430" s="16" t="s">
        <v>710</v>
      </c>
      <c r="B430" s="157"/>
      <c r="C430" s="18"/>
      <c r="D430" s="4"/>
      <c r="E430" s="19">
        <v>0.0</v>
      </c>
      <c r="F430" s="19">
        <v>0.0</v>
      </c>
      <c r="G430" s="137" t="s">
        <v>585</v>
      </c>
      <c r="H430" s="21"/>
      <c r="I430" s="22"/>
      <c r="J430" s="29"/>
      <c r="K430" s="48">
        <f t="shared" si="54"/>
        <v>910</v>
      </c>
      <c r="L430" s="55">
        <v>2000.0</v>
      </c>
      <c r="M430" s="25"/>
      <c r="N430" s="39"/>
      <c r="O430" s="27">
        <f t="shared" si="51"/>
        <v>1.197802198</v>
      </c>
      <c r="P430" s="28">
        <f t="shared" si="52"/>
        <v>0</v>
      </c>
    </row>
    <row r="431" hidden="1">
      <c r="A431" s="16" t="s">
        <v>711</v>
      </c>
      <c r="B431" s="157"/>
      <c r="C431" s="92"/>
      <c r="D431" s="4"/>
      <c r="E431" s="19">
        <v>0.0</v>
      </c>
      <c r="F431" s="19">
        <v>0.0</v>
      </c>
      <c r="G431" s="137" t="s">
        <v>585</v>
      </c>
      <c r="H431" s="21"/>
      <c r="I431" s="22"/>
      <c r="J431" s="47">
        <v>46935.0</v>
      </c>
      <c r="K431" s="48">
        <v>15900.0</v>
      </c>
      <c r="L431" s="55">
        <v>22000.0</v>
      </c>
      <c r="M431" s="25" t="s">
        <v>76</v>
      </c>
      <c r="N431" s="102">
        <v>18000.0</v>
      </c>
      <c r="O431" s="27">
        <f t="shared" si="51"/>
        <v>0.3836477987</v>
      </c>
      <c r="P431" s="28">
        <f t="shared" si="52"/>
        <v>0</v>
      </c>
    </row>
    <row r="432" hidden="1">
      <c r="A432" s="16" t="s">
        <v>712</v>
      </c>
      <c r="B432" s="157"/>
      <c r="C432" s="92"/>
      <c r="D432" s="4"/>
      <c r="E432" s="19">
        <v>0.0</v>
      </c>
      <c r="F432" s="19">
        <v>0.0</v>
      </c>
      <c r="G432" s="137" t="s">
        <v>585</v>
      </c>
      <c r="H432" s="21"/>
      <c r="I432" s="22"/>
      <c r="J432" s="47">
        <v>46935.0</v>
      </c>
      <c r="K432" s="48">
        <v>15900.0</v>
      </c>
      <c r="L432" s="55">
        <v>22000.0</v>
      </c>
      <c r="M432" s="25" t="s">
        <v>76</v>
      </c>
      <c r="N432" s="102">
        <v>18000.0</v>
      </c>
      <c r="O432" s="27">
        <f t="shared" si="51"/>
        <v>0.3836477987</v>
      </c>
      <c r="P432" s="28">
        <f t="shared" si="52"/>
        <v>0</v>
      </c>
    </row>
    <row r="433" hidden="1">
      <c r="A433" s="16" t="s">
        <v>713</v>
      </c>
      <c r="B433" s="17"/>
      <c r="C433" s="18"/>
      <c r="D433" s="4"/>
      <c r="E433" s="19">
        <v>0.0</v>
      </c>
      <c r="F433" s="19">
        <v>0.0</v>
      </c>
      <c r="G433" s="137" t="s">
        <v>585</v>
      </c>
      <c r="H433" s="21"/>
      <c r="I433" s="22"/>
      <c r="J433" s="29"/>
      <c r="K433" s="48">
        <f>22000/18</f>
        <v>1222.222222</v>
      </c>
      <c r="L433" s="55">
        <v>2000.0</v>
      </c>
      <c r="M433" s="25"/>
      <c r="N433" s="39"/>
      <c r="O433" s="27">
        <f t="shared" si="51"/>
        <v>0.6363636364</v>
      </c>
      <c r="P433" s="28">
        <f t="shared" si="52"/>
        <v>0</v>
      </c>
    </row>
    <row r="434" hidden="1">
      <c r="A434" s="16" t="s">
        <v>714</v>
      </c>
      <c r="B434" s="157"/>
      <c r="C434" s="92"/>
      <c r="D434" s="4"/>
      <c r="E434" s="19">
        <v>0.0</v>
      </c>
      <c r="F434" s="19">
        <v>0.0</v>
      </c>
      <c r="G434" s="137" t="s">
        <v>585</v>
      </c>
      <c r="H434" s="21"/>
      <c r="I434" s="22"/>
      <c r="J434" s="47">
        <v>46905.0</v>
      </c>
      <c r="K434" s="48">
        <v>14800.0</v>
      </c>
      <c r="L434" s="55">
        <v>20000.0</v>
      </c>
      <c r="M434" s="25"/>
      <c r="N434" s="102">
        <v>18000.0</v>
      </c>
      <c r="O434" s="27">
        <f t="shared" si="51"/>
        <v>0.3513513514</v>
      </c>
      <c r="P434" s="28">
        <f t="shared" si="52"/>
        <v>0</v>
      </c>
    </row>
    <row r="435" hidden="1">
      <c r="A435" s="16" t="s">
        <v>715</v>
      </c>
      <c r="B435" s="157"/>
      <c r="C435" s="18"/>
      <c r="D435" s="4"/>
      <c r="E435" s="19">
        <v>0.0</v>
      </c>
      <c r="F435" s="19">
        <v>0.0</v>
      </c>
      <c r="G435" s="137" t="s">
        <v>585</v>
      </c>
      <c r="H435" s="21"/>
      <c r="I435" s="22"/>
      <c r="J435" s="29"/>
      <c r="K435" s="48">
        <v>883.0</v>
      </c>
      <c r="L435" s="55">
        <v>2000.0</v>
      </c>
      <c r="M435" s="25"/>
      <c r="N435" s="39"/>
      <c r="O435" s="27">
        <f t="shared" si="51"/>
        <v>1.265005663</v>
      </c>
      <c r="P435" s="28">
        <f t="shared" si="52"/>
        <v>0</v>
      </c>
    </row>
    <row r="436" hidden="1">
      <c r="A436" s="16" t="s">
        <v>716</v>
      </c>
      <c r="B436" s="157"/>
      <c r="C436" s="92"/>
      <c r="D436" s="4"/>
      <c r="E436" s="19">
        <v>0.0</v>
      </c>
      <c r="F436" s="19">
        <v>0.0</v>
      </c>
      <c r="G436" s="137" t="s">
        <v>585</v>
      </c>
      <c r="H436" s="21"/>
      <c r="I436" s="22"/>
      <c r="J436" s="29"/>
      <c r="K436" s="48">
        <f>108000/120</f>
        <v>900</v>
      </c>
      <c r="L436" s="55">
        <v>2000.0</v>
      </c>
      <c r="M436" s="25"/>
      <c r="N436" s="102"/>
      <c r="O436" s="27">
        <f t="shared" si="51"/>
        <v>1.222222222</v>
      </c>
      <c r="P436" s="28">
        <f t="shared" si="52"/>
        <v>0</v>
      </c>
    </row>
    <row r="437" hidden="1">
      <c r="A437" s="16" t="s">
        <v>717</v>
      </c>
      <c r="B437" s="17"/>
      <c r="C437" s="18"/>
      <c r="D437" s="4"/>
      <c r="E437" s="19"/>
      <c r="F437" s="19"/>
      <c r="G437" s="20" t="s">
        <v>229</v>
      </c>
      <c r="H437" s="21"/>
      <c r="I437" s="22"/>
      <c r="J437" s="23"/>
      <c r="K437" s="55">
        <v>112000.0</v>
      </c>
      <c r="L437" s="55">
        <v>148000.0</v>
      </c>
      <c r="M437" s="25"/>
      <c r="N437" s="26">
        <v>120000.0</v>
      </c>
      <c r="O437" s="27"/>
      <c r="P437" s="28"/>
    </row>
    <row r="438" hidden="1">
      <c r="A438" s="16" t="s">
        <v>718</v>
      </c>
      <c r="B438" s="17"/>
      <c r="C438" s="18"/>
      <c r="D438" s="4"/>
      <c r="E438" s="19"/>
      <c r="F438" s="19"/>
      <c r="G438" s="20" t="s">
        <v>229</v>
      </c>
      <c r="H438" s="21"/>
      <c r="I438" s="22"/>
      <c r="J438" s="23"/>
      <c r="K438" s="55">
        <v>200000.0</v>
      </c>
      <c r="L438" s="55">
        <v>290000.0</v>
      </c>
      <c r="M438" s="25"/>
      <c r="N438" s="26">
        <v>225000.0</v>
      </c>
      <c r="O438" s="27"/>
      <c r="P438" s="28"/>
    </row>
    <row r="439" hidden="1">
      <c r="A439" s="16" t="s">
        <v>719</v>
      </c>
      <c r="B439" s="17"/>
      <c r="C439" s="18"/>
      <c r="D439" s="4"/>
      <c r="E439" s="19"/>
      <c r="F439" s="19"/>
      <c r="G439" s="20" t="s">
        <v>229</v>
      </c>
      <c r="H439" s="21"/>
      <c r="I439" s="22"/>
      <c r="J439" s="23"/>
      <c r="K439" s="55">
        <f>200000/6</f>
        <v>33333.33333</v>
      </c>
      <c r="L439" s="55">
        <v>60000.0</v>
      </c>
      <c r="M439" s="25"/>
      <c r="N439" s="26"/>
      <c r="O439" s="27"/>
      <c r="P439" s="28"/>
    </row>
    <row r="440" hidden="1">
      <c r="A440" s="16" t="s">
        <v>720</v>
      </c>
      <c r="B440" s="17"/>
      <c r="C440" s="92"/>
      <c r="D440" s="4"/>
      <c r="E440" s="19">
        <v>0.0</v>
      </c>
      <c r="F440" s="19">
        <v>0.0</v>
      </c>
      <c r="G440" s="137" t="s">
        <v>585</v>
      </c>
      <c r="H440" s="21"/>
      <c r="I440" s="22"/>
      <c r="J440" s="29"/>
      <c r="K440" s="48">
        <f>26800/30</f>
        <v>893.3333333</v>
      </c>
      <c r="L440" s="55">
        <v>2000.0</v>
      </c>
      <c r="M440" s="25"/>
      <c r="N440" s="102"/>
      <c r="O440" s="27">
        <f t="shared" ref="O440:O503" si="55">(L440/K440)-1</f>
        <v>1.23880597</v>
      </c>
      <c r="P440" s="28">
        <f t="shared" ref="P440:P503" si="56">K440*F440</f>
        <v>0</v>
      </c>
    </row>
    <row r="441" hidden="1">
      <c r="A441" s="16" t="s">
        <v>721</v>
      </c>
      <c r="B441" s="17"/>
      <c r="C441" s="18"/>
      <c r="D441" s="4"/>
      <c r="E441" s="19">
        <v>0.0</v>
      </c>
      <c r="F441" s="19">
        <v>0.0</v>
      </c>
      <c r="G441" s="16" t="s">
        <v>699</v>
      </c>
      <c r="H441" s="21"/>
      <c r="I441" s="22"/>
      <c r="J441" s="29"/>
      <c r="K441" s="48">
        <f>22950*1.19/20</f>
        <v>1365.525</v>
      </c>
      <c r="L441" s="55">
        <v>2000.0</v>
      </c>
      <c r="M441" s="25"/>
      <c r="N441" s="39"/>
      <c r="O441" s="27">
        <f t="shared" si="55"/>
        <v>0.4646381428</v>
      </c>
      <c r="P441" s="28">
        <f t="shared" si="56"/>
        <v>0</v>
      </c>
    </row>
    <row r="442" hidden="1">
      <c r="A442" s="16" t="s">
        <v>722</v>
      </c>
      <c r="B442" s="157"/>
      <c r="C442" s="92"/>
      <c r="D442" s="4"/>
      <c r="E442" s="19">
        <v>0.0</v>
      </c>
      <c r="F442" s="19">
        <v>0.0</v>
      </c>
      <c r="G442" s="137" t="s">
        <v>585</v>
      </c>
      <c r="H442" s="21"/>
      <c r="I442" s="22"/>
      <c r="J442" s="29"/>
      <c r="K442" s="48">
        <v>24100.0</v>
      </c>
      <c r="L442" s="55">
        <v>36000.0</v>
      </c>
      <c r="M442" s="25"/>
      <c r="N442" s="102"/>
      <c r="O442" s="27">
        <f t="shared" si="55"/>
        <v>0.4937759336</v>
      </c>
      <c r="P442" s="28">
        <f t="shared" si="56"/>
        <v>0</v>
      </c>
    </row>
    <row r="443" hidden="1">
      <c r="A443" s="16" t="s">
        <v>723</v>
      </c>
      <c r="B443" s="17"/>
      <c r="C443" s="18"/>
      <c r="D443" s="4"/>
      <c r="E443" s="19">
        <v>0.0</v>
      </c>
      <c r="F443" s="19">
        <v>0.0</v>
      </c>
      <c r="G443" s="137" t="s">
        <v>585</v>
      </c>
      <c r="H443" s="21"/>
      <c r="I443" s="22"/>
      <c r="J443" s="29"/>
      <c r="K443" s="48">
        <f>36000/75</f>
        <v>480</v>
      </c>
      <c r="L443" s="55">
        <v>1000.0</v>
      </c>
      <c r="M443" s="25"/>
      <c r="N443" s="39"/>
      <c r="O443" s="27">
        <f t="shared" si="55"/>
        <v>1.083333333</v>
      </c>
      <c r="P443" s="28">
        <f t="shared" si="56"/>
        <v>0</v>
      </c>
    </row>
    <row r="444" hidden="1">
      <c r="A444" s="16" t="s">
        <v>724</v>
      </c>
      <c r="B444" s="17"/>
      <c r="C444" s="18"/>
      <c r="D444" s="4"/>
      <c r="E444" s="19">
        <v>1.0</v>
      </c>
      <c r="F444" s="19">
        <v>0.0</v>
      </c>
      <c r="G444" s="16" t="s">
        <v>699</v>
      </c>
      <c r="H444" s="21"/>
      <c r="I444" s="22"/>
      <c r="J444" s="58">
        <v>46722.0</v>
      </c>
      <c r="K444" s="48">
        <f>22950*1.19/20</f>
        <v>1365.525</v>
      </c>
      <c r="L444" s="55">
        <v>2000.0</v>
      </c>
      <c r="M444" s="25"/>
      <c r="N444" s="39"/>
      <c r="O444" s="27">
        <f t="shared" si="55"/>
        <v>0.4646381428</v>
      </c>
      <c r="P444" s="28">
        <f t="shared" si="56"/>
        <v>0</v>
      </c>
    </row>
    <row r="445" hidden="1">
      <c r="A445" s="16" t="s">
        <v>725</v>
      </c>
      <c r="B445" s="17"/>
      <c r="C445" s="18"/>
      <c r="D445" s="4"/>
      <c r="E445" s="19">
        <v>0.0</v>
      </c>
      <c r="F445" s="19"/>
      <c r="G445" s="16" t="s">
        <v>726</v>
      </c>
      <c r="H445" s="21"/>
      <c r="I445" s="22"/>
      <c r="J445" s="58">
        <v>45992.0</v>
      </c>
      <c r="K445" s="43">
        <f>4563*1.19</f>
        <v>5429.97</v>
      </c>
      <c r="L445" s="44">
        <v>8000.0</v>
      </c>
      <c r="M445" s="25"/>
      <c r="N445" s="39"/>
      <c r="O445" s="27">
        <f t="shared" si="55"/>
        <v>0.4733046407</v>
      </c>
      <c r="P445" s="28">
        <f t="shared" si="56"/>
        <v>0</v>
      </c>
    </row>
    <row r="446" hidden="1">
      <c r="A446" s="16" t="s">
        <v>727</v>
      </c>
      <c r="B446" s="17"/>
      <c r="C446" s="18"/>
      <c r="D446" s="4"/>
      <c r="E446" s="19">
        <v>0.0</v>
      </c>
      <c r="F446" s="128"/>
      <c r="G446" s="16" t="s">
        <v>726</v>
      </c>
      <c r="H446" s="21"/>
      <c r="I446" s="22"/>
      <c r="J446" s="29"/>
      <c r="K446" s="32">
        <f>7677*1.19</f>
        <v>9135.63</v>
      </c>
      <c r="L446" s="24">
        <v>12000.0</v>
      </c>
      <c r="M446" s="25"/>
      <c r="N446" s="39"/>
      <c r="O446" s="27">
        <f t="shared" si="55"/>
        <v>0.313538311</v>
      </c>
      <c r="P446" s="28">
        <f t="shared" si="56"/>
        <v>0</v>
      </c>
    </row>
    <row r="447" hidden="1">
      <c r="A447" s="16" t="s">
        <v>728</v>
      </c>
      <c r="B447" s="17" t="s">
        <v>729</v>
      </c>
      <c r="C447" s="158" t="s">
        <v>730</v>
      </c>
      <c r="D447" s="61"/>
      <c r="E447" s="19"/>
      <c r="F447" s="19"/>
      <c r="G447" s="16" t="s">
        <v>731</v>
      </c>
      <c r="H447" s="21"/>
      <c r="I447" s="22">
        <v>19.0</v>
      </c>
      <c r="J447" s="47">
        <v>46447.0</v>
      </c>
      <c r="K447" s="48">
        <v>160000.0</v>
      </c>
      <c r="L447" s="55">
        <v>210000.0</v>
      </c>
      <c r="M447" s="25" t="s">
        <v>82</v>
      </c>
      <c r="N447" s="26">
        <v>190000.0</v>
      </c>
      <c r="O447" s="27">
        <f t="shared" si="55"/>
        <v>0.3125</v>
      </c>
      <c r="P447" s="28">
        <f t="shared" si="56"/>
        <v>0</v>
      </c>
    </row>
    <row r="448" hidden="1">
      <c r="A448" s="16" t="s">
        <v>732</v>
      </c>
      <c r="B448" s="17" t="s">
        <v>729</v>
      </c>
      <c r="C448" s="38"/>
      <c r="D448" s="61"/>
      <c r="E448" s="19"/>
      <c r="F448" s="19"/>
      <c r="G448" s="16" t="s">
        <v>731</v>
      </c>
      <c r="H448" s="21"/>
      <c r="I448" s="22">
        <v>5.0</v>
      </c>
      <c r="J448" s="47">
        <v>46478.0</v>
      </c>
      <c r="K448" s="48">
        <v>160000.0</v>
      </c>
      <c r="L448" s="55">
        <v>210000.0</v>
      </c>
      <c r="M448" s="25" t="s">
        <v>82</v>
      </c>
      <c r="N448" s="26">
        <v>190000.0</v>
      </c>
      <c r="O448" s="27">
        <f t="shared" si="55"/>
        <v>0.3125</v>
      </c>
      <c r="P448" s="28">
        <f t="shared" si="56"/>
        <v>0</v>
      </c>
    </row>
    <row r="449" hidden="1">
      <c r="A449" s="16" t="s">
        <v>733</v>
      </c>
      <c r="B449" s="17" t="s">
        <v>729</v>
      </c>
      <c r="C449" s="38"/>
      <c r="D449" s="61"/>
      <c r="E449" s="19"/>
      <c r="F449" s="19"/>
      <c r="G449" s="16" t="s">
        <v>731</v>
      </c>
      <c r="H449" s="21"/>
      <c r="I449" s="22">
        <v>1.0</v>
      </c>
      <c r="J449" s="47">
        <v>46388.0</v>
      </c>
      <c r="K449" s="55">
        <v>160000.0</v>
      </c>
      <c r="L449" s="55">
        <v>210000.0</v>
      </c>
      <c r="M449" s="25" t="s">
        <v>82</v>
      </c>
      <c r="N449" s="26">
        <v>190000.0</v>
      </c>
      <c r="O449" s="27">
        <f t="shared" si="55"/>
        <v>0.3125</v>
      </c>
      <c r="P449" s="28">
        <f t="shared" si="56"/>
        <v>0</v>
      </c>
    </row>
    <row r="450" hidden="1">
      <c r="A450" s="16" t="s">
        <v>734</v>
      </c>
      <c r="B450" s="17" t="s">
        <v>729</v>
      </c>
      <c r="C450" s="158" t="s">
        <v>730</v>
      </c>
      <c r="D450" s="61"/>
      <c r="E450" s="19"/>
      <c r="F450" s="19"/>
      <c r="G450" s="16" t="s">
        <v>731</v>
      </c>
      <c r="H450" s="21"/>
      <c r="I450" s="22">
        <v>11.0</v>
      </c>
      <c r="J450" s="58">
        <v>46357.0</v>
      </c>
      <c r="K450" s="55">
        <v>160000.0</v>
      </c>
      <c r="L450" s="55">
        <v>210000.0</v>
      </c>
      <c r="M450" s="25" t="s">
        <v>82</v>
      </c>
      <c r="N450" s="26">
        <v>190000.0</v>
      </c>
      <c r="O450" s="27">
        <f t="shared" si="55"/>
        <v>0.3125</v>
      </c>
      <c r="P450" s="28">
        <f t="shared" si="56"/>
        <v>0</v>
      </c>
    </row>
    <row r="451" hidden="1">
      <c r="A451" s="16" t="s">
        <v>735</v>
      </c>
      <c r="B451" s="17"/>
      <c r="C451" s="38"/>
      <c r="D451" s="61"/>
      <c r="E451" s="19"/>
      <c r="F451" s="19"/>
      <c r="G451" s="16" t="s">
        <v>731</v>
      </c>
      <c r="H451" s="21"/>
      <c r="I451" s="22">
        <v>0.0</v>
      </c>
      <c r="J451" s="23"/>
      <c r="K451" s="24">
        <f t="shared" ref="K451:K454" si="57">86000</f>
        <v>86000</v>
      </c>
      <c r="L451" s="24">
        <v>105000.0</v>
      </c>
      <c r="M451" s="25" t="s">
        <v>82</v>
      </c>
      <c r="N451" s="26"/>
      <c r="O451" s="27">
        <f t="shared" si="55"/>
        <v>0.2209302326</v>
      </c>
      <c r="P451" s="28">
        <f t="shared" si="56"/>
        <v>0</v>
      </c>
    </row>
    <row r="452" hidden="1">
      <c r="A452" s="16" t="s">
        <v>736</v>
      </c>
      <c r="B452" s="17"/>
      <c r="C452" s="158" t="s">
        <v>737</v>
      </c>
      <c r="D452" s="61"/>
      <c r="E452" s="19"/>
      <c r="F452" s="19"/>
      <c r="G452" s="16" t="s">
        <v>731</v>
      </c>
      <c r="H452" s="21"/>
      <c r="I452" s="22">
        <v>0.0</v>
      </c>
      <c r="J452" s="47">
        <v>46082.0</v>
      </c>
      <c r="K452" s="24">
        <f t="shared" si="57"/>
        <v>86000</v>
      </c>
      <c r="L452" s="24">
        <v>105000.0</v>
      </c>
      <c r="M452" s="25" t="s">
        <v>82</v>
      </c>
      <c r="N452" s="26"/>
      <c r="O452" s="27">
        <f t="shared" si="55"/>
        <v>0.2209302326</v>
      </c>
      <c r="P452" s="28">
        <f t="shared" si="56"/>
        <v>0</v>
      </c>
    </row>
    <row r="453" hidden="1">
      <c r="A453" s="16" t="s">
        <v>738</v>
      </c>
      <c r="B453" s="17"/>
      <c r="C453" s="158" t="s">
        <v>737</v>
      </c>
      <c r="D453" s="61"/>
      <c r="E453" s="19"/>
      <c r="F453" s="19"/>
      <c r="G453" s="16" t="s">
        <v>731</v>
      </c>
      <c r="H453" s="159"/>
      <c r="I453" s="160">
        <v>1.0</v>
      </c>
      <c r="J453" s="161">
        <v>45839.0</v>
      </c>
      <c r="K453" s="24">
        <f t="shared" si="57"/>
        <v>86000</v>
      </c>
      <c r="L453" s="24">
        <v>105000.0</v>
      </c>
      <c r="M453" s="25" t="s">
        <v>82</v>
      </c>
      <c r="N453" s="26"/>
      <c r="O453" s="27">
        <f t="shared" si="55"/>
        <v>0.2209302326</v>
      </c>
      <c r="P453" s="28">
        <f t="shared" si="56"/>
        <v>0</v>
      </c>
    </row>
    <row r="454" hidden="1">
      <c r="A454" s="16" t="s">
        <v>739</v>
      </c>
      <c r="B454" s="17"/>
      <c r="C454" s="158" t="s">
        <v>737</v>
      </c>
      <c r="D454" s="61"/>
      <c r="E454" s="19"/>
      <c r="F454" s="19"/>
      <c r="G454" s="16" t="s">
        <v>731</v>
      </c>
      <c r="H454" s="159"/>
      <c r="I454" s="160">
        <v>3.0</v>
      </c>
      <c r="J454" s="162">
        <v>45809.0</v>
      </c>
      <c r="K454" s="24">
        <f t="shared" si="57"/>
        <v>86000</v>
      </c>
      <c r="L454" s="24">
        <v>105000.0</v>
      </c>
      <c r="M454" s="25" t="s">
        <v>82</v>
      </c>
      <c r="N454" s="26"/>
      <c r="O454" s="27">
        <f t="shared" si="55"/>
        <v>0.2209302326</v>
      </c>
      <c r="P454" s="28">
        <f t="shared" si="56"/>
        <v>0</v>
      </c>
    </row>
    <row r="455" hidden="1">
      <c r="A455" s="16" t="s">
        <v>740</v>
      </c>
      <c r="B455" s="17"/>
      <c r="C455" s="18"/>
      <c r="D455" s="4"/>
      <c r="E455" s="19"/>
      <c r="F455" s="19">
        <v>0.0</v>
      </c>
      <c r="G455" s="16" t="s">
        <v>470</v>
      </c>
      <c r="H455" s="21"/>
      <c r="I455" s="22">
        <v>2.0</v>
      </c>
      <c r="J455" s="47">
        <v>47150.0</v>
      </c>
      <c r="K455" s="48">
        <v>46320.0</v>
      </c>
      <c r="L455" s="55">
        <v>58000.0</v>
      </c>
      <c r="M455" s="25">
        <v>1.19</v>
      </c>
      <c r="N455" s="102">
        <v>52000.0</v>
      </c>
      <c r="O455" s="27">
        <f t="shared" si="55"/>
        <v>0.2521588946</v>
      </c>
      <c r="P455" s="28">
        <f t="shared" si="56"/>
        <v>0</v>
      </c>
    </row>
    <row r="456" hidden="1">
      <c r="A456" s="16" t="s">
        <v>741</v>
      </c>
      <c r="B456" s="17"/>
      <c r="C456" s="18"/>
      <c r="D456" s="4"/>
      <c r="E456" s="19"/>
      <c r="F456" s="19">
        <v>0.0</v>
      </c>
      <c r="G456" s="16" t="s">
        <v>470</v>
      </c>
      <c r="H456" s="21"/>
      <c r="I456" s="22"/>
      <c r="J456" s="29"/>
      <c r="K456" s="32">
        <f>41690/10</f>
        <v>4169</v>
      </c>
      <c r="L456" s="24">
        <v>7000.0</v>
      </c>
      <c r="M456" s="25"/>
      <c r="N456" s="39"/>
      <c r="O456" s="27">
        <f t="shared" si="55"/>
        <v>0.6790597266</v>
      </c>
      <c r="P456" s="28">
        <f t="shared" si="56"/>
        <v>0</v>
      </c>
    </row>
    <row r="457" hidden="1">
      <c r="A457" s="16" t="s">
        <v>742</v>
      </c>
      <c r="B457" s="17"/>
      <c r="C457" s="18"/>
      <c r="D457" s="4"/>
      <c r="E457" s="19">
        <v>0.0</v>
      </c>
      <c r="F457" s="19">
        <v>0.0</v>
      </c>
      <c r="G457" s="16" t="s">
        <v>630</v>
      </c>
      <c r="H457" s="21"/>
      <c r="I457" s="22">
        <v>7.0</v>
      </c>
      <c r="J457" s="29"/>
      <c r="K457" s="32">
        <v>41000.0</v>
      </c>
      <c r="L457" s="24">
        <v>70000.0</v>
      </c>
      <c r="M457" s="25"/>
      <c r="N457" s="26"/>
      <c r="O457" s="27">
        <f t="shared" si="55"/>
        <v>0.7073170732</v>
      </c>
      <c r="P457" s="28">
        <f t="shared" si="56"/>
        <v>0</v>
      </c>
    </row>
    <row r="458" hidden="1">
      <c r="A458" s="16" t="s">
        <v>743</v>
      </c>
      <c r="B458" s="49"/>
      <c r="C458" s="18"/>
      <c r="D458" s="4"/>
      <c r="E458" s="19">
        <v>0.0</v>
      </c>
      <c r="F458" s="19">
        <v>0.0</v>
      </c>
      <c r="G458" s="16" t="s">
        <v>744</v>
      </c>
      <c r="H458" s="21"/>
      <c r="I458" s="22">
        <v>55.0</v>
      </c>
      <c r="J458" s="58">
        <v>47058.0</v>
      </c>
      <c r="K458" s="55">
        <f>38000*1.19</f>
        <v>45220</v>
      </c>
      <c r="L458" s="55">
        <v>75000.0</v>
      </c>
      <c r="M458" s="25"/>
      <c r="N458" s="163">
        <v>65000.0</v>
      </c>
      <c r="O458" s="27">
        <f t="shared" si="55"/>
        <v>0.6585581601</v>
      </c>
      <c r="P458" s="28">
        <f t="shared" si="56"/>
        <v>0</v>
      </c>
    </row>
    <row r="459" hidden="1">
      <c r="A459" s="16" t="s">
        <v>745</v>
      </c>
      <c r="B459" s="36"/>
      <c r="C459" s="18"/>
      <c r="D459" s="4"/>
      <c r="E459" s="19">
        <v>0.0</v>
      </c>
      <c r="F459" s="19">
        <v>0.0</v>
      </c>
      <c r="G459" s="16" t="s">
        <v>16</v>
      </c>
      <c r="H459" s="21"/>
      <c r="I459" s="22">
        <v>0.0</v>
      </c>
      <c r="J459" s="29"/>
      <c r="K459" s="43">
        <v>22000.0</v>
      </c>
      <c r="L459" s="44">
        <v>30000.0</v>
      </c>
      <c r="M459" s="25"/>
      <c r="N459" s="39"/>
      <c r="O459" s="27">
        <f t="shared" si="55"/>
        <v>0.3636363636</v>
      </c>
      <c r="P459" s="28">
        <f t="shared" si="56"/>
        <v>0</v>
      </c>
    </row>
    <row r="460" hidden="1">
      <c r="A460" s="59" t="s">
        <v>746</v>
      </c>
      <c r="B460" s="134"/>
      <c r="C460" s="18"/>
      <c r="D460" s="4"/>
      <c r="E460" s="19">
        <v>0.0</v>
      </c>
      <c r="F460" s="19"/>
      <c r="G460" s="20" t="s">
        <v>747</v>
      </c>
      <c r="H460" s="21"/>
      <c r="I460" s="22"/>
      <c r="J460" s="23"/>
      <c r="K460" s="55">
        <f>360000/54</f>
        <v>6666.666667</v>
      </c>
      <c r="L460" s="55">
        <v>15000.0</v>
      </c>
      <c r="M460" s="25"/>
      <c r="N460" s="102">
        <v>12000.0</v>
      </c>
      <c r="O460" s="27">
        <f t="shared" si="55"/>
        <v>1.25</v>
      </c>
      <c r="P460" s="28">
        <f t="shared" si="56"/>
        <v>0</v>
      </c>
    </row>
    <row r="461" hidden="1">
      <c r="A461" s="122" t="s">
        <v>748</v>
      </c>
      <c r="B461" s="36"/>
      <c r="C461" s="18"/>
      <c r="D461" s="4"/>
      <c r="E461" s="19"/>
      <c r="F461" s="19"/>
      <c r="G461" s="16" t="s">
        <v>39</v>
      </c>
      <c r="H461" s="21"/>
      <c r="I461" s="22"/>
      <c r="J461" s="29"/>
      <c r="K461" s="32">
        <f>10000/10</f>
        <v>1000</v>
      </c>
      <c r="L461" s="24">
        <v>5000.0</v>
      </c>
      <c r="M461" s="25"/>
      <c r="N461" s="39"/>
      <c r="O461" s="27">
        <f t="shared" si="55"/>
        <v>4</v>
      </c>
      <c r="P461" s="28">
        <f t="shared" si="56"/>
        <v>0</v>
      </c>
    </row>
    <row r="462" hidden="1">
      <c r="A462" s="122" t="s">
        <v>749</v>
      </c>
      <c r="B462" s="36"/>
      <c r="C462" s="18"/>
      <c r="D462" s="4"/>
      <c r="E462" s="19"/>
      <c r="F462" s="19"/>
      <c r="G462" s="16" t="s">
        <v>39</v>
      </c>
      <c r="H462" s="21"/>
      <c r="I462" s="22"/>
      <c r="J462" s="29"/>
      <c r="K462" s="32">
        <f>5000/10</f>
        <v>500</v>
      </c>
      <c r="L462" s="24">
        <v>3000.0</v>
      </c>
      <c r="M462" s="25"/>
      <c r="N462" s="39"/>
      <c r="O462" s="27">
        <f t="shared" si="55"/>
        <v>5</v>
      </c>
      <c r="P462" s="28">
        <f t="shared" si="56"/>
        <v>0</v>
      </c>
    </row>
    <row r="463" hidden="1">
      <c r="A463" s="16" t="s">
        <v>750</v>
      </c>
      <c r="B463" s="17" t="s">
        <v>751</v>
      </c>
      <c r="C463" s="18"/>
      <c r="D463" s="4"/>
      <c r="E463" s="19">
        <v>0.0</v>
      </c>
      <c r="F463" s="19">
        <v>0.0</v>
      </c>
      <c r="G463" s="16" t="s">
        <v>752</v>
      </c>
      <c r="H463" s="21"/>
      <c r="I463" s="22">
        <v>4.0</v>
      </c>
      <c r="J463" s="29"/>
      <c r="K463" s="32">
        <v>10500.0</v>
      </c>
      <c r="L463" s="24">
        <v>18000.0</v>
      </c>
      <c r="M463" s="25"/>
      <c r="N463" s="26">
        <v>15000.0</v>
      </c>
      <c r="O463" s="27">
        <f t="shared" si="55"/>
        <v>0.7142857143</v>
      </c>
      <c r="P463" s="28">
        <f t="shared" si="56"/>
        <v>0</v>
      </c>
    </row>
    <row r="464" hidden="1">
      <c r="A464" s="16" t="s">
        <v>753</v>
      </c>
      <c r="B464" s="17"/>
      <c r="C464" s="18"/>
      <c r="D464" s="164"/>
      <c r="E464" s="19">
        <v>0.0</v>
      </c>
      <c r="F464" s="19"/>
      <c r="G464" s="20" t="s">
        <v>610</v>
      </c>
      <c r="H464" s="21"/>
      <c r="I464" s="22"/>
      <c r="J464" s="29"/>
      <c r="K464" s="32">
        <v>67200.0</v>
      </c>
      <c r="L464" s="24">
        <v>85000.0</v>
      </c>
      <c r="M464" s="25"/>
      <c r="N464" s="39"/>
      <c r="O464" s="27">
        <f t="shared" si="55"/>
        <v>0.2648809524</v>
      </c>
      <c r="P464" s="28">
        <f t="shared" si="56"/>
        <v>0</v>
      </c>
    </row>
    <row r="465" hidden="1">
      <c r="A465" s="52" t="s">
        <v>754</v>
      </c>
      <c r="B465" s="36"/>
      <c r="C465" s="18"/>
      <c r="D465" s="4"/>
      <c r="E465" s="19">
        <v>0.0</v>
      </c>
      <c r="F465" s="19">
        <v>0.0</v>
      </c>
      <c r="G465" s="20" t="s">
        <v>755</v>
      </c>
      <c r="H465" s="21"/>
      <c r="I465" s="22">
        <v>18.0</v>
      </c>
      <c r="J465" s="29"/>
      <c r="K465" s="43">
        <v>3700.0</v>
      </c>
      <c r="L465" s="44">
        <v>12000.0</v>
      </c>
      <c r="M465" s="25"/>
      <c r="N465" s="39"/>
      <c r="O465" s="27">
        <f t="shared" si="55"/>
        <v>2.243243243</v>
      </c>
      <c r="P465" s="28">
        <f t="shared" si="56"/>
        <v>0</v>
      </c>
    </row>
    <row r="466" hidden="1">
      <c r="A466" s="16" t="s">
        <v>756</v>
      </c>
      <c r="B466" s="36"/>
      <c r="C466" s="18"/>
      <c r="D466" s="4"/>
      <c r="E466" s="19">
        <v>0.0</v>
      </c>
      <c r="F466" s="19">
        <v>0.0</v>
      </c>
      <c r="G466" s="20" t="s">
        <v>84</v>
      </c>
      <c r="H466" s="21"/>
      <c r="I466" s="22"/>
      <c r="J466" s="29"/>
      <c r="K466" s="43">
        <v>9150.0</v>
      </c>
      <c r="L466" s="44">
        <v>32000.0</v>
      </c>
      <c r="M466" s="25"/>
      <c r="N466" s="39"/>
      <c r="O466" s="27">
        <f t="shared" si="55"/>
        <v>2.49726776</v>
      </c>
      <c r="P466" s="28">
        <f t="shared" si="56"/>
        <v>0</v>
      </c>
    </row>
    <row r="467" hidden="1">
      <c r="A467" s="16" t="s">
        <v>757</v>
      </c>
      <c r="B467" s="36"/>
      <c r="C467" s="18"/>
      <c r="D467" s="4"/>
      <c r="E467" s="19">
        <v>0.0</v>
      </c>
      <c r="F467" s="19">
        <v>0.0</v>
      </c>
      <c r="G467" s="16" t="s">
        <v>16</v>
      </c>
      <c r="H467" s="21"/>
      <c r="I467" s="22"/>
      <c r="J467" s="29"/>
      <c r="K467" s="32">
        <v>6641.0</v>
      </c>
      <c r="L467" s="24">
        <v>40000.0</v>
      </c>
      <c r="M467" s="25"/>
      <c r="N467" s="39"/>
      <c r="O467" s="27">
        <f t="shared" si="55"/>
        <v>5.023189279</v>
      </c>
      <c r="P467" s="28">
        <f t="shared" si="56"/>
        <v>0</v>
      </c>
    </row>
    <row r="468" hidden="1">
      <c r="A468" s="52" t="s">
        <v>758</v>
      </c>
      <c r="B468" s="36"/>
      <c r="C468" s="18"/>
      <c r="D468" s="4"/>
      <c r="E468" s="19">
        <v>0.0</v>
      </c>
      <c r="F468" s="19">
        <v>0.0</v>
      </c>
      <c r="G468" s="20" t="s">
        <v>377</v>
      </c>
      <c r="H468" s="21"/>
      <c r="I468" s="22">
        <v>33.0</v>
      </c>
      <c r="J468" s="47">
        <v>46174.0</v>
      </c>
      <c r="K468" s="32">
        <f>26900*1.19</f>
        <v>32011</v>
      </c>
      <c r="L468" s="24">
        <v>38000.0</v>
      </c>
      <c r="M468" s="25"/>
      <c r="N468" s="39"/>
      <c r="O468" s="27">
        <f t="shared" si="55"/>
        <v>0.1870919371</v>
      </c>
      <c r="P468" s="28">
        <f t="shared" si="56"/>
        <v>0</v>
      </c>
    </row>
    <row r="469" hidden="1">
      <c r="A469" s="42" t="s">
        <v>759</v>
      </c>
      <c r="B469" s="17"/>
      <c r="C469" s="18" t="s">
        <v>547</v>
      </c>
      <c r="D469" s="4"/>
      <c r="E469" s="19">
        <v>0.0</v>
      </c>
      <c r="F469" s="19">
        <v>0.0</v>
      </c>
      <c r="G469" s="20" t="s">
        <v>760</v>
      </c>
      <c r="H469" s="21"/>
      <c r="I469" s="22">
        <v>0.0</v>
      </c>
      <c r="J469" s="29"/>
      <c r="K469" s="43"/>
      <c r="L469" s="44"/>
      <c r="M469" s="25"/>
      <c r="N469" s="39"/>
      <c r="O469" s="27" t="str">
        <f t="shared" si="55"/>
        <v>#DIV/0!</v>
      </c>
      <c r="P469" s="28">
        <f t="shared" si="56"/>
        <v>0</v>
      </c>
    </row>
    <row r="470" hidden="1">
      <c r="A470" s="59" t="s">
        <v>761</v>
      </c>
      <c r="B470" s="97" t="s">
        <v>762</v>
      </c>
      <c r="C470" s="18"/>
      <c r="D470" s="98"/>
      <c r="E470" s="19">
        <v>4.0</v>
      </c>
      <c r="F470" s="19"/>
      <c r="G470" s="20" t="s">
        <v>485</v>
      </c>
      <c r="H470" s="21">
        <v>2.0</v>
      </c>
      <c r="I470" s="22"/>
      <c r="J470" s="100"/>
      <c r="K470" s="165">
        <f>51658*1.19</f>
        <v>61473.02</v>
      </c>
      <c r="L470" s="165">
        <v>105000.0</v>
      </c>
      <c r="M470" s="25"/>
      <c r="N470" s="26"/>
      <c r="O470" s="27">
        <f t="shared" si="55"/>
        <v>0.7080664005</v>
      </c>
      <c r="P470" s="28">
        <f t="shared" si="56"/>
        <v>0</v>
      </c>
    </row>
    <row r="471" hidden="1">
      <c r="A471" s="16" t="s">
        <v>763</v>
      </c>
      <c r="B471" s="36"/>
      <c r="C471" s="18"/>
      <c r="D471" s="4"/>
      <c r="E471" s="19">
        <v>0.0</v>
      </c>
      <c r="F471" s="19">
        <v>0.0</v>
      </c>
      <c r="G471" s="20" t="s">
        <v>254</v>
      </c>
      <c r="H471" s="21"/>
      <c r="I471" s="22">
        <v>0.0</v>
      </c>
      <c r="J471" s="29"/>
      <c r="K471" s="43">
        <v>47100.0</v>
      </c>
      <c r="L471" s="44">
        <v>65000.0</v>
      </c>
      <c r="M471" s="25"/>
      <c r="N471" s="39"/>
      <c r="O471" s="27">
        <f t="shared" si="55"/>
        <v>0.3800424628</v>
      </c>
      <c r="P471" s="28">
        <f t="shared" si="56"/>
        <v>0</v>
      </c>
    </row>
    <row r="472" hidden="1">
      <c r="A472" s="16" t="s">
        <v>764</v>
      </c>
      <c r="B472" s="166"/>
      <c r="C472" s="18"/>
      <c r="D472" s="4" t="s">
        <v>676</v>
      </c>
      <c r="E472" s="19">
        <v>0.0</v>
      </c>
      <c r="F472" s="19">
        <v>0.0</v>
      </c>
      <c r="G472" s="20" t="s">
        <v>254</v>
      </c>
      <c r="H472" s="21"/>
      <c r="I472" s="22">
        <v>8.0</v>
      </c>
      <c r="J472" s="23" t="s">
        <v>99</v>
      </c>
      <c r="K472" s="44">
        <v>39276.0</v>
      </c>
      <c r="L472" s="44">
        <v>52000.0</v>
      </c>
      <c r="M472" s="25" t="s">
        <v>76</v>
      </c>
      <c r="N472" s="39"/>
      <c r="O472" s="27">
        <f t="shared" si="55"/>
        <v>0.3239637438</v>
      </c>
      <c r="P472" s="28">
        <f t="shared" si="56"/>
        <v>0</v>
      </c>
    </row>
    <row r="473" hidden="1">
      <c r="A473" s="16" t="s">
        <v>765</v>
      </c>
      <c r="B473" s="17"/>
      <c r="C473" s="18" t="s">
        <v>144</v>
      </c>
      <c r="D473" s="4">
        <v>77499.0</v>
      </c>
      <c r="E473" s="19">
        <v>0.0</v>
      </c>
      <c r="F473" s="77">
        <v>0.0</v>
      </c>
      <c r="G473" s="20" t="s">
        <v>78</v>
      </c>
      <c r="H473" s="21">
        <v>4.0</v>
      </c>
      <c r="I473" s="22">
        <v>3.0</v>
      </c>
      <c r="J473" s="23"/>
      <c r="K473" s="24">
        <v>72817.0</v>
      </c>
      <c r="L473" s="24">
        <v>98000.0</v>
      </c>
      <c r="M473" s="25" t="s">
        <v>82</v>
      </c>
      <c r="N473" s="39"/>
      <c r="O473" s="27">
        <f t="shared" si="55"/>
        <v>0.3458395704</v>
      </c>
      <c r="P473" s="28">
        <f t="shared" si="56"/>
        <v>0</v>
      </c>
    </row>
    <row r="474" hidden="1">
      <c r="A474" s="16" t="s">
        <v>766</v>
      </c>
      <c r="B474" s="17"/>
      <c r="C474" s="18"/>
      <c r="D474" s="4"/>
      <c r="E474" s="19">
        <v>0.0</v>
      </c>
      <c r="F474" s="19"/>
      <c r="G474" s="16" t="s">
        <v>767</v>
      </c>
      <c r="H474" s="21"/>
      <c r="I474" s="22"/>
      <c r="J474" s="29"/>
      <c r="K474" s="43">
        <v>1500000.0</v>
      </c>
      <c r="L474" s="125">
        <f>K474*1.2</f>
        <v>1800000</v>
      </c>
      <c r="M474" s="25"/>
      <c r="N474" s="39"/>
      <c r="O474" s="27">
        <f t="shared" si="55"/>
        <v>0.2</v>
      </c>
      <c r="P474" s="28">
        <f t="shared" si="56"/>
        <v>0</v>
      </c>
    </row>
    <row r="475" hidden="1">
      <c r="A475" s="52" t="s">
        <v>768</v>
      </c>
      <c r="B475" s="167"/>
      <c r="C475" s="68"/>
      <c r="D475" s="4"/>
      <c r="E475" s="19">
        <v>10.0</v>
      </c>
      <c r="F475" s="77">
        <v>0.0</v>
      </c>
      <c r="G475" s="20" t="s">
        <v>14</v>
      </c>
      <c r="H475" s="21">
        <v>4.0</v>
      </c>
      <c r="I475" s="22">
        <v>6.0</v>
      </c>
      <c r="J475" s="47">
        <v>46539.0</v>
      </c>
      <c r="K475" s="24">
        <v>13351.0</v>
      </c>
      <c r="L475" s="24">
        <v>20000.0</v>
      </c>
      <c r="M475" s="25" t="s">
        <v>76</v>
      </c>
      <c r="N475" s="39"/>
      <c r="O475" s="27">
        <f t="shared" si="55"/>
        <v>0.49801513</v>
      </c>
      <c r="P475" s="28">
        <f t="shared" si="56"/>
        <v>0</v>
      </c>
    </row>
    <row r="476" hidden="1">
      <c r="A476" s="52" t="s">
        <v>769</v>
      </c>
      <c r="B476" s="17"/>
      <c r="C476" s="68"/>
      <c r="D476" s="4"/>
      <c r="E476" s="19">
        <v>0.0</v>
      </c>
      <c r="F476" s="19">
        <v>0.0</v>
      </c>
      <c r="G476" s="20" t="s">
        <v>14</v>
      </c>
      <c r="H476" s="21">
        <v>1.0</v>
      </c>
      <c r="I476" s="22">
        <v>1.0</v>
      </c>
      <c r="J476" s="23"/>
      <c r="K476" s="44">
        <v>171200.0</v>
      </c>
      <c r="L476" s="44">
        <v>220000.0</v>
      </c>
      <c r="M476" s="25" t="s">
        <v>76</v>
      </c>
      <c r="N476" s="39"/>
      <c r="O476" s="27">
        <f t="shared" si="55"/>
        <v>0.285046729</v>
      </c>
      <c r="P476" s="28">
        <f t="shared" si="56"/>
        <v>0</v>
      </c>
    </row>
    <row r="477" hidden="1">
      <c r="A477" s="52" t="s">
        <v>770</v>
      </c>
      <c r="B477" s="17" t="s">
        <v>771</v>
      </c>
      <c r="C477" s="18"/>
      <c r="D477" s="4"/>
      <c r="E477" s="19">
        <v>0.0</v>
      </c>
      <c r="F477" s="19">
        <v>0.0</v>
      </c>
      <c r="G477" s="16" t="s">
        <v>772</v>
      </c>
      <c r="H477" s="21"/>
      <c r="I477" s="22">
        <v>0.0</v>
      </c>
      <c r="J477" s="29"/>
      <c r="K477" s="32">
        <f>9000*1.19</f>
        <v>10710</v>
      </c>
      <c r="L477" s="24">
        <v>15000.0</v>
      </c>
      <c r="M477" s="25"/>
      <c r="N477" s="39"/>
      <c r="O477" s="27">
        <f t="shared" si="55"/>
        <v>0.4005602241</v>
      </c>
      <c r="P477" s="28">
        <f t="shared" si="56"/>
        <v>0</v>
      </c>
    </row>
    <row r="478" hidden="1">
      <c r="A478" s="16" t="s">
        <v>773</v>
      </c>
      <c r="B478" s="36"/>
      <c r="C478" s="18"/>
      <c r="D478" s="4"/>
      <c r="E478" s="19">
        <v>0.0</v>
      </c>
      <c r="F478" s="19"/>
      <c r="G478" s="20" t="s">
        <v>610</v>
      </c>
      <c r="H478" s="21"/>
      <c r="I478" s="22"/>
      <c r="J478" s="29"/>
      <c r="K478" s="43">
        <v>33000.0</v>
      </c>
      <c r="L478" s="44">
        <v>45000.0</v>
      </c>
      <c r="M478" s="25" t="s">
        <v>82</v>
      </c>
      <c r="N478" s="39"/>
      <c r="O478" s="27">
        <f t="shared" si="55"/>
        <v>0.3636363636</v>
      </c>
      <c r="P478" s="28">
        <f t="shared" si="56"/>
        <v>0</v>
      </c>
    </row>
    <row r="479" hidden="1">
      <c r="A479" s="16" t="s">
        <v>774</v>
      </c>
      <c r="B479" s="36"/>
      <c r="C479" s="18"/>
      <c r="D479" s="4"/>
      <c r="E479" s="19">
        <v>0.0</v>
      </c>
      <c r="F479" s="19"/>
      <c r="G479" s="20" t="s">
        <v>610</v>
      </c>
      <c r="H479" s="21"/>
      <c r="I479" s="22"/>
      <c r="J479" s="29"/>
      <c r="K479" s="43">
        <v>33000.0</v>
      </c>
      <c r="L479" s="44">
        <v>45000.0</v>
      </c>
      <c r="M479" s="25"/>
      <c r="N479" s="39"/>
      <c r="O479" s="27">
        <f t="shared" si="55"/>
        <v>0.3636363636</v>
      </c>
      <c r="P479" s="28">
        <f t="shared" si="56"/>
        <v>0</v>
      </c>
    </row>
    <row r="480" hidden="1">
      <c r="A480" s="16" t="s">
        <v>775</v>
      </c>
      <c r="B480" s="49"/>
      <c r="C480" s="18" t="s">
        <v>55</v>
      </c>
      <c r="D480" s="4"/>
      <c r="E480" s="19">
        <v>0.0</v>
      </c>
      <c r="F480" s="19"/>
      <c r="G480" s="20" t="s">
        <v>610</v>
      </c>
      <c r="H480" s="21"/>
      <c r="I480" s="22"/>
      <c r="J480" s="29"/>
      <c r="K480" s="43">
        <v>33000.0</v>
      </c>
      <c r="L480" s="44">
        <v>45000.0</v>
      </c>
      <c r="M480" s="25" t="s">
        <v>82</v>
      </c>
      <c r="N480" s="39"/>
      <c r="O480" s="27">
        <f t="shared" si="55"/>
        <v>0.3636363636</v>
      </c>
      <c r="P480" s="28">
        <f t="shared" si="56"/>
        <v>0</v>
      </c>
    </row>
    <row r="481" hidden="1">
      <c r="A481" s="40" t="s">
        <v>776</v>
      </c>
      <c r="B481" s="49"/>
      <c r="C481" s="18" t="s">
        <v>55</v>
      </c>
      <c r="D481" s="4"/>
      <c r="E481" s="19">
        <v>0.0</v>
      </c>
      <c r="F481" s="19"/>
      <c r="G481" s="20" t="s">
        <v>610</v>
      </c>
      <c r="H481" s="21"/>
      <c r="I481" s="22"/>
      <c r="J481" s="29"/>
      <c r="K481" s="43">
        <v>33000.0</v>
      </c>
      <c r="L481" s="44">
        <v>45000.0</v>
      </c>
      <c r="M481" s="25" t="s">
        <v>82</v>
      </c>
      <c r="N481" s="26"/>
      <c r="O481" s="27">
        <f t="shared" si="55"/>
        <v>0.3636363636</v>
      </c>
      <c r="P481" s="28">
        <f t="shared" si="56"/>
        <v>0</v>
      </c>
    </row>
    <row r="482" hidden="1">
      <c r="A482" s="40" t="s">
        <v>777</v>
      </c>
      <c r="B482" s="36"/>
      <c r="C482" s="18"/>
      <c r="D482" s="4"/>
      <c r="E482" s="19">
        <v>0.0</v>
      </c>
      <c r="F482" s="19"/>
      <c r="G482" s="20" t="s">
        <v>610</v>
      </c>
      <c r="H482" s="21"/>
      <c r="I482" s="22"/>
      <c r="J482" s="29"/>
      <c r="K482" s="43">
        <v>33000.0</v>
      </c>
      <c r="L482" s="44">
        <v>45000.0</v>
      </c>
      <c r="M482" s="25" t="s">
        <v>82</v>
      </c>
      <c r="N482" s="39"/>
      <c r="O482" s="27">
        <f t="shared" si="55"/>
        <v>0.3636363636</v>
      </c>
      <c r="P482" s="28">
        <f t="shared" si="56"/>
        <v>0</v>
      </c>
    </row>
    <row r="483" hidden="1">
      <c r="A483" s="16" t="s">
        <v>778</v>
      </c>
      <c r="B483" s="36"/>
      <c r="C483" s="18"/>
      <c r="D483" s="4"/>
      <c r="E483" s="19">
        <v>0.0</v>
      </c>
      <c r="F483" s="19"/>
      <c r="G483" s="20" t="s">
        <v>610</v>
      </c>
      <c r="H483" s="21"/>
      <c r="I483" s="22"/>
      <c r="J483" s="29"/>
      <c r="K483" s="43">
        <v>33000.0</v>
      </c>
      <c r="L483" s="44">
        <v>45000.0</v>
      </c>
      <c r="M483" s="25" t="s">
        <v>82</v>
      </c>
      <c r="N483" s="39"/>
      <c r="O483" s="27">
        <f t="shared" si="55"/>
        <v>0.3636363636</v>
      </c>
      <c r="P483" s="28">
        <f t="shared" si="56"/>
        <v>0</v>
      </c>
    </row>
    <row r="484" hidden="1">
      <c r="A484" s="40" t="s">
        <v>779</v>
      </c>
      <c r="B484" s="36"/>
      <c r="C484" s="18"/>
      <c r="D484" s="4"/>
      <c r="E484" s="19">
        <v>0.0</v>
      </c>
      <c r="F484" s="19"/>
      <c r="G484" s="20" t="s">
        <v>610</v>
      </c>
      <c r="H484" s="21"/>
      <c r="I484" s="22"/>
      <c r="J484" s="29"/>
      <c r="K484" s="43">
        <v>33000.0</v>
      </c>
      <c r="L484" s="44">
        <v>45000.0</v>
      </c>
      <c r="M484" s="25"/>
      <c r="N484" s="39"/>
      <c r="O484" s="27">
        <f t="shared" si="55"/>
        <v>0.3636363636</v>
      </c>
      <c r="P484" s="28">
        <f t="shared" si="56"/>
        <v>0</v>
      </c>
    </row>
    <row r="485" hidden="1">
      <c r="A485" s="16" t="s">
        <v>780</v>
      </c>
      <c r="B485" s="36"/>
      <c r="C485" s="18"/>
      <c r="D485" s="4"/>
      <c r="E485" s="19">
        <v>0.0</v>
      </c>
      <c r="F485" s="19"/>
      <c r="G485" s="20" t="s">
        <v>610</v>
      </c>
      <c r="H485" s="21"/>
      <c r="I485" s="22"/>
      <c r="J485" s="29"/>
      <c r="K485" s="43">
        <v>33000.0</v>
      </c>
      <c r="L485" s="44">
        <v>45000.0</v>
      </c>
      <c r="M485" s="25" t="s">
        <v>82</v>
      </c>
      <c r="N485" s="39"/>
      <c r="O485" s="27">
        <f t="shared" si="55"/>
        <v>0.3636363636</v>
      </c>
      <c r="P485" s="28">
        <f t="shared" si="56"/>
        <v>0</v>
      </c>
    </row>
    <row r="486" hidden="1">
      <c r="A486" s="16" t="s">
        <v>781</v>
      </c>
      <c r="B486" s="54" t="s">
        <v>782</v>
      </c>
      <c r="C486" s="18"/>
      <c r="D486" s="4"/>
      <c r="E486" s="19"/>
      <c r="F486" s="19">
        <v>0.0</v>
      </c>
      <c r="G486" s="16" t="s">
        <v>783</v>
      </c>
      <c r="H486" s="21"/>
      <c r="I486" s="22"/>
      <c r="J486" s="29"/>
      <c r="K486" s="48">
        <v>15500.0</v>
      </c>
      <c r="L486" s="48">
        <v>27000.0</v>
      </c>
      <c r="M486" s="25" t="s">
        <v>82</v>
      </c>
      <c r="N486" s="26"/>
      <c r="O486" s="27">
        <f t="shared" si="55"/>
        <v>0.7419354839</v>
      </c>
      <c r="P486" s="28">
        <f t="shared" si="56"/>
        <v>0</v>
      </c>
    </row>
    <row r="487" hidden="1">
      <c r="A487" s="16" t="s">
        <v>784</v>
      </c>
      <c r="B487" s="54" t="s">
        <v>782</v>
      </c>
      <c r="C487" s="18"/>
      <c r="D487" s="107" t="s">
        <v>251</v>
      </c>
      <c r="E487" s="19"/>
      <c r="F487" s="19">
        <v>0.0</v>
      </c>
      <c r="G487" s="16" t="s">
        <v>783</v>
      </c>
      <c r="H487" s="21"/>
      <c r="I487" s="22"/>
      <c r="J487" s="29"/>
      <c r="K487" s="48">
        <v>15500.0</v>
      </c>
      <c r="L487" s="48">
        <v>27000.0</v>
      </c>
      <c r="M487" s="25" t="s">
        <v>82</v>
      </c>
      <c r="N487" s="26"/>
      <c r="O487" s="27">
        <f t="shared" si="55"/>
        <v>0.7419354839</v>
      </c>
      <c r="P487" s="28">
        <f t="shared" si="56"/>
        <v>0</v>
      </c>
    </row>
    <row r="488" hidden="1">
      <c r="A488" s="16" t="s">
        <v>785</v>
      </c>
      <c r="B488" s="54" t="s">
        <v>782</v>
      </c>
      <c r="C488" s="18"/>
      <c r="D488" s="4"/>
      <c r="E488" s="19"/>
      <c r="F488" s="19">
        <v>1.0</v>
      </c>
      <c r="G488" s="16" t="s">
        <v>783</v>
      </c>
      <c r="H488" s="21"/>
      <c r="I488" s="22"/>
      <c r="J488" s="29"/>
      <c r="K488" s="48">
        <v>15500.0</v>
      </c>
      <c r="L488" s="48">
        <v>27000.0</v>
      </c>
      <c r="M488" s="25" t="s">
        <v>82</v>
      </c>
      <c r="N488" s="39"/>
      <c r="O488" s="27">
        <f t="shared" si="55"/>
        <v>0.7419354839</v>
      </c>
      <c r="P488" s="28">
        <f t="shared" si="56"/>
        <v>15500</v>
      </c>
    </row>
    <row r="489" hidden="1">
      <c r="A489" s="16" t="s">
        <v>786</v>
      </c>
      <c r="B489" s="54" t="s">
        <v>782</v>
      </c>
      <c r="C489" s="18"/>
      <c r="D489" s="4"/>
      <c r="E489" s="19"/>
      <c r="F489" s="19">
        <v>0.0</v>
      </c>
      <c r="G489" s="16" t="s">
        <v>783</v>
      </c>
      <c r="H489" s="21"/>
      <c r="I489" s="22"/>
      <c r="J489" s="29"/>
      <c r="K489" s="48">
        <v>15500.0</v>
      </c>
      <c r="L489" s="48">
        <v>27000.0</v>
      </c>
      <c r="M489" s="25" t="s">
        <v>82</v>
      </c>
      <c r="N489" s="39"/>
      <c r="O489" s="27">
        <f t="shared" si="55"/>
        <v>0.7419354839</v>
      </c>
      <c r="P489" s="28">
        <f t="shared" si="56"/>
        <v>0</v>
      </c>
    </row>
    <row r="490" hidden="1">
      <c r="A490" s="16" t="s">
        <v>787</v>
      </c>
      <c r="B490" s="54" t="s">
        <v>782</v>
      </c>
      <c r="C490" s="18"/>
      <c r="D490" s="4"/>
      <c r="E490" s="19"/>
      <c r="F490" s="19">
        <v>0.0</v>
      </c>
      <c r="G490" s="16" t="s">
        <v>783</v>
      </c>
      <c r="H490" s="21"/>
      <c r="I490" s="22"/>
      <c r="J490" s="29"/>
      <c r="K490" s="48">
        <v>15500.0</v>
      </c>
      <c r="L490" s="48">
        <v>27000.0</v>
      </c>
      <c r="M490" s="25" t="s">
        <v>82</v>
      </c>
      <c r="N490" s="39"/>
      <c r="O490" s="27">
        <f t="shared" si="55"/>
        <v>0.7419354839</v>
      </c>
      <c r="P490" s="28">
        <f t="shared" si="56"/>
        <v>0</v>
      </c>
    </row>
    <row r="491" hidden="1">
      <c r="A491" s="16" t="s">
        <v>788</v>
      </c>
      <c r="B491" s="54" t="s">
        <v>782</v>
      </c>
      <c r="C491" s="18"/>
      <c r="D491" s="4"/>
      <c r="E491" s="19"/>
      <c r="F491" s="19">
        <v>0.0</v>
      </c>
      <c r="G491" s="16" t="s">
        <v>783</v>
      </c>
      <c r="H491" s="21"/>
      <c r="I491" s="22"/>
      <c r="J491" s="29"/>
      <c r="K491" s="48">
        <v>15500.0</v>
      </c>
      <c r="L491" s="48">
        <v>27000.0</v>
      </c>
      <c r="M491" s="25" t="s">
        <v>82</v>
      </c>
      <c r="N491" s="39"/>
      <c r="O491" s="27">
        <f t="shared" si="55"/>
        <v>0.7419354839</v>
      </c>
      <c r="P491" s="28">
        <f t="shared" si="56"/>
        <v>0</v>
      </c>
    </row>
    <row r="492" hidden="1">
      <c r="A492" s="16" t="s">
        <v>789</v>
      </c>
      <c r="B492" s="54" t="s">
        <v>782</v>
      </c>
      <c r="C492" s="18"/>
      <c r="D492" s="4"/>
      <c r="E492" s="19"/>
      <c r="F492" s="19">
        <v>5.0</v>
      </c>
      <c r="G492" s="16" t="s">
        <v>783</v>
      </c>
      <c r="H492" s="21"/>
      <c r="I492" s="22"/>
      <c r="J492" s="29"/>
      <c r="K492" s="48">
        <v>15500.0</v>
      </c>
      <c r="L492" s="48">
        <v>27000.0</v>
      </c>
      <c r="M492" s="168" t="s">
        <v>76</v>
      </c>
      <c r="N492" s="39"/>
      <c r="O492" s="27">
        <f t="shared" si="55"/>
        <v>0.7419354839</v>
      </c>
      <c r="P492" s="28">
        <f t="shared" si="56"/>
        <v>77500</v>
      </c>
    </row>
    <row r="493" hidden="1">
      <c r="A493" s="16" t="s">
        <v>790</v>
      </c>
      <c r="B493" s="54" t="s">
        <v>782</v>
      </c>
      <c r="C493" s="18"/>
      <c r="D493" s="107" t="s">
        <v>251</v>
      </c>
      <c r="E493" s="19"/>
      <c r="F493" s="19">
        <v>0.0</v>
      </c>
      <c r="G493" s="16" t="s">
        <v>783</v>
      </c>
      <c r="H493" s="21"/>
      <c r="I493" s="22"/>
      <c r="J493" s="29"/>
      <c r="K493" s="48">
        <v>15500.0</v>
      </c>
      <c r="L493" s="48">
        <v>27000.0</v>
      </c>
      <c r="M493" s="168" t="s">
        <v>76</v>
      </c>
      <c r="N493" s="39"/>
      <c r="O493" s="27">
        <f t="shared" si="55"/>
        <v>0.7419354839</v>
      </c>
      <c r="P493" s="28">
        <f t="shared" si="56"/>
        <v>0</v>
      </c>
    </row>
    <row r="494" hidden="1">
      <c r="A494" s="16" t="s">
        <v>791</v>
      </c>
      <c r="B494" s="17"/>
      <c r="C494" s="18"/>
      <c r="D494" s="4"/>
      <c r="E494" s="19">
        <v>0.0</v>
      </c>
      <c r="F494" s="19">
        <v>0.0</v>
      </c>
      <c r="G494" s="16" t="s">
        <v>792</v>
      </c>
      <c r="H494" s="21"/>
      <c r="I494" s="22">
        <v>0.0</v>
      </c>
      <c r="J494" s="29"/>
      <c r="K494" s="43">
        <v>190000.0</v>
      </c>
      <c r="L494" s="44">
        <v>220000.0</v>
      </c>
      <c r="M494" s="25"/>
      <c r="N494" s="39"/>
      <c r="O494" s="27">
        <f t="shared" si="55"/>
        <v>0.1578947368</v>
      </c>
      <c r="P494" s="28">
        <f t="shared" si="56"/>
        <v>0</v>
      </c>
    </row>
    <row r="495" hidden="1">
      <c r="A495" s="122" t="s">
        <v>793</v>
      </c>
      <c r="B495" s="17"/>
      <c r="C495" s="18"/>
      <c r="D495" s="4"/>
      <c r="E495" s="19">
        <v>0.0</v>
      </c>
      <c r="F495" s="19">
        <v>0.0</v>
      </c>
      <c r="G495" s="16" t="s">
        <v>16</v>
      </c>
      <c r="H495" s="73"/>
      <c r="I495" s="22">
        <v>0.0</v>
      </c>
      <c r="J495" s="74"/>
      <c r="K495" s="75">
        <v>289000.0</v>
      </c>
      <c r="L495" s="44">
        <v>550000.0</v>
      </c>
      <c r="M495" s="25"/>
      <c r="N495" s="39"/>
      <c r="O495" s="27">
        <f t="shared" si="55"/>
        <v>0.9031141869</v>
      </c>
      <c r="P495" s="28">
        <f t="shared" si="56"/>
        <v>0</v>
      </c>
    </row>
    <row r="496" hidden="1">
      <c r="A496" s="122" t="s">
        <v>794</v>
      </c>
      <c r="B496" s="134"/>
      <c r="C496" s="18"/>
      <c r="D496" s="4"/>
      <c r="E496" s="19">
        <v>0.0</v>
      </c>
      <c r="F496" s="19">
        <v>10.0</v>
      </c>
      <c r="G496" s="16" t="s">
        <v>16</v>
      </c>
      <c r="H496" s="21"/>
      <c r="I496" s="22">
        <v>0.0</v>
      </c>
      <c r="J496" s="29"/>
      <c r="K496" s="169">
        <v>10277.0</v>
      </c>
      <c r="L496" s="24">
        <v>50000.0</v>
      </c>
      <c r="M496" s="25"/>
      <c r="N496" s="102">
        <v>40000.0</v>
      </c>
      <c r="O496" s="27">
        <f t="shared" si="55"/>
        <v>3.865233045</v>
      </c>
      <c r="P496" s="28">
        <f t="shared" si="56"/>
        <v>102770</v>
      </c>
    </row>
    <row r="497" hidden="1">
      <c r="A497" s="122" t="s">
        <v>795</v>
      </c>
      <c r="B497" s="17">
        <v>241099.0</v>
      </c>
      <c r="C497" s="18"/>
      <c r="D497" s="4" t="s">
        <v>796</v>
      </c>
      <c r="E497" s="19">
        <v>0.0</v>
      </c>
      <c r="F497" s="19">
        <v>10.0</v>
      </c>
      <c r="G497" s="16" t="s">
        <v>425</v>
      </c>
      <c r="H497" s="21"/>
      <c r="I497" s="22">
        <v>9.0</v>
      </c>
      <c r="J497" s="29"/>
      <c r="K497" s="43">
        <f>14156*1.19</f>
        <v>16845.64</v>
      </c>
      <c r="L497" s="43">
        <v>28000.0</v>
      </c>
      <c r="M497" s="25"/>
      <c r="N497" s="39"/>
      <c r="O497" s="27">
        <f t="shared" si="55"/>
        <v>0.662151156</v>
      </c>
      <c r="P497" s="28">
        <f t="shared" si="56"/>
        <v>168456.4</v>
      </c>
    </row>
    <row r="498" hidden="1">
      <c r="A498" s="42" t="s">
        <v>797</v>
      </c>
      <c r="B498" s="71"/>
      <c r="C498" s="18"/>
      <c r="D498" s="4"/>
      <c r="E498" s="19">
        <v>0.0</v>
      </c>
      <c r="F498" s="19"/>
      <c r="G498" s="16" t="s">
        <v>798</v>
      </c>
      <c r="H498" s="21"/>
      <c r="I498" s="22"/>
      <c r="J498" s="29"/>
      <c r="K498" s="43">
        <v>1416.0</v>
      </c>
      <c r="L498" s="44">
        <v>5000.0</v>
      </c>
      <c r="M498" s="25"/>
      <c r="N498" s="39"/>
      <c r="O498" s="27">
        <f t="shared" si="55"/>
        <v>2.531073446</v>
      </c>
      <c r="P498" s="28">
        <f t="shared" si="56"/>
        <v>0</v>
      </c>
    </row>
    <row r="499" hidden="1">
      <c r="A499" s="42" t="s">
        <v>799</v>
      </c>
      <c r="B499" s="114" t="s">
        <v>328</v>
      </c>
      <c r="C499" s="18"/>
      <c r="D499" s="4"/>
      <c r="E499" s="19">
        <v>0.0</v>
      </c>
      <c r="F499" s="19"/>
      <c r="G499" s="16" t="s">
        <v>798</v>
      </c>
      <c r="H499" s="21"/>
      <c r="I499" s="22"/>
      <c r="J499" s="29"/>
      <c r="K499" s="43">
        <v>1443.0</v>
      </c>
      <c r="L499" s="44">
        <v>4000.0</v>
      </c>
      <c r="M499" s="25"/>
      <c r="N499" s="39"/>
      <c r="O499" s="27">
        <f t="shared" si="55"/>
        <v>1.772002772</v>
      </c>
      <c r="P499" s="28">
        <f t="shared" si="56"/>
        <v>0</v>
      </c>
    </row>
    <row r="500" hidden="1">
      <c r="A500" s="16" t="s">
        <v>800</v>
      </c>
      <c r="B500" s="49"/>
      <c r="C500" s="18"/>
      <c r="D500" s="4"/>
      <c r="E500" s="19">
        <v>0.0</v>
      </c>
      <c r="F500" s="19"/>
      <c r="G500" s="20" t="s">
        <v>57</v>
      </c>
      <c r="H500" s="21"/>
      <c r="I500" s="22"/>
      <c r="J500" s="58">
        <v>46357.0</v>
      </c>
      <c r="K500" s="32">
        <v>48000.0</v>
      </c>
      <c r="L500" s="24">
        <v>68000.0</v>
      </c>
      <c r="M500" s="25"/>
      <c r="N500" s="39"/>
      <c r="O500" s="27">
        <f t="shared" si="55"/>
        <v>0.4166666667</v>
      </c>
      <c r="P500" s="28">
        <f t="shared" si="56"/>
        <v>0</v>
      </c>
    </row>
    <row r="501" hidden="1">
      <c r="A501" s="16" t="s">
        <v>801</v>
      </c>
      <c r="B501" s="17"/>
      <c r="C501" s="18"/>
      <c r="D501" s="4"/>
      <c r="E501" s="19">
        <v>0.0</v>
      </c>
      <c r="F501" s="19"/>
      <c r="G501" s="20" t="s">
        <v>57</v>
      </c>
      <c r="H501" s="21"/>
      <c r="I501" s="22"/>
      <c r="J501" s="29"/>
      <c r="K501" s="43">
        <f>325*3</f>
        <v>975</v>
      </c>
      <c r="L501" s="44">
        <v>2000.0</v>
      </c>
      <c r="M501" s="25"/>
      <c r="N501" s="39"/>
      <c r="O501" s="27">
        <f t="shared" si="55"/>
        <v>1.051282051</v>
      </c>
      <c r="P501" s="28">
        <f t="shared" si="56"/>
        <v>0</v>
      </c>
    </row>
    <row r="502" hidden="1">
      <c r="A502" s="16" t="s">
        <v>802</v>
      </c>
      <c r="B502" s="17"/>
      <c r="C502" s="18"/>
      <c r="D502" s="4"/>
      <c r="E502" s="19">
        <v>0.0</v>
      </c>
      <c r="F502" s="19">
        <v>0.0</v>
      </c>
      <c r="G502" s="16" t="s">
        <v>580</v>
      </c>
      <c r="H502" s="33"/>
      <c r="I502" s="22">
        <v>0.0</v>
      </c>
      <c r="J502" s="170"/>
      <c r="K502" s="30">
        <v>4904.4</v>
      </c>
      <c r="L502" s="24">
        <v>22000.0</v>
      </c>
      <c r="M502" s="25"/>
      <c r="N502" s="39"/>
      <c r="O502" s="27">
        <f t="shared" si="55"/>
        <v>3.485767882</v>
      </c>
      <c r="P502" s="28">
        <f t="shared" si="56"/>
        <v>0</v>
      </c>
    </row>
    <row r="503" hidden="1">
      <c r="A503" s="16" t="s">
        <v>803</v>
      </c>
      <c r="B503" s="17"/>
      <c r="C503" s="18"/>
      <c r="D503" s="4"/>
      <c r="E503" s="19">
        <v>0.0</v>
      </c>
      <c r="F503" s="19">
        <v>0.0</v>
      </c>
      <c r="G503" s="16" t="s">
        <v>16</v>
      </c>
      <c r="H503" s="21"/>
      <c r="I503" s="22">
        <v>0.0</v>
      </c>
      <c r="J503" s="29"/>
      <c r="K503" s="43">
        <v>1500.0</v>
      </c>
      <c r="L503" s="44">
        <v>4000.0</v>
      </c>
      <c r="M503" s="25"/>
      <c r="N503" s="39"/>
      <c r="O503" s="27">
        <f t="shared" si="55"/>
        <v>1.666666667</v>
      </c>
      <c r="P503" s="28">
        <f t="shared" si="56"/>
        <v>0</v>
      </c>
    </row>
    <row r="504" hidden="1">
      <c r="A504" s="16" t="s">
        <v>804</v>
      </c>
      <c r="B504" s="36"/>
      <c r="C504" s="18"/>
      <c r="D504" s="4"/>
      <c r="E504" s="19">
        <v>0.0</v>
      </c>
      <c r="F504" s="19">
        <v>0.0</v>
      </c>
      <c r="G504" s="16" t="s">
        <v>580</v>
      </c>
      <c r="H504" s="21"/>
      <c r="I504" s="22"/>
      <c r="J504" s="45"/>
      <c r="K504" s="60">
        <v>75000.0</v>
      </c>
      <c r="L504" s="55">
        <v>170000.0</v>
      </c>
      <c r="M504" s="25"/>
      <c r="N504" s="39"/>
      <c r="O504" s="27"/>
      <c r="P504" s="28"/>
    </row>
    <row r="505" hidden="1">
      <c r="A505" s="16" t="s">
        <v>805</v>
      </c>
      <c r="B505" s="36"/>
      <c r="C505" s="18"/>
      <c r="D505" s="4"/>
      <c r="E505" s="19">
        <v>0.0</v>
      </c>
      <c r="F505" s="19"/>
      <c r="G505" s="16" t="s">
        <v>39</v>
      </c>
      <c r="H505" s="21"/>
      <c r="I505" s="22"/>
      <c r="J505" s="29"/>
      <c r="K505" s="43">
        <v>5420.0</v>
      </c>
      <c r="L505" s="44">
        <v>10000.0</v>
      </c>
      <c r="M505" s="25"/>
      <c r="N505" s="39"/>
      <c r="O505" s="27">
        <f t="shared" ref="O505:O511" si="58">(L505/K505)-1</f>
        <v>0.8450184502</v>
      </c>
      <c r="P505" s="28">
        <f t="shared" ref="P505:P511" si="59">K505*F505</f>
        <v>0</v>
      </c>
    </row>
    <row r="506" hidden="1">
      <c r="A506" s="16" t="s">
        <v>806</v>
      </c>
      <c r="B506" s="36"/>
      <c r="C506" s="18"/>
      <c r="D506" s="4"/>
      <c r="E506" s="19">
        <v>0.0</v>
      </c>
      <c r="F506" s="19"/>
      <c r="G506" s="16" t="s">
        <v>39</v>
      </c>
      <c r="H506" s="21"/>
      <c r="I506" s="22"/>
      <c r="J506" s="45"/>
      <c r="K506" s="46">
        <v>5500.0</v>
      </c>
      <c r="L506" s="24">
        <v>9000.0</v>
      </c>
      <c r="M506" s="25"/>
      <c r="N506" s="39"/>
      <c r="O506" s="27">
        <f t="shared" si="58"/>
        <v>0.6363636364</v>
      </c>
      <c r="P506" s="28">
        <f t="shared" si="59"/>
        <v>0</v>
      </c>
    </row>
    <row r="507" hidden="1">
      <c r="A507" s="16" t="s">
        <v>807</v>
      </c>
      <c r="B507" s="36"/>
      <c r="C507" s="18"/>
      <c r="D507" s="164"/>
      <c r="E507" s="19"/>
      <c r="F507" s="19"/>
      <c r="G507" s="16" t="s">
        <v>88</v>
      </c>
      <c r="H507" s="21"/>
      <c r="I507" s="22">
        <v>7.0</v>
      </c>
      <c r="J507" s="47">
        <v>46174.0</v>
      </c>
      <c r="K507" s="60">
        <v>26616.0</v>
      </c>
      <c r="L507" s="55">
        <v>32000.0</v>
      </c>
      <c r="M507" s="25"/>
      <c r="N507" s="39"/>
      <c r="O507" s="27">
        <f t="shared" si="58"/>
        <v>0.2022843402</v>
      </c>
      <c r="P507" s="28">
        <f t="shared" si="59"/>
        <v>0</v>
      </c>
    </row>
    <row r="508" hidden="1">
      <c r="A508" s="156" t="s">
        <v>808</v>
      </c>
      <c r="B508" s="114" t="s">
        <v>809</v>
      </c>
      <c r="C508" s="18"/>
      <c r="D508" s="4"/>
      <c r="E508" s="19"/>
      <c r="F508" s="19"/>
      <c r="G508" s="20" t="s">
        <v>810</v>
      </c>
      <c r="H508" s="21"/>
      <c r="I508" s="22">
        <v>19.0</v>
      </c>
      <c r="J508" s="29" t="s">
        <v>811</v>
      </c>
      <c r="K508" s="32">
        <v>2050.0</v>
      </c>
      <c r="L508" s="24">
        <v>3000.0</v>
      </c>
      <c r="M508" s="25"/>
      <c r="N508" s="39"/>
      <c r="O508" s="27">
        <f t="shared" si="58"/>
        <v>0.4634146341</v>
      </c>
      <c r="P508" s="28">
        <f t="shared" si="59"/>
        <v>0</v>
      </c>
    </row>
    <row r="509" hidden="1">
      <c r="A509" s="52" t="s">
        <v>812</v>
      </c>
      <c r="B509" s="17"/>
      <c r="C509" s="18"/>
      <c r="D509" s="4"/>
      <c r="E509" s="19">
        <v>0.0</v>
      </c>
      <c r="F509" s="19">
        <v>0.0</v>
      </c>
      <c r="G509" s="16" t="s">
        <v>813</v>
      </c>
      <c r="H509" s="33"/>
      <c r="I509" s="22">
        <v>5.0</v>
      </c>
      <c r="J509" s="34"/>
      <c r="K509" s="48">
        <v>3500.0</v>
      </c>
      <c r="L509" s="55">
        <v>7000.0</v>
      </c>
      <c r="M509" s="25"/>
      <c r="N509" s="39"/>
      <c r="O509" s="27">
        <f t="shared" si="58"/>
        <v>1</v>
      </c>
      <c r="P509" s="28">
        <f t="shared" si="59"/>
        <v>0</v>
      </c>
    </row>
    <row r="510" hidden="1">
      <c r="A510" s="40" t="s">
        <v>814</v>
      </c>
      <c r="B510" s="17"/>
      <c r="C510" s="18"/>
      <c r="D510" s="4"/>
      <c r="E510" s="19">
        <v>0.0</v>
      </c>
      <c r="F510" s="19">
        <v>0.0</v>
      </c>
      <c r="G510" s="16" t="s">
        <v>815</v>
      </c>
      <c r="H510" s="21"/>
      <c r="I510" s="22">
        <f>50+100</f>
        <v>150</v>
      </c>
      <c r="J510" s="45"/>
      <c r="K510" s="46">
        <f>4076*1.19</f>
        <v>4850.44</v>
      </c>
      <c r="L510" s="24">
        <v>8000.0</v>
      </c>
      <c r="M510" s="25" t="s">
        <v>82</v>
      </c>
      <c r="N510" s="39"/>
      <c r="O510" s="27">
        <f t="shared" si="58"/>
        <v>0.6493349057</v>
      </c>
      <c r="P510" s="28">
        <f t="shared" si="59"/>
        <v>0</v>
      </c>
    </row>
    <row r="511" hidden="1">
      <c r="A511" s="16" t="s">
        <v>816</v>
      </c>
      <c r="B511" s="17"/>
      <c r="C511" s="18" t="s">
        <v>547</v>
      </c>
      <c r="D511" s="4"/>
      <c r="E511" s="19">
        <v>0.0</v>
      </c>
      <c r="F511" s="19">
        <v>0.0</v>
      </c>
      <c r="G511" s="20" t="s">
        <v>84</v>
      </c>
      <c r="H511" s="21"/>
      <c r="I511" s="22">
        <v>0.0</v>
      </c>
      <c r="J511" s="29"/>
      <c r="K511" s="43"/>
      <c r="L511" s="44">
        <v>15000.0</v>
      </c>
      <c r="M511" s="25"/>
      <c r="N511" s="39"/>
      <c r="O511" s="27" t="str">
        <f t="shared" si="58"/>
        <v>#DIV/0!</v>
      </c>
      <c r="P511" s="28">
        <f t="shared" si="59"/>
        <v>0</v>
      </c>
    </row>
    <row r="512" hidden="1">
      <c r="A512" s="16" t="s">
        <v>817</v>
      </c>
      <c r="B512" s="17"/>
      <c r="C512" s="18"/>
      <c r="D512" s="4"/>
      <c r="E512" s="19">
        <v>0.0</v>
      </c>
      <c r="F512" s="19">
        <v>0.0</v>
      </c>
      <c r="G512" s="16"/>
      <c r="H512" s="21"/>
      <c r="I512" s="22">
        <v>21.0</v>
      </c>
      <c r="J512" s="29"/>
      <c r="K512" s="43"/>
      <c r="L512" s="32">
        <v>35000.0</v>
      </c>
      <c r="M512" s="25"/>
      <c r="N512" s="39"/>
      <c r="O512" s="27"/>
      <c r="P512" s="28"/>
    </row>
    <row r="513" hidden="1">
      <c r="A513" s="52" t="s">
        <v>818</v>
      </c>
      <c r="B513" s="17"/>
      <c r="C513" s="18" t="s">
        <v>547</v>
      </c>
      <c r="D513" s="4"/>
      <c r="E513" s="19">
        <v>0.0</v>
      </c>
      <c r="F513" s="19">
        <v>0.0</v>
      </c>
      <c r="G513" s="20" t="s">
        <v>813</v>
      </c>
      <c r="H513" s="21"/>
      <c r="I513" s="22">
        <v>0.0</v>
      </c>
      <c r="J513" s="29"/>
      <c r="K513" s="44">
        <v>5000.0</v>
      </c>
      <c r="L513" s="44">
        <v>5000.0</v>
      </c>
      <c r="M513" s="25"/>
      <c r="N513" s="39"/>
      <c r="O513" s="27">
        <f t="shared" ref="O513:O515" si="60">(L513/K513)-1</f>
        <v>0</v>
      </c>
      <c r="P513" s="28">
        <f t="shared" ref="P513:P515" si="61">K513*F513</f>
        <v>0</v>
      </c>
    </row>
    <row r="514" hidden="1">
      <c r="A514" s="16" t="s">
        <v>819</v>
      </c>
      <c r="B514" s="17"/>
      <c r="C514" s="18"/>
      <c r="D514" s="4"/>
      <c r="E514" s="19">
        <v>0.0</v>
      </c>
      <c r="F514" s="19">
        <v>0.0</v>
      </c>
      <c r="G514" s="16" t="s">
        <v>16</v>
      </c>
      <c r="H514" s="21"/>
      <c r="I514" s="22"/>
      <c r="J514" s="29"/>
      <c r="K514" s="32">
        <v>13119.0</v>
      </c>
      <c r="L514" s="32">
        <v>45000.0</v>
      </c>
      <c r="M514" s="25"/>
      <c r="N514" s="39"/>
      <c r="O514" s="27">
        <f t="shared" si="60"/>
        <v>2.430139492</v>
      </c>
      <c r="P514" s="28">
        <f t="shared" si="61"/>
        <v>0</v>
      </c>
    </row>
    <row r="515" hidden="1">
      <c r="A515" s="16" t="s">
        <v>820</v>
      </c>
      <c r="B515" s="17"/>
      <c r="C515" s="18"/>
      <c r="D515" s="4"/>
      <c r="E515" s="19">
        <v>0.0</v>
      </c>
      <c r="F515" s="19">
        <v>0.0</v>
      </c>
      <c r="G515" s="16" t="s">
        <v>821</v>
      </c>
      <c r="H515" s="21"/>
      <c r="I515" s="22"/>
      <c r="J515" s="29"/>
      <c r="K515" s="43">
        <f>11640*1.19</f>
        <v>13851.6</v>
      </c>
      <c r="L515" s="43">
        <v>20000.0</v>
      </c>
      <c r="M515" s="25"/>
      <c r="N515" s="102"/>
      <c r="O515" s="27">
        <f t="shared" si="60"/>
        <v>0.4438765197</v>
      </c>
      <c r="P515" s="28">
        <f t="shared" si="61"/>
        <v>0</v>
      </c>
    </row>
    <row r="516" hidden="1">
      <c r="A516" s="16" t="s">
        <v>822</v>
      </c>
      <c r="B516" s="49"/>
      <c r="C516" s="18"/>
      <c r="D516" s="4"/>
      <c r="E516" s="19">
        <v>0.0</v>
      </c>
      <c r="F516" s="19">
        <v>0.0</v>
      </c>
      <c r="G516" s="20" t="s">
        <v>400</v>
      </c>
      <c r="H516" s="21"/>
      <c r="I516" s="22">
        <v>1.0</v>
      </c>
      <c r="J516" s="23"/>
      <c r="K516" s="44"/>
      <c r="L516" s="44"/>
      <c r="M516" s="25"/>
      <c r="N516" s="39"/>
      <c r="O516" s="27"/>
      <c r="P516" s="28"/>
    </row>
    <row r="517" hidden="1">
      <c r="A517" s="16" t="s">
        <v>823</v>
      </c>
      <c r="B517" s="17"/>
      <c r="C517" s="18"/>
      <c r="D517" s="4"/>
      <c r="E517" s="19">
        <v>0.0</v>
      </c>
      <c r="F517" s="19">
        <v>0.0</v>
      </c>
      <c r="G517" s="16" t="s">
        <v>84</v>
      </c>
      <c r="H517" s="21"/>
      <c r="I517" s="22">
        <v>0.0</v>
      </c>
      <c r="J517" s="29"/>
      <c r="K517" s="43">
        <v>30000.0</v>
      </c>
      <c r="L517" s="44">
        <v>50000.0</v>
      </c>
      <c r="M517" s="25"/>
      <c r="N517" s="39"/>
      <c r="O517" s="27">
        <f t="shared" ref="O517:O566" si="62">(L517/K517)-1</f>
        <v>0.6666666667</v>
      </c>
      <c r="P517" s="28">
        <f t="shared" ref="P517:P534" si="63">K517*F517</f>
        <v>0</v>
      </c>
    </row>
    <row r="518" hidden="1">
      <c r="A518" s="16" t="s">
        <v>824</v>
      </c>
      <c r="B518" s="17" t="s">
        <v>328</v>
      </c>
      <c r="C518" s="18"/>
      <c r="D518" s="4"/>
      <c r="E518" s="19">
        <v>0.0</v>
      </c>
      <c r="F518" s="19">
        <v>0.0</v>
      </c>
      <c r="G518" s="20" t="s">
        <v>318</v>
      </c>
      <c r="H518" s="21"/>
      <c r="I518" s="22">
        <v>7.0</v>
      </c>
      <c r="J518" s="47">
        <v>46813.0</v>
      </c>
      <c r="K518" s="43">
        <f t="shared" ref="K518:K520" si="64">13600*1.19</f>
        <v>16184</v>
      </c>
      <c r="L518" s="44">
        <v>22000.0</v>
      </c>
      <c r="M518" s="25"/>
      <c r="N518" s="39"/>
      <c r="O518" s="27">
        <f t="shared" si="62"/>
        <v>0.3593672763</v>
      </c>
      <c r="P518" s="28">
        <f t="shared" si="63"/>
        <v>0</v>
      </c>
    </row>
    <row r="519" hidden="1">
      <c r="A519" s="16" t="s">
        <v>825</v>
      </c>
      <c r="B519" s="17" t="s">
        <v>328</v>
      </c>
      <c r="C519" s="18"/>
      <c r="D519" s="4"/>
      <c r="E519" s="19">
        <v>0.0</v>
      </c>
      <c r="F519" s="19">
        <v>0.0</v>
      </c>
      <c r="G519" s="20" t="s">
        <v>318</v>
      </c>
      <c r="H519" s="21"/>
      <c r="I519" s="22">
        <v>15.0</v>
      </c>
      <c r="J519" s="29"/>
      <c r="K519" s="43">
        <f t="shared" si="64"/>
        <v>16184</v>
      </c>
      <c r="L519" s="44">
        <v>22000.0</v>
      </c>
      <c r="M519" s="25"/>
      <c r="N519" s="39"/>
      <c r="O519" s="27">
        <f t="shared" si="62"/>
        <v>0.3593672763</v>
      </c>
      <c r="P519" s="28">
        <f t="shared" si="63"/>
        <v>0</v>
      </c>
    </row>
    <row r="520" hidden="1">
      <c r="A520" s="16" t="s">
        <v>826</v>
      </c>
      <c r="B520" s="171" t="s">
        <v>827</v>
      </c>
      <c r="C520" s="18"/>
      <c r="D520" s="4"/>
      <c r="E520" s="19">
        <v>0.0</v>
      </c>
      <c r="F520" s="19">
        <v>10.0</v>
      </c>
      <c r="G520" s="20" t="s">
        <v>318</v>
      </c>
      <c r="H520" s="21"/>
      <c r="I520" s="22">
        <v>21.0</v>
      </c>
      <c r="J520" s="29"/>
      <c r="K520" s="43">
        <f t="shared" si="64"/>
        <v>16184</v>
      </c>
      <c r="L520" s="44">
        <v>22000.0</v>
      </c>
      <c r="M520" s="25"/>
      <c r="N520" s="39"/>
      <c r="O520" s="27">
        <f t="shared" si="62"/>
        <v>0.3593672763</v>
      </c>
      <c r="P520" s="28">
        <f t="shared" si="63"/>
        <v>161840</v>
      </c>
    </row>
    <row r="521" hidden="1">
      <c r="A521" s="16" t="s">
        <v>828</v>
      </c>
      <c r="B521" s="36"/>
      <c r="C521" s="38"/>
      <c r="D521" s="4"/>
      <c r="E521" s="19">
        <v>0.0</v>
      </c>
      <c r="F521" s="19"/>
      <c r="G521" s="20" t="s">
        <v>829</v>
      </c>
      <c r="H521" s="21"/>
      <c r="I521" s="22"/>
      <c r="J521" s="23"/>
      <c r="K521" s="24">
        <f t="shared" ref="K521:K522" si="65">27731/25</f>
        <v>1109.24</v>
      </c>
      <c r="L521" s="24">
        <v>3000.0</v>
      </c>
      <c r="M521" s="25"/>
      <c r="N521" s="26"/>
      <c r="O521" s="27">
        <f t="shared" si="62"/>
        <v>1.70455447</v>
      </c>
      <c r="P521" s="28">
        <f t="shared" si="63"/>
        <v>0</v>
      </c>
    </row>
    <row r="522" hidden="1">
      <c r="A522" s="16" t="s">
        <v>830</v>
      </c>
      <c r="B522" s="36"/>
      <c r="C522" s="18"/>
      <c r="D522" s="4"/>
      <c r="E522" s="19">
        <v>0.0</v>
      </c>
      <c r="F522" s="19"/>
      <c r="G522" s="20" t="s">
        <v>829</v>
      </c>
      <c r="H522" s="21"/>
      <c r="I522" s="22"/>
      <c r="J522" s="23"/>
      <c r="K522" s="24">
        <f t="shared" si="65"/>
        <v>1109.24</v>
      </c>
      <c r="L522" s="24">
        <v>3000.0</v>
      </c>
      <c r="M522" s="25"/>
      <c r="N522" s="26"/>
      <c r="O522" s="27">
        <f t="shared" si="62"/>
        <v>1.70455447</v>
      </c>
      <c r="P522" s="28">
        <f t="shared" si="63"/>
        <v>0</v>
      </c>
    </row>
    <row r="523" hidden="1">
      <c r="A523" s="16" t="s">
        <v>831</v>
      </c>
      <c r="B523" s="49"/>
      <c r="C523" s="18"/>
      <c r="D523" s="4"/>
      <c r="E523" s="19">
        <v>0.0</v>
      </c>
      <c r="F523" s="19"/>
      <c r="G523" s="20" t="s">
        <v>829</v>
      </c>
      <c r="H523" s="21"/>
      <c r="I523" s="22"/>
      <c r="J523" s="23"/>
      <c r="K523" s="44">
        <f>23530*1.19</f>
        <v>28000.7</v>
      </c>
      <c r="L523" s="44">
        <v>35000.0</v>
      </c>
      <c r="M523" s="25"/>
      <c r="N523" s="39"/>
      <c r="O523" s="27">
        <f t="shared" si="62"/>
        <v>0.2499687508</v>
      </c>
      <c r="P523" s="28">
        <f t="shared" si="63"/>
        <v>0</v>
      </c>
    </row>
    <row r="524" hidden="1">
      <c r="A524" s="52" t="s">
        <v>832</v>
      </c>
      <c r="B524" s="17" t="s">
        <v>833</v>
      </c>
      <c r="C524" s="18"/>
      <c r="D524" s="4"/>
      <c r="E524" s="19">
        <v>0.0</v>
      </c>
      <c r="F524" s="19">
        <v>0.0</v>
      </c>
      <c r="G524" s="20" t="s">
        <v>563</v>
      </c>
      <c r="H524" s="21"/>
      <c r="I524" s="22">
        <v>6.0</v>
      </c>
      <c r="J524" s="29"/>
      <c r="K524" s="32">
        <f>7600*1.19</f>
        <v>9044</v>
      </c>
      <c r="L524" s="24">
        <v>18000.0</v>
      </c>
      <c r="M524" s="25"/>
      <c r="N524" s="70"/>
      <c r="O524" s="27">
        <f t="shared" si="62"/>
        <v>0.9902697921</v>
      </c>
      <c r="P524" s="28">
        <f t="shared" si="63"/>
        <v>0</v>
      </c>
    </row>
    <row r="525" hidden="1">
      <c r="A525" s="16" t="s">
        <v>834</v>
      </c>
      <c r="B525" s="17" t="s">
        <v>835</v>
      </c>
      <c r="C525" s="18"/>
      <c r="D525" s="4"/>
      <c r="E525" s="19">
        <v>0.0</v>
      </c>
      <c r="F525" s="19">
        <v>0.0</v>
      </c>
      <c r="G525" s="20" t="s">
        <v>30</v>
      </c>
      <c r="H525" s="21"/>
      <c r="I525" s="22">
        <f>28+20</f>
        <v>48</v>
      </c>
      <c r="J525" s="45"/>
      <c r="K525" s="172">
        <v>8800.0</v>
      </c>
      <c r="L525" s="44">
        <v>18000.0</v>
      </c>
      <c r="M525" s="25"/>
      <c r="N525" s="39"/>
      <c r="O525" s="27">
        <f t="shared" si="62"/>
        <v>1.045454545</v>
      </c>
      <c r="P525" s="28">
        <f t="shared" si="63"/>
        <v>0</v>
      </c>
    </row>
    <row r="526" hidden="1">
      <c r="A526" s="16" t="s">
        <v>836</v>
      </c>
      <c r="B526" s="17" t="s">
        <v>835</v>
      </c>
      <c r="C526" s="18"/>
      <c r="D526" s="4"/>
      <c r="E526" s="19">
        <v>0.0</v>
      </c>
      <c r="F526" s="19">
        <v>0.0</v>
      </c>
      <c r="G526" s="20" t="s">
        <v>30</v>
      </c>
      <c r="H526" s="21"/>
      <c r="I526" s="22">
        <f>34+18</f>
        <v>52</v>
      </c>
      <c r="J526" s="45"/>
      <c r="K526" s="172">
        <v>8800.0</v>
      </c>
      <c r="L526" s="44">
        <v>18000.0</v>
      </c>
      <c r="M526" s="25"/>
      <c r="N526" s="39"/>
      <c r="O526" s="27">
        <f t="shared" si="62"/>
        <v>1.045454545</v>
      </c>
      <c r="P526" s="28">
        <f t="shared" si="63"/>
        <v>0</v>
      </c>
    </row>
    <row r="527" hidden="1">
      <c r="A527" s="16" t="s">
        <v>837</v>
      </c>
      <c r="B527" s="17" t="s">
        <v>835</v>
      </c>
      <c r="C527" s="18"/>
      <c r="D527" s="4"/>
      <c r="E527" s="19">
        <v>0.0</v>
      </c>
      <c r="F527" s="19">
        <v>0.0</v>
      </c>
      <c r="G527" s="20" t="s">
        <v>30</v>
      </c>
      <c r="H527" s="21"/>
      <c r="I527" s="22">
        <f>41+15</f>
        <v>56</v>
      </c>
      <c r="J527" s="45"/>
      <c r="K527" s="172">
        <v>8800.0</v>
      </c>
      <c r="L527" s="44">
        <v>18000.0</v>
      </c>
      <c r="M527" s="25"/>
      <c r="N527" s="39"/>
      <c r="O527" s="27">
        <f t="shared" si="62"/>
        <v>1.045454545</v>
      </c>
      <c r="P527" s="28">
        <f t="shared" si="63"/>
        <v>0</v>
      </c>
    </row>
    <row r="528" hidden="1">
      <c r="A528" s="16" t="s">
        <v>838</v>
      </c>
      <c r="B528" s="17" t="s">
        <v>839</v>
      </c>
      <c r="C528" s="18"/>
      <c r="D528" s="4"/>
      <c r="E528" s="19">
        <v>0.0</v>
      </c>
      <c r="F528" s="19">
        <v>0.0</v>
      </c>
      <c r="G528" s="16" t="s">
        <v>840</v>
      </c>
      <c r="H528" s="21"/>
      <c r="I528" s="22">
        <f>41+35</f>
        <v>76</v>
      </c>
      <c r="J528" s="45"/>
      <c r="K528" s="46">
        <v>8000.0</v>
      </c>
      <c r="L528" s="24">
        <v>18000.0</v>
      </c>
      <c r="M528" s="25"/>
      <c r="N528" s="102">
        <v>11000.0</v>
      </c>
      <c r="O528" s="27">
        <f t="shared" si="62"/>
        <v>1.25</v>
      </c>
      <c r="P528" s="28">
        <f t="shared" si="63"/>
        <v>0</v>
      </c>
    </row>
    <row r="529" hidden="1">
      <c r="A529" s="59" t="s">
        <v>841</v>
      </c>
      <c r="B529" s="97" t="s">
        <v>842</v>
      </c>
      <c r="C529" s="18"/>
      <c r="D529" s="98"/>
      <c r="E529" s="19">
        <v>0.0</v>
      </c>
      <c r="F529" s="19"/>
      <c r="G529" s="20" t="s">
        <v>485</v>
      </c>
      <c r="H529" s="21">
        <v>11.0</v>
      </c>
      <c r="I529" s="22"/>
      <c r="J529" s="100"/>
      <c r="K529" s="165">
        <f>58360*1.19</f>
        <v>69448.4</v>
      </c>
      <c r="L529" s="165">
        <v>105000.0</v>
      </c>
      <c r="M529" s="25"/>
      <c r="N529" s="39"/>
      <c r="O529" s="27">
        <f t="shared" si="62"/>
        <v>0.5119138814</v>
      </c>
      <c r="P529" s="28">
        <f t="shared" si="63"/>
        <v>0</v>
      </c>
    </row>
    <row r="530" hidden="1">
      <c r="A530" s="59" t="s">
        <v>843</v>
      </c>
      <c r="B530" s="97" t="s">
        <v>844</v>
      </c>
      <c r="C530" s="18" t="s">
        <v>845</v>
      </c>
      <c r="D530" s="98"/>
      <c r="E530" s="19">
        <v>0.0</v>
      </c>
      <c r="F530" s="19"/>
      <c r="G530" s="20" t="s">
        <v>485</v>
      </c>
      <c r="H530" s="21">
        <v>0.0</v>
      </c>
      <c r="I530" s="22"/>
      <c r="J530" s="173"/>
      <c r="K530" s="174">
        <f>48840*1.19</f>
        <v>58119.6</v>
      </c>
      <c r="L530" s="175">
        <v>95000.0</v>
      </c>
      <c r="M530" s="25"/>
      <c r="N530" s="39"/>
      <c r="O530" s="27">
        <f t="shared" si="62"/>
        <v>0.6345604581</v>
      </c>
      <c r="P530" s="28">
        <f t="shared" si="63"/>
        <v>0</v>
      </c>
    </row>
    <row r="531" hidden="1">
      <c r="A531" s="52" t="s">
        <v>846</v>
      </c>
      <c r="B531" s="17" t="s">
        <v>847</v>
      </c>
      <c r="C531" s="18"/>
      <c r="D531" s="4"/>
      <c r="E531" s="19"/>
      <c r="F531" s="19">
        <v>0.0</v>
      </c>
      <c r="G531" s="16" t="s">
        <v>848</v>
      </c>
      <c r="H531" s="21"/>
      <c r="I531" s="22"/>
      <c r="J531" s="29"/>
      <c r="K531" s="32">
        <f>K532/5</f>
        <v>2142.77</v>
      </c>
      <c r="L531" s="24">
        <v>7000.0</v>
      </c>
      <c r="M531" s="25"/>
      <c r="N531" s="39"/>
      <c r="O531" s="27">
        <f t="shared" si="62"/>
        <v>2.266799517</v>
      </c>
      <c r="P531" s="28">
        <f t="shared" si="63"/>
        <v>0</v>
      </c>
    </row>
    <row r="532" hidden="1">
      <c r="A532" s="52" t="s">
        <v>849</v>
      </c>
      <c r="B532" s="36"/>
      <c r="C532" s="18"/>
      <c r="D532" s="4"/>
      <c r="E532" s="19">
        <v>0.0</v>
      </c>
      <c r="F532" s="19">
        <v>0.0</v>
      </c>
      <c r="G532" s="16" t="s">
        <v>580</v>
      </c>
      <c r="H532" s="21"/>
      <c r="I532" s="22">
        <v>0.0</v>
      </c>
      <c r="J532" s="29"/>
      <c r="K532" s="30">
        <v>10713.85</v>
      </c>
      <c r="L532" s="30">
        <v>70000.0</v>
      </c>
      <c r="M532" s="25"/>
      <c r="N532" s="70"/>
      <c r="O532" s="27">
        <f t="shared" si="62"/>
        <v>5.533599033</v>
      </c>
      <c r="P532" s="28">
        <f t="shared" si="63"/>
        <v>0</v>
      </c>
    </row>
    <row r="533" hidden="1">
      <c r="A533" s="52" t="s">
        <v>850</v>
      </c>
      <c r="B533" s="36" t="s">
        <v>851</v>
      </c>
      <c r="C533" s="18"/>
      <c r="D533" s="4"/>
      <c r="E533" s="19"/>
      <c r="F533" s="19">
        <v>0.0</v>
      </c>
      <c r="G533" s="16" t="s">
        <v>848</v>
      </c>
      <c r="H533" s="21"/>
      <c r="I533" s="22"/>
      <c r="J533" s="29"/>
      <c r="K533" s="32">
        <f>14200*1.19</f>
        <v>16898</v>
      </c>
      <c r="L533" s="24">
        <v>32000.0</v>
      </c>
      <c r="M533" s="25"/>
      <c r="N533" s="70"/>
      <c r="O533" s="27">
        <f t="shared" si="62"/>
        <v>0.8937152326</v>
      </c>
      <c r="P533" s="28">
        <f t="shared" si="63"/>
        <v>0</v>
      </c>
    </row>
    <row r="534" hidden="1">
      <c r="A534" s="16" t="s">
        <v>852</v>
      </c>
      <c r="B534" s="36"/>
      <c r="C534" s="18"/>
      <c r="D534" s="4"/>
      <c r="E534" s="19"/>
      <c r="F534" s="19">
        <v>0.0</v>
      </c>
      <c r="G534" s="16" t="s">
        <v>853</v>
      </c>
      <c r="H534" s="21"/>
      <c r="I534" s="22"/>
      <c r="J534" s="29"/>
      <c r="K534" s="43">
        <v>6800.0</v>
      </c>
      <c r="L534" s="44">
        <v>10000.0</v>
      </c>
      <c r="M534" s="25"/>
      <c r="N534" s="39"/>
      <c r="O534" s="27">
        <f t="shared" si="62"/>
        <v>0.4705882353</v>
      </c>
      <c r="P534" s="28">
        <f t="shared" si="63"/>
        <v>0</v>
      </c>
    </row>
    <row r="535" hidden="1">
      <c r="A535" s="16" t="s">
        <v>854</v>
      </c>
      <c r="B535" s="17"/>
      <c r="C535" s="18"/>
      <c r="D535" s="4"/>
      <c r="E535" s="19">
        <v>0.0</v>
      </c>
      <c r="F535" s="19">
        <v>0.0</v>
      </c>
      <c r="G535" s="16" t="s">
        <v>577</v>
      </c>
      <c r="H535" s="21"/>
      <c r="I535" s="22">
        <v>0.0</v>
      </c>
      <c r="J535" s="29"/>
      <c r="K535" s="43">
        <f>104000*1.19</f>
        <v>123760</v>
      </c>
      <c r="L535" s="44">
        <v>155000.0</v>
      </c>
      <c r="M535" s="25"/>
      <c r="N535" s="39"/>
      <c r="O535" s="27">
        <f t="shared" si="62"/>
        <v>0.2524240465</v>
      </c>
      <c r="P535" s="28"/>
    </row>
    <row r="536" hidden="1">
      <c r="A536" s="16" t="s">
        <v>855</v>
      </c>
      <c r="B536" s="51" t="s">
        <v>856</v>
      </c>
      <c r="C536" s="18"/>
      <c r="D536" s="4"/>
      <c r="E536" s="19"/>
      <c r="F536" s="19">
        <v>0.0</v>
      </c>
      <c r="G536" s="20" t="s">
        <v>93</v>
      </c>
      <c r="H536" s="21"/>
      <c r="I536" s="22"/>
      <c r="J536" s="29"/>
      <c r="K536" s="32">
        <v>87160.0</v>
      </c>
      <c r="L536" s="24">
        <v>109000.0</v>
      </c>
      <c r="M536" s="25"/>
      <c r="N536" s="57"/>
      <c r="O536" s="27">
        <f t="shared" si="62"/>
        <v>0.2505736576</v>
      </c>
      <c r="P536" s="28">
        <f t="shared" ref="P536:P562" si="66">K536*F536</f>
        <v>0</v>
      </c>
    </row>
    <row r="537" hidden="1">
      <c r="A537" s="59" t="s">
        <v>857</v>
      </c>
      <c r="B537" s="97" t="s">
        <v>858</v>
      </c>
      <c r="C537" s="18" t="s">
        <v>859</v>
      </c>
      <c r="D537" s="98"/>
      <c r="E537" s="19">
        <v>0.0</v>
      </c>
      <c r="F537" s="19"/>
      <c r="G537" s="20" t="s">
        <v>485</v>
      </c>
      <c r="H537" s="21">
        <v>1.0</v>
      </c>
      <c r="I537" s="22"/>
      <c r="J537" s="45"/>
      <c r="K537" s="60">
        <v>77469.0</v>
      </c>
      <c r="L537" s="101">
        <v>105000.0</v>
      </c>
      <c r="M537" s="25"/>
      <c r="N537" s="102">
        <v>88000.0</v>
      </c>
      <c r="O537" s="27">
        <f t="shared" si="62"/>
        <v>0.355380862</v>
      </c>
      <c r="P537" s="28">
        <f t="shared" si="66"/>
        <v>0</v>
      </c>
    </row>
    <row r="538" hidden="1">
      <c r="A538" s="59" t="s">
        <v>860</v>
      </c>
      <c r="B538" s="97" t="s">
        <v>861</v>
      </c>
      <c r="C538" s="18" t="s">
        <v>862</v>
      </c>
      <c r="D538" s="98"/>
      <c r="E538" s="19">
        <v>0.0</v>
      </c>
      <c r="F538" s="19"/>
      <c r="G538" s="16" t="s">
        <v>485</v>
      </c>
      <c r="H538" s="21">
        <v>0.0</v>
      </c>
      <c r="I538" s="22"/>
      <c r="J538" s="45"/>
      <c r="K538" s="60">
        <v>77469.0</v>
      </c>
      <c r="L538" s="101">
        <v>105000.0</v>
      </c>
      <c r="M538" s="25"/>
      <c r="N538" s="102">
        <v>88000.0</v>
      </c>
      <c r="O538" s="27">
        <f t="shared" si="62"/>
        <v>0.355380862</v>
      </c>
      <c r="P538" s="28">
        <f t="shared" si="66"/>
        <v>0</v>
      </c>
    </row>
    <row r="539" ht="27.0" hidden="1" customHeight="1">
      <c r="A539" s="59" t="s">
        <v>863</v>
      </c>
      <c r="B539" s="97" t="s">
        <v>864</v>
      </c>
      <c r="C539" s="18"/>
      <c r="D539" s="98"/>
      <c r="E539" s="19">
        <v>0.0</v>
      </c>
      <c r="F539" s="19"/>
      <c r="G539" s="16" t="s">
        <v>485</v>
      </c>
      <c r="H539" s="21">
        <v>0.0</v>
      </c>
      <c r="I539" s="22"/>
      <c r="J539" s="45"/>
      <c r="K539" s="60">
        <v>77469.0</v>
      </c>
      <c r="L539" s="101">
        <v>105000.0</v>
      </c>
      <c r="M539" s="25"/>
      <c r="N539" s="102">
        <v>88000.0</v>
      </c>
      <c r="O539" s="27">
        <f t="shared" si="62"/>
        <v>0.355380862</v>
      </c>
      <c r="P539" s="28">
        <f t="shared" si="66"/>
        <v>0</v>
      </c>
    </row>
    <row r="540" ht="27.0" hidden="1" customHeight="1">
      <c r="A540" s="59" t="s">
        <v>865</v>
      </c>
      <c r="B540" s="97" t="s">
        <v>866</v>
      </c>
      <c r="C540" s="18" t="s">
        <v>862</v>
      </c>
      <c r="D540" s="98"/>
      <c r="E540" s="19">
        <v>0.0</v>
      </c>
      <c r="F540" s="19"/>
      <c r="G540" s="16" t="s">
        <v>485</v>
      </c>
      <c r="H540" s="21">
        <v>2.0</v>
      </c>
      <c r="I540" s="22"/>
      <c r="J540" s="45" t="s">
        <v>867</v>
      </c>
      <c r="K540" s="60">
        <v>77469.0</v>
      </c>
      <c r="L540" s="101">
        <v>105000.0</v>
      </c>
      <c r="M540" s="25"/>
      <c r="N540" s="102">
        <v>88000.0</v>
      </c>
      <c r="O540" s="27">
        <f t="shared" si="62"/>
        <v>0.355380862</v>
      </c>
      <c r="P540" s="28">
        <f t="shared" si="66"/>
        <v>0</v>
      </c>
    </row>
    <row r="541" ht="27.0" hidden="1" customHeight="1">
      <c r="A541" s="59" t="s">
        <v>868</v>
      </c>
      <c r="B541" s="97" t="s">
        <v>869</v>
      </c>
      <c r="C541" s="18" t="s">
        <v>862</v>
      </c>
      <c r="D541" s="98"/>
      <c r="E541" s="19">
        <v>0.0</v>
      </c>
      <c r="F541" s="19"/>
      <c r="G541" s="16" t="s">
        <v>485</v>
      </c>
      <c r="H541" s="21">
        <v>0.0</v>
      </c>
      <c r="I541" s="22"/>
      <c r="J541" s="45" t="s">
        <v>867</v>
      </c>
      <c r="K541" s="60">
        <v>77469.0</v>
      </c>
      <c r="L541" s="101">
        <v>105000.0</v>
      </c>
      <c r="M541" s="25"/>
      <c r="N541" s="102">
        <v>88000.0</v>
      </c>
      <c r="O541" s="27">
        <f t="shared" si="62"/>
        <v>0.355380862</v>
      </c>
      <c r="P541" s="28">
        <f t="shared" si="66"/>
        <v>0</v>
      </c>
    </row>
    <row r="542" ht="27.0" hidden="1" customHeight="1">
      <c r="A542" s="59" t="s">
        <v>870</v>
      </c>
      <c r="B542" s="97" t="s">
        <v>871</v>
      </c>
      <c r="C542" s="18" t="s">
        <v>862</v>
      </c>
      <c r="D542" s="98"/>
      <c r="E542" s="19">
        <v>0.0</v>
      </c>
      <c r="F542" s="19"/>
      <c r="G542" s="16" t="s">
        <v>485</v>
      </c>
      <c r="H542" s="21">
        <v>1.0</v>
      </c>
      <c r="I542" s="22"/>
      <c r="J542" s="45" t="s">
        <v>867</v>
      </c>
      <c r="K542" s="60">
        <v>77469.0</v>
      </c>
      <c r="L542" s="101">
        <v>105000.0</v>
      </c>
      <c r="M542" s="25"/>
      <c r="N542" s="102">
        <v>88000.0</v>
      </c>
      <c r="O542" s="27">
        <f t="shared" si="62"/>
        <v>0.355380862</v>
      </c>
      <c r="P542" s="28">
        <f t="shared" si="66"/>
        <v>0</v>
      </c>
    </row>
    <row r="543" ht="27.0" hidden="1" customHeight="1">
      <c r="A543" s="59" t="s">
        <v>872</v>
      </c>
      <c r="B543" s="97" t="s">
        <v>873</v>
      </c>
      <c r="C543" s="18" t="s">
        <v>874</v>
      </c>
      <c r="D543" s="98"/>
      <c r="E543" s="19">
        <v>0.0</v>
      </c>
      <c r="F543" s="19"/>
      <c r="G543" s="16" t="s">
        <v>485</v>
      </c>
      <c r="H543" s="21">
        <v>1.0</v>
      </c>
      <c r="I543" s="22"/>
      <c r="J543" s="45"/>
      <c r="K543" s="60">
        <v>77469.0</v>
      </c>
      <c r="L543" s="101">
        <v>105000.0</v>
      </c>
      <c r="M543" s="25"/>
      <c r="N543" s="102">
        <v>88000.0</v>
      </c>
      <c r="O543" s="27">
        <f t="shared" si="62"/>
        <v>0.355380862</v>
      </c>
      <c r="P543" s="28">
        <f t="shared" si="66"/>
        <v>0</v>
      </c>
    </row>
    <row r="544" ht="27.0" hidden="1" customHeight="1">
      <c r="A544" s="59" t="s">
        <v>875</v>
      </c>
      <c r="B544" s="97" t="s">
        <v>876</v>
      </c>
      <c r="C544" s="18"/>
      <c r="D544" s="98"/>
      <c r="E544" s="19">
        <v>0.0</v>
      </c>
      <c r="F544" s="19"/>
      <c r="G544" s="20" t="s">
        <v>485</v>
      </c>
      <c r="H544" s="21">
        <v>1.0</v>
      </c>
      <c r="I544" s="22"/>
      <c r="J544" s="45"/>
      <c r="K544" s="60">
        <v>77469.0</v>
      </c>
      <c r="L544" s="101">
        <v>105000.0</v>
      </c>
      <c r="M544" s="25"/>
      <c r="N544" s="102">
        <v>88000.0</v>
      </c>
      <c r="O544" s="27">
        <f t="shared" si="62"/>
        <v>0.355380862</v>
      </c>
      <c r="P544" s="28">
        <f t="shared" si="66"/>
        <v>0</v>
      </c>
    </row>
    <row r="545" ht="27.0" hidden="1" customHeight="1">
      <c r="A545" s="59" t="s">
        <v>877</v>
      </c>
      <c r="B545" s="97" t="s">
        <v>878</v>
      </c>
      <c r="C545" s="18" t="s">
        <v>879</v>
      </c>
      <c r="D545" s="98"/>
      <c r="E545" s="19">
        <v>0.0</v>
      </c>
      <c r="F545" s="19"/>
      <c r="G545" s="16" t="s">
        <v>485</v>
      </c>
      <c r="H545" s="21">
        <v>3.0</v>
      </c>
      <c r="I545" s="22"/>
      <c r="J545" s="45"/>
      <c r="K545" s="60">
        <v>77469.0</v>
      </c>
      <c r="L545" s="101">
        <v>105000.0</v>
      </c>
      <c r="M545" s="25"/>
      <c r="N545" s="102">
        <v>88000.0</v>
      </c>
      <c r="O545" s="27">
        <f t="shared" si="62"/>
        <v>0.355380862</v>
      </c>
      <c r="P545" s="28">
        <f t="shared" si="66"/>
        <v>0</v>
      </c>
    </row>
    <row r="546" ht="27.0" hidden="1" customHeight="1">
      <c r="A546" s="59" t="s">
        <v>880</v>
      </c>
      <c r="B546" s="97" t="s">
        <v>881</v>
      </c>
      <c r="C546" s="18" t="s">
        <v>859</v>
      </c>
      <c r="D546" s="98"/>
      <c r="E546" s="19">
        <v>0.0</v>
      </c>
      <c r="F546" s="19"/>
      <c r="G546" s="20" t="s">
        <v>485</v>
      </c>
      <c r="H546" s="21">
        <v>1.0</v>
      </c>
      <c r="I546" s="22"/>
      <c r="J546" s="45"/>
      <c r="K546" s="60">
        <v>77469.0</v>
      </c>
      <c r="L546" s="101">
        <v>105000.0</v>
      </c>
      <c r="M546" s="25"/>
      <c r="N546" s="102">
        <v>88000.0</v>
      </c>
      <c r="O546" s="27">
        <f t="shared" si="62"/>
        <v>0.355380862</v>
      </c>
      <c r="P546" s="28">
        <f t="shared" si="66"/>
        <v>0</v>
      </c>
    </row>
    <row r="547" ht="27.0" hidden="1" customHeight="1">
      <c r="A547" s="52" t="s">
        <v>882</v>
      </c>
      <c r="B547" s="17"/>
      <c r="C547" s="18"/>
      <c r="D547" s="4"/>
      <c r="E547" s="19">
        <v>0.0</v>
      </c>
      <c r="F547" s="19">
        <v>0.0</v>
      </c>
      <c r="G547" s="16" t="s">
        <v>883</v>
      </c>
      <c r="H547" s="21"/>
      <c r="I547" s="22">
        <v>0.0</v>
      </c>
      <c r="J547" s="29"/>
      <c r="K547" s="43">
        <v>2950.0</v>
      </c>
      <c r="L547" s="44">
        <v>6000.0</v>
      </c>
      <c r="M547" s="25"/>
      <c r="N547" s="39"/>
      <c r="O547" s="27">
        <f t="shared" si="62"/>
        <v>1.033898305</v>
      </c>
      <c r="P547" s="28">
        <f t="shared" si="66"/>
        <v>0</v>
      </c>
    </row>
    <row r="548" hidden="1">
      <c r="A548" s="40" t="s">
        <v>884</v>
      </c>
      <c r="B548" s="49"/>
      <c r="C548" s="18"/>
      <c r="D548" s="4"/>
      <c r="E548" s="19"/>
      <c r="F548" s="19"/>
      <c r="G548" s="40" t="s">
        <v>375</v>
      </c>
      <c r="H548" s="21">
        <v>0.0</v>
      </c>
      <c r="I548" s="22"/>
      <c r="J548" s="29"/>
      <c r="K548" s="43">
        <v>100.0</v>
      </c>
      <c r="L548" s="44">
        <v>1000.0</v>
      </c>
      <c r="M548" s="25">
        <v>1.19</v>
      </c>
      <c r="N548" s="39"/>
      <c r="O548" s="27">
        <f t="shared" si="62"/>
        <v>9</v>
      </c>
      <c r="P548" s="28">
        <f t="shared" si="66"/>
        <v>0</v>
      </c>
    </row>
    <row r="549" hidden="1">
      <c r="A549" s="118" t="s">
        <v>885</v>
      </c>
      <c r="B549" s="17"/>
      <c r="C549" s="18"/>
      <c r="D549" s="67"/>
      <c r="E549" s="19">
        <v>0.0</v>
      </c>
      <c r="F549" s="19"/>
      <c r="G549" s="20" t="s">
        <v>886</v>
      </c>
      <c r="H549" s="21"/>
      <c r="I549" s="22"/>
      <c r="J549" s="29"/>
      <c r="K549" s="32">
        <v>2400.0</v>
      </c>
      <c r="L549" s="24">
        <v>3500.0</v>
      </c>
      <c r="M549" s="25"/>
      <c r="N549" s="39"/>
      <c r="O549" s="27">
        <f t="shared" si="62"/>
        <v>0.4583333333</v>
      </c>
      <c r="P549" s="28">
        <f t="shared" si="66"/>
        <v>0</v>
      </c>
    </row>
    <row r="550" hidden="1">
      <c r="A550" s="118" t="s">
        <v>887</v>
      </c>
      <c r="B550" s="36" t="s">
        <v>888</v>
      </c>
      <c r="C550" s="18"/>
      <c r="D550" s="67"/>
      <c r="E550" s="19">
        <v>0.0</v>
      </c>
      <c r="F550" s="19">
        <v>0.0</v>
      </c>
      <c r="G550" s="16" t="s">
        <v>889</v>
      </c>
      <c r="H550" s="21"/>
      <c r="I550" s="22">
        <v>0.0</v>
      </c>
      <c r="J550" s="29"/>
      <c r="K550" s="48">
        <v>21385.0</v>
      </c>
      <c r="L550" s="24">
        <v>28000.0</v>
      </c>
      <c r="M550" s="25"/>
      <c r="N550" s="26"/>
      <c r="O550" s="27">
        <f t="shared" si="62"/>
        <v>0.3093289689</v>
      </c>
      <c r="P550" s="28">
        <f t="shared" si="66"/>
        <v>0</v>
      </c>
    </row>
    <row r="551" hidden="1">
      <c r="A551" s="176" t="s">
        <v>890</v>
      </c>
      <c r="B551" s="36" t="s">
        <v>891</v>
      </c>
      <c r="C551" s="18"/>
      <c r="D551" s="4"/>
      <c r="E551" s="19">
        <v>0.0</v>
      </c>
      <c r="F551" s="19">
        <v>0.0</v>
      </c>
      <c r="G551" s="16" t="s">
        <v>70</v>
      </c>
      <c r="H551" s="21"/>
      <c r="I551" s="22"/>
      <c r="J551" s="29"/>
      <c r="K551" s="32">
        <f>29000*0.8*1.19</f>
        <v>27608</v>
      </c>
      <c r="L551" s="24">
        <v>36000.0</v>
      </c>
      <c r="M551" s="25"/>
      <c r="N551" s="39"/>
      <c r="O551" s="27">
        <f t="shared" si="62"/>
        <v>0.3039698638</v>
      </c>
      <c r="P551" s="28">
        <f t="shared" si="66"/>
        <v>0</v>
      </c>
    </row>
    <row r="552" hidden="1">
      <c r="A552" s="16" t="s">
        <v>892</v>
      </c>
      <c r="B552" s="36"/>
      <c r="C552" s="68"/>
      <c r="D552" s="4"/>
      <c r="E552" s="19">
        <v>0.0</v>
      </c>
      <c r="F552" s="19">
        <v>0.0</v>
      </c>
      <c r="G552" s="20" t="s">
        <v>78</v>
      </c>
      <c r="H552" s="21">
        <v>2.0</v>
      </c>
      <c r="I552" s="22">
        <v>5.0</v>
      </c>
      <c r="J552" s="45"/>
      <c r="K552" s="46">
        <v>11455.0</v>
      </c>
      <c r="L552" s="24">
        <v>28000.0</v>
      </c>
      <c r="M552" s="25" t="s">
        <v>76</v>
      </c>
      <c r="N552" s="39"/>
      <c r="O552" s="27">
        <f t="shared" si="62"/>
        <v>1.444347447</v>
      </c>
      <c r="P552" s="28">
        <f t="shared" si="66"/>
        <v>0</v>
      </c>
    </row>
    <row r="553" hidden="1">
      <c r="A553" s="52" t="s">
        <v>893</v>
      </c>
      <c r="B553" s="36"/>
      <c r="C553" s="18"/>
      <c r="D553" s="19"/>
      <c r="E553" s="19"/>
      <c r="F553" s="19"/>
      <c r="G553" s="16" t="s">
        <v>88</v>
      </c>
      <c r="H553" s="21"/>
      <c r="I553" s="22">
        <v>0.0</v>
      </c>
      <c r="J553" s="29"/>
      <c r="K553" s="32">
        <v>9063.0</v>
      </c>
      <c r="L553" s="24">
        <v>14000.0</v>
      </c>
      <c r="M553" s="25"/>
      <c r="N553" s="39"/>
      <c r="O553" s="27">
        <f t="shared" si="62"/>
        <v>0.544742359</v>
      </c>
      <c r="P553" s="28">
        <f t="shared" si="66"/>
        <v>0</v>
      </c>
    </row>
    <row r="554" hidden="1">
      <c r="A554" s="52" t="s">
        <v>894</v>
      </c>
      <c r="B554" s="36"/>
      <c r="C554" s="18"/>
      <c r="D554" s="4"/>
      <c r="E554" s="19"/>
      <c r="F554" s="19"/>
      <c r="G554" s="16" t="s">
        <v>88</v>
      </c>
      <c r="H554" s="21"/>
      <c r="I554" s="22">
        <v>19.0</v>
      </c>
      <c r="J554" s="29"/>
      <c r="K554" s="32">
        <v>19585.0</v>
      </c>
      <c r="L554" s="24">
        <v>28000.0</v>
      </c>
      <c r="M554" s="25"/>
      <c r="N554" s="39"/>
      <c r="O554" s="27">
        <f t="shared" si="62"/>
        <v>0.4296655604</v>
      </c>
      <c r="P554" s="28">
        <f t="shared" si="66"/>
        <v>0</v>
      </c>
    </row>
    <row r="555" hidden="1">
      <c r="A555" s="52" t="s">
        <v>895</v>
      </c>
      <c r="B555" s="36"/>
      <c r="C555" s="18"/>
      <c r="D555" s="4"/>
      <c r="E555" s="19">
        <v>0.0</v>
      </c>
      <c r="F555" s="19">
        <v>0.0</v>
      </c>
      <c r="G555" s="20" t="s">
        <v>613</v>
      </c>
      <c r="H555" s="21"/>
      <c r="I555" s="22">
        <v>15.0</v>
      </c>
      <c r="J555" s="29"/>
      <c r="K555" s="32">
        <v>12285.0</v>
      </c>
      <c r="L555" s="32">
        <v>17000.0</v>
      </c>
      <c r="M555" s="25"/>
      <c r="N555" s="26"/>
      <c r="O555" s="27">
        <f t="shared" si="62"/>
        <v>0.3838013838</v>
      </c>
      <c r="P555" s="28">
        <f t="shared" si="66"/>
        <v>0</v>
      </c>
    </row>
    <row r="556" hidden="1">
      <c r="A556" s="52" t="s">
        <v>896</v>
      </c>
      <c r="B556" s="36"/>
      <c r="C556" s="18"/>
      <c r="D556" s="4"/>
      <c r="E556" s="19">
        <v>0.0</v>
      </c>
      <c r="F556" s="19">
        <v>0.0</v>
      </c>
      <c r="G556" s="20" t="s">
        <v>377</v>
      </c>
      <c r="H556" s="21"/>
      <c r="I556" s="22">
        <v>7.0</v>
      </c>
      <c r="J556" s="23"/>
      <c r="K556" s="24">
        <v>16000.0</v>
      </c>
      <c r="L556" s="24">
        <v>28000.0</v>
      </c>
      <c r="M556" s="25"/>
      <c r="N556" s="70"/>
      <c r="O556" s="27">
        <f t="shared" si="62"/>
        <v>0.75</v>
      </c>
      <c r="P556" s="28">
        <f t="shared" si="66"/>
        <v>0</v>
      </c>
    </row>
    <row r="557" hidden="1">
      <c r="A557" s="52" t="s">
        <v>897</v>
      </c>
      <c r="B557" s="36"/>
      <c r="C557" s="18"/>
      <c r="D557" s="4"/>
      <c r="E557" s="19">
        <v>0.0</v>
      </c>
      <c r="F557" s="19">
        <v>10.0</v>
      </c>
      <c r="G557" s="20" t="s">
        <v>377</v>
      </c>
      <c r="H557" s="21"/>
      <c r="I557" s="22">
        <v>40.0</v>
      </c>
      <c r="J557" s="47">
        <v>46569.0</v>
      </c>
      <c r="K557" s="43">
        <v>6000.0</v>
      </c>
      <c r="L557" s="44">
        <v>10000.0</v>
      </c>
      <c r="M557" s="25"/>
      <c r="N557" s="26"/>
      <c r="O557" s="27">
        <f t="shared" si="62"/>
        <v>0.6666666667</v>
      </c>
      <c r="P557" s="28">
        <f t="shared" si="66"/>
        <v>60000</v>
      </c>
    </row>
    <row r="558" hidden="1">
      <c r="A558" s="16" t="s">
        <v>898</v>
      </c>
      <c r="B558" s="49"/>
      <c r="C558" s="18"/>
      <c r="D558" s="4"/>
      <c r="E558" s="19"/>
      <c r="F558" s="19"/>
      <c r="G558" s="16" t="s">
        <v>88</v>
      </c>
      <c r="H558" s="21"/>
      <c r="I558" s="22">
        <v>3.0</v>
      </c>
      <c r="J558" s="22" t="s">
        <v>899</v>
      </c>
      <c r="K558" s="43">
        <f>17786*1.19</f>
        <v>21165.34</v>
      </c>
      <c r="L558" s="44">
        <v>34000.0</v>
      </c>
      <c r="M558" s="25"/>
      <c r="N558" s="39"/>
      <c r="O558" s="27">
        <f t="shared" si="62"/>
        <v>0.6063998972</v>
      </c>
      <c r="P558" s="28">
        <f t="shared" si="66"/>
        <v>0</v>
      </c>
    </row>
    <row r="559" hidden="1">
      <c r="A559" s="16" t="s">
        <v>900</v>
      </c>
      <c r="B559" s="36"/>
      <c r="C559" s="18"/>
      <c r="D559" s="4"/>
      <c r="E559" s="19">
        <v>0.0</v>
      </c>
      <c r="F559" s="19"/>
      <c r="G559" s="16" t="s">
        <v>39</v>
      </c>
      <c r="H559" s="21"/>
      <c r="I559" s="22"/>
      <c r="J559" s="29"/>
      <c r="K559" s="43">
        <v>4000.0</v>
      </c>
      <c r="L559" s="44">
        <v>7000.0</v>
      </c>
      <c r="M559" s="25"/>
      <c r="N559" s="39"/>
      <c r="O559" s="27">
        <f t="shared" si="62"/>
        <v>0.75</v>
      </c>
      <c r="P559" s="28">
        <f t="shared" si="66"/>
        <v>0</v>
      </c>
    </row>
    <row r="560" hidden="1">
      <c r="A560" s="52" t="s">
        <v>901</v>
      </c>
      <c r="B560" s="36" t="s">
        <v>902</v>
      </c>
      <c r="C560" s="18" t="s">
        <v>903</v>
      </c>
      <c r="D560" s="67">
        <f>29000*0.95</f>
        <v>27550</v>
      </c>
      <c r="E560" s="19">
        <v>2.0</v>
      </c>
      <c r="F560" s="19"/>
      <c r="G560" s="20" t="s">
        <v>60</v>
      </c>
      <c r="H560" s="21"/>
      <c r="I560" s="22"/>
      <c r="J560" s="47">
        <v>46508.0</v>
      </c>
      <c r="K560" s="48">
        <v>29000.0</v>
      </c>
      <c r="L560" s="55">
        <v>38000.0</v>
      </c>
      <c r="M560" s="25" t="s">
        <v>76</v>
      </c>
      <c r="N560" s="26"/>
      <c r="O560" s="27">
        <f t="shared" si="62"/>
        <v>0.3103448276</v>
      </c>
      <c r="P560" s="28">
        <f t="shared" si="66"/>
        <v>0</v>
      </c>
    </row>
    <row r="561" hidden="1">
      <c r="A561" s="177" t="s">
        <v>904</v>
      </c>
      <c r="B561" s="36" t="s">
        <v>905</v>
      </c>
      <c r="C561" s="68"/>
      <c r="D561" s="4"/>
      <c r="E561" s="19">
        <v>5.0</v>
      </c>
      <c r="F561" s="19">
        <v>0.0</v>
      </c>
      <c r="G561" s="20" t="s">
        <v>78</v>
      </c>
      <c r="H561" s="21">
        <v>0.0</v>
      </c>
      <c r="I561" s="22">
        <v>5.0</v>
      </c>
      <c r="J561" s="23"/>
      <c r="K561" s="55">
        <v>21488.0</v>
      </c>
      <c r="L561" s="55">
        <v>34000.0</v>
      </c>
      <c r="M561" s="25"/>
      <c r="N561" s="102">
        <v>28000.0</v>
      </c>
      <c r="O561" s="27">
        <f t="shared" si="62"/>
        <v>0.582278481</v>
      </c>
      <c r="P561" s="28">
        <f t="shared" si="66"/>
        <v>0</v>
      </c>
    </row>
    <row r="562" hidden="1">
      <c r="A562" s="16" t="s">
        <v>906</v>
      </c>
      <c r="B562" s="49"/>
      <c r="C562" s="18"/>
      <c r="D562" s="4"/>
      <c r="E562" s="19"/>
      <c r="F562" s="19"/>
      <c r="G562" s="16" t="s">
        <v>375</v>
      </c>
      <c r="H562" s="21">
        <v>0.0</v>
      </c>
      <c r="I562" s="22"/>
      <c r="J562" s="29"/>
      <c r="K562" s="48">
        <v>6700.0</v>
      </c>
      <c r="L562" s="48">
        <v>9000.0</v>
      </c>
      <c r="M562" s="25" t="s">
        <v>76</v>
      </c>
      <c r="N562" s="102">
        <v>8000.0</v>
      </c>
      <c r="O562" s="27">
        <f t="shared" si="62"/>
        <v>0.3432835821</v>
      </c>
      <c r="P562" s="28">
        <f t="shared" si="66"/>
        <v>0</v>
      </c>
    </row>
    <row r="563" hidden="1">
      <c r="A563" s="16" t="s">
        <v>907</v>
      </c>
      <c r="B563" s="17" t="s">
        <v>908</v>
      </c>
      <c r="C563" s="38"/>
      <c r="D563" s="4"/>
      <c r="E563" s="19">
        <v>0.0</v>
      </c>
      <c r="F563" s="62">
        <v>0.0</v>
      </c>
      <c r="G563" s="16" t="s">
        <v>909</v>
      </c>
      <c r="H563" s="21"/>
      <c r="I563" s="22"/>
      <c r="J563" s="29"/>
      <c r="K563" s="48">
        <v>14280.0</v>
      </c>
      <c r="L563" s="60">
        <v>18000.0</v>
      </c>
      <c r="M563" s="25"/>
      <c r="N563" s="26"/>
      <c r="O563" s="27">
        <f t="shared" si="62"/>
        <v>0.2605042017</v>
      </c>
      <c r="P563" s="28"/>
    </row>
    <row r="564" hidden="1">
      <c r="A564" s="16" t="s">
        <v>910</v>
      </c>
      <c r="B564" s="17"/>
      <c r="C564" s="18"/>
      <c r="D564" s="4"/>
      <c r="E564" s="19">
        <v>0.0</v>
      </c>
      <c r="F564" s="19">
        <v>0.0</v>
      </c>
      <c r="G564" s="20" t="s">
        <v>911</v>
      </c>
      <c r="H564" s="21"/>
      <c r="I564" s="22"/>
      <c r="J564" s="29"/>
      <c r="K564" s="32">
        <v>1200.0</v>
      </c>
      <c r="L564" s="24">
        <v>2500.0</v>
      </c>
      <c r="M564" s="25"/>
      <c r="N564" s="39"/>
      <c r="O564" s="27">
        <f t="shared" si="62"/>
        <v>1.083333333</v>
      </c>
      <c r="P564" s="28">
        <f t="shared" ref="P564:P566" si="67">K564*F564</f>
        <v>0</v>
      </c>
    </row>
    <row r="565" hidden="1">
      <c r="A565" s="16" t="s">
        <v>912</v>
      </c>
      <c r="B565" s="17"/>
      <c r="C565" s="18"/>
      <c r="D565" s="4"/>
      <c r="E565" s="19">
        <v>0.0</v>
      </c>
      <c r="F565" s="19">
        <v>0.0</v>
      </c>
      <c r="G565" s="20" t="s">
        <v>911</v>
      </c>
      <c r="H565" s="21"/>
      <c r="I565" s="22"/>
      <c r="J565" s="29"/>
      <c r="K565" s="32">
        <v>1200.0</v>
      </c>
      <c r="L565" s="24">
        <v>3000.0</v>
      </c>
      <c r="M565" s="25"/>
      <c r="N565" s="39"/>
      <c r="O565" s="27">
        <f t="shared" si="62"/>
        <v>1.5</v>
      </c>
      <c r="P565" s="28">
        <f t="shared" si="67"/>
        <v>0</v>
      </c>
    </row>
    <row r="566" hidden="1">
      <c r="A566" s="122" t="s">
        <v>913</v>
      </c>
      <c r="B566" s="17">
        <v>242014.0</v>
      </c>
      <c r="C566" s="18"/>
      <c r="D566" s="4"/>
      <c r="E566" s="19">
        <v>0.0</v>
      </c>
      <c r="F566" s="19">
        <v>0.0</v>
      </c>
      <c r="G566" s="16" t="s">
        <v>914</v>
      </c>
      <c r="H566" s="73"/>
      <c r="I566" s="22">
        <v>200.0</v>
      </c>
      <c r="J566" s="74"/>
      <c r="K566" s="75">
        <v>600.0</v>
      </c>
      <c r="L566" s="44">
        <v>2500.0</v>
      </c>
      <c r="M566" s="25"/>
      <c r="N566" s="39"/>
      <c r="O566" s="27">
        <f t="shared" si="62"/>
        <v>3.166666667</v>
      </c>
      <c r="P566" s="28">
        <f t="shared" si="67"/>
        <v>0</v>
      </c>
    </row>
    <row r="567" hidden="1">
      <c r="A567" s="52" t="s">
        <v>915</v>
      </c>
      <c r="B567" s="17"/>
      <c r="C567" s="18"/>
      <c r="D567" s="4"/>
      <c r="E567" s="19">
        <v>0.0</v>
      </c>
      <c r="F567" s="19">
        <v>0.0</v>
      </c>
      <c r="G567" s="16" t="s">
        <v>400</v>
      </c>
      <c r="H567" s="21"/>
      <c r="I567" s="22"/>
      <c r="J567" s="29"/>
      <c r="K567" s="32">
        <v>21850.0</v>
      </c>
      <c r="L567" s="24">
        <v>70000.0</v>
      </c>
      <c r="M567" s="25"/>
      <c r="N567" s="102"/>
      <c r="O567" s="27"/>
      <c r="P567" s="28"/>
    </row>
    <row r="568" hidden="1">
      <c r="A568" s="122" t="s">
        <v>916</v>
      </c>
      <c r="B568" s="17">
        <v>241052.0</v>
      </c>
      <c r="C568" s="18"/>
      <c r="D568" s="4"/>
      <c r="E568" s="19">
        <v>0.0</v>
      </c>
      <c r="F568" s="19">
        <v>0.0</v>
      </c>
      <c r="G568" s="16" t="s">
        <v>425</v>
      </c>
      <c r="H568" s="21"/>
      <c r="I568" s="22"/>
      <c r="J568" s="29"/>
      <c r="K568" s="43">
        <f>8401*1.19</f>
        <v>9997.19</v>
      </c>
      <c r="L568" s="43">
        <v>14000.0</v>
      </c>
      <c r="M568" s="25"/>
      <c r="N568" s="39"/>
      <c r="O568" s="27">
        <f t="shared" ref="O568:O613" si="68">(L568/K568)-1</f>
        <v>0.4003935106</v>
      </c>
      <c r="P568" s="28">
        <f t="shared" ref="P568:P572" si="69">K568*F568</f>
        <v>0</v>
      </c>
    </row>
    <row r="569" hidden="1">
      <c r="A569" s="52" t="s">
        <v>917</v>
      </c>
      <c r="B569" s="17"/>
      <c r="C569" s="18"/>
      <c r="D569" s="4"/>
      <c r="E569" s="19">
        <v>0.0</v>
      </c>
      <c r="F569" s="19">
        <v>0.0</v>
      </c>
      <c r="G569" s="16" t="s">
        <v>918</v>
      </c>
      <c r="H569" s="21"/>
      <c r="I569" s="22">
        <f>22+150</f>
        <v>172</v>
      </c>
      <c r="J569" s="29"/>
      <c r="K569" s="32">
        <v>3000.0</v>
      </c>
      <c r="L569" s="24">
        <v>8000.0</v>
      </c>
      <c r="M569" s="25"/>
      <c r="N569" s="102">
        <v>6000.0</v>
      </c>
      <c r="O569" s="27">
        <f t="shared" si="68"/>
        <v>1.666666667</v>
      </c>
      <c r="P569" s="28">
        <f t="shared" si="69"/>
        <v>0</v>
      </c>
    </row>
    <row r="570" hidden="1">
      <c r="A570" s="122" t="s">
        <v>919</v>
      </c>
      <c r="B570" s="17">
        <v>241051.0</v>
      </c>
      <c r="C570" s="18"/>
      <c r="D570" s="4"/>
      <c r="E570" s="19">
        <v>0.0</v>
      </c>
      <c r="F570" s="19">
        <v>0.0</v>
      </c>
      <c r="G570" s="16" t="s">
        <v>425</v>
      </c>
      <c r="H570" s="21"/>
      <c r="I570" s="22"/>
      <c r="J570" s="29"/>
      <c r="K570" s="43">
        <f t="shared" ref="K570:K572" si="70">8401*1.19</f>
        <v>9997.19</v>
      </c>
      <c r="L570" s="43">
        <v>14000.0</v>
      </c>
      <c r="M570" s="25"/>
      <c r="N570" s="39"/>
      <c r="O570" s="27">
        <f t="shared" si="68"/>
        <v>0.4003935106</v>
      </c>
      <c r="P570" s="28">
        <f t="shared" si="69"/>
        <v>0</v>
      </c>
    </row>
    <row r="571" hidden="1">
      <c r="A571" s="122" t="s">
        <v>920</v>
      </c>
      <c r="B571" s="17">
        <v>241050.0</v>
      </c>
      <c r="C571" s="18"/>
      <c r="D571" s="4"/>
      <c r="E571" s="19">
        <v>0.0</v>
      </c>
      <c r="F571" s="19">
        <v>0.0</v>
      </c>
      <c r="G571" s="16" t="s">
        <v>425</v>
      </c>
      <c r="H571" s="21"/>
      <c r="I571" s="22"/>
      <c r="J571" s="29"/>
      <c r="K571" s="43">
        <f t="shared" si="70"/>
        <v>9997.19</v>
      </c>
      <c r="L571" s="43">
        <v>14000.0</v>
      </c>
      <c r="M571" s="25"/>
      <c r="N571" s="39"/>
      <c r="O571" s="27">
        <f t="shared" si="68"/>
        <v>0.4003935106</v>
      </c>
      <c r="P571" s="28">
        <f t="shared" si="69"/>
        <v>0</v>
      </c>
    </row>
    <row r="572" hidden="1">
      <c r="A572" s="122" t="s">
        <v>921</v>
      </c>
      <c r="B572" s="17">
        <v>241053.0</v>
      </c>
      <c r="C572" s="18"/>
      <c r="D572" s="4"/>
      <c r="E572" s="19">
        <v>0.0</v>
      </c>
      <c r="F572" s="19">
        <v>0.0</v>
      </c>
      <c r="G572" s="16" t="s">
        <v>425</v>
      </c>
      <c r="H572" s="21"/>
      <c r="I572" s="22"/>
      <c r="J572" s="29"/>
      <c r="K572" s="43">
        <f t="shared" si="70"/>
        <v>9997.19</v>
      </c>
      <c r="L572" s="43">
        <v>14000.0</v>
      </c>
      <c r="M572" s="25"/>
      <c r="N572" s="39"/>
      <c r="O572" s="27">
        <f t="shared" si="68"/>
        <v>0.4003935106</v>
      </c>
      <c r="P572" s="28">
        <f t="shared" si="69"/>
        <v>0</v>
      </c>
    </row>
    <row r="573" hidden="1">
      <c r="A573" s="176" t="s">
        <v>922</v>
      </c>
      <c r="B573" s="36" t="s">
        <v>923</v>
      </c>
      <c r="C573" s="18"/>
      <c r="D573" s="4"/>
      <c r="E573" s="19">
        <v>0.0</v>
      </c>
      <c r="F573" s="19">
        <v>0.0</v>
      </c>
      <c r="G573" s="16" t="s">
        <v>924</v>
      </c>
      <c r="H573" s="21"/>
      <c r="I573" s="22">
        <v>1.0</v>
      </c>
      <c r="J573" s="29"/>
      <c r="K573" s="32">
        <f>65000*0.8*1.19</f>
        <v>61880</v>
      </c>
      <c r="L573" s="24">
        <v>88000.0</v>
      </c>
      <c r="M573" s="25"/>
      <c r="N573" s="39"/>
      <c r="O573" s="27">
        <f t="shared" si="68"/>
        <v>0.4221073045</v>
      </c>
      <c r="P573" s="28"/>
    </row>
    <row r="574" hidden="1">
      <c r="A574" s="122" t="s">
        <v>925</v>
      </c>
      <c r="B574" s="17">
        <v>242012.0</v>
      </c>
      <c r="C574" s="18"/>
      <c r="D574" s="4"/>
      <c r="E574" s="19">
        <v>0.0</v>
      </c>
      <c r="F574" s="19">
        <v>0.0</v>
      </c>
      <c r="G574" s="16" t="s">
        <v>425</v>
      </c>
      <c r="H574" s="73"/>
      <c r="I574" s="22"/>
      <c r="J574" s="74"/>
      <c r="K574" s="75">
        <v>900.0</v>
      </c>
      <c r="L574" s="44">
        <v>1500.0</v>
      </c>
      <c r="M574" s="25"/>
      <c r="N574" s="39"/>
      <c r="O574" s="27">
        <f t="shared" si="68"/>
        <v>0.6666666667</v>
      </c>
      <c r="P574" s="28">
        <f t="shared" ref="P574:P613" si="71">K574*F574</f>
        <v>0</v>
      </c>
    </row>
    <row r="575" hidden="1">
      <c r="A575" s="122" t="s">
        <v>926</v>
      </c>
      <c r="B575" s="17">
        <v>242013.0</v>
      </c>
      <c r="C575" s="18"/>
      <c r="D575" s="4"/>
      <c r="E575" s="19">
        <v>0.0</v>
      </c>
      <c r="F575" s="19">
        <v>0.0</v>
      </c>
      <c r="G575" s="16" t="s">
        <v>425</v>
      </c>
      <c r="H575" s="21"/>
      <c r="I575" s="22"/>
      <c r="J575" s="29"/>
      <c r="K575" s="43">
        <f>1517*1.19</f>
        <v>1805.23</v>
      </c>
      <c r="L575" s="43">
        <v>3500.0</v>
      </c>
      <c r="M575" s="25"/>
      <c r="N575" s="39"/>
      <c r="O575" s="27">
        <f t="shared" si="68"/>
        <v>0.938811121</v>
      </c>
      <c r="P575" s="28">
        <f t="shared" si="71"/>
        <v>0</v>
      </c>
    </row>
    <row r="576" hidden="1">
      <c r="A576" s="122" t="s">
        <v>927</v>
      </c>
      <c r="B576" s="17">
        <v>241054.0</v>
      </c>
      <c r="C576" s="18"/>
      <c r="D576" s="4"/>
      <c r="E576" s="19">
        <v>0.0</v>
      </c>
      <c r="F576" s="19">
        <v>0.0</v>
      </c>
      <c r="G576" s="16" t="s">
        <v>425</v>
      </c>
      <c r="H576" s="73"/>
      <c r="I576" s="22"/>
      <c r="J576" s="74"/>
      <c r="K576" s="75">
        <f>7478*1.19</f>
        <v>8898.82</v>
      </c>
      <c r="L576" s="44">
        <f>K576*1.5</f>
        <v>13348.23</v>
      </c>
      <c r="M576" s="25"/>
      <c r="N576" s="39"/>
      <c r="O576" s="27">
        <f t="shared" si="68"/>
        <v>0.5</v>
      </c>
      <c r="P576" s="28">
        <f t="shared" si="71"/>
        <v>0</v>
      </c>
    </row>
    <row r="577" hidden="1">
      <c r="A577" s="122" t="s">
        <v>928</v>
      </c>
      <c r="B577" s="17">
        <v>242014.0</v>
      </c>
      <c r="C577" s="18" t="s">
        <v>929</v>
      </c>
      <c r="D577" s="4"/>
      <c r="E577" s="19">
        <v>0.0</v>
      </c>
      <c r="F577" s="19">
        <v>0.0</v>
      </c>
      <c r="G577" s="16" t="s">
        <v>425</v>
      </c>
      <c r="H577" s="73"/>
      <c r="I577" s="22"/>
      <c r="J577" s="74"/>
      <c r="K577" s="75">
        <v>500.0</v>
      </c>
      <c r="L577" s="44">
        <v>1000.0</v>
      </c>
      <c r="M577" s="25"/>
      <c r="N577" s="39"/>
      <c r="O577" s="27">
        <f t="shared" si="68"/>
        <v>1</v>
      </c>
      <c r="P577" s="28">
        <f t="shared" si="71"/>
        <v>0</v>
      </c>
    </row>
    <row r="578" hidden="1">
      <c r="A578" s="122" t="s">
        <v>930</v>
      </c>
      <c r="B578" s="17">
        <v>241055.0</v>
      </c>
      <c r="C578" s="18"/>
      <c r="D578" s="4"/>
      <c r="E578" s="19">
        <v>0.0</v>
      </c>
      <c r="F578" s="19">
        <v>0.0</v>
      </c>
      <c r="G578" s="16" t="s">
        <v>425</v>
      </c>
      <c r="H578" s="73"/>
      <c r="I578" s="22"/>
      <c r="J578" s="74"/>
      <c r="K578" s="75">
        <v>4000.0</v>
      </c>
      <c r="L578" s="44">
        <v>7000.0</v>
      </c>
      <c r="M578" s="25"/>
      <c r="N578" s="39"/>
      <c r="O578" s="27">
        <f t="shared" si="68"/>
        <v>0.75</v>
      </c>
      <c r="P578" s="28">
        <f t="shared" si="71"/>
        <v>0</v>
      </c>
    </row>
    <row r="579" hidden="1">
      <c r="A579" s="16" t="s">
        <v>931</v>
      </c>
      <c r="B579" s="51"/>
      <c r="C579" s="18"/>
      <c r="D579" s="4"/>
      <c r="E579" s="19">
        <v>0.0</v>
      </c>
      <c r="F579" s="19">
        <v>0.0</v>
      </c>
      <c r="G579" s="16" t="s">
        <v>932</v>
      </c>
      <c r="H579" s="21"/>
      <c r="I579" s="22">
        <v>5.0</v>
      </c>
      <c r="J579" s="29"/>
      <c r="K579" s="43">
        <f>27311*1.19/50</f>
        <v>650.0018</v>
      </c>
      <c r="L579" s="44">
        <v>2000.0</v>
      </c>
      <c r="M579" s="25"/>
      <c r="N579" s="39"/>
      <c r="O579" s="27">
        <f t="shared" si="68"/>
        <v>2.076914556</v>
      </c>
      <c r="P579" s="28">
        <f t="shared" si="71"/>
        <v>0</v>
      </c>
    </row>
    <row r="580" hidden="1">
      <c r="A580" s="16" t="s">
        <v>933</v>
      </c>
      <c r="B580" s="17"/>
      <c r="C580" s="18" t="s">
        <v>144</v>
      </c>
      <c r="D580" s="4">
        <f t="shared" ref="D580:D582" si="72">9874*1.19</f>
        <v>11750.06</v>
      </c>
      <c r="E580" s="19">
        <v>3.0</v>
      </c>
      <c r="F580" s="19">
        <v>0.0</v>
      </c>
      <c r="G580" s="20" t="s">
        <v>78</v>
      </c>
      <c r="H580" s="21">
        <v>3.0</v>
      </c>
      <c r="I580" s="22">
        <v>0.0</v>
      </c>
      <c r="J580" s="29"/>
      <c r="K580" s="48">
        <f t="shared" ref="K580:K588" si="73">10231*1.19</f>
        <v>12174.89</v>
      </c>
      <c r="L580" s="55">
        <v>16000.0</v>
      </c>
      <c r="M580" s="25"/>
      <c r="N580" s="39"/>
      <c r="O580" s="27">
        <f t="shared" si="68"/>
        <v>0.3141802513</v>
      </c>
      <c r="P580" s="28">
        <f t="shared" si="71"/>
        <v>0</v>
      </c>
    </row>
    <row r="581" hidden="1">
      <c r="A581" s="16" t="s">
        <v>934</v>
      </c>
      <c r="B581" s="17"/>
      <c r="C581" s="18" t="s">
        <v>144</v>
      </c>
      <c r="D581" s="4">
        <f t="shared" si="72"/>
        <v>11750.06</v>
      </c>
      <c r="E581" s="19">
        <v>1.0</v>
      </c>
      <c r="F581" s="77">
        <v>0.0</v>
      </c>
      <c r="G581" s="20" t="s">
        <v>78</v>
      </c>
      <c r="H581" s="21">
        <v>5.0</v>
      </c>
      <c r="I581" s="22">
        <v>0.0</v>
      </c>
      <c r="J581" s="29"/>
      <c r="K581" s="48">
        <f t="shared" si="73"/>
        <v>12174.89</v>
      </c>
      <c r="L581" s="55">
        <v>16000.0</v>
      </c>
      <c r="M581" s="25"/>
      <c r="N581" s="39"/>
      <c r="O581" s="27">
        <f t="shared" si="68"/>
        <v>0.3141802513</v>
      </c>
      <c r="P581" s="28">
        <f t="shared" si="71"/>
        <v>0</v>
      </c>
    </row>
    <row r="582" hidden="1">
      <c r="A582" s="16" t="s">
        <v>935</v>
      </c>
      <c r="B582" s="17"/>
      <c r="C582" s="18" t="s">
        <v>144</v>
      </c>
      <c r="D582" s="4">
        <f t="shared" si="72"/>
        <v>11750.06</v>
      </c>
      <c r="E582" s="19">
        <v>2.0</v>
      </c>
      <c r="F582" s="19">
        <v>0.0</v>
      </c>
      <c r="G582" s="20" t="s">
        <v>78</v>
      </c>
      <c r="H582" s="21">
        <v>4.0</v>
      </c>
      <c r="I582" s="22">
        <v>0.0</v>
      </c>
      <c r="J582" s="29"/>
      <c r="K582" s="48">
        <f t="shared" si="73"/>
        <v>12174.89</v>
      </c>
      <c r="L582" s="55">
        <v>16000.0</v>
      </c>
      <c r="M582" s="25"/>
      <c r="N582" s="39"/>
      <c r="O582" s="27">
        <f t="shared" si="68"/>
        <v>0.3141802513</v>
      </c>
      <c r="P582" s="28">
        <f t="shared" si="71"/>
        <v>0</v>
      </c>
    </row>
    <row r="583" hidden="1">
      <c r="A583" s="16" t="s">
        <v>936</v>
      </c>
      <c r="B583" s="17"/>
      <c r="C583" s="18"/>
      <c r="D583" s="4"/>
      <c r="E583" s="19">
        <v>0.0</v>
      </c>
      <c r="F583" s="77">
        <v>0.0</v>
      </c>
      <c r="G583" s="20" t="s">
        <v>78</v>
      </c>
      <c r="H583" s="21">
        <v>7.0</v>
      </c>
      <c r="I583" s="22">
        <v>0.0</v>
      </c>
      <c r="J583" s="29"/>
      <c r="K583" s="48">
        <f t="shared" si="73"/>
        <v>12174.89</v>
      </c>
      <c r="L583" s="55">
        <v>16000.0</v>
      </c>
      <c r="M583" s="25"/>
      <c r="N583" s="39"/>
      <c r="O583" s="27">
        <f t="shared" si="68"/>
        <v>0.3141802513</v>
      </c>
      <c r="P583" s="28">
        <f t="shared" si="71"/>
        <v>0</v>
      </c>
    </row>
    <row r="584" hidden="1">
      <c r="A584" s="16" t="s">
        <v>937</v>
      </c>
      <c r="B584" s="17"/>
      <c r="C584" s="18" t="s">
        <v>144</v>
      </c>
      <c r="D584" s="4">
        <f>9874*1.19</f>
        <v>11750.06</v>
      </c>
      <c r="E584" s="19">
        <v>3.0</v>
      </c>
      <c r="F584" s="19">
        <v>0.0</v>
      </c>
      <c r="G584" s="20" t="s">
        <v>78</v>
      </c>
      <c r="H584" s="21">
        <v>3.0</v>
      </c>
      <c r="I584" s="22">
        <v>0.0</v>
      </c>
      <c r="J584" s="29"/>
      <c r="K584" s="48">
        <f t="shared" si="73"/>
        <v>12174.89</v>
      </c>
      <c r="L584" s="55">
        <v>16000.0</v>
      </c>
      <c r="M584" s="25"/>
      <c r="N584" s="39"/>
      <c r="O584" s="27">
        <f t="shared" si="68"/>
        <v>0.3141802513</v>
      </c>
      <c r="P584" s="28">
        <f t="shared" si="71"/>
        <v>0</v>
      </c>
    </row>
    <row r="585" hidden="1">
      <c r="A585" s="16" t="s">
        <v>938</v>
      </c>
      <c r="B585" s="17"/>
      <c r="C585" s="18"/>
      <c r="D585" s="4"/>
      <c r="E585" s="19">
        <v>1.0</v>
      </c>
      <c r="F585" s="77">
        <v>0.0</v>
      </c>
      <c r="G585" s="20" t="s">
        <v>78</v>
      </c>
      <c r="H585" s="21">
        <v>5.0</v>
      </c>
      <c r="I585" s="22">
        <v>0.0</v>
      </c>
      <c r="J585" s="29"/>
      <c r="K585" s="48">
        <f t="shared" si="73"/>
        <v>12174.89</v>
      </c>
      <c r="L585" s="55">
        <v>16000.0</v>
      </c>
      <c r="M585" s="25"/>
      <c r="N585" s="39"/>
      <c r="O585" s="27">
        <f t="shared" si="68"/>
        <v>0.3141802513</v>
      </c>
      <c r="P585" s="28">
        <f t="shared" si="71"/>
        <v>0</v>
      </c>
    </row>
    <row r="586" hidden="1">
      <c r="A586" s="16" t="s">
        <v>939</v>
      </c>
      <c r="B586" s="17"/>
      <c r="C586" s="18" t="s">
        <v>144</v>
      </c>
      <c r="D586" s="4">
        <f t="shared" ref="D586:D587" si="74">9874*1.19</f>
        <v>11750.06</v>
      </c>
      <c r="E586" s="19">
        <v>2.0</v>
      </c>
      <c r="F586" s="77">
        <v>0.0</v>
      </c>
      <c r="G586" s="20" t="s">
        <v>78</v>
      </c>
      <c r="H586" s="21">
        <v>4.0</v>
      </c>
      <c r="I586" s="22">
        <v>0.0</v>
      </c>
      <c r="J586" s="29"/>
      <c r="K586" s="48">
        <f t="shared" si="73"/>
        <v>12174.89</v>
      </c>
      <c r="L586" s="55">
        <v>16000.0</v>
      </c>
      <c r="M586" s="25"/>
      <c r="N586" s="39"/>
      <c r="O586" s="27">
        <f t="shared" si="68"/>
        <v>0.3141802513</v>
      </c>
      <c r="P586" s="28">
        <f t="shared" si="71"/>
        <v>0</v>
      </c>
    </row>
    <row r="587" hidden="1">
      <c r="A587" s="16" t="s">
        <v>940</v>
      </c>
      <c r="B587" s="17"/>
      <c r="C587" s="18" t="s">
        <v>144</v>
      </c>
      <c r="D587" s="4">
        <f t="shared" si="74"/>
        <v>11750.06</v>
      </c>
      <c r="E587" s="19">
        <v>2.0</v>
      </c>
      <c r="F587" s="77">
        <v>0.0</v>
      </c>
      <c r="G587" s="20" t="s">
        <v>78</v>
      </c>
      <c r="H587" s="21">
        <v>4.0</v>
      </c>
      <c r="I587" s="22">
        <v>0.0</v>
      </c>
      <c r="J587" s="29"/>
      <c r="K587" s="48">
        <f t="shared" si="73"/>
        <v>12174.89</v>
      </c>
      <c r="L587" s="55">
        <v>16000.0</v>
      </c>
      <c r="M587" s="25"/>
      <c r="N587" s="39"/>
      <c r="O587" s="27">
        <f t="shared" si="68"/>
        <v>0.3141802513</v>
      </c>
      <c r="P587" s="28">
        <f t="shared" si="71"/>
        <v>0</v>
      </c>
    </row>
    <row r="588" hidden="1">
      <c r="A588" s="16" t="s">
        <v>941</v>
      </c>
      <c r="B588" s="17"/>
      <c r="C588" s="18"/>
      <c r="D588" s="4"/>
      <c r="E588" s="19">
        <v>0.0</v>
      </c>
      <c r="F588" s="77">
        <v>0.0</v>
      </c>
      <c r="G588" s="20" t="s">
        <v>78</v>
      </c>
      <c r="H588" s="21">
        <v>7.0</v>
      </c>
      <c r="I588" s="22">
        <v>0.0</v>
      </c>
      <c r="J588" s="29"/>
      <c r="K588" s="48">
        <f t="shared" si="73"/>
        <v>12174.89</v>
      </c>
      <c r="L588" s="55">
        <v>16000.0</v>
      </c>
      <c r="M588" s="25"/>
      <c r="N588" s="39"/>
      <c r="O588" s="27">
        <f t="shared" si="68"/>
        <v>0.3141802513</v>
      </c>
      <c r="P588" s="28">
        <f t="shared" si="71"/>
        <v>0</v>
      </c>
    </row>
    <row r="589" hidden="1">
      <c r="A589" s="16" t="s">
        <v>942</v>
      </c>
      <c r="B589" s="17"/>
      <c r="C589" s="18"/>
      <c r="D589" s="4" t="s">
        <v>796</v>
      </c>
      <c r="E589" s="19">
        <v>0.0</v>
      </c>
      <c r="F589" s="19"/>
      <c r="G589" s="16" t="s">
        <v>943</v>
      </c>
      <c r="H589" s="21"/>
      <c r="I589" s="22"/>
      <c r="J589" s="29"/>
      <c r="K589" s="43">
        <f>K592/15</f>
        <v>840.9333333</v>
      </c>
      <c r="L589" s="44">
        <v>30000.0</v>
      </c>
      <c r="M589" s="25"/>
      <c r="N589" s="39"/>
      <c r="O589" s="27">
        <f t="shared" si="68"/>
        <v>34.67464722</v>
      </c>
      <c r="P589" s="28">
        <f t="shared" si="71"/>
        <v>0</v>
      </c>
    </row>
    <row r="590" hidden="1">
      <c r="A590" s="16" t="s">
        <v>944</v>
      </c>
      <c r="B590" s="17"/>
      <c r="C590" s="18"/>
      <c r="D590" s="4"/>
      <c r="E590" s="19">
        <v>0.0</v>
      </c>
      <c r="F590" s="19"/>
      <c r="G590" s="16" t="s">
        <v>943</v>
      </c>
      <c r="H590" s="21"/>
      <c r="I590" s="22"/>
      <c r="J590" s="29"/>
      <c r="K590" s="43">
        <v>71400.0</v>
      </c>
      <c r="L590" s="44">
        <v>95000.0</v>
      </c>
      <c r="M590" s="25"/>
      <c r="N590" s="39"/>
      <c r="O590" s="27">
        <f t="shared" si="68"/>
        <v>0.3305322129</v>
      </c>
      <c r="P590" s="28">
        <f t="shared" si="71"/>
        <v>0</v>
      </c>
    </row>
    <row r="591" hidden="1">
      <c r="A591" s="16" t="s">
        <v>945</v>
      </c>
      <c r="B591" s="49"/>
      <c r="C591" s="18"/>
      <c r="D591" s="4"/>
      <c r="E591" s="19"/>
      <c r="F591" s="19">
        <v>0.0</v>
      </c>
      <c r="G591" s="16" t="s">
        <v>93</v>
      </c>
      <c r="H591" s="21"/>
      <c r="I591" s="22"/>
      <c r="J591" s="29"/>
      <c r="K591" s="32">
        <v>39730.0</v>
      </c>
      <c r="L591" s="24">
        <v>49600.0</v>
      </c>
      <c r="M591" s="168" t="s">
        <v>76</v>
      </c>
      <c r="N591" s="39"/>
      <c r="O591" s="27">
        <f t="shared" si="68"/>
        <v>0.2484268814</v>
      </c>
      <c r="P591" s="28">
        <f t="shared" si="71"/>
        <v>0</v>
      </c>
    </row>
    <row r="592" hidden="1">
      <c r="A592" s="16" t="s">
        <v>946</v>
      </c>
      <c r="B592" s="49" t="s">
        <v>947</v>
      </c>
      <c r="C592" s="18" t="s">
        <v>948</v>
      </c>
      <c r="D592" s="4"/>
      <c r="E592" s="19"/>
      <c r="F592" s="19"/>
      <c r="G592" s="16" t="s">
        <v>949</v>
      </c>
      <c r="H592" s="21">
        <v>0.0</v>
      </c>
      <c r="I592" s="22"/>
      <c r="J592" s="29"/>
      <c r="K592" s="48">
        <v>12614.0</v>
      </c>
      <c r="L592" s="55">
        <v>18000.0</v>
      </c>
      <c r="M592" s="25"/>
      <c r="N592" s="102">
        <v>15000.0</v>
      </c>
      <c r="O592" s="27">
        <f t="shared" si="68"/>
        <v>0.4269858887</v>
      </c>
      <c r="P592" s="28">
        <f t="shared" si="71"/>
        <v>0</v>
      </c>
    </row>
    <row r="593" hidden="1">
      <c r="A593" s="16" t="s">
        <v>950</v>
      </c>
      <c r="B593" s="49"/>
      <c r="C593" s="18" t="s">
        <v>951</v>
      </c>
      <c r="D593" s="4"/>
      <c r="E593" s="19"/>
      <c r="F593" s="19"/>
      <c r="G593" s="16" t="s">
        <v>952</v>
      </c>
      <c r="H593" s="21">
        <v>0.0</v>
      </c>
      <c r="I593" s="22"/>
      <c r="J593" s="29"/>
      <c r="K593" s="32">
        <f>62800*1.19</f>
        <v>74732</v>
      </c>
      <c r="L593" s="24">
        <v>110000.0</v>
      </c>
      <c r="M593" s="25">
        <v>85.0</v>
      </c>
      <c r="N593" s="102">
        <v>85000.0</v>
      </c>
      <c r="O593" s="27">
        <f t="shared" si="68"/>
        <v>0.4719263502</v>
      </c>
      <c r="P593" s="28">
        <f t="shared" si="71"/>
        <v>0</v>
      </c>
    </row>
    <row r="594" hidden="1">
      <c r="A594" s="16" t="s">
        <v>953</v>
      </c>
      <c r="B594" s="49" t="s">
        <v>954</v>
      </c>
      <c r="C594" s="18" t="s">
        <v>948</v>
      </c>
      <c r="D594" s="4"/>
      <c r="E594" s="19"/>
      <c r="F594" s="19"/>
      <c r="G594" s="16" t="s">
        <v>949</v>
      </c>
      <c r="H594" s="21">
        <v>0.0</v>
      </c>
      <c r="I594" s="22"/>
      <c r="J594" s="29"/>
      <c r="K594" s="48">
        <f>12614*48</f>
        <v>605472</v>
      </c>
      <c r="L594" s="55">
        <f>15000*48</f>
        <v>720000</v>
      </c>
      <c r="M594" s="25"/>
      <c r="N594" s="39">
        <f>690000/48</f>
        <v>14375</v>
      </c>
      <c r="O594" s="27">
        <f t="shared" si="68"/>
        <v>0.1891549072</v>
      </c>
      <c r="P594" s="28">
        <f t="shared" si="71"/>
        <v>0</v>
      </c>
    </row>
    <row r="595" hidden="1">
      <c r="A595" s="122" t="s">
        <v>955</v>
      </c>
      <c r="B595" s="17">
        <v>242010.0</v>
      </c>
      <c r="C595" s="18"/>
      <c r="D595" s="4"/>
      <c r="E595" s="19">
        <v>0.0</v>
      </c>
      <c r="F595" s="19">
        <v>0.0</v>
      </c>
      <c r="G595" s="16" t="s">
        <v>659</v>
      </c>
      <c r="H595" s="73"/>
      <c r="I595" s="22">
        <v>30.0</v>
      </c>
      <c r="J595" s="74"/>
      <c r="K595" s="75">
        <v>1000.0</v>
      </c>
      <c r="L595" s="44">
        <v>3000.0</v>
      </c>
      <c r="M595" s="25"/>
      <c r="N595" s="39"/>
      <c r="O595" s="27">
        <f t="shared" si="68"/>
        <v>2</v>
      </c>
      <c r="P595" s="28">
        <f t="shared" si="71"/>
        <v>0</v>
      </c>
    </row>
    <row r="596" hidden="1">
      <c r="A596" s="59" t="s">
        <v>956</v>
      </c>
      <c r="B596" s="121"/>
      <c r="C596" s="18"/>
      <c r="D596" s="4"/>
      <c r="E596" s="19">
        <v>0.0</v>
      </c>
      <c r="F596" s="19">
        <v>0.0</v>
      </c>
      <c r="G596" s="16" t="s">
        <v>84</v>
      </c>
      <c r="H596" s="21"/>
      <c r="I596" s="22">
        <v>0.0</v>
      </c>
      <c r="J596" s="29"/>
      <c r="K596" s="43">
        <v>18000.0</v>
      </c>
      <c r="L596" s="44">
        <v>40000.0</v>
      </c>
      <c r="M596" s="25"/>
      <c r="N596" s="39"/>
      <c r="O596" s="27">
        <f t="shared" si="68"/>
        <v>1.222222222</v>
      </c>
      <c r="P596" s="28">
        <f t="shared" si="71"/>
        <v>0</v>
      </c>
    </row>
    <row r="597" hidden="1">
      <c r="A597" s="16" t="s">
        <v>957</v>
      </c>
      <c r="B597" s="17"/>
      <c r="C597" s="158" t="s">
        <v>958</v>
      </c>
      <c r="D597" s="61"/>
      <c r="E597" s="19"/>
      <c r="F597" s="19"/>
      <c r="G597" s="16" t="s">
        <v>91</v>
      </c>
      <c r="H597" s="21"/>
      <c r="I597" s="22">
        <v>20.0</v>
      </c>
      <c r="J597" s="29" t="s">
        <v>959</v>
      </c>
      <c r="K597" s="32">
        <v>267000.0</v>
      </c>
      <c r="L597" s="24">
        <v>325000.0</v>
      </c>
      <c r="M597" s="25" t="s">
        <v>76</v>
      </c>
      <c r="N597" s="102">
        <v>270000.0</v>
      </c>
      <c r="O597" s="27">
        <f t="shared" si="68"/>
        <v>0.2172284644</v>
      </c>
      <c r="P597" s="28">
        <f t="shared" si="71"/>
        <v>0</v>
      </c>
    </row>
    <row r="598" hidden="1">
      <c r="A598" s="40" t="s">
        <v>960</v>
      </c>
      <c r="B598" s="17"/>
      <c r="C598" s="18"/>
      <c r="D598" s="4"/>
      <c r="E598" s="19">
        <v>0.0</v>
      </c>
      <c r="F598" s="19">
        <v>0.0</v>
      </c>
      <c r="G598" s="16" t="s">
        <v>961</v>
      </c>
      <c r="H598" s="21"/>
      <c r="I598" s="22">
        <v>0.0</v>
      </c>
      <c r="J598" s="29"/>
      <c r="K598" s="48">
        <v>13000.0</v>
      </c>
      <c r="L598" s="55">
        <v>24000.0</v>
      </c>
      <c r="M598" s="25"/>
      <c r="N598" s="102">
        <v>18000.0</v>
      </c>
      <c r="O598" s="27">
        <f t="shared" si="68"/>
        <v>0.8461538462</v>
      </c>
      <c r="P598" s="28">
        <f t="shared" si="71"/>
        <v>0</v>
      </c>
    </row>
    <row r="599" hidden="1">
      <c r="A599" s="16" t="s">
        <v>962</v>
      </c>
      <c r="B599" s="49"/>
      <c r="C599" s="92"/>
      <c r="D599" s="4"/>
      <c r="E599" s="19"/>
      <c r="F599" s="19"/>
      <c r="G599" s="16" t="s">
        <v>200</v>
      </c>
      <c r="H599" s="21">
        <v>0.0</v>
      </c>
      <c r="I599" s="22">
        <v>3.0</v>
      </c>
      <c r="J599" s="29"/>
      <c r="K599" s="48">
        <v>141253.0</v>
      </c>
      <c r="L599" s="48">
        <v>170000.0</v>
      </c>
      <c r="M599" s="25">
        <v>1.19</v>
      </c>
      <c r="N599" s="48">
        <v>155000.0</v>
      </c>
      <c r="O599" s="27">
        <f t="shared" si="68"/>
        <v>0.2035142616</v>
      </c>
      <c r="P599" s="28">
        <f t="shared" si="71"/>
        <v>0</v>
      </c>
    </row>
    <row r="600" hidden="1">
      <c r="A600" s="16" t="s">
        <v>963</v>
      </c>
      <c r="B600" s="49"/>
      <c r="C600" s="18"/>
      <c r="D600" s="4"/>
      <c r="E600" s="19">
        <v>0.0</v>
      </c>
      <c r="F600" s="19">
        <v>0.0</v>
      </c>
      <c r="G600" s="16" t="s">
        <v>341</v>
      </c>
      <c r="H600" s="21"/>
      <c r="I600" s="22"/>
      <c r="J600" s="29"/>
      <c r="K600" s="48">
        <f>170000/8</f>
        <v>21250</v>
      </c>
      <c r="L600" s="55">
        <v>30000.0</v>
      </c>
      <c r="M600" s="25"/>
      <c r="N600" s="39"/>
      <c r="O600" s="27">
        <f t="shared" si="68"/>
        <v>0.4117647059</v>
      </c>
      <c r="P600" s="28">
        <f t="shared" si="71"/>
        <v>0</v>
      </c>
    </row>
    <row r="601" hidden="1">
      <c r="A601" s="16" t="s">
        <v>964</v>
      </c>
      <c r="B601" s="36" t="s">
        <v>965</v>
      </c>
      <c r="C601" s="18"/>
      <c r="D601" s="4"/>
      <c r="E601" s="19">
        <v>0.0</v>
      </c>
      <c r="F601" s="19">
        <v>0.0</v>
      </c>
      <c r="G601" s="20" t="s">
        <v>966</v>
      </c>
      <c r="H601" s="21"/>
      <c r="I601" s="22">
        <v>4.0</v>
      </c>
      <c r="J601" s="29"/>
      <c r="K601" s="32">
        <v>30000.0</v>
      </c>
      <c r="L601" s="24">
        <v>40000.0</v>
      </c>
      <c r="M601" s="25"/>
      <c r="N601" s="102">
        <v>38000.0</v>
      </c>
      <c r="O601" s="27">
        <f t="shared" si="68"/>
        <v>0.3333333333</v>
      </c>
      <c r="P601" s="28">
        <f t="shared" si="71"/>
        <v>0</v>
      </c>
    </row>
    <row r="602" hidden="1">
      <c r="A602" s="42" t="s">
        <v>967</v>
      </c>
      <c r="B602" s="49"/>
      <c r="C602" s="18" t="s">
        <v>55</v>
      </c>
      <c r="D602" s="4" t="s">
        <v>968</v>
      </c>
      <c r="E602" s="19">
        <v>0.0</v>
      </c>
      <c r="F602" s="19"/>
      <c r="G602" s="20" t="s">
        <v>610</v>
      </c>
      <c r="H602" s="21"/>
      <c r="I602" s="22"/>
      <c r="J602" s="29"/>
      <c r="K602" s="43">
        <v>46500.0</v>
      </c>
      <c r="L602" s="43">
        <v>62000.0</v>
      </c>
      <c r="M602" s="25"/>
      <c r="N602" s="26"/>
      <c r="O602" s="27">
        <f t="shared" si="68"/>
        <v>0.3333333333</v>
      </c>
      <c r="P602" s="28">
        <f t="shared" si="71"/>
        <v>0</v>
      </c>
    </row>
    <row r="603" hidden="1">
      <c r="A603" s="42" t="s">
        <v>969</v>
      </c>
      <c r="B603" s="71"/>
      <c r="C603" s="18"/>
      <c r="D603" s="4"/>
      <c r="E603" s="19">
        <v>0.0</v>
      </c>
      <c r="F603" s="19"/>
      <c r="G603" s="20" t="s">
        <v>291</v>
      </c>
      <c r="H603" s="21"/>
      <c r="I603" s="22"/>
      <c r="J603" s="29"/>
      <c r="K603" s="32">
        <f>21008*1.19</f>
        <v>24999.52</v>
      </c>
      <c r="L603" s="24">
        <v>32000.0</v>
      </c>
      <c r="M603" s="25"/>
      <c r="N603" s="39"/>
      <c r="O603" s="27">
        <f t="shared" si="68"/>
        <v>0.2800245765</v>
      </c>
      <c r="P603" s="28">
        <f t="shared" si="71"/>
        <v>0</v>
      </c>
    </row>
    <row r="604" hidden="1">
      <c r="A604" s="122" t="s">
        <v>970</v>
      </c>
      <c r="B604" s="36" t="s">
        <v>971</v>
      </c>
      <c r="C604" s="18"/>
      <c r="D604" s="4"/>
      <c r="E604" s="19">
        <v>0.0</v>
      </c>
      <c r="F604" s="19">
        <v>0.0</v>
      </c>
      <c r="G604" s="16" t="s">
        <v>972</v>
      </c>
      <c r="H604" s="21"/>
      <c r="I604" s="22">
        <v>1.0</v>
      </c>
      <c r="J604" s="29"/>
      <c r="K604" s="48">
        <v>36985.0</v>
      </c>
      <c r="L604" s="24">
        <v>58000.0</v>
      </c>
      <c r="M604" s="25" t="s">
        <v>82</v>
      </c>
      <c r="N604" s="26"/>
      <c r="O604" s="27">
        <f t="shared" si="68"/>
        <v>0.5682033257</v>
      </c>
      <c r="P604" s="28">
        <f t="shared" si="71"/>
        <v>0</v>
      </c>
    </row>
    <row r="605" hidden="1">
      <c r="A605" s="16" t="s">
        <v>973</v>
      </c>
      <c r="B605" s="17" t="s">
        <v>974</v>
      </c>
      <c r="C605" s="18"/>
      <c r="D605" s="4"/>
      <c r="E605" s="19"/>
      <c r="F605" s="19">
        <v>0.0</v>
      </c>
      <c r="G605" s="20" t="s">
        <v>975</v>
      </c>
      <c r="H605" s="21"/>
      <c r="I605" s="22"/>
      <c r="J605" s="29"/>
      <c r="K605" s="48">
        <v>1200.0</v>
      </c>
      <c r="L605" s="55">
        <v>5000.0</v>
      </c>
      <c r="M605" s="25" t="s">
        <v>82</v>
      </c>
      <c r="N605" s="39"/>
      <c r="O605" s="27">
        <f t="shared" si="68"/>
        <v>3.166666667</v>
      </c>
      <c r="P605" s="28">
        <f t="shared" si="71"/>
        <v>0</v>
      </c>
    </row>
    <row r="606" hidden="1">
      <c r="A606" s="52" t="s">
        <v>977</v>
      </c>
      <c r="B606" s="17" t="s">
        <v>978</v>
      </c>
      <c r="C606" s="18"/>
      <c r="D606" s="4"/>
      <c r="E606" s="19"/>
      <c r="F606" s="19">
        <v>1.0</v>
      </c>
      <c r="G606" s="16" t="s">
        <v>979</v>
      </c>
      <c r="H606" s="33"/>
      <c r="I606" s="22"/>
      <c r="J606" s="34"/>
      <c r="K606" s="35">
        <f>9063/40</f>
        <v>226.575</v>
      </c>
      <c r="L606" s="24">
        <v>500.0</v>
      </c>
      <c r="M606" s="25"/>
      <c r="N606" s="39"/>
      <c r="O606" s="27">
        <f t="shared" si="68"/>
        <v>1.206774799</v>
      </c>
      <c r="P606" s="28">
        <f t="shared" si="71"/>
        <v>226.575</v>
      </c>
    </row>
    <row r="607" hidden="1">
      <c r="A607" s="59" t="s">
        <v>980</v>
      </c>
      <c r="B607" s="134"/>
      <c r="C607" s="18"/>
      <c r="D607" s="98"/>
      <c r="E607" s="19">
        <v>0.0</v>
      </c>
      <c r="F607" s="19"/>
      <c r="G607" s="20" t="s">
        <v>485</v>
      </c>
      <c r="H607" s="21">
        <v>0.0</v>
      </c>
      <c r="I607" s="22"/>
      <c r="J607" s="173"/>
      <c r="K607" s="174">
        <v>60000.0</v>
      </c>
      <c r="L607" s="175">
        <v>95000.0</v>
      </c>
      <c r="M607" s="25"/>
      <c r="N607" s="39"/>
      <c r="O607" s="27">
        <f t="shared" si="68"/>
        <v>0.5833333333</v>
      </c>
      <c r="P607" s="28">
        <f t="shared" si="71"/>
        <v>0</v>
      </c>
    </row>
    <row r="608" hidden="1">
      <c r="A608" s="149" t="s">
        <v>981</v>
      </c>
      <c r="B608" s="71"/>
      <c r="C608" s="18"/>
      <c r="D608" s="4"/>
      <c r="E608" s="19">
        <v>0.0</v>
      </c>
      <c r="F608" s="19"/>
      <c r="G608" s="16" t="s">
        <v>982</v>
      </c>
      <c r="H608" s="21"/>
      <c r="I608" s="22"/>
      <c r="J608" s="29"/>
      <c r="K608" s="43">
        <v>750.0</v>
      </c>
      <c r="L608" s="44">
        <v>1500.0</v>
      </c>
      <c r="M608" s="25"/>
      <c r="N608" s="39"/>
      <c r="O608" s="27">
        <f t="shared" si="68"/>
        <v>1</v>
      </c>
      <c r="P608" s="28">
        <f t="shared" si="71"/>
        <v>0</v>
      </c>
    </row>
    <row r="609" hidden="1">
      <c r="A609" s="16" t="s">
        <v>983</v>
      </c>
      <c r="B609" s="17" t="s">
        <v>984</v>
      </c>
      <c r="C609" s="18" t="s">
        <v>985</v>
      </c>
      <c r="D609" s="4"/>
      <c r="E609" s="19"/>
      <c r="F609" s="19"/>
      <c r="G609" s="16" t="s">
        <v>986</v>
      </c>
      <c r="H609" s="21"/>
      <c r="I609" s="22"/>
      <c r="J609" s="29"/>
      <c r="K609" s="48">
        <v>199000.0</v>
      </c>
      <c r="L609" s="55">
        <v>280000.0</v>
      </c>
      <c r="M609" s="25" t="s">
        <v>76</v>
      </c>
      <c r="N609" s="39"/>
      <c r="O609" s="27">
        <f t="shared" si="68"/>
        <v>0.4070351759</v>
      </c>
      <c r="P609" s="28">
        <f t="shared" si="71"/>
        <v>0</v>
      </c>
    </row>
    <row r="610" hidden="1">
      <c r="A610" s="16" t="s">
        <v>987</v>
      </c>
      <c r="B610" s="17" t="s">
        <v>984</v>
      </c>
      <c r="C610" s="18" t="s">
        <v>985</v>
      </c>
      <c r="D610" s="4"/>
      <c r="E610" s="19"/>
      <c r="F610" s="19"/>
      <c r="G610" s="16" t="s">
        <v>986</v>
      </c>
      <c r="H610" s="21"/>
      <c r="I610" s="22"/>
      <c r="J610" s="29"/>
      <c r="K610" s="48">
        <v>199000.0</v>
      </c>
      <c r="L610" s="55">
        <v>280000.0</v>
      </c>
      <c r="M610" s="25"/>
      <c r="N610" s="39"/>
      <c r="O610" s="27">
        <f t="shared" si="68"/>
        <v>0.4070351759</v>
      </c>
      <c r="P610" s="28">
        <f t="shared" si="71"/>
        <v>0</v>
      </c>
    </row>
    <row r="611" hidden="1">
      <c r="A611" s="16" t="s">
        <v>988</v>
      </c>
      <c r="B611" s="36"/>
      <c r="C611" s="18"/>
      <c r="D611" s="4"/>
      <c r="E611" s="19">
        <v>0.0</v>
      </c>
      <c r="F611" s="19">
        <v>0.0</v>
      </c>
      <c r="G611" s="16" t="s">
        <v>989</v>
      </c>
      <c r="H611" s="21"/>
      <c r="I611" s="22">
        <v>0.0</v>
      </c>
      <c r="J611" s="29"/>
      <c r="K611" s="32">
        <v>225000.0</v>
      </c>
      <c r="L611" s="24">
        <v>280000.0</v>
      </c>
      <c r="M611" s="25"/>
      <c r="N611" s="39"/>
      <c r="O611" s="27">
        <f t="shared" si="68"/>
        <v>0.2444444444</v>
      </c>
      <c r="P611" s="28">
        <f t="shared" si="71"/>
        <v>0</v>
      </c>
    </row>
    <row r="612" hidden="1">
      <c r="A612" s="16" t="s">
        <v>990</v>
      </c>
      <c r="B612" s="49"/>
      <c r="C612" s="18"/>
      <c r="D612" s="4"/>
      <c r="E612" s="19">
        <v>0.0</v>
      </c>
      <c r="F612" s="19">
        <v>0.0</v>
      </c>
      <c r="G612" s="16" t="s">
        <v>643</v>
      </c>
      <c r="H612" s="21"/>
      <c r="I612" s="22">
        <v>4.0</v>
      </c>
      <c r="J612" s="29"/>
      <c r="K612" s="32">
        <f>82000/4</f>
        <v>20500</v>
      </c>
      <c r="L612" s="24">
        <v>25000.0</v>
      </c>
      <c r="M612" s="25"/>
      <c r="N612" s="39"/>
      <c r="O612" s="27">
        <f t="shared" si="68"/>
        <v>0.2195121951</v>
      </c>
      <c r="P612" s="28">
        <f t="shared" si="71"/>
        <v>0</v>
      </c>
    </row>
    <row r="613" hidden="1">
      <c r="A613" s="16" t="s">
        <v>991</v>
      </c>
      <c r="B613" s="49"/>
      <c r="C613" s="18"/>
      <c r="D613" s="4"/>
      <c r="E613" s="19"/>
      <c r="F613" s="19"/>
      <c r="G613" s="16" t="s">
        <v>375</v>
      </c>
      <c r="H613" s="21">
        <v>0.0</v>
      </c>
      <c r="I613" s="22">
        <v>0.0</v>
      </c>
      <c r="J613" s="23"/>
      <c r="K613" s="24">
        <f>55500*1.19</f>
        <v>66045</v>
      </c>
      <c r="L613" s="24">
        <v>82000.0</v>
      </c>
      <c r="M613" s="25">
        <v>1.19</v>
      </c>
      <c r="N613" s="102">
        <v>74000.0</v>
      </c>
      <c r="O613" s="27">
        <f t="shared" si="68"/>
        <v>0.2415777122</v>
      </c>
      <c r="P613" s="28">
        <f t="shared" si="71"/>
        <v>0</v>
      </c>
    </row>
    <row r="614" hidden="1">
      <c r="A614" s="16" t="s">
        <v>992</v>
      </c>
      <c r="B614" s="178"/>
      <c r="C614" s="18"/>
      <c r="D614" s="4"/>
      <c r="E614" s="19">
        <v>0.0</v>
      </c>
      <c r="F614" s="19">
        <v>0.0</v>
      </c>
      <c r="G614" s="16" t="s">
        <v>400</v>
      </c>
      <c r="H614" s="21"/>
      <c r="I614" s="22">
        <v>3.0</v>
      </c>
      <c r="J614" s="29"/>
      <c r="K614" s="48">
        <v>138000.0</v>
      </c>
      <c r="L614" s="55">
        <v>370000.0</v>
      </c>
      <c r="M614" s="25"/>
      <c r="N614" s="39"/>
      <c r="O614" s="27"/>
      <c r="P614" s="28"/>
    </row>
    <row r="615" hidden="1">
      <c r="A615" s="16" t="s">
        <v>993</v>
      </c>
      <c r="B615" s="17"/>
      <c r="C615" s="18"/>
      <c r="D615" s="4"/>
      <c r="E615" s="19">
        <v>0.0</v>
      </c>
      <c r="F615" s="19"/>
      <c r="G615" s="16" t="s">
        <v>767</v>
      </c>
      <c r="H615" s="21"/>
      <c r="I615" s="22"/>
      <c r="J615" s="29"/>
      <c r="K615" s="43">
        <v>298000.0</v>
      </c>
      <c r="L615" s="44">
        <v>380000.0</v>
      </c>
      <c r="M615" s="25"/>
      <c r="N615" s="39"/>
      <c r="O615" s="27">
        <f t="shared" ref="O615:O653" si="75">(L615/K615)-1</f>
        <v>0.2751677852</v>
      </c>
      <c r="P615" s="28">
        <f t="shared" ref="P615:P653" si="76">K615*F615</f>
        <v>0</v>
      </c>
    </row>
    <row r="616" hidden="1">
      <c r="A616" s="16" t="s">
        <v>994</v>
      </c>
      <c r="B616" s="97" t="s">
        <v>995</v>
      </c>
      <c r="C616" s="18"/>
      <c r="D616" s="98"/>
      <c r="E616" s="19">
        <v>0.0</v>
      </c>
      <c r="F616" s="19"/>
      <c r="G616" s="20" t="s">
        <v>485</v>
      </c>
      <c r="H616" s="21">
        <v>14.0</v>
      </c>
      <c r="I616" s="22"/>
      <c r="J616" s="100"/>
      <c r="K616" s="165">
        <f>55092*1.19</f>
        <v>65559.48</v>
      </c>
      <c r="L616" s="24">
        <v>105000.0</v>
      </c>
      <c r="M616" s="25"/>
      <c r="N616" s="39"/>
      <c r="O616" s="27">
        <f t="shared" si="75"/>
        <v>0.6015990365</v>
      </c>
      <c r="P616" s="28">
        <f t="shared" si="76"/>
        <v>0</v>
      </c>
    </row>
    <row r="617" hidden="1">
      <c r="A617" s="16" t="s">
        <v>996</v>
      </c>
      <c r="B617" s="17" t="s">
        <v>997</v>
      </c>
      <c r="C617" s="18"/>
      <c r="D617" s="4" t="s">
        <v>998</v>
      </c>
      <c r="E617" s="19">
        <v>0.0</v>
      </c>
      <c r="F617" s="19">
        <v>5.0</v>
      </c>
      <c r="G617" s="20" t="s">
        <v>999</v>
      </c>
      <c r="H617" s="21"/>
      <c r="I617" s="22">
        <v>0.0</v>
      </c>
      <c r="J617" s="29"/>
      <c r="K617" s="32">
        <f>47601*1.19</f>
        <v>56645.19</v>
      </c>
      <c r="L617" s="24">
        <v>75000.0</v>
      </c>
      <c r="M617" s="25"/>
      <c r="N617" s="102">
        <v>62000.0</v>
      </c>
      <c r="O617" s="27">
        <f t="shared" si="75"/>
        <v>0.3240312196</v>
      </c>
      <c r="P617" s="28">
        <f t="shared" si="76"/>
        <v>283225.95</v>
      </c>
    </row>
    <row r="618" hidden="1">
      <c r="A618" s="16" t="s">
        <v>1000</v>
      </c>
      <c r="B618" s="17"/>
      <c r="C618" s="18"/>
      <c r="D618" s="19"/>
      <c r="E618" s="19">
        <v>0.0</v>
      </c>
      <c r="F618" s="19">
        <v>0.0</v>
      </c>
      <c r="G618" s="120" t="s">
        <v>1001</v>
      </c>
      <c r="H618" s="21"/>
      <c r="I618" s="22"/>
      <c r="J618" s="29"/>
      <c r="K618" s="48">
        <f>44880*1.19</f>
        <v>53407.2</v>
      </c>
      <c r="L618" s="48">
        <v>75000.0</v>
      </c>
      <c r="M618" s="25"/>
      <c r="N618" s="26">
        <v>62000.0</v>
      </c>
      <c r="O618" s="27">
        <f t="shared" si="75"/>
        <v>0.4043050375</v>
      </c>
      <c r="P618" s="28">
        <f t="shared" si="76"/>
        <v>0</v>
      </c>
    </row>
    <row r="619" hidden="1">
      <c r="A619" s="56" t="s">
        <v>1002</v>
      </c>
      <c r="B619" s="17"/>
      <c r="C619" s="18"/>
      <c r="D619" s="4"/>
      <c r="E619" s="19">
        <v>0.0</v>
      </c>
      <c r="F619" s="19">
        <v>0.0</v>
      </c>
      <c r="G619" s="16" t="s">
        <v>16</v>
      </c>
      <c r="H619" s="99"/>
      <c r="I619" s="22"/>
      <c r="J619" s="173"/>
      <c r="K619" s="179">
        <v>74341.0</v>
      </c>
      <c r="L619" s="24">
        <v>160000.0</v>
      </c>
      <c r="M619" s="25"/>
      <c r="N619" s="102">
        <v>145000.0</v>
      </c>
      <c r="O619" s="27">
        <f t="shared" si="75"/>
        <v>1.152244387</v>
      </c>
      <c r="P619" s="28">
        <f t="shared" si="76"/>
        <v>0</v>
      </c>
    </row>
    <row r="620" hidden="1">
      <c r="A620" s="56" t="s">
        <v>1003</v>
      </c>
      <c r="B620" s="51"/>
      <c r="C620" s="18" t="s">
        <v>55</v>
      </c>
      <c r="D620" s="4" t="s">
        <v>968</v>
      </c>
      <c r="E620" s="19">
        <v>0.0</v>
      </c>
      <c r="F620" s="19"/>
      <c r="G620" s="20" t="s">
        <v>610</v>
      </c>
      <c r="H620" s="99"/>
      <c r="I620" s="22"/>
      <c r="J620" s="173"/>
      <c r="K620" s="174">
        <v>105000.0</v>
      </c>
      <c r="L620" s="44">
        <v>120000.0</v>
      </c>
      <c r="M620" s="25"/>
      <c r="N620" s="31"/>
      <c r="O620" s="27">
        <f t="shared" si="75"/>
        <v>0.1428571429</v>
      </c>
      <c r="P620" s="28">
        <f t="shared" si="76"/>
        <v>0</v>
      </c>
    </row>
    <row r="621" hidden="1">
      <c r="A621" s="52" t="s">
        <v>1004</v>
      </c>
      <c r="B621" s="17"/>
      <c r="C621" s="18"/>
      <c r="D621" s="4"/>
      <c r="E621" s="19">
        <v>0.0</v>
      </c>
      <c r="F621" s="19">
        <v>0.0</v>
      </c>
      <c r="G621" s="20" t="s">
        <v>1005</v>
      </c>
      <c r="H621" s="21"/>
      <c r="I621" s="22">
        <v>0.0</v>
      </c>
      <c r="J621" s="29"/>
      <c r="K621" s="43">
        <v>10000.0</v>
      </c>
      <c r="L621" s="44">
        <v>18000.0</v>
      </c>
      <c r="M621" s="25"/>
      <c r="N621" s="39"/>
      <c r="O621" s="27">
        <f t="shared" si="75"/>
        <v>0.8</v>
      </c>
      <c r="P621" s="28">
        <f t="shared" si="76"/>
        <v>0</v>
      </c>
    </row>
    <row r="622" hidden="1">
      <c r="A622" s="59" t="s">
        <v>1006</v>
      </c>
      <c r="B622" s="121"/>
      <c r="C622" s="18"/>
      <c r="D622" s="4"/>
      <c r="E622" s="19">
        <v>0.0</v>
      </c>
      <c r="F622" s="19">
        <v>0.0</v>
      </c>
      <c r="G622" s="16" t="s">
        <v>16</v>
      </c>
      <c r="H622" s="21"/>
      <c r="I622" s="22" t="s">
        <v>1007</v>
      </c>
      <c r="J622" s="29"/>
      <c r="K622" s="32">
        <v>15449.0</v>
      </c>
      <c r="L622" s="24">
        <v>60000.0</v>
      </c>
      <c r="M622" s="25"/>
      <c r="N622" s="39"/>
      <c r="O622" s="27">
        <f t="shared" si="75"/>
        <v>2.883746521</v>
      </c>
      <c r="P622" s="28">
        <f t="shared" si="76"/>
        <v>0</v>
      </c>
    </row>
    <row r="623" hidden="1">
      <c r="A623" s="59" t="s">
        <v>1008</v>
      </c>
      <c r="B623" s="121"/>
      <c r="C623" s="18"/>
      <c r="D623" s="4"/>
      <c r="E623" s="19">
        <v>0.0</v>
      </c>
      <c r="F623" s="19">
        <v>0.0</v>
      </c>
      <c r="G623" s="16" t="s">
        <v>16</v>
      </c>
      <c r="H623" s="33"/>
      <c r="I623" s="22"/>
      <c r="J623" s="170"/>
      <c r="K623" s="127">
        <v>73566.0</v>
      </c>
      <c r="L623" s="55">
        <v>145000.0</v>
      </c>
      <c r="M623" s="25"/>
      <c r="N623" s="39"/>
      <c r="O623" s="27">
        <f t="shared" si="75"/>
        <v>0.9710192208</v>
      </c>
      <c r="P623" s="28">
        <f t="shared" si="76"/>
        <v>0</v>
      </c>
    </row>
    <row r="624" hidden="1">
      <c r="A624" s="52" t="s">
        <v>1009</v>
      </c>
      <c r="B624" s="17"/>
      <c r="C624" s="18"/>
      <c r="D624" s="4"/>
      <c r="E624" s="19">
        <v>0.0</v>
      </c>
      <c r="F624" s="19"/>
      <c r="G624" s="16" t="s">
        <v>1010</v>
      </c>
      <c r="H624" s="21"/>
      <c r="I624" s="22"/>
      <c r="J624" s="29"/>
      <c r="K624" s="43">
        <v>20200.0</v>
      </c>
      <c r="L624" s="44">
        <v>32000.0</v>
      </c>
      <c r="M624" s="25"/>
      <c r="N624" s="39"/>
      <c r="O624" s="27">
        <f t="shared" si="75"/>
        <v>0.5841584158</v>
      </c>
      <c r="P624" s="28">
        <f t="shared" si="76"/>
        <v>0</v>
      </c>
    </row>
    <row r="625" hidden="1">
      <c r="A625" s="16" t="s">
        <v>1011</v>
      </c>
      <c r="B625" s="17"/>
      <c r="C625" s="18"/>
      <c r="D625" s="4"/>
      <c r="E625" s="19">
        <v>0.0</v>
      </c>
      <c r="F625" s="19"/>
      <c r="G625" s="16" t="s">
        <v>1012</v>
      </c>
      <c r="H625" s="21"/>
      <c r="I625" s="22"/>
      <c r="J625" s="29"/>
      <c r="K625" s="43">
        <v>4499.0</v>
      </c>
      <c r="L625" s="44">
        <v>12000.0</v>
      </c>
      <c r="M625" s="25"/>
      <c r="N625" s="39"/>
      <c r="O625" s="27">
        <f t="shared" si="75"/>
        <v>1.667259391</v>
      </c>
      <c r="P625" s="28">
        <f t="shared" si="76"/>
        <v>0</v>
      </c>
    </row>
    <row r="626" hidden="1">
      <c r="A626" s="16" t="s">
        <v>1013</v>
      </c>
      <c r="B626" s="180"/>
      <c r="C626" s="18"/>
      <c r="D626" s="4"/>
      <c r="E626" s="19">
        <v>0.0</v>
      </c>
      <c r="F626" s="19"/>
      <c r="G626" s="16" t="s">
        <v>1012</v>
      </c>
      <c r="H626" s="21"/>
      <c r="I626" s="22"/>
      <c r="J626" s="29"/>
      <c r="K626" s="43">
        <v>4499.0</v>
      </c>
      <c r="L626" s="44">
        <v>12000.0</v>
      </c>
      <c r="M626" s="25"/>
      <c r="N626" s="39"/>
      <c r="O626" s="27">
        <f t="shared" si="75"/>
        <v>1.667259391</v>
      </c>
      <c r="P626" s="28">
        <f t="shared" si="76"/>
        <v>0</v>
      </c>
    </row>
    <row r="627" hidden="1">
      <c r="A627" s="16" t="s">
        <v>1014</v>
      </c>
      <c r="B627" s="36"/>
      <c r="C627" s="18"/>
      <c r="D627" s="4"/>
      <c r="E627" s="19">
        <v>0.0</v>
      </c>
      <c r="F627" s="19"/>
      <c r="G627" s="16" t="s">
        <v>1015</v>
      </c>
      <c r="H627" s="21"/>
      <c r="I627" s="22"/>
      <c r="J627" s="29"/>
      <c r="K627" s="43">
        <v>4499.0</v>
      </c>
      <c r="L627" s="44">
        <v>12000.0</v>
      </c>
      <c r="M627" s="25"/>
      <c r="N627" s="39"/>
      <c r="O627" s="27">
        <f t="shared" si="75"/>
        <v>1.667259391</v>
      </c>
      <c r="P627" s="28">
        <f t="shared" si="76"/>
        <v>0</v>
      </c>
    </row>
    <row r="628" hidden="1">
      <c r="A628" s="16" t="s">
        <v>1016</v>
      </c>
      <c r="B628" s="17"/>
      <c r="C628" s="18"/>
      <c r="D628" s="4"/>
      <c r="E628" s="19">
        <v>0.0</v>
      </c>
      <c r="F628" s="19">
        <v>0.0</v>
      </c>
      <c r="G628" s="16" t="s">
        <v>588</v>
      </c>
      <c r="H628" s="21"/>
      <c r="I628" s="22">
        <v>80.0</v>
      </c>
      <c r="J628" s="29"/>
      <c r="K628" s="32">
        <f>122*25</f>
        <v>3050</v>
      </c>
      <c r="L628" s="24">
        <v>5000.0</v>
      </c>
      <c r="M628" s="25"/>
      <c r="N628" s="39"/>
      <c r="O628" s="27">
        <f t="shared" si="75"/>
        <v>0.6393442623</v>
      </c>
      <c r="P628" s="28">
        <f t="shared" si="76"/>
        <v>0</v>
      </c>
    </row>
    <row r="629" hidden="1">
      <c r="A629" s="16" t="s">
        <v>1017</v>
      </c>
      <c r="B629" s="36"/>
      <c r="C629" s="18"/>
      <c r="D629" s="4"/>
      <c r="E629" s="19"/>
      <c r="F629" s="19">
        <v>0.0</v>
      </c>
      <c r="G629" s="16" t="s">
        <v>93</v>
      </c>
      <c r="H629" s="21"/>
      <c r="I629" s="22"/>
      <c r="J629" s="29"/>
      <c r="K629" s="43">
        <v>11400.0</v>
      </c>
      <c r="L629" s="44">
        <v>17000.0</v>
      </c>
      <c r="M629" s="25"/>
      <c r="N629" s="39"/>
      <c r="O629" s="27">
        <f t="shared" si="75"/>
        <v>0.4912280702</v>
      </c>
      <c r="P629" s="28">
        <f t="shared" si="76"/>
        <v>0</v>
      </c>
    </row>
    <row r="630" hidden="1">
      <c r="A630" s="16" t="s">
        <v>1018</v>
      </c>
      <c r="B630" s="178"/>
      <c r="C630" s="18"/>
      <c r="D630" s="4"/>
      <c r="E630" s="19"/>
      <c r="F630" s="19">
        <v>0.0</v>
      </c>
      <c r="G630" s="40" t="s">
        <v>93</v>
      </c>
      <c r="H630" s="21"/>
      <c r="I630" s="22"/>
      <c r="J630" s="29"/>
      <c r="K630" s="43">
        <v>50300.0</v>
      </c>
      <c r="L630" s="44">
        <v>65000.0</v>
      </c>
      <c r="M630" s="25" t="s">
        <v>82</v>
      </c>
      <c r="N630" s="39"/>
      <c r="O630" s="27">
        <f t="shared" si="75"/>
        <v>0.2922465209</v>
      </c>
      <c r="P630" s="28">
        <f t="shared" si="76"/>
        <v>0</v>
      </c>
    </row>
    <row r="631" hidden="1">
      <c r="A631" s="16" t="s">
        <v>1019</v>
      </c>
      <c r="B631" s="17"/>
      <c r="C631" s="18" t="s">
        <v>1020</v>
      </c>
      <c r="D631" s="4"/>
      <c r="E631" s="19">
        <v>0.0</v>
      </c>
      <c r="F631" s="19"/>
      <c r="G631" s="20" t="s">
        <v>610</v>
      </c>
      <c r="H631" s="21"/>
      <c r="I631" s="22"/>
      <c r="J631" s="29"/>
      <c r="K631" s="32">
        <f t="shared" ref="K631:K633" si="77">50420*1.19/4</f>
        <v>14999.95</v>
      </c>
      <c r="L631" s="24">
        <v>22000.0</v>
      </c>
      <c r="M631" s="25"/>
      <c r="N631" s="39"/>
      <c r="O631" s="27">
        <f t="shared" si="75"/>
        <v>0.4666715556</v>
      </c>
      <c r="P631" s="28">
        <f t="shared" si="76"/>
        <v>0</v>
      </c>
    </row>
    <row r="632" hidden="1">
      <c r="A632" s="16" t="s">
        <v>1021</v>
      </c>
      <c r="B632" s="36"/>
      <c r="C632" s="18" t="s">
        <v>1020</v>
      </c>
      <c r="D632" s="4"/>
      <c r="E632" s="19">
        <v>0.0</v>
      </c>
      <c r="F632" s="19"/>
      <c r="G632" s="20" t="s">
        <v>610</v>
      </c>
      <c r="H632" s="21"/>
      <c r="I632" s="22"/>
      <c r="J632" s="29"/>
      <c r="K632" s="32">
        <f t="shared" si="77"/>
        <v>14999.95</v>
      </c>
      <c r="L632" s="24">
        <v>22000.0</v>
      </c>
      <c r="M632" s="25"/>
      <c r="N632" s="39"/>
      <c r="O632" s="27">
        <f t="shared" si="75"/>
        <v>0.4666715556</v>
      </c>
      <c r="P632" s="28">
        <f t="shared" si="76"/>
        <v>0</v>
      </c>
    </row>
    <row r="633" hidden="1">
      <c r="A633" s="16" t="s">
        <v>1022</v>
      </c>
      <c r="B633" s="49"/>
      <c r="C633" s="18"/>
      <c r="D633" s="4"/>
      <c r="E633" s="19">
        <v>0.0</v>
      </c>
      <c r="F633" s="19"/>
      <c r="G633" s="20" t="s">
        <v>610</v>
      </c>
      <c r="H633" s="21"/>
      <c r="I633" s="22"/>
      <c r="J633" s="29"/>
      <c r="K633" s="32">
        <f t="shared" si="77"/>
        <v>14999.95</v>
      </c>
      <c r="L633" s="24">
        <v>22000.0</v>
      </c>
      <c r="M633" s="25"/>
      <c r="N633" s="39"/>
      <c r="O633" s="27">
        <f t="shared" si="75"/>
        <v>0.4666715556</v>
      </c>
      <c r="P633" s="28">
        <f t="shared" si="76"/>
        <v>0</v>
      </c>
    </row>
    <row r="634" hidden="1">
      <c r="A634" s="40" t="s">
        <v>1023</v>
      </c>
      <c r="B634" s="17"/>
      <c r="C634" s="18"/>
      <c r="D634" s="4"/>
      <c r="E634" s="19">
        <v>0.0</v>
      </c>
      <c r="F634" s="19"/>
      <c r="G634" s="20" t="s">
        <v>57</v>
      </c>
      <c r="H634" s="21"/>
      <c r="I634" s="22"/>
      <c r="J634" s="29"/>
      <c r="K634" s="43">
        <v>2600.0</v>
      </c>
      <c r="L634" s="44">
        <v>4000.0</v>
      </c>
      <c r="M634" s="25"/>
      <c r="N634" s="39"/>
      <c r="O634" s="27">
        <f t="shared" si="75"/>
        <v>0.5384615385</v>
      </c>
      <c r="P634" s="28">
        <f t="shared" si="76"/>
        <v>0</v>
      </c>
    </row>
    <row r="635" hidden="1">
      <c r="A635" s="59" t="s">
        <v>1024</v>
      </c>
      <c r="B635" s="134"/>
      <c r="C635" s="18"/>
      <c r="D635" s="4"/>
      <c r="E635" s="19">
        <v>0.0</v>
      </c>
      <c r="F635" s="19">
        <v>0.0</v>
      </c>
      <c r="G635" s="20" t="s">
        <v>26</v>
      </c>
      <c r="H635" s="21"/>
      <c r="I635" s="22">
        <v>100.0</v>
      </c>
      <c r="J635" s="29"/>
      <c r="K635" s="32">
        <v>1900.0</v>
      </c>
      <c r="L635" s="24">
        <v>4000.0</v>
      </c>
      <c r="M635" s="25"/>
      <c r="N635" s="39"/>
      <c r="O635" s="27">
        <f t="shared" si="75"/>
        <v>1.105263158</v>
      </c>
      <c r="P635" s="28">
        <f t="shared" si="76"/>
        <v>0</v>
      </c>
    </row>
    <row r="636" hidden="1">
      <c r="A636" s="122" t="s">
        <v>1025</v>
      </c>
      <c r="B636" s="17"/>
      <c r="C636" s="18"/>
      <c r="D636" s="4"/>
      <c r="E636" s="19">
        <v>0.0</v>
      </c>
      <c r="F636" s="19">
        <v>0.0</v>
      </c>
      <c r="G636" s="16" t="s">
        <v>425</v>
      </c>
      <c r="H636" s="73"/>
      <c r="I636" s="22">
        <v>0.0</v>
      </c>
      <c r="J636" s="74"/>
      <c r="K636" s="75">
        <v>250000.0</v>
      </c>
      <c r="L636" s="44">
        <f t="shared" ref="L636:L638" si="78">K636*1.5</f>
        <v>375000</v>
      </c>
      <c r="M636" s="25"/>
      <c r="N636" s="39"/>
      <c r="O636" s="27">
        <f t="shared" si="75"/>
        <v>0.5</v>
      </c>
      <c r="P636" s="28">
        <f t="shared" si="76"/>
        <v>0</v>
      </c>
    </row>
    <row r="637" hidden="1">
      <c r="A637" s="122" t="s">
        <v>1026</v>
      </c>
      <c r="B637" s="17"/>
      <c r="C637" s="18"/>
      <c r="D637" s="4"/>
      <c r="E637" s="19">
        <v>0.0</v>
      </c>
      <c r="F637" s="19">
        <v>0.0</v>
      </c>
      <c r="G637" s="16" t="s">
        <v>425</v>
      </c>
      <c r="H637" s="73"/>
      <c r="I637" s="22">
        <v>0.0</v>
      </c>
      <c r="J637" s="74"/>
      <c r="K637" s="75">
        <v>41000.0</v>
      </c>
      <c r="L637" s="44">
        <f t="shared" si="78"/>
        <v>61500</v>
      </c>
      <c r="M637" s="25"/>
      <c r="N637" s="39"/>
      <c r="O637" s="27">
        <f t="shared" si="75"/>
        <v>0.5</v>
      </c>
      <c r="P637" s="28">
        <f t="shared" si="76"/>
        <v>0</v>
      </c>
    </row>
    <row r="638" hidden="1">
      <c r="A638" s="122" t="s">
        <v>1027</v>
      </c>
      <c r="B638" s="17"/>
      <c r="C638" s="18"/>
      <c r="D638" s="4"/>
      <c r="E638" s="19">
        <v>0.0</v>
      </c>
      <c r="F638" s="19">
        <v>0.0</v>
      </c>
      <c r="G638" s="16" t="s">
        <v>425</v>
      </c>
      <c r="H638" s="73"/>
      <c r="I638" s="22">
        <v>0.0</v>
      </c>
      <c r="J638" s="74"/>
      <c r="K638" s="75">
        <v>62000.0</v>
      </c>
      <c r="L638" s="44">
        <f t="shared" si="78"/>
        <v>93000</v>
      </c>
      <c r="M638" s="25"/>
      <c r="N638" s="39"/>
      <c r="O638" s="27">
        <f t="shared" si="75"/>
        <v>0.5</v>
      </c>
      <c r="P638" s="28">
        <f t="shared" si="76"/>
        <v>0</v>
      </c>
    </row>
    <row r="639" hidden="1">
      <c r="A639" s="16" t="s">
        <v>1028</v>
      </c>
      <c r="B639" s="36"/>
      <c r="C639" s="18"/>
      <c r="D639" s="4"/>
      <c r="E639" s="19">
        <v>0.0</v>
      </c>
      <c r="F639" s="19"/>
      <c r="G639" s="16" t="s">
        <v>39</v>
      </c>
      <c r="H639" s="21"/>
      <c r="I639" s="22"/>
      <c r="J639" s="29"/>
      <c r="K639" s="32">
        <v>2300.0</v>
      </c>
      <c r="L639" s="24">
        <v>6000.0</v>
      </c>
      <c r="M639" s="25"/>
      <c r="N639" s="39"/>
      <c r="O639" s="27">
        <f t="shared" si="75"/>
        <v>1.608695652</v>
      </c>
      <c r="P639" s="28">
        <f t="shared" si="76"/>
        <v>0</v>
      </c>
    </row>
    <row r="640" hidden="1">
      <c r="A640" s="16" t="s">
        <v>1029</v>
      </c>
      <c r="B640" s="36"/>
      <c r="C640" s="18"/>
      <c r="D640" s="4"/>
      <c r="E640" s="19">
        <v>0.0</v>
      </c>
      <c r="F640" s="19"/>
      <c r="G640" s="16" t="s">
        <v>39</v>
      </c>
      <c r="H640" s="21"/>
      <c r="I640" s="22"/>
      <c r="J640" s="29"/>
      <c r="K640" s="43">
        <v>1986.0</v>
      </c>
      <c r="L640" s="44">
        <v>5500.0</v>
      </c>
      <c r="M640" s="25"/>
      <c r="N640" s="39"/>
      <c r="O640" s="27">
        <f t="shared" si="75"/>
        <v>1.7693857</v>
      </c>
      <c r="P640" s="28">
        <f t="shared" si="76"/>
        <v>0</v>
      </c>
    </row>
    <row r="641" hidden="1">
      <c r="A641" s="16" t="s">
        <v>1030</v>
      </c>
      <c r="B641" s="17"/>
      <c r="C641" s="18"/>
      <c r="D641" s="4"/>
      <c r="E641" s="19">
        <v>0.0</v>
      </c>
      <c r="F641" s="19">
        <v>0.0</v>
      </c>
      <c r="G641" s="16" t="s">
        <v>1031</v>
      </c>
      <c r="H641" s="21"/>
      <c r="I641" s="22">
        <v>134.0</v>
      </c>
      <c r="J641" s="29"/>
      <c r="K641" s="43">
        <v>1200.0</v>
      </c>
      <c r="L641" s="44">
        <v>2000.0</v>
      </c>
      <c r="M641" s="25"/>
      <c r="N641" s="39"/>
      <c r="O641" s="27">
        <f t="shared" si="75"/>
        <v>0.6666666667</v>
      </c>
      <c r="P641" s="28">
        <f t="shared" si="76"/>
        <v>0</v>
      </c>
    </row>
    <row r="642" hidden="1">
      <c r="A642" s="52" t="s">
        <v>1032</v>
      </c>
      <c r="B642" s="17" t="s">
        <v>1033</v>
      </c>
      <c r="C642" s="18"/>
      <c r="D642" s="4"/>
      <c r="E642" s="19"/>
      <c r="F642" s="19">
        <v>0.0</v>
      </c>
      <c r="G642" s="16" t="s">
        <v>1034</v>
      </c>
      <c r="H642" s="21">
        <v>0.0</v>
      </c>
      <c r="I642" s="22"/>
      <c r="J642" s="100"/>
      <c r="K642" s="101">
        <v>1131.0</v>
      </c>
      <c r="L642" s="101">
        <v>2000.0</v>
      </c>
      <c r="M642" s="25"/>
      <c r="N642" s="39"/>
      <c r="O642" s="27">
        <f t="shared" si="75"/>
        <v>0.7683465959</v>
      </c>
      <c r="P642" s="28">
        <f t="shared" si="76"/>
        <v>0</v>
      </c>
    </row>
    <row r="643" hidden="1">
      <c r="A643" s="16" t="s">
        <v>1035</v>
      </c>
      <c r="B643" s="97" t="s">
        <v>1036</v>
      </c>
      <c r="C643" s="18"/>
      <c r="D643" s="98"/>
      <c r="E643" s="19">
        <v>1.0</v>
      </c>
      <c r="F643" s="19"/>
      <c r="G643" s="20" t="s">
        <v>485</v>
      </c>
      <c r="H643" s="21">
        <v>2.0</v>
      </c>
      <c r="I643" s="22"/>
      <c r="J643" s="100"/>
      <c r="K643" s="101">
        <f t="shared" ref="K643:K653" si="79">74900*1.19</f>
        <v>89131</v>
      </c>
      <c r="L643" s="101">
        <v>115000.0</v>
      </c>
      <c r="M643" s="25"/>
      <c r="N643" s="102">
        <v>99000.0</v>
      </c>
      <c r="O643" s="27">
        <f t="shared" si="75"/>
        <v>0.2902357205</v>
      </c>
      <c r="P643" s="28">
        <f t="shared" si="76"/>
        <v>0</v>
      </c>
    </row>
    <row r="644" hidden="1">
      <c r="A644" s="16" t="s">
        <v>1037</v>
      </c>
      <c r="B644" s="97" t="s">
        <v>1038</v>
      </c>
      <c r="C644" s="18"/>
      <c r="D644" s="98"/>
      <c r="E644" s="19">
        <v>1.0</v>
      </c>
      <c r="F644" s="19"/>
      <c r="G644" s="20" t="s">
        <v>485</v>
      </c>
      <c r="H644" s="21">
        <v>2.0</v>
      </c>
      <c r="I644" s="22"/>
      <c r="J644" s="100"/>
      <c r="K644" s="101">
        <f t="shared" si="79"/>
        <v>89131</v>
      </c>
      <c r="L644" s="101">
        <v>115000.0</v>
      </c>
      <c r="M644" s="25"/>
      <c r="N644" s="102">
        <v>99000.0</v>
      </c>
      <c r="O644" s="27">
        <f t="shared" si="75"/>
        <v>0.2902357205</v>
      </c>
      <c r="P644" s="28">
        <f t="shared" si="76"/>
        <v>0</v>
      </c>
    </row>
    <row r="645" hidden="1">
      <c r="A645" s="16" t="s">
        <v>1039</v>
      </c>
      <c r="B645" s="97" t="s">
        <v>1040</v>
      </c>
      <c r="C645" s="18" t="s">
        <v>1041</v>
      </c>
      <c r="D645" s="98"/>
      <c r="E645" s="19">
        <v>1.0</v>
      </c>
      <c r="F645" s="19"/>
      <c r="G645" s="20" t="s">
        <v>485</v>
      </c>
      <c r="H645" s="21">
        <v>2.0</v>
      </c>
      <c r="I645" s="22"/>
      <c r="J645" s="100"/>
      <c r="K645" s="101">
        <f t="shared" si="79"/>
        <v>89131</v>
      </c>
      <c r="L645" s="101">
        <v>115000.0</v>
      </c>
      <c r="M645" s="25"/>
      <c r="N645" s="102">
        <v>99000.0</v>
      </c>
      <c r="O645" s="27">
        <f t="shared" si="75"/>
        <v>0.2902357205</v>
      </c>
      <c r="P645" s="28">
        <f t="shared" si="76"/>
        <v>0</v>
      </c>
    </row>
    <row r="646" hidden="1">
      <c r="A646" s="16" t="s">
        <v>1042</v>
      </c>
      <c r="B646" s="97" t="s">
        <v>1043</v>
      </c>
      <c r="C646" s="18" t="s">
        <v>1044</v>
      </c>
      <c r="D646" s="98"/>
      <c r="E646" s="19">
        <v>3.0</v>
      </c>
      <c r="F646" s="19"/>
      <c r="G646" s="20" t="s">
        <v>485</v>
      </c>
      <c r="H646" s="21">
        <v>0.0</v>
      </c>
      <c r="I646" s="22"/>
      <c r="J646" s="100"/>
      <c r="K646" s="101">
        <f t="shared" si="79"/>
        <v>89131</v>
      </c>
      <c r="L646" s="101">
        <v>115000.0</v>
      </c>
      <c r="M646" s="25"/>
      <c r="N646" s="102">
        <v>99000.0</v>
      </c>
      <c r="O646" s="27">
        <f t="shared" si="75"/>
        <v>0.2902357205</v>
      </c>
      <c r="P646" s="28">
        <f t="shared" si="76"/>
        <v>0</v>
      </c>
    </row>
    <row r="647" hidden="1">
      <c r="A647" s="16" t="s">
        <v>1045</v>
      </c>
      <c r="B647" s="97" t="s">
        <v>1046</v>
      </c>
      <c r="C647" s="18" t="s">
        <v>55</v>
      </c>
      <c r="D647" s="98"/>
      <c r="E647" s="19">
        <v>3.0</v>
      </c>
      <c r="F647" s="19"/>
      <c r="G647" s="20" t="s">
        <v>485</v>
      </c>
      <c r="H647" s="21">
        <v>0.0</v>
      </c>
      <c r="I647" s="22"/>
      <c r="J647" s="100"/>
      <c r="K647" s="101">
        <f t="shared" si="79"/>
        <v>89131</v>
      </c>
      <c r="L647" s="101">
        <v>115000.0</v>
      </c>
      <c r="M647" s="25"/>
      <c r="N647" s="102">
        <v>99000.0</v>
      </c>
      <c r="O647" s="27">
        <f t="shared" si="75"/>
        <v>0.2902357205</v>
      </c>
      <c r="P647" s="28">
        <f t="shared" si="76"/>
        <v>0</v>
      </c>
    </row>
    <row r="648" hidden="1">
      <c r="A648" s="16" t="s">
        <v>1047</v>
      </c>
      <c r="B648" s="142" t="s">
        <v>1048</v>
      </c>
      <c r="C648" s="18"/>
      <c r="D648" s="98"/>
      <c r="E648" s="19">
        <v>0.0</v>
      </c>
      <c r="F648" s="19"/>
      <c r="G648" s="20" t="s">
        <v>1049</v>
      </c>
      <c r="H648" s="21">
        <v>3.0</v>
      </c>
      <c r="I648" s="22"/>
      <c r="J648" s="100"/>
      <c r="K648" s="101">
        <f t="shared" si="79"/>
        <v>89131</v>
      </c>
      <c r="L648" s="101">
        <v>115000.0</v>
      </c>
      <c r="M648" s="25"/>
      <c r="N648" s="102">
        <v>99000.0</v>
      </c>
      <c r="O648" s="27">
        <f t="shared" si="75"/>
        <v>0.2902357205</v>
      </c>
      <c r="P648" s="28">
        <f t="shared" si="76"/>
        <v>0</v>
      </c>
    </row>
    <row r="649" hidden="1">
      <c r="A649" s="16" t="s">
        <v>1050</v>
      </c>
      <c r="B649" s="97" t="s">
        <v>1051</v>
      </c>
      <c r="C649" s="18" t="s">
        <v>55</v>
      </c>
      <c r="D649" s="98"/>
      <c r="E649" s="19">
        <v>3.0</v>
      </c>
      <c r="F649" s="19"/>
      <c r="G649" s="20" t="s">
        <v>485</v>
      </c>
      <c r="H649" s="21">
        <v>0.0</v>
      </c>
      <c r="I649" s="22"/>
      <c r="J649" s="100"/>
      <c r="K649" s="101">
        <f t="shared" si="79"/>
        <v>89131</v>
      </c>
      <c r="L649" s="101">
        <v>115000.0</v>
      </c>
      <c r="M649" s="25"/>
      <c r="N649" s="102">
        <v>99000.0</v>
      </c>
      <c r="O649" s="27">
        <f t="shared" si="75"/>
        <v>0.2902357205</v>
      </c>
      <c r="P649" s="28">
        <f t="shared" si="76"/>
        <v>0</v>
      </c>
    </row>
    <row r="650" hidden="1">
      <c r="A650" s="16" t="s">
        <v>1052</v>
      </c>
      <c r="B650" s="97" t="s">
        <v>1053</v>
      </c>
      <c r="C650" s="18" t="s">
        <v>1041</v>
      </c>
      <c r="D650" s="98"/>
      <c r="E650" s="19">
        <v>3.0</v>
      </c>
      <c r="F650" s="19"/>
      <c r="G650" s="20" t="s">
        <v>485</v>
      </c>
      <c r="H650" s="21">
        <v>0.0</v>
      </c>
      <c r="I650" s="22"/>
      <c r="J650" s="100"/>
      <c r="K650" s="101">
        <f t="shared" si="79"/>
        <v>89131</v>
      </c>
      <c r="L650" s="101">
        <v>115000.0</v>
      </c>
      <c r="M650" s="25"/>
      <c r="N650" s="102">
        <v>99000.0</v>
      </c>
      <c r="O650" s="27">
        <f t="shared" si="75"/>
        <v>0.2902357205</v>
      </c>
      <c r="P650" s="28">
        <f t="shared" si="76"/>
        <v>0</v>
      </c>
    </row>
    <row r="651" hidden="1">
      <c r="A651" s="16" t="s">
        <v>1054</v>
      </c>
      <c r="B651" s="97" t="s">
        <v>1055</v>
      </c>
      <c r="C651" s="18" t="s">
        <v>1044</v>
      </c>
      <c r="D651" s="98"/>
      <c r="E651" s="19">
        <v>2.0</v>
      </c>
      <c r="F651" s="19"/>
      <c r="G651" s="20" t="s">
        <v>485</v>
      </c>
      <c r="H651" s="21">
        <v>1.0</v>
      </c>
      <c r="I651" s="22"/>
      <c r="J651" s="100"/>
      <c r="K651" s="101">
        <f t="shared" si="79"/>
        <v>89131</v>
      </c>
      <c r="L651" s="101">
        <v>115000.0</v>
      </c>
      <c r="M651" s="25"/>
      <c r="N651" s="102">
        <v>99000.0</v>
      </c>
      <c r="O651" s="27">
        <f t="shared" si="75"/>
        <v>0.2902357205</v>
      </c>
      <c r="P651" s="28">
        <f t="shared" si="76"/>
        <v>0</v>
      </c>
    </row>
    <row r="652" hidden="1">
      <c r="A652" s="16" t="s">
        <v>1056</v>
      </c>
      <c r="B652" s="97" t="s">
        <v>1057</v>
      </c>
      <c r="C652" s="18"/>
      <c r="D652" s="98"/>
      <c r="E652" s="19">
        <v>2.0</v>
      </c>
      <c r="F652" s="19"/>
      <c r="G652" s="20" t="s">
        <v>485</v>
      </c>
      <c r="H652" s="21">
        <v>0.0</v>
      </c>
      <c r="I652" s="22"/>
      <c r="J652" s="173"/>
      <c r="K652" s="101">
        <f t="shared" si="79"/>
        <v>89131</v>
      </c>
      <c r="L652" s="101">
        <v>115000.0</v>
      </c>
      <c r="M652" s="25"/>
      <c r="N652" s="102">
        <v>99000.0</v>
      </c>
      <c r="O652" s="27">
        <f t="shared" si="75"/>
        <v>0.2902357205</v>
      </c>
      <c r="P652" s="28">
        <f t="shared" si="76"/>
        <v>0</v>
      </c>
    </row>
    <row r="653" hidden="1">
      <c r="A653" s="16" t="s">
        <v>1058</v>
      </c>
      <c r="B653" s="97" t="s">
        <v>1059</v>
      </c>
      <c r="C653" s="18" t="s">
        <v>55</v>
      </c>
      <c r="D653" s="98"/>
      <c r="E653" s="19">
        <v>1.0</v>
      </c>
      <c r="F653" s="19"/>
      <c r="G653" s="20" t="s">
        <v>485</v>
      </c>
      <c r="H653" s="21">
        <v>2.0</v>
      </c>
      <c r="I653" s="22"/>
      <c r="J653" s="100"/>
      <c r="K653" s="101">
        <f t="shared" si="79"/>
        <v>89131</v>
      </c>
      <c r="L653" s="101">
        <v>115000.0</v>
      </c>
      <c r="M653" s="25"/>
      <c r="N653" s="102">
        <v>99000.0</v>
      </c>
      <c r="O653" s="27">
        <f t="shared" si="75"/>
        <v>0.2902357205</v>
      </c>
      <c r="P653" s="28">
        <f t="shared" si="76"/>
        <v>0</v>
      </c>
    </row>
    <row r="654" hidden="1">
      <c r="A654" s="16" t="s">
        <v>1060</v>
      </c>
      <c r="B654" s="36"/>
      <c r="C654" s="18"/>
      <c r="D654" s="4"/>
      <c r="E654" s="19">
        <v>0.0</v>
      </c>
      <c r="F654" s="19">
        <v>0.0</v>
      </c>
      <c r="G654" s="16" t="s">
        <v>16</v>
      </c>
      <c r="H654" s="21"/>
      <c r="I654" s="22">
        <v>10.0</v>
      </c>
      <c r="J654" s="29"/>
      <c r="K654" s="24">
        <v>25830.0</v>
      </c>
      <c r="L654" s="55">
        <v>90000.0</v>
      </c>
      <c r="M654" s="25"/>
      <c r="N654" s="39"/>
      <c r="O654" s="27"/>
      <c r="P654" s="28"/>
    </row>
    <row r="655" hidden="1">
      <c r="A655" s="59" t="s">
        <v>1061</v>
      </c>
      <c r="B655" s="134" t="s">
        <v>1062</v>
      </c>
      <c r="C655" s="18" t="s">
        <v>55</v>
      </c>
      <c r="D655" s="98"/>
      <c r="E655" s="19">
        <v>0.0</v>
      </c>
      <c r="F655" s="19"/>
      <c r="G655" s="16" t="s">
        <v>485</v>
      </c>
      <c r="H655" s="21">
        <v>0.0</v>
      </c>
      <c r="I655" s="22"/>
      <c r="J655" s="173"/>
      <c r="K655" s="174">
        <f>37187*1.19</f>
        <v>44252.53</v>
      </c>
      <c r="L655" s="175">
        <v>95000.0</v>
      </c>
      <c r="M655" s="25"/>
      <c r="N655" s="26"/>
      <c r="O655" s="27">
        <f t="shared" ref="O655:O752" si="80">(L655/K655)-1</f>
        <v>1.146769913</v>
      </c>
      <c r="P655" s="28">
        <f t="shared" ref="P655:P674" si="81">K655*F655</f>
        <v>0</v>
      </c>
    </row>
    <row r="656" hidden="1">
      <c r="A656" s="42" t="s">
        <v>1063</v>
      </c>
      <c r="B656" s="71"/>
      <c r="C656" s="18" t="s">
        <v>547</v>
      </c>
      <c r="D656" s="4"/>
      <c r="E656" s="19">
        <v>0.0</v>
      </c>
      <c r="F656" s="19"/>
      <c r="G656" s="16" t="s">
        <v>291</v>
      </c>
      <c r="H656" s="21"/>
      <c r="I656" s="22"/>
      <c r="J656" s="29"/>
      <c r="K656" s="44">
        <v>6000.0</v>
      </c>
      <c r="L656" s="44">
        <v>6000.0</v>
      </c>
      <c r="M656" s="25"/>
      <c r="N656" s="39"/>
      <c r="O656" s="27">
        <f t="shared" si="80"/>
        <v>0</v>
      </c>
      <c r="P656" s="28">
        <f t="shared" si="81"/>
        <v>0</v>
      </c>
    </row>
    <row r="657" hidden="1">
      <c r="A657" s="42" t="s">
        <v>1064</v>
      </c>
      <c r="B657" s="71"/>
      <c r="C657" s="18"/>
      <c r="D657" s="4"/>
      <c r="E657" s="19">
        <v>0.0</v>
      </c>
      <c r="F657" s="19"/>
      <c r="G657" s="20" t="s">
        <v>291</v>
      </c>
      <c r="H657" s="21"/>
      <c r="I657" s="22"/>
      <c r="J657" s="29"/>
      <c r="K657" s="43">
        <v>4000.0</v>
      </c>
      <c r="L657" s="44">
        <v>8000.0</v>
      </c>
      <c r="M657" s="25"/>
      <c r="N657" s="39"/>
      <c r="O657" s="27">
        <f t="shared" si="80"/>
        <v>1</v>
      </c>
      <c r="P657" s="28">
        <f t="shared" si="81"/>
        <v>0</v>
      </c>
    </row>
    <row r="658" hidden="1">
      <c r="A658" s="42" t="s">
        <v>1065</v>
      </c>
      <c r="B658" s="71"/>
      <c r="C658" s="18"/>
      <c r="D658" s="4"/>
      <c r="E658" s="19">
        <v>0.0</v>
      </c>
      <c r="F658" s="19"/>
      <c r="G658" s="151" t="s">
        <v>625</v>
      </c>
      <c r="H658" s="21"/>
      <c r="I658" s="22"/>
      <c r="J658" s="29"/>
      <c r="K658" s="43">
        <v>2000.0</v>
      </c>
      <c r="L658" s="44">
        <v>10000.0</v>
      </c>
      <c r="M658" s="25"/>
      <c r="N658" s="39"/>
      <c r="O658" s="27">
        <f t="shared" si="80"/>
        <v>4</v>
      </c>
      <c r="P658" s="28">
        <f t="shared" si="81"/>
        <v>0</v>
      </c>
    </row>
    <row r="659" hidden="1">
      <c r="A659" s="42" t="s">
        <v>1066</v>
      </c>
      <c r="B659" s="71"/>
      <c r="C659" s="18"/>
      <c r="D659" s="4"/>
      <c r="E659" s="19">
        <v>20.0</v>
      </c>
      <c r="F659" s="19">
        <v>0.0</v>
      </c>
      <c r="G659" s="16" t="s">
        <v>513</v>
      </c>
      <c r="H659" s="21"/>
      <c r="I659" s="22">
        <v>10.0</v>
      </c>
      <c r="J659" s="29"/>
      <c r="K659" s="32">
        <f>10000*1.19</f>
        <v>11900</v>
      </c>
      <c r="L659" s="32">
        <v>15000.0</v>
      </c>
      <c r="M659" s="25"/>
      <c r="N659" s="39"/>
      <c r="O659" s="27">
        <f t="shared" si="80"/>
        <v>0.2605042017</v>
      </c>
      <c r="P659" s="28">
        <f t="shared" si="81"/>
        <v>0</v>
      </c>
    </row>
    <row r="660" hidden="1">
      <c r="A660" s="16" t="s">
        <v>1067</v>
      </c>
      <c r="B660" s="36"/>
      <c r="C660" s="18"/>
      <c r="D660" s="4"/>
      <c r="E660" s="19">
        <v>0.0</v>
      </c>
      <c r="F660" s="19">
        <v>0.0</v>
      </c>
      <c r="G660" s="16" t="s">
        <v>16</v>
      </c>
      <c r="H660" s="21"/>
      <c r="I660" s="22">
        <v>2.0</v>
      </c>
      <c r="J660" s="29"/>
      <c r="K660" s="32">
        <v>51618.0</v>
      </c>
      <c r="L660" s="55">
        <v>100000.0</v>
      </c>
      <c r="M660" s="25"/>
      <c r="N660" s="102">
        <v>70000.0</v>
      </c>
      <c r="O660" s="27">
        <f t="shared" si="80"/>
        <v>0.9373086908</v>
      </c>
      <c r="P660" s="28">
        <f t="shared" si="81"/>
        <v>0</v>
      </c>
    </row>
    <row r="661" hidden="1">
      <c r="A661" s="16" t="s">
        <v>1068</v>
      </c>
      <c r="B661" s="36"/>
      <c r="C661" s="18"/>
      <c r="D661" s="4"/>
      <c r="E661" s="19">
        <v>0.0</v>
      </c>
      <c r="F661" s="19">
        <v>0.0</v>
      </c>
      <c r="G661" s="16" t="s">
        <v>16</v>
      </c>
      <c r="H661" s="21"/>
      <c r="I661" s="22">
        <v>9.0</v>
      </c>
      <c r="J661" s="29"/>
      <c r="K661" s="43">
        <v>42210.0</v>
      </c>
      <c r="L661" s="55">
        <v>120000.0</v>
      </c>
      <c r="M661" s="25"/>
      <c r="N661" s="39"/>
      <c r="O661" s="27">
        <f t="shared" si="80"/>
        <v>1.842928216</v>
      </c>
      <c r="P661" s="28">
        <f t="shared" si="81"/>
        <v>0</v>
      </c>
    </row>
    <row r="662" hidden="1">
      <c r="A662" s="16" t="s">
        <v>1069</v>
      </c>
      <c r="B662" s="36"/>
      <c r="C662" s="18"/>
      <c r="D662" s="4" t="s">
        <v>796</v>
      </c>
      <c r="E662" s="19">
        <v>0.0</v>
      </c>
      <c r="F662" s="19">
        <v>100.0</v>
      </c>
      <c r="G662" s="20" t="s">
        <v>1070</v>
      </c>
      <c r="H662" s="21"/>
      <c r="I662" s="22">
        <v>30.0</v>
      </c>
      <c r="J662" s="29"/>
      <c r="K662" s="43">
        <v>2200.0</v>
      </c>
      <c r="L662" s="44">
        <v>6000.0</v>
      </c>
      <c r="M662" s="25"/>
      <c r="N662" s="102">
        <v>4000.0</v>
      </c>
      <c r="O662" s="27">
        <f t="shared" si="80"/>
        <v>1.727272727</v>
      </c>
      <c r="P662" s="28">
        <f t="shared" si="81"/>
        <v>220000</v>
      </c>
    </row>
    <row r="663" hidden="1">
      <c r="A663" s="16" t="s">
        <v>1071</v>
      </c>
      <c r="B663" s="36"/>
      <c r="C663" s="18"/>
      <c r="D663" s="110"/>
      <c r="E663" s="19">
        <v>0.0</v>
      </c>
      <c r="F663" s="19">
        <v>0.0</v>
      </c>
      <c r="G663" s="20" t="s">
        <v>1070</v>
      </c>
      <c r="H663" s="21"/>
      <c r="I663" s="22">
        <f>7*20</f>
        <v>140</v>
      </c>
      <c r="J663" s="29"/>
      <c r="K663" s="43">
        <v>2200.0</v>
      </c>
      <c r="L663" s="44">
        <v>6000.0</v>
      </c>
      <c r="M663" s="25"/>
      <c r="N663" s="102">
        <v>4000.0</v>
      </c>
      <c r="O663" s="27">
        <f t="shared" si="80"/>
        <v>1.727272727</v>
      </c>
      <c r="P663" s="28">
        <f t="shared" si="81"/>
        <v>0</v>
      </c>
    </row>
    <row r="664" hidden="1">
      <c r="A664" s="16" t="s">
        <v>1072</v>
      </c>
      <c r="B664" s="36"/>
      <c r="C664" s="18"/>
      <c r="D664" s="4" t="s">
        <v>796</v>
      </c>
      <c r="E664" s="19">
        <v>0.0</v>
      </c>
      <c r="F664" s="19">
        <v>50.0</v>
      </c>
      <c r="G664" s="20" t="s">
        <v>1070</v>
      </c>
      <c r="H664" s="21"/>
      <c r="I664" s="22">
        <v>60.0</v>
      </c>
      <c r="J664" s="29"/>
      <c r="K664" s="43">
        <v>2200.0</v>
      </c>
      <c r="L664" s="44">
        <v>6000.0</v>
      </c>
      <c r="M664" s="25"/>
      <c r="N664" s="102">
        <v>4000.0</v>
      </c>
      <c r="O664" s="27">
        <f t="shared" si="80"/>
        <v>1.727272727</v>
      </c>
      <c r="P664" s="28">
        <f t="shared" si="81"/>
        <v>110000</v>
      </c>
    </row>
    <row r="665" hidden="1">
      <c r="A665" s="16" t="s">
        <v>1073</v>
      </c>
      <c r="B665" s="36"/>
      <c r="C665" s="18"/>
      <c r="D665" s="4"/>
      <c r="E665" s="19">
        <v>0.0</v>
      </c>
      <c r="F665" s="19">
        <v>0.0</v>
      </c>
      <c r="G665" s="20" t="s">
        <v>1070</v>
      </c>
      <c r="H665" s="21"/>
      <c r="I665" s="22">
        <v>100.0</v>
      </c>
      <c r="J665" s="29"/>
      <c r="K665" s="43">
        <v>2200.0</v>
      </c>
      <c r="L665" s="44">
        <v>6000.0</v>
      </c>
      <c r="M665" s="25"/>
      <c r="N665" s="102">
        <v>4000.0</v>
      </c>
      <c r="O665" s="27">
        <f t="shared" si="80"/>
        <v>1.727272727</v>
      </c>
      <c r="P665" s="28">
        <f t="shared" si="81"/>
        <v>0</v>
      </c>
    </row>
    <row r="666" hidden="1">
      <c r="A666" s="59" t="s">
        <v>1074</v>
      </c>
      <c r="B666" s="134" t="s">
        <v>1075</v>
      </c>
      <c r="C666" s="18" t="s">
        <v>845</v>
      </c>
      <c r="D666" s="98"/>
      <c r="E666" s="19">
        <v>0.0</v>
      </c>
      <c r="F666" s="19"/>
      <c r="G666" s="16" t="s">
        <v>485</v>
      </c>
      <c r="H666" s="21">
        <v>0.0</v>
      </c>
      <c r="I666" s="22"/>
      <c r="J666" s="29"/>
      <c r="K666" s="32">
        <f>18950*1.19</f>
        <v>22550.5</v>
      </c>
      <c r="L666" s="165">
        <v>35000.0</v>
      </c>
      <c r="M666" s="25"/>
      <c r="N666" s="26"/>
      <c r="O666" s="27">
        <f t="shared" si="80"/>
        <v>0.5520720161</v>
      </c>
      <c r="P666" s="28">
        <f t="shared" si="81"/>
        <v>0</v>
      </c>
    </row>
    <row r="667" hidden="1">
      <c r="A667" s="149" t="s">
        <v>1076</v>
      </c>
      <c r="B667" s="71"/>
      <c r="C667" s="18"/>
      <c r="D667" s="181"/>
      <c r="E667" s="19">
        <v>0.0</v>
      </c>
      <c r="F667" s="19"/>
      <c r="G667" s="16" t="s">
        <v>1077</v>
      </c>
      <c r="H667" s="21"/>
      <c r="I667" s="22"/>
      <c r="J667" s="29"/>
      <c r="K667" s="32">
        <v>400.0</v>
      </c>
      <c r="L667" s="24">
        <v>1500.0</v>
      </c>
      <c r="M667" s="25"/>
      <c r="N667" s="39"/>
      <c r="O667" s="27">
        <f t="shared" si="80"/>
        <v>2.75</v>
      </c>
      <c r="P667" s="28">
        <f t="shared" si="81"/>
        <v>0</v>
      </c>
    </row>
    <row r="668" hidden="1">
      <c r="A668" s="16" t="s">
        <v>1078</v>
      </c>
      <c r="B668" s="36"/>
      <c r="C668" s="18"/>
      <c r="D668" s="4"/>
      <c r="E668" s="19">
        <v>0.0</v>
      </c>
      <c r="F668" s="19">
        <v>0.0</v>
      </c>
      <c r="G668" s="54" t="s">
        <v>63</v>
      </c>
      <c r="H668" s="21"/>
      <c r="I668" s="22">
        <v>0.0</v>
      </c>
      <c r="J668" s="29"/>
      <c r="K668" s="43">
        <f>112640/2</f>
        <v>56320</v>
      </c>
      <c r="L668" s="44">
        <v>80000.0</v>
      </c>
      <c r="M668" s="25"/>
      <c r="N668" s="39"/>
      <c r="O668" s="27">
        <f t="shared" si="80"/>
        <v>0.4204545455</v>
      </c>
      <c r="P668" s="28">
        <f t="shared" si="81"/>
        <v>0</v>
      </c>
    </row>
    <row r="669" hidden="1">
      <c r="A669" s="16" t="s">
        <v>1079</v>
      </c>
      <c r="B669" s="17"/>
      <c r="C669" s="18"/>
      <c r="D669" s="4"/>
      <c r="E669" s="19">
        <v>0.0</v>
      </c>
      <c r="F669" s="19">
        <v>0.0</v>
      </c>
      <c r="G669" s="16" t="s">
        <v>760</v>
      </c>
      <c r="H669" s="21"/>
      <c r="I669" s="22">
        <v>0.0</v>
      </c>
      <c r="J669" s="29"/>
      <c r="K669" s="43">
        <v>2000.0</v>
      </c>
      <c r="L669" s="44">
        <v>10000.0</v>
      </c>
      <c r="M669" s="25"/>
      <c r="N669" s="39"/>
      <c r="O669" s="27">
        <f t="shared" si="80"/>
        <v>4</v>
      </c>
      <c r="P669" s="28">
        <f t="shared" si="81"/>
        <v>0</v>
      </c>
    </row>
    <row r="670" hidden="1">
      <c r="A670" s="52" t="s">
        <v>1080</v>
      </c>
      <c r="B670" s="17"/>
      <c r="C670" s="18"/>
      <c r="D670" s="4"/>
      <c r="E670" s="19">
        <v>0.0</v>
      </c>
      <c r="F670" s="19">
        <v>0.0</v>
      </c>
      <c r="G670" s="16" t="s">
        <v>462</v>
      </c>
      <c r="H670" s="21"/>
      <c r="I670" s="22">
        <v>0.0</v>
      </c>
      <c r="J670" s="29"/>
      <c r="K670" s="43">
        <f>23400*1.19</f>
        <v>27846</v>
      </c>
      <c r="L670" s="44">
        <v>40000.0</v>
      </c>
      <c r="M670" s="25"/>
      <c r="N670" s="39"/>
      <c r="O670" s="27">
        <f t="shared" si="80"/>
        <v>0.4364720247</v>
      </c>
      <c r="P670" s="28">
        <f t="shared" si="81"/>
        <v>0</v>
      </c>
    </row>
    <row r="671" hidden="1">
      <c r="A671" s="59" t="s">
        <v>1081</v>
      </c>
      <c r="B671" s="36"/>
      <c r="C671" s="18"/>
      <c r="D671" s="110"/>
      <c r="E671" s="19"/>
      <c r="F671" s="19">
        <v>2.0</v>
      </c>
      <c r="G671" s="16" t="s">
        <v>93</v>
      </c>
      <c r="H671" s="21"/>
      <c r="I671" s="22"/>
      <c r="J671" s="29"/>
      <c r="K671" s="32">
        <v>22480.0</v>
      </c>
      <c r="L671" s="24">
        <v>28000.0</v>
      </c>
      <c r="M671" s="25"/>
      <c r="N671" s="39"/>
      <c r="O671" s="27">
        <f t="shared" si="80"/>
        <v>0.2455516014</v>
      </c>
      <c r="P671" s="28">
        <f t="shared" si="81"/>
        <v>44960</v>
      </c>
    </row>
    <row r="672" hidden="1">
      <c r="A672" s="52" t="s">
        <v>1082</v>
      </c>
      <c r="B672" s="17"/>
      <c r="C672" s="18"/>
      <c r="D672" s="4"/>
      <c r="E672" s="19">
        <v>0.0</v>
      </c>
      <c r="F672" s="19"/>
      <c r="G672" s="20" t="s">
        <v>60</v>
      </c>
      <c r="H672" s="21"/>
      <c r="I672" s="22"/>
      <c r="J672" s="29"/>
      <c r="K672" s="32">
        <v>500.0</v>
      </c>
      <c r="L672" s="24">
        <v>1000.0</v>
      </c>
      <c r="M672" s="25"/>
      <c r="N672" s="39"/>
      <c r="O672" s="27">
        <f t="shared" si="80"/>
        <v>1</v>
      </c>
      <c r="P672" s="28">
        <f t="shared" si="81"/>
        <v>0</v>
      </c>
    </row>
    <row r="673" hidden="1">
      <c r="A673" s="16" t="s">
        <v>1083</v>
      </c>
      <c r="B673" s="51"/>
      <c r="C673" s="18"/>
      <c r="D673" s="98"/>
      <c r="E673" s="19">
        <v>0.0</v>
      </c>
      <c r="F673" s="19"/>
      <c r="G673" s="20" t="s">
        <v>485</v>
      </c>
      <c r="H673" s="21">
        <v>3.0</v>
      </c>
      <c r="I673" s="22"/>
      <c r="J673" s="182"/>
      <c r="K673" s="55">
        <v>273819.0</v>
      </c>
      <c r="L673" s="55">
        <v>320000.0</v>
      </c>
      <c r="M673" s="25"/>
      <c r="N673" s="39"/>
      <c r="O673" s="27">
        <f t="shared" si="80"/>
        <v>0.1686552065</v>
      </c>
      <c r="P673" s="28">
        <f t="shared" si="81"/>
        <v>0</v>
      </c>
    </row>
    <row r="674" hidden="1">
      <c r="A674" s="16" t="s">
        <v>1084</v>
      </c>
      <c r="B674" s="36"/>
      <c r="C674" s="18"/>
      <c r="D674" s="4"/>
      <c r="E674" s="19">
        <v>0.0</v>
      </c>
      <c r="F674" s="19">
        <v>0.0</v>
      </c>
      <c r="G674" s="20" t="s">
        <v>1085</v>
      </c>
      <c r="H674" s="21"/>
      <c r="I674" s="22"/>
      <c r="J674" s="47">
        <v>46569.0</v>
      </c>
      <c r="K674" s="48">
        <v>12285.0</v>
      </c>
      <c r="L674" s="55">
        <v>18000.0</v>
      </c>
      <c r="M674" s="25"/>
      <c r="N674" s="39"/>
      <c r="O674" s="27">
        <f t="shared" si="80"/>
        <v>0.4652014652</v>
      </c>
      <c r="P674" s="28">
        <f t="shared" si="81"/>
        <v>0</v>
      </c>
    </row>
    <row r="675" hidden="1">
      <c r="A675" s="52" t="s">
        <v>1086</v>
      </c>
      <c r="B675" s="16"/>
      <c r="C675" s="18"/>
      <c r="D675" s="98"/>
      <c r="E675" s="19">
        <v>0.0</v>
      </c>
      <c r="F675" s="19">
        <v>0.0</v>
      </c>
      <c r="G675" s="16" t="s">
        <v>613</v>
      </c>
      <c r="H675" s="21"/>
      <c r="I675" s="22"/>
      <c r="J675" s="47"/>
      <c r="K675" s="48">
        <v>10985.0</v>
      </c>
      <c r="L675" s="48">
        <v>16000.0</v>
      </c>
      <c r="M675" s="25"/>
      <c r="N675" s="39"/>
      <c r="O675" s="27">
        <f t="shared" si="80"/>
        <v>0.456531634</v>
      </c>
      <c r="P675" s="28"/>
    </row>
    <row r="676" hidden="1">
      <c r="A676" s="52" t="s">
        <v>1087</v>
      </c>
      <c r="B676" s="16" t="s">
        <v>1088</v>
      </c>
      <c r="C676" s="18"/>
      <c r="D676" s="98"/>
      <c r="E676" s="19"/>
      <c r="F676" s="19"/>
      <c r="G676" s="16" t="s">
        <v>88</v>
      </c>
      <c r="H676" s="21"/>
      <c r="I676" s="22">
        <v>4.0</v>
      </c>
      <c r="J676" s="47">
        <v>46174.0</v>
      </c>
      <c r="K676" s="48">
        <v>13101.0</v>
      </c>
      <c r="L676" s="48">
        <v>18000.0</v>
      </c>
      <c r="M676" s="25"/>
      <c r="N676" s="39"/>
      <c r="O676" s="27">
        <f t="shared" si="80"/>
        <v>0.3739409205</v>
      </c>
      <c r="P676" s="28">
        <f t="shared" ref="P676:P752" si="82">K676*F676</f>
        <v>0</v>
      </c>
    </row>
    <row r="677" hidden="1">
      <c r="A677" s="16" t="s">
        <v>1089</v>
      </c>
      <c r="B677" s="16" t="s">
        <v>1090</v>
      </c>
      <c r="C677" s="18"/>
      <c r="D677" s="4"/>
      <c r="E677" s="19">
        <v>15.0</v>
      </c>
      <c r="F677" s="19">
        <v>0.0</v>
      </c>
      <c r="G677" s="16" t="s">
        <v>1090</v>
      </c>
      <c r="H677" s="21"/>
      <c r="I677" s="22">
        <v>0.0</v>
      </c>
      <c r="J677" s="47">
        <v>46419.0</v>
      </c>
      <c r="K677" s="48">
        <v>8970.0</v>
      </c>
      <c r="L677" s="55">
        <v>12000.0</v>
      </c>
      <c r="M677" s="25"/>
      <c r="N677" s="39"/>
      <c r="O677" s="27">
        <f t="shared" si="80"/>
        <v>0.3377926421</v>
      </c>
      <c r="P677" s="28">
        <f t="shared" si="82"/>
        <v>0</v>
      </c>
    </row>
    <row r="678" hidden="1">
      <c r="A678" s="59" t="s">
        <v>1091</v>
      </c>
      <c r="B678" s="97" t="s">
        <v>1092</v>
      </c>
      <c r="C678" s="18" t="s">
        <v>845</v>
      </c>
      <c r="D678" s="98"/>
      <c r="E678" s="19">
        <v>0.0</v>
      </c>
      <c r="F678" s="19"/>
      <c r="G678" s="20" t="s">
        <v>485</v>
      </c>
      <c r="H678" s="21">
        <v>0.0</v>
      </c>
      <c r="I678" s="22"/>
      <c r="J678" s="173"/>
      <c r="K678" s="24">
        <f>47617*1.19</f>
        <v>56664.23</v>
      </c>
      <c r="L678" s="24">
        <v>95000.0</v>
      </c>
      <c r="M678" s="25"/>
      <c r="N678" s="39"/>
      <c r="O678" s="27">
        <f t="shared" si="80"/>
        <v>0.6765426796</v>
      </c>
      <c r="P678" s="28">
        <f t="shared" si="82"/>
        <v>0</v>
      </c>
    </row>
    <row r="679" hidden="1">
      <c r="A679" s="40" t="s">
        <v>1093</v>
      </c>
      <c r="B679" s="36" t="s">
        <v>1094</v>
      </c>
      <c r="C679" s="18"/>
      <c r="D679" s="4"/>
      <c r="E679" s="19">
        <v>0.0</v>
      </c>
      <c r="F679" s="19"/>
      <c r="G679" s="20" t="s">
        <v>1095</v>
      </c>
      <c r="H679" s="21"/>
      <c r="I679" s="22">
        <v>35.0</v>
      </c>
      <c r="J679" s="29"/>
      <c r="K679" s="48">
        <v>6783.0</v>
      </c>
      <c r="L679" s="55">
        <v>12000.0</v>
      </c>
      <c r="M679" s="25"/>
      <c r="N679" s="39"/>
      <c r="O679" s="27">
        <f t="shared" si="80"/>
        <v>0.7691287041</v>
      </c>
      <c r="P679" s="28">
        <f t="shared" si="82"/>
        <v>0</v>
      </c>
    </row>
    <row r="680" hidden="1">
      <c r="A680" s="16" t="s">
        <v>1096</v>
      </c>
      <c r="B680" s="183" t="s">
        <v>1097</v>
      </c>
      <c r="C680" s="18" t="s">
        <v>1098</v>
      </c>
      <c r="D680" s="4"/>
      <c r="E680" s="19"/>
      <c r="F680" s="19"/>
      <c r="G680" s="16" t="s">
        <v>1099</v>
      </c>
      <c r="H680" s="21">
        <v>0.0</v>
      </c>
      <c r="I680" s="22"/>
      <c r="J680" s="29"/>
      <c r="K680" s="48">
        <v>17017.0</v>
      </c>
      <c r="L680" s="48">
        <v>24000.0</v>
      </c>
      <c r="M680" s="25"/>
      <c r="N680" s="26" t="s">
        <v>1100</v>
      </c>
      <c r="O680" s="27">
        <f t="shared" si="80"/>
        <v>0.4103543515</v>
      </c>
      <c r="P680" s="28">
        <f t="shared" si="82"/>
        <v>0</v>
      </c>
    </row>
    <row r="681" hidden="1">
      <c r="A681" s="42" t="s">
        <v>1101</v>
      </c>
      <c r="B681" s="71"/>
      <c r="C681" s="18"/>
      <c r="D681" s="4"/>
      <c r="E681" s="19">
        <v>0.0</v>
      </c>
      <c r="F681" s="19"/>
      <c r="G681" s="16" t="s">
        <v>553</v>
      </c>
      <c r="H681" s="21"/>
      <c r="I681" s="22"/>
      <c r="J681" s="29"/>
      <c r="K681" s="32">
        <f>590*1.19</f>
        <v>702.1</v>
      </c>
      <c r="L681" s="24">
        <v>1500.0</v>
      </c>
      <c r="M681" s="25"/>
      <c r="N681" s="26"/>
      <c r="O681" s="27">
        <f t="shared" si="80"/>
        <v>1.136447799</v>
      </c>
      <c r="P681" s="28">
        <f t="shared" si="82"/>
        <v>0</v>
      </c>
    </row>
    <row r="682" hidden="1">
      <c r="A682" s="122" t="s">
        <v>1102</v>
      </c>
      <c r="B682" s="17">
        <v>242001.0</v>
      </c>
      <c r="C682" s="18"/>
      <c r="D682" s="4"/>
      <c r="E682" s="19">
        <v>0.0</v>
      </c>
      <c r="F682" s="19">
        <v>0.0</v>
      </c>
      <c r="G682" s="16" t="s">
        <v>659</v>
      </c>
      <c r="H682" s="73"/>
      <c r="I682" s="22">
        <v>0.0</v>
      </c>
      <c r="J682" s="74"/>
      <c r="K682" s="75">
        <v>4500.0</v>
      </c>
      <c r="L682" s="44">
        <v>7000.0</v>
      </c>
      <c r="M682" s="25"/>
      <c r="N682" s="39"/>
      <c r="O682" s="27">
        <f t="shared" si="80"/>
        <v>0.5555555556</v>
      </c>
      <c r="P682" s="28">
        <f t="shared" si="82"/>
        <v>0</v>
      </c>
    </row>
    <row r="683" hidden="1">
      <c r="A683" s="122" t="s">
        <v>1103</v>
      </c>
      <c r="B683" s="17">
        <v>242002.0</v>
      </c>
      <c r="C683" s="18"/>
      <c r="D683" s="4"/>
      <c r="E683" s="19">
        <v>0.0</v>
      </c>
      <c r="F683" s="19">
        <v>0.0</v>
      </c>
      <c r="G683" s="16" t="s">
        <v>659</v>
      </c>
      <c r="H683" s="73"/>
      <c r="I683" s="22">
        <v>13.0</v>
      </c>
      <c r="J683" s="74"/>
      <c r="K683" s="75">
        <f>5796*1.19</f>
        <v>6897.24</v>
      </c>
      <c r="L683" s="75">
        <v>10000.0</v>
      </c>
      <c r="M683" s="25"/>
      <c r="N683" s="39"/>
      <c r="O683" s="27">
        <f t="shared" si="80"/>
        <v>0.4498553044</v>
      </c>
      <c r="P683" s="28">
        <f t="shared" si="82"/>
        <v>0</v>
      </c>
    </row>
    <row r="684" hidden="1">
      <c r="A684" s="122" t="s">
        <v>1104</v>
      </c>
      <c r="B684" s="17">
        <v>242003.0</v>
      </c>
      <c r="C684" s="18"/>
      <c r="D684" s="4"/>
      <c r="E684" s="19">
        <v>0.0</v>
      </c>
      <c r="F684" s="19">
        <v>0.0</v>
      </c>
      <c r="G684" s="16" t="s">
        <v>659</v>
      </c>
      <c r="H684" s="73"/>
      <c r="I684" s="22">
        <v>10.0</v>
      </c>
      <c r="J684" s="74"/>
      <c r="K684" s="75">
        <v>5300.0</v>
      </c>
      <c r="L684" s="44">
        <v>7000.0</v>
      </c>
      <c r="M684" s="25"/>
      <c r="N684" s="39"/>
      <c r="O684" s="27">
        <f t="shared" si="80"/>
        <v>0.320754717</v>
      </c>
      <c r="P684" s="28">
        <f t="shared" si="82"/>
        <v>0</v>
      </c>
    </row>
    <row r="685" hidden="1">
      <c r="A685" s="16" t="s">
        <v>1105</v>
      </c>
      <c r="B685" s="49" t="s">
        <v>689</v>
      </c>
      <c r="C685" s="18"/>
      <c r="D685" s="4"/>
      <c r="E685" s="19">
        <v>0.0</v>
      </c>
      <c r="F685" s="19">
        <v>0.0</v>
      </c>
      <c r="G685" s="16" t="s">
        <v>16</v>
      </c>
      <c r="H685" s="21"/>
      <c r="I685" s="22">
        <v>30.0</v>
      </c>
      <c r="J685" s="29"/>
      <c r="K685" s="43">
        <v>1433.0</v>
      </c>
      <c r="L685" s="44">
        <v>14000.0</v>
      </c>
      <c r="M685" s="25"/>
      <c r="N685" s="102">
        <v>9000.0</v>
      </c>
      <c r="O685" s="27">
        <f t="shared" si="80"/>
        <v>8.769713887</v>
      </c>
      <c r="P685" s="28">
        <f t="shared" si="82"/>
        <v>0</v>
      </c>
    </row>
    <row r="686" hidden="1">
      <c r="A686" s="122" t="s">
        <v>1106</v>
      </c>
      <c r="B686" s="17">
        <v>241017.0</v>
      </c>
      <c r="C686" s="18"/>
      <c r="D686" s="4"/>
      <c r="E686" s="19">
        <v>0.0</v>
      </c>
      <c r="F686" s="19">
        <v>0.0</v>
      </c>
      <c r="G686" s="16" t="s">
        <v>659</v>
      </c>
      <c r="H686" s="73"/>
      <c r="I686" s="22">
        <v>30.0</v>
      </c>
      <c r="J686" s="74"/>
      <c r="K686" s="75">
        <f>697*1.19</f>
        <v>829.43</v>
      </c>
      <c r="L686" s="44">
        <v>2000.0</v>
      </c>
      <c r="M686" s="25"/>
      <c r="N686" s="39"/>
      <c r="O686" s="27">
        <f t="shared" si="80"/>
        <v>1.411294503</v>
      </c>
      <c r="P686" s="28">
        <f t="shared" si="82"/>
        <v>0</v>
      </c>
    </row>
    <row r="687" hidden="1">
      <c r="A687" s="122" t="s">
        <v>1107</v>
      </c>
      <c r="B687" s="17"/>
      <c r="C687" s="92">
        <v>321300.0</v>
      </c>
      <c r="D687" s="4"/>
      <c r="E687" s="19">
        <v>0.0</v>
      </c>
      <c r="F687" s="19">
        <v>0.0</v>
      </c>
      <c r="G687" s="16" t="s">
        <v>1108</v>
      </c>
      <c r="H687" s="73"/>
      <c r="I687" s="22">
        <v>4.0</v>
      </c>
      <c r="J687" s="74"/>
      <c r="K687" s="184">
        <v>321300.0</v>
      </c>
      <c r="L687" s="55"/>
      <c r="M687" s="25"/>
      <c r="N687" s="102"/>
      <c r="O687" s="27">
        <f t="shared" si="80"/>
        <v>-1</v>
      </c>
      <c r="P687" s="28">
        <f t="shared" si="82"/>
        <v>0</v>
      </c>
    </row>
    <row r="688" hidden="1">
      <c r="A688" s="122" t="s">
        <v>1109</v>
      </c>
      <c r="B688" s="17"/>
      <c r="C688" s="18"/>
      <c r="D688" s="4"/>
      <c r="E688" s="19">
        <v>0.0</v>
      </c>
      <c r="F688" s="19">
        <v>0.0</v>
      </c>
      <c r="G688" s="16" t="s">
        <v>16</v>
      </c>
      <c r="H688" s="73"/>
      <c r="I688" s="22">
        <v>10.0</v>
      </c>
      <c r="J688" s="74"/>
      <c r="K688" s="44">
        <v>90000.0</v>
      </c>
      <c r="L688" s="44">
        <v>90000.0</v>
      </c>
      <c r="M688" s="25"/>
      <c r="N688" s="39"/>
      <c r="O688" s="27">
        <f t="shared" si="80"/>
        <v>0</v>
      </c>
      <c r="P688" s="28">
        <f t="shared" si="82"/>
        <v>0</v>
      </c>
    </row>
    <row r="689" hidden="1">
      <c r="A689" s="42" t="s">
        <v>1110</v>
      </c>
      <c r="B689" s="17" t="s">
        <v>1111</v>
      </c>
      <c r="C689" s="18"/>
      <c r="D689" s="19"/>
      <c r="E689" s="19">
        <v>0.0</v>
      </c>
      <c r="F689" s="19">
        <v>0.0</v>
      </c>
      <c r="G689" s="54" t="s">
        <v>1112</v>
      </c>
      <c r="H689" s="21"/>
      <c r="I689" s="22">
        <v>3.0</v>
      </c>
      <c r="J689" s="29"/>
      <c r="K689" s="32">
        <v>47430.0</v>
      </c>
      <c r="L689" s="32">
        <v>78000.0</v>
      </c>
      <c r="M689" s="25" t="s">
        <v>82</v>
      </c>
      <c r="N689" s="26">
        <v>48000.0</v>
      </c>
      <c r="O689" s="27">
        <f t="shared" si="80"/>
        <v>0.6445287793</v>
      </c>
      <c r="P689" s="28">
        <f t="shared" si="82"/>
        <v>0</v>
      </c>
    </row>
    <row r="690" hidden="1">
      <c r="A690" s="118" t="s">
        <v>1113</v>
      </c>
      <c r="B690" s="17" t="s">
        <v>1114</v>
      </c>
      <c r="C690" s="18"/>
      <c r="D690" s="67"/>
      <c r="E690" s="19">
        <v>0.0</v>
      </c>
      <c r="F690" s="19">
        <v>0.0</v>
      </c>
      <c r="G690" s="16" t="s">
        <v>1115</v>
      </c>
      <c r="H690" s="33"/>
      <c r="I690" s="22">
        <v>11.0</v>
      </c>
      <c r="J690" s="34"/>
      <c r="K690" s="48">
        <v>7800.0</v>
      </c>
      <c r="L690" s="55">
        <v>12000.0</v>
      </c>
      <c r="M690" s="25"/>
      <c r="N690" s="39"/>
      <c r="O690" s="27">
        <f t="shared" si="80"/>
        <v>0.5384615385</v>
      </c>
      <c r="P690" s="28">
        <f t="shared" si="82"/>
        <v>0</v>
      </c>
    </row>
    <row r="691" hidden="1">
      <c r="A691" s="118" t="s">
        <v>1116</v>
      </c>
      <c r="B691" s="17" t="s">
        <v>1117</v>
      </c>
      <c r="C691" s="18"/>
      <c r="D691" s="4"/>
      <c r="E691" s="19">
        <v>0.0</v>
      </c>
      <c r="F691" s="19">
        <v>0.0</v>
      </c>
      <c r="G691" s="16" t="s">
        <v>1118</v>
      </c>
      <c r="H691" s="21"/>
      <c r="I691" s="22">
        <v>4.0</v>
      </c>
      <c r="J691" s="23"/>
      <c r="K691" s="24">
        <f>10335*1.19</f>
        <v>12298.65</v>
      </c>
      <c r="L691" s="24">
        <v>18000.0</v>
      </c>
      <c r="M691" s="25"/>
      <c r="N691" s="26"/>
      <c r="O691" s="27">
        <f t="shared" si="80"/>
        <v>0.4635752705</v>
      </c>
      <c r="P691" s="28">
        <f t="shared" si="82"/>
        <v>0</v>
      </c>
    </row>
    <row r="692" hidden="1">
      <c r="A692" s="52" t="s">
        <v>1119</v>
      </c>
      <c r="B692" s="17" t="s">
        <v>1120</v>
      </c>
      <c r="C692" s="18"/>
      <c r="D692" s="67"/>
      <c r="E692" s="19">
        <v>0.0</v>
      </c>
      <c r="F692" s="19">
        <v>0.0</v>
      </c>
      <c r="G692" s="16" t="s">
        <v>1121</v>
      </c>
      <c r="H692" s="21"/>
      <c r="I692" s="22">
        <v>0.0</v>
      </c>
      <c r="J692" s="29"/>
      <c r="K692" s="32">
        <f>21385*1.19</f>
        <v>25448.15</v>
      </c>
      <c r="L692" s="32">
        <v>35000.0</v>
      </c>
      <c r="M692" s="25"/>
      <c r="N692" s="39"/>
      <c r="O692" s="27">
        <f t="shared" si="80"/>
        <v>0.3753455556</v>
      </c>
      <c r="P692" s="28">
        <f t="shared" si="82"/>
        <v>0</v>
      </c>
    </row>
    <row r="693" hidden="1">
      <c r="A693" s="52" t="s">
        <v>1122</v>
      </c>
      <c r="B693" s="36" t="s">
        <v>1123</v>
      </c>
      <c r="C693" s="18"/>
      <c r="D693" s="67"/>
      <c r="E693" s="19">
        <v>0.0</v>
      </c>
      <c r="F693" s="19">
        <v>0.0</v>
      </c>
      <c r="G693" s="16" t="s">
        <v>1124</v>
      </c>
      <c r="H693" s="21"/>
      <c r="I693" s="22">
        <v>6.0</v>
      </c>
      <c r="J693" s="22" t="s">
        <v>1125</v>
      </c>
      <c r="K693" s="55">
        <f>9685*1.19</f>
        <v>11525.15</v>
      </c>
      <c r="L693" s="24">
        <v>15000.0</v>
      </c>
      <c r="M693" s="25"/>
      <c r="N693" s="26"/>
      <c r="O693" s="27">
        <f t="shared" si="80"/>
        <v>0.3015014989</v>
      </c>
      <c r="P693" s="28">
        <f t="shared" si="82"/>
        <v>0</v>
      </c>
    </row>
    <row r="694" hidden="1">
      <c r="A694" s="185" t="s">
        <v>1126</v>
      </c>
      <c r="B694" s="36" t="s">
        <v>1127</v>
      </c>
      <c r="C694" s="18"/>
      <c r="D694" s="4"/>
      <c r="E694" s="19">
        <v>0.0</v>
      </c>
      <c r="F694" s="19">
        <v>10.0</v>
      </c>
      <c r="G694" s="20" t="s">
        <v>1128</v>
      </c>
      <c r="H694" s="21"/>
      <c r="I694" s="22">
        <v>8.0</v>
      </c>
      <c r="J694" s="29"/>
      <c r="K694" s="32">
        <f t="shared" ref="K694:K696" si="83">6100*1.19</f>
        <v>7259</v>
      </c>
      <c r="L694" s="24">
        <v>11000.0</v>
      </c>
      <c r="M694" s="25"/>
      <c r="N694" s="70"/>
      <c r="O694" s="27">
        <f t="shared" si="80"/>
        <v>0.5153602425</v>
      </c>
      <c r="P694" s="28">
        <f t="shared" si="82"/>
        <v>72590</v>
      </c>
    </row>
    <row r="695" hidden="1">
      <c r="A695" s="52" t="s">
        <v>1129</v>
      </c>
      <c r="B695" s="36" t="s">
        <v>1127</v>
      </c>
      <c r="C695" s="18"/>
      <c r="D695" s="4" t="s">
        <v>1130</v>
      </c>
      <c r="E695" s="19">
        <v>0.0</v>
      </c>
      <c r="F695" s="19">
        <v>6.0</v>
      </c>
      <c r="G695" s="20" t="s">
        <v>1128</v>
      </c>
      <c r="H695" s="21"/>
      <c r="I695" s="22">
        <v>10.0</v>
      </c>
      <c r="J695" s="29"/>
      <c r="K695" s="32">
        <f t="shared" si="83"/>
        <v>7259</v>
      </c>
      <c r="L695" s="24">
        <v>11000.0</v>
      </c>
      <c r="M695" s="25"/>
      <c r="N695" s="39"/>
      <c r="O695" s="27">
        <f t="shared" si="80"/>
        <v>0.5153602425</v>
      </c>
      <c r="P695" s="28">
        <f t="shared" si="82"/>
        <v>43554</v>
      </c>
    </row>
    <row r="696" hidden="1">
      <c r="A696" s="52" t="s">
        <v>1131</v>
      </c>
      <c r="B696" s="36" t="s">
        <v>1127</v>
      </c>
      <c r="C696" s="18"/>
      <c r="D696" s="4"/>
      <c r="E696" s="19">
        <v>0.0</v>
      </c>
      <c r="F696" s="19">
        <v>0.0</v>
      </c>
      <c r="G696" s="20" t="s">
        <v>1128</v>
      </c>
      <c r="H696" s="21"/>
      <c r="I696" s="22">
        <v>14.0</v>
      </c>
      <c r="J696" s="29"/>
      <c r="K696" s="32">
        <f t="shared" si="83"/>
        <v>7259</v>
      </c>
      <c r="L696" s="24">
        <v>11000.0</v>
      </c>
      <c r="M696" s="25"/>
      <c r="N696" s="39"/>
      <c r="O696" s="27">
        <f t="shared" si="80"/>
        <v>0.5153602425</v>
      </c>
      <c r="P696" s="28">
        <f t="shared" si="82"/>
        <v>0</v>
      </c>
    </row>
    <row r="697" hidden="1">
      <c r="A697" s="52" t="s">
        <v>1132</v>
      </c>
      <c r="B697" s="17">
        <v>249014.0</v>
      </c>
      <c r="C697" s="18"/>
      <c r="D697" s="4"/>
      <c r="E697" s="19">
        <v>0.0</v>
      </c>
      <c r="F697" s="19">
        <v>0.0</v>
      </c>
      <c r="G697" s="16" t="s">
        <v>425</v>
      </c>
      <c r="H697" s="21"/>
      <c r="I697" s="22">
        <v>0.0</v>
      </c>
      <c r="J697" s="29"/>
      <c r="K697" s="43">
        <f>18721/6</f>
        <v>3120.166667</v>
      </c>
      <c r="L697" s="44">
        <v>3500.0</v>
      </c>
      <c r="M697" s="25"/>
      <c r="N697" s="39"/>
      <c r="O697" s="27">
        <f t="shared" si="80"/>
        <v>0.1217349501</v>
      </c>
      <c r="P697" s="28">
        <f t="shared" si="82"/>
        <v>0</v>
      </c>
    </row>
    <row r="698" hidden="1">
      <c r="A698" s="16" t="s">
        <v>1133</v>
      </c>
      <c r="B698" s="49"/>
      <c r="C698" s="18"/>
      <c r="D698" s="4"/>
      <c r="E698" s="19">
        <v>0.0</v>
      </c>
      <c r="F698" s="19">
        <v>0.0</v>
      </c>
      <c r="G698" s="16" t="s">
        <v>16</v>
      </c>
      <c r="H698" s="21"/>
      <c r="I698" s="22">
        <v>5.0</v>
      </c>
      <c r="J698" s="29"/>
      <c r="K698" s="32">
        <v>43730.0</v>
      </c>
      <c r="L698" s="186">
        <v>224000.0</v>
      </c>
      <c r="M698" s="25"/>
      <c r="N698" s="39"/>
      <c r="O698" s="27">
        <f t="shared" si="80"/>
        <v>4.122341642</v>
      </c>
      <c r="P698" s="28">
        <f t="shared" si="82"/>
        <v>0</v>
      </c>
    </row>
    <row r="699" hidden="1">
      <c r="A699" s="16" t="s">
        <v>1134</v>
      </c>
      <c r="B699" s="49"/>
      <c r="C699" s="18"/>
      <c r="D699" s="4"/>
      <c r="E699" s="19">
        <v>0.0</v>
      </c>
      <c r="F699" s="19">
        <v>0.0</v>
      </c>
      <c r="G699" s="16" t="s">
        <v>16</v>
      </c>
      <c r="H699" s="21"/>
      <c r="I699" s="22">
        <v>5.0</v>
      </c>
      <c r="J699" s="29"/>
      <c r="K699" s="32">
        <f>43730/120</f>
        <v>364.4166667</v>
      </c>
      <c r="L699" s="186">
        <v>7000.0</v>
      </c>
      <c r="M699" s="25"/>
      <c r="N699" s="39"/>
      <c r="O699" s="27">
        <f t="shared" si="80"/>
        <v>18.20878116</v>
      </c>
      <c r="P699" s="28">
        <f t="shared" si="82"/>
        <v>0</v>
      </c>
    </row>
    <row r="700" hidden="1">
      <c r="A700" s="16" t="s">
        <v>1135</v>
      </c>
      <c r="B700" s="49"/>
      <c r="C700" s="18"/>
      <c r="D700" s="4"/>
      <c r="E700" s="19">
        <v>0.0</v>
      </c>
      <c r="F700" s="19">
        <v>0.0</v>
      </c>
      <c r="G700" s="16" t="s">
        <v>16</v>
      </c>
      <c r="H700" s="21"/>
      <c r="I700" s="22">
        <v>5.0</v>
      </c>
      <c r="J700" s="29"/>
      <c r="K700" s="43">
        <f>55406/50</f>
        <v>1108.12</v>
      </c>
      <c r="L700" s="44">
        <v>7000.0</v>
      </c>
      <c r="M700" s="25"/>
      <c r="N700" s="39"/>
      <c r="O700" s="27">
        <f t="shared" si="80"/>
        <v>5.317005378</v>
      </c>
      <c r="P700" s="28">
        <f t="shared" si="82"/>
        <v>0</v>
      </c>
    </row>
    <row r="701" hidden="1">
      <c r="A701" s="16" t="s">
        <v>1136</v>
      </c>
      <c r="B701" s="49"/>
      <c r="C701" s="18"/>
      <c r="D701" s="4"/>
      <c r="E701" s="19">
        <v>0.0</v>
      </c>
      <c r="F701" s="19">
        <v>0.0</v>
      </c>
      <c r="G701" s="16" t="s">
        <v>16</v>
      </c>
      <c r="H701" s="21"/>
      <c r="I701" s="22">
        <v>0.0</v>
      </c>
      <c r="J701" s="29"/>
      <c r="K701" s="43">
        <v>4656.0</v>
      </c>
      <c r="L701" s="44">
        <v>7000.0</v>
      </c>
      <c r="M701" s="25"/>
      <c r="N701" s="39"/>
      <c r="O701" s="27">
        <f t="shared" si="80"/>
        <v>0.5034364261</v>
      </c>
      <c r="P701" s="28">
        <f t="shared" si="82"/>
        <v>0</v>
      </c>
    </row>
    <row r="702" hidden="1">
      <c r="A702" s="16" t="s">
        <v>1137</v>
      </c>
      <c r="B702" s="49"/>
      <c r="C702" s="18"/>
      <c r="D702" s="4"/>
      <c r="E702" s="19">
        <v>0.0</v>
      </c>
      <c r="F702" s="19">
        <v>0.0</v>
      </c>
      <c r="G702" s="16" t="s">
        <v>16</v>
      </c>
      <c r="H702" s="21"/>
      <c r="I702" s="22">
        <v>0.0</v>
      </c>
      <c r="J702" s="29"/>
      <c r="K702" s="43">
        <v>4656.0</v>
      </c>
      <c r="L702" s="44">
        <v>7000.0</v>
      </c>
      <c r="M702" s="25"/>
      <c r="N702" s="39"/>
      <c r="O702" s="27">
        <f t="shared" si="80"/>
        <v>0.5034364261</v>
      </c>
      <c r="P702" s="28">
        <f t="shared" si="82"/>
        <v>0</v>
      </c>
    </row>
    <row r="703" ht="27.75" hidden="1" customHeight="1">
      <c r="A703" s="16" t="s">
        <v>1138</v>
      </c>
      <c r="B703" s="49"/>
      <c r="C703" s="18"/>
      <c r="D703" s="4"/>
      <c r="E703" s="19">
        <v>0.0</v>
      </c>
      <c r="F703" s="19">
        <v>0.0</v>
      </c>
      <c r="G703" s="16" t="s">
        <v>16</v>
      </c>
      <c r="H703" s="21"/>
      <c r="I703" s="22">
        <v>0.0</v>
      </c>
      <c r="J703" s="29"/>
      <c r="K703" s="43">
        <v>4656.0</v>
      </c>
      <c r="L703" s="44">
        <v>7000.0</v>
      </c>
      <c r="M703" s="25"/>
      <c r="N703" s="39"/>
      <c r="O703" s="27">
        <f t="shared" si="80"/>
        <v>0.5034364261</v>
      </c>
      <c r="P703" s="28">
        <f t="shared" si="82"/>
        <v>0</v>
      </c>
    </row>
    <row r="704" ht="27.75" hidden="1" customHeight="1">
      <c r="A704" s="16" t="s">
        <v>1139</v>
      </c>
      <c r="B704" s="49"/>
      <c r="C704" s="18"/>
      <c r="D704" s="4"/>
      <c r="E704" s="19">
        <v>0.0</v>
      </c>
      <c r="F704" s="19">
        <v>0.0</v>
      </c>
      <c r="G704" s="16" t="s">
        <v>16</v>
      </c>
      <c r="H704" s="21"/>
      <c r="I704" s="22">
        <v>0.0</v>
      </c>
      <c r="J704" s="29"/>
      <c r="K704" s="43">
        <v>4656.0</v>
      </c>
      <c r="L704" s="44">
        <v>7000.0</v>
      </c>
      <c r="M704" s="25"/>
      <c r="N704" s="39"/>
      <c r="O704" s="27">
        <f t="shared" si="80"/>
        <v>0.5034364261</v>
      </c>
      <c r="P704" s="28">
        <f t="shared" si="82"/>
        <v>0</v>
      </c>
    </row>
    <row r="705" ht="27.75" hidden="1" customHeight="1">
      <c r="A705" s="16" t="s">
        <v>1140</v>
      </c>
      <c r="B705" s="49"/>
      <c r="C705" s="18"/>
      <c r="D705" s="4"/>
      <c r="E705" s="19">
        <v>0.0</v>
      </c>
      <c r="F705" s="19">
        <v>0.0</v>
      </c>
      <c r="G705" s="16" t="s">
        <v>16</v>
      </c>
      <c r="H705" s="21"/>
      <c r="I705" s="22">
        <v>0.0</v>
      </c>
      <c r="J705" s="29"/>
      <c r="K705" s="43">
        <v>4656.0</v>
      </c>
      <c r="L705" s="44">
        <v>7000.0</v>
      </c>
      <c r="M705" s="25"/>
      <c r="N705" s="39"/>
      <c r="O705" s="27">
        <f t="shared" si="80"/>
        <v>0.5034364261</v>
      </c>
      <c r="P705" s="28">
        <f t="shared" si="82"/>
        <v>0</v>
      </c>
    </row>
    <row r="706" ht="27.75" hidden="1" customHeight="1">
      <c r="A706" s="16" t="s">
        <v>1141</v>
      </c>
      <c r="B706" s="49"/>
      <c r="C706" s="18"/>
      <c r="D706" s="4"/>
      <c r="E706" s="19">
        <v>0.0</v>
      </c>
      <c r="F706" s="19">
        <v>0.0</v>
      </c>
      <c r="G706" s="16" t="s">
        <v>16</v>
      </c>
      <c r="H706" s="21"/>
      <c r="I706" s="22">
        <v>0.0</v>
      </c>
      <c r="J706" s="29"/>
      <c r="K706" s="43">
        <v>4656.0</v>
      </c>
      <c r="L706" s="44">
        <v>7000.0</v>
      </c>
      <c r="M706" s="25"/>
      <c r="N706" s="39"/>
      <c r="O706" s="27">
        <f t="shared" si="80"/>
        <v>0.5034364261</v>
      </c>
      <c r="P706" s="28">
        <f t="shared" si="82"/>
        <v>0</v>
      </c>
    </row>
    <row r="707" hidden="1">
      <c r="A707" s="16" t="s">
        <v>1142</v>
      </c>
      <c r="B707" s="49"/>
      <c r="C707" s="18"/>
      <c r="D707" s="4"/>
      <c r="E707" s="19">
        <v>0.0</v>
      </c>
      <c r="F707" s="19">
        <v>0.0</v>
      </c>
      <c r="G707" s="16" t="s">
        <v>16</v>
      </c>
      <c r="H707" s="21"/>
      <c r="I707" s="22">
        <v>0.0</v>
      </c>
      <c r="J707" s="29"/>
      <c r="K707" s="43">
        <v>4656.0</v>
      </c>
      <c r="L707" s="44">
        <v>7000.0</v>
      </c>
      <c r="M707" s="25"/>
      <c r="N707" s="39"/>
      <c r="O707" s="27">
        <f t="shared" si="80"/>
        <v>0.5034364261</v>
      </c>
      <c r="P707" s="28">
        <f t="shared" si="82"/>
        <v>0</v>
      </c>
    </row>
    <row r="708" hidden="1">
      <c r="A708" s="16" t="s">
        <v>1143</v>
      </c>
      <c r="B708" s="49"/>
      <c r="C708" s="18"/>
      <c r="D708" s="4"/>
      <c r="E708" s="19">
        <v>0.0</v>
      </c>
      <c r="F708" s="19">
        <v>0.0</v>
      </c>
      <c r="G708" s="16" t="s">
        <v>16</v>
      </c>
      <c r="H708" s="21"/>
      <c r="I708" s="22">
        <v>0.0</v>
      </c>
      <c r="J708" s="29"/>
      <c r="K708" s="43">
        <v>4656.0</v>
      </c>
      <c r="L708" s="44">
        <v>7000.0</v>
      </c>
      <c r="M708" s="25"/>
      <c r="N708" s="39"/>
      <c r="O708" s="27">
        <f t="shared" si="80"/>
        <v>0.5034364261</v>
      </c>
      <c r="P708" s="28">
        <f t="shared" si="82"/>
        <v>0</v>
      </c>
    </row>
    <row r="709" hidden="1">
      <c r="A709" s="16" t="s">
        <v>1144</v>
      </c>
      <c r="B709" s="49"/>
      <c r="C709" s="18"/>
      <c r="D709" s="4"/>
      <c r="E709" s="19">
        <v>0.0</v>
      </c>
      <c r="F709" s="19">
        <v>0.0</v>
      </c>
      <c r="G709" s="16" t="s">
        <v>16</v>
      </c>
      <c r="H709" s="21"/>
      <c r="I709" s="22">
        <v>0.0</v>
      </c>
      <c r="J709" s="29"/>
      <c r="K709" s="43">
        <v>4656.0</v>
      </c>
      <c r="L709" s="44">
        <v>7000.0</v>
      </c>
      <c r="M709" s="25"/>
      <c r="N709" s="39"/>
      <c r="O709" s="27">
        <f t="shared" si="80"/>
        <v>0.5034364261</v>
      </c>
      <c r="P709" s="28">
        <f t="shared" si="82"/>
        <v>0</v>
      </c>
    </row>
    <row r="710" hidden="1">
      <c r="A710" s="16" t="s">
        <v>1145</v>
      </c>
      <c r="B710" s="17"/>
      <c r="C710" s="18"/>
      <c r="D710" s="4"/>
      <c r="E710" s="19">
        <v>0.0</v>
      </c>
      <c r="F710" s="19"/>
      <c r="G710" s="16" t="s">
        <v>625</v>
      </c>
      <c r="H710" s="21"/>
      <c r="I710" s="22"/>
      <c r="J710" s="29"/>
      <c r="K710" s="32">
        <v>1500.0</v>
      </c>
      <c r="L710" s="24">
        <v>3000.0</v>
      </c>
      <c r="M710" s="25"/>
      <c r="N710" s="39"/>
      <c r="O710" s="27">
        <f t="shared" si="80"/>
        <v>1</v>
      </c>
      <c r="P710" s="28">
        <f t="shared" si="82"/>
        <v>0</v>
      </c>
    </row>
    <row r="711" hidden="1">
      <c r="A711" s="52" t="s">
        <v>1146</v>
      </c>
      <c r="B711" s="17" t="s">
        <v>1147</v>
      </c>
      <c r="C711" s="18"/>
      <c r="D711" s="67" t="s">
        <v>1148</v>
      </c>
      <c r="E711" s="19">
        <v>0.0</v>
      </c>
      <c r="F711" s="19"/>
      <c r="G711" s="16" t="s">
        <v>1149</v>
      </c>
      <c r="H711" s="21"/>
      <c r="I711" s="22"/>
      <c r="J711" s="29"/>
      <c r="K711" s="32">
        <v>28000.0</v>
      </c>
      <c r="L711" s="32">
        <v>35000.0</v>
      </c>
      <c r="M711" s="25" t="s">
        <v>82</v>
      </c>
      <c r="N711" s="39"/>
      <c r="O711" s="27">
        <f t="shared" si="80"/>
        <v>0.25</v>
      </c>
      <c r="P711" s="28">
        <f t="shared" si="82"/>
        <v>0</v>
      </c>
    </row>
    <row r="712" hidden="1">
      <c r="A712" s="16" t="s">
        <v>1150</v>
      </c>
      <c r="B712" s="36"/>
      <c r="C712" s="18"/>
      <c r="D712" s="4"/>
      <c r="E712" s="19">
        <v>0.0</v>
      </c>
      <c r="F712" s="19">
        <v>0.0</v>
      </c>
      <c r="G712" s="16" t="s">
        <v>577</v>
      </c>
      <c r="H712" s="21"/>
      <c r="I712" s="22">
        <v>0.0</v>
      </c>
      <c r="J712" s="29"/>
      <c r="K712" s="43">
        <v>10500.0</v>
      </c>
      <c r="L712" s="44">
        <v>15000.0</v>
      </c>
      <c r="M712" s="25"/>
      <c r="N712" s="26"/>
      <c r="O712" s="27">
        <f t="shared" si="80"/>
        <v>0.4285714286</v>
      </c>
      <c r="P712" s="28">
        <f t="shared" si="82"/>
        <v>0</v>
      </c>
    </row>
    <row r="713" hidden="1">
      <c r="A713" s="59" t="s">
        <v>1151</v>
      </c>
      <c r="B713" s="97" t="s">
        <v>1152</v>
      </c>
      <c r="C713" s="18"/>
      <c r="D713" s="4"/>
      <c r="E713" s="19">
        <v>0.0</v>
      </c>
      <c r="F713" s="19"/>
      <c r="G713" s="20" t="s">
        <v>1153</v>
      </c>
      <c r="H713" s="21"/>
      <c r="I713" s="22"/>
      <c r="J713" s="29"/>
      <c r="K713" s="32">
        <v>1390.0</v>
      </c>
      <c r="L713" s="24">
        <v>4000.0</v>
      </c>
      <c r="M713" s="25"/>
      <c r="N713" s="39"/>
      <c r="O713" s="27">
        <f t="shared" si="80"/>
        <v>1.877697842</v>
      </c>
      <c r="P713" s="28">
        <f t="shared" si="82"/>
        <v>0</v>
      </c>
    </row>
    <row r="714" hidden="1">
      <c r="A714" s="59" t="s">
        <v>1154</v>
      </c>
      <c r="B714" s="97" t="s">
        <v>1155</v>
      </c>
      <c r="C714" s="18"/>
      <c r="D714" s="98"/>
      <c r="E714" s="19">
        <v>0.0</v>
      </c>
      <c r="F714" s="19"/>
      <c r="G714" s="20" t="s">
        <v>485</v>
      </c>
      <c r="H714" s="21">
        <v>5.0</v>
      </c>
      <c r="I714" s="22"/>
      <c r="J714" s="100"/>
      <c r="K714" s="101">
        <f>74900*1.19</f>
        <v>89131</v>
      </c>
      <c r="L714" s="101">
        <v>115000.0</v>
      </c>
      <c r="M714" s="25"/>
      <c r="N714" s="102">
        <v>99000.0</v>
      </c>
      <c r="O714" s="27">
        <f t="shared" si="80"/>
        <v>0.2902357205</v>
      </c>
      <c r="P714" s="28">
        <f t="shared" si="82"/>
        <v>0</v>
      </c>
    </row>
    <row r="715" hidden="1">
      <c r="A715" s="40" t="s">
        <v>1156</v>
      </c>
      <c r="B715" s="36"/>
      <c r="C715" s="18" t="s">
        <v>1157</v>
      </c>
      <c r="D715" s="4"/>
      <c r="E715" s="19">
        <v>0.0</v>
      </c>
      <c r="F715" s="19">
        <v>0.0</v>
      </c>
      <c r="G715" s="16" t="s">
        <v>1158</v>
      </c>
      <c r="H715" s="21"/>
      <c r="I715" s="22">
        <v>0.0</v>
      </c>
      <c r="J715" s="29"/>
      <c r="K715" s="43">
        <f>10900*1.19</f>
        <v>12971</v>
      </c>
      <c r="L715" s="44">
        <v>25000.0</v>
      </c>
      <c r="M715" s="25"/>
      <c r="N715" s="39"/>
      <c r="O715" s="27">
        <f t="shared" si="80"/>
        <v>0.9273764552</v>
      </c>
      <c r="P715" s="28">
        <f t="shared" si="82"/>
        <v>0</v>
      </c>
    </row>
    <row r="716" hidden="1">
      <c r="A716" s="16" t="s">
        <v>1159</v>
      </c>
      <c r="B716" s="49"/>
      <c r="C716" s="18"/>
      <c r="D716" s="4"/>
      <c r="E716" s="19">
        <v>0.0</v>
      </c>
      <c r="F716" s="19">
        <v>0.0</v>
      </c>
      <c r="G716" s="16" t="s">
        <v>16</v>
      </c>
      <c r="H716" s="21"/>
      <c r="I716" s="22"/>
      <c r="J716" s="29"/>
      <c r="K716" s="30">
        <v>402.316</v>
      </c>
      <c r="L716" s="24">
        <v>4000.0</v>
      </c>
      <c r="M716" s="25"/>
      <c r="N716" s="39"/>
      <c r="O716" s="27">
        <f t="shared" si="80"/>
        <v>8.942433311</v>
      </c>
      <c r="P716" s="28">
        <f t="shared" si="82"/>
        <v>0</v>
      </c>
    </row>
    <row r="717" hidden="1">
      <c r="A717" s="16" t="s">
        <v>1160</v>
      </c>
      <c r="B717" s="36"/>
      <c r="C717" s="18" t="s">
        <v>1157</v>
      </c>
      <c r="D717" s="4"/>
      <c r="E717" s="19">
        <v>0.0</v>
      </c>
      <c r="F717" s="19"/>
      <c r="G717" s="16" t="s">
        <v>1161</v>
      </c>
      <c r="H717" s="21"/>
      <c r="I717" s="22"/>
      <c r="J717" s="23"/>
      <c r="K717" s="44">
        <f t="shared" ref="K717:K726" si="84">34290*1.19/5</f>
        <v>8161.02</v>
      </c>
      <c r="L717" s="44">
        <v>18000.0</v>
      </c>
      <c r="M717" s="25"/>
      <c r="N717" s="102">
        <v>14000.0</v>
      </c>
      <c r="O717" s="27">
        <f t="shared" si="80"/>
        <v>1.205606652</v>
      </c>
      <c r="P717" s="28">
        <f t="shared" si="82"/>
        <v>0</v>
      </c>
    </row>
    <row r="718" hidden="1">
      <c r="A718" s="16" t="s">
        <v>1162</v>
      </c>
      <c r="B718" s="17"/>
      <c r="C718" s="18" t="s">
        <v>1157</v>
      </c>
      <c r="D718" s="4"/>
      <c r="E718" s="19">
        <v>0.0</v>
      </c>
      <c r="F718" s="19">
        <v>0.0</v>
      </c>
      <c r="G718" s="16" t="s">
        <v>16</v>
      </c>
      <c r="H718" s="21"/>
      <c r="I718" s="22">
        <v>13.0</v>
      </c>
      <c r="J718" s="23"/>
      <c r="K718" s="44">
        <f t="shared" si="84"/>
        <v>8161.02</v>
      </c>
      <c r="L718" s="44">
        <v>18000.0</v>
      </c>
      <c r="M718" s="25"/>
      <c r="N718" s="102">
        <v>14000.0</v>
      </c>
      <c r="O718" s="27">
        <f t="shared" si="80"/>
        <v>1.205606652</v>
      </c>
      <c r="P718" s="28">
        <f t="shared" si="82"/>
        <v>0</v>
      </c>
    </row>
    <row r="719" hidden="1">
      <c r="A719" s="16" t="s">
        <v>1163</v>
      </c>
      <c r="B719" s="36"/>
      <c r="C719" s="18" t="s">
        <v>1157</v>
      </c>
      <c r="D719" s="4"/>
      <c r="E719" s="19">
        <v>0.0</v>
      </c>
      <c r="F719" s="19"/>
      <c r="G719" s="16" t="s">
        <v>1164</v>
      </c>
      <c r="H719" s="21"/>
      <c r="I719" s="22"/>
      <c r="J719" s="23"/>
      <c r="K719" s="44">
        <f t="shared" si="84"/>
        <v>8161.02</v>
      </c>
      <c r="L719" s="44">
        <v>18000.0</v>
      </c>
      <c r="M719" s="25"/>
      <c r="N719" s="102">
        <v>14000.0</v>
      </c>
      <c r="O719" s="27">
        <f t="shared" si="80"/>
        <v>1.205606652</v>
      </c>
      <c r="P719" s="28">
        <f t="shared" si="82"/>
        <v>0</v>
      </c>
    </row>
    <row r="720" hidden="1">
      <c r="A720" s="16" t="s">
        <v>1165</v>
      </c>
      <c r="B720" s="36"/>
      <c r="C720" s="18" t="s">
        <v>1157</v>
      </c>
      <c r="D720" s="4"/>
      <c r="E720" s="19">
        <v>0.0</v>
      </c>
      <c r="F720" s="19"/>
      <c r="G720" s="16" t="s">
        <v>1164</v>
      </c>
      <c r="H720" s="21"/>
      <c r="I720" s="22"/>
      <c r="J720" s="23"/>
      <c r="K720" s="44">
        <f t="shared" si="84"/>
        <v>8161.02</v>
      </c>
      <c r="L720" s="44">
        <v>18000.0</v>
      </c>
      <c r="M720" s="25"/>
      <c r="N720" s="102">
        <v>14000.0</v>
      </c>
      <c r="O720" s="27">
        <f t="shared" si="80"/>
        <v>1.205606652</v>
      </c>
      <c r="P720" s="28">
        <f t="shared" si="82"/>
        <v>0</v>
      </c>
    </row>
    <row r="721" hidden="1">
      <c r="A721" s="16" t="s">
        <v>1166</v>
      </c>
      <c r="B721" s="36"/>
      <c r="C721" s="18" t="s">
        <v>1157</v>
      </c>
      <c r="D721" s="4"/>
      <c r="E721" s="19">
        <v>0.0</v>
      </c>
      <c r="F721" s="19"/>
      <c r="G721" s="16" t="s">
        <v>1164</v>
      </c>
      <c r="H721" s="21"/>
      <c r="I721" s="22"/>
      <c r="J721" s="23"/>
      <c r="K721" s="44">
        <f t="shared" si="84"/>
        <v>8161.02</v>
      </c>
      <c r="L721" s="44">
        <v>18000.0</v>
      </c>
      <c r="M721" s="25"/>
      <c r="N721" s="102">
        <v>14000.0</v>
      </c>
      <c r="O721" s="27">
        <f t="shared" si="80"/>
        <v>1.205606652</v>
      </c>
      <c r="P721" s="28">
        <f t="shared" si="82"/>
        <v>0</v>
      </c>
    </row>
    <row r="722" hidden="1">
      <c r="A722" s="16" t="s">
        <v>1167</v>
      </c>
      <c r="B722" s="36"/>
      <c r="C722" s="18" t="s">
        <v>1157</v>
      </c>
      <c r="D722" s="4"/>
      <c r="E722" s="19">
        <v>0.0</v>
      </c>
      <c r="F722" s="19"/>
      <c r="G722" s="16" t="s">
        <v>1164</v>
      </c>
      <c r="H722" s="21"/>
      <c r="I722" s="22"/>
      <c r="J722" s="23"/>
      <c r="K722" s="44">
        <f t="shared" si="84"/>
        <v>8161.02</v>
      </c>
      <c r="L722" s="44">
        <v>18000.0</v>
      </c>
      <c r="M722" s="25"/>
      <c r="N722" s="102">
        <v>14000.0</v>
      </c>
      <c r="O722" s="27">
        <f t="shared" si="80"/>
        <v>1.205606652</v>
      </c>
      <c r="P722" s="28">
        <f t="shared" si="82"/>
        <v>0</v>
      </c>
    </row>
    <row r="723" hidden="1">
      <c r="A723" s="187" t="s">
        <v>1168</v>
      </c>
      <c r="B723" s="36"/>
      <c r="C723" s="18" t="s">
        <v>1157</v>
      </c>
      <c r="D723" s="4"/>
      <c r="E723" s="19">
        <v>0.0</v>
      </c>
      <c r="F723" s="19"/>
      <c r="G723" s="16" t="s">
        <v>1164</v>
      </c>
      <c r="H723" s="21"/>
      <c r="I723" s="22"/>
      <c r="J723" s="23"/>
      <c r="K723" s="44">
        <f t="shared" si="84"/>
        <v>8161.02</v>
      </c>
      <c r="L723" s="44">
        <v>18000.0</v>
      </c>
      <c r="M723" s="25"/>
      <c r="N723" s="102">
        <v>14000.0</v>
      </c>
      <c r="O723" s="27">
        <f t="shared" si="80"/>
        <v>1.205606652</v>
      </c>
      <c r="P723" s="28">
        <f t="shared" si="82"/>
        <v>0</v>
      </c>
    </row>
    <row r="724" hidden="1">
      <c r="A724" s="187" t="s">
        <v>1169</v>
      </c>
      <c r="B724" s="36"/>
      <c r="C724" s="18" t="s">
        <v>1157</v>
      </c>
      <c r="D724" s="4"/>
      <c r="E724" s="19">
        <v>0.0</v>
      </c>
      <c r="F724" s="19"/>
      <c r="G724" s="16" t="s">
        <v>1164</v>
      </c>
      <c r="H724" s="21"/>
      <c r="I724" s="22"/>
      <c r="J724" s="23"/>
      <c r="K724" s="44">
        <f t="shared" si="84"/>
        <v>8161.02</v>
      </c>
      <c r="L724" s="44">
        <v>18000.0</v>
      </c>
      <c r="M724" s="25"/>
      <c r="N724" s="102">
        <v>14000.0</v>
      </c>
      <c r="O724" s="27">
        <f t="shared" si="80"/>
        <v>1.205606652</v>
      </c>
      <c r="P724" s="28">
        <f t="shared" si="82"/>
        <v>0</v>
      </c>
    </row>
    <row r="725" hidden="1">
      <c r="A725" s="187" t="s">
        <v>1170</v>
      </c>
      <c r="B725" s="36">
        <v>245034.0</v>
      </c>
      <c r="C725" s="18" t="s">
        <v>1157</v>
      </c>
      <c r="D725" s="4"/>
      <c r="E725" s="19">
        <v>0.0</v>
      </c>
      <c r="F725" s="19"/>
      <c r="G725" s="16" t="s">
        <v>1164</v>
      </c>
      <c r="H725" s="21"/>
      <c r="I725" s="22"/>
      <c r="J725" s="23"/>
      <c r="K725" s="44">
        <f t="shared" si="84"/>
        <v>8161.02</v>
      </c>
      <c r="L725" s="44">
        <v>18000.0</v>
      </c>
      <c r="M725" s="25"/>
      <c r="N725" s="102">
        <v>14000.0</v>
      </c>
      <c r="O725" s="27">
        <f t="shared" si="80"/>
        <v>1.205606652</v>
      </c>
      <c r="P725" s="28">
        <f t="shared" si="82"/>
        <v>0</v>
      </c>
    </row>
    <row r="726" hidden="1">
      <c r="A726" s="187" t="s">
        <v>1171</v>
      </c>
      <c r="B726" s="36">
        <v>245035.0</v>
      </c>
      <c r="C726" s="18" t="s">
        <v>1157</v>
      </c>
      <c r="D726" s="4"/>
      <c r="E726" s="19">
        <v>0.0</v>
      </c>
      <c r="F726" s="19"/>
      <c r="G726" s="16" t="s">
        <v>1164</v>
      </c>
      <c r="H726" s="21"/>
      <c r="I726" s="22"/>
      <c r="J726" s="23"/>
      <c r="K726" s="44">
        <f t="shared" si="84"/>
        <v>8161.02</v>
      </c>
      <c r="L726" s="44">
        <v>18000.0</v>
      </c>
      <c r="M726" s="25"/>
      <c r="N726" s="102">
        <v>14000.0</v>
      </c>
      <c r="O726" s="27">
        <f t="shared" si="80"/>
        <v>1.205606652</v>
      </c>
      <c r="P726" s="28">
        <f t="shared" si="82"/>
        <v>0</v>
      </c>
    </row>
    <row r="727" hidden="1">
      <c r="A727" s="187" t="s">
        <v>1172</v>
      </c>
      <c r="B727" s="36">
        <v>245032.0</v>
      </c>
      <c r="C727" s="18" t="s">
        <v>1157</v>
      </c>
      <c r="D727" s="4"/>
      <c r="E727" s="19">
        <v>0.0</v>
      </c>
      <c r="F727" s="19"/>
      <c r="G727" s="16" t="s">
        <v>1161</v>
      </c>
      <c r="H727" s="21"/>
      <c r="I727" s="22"/>
      <c r="J727" s="23"/>
      <c r="K727" s="44">
        <v>6378.0</v>
      </c>
      <c r="L727" s="44">
        <v>18000.0</v>
      </c>
      <c r="M727" s="25"/>
      <c r="N727" s="102">
        <v>14000.0</v>
      </c>
      <c r="O727" s="27">
        <f t="shared" si="80"/>
        <v>1.822201317</v>
      </c>
      <c r="P727" s="28">
        <f t="shared" si="82"/>
        <v>0</v>
      </c>
    </row>
    <row r="728" hidden="1">
      <c r="A728" s="187" t="s">
        <v>1173</v>
      </c>
      <c r="B728" s="36">
        <v>245033.0</v>
      </c>
      <c r="C728" s="18" t="s">
        <v>1157</v>
      </c>
      <c r="D728" s="4"/>
      <c r="E728" s="19">
        <v>0.0</v>
      </c>
      <c r="F728" s="19"/>
      <c r="G728" s="16" t="s">
        <v>1161</v>
      </c>
      <c r="H728" s="21"/>
      <c r="I728" s="22"/>
      <c r="J728" s="23"/>
      <c r="K728" s="44">
        <v>6378.0</v>
      </c>
      <c r="L728" s="44">
        <v>18000.0</v>
      </c>
      <c r="M728" s="25"/>
      <c r="N728" s="102">
        <v>14000.0</v>
      </c>
      <c r="O728" s="27">
        <f t="shared" si="80"/>
        <v>1.822201317</v>
      </c>
      <c r="P728" s="28">
        <f t="shared" si="82"/>
        <v>0</v>
      </c>
    </row>
    <row r="729" hidden="1">
      <c r="A729" s="187" t="s">
        <v>1174</v>
      </c>
      <c r="B729" s="36">
        <v>245034.0</v>
      </c>
      <c r="C729" s="18" t="s">
        <v>1157</v>
      </c>
      <c r="D729" s="4"/>
      <c r="E729" s="19">
        <v>0.0</v>
      </c>
      <c r="F729" s="19"/>
      <c r="G729" s="16" t="s">
        <v>1161</v>
      </c>
      <c r="H729" s="21"/>
      <c r="I729" s="22"/>
      <c r="J729" s="23"/>
      <c r="K729" s="44">
        <v>6378.0</v>
      </c>
      <c r="L729" s="44">
        <v>18000.0</v>
      </c>
      <c r="M729" s="25"/>
      <c r="N729" s="102">
        <v>14000.0</v>
      </c>
      <c r="O729" s="27">
        <f t="shared" si="80"/>
        <v>1.822201317</v>
      </c>
      <c r="P729" s="28">
        <f t="shared" si="82"/>
        <v>0</v>
      </c>
    </row>
    <row r="730" hidden="1">
      <c r="A730" s="187" t="s">
        <v>1175</v>
      </c>
      <c r="B730" s="36">
        <v>245035.0</v>
      </c>
      <c r="C730" s="18" t="s">
        <v>1157</v>
      </c>
      <c r="D730" s="4"/>
      <c r="E730" s="19">
        <v>0.0</v>
      </c>
      <c r="F730" s="19"/>
      <c r="G730" s="16" t="s">
        <v>1161</v>
      </c>
      <c r="H730" s="21"/>
      <c r="I730" s="22"/>
      <c r="J730" s="23"/>
      <c r="K730" s="44">
        <v>6378.0</v>
      </c>
      <c r="L730" s="44">
        <v>18000.0</v>
      </c>
      <c r="M730" s="25"/>
      <c r="N730" s="102">
        <v>14000.0</v>
      </c>
      <c r="O730" s="27">
        <f t="shared" si="80"/>
        <v>1.822201317</v>
      </c>
      <c r="P730" s="28">
        <f t="shared" si="82"/>
        <v>0</v>
      </c>
    </row>
    <row r="731" hidden="1">
      <c r="A731" s="16" t="s">
        <v>1176</v>
      </c>
      <c r="B731" s="36"/>
      <c r="C731" s="18" t="s">
        <v>1157</v>
      </c>
      <c r="D731" s="4"/>
      <c r="E731" s="19">
        <v>0.0</v>
      </c>
      <c r="F731" s="19"/>
      <c r="G731" s="16" t="s">
        <v>1164</v>
      </c>
      <c r="H731" s="21"/>
      <c r="I731" s="22"/>
      <c r="J731" s="23"/>
      <c r="K731" s="44">
        <f t="shared" ref="K731:K736" si="85">34290*1.19/5</f>
        <v>8161.02</v>
      </c>
      <c r="L731" s="44">
        <v>18000.0</v>
      </c>
      <c r="M731" s="25"/>
      <c r="N731" s="102">
        <v>14000.0</v>
      </c>
      <c r="O731" s="27">
        <f t="shared" si="80"/>
        <v>1.205606652</v>
      </c>
      <c r="P731" s="28">
        <f t="shared" si="82"/>
        <v>0</v>
      </c>
    </row>
    <row r="732" hidden="1">
      <c r="A732" s="16" t="s">
        <v>1177</v>
      </c>
      <c r="B732" s="36"/>
      <c r="C732" s="18" t="s">
        <v>1157</v>
      </c>
      <c r="D732" s="4"/>
      <c r="E732" s="19">
        <v>0.0</v>
      </c>
      <c r="F732" s="19"/>
      <c r="G732" s="16" t="s">
        <v>1161</v>
      </c>
      <c r="H732" s="21"/>
      <c r="I732" s="22"/>
      <c r="J732" s="23"/>
      <c r="K732" s="44">
        <f t="shared" si="85"/>
        <v>8161.02</v>
      </c>
      <c r="L732" s="44">
        <v>18000.0</v>
      </c>
      <c r="M732" s="25"/>
      <c r="N732" s="102">
        <v>14000.0</v>
      </c>
      <c r="O732" s="27">
        <f t="shared" si="80"/>
        <v>1.205606652</v>
      </c>
      <c r="P732" s="28">
        <f t="shared" si="82"/>
        <v>0</v>
      </c>
    </row>
    <row r="733" hidden="1">
      <c r="A733" s="16" t="s">
        <v>1178</v>
      </c>
      <c r="B733" s="36"/>
      <c r="C733" s="18" t="s">
        <v>1157</v>
      </c>
      <c r="D733" s="4"/>
      <c r="E733" s="19">
        <v>0.0</v>
      </c>
      <c r="F733" s="19"/>
      <c r="G733" s="16" t="s">
        <v>1164</v>
      </c>
      <c r="H733" s="21"/>
      <c r="I733" s="22"/>
      <c r="J733" s="23"/>
      <c r="K733" s="44">
        <f t="shared" si="85"/>
        <v>8161.02</v>
      </c>
      <c r="L733" s="44">
        <v>18000.0</v>
      </c>
      <c r="M733" s="25"/>
      <c r="N733" s="102">
        <v>14000.0</v>
      </c>
      <c r="O733" s="27">
        <f t="shared" si="80"/>
        <v>1.205606652</v>
      </c>
      <c r="P733" s="28">
        <f t="shared" si="82"/>
        <v>0</v>
      </c>
    </row>
    <row r="734" hidden="1">
      <c r="A734" s="16" t="s">
        <v>1179</v>
      </c>
      <c r="B734" s="36"/>
      <c r="C734" s="18" t="s">
        <v>1157</v>
      </c>
      <c r="D734" s="4"/>
      <c r="E734" s="19">
        <v>0.0</v>
      </c>
      <c r="F734" s="19"/>
      <c r="G734" s="16" t="s">
        <v>1164</v>
      </c>
      <c r="H734" s="21"/>
      <c r="I734" s="22"/>
      <c r="J734" s="23"/>
      <c r="K734" s="44">
        <f t="shared" si="85"/>
        <v>8161.02</v>
      </c>
      <c r="L734" s="44">
        <v>18000.0</v>
      </c>
      <c r="M734" s="25"/>
      <c r="N734" s="102">
        <v>14000.0</v>
      </c>
      <c r="O734" s="27">
        <f t="shared" si="80"/>
        <v>1.205606652</v>
      </c>
      <c r="P734" s="28">
        <f t="shared" si="82"/>
        <v>0</v>
      </c>
    </row>
    <row r="735" hidden="1">
      <c r="A735" s="16" t="s">
        <v>1180</v>
      </c>
      <c r="B735" s="36"/>
      <c r="C735" s="18" t="s">
        <v>1157</v>
      </c>
      <c r="D735" s="4"/>
      <c r="E735" s="19">
        <v>0.0</v>
      </c>
      <c r="F735" s="19"/>
      <c r="G735" s="16" t="s">
        <v>1164</v>
      </c>
      <c r="H735" s="21"/>
      <c r="I735" s="22"/>
      <c r="J735" s="23"/>
      <c r="K735" s="44">
        <f t="shared" si="85"/>
        <v>8161.02</v>
      </c>
      <c r="L735" s="44">
        <v>18000.0</v>
      </c>
      <c r="M735" s="25"/>
      <c r="N735" s="102">
        <v>14000.0</v>
      </c>
      <c r="O735" s="27">
        <f t="shared" si="80"/>
        <v>1.205606652</v>
      </c>
      <c r="P735" s="28">
        <f t="shared" si="82"/>
        <v>0</v>
      </c>
    </row>
    <row r="736" hidden="1">
      <c r="A736" s="16" t="s">
        <v>1181</v>
      </c>
      <c r="B736" s="36"/>
      <c r="C736" s="18" t="s">
        <v>1157</v>
      </c>
      <c r="D736" s="4"/>
      <c r="E736" s="19">
        <v>0.0</v>
      </c>
      <c r="F736" s="19"/>
      <c r="G736" s="16" t="s">
        <v>1164</v>
      </c>
      <c r="H736" s="21"/>
      <c r="I736" s="22"/>
      <c r="J736" s="23"/>
      <c r="K736" s="44">
        <f t="shared" si="85"/>
        <v>8161.02</v>
      </c>
      <c r="L736" s="44">
        <v>18000.0</v>
      </c>
      <c r="M736" s="25"/>
      <c r="N736" s="102">
        <v>14000.0</v>
      </c>
      <c r="O736" s="27">
        <f t="shared" si="80"/>
        <v>1.205606652</v>
      </c>
      <c r="P736" s="28">
        <f t="shared" si="82"/>
        <v>0</v>
      </c>
    </row>
    <row r="737" hidden="1">
      <c r="A737" s="16" t="s">
        <v>1182</v>
      </c>
      <c r="B737" s="36">
        <v>245037.0</v>
      </c>
      <c r="C737" s="18" t="s">
        <v>1157</v>
      </c>
      <c r="D737" s="4"/>
      <c r="E737" s="19">
        <v>0.0</v>
      </c>
      <c r="F737" s="19">
        <v>0.0</v>
      </c>
      <c r="G737" s="16" t="s">
        <v>914</v>
      </c>
      <c r="H737" s="21"/>
      <c r="I737" s="22" t="s">
        <v>99</v>
      </c>
      <c r="J737" s="23"/>
      <c r="K737" s="44">
        <v>6378.0</v>
      </c>
      <c r="L737" s="44">
        <v>18000.0</v>
      </c>
      <c r="M737" s="25"/>
      <c r="N737" s="102">
        <v>14000.0</v>
      </c>
      <c r="O737" s="27">
        <f t="shared" si="80"/>
        <v>1.822201317</v>
      </c>
      <c r="P737" s="28">
        <f t="shared" si="82"/>
        <v>0</v>
      </c>
    </row>
    <row r="738" hidden="1">
      <c r="A738" s="16" t="s">
        <v>1183</v>
      </c>
      <c r="B738" s="36"/>
      <c r="C738" s="18" t="s">
        <v>1157</v>
      </c>
      <c r="D738" s="4"/>
      <c r="E738" s="19">
        <v>0.0</v>
      </c>
      <c r="F738" s="19"/>
      <c r="G738" s="16" t="s">
        <v>1164</v>
      </c>
      <c r="H738" s="21"/>
      <c r="I738" s="22"/>
      <c r="J738" s="23"/>
      <c r="K738" s="44">
        <f t="shared" ref="K738:K742" si="86">34290*1.19/5</f>
        <v>8161.02</v>
      </c>
      <c r="L738" s="44">
        <v>18000.0</v>
      </c>
      <c r="M738" s="25"/>
      <c r="N738" s="102">
        <v>14000.0</v>
      </c>
      <c r="O738" s="27">
        <f t="shared" si="80"/>
        <v>1.205606652</v>
      </c>
      <c r="P738" s="28">
        <f t="shared" si="82"/>
        <v>0</v>
      </c>
    </row>
    <row r="739" hidden="1">
      <c r="A739" s="16" t="s">
        <v>1184</v>
      </c>
      <c r="B739" s="36"/>
      <c r="C739" s="18" t="s">
        <v>1157</v>
      </c>
      <c r="D739" s="4"/>
      <c r="E739" s="19">
        <v>0.0</v>
      </c>
      <c r="F739" s="19"/>
      <c r="G739" s="16" t="s">
        <v>1164</v>
      </c>
      <c r="H739" s="21"/>
      <c r="I739" s="22"/>
      <c r="J739" s="23"/>
      <c r="K739" s="44">
        <f t="shared" si="86"/>
        <v>8161.02</v>
      </c>
      <c r="L739" s="44">
        <v>18000.0</v>
      </c>
      <c r="M739" s="25"/>
      <c r="N739" s="102">
        <v>14000.0</v>
      </c>
      <c r="O739" s="27">
        <f t="shared" si="80"/>
        <v>1.205606652</v>
      </c>
      <c r="P739" s="28">
        <f t="shared" si="82"/>
        <v>0</v>
      </c>
    </row>
    <row r="740" hidden="1">
      <c r="A740" s="16" t="s">
        <v>1185</v>
      </c>
      <c r="B740" s="36"/>
      <c r="C740" s="18" t="s">
        <v>1157</v>
      </c>
      <c r="D740" s="4"/>
      <c r="E740" s="19">
        <v>0.0</v>
      </c>
      <c r="F740" s="19"/>
      <c r="G740" s="16" t="s">
        <v>1161</v>
      </c>
      <c r="H740" s="21"/>
      <c r="I740" s="22"/>
      <c r="J740" s="23"/>
      <c r="K740" s="44">
        <f t="shared" si="86"/>
        <v>8161.02</v>
      </c>
      <c r="L740" s="44">
        <v>18000.0</v>
      </c>
      <c r="M740" s="25"/>
      <c r="N740" s="102">
        <v>14000.0</v>
      </c>
      <c r="O740" s="27">
        <f t="shared" si="80"/>
        <v>1.205606652</v>
      </c>
      <c r="P740" s="28">
        <f t="shared" si="82"/>
        <v>0</v>
      </c>
    </row>
    <row r="741" hidden="1">
      <c r="A741" s="16" t="s">
        <v>1186</v>
      </c>
      <c r="B741" s="36"/>
      <c r="C741" s="18" t="s">
        <v>1157</v>
      </c>
      <c r="D741" s="4"/>
      <c r="E741" s="19">
        <v>0.0</v>
      </c>
      <c r="F741" s="19"/>
      <c r="G741" s="16" t="s">
        <v>1164</v>
      </c>
      <c r="H741" s="21"/>
      <c r="I741" s="22"/>
      <c r="J741" s="23"/>
      <c r="K741" s="44">
        <f t="shared" si="86"/>
        <v>8161.02</v>
      </c>
      <c r="L741" s="44">
        <v>18000.0</v>
      </c>
      <c r="M741" s="25"/>
      <c r="N741" s="102">
        <v>14000.0</v>
      </c>
      <c r="O741" s="27">
        <f t="shared" si="80"/>
        <v>1.205606652</v>
      </c>
      <c r="P741" s="28">
        <f t="shared" si="82"/>
        <v>0</v>
      </c>
    </row>
    <row r="742" hidden="1">
      <c r="A742" s="16" t="s">
        <v>1187</v>
      </c>
      <c r="B742" s="36"/>
      <c r="C742" s="18" t="s">
        <v>1157</v>
      </c>
      <c r="D742" s="4"/>
      <c r="E742" s="19">
        <v>0.0</v>
      </c>
      <c r="F742" s="19"/>
      <c r="G742" s="16" t="s">
        <v>1164</v>
      </c>
      <c r="H742" s="21"/>
      <c r="I742" s="22"/>
      <c r="J742" s="23"/>
      <c r="K742" s="44">
        <f t="shared" si="86"/>
        <v>8161.02</v>
      </c>
      <c r="L742" s="44">
        <v>18000.0</v>
      </c>
      <c r="M742" s="25"/>
      <c r="N742" s="102">
        <v>14000.0</v>
      </c>
      <c r="O742" s="27">
        <f t="shared" si="80"/>
        <v>1.205606652</v>
      </c>
      <c r="P742" s="28">
        <f t="shared" si="82"/>
        <v>0</v>
      </c>
    </row>
    <row r="743" hidden="1">
      <c r="A743" s="16" t="s">
        <v>1188</v>
      </c>
      <c r="B743" s="36">
        <v>245039.0</v>
      </c>
      <c r="C743" s="18" t="s">
        <v>1157</v>
      </c>
      <c r="D743" s="4"/>
      <c r="E743" s="19">
        <v>0.0</v>
      </c>
      <c r="F743" s="19"/>
      <c r="G743" s="16" t="s">
        <v>1161</v>
      </c>
      <c r="H743" s="21"/>
      <c r="I743" s="22"/>
      <c r="J743" s="23"/>
      <c r="K743" s="44">
        <v>6378.0</v>
      </c>
      <c r="L743" s="44">
        <v>18000.0</v>
      </c>
      <c r="M743" s="25"/>
      <c r="N743" s="102">
        <v>14000.0</v>
      </c>
      <c r="O743" s="27">
        <f t="shared" si="80"/>
        <v>1.822201317</v>
      </c>
      <c r="P743" s="28">
        <f t="shared" si="82"/>
        <v>0</v>
      </c>
    </row>
    <row r="744" hidden="1">
      <c r="A744" s="16" t="s">
        <v>1189</v>
      </c>
      <c r="B744" s="36"/>
      <c r="C744" s="18" t="s">
        <v>1157</v>
      </c>
      <c r="D744" s="4"/>
      <c r="E744" s="19">
        <v>0.0</v>
      </c>
      <c r="F744" s="19"/>
      <c r="G744" s="16" t="s">
        <v>1164</v>
      </c>
      <c r="H744" s="21"/>
      <c r="I744" s="22"/>
      <c r="J744" s="23"/>
      <c r="K744" s="44">
        <f t="shared" ref="K744:K746" si="87">34290*1.19/5</f>
        <v>8161.02</v>
      </c>
      <c r="L744" s="44">
        <v>18000.0</v>
      </c>
      <c r="M744" s="25"/>
      <c r="N744" s="102">
        <v>14000.0</v>
      </c>
      <c r="O744" s="27">
        <f t="shared" si="80"/>
        <v>1.205606652</v>
      </c>
      <c r="P744" s="28">
        <f t="shared" si="82"/>
        <v>0</v>
      </c>
    </row>
    <row r="745" hidden="1">
      <c r="A745" s="16" t="s">
        <v>1190</v>
      </c>
      <c r="B745" s="36"/>
      <c r="C745" s="18" t="s">
        <v>1157</v>
      </c>
      <c r="D745" s="4"/>
      <c r="E745" s="19">
        <v>0.0</v>
      </c>
      <c r="F745" s="19"/>
      <c r="G745" s="16" t="s">
        <v>1161</v>
      </c>
      <c r="H745" s="21"/>
      <c r="I745" s="22"/>
      <c r="J745" s="23"/>
      <c r="K745" s="44">
        <f t="shared" si="87"/>
        <v>8161.02</v>
      </c>
      <c r="L745" s="44">
        <v>18000.0</v>
      </c>
      <c r="M745" s="25"/>
      <c r="N745" s="102">
        <v>14000.0</v>
      </c>
      <c r="O745" s="27">
        <f t="shared" si="80"/>
        <v>1.205606652</v>
      </c>
      <c r="P745" s="28">
        <f t="shared" si="82"/>
        <v>0</v>
      </c>
    </row>
    <row r="746" hidden="1">
      <c r="A746" s="16" t="s">
        <v>1191</v>
      </c>
      <c r="B746" s="36"/>
      <c r="C746" s="18" t="s">
        <v>1157</v>
      </c>
      <c r="D746" s="4"/>
      <c r="E746" s="19">
        <v>0.0</v>
      </c>
      <c r="F746" s="19"/>
      <c r="G746" s="16" t="s">
        <v>1164</v>
      </c>
      <c r="H746" s="21"/>
      <c r="I746" s="22"/>
      <c r="J746" s="23"/>
      <c r="K746" s="44">
        <f t="shared" si="87"/>
        <v>8161.02</v>
      </c>
      <c r="L746" s="44">
        <v>18000.0</v>
      </c>
      <c r="M746" s="25"/>
      <c r="N746" s="102">
        <v>14000.0</v>
      </c>
      <c r="O746" s="27">
        <f t="shared" si="80"/>
        <v>1.205606652</v>
      </c>
      <c r="P746" s="28">
        <f t="shared" si="82"/>
        <v>0</v>
      </c>
    </row>
    <row r="747" hidden="1">
      <c r="A747" s="16" t="s">
        <v>1192</v>
      </c>
      <c r="B747" s="36">
        <v>245041.0</v>
      </c>
      <c r="C747" s="18" t="s">
        <v>1157</v>
      </c>
      <c r="D747" s="4"/>
      <c r="E747" s="19">
        <v>0.0</v>
      </c>
      <c r="F747" s="19"/>
      <c r="G747" s="16" t="s">
        <v>1161</v>
      </c>
      <c r="H747" s="21"/>
      <c r="I747" s="22"/>
      <c r="J747" s="23"/>
      <c r="K747" s="44">
        <v>6378.0</v>
      </c>
      <c r="L747" s="44">
        <v>18000.0</v>
      </c>
      <c r="M747" s="25"/>
      <c r="N747" s="102">
        <v>14000.0</v>
      </c>
      <c r="O747" s="27">
        <f t="shared" si="80"/>
        <v>1.822201317</v>
      </c>
      <c r="P747" s="28">
        <f t="shared" si="82"/>
        <v>0</v>
      </c>
    </row>
    <row r="748" hidden="1">
      <c r="A748" s="16" t="s">
        <v>1193</v>
      </c>
      <c r="B748" s="36"/>
      <c r="C748" s="18" t="s">
        <v>1157</v>
      </c>
      <c r="D748" s="4"/>
      <c r="E748" s="19">
        <v>0.0</v>
      </c>
      <c r="F748" s="19"/>
      <c r="G748" s="16" t="s">
        <v>1164</v>
      </c>
      <c r="H748" s="21"/>
      <c r="I748" s="22"/>
      <c r="J748" s="23"/>
      <c r="K748" s="44">
        <f t="shared" ref="K748:K750" si="88">34290*1.19/5</f>
        <v>8161.02</v>
      </c>
      <c r="L748" s="44">
        <v>18000.0</v>
      </c>
      <c r="M748" s="25"/>
      <c r="N748" s="102">
        <v>14000.0</v>
      </c>
      <c r="O748" s="27">
        <f t="shared" si="80"/>
        <v>1.205606652</v>
      </c>
      <c r="P748" s="28">
        <f t="shared" si="82"/>
        <v>0</v>
      </c>
    </row>
    <row r="749" hidden="1">
      <c r="A749" s="16" t="s">
        <v>1194</v>
      </c>
      <c r="B749" s="36"/>
      <c r="C749" s="18" t="s">
        <v>1157</v>
      </c>
      <c r="D749" s="4"/>
      <c r="E749" s="19">
        <v>0.0</v>
      </c>
      <c r="F749" s="19"/>
      <c r="G749" s="16" t="s">
        <v>1161</v>
      </c>
      <c r="H749" s="21"/>
      <c r="I749" s="22"/>
      <c r="J749" s="23"/>
      <c r="K749" s="44">
        <f t="shared" si="88"/>
        <v>8161.02</v>
      </c>
      <c r="L749" s="44">
        <v>18000.0</v>
      </c>
      <c r="M749" s="25"/>
      <c r="N749" s="102">
        <v>14000.0</v>
      </c>
      <c r="O749" s="27">
        <f t="shared" si="80"/>
        <v>1.205606652</v>
      </c>
      <c r="P749" s="28">
        <f t="shared" si="82"/>
        <v>0</v>
      </c>
    </row>
    <row r="750" hidden="1">
      <c r="A750" s="16" t="s">
        <v>1195</v>
      </c>
      <c r="B750" s="36"/>
      <c r="C750" s="18" t="s">
        <v>1157</v>
      </c>
      <c r="D750" s="4"/>
      <c r="E750" s="19">
        <v>0.0</v>
      </c>
      <c r="F750" s="19"/>
      <c r="G750" s="16" t="s">
        <v>1164</v>
      </c>
      <c r="H750" s="21"/>
      <c r="I750" s="22"/>
      <c r="J750" s="23"/>
      <c r="K750" s="44">
        <f t="shared" si="88"/>
        <v>8161.02</v>
      </c>
      <c r="L750" s="44">
        <v>18000.0</v>
      </c>
      <c r="M750" s="25"/>
      <c r="N750" s="102">
        <v>14000.0</v>
      </c>
      <c r="O750" s="27">
        <f t="shared" si="80"/>
        <v>1.205606652</v>
      </c>
      <c r="P750" s="28">
        <f t="shared" si="82"/>
        <v>0</v>
      </c>
    </row>
    <row r="751" hidden="1">
      <c r="A751" s="16" t="s">
        <v>1196</v>
      </c>
      <c r="B751" s="36">
        <v>245043.0</v>
      </c>
      <c r="C751" s="18" t="s">
        <v>1157</v>
      </c>
      <c r="D751" s="4"/>
      <c r="E751" s="19">
        <v>0.0</v>
      </c>
      <c r="F751" s="19"/>
      <c r="G751" s="16" t="s">
        <v>1161</v>
      </c>
      <c r="H751" s="21"/>
      <c r="I751" s="22"/>
      <c r="J751" s="23"/>
      <c r="K751" s="44">
        <v>6378.0</v>
      </c>
      <c r="L751" s="44">
        <v>18000.0</v>
      </c>
      <c r="M751" s="25"/>
      <c r="N751" s="102">
        <v>14000.0</v>
      </c>
      <c r="O751" s="27">
        <f t="shared" si="80"/>
        <v>1.822201317</v>
      </c>
      <c r="P751" s="28">
        <f t="shared" si="82"/>
        <v>0</v>
      </c>
    </row>
    <row r="752" hidden="1">
      <c r="A752" s="16" t="s">
        <v>1197</v>
      </c>
      <c r="B752" s="36"/>
      <c r="C752" s="18"/>
      <c r="D752" s="4"/>
      <c r="E752" s="19">
        <v>0.0</v>
      </c>
      <c r="F752" s="19">
        <v>0.0</v>
      </c>
      <c r="G752" s="16" t="s">
        <v>1198</v>
      </c>
      <c r="H752" s="21"/>
      <c r="I752" s="22">
        <v>100.0</v>
      </c>
      <c r="J752" s="29"/>
      <c r="K752" s="32">
        <v>2800.0</v>
      </c>
      <c r="L752" s="32">
        <v>12000.0</v>
      </c>
      <c r="M752" s="25"/>
      <c r="N752" s="39"/>
      <c r="O752" s="27">
        <f t="shared" si="80"/>
        <v>3.285714286</v>
      </c>
      <c r="P752" s="28">
        <f t="shared" si="82"/>
        <v>0</v>
      </c>
    </row>
    <row r="753" hidden="1">
      <c r="A753" s="16" t="s">
        <v>1199</v>
      </c>
      <c r="B753" s="36"/>
      <c r="C753" s="18" t="s">
        <v>1200</v>
      </c>
      <c r="D753" s="4"/>
      <c r="E753" s="19"/>
      <c r="F753" s="19"/>
      <c r="G753" s="16" t="s">
        <v>1201</v>
      </c>
      <c r="H753" s="21">
        <v>0.0</v>
      </c>
      <c r="I753" s="22"/>
      <c r="J753" s="23"/>
      <c r="K753" s="24">
        <f>9500*1.19</f>
        <v>11305</v>
      </c>
      <c r="L753" s="24">
        <v>16000.0</v>
      </c>
      <c r="M753" s="25"/>
      <c r="N753" s="39"/>
      <c r="O753" s="27"/>
      <c r="P753" s="28"/>
    </row>
    <row r="754" hidden="1">
      <c r="A754" s="16" t="s">
        <v>1202</v>
      </c>
      <c r="B754" s="79">
        <f>L754*4</f>
        <v>64000</v>
      </c>
      <c r="C754" s="18" t="s">
        <v>1200</v>
      </c>
      <c r="D754" s="4"/>
      <c r="E754" s="19"/>
      <c r="F754" s="19"/>
      <c r="G754" s="20" t="s">
        <v>375</v>
      </c>
      <c r="H754" s="21">
        <v>0.0</v>
      </c>
      <c r="I754" s="22"/>
      <c r="J754" s="29"/>
      <c r="K754" s="32">
        <f>9000*1.19</f>
        <v>10710</v>
      </c>
      <c r="L754" s="24">
        <v>16000.0</v>
      </c>
      <c r="M754" s="25"/>
      <c r="N754" s="70"/>
      <c r="O754" s="27">
        <f>(L754/K754)-1</f>
        <v>0.4939309057</v>
      </c>
      <c r="P754" s="28">
        <f>K754*F754</f>
        <v>0</v>
      </c>
    </row>
    <row r="755" hidden="1">
      <c r="A755" s="16" t="s">
        <v>1203</v>
      </c>
      <c r="B755" s="36"/>
      <c r="C755" s="18" t="s">
        <v>1200</v>
      </c>
      <c r="D755" s="4"/>
      <c r="E755" s="19"/>
      <c r="F755" s="19"/>
      <c r="G755" s="16" t="s">
        <v>1201</v>
      </c>
      <c r="H755" s="21">
        <v>0.0</v>
      </c>
      <c r="I755" s="22"/>
      <c r="J755" s="23"/>
      <c r="K755" s="24">
        <f>9500*1.19</f>
        <v>11305</v>
      </c>
      <c r="L755" s="24">
        <v>16000.0</v>
      </c>
      <c r="M755" s="25"/>
      <c r="N755" s="39"/>
      <c r="O755" s="27"/>
      <c r="P755" s="28"/>
    </row>
    <row r="756" hidden="1">
      <c r="A756" s="16" t="s">
        <v>1204</v>
      </c>
      <c r="B756" s="36"/>
      <c r="C756" s="18"/>
      <c r="D756" s="4"/>
      <c r="E756" s="19">
        <v>0.0</v>
      </c>
      <c r="F756" s="19">
        <v>0.0</v>
      </c>
      <c r="G756" s="16" t="s">
        <v>1205</v>
      </c>
      <c r="H756" s="21"/>
      <c r="I756" s="22"/>
      <c r="J756" s="29"/>
      <c r="K756" s="43">
        <f>11452*1.19</f>
        <v>13627.88</v>
      </c>
      <c r="L756" s="44">
        <v>18000.0</v>
      </c>
      <c r="M756" s="25"/>
      <c r="N756" s="39"/>
      <c r="O756" s="27">
        <f t="shared" ref="O756:O764" si="89">(L756/K756)-1</f>
        <v>0.3208217272</v>
      </c>
      <c r="P756" s="28">
        <f t="shared" ref="P756:P764" si="90">K756*F756</f>
        <v>0</v>
      </c>
    </row>
    <row r="757" hidden="1">
      <c r="A757" s="16" t="s">
        <v>1206</v>
      </c>
      <c r="B757" s="17"/>
      <c r="C757" s="18"/>
      <c r="D757" s="4"/>
      <c r="E757" s="19"/>
      <c r="F757" s="19">
        <v>5.0</v>
      </c>
      <c r="G757" s="40" t="s">
        <v>93</v>
      </c>
      <c r="H757" s="21"/>
      <c r="I757" s="22"/>
      <c r="J757" s="29"/>
      <c r="K757" s="32">
        <v>10670.0</v>
      </c>
      <c r="L757" s="24">
        <v>14000.0</v>
      </c>
      <c r="M757" s="25"/>
      <c r="N757" s="39"/>
      <c r="O757" s="27">
        <f t="shared" si="89"/>
        <v>0.3120899719</v>
      </c>
      <c r="P757" s="28">
        <f t="shared" si="90"/>
        <v>53350</v>
      </c>
    </row>
    <row r="758" hidden="1">
      <c r="A758" s="16" t="s">
        <v>1207</v>
      </c>
      <c r="B758" s="17"/>
      <c r="C758" s="18"/>
      <c r="D758" s="4"/>
      <c r="E758" s="19"/>
      <c r="F758" s="19">
        <v>0.0</v>
      </c>
      <c r="G758" s="40" t="s">
        <v>93</v>
      </c>
      <c r="H758" s="21"/>
      <c r="I758" s="22"/>
      <c r="J758" s="29"/>
      <c r="K758" s="32">
        <v>10670.0</v>
      </c>
      <c r="L758" s="24">
        <v>14000.0</v>
      </c>
      <c r="M758" s="25"/>
      <c r="N758" s="39"/>
      <c r="O758" s="27">
        <f t="shared" si="89"/>
        <v>0.3120899719</v>
      </c>
      <c r="P758" s="28">
        <f t="shared" si="90"/>
        <v>0</v>
      </c>
    </row>
    <row r="759" hidden="1">
      <c r="A759" s="16" t="s">
        <v>1208</v>
      </c>
      <c r="B759" s="17"/>
      <c r="C759" s="18"/>
      <c r="D759" s="4"/>
      <c r="E759" s="19"/>
      <c r="F759" s="19">
        <v>0.0</v>
      </c>
      <c r="G759" s="40" t="s">
        <v>93</v>
      </c>
      <c r="H759" s="21"/>
      <c r="I759" s="22"/>
      <c r="J759" s="29"/>
      <c r="K759" s="32">
        <v>10670.0</v>
      </c>
      <c r="L759" s="24">
        <v>14000.0</v>
      </c>
      <c r="M759" s="25"/>
      <c r="N759" s="39"/>
      <c r="O759" s="27">
        <f t="shared" si="89"/>
        <v>0.3120899719</v>
      </c>
      <c r="P759" s="28">
        <f t="shared" si="90"/>
        <v>0</v>
      </c>
    </row>
    <row r="760" hidden="1">
      <c r="A760" s="16" t="s">
        <v>1209</v>
      </c>
      <c r="B760" s="36"/>
      <c r="C760" s="18"/>
      <c r="D760" s="4"/>
      <c r="E760" s="19">
        <v>0.0</v>
      </c>
      <c r="F760" s="19">
        <v>0.0</v>
      </c>
      <c r="G760" s="16" t="s">
        <v>1210</v>
      </c>
      <c r="H760" s="21"/>
      <c r="I760" s="22"/>
      <c r="J760" s="23"/>
      <c r="K760" s="24">
        <v>10710.0</v>
      </c>
      <c r="L760" s="24">
        <v>18000.0</v>
      </c>
      <c r="M760" s="25"/>
      <c r="N760" s="102">
        <v>14000.0</v>
      </c>
      <c r="O760" s="27">
        <f t="shared" si="89"/>
        <v>0.6806722689</v>
      </c>
      <c r="P760" s="28">
        <f t="shared" si="90"/>
        <v>0</v>
      </c>
    </row>
    <row r="761" hidden="1">
      <c r="A761" s="16" t="s">
        <v>1211</v>
      </c>
      <c r="B761" s="49"/>
      <c r="C761" s="18"/>
      <c r="D761" s="4"/>
      <c r="E761" s="19"/>
      <c r="F761" s="19">
        <v>0.0</v>
      </c>
      <c r="G761" s="20" t="s">
        <v>159</v>
      </c>
      <c r="H761" s="21"/>
      <c r="I761" s="22"/>
      <c r="J761" s="29"/>
      <c r="K761" s="48">
        <v>22230.0</v>
      </c>
      <c r="L761" s="55">
        <v>28000.0</v>
      </c>
      <c r="M761" s="25"/>
      <c r="N761" s="70"/>
      <c r="O761" s="27">
        <f t="shared" si="89"/>
        <v>0.2595591543</v>
      </c>
      <c r="P761" s="28">
        <f t="shared" si="90"/>
        <v>0</v>
      </c>
    </row>
    <row r="762" hidden="1">
      <c r="A762" s="16" t="s">
        <v>1212</v>
      </c>
      <c r="B762" s="17"/>
      <c r="C762" s="18" t="s">
        <v>1157</v>
      </c>
      <c r="D762" s="4"/>
      <c r="E762" s="19">
        <v>0.0</v>
      </c>
      <c r="F762" s="19">
        <v>0.0</v>
      </c>
      <c r="G762" s="16" t="s">
        <v>1158</v>
      </c>
      <c r="H762" s="21"/>
      <c r="I762" s="22"/>
      <c r="J762" s="29"/>
      <c r="K762" s="43">
        <f>11000*1.19</f>
        <v>13090</v>
      </c>
      <c r="L762" s="44">
        <v>25000.0</v>
      </c>
      <c r="M762" s="25"/>
      <c r="N762" s="102">
        <v>20000.0</v>
      </c>
      <c r="O762" s="27">
        <f t="shared" si="89"/>
        <v>0.909854851</v>
      </c>
      <c r="P762" s="28">
        <f t="shared" si="90"/>
        <v>0</v>
      </c>
    </row>
    <row r="763" hidden="1">
      <c r="A763" s="16" t="s">
        <v>1213</v>
      </c>
      <c r="B763" s="49"/>
      <c r="C763" s="18"/>
      <c r="D763" s="4"/>
      <c r="E763" s="19"/>
      <c r="F763" s="19"/>
      <c r="G763" s="20" t="s">
        <v>375</v>
      </c>
      <c r="H763" s="21">
        <v>0.0</v>
      </c>
      <c r="I763" s="22"/>
      <c r="J763" s="29"/>
      <c r="K763" s="32">
        <f>24500*1.19</f>
        <v>29155</v>
      </c>
      <c r="L763" s="24">
        <v>46000.0</v>
      </c>
      <c r="M763" s="25"/>
      <c r="N763" s="70"/>
      <c r="O763" s="27">
        <f t="shared" si="89"/>
        <v>0.5777739667</v>
      </c>
      <c r="P763" s="28">
        <f t="shared" si="90"/>
        <v>0</v>
      </c>
    </row>
    <row r="764" hidden="1">
      <c r="A764" s="16" t="s">
        <v>1214</v>
      </c>
      <c r="B764" s="17"/>
      <c r="C764" s="18" t="s">
        <v>1020</v>
      </c>
      <c r="D764" s="188"/>
      <c r="E764" s="19">
        <v>0.0</v>
      </c>
      <c r="F764" s="19"/>
      <c r="G764" s="16" t="s">
        <v>1215</v>
      </c>
      <c r="H764" s="21"/>
      <c r="I764" s="22"/>
      <c r="J764" s="29"/>
      <c r="K764" s="32">
        <v>45339.0</v>
      </c>
      <c r="L764" s="24">
        <v>56000.0</v>
      </c>
      <c r="M764" s="25"/>
      <c r="N764" s="39"/>
      <c r="O764" s="27">
        <f t="shared" si="89"/>
        <v>0.2351397252</v>
      </c>
      <c r="P764" s="28">
        <f t="shared" si="90"/>
        <v>0</v>
      </c>
    </row>
    <row r="765" hidden="1">
      <c r="A765" s="16" t="s">
        <v>1216</v>
      </c>
      <c r="B765" s="36"/>
      <c r="C765" s="18" t="s">
        <v>1200</v>
      </c>
      <c r="D765" s="4"/>
      <c r="E765" s="19"/>
      <c r="F765" s="19"/>
      <c r="G765" s="16" t="s">
        <v>1201</v>
      </c>
      <c r="H765" s="21">
        <v>0.0</v>
      </c>
      <c r="I765" s="22"/>
      <c r="J765" s="23"/>
      <c r="K765" s="24">
        <f t="shared" ref="K765:K768" si="91">9000*1.19</f>
        <v>10710</v>
      </c>
      <c r="L765" s="24">
        <v>16000.0</v>
      </c>
      <c r="M765" s="25"/>
      <c r="N765" s="39"/>
      <c r="O765" s="27"/>
      <c r="P765" s="28"/>
    </row>
    <row r="766" hidden="1">
      <c r="A766" s="16" t="s">
        <v>1217</v>
      </c>
      <c r="B766" s="36"/>
      <c r="C766" s="18" t="s">
        <v>1200</v>
      </c>
      <c r="D766" s="4"/>
      <c r="E766" s="19"/>
      <c r="F766" s="19"/>
      <c r="G766" s="16" t="s">
        <v>1201</v>
      </c>
      <c r="H766" s="21">
        <v>0.0</v>
      </c>
      <c r="I766" s="22"/>
      <c r="J766" s="23"/>
      <c r="K766" s="24">
        <f t="shared" si="91"/>
        <v>10710</v>
      </c>
      <c r="L766" s="24">
        <v>16000.0</v>
      </c>
      <c r="M766" s="25"/>
      <c r="N766" s="39"/>
      <c r="O766" s="27"/>
      <c r="P766" s="28"/>
    </row>
    <row r="767" hidden="1">
      <c r="A767" s="16" t="s">
        <v>1218</v>
      </c>
      <c r="B767" s="36"/>
      <c r="C767" s="18" t="s">
        <v>1200</v>
      </c>
      <c r="D767" s="4"/>
      <c r="E767" s="19"/>
      <c r="F767" s="19"/>
      <c r="G767" s="16" t="s">
        <v>1201</v>
      </c>
      <c r="H767" s="21">
        <v>0.0</v>
      </c>
      <c r="I767" s="22"/>
      <c r="J767" s="23"/>
      <c r="K767" s="24">
        <f t="shared" si="91"/>
        <v>10710</v>
      </c>
      <c r="L767" s="24">
        <v>16000.0</v>
      </c>
      <c r="M767" s="25"/>
      <c r="N767" s="26"/>
      <c r="O767" s="27"/>
      <c r="P767" s="28"/>
    </row>
    <row r="768" hidden="1">
      <c r="A768" s="16" t="s">
        <v>1219</v>
      </c>
      <c r="B768" s="36"/>
      <c r="C768" s="18" t="s">
        <v>1200</v>
      </c>
      <c r="D768" s="4"/>
      <c r="E768" s="19"/>
      <c r="F768" s="19"/>
      <c r="G768" s="16" t="s">
        <v>1201</v>
      </c>
      <c r="H768" s="21">
        <v>0.0</v>
      </c>
      <c r="I768" s="22"/>
      <c r="J768" s="23"/>
      <c r="K768" s="24">
        <f t="shared" si="91"/>
        <v>10710</v>
      </c>
      <c r="L768" s="24">
        <v>16000.0</v>
      </c>
      <c r="M768" s="25"/>
      <c r="N768" s="39"/>
      <c r="O768" s="27"/>
      <c r="P768" s="28"/>
    </row>
    <row r="769" hidden="1">
      <c r="A769" s="16" t="s">
        <v>1220</v>
      </c>
      <c r="B769" s="36"/>
      <c r="C769" s="18"/>
      <c r="D769" s="4"/>
      <c r="E769" s="19">
        <v>0.0</v>
      </c>
      <c r="F769" s="19"/>
      <c r="G769" s="16" t="s">
        <v>1012</v>
      </c>
      <c r="H769" s="21"/>
      <c r="I769" s="22"/>
      <c r="J769" s="29"/>
      <c r="K769" s="43">
        <v>86430.0</v>
      </c>
      <c r="L769" s="44">
        <v>102000.0</v>
      </c>
      <c r="M769" s="25"/>
      <c r="N769" s="39"/>
      <c r="O769" s="27">
        <f t="shared" ref="O769:O789" si="92">(L769/K769)-1</f>
        <v>0.1801457827</v>
      </c>
      <c r="P769" s="28">
        <f t="shared" ref="P769:P789" si="93">K769*F769</f>
        <v>0</v>
      </c>
    </row>
    <row r="770" hidden="1">
      <c r="A770" s="16" t="s">
        <v>1221</v>
      </c>
      <c r="B770" s="49"/>
      <c r="C770" s="18"/>
      <c r="D770" s="4"/>
      <c r="E770" s="19">
        <v>0.0</v>
      </c>
      <c r="F770" s="19">
        <v>0.0</v>
      </c>
      <c r="G770" s="16" t="s">
        <v>16</v>
      </c>
      <c r="H770" s="21"/>
      <c r="I770" s="22"/>
      <c r="J770" s="29"/>
      <c r="K770" s="32">
        <v>674.0</v>
      </c>
      <c r="L770" s="24">
        <v>4000.0</v>
      </c>
      <c r="M770" s="25"/>
      <c r="N770" s="39"/>
      <c r="O770" s="27">
        <f t="shared" si="92"/>
        <v>4.934718101</v>
      </c>
      <c r="P770" s="28">
        <f t="shared" si="93"/>
        <v>0</v>
      </c>
    </row>
    <row r="771" hidden="1">
      <c r="A771" s="16" t="s">
        <v>1222</v>
      </c>
      <c r="B771" s="189">
        <f>L771</f>
        <v>50000</v>
      </c>
      <c r="C771" s="18" t="s">
        <v>1200</v>
      </c>
      <c r="D771" s="4"/>
      <c r="E771" s="19"/>
      <c r="F771" s="19"/>
      <c r="G771" s="16" t="s">
        <v>1201</v>
      </c>
      <c r="H771" s="21">
        <v>0.0</v>
      </c>
      <c r="I771" s="22"/>
      <c r="J771" s="23"/>
      <c r="K771" s="24">
        <f>24500*1.19</f>
        <v>29155</v>
      </c>
      <c r="L771" s="24">
        <v>50000.0</v>
      </c>
      <c r="M771" s="25"/>
      <c r="N771" s="39"/>
      <c r="O771" s="27">
        <f t="shared" si="92"/>
        <v>0.714971703</v>
      </c>
      <c r="P771" s="28">
        <f t="shared" si="93"/>
        <v>0</v>
      </c>
    </row>
    <row r="772" hidden="1">
      <c r="A772" s="118" t="s">
        <v>1223</v>
      </c>
      <c r="B772" s="17"/>
      <c r="C772" s="18"/>
      <c r="D772" s="4"/>
      <c r="E772" s="19">
        <v>0.0</v>
      </c>
      <c r="F772" s="19">
        <v>0.0</v>
      </c>
      <c r="G772" s="40" t="s">
        <v>563</v>
      </c>
      <c r="H772" s="21"/>
      <c r="I772" s="22"/>
      <c r="J772" s="29"/>
      <c r="K772" s="43">
        <v>2500.0</v>
      </c>
      <c r="L772" s="44">
        <v>3500.0</v>
      </c>
      <c r="M772" s="25"/>
      <c r="N772" s="39"/>
      <c r="O772" s="27">
        <f t="shared" si="92"/>
        <v>0.4</v>
      </c>
      <c r="P772" s="28">
        <f t="shared" si="93"/>
        <v>0</v>
      </c>
    </row>
    <row r="773" hidden="1">
      <c r="A773" s="118" t="s">
        <v>1223</v>
      </c>
      <c r="B773" s="17"/>
      <c r="C773" s="18"/>
      <c r="D773" s="4"/>
      <c r="E773" s="19">
        <v>0.0</v>
      </c>
      <c r="F773" s="19">
        <v>0.0</v>
      </c>
      <c r="G773" s="16" t="s">
        <v>425</v>
      </c>
      <c r="H773" s="21"/>
      <c r="I773" s="22"/>
      <c r="J773" s="29"/>
      <c r="K773" s="43">
        <v>2500.0</v>
      </c>
      <c r="L773" s="44">
        <v>3500.0</v>
      </c>
      <c r="M773" s="25"/>
      <c r="N773" s="39"/>
      <c r="O773" s="27">
        <f t="shared" si="92"/>
        <v>0.4</v>
      </c>
      <c r="P773" s="28">
        <f t="shared" si="93"/>
        <v>0</v>
      </c>
    </row>
    <row r="774" hidden="1">
      <c r="A774" s="16" t="s">
        <v>1224</v>
      </c>
      <c r="B774" s="49"/>
      <c r="C774" s="18"/>
      <c r="D774" s="4"/>
      <c r="E774" s="19"/>
      <c r="F774" s="19">
        <v>0.0</v>
      </c>
      <c r="G774" s="20" t="s">
        <v>1225</v>
      </c>
      <c r="H774" s="21"/>
      <c r="I774" s="22"/>
      <c r="J774" s="29"/>
      <c r="K774" s="32">
        <v>10670.0</v>
      </c>
      <c r="L774" s="24">
        <v>14000.0</v>
      </c>
      <c r="M774" s="25"/>
      <c r="N774" s="39"/>
      <c r="O774" s="27">
        <f t="shared" si="92"/>
        <v>0.3120899719</v>
      </c>
      <c r="P774" s="28">
        <f t="shared" si="93"/>
        <v>0</v>
      </c>
    </row>
    <row r="775" hidden="1">
      <c r="A775" s="16" t="s">
        <v>1226</v>
      </c>
      <c r="B775" s="17"/>
      <c r="C775" s="18"/>
      <c r="D775" s="4"/>
      <c r="E775" s="19"/>
      <c r="F775" s="19">
        <v>0.0</v>
      </c>
      <c r="G775" s="16" t="s">
        <v>1227</v>
      </c>
      <c r="H775" s="21"/>
      <c r="I775" s="22"/>
      <c r="J775" s="29"/>
      <c r="K775" s="43">
        <v>1800.0</v>
      </c>
      <c r="L775" s="44">
        <v>4000.0</v>
      </c>
      <c r="M775" s="25"/>
      <c r="N775" s="39"/>
      <c r="O775" s="27">
        <f t="shared" si="92"/>
        <v>1.222222222</v>
      </c>
      <c r="P775" s="28">
        <f t="shared" si="93"/>
        <v>0</v>
      </c>
    </row>
    <row r="776" hidden="1">
      <c r="A776" s="16" t="s">
        <v>1228</v>
      </c>
      <c r="B776" s="36"/>
      <c r="C776" s="18" t="s">
        <v>1157</v>
      </c>
      <c r="D776" s="4"/>
      <c r="E776" s="19"/>
      <c r="F776" s="19">
        <v>0.0</v>
      </c>
      <c r="G776" s="16" t="s">
        <v>1229</v>
      </c>
      <c r="H776" s="21"/>
      <c r="I776" s="22"/>
      <c r="J776" s="29"/>
      <c r="K776" s="43">
        <f>10677*1.19</f>
        <v>12705.63</v>
      </c>
      <c r="L776" s="44">
        <v>25000.0</v>
      </c>
      <c r="M776" s="25"/>
      <c r="N776" s="102">
        <v>22000.0</v>
      </c>
      <c r="O776" s="27">
        <f t="shared" si="92"/>
        <v>0.9676316719</v>
      </c>
      <c r="P776" s="28">
        <f t="shared" si="93"/>
        <v>0</v>
      </c>
    </row>
    <row r="777" hidden="1">
      <c r="A777" s="16" t="s">
        <v>1230</v>
      </c>
      <c r="B777" s="17"/>
      <c r="C777" s="18"/>
      <c r="D777" s="4"/>
      <c r="E777" s="19">
        <v>0.0</v>
      </c>
      <c r="F777" s="19"/>
      <c r="G777" s="20" t="s">
        <v>1231</v>
      </c>
      <c r="H777" s="21"/>
      <c r="I777" s="22"/>
      <c r="J777" s="29"/>
      <c r="K777" s="43">
        <v>21000.0</v>
      </c>
      <c r="L777" s="44">
        <v>45000.0</v>
      </c>
      <c r="M777" s="25"/>
      <c r="N777" s="39"/>
      <c r="O777" s="27">
        <f t="shared" si="92"/>
        <v>1.142857143</v>
      </c>
      <c r="P777" s="28">
        <f t="shared" si="93"/>
        <v>0</v>
      </c>
    </row>
    <row r="778" hidden="1">
      <c r="A778" s="16" t="s">
        <v>1232</v>
      </c>
      <c r="B778" s="17" t="s">
        <v>1233</v>
      </c>
      <c r="C778" s="18"/>
      <c r="D778" s="4"/>
      <c r="E778" s="19">
        <v>0.0</v>
      </c>
      <c r="F778" s="19"/>
      <c r="G778" s="20" t="s">
        <v>1234</v>
      </c>
      <c r="H778" s="21"/>
      <c r="I778" s="22"/>
      <c r="J778" s="29"/>
      <c r="K778" s="32">
        <v>14700.0</v>
      </c>
      <c r="L778" s="24">
        <v>45000.0</v>
      </c>
      <c r="M778" s="25"/>
      <c r="N778" s="39"/>
      <c r="O778" s="27">
        <f t="shared" si="92"/>
        <v>2.06122449</v>
      </c>
      <c r="P778" s="28">
        <f t="shared" si="93"/>
        <v>0</v>
      </c>
    </row>
    <row r="779" hidden="1">
      <c r="A779" s="16" t="s">
        <v>1235</v>
      </c>
      <c r="B779" s="17"/>
      <c r="C779" s="18"/>
      <c r="D779" s="4"/>
      <c r="E779" s="19">
        <v>0.0</v>
      </c>
      <c r="F779" s="19"/>
      <c r="G779" s="20" t="s">
        <v>1231</v>
      </c>
      <c r="H779" s="21"/>
      <c r="I779" s="22"/>
      <c r="J779" s="29"/>
      <c r="K779" s="43">
        <v>9400.0</v>
      </c>
      <c r="L779" s="44">
        <v>25000.0</v>
      </c>
      <c r="M779" s="25"/>
      <c r="N779" s="39"/>
      <c r="O779" s="27">
        <f t="shared" si="92"/>
        <v>1.659574468</v>
      </c>
      <c r="P779" s="28">
        <f t="shared" si="93"/>
        <v>0</v>
      </c>
    </row>
    <row r="780" hidden="1">
      <c r="A780" s="16" t="s">
        <v>1236</v>
      </c>
      <c r="B780" s="49"/>
      <c r="C780" s="18" t="s">
        <v>1200</v>
      </c>
      <c r="D780" s="4"/>
      <c r="E780" s="19"/>
      <c r="F780" s="19"/>
      <c r="G780" s="20" t="s">
        <v>375</v>
      </c>
      <c r="H780" s="21">
        <v>0.0</v>
      </c>
      <c r="I780" s="22"/>
      <c r="J780" s="29"/>
      <c r="K780" s="32">
        <f>46400*1.19</f>
        <v>55216</v>
      </c>
      <c r="L780" s="24">
        <v>70000.0</v>
      </c>
      <c r="M780" s="25"/>
      <c r="N780" s="70"/>
      <c r="O780" s="27">
        <f t="shared" si="92"/>
        <v>0.2677484787</v>
      </c>
      <c r="P780" s="28">
        <f t="shared" si="93"/>
        <v>0</v>
      </c>
    </row>
    <row r="781" hidden="1">
      <c r="A781" s="52" t="s">
        <v>1237</v>
      </c>
      <c r="B781" s="17"/>
      <c r="C781" s="18"/>
      <c r="D781" s="4"/>
      <c r="E781" s="19">
        <v>0.0</v>
      </c>
      <c r="F781" s="19"/>
      <c r="G781" s="20" t="s">
        <v>457</v>
      </c>
      <c r="H781" s="21"/>
      <c r="I781" s="22"/>
      <c r="J781" s="29"/>
      <c r="K781" s="48">
        <f>8500*1.19</f>
        <v>10115</v>
      </c>
      <c r="L781" s="55">
        <v>16000.0</v>
      </c>
      <c r="M781" s="25"/>
      <c r="N781" s="39"/>
      <c r="O781" s="27">
        <f t="shared" si="92"/>
        <v>0.5818091943</v>
      </c>
      <c r="P781" s="28">
        <f t="shared" si="93"/>
        <v>0</v>
      </c>
    </row>
    <row r="782" hidden="1">
      <c r="A782" s="16" t="s">
        <v>1238</v>
      </c>
      <c r="B782" s="17"/>
      <c r="C782" s="18"/>
      <c r="D782" s="4"/>
      <c r="E782" s="19">
        <v>0.0</v>
      </c>
      <c r="F782" s="19"/>
      <c r="G782" s="20" t="s">
        <v>1231</v>
      </c>
      <c r="H782" s="21"/>
      <c r="I782" s="22"/>
      <c r="J782" s="29"/>
      <c r="K782" s="43">
        <v>7200.0</v>
      </c>
      <c r="L782" s="44">
        <v>20000.0</v>
      </c>
      <c r="M782" s="25"/>
      <c r="N782" s="39"/>
      <c r="O782" s="27">
        <f t="shared" si="92"/>
        <v>1.777777778</v>
      </c>
      <c r="P782" s="28">
        <f t="shared" si="93"/>
        <v>0</v>
      </c>
    </row>
    <row r="783" hidden="1">
      <c r="A783" s="16" t="s">
        <v>1239</v>
      </c>
      <c r="B783" s="17" t="s">
        <v>1240</v>
      </c>
      <c r="C783" s="18"/>
      <c r="D783" s="4"/>
      <c r="E783" s="19">
        <v>0.0</v>
      </c>
      <c r="F783" s="19"/>
      <c r="G783" s="16" t="s">
        <v>1241</v>
      </c>
      <c r="H783" s="21"/>
      <c r="I783" s="22"/>
      <c r="J783" s="58">
        <v>46327.0</v>
      </c>
      <c r="K783" s="32">
        <v>121500.0</v>
      </c>
      <c r="L783" s="24">
        <v>165000.0</v>
      </c>
      <c r="M783" s="25" t="s">
        <v>76</v>
      </c>
      <c r="N783" s="102">
        <v>145000.0</v>
      </c>
      <c r="O783" s="27">
        <f t="shared" si="92"/>
        <v>0.3580246914</v>
      </c>
      <c r="P783" s="28">
        <f t="shared" si="93"/>
        <v>0</v>
      </c>
    </row>
    <row r="784" hidden="1">
      <c r="A784" s="16" t="s">
        <v>1242</v>
      </c>
      <c r="B784" s="17" t="s">
        <v>1243</v>
      </c>
      <c r="C784" s="18"/>
      <c r="D784" s="4"/>
      <c r="E784" s="19">
        <v>0.0</v>
      </c>
      <c r="F784" s="19"/>
      <c r="G784" s="16" t="s">
        <v>1241</v>
      </c>
      <c r="H784" s="21"/>
      <c r="I784" s="22"/>
      <c r="J784" s="58">
        <v>46143.0</v>
      </c>
      <c r="K784" s="48">
        <v>121500.0</v>
      </c>
      <c r="L784" s="55">
        <v>165000.0</v>
      </c>
      <c r="M784" s="25" t="s">
        <v>76</v>
      </c>
      <c r="N784" s="102">
        <v>145000.0</v>
      </c>
      <c r="O784" s="27">
        <f t="shared" si="92"/>
        <v>0.3580246914</v>
      </c>
      <c r="P784" s="28">
        <f t="shared" si="93"/>
        <v>0</v>
      </c>
    </row>
    <row r="785" hidden="1">
      <c r="A785" s="16" t="s">
        <v>1244</v>
      </c>
      <c r="B785" s="17" t="s">
        <v>1243</v>
      </c>
      <c r="C785" s="18"/>
      <c r="D785" s="4"/>
      <c r="E785" s="19">
        <v>0.0</v>
      </c>
      <c r="F785" s="19"/>
      <c r="G785" s="16" t="s">
        <v>1241</v>
      </c>
      <c r="H785" s="21"/>
      <c r="I785" s="22"/>
      <c r="J785" s="29"/>
      <c r="K785" s="48">
        <v>121500.0</v>
      </c>
      <c r="L785" s="55">
        <v>165000.0</v>
      </c>
      <c r="M785" s="25" t="s">
        <v>76</v>
      </c>
      <c r="N785" s="102">
        <v>145000.0</v>
      </c>
      <c r="O785" s="27">
        <f t="shared" si="92"/>
        <v>0.3580246914</v>
      </c>
      <c r="P785" s="28">
        <f t="shared" si="93"/>
        <v>0</v>
      </c>
    </row>
    <row r="786" hidden="1">
      <c r="A786" s="16" t="s">
        <v>1245</v>
      </c>
      <c r="B786" s="17" t="s">
        <v>1243</v>
      </c>
      <c r="C786" s="18"/>
      <c r="D786" s="4"/>
      <c r="E786" s="19">
        <v>0.0</v>
      </c>
      <c r="F786" s="19"/>
      <c r="G786" s="16" t="s">
        <v>1241</v>
      </c>
      <c r="H786" s="21"/>
      <c r="I786" s="22"/>
      <c r="J786" s="29"/>
      <c r="K786" s="48">
        <v>121500.0</v>
      </c>
      <c r="L786" s="55">
        <v>165000.0</v>
      </c>
      <c r="M786" s="25" t="s">
        <v>76</v>
      </c>
      <c r="N786" s="102">
        <v>145000.0</v>
      </c>
      <c r="O786" s="27">
        <f t="shared" si="92"/>
        <v>0.3580246914</v>
      </c>
      <c r="P786" s="28">
        <f t="shared" si="93"/>
        <v>0</v>
      </c>
    </row>
    <row r="787" hidden="1">
      <c r="A787" s="16" t="s">
        <v>1246</v>
      </c>
      <c r="B787" s="17" t="s">
        <v>1247</v>
      </c>
      <c r="C787" s="18"/>
      <c r="D787" s="4"/>
      <c r="E787" s="19">
        <v>0.0</v>
      </c>
      <c r="F787" s="19"/>
      <c r="G787" s="16" t="s">
        <v>1241</v>
      </c>
      <c r="H787" s="21"/>
      <c r="I787" s="22"/>
      <c r="J787" s="23"/>
      <c r="K787" s="55">
        <v>150462.0</v>
      </c>
      <c r="L787" s="55">
        <v>190000.0</v>
      </c>
      <c r="M787" s="25" t="s">
        <v>76</v>
      </c>
      <c r="N787" s="26">
        <v>170000.0</v>
      </c>
      <c r="O787" s="27">
        <f t="shared" si="92"/>
        <v>0.2627773125</v>
      </c>
      <c r="P787" s="28">
        <f t="shared" si="93"/>
        <v>0</v>
      </c>
    </row>
    <row r="788" hidden="1">
      <c r="A788" s="16" t="s">
        <v>1248</v>
      </c>
      <c r="B788" s="17" t="s">
        <v>1249</v>
      </c>
      <c r="C788" s="18"/>
      <c r="D788" s="4"/>
      <c r="E788" s="19" t="s">
        <v>1250</v>
      </c>
      <c r="F788" s="19">
        <f>169312</f>
        <v>169312</v>
      </c>
      <c r="G788" s="16" t="s">
        <v>1251</v>
      </c>
      <c r="H788" s="21"/>
      <c r="I788" s="22">
        <v>0.0</v>
      </c>
      <c r="J788" s="29"/>
      <c r="K788" s="48">
        <v>161250.0</v>
      </c>
      <c r="L788" s="55">
        <v>220000.0</v>
      </c>
      <c r="M788" s="25" t="s">
        <v>76</v>
      </c>
      <c r="N788" s="102">
        <v>178000.0</v>
      </c>
      <c r="O788" s="27">
        <f t="shared" si="92"/>
        <v>0.3643410853</v>
      </c>
      <c r="P788" s="28">
        <f t="shared" si="93"/>
        <v>27301560000</v>
      </c>
    </row>
    <row r="789" hidden="1">
      <c r="A789" s="52" t="s">
        <v>1252</v>
      </c>
      <c r="B789" s="17" t="s">
        <v>1253</v>
      </c>
      <c r="C789" s="18"/>
      <c r="D789" s="4"/>
      <c r="E789" s="19">
        <v>0.0</v>
      </c>
      <c r="F789" s="19">
        <v>0.0</v>
      </c>
      <c r="G789" s="16" t="s">
        <v>1254</v>
      </c>
      <c r="H789" s="21"/>
      <c r="I789" s="22">
        <f>12*5</f>
        <v>60</v>
      </c>
      <c r="J789" s="29"/>
      <c r="K789" s="32">
        <v>11900.0</v>
      </c>
      <c r="L789" s="32">
        <v>18000.0</v>
      </c>
      <c r="M789" s="25"/>
      <c r="N789" s="70"/>
      <c r="O789" s="27">
        <f t="shared" si="92"/>
        <v>0.512605042</v>
      </c>
      <c r="P789" s="28">
        <f t="shared" si="93"/>
        <v>0</v>
      </c>
    </row>
    <row r="790" hidden="1">
      <c r="A790" s="16" t="s">
        <v>1255</v>
      </c>
      <c r="B790" s="180"/>
      <c r="C790" s="18"/>
      <c r="D790" s="4"/>
      <c r="E790" s="19">
        <v>0.0</v>
      </c>
      <c r="F790" s="19">
        <v>0.0</v>
      </c>
      <c r="G790" s="16" t="s">
        <v>580</v>
      </c>
      <c r="H790" s="21"/>
      <c r="I790" s="22"/>
      <c r="J790" s="29"/>
      <c r="K790" s="48">
        <v>381000.0</v>
      </c>
      <c r="L790" s="55">
        <v>550000.0</v>
      </c>
      <c r="M790" s="25"/>
      <c r="N790" s="39"/>
      <c r="O790" s="27"/>
      <c r="P790" s="28"/>
    </row>
    <row r="791" hidden="1">
      <c r="A791" s="16" t="s">
        <v>1256</v>
      </c>
      <c r="B791" s="180" t="s">
        <v>1257</v>
      </c>
      <c r="C791" s="18"/>
      <c r="D791" s="4"/>
      <c r="E791" s="19">
        <v>0.0</v>
      </c>
      <c r="F791" s="19"/>
      <c r="G791" s="16" t="s">
        <v>39</v>
      </c>
      <c r="H791" s="21"/>
      <c r="I791" s="22"/>
      <c r="J791" s="29"/>
      <c r="K791" s="32">
        <v>3203.0</v>
      </c>
      <c r="L791" s="24">
        <v>10000.0</v>
      </c>
      <c r="M791" s="25"/>
      <c r="N791" s="39"/>
      <c r="O791" s="27">
        <f t="shared" ref="O791:O820" si="94">(L791/K791)-1</f>
        <v>2.122073057</v>
      </c>
      <c r="P791" s="28">
        <f t="shared" ref="P791:P823" si="95">K791*F791</f>
        <v>0</v>
      </c>
    </row>
    <row r="792" hidden="1">
      <c r="A792" s="40" t="s">
        <v>1258</v>
      </c>
      <c r="B792" s="36"/>
      <c r="C792" s="18"/>
      <c r="D792" s="4"/>
      <c r="E792" s="19">
        <v>0.0</v>
      </c>
      <c r="F792" s="19"/>
      <c r="G792" s="20" t="s">
        <v>1259</v>
      </c>
      <c r="H792" s="21"/>
      <c r="I792" s="22"/>
      <c r="J792" s="29"/>
      <c r="K792" s="43">
        <v>2500.0</v>
      </c>
      <c r="L792" s="44">
        <v>3500.0</v>
      </c>
      <c r="M792" s="25"/>
      <c r="N792" s="39"/>
      <c r="O792" s="27">
        <f t="shared" si="94"/>
        <v>0.4</v>
      </c>
      <c r="P792" s="28">
        <f t="shared" si="95"/>
        <v>0</v>
      </c>
    </row>
    <row r="793" hidden="1">
      <c r="A793" s="40" t="s">
        <v>1260</v>
      </c>
      <c r="B793" s="17"/>
      <c r="C793" s="18"/>
      <c r="D793" s="4"/>
      <c r="E793" s="19">
        <v>0.0</v>
      </c>
      <c r="F793" s="19"/>
      <c r="G793" s="20" t="s">
        <v>57</v>
      </c>
      <c r="H793" s="21"/>
      <c r="I793" s="22"/>
      <c r="J793" s="29"/>
      <c r="K793" s="43">
        <v>3500.0</v>
      </c>
      <c r="L793" s="44">
        <v>5000.0</v>
      </c>
      <c r="M793" s="25"/>
      <c r="N793" s="39"/>
      <c r="O793" s="27">
        <f t="shared" si="94"/>
        <v>0.4285714286</v>
      </c>
      <c r="P793" s="28">
        <f t="shared" si="95"/>
        <v>0</v>
      </c>
    </row>
    <row r="794" hidden="1">
      <c r="A794" s="52" t="s">
        <v>1261</v>
      </c>
      <c r="B794" s="36"/>
      <c r="C794" s="18"/>
      <c r="D794" s="4"/>
      <c r="E794" s="19">
        <v>0.0</v>
      </c>
      <c r="F794" s="19">
        <v>1.0</v>
      </c>
      <c r="G794" s="20" t="s">
        <v>377</v>
      </c>
      <c r="H794" s="21"/>
      <c r="I794" s="22">
        <v>0.0</v>
      </c>
      <c r="J794" s="29"/>
      <c r="K794" s="32">
        <v>35000.0</v>
      </c>
      <c r="L794" s="24">
        <v>52000.0</v>
      </c>
      <c r="M794" s="25" t="s">
        <v>82</v>
      </c>
      <c r="N794" s="39"/>
      <c r="O794" s="27">
        <f t="shared" si="94"/>
        <v>0.4857142857</v>
      </c>
      <c r="P794" s="28">
        <f t="shared" si="95"/>
        <v>35000</v>
      </c>
    </row>
    <row r="795" hidden="1">
      <c r="A795" s="119" t="s">
        <v>1262</v>
      </c>
      <c r="B795" s="51"/>
      <c r="C795" s="18"/>
      <c r="D795" s="4"/>
      <c r="E795" s="19">
        <v>0.0</v>
      </c>
      <c r="F795" s="19">
        <v>0.0</v>
      </c>
      <c r="G795" s="20" t="s">
        <v>497</v>
      </c>
      <c r="H795" s="190"/>
      <c r="I795" s="22"/>
      <c r="J795" s="191"/>
      <c r="K795" s="192">
        <f>6274/10</f>
        <v>627.4</v>
      </c>
      <c r="L795" s="44">
        <v>1000.0</v>
      </c>
      <c r="M795" s="25"/>
      <c r="N795" s="39"/>
      <c r="O795" s="27">
        <f t="shared" si="94"/>
        <v>0.5938795027</v>
      </c>
      <c r="P795" s="28">
        <f t="shared" si="95"/>
        <v>0</v>
      </c>
    </row>
    <row r="796" hidden="1">
      <c r="A796" s="119" t="s">
        <v>1263</v>
      </c>
      <c r="B796" s="51"/>
      <c r="C796" s="18"/>
      <c r="D796" s="4"/>
      <c r="E796" s="19">
        <v>0.0</v>
      </c>
      <c r="F796" s="19">
        <v>0.0</v>
      </c>
      <c r="G796" s="20" t="s">
        <v>497</v>
      </c>
      <c r="H796" s="190"/>
      <c r="I796" s="22">
        <f>11*50</f>
        <v>550</v>
      </c>
      <c r="J796" s="191"/>
      <c r="K796" s="192">
        <f>8248/20</f>
        <v>412.4</v>
      </c>
      <c r="L796" s="44">
        <v>1000.0</v>
      </c>
      <c r="M796" s="25"/>
      <c r="N796" s="39"/>
      <c r="O796" s="27">
        <f t="shared" si="94"/>
        <v>1.424830262</v>
      </c>
      <c r="P796" s="28">
        <f t="shared" si="95"/>
        <v>0</v>
      </c>
    </row>
    <row r="797" hidden="1">
      <c r="A797" s="119" t="s">
        <v>1264</v>
      </c>
      <c r="B797" s="51" t="s">
        <v>1265</v>
      </c>
      <c r="C797" s="18"/>
      <c r="D797" s="4"/>
      <c r="E797" s="19">
        <v>0.0</v>
      </c>
      <c r="F797" s="19">
        <v>5.0</v>
      </c>
      <c r="G797" s="20" t="s">
        <v>1266</v>
      </c>
      <c r="H797" s="190"/>
      <c r="I797" s="22">
        <v>0.0</v>
      </c>
      <c r="J797" s="191"/>
      <c r="K797" s="184">
        <f>8000/20</f>
        <v>400</v>
      </c>
      <c r="L797" s="55">
        <v>1000.0</v>
      </c>
      <c r="M797" s="25"/>
      <c r="N797" s="39"/>
      <c r="O797" s="27">
        <f t="shared" si="94"/>
        <v>1.5</v>
      </c>
      <c r="P797" s="28">
        <f t="shared" si="95"/>
        <v>2000</v>
      </c>
    </row>
    <row r="798" hidden="1">
      <c r="A798" s="16" t="s">
        <v>1267</v>
      </c>
      <c r="B798" s="17"/>
      <c r="C798" s="18"/>
      <c r="D798" s="4"/>
      <c r="E798" s="19">
        <v>0.0</v>
      </c>
      <c r="F798" s="19">
        <v>100.0</v>
      </c>
      <c r="G798" s="16" t="s">
        <v>1268</v>
      </c>
      <c r="H798" s="21"/>
      <c r="I798" s="22">
        <v>141.0</v>
      </c>
      <c r="J798" s="47">
        <v>46539.0</v>
      </c>
      <c r="K798" s="32">
        <v>3000.0</v>
      </c>
      <c r="L798" s="24">
        <v>7000.0</v>
      </c>
      <c r="M798" s="25"/>
      <c r="N798" s="39"/>
      <c r="O798" s="27">
        <f t="shared" si="94"/>
        <v>1.333333333</v>
      </c>
      <c r="P798" s="28">
        <f t="shared" si="95"/>
        <v>300000</v>
      </c>
    </row>
    <row r="799" hidden="1">
      <c r="A799" s="16" t="s">
        <v>1269</v>
      </c>
      <c r="B799" s="17" t="s">
        <v>1270</v>
      </c>
      <c r="C799" s="18"/>
      <c r="D799" s="4"/>
      <c r="E799" s="19">
        <v>0.0</v>
      </c>
      <c r="F799" s="19">
        <v>0.0</v>
      </c>
      <c r="G799" s="20" t="s">
        <v>286</v>
      </c>
      <c r="H799" s="21"/>
      <c r="I799" s="22"/>
      <c r="J799" s="29"/>
      <c r="K799" s="48">
        <f>197</f>
        <v>197</v>
      </c>
      <c r="L799" s="55">
        <v>1000.0</v>
      </c>
      <c r="M799" s="25"/>
      <c r="N799" s="39"/>
      <c r="O799" s="27">
        <f t="shared" si="94"/>
        <v>4.076142132</v>
      </c>
      <c r="P799" s="28">
        <f t="shared" si="95"/>
        <v>0</v>
      </c>
    </row>
    <row r="800" hidden="1">
      <c r="A800" s="16" t="s">
        <v>1271</v>
      </c>
      <c r="B800" s="17"/>
      <c r="C800" s="18"/>
      <c r="D800" s="4"/>
      <c r="E800" s="19"/>
      <c r="F800" s="19">
        <v>0.0</v>
      </c>
      <c r="G800" s="16" t="s">
        <v>1272</v>
      </c>
      <c r="H800" s="21"/>
      <c r="I800" s="22"/>
      <c r="J800" s="29"/>
      <c r="K800" s="43">
        <v>7950.0</v>
      </c>
      <c r="L800" s="44">
        <v>12000.0</v>
      </c>
      <c r="M800" s="25"/>
      <c r="N800" s="39"/>
      <c r="O800" s="27">
        <f t="shared" si="94"/>
        <v>0.5094339623</v>
      </c>
      <c r="P800" s="28">
        <f t="shared" si="95"/>
        <v>0</v>
      </c>
    </row>
    <row r="801" hidden="1">
      <c r="A801" s="16" t="s">
        <v>1273</v>
      </c>
      <c r="B801" s="17"/>
      <c r="C801" s="18"/>
      <c r="D801" s="4"/>
      <c r="E801" s="19"/>
      <c r="F801" s="19">
        <v>0.0</v>
      </c>
      <c r="G801" s="16" t="s">
        <v>1272</v>
      </c>
      <c r="H801" s="21"/>
      <c r="I801" s="22"/>
      <c r="J801" s="29"/>
      <c r="K801" s="43">
        <v>7950.0</v>
      </c>
      <c r="L801" s="44">
        <v>12000.0</v>
      </c>
      <c r="M801" s="25"/>
      <c r="N801" s="39"/>
      <c r="O801" s="27">
        <f t="shared" si="94"/>
        <v>0.5094339623</v>
      </c>
      <c r="P801" s="28">
        <f t="shared" si="95"/>
        <v>0</v>
      </c>
    </row>
    <row r="802" hidden="1">
      <c r="A802" s="16" t="s">
        <v>1274</v>
      </c>
      <c r="B802" s="17"/>
      <c r="C802" s="18"/>
      <c r="D802" s="4"/>
      <c r="E802" s="19"/>
      <c r="F802" s="19">
        <v>0.0</v>
      </c>
      <c r="G802" s="16" t="s">
        <v>1272</v>
      </c>
      <c r="H802" s="21"/>
      <c r="I802" s="22"/>
      <c r="J802" s="29"/>
      <c r="K802" s="43">
        <v>7950.0</v>
      </c>
      <c r="L802" s="44">
        <v>12000.0</v>
      </c>
      <c r="M802" s="25"/>
      <c r="N802" s="39"/>
      <c r="O802" s="27">
        <f t="shared" si="94"/>
        <v>0.5094339623</v>
      </c>
      <c r="P802" s="28">
        <f t="shared" si="95"/>
        <v>0</v>
      </c>
    </row>
    <row r="803" hidden="1">
      <c r="A803" s="16" t="s">
        <v>1275</v>
      </c>
      <c r="B803" s="17"/>
      <c r="C803" s="18"/>
      <c r="D803" s="4"/>
      <c r="E803" s="19"/>
      <c r="F803" s="19">
        <v>0.0</v>
      </c>
      <c r="G803" s="16" t="s">
        <v>1272</v>
      </c>
      <c r="H803" s="21"/>
      <c r="I803" s="22"/>
      <c r="J803" s="29"/>
      <c r="K803" s="43">
        <v>7950.0</v>
      </c>
      <c r="L803" s="44">
        <v>12000.0</v>
      </c>
      <c r="M803" s="25"/>
      <c r="N803" s="39"/>
      <c r="O803" s="27">
        <f t="shared" si="94"/>
        <v>0.5094339623</v>
      </c>
      <c r="P803" s="28">
        <f t="shared" si="95"/>
        <v>0</v>
      </c>
    </row>
    <row r="804" hidden="1">
      <c r="A804" s="16" t="s">
        <v>1276</v>
      </c>
      <c r="B804" s="17"/>
      <c r="C804" s="18"/>
      <c r="D804" s="4"/>
      <c r="E804" s="19"/>
      <c r="F804" s="19">
        <v>0.0</v>
      </c>
      <c r="G804" s="16" t="s">
        <v>1272</v>
      </c>
      <c r="H804" s="21"/>
      <c r="I804" s="22"/>
      <c r="J804" s="29"/>
      <c r="K804" s="43">
        <v>7950.0</v>
      </c>
      <c r="L804" s="44">
        <v>10000.0</v>
      </c>
      <c r="M804" s="25"/>
      <c r="N804" s="39"/>
      <c r="O804" s="27">
        <f t="shared" si="94"/>
        <v>0.2578616352</v>
      </c>
      <c r="P804" s="28">
        <f t="shared" si="95"/>
        <v>0</v>
      </c>
    </row>
    <row r="805" hidden="1">
      <c r="A805" s="16" t="s">
        <v>1277</v>
      </c>
      <c r="B805" s="17"/>
      <c r="C805" s="18"/>
      <c r="D805" s="4"/>
      <c r="E805" s="19"/>
      <c r="F805" s="19">
        <v>0.0</v>
      </c>
      <c r="G805" s="16" t="s">
        <v>1272</v>
      </c>
      <c r="H805" s="21"/>
      <c r="I805" s="22"/>
      <c r="J805" s="29"/>
      <c r="K805" s="43">
        <v>7950.0</v>
      </c>
      <c r="L805" s="44">
        <v>12000.0</v>
      </c>
      <c r="M805" s="25"/>
      <c r="N805" s="39"/>
      <c r="O805" s="27">
        <f t="shared" si="94"/>
        <v>0.5094339623</v>
      </c>
      <c r="P805" s="28">
        <f t="shared" si="95"/>
        <v>0</v>
      </c>
    </row>
    <row r="806" hidden="1">
      <c r="A806" s="40" t="s">
        <v>1278</v>
      </c>
      <c r="B806" s="36"/>
      <c r="C806" s="18"/>
      <c r="D806" s="4"/>
      <c r="E806" s="19">
        <v>0.0</v>
      </c>
      <c r="F806" s="19">
        <v>0.0</v>
      </c>
      <c r="G806" s="16" t="s">
        <v>1279</v>
      </c>
      <c r="H806" s="21"/>
      <c r="I806" s="22">
        <v>0.0</v>
      </c>
      <c r="J806" s="29"/>
      <c r="K806" s="43">
        <v>3800.0</v>
      </c>
      <c r="L806" s="44">
        <v>6500.0</v>
      </c>
      <c r="M806" s="25"/>
      <c r="N806" s="39"/>
      <c r="O806" s="27">
        <f t="shared" si="94"/>
        <v>0.7105263158</v>
      </c>
      <c r="P806" s="28">
        <f t="shared" si="95"/>
        <v>0</v>
      </c>
    </row>
    <row r="807" hidden="1">
      <c r="A807" s="16" t="s">
        <v>1280</v>
      </c>
      <c r="B807" s="36"/>
      <c r="C807" s="18"/>
      <c r="D807" s="4"/>
      <c r="E807" s="19"/>
      <c r="F807" s="19"/>
      <c r="G807" s="16" t="s">
        <v>88</v>
      </c>
      <c r="H807" s="21"/>
      <c r="I807" s="22">
        <v>0.0</v>
      </c>
      <c r="J807" s="29"/>
      <c r="K807" s="43">
        <v>6078.0</v>
      </c>
      <c r="L807" s="44">
        <v>12000.0</v>
      </c>
      <c r="M807" s="25"/>
      <c r="N807" s="39"/>
      <c r="O807" s="27">
        <f t="shared" si="94"/>
        <v>0.9743336624</v>
      </c>
      <c r="P807" s="28">
        <f t="shared" si="95"/>
        <v>0</v>
      </c>
    </row>
    <row r="808" hidden="1">
      <c r="A808" s="16" t="s">
        <v>1281</v>
      </c>
      <c r="B808" s="51"/>
      <c r="C808" s="18" t="s">
        <v>55</v>
      </c>
      <c r="D808" s="4"/>
      <c r="E808" s="19"/>
      <c r="F808" s="19"/>
      <c r="G808" s="16" t="s">
        <v>88</v>
      </c>
      <c r="H808" s="21"/>
      <c r="I808" s="22">
        <v>0.0</v>
      </c>
      <c r="J808" s="29"/>
      <c r="K808" s="43">
        <f>4673*1.19</f>
        <v>5560.87</v>
      </c>
      <c r="L808" s="44">
        <v>9000.0</v>
      </c>
      <c r="M808" s="25"/>
      <c r="N808" s="26"/>
      <c r="O808" s="27">
        <f t="shared" si="94"/>
        <v>0.618451789</v>
      </c>
      <c r="P808" s="28">
        <f t="shared" si="95"/>
        <v>0</v>
      </c>
    </row>
    <row r="809" hidden="1">
      <c r="A809" s="16" t="s">
        <v>1282</v>
      </c>
      <c r="B809" s="36"/>
      <c r="C809" s="18"/>
      <c r="D809" s="4"/>
      <c r="E809" s="19"/>
      <c r="F809" s="19"/>
      <c r="G809" s="16" t="s">
        <v>88</v>
      </c>
      <c r="H809" s="21"/>
      <c r="I809" s="22">
        <v>8.0</v>
      </c>
      <c r="J809" s="29"/>
      <c r="K809" s="43">
        <v>2125.0</v>
      </c>
      <c r="L809" s="44">
        <v>3000.0</v>
      </c>
      <c r="M809" s="25"/>
      <c r="N809" s="39"/>
      <c r="O809" s="27">
        <f t="shared" si="94"/>
        <v>0.4117647059</v>
      </c>
      <c r="P809" s="28">
        <f t="shared" si="95"/>
        <v>0</v>
      </c>
    </row>
    <row r="810" hidden="1">
      <c r="A810" s="16" t="s">
        <v>1283</v>
      </c>
      <c r="B810" s="36"/>
      <c r="C810" s="18"/>
      <c r="D810" s="4"/>
      <c r="E810" s="19"/>
      <c r="F810" s="19"/>
      <c r="G810" s="16" t="s">
        <v>88</v>
      </c>
      <c r="H810" s="21"/>
      <c r="I810" s="22">
        <v>0.0</v>
      </c>
      <c r="J810" s="29"/>
      <c r="K810" s="43">
        <v>6078.0</v>
      </c>
      <c r="L810" s="44">
        <v>12000.0</v>
      </c>
      <c r="M810" s="25"/>
      <c r="N810" s="39"/>
      <c r="O810" s="27">
        <f t="shared" si="94"/>
        <v>0.9743336624</v>
      </c>
      <c r="P810" s="28">
        <f t="shared" si="95"/>
        <v>0</v>
      </c>
    </row>
    <row r="811" hidden="1">
      <c r="A811" s="16" t="s">
        <v>1284</v>
      </c>
      <c r="B811" s="17"/>
      <c r="C811" s="18"/>
      <c r="D811" s="4"/>
      <c r="E811" s="19">
        <v>0.0</v>
      </c>
      <c r="F811" s="19">
        <v>0.0</v>
      </c>
      <c r="G811" s="120" t="s">
        <v>1285</v>
      </c>
      <c r="H811" s="21"/>
      <c r="I811" s="22">
        <v>1.0</v>
      </c>
      <c r="J811" s="29"/>
      <c r="K811" s="48">
        <v>75440.0</v>
      </c>
      <c r="L811" s="55">
        <v>125000.0</v>
      </c>
      <c r="M811" s="25" t="s">
        <v>82</v>
      </c>
      <c r="N811" s="48">
        <v>98000.0</v>
      </c>
      <c r="O811" s="27">
        <f t="shared" si="94"/>
        <v>0.6569459173</v>
      </c>
      <c r="P811" s="28">
        <f t="shared" si="95"/>
        <v>0</v>
      </c>
    </row>
    <row r="812" hidden="1">
      <c r="A812" s="16" t="s">
        <v>1286</v>
      </c>
      <c r="B812" s="17"/>
      <c r="C812" s="18"/>
      <c r="D812" s="4"/>
      <c r="E812" s="19">
        <v>0.0</v>
      </c>
      <c r="F812" s="19">
        <v>0.0</v>
      </c>
      <c r="G812" s="120" t="s">
        <v>1285</v>
      </c>
      <c r="H812" s="21"/>
      <c r="I812" s="22">
        <v>0.0</v>
      </c>
      <c r="J812" s="29"/>
      <c r="K812" s="48">
        <f>125000/4</f>
        <v>31250</v>
      </c>
      <c r="L812" s="55">
        <v>40000.0</v>
      </c>
      <c r="M812" s="25" t="s">
        <v>82</v>
      </c>
      <c r="N812" s="48">
        <v>28000.0</v>
      </c>
      <c r="O812" s="27">
        <f t="shared" si="94"/>
        <v>0.28</v>
      </c>
      <c r="P812" s="28">
        <f t="shared" si="95"/>
        <v>0</v>
      </c>
    </row>
    <row r="813" hidden="1">
      <c r="A813" s="16" t="s">
        <v>1287</v>
      </c>
      <c r="B813" s="17"/>
      <c r="C813" s="18"/>
      <c r="D813" s="4"/>
      <c r="E813" s="19">
        <v>0.0</v>
      </c>
      <c r="F813" s="19">
        <v>0.0</v>
      </c>
      <c r="G813" s="120" t="s">
        <v>1285</v>
      </c>
      <c r="H813" s="21"/>
      <c r="I813" s="22">
        <v>0.0</v>
      </c>
      <c r="J813" s="29"/>
      <c r="K813" s="48">
        <f>125000/40</f>
        <v>3125</v>
      </c>
      <c r="L813" s="55">
        <v>7000.0</v>
      </c>
      <c r="M813" s="25" t="s">
        <v>82</v>
      </c>
      <c r="N813" s="48">
        <v>4000.0</v>
      </c>
      <c r="O813" s="27">
        <f t="shared" si="94"/>
        <v>1.24</v>
      </c>
      <c r="P813" s="28">
        <f t="shared" si="95"/>
        <v>0</v>
      </c>
    </row>
    <row r="814" hidden="1">
      <c r="A814" s="16" t="s">
        <v>1288</v>
      </c>
      <c r="B814" s="49"/>
      <c r="C814" s="18"/>
      <c r="D814" s="4"/>
      <c r="E814" s="19">
        <v>0.0</v>
      </c>
      <c r="F814" s="19">
        <v>0.0</v>
      </c>
      <c r="G814" s="20" t="s">
        <v>254</v>
      </c>
      <c r="H814" s="21"/>
      <c r="I814" s="22"/>
      <c r="J814" s="29"/>
      <c r="K814" s="43">
        <f>65800/20</f>
        <v>3290</v>
      </c>
      <c r="L814" s="44">
        <v>7000.0</v>
      </c>
      <c r="M814" s="25"/>
      <c r="N814" s="39"/>
      <c r="O814" s="27">
        <f t="shared" si="94"/>
        <v>1.127659574</v>
      </c>
      <c r="P814" s="28">
        <f t="shared" si="95"/>
        <v>0</v>
      </c>
    </row>
    <row r="815" hidden="1">
      <c r="A815" s="16" t="s">
        <v>1289</v>
      </c>
      <c r="B815" s="36" t="s">
        <v>1290</v>
      </c>
      <c r="C815" s="18"/>
      <c r="D815" s="4" t="s">
        <v>1291</v>
      </c>
      <c r="E815" s="19">
        <v>0.0</v>
      </c>
      <c r="F815" s="19"/>
      <c r="G815" s="16" t="s">
        <v>1292</v>
      </c>
      <c r="H815" s="21"/>
      <c r="I815" s="22"/>
      <c r="J815" s="29"/>
      <c r="K815" s="32">
        <f>5000/10</f>
        <v>500</v>
      </c>
      <c r="L815" s="24">
        <v>2500.0</v>
      </c>
      <c r="M815" s="25"/>
      <c r="N815" s="39"/>
      <c r="O815" s="27">
        <f t="shared" si="94"/>
        <v>4</v>
      </c>
      <c r="P815" s="28">
        <f t="shared" si="95"/>
        <v>0</v>
      </c>
    </row>
    <row r="816" hidden="1">
      <c r="A816" s="16" t="s">
        <v>1293</v>
      </c>
      <c r="B816" s="36" t="s">
        <v>1294</v>
      </c>
      <c r="C816" s="18"/>
      <c r="D816" s="4"/>
      <c r="E816" s="19"/>
      <c r="F816" s="19"/>
      <c r="G816" s="16" t="s">
        <v>88</v>
      </c>
      <c r="H816" s="21"/>
      <c r="I816" s="22">
        <v>27.0</v>
      </c>
      <c r="J816" s="47">
        <v>46508.0</v>
      </c>
      <c r="K816" s="48">
        <v>13059.0</v>
      </c>
      <c r="L816" s="48">
        <v>18000.0</v>
      </c>
      <c r="M816" s="25"/>
      <c r="N816" s="102">
        <v>16000.0</v>
      </c>
      <c r="O816" s="27">
        <f t="shared" si="94"/>
        <v>0.3783597519</v>
      </c>
      <c r="P816" s="28">
        <f t="shared" si="95"/>
        <v>0</v>
      </c>
    </row>
    <row r="817" hidden="1">
      <c r="A817" s="16" t="s">
        <v>1295</v>
      </c>
      <c r="B817" s="17" t="s">
        <v>1296</v>
      </c>
      <c r="C817" s="18"/>
      <c r="D817" s="4"/>
      <c r="E817" s="19"/>
      <c r="F817" s="19"/>
      <c r="G817" s="16" t="s">
        <v>88</v>
      </c>
      <c r="H817" s="21"/>
      <c r="I817" s="22">
        <v>4.0</v>
      </c>
      <c r="J817" s="29"/>
      <c r="K817" s="48">
        <v>29178.0</v>
      </c>
      <c r="L817" s="55">
        <v>36000.0</v>
      </c>
      <c r="M817" s="25"/>
      <c r="N817" s="39"/>
      <c r="O817" s="27">
        <f t="shared" si="94"/>
        <v>0.2338062924</v>
      </c>
      <c r="P817" s="28">
        <f t="shared" si="95"/>
        <v>0</v>
      </c>
    </row>
    <row r="818" hidden="1">
      <c r="A818" s="52" t="s">
        <v>1297</v>
      </c>
      <c r="B818" s="17" t="s">
        <v>1298</v>
      </c>
      <c r="C818" s="18" t="s">
        <v>547</v>
      </c>
      <c r="D818" s="4"/>
      <c r="E818" s="19">
        <v>0.0</v>
      </c>
      <c r="F818" s="19">
        <v>0.0</v>
      </c>
      <c r="G818" s="16" t="s">
        <v>104</v>
      </c>
      <c r="H818" s="21"/>
      <c r="I818" s="22">
        <v>0.0</v>
      </c>
      <c r="J818" s="29"/>
      <c r="K818" s="43">
        <v>1.0</v>
      </c>
      <c r="L818" s="44">
        <v>1.0</v>
      </c>
      <c r="M818" s="25"/>
      <c r="N818" s="39"/>
      <c r="O818" s="27">
        <f t="shared" si="94"/>
        <v>0</v>
      </c>
      <c r="P818" s="28">
        <f t="shared" si="95"/>
        <v>0</v>
      </c>
    </row>
    <row r="819" hidden="1">
      <c r="A819" s="52" t="s">
        <v>1299</v>
      </c>
      <c r="B819" s="17" t="s">
        <v>1298</v>
      </c>
      <c r="C819" s="18"/>
      <c r="D819" s="4"/>
      <c r="E819" s="19">
        <v>0.0</v>
      </c>
      <c r="F819" s="19">
        <v>20.0</v>
      </c>
      <c r="G819" s="20" t="s">
        <v>377</v>
      </c>
      <c r="H819" s="21"/>
      <c r="I819" s="22">
        <v>31.0</v>
      </c>
      <c r="J819" s="47">
        <v>46054.0</v>
      </c>
      <c r="K819" s="32">
        <v>10500.0</v>
      </c>
      <c r="L819" s="24">
        <v>16000.0</v>
      </c>
      <c r="M819" s="25" t="s">
        <v>82</v>
      </c>
      <c r="N819" s="31">
        <v>14000.0</v>
      </c>
      <c r="O819" s="27">
        <f t="shared" si="94"/>
        <v>0.5238095238</v>
      </c>
      <c r="P819" s="28">
        <f t="shared" si="95"/>
        <v>210000</v>
      </c>
    </row>
    <row r="820" hidden="1">
      <c r="A820" s="52" t="s">
        <v>1300</v>
      </c>
      <c r="B820" s="51" t="s">
        <v>1296</v>
      </c>
      <c r="C820" s="18" t="s">
        <v>55</v>
      </c>
      <c r="D820" s="4"/>
      <c r="E820" s="19">
        <v>0.0</v>
      </c>
      <c r="F820" s="19">
        <v>0.0</v>
      </c>
      <c r="G820" s="20" t="s">
        <v>377</v>
      </c>
      <c r="H820" s="21"/>
      <c r="I820" s="22">
        <v>9.0</v>
      </c>
      <c r="J820" s="23"/>
      <c r="K820" s="24">
        <v>25000.0</v>
      </c>
      <c r="L820" s="32">
        <v>36000.0</v>
      </c>
      <c r="M820" s="25" t="s">
        <v>82</v>
      </c>
      <c r="N820" s="26"/>
      <c r="O820" s="27">
        <f t="shared" si="94"/>
        <v>0.44</v>
      </c>
      <c r="P820" s="28">
        <f t="shared" si="95"/>
        <v>0</v>
      </c>
    </row>
    <row r="821" hidden="1">
      <c r="A821" s="16" t="s">
        <v>1301</v>
      </c>
      <c r="B821" s="17" t="s">
        <v>1302</v>
      </c>
      <c r="C821" s="18" t="s">
        <v>1303</v>
      </c>
      <c r="D821" s="19"/>
      <c r="E821" s="19">
        <v>0.0</v>
      </c>
      <c r="F821" s="19">
        <v>15.0</v>
      </c>
      <c r="G821" s="16" t="s">
        <v>1304</v>
      </c>
      <c r="H821" s="21"/>
      <c r="I821" s="22">
        <v>2.0</v>
      </c>
      <c r="J821" s="29"/>
      <c r="K821" s="32">
        <f>231059*1.19/15</f>
        <v>18330.68067</v>
      </c>
      <c r="L821" s="32">
        <v>30000.0</v>
      </c>
      <c r="M821" s="25"/>
      <c r="N821" s="102">
        <v>24000.0</v>
      </c>
      <c r="O821" s="27">
        <f>(L821/K821)-1</f>
        <v>0.6366004376</v>
      </c>
      <c r="P821" s="28">
        <f t="shared" si="95"/>
        <v>274960.21</v>
      </c>
    </row>
    <row r="822" hidden="1">
      <c r="A822" s="16" t="s">
        <v>1305</v>
      </c>
      <c r="B822" s="17"/>
      <c r="C822" s="18"/>
      <c r="D822" s="4"/>
      <c r="E822" s="19">
        <v>0.0</v>
      </c>
      <c r="F822" s="19">
        <v>0.0</v>
      </c>
      <c r="G822" s="16" t="s">
        <v>1306</v>
      </c>
      <c r="H822" s="21"/>
      <c r="I822" s="22">
        <v>69.0</v>
      </c>
      <c r="J822" s="29"/>
      <c r="K822" s="48">
        <f>60800/8</f>
        <v>7600</v>
      </c>
      <c r="L822" s="48">
        <v>10000.0</v>
      </c>
      <c r="M822" s="25" t="s">
        <v>76</v>
      </c>
      <c r="N822" s="39"/>
      <c r="O822" s="27">
        <f t="shared" ref="O822:O841" si="96">(L822/K822)-1</f>
        <v>0.3157894737</v>
      </c>
      <c r="P822" s="28">
        <f t="shared" si="95"/>
        <v>0</v>
      </c>
    </row>
    <row r="823" hidden="1">
      <c r="A823" s="16" t="s">
        <v>1307</v>
      </c>
      <c r="B823" s="17" t="s">
        <v>1308</v>
      </c>
      <c r="C823" s="92"/>
      <c r="D823" s="4"/>
      <c r="E823" s="19">
        <v>0.0</v>
      </c>
      <c r="F823" s="19">
        <v>0.0</v>
      </c>
      <c r="G823" s="20" t="s">
        <v>1309</v>
      </c>
      <c r="H823" s="21">
        <v>3.0</v>
      </c>
      <c r="I823" s="22"/>
      <c r="J823" s="47">
        <v>47178.0</v>
      </c>
      <c r="K823" s="48">
        <f>61642/15</f>
        <v>4109.466667</v>
      </c>
      <c r="L823" s="55">
        <v>8000.0</v>
      </c>
      <c r="M823" s="25"/>
      <c r="N823" s="102">
        <v>6000.0</v>
      </c>
      <c r="O823" s="27">
        <f t="shared" si="96"/>
        <v>0.9467246358</v>
      </c>
      <c r="P823" s="28">
        <f t="shared" si="95"/>
        <v>0</v>
      </c>
    </row>
    <row r="824" hidden="1">
      <c r="A824" s="52" t="s">
        <v>1310</v>
      </c>
      <c r="B824" s="36"/>
      <c r="C824" s="18"/>
      <c r="D824" s="4"/>
      <c r="E824" s="19">
        <v>0.0</v>
      </c>
      <c r="F824" s="19">
        <v>0.0</v>
      </c>
      <c r="G824" s="16" t="s">
        <v>437</v>
      </c>
      <c r="H824" s="21"/>
      <c r="I824" s="22" t="s">
        <v>99</v>
      </c>
      <c r="J824" s="29"/>
      <c r="K824" s="43">
        <v>6000.0</v>
      </c>
      <c r="L824" s="44">
        <v>15000.0</v>
      </c>
      <c r="M824" s="25"/>
      <c r="N824" s="39"/>
      <c r="O824" s="27">
        <f t="shared" si="96"/>
        <v>1.5</v>
      </c>
      <c r="P824" s="28" t="str">
        <f>K824*#REF!</f>
        <v>#REF!</v>
      </c>
    </row>
    <row r="825" hidden="1">
      <c r="A825" s="52" t="s">
        <v>1311</v>
      </c>
      <c r="B825" s="36"/>
      <c r="C825" s="18"/>
      <c r="D825" s="4"/>
      <c r="E825" s="19">
        <v>0.0</v>
      </c>
      <c r="F825" s="19">
        <v>0.0</v>
      </c>
      <c r="G825" s="16" t="s">
        <v>437</v>
      </c>
      <c r="H825" s="21"/>
      <c r="I825" s="22" t="s">
        <v>99</v>
      </c>
      <c r="J825" s="29"/>
      <c r="K825" s="43">
        <v>5000.0</v>
      </c>
      <c r="L825" s="44">
        <v>12000.0</v>
      </c>
      <c r="M825" s="25"/>
      <c r="N825" s="39"/>
      <c r="O825" s="27">
        <f t="shared" si="96"/>
        <v>1.4</v>
      </c>
      <c r="P825" s="28">
        <f t="shared" ref="P825:P827" si="97">K825*F825</f>
        <v>0</v>
      </c>
    </row>
    <row r="826" hidden="1">
      <c r="A826" s="52" t="s">
        <v>1312</v>
      </c>
      <c r="B826" s="36"/>
      <c r="C826" s="18"/>
      <c r="D826" s="4"/>
      <c r="E826" s="19">
        <v>0.0</v>
      </c>
      <c r="F826" s="19">
        <v>0.0</v>
      </c>
      <c r="G826" s="16" t="s">
        <v>437</v>
      </c>
      <c r="H826" s="21"/>
      <c r="I826" s="22">
        <v>4.0</v>
      </c>
      <c r="J826" s="29"/>
      <c r="K826" s="43">
        <v>8000.0</v>
      </c>
      <c r="L826" s="44">
        <v>15000.0</v>
      </c>
      <c r="M826" s="25"/>
      <c r="N826" s="39"/>
      <c r="O826" s="27">
        <f t="shared" si="96"/>
        <v>0.875</v>
      </c>
      <c r="P826" s="28">
        <f t="shared" si="97"/>
        <v>0</v>
      </c>
    </row>
    <row r="827" hidden="1">
      <c r="A827" s="52" t="s">
        <v>1313</v>
      </c>
      <c r="B827" s="36"/>
      <c r="C827" s="18"/>
      <c r="D827" s="4"/>
      <c r="E827" s="19">
        <v>0.0</v>
      </c>
      <c r="F827" s="19">
        <v>0.0</v>
      </c>
      <c r="G827" s="16" t="s">
        <v>437</v>
      </c>
      <c r="H827" s="21"/>
      <c r="I827" s="22" t="s">
        <v>99</v>
      </c>
      <c r="J827" s="29"/>
      <c r="K827" s="43">
        <v>9000.0</v>
      </c>
      <c r="L827" s="44">
        <v>18000.0</v>
      </c>
      <c r="M827" s="25"/>
      <c r="N827" s="39"/>
      <c r="O827" s="27">
        <f t="shared" si="96"/>
        <v>1</v>
      </c>
      <c r="P827" s="28">
        <f t="shared" si="97"/>
        <v>0</v>
      </c>
    </row>
    <row r="828" hidden="1">
      <c r="A828" s="52" t="s">
        <v>1314</v>
      </c>
      <c r="B828" s="36"/>
      <c r="C828" s="18"/>
      <c r="D828" s="4"/>
      <c r="E828" s="19">
        <v>0.0</v>
      </c>
      <c r="F828" s="19">
        <v>0.0</v>
      </c>
      <c r="G828" s="16" t="s">
        <v>437</v>
      </c>
      <c r="H828" s="21"/>
      <c r="I828" s="22">
        <v>13.0</v>
      </c>
      <c r="J828" s="23"/>
      <c r="K828" s="44">
        <v>7000.0</v>
      </c>
      <c r="L828" s="44">
        <v>18000.0</v>
      </c>
      <c r="M828" s="25"/>
      <c r="N828" s="39"/>
      <c r="O828" s="27">
        <f t="shared" si="96"/>
        <v>1.571428571</v>
      </c>
      <c r="P828" s="28" t="str">
        <f>K828*#REF!</f>
        <v>#REF!</v>
      </c>
    </row>
    <row r="829" hidden="1">
      <c r="A829" s="52" t="s">
        <v>1315</v>
      </c>
      <c r="B829" s="17"/>
      <c r="C829" s="18"/>
      <c r="D829" s="4"/>
      <c r="E829" s="19">
        <v>0.0</v>
      </c>
      <c r="F829" s="19">
        <v>0.0</v>
      </c>
      <c r="G829" s="16" t="s">
        <v>437</v>
      </c>
      <c r="H829" s="21"/>
      <c r="I829" s="22">
        <v>11.0</v>
      </c>
      <c r="J829" s="29"/>
      <c r="K829" s="43">
        <v>6000.0</v>
      </c>
      <c r="L829" s="44">
        <v>15000.0</v>
      </c>
      <c r="M829" s="25"/>
      <c r="N829" s="39"/>
      <c r="O829" s="27">
        <f t="shared" si="96"/>
        <v>1.5</v>
      </c>
      <c r="P829" s="28">
        <f t="shared" ref="P829:P833" si="98">K829*F829</f>
        <v>0</v>
      </c>
    </row>
    <row r="830" hidden="1">
      <c r="A830" s="52" t="s">
        <v>1316</v>
      </c>
      <c r="B830" s="36" t="s">
        <v>680</v>
      </c>
      <c r="C830" s="18"/>
      <c r="D830" s="4"/>
      <c r="E830" s="19">
        <v>0.0</v>
      </c>
      <c r="F830" s="19">
        <v>0.0</v>
      </c>
      <c r="G830" s="16" t="s">
        <v>437</v>
      </c>
      <c r="H830" s="21"/>
      <c r="I830" s="22" t="s">
        <v>99</v>
      </c>
      <c r="J830" s="29"/>
      <c r="K830" s="43">
        <v>2000.0</v>
      </c>
      <c r="L830" s="44">
        <v>8000.0</v>
      </c>
      <c r="M830" s="25"/>
      <c r="N830" s="39"/>
      <c r="O830" s="27">
        <f t="shared" si="96"/>
        <v>3</v>
      </c>
      <c r="P830" s="28">
        <f t="shared" si="98"/>
        <v>0</v>
      </c>
    </row>
    <row r="831" hidden="1">
      <c r="A831" s="119" t="s">
        <v>1317</v>
      </c>
      <c r="B831" s="51"/>
      <c r="C831" s="18"/>
      <c r="D831" s="4"/>
      <c r="E831" s="19">
        <v>0.0</v>
      </c>
      <c r="F831" s="19">
        <v>0.0</v>
      </c>
      <c r="G831" s="20" t="s">
        <v>497</v>
      </c>
      <c r="H831" s="190"/>
      <c r="I831" s="22" t="s">
        <v>99</v>
      </c>
      <c r="J831" s="191"/>
      <c r="K831" s="192">
        <f>8125/25</f>
        <v>325</v>
      </c>
      <c r="L831" s="44">
        <v>500.0</v>
      </c>
      <c r="M831" s="25"/>
      <c r="N831" s="39"/>
      <c r="O831" s="27">
        <f t="shared" si="96"/>
        <v>0.5384615385</v>
      </c>
      <c r="P831" s="28">
        <f t="shared" si="98"/>
        <v>0</v>
      </c>
    </row>
    <row r="832" hidden="1">
      <c r="A832" s="52" t="s">
        <v>1318</v>
      </c>
      <c r="B832" s="36" t="s">
        <v>680</v>
      </c>
      <c r="C832" s="18"/>
      <c r="D832" s="4"/>
      <c r="E832" s="19">
        <v>0.0</v>
      </c>
      <c r="F832" s="19">
        <v>0.0</v>
      </c>
      <c r="G832" s="16" t="s">
        <v>437</v>
      </c>
      <c r="H832" s="21"/>
      <c r="I832" s="22" t="s">
        <v>99</v>
      </c>
      <c r="J832" s="29"/>
      <c r="K832" s="43">
        <v>350.0</v>
      </c>
      <c r="L832" s="44">
        <v>1000.0</v>
      </c>
      <c r="M832" s="25"/>
      <c r="N832" s="39"/>
      <c r="O832" s="27">
        <f t="shared" si="96"/>
        <v>1.857142857</v>
      </c>
      <c r="P832" s="28">
        <f t="shared" si="98"/>
        <v>0</v>
      </c>
    </row>
    <row r="833" hidden="1">
      <c r="A833" s="122" t="s">
        <v>1319</v>
      </c>
      <c r="B833" s="36"/>
      <c r="C833" s="18"/>
      <c r="D833" s="4"/>
      <c r="E833" s="19">
        <v>0.0</v>
      </c>
      <c r="F833" s="19">
        <v>0.0</v>
      </c>
      <c r="G833" s="16" t="s">
        <v>437</v>
      </c>
      <c r="H833" s="21"/>
      <c r="I833" s="22" t="s">
        <v>99</v>
      </c>
      <c r="J833" s="29"/>
      <c r="K833" s="43">
        <v>350.0</v>
      </c>
      <c r="L833" s="44">
        <v>500.0</v>
      </c>
      <c r="M833" s="25"/>
      <c r="N833" s="39"/>
      <c r="O833" s="27">
        <f t="shared" si="96"/>
        <v>0.4285714286</v>
      </c>
      <c r="P833" s="28">
        <f t="shared" si="98"/>
        <v>0</v>
      </c>
    </row>
    <row r="834" hidden="1">
      <c r="A834" s="52" t="s">
        <v>1320</v>
      </c>
      <c r="B834" s="17"/>
      <c r="C834" s="18"/>
      <c r="D834" s="4"/>
      <c r="E834" s="19">
        <v>0.0</v>
      </c>
      <c r="F834" s="19">
        <v>0.0</v>
      </c>
      <c r="G834" s="16" t="s">
        <v>437</v>
      </c>
      <c r="H834" s="21"/>
      <c r="I834" s="22" t="s">
        <v>99</v>
      </c>
      <c r="J834" s="29"/>
      <c r="K834" s="43">
        <v>1000.0</v>
      </c>
      <c r="L834" s="44">
        <v>1500.0</v>
      </c>
      <c r="M834" s="25"/>
      <c r="N834" s="39"/>
      <c r="O834" s="27">
        <f t="shared" si="96"/>
        <v>0.5</v>
      </c>
      <c r="P834" s="28" t="str">
        <f>K834*#REF!</f>
        <v>#REF!</v>
      </c>
    </row>
    <row r="835" hidden="1">
      <c r="A835" s="52" t="s">
        <v>1321</v>
      </c>
      <c r="B835" s="17"/>
      <c r="C835" s="18"/>
      <c r="D835" s="4"/>
      <c r="E835" s="19">
        <v>0.0</v>
      </c>
      <c r="F835" s="19">
        <v>0.0</v>
      </c>
      <c r="G835" s="16" t="s">
        <v>437</v>
      </c>
      <c r="H835" s="21"/>
      <c r="I835" s="22">
        <v>8.0</v>
      </c>
      <c r="J835" s="29"/>
      <c r="K835" s="43">
        <v>1000.0</v>
      </c>
      <c r="L835" s="44">
        <v>1500.0</v>
      </c>
      <c r="M835" s="25"/>
      <c r="N835" s="39"/>
      <c r="O835" s="27">
        <f t="shared" si="96"/>
        <v>0.5</v>
      </c>
      <c r="P835" s="28">
        <f t="shared" ref="P835:P839" si="99">K835*F835</f>
        <v>0</v>
      </c>
    </row>
    <row r="836" hidden="1">
      <c r="A836" s="52" t="s">
        <v>1322</v>
      </c>
      <c r="B836" s="36"/>
      <c r="C836" s="18"/>
      <c r="D836" s="4"/>
      <c r="E836" s="19">
        <v>0.0</v>
      </c>
      <c r="F836" s="19">
        <v>0.0</v>
      </c>
      <c r="G836" s="16" t="s">
        <v>439</v>
      </c>
      <c r="H836" s="21"/>
      <c r="I836" s="22" t="s">
        <v>99</v>
      </c>
      <c r="J836" s="29"/>
      <c r="K836" s="43">
        <v>350.0</v>
      </c>
      <c r="L836" s="44">
        <v>500.0</v>
      </c>
      <c r="M836" s="25"/>
      <c r="N836" s="39"/>
      <c r="O836" s="27">
        <f t="shared" si="96"/>
        <v>0.4285714286</v>
      </c>
      <c r="P836" s="28">
        <f t="shared" si="99"/>
        <v>0</v>
      </c>
    </row>
    <row r="837" hidden="1">
      <c r="A837" s="52" t="s">
        <v>1323</v>
      </c>
      <c r="B837" s="36"/>
      <c r="C837" s="18"/>
      <c r="D837" s="4"/>
      <c r="E837" s="19">
        <v>0.0</v>
      </c>
      <c r="F837" s="19">
        <v>0.0</v>
      </c>
      <c r="G837" s="16" t="s">
        <v>439</v>
      </c>
      <c r="H837" s="21"/>
      <c r="I837" s="22">
        <f>12+19</f>
        <v>31</v>
      </c>
      <c r="J837" s="29"/>
      <c r="K837" s="43">
        <v>350.0</v>
      </c>
      <c r="L837" s="44">
        <v>500.0</v>
      </c>
      <c r="M837" s="25"/>
      <c r="N837" s="39"/>
      <c r="O837" s="27">
        <f t="shared" si="96"/>
        <v>0.4285714286</v>
      </c>
      <c r="P837" s="28">
        <f t="shared" si="99"/>
        <v>0</v>
      </c>
    </row>
    <row r="838" hidden="1">
      <c r="A838" s="119" t="s">
        <v>1324</v>
      </c>
      <c r="B838" s="193" t="s">
        <v>1325</v>
      </c>
      <c r="C838" s="18"/>
      <c r="D838" s="4"/>
      <c r="E838" s="19"/>
      <c r="F838" s="19"/>
      <c r="G838" s="20" t="s">
        <v>1326</v>
      </c>
      <c r="H838" s="21">
        <v>0.0</v>
      </c>
      <c r="I838" s="22"/>
      <c r="J838" s="74"/>
      <c r="K838" s="194">
        <f>13685/100</f>
        <v>136.85</v>
      </c>
      <c r="L838" s="24">
        <v>500.0</v>
      </c>
      <c r="M838" s="25"/>
      <c r="N838" s="39"/>
      <c r="O838" s="27">
        <f t="shared" si="96"/>
        <v>2.653635367</v>
      </c>
      <c r="P838" s="28">
        <f t="shared" si="99"/>
        <v>0</v>
      </c>
    </row>
    <row r="839" hidden="1">
      <c r="A839" s="16" t="s">
        <v>1327</v>
      </c>
      <c r="B839" s="49"/>
      <c r="C839" s="18"/>
      <c r="D839" s="4" t="s">
        <v>676</v>
      </c>
      <c r="E839" s="19">
        <v>0.0</v>
      </c>
      <c r="F839" s="19">
        <v>20.0</v>
      </c>
      <c r="G839" s="20" t="s">
        <v>1328</v>
      </c>
      <c r="H839" s="21"/>
      <c r="I839" s="22">
        <v>8.0</v>
      </c>
      <c r="J839" s="47">
        <v>46508.0</v>
      </c>
      <c r="K839" s="43">
        <v>6188.0</v>
      </c>
      <c r="L839" s="44">
        <v>8000.0</v>
      </c>
      <c r="M839" s="25"/>
      <c r="N839" s="39"/>
      <c r="O839" s="27">
        <f t="shared" si="96"/>
        <v>0.2928248222</v>
      </c>
      <c r="P839" s="28">
        <f t="shared" si="99"/>
        <v>123760</v>
      </c>
    </row>
    <row r="840" hidden="1">
      <c r="A840" s="16" t="s">
        <v>1329</v>
      </c>
      <c r="B840" s="4" t="s">
        <v>1330</v>
      </c>
      <c r="C840" s="18"/>
      <c r="D840" s="4"/>
      <c r="E840" s="19">
        <v>0.0</v>
      </c>
      <c r="F840" s="19">
        <v>0.0</v>
      </c>
      <c r="G840" s="16" t="s">
        <v>1331</v>
      </c>
      <c r="H840" s="21"/>
      <c r="I840" s="22">
        <v>0.0</v>
      </c>
      <c r="J840" s="23"/>
      <c r="K840" s="24">
        <f>10367*1.19</f>
        <v>12336.73</v>
      </c>
      <c r="L840" s="24">
        <v>15000.0</v>
      </c>
      <c r="M840" s="25"/>
      <c r="N840" s="39"/>
      <c r="O840" s="27">
        <f t="shared" si="96"/>
        <v>0.2158813559</v>
      </c>
      <c r="P840" s="28"/>
    </row>
    <row r="841" hidden="1">
      <c r="A841" s="42" t="s">
        <v>1332</v>
      </c>
      <c r="B841" s="71"/>
      <c r="C841" s="18"/>
      <c r="D841" s="4"/>
      <c r="E841" s="19">
        <v>0.0</v>
      </c>
      <c r="F841" s="19"/>
      <c r="G841" s="20" t="s">
        <v>1333</v>
      </c>
      <c r="H841" s="21"/>
      <c r="I841" s="22"/>
      <c r="J841" s="29"/>
      <c r="K841" s="43">
        <v>240.0</v>
      </c>
      <c r="L841" s="44">
        <v>1000.0</v>
      </c>
      <c r="M841" s="25"/>
      <c r="N841" s="39"/>
      <c r="O841" s="27">
        <f t="shared" si="96"/>
        <v>3.166666667</v>
      </c>
      <c r="P841" s="28">
        <f>K841*F841</f>
        <v>0</v>
      </c>
    </row>
    <row r="842" hidden="1">
      <c r="A842" s="16" t="s">
        <v>1334</v>
      </c>
      <c r="B842" s="17"/>
      <c r="C842" s="18"/>
      <c r="D842" s="4"/>
      <c r="E842" s="19">
        <v>0.0</v>
      </c>
      <c r="F842" s="19">
        <v>0.0</v>
      </c>
      <c r="G842" s="20" t="s">
        <v>1335</v>
      </c>
      <c r="H842" s="21"/>
      <c r="I842" s="22"/>
      <c r="J842" s="29"/>
      <c r="K842" s="43"/>
      <c r="L842" s="44">
        <v>45000.0</v>
      </c>
      <c r="M842" s="25"/>
      <c r="N842" s="39"/>
      <c r="O842" s="27"/>
      <c r="P842" s="28"/>
    </row>
    <row r="843" hidden="1">
      <c r="A843" s="16" t="s">
        <v>1336</v>
      </c>
      <c r="B843" s="49"/>
      <c r="C843" s="18"/>
      <c r="D843" s="4" t="s">
        <v>998</v>
      </c>
      <c r="E843" s="19">
        <v>0.0</v>
      </c>
      <c r="F843" s="19">
        <v>10.0</v>
      </c>
      <c r="G843" s="20" t="s">
        <v>1205</v>
      </c>
      <c r="H843" s="21"/>
      <c r="I843" s="22">
        <v>2.0</v>
      </c>
      <c r="J843" s="29"/>
      <c r="K843" s="43">
        <f>45000*1.19</f>
        <v>53550</v>
      </c>
      <c r="L843" s="44">
        <v>76000.0</v>
      </c>
      <c r="M843" s="25"/>
      <c r="N843" s="39"/>
      <c r="O843" s="27">
        <f t="shared" ref="O843:O876" si="100">(L843/K843)-1</f>
        <v>0.4192343604</v>
      </c>
      <c r="P843" s="28">
        <f t="shared" ref="P843:P876" si="101">K843*F843</f>
        <v>535500</v>
      </c>
    </row>
    <row r="844" hidden="1">
      <c r="A844" s="40" t="s">
        <v>1337</v>
      </c>
      <c r="B844" s="17"/>
      <c r="C844" s="18"/>
      <c r="D844" s="4"/>
      <c r="E844" s="19">
        <v>0.0</v>
      </c>
      <c r="F844" s="19"/>
      <c r="G844" s="16" t="s">
        <v>1338</v>
      </c>
      <c r="H844" s="21"/>
      <c r="I844" s="22"/>
      <c r="J844" s="29"/>
      <c r="K844" s="43">
        <v>100000.0</v>
      </c>
      <c r="L844" s="44">
        <v>145000.0</v>
      </c>
      <c r="M844" s="25"/>
      <c r="N844" s="39"/>
      <c r="O844" s="27">
        <f t="shared" si="100"/>
        <v>0.45</v>
      </c>
      <c r="P844" s="28">
        <f t="shared" si="101"/>
        <v>0</v>
      </c>
    </row>
    <row r="845" hidden="1">
      <c r="A845" s="16" t="s">
        <v>1339</v>
      </c>
      <c r="B845" s="195"/>
      <c r="C845" s="18"/>
      <c r="D845" s="4"/>
      <c r="E845" s="19">
        <v>0.0</v>
      </c>
      <c r="F845" s="19">
        <v>0.0</v>
      </c>
      <c r="G845" s="16" t="s">
        <v>1340</v>
      </c>
      <c r="H845" s="21"/>
      <c r="I845" s="22"/>
      <c r="J845" s="29"/>
      <c r="K845" s="43">
        <v>3016.0</v>
      </c>
      <c r="L845" s="44">
        <v>10000.0</v>
      </c>
      <c r="M845" s="25"/>
      <c r="N845" s="39"/>
      <c r="O845" s="27">
        <f t="shared" si="100"/>
        <v>2.315649867</v>
      </c>
      <c r="P845" s="28">
        <f t="shared" si="101"/>
        <v>0</v>
      </c>
    </row>
    <row r="846" hidden="1">
      <c r="A846" s="16" t="s">
        <v>1341</v>
      </c>
      <c r="B846" s="196"/>
      <c r="C846" s="18"/>
      <c r="D846" s="4"/>
      <c r="E846" s="19">
        <v>0.0</v>
      </c>
      <c r="F846" s="19">
        <v>0.0</v>
      </c>
      <c r="G846" s="16" t="s">
        <v>1340</v>
      </c>
      <c r="H846" s="21"/>
      <c r="I846" s="22"/>
      <c r="J846" s="29"/>
      <c r="K846" s="43">
        <v>2936.0</v>
      </c>
      <c r="L846" s="44">
        <v>10000.0</v>
      </c>
      <c r="M846" s="25"/>
      <c r="N846" s="39"/>
      <c r="O846" s="27">
        <f t="shared" si="100"/>
        <v>2.40599455</v>
      </c>
      <c r="P846" s="28">
        <f t="shared" si="101"/>
        <v>0</v>
      </c>
    </row>
    <row r="847" hidden="1">
      <c r="A847" s="16" t="s">
        <v>1342</v>
      </c>
      <c r="B847" s="195"/>
      <c r="C847" s="18"/>
      <c r="D847" s="4"/>
      <c r="E847" s="19">
        <v>0.0</v>
      </c>
      <c r="F847" s="19">
        <v>0.0</v>
      </c>
      <c r="G847" s="16" t="s">
        <v>1340</v>
      </c>
      <c r="H847" s="21"/>
      <c r="I847" s="22"/>
      <c r="J847" s="29"/>
      <c r="K847" s="43">
        <v>3016.0</v>
      </c>
      <c r="L847" s="44">
        <v>10000.0</v>
      </c>
      <c r="M847" s="25"/>
      <c r="N847" s="39"/>
      <c r="O847" s="27">
        <f t="shared" si="100"/>
        <v>2.315649867</v>
      </c>
      <c r="P847" s="28">
        <f t="shared" si="101"/>
        <v>0</v>
      </c>
    </row>
    <row r="848" hidden="1">
      <c r="A848" s="16" t="s">
        <v>1343</v>
      </c>
      <c r="B848" s="195"/>
      <c r="C848" s="18"/>
      <c r="D848" s="4"/>
      <c r="E848" s="19">
        <v>0.0</v>
      </c>
      <c r="F848" s="19">
        <v>0.0</v>
      </c>
      <c r="G848" s="16" t="s">
        <v>1340</v>
      </c>
      <c r="H848" s="21"/>
      <c r="I848" s="22"/>
      <c r="J848" s="29"/>
      <c r="K848" s="43">
        <v>3016.0</v>
      </c>
      <c r="L848" s="44">
        <v>10000.0</v>
      </c>
      <c r="M848" s="25"/>
      <c r="N848" s="39"/>
      <c r="O848" s="27">
        <f t="shared" si="100"/>
        <v>2.315649867</v>
      </c>
      <c r="P848" s="28">
        <f t="shared" si="101"/>
        <v>0</v>
      </c>
    </row>
    <row r="849" hidden="1">
      <c r="A849" s="16" t="s">
        <v>1344</v>
      </c>
      <c r="B849" s="195"/>
      <c r="C849" s="18"/>
      <c r="D849" s="4"/>
      <c r="E849" s="19">
        <v>0.0</v>
      </c>
      <c r="F849" s="19">
        <v>0.0</v>
      </c>
      <c r="G849" s="16" t="s">
        <v>1340</v>
      </c>
      <c r="H849" s="21"/>
      <c r="I849" s="22"/>
      <c r="J849" s="29"/>
      <c r="K849" s="43">
        <v>3016.0</v>
      </c>
      <c r="L849" s="44">
        <v>10000.0</v>
      </c>
      <c r="M849" s="25"/>
      <c r="N849" s="39"/>
      <c r="O849" s="27">
        <f t="shared" si="100"/>
        <v>2.315649867</v>
      </c>
      <c r="P849" s="28">
        <f t="shared" si="101"/>
        <v>0</v>
      </c>
    </row>
    <row r="850" hidden="1">
      <c r="A850" s="16" t="s">
        <v>1345</v>
      </c>
      <c r="B850" s="195"/>
      <c r="C850" s="18"/>
      <c r="D850" s="4"/>
      <c r="E850" s="19">
        <v>0.0</v>
      </c>
      <c r="F850" s="19">
        <v>0.0</v>
      </c>
      <c r="G850" s="16" t="s">
        <v>1340</v>
      </c>
      <c r="H850" s="21"/>
      <c r="I850" s="22"/>
      <c r="J850" s="29"/>
      <c r="K850" s="43">
        <v>3016.0</v>
      </c>
      <c r="L850" s="44">
        <v>10000.0</v>
      </c>
      <c r="M850" s="25"/>
      <c r="N850" s="39"/>
      <c r="O850" s="27">
        <f t="shared" si="100"/>
        <v>2.315649867</v>
      </c>
      <c r="P850" s="28">
        <f t="shared" si="101"/>
        <v>0</v>
      </c>
    </row>
    <row r="851" hidden="1">
      <c r="A851" s="16" t="s">
        <v>1346</v>
      </c>
      <c r="B851" s="195"/>
      <c r="C851" s="18"/>
      <c r="D851" s="4"/>
      <c r="E851" s="19">
        <v>0.0</v>
      </c>
      <c r="F851" s="19">
        <v>0.0</v>
      </c>
      <c r="G851" s="16" t="s">
        <v>1340</v>
      </c>
      <c r="H851" s="21"/>
      <c r="I851" s="22"/>
      <c r="J851" s="29"/>
      <c r="K851" s="43">
        <v>3016.0</v>
      </c>
      <c r="L851" s="44">
        <v>10000.0</v>
      </c>
      <c r="M851" s="25"/>
      <c r="N851" s="39"/>
      <c r="O851" s="27">
        <f t="shared" si="100"/>
        <v>2.315649867</v>
      </c>
      <c r="P851" s="28">
        <f t="shared" si="101"/>
        <v>0</v>
      </c>
    </row>
    <row r="852" hidden="1">
      <c r="A852" s="16" t="s">
        <v>1347</v>
      </c>
      <c r="B852" s="195"/>
      <c r="C852" s="18"/>
      <c r="D852" s="4"/>
      <c r="E852" s="19">
        <v>0.0</v>
      </c>
      <c r="F852" s="19">
        <v>0.0</v>
      </c>
      <c r="G852" s="16" t="s">
        <v>1340</v>
      </c>
      <c r="H852" s="21"/>
      <c r="I852" s="22"/>
      <c r="J852" s="29"/>
      <c r="K852" s="43">
        <v>3016.0</v>
      </c>
      <c r="L852" s="44">
        <v>10000.0</v>
      </c>
      <c r="M852" s="25"/>
      <c r="N852" s="39"/>
      <c r="O852" s="27">
        <f t="shared" si="100"/>
        <v>2.315649867</v>
      </c>
      <c r="P852" s="28">
        <f t="shared" si="101"/>
        <v>0</v>
      </c>
    </row>
    <row r="853" hidden="1">
      <c r="A853" s="42" t="s">
        <v>1348</v>
      </c>
      <c r="B853" s="195"/>
      <c r="C853" s="18"/>
      <c r="D853" s="4"/>
      <c r="E853" s="19">
        <v>0.0</v>
      </c>
      <c r="F853" s="19">
        <v>0.0</v>
      </c>
      <c r="G853" s="16" t="s">
        <v>1340</v>
      </c>
      <c r="H853" s="21"/>
      <c r="I853" s="22"/>
      <c r="J853" s="29"/>
      <c r="K853" s="43">
        <v>3016.0</v>
      </c>
      <c r="L853" s="44">
        <v>10000.0</v>
      </c>
      <c r="M853" s="25"/>
      <c r="N853" s="39"/>
      <c r="O853" s="27">
        <f t="shared" si="100"/>
        <v>2.315649867</v>
      </c>
      <c r="P853" s="28">
        <f t="shared" si="101"/>
        <v>0</v>
      </c>
    </row>
    <row r="854" hidden="1">
      <c r="A854" s="42" t="s">
        <v>1349</v>
      </c>
      <c r="B854" s="195"/>
      <c r="C854" s="18"/>
      <c r="D854" s="4"/>
      <c r="E854" s="19">
        <v>0.0</v>
      </c>
      <c r="F854" s="19">
        <v>0.0</v>
      </c>
      <c r="G854" s="16" t="s">
        <v>1340</v>
      </c>
      <c r="H854" s="21"/>
      <c r="I854" s="22"/>
      <c r="J854" s="29"/>
      <c r="K854" s="43">
        <v>4000.0</v>
      </c>
      <c r="L854" s="44">
        <v>10000.0</v>
      </c>
      <c r="M854" s="25"/>
      <c r="N854" s="39"/>
      <c r="O854" s="27">
        <f t="shared" si="100"/>
        <v>1.5</v>
      </c>
      <c r="P854" s="28">
        <f t="shared" si="101"/>
        <v>0</v>
      </c>
    </row>
    <row r="855" hidden="1">
      <c r="A855" s="42" t="s">
        <v>1350</v>
      </c>
      <c r="B855" s="195"/>
      <c r="C855" s="18"/>
      <c r="D855" s="4"/>
      <c r="E855" s="19">
        <v>0.0</v>
      </c>
      <c r="F855" s="19">
        <v>0.0</v>
      </c>
      <c r="G855" s="16" t="s">
        <v>1340</v>
      </c>
      <c r="H855" s="21"/>
      <c r="I855" s="22"/>
      <c r="J855" s="29"/>
      <c r="K855" s="43">
        <v>3016.0</v>
      </c>
      <c r="L855" s="44">
        <v>10000.0</v>
      </c>
      <c r="M855" s="25"/>
      <c r="N855" s="39"/>
      <c r="O855" s="27">
        <f t="shared" si="100"/>
        <v>2.315649867</v>
      </c>
      <c r="P855" s="28">
        <f t="shared" si="101"/>
        <v>0</v>
      </c>
    </row>
    <row r="856" hidden="1">
      <c r="A856" s="42" t="s">
        <v>1351</v>
      </c>
      <c r="B856" s="195"/>
      <c r="C856" s="18"/>
      <c r="D856" s="4"/>
      <c r="E856" s="19">
        <v>0.0</v>
      </c>
      <c r="F856" s="19">
        <v>0.0</v>
      </c>
      <c r="G856" s="16" t="s">
        <v>1340</v>
      </c>
      <c r="H856" s="21"/>
      <c r="I856" s="22"/>
      <c r="J856" s="29"/>
      <c r="K856" s="43">
        <v>3016.0</v>
      </c>
      <c r="L856" s="44">
        <v>10000.0</v>
      </c>
      <c r="M856" s="25"/>
      <c r="N856" s="39"/>
      <c r="O856" s="27">
        <f t="shared" si="100"/>
        <v>2.315649867</v>
      </c>
      <c r="P856" s="28">
        <f t="shared" si="101"/>
        <v>0</v>
      </c>
    </row>
    <row r="857" hidden="1">
      <c r="A857" s="42" t="s">
        <v>1352</v>
      </c>
      <c r="B857" s="195"/>
      <c r="C857" s="18"/>
      <c r="D857" s="4"/>
      <c r="E857" s="19">
        <v>0.0</v>
      </c>
      <c r="F857" s="19">
        <v>0.0</v>
      </c>
      <c r="G857" s="16" t="s">
        <v>1340</v>
      </c>
      <c r="H857" s="21"/>
      <c r="I857" s="22"/>
      <c r="J857" s="29"/>
      <c r="K857" s="43">
        <v>3016.0</v>
      </c>
      <c r="L857" s="44">
        <v>10000.0</v>
      </c>
      <c r="M857" s="25"/>
      <c r="N857" s="39"/>
      <c r="O857" s="27">
        <f t="shared" si="100"/>
        <v>2.315649867</v>
      </c>
      <c r="P857" s="28">
        <f t="shared" si="101"/>
        <v>0</v>
      </c>
    </row>
    <row r="858" hidden="1">
      <c r="A858" s="42" t="s">
        <v>1353</v>
      </c>
      <c r="B858" s="195"/>
      <c r="C858" s="18"/>
      <c r="D858" s="4"/>
      <c r="E858" s="19">
        <v>0.0</v>
      </c>
      <c r="F858" s="19">
        <v>0.0</v>
      </c>
      <c r="G858" s="16" t="s">
        <v>1340</v>
      </c>
      <c r="H858" s="21"/>
      <c r="I858" s="22"/>
      <c r="J858" s="29"/>
      <c r="K858" s="43">
        <v>3016.0</v>
      </c>
      <c r="L858" s="44">
        <v>10000.0</v>
      </c>
      <c r="M858" s="25"/>
      <c r="N858" s="39"/>
      <c r="O858" s="27">
        <f t="shared" si="100"/>
        <v>2.315649867</v>
      </c>
      <c r="P858" s="28">
        <f t="shared" si="101"/>
        <v>0</v>
      </c>
    </row>
    <row r="859" hidden="1">
      <c r="A859" s="42" t="s">
        <v>1354</v>
      </c>
      <c r="B859" s="195"/>
      <c r="C859" s="18"/>
      <c r="D859" s="4"/>
      <c r="E859" s="19">
        <v>0.0</v>
      </c>
      <c r="F859" s="19">
        <v>0.0</v>
      </c>
      <c r="G859" s="16" t="s">
        <v>1340</v>
      </c>
      <c r="H859" s="21"/>
      <c r="I859" s="22"/>
      <c r="J859" s="29"/>
      <c r="K859" s="43">
        <v>3016.0</v>
      </c>
      <c r="L859" s="44">
        <v>10000.0</v>
      </c>
      <c r="M859" s="25"/>
      <c r="N859" s="39"/>
      <c r="O859" s="27">
        <f t="shared" si="100"/>
        <v>2.315649867</v>
      </c>
      <c r="P859" s="28">
        <f t="shared" si="101"/>
        <v>0</v>
      </c>
    </row>
    <row r="860" hidden="1">
      <c r="A860" s="42" t="s">
        <v>1355</v>
      </c>
      <c r="B860" s="195"/>
      <c r="C860" s="18"/>
      <c r="D860" s="4"/>
      <c r="E860" s="19">
        <v>0.0</v>
      </c>
      <c r="F860" s="19">
        <v>0.0</v>
      </c>
      <c r="G860" s="16" t="s">
        <v>1340</v>
      </c>
      <c r="H860" s="21"/>
      <c r="I860" s="22"/>
      <c r="J860" s="29"/>
      <c r="K860" s="43">
        <v>3016.0</v>
      </c>
      <c r="L860" s="44">
        <v>10000.0</v>
      </c>
      <c r="M860" s="25"/>
      <c r="N860" s="39"/>
      <c r="O860" s="27">
        <f t="shared" si="100"/>
        <v>2.315649867</v>
      </c>
      <c r="P860" s="28">
        <f t="shared" si="101"/>
        <v>0</v>
      </c>
    </row>
    <row r="861" hidden="1">
      <c r="A861" s="42" t="s">
        <v>1356</v>
      </c>
      <c r="B861" s="195"/>
      <c r="C861" s="18"/>
      <c r="D861" s="4"/>
      <c r="E861" s="19">
        <v>0.0</v>
      </c>
      <c r="F861" s="19">
        <v>0.0</v>
      </c>
      <c r="G861" s="16" t="s">
        <v>1340</v>
      </c>
      <c r="H861" s="21"/>
      <c r="I861" s="22"/>
      <c r="J861" s="29"/>
      <c r="K861" s="43">
        <v>3016.0</v>
      </c>
      <c r="L861" s="44">
        <v>10000.0</v>
      </c>
      <c r="M861" s="25"/>
      <c r="N861" s="39"/>
      <c r="O861" s="27">
        <f t="shared" si="100"/>
        <v>2.315649867</v>
      </c>
      <c r="P861" s="28">
        <f t="shared" si="101"/>
        <v>0</v>
      </c>
    </row>
    <row r="862" hidden="1">
      <c r="A862" s="42" t="s">
        <v>1357</v>
      </c>
      <c r="B862" s="195"/>
      <c r="C862" s="18"/>
      <c r="D862" s="4"/>
      <c r="E862" s="19">
        <v>0.0</v>
      </c>
      <c r="F862" s="19">
        <v>0.0</v>
      </c>
      <c r="G862" s="16" t="s">
        <v>1340</v>
      </c>
      <c r="H862" s="21"/>
      <c r="I862" s="22"/>
      <c r="J862" s="29"/>
      <c r="K862" s="43">
        <v>3016.0</v>
      </c>
      <c r="L862" s="44">
        <v>10000.0</v>
      </c>
      <c r="M862" s="25"/>
      <c r="N862" s="39"/>
      <c r="O862" s="27">
        <f t="shared" si="100"/>
        <v>2.315649867</v>
      </c>
      <c r="P862" s="28">
        <f t="shared" si="101"/>
        <v>0</v>
      </c>
    </row>
    <row r="863" hidden="1">
      <c r="A863" s="42" t="s">
        <v>1358</v>
      </c>
      <c r="B863" s="195"/>
      <c r="C863" s="18"/>
      <c r="D863" s="4"/>
      <c r="E863" s="19">
        <v>0.0</v>
      </c>
      <c r="F863" s="19">
        <v>0.0</v>
      </c>
      <c r="G863" s="16" t="s">
        <v>1340</v>
      </c>
      <c r="H863" s="21"/>
      <c r="I863" s="22"/>
      <c r="J863" s="29"/>
      <c r="K863" s="43">
        <v>3016.0</v>
      </c>
      <c r="L863" s="44">
        <v>10000.0</v>
      </c>
      <c r="M863" s="25"/>
      <c r="N863" s="39"/>
      <c r="O863" s="27">
        <f t="shared" si="100"/>
        <v>2.315649867</v>
      </c>
      <c r="P863" s="28">
        <f t="shared" si="101"/>
        <v>0</v>
      </c>
    </row>
    <row r="864" hidden="1">
      <c r="A864" s="42" t="s">
        <v>1359</v>
      </c>
      <c r="B864" s="195"/>
      <c r="C864" s="18"/>
      <c r="D864" s="4"/>
      <c r="E864" s="19">
        <v>0.0</v>
      </c>
      <c r="F864" s="19">
        <v>0.0</v>
      </c>
      <c r="G864" s="16" t="s">
        <v>1340</v>
      </c>
      <c r="H864" s="21"/>
      <c r="I864" s="22"/>
      <c r="J864" s="29"/>
      <c r="K864" s="43">
        <v>3016.0</v>
      </c>
      <c r="L864" s="44">
        <v>10000.0</v>
      </c>
      <c r="M864" s="25"/>
      <c r="N864" s="39"/>
      <c r="O864" s="27">
        <f t="shared" si="100"/>
        <v>2.315649867</v>
      </c>
      <c r="P864" s="28">
        <f t="shared" si="101"/>
        <v>0</v>
      </c>
    </row>
    <row r="865" hidden="1">
      <c r="A865" s="42" t="s">
        <v>1360</v>
      </c>
      <c r="B865" s="195"/>
      <c r="C865" s="18"/>
      <c r="D865" s="4"/>
      <c r="E865" s="19">
        <v>0.0</v>
      </c>
      <c r="F865" s="19">
        <v>0.0</v>
      </c>
      <c r="G865" s="16" t="s">
        <v>1340</v>
      </c>
      <c r="H865" s="21"/>
      <c r="I865" s="22"/>
      <c r="J865" s="29"/>
      <c r="K865" s="43">
        <v>3016.0</v>
      </c>
      <c r="L865" s="44">
        <v>10000.0</v>
      </c>
      <c r="M865" s="25"/>
      <c r="N865" s="39"/>
      <c r="O865" s="27">
        <f t="shared" si="100"/>
        <v>2.315649867</v>
      </c>
      <c r="P865" s="28">
        <f t="shared" si="101"/>
        <v>0</v>
      </c>
    </row>
    <row r="866" hidden="1">
      <c r="A866" s="16" t="s">
        <v>1361</v>
      </c>
      <c r="B866" s="195"/>
      <c r="C866" s="18"/>
      <c r="D866" s="4"/>
      <c r="E866" s="19">
        <v>0.0</v>
      </c>
      <c r="F866" s="19">
        <v>0.0</v>
      </c>
      <c r="G866" s="16" t="s">
        <v>1340</v>
      </c>
      <c r="H866" s="21"/>
      <c r="I866" s="22"/>
      <c r="J866" s="29"/>
      <c r="K866" s="43">
        <v>3016.0</v>
      </c>
      <c r="L866" s="44">
        <v>10000.0</v>
      </c>
      <c r="M866" s="25"/>
      <c r="N866" s="39"/>
      <c r="O866" s="27">
        <f t="shared" si="100"/>
        <v>2.315649867</v>
      </c>
      <c r="P866" s="28">
        <f t="shared" si="101"/>
        <v>0</v>
      </c>
    </row>
    <row r="867" hidden="1">
      <c r="A867" s="16" t="s">
        <v>1362</v>
      </c>
      <c r="B867" s="195"/>
      <c r="C867" s="18"/>
      <c r="D867" s="4"/>
      <c r="E867" s="19">
        <v>0.0</v>
      </c>
      <c r="F867" s="19">
        <v>0.0</v>
      </c>
      <c r="G867" s="16" t="s">
        <v>1340</v>
      </c>
      <c r="H867" s="21"/>
      <c r="I867" s="22"/>
      <c r="J867" s="29"/>
      <c r="K867" s="43">
        <v>2936.0</v>
      </c>
      <c r="L867" s="44">
        <v>10000.0</v>
      </c>
      <c r="M867" s="25"/>
      <c r="N867" s="39"/>
      <c r="O867" s="27">
        <f t="shared" si="100"/>
        <v>2.40599455</v>
      </c>
      <c r="P867" s="28">
        <f t="shared" si="101"/>
        <v>0</v>
      </c>
    </row>
    <row r="868" hidden="1">
      <c r="A868" s="40" t="s">
        <v>1363</v>
      </c>
      <c r="B868" s="195"/>
      <c r="C868" s="18"/>
      <c r="D868" s="4"/>
      <c r="E868" s="19">
        <v>0.0</v>
      </c>
      <c r="F868" s="19">
        <v>0.0</v>
      </c>
      <c r="G868" s="16" t="s">
        <v>1340</v>
      </c>
      <c r="H868" s="21"/>
      <c r="I868" s="22"/>
      <c r="J868" s="29"/>
      <c r="K868" s="43">
        <v>4000.0</v>
      </c>
      <c r="L868" s="44">
        <v>10000.0</v>
      </c>
      <c r="M868" s="25"/>
      <c r="N868" s="39"/>
      <c r="O868" s="27">
        <f t="shared" si="100"/>
        <v>1.5</v>
      </c>
      <c r="P868" s="28">
        <f t="shared" si="101"/>
        <v>0</v>
      </c>
    </row>
    <row r="869" hidden="1">
      <c r="A869" s="40" t="s">
        <v>1364</v>
      </c>
      <c r="B869" s="195"/>
      <c r="C869" s="18"/>
      <c r="D869" s="4"/>
      <c r="E869" s="19">
        <v>0.0</v>
      </c>
      <c r="F869" s="19">
        <v>0.0</v>
      </c>
      <c r="G869" s="16" t="s">
        <v>1340</v>
      </c>
      <c r="H869" s="21"/>
      <c r="I869" s="22"/>
      <c r="J869" s="29"/>
      <c r="K869" s="43">
        <v>3016.0</v>
      </c>
      <c r="L869" s="44">
        <v>10000.0</v>
      </c>
      <c r="M869" s="25"/>
      <c r="N869" s="39"/>
      <c r="O869" s="27">
        <f t="shared" si="100"/>
        <v>2.315649867</v>
      </c>
      <c r="P869" s="28">
        <f t="shared" si="101"/>
        <v>0</v>
      </c>
    </row>
    <row r="870" hidden="1">
      <c r="A870" s="40" t="s">
        <v>1365</v>
      </c>
      <c r="B870" s="195"/>
      <c r="C870" s="18"/>
      <c r="D870" s="4"/>
      <c r="E870" s="19">
        <v>0.0</v>
      </c>
      <c r="F870" s="19">
        <v>0.0</v>
      </c>
      <c r="G870" s="16" t="s">
        <v>1340</v>
      </c>
      <c r="H870" s="21"/>
      <c r="I870" s="22"/>
      <c r="J870" s="29"/>
      <c r="K870" s="43">
        <v>3016.0</v>
      </c>
      <c r="L870" s="44">
        <v>10000.0</v>
      </c>
      <c r="M870" s="25"/>
      <c r="N870" s="39"/>
      <c r="O870" s="27">
        <f t="shared" si="100"/>
        <v>2.315649867</v>
      </c>
      <c r="P870" s="28">
        <f t="shared" si="101"/>
        <v>0</v>
      </c>
    </row>
    <row r="871" hidden="1">
      <c r="A871" s="40" t="s">
        <v>1366</v>
      </c>
      <c r="B871" s="195"/>
      <c r="C871" s="18"/>
      <c r="D871" s="4"/>
      <c r="E871" s="19">
        <v>0.0</v>
      </c>
      <c r="F871" s="19">
        <v>0.0</v>
      </c>
      <c r="G871" s="16" t="s">
        <v>1340</v>
      </c>
      <c r="H871" s="21"/>
      <c r="I871" s="22"/>
      <c r="J871" s="29"/>
      <c r="K871" s="43">
        <v>3016.0</v>
      </c>
      <c r="L871" s="44">
        <v>10000.0</v>
      </c>
      <c r="M871" s="25"/>
      <c r="N871" s="39"/>
      <c r="O871" s="27">
        <f t="shared" si="100"/>
        <v>2.315649867</v>
      </c>
      <c r="P871" s="28">
        <f t="shared" si="101"/>
        <v>0</v>
      </c>
    </row>
    <row r="872" hidden="1">
      <c r="A872" s="40" t="s">
        <v>1367</v>
      </c>
      <c r="B872" s="49"/>
      <c r="C872" s="18"/>
      <c r="D872" s="4"/>
      <c r="E872" s="19">
        <v>0.0</v>
      </c>
      <c r="F872" s="19">
        <v>0.0</v>
      </c>
      <c r="G872" s="16" t="s">
        <v>1340</v>
      </c>
      <c r="H872" s="21"/>
      <c r="I872" s="22"/>
      <c r="J872" s="29"/>
      <c r="K872" s="43">
        <v>2936.0</v>
      </c>
      <c r="L872" s="44">
        <v>10000.0</v>
      </c>
      <c r="M872" s="25"/>
      <c r="N872" s="39"/>
      <c r="O872" s="27">
        <f t="shared" si="100"/>
        <v>2.40599455</v>
      </c>
      <c r="P872" s="28">
        <f t="shared" si="101"/>
        <v>0</v>
      </c>
    </row>
    <row r="873" hidden="1">
      <c r="A873" s="16" t="s">
        <v>1368</v>
      </c>
      <c r="B873" s="195"/>
      <c r="C873" s="18"/>
      <c r="D873" s="4"/>
      <c r="E873" s="19">
        <v>0.0</v>
      </c>
      <c r="F873" s="19">
        <v>0.0</v>
      </c>
      <c r="G873" s="16" t="s">
        <v>1340</v>
      </c>
      <c r="H873" s="21"/>
      <c r="I873" s="22"/>
      <c r="J873" s="29"/>
      <c r="K873" s="43">
        <v>3016.0</v>
      </c>
      <c r="L873" s="44">
        <v>10000.0</v>
      </c>
      <c r="M873" s="25"/>
      <c r="N873" s="39"/>
      <c r="O873" s="27">
        <f t="shared" si="100"/>
        <v>2.315649867</v>
      </c>
      <c r="P873" s="28">
        <f t="shared" si="101"/>
        <v>0</v>
      </c>
    </row>
    <row r="874" hidden="1">
      <c r="A874" s="16" t="s">
        <v>1369</v>
      </c>
      <c r="B874" s="195"/>
      <c r="C874" s="18"/>
      <c r="D874" s="4"/>
      <c r="E874" s="19">
        <v>0.0</v>
      </c>
      <c r="F874" s="19">
        <v>0.0</v>
      </c>
      <c r="G874" s="16" t="s">
        <v>1340</v>
      </c>
      <c r="H874" s="21"/>
      <c r="I874" s="22"/>
      <c r="J874" s="29"/>
      <c r="K874" s="43">
        <v>3016.0</v>
      </c>
      <c r="L874" s="44">
        <v>10000.0</v>
      </c>
      <c r="M874" s="25"/>
      <c r="N874" s="39"/>
      <c r="O874" s="27">
        <f t="shared" si="100"/>
        <v>2.315649867</v>
      </c>
      <c r="P874" s="28">
        <f t="shared" si="101"/>
        <v>0</v>
      </c>
    </row>
    <row r="875" hidden="1">
      <c r="A875" s="16" t="s">
        <v>1370</v>
      </c>
      <c r="B875" s="195"/>
      <c r="C875" s="18"/>
      <c r="D875" s="4"/>
      <c r="E875" s="19">
        <v>0.0</v>
      </c>
      <c r="F875" s="19">
        <v>0.0</v>
      </c>
      <c r="G875" s="16" t="s">
        <v>1340</v>
      </c>
      <c r="H875" s="21"/>
      <c r="I875" s="22"/>
      <c r="J875" s="29"/>
      <c r="K875" s="43">
        <v>3016.0</v>
      </c>
      <c r="L875" s="44">
        <v>10000.0</v>
      </c>
      <c r="M875" s="25"/>
      <c r="N875" s="39"/>
      <c r="O875" s="27">
        <f t="shared" si="100"/>
        <v>2.315649867</v>
      </c>
      <c r="P875" s="28">
        <f t="shared" si="101"/>
        <v>0</v>
      </c>
    </row>
    <row r="876" hidden="1">
      <c r="A876" s="16" t="s">
        <v>1371</v>
      </c>
      <c r="B876" s="51"/>
      <c r="C876" s="18"/>
      <c r="D876" s="4"/>
      <c r="E876" s="19">
        <v>0.0</v>
      </c>
      <c r="F876" s="19">
        <v>0.0</v>
      </c>
      <c r="G876" s="16" t="s">
        <v>1340</v>
      </c>
      <c r="H876" s="21"/>
      <c r="I876" s="22"/>
      <c r="J876" s="29"/>
      <c r="K876" s="43">
        <v>3016.0</v>
      </c>
      <c r="L876" s="44">
        <v>10000.0</v>
      </c>
      <c r="M876" s="25"/>
      <c r="N876" s="39"/>
      <c r="O876" s="27">
        <f t="shared" si="100"/>
        <v>2.315649867</v>
      </c>
      <c r="P876" s="28">
        <f t="shared" si="101"/>
        <v>0</v>
      </c>
    </row>
    <row r="877" hidden="1">
      <c r="A877" s="16" t="s">
        <v>1372</v>
      </c>
      <c r="B877" s="17"/>
      <c r="C877" s="38"/>
      <c r="D877" s="4"/>
      <c r="E877" s="19">
        <v>0.0</v>
      </c>
      <c r="F877" s="19">
        <v>0.0</v>
      </c>
      <c r="G877" s="16"/>
      <c r="H877" s="21"/>
      <c r="I877" s="22">
        <v>12.0</v>
      </c>
      <c r="J877" s="29"/>
      <c r="K877" s="43"/>
      <c r="L877" s="172"/>
      <c r="M877" s="25"/>
      <c r="N877" s="26"/>
      <c r="O877" s="27"/>
      <c r="P877" s="28"/>
    </row>
    <row r="878" hidden="1">
      <c r="A878" s="16" t="s">
        <v>1373</v>
      </c>
      <c r="B878" s="17" t="s">
        <v>1374</v>
      </c>
      <c r="C878" s="18"/>
      <c r="D878" s="4"/>
      <c r="E878" s="19"/>
      <c r="F878" s="19"/>
      <c r="G878" s="20" t="s">
        <v>1375</v>
      </c>
      <c r="H878" s="21">
        <v>0.0</v>
      </c>
      <c r="I878" s="22"/>
      <c r="J878" s="29"/>
      <c r="K878" s="48">
        <f t="shared" ref="K878:K881" si="102">1583*1.19</f>
        <v>1883.77</v>
      </c>
      <c r="L878" s="55">
        <v>3000.0</v>
      </c>
      <c r="M878" s="25"/>
      <c r="N878" s="26"/>
      <c r="O878" s="27">
        <f t="shared" ref="O878:O893" si="103">(L878/K878)-1</f>
        <v>0.5925511076</v>
      </c>
      <c r="P878" s="28">
        <f t="shared" ref="P878:P893" si="104">K878*F878</f>
        <v>0</v>
      </c>
    </row>
    <row r="879" hidden="1">
      <c r="A879" s="16" t="s">
        <v>1376</v>
      </c>
      <c r="B879" s="17" t="s">
        <v>1377</v>
      </c>
      <c r="C879" s="18"/>
      <c r="D879" s="4"/>
      <c r="E879" s="19"/>
      <c r="F879" s="19"/>
      <c r="G879" s="20" t="s">
        <v>1375</v>
      </c>
      <c r="H879" s="21">
        <v>0.0</v>
      </c>
      <c r="I879" s="22"/>
      <c r="J879" s="29"/>
      <c r="K879" s="48">
        <f t="shared" si="102"/>
        <v>1883.77</v>
      </c>
      <c r="L879" s="55">
        <v>3000.0</v>
      </c>
      <c r="M879" s="25"/>
      <c r="N879" s="39"/>
      <c r="O879" s="27">
        <f t="shared" si="103"/>
        <v>0.5925511076</v>
      </c>
      <c r="P879" s="28">
        <f t="shared" si="104"/>
        <v>0</v>
      </c>
    </row>
    <row r="880" hidden="1">
      <c r="A880" s="16" t="s">
        <v>1378</v>
      </c>
      <c r="B880" s="17" t="s">
        <v>1379</v>
      </c>
      <c r="C880" s="18"/>
      <c r="D880" s="4"/>
      <c r="E880" s="19"/>
      <c r="F880" s="19"/>
      <c r="G880" s="20" t="s">
        <v>1375</v>
      </c>
      <c r="H880" s="21">
        <v>0.0</v>
      </c>
      <c r="I880" s="22"/>
      <c r="J880" s="29"/>
      <c r="K880" s="48">
        <f t="shared" si="102"/>
        <v>1883.77</v>
      </c>
      <c r="L880" s="55">
        <v>3000.0</v>
      </c>
      <c r="M880" s="25"/>
      <c r="N880" s="39"/>
      <c r="O880" s="27">
        <f t="shared" si="103"/>
        <v>0.5925511076</v>
      </c>
      <c r="P880" s="28">
        <f t="shared" si="104"/>
        <v>0</v>
      </c>
    </row>
    <row r="881" hidden="1">
      <c r="A881" s="16" t="s">
        <v>1380</v>
      </c>
      <c r="B881" s="17" t="s">
        <v>1377</v>
      </c>
      <c r="C881" s="18"/>
      <c r="D881" s="4"/>
      <c r="E881" s="19"/>
      <c r="F881" s="19"/>
      <c r="G881" s="20" t="s">
        <v>1375</v>
      </c>
      <c r="H881" s="21">
        <v>0.0</v>
      </c>
      <c r="I881" s="22"/>
      <c r="J881" s="29"/>
      <c r="K881" s="32">
        <f t="shared" si="102"/>
        <v>1883.77</v>
      </c>
      <c r="L881" s="24">
        <v>3000.0</v>
      </c>
      <c r="M881" s="25"/>
      <c r="N881" s="39"/>
      <c r="O881" s="27">
        <f t="shared" si="103"/>
        <v>0.5925511076</v>
      </c>
      <c r="P881" s="28">
        <f t="shared" si="104"/>
        <v>0</v>
      </c>
    </row>
    <row r="882" hidden="1">
      <c r="A882" s="119" t="s">
        <v>1381</v>
      </c>
      <c r="B882" s="51"/>
      <c r="C882" s="18"/>
      <c r="D882" s="4"/>
      <c r="E882" s="19">
        <v>0.0</v>
      </c>
      <c r="F882" s="19"/>
      <c r="G882" s="20" t="s">
        <v>1382</v>
      </c>
      <c r="H882" s="73"/>
      <c r="I882" s="22"/>
      <c r="J882" s="74"/>
      <c r="K882" s="75">
        <v>1133.0</v>
      </c>
      <c r="L882" s="44">
        <v>4000.0</v>
      </c>
      <c r="M882" s="25"/>
      <c r="N882" s="39"/>
      <c r="O882" s="27">
        <f t="shared" si="103"/>
        <v>2.530450132</v>
      </c>
      <c r="P882" s="28">
        <f t="shared" si="104"/>
        <v>0</v>
      </c>
    </row>
    <row r="883" hidden="1">
      <c r="A883" s="119" t="s">
        <v>1381</v>
      </c>
      <c r="B883" s="51"/>
      <c r="C883" s="18"/>
      <c r="D883" s="4"/>
      <c r="E883" s="19">
        <v>0.0</v>
      </c>
      <c r="F883" s="19">
        <v>0.0</v>
      </c>
      <c r="G883" s="20" t="s">
        <v>1383</v>
      </c>
      <c r="H883" s="99"/>
      <c r="I883" s="22"/>
      <c r="J883" s="173"/>
      <c r="K883" s="174">
        <f>188655/100</f>
        <v>1886.55</v>
      </c>
      <c r="L883" s="44">
        <v>4000.0</v>
      </c>
      <c r="M883" s="25"/>
      <c r="N883" s="39"/>
      <c r="O883" s="27">
        <f t="shared" si="103"/>
        <v>1.120272455</v>
      </c>
      <c r="P883" s="28">
        <f t="shared" si="104"/>
        <v>0</v>
      </c>
    </row>
    <row r="884" hidden="1">
      <c r="A884" s="16" t="s">
        <v>1384</v>
      </c>
      <c r="B884" s="116" t="s">
        <v>1385</v>
      </c>
      <c r="C884" s="38"/>
      <c r="D884" s="98"/>
      <c r="E884" s="19"/>
      <c r="F884" s="19">
        <v>0.0</v>
      </c>
      <c r="G884" s="16" t="s">
        <v>1386</v>
      </c>
      <c r="H884" s="21">
        <v>0.0</v>
      </c>
      <c r="I884" s="22"/>
      <c r="J884" s="29"/>
      <c r="K884" s="32">
        <v>14280.0</v>
      </c>
      <c r="L884" s="24">
        <v>24000.0</v>
      </c>
      <c r="M884" s="25"/>
      <c r="N884" s="197">
        <v>18000.0</v>
      </c>
      <c r="O884" s="27">
        <f t="shared" si="103"/>
        <v>0.6806722689</v>
      </c>
      <c r="P884" s="28">
        <f t="shared" si="104"/>
        <v>0</v>
      </c>
    </row>
    <row r="885" hidden="1">
      <c r="A885" s="16" t="s">
        <v>1387</v>
      </c>
      <c r="B885" s="116" t="s">
        <v>1385</v>
      </c>
      <c r="C885" s="38"/>
      <c r="D885" s="4"/>
      <c r="E885" s="19"/>
      <c r="F885" s="19">
        <v>0.0</v>
      </c>
      <c r="G885" s="16" t="s">
        <v>1386</v>
      </c>
      <c r="H885" s="21">
        <v>0.0</v>
      </c>
      <c r="I885" s="22"/>
      <c r="J885" s="29"/>
      <c r="K885" s="32">
        <v>14280.0</v>
      </c>
      <c r="L885" s="24">
        <v>24000.0</v>
      </c>
      <c r="M885" s="25"/>
      <c r="N885" s="197">
        <v>18000.0</v>
      </c>
      <c r="O885" s="27">
        <f t="shared" si="103"/>
        <v>0.6806722689</v>
      </c>
      <c r="P885" s="28">
        <f t="shared" si="104"/>
        <v>0</v>
      </c>
    </row>
    <row r="886" hidden="1">
      <c r="A886" s="16" t="s">
        <v>1388</v>
      </c>
      <c r="B886" s="116" t="s">
        <v>1385</v>
      </c>
      <c r="C886" s="38"/>
      <c r="D886" s="4"/>
      <c r="E886" s="19"/>
      <c r="F886" s="19">
        <v>0.0</v>
      </c>
      <c r="G886" s="16" t="s">
        <v>1386</v>
      </c>
      <c r="H886" s="21">
        <v>0.0</v>
      </c>
      <c r="I886" s="22"/>
      <c r="J886" s="29"/>
      <c r="K886" s="32">
        <v>14280.0</v>
      </c>
      <c r="L886" s="24">
        <v>24000.0</v>
      </c>
      <c r="M886" s="25"/>
      <c r="N886" s="197">
        <v>18000.0</v>
      </c>
      <c r="O886" s="27">
        <f t="shared" si="103"/>
        <v>0.6806722689</v>
      </c>
      <c r="P886" s="28">
        <f t="shared" si="104"/>
        <v>0</v>
      </c>
    </row>
    <row r="887" hidden="1">
      <c r="A887" s="16" t="s">
        <v>1389</v>
      </c>
      <c r="B887" s="198" t="s">
        <v>1390</v>
      </c>
      <c r="C887" s="38"/>
      <c r="D887" s="4"/>
      <c r="E887" s="19"/>
      <c r="F887" s="19">
        <v>0.0</v>
      </c>
      <c r="G887" s="16" t="s">
        <v>1386</v>
      </c>
      <c r="H887" s="21">
        <v>0.0</v>
      </c>
      <c r="I887" s="22"/>
      <c r="J887" s="29"/>
      <c r="K887" s="43">
        <v>21250.0</v>
      </c>
      <c r="L887" s="44">
        <v>30000.0</v>
      </c>
      <c r="M887" s="25"/>
      <c r="N887" s="39"/>
      <c r="O887" s="27">
        <f t="shared" si="103"/>
        <v>0.4117647059</v>
      </c>
      <c r="P887" s="28">
        <f t="shared" si="104"/>
        <v>0</v>
      </c>
    </row>
    <row r="888" hidden="1">
      <c r="A888" s="16" t="s">
        <v>1391</v>
      </c>
      <c r="B888" s="198" t="s">
        <v>1390</v>
      </c>
      <c r="C888" s="38"/>
      <c r="D888" s="4"/>
      <c r="E888" s="19"/>
      <c r="F888" s="19">
        <v>0.0</v>
      </c>
      <c r="G888" s="16" t="s">
        <v>1386</v>
      </c>
      <c r="H888" s="21">
        <v>0.0</v>
      </c>
      <c r="I888" s="22"/>
      <c r="J888" s="29"/>
      <c r="K888" s="32">
        <v>21250.0</v>
      </c>
      <c r="L888" s="24">
        <v>30000.0</v>
      </c>
      <c r="M888" s="25"/>
      <c r="N888" s="39"/>
      <c r="O888" s="27">
        <f t="shared" si="103"/>
        <v>0.4117647059</v>
      </c>
      <c r="P888" s="28">
        <f t="shared" si="104"/>
        <v>0</v>
      </c>
    </row>
    <row r="889" hidden="1">
      <c r="A889" s="16" t="s">
        <v>1392</v>
      </c>
      <c r="B889" s="198" t="s">
        <v>1390</v>
      </c>
      <c r="C889" s="38"/>
      <c r="D889" s="4"/>
      <c r="E889" s="19"/>
      <c r="F889" s="19">
        <v>0.0</v>
      </c>
      <c r="G889" s="16" t="s">
        <v>1386</v>
      </c>
      <c r="H889" s="21">
        <v>0.0</v>
      </c>
      <c r="I889" s="22"/>
      <c r="J889" s="29"/>
      <c r="K889" s="32">
        <v>21250.0</v>
      </c>
      <c r="L889" s="24">
        <v>30000.0</v>
      </c>
      <c r="M889" s="25"/>
      <c r="N889" s="39"/>
      <c r="O889" s="27">
        <f t="shared" si="103"/>
        <v>0.4117647059</v>
      </c>
      <c r="P889" s="28">
        <f t="shared" si="104"/>
        <v>0</v>
      </c>
    </row>
    <row r="890" hidden="1">
      <c r="A890" s="119" t="s">
        <v>1393</v>
      </c>
      <c r="B890" s="51"/>
      <c r="C890" s="18"/>
      <c r="D890" s="4"/>
      <c r="E890" s="19">
        <v>0.0</v>
      </c>
      <c r="F890" s="19">
        <v>0.0</v>
      </c>
      <c r="G890" s="20" t="s">
        <v>1394</v>
      </c>
      <c r="H890" s="73"/>
      <c r="I890" s="22" t="s">
        <v>1395</v>
      </c>
      <c r="J890" s="74"/>
      <c r="K890" s="75">
        <v>3300.0</v>
      </c>
      <c r="L890" s="44">
        <v>5000.0</v>
      </c>
      <c r="M890" s="25"/>
      <c r="N890" s="39"/>
      <c r="O890" s="27">
        <f t="shared" si="103"/>
        <v>0.5151515152</v>
      </c>
      <c r="P890" s="28">
        <f t="shared" si="104"/>
        <v>0</v>
      </c>
    </row>
    <row r="891" hidden="1">
      <c r="A891" s="40" t="s">
        <v>1396</v>
      </c>
      <c r="B891" s="36"/>
      <c r="C891" s="18"/>
      <c r="D891" s="4"/>
      <c r="E891" s="19">
        <v>0.0</v>
      </c>
      <c r="F891" s="19"/>
      <c r="G891" s="16" t="s">
        <v>1397</v>
      </c>
      <c r="H891" s="21"/>
      <c r="I891" s="22"/>
      <c r="J891" s="29"/>
      <c r="K891" s="43">
        <v>50.0</v>
      </c>
      <c r="L891" s="44">
        <v>300.0</v>
      </c>
      <c r="M891" s="25"/>
      <c r="N891" s="39"/>
      <c r="O891" s="27">
        <f t="shared" si="103"/>
        <v>5</v>
      </c>
      <c r="P891" s="28">
        <f t="shared" si="104"/>
        <v>0</v>
      </c>
    </row>
    <row r="892" hidden="1">
      <c r="A892" s="56" t="s">
        <v>1398</v>
      </c>
      <c r="B892" s="49"/>
      <c r="C892" s="18"/>
      <c r="D892" s="4"/>
      <c r="E892" s="19"/>
      <c r="F892" s="19"/>
      <c r="G892" s="20" t="s">
        <v>98</v>
      </c>
      <c r="H892" s="21">
        <v>0.0</v>
      </c>
      <c r="I892" s="22"/>
      <c r="J892" s="29"/>
      <c r="K892" s="32">
        <f>3300*1.19</f>
        <v>3927</v>
      </c>
      <c r="L892" s="24">
        <v>7000.0</v>
      </c>
      <c r="M892" s="25"/>
      <c r="N892" s="102">
        <v>6000.0</v>
      </c>
      <c r="O892" s="27">
        <f t="shared" si="103"/>
        <v>0.7825311943</v>
      </c>
      <c r="P892" s="28">
        <f t="shared" si="104"/>
        <v>0</v>
      </c>
    </row>
    <row r="893" hidden="1">
      <c r="A893" s="16" t="s">
        <v>1399</v>
      </c>
      <c r="B893" s="17"/>
      <c r="C893" s="18"/>
      <c r="D893" s="4"/>
      <c r="E893" s="19"/>
      <c r="F893" s="19"/>
      <c r="G893" s="16" t="s">
        <v>1400</v>
      </c>
      <c r="H893" s="21"/>
      <c r="I893" s="22">
        <v>0.0</v>
      </c>
      <c r="J893" s="29"/>
      <c r="K893" s="32">
        <v>380000.0</v>
      </c>
      <c r="L893" s="24">
        <v>550000.0</v>
      </c>
      <c r="M893" s="25"/>
      <c r="N893" s="39"/>
      <c r="O893" s="27">
        <f t="shared" si="103"/>
        <v>0.4473684211</v>
      </c>
      <c r="P893" s="28">
        <f t="shared" si="104"/>
        <v>0</v>
      </c>
    </row>
    <row r="894" hidden="1">
      <c r="A894" s="16" t="s">
        <v>1401</v>
      </c>
      <c r="B894" s="17"/>
      <c r="C894" s="18"/>
      <c r="D894" s="4"/>
      <c r="E894" s="19">
        <v>0.0</v>
      </c>
      <c r="F894" s="19">
        <v>0.0</v>
      </c>
      <c r="G894" s="16" t="s">
        <v>1402</v>
      </c>
      <c r="H894" s="21"/>
      <c r="I894" s="22"/>
      <c r="J894" s="29"/>
      <c r="K894" s="32">
        <v>235000.0</v>
      </c>
      <c r="L894" s="24">
        <v>320000.0</v>
      </c>
      <c r="M894" s="25"/>
      <c r="N894" s="39"/>
      <c r="O894" s="27"/>
      <c r="P894" s="28"/>
    </row>
    <row r="895" hidden="1">
      <c r="A895" s="16" t="s">
        <v>1403</v>
      </c>
      <c r="B895" s="17"/>
      <c r="C895" s="18"/>
      <c r="D895" s="4"/>
      <c r="E895" s="19">
        <v>0.0</v>
      </c>
      <c r="F895" s="19">
        <v>0.0</v>
      </c>
      <c r="G895" s="16" t="s">
        <v>16</v>
      </c>
      <c r="H895" s="21"/>
      <c r="I895" s="22">
        <v>2.0</v>
      </c>
      <c r="J895" s="29"/>
      <c r="K895" s="32">
        <v>380000.0</v>
      </c>
      <c r="L895" s="24">
        <v>550000.0</v>
      </c>
      <c r="M895" s="25"/>
      <c r="N895" s="102">
        <v>490000.0</v>
      </c>
      <c r="O895" s="27">
        <f t="shared" ref="O895:O948" si="105">(L895/K895)-1</f>
        <v>0.4473684211</v>
      </c>
      <c r="P895" s="28">
        <f t="shared" ref="P895:P902" si="106">K895*F895</f>
        <v>0</v>
      </c>
    </row>
    <row r="896" hidden="1">
      <c r="A896" s="52" t="s">
        <v>1404</v>
      </c>
      <c r="B896" s="36"/>
      <c r="C896" s="18"/>
      <c r="D896" s="4"/>
      <c r="E896" s="19">
        <v>0.0</v>
      </c>
      <c r="F896" s="19">
        <v>0.0</v>
      </c>
      <c r="G896" s="20" t="s">
        <v>563</v>
      </c>
      <c r="H896" s="21"/>
      <c r="I896" s="22">
        <v>2.0</v>
      </c>
      <c r="J896" s="29"/>
      <c r="K896" s="32">
        <f>35000*1.19</f>
        <v>41650</v>
      </c>
      <c r="L896" s="24">
        <v>3500.0</v>
      </c>
      <c r="M896" s="25"/>
      <c r="N896" s="26"/>
      <c r="O896" s="27">
        <f t="shared" si="105"/>
        <v>-0.9159663866</v>
      </c>
      <c r="P896" s="28">
        <f t="shared" si="106"/>
        <v>0</v>
      </c>
    </row>
    <row r="897" hidden="1">
      <c r="A897" s="52" t="s">
        <v>1405</v>
      </c>
      <c r="B897" s="36"/>
      <c r="C897" s="18"/>
      <c r="D897" s="4"/>
      <c r="E897" s="19">
        <v>0.0</v>
      </c>
      <c r="F897" s="19">
        <v>0.0</v>
      </c>
      <c r="G897" s="20" t="s">
        <v>563</v>
      </c>
      <c r="H897" s="21"/>
      <c r="I897" s="22">
        <v>60.0</v>
      </c>
      <c r="J897" s="29"/>
      <c r="K897" s="32">
        <v>1319.0</v>
      </c>
      <c r="L897" s="24">
        <v>3500.0</v>
      </c>
      <c r="M897" s="25"/>
      <c r="N897" s="26"/>
      <c r="O897" s="27">
        <f t="shared" si="105"/>
        <v>1.653525398</v>
      </c>
      <c r="P897" s="28">
        <f t="shared" si="106"/>
        <v>0</v>
      </c>
    </row>
    <row r="898" hidden="1">
      <c r="A898" s="16" t="s">
        <v>1406</v>
      </c>
      <c r="B898" s="36"/>
      <c r="C898" s="18"/>
      <c r="D898" s="199"/>
      <c r="E898" s="19">
        <v>0.0</v>
      </c>
      <c r="F898" s="19">
        <v>0.0</v>
      </c>
      <c r="G898" s="16" t="s">
        <v>1407</v>
      </c>
      <c r="H898" s="21"/>
      <c r="I898" s="22">
        <v>2.0</v>
      </c>
      <c r="J898" s="47">
        <v>46447.0</v>
      </c>
      <c r="K898" s="55">
        <f>10985</f>
        <v>10985</v>
      </c>
      <c r="L898" s="24">
        <v>18000.0</v>
      </c>
      <c r="M898" s="25"/>
      <c r="N898" s="26"/>
      <c r="O898" s="27">
        <f t="shared" si="105"/>
        <v>0.6385980883</v>
      </c>
      <c r="P898" s="28">
        <f t="shared" si="106"/>
        <v>0</v>
      </c>
    </row>
    <row r="899" hidden="1">
      <c r="A899" s="16" t="s">
        <v>1408</v>
      </c>
      <c r="B899" s="49"/>
      <c r="C899" s="18" t="s">
        <v>1409</v>
      </c>
      <c r="D899" s="4"/>
      <c r="E899" s="19"/>
      <c r="F899" s="19"/>
      <c r="G899" s="16" t="s">
        <v>1410</v>
      </c>
      <c r="H899" s="21"/>
      <c r="I899" s="22">
        <v>14.0</v>
      </c>
      <c r="J899" s="23"/>
      <c r="K899" s="55">
        <v>12757.0</v>
      </c>
      <c r="L899" s="55">
        <v>18000.0</v>
      </c>
      <c r="M899" s="25" t="s">
        <v>82</v>
      </c>
      <c r="N899" s="102">
        <v>15000.0</v>
      </c>
      <c r="O899" s="27">
        <f t="shared" si="105"/>
        <v>0.4109900447</v>
      </c>
      <c r="P899" s="28">
        <f t="shared" si="106"/>
        <v>0</v>
      </c>
    </row>
    <row r="900" hidden="1">
      <c r="A900" s="16" t="s">
        <v>1411</v>
      </c>
      <c r="B900" s="49"/>
      <c r="C900" s="18"/>
      <c r="D900" s="4"/>
      <c r="E900" s="19">
        <v>12.0</v>
      </c>
      <c r="F900" s="19"/>
      <c r="G900" s="16" t="s">
        <v>1412</v>
      </c>
      <c r="H900" s="21"/>
      <c r="I900" s="22"/>
      <c r="J900" s="22" t="s">
        <v>1413</v>
      </c>
      <c r="K900" s="55">
        <v>9638.0</v>
      </c>
      <c r="L900" s="55">
        <v>14000.0</v>
      </c>
      <c r="M900" s="25" t="s">
        <v>82</v>
      </c>
      <c r="N900" s="102">
        <v>11000.0</v>
      </c>
      <c r="O900" s="27">
        <f t="shared" si="105"/>
        <v>0.4525835236</v>
      </c>
      <c r="P900" s="28">
        <f t="shared" si="106"/>
        <v>0</v>
      </c>
    </row>
    <row r="901" hidden="1">
      <c r="A901" s="16" t="s">
        <v>1414</v>
      </c>
      <c r="B901" s="17" t="s">
        <v>1415</v>
      </c>
      <c r="C901" s="18" t="s">
        <v>144</v>
      </c>
      <c r="D901" s="4">
        <v>17301.0</v>
      </c>
      <c r="E901" s="19">
        <v>0.0</v>
      </c>
      <c r="F901" s="19"/>
      <c r="G901" s="16" t="s">
        <v>1416</v>
      </c>
      <c r="H901" s="21">
        <v>4.0</v>
      </c>
      <c r="I901" s="22"/>
      <c r="J901" s="23"/>
      <c r="K901" s="24">
        <v>16995.0</v>
      </c>
      <c r="L901" s="24">
        <v>26000.0</v>
      </c>
      <c r="M901" s="25"/>
      <c r="N901" s="39"/>
      <c r="O901" s="27">
        <f t="shared" si="105"/>
        <v>0.529861724</v>
      </c>
      <c r="P901" s="28">
        <f t="shared" si="106"/>
        <v>0</v>
      </c>
    </row>
    <row r="902" hidden="1">
      <c r="A902" s="16" t="s">
        <v>1417</v>
      </c>
      <c r="B902" s="17"/>
      <c r="C902" s="18"/>
      <c r="D902" s="199"/>
      <c r="E902" s="19">
        <v>0.0</v>
      </c>
      <c r="F902" s="19">
        <v>0.0</v>
      </c>
      <c r="G902" s="20" t="s">
        <v>78</v>
      </c>
      <c r="H902" s="21">
        <v>1.0</v>
      </c>
      <c r="I902" s="22">
        <v>5.0</v>
      </c>
      <c r="J902" s="23"/>
      <c r="K902" s="24">
        <v>14500.0</v>
      </c>
      <c r="L902" s="24">
        <v>26000.0</v>
      </c>
      <c r="M902" s="25"/>
      <c r="N902" s="39"/>
      <c r="O902" s="27">
        <f t="shared" si="105"/>
        <v>0.7931034483</v>
      </c>
      <c r="P902" s="28">
        <f t="shared" si="106"/>
        <v>0</v>
      </c>
    </row>
    <row r="903" hidden="1">
      <c r="A903" s="52" t="s">
        <v>1418</v>
      </c>
      <c r="B903" s="36"/>
      <c r="C903" s="18"/>
      <c r="D903" s="4"/>
      <c r="E903" s="19">
        <v>0.0</v>
      </c>
      <c r="F903" s="19">
        <v>12.0</v>
      </c>
      <c r="G903" s="20" t="s">
        <v>377</v>
      </c>
      <c r="H903" s="21"/>
      <c r="I903" s="22">
        <v>0.0</v>
      </c>
      <c r="J903" s="47"/>
      <c r="K903" s="32">
        <f>19000*1.19</f>
        <v>22610</v>
      </c>
      <c r="L903" s="24">
        <v>28000.0</v>
      </c>
      <c r="M903" s="25"/>
      <c r="N903" s="39"/>
      <c r="O903" s="27">
        <f t="shared" si="105"/>
        <v>0.2383900929</v>
      </c>
      <c r="P903" s="28"/>
    </row>
    <row r="904" hidden="1">
      <c r="A904" s="42" t="s">
        <v>1419</v>
      </c>
      <c r="B904" s="17"/>
      <c r="C904" s="18"/>
      <c r="D904" s="4"/>
      <c r="E904" s="19">
        <v>0.0</v>
      </c>
      <c r="F904" s="19">
        <v>0.0</v>
      </c>
      <c r="G904" s="54" t="s">
        <v>102</v>
      </c>
      <c r="H904" s="21"/>
      <c r="I904" s="22">
        <v>2.0</v>
      </c>
      <c r="J904" s="29"/>
      <c r="K904" s="48">
        <v>33478.0</v>
      </c>
      <c r="L904" s="55">
        <v>48000.0</v>
      </c>
      <c r="M904" s="25"/>
      <c r="N904" s="39"/>
      <c r="O904" s="27">
        <f t="shared" si="105"/>
        <v>0.4337774061</v>
      </c>
      <c r="P904" s="28">
        <f t="shared" ref="P904:P928" si="107">K904*F904</f>
        <v>0</v>
      </c>
    </row>
    <row r="905" hidden="1">
      <c r="A905" s="42" t="s">
        <v>1420</v>
      </c>
      <c r="B905" s="36">
        <v>29674.0</v>
      </c>
      <c r="C905" s="18"/>
      <c r="D905" s="4"/>
      <c r="E905" s="19">
        <v>1.0</v>
      </c>
      <c r="F905" s="77">
        <v>0.0</v>
      </c>
      <c r="G905" s="20" t="s">
        <v>14</v>
      </c>
      <c r="H905" s="21">
        <v>1.0</v>
      </c>
      <c r="I905" s="22">
        <v>0.0</v>
      </c>
      <c r="J905" s="29"/>
      <c r="K905" s="48">
        <v>69900.0</v>
      </c>
      <c r="L905" s="55">
        <v>89000.0</v>
      </c>
      <c r="M905" s="25"/>
      <c r="N905" s="102">
        <v>79000.0</v>
      </c>
      <c r="O905" s="27">
        <f t="shared" si="105"/>
        <v>0.2732474964</v>
      </c>
      <c r="P905" s="28">
        <f t="shared" si="107"/>
        <v>0</v>
      </c>
    </row>
    <row r="906" hidden="1">
      <c r="A906" s="52" t="s">
        <v>1421</v>
      </c>
      <c r="B906" s="36"/>
      <c r="C906" s="18" t="s">
        <v>1422</v>
      </c>
      <c r="D906" s="4"/>
      <c r="E906" s="19">
        <v>0.0</v>
      </c>
      <c r="F906" s="19">
        <v>0.0</v>
      </c>
      <c r="G906" s="16" t="s">
        <v>1423</v>
      </c>
      <c r="H906" s="21"/>
      <c r="I906" s="22"/>
      <c r="J906" s="47">
        <v>46508.0</v>
      </c>
      <c r="K906" s="60">
        <v>7961.0</v>
      </c>
      <c r="L906" s="55">
        <v>8000.0</v>
      </c>
      <c r="M906" s="25"/>
      <c r="N906" s="39"/>
      <c r="O906" s="27">
        <f t="shared" si="105"/>
        <v>0.00489888205</v>
      </c>
      <c r="P906" s="28">
        <f t="shared" si="107"/>
        <v>0</v>
      </c>
    </row>
    <row r="907" hidden="1">
      <c r="A907" s="52" t="s">
        <v>1424</v>
      </c>
      <c r="B907" s="36"/>
      <c r="C907" s="18"/>
      <c r="D907" s="4"/>
      <c r="E907" s="19">
        <v>0.0</v>
      </c>
      <c r="F907" s="19">
        <v>0.0</v>
      </c>
      <c r="G907" s="16" t="s">
        <v>1423</v>
      </c>
      <c r="H907" s="21"/>
      <c r="I907" s="22">
        <v>20.0</v>
      </c>
      <c r="J907" s="29"/>
      <c r="K907" s="43">
        <v>5114.0</v>
      </c>
      <c r="L907" s="24">
        <v>8000.0</v>
      </c>
      <c r="M907" s="25" t="s">
        <v>82</v>
      </c>
      <c r="N907" s="39"/>
      <c r="O907" s="27">
        <f t="shared" si="105"/>
        <v>0.564333203</v>
      </c>
      <c r="P907" s="200">
        <f t="shared" si="107"/>
        <v>0</v>
      </c>
    </row>
    <row r="908" hidden="1">
      <c r="A908" s="16" t="s">
        <v>1425</v>
      </c>
      <c r="B908" s="17"/>
      <c r="C908" s="18"/>
      <c r="D908" s="4"/>
      <c r="E908" s="19">
        <v>0.0</v>
      </c>
      <c r="F908" s="19">
        <v>0.0</v>
      </c>
      <c r="G908" s="20" t="s">
        <v>286</v>
      </c>
      <c r="H908" s="21"/>
      <c r="I908" s="22">
        <v>0.0</v>
      </c>
      <c r="J908" s="29"/>
      <c r="K908" s="43">
        <v>17136.0</v>
      </c>
      <c r="L908" s="44">
        <v>23000.0</v>
      </c>
      <c r="M908" s="25"/>
      <c r="N908" s="39"/>
      <c r="O908" s="27">
        <f t="shared" si="105"/>
        <v>0.3422035481</v>
      </c>
      <c r="P908" s="28">
        <f t="shared" si="107"/>
        <v>0</v>
      </c>
    </row>
    <row r="909" hidden="1">
      <c r="A909" s="16" t="s">
        <v>1426</v>
      </c>
      <c r="B909" s="17"/>
      <c r="C909" s="18"/>
      <c r="D909" s="4"/>
      <c r="E909" s="19">
        <v>0.0</v>
      </c>
      <c r="F909" s="19">
        <v>0.0</v>
      </c>
      <c r="G909" s="20" t="s">
        <v>286</v>
      </c>
      <c r="H909" s="21"/>
      <c r="I909" s="22">
        <v>0.0</v>
      </c>
      <c r="J909" s="29"/>
      <c r="K909" s="43">
        <v>18445.0</v>
      </c>
      <c r="L909" s="44">
        <v>23000.0</v>
      </c>
      <c r="M909" s="25"/>
      <c r="N909" s="39"/>
      <c r="O909" s="27">
        <f t="shared" si="105"/>
        <v>0.2469503931</v>
      </c>
      <c r="P909" s="28">
        <f t="shared" si="107"/>
        <v>0</v>
      </c>
    </row>
    <row r="910" hidden="1">
      <c r="A910" s="52" t="s">
        <v>1427</v>
      </c>
      <c r="B910" s="36" t="s">
        <v>1428</v>
      </c>
      <c r="C910" s="18"/>
      <c r="D910" s="4"/>
      <c r="E910" s="19">
        <v>0.0</v>
      </c>
      <c r="F910" s="19"/>
      <c r="G910" s="20" t="s">
        <v>1429</v>
      </c>
      <c r="H910" s="21"/>
      <c r="I910" s="22"/>
      <c r="J910" s="29"/>
      <c r="K910" s="48">
        <f t="shared" ref="K910:K911" si="108">2800*0.95*1.19</f>
        <v>3165.4</v>
      </c>
      <c r="L910" s="48">
        <v>8000.0</v>
      </c>
      <c r="M910" s="25"/>
      <c r="N910" s="39"/>
      <c r="O910" s="27">
        <f t="shared" si="105"/>
        <v>1.52732672</v>
      </c>
      <c r="P910" s="28">
        <f t="shared" si="107"/>
        <v>0</v>
      </c>
    </row>
    <row r="911" hidden="1">
      <c r="A911" s="52" t="s">
        <v>1430</v>
      </c>
      <c r="B911" s="36" t="s">
        <v>1428</v>
      </c>
      <c r="C911" s="18"/>
      <c r="D911" s="4"/>
      <c r="E911" s="19">
        <v>0.0</v>
      </c>
      <c r="F911" s="19"/>
      <c r="G911" s="20" t="s">
        <v>1429</v>
      </c>
      <c r="H911" s="21"/>
      <c r="I911" s="22"/>
      <c r="J911" s="29"/>
      <c r="K911" s="48">
        <f t="shared" si="108"/>
        <v>3165.4</v>
      </c>
      <c r="L911" s="48">
        <v>8000.0</v>
      </c>
      <c r="M911" s="25"/>
      <c r="N911" s="39"/>
      <c r="O911" s="27">
        <f t="shared" si="105"/>
        <v>1.52732672</v>
      </c>
      <c r="P911" s="28">
        <f t="shared" si="107"/>
        <v>0</v>
      </c>
    </row>
    <row r="912" hidden="1">
      <c r="A912" s="16" t="s">
        <v>1431</v>
      </c>
      <c r="B912" s="36"/>
      <c r="C912" s="18"/>
      <c r="D912" s="4"/>
      <c r="E912" s="19"/>
      <c r="F912" s="19"/>
      <c r="G912" s="16" t="s">
        <v>88</v>
      </c>
      <c r="H912" s="21"/>
      <c r="I912" s="22">
        <v>0.0</v>
      </c>
      <c r="J912" s="47">
        <v>45809.0</v>
      </c>
      <c r="K912" s="43">
        <f>9244*1.19</f>
        <v>11000.36</v>
      </c>
      <c r="L912" s="43">
        <v>17000.0</v>
      </c>
      <c r="M912" s="25"/>
      <c r="N912" s="39"/>
      <c r="O912" s="27">
        <f t="shared" si="105"/>
        <v>0.5454039686</v>
      </c>
      <c r="P912" s="28">
        <f t="shared" si="107"/>
        <v>0</v>
      </c>
    </row>
    <row r="913" hidden="1">
      <c r="A913" s="16" t="s">
        <v>1432</v>
      </c>
      <c r="B913" s="17"/>
      <c r="C913" s="18"/>
      <c r="D913" s="4"/>
      <c r="E913" s="19">
        <v>0.0</v>
      </c>
      <c r="F913" s="19">
        <v>0.0</v>
      </c>
      <c r="G913" s="54" t="s">
        <v>102</v>
      </c>
      <c r="H913" s="21"/>
      <c r="I913" s="22">
        <v>0.0</v>
      </c>
      <c r="J913" s="29"/>
      <c r="K913" s="43">
        <v>32500.0</v>
      </c>
      <c r="L913" s="44">
        <v>50000.0</v>
      </c>
      <c r="M913" s="25"/>
      <c r="N913" s="39"/>
      <c r="O913" s="27">
        <f t="shared" si="105"/>
        <v>0.5384615385</v>
      </c>
      <c r="P913" s="28">
        <f t="shared" si="107"/>
        <v>0</v>
      </c>
    </row>
    <row r="914" hidden="1">
      <c r="A914" s="16" t="s">
        <v>1433</v>
      </c>
      <c r="B914" s="17"/>
      <c r="C914" s="18"/>
      <c r="D914" s="4"/>
      <c r="E914" s="19">
        <v>0.0</v>
      </c>
      <c r="F914" s="19">
        <v>0.0</v>
      </c>
      <c r="G914" s="54" t="s">
        <v>102</v>
      </c>
      <c r="H914" s="21"/>
      <c r="I914" s="22">
        <v>0.0</v>
      </c>
      <c r="J914" s="29"/>
      <c r="K914" s="43">
        <v>32500.0</v>
      </c>
      <c r="L914" s="44">
        <v>50000.0</v>
      </c>
      <c r="M914" s="25"/>
      <c r="N914" s="102"/>
      <c r="O914" s="27">
        <f t="shared" si="105"/>
        <v>0.5384615385</v>
      </c>
      <c r="P914" s="28">
        <f t="shared" si="107"/>
        <v>0</v>
      </c>
    </row>
    <row r="915" hidden="1">
      <c r="A915" s="16" t="s">
        <v>1434</v>
      </c>
      <c r="B915" s="17"/>
      <c r="C915" s="158"/>
      <c r="D915" s="67"/>
      <c r="E915" s="19"/>
      <c r="F915" s="19"/>
      <c r="G915" s="40" t="s">
        <v>1435</v>
      </c>
      <c r="H915" s="21"/>
      <c r="I915" s="22">
        <v>3.0</v>
      </c>
      <c r="J915" s="47">
        <v>45901.0</v>
      </c>
      <c r="K915" s="24">
        <v>48000.0</v>
      </c>
      <c r="L915" s="24">
        <v>64000.0</v>
      </c>
      <c r="M915" s="25"/>
      <c r="N915" s="102">
        <v>54000.0</v>
      </c>
      <c r="O915" s="27">
        <f t="shared" si="105"/>
        <v>0.3333333333</v>
      </c>
      <c r="P915" s="28">
        <f t="shared" si="107"/>
        <v>0</v>
      </c>
    </row>
    <row r="916" hidden="1">
      <c r="A916" s="16" t="s">
        <v>1436</v>
      </c>
      <c r="B916" s="17"/>
      <c r="C916" s="158"/>
      <c r="D916" s="67"/>
      <c r="E916" s="19"/>
      <c r="F916" s="19"/>
      <c r="G916" s="40" t="s">
        <v>1435</v>
      </c>
      <c r="H916" s="21"/>
      <c r="I916" s="22">
        <v>4.0</v>
      </c>
      <c r="J916" s="94"/>
      <c r="K916" s="24">
        <v>48000.0</v>
      </c>
      <c r="L916" s="24">
        <v>64000.0</v>
      </c>
      <c r="M916" s="25"/>
      <c r="N916" s="102">
        <v>54000.0</v>
      </c>
      <c r="O916" s="27">
        <f t="shared" si="105"/>
        <v>0.3333333333</v>
      </c>
      <c r="P916" s="28">
        <f t="shared" si="107"/>
        <v>0</v>
      </c>
    </row>
    <row r="917" hidden="1">
      <c r="A917" s="16" t="s">
        <v>1437</v>
      </c>
      <c r="B917" s="17"/>
      <c r="C917" s="158"/>
      <c r="D917" s="67"/>
      <c r="E917" s="19"/>
      <c r="F917" s="19"/>
      <c r="G917" s="40" t="s">
        <v>1435</v>
      </c>
      <c r="H917" s="21"/>
      <c r="I917" s="22">
        <v>6.0</v>
      </c>
      <c r="J917" s="58">
        <v>46327.0</v>
      </c>
      <c r="K917" s="24">
        <v>48000.0</v>
      </c>
      <c r="L917" s="24">
        <v>64000.0</v>
      </c>
      <c r="M917" s="25"/>
      <c r="N917" s="102">
        <v>54000.0</v>
      </c>
      <c r="O917" s="27">
        <f t="shared" si="105"/>
        <v>0.3333333333</v>
      </c>
      <c r="P917" s="28">
        <f t="shared" si="107"/>
        <v>0</v>
      </c>
    </row>
    <row r="918" hidden="1">
      <c r="A918" s="16" t="s">
        <v>1438</v>
      </c>
      <c r="B918" s="17"/>
      <c r="C918" s="158"/>
      <c r="D918" s="67"/>
      <c r="E918" s="19"/>
      <c r="F918" s="19"/>
      <c r="G918" s="40" t="s">
        <v>1435</v>
      </c>
      <c r="H918" s="21"/>
      <c r="I918" s="22">
        <v>40.0</v>
      </c>
      <c r="J918" s="58">
        <v>46327.0</v>
      </c>
      <c r="K918" s="24">
        <v>48000.0</v>
      </c>
      <c r="L918" s="24">
        <v>64000.0</v>
      </c>
      <c r="M918" s="25"/>
      <c r="N918" s="102">
        <v>54000.0</v>
      </c>
      <c r="O918" s="27">
        <f t="shared" si="105"/>
        <v>0.3333333333</v>
      </c>
      <c r="P918" s="28">
        <f t="shared" si="107"/>
        <v>0</v>
      </c>
    </row>
    <row r="919" hidden="1">
      <c r="A919" s="16" t="s">
        <v>1439</v>
      </c>
      <c r="B919" s="17"/>
      <c r="C919" s="158"/>
      <c r="D919" s="67"/>
      <c r="E919" s="19"/>
      <c r="F919" s="19"/>
      <c r="G919" s="40" t="s">
        <v>1435</v>
      </c>
      <c r="H919" s="21"/>
      <c r="I919" s="22">
        <v>45.0</v>
      </c>
      <c r="J919" s="22" t="s">
        <v>1440</v>
      </c>
      <c r="K919" s="24">
        <v>48000.0</v>
      </c>
      <c r="L919" s="24">
        <v>64000.0</v>
      </c>
      <c r="M919" s="25"/>
      <c r="N919" s="102">
        <v>54000.0</v>
      </c>
      <c r="O919" s="27">
        <f t="shared" si="105"/>
        <v>0.3333333333</v>
      </c>
      <c r="P919" s="28">
        <f t="shared" si="107"/>
        <v>0</v>
      </c>
    </row>
    <row r="920" hidden="1">
      <c r="A920" s="16" t="s">
        <v>1441</v>
      </c>
      <c r="B920" s="17"/>
      <c r="C920" s="68"/>
      <c r="D920" s="4"/>
      <c r="E920" s="19">
        <v>0.0</v>
      </c>
      <c r="F920" s="19">
        <v>0.0</v>
      </c>
      <c r="G920" s="20" t="s">
        <v>468</v>
      </c>
      <c r="H920" s="21">
        <v>1.0</v>
      </c>
      <c r="I920" s="22">
        <v>3.0</v>
      </c>
      <c r="J920" s="45"/>
      <c r="K920" s="32">
        <f t="shared" ref="K920:K922" si="109">54613</f>
        <v>54613</v>
      </c>
      <c r="L920" s="24">
        <v>85000.0</v>
      </c>
      <c r="M920" s="25" t="s">
        <v>82</v>
      </c>
      <c r="N920" s="102">
        <v>62000.0</v>
      </c>
      <c r="O920" s="27">
        <f t="shared" si="105"/>
        <v>0.5564059839</v>
      </c>
      <c r="P920" s="28">
        <f t="shared" si="107"/>
        <v>0</v>
      </c>
    </row>
    <row r="921" hidden="1">
      <c r="A921" s="16" t="s">
        <v>1442</v>
      </c>
      <c r="B921" s="17"/>
      <c r="C921" s="18"/>
      <c r="D921" s="4"/>
      <c r="E921" s="19">
        <v>0.0</v>
      </c>
      <c r="F921" s="77">
        <v>0.0</v>
      </c>
      <c r="G921" s="20" t="s">
        <v>468</v>
      </c>
      <c r="H921" s="21">
        <v>1.0</v>
      </c>
      <c r="I921" s="22">
        <v>2.0</v>
      </c>
      <c r="J921" s="45"/>
      <c r="K921" s="32">
        <f t="shared" si="109"/>
        <v>54613</v>
      </c>
      <c r="L921" s="24">
        <v>85000.0</v>
      </c>
      <c r="M921" s="25" t="s">
        <v>76</v>
      </c>
      <c r="N921" s="102">
        <v>62000.0</v>
      </c>
      <c r="O921" s="27">
        <f t="shared" si="105"/>
        <v>0.5564059839</v>
      </c>
      <c r="P921" s="28">
        <f t="shared" si="107"/>
        <v>0</v>
      </c>
    </row>
    <row r="922" hidden="1">
      <c r="A922" s="16" t="s">
        <v>1443</v>
      </c>
      <c r="B922" s="17"/>
      <c r="C922" s="18"/>
      <c r="D922" s="4"/>
      <c r="E922" s="19">
        <v>0.0</v>
      </c>
      <c r="F922" s="77">
        <v>0.0</v>
      </c>
      <c r="G922" s="20" t="s">
        <v>468</v>
      </c>
      <c r="H922" s="21">
        <v>3.0</v>
      </c>
      <c r="I922" s="22">
        <v>1.0</v>
      </c>
      <c r="J922" s="29"/>
      <c r="K922" s="32">
        <f t="shared" si="109"/>
        <v>54613</v>
      </c>
      <c r="L922" s="24">
        <v>85000.0</v>
      </c>
      <c r="M922" s="25" t="s">
        <v>82</v>
      </c>
      <c r="N922" s="102">
        <v>62000.0</v>
      </c>
      <c r="O922" s="27">
        <f t="shared" si="105"/>
        <v>0.5564059839</v>
      </c>
      <c r="P922" s="28">
        <f t="shared" si="107"/>
        <v>0</v>
      </c>
    </row>
    <row r="923" hidden="1">
      <c r="A923" s="16" t="s">
        <v>1444</v>
      </c>
      <c r="B923" s="17"/>
      <c r="C923" s="18"/>
      <c r="D923" s="4"/>
      <c r="E923" s="19">
        <v>0.0</v>
      </c>
      <c r="F923" s="77">
        <v>0.0</v>
      </c>
      <c r="G923" s="20" t="s">
        <v>468</v>
      </c>
      <c r="H923" s="21">
        <v>0.0</v>
      </c>
      <c r="I923" s="22">
        <v>0.0</v>
      </c>
      <c r="J923" s="45"/>
      <c r="K923" s="46">
        <v>54613.0</v>
      </c>
      <c r="L923" s="24">
        <v>85000.0</v>
      </c>
      <c r="M923" s="25" t="s">
        <v>82</v>
      </c>
      <c r="N923" s="39"/>
      <c r="O923" s="27">
        <f t="shared" si="105"/>
        <v>0.5564059839</v>
      </c>
      <c r="P923" s="28">
        <f t="shared" si="107"/>
        <v>0</v>
      </c>
    </row>
    <row r="924" hidden="1">
      <c r="A924" s="16" t="s">
        <v>1445</v>
      </c>
      <c r="B924" s="17"/>
      <c r="C924" s="18"/>
      <c r="D924" s="4"/>
      <c r="E924" s="19">
        <v>0.0</v>
      </c>
      <c r="F924" s="19">
        <v>0.0</v>
      </c>
      <c r="G924" s="20" t="s">
        <v>286</v>
      </c>
      <c r="H924" s="21"/>
      <c r="I924" s="22">
        <v>0.0</v>
      </c>
      <c r="J924" s="29"/>
      <c r="K924" s="43">
        <v>4600.0</v>
      </c>
      <c r="L924" s="44">
        <v>8000.0</v>
      </c>
      <c r="M924" s="25"/>
      <c r="N924" s="39"/>
      <c r="O924" s="27">
        <f t="shared" si="105"/>
        <v>0.7391304348</v>
      </c>
      <c r="P924" s="28">
        <f t="shared" si="107"/>
        <v>0</v>
      </c>
    </row>
    <row r="925" hidden="1">
      <c r="A925" s="16" t="s">
        <v>1446</v>
      </c>
      <c r="B925" s="36"/>
      <c r="C925" s="18"/>
      <c r="D925" s="4"/>
      <c r="E925" s="19">
        <v>2.0</v>
      </c>
      <c r="F925" s="19"/>
      <c r="G925" s="16" t="s">
        <v>1412</v>
      </c>
      <c r="H925" s="21"/>
      <c r="I925" s="22"/>
      <c r="J925" s="29"/>
      <c r="K925" s="48">
        <v>4935.0</v>
      </c>
      <c r="L925" s="55">
        <v>8000.0</v>
      </c>
      <c r="M925" s="25" t="s">
        <v>76</v>
      </c>
      <c r="N925" s="39"/>
      <c r="O925" s="27">
        <f t="shared" si="105"/>
        <v>0.6210739615</v>
      </c>
      <c r="P925" s="28">
        <f t="shared" si="107"/>
        <v>0</v>
      </c>
    </row>
    <row r="926" hidden="1">
      <c r="A926" s="16" t="s">
        <v>1447</v>
      </c>
      <c r="B926" s="49" t="s">
        <v>1448</v>
      </c>
      <c r="C926" s="18"/>
      <c r="D926" s="4"/>
      <c r="E926" s="19">
        <v>15.0</v>
      </c>
      <c r="F926" s="19">
        <v>20.0</v>
      </c>
      <c r="G926" s="16" t="s">
        <v>1449</v>
      </c>
      <c r="H926" s="21"/>
      <c r="I926" s="22">
        <v>4.0</v>
      </c>
      <c r="J926" s="29"/>
      <c r="K926" s="48">
        <f>5095</f>
        <v>5095</v>
      </c>
      <c r="L926" s="48">
        <v>8000.0</v>
      </c>
      <c r="M926" s="25" t="s">
        <v>76</v>
      </c>
      <c r="N926" s="39"/>
      <c r="O926" s="27">
        <f t="shared" si="105"/>
        <v>0.5701668302</v>
      </c>
      <c r="P926" s="28">
        <f t="shared" si="107"/>
        <v>101900</v>
      </c>
    </row>
    <row r="927" hidden="1">
      <c r="A927" s="16" t="s">
        <v>1450</v>
      </c>
      <c r="B927" s="49" t="s">
        <v>1451</v>
      </c>
      <c r="C927" s="18"/>
      <c r="D927" s="4"/>
      <c r="E927" s="19"/>
      <c r="F927" s="19"/>
      <c r="G927" s="16" t="s">
        <v>88</v>
      </c>
      <c r="H927" s="21"/>
      <c r="I927" s="22">
        <v>55.0</v>
      </c>
      <c r="J927" s="47">
        <v>46174.0</v>
      </c>
      <c r="K927" s="32">
        <v>4040.0</v>
      </c>
      <c r="L927" s="24">
        <v>8000.0</v>
      </c>
      <c r="M927" s="25" t="s">
        <v>76</v>
      </c>
      <c r="N927" s="39"/>
      <c r="O927" s="27">
        <f t="shared" si="105"/>
        <v>0.9801980198</v>
      </c>
      <c r="P927" s="28">
        <f t="shared" si="107"/>
        <v>0</v>
      </c>
    </row>
    <row r="928" hidden="1">
      <c r="A928" s="16" t="s">
        <v>1452</v>
      </c>
      <c r="B928" s="51"/>
      <c r="C928" s="18" t="s">
        <v>55</v>
      </c>
      <c r="D928" s="4"/>
      <c r="E928" s="19">
        <v>0.0</v>
      </c>
      <c r="F928" s="19">
        <v>0.0</v>
      </c>
      <c r="G928" s="20" t="s">
        <v>286</v>
      </c>
      <c r="H928" s="21"/>
      <c r="I928" s="22">
        <v>0.0</v>
      </c>
      <c r="J928" s="29"/>
      <c r="K928" s="43">
        <f>77469/100</f>
        <v>774.69</v>
      </c>
      <c r="L928" s="44">
        <v>1500.0</v>
      </c>
      <c r="M928" s="25"/>
      <c r="N928" s="39"/>
      <c r="O928" s="27">
        <f t="shared" si="105"/>
        <v>0.9362583743</v>
      </c>
      <c r="P928" s="28">
        <f t="shared" si="107"/>
        <v>0</v>
      </c>
    </row>
    <row r="929" hidden="1">
      <c r="A929" s="122" t="s">
        <v>1453</v>
      </c>
      <c r="B929" s="17"/>
      <c r="C929" s="18"/>
      <c r="D929" s="4"/>
      <c r="E929" s="19">
        <v>0.0</v>
      </c>
      <c r="F929" s="19">
        <v>0.0</v>
      </c>
      <c r="G929" s="16" t="s">
        <v>659</v>
      </c>
      <c r="H929" s="21"/>
      <c r="I929" s="22">
        <v>9.0</v>
      </c>
      <c r="J929" s="23"/>
      <c r="K929" s="24">
        <f>(20000*1.19)/10</f>
        <v>2380</v>
      </c>
      <c r="L929" s="24">
        <v>4000.0</v>
      </c>
      <c r="M929" s="25"/>
      <c r="N929" s="39"/>
      <c r="O929" s="27">
        <f t="shared" si="105"/>
        <v>0.6806722689</v>
      </c>
      <c r="P929" s="28" t="str">
        <f>K929*#REF!</f>
        <v>#REF!</v>
      </c>
    </row>
    <row r="930" hidden="1">
      <c r="A930" s="16" t="s">
        <v>1454</v>
      </c>
      <c r="B930" s="17"/>
      <c r="C930" s="18"/>
      <c r="D930" s="4"/>
      <c r="E930" s="19"/>
      <c r="F930" s="19">
        <v>0.0</v>
      </c>
      <c r="G930" s="16" t="s">
        <v>1455</v>
      </c>
      <c r="H930" s="21"/>
      <c r="I930" s="22"/>
      <c r="J930" s="47">
        <v>46844.0</v>
      </c>
      <c r="K930" s="32">
        <v>25000.0</v>
      </c>
      <c r="L930" s="32">
        <v>38000.0</v>
      </c>
      <c r="M930" s="25"/>
      <c r="N930" s="102">
        <v>32000.0</v>
      </c>
      <c r="O930" s="27">
        <f t="shared" si="105"/>
        <v>0.52</v>
      </c>
      <c r="P930" s="28">
        <f t="shared" ref="P930:P954" si="110">K930*F930</f>
        <v>0</v>
      </c>
    </row>
    <row r="931" hidden="1">
      <c r="A931" s="16" t="s">
        <v>1456</v>
      </c>
      <c r="B931" s="17"/>
      <c r="C931" s="18"/>
      <c r="D931" s="4"/>
      <c r="E931" s="19"/>
      <c r="F931" s="19">
        <v>0.0</v>
      </c>
      <c r="G931" s="16" t="s">
        <v>1455</v>
      </c>
      <c r="H931" s="21"/>
      <c r="I931" s="22"/>
      <c r="J931" s="47">
        <v>46844.0</v>
      </c>
      <c r="K931" s="32">
        <v>25000.0</v>
      </c>
      <c r="L931" s="32">
        <v>38000.0</v>
      </c>
      <c r="M931" s="25"/>
      <c r="N931" s="102">
        <v>32000.0</v>
      </c>
      <c r="O931" s="27">
        <f t="shared" si="105"/>
        <v>0.52</v>
      </c>
      <c r="P931" s="28">
        <f t="shared" si="110"/>
        <v>0</v>
      </c>
    </row>
    <row r="932" hidden="1">
      <c r="A932" s="16" t="s">
        <v>1457</v>
      </c>
      <c r="B932" s="17"/>
      <c r="C932" s="18"/>
      <c r="D932" s="4"/>
      <c r="E932" s="19"/>
      <c r="F932" s="19">
        <v>0.0</v>
      </c>
      <c r="G932" s="16" t="s">
        <v>1455</v>
      </c>
      <c r="H932" s="21"/>
      <c r="I932" s="22"/>
      <c r="J932" s="58">
        <v>47088.0</v>
      </c>
      <c r="K932" s="32">
        <v>25000.0</v>
      </c>
      <c r="L932" s="32">
        <v>38000.0</v>
      </c>
      <c r="M932" s="25"/>
      <c r="N932" s="102">
        <v>32000.0</v>
      </c>
      <c r="O932" s="27">
        <f t="shared" si="105"/>
        <v>0.52</v>
      </c>
      <c r="P932" s="28">
        <f t="shared" si="110"/>
        <v>0</v>
      </c>
    </row>
    <row r="933" hidden="1">
      <c r="A933" s="16" t="s">
        <v>1458</v>
      </c>
      <c r="B933" s="17"/>
      <c r="C933" s="18"/>
      <c r="D933" s="4"/>
      <c r="E933" s="19"/>
      <c r="F933" s="19">
        <v>0.0</v>
      </c>
      <c r="G933" s="16" t="s">
        <v>1455</v>
      </c>
      <c r="H933" s="21"/>
      <c r="I933" s="22"/>
      <c r="J933" s="58">
        <v>47088.0</v>
      </c>
      <c r="K933" s="32">
        <v>25000.0</v>
      </c>
      <c r="L933" s="32">
        <v>52000.0</v>
      </c>
      <c r="M933" s="25"/>
      <c r="N933" s="102">
        <v>32000.0</v>
      </c>
      <c r="O933" s="27">
        <f t="shared" si="105"/>
        <v>1.08</v>
      </c>
      <c r="P933" s="28">
        <f t="shared" si="110"/>
        <v>0</v>
      </c>
    </row>
    <row r="934" hidden="1">
      <c r="A934" s="59" t="s">
        <v>1459</v>
      </c>
      <c r="B934" s="134" t="s">
        <v>1460</v>
      </c>
      <c r="C934" s="18"/>
      <c r="D934" s="4"/>
      <c r="E934" s="19"/>
      <c r="F934" s="19">
        <v>0.0</v>
      </c>
      <c r="G934" s="20" t="s">
        <v>1461</v>
      </c>
      <c r="H934" s="21"/>
      <c r="I934" s="22"/>
      <c r="J934" s="23"/>
      <c r="K934" s="24">
        <v>257000.0</v>
      </c>
      <c r="L934" s="24">
        <v>340000.0</v>
      </c>
      <c r="M934" s="25"/>
      <c r="N934" s="39"/>
      <c r="O934" s="27">
        <f t="shared" si="105"/>
        <v>0.3229571984</v>
      </c>
      <c r="P934" s="28">
        <f t="shared" si="110"/>
        <v>0</v>
      </c>
    </row>
    <row r="935" hidden="1">
      <c r="A935" s="59" t="s">
        <v>1462</v>
      </c>
      <c r="B935" s="134" t="s">
        <v>1463</v>
      </c>
      <c r="C935" s="18" t="s">
        <v>1464</v>
      </c>
      <c r="D935" s="4"/>
      <c r="E935" s="19"/>
      <c r="F935" s="19">
        <v>0.0</v>
      </c>
      <c r="G935" s="20" t="s">
        <v>1461</v>
      </c>
      <c r="H935" s="21"/>
      <c r="I935" s="22"/>
      <c r="J935" s="29"/>
      <c r="K935" s="43">
        <v>55000.0</v>
      </c>
      <c r="L935" s="44">
        <v>90000.0</v>
      </c>
      <c r="M935" s="25"/>
      <c r="N935" s="39"/>
      <c r="O935" s="27">
        <f t="shared" si="105"/>
        <v>0.6363636364</v>
      </c>
      <c r="P935" s="28">
        <f t="shared" si="110"/>
        <v>0</v>
      </c>
    </row>
    <row r="936" hidden="1">
      <c r="A936" s="59" t="s">
        <v>1465</v>
      </c>
      <c r="B936" s="134" t="s">
        <v>1460</v>
      </c>
      <c r="C936" s="18" t="s">
        <v>1466</v>
      </c>
      <c r="D936" s="4"/>
      <c r="E936" s="19"/>
      <c r="F936" s="19">
        <v>0.0</v>
      </c>
      <c r="G936" s="20" t="s">
        <v>1461</v>
      </c>
      <c r="H936" s="21"/>
      <c r="I936" s="22"/>
      <c r="J936" s="29"/>
      <c r="K936" s="48">
        <v>138050.0</v>
      </c>
      <c r="L936" s="55">
        <v>174000.0</v>
      </c>
      <c r="M936" s="25"/>
      <c r="N936" s="39"/>
      <c r="O936" s="27">
        <f t="shared" si="105"/>
        <v>0.2604128939</v>
      </c>
      <c r="P936" s="28">
        <f t="shared" si="110"/>
        <v>0</v>
      </c>
    </row>
    <row r="937" hidden="1">
      <c r="A937" s="59" t="s">
        <v>1467</v>
      </c>
      <c r="B937" s="134" t="s">
        <v>1460</v>
      </c>
      <c r="C937" s="18" t="s">
        <v>1466</v>
      </c>
      <c r="D937" s="4"/>
      <c r="E937" s="19"/>
      <c r="F937" s="19">
        <v>0.0</v>
      </c>
      <c r="G937" s="20" t="s">
        <v>1461</v>
      </c>
      <c r="H937" s="21"/>
      <c r="I937" s="22"/>
      <c r="J937" s="29"/>
      <c r="K937" s="48">
        <v>138050.0</v>
      </c>
      <c r="L937" s="55">
        <v>174000.0</v>
      </c>
      <c r="M937" s="25"/>
      <c r="N937" s="39"/>
      <c r="O937" s="27">
        <f t="shared" si="105"/>
        <v>0.2604128939</v>
      </c>
      <c r="P937" s="28">
        <f t="shared" si="110"/>
        <v>0</v>
      </c>
    </row>
    <row r="938" hidden="1">
      <c r="A938" s="59" t="s">
        <v>1468</v>
      </c>
      <c r="B938" s="134" t="s">
        <v>1460</v>
      </c>
      <c r="C938" s="18" t="s">
        <v>1466</v>
      </c>
      <c r="D938" s="4"/>
      <c r="E938" s="19"/>
      <c r="F938" s="19">
        <v>0.0</v>
      </c>
      <c r="G938" s="20" t="s">
        <v>1461</v>
      </c>
      <c r="H938" s="21"/>
      <c r="I938" s="22"/>
      <c r="J938" s="29"/>
      <c r="K938" s="48">
        <v>138050.0</v>
      </c>
      <c r="L938" s="55">
        <v>174000.0</v>
      </c>
      <c r="M938" s="25"/>
      <c r="N938" s="39"/>
      <c r="O938" s="27">
        <f t="shared" si="105"/>
        <v>0.2604128939</v>
      </c>
      <c r="P938" s="28">
        <f t="shared" si="110"/>
        <v>0</v>
      </c>
    </row>
    <row r="939" hidden="1">
      <c r="A939" s="59" t="s">
        <v>1469</v>
      </c>
      <c r="B939" s="134" t="s">
        <v>1460</v>
      </c>
      <c r="C939" s="18" t="s">
        <v>1466</v>
      </c>
      <c r="D939" s="4"/>
      <c r="E939" s="19"/>
      <c r="F939" s="19">
        <v>0.0</v>
      </c>
      <c r="G939" s="20" t="s">
        <v>1461</v>
      </c>
      <c r="H939" s="21"/>
      <c r="I939" s="22"/>
      <c r="J939" s="29"/>
      <c r="K939" s="48">
        <v>138050.0</v>
      </c>
      <c r="L939" s="55">
        <v>174000.0</v>
      </c>
      <c r="M939" s="25"/>
      <c r="N939" s="39"/>
      <c r="O939" s="27">
        <f t="shared" si="105"/>
        <v>0.2604128939</v>
      </c>
      <c r="P939" s="28">
        <f t="shared" si="110"/>
        <v>0</v>
      </c>
    </row>
    <row r="940" hidden="1">
      <c r="A940" s="59" t="s">
        <v>1470</v>
      </c>
      <c r="B940" s="134" t="s">
        <v>1460</v>
      </c>
      <c r="C940" s="18" t="s">
        <v>1466</v>
      </c>
      <c r="D940" s="4"/>
      <c r="E940" s="19"/>
      <c r="F940" s="19">
        <v>0.0</v>
      </c>
      <c r="G940" s="20" t="s">
        <v>1461</v>
      </c>
      <c r="H940" s="21"/>
      <c r="I940" s="22"/>
      <c r="J940" s="29"/>
      <c r="K940" s="48">
        <v>138050.0</v>
      </c>
      <c r="L940" s="55">
        <v>174000.0</v>
      </c>
      <c r="M940" s="25"/>
      <c r="N940" s="39"/>
      <c r="O940" s="27">
        <f t="shared" si="105"/>
        <v>0.2604128939</v>
      </c>
      <c r="P940" s="28">
        <f t="shared" si="110"/>
        <v>0</v>
      </c>
    </row>
    <row r="941" hidden="1">
      <c r="A941" s="59" t="s">
        <v>1471</v>
      </c>
      <c r="B941" s="134" t="s">
        <v>1460</v>
      </c>
      <c r="C941" s="18" t="s">
        <v>1466</v>
      </c>
      <c r="D941" s="4"/>
      <c r="E941" s="19"/>
      <c r="F941" s="19">
        <v>0.0</v>
      </c>
      <c r="G941" s="20" t="s">
        <v>1461</v>
      </c>
      <c r="H941" s="21"/>
      <c r="I941" s="22"/>
      <c r="J941" s="29"/>
      <c r="K941" s="48">
        <v>138050.0</v>
      </c>
      <c r="L941" s="55">
        <v>174000.0</v>
      </c>
      <c r="M941" s="25"/>
      <c r="N941" s="39"/>
      <c r="O941" s="27">
        <f t="shared" si="105"/>
        <v>0.2604128939</v>
      </c>
      <c r="P941" s="28">
        <f t="shared" si="110"/>
        <v>0</v>
      </c>
    </row>
    <row r="942" hidden="1">
      <c r="A942" s="59" t="s">
        <v>1472</v>
      </c>
      <c r="B942" s="134" t="s">
        <v>1460</v>
      </c>
      <c r="C942" s="18" t="s">
        <v>1466</v>
      </c>
      <c r="D942" s="4"/>
      <c r="E942" s="19"/>
      <c r="F942" s="19">
        <v>0.0</v>
      </c>
      <c r="G942" s="20" t="s">
        <v>1461</v>
      </c>
      <c r="H942" s="21"/>
      <c r="I942" s="22"/>
      <c r="J942" s="29"/>
      <c r="K942" s="48">
        <v>138050.0</v>
      </c>
      <c r="L942" s="55">
        <v>174000.0</v>
      </c>
      <c r="M942" s="25"/>
      <c r="N942" s="39"/>
      <c r="O942" s="27">
        <f t="shared" si="105"/>
        <v>0.2604128939</v>
      </c>
      <c r="P942" s="28">
        <f t="shared" si="110"/>
        <v>0</v>
      </c>
    </row>
    <row r="943" hidden="1">
      <c r="A943" s="59" t="s">
        <v>1473</v>
      </c>
      <c r="B943" s="134" t="s">
        <v>1460</v>
      </c>
      <c r="C943" s="18" t="s">
        <v>1474</v>
      </c>
      <c r="D943" s="4"/>
      <c r="E943" s="19"/>
      <c r="F943" s="19">
        <v>0.0</v>
      </c>
      <c r="G943" s="20" t="s">
        <v>1461</v>
      </c>
      <c r="H943" s="21"/>
      <c r="I943" s="22"/>
      <c r="J943" s="29"/>
      <c r="K943" s="48">
        <v>179950.0</v>
      </c>
      <c r="L943" s="55">
        <v>198000.0</v>
      </c>
      <c r="M943" s="25"/>
      <c r="N943" s="39"/>
      <c r="O943" s="27">
        <f t="shared" si="105"/>
        <v>0.1003056405</v>
      </c>
      <c r="P943" s="28">
        <f t="shared" si="110"/>
        <v>0</v>
      </c>
    </row>
    <row r="944" hidden="1">
      <c r="A944" s="59" t="s">
        <v>1475</v>
      </c>
      <c r="B944" s="134" t="s">
        <v>1460</v>
      </c>
      <c r="C944" s="18" t="s">
        <v>1474</v>
      </c>
      <c r="D944" s="4"/>
      <c r="E944" s="19"/>
      <c r="F944" s="19">
        <v>0.0</v>
      </c>
      <c r="G944" s="20" t="s">
        <v>1461</v>
      </c>
      <c r="H944" s="21"/>
      <c r="I944" s="22"/>
      <c r="J944" s="29"/>
      <c r="K944" s="48">
        <v>179950.0</v>
      </c>
      <c r="L944" s="55">
        <v>198000.0</v>
      </c>
      <c r="M944" s="25"/>
      <c r="N944" s="39"/>
      <c r="O944" s="27">
        <f t="shared" si="105"/>
        <v>0.1003056405</v>
      </c>
      <c r="P944" s="28">
        <f t="shared" si="110"/>
        <v>0</v>
      </c>
    </row>
    <row r="945" hidden="1">
      <c r="A945" s="59" t="s">
        <v>1476</v>
      </c>
      <c r="B945" s="134" t="s">
        <v>1477</v>
      </c>
      <c r="C945" s="18" t="s">
        <v>1464</v>
      </c>
      <c r="D945" s="4"/>
      <c r="E945" s="19"/>
      <c r="F945" s="19">
        <v>0.0</v>
      </c>
      <c r="G945" s="20" t="s">
        <v>1461</v>
      </c>
      <c r="H945" s="21"/>
      <c r="I945" s="22"/>
      <c r="J945" s="29"/>
      <c r="K945" s="201">
        <v>93296.0</v>
      </c>
      <c r="L945" s="202">
        <v>110000.0</v>
      </c>
      <c r="M945" s="25"/>
      <c r="N945" s="39"/>
      <c r="O945" s="27">
        <f t="shared" si="105"/>
        <v>0.1790430458</v>
      </c>
      <c r="P945" s="28">
        <f t="shared" si="110"/>
        <v>0</v>
      </c>
    </row>
    <row r="946" hidden="1">
      <c r="A946" s="16" t="s">
        <v>1478</v>
      </c>
      <c r="B946" s="134" t="s">
        <v>1460</v>
      </c>
      <c r="C946" s="18"/>
      <c r="D946" s="4"/>
      <c r="E946" s="19"/>
      <c r="F946" s="19">
        <v>0.0</v>
      </c>
      <c r="G946" s="20" t="s">
        <v>1461</v>
      </c>
      <c r="H946" s="21"/>
      <c r="I946" s="22"/>
      <c r="J946" s="29"/>
      <c r="K946" s="48">
        <f>108319*1.19</f>
        <v>128899.61</v>
      </c>
      <c r="L946" s="55">
        <v>160000.0</v>
      </c>
      <c r="M946" s="25"/>
      <c r="N946" s="39"/>
      <c r="O946" s="27">
        <f t="shared" si="105"/>
        <v>0.2412760597</v>
      </c>
      <c r="P946" s="28">
        <f t="shared" si="110"/>
        <v>0</v>
      </c>
    </row>
    <row r="947" hidden="1">
      <c r="A947" s="59" t="s">
        <v>1479</v>
      </c>
      <c r="B947" s="134" t="s">
        <v>1460</v>
      </c>
      <c r="C947" s="18"/>
      <c r="D947" s="4"/>
      <c r="E947" s="19"/>
      <c r="F947" s="19">
        <v>0.0</v>
      </c>
      <c r="G947" s="20" t="s">
        <v>1461</v>
      </c>
      <c r="H947" s="21"/>
      <c r="I947" s="22"/>
      <c r="J947" s="29" t="s">
        <v>1480</v>
      </c>
      <c r="K947" s="48">
        <f>37000+77000</f>
        <v>114000</v>
      </c>
      <c r="L947" s="55">
        <v>145000.0</v>
      </c>
      <c r="M947" s="25"/>
      <c r="N947" s="39"/>
      <c r="O947" s="27">
        <f t="shared" si="105"/>
        <v>0.2719298246</v>
      </c>
      <c r="P947" s="28">
        <f t="shared" si="110"/>
        <v>0</v>
      </c>
    </row>
    <row r="948" hidden="1">
      <c r="A948" s="59" t="s">
        <v>1481</v>
      </c>
      <c r="B948" s="134" t="s">
        <v>1460</v>
      </c>
      <c r="C948" s="18"/>
      <c r="D948" s="19"/>
      <c r="E948" s="19"/>
      <c r="F948" s="19">
        <v>0.0</v>
      </c>
      <c r="G948" s="20" t="s">
        <v>1461</v>
      </c>
      <c r="H948" s="21"/>
      <c r="I948" s="22"/>
      <c r="J948" s="29"/>
      <c r="K948" s="48">
        <f>108319*1.19</f>
        <v>128899.61</v>
      </c>
      <c r="L948" s="55">
        <v>170000.0</v>
      </c>
      <c r="M948" s="25"/>
      <c r="N948" s="102">
        <v>150000.0</v>
      </c>
      <c r="O948" s="27">
        <f t="shared" si="105"/>
        <v>0.3188558135</v>
      </c>
      <c r="P948" s="28">
        <f t="shared" si="110"/>
        <v>0</v>
      </c>
    </row>
    <row r="949" hidden="1">
      <c r="A949" s="16" t="s">
        <v>1482</v>
      </c>
      <c r="B949" s="134" t="s">
        <v>1460</v>
      </c>
      <c r="C949" s="18"/>
      <c r="D949" s="4"/>
      <c r="E949" s="19"/>
      <c r="F949" s="19">
        <v>0.0</v>
      </c>
      <c r="G949" s="20" t="s">
        <v>1461</v>
      </c>
      <c r="H949" s="21"/>
      <c r="I949" s="22"/>
      <c r="J949" s="29"/>
      <c r="K949" s="43">
        <v>31500.0</v>
      </c>
      <c r="L949" s="44">
        <v>45000.0</v>
      </c>
      <c r="M949" s="25"/>
      <c r="N949" s="39"/>
      <c r="O949" s="27">
        <f>(L949/K949)-1</f>
        <v>0.4285714286</v>
      </c>
      <c r="P949" s="28">
        <f t="shared" si="110"/>
        <v>0</v>
      </c>
    </row>
    <row r="950" hidden="1">
      <c r="A950" s="59" t="s">
        <v>1483</v>
      </c>
      <c r="B950" s="134" t="s">
        <v>1460</v>
      </c>
      <c r="C950" s="18"/>
      <c r="D950" s="4"/>
      <c r="E950" s="19"/>
      <c r="F950" s="19">
        <v>0.0</v>
      </c>
      <c r="G950" s="20" t="s">
        <v>1461</v>
      </c>
      <c r="H950" s="21"/>
      <c r="I950" s="22"/>
      <c r="J950" s="29"/>
      <c r="K950" s="43">
        <v>158000.0</v>
      </c>
      <c r="L950" s="44">
        <v>230000.0</v>
      </c>
      <c r="M950" s="25"/>
      <c r="N950" s="39"/>
      <c r="O950" s="27">
        <f t="shared" ref="O950:O954" si="111">(L950/K950)-1</f>
        <v>0.4556962025</v>
      </c>
      <c r="P950" s="28">
        <f t="shared" si="110"/>
        <v>0</v>
      </c>
    </row>
    <row r="951" hidden="1">
      <c r="A951" s="59" t="s">
        <v>1484</v>
      </c>
      <c r="B951" s="134" t="s">
        <v>1460</v>
      </c>
      <c r="C951" s="18"/>
      <c r="D951" s="4"/>
      <c r="E951" s="19"/>
      <c r="F951" s="19">
        <v>0.0</v>
      </c>
      <c r="G951" s="20" t="s">
        <v>1461</v>
      </c>
      <c r="H951" s="21"/>
      <c r="I951" s="22"/>
      <c r="J951" s="29"/>
      <c r="K951" s="43">
        <v>266000.0</v>
      </c>
      <c r="L951" s="44">
        <v>350000.0</v>
      </c>
      <c r="M951" s="25"/>
      <c r="N951" s="39"/>
      <c r="O951" s="27">
        <f t="shared" si="111"/>
        <v>0.3157894737</v>
      </c>
      <c r="P951" s="28">
        <f t="shared" si="110"/>
        <v>0</v>
      </c>
    </row>
    <row r="952" hidden="1">
      <c r="A952" s="59" t="s">
        <v>1485</v>
      </c>
      <c r="B952" s="134" t="s">
        <v>1460</v>
      </c>
      <c r="C952" s="18"/>
      <c r="D952" s="19"/>
      <c r="E952" s="19"/>
      <c r="F952" s="19">
        <v>0.0</v>
      </c>
      <c r="G952" s="20" t="s">
        <v>1461</v>
      </c>
      <c r="H952" s="21"/>
      <c r="I952" s="22"/>
      <c r="J952" s="29"/>
      <c r="K952" s="43">
        <v>210000.0</v>
      </c>
      <c r="L952" s="44">
        <v>280000.0</v>
      </c>
      <c r="M952" s="25"/>
      <c r="N952" s="39"/>
      <c r="O952" s="27">
        <f t="shared" si="111"/>
        <v>0.3333333333</v>
      </c>
      <c r="P952" s="28">
        <f t="shared" si="110"/>
        <v>0</v>
      </c>
    </row>
    <row r="953" hidden="1">
      <c r="A953" s="59" t="s">
        <v>1486</v>
      </c>
      <c r="B953" s="134" t="s">
        <v>1460</v>
      </c>
      <c r="C953" s="18"/>
      <c r="D953" s="4"/>
      <c r="E953" s="19"/>
      <c r="F953" s="19">
        <v>0.0</v>
      </c>
      <c r="G953" s="20" t="s">
        <v>1461</v>
      </c>
      <c r="H953" s="21"/>
      <c r="I953" s="22"/>
      <c r="J953" s="29"/>
      <c r="K953" s="32">
        <f>280000*1.19</f>
        <v>333200</v>
      </c>
      <c r="L953" s="24">
        <v>440000.0</v>
      </c>
      <c r="M953" s="25"/>
      <c r="N953" s="102">
        <v>390000.0</v>
      </c>
      <c r="O953" s="27">
        <f t="shared" si="111"/>
        <v>0.3205282113</v>
      </c>
      <c r="P953" s="28">
        <f t="shared" si="110"/>
        <v>0</v>
      </c>
    </row>
    <row r="954" hidden="1">
      <c r="A954" s="59" t="s">
        <v>1487</v>
      </c>
      <c r="B954" s="203" t="s">
        <v>1488</v>
      </c>
      <c r="C954" s="204" t="s">
        <v>1464</v>
      </c>
      <c r="D954" s="205"/>
      <c r="E954" s="19"/>
      <c r="F954" s="19">
        <v>0.0</v>
      </c>
      <c r="G954" s="20" t="s">
        <v>1461</v>
      </c>
      <c r="H954" s="206"/>
      <c r="I954" s="207"/>
      <c r="J954" s="208" t="s">
        <v>1480</v>
      </c>
      <c r="K954" s="209">
        <v>37000.0</v>
      </c>
      <c r="L954" s="209">
        <v>54000.0</v>
      </c>
      <c r="M954" s="25"/>
      <c r="N954" s="39"/>
      <c r="O954" s="27">
        <f t="shared" si="111"/>
        <v>0.4594594595</v>
      </c>
      <c r="P954" s="28">
        <f t="shared" si="110"/>
        <v>0</v>
      </c>
    </row>
    <row r="955" hidden="1">
      <c r="A955" s="210" t="s">
        <v>1489</v>
      </c>
      <c r="B955" s="203" t="s">
        <v>1490</v>
      </c>
      <c r="C955" s="204" t="s">
        <v>1464</v>
      </c>
      <c r="D955" s="205"/>
      <c r="E955" s="19"/>
      <c r="F955" s="19">
        <v>0.0</v>
      </c>
      <c r="G955" s="20" t="s">
        <v>1461</v>
      </c>
      <c r="H955" s="206"/>
      <c r="I955" s="207"/>
      <c r="J955" s="208" t="s">
        <v>1480</v>
      </c>
      <c r="K955" s="202">
        <v>20680.0</v>
      </c>
      <c r="L955" s="211">
        <v>45000.0</v>
      </c>
      <c r="M955" s="25"/>
      <c r="N955" s="39"/>
      <c r="O955" s="27"/>
      <c r="P955" s="28"/>
    </row>
    <row r="956" hidden="1">
      <c r="A956" s="59" t="s">
        <v>1491</v>
      </c>
      <c r="B956" s="134" t="s">
        <v>1492</v>
      </c>
      <c r="C956" s="18" t="s">
        <v>1464</v>
      </c>
      <c r="D956" s="4"/>
      <c r="E956" s="19"/>
      <c r="F956" s="19">
        <v>0.0</v>
      </c>
      <c r="G956" s="20" t="s">
        <v>1461</v>
      </c>
      <c r="H956" s="21"/>
      <c r="I956" s="22"/>
      <c r="J956" s="29" t="s">
        <v>1480</v>
      </c>
      <c r="K956" s="48">
        <v>77000.0</v>
      </c>
      <c r="L956" s="55">
        <v>98000.0</v>
      </c>
      <c r="M956" s="25"/>
      <c r="N956" s="39"/>
      <c r="O956" s="27">
        <f t="shared" ref="O956:O962" si="112">(L956/K956)-1</f>
        <v>0.2727272727</v>
      </c>
      <c r="P956" s="28">
        <f t="shared" ref="P956:P962" si="113">K956*F956</f>
        <v>0</v>
      </c>
    </row>
    <row r="957" hidden="1">
      <c r="A957" s="59" t="s">
        <v>1493</v>
      </c>
      <c r="B957" s="203" t="s">
        <v>1494</v>
      </c>
      <c r="C957" s="204" t="s">
        <v>1464</v>
      </c>
      <c r="D957" s="205"/>
      <c r="E957" s="19"/>
      <c r="F957" s="19">
        <v>0.0</v>
      </c>
      <c r="G957" s="20" t="s">
        <v>1461</v>
      </c>
      <c r="H957" s="206"/>
      <c r="I957" s="207"/>
      <c r="J957" s="212"/>
      <c r="K957" s="201">
        <v>84728.0</v>
      </c>
      <c r="L957" s="202">
        <v>105000.0</v>
      </c>
      <c r="M957" s="25"/>
      <c r="N957" s="39"/>
      <c r="O957" s="27">
        <f t="shared" si="112"/>
        <v>0.2392597488</v>
      </c>
      <c r="P957" s="28">
        <f t="shared" si="113"/>
        <v>0</v>
      </c>
    </row>
    <row r="958" hidden="1">
      <c r="A958" s="59" t="s">
        <v>1495</v>
      </c>
      <c r="B958" s="134" t="s">
        <v>1460</v>
      </c>
      <c r="C958" s="18"/>
      <c r="D958" s="19"/>
      <c r="E958" s="19"/>
      <c r="F958" s="19">
        <v>0.0</v>
      </c>
      <c r="G958" s="20" t="s">
        <v>1461</v>
      </c>
      <c r="H958" s="21"/>
      <c r="I958" s="22"/>
      <c r="J958" s="29"/>
      <c r="K958" s="48">
        <f>90672*1.19</f>
        <v>107899.68</v>
      </c>
      <c r="L958" s="55">
        <v>160000.0</v>
      </c>
      <c r="M958" s="25"/>
      <c r="N958" s="39"/>
      <c r="O958" s="27">
        <f t="shared" si="112"/>
        <v>0.4828588926</v>
      </c>
      <c r="P958" s="28">
        <f t="shared" si="113"/>
        <v>0</v>
      </c>
    </row>
    <row r="959" hidden="1">
      <c r="A959" s="59" t="s">
        <v>1496</v>
      </c>
      <c r="B959" s="134" t="s">
        <v>1460</v>
      </c>
      <c r="C959" s="18"/>
      <c r="D959" s="19"/>
      <c r="E959" s="19"/>
      <c r="F959" s="19">
        <v>0.0</v>
      </c>
      <c r="G959" s="20" t="s">
        <v>1461</v>
      </c>
      <c r="H959" s="21"/>
      <c r="I959" s="22"/>
      <c r="J959" s="29"/>
      <c r="K959" s="43">
        <v>89000.0</v>
      </c>
      <c r="L959" s="44">
        <v>140000.0</v>
      </c>
      <c r="M959" s="25"/>
      <c r="N959" s="39"/>
      <c r="O959" s="27">
        <f t="shared" si="112"/>
        <v>0.5730337079</v>
      </c>
      <c r="P959" s="28">
        <f t="shared" si="113"/>
        <v>0</v>
      </c>
    </row>
    <row r="960" hidden="1">
      <c r="A960" s="16" t="s">
        <v>1497</v>
      </c>
      <c r="B960" s="134" t="s">
        <v>1460</v>
      </c>
      <c r="C960" s="18"/>
      <c r="D960" s="4"/>
      <c r="E960" s="19"/>
      <c r="F960" s="19">
        <v>0.0</v>
      </c>
      <c r="G960" s="20" t="s">
        <v>1461</v>
      </c>
      <c r="H960" s="21"/>
      <c r="I960" s="22"/>
      <c r="J960" s="29"/>
      <c r="K960" s="43">
        <v>54000.0</v>
      </c>
      <c r="L960" s="44">
        <v>90000.0</v>
      </c>
      <c r="M960" s="25"/>
      <c r="N960" s="39"/>
      <c r="O960" s="27">
        <f t="shared" si="112"/>
        <v>0.6666666667</v>
      </c>
      <c r="P960" s="28">
        <f t="shared" si="113"/>
        <v>0</v>
      </c>
    </row>
    <row r="961" hidden="1">
      <c r="A961" s="16" t="s">
        <v>1498</v>
      </c>
      <c r="B961" s="36"/>
      <c r="C961" s="18"/>
      <c r="D961" s="19"/>
      <c r="E961" s="19">
        <v>0.0</v>
      </c>
      <c r="F961" s="19">
        <v>0.0</v>
      </c>
      <c r="G961" s="54" t="s">
        <v>63</v>
      </c>
      <c r="H961" s="213"/>
      <c r="I961" s="22">
        <v>1.0</v>
      </c>
      <c r="J961" s="214"/>
      <c r="K961" s="48">
        <v>33440.0</v>
      </c>
      <c r="L961" s="55">
        <v>48000.0</v>
      </c>
      <c r="M961" s="25"/>
      <c r="N961" s="26">
        <v>42000.0</v>
      </c>
      <c r="O961" s="27">
        <f t="shared" si="112"/>
        <v>0.4354066986</v>
      </c>
      <c r="P961" s="28">
        <f t="shared" si="113"/>
        <v>0</v>
      </c>
    </row>
    <row r="962" hidden="1">
      <c r="A962" s="16" t="s">
        <v>1499</v>
      </c>
      <c r="B962" s="49"/>
      <c r="C962" s="92"/>
      <c r="D962" s="4"/>
      <c r="E962" s="19">
        <v>0.0</v>
      </c>
      <c r="F962" s="19"/>
      <c r="G962" s="16" t="s">
        <v>744</v>
      </c>
      <c r="H962" s="215"/>
      <c r="I962" s="22">
        <v>1.0</v>
      </c>
      <c r="J962" s="216"/>
      <c r="K962" s="217">
        <v>6367.0</v>
      </c>
      <c r="L962" s="184">
        <v>12000.0</v>
      </c>
      <c r="M962" s="25"/>
      <c r="N962" s="102">
        <v>10000.0</v>
      </c>
      <c r="O962" s="27">
        <f t="shared" si="112"/>
        <v>0.8847180776</v>
      </c>
      <c r="P962" s="28">
        <f t="shared" si="113"/>
        <v>0</v>
      </c>
    </row>
    <row r="963" hidden="1">
      <c r="A963" s="16" t="s">
        <v>1500</v>
      </c>
      <c r="B963" s="17"/>
      <c r="C963" s="38"/>
      <c r="D963" s="4"/>
      <c r="E963" s="19"/>
      <c r="F963" s="19">
        <v>0.0</v>
      </c>
      <c r="G963" s="16" t="s">
        <v>159</v>
      </c>
      <c r="H963" s="21"/>
      <c r="I963" s="22"/>
      <c r="J963" s="29"/>
      <c r="K963" s="48">
        <f>196800/3</f>
        <v>65600</v>
      </c>
      <c r="L963" s="60">
        <v>110000.0</v>
      </c>
      <c r="M963" s="25"/>
      <c r="N963" s="26"/>
      <c r="O963" s="27"/>
      <c r="P963" s="28"/>
    </row>
    <row r="964" hidden="1">
      <c r="A964" s="42" t="s">
        <v>1501</v>
      </c>
      <c r="B964" s="71"/>
      <c r="C964" s="18"/>
      <c r="D964" s="4"/>
      <c r="E964" s="19">
        <v>0.0</v>
      </c>
      <c r="F964" s="19">
        <v>0.0</v>
      </c>
      <c r="G964" s="16" t="s">
        <v>465</v>
      </c>
      <c r="H964" s="21"/>
      <c r="I964" s="22">
        <v>0.0</v>
      </c>
      <c r="J964" s="29"/>
      <c r="K964" s="43">
        <v>45800.0</v>
      </c>
      <c r="L964" s="44">
        <v>60000.0</v>
      </c>
      <c r="M964" s="25"/>
      <c r="N964" s="39"/>
      <c r="O964" s="27">
        <f t="shared" ref="O964:O982" si="114">(L964/K964)-1</f>
        <v>0.3100436681</v>
      </c>
      <c r="P964" s="28">
        <f t="shared" ref="P964:P990" si="115">K964*F964</f>
        <v>0</v>
      </c>
    </row>
    <row r="965" hidden="1">
      <c r="A965" s="42" t="s">
        <v>1502</v>
      </c>
      <c r="B965" s="114" t="s">
        <v>1503</v>
      </c>
      <c r="C965" s="18"/>
      <c r="D965" s="107" t="s">
        <v>251</v>
      </c>
      <c r="E965" s="19">
        <v>6.0</v>
      </c>
      <c r="F965" s="19">
        <v>0.0</v>
      </c>
      <c r="G965" s="54" t="s">
        <v>63</v>
      </c>
      <c r="H965" s="21"/>
      <c r="I965" s="22">
        <v>0.0</v>
      </c>
      <c r="J965" s="29"/>
      <c r="K965" s="32">
        <f>52712</f>
        <v>52712</v>
      </c>
      <c r="L965" s="24">
        <v>72000.0</v>
      </c>
      <c r="M965" s="25" t="s">
        <v>82</v>
      </c>
      <c r="N965" s="102">
        <v>65000.0</v>
      </c>
      <c r="O965" s="27">
        <f t="shared" si="114"/>
        <v>0.3659128851</v>
      </c>
      <c r="P965" s="28">
        <f t="shared" si="115"/>
        <v>0</v>
      </c>
    </row>
    <row r="966" hidden="1">
      <c r="A966" s="16" t="s">
        <v>1504</v>
      </c>
      <c r="B966" s="17"/>
      <c r="C966" s="18"/>
      <c r="D966" s="4"/>
      <c r="E966" s="19"/>
      <c r="F966" s="19">
        <v>0.0</v>
      </c>
      <c r="G966" s="20" t="s">
        <v>1225</v>
      </c>
      <c r="H966" s="21"/>
      <c r="I966" s="22"/>
      <c r="J966" s="29"/>
      <c r="K966" s="43">
        <v>90320.0</v>
      </c>
      <c r="L966" s="44">
        <v>112000.0</v>
      </c>
      <c r="M966" s="25"/>
      <c r="N966" s="39"/>
      <c r="O966" s="27">
        <f t="shared" si="114"/>
        <v>0.2400354296</v>
      </c>
      <c r="P966" s="28">
        <f t="shared" si="115"/>
        <v>0</v>
      </c>
    </row>
    <row r="967" hidden="1">
      <c r="A967" s="16" t="s">
        <v>1505</v>
      </c>
      <c r="B967" s="17"/>
      <c r="C967" s="18"/>
      <c r="D967" s="4"/>
      <c r="E967" s="19"/>
      <c r="F967" s="19">
        <v>2.0</v>
      </c>
      <c r="G967" s="20" t="s">
        <v>1225</v>
      </c>
      <c r="H967" s="21"/>
      <c r="I967" s="22"/>
      <c r="J967" s="22" t="s">
        <v>1506</v>
      </c>
      <c r="K967" s="48">
        <v>15400.0</v>
      </c>
      <c r="L967" s="55">
        <v>19300.0</v>
      </c>
      <c r="M967" s="25" t="s">
        <v>76</v>
      </c>
      <c r="N967" s="39"/>
      <c r="O967" s="27">
        <f t="shared" si="114"/>
        <v>0.2532467532</v>
      </c>
      <c r="P967" s="28">
        <f t="shared" si="115"/>
        <v>30800</v>
      </c>
    </row>
    <row r="968" hidden="1">
      <c r="A968" s="16" t="s">
        <v>1507</v>
      </c>
      <c r="B968" s="36"/>
      <c r="C968" s="18"/>
      <c r="D968" s="4"/>
      <c r="E968" s="19"/>
      <c r="F968" s="19"/>
      <c r="G968" s="16" t="s">
        <v>1400</v>
      </c>
      <c r="H968" s="21"/>
      <c r="I968" s="22">
        <v>0.0</v>
      </c>
      <c r="J968" s="29"/>
      <c r="K968" s="32">
        <f>319328*1.19</f>
        <v>380000.32</v>
      </c>
      <c r="L968" s="24">
        <v>460000.0</v>
      </c>
      <c r="M968" s="25"/>
      <c r="N968" s="39"/>
      <c r="O968" s="27">
        <f t="shared" si="114"/>
        <v>0.2105252964</v>
      </c>
      <c r="P968" s="28">
        <f t="shared" si="115"/>
        <v>0</v>
      </c>
    </row>
    <row r="969" hidden="1">
      <c r="A969" s="16" t="s">
        <v>1508</v>
      </c>
      <c r="B969" s="49"/>
      <c r="C969" s="18" t="s">
        <v>55</v>
      </c>
      <c r="D969" s="4"/>
      <c r="E969" s="19"/>
      <c r="F969" s="19"/>
      <c r="G969" s="20" t="s">
        <v>88</v>
      </c>
      <c r="H969" s="21"/>
      <c r="I969" s="22">
        <v>2.0</v>
      </c>
      <c r="J969" s="29"/>
      <c r="K969" s="43">
        <f>5591*1.19</f>
        <v>6653.29</v>
      </c>
      <c r="L969" s="43">
        <v>12000.0</v>
      </c>
      <c r="M969" s="25"/>
      <c r="N969" s="26"/>
      <c r="O969" s="27">
        <f t="shared" si="114"/>
        <v>0.8036189614</v>
      </c>
      <c r="P969" s="28">
        <f t="shared" si="115"/>
        <v>0</v>
      </c>
    </row>
    <row r="970" hidden="1">
      <c r="A970" s="16" t="s">
        <v>1509</v>
      </c>
      <c r="B970" s="36"/>
      <c r="C970" s="18"/>
      <c r="D970" s="4"/>
      <c r="E970" s="19"/>
      <c r="F970" s="19"/>
      <c r="G970" s="20" t="s">
        <v>1510</v>
      </c>
      <c r="H970" s="21"/>
      <c r="I970" s="22">
        <v>0.0</v>
      </c>
      <c r="J970" s="29"/>
      <c r="K970" s="43">
        <v>6678.0</v>
      </c>
      <c r="L970" s="44">
        <v>12000.0</v>
      </c>
      <c r="M970" s="25"/>
      <c r="N970" s="39"/>
      <c r="O970" s="27">
        <f t="shared" si="114"/>
        <v>0.7969451932</v>
      </c>
      <c r="P970" s="28">
        <f t="shared" si="115"/>
        <v>0</v>
      </c>
    </row>
    <row r="971" hidden="1">
      <c r="A971" s="119" t="s">
        <v>1511</v>
      </c>
      <c r="B971" s="51"/>
      <c r="C971" s="18"/>
      <c r="D971" s="4"/>
      <c r="E971" s="19">
        <v>0.0</v>
      </c>
      <c r="F971" s="19">
        <v>0.0</v>
      </c>
      <c r="G971" s="20" t="s">
        <v>497</v>
      </c>
      <c r="H971" s="190"/>
      <c r="I971" s="22">
        <v>0.0</v>
      </c>
      <c r="J971" s="191"/>
      <c r="K971" s="192">
        <v>11182.0</v>
      </c>
      <c r="L971" s="44">
        <v>18000.0</v>
      </c>
      <c r="M971" s="25"/>
      <c r="N971" s="39"/>
      <c r="O971" s="27">
        <f t="shared" si="114"/>
        <v>0.6097299231</v>
      </c>
      <c r="P971" s="28">
        <f t="shared" si="115"/>
        <v>0</v>
      </c>
    </row>
    <row r="972" hidden="1">
      <c r="A972" s="16" t="s">
        <v>1512</v>
      </c>
      <c r="B972" s="36"/>
      <c r="C972" s="18"/>
      <c r="D972" s="4"/>
      <c r="E972" s="19">
        <v>0.0</v>
      </c>
      <c r="F972" s="19">
        <v>0.0</v>
      </c>
      <c r="G972" s="20" t="s">
        <v>1513</v>
      </c>
      <c r="H972" s="21"/>
      <c r="I972" s="22">
        <v>0.0</v>
      </c>
      <c r="J972" s="29"/>
      <c r="K972" s="43">
        <v>3000.0</v>
      </c>
      <c r="L972" s="44">
        <v>5000.0</v>
      </c>
      <c r="M972" s="78"/>
      <c r="N972" s="39"/>
      <c r="O972" s="27">
        <f t="shared" si="114"/>
        <v>0.6666666667</v>
      </c>
      <c r="P972" s="28">
        <f t="shared" si="115"/>
        <v>0</v>
      </c>
    </row>
    <row r="973" hidden="1">
      <c r="A973" s="16" t="s">
        <v>1514</v>
      </c>
      <c r="B973" s="36"/>
      <c r="C973" s="18"/>
      <c r="D973" s="4"/>
      <c r="E973" s="19">
        <v>0.0</v>
      </c>
      <c r="F973" s="19">
        <v>0.0</v>
      </c>
      <c r="G973" s="16" t="s">
        <v>1331</v>
      </c>
      <c r="H973" s="21"/>
      <c r="I973" s="22">
        <v>3.0</v>
      </c>
      <c r="J973" s="47">
        <v>46539.0</v>
      </c>
      <c r="K973" s="48">
        <f>12935*1.19</f>
        <v>15392.65</v>
      </c>
      <c r="L973" s="55">
        <v>18000.0</v>
      </c>
      <c r="M973" s="25" t="s">
        <v>9</v>
      </c>
      <c r="N973" s="26"/>
      <c r="O973" s="27">
        <f t="shared" si="114"/>
        <v>0.1693892864</v>
      </c>
      <c r="P973" s="28">
        <f t="shared" si="115"/>
        <v>0</v>
      </c>
    </row>
    <row r="974" hidden="1">
      <c r="A974" s="52" t="s">
        <v>1515</v>
      </c>
      <c r="B974" s="49"/>
      <c r="C974" s="18"/>
      <c r="D974" s="4"/>
      <c r="E974" s="19">
        <v>0.0</v>
      </c>
      <c r="F974" s="19">
        <v>0.0</v>
      </c>
      <c r="G974" s="20" t="s">
        <v>1513</v>
      </c>
      <c r="H974" s="21"/>
      <c r="I974" s="22">
        <v>0.0</v>
      </c>
      <c r="J974" s="29"/>
      <c r="K974" s="43">
        <v>3000.0</v>
      </c>
      <c r="L974" s="44">
        <v>4000.0</v>
      </c>
      <c r="M974" s="25"/>
      <c r="N974" s="39"/>
      <c r="O974" s="27">
        <f t="shared" si="114"/>
        <v>0.3333333333</v>
      </c>
      <c r="P974" s="28">
        <f t="shared" si="115"/>
        <v>0</v>
      </c>
    </row>
    <row r="975" hidden="1">
      <c r="A975" s="16" t="s">
        <v>1516</v>
      </c>
      <c r="B975" s="36" t="s">
        <v>1517</v>
      </c>
      <c r="C975" s="18"/>
      <c r="D975" s="4"/>
      <c r="E975" s="19"/>
      <c r="F975" s="19"/>
      <c r="G975" s="16" t="s">
        <v>88</v>
      </c>
      <c r="H975" s="21"/>
      <c r="I975" s="22">
        <v>33.0</v>
      </c>
      <c r="J975" s="58">
        <v>45931.0</v>
      </c>
      <c r="K975" s="48">
        <v>5280.0</v>
      </c>
      <c r="L975" s="55">
        <v>12000.0</v>
      </c>
      <c r="M975" s="25"/>
      <c r="N975" s="39"/>
      <c r="O975" s="27">
        <f t="shared" si="114"/>
        <v>1.272727273</v>
      </c>
      <c r="P975" s="28">
        <f t="shared" si="115"/>
        <v>0</v>
      </c>
    </row>
    <row r="976" hidden="1">
      <c r="A976" s="52" t="s">
        <v>1518</v>
      </c>
      <c r="B976" s="36" t="s">
        <v>1517</v>
      </c>
      <c r="C976" s="18"/>
      <c r="D976" s="218"/>
      <c r="E976" s="19">
        <v>10.0</v>
      </c>
      <c r="F976" s="19">
        <v>20.0</v>
      </c>
      <c r="G976" s="16" t="s">
        <v>104</v>
      </c>
      <c r="H976" s="21"/>
      <c r="I976" s="22">
        <v>7.0</v>
      </c>
      <c r="J976" s="47">
        <v>46478.0</v>
      </c>
      <c r="K976" s="55">
        <v>9001.0</v>
      </c>
      <c r="L976" s="24">
        <v>12000.0</v>
      </c>
      <c r="M976" s="25" t="s">
        <v>76</v>
      </c>
      <c r="N976" s="39"/>
      <c r="O976" s="27">
        <f t="shared" si="114"/>
        <v>0.3331852016</v>
      </c>
      <c r="P976" s="28">
        <f t="shared" si="115"/>
        <v>180020</v>
      </c>
    </row>
    <row r="977" hidden="1">
      <c r="A977" s="52" t="s">
        <v>1519</v>
      </c>
      <c r="B977" s="36" t="s">
        <v>1520</v>
      </c>
      <c r="C977" s="18"/>
      <c r="D977" s="4"/>
      <c r="E977" s="19">
        <v>0.0</v>
      </c>
      <c r="F977" s="19">
        <v>0.0</v>
      </c>
      <c r="G977" s="20" t="s">
        <v>1521</v>
      </c>
      <c r="H977" s="21"/>
      <c r="I977" s="22">
        <v>18.0</v>
      </c>
      <c r="J977" s="47">
        <v>46419.0</v>
      </c>
      <c r="K977" s="32">
        <v>7000.0</v>
      </c>
      <c r="L977" s="24">
        <v>12000.0</v>
      </c>
      <c r="M977" s="25"/>
      <c r="N977" s="26"/>
      <c r="O977" s="27">
        <f t="shared" si="114"/>
        <v>0.7142857143</v>
      </c>
      <c r="P977" s="28">
        <f t="shared" si="115"/>
        <v>0</v>
      </c>
    </row>
    <row r="978" hidden="1">
      <c r="A978" s="52" t="s">
        <v>1522</v>
      </c>
      <c r="B978" s="36"/>
      <c r="C978" s="18"/>
      <c r="D978" s="4"/>
      <c r="E978" s="19">
        <v>0.0</v>
      </c>
      <c r="F978" s="19">
        <v>8.0</v>
      </c>
      <c r="G978" s="20" t="s">
        <v>377</v>
      </c>
      <c r="H978" s="21"/>
      <c r="I978" s="22">
        <v>28.0</v>
      </c>
      <c r="J978" s="58">
        <v>45962.0</v>
      </c>
      <c r="K978" s="32">
        <v>18500.0</v>
      </c>
      <c r="L978" s="24">
        <v>28000.0</v>
      </c>
      <c r="M978" s="25"/>
      <c r="N978" s="102">
        <v>24000.0</v>
      </c>
      <c r="O978" s="27">
        <f t="shared" si="114"/>
        <v>0.5135135135</v>
      </c>
      <c r="P978" s="28">
        <f t="shared" si="115"/>
        <v>148000</v>
      </c>
    </row>
    <row r="979" hidden="1">
      <c r="A979" s="16" t="s">
        <v>1523</v>
      </c>
      <c r="B979" s="51"/>
      <c r="C979" s="18"/>
      <c r="D979" s="4"/>
      <c r="E979" s="19"/>
      <c r="F979" s="19"/>
      <c r="G979" s="16" t="s">
        <v>88</v>
      </c>
      <c r="H979" s="21"/>
      <c r="I979" s="22">
        <v>29.0</v>
      </c>
      <c r="J979" s="47">
        <v>46175.0</v>
      </c>
      <c r="K979" s="48">
        <v>19182.0</v>
      </c>
      <c r="L979" s="55">
        <v>28000.0</v>
      </c>
      <c r="M979" s="25"/>
      <c r="N979" s="102">
        <v>24000.0</v>
      </c>
      <c r="O979" s="27">
        <f t="shared" si="114"/>
        <v>0.4597018038</v>
      </c>
      <c r="P979" s="28">
        <f t="shared" si="115"/>
        <v>0</v>
      </c>
    </row>
    <row r="980" hidden="1">
      <c r="A980" s="52" t="s">
        <v>1524</v>
      </c>
      <c r="B980" s="36"/>
      <c r="C980" s="18"/>
      <c r="D980" s="4"/>
      <c r="E980" s="19">
        <v>0.0</v>
      </c>
      <c r="F980" s="19">
        <v>0.0</v>
      </c>
      <c r="G980" s="20" t="s">
        <v>377</v>
      </c>
      <c r="H980" s="21"/>
      <c r="I980" s="22">
        <v>1.0</v>
      </c>
      <c r="J980" s="29"/>
      <c r="K980" s="32">
        <v>58000.0</v>
      </c>
      <c r="L980" s="24">
        <v>84000.0</v>
      </c>
      <c r="M980" s="25"/>
      <c r="N980" s="102">
        <v>72000.0</v>
      </c>
      <c r="O980" s="27">
        <f t="shared" si="114"/>
        <v>0.4482758621</v>
      </c>
      <c r="P980" s="28">
        <f t="shared" si="115"/>
        <v>0</v>
      </c>
    </row>
    <row r="981" hidden="1">
      <c r="A981" s="16" t="s">
        <v>1525</v>
      </c>
      <c r="B981" s="17"/>
      <c r="C981" s="18"/>
      <c r="D981" s="4"/>
      <c r="E981" s="19">
        <v>0.0</v>
      </c>
      <c r="F981" s="19"/>
      <c r="G981" s="20" t="s">
        <v>57</v>
      </c>
      <c r="H981" s="21"/>
      <c r="I981" s="22"/>
      <c r="J981" s="29"/>
      <c r="K981" s="43">
        <v>6500.0</v>
      </c>
      <c r="L981" s="44">
        <v>10000.0</v>
      </c>
      <c r="M981" s="78"/>
      <c r="N981" s="39"/>
      <c r="O981" s="27">
        <f t="shared" si="114"/>
        <v>0.5384615385</v>
      </c>
      <c r="P981" s="28">
        <f t="shared" si="115"/>
        <v>0</v>
      </c>
    </row>
    <row r="982" hidden="1">
      <c r="A982" s="52" t="s">
        <v>1526</v>
      </c>
      <c r="B982" s="49"/>
      <c r="C982" s="18" t="s">
        <v>547</v>
      </c>
      <c r="D982" s="4"/>
      <c r="E982" s="19">
        <v>0.0</v>
      </c>
      <c r="F982" s="19">
        <v>0.0</v>
      </c>
      <c r="G982" s="16" t="s">
        <v>104</v>
      </c>
      <c r="H982" s="21"/>
      <c r="I982" s="22">
        <v>0.0</v>
      </c>
      <c r="J982" s="29"/>
      <c r="K982" s="43"/>
      <c r="L982" s="44"/>
      <c r="M982" s="25"/>
      <c r="N982" s="39"/>
      <c r="O982" s="27" t="str">
        <f t="shared" si="114"/>
        <v>#DIV/0!</v>
      </c>
      <c r="P982" s="28">
        <f t="shared" si="115"/>
        <v>0</v>
      </c>
    </row>
    <row r="983" hidden="1">
      <c r="A983" s="119" t="s">
        <v>1527</v>
      </c>
      <c r="B983" s="51"/>
      <c r="C983" s="18"/>
      <c r="D983" s="4"/>
      <c r="E983" s="19">
        <v>0.0</v>
      </c>
      <c r="F983" s="19">
        <v>0.0</v>
      </c>
      <c r="G983" s="20" t="s">
        <v>497</v>
      </c>
      <c r="H983" s="190"/>
      <c r="I983" s="22">
        <v>0.0</v>
      </c>
      <c r="J983" s="191"/>
      <c r="K983" s="192">
        <v>7597.0</v>
      </c>
      <c r="L983" s="44">
        <v>9000.0</v>
      </c>
      <c r="M983" s="25"/>
      <c r="N983" s="39"/>
      <c r="O983" s="147" t="s">
        <v>611</v>
      </c>
      <c r="P983" s="28">
        <f t="shared" si="115"/>
        <v>0</v>
      </c>
    </row>
    <row r="984" hidden="1">
      <c r="A984" s="59" t="s">
        <v>1528</v>
      </c>
      <c r="B984" s="97" t="s">
        <v>1529</v>
      </c>
      <c r="C984" s="18" t="s">
        <v>55</v>
      </c>
      <c r="D984" s="4"/>
      <c r="E984" s="19">
        <v>0.0</v>
      </c>
      <c r="F984" s="19"/>
      <c r="G984" s="16" t="s">
        <v>485</v>
      </c>
      <c r="H984" s="21">
        <v>0.0</v>
      </c>
      <c r="I984" s="22"/>
      <c r="J984" s="29"/>
      <c r="K984" s="43">
        <f>91603*1.19</f>
        <v>109007.57</v>
      </c>
      <c r="L984" s="44">
        <v>160000.0</v>
      </c>
      <c r="M984" s="25"/>
      <c r="N984" s="31"/>
      <c r="O984" s="27">
        <f t="shared" ref="O984:O996" si="116">(L984/K984)-1</f>
        <v>0.4677879711</v>
      </c>
      <c r="P984" s="28">
        <f t="shared" si="115"/>
        <v>0</v>
      </c>
    </row>
    <row r="985" hidden="1">
      <c r="A985" s="16" t="s">
        <v>1530</v>
      </c>
      <c r="B985" s="17" t="s">
        <v>1531</v>
      </c>
      <c r="C985" s="18"/>
      <c r="D985" s="4"/>
      <c r="E985" s="19">
        <v>0.0</v>
      </c>
      <c r="F985" s="19">
        <v>0.0</v>
      </c>
      <c r="G985" s="20" t="s">
        <v>286</v>
      </c>
      <c r="H985" s="21"/>
      <c r="I985" s="22">
        <v>100.0</v>
      </c>
      <c r="J985" s="29"/>
      <c r="K985" s="32">
        <f>304*1.19</f>
        <v>361.76</v>
      </c>
      <c r="L985" s="24">
        <v>800.0</v>
      </c>
      <c r="M985" s="25">
        <v>0.1</v>
      </c>
      <c r="N985" s="70"/>
      <c r="O985" s="27">
        <f t="shared" si="116"/>
        <v>1.21141088</v>
      </c>
      <c r="P985" s="28">
        <f t="shared" si="115"/>
        <v>0</v>
      </c>
    </row>
    <row r="986" hidden="1">
      <c r="A986" s="40" t="s">
        <v>1532</v>
      </c>
      <c r="B986" s="17" t="s">
        <v>1533</v>
      </c>
      <c r="C986" s="18"/>
      <c r="D986" s="4"/>
      <c r="E986" s="19">
        <v>0.0</v>
      </c>
      <c r="F986" s="19">
        <v>0.0</v>
      </c>
      <c r="G986" s="20" t="s">
        <v>286</v>
      </c>
      <c r="H986" s="21"/>
      <c r="I986" s="22">
        <v>200.0</v>
      </c>
      <c r="J986" s="29"/>
      <c r="K986" s="32">
        <f>208*1.19</f>
        <v>247.52</v>
      </c>
      <c r="L986" s="24">
        <v>500.0</v>
      </c>
      <c r="M986" s="25"/>
      <c r="N986" s="39"/>
      <c r="O986" s="27">
        <f t="shared" si="116"/>
        <v>1.020038785</v>
      </c>
      <c r="P986" s="28">
        <f t="shared" si="115"/>
        <v>0</v>
      </c>
    </row>
    <row r="987" hidden="1">
      <c r="A987" s="40" t="s">
        <v>1534</v>
      </c>
      <c r="B987" s="17" t="s">
        <v>1535</v>
      </c>
      <c r="C987" s="18"/>
      <c r="D987" s="4"/>
      <c r="E987" s="19">
        <v>0.0</v>
      </c>
      <c r="F987" s="19">
        <v>0.0</v>
      </c>
      <c r="G987" s="20" t="s">
        <v>286</v>
      </c>
      <c r="H987" s="21"/>
      <c r="I987" s="22">
        <v>100.0</v>
      </c>
      <c r="J987" s="29"/>
      <c r="K987" s="32">
        <f>376*1.19</f>
        <v>447.44</v>
      </c>
      <c r="L987" s="24">
        <v>1000.0</v>
      </c>
      <c r="M987" s="25"/>
      <c r="N987" s="70"/>
      <c r="O987" s="27">
        <f t="shared" si="116"/>
        <v>1.234936528</v>
      </c>
      <c r="P987" s="28">
        <f t="shared" si="115"/>
        <v>0</v>
      </c>
    </row>
    <row r="988" hidden="1">
      <c r="A988" s="40" t="s">
        <v>1536</v>
      </c>
      <c r="B988" s="17" t="s">
        <v>1537</v>
      </c>
      <c r="C988" s="18"/>
      <c r="D988" s="4"/>
      <c r="E988" s="19">
        <v>0.0</v>
      </c>
      <c r="F988" s="19">
        <v>0.0</v>
      </c>
      <c r="G988" s="20" t="s">
        <v>286</v>
      </c>
      <c r="H988" s="21"/>
      <c r="I988" s="22">
        <v>300.0</v>
      </c>
      <c r="J988" s="29"/>
      <c r="K988" s="32">
        <f>189*1.19</f>
        <v>224.91</v>
      </c>
      <c r="L988" s="24">
        <v>600.0</v>
      </c>
      <c r="M988" s="25"/>
      <c r="N988" s="70"/>
      <c r="O988" s="27">
        <f t="shared" si="116"/>
        <v>1.66773376</v>
      </c>
      <c r="P988" s="28">
        <f t="shared" si="115"/>
        <v>0</v>
      </c>
    </row>
    <row r="989" hidden="1">
      <c r="A989" s="16" t="s">
        <v>1538</v>
      </c>
      <c r="B989" s="17" t="s">
        <v>1539</v>
      </c>
      <c r="C989" s="18"/>
      <c r="D989" s="4"/>
      <c r="E989" s="19">
        <v>0.0</v>
      </c>
      <c r="F989" s="19">
        <v>0.0</v>
      </c>
      <c r="G989" s="20" t="s">
        <v>1540</v>
      </c>
      <c r="H989" s="21"/>
      <c r="I989" s="22"/>
      <c r="J989" s="29"/>
      <c r="K989" s="48">
        <v>40000.0</v>
      </c>
      <c r="L989" s="55">
        <v>70000.0</v>
      </c>
      <c r="M989" s="25"/>
      <c r="N989" s="39"/>
      <c r="O989" s="27">
        <f t="shared" si="116"/>
        <v>0.75</v>
      </c>
      <c r="P989" s="28">
        <f t="shared" si="115"/>
        <v>0</v>
      </c>
    </row>
    <row r="990" hidden="1">
      <c r="A990" s="16" t="s">
        <v>1541</v>
      </c>
      <c r="B990" s="36" t="s">
        <v>1542</v>
      </c>
      <c r="C990" s="18"/>
      <c r="D990" s="4"/>
      <c r="E990" s="19">
        <v>0.0</v>
      </c>
      <c r="F990" s="19">
        <v>0.0</v>
      </c>
      <c r="G990" s="16" t="s">
        <v>16</v>
      </c>
      <c r="H990" s="21"/>
      <c r="I990" s="22">
        <v>0.0</v>
      </c>
      <c r="J990" s="29"/>
      <c r="K990" s="43">
        <v>33000.0</v>
      </c>
      <c r="L990" s="44">
        <v>140000.0</v>
      </c>
      <c r="M990" s="25"/>
      <c r="N990" s="39"/>
      <c r="O990" s="27">
        <f t="shared" si="116"/>
        <v>3.242424242</v>
      </c>
      <c r="P990" s="28">
        <f t="shared" si="115"/>
        <v>0</v>
      </c>
    </row>
    <row r="991" hidden="1">
      <c r="A991" s="16" t="s">
        <v>1543</v>
      </c>
      <c r="B991" s="17" t="s">
        <v>44</v>
      </c>
      <c r="C991" s="38"/>
      <c r="D991" s="4"/>
      <c r="E991" s="19">
        <v>0.0</v>
      </c>
      <c r="F991" s="19">
        <v>0.0</v>
      </c>
      <c r="G991" s="20" t="s">
        <v>45</v>
      </c>
      <c r="H991" s="21"/>
      <c r="I991" s="22">
        <v>1.0</v>
      </c>
      <c r="J991" s="45"/>
      <c r="K991" s="46">
        <f>2488400+2063100</f>
        <v>4551500</v>
      </c>
      <c r="L991" s="46">
        <v>4900000.0</v>
      </c>
      <c r="M991" s="25"/>
      <c r="N991" s="26"/>
      <c r="O991" s="27">
        <f t="shared" si="116"/>
        <v>0.07656816434</v>
      </c>
      <c r="P991" s="28"/>
    </row>
    <row r="992" hidden="1">
      <c r="A992" s="16" t="s">
        <v>1544</v>
      </c>
      <c r="B992" s="17"/>
      <c r="C992" s="18"/>
      <c r="D992" s="4"/>
      <c r="E992" s="19">
        <v>0.0</v>
      </c>
      <c r="F992" s="19">
        <v>0.0</v>
      </c>
      <c r="G992" s="16" t="s">
        <v>16</v>
      </c>
      <c r="H992" s="33"/>
      <c r="I992" s="22">
        <v>7.0</v>
      </c>
      <c r="J992" s="34"/>
      <c r="K992" s="30">
        <v>16398.75</v>
      </c>
      <c r="L992" s="24">
        <v>70000.0</v>
      </c>
      <c r="M992" s="25"/>
      <c r="N992" s="39"/>
      <c r="O992" s="27">
        <f t="shared" si="116"/>
        <v>3.268618035</v>
      </c>
      <c r="P992" s="28">
        <f t="shared" ref="P992:P996" si="117">K992*F992</f>
        <v>0</v>
      </c>
    </row>
    <row r="993" hidden="1">
      <c r="A993" s="52" t="s">
        <v>1545</v>
      </c>
      <c r="B993" s="17"/>
      <c r="C993" s="18"/>
      <c r="D993" s="4"/>
      <c r="E993" s="19">
        <v>0.0</v>
      </c>
      <c r="F993" s="19">
        <v>0.0</v>
      </c>
      <c r="G993" s="16" t="s">
        <v>437</v>
      </c>
      <c r="H993" s="21"/>
      <c r="I993" s="22">
        <v>0.0</v>
      </c>
      <c r="J993" s="29"/>
      <c r="K993" s="43">
        <v>4900.0</v>
      </c>
      <c r="L993" s="44">
        <v>9000.0</v>
      </c>
      <c r="M993" s="25"/>
      <c r="N993" s="39"/>
      <c r="O993" s="27">
        <f t="shared" si="116"/>
        <v>0.8367346939</v>
      </c>
      <c r="P993" s="28">
        <f t="shared" si="117"/>
        <v>0</v>
      </c>
    </row>
    <row r="994" hidden="1">
      <c r="A994" s="52" t="s">
        <v>1546</v>
      </c>
      <c r="B994" s="17"/>
      <c r="C994" s="18"/>
      <c r="D994" s="4"/>
      <c r="E994" s="19">
        <v>0.0</v>
      </c>
      <c r="F994" s="19">
        <v>0.0</v>
      </c>
      <c r="G994" s="16" t="s">
        <v>437</v>
      </c>
      <c r="H994" s="21"/>
      <c r="I994" s="22">
        <v>0.0</v>
      </c>
      <c r="J994" s="29"/>
      <c r="K994" s="43">
        <v>6900.0</v>
      </c>
      <c r="L994" s="44">
        <v>9000.0</v>
      </c>
      <c r="M994" s="25"/>
      <c r="N994" s="39"/>
      <c r="O994" s="27">
        <f t="shared" si="116"/>
        <v>0.3043478261</v>
      </c>
      <c r="P994" s="28">
        <f t="shared" si="117"/>
        <v>0</v>
      </c>
    </row>
    <row r="995" hidden="1">
      <c r="A995" s="52" t="s">
        <v>1547</v>
      </c>
      <c r="B995" s="17"/>
      <c r="C995" s="18"/>
      <c r="D995" s="4"/>
      <c r="E995" s="19">
        <v>0.0</v>
      </c>
      <c r="F995" s="19">
        <v>0.0</v>
      </c>
      <c r="G995" s="16" t="s">
        <v>437</v>
      </c>
      <c r="H995" s="21"/>
      <c r="I995" s="22">
        <v>0.0</v>
      </c>
      <c r="J995" s="29"/>
      <c r="K995" s="43">
        <v>4900.0</v>
      </c>
      <c r="L995" s="44">
        <v>9000.0</v>
      </c>
      <c r="M995" s="25"/>
      <c r="N995" s="39"/>
      <c r="O995" s="27">
        <f t="shared" si="116"/>
        <v>0.8367346939</v>
      </c>
      <c r="P995" s="28">
        <f t="shared" si="117"/>
        <v>0</v>
      </c>
    </row>
    <row r="996" hidden="1">
      <c r="A996" s="122" t="s">
        <v>1548</v>
      </c>
      <c r="B996" s="134"/>
      <c r="C996" s="18"/>
      <c r="D996" s="4"/>
      <c r="E996" s="19">
        <v>0.0</v>
      </c>
      <c r="F996" s="19">
        <v>0.0</v>
      </c>
      <c r="G996" s="16" t="s">
        <v>16</v>
      </c>
      <c r="H996" s="33"/>
      <c r="I996" s="22">
        <v>8.0</v>
      </c>
      <c r="J996" s="34"/>
      <c r="K996" s="123">
        <v>101737.0</v>
      </c>
      <c r="L996" s="44">
        <v>260000.0</v>
      </c>
      <c r="M996" s="25"/>
      <c r="N996" s="102">
        <v>190000.0</v>
      </c>
      <c r="O996" s="27">
        <f t="shared" si="116"/>
        <v>1.55560907</v>
      </c>
      <c r="P996" s="28">
        <f t="shared" si="117"/>
        <v>0</v>
      </c>
    </row>
    <row r="997" hidden="1">
      <c r="A997" s="16" t="s">
        <v>1549</v>
      </c>
      <c r="B997" s="17"/>
      <c r="C997" s="18"/>
      <c r="D997" s="4"/>
      <c r="E997" s="19">
        <v>0.0</v>
      </c>
      <c r="F997" s="19">
        <v>0.0</v>
      </c>
      <c r="G997" s="16" t="s">
        <v>1205</v>
      </c>
      <c r="H997" s="21"/>
      <c r="I997" s="22">
        <v>20.0</v>
      </c>
      <c r="J997" s="29"/>
      <c r="K997" s="43"/>
      <c r="L997" s="32">
        <v>25000.0</v>
      </c>
      <c r="M997" s="25"/>
      <c r="N997" s="39"/>
      <c r="O997" s="27"/>
      <c r="P997" s="28"/>
    </row>
    <row r="998" hidden="1">
      <c r="A998" s="16" t="s">
        <v>1550</v>
      </c>
      <c r="B998" s="17"/>
      <c r="C998" s="18"/>
      <c r="D998" s="4"/>
      <c r="E998" s="19">
        <v>0.0</v>
      </c>
      <c r="F998" s="19">
        <v>0.0</v>
      </c>
      <c r="G998" s="20" t="s">
        <v>1551</v>
      </c>
      <c r="H998" s="21"/>
      <c r="I998" s="22">
        <v>0.0</v>
      </c>
      <c r="J998" s="29"/>
      <c r="K998" s="43">
        <v>260000.0</v>
      </c>
      <c r="L998" s="44">
        <v>450000.0</v>
      </c>
      <c r="M998" s="25"/>
      <c r="N998" s="39"/>
      <c r="O998" s="27">
        <f t="shared" ref="O998:O1002" si="118">(L998/K998)-1</f>
        <v>0.7307692308</v>
      </c>
      <c r="P998" s="28">
        <f>K998*F998</f>
        <v>0</v>
      </c>
    </row>
    <row r="999" hidden="1">
      <c r="A999" s="16" t="s">
        <v>1552</v>
      </c>
      <c r="B999" s="17" t="s">
        <v>44</v>
      </c>
      <c r="C999" s="18"/>
      <c r="D999" s="19"/>
      <c r="E999" s="19">
        <v>0.0</v>
      </c>
      <c r="F999" s="19">
        <v>0.0</v>
      </c>
      <c r="G999" s="16" t="s">
        <v>45</v>
      </c>
      <c r="H999" s="21"/>
      <c r="I999" s="22">
        <v>1.0</v>
      </c>
      <c r="J999" s="45"/>
      <c r="K999" s="46">
        <v>2452400.0</v>
      </c>
      <c r="L999" s="46">
        <v>2700000.0</v>
      </c>
      <c r="M999" s="25"/>
      <c r="N999" s="69"/>
      <c r="O999" s="27">
        <f t="shared" si="118"/>
        <v>0.1009623226</v>
      </c>
      <c r="P999" s="28"/>
    </row>
    <row r="1000" hidden="1">
      <c r="A1000" s="16" t="s">
        <v>1553</v>
      </c>
      <c r="B1000" s="17" t="s">
        <v>44</v>
      </c>
      <c r="C1000" s="18"/>
      <c r="D1000" s="19"/>
      <c r="E1000" s="19">
        <v>0.0</v>
      </c>
      <c r="F1000" s="19">
        <v>0.0</v>
      </c>
      <c r="G1000" s="16" t="s">
        <v>45</v>
      </c>
      <c r="H1000" s="21"/>
      <c r="I1000" s="22">
        <v>1.0</v>
      </c>
      <c r="J1000" s="45"/>
      <c r="K1000" s="46">
        <v>2452400.0</v>
      </c>
      <c r="L1000" s="46">
        <v>2700000.0</v>
      </c>
      <c r="M1000" s="25"/>
      <c r="N1000" s="69"/>
      <c r="O1000" s="27">
        <f t="shared" si="118"/>
        <v>0.1009623226</v>
      </c>
      <c r="P1000" s="28"/>
    </row>
    <row r="1001" hidden="1">
      <c r="A1001" s="16" t="s">
        <v>1554</v>
      </c>
      <c r="B1001" s="36"/>
      <c r="C1001" s="18"/>
      <c r="D1001" s="4"/>
      <c r="E1001" s="19"/>
      <c r="F1001" s="19"/>
      <c r="G1001" s="16" t="s">
        <v>1201</v>
      </c>
      <c r="H1001" s="21">
        <v>0.0</v>
      </c>
      <c r="I1001" s="22"/>
      <c r="J1001" s="29"/>
      <c r="K1001" s="43">
        <f>29750*1.19</f>
        <v>35402.5</v>
      </c>
      <c r="L1001" s="43">
        <v>60000.0</v>
      </c>
      <c r="M1001" s="25"/>
      <c r="N1001" s="39"/>
      <c r="O1001" s="27">
        <f t="shared" si="118"/>
        <v>0.6947955653</v>
      </c>
      <c r="P1001" s="28">
        <f t="shared" ref="P1001:P1002" si="119">K1001*F1001</f>
        <v>0</v>
      </c>
    </row>
    <row r="1002" hidden="1">
      <c r="A1002" s="119" t="s">
        <v>1555</v>
      </c>
      <c r="B1002" s="17"/>
      <c r="C1002" s="18"/>
      <c r="D1002" s="4"/>
      <c r="E1002" s="19">
        <v>0.0</v>
      </c>
      <c r="F1002" s="19">
        <v>0.0</v>
      </c>
      <c r="G1002" s="16" t="s">
        <v>16</v>
      </c>
      <c r="H1002" s="73"/>
      <c r="I1002" s="22">
        <v>0.0</v>
      </c>
      <c r="J1002" s="74"/>
      <c r="K1002" s="75">
        <v>17000.0</v>
      </c>
      <c r="L1002" s="44">
        <v>35000.0</v>
      </c>
      <c r="M1002" s="25"/>
      <c r="N1002" s="39"/>
      <c r="O1002" s="27">
        <f t="shared" si="118"/>
        <v>1.058823529</v>
      </c>
      <c r="P1002" s="28">
        <f t="shared" si="119"/>
        <v>0</v>
      </c>
    </row>
    <row r="1003" hidden="1">
      <c r="A1003" s="16" t="s">
        <v>1556</v>
      </c>
      <c r="B1003" s="36"/>
      <c r="C1003" s="18"/>
      <c r="D1003" s="4"/>
      <c r="E1003" s="19">
        <v>0.0</v>
      </c>
      <c r="F1003" s="19">
        <v>0.0</v>
      </c>
      <c r="G1003" s="16" t="s">
        <v>400</v>
      </c>
      <c r="H1003" s="21"/>
      <c r="I1003" s="22">
        <v>3.0</v>
      </c>
      <c r="J1003" s="29"/>
      <c r="K1003" s="32"/>
      <c r="L1003" s="32"/>
      <c r="M1003" s="25"/>
      <c r="N1003" s="26"/>
      <c r="O1003" s="27"/>
      <c r="P1003" s="28"/>
    </row>
    <row r="1004" hidden="1">
      <c r="A1004" s="219" t="s">
        <v>1557</v>
      </c>
      <c r="B1004" s="17">
        <v>240041.0</v>
      </c>
      <c r="C1004" s="18"/>
      <c r="D1004" s="4"/>
      <c r="E1004" s="19">
        <v>0.0</v>
      </c>
      <c r="F1004" s="19">
        <v>0.0</v>
      </c>
      <c r="G1004" s="16" t="s">
        <v>659</v>
      </c>
      <c r="H1004" s="21"/>
      <c r="I1004" s="22">
        <v>2.0</v>
      </c>
      <c r="J1004" s="29"/>
      <c r="K1004" s="43">
        <f t="shared" ref="K1004:K1005" si="120">38637*1.19</f>
        <v>45978.03</v>
      </c>
      <c r="L1004" s="44">
        <v>70000.0</v>
      </c>
      <c r="M1004" s="25"/>
      <c r="N1004" s="39"/>
      <c r="O1004" s="27">
        <f t="shared" ref="O1004:O1008" si="121">(L1004/K1004)-1</f>
        <v>0.5224662736</v>
      </c>
      <c r="P1004" s="28">
        <f t="shared" ref="P1004:P1008" si="122">K1004*F1004</f>
        <v>0</v>
      </c>
    </row>
    <row r="1005" hidden="1">
      <c r="A1005" s="219" t="s">
        <v>1558</v>
      </c>
      <c r="B1005" s="17">
        <v>240043.0</v>
      </c>
      <c r="C1005" s="18"/>
      <c r="D1005" s="4"/>
      <c r="E1005" s="19">
        <v>0.0</v>
      </c>
      <c r="F1005" s="19">
        <v>0.0</v>
      </c>
      <c r="G1005" s="16" t="s">
        <v>425</v>
      </c>
      <c r="H1005" s="21"/>
      <c r="I1005" s="22">
        <v>28.0</v>
      </c>
      <c r="J1005" s="29"/>
      <c r="K1005" s="43">
        <f t="shared" si="120"/>
        <v>45978.03</v>
      </c>
      <c r="L1005" s="44">
        <v>70000.0</v>
      </c>
      <c r="M1005" s="25"/>
      <c r="N1005" s="39"/>
      <c r="O1005" s="27">
        <f t="shared" si="121"/>
        <v>0.5224662736</v>
      </c>
      <c r="P1005" s="28">
        <f t="shared" si="122"/>
        <v>0</v>
      </c>
    </row>
    <row r="1006" hidden="1">
      <c r="A1006" s="16" t="s">
        <v>1559</v>
      </c>
      <c r="B1006" s="17"/>
      <c r="C1006" s="18"/>
      <c r="D1006" s="4"/>
      <c r="E1006" s="19"/>
      <c r="F1006" s="19">
        <v>0.0</v>
      </c>
      <c r="G1006" s="40" t="s">
        <v>93</v>
      </c>
      <c r="H1006" s="21"/>
      <c r="I1006" s="22"/>
      <c r="J1006" s="29"/>
      <c r="K1006" s="43">
        <v>112000.0</v>
      </c>
      <c r="L1006" s="43">
        <v>141000.0</v>
      </c>
      <c r="M1006" s="25"/>
      <c r="N1006" s="39"/>
      <c r="O1006" s="27">
        <f t="shared" si="121"/>
        <v>0.2589285714</v>
      </c>
      <c r="P1006" s="28">
        <f t="shared" si="122"/>
        <v>0</v>
      </c>
    </row>
    <row r="1007" hidden="1">
      <c r="A1007" s="16" t="s">
        <v>1560</v>
      </c>
      <c r="B1007" s="36"/>
      <c r="C1007" s="18"/>
      <c r="D1007" s="66"/>
      <c r="E1007" s="19">
        <v>0.0</v>
      </c>
      <c r="F1007" s="19">
        <v>0.0</v>
      </c>
      <c r="G1007" s="16" t="s">
        <v>70</v>
      </c>
      <c r="H1007" s="111"/>
      <c r="I1007" s="22"/>
      <c r="J1007" s="112"/>
      <c r="K1007" s="113">
        <v>202000.0</v>
      </c>
      <c r="L1007" s="44">
        <v>270000.0</v>
      </c>
      <c r="M1007" s="25"/>
      <c r="N1007" s="39"/>
      <c r="O1007" s="27">
        <f t="shared" si="121"/>
        <v>0.3366336634</v>
      </c>
      <c r="P1007" s="28">
        <f t="shared" si="122"/>
        <v>0</v>
      </c>
    </row>
    <row r="1008" hidden="1">
      <c r="A1008" s="16" t="s">
        <v>1561</v>
      </c>
      <c r="B1008" s="36"/>
      <c r="C1008" s="18"/>
      <c r="D1008" s="4"/>
      <c r="E1008" s="19">
        <v>0.0</v>
      </c>
      <c r="F1008" s="19">
        <v>0.0</v>
      </c>
      <c r="G1008" s="16" t="s">
        <v>70</v>
      </c>
      <c r="H1008" s="111"/>
      <c r="I1008" s="22"/>
      <c r="J1008" s="112"/>
      <c r="K1008" s="113">
        <v>190000.0</v>
      </c>
      <c r="L1008" s="44">
        <v>240000.0</v>
      </c>
      <c r="M1008" s="25"/>
      <c r="N1008" s="39"/>
      <c r="O1008" s="27">
        <f t="shared" si="121"/>
        <v>0.2631578947</v>
      </c>
      <c r="P1008" s="28">
        <f t="shared" si="122"/>
        <v>0</v>
      </c>
    </row>
    <row r="1009" hidden="1">
      <c r="A1009" s="16" t="s">
        <v>1562</v>
      </c>
      <c r="B1009" s="17"/>
      <c r="C1009" s="18"/>
      <c r="D1009" s="4"/>
      <c r="E1009" s="19">
        <v>0.0</v>
      </c>
      <c r="F1009" s="19">
        <v>0.0</v>
      </c>
      <c r="G1009" s="16" t="s">
        <v>400</v>
      </c>
      <c r="H1009" s="21"/>
      <c r="I1009" s="22">
        <v>3.0</v>
      </c>
      <c r="J1009" s="29"/>
      <c r="K1009" s="30">
        <v>21865.0</v>
      </c>
      <c r="L1009" s="24">
        <v>70000.0</v>
      </c>
      <c r="M1009" s="25"/>
      <c r="N1009" s="102">
        <v>50000.0</v>
      </c>
      <c r="O1009" s="27"/>
      <c r="P1009" s="28"/>
    </row>
    <row r="1010" hidden="1">
      <c r="A1010" s="16" t="s">
        <v>1563</v>
      </c>
      <c r="B1010" s="17"/>
      <c r="C1010" s="18"/>
      <c r="D1010" s="4"/>
      <c r="E1010" s="19">
        <v>0.0</v>
      </c>
      <c r="F1010" s="19">
        <v>0.0</v>
      </c>
      <c r="G1010" s="16" t="s">
        <v>1564</v>
      </c>
      <c r="H1010" s="21"/>
      <c r="I1010" s="22">
        <v>0.0</v>
      </c>
      <c r="J1010" s="29"/>
      <c r="K1010" s="32">
        <v>364000.0</v>
      </c>
      <c r="L1010" s="24">
        <v>430000.0</v>
      </c>
      <c r="M1010" s="25"/>
      <c r="N1010" s="102">
        <v>380000.0</v>
      </c>
      <c r="O1010" s="27">
        <f t="shared" ref="O1010:O1045" si="123">(L1010/K1010)-1</f>
        <v>0.1813186813</v>
      </c>
      <c r="P1010" s="28">
        <f t="shared" ref="P1010:P1019" si="124">K1010*F1010</f>
        <v>0</v>
      </c>
    </row>
    <row r="1011" hidden="1">
      <c r="A1011" s="122" t="s">
        <v>1565</v>
      </c>
      <c r="B1011" s="134"/>
      <c r="C1011" s="18"/>
      <c r="D1011" s="4"/>
      <c r="E1011" s="19">
        <v>0.0</v>
      </c>
      <c r="F1011" s="19">
        <v>0.0</v>
      </c>
      <c r="G1011" s="16" t="s">
        <v>16</v>
      </c>
      <c r="H1011" s="21"/>
      <c r="I1011" s="22" t="s">
        <v>1566</v>
      </c>
      <c r="J1011" s="29"/>
      <c r="K1011" s="43">
        <v>87500.0</v>
      </c>
      <c r="L1011" s="44">
        <v>240000.0</v>
      </c>
      <c r="M1011" s="25"/>
      <c r="N1011" s="102">
        <v>190000.0</v>
      </c>
      <c r="O1011" s="27">
        <f t="shared" si="123"/>
        <v>1.742857143</v>
      </c>
      <c r="P1011" s="28">
        <f t="shared" si="124"/>
        <v>0</v>
      </c>
    </row>
    <row r="1012" hidden="1">
      <c r="A1012" s="16" t="s">
        <v>1567</v>
      </c>
      <c r="B1012" s="36" t="s">
        <v>328</v>
      </c>
      <c r="C1012" s="18"/>
      <c r="D1012" s="4"/>
      <c r="E1012" s="19"/>
      <c r="F1012" s="19">
        <v>0.0</v>
      </c>
      <c r="G1012" s="16" t="s">
        <v>93</v>
      </c>
      <c r="H1012" s="21"/>
      <c r="I1012" s="22"/>
      <c r="J1012" s="29"/>
      <c r="K1012" s="48">
        <v>292300.0</v>
      </c>
      <c r="L1012" s="55">
        <v>365000.0</v>
      </c>
      <c r="M1012" s="25"/>
      <c r="N1012" s="69"/>
      <c r="O1012" s="27">
        <f t="shared" si="123"/>
        <v>0.2487170715</v>
      </c>
      <c r="P1012" s="28">
        <f t="shared" si="124"/>
        <v>0</v>
      </c>
    </row>
    <row r="1013" hidden="1">
      <c r="A1013" s="137" t="s">
        <v>1568</v>
      </c>
      <c r="B1013" s="17" t="s">
        <v>44</v>
      </c>
      <c r="C1013" s="18"/>
      <c r="D1013" s="4"/>
      <c r="E1013" s="19">
        <v>0.0</v>
      </c>
      <c r="F1013" s="19">
        <v>0.0</v>
      </c>
      <c r="G1013" s="16" t="s">
        <v>1569</v>
      </c>
      <c r="H1013" s="220"/>
      <c r="I1013" s="22">
        <v>0.0</v>
      </c>
      <c r="J1013" s="172"/>
      <c r="K1013" s="60">
        <v>2782560.0</v>
      </c>
      <c r="L1013" s="60">
        <v>3150000.0</v>
      </c>
      <c r="M1013" s="25"/>
      <c r="N1013" s="221">
        <v>3080000.0</v>
      </c>
      <c r="O1013" s="27">
        <f t="shared" si="123"/>
        <v>0.1320510609</v>
      </c>
      <c r="P1013" s="28">
        <f t="shared" si="124"/>
        <v>0</v>
      </c>
    </row>
    <row r="1014" hidden="1">
      <c r="A1014" s="16" t="s">
        <v>1570</v>
      </c>
      <c r="B1014" s="36" t="s">
        <v>1571</v>
      </c>
      <c r="C1014" s="18" t="s">
        <v>1572</v>
      </c>
      <c r="D1014" s="4"/>
      <c r="E1014" s="19"/>
      <c r="F1014" s="19"/>
      <c r="G1014" s="16" t="s">
        <v>1573</v>
      </c>
      <c r="H1014" s="21"/>
      <c r="I1014" s="22"/>
      <c r="J1014" s="23"/>
      <c r="K1014" s="55">
        <v>142000.0</v>
      </c>
      <c r="L1014" s="55">
        <v>250000.0</v>
      </c>
      <c r="M1014" s="25"/>
      <c r="N1014" s="102">
        <v>190000.0</v>
      </c>
      <c r="O1014" s="27">
        <f t="shared" si="123"/>
        <v>0.7605633803</v>
      </c>
      <c r="P1014" s="28">
        <f t="shared" si="124"/>
        <v>0</v>
      </c>
    </row>
    <row r="1015" hidden="1">
      <c r="A1015" s="16" t="s">
        <v>1574</v>
      </c>
      <c r="B1015" s="222" t="s">
        <v>1575</v>
      </c>
      <c r="C1015" s="18" t="s">
        <v>1572</v>
      </c>
      <c r="D1015" s="4"/>
      <c r="E1015" s="19"/>
      <c r="F1015" s="19"/>
      <c r="G1015" s="16" t="s">
        <v>1573</v>
      </c>
      <c r="H1015" s="21"/>
      <c r="I1015" s="22"/>
      <c r="J1015" s="45"/>
      <c r="K1015" s="60">
        <v>223000.0</v>
      </c>
      <c r="L1015" s="55">
        <v>350000.0</v>
      </c>
      <c r="M1015" s="25"/>
      <c r="N1015" s="39"/>
      <c r="O1015" s="27">
        <f t="shared" si="123"/>
        <v>0.5695067265</v>
      </c>
      <c r="P1015" s="28">
        <f t="shared" si="124"/>
        <v>0</v>
      </c>
    </row>
    <row r="1016" hidden="1">
      <c r="A1016" s="16" t="s">
        <v>1576</v>
      </c>
      <c r="B1016" s="36" t="s">
        <v>1577</v>
      </c>
      <c r="C1016" s="18"/>
      <c r="D1016" s="4" t="s">
        <v>998</v>
      </c>
      <c r="E1016" s="19">
        <v>0.0</v>
      </c>
      <c r="F1016" s="19">
        <v>31.0</v>
      </c>
      <c r="G1016" s="16" t="s">
        <v>1210</v>
      </c>
      <c r="H1016" s="21"/>
      <c r="I1016" s="22">
        <v>4.0</v>
      </c>
      <c r="J1016" s="58">
        <v>46327.0</v>
      </c>
      <c r="K1016" s="55">
        <f>102419*1.19</f>
        <v>121878.61</v>
      </c>
      <c r="L1016" s="55">
        <v>160000.0</v>
      </c>
      <c r="M1016" s="25" t="s">
        <v>82</v>
      </c>
      <c r="N1016" s="102">
        <v>140000.0</v>
      </c>
      <c r="O1016" s="27">
        <f t="shared" si="123"/>
        <v>0.3127816276</v>
      </c>
      <c r="P1016" s="28">
        <f t="shared" si="124"/>
        <v>3778236.91</v>
      </c>
    </row>
    <row r="1017" hidden="1">
      <c r="A1017" s="59" t="s">
        <v>1578</v>
      </c>
      <c r="B1017" s="17"/>
      <c r="C1017" s="18"/>
      <c r="D1017" s="4"/>
      <c r="E1017" s="19">
        <v>0.0</v>
      </c>
      <c r="F1017" s="19">
        <v>0.0</v>
      </c>
      <c r="G1017" s="16" t="s">
        <v>16</v>
      </c>
      <c r="H1017" s="21"/>
      <c r="I1017" s="22">
        <v>0.0</v>
      </c>
      <c r="J1017" s="29"/>
      <c r="K1017" s="30">
        <v>4023.1600000000003</v>
      </c>
      <c r="L1017" s="24">
        <v>50000.0</v>
      </c>
      <c r="M1017" s="25"/>
      <c r="N1017" s="39"/>
      <c r="O1017" s="27">
        <f t="shared" si="123"/>
        <v>11.42804164</v>
      </c>
      <c r="P1017" s="28">
        <f t="shared" si="124"/>
        <v>0</v>
      </c>
    </row>
    <row r="1018" hidden="1">
      <c r="A1018" s="59" t="s">
        <v>1579</v>
      </c>
      <c r="B1018" s="121"/>
      <c r="C1018" s="18"/>
      <c r="D1018" s="4"/>
      <c r="E1018" s="19">
        <v>0.0</v>
      </c>
      <c r="F1018" s="19">
        <v>0.0</v>
      </c>
      <c r="G1018" s="16" t="s">
        <v>16</v>
      </c>
      <c r="H1018" s="21"/>
      <c r="I1018" s="22">
        <v>0.0</v>
      </c>
      <c r="J1018" s="29"/>
      <c r="K1018" s="32">
        <v>4498.0</v>
      </c>
      <c r="L1018" s="24">
        <v>50000.0</v>
      </c>
      <c r="M1018" s="25"/>
      <c r="N1018" s="39"/>
      <c r="O1018" s="27">
        <f t="shared" si="123"/>
        <v>10.11605158</v>
      </c>
      <c r="P1018" s="28">
        <f t="shared" si="124"/>
        <v>0</v>
      </c>
    </row>
    <row r="1019" hidden="1">
      <c r="A1019" s="59" t="s">
        <v>1580</v>
      </c>
      <c r="B1019" s="121"/>
      <c r="C1019" s="18"/>
      <c r="D1019" s="4"/>
      <c r="E1019" s="19">
        <v>0.0</v>
      </c>
      <c r="F1019" s="19"/>
      <c r="G1019" s="20" t="s">
        <v>57</v>
      </c>
      <c r="H1019" s="21"/>
      <c r="I1019" s="22"/>
      <c r="J1019" s="29"/>
      <c r="K1019" s="32">
        <v>4498.0</v>
      </c>
      <c r="L1019" s="24">
        <v>50000.0</v>
      </c>
      <c r="M1019" s="25"/>
      <c r="N1019" s="39"/>
      <c r="O1019" s="27">
        <f t="shared" si="123"/>
        <v>10.11605158</v>
      </c>
      <c r="P1019" s="28">
        <f t="shared" si="124"/>
        <v>0</v>
      </c>
    </row>
    <row r="1020" hidden="1">
      <c r="A1020" s="16" t="s">
        <v>1581</v>
      </c>
      <c r="B1020" s="36" t="s">
        <v>1582</v>
      </c>
      <c r="C1020" s="18" t="s">
        <v>1572</v>
      </c>
      <c r="D1020" s="4"/>
      <c r="E1020" s="19"/>
      <c r="F1020" s="19"/>
      <c r="G1020" s="16" t="s">
        <v>1583</v>
      </c>
      <c r="H1020" s="21"/>
      <c r="I1020" s="22"/>
      <c r="J1020" s="23"/>
      <c r="K1020" s="55">
        <v>520000.0</v>
      </c>
      <c r="L1020" s="55">
        <v>590000.0</v>
      </c>
      <c r="M1020" s="25"/>
      <c r="N1020" s="102">
        <v>540000.0</v>
      </c>
      <c r="O1020" s="27">
        <f t="shared" si="123"/>
        <v>0.1346153846</v>
      </c>
      <c r="P1020" s="28">
        <f>K1020*F1021</f>
        <v>355667676000</v>
      </c>
    </row>
    <row r="1021" hidden="1">
      <c r="A1021" s="16" t="s">
        <v>1584</v>
      </c>
      <c r="B1021" s="36" t="s">
        <v>1585</v>
      </c>
      <c r="C1021" s="18" t="s">
        <v>1572</v>
      </c>
      <c r="D1021" s="4"/>
      <c r="E1021" s="19" t="s">
        <v>1250</v>
      </c>
      <c r="F1021" s="19">
        <f>574770*1.19</f>
        <v>683976.3</v>
      </c>
      <c r="G1021" s="16" t="s">
        <v>1583</v>
      </c>
      <c r="H1021" s="21"/>
      <c r="I1021" s="22"/>
      <c r="J1021" s="23"/>
      <c r="K1021" s="55">
        <f>574770*1.19</f>
        <v>683976.3</v>
      </c>
      <c r="L1021" s="55">
        <v>780000.0</v>
      </c>
      <c r="M1021" s="25"/>
      <c r="N1021" s="102">
        <v>720000.0</v>
      </c>
      <c r="O1021" s="27">
        <f t="shared" si="123"/>
        <v>0.1403903907</v>
      </c>
      <c r="P1021" s="28" t="str">
        <f>K1021*#REF!</f>
        <v>#REF!</v>
      </c>
    </row>
    <row r="1022" hidden="1">
      <c r="A1022" s="16" t="s">
        <v>1586</v>
      </c>
      <c r="B1022" s="49"/>
      <c r="C1022" s="18"/>
      <c r="D1022" s="4" t="s">
        <v>998</v>
      </c>
      <c r="E1022" s="19">
        <v>0.0</v>
      </c>
      <c r="F1022" s="19">
        <v>2.0</v>
      </c>
      <c r="G1022" s="20" t="s">
        <v>254</v>
      </c>
      <c r="H1022" s="21"/>
      <c r="I1022" s="22">
        <v>0.0</v>
      </c>
      <c r="J1022" s="23"/>
      <c r="K1022" s="24">
        <f>235000*1.19</f>
        <v>279650</v>
      </c>
      <c r="L1022" s="32">
        <v>380000.0</v>
      </c>
      <c r="M1022" s="25"/>
      <c r="N1022" s="39"/>
      <c r="O1022" s="27">
        <f t="shared" si="123"/>
        <v>0.3588414089</v>
      </c>
      <c r="P1022" s="28">
        <f t="shared" ref="P1022:P1039" si="125">K1022*F1022</f>
        <v>559300</v>
      </c>
    </row>
    <row r="1023" hidden="1">
      <c r="A1023" s="16" t="s">
        <v>1587</v>
      </c>
      <c r="B1023" s="49"/>
      <c r="C1023" s="18"/>
      <c r="D1023" s="4" t="s">
        <v>998</v>
      </c>
      <c r="E1023" s="19">
        <v>0.0</v>
      </c>
      <c r="F1023" s="19">
        <v>15.0</v>
      </c>
      <c r="G1023" s="20" t="s">
        <v>254</v>
      </c>
      <c r="H1023" s="21"/>
      <c r="I1023" s="22">
        <v>0.0</v>
      </c>
      <c r="J1023" s="23"/>
      <c r="K1023" s="24">
        <f t="shared" ref="K1023:K1024" si="126">245000*1.19</f>
        <v>291550</v>
      </c>
      <c r="L1023" s="32">
        <v>380000.0</v>
      </c>
      <c r="M1023" s="25"/>
      <c r="N1023" s="39"/>
      <c r="O1023" s="27">
        <f t="shared" si="123"/>
        <v>0.3033784943</v>
      </c>
      <c r="P1023" s="28">
        <f t="shared" si="125"/>
        <v>4373250</v>
      </c>
    </row>
    <row r="1024" hidden="1">
      <c r="A1024" s="16" t="s">
        <v>1588</v>
      </c>
      <c r="B1024" s="49"/>
      <c r="C1024" s="223" t="s">
        <v>1589</v>
      </c>
      <c r="D1024" s="4" t="s">
        <v>998</v>
      </c>
      <c r="E1024" s="19">
        <v>0.0</v>
      </c>
      <c r="F1024" s="19">
        <v>2.0</v>
      </c>
      <c r="G1024" s="20" t="s">
        <v>254</v>
      </c>
      <c r="H1024" s="21"/>
      <c r="I1024" s="22">
        <v>0.0</v>
      </c>
      <c r="J1024" s="23"/>
      <c r="K1024" s="24">
        <f t="shared" si="126"/>
        <v>291550</v>
      </c>
      <c r="L1024" s="32">
        <v>380000.0</v>
      </c>
      <c r="M1024" s="25"/>
      <c r="N1024" s="39"/>
      <c r="O1024" s="27">
        <f t="shared" si="123"/>
        <v>0.3033784943</v>
      </c>
      <c r="P1024" s="28">
        <f t="shared" si="125"/>
        <v>583100</v>
      </c>
    </row>
    <row r="1025" hidden="1">
      <c r="A1025" s="16" t="s">
        <v>1590</v>
      </c>
      <c r="B1025" s="17"/>
      <c r="C1025" s="18"/>
      <c r="D1025" s="4" t="s">
        <v>676</v>
      </c>
      <c r="E1025" s="19">
        <v>0.0</v>
      </c>
      <c r="F1025" s="19">
        <v>20.0</v>
      </c>
      <c r="G1025" s="16" t="s">
        <v>588</v>
      </c>
      <c r="H1025" s="21"/>
      <c r="I1025" s="22">
        <v>4.0</v>
      </c>
      <c r="J1025" s="47">
        <v>45383.0</v>
      </c>
      <c r="K1025" s="43">
        <v>5435.0</v>
      </c>
      <c r="L1025" s="44">
        <v>10000.0</v>
      </c>
      <c r="M1025" s="25"/>
      <c r="N1025" s="39"/>
      <c r="O1025" s="27">
        <f t="shared" si="123"/>
        <v>0.8399264029</v>
      </c>
      <c r="P1025" s="28">
        <f t="shared" si="125"/>
        <v>108700</v>
      </c>
    </row>
    <row r="1026" hidden="1">
      <c r="A1026" s="16" t="s">
        <v>1591</v>
      </c>
      <c r="B1026" s="16" t="s">
        <v>1592</v>
      </c>
      <c r="C1026" s="18"/>
      <c r="D1026" s="4"/>
      <c r="E1026" s="19">
        <v>0.0</v>
      </c>
      <c r="F1026" s="19">
        <v>0.0</v>
      </c>
      <c r="G1026" s="16" t="s">
        <v>588</v>
      </c>
      <c r="H1026" s="21"/>
      <c r="I1026" s="22" t="s">
        <v>1593</v>
      </c>
      <c r="J1026" s="29"/>
      <c r="K1026" s="48">
        <v>9089.0</v>
      </c>
      <c r="L1026" s="55">
        <v>14000.0</v>
      </c>
      <c r="M1026" s="25"/>
      <c r="N1026" s="39"/>
      <c r="O1026" s="27">
        <f t="shared" si="123"/>
        <v>0.5403234679</v>
      </c>
      <c r="P1026" s="28">
        <f t="shared" si="125"/>
        <v>0</v>
      </c>
    </row>
    <row r="1027" hidden="1">
      <c r="A1027" s="16" t="s">
        <v>1594</v>
      </c>
      <c r="B1027" s="16" t="s">
        <v>1595</v>
      </c>
      <c r="C1027" s="18"/>
      <c r="D1027" s="4"/>
      <c r="E1027" s="19">
        <v>0.0</v>
      </c>
      <c r="F1027" s="19">
        <v>0.0</v>
      </c>
      <c r="G1027" s="16" t="s">
        <v>588</v>
      </c>
      <c r="H1027" s="21"/>
      <c r="I1027" s="22">
        <v>0.0</v>
      </c>
      <c r="J1027" s="29"/>
      <c r="K1027" s="43">
        <v>7429.0</v>
      </c>
      <c r="L1027" s="44">
        <v>12000.0</v>
      </c>
      <c r="M1027" s="25"/>
      <c r="N1027" s="39"/>
      <c r="O1027" s="27">
        <f t="shared" si="123"/>
        <v>0.6152914255</v>
      </c>
      <c r="P1027" s="28">
        <f t="shared" si="125"/>
        <v>0</v>
      </c>
    </row>
    <row r="1028" hidden="1">
      <c r="A1028" s="16" t="s">
        <v>1596</v>
      </c>
      <c r="B1028" s="36"/>
      <c r="C1028" s="18"/>
      <c r="D1028" s="4"/>
      <c r="E1028" s="19">
        <v>0.0</v>
      </c>
      <c r="F1028" s="19"/>
      <c r="G1028" s="16" t="s">
        <v>57</v>
      </c>
      <c r="H1028" s="21"/>
      <c r="I1028" s="22"/>
      <c r="J1028" s="45"/>
      <c r="K1028" s="172">
        <v>1.0</v>
      </c>
      <c r="L1028" s="44">
        <v>1.0</v>
      </c>
      <c r="M1028" s="25" t="s">
        <v>82</v>
      </c>
      <c r="N1028" s="39"/>
      <c r="O1028" s="27">
        <f t="shared" si="123"/>
        <v>0</v>
      </c>
      <c r="P1028" s="28">
        <f t="shared" si="125"/>
        <v>0</v>
      </c>
    </row>
    <row r="1029" hidden="1">
      <c r="A1029" s="16" t="s">
        <v>1597</v>
      </c>
      <c r="B1029" s="157"/>
      <c r="C1029" s="92"/>
      <c r="D1029" s="4"/>
      <c r="E1029" s="19">
        <v>0.0</v>
      </c>
      <c r="F1029" s="19">
        <v>0.0</v>
      </c>
      <c r="G1029" s="137" t="s">
        <v>585</v>
      </c>
      <c r="H1029" s="21"/>
      <c r="I1029" s="22"/>
      <c r="J1029" s="29"/>
      <c r="K1029" s="48">
        <v>33700.0</v>
      </c>
      <c r="L1029" s="55">
        <v>44000.0</v>
      </c>
      <c r="M1029" s="25"/>
      <c r="N1029" s="102"/>
      <c r="O1029" s="27">
        <f t="shared" si="123"/>
        <v>0.3056379822</v>
      </c>
      <c r="P1029" s="28">
        <f t="shared" si="125"/>
        <v>0</v>
      </c>
    </row>
    <row r="1030" hidden="1">
      <c r="A1030" s="16" t="s">
        <v>1598</v>
      </c>
      <c r="B1030" s="157"/>
      <c r="C1030" s="92"/>
      <c r="D1030" s="4"/>
      <c r="E1030" s="19">
        <v>0.0</v>
      </c>
      <c r="F1030" s="19">
        <v>0.0</v>
      </c>
      <c r="G1030" s="137" t="s">
        <v>585</v>
      </c>
      <c r="H1030" s="21"/>
      <c r="I1030" s="22"/>
      <c r="J1030" s="29"/>
      <c r="K1030" s="48">
        <v>33700.0</v>
      </c>
      <c r="L1030" s="55">
        <v>44000.0</v>
      </c>
      <c r="M1030" s="25"/>
      <c r="N1030" s="102"/>
      <c r="O1030" s="27">
        <f t="shared" si="123"/>
        <v>0.3056379822</v>
      </c>
      <c r="P1030" s="28">
        <f t="shared" si="125"/>
        <v>0</v>
      </c>
    </row>
    <row r="1031" hidden="1">
      <c r="A1031" s="16" t="s">
        <v>1599</v>
      </c>
      <c r="B1031" s="157"/>
      <c r="C1031" s="92"/>
      <c r="D1031" s="4"/>
      <c r="E1031" s="19">
        <v>0.0</v>
      </c>
      <c r="F1031" s="19">
        <v>0.0</v>
      </c>
      <c r="G1031" s="137" t="s">
        <v>585</v>
      </c>
      <c r="H1031" s="21"/>
      <c r="I1031" s="22"/>
      <c r="J1031" s="29"/>
      <c r="K1031" s="48">
        <v>33700.0</v>
      </c>
      <c r="L1031" s="55">
        <v>44000.0</v>
      </c>
      <c r="M1031" s="25"/>
      <c r="N1031" s="102"/>
      <c r="O1031" s="27">
        <f t="shared" si="123"/>
        <v>0.3056379822</v>
      </c>
      <c r="P1031" s="28">
        <f t="shared" si="125"/>
        <v>0</v>
      </c>
    </row>
    <row r="1032" hidden="1">
      <c r="A1032" s="16" t="s">
        <v>1600</v>
      </c>
      <c r="B1032" s="17"/>
      <c r="C1032" s="18" t="s">
        <v>1601</v>
      </c>
      <c r="D1032" s="4"/>
      <c r="E1032" s="19">
        <v>0.0</v>
      </c>
      <c r="F1032" s="19">
        <v>0.0</v>
      </c>
      <c r="G1032" s="16" t="s">
        <v>1551</v>
      </c>
      <c r="H1032" s="21"/>
      <c r="I1032" s="22"/>
      <c r="J1032" s="29"/>
      <c r="K1032" s="44">
        <v>220000.0</v>
      </c>
      <c r="L1032" s="44">
        <v>220000.0</v>
      </c>
      <c r="M1032" s="25"/>
      <c r="N1032" s="26"/>
      <c r="O1032" s="27">
        <f t="shared" si="123"/>
        <v>0</v>
      </c>
      <c r="P1032" s="28">
        <f t="shared" si="125"/>
        <v>0</v>
      </c>
    </row>
    <row r="1033" hidden="1">
      <c r="A1033" s="16" t="s">
        <v>1602</v>
      </c>
      <c r="B1033" s="17"/>
      <c r="C1033" s="18"/>
      <c r="D1033" s="4"/>
      <c r="E1033" s="19">
        <v>0.0</v>
      </c>
      <c r="F1033" s="19">
        <v>0.0</v>
      </c>
      <c r="G1033" s="16" t="s">
        <v>16</v>
      </c>
      <c r="H1033" s="21"/>
      <c r="I1033" s="22" t="s">
        <v>1603</v>
      </c>
      <c r="J1033" s="29"/>
      <c r="K1033" s="32">
        <v>38000.0</v>
      </c>
      <c r="L1033" s="24">
        <v>80000.0</v>
      </c>
      <c r="M1033" s="25"/>
      <c r="N1033" s="26"/>
      <c r="O1033" s="27">
        <f t="shared" si="123"/>
        <v>1.105263158</v>
      </c>
      <c r="P1033" s="28">
        <f t="shared" si="125"/>
        <v>0</v>
      </c>
    </row>
    <row r="1034" hidden="1">
      <c r="A1034" s="59" t="s">
        <v>1604</v>
      </c>
      <c r="B1034" s="121"/>
      <c r="C1034" s="18" t="s">
        <v>547</v>
      </c>
      <c r="D1034" s="4"/>
      <c r="E1034" s="19">
        <v>0.0</v>
      </c>
      <c r="F1034" s="19"/>
      <c r="G1034" s="20" t="s">
        <v>57</v>
      </c>
      <c r="H1034" s="21"/>
      <c r="I1034" s="22"/>
      <c r="J1034" s="29"/>
      <c r="K1034" s="43"/>
      <c r="L1034" s="44"/>
      <c r="M1034" s="25"/>
      <c r="N1034" s="26"/>
      <c r="O1034" s="27" t="str">
        <f t="shared" si="123"/>
        <v>#DIV/0!</v>
      </c>
      <c r="P1034" s="28">
        <f t="shared" si="125"/>
        <v>0</v>
      </c>
    </row>
    <row r="1035" hidden="1">
      <c r="A1035" s="59" t="s">
        <v>1605</v>
      </c>
      <c r="B1035" s="121"/>
      <c r="C1035" s="18" t="s">
        <v>547</v>
      </c>
      <c r="D1035" s="4"/>
      <c r="E1035" s="19">
        <v>0.0</v>
      </c>
      <c r="F1035" s="19"/>
      <c r="G1035" s="20" t="s">
        <v>57</v>
      </c>
      <c r="H1035" s="21"/>
      <c r="I1035" s="22"/>
      <c r="J1035" s="29"/>
      <c r="K1035" s="43"/>
      <c r="L1035" s="44"/>
      <c r="M1035" s="25"/>
      <c r="N1035" s="26"/>
      <c r="O1035" s="27" t="str">
        <f t="shared" si="123"/>
        <v>#DIV/0!</v>
      </c>
      <c r="P1035" s="28">
        <f t="shared" si="125"/>
        <v>0</v>
      </c>
    </row>
    <row r="1036" hidden="1">
      <c r="A1036" s="16" t="s">
        <v>1606</v>
      </c>
      <c r="B1036" s="17"/>
      <c r="C1036" s="18" t="s">
        <v>1607</v>
      </c>
      <c r="D1036" s="4"/>
      <c r="E1036" s="19">
        <v>0.0</v>
      </c>
      <c r="F1036" s="19">
        <v>0.0</v>
      </c>
      <c r="G1036" s="16" t="s">
        <v>1608</v>
      </c>
      <c r="H1036" s="21"/>
      <c r="I1036" s="22">
        <v>0.0</v>
      </c>
      <c r="J1036" s="29"/>
      <c r="K1036" s="43">
        <f>180672*1.19*0.85</f>
        <v>182749.728</v>
      </c>
      <c r="L1036" s="44">
        <v>270000.0</v>
      </c>
      <c r="M1036" s="25"/>
      <c r="N1036" s="50"/>
      <c r="O1036" s="27">
        <f t="shared" si="123"/>
        <v>0.4774303795</v>
      </c>
      <c r="P1036" s="28">
        <f t="shared" si="125"/>
        <v>0</v>
      </c>
    </row>
    <row r="1037" hidden="1">
      <c r="A1037" s="42" t="s">
        <v>1609</v>
      </c>
      <c r="B1037" s="36"/>
      <c r="C1037" s="18"/>
      <c r="D1037" s="4"/>
      <c r="E1037" s="19">
        <v>0.0</v>
      </c>
      <c r="F1037" s="19">
        <v>0.0</v>
      </c>
      <c r="G1037" s="16" t="s">
        <v>84</v>
      </c>
      <c r="H1037" s="73"/>
      <c r="I1037" s="22">
        <v>0.0</v>
      </c>
      <c r="J1037" s="74"/>
      <c r="K1037" s="44">
        <v>60000.0</v>
      </c>
      <c r="L1037" s="44">
        <v>60000.0</v>
      </c>
      <c r="M1037" s="25"/>
      <c r="N1037" s="26"/>
      <c r="O1037" s="27">
        <f t="shared" si="123"/>
        <v>0</v>
      </c>
      <c r="P1037" s="28">
        <f t="shared" si="125"/>
        <v>0</v>
      </c>
    </row>
    <row r="1038" hidden="1">
      <c r="A1038" s="16" t="s">
        <v>1610</v>
      </c>
      <c r="B1038" s="17"/>
      <c r="C1038" s="18"/>
      <c r="D1038" s="4"/>
      <c r="E1038" s="19">
        <v>0.0</v>
      </c>
      <c r="F1038" s="19">
        <v>0.0</v>
      </c>
      <c r="G1038" s="16" t="s">
        <v>580</v>
      </c>
      <c r="H1038" s="21"/>
      <c r="I1038" s="22">
        <v>3.0</v>
      </c>
      <c r="J1038" s="29"/>
      <c r="K1038" s="43">
        <v>60000.0</v>
      </c>
      <c r="L1038" s="44">
        <v>110000.0</v>
      </c>
      <c r="M1038" s="25"/>
      <c r="N1038" s="69"/>
      <c r="O1038" s="27">
        <f t="shared" si="123"/>
        <v>0.8333333333</v>
      </c>
      <c r="P1038" s="28">
        <f t="shared" si="125"/>
        <v>0</v>
      </c>
    </row>
    <row r="1039" hidden="1">
      <c r="A1039" s="16" t="s">
        <v>1611</v>
      </c>
      <c r="B1039" s="17"/>
      <c r="C1039" s="18"/>
      <c r="D1039" s="4" t="s">
        <v>796</v>
      </c>
      <c r="E1039" s="19">
        <v>0.0</v>
      </c>
      <c r="F1039" s="19">
        <v>20.0</v>
      </c>
      <c r="G1039" s="16" t="s">
        <v>16</v>
      </c>
      <c r="H1039" s="21"/>
      <c r="I1039" s="22">
        <v>6.0</v>
      </c>
      <c r="J1039" s="29"/>
      <c r="K1039" s="43">
        <v>13438.0</v>
      </c>
      <c r="L1039" s="44">
        <v>40000.0</v>
      </c>
      <c r="M1039" s="25"/>
      <c r="N1039" s="26"/>
      <c r="O1039" s="27">
        <f t="shared" si="123"/>
        <v>1.976633428</v>
      </c>
      <c r="P1039" s="28">
        <f t="shared" si="125"/>
        <v>268760</v>
      </c>
    </row>
    <row r="1040" hidden="1">
      <c r="A1040" s="16" t="s">
        <v>1612</v>
      </c>
      <c r="B1040" s="36" t="s">
        <v>1613</v>
      </c>
      <c r="C1040" s="18"/>
      <c r="D1040" s="4"/>
      <c r="E1040" s="19"/>
      <c r="F1040" s="19"/>
      <c r="G1040" s="16" t="s">
        <v>1614</v>
      </c>
      <c r="H1040" s="21">
        <v>0.0</v>
      </c>
      <c r="I1040" s="22"/>
      <c r="J1040" s="29"/>
      <c r="K1040" s="32">
        <f>86900*1.19</f>
        <v>103411</v>
      </c>
      <c r="L1040" s="32">
        <v>150000.0</v>
      </c>
      <c r="M1040" s="25"/>
      <c r="N1040" s="26">
        <v>148000.0</v>
      </c>
      <c r="O1040" s="27">
        <f t="shared" si="123"/>
        <v>0.4505226717</v>
      </c>
      <c r="P1040" s="28"/>
    </row>
    <row r="1041" hidden="1">
      <c r="A1041" s="16" t="s">
        <v>1615</v>
      </c>
      <c r="B1041" s="36" t="s">
        <v>1616</v>
      </c>
      <c r="C1041" s="18"/>
      <c r="D1041" s="4"/>
      <c r="E1041" s="19"/>
      <c r="F1041" s="19"/>
      <c r="G1041" s="16" t="s">
        <v>1614</v>
      </c>
      <c r="H1041" s="21">
        <v>0.0</v>
      </c>
      <c r="I1041" s="22"/>
      <c r="J1041" s="29"/>
      <c r="K1041" s="32">
        <v>84500.0</v>
      </c>
      <c r="L1041" s="32">
        <v>130000.0</v>
      </c>
      <c r="M1041" s="25"/>
      <c r="N1041" s="26">
        <v>110000.0</v>
      </c>
      <c r="O1041" s="27">
        <f t="shared" si="123"/>
        <v>0.5384615385</v>
      </c>
      <c r="P1041" s="28"/>
    </row>
    <row r="1042" hidden="1">
      <c r="A1042" s="16" t="s">
        <v>1617</v>
      </c>
      <c r="B1042" s="17"/>
      <c r="C1042" s="18"/>
      <c r="D1042" s="4"/>
      <c r="E1042" s="19">
        <v>0.0</v>
      </c>
      <c r="F1042" s="19">
        <v>0.0</v>
      </c>
      <c r="G1042" s="16" t="s">
        <v>580</v>
      </c>
      <c r="H1042" s="21"/>
      <c r="I1042" s="22">
        <v>6.0</v>
      </c>
      <c r="J1042" s="29"/>
      <c r="K1042" s="43">
        <v>60000.0</v>
      </c>
      <c r="L1042" s="44">
        <v>110000.0</v>
      </c>
      <c r="M1042" s="25"/>
      <c r="N1042" s="69"/>
      <c r="O1042" s="27">
        <f t="shared" si="123"/>
        <v>0.8333333333</v>
      </c>
      <c r="P1042" s="28">
        <f t="shared" ref="P1042:P1045" si="127">K1042*F1042</f>
        <v>0</v>
      </c>
    </row>
    <row r="1043" hidden="1">
      <c r="A1043" s="16" t="s">
        <v>1618</v>
      </c>
      <c r="B1043" s="17"/>
      <c r="C1043" s="18"/>
      <c r="D1043" s="4"/>
      <c r="E1043" s="19"/>
      <c r="F1043" s="19"/>
      <c r="G1043" s="16" t="s">
        <v>1619</v>
      </c>
      <c r="H1043" s="21">
        <v>0.0</v>
      </c>
      <c r="I1043" s="22"/>
      <c r="J1043" s="29"/>
      <c r="K1043" s="43">
        <f>205882*1.19*0.85</f>
        <v>208249.643</v>
      </c>
      <c r="L1043" s="44">
        <v>270000.0</v>
      </c>
      <c r="M1043" s="25"/>
      <c r="N1043" s="50"/>
      <c r="O1043" s="27">
        <f t="shared" si="123"/>
        <v>0.2965208301</v>
      </c>
      <c r="P1043" s="28">
        <f t="shared" si="127"/>
        <v>0</v>
      </c>
    </row>
    <row r="1044" hidden="1">
      <c r="A1044" s="16" t="s">
        <v>1620</v>
      </c>
      <c r="B1044" s="17"/>
      <c r="C1044" s="18"/>
      <c r="D1044" s="4"/>
      <c r="E1044" s="19">
        <v>0.0</v>
      </c>
      <c r="F1044" s="19">
        <v>0.0</v>
      </c>
      <c r="G1044" s="16" t="s">
        <v>580</v>
      </c>
      <c r="H1044" s="21"/>
      <c r="I1044" s="22">
        <v>3.0</v>
      </c>
      <c r="J1044" s="29"/>
      <c r="K1044" s="43">
        <v>110000.0</v>
      </c>
      <c r="L1044" s="44">
        <v>180000.0</v>
      </c>
      <c r="M1044" s="25"/>
      <c r="N1044" s="69"/>
      <c r="O1044" s="27">
        <f t="shared" si="123"/>
        <v>0.6363636364</v>
      </c>
      <c r="P1044" s="28">
        <f t="shared" si="127"/>
        <v>0</v>
      </c>
    </row>
    <row r="1045" hidden="1">
      <c r="A1045" s="16" t="s">
        <v>1621</v>
      </c>
      <c r="B1045" s="17"/>
      <c r="C1045" s="18"/>
      <c r="D1045" s="4"/>
      <c r="E1045" s="19">
        <v>0.0</v>
      </c>
      <c r="F1045" s="19">
        <v>0.0</v>
      </c>
      <c r="G1045" s="16" t="s">
        <v>580</v>
      </c>
      <c r="H1045" s="21"/>
      <c r="I1045" s="22">
        <v>5.0</v>
      </c>
      <c r="J1045" s="29"/>
      <c r="K1045" s="43">
        <v>21000.0</v>
      </c>
      <c r="L1045" s="44">
        <v>54000.0</v>
      </c>
      <c r="M1045" s="25"/>
      <c r="N1045" s="69"/>
      <c r="O1045" s="27">
        <f t="shared" si="123"/>
        <v>1.571428571</v>
      </c>
      <c r="P1045" s="28">
        <f t="shared" si="127"/>
        <v>0</v>
      </c>
    </row>
    <row r="1046" hidden="1">
      <c r="A1046" s="16" t="s">
        <v>1622</v>
      </c>
      <c r="B1046" s="49"/>
      <c r="C1046" s="64"/>
      <c r="D1046" s="4"/>
      <c r="E1046" s="19"/>
      <c r="F1046" s="19"/>
      <c r="G1046" s="20" t="s">
        <v>98</v>
      </c>
      <c r="H1046" s="21">
        <v>0.0</v>
      </c>
      <c r="I1046" s="22"/>
      <c r="J1046" s="29"/>
      <c r="K1046" s="43"/>
      <c r="L1046" s="44"/>
      <c r="M1046" s="25"/>
      <c r="N1046" s="70"/>
      <c r="O1046" s="27"/>
      <c r="P1046" s="28"/>
    </row>
    <row r="1047" hidden="1">
      <c r="A1047" s="16" t="s">
        <v>1623</v>
      </c>
      <c r="B1047" s="49"/>
      <c r="C1047" s="64"/>
      <c r="D1047" s="4"/>
      <c r="E1047" s="19"/>
      <c r="F1047" s="19"/>
      <c r="G1047" s="20" t="s">
        <v>98</v>
      </c>
      <c r="H1047" s="21">
        <v>0.0</v>
      </c>
      <c r="I1047" s="22"/>
      <c r="J1047" s="29"/>
      <c r="K1047" s="43">
        <v>400000.0</v>
      </c>
      <c r="L1047" s="44">
        <v>479000.0</v>
      </c>
      <c r="M1047" s="25"/>
      <c r="N1047" s="70"/>
      <c r="O1047" s="27">
        <f t="shared" ref="O1047:O1063" si="128">(L1047/K1047)-1</f>
        <v>0.1975</v>
      </c>
      <c r="P1047" s="28">
        <f t="shared" ref="P1047:P1059" si="129">K1047*F1047</f>
        <v>0</v>
      </c>
    </row>
    <row r="1048" hidden="1">
      <c r="A1048" s="224" t="s">
        <v>1624</v>
      </c>
      <c r="B1048" s="36"/>
      <c r="C1048" s="18" t="s">
        <v>1572</v>
      </c>
      <c r="D1048" s="4"/>
      <c r="E1048" s="19">
        <v>0.0</v>
      </c>
      <c r="F1048" s="19">
        <v>0.0</v>
      </c>
      <c r="G1048" s="16" t="s">
        <v>1210</v>
      </c>
      <c r="H1048" s="21"/>
      <c r="I1048" s="22">
        <v>0.0</v>
      </c>
      <c r="J1048" s="29"/>
      <c r="K1048" s="48">
        <v>226900.0</v>
      </c>
      <c r="L1048" s="55">
        <v>290000.0</v>
      </c>
      <c r="M1048" s="25"/>
      <c r="N1048" s="26"/>
      <c r="O1048" s="27">
        <f t="shared" si="128"/>
        <v>0.2780960776</v>
      </c>
      <c r="P1048" s="28">
        <f t="shared" si="129"/>
        <v>0</v>
      </c>
    </row>
    <row r="1049" hidden="1">
      <c r="A1049" s="16" t="s">
        <v>1625</v>
      </c>
      <c r="B1049" s="36"/>
      <c r="C1049" s="18" t="s">
        <v>1572</v>
      </c>
      <c r="D1049" s="61"/>
      <c r="E1049" s="19"/>
      <c r="F1049" s="19"/>
      <c r="G1049" s="16" t="s">
        <v>1626</v>
      </c>
      <c r="H1049" s="21"/>
      <c r="I1049" s="22"/>
      <c r="J1049" s="29">
        <v>280.0</v>
      </c>
      <c r="K1049" s="48">
        <f>180000+91000</f>
        <v>271000</v>
      </c>
      <c r="L1049" s="55">
        <v>280000.0</v>
      </c>
      <c r="M1049" s="25"/>
      <c r="N1049" s="43">
        <v>270000.0</v>
      </c>
      <c r="O1049" s="27">
        <f t="shared" si="128"/>
        <v>0.0332103321</v>
      </c>
      <c r="P1049" s="28">
        <f t="shared" si="129"/>
        <v>0</v>
      </c>
    </row>
    <row r="1050" hidden="1">
      <c r="A1050" s="16" t="s">
        <v>1627</v>
      </c>
      <c r="B1050" s="36"/>
      <c r="C1050" s="18" t="s">
        <v>1572</v>
      </c>
      <c r="D1050" s="61"/>
      <c r="E1050" s="19"/>
      <c r="F1050" s="19"/>
      <c r="G1050" s="16" t="s">
        <v>1626</v>
      </c>
      <c r="H1050" s="21"/>
      <c r="I1050" s="22"/>
      <c r="J1050" s="29"/>
      <c r="K1050" s="48">
        <f>348480+87120+87120</f>
        <v>522720</v>
      </c>
      <c r="L1050" s="55">
        <v>650000.0</v>
      </c>
      <c r="M1050" s="25"/>
      <c r="N1050" s="26"/>
      <c r="O1050" s="27">
        <f t="shared" si="128"/>
        <v>0.2434955617</v>
      </c>
      <c r="P1050" s="28">
        <f t="shared" si="129"/>
        <v>0</v>
      </c>
    </row>
    <row r="1051" hidden="1">
      <c r="A1051" s="16" t="s">
        <v>1628</v>
      </c>
      <c r="B1051" s="36"/>
      <c r="C1051" s="18"/>
      <c r="D1051" s="4"/>
      <c r="E1051" s="19">
        <v>0.0</v>
      </c>
      <c r="F1051" s="19">
        <v>4.0</v>
      </c>
      <c r="G1051" s="16" t="s">
        <v>1400</v>
      </c>
      <c r="H1051" s="21"/>
      <c r="I1051" s="22"/>
      <c r="J1051" s="29"/>
      <c r="K1051" s="48">
        <v>178000.0</v>
      </c>
      <c r="L1051" s="55">
        <v>230000.0</v>
      </c>
      <c r="M1051" s="25"/>
      <c r="N1051" s="26"/>
      <c r="O1051" s="27">
        <f t="shared" si="128"/>
        <v>0.2921348315</v>
      </c>
      <c r="P1051" s="28">
        <f t="shared" si="129"/>
        <v>712000</v>
      </c>
    </row>
    <row r="1052" hidden="1">
      <c r="A1052" s="52" t="s">
        <v>1629</v>
      </c>
      <c r="B1052" s="17"/>
      <c r="C1052" s="18"/>
      <c r="D1052" s="4"/>
      <c r="E1052" s="19">
        <v>0.0</v>
      </c>
      <c r="F1052" s="19">
        <v>0.0</v>
      </c>
      <c r="G1052" s="16" t="s">
        <v>1630</v>
      </c>
      <c r="H1052" s="21"/>
      <c r="I1052" s="22">
        <v>1.0</v>
      </c>
      <c r="J1052" s="29"/>
      <c r="K1052" s="32">
        <v>60690.0</v>
      </c>
      <c r="L1052" s="24">
        <v>75000.0</v>
      </c>
      <c r="M1052" s="25"/>
      <c r="N1052" s="70"/>
      <c r="O1052" s="27">
        <f t="shared" si="128"/>
        <v>0.235788433</v>
      </c>
      <c r="P1052" s="200">
        <f t="shared" si="129"/>
        <v>0</v>
      </c>
    </row>
    <row r="1053" hidden="1">
      <c r="A1053" s="16" t="s">
        <v>1631</v>
      </c>
      <c r="B1053" s="36"/>
      <c r="C1053" s="18"/>
      <c r="D1053" s="4"/>
      <c r="E1053" s="19">
        <v>0.0</v>
      </c>
      <c r="F1053" s="19">
        <v>0.0</v>
      </c>
      <c r="G1053" s="16" t="s">
        <v>1400</v>
      </c>
      <c r="H1053" s="21"/>
      <c r="I1053" s="22"/>
      <c r="J1053" s="29"/>
      <c r="K1053" s="43">
        <v>417000.0</v>
      </c>
      <c r="L1053" s="44">
        <v>495000.0</v>
      </c>
      <c r="M1053" s="25"/>
      <c r="N1053" s="26"/>
      <c r="O1053" s="27">
        <f t="shared" si="128"/>
        <v>0.1870503597</v>
      </c>
      <c r="P1053" s="28">
        <f t="shared" si="129"/>
        <v>0</v>
      </c>
    </row>
    <row r="1054" hidden="1">
      <c r="A1054" s="118" t="s">
        <v>1632</v>
      </c>
      <c r="B1054" s="17"/>
      <c r="C1054" s="18"/>
      <c r="D1054" s="4"/>
      <c r="E1054" s="19">
        <v>0.0</v>
      </c>
      <c r="F1054" s="19">
        <v>0.0</v>
      </c>
      <c r="G1054" s="16" t="s">
        <v>437</v>
      </c>
      <c r="H1054" s="21"/>
      <c r="I1054" s="22">
        <v>67.0</v>
      </c>
      <c r="J1054" s="29"/>
      <c r="K1054" s="32">
        <v>4900.0</v>
      </c>
      <c r="L1054" s="24">
        <v>9000.0</v>
      </c>
      <c r="M1054" s="25"/>
      <c r="N1054" s="70"/>
      <c r="O1054" s="27">
        <f t="shared" si="128"/>
        <v>0.8367346939</v>
      </c>
      <c r="P1054" s="28">
        <f t="shared" si="129"/>
        <v>0</v>
      </c>
    </row>
    <row r="1055" hidden="1">
      <c r="A1055" s="16" t="s">
        <v>1633</v>
      </c>
      <c r="B1055" s="17"/>
      <c r="C1055" s="18"/>
      <c r="D1055" s="4"/>
      <c r="E1055" s="19">
        <v>0.0</v>
      </c>
      <c r="F1055" s="19"/>
      <c r="G1055" s="16" t="s">
        <v>57</v>
      </c>
      <c r="H1055" s="21"/>
      <c r="I1055" s="22"/>
      <c r="J1055" s="29"/>
      <c r="K1055" s="43">
        <v>214000.0</v>
      </c>
      <c r="L1055" s="44">
        <v>260000.0</v>
      </c>
      <c r="M1055" s="25"/>
      <c r="N1055" s="26"/>
      <c r="O1055" s="27">
        <f t="shared" si="128"/>
        <v>0.214953271</v>
      </c>
      <c r="P1055" s="28">
        <f t="shared" si="129"/>
        <v>0</v>
      </c>
    </row>
    <row r="1056" hidden="1">
      <c r="A1056" s="16" t="s">
        <v>1634</v>
      </c>
      <c r="B1056" s="36"/>
      <c r="C1056" s="18"/>
      <c r="D1056" s="4"/>
      <c r="E1056" s="19">
        <v>0.0</v>
      </c>
      <c r="F1056" s="19">
        <v>0.0</v>
      </c>
      <c r="G1056" s="16" t="s">
        <v>1635</v>
      </c>
      <c r="H1056" s="21"/>
      <c r="I1056" s="22">
        <v>3.0</v>
      </c>
      <c r="J1056" s="23"/>
      <c r="K1056" s="44">
        <f>91616*1.19</f>
        <v>109023.04</v>
      </c>
      <c r="L1056" s="44">
        <f t="shared" ref="L1056:L1058" si="130">18*8000</f>
        <v>144000</v>
      </c>
      <c r="M1056" s="25"/>
      <c r="N1056" s="26"/>
      <c r="O1056" s="27">
        <f t="shared" si="128"/>
        <v>0.3208217272</v>
      </c>
      <c r="P1056" s="28">
        <f t="shared" si="129"/>
        <v>0</v>
      </c>
    </row>
    <row r="1057" hidden="1">
      <c r="A1057" s="16" t="s">
        <v>1636</v>
      </c>
      <c r="B1057" s="36"/>
      <c r="C1057" s="18"/>
      <c r="D1057" s="4" t="s">
        <v>998</v>
      </c>
      <c r="E1057" s="19">
        <v>0.0</v>
      </c>
      <c r="F1057" s="19">
        <v>1.0</v>
      </c>
      <c r="G1057" s="16" t="s">
        <v>1635</v>
      </c>
      <c r="H1057" s="21"/>
      <c r="I1057" s="22">
        <v>2.0</v>
      </c>
      <c r="J1057" s="23"/>
      <c r="K1057" s="44">
        <f t="shared" ref="K1057:K1058" si="131">13628*8</f>
        <v>109024</v>
      </c>
      <c r="L1057" s="44">
        <f t="shared" si="130"/>
        <v>144000</v>
      </c>
      <c r="M1057" s="25"/>
      <c r="N1057" s="26"/>
      <c r="O1057" s="27">
        <f t="shared" si="128"/>
        <v>0.3208100969</v>
      </c>
      <c r="P1057" s="28">
        <f t="shared" si="129"/>
        <v>109024</v>
      </c>
    </row>
    <row r="1058" hidden="1">
      <c r="A1058" s="16" t="s">
        <v>1637</v>
      </c>
      <c r="B1058" s="36"/>
      <c r="C1058" s="18"/>
      <c r="D1058" s="4" t="s">
        <v>998</v>
      </c>
      <c r="E1058" s="19">
        <v>0.0</v>
      </c>
      <c r="F1058" s="19">
        <v>1.0</v>
      </c>
      <c r="G1058" s="16" t="s">
        <v>1635</v>
      </c>
      <c r="H1058" s="21"/>
      <c r="I1058" s="22">
        <v>2.0</v>
      </c>
      <c r="J1058" s="23"/>
      <c r="K1058" s="44">
        <f t="shared" si="131"/>
        <v>109024</v>
      </c>
      <c r="L1058" s="44">
        <f t="shared" si="130"/>
        <v>144000</v>
      </c>
      <c r="M1058" s="25"/>
      <c r="N1058" s="26"/>
      <c r="O1058" s="27">
        <f t="shared" si="128"/>
        <v>0.3208100969</v>
      </c>
      <c r="P1058" s="28">
        <f t="shared" si="129"/>
        <v>109024</v>
      </c>
    </row>
    <row r="1059" hidden="1">
      <c r="A1059" s="16" t="s">
        <v>1638</v>
      </c>
      <c r="B1059" s="17"/>
      <c r="C1059" s="18"/>
      <c r="D1059" s="4"/>
      <c r="E1059" s="19">
        <v>0.0</v>
      </c>
      <c r="F1059" s="19">
        <v>0.0</v>
      </c>
      <c r="G1059" s="16" t="s">
        <v>1639</v>
      </c>
      <c r="H1059" s="21"/>
      <c r="I1059" s="22" t="s">
        <v>99</v>
      </c>
      <c r="J1059" s="29"/>
      <c r="K1059" s="43">
        <v>110000.0</v>
      </c>
      <c r="L1059" s="44">
        <v>310000.0</v>
      </c>
      <c r="M1059" s="25"/>
      <c r="N1059" s="39"/>
      <c r="O1059" s="27">
        <f t="shared" si="128"/>
        <v>1.818181818</v>
      </c>
      <c r="P1059" s="28">
        <f t="shared" si="129"/>
        <v>0</v>
      </c>
    </row>
    <row r="1060" hidden="1">
      <c r="A1060" s="225" t="s">
        <v>1640</v>
      </c>
      <c r="B1060" s="17"/>
      <c r="C1060" s="18"/>
      <c r="D1060" s="4"/>
      <c r="E1060" s="19">
        <v>0.0</v>
      </c>
      <c r="F1060" s="19">
        <v>0.0</v>
      </c>
      <c r="G1060" s="16" t="s">
        <v>580</v>
      </c>
      <c r="H1060" s="21"/>
      <c r="I1060" s="22"/>
      <c r="J1060" s="29"/>
      <c r="K1060" s="30">
        <v>18497.79</v>
      </c>
      <c r="L1060" s="44">
        <v>55000.0</v>
      </c>
      <c r="M1060" s="25"/>
      <c r="N1060" s="69"/>
      <c r="O1060" s="27">
        <f t="shared" si="128"/>
        <v>1.973328165</v>
      </c>
      <c r="P1060" s="28"/>
    </row>
    <row r="1061" hidden="1">
      <c r="A1061" s="16" t="s">
        <v>1641</v>
      </c>
      <c r="B1061" s="126"/>
      <c r="C1061" s="18"/>
      <c r="D1061" s="4"/>
      <c r="E1061" s="19">
        <v>0.0</v>
      </c>
      <c r="F1061" s="19"/>
      <c r="G1061" s="16" t="s">
        <v>1642</v>
      </c>
      <c r="H1061" s="21"/>
      <c r="I1061" s="22"/>
      <c r="J1061" s="29"/>
      <c r="K1061" s="43">
        <f t="shared" ref="K1061:K1062" si="132">900</f>
        <v>900</v>
      </c>
      <c r="L1061" s="44">
        <v>4000.0</v>
      </c>
      <c r="M1061" s="25"/>
      <c r="N1061" s="26"/>
      <c r="O1061" s="27">
        <f t="shared" si="128"/>
        <v>3.444444444</v>
      </c>
      <c r="P1061" s="28">
        <f t="shared" ref="P1061:P1065" si="133">K1061*F1061</f>
        <v>0</v>
      </c>
    </row>
    <row r="1062" hidden="1">
      <c r="A1062" s="16" t="s">
        <v>1643</v>
      </c>
      <c r="B1062" s="167" t="s">
        <v>1644</v>
      </c>
      <c r="C1062" s="18"/>
      <c r="D1062" s="4"/>
      <c r="E1062" s="19">
        <v>0.0</v>
      </c>
      <c r="F1062" s="19"/>
      <c r="G1062" s="16" t="s">
        <v>1645</v>
      </c>
      <c r="H1062" s="21"/>
      <c r="I1062" s="22"/>
      <c r="J1062" s="29"/>
      <c r="K1062" s="43">
        <f t="shared" si="132"/>
        <v>900</v>
      </c>
      <c r="L1062" s="44">
        <v>4000.0</v>
      </c>
      <c r="M1062" s="25"/>
      <c r="N1062" s="26"/>
      <c r="O1062" s="27">
        <f t="shared" si="128"/>
        <v>3.444444444</v>
      </c>
      <c r="P1062" s="28">
        <f t="shared" si="133"/>
        <v>0</v>
      </c>
    </row>
    <row r="1063" hidden="1">
      <c r="A1063" s="16" t="s">
        <v>1646</v>
      </c>
      <c r="B1063" s="157" t="s">
        <v>1647</v>
      </c>
      <c r="C1063" s="18"/>
      <c r="D1063" s="4"/>
      <c r="E1063" s="19">
        <v>0.0</v>
      </c>
      <c r="F1063" s="19"/>
      <c r="G1063" s="16" t="s">
        <v>1642</v>
      </c>
      <c r="H1063" s="21"/>
      <c r="I1063" s="22"/>
      <c r="J1063" s="29"/>
      <c r="K1063" s="43">
        <f>9000/10</f>
        <v>900</v>
      </c>
      <c r="L1063" s="44">
        <v>4000.0</v>
      </c>
      <c r="M1063" s="25"/>
      <c r="N1063" s="26"/>
      <c r="O1063" s="27">
        <f t="shared" si="128"/>
        <v>3.444444444</v>
      </c>
      <c r="P1063" s="28">
        <f t="shared" si="133"/>
        <v>0</v>
      </c>
    </row>
    <row r="1064" hidden="1">
      <c r="A1064" s="16" t="s">
        <v>1648</v>
      </c>
      <c r="B1064" s="17" t="s">
        <v>1649</v>
      </c>
      <c r="C1064" s="18"/>
      <c r="D1064" s="19"/>
      <c r="E1064" s="19">
        <v>0.0</v>
      </c>
      <c r="F1064" s="19">
        <v>0.0</v>
      </c>
      <c r="G1064" s="16" t="s">
        <v>1650</v>
      </c>
      <c r="H1064" s="21"/>
      <c r="I1064" s="22">
        <v>2.0</v>
      </c>
      <c r="J1064" s="47">
        <v>46113.0</v>
      </c>
      <c r="K1064" s="48">
        <v>395304.0</v>
      </c>
      <c r="L1064" s="55">
        <v>495000.0</v>
      </c>
      <c r="M1064" s="25"/>
      <c r="N1064" s="26">
        <v>440000.0</v>
      </c>
      <c r="O1064" s="27">
        <f t="shared" ref="O1064:O1065" si="134">(L1064/K1064)-1</f>
        <v>0.2522008378</v>
      </c>
      <c r="P1064" s="28">
        <f t="shared" si="133"/>
        <v>0</v>
      </c>
    </row>
    <row r="1065" hidden="1">
      <c r="A1065" s="16" t="s">
        <v>1651</v>
      </c>
      <c r="B1065" s="17"/>
      <c r="C1065" s="18"/>
      <c r="D1065" s="4"/>
      <c r="E1065" s="19">
        <v>0.0</v>
      </c>
      <c r="F1065" s="19">
        <v>0.0</v>
      </c>
      <c r="G1065" s="16" t="s">
        <v>1650</v>
      </c>
      <c r="H1065" s="21"/>
      <c r="I1065" s="22"/>
      <c r="J1065" s="29"/>
      <c r="K1065" s="48">
        <f>495000/8</f>
        <v>61875</v>
      </c>
      <c r="L1065" s="55">
        <v>70000.0</v>
      </c>
      <c r="M1065" s="25"/>
      <c r="N1065" s="26"/>
      <c r="O1065" s="27">
        <f t="shared" si="134"/>
        <v>0.1313131313</v>
      </c>
      <c r="P1065" s="28">
        <f t="shared" si="133"/>
        <v>0</v>
      </c>
    </row>
    <row r="1066" hidden="1">
      <c r="A1066" s="16" t="s">
        <v>1652</v>
      </c>
      <c r="B1066" s="17"/>
      <c r="C1066" s="18"/>
      <c r="D1066" s="4"/>
      <c r="E1066" s="19">
        <v>0.0</v>
      </c>
      <c r="F1066" s="19">
        <v>0.0</v>
      </c>
      <c r="G1066" s="16" t="s">
        <v>400</v>
      </c>
      <c r="H1066" s="21"/>
      <c r="I1066" s="22">
        <v>3.0</v>
      </c>
      <c r="J1066" s="29"/>
      <c r="K1066" s="48">
        <v>136000.0</v>
      </c>
      <c r="L1066" s="55">
        <v>460000.0</v>
      </c>
      <c r="M1066" s="25"/>
      <c r="N1066" s="26"/>
      <c r="O1066" s="27">
        <f t="shared" ref="O1066:O1072" si="135">(L1066/K1066)-1</f>
        <v>2.382352941</v>
      </c>
      <c r="P1066" s="28"/>
    </row>
    <row r="1067" hidden="1">
      <c r="A1067" s="16" t="s">
        <v>1653</v>
      </c>
      <c r="B1067" s="17"/>
      <c r="C1067" s="18"/>
      <c r="D1067" s="4"/>
      <c r="E1067" s="19">
        <v>0.0</v>
      </c>
      <c r="F1067" s="19">
        <v>1.0</v>
      </c>
      <c r="G1067" s="16" t="s">
        <v>154</v>
      </c>
      <c r="H1067" s="21"/>
      <c r="I1067" s="22">
        <v>0.0</v>
      </c>
      <c r="J1067" s="29"/>
      <c r="K1067" s="48">
        <v>743000.0</v>
      </c>
      <c r="L1067" s="55">
        <v>1050000.0</v>
      </c>
      <c r="M1067" s="25"/>
      <c r="N1067" s="26"/>
      <c r="O1067" s="27">
        <f t="shared" si="135"/>
        <v>0.4131897712</v>
      </c>
      <c r="P1067" s="28"/>
    </row>
    <row r="1068" hidden="1">
      <c r="A1068" s="16" t="s">
        <v>1654</v>
      </c>
      <c r="B1068" s="17"/>
      <c r="C1068" s="18"/>
      <c r="D1068" s="4"/>
      <c r="E1068" s="19">
        <v>0.0</v>
      </c>
      <c r="F1068" s="19">
        <v>0.0</v>
      </c>
      <c r="G1068" s="16" t="s">
        <v>154</v>
      </c>
      <c r="H1068" s="21"/>
      <c r="I1068" s="22">
        <v>1.0</v>
      </c>
      <c r="J1068" s="29"/>
      <c r="K1068" s="48">
        <v>384000.0</v>
      </c>
      <c r="L1068" s="55">
        <v>540000.0</v>
      </c>
      <c r="M1068" s="25"/>
      <c r="N1068" s="117">
        <v>480000.0</v>
      </c>
      <c r="O1068" s="27">
        <f t="shared" si="135"/>
        <v>0.40625</v>
      </c>
      <c r="P1068" s="28"/>
    </row>
    <row r="1069" hidden="1">
      <c r="A1069" s="122" t="s">
        <v>1655</v>
      </c>
      <c r="B1069" s="17"/>
      <c r="C1069" s="18"/>
      <c r="D1069" s="4"/>
      <c r="E1069" s="19">
        <v>0.0</v>
      </c>
      <c r="F1069" s="19">
        <v>0.0</v>
      </c>
      <c r="G1069" s="16" t="s">
        <v>1108</v>
      </c>
      <c r="H1069" s="21"/>
      <c r="I1069" s="22"/>
      <c r="J1069" s="29">
        <f>200000*1.19</f>
        <v>238000</v>
      </c>
      <c r="K1069" s="48">
        <v>250000.0</v>
      </c>
      <c r="L1069" s="55">
        <v>420000.0</v>
      </c>
      <c r="M1069" s="25"/>
      <c r="N1069" s="102">
        <v>370000.0</v>
      </c>
      <c r="O1069" s="27">
        <f t="shared" si="135"/>
        <v>0.68</v>
      </c>
      <c r="P1069" s="28"/>
    </row>
    <row r="1070" hidden="1">
      <c r="A1070" s="122" t="s">
        <v>1656</v>
      </c>
      <c r="B1070" s="17"/>
      <c r="C1070" s="18"/>
      <c r="D1070" s="4"/>
      <c r="E1070" s="19">
        <v>0.0</v>
      </c>
      <c r="F1070" s="19">
        <v>0.0</v>
      </c>
      <c r="G1070" s="16" t="s">
        <v>1108</v>
      </c>
      <c r="H1070" s="73"/>
      <c r="I1070" s="22">
        <v>4.0</v>
      </c>
      <c r="J1070" s="74">
        <f>320000*1.19</f>
        <v>380800</v>
      </c>
      <c r="K1070" s="184">
        <v>380000.0</v>
      </c>
      <c r="L1070" s="55">
        <v>540000.0</v>
      </c>
      <c r="M1070" s="25"/>
      <c r="N1070" s="102">
        <v>480000.0</v>
      </c>
      <c r="O1070" s="27">
        <f t="shared" si="135"/>
        <v>0.4210526316</v>
      </c>
      <c r="P1070" s="28">
        <f>K1070*F1070</f>
        <v>0</v>
      </c>
    </row>
    <row r="1071" hidden="1">
      <c r="A1071" s="16" t="s">
        <v>1657</v>
      </c>
      <c r="B1071" s="17" t="s">
        <v>1658</v>
      </c>
      <c r="C1071" s="18"/>
      <c r="D1071" s="4"/>
      <c r="E1071" s="19">
        <v>0.0</v>
      </c>
      <c r="F1071" s="19">
        <v>0.0</v>
      </c>
      <c r="G1071" s="16" t="s">
        <v>1659</v>
      </c>
      <c r="H1071" s="21">
        <v>0.0</v>
      </c>
      <c r="I1071" s="22"/>
      <c r="J1071" s="29"/>
      <c r="K1071" s="32">
        <v>5000000.0</v>
      </c>
      <c r="L1071" s="24">
        <v>5500000.0</v>
      </c>
      <c r="M1071" s="25"/>
      <c r="N1071" s="26"/>
      <c r="O1071" s="27">
        <f t="shared" si="135"/>
        <v>0.1</v>
      </c>
      <c r="P1071" s="28"/>
    </row>
    <row r="1072" hidden="1">
      <c r="A1072" s="16" t="s">
        <v>1660</v>
      </c>
      <c r="B1072" s="17"/>
      <c r="C1072" s="18"/>
      <c r="D1072" s="4"/>
      <c r="E1072" s="19">
        <v>0.0</v>
      </c>
      <c r="F1072" s="19">
        <v>0.0</v>
      </c>
      <c r="G1072" s="16" t="s">
        <v>1661</v>
      </c>
      <c r="H1072" s="21"/>
      <c r="I1072" s="22"/>
      <c r="J1072" s="29"/>
      <c r="K1072" s="48">
        <v>150000.0</v>
      </c>
      <c r="L1072" s="55">
        <v>350000.0</v>
      </c>
      <c r="M1072" s="25"/>
      <c r="N1072" s="26">
        <v>240000.0</v>
      </c>
      <c r="O1072" s="27">
        <f t="shared" si="135"/>
        <v>1.333333333</v>
      </c>
      <c r="P1072" s="28"/>
    </row>
    <row r="1073" hidden="1">
      <c r="A1073" s="16" t="s">
        <v>1662</v>
      </c>
      <c r="B1073" s="17"/>
      <c r="C1073" s="18"/>
      <c r="D1073" s="4"/>
      <c r="E1073" s="19">
        <v>0.0</v>
      </c>
      <c r="F1073" s="19">
        <v>0.0</v>
      </c>
      <c r="G1073" s="16" t="s">
        <v>400</v>
      </c>
      <c r="H1073" s="21"/>
      <c r="I1073" s="22">
        <v>2.0</v>
      </c>
      <c r="J1073" s="29"/>
      <c r="K1073" s="48">
        <v>130000.0</v>
      </c>
      <c r="L1073" s="55">
        <v>280000.0</v>
      </c>
      <c r="M1073" s="25"/>
      <c r="N1073" s="26"/>
      <c r="O1073" s="27"/>
      <c r="P1073" s="28"/>
    </row>
    <row r="1074" hidden="1">
      <c r="A1074" s="122" t="s">
        <v>1663</v>
      </c>
      <c r="B1074" s="17"/>
      <c r="C1074" s="18"/>
      <c r="D1074" s="4"/>
      <c r="E1074" s="19">
        <v>0.0</v>
      </c>
      <c r="F1074" s="19">
        <v>0.0</v>
      </c>
      <c r="G1074" s="16" t="s">
        <v>16</v>
      </c>
      <c r="H1074" s="73"/>
      <c r="I1074" s="22">
        <v>0.0</v>
      </c>
      <c r="J1074" s="74"/>
      <c r="K1074" s="75"/>
      <c r="L1074" s="24">
        <v>240000.0</v>
      </c>
      <c r="M1074" s="25"/>
      <c r="N1074" s="26"/>
      <c r="O1074" s="27"/>
      <c r="P1074" s="28"/>
    </row>
    <row r="1075" hidden="1">
      <c r="A1075" s="16" t="s">
        <v>1664</v>
      </c>
      <c r="B1075" s="17"/>
      <c r="C1075" s="18"/>
      <c r="D1075" s="4"/>
      <c r="E1075" s="19">
        <v>0.0</v>
      </c>
      <c r="F1075" s="19">
        <v>0.0</v>
      </c>
      <c r="G1075" s="20" t="s">
        <v>78</v>
      </c>
      <c r="H1075" s="21">
        <v>0.0</v>
      </c>
      <c r="I1075" s="22">
        <v>0.0</v>
      </c>
      <c r="J1075" s="29"/>
      <c r="K1075" s="43">
        <v>18300.0</v>
      </c>
      <c r="L1075" s="44">
        <v>23000.0</v>
      </c>
      <c r="M1075" s="25" t="s">
        <v>82</v>
      </c>
      <c r="N1075" s="26"/>
      <c r="O1075" s="27">
        <f t="shared" ref="O1075:O1081" si="136">(L1075/K1075)-1</f>
        <v>0.2568306011</v>
      </c>
      <c r="P1075" s="28">
        <f t="shared" ref="P1075:P1081" si="137">K1075*F1075</f>
        <v>0</v>
      </c>
    </row>
    <row r="1076" hidden="1">
      <c r="A1076" s="16" t="s">
        <v>1665</v>
      </c>
      <c r="B1076" s="49"/>
      <c r="C1076" s="18"/>
      <c r="D1076" s="4"/>
      <c r="E1076" s="19">
        <v>0.0</v>
      </c>
      <c r="F1076" s="19">
        <v>0.0</v>
      </c>
      <c r="G1076" s="16" t="s">
        <v>1449</v>
      </c>
      <c r="H1076" s="21"/>
      <c r="I1076" s="22">
        <v>1.0</v>
      </c>
      <c r="J1076" s="47">
        <v>46054.0</v>
      </c>
      <c r="K1076" s="32">
        <v>9427.0</v>
      </c>
      <c r="L1076" s="24">
        <v>14000.0</v>
      </c>
      <c r="M1076" s="25" t="s">
        <v>76</v>
      </c>
      <c r="N1076" s="26"/>
      <c r="O1076" s="27">
        <f t="shared" si="136"/>
        <v>0.4850960008</v>
      </c>
      <c r="P1076" s="28">
        <f t="shared" si="137"/>
        <v>0</v>
      </c>
    </row>
    <row r="1077" hidden="1">
      <c r="A1077" s="16" t="s">
        <v>1666</v>
      </c>
      <c r="B1077" s="17"/>
      <c r="C1077" s="18"/>
      <c r="D1077" s="4"/>
      <c r="E1077" s="19">
        <v>0.0</v>
      </c>
      <c r="F1077" s="19"/>
      <c r="G1077" s="16" t="s">
        <v>1015</v>
      </c>
      <c r="H1077" s="21"/>
      <c r="I1077" s="22"/>
      <c r="J1077" s="29"/>
      <c r="K1077" s="43">
        <v>7000.0</v>
      </c>
      <c r="L1077" s="44">
        <v>10000.0</v>
      </c>
      <c r="M1077" s="25"/>
      <c r="N1077" s="26"/>
      <c r="O1077" s="27">
        <f t="shared" si="136"/>
        <v>0.4285714286</v>
      </c>
      <c r="P1077" s="28">
        <f t="shared" si="137"/>
        <v>0</v>
      </c>
    </row>
    <row r="1078" hidden="1">
      <c r="A1078" s="16" t="s">
        <v>1667</v>
      </c>
      <c r="B1078" s="17"/>
      <c r="C1078" s="18"/>
      <c r="D1078" s="4"/>
      <c r="E1078" s="19">
        <v>0.0</v>
      </c>
      <c r="F1078" s="19"/>
      <c r="G1078" s="16" t="s">
        <v>1015</v>
      </c>
      <c r="H1078" s="21"/>
      <c r="I1078" s="22"/>
      <c r="J1078" s="29"/>
      <c r="K1078" s="43">
        <v>7000.0</v>
      </c>
      <c r="L1078" s="44">
        <v>10000.0</v>
      </c>
      <c r="M1078" s="25"/>
      <c r="N1078" s="26"/>
      <c r="O1078" s="27">
        <f t="shared" si="136"/>
        <v>0.4285714286</v>
      </c>
      <c r="P1078" s="28">
        <f t="shared" si="137"/>
        <v>0</v>
      </c>
    </row>
    <row r="1079" hidden="1">
      <c r="A1079" s="16" t="s">
        <v>1668</v>
      </c>
      <c r="B1079" s="17"/>
      <c r="C1079" s="18"/>
      <c r="D1079" s="4"/>
      <c r="E1079" s="19">
        <v>0.0</v>
      </c>
      <c r="F1079" s="19"/>
      <c r="G1079" s="16" t="s">
        <v>1015</v>
      </c>
      <c r="H1079" s="21"/>
      <c r="I1079" s="22"/>
      <c r="J1079" s="29"/>
      <c r="K1079" s="43">
        <v>7000.0</v>
      </c>
      <c r="L1079" s="44">
        <v>10000.0</v>
      </c>
      <c r="M1079" s="25"/>
      <c r="N1079" s="26"/>
      <c r="O1079" s="27">
        <f t="shared" si="136"/>
        <v>0.4285714286</v>
      </c>
      <c r="P1079" s="28">
        <f t="shared" si="137"/>
        <v>0</v>
      </c>
    </row>
    <row r="1080" hidden="1">
      <c r="A1080" s="16" t="s">
        <v>1669</v>
      </c>
      <c r="B1080" s="36"/>
      <c r="C1080" s="18"/>
      <c r="D1080" s="4"/>
      <c r="E1080" s="19"/>
      <c r="F1080" s="19"/>
      <c r="G1080" s="16" t="s">
        <v>39</v>
      </c>
      <c r="H1080" s="21"/>
      <c r="I1080" s="22"/>
      <c r="J1080" s="29"/>
      <c r="K1080" s="32">
        <f t="shared" ref="K1080:K1081" si="138">24500/200</f>
        <v>122.5</v>
      </c>
      <c r="L1080" s="24">
        <v>500.0</v>
      </c>
      <c r="M1080" s="25"/>
      <c r="N1080" s="50"/>
      <c r="O1080" s="27">
        <f t="shared" si="136"/>
        <v>3.081632653</v>
      </c>
      <c r="P1080" s="28">
        <f t="shared" si="137"/>
        <v>0</v>
      </c>
    </row>
    <row r="1081" hidden="1">
      <c r="A1081" s="16" t="s">
        <v>1670</v>
      </c>
      <c r="B1081" s="36"/>
      <c r="C1081" s="18"/>
      <c r="D1081" s="4"/>
      <c r="E1081" s="19"/>
      <c r="F1081" s="19"/>
      <c r="G1081" s="16" t="s">
        <v>39</v>
      </c>
      <c r="H1081" s="21"/>
      <c r="I1081" s="22"/>
      <c r="J1081" s="29"/>
      <c r="K1081" s="32">
        <f t="shared" si="138"/>
        <v>122.5</v>
      </c>
      <c r="L1081" s="24">
        <v>500.0</v>
      </c>
      <c r="M1081" s="25"/>
      <c r="N1081" s="50"/>
      <c r="O1081" s="27">
        <f t="shared" si="136"/>
        <v>3.081632653</v>
      </c>
      <c r="P1081" s="28">
        <f t="shared" si="137"/>
        <v>0</v>
      </c>
    </row>
    <row r="1082" hidden="1">
      <c r="A1082" s="52" t="s">
        <v>1671</v>
      </c>
      <c r="B1082" s="17"/>
      <c r="C1082" s="18"/>
      <c r="D1082" s="4"/>
      <c r="E1082" s="19">
        <v>0.0</v>
      </c>
      <c r="F1082" s="19">
        <v>0.0</v>
      </c>
      <c r="G1082" s="16" t="s">
        <v>580</v>
      </c>
      <c r="H1082" s="21"/>
      <c r="I1082" s="22" t="s">
        <v>1672</v>
      </c>
      <c r="J1082" s="23"/>
      <c r="K1082" s="186">
        <v>10058.0</v>
      </c>
      <c r="L1082" s="24">
        <v>48000.0</v>
      </c>
      <c r="M1082" s="25"/>
      <c r="N1082" s="70"/>
      <c r="O1082" s="27"/>
      <c r="P1082" s="28"/>
    </row>
    <row r="1083" hidden="1">
      <c r="A1083" s="16" t="s">
        <v>1673</v>
      </c>
      <c r="B1083" s="17"/>
      <c r="C1083" s="18"/>
      <c r="D1083" s="4"/>
      <c r="E1083" s="19"/>
      <c r="F1083" s="19">
        <v>0.0</v>
      </c>
      <c r="G1083" s="16" t="s">
        <v>1225</v>
      </c>
      <c r="H1083" s="21"/>
      <c r="I1083" s="22"/>
      <c r="J1083" s="45"/>
      <c r="K1083" s="48">
        <f t="shared" ref="K1083:K1090" si="139">12940</f>
        <v>12940</v>
      </c>
      <c r="L1083" s="55">
        <v>22000.0</v>
      </c>
      <c r="M1083" s="25"/>
      <c r="N1083" s="31">
        <v>18000.0</v>
      </c>
      <c r="O1083" s="27">
        <f t="shared" ref="O1083:O1160" si="140">(L1083/K1083)-1</f>
        <v>0.7001545595</v>
      </c>
      <c r="P1083" s="28">
        <f t="shared" ref="P1083:P1102" si="141">K1083*F1083</f>
        <v>0</v>
      </c>
    </row>
    <row r="1084" hidden="1">
      <c r="A1084" s="16" t="s">
        <v>1674</v>
      </c>
      <c r="B1084" s="17"/>
      <c r="C1084" s="18"/>
      <c r="D1084" s="4"/>
      <c r="E1084" s="19"/>
      <c r="F1084" s="19">
        <v>0.0</v>
      </c>
      <c r="G1084" s="16" t="s">
        <v>1225</v>
      </c>
      <c r="H1084" s="21"/>
      <c r="I1084" s="22"/>
      <c r="J1084" s="45"/>
      <c r="K1084" s="48">
        <f t="shared" si="139"/>
        <v>12940</v>
      </c>
      <c r="L1084" s="55">
        <v>22000.0</v>
      </c>
      <c r="M1084" s="25"/>
      <c r="N1084" s="31">
        <v>18000.0</v>
      </c>
      <c r="O1084" s="27">
        <f t="shared" si="140"/>
        <v>0.7001545595</v>
      </c>
      <c r="P1084" s="28">
        <f t="shared" si="141"/>
        <v>0</v>
      </c>
    </row>
    <row r="1085" hidden="1">
      <c r="A1085" s="16" t="s">
        <v>1675</v>
      </c>
      <c r="B1085" s="17"/>
      <c r="C1085" s="18"/>
      <c r="D1085" s="4"/>
      <c r="E1085" s="19"/>
      <c r="F1085" s="19">
        <v>0.0</v>
      </c>
      <c r="G1085" s="16" t="s">
        <v>1225</v>
      </c>
      <c r="H1085" s="21"/>
      <c r="I1085" s="22"/>
      <c r="J1085" s="45"/>
      <c r="K1085" s="48">
        <f t="shared" si="139"/>
        <v>12940</v>
      </c>
      <c r="L1085" s="55">
        <v>22000.0</v>
      </c>
      <c r="M1085" s="25"/>
      <c r="N1085" s="31">
        <v>18000.0</v>
      </c>
      <c r="O1085" s="27">
        <f t="shared" si="140"/>
        <v>0.7001545595</v>
      </c>
      <c r="P1085" s="28">
        <f t="shared" si="141"/>
        <v>0</v>
      </c>
    </row>
    <row r="1086" hidden="1">
      <c r="A1086" s="16" t="s">
        <v>1676</v>
      </c>
      <c r="B1086" s="17"/>
      <c r="C1086" s="18"/>
      <c r="D1086" s="4"/>
      <c r="E1086" s="19"/>
      <c r="F1086" s="19">
        <v>2.0</v>
      </c>
      <c r="G1086" s="16" t="s">
        <v>1225</v>
      </c>
      <c r="H1086" s="21"/>
      <c r="I1086" s="22"/>
      <c r="J1086" s="45"/>
      <c r="K1086" s="48">
        <f t="shared" si="139"/>
        <v>12940</v>
      </c>
      <c r="L1086" s="55">
        <v>22000.0</v>
      </c>
      <c r="M1086" s="25"/>
      <c r="N1086" s="31">
        <v>18000.0</v>
      </c>
      <c r="O1086" s="27">
        <f t="shared" si="140"/>
        <v>0.7001545595</v>
      </c>
      <c r="P1086" s="28">
        <f t="shared" si="141"/>
        <v>25880</v>
      </c>
    </row>
    <row r="1087" hidden="1">
      <c r="A1087" s="16" t="s">
        <v>1677</v>
      </c>
      <c r="B1087" s="17"/>
      <c r="C1087" s="18"/>
      <c r="D1087" s="4"/>
      <c r="E1087" s="19"/>
      <c r="F1087" s="19">
        <v>0.0</v>
      </c>
      <c r="G1087" s="16" t="s">
        <v>1225</v>
      </c>
      <c r="H1087" s="21"/>
      <c r="I1087" s="22"/>
      <c r="J1087" s="45"/>
      <c r="K1087" s="48">
        <f t="shared" si="139"/>
        <v>12940</v>
      </c>
      <c r="L1087" s="55">
        <v>22000.0</v>
      </c>
      <c r="M1087" s="25"/>
      <c r="N1087" s="31">
        <v>18000.0</v>
      </c>
      <c r="O1087" s="27">
        <f t="shared" si="140"/>
        <v>0.7001545595</v>
      </c>
      <c r="P1087" s="28">
        <f t="shared" si="141"/>
        <v>0</v>
      </c>
    </row>
    <row r="1088" hidden="1">
      <c r="A1088" s="16" t="s">
        <v>1678</v>
      </c>
      <c r="B1088" s="17"/>
      <c r="C1088" s="18"/>
      <c r="D1088" s="4"/>
      <c r="E1088" s="19"/>
      <c r="F1088" s="19">
        <v>2.0</v>
      </c>
      <c r="G1088" s="16" t="s">
        <v>1225</v>
      </c>
      <c r="H1088" s="21"/>
      <c r="I1088" s="22"/>
      <c r="J1088" s="45"/>
      <c r="K1088" s="48">
        <f t="shared" si="139"/>
        <v>12940</v>
      </c>
      <c r="L1088" s="55">
        <v>22000.0</v>
      </c>
      <c r="M1088" s="25"/>
      <c r="N1088" s="31">
        <v>18000.0</v>
      </c>
      <c r="O1088" s="27">
        <f t="shared" si="140"/>
        <v>0.7001545595</v>
      </c>
      <c r="P1088" s="28">
        <f t="shared" si="141"/>
        <v>25880</v>
      </c>
    </row>
    <row r="1089" hidden="1">
      <c r="A1089" s="16" t="s">
        <v>1679</v>
      </c>
      <c r="B1089" s="17"/>
      <c r="C1089" s="18"/>
      <c r="D1089" s="4"/>
      <c r="E1089" s="19"/>
      <c r="F1089" s="19">
        <v>4.0</v>
      </c>
      <c r="G1089" s="16" t="s">
        <v>1225</v>
      </c>
      <c r="H1089" s="21"/>
      <c r="I1089" s="22"/>
      <c r="J1089" s="45"/>
      <c r="K1089" s="48">
        <f t="shared" si="139"/>
        <v>12940</v>
      </c>
      <c r="L1089" s="55">
        <v>22000.0</v>
      </c>
      <c r="M1089" s="25"/>
      <c r="N1089" s="31">
        <v>18000.0</v>
      </c>
      <c r="O1089" s="27">
        <f t="shared" si="140"/>
        <v>0.7001545595</v>
      </c>
      <c r="P1089" s="28">
        <f t="shared" si="141"/>
        <v>51760</v>
      </c>
    </row>
    <row r="1090" hidden="1">
      <c r="A1090" s="16" t="s">
        <v>1680</v>
      </c>
      <c r="B1090" s="17"/>
      <c r="C1090" s="18"/>
      <c r="D1090" s="4"/>
      <c r="E1090" s="19"/>
      <c r="F1090" s="19">
        <v>2.0</v>
      </c>
      <c r="G1090" s="16" t="s">
        <v>1225</v>
      </c>
      <c r="H1090" s="21"/>
      <c r="I1090" s="22"/>
      <c r="J1090" s="45"/>
      <c r="K1090" s="48">
        <f t="shared" si="139"/>
        <v>12940</v>
      </c>
      <c r="L1090" s="55">
        <v>22000.0</v>
      </c>
      <c r="M1090" s="25"/>
      <c r="N1090" s="31">
        <v>18000.0</v>
      </c>
      <c r="O1090" s="27">
        <f t="shared" si="140"/>
        <v>0.7001545595</v>
      </c>
      <c r="P1090" s="28">
        <f t="shared" si="141"/>
        <v>25880</v>
      </c>
    </row>
    <row r="1091" hidden="1">
      <c r="A1091" s="16" t="s">
        <v>1681</v>
      </c>
      <c r="B1091" s="17"/>
      <c r="C1091" s="18"/>
      <c r="D1091" s="4"/>
      <c r="E1091" s="19"/>
      <c r="F1091" s="19">
        <v>0.0</v>
      </c>
      <c r="G1091" s="16" t="s">
        <v>1225</v>
      </c>
      <c r="H1091" s="21"/>
      <c r="I1091" s="22"/>
      <c r="J1091" s="29"/>
      <c r="K1091" s="48">
        <v>14340.0</v>
      </c>
      <c r="L1091" s="55">
        <v>25000.0</v>
      </c>
      <c r="M1091" s="25"/>
      <c r="N1091" s="26">
        <v>20000.0</v>
      </c>
      <c r="O1091" s="27">
        <f t="shared" si="140"/>
        <v>0.7433751743</v>
      </c>
      <c r="P1091" s="28">
        <f t="shared" si="141"/>
        <v>0</v>
      </c>
    </row>
    <row r="1092" hidden="1">
      <c r="A1092" s="16" t="s">
        <v>1682</v>
      </c>
      <c r="B1092" s="17"/>
      <c r="C1092" s="18"/>
      <c r="D1092" s="4"/>
      <c r="E1092" s="19"/>
      <c r="F1092" s="19">
        <v>0.0</v>
      </c>
      <c r="G1092" s="16" t="s">
        <v>1225</v>
      </c>
      <c r="H1092" s="21"/>
      <c r="I1092" s="22"/>
      <c r="J1092" s="45"/>
      <c r="K1092" s="48">
        <f t="shared" ref="K1092:K1094" si="142">12940</f>
        <v>12940</v>
      </c>
      <c r="L1092" s="55">
        <v>22000.0</v>
      </c>
      <c r="M1092" s="25"/>
      <c r="N1092" s="31">
        <v>18000.0</v>
      </c>
      <c r="O1092" s="27">
        <f t="shared" si="140"/>
        <v>0.7001545595</v>
      </c>
      <c r="P1092" s="28">
        <f t="shared" si="141"/>
        <v>0</v>
      </c>
    </row>
    <row r="1093" hidden="1">
      <c r="A1093" s="16" t="s">
        <v>1683</v>
      </c>
      <c r="B1093" s="17"/>
      <c r="C1093" s="18"/>
      <c r="D1093" s="4"/>
      <c r="E1093" s="19"/>
      <c r="F1093" s="19">
        <v>3.0</v>
      </c>
      <c r="G1093" s="16" t="s">
        <v>1225</v>
      </c>
      <c r="H1093" s="21"/>
      <c r="I1093" s="22"/>
      <c r="J1093" s="45"/>
      <c r="K1093" s="48">
        <f t="shared" si="142"/>
        <v>12940</v>
      </c>
      <c r="L1093" s="55">
        <v>22000.0</v>
      </c>
      <c r="M1093" s="25"/>
      <c r="N1093" s="31">
        <v>18000.0</v>
      </c>
      <c r="O1093" s="27">
        <f t="shared" si="140"/>
        <v>0.7001545595</v>
      </c>
      <c r="P1093" s="28">
        <f t="shared" si="141"/>
        <v>38820</v>
      </c>
    </row>
    <row r="1094" hidden="1">
      <c r="A1094" s="16" t="s">
        <v>1684</v>
      </c>
      <c r="B1094" s="17"/>
      <c r="C1094" s="18"/>
      <c r="D1094" s="4"/>
      <c r="E1094" s="19"/>
      <c r="F1094" s="19">
        <v>2.0</v>
      </c>
      <c r="G1094" s="16" t="s">
        <v>1225</v>
      </c>
      <c r="H1094" s="21"/>
      <c r="I1094" s="22"/>
      <c r="J1094" s="45"/>
      <c r="K1094" s="48">
        <f t="shared" si="142"/>
        <v>12940</v>
      </c>
      <c r="L1094" s="55">
        <v>22000.0</v>
      </c>
      <c r="M1094" s="25"/>
      <c r="N1094" s="31">
        <v>18000.0</v>
      </c>
      <c r="O1094" s="27">
        <f t="shared" si="140"/>
        <v>0.7001545595</v>
      </c>
      <c r="P1094" s="28">
        <f t="shared" si="141"/>
        <v>25880</v>
      </c>
    </row>
    <row r="1095" hidden="1">
      <c r="A1095" s="16" t="s">
        <v>1685</v>
      </c>
      <c r="B1095" s="36"/>
      <c r="C1095" s="18"/>
      <c r="D1095" s="98"/>
      <c r="E1095" s="19">
        <v>0.0</v>
      </c>
      <c r="F1095" s="19"/>
      <c r="G1095" s="20" t="s">
        <v>610</v>
      </c>
      <c r="H1095" s="21"/>
      <c r="I1095" s="22"/>
      <c r="J1095" s="23"/>
      <c r="K1095" s="24">
        <v>39270.0</v>
      </c>
      <c r="L1095" s="24">
        <v>62000.0</v>
      </c>
      <c r="M1095" s="25"/>
      <c r="N1095" s="26"/>
      <c r="O1095" s="27">
        <f t="shared" si="140"/>
        <v>0.5788133435</v>
      </c>
      <c r="P1095" s="28">
        <f t="shared" si="141"/>
        <v>0</v>
      </c>
    </row>
    <row r="1096" hidden="1">
      <c r="A1096" s="16" t="s">
        <v>1686</v>
      </c>
      <c r="B1096" s="36"/>
      <c r="C1096" s="18" t="s">
        <v>1020</v>
      </c>
      <c r="D1096" s="98"/>
      <c r="E1096" s="19">
        <v>0.0</v>
      </c>
      <c r="F1096" s="19"/>
      <c r="G1096" s="20" t="s">
        <v>610</v>
      </c>
      <c r="H1096" s="21"/>
      <c r="I1096" s="22"/>
      <c r="J1096" s="23"/>
      <c r="K1096" s="24">
        <v>39270.0</v>
      </c>
      <c r="L1096" s="24">
        <v>62000.0</v>
      </c>
      <c r="M1096" s="25"/>
      <c r="N1096" s="26"/>
      <c r="O1096" s="27">
        <f t="shared" si="140"/>
        <v>0.5788133435</v>
      </c>
      <c r="P1096" s="28">
        <f t="shared" si="141"/>
        <v>0</v>
      </c>
    </row>
    <row r="1097" hidden="1">
      <c r="A1097" s="16" t="s">
        <v>1687</v>
      </c>
      <c r="B1097" s="36"/>
      <c r="C1097" s="18" t="s">
        <v>1020</v>
      </c>
      <c r="D1097" s="98"/>
      <c r="E1097" s="19">
        <v>0.0</v>
      </c>
      <c r="F1097" s="19"/>
      <c r="G1097" s="20" t="s">
        <v>610</v>
      </c>
      <c r="H1097" s="21"/>
      <c r="I1097" s="22"/>
      <c r="J1097" s="23"/>
      <c r="K1097" s="24">
        <v>39270.0</v>
      </c>
      <c r="L1097" s="24">
        <v>62000.0</v>
      </c>
      <c r="M1097" s="25"/>
      <c r="N1097" s="26"/>
      <c r="O1097" s="27">
        <f t="shared" si="140"/>
        <v>0.5788133435</v>
      </c>
      <c r="P1097" s="28">
        <f t="shared" si="141"/>
        <v>0</v>
      </c>
    </row>
    <row r="1098" hidden="1">
      <c r="A1098" s="16" t="s">
        <v>1688</v>
      </c>
      <c r="B1098" s="36"/>
      <c r="C1098" s="18" t="s">
        <v>1020</v>
      </c>
      <c r="D1098" s="98"/>
      <c r="E1098" s="19">
        <v>0.0</v>
      </c>
      <c r="F1098" s="19"/>
      <c r="G1098" s="20" t="s">
        <v>610</v>
      </c>
      <c r="H1098" s="21"/>
      <c r="I1098" s="22"/>
      <c r="J1098" s="23"/>
      <c r="K1098" s="24">
        <v>39270.0</v>
      </c>
      <c r="L1098" s="24">
        <v>62000.0</v>
      </c>
      <c r="M1098" s="25"/>
      <c r="N1098" s="26"/>
      <c r="O1098" s="27">
        <f t="shared" si="140"/>
        <v>0.5788133435</v>
      </c>
      <c r="P1098" s="28">
        <f t="shared" si="141"/>
        <v>0</v>
      </c>
    </row>
    <row r="1099" hidden="1">
      <c r="A1099" s="16" t="s">
        <v>1689</v>
      </c>
      <c r="B1099" s="36"/>
      <c r="C1099" s="18"/>
      <c r="D1099" s="98"/>
      <c r="E1099" s="19">
        <v>0.0</v>
      </c>
      <c r="F1099" s="19"/>
      <c r="G1099" s="20" t="s">
        <v>610</v>
      </c>
      <c r="H1099" s="21"/>
      <c r="I1099" s="22"/>
      <c r="J1099" s="23"/>
      <c r="K1099" s="24">
        <v>39270.0</v>
      </c>
      <c r="L1099" s="24">
        <v>62000.0</v>
      </c>
      <c r="M1099" s="25"/>
      <c r="N1099" s="26"/>
      <c r="O1099" s="27">
        <f t="shared" si="140"/>
        <v>0.5788133435</v>
      </c>
      <c r="P1099" s="28">
        <f t="shared" si="141"/>
        <v>0</v>
      </c>
    </row>
    <row r="1100" hidden="1">
      <c r="A1100" s="16" t="s">
        <v>1690</v>
      </c>
      <c r="B1100" s="36"/>
      <c r="C1100" s="18"/>
      <c r="D1100" s="98"/>
      <c r="E1100" s="19">
        <v>0.0</v>
      </c>
      <c r="F1100" s="19"/>
      <c r="G1100" s="20" t="s">
        <v>610</v>
      </c>
      <c r="H1100" s="21"/>
      <c r="I1100" s="22"/>
      <c r="J1100" s="23"/>
      <c r="K1100" s="24">
        <v>39270.0</v>
      </c>
      <c r="L1100" s="24">
        <v>62000.0</v>
      </c>
      <c r="M1100" s="25"/>
      <c r="N1100" s="26"/>
      <c r="O1100" s="27">
        <f t="shared" si="140"/>
        <v>0.5788133435</v>
      </c>
      <c r="P1100" s="28">
        <f t="shared" si="141"/>
        <v>0</v>
      </c>
    </row>
    <row r="1101" hidden="1">
      <c r="A1101" s="16" t="s">
        <v>1691</v>
      </c>
      <c r="B1101" s="36"/>
      <c r="C1101" s="18"/>
      <c r="D1101" s="98"/>
      <c r="E1101" s="19">
        <v>0.0</v>
      </c>
      <c r="F1101" s="19"/>
      <c r="G1101" s="20" t="s">
        <v>610</v>
      </c>
      <c r="H1101" s="21"/>
      <c r="I1101" s="22"/>
      <c r="J1101" s="23"/>
      <c r="K1101" s="24">
        <v>39270.0</v>
      </c>
      <c r="L1101" s="24">
        <v>62000.0</v>
      </c>
      <c r="M1101" s="25"/>
      <c r="N1101" s="26"/>
      <c r="O1101" s="27">
        <f t="shared" si="140"/>
        <v>0.5788133435</v>
      </c>
      <c r="P1101" s="28">
        <f t="shared" si="141"/>
        <v>0</v>
      </c>
    </row>
    <row r="1102" hidden="1">
      <c r="A1102" s="40" t="s">
        <v>1692</v>
      </c>
      <c r="B1102" s="36"/>
      <c r="C1102" s="18" t="s">
        <v>1020</v>
      </c>
      <c r="D1102" s="98"/>
      <c r="E1102" s="19">
        <v>0.0</v>
      </c>
      <c r="F1102" s="19"/>
      <c r="G1102" s="20" t="s">
        <v>610</v>
      </c>
      <c r="H1102" s="21"/>
      <c r="I1102" s="22"/>
      <c r="J1102" s="23"/>
      <c r="K1102" s="24">
        <v>39270.0</v>
      </c>
      <c r="L1102" s="24">
        <v>62000.0</v>
      </c>
      <c r="M1102" s="25"/>
      <c r="N1102" s="26"/>
      <c r="O1102" s="27">
        <f t="shared" si="140"/>
        <v>0.5788133435</v>
      </c>
      <c r="P1102" s="28">
        <f t="shared" si="141"/>
        <v>0</v>
      </c>
    </row>
    <row r="1103" hidden="1">
      <c r="A1103" s="16" t="s">
        <v>1693</v>
      </c>
      <c r="B1103" s="36"/>
      <c r="C1103" s="18"/>
      <c r="D1103" s="98"/>
      <c r="E1103" s="19">
        <v>0.0</v>
      </c>
      <c r="F1103" s="19"/>
      <c r="G1103" s="20" t="s">
        <v>610</v>
      </c>
      <c r="H1103" s="21"/>
      <c r="I1103" s="22"/>
      <c r="J1103" s="23"/>
      <c r="K1103" s="24">
        <v>39270.0</v>
      </c>
      <c r="L1103" s="24">
        <v>62000.0</v>
      </c>
      <c r="M1103" s="25"/>
      <c r="N1103" s="26"/>
      <c r="O1103" s="27">
        <f t="shared" si="140"/>
        <v>0.5788133435</v>
      </c>
      <c r="P1103" s="28" t="str">
        <f>K1103*#REF!</f>
        <v>#REF!</v>
      </c>
    </row>
    <row r="1104" hidden="1">
      <c r="A1104" s="16" t="s">
        <v>1694</v>
      </c>
      <c r="B1104" s="36"/>
      <c r="C1104" s="18"/>
      <c r="D1104" s="98"/>
      <c r="E1104" s="19">
        <v>0.0</v>
      </c>
      <c r="F1104" s="19"/>
      <c r="G1104" s="20" t="s">
        <v>610</v>
      </c>
      <c r="H1104" s="21"/>
      <c r="I1104" s="22"/>
      <c r="J1104" s="23"/>
      <c r="K1104" s="24">
        <v>39270.0</v>
      </c>
      <c r="L1104" s="24">
        <v>62000.0</v>
      </c>
      <c r="M1104" s="25"/>
      <c r="N1104" s="26"/>
      <c r="O1104" s="27">
        <f t="shared" si="140"/>
        <v>0.5788133435</v>
      </c>
      <c r="P1104" s="28">
        <f t="shared" ref="P1104:P1158" si="143">K1104*F1104</f>
        <v>0</v>
      </c>
    </row>
    <row r="1105" hidden="1">
      <c r="A1105" s="16" t="s">
        <v>1695</v>
      </c>
      <c r="B1105" s="36"/>
      <c r="C1105" s="18"/>
      <c r="D1105" s="98"/>
      <c r="E1105" s="19">
        <v>0.0</v>
      </c>
      <c r="F1105" s="19"/>
      <c r="G1105" s="20" t="s">
        <v>610</v>
      </c>
      <c r="H1105" s="21"/>
      <c r="I1105" s="22"/>
      <c r="J1105" s="23"/>
      <c r="K1105" s="24">
        <v>39270.0</v>
      </c>
      <c r="L1105" s="24">
        <v>62000.0</v>
      </c>
      <c r="M1105" s="25"/>
      <c r="N1105" s="26"/>
      <c r="O1105" s="27">
        <f t="shared" si="140"/>
        <v>0.5788133435</v>
      </c>
      <c r="P1105" s="28">
        <f t="shared" si="143"/>
        <v>0</v>
      </c>
    </row>
    <row r="1106" hidden="1">
      <c r="A1106" s="16" t="s">
        <v>1696</v>
      </c>
      <c r="B1106" s="36"/>
      <c r="C1106" s="18"/>
      <c r="D1106" s="98"/>
      <c r="E1106" s="19">
        <v>0.0</v>
      </c>
      <c r="F1106" s="19"/>
      <c r="G1106" s="20" t="s">
        <v>610</v>
      </c>
      <c r="H1106" s="21"/>
      <c r="I1106" s="22"/>
      <c r="J1106" s="23"/>
      <c r="K1106" s="24">
        <v>39270.0</v>
      </c>
      <c r="L1106" s="24">
        <v>62000.0</v>
      </c>
      <c r="M1106" s="25"/>
      <c r="N1106" s="26"/>
      <c r="O1106" s="27">
        <f t="shared" si="140"/>
        <v>0.5788133435</v>
      </c>
      <c r="P1106" s="28">
        <f t="shared" si="143"/>
        <v>0</v>
      </c>
    </row>
    <row r="1107" hidden="1">
      <c r="A1107" s="16" t="s">
        <v>1697</v>
      </c>
      <c r="B1107" s="36"/>
      <c r="C1107" s="18"/>
      <c r="D1107" s="98"/>
      <c r="E1107" s="19">
        <v>0.0</v>
      </c>
      <c r="F1107" s="19"/>
      <c r="G1107" s="20" t="s">
        <v>610</v>
      </c>
      <c r="H1107" s="21"/>
      <c r="I1107" s="22"/>
      <c r="J1107" s="23"/>
      <c r="K1107" s="24">
        <v>39270.0</v>
      </c>
      <c r="L1107" s="24">
        <v>62000.0</v>
      </c>
      <c r="M1107" s="25"/>
      <c r="N1107" s="26"/>
      <c r="O1107" s="27">
        <f t="shared" si="140"/>
        <v>0.5788133435</v>
      </c>
      <c r="P1107" s="28">
        <f t="shared" si="143"/>
        <v>0</v>
      </c>
    </row>
    <row r="1108" hidden="1">
      <c r="A1108" s="16" t="s">
        <v>1698</v>
      </c>
      <c r="B1108" s="36"/>
      <c r="C1108" s="18"/>
      <c r="D1108" s="98"/>
      <c r="E1108" s="19">
        <v>0.0</v>
      </c>
      <c r="F1108" s="19"/>
      <c r="G1108" s="20" t="s">
        <v>610</v>
      </c>
      <c r="H1108" s="21"/>
      <c r="I1108" s="22"/>
      <c r="J1108" s="23"/>
      <c r="K1108" s="24">
        <v>39270.0</v>
      </c>
      <c r="L1108" s="24">
        <v>62000.0</v>
      </c>
      <c r="M1108" s="25"/>
      <c r="N1108" s="26"/>
      <c r="O1108" s="27">
        <f t="shared" si="140"/>
        <v>0.5788133435</v>
      </c>
      <c r="P1108" s="28">
        <f t="shared" si="143"/>
        <v>0</v>
      </c>
    </row>
    <row r="1109" hidden="1">
      <c r="A1109" s="40" t="s">
        <v>1699</v>
      </c>
      <c r="B1109" s="36"/>
      <c r="C1109" s="18" t="s">
        <v>1020</v>
      </c>
      <c r="D1109" s="98"/>
      <c r="E1109" s="19">
        <v>0.0</v>
      </c>
      <c r="F1109" s="19"/>
      <c r="G1109" s="20" t="s">
        <v>610</v>
      </c>
      <c r="H1109" s="21"/>
      <c r="I1109" s="22"/>
      <c r="J1109" s="29"/>
      <c r="K1109" s="24">
        <v>39270.0</v>
      </c>
      <c r="L1109" s="24">
        <v>62000.0</v>
      </c>
      <c r="M1109" s="25"/>
      <c r="N1109" s="26"/>
      <c r="O1109" s="27">
        <f t="shared" si="140"/>
        <v>0.5788133435</v>
      </c>
      <c r="P1109" s="28">
        <f t="shared" si="143"/>
        <v>0</v>
      </c>
    </row>
    <row r="1110" hidden="1">
      <c r="A1110" s="16" t="s">
        <v>1700</v>
      </c>
      <c r="B1110" s="36"/>
      <c r="C1110" s="18"/>
      <c r="D1110" s="4"/>
      <c r="E1110" s="19">
        <v>0.0</v>
      </c>
      <c r="F1110" s="19"/>
      <c r="G1110" s="20" t="s">
        <v>610</v>
      </c>
      <c r="H1110" s="21"/>
      <c r="I1110" s="22"/>
      <c r="J1110" s="23"/>
      <c r="K1110" s="24">
        <v>55335.0</v>
      </c>
      <c r="L1110" s="24">
        <v>72000.0</v>
      </c>
      <c r="M1110" s="25"/>
      <c r="N1110" s="26">
        <v>64000.0</v>
      </c>
      <c r="O1110" s="27">
        <f t="shared" si="140"/>
        <v>0.3011656275</v>
      </c>
      <c r="P1110" s="28">
        <f t="shared" si="143"/>
        <v>0</v>
      </c>
    </row>
    <row r="1111" hidden="1">
      <c r="A1111" s="16" t="s">
        <v>1701</v>
      </c>
      <c r="B1111" s="36"/>
      <c r="C1111" s="18"/>
      <c r="D1111" s="4"/>
      <c r="E1111" s="19">
        <v>0.0</v>
      </c>
      <c r="F1111" s="19"/>
      <c r="G1111" s="20" t="s">
        <v>610</v>
      </c>
      <c r="H1111" s="21"/>
      <c r="I1111" s="22"/>
      <c r="J1111" s="23"/>
      <c r="K1111" s="24">
        <v>55335.0</v>
      </c>
      <c r="L1111" s="24">
        <v>72000.0</v>
      </c>
      <c r="M1111" s="25"/>
      <c r="N1111" s="26">
        <v>64000.0</v>
      </c>
      <c r="O1111" s="27">
        <f t="shared" si="140"/>
        <v>0.3011656275</v>
      </c>
      <c r="P1111" s="28">
        <f t="shared" si="143"/>
        <v>0</v>
      </c>
    </row>
    <row r="1112" hidden="1">
      <c r="A1112" s="16" t="s">
        <v>1702</v>
      </c>
      <c r="B1112" s="36"/>
      <c r="C1112" s="18"/>
      <c r="D1112" s="4"/>
      <c r="E1112" s="19">
        <v>0.0</v>
      </c>
      <c r="F1112" s="19"/>
      <c r="G1112" s="20" t="s">
        <v>610</v>
      </c>
      <c r="H1112" s="21"/>
      <c r="I1112" s="22"/>
      <c r="J1112" s="23"/>
      <c r="K1112" s="24">
        <v>55335.0</v>
      </c>
      <c r="L1112" s="24">
        <v>72000.0</v>
      </c>
      <c r="M1112" s="25"/>
      <c r="N1112" s="26">
        <v>64000.0</v>
      </c>
      <c r="O1112" s="27">
        <f t="shared" si="140"/>
        <v>0.3011656275</v>
      </c>
      <c r="P1112" s="28">
        <f t="shared" si="143"/>
        <v>0</v>
      </c>
    </row>
    <row r="1113" hidden="1">
      <c r="A1113" s="119" t="s">
        <v>1703</v>
      </c>
      <c r="B1113" s="36"/>
      <c r="C1113" s="18"/>
      <c r="D1113" s="4"/>
      <c r="E1113" s="19">
        <v>0.0</v>
      </c>
      <c r="F1113" s="19">
        <v>0.0</v>
      </c>
      <c r="G1113" s="16" t="s">
        <v>1205</v>
      </c>
      <c r="H1113" s="21"/>
      <c r="I1113" s="22">
        <v>0.0</v>
      </c>
      <c r="J1113" s="23"/>
      <c r="K1113" s="44">
        <f t="shared" ref="K1113:K1117" si="144">16336*1.19</f>
        <v>19439.84</v>
      </c>
      <c r="L1113" s="44">
        <v>32000.0</v>
      </c>
      <c r="M1113" s="25"/>
      <c r="N1113" s="26"/>
      <c r="O1113" s="27">
        <f t="shared" si="140"/>
        <v>0.6461040832</v>
      </c>
      <c r="P1113" s="28">
        <f t="shared" si="143"/>
        <v>0</v>
      </c>
    </row>
    <row r="1114" hidden="1">
      <c r="A1114" s="119" t="s">
        <v>1704</v>
      </c>
      <c r="B1114" s="36"/>
      <c r="C1114" s="18"/>
      <c r="D1114" s="4"/>
      <c r="E1114" s="19">
        <v>0.0</v>
      </c>
      <c r="F1114" s="19">
        <v>0.0</v>
      </c>
      <c r="G1114" s="16" t="s">
        <v>1635</v>
      </c>
      <c r="H1114" s="21"/>
      <c r="I1114" s="22">
        <v>0.0</v>
      </c>
      <c r="J1114" s="23"/>
      <c r="K1114" s="44">
        <f t="shared" si="144"/>
        <v>19439.84</v>
      </c>
      <c r="L1114" s="44">
        <v>32000.0</v>
      </c>
      <c r="M1114" s="25"/>
      <c r="N1114" s="26"/>
      <c r="O1114" s="27">
        <f t="shared" si="140"/>
        <v>0.6461040832</v>
      </c>
      <c r="P1114" s="28">
        <f t="shared" si="143"/>
        <v>0</v>
      </c>
    </row>
    <row r="1115" hidden="1">
      <c r="A1115" s="119" t="s">
        <v>1705</v>
      </c>
      <c r="B1115" s="36"/>
      <c r="C1115" s="18"/>
      <c r="D1115" s="4"/>
      <c r="E1115" s="19">
        <v>0.0</v>
      </c>
      <c r="F1115" s="19">
        <v>0.0</v>
      </c>
      <c r="G1115" s="16" t="s">
        <v>1635</v>
      </c>
      <c r="H1115" s="21"/>
      <c r="I1115" s="22">
        <v>0.0</v>
      </c>
      <c r="J1115" s="23"/>
      <c r="K1115" s="44">
        <f t="shared" si="144"/>
        <v>19439.84</v>
      </c>
      <c r="L1115" s="44">
        <v>32000.0</v>
      </c>
      <c r="M1115" s="25"/>
      <c r="N1115" s="26"/>
      <c r="O1115" s="27">
        <f t="shared" si="140"/>
        <v>0.6461040832</v>
      </c>
      <c r="P1115" s="28">
        <f t="shared" si="143"/>
        <v>0</v>
      </c>
    </row>
    <row r="1116" hidden="1">
      <c r="A1116" s="119" t="s">
        <v>1706</v>
      </c>
      <c r="B1116" s="36"/>
      <c r="C1116" s="18"/>
      <c r="D1116" s="4"/>
      <c r="E1116" s="19">
        <v>0.0</v>
      </c>
      <c r="F1116" s="19">
        <v>0.0</v>
      </c>
      <c r="G1116" s="16" t="s">
        <v>1635</v>
      </c>
      <c r="H1116" s="21"/>
      <c r="I1116" s="22">
        <v>0.0</v>
      </c>
      <c r="J1116" s="23"/>
      <c r="K1116" s="44">
        <f t="shared" si="144"/>
        <v>19439.84</v>
      </c>
      <c r="L1116" s="44">
        <v>32000.0</v>
      </c>
      <c r="M1116" s="25"/>
      <c r="N1116" s="26"/>
      <c r="O1116" s="27">
        <f t="shared" si="140"/>
        <v>0.6461040832</v>
      </c>
      <c r="P1116" s="28">
        <f t="shared" si="143"/>
        <v>0</v>
      </c>
    </row>
    <row r="1117" hidden="1">
      <c r="A1117" s="119" t="s">
        <v>1707</v>
      </c>
      <c r="B1117" s="36"/>
      <c r="C1117" s="18"/>
      <c r="D1117" s="4"/>
      <c r="E1117" s="19">
        <v>0.0</v>
      </c>
      <c r="F1117" s="19">
        <v>0.0</v>
      </c>
      <c r="G1117" s="16" t="s">
        <v>1635</v>
      </c>
      <c r="H1117" s="21"/>
      <c r="I1117" s="22">
        <v>0.0</v>
      </c>
      <c r="J1117" s="23"/>
      <c r="K1117" s="44">
        <f t="shared" si="144"/>
        <v>19439.84</v>
      </c>
      <c r="L1117" s="44">
        <v>32000.0</v>
      </c>
      <c r="M1117" s="25"/>
      <c r="N1117" s="26"/>
      <c r="O1117" s="27">
        <f t="shared" si="140"/>
        <v>0.6461040832</v>
      </c>
      <c r="P1117" s="28">
        <f t="shared" si="143"/>
        <v>0</v>
      </c>
    </row>
    <row r="1118" hidden="1">
      <c r="A1118" s="16" t="s">
        <v>1708</v>
      </c>
      <c r="B1118" s="36"/>
      <c r="C1118" s="18"/>
      <c r="D1118" s="4"/>
      <c r="E1118" s="19">
        <v>0.0</v>
      </c>
      <c r="F1118" s="19"/>
      <c r="G1118" s="20" t="s">
        <v>610</v>
      </c>
      <c r="H1118" s="99"/>
      <c r="I1118" s="22"/>
      <c r="J1118" s="182"/>
      <c r="K1118" s="226">
        <v>23145.0</v>
      </c>
      <c r="L1118" s="24">
        <v>32000.0</v>
      </c>
      <c r="M1118" s="25"/>
      <c r="N1118" s="26">
        <v>28000.0</v>
      </c>
      <c r="O1118" s="27">
        <f t="shared" si="140"/>
        <v>0.382588032</v>
      </c>
      <c r="P1118" s="28">
        <f t="shared" si="143"/>
        <v>0</v>
      </c>
    </row>
    <row r="1119" hidden="1">
      <c r="A1119" s="16" t="s">
        <v>1709</v>
      </c>
      <c r="B1119" s="36"/>
      <c r="C1119" s="18"/>
      <c r="D1119" s="4"/>
      <c r="E1119" s="19">
        <v>0.0</v>
      </c>
      <c r="F1119" s="19"/>
      <c r="G1119" s="20" t="s">
        <v>610</v>
      </c>
      <c r="H1119" s="99"/>
      <c r="I1119" s="22"/>
      <c r="J1119" s="182"/>
      <c r="K1119" s="226">
        <v>23145.0</v>
      </c>
      <c r="L1119" s="24">
        <v>32000.0</v>
      </c>
      <c r="M1119" s="25"/>
      <c r="N1119" s="26">
        <v>28000.0</v>
      </c>
      <c r="O1119" s="27">
        <f t="shared" si="140"/>
        <v>0.382588032</v>
      </c>
      <c r="P1119" s="28">
        <f t="shared" si="143"/>
        <v>0</v>
      </c>
    </row>
    <row r="1120" hidden="1">
      <c r="A1120" s="16" t="s">
        <v>1710</v>
      </c>
      <c r="B1120" s="36"/>
      <c r="C1120" s="18"/>
      <c r="D1120" s="4"/>
      <c r="E1120" s="19">
        <v>0.0</v>
      </c>
      <c r="F1120" s="19"/>
      <c r="G1120" s="20" t="s">
        <v>610</v>
      </c>
      <c r="H1120" s="99"/>
      <c r="I1120" s="22"/>
      <c r="J1120" s="182"/>
      <c r="K1120" s="226">
        <v>23145.0</v>
      </c>
      <c r="L1120" s="24">
        <v>32000.0</v>
      </c>
      <c r="M1120" s="25"/>
      <c r="N1120" s="26">
        <v>28000.0</v>
      </c>
      <c r="O1120" s="27">
        <f t="shared" si="140"/>
        <v>0.382588032</v>
      </c>
      <c r="P1120" s="28">
        <f t="shared" si="143"/>
        <v>0</v>
      </c>
    </row>
    <row r="1121" hidden="1">
      <c r="A1121" s="16" t="s">
        <v>1711</v>
      </c>
      <c r="B1121" s="36"/>
      <c r="C1121" s="18"/>
      <c r="D1121" s="4"/>
      <c r="E1121" s="19">
        <v>0.0</v>
      </c>
      <c r="F1121" s="19"/>
      <c r="G1121" s="20" t="s">
        <v>610</v>
      </c>
      <c r="H1121" s="99"/>
      <c r="I1121" s="22"/>
      <c r="J1121" s="182"/>
      <c r="K1121" s="226">
        <v>23145.0</v>
      </c>
      <c r="L1121" s="24">
        <v>32000.0</v>
      </c>
      <c r="M1121" s="25"/>
      <c r="N1121" s="26">
        <v>28000.0</v>
      </c>
      <c r="O1121" s="27">
        <f t="shared" si="140"/>
        <v>0.382588032</v>
      </c>
      <c r="P1121" s="28">
        <f t="shared" si="143"/>
        <v>0</v>
      </c>
    </row>
    <row r="1122" hidden="1">
      <c r="A1122" s="16" t="s">
        <v>1712</v>
      </c>
      <c r="B1122" s="36"/>
      <c r="C1122" s="18"/>
      <c r="D1122" s="4"/>
      <c r="E1122" s="19">
        <v>0.0</v>
      </c>
      <c r="F1122" s="19"/>
      <c r="G1122" s="20" t="s">
        <v>610</v>
      </c>
      <c r="H1122" s="99"/>
      <c r="I1122" s="22"/>
      <c r="J1122" s="182"/>
      <c r="K1122" s="226">
        <v>23145.0</v>
      </c>
      <c r="L1122" s="24">
        <v>32000.0</v>
      </c>
      <c r="M1122" s="25"/>
      <c r="N1122" s="26">
        <v>28000.0</v>
      </c>
      <c r="O1122" s="27">
        <f t="shared" si="140"/>
        <v>0.382588032</v>
      </c>
      <c r="P1122" s="28">
        <f t="shared" si="143"/>
        <v>0</v>
      </c>
    </row>
    <row r="1123" hidden="1">
      <c r="A1123" s="16" t="s">
        <v>1713</v>
      </c>
      <c r="B1123" s="36"/>
      <c r="C1123" s="18"/>
      <c r="D1123" s="4"/>
      <c r="E1123" s="19">
        <v>0.0</v>
      </c>
      <c r="F1123" s="19"/>
      <c r="G1123" s="20" t="s">
        <v>610</v>
      </c>
      <c r="H1123" s="99"/>
      <c r="I1123" s="22"/>
      <c r="J1123" s="182"/>
      <c r="K1123" s="226">
        <v>23145.0</v>
      </c>
      <c r="L1123" s="24">
        <v>32000.0</v>
      </c>
      <c r="M1123" s="25"/>
      <c r="N1123" s="26">
        <v>28000.0</v>
      </c>
      <c r="O1123" s="27">
        <f t="shared" si="140"/>
        <v>0.382588032</v>
      </c>
      <c r="P1123" s="28">
        <f t="shared" si="143"/>
        <v>0</v>
      </c>
    </row>
    <row r="1124" hidden="1">
      <c r="A1124" s="16" t="s">
        <v>1714</v>
      </c>
      <c r="B1124" s="36"/>
      <c r="C1124" s="18"/>
      <c r="D1124" s="4"/>
      <c r="E1124" s="19">
        <v>0.0</v>
      </c>
      <c r="F1124" s="19"/>
      <c r="G1124" s="20" t="s">
        <v>610</v>
      </c>
      <c r="H1124" s="99"/>
      <c r="I1124" s="22"/>
      <c r="J1124" s="182"/>
      <c r="K1124" s="226">
        <v>23145.0</v>
      </c>
      <c r="L1124" s="24">
        <v>32000.0</v>
      </c>
      <c r="M1124" s="25"/>
      <c r="N1124" s="26">
        <v>28000.0</v>
      </c>
      <c r="O1124" s="27">
        <f t="shared" si="140"/>
        <v>0.382588032</v>
      </c>
      <c r="P1124" s="28">
        <f t="shared" si="143"/>
        <v>0</v>
      </c>
    </row>
    <row r="1125" hidden="1">
      <c r="A1125" s="16" t="s">
        <v>1715</v>
      </c>
      <c r="B1125" s="36"/>
      <c r="C1125" s="18" t="s">
        <v>1020</v>
      </c>
      <c r="D1125" s="4"/>
      <c r="E1125" s="19">
        <v>0.0</v>
      </c>
      <c r="F1125" s="19"/>
      <c r="G1125" s="20" t="s">
        <v>610</v>
      </c>
      <c r="H1125" s="99"/>
      <c r="I1125" s="22"/>
      <c r="J1125" s="182"/>
      <c r="K1125" s="226">
        <v>23145.0</v>
      </c>
      <c r="L1125" s="24">
        <v>32000.0</v>
      </c>
      <c r="M1125" s="25"/>
      <c r="N1125" s="26">
        <v>28000.0</v>
      </c>
      <c r="O1125" s="27">
        <f t="shared" si="140"/>
        <v>0.382588032</v>
      </c>
      <c r="P1125" s="28">
        <f t="shared" si="143"/>
        <v>0</v>
      </c>
    </row>
    <row r="1126" hidden="1">
      <c r="A1126" s="16" t="s">
        <v>1716</v>
      </c>
      <c r="B1126" s="36"/>
      <c r="C1126" s="18" t="s">
        <v>1020</v>
      </c>
      <c r="D1126" s="4"/>
      <c r="E1126" s="19">
        <v>0.0</v>
      </c>
      <c r="F1126" s="19"/>
      <c r="G1126" s="138" t="s">
        <v>610</v>
      </c>
      <c r="H1126" s="99"/>
      <c r="I1126" s="22"/>
      <c r="J1126" s="182"/>
      <c r="K1126" s="226">
        <v>23145.0</v>
      </c>
      <c r="L1126" s="24">
        <v>32000.0</v>
      </c>
      <c r="M1126" s="25"/>
      <c r="N1126" s="26">
        <v>28000.0</v>
      </c>
      <c r="O1126" s="27">
        <f t="shared" si="140"/>
        <v>0.382588032</v>
      </c>
      <c r="P1126" s="28">
        <f t="shared" si="143"/>
        <v>0</v>
      </c>
    </row>
    <row r="1127" hidden="1">
      <c r="A1127" s="16" t="s">
        <v>1717</v>
      </c>
      <c r="B1127" s="36"/>
      <c r="C1127" s="18"/>
      <c r="D1127" s="4"/>
      <c r="E1127" s="19">
        <v>0.0</v>
      </c>
      <c r="F1127" s="19"/>
      <c r="G1127" s="20" t="s">
        <v>610</v>
      </c>
      <c r="H1127" s="99"/>
      <c r="I1127" s="22"/>
      <c r="J1127" s="173"/>
      <c r="K1127" s="227">
        <v>44625.0</v>
      </c>
      <c r="L1127" s="24">
        <v>58000.0</v>
      </c>
      <c r="M1127" s="25"/>
      <c r="N1127" s="26"/>
      <c r="O1127" s="27">
        <f t="shared" si="140"/>
        <v>0.299719888</v>
      </c>
      <c r="P1127" s="28">
        <f t="shared" si="143"/>
        <v>0</v>
      </c>
    </row>
    <row r="1128" hidden="1">
      <c r="A1128" s="16" t="s">
        <v>1718</v>
      </c>
      <c r="B1128" s="36"/>
      <c r="C1128" s="18"/>
      <c r="D1128" s="4"/>
      <c r="E1128" s="19">
        <v>0.0</v>
      </c>
      <c r="F1128" s="19"/>
      <c r="G1128" s="20" t="s">
        <v>610</v>
      </c>
      <c r="H1128" s="99"/>
      <c r="I1128" s="22"/>
      <c r="J1128" s="173"/>
      <c r="K1128" s="227">
        <v>44625.0</v>
      </c>
      <c r="L1128" s="24">
        <v>58000.0</v>
      </c>
      <c r="M1128" s="25"/>
      <c r="N1128" s="26"/>
      <c r="O1128" s="27">
        <f t="shared" si="140"/>
        <v>0.299719888</v>
      </c>
      <c r="P1128" s="28">
        <f t="shared" si="143"/>
        <v>0</v>
      </c>
    </row>
    <row r="1129" hidden="1">
      <c r="A1129" s="16" t="s">
        <v>1719</v>
      </c>
      <c r="B1129" s="36"/>
      <c r="C1129" s="18"/>
      <c r="D1129" s="4"/>
      <c r="E1129" s="19">
        <v>0.0</v>
      </c>
      <c r="F1129" s="19"/>
      <c r="G1129" s="20" t="s">
        <v>610</v>
      </c>
      <c r="H1129" s="99"/>
      <c r="I1129" s="22"/>
      <c r="J1129" s="173"/>
      <c r="K1129" s="227">
        <v>44625.0</v>
      </c>
      <c r="L1129" s="24">
        <v>58000.0</v>
      </c>
      <c r="M1129" s="25"/>
      <c r="N1129" s="26"/>
      <c r="O1129" s="27">
        <f t="shared" si="140"/>
        <v>0.299719888</v>
      </c>
      <c r="P1129" s="28">
        <f t="shared" si="143"/>
        <v>0</v>
      </c>
    </row>
    <row r="1130" hidden="1">
      <c r="A1130" s="16" t="s">
        <v>1720</v>
      </c>
      <c r="B1130" s="36"/>
      <c r="C1130" s="18"/>
      <c r="D1130" s="4"/>
      <c r="E1130" s="19">
        <v>0.0</v>
      </c>
      <c r="F1130" s="19"/>
      <c r="G1130" s="20" t="s">
        <v>610</v>
      </c>
      <c r="H1130" s="99"/>
      <c r="I1130" s="22"/>
      <c r="J1130" s="173"/>
      <c r="K1130" s="227">
        <v>44625.0</v>
      </c>
      <c r="L1130" s="24">
        <v>58000.0</v>
      </c>
      <c r="M1130" s="25"/>
      <c r="N1130" s="26"/>
      <c r="O1130" s="27">
        <f t="shared" si="140"/>
        <v>0.299719888</v>
      </c>
      <c r="P1130" s="28">
        <f t="shared" si="143"/>
        <v>0</v>
      </c>
    </row>
    <row r="1131" hidden="1">
      <c r="A1131" s="16" t="s">
        <v>1721</v>
      </c>
      <c r="B1131" s="36"/>
      <c r="C1131" s="18"/>
      <c r="D1131" s="4"/>
      <c r="E1131" s="19">
        <v>0.0</v>
      </c>
      <c r="F1131" s="19"/>
      <c r="G1131" s="20" t="s">
        <v>610</v>
      </c>
      <c r="H1131" s="99"/>
      <c r="I1131" s="22"/>
      <c r="J1131" s="173"/>
      <c r="K1131" s="227">
        <v>44625.0</v>
      </c>
      <c r="L1131" s="24">
        <v>58000.0</v>
      </c>
      <c r="M1131" s="25"/>
      <c r="N1131" s="26"/>
      <c r="O1131" s="27">
        <f t="shared" si="140"/>
        <v>0.299719888</v>
      </c>
      <c r="P1131" s="28">
        <f t="shared" si="143"/>
        <v>0</v>
      </c>
    </row>
    <row r="1132" hidden="1">
      <c r="A1132" s="16" t="s">
        <v>1722</v>
      </c>
      <c r="B1132" s="36"/>
      <c r="C1132" s="18"/>
      <c r="D1132" s="4"/>
      <c r="E1132" s="19">
        <v>0.0</v>
      </c>
      <c r="F1132" s="19"/>
      <c r="G1132" s="20" t="s">
        <v>610</v>
      </c>
      <c r="H1132" s="21"/>
      <c r="I1132" s="22"/>
      <c r="J1132" s="23"/>
      <c r="K1132" s="227">
        <v>44625.0</v>
      </c>
      <c r="L1132" s="24">
        <v>58000.0</v>
      </c>
      <c r="M1132" s="25"/>
      <c r="N1132" s="26"/>
      <c r="O1132" s="27">
        <f t="shared" si="140"/>
        <v>0.299719888</v>
      </c>
      <c r="P1132" s="28">
        <f t="shared" si="143"/>
        <v>0</v>
      </c>
    </row>
    <row r="1133" hidden="1">
      <c r="A1133" s="16" t="s">
        <v>1723</v>
      </c>
      <c r="B1133" s="36"/>
      <c r="C1133" s="18"/>
      <c r="D1133" s="4"/>
      <c r="E1133" s="19">
        <v>0.0</v>
      </c>
      <c r="F1133" s="19"/>
      <c r="G1133" s="20" t="s">
        <v>610</v>
      </c>
      <c r="H1133" s="21"/>
      <c r="I1133" s="22"/>
      <c r="J1133" s="23"/>
      <c r="K1133" s="227">
        <v>44625.0</v>
      </c>
      <c r="L1133" s="24">
        <v>58000.0</v>
      </c>
      <c r="M1133" s="25"/>
      <c r="N1133" s="26"/>
      <c r="O1133" s="27">
        <f t="shared" si="140"/>
        <v>0.299719888</v>
      </c>
      <c r="P1133" s="28">
        <f t="shared" si="143"/>
        <v>0</v>
      </c>
    </row>
    <row r="1134" hidden="1">
      <c r="A1134" s="16" t="s">
        <v>1724</v>
      </c>
      <c r="B1134" s="36"/>
      <c r="C1134" s="18"/>
      <c r="D1134" s="4"/>
      <c r="E1134" s="19">
        <v>0.0</v>
      </c>
      <c r="F1134" s="19"/>
      <c r="G1134" s="20" t="s">
        <v>610</v>
      </c>
      <c r="H1134" s="99"/>
      <c r="I1134" s="22"/>
      <c r="J1134" s="173"/>
      <c r="K1134" s="227">
        <v>44625.0</v>
      </c>
      <c r="L1134" s="24">
        <v>58000.0</v>
      </c>
      <c r="M1134" s="25"/>
      <c r="N1134" s="26"/>
      <c r="O1134" s="27">
        <f t="shared" si="140"/>
        <v>0.299719888</v>
      </c>
      <c r="P1134" s="28">
        <f t="shared" si="143"/>
        <v>0</v>
      </c>
    </row>
    <row r="1135" hidden="1">
      <c r="A1135" s="16" t="s">
        <v>1725</v>
      </c>
      <c r="B1135" s="36"/>
      <c r="C1135" s="18"/>
      <c r="D1135" s="4"/>
      <c r="E1135" s="19">
        <v>0.0</v>
      </c>
      <c r="F1135" s="19"/>
      <c r="G1135" s="20" t="s">
        <v>610</v>
      </c>
      <c r="H1135" s="99"/>
      <c r="I1135" s="22"/>
      <c r="J1135" s="173"/>
      <c r="K1135" s="227">
        <v>44625.0</v>
      </c>
      <c r="L1135" s="24">
        <v>58000.0</v>
      </c>
      <c r="M1135" s="25"/>
      <c r="N1135" s="26"/>
      <c r="O1135" s="27">
        <f t="shared" si="140"/>
        <v>0.299719888</v>
      </c>
      <c r="P1135" s="28">
        <f t="shared" si="143"/>
        <v>0</v>
      </c>
    </row>
    <row r="1136" hidden="1">
      <c r="A1136" s="16" t="s">
        <v>1726</v>
      </c>
      <c r="B1136" s="36"/>
      <c r="C1136" s="18"/>
      <c r="D1136" s="4"/>
      <c r="E1136" s="19">
        <v>0.0</v>
      </c>
      <c r="F1136" s="19"/>
      <c r="G1136" s="20" t="s">
        <v>610</v>
      </c>
      <c r="H1136" s="99"/>
      <c r="I1136" s="22"/>
      <c r="J1136" s="173"/>
      <c r="K1136" s="227">
        <v>44625.0</v>
      </c>
      <c r="L1136" s="24">
        <v>58000.0</v>
      </c>
      <c r="M1136" s="25"/>
      <c r="N1136" s="26"/>
      <c r="O1136" s="27">
        <f t="shared" si="140"/>
        <v>0.299719888</v>
      </c>
      <c r="P1136" s="28">
        <f t="shared" si="143"/>
        <v>0</v>
      </c>
    </row>
    <row r="1137" hidden="1">
      <c r="A1137" s="16" t="s">
        <v>1727</v>
      </c>
      <c r="B1137" s="36"/>
      <c r="C1137" s="18"/>
      <c r="D1137" s="4"/>
      <c r="E1137" s="19">
        <v>0.0</v>
      </c>
      <c r="F1137" s="19"/>
      <c r="G1137" s="20" t="s">
        <v>610</v>
      </c>
      <c r="H1137" s="99"/>
      <c r="I1137" s="22"/>
      <c r="J1137" s="173"/>
      <c r="K1137" s="227">
        <v>44625.0</v>
      </c>
      <c r="L1137" s="24">
        <v>58000.0</v>
      </c>
      <c r="M1137" s="25"/>
      <c r="N1137" s="26"/>
      <c r="O1137" s="27">
        <f t="shared" si="140"/>
        <v>0.299719888</v>
      </c>
      <c r="P1137" s="28">
        <f t="shared" si="143"/>
        <v>0</v>
      </c>
    </row>
    <row r="1138" hidden="1">
      <c r="A1138" s="16" t="s">
        <v>1728</v>
      </c>
      <c r="B1138" s="36"/>
      <c r="C1138" s="18"/>
      <c r="D1138" s="4"/>
      <c r="E1138" s="19">
        <v>0.0</v>
      </c>
      <c r="F1138" s="19"/>
      <c r="G1138" s="20" t="s">
        <v>610</v>
      </c>
      <c r="H1138" s="99"/>
      <c r="I1138" s="22"/>
      <c r="J1138" s="173"/>
      <c r="K1138" s="227">
        <v>44625.0</v>
      </c>
      <c r="L1138" s="24">
        <v>58000.0</v>
      </c>
      <c r="M1138" s="25"/>
      <c r="N1138" s="26"/>
      <c r="O1138" s="27">
        <f t="shared" si="140"/>
        <v>0.299719888</v>
      </c>
      <c r="P1138" s="28">
        <f t="shared" si="143"/>
        <v>0</v>
      </c>
    </row>
    <row r="1139" hidden="1">
      <c r="A1139" s="16" t="s">
        <v>1729</v>
      </c>
      <c r="B1139" s="36"/>
      <c r="C1139" s="18"/>
      <c r="D1139" s="4"/>
      <c r="E1139" s="19">
        <v>0.0</v>
      </c>
      <c r="F1139" s="19"/>
      <c r="G1139" s="20" t="s">
        <v>610</v>
      </c>
      <c r="H1139" s="99"/>
      <c r="I1139" s="22"/>
      <c r="J1139" s="182"/>
      <c r="K1139" s="226">
        <v>23145.0</v>
      </c>
      <c r="L1139" s="24">
        <v>32000.0</v>
      </c>
      <c r="M1139" s="25"/>
      <c r="N1139" s="26">
        <v>28000.0</v>
      </c>
      <c r="O1139" s="27">
        <f t="shared" si="140"/>
        <v>0.382588032</v>
      </c>
      <c r="P1139" s="28">
        <f t="shared" si="143"/>
        <v>0</v>
      </c>
    </row>
    <row r="1140" hidden="1">
      <c r="A1140" s="16" t="s">
        <v>1730</v>
      </c>
      <c r="B1140" s="36"/>
      <c r="C1140" s="18"/>
      <c r="D1140" s="4"/>
      <c r="E1140" s="19">
        <v>0.0</v>
      </c>
      <c r="F1140" s="19"/>
      <c r="G1140" s="20" t="s">
        <v>610</v>
      </c>
      <c r="H1140" s="99"/>
      <c r="I1140" s="22"/>
      <c r="J1140" s="182"/>
      <c r="K1140" s="226">
        <v>23145.0</v>
      </c>
      <c r="L1140" s="24">
        <v>32000.0</v>
      </c>
      <c r="M1140" s="25"/>
      <c r="N1140" s="26">
        <v>28000.0</v>
      </c>
      <c r="O1140" s="27">
        <f t="shared" si="140"/>
        <v>0.382588032</v>
      </c>
      <c r="P1140" s="28">
        <f t="shared" si="143"/>
        <v>0</v>
      </c>
    </row>
    <row r="1141" hidden="1">
      <c r="A1141" s="16" t="s">
        <v>1731</v>
      </c>
      <c r="B1141" s="36"/>
      <c r="C1141" s="18"/>
      <c r="D1141" s="4"/>
      <c r="E1141" s="19">
        <v>0.0</v>
      </c>
      <c r="F1141" s="19"/>
      <c r="G1141" s="20" t="s">
        <v>610</v>
      </c>
      <c r="H1141" s="99"/>
      <c r="I1141" s="22"/>
      <c r="J1141" s="182"/>
      <c r="K1141" s="226">
        <v>23145.0</v>
      </c>
      <c r="L1141" s="24">
        <v>32000.0</v>
      </c>
      <c r="M1141" s="25"/>
      <c r="N1141" s="26">
        <v>28000.0</v>
      </c>
      <c r="O1141" s="27">
        <f t="shared" si="140"/>
        <v>0.382588032</v>
      </c>
      <c r="P1141" s="28">
        <f t="shared" si="143"/>
        <v>0</v>
      </c>
    </row>
    <row r="1142" hidden="1">
      <c r="A1142" s="16" t="s">
        <v>1732</v>
      </c>
      <c r="B1142" s="36"/>
      <c r="C1142" s="18"/>
      <c r="D1142" s="4"/>
      <c r="E1142" s="19">
        <v>0.0</v>
      </c>
      <c r="F1142" s="19"/>
      <c r="G1142" s="20" t="s">
        <v>610</v>
      </c>
      <c r="H1142" s="99"/>
      <c r="I1142" s="22"/>
      <c r="J1142" s="182"/>
      <c r="K1142" s="226">
        <v>23145.0</v>
      </c>
      <c r="L1142" s="24">
        <v>32000.0</v>
      </c>
      <c r="M1142" s="25"/>
      <c r="N1142" s="26">
        <v>28000.0</v>
      </c>
      <c r="O1142" s="27">
        <f t="shared" si="140"/>
        <v>0.382588032</v>
      </c>
      <c r="P1142" s="28">
        <f t="shared" si="143"/>
        <v>0</v>
      </c>
    </row>
    <row r="1143" hidden="1">
      <c r="A1143" s="16" t="s">
        <v>1733</v>
      </c>
      <c r="B1143" s="36"/>
      <c r="C1143" s="18"/>
      <c r="D1143" s="4"/>
      <c r="E1143" s="19">
        <v>0.0</v>
      </c>
      <c r="F1143" s="19"/>
      <c r="G1143" s="20" t="s">
        <v>610</v>
      </c>
      <c r="H1143" s="99"/>
      <c r="I1143" s="22"/>
      <c r="J1143" s="182"/>
      <c r="K1143" s="226">
        <v>23145.0</v>
      </c>
      <c r="L1143" s="24">
        <v>32000.0</v>
      </c>
      <c r="M1143" s="25"/>
      <c r="N1143" s="26">
        <v>28000.0</v>
      </c>
      <c r="O1143" s="27">
        <f t="shared" si="140"/>
        <v>0.382588032</v>
      </c>
      <c r="P1143" s="28">
        <f t="shared" si="143"/>
        <v>0</v>
      </c>
    </row>
    <row r="1144" hidden="1">
      <c r="A1144" s="16" t="s">
        <v>1734</v>
      </c>
      <c r="B1144" s="36"/>
      <c r="C1144" s="18"/>
      <c r="D1144" s="4"/>
      <c r="E1144" s="19">
        <v>0.0</v>
      </c>
      <c r="F1144" s="19"/>
      <c r="G1144" s="20" t="s">
        <v>610</v>
      </c>
      <c r="H1144" s="99"/>
      <c r="I1144" s="22"/>
      <c r="J1144" s="182"/>
      <c r="K1144" s="226">
        <v>23145.0</v>
      </c>
      <c r="L1144" s="24">
        <v>32000.0</v>
      </c>
      <c r="M1144" s="25"/>
      <c r="N1144" s="26">
        <v>28000.0</v>
      </c>
      <c r="O1144" s="27">
        <f t="shared" si="140"/>
        <v>0.382588032</v>
      </c>
      <c r="P1144" s="28">
        <f t="shared" si="143"/>
        <v>0</v>
      </c>
    </row>
    <row r="1145" hidden="1">
      <c r="A1145" s="16" t="s">
        <v>1735</v>
      </c>
      <c r="B1145" s="36"/>
      <c r="C1145" s="18"/>
      <c r="D1145" s="4"/>
      <c r="E1145" s="19">
        <v>0.0</v>
      </c>
      <c r="F1145" s="19"/>
      <c r="G1145" s="20" t="s">
        <v>610</v>
      </c>
      <c r="H1145" s="99"/>
      <c r="I1145" s="22"/>
      <c r="J1145" s="182"/>
      <c r="K1145" s="226">
        <v>23145.0</v>
      </c>
      <c r="L1145" s="24">
        <v>32000.0</v>
      </c>
      <c r="M1145" s="25"/>
      <c r="N1145" s="26">
        <v>28000.0</v>
      </c>
      <c r="O1145" s="27">
        <f t="shared" si="140"/>
        <v>0.382588032</v>
      </c>
      <c r="P1145" s="28">
        <f t="shared" si="143"/>
        <v>0</v>
      </c>
    </row>
    <row r="1146" hidden="1">
      <c r="A1146" s="16" t="s">
        <v>1736</v>
      </c>
      <c r="B1146" s="36"/>
      <c r="C1146" s="18" t="s">
        <v>1020</v>
      </c>
      <c r="D1146" s="4"/>
      <c r="E1146" s="19">
        <v>0.0</v>
      </c>
      <c r="F1146" s="19"/>
      <c r="G1146" s="20" t="s">
        <v>610</v>
      </c>
      <c r="H1146" s="99"/>
      <c r="I1146" s="22"/>
      <c r="J1146" s="182"/>
      <c r="K1146" s="226">
        <v>23145.0</v>
      </c>
      <c r="L1146" s="24">
        <v>32000.0</v>
      </c>
      <c r="M1146" s="25"/>
      <c r="N1146" s="26">
        <v>28000.0</v>
      </c>
      <c r="O1146" s="27">
        <f t="shared" si="140"/>
        <v>0.382588032</v>
      </c>
      <c r="P1146" s="28">
        <f t="shared" si="143"/>
        <v>0</v>
      </c>
    </row>
    <row r="1147" hidden="1">
      <c r="A1147" s="16" t="s">
        <v>1737</v>
      </c>
      <c r="B1147" s="36"/>
      <c r="C1147" s="18"/>
      <c r="D1147" s="4"/>
      <c r="E1147" s="19">
        <v>0.0</v>
      </c>
      <c r="F1147" s="19"/>
      <c r="G1147" s="20" t="s">
        <v>610</v>
      </c>
      <c r="H1147" s="99"/>
      <c r="I1147" s="22"/>
      <c r="J1147" s="182"/>
      <c r="K1147" s="226">
        <v>23145.0</v>
      </c>
      <c r="L1147" s="24">
        <v>32000.0</v>
      </c>
      <c r="M1147" s="25"/>
      <c r="N1147" s="26">
        <v>28000.0</v>
      </c>
      <c r="O1147" s="27">
        <f t="shared" si="140"/>
        <v>0.382588032</v>
      </c>
      <c r="P1147" s="28">
        <f t="shared" si="143"/>
        <v>0</v>
      </c>
    </row>
    <row r="1148" hidden="1">
      <c r="A1148" s="16" t="s">
        <v>1738</v>
      </c>
      <c r="B1148" s="36"/>
      <c r="C1148" s="18"/>
      <c r="D1148" s="4"/>
      <c r="E1148" s="19">
        <v>0.0</v>
      </c>
      <c r="F1148" s="19"/>
      <c r="G1148" s="20" t="s">
        <v>610</v>
      </c>
      <c r="H1148" s="99"/>
      <c r="I1148" s="22"/>
      <c r="J1148" s="182"/>
      <c r="K1148" s="226">
        <v>23145.0</v>
      </c>
      <c r="L1148" s="24">
        <v>32000.0</v>
      </c>
      <c r="M1148" s="25"/>
      <c r="N1148" s="26">
        <v>28000.0</v>
      </c>
      <c r="O1148" s="27">
        <f t="shared" si="140"/>
        <v>0.382588032</v>
      </c>
      <c r="P1148" s="28">
        <f t="shared" si="143"/>
        <v>0</v>
      </c>
    </row>
    <row r="1149" hidden="1">
      <c r="A1149" s="16" t="s">
        <v>1739</v>
      </c>
      <c r="B1149" s="36"/>
      <c r="C1149" s="18"/>
      <c r="D1149" s="4"/>
      <c r="E1149" s="19">
        <v>0.0</v>
      </c>
      <c r="F1149" s="19"/>
      <c r="G1149" s="20" t="s">
        <v>610</v>
      </c>
      <c r="H1149" s="99"/>
      <c r="I1149" s="22"/>
      <c r="J1149" s="182"/>
      <c r="K1149" s="226">
        <v>23145.0</v>
      </c>
      <c r="L1149" s="24">
        <v>32000.0</v>
      </c>
      <c r="M1149" s="25"/>
      <c r="N1149" s="26">
        <v>28000.0</v>
      </c>
      <c r="O1149" s="27">
        <f t="shared" si="140"/>
        <v>0.382588032</v>
      </c>
      <c r="P1149" s="28">
        <f t="shared" si="143"/>
        <v>0</v>
      </c>
    </row>
    <row r="1150" hidden="1">
      <c r="A1150" s="16" t="s">
        <v>1740</v>
      </c>
      <c r="B1150" s="36"/>
      <c r="C1150" s="18"/>
      <c r="D1150" s="4"/>
      <c r="E1150" s="19">
        <v>0.0</v>
      </c>
      <c r="F1150" s="19"/>
      <c r="G1150" s="20" t="s">
        <v>610</v>
      </c>
      <c r="H1150" s="99"/>
      <c r="I1150" s="22"/>
      <c r="J1150" s="182"/>
      <c r="K1150" s="226">
        <v>23145.0</v>
      </c>
      <c r="L1150" s="24">
        <v>32000.0</v>
      </c>
      <c r="M1150" s="25"/>
      <c r="N1150" s="26">
        <v>28000.0</v>
      </c>
      <c r="O1150" s="27">
        <f t="shared" si="140"/>
        <v>0.382588032</v>
      </c>
      <c r="P1150" s="28">
        <f t="shared" si="143"/>
        <v>0</v>
      </c>
    </row>
    <row r="1151" hidden="1">
      <c r="A1151" s="119" t="s">
        <v>1741</v>
      </c>
      <c r="B1151" s="36"/>
      <c r="C1151" s="18"/>
      <c r="D1151" s="4"/>
      <c r="E1151" s="19">
        <v>0.0</v>
      </c>
      <c r="F1151" s="19"/>
      <c r="G1151" s="20" t="s">
        <v>610</v>
      </c>
      <c r="H1151" s="21"/>
      <c r="I1151" s="22"/>
      <c r="J1151" s="29"/>
      <c r="K1151" s="43">
        <f>80750*1.16</f>
        <v>93670</v>
      </c>
      <c r="L1151" s="44">
        <v>125000.0</v>
      </c>
      <c r="M1151" s="25"/>
      <c r="N1151" s="26"/>
      <c r="O1151" s="27">
        <f t="shared" si="140"/>
        <v>0.3344720828</v>
      </c>
      <c r="P1151" s="28">
        <f t="shared" si="143"/>
        <v>0</v>
      </c>
    </row>
    <row r="1152" hidden="1">
      <c r="A1152" s="119" t="s">
        <v>1742</v>
      </c>
      <c r="B1152" s="36" t="s">
        <v>680</v>
      </c>
      <c r="C1152" s="18"/>
      <c r="D1152" s="4"/>
      <c r="E1152" s="19">
        <v>0.0</v>
      </c>
      <c r="F1152" s="19"/>
      <c r="G1152" s="20" t="s">
        <v>610</v>
      </c>
      <c r="H1152" s="73"/>
      <c r="I1152" s="22"/>
      <c r="J1152" s="74"/>
      <c r="K1152" s="75">
        <f>145900*1.16</f>
        <v>169244</v>
      </c>
      <c r="L1152" s="44">
        <v>210000.0</v>
      </c>
      <c r="M1152" s="25"/>
      <c r="N1152" s="26"/>
      <c r="O1152" s="27">
        <f t="shared" si="140"/>
        <v>0.240812082</v>
      </c>
      <c r="P1152" s="28">
        <f t="shared" si="143"/>
        <v>0</v>
      </c>
    </row>
    <row r="1153" hidden="1">
      <c r="A1153" s="16" t="s">
        <v>1743</v>
      </c>
      <c r="B1153" s="36"/>
      <c r="C1153" s="18"/>
      <c r="D1153" s="4"/>
      <c r="E1153" s="19"/>
      <c r="F1153" s="19"/>
      <c r="G1153" s="16" t="s">
        <v>88</v>
      </c>
      <c r="H1153" s="21"/>
      <c r="I1153" s="22">
        <v>0.0</v>
      </c>
      <c r="J1153" s="29"/>
      <c r="K1153" s="43">
        <v>6418.0</v>
      </c>
      <c r="L1153" s="44">
        <v>10000.0</v>
      </c>
      <c r="M1153" s="25"/>
      <c r="N1153" s="26"/>
      <c r="O1153" s="27">
        <f t="shared" si="140"/>
        <v>0.5581177937</v>
      </c>
      <c r="P1153" s="28">
        <f t="shared" si="143"/>
        <v>0</v>
      </c>
    </row>
    <row r="1154" hidden="1">
      <c r="A1154" s="16" t="s">
        <v>1744</v>
      </c>
      <c r="B1154" s="36"/>
      <c r="C1154" s="18"/>
      <c r="D1154" s="4"/>
      <c r="E1154" s="19">
        <v>0.0</v>
      </c>
      <c r="F1154" s="19">
        <v>0.0</v>
      </c>
      <c r="G1154" s="16" t="s">
        <v>1513</v>
      </c>
      <c r="H1154" s="21"/>
      <c r="I1154" s="22">
        <v>0.0</v>
      </c>
      <c r="J1154" s="29"/>
      <c r="K1154" s="43">
        <v>2000.0</v>
      </c>
      <c r="L1154" s="44">
        <v>3000.0</v>
      </c>
      <c r="M1154" s="25"/>
      <c r="N1154" s="50"/>
      <c r="O1154" s="27">
        <f t="shared" si="140"/>
        <v>0.5</v>
      </c>
      <c r="P1154" s="28">
        <f t="shared" si="143"/>
        <v>0</v>
      </c>
    </row>
    <row r="1155" hidden="1">
      <c r="A1155" s="16" t="s">
        <v>1745</v>
      </c>
      <c r="B1155" s="166"/>
      <c r="C1155" s="18"/>
      <c r="D1155" s="4"/>
      <c r="E1155" s="19">
        <v>0.0</v>
      </c>
      <c r="F1155" s="19">
        <v>0.0</v>
      </c>
      <c r="G1155" s="16" t="s">
        <v>999</v>
      </c>
      <c r="H1155" s="21"/>
      <c r="I1155" s="22">
        <v>0.0</v>
      </c>
      <c r="J1155" s="29"/>
      <c r="K1155" s="43">
        <v>35822.0</v>
      </c>
      <c r="L1155" s="44">
        <v>48000.0</v>
      </c>
      <c r="M1155" s="25" t="s">
        <v>76</v>
      </c>
      <c r="N1155" s="26"/>
      <c r="O1155" s="27">
        <f t="shared" si="140"/>
        <v>0.3399586846</v>
      </c>
      <c r="P1155" s="28">
        <f t="shared" si="143"/>
        <v>0</v>
      </c>
    </row>
    <row r="1156" hidden="1">
      <c r="A1156" s="52" t="s">
        <v>1746</v>
      </c>
      <c r="B1156" s="17"/>
      <c r="C1156" s="18"/>
      <c r="D1156" s="4"/>
      <c r="E1156" s="19">
        <v>0.0</v>
      </c>
      <c r="F1156" s="19">
        <v>0.0</v>
      </c>
      <c r="G1156" s="16" t="s">
        <v>1747</v>
      </c>
      <c r="H1156" s="21"/>
      <c r="I1156" s="22">
        <v>0.0</v>
      </c>
      <c r="J1156" s="29"/>
      <c r="K1156" s="48">
        <f>8600*2</f>
        <v>17200</v>
      </c>
      <c r="L1156" s="55">
        <v>25000.0</v>
      </c>
      <c r="M1156" s="78"/>
      <c r="N1156" s="26"/>
      <c r="O1156" s="27">
        <f t="shared" si="140"/>
        <v>0.4534883721</v>
      </c>
      <c r="P1156" s="28">
        <f t="shared" si="143"/>
        <v>0</v>
      </c>
    </row>
    <row r="1157" hidden="1">
      <c r="A1157" s="40" t="s">
        <v>1748</v>
      </c>
      <c r="B1157" s="17" t="s">
        <v>1749</v>
      </c>
      <c r="C1157" s="18"/>
      <c r="D1157" s="4"/>
      <c r="E1157" s="19"/>
      <c r="F1157" s="19">
        <v>0.0</v>
      </c>
      <c r="G1157" s="16" t="s">
        <v>561</v>
      </c>
      <c r="H1157" s="21"/>
      <c r="I1157" s="22"/>
      <c r="J1157" s="29"/>
      <c r="K1157" s="32">
        <v>9200.0</v>
      </c>
      <c r="L1157" s="24">
        <v>24000.0</v>
      </c>
      <c r="M1157" s="25"/>
      <c r="N1157" s="26">
        <v>12000.0</v>
      </c>
      <c r="O1157" s="27">
        <f t="shared" si="140"/>
        <v>1.608695652</v>
      </c>
      <c r="P1157" s="28">
        <f t="shared" si="143"/>
        <v>0</v>
      </c>
    </row>
    <row r="1158" hidden="1">
      <c r="A1158" s="40" t="s">
        <v>1750</v>
      </c>
      <c r="B1158" s="17"/>
      <c r="C1158" s="18"/>
      <c r="D1158" s="4"/>
      <c r="E1158" s="19"/>
      <c r="F1158" s="19">
        <v>0.0</v>
      </c>
      <c r="G1158" s="40" t="s">
        <v>93</v>
      </c>
      <c r="H1158" s="21"/>
      <c r="I1158" s="22"/>
      <c r="J1158" s="29"/>
      <c r="K1158" s="32">
        <f>K1157/40</f>
        <v>230</v>
      </c>
      <c r="L1158" s="24">
        <v>1000.0</v>
      </c>
      <c r="M1158" s="25"/>
      <c r="N1158" s="26"/>
      <c r="O1158" s="27">
        <f t="shared" si="140"/>
        <v>3.347826087</v>
      </c>
      <c r="P1158" s="28">
        <f t="shared" si="143"/>
        <v>0</v>
      </c>
    </row>
    <row r="1159" hidden="1">
      <c r="A1159" s="16" t="s">
        <v>1751</v>
      </c>
      <c r="B1159" s="17"/>
      <c r="C1159" s="18"/>
      <c r="D1159" s="4"/>
      <c r="E1159" s="19"/>
      <c r="F1159" s="19"/>
      <c r="G1159" s="20" t="s">
        <v>1752</v>
      </c>
      <c r="H1159" s="21"/>
      <c r="I1159" s="22"/>
      <c r="J1159" s="23"/>
      <c r="K1159" s="24">
        <v>295000.0</v>
      </c>
      <c r="L1159" s="24">
        <v>490000.0</v>
      </c>
      <c r="M1159" s="25"/>
      <c r="N1159" s="26"/>
      <c r="O1159" s="27">
        <f t="shared" si="140"/>
        <v>0.6610169492</v>
      </c>
      <c r="P1159" s="28"/>
    </row>
    <row r="1160" hidden="1">
      <c r="A1160" s="52" t="s">
        <v>1753</v>
      </c>
      <c r="B1160" s="36" t="s">
        <v>1754</v>
      </c>
      <c r="C1160" s="18"/>
      <c r="D1160" s="67"/>
      <c r="E1160" s="19">
        <v>30.0</v>
      </c>
      <c r="F1160" s="19">
        <v>0.0</v>
      </c>
      <c r="G1160" s="16" t="s">
        <v>1755</v>
      </c>
      <c r="H1160" s="21"/>
      <c r="I1160" s="22">
        <v>40.0</v>
      </c>
      <c r="J1160" s="29"/>
      <c r="K1160" s="48">
        <v>2200.0</v>
      </c>
      <c r="L1160" s="55">
        <v>4000.0</v>
      </c>
      <c r="M1160" s="25"/>
      <c r="N1160" s="26"/>
      <c r="O1160" s="27">
        <f t="shared" si="140"/>
        <v>0.8181818182</v>
      </c>
      <c r="P1160" s="28">
        <f>K1160*F1160</f>
        <v>0</v>
      </c>
    </row>
    <row r="1161" hidden="1">
      <c r="A1161" s="16" t="s">
        <v>1756</v>
      </c>
      <c r="B1161" s="51" t="s">
        <v>1757</v>
      </c>
      <c r="C1161" s="38"/>
      <c r="D1161" s="67"/>
      <c r="E1161" s="19"/>
      <c r="F1161" s="19">
        <f>174790*0.85*1.19</f>
        <v>176800.085</v>
      </c>
      <c r="G1161" s="16" t="s">
        <v>1435</v>
      </c>
      <c r="H1161" s="21"/>
      <c r="I1161" s="22">
        <v>2.0</v>
      </c>
      <c r="J1161" s="23"/>
      <c r="K1161" s="55">
        <v>208000.0</v>
      </c>
      <c r="L1161" s="55">
        <v>240000.0</v>
      </c>
      <c r="M1161" s="25"/>
      <c r="N1161" s="26">
        <v>200000.0</v>
      </c>
      <c r="O1161" s="27"/>
      <c r="P1161" s="28"/>
    </row>
    <row r="1162" hidden="1">
      <c r="A1162" s="16" t="s">
        <v>1758</v>
      </c>
      <c r="B1162" s="17"/>
      <c r="C1162" s="38"/>
      <c r="D1162" s="4"/>
      <c r="E1162" s="19">
        <v>0.0</v>
      </c>
      <c r="F1162" s="19">
        <v>0.0</v>
      </c>
      <c r="G1162" s="16" t="s">
        <v>400</v>
      </c>
      <c r="H1162" s="33"/>
      <c r="I1162" s="22">
        <v>1.0</v>
      </c>
      <c r="J1162" s="170"/>
      <c r="K1162" s="30">
        <v>192089.0</v>
      </c>
      <c r="L1162" s="24">
        <v>320000.0</v>
      </c>
      <c r="M1162" s="25"/>
      <c r="N1162" s="26"/>
      <c r="O1162" s="27"/>
      <c r="P1162" s="28"/>
    </row>
    <row r="1163" hidden="1">
      <c r="A1163" s="42" t="s">
        <v>1759</v>
      </c>
      <c r="B1163" s="71"/>
      <c r="C1163" s="18"/>
      <c r="D1163" s="4"/>
      <c r="E1163" s="19">
        <v>0.0</v>
      </c>
      <c r="F1163" s="19"/>
      <c r="G1163" s="16" t="s">
        <v>1760</v>
      </c>
      <c r="H1163" s="21"/>
      <c r="I1163" s="22"/>
      <c r="J1163" s="29"/>
      <c r="K1163" s="32">
        <v>65000.0</v>
      </c>
      <c r="L1163" s="24">
        <v>95000.0</v>
      </c>
      <c r="M1163" s="25"/>
      <c r="N1163" s="26"/>
      <c r="O1163" s="27">
        <f>(L1163/K1163)-1</f>
        <v>0.4615384615</v>
      </c>
      <c r="P1163" s="28">
        <f>K1163*F1163</f>
        <v>0</v>
      </c>
    </row>
    <row r="1164" hidden="1">
      <c r="A1164" s="16" t="s">
        <v>1761</v>
      </c>
      <c r="B1164" s="17"/>
      <c r="C1164" s="38"/>
      <c r="D1164" s="4"/>
      <c r="E1164" s="19"/>
      <c r="F1164" s="19">
        <v>0.0</v>
      </c>
      <c r="G1164" s="16" t="s">
        <v>470</v>
      </c>
      <c r="H1164" s="21"/>
      <c r="I1164" s="22"/>
      <c r="J1164" s="29"/>
      <c r="K1164" s="43"/>
      <c r="L1164" s="172">
        <v>615000.0</v>
      </c>
      <c r="M1164" s="25"/>
      <c r="N1164" s="26"/>
      <c r="O1164" s="27"/>
      <c r="P1164" s="28"/>
    </row>
    <row r="1165" hidden="1">
      <c r="A1165" s="16" t="s">
        <v>1762</v>
      </c>
      <c r="B1165" s="17"/>
      <c r="C1165" s="18"/>
      <c r="D1165" s="4"/>
      <c r="E1165" s="19"/>
      <c r="F1165" s="19">
        <v>0.0</v>
      </c>
      <c r="G1165" s="20" t="s">
        <v>93</v>
      </c>
      <c r="H1165" s="21"/>
      <c r="I1165" s="22"/>
      <c r="J1165" s="29"/>
      <c r="K1165" s="32">
        <v>191600.0</v>
      </c>
      <c r="L1165" s="24">
        <v>239000.0</v>
      </c>
      <c r="M1165" s="25"/>
      <c r="N1165" s="26"/>
      <c r="O1165" s="27">
        <f t="shared" ref="O1165:O1192" si="145">(L1165/K1165)-1</f>
        <v>0.2473903967</v>
      </c>
      <c r="P1165" s="28">
        <f t="shared" ref="P1165:P1191" si="146">K1165*F1165</f>
        <v>0</v>
      </c>
    </row>
    <row r="1166" hidden="1">
      <c r="A1166" s="52" t="s">
        <v>1763</v>
      </c>
      <c r="B1166" s="17" t="s">
        <v>1764</v>
      </c>
      <c r="C1166" s="18"/>
      <c r="D1166" s="4" t="s">
        <v>1765</v>
      </c>
      <c r="E1166" s="19">
        <v>0.0</v>
      </c>
      <c r="F1166" s="19">
        <v>2.0</v>
      </c>
      <c r="G1166" s="16" t="s">
        <v>1766</v>
      </c>
      <c r="H1166" s="21"/>
      <c r="I1166" s="22">
        <v>2.0</v>
      </c>
      <c r="J1166" s="29"/>
      <c r="K1166" s="48">
        <f>19400*0.95*1.19</f>
        <v>21931.7</v>
      </c>
      <c r="L1166" s="55">
        <v>35000.0</v>
      </c>
      <c r="M1166" s="25"/>
      <c r="N1166" s="50"/>
      <c r="O1166" s="27">
        <f t="shared" si="145"/>
        <v>0.5958635218</v>
      </c>
      <c r="P1166" s="200">
        <f t="shared" si="146"/>
        <v>43863.4</v>
      </c>
    </row>
    <row r="1167" hidden="1">
      <c r="A1167" s="149" t="s">
        <v>1767</v>
      </c>
      <c r="B1167" s="71"/>
      <c r="C1167" s="18"/>
      <c r="D1167" s="4"/>
      <c r="E1167" s="19">
        <v>0.0</v>
      </c>
      <c r="F1167" s="19"/>
      <c r="G1167" s="16" t="s">
        <v>1077</v>
      </c>
      <c r="H1167" s="21"/>
      <c r="I1167" s="22"/>
      <c r="J1167" s="29"/>
      <c r="K1167" s="43">
        <v>400.0</v>
      </c>
      <c r="L1167" s="44">
        <v>5600.0</v>
      </c>
      <c r="M1167" s="25"/>
      <c r="N1167" s="26"/>
      <c r="O1167" s="27">
        <f t="shared" si="145"/>
        <v>13</v>
      </c>
      <c r="P1167" s="28">
        <f t="shared" si="146"/>
        <v>0</v>
      </c>
    </row>
    <row r="1168" hidden="1">
      <c r="A1168" s="122" t="s">
        <v>1768</v>
      </c>
      <c r="B1168" s="17"/>
      <c r="C1168" s="18"/>
      <c r="D1168" s="4"/>
      <c r="E1168" s="19">
        <v>0.0</v>
      </c>
      <c r="F1168" s="19"/>
      <c r="G1168" s="16" t="s">
        <v>1769</v>
      </c>
      <c r="H1168" s="73"/>
      <c r="I1168" s="22"/>
      <c r="J1168" s="74"/>
      <c r="K1168" s="75">
        <v>10000.0</v>
      </c>
      <c r="L1168" s="44">
        <v>40000.0</v>
      </c>
      <c r="M1168" s="25"/>
      <c r="N1168" s="26"/>
      <c r="O1168" s="27">
        <f t="shared" si="145"/>
        <v>3</v>
      </c>
      <c r="P1168" s="28">
        <f t="shared" si="146"/>
        <v>0</v>
      </c>
    </row>
    <row r="1169" hidden="1">
      <c r="A1169" s="122" t="s">
        <v>1770</v>
      </c>
      <c r="B1169" s="17">
        <v>241019.0</v>
      </c>
      <c r="C1169" s="18" t="s">
        <v>1771</v>
      </c>
      <c r="D1169" s="4"/>
      <c r="E1169" s="19">
        <v>0.0</v>
      </c>
      <c r="F1169" s="19">
        <v>0.0</v>
      </c>
      <c r="G1169" s="16" t="s">
        <v>659</v>
      </c>
      <c r="H1169" s="21"/>
      <c r="I1169" s="22">
        <v>50.0</v>
      </c>
      <c r="J1169" s="23"/>
      <c r="K1169" s="44">
        <f>2264*1.19</f>
        <v>2694.16</v>
      </c>
      <c r="L1169" s="44">
        <v>5000.0</v>
      </c>
      <c r="M1169" s="25"/>
      <c r="N1169" s="70"/>
      <c r="O1169" s="27">
        <f t="shared" si="145"/>
        <v>0.8558660213</v>
      </c>
      <c r="P1169" s="28">
        <f t="shared" si="146"/>
        <v>0</v>
      </c>
    </row>
    <row r="1170" hidden="1">
      <c r="A1170" s="122" t="s">
        <v>1772</v>
      </c>
      <c r="B1170" s="17">
        <v>241018.0</v>
      </c>
      <c r="C1170" s="18" t="s">
        <v>687</v>
      </c>
      <c r="D1170" s="4"/>
      <c r="E1170" s="19">
        <v>0.0</v>
      </c>
      <c r="F1170" s="19">
        <v>0.0</v>
      </c>
      <c r="G1170" s="16" t="s">
        <v>659</v>
      </c>
      <c r="H1170" s="21"/>
      <c r="I1170" s="22">
        <v>90.0</v>
      </c>
      <c r="J1170" s="23"/>
      <c r="K1170" s="44">
        <f t="shared" ref="K1170:K1171" si="147">2103*1.19</f>
        <v>2502.57</v>
      </c>
      <c r="L1170" s="44">
        <v>5000.0</v>
      </c>
      <c r="M1170" s="25"/>
      <c r="N1170" s="70"/>
      <c r="O1170" s="27">
        <f t="shared" si="145"/>
        <v>0.9979461114</v>
      </c>
      <c r="P1170" s="28">
        <f t="shared" si="146"/>
        <v>0</v>
      </c>
    </row>
    <row r="1171" hidden="1">
      <c r="A1171" s="122" t="s">
        <v>1773</v>
      </c>
      <c r="B1171" s="17">
        <v>241018.0</v>
      </c>
      <c r="C1171" s="18" t="s">
        <v>687</v>
      </c>
      <c r="D1171" s="4"/>
      <c r="E1171" s="19">
        <v>0.0</v>
      </c>
      <c r="F1171" s="19">
        <v>0.0</v>
      </c>
      <c r="G1171" s="16" t="s">
        <v>659</v>
      </c>
      <c r="H1171" s="21"/>
      <c r="I1171" s="22">
        <v>50.0</v>
      </c>
      <c r="J1171" s="23"/>
      <c r="K1171" s="44">
        <f t="shared" si="147"/>
        <v>2502.57</v>
      </c>
      <c r="L1171" s="44">
        <v>5000.0</v>
      </c>
      <c r="M1171" s="25"/>
      <c r="N1171" s="70"/>
      <c r="O1171" s="27">
        <f t="shared" si="145"/>
        <v>0.9979461114</v>
      </c>
      <c r="P1171" s="28">
        <f t="shared" si="146"/>
        <v>0</v>
      </c>
    </row>
    <row r="1172" hidden="1">
      <c r="A1172" s="122" t="s">
        <v>1774</v>
      </c>
      <c r="B1172" s="17"/>
      <c r="C1172" s="18"/>
      <c r="D1172" s="4"/>
      <c r="E1172" s="19">
        <v>0.0</v>
      </c>
      <c r="F1172" s="19">
        <v>0.0</v>
      </c>
      <c r="G1172" s="16" t="s">
        <v>1775</v>
      </c>
      <c r="H1172" s="73"/>
      <c r="I1172" s="22">
        <v>20.0</v>
      </c>
      <c r="J1172" s="74"/>
      <c r="K1172" s="194">
        <f t="shared" ref="K1172:K1173" si="148">99000/6</f>
        <v>16500</v>
      </c>
      <c r="L1172" s="24">
        <v>26000.0</v>
      </c>
      <c r="M1172" s="25"/>
      <c r="N1172" s="26"/>
      <c r="O1172" s="27">
        <f t="shared" si="145"/>
        <v>0.5757575758</v>
      </c>
      <c r="P1172" s="28">
        <f t="shared" si="146"/>
        <v>0</v>
      </c>
    </row>
    <row r="1173" hidden="1">
      <c r="A1173" s="122" t="s">
        <v>1776</v>
      </c>
      <c r="B1173" s="17"/>
      <c r="C1173" s="18"/>
      <c r="D1173" s="4"/>
      <c r="E1173" s="19">
        <v>0.0</v>
      </c>
      <c r="F1173" s="19">
        <v>0.0</v>
      </c>
      <c r="G1173" s="16" t="s">
        <v>1775</v>
      </c>
      <c r="H1173" s="73"/>
      <c r="I1173" s="22">
        <v>7.0</v>
      </c>
      <c r="J1173" s="74"/>
      <c r="K1173" s="194">
        <f t="shared" si="148"/>
        <v>16500</v>
      </c>
      <c r="L1173" s="24">
        <v>26000.0</v>
      </c>
      <c r="M1173" s="25"/>
      <c r="N1173" s="26"/>
      <c r="O1173" s="27">
        <f t="shared" si="145"/>
        <v>0.5757575758</v>
      </c>
      <c r="P1173" s="28">
        <f t="shared" si="146"/>
        <v>0</v>
      </c>
    </row>
    <row r="1174" hidden="1">
      <c r="A1174" s="52" t="s">
        <v>1777</v>
      </c>
      <c r="B1174" s="49"/>
      <c r="C1174" s="18"/>
      <c r="D1174" s="4"/>
      <c r="E1174" s="19">
        <v>0.0</v>
      </c>
      <c r="F1174" s="19">
        <v>0.0</v>
      </c>
      <c r="G1174" s="16" t="s">
        <v>932</v>
      </c>
      <c r="H1174" s="21"/>
      <c r="I1174" s="22">
        <v>0.0</v>
      </c>
      <c r="J1174" s="29"/>
      <c r="K1174" s="43">
        <f>5126*1.19</f>
        <v>6099.94</v>
      </c>
      <c r="L1174" s="44">
        <v>12000.0</v>
      </c>
      <c r="M1174" s="25"/>
      <c r="N1174" s="26"/>
      <c r="O1174" s="27">
        <f t="shared" si="145"/>
        <v>0.9672324646</v>
      </c>
      <c r="P1174" s="28">
        <f t="shared" si="146"/>
        <v>0</v>
      </c>
    </row>
    <row r="1175" hidden="1">
      <c r="A1175" s="122" t="s">
        <v>1778</v>
      </c>
      <c r="B1175" s="17">
        <v>241021.0</v>
      </c>
      <c r="C1175" s="18" t="s">
        <v>1779</v>
      </c>
      <c r="D1175" s="4"/>
      <c r="E1175" s="19">
        <v>0.0</v>
      </c>
      <c r="F1175" s="19">
        <v>0.0</v>
      </c>
      <c r="G1175" s="16" t="s">
        <v>1780</v>
      </c>
      <c r="H1175" s="21"/>
      <c r="I1175" s="22">
        <v>9.0</v>
      </c>
      <c r="J1175" s="23"/>
      <c r="K1175" s="24">
        <f>1846*1.19</f>
        <v>2196.74</v>
      </c>
      <c r="L1175" s="24">
        <v>4000.0</v>
      </c>
      <c r="M1175" s="25"/>
      <c r="N1175" s="70">
        <v>3000.0</v>
      </c>
      <c r="O1175" s="27">
        <f t="shared" si="145"/>
        <v>0.8208800313</v>
      </c>
      <c r="P1175" s="28">
        <f t="shared" si="146"/>
        <v>0</v>
      </c>
    </row>
    <row r="1176" hidden="1">
      <c r="A1176" s="219" t="s">
        <v>1781</v>
      </c>
      <c r="B1176" s="17">
        <v>241022.0</v>
      </c>
      <c r="C1176" s="18" t="s">
        <v>1782</v>
      </c>
      <c r="D1176" s="4"/>
      <c r="E1176" s="19">
        <v>0.0</v>
      </c>
      <c r="F1176" s="19">
        <v>0.0</v>
      </c>
      <c r="G1176" s="16" t="s">
        <v>1780</v>
      </c>
      <c r="H1176" s="21"/>
      <c r="I1176" s="22">
        <v>0.0</v>
      </c>
      <c r="J1176" s="23"/>
      <c r="K1176" s="24">
        <f>1385*1.19</f>
        <v>1648.15</v>
      </c>
      <c r="L1176" s="24">
        <v>4000.0</v>
      </c>
      <c r="M1176" s="25"/>
      <c r="N1176" s="70">
        <v>3000.0</v>
      </c>
      <c r="O1176" s="27">
        <f t="shared" si="145"/>
        <v>1.426963565</v>
      </c>
      <c r="P1176" s="28">
        <f t="shared" si="146"/>
        <v>0</v>
      </c>
    </row>
    <row r="1177" hidden="1">
      <c r="A1177" s="228" t="s">
        <v>1783</v>
      </c>
      <c r="B1177" s="134" t="s">
        <v>1784</v>
      </c>
      <c r="C1177" s="18" t="s">
        <v>845</v>
      </c>
      <c r="D1177" s="98"/>
      <c r="E1177" s="19">
        <v>0.0</v>
      </c>
      <c r="F1177" s="19"/>
      <c r="G1177" s="20" t="s">
        <v>485</v>
      </c>
      <c r="H1177" s="21">
        <v>0.0</v>
      </c>
      <c r="I1177" s="22"/>
      <c r="J1177" s="173"/>
      <c r="K1177" s="174">
        <f>18764*1.19</f>
        <v>22329.16</v>
      </c>
      <c r="L1177" s="229">
        <v>35000.0</v>
      </c>
      <c r="M1177" s="25"/>
      <c r="N1177" s="26"/>
      <c r="O1177" s="27">
        <f t="shared" si="145"/>
        <v>0.567457083</v>
      </c>
      <c r="P1177" s="28">
        <f t="shared" si="146"/>
        <v>0</v>
      </c>
    </row>
    <row r="1178" hidden="1">
      <c r="A1178" s="59" t="s">
        <v>1785</v>
      </c>
      <c r="B1178" s="134" t="s">
        <v>1786</v>
      </c>
      <c r="C1178" s="18" t="s">
        <v>55</v>
      </c>
      <c r="D1178" s="98"/>
      <c r="E1178" s="19">
        <v>0.0</v>
      </c>
      <c r="F1178" s="19"/>
      <c r="G1178" s="16" t="s">
        <v>485</v>
      </c>
      <c r="H1178" s="21">
        <v>0.0</v>
      </c>
      <c r="I1178" s="22"/>
      <c r="J1178" s="29"/>
      <c r="K1178" s="43">
        <f t="shared" ref="K1178:K1179" si="149">26432*1.19</f>
        <v>31454.08</v>
      </c>
      <c r="L1178" s="229">
        <v>55000.0</v>
      </c>
      <c r="M1178" s="25"/>
      <c r="N1178" s="26"/>
      <c r="O1178" s="27">
        <f t="shared" si="145"/>
        <v>0.7485807882</v>
      </c>
      <c r="P1178" s="28">
        <f t="shared" si="146"/>
        <v>0</v>
      </c>
    </row>
    <row r="1179" hidden="1">
      <c r="A1179" s="59" t="s">
        <v>1787</v>
      </c>
      <c r="B1179" s="134" t="s">
        <v>1788</v>
      </c>
      <c r="C1179" s="18" t="s">
        <v>55</v>
      </c>
      <c r="D1179" s="98"/>
      <c r="E1179" s="19">
        <v>0.0</v>
      </c>
      <c r="F1179" s="19"/>
      <c r="G1179" s="16" t="s">
        <v>485</v>
      </c>
      <c r="H1179" s="21">
        <v>0.0</v>
      </c>
      <c r="I1179" s="22"/>
      <c r="J1179" s="29"/>
      <c r="K1179" s="43">
        <f t="shared" si="149"/>
        <v>31454.08</v>
      </c>
      <c r="L1179" s="229">
        <v>55000.0</v>
      </c>
      <c r="M1179" s="25"/>
      <c r="N1179" s="26"/>
      <c r="O1179" s="27">
        <f t="shared" si="145"/>
        <v>0.7485807882</v>
      </c>
      <c r="P1179" s="28">
        <f t="shared" si="146"/>
        <v>0</v>
      </c>
    </row>
    <row r="1180" hidden="1">
      <c r="A1180" s="59" t="s">
        <v>1789</v>
      </c>
      <c r="B1180" s="134"/>
      <c r="C1180" s="18"/>
      <c r="D1180" s="4"/>
      <c r="E1180" s="19">
        <v>0.0</v>
      </c>
      <c r="F1180" s="19">
        <v>0.0</v>
      </c>
      <c r="G1180" s="16" t="s">
        <v>84</v>
      </c>
      <c r="H1180" s="21"/>
      <c r="I1180" s="22" t="s">
        <v>99</v>
      </c>
      <c r="J1180" s="29"/>
      <c r="K1180" s="43">
        <v>4000.0</v>
      </c>
      <c r="L1180" s="44">
        <v>10000.0</v>
      </c>
      <c r="M1180" s="25"/>
      <c r="N1180" s="26"/>
      <c r="O1180" s="27">
        <f t="shared" si="145"/>
        <v>1.5</v>
      </c>
      <c r="P1180" s="28">
        <f t="shared" si="146"/>
        <v>0</v>
      </c>
    </row>
    <row r="1181" hidden="1">
      <c r="A1181" s="59" t="s">
        <v>1790</v>
      </c>
      <c r="B1181" s="134"/>
      <c r="C1181" s="18"/>
      <c r="D1181" s="4"/>
      <c r="E1181" s="19">
        <v>0.0</v>
      </c>
      <c r="F1181" s="19">
        <v>0.0</v>
      </c>
      <c r="G1181" s="16" t="s">
        <v>84</v>
      </c>
      <c r="H1181" s="21"/>
      <c r="I1181" s="22" t="s">
        <v>99</v>
      </c>
      <c r="J1181" s="29"/>
      <c r="K1181" s="43">
        <v>4000.0</v>
      </c>
      <c r="L1181" s="44">
        <v>10000.0</v>
      </c>
      <c r="M1181" s="25"/>
      <c r="N1181" s="26"/>
      <c r="O1181" s="27">
        <f t="shared" si="145"/>
        <v>1.5</v>
      </c>
      <c r="P1181" s="28">
        <f t="shared" si="146"/>
        <v>0</v>
      </c>
    </row>
    <row r="1182" hidden="1">
      <c r="A1182" s="40" t="s">
        <v>1791</v>
      </c>
      <c r="B1182" s="17"/>
      <c r="C1182" s="18"/>
      <c r="D1182" s="4"/>
      <c r="E1182" s="19">
        <v>0.0</v>
      </c>
      <c r="F1182" s="19">
        <v>0.0</v>
      </c>
      <c r="G1182" s="16" t="s">
        <v>286</v>
      </c>
      <c r="H1182" s="21"/>
      <c r="I1182" s="22">
        <v>0.0</v>
      </c>
      <c r="J1182" s="29"/>
      <c r="K1182" s="43">
        <v>7687.0</v>
      </c>
      <c r="L1182" s="44">
        <v>11000.0</v>
      </c>
      <c r="M1182" s="25"/>
      <c r="N1182" s="26"/>
      <c r="O1182" s="27">
        <f t="shared" si="145"/>
        <v>0.4309873813</v>
      </c>
      <c r="P1182" s="28">
        <f t="shared" si="146"/>
        <v>0</v>
      </c>
    </row>
    <row r="1183" hidden="1">
      <c r="A1183" s="16" t="s">
        <v>1792</v>
      </c>
      <c r="B1183" s="51" t="s">
        <v>1793</v>
      </c>
      <c r="C1183" s="18"/>
      <c r="D1183" s="230"/>
      <c r="E1183" s="19">
        <v>0.0</v>
      </c>
      <c r="F1183" s="19">
        <v>0.0</v>
      </c>
      <c r="G1183" s="54" t="s">
        <v>102</v>
      </c>
      <c r="H1183" s="21"/>
      <c r="I1183" s="22">
        <v>4.0</v>
      </c>
      <c r="J1183" s="29"/>
      <c r="K1183" s="32">
        <f>15423*1.19</f>
        <v>18353.37</v>
      </c>
      <c r="L1183" s="24">
        <v>38000.0</v>
      </c>
      <c r="M1183" s="25"/>
      <c r="N1183" s="26"/>
      <c r="O1183" s="27">
        <f t="shared" si="145"/>
        <v>1.070464443</v>
      </c>
      <c r="P1183" s="28">
        <f t="shared" si="146"/>
        <v>0</v>
      </c>
    </row>
    <row r="1184" hidden="1">
      <c r="A1184" s="119" t="s">
        <v>1794</v>
      </c>
      <c r="B1184" s="51"/>
      <c r="C1184" s="18"/>
      <c r="D1184" s="4"/>
      <c r="E1184" s="19"/>
      <c r="F1184" s="19">
        <v>0.0</v>
      </c>
      <c r="G1184" s="120" t="s">
        <v>1795</v>
      </c>
      <c r="H1184" s="21"/>
      <c r="I1184" s="22"/>
      <c r="J1184" s="29"/>
      <c r="K1184" s="43">
        <f>63050*1.19</f>
        <v>75029.5</v>
      </c>
      <c r="L1184" s="44">
        <v>100000.0</v>
      </c>
      <c r="M1184" s="25"/>
      <c r="N1184" s="26"/>
      <c r="O1184" s="27">
        <f t="shared" si="145"/>
        <v>0.3328090951</v>
      </c>
      <c r="P1184" s="28">
        <f t="shared" si="146"/>
        <v>0</v>
      </c>
    </row>
    <row r="1185" hidden="1">
      <c r="A1185" s="119" t="s">
        <v>1796</v>
      </c>
      <c r="B1185" s="51"/>
      <c r="C1185" s="18"/>
      <c r="D1185" s="4"/>
      <c r="E1185" s="19"/>
      <c r="F1185" s="19">
        <v>0.0</v>
      </c>
      <c r="G1185" s="120" t="s">
        <v>1795</v>
      </c>
      <c r="H1185" s="21"/>
      <c r="I1185" s="22"/>
      <c r="J1185" s="29"/>
      <c r="K1185" s="43">
        <f>99910*1.19</f>
        <v>118892.9</v>
      </c>
      <c r="L1185" s="44">
        <v>145000.0</v>
      </c>
      <c r="M1185" s="25"/>
      <c r="N1185" s="26"/>
      <c r="O1185" s="27">
        <f t="shared" si="145"/>
        <v>0.2195850215</v>
      </c>
      <c r="P1185" s="28">
        <f t="shared" si="146"/>
        <v>0</v>
      </c>
    </row>
    <row r="1186" hidden="1">
      <c r="A1186" s="42" t="s">
        <v>1797</v>
      </c>
      <c r="B1186" s="17"/>
      <c r="C1186" s="18"/>
      <c r="D1186" s="4"/>
      <c r="E1186" s="19">
        <v>0.0</v>
      </c>
      <c r="F1186" s="19">
        <v>0.0</v>
      </c>
      <c r="G1186" s="20" t="s">
        <v>1798</v>
      </c>
      <c r="H1186" s="21">
        <v>1.0</v>
      </c>
      <c r="I1186" s="22">
        <v>0.0</v>
      </c>
      <c r="J1186" s="29"/>
      <c r="K1186" s="32">
        <v>153800.0</v>
      </c>
      <c r="L1186" s="24">
        <v>195000.0</v>
      </c>
      <c r="M1186" s="25"/>
      <c r="N1186" s="26"/>
      <c r="O1186" s="27">
        <f t="shared" si="145"/>
        <v>0.2678803641</v>
      </c>
      <c r="P1186" s="28">
        <f t="shared" si="146"/>
        <v>0</v>
      </c>
    </row>
    <row r="1187" hidden="1">
      <c r="A1187" s="118" t="s">
        <v>1799</v>
      </c>
      <c r="B1187" s="17" t="s">
        <v>340</v>
      </c>
      <c r="C1187" s="18"/>
      <c r="D1187" s="4"/>
      <c r="E1187" s="19">
        <v>100.0</v>
      </c>
      <c r="F1187" s="19">
        <v>0.0</v>
      </c>
      <c r="G1187" s="16" t="s">
        <v>1800</v>
      </c>
      <c r="H1187" s="21"/>
      <c r="I1187" s="22">
        <v>50.0</v>
      </c>
      <c r="J1187" s="29"/>
      <c r="K1187" s="43">
        <v>252.0</v>
      </c>
      <c r="L1187" s="44">
        <v>500.0</v>
      </c>
      <c r="M1187" s="25"/>
      <c r="N1187" s="26"/>
      <c r="O1187" s="27">
        <f t="shared" si="145"/>
        <v>0.9841269841</v>
      </c>
      <c r="P1187" s="28">
        <f t="shared" si="146"/>
        <v>0</v>
      </c>
    </row>
    <row r="1188" hidden="1">
      <c r="A1188" s="118" t="s">
        <v>1801</v>
      </c>
      <c r="B1188" s="36" t="s">
        <v>1802</v>
      </c>
      <c r="C1188" s="18"/>
      <c r="D1188" s="4" t="s">
        <v>1803</v>
      </c>
      <c r="E1188" s="19">
        <v>0.0</v>
      </c>
      <c r="F1188" s="19"/>
      <c r="G1188" s="20" t="s">
        <v>1804</v>
      </c>
      <c r="H1188" s="21"/>
      <c r="I1188" s="22"/>
      <c r="J1188" s="29"/>
      <c r="K1188" s="48">
        <f>5000*0.95*1.19</f>
        <v>5652.5</v>
      </c>
      <c r="L1188" s="48">
        <v>10000.0</v>
      </c>
      <c r="M1188" s="25"/>
      <c r="N1188" s="50"/>
      <c r="O1188" s="27">
        <f t="shared" si="145"/>
        <v>0.7691287041</v>
      </c>
      <c r="P1188" s="28">
        <f t="shared" si="146"/>
        <v>0</v>
      </c>
    </row>
    <row r="1189" hidden="1">
      <c r="A1189" s="52" t="s">
        <v>1805</v>
      </c>
      <c r="B1189" s="17" t="s">
        <v>1806</v>
      </c>
      <c r="C1189" s="18"/>
      <c r="D1189" s="4"/>
      <c r="E1189" s="19">
        <v>0.0</v>
      </c>
      <c r="F1189" s="19"/>
      <c r="G1189" s="20" t="s">
        <v>1807</v>
      </c>
      <c r="H1189" s="21"/>
      <c r="I1189" s="22"/>
      <c r="J1189" s="29"/>
      <c r="K1189" s="48">
        <f>5400*1.19</f>
        <v>6426</v>
      </c>
      <c r="L1189" s="55">
        <v>10000.0</v>
      </c>
      <c r="M1189" s="25"/>
      <c r="N1189" s="50"/>
      <c r="O1189" s="27">
        <f t="shared" si="145"/>
        <v>0.5561780268</v>
      </c>
      <c r="P1189" s="28">
        <f t="shared" si="146"/>
        <v>0</v>
      </c>
    </row>
    <row r="1190" hidden="1">
      <c r="A1190" s="16" t="s">
        <v>1808</v>
      </c>
      <c r="B1190" s="17" t="s">
        <v>1809</v>
      </c>
      <c r="C1190" s="18"/>
      <c r="D1190" s="4" t="s">
        <v>1810</v>
      </c>
      <c r="E1190" s="19">
        <v>0.0</v>
      </c>
      <c r="F1190" s="19"/>
      <c r="G1190" s="16" t="s">
        <v>1811</v>
      </c>
      <c r="H1190" s="21"/>
      <c r="I1190" s="22"/>
      <c r="J1190" s="29"/>
      <c r="K1190" s="43">
        <v>1260.0</v>
      </c>
      <c r="L1190" s="44">
        <v>3500.0</v>
      </c>
      <c r="M1190" s="25"/>
      <c r="N1190" s="26"/>
      <c r="O1190" s="27">
        <f t="shared" si="145"/>
        <v>1.777777778</v>
      </c>
      <c r="P1190" s="28">
        <f t="shared" si="146"/>
        <v>0</v>
      </c>
    </row>
    <row r="1191" hidden="1">
      <c r="A1191" s="16" t="s">
        <v>1812</v>
      </c>
      <c r="B1191" s="36"/>
      <c r="C1191" s="18"/>
      <c r="D1191" s="4"/>
      <c r="E1191" s="19">
        <v>0.0</v>
      </c>
      <c r="F1191" s="19"/>
      <c r="G1191" s="16" t="s">
        <v>57</v>
      </c>
      <c r="H1191" s="21"/>
      <c r="I1191" s="22"/>
      <c r="J1191" s="29"/>
      <c r="K1191" s="43">
        <v>1.0</v>
      </c>
      <c r="L1191" s="44">
        <v>3000.0</v>
      </c>
      <c r="M1191" s="25"/>
      <c r="N1191" s="26"/>
      <c r="O1191" s="27">
        <f t="shared" si="145"/>
        <v>2999</v>
      </c>
      <c r="P1191" s="28">
        <f t="shared" si="146"/>
        <v>0</v>
      </c>
    </row>
    <row r="1192" hidden="1">
      <c r="A1192" s="231" t="s">
        <v>1813</v>
      </c>
      <c r="B1192" s="36"/>
      <c r="C1192" s="18"/>
      <c r="D1192" s="67"/>
      <c r="E1192" s="19"/>
      <c r="F1192" s="19"/>
      <c r="G1192" s="16" t="s">
        <v>1814</v>
      </c>
      <c r="H1192" s="21"/>
      <c r="I1192" s="22">
        <v>0.0</v>
      </c>
      <c r="J1192" s="29"/>
      <c r="K1192" s="48">
        <f>56471*1.19</f>
        <v>67200.49</v>
      </c>
      <c r="L1192" s="55">
        <v>96000.0</v>
      </c>
      <c r="M1192" s="25"/>
      <c r="N1192" s="26"/>
      <c r="O1192" s="27">
        <f t="shared" si="145"/>
        <v>0.428561012</v>
      </c>
      <c r="P1192" s="28"/>
    </row>
    <row r="1193" hidden="1">
      <c r="A1193" s="52" t="s">
        <v>1815</v>
      </c>
      <c r="B1193" s="16"/>
      <c r="C1193" s="18"/>
      <c r="D1193" s="98"/>
      <c r="E1193" s="19">
        <v>0.0</v>
      </c>
      <c r="F1193" s="19">
        <v>0.0</v>
      </c>
      <c r="G1193" s="16" t="s">
        <v>563</v>
      </c>
      <c r="H1193" s="21"/>
      <c r="I1193" s="22"/>
      <c r="J1193" s="47"/>
      <c r="K1193" s="48">
        <f t="shared" ref="K1193:K1194" si="150">28000*1.19/2</f>
        <v>16660</v>
      </c>
      <c r="L1193" s="48">
        <v>23000.0</v>
      </c>
      <c r="M1193" s="25">
        <v>19.0</v>
      </c>
      <c r="N1193" s="39"/>
      <c r="O1193" s="27">
        <f>(L1193/K1193)-1</f>
        <v>0.3805522209</v>
      </c>
      <c r="P1193" s="28">
        <f>K1193*F1193</f>
        <v>0</v>
      </c>
    </row>
    <row r="1194" hidden="1">
      <c r="A1194" s="231" t="s">
        <v>1816</v>
      </c>
      <c r="B1194" s="36"/>
      <c r="C1194" s="18"/>
      <c r="D1194" s="4"/>
      <c r="E1194" s="19">
        <v>0.0</v>
      </c>
      <c r="F1194" s="19">
        <v>0.0</v>
      </c>
      <c r="G1194" s="16" t="s">
        <v>65</v>
      </c>
      <c r="H1194" s="21"/>
      <c r="I1194" s="22">
        <v>0.0</v>
      </c>
      <c r="J1194" s="29"/>
      <c r="K1194" s="32">
        <f t="shared" si="150"/>
        <v>16660</v>
      </c>
      <c r="L1194" s="24">
        <v>23000.0</v>
      </c>
      <c r="M1194" s="25"/>
      <c r="N1194" s="26"/>
      <c r="O1194" s="27">
        <f t="shared" ref="O1194:O1203" si="151">(L1194/K1194)-1</f>
        <v>0.3805522209</v>
      </c>
      <c r="P1194" s="28"/>
    </row>
    <row r="1195" hidden="1">
      <c r="A1195" s="16" t="s">
        <v>1817</v>
      </c>
      <c r="B1195" s="17" t="s">
        <v>1818</v>
      </c>
      <c r="C1195" s="18"/>
      <c r="D1195" s="4"/>
      <c r="E1195" s="19">
        <v>0.0</v>
      </c>
      <c r="F1195" s="19"/>
      <c r="G1195" s="16" t="s">
        <v>1811</v>
      </c>
      <c r="H1195" s="21"/>
      <c r="I1195" s="22"/>
      <c r="J1195" s="29"/>
      <c r="K1195" s="48">
        <f>162000*1.19/35</f>
        <v>5508</v>
      </c>
      <c r="L1195" s="55">
        <v>9000.0</v>
      </c>
      <c r="M1195" s="25"/>
      <c r="N1195" s="26"/>
      <c r="O1195" s="27">
        <f t="shared" si="151"/>
        <v>0.6339869281</v>
      </c>
      <c r="P1195" s="28">
        <f t="shared" ref="P1195:P1196" si="152">K1195*F1195</f>
        <v>0</v>
      </c>
    </row>
    <row r="1196" hidden="1">
      <c r="A1196" s="16" t="s">
        <v>1819</v>
      </c>
      <c r="B1196" s="36"/>
      <c r="C1196" s="18"/>
      <c r="D1196" s="4"/>
      <c r="E1196" s="19">
        <v>0.0</v>
      </c>
      <c r="F1196" s="19">
        <v>0.0</v>
      </c>
      <c r="G1196" s="20" t="s">
        <v>1820</v>
      </c>
      <c r="H1196" s="21"/>
      <c r="I1196" s="22">
        <v>0.0</v>
      </c>
      <c r="J1196" s="29"/>
      <c r="K1196" s="43">
        <v>48900.0</v>
      </c>
      <c r="L1196" s="44">
        <v>70000.0</v>
      </c>
      <c r="M1196" s="25"/>
      <c r="N1196" s="26"/>
      <c r="O1196" s="27">
        <f t="shared" si="151"/>
        <v>0.4314928425</v>
      </c>
      <c r="P1196" s="28">
        <f t="shared" si="152"/>
        <v>0</v>
      </c>
    </row>
    <row r="1197" hidden="1">
      <c r="A1197" s="16" t="s">
        <v>1821</v>
      </c>
      <c r="B1197" s="36"/>
      <c r="C1197" s="18"/>
      <c r="D1197" s="4"/>
      <c r="E1197" s="19"/>
      <c r="F1197" s="19">
        <v>0.0</v>
      </c>
      <c r="G1197" s="20" t="s">
        <v>45</v>
      </c>
      <c r="H1197" s="21"/>
      <c r="I1197" s="22"/>
      <c r="J1197" s="29"/>
      <c r="K1197" s="48">
        <v>90375.0</v>
      </c>
      <c r="L1197" s="55">
        <v>110000.0</v>
      </c>
      <c r="M1197" s="25"/>
      <c r="N1197" s="26">
        <v>98000.0</v>
      </c>
      <c r="O1197" s="27">
        <f t="shared" si="151"/>
        <v>0.2171507607</v>
      </c>
      <c r="P1197" s="28"/>
    </row>
    <row r="1198" hidden="1">
      <c r="A1198" s="16" t="s">
        <v>1822</v>
      </c>
      <c r="B1198" s="17" t="s">
        <v>1823</v>
      </c>
      <c r="C1198" s="38"/>
      <c r="D1198" s="67"/>
      <c r="E1198" s="19"/>
      <c r="F1198" s="19"/>
      <c r="G1198" s="16" t="s">
        <v>1435</v>
      </c>
      <c r="H1198" s="143"/>
      <c r="I1198" s="22">
        <v>3.0</v>
      </c>
      <c r="J1198" s="232"/>
      <c r="K1198" s="233">
        <v>595000.0</v>
      </c>
      <c r="L1198" s="55">
        <v>720000.0</v>
      </c>
      <c r="M1198" s="25"/>
      <c r="N1198" s="26">
        <v>640000.0</v>
      </c>
      <c r="O1198" s="27">
        <f t="shared" si="151"/>
        <v>0.2100840336</v>
      </c>
      <c r="P1198" s="28">
        <f t="shared" ref="P1198:P1203" si="153">K1198*F1198</f>
        <v>0</v>
      </c>
    </row>
    <row r="1199" hidden="1">
      <c r="A1199" s="234" t="s">
        <v>1824</v>
      </c>
      <c r="B1199" s="17" t="s">
        <v>1825</v>
      </c>
      <c r="C1199" s="18" t="s">
        <v>948</v>
      </c>
      <c r="D1199" s="4"/>
      <c r="E1199" s="19" t="s">
        <v>1826</v>
      </c>
      <c r="F1199" s="19" t="s">
        <v>1827</v>
      </c>
      <c r="G1199" s="16" t="s">
        <v>1828</v>
      </c>
      <c r="H1199" s="21">
        <v>0.0</v>
      </c>
      <c r="I1199" s="235"/>
      <c r="J1199" s="29"/>
      <c r="K1199" s="32">
        <f>6400*1.19</f>
        <v>7616</v>
      </c>
      <c r="L1199" s="24">
        <v>13000.0</v>
      </c>
      <c r="M1199" s="25"/>
      <c r="N1199" s="70">
        <v>9000.0</v>
      </c>
      <c r="O1199" s="27">
        <f t="shared" si="151"/>
        <v>0.7069327731</v>
      </c>
      <c r="P1199" s="28" t="str">
        <f t="shared" si="153"/>
        <v>#VALUE!</v>
      </c>
    </row>
    <row r="1200" hidden="1">
      <c r="A1200" s="16" t="s">
        <v>1829</v>
      </c>
      <c r="B1200" s="17"/>
      <c r="C1200" s="18"/>
      <c r="D1200" s="4"/>
      <c r="E1200" s="19">
        <v>0.0</v>
      </c>
      <c r="F1200" s="19">
        <v>0.0</v>
      </c>
      <c r="G1200" s="16" t="s">
        <v>425</v>
      </c>
      <c r="H1200" s="99"/>
      <c r="I1200" s="22">
        <v>0.0</v>
      </c>
      <c r="J1200" s="182"/>
      <c r="K1200" s="236">
        <f>410851*1.19</f>
        <v>488912.69</v>
      </c>
      <c r="L1200" s="44">
        <v>720000.0</v>
      </c>
      <c r="M1200" s="25"/>
      <c r="N1200" s="26"/>
      <c r="O1200" s="27">
        <f t="shared" si="151"/>
        <v>0.4726555778</v>
      </c>
      <c r="P1200" s="28">
        <f t="shared" si="153"/>
        <v>0</v>
      </c>
    </row>
    <row r="1201" hidden="1">
      <c r="A1201" s="122" t="s">
        <v>1830</v>
      </c>
      <c r="B1201" s="17"/>
      <c r="C1201" s="18"/>
      <c r="D1201" s="4"/>
      <c r="E1201" s="19">
        <v>0.0</v>
      </c>
      <c r="F1201" s="19">
        <v>0.0</v>
      </c>
      <c r="G1201" s="16" t="s">
        <v>16</v>
      </c>
      <c r="H1201" s="73"/>
      <c r="I1201" s="22">
        <v>1.0</v>
      </c>
      <c r="J1201" s="74"/>
      <c r="K1201" s="75">
        <v>239400.0</v>
      </c>
      <c r="L1201" s="44">
        <v>550000.0</v>
      </c>
      <c r="M1201" s="25"/>
      <c r="N1201" s="26"/>
      <c r="O1201" s="27">
        <f t="shared" si="151"/>
        <v>1.297410192</v>
      </c>
      <c r="P1201" s="28">
        <f t="shared" si="153"/>
        <v>0</v>
      </c>
    </row>
    <row r="1202" hidden="1">
      <c r="A1202" s="122" t="s">
        <v>1831</v>
      </c>
      <c r="B1202" s="17"/>
      <c r="C1202" s="18"/>
      <c r="D1202" s="4"/>
      <c r="E1202" s="19">
        <v>0.0</v>
      </c>
      <c r="F1202" s="19">
        <v>0.0</v>
      </c>
      <c r="G1202" s="16" t="s">
        <v>16</v>
      </c>
      <c r="H1202" s="73"/>
      <c r="I1202" s="22">
        <v>0.0</v>
      </c>
      <c r="J1202" s="74"/>
      <c r="K1202" s="75">
        <v>291000.0</v>
      </c>
      <c r="L1202" s="44">
        <v>550000.0</v>
      </c>
      <c r="M1202" s="25"/>
      <c r="N1202" s="26"/>
      <c r="O1202" s="27">
        <f t="shared" si="151"/>
        <v>0.8900343643</v>
      </c>
      <c r="P1202" s="28">
        <f t="shared" si="153"/>
        <v>0</v>
      </c>
    </row>
    <row r="1203" hidden="1">
      <c r="A1203" s="122" t="s">
        <v>1832</v>
      </c>
      <c r="B1203" s="17">
        <v>243002.0</v>
      </c>
      <c r="C1203" s="18"/>
      <c r="D1203" s="98"/>
      <c r="E1203" s="19">
        <v>0.0</v>
      </c>
      <c r="F1203" s="19">
        <v>0.0</v>
      </c>
      <c r="G1203" s="16" t="s">
        <v>425</v>
      </c>
      <c r="H1203" s="21"/>
      <c r="I1203" s="22">
        <v>10.0</v>
      </c>
      <c r="J1203" s="23"/>
      <c r="K1203" s="55">
        <v>500000.0</v>
      </c>
      <c r="L1203" s="55">
        <v>580000.0</v>
      </c>
      <c r="M1203" s="25"/>
      <c r="N1203" s="26">
        <v>570000.0</v>
      </c>
      <c r="O1203" s="27">
        <f t="shared" si="151"/>
        <v>0.16</v>
      </c>
      <c r="P1203" s="28">
        <f t="shared" si="153"/>
        <v>0</v>
      </c>
    </row>
    <row r="1204" hidden="1">
      <c r="A1204" s="122" t="s">
        <v>1833</v>
      </c>
      <c r="B1204" s="17"/>
      <c r="C1204" s="18"/>
      <c r="D1204" s="4"/>
      <c r="E1204" s="19">
        <v>0.0</v>
      </c>
      <c r="F1204" s="19">
        <v>0.0</v>
      </c>
      <c r="G1204" s="16" t="s">
        <v>400</v>
      </c>
      <c r="H1204" s="73"/>
      <c r="I1204" s="22">
        <v>3.0</v>
      </c>
      <c r="J1204" s="74"/>
      <c r="K1204" s="75"/>
      <c r="L1204" s="44"/>
      <c r="M1204" s="25"/>
      <c r="N1204" s="26"/>
      <c r="O1204" s="27"/>
      <c r="P1204" s="28"/>
    </row>
    <row r="1205" hidden="1">
      <c r="A1205" s="122" t="s">
        <v>1834</v>
      </c>
      <c r="B1205" s="17"/>
      <c r="C1205" s="18"/>
      <c r="D1205" s="4"/>
      <c r="E1205" s="19">
        <v>0.0</v>
      </c>
      <c r="F1205" s="19"/>
      <c r="G1205" s="16" t="s">
        <v>553</v>
      </c>
      <c r="H1205" s="21"/>
      <c r="I1205" s="22"/>
      <c r="J1205" s="29"/>
      <c r="K1205" s="43">
        <v>1.0</v>
      </c>
      <c r="L1205" s="43">
        <v>1.0</v>
      </c>
      <c r="M1205" s="25"/>
      <c r="N1205" s="50"/>
      <c r="O1205" s="27">
        <f t="shared" ref="O1205:O1221" si="154">(L1205/K1205)-1</f>
        <v>0</v>
      </c>
      <c r="P1205" s="28">
        <f t="shared" ref="P1205:P1213" si="155">K1205*F1205</f>
        <v>0</v>
      </c>
    </row>
    <row r="1206" hidden="1">
      <c r="A1206" s="40" t="s">
        <v>1835</v>
      </c>
      <c r="B1206" s="36"/>
      <c r="C1206" s="18" t="s">
        <v>1020</v>
      </c>
      <c r="D1206" s="4"/>
      <c r="E1206" s="19">
        <v>0.0</v>
      </c>
      <c r="F1206" s="19">
        <v>5.0</v>
      </c>
      <c r="G1206" s="16" t="s">
        <v>610</v>
      </c>
      <c r="H1206" s="21"/>
      <c r="I1206" s="22"/>
      <c r="J1206" s="23"/>
      <c r="K1206" s="55">
        <f>73949*1.19</f>
        <v>87999.31</v>
      </c>
      <c r="L1206" s="55">
        <v>110000.0</v>
      </c>
      <c r="M1206" s="25"/>
      <c r="N1206" s="26">
        <v>94000.0</v>
      </c>
      <c r="O1206" s="27">
        <f t="shared" si="154"/>
        <v>0.2500098012</v>
      </c>
      <c r="P1206" s="28">
        <f t="shared" si="155"/>
        <v>439996.55</v>
      </c>
    </row>
    <row r="1207" hidden="1">
      <c r="A1207" s="118" t="s">
        <v>1836</v>
      </c>
      <c r="B1207" s="17"/>
      <c r="C1207" s="18"/>
      <c r="D1207" s="4"/>
      <c r="E1207" s="19">
        <v>0.0</v>
      </c>
      <c r="F1207" s="19">
        <v>0.0</v>
      </c>
      <c r="G1207" s="16" t="s">
        <v>513</v>
      </c>
      <c r="H1207" s="21"/>
      <c r="I1207" s="22">
        <v>0.0</v>
      </c>
      <c r="J1207" s="29"/>
      <c r="K1207" s="43">
        <v>7000.0</v>
      </c>
      <c r="L1207" s="44">
        <v>12000.0</v>
      </c>
      <c r="M1207" s="25"/>
      <c r="N1207" s="26"/>
      <c r="O1207" s="27">
        <f t="shared" si="154"/>
        <v>0.7142857143</v>
      </c>
      <c r="P1207" s="28">
        <f t="shared" si="155"/>
        <v>0</v>
      </c>
    </row>
    <row r="1208" hidden="1">
      <c r="A1208" s="122" t="s">
        <v>1837</v>
      </c>
      <c r="B1208" s="17">
        <v>248003.0</v>
      </c>
      <c r="C1208" s="18"/>
      <c r="D1208" s="4"/>
      <c r="E1208" s="19">
        <v>0.0</v>
      </c>
      <c r="F1208" s="19">
        <v>0.0</v>
      </c>
      <c r="G1208" s="16" t="s">
        <v>659</v>
      </c>
      <c r="H1208" s="73"/>
      <c r="I1208" s="22">
        <v>30.0</v>
      </c>
      <c r="J1208" s="74"/>
      <c r="K1208" s="75">
        <f>9596*1.19/12</f>
        <v>951.6033333</v>
      </c>
      <c r="L1208" s="44">
        <v>2000.0</v>
      </c>
      <c r="M1208" s="25"/>
      <c r="N1208" s="26"/>
      <c r="O1208" s="27">
        <f t="shared" si="154"/>
        <v>1.101716051</v>
      </c>
      <c r="P1208" s="28">
        <f t="shared" si="155"/>
        <v>0</v>
      </c>
    </row>
    <row r="1209" hidden="1">
      <c r="A1209" s="16" t="s">
        <v>1838</v>
      </c>
      <c r="B1209" s="178"/>
      <c r="C1209" s="18" t="s">
        <v>985</v>
      </c>
      <c r="D1209" s="4"/>
      <c r="E1209" s="19"/>
      <c r="F1209" s="19">
        <v>0.0</v>
      </c>
      <c r="G1209" s="40" t="s">
        <v>93</v>
      </c>
      <c r="H1209" s="21"/>
      <c r="I1209" s="22"/>
      <c r="J1209" s="29"/>
      <c r="K1209" s="48">
        <v>206700.0</v>
      </c>
      <c r="L1209" s="55">
        <v>229700.0</v>
      </c>
      <c r="M1209" s="25" t="s">
        <v>82</v>
      </c>
      <c r="N1209" s="39"/>
      <c r="O1209" s="27">
        <f t="shared" si="154"/>
        <v>0.1112723754</v>
      </c>
      <c r="P1209" s="28">
        <f t="shared" si="155"/>
        <v>0</v>
      </c>
    </row>
    <row r="1210" hidden="1">
      <c r="A1210" s="16" t="s">
        <v>1839</v>
      </c>
      <c r="B1210" s="51" t="s">
        <v>1840</v>
      </c>
      <c r="C1210" s="38"/>
      <c r="D1210" s="61"/>
      <c r="E1210" s="19"/>
      <c r="F1210" s="19"/>
      <c r="G1210" s="16" t="s">
        <v>91</v>
      </c>
      <c r="H1210" s="21">
        <f>87*2</f>
        <v>174</v>
      </c>
      <c r="I1210" s="22">
        <v>3.0</v>
      </c>
      <c r="J1210" s="47">
        <v>46508.0</v>
      </c>
      <c r="K1210" s="24">
        <f>174000/2</f>
        <v>87000</v>
      </c>
      <c r="L1210" s="24">
        <v>120000.0</v>
      </c>
      <c r="M1210" s="25"/>
      <c r="N1210" s="102">
        <v>90000.0</v>
      </c>
      <c r="O1210" s="27">
        <f t="shared" si="154"/>
        <v>0.3793103448</v>
      </c>
      <c r="P1210" s="28">
        <f t="shared" si="155"/>
        <v>0</v>
      </c>
    </row>
    <row r="1211" hidden="1">
      <c r="A1211" s="16" t="s">
        <v>1841</v>
      </c>
      <c r="B1211" s="17" t="s">
        <v>1842</v>
      </c>
      <c r="C1211" s="18"/>
      <c r="D1211" s="4" t="s">
        <v>1148</v>
      </c>
      <c r="E1211" s="19">
        <v>0.0</v>
      </c>
      <c r="F1211" s="19">
        <v>15.0</v>
      </c>
      <c r="G1211" s="20" t="s">
        <v>911</v>
      </c>
      <c r="H1211" s="21"/>
      <c r="I1211" s="22">
        <v>11.0</v>
      </c>
      <c r="J1211" s="29"/>
      <c r="K1211" s="32">
        <v>96000.0</v>
      </c>
      <c r="L1211" s="24">
        <v>130000.0</v>
      </c>
      <c r="M1211" s="25"/>
      <c r="N1211" s="26">
        <v>110000.0</v>
      </c>
      <c r="O1211" s="27">
        <f t="shared" si="154"/>
        <v>0.3541666667</v>
      </c>
      <c r="P1211" s="28">
        <f t="shared" si="155"/>
        <v>1440000</v>
      </c>
    </row>
    <row r="1212" hidden="1">
      <c r="A1212" s="16" t="s">
        <v>1843</v>
      </c>
      <c r="B1212" s="17" t="s">
        <v>1842</v>
      </c>
      <c r="C1212" s="18"/>
      <c r="D1212" s="4" t="s">
        <v>1148</v>
      </c>
      <c r="E1212" s="19">
        <v>0.0</v>
      </c>
      <c r="F1212" s="19">
        <v>15.0</v>
      </c>
      <c r="G1212" s="20" t="s">
        <v>911</v>
      </c>
      <c r="H1212" s="21"/>
      <c r="I1212" s="22">
        <v>0.0</v>
      </c>
      <c r="J1212" s="29"/>
      <c r="K1212" s="32">
        <v>96000.0</v>
      </c>
      <c r="L1212" s="24">
        <v>130000.0</v>
      </c>
      <c r="M1212" s="25"/>
      <c r="N1212" s="26"/>
      <c r="O1212" s="27">
        <f t="shared" si="154"/>
        <v>0.3541666667</v>
      </c>
      <c r="P1212" s="28">
        <f t="shared" si="155"/>
        <v>1440000</v>
      </c>
    </row>
    <row r="1213" hidden="1">
      <c r="A1213" s="52" t="s">
        <v>1844</v>
      </c>
      <c r="B1213" s="17" t="s">
        <v>1845</v>
      </c>
      <c r="C1213" s="18"/>
      <c r="D1213" s="4" t="s">
        <v>1148</v>
      </c>
      <c r="E1213" s="19">
        <v>0.0</v>
      </c>
      <c r="F1213" s="19">
        <v>15.0</v>
      </c>
      <c r="G1213" s="16" t="s">
        <v>1846</v>
      </c>
      <c r="H1213" s="21"/>
      <c r="I1213" s="22">
        <v>5.0</v>
      </c>
      <c r="J1213" s="29"/>
      <c r="K1213" s="32">
        <v>45000.0</v>
      </c>
      <c r="L1213" s="24">
        <v>65000.0</v>
      </c>
      <c r="M1213" s="25"/>
      <c r="N1213" s="26">
        <v>55000.0</v>
      </c>
      <c r="O1213" s="27">
        <f t="shared" si="154"/>
        <v>0.4444444444</v>
      </c>
      <c r="P1213" s="28">
        <f t="shared" si="155"/>
        <v>675000</v>
      </c>
    </row>
    <row r="1214" hidden="1">
      <c r="A1214" s="16" t="s">
        <v>1847</v>
      </c>
      <c r="B1214" s="17"/>
      <c r="C1214" s="18"/>
      <c r="D1214" s="4"/>
      <c r="E1214" s="19">
        <v>0.0</v>
      </c>
      <c r="F1214" s="19">
        <v>0.0</v>
      </c>
      <c r="G1214" s="16" t="s">
        <v>1846</v>
      </c>
      <c r="H1214" s="237"/>
      <c r="I1214" s="22">
        <v>11.0</v>
      </c>
      <c r="J1214" s="238"/>
      <c r="K1214" s="239"/>
      <c r="L1214" s="44">
        <v>78000.0</v>
      </c>
      <c r="M1214" s="25"/>
      <c r="N1214" s="26"/>
      <c r="O1214" s="27" t="str">
        <f t="shared" si="154"/>
        <v>#DIV/0!</v>
      </c>
      <c r="P1214" s="28">
        <f>L1214*F1214</f>
        <v>0</v>
      </c>
    </row>
    <row r="1215" hidden="1">
      <c r="A1215" s="52" t="s">
        <v>1848</v>
      </c>
      <c r="B1215" s="17" t="s">
        <v>1845</v>
      </c>
      <c r="C1215" s="18"/>
      <c r="D1215" s="4" t="s">
        <v>1148</v>
      </c>
      <c r="E1215" s="19">
        <v>0.0</v>
      </c>
      <c r="F1215" s="19">
        <v>10.0</v>
      </c>
      <c r="G1215" s="16" t="s">
        <v>1846</v>
      </c>
      <c r="H1215" s="21"/>
      <c r="I1215" s="22">
        <v>0.0</v>
      </c>
      <c r="J1215" s="29"/>
      <c r="K1215" s="32">
        <v>45000.0</v>
      </c>
      <c r="L1215" s="24">
        <v>65000.0</v>
      </c>
      <c r="M1215" s="25"/>
      <c r="N1215" s="26"/>
      <c r="O1215" s="27">
        <f t="shared" si="154"/>
        <v>0.4444444444</v>
      </c>
      <c r="P1215" s="28">
        <f t="shared" ref="P1215:P1221" si="156">K1215*F1215</f>
        <v>450000</v>
      </c>
    </row>
    <row r="1216" hidden="1">
      <c r="A1216" s="52" t="s">
        <v>1849</v>
      </c>
      <c r="B1216" s="17"/>
      <c r="C1216" s="18"/>
      <c r="D1216" s="4"/>
      <c r="E1216" s="19">
        <v>0.0</v>
      </c>
      <c r="F1216" s="19">
        <v>0.0</v>
      </c>
      <c r="G1216" s="16" t="s">
        <v>692</v>
      </c>
      <c r="H1216" s="21"/>
      <c r="I1216" s="22">
        <v>0.0</v>
      </c>
      <c r="J1216" s="29"/>
      <c r="K1216" s="43">
        <f t="shared" ref="K1216:K1217" si="157">82000*1.19</f>
        <v>97580</v>
      </c>
      <c r="L1216" s="44">
        <v>130000.0</v>
      </c>
      <c r="M1216" s="25"/>
      <c r="N1216" s="26"/>
      <c r="O1216" s="27">
        <f t="shared" si="154"/>
        <v>0.3322402132</v>
      </c>
      <c r="P1216" s="28">
        <f t="shared" si="156"/>
        <v>0</v>
      </c>
    </row>
    <row r="1217" hidden="1">
      <c r="A1217" s="52" t="s">
        <v>1850</v>
      </c>
      <c r="B1217" s="17"/>
      <c r="C1217" s="18"/>
      <c r="D1217" s="4"/>
      <c r="E1217" s="19">
        <v>0.0</v>
      </c>
      <c r="F1217" s="19">
        <v>0.0</v>
      </c>
      <c r="G1217" s="16" t="s">
        <v>692</v>
      </c>
      <c r="H1217" s="21"/>
      <c r="I1217" s="22">
        <v>0.0</v>
      </c>
      <c r="J1217" s="29"/>
      <c r="K1217" s="43">
        <f t="shared" si="157"/>
        <v>97580</v>
      </c>
      <c r="L1217" s="44">
        <v>130000.0</v>
      </c>
      <c r="M1217" s="25"/>
      <c r="N1217" s="26"/>
      <c r="O1217" s="27">
        <f t="shared" si="154"/>
        <v>0.3322402132</v>
      </c>
      <c r="P1217" s="28">
        <f t="shared" si="156"/>
        <v>0</v>
      </c>
    </row>
    <row r="1218" hidden="1">
      <c r="A1218" s="16" t="s">
        <v>1851</v>
      </c>
      <c r="B1218" s="17"/>
      <c r="C1218" s="18"/>
      <c r="D1218" s="4"/>
      <c r="E1218" s="19">
        <v>0.0</v>
      </c>
      <c r="F1218" s="19">
        <v>0.0</v>
      </c>
      <c r="G1218" s="20" t="s">
        <v>911</v>
      </c>
      <c r="H1218" s="21"/>
      <c r="I1218" s="22">
        <v>0.0</v>
      </c>
      <c r="J1218" s="29"/>
      <c r="K1218" s="48">
        <f>170000*1.19</f>
        <v>202300</v>
      </c>
      <c r="L1218" s="55">
        <v>280000.0</v>
      </c>
      <c r="M1218" s="25"/>
      <c r="N1218" s="26">
        <v>240000.0</v>
      </c>
      <c r="O1218" s="27">
        <f t="shared" si="154"/>
        <v>0.384083045</v>
      </c>
      <c r="P1218" s="28">
        <f t="shared" si="156"/>
        <v>0</v>
      </c>
    </row>
    <row r="1219" hidden="1">
      <c r="A1219" s="16" t="s">
        <v>1852</v>
      </c>
      <c r="B1219" s="17"/>
      <c r="C1219" s="18"/>
      <c r="D1219" s="4"/>
      <c r="E1219" s="19">
        <v>0.0</v>
      </c>
      <c r="F1219" s="19">
        <v>0.0</v>
      </c>
      <c r="G1219" s="20" t="s">
        <v>911</v>
      </c>
      <c r="H1219" s="21"/>
      <c r="I1219" s="22">
        <v>3.0</v>
      </c>
      <c r="J1219" s="29"/>
      <c r="K1219" s="32">
        <f>90000*1.19</f>
        <v>107100</v>
      </c>
      <c r="L1219" s="24">
        <v>160000.0</v>
      </c>
      <c r="M1219" s="25"/>
      <c r="N1219" s="26">
        <v>145000.0</v>
      </c>
      <c r="O1219" s="27">
        <f t="shared" si="154"/>
        <v>0.4939309057</v>
      </c>
      <c r="P1219" s="28">
        <f t="shared" si="156"/>
        <v>0</v>
      </c>
    </row>
    <row r="1220" hidden="1">
      <c r="A1220" s="16" t="s">
        <v>1853</v>
      </c>
      <c r="B1220" s="17" t="s">
        <v>1854</v>
      </c>
      <c r="C1220" s="18"/>
      <c r="D1220" s="4"/>
      <c r="E1220" s="19">
        <v>0.0</v>
      </c>
      <c r="F1220" s="19">
        <v>0.0</v>
      </c>
      <c r="G1220" s="16" t="s">
        <v>1855</v>
      </c>
      <c r="H1220" s="21"/>
      <c r="I1220" s="22">
        <v>19.0</v>
      </c>
      <c r="J1220" s="23"/>
      <c r="K1220" s="24">
        <v>3000.0</v>
      </c>
      <c r="L1220" s="24">
        <v>4000.0</v>
      </c>
      <c r="M1220" s="25"/>
      <c r="N1220" s="26"/>
      <c r="O1220" s="27">
        <f t="shared" si="154"/>
        <v>0.3333333333</v>
      </c>
      <c r="P1220" s="28">
        <f t="shared" si="156"/>
        <v>0</v>
      </c>
    </row>
    <row r="1221" hidden="1">
      <c r="A1221" s="16" t="s">
        <v>1856</v>
      </c>
      <c r="B1221" s="17" t="s">
        <v>1857</v>
      </c>
      <c r="C1221" s="18"/>
      <c r="D1221" s="4"/>
      <c r="E1221" s="19">
        <v>0.0</v>
      </c>
      <c r="F1221" s="19">
        <v>0.0</v>
      </c>
      <c r="G1221" s="16" t="s">
        <v>1855</v>
      </c>
      <c r="H1221" s="21"/>
      <c r="I1221" s="22">
        <v>22.0</v>
      </c>
      <c r="J1221" s="29"/>
      <c r="K1221" s="48">
        <v>3500.0</v>
      </c>
      <c r="L1221" s="55">
        <v>6000.0</v>
      </c>
      <c r="M1221" s="116"/>
      <c r="N1221" s="48">
        <v>4500.0</v>
      </c>
      <c r="O1221" s="27">
        <f t="shared" si="154"/>
        <v>0.7142857143</v>
      </c>
      <c r="P1221" s="28">
        <f t="shared" si="156"/>
        <v>0</v>
      </c>
    </row>
    <row r="1222" hidden="1">
      <c r="A1222" s="16" t="s">
        <v>1858</v>
      </c>
      <c r="B1222" s="17" t="s">
        <v>1857</v>
      </c>
      <c r="C1222" s="18"/>
      <c r="D1222" s="4"/>
      <c r="E1222" s="19">
        <v>0.0</v>
      </c>
      <c r="F1222" s="19">
        <v>0.0</v>
      </c>
      <c r="G1222" s="16" t="s">
        <v>1855</v>
      </c>
      <c r="H1222" s="21"/>
      <c r="I1222" s="22">
        <v>53.0</v>
      </c>
      <c r="J1222" s="29"/>
      <c r="K1222" s="48">
        <v>3500.0</v>
      </c>
      <c r="L1222" s="55">
        <v>6000.0</v>
      </c>
      <c r="M1222" s="116"/>
      <c r="N1222" s="48">
        <v>4500.0</v>
      </c>
      <c r="O1222" s="27"/>
      <c r="P1222" s="28"/>
    </row>
    <row r="1223" hidden="1">
      <c r="A1223" s="16" t="s">
        <v>1859</v>
      </c>
      <c r="B1223" s="17" t="s">
        <v>1857</v>
      </c>
      <c r="C1223" s="18"/>
      <c r="D1223" s="4"/>
      <c r="E1223" s="19">
        <v>0.0</v>
      </c>
      <c r="F1223" s="19">
        <v>0.0</v>
      </c>
      <c r="G1223" s="16" t="s">
        <v>1855</v>
      </c>
      <c r="H1223" s="21"/>
      <c r="I1223" s="22">
        <v>18.0</v>
      </c>
      <c r="J1223" s="29"/>
      <c r="K1223" s="48">
        <v>3500.0</v>
      </c>
      <c r="L1223" s="55">
        <v>6000.0</v>
      </c>
      <c r="M1223" s="116"/>
      <c r="N1223" s="48">
        <v>4500.0</v>
      </c>
      <c r="O1223" s="27">
        <f t="shared" ref="O1223:O1226" si="158">(L1223/K1223)-1</f>
        <v>0.7142857143</v>
      </c>
      <c r="P1223" s="28">
        <f t="shared" ref="P1223:P1226" si="159">K1223*F1223</f>
        <v>0</v>
      </c>
    </row>
    <row r="1224" hidden="1">
      <c r="A1224" s="16" t="s">
        <v>1860</v>
      </c>
      <c r="B1224" s="17"/>
      <c r="C1224" s="18"/>
      <c r="D1224" s="4"/>
      <c r="E1224" s="19">
        <v>0.0</v>
      </c>
      <c r="F1224" s="19">
        <v>0.0</v>
      </c>
      <c r="G1224" s="16" t="s">
        <v>1855</v>
      </c>
      <c r="H1224" s="21"/>
      <c r="I1224" s="22">
        <v>0.0</v>
      </c>
      <c r="J1224" s="29"/>
      <c r="K1224" s="43">
        <v>3500.0</v>
      </c>
      <c r="L1224" s="44">
        <v>5000.0</v>
      </c>
      <c r="M1224" s="25"/>
      <c r="N1224" s="26"/>
      <c r="O1224" s="27">
        <f t="shared" si="158"/>
        <v>0.4285714286</v>
      </c>
      <c r="P1224" s="28">
        <f t="shared" si="159"/>
        <v>0</v>
      </c>
    </row>
    <row r="1225" hidden="1">
      <c r="A1225" s="16" t="s">
        <v>1861</v>
      </c>
      <c r="B1225" s="36"/>
      <c r="C1225" s="18"/>
      <c r="D1225" s="4"/>
      <c r="E1225" s="19">
        <v>0.0</v>
      </c>
      <c r="F1225" s="19">
        <v>0.0</v>
      </c>
      <c r="G1225" s="16" t="s">
        <v>1862</v>
      </c>
      <c r="H1225" s="21"/>
      <c r="I1225" s="22"/>
      <c r="J1225" s="47">
        <v>46388.0</v>
      </c>
      <c r="K1225" s="48">
        <v>9620.0</v>
      </c>
      <c r="L1225" s="24">
        <v>13000.0</v>
      </c>
      <c r="M1225" s="25" t="s">
        <v>76</v>
      </c>
      <c r="N1225" s="26"/>
      <c r="O1225" s="27">
        <f t="shared" si="158"/>
        <v>0.3513513514</v>
      </c>
      <c r="P1225" s="28">
        <f t="shared" si="159"/>
        <v>0</v>
      </c>
    </row>
    <row r="1226" hidden="1">
      <c r="A1226" s="40" t="s">
        <v>1863</v>
      </c>
      <c r="B1226" s="36"/>
      <c r="C1226" s="18"/>
      <c r="D1226" s="4"/>
      <c r="E1226" s="19">
        <v>0.0</v>
      </c>
      <c r="F1226" s="19">
        <v>0.0</v>
      </c>
      <c r="G1226" s="16" t="s">
        <v>1862</v>
      </c>
      <c r="H1226" s="21"/>
      <c r="I1226" s="22"/>
      <c r="J1226" s="47">
        <v>46388.0</v>
      </c>
      <c r="K1226" s="55">
        <v>9243.0</v>
      </c>
      <c r="L1226" s="24">
        <v>12000.0</v>
      </c>
      <c r="M1226" s="25" t="s">
        <v>76</v>
      </c>
      <c r="N1226" s="26"/>
      <c r="O1226" s="27">
        <f t="shared" si="158"/>
        <v>0.2982797793</v>
      </c>
      <c r="P1226" s="28">
        <f t="shared" si="159"/>
        <v>0</v>
      </c>
    </row>
    <row r="1227" hidden="1">
      <c r="A1227" s="122" t="s">
        <v>1864</v>
      </c>
      <c r="B1227" s="17"/>
      <c r="C1227" s="18"/>
      <c r="D1227" s="98"/>
      <c r="E1227" s="19">
        <v>0.0</v>
      </c>
      <c r="F1227" s="19">
        <v>0.0</v>
      </c>
      <c r="G1227" s="16" t="s">
        <v>400</v>
      </c>
      <c r="H1227" s="21"/>
      <c r="I1227" s="22"/>
      <c r="J1227" s="23"/>
      <c r="K1227" s="30">
        <v>1279200.0</v>
      </c>
      <c r="L1227" s="186">
        <v>2800000.0</v>
      </c>
      <c r="M1227" s="25"/>
      <c r="N1227" s="26"/>
      <c r="O1227" s="27"/>
      <c r="P1227" s="28"/>
    </row>
    <row r="1228" hidden="1">
      <c r="A1228" s="16" t="s">
        <v>1865</v>
      </c>
      <c r="B1228" s="36"/>
      <c r="C1228" s="18"/>
      <c r="D1228" s="4"/>
      <c r="E1228" s="19"/>
      <c r="F1228" s="19">
        <v>1.0</v>
      </c>
      <c r="G1228" s="16" t="s">
        <v>470</v>
      </c>
      <c r="H1228" s="21"/>
      <c r="I1228" s="22"/>
      <c r="J1228" s="29"/>
      <c r="K1228" s="48">
        <f>167900/2</f>
        <v>83950</v>
      </c>
      <c r="L1228" s="55">
        <v>105000.0</v>
      </c>
      <c r="M1228" s="25"/>
      <c r="N1228" s="26"/>
      <c r="O1228" s="27">
        <f t="shared" ref="O1228:O1264" si="160">(L1228/K1228)-1</f>
        <v>0.2507444908</v>
      </c>
      <c r="P1228" s="28">
        <f t="shared" ref="P1228:P1257" si="161">K1228*F1228</f>
        <v>83950</v>
      </c>
    </row>
    <row r="1229" hidden="1">
      <c r="A1229" s="16" t="s">
        <v>1866</v>
      </c>
      <c r="B1229" s="36"/>
      <c r="C1229" s="18"/>
      <c r="D1229" s="4"/>
      <c r="E1229" s="19"/>
      <c r="F1229" s="19">
        <v>0.0</v>
      </c>
      <c r="G1229" s="16" t="s">
        <v>470</v>
      </c>
      <c r="H1229" s="21"/>
      <c r="I1229" s="22"/>
      <c r="J1229" s="29"/>
      <c r="K1229" s="48">
        <v>116100.0</v>
      </c>
      <c r="L1229" s="55">
        <v>145000.0</v>
      </c>
      <c r="M1229" s="25"/>
      <c r="N1229" s="26"/>
      <c r="O1229" s="27">
        <f t="shared" si="160"/>
        <v>0.2489233419</v>
      </c>
      <c r="P1229" s="28">
        <f t="shared" si="161"/>
        <v>0</v>
      </c>
    </row>
    <row r="1230" hidden="1">
      <c r="A1230" s="52" t="s">
        <v>1867</v>
      </c>
      <c r="B1230" s="17"/>
      <c r="C1230" s="18"/>
      <c r="D1230" s="4"/>
      <c r="E1230" s="19">
        <v>0.0</v>
      </c>
      <c r="F1230" s="19">
        <v>0.0</v>
      </c>
      <c r="G1230" s="16" t="s">
        <v>1868</v>
      </c>
      <c r="H1230" s="21"/>
      <c r="I1230" s="22">
        <v>0.0</v>
      </c>
      <c r="J1230" s="29"/>
      <c r="K1230" s="43">
        <f>67000*1.19</f>
        <v>79730</v>
      </c>
      <c r="L1230" s="44">
        <v>100000.0</v>
      </c>
      <c r="M1230" s="25"/>
      <c r="N1230" s="26"/>
      <c r="O1230" s="27">
        <f t="shared" si="160"/>
        <v>0.2542330365</v>
      </c>
      <c r="P1230" s="28">
        <f t="shared" si="161"/>
        <v>0</v>
      </c>
    </row>
    <row r="1231" hidden="1">
      <c r="A1231" s="52" t="s">
        <v>1869</v>
      </c>
      <c r="B1231" s="36"/>
      <c r="C1231" s="18"/>
      <c r="D1231" s="4"/>
      <c r="E1231" s="19">
        <v>0.0</v>
      </c>
      <c r="F1231" s="19">
        <v>0.0</v>
      </c>
      <c r="G1231" s="16" t="s">
        <v>1868</v>
      </c>
      <c r="H1231" s="21"/>
      <c r="I1231" s="22">
        <v>13.0</v>
      </c>
      <c r="J1231" s="29"/>
      <c r="K1231" s="32">
        <v>75000.0</v>
      </c>
      <c r="L1231" s="24">
        <v>110000.0</v>
      </c>
      <c r="M1231" s="25"/>
      <c r="N1231" s="26">
        <v>98000.0</v>
      </c>
      <c r="O1231" s="27">
        <f t="shared" si="160"/>
        <v>0.4666666667</v>
      </c>
      <c r="P1231" s="28">
        <f t="shared" si="161"/>
        <v>0</v>
      </c>
    </row>
    <row r="1232" hidden="1">
      <c r="A1232" s="52" t="s">
        <v>1870</v>
      </c>
      <c r="B1232" s="240"/>
      <c r="C1232" s="18"/>
      <c r="D1232" s="4"/>
      <c r="E1232" s="19">
        <v>0.0</v>
      </c>
      <c r="F1232" s="19">
        <v>0.0</v>
      </c>
      <c r="G1232" s="16" t="s">
        <v>1868</v>
      </c>
      <c r="H1232" s="21"/>
      <c r="I1232" s="22">
        <v>3.0</v>
      </c>
      <c r="J1232" s="29"/>
      <c r="K1232" s="43">
        <f>58000*1.19</f>
        <v>69020</v>
      </c>
      <c r="L1232" s="44">
        <v>80000.0</v>
      </c>
      <c r="M1232" s="25"/>
      <c r="N1232" s="26"/>
      <c r="O1232" s="27">
        <f t="shared" si="160"/>
        <v>0.1590843234</v>
      </c>
      <c r="P1232" s="28">
        <f t="shared" si="161"/>
        <v>0</v>
      </c>
    </row>
    <row r="1233" hidden="1">
      <c r="A1233" s="52" t="s">
        <v>1871</v>
      </c>
      <c r="B1233" s="17"/>
      <c r="C1233" s="18"/>
      <c r="D1233" s="4"/>
      <c r="E1233" s="19">
        <v>0.0</v>
      </c>
      <c r="F1233" s="19">
        <v>0.0</v>
      </c>
      <c r="G1233" s="16" t="s">
        <v>1868</v>
      </c>
      <c r="H1233" s="21"/>
      <c r="I1233" s="22">
        <v>0.0</v>
      </c>
      <c r="J1233" s="29"/>
      <c r="K1233" s="43">
        <f>48000*1.19</f>
        <v>57120</v>
      </c>
      <c r="L1233" s="44">
        <v>72000.0</v>
      </c>
      <c r="M1233" s="25"/>
      <c r="N1233" s="26"/>
      <c r="O1233" s="27">
        <f t="shared" si="160"/>
        <v>0.2605042017</v>
      </c>
      <c r="P1233" s="28">
        <f t="shared" si="161"/>
        <v>0</v>
      </c>
    </row>
    <row r="1234" hidden="1">
      <c r="A1234" s="52" t="s">
        <v>1872</v>
      </c>
      <c r="B1234" s="17"/>
      <c r="C1234" s="18"/>
      <c r="D1234" s="4"/>
      <c r="E1234" s="19">
        <v>0.0</v>
      </c>
      <c r="F1234" s="19">
        <v>0.0</v>
      </c>
      <c r="G1234" s="16" t="s">
        <v>1868</v>
      </c>
      <c r="H1234" s="33"/>
      <c r="I1234" s="22">
        <v>0.0</v>
      </c>
      <c r="J1234" s="34"/>
      <c r="K1234" s="123">
        <f>55000*1.19</f>
        <v>65450</v>
      </c>
      <c r="L1234" s="44">
        <v>82000.0</v>
      </c>
      <c r="M1234" s="25"/>
      <c r="N1234" s="26"/>
      <c r="O1234" s="27">
        <f t="shared" si="160"/>
        <v>0.2528647823</v>
      </c>
      <c r="P1234" s="28">
        <f t="shared" si="161"/>
        <v>0</v>
      </c>
    </row>
    <row r="1235" hidden="1">
      <c r="A1235" s="42" t="s">
        <v>1873</v>
      </c>
      <c r="B1235" s="51"/>
      <c r="C1235" s="18"/>
      <c r="D1235" s="4"/>
      <c r="E1235" s="19">
        <v>0.0</v>
      </c>
      <c r="F1235" s="19">
        <v>0.0</v>
      </c>
      <c r="G1235" s="16" t="s">
        <v>1874</v>
      </c>
      <c r="H1235" s="21"/>
      <c r="I1235" s="22" t="s">
        <v>99</v>
      </c>
      <c r="J1235" s="23"/>
      <c r="K1235" s="44">
        <v>70000.0</v>
      </c>
      <c r="L1235" s="44">
        <v>120000.0</v>
      </c>
      <c r="M1235" s="25"/>
      <c r="N1235" s="26"/>
      <c r="O1235" s="27">
        <f t="shared" si="160"/>
        <v>0.7142857143</v>
      </c>
      <c r="P1235" s="28">
        <f t="shared" si="161"/>
        <v>0</v>
      </c>
    </row>
    <row r="1236" hidden="1">
      <c r="A1236" s="42" t="s">
        <v>1875</v>
      </c>
      <c r="B1236" s="51"/>
      <c r="C1236" s="18"/>
      <c r="D1236" s="4"/>
      <c r="E1236" s="19">
        <v>0.0</v>
      </c>
      <c r="F1236" s="19">
        <v>0.0</v>
      </c>
      <c r="G1236" s="16" t="s">
        <v>1876</v>
      </c>
      <c r="H1236" s="21"/>
      <c r="I1236" s="22"/>
      <c r="J1236" s="23"/>
      <c r="K1236" s="44">
        <v>244200.0</v>
      </c>
      <c r="L1236" s="44">
        <v>290000.0</v>
      </c>
      <c r="M1236" s="25"/>
      <c r="N1236" s="26"/>
      <c r="O1236" s="27">
        <f t="shared" si="160"/>
        <v>0.1875511876</v>
      </c>
      <c r="P1236" s="28">
        <f t="shared" si="161"/>
        <v>0</v>
      </c>
    </row>
    <row r="1237" hidden="1">
      <c r="A1237" s="16" t="s">
        <v>1877</v>
      </c>
      <c r="B1237" s="241"/>
      <c r="C1237" s="18"/>
      <c r="D1237" s="4"/>
      <c r="E1237" s="19"/>
      <c r="F1237" s="19"/>
      <c r="G1237" s="16" t="s">
        <v>640</v>
      </c>
      <c r="H1237" s="21">
        <v>0.0</v>
      </c>
      <c r="I1237" s="22"/>
      <c r="J1237" s="23"/>
      <c r="K1237" s="55">
        <f>79900*1.19</f>
        <v>95081</v>
      </c>
      <c r="L1237" s="55">
        <v>126000.0</v>
      </c>
      <c r="M1237" s="25"/>
      <c r="N1237" s="70"/>
      <c r="O1237" s="27">
        <f t="shared" si="160"/>
        <v>0.3251858941</v>
      </c>
      <c r="P1237" s="28">
        <f t="shared" si="161"/>
        <v>0</v>
      </c>
    </row>
    <row r="1238" hidden="1">
      <c r="A1238" s="16" t="s">
        <v>1878</v>
      </c>
      <c r="B1238" s="157"/>
      <c r="C1238" s="18"/>
      <c r="D1238" s="4"/>
      <c r="E1238" s="19"/>
      <c r="F1238" s="19"/>
      <c r="G1238" s="16" t="s">
        <v>640</v>
      </c>
      <c r="H1238" s="21">
        <v>0.0</v>
      </c>
      <c r="I1238" s="22"/>
      <c r="J1238" s="29"/>
      <c r="K1238" s="43">
        <v>23300.0</v>
      </c>
      <c r="L1238" s="44">
        <v>35000.0</v>
      </c>
      <c r="M1238" s="25"/>
      <c r="N1238" s="26"/>
      <c r="O1238" s="27">
        <f t="shared" si="160"/>
        <v>0.5021459227</v>
      </c>
      <c r="P1238" s="28">
        <f t="shared" si="161"/>
        <v>0</v>
      </c>
    </row>
    <row r="1239" hidden="1">
      <c r="A1239" s="16" t="s">
        <v>1879</v>
      </c>
      <c r="B1239" s="241"/>
      <c r="C1239" s="18"/>
      <c r="D1239" s="4"/>
      <c r="E1239" s="19">
        <v>0.0</v>
      </c>
      <c r="F1239" s="19">
        <v>0.0</v>
      </c>
      <c r="G1239" s="16" t="s">
        <v>341</v>
      </c>
      <c r="H1239" s="21"/>
      <c r="I1239" s="22">
        <f>13+8</f>
        <v>21</v>
      </c>
      <c r="J1239" s="29"/>
      <c r="K1239" s="43">
        <f>L1237/50</f>
        <v>2520</v>
      </c>
      <c r="L1239" s="44">
        <v>5000.0</v>
      </c>
      <c r="M1239" s="25"/>
      <c r="N1239" s="26"/>
      <c r="O1239" s="27">
        <f t="shared" si="160"/>
        <v>0.9841269841</v>
      </c>
      <c r="P1239" s="28">
        <f t="shared" si="161"/>
        <v>0</v>
      </c>
    </row>
    <row r="1240" hidden="1">
      <c r="A1240" s="16" t="s">
        <v>1880</v>
      </c>
      <c r="B1240" s="36" t="s">
        <v>1881</v>
      </c>
      <c r="C1240" s="18" t="s">
        <v>1020</v>
      </c>
      <c r="D1240" s="98"/>
      <c r="E1240" s="19"/>
      <c r="F1240" s="19"/>
      <c r="G1240" s="16" t="s">
        <v>610</v>
      </c>
      <c r="H1240" s="21"/>
      <c r="I1240" s="22"/>
      <c r="J1240" s="23"/>
      <c r="K1240" s="55">
        <f>101260*1.19</f>
        <v>120499.4</v>
      </c>
      <c r="L1240" s="55">
        <v>140000.0</v>
      </c>
      <c r="M1240" s="25"/>
      <c r="N1240" s="26"/>
      <c r="O1240" s="27">
        <f t="shared" si="160"/>
        <v>0.1618315112</v>
      </c>
      <c r="P1240" s="28">
        <f t="shared" si="161"/>
        <v>0</v>
      </c>
    </row>
    <row r="1241" hidden="1">
      <c r="A1241" s="42" t="s">
        <v>1882</v>
      </c>
      <c r="B1241" s="51"/>
      <c r="C1241" s="18"/>
      <c r="D1241" s="4"/>
      <c r="E1241" s="19"/>
      <c r="F1241" s="19"/>
      <c r="G1241" s="16" t="s">
        <v>98</v>
      </c>
      <c r="H1241" s="21">
        <v>0.0</v>
      </c>
      <c r="I1241" s="22">
        <v>1.0</v>
      </c>
      <c r="J1241" s="58">
        <v>46296.0</v>
      </c>
      <c r="K1241" s="24">
        <f t="shared" ref="K1241:K1242" si="162">19800*1.19</f>
        <v>23562</v>
      </c>
      <c r="L1241" s="24">
        <v>30000.0</v>
      </c>
      <c r="M1241" s="25">
        <v>1.19</v>
      </c>
      <c r="N1241" s="26">
        <v>27200.0</v>
      </c>
      <c r="O1241" s="27">
        <f t="shared" si="160"/>
        <v>0.2732365674</v>
      </c>
      <c r="P1241" s="28">
        <f t="shared" si="161"/>
        <v>0</v>
      </c>
    </row>
    <row r="1242" hidden="1">
      <c r="A1242" s="42" t="s">
        <v>1883</v>
      </c>
      <c r="B1242" s="51"/>
      <c r="C1242" s="18"/>
      <c r="D1242" s="4"/>
      <c r="E1242" s="19"/>
      <c r="F1242" s="19"/>
      <c r="G1242" s="16" t="s">
        <v>98</v>
      </c>
      <c r="H1242" s="21">
        <v>0.0</v>
      </c>
      <c r="I1242" s="22">
        <v>0.0</v>
      </c>
      <c r="J1242" s="23"/>
      <c r="K1242" s="24">
        <f t="shared" si="162"/>
        <v>23562</v>
      </c>
      <c r="L1242" s="24">
        <v>30000.0</v>
      </c>
      <c r="M1242" s="25">
        <v>1.19</v>
      </c>
      <c r="N1242" s="26">
        <v>27200.0</v>
      </c>
      <c r="O1242" s="27">
        <f t="shared" si="160"/>
        <v>0.2732365674</v>
      </c>
      <c r="P1242" s="28">
        <f t="shared" si="161"/>
        <v>0</v>
      </c>
    </row>
    <row r="1243" hidden="1">
      <c r="A1243" s="40" t="s">
        <v>1884</v>
      </c>
      <c r="B1243" s="17"/>
      <c r="C1243" s="18"/>
      <c r="D1243" s="4"/>
      <c r="E1243" s="19"/>
      <c r="F1243" s="19">
        <v>0.0</v>
      </c>
      <c r="G1243" s="16" t="s">
        <v>93</v>
      </c>
      <c r="H1243" s="21"/>
      <c r="I1243" s="22"/>
      <c r="J1243" s="29"/>
      <c r="K1243" s="43">
        <v>25000.0</v>
      </c>
      <c r="L1243" s="44">
        <v>42000.0</v>
      </c>
      <c r="M1243" s="25"/>
      <c r="N1243" s="26"/>
      <c r="O1243" s="27">
        <f t="shared" si="160"/>
        <v>0.68</v>
      </c>
      <c r="P1243" s="28">
        <f t="shared" si="161"/>
        <v>0</v>
      </c>
    </row>
    <row r="1244" hidden="1">
      <c r="A1244" s="40" t="s">
        <v>1885</v>
      </c>
      <c r="B1244" s="17"/>
      <c r="C1244" s="18"/>
      <c r="D1244" s="4"/>
      <c r="E1244" s="19"/>
      <c r="F1244" s="19">
        <v>0.0</v>
      </c>
      <c r="G1244" s="16" t="s">
        <v>93</v>
      </c>
      <c r="H1244" s="21"/>
      <c r="I1244" s="22"/>
      <c r="J1244" s="29"/>
      <c r="K1244" s="43">
        <v>24000.0</v>
      </c>
      <c r="L1244" s="44">
        <v>42000.0</v>
      </c>
      <c r="M1244" s="25"/>
      <c r="N1244" s="26"/>
      <c r="O1244" s="27">
        <f t="shared" si="160"/>
        <v>0.75</v>
      </c>
      <c r="P1244" s="28">
        <f t="shared" si="161"/>
        <v>0</v>
      </c>
    </row>
    <row r="1245" hidden="1">
      <c r="A1245" s="16" t="s">
        <v>1886</v>
      </c>
      <c r="B1245" s="17"/>
      <c r="C1245" s="18"/>
      <c r="D1245" s="4"/>
      <c r="E1245" s="19">
        <v>0.0</v>
      </c>
      <c r="F1245" s="19"/>
      <c r="G1245" s="16" t="s">
        <v>1259</v>
      </c>
      <c r="H1245" s="21"/>
      <c r="I1245" s="22"/>
      <c r="J1245" s="29"/>
      <c r="K1245" s="43">
        <v>55000.0</v>
      </c>
      <c r="L1245" s="44">
        <v>75000.0</v>
      </c>
      <c r="M1245" s="25"/>
      <c r="N1245" s="26"/>
      <c r="O1245" s="27">
        <f t="shared" si="160"/>
        <v>0.3636363636</v>
      </c>
      <c r="P1245" s="28">
        <f t="shared" si="161"/>
        <v>0</v>
      </c>
    </row>
    <row r="1246" hidden="1">
      <c r="A1246" s="16" t="s">
        <v>1887</v>
      </c>
      <c r="B1246" s="17" t="s">
        <v>1888</v>
      </c>
      <c r="C1246" s="18"/>
      <c r="D1246" s="4"/>
      <c r="E1246" s="19">
        <v>1.0</v>
      </c>
      <c r="F1246" s="19">
        <v>0.0</v>
      </c>
      <c r="G1246" s="16" t="s">
        <v>119</v>
      </c>
      <c r="H1246" s="21">
        <v>0.0</v>
      </c>
      <c r="I1246" s="22">
        <v>1.0</v>
      </c>
      <c r="J1246" s="29"/>
      <c r="K1246" s="48">
        <v>87100.0</v>
      </c>
      <c r="L1246" s="55">
        <v>124000.0</v>
      </c>
      <c r="M1246" s="25"/>
      <c r="N1246" s="26"/>
      <c r="O1246" s="27">
        <f t="shared" si="160"/>
        <v>0.4236509759</v>
      </c>
      <c r="P1246" s="28">
        <f t="shared" si="161"/>
        <v>0</v>
      </c>
    </row>
    <row r="1247" hidden="1">
      <c r="A1247" s="16" t="s">
        <v>1889</v>
      </c>
      <c r="B1247" s="17" t="s">
        <v>1890</v>
      </c>
      <c r="C1247" s="38"/>
      <c r="D1247" s="4"/>
      <c r="E1247" s="19">
        <v>0.0</v>
      </c>
      <c r="F1247" s="19">
        <v>0.0</v>
      </c>
      <c r="G1247" s="20" t="s">
        <v>468</v>
      </c>
      <c r="H1247" s="21">
        <v>2.0</v>
      </c>
      <c r="I1247" s="22">
        <v>2.0</v>
      </c>
      <c r="J1247" s="45"/>
      <c r="K1247" s="46">
        <v>112867.0</v>
      </c>
      <c r="L1247" s="24">
        <v>145000.0</v>
      </c>
      <c r="M1247" s="25"/>
      <c r="N1247" s="26"/>
      <c r="O1247" s="27">
        <f t="shared" si="160"/>
        <v>0.2846979188</v>
      </c>
      <c r="P1247" s="28">
        <f t="shared" si="161"/>
        <v>0</v>
      </c>
    </row>
    <row r="1248" hidden="1">
      <c r="A1248" s="42" t="s">
        <v>1891</v>
      </c>
      <c r="B1248" s="71"/>
      <c r="C1248" s="18"/>
      <c r="D1248" s="4"/>
      <c r="E1248" s="19"/>
      <c r="F1248" s="19"/>
      <c r="G1248" s="16" t="s">
        <v>1400</v>
      </c>
      <c r="H1248" s="21"/>
      <c r="I1248" s="22">
        <v>1.0</v>
      </c>
      <c r="J1248" s="23"/>
      <c r="K1248" s="55">
        <v>93000.0</v>
      </c>
      <c r="L1248" s="55">
        <v>98000.0</v>
      </c>
      <c r="M1248" s="25"/>
      <c r="N1248" s="48">
        <v>90000.0</v>
      </c>
      <c r="O1248" s="27">
        <f t="shared" si="160"/>
        <v>0.05376344086</v>
      </c>
      <c r="P1248" s="28">
        <f t="shared" si="161"/>
        <v>0</v>
      </c>
    </row>
    <row r="1249" hidden="1">
      <c r="A1249" s="42" t="s">
        <v>1892</v>
      </c>
      <c r="B1249" s="71"/>
      <c r="C1249" s="18"/>
      <c r="D1249" s="4"/>
      <c r="E1249" s="19"/>
      <c r="F1249" s="19"/>
      <c r="G1249" s="16" t="s">
        <v>1400</v>
      </c>
      <c r="H1249" s="21"/>
      <c r="I1249" s="22">
        <v>1.0</v>
      </c>
      <c r="J1249" s="23"/>
      <c r="K1249" s="55">
        <v>224999.0</v>
      </c>
      <c r="L1249" s="55">
        <v>280000.0</v>
      </c>
      <c r="M1249" s="25"/>
      <c r="N1249" s="48">
        <v>260000.0</v>
      </c>
      <c r="O1249" s="27">
        <f t="shared" si="160"/>
        <v>0.2444499753</v>
      </c>
      <c r="P1249" s="28">
        <f t="shared" si="161"/>
        <v>0</v>
      </c>
    </row>
    <row r="1250" hidden="1">
      <c r="A1250" s="16" t="s">
        <v>1893</v>
      </c>
      <c r="B1250" s="17"/>
      <c r="C1250" s="18"/>
      <c r="D1250" s="4"/>
      <c r="E1250" s="19">
        <v>0.0</v>
      </c>
      <c r="F1250" s="19">
        <v>0.0</v>
      </c>
      <c r="G1250" s="16" t="s">
        <v>1400</v>
      </c>
      <c r="H1250" s="21"/>
      <c r="I1250" s="22"/>
      <c r="J1250" s="23">
        <f>633752*1.19/80</f>
        <v>9427.061</v>
      </c>
      <c r="K1250" s="44">
        <f>621743/50*1.19</f>
        <v>14797.4834</v>
      </c>
      <c r="L1250" s="44">
        <v>18000.0</v>
      </c>
      <c r="M1250" s="25"/>
      <c r="N1250" s="26"/>
      <c r="O1250" s="27">
        <f t="shared" si="160"/>
        <v>0.2164230575</v>
      </c>
      <c r="P1250" s="28">
        <f t="shared" si="161"/>
        <v>0</v>
      </c>
    </row>
    <row r="1251" hidden="1">
      <c r="A1251" s="16" t="s">
        <v>1894</v>
      </c>
      <c r="B1251" s="17" t="s">
        <v>1895</v>
      </c>
      <c r="C1251" s="18"/>
      <c r="D1251" s="4"/>
      <c r="E1251" s="19">
        <v>0.0</v>
      </c>
      <c r="F1251" s="19">
        <v>0.0</v>
      </c>
      <c r="G1251" s="16" t="s">
        <v>1400</v>
      </c>
      <c r="H1251" s="21"/>
      <c r="I1251" s="22">
        <v>35.0</v>
      </c>
      <c r="J1251" s="47">
        <v>46447.0</v>
      </c>
      <c r="K1251" s="32">
        <f t="shared" ref="K1251:K1252" si="163">9244*1.19</f>
        <v>11000.36</v>
      </c>
      <c r="L1251" s="24">
        <v>15000.0</v>
      </c>
      <c r="M1251" s="25"/>
      <c r="N1251" s="50">
        <v>12000.0</v>
      </c>
      <c r="O1251" s="27">
        <f t="shared" si="160"/>
        <v>0.363591737</v>
      </c>
      <c r="P1251" s="28">
        <f t="shared" si="161"/>
        <v>0</v>
      </c>
    </row>
    <row r="1252" hidden="1">
      <c r="A1252" s="16" t="s">
        <v>1896</v>
      </c>
      <c r="B1252" s="17" t="s">
        <v>1895</v>
      </c>
      <c r="C1252" s="18"/>
      <c r="D1252" s="4"/>
      <c r="E1252" s="19">
        <v>0.0</v>
      </c>
      <c r="F1252" s="19">
        <v>0.0</v>
      </c>
      <c r="G1252" s="16" t="s">
        <v>1400</v>
      </c>
      <c r="H1252" s="21"/>
      <c r="I1252" s="22">
        <v>40.0</v>
      </c>
      <c r="J1252" s="47">
        <v>46570.0</v>
      </c>
      <c r="K1252" s="32">
        <f t="shared" si="163"/>
        <v>11000.36</v>
      </c>
      <c r="L1252" s="24">
        <v>15000.0</v>
      </c>
      <c r="M1252" s="25"/>
      <c r="N1252" s="26">
        <v>12000.0</v>
      </c>
      <c r="O1252" s="27">
        <f t="shared" si="160"/>
        <v>0.363591737</v>
      </c>
      <c r="P1252" s="28">
        <f t="shared" si="161"/>
        <v>0</v>
      </c>
    </row>
    <row r="1253" hidden="1">
      <c r="A1253" s="16" t="s">
        <v>1897</v>
      </c>
      <c r="B1253" s="17"/>
      <c r="C1253" s="18"/>
      <c r="D1253" s="4"/>
      <c r="E1253" s="19">
        <v>0.0</v>
      </c>
      <c r="F1253" s="19">
        <v>0.0</v>
      </c>
      <c r="G1253" s="16" t="s">
        <v>580</v>
      </c>
      <c r="H1253" s="21"/>
      <c r="I1253" s="22">
        <v>2.0</v>
      </c>
      <c r="J1253" s="47"/>
      <c r="K1253" s="24">
        <v>19459.850000000002</v>
      </c>
      <c r="L1253" s="24">
        <v>100000.0</v>
      </c>
      <c r="M1253" s="25"/>
      <c r="N1253" s="26"/>
      <c r="O1253" s="27">
        <f t="shared" si="160"/>
        <v>4.138785756</v>
      </c>
      <c r="P1253" s="28">
        <f t="shared" si="161"/>
        <v>0</v>
      </c>
    </row>
    <row r="1254" hidden="1">
      <c r="A1254" s="16" t="s">
        <v>1898</v>
      </c>
      <c r="B1254" s="17"/>
      <c r="C1254" s="18"/>
      <c r="D1254" s="19"/>
      <c r="E1254" s="19">
        <v>0.0</v>
      </c>
      <c r="F1254" s="19">
        <v>0.0</v>
      </c>
      <c r="G1254" s="16" t="s">
        <v>63</v>
      </c>
      <c r="H1254" s="21"/>
      <c r="I1254" s="22">
        <v>1.0</v>
      </c>
      <c r="J1254" s="47"/>
      <c r="K1254" s="32">
        <v>201520.0</v>
      </c>
      <c r="L1254" s="24">
        <v>310000.0</v>
      </c>
      <c r="M1254" s="25"/>
      <c r="N1254" s="26"/>
      <c r="O1254" s="27">
        <f t="shared" si="160"/>
        <v>0.5383088527</v>
      </c>
      <c r="P1254" s="28">
        <f t="shared" si="161"/>
        <v>0</v>
      </c>
    </row>
    <row r="1255" hidden="1">
      <c r="A1255" s="16" t="s">
        <v>1899</v>
      </c>
      <c r="B1255" s="17"/>
      <c r="C1255" s="18"/>
      <c r="D1255" s="107" t="s">
        <v>251</v>
      </c>
      <c r="E1255" s="19">
        <v>1.0</v>
      </c>
      <c r="F1255" s="19">
        <v>1.0</v>
      </c>
      <c r="G1255" s="16" t="s">
        <v>63</v>
      </c>
      <c r="H1255" s="21"/>
      <c r="I1255" s="22">
        <v>0.0</v>
      </c>
      <c r="J1255" s="29"/>
      <c r="K1255" s="32">
        <v>201520.0</v>
      </c>
      <c r="L1255" s="24">
        <v>310000.0</v>
      </c>
      <c r="M1255" s="25"/>
      <c r="N1255" s="26"/>
      <c r="O1255" s="27">
        <f t="shared" si="160"/>
        <v>0.5383088527</v>
      </c>
      <c r="P1255" s="28">
        <f t="shared" si="161"/>
        <v>201520</v>
      </c>
    </row>
    <row r="1256" hidden="1">
      <c r="A1256" s="16" t="s">
        <v>1900</v>
      </c>
      <c r="B1256" s="17"/>
      <c r="C1256" s="18"/>
      <c r="D1256" s="4"/>
      <c r="E1256" s="19">
        <v>0.0</v>
      </c>
      <c r="F1256" s="19">
        <v>0.0</v>
      </c>
      <c r="G1256" s="16" t="s">
        <v>16</v>
      </c>
      <c r="H1256" s="21"/>
      <c r="I1256" s="22">
        <v>0.0</v>
      </c>
      <c r="J1256" s="29"/>
      <c r="K1256" s="43">
        <v>25000.0</v>
      </c>
      <c r="L1256" s="44">
        <v>45000.0</v>
      </c>
      <c r="M1256" s="25"/>
      <c r="N1256" s="26"/>
      <c r="O1256" s="27">
        <f t="shared" si="160"/>
        <v>0.8</v>
      </c>
      <c r="P1256" s="28">
        <f t="shared" si="161"/>
        <v>0</v>
      </c>
    </row>
    <row r="1257" hidden="1">
      <c r="A1257" s="52" t="s">
        <v>1901</v>
      </c>
      <c r="B1257" s="17" t="s">
        <v>1902</v>
      </c>
      <c r="C1257" s="18"/>
      <c r="D1257" s="4"/>
      <c r="E1257" s="19">
        <v>3.0</v>
      </c>
      <c r="F1257" s="19">
        <v>0.0</v>
      </c>
      <c r="G1257" s="16" t="s">
        <v>1903</v>
      </c>
      <c r="H1257" s="21"/>
      <c r="I1257" s="22">
        <v>7.0</v>
      </c>
      <c r="J1257" s="29"/>
      <c r="K1257" s="32">
        <f>12500*1.19</f>
        <v>14875</v>
      </c>
      <c r="L1257" s="24">
        <v>32000.0</v>
      </c>
      <c r="M1257" s="25"/>
      <c r="N1257" s="26"/>
      <c r="O1257" s="27">
        <f t="shared" si="160"/>
        <v>1.151260504</v>
      </c>
      <c r="P1257" s="28">
        <f t="shared" si="161"/>
        <v>0</v>
      </c>
    </row>
    <row r="1258" hidden="1">
      <c r="A1258" s="16" t="s">
        <v>1904</v>
      </c>
      <c r="B1258" s="36"/>
      <c r="C1258" s="18"/>
      <c r="D1258" s="4"/>
      <c r="E1258" s="19">
        <v>0.0</v>
      </c>
      <c r="F1258" s="19">
        <v>0.0</v>
      </c>
      <c r="G1258" s="16" t="s">
        <v>643</v>
      </c>
      <c r="H1258" s="21"/>
      <c r="I1258" s="22">
        <v>0.0</v>
      </c>
      <c r="J1258" s="29"/>
      <c r="K1258" s="32">
        <v>120000.0</v>
      </c>
      <c r="L1258" s="24">
        <v>150000.0</v>
      </c>
      <c r="M1258" s="25"/>
      <c r="N1258" s="26"/>
      <c r="O1258" s="27">
        <f t="shared" si="160"/>
        <v>0.25</v>
      </c>
      <c r="P1258" s="28">
        <f>K1258*F1260</f>
        <v>0</v>
      </c>
    </row>
    <row r="1259" hidden="1">
      <c r="A1259" s="16" t="s">
        <v>1905</v>
      </c>
      <c r="B1259" s="36"/>
      <c r="C1259" s="18"/>
      <c r="D1259" s="19"/>
      <c r="E1259" s="19">
        <v>0.0</v>
      </c>
      <c r="F1259" s="19">
        <v>0.0</v>
      </c>
      <c r="G1259" s="16" t="s">
        <v>1818</v>
      </c>
      <c r="H1259" s="21"/>
      <c r="I1259" s="22">
        <v>3.0</v>
      </c>
      <c r="J1259" s="29"/>
      <c r="K1259" s="48">
        <v>293000.0</v>
      </c>
      <c r="L1259" s="55">
        <v>360000.0</v>
      </c>
      <c r="M1259" s="25"/>
      <c r="N1259" s="26"/>
      <c r="O1259" s="27">
        <f t="shared" si="160"/>
        <v>0.228668942</v>
      </c>
      <c r="P1259" s="28">
        <f t="shared" ref="P1259:P1260" si="164">K1259*F1260</f>
        <v>0</v>
      </c>
    </row>
    <row r="1260" hidden="1">
      <c r="A1260" s="16" t="s">
        <v>1906</v>
      </c>
      <c r="B1260" s="36"/>
      <c r="C1260" s="18"/>
      <c r="D1260" s="19"/>
      <c r="E1260" s="19">
        <v>0.0</v>
      </c>
      <c r="F1260" s="19">
        <v>0.0</v>
      </c>
      <c r="G1260" s="16" t="s">
        <v>1907</v>
      </c>
      <c r="H1260" s="21"/>
      <c r="I1260" s="22">
        <v>3.0</v>
      </c>
      <c r="J1260" s="29"/>
      <c r="K1260" s="48">
        <f>293400*2</f>
        <v>586800</v>
      </c>
      <c r="L1260" s="55">
        <v>690000.0</v>
      </c>
      <c r="M1260" s="25"/>
      <c r="N1260" s="26"/>
      <c r="O1260" s="27">
        <f t="shared" si="160"/>
        <v>0.1758691207</v>
      </c>
      <c r="P1260" s="28">
        <f t="shared" si="164"/>
        <v>0</v>
      </c>
    </row>
    <row r="1261" hidden="1">
      <c r="A1261" s="40" t="s">
        <v>1908</v>
      </c>
      <c r="B1261" s="17"/>
      <c r="C1261" s="18"/>
      <c r="D1261" s="4"/>
      <c r="E1261" s="19">
        <v>0.0</v>
      </c>
      <c r="F1261" s="19">
        <v>0.0</v>
      </c>
      <c r="G1261" s="16" t="s">
        <v>1909</v>
      </c>
      <c r="H1261" s="21"/>
      <c r="I1261" s="22"/>
      <c r="J1261" s="29"/>
      <c r="K1261" s="43">
        <v>15000.0</v>
      </c>
      <c r="L1261" s="44">
        <v>20000.0</v>
      </c>
      <c r="M1261" s="25"/>
      <c r="N1261" s="26"/>
      <c r="O1261" s="27">
        <f t="shared" si="160"/>
        <v>0.3333333333</v>
      </c>
      <c r="P1261" s="28">
        <f t="shared" ref="P1261:P1264" si="165">K1261*F1261</f>
        <v>0</v>
      </c>
    </row>
    <row r="1262" hidden="1">
      <c r="A1262" s="16" t="s">
        <v>1910</v>
      </c>
      <c r="B1262" s="36" t="s">
        <v>1911</v>
      </c>
      <c r="C1262" s="18"/>
      <c r="D1262" s="4"/>
      <c r="E1262" s="19">
        <v>0.0</v>
      </c>
      <c r="F1262" s="19">
        <v>0.0</v>
      </c>
      <c r="G1262" s="16" t="s">
        <v>70</v>
      </c>
      <c r="H1262" s="21"/>
      <c r="I1262" s="22"/>
      <c r="J1262" s="29"/>
      <c r="K1262" s="32">
        <f>85000*0.8</f>
        <v>68000</v>
      </c>
      <c r="L1262" s="24">
        <v>85000.0</v>
      </c>
      <c r="M1262" s="25" t="s">
        <v>82</v>
      </c>
      <c r="N1262" s="26"/>
      <c r="O1262" s="27">
        <f t="shared" si="160"/>
        <v>0.25</v>
      </c>
      <c r="P1262" s="28">
        <f t="shared" si="165"/>
        <v>0</v>
      </c>
    </row>
    <row r="1263" hidden="1">
      <c r="A1263" s="16" t="s">
        <v>1912</v>
      </c>
      <c r="B1263" s="36"/>
      <c r="C1263" s="18"/>
      <c r="D1263" s="4"/>
      <c r="E1263" s="19">
        <v>0.0</v>
      </c>
      <c r="F1263" s="19"/>
      <c r="G1263" s="16" t="s">
        <v>57</v>
      </c>
      <c r="H1263" s="21"/>
      <c r="I1263" s="22"/>
      <c r="J1263" s="29"/>
      <c r="K1263" s="43">
        <v>5800.0</v>
      </c>
      <c r="L1263" s="44">
        <v>10000.0</v>
      </c>
      <c r="M1263" s="25"/>
      <c r="N1263" s="26"/>
      <c r="O1263" s="27">
        <f t="shared" si="160"/>
        <v>0.724137931</v>
      </c>
      <c r="P1263" s="28">
        <f t="shared" si="165"/>
        <v>0</v>
      </c>
    </row>
    <row r="1264" hidden="1">
      <c r="A1264" s="16" t="s">
        <v>1913</v>
      </c>
      <c r="B1264" s="36" t="s">
        <v>1914</v>
      </c>
      <c r="C1264" s="18"/>
      <c r="D1264" s="4"/>
      <c r="E1264" s="19"/>
      <c r="F1264" s="19">
        <v>0.0</v>
      </c>
      <c r="G1264" s="16" t="s">
        <v>1915</v>
      </c>
      <c r="H1264" s="21"/>
      <c r="I1264" s="22"/>
      <c r="J1264" s="58">
        <v>45931.0</v>
      </c>
      <c r="K1264" s="48">
        <v>4600.0</v>
      </c>
      <c r="L1264" s="55">
        <v>15000.0</v>
      </c>
      <c r="M1264" s="25"/>
      <c r="N1264" s="26">
        <v>8000.0</v>
      </c>
      <c r="O1264" s="27">
        <f t="shared" si="160"/>
        <v>2.260869565</v>
      </c>
      <c r="P1264" s="28">
        <f t="shared" si="165"/>
        <v>0</v>
      </c>
    </row>
    <row r="1265" hidden="1">
      <c r="A1265" s="16" t="s">
        <v>1916</v>
      </c>
      <c r="B1265" s="36"/>
      <c r="C1265" s="18"/>
      <c r="D1265" s="4"/>
      <c r="E1265" s="19">
        <v>0.0</v>
      </c>
      <c r="F1265" s="19">
        <v>0.0</v>
      </c>
      <c r="G1265" s="16" t="s">
        <v>1917</v>
      </c>
      <c r="H1265" s="21"/>
      <c r="I1265" s="22"/>
      <c r="J1265" s="58"/>
      <c r="K1265" s="48">
        <v>750.0</v>
      </c>
      <c r="L1265" s="55">
        <v>2000.0</v>
      </c>
      <c r="M1265" s="25"/>
      <c r="N1265" s="26"/>
      <c r="O1265" s="27"/>
      <c r="P1265" s="28"/>
    </row>
    <row r="1266" hidden="1">
      <c r="A1266" s="16" t="s">
        <v>1918</v>
      </c>
      <c r="B1266" s="36"/>
      <c r="C1266" s="18"/>
      <c r="D1266" s="4"/>
      <c r="E1266" s="19">
        <v>0.0</v>
      </c>
      <c r="F1266" s="19">
        <v>0.0</v>
      </c>
      <c r="G1266" s="16" t="s">
        <v>1108</v>
      </c>
      <c r="H1266" s="21"/>
      <c r="I1266" s="22">
        <v>0.0</v>
      </c>
      <c r="J1266" s="23"/>
      <c r="K1266" s="24">
        <v>10000.0</v>
      </c>
      <c r="L1266" s="24">
        <v>16000.0</v>
      </c>
      <c r="M1266" s="25"/>
      <c r="N1266" s="26"/>
      <c r="O1266" s="27">
        <f t="shared" ref="O1266:O1267" si="166">(L1266/K1266)-1</f>
        <v>0.6</v>
      </c>
      <c r="P1266" s="28">
        <f t="shared" ref="P1266:P1267" si="167">K1266*F1266</f>
        <v>0</v>
      </c>
    </row>
    <row r="1267" hidden="1">
      <c r="A1267" s="52" t="s">
        <v>1919</v>
      </c>
      <c r="B1267" s="17"/>
      <c r="C1267" s="18" t="s">
        <v>547</v>
      </c>
      <c r="D1267" s="4"/>
      <c r="E1267" s="19">
        <v>0.0</v>
      </c>
      <c r="F1267" s="19">
        <v>0.0</v>
      </c>
      <c r="G1267" s="16" t="s">
        <v>437</v>
      </c>
      <c r="H1267" s="21"/>
      <c r="I1267" s="22">
        <v>0.0</v>
      </c>
      <c r="J1267" s="29"/>
      <c r="K1267" s="43"/>
      <c r="L1267" s="44">
        <v>10000.0</v>
      </c>
      <c r="M1267" s="25"/>
      <c r="N1267" s="70"/>
      <c r="O1267" s="27" t="str">
        <f t="shared" si="166"/>
        <v>#DIV/0!</v>
      </c>
      <c r="P1267" s="28">
        <f t="shared" si="167"/>
        <v>0</v>
      </c>
    </row>
    <row r="1268" hidden="1">
      <c r="A1268" s="16" t="s">
        <v>1920</v>
      </c>
      <c r="B1268" s="54" t="s">
        <v>1921</v>
      </c>
      <c r="C1268" s="18"/>
      <c r="D1268" s="4"/>
      <c r="E1268" s="19">
        <v>0.0</v>
      </c>
      <c r="F1268" s="19">
        <v>0.0</v>
      </c>
      <c r="G1268" s="16" t="s">
        <v>1922</v>
      </c>
      <c r="H1268" s="21"/>
      <c r="I1268" s="22">
        <v>2.0</v>
      </c>
      <c r="J1268" s="29"/>
      <c r="K1268" s="48">
        <v>16900.0</v>
      </c>
      <c r="L1268" s="55">
        <v>28000.0</v>
      </c>
      <c r="M1268" s="25"/>
      <c r="N1268" s="26"/>
      <c r="O1268" s="27"/>
      <c r="P1268" s="28"/>
    </row>
    <row r="1269" hidden="1">
      <c r="A1269" s="16" t="s">
        <v>1923</v>
      </c>
      <c r="B1269" s="54" t="s">
        <v>1924</v>
      </c>
      <c r="C1269" s="18"/>
      <c r="D1269" s="4"/>
      <c r="E1269" s="19">
        <v>0.0</v>
      </c>
      <c r="F1269" s="19">
        <v>0.0</v>
      </c>
      <c r="G1269" s="16" t="s">
        <v>1922</v>
      </c>
      <c r="H1269" s="21"/>
      <c r="I1269" s="22">
        <v>2.0</v>
      </c>
      <c r="J1269" s="29"/>
      <c r="K1269" s="48">
        <v>20000.0</v>
      </c>
      <c r="L1269" s="55">
        <v>28000.0</v>
      </c>
      <c r="M1269" s="25"/>
      <c r="N1269" s="26"/>
      <c r="O1269" s="27"/>
      <c r="P1269" s="28"/>
    </row>
    <row r="1270" hidden="1">
      <c r="A1270" s="16" t="s">
        <v>1925</v>
      </c>
      <c r="B1270" s="36"/>
      <c r="C1270" s="18"/>
      <c r="D1270" s="4"/>
      <c r="E1270" s="19"/>
      <c r="F1270" s="19"/>
      <c r="G1270" s="16" t="s">
        <v>1926</v>
      </c>
      <c r="H1270" s="21"/>
      <c r="I1270" s="22">
        <v>18.0</v>
      </c>
      <c r="J1270" s="22" t="s">
        <v>1927</v>
      </c>
      <c r="K1270" s="48">
        <v>3436.0</v>
      </c>
      <c r="L1270" s="55">
        <v>7000.0</v>
      </c>
      <c r="M1270" s="25"/>
      <c r="N1270" s="26"/>
      <c r="O1270" s="27">
        <f t="shared" ref="O1270:O1282" si="168">(L1270/K1270)-1</f>
        <v>1.037252619</v>
      </c>
      <c r="P1270" s="28">
        <f t="shared" ref="P1270:P1308" si="169">K1270*F1270</f>
        <v>0</v>
      </c>
    </row>
    <row r="1271" hidden="1">
      <c r="A1271" s="16" t="s">
        <v>1928</v>
      </c>
      <c r="B1271" s="17"/>
      <c r="C1271" s="18"/>
      <c r="D1271" s="4"/>
      <c r="E1271" s="19">
        <v>0.0</v>
      </c>
      <c r="F1271" s="19">
        <v>0.0</v>
      </c>
      <c r="G1271" s="20" t="s">
        <v>1929</v>
      </c>
      <c r="H1271" s="21">
        <v>0.0</v>
      </c>
      <c r="I1271" s="22">
        <v>0.0</v>
      </c>
      <c r="J1271" s="23"/>
      <c r="K1271" s="55">
        <v>29000.0</v>
      </c>
      <c r="L1271" s="55">
        <v>45000.0</v>
      </c>
      <c r="M1271" s="25"/>
      <c r="N1271" s="26"/>
      <c r="O1271" s="27">
        <f t="shared" si="168"/>
        <v>0.5517241379</v>
      </c>
      <c r="P1271" s="28">
        <f t="shared" si="169"/>
        <v>0</v>
      </c>
    </row>
    <row r="1272" hidden="1">
      <c r="A1272" s="16" t="s">
        <v>1930</v>
      </c>
      <c r="B1272" s="17" t="s">
        <v>680</v>
      </c>
      <c r="C1272" s="18"/>
      <c r="D1272" s="4"/>
      <c r="E1272" s="19">
        <v>0.0</v>
      </c>
      <c r="F1272" s="19">
        <v>0.0</v>
      </c>
      <c r="G1272" s="16" t="s">
        <v>671</v>
      </c>
      <c r="H1272" s="21"/>
      <c r="I1272" s="22">
        <v>0.0</v>
      </c>
      <c r="J1272" s="29"/>
      <c r="K1272" s="43">
        <v>5543.0</v>
      </c>
      <c r="L1272" s="44">
        <v>9000.0</v>
      </c>
      <c r="M1272" s="25"/>
      <c r="N1272" s="26"/>
      <c r="O1272" s="27">
        <f t="shared" si="168"/>
        <v>0.6236694931</v>
      </c>
      <c r="P1272" s="28">
        <f t="shared" si="169"/>
        <v>0</v>
      </c>
    </row>
    <row r="1273" hidden="1">
      <c r="A1273" s="16" t="s">
        <v>1931</v>
      </c>
      <c r="B1273" s="17" t="s">
        <v>680</v>
      </c>
      <c r="C1273" s="18"/>
      <c r="D1273" s="4"/>
      <c r="E1273" s="19">
        <v>0.0</v>
      </c>
      <c r="F1273" s="19">
        <v>0.0</v>
      </c>
      <c r="G1273" s="16" t="s">
        <v>671</v>
      </c>
      <c r="H1273" s="21"/>
      <c r="I1273" s="22">
        <v>5.0</v>
      </c>
      <c r="J1273" s="29"/>
      <c r="K1273" s="43">
        <v>5543.0</v>
      </c>
      <c r="L1273" s="44">
        <v>9000.0</v>
      </c>
      <c r="M1273" s="25"/>
      <c r="N1273" s="26"/>
      <c r="O1273" s="27">
        <f t="shared" si="168"/>
        <v>0.6236694931</v>
      </c>
      <c r="P1273" s="28">
        <f t="shared" si="169"/>
        <v>0</v>
      </c>
    </row>
    <row r="1274" hidden="1">
      <c r="A1274" s="16" t="s">
        <v>1934</v>
      </c>
      <c r="B1274" s="36"/>
      <c r="C1274" s="18"/>
      <c r="D1274" s="4"/>
      <c r="E1274" s="19">
        <v>0.0</v>
      </c>
      <c r="F1274" s="19">
        <v>0.0</v>
      </c>
      <c r="G1274" s="16" t="s">
        <v>1935</v>
      </c>
      <c r="H1274" s="21"/>
      <c r="I1274" s="22">
        <v>1.0</v>
      </c>
      <c r="J1274" s="29"/>
      <c r="K1274" s="43">
        <v>6000.0</v>
      </c>
      <c r="L1274" s="44">
        <v>9000.0</v>
      </c>
      <c r="M1274" s="25"/>
      <c r="N1274" s="26"/>
      <c r="O1274" s="27">
        <f t="shared" si="168"/>
        <v>0.5</v>
      </c>
      <c r="P1274" s="28">
        <f t="shared" si="169"/>
        <v>0</v>
      </c>
    </row>
    <row r="1275" hidden="1">
      <c r="A1275" s="16" t="s">
        <v>1936</v>
      </c>
      <c r="B1275" s="36"/>
      <c r="C1275" s="18"/>
      <c r="D1275" s="4"/>
      <c r="E1275" s="19">
        <v>0.0</v>
      </c>
      <c r="F1275" s="19"/>
      <c r="G1275" s="16" t="s">
        <v>57</v>
      </c>
      <c r="H1275" s="21"/>
      <c r="I1275" s="22"/>
      <c r="J1275" s="29"/>
      <c r="K1275" s="43">
        <v>850.0</v>
      </c>
      <c r="L1275" s="44">
        <v>1500.0</v>
      </c>
      <c r="M1275" s="25"/>
      <c r="N1275" s="26"/>
      <c r="O1275" s="27">
        <f t="shared" si="168"/>
        <v>0.7647058824</v>
      </c>
      <c r="P1275" s="28">
        <f t="shared" si="169"/>
        <v>0</v>
      </c>
    </row>
    <row r="1276" hidden="1">
      <c r="A1276" s="40" t="s">
        <v>1937</v>
      </c>
      <c r="B1276" s="17"/>
      <c r="C1276" s="18"/>
      <c r="D1276" s="4"/>
      <c r="E1276" s="19">
        <v>0.0</v>
      </c>
      <c r="F1276" s="19">
        <v>0.0</v>
      </c>
      <c r="G1276" s="16" t="s">
        <v>1938</v>
      </c>
      <c r="H1276" s="33"/>
      <c r="I1276" s="22">
        <v>1.0</v>
      </c>
      <c r="J1276" s="34"/>
      <c r="K1276" s="123">
        <f>10500*0.8</f>
        <v>8400</v>
      </c>
      <c r="L1276" s="44">
        <v>18000.0</v>
      </c>
      <c r="M1276" s="25"/>
      <c r="N1276" s="26"/>
      <c r="O1276" s="27">
        <f t="shared" si="168"/>
        <v>1.142857143</v>
      </c>
      <c r="P1276" s="28">
        <f t="shared" si="169"/>
        <v>0</v>
      </c>
    </row>
    <row r="1277" hidden="1">
      <c r="A1277" s="16" t="s">
        <v>1939</v>
      </c>
      <c r="B1277" s="17"/>
      <c r="C1277" s="18"/>
      <c r="D1277" s="4"/>
      <c r="E1277" s="19"/>
      <c r="F1277" s="19">
        <v>0.0</v>
      </c>
      <c r="G1277" s="16" t="s">
        <v>93</v>
      </c>
      <c r="H1277" s="21"/>
      <c r="I1277" s="22"/>
      <c r="J1277" s="29"/>
      <c r="K1277" s="43">
        <v>3769.0</v>
      </c>
      <c r="L1277" s="44">
        <v>6000.0</v>
      </c>
      <c r="M1277" s="25"/>
      <c r="N1277" s="26"/>
      <c r="O1277" s="27">
        <f t="shared" si="168"/>
        <v>0.5919342001</v>
      </c>
      <c r="P1277" s="28">
        <f t="shared" si="169"/>
        <v>0</v>
      </c>
    </row>
    <row r="1278" hidden="1">
      <c r="A1278" s="52" t="s">
        <v>1940</v>
      </c>
      <c r="B1278" s="36" t="s">
        <v>1941</v>
      </c>
      <c r="C1278" s="18"/>
      <c r="D1278" s="4"/>
      <c r="E1278" s="19">
        <v>0.0</v>
      </c>
      <c r="F1278" s="19"/>
      <c r="G1278" s="20" t="s">
        <v>1942</v>
      </c>
      <c r="H1278" s="21"/>
      <c r="I1278" s="22"/>
      <c r="J1278" s="29"/>
      <c r="K1278" s="32">
        <f>(34000*0.95*1.19)/12</f>
        <v>3203.083333</v>
      </c>
      <c r="L1278" s="24">
        <v>5000.0</v>
      </c>
      <c r="M1278" s="25"/>
      <c r="N1278" s="26"/>
      <c r="O1278" s="27">
        <f t="shared" si="168"/>
        <v>0.5609959154</v>
      </c>
      <c r="P1278" s="28">
        <f t="shared" si="169"/>
        <v>0</v>
      </c>
    </row>
    <row r="1279" hidden="1">
      <c r="A1279" s="16" t="s">
        <v>1943</v>
      </c>
      <c r="B1279" s="36"/>
      <c r="C1279" s="18"/>
      <c r="D1279" s="4"/>
      <c r="E1279" s="19">
        <v>0.0</v>
      </c>
      <c r="F1279" s="19">
        <v>0.0</v>
      </c>
      <c r="G1279" s="16" t="s">
        <v>1513</v>
      </c>
      <c r="H1279" s="21"/>
      <c r="I1279" s="22">
        <v>0.0</v>
      </c>
      <c r="J1279" s="29"/>
      <c r="K1279" s="43">
        <v>1000.0</v>
      </c>
      <c r="L1279" s="44">
        <v>1400.0</v>
      </c>
      <c r="M1279" s="25"/>
      <c r="N1279" s="26"/>
      <c r="O1279" s="27">
        <f t="shared" si="168"/>
        <v>0.4</v>
      </c>
      <c r="P1279" s="28">
        <f t="shared" si="169"/>
        <v>0</v>
      </c>
    </row>
    <row r="1280" hidden="1">
      <c r="A1280" s="16" t="s">
        <v>1944</v>
      </c>
      <c r="B1280" s="17"/>
      <c r="C1280" s="18"/>
      <c r="D1280" s="4"/>
      <c r="E1280" s="19">
        <v>0.0</v>
      </c>
      <c r="F1280" s="19"/>
      <c r="G1280" s="16" t="s">
        <v>1945</v>
      </c>
      <c r="H1280" s="21"/>
      <c r="I1280" s="22"/>
      <c r="J1280" s="29"/>
      <c r="K1280" s="43">
        <v>500.0</v>
      </c>
      <c r="L1280" s="44">
        <v>2000.0</v>
      </c>
      <c r="M1280" s="25"/>
      <c r="N1280" s="50"/>
      <c r="O1280" s="27">
        <f t="shared" si="168"/>
        <v>3</v>
      </c>
      <c r="P1280" s="28">
        <f t="shared" si="169"/>
        <v>0</v>
      </c>
    </row>
    <row r="1281" hidden="1">
      <c r="A1281" s="16" t="s">
        <v>1946</v>
      </c>
      <c r="B1281" s="17"/>
      <c r="C1281" s="18"/>
      <c r="D1281" s="4"/>
      <c r="E1281" s="19">
        <v>0.0</v>
      </c>
      <c r="F1281" s="19">
        <v>0.0</v>
      </c>
      <c r="G1281" s="16" t="s">
        <v>1947</v>
      </c>
      <c r="H1281" s="21"/>
      <c r="I1281" s="22">
        <v>0.0</v>
      </c>
      <c r="J1281" s="29"/>
      <c r="K1281" s="32">
        <f>74223*1.19/50</f>
        <v>1766.5074</v>
      </c>
      <c r="L1281" s="24">
        <v>3500.0</v>
      </c>
      <c r="M1281" s="25"/>
      <c r="N1281" s="26"/>
      <c r="O1281" s="27">
        <f t="shared" si="168"/>
        <v>0.9813106925</v>
      </c>
      <c r="P1281" s="28">
        <f t="shared" si="169"/>
        <v>0</v>
      </c>
    </row>
    <row r="1282" hidden="1">
      <c r="A1282" s="16" t="s">
        <v>1948</v>
      </c>
      <c r="B1282" s="17"/>
      <c r="C1282" s="18"/>
      <c r="D1282" s="4"/>
      <c r="E1282" s="19">
        <v>0.0</v>
      </c>
      <c r="F1282" s="19">
        <v>0.0</v>
      </c>
      <c r="G1282" s="16" t="s">
        <v>1947</v>
      </c>
      <c r="H1282" s="21"/>
      <c r="I1282" s="22">
        <v>0.0</v>
      </c>
      <c r="J1282" s="29"/>
      <c r="K1282" s="32">
        <f>74223*1.19</f>
        <v>88325.37</v>
      </c>
      <c r="L1282" s="24">
        <v>110000.0</v>
      </c>
      <c r="M1282" s="25"/>
      <c r="N1282" s="26"/>
      <c r="O1282" s="27">
        <f t="shared" si="168"/>
        <v>0.2453952924</v>
      </c>
      <c r="P1282" s="28">
        <f t="shared" si="169"/>
        <v>0</v>
      </c>
    </row>
    <row r="1283" hidden="1">
      <c r="A1283" s="42" t="s">
        <v>1949</v>
      </c>
      <c r="B1283" s="17"/>
      <c r="C1283" s="18"/>
      <c r="D1283" s="4"/>
      <c r="E1283" s="19">
        <v>0.0</v>
      </c>
      <c r="F1283" s="19"/>
      <c r="G1283" s="20" t="s">
        <v>291</v>
      </c>
      <c r="H1283" s="143"/>
      <c r="I1283" s="22"/>
      <c r="J1283" s="242"/>
      <c r="K1283" s="243">
        <v>6722.0</v>
      </c>
      <c r="L1283" s="145">
        <v>7000.0</v>
      </c>
      <c r="M1283" s="25"/>
      <c r="N1283" s="50"/>
      <c r="O1283" s="147" t="s">
        <v>611</v>
      </c>
      <c r="P1283" s="28">
        <f t="shared" si="169"/>
        <v>0</v>
      </c>
    </row>
    <row r="1284" hidden="1">
      <c r="A1284" s="42" t="s">
        <v>1950</v>
      </c>
      <c r="B1284" s="17"/>
      <c r="C1284" s="18"/>
      <c r="D1284" s="4"/>
      <c r="E1284" s="19">
        <v>0.0</v>
      </c>
      <c r="F1284" s="19"/>
      <c r="G1284" s="16" t="s">
        <v>553</v>
      </c>
      <c r="H1284" s="237"/>
      <c r="I1284" s="22"/>
      <c r="J1284" s="244"/>
      <c r="K1284" s="245">
        <f>4000/12</f>
        <v>333.3333333</v>
      </c>
      <c r="L1284" s="24">
        <v>4000.0</v>
      </c>
      <c r="M1284" s="25"/>
      <c r="N1284" s="50"/>
      <c r="O1284" s="147" t="s">
        <v>611</v>
      </c>
      <c r="P1284" s="28">
        <f t="shared" si="169"/>
        <v>0</v>
      </c>
    </row>
    <row r="1285" hidden="1">
      <c r="A1285" s="42" t="s">
        <v>1951</v>
      </c>
      <c r="B1285" s="17"/>
      <c r="C1285" s="18"/>
      <c r="D1285" s="4"/>
      <c r="E1285" s="19"/>
      <c r="F1285" s="19"/>
      <c r="G1285" s="16" t="s">
        <v>553</v>
      </c>
      <c r="H1285" s="21"/>
      <c r="I1285" s="22"/>
      <c r="J1285" s="29"/>
      <c r="K1285" s="32">
        <v>3900.0</v>
      </c>
      <c r="L1285" s="24">
        <v>4000.0</v>
      </c>
      <c r="M1285" s="25"/>
      <c r="N1285" s="26"/>
      <c r="O1285" s="147" t="s">
        <v>611</v>
      </c>
      <c r="P1285" s="28">
        <f t="shared" si="169"/>
        <v>0</v>
      </c>
    </row>
    <row r="1286" hidden="1">
      <c r="A1286" s="42" t="s">
        <v>1952</v>
      </c>
      <c r="B1286" s="17"/>
      <c r="C1286" s="18"/>
      <c r="D1286" s="4"/>
      <c r="E1286" s="19">
        <v>0.0</v>
      </c>
      <c r="F1286" s="19"/>
      <c r="G1286" s="16" t="s">
        <v>553</v>
      </c>
      <c r="H1286" s="21"/>
      <c r="I1286" s="22"/>
      <c r="J1286" s="29"/>
      <c r="K1286" s="32">
        <v>3900.0</v>
      </c>
      <c r="L1286" s="24">
        <v>4000.0</v>
      </c>
      <c r="M1286" s="25"/>
      <c r="N1286" s="26"/>
      <c r="O1286" s="147" t="s">
        <v>611</v>
      </c>
      <c r="P1286" s="28">
        <f t="shared" si="169"/>
        <v>0</v>
      </c>
    </row>
    <row r="1287" hidden="1">
      <c r="A1287" s="42" t="s">
        <v>1953</v>
      </c>
      <c r="B1287" s="17"/>
      <c r="C1287" s="18"/>
      <c r="D1287" s="4"/>
      <c r="E1287" s="19">
        <v>0.0</v>
      </c>
      <c r="F1287" s="19"/>
      <c r="G1287" s="16" t="s">
        <v>553</v>
      </c>
      <c r="H1287" s="21"/>
      <c r="I1287" s="22"/>
      <c r="J1287" s="29"/>
      <c r="K1287" s="32">
        <v>3900.0</v>
      </c>
      <c r="L1287" s="24">
        <v>4000.0</v>
      </c>
      <c r="M1287" s="25"/>
      <c r="N1287" s="50"/>
      <c r="O1287" s="147" t="s">
        <v>611</v>
      </c>
      <c r="P1287" s="28">
        <f t="shared" si="169"/>
        <v>0</v>
      </c>
    </row>
    <row r="1288" hidden="1">
      <c r="A1288" s="42" t="s">
        <v>1954</v>
      </c>
      <c r="B1288" s="17"/>
      <c r="C1288" s="18"/>
      <c r="D1288" s="4"/>
      <c r="E1288" s="19">
        <v>0.0</v>
      </c>
      <c r="F1288" s="19"/>
      <c r="G1288" s="16" t="s">
        <v>553</v>
      </c>
      <c r="H1288" s="21"/>
      <c r="I1288" s="22"/>
      <c r="J1288" s="29"/>
      <c r="K1288" s="43">
        <v>8000.0</v>
      </c>
      <c r="L1288" s="44">
        <v>9000.0</v>
      </c>
      <c r="M1288" s="25"/>
      <c r="N1288" s="50"/>
      <c r="O1288" s="147" t="s">
        <v>611</v>
      </c>
      <c r="P1288" s="28">
        <f t="shared" si="169"/>
        <v>0</v>
      </c>
    </row>
    <row r="1289" hidden="1">
      <c r="A1289" s="42" t="s">
        <v>1955</v>
      </c>
      <c r="B1289" s="17"/>
      <c r="C1289" s="18"/>
      <c r="D1289" s="4"/>
      <c r="E1289" s="19"/>
      <c r="F1289" s="19"/>
      <c r="G1289" s="16" t="s">
        <v>553</v>
      </c>
      <c r="H1289" s="21"/>
      <c r="I1289" s="22"/>
      <c r="J1289" s="29"/>
      <c r="K1289" s="32">
        <v>1200.0</v>
      </c>
      <c r="L1289" s="24">
        <v>5000.0</v>
      </c>
      <c r="M1289" s="25"/>
      <c r="N1289" s="26"/>
      <c r="O1289" s="147" t="s">
        <v>611</v>
      </c>
      <c r="P1289" s="28">
        <f t="shared" si="169"/>
        <v>0</v>
      </c>
    </row>
    <row r="1290" hidden="1">
      <c r="A1290" s="42" t="s">
        <v>1956</v>
      </c>
      <c r="B1290" s="17"/>
      <c r="C1290" s="18"/>
      <c r="D1290" s="4"/>
      <c r="E1290" s="19"/>
      <c r="F1290" s="19"/>
      <c r="G1290" s="16" t="s">
        <v>553</v>
      </c>
      <c r="H1290" s="21"/>
      <c r="I1290" s="22"/>
      <c r="J1290" s="29"/>
      <c r="K1290" s="32">
        <f>7000/12</f>
        <v>583.3333333</v>
      </c>
      <c r="L1290" s="24">
        <v>2000.0</v>
      </c>
      <c r="M1290" s="25"/>
      <c r="N1290" s="26"/>
      <c r="O1290" s="147" t="s">
        <v>611</v>
      </c>
      <c r="P1290" s="28">
        <f t="shared" si="169"/>
        <v>0</v>
      </c>
    </row>
    <row r="1291" hidden="1">
      <c r="A1291" s="42" t="s">
        <v>1957</v>
      </c>
      <c r="B1291" s="17"/>
      <c r="C1291" s="18"/>
      <c r="D1291" s="4"/>
      <c r="E1291" s="19">
        <v>0.0</v>
      </c>
      <c r="F1291" s="19"/>
      <c r="G1291" s="16" t="s">
        <v>1958</v>
      </c>
      <c r="H1291" s="21"/>
      <c r="I1291" s="22"/>
      <c r="J1291" s="29"/>
      <c r="K1291" s="43">
        <v>2300.0</v>
      </c>
      <c r="L1291" s="44">
        <v>3000.0</v>
      </c>
      <c r="M1291" s="25"/>
      <c r="N1291" s="26"/>
      <c r="O1291" s="147" t="s">
        <v>611</v>
      </c>
      <c r="P1291" s="28">
        <f t="shared" si="169"/>
        <v>0</v>
      </c>
    </row>
    <row r="1292" hidden="1">
      <c r="A1292" s="42" t="s">
        <v>1959</v>
      </c>
      <c r="B1292" s="17"/>
      <c r="C1292" s="18"/>
      <c r="D1292" s="4"/>
      <c r="E1292" s="19">
        <v>0.0</v>
      </c>
      <c r="F1292" s="19"/>
      <c r="G1292" s="16" t="s">
        <v>553</v>
      </c>
      <c r="H1292" s="21"/>
      <c r="I1292" s="22"/>
      <c r="J1292" s="29"/>
      <c r="K1292" s="32">
        <f>1850*1.19</f>
        <v>2201.5</v>
      </c>
      <c r="L1292" s="32">
        <v>3000.0</v>
      </c>
      <c r="M1292" s="25"/>
      <c r="N1292" s="26"/>
      <c r="O1292" s="147" t="s">
        <v>611</v>
      </c>
      <c r="P1292" s="28">
        <f t="shared" si="169"/>
        <v>0</v>
      </c>
    </row>
    <row r="1293" hidden="1">
      <c r="A1293" s="42" t="s">
        <v>1960</v>
      </c>
      <c r="B1293" s="17"/>
      <c r="C1293" s="18"/>
      <c r="D1293" s="4"/>
      <c r="E1293" s="19">
        <v>0.0</v>
      </c>
      <c r="F1293" s="19"/>
      <c r="G1293" s="16" t="s">
        <v>553</v>
      </c>
      <c r="H1293" s="237"/>
      <c r="I1293" s="22"/>
      <c r="J1293" s="244"/>
      <c r="K1293" s="245">
        <f>2600*1.19</f>
        <v>3094</v>
      </c>
      <c r="L1293" s="145">
        <v>4000.0</v>
      </c>
      <c r="M1293" s="25"/>
      <c r="N1293" s="26"/>
      <c r="O1293" s="147" t="s">
        <v>611</v>
      </c>
      <c r="P1293" s="28">
        <f t="shared" si="169"/>
        <v>0</v>
      </c>
    </row>
    <row r="1294" hidden="1">
      <c r="A1294" s="42" t="s">
        <v>1961</v>
      </c>
      <c r="B1294" s="17"/>
      <c r="C1294" s="18"/>
      <c r="D1294" s="4"/>
      <c r="E1294" s="19">
        <v>0.0</v>
      </c>
      <c r="F1294" s="19"/>
      <c r="G1294" s="16" t="s">
        <v>553</v>
      </c>
      <c r="H1294" s="21"/>
      <c r="I1294" s="22"/>
      <c r="J1294" s="29"/>
      <c r="K1294" s="43">
        <v>1000.0</v>
      </c>
      <c r="L1294" s="44">
        <v>2000.0</v>
      </c>
      <c r="M1294" s="25"/>
      <c r="N1294" s="50"/>
      <c r="O1294" s="147" t="s">
        <v>611</v>
      </c>
      <c r="P1294" s="28">
        <f t="shared" si="169"/>
        <v>0</v>
      </c>
    </row>
    <row r="1295" hidden="1">
      <c r="A1295" s="42" t="s">
        <v>1962</v>
      </c>
      <c r="B1295" s="17"/>
      <c r="C1295" s="18"/>
      <c r="D1295" s="4"/>
      <c r="E1295" s="19">
        <v>0.0</v>
      </c>
      <c r="F1295" s="19"/>
      <c r="G1295" s="16" t="s">
        <v>553</v>
      </c>
      <c r="H1295" s="21"/>
      <c r="I1295" s="22"/>
      <c r="J1295" s="29"/>
      <c r="K1295" s="43">
        <v>1000.0</v>
      </c>
      <c r="L1295" s="44">
        <v>2000.0</v>
      </c>
      <c r="M1295" s="25"/>
      <c r="N1295" s="50"/>
      <c r="O1295" s="147" t="s">
        <v>611</v>
      </c>
      <c r="P1295" s="28">
        <f t="shared" si="169"/>
        <v>0</v>
      </c>
    </row>
    <row r="1296" hidden="1">
      <c r="A1296" s="42" t="s">
        <v>1963</v>
      </c>
      <c r="B1296" s="17"/>
      <c r="C1296" s="18"/>
      <c r="D1296" s="4"/>
      <c r="E1296" s="19">
        <v>0.0</v>
      </c>
      <c r="F1296" s="19"/>
      <c r="G1296" s="16" t="s">
        <v>553</v>
      </c>
      <c r="H1296" s="21"/>
      <c r="I1296" s="22"/>
      <c r="J1296" s="29"/>
      <c r="K1296" s="43">
        <v>1000.0</v>
      </c>
      <c r="L1296" s="44">
        <v>2000.0</v>
      </c>
      <c r="M1296" s="25"/>
      <c r="N1296" s="50"/>
      <c r="O1296" s="147" t="s">
        <v>611</v>
      </c>
      <c r="P1296" s="28">
        <f t="shared" si="169"/>
        <v>0</v>
      </c>
    </row>
    <row r="1297" hidden="1">
      <c r="A1297" s="42" t="s">
        <v>1964</v>
      </c>
      <c r="B1297" s="71"/>
      <c r="C1297" s="18"/>
      <c r="D1297" s="4"/>
      <c r="E1297" s="19">
        <v>0.0</v>
      </c>
      <c r="F1297" s="19"/>
      <c r="G1297" s="16" t="s">
        <v>1958</v>
      </c>
      <c r="H1297" s="21"/>
      <c r="I1297" s="22"/>
      <c r="J1297" s="29"/>
      <c r="K1297" s="43">
        <v>1000.0</v>
      </c>
      <c r="L1297" s="44">
        <v>2000.0</v>
      </c>
      <c r="M1297" s="25"/>
      <c r="N1297" s="50"/>
      <c r="O1297" s="147" t="s">
        <v>611</v>
      </c>
      <c r="P1297" s="28">
        <f t="shared" si="169"/>
        <v>0</v>
      </c>
    </row>
    <row r="1298" hidden="1">
      <c r="A1298" s="16" t="s">
        <v>1965</v>
      </c>
      <c r="B1298" s="36"/>
      <c r="C1298" s="18"/>
      <c r="D1298" s="4"/>
      <c r="E1298" s="19">
        <v>0.0</v>
      </c>
      <c r="F1298" s="19"/>
      <c r="G1298" s="16" t="s">
        <v>553</v>
      </c>
      <c r="H1298" s="21"/>
      <c r="I1298" s="22"/>
      <c r="J1298" s="29"/>
      <c r="K1298" s="43">
        <v>2269.0</v>
      </c>
      <c r="L1298" s="44">
        <v>4000.0</v>
      </c>
      <c r="M1298" s="25"/>
      <c r="N1298" s="50"/>
      <c r="O1298" s="147" t="s">
        <v>611</v>
      </c>
      <c r="P1298" s="28">
        <f t="shared" si="169"/>
        <v>0</v>
      </c>
    </row>
    <row r="1299" hidden="1">
      <c r="A1299" s="16" t="s">
        <v>1966</v>
      </c>
      <c r="B1299" s="36"/>
      <c r="C1299" s="18"/>
      <c r="D1299" s="4"/>
      <c r="E1299" s="19">
        <v>0.0</v>
      </c>
      <c r="F1299" s="19"/>
      <c r="G1299" s="16" t="s">
        <v>553</v>
      </c>
      <c r="H1299" s="21"/>
      <c r="I1299" s="22"/>
      <c r="J1299" s="29"/>
      <c r="K1299" s="32">
        <f t="shared" ref="K1299:K1300" si="170">3000*1.19</f>
        <v>3570</v>
      </c>
      <c r="L1299" s="24">
        <v>4000.0</v>
      </c>
      <c r="M1299" s="25"/>
      <c r="N1299" s="50"/>
      <c r="O1299" s="147" t="s">
        <v>611</v>
      </c>
      <c r="P1299" s="28">
        <f t="shared" si="169"/>
        <v>0</v>
      </c>
    </row>
    <row r="1300" hidden="1">
      <c r="A1300" s="16" t="s">
        <v>1967</v>
      </c>
      <c r="B1300" s="49"/>
      <c r="C1300" s="18"/>
      <c r="D1300" s="4"/>
      <c r="E1300" s="19"/>
      <c r="F1300" s="19"/>
      <c r="G1300" s="16" t="s">
        <v>553</v>
      </c>
      <c r="H1300" s="21"/>
      <c r="I1300" s="22"/>
      <c r="J1300" s="29"/>
      <c r="K1300" s="32">
        <f t="shared" si="170"/>
        <v>3570</v>
      </c>
      <c r="L1300" s="24">
        <v>4000.0</v>
      </c>
      <c r="M1300" s="25"/>
      <c r="N1300" s="50"/>
      <c r="O1300" s="147" t="s">
        <v>611</v>
      </c>
      <c r="P1300" s="28">
        <f t="shared" si="169"/>
        <v>0</v>
      </c>
    </row>
    <row r="1301" hidden="1">
      <c r="A1301" s="16" t="s">
        <v>1968</v>
      </c>
      <c r="B1301" s="36"/>
      <c r="C1301" s="18"/>
      <c r="D1301" s="4"/>
      <c r="E1301" s="19">
        <v>0.0</v>
      </c>
      <c r="F1301" s="19"/>
      <c r="G1301" s="16" t="s">
        <v>553</v>
      </c>
      <c r="H1301" s="21"/>
      <c r="I1301" s="22"/>
      <c r="J1301" s="29"/>
      <c r="K1301" s="43">
        <v>2700.0</v>
      </c>
      <c r="L1301" s="43">
        <v>4000.0</v>
      </c>
      <c r="M1301" s="25"/>
      <c r="N1301" s="26"/>
      <c r="O1301" s="147" t="s">
        <v>611</v>
      </c>
      <c r="P1301" s="28">
        <f t="shared" si="169"/>
        <v>0</v>
      </c>
    </row>
    <row r="1302" hidden="1">
      <c r="A1302" s="42" t="s">
        <v>1969</v>
      </c>
      <c r="B1302" s="17"/>
      <c r="C1302" s="18"/>
      <c r="D1302" s="4"/>
      <c r="E1302" s="19">
        <v>0.0</v>
      </c>
      <c r="F1302" s="19"/>
      <c r="G1302" s="16" t="s">
        <v>553</v>
      </c>
      <c r="H1302" s="21"/>
      <c r="I1302" s="22"/>
      <c r="J1302" s="29"/>
      <c r="K1302" s="43">
        <v>1000.0</v>
      </c>
      <c r="L1302" s="44">
        <v>2000.0</v>
      </c>
      <c r="M1302" s="25"/>
      <c r="N1302" s="26"/>
      <c r="O1302" s="147" t="s">
        <v>611</v>
      </c>
      <c r="P1302" s="28">
        <f t="shared" si="169"/>
        <v>0</v>
      </c>
    </row>
    <row r="1303" hidden="1">
      <c r="A1303" s="42" t="s">
        <v>1970</v>
      </c>
      <c r="B1303" s="71"/>
      <c r="C1303" s="18"/>
      <c r="D1303" s="4"/>
      <c r="E1303" s="19">
        <v>0.0</v>
      </c>
      <c r="F1303" s="19"/>
      <c r="G1303" s="16" t="s">
        <v>553</v>
      </c>
      <c r="H1303" s="21"/>
      <c r="I1303" s="22"/>
      <c r="J1303" s="29"/>
      <c r="K1303" s="43">
        <v>1000.0</v>
      </c>
      <c r="L1303" s="44">
        <v>2000.0</v>
      </c>
      <c r="M1303" s="25"/>
      <c r="N1303" s="26"/>
      <c r="O1303" s="147" t="s">
        <v>611</v>
      </c>
      <c r="P1303" s="28">
        <f t="shared" si="169"/>
        <v>0</v>
      </c>
    </row>
    <row r="1304" hidden="1">
      <c r="A1304" s="42" t="s">
        <v>1971</v>
      </c>
      <c r="B1304" s="71"/>
      <c r="C1304" s="18"/>
      <c r="D1304" s="4"/>
      <c r="E1304" s="19">
        <v>0.0</v>
      </c>
      <c r="F1304" s="19"/>
      <c r="G1304" s="16" t="s">
        <v>553</v>
      </c>
      <c r="H1304" s="21"/>
      <c r="I1304" s="22"/>
      <c r="J1304" s="29"/>
      <c r="K1304" s="43">
        <v>1000.0</v>
      </c>
      <c r="L1304" s="44">
        <v>2000.0</v>
      </c>
      <c r="M1304" s="25"/>
      <c r="N1304" s="26"/>
      <c r="O1304" s="147" t="s">
        <v>611</v>
      </c>
      <c r="P1304" s="28">
        <f t="shared" si="169"/>
        <v>0</v>
      </c>
    </row>
    <row r="1305" hidden="1">
      <c r="A1305" s="42" t="s">
        <v>1972</v>
      </c>
      <c r="B1305" s="71"/>
      <c r="C1305" s="18"/>
      <c r="D1305" s="4"/>
      <c r="E1305" s="19">
        <v>0.0</v>
      </c>
      <c r="F1305" s="19"/>
      <c r="G1305" s="16" t="s">
        <v>553</v>
      </c>
      <c r="H1305" s="21"/>
      <c r="I1305" s="22"/>
      <c r="J1305" s="29"/>
      <c r="K1305" s="32">
        <v>2300.0</v>
      </c>
      <c r="L1305" s="24">
        <v>3000.0</v>
      </c>
      <c r="M1305" s="25"/>
      <c r="N1305" s="50"/>
      <c r="O1305" s="147" t="s">
        <v>611</v>
      </c>
      <c r="P1305" s="28">
        <f t="shared" si="169"/>
        <v>0</v>
      </c>
    </row>
    <row r="1306" hidden="1">
      <c r="A1306" s="42" t="s">
        <v>1973</v>
      </c>
      <c r="B1306" s="36"/>
      <c r="C1306" s="18"/>
      <c r="D1306" s="4"/>
      <c r="E1306" s="19">
        <v>0.0</v>
      </c>
      <c r="F1306" s="19"/>
      <c r="G1306" s="16" t="s">
        <v>553</v>
      </c>
      <c r="H1306" s="21"/>
      <c r="I1306" s="22"/>
      <c r="J1306" s="29"/>
      <c r="K1306" s="32">
        <v>1300.0</v>
      </c>
      <c r="L1306" s="24">
        <v>2000.0</v>
      </c>
      <c r="M1306" s="25"/>
      <c r="N1306" s="26"/>
      <c r="O1306" s="27">
        <f>(L1306/K1306)-1</f>
        <v>0.5384615385</v>
      </c>
      <c r="P1306" s="28">
        <f t="shared" si="169"/>
        <v>0</v>
      </c>
    </row>
    <row r="1307" hidden="1">
      <c r="A1307" s="42" t="s">
        <v>1974</v>
      </c>
      <c r="B1307" s="71"/>
      <c r="C1307" s="18"/>
      <c r="D1307" s="4"/>
      <c r="E1307" s="19">
        <v>0.0</v>
      </c>
      <c r="F1307" s="19"/>
      <c r="G1307" s="16" t="s">
        <v>553</v>
      </c>
      <c r="H1307" s="21"/>
      <c r="I1307" s="22"/>
      <c r="J1307" s="29"/>
      <c r="K1307" s="43">
        <v>1000.0</v>
      </c>
      <c r="L1307" s="44">
        <v>2000.0</v>
      </c>
      <c r="M1307" s="25"/>
      <c r="N1307" s="70"/>
      <c r="O1307" s="147" t="s">
        <v>611</v>
      </c>
      <c r="P1307" s="28">
        <f t="shared" si="169"/>
        <v>0</v>
      </c>
    </row>
    <row r="1308" hidden="1">
      <c r="A1308" s="42" t="s">
        <v>1975</v>
      </c>
      <c r="B1308" s="71"/>
      <c r="C1308" s="18"/>
      <c r="D1308" s="4"/>
      <c r="E1308" s="19">
        <v>0.0</v>
      </c>
      <c r="F1308" s="19"/>
      <c r="G1308" s="16" t="s">
        <v>553</v>
      </c>
      <c r="H1308" s="21"/>
      <c r="I1308" s="22"/>
      <c r="J1308" s="29"/>
      <c r="K1308" s="43">
        <v>1000.0</v>
      </c>
      <c r="L1308" s="44">
        <v>2000.0</v>
      </c>
      <c r="M1308" s="25"/>
      <c r="N1308" s="26"/>
      <c r="O1308" s="147" t="s">
        <v>611</v>
      </c>
      <c r="P1308" s="28">
        <f t="shared" si="169"/>
        <v>0</v>
      </c>
    </row>
    <row r="1309" hidden="1">
      <c r="A1309" s="42" t="s">
        <v>1976</v>
      </c>
      <c r="B1309" s="36"/>
      <c r="C1309" s="18"/>
      <c r="D1309" s="4"/>
      <c r="E1309" s="19">
        <v>0.0</v>
      </c>
      <c r="F1309" s="19">
        <v>0.0</v>
      </c>
      <c r="G1309" s="16"/>
      <c r="H1309" s="21"/>
      <c r="I1309" s="22">
        <v>3.0</v>
      </c>
      <c r="J1309" s="29"/>
      <c r="K1309" s="43"/>
      <c r="L1309" s="44"/>
      <c r="M1309" s="25"/>
      <c r="N1309" s="26"/>
      <c r="O1309" s="27"/>
      <c r="P1309" s="28"/>
    </row>
    <row r="1310" hidden="1">
      <c r="A1310" s="16" t="s">
        <v>1977</v>
      </c>
      <c r="B1310" s="36"/>
      <c r="C1310" s="18"/>
      <c r="D1310" s="4"/>
      <c r="E1310" s="19">
        <v>0.0</v>
      </c>
      <c r="F1310" s="19"/>
      <c r="G1310" s="16" t="s">
        <v>553</v>
      </c>
      <c r="H1310" s="21"/>
      <c r="I1310" s="22"/>
      <c r="J1310" s="29"/>
      <c r="K1310" s="43">
        <v>1000.0</v>
      </c>
      <c r="L1310" s="44">
        <v>2000.0</v>
      </c>
      <c r="M1310" s="25"/>
      <c r="N1310" s="50"/>
      <c r="O1310" s="147" t="s">
        <v>611</v>
      </c>
      <c r="P1310" s="28">
        <f t="shared" ref="P1310:P1321" si="171">K1310*F1310</f>
        <v>0</v>
      </c>
    </row>
    <row r="1311" hidden="1">
      <c r="A1311" s="42" t="s">
        <v>1978</v>
      </c>
      <c r="B1311" s="71"/>
      <c r="C1311" s="18"/>
      <c r="D1311" s="4"/>
      <c r="E1311" s="19">
        <v>0.0</v>
      </c>
      <c r="F1311" s="19"/>
      <c r="G1311" s="16" t="s">
        <v>553</v>
      </c>
      <c r="H1311" s="21"/>
      <c r="I1311" s="22"/>
      <c r="J1311" s="29"/>
      <c r="K1311" s="43">
        <v>1000.0</v>
      </c>
      <c r="L1311" s="44">
        <v>2000.0</v>
      </c>
      <c r="M1311" s="25"/>
      <c r="N1311" s="26"/>
      <c r="O1311" s="147" t="s">
        <v>611</v>
      </c>
      <c r="P1311" s="28">
        <f t="shared" si="171"/>
        <v>0</v>
      </c>
    </row>
    <row r="1312" hidden="1">
      <c r="A1312" s="42" t="s">
        <v>1979</v>
      </c>
      <c r="B1312" s="71"/>
      <c r="C1312" s="18"/>
      <c r="D1312" s="4"/>
      <c r="E1312" s="19">
        <v>0.0</v>
      </c>
      <c r="F1312" s="19"/>
      <c r="G1312" s="16" t="s">
        <v>553</v>
      </c>
      <c r="H1312" s="21"/>
      <c r="I1312" s="22"/>
      <c r="J1312" s="29"/>
      <c r="K1312" s="32">
        <f>2000*1.19</f>
        <v>2380</v>
      </c>
      <c r="L1312" s="24">
        <v>2000.0</v>
      </c>
      <c r="M1312" s="25"/>
      <c r="N1312" s="26"/>
      <c r="O1312" s="147" t="s">
        <v>611</v>
      </c>
      <c r="P1312" s="28">
        <f t="shared" si="171"/>
        <v>0</v>
      </c>
    </row>
    <row r="1313" hidden="1">
      <c r="A1313" s="42" t="s">
        <v>1980</v>
      </c>
      <c r="B1313" s="71"/>
      <c r="C1313" s="18"/>
      <c r="D1313" s="4"/>
      <c r="E1313" s="19">
        <v>0.0</v>
      </c>
      <c r="F1313" s="19"/>
      <c r="G1313" s="16" t="s">
        <v>553</v>
      </c>
      <c r="H1313" s="21"/>
      <c r="I1313" s="22"/>
      <c r="J1313" s="29"/>
      <c r="K1313" s="32">
        <f>4500*1.19</f>
        <v>5355</v>
      </c>
      <c r="L1313" s="24">
        <v>2000.0</v>
      </c>
      <c r="M1313" s="25"/>
      <c r="N1313" s="26"/>
      <c r="O1313" s="147" t="s">
        <v>611</v>
      </c>
      <c r="P1313" s="28">
        <f t="shared" si="171"/>
        <v>0</v>
      </c>
    </row>
    <row r="1314" hidden="1">
      <c r="A1314" s="149" t="s">
        <v>1981</v>
      </c>
      <c r="B1314" s="71"/>
      <c r="C1314" s="18"/>
      <c r="D1314" s="4"/>
      <c r="E1314" s="19">
        <v>0.0</v>
      </c>
      <c r="F1314" s="19"/>
      <c r="G1314" s="16" t="s">
        <v>1982</v>
      </c>
      <c r="H1314" s="21"/>
      <c r="I1314" s="22"/>
      <c r="J1314" s="29"/>
      <c r="K1314" s="43">
        <v>17500.0</v>
      </c>
      <c r="L1314" s="44">
        <v>20000.0</v>
      </c>
      <c r="M1314" s="25"/>
      <c r="N1314" s="26"/>
      <c r="O1314" s="147" t="s">
        <v>611</v>
      </c>
      <c r="P1314" s="28">
        <f t="shared" si="171"/>
        <v>0</v>
      </c>
    </row>
    <row r="1315" hidden="1">
      <c r="A1315" s="16" t="s">
        <v>1983</v>
      </c>
      <c r="B1315" s="17"/>
      <c r="C1315" s="18"/>
      <c r="D1315" s="4"/>
      <c r="E1315" s="19">
        <v>0.0</v>
      </c>
      <c r="F1315" s="19"/>
      <c r="G1315" s="16" t="s">
        <v>39</v>
      </c>
      <c r="H1315" s="237"/>
      <c r="I1315" s="22"/>
      <c r="J1315" s="244"/>
      <c r="K1315" s="246">
        <v>1000.0</v>
      </c>
      <c r="L1315" s="247">
        <v>2000.0</v>
      </c>
      <c r="M1315" s="25"/>
      <c r="N1315" s="26"/>
      <c r="O1315" s="147" t="s">
        <v>611</v>
      </c>
      <c r="P1315" s="28">
        <f t="shared" si="171"/>
        <v>0</v>
      </c>
    </row>
    <row r="1316" hidden="1">
      <c r="A1316" s="16" t="s">
        <v>1984</v>
      </c>
      <c r="B1316" s="36"/>
      <c r="C1316" s="18"/>
      <c r="D1316" s="4" t="s">
        <v>998</v>
      </c>
      <c r="E1316" s="19">
        <v>0.0</v>
      </c>
      <c r="F1316" s="19">
        <v>4.0</v>
      </c>
      <c r="G1316" s="16" t="s">
        <v>73</v>
      </c>
      <c r="H1316" s="21"/>
      <c r="I1316" s="22">
        <v>1.0</v>
      </c>
      <c r="J1316" s="248" t="s">
        <v>1985</v>
      </c>
      <c r="K1316" s="32">
        <v>350000.0</v>
      </c>
      <c r="L1316" s="24">
        <v>590000.0</v>
      </c>
      <c r="M1316" s="25" t="s">
        <v>82</v>
      </c>
      <c r="N1316" s="26"/>
      <c r="O1316" s="27">
        <f t="shared" ref="O1316:O1321" si="172">(L1316/K1316)-1</f>
        <v>0.6857142857</v>
      </c>
      <c r="P1316" s="28">
        <f t="shared" si="171"/>
        <v>1400000</v>
      </c>
    </row>
    <row r="1317" hidden="1">
      <c r="A1317" s="16" t="s">
        <v>1986</v>
      </c>
      <c r="B1317" s="36"/>
      <c r="C1317" s="18"/>
      <c r="D1317" s="4"/>
      <c r="E1317" s="19">
        <v>0.0</v>
      </c>
      <c r="F1317" s="19">
        <v>0.0</v>
      </c>
      <c r="G1317" s="16" t="s">
        <v>73</v>
      </c>
      <c r="H1317" s="21"/>
      <c r="I1317" s="22">
        <v>1.0</v>
      </c>
      <c r="J1317" s="29"/>
      <c r="K1317" s="32">
        <v>330000.0</v>
      </c>
      <c r="L1317" s="24">
        <v>590000.0</v>
      </c>
      <c r="M1317" s="25" t="s">
        <v>82</v>
      </c>
      <c r="N1317" s="26"/>
      <c r="O1317" s="27">
        <f t="shared" si="172"/>
        <v>0.7878787879</v>
      </c>
      <c r="P1317" s="28">
        <f t="shared" si="171"/>
        <v>0</v>
      </c>
    </row>
    <row r="1318" hidden="1">
      <c r="A1318" s="122" t="s">
        <v>1987</v>
      </c>
      <c r="B1318" s="17"/>
      <c r="C1318" s="18"/>
      <c r="D1318" s="4"/>
      <c r="E1318" s="19">
        <v>0.0</v>
      </c>
      <c r="F1318" s="19">
        <v>0.0</v>
      </c>
      <c r="G1318" s="16" t="s">
        <v>425</v>
      </c>
      <c r="H1318" s="73"/>
      <c r="I1318" s="22">
        <v>0.0</v>
      </c>
      <c r="J1318" s="74"/>
      <c r="K1318" s="75">
        <v>928000.0</v>
      </c>
      <c r="L1318" s="44">
        <f>K1318*1.5</f>
        <v>1392000</v>
      </c>
      <c r="M1318" s="25"/>
      <c r="N1318" s="26"/>
      <c r="O1318" s="27">
        <f t="shared" si="172"/>
        <v>0.5</v>
      </c>
      <c r="P1318" s="28">
        <f t="shared" si="171"/>
        <v>0</v>
      </c>
    </row>
    <row r="1319" hidden="1">
      <c r="A1319" s="40" t="s">
        <v>1988</v>
      </c>
      <c r="B1319" s="17"/>
      <c r="C1319" s="18"/>
      <c r="D1319" s="4"/>
      <c r="E1319" s="19"/>
      <c r="F1319" s="19">
        <v>0.0</v>
      </c>
      <c r="G1319" s="16" t="s">
        <v>93</v>
      </c>
      <c r="H1319" s="21"/>
      <c r="I1319" s="22"/>
      <c r="J1319" s="29"/>
      <c r="K1319" s="43">
        <v>6500.0</v>
      </c>
      <c r="L1319" s="44">
        <v>10000.0</v>
      </c>
      <c r="M1319" s="25"/>
      <c r="N1319" s="26"/>
      <c r="O1319" s="27">
        <f t="shared" si="172"/>
        <v>0.5384615385</v>
      </c>
      <c r="P1319" s="28">
        <f t="shared" si="171"/>
        <v>0</v>
      </c>
    </row>
    <row r="1320" hidden="1">
      <c r="A1320" s="16" t="s">
        <v>1989</v>
      </c>
      <c r="B1320" s="17"/>
      <c r="C1320" s="18"/>
      <c r="D1320" s="4"/>
      <c r="E1320" s="19">
        <v>0.0</v>
      </c>
      <c r="F1320" s="19">
        <v>0.0</v>
      </c>
      <c r="G1320" s="20" t="s">
        <v>1990</v>
      </c>
      <c r="H1320" s="21">
        <v>0.0</v>
      </c>
      <c r="I1320" s="22">
        <v>0.0</v>
      </c>
      <c r="J1320" s="45"/>
      <c r="K1320" s="172">
        <f>39433*1.19</f>
        <v>46925.27</v>
      </c>
      <c r="L1320" s="44">
        <v>62000.0</v>
      </c>
      <c r="M1320" s="25"/>
      <c r="N1320" s="26"/>
      <c r="O1320" s="27">
        <f t="shared" si="172"/>
        <v>0.3212497232</v>
      </c>
      <c r="P1320" s="28">
        <f t="shared" si="171"/>
        <v>0</v>
      </c>
    </row>
    <row r="1321" hidden="1">
      <c r="A1321" s="16" t="s">
        <v>1991</v>
      </c>
      <c r="B1321" s="17"/>
      <c r="C1321" s="18"/>
      <c r="D1321" s="4"/>
      <c r="E1321" s="19">
        <v>0.0</v>
      </c>
      <c r="F1321" s="19">
        <v>0.0</v>
      </c>
      <c r="G1321" s="20" t="s">
        <v>14</v>
      </c>
      <c r="H1321" s="21">
        <v>0.0</v>
      </c>
      <c r="I1321" s="22">
        <v>0.0</v>
      </c>
      <c r="J1321" s="45"/>
      <c r="K1321" s="172">
        <v>15366.0</v>
      </c>
      <c r="L1321" s="44">
        <v>20000.0</v>
      </c>
      <c r="M1321" s="25"/>
      <c r="N1321" s="31"/>
      <c r="O1321" s="27">
        <f t="shared" si="172"/>
        <v>0.3015749056</v>
      </c>
      <c r="P1321" s="28">
        <f t="shared" si="171"/>
        <v>0</v>
      </c>
    </row>
    <row r="1322" hidden="1">
      <c r="A1322" s="16" t="s">
        <v>1992</v>
      </c>
      <c r="B1322" s="17"/>
      <c r="C1322" s="18"/>
      <c r="D1322" s="4"/>
      <c r="E1322" s="19"/>
      <c r="F1322" s="19"/>
      <c r="G1322" s="20" t="s">
        <v>1993</v>
      </c>
      <c r="H1322" s="21"/>
      <c r="I1322" s="22"/>
      <c r="J1322" s="23"/>
      <c r="K1322" s="55">
        <v>23300.0</v>
      </c>
      <c r="L1322" s="55">
        <v>29000.0</v>
      </c>
      <c r="M1322" s="25"/>
      <c r="N1322" s="26"/>
      <c r="O1322" s="27"/>
      <c r="P1322" s="28"/>
    </row>
    <row r="1323" hidden="1">
      <c r="A1323" s="16" t="s">
        <v>1994</v>
      </c>
      <c r="B1323" s="17"/>
      <c r="C1323" s="18"/>
      <c r="D1323" s="4"/>
      <c r="E1323" s="19"/>
      <c r="F1323" s="19">
        <v>0.0</v>
      </c>
      <c r="G1323" s="16" t="s">
        <v>1995</v>
      </c>
      <c r="H1323" s="21"/>
      <c r="I1323" s="22"/>
      <c r="J1323" s="23"/>
      <c r="K1323" s="44">
        <v>63780.0</v>
      </c>
      <c r="L1323" s="44">
        <v>80000.0</v>
      </c>
      <c r="M1323" s="25"/>
      <c r="N1323" s="26"/>
      <c r="O1323" s="27">
        <f t="shared" ref="O1323:O1332" si="173">(L1323/K1323)-1</f>
        <v>0.2543116965</v>
      </c>
      <c r="P1323" s="28">
        <f t="shared" ref="P1323:P1332" si="174">K1323*F1323</f>
        <v>0</v>
      </c>
    </row>
    <row r="1324" hidden="1">
      <c r="A1324" s="16" t="s">
        <v>1996</v>
      </c>
      <c r="B1324" s="36" t="s">
        <v>1997</v>
      </c>
      <c r="C1324" s="18"/>
      <c r="D1324" s="4"/>
      <c r="E1324" s="19">
        <v>0.0</v>
      </c>
      <c r="F1324" s="19">
        <v>0.0</v>
      </c>
      <c r="G1324" s="16" t="s">
        <v>70</v>
      </c>
      <c r="H1324" s="21"/>
      <c r="I1324" s="22"/>
      <c r="J1324" s="29"/>
      <c r="K1324" s="32">
        <f>32000*0.8*1.19</f>
        <v>30464</v>
      </c>
      <c r="L1324" s="24">
        <v>48000.0</v>
      </c>
      <c r="M1324" s="25"/>
      <c r="N1324" s="26"/>
      <c r="O1324" s="27">
        <f t="shared" si="173"/>
        <v>0.5756302521</v>
      </c>
      <c r="P1324" s="28">
        <f t="shared" si="174"/>
        <v>0</v>
      </c>
    </row>
    <row r="1325" hidden="1">
      <c r="A1325" s="16" t="s">
        <v>1998</v>
      </c>
      <c r="B1325" s="148"/>
      <c r="C1325" s="18"/>
      <c r="D1325" s="4"/>
      <c r="E1325" s="19">
        <v>0.0</v>
      </c>
      <c r="F1325" s="19">
        <v>0.0</v>
      </c>
      <c r="G1325" s="16" t="s">
        <v>102</v>
      </c>
      <c r="H1325" s="99"/>
      <c r="I1325" s="22">
        <v>1.0</v>
      </c>
      <c r="J1325" s="173"/>
      <c r="K1325" s="249">
        <v>28644.0</v>
      </c>
      <c r="L1325" s="249">
        <v>40000.0</v>
      </c>
      <c r="M1325" s="25" t="s">
        <v>76</v>
      </c>
      <c r="N1325" s="26">
        <v>35000.0</v>
      </c>
      <c r="O1325" s="27">
        <f t="shared" si="173"/>
        <v>0.3964530094</v>
      </c>
      <c r="P1325" s="28">
        <f t="shared" si="174"/>
        <v>0</v>
      </c>
    </row>
    <row r="1326" hidden="1">
      <c r="A1326" s="16" t="s">
        <v>2847</v>
      </c>
      <c r="B1326" s="49" t="s">
        <v>2000</v>
      </c>
      <c r="C1326" s="18"/>
      <c r="D1326" s="4"/>
      <c r="E1326" s="19">
        <v>12.0</v>
      </c>
      <c r="F1326" s="19">
        <v>0.0</v>
      </c>
      <c r="G1326" s="16" t="s">
        <v>104</v>
      </c>
      <c r="H1326" s="21"/>
      <c r="I1326" s="22">
        <v>2.0</v>
      </c>
      <c r="J1326" s="47">
        <v>46388.0</v>
      </c>
      <c r="K1326" s="48">
        <f>9376*1.19</f>
        <v>11157.44</v>
      </c>
      <c r="L1326" s="32">
        <v>16000.0</v>
      </c>
      <c r="M1326" s="25"/>
      <c r="N1326" s="26"/>
      <c r="O1326" s="27">
        <f t="shared" si="173"/>
        <v>0.4340207073</v>
      </c>
      <c r="P1326" s="28">
        <f t="shared" si="174"/>
        <v>0</v>
      </c>
    </row>
    <row r="1327" hidden="1">
      <c r="A1327" s="16" t="s">
        <v>2001</v>
      </c>
      <c r="B1327" s="36">
        <f>9685*1.19</f>
        <v>11525.15</v>
      </c>
      <c r="C1327" s="18"/>
      <c r="D1327" s="4" t="s">
        <v>328</v>
      </c>
      <c r="E1327" s="19">
        <v>0.0</v>
      </c>
      <c r="F1327" s="19">
        <v>0.0</v>
      </c>
      <c r="G1327" s="16" t="s">
        <v>2002</v>
      </c>
      <c r="H1327" s="21"/>
      <c r="I1327" s="22">
        <v>4.0</v>
      </c>
      <c r="J1327" s="47">
        <v>46844.0</v>
      </c>
      <c r="K1327" s="48">
        <f>9685*1.19</f>
        <v>11525.15</v>
      </c>
      <c r="L1327" s="55">
        <v>14000.0</v>
      </c>
      <c r="M1327" s="25"/>
      <c r="N1327" s="26"/>
      <c r="O1327" s="27">
        <f t="shared" si="173"/>
        <v>0.2147347323</v>
      </c>
      <c r="P1327" s="28">
        <f t="shared" si="174"/>
        <v>0</v>
      </c>
    </row>
    <row r="1328" hidden="1">
      <c r="A1328" s="16" t="s">
        <v>2003</v>
      </c>
      <c r="B1328" s="36"/>
      <c r="C1328" s="18"/>
      <c r="D1328" s="4" t="s">
        <v>328</v>
      </c>
      <c r="E1328" s="19">
        <v>0.0</v>
      </c>
      <c r="F1328" s="19">
        <v>0.0</v>
      </c>
      <c r="G1328" s="16" t="s">
        <v>2002</v>
      </c>
      <c r="H1328" s="21"/>
      <c r="I1328" s="22">
        <v>4.0</v>
      </c>
      <c r="J1328" s="47">
        <v>46843.0</v>
      </c>
      <c r="K1328" s="48">
        <f>25945*1.19</f>
        <v>30874.55</v>
      </c>
      <c r="L1328" s="55">
        <v>44000.0</v>
      </c>
      <c r="M1328" s="25"/>
      <c r="N1328" s="26"/>
      <c r="O1328" s="27">
        <f t="shared" si="173"/>
        <v>0.4251219856</v>
      </c>
      <c r="P1328" s="28">
        <f t="shared" si="174"/>
        <v>0</v>
      </c>
    </row>
    <row r="1329" hidden="1">
      <c r="A1329" s="16" t="s">
        <v>2004</v>
      </c>
      <c r="B1329" s="36"/>
      <c r="C1329" s="18"/>
      <c r="D1329" s="4"/>
      <c r="E1329" s="19">
        <v>0.0</v>
      </c>
      <c r="F1329" s="19">
        <v>0.0</v>
      </c>
      <c r="G1329" s="16" t="s">
        <v>63</v>
      </c>
      <c r="H1329" s="21"/>
      <c r="I1329" s="22">
        <v>0.0</v>
      </c>
      <c r="J1329" s="29"/>
      <c r="K1329" s="48">
        <v>8000.0</v>
      </c>
      <c r="L1329" s="55">
        <v>16000.0</v>
      </c>
      <c r="M1329" s="25" t="s">
        <v>76</v>
      </c>
      <c r="N1329" s="26"/>
      <c r="O1329" s="27">
        <f t="shared" si="173"/>
        <v>1</v>
      </c>
      <c r="P1329" s="28">
        <f t="shared" si="174"/>
        <v>0</v>
      </c>
    </row>
    <row r="1330" hidden="1">
      <c r="A1330" s="52" t="s">
        <v>2005</v>
      </c>
      <c r="B1330" s="36"/>
      <c r="C1330" s="18" t="s">
        <v>2006</v>
      </c>
      <c r="D1330" s="188"/>
      <c r="E1330" s="19"/>
      <c r="F1330" s="19"/>
      <c r="G1330" s="16" t="s">
        <v>88</v>
      </c>
      <c r="H1330" s="21"/>
      <c r="I1330" s="22">
        <v>16.0</v>
      </c>
      <c r="J1330" s="47">
        <v>46419.0</v>
      </c>
      <c r="K1330" s="24">
        <v>10534.0</v>
      </c>
      <c r="L1330" s="24">
        <v>14000.0</v>
      </c>
      <c r="M1330" s="25"/>
      <c r="N1330" s="26"/>
      <c r="O1330" s="27">
        <f t="shared" si="173"/>
        <v>0.3290298082</v>
      </c>
      <c r="P1330" s="28">
        <f t="shared" si="174"/>
        <v>0</v>
      </c>
    </row>
    <row r="1331" hidden="1">
      <c r="A1331" s="52" t="s">
        <v>2007</v>
      </c>
      <c r="B1331" s="157"/>
      <c r="C1331" s="18"/>
      <c r="D1331" s="67"/>
      <c r="E1331" s="19">
        <v>0.0</v>
      </c>
      <c r="F1331" s="19">
        <v>0.0</v>
      </c>
      <c r="G1331" s="16" t="s">
        <v>2008</v>
      </c>
      <c r="H1331" s="21"/>
      <c r="I1331" s="22">
        <v>5.0</v>
      </c>
      <c r="J1331" s="47">
        <v>45870.0</v>
      </c>
      <c r="K1331" s="48">
        <v>52400.0</v>
      </c>
      <c r="L1331" s="55">
        <v>68000.0</v>
      </c>
      <c r="M1331" s="25" t="s">
        <v>76</v>
      </c>
      <c r="N1331" s="26"/>
      <c r="O1331" s="27">
        <f t="shared" si="173"/>
        <v>0.2977099237</v>
      </c>
      <c r="P1331" s="28">
        <f t="shared" si="174"/>
        <v>0</v>
      </c>
    </row>
    <row r="1332" hidden="1">
      <c r="A1332" s="16" t="s">
        <v>2009</v>
      </c>
      <c r="B1332" s="157"/>
      <c r="C1332" s="18"/>
      <c r="D1332" s="4"/>
      <c r="E1332" s="19">
        <v>0.0</v>
      </c>
      <c r="F1332" s="19">
        <v>0.0</v>
      </c>
      <c r="G1332" s="20" t="s">
        <v>1820</v>
      </c>
      <c r="H1332" s="21"/>
      <c r="I1332" s="22">
        <v>0.0</v>
      </c>
      <c r="J1332" s="29"/>
      <c r="K1332" s="43"/>
      <c r="L1332" s="44"/>
      <c r="M1332" s="25"/>
      <c r="N1332" s="26"/>
      <c r="O1332" s="27" t="str">
        <f t="shared" si="173"/>
        <v>#DIV/0!</v>
      </c>
      <c r="P1332" s="28">
        <f t="shared" si="174"/>
        <v>0</v>
      </c>
    </row>
    <row r="1333" hidden="1">
      <c r="A1333" s="52" t="s">
        <v>2010</v>
      </c>
      <c r="B1333" s="157"/>
      <c r="C1333" s="18"/>
      <c r="D1333" s="67"/>
      <c r="E1333" s="19">
        <v>0.0</v>
      </c>
      <c r="F1333" s="19">
        <v>0.0</v>
      </c>
      <c r="G1333" s="16" t="s">
        <v>65</v>
      </c>
      <c r="H1333" s="21"/>
      <c r="I1333" s="22">
        <v>1.0</v>
      </c>
      <c r="J1333" s="47"/>
      <c r="K1333" s="48">
        <f>45500*0.95*1.19</f>
        <v>51437.75</v>
      </c>
      <c r="L1333" s="55">
        <v>70000.0</v>
      </c>
      <c r="M1333" s="25"/>
      <c r="N1333" s="26">
        <v>58000.0</v>
      </c>
      <c r="O1333" s="27"/>
      <c r="P1333" s="28"/>
    </row>
    <row r="1334" hidden="1">
      <c r="A1334" s="52" t="s">
        <v>2011</v>
      </c>
      <c r="B1334" s="157"/>
      <c r="C1334" s="18"/>
      <c r="D1334" s="98">
        <f>18600*1.19</f>
        <v>22134</v>
      </c>
      <c r="E1334" s="19">
        <v>0.0</v>
      </c>
      <c r="F1334" s="19">
        <v>0.0</v>
      </c>
      <c r="G1334" s="16" t="s">
        <v>2008</v>
      </c>
      <c r="H1334" s="21"/>
      <c r="I1334" s="22">
        <v>0.0</v>
      </c>
      <c r="J1334" s="22" t="s">
        <v>2012</v>
      </c>
      <c r="K1334" s="55">
        <v>16200.0</v>
      </c>
      <c r="L1334" s="55">
        <v>24000.0</v>
      </c>
      <c r="M1334" s="25"/>
      <c r="N1334" s="26">
        <v>20000.0</v>
      </c>
      <c r="O1334" s="27">
        <f t="shared" ref="O1334:O1338" si="175">(L1334/K1334)-1</f>
        <v>0.4814814815</v>
      </c>
      <c r="P1334" s="28">
        <f t="shared" ref="P1334:P1338" si="176">K1334*F1334</f>
        <v>0</v>
      </c>
    </row>
    <row r="1335" hidden="1">
      <c r="A1335" s="59" t="s">
        <v>2013</v>
      </c>
      <c r="B1335" s="49" t="s">
        <v>2014</v>
      </c>
      <c r="C1335" s="92"/>
      <c r="D1335" s="4"/>
      <c r="E1335" s="19">
        <v>0.0</v>
      </c>
      <c r="F1335" s="19">
        <v>0.0</v>
      </c>
      <c r="G1335" s="16" t="s">
        <v>1251</v>
      </c>
      <c r="H1335" s="21"/>
      <c r="I1335" s="22">
        <v>1.0</v>
      </c>
      <c r="J1335" s="29"/>
      <c r="K1335" s="48">
        <v>149900.0</v>
      </c>
      <c r="L1335" s="55">
        <v>205000.0</v>
      </c>
      <c r="M1335" s="25"/>
      <c r="N1335" s="26"/>
      <c r="O1335" s="27">
        <f t="shared" si="175"/>
        <v>0.3675783856</v>
      </c>
      <c r="P1335" s="28">
        <f t="shared" si="176"/>
        <v>0</v>
      </c>
    </row>
    <row r="1336" hidden="1">
      <c r="A1336" s="16" t="s">
        <v>2015</v>
      </c>
      <c r="B1336" s="17" t="s">
        <v>2016</v>
      </c>
      <c r="C1336" s="18"/>
      <c r="D1336" s="4"/>
      <c r="E1336" s="19"/>
      <c r="F1336" s="19">
        <v>0.0</v>
      </c>
      <c r="G1336" s="16" t="s">
        <v>2017</v>
      </c>
      <c r="H1336" s="21"/>
      <c r="I1336" s="22"/>
      <c r="J1336" s="23"/>
      <c r="K1336" s="44">
        <v>8400.0</v>
      </c>
      <c r="L1336" s="44">
        <v>12000.0</v>
      </c>
      <c r="M1336" s="25"/>
      <c r="N1336" s="50"/>
      <c r="O1336" s="27">
        <f t="shared" si="175"/>
        <v>0.4285714286</v>
      </c>
      <c r="P1336" s="28">
        <f t="shared" si="176"/>
        <v>0</v>
      </c>
    </row>
    <row r="1337" hidden="1">
      <c r="A1337" s="16" t="s">
        <v>2018</v>
      </c>
      <c r="B1337" s="17" t="s">
        <v>2016</v>
      </c>
      <c r="C1337" s="18"/>
      <c r="D1337" s="4"/>
      <c r="E1337" s="19"/>
      <c r="F1337" s="19">
        <v>0.0</v>
      </c>
      <c r="G1337" s="16" t="s">
        <v>2017</v>
      </c>
      <c r="H1337" s="21"/>
      <c r="I1337" s="22"/>
      <c r="J1337" s="23"/>
      <c r="K1337" s="44">
        <v>8400.0</v>
      </c>
      <c r="L1337" s="44">
        <v>12000.0</v>
      </c>
      <c r="M1337" s="25"/>
      <c r="N1337" s="26"/>
      <c r="O1337" s="27">
        <f t="shared" si="175"/>
        <v>0.4285714286</v>
      </c>
      <c r="P1337" s="28">
        <f t="shared" si="176"/>
        <v>0</v>
      </c>
    </row>
    <row r="1338" hidden="1">
      <c r="A1338" s="16" t="s">
        <v>2019</v>
      </c>
      <c r="B1338" s="17" t="s">
        <v>2016</v>
      </c>
      <c r="C1338" s="18"/>
      <c r="D1338" s="4"/>
      <c r="E1338" s="19"/>
      <c r="F1338" s="19">
        <v>0.0</v>
      </c>
      <c r="G1338" s="16" t="s">
        <v>2017</v>
      </c>
      <c r="H1338" s="21"/>
      <c r="I1338" s="22"/>
      <c r="J1338" s="23"/>
      <c r="K1338" s="44">
        <v>8400.0</v>
      </c>
      <c r="L1338" s="44">
        <v>12000.0</v>
      </c>
      <c r="M1338" s="25"/>
      <c r="N1338" s="26"/>
      <c r="O1338" s="27">
        <f t="shared" si="175"/>
        <v>0.4285714286</v>
      </c>
      <c r="P1338" s="28">
        <f t="shared" si="176"/>
        <v>0</v>
      </c>
    </row>
    <row r="1339" hidden="1">
      <c r="A1339" s="42" t="s">
        <v>2020</v>
      </c>
      <c r="B1339" s="17"/>
      <c r="C1339" s="18"/>
      <c r="D1339" s="4"/>
      <c r="E1339" s="19">
        <v>0.0</v>
      </c>
      <c r="F1339" s="19">
        <v>0.0</v>
      </c>
      <c r="G1339" s="16" t="s">
        <v>2021</v>
      </c>
      <c r="H1339" s="21"/>
      <c r="I1339" s="22">
        <v>1.0</v>
      </c>
      <c r="J1339" s="29"/>
      <c r="K1339" s="43"/>
      <c r="L1339" s="44"/>
      <c r="M1339" s="25"/>
      <c r="N1339" s="50"/>
      <c r="O1339" s="147"/>
      <c r="P1339" s="28"/>
    </row>
    <row r="1340" hidden="1">
      <c r="A1340" s="42" t="s">
        <v>2022</v>
      </c>
      <c r="B1340" s="114"/>
      <c r="C1340" s="18"/>
      <c r="D1340" s="4"/>
      <c r="E1340" s="19">
        <v>0.0</v>
      </c>
      <c r="F1340" s="19"/>
      <c r="G1340" s="16" t="s">
        <v>2023</v>
      </c>
      <c r="H1340" s="21"/>
      <c r="I1340" s="22"/>
      <c r="J1340" s="29"/>
      <c r="K1340" s="32">
        <f>3800/12</f>
        <v>316.6666667</v>
      </c>
      <c r="L1340" s="24">
        <v>600.0</v>
      </c>
      <c r="M1340" s="25"/>
      <c r="N1340" s="50"/>
      <c r="O1340" s="27">
        <f>(L1340/K1340)-1</f>
        <v>0.8947368421</v>
      </c>
      <c r="P1340" s="28">
        <f>K1340*F1340</f>
        <v>0</v>
      </c>
    </row>
    <row r="1341" hidden="1">
      <c r="A1341" s="42" t="s">
        <v>2024</v>
      </c>
      <c r="B1341" s="114"/>
      <c r="C1341" s="18"/>
      <c r="D1341" s="4"/>
      <c r="E1341" s="19">
        <v>0.0</v>
      </c>
      <c r="F1341" s="19"/>
      <c r="G1341" s="16" t="s">
        <v>2023</v>
      </c>
      <c r="H1341" s="21"/>
      <c r="I1341" s="22"/>
      <c r="J1341" s="29"/>
      <c r="K1341" s="43"/>
      <c r="L1341" s="44"/>
      <c r="M1341" s="25"/>
      <c r="N1341" s="50"/>
      <c r="O1341" s="27"/>
      <c r="P1341" s="28"/>
    </row>
    <row r="1342" hidden="1">
      <c r="A1342" s="40" t="s">
        <v>2025</v>
      </c>
      <c r="B1342" s="17"/>
      <c r="C1342" s="18"/>
      <c r="D1342" s="4"/>
      <c r="E1342" s="19">
        <v>0.0</v>
      </c>
      <c r="F1342" s="19"/>
      <c r="G1342" s="16" t="s">
        <v>57</v>
      </c>
      <c r="H1342" s="21"/>
      <c r="I1342" s="22"/>
      <c r="J1342" s="29"/>
      <c r="K1342" s="43">
        <v>6000.0</v>
      </c>
      <c r="L1342" s="44">
        <v>9000.0</v>
      </c>
      <c r="M1342" s="25"/>
      <c r="N1342" s="26"/>
      <c r="O1342" s="27">
        <f t="shared" ref="O1342:O1388" si="177">(L1342/K1342)-1</f>
        <v>0.5</v>
      </c>
      <c r="P1342" s="28">
        <f t="shared" ref="P1342:P1388" si="178">K1342*F1342</f>
        <v>0</v>
      </c>
    </row>
    <row r="1343" hidden="1">
      <c r="A1343" s="16" t="s">
        <v>2026</v>
      </c>
      <c r="B1343" s="17"/>
      <c r="C1343" s="18"/>
      <c r="D1343" s="4"/>
      <c r="E1343" s="19">
        <v>0.0</v>
      </c>
      <c r="F1343" s="19">
        <v>0.0</v>
      </c>
      <c r="G1343" s="16" t="s">
        <v>104</v>
      </c>
      <c r="H1343" s="21"/>
      <c r="I1343" s="22">
        <v>0.0</v>
      </c>
      <c r="J1343" s="29"/>
      <c r="K1343" s="43">
        <v>12176.0</v>
      </c>
      <c r="L1343" s="44">
        <v>16000.0</v>
      </c>
      <c r="M1343" s="25"/>
      <c r="N1343" s="26"/>
      <c r="O1343" s="27">
        <f t="shared" si="177"/>
        <v>0.3140604468</v>
      </c>
      <c r="P1343" s="28">
        <f t="shared" si="178"/>
        <v>0</v>
      </c>
    </row>
    <row r="1344" hidden="1">
      <c r="A1344" s="59" t="s">
        <v>2027</v>
      </c>
      <c r="B1344" s="97" t="s">
        <v>2028</v>
      </c>
      <c r="C1344" s="18"/>
      <c r="D1344" s="98"/>
      <c r="E1344" s="19">
        <v>0.0</v>
      </c>
      <c r="F1344" s="19"/>
      <c r="G1344" s="16" t="s">
        <v>485</v>
      </c>
      <c r="H1344" s="21">
        <v>0.0</v>
      </c>
      <c r="I1344" s="22"/>
      <c r="J1344" s="22"/>
      <c r="K1344" s="236">
        <f>104363*1.19</f>
        <v>124191.97</v>
      </c>
      <c r="L1344" s="175">
        <v>180000.0</v>
      </c>
      <c r="M1344" s="25"/>
      <c r="N1344" s="26"/>
      <c r="O1344" s="27">
        <f t="shared" si="177"/>
        <v>0.4493690695</v>
      </c>
      <c r="P1344" s="28">
        <f t="shared" si="178"/>
        <v>0</v>
      </c>
    </row>
    <row r="1345" hidden="1">
      <c r="A1345" s="59" t="s">
        <v>2029</v>
      </c>
      <c r="B1345" s="97" t="s">
        <v>2030</v>
      </c>
      <c r="C1345" s="18"/>
      <c r="D1345" s="98"/>
      <c r="E1345" s="19">
        <v>0.0</v>
      </c>
      <c r="F1345" s="19"/>
      <c r="G1345" s="16" t="s">
        <v>485</v>
      </c>
      <c r="H1345" s="21">
        <v>0.0</v>
      </c>
      <c r="I1345" s="22"/>
      <c r="J1345" s="22"/>
      <c r="K1345" s="236">
        <f>94875*1.19</f>
        <v>112901.25</v>
      </c>
      <c r="L1345" s="175">
        <v>180000.0</v>
      </c>
      <c r="M1345" s="25"/>
      <c r="N1345" s="26"/>
      <c r="O1345" s="27">
        <f t="shared" si="177"/>
        <v>0.5943136148</v>
      </c>
      <c r="P1345" s="28">
        <f t="shared" si="178"/>
        <v>0</v>
      </c>
    </row>
    <row r="1346" hidden="1">
      <c r="A1346" s="59" t="s">
        <v>2031</v>
      </c>
      <c r="B1346" s="97" t="s">
        <v>2032</v>
      </c>
      <c r="C1346" s="18"/>
      <c r="D1346" s="98"/>
      <c r="E1346" s="19">
        <v>0.0</v>
      </c>
      <c r="F1346" s="19"/>
      <c r="G1346" s="16" t="s">
        <v>485</v>
      </c>
      <c r="H1346" s="21">
        <v>0.0</v>
      </c>
      <c r="I1346" s="22"/>
      <c r="J1346" s="22"/>
      <c r="K1346" s="250">
        <v>136612.0</v>
      </c>
      <c r="L1346" s="101">
        <v>199000.0</v>
      </c>
      <c r="M1346" s="25"/>
      <c r="N1346" s="26"/>
      <c r="O1346" s="27">
        <f t="shared" si="177"/>
        <v>0.4566802331</v>
      </c>
      <c r="P1346" s="28">
        <f t="shared" si="178"/>
        <v>0</v>
      </c>
    </row>
    <row r="1347" hidden="1">
      <c r="A1347" s="122" t="s">
        <v>2033</v>
      </c>
      <c r="B1347" s="17">
        <v>241003.0</v>
      </c>
      <c r="C1347" s="18"/>
      <c r="D1347" s="4"/>
      <c r="E1347" s="19">
        <v>0.0</v>
      </c>
      <c r="F1347" s="19">
        <v>0.0</v>
      </c>
      <c r="G1347" s="16" t="s">
        <v>425</v>
      </c>
      <c r="H1347" s="73"/>
      <c r="I1347" s="22">
        <f>26+40</f>
        <v>66</v>
      </c>
      <c r="J1347" s="74"/>
      <c r="K1347" s="75">
        <v>400.0</v>
      </c>
      <c r="L1347" s="44">
        <v>2000.0</v>
      </c>
      <c r="M1347" s="25"/>
      <c r="N1347" s="26"/>
      <c r="O1347" s="27">
        <f t="shared" si="177"/>
        <v>4</v>
      </c>
      <c r="P1347" s="28">
        <f t="shared" si="178"/>
        <v>0</v>
      </c>
    </row>
    <row r="1348" hidden="1">
      <c r="A1348" s="122" t="s">
        <v>2034</v>
      </c>
      <c r="B1348" s="17">
        <v>241007.0</v>
      </c>
      <c r="C1348" s="18"/>
      <c r="D1348" s="4"/>
      <c r="E1348" s="19">
        <v>0.0</v>
      </c>
      <c r="F1348" s="19">
        <v>0.0</v>
      </c>
      <c r="G1348" s="16" t="s">
        <v>425</v>
      </c>
      <c r="H1348" s="73"/>
      <c r="I1348" s="22">
        <f>30+50</f>
        <v>80</v>
      </c>
      <c r="J1348" s="74"/>
      <c r="K1348" s="75">
        <v>400.0</v>
      </c>
      <c r="L1348" s="44">
        <v>2000.0</v>
      </c>
      <c r="M1348" s="25"/>
      <c r="N1348" s="26"/>
      <c r="O1348" s="27">
        <f t="shared" si="177"/>
        <v>4</v>
      </c>
      <c r="P1348" s="28">
        <f t="shared" si="178"/>
        <v>0</v>
      </c>
    </row>
    <row r="1349" hidden="1">
      <c r="A1349" s="122" t="s">
        <v>2035</v>
      </c>
      <c r="B1349" s="17">
        <v>241012.0</v>
      </c>
      <c r="C1349" s="18"/>
      <c r="D1349" s="4"/>
      <c r="E1349" s="19">
        <v>0.0</v>
      </c>
      <c r="F1349" s="19">
        <v>0.0</v>
      </c>
      <c r="G1349" s="16" t="s">
        <v>425</v>
      </c>
      <c r="H1349" s="73"/>
      <c r="I1349" s="22">
        <f>55+50</f>
        <v>105</v>
      </c>
      <c r="J1349" s="74"/>
      <c r="K1349" s="75">
        <v>400.0</v>
      </c>
      <c r="L1349" s="44">
        <v>2000.0</v>
      </c>
      <c r="M1349" s="25"/>
      <c r="N1349" s="26"/>
      <c r="O1349" s="27">
        <f t="shared" si="177"/>
        <v>4</v>
      </c>
      <c r="P1349" s="28">
        <f t="shared" si="178"/>
        <v>0</v>
      </c>
    </row>
    <row r="1350" hidden="1">
      <c r="A1350" s="122" t="s">
        <v>2036</v>
      </c>
      <c r="B1350" s="17">
        <v>241004.0</v>
      </c>
      <c r="C1350" s="18"/>
      <c r="D1350" s="4"/>
      <c r="E1350" s="19">
        <v>0.0</v>
      </c>
      <c r="F1350" s="19">
        <v>0.0</v>
      </c>
      <c r="G1350" s="16" t="s">
        <v>425</v>
      </c>
      <c r="H1350" s="73"/>
      <c r="I1350" s="22">
        <v>50.0</v>
      </c>
      <c r="J1350" s="74"/>
      <c r="K1350" s="75">
        <f>62726*1.19/100</f>
        <v>746.4394</v>
      </c>
      <c r="L1350" s="44">
        <v>2000.0</v>
      </c>
      <c r="M1350" s="25"/>
      <c r="N1350" s="26"/>
      <c r="O1350" s="27">
        <f t="shared" si="177"/>
        <v>1.679386967</v>
      </c>
      <c r="P1350" s="28">
        <f t="shared" si="178"/>
        <v>0</v>
      </c>
    </row>
    <row r="1351" hidden="1">
      <c r="A1351" s="122" t="s">
        <v>2037</v>
      </c>
      <c r="B1351" s="17">
        <v>241008.0</v>
      </c>
      <c r="C1351" s="18"/>
      <c r="D1351" s="4"/>
      <c r="E1351" s="19">
        <v>0.0</v>
      </c>
      <c r="F1351" s="19">
        <v>0.0</v>
      </c>
      <c r="G1351" s="16" t="s">
        <v>425</v>
      </c>
      <c r="H1351" s="73"/>
      <c r="I1351" s="22">
        <f>29+16+50</f>
        <v>95</v>
      </c>
      <c r="J1351" s="74"/>
      <c r="K1351" s="75">
        <v>400.0</v>
      </c>
      <c r="L1351" s="44">
        <v>2000.0</v>
      </c>
      <c r="M1351" s="25"/>
      <c r="N1351" s="26"/>
      <c r="O1351" s="27">
        <f t="shared" si="177"/>
        <v>4</v>
      </c>
      <c r="P1351" s="28">
        <f t="shared" si="178"/>
        <v>0</v>
      </c>
    </row>
    <row r="1352" hidden="1">
      <c r="A1352" s="122" t="s">
        <v>2038</v>
      </c>
      <c r="B1352" s="17">
        <v>241016.0</v>
      </c>
      <c r="C1352" s="18"/>
      <c r="D1352" s="4"/>
      <c r="E1352" s="19">
        <v>0.0</v>
      </c>
      <c r="F1352" s="19">
        <v>0.0</v>
      </c>
      <c r="G1352" s="16" t="s">
        <v>425</v>
      </c>
      <c r="H1352" s="21"/>
      <c r="I1352" s="22">
        <f>30+21</f>
        <v>51</v>
      </c>
      <c r="J1352" s="29"/>
      <c r="K1352" s="43">
        <f>627*1.19</f>
        <v>746.13</v>
      </c>
      <c r="L1352" s="44">
        <v>2000.0</v>
      </c>
      <c r="M1352" s="25"/>
      <c r="N1352" s="26"/>
      <c r="O1352" s="27">
        <f t="shared" si="177"/>
        <v>1.680498037</v>
      </c>
      <c r="P1352" s="28">
        <f t="shared" si="178"/>
        <v>0</v>
      </c>
    </row>
    <row r="1353" hidden="1">
      <c r="A1353" s="122" t="s">
        <v>2039</v>
      </c>
      <c r="B1353" s="17">
        <v>241013.0</v>
      </c>
      <c r="C1353" s="18"/>
      <c r="D1353" s="4"/>
      <c r="E1353" s="19">
        <v>0.0</v>
      </c>
      <c r="F1353" s="19">
        <v>0.0</v>
      </c>
      <c r="G1353" s="16" t="s">
        <v>425</v>
      </c>
      <c r="H1353" s="73"/>
      <c r="I1353" s="22">
        <v>0.0</v>
      </c>
      <c r="J1353" s="74"/>
      <c r="K1353" s="75">
        <v>400.0</v>
      </c>
      <c r="L1353" s="44">
        <v>2000.0</v>
      </c>
      <c r="M1353" s="25"/>
      <c r="N1353" s="26"/>
      <c r="O1353" s="27">
        <f t="shared" si="177"/>
        <v>4</v>
      </c>
      <c r="P1353" s="28">
        <f t="shared" si="178"/>
        <v>0</v>
      </c>
    </row>
    <row r="1354" hidden="1">
      <c r="A1354" s="122" t="s">
        <v>2040</v>
      </c>
      <c r="B1354" s="17">
        <v>241009.0</v>
      </c>
      <c r="C1354" s="18"/>
      <c r="D1354" s="4"/>
      <c r="E1354" s="19">
        <v>0.0</v>
      </c>
      <c r="F1354" s="19">
        <v>0.0</v>
      </c>
      <c r="G1354" s="16" t="s">
        <v>425</v>
      </c>
      <c r="H1354" s="73"/>
      <c r="I1354" s="22">
        <v>0.0</v>
      </c>
      <c r="J1354" s="74"/>
      <c r="K1354" s="75">
        <v>400.0</v>
      </c>
      <c r="L1354" s="44">
        <v>2000.0</v>
      </c>
      <c r="M1354" s="25"/>
      <c r="N1354" s="26"/>
      <c r="O1354" s="27">
        <f t="shared" si="177"/>
        <v>4</v>
      </c>
      <c r="P1354" s="28">
        <f t="shared" si="178"/>
        <v>0</v>
      </c>
    </row>
    <row r="1355" hidden="1">
      <c r="A1355" s="122" t="s">
        <v>2041</v>
      </c>
      <c r="B1355" s="17">
        <v>241061.0</v>
      </c>
      <c r="C1355" s="18"/>
      <c r="D1355" s="4"/>
      <c r="E1355" s="19">
        <v>0.0</v>
      </c>
      <c r="F1355" s="19">
        <v>0.0</v>
      </c>
      <c r="G1355" s="16" t="s">
        <v>425</v>
      </c>
      <c r="H1355" s="73"/>
      <c r="I1355" s="22">
        <v>0.0</v>
      </c>
      <c r="J1355" s="74"/>
      <c r="K1355" s="75">
        <v>400.0</v>
      </c>
      <c r="L1355" s="44">
        <v>2000.0</v>
      </c>
      <c r="M1355" s="25"/>
      <c r="N1355" s="26"/>
      <c r="O1355" s="27">
        <f t="shared" si="177"/>
        <v>4</v>
      </c>
      <c r="P1355" s="28">
        <f t="shared" si="178"/>
        <v>0</v>
      </c>
    </row>
    <row r="1356" hidden="1">
      <c r="A1356" s="52" t="s">
        <v>2042</v>
      </c>
      <c r="B1356" s="36">
        <f>12800*1.19</f>
        <v>15232</v>
      </c>
      <c r="C1356" s="18"/>
      <c r="D1356" s="4"/>
      <c r="E1356" s="19">
        <v>0.0</v>
      </c>
      <c r="F1356" s="19">
        <v>0.0</v>
      </c>
      <c r="G1356" s="16" t="s">
        <v>513</v>
      </c>
      <c r="H1356" s="21"/>
      <c r="I1356" s="22">
        <v>4.0</v>
      </c>
      <c r="J1356" s="29"/>
      <c r="K1356" s="43">
        <f>17500*1.19</f>
        <v>20825</v>
      </c>
      <c r="L1356" s="44">
        <v>30000.0</v>
      </c>
      <c r="M1356" s="25"/>
      <c r="N1356" s="50"/>
      <c r="O1356" s="27">
        <f t="shared" si="177"/>
        <v>0.4405762305</v>
      </c>
      <c r="P1356" s="28">
        <f t="shared" si="178"/>
        <v>0</v>
      </c>
    </row>
    <row r="1357" hidden="1">
      <c r="A1357" s="52" t="s">
        <v>2043</v>
      </c>
      <c r="B1357" s="134" t="s">
        <v>1460</v>
      </c>
      <c r="C1357" s="18"/>
      <c r="D1357" s="4"/>
      <c r="E1357" s="19">
        <v>0.0</v>
      </c>
      <c r="F1357" s="19">
        <v>2.0</v>
      </c>
      <c r="G1357" s="16" t="s">
        <v>1108</v>
      </c>
      <c r="H1357" s="21"/>
      <c r="I1357" s="22">
        <v>3.0</v>
      </c>
      <c r="J1357" s="29"/>
      <c r="K1357" s="32">
        <f>128000*1.19</f>
        <v>152320</v>
      </c>
      <c r="L1357" s="24">
        <v>190000.0</v>
      </c>
      <c r="M1357" s="25"/>
      <c r="N1357" s="50"/>
      <c r="O1357" s="27">
        <f t="shared" si="177"/>
        <v>0.2473739496</v>
      </c>
      <c r="P1357" s="28">
        <f t="shared" si="178"/>
        <v>304640</v>
      </c>
    </row>
    <row r="1358" hidden="1">
      <c r="A1358" s="122" t="s">
        <v>2044</v>
      </c>
      <c r="B1358" s="36" t="s">
        <v>2045</v>
      </c>
      <c r="C1358" s="18"/>
      <c r="D1358" s="4"/>
      <c r="E1358" s="19">
        <v>0.0</v>
      </c>
      <c r="F1358" s="19"/>
      <c r="G1358" s="16" t="s">
        <v>2046</v>
      </c>
      <c r="H1358" s="21"/>
      <c r="I1358" s="22"/>
      <c r="J1358" s="23"/>
      <c r="K1358" s="24">
        <v>4165.0</v>
      </c>
      <c r="L1358" s="24">
        <v>7000.0</v>
      </c>
      <c r="M1358" s="25"/>
      <c r="N1358" s="70"/>
      <c r="O1358" s="27">
        <f t="shared" si="177"/>
        <v>0.6806722689</v>
      </c>
      <c r="P1358" s="28">
        <f t="shared" si="178"/>
        <v>0</v>
      </c>
    </row>
    <row r="1359" hidden="1">
      <c r="A1359" s="122" t="s">
        <v>2047</v>
      </c>
      <c r="B1359" s="17">
        <v>241001.0</v>
      </c>
      <c r="C1359" s="18"/>
      <c r="D1359" s="4"/>
      <c r="E1359" s="19">
        <v>0.0</v>
      </c>
      <c r="F1359" s="19">
        <v>0.0</v>
      </c>
      <c r="G1359" s="16" t="s">
        <v>425</v>
      </c>
      <c r="H1359" s="73"/>
      <c r="I1359" s="22">
        <f>15+31+50</f>
        <v>96</v>
      </c>
      <c r="J1359" s="74"/>
      <c r="K1359" s="75">
        <f>62726*1.19/100</f>
        <v>746.4394</v>
      </c>
      <c r="L1359" s="44">
        <v>2000.0</v>
      </c>
      <c r="M1359" s="25"/>
      <c r="N1359" s="26"/>
      <c r="O1359" s="27">
        <f t="shared" si="177"/>
        <v>1.679386967</v>
      </c>
      <c r="P1359" s="28">
        <f t="shared" si="178"/>
        <v>0</v>
      </c>
    </row>
    <row r="1360" hidden="1">
      <c r="A1360" s="122" t="s">
        <v>2048</v>
      </c>
      <c r="B1360" s="17">
        <v>241005.0</v>
      </c>
      <c r="C1360" s="18"/>
      <c r="D1360" s="4"/>
      <c r="E1360" s="19">
        <v>0.0</v>
      </c>
      <c r="F1360" s="19">
        <v>0.0</v>
      </c>
      <c r="G1360" s="16" t="s">
        <v>425</v>
      </c>
      <c r="H1360" s="73"/>
      <c r="I1360" s="22">
        <v>50.0</v>
      </c>
      <c r="J1360" s="74"/>
      <c r="K1360" s="75">
        <v>400.0</v>
      </c>
      <c r="L1360" s="44">
        <v>2000.0</v>
      </c>
      <c r="M1360" s="25"/>
      <c r="N1360" s="26"/>
      <c r="O1360" s="27">
        <f t="shared" si="177"/>
        <v>4</v>
      </c>
      <c r="P1360" s="28">
        <f t="shared" si="178"/>
        <v>0</v>
      </c>
    </row>
    <row r="1361" hidden="1">
      <c r="A1361" s="122" t="s">
        <v>2049</v>
      </c>
      <c r="B1361" s="17">
        <v>241014.0</v>
      </c>
      <c r="C1361" s="18"/>
      <c r="D1361" s="4"/>
      <c r="E1361" s="19">
        <v>0.0</v>
      </c>
      <c r="F1361" s="19">
        <v>0.0</v>
      </c>
      <c r="G1361" s="16" t="s">
        <v>425</v>
      </c>
      <c r="H1361" s="73"/>
      <c r="I1361" s="22">
        <f>15+22</f>
        <v>37</v>
      </c>
      <c r="J1361" s="74"/>
      <c r="K1361" s="75">
        <v>400.0</v>
      </c>
      <c r="L1361" s="44">
        <v>2000.0</v>
      </c>
      <c r="M1361" s="25"/>
      <c r="N1361" s="26"/>
      <c r="O1361" s="27">
        <f t="shared" si="177"/>
        <v>4</v>
      </c>
      <c r="P1361" s="28">
        <f t="shared" si="178"/>
        <v>0</v>
      </c>
    </row>
    <row r="1362" hidden="1">
      <c r="A1362" s="122" t="s">
        <v>2050</v>
      </c>
      <c r="B1362" s="17">
        <v>241010.0</v>
      </c>
      <c r="C1362" s="18"/>
      <c r="D1362" s="4"/>
      <c r="E1362" s="19">
        <v>0.0</v>
      </c>
      <c r="F1362" s="19">
        <v>0.0</v>
      </c>
      <c r="G1362" s="16" t="s">
        <v>425</v>
      </c>
      <c r="H1362" s="73"/>
      <c r="I1362" s="22">
        <v>50.0</v>
      </c>
      <c r="J1362" s="74"/>
      <c r="K1362" s="75">
        <f>62726*1.19/100</f>
        <v>746.4394</v>
      </c>
      <c r="L1362" s="44">
        <v>2000.0</v>
      </c>
      <c r="M1362" s="25"/>
      <c r="N1362" s="26"/>
      <c r="O1362" s="27">
        <f t="shared" si="177"/>
        <v>1.679386967</v>
      </c>
      <c r="P1362" s="28">
        <f t="shared" si="178"/>
        <v>0</v>
      </c>
    </row>
    <row r="1363" hidden="1">
      <c r="A1363" s="122" t="s">
        <v>2051</v>
      </c>
      <c r="B1363" s="17">
        <v>241002.0</v>
      </c>
      <c r="C1363" s="18"/>
      <c r="D1363" s="4"/>
      <c r="E1363" s="19">
        <v>0.0</v>
      </c>
      <c r="F1363" s="19">
        <v>0.0</v>
      </c>
      <c r="G1363" s="16" t="s">
        <v>425</v>
      </c>
      <c r="H1363" s="73"/>
      <c r="I1363" s="22">
        <v>20.0</v>
      </c>
      <c r="J1363" s="74"/>
      <c r="K1363" s="75">
        <v>400.0</v>
      </c>
      <c r="L1363" s="44">
        <v>2000.0</v>
      </c>
      <c r="M1363" s="25"/>
      <c r="N1363" s="26"/>
      <c r="O1363" s="27">
        <f t="shared" si="177"/>
        <v>4</v>
      </c>
      <c r="P1363" s="28">
        <f t="shared" si="178"/>
        <v>0</v>
      </c>
    </row>
    <row r="1364" hidden="1">
      <c r="A1364" s="122" t="s">
        <v>2052</v>
      </c>
      <c r="B1364" s="17">
        <v>241006.0</v>
      </c>
      <c r="C1364" s="18"/>
      <c r="D1364" s="4"/>
      <c r="E1364" s="19">
        <v>0.0</v>
      </c>
      <c r="F1364" s="19">
        <v>0.0</v>
      </c>
      <c r="G1364" s="16" t="s">
        <v>425</v>
      </c>
      <c r="H1364" s="73"/>
      <c r="I1364" s="22">
        <v>9.0</v>
      </c>
      <c r="J1364" s="74"/>
      <c r="K1364" s="75">
        <v>400.0</v>
      </c>
      <c r="L1364" s="44">
        <v>2000.0</v>
      </c>
      <c r="M1364" s="25"/>
      <c r="N1364" s="26"/>
      <c r="O1364" s="27">
        <f t="shared" si="177"/>
        <v>4</v>
      </c>
      <c r="P1364" s="28">
        <f t="shared" si="178"/>
        <v>0</v>
      </c>
    </row>
    <row r="1365" hidden="1">
      <c r="A1365" s="122" t="s">
        <v>2053</v>
      </c>
      <c r="B1365" s="17">
        <v>241015.0</v>
      </c>
      <c r="C1365" s="18"/>
      <c r="D1365" s="4"/>
      <c r="E1365" s="19">
        <v>0.0</v>
      </c>
      <c r="F1365" s="19">
        <v>0.0</v>
      </c>
      <c r="G1365" s="16" t="s">
        <v>425</v>
      </c>
      <c r="H1365" s="73"/>
      <c r="I1365" s="22">
        <v>8.0</v>
      </c>
      <c r="J1365" s="74"/>
      <c r="K1365" s="75"/>
      <c r="L1365" s="44">
        <v>2000.0</v>
      </c>
      <c r="M1365" s="25"/>
      <c r="N1365" s="26"/>
      <c r="O1365" s="27" t="str">
        <f t="shared" si="177"/>
        <v>#DIV/0!</v>
      </c>
      <c r="P1365" s="28">
        <f t="shared" si="178"/>
        <v>0</v>
      </c>
    </row>
    <row r="1366" hidden="1">
      <c r="A1366" s="122" t="s">
        <v>2054</v>
      </c>
      <c r="B1366" s="17">
        <v>241011.0</v>
      </c>
      <c r="C1366" s="18"/>
      <c r="D1366" s="4"/>
      <c r="E1366" s="19">
        <v>0.0</v>
      </c>
      <c r="F1366" s="19">
        <v>0.0</v>
      </c>
      <c r="G1366" s="16" t="s">
        <v>425</v>
      </c>
      <c r="H1366" s="73"/>
      <c r="I1366" s="22">
        <v>14.0</v>
      </c>
      <c r="J1366" s="74"/>
      <c r="K1366" s="75">
        <v>400.0</v>
      </c>
      <c r="L1366" s="44">
        <v>2000.0</v>
      </c>
      <c r="M1366" s="25"/>
      <c r="N1366" s="26"/>
      <c r="O1366" s="27">
        <f t="shared" si="177"/>
        <v>4</v>
      </c>
      <c r="P1366" s="28">
        <f t="shared" si="178"/>
        <v>0</v>
      </c>
    </row>
    <row r="1367" hidden="1">
      <c r="A1367" s="52" t="s">
        <v>2055</v>
      </c>
      <c r="B1367" s="17"/>
      <c r="C1367" s="18"/>
      <c r="D1367" s="4"/>
      <c r="E1367" s="19">
        <v>0.0</v>
      </c>
      <c r="F1367" s="19"/>
      <c r="G1367" s="16" t="s">
        <v>2056</v>
      </c>
      <c r="H1367" s="21"/>
      <c r="I1367" s="22"/>
      <c r="J1367" s="29"/>
      <c r="K1367" s="43">
        <v>2080.0</v>
      </c>
      <c r="L1367" s="44">
        <v>4000.0</v>
      </c>
      <c r="M1367" s="25"/>
      <c r="N1367" s="26"/>
      <c r="O1367" s="27">
        <f t="shared" si="177"/>
        <v>0.9230769231</v>
      </c>
      <c r="P1367" s="28">
        <f t="shared" si="178"/>
        <v>0</v>
      </c>
    </row>
    <row r="1368" hidden="1">
      <c r="A1368" s="52" t="s">
        <v>2057</v>
      </c>
      <c r="B1368" s="17"/>
      <c r="C1368" s="18"/>
      <c r="D1368" s="4"/>
      <c r="E1368" s="19">
        <v>0.0</v>
      </c>
      <c r="F1368" s="19"/>
      <c r="G1368" s="16" t="s">
        <v>2056</v>
      </c>
      <c r="H1368" s="21"/>
      <c r="I1368" s="22"/>
      <c r="J1368" s="29"/>
      <c r="K1368" s="43">
        <v>2080.0</v>
      </c>
      <c r="L1368" s="44">
        <v>4000.0</v>
      </c>
      <c r="M1368" s="25"/>
      <c r="N1368" s="26"/>
      <c r="O1368" s="27">
        <f t="shared" si="177"/>
        <v>0.9230769231</v>
      </c>
      <c r="P1368" s="28">
        <f t="shared" si="178"/>
        <v>0</v>
      </c>
    </row>
    <row r="1369" hidden="1">
      <c r="A1369" s="52" t="s">
        <v>2058</v>
      </c>
      <c r="B1369" s="36"/>
      <c r="C1369" s="18"/>
      <c r="D1369" s="4"/>
      <c r="E1369" s="19">
        <v>0.0</v>
      </c>
      <c r="F1369" s="19"/>
      <c r="G1369" s="16" t="s">
        <v>2056</v>
      </c>
      <c r="H1369" s="21"/>
      <c r="I1369" s="22"/>
      <c r="J1369" s="29"/>
      <c r="K1369" s="43">
        <v>2479.0</v>
      </c>
      <c r="L1369" s="44">
        <v>4000.0</v>
      </c>
      <c r="M1369" s="25"/>
      <c r="N1369" s="26"/>
      <c r="O1369" s="27">
        <f t="shared" si="177"/>
        <v>0.6135538524</v>
      </c>
      <c r="P1369" s="28">
        <f t="shared" si="178"/>
        <v>0</v>
      </c>
    </row>
    <row r="1370" hidden="1">
      <c r="A1370" s="52" t="s">
        <v>2059</v>
      </c>
      <c r="B1370" s="134"/>
      <c r="C1370" s="18"/>
      <c r="D1370" s="4"/>
      <c r="E1370" s="19">
        <v>0.0</v>
      </c>
      <c r="F1370" s="19"/>
      <c r="G1370" s="16" t="s">
        <v>2056</v>
      </c>
      <c r="H1370" s="21"/>
      <c r="I1370" s="22"/>
      <c r="J1370" s="29"/>
      <c r="K1370" s="43">
        <f t="shared" ref="K1370:K1371" si="179">25000*1.19/12</f>
        <v>2479.166667</v>
      </c>
      <c r="L1370" s="44">
        <v>4000.0</v>
      </c>
      <c r="M1370" s="25"/>
      <c r="N1370" s="26"/>
      <c r="O1370" s="27">
        <f t="shared" si="177"/>
        <v>0.6134453782</v>
      </c>
      <c r="P1370" s="28">
        <f t="shared" si="178"/>
        <v>0</v>
      </c>
    </row>
    <row r="1371" hidden="1">
      <c r="A1371" s="52" t="s">
        <v>2060</v>
      </c>
      <c r="B1371" s="36"/>
      <c r="C1371" s="18"/>
      <c r="D1371" s="4"/>
      <c r="E1371" s="19">
        <v>0.0</v>
      </c>
      <c r="F1371" s="19"/>
      <c r="G1371" s="16" t="s">
        <v>2056</v>
      </c>
      <c r="H1371" s="21"/>
      <c r="I1371" s="22"/>
      <c r="J1371" s="29"/>
      <c r="K1371" s="43">
        <f t="shared" si="179"/>
        <v>2479.166667</v>
      </c>
      <c r="L1371" s="44">
        <v>4000.0</v>
      </c>
      <c r="M1371" s="25"/>
      <c r="N1371" s="26"/>
      <c r="O1371" s="27">
        <f t="shared" si="177"/>
        <v>0.6134453782</v>
      </c>
      <c r="P1371" s="28">
        <f t="shared" si="178"/>
        <v>0</v>
      </c>
    </row>
    <row r="1372" hidden="1">
      <c r="A1372" s="52" t="s">
        <v>2061</v>
      </c>
      <c r="B1372" s="17"/>
      <c r="C1372" s="18"/>
      <c r="D1372" s="4"/>
      <c r="E1372" s="19">
        <v>0.0</v>
      </c>
      <c r="F1372" s="19"/>
      <c r="G1372" s="16" t="s">
        <v>2056</v>
      </c>
      <c r="H1372" s="21"/>
      <c r="I1372" s="22"/>
      <c r="J1372" s="29"/>
      <c r="K1372" s="43">
        <v>2080.0</v>
      </c>
      <c r="L1372" s="44">
        <v>4000.0</v>
      </c>
      <c r="M1372" s="25"/>
      <c r="N1372" s="69"/>
      <c r="O1372" s="27">
        <f t="shared" si="177"/>
        <v>0.9230769231</v>
      </c>
      <c r="P1372" s="28">
        <f t="shared" si="178"/>
        <v>0</v>
      </c>
    </row>
    <row r="1373" hidden="1">
      <c r="A1373" s="52" t="s">
        <v>2062</v>
      </c>
      <c r="B1373" s="17"/>
      <c r="C1373" s="18"/>
      <c r="D1373" s="4"/>
      <c r="E1373" s="19">
        <v>0.0</v>
      </c>
      <c r="F1373" s="19"/>
      <c r="G1373" s="16" t="s">
        <v>2056</v>
      </c>
      <c r="H1373" s="21"/>
      <c r="I1373" s="22"/>
      <c r="J1373" s="29"/>
      <c r="K1373" s="43">
        <v>2080.0</v>
      </c>
      <c r="L1373" s="44">
        <v>4000.0</v>
      </c>
      <c r="M1373" s="25"/>
      <c r="N1373" s="26"/>
      <c r="O1373" s="27">
        <f t="shared" si="177"/>
        <v>0.9230769231</v>
      </c>
      <c r="P1373" s="28">
        <f t="shared" si="178"/>
        <v>0</v>
      </c>
    </row>
    <row r="1374" hidden="1">
      <c r="A1374" s="16" t="s">
        <v>2063</v>
      </c>
      <c r="B1374" s="17" t="s">
        <v>44</v>
      </c>
      <c r="C1374" s="18"/>
      <c r="D1374" s="4"/>
      <c r="E1374" s="19">
        <v>0.0</v>
      </c>
      <c r="F1374" s="19">
        <v>1.0</v>
      </c>
      <c r="G1374" s="16" t="s">
        <v>45</v>
      </c>
      <c r="H1374" s="21"/>
      <c r="I1374" s="22">
        <v>2.0</v>
      </c>
      <c r="J1374" s="45"/>
      <c r="K1374" s="46">
        <v>2488400.0</v>
      </c>
      <c r="L1374" s="46">
        <v>2900000.0</v>
      </c>
      <c r="M1374" s="25"/>
      <c r="N1374" s="69"/>
      <c r="O1374" s="27">
        <f t="shared" si="177"/>
        <v>0.1654074908</v>
      </c>
      <c r="P1374" s="28">
        <f t="shared" si="178"/>
        <v>2488400</v>
      </c>
    </row>
    <row r="1375" hidden="1">
      <c r="A1375" s="16" t="s">
        <v>2064</v>
      </c>
      <c r="B1375" s="17" t="s">
        <v>44</v>
      </c>
      <c r="C1375" s="18"/>
      <c r="D1375" s="4"/>
      <c r="E1375" s="19">
        <v>0.0</v>
      </c>
      <c r="F1375" s="19">
        <v>0.0</v>
      </c>
      <c r="G1375" s="16" t="s">
        <v>1569</v>
      </c>
      <c r="H1375" s="21"/>
      <c r="I1375" s="22">
        <v>2.0</v>
      </c>
      <c r="J1375" s="45"/>
      <c r="K1375" s="46">
        <v>1079000.0</v>
      </c>
      <c r="L1375" s="46">
        <v>1260000.0</v>
      </c>
      <c r="M1375" s="25"/>
      <c r="N1375" s="69"/>
      <c r="O1375" s="27">
        <f t="shared" si="177"/>
        <v>0.1677479147</v>
      </c>
      <c r="P1375" s="28">
        <f t="shared" si="178"/>
        <v>0</v>
      </c>
    </row>
    <row r="1376" hidden="1">
      <c r="A1376" s="156" t="s">
        <v>2065</v>
      </c>
      <c r="B1376" s="71"/>
      <c r="C1376" s="18"/>
      <c r="D1376" s="4"/>
      <c r="E1376" s="19">
        <v>0.0</v>
      </c>
      <c r="F1376" s="19"/>
      <c r="G1376" s="16" t="s">
        <v>291</v>
      </c>
      <c r="H1376" s="21"/>
      <c r="I1376" s="22"/>
      <c r="J1376" s="29"/>
      <c r="K1376" s="43">
        <f>13026*1.19/20</f>
        <v>775.047</v>
      </c>
      <c r="L1376" s="44">
        <v>1000.0</v>
      </c>
      <c r="M1376" s="25"/>
      <c r="N1376" s="50"/>
      <c r="O1376" s="27">
        <f t="shared" si="177"/>
        <v>0.2902443336</v>
      </c>
      <c r="P1376" s="28">
        <f t="shared" si="178"/>
        <v>0</v>
      </c>
    </row>
    <row r="1377" hidden="1">
      <c r="A1377" s="122" t="s">
        <v>2066</v>
      </c>
      <c r="B1377" s="17"/>
      <c r="C1377" s="18" t="s">
        <v>1157</v>
      </c>
      <c r="D1377" s="4"/>
      <c r="E1377" s="19">
        <v>0.0</v>
      </c>
      <c r="F1377" s="19">
        <v>0.0</v>
      </c>
      <c r="G1377" s="16" t="s">
        <v>580</v>
      </c>
      <c r="H1377" s="21"/>
      <c r="I1377" s="22"/>
      <c r="J1377" s="23"/>
      <c r="K1377" s="44">
        <f t="shared" ref="K1377:K1379" si="180">8962*1.19</f>
        <v>10664.78</v>
      </c>
      <c r="L1377" s="44">
        <v>35000.0</v>
      </c>
      <c r="M1377" s="25"/>
      <c r="N1377" s="251">
        <v>14000.0</v>
      </c>
      <c r="O1377" s="27">
        <f t="shared" si="177"/>
        <v>2.281830474</v>
      </c>
      <c r="P1377" s="28">
        <f t="shared" si="178"/>
        <v>0</v>
      </c>
    </row>
    <row r="1378" hidden="1">
      <c r="A1378" s="122" t="s">
        <v>2067</v>
      </c>
      <c r="B1378" s="17">
        <v>241035.0</v>
      </c>
      <c r="C1378" s="18" t="s">
        <v>1157</v>
      </c>
      <c r="D1378" s="4"/>
      <c r="E1378" s="19">
        <v>0.0</v>
      </c>
      <c r="F1378" s="19">
        <v>0.0</v>
      </c>
      <c r="G1378" s="16" t="s">
        <v>425</v>
      </c>
      <c r="H1378" s="21"/>
      <c r="I1378" s="22"/>
      <c r="J1378" s="23"/>
      <c r="K1378" s="44">
        <f t="shared" si="180"/>
        <v>10664.78</v>
      </c>
      <c r="L1378" s="44">
        <v>20000.0</v>
      </c>
      <c r="M1378" s="25"/>
      <c r="N1378" s="251">
        <v>14000.0</v>
      </c>
      <c r="O1378" s="27">
        <f t="shared" si="177"/>
        <v>0.8753316993</v>
      </c>
      <c r="P1378" s="28">
        <f t="shared" si="178"/>
        <v>0</v>
      </c>
    </row>
    <row r="1379" hidden="1">
      <c r="A1379" s="122" t="s">
        <v>2068</v>
      </c>
      <c r="B1379" s="17">
        <v>241034.0</v>
      </c>
      <c r="C1379" s="18" t="s">
        <v>1157</v>
      </c>
      <c r="D1379" s="4"/>
      <c r="E1379" s="19">
        <v>0.0</v>
      </c>
      <c r="F1379" s="19">
        <v>0.0</v>
      </c>
      <c r="G1379" s="16" t="s">
        <v>425</v>
      </c>
      <c r="H1379" s="21"/>
      <c r="I1379" s="22">
        <v>85.0</v>
      </c>
      <c r="J1379" s="23"/>
      <c r="K1379" s="44">
        <f t="shared" si="180"/>
        <v>10664.78</v>
      </c>
      <c r="L1379" s="44">
        <v>20000.0</v>
      </c>
      <c r="M1379" s="25"/>
      <c r="N1379" s="251">
        <v>14000.0</v>
      </c>
      <c r="O1379" s="27">
        <f t="shared" si="177"/>
        <v>0.8753316993</v>
      </c>
      <c r="P1379" s="28">
        <f t="shared" si="178"/>
        <v>0</v>
      </c>
    </row>
    <row r="1380" hidden="1">
      <c r="A1380" s="122" t="s">
        <v>2069</v>
      </c>
      <c r="B1380" s="17">
        <v>241032.0</v>
      </c>
      <c r="C1380" s="18" t="s">
        <v>1157</v>
      </c>
      <c r="D1380" s="4"/>
      <c r="E1380" s="19">
        <v>0.0</v>
      </c>
      <c r="F1380" s="19">
        <v>0.0</v>
      </c>
      <c r="G1380" s="16" t="s">
        <v>2070</v>
      </c>
      <c r="H1380" s="21"/>
      <c r="I1380" s="22" t="s">
        <v>99</v>
      </c>
      <c r="J1380" s="23"/>
      <c r="K1380" s="44">
        <v>8532.0</v>
      </c>
      <c r="L1380" s="44">
        <v>20000.0</v>
      </c>
      <c r="M1380" s="25"/>
      <c r="N1380" s="251">
        <v>14000.0</v>
      </c>
      <c r="O1380" s="27">
        <f t="shared" si="177"/>
        <v>1.344116268</v>
      </c>
      <c r="P1380" s="28">
        <f t="shared" si="178"/>
        <v>0</v>
      </c>
    </row>
    <row r="1381" hidden="1">
      <c r="A1381" s="122" t="s">
        <v>2071</v>
      </c>
      <c r="B1381" s="17"/>
      <c r="C1381" s="18" t="s">
        <v>1157</v>
      </c>
      <c r="D1381" s="4"/>
      <c r="E1381" s="19">
        <v>0.0</v>
      </c>
      <c r="F1381" s="19">
        <v>0.0</v>
      </c>
      <c r="G1381" s="16" t="s">
        <v>425</v>
      </c>
      <c r="H1381" s="21"/>
      <c r="I1381" s="22" t="s">
        <v>99</v>
      </c>
      <c r="J1381" s="23"/>
      <c r="K1381" s="44">
        <f t="shared" ref="K1381:K1383" si="181">8962*1.19</f>
        <v>10664.78</v>
      </c>
      <c r="L1381" s="44">
        <v>20000.0</v>
      </c>
      <c r="M1381" s="25"/>
      <c r="N1381" s="251">
        <v>14000.0</v>
      </c>
      <c r="O1381" s="27">
        <f t="shared" si="177"/>
        <v>0.8753316993</v>
      </c>
      <c r="P1381" s="28">
        <f t="shared" si="178"/>
        <v>0</v>
      </c>
    </row>
    <row r="1382" hidden="1">
      <c r="A1382" s="122" t="s">
        <v>2072</v>
      </c>
      <c r="B1382" s="17">
        <v>241033.0</v>
      </c>
      <c r="C1382" s="18" t="s">
        <v>1157</v>
      </c>
      <c r="D1382" s="4"/>
      <c r="E1382" s="19">
        <v>0.0</v>
      </c>
      <c r="F1382" s="19">
        <v>0.0</v>
      </c>
      <c r="G1382" s="16" t="s">
        <v>425</v>
      </c>
      <c r="H1382" s="21"/>
      <c r="I1382" s="22" t="s">
        <v>99</v>
      </c>
      <c r="J1382" s="23"/>
      <c r="K1382" s="44">
        <f t="shared" si="181"/>
        <v>10664.78</v>
      </c>
      <c r="L1382" s="44">
        <v>20000.0</v>
      </c>
      <c r="M1382" s="25"/>
      <c r="N1382" s="251">
        <v>14000.0</v>
      </c>
      <c r="O1382" s="27">
        <f t="shared" si="177"/>
        <v>0.8753316993</v>
      </c>
      <c r="P1382" s="28">
        <f t="shared" si="178"/>
        <v>0</v>
      </c>
    </row>
    <row r="1383" hidden="1">
      <c r="A1383" s="122" t="s">
        <v>2073</v>
      </c>
      <c r="B1383" s="17">
        <v>241037.0</v>
      </c>
      <c r="C1383" s="18" t="s">
        <v>1157</v>
      </c>
      <c r="D1383" s="4"/>
      <c r="E1383" s="19">
        <v>0.0</v>
      </c>
      <c r="F1383" s="19">
        <v>0.0</v>
      </c>
      <c r="G1383" s="16" t="s">
        <v>425</v>
      </c>
      <c r="H1383" s="21"/>
      <c r="I1383" s="22" t="s">
        <v>99</v>
      </c>
      <c r="J1383" s="23"/>
      <c r="K1383" s="44">
        <f t="shared" si="181"/>
        <v>10664.78</v>
      </c>
      <c r="L1383" s="44">
        <v>20000.0</v>
      </c>
      <c r="M1383" s="25"/>
      <c r="N1383" s="251">
        <v>14000.0</v>
      </c>
      <c r="O1383" s="27">
        <f t="shared" si="177"/>
        <v>0.8753316993</v>
      </c>
      <c r="P1383" s="28">
        <f t="shared" si="178"/>
        <v>0</v>
      </c>
    </row>
    <row r="1384" hidden="1">
      <c r="A1384" s="122" t="s">
        <v>2074</v>
      </c>
      <c r="B1384" s="17">
        <v>241036.0</v>
      </c>
      <c r="C1384" s="18" t="s">
        <v>1157</v>
      </c>
      <c r="D1384" s="4"/>
      <c r="E1384" s="19">
        <v>0.0</v>
      </c>
      <c r="F1384" s="19">
        <v>0.0</v>
      </c>
      <c r="G1384" s="16" t="s">
        <v>425</v>
      </c>
      <c r="H1384" s="21"/>
      <c r="I1384" s="22" t="s">
        <v>99</v>
      </c>
      <c r="J1384" s="23"/>
      <c r="K1384" s="44">
        <v>8532.0</v>
      </c>
      <c r="L1384" s="44">
        <v>20000.0</v>
      </c>
      <c r="M1384" s="25"/>
      <c r="N1384" s="251">
        <v>14000.0</v>
      </c>
      <c r="O1384" s="27">
        <f t="shared" si="177"/>
        <v>1.344116268</v>
      </c>
      <c r="P1384" s="28">
        <f t="shared" si="178"/>
        <v>0</v>
      </c>
    </row>
    <row r="1385" hidden="1">
      <c r="A1385" s="122" t="s">
        <v>2075</v>
      </c>
      <c r="B1385" s="17">
        <v>241030.0</v>
      </c>
      <c r="C1385" s="18" t="s">
        <v>1157</v>
      </c>
      <c r="D1385" s="4"/>
      <c r="E1385" s="19">
        <v>0.0</v>
      </c>
      <c r="F1385" s="19">
        <v>0.0</v>
      </c>
      <c r="G1385" s="16" t="s">
        <v>2070</v>
      </c>
      <c r="H1385" s="21"/>
      <c r="I1385" s="22" t="s">
        <v>99</v>
      </c>
      <c r="J1385" s="23"/>
      <c r="K1385" s="44">
        <v>8532.0</v>
      </c>
      <c r="L1385" s="44">
        <v>20000.0</v>
      </c>
      <c r="M1385" s="25"/>
      <c r="N1385" s="251">
        <v>14000.0</v>
      </c>
      <c r="O1385" s="27">
        <f t="shared" si="177"/>
        <v>1.344116268</v>
      </c>
      <c r="P1385" s="28">
        <f t="shared" si="178"/>
        <v>0</v>
      </c>
    </row>
    <row r="1386" hidden="1">
      <c r="A1386" s="122" t="s">
        <v>2076</v>
      </c>
      <c r="B1386" s="17">
        <v>241029.0</v>
      </c>
      <c r="C1386" s="18" t="s">
        <v>1157</v>
      </c>
      <c r="D1386" s="4"/>
      <c r="E1386" s="19">
        <v>0.0</v>
      </c>
      <c r="F1386" s="19">
        <v>0.0</v>
      </c>
      <c r="G1386" s="16" t="s">
        <v>2070</v>
      </c>
      <c r="H1386" s="21"/>
      <c r="I1386" s="22" t="s">
        <v>99</v>
      </c>
      <c r="J1386" s="23"/>
      <c r="K1386" s="44">
        <v>8532.0</v>
      </c>
      <c r="L1386" s="44">
        <v>20000.0</v>
      </c>
      <c r="M1386" s="25"/>
      <c r="N1386" s="251">
        <v>14000.0</v>
      </c>
      <c r="O1386" s="27">
        <f t="shared" si="177"/>
        <v>1.344116268</v>
      </c>
      <c r="P1386" s="28">
        <f t="shared" si="178"/>
        <v>0</v>
      </c>
    </row>
    <row r="1387" hidden="1">
      <c r="A1387" s="122" t="s">
        <v>2077</v>
      </c>
      <c r="B1387" s="17">
        <v>241028.0</v>
      </c>
      <c r="C1387" s="18" t="s">
        <v>1157</v>
      </c>
      <c r="D1387" s="4"/>
      <c r="E1387" s="19">
        <v>0.0</v>
      </c>
      <c r="F1387" s="19">
        <v>0.0</v>
      </c>
      <c r="G1387" s="16" t="s">
        <v>2070</v>
      </c>
      <c r="H1387" s="21"/>
      <c r="I1387" s="22" t="s">
        <v>99</v>
      </c>
      <c r="J1387" s="23"/>
      <c r="K1387" s="44">
        <v>8532.0</v>
      </c>
      <c r="L1387" s="44">
        <v>20000.0</v>
      </c>
      <c r="M1387" s="25"/>
      <c r="N1387" s="251">
        <v>14000.0</v>
      </c>
      <c r="O1387" s="27">
        <f t="shared" si="177"/>
        <v>1.344116268</v>
      </c>
      <c r="P1387" s="28">
        <f t="shared" si="178"/>
        <v>0</v>
      </c>
    </row>
    <row r="1388" hidden="1">
      <c r="A1388" s="122" t="s">
        <v>2078</v>
      </c>
      <c r="B1388" s="17">
        <v>241031.0</v>
      </c>
      <c r="C1388" s="18" t="s">
        <v>1157</v>
      </c>
      <c r="D1388" s="4"/>
      <c r="E1388" s="19">
        <v>0.0</v>
      </c>
      <c r="F1388" s="19">
        <v>0.0</v>
      </c>
      <c r="G1388" s="16" t="s">
        <v>2079</v>
      </c>
      <c r="H1388" s="21"/>
      <c r="I1388" s="22"/>
      <c r="J1388" s="23"/>
      <c r="K1388" s="44">
        <f>8962*1.19</f>
        <v>10664.78</v>
      </c>
      <c r="L1388" s="44">
        <v>20000.0</v>
      </c>
      <c r="M1388" s="25"/>
      <c r="N1388" s="251">
        <v>14000.0</v>
      </c>
      <c r="O1388" s="27">
        <f t="shared" si="177"/>
        <v>0.8753316993</v>
      </c>
      <c r="P1388" s="28">
        <f t="shared" si="178"/>
        <v>0</v>
      </c>
    </row>
    <row r="1389" hidden="1">
      <c r="A1389" s="122" t="s">
        <v>2080</v>
      </c>
      <c r="B1389" s="17"/>
      <c r="C1389" s="18"/>
      <c r="D1389" s="4"/>
      <c r="E1389" s="19"/>
      <c r="F1389" s="19"/>
      <c r="G1389" s="16" t="s">
        <v>1630</v>
      </c>
      <c r="H1389" s="21"/>
      <c r="I1389" s="22"/>
      <c r="J1389" s="23"/>
      <c r="K1389" s="55">
        <v>16958.0</v>
      </c>
      <c r="L1389" s="55">
        <v>75000.0</v>
      </c>
      <c r="M1389" s="25"/>
      <c r="N1389" s="251"/>
      <c r="O1389" s="27"/>
      <c r="P1389" s="28"/>
    </row>
    <row r="1390" hidden="1">
      <c r="A1390" s="122" t="s">
        <v>2081</v>
      </c>
      <c r="B1390" s="17"/>
      <c r="C1390" s="18" t="s">
        <v>1157</v>
      </c>
      <c r="D1390" s="4"/>
      <c r="E1390" s="19">
        <v>0.0</v>
      </c>
      <c r="F1390" s="19">
        <v>0.0</v>
      </c>
      <c r="G1390" s="16" t="s">
        <v>1630</v>
      </c>
      <c r="H1390" s="21"/>
      <c r="I1390" s="22" t="s">
        <v>99</v>
      </c>
      <c r="J1390" s="23"/>
      <c r="K1390" s="24">
        <f t="shared" ref="K1390:K1400" si="182">41961*1.19</f>
        <v>49933.59</v>
      </c>
      <c r="L1390" s="24">
        <v>70000.0</v>
      </c>
      <c r="M1390" s="25"/>
      <c r="N1390" s="251"/>
      <c r="O1390" s="27">
        <f t="shared" ref="O1390:O1421" si="183">(L1390/K1390)-1</f>
        <v>0.401861953</v>
      </c>
      <c r="P1390" s="28">
        <f t="shared" ref="P1390:P1421" si="184">K1390*F1390</f>
        <v>0</v>
      </c>
    </row>
    <row r="1391" hidden="1">
      <c r="A1391" s="122" t="s">
        <v>2082</v>
      </c>
      <c r="B1391" s="17">
        <v>244015.0</v>
      </c>
      <c r="C1391" s="18"/>
      <c r="D1391" s="66"/>
      <c r="E1391" s="19">
        <v>0.0</v>
      </c>
      <c r="F1391" s="19">
        <v>0.0</v>
      </c>
      <c r="G1391" s="16" t="s">
        <v>2083</v>
      </c>
      <c r="H1391" s="21"/>
      <c r="I1391" s="22">
        <v>4.0</v>
      </c>
      <c r="J1391" s="23"/>
      <c r="K1391" s="24">
        <f t="shared" si="182"/>
        <v>49933.59</v>
      </c>
      <c r="L1391" s="24">
        <v>70000.0</v>
      </c>
      <c r="M1391" s="25"/>
      <c r="N1391" s="26"/>
      <c r="O1391" s="27">
        <f t="shared" si="183"/>
        <v>0.401861953</v>
      </c>
      <c r="P1391" s="28">
        <f t="shared" si="184"/>
        <v>0</v>
      </c>
    </row>
    <row r="1392" hidden="1">
      <c r="A1392" s="122" t="s">
        <v>2084</v>
      </c>
      <c r="B1392" s="17">
        <v>244004.0</v>
      </c>
      <c r="C1392" s="18"/>
      <c r="D1392" s="66"/>
      <c r="E1392" s="19">
        <v>0.0</v>
      </c>
      <c r="F1392" s="19">
        <v>0.0</v>
      </c>
      <c r="G1392" s="16" t="s">
        <v>2083</v>
      </c>
      <c r="H1392" s="21"/>
      <c r="I1392" s="22"/>
      <c r="J1392" s="23"/>
      <c r="K1392" s="24">
        <f t="shared" si="182"/>
        <v>49933.59</v>
      </c>
      <c r="L1392" s="24">
        <v>70000.0</v>
      </c>
      <c r="M1392" s="25"/>
      <c r="N1392" s="26"/>
      <c r="O1392" s="27">
        <f t="shared" si="183"/>
        <v>0.401861953</v>
      </c>
      <c r="P1392" s="28">
        <f t="shared" si="184"/>
        <v>0</v>
      </c>
    </row>
    <row r="1393" hidden="1">
      <c r="A1393" s="16" t="s">
        <v>2085</v>
      </c>
      <c r="B1393" s="17">
        <v>244010.0</v>
      </c>
      <c r="C1393" s="18"/>
      <c r="D1393" s="66"/>
      <c r="E1393" s="19">
        <v>0.0</v>
      </c>
      <c r="F1393" s="19">
        <v>0.0</v>
      </c>
      <c r="G1393" s="16" t="s">
        <v>2083</v>
      </c>
      <c r="H1393" s="21"/>
      <c r="I1393" s="22">
        <v>15.0</v>
      </c>
      <c r="J1393" s="23"/>
      <c r="K1393" s="24">
        <f t="shared" si="182"/>
        <v>49933.59</v>
      </c>
      <c r="L1393" s="24">
        <v>70000.0</v>
      </c>
      <c r="M1393" s="25"/>
      <c r="N1393" s="70"/>
      <c r="O1393" s="27">
        <f t="shared" si="183"/>
        <v>0.401861953</v>
      </c>
      <c r="P1393" s="28">
        <f t="shared" si="184"/>
        <v>0</v>
      </c>
    </row>
    <row r="1394" hidden="1">
      <c r="A1394" s="122" t="s">
        <v>2086</v>
      </c>
      <c r="B1394" s="17">
        <v>244005.0</v>
      </c>
      <c r="C1394" s="18"/>
      <c r="D1394" s="66"/>
      <c r="E1394" s="19">
        <v>0.0</v>
      </c>
      <c r="F1394" s="19">
        <v>0.0</v>
      </c>
      <c r="G1394" s="16" t="s">
        <v>2083</v>
      </c>
      <c r="H1394" s="21"/>
      <c r="I1394" s="22">
        <v>16.0</v>
      </c>
      <c r="J1394" s="23"/>
      <c r="K1394" s="24">
        <f t="shared" si="182"/>
        <v>49933.59</v>
      </c>
      <c r="L1394" s="24">
        <v>70000.0</v>
      </c>
      <c r="M1394" s="25"/>
      <c r="N1394" s="70"/>
      <c r="O1394" s="27">
        <f t="shared" si="183"/>
        <v>0.401861953</v>
      </c>
      <c r="P1394" s="28">
        <f t="shared" si="184"/>
        <v>0</v>
      </c>
    </row>
    <row r="1395" hidden="1">
      <c r="A1395" s="122" t="s">
        <v>2087</v>
      </c>
      <c r="B1395" s="17">
        <v>244008.0</v>
      </c>
      <c r="C1395" s="18" t="s">
        <v>687</v>
      </c>
      <c r="D1395" s="66"/>
      <c r="E1395" s="19">
        <v>0.0</v>
      </c>
      <c r="F1395" s="19">
        <v>0.0</v>
      </c>
      <c r="G1395" s="16" t="s">
        <v>2083</v>
      </c>
      <c r="H1395" s="21"/>
      <c r="I1395" s="22">
        <v>30.0</v>
      </c>
      <c r="J1395" s="23"/>
      <c r="K1395" s="24">
        <f t="shared" si="182"/>
        <v>49933.59</v>
      </c>
      <c r="L1395" s="24">
        <v>70000.0</v>
      </c>
      <c r="M1395" s="25"/>
      <c r="N1395" s="70"/>
      <c r="O1395" s="27">
        <f t="shared" si="183"/>
        <v>0.401861953</v>
      </c>
      <c r="P1395" s="28">
        <f t="shared" si="184"/>
        <v>0</v>
      </c>
    </row>
    <row r="1396" hidden="1">
      <c r="A1396" s="122" t="s">
        <v>2088</v>
      </c>
      <c r="B1396" s="17">
        <v>244016.0</v>
      </c>
      <c r="C1396" s="18" t="s">
        <v>687</v>
      </c>
      <c r="D1396" s="66"/>
      <c r="E1396" s="19">
        <v>0.0</v>
      </c>
      <c r="F1396" s="19">
        <v>0.0</v>
      </c>
      <c r="G1396" s="16" t="s">
        <v>2083</v>
      </c>
      <c r="H1396" s="21"/>
      <c r="I1396" s="22">
        <v>15.0</v>
      </c>
      <c r="J1396" s="23"/>
      <c r="K1396" s="24">
        <f t="shared" si="182"/>
        <v>49933.59</v>
      </c>
      <c r="L1396" s="24">
        <v>70000.0</v>
      </c>
      <c r="M1396" s="25"/>
      <c r="N1396" s="70"/>
      <c r="O1396" s="27">
        <f t="shared" si="183"/>
        <v>0.401861953</v>
      </c>
      <c r="P1396" s="28">
        <f t="shared" si="184"/>
        <v>0</v>
      </c>
    </row>
    <row r="1397" hidden="1">
      <c r="A1397" s="122" t="s">
        <v>2089</v>
      </c>
      <c r="B1397" s="17">
        <v>244006.0</v>
      </c>
      <c r="C1397" s="18"/>
      <c r="D1397" s="66"/>
      <c r="E1397" s="19">
        <v>0.0</v>
      </c>
      <c r="F1397" s="19">
        <v>0.0</v>
      </c>
      <c r="G1397" s="16" t="s">
        <v>2083</v>
      </c>
      <c r="H1397" s="21"/>
      <c r="I1397" s="22">
        <v>22.0</v>
      </c>
      <c r="J1397" s="23"/>
      <c r="K1397" s="24">
        <f t="shared" si="182"/>
        <v>49933.59</v>
      </c>
      <c r="L1397" s="24">
        <v>70000.0</v>
      </c>
      <c r="M1397" s="25"/>
      <c r="N1397" s="70"/>
      <c r="O1397" s="27">
        <f t="shared" si="183"/>
        <v>0.401861953</v>
      </c>
      <c r="P1397" s="28">
        <f t="shared" si="184"/>
        <v>0</v>
      </c>
    </row>
    <row r="1398" hidden="1">
      <c r="A1398" s="122" t="s">
        <v>2090</v>
      </c>
      <c r="B1398" s="17">
        <v>244003.0</v>
      </c>
      <c r="C1398" s="18" t="s">
        <v>687</v>
      </c>
      <c r="D1398" s="66"/>
      <c r="E1398" s="19">
        <v>0.0</v>
      </c>
      <c r="F1398" s="19">
        <v>0.0</v>
      </c>
      <c r="G1398" s="16" t="s">
        <v>2083</v>
      </c>
      <c r="H1398" s="21"/>
      <c r="I1398" s="22">
        <v>28.0</v>
      </c>
      <c r="J1398" s="23"/>
      <c r="K1398" s="24">
        <f t="shared" si="182"/>
        <v>49933.59</v>
      </c>
      <c r="L1398" s="24">
        <v>70000.0</v>
      </c>
      <c r="M1398" s="25"/>
      <c r="N1398" s="70"/>
      <c r="O1398" s="27">
        <f t="shared" si="183"/>
        <v>0.401861953</v>
      </c>
      <c r="P1398" s="28">
        <f t="shared" si="184"/>
        <v>0</v>
      </c>
    </row>
    <row r="1399" hidden="1">
      <c r="A1399" s="122" t="s">
        <v>2091</v>
      </c>
      <c r="B1399" s="17">
        <v>244007.0</v>
      </c>
      <c r="C1399" s="18"/>
      <c r="D1399" s="66"/>
      <c r="E1399" s="19">
        <v>0.0</v>
      </c>
      <c r="F1399" s="19">
        <v>0.0</v>
      </c>
      <c r="G1399" s="16" t="s">
        <v>2083</v>
      </c>
      <c r="H1399" s="21"/>
      <c r="I1399" s="22"/>
      <c r="J1399" s="23"/>
      <c r="K1399" s="24">
        <f t="shared" si="182"/>
        <v>49933.59</v>
      </c>
      <c r="L1399" s="24">
        <v>70000.0</v>
      </c>
      <c r="M1399" s="25"/>
      <c r="N1399" s="26"/>
      <c r="O1399" s="27">
        <f t="shared" si="183"/>
        <v>0.401861953</v>
      </c>
      <c r="P1399" s="28">
        <f t="shared" si="184"/>
        <v>0</v>
      </c>
    </row>
    <row r="1400" hidden="1">
      <c r="A1400" s="122" t="s">
        <v>2092</v>
      </c>
      <c r="B1400" s="17">
        <v>244012.0</v>
      </c>
      <c r="C1400" s="18" t="s">
        <v>687</v>
      </c>
      <c r="D1400" s="66"/>
      <c r="E1400" s="19">
        <v>0.0</v>
      </c>
      <c r="F1400" s="19">
        <v>0.0</v>
      </c>
      <c r="G1400" s="16" t="s">
        <v>2083</v>
      </c>
      <c r="H1400" s="21"/>
      <c r="I1400" s="22">
        <v>24.0</v>
      </c>
      <c r="J1400" s="23"/>
      <c r="K1400" s="24">
        <f t="shared" si="182"/>
        <v>49933.59</v>
      </c>
      <c r="L1400" s="24">
        <v>70000.0</v>
      </c>
      <c r="M1400" s="25"/>
      <c r="N1400" s="70"/>
      <c r="O1400" s="27">
        <f t="shared" si="183"/>
        <v>0.401861953</v>
      </c>
      <c r="P1400" s="28">
        <f t="shared" si="184"/>
        <v>0</v>
      </c>
    </row>
    <row r="1401" hidden="1">
      <c r="A1401" s="16" t="s">
        <v>2093</v>
      </c>
      <c r="B1401" s="17"/>
      <c r="C1401" s="18"/>
      <c r="D1401" s="4"/>
      <c r="E1401" s="19">
        <v>0.0</v>
      </c>
      <c r="F1401" s="19">
        <v>0.0</v>
      </c>
      <c r="G1401" s="16" t="s">
        <v>65</v>
      </c>
      <c r="H1401" s="21"/>
      <c r="I1401" s="22"/>
      <c r="J1401" s="29"/>
      <c r="K1401" s="32">
        <f>600*1.19</f>
        <v>714</v>
      </c>
      <c r="L1401" s="24">
        <v>1500.0</v>
      </c>
      <c r="M1401" s="25"/>
      <c r="N1401" s="69"/>
      <c r="O1401" s="27">
        <f t="shared" si="183"/>
        <v>1.100840336</v>
      </c>
      <c r="P1401" s="28">
        <f t="shared" si="184"/>
        <v>0</v>
      </c>
    </row>
    <row r="1402" hidden="1">
      <c r="A1402" s="42" t="s">
        <v>2094</v>
      </c>
      <c r="B1402" s="17"/>
      <c r="C1402" s="18"/>
      <c r="D1402" s="4" t="s">
        <v>676</v>
      </c>
      <c r="E1402" s="19">
        <v>0.0</v>
      </c>
      <c r="F1402" s="19"/>
      <c r="G1402" s="16" t="s">
        <v>553</v>
      </c>
      <c r="H1402" s="21"/>
      <c r="I1402" s="22"/>
      <c r="J1402" s="29"/>
      <c r="K1402" s="43">
        <v>450.0</v>
      </c>
      <c r="L1402" s="44">
        <v>2000.0</v>
      </c>
      <c r="M1402" s="25"/>
      <c r="N1402" s="69"/>
      <c r="O1402" s="27">
        <f t="shared" si="183"/>
        <v>3.444444444</v>
      </c>
      <c r="P1402" s="28">
        <f t="shared" si="184"/>
        <v>0</v>
      </c>
    </row>
    <row r="1403" hidden="1">
      <c r="A1403" s="42" t="s">
        <v>2095</v>
      </c>
      <c r="B1403" s="71"/>
      <c r="C1403" s="18"/>
      <c r="D1403" s="4"/>
      <c r="E1403" s="19">
        <v>0.0</v>
      </c>
      <c r="F1403" s="19"/>
      <c r="G1403" s="16" t="s">
        <v>553</v>
      </c>
      <c r="H1403" s="21"/>
      <c r="I1403" s="22"/>
      <c r="J1403" s="29"/>
      <c r="K1403" s="43">
        <f>2500/6</f>
        <v>416.6666667</v>
      </c>
      <c r="L1403" s="44">
        <v>2000.0</v>
      </c>
      <c r="M1403" s="25"/>
      <c r="N1403" s="26"/>
      <c r="O1403" s="27">
        <f t="shared" si="183"/>
        <v>3.8</v>
      </c>
      <c r="P1403" s="28">
        <f t="shared" si="184"/>
        <v>0</v>
      </c>
    </row>
    <row r="1404" hidden="1">
      <c r="A1404" s="52" t="s">
        <v>2096</v>
      </c>
      <c r="B1404" s="36"/>
      <c r="C1404" s="18"/>
      <c r="D1404" s="4"/>
      <c r="E1404" s="19">
        <v>100.0</v>
      </c>
      <c r="F1404" s="19">
        <v>0.0</v>
      </c>
      <c r="G1404" s="16" t="s">
        <v>2097</v>
      </c>
      <c r="H1404" s="21"/>
      <c r="I1404" s="22"/>
      <c r="J1404" s="23"/>
      <c r="K1404" s="44">
        <f t="shared" ref="K1404:K1409" si="185">22300*1.19</f>
        <v>26537</v>
      </c>
      <c r="L1404" s="44">
        <v>35000.0</v>
      </c>
      <c r="M1404" s="25"/>
      <c r="N1404" s="70"/>
      <c r="O1404" s="27">
        <f t="shared" si="183"/>
        <v>0.3189132155</v>
      </c>
      <c r="P1404" s="28">
        <f t="shared" si="184"/>
        <v>0</v>
      </c>
    </row>
    <row r="1405" hidden="1">
      <c r="A1405" s="52" t="s">
        <v>2098</v>
      </c>
      <c r="B1405" s="36"/>
      <c r="C1405" s="18"/>
      <c r="D1405" s="4"/>
      <c r="E1405" s="19">
        <v>0.0</v>
      </c>
      <c r="F1405" s="19">
        <v>0.0</v>
      </c>
      <c r="G1405" s="16" t="s">
        <v>2097</v>
      </c>
      <c r="H1405" s="21"/>
      <c r="I1405" s="22"/>
      <c r="J1405" s="23"/>
      <c r="K1405" s="44">
        <f t="shared" si="185"/>
        <v>26537</v>
      </c>
      <c r="L1405" s="44">
        <v>35000.0</v>
      </c>
      <c r="M1405" s="25"/>
      <c r="N1405" s="70"/>
      <c r="O1405" s="27">
        <f t="shared" si="183"/>
        <v>0.3189132155</v>
      </c>
      <c r="P1405" s="28">
        <f t="shared" si="184"/>
        <v>0</v>
      </c>
    </row>
    <row r="1406" hidden="1">
      <c r="A1406" s="52" t="s">
        <v>2099</v>
      </c>
      <c r="B1406" s="36"/>
      <c r="C1406" s="18"/>
      <c r="D1406" s="4"/>
      <c r="E1406" s="19">
        <v>0.0</v>
      </c>
      <c r="F1406" s="19">
        <v>0.0</v>
      </c>
      <c r="G1406" s="16" t="s">
        <v>2097</v>
      </c>
      <c r="H1406" s="21"/>
      <c r="I1406" s="22"/>
      <c r="J1406" s="23"/>
      <c r="K1406" s="44">
        <f t="shared" si="185"/>
        <v>26537</v>
      </c>
      <c r="L1406" s="44">
        <v>35000.0</v>
      </c>
      <c r="M1406" s="25"/>
      <c r="N1406" s="70"/>
      <c r="O1406" s="27">
        <f t="shared" si="183"/>
        <v>0.3189132155</v>
      </c>
      <c r="P1406" s="28">
        <f t="shared" si="184"/>
        <v>0</v>
      </c>
    </row>
    <row r="1407" hidden="1">
      <c r="A1407" s="52" t="s">
        <v>2100</v>
      </c>
      <c r="B1407" s="36">
        <v>245012.0</v>
      </c>
      <c r="C1407" s="18"/>
      <c r="D1407" s="4"/>
      <c r="E1407" s="19">
        <v>0.0</v>
      </c>
      <c r="F1407" s="19">
        <v>0.0</v>
      </c>
      <c r="G1407" s="16" t="s">
        <v>2097</v>
      </c>
      <c r="H1407" s="21"/>
      <c r="I1407" s="22"/>
      <c r="J1407" s="23"/>
      <c r="K1407" s="44">
        <f t="shared" si="185"/>
        <v>26537</v>
      </c>
      <c r="L1407" s="44">
        <v>35000.0</v>
      </c>
      <c r="M1407" s="25"/>
      <c r="N1407" s="70"/>
      <c r="O1407" s="27">
        <f t="shared" si="183"/>
        <v>0.3189132155</v>
      </c>
      <c r="P1407" s="28">
        <f t="shared" si="184"/>
        <v>0</v>
      </c>
    </row>
    <row r="1408" hidden="1">
      <c r="A1408" s="52" t="s">
        <v>2101</v>
      </c>
      <c r="B1408" s="36">
        <v>245018.0</v>
      </c>
      <c r="C1408" s="18"/>
      <c r="D1408" s="4"/>
      <c r="E1408" s="19">
        <v>0.0</v>
      </c>
      <c r="F1408" s="19">
        <v>0.0</v>
      </c>
      <c r="G1408" s="16" t="s">
        <v>659</v>
      </c>
      <c r="H1408" s="21"/>
      <c r="I1408" s="22"/>
      <c r="J1408" s="23"/>
      <c r="K1408" s="44">
        <f t="shared" si="185"/>
        <v>26537</v>
      </c>
      <c r="L1408" s="44">
        <v>35000.0</v>
      </c>
      <c r="M1408" s="25"/>
      <c r="N1408" s="70"/>
      <c r="O1408" s="27">
        <f t="shared" si="183"/>
        <v>0.3189132155</v>
      </c>
      <c r="P1408" s="28">
        <f t="shared" si="184"/>
        <v>0</v>
      </c>
    </row>
    <row r="1409" hidden="1">
      <c r="A1409" s="52" t="s">
        <v>2102</v>
      </c>
      <c r="B1409" s="36">
        <v>245014.0</v>
      </c>
      <c r="C1409" s="18"/>
      <c r="D1409" s="4"/>
      <c r="E1409" s="19">
        <v>0.0</v>
      </c>
      <c r="F1409" s="19">
        <v>0.0</v>
      </c>
      <c r="G1409" s="16" t="s">
        <v>2097</v>
      </c>
      <c r="H1409" s="21"/>
      <c r="I1409" s="22"/>
      <c r="J1409" s="23"/>
      <c r="K1409" s="44">
        <f t="shared" si="185"/>
        <v>26537</v>
      </c>
      <c r="L1409" s="44">
        <v>35000.0</v>
      </c>
      <c r="M1409" s="25"/>
      <c r="N1409" s="70"/>
      <c r="O1409" s="27">
        <f t="shared" si="183"/>
        <v>0.3189132155</v>
      </c>
      <c r="P1409" s="28">
        <f t="shared" si="184"/>
        <v>0</v>
      </c>
    </row>
    <row r="1410" hidden="1">
      <c r="A1410" s="52" t="s">
        <v>2103</v>
      </c>
      <c r="B1410" s="17"/>
      <c r="C1410" s="18"/>
      <c r="D1410" s="4"/>
      <c r="E1410" s="19">
        <v>0.0</v>
      </c>
      <c r="F1410" s="19">
        <v>0.0</v>
      </c>
      <c r="G1410" s="16" t="s">
        <v>65</v>
      </c>
      <c r="H1410" s="21"/>
      <c r="I1410" s="22">
        <v>20.0</v>
      </c>
      <c r="J1410" s="23"/>
      <c r="K1410" s="24">
        <f>2000*1.19</f>
        <v>2380</v>
      </c>
      <c r="L1410" s="24">
        <v>7000.0</v>
      </c>
      <c r="M1410" s="25"/>
      <c r="N1410" s="252"/>
      <c r="O1410" s="27">
        <f t="shared" si="183"/>
        <v>1.941176471</v>
      </c>
      <c r="P1410" s="28">
        <f t="shared" si="184"/>
        <v>0</v>
      </c>
    </row>
    <row r="1411" hidden="1">
      <c r="A1411" s="42" t="s">
        <v>2104</v>
      </c>
      <c r="B1411" s="71"/>
      <c r="C1411" s="18"/>
      <c r="D1411" s="4"/>
      <c r="E1411" s="19">
        <v>0.0</v>
      </c>
      <c r="F1411" s="19"/>
      <c r="G1411" s="16" t="s">
        <v>553</v>
      </c>
      <c r="H1411" s="21"/>
      <c r="I1411" s="22"/>
      <c r="J1411" s="29"/>
      <c r="K1411" s="43">
        <f t="shared" ref="K1411:K1412" si="186">6500/6</f>
        <v>1083.333333</v>
      </c>
      <c r="L1411" s="44">
        <v>5000.0</v>
      </c>
      <c r="M1411" s="25"/>
      <c r="N1411" s="26"/>
      <c r="O1411" s="27">
        <f t="shared" si="183"/>
        <v>3.615384615</v>
      </c>
      <c r="P1411" s="28">
        <f t="shared" si="184"/>
        <v>0</v>
      </c>
    </row>
    <row r="1412" hidden="1">
      <c r="A1412" s="42" t="s">
        <v>2105</v>
      </c>
      <c r="B1412" s="71"/>
      <c r="C1412" s="18"/>
      <c r="D1412" s="4"/>
      <c r="E1412" s="19">
        <v>0.0</v>
      </c>
      <c r="F1412" s="19"/>
      <c r="G1412" s="16" t="s">
        <v>553</v>
      </c>
      <c r="H1412" s="21"/>
      <c r="I1412" s="22"/>
      <c r="J1412" s="29"/>
      <c r="K1412" s="43">
        <f t="shared" si="186"/>
        <v>1083.333333</v>
      </c>
      <c r="L1412" s="44">
        <v>25000.0</v>
      </c>
      <c r="M1412" s="25"/>
      <c r="N1412" s="26"/>
      <c r="O1412" s="27">
        <f t="shared" si="183"/>
        <v>22.07692308</v>
      </c>
      <c r="P1412" s="28">
        <f t="shared" si="184"/>
        <v>0</v>
      </c>
    </row>
    <row r="1413" hidden="1">
      <c r="A1413" s="40" t="s">
        <v>2106</v>
      </c>
      <c r="B1413" s="17"/>
      <c r="C1413" s="18"/>
      <c r="D1413" s="4"/>
      <c r="E1413" s="19">
        <v>0.0</v>
      </c>
      <c r="F1413" s="19"/>
      <c r="G1413" s="16" t="s">
        <v>2107</v>
      </c>
      <c r="H1413" s="21"/>
      <c r="I1413" s="22"/>
      <c r="J1413" s="29"/>
      <c r="K1413" s="43">
        <v>3500.0</v>
      </c>
      <c r="L1413" s="44">
        <v>8000.0</v>
      </c>
      <c r="M1413" s="25"/>
      <c r="N1413" s="69"/>
      <c r="O1413" s="27">
        <f t="shared" si="183"/>
        <v>1.285714286</v>
      </c>
      <c r="P1413" s="28">
        <f t="shared" si="184"/>
        <v>0</v>
      </c>
    </row>
    <row r="1414" hidden="1">
      <c r="A1414" s="42" t="s">
        <v>2108</v>
      </c>
      <c r="B1414" s="71"/>
      <c r="C1414" s="18"/>
      <c r="D1414" s="4"/>
      <c r="E1414" s="19">
        <v>0.0</v>
      </c>
      <c r="F1414" s="19"/>
      <c r="G1414" s="16" t="s">
        <v>2109</v>
      </c>
      <c r="H1414" s="21"/>
      <c r="I1414" s="22"/>
      <c r="J1414" s="29"/>
      <c r="K1414" s="43">
        <v>1000.0</v>
      </c>
      <c r="L1414" s="44">
        <v>2000.0</v>
      </c>
      <c r="M1414" s="25"/>
      <c r="N1414" s="50"/>
      <c r="O1414" s="27">
        <f t="shared" si="183"/>
        <v>1</v>
      </c>
      <c r="P1414" s="28">
        <f t="shared" si="184"/>
        <v>0</v>
      </c>
    </row>
    <row r="1415" hidden="1">
      <c r="A1415" s="59" t="s">
        <v>2110</v>
      </c>
      <c r="B1415" s="134" t="s">
        <v>2111</v>
      </c>
      <c r="C1415" s="18" t="s">
        <v>2112</v>
      </c>
      <c r="D1415" s="98"/>
      <c r="E1415" s="19">
        <v>0.0</v>
      </c>
      <c r="F1415" s="19"/>
      <c r="G1415" s="16" t="s">
        <v>485</v>
      </c>
      <c r="H1415" s="21">
        <v>0.0</v>
      </c>
      <c r="I1415" s="22"/>
      <c r="J1415" s="22"/>
      <c r="K1415" s="174">
        <f t="shared" ref="K1415:K1416" si="187">45491*1.19</f>
        <v>54134.29</v>
      </c>
      <c r="L1415" s="175">
        <v>95000.0</v>
      </c>
      <c r="M1415" s="25"/>
      <c r="N1415" s="26"/>
      <c r="O1415" s="27">
        <f t="shared" si="183"/>
        <v>0.7548950951</v>
      </c>
      <c r="P1415" s="28">
        <f t="shared" si="184"/>
        <v>0</v>
      </c>
    </row>
    <row r="1416" hidden="1">
      <c r="A1416" s="59" t="s">
        <v>2113</v>
      </c>
      <c r="B1416" s="97" t="s">
        <v>2114</v>
      </c>
      <c r="C1416" s="18" t="s">
        <v>2112</v>
      </c>
      <c r="D1416" s="98"/>
      <c r="E1416" s="19">
        <v>0.0</v>
      </c>
      <c r="F1416" s="19"/>
      <c r="G1416" s="16" t="s">
        <v>485</v>
      </c>
      <c r="H1416" s="21">
        <v>0.0</v>
      </c>
      <c r="I1416" s="22"/>
      <c r="J1416" s="22"/>
      <c r="K1416" s="174">
        <f t="shared" si="187"/>
        <v>54134.29</v>
      </c>
      <c r="L1416" s="175">
        <v>95000.0</v>
      </c>
      <c r="M1416" s="25"/>
      <c r="N1416" s="26"/>
      <c r="O1416" s="27">
        <f t="shared" si="183"/>
        <v>0.7548950951</v>
      </c>
      <c r="P1416" s="28">
        <f t="shared" si="184"/>
        <v>0</v>
      </c>
    </row>
    <row r="1417" hidden="1">
      <c r="A1417" s="253" t="s">
        <v>2115</v>
      </c>
      <c r="B1417" s="97" t="s">
        <v>2116</v>
      </c>
      <c r="C1417" s="18" t="s">
        <v>845</v>
      </c>
      <c r="D1417" s="4"/>
      <c r="E1417" s="19">
        <v>0.0</v>
      </c>
      <c r="F1417" s="19"/>
      <c r="G1417" s="16" t="s">
        <v>485</v>
      </c>
      <c r="H1417" s="21">
        <v>0.0</v>
      </c>
      <c r="I1417" s="22"/>
      <c r="J1417" s="22"/>
      <c r="K1417" s="174">
        <f>36739*1.19</f>
        <v>43719.41</v>
      </c>
      <c r="L1417" s="175">
        <v>95000.0</v>
      </c>
      <c r="M1417" s="25"/>
      <c r="N1417" s="31"/>
      <c r="O1417" s="27">
        <f t="shared" si="183"/>
        <v>1.172947897</v>
      </c>
      <c r="P1417" s="28">
        <f t="shared" si="184"/>
        <v>0</v>
      </c>
    </row>
    <row r="1418" hidden="1">
      <c r="A1418" s="59" t="s">
        <v>2117</v>
      </c>
      <c r="B1418" s="121"/>
      <c r="C1418" s="18"/>
      <c r="D1418" s="4"/>
      <c r="E1418" s="19">
        <v>0.0</v>
      </c>
      <c r="F1418" s="19">
        <v>0.0</v>
      </c>
      <c r="G1418" s="16" t="s">
        <v>84</v>
      </c>
      <c r="H1418" s="21"/>
      <c r="I1418" s="254" t="s">
        <v>676</v>
      </c>
      <c r="J1418" s="29"/>
      <c r="K1418" s="43">
        <v>38800.0</v>
      </c>
      <c r="L1418" s="44">
        <v>70000.0</v>
      </c>
      <c r="M1418" s="25"/>
      <c r="N1418" s="69"/>
      <c r="O1418" s="27">
        <f t="shared" si="183"/>
        <v>0.8041237113</v>
      </c>
      <c r="P1418" s="28">
        <f t="shared" si="184"/>
        <v>0</v>
      </c>
    </row>
    <row r="1419" hidden="1">
      <c r="A1419" s="16" t="s">
        <v>2118</v>
      </c>
      <c r="B1419" s="17" t="s">
        <v>1285</v>
      </c>
      <c r="C1419" s="38"/>
      <c r="D1419" s="61"/>
      <c r="E1419" s="19"/>
      <c r="F1419" s="19">
        <v>0.0</v>
      </c>
      <c r="G1419" s="16" t="s">
        <v>2119</v>
      </c>
      <c r="H1419" s="21"/>
      <c r="I1419" s="22"/>
      <c r="J1419" s="29"/>
      <c r="K1419" s="32">
        <v>75000.0</v>
      </c>
      <c r="L1419" s="24">
        <v>130000.0</v>
      </c>
      <c r="M1419" s="25"/>
      <c r="N1419" s="26">
        <v>110000.0</v>
      </c>
      <c r="O1419" s="27">
        <f t="shared" si="183"/>
        <v>0.7333333333</v>
      </c>
      <c r="P1419" s="28">
        <f t="shared" si="184"/>
        <v>0</v>
      </c>
    </row>
    <row r="1420" hidden="1">
      <c r="A1420" s="40" t="s">
        <v>2120</v>
      </c>
      <c r="B1420" s="17"/>
      <c r="C1420" s="18"/>
      <c r="D1420" s="4"/>
      <c r="E1420" s="19">
        <v>0.0</v>
      </c>
      <c r="F1420" s="19"/>
      <c r="G1420" s="16" t="s">
        <v>2121</v>
      </c>
      <c r="H1420" s="21"/>
      <c r="I1420" s="22"/>
      <c r="J1420" s="29"/>
      <c r="K1420" s="48">
        <v>15000.0</v>
      </c>
      <c r="L1420" s="55">
        <v>70000.0</v>
      </c>
      <c r="M1420" s="25"/>
      <c r="N1420" s="50">
        <v>55000.0</v>
      </c>
      <c r="O1420" s="27">
        <f t="shared" si="183"/>
        <v>3.666666667</v>
      </c>
      <c r="P1420" s="28">
        <f t="shared" si="184"/>
        <v>0</v>
      </c>
    </row>
    <row r="1421" hidden="1">
      <c r="A1421" s="16" t="s">
        <v>2122</v>
      </c>
      <c r="B1421" s="17"/>
      <c r="C1421" s="38"/>
      <c r="D1421" s="61"/>
      <c r="E1421" s="19">
        <v>0.0</v>
      </c>
      <c r="F1421" s="19">
        <v>0.0</v>
      </c>
      <c r="G1421" s="16" t="s">
        <v>2123</v>
      </c>
      <c r="H1421" s="21"/>
      <c r="I1421" s="22">
        <v>1.0</v>
      </c>
      <c r="J1421" s="29"/>
      <c r="K1421" s="32">
        <v>75000.0</v>
      </c>
      <c r="L1421" s="24">
        <v>130000.0</v>
      </c>
      <c r="M1421" s="25"/>
      <c r="N1421" s="26">
        <v>110000.0</v>
      </c>
      <c r="O1421" s="27">
        <f t="shared" si="183"/>
        <v>0.7333333333</v>
      </c>
      <c r="P1421" s="28">
        <f t="shared" si="184"/>
        <v>0</v>
      </c>
    </row>
    <row r="1422" hidden="1">
      <c r="A1422" s="16" t="s">
        <v>2124</v>
      </c>
      <c r="B1422" s="17"/>
      <c r="C1422" s="18"/>
      <c r="D1422" s="4"/>
      <c r="E1422" s="19">
        <v>0.0</v>
      </c>
      <c r="F1422" s="19">
        <v>0.0</v>
      </c>
      <c r="G1422" s="20" t="s">
        <v>909</v>
      </c>
      <c r="H1422" s="21"/>
      <c r="I1422" s="22"/>
      <c r="J1422" s="29"/>
      <c r="K1422" s="43"/>
      <c r="L1422" s="44" t="s">
        <v>2125</v>
      </c>
      <c r="M1422" s="25"/>
      <c r="N1422" s="39"/>
      <c r="O1422" s="27"/>
      <c r="P1422" s="28"/>
    </row>
    <row r="1423" hidden="1">
      <c r="A1423" s="16" t="s">
        <v>2126</v>
      </c>
      <c r="B1423" s="49"/>
      <c r="C1423" s="18"/>
      <c r="D1423" s="19"/>
      <c r="E1423" s="19">
        <v>0.0</v>
      </c>
      <c r="F1423" s="19">
        <v>0.0</v>
      </c>
      <c r="G1423" s="20" t="s">
        <v>909</v>
      </c>
      <c r="H1423" s="21"/>
      <c r="I1423" s="22"/>
      <c r="J1423" s="23"/>
      <c r="K1423" s="24"/>
      <c r="L1423" s="24"/>
      <c r="M1423" s="25"/>
      <c r="N1423" s="70"/>
      <c r="O1423" s="27"/>
      <c r="P1423" s="28"/>
    </row>
    <row r="1424" hidden="1">
      <c r="A1424" s="16" t="s">
        <v>2127</v>
      </c>
      <c r="B1424" s="42" t="s">
        <v>2128</v>
      </c>
      <c r="C1424" s="18" t="s">
        <v>2129</v>
      </c>
      <c r="D1424" s="4"/>
      <c r="E1424" s="19">
        <v>0.0</v>
      </c>
      <c r="F1424" s="19">
        <v>0.0</v>
      </c>
      <c r="G1424" s="20" t="s">
        <v>2130</v>
      </c>
      <c r="H1424" s="21"/>
      <c r="I1424" s="22"/>
      <c r="J1424" s="29"/>
      <c r="K1424" s="32">
        <v>2000.0</v>
      </c>
      <c r="L1424" s="55">
        <v>4000.0</v>
      </c>
      <c r="M1424" s="25"/>
      <c r="N1424" s="69"/>
      <c r="O1424" s="27">
        <f t="shared" ref="O1424:O1449" si="188">(L1424/K1424)-1</f>
        <v>1</v>
      </c>
      <c r="P1424" s="28">
        <f t="shared" ref="P1424:P1449" si="189">K1424*F1424</f>
        <v>0</v>
      </c>
    </row>
    <row r="1425" hidden="1">
      <c r="A1425" s="16" t="s">
        <v>2131</v>
      </c>
      <c r="B1425" s="42" t="s">
        <v>2132</v>
      </c>
      <c r="C1425" s="18" t="s">
        <v>2133</v>
      </c>
      <c r="D1425" s="4" t="s">
        <v>2134</v>
      </c>
      <c r="E1425" s="19">
        <v>0.0</v>
      </c>
      <c r="F1425" s="19">
        <v>80.0</v>
      </c>
      <c r="G1425" s="20" t="s">
        <v>2130</v>
      </c>
      <c r="H1425" s="21"/>
      <c r="I1425" s="22"/>
      <c r="J1425" s="29"/>
      <c r="K1425" s="32">
        <v>2000.0</v>
      </c>
      <c r="L1425" s="55">
        <v>4000.0</v>
      </c>
      <c r="M1425" s="25"/>
      <c r="N1425" s="69"/>
      <c r="O1425" s="27">
        <f t="shared" si="188"/>
        <v>1</v>
      </c>
      <c r="P1425" s="28">
        <f t="shared" si="189"/>
        <v>160000</v>
      </c>
    </row>
    <row r="1426" hidden="1">
      <c r="A1426" s="16" t="s">
        <v>2135</v>
      </c>
      <c r="B1426" s="42" t="s">
        <v>2136</v>
      </c>
      <c r="C1426" s="18"/>
      <c r="D1426" s="4"/>
      <c r="E1426" s="19">
        <v>0.0</v>
      </c>
      <c r="F1426" s="19">
        <v>30.0</v>
      </c>
      <c r="G1426" s="20" t="s">
        <v>2130</v>
      </c>
      <c r="H1426" s="21"/>
      <c r="I1426" s="22"/>
      <c r="J1426" s="29"/>
      <c r="K1426" s="32">
        <v>2500.0</v>
      </c>
      <c r="L1426" s="55">
        <v>5000.0</v>
      </c>
      <c r="M1426" s="25"/>
      <c r="N1426" s="69"/>
      <c r="O1426" s="27">
        <f t="shared" si="188"/>
        <v>1</v>
      </c>
      <c r="P1426" s="28">
        <f t="shared" si="189"/>
        <v>75000</v>
      </c>
    </row>
    <row r="1427" hidden="1">
      <c r="A1427" s="16" t="s">
        <v>2137</v>
      </c>
      <c r="B1427" s="42" t="s">
        <v>2848</v>
      </c>
      <c r="C1427" s="18"/>
      <c r="D1427" s="4"/>
      <c r="E1427" s="19">
        <v>0.0</v>
      </c>
      <c r="F1427" s="19">
        <v>60.0</v>
      </c>
      <c r="G1427" s="20" t="s">
        <v>2139</v>
      </c>
      <c r="H1427" s="21"/>
      <c r="I1427" s="22">
        <v>80.0</v>
      </c>
      <c r="J1427" s="29"/>
      <c r="K1427" s="32">
        <v>2300.0</v>
      </c>
      <c r="L1427" s="55">
        <v>4000.0</v>
      </c>
      <c r="M1427" s="25"/>
      <c r="N1427" s="69"/>
      <c r="O1427" s="27">
        <f t="shared" si="188"/>
        <v>0.7391304348</v>
      </c>
      <c r="P1427" s="28">
        <f t="shared" si="189"/>
        <v>138000</v>
      </c>
    </row>
    <row r="1428" hidden="1">
      <c r="A1428" s="16" t="s">
        <v>2140</v>
      </c>
      <c r="B1428" s="42" t="s">
        <v>2849</v>
      </c>
      <c r="C1428" s="18"/>
      <c r="D1428" s="4"/>
      <c r="E1428" s="19">
        <v>0.0</v>
      </c>
      <c r="F1428" s="19">
        <v>30.0</v>
      </c>
      <c r="G1428" s="20" t="s">
        <v>2139</v>
      </c>
      <c r="H1428" s="21"/>
      <c r="I1428" s="22">
        <v>65.0</v>
      </c>
      <c r="J1428" s="29"/>
      <c r="K1428" s="32">
        <v>2300.0</v>
      </c>
      <c r="L1428" s="55">
        <v>4000.0</v>
      </c>
      <c r="M1428" s="25"/>
      <c r="N1428" s="69"/>
      <c r="O1428" s="27">
        <f t="shared" si="188"/>
        <v>0.7391304348</v>
      </c>
      <c r="P1428" s="28">
        <f t="shared" si="189"/>
        <v>69000</v>
      </c>
    </row>
    <row r="1429" hidden="1">
      <c r="A1429" s="16" t="s">
        <v>2142</v>
      </c>
      <c r="B1429" s="42" t="s">
        <v>2850</v>
      </c>
      <c r="C1429" s="18"/>
      <c r="D1429" s="4" t="s">
        <v>2144</v>
      </c>
      <c r="E1429" s="19">
        <v>50.0</v>
      </c>
      <c r="F1429" s="19">
        <v>50.0</v>
      </c>
      <c r="G1429" s="20" t="s">
        <v>2139</v>
      </c>
      <c r="H1429" s="21"/>
      <c r="I1429" s="22">
        <v>60.0</v>
      </c>
      <c r="J1429" s="29"/>
      <c r="K1429" s="32">
        <v>2500.0</v>
      </c>
      <c r="L1429" s="55">
        <v>5000.0</v>
      </c>
      <c r="M1429" s="25"/>
      <c r="N1429" s="69"/>
      <c r="O1429" s="27">
        <f t="shared" si="188"/>
        <v>1</v>
      </c>
      <c r="P1429" s="28">
        <f t="shared" si="189"/>
        <v>125000</v>
      </c>
    </row>
    <row r="1430" hidden="1">
      <c r="A1430" s="16" t="s">
        <v>2145</v>
      </c>
      <c r="B1430" s="42"/>
      <c r="C1430" s="18"/>
      <c r="D1430" s="4"/>
      <c r="E1430" s="19">
        <v>0.0</v>
      </c>
      <c r="F1430" s="19">
        <v>0.0</v>
      </c>
      <c r="G1430" s="20" t="s">
        <v>580</v>
      </c>
      <c r="H1430" s="21"/>
      <c r="I1430" s="22">
        <v>16.0</v>
      </c>
      <c r="J1430" s="29"/>
      <c r="K1430" s="24">
        <v>96206.0</v>
      </c>
      <c r="L1430" s="24">
        <v>280000.0</v>
      </c>
      <c r="M1430" s="25"/>
      <c r="N1430" s="69"/>
      <c r="O1430" s="27">
        <f t="shared" si="188"/>
        <v>1.910421387</v>
      </c>
      <c r="P1430" s="28">
        <f t="shared" si="189"/>
        <v>0</v>
      </c>
    </row>
    <row r="1431" hidden="1">
      <c r="A1431" s="16" t="s">
        <v>2146</v>
      </c>
      <c r="B1431" s="36"/>
      <c r="C1431" s="18"/>
      <c r="D1431" s="4"/>
      <c r="E1431" s="19">
        <v>0.0</v>
      </c>
      <c r="F1431" s="19">
        <v>0.0</v>
      </c>
      <c r="G1431" s="16" t="s">
        <v>643</v>
      </c>
      <c r="H1431" s="21"/>
      <c r="I1431" s="22">
        <v>0.0</v>
      </c>
      <c r="J1431" s="29"/>
      <c r="K1431" s="43">
        <v>80000.0</v>
      </c>
      <c r="L1431" s="44">
        <v>120000.0</v>
      </c>
      <c r="M1431" s="25"/>
      <c r="N1431" s="69"/>
      <c r="O1431" s="27">
        <f t="shared" si="188"/>
        <v>0.5</v>
      </c>
      <c r="P1431" s="28">
        <f t="shared" si="189"/>
        <v>0</v>
      </c>
    </row>
    <row r="1432" hidden="1">
      <c r="A1432" s="16" t="s">
        <v>2147</v>
      </c>
      <c r="B1432" s="36"/>
      <c r="C1432" s="18"/>
      <c r="D1432" s="4"/>
      <c r="E1432" s="19">
        <v>0.0</v>
      </c>
      <c r="F1432" s="19">
        <v>0.0</v>
      </c>
      <c r="G1432" s="16" t="s">
        <v>1907</v>
      </c>
      <c r="H1432" s="21"/>
      <c r="I1432" s="22">
        <v>14.0</v>
      </c>
      <c r="J1432" s="29"/>
      <c r="K1432" s="32">
        <v>120000.0</v>
      </c>
      <c r="L1432" s="24">
        <v>180000.0</v>
      </c>
      <c r="M1432" s="25"/>
      <c r="N1432" s="69"/>
      <c r="O1432" s="27">
        <f t="shared" si="188"/>
        <v>0.5</v>
      </c>
      <c r="P1432" s="28">
        <f t="shared" si="189"/>
        <v>0</v>
      </c>
    </row>
    <row r="1433" hidden="1">
      <c r="A1433" s="16" t="s">
        <v>2148</v>
      </c>
      <c r="B1433" s="17" t="s">
        <v>2149</v>
      </c>
      <c r="C1433" s="18"/>
      <c r="D1433" s="4"/>
      <c r="E1433" s="19">
        <v>10.0</v>
      </c>
      <c r="F1433" s="19"/>
      <c r="G1433" s="16" t="s">
        <v>396</v>
      </c>
      <c r="H1433" s="21"/>
      <c r="I1433" s="22"/>
      <c r="J1433" s="29"/>
      <c r="K1433" s="48">
        <f>9000*0.95*1.19</f>
        <v>10174.5</v>
      </c>
      <c r="L1433" s="55">
        <v>16000.0</v>
      </c>
      <c r="M1433" s="25"/>
      <c r="N1433" s="69"/>
      <c r="O1433" s="27">
        <f t="shared" si="188"/>
        <v>0.5725588481</v>
      </c>
      <c r="P1433" s="28">
        <f t="shared" si="189"/>
        <v>0</v>
      </c>
    </row>
    <row r="1434" hidden="1">
      <c r="A1434" s="16" t="s">
        <v>2150</v>
      </c>
      <c r="B1434" s="17"/>
      <c r="C1434" s="18"/>
      <c r="D1434" s="4"/>
      <c r="E1434" s="19">
        <v>0.0</v>
      </c>
      <c r="F1434" s="19">
        <v>0.0</v>
      </c>
      <c r="G1434" s="20" t="s">
        <v>966</v>
      </c>
      <c r="H1434" s="21"/>
      <c r="I1434" s="22">
        <v>0.0</v>
      </c>
      <c r="J1434" s="29"/>
      <c r="K1434" s="43">
        <v>3000.0</v>
      </c>
      <c r="L1434" s="44">
        <v>5000.0</v>
      </c>
      <c r="M1434" s="25"/>
      <c r="N1434" s="69"/>
      <c r="O1434" s="27">
        <f t="shared" si="188"/>
        <v>0.6666666667</v>
      </c>
      <c r="P1434" s="28">
        <f t="shared" si="189"/>
        <v>0</v>
      </c>
    </row>
    <row r="1435" hidden="1">
      <c r="A1435" s="122" t="s">
        <v>2151</v>
      </c>
      <c r="B1435" s="17"/>
      <c r="C1435" s="18"/>
      <c r="D1435" s="4"/>
      <c r="E1435" s="19">
        <v>0.0</v>
      </c>
      <c r="F1435" s="19">
        <v>0.0</v>
      </c>
      <c r="G1435" s="16" t="s">
        <v>425</v>
      </c>
      <c r="H1435" s="73"/>
      <c r="I1435" s="22">
        <v>0.0</v>
      </c>
      <c r="J1435" s="74"/>
      <c r="K1435" s="75">
        <v>11000.0</v>
      </c>
      <c r="L1435" s="44">
        <f>K1435*1.5</f>
        <v>16500</v>
      </c>
      <c r="M1435" s="25"/>
      <c r="N1435" s="70"/>
      <c r="O1435" s="27">
        <f t="shared" si="188"/>
        <v>0.5</v>
      </c>
      <c r="P1435" s="28">
        <f t="shared" si="189"/>
        <v>0</v>
      </c>
    </row>
    <row r="1436" hidden="1">
      <c r="A1436" s="52" t="s">
        <v>2851</v>
      </c>
      <c r="B1436" s="17" t="s">
        <v>2153</v>
      </c>
      <c r="C1436" s="18"/>
      <c r="D1436" s="4" t="s">
        <v>2154</v>
      </c>
      <c r="E1436" s="19">
        <v>0.0</v>
      </c>
      <c r="F1436" s="19">
        <v>20.0</v>
      </c>
      <c r="G1436" s="16" t="s">
        <v>2155</v>
      </c>
      <c r="H1436" s="21"/>
      <c r="I1436" s="22">
        <v>12.0</v>
      </c>
      <c r="J1436" s="29"/>
      <c r="K1436" s="43">
        <f>29000*0.95*1.19/10</f>
        <v>3278.45</v>
      </c>
      <c r="L1436" s="44">
        <v>4000.0</v>
      </c>
      <c r="M1436" s="25">
        <v>1.19</v>
      </c>
      <c r="N1436" s="26"/>
      <c r="O1436" s="27">
        <f t="shared" si="188"/>
        <v>0.2200887615</v>
      </c>
      <c r="P1436" s="28">
        <f t="shared" si="189"/>
        <v>65569</v>
      </c>
    </row>
    <row r="1437" hidden="1">
      <c r="A1437" s="52" t="s">
        <v>2156</v>
      </c>
      <c r="B1437" s="131" t="s">
        <v>2157</v>
      </c>
      <c r="C1437" s="18">
        <f>34000/50</f>
        <v>680</v>
      </c>
      <c r="D1437" s="4"/>
      <c r="E1437" s="19">
        <v>0.0</v>
      </c>
      <c r="F1437" s="19">
        <v>2.0</v>
      </c>
      <c r="G1437" s="16" t="s">
        <v>2158</v>
      </c>
      <c r="H1437" s="21"/>
      <c r="I1437" s="22">
        <v>700.0</v>
      </c>
      <c r="J1437" s="29"/>
      <c r="K1437" s="43">
        <v>450.0</v>
      </c>
      <c r="L1437" s="44">
        <v>2000.0</v>
      </c>
      <c r="M1437" s="25"/>
      <c r="N1437" s="70"/>
      <c r="O1437" s="27">
        <f t="shared" si="188"/>
        <v>3.444444444</v>
      </c>
      <c r="P1437" s="28">
        <f t="shared" si="189"/>
        <v>900</v>
      </c>
    </row>
    <row r="1438" hidden="1">
      <c r="A1438" s="16" t="s">
        <v>2159</v>
      </c>
      <c r="B1438" s="51"/>
      <c r="C1438" s="18"/>
      <c r="D1438" s="98"/>
      <c r="E1438" s="19"/>
      <c r="F1438" s="19"/>
      <c r="G1438" s="16" t="s">
        <v>88</v>
      </c>
      <c r="H1438" s="21"/>
      <c r="I1438" s="22">
        <v>0.0</v>
      </c>
      <c r="J1438" s="47">
        <v>46204.0</v>
      </c>
      <c r="K1438" s="55">
        <v>15008.0</v>
      </c>
      <c r="L1438" s="55">
        <v>22000.0</v>
      </c>
      <c r="M1438" s="25"/>
      <c r="N1438" s="26">
        <v>18000.0</v>
      </c>
      <c r="O1438" s="27">
        <f t="shared" si="188"/>
        <v>0.4658848614</v>
      </c>
      <c r="P1438" s="28">
        <f t="shared" si="189"/>
        <v>0</v>
      </c>
    </row>
    <row r="1439" hidden="1">
      <c r="A1439" s="16" t="s">
        <v>2160</v>
      </c>
      <c r="B1439" s="17"/>
      <c r="C1439" s="18"/>
      <c r="D1439" s="4"/>
      <c r="E1439" s="19">
        <v>0.0</v>
      </c>
      <c r="F1439" s="19">
        <v>0.0</v>
      </c>
      <c r="G1439" s="16" t="s">
        <v>26</v>
      </c>
      <c r="H1439" s="21"/>
      <c r="I1439" s="22">
        <v>13.0</v>
      </c>
      <c r="J1439" s="29"/>
      <c r="K1439" s="32">
        <v>4500.0</v>
      </c>
      <c r="L1439" s="24">
        <v>10000.0</v>
      </c>
      <c r="M1439" s="25"/>
      <c r="N1439" s="26"/>
      <c r="O1439" s="27">
        <f t="shared" si="188"/>
        <v>1.222222222</v>
      </c>
      <c r="P1439" s="28">
        <f t="shared" si="189"/>
        <v>0</v>
      </c>
    </row>
    <row r="1440" hidden="1">
      <c r="A1440" s="59" t="s">
        <v>2161</v>
      </c>
      <c r="B1440" s="17"/>
      <c r="C1440" s="18"/>
      <c r="D1440" s="4"/>
      <c r="E1440" s="19">
        <v>0.0</v>
      </c>
      <c r="F1440" s="19">
        <v>0.0</v>
      </c>
      <c r="G1440" s="16" t="s">
        <v>2162</v>
      </c>
      <c r="H1440" s="21"/>
      <c r="I1440" s="22">
        <v>120.0</v>
      </c>
      <c r="J1440" s="29"/>
      <c r="K1440" s="43">
        <v>1341.0</v>
      </c>
      <c r="L1440" s="44">
        <v>3000.0</v>
      </c>
      <c r="M1440" s="25"/>
      <c r="N1440" s="26"/>
      <c r="O1440" s="27">
        <f t="shared" si="188"/>
        <v>1.237136465</v>
      </c>
      <c r="P1440" s="28">
        <f t="shared" si="189"/>
        <v>0</v>
      </c>
    </row>
    <row r="1441" hidden="1">
      <c r="A1441" s="52" t="s">
        <v>2163</v>
      </c>
      <c r="B1441" s="17"/>
      <c r="C1441" s="18"/>
      <c r="D1441" s="4"/>
      <c r="E1441" s="19">
        <v>0.0</v>
      </c>
      <c r="F1441" s="19"/>
      <c r="G1441" s="16" t="s">
        <v>2164</v>
      </c>
      <c r="H1441" s="21"/>
      <c r="I1441" s="22"/>
      <c r="J1441" s="29"/>
      <c r="K1441" s="43">
        <v>2900.0</v>
      </c>
      <c r="L1441" s="44">
        <v>10000.0</v>
      </c>
      <c r="M1441" s="25"/>
      <c r="N1441" s="26"/>
      <c r="O1441" s="27">
        <f t="shared" si="188"/>
        <v>2.448275862</v>
      </c>
      <c r="P1441" s="28">
        <f t="shared" si="189"/>
        <v>0</v>
      </c>
    </row>
    <row r="1442" hidden="1">
      <c r="A1442" s="122" t="s">
        <v>2165</v>
      </c>
      <c r="B1442" s="17">
        <v>241024.0</v>
      </c>
      <c r="C1442" s="18"/>
      <c r="D1442" s="4"/>
      <c r="E1442" s="19">
        <v>0.0</v>
      </c>
      <c r="F1442" s="19">
        <v>0.0</v>
      </c>
      <c r="G1442" s="16" t="s">
        <v>425</v>
      </c>
      <c r="H1442" s="21"/>
      <c r="I1442" s="22">
        <v>28.0</v>
      </c>
      <c r="J1442" s="29"/>
      <c r="K1442" s="43">
        <f>1643*1.19</f>
        <v>1955.17</v>
      </c>
      <c r="L1442" s="44">
        <v>3500.0</v>
      </c>
      <c r="M1442" s="25"/>
      <c r="N1442" s="70"/>
      <c r="O1442" s="27">
        <f t="shared" si="188"/>
        <v>0.7901256668</v>
      </c>
      <c r="P1442" s="28">
        <f t="shared" si="189"/>
        <v>0</v>
      </c>
    </row>
    <row r="1443" hidden="1">
      <c r="A1443" s="52" t="s">
        <v>2166</v>
      </c>
      <c r="B1443" s="17"/>
      <c r="C1443" s="18"/>
      <c r="D1443" s="67"/>
      <c r="E1443" s="19">
        <v>0.0</v>
      </c>
      <c r="F1443" s="19">
        <v>15.0</v>
      </c>
      <c r="G1443" s="16" t="s">
        <v>563</v>
      </c>
      <c r="H1443" s="21"/>
      <c r="I1443" s="22">
        <v>9.0</v>
      </c>
      <c r="J1443" s="29"/>
      <c r="K1443" s="32">
        <f>6300*1.19</f>
        <v>7497</v>
      </c>
      <c r="L1443" s="32">
        <v>15000.0</v>
      </c>
      <c r="M1443" s="25"/>
      <c r="N1443" s="70"/>
      <c r="O1443" s="27">
        <f t="shared" si="188"/>
        <v>1.00080032</v>
      </c>
      <c r="P1443" s="28">
        <f t="shared" si="189"/>
        <v>112455</v>
      </c>
    </row>
    <row r="1444" hidden="1">
      <c r="A1444" s="52" t="s">
        <v>2167</v>
      </c>
      <c r="B1444" s="17"/>
      <c r="C1444" s="18"/>
      <c r="D1444" s="4"/>
      <c r="E1444" s="19">
        <v>0.0</v>
      </c>
      <c r="F1444" s="19">
        <v>0.0</v>
      </c>
      <c r="G1444" s="16" t="s">
        <v>2168</v>
      </c>
      <c r="H1444" s="21"/>
      <c r="I1444" s="22">
        <v>0.0</v>
      </c>
      <c r="J1444" s="29"/>
      <c r="K1444" s="43">
        <v>7000.0</v>
      </c>
      <c r="L1444" s="44">
        <v>15000.0</v>
      </c>
      <c r="M1444" s="25"/>
      <c r="N1444" s="26"/>
      <c r="O1444" s="27">
        <f t="shared" si="188"/>
        <v>1.142857143</v>
      </c>
      <c r="P1444" s="28">
        <f t="shared" si="189"/>
        <v>0</v>
      </c>
    </row>
    <row r="1445" hidden="1">
      <c r="A1445" s="59" t="s">
        <v>2169</v>
      </c>
      <c r="B1445" s="17" t="s">
        <v>680</v>
      </c>
      <c r="C1445" s="18"/>
      <c r="D1445" s="4"/>
      <c r="E1445" s="19">
        <v>0.0</v>
      </c>
      <c r="F1445" s="19">
        <v>0.0</v>
      </c>
      <c r="G1445" s="16" t="s">
        <v>2170</v>
      </c>
      <c r="H1445" s="21"/>
      <c r="I1445" s="22">
        <v>5.0</v>
      </c>
      <c r="J1445" s="29"/>
      <c r="K1445" s="43">
        <v>2200.0</v>
      </c>
      <c r="L1445" s="44">
        <v>5000.0</v>
      </c>
      <c r="M1445" s="25"/>
      <c r="N1445" s="26"/>
      <c r="O1445" s="27">
        <f t="shared" si="188"/>
        <v>1.272727273</v>
      </c>
      <c r="P1445" s="28">
        <f t="shared" si="189"/>
        <v>0</v>
      </c>
    </row>
    <row r="1446" hidden="1">
      <c r="A1446" s="118" t="s">
        <v>2171</v>
      </c>
      <c r="B1446" s="17">
        <v>241023.0</v>
      </c>
      <c r="C1446" s="18"/>
      <c r="D1446" s="4"/>
      <c r="E1446" s="19">
        <v>0.0</v>
      </c>
      <c r="F1446" s="19">
        <v>0.0</v>
      </c>
      <c r="G1446" s="16" t="s">
        <v>425</v>
      </c>
      <c r="H1446" s="21"/>
      <c r="I1446" s="22">
        <v>40.0</v>
      </c>
      <c r="J1446" s="23"/>
      <c r="K1446" s="44">
        <f>1846*1.19</f>
        <v>2196.74</v>
      </c>
      <c r="L1446" s="44">
        <v>4000.0</v>
      </c>
      <c r="M1446" s="25"/>
      <c r="N1446" s="70"/>
      <c r="O1446" s="27">
        <f t="shared" si="188"/>
        <v>0.8208800313</v>
      </c>
      <c r="P1446" s="28">
        <f t="shared" si="189"/>
        <v>0</v>
      </c>
    </row>
    <row r="1447" hidden="1">
      <c r="A1447" s="59" t="s">
        <v>2172</v>
      </c>
      <c r="B1447" s="134"/>
      <c r="C1447" s="18" t="s">
        <v>2112</v>
      </c>
      <c r="D1447" s="98"/>
      <c r="E1447" s="19">
        <v>0.0</v>
      </c>
      <c r="F1447" s="19"/>
      <c r="G1447" s="16" t="s">
        <v>485</v>
      </c>
      <c r="H1447" s="21">
        <v>0.0</v>
      </c>
      <c r="I1447" s="22"/>
      <c r="J1447" s="22"/>
      <c r="K1447" s="43">
        <v>20000.0</v>
      </c>
      <c r="L1447" s="44">
        <v>30000.0</v>
      </c>
      <c r="M1447" s="25"/>
      <c r="N1447" s="26"/>
      <c r="O1447" s="27">
        <f t="shared" si="188"/>
        <v>0.5</v>
      </c>
      <c r="P1447" s="28">
        <f t="shared" si="189"/>
        <v>0</v>
      </c>
    </row>
    <row r="1448" hidden="1">
      <c r="A1448" s="255" t="s">
        <v>2173</v>
      </c>
      <c r="B1448" s="121"/>
      <c r="C1448" s="18"/>
      <c r="D1448" s="4"/>
      <c r="E1448" s="19">
        <v>0.0</v>
      </c>
      <c r="F1448" s="19">
        <v>0.0</v>
      </c>
      <c r="G1448" s="16" t="s">
        <v>16</v>
      </c>
      <c r="H1448" s="21"/>
      <c r="I1448" s="22">
        <v>21.0</v>
      </c>
      <c r="J1448" s="29"/>
      <c r="K1448" s="43">
        <f>180000/100</f>
        <v>1800</v>
      </c>
      <c r="L1448" s="44">
        <v>15000.0</v>
      </c>
      <c r="M1448" s="25"/>
      <c r="N1448" s="26">
        <v>10000.0</v>
      </c>
      <c r="O1448" s="27">
        <f t="shared" si="188"/>
        <v>7.333333333</v>
      </c>
      <c r="P1448" s="28">
        <f t="shared" si="189"/>
        <v>0</v>
      </c>
    </row>
    <row r="1449" hidden="1">
      <c r="A1449" s="255" t="s">
        <v>2174</v>
      </c>
      <c r="B1449" s="121"/>
      <c r="C1449" s="18"/>
      <c r="D1449" s="4"/>
      <c r="E1449" s="19"/>
      <c r="F1449" s="19">
        <v>0.0</v>
      </c>
      <c r="G1449" s="16" t="s">
        <v>93</v>
      </c>
      <c r="H1449" s="21"/>
      <c r="I1449" s="22"/>
      <c r="J1449" s="29"/>
      <c r="K1449" s="48">
        <v>29400.0</v>
      </c>
      <c r="L1449" s="55">
        <v>36000.0</v>
      </c>
      <c r="M1449" s="25"/>
      <c r="N1449" s="26"/>
      <c r="O1449" s="27">
        <f t="shared" si="188"/>
        <v>0.2244897959</v>
      </c>
      <c r="P1449" s="28">
        <f t="shared" si="189"/>
        <v>0</v>
      </c>
    </row>
    <row r="1450" hidden="1">
      <c r="A1450" s="255" t="s">
        <v>2175</v>
      </c>
      <c r="B1450" s="121"/>
      <c r="C1450" s="18"/>
      <c r="D1450" s="4"/>
      <c r="E1450" s="19"/>
      <c r="F1450" s="19"/>
      <c r="G1450" s="16"/>
      <c r="H1450" s="21"/>
      <c r="I1450" s="22"/>
      <c r="J1450" s="29"/>
      <c r="K1450" s="48"/>
      <c r="L1450" s="55"/>
      <c r="M1450" s="25"/>
      <c r="N1450" s="26"/>
      <c r="O1450" s="27"/>
      <c r="P1450" s="28"/>
    </row>
    <row r="1451" hidden="1">
      <c r="A1451" s="255" t="s">
        <v>2176</v>
      </c>
      <c r="B1451" s="121"/>
      <c r="C1451" s="18"/>
      <c r="D1451" s="4"/>
      <c r="E1451" s="19"/>
      <c r="F1451" s="19">
        <v>0.0</v>
      </c>
      <c r="G1451" s="16" t="s">
        <v>93</v>
      </c>
      <c r="H1451" s="21"/>
      <c r="I1451" s="22"/>
      <c r="J1451" s="29"/>
      <c r="K1451" s="43">
        <v>16160.0</v>
      </c>
      <c r="L1451" s="44">
        <v>21000.0</v>
      </c>
      <c r="M1451" s="25"/>
      <c r="N1451" s="26"/>
      <c r="O1451" s="27">
        <f t="shared" ref="O1451:O1467" si="190">(L1451/K1451)-1</f>
        <v>0.2995049505</v>
      </c>
      <c r="P1451" s="28">
        <f t="shared" ref="P1451:P1454" si="191">K1451*F1451</f>
        <v>0</v>
      </c>
    </row>
    <row r="1452" hidden="1">
      <c r="A1452" s="255" t="s">
        <v>2177</v>
      </c>
      <c r="B1452" s="121"/>
      <c r="C1452" s="18"/>
      <c r="D1452" s="4"/>
      <c r="E1452" s="19">
        <v>0.0</v>
      </c>
      <c r="F1452" s="19">
        <v>0.0</v>
      </c>
      <c r="G1452" s="16" t="s">
        <v>16</v>
      </c>
      <c r="H1452" s="21"/>
      <c r="I1452" s="22">
        <v>17.0</v>
      </c>
      <c r="J1452" s="29"/>
      <c r="K1452" s="32">
        <f t="shared" ref="K1452:K1454" si="192">180000/100</f>
        <v>1800</v>
      </c>
      <c r="L1452" s="24">
        <v>15000.0</v>
      </c>
      <c r="M1452" s="25"/>
      <c r="N1452" s="26"/>
      <c r="O1452" s="27">
        <f t="shared" si="190"/>
        <v>7.333333333</v>
      </c>
      <c r="P1452" s="28">
        <f t="shared" si="191"/>
        <v>0</v>
      </c>
    </row>
    <row r="1453" hidden="1">
      <c r="A1453" s="255" t="s">
        <v>2178</v>
      </c>
      <c r="B1453" s="121"/>
      <c r="C1453" s="18"/>
      <c r="D1453" s="4"/>
      <c r="E1453" s="19">
        <v>0.0</v>
      </c>
      <c r="F1453" s="19">
        <v>0.0</v>
      </c>
      <c r="G1453" s="16" t="s">
        <v>16</v>
      </c>
      <c r="H1453" s="21"/>
      <c r="I1453" s="22">
        <v>17.0</v>
      </c>
      <c r="J1453" s="29"/>
      <c r="K1453" s="43">
        <f t="shared" si="192"/>
        <v>1800</v>
      </c>
      <c r="L1453" s="44">
        <v>60000.0</v>
      </c>
      <c r="M1453" s="25"/>
      <c r="N1453" s="26"/>
      <c r="O1453" s="27">
        <f t="shared" si="190"/>
        <v>32.33333333</v>
      </c>
      <c r="P1453" s="28">
        <f t="shared" si="191"/>
        <v>0</v>
      </c>
    </row>
    <row r="1454" hidden="1">
      <c r="A1454" s="255" t="s">
        <v>2179</v>
      </c>
      <c r="B1454" s="121"/>
      <c r="C1454" s="18"/>
      <c r="D1454" s="4" t="s">
        <v>676</v>
      </c>
      <c r="E1454" s="19">
        <v>0.0</v>
      </c>
      <c r="F1454" s="19">
        <v>3.0</v>
      </c>
      <c r="G1454" s="16" t="s">
        <v>16</v>
      </c>
      <c r="H1454" s="21"/>
      <c r="I1454" s="22">
        <v>1.0</v>
      </c>
      <c r="J1454" s="29"/>
      <c r="K1454" s="32">
        <f t="shared" si="192"/>
        <v>1800</v>
      </c>
      <c r="L1454" s="24">
        <v>15000.0</v>
      </c>
      <c r="M1454" s="25"/>
      <c r="N1454" s="26"/>
      <c r="O1454" s="27">
        <f t="shared" si="190"/>
        <v>7.333333333</v>
      </c>
      <c r="P1454" s="28">
        <f t="shared" si="191"/>
        <v>5400</v>
      </c>
    </row>
    <row r="1455" hidden="1">
      <c r="A1455" s="16" t="s">
        <v>2180</v>
      </c>
      <c r="B1455" s="36"/>
      <c r="C1455" s="18"/>
      <c r="D1455" s="4" t="s">
        <v>998</v>
      </c>
      <c r="E1455" s="19">
        <v>0.0</v>
      </c>
      <c r="F1455" s="19">
        <v>5.0</v>
      </c>
      <c r="G1455" s="16" t="s">
        <v>73</v>
      </c>
      <c r="H1455" s="21"/>
      <c r="I1455" s="22"/>
      <c r="J1455" s="29"/>
      <c r="K1455" s="32">
        <f>(255000/10)</f>
        <v>25500</v>
      </c>
      <c r="L1455" s="24">
        <v>30000.0</v>
      </c>
      <c r="M1455" s="25" t="s">
        <v>82</v>
      </c>
      <c r="N1455" s="26"/>
      <c r="O1455" s="27">
        <f t="shared" si="190"/>
        <v>0.1764705882</v>
      </c>
      <c r="P1455" s="28" t="str">
        <f t="shared" ref="P1455:P1456" si="193">K1455*#REF!</f>
        <v>#REF!</v>
      </c>
    </row>
    <row r="1456" hidden="1">
      <c r="A1456" s="16" t="s">
        <v>2181</v>
      </c>
      <c r="B1456" s="36"/>
      <c r="C1456" s="18"/>
      <c r="D1456" s="4"/>
      <c r="E1456" s="19">
        <v>0.0</v>
      </c>
      <c r="F1456" s="19">
        <v>0.0</v>
      </c>
      <c r="G1456" s="16" t="s">
        <v>73</v>
      </c>
      <c r="H1456" s="21"/>
      <c r="I1456" s="22" t="s">
        <v>2182</v>
      </c>
      <c r="J1456" s="29"/>
      <c r="K1456" s="32">
        <f>(270000/15)*1.19</f>
        <v>21420</v>
      </c>
      <c r="L1456" s="24">
        <v>30000.0</v>
      </c>
      <c r="M1456" s="25" t="s">
        <v>82</v>
      </c>
      <c r="N1456" s="26"/>
      <c r="O1456" s="27">
        <f t="shared" si="190"/>
        <v>0.4005602241</v>
      </c>
      <c r="P1456" s="28" t="str">
        <f t="shared" si="193"/>
        <v>#REF!</v>
      </c>
    </row>
    <row r="1457" hidden="1">
      <c r="A1457" s="256" t="s">
        <v>2183</v>
      </c>
      <c r="B1457" s="134"/>
      <c r="C1457" s="18"/>
      <c r="D1457" s="4"/>
      <c r="E1457" s="19">
        <v>0.0</v>
      </c>
      <c r="F1457" s="19">
        <v>0.0</v>
      </c>
      <c r="G1457" s="16" t="s">
        <v>2184</v>
      </c>
      <c r="H1457" s="21"/>
      <c r="I1457" s="22">
        <v>0.0</v>
      </c>
      <c r="J1457" s="29"/>
      <c r="K1457" s="43">
        <v>48000.0</v>
      </c>
      <c r="L1457" s="44">
        <v>70000.0</v>
      </c>
      <c r="M1457" s="25"/>
      <c r="N1457" s="26"/>
      <c r="O1457" s="27">
        <f t="shared" si="190"/>
        <v>0.4583333333</v>
      </c>
      <c r="P1457" s="28">
        <f t="shared" ref="P1457:P1467" si="194">K1457*F1457</f>
        <v>0</v>
      </c>
    </row>
    <row r="1458" hidden="1">
      <c r="A1458" s="256" t="s">
        <v>2185</v>
      </c>
      <c r="B1458" s="134"/>
      <c r="C1458" s="18"/>
      <c r="D1458" s="4"/>
      <c r="E1458" s="19">
        <v>0.0</v>
      </c>
      <c r="F1458" s="19">
        <v>0.0</v>
      </c>
      <c r="G1458" s="16" t="s">
        <v>2184</v>
      </c>
      <c r="H1458" s="21"/>
      <c r="I1458" s="22">
        <v>2.0</v>
      </c>
      <c r="J1458" s="29"/>
      <c r="K1458" s="48">
        <v>94500.0</v>
      </c>
      <c r="L1458" s="55">
        <v>130000.0</v>
      </c>
      <c r="M1458" s="25"/>
      <c r="N1458" s="26"/>
      <c r="O1458" s="27">
        <f t="shared" si="190"/>
        <v>0.3756613757</v>
      </c>
      <c r="P1458" s="28">
        <f t="shared" si="194"/>
        <v>0</v>
      </c>
    </row>
    <row r="1459" hidden="1">
      <c r="A1459" s="16" t="s">
        <v>2186</v>
      </c>
      <c r="B1459" s="36" t="s">
        <v>2187</v>
      </c>
      <c r="C1459" s="18" t="s">
        <v>144</v>
      </c>
      <c r="D1459" s="4">
        <v>68300.0</v>
      </c>
      <c r="E1459" s="19">
        <v>0.0</v>
      </c>
      <c r="F1459" s="19">
        <v>0.0</v>
      </c>
      <c r="G1459" s="16" t="s">
        <v>70</v>
      </c>
      <c r="H1459" s="21"/>
      <c r="I1459" s="22"/>
      <c r="J1459" s="58">
        <v>45931.0</v>
      </c>
      <c r="K1459" s="32">
        <f t="shared" ref="K1459:K1460" si="195">90000*0.8</f>
        <v>72000</v>
      </c>
      <c r="L1459" s="24">
        <v>100000.0</v>
      </c>
      <c r="M1459" s="25" t="s">
        <v>82</v>
      </c>
      <c r="N1459" s="26"/>
      <c r="O1459" s="27">
        <f t="shared" si="190"/>
        <v>0.3888888889</v>
      </c>
      <c r="P1459" s="28">
        <f t="shared" si="194"/>
        <v>0</v>
      </c>
    </row>
    <row r="1460" hidden="1">
      <c r="A1460" s="16" t="s">
        <v>2188</v>
      </c>
      <c r="B1460" s="36" t="s">
        <v>2187</v>
      </c>
      <c r="C1460" s="18" t="s">
        <v>144</v>
      </c>
      <c r="D1460" s="4">
        <v>68300.0</v>
      </c>
      <c r="E1460" s="19">
        <v>0.0</v>
      </c>
      <c r="F1460" s="19">
        <v>0.0</v>
      </c>
      <c r="G1460" s="16" t="s">
        <v>70</v>
      </c>
      <c r="H1460" s="21"/>
      <c r="I1460" s="22"/>
      <c r="J1460" s="22" t="s">
        <v>2189</v>
      </c>
      <c r="K1460" s="32">
        <f t="shared" si="195"/>
        <v>72000</v>
      </c>
      <c r="L1460" s="24">
        <v>100000.0</v>
      </c>
      <c r="M1460" s="25" t="s">
        <v>82</v>
      </c>
      <c r="N1460" s="26"/>
      <c r="O1460" s="27">
        <f t="shared" si="190"/>
        <v>0.3888888889</v>
      </c>
      <c r="P1460" s="28">
        <f t="shared" si="194"/>
        <v>0</v>
      </c>
    </row>
    <row r="1461" hidden="1">
      <c r="A1461" s="16" t="s">
        <v>2190</v>
      </c>
      <c r="B1461" s="36" t="s">
        <v>2187</v>
      </c>
      <c r="C1461" s="18" t="s">
        <v>144</v>
      </c>
      <c r="D1461" s="4">
        <v>68300.0</v>
      </c>
      <c r="E1461" s="19">
        <v>0.0</v>
      </c>
      <c r="F1461" s="19">
        <v>0.0</v>
      </c>
      <c r="G1461" s="16" t="s">
        <v>70</v>
      </c>
      <c r="H1461" s="21"/>
      <c r="I1461" s="22"/>
      <c r="J1461" s="47">
        <v>45748.0</v>
      </c>
      <c r="K1461" s="32">
        <v>72000.0</v>
      </c>
      <c r="L1461" s="24">
        <v>100000.0</v>
      </c>
      <c r="M1461" s="25" t="s">
        <v>76</v>
      </c>
      <c r="N1461" s="26"/>
      <c r="O1461" s="27">
        <f t="shared" si="190"/>
        <v>0.3888888889</v>
      </c>
      <c r="P1461" s="28">
        <f t="shared" si="194"/>
        <v>0</v>
      </c>
    </row>
    <row r="1462" hidden="1">
      <c r="A1462" s="16" t="s">
        <v>2191</v>
      </c>
      <c r="B1462" s="36" t="s">
        <v>2192</v>
      </c>
      <c r="C1462" s="18" t="s">
        <v>144</v>
      </c>
      <c r="D1462" s="4">
        <v>272600.0</v>
      </c>
      <c r="E1462" s="19">
        <v>0.0</v>
      </c>
      <c r="F1462" s="19">
        <v>0.0</v>
      </c>
      <c r="G1462" s="16" t="s">
        <v>70</v>
      </c>
      <c r="H1462" s="21"/>
      <c r="I1462" s="22"/>
      <c r="J1462" s="29"/>
      <c r="K1462" s="48">
        <v>272600.0</v>
      </c>
      <c r="L1462" s="55">
        <v>340000.0</v>
      </c>
      <c r="M1462" s="25" t="s">
        <v>76</v>
      </c>
      <c r="N1462" s="26">
        <v>210000.0</v>
      </c>
      <c r="O1462" s="27">
        <f t="shared" si="190"/>
        <v>0.2472487161</v>
      </c>
      <c r="P1462" s="28">
        <f t="shared" si="194"/>
        <v>0</v>
      </c>
    </row>
    <row r="1463" hidden="1">
      <c r="A1463" s="52" t="s">
        <v>2193</v>
      </c>
      <c r="B1463" s="17"/>
      <c r="C1463" s="18"/>
      <c r="D1463" s="4"/>
      <c r="E1463" s="19">
        <v>0.0</v>
      </c>
      <c r="F1463" s="19">
        <v>0.0</v>
      </c>
      <c r="G1463" s="16" t="s">
        <v>563</v>
      </c>
      <c r="H1463" s="21"/>
      <c r="I1463" s="22">
        <v>7.0</v>
      </c>
      <c r="J1463" s="29"/>
      <c r="K1463" s="48">
        <v>25000.0</v>
      </c>
      <c r="L1463" s="55">
        <v>45000.0</v>
      </c>
      <c r="M1463" s="25"/>
      <c r="N1463" s="26"/>
      <c r="O1463" s="27">
        <f t="shared" si="190"/>
        <v>0.8</v>
      </c>
      <c r="P1463" s="28">
        <f t="shared" si="194"/>
        <v>0</v>
      </c>
    </row>
    <row r="1464" hidden="1">
      <c r="A1464" s="52" t="s">
        <v>2852</v>
      </c>
      <c r="B1464" s="17"/>
      <c r="C1464" s="18"/>
      <c r="D1464" s="67"/>
      <c r="E1464" s="19">
        <v>1.0</v>
      </c>
      <c r="F1464" s="19">
        <v>10.0</v>
      </c>
      <c r="G1464" s="16" t="s">
        <v>563</v>
      </c>
      <c r="H1464" s="21"/>
      <c r="I1464" s="22">
        <v>16.0</v>
      </c>
      <c r="J1464" s="23"/>
      <c r="K1464" s="24">
        <f>(33000*1.19)/10</f>
        <v>3927</v>
      </c>
      <c r="L1464" s="24">
        <v>6000.0</v>
      </c>
      <c r="M1464" s="25"/>
      <c r="N1464" s="26"/>
      <c r="O1464" s="27">
        <f t="shared" si="190"/>
        <v>0.5278838808</v>
      </c>
      <c r="P1464" s="28">
        <f t="shared" si="194"/>
        <v>39270</v>
      </c>
    </row>
    <row r="1465" hidden="1">
      <c r="A1465" s="16" t="s">
        <v>2195</v>
      </c>
      <c r="B1465" s="51" t="s">
        <v>2196</v>
      </c>
      <c r="C1465" s="18"/>
      <c r="D1465" s="4"/>
      <c r="E1465" s="19">
        <v>0.0</v>
      </c>
      <c r="F1465" s="19">
        <v>0.0</v>
      </c>
      <c r="G1465" s="16" t="s">
        <v>1661</v>
      </c>
      <c r="H1465" s="21"/>
      <c r="I1465" s="22">
        <v>4.0</v>
      </c>
      <c r="J1465" s="29"/>
      <c r="K1465" s="32">
        <v>115000.0</v>
      </c>
      <c r="L1465" s="24">
        <v>200000.0</v>
      </c>
      <c r="M1465" s="25"/>
      <c r="N1465" s="50"/>
      <c r="O1465" s="27">
        <f t="shared" si="190"/>
        <v>0.7391304348</v>
      </c>
      <c r="P1465" s="28">
        <f t="shared" si="194"/>
        <v>0</v>
      </c>
    </row>
    <row r="1466" hidden="1">
      <c r="A1466" s="59" t="s">
        <v>2197</v>
      </c>
      <c r="B1466" s="17"/>
      <c r="C1466" s="18"/>
      <c r="D1466" s="4"/>
      <c r="E1466" s="19">
        <v>0.0</v>
      </c>
      <c r="F1466" s="19">
        <v>0.0</v>
      </c>
      <c r="G1466" s="16" t="s">
        <v>2162</v>
      </c>
      <c r="H1466" s="21"/>
      <c r="I1466" s="22">
        <v>100.0</v>
      </c>
      <c r="J1466" s="29"/>
      <c r="K1466" s="43">
        <v>141.0</v>
      </c>
      <c r="L1466" s="44">
        <v>500.0</v>
      </c>
      <c r="M1466" s="25"/>
      <c r="N1466" s="26"/>
      <c r="O1466" s="27">
        <f t="shared" si="190"/>
        <v>2.546099291</v>
      </c>
      <c r="P1466" s="28">
        <f t="shared" si="194"/>
        <v>0</v>
      </c>
    </row>
    <row r="1467" hidden="1">
      <c r="A1467" s="40" t="s">
        <v>2198</v>
      </c>
      <c r="B1467" s="17"/>
      <c r="C1467" s="18"/>
      <c r="D1467" s="4"/>
      <c r="E1467" s="19">
        <v>0.0</v>
      </c>
      <c r="F1467" s="19">
        <v>2.0</v>
      </c>
      <c r="G1467" s="16" t="s">
        <v>2199</v>
      </c>
      <c r="H1467" s="21"/>
      <c r="I1467" s="22"/>
      <c r="J1467" s="29"/>
      <c r="K1467" s="43">
        <v>12000.0</v>
      </c>
      <c r="L1467" s="44">
        <v>20000.0</v>
      </c>
      <c r="M1467" s="25"/>
      <c r="N1467" s="26"/>
      <c r="O1467" s="27">
        <f t="shared" si="190"/>
        <v>0.6666666667</v>
      </c>
      <c r="P1467" s="28">
        <f t="shared" si="194"/>
        <v>24000</v>
      </c>
    </row>
    <row r="1468" hidden="1">
      <c r="A1468" s="16" t="s">
        <v>2200</v>
      </c>
      <c r="B1468" s="17"/>
      <c r="C1468" s="18"/>
      <c r="D1468" s="4"/>
      <c r="E1468" s="19">
        <v>0.0</v>
      </c>
      <c r="F1468" s="19">
        <v>0.0</v>
      </c>
      <c r="G1468" s="16" t="s">
        <v>400</v>
      </c>
      <c r="H1468" s="21"/>
      <c r="I1468" s="22">
        <v>9.0</v>
      </c>
      <c r="J1468" s="29"/>
      <c r="K1468" s="43"/>
      <c r="L1468" s="44"/>
      <c r="M1468" s="25"/>
      <c r="N1468" s="26"/>
      <c r="O1468" s="27"/>
      <c r="P1468" s="28"/>
    </row>
    <row r="1469" hidden="1">
      <c r="A1469" s="122" t="s">
        <v>2201</v>
      </c>
      <c r="B1469" s="156"/>
      <c r="C1469" s="18"/>
      <c r="D1469" s="4"/>
      <c r="E1469" s="19">
        <v>0.0</v>
      </c>
      <c r="F1469" s="19">
        <v>0.0</v>
      </c>
      <c r="G1469" s="16" t="s">
        <v>580</v>
      </c>
      <c r="H1469" s="21"/>
      <c r="I1469" s="22">
        <v>5.0</v>
      </c>
      <c r="J1469" s="29"/>
      <c r="K1469" s="32">
        <f>55000/2</f>
        <v>27500</v>
      </c>
      <c r="L1469" s="24">
        <v>90000.0</v>
      </c>
      <c r="M1469" s="25"/>
      <c r="N1469" s="50">
        <v>60000.0</v>
      </c>
      <c r="O1469" s="27">
        <f t="shared" ref="O1469:O1507" si="196">(L1469/K1469)-1</f>
        <v>2.272727273</v>
      </c>
      <c r="P1469" s="28">
        <f>K1469*F1469</f>
        <v>0</v>
      </c>
    </row>
    <row r="1470" hidden="1">
      <c r="A1470" s="122" t="s">
        <v>2202</v>
      </c>
      <c r="B1470" s="156"/>
      <c r="C1470" s="18"/>
      <c r="D1470" s="4"/>
      <c r="E1470" s="19">
        <v>0.0</v>
      </c>
      <c r="F1470" s="19">
        <v>0.0</v>
      </c>
      <c r="G1470" s="16" t="s">
        <v>580</v>
      </c>
      <c r="H1470" s="21"/>
      <c r="I1470" s="22"/>
      <c r="J1470" s="29"/>
      <c r="K1470" s="32">
        <v>55000.0</v>
      </c>
      <c r="L1470" s="24">
        <v>150000.0</v>
      </c>
      <c r="M1470" s="25"/>
      <c r="N1470" s="50">
        <v>110000.0</v>
      </c>
      <c r="O1470" s="27">
        <f t="shared" si="196"/>
        <v>1.727272727</v>
      </c>
      <c r="P1470" s="28"/>
    </row>
    <row r="1471" hidden="1">
      <c r="A1471" s="122" t="s">
        <v>2203</v>
      </c>
      <c r="B1471" s="17">
        <v>240033.0</v>
      </c>
      <c r="C1471" s="18" t="s">
        <v>687</v>
      </c>
      <c r="D1471" s="257"/>
      <c r="E1471" s="19">
        <v>0.0</v>
      </c>
      <c r="F1471" s="19">
        <v>0.0</v>
      </c>
      <c r="G1471" s="16" t="s">
        <v>2204</v>
      </c>
      <c r="H1471" s="21"/>
      <c r="I1471" s="22">
        <v>70.0</v>
      </c>
      <c r="J1471" s="23"/>
      <c r="K1471" s="55">
        <f t="shared" ref="K1471:K1473" si="197">3200*0.95*1.19</f>
        <v>3617.6</v>
      </c>
      <c r="L1471" s="55">
        <v>9000.0</v>
      </c>
      <c r="M1471" s="25"/>
      <c r="N1471" s="70"/>
      <c r="O1471" s="27">
        <f t="shared" si="196"/>
        <v>1.48783724</v>
      </c>
      <c r="P1471" s="28">
        <f t="shared" ref="P1471:P1500" si="198">K1471*F1471</f>
        <v>0</v>
      </c>
    </row>
    <row r="1472" hidden="1">
      <c r="A1472" s="122" t="s">
        <v>2205</v>
      </c>
      <c r="B1472" s="17">
        <v>240031.0</v>
      </c>
      <c r="C1472" s="18" t="s">
        <v>687</v>
      </c>
      <c r="D1472" s="257"/>
      <c r="E1472" s="19">
        <v>0.0</v>
      </c>
      <c r="F1472" s="19">
        <v>0.0</v>
      </c>
      <c r="G1472" s="16" t="s">
        <v>2204</v>
      </c>
      <c r="H1472" s="21"/>
      <c r="I1472" s="22">
        <v>80.0</v>
      </c>
      <c r="J1472" s="23"/>
      <c r="K1472" s="55">
        <f t="shared" si="197"/>
        <v>3617.6</v>
      </c>
      <c r="L1472" s="55">
        <v>9000.0</v>
      </c>
      <c r="M1472" s="25"/>
      <c r="N1472" s="70"/>
      <c r="O1472" s="27">
        <f t="shared" si="196"/>
        <v>1.48783724</v>
      </c>
      <c r="P1472" s="28">
        <f t="shared" si="198"/>
        <v>0</v>
      </c>
    </row>
    <row r="1473" hidden="1">
      <c r="A1473" s="122" t="s">
        <v>2206</v>
      </c>
      <c r="B1473" s="17">
        <v>240032.0</v>
      </c>
      <c r="C1473" s="18" t="s">
        <v>687</v>
      </c>
      <c r="D1473" s="257"/>
      <c r="E1473" s="19">
        <v>0.0</v>
      </c>
      <c r="F1473" s="19">
        <v>0.0</v>
      </c>
      <c r="G1473" s="16" t="s">
        <v>2204</v>
      </c>
      <c r="H1473" s="21"/>
      <c r="I1473" s="22">
        <v>70.0</v>
      </c>
      <c r="J1473" s="23"/>
      <c r="K1473" s="55">
        <f t="shared" si="197"/>
        <v>3617.6</v>
      </c>
      <c r="L1473" s="55">
        <v>9000.0</v>
      </c>
      <c r="M1473" s="25"/>
      <c r="N1473" s="70"/>
      <c r="O1473" s="27">
        <f t="shared" si="196"/>
        <v>1.48783724</v>
      </c>
      <c r="P1473" s="28">
        <f t="shared" si="198"/>
        <v>0</v>
      </c>
    </row>
    <row r="1474" hidden="1">
      <c r="A1474" s="122" t="s">
        <v>2207</v>
      </c>
      <c r="B1474" s="258">
        <f>120137</f>
        <v>120137</v>
      </c>
      <c r="C1474" s="223" t="s">
        <v>2208</v>
      </c>
      <c r="D1474" s="4"/>
      <c r="E1474" s="19">
        <v>0.0</v>
      </c>
      <c r="F1474" s="19">
        <v>0.0</v>
      </c>
      <c r="G1474" s="16" t="s">
        <v>1205</v>
      </c>
      <c r="H1474" s="21"/>
      <c r="I1474" s="22">
        <v>18.0</v>
      </c>
      <c r="J1474" s="29"/>
      <c r="K1474" s="43">
        <f>108000*1.19</f>
        <v>128520</v>
      </c>
      <c r="L1474" s="44">
        <v>165000.0</v>
      </c>
      <c r="M1474" s="25" t="s">
        <v>9</v>
      </c>
      <c r="N1474" s="26">
        <v>148000.0</v>
      </c>
      <c r="O1474" s="27">
        <f t="shared" si="196"/>
        <v>0.2838468721</v>
      </c>
      <c r="P1474" s="28">
        <f t="shared" si="198"/>
        <v>0</v>
      </c>
    </row>
    <row r="1475" hidden="1">
      <c r="A1475" s="122" t="s">
        <v>2209</v>
      </c>
      <c r="B1475" s="17">
        <v>240037.0</v>
      </c>
      <c r="C1475" s="18"/>
      <c r="D1475" s="4"/>
      <c r="E1475" s="19">
        <v>0.0</v>
      </c>
      <c r="F1475" s="19">
        <v>0.0</v>
      </c>
      <c r="G1475" s="16" t="s">
        <v>659</v>
      </c>
      <c r="H1475" s="21"/>
      <c r="I1475" s="22">
        <v>0.0</v>
      </c>
      <c r="J1475" s="259"/>
      <c r="K1475" s="260">
        <f t="shared" ref="K1475:K1478" si="199">3029*1.19</f>
        <v>3604.51</v>
      </c>
      <c r="L1475" s="44">
        <v>9000.0</v>
      </c>
      <c r="M1475" s="25"/>
      <c r="N1475" s="70"/>
      <c r="O1475" s="27">
        <f t="shared" si="196"/>
        <v>1.496871974</v>
      </c>
      <c r="P1475" s="28">
        <f t="shared" si="198"/>
        <v>0</v>
      </c>
    </row>
    <row r="1476" hidden="1">
      <c r="A1476" s="122" t="s">
        <v>2210</v>
      </c>
      <c r="B1476" s="17">
        <v>240040.0</v>
      </c>
      <c r="C1476" s="18"/>
      <c r="D1476" s="4"/>
      <c r="E1476" s="19">
        <v>0.0</v>
      </c>
      <c r="F1476" s="19">
        <v>0.0</v>
      </c>
      <c r="G1476" s="16" t="s">
        <v>659</v>
      </c>
      <c r="H1476" s="21"/>
      <c r="I1476" s="22" t="s">
        <v>99</v>
      </c>
      <c r="J1476" s="259"/>
      <c r="K1476" s="260">
        <f t="shared" si="199"/>
        <v>3604.51</v>
      </c>
      <c r="L1476" s="44">
        <v>9000.0</v>
      </c>
      <c r="M1476" s="25"/>
      <c r="N1476" s="70"/>
      <c r="O1476" s="27">
        <f t="shared" si="196"/>
        <v>1.496871974</v>
      </c>
      <c r="P1476" s="28">
        <f t="shared" si="198"/>
        <v>0</v>
      </c>
    </row>
    <row r="1477" hidden="1">
      <c r="A1477" s="122" t="s">
        <v>2211</v>
      </c>
      <c r="B1477" s="17">
        <v>240038.0</v>
      </c>
      <c r="C1477" s="18"/>
      <c r="D1477" s="4"/>
      <c r="E1477" s="19">
        <v>0.0</v>
      </c>
      <c r="F1477" s="19">
        <v>0.0</v>
      </c>
      <c r="G1477" s="16" t="s">
        <v>659</v>
      </c>
      <c r="H1477" s="21"/>
      <c r="I1477" s="22" t="s">
        <v>99</v>
      </c>
      <c r="J1477" s="259"/>
      <c r="K1477" s="260">
        <f t="shared" si="199"/>
        <v>3604.51</v>
      </c>
      <c r="L1477" s="44">
        <v>9000.0</v>
      </c>
      <c r="M1477" s="25"/>
      <c r="N1477" s="70"/>
      <c r="O1477" s="27">
        <f t="shared" si="196"/>
        <v>1.496871974</v>
      </c>
      <c r="P1477" s="28">
        <f t="shared" si="198"/>
        <v>0</v>
      </c>
    </row>
    <row r="1478" hidden="1">
      <c r="A1478" s="122" t="s">
        <v>2212</v>
      </c>
      <c r="B1478" s="17">
        <v>240039.0</v>
      </c>
      <c r="C1478" s="18"/>
      <c r="D1478" s="4"/>
      <c r="E1478" s="19">
        <v>0.0</v>
      </c>
      <c r="F1478" s="19">
        <v>0.0</v>
      </c>
      <c r="G1478" s="16" t="s">
        <v>659</v>
      </c>
      <c r="H1478" s="21"/>
      <c r="I1478" s="22">
        <v>50.0</v>
      </c>
      <c r="J1478" s="259"/>
      <c r="K1478" s="260">
        <f t="shared" si="199"/>
        <v>3604.51</v>
      </c>
      <c r="L1478" s="44">
        <v>9000.0</v>
      </c>
      <c r="M1478" s="25"/>
      <c r="N1478" s="70"/>
      <c r="O1478" s="27">
        <f t="shared" si="196"/>
        <v>1.496871974</v>
      </c>
      <c r="P1478" s="28">
        <f t="shared" si="198"/>
        <v>0</v>
      </c>
    </row>
    <row r="1479" hidden="1">
      <c r="A1479" s="122" t="s">
        <v>2213</v>
      </c>
      <c r="B1479" s="17">
        <v>240030.0</v>
      </c>
      <c r="C1479" s="18"/>
      <c r="D1479" s="4"/>
      <c r="E1479" s="19">
        <v>0.0</v>
      </c>
      <c r="F1479" s="19">
        <v>0.0</v>
      </c>
      <c r="G1479" s="16" t="s">
        <v>659</v>
      </c>
      <c r="H1479" s="21"/>
      <c r="I1479" s="22" t="s">
        <v>99</v>
      </c>
      <c r="J1479" s="23"/>
      <c r="K1479" s="44">
        <f t="shared" ref="K1479:K1484" si="200">5251*1.19</f>
        <v>6248.69</v>
      </c>
      <c r="L1479" s="44">
        <v>9000.0</v>
      </c>
      <c r="M1479" s="25"/>
      <c r="N1479" s="26"/>
      <c r="O1479" s="27">
        <f t="shared" si="196"/>
        <v>0.4403018873</v>
      </c>
      <c r="P1479" s="28">
        <f t="shared" si="198"/>
        <v>0</v>
      </c>
    </row>
    <row r="1480" hidden="1">
      <c r="A1480" s="122" t="s">
        <v>2214</v>
      </c>
      <c r="B1480" s="17">
        <v>240028.0</v>
      </c>
      <c r="C1480" s="18"/>
      <c r="D1480" s="4"/>
      <c r="E1480" s="19">
        <v>0.0</v>
      </c>
      <c r="F1480" s="19">
        <v>0.0</v>
      </c>
      <c r="G1480" s="16" t="s">
        <v>659</v>
      </c>
      <c r="H1480" s="21"/>
      <c r="I1480" s="22" t="s">
        <v>99</v>
      </c>
      <c r="J1480" s="23"/>
      <c r="K1480" s="44">
        <f t="shared" si="200"/>
        <v>6248.69</v>
      </c>
      <c r="L1480" s="44">
        <v>9000.0</v>
      </c>
      <c r="M1480" s="25"/>
      <c r="N1480" s="26"/>
      <c r="O1480" s="27">
        <f t="shared" si="196"/>
        <v>0.4403018873</v>
      </c>
      <c r="P1480" s="28">
        <f t="shared" si="198"/>
        <v>0</v>
      </c>
    </row>
    <row r="1481" hidden="1">
      <c r="A1481" s="122" t="s">
        <v>2215</v>
      </c>
      <c r="B1481" s="17">
        <v>240029.0</v>
      </c>
      <c r="C1481" s="18"/>
      <c r="D1481" s="4"/>
      <c r="E1481" s="19">
        <v>0.0</v>
      </c>
      <c r="F1481" s="19">
        <v>0.0</v>
      </c>
      <c r="G1481" s="16" t="s">
        <v>659</v>
      </c>
      <c r="H1481" s="21"/>
      <c r="I1481" s="22" t="s">
        <v>99</v>
      </c>
      <c r="J1481" s="23"/>
      <c r="K1481" s="44">
        <f t="shared" si="200"/>
        <v>6248.69</v>
      </c>
      <c r="L1481" s="44">
        <v>9000.0</v>
      </c>
      <c r="M1481" s="25"/>
      <c r="N1481" s="70"/>
      <c r="O1481" s="27">
        <f t="shared" si="196"/>
        <v>0.4403018873</v>
      </c>
      <c r="P1481" s="28">
        <f t="shared" si="198"/>
        <v>0</v>
      </c>
    </row>
    <row r="1482" hidden="1">
      <c r="A1482" s="122" t="s">
        <v>2216</v>
      </c>
      <c r="B1482" s="17">
        <v>240025.0</v>
      </c>
      <c r="C1482" s="18"/>
      <c r="D1482" s="4"/>
      <c r="E1482" s="19">
        <v>0.0</v>
      </c>
      <c r="F1482" s="19">
        <v>0.0</v>
      </c>
      <c r="G1482" s="16" t="s">
        <v>659</v>
      </c>
      <c r="H1482" s="21"/>
      <c r="I1482" s="22">
        <v>12.0</v>
      </c>
      <c r="J1482" s="23"/>
      <c r="K1482" s="44">
        <f t="shared" si="200"/>
        <v>6248.69</v>
      </c>
      <c r="L1482" s="44">
        <v>9000.0</v>
      </c>
      <c r="M1482" s="25"/>
      <c r="N1482" s="26"/>
      <c r="O1482" s="27">
        <f t="shared" si="196"/>
        <v>0.4403018873</v>
      </c>
      <c r="P1482" s="28">
        <f t="shared" si="198"/>
        <v>0</v>
      </c>
    </row>
    <row r="1483" hidden="1">
      <c r="A1483" s="122" t="s">
        <v>2217</v>
      </c>
      <c r="B1483" s="17">
        <v>240027.0</v>
      </c>
      <c r="C1483" s="18"/>
      <c r="D1483" s="4"/>
      <c r="E1483" s="19">
        <v>0.0</v>
      </c>
      <c r="F1483" s="19">
        <v>0.0</v>
      </c>
      <c r="G1483" s="16" t="s">
        <v>659</v>
      </c>
      <c r="H1483" s="21"/>
      <c r="I1483" s="22">
        <v>20.0</v>
      </c>
      <c r="J1483" s="23"/>
      <c r="K1483" s="44">
        <f t="shared" si="200"/>
        <v>6248.69</v>
      </c>
      <c r="L1483" s="44">
        <v>9000.0</v>
      </c>
      <c r="M1483" s="25"/>
      <c r="N1483" s="26"/>
      <c r="O1483" s="27">
        <f t="shared" si="196"/>
        <v>0.4403018873</v>
      </c>
      <c r="P1483" s="28">
        <f t="shared" si="198"/>
        <v>0</v>
      </c>
    </row>
    <row r="1484" hidden="1">
      <c r="A1484" s="122" t="s">
        <v>2218</v>
      </c>
      <c r="B1484" s="17">
        <v>240026.0</v>
      </c>
      <c r="C1484" s="18"/>
      <c r="D1484" s="4"/>
      <c r="E1484" s="19">
        <v>0.0</v>
      </c>
      <c r="F1484" s="19">
        <v>0.0</v>
      </c>
      <c r="G1484" s="16" t="s">
        <v>659</v>
      </c>
      <c r="H1484" s="21"/>
      <c r="I1484" s="22">
        <v>50.0</v>
      </c>
      <c r="J1484" s="23"/>
      <c r="K1484" s="44">
        <f t="shared" si="200"/>
        <v>6248.69</v>
      </c>
      <c r="L1484" s="44">
        <v>9000.0</v>
      </c>
      <c r="M1484" s="25"/>
      <c r="N1484" s="26"/>
      <c r="O1484" s="27">
        <f t="shared" si="196"/>
        <v>0.4403018873</v>
      </c>
      <c r="P1484" s="28">
        <f t="shared" si="198"/>
        <v>0</v>
      </c>
    </row>
    <row r="1485" hidden="1">
      <c r="A1485" s="16" t="s">
        <v>2219</v>
      </c>
      <c r="B1485" s="36"/>
      <c r="C1485" s="18"/>
      <c r="D1485" s="4"/>
      <c r="E1485" s="19">
        <v>0.0</v>
      </c>
      <c r="F1485" s="19">
        <v>10.0</v>
      </c>
      <c r="G1485" s="16" t="s">
        <v>932</v>
      </c>
      <c r="H1485" s="21"/>
      <c r="I1485" s="22">
        <v>10.0</v>
      </c>
      <c r="J1485" s="29"/>
      <c r="K1485" s="43">
        <f t="shared" ref="K1485:K1486" si="201">2269*1.19</f>
        <v>2700.11</v>
      </c>
      <c r="L1485" s="44">
        <v>6000.0</v>
      </c>
      <c r="M1485" s="25"/>
      <c r="N1485" s="26"/>
      <c r="O1485" s="27">
        <f t="shared" si="196"/>
        <v>1.222131691</v>
      </c>
      <c r="P1485" s="28">
        <f t="shared" si="198"/>
        <v>27001.1</v>
      </c>
    </row>
    <row r="1486" hidden="1">
      <c r="A1486" s="16" t="s">
        <v>2220</v>
      </c>
      <c r="B1486" s="49"/>
      <c r="C1486" s="18"/>
      <c r="D1486" s="4"/>
      <c r="E1486" s="19">
        <v>0.0</v>
      </c>
      <c r="F1486" s="19">
        <v>10.0</v>
      </c>
      <c r="G1486" s="16" t="s">
        <v>932</v>
      </c>
      <c r="H1486" s="21"/>
      <c r="I1486" s="22">
        <v>10.0</v>
      </c>
      <c r="J1486" s="29"/>
      <c r="K1486" s="43">
        <f t="shared" si="201"/>
        <v>2700.11</v>
      </c>
      <c r="L1486" s="44">
        <v>6000.0</v>
      </c>
      <c r="M1486" s="25"/>
      <c r="N1486" s="26"/>
      <c r="O1486" s="27">
        <f t="shared" si="196"/>
        <v>1.222131691</v>
      </c>
      <c r="P1486" s="28">
        <f t="shared" si="198"/>
        <v>27001.1</v>
      </c>
    </row>
    <row r="1487" hidden="1">
      <c r="A1487" s="122" t="s">
        <v>2221</v>
      </c>
      <c r="B1487" s="17">
        <v>241060.0</v>
      </c>
      <c r="C1487" s="18"/>
      <c r="D1487" s="4"/>
      <c r="E1487" s="19">
        <v>0.0</v>
      </c>
      <c r="F1487" s="19">
        <v>0.0</v>
      </c>
      <c r="G1487" s="16" t="s">
        <v>659</v>
      </c>
      <c r="H1487" s="21"/>
      <c r="I1487" s="22">
        <v>20.0</v>
      </c>
      <c r="J1487" s="23"/>
      <c r="K1487" s="44">
        <f t="shared" ref="K1487:K1489" si="202">3786*1.19</f>
        <v>4505.34</v>
      </c>
      <c r="L1487" s="44">
        <v>9000.0</v>
      </c>
      <c r="M1487" s="25"/>
      <c r="N1487" s="26"/>
      <c r="O1487" s="27">
        <f t="shared" si="196"/>
        <v>0.9976294797</v>
      </c>
      <c r="P1487" s="28">
        <f t="shared" si="198"/>
        <v>0</v>
      </c>
    </row>
    <row r="1488" hidden="1">
      <c r="A1488" s="122" t="s">
        <v>2222</v>
      </c>
      <c r="B1488" s="17">
        <v>241058.0</v>
      </c>
      <c r="C1488" s="18"/>
      <c r="D1488" s="4"/>
      <c r="E1488" s="19">
        <v>0.0</v>
      </c>
      <c r="F1488" s="19">
        <v>0.0</v>
      </c>
      <c r="G1488" s="16" t="s">
        <v>659</v>
      </c>
      <c r="H1488" s="21"/>
      <c r="I1488" s="22">
        <v>20.0</v>
      </c>
      <c r="J1488" s="23"/>
      <c r="K1488" s="44">
        <f t="shared" si="202"/>
        <v>4505.34</v>
      </c>
      <c r="L1488" s="44">
        <v>9000.0</v>
      </c>
      <c r="M1488" s="25"/>
      <c r="N1488" s="70"/>
      <c r="O1488" s="27">
        <f t="shared" si="196"/>
        <v>0.9976294797</v>
      </c>
      <c r="P1488" s="28">
        <f t="shared" si="198"/>
        <v>0</v>
      </c>
    </row>
    <row r="1489" hidden="1">
      <c r="A1489" s="122" t="s">
        <v>2223</v>
      </c>
      <c r="B1489" s="17">
        <v>241059.0</v>
      </c>
      <c r="C1489" s="18"/>
      <c r="D1489" s="4"/>
      <c r="E1489" s="19">
        <v>0.0</v>
      </c>
      <c r="F1489" s="19">
        <v>0.0</v>
      </c>
      <c r="G1489" s="16" t="s">
        <v>659</v>
      </c>
      <c r="H1489" s="21"/>
      <c r="I1489" s="22">
        <v>20.0</v>
      </c>
      <c r="J1489" s="23"/>
      <c r="K1489" s="44">
        <f t="shared" si="202"/>
        <v>4505.34</v>
      </c>
      <c r="L1489" s="44">
        <v>9000.0</v>
      </c>
      <c r="M1489" s="25"/>
      <c r="N1489" s="70"/>
      <c r="O1489" s="27">
        <f t="shared" si="196"/>
        <v>0.9976294797</v>
      </c>
      <c r="P1489" s="28">
        <f t="shared" si="198"/>
        <v>0</v>
      </c>
    </row>
    <row r="1490" hidden="1">
      <c r="A1490" s="40" t="s">
        <v>2224</v>
      </c>
      <c r="B1490" s="17"/>
      <c r="C1490" s="18"/>
      <c r="D1490" s="4"/>
      <c r="E1490" s="19">
        <v>0.0</v>
      </c>
      <c r="F1490" s="19"/>
      <c r="G1490" s="16" t="s">
        <v>57</v>
      </c>
      <c r="H1490" s="21"/>
      <c r="I1490" s="22"/>
      <c r="J1490" s="29"/>
      <c r="K1490" s="43">
        <v>80000.0</v>
      </c>
      <c r="L1490" s="44">
        <v>150000.0</v>
      </c>
      <c r="M1490" s="25"/>
      <c r="N1490" s="26"/>
      <c r="O1490" s="27">
        <f t="shared" si="196"/>
        <v>0.875</v>
      </c>
      <c r="P1490" s="28">
        <f t="shared" si="198"/>
        <v>0</v>
      </c>
    </row>
    <row r="1491" hidden="1">
      <c r="A1491" s="16" t="s">
        <v>2225</v>
      </c>
      <c r="B1491" s="49"/>
      <c r="C1491" s="18"/>
      <c r="D1491" s="4"/>
      <c r="E1491" s="19"/>
      <c r="F1491" s="19"/>
      <c r="G1491" s="20" t="s">
        <v>98</v>
      </c>
      <c r="H1491" s="21">
        <v>0.0</v>
      </c>
      <c r="I1491" s="22"/>
      <c r="J1491" s="29"/>
      <c r="K1491" s="32">
        <v>6600.0</v>
      </c>
      <c r="L1491" s="24">
        <v>14000.0</v>
      </c>
      <c r="M1491" s="25"/>
      <c r="N1491" s="26">
        <v>11000.0</v>
      </c>
      <c r="O1491" s="27">
        <f t="shared" si="196"/>
        <v>1.121212121</v>
      </c>
      <c r="P1491" s="28">
        <f t="shared" si="198"/>
        <v>0</v>
      </c>
    </row>
    <row r="1492" hidden="1">
      <c r="A1492" s="16" t="s">
        <v>2226</v>
      </c>
      <c r="B1492" s="49"/>
      <c r="C1492" s="18"/>
      <c r="D1492" s="4"/>
      <c r="E1492" s="19"/>
      <c r="F1492" s="19"/>
      <c r="G1492" s="20" t="s">
        <v>98</v>
      </c>
      <c r="H1492" s="21">
        <v>0.0</v>
      </c>
      <c r="I1492" s="22"/>
      <c r="J1492" s="29"/>
      <c r="K1492" s="32">
        <v>6600.0</v>
      </c>
      <c r="L1492" s="24">
        <v>14000.0</v>
      </c>
      <c r="M1492" s="25"/>
      <c r="N1492" s="26"/>
      <c r="O1492" s="27">
        <f t="shared" si="196"/>
        <v>1.121212121</v>
      </c>
      <c r="P1492" s="28">
        <f t="shared" si="198"/>
        <v>0</v>
      </c>
    </row>
    <row r="1493" hidden="1">
      <c r="A1493" s="16" t="s">
        <v>2227</v>
      </c>
      <c r="B1493" s="49"/>
      <c r="C1493" s="18"/>
      <c r="D1493" s="4"/>
      <c r="E1493" s="19"/>
      <c r="F1493" s="19"/>
      <c r="G1493" s="20" t="s">
        <v>98</v>
      </c>
      <c r="H1493" s="21">
        <v>0.0</v>
      </c>
      <c r="I1493" s="22"/>
      <c r="J1493" s="29"/>
      <c r="K1493" s="32">
        <v>6600.0</v>
      </c>
      <c r="L1493" s="24">
        <v>14000.0</v>
      </c>
      <c r="M1493" s="25"/>
      <c r="N1493" s="26"/>
      <c r="O1493" s="27">
        <f t="shared" si="196"/>
        <v>1.121212121</v>
      </c>
      <c r="P1493" s="28">
        <f t="shared" si="198"/>
        <v>0</v>
      </c>
    </row>
    <row r="1494" hidden="1">
      <c r="A1494" s="40" t="s">
        <v>2228</v>
      </c>
      <c r="B1494" s="17"/>
      <c r="C1494" s="18"/>
      <c r="D1494" s="4"/>
      <c r="E1494" s="19">
        <v>0.0</v>
      </c>
      <c r="F1494" s="19"/>
      <c r="G1494" s="16" t="s">
        <v>57</v>
      </c>
      <c r="H1494" s="21"/>
      <c r="I1494" s="22"/>
      <c r="J1494" s="29"/>
      <c r="K1494" s="43">
        <v>250.0</v>
      </c>
      <c r="L1494" s="44">
        <v>1000.0</v>
      </c>
      <c r="M1494" s="25"/>
      <c r="N1494" s="26"/>
      <c r="O1494" s="27">
        <f t="shared" si="196"/>
        <v>3</v>
      </c>
      <c r="P1494" s="28">
        <f t="shared" si="198"/>
        <v>0</v>
      </c>
    </row>
    <row r="1495" hidden="1">
      <c r="A1495" s="52" t="s">
        <v>2229</v>
      </c>
      <c r="B1495" s="17"/>
      <c r="C1495" s="18"/>
      <c r="D1495" s="4"/>
      <c r="E1495" s="19"/>
      <c r="F1495" s="19">
        <v>0.0</v>
      </c>
      <c r="G1495" s="16" t="s">
        <v>2230</v>
      </c>
      <c r="H1495" s="21"/>
      <c r="I1495" s="22"/>
      <c r="J1495" s="29"/>
      <c r="K1495" s="32">
        <f>60518/200</f>
        <v>302.59</v>
      </c>
      <c r="L1495" s="24">
        <v>500.0</v>
      </c>
      <c r="M1495" s="25"/>
      <c r="N1495" s="26"/>
      <c r="O1495" s="27">
        <f t="shared" si="196"/>
        <v>0.6524009386</v>
      </c>
      <c r="P1495" s="28">
        <f t="shared" si="198"/>
        <v>0</v>
      </c>
    </row>
    <row r="1496" hidden="1">
      <c r="A1496" s="52" t="s">
        <v>2231</v>
      </c>
      <c r="B1496" s="17" t="s">
        <v>2232</v>
      </c>
      <c r="C1496" s="18"/>
      <c r="D1496" s="4"/>
      <c r="E1496" s="19"/>
      <c r="F1496" s="19">
        <v>0.0</v>
      </c>
      <c r="G1496" s="16" t="s">
        <v>2230</v>
      </c>
      <c r="H1496" s="21"/>
      <c r="I1496" s="22"/>
      <c r="J1496" s="29"/>
      <c r="K1496" s="32">
        <v>60518.0</v>
      </c>
      <c r="L1496" s="24">
        <v>80000.0</v>
      </c>
      <c r="M1496" s="25"/>
      <c r="N1496" s="26"/>
      <c r="O1496" s="27">
        <f t="shared" si="196"/>
        <v>0.3219207509</v>
      </c>
      <c r="P1496" s="28">
        <f t="shared" si="198"/>
        <v>0</v>
      </c>
    </row>
    <row r="1497" hidden="1">
      <c r="A1497" s="52" t="s">
        <v>2233</v>
      </c>
      <c r="B1497" s="17" t="s">
        <v>2234</v>
      </c>
      <c r="C1497" s="18"/>
      <c r="D1497" s="4"/>
      <c r="E1497" s="19">
        <v>0.0</v>
      </c>
      <c r="F1497" s="19">
        <v>0.0</v>
      </c>
      <c r="G1497" s="16" t="s">
        <v>2235</v>
      </c>
      <c r="H1497" s="21"/>
      <c r="I1497" s="22">
        <v>100.0</v>
      </c>
      <c r="J1497" s="29"/>
      <c r="K1497" s="32">
        <v>4760.0</v>
      </c>
      <c r="L1497" s="24">
        <v>8000.0</v>
      </c>
      <c r="M1497" s="25"/>
      <c r="N1497" s="26"/>
      <c r="O1497" s="27">
        <f t="shared" si="196"/>
        <v>0.6806722689</v>
      </c>
      <c r="P1497" s="28">
        <f t="shared" si="198"/>
        <v>0</v>
      </c>
    </row>
    <row r="1498" hidden="1">
      <c r="A1498" s="16" t="s">
        <v>2236</v>
      </c>
      <c r="B1498" s="17"/>
      <c r="C1498" s="261"/>
      <c r="D1498" s="67"/>
      <c r="E1498" s="19"/>
      <c r="F1498" s="19"/>
      <c r="G1498" s="16" t="s">
        <v>1435</v>
      </c>
      <c r="H1498" s="21"/>
      <c r="I1498" s="22">
        <v>50.0</v>
      </c>
      <c r="J1498" s="45"/>
      <c r="K1498" s="172">
        <f>27000/15</f>
        <v>1800</v>
      </c>
      <c r="L1498" s="44">
        <v>3000.0</v>
      </c>
      <c r="M1498" s="25"/>
      <c r="N1498" s="26"/>
      <c r="O1498" s="27">
        <f t="shared" si="196"/>
        <v>0.6666666667</v>
      </c>
      <c r="P1498" s="28">
        <f t="shared" si="198"/>
        <v>0</v>
      </c>
    </row>
    <row r="1499" hidden="1">
      <c r="A1499" s="16" t="s">
        <v>2237</v>
      </c>
      <c r="B1499" s="17"/>
      <c r="C1499" s="38"/>
      <c r="D1499" s="61"/>
      <c r="E1499" s="19"/>
      <c r="F1499" s="19">
        <v>0.0</v>
      </c>
      <c r="G1499" s="16" t="s">
        <v>2238</v>
      </c>
      <c r="H1499" s="21"/>
      <c r="I1499" s="22"/>
      <c r="J1499" s="23"/>
      <c r="K1499" s="44">
        <v>960.0</v>
      </c>
      <c r="L1499" s="44">
        <v>2000.0</v>
      </c>
      <c r="M1499" s="25"/>
      <c r="N1499" s="26"/>
      <c r="O1499" s="27">
        <f t="shared" si="196"/>
        <v>1.083333333</v>
      </c>
      <c r="P1499" s="28">
        <f t="shared" si="198"/>
        <v>0</v>
      </c>
    </row>
    <row r="1500" hidden="1">
      <c r="A1500" s="16" t="s">
        <v>2239</v>
      </c>
      <c r="B1500" s="17"/>
      <c r="C1500" s="38"/>
      <c r="D1500" s="61"/>
      <c r="E1500" s="19"/>
      <c r="F1500" s="19"/>
      <c r="G1500" s="16" t="s">
        <v>1435</v>
      </c>
      <c r="H1500" s="21"/>
      <c r="I1500" s="22">
        <v>100.0</v>
      </c>
      <c r="J1500" s="29"/>
      <c r="K1500" s="43">
        <f>48807/50</f>
        <v>976.14</v>
      </c>
      <c r="L1500" s="44">
        <v>3000.0</v>
      </c>
      <c r="M1500" s="25"/>
      <c r="N1500" s="26"/>
      <c r="O1500" s="27">
        <f t="shared" si="196"/>
        <v>2.073329645</v>
      </c>
      <c r="P1500" s="28">
        <f t="shared" si="198"/>
        <v>0</v>
      </c>
    </row>
    <row r="1501" hidden="1">
      <c r="A1501" s="16" t="s">
        <v>2240</v>
      </c>
      <c r="B1501" s="17"/>
      <c r="C1501" s="38"/>
      <c r="D1501" s="4"/>
      <c r="E1501" s="19">
        <v>0.0</v>
      </c>
      <c r="F1501" s="19">
        <v>0.0</v>
      </c>
      <c r="G1501" s="16"/>
      <c r="H1501" s="21"/>
      <c r="I1501" s="22">
        <f>16*12</f>
        <v>192</v>
      </c>
      <c r="J1501" s="45"/>
      <c r="K1501" s="172"/>
      <c r="L1501" s="44"/>
      <c r="M1501" s="25"/>
      <c r="N1501" s="26"/>
      <c r="O1501" s="27" t="str">
        <f t="shared" si="196"/>
        <v>#DIV/0!</v>
      </c>
      <c r="P1501" s="28"/>
    </row>
    <row r="1502" hidden="1">
      <c r="A1502" s="16" t="s">
        <v>2241</v>
      </c>
      <c r="B1502" s="17"/>
      <c r="C1502" s="38"/>
      <c r="D1502" s="61"/>
      <c r="E1502" s="19"/>
      <c r="F1502" s="19"/>
      <c r="G1502" s="16" t="s">
        <v>1435</v>
      </c>
      <c r="H1502" s="21"/>
      <c r="I1502" s="22">
        <v>100.0</v>
      </c>
      <c r="J1502" s="45"/>
      <c r="K1502" s="172">
        <f>15000/8</f>
        <v>1875</v>
      </c>
      <c r="L1502" s="44">
        <v>3000.0</v>
      </c>
      <c r="M1502" s="25"/>
      <c r="N1502" s="26"/>
      <c r="O1502" s="27">
        <f t="shared" si="196"/>
        <v>0.6</v>
      </c>
      <c r="P1502" s="28">
        <f t="shared" ref="P1502:P1504" si="203">K1502*F1502</f>
        <v>0</v>
      </c>
    </row>
    <row r="1503" hidden="1">
      <c r="A1503" s="16" t="s">
        <v>2242</v>
      </c>
      <c r="B1503" s="17" t="s">
        <v>2243</v>
      </c>
      <c r="C1503" s="38"/>
      <c r="D1503" s="61"/>
      <c r="E1503" s="19"/>
      <c r="F1503" s="19"/>
      <c r="G1503" s="16" t="s">
        <v>1435</v>
      </c>
      <c r="H1503" s="21"/>
      <c r="I1503" s="22">
        <v>100.0</v>
      </c>
      <c r="J1503" s="29"/>
      <c r="K1503" s="48">
        <v>1594.0</v>
      </c>
      <c r="L1503" s="55">
        <v>3000.0</v>
      </c>
      <c r="M1503" s="25"/>
      <c r="N1503" s="26"/>
      <c r="O1503" s="27">
        <f t="shared" si="196"/>
        <v>0.8820577164</v>
      </c>
      <c r="P1503" s="28">
        <f t="shared" si="203"/>
        <v>0</v>
      </c>
    </row>
    <row r="1504" hidden="1">
      <c r="A1504" s="16" t="s">
        <v>2244</v>
      </c>
      <c r="B1504" s="17"/>
      <c r="C1504" s="38"/>
      <c r="D1504" s="61"/>
      <c r="E1504" s="19"/>
      <c r="F1504" s="19"/>
      <c r="G1504" s="16" t="s">
        <v>1435</v>
      </c>
      <c r="H1504" s="21"/>
      <c r="I1504" s="22">
        <v>300.0</v>
      </c>
      <c r="J1504" s="45"/>
      <c r="K1504" s="172">
        <f>58080/50</f>
        <v>1161.6</v>
      </c>
      <c r="L1504" s="44">
        <v>3000.0</v>
      </c>
      <c r="M1504" s="25"/>
      <c r="N1504" s="26"/>
      <c r="O1504" s="27">
        <f t="shared" si="196"/>
        <v>1.582644628</v>
      </c>
      <c r="P1504" s="28">
        <f t="shared" si="203"/>
        <v>0</v>
      </c>
    </row>
    <row r="1505" hidden="1">
      <c r="A1505" s="16" t="s">
        <v>2245</v>
      </c>
      <c r="B1505" s="49" t="s">
        <v>2246</v>
      </c>
      <c r="C1505" s="18"/>
      <c r="D1505" s="4"/>
      <c r="E1505" s="19"/>
      <c r="F1505" s="19">
        <v>5.0</v>
      </c>
      <c r="G1505" s="16" t="s">
        <v>2247</v>
      </c>
      <c r="H1505" s="21"/>
      <c r="I1505" s="22"/>
      <c r="J1505" s="23"/>
      <c r="K1505" s="24">
        <v>14900.0</v>
      </c>
      <c r="L1505" s="24">
        <v>20000.0</v>
      </c>
      <c r="M1505" s="25" t="s">
        <v>76</v>
      </c>
      <c r="N1505" s="31"/>
      <c r="O1505" s="27">
        <f t="shared" si="196"/>
        <v>0.3422818792</v>
      </c>
      <c r="P1505" s="28" t="str">
        <f t="shared" ref="P1505:P1506" si="204">K1505*#REF!</f>
        <v>#REF!</v>
      </c>
    </row>
    <row r="1506" hidden="1">
      <c r="A1506" s="16" t="s">
        <v>2248</v>
      </c>
      <c r="B1506" s="49" t="s">
        <v>2246</v>
      </c>
      <c r="C1506" s="18"/>
      <c r="D1506" s="4"/>
      <c r="E1506" s="19"/>
      <c r="F1506" s="19">
        <v>0.0</v>
      </c>
      <c r="G1506" s="16" t="s">
        <v>2247</v>
      </c>
      <c r="H1506" s="21"/>
      <c r="I1506" s="22"/>
      <c r="J1506" s="23"/>
      <c r="K1506" s="24">
        <v>14530.0</v>
      </c>
      <c r="L1506" s="24">
        <v>20000.0</v>
      </c>
      <c r="M1506" s="25" t="s">
        <v>76</v>
      </c>
      <c r="N1506" s="31"/>
      <c r="O1506" s="27">
        <f t="shared" si="196"/>
        <v>0.3764624914</v>
      </c>
      <c r="P1506" s="28" t="str">
        <f t="shared" si="204"/>
        <v>#REF!</v>
      </c>
    </row>
    <row r="1507" hidden="1">
      <c r="A1507" s="16" t="s">
        <v>2249</v>
      </c>
      <c r="B1507" s="36"/>
      <c r="C1507" s="18"/>
      <c r="D1507" s="4"/>
      <c r="E1507" s="19"/>
      <c r="F1507" s="19">
        <v>0.0</v>
      </c>
      <c r="G1507" s="16" t="s">
        <v>93</v>
      </c>
      <c r="H1507" s="21"/>
      <c r="I1507" s="22"/>
      <c r="J1507" s="29"/>
      <c r="K1507" s="43">
        <f>50000/24</f>
        <v>2083.333333</v>
      </c>
      <c r="L1507" s="44">
        <v>4000.0</v>
      </c>
      <c r="M1507" s="25"/>
      <c r="N1507" s="26"/>
      <c r="O1507" s="27">
        <f t="shared" si="196"/>
        <v>0.92</v>
      </c>
      <c r="P1507" s="28">
        <f>K1507*F1507</f>
        <v>0</v>
      </c>
    </row>
    <row r="1508" hidden="1">
      <c r="A1508" s="187" t="s">
        <v>2250</v>
      </c>
      <c r="B1508" s="17"/>
      <c r="C1508" s="18"/>
      <c r="D1508" s="4"/>
      <c r="E1508" s="19">
        <v>0.0</v>
      </c>
      <c r="F1508" s="19">
        <v>0.0</v>
      </c>
      <c r="G1508" s="16" t="s">
        <v>154</v>
      </c>
      <c r="H1508" s="21"/>
      <c r="I1508" s="22"/>
      <c r="J1508" s="29"/>
      <c r="K1508" s="48">
        <v>3000.0</v>
      </c>
      <c r="L1508" s="55">
        <v>4000.0</v>
      </c>
      <c r="M1508" s="25"/>
      <c r="N1508" s="26">
        <v>3000.0</v>
      </c>
      <c r="O1508" s="27"/>
      <c r="P1508" s="28"/>
    </row>
    <row r="1509" hidden="1">
      <c r="A1509" s="187" t="s">
        <v>2251</v>
      </c>
      <c r="B1509" s="36"/>
      <c r="C1509" s="18"/>
      <c r="D1509" s="4"/>
      <c r="E1509" s="19"/>
      <c r="F1509" s="19"/>
      <c r="G1509" s="16" t="s">
        <v>154</v>
      </c>
      <c r="H1509" s="21"/>
      <c r="I1509" s="22"/>
      <c r="J1509" s="23"/>
      <c r="K1509" s="55">
        <v>47600.0</v>
      </c>
      <c r="L1509" s="55">
        <v>59500.0</v>
      </c>
      <c r="M1509" s="25"/>
      <c r="N1509" s="163">
        <v>54000.0</v>
      </c>
      <c r="O1509" s="27"/>
      <c r="P1509" s="28"/>
    </row>
    <row r="1510" hidden="1">
      <c r="A1510" s="16" t="s">
        <v>2252</v>
      </c>
      <c r="B1510" s="17"/>
      <c r="C1510" s="18"/>
      <c r="D1510" s="4"/>
      <c r="E1510" s="19">
        <v>0.0</v>
      </c>
      <c r="F1510" s="19">
        <v>0.0</v>
      </c>
      <c r="G1510" s="16" t="s">
        <v>792</v>
      </c>
      <c r="H1510" s="21"/>
      <c r="I1510" s="22">
        <v>0.0</v>
      </c>
      <c r="J1510" s="29"/>
      <c r="K1510" s="48">
        <v>90000.0</v>
      </c>
      <c r="L1510" s="55">
        <v>170000.0</v>
      </c>
      <c r="M1510" s="25"/>
      <c r="N1510" s="26"/>
      <c r="O1510" s="27">
        <f t="shared" ref="O1510:O1511" si="205">(L1510/K1510)-1</f>
        <v>0.8888888889</v>
      </c>
      <c r="P1510" s="28">
        <f t="shared" ref="P1510:P1511" si="206">K1510*F1510</f>
        <v>0</v>
      </c>
    </row>
    <row r="1511" hidden="1">
      <c r="A1511" s="16" t="s">
        <v>2253</v>
      </c>
      <c r="B1511" s="17"/>
      <c r="C1511" s="18"/>
      <c r="D1511" s="4"/>
      <c r="E1511" s="19">
        <v>0.0</v>
      </c>
      <c r="F1511" s="19">
        <v>0.0</v>
      </c>
      <c r="G1511" s="16" t="s">
        <v>792</v>
      </c>
      <c r="H1511" s="21"/>
      <c r="I1511" s="22">
        <v>0.0</v>
      </c>
      <c r="J1511" s="29"/>
      <c r="K1511" s="48">
        <f>90000/5</f>
        <v>18000</v>
      </c>
      <c r="L1511" s="55">
        <v>50000.0</v>
      </c>
      <c r="M1511" s="25"/>
      <c r="N1511" s="26"/>
      <c r="O1511" s="27">
        <f t="shared" si="205"/>
        <v>1.777777778</v>
      </c>
      <c r="P1511" s="28">
        <f t="shared" si="206"/>
        <v>0</v>
      </c>
    </row>
    <row r="1512" hidden="1">
      <c r="A1512" s="42" t="s">
        <v>2254</v>
      </c>
      <c r="B1512" s="71"/>
      <c r="C1512" s="18"/>
      <c r="D1512" s="4"/>
      <c r="E1512" s="19"/>
      <c r="F1512" s="19"/>
      <c r="G1512" s="20" t="s">
        <v>2255</v>
      </c>
      <c r="H1512" s="21"/>
      <c r="I1512" s="22"/>
      <c r="J1512" s="29"/>
      <c r="K1512" s="48">
        <v>36000.0</v>
      </c>
      <c r="L1512" s="55">
        <v>45000.0</v>
      </c>
      <c r="M1512" s="25"/>
      <c r="N1512" s="102"/>
      <c r="O1512" s="27"/>
      <c r="P1512" s="28"/>
    </row>
    <row r="1513" hidden="1">
      <c r="A1513" s="16" t="s">
        <v>2256</v>
      </c>
      <c r="B1513" s="17"/>
      <c r="C1513" s="18"/>
      <c r="D1513" s="4"/>
      <c r="E1513" s="19">
        <v>0.0</v>
      </c>
      <c r="F1513" s="19">
        <v>0.0</v>
      </c>
      <c r="G1513" s="16" t="s">
        <v>16</v>
      </c>
      <c r="H1513" s="21"/>
      <c r="I1513" s="22">
        <v>8.0</v>
      </c>
      <c r="J1513" s="29"/>
      <c r="K1513" s="43">
        <v>140000.0</v>
      </c>
      <c r="L1513" s="44">
        <v>250000.0</v>
      </c>
      <c r="M1513" s="25"/>
      <c r="N1513" s="26"/>
      <c r="O1513" s="262">
        <f>(L1513/K1513)-1</f>
        <v>0.7857142857</v>
      </c>
      <c r="P1513" s="28">
        <f>K1513*F1513</f>
        <v>0</v>
      </c>
    </row>
    <row r="1514" hidden="1">
      <c r="A1514" s="16" t="s">
        <v>2257</v>
      </c>
      <c r="B1514" s="17"/>
      <c r="C1514" s="18"/>
      <c r="D1514" s="4"/>
      <c r="E1514" s="19">
        <v>0.0</v>
      </c>
      <c r="F1514" s="19">
        <v>0.0</v>
      </c>
      <c r="G1514" s="16" t="s">
        <v>400</v>
      </c>
      <c r="H1514" s="21"/>
      <c r="I1514" s="22"/>
      <c r="J1514" s="29"/>
      <c r="K1514" s="30">
        <v>170210.0</v>
      </c>
      <c r="L1514" s="186">
        <v>290000.0</v>
      </c>
      <c r="M1514" s="25"/>
      <c r="N1514" s="26"/>
      <c r="O1514" s="27"/>
      <c r="P1514" s="28"/>
    </row>
    <row r="1515" hidden="1">
      <c r="A1515" s="16" t="s">
        <v>2258</v>
      </c>
      <c r="B1515" s="17"/>
      <c r="C1515" s="18"/>
      <c r="D1515" s="19"/>
      <c r="E1515" s="19">
        <v>0.0</v>
      </c>
      <c r="F1515" s="19"/>
      <c r="G1515" s="16" t="s">
        <v>2259</v>
      </c>
      <c r="H1515" s="21"/>
      <c r="I1515" s="263"/>
      <c r="J1515" s="29"/>
      <c r="K1515" s="43">
        <f>157857*1.19</f>
        <v>187849.83</v>
      </c>
      <c r="L1515" s="43">
        <v>250000.0</v>
      </c>
      <c r="M1515" s="25"/>
      <c r="N1515" s="26"/>
      <c r="O1515" s="27">
        <f t="shared" ref="O1515:O1546" si="207">(L1515/K1515)-1</f>
        <v>0.3308502861</v>
      </c>
      <c r="P1515" s="28">
        <f t="shared" ref="P1515:P1519" si="208">K1515*F1515</f>
        <v>0</v>
      </c>
    </row>
    <row r="1516" hidden="1">
      <c r="A1516" s="16" t="s">
        <v>2260</v>
      </c>
      <c r="B1516" s="17"/>
      <c r="C1516" s="18"/>
      <c r="D1516" s="4"/>
      <c r="E1516" s="19">
        <v>0.0</v>
      </c>
      <c r="F1516" s="19">
        <v>0.0</v>
      </c>
      <c r="G1516" s="16" t="s">
        <v>16</v>
      </c>
      <c r="H1516" s="21"/>
      <c r="I1516" s="22">
        <v>0.0</v>
      </c>
      <c r="J1516" s="29"/>
      <c r="K1516" s="43">
        <v>122670.0</v>
      </c>
      <c r="L1516" s="43">
        <v>220000.0</v>
      </c>
      <c r="M1516" s="25"/>
      <c r="N1516" s="26"/>
      <c r="O1516" s="264">
        <f t="shared" si="207"/>
        <v>0.7934295264</v>
      </c>
      <c r="P1516" s="28">
        <f t="shared" si="208"/>
        <v>0</v>
      </c>
    </row>
    <row r="1517" hidden="1">
      <c r="A1517" s="40" t="s">
        <v>2261</v>
      </c>
      <c r="B1517" s="17"/>
      <c r="C1517" s="18"/>
      <c r="D1517" s="4"/>
      <c r="E1517" s="19">
        <v>0.0</v>
      </c>
      <c r="F1517" s="19"/>
      <c r="G1517" s="16" t="s">
        <v>57</v>
      </c>
      <c r="H1517" s="21"/>
      <c r="I1517" s="22"/>
      <c r="J1517" s="29"/>
      <c r="K1517" s="43">
        <v>800.0</v>
      </c>
      <c r="L1517" s="44">
        <v>1200.0</v>
      </c>
      <c r="M1517" s="25"/>
      <c r="N1517" s="26"/>
      <c r="O1517" s="27">
        <f t="shared" si="207"/>
        <v>0.5</v>
      </c>
      <c r="P1517" s="28">
        <f t="shared" si="208"/>
        <v>0</v>
      </c>
    </row>
    <row r="1518" hidden="1">
      <c r="A1518" s="59" t="s">
        <v>2262</v>
      </c>
      <c r="B1518" s="142"/>
      <c r="C1518" s="18"/>
      <c r="D1518" s="4" t="s">
        <v>676</v>
      </c>
      <c r="E1518" s="19">
        <v>0.0</v>
      </c>
      <c r="F1518" s="19">
        <v>1.0</v>
      </c>
      <c r="G1518" s="16" t="s">
        <v>670</v>
      </c>
      <c r="H1518" s="21"/>
      <c r="I1518" s="22">
        <v>30.0</v>
      </c>
      <c r="J1518" s="29"/>
      <c r="K1518" s="43">
        <f>43000*1.19</f>
        <v>51170</v>
      </c>
      <c r="L1518" s="44">
        <v>90000.0</v>
      </c>
      <c r="M1518" s="25"/>
      <c r="N1518" s="26"/>
      <c r="O1518" s="27">
        <f t="shared" si="207"/>
        <v>0.7588430721</v>
      </c>
      <c r="P1518" s="28">
        <f t="shared" si="208"/>
        <v>51170</v>
      </c>
    </row>
    <row r="1519" hidden="1">
      <c r="A1519" s="59" t="s">
        <v>2262</v>
      </c>
      <c r="B1519" s="142" t="s">
        <v>2263</v>
      </c>
      <c r="C1519" s="18"/>
      <c r="D1519" s="4" t="s">
        <v>1148</v>
      </c>
      <c r="E1519" s="19">
        <v>0.0</v>
      </c>
      <c r="F1519" s="19">
        <v>1.0</v>
      </c>
      <c r="G1519" s="16" t="s">
        <v>2264</v>
      </c>
      <c r="H1519" s="21"/>
      <c r="I1519" s="22">
        <v>0.0</v>
      </c>
      <c r="J1519" s="29"/>
      <c r="K1519" s="48">
        <v>41650.0</v>
      </c>
      <c r="L1519" s="55">
        <v>80000.0</v>
      </c>
      <c r="M1519" s="25"/>
      <c r="N1519" s="26"/>
      <c r="O1519" s="27">
        <f t="shared" si="207"/>
        <v>0.9207683073</v>
      </c>
      <c r="P1519" s="28">
        <f t="shared" si="208"/>
        <v>41650</v>
      </c>
    </row>
    <row r="1520" hidden="1">
      <c r="A1520" s="59" t="s">
        <v>2265</v>
      </c>
      <c r="B1520" s="142"/>
      <c r="C1520" s="18"/>
      <c r="D1520" s="4"/>
      <c r="E1520" s="19">
        <v>0.0</v>
      </c>
      <c r="F1520" s="19">
        <v>0.0</v>
      </c>
      <c r="G1520" s="16" t="s">
        <v>671</v>
      </c>
      <c r="H1520" s="21"/>
      <c r="I1520" s="22">
        <v>0.0</v>
      </c>
      <c r="J1520" s="29"/>
      <c r="K1520" s="48">
        <f>41650/72</f>
        <v>578.4722222</v>
      </c>
      <c r="L1520" s="55">
        <v>2000.0</v>
      </c>
      <c r="M1520" s="25"/>
      <c r="N1520" s="26"/>
      <c r="O1520" s="27">
        <f t="shared" si="207"/>
        <v>2.457382953</v>
      </c>
      <c r="P1520" s="28">
        <f>K1520*F1539</f>
        <v>0</v>
      </c>
    </row>
    <row r="1521" hidden="1">
      <c r="A1521" s="16" t="s">
        <v>2266</v>
      </c>
      <c r="B1521" s="17"/>
      <c r="C1521" s="18"/>
      <c r="D1521" s="4"/>
      <c r="E1521" s="19">
        <v>0.0</v>
      </c>
      <c r="F1521" s="19"/>
      <c r="G1521" s="16" t="s">
        <v>767</v>
      </c>
      <c r="H1521" s="21"/>
      <c r="I1521" s="22"/>
      <c r="J1521" s="29"/>
      <c r="K1521" s="43">
        <v>4690000.0</v>
      </c>
      <c r="L1521" s="125">
        <f>K1521*1.2</f>
        <v>5628000</v>
      </c>
      <c r="M1521" s="25"/>
      <c r="N1521" s="26"/>
      <c r="O1521" s="27">
        <f t="shared" si="207"/>
        <v>0.2</v>
      </c>
      <c r="P1521" s="28">
        <f t="shared" ref="P1521:P1538" si="209">K1521*F1521</f>
        <v>0</v>
      </c>
    </row>
    <row r="1522" hidden="1">
      <c r="A1522" s="16" t="s">
        <v>2267</v>
      </c>
      <c r="B1522" s="17"/>
      <c r="C1522" s="18"/>
      <c r="D1522" s="4"/>
      <c r="E1522" s="19">
        <v>0.0</v>
      </c>
      <c r="F1522" s="19"/>
      <c r="G1522" s="16" t="s">
        <v>767</v>
      </c>
      <c r="H1522" s="21"/>
      <c r="I1522" s="22"/>
      <c r="J1522" s="29"/>
      <c r="K1522" s="43">
        <v>3960000.0</v>
      </c>
      <c r="L1522" s="44">
        <v>4800000.0</v>
      </c>
      <c r="M1522" s="25"/>
      <c r="N1522" s="26"/>
      <c r="O1522" s="27">
        <f t="shared" si="207"/>
        <v>0.2121212121</v>
      </c>
      <c r="P1522" s="28">
        <f t="shared" si="209"/>
        <v>0</v>
      </c>
    </row>
    <row r="1523" hidden="1">
      <c r="A1523" s="16" t="s">
        <v>2268</v>
      </c>
      <c r="B1523" s="36"/>
      <c r="C1523" s="18"/>
      <c r="D1523" s="4"/>
      <c r="E1523" s="19"/>
      <c r="F1523" s="19">
        <v>0.0</v>
      </c>
      <c r="G1523" s="16" t="s">
        <v>2269</v>
      </c>
      <c r="H1523" s="21"/>
      <c r="I1523" s="22"/>
      <c r="J1523" s="58">
        <v>45962.0</v>
      </c>
      <c r="K1523" s="32">
        <v>34270.0</v>
      </c>
      <c r="L1523" s="24">
        <v>42000.0</v>
      </c>
      <c r="M1523" s="25"/>
      <c r="N1523" s="26"/>
      <c r="O1523" s="27">
        <f t="shared" si="207"/>
        <v>0.2255617158</v>
      </c>
      <c r="P1523" s="28">
        <f t="shared" si="209"/>
        <v>0</v>
      </c>
    </row>
    <row r="1524" hidden="1">
      <c r="A1524" s="16" t="s">
        <v>2270</v>
      </c>
      <c r="B1524" s="36"/>
      <c r="C1524" s="18"/>
      <c r="D1524" s="4"/>
      <c r="E1524" s="19">
        <v>0.0</v>
      </c>
      <c r="F1524" s="19"/>
      <c r="G1524" s="16" t="s">
        <v>575</v>
      </c>
      <c r="H1524" s="21"/>
      <c r="I1524" s="22"/>
      <c r="J1524" s="29"/>
      <c r="K1524" s="43">
        <v>3400.0</v>
      </c>
      <c r="L1524" s="44">
        <v>6000.0</v>
      </c>
      <c r="M1524" s="25"/>
      <c r="N1524" s="26"/>
      <c r="O1524" s="27">
        <f t="shared" si="207"/>
        <v>0.7647058824</v>
      </c>
      <c r="P1524" s="28">
        <f t="shared" si="209"/>
        <v>0</v>
      </c>
    </row>
    <row r="1525" hidden="1">
      <c r="A1525" s="16" t="s">
        <v>2271</v>
      </c>
      <c r="B1525" s="36"/>
      <c r="C1525" s="18" t="s">
        <v>328</v>
      </c>
      <c r="D1525" s="4"/>
      <c r="E1525" s="19">
        <v>0.0</v>
      </c>
      <c r="F1525" s="19">
        <v>0.0</v>
      </c>
      <c r="G1525" s="16" t="s">
        <v>590</v>
      </c>
      <c r="H1525" s="21">
        <v>0.0</v>
      </c>
      <c r="I1525" s="22">
        <v>5.0</v>
      </c>
      <c r="J1525" s="29"/>
      <c r="K1525" s="24">
        <v>3995.0</v>
      </c>
      <c r="L1525" s="24">
        <v>7000.0</v>
      </c>
      <c r="M1525" s="25"/>
      <c r="N1525" s="31"/>
      <c r="O1525" s="27">
        <f t="shared" si="207"/>
        <v>0.7521902378</v>
      </c>
      <c r="P1525" s="28">
        <f t="shared" si="209"/>
        <v>0</v>
      </c>
    </row>
    <row r="1526" hidden="1">
      <c r="A1526" s="16" t="s">
        <v>2272</v>
      </c>
      <c r="B1526" s="36"/>
      <c r="C1526" s="18" t="s">
        <v>2273</v>
      </c>
      <c r="D1526" s="61"/>
      <c r="E1526" s="19"/>
      <c r="F1526" s="19"/>
      <c r="G1526" s="16" t="s">
        <v>1626</v>
      </c>
      <c r="H1526" s="160" t="s">
        <v>2274</v>
      </c>
      <c r="I1526" s="160">
        <v>22.0</v>
      </c>
      <c r="J1526" s="162">
        <v>45809.0</v>
      </c>
      <c r="K1526" s="60">
        <v>87120.0</v>
      </c>
      <c r="L1526" s="55">
        <v>120000.0</v>
      </c>
      <c r="M1526" s="25"/>
      <c r="N1526" s="265">
        <v>70000.0</v>
      </c>
      <c r="O1526" s="27">
        <f t="shared" si="207"/>
        <v>0.3774104683</v>
      </c>
      <c r="P1526" s="28">
        <f t="shared" si="209"/>
        <v>0</v>
      </c>
    </row>
    <row r="1527" hidden="1">
      <c r="A1527" s="16" t="s">
        <v>2275</v>
      </c>
      <c r="B1527" s="36"/>
      <c r="C1527" s="18" t="s">
        <v>2276</v>
      </c>
      <c r="D1527" s="67"/>
      <c r="E1527" s="19"/>
      <c r="F1527" s="19"/>
      <c r="G1527" s="16" t="s">
        <v>1626</v>
      </c>
      <c r="H1527" s="21"/>
      <c r="I1527" s="22">
        <v>5.0</v>
      </c>
      <c r="J1527" s="45"/>
      <c r="K1527" s="60">
        <v>91000.0</v>
      </c>
      <c r="L1527" s="55">
        <v>120000.0</v>
      </c>
      <c r="M1527" s="25"/>
      <c r="N1527" s="26">
        <v>100000.0</v>
      </c>
      <c r="O1527" s="27">
        <f t="shared" si="207"/>
        <v>0.3186813187</v>
      </c>
      <c r="P1527" s="28">
        <f t="shared" si="209"/>
        <v>0</v>
      </c>
    </row>
    <row r="1528" hidden="1">
      <c r="A1528" s="224" t="s">
        <v>2277</v>
      </c>
      <c r="B1528" s="36"/>
      <c r="C1528" s="18" t="s">
        <v>2276</v>
      </c>
      <c r="D1528" s="4"/>
      <c r="E1528" s="19"/>
      <c r="F1528" s="19">
        <v>0.0</v>
      </c>
      <c r="G1528" s="16" t="s">
        <v>93</v>
      </c>
      <c r="H1528" s="21"/>
      <c r="I1528" s="22"/>
      <c r="J1528" s="29"/>
      <c r="K1528" s="48">
        <v>96500.0</v>
      </c>
      <c r="L1528" s="55">
        <v>120500.0</v>
      </c>
      <c r="M1528" s="25"/>
      <c r="N1528" s="26"/>
      <c r="O1528" s="27">
        <f t="shared" si="207"/>
        <v>0.2487046632</v>
      </c>
      <c r="P1528" s="28">
        <f t="shared" si="209"/>
        <v>0</v>
      </c>
    </row>
    <row r="1529" hidden="1">
      <c r="A1529" s="224" t="s">
        <v>2278</v>
      </c>
      <c r="B1529" s="36"/>
      <c r="C1529" s="18" t="s">
        <v>2279</v>
      </c>
      <c r="D1529" s="4"/>
      <c r="E1529" s="19">
        <v>0.0</v>
      </c>
      <c r="F1529" s="19">
        <v>0.0</v>
      </c>
      <c r="G1529" s="16" t="s">
        <v>1210</v>
      </c>
      <c r="H1529" s="21"/>
      <c r="I1529" s="22">
        <v>0.0</v>
      </c>
      <c r="J1529" s="29"/>
      <c r="K1529" s="48">
        <f>164800/2</f>
        <v>82400</v>
      </c>
      <c r="L1529" s="55">
        <v>120000.0</v>
      </c>
      <c r="M1529" s="25"/>
      <c r="N1529" s="26">
        <v>100000.0</v>
      </c>
      <c r="O1529" s="27">
        <f t="shared" si="207"/>
        <v>0.4563106796</v>
      </c>
      <c r="P1529" s="28">
        <f t="shared" si="209"/>
        <v>0</v>
      </c>
    </row>
    <row r="1530" hidden="1">
      <c r="A1530" s="224" t="s">
        <v>2280</v>
      </c>
      <c r="B1530" s="36"/>
      <c r="C1530" s="18" t="s">
        <v>2279</v>
      </c>
      <c r="D1530" s="4"/>
      <c r="E1530" s="19"/>
      <c r="F1530" s="19">
        <v>0.0</v>
      </c>
      <c r="G1530" s="16" t="s">
        <v>93</v>
      </c>
      <c r="H1530" s="21"/>
      <c r="I1530" s="22"/>
      <c r="J1530" s="29"/>
      <c r="K1530" s="48">
        <v>92600.0</v>
      </c>
      <c r="L1530" s="55">
        <v>115700.0</v>
      </c>
      <c r="M1530" s="25"/>
      <c r="N1530" s="26"/>
      <c r="O1530" s="27">
        <f t="shared" si="207"/>
        <v>0.2494600432</v>
      </c>
      <c r="P1530" s="28">
        <f t="shared" si="209"/>
        <v>0</v>
      </c>
    </row>
    <row r="1531" hidden="1">
      <c r="A1531" s="16" t="s">
        <v>2281</v>
      </c>
      <c r="B1531" s="51" t="s">
        <v>2282</v>
      </c>
      <c r="C1531" s="18" t="s">
        <v>2279</v>
      </c>
      <c r="D1531" s="67"/>
      <c r="E1531" s="19"/>
      <c r="F1531" s="19"/>
      <c r="G1531" s="16" t="s">
        <v>1626</v>
      </c>
      <c r="H1531" s="21"/>
      <c r="I1531" s="22">
        <v>41.0</v>
      </c>
      <c r="J1531" s="45"/>
      <c r="K1531" s="60">
        <v>87120.0</v>
      </c>
      <c r="L1531" s="55">
        <v>120000.0</v>
      </c>
      <c r="M1531" s="25"/>
      <c r="N1531" s="26"/>
      <c r="O1531" s="27">
        <f t="shared" si="207"/>
        <v>0.3774104683</v>
      </c>
      <c r="P1531" s="28">
        <f t="shared" si="209"/>
        <v>0</v>
      </c>
    </row>
    <row r="1532" hidden="1">
      <c r="A1532" s="16" t="s">
        <v>2283</v>
      </c>
      <c r="B1532" s="36" t="s">
        <v>2284</v>
      </c>
      <c r="C1532" s="18" t="s">
        <v>2279</v>
      </c>
      <c r="D1532" s="4"/>
      <c r="E1532" s="19">
        <v>0.0</v>
      </c>
      <c r="F1532" s="19">
        <v>12.0</v>
      </c>
      <c r="G1532" s="20" t="s">
        <v>48</v>
      </c>
      <c r="H1532" s="21"/>
      <c r="I1532" s="22">
        <v>0.0</v>
      </c>
      <c r="J1532" s="29"/>
      <c r="K1532" s="48">
        <v>114500.0</v>
      </c>
      <c r="L1532" s="55">
        <v>160000.0</v>
      </c>
      <c r="M1532" s="25"/>
      <c r="N1532" s="26"/>
      <c r="O1532" s="27">
        <f t="shared" si="207"/>
        <v>0.3973799127</v>
      </c>
      <c r="P1532" s="28">
        <f t="shared" si="209"/>
        <v>1374000</v>
      </c>
    </row>
    <row r="1533" hidden="1">
      <c r="A1533" s="16" t="s">
        <v>2285</v>
      </c>
      <c r="B1533" s="17" t="s">
        <v>2286</v>
      </c>
      <c r="C1533" s="18"/>
      <c r="D1533" s="4"/>
      <c r="E1533" s="19">
        <v>0.0</v>
      </c>
      <c r="F1533" s="19">
        <v>0.0</v>
      </c>
      <c r="G1533" s="266" t="s">
        <v>513</v>
      </c>
      <c r="H1533" s="21"/>
      <c r="I1533" s="22">
        <v>20.0</v>
      </c>
      <c r="J1533" s="29"/>
      <c r="K1533" s="32">
        <f>6664/12</f>
        <v>555.3333333</v>
      </c>
      <c r="L1533" s="24">
        <v>1500.0</v>
      </c>
      <c r="M1533" s="25"/>
      <c r="N1533" s="26"/>
      <c r="O1533" s="27">
        <f t="shared" si="207"/>
        <v>1.701080432</v>
      </c>
      <c r="P1533" s="28">
        <f t="shared" si="209"/>
        <v>0</v>
      </c>
    </row>
    <row r="1534" hidden="1">
      <c r="A1534" s="16" t="s">
        <v>2287</v>
      </c>
      <c r="B1534" s="222" t="s">
        <v>2288</v>
      </c>
      <c r="C1534" s="18"/>
      <c r="D1534" s="4"/>
      <c r="E1534" s="19">
        <v>0.0</v>
      </c>
      <c r="F1534" s="19"/>
      <c r="G1534" s="134" t="s">
        <v>2289</v>
      </c>
      <c r="H1534" s="21"/>
      <c r="I1534" s="22"/>
      <c r="J1534" s="47">
        <v>45870.0</v>
      </c>
      <c r="K1534" s="43">
        <v>415000.0</v>
      </c>
      <c r="L1534" s="44">
        <v>490000.0</v>
      </c>
      <c r="M1534" s="25" t="s">
        <v>76</v>
      </c>
      <c r="N1534" s="69"/>
      <c r="O1534" s="27">
        <f t="shared" si="207"/>
        <v>0.1807228916</v>
      </c>
      <c r="P1534" s="28">
        <f t="shared" si="209"/>
        <v>0</v>
      </c>
    </row>
    <row r="1535" hidden="1">
      <c r="A1535" s="16" t="s">
        <v>2290</v>
      </c>
      <c r="B1535" s="51"/>
      <c r="C1535" s="18"/>
      <c r="D1535" s="4"/>
      <c r="E1535" s="19">
        <v>0.0</v>
      </c>
      <c r="F1535" s="19">
        <v>0.0</v>
      </c>
      <c r="G1535" s="16" t="s">
        <v>2291</v>
      </c>
      <c r="H1535" s="21"/>
      <c r="I1535" s="22">
        <v>1.0</v>
      </c>
      <c r="J1535" s="29"/>
      <c r="K1535" s="43">
        <v>331000.0</v>
      </c>
      <c r="L1535" s="44">
        <v>430000.0</v>
      </c>
      <c r="M1535" s="25" t="s">
        <v>76</v>
      </c>
      <c r="N1535" s="26"/>
      <c r="O1535" s="27">
        <f t="shared" si="207"/>
        <v>0.2990936556</v>
      </c>
      <c r="P1535" s="28">
        <f t="shared" si="209"/>
        <v>0</v>
      </c>
    </row>
    <row r="1536" hidden="1">
      <c r="A1536" s="16" t="s">
        <v>2292</v>
      </c>
      <c r="B1536" s="51" t="s">
        <v>2293</v>
      </c>
      <c r="C1536" s="18"/>
      <c r="D1536" s="98"/>
      <c r="E1536" s="19">
        <v>4.0</v>
      </c>
      <c r="F1536" s="19"/>
      <c r="G1536" s="16" t="s">
        <v>485</v>
      </c>
      <c r="H1536" s="21">
        <v>1.0</v>
      </c>
      <c r="I1536" s="22"/>
      <c r="J1536" s="22"/>
      <c r="K1536" s="32">
        <f>64782*1.19</f>
        <v>77090.58</v>
      </c>
      <c r="L1536" s="24">
        <v>105000.0</v>
      </c>
      <c r="M1536" s="25"/>
      <c r="N1536" s="26">
        <v>95000.0</v>
      </c>
      <c r="O1536" s="27">
        <f t="shared" si="207"/>
        <v>0.3620341162</v>
      </c>
      <c r="P1536" s="28">
        <f t="shared" si="209"/>
        <v>0</v>
      </c>
    </row>
    <row r="1537" hidden="1">
      <c r="A1537" s="16" t="s">
        <v>2294</v>
      </c>
      <c r="B1537" s="51" t="s">
        <v>2295</v>
      </c>
      <c r="C1537" s="18"/>
      <c r="D1537" s="98"/>
      <c r="E1537" s="19">
        <v>2.0</v>
      </c>
      <c r="F1537" s="19"/>
      <c r="G1537" s="16" t="s">
        <v>485</v>
      </c>
      <c r="H1537" s="21">
        <v>0.0</v>
      </c>
      <c r="I1537" s="22"/>
      <c r="J1537" s="22"/>
      <c r="K1537" s="250">
        <v>153153.0</v>
      </c>
      <c r="L1537" s="55">
        <v>230000.0</v>
      </c>
      <c r="M1537" s="25"/>
      <c r="N1537" s="26"/>
      <c r="O1537" s="27">
        <f t="shared" si="207"/>
        <v>0.5017662076</v>
      </c>
      <c r="P1537" s="28">
        <f t="shared" si="209"/>
        <v>0</v>
      </c>
    </row>
    <row r="1538" hidden="1">
      <c r="A1538" s="16" t="s">
        <v>2296</v>
      </c>
      <c r="B1538" s="17"/>
      <c r="C1538" s="18"/>
      <c r="D1538" s="4" t="s">
        <v>676</v>
      </c>
      <c r="E1538" s="19">
        <v>0.0</v>
      </c>
      <c r="F1538" s="19">
        <v>100.0</v>
      </c>
      <c r="G1538" s="16" t="s">
        <v>670</v>
      </c>
      <c r="H1538" s="21"/>
      <c r="I1538" s="22">
        <v>30.0</v>
      </c>
      <c r="J1538" s="29"/>
      <c r="K1538" s="43">
        <f>500*1.19</f>
        <v>595</v>
      </c>
      <c r="L1538" s="44">
        <v>1000.0</v>
      </c>
      <c r="M1538" s="25"/>
      <c r="N1538" s="26"/>
      <c r="O1538" s="27">
        <f t="shared" si="207"/>
        <v>0.6806722689</v>
      </c>
      <c r="P1538" s="28">
        <f t="shared" si="209"/>
        <v>59500</v>
      </c>
    </row>
    <row r="1539" hidden="1">
      <c r="A1539" s="16" t="s">
        <v>2296</v>
      </c>
      <c r="B1539" s="17"/>
      <c r="C1539" s="18"/>
      <c r="D1539" s="4"/>
      <c r="E1539" s="19">
        <v>0.0</v>
      </c>
      <c r="F1539" s="19">
        <v>0.0</v>
      </c>
      <c r="G1539" s="16" t="s">
        <v>671</v>
      </c>
      <c r="H1539" s="21"/>
      <c r="I1539" s="22"/>
      <c r="J1539" s="29"/>
      <c r="K1539" s="32">
        <v>609.0</v>
      </c>
      <c r="L1539" s="24">
        <v>1500.0</v>
      </c>
      <c r="M1539" s="25"/>
      <c r="N1539" s="26"/>
      <c r="O1539" s="27">
        <f t="shared" si="207"/>
        <v>1.463054187</v>
      </c>
      <c r="P1539" s="28" t="str">
        <f>K1539*#REF!</f>
        <v>#REF!</v>
      </c>
    </row>
    <row r="1540" hidden="1">
      <c r="A1540" s="16" t="s">
        <v>2297</v>
      </c>
      <c r="B1540" s="17"/>
      <c r="C1540" s="18"/>
      <c r="D1540" s="4"/>
      <c r="E1540" s="19"/>
      <c r="F1540" s="19">
        <v>0.0</v>
      </c>
      <c r="G1540" s="16" t="s">
        <v>93</v>
      </c>
      <c r="H1540" s="99"/>
      <c r="I1540" s="22"/>
      <c r="J1540" s="173" t="s">
        <v>2298</v>
      </c>
      <c r="K1540" s="249">
        <v>64700.0</v>
      </c>
      <c r="L1540" s="55">
        <v>80800.0</v>
      </c>
      <c r="M1540" s="25">
        <v>0.19</v>
      </c>
      <c r="N1540" s="26"/>
      <c r="O1540" s="27">
        <f t="shared" si="207"/>
        <v>0.2488408037</v>
      </c>
      <c r="P1540" s="28">
        <f t="shared" ref="P1540:P1592" si="210">K1540*F1540</f>
        <v>0</v>
      </c>
    </row>
    <row r="1541" hidden="1">
      <c r="A1541" s="52" t="s">
        <v>2299</v>
      </c>
      <c r="B1541" s="17"/>
      <c r="C1541" s="18"/>
      <c r="D1541" s="4"/>
      <c r="E1541" s="19">
        <v>0.0</v>
      </c>
      <c r="F1541" s="19">
        <v>0.0</v>
      </c>
      <c r="G1541" s="16" t="s">
        <v>513</v>
      </c>
      <c r="H1541" s="21"/>
      <c r="I1541" s="22">
        <v>4.0</v>
      </c>
      <c r="J1541" s="259"/>
      <c r="K1541" s="48">
        <f>(7200*0.95*1.19)</f>
        <v>8139.6</v>
      </c>
      <c r="L1541" s="55">
        <v>12000.0</v>
      </c>
      <c r="M1541" s="25"/>
      <c r="N1541" s="26"/>
      <c r="O1541" s="27">
        <f t="shared" si="207"/>
        <v>0.4742739201</v>
      </c>
      <c r="P1541" s="28">
        <f t="shared" si="210"/>
        <v>0</v>
      </c>
    </row>
    <row r="1542" hidden="1">
      <c r="A1542" s="52" t="s">
        <v>2300</v>
      </c>
      <c r="B1542" s="17"/>
      <c r="C1542" s="18" t="s">
        <v>547</v>
      </c>
      <c r="D1542" s="4"/>
      <c r="E1542" s="19">
        <v>0.0</v>
      </c>
      <c r="F1542" s="19">
        <v>0.0</v>
      </c>
      <c r="G1542" s="16" t="s">
        <v>513</v>
      </c>
      <c r="H1542" s="21"/>
      <c r="I1542" s="22">
        <v>200.0</v>
      </c>
      <c r="J1542" s="29"/>
      <c r="K1542" s="48">
        <f>8140/50</f>
        <v>162.8</v>
      </c>
      <c r="L1542" s="55">
        <v>400.0</v>
      </c>
      <c r="M1542" s="25"/>
      <c r="N1542" s="26"/>
      <c r="O1542" s="27">
        <f t="shared" si="207"/>
        <v>1.457002457</v>
      </c>
      <c r="P1542" s="28">
        <f t="shared" si="210"/>
        <v>0</v>
      </c>
    </row>
    <row r="1543" hidden="1">
      <c r="A1543" s="40" t="s">
        <v>2301</v>
      </c>
      <c r="B1543" s="17"/>
      <c r="C1543" s="18"/>
      <c r="D1543" s="4"/>
      <c r="E1543" s="19"/>
      <c r="F1543" s="19">
        <v>0.0</v>
      </c>
      <c r="G1543" s="16" t="s">
        <v>93</v>
      </c>
      <c r="H1543" s="21"/>
      <c r="I1543" s="22"/>
      <c r="J1543" s="29"/>
      <c r="K1543" s="43">
        <v>7110.0</v>
      </c>
      <c r="L1543" s="44">
        <v>12000.0</v>
      </c>
      <c r="M1543" s="25"/>
      <c r="N1543" s="26"/>
      <c r="O1543" s="27">
        <f t="shared" si="207"/>
        <v>0.6877637131</v>
      </c>
      <c r="P1543" s="28">
        <f t="shared" si="210"/>
        <v>0</v>
      </c>
    </row>
    <row r="1544" hidden="1">
      <c r="A1544" s="40" t="s">
        <v>2302</v>
      </c>
      <c r="B1544" s="17"/>
      <c r="C1544" s="18"/>
      <c r="D1544" s="4"/>
      <c r="E1544" s="19"/>
      <c r="F1544" s="19">
        <v>0.0</v>
      </c>
      <c r="G1544" s="16" t="s">
        <v>93</v>
      </c>
      <c r="H1544" s="21"/>
      <c r="I1544" s="22"/>
      <c r="J1544" s="29"/>
      <c r="K1544" s="43">
        <v>7110.0</v>
      </c>
      <c r="L1544" s="44">
        <v>12000.0</v>
      </c>
      <c r="M1544" s="25"/>
      <c r="N1544" s="26"/>
      <c r="O1544" s="27">
        <f t="shared" si="207"/>
        <v>0.6877637131</v>
      </c>
      <c r="P1544" s="28">
        <f t="shared" si="210"/>
        <v>0</v>
      </c>
    </row>
    <row r="1545" hidden="1">
      <c r="A1545" s="40" t="s">
        <v>2303</v>
      </c>
      <c r="B1545" s="17"/>
      <c r="C1545" s="18"/>
      <c r="D1545" s="4"/>
      <c r="E1545" s="19"/>
      <c r="F1545" s="19">
        <v>0.0</v>
      </c>
      <c r="G1545" s="16" t="s">
        <v>93</v>
      </c>
      <c r="H1545" s="21"/>
      <c r="I1545" s="22"/>
      <c r="J1545" s="29"/>
      <c r="K1545" s="43">
        <v>7110.0</v>
      </c>
      <c r="L1545" s="44">
        <v>12000.0</v>
      </c>
      <c r="M1545" s="25"/>
      <c r="N1545" s="26"/>
      <c r="O1545" s="27">
        <f t="shared" si="207"/>
        <v>0.6877637131</v>
      </c>
      <c r="P1545" s="28">
        <f t="shared" si="210"/>
        <v>0</v>
      </c>
    </row>
    <row r="1546" hidden="1">
      <c r="A1546" s="16" t="s">
        <v>2304</v>
      </c>
      <c r="B1546" s="17">
        <v>2.508588001E9</v>
      </c>
      <c r="C1546" s="18"/>
      <c r="D1546" s="4"/>
      <c r="E1546" s="19"/>
      <c r="F1546" s="19">
        <v>2.0</v>
      </c>
      <c r="G1546" s="16" t="s">
        <v>93</v>
      </c>
      <c r="H1546" s="99"/>
      <c r="I1546" s="22"/>
      <c r="J1546" s="267">
        <v>46447.0</v>
      </c>
      <c r="K1546" s="249">
        <v>64700.0</v>
      </c>
      <c r="L1546" s="48">
        <v>80800.0</v>
      </c>
      <c r="M1546" s="25"/>
      <c r="N1546" s="26"/>
      <c r="O1546" s="27">
        <f t="shared" si="207"/>
        <v>0.2488408037</v>
      </c>
      <c r="P1546" s="28">
        <f t="shared" si="210"/>
        <v>129400</v>
      </c>
    </row>
    <row r="1547" hidden="1">
      <c r="A1547" s="16" t="s">
        <v>2305</v>
      </c>
      <c r="B1547" s="17"/>
      <c r="C1547" s="18"/>
      <c r="D1547" s="4"/>
      <c r="E1547" s="19">
        <v>0.0</v>
      </c>
      <c r="F1547" s="19"/>
      <c r="G1547" s="16" t="s">
        <v>2306</v>
      </c>
      <c r="H1547" s="21"/>
      <c r="I1547" s="22"/>
      <c r="J1547" s="29"/>
      <c r="K1547" s="43">
        <v>6000.0</v>
      </c>
      <c r="L1547" s="125">
        <v>9000.0</v>
      </c>
      <c r="M1547" s="25"/>
      <c r="N1547" s="26"/>
      <c r="O1547" s="27">
        <f>(L1547/K1547)-1</f>
        <v>0.5</v>
      </c>
      <c r="P1547" s="28">
        <f t="shared" si="210"/>
        <v>0</v>
      </c>
    </row>
    <row r="1548" hidden="1">
      <c r="A1548" s="16" t="s">
        <v>2307</v>
      </c>
      <c r="B1548" s="36"/>
      <c r="C1548" s="18"/>
      <c r="D1548" s="4"/>
      <c r="E1548" s="19">
        <v>0.0</v>
      </c>
      <c r="F1548" s="19"/>
      <c r="G1548" s="16" t="s">
        <v>2306</v>
      </c>
      <c r="H1548" s="21"/>
      <c r="I1548" s="22"/>
      <c r="J1548" s="29"/>
      <c r="K1548" s="43">
        <v>10000.0</v>
      </c>
      <c r="L1548" s="44">
        <v>16000.0</v>
      </c>
      <c r="M1548" s="25"/>
      <c r="N1548" s="26"/>
      <c r="O1548" s="27">
        <f t="shared" ref="O1548:O1592" si="211">(L1548/K1548)-1</f>
        <v>0.6</v>
      </c>
      <c r="P1548" s="28">
        <f t="shared" si="210"/>
        <v>0</v>
      </c>
    </row>
    <row r="1549" hidden="1">
      <c r="A1549" s="16" t="s">
        <v>2308</v>
      </c>
      <c r="B1549" s="36"/>
      <c r="C1549" s="18"/>
      <c r="D1549" s="4"/>
      <c r="E1549" s="19">
        <v>0.0</v>
      </c>
      <c r="F1549" s="19"/>
      <c r="G1549" s="16" t="s">
        <v>57</v>
      </c>
      <c r="H1549" s="21"/>
      <c r="I1549" s="22"/>
      <c r="J1549" s="29"/>
      <c r="K1549" s="43">
        <v>48500.0</v>
      </c>
      <c r="L1549" s="44">
        <v>72000.0</v>
      </c>
      <c r="M1549" s="25"/>
      <c r="N1549" s="26"/>
      <c r="O1549" s="27">
        <f t="shared" si="211"/>
        <v>0.4845360825</v>
      </c>
      <c r="P1549" s="28">
        <f t="shared" si="210"/>
        <v>0</v>
      </c>
    </row>
    <row r="1550" hidden="1">
      <c r="A1550" s="16" t="s">
        <v>2309</v>
      </c>
      <c r="B1550" s="36"/>
      <c r="C1550" s="18"/>
      <c r="D1550" s="4"/>
      <c r="E1550" s="19">
        <v>0.0</v>
      </c>
      <c r="F1550" s="19"/>
      <c r="G1550" s="16" t="s">
        <v>57</v>
      </c>
      <c r="H1550" s="21"/>
      <c r="I1550" s="22"/>
      <c r="J1550" s="29"/>
      <c r="K1550" s="43">
        <v>29800.0</v>
      </c>
      <c r="L1550" s="44">
        <v>45000.0</v>
      </c>
      <c r="M1550" s="25" t="s">
        <v>82</v>
      </c>
      <c r="N1550" s="26"/>
      <c r="O1550" s="27">
        <f t="shared" si="211"/>
        <v>0.5100671141</v>
      </c>
      <c r="P1550" s="28">
        <f t="shared" si="210"/>
        <v>0</v>
      </c>
    </row>
    <row r="1551" hidden="1">
      <c r="A1551" s="16" t="s">
        <v>2310</v>
      </c>
      <c r="B1551" s="167" t="s">
        <v>2311</v>
      </c>
      <c r="C1551" s="18"/>
      <c r="D1551" s="4"/>
      <c r="E1551" s="19">
        <v>0.0</v>
      </c>
      <c r="F1551" s="19"/>
      <c r="G1551" s="16" t="s">
        <v>2312</v>
      </c>
      <c r="H1551" s="21"/>
      <c r="I1551" s="22"/>
      <c r="J1551" s="29"/>
      <c r="K1551" s="43">
        <v>42000.0</v>
      </c>
      <c r="L1551" s="44">
        <v>60000.0</v>
      </c>
      <c r="M1551" s="25" t="s">
        <v>82</v>
      </c>
      <c r="N1551" s="26"/>
      <c r="O1551" s="27">
        <f t="shared" si="211"/>
        <v>0.4285714286</v>
      </c>
      <c r="P1551" s="28">
        <f t="shared" si="210"/>
        <v>0</v>
      </c>
    </row>
    <row r="1552" hidden="1">
      <c r="A1552" s="16" t="s">
        <v>2313</v>
      </c>
      <c r="B1552" s="17" t="s">
        <v>2314</v>
      </c>
      <c r="C1552" s="18"/>
      <c r="D1552" s="4"/>
      <c r="E1552" s="19">
        <v>0.0</v>
      </c>
      <c r="F1552" s="19"/>
      <c r="G1552" s="16" t="s">
        <v>2315</v>
      </c>
      <c r="H1552" s="21"/>
      <c r="I1552" s="22"/>
      <c r="J1552" s="47">
        <v>46174.0</v>
      </c>
      <c r="K1552" s="48">
        <v>120000.0</v>
      </c>
      <c r="L1552" s="55">
        <v>180000.0</v>
      </c>
      <c r="M1552" s="25" t="s">
        <v>82</v>
      </c>
      <c r="N1552" s="50">
        <v>150000.0</v>
      </c>
      <c r="O1552" s="27">
        <f t="shared" si="211"/>
        <v>0.5</v>
      </c>
      <c r="P1552" s="28">
        <f t="shared" si="210"/>
        <v>0</v>
      </c>
    </row>
    <row r="1553" hidden="1">
      <c r="A1553" s="16" t="s">
        <v>2316</v>
      </c>
      <c r="B1553" s="17" t="s">
        <v>2314</v>
      </c>
      <c r="C1553" s="18"/>
      <c r="D1553" s="4"/>
      <c r="E1553" s="19">
        <v>0.0</v>
      </c>
      <c r="F1553" s="19"/>
      <c r="G1553" s="16" t="s">
        <v>2315</v>
      </c>
      <c r="H1553" s="21"/>
      <c r="I1553" s="22"/>
      <c r="J1553" s="47"/>
      <c r="K1553" s="48">
        <v>120000.0</v>
      </c>
      <c r="L1553" s="55">
        <v>180000.0</v>
      </c>
      <c r="M1553" s="25" t="s">
        <v>82</v>
      </c>
      <c r="N1553" s="50">
        <v>150000.0</v>
      </c>
      <c r="O1553" s="27">
        <f t="shared" si="211"/>
        <v>0.5</v>
      </c>
      <c r="P1553" s="28">
        <f t="shared" si="210"/>
        <v>0</v>
      </c>
    </row>
    <row r="1554" hidden="1">
      <c r="A1554" s="16" t="s">
        <v>2317</v>
      </c>
      <c r="B1554" s="126"/>
      <c r="C1554" s="18"/>
      <c r="D1554" s="4"/>
      <c r="E1554" s="19">
        <v>0.0</v>
      </c>
      <c r="F1554" s="19"/>
      <c r="G1554" s="16" t="s">
        <v>57</v>
      </c>
      <c r="H1554" s="21"/>
      <c r="I1554" s="22"/>
      <c r="J1554" s="29"/>
      <c r="K1554" s="43">
        <v>29800.0</v>
      </c>
      <c r="L1554" s="44">
        <v>45000.0</v>
      </c>
      <c r="M1554" s="25" t="s">
        <v>82</v>
      </c>
      <c r="N1554" s="26"/>
      <c r="O1554" s="27">
        <f t="shared" si="211"/>
        <v>0.5100671141</v>
      </c>
      <c r="P1554" s="28">
        <f t="shared" si="210"/>
        <v>0</v>
      </c>
    </row>
    <row r="1555" hidden="1">
      <c r="A1555" s="16" t="s">
        <v>2318</v>
      </c>
      <c r="B1555" s="126"/>
      <c r="C1555" s="18"/>
      <c r="D1555" s="4"/>
      <c r="E1555" s="19">
        <v>0.0</v>
      </c>
      <c r="F1555" s="19"/>
      <c r="G1555" s="16" t="s">
        <v>57</v>
      </c>
      <c r="H1555" s="21"/>
      <c r="I1555" s="22"/>
      <c r="J1555" s="29"/>
      <c r="K1555" s="43">
        <v>29800.0</v>
      </c>
      <c r="L1555" s="44">
        <v>45000.0</v>
      </c>
      <c r="M1555" s="25" t="s">
        <v>82</v>
      </c>
      <c r="N1555" s="26"/>
      <c r="O1555" s="27">
        <f t="shared" si="211"/>
        <v>0.5100671141</v>
      </c>
      <c r="P1555" s="28">
        <f t="shared" si="210"/>
        <v>0</v>
      </c>
    </row>
    <row r="1556" hidden="1">
      <c r="A1556" s="16" t="s">
        <v>2319</v>
      </c>
      <c r="B1556" s="126"/>
      <c r="C1556" s="18"/>
      <c r="D1556" s="4"/>
      <c r="E1556" s="19">
        <v>0.0</v>
      </c>
      <c r="F1556" s="19"/>
      <c r="G1556" s="16" t="s">
        <v>57</v>
      </c>
      <c r="H1556" s="21"/>
      <c r="I1556" s="22"/>
      <c r="J1556" s="29"/>
      <c r="K1556" s="43">
        <v>30800.0</v>
      </c>
      <c r="L1556" s="44">
        <v>45000.0</v>
      </c>
      <c r="M1556" s="25" t="s">
        <v>82</v>
      </c>
      <c r="N1556" s="26"/>
      <c r="O1556" s="27">
        <f t="shared" si="211"/>
        <v>0.461038961</v>
      </c>
      <c r="P1556" s="28">
        <f t="shared" si="210"/>
        <v>0</v>
      </c>
    </row>
    <row r="1557" hidden="1">
      <c r="A1557" s="16" t="s">
        <v>2320</v>
      </c>
      <c r="B1557" s="36"/>
      <c r="C1557" s="18"/>
      <c r="D1557" s="4"/>
      <c r="E1557" s="19">
        <v>0.0</v>
      </c>
      <c r="F1557" s="19"/>
      <c r="G1557" s="16" t="s">
        <v>57</v>
      </c>
      <c r="H1557" s="21"/>
      <c r="I1557" s="22"/>
      <c r="J1557" s="29"/>
      <c r="K1557" s="43">
        <v>29800.0</v>
      </c>
      <c r="L1557" s="44">
        <v>45000.0</v>
      </c>
      <c r="M1557" s="25" t="s">
        <v>82</v>
      </c>
      <c r="N1557" s="26"/>
      <c r="O1557" s="27">
        <f t="shared" si="211"/>
        <v>0.5100671141</v>
      </c>
      <c r="P1557" s="28">
        <f t="shared" si="210"/>
        <v>0</v>
      </c>
    </row>
    <row r="1558" hidden="1">
      <c r="A1558" s="16" t="s">
        <v>2321</v>
      </c>
      <c r="B1558" s="167" t="s">
        <v>2322</v>
      </c>
      <c r="C1558" s="18"/>
      <c r="D1558" s="19"/>
      <c r="E1558" s="19">
        <v>0.0</v>
      </c>
      <c r="F1558" s="19">
        <v>5.0</v>
      </c>
      <c r="G1558" s="16" t="s">
        <v>2312</v>
      </c>
      <c r="H1558" s="21"/>
      <c r="I1558" s="22"/>
      <c r="J1558" s="29"/>
      <c r="K1558" s="32">
        <v>42000.0</v>
      </c>
      <c r="L1558" s="24">
        <v>60000.0</v>
      </c>
      <c r="M1558" s="25" t="s">
        <v>82</v>
      </c>
      <c r="N1558" s="26"/>
      <c r="O1558" s="27">
        <f t="shared" si="211"/>
        <v>0.4285714286</v>
      </c>
      <c r="P1558" s="28">
        <f t="shared" si="210"/>
        <v>210000</v>
      </c>
    </row>
    <row r="1559" hidden="1">
      <c r="A1559" s="16" t="s">
        <v>2323</v>
      </c>
      <c r="B1559" s="167" t="s">
        <v>2324</v>
      </c>
      <c r="C1559" s="18"/>
      <c r="D1559" s="19"/>
      <c r="E1559" s="19">
        <v>0.0</v>
      </c>
      <c r="F1559" s="19">
        <v>5.0</v>
      </c>
      <c r="G1559" s="16" t="s">
        <v>2312</v>
      </c>
      <c r="H1559" s="21"/>
      <c r="I1559" s="22"/>
      <c r="J1559" s="47">
        <v>46388.0</v>
      </c>
      <c r="K1559" s="32">
        <v>42000.0</v>
      </c>
      <c r="L1559" s="24">
        <v>60000.0</v>
      </c>
      <c r="M1559" s="25" t="s">
        <v>82</v>
      </c>
      <c r="N1559" s="26"/>
      <c r="O1559" s="27">
        <f t="shared" si="211"/>
        <v>0.4285714286</v>
      </c>
      <c r="P1559" s="28">
        <f t="shared" si="210"/>
        <v>210000</v>
      </c>
    </row>
    <row r="1560" hidden="1">
      <c r="A1560" s="16" t="s">
        <v>2325</v>
      </c>
      <c r="B1560" s="167" t="s">
        <v>2326</v>
      </c>
      <c r="C1560" s="18"/>
      <c r="D1560" s="19"/>
      <c r="E1560" s="19">
        <v>0.0</v>
      </c>
      <c r="F1560" s="19">
        <v>2.0</v>
      </c>
      <c r="G1560" s="16" t="s">
        <v>2312</v>
      </c>
      <c r="H1560" s="21"/>
      <c r="I1560" s="22"/>
      <c r="J1560" s="29"/>
      <c r="K1560" s="32">
        <v>42000.0</v>
      </c>
      <c r="L1560" s="24">
        <v>60000.0</v>
      </c>
      <c r="M1560" s="25" t="s">
        <v>82</v>
      </c>
      <c r="N1560" s="26"/>
      <c r="O1560" s="27">
        <f t="shared" si="211"/>
        <v>0.4285714286</v>
      </c>
      <c r="P1560" s="28">
        <f t="shared" si="210"/>
        <v>84000</v>
      </c>
    </row>
    <row r="1561" hidden="1">
      <c r="A1561" s="16" t="s">
        <v>2327</v>
      </c>
      <c r="B1561" s="17"/>
      <c r="C1561" s="18"/>
      <c r="D1561" s="4"/>
      <c r="E1561" s="19">
        <v>0.0</v>
      </c>
      <c r="F1561" s="19"/>
      <c r="G1561" s="16" t="s">
        <v>2315</v>
      </c>
      <c r="H1561" s="21"/>
      <c r="I1561" s="22"/>
      <c r="J1561" s="29"/>
      <c r="K1561" s="43">
        <v>32000.0</v>
      </c>
      <c r="L1561" s="44">
        <v>48000.0</v>
      </c>
      <c r="M1561" s="25" t="s">
        <v>82</v>
      </c>
      <c r="N1561" s="26"/>
      <c r="O1561" s="27">
        <f t="shared" si="211"/>
        <v>0.5</v>
      </c>
      <c r="P1561" s="28">
        <f t="shared" si="210"/>
        <v>0</v>
      </c>
    </row>
    <row r="1562" hidden="1">
      <c r="A1562" s="16" t="s">
        <v>2328</v>
      </c>
      <c r="B1562" s="167" t="s">
        <v>2329</v>
      </c>
      <c r="C1562" s="18"/>
      <c r="D1562" s="4"/>
      <c r="E1562" s="19">
        <v>0.0</v>
      </c>
      <c r="F1562" s="19">
        <v>2.0</v>
      </c>
      <c r="G1562" s="16" t="s">
        <v>2315</v>
      </c>
      <c r="H1562" s="21"/>
      <c r="I1562" s="22"/>
      <c r="J1562" s="29"/>
      <c r="K1562" s="32">
        <v>155000.0</v>
      </c>
      <c r="L1562" s="24">
        <v>180000.0</v>
      </c>
      <c r="M1562" s="25" t="s">
        <v>82</v>
      </c>
      <c r="N1562" s="26"/>
      <c r="O1562" s="27">
        <f t="shared" si="211"/>
        <v>0.1612903226</v>
      </c>
      <c r="P1562" s="28">
        <f t="shared" si="210"/>
        <v>310000</v>
      </c>
    </row>
    <row r="1563" hidden="1">
      <c r="A1563" s="16" t="s">
        <v>2330</v>
      </c>
      <c r="B1563" s="167"/>
      <c r="C1563" s="18"/>
      <c r="D1563" s="4"/>
      <c r="E1563" s="19">
        <v>0.0</v>
      </c>
      <c r="F1563" s="19"/>
      <c r="G1563" s="16" t="s">
        <v>2315</v>
      </c>
      <c r="H1563" s="21"/>
      <c r="I1563" s="22"/>
      <c r="J1563" s="29"/>
      <c r="K1563" s="43">
        <v>32000.0</v>
      </c>
      <c r="L1563" s="44">
        <v>48000.0</v>
      </c>
      <c r="M1563" s="25" t="s">
        <v>82</v>
      </c>
      <c r="N1563" s="26"/>
      <c r="O1563" s="27">
        <f t="shared" si="211"/>
        <v>0.5</v>
      </c>
      <c r="P1563" s="28">
        <f t="shared" si="210"/>
        <v>0</v>
      </c>
    </row>
    <row r="1564" hidden="1">
      <c r="A1564" s="16" t="s">
        <v>2331</v>
      </c>
      <c r="B1564" s="167" t="s">
        <v>2332</v>
      </c>
      <c r="C1564" s="18"/>
      <c r="D1564" s="4" t="s">
        <v>676</v>
      </c>
      <c r="E1564" s="19">
        <v>0.0</v>
      </c>
      <c r="F1564" s="19">
        <v>2.0</v>
      </c>
      <c r="G1564" s="16" t="s">
        <v>2315</v>
      </c>
      <c r="H1564" s="21"/>
      <c r="I1564" s="22"/>
      <c r="J1564" s="29"/>
      <c r="K1564" s="43">
        <v>155000.0</v>
      </c>
      <c r="L1564" s="44">
        <v>180000.0</v>
      </c>
      <c r="M1564" s="25" t="s">
        <v>82</v>
      </c>
      <c r="N1564" s="26"/>
      <c r="O1564" s="27">
        <f t="shared" si="211"/>
        <v>0.1612903226</v>
      </c>
      <c r="P1564" s="28">
        <f t="shared" si="210"/>
        <v>310000</v>
      </c>
    </row>
    <row r="1565" hidden="1">
      <c r="A1565" s="16" t="s">
        <v>2333</v>
      </c>
      <c r="B1565" s="167"/>
      <c r="C1565" s="18"/>
      <c r="D1565" s="4"/>
      <c r="E1565" s="19">
        <v>0.0</v>
      </c>
      <c r="F1565" s="19"/>
      <c r="G1565" s="16" t="s">
        <v>2315</v>
      </c>
      <c r="H1565" s="21"/>
      <c r="I1565" s="22"/>
      <c r="J1565" s="29"/>
      <c r="K1565" s="43">
        <v>32000.0</v>
      </c>
      <c r="L1565" s="44">
        <v>48000.0</v>
      </c>
      <c r="M1565" s="25" t="s">
        <v>82</v>
      </c>
      <c r="N1565" s="26"/>
      <c r="O1565" s="27">
        <f t="shared" si="211"/>
        <v>0.5</v>
      </c>
      <c r="P1565" s="28">
        <f t="shared" si="210"/>
        <v>0</v>
      </c>
    </row>
    <row r="1566" hidden="1">
      <c r="A1566" s="16" t="s">
        <v>2334</v>
      </c>
      <c r="B1566" s="167" t="s">
        <v>2332</v>
      </c>
      <c r="C1566" s="18"/>
      <c r="D1566" s="4"/>
      <c r="E1566" s="19">
        <v>0.0</v>
      </c>
      <c r="F1566" s="19"/>
      <c r="G1566" s="16" t="s">
        <v>2315</v>
      </c>
      <c r="H1566" s="21"/>
      <c r="I1566" s="22"/>
      <c r="J1566" s="29"/>
      <c r="K1566" s="32">
        <v>155000.0</v>
      </c>
      <c r="L1566" s="24">
        <v>180000.0</v>
      </c>
      <c r="M1566" s="25" t="s">
        <v>82</v>
      </c>
      <c r="N1566" s="26"/>
      <c r="O1566" s="27">
        <f t="shared" si="211"/>
        <v>0.1612903226</v>
      </c>
      <c r="P1566" s="28">
        <f t="shared" si="210"/>
        <v>0</v>
      </c>
    </row>
    <row r="1567" hidden="1">
      <c r="A1567" s="16" t="s">
        <v>2335</v>
      </c>
      <c r="B1567" s="167" t="s">
        <v>2332</v>
      </c>
      <c r="C1567" s="18"/>
      <c r="D1567" s="4"/>
      <c r="E1567" s="19">
        <v>0.0</v>
      </c>
      <c r="F1567" s="19"/>
      <c r="G1567" s="16" t="s">
        <v>2315</v>
      </c>
      <c r="H1567" s="21"/>
      <c r="I1567" s="22"/>
      <c r="J1567" s="47">
        <v>46266.0</v>
      </c>
      <c r="K1567" s="43">
        <v>155000.0</v>
      </c>
      <c r="L1567" s="44">
        <v>180000.0</v>
      </c>
      <c r="M1567" s="25" t="s">
        <v>82</v>
      </c>
      <c r="N1567" s="26"/>
      <c r="O1567" s="27">
        <f t="shared" si="211"/>
        <v>0.1612903226</v>
      </c>
      <c r="P1567" s="28">
        <f t="shared" si="210"/>
        <v>0</v>
      </c>
    </row>
    <row r="1568" hidden="1">
      <c r="A1568" s="16" t="s">
        <v>2336</v>
      </c>
      <c r="B1568" s="17"/>
      <c r="C1568" s="18"/>
      <c r="D1568" s="4"/>
      <c r="E1568" s="19">
        <v>0.0</v>
      </c>
      <c r="F1568" s="19">
        <v>0.0</v>
      </c>
      <c r="G1568" s="16" t="s">
        <v>63</v>
      </c>
      <c r="H1568" s="21"/>
      <c r="I1568" s="22">
        <v>0.0</v>
      </c>
      <c r="J1568" s="29"/>
      <c r="K1568" s="43">
        <v>28644.0</v>
      </c>
      <c r="L1568" s="44">
        <v>40000.0</v>
      </c>
      <c r="M1568" s="25" t="s">
        <v>82</v>
      </c>
      <c r="N1568" s="26"/>
      <c r="O1568" s="27">
        <f t="shared" si="211"/>
        <v>0.3964530094</v>
      </c>
      <c r="P1568" s="28">
        <f t="shared" si="210"/>
        <v>0</v>
      </c>
    </row>
    <row r="1569" hidden="1">
      <c r="A1569" s="16" t="s">
        <v>2337</v>
      </c>
      <c r="B1569" s="17"/>
      <c r="C1569" s="18"/>
      <c r="D1569" s="4"/>
      <c r="E1569" s="19">
        <v>0.0</v>
      </c>
      <c r="F1569" s="19">
        <v>0.0</v>
      </c>
      <c r="G1569" s="16" t="s">
        <v>63</v>
      </c>
      <c r="H1569" s="21"/>
      <c r="I1569" s="22">
        <v>0.0</v>
      </c>
      <c r="J1569" s="29"/>
      <c r="K1569" s="43">
        <v>28644.0</v>
      </c>
      <c r="L1569" s="44">
        <v>40000.0</v>
      </c>
      <c r="M1569" s="25" t="s">
        <v>82</v>
      </c>
      <c r="N1569" s="26"/>
      <c r="O1569" s="27">
        <f t="shared" si="211"/>
        <v>0.3964530094</v>
      </c>
      <c r="P1569" s="28">
        <f t="shared" si="210"/>
        <v>0</v>
      </c>
    </row>
    <row r="1570" hidden="1">
      <c r="A1570" s="16" t="s">
        <v>2338</v>
      </c>
      <c r="B1570" s="17"/>
      <c r="C1570" s="18"/>
      <c r="D1570" s="4"/>
      <c r="E1570" s="19">
        <v>0.0</v>
      </c>
      <c r="F1570" s="19">
        <v>0.0</v>
      </c>
      <c r="G1570" s="16" t="s">
        <v>63</v>
      </c>
      <c r="H1570" s="21"/>
      <c r="I1570" s="22">
        <v>0.0</v>
      </c>
      <c r="J1570" s="29"/>
      <c r="K1570" s="43">
        <v>28644.0</v>
      </c>
      <c r="L1570" s="44">
        <v>40000.0</v>
      </c>
      <c r="M1570" s="25" t="s">
        <v>82</v>
      </c>
      <c r="N1570" s="26"/>
      <c r="O1570" s="27">
        <f t="shared" si="211"/>
        <v>0.3964530094</v>
      </c>
      <c r="P1570" s="28">
        <f t="shared" si="210"/>
        <v>0</v>
      </c>
    </row>
    <row r="1571" hidden="1">
      <c r="A1571" s="16" t="s">
        <v>2339</v>
      </c>
      <c r="B1571" s="17"/>
      <c r="C1571" s="18"/>
      <c r="D1571" s="4"/>
      <c r="E1571" s="19">
        <v>0.0</v>
      </c>
      <c r="F1571" s="19">
        <v>0.0</v>
      </c>
      <c r="G1571" s="16" t="s">
        <v>63</v>
      </c>
      <c r="H1571" s="21"/>
      <c r="I1571" s="22">
        <v>0.0</v>
      </c>
      <c r="J1571" s="29"/>
      <c r="K1571" s="43">
        <v>28644.0</v>
      </c>
      <c r="L1571" s="44">
        <v>40000.0</v>
      </c>
      <c r="M1571" s="25" t="s">
        <v>82</v>
      </c>
      <c r="N1571" s="26"/>
      <c r="O1571" s="27">
        <f t="shared" si="211"/>
        <v>0.3964530094</v>
      </c>
      <c r="P1571" s="28">
        <f t="shared" si="210"/>
        <v>0</v>
      </c>
    </row>
    <row r="1572" hidden="1">
      <c r="A1572" s="16" t="s">
        <v>2340</v>
      </c>
      <c r="B1572" s="17"/>
      <c r="C1572" s="18"/>
      <c r="D1572" s="4"/>
      <c r="E1572" s="19">
        <v>0.0</v>
      </c>
      <c r="F1572" s="19">
        <v>0.0</v>
      </c>
      <c r="G1572" s="16" t="s">
        <v>63</v>
      </c>
      <c r="H1572" s="21"/>
      <c r="I1572" s="22">
        <v>0.0</v>
      </c>
      <c r="J1572" s="29"/>
      <c r="K1572" s="43">
        <v>28644.0</v>
      </c>
      <c r="L1572" s="44">
        <v>40000.0</v>
      </c>
      <c r="M1572" s="25" t="s">
        <v>82</v>
      </c>
      <c r="N1572" s="26"/>
      <c r="O1572" s="27">
        <f t="shared" si="211"/>
        <v>0.3964530094</v>
      </c>
      <c r="P1572" s="28">
        <f t="shared" si="210"/>
        <v>0</v>
      </c>
    </row>
    <row r="1573" hidden="1">
      <c r="A1573" s="16" t="s">
        <v>2341</v>
      </c>
      <c r="B1573" s="17"/>
      <c r="C1573" s="18"/>
      <c r="D1573" s="4"/>
      <c r="E1573" s="19">
        <v>0.0</v>
      </c>
      <c r="F1573" s="19">
        <v>0.0</v>
      </c>
      <c r="G1573" s="16" t="s">
        <v>63</v>
      </c>
      <c r="H1573" s="21"/>
      <c r="I1573" s="22">
        <v>0.0</v>
      </c>
      <c r="J1573" s="29"/>
      <c r="K1573" s="43">
        <v>28644.0</v>
      </c>
      <c r="L1573" s="44">
        <v>40000.0</v>
      </c>
      <c r="M1573" s="25" t="s">
        <v>82</v>
      </c>
      <c r="N1573" s="26"/>
      <c r="O1573" s="27">
        <f t="shared" si="211"/>
        <v>0.3964530094</v>
      </c>
      <c r="P1573" s="28">
        <f t="shared" si="210"/>
        <v>0</v>
      </c>
    </row>
    <row r="1574" hidden="1">
      <c r="A1574" s="16" t="s">
        <v>2342</v>
      </c>
      <c r="B1574" s="17"/>
      <c r="C1574" s="18"/>
      <c r="D1574" s="4"/>
      <c r="E1574" s="19">
        <v>0.0</v>
      </c>
      <c r="F1574" s="19">
        <v>0.0</v>
      </c>
      <c r="G1574" s="16" t="s">
        <v>63</v>
      </c>
      <c r="H1574" s="21"/>
      <c r="I1574" s="22">
        <v>0.0</v>
      </c>
      <c r="J1574" s="29"/>
      <c r="K1574" s="43">
        <v>28644.0</v>
      </c>
      <c r="L1574" s="44">
        <v>40000.0</v>
      </c>
      <c r="M1574" s="25" t="s">
        <v>82</v>
      </c>
      <c r="N1574" s="26"/>
      <c r="O1574" s="27">
        <f t="shared" si="211"/>
        <v>0.3964530094</v>
      </c>
      <c r="P1574" s="28">
        <f t="shared" si="210"/>
        <v>0</v>
      </c>
    </row>
    <row r="1575" hidden="1">
      <c r="A1575" s="16" t="s">
        <v>2343</v>
      </c>
      <c r="B1575" s="17"/>
      <c r="C1575" s="18"/>
      <c r="D1575" s="4"/>
      <c r="E1575" s="19">
        <v>0.0</v>
      </c>
      <c r="F1575" s="19">
        <v>0.0</v>
      </c>
      <c r="G1575" s="16" t="s">
        <v>63</v>
      </c>
      <c r="H1575" s="21"/>
      <c r="I1575" s="22">
        <v>0.0</v>
      </c>
      <c r="J1575" s="29"/>
      <c r="K1575" s="43">
        <v>28644.0</v>
      </c>
      <c r="L1575" s="44">
        <v>40000.0</v>
      </c>
      <c r="M1575" s="25" t="s">
        <v>82</v>
      </c>
      <c r="N1575" s="26"/>
      <c r="O1575" s="27">
        <f t="shared" si="211"/>
        <v>0.3964530094</v>
      </c>
      <c r="P1575" s="28">
        <f t="shared" si="210"/>
        <v>0</v>
      </c>
    </row>
    <row r="1576" hidden="1">
      <c r="A1576" s="16" t="s">
        <v>2344</v>
      </c>
      <c r="B1576" s="17"/>
      <c r="C1576" s="18"/>
      <c r="D1576" s="4"/>
      <c r="E1576" s="19"/>
      <c r="F1576" s="19">
        <v>0.0</v>
      </c>
      <c r="G1576" s="16" t="s">
        <v>93</v>
      </c>
      <c r="H1576" s="21"/>
      <c r="I1576" s="22"/>
      <c r="J1576" s="29"/>
      <c r="K1576" s="32">
        <v>389000.0</v>
      </c>
      <c r="L1576" s="24">
        <v>450000.0</v>
      </c>
      <c r="M1576" s="25"/>
      <c r="N1576" s="26"/>
      <c r="O1576" s="27">
        <f t="shared" si="211"/>
        <v>0.1568123393</v>
      </c>
      <c r="P1576" s="28">
        <f t="shared" si="210"/>
        <v>0</v>
      </c>
    </row>
    <row r="1577" hidden="1">
      <c r="A1577" s="16" t="s">
        <v>2345</v>
      </c>
      <c r="B1577" s="26">
        <v>33000.0</v>
      </c>
      <c r="C1577" s="18"/>
      <c r="D1577" s="4"/>
      <c r="E1577" s="19">
        <v>0.0</v>
      </c>
      <c r="F1577" s="19">
        <v>4.0</v>
      </c>
      <c r="G1577" s="16" t="s">
        <v>1205</v>
      </c>
      <c r="H1577" s="21"/>
      <c r="I1577" s="22">
        <v>0.0</v>
      </c>
      <c r="J1577" s="29"/>
      <c r="K1577" s="43">
        <v>46297.0</v>
      </c>
      <c r="L1577" s="44">
        <v>58000.0</v>
      </c>
      <c r="M1577" s="25" t="s">
        <v>82</v>
      </c>
      <c r="N1577" s="26">
        <v>52000.0</v>
      </c>
      <c r="O1577" s="27">
        <f t="shared" si="211"/>
        <v>0.2527809577</v>
      </c>
      <c r="P1577" s="28">
        <f t="shared" si="210"/>
        <v>185188</v>
      </c>
    </row>
    <row r="1578" hidden="1">
      <c r="A1578" s="16" t="s">
        <v>2346</v>
      </c>
      <c r="B1578" s="26">
        <v>33000.0</v>
      </c>
      <c r="C1578" s="18"/>
      <c r="D1578" s="4"/>
      <c r="E1578" s="19">
        <v>0.0</v>
      </c>
      <c r="F1578" s="19">
        <v>4.0</v>
      </c>
      <c r="G1578" s="16" t="s">
        <v>1205</v>
      </c>
      <c r="H1578" s="21"/>
      <c r="I1578" s="22">
        <v>0.0</v>
      </c>
      <c r="J1578" s="29"/>
      <c r="K1578" s="43">
        <v>46297.0</v>
      </c>
      <c r="L1578" s="44">
        <v>58000.0</v>
      </c>
      <c r="M1578" s="25" t="s">
        <v>82</v>
      </c>
      <c r="N1578" s="26">
        <v>52000.0</v>
      </c>
      <c r="O1578" s="27">
        <f t="shared" si="211"/>
        <v>0.2527809577</v>
      </c>
      <c r="P1578" s="28">
        <f t="shared" si="210"/>
        <v>185188</v>
      </c>
    </row>
    <row r="1579" hidden="1">
      <c r="A1579" s="16" t="s">
        <v>2347</v>
      </c>
      <c r="B1579" s="26">
        <v>33000.0</v>
      </c>
      <c r="C1579" s="18"/>
      <c r="D1579" s="4"/>
      <c r="E1579" s="19">
        <v>0.0</v>
      </c>
      <c r="F1579" s="19">
        <v>5.0</v>
      </c>
      <c r="G1579" s="16" t="s">
        <v>1205</v>
      </c>
      <c r="H1579" s="21"/>
      <c r="I1579" s="22">
        <v>1.0</v>
      </c>
      <c r="J1579" s="29"/>
      <c r="K1579" s="43">
        <v>46297.0</v>
      </c>
      <c r="L1579" s="44">
        <v>58000.0</v>
      </c>
      <c r="M1579" s="25" t="s">
        <v>82</v>
      </c>
      <c r="N1579" s="26">
        <v>52000.0</v>
      </c>
      <c r="O1579" s="27">
        <f t="shared" si="211"/>
        <v>0.2527809577</v>
      </c>
      <c r="P1579" s="28">
        <f t="shared" si="210"/>
        <v>231485</v>
      </c>
    </row>
    <row r="1580" hidden="1">
      <c r="A1580" s="16" t="s">
        <v>2348</v>
      </c>
      <c r="B1580" s="26">
        <v>33000.0</v>
      </c>
      <c r="C1580" s="18"/>
      <c r="D1580" s="4"/>
      <c r="E1580" s="19">
        <v>0.0</v>
      </c>
      <c r="F1580" s="19">
        <v>5.0</v>
      </c>
      <c r="G1580" s="16" t="s">
        <v>1205</v>
      </c>
      <c r="H1580" s="21"/>
      <c r="I1580" s="22">
        <v>0.0</v>
      </c>
      <c r="J1580" s="29"/>
      <c r="K1580" s="43">
        <v>46297.0</v>
      </c>
      <c r="L1580" s="44">
        <v>58000.0</v>
      </c>
      <c r="M1580" s="25" t="s">
        <v>82</v>
      </c>
      <c r="N1580" s="26">
        <v>52000.0</v>
      </c>
      <c r="O1580" s="27">
        <f t="shared" si="211"/>
        <v>0.2527809577</v>
      </c>
      <c r="P1580" s="28">
        <f t="shared" si="210"/>
        <v>231485</v>
      </c>
    </row>
    <row r="1581" hidden="1">
      <c r="A1581" s="16" t="s">
        <v>2349</v>
      </c>
      <c r="B1581" s="26">
        <v>33000.0</v>
      </c>
      <c r="C1581" s="18"/>
      <c r="D1581" s="4"/>
      <c r="E1581" s="19">
        <v>0.0</v>
      </c>
      <c r="F1581" s="19">
        <v>2.0</v>
      </c>
      <c r="G1581" s="16" t="s">
        <v>1205</v>
      </c>
      <c r="H1581" s="21"/>
      <c r="I1581" s="22">
        <v>1.0</v>
      </c>
      <c r="J1581" s="29"/>
      <c r="K1581" s="43">
        <v>46297.0</v>
      </c>
      <c r="L1581" s="44">
        <v>58000.0</v>
      </c>
      <c r="M1581" s="25" t="s">
        <v>82</v>
      </c>
      <c r="N1581" s="26">
        <v>52000.0</v>
      </c>
      <c r="O1581" s="27">
        <f t="shared" si="211"/>
        <v>0.2527809577</v>
      </c>
      <c r="P1581" s="28">
        <f t="shared" si="210"/>
        <v>92594</v>
      </c>
    </row>
    <row r="1582" hidden="1">
      <c r="A1582" s="16" t="s">
        <v>2350</v>
      </c>
      <c r="B1582" s="26">
        <v>33000.0</v>
      </c>
      <c r="C1582" s="18"/>
      <c r="D1582" s="4"/>
      <c r="E1582" s="19">
        <v>0.0</v>
      </c>
      <c r="F1582" s="19">
        <v>2.0</v>
      </c>
      <c r="G1582" s="16" t="s">
        <v>1205</v>
      </c>
      <c r="H1582" s="21"/>
      <c r="I1582" s="22">
        <v>0.0</v>
      </c>
      <c r="J1582" s="29"/>
      <c r="K1582" s="43">
        <v>46297.0</v>
      </c>
      <c r="L1582" s="44">
        <v>58000.0</v>
      </c>
      <c r="M1582" s="25" t="s">
        <v>82</v>
      </c>
      <c r="N1582" s="26">
        <v>52000.0</v>
      </c>
      <c r="O1582" s="27">
        <f t="shared" si="211"/>
        <v>0.2527809577</v>
      </c>
      <c r="P1582" s="28">
        <f t="shared" si="210"/>
        <v>92594</v>
      </c>
    </row>
    <row r="1583" hidden="1">
      <c r="A1583" s="16" t="s">
        <v>2351</v>
      </c>
      <c r="B1583" s="26">
        <v>33000.0</v>
      </c>
      <c r="C1583" s="18"/>
      <c r="D1583" s="4"/>
      <c r="E1583" s="19">
        <v>0.0</v>
      </c>
      <c r="F1583" s="19">
        <v>1.0</v>
      </c>
      <c r="G1583" s="16" t="s">
        <v>1205</v>
      </c>
      <c r="H1583" s="21"/>
      <c r="I1583" s="22">
        <v>0.0</v>
      </c>
      <c r="J1583" s="29"/>
      <c r="K1583" s="43">
        <v>46297.0</v>
      </c>
      <c r="L1583" s="44">
        <v>58000.0</v>
      </c>
      <c r="M1583" s="25" t="s">
        <v>82</v>
      </c>
      <c r="N1583" s="26">
        <v>52000.0</v>
      </c>
      <c r="O1583" s="27">
        <f t="shared" si="211"/>
        <v>0.2527809577</v>
      </c>
      <c r="P1583" s="28">
        <f t="shared" si="210"/>
        <v>46297</v>
      </c>
    </row>
    <row r="1584" hidden="1">
      <c r="A1584" s="16" t="s">
        <v>2352</v>
      </c>
      <c r="B1584" s="26">
        <v>33000.0</v>
      </c>
      <c r="C1584" s="18"/>
      <c r="D1584" s="4"/>
      <c r="E1584" s="19">
        <v>0.0</v>
      </c>
      <c r="F1584" s="19">
        <v>1.0</v>
      </c>
      <c r="G1584" s="16" t="s">
        <v>1205</v>
      </c>
      <c r="H1584" s="21"/>
      <c r="I1584" s="22">
        <v>0.0</v>
      </c>
      <c r="J1584" s="29"/>
      <c r="K1584" s="43">
        <v>46297.0</v>
      </c>
      <c r="L1584" s="44">
        <v>58000.0</v>
      </c>
      <c r="M1584" s="25" t="s">
        <v>82</v>
      </c>
      <c r="N1584" s="26">
        <v>52000.0</v>
      </c>
      <c r="O1584" s="27">
        <f t="shared" si="211"/>
        <v>0.2527809577</v>
      </c>
      <c r="P1584" s="28">
        <f t="shared" si="210"/>
        <v>46297</v>
      </c>
    </row>
    <row r="1585" hidden="1">
      <c r="A1585" s="16" t="s">
        <v>2353</v>
      </c>
      <c r="B1585" s="36"/>
      <c r="C1585" s="18" t="s">
        <v>985</v>
      </c>
      <c r="D1585" s="4"/>
      <c r="E1585" s="19">
        <v>0.0</v>
      </c>
      <c r="F1585" s="19">
        <v>0.0</v>
      </c>
      <c r="G1585" s="20" t="s">
        <v>1820</v>
      </c>
      <c r="H1585" s="21"/>
      <c r="I1585" s="22">
        <f>15+31</f>
        <v>46</v>
      </c>
      <c r="J1585" s="29"/>
      <c r="K1585" s="48">
        <v>180000.0</v>
      </c>
      <c r="L1585" s="48">
        <v>260000.0</v>
      </c>
      <c r="M1585" s="25" t="s">
        <v>82</v>
      </c>
      <c r="N1585" s="26" t="s">
        <v>2354</v>
      </c>
      <c r="O1585" s="27">
        <f t="shared" si="211"/>
        <v>0.4444444444</v>
      </c>
      <c r="P1585" s="28">
        <f t="shared" si="210"/>
        <v>0</v>
      </c>
    </row>
    <row r="1586" hidden="1">
      <c r="A1586" s="16" t="s">
        <v>2355</v>
      </c>
      <c r="B1586" s="36"/>
      <c r="C1586" s="18" t="s">
        <v>985</v>
      </c>
      <c r="D1586" s="4"/>
      <c r="E1586" s="19">
        <v>0.0</v>
      </c>
      <c r="F1586" s="19">
        <v>0.0</v>
      </c>
      <c r="G1586" s="20" t="s">
        <v>1820</v>
      </c>
      <c r="H1586" s="21"/>
      <c r="I1586" s="22">
        <f>14+15</f>
        <v>29</v>
      </c>
      <c r="J1586" s="29"/>
      <c r="K1586" s="48">
        <v>180000.0</v>
      </c>
      <c r="L1586" s="48">
        <v>260000.0</v>
      </c>
      <c r="M1586" s="25" t="s">
        <v>82</v>
      </c>
      <c r="N1586" s="26">
        <v>220000.0</v>
      </c>
      <c r="O1586" s="27">
        <f t="shared" si="211"/>
        <v>0.4444444444</v>
      </c>
      <c r="P1586" s="28">
        <f t="shared" si="210"/>
        <v>0</v>
      </c>
    </row>
    <row r="1587" hidden="1">
      <c r="A1587" s="16" t="s">
        <v>2356</v>
      </c>
      <c r="B1587" s="36"/>
      <c r="C1587" s="18" t="s">
        <v>985</v>
      </c>
      <c r="D1587" s="4"/>
      <c r="E1587" s="19">
        <v>0.0</v>
      </c>
      <c r="F1587" s="19">
        <v>0.0</v>
      </c>
      <c r="G1587" s="20" t="s">
        <v>1820</v>
      </c>
      <c r="H1587" s="21"/>
      <c r="I1587" s="22">
        <v>29.0</v>
      </c>
      <c r="J1587" s="29"/>
      <c r="K1587" s="48">
        <v>180000.0</v>
      </c>
      <c r="L1587" s="48">
        <v>260000.0</v>
      </c>
      <c r="M1587" s="25" t="s">
        <v>82</v>
      </c>
      <c r="N1587" s="26">
        <v>220000.0</v>
      </c>
      <c r="O1587" s="27">
        <f t="shared" si="211"/>
        <v>0.4444444444</v>
      </c>
      <c r="P1587" s="28">
        <f t="shared" si="210"/>
        <v>0</v>
      </c>
    </row>
    <row r="1588" hidden="1">
      <c r="A1588" s="40" t="s">
        <v>2357</v>
      </c>
      <c r="B1588" s="36"/>
      <c r="C1588" s="18"/>
      <c r="D1588" s="4"/>
      <c r="E1588" s="19"/>
      <c r="F1588" s="19">
        <v>0.0</v>
      </c>
      <c r="G1588" s="16" t="s">
        <v>2269</v>
      </c>
      <c r="H1588" s="21"/>
      <c r="I1588" s="22"/>
      <c r="J1588" s="29"/>
      <c r="K1588" s="43">
        <v>3000.0</v>
      </c>
      <c r="L1588" s="44">
        <v>6000.0</v>
      </c>
      <c r="M1588" s="25" t="s">
        <v>82</v>
      </c>
      <c r="N1588" s="26"/>
      <c r="O1588" s="27">
        <f t="shared" si="211"/>
        <v>1</v>
      </c>
      <c r="P1588" s="28">
        <f t="shared" si="210"/>
        <v>0</v>
      </c>
    </row>
    <row r="1589" hidden="1">
      <c r="A1589" s="16" t="s">
        <v>2358</v>
      </c>
      <c r="B1589" s="17"/>
      <c r="C1589" s="18"/>
      <c r="D1589" s="4"/>
      <c r="E1589" s="19">
        <v>0.0</v>
      </c>
      <c r="F1589" s="19"/>
      <c r="G1589" s="16" t="s">
        <v>57</v>
      </c>
      <c r="H1589" s="21"/>
      <c r="I1589" s="22"/>
      <c r="J1589" s="29"/>
      <c r="K1589" s="43">
        <v>16000.0</v>
      </c>
      <c r="L1589" s="44">
        <v>30000.0</v>
      </c>
      <c r="M1589" s="25" t="s">
        <v>82</v>
      </c>
      <c r="N1589" s="26"/>
      <c r="O1589" s="27">
        <f t="shared" si="211"/>
        <v>0.875</v>
      </c>
      <c r="P1589" s="28">
        <f t="shared" si="210"/>
        <v>0</v>
      </c>
    </row>
    <row r="1590" hidden="1">
      <c r="A1590" s="16" t="s">
        <v>2359</v>
      </c>
      <c r="B1590" s="17"/>
      <c r="C1590" s="18"/>
      <c r="D1590" s="4"/>
      <c r="E1590" s="19">
        <v>0.0</v>
      </c>
      <c r="F1590" s="19"/>
      <c r="G1590" s="16" t="s">
        <v>57</v>
      </c>
      <c r="H1590" s="21"/>
      <c r="I1590" s="22"/>
      <c r="J1590" s="29"/>
      <c r="K1590" s="43">
        <v>16000.0</v>
      </c>
      <c r="L1590" s="44">
        <v>30000.0</v>
      </c>
      <c r="M1590" s="25" t="s">
        <v>82</v>
      </c>
      <c r="N1590" s="26"/>
      <c r="O1590" s="27">
        <f t="shared" si="211"/>
        <v>0.875</v>
      </c>
      <c r="P1590" s="28">
        <f t="shared" si="210"/>
        <v>0</v>
      </c>
    </row>
    <row r="1591" hidden="1">
      <c r="A1591" s="16" t="s">
        <v>2360</v>
      </c>
      <c r="B1591" s="36"/>
      <c r="C1591" s="18"/>
      <c r="D1591" s="4"/>
      <c r="E1591" s="19">
        <v>0.0</v>
      </c>
      <c r="F1591" s="19"/>
      <c r="G1591" s="16" t="s">
        <v>57</v>
      </c>
      <c r="H1591" s="21"/>
      <c r="I1591" s="22"/>
      <c r="J1591" s="29"/>
      <c r="K1591" s="43">
        <v>16000.0</v>
      </c>
      <c r="L1591" s="44">
        <v>30000.0</v>
      </c>
      <c r="M1591" s="25" t="s">
        <v>82</v>
      </c>
      <c r="N1591" s="26"/>
      <c r="O1591" s="27">
        <f t="shared" si="211"/>
        <v>0.875</v>
      </c>
      <c r="P1591" s="28">
        <f t="shared" si="210"/>
        <v>0</v>
      </c>
    </row>
    <row r="1592" hidden="1">
      <c r="A1592" s="16" t="s">
        <v>2361</v>
      </c>
      <c r="B1592" s="17" t="s">
        <v>2362</v>
      </c>
      <c r="C1592" s="18"/>
      <c r="D1592" s="4"/>
      <c r="E1592" s="19">
        <v>0.0</v>
      </c>
      <c r="F1592" s="19">
        <v>0.0</v>
      </c>
      <c r="G1592" s="16" t="s">
        <v>277</v>
      </c>
      <c r="H1592" s="21"/>
      <c r="I1592" s="22">
        <v>1.0</v>
      </c>
      <c r="J1592" s="58">
        <v>45992.0</v>
      </c>
      <c r="K1592" s="48">
        <f>360000/15</f>
        <v>24000</v>
      </c>
      <c r="L1592" s="55">
        <v>36000.0</v>
      </c>
      <c r="M1592" s="25" t="s">
        <v>82</v>
      </c>
      <c r="N1592" s="26">
        <v>30000.0</v>
      </c>
      <c r="O1592" s="27">
        <f t="shared" si="211"/>
        <v>0.5</v>
      </c>
      <c r="P1592" s="28">
        <f t="shared" si="210"/>
        <v>0</v>
      </c>
    </row>
    <row r="1593" hidden="1">
      <c r="A1593" s="16" t="s">
        <v>2363</v>
      </c>
      <c r="B1593" s="17"/>
      <c r="C1593" s="18"/>
      <c r="D1593" s="4"/>
      <c r="E1593" s="19">
        <v>0.0</v>
      </c>
      <c r="F1593" s="19">
        <v>0.0</v>
      </c>
      <c r="G1593" s="16" t="s">
        <v>277</v>
      </c>
      <c r="H1593" s="21"/>
      <c r="I1593" s="22"/>
      <c r="J1593" s="58"/>
      <c r="K1593" s="48">
        <f>360000</f>
        <v>360000</v>
      </c>
      <c r="L1593" s="55">
        <v>460000.0</v>
      </c>
      <c r="M1593" s="25"/>
      <c r="N1593" s="26">
        <v>410000.0</v>
      </c>
      <c r="O1593" s="27"/>
      <c r="P1593" s="28"/>
    </row>
    <row r="1594" hidden="1">
      <c r="A1594" s="16" t="s">
        <v>2364</v>
      </c>
      <c r="B1594" s="26">
        <v>33000.0</v>
      </c>
      <c r="C1594" s="18"/>
      <c r="D1594" s="4"/>
      <c r="E1594" s="19">
        <v>0.0</v>
      </c>
      <c r="F1594" s="19">
        <v>0.0</v>
      </c>
      <c r="G1594" s="16" t="s">
        <v>1205</v>
      </c>
      <c r="H1594" s="21"/>
      <c r="I1594" s="22">
        <v>12.0</v>
      </c>
      <c r="J1594" s="29"/>
      <c r="K1594" s="32">
        <v>33000.0</v>
      </c>
      <c r="L1594" s="24">
        <v>58000.0</v>
      </c>
      <c r="M1594" s="25" t="s">
        <v>82</v>
      </c>
      <c r="N1594" s="26">
        <v>52000.0</v>
      </c>
      <c r="O1594" s="27">
        <f t="shared" ref="O1594:O1661" si="212">(L1594/K1594)-1</f>
        <v>0.7575757576</v>
      </c>
      <c r="P1594" s="28">
        <f t="shared" ref="P1594:P1661" si="213">K1594*F1594</f>
        <v>0</v>
      </c>
    </row>
    <row r="1595" hidden="1">
      <c r="A1595" s="16" t="s">
        <v>2365</v>
      </c>
      <c r="B1595" s="26">
        <v>33000.0</v>
      </c>
      <c r="C1595" s="18"/>
      <c r="D1595" s="4"/>
      <c r="E1595" s="19">
        <v>0.0</v>
      </c>
      <c r="F1595" s="19">
        <v>16.0</v>
      </c>
      <c r="G1595" s="16" t="s">
        <v>1205</v>
      </c>
      <c r="H1595" s="21"/>
      <c r="I1595" s="22">
        <v>0.0</v>
      </c>
      <c r="J1595" s="29"/>
      <c r="K1595" s="32">
        <v>33000.0</v>
      </c>
      <c r="L1595" s="24">
        <v>58000.0</v>
      </c>
      <c r="M1595" s="25" t="s">
        <v>82</v>
      </c>
      <c r="N1595" s="26">
        <v>52000.0</v>
      </c>
      <c r="O1595" s="27">
        <f t="shared" si="212"/>
        <v>0.7575757576</v>
      </c>
      <c r="P1595" s="28">
        <f t="shared" si="213"/>
        <v>528000</v>
      </c>
    </row>
    <row r="1596" hidden="1">
      <c r="A1596" s="16" t="s">
        <v>2366</v>
      </c>
      <c r="B1596" s="26">
        <v>33000.0</v>
      </c>
      <c r="C1596" s="18"/>
      <c r="D1596" s="4"/>
      <c r="E1596" s="19">
        <v>0.0</v>
      </c>
      <c r="F1596" s="19">
        <v>0.0</v>
      </c>
      <c r="G1596" s="16" t="s">
        <v>1205</v>
      </c>
      <c r="H1596" s="21"/>
      <c r="I1596" s="22">
        <v>0.0</v>
      </c>
      <c r="J1596" s="29"/>
      <c r="K1596" s="32">
        <v>33000.0</v>
      </c>
      <c r="L1596" s="24">
        <v>58000.0</v>
      </c>
      <c r="M1596" s="25" t="s">
        <v>82</v>
      </c>
      <c r="N1596" s="26">
        <v>52000.0</v>
      </c>
      <c r="O1596" s="27">
        <f t="shared" si="212"/>
        <v>0.7575757576</v>
      </c>
      <c r="P1596" s="28">
        <f t="shared" si="213"/>
        <v>0</v>
      </c>
    </row>
    <row r="1597" hidden="1">
      <c r="A1597" s="16" t="s">
        <v>2367</v>
      </c>
      <c r="B1597" s="36"/>
      <c r="C1597" s="18"/>
      <c r="D1597" s="4"/>
      <c r="E1597" s="19">
        <v>0.0</v>
      </c>
      <c r="F1597" s="19">
        <v>0.0</v>
      </c>
      <c r="G1597" s="16" t="s">
        <v>84</v>
      </c>
      <c r="H1597" s="21"/>
      <c r="I1597" s="22">
        <v>0.0</v>
      </c>
      <c r="J1597" s="29"/>
      <c r="K1597" s="43">
        <v>27000.0</v>
      </c>
      <c r="L1597" s="44">
        <v>48000.0</v>
      </c>
      <c r="M1597" s="25" t="s">
        <v>82</v>
      </c>
      <c r="N1597" s="26"/>
      <c r="O1597" s="27">
        <f t="shared" si="212"/>
        <v>0.7777777778</v>
      </c>
      <c r="P1597" s="28">
        <f t="shared" si="213"/>
        <v>0</v>
      </c>
    </row>
    <row r="1598" hidden="1">
      <c r="A1598" s="42" t="s">
        <v>2368</v>
      </c>
      <c r="B1598" s="17"/>
      <c r="C1598" s="18"/>
      <c r="D1598" s="4"/>
      <c r="E1598" s="19">
        <v>0.0</v>
      </c>
      <c r="F1598" s="19"/>
      <c r="G1598" s="16" t="s">
        <v>767</v>
      </c>
      <c r="H1598" s="21"/>
      <c r="I1598" s="22"/>
      <c r="J1598" s="29"/>
      <c r="K1598" s="32">
        <v>88000.0</v>
      </c>
      <c r="L1598" s="32">
        <v>130000.0</v>
      </c>
      <c r="M1598" s="25" t="s">
        <v>82</v>
      </c>
      <c r="N1598" s="26"/>
      <c r="O1598" s="27">
        <f t="shared" si="212"/>
        <v>0.4772727273</v>
      </c>
      <c r="P1598" s="28">
        <f t="shared" si="213"/>
        <v>0</v>
      </c>
    </row>
    <row r="1599" hidden="1">
      <c r="A1599" s="42" t="s">
        <v>2369</v>
      </c>
      <c r="B1599" s="17"/>
      <c r="C1599" s="18"/>
      <c r="D1599" s="4"/>
      <c r="E1599" s="19">
        <v>0.0</v>
      </c>
      <c r="F1599" s="19"/>
      <c r="G1599" s="16" t="s">
        <v>767</v>
      </c>
      <c r="H1599" s="21"/>
      <c r="I1599" s="22"/>
      <c r="J1599" s="29"/>
      <c r="K1599" s="32">
        <v>93000.0</v>
      </c>
      <c r="L1599" s="32">
        <v>130000.0</v>
      </c>
      <c r="M1599" s="25" t="s">
        <v>82</v>
      </c>
      <c r="N1599" s="26"/>
      <c r="O1599" s="27">
        <f t="shared" si="212"/>
        <v>0.3978494624</v>
      </c>
      <c r="P1599" s="28">
        <f t="shared" si="213"/>
        <v>0</v>
      </c>
    </row>
    <row r="1600" hidden="1">
      <c r="A1600" s="16" t="s">
        <v>2370</v>
      </c>
      <c r="B1600" s="42" t="s">
        <v>2371</v>
      </c>
      <c r="C1600" s="18"/>
      <c r="D1600" s="4"/>
      <c r="E1600" s="19">
        <v>0.0</v>
      </c>
      <c r="F1600" s="19">
        <v>0.0</v>
      </c>
      <c r="G1600" s="16" t="s">
        <v>473</v>
      </c>
      <c r="H1600" s="21"/>
      <c r="I1600" s="22"/>
      <c r="J1600" s="29"/>
      <c r="K1600" s="48">
        <v>22880.0</v>
      </c>
      <c r="L1600" s="55">
        <v>38000.0</v>
      </c>
      <c r="M1600" s="25" t="s">
        <v>82</v>
      </c>
      <c r="N1600" s="26"/>
      <c r="O1600" s="27">
        <f t="shared" si="212"/>
        <v>0.6608391608</v>
      </c>
      <c r="P1600" s="28">
        <f t="shared" si="213"/>
        <v>0</v>
      </c>
    </row>
    <row r="1601" hidden="1">
      <c r="A1601" s="16" t="s">
        <v>2372</v>
      </c>
      <c r="B1601" s="42" t="s">
        <v>2371</v>
      </c>
      <c r="C1601" s="18"/>
      <c r="D1601" s="4"/>
      <c r="E1601" s="19">
        <v>0.0</v>
      </c>
      <c r="F1601" s="19">
        <v>0.0</v>
      </c>
      <c r="G1601" s="16" t="s">
        <v>473</v>
      </c>
      <c r="H1601" s="21"/>
      <c r="I1601" s="22"/>
      <c r="J1601" s="29"/>
      <c r="K1601" s="48">
        <v>22880.0</v>
      </c>
      <c r="L1601" s="55">
        <v>38000.0</v>
      </c>
      <c r="M1601" s="25" t="s">
        <v>82</v>
      </c>
      <c r="N1601" s="26"/>
      <c r="O1601" s="27">
        <f t="shared" si="212"/>
        <v>0.6608391608</v>
      </c>
      <c r="P1601" s="28">
        <f t="shared" si="213"/>
        <v>0</v>
      </c>
    </row>
    <row r="1602" hidden="1">
      <c r="A1602" s="16" t="s">
        <v>2373</v>
      </c>
      <c r="B1602" s="42" t="s">
        <v>2371</v>
      </c>
      <c r="C1602" s="18" t="s">
        <v>144</v>
      </c>
      <c r="D1602" s="4">
        <v>22000.0</v>
      </c>
      <c r="E1602" s="19">
        <v>0.0</v>
      </c>
      <c r="F1602" s="19">
        <v>0.0</v>
      </c>
      <c r="G1602" s="16" t="s">
        <v>473</v>
      </c>
      <c r="H1602" s="21"/>
      <c r="I1602" s="22"/>
      <c r="J1602" s="29"/>
      <c r="K1602" s="48">
        <v>22880.0</v>
      </c>
      <c r="L1602" s="55">
        <v>38000.0</v>
      </c>
      <c r="M1602" s="25" t="s">
        <v>82</v>
      </c>
      <c r="N1602" s="26">
        <v>28000.0</v>
      </c>
      <c r="O1602" s="27">
        <f t="shared" si="212"/>
        <v>0.6608391608</v>
      </c>
      <c r="P1602" s="28">
        <f t="shared" si="213"/>
        <v>0</v>
      </c>
    </row>
    <row r="1603" hidden="1">
      <c r="A1603" s="16" t="s">
        <v>2374</v>
      </c>
      <c r="B1603" s="156"/>
      <c r="C1603" s="18"/>
      <c r="D1603" s="4"/>
      <c r="E1603" s="19">
        <v>0.0</v>
      </c>
      <c r="F1603" s="19">
        <v>5.0</v>
      </c>
      <c r="G1603" s="16" t="s">
        <v>2375</v>
      </c>
      <c r="H1603" s="21"/>
      <c r="I1603" s="22"/>
      <c r="J1603" s="29"/>
      <c r="K1603" s="32">
        <v>25000.0</v>
      </c>
      <c r="L1603" s="24">
        <v>36000.0</v>
      </c>
      <c r="M1603" s="25" t="s">
        <v>82</v>
      </c>
      <c r="N1603" s="26"/>
      <c r="O1603" s="27">
        <f t="shared" si="212"/>
        <v>0.44</v>
      </c>
      <c r="P1603" s="28">
        <f t="shared" si="213"/>
        <v>125000</v>
      </c>
    </row>
    <row r="1604" hidden="1">
      <c r="A1604" s="16" t="s">
        <v>2376</v>
      </c>
      <c r="B1604" s="156"/>
      <c r="C1604" s="18"/>
      <c r="D1604" s="4"/>
      <c r="E1604" s="19">
        <v>0.0</v>
      </c>
      <c r="F1604" s="19">
        <v>5.0</v>
      </c>
      <c r="G1604" s="16" t="s">
        <v>2375</v>
      </c>
      <c r="H1604" s="21"/>
      <c r="I1604" s="22"/>
      <c r="J1604" s="47">
        <v>46419.0</v>
      </c>
      <c r="K1604" s="32">
        <v>25000.0</v>
      </c>
      <c r="L1604" s="24">
        <v>36000.0</v>
      </c>
      <c r="M1604" s="25" t="s">
        <v>82</v>
      </c>
      <c r="N1604" s="26"/>
      <c r="O1604" s="27">
        <f t="shared" si="212"/>
        <v>0.44</v>
      </c>
      <c r="P1604" s="28">
        <f t="shared" si="213"/>
        <v>125000</v>
      </c>
    </row>
    <row r="1605" hidden="1">
      <c r="A1605" s="42" t="s">
        <v>2377</v>
      </c>
      <c r="B1605" s="17"/>
      <c r="C1605" s="18"/>
      <c r="D1605" s="4"/>
      <c r="E1605" s="19">
        <v>0.0</v>
      </c>
      <c r="F1605" s="19">
        <v>0.0</v>
      </c>
      <c r="G1605" s="16" t="s">
        <v>84</v>
      </c>
      <c r="H1605" s="21"/>
      <c r="I1605" s="22">
        <v>0.0</v>
      </c>
      <c r="J1605" s="29"/>
      <c r="K1605" s="43">
        <v>31600.0</v>
      </c>
      <c r="L1605" s="44">
        <v>44000.0</v>
      </c>
      <c r="M1605" s="25" t="s">
        <v>82</v>
      </c>
      <c r="N1605" s="26"/>
      <c r="O1605" s="27">
        <f t="shared" si="212"/>
        <v>0.3924050633</v>
      </c>
      <c r="P1605" s="28">
        <f t="shared" si="213"/>
        <v>0</v>
      </c>
    </row>
    <row r="1606" hidden="1">
      <c r="A1606" s="42" t="s">
        <v>2378</v>
      </c>
      <c r="B1606" s="17"/>
      <c r="C1606" s="18"/>
      <c r="D1606" s="4"/>
      <c r="E1606" s="19">
        <v>0.0</v>
      </c>
      <c r="F1606" s="19">
        <v>0.0</v>
      </c>
      <c r="G1606" s="16" t="s">
        <v>84</v>
      </c>
      <c r="H1606" s="21"/>
      <c r="I1606" s="22">
        <v>0.0</v>
      </c>
      <c r="J1606" s="29"/>
      <c r="K1606" s="43">
        <v>31600.0</v>
      </c>
      <c r="L1606" s="44">
        <v>44000.0</v>
      </c>
      <c r="M1606" s="25" t="s">
        <v>82</v>
      </c>
      <c r="N1606" s="26"/>
      <c r="O1606" s="27">
        <f t="shared" si="212"/>
        <v>0.3924050633</v>
      </c>
      <c r="P1606" s="28">
        <f t="shared" si="213"/>
        <v>0</v>
      </c>
    </row>
    <row r="1607" hidden="1">
      <c r="A1607" s="16" t="s">
        <v>2379</v>
      </c>
      <c r="B1607" s="51" t="s">
        <v>2380</v>
      </c>
      <c r="C1607" s="18" t="s">
        <v>144</v>
      </c>
      <c r="D1607" s="4">
        <v>62500.0</v>
      </c>
      <c r="E1607" s="19">
        <v>0.0</v>
      </c>
      <c r="F1607" s="77">
        <v>0.0</v>
      </c>
      <c r="G1607" s="20" t="s">
        <v>78</v>
      </c>
      <c r="H1607" s="21">
        <v>2.0</v>
      </c>
      <c r="I1607" s="22">
        <v>1.0</v>
      </c>
      <c r="J1607" s="23"/>
      <c r="K1607" s="24">
        <v>76458.0</v>
      </c>
      <c r="L1607" s="24">
        <v>98000.0</v>
      </c>
      <c r="M1607" s="25" t="s">
        <v>82</v>
      </c>
      <c r="N1607" s="26">
        <v>88000.0</v>
      </c>
      <c r="O1607" s="27">
        <f t="shared" si="212"/>
        <v>0.2817494572</v>
      </c>
      <c r="P1607" s="28">
        <f t="shared" si="213"/>
        <v>0</v>
      </c>
    </row>
    <row r="1608" hidden="1">
      <c r="A1608" s="16" t="s">
        <v>2381</v>
      </c>
      <c r="B1608" s="51"/>
      <c r="C1608" s="18"/>
      <c r="D1608" s="4"/>
      <c r="E1608" s="19">
        <v>0.0</v>
      </c>
      <c r="F1608" s="19">
        <v>0.0</v>
      </c>
      <c r="G1608" s="20" t="s">
        <v>78</v>
      </c>
      <c r="H1608" s="21">
        <v>1.0</v>
      </c>
      <c r="I1608" s="22">
        <v>2.0</v>
      </c>
      <c r="J1608" s="23"/>
      <c r="K1608" s="24">
        <v>76458.0</v>
      </c>
      <c r="L1608" s="24">
        <v>98000.0</v>
      </c>
      <c r="M1608" s="25" t="s">
        <v>82</v>
      </c>
      <c r="N1608" s="26">
        <v>88000.0</v>
      </c>
      <c r="O1608" s="27">
        <f t="shared" si="212"/>
        <v>0.2817494572</v>
      </c>
      <c r="P1608" s="28">
        <f t="shared" si="213"/>
        <v>0</v>
      </c>
    </row>
    <row r="1609" hidden="1">
      <c r="A1609" s="16" t="s">
        <v>2382</v>
      </c>
      <c r="B1609" s="51"/>
      <c r="C1609" s="18"/>
      <c r="D1609" s="4"/>
      <c r="E1609" s="19">
        <v>0.0</v>
      </c>
      <c r="F1609" s="77">
        <v>0.0</v>
      </c>
      <c r="G1609" s="20" t="s">
        <v>78</v>
      </c>
      <c r="H1609" s="21">
        <v>1.0</v>
      </c>
      <c r="I1609" s="22">
        <v>0.0</v>
      </c>
      <c r="J1609" s="23"/>
      <c r="K1609" s="24">
        <v>76458.0</v>
      </c>
      <c r="L1609" s="24">
        <v>98000.0</v>
      </c>
      <c r="M1609" s="25" t="s">
        <v>82</v>
      </c>
      <c r="N1609" s="26">
        <v>88000.0</v>
      </c>
      <c r="O1609" s="27">
        <f t="shared" si="212"/>
        <v>0.2817494572</v>
      </c>
      <c r="P1609" s="28">
        <f t="shared" si="213"/>
        <v>0</v>
      </c>
    </row>
    <row r="1610" hidden="1">
      <c r="A1610" s="16" t="s">
        <v>2383</v>
      </c>
      <c r="B1610" s="51"/>
      <c r="C1610" s="18"/>
      <c r="D1610" s="4"/>
      <c r="E1610" s="19">
        <v>0.0</v>
      </c>
      <c r="F1610" s="19">
        <v>0.0</v>
      </c>
      <c r="G1610" s="20" t="s">
        <v>78</v>
      </c>
      <c r="H1610" s="21">
        <v>1.0</v>
      </c>
      <c r="I1610" s="22">
        <v>2.0</v>
      </c>
      <c r="J1610" s="23"/>
      <c r="K1610" s="24">
        <v>76458.0</v>
      </c>
      <c r="L1610" s="24">
        <v>98000.0</v>
      </c>
      <c r="M1610" s="25" t="s">
        <v>82</v>
      </c>
      <c r="N1610" s="26">
        <v>88000.0</v>
      </c>
      <c r="O1610" s="27">
        <f t="shared" si="212"/>
        <v>0.2817494572</v>
      </c>
      <c r="P1610" s="28">
        <f t="shared" si="213"/>
        <v>0</v>
      </c>
    </row>
    <row r="1611" hidden="1">
      <c r="A1611" s="16" t="s">
        <v>2384</v>
      </c>
      <c r="B1611" s="51"/>
      <c r="C1611" s="18" t="s">
        <v>144</v>
      </c>
      <c r="D1611" s="4">
        <v>62500.0</v>
      </c>
      <c r="E1611" s="19">
        <v>0.0</v>
      </c>
      <c r="F1611" s="77">
        <v>0.0</v>
      </c>
      <c r="G1611" s="20" t="s">
        <v>78</v>
      </c>
      <c r="H1611" s="21">
        <v>2.0</v>
      </c>
      <c r="I1611" s="22">
        <v>1.0</v>
      </c>
      <c r="J1611" s="23"/>
      <c r="K1611" s="24">
        <v>76458.0</v>
      </c>
      <c r="L1611" s="24">
        <v>98000.0</v>
      </c>
      <c r="M1611" s="25" t="s">
        <v>82</v>
      </c>
      <c r="N1611" s="26">
        <v>88000.0</v>
      </c>
      <c r="O1611" s="27">
        <f t="shared" si="212"/>
        <v>0.2817494572</v>
      </c>
      <c r="P1611" s="28">
        <f t="shared" si="213"/>
        <v>0</v>
      </c>
    </row>
    <row r="1612" hidden="1">
      <c r="A1612" s="16" t="s">
        <v>2385</v>
      </c>
      <c r="B1612" s="51"/>
      <c r="C1612" s="18"/>
      <c r="D1612" s="4"/>
      <c r="E1612" s="19">
        <v>0.0</v>
      </c>
      <c r="F1612" s="19">
        <v>0.0</v>
      </c>
      <c r="G1612" s="20" t="s">
        <v>78</v>
      </c>
      <c r="H1612" s="21">
        <v>1.0</v>
      </c>
      <c r="I1612" s="22">
        <v>4.0</v>
      </c>
      <c r="J1612" s="23"/>
      <c r="K1612" s="24">
        <v>76458.0</v>
      </c>
      <c r="L1612" s="24">
        <v>98000.0</v>
      </c>
      <c r="M1612" s="25" t="s">
        <v>82</v>
      </c>
      <c r="N1612" s="26">
        <v>88000.0</v>
      </c>
      <c r="O1612" s="27">
        <f t="shared" si="212"/>
        <v>0.2817494572</v>
      </c>
      <c r="P1612" s="28">
        <f t="shared" si="213"/>
        <v>0</v>
      </c>
    </row>
    <row r="1613" hidden="1">
      <c r="A1613" s="16" t="s">
        <v>2386</v>
      </c>
      <c r="B1613" s="51"/>
      <c r="C1613" s="18" t="s">
        <v>144</v>
      </c>
      <c r="D1613" s="4">
        <v>62500.0</v>
      </c>
      <c r="E1613" s="19">
        <v>0.0</v>
      </c>
      <c r="F1613" s="77">
        <v>0.0</v>
      </c>
      <c r="G1613" s="20" t="s">
        <v>78</v>
      </c>
      <c r="H1613" s="21">
        <v>1.0</v>
      </c>
      <c r="I1613" s="22">
        <v>0.0</v>
      </c>
      <c r="J1613" s="47">
        <v>46447.0</v>
      </c>
      <c r="K1613" s="24">
        <v>76458.0</v>
      </c>
      <c r="L1613" s="24">
        <v>98000.0</v>
      </c>
      <c r="M1613" s="25" t="s">
        <v>82</v>
      </c>
      <c r="N1613" s="26">
        <v>88000.0</v>
      </c>
      <c r="O1613" s="27">
        <f t="shared" si="212"/>
        <v>0.2817494572</v>
      </c>
      <c r="P1613" s="28">
        <f t="shared" si="213"/>
        <v>0</v>
      </c>
    </row>
    <row r="1614" hidden="1">
      <c r="A1614" s="16" t="s">
        <v>2387</v>
      </c>
      <c r="B1614" s="51"/>
      <c r="C1614" s="18" t="s">
        <v>144</v>
      </c>
      <c r="D1614" s="4">
        <v>62500.0</v>
      </c>
      <c r="E1614" s="19">
        <v>0.0</v>
      </c>
      <c r="F1614" s="19">
        <v>0.0</v>
      </c>
      <c r="G1614" s="20" t="s">
        <v>78</v>
      </c>
      <c r="H1614" s="21">
        <v>1.0</v>
      </c>
      <c r="I1614" s="22">
        <v>7.0</v>
      </c>
      <c r="J1614" s="47">
        <v>46508.0</v>
      </c>
      <c r="K1614" s="24">
        <v>76458.0</v>
      </c>
      <c r="L1614" s="24">
        <v>98000.0</v>
      </c>
      <c r="M1614" s="25" t="s">
        <v>82</v>
      </c>
      <c r="N1614" s="26">
        <v>88000.0</v>
      </c>
      <c r="O1614" s="27">
        <f t="shared" si="212"/>
        <v>0.2817494572</v>
      </c>
      <c r="P1614" s="28">
        <f t="shared" si="213"/>
        <v>0</v>
      </c>
    </row>
    <row r="1615" hidden="1">
      <c r="A1615" s="16" t="s">
        <v>2388</v>
      </c>
      <c r="B1615" s="51"/>
      <c r="C1615" s="18" t="s">
        <v>144</v>
      </c>
      <c r="D1615" s="4">
        <v>62500.0</v>
      </c>
      <c r="E1615" s="19">
        <v>0.0</v>
      </c>
      <c r="F1615" s="19">
        <v>0.0</v>
      </c>
      <c r="G1615" s="20" t="s">
        <v>78</v>
      </c>
      <c r="H1615" s="21">
        <v>1.0</v>
      </c>
      <c r="I1615" s="22">
        <v>0.0</v>
      </c>
      <c r="J1615" s="47">
        <v>46448.0</v>
      </c>
      <c r="K1615" s="24">
        <v>76458.0</v>
      </c>
      <c r="L1615" s="24">
        <v>98000.0</v>
      </c>
      <c r="M1615" s="25" t="s">
        <v>82</v>
      </c>
      <c r="N1615" s="26">
        <v>88000.0</v>
      </c>
      <c r="O1615" s="27">
        <f t="shared" si="212"/>
        <v>0.2817494572</v>
      </c>
      <c r="P1615" s="28">
        <f t="shared" si="213"/>
        <v>0</v>
      </c>
    </row>
    <row r="1616" hidden="1">
      <c r="A1616" s="16" t="s">
        <v>2389</v>
      </c>
      <c r="B1616" s="51"/>
      <c r="C1616" s="38"/>
      <c r="D1616" s="4"/>
      <c r="E1616" s="19">
        <v>0.0</v>
      </c>
      <c r="F1616" s="19">
        <v>0.0</v>
      </c>
      <c r="G1616" s="20" t="s">
        <v>78</v>
      </c>
      <c r="H1616" s="21">
        <v>2.0</v>
      </c>
      <c r="I1616" s="22">
        <v>3.0</v>
      </c>
      <c r="J1616" s="47">
        <v>46447.0</v>
      </c>
      <c r="K1616" s="24">
        <v>76458.0</v>
      </c>
      <c r="L1616" s="24">
        <v>98000.0</v>
      </c>
      <c r="M1616" s="25" t="s">
        <v>82</v>
      </c>
      <c r="N1616" s="26">
        <v>88000.0</v>
      </c>
      <c r="O1616" s="27">
        <f t="shared" si="212"/>
        <v>0.2817494572</v>
      </c>
      <c r="P1616" s="28">
        <f t="shared" si="213"/>
        <v>0</v>
      </c>
    </row>
    <row r="1617" hidden="1">
      <c r="A1617" s="16" t="s">
        <v>2390</v>
      </c>
      <c r="B1617" s="51"/>
      <c r="C1617" s="18" t="s">
        <v>144</v>
      </c>
      <c r="D1617" s="4">
        <v>62500.0</v>
      </c>
      <c r="E1617" s="19">
        <v>2.0</v>
      </c>
      <c r="F1617" s="19">
        <v>0.0</v>
      </c>
      <c r="G1617" s="20" t="s">
        <v>78</v>
      </c>
      <c r="H1617" s="21">
        <v>0.0</v>
      </c>
      <c r="I1617" s="22">
        <v>4.0</v>
      </c>
      <c r="J1617" s="47">
        <v>46478.0</v>
      </c>
      <c r="K1617" s="24">
        <v>76458.0</v>
      </c>
      <c r="L1617" s="24">
        <v>98000.0</v>
      </c>
      <c r="M1617" s="25" t="s">
        <v>82</v>
      </c>
      <c r="N1617" s="26">
        <v>88000.0</v>
      </c>
      <c r="O1617" s="27">
        <f t="shared" si="212"/>
        <v>0.2817494572</v>
      </c>
      <c r="P1617" s="28">
        <f t="shared" si="213"/>
        <v>0</v>
      </c>
    </row>
    <row r="1618" hidden="1">
      <c r="A1618" s="16" t="s">
        <v>2391</v>
      </c>
      <c r="B1618" s="51"/>
      <c r="C1618" s="38"/>
      <c r="D1618" s="4"/>
      <c r="E1618" s="19">
        <v>0.0</v>
      </c>
      <c r="F1618" s="19">
        <v>0.0</v>
      </c>
      <c r="G1618" s="20" t="s">
        <v>78</v>
      </c>
      <c r="H1618" s="21">
        <v>2.0</v>
      </c>
      <c r="I1618" s="22">
        <v>4.0</v>
      </c>
      <c r="J1618" s="47">
        <v>46479.0</v>
      </c>
      <c r="K1618" s="24">
        <v>76458.0</v>
      </c>
      <c r="L1618" s="24">
        <v>98000.0</v>
      </c>
      <c r="M1618" s="25" t="s">
        <v>82</v>
      </c>
      <c r="N1618" s="26">
        <v>88000.0</v>
      </c>
      <c r="O1618" s="27">
        <f t="shared" si="212"/>
        <v>0.2817494572</v>
      </c>
      <c r="P1618" s="28">
        <f t="shared" si="213"/>
        <v>0</v>
      </c>
    </row>
    <row r="1619" hidden="1">
      <c r="A1619" s="16" t="s">
        <v>2392</v>
      </c>
      <c r="B1619" s="36"/>
      <c r="C1619" s="68"/>
      <c r="D1619" s="4"/>
      <c r="E1619" s="19">
        <v>0.0</v>
      </c>
      <c r="F1619" s="19">
        <v>0.0</v>
      </c>
      <c r="G1619" s="20" t="s">
        <v>14</v>
      </c>
      <c r="H1619" s="21">
        <v>1.0</v>
      </c>
      <c r="I1619" s="22">
        <v>0.0</v>
      </c>
      <c r="J1619" s="23"/>
      <c r="K1619" s="55">
        <v>97600.0</v>
      </c>
      <c r="L1619" s="55">
        <v>120000.0</v>
      </c>
      <c r="M1619" s="25" t="s">
        <v>82</v>
      </c>
      <c r="N1619" s="26">
        <v>102000.0</v>
      </c>
      <c r="O1619" s="27">
        <f t="shared" si="212"/>
        <v>0.2295081967</v>
      </c>
      <c r="P1619" s="28">
        <f t="shared" si="213"/>
        <v>0</v>
      </c>
    </row>
    <row r="1620" hidden="1">
      <c r="A1620" s="16" t="s">
        <v>2393</v>
      </c>
      <c r="B1620" s="36"/>
      <c r="C1620" s="18"/>
      <c r="D1620" s="4"/>
      <c r="E1620" s="19">
        <v>0.0</v>
      </c>
      <c r="F1620" s="19">
        <v>0.0</v>
      </c>
      <c r="G1620" s="20" t="s">
        <v>14</v>
      </c>
      <c r="H1620" s="21">
        <v>1.0</v>
      </c>
      <c r="I1620" s="22">
        <v>0.0</v>
      </c>
      <c r="J1620" s="23"/>
      <c r="K1620" s="55">
        <v>97600.0</v>
      </c>
      <c r="L1620" s="55">
        <v>120000.0</v>
      </c>
      <c r="M1620" s="25" t="s">
        <v>82</v>
      </c>
      <c r="N1620" s="26">
        <v>102000.0</v>
      </c>
      <c r="O1620" s="27">
        <f t="shared" si="212"/>
        <v>0.2295081967</v>
      </c>
      <c r="P1620" s="28">
        <f t="shared" si="213"/>
        <v>0</v>
      </c>
    </row>
    <row r="1621" hidden="1">
      <c r="A1621" s="16" t="s">
        <v>2394</v>
      </c>
      <c r="B1621" s="36" t="s">
        <v>2395</v>
      </c>
      <c r="C1621" s="18"/>
      <c r="D1621" s="4"/>
      <c r="E1621" s="19">
        <v>0.0</v>
      </c>
      <c r="F1621" s="19">
        <v>0.0</v>
      </c>
      <c r="G1621" s="20" t="s">
        <v>14</v>
      </c>
      <c r="H1621" s="21">
        <v>6.0</v>
      </c>
      <c r="I1621" s="22">
        <v>15.0</v>
      </c>
      <c r="J1621" s="47">
        <v>46447.0</v>
      </c>
      <c r="K1621" s="55">
        <v>97600.0</v>
      </c>
      <c r="L1621" s="55">
        <v>120000.0</v>
      </c>
      <c r="M1621" s="25" t="s">
        <v>82</v>
      </c>
      <c r="N1621" s="26">
        <v>102000.0</v>
      </c>
      <c r="O1621" s="27">
        <f t="shared" si="212"/>
        <v>0.2295081967</v>
      </c>
      <c r="P1621" s="28">
        <f t="shared" si="213"/>
        <v>0</v>
      </c>
    </row>
    <row r="1622" hidden="1">
      <c r="A1622" s="16" t="s">
        <v>2396</v>
      </c>
      <c r="B1622" s="36" t="s">
        <v>2395</v>
      </c>
      <c r="C1622" s="18"/>
      <c r="D1622" s="4"/>
      <c r="E1622" s="19">
        <v>0.0</v>
      </c>
      <c r="F1622" s="19">
        <v>0.0</v>
      </c>
      <c r="G1622" s="20" t="s">
        <v>14</v>
      </c>
      <c r="H1622" s="21">
        <v>11.0</v>
      </c>
      <c r="I1622" s="22">
        <v>10.0</v>
      </c>
      <c r="J1622" s="47">
        <v>46419.0</v>
      </c>
      <c r="K1622" s="55">
        <v>97600.0</v>
      </c>
      <c r="L1622" s="55">
        <v>120000.0</v>
      </c>
      <c r="M1622" s="25" t="s">
        <v>82</v>
      </c>
      <c r="N1622" s="26">
        <v>102000.0</v>
      </c>
      <c r="O1622" s="27">
        <f t="shared" si="212"/>
        <v>0.2295081967</v>
      </c>
      <c r="P1622" s="28">
        <f t="shared" si="213"/>
        <v>0</v>
      </c>
    </row>
    <row r="1623" hidden="1">
      <c r="A1623" s="16" t="s">
        <v>2397</v>
      </c>
      <c r="B1623" s="36"/>
      <c r="C1623" s="18"/>
      <c r="D1623" s="4"/>
      <c r="E1623" s="19">
        <v>0.0</v>
      </c>
      <c r="F1623" s="19">
        <v>0.0</v>
      </c>
      <c r="G1623" s="20" t="s">
        <v>14</v>
      </c>
      <c r="H1623" s="21">
        <v>0.0</v>
      </c>
      <c r="I1623" s="22">
        <v>0.0</v>
      </c>
      <c r="J1623" s="47">
        <v>46478.0</v>
      </c>
      <c r="K1623" s="43">
        <v>26700.0</v>
      </c>
      <c r="L1623" s="44">
        <v>38000.0</v>
      </c>
      <c r="M1623" s="25" t="s">
        <v>82</v>
      </c>
      <c r="N1623" s="26"/>
      <c r="O1623" s="27">
        <f t="shared" si="212"/>
        <v>0.4232209738</v>
      </c>
      <c r="P1623" s="28">
        <f t="shared" si="213"/>
        <v>0</v>
      </c>
    </row>
    <row r="1624" hidden="1">
      <c r="A1624" s="16" t="s">
        <v>2398</v>
      </c>
      <c r="B1624" s="36"/>
      <c r="C1624" s="18"/>
      <c r="D1624" s="4"/>
      <c r="E1624" s="19">
        <v>0.0</v>
      </c>
      <c r="F1624" s="19">
        <v>0.0</v>
      </c>
      <c r="G1624" s="20" t="s">
        <v>14</v>
      </c>
      <c r="H1624" s="21">
        <v>0.0</v>
      </c>
      <c r="I1624" s="22">
        <v>0.0</v>
      </c>
      <c r="J1624" s="47">
        <v>46478.0</v>
      </c>
      <c r="K1624" s="43">
        <v>26700.0</v>
      </c>
      <c r="L1624" s="44">
        <v>38000.0</v>
      </c>
      <c r="M1624" s="25" t="s">
        <v>82</v>
      </c>
      <c r="N1624" s="26"/>
      <c r="O1624" s="27">
        <f t="shared" si="212"/>
        <v>0.4232209738</v>
      </c>
      <c r="P1624" s="28">
        <f t="shared" si="213"/>
        <v>0</v>
      </c>
    </row>
    <row r="1625" hidden="1">
      <c r="A1625" s="16" t="s">
        <v>2399</v>
      </c>
      <c r="B1625" s="36"/>
      <c r="C1625" s="18"/>
      <c r="D1625" s="4"/>
      <c r="E1625" s="19">
        <v>0.0</v>
      </c>
      <c r="F1625" s="19">
        <v>0.0</v>
      </c>
      <c r="G1625" s="20" t="s">
        <v>14</v>
      </c>
      <c r="H1625" s="21">
        <v>0.0</v>
      </c>
      <c r="I1625" s="22">
        <v>0.0</v>
      </c>
      <c r="J1625" s="29"/>
      <c r="K1625" s="43">
        <v>26700.0</v>
      </c>
      <c r="L1625" s="44">
        <v>38000.0</v>
      </c>
      <c r="M1625" s="25" t="s">
        <v>82</v>
      </c>
      <c r="N1625" s="26"/>
      <c r="O1625" s="27">
        <f t="shared" si="212"/>
        <v>0.4232209738</v>
      </c>
      <c r="P1625" s="28">
        <f t="shared" si="213"/>
        <v>0</v>
      </c>
    </row>
    <row r="1626" hidden="1">
      <c r="A1626" s="16" t="s">
        <v>2400</v>
      </c>
      <c r="B1626" s="36" t="s">
        <v>2401</v>
      </c>
      <c r="C1626" s="18"/>
      <c r="D1626" s="4"/>
      <c r="E1626" s="19">
        <v>0.0</v>
      </c>
      <c r="F1626" s="19">
        <v>0.0</v>
      </c>
      <c r="G1626" s="16" t="s">
        <v>70</v>
      </c>
      <c r="H1626" s="21"/>
      <c r="I1626" s="22"/>
      <c r="J1626" s="23"/>
      <c r="K1626" s="24">
        <v>28800.0</v>
      </c>
      <c r="L1626" s="24">
        <v>46000.0</v>
      </c>
      <c r="M1626" s="25" t="s">
        <v>82</v>
      </c>
      <c r="N1626" s="26"/>
      <c r="O1626" s="27">
        <f t="shared" si="212"/>
        <v>0.5972222222</v>
      </c>
      <c r="P1626" s="28">
        <f t="shared" si="213"/>
        <v>0</v>
      </c>
    </row>
    <row r="1627" hidden="1">
      <c r="A1627" s="16" t="s">
        <v>2402</v>
      </c>
      <c r="B1627" s="36" t="s">
        <v>2401</v>
      </c>
      <c r="C1627" s="18"/>
      <c r="D1627" s="4"/>
      <c r="E1627" s="19">
        <v>0.0</v>
      </c>
      <c r="F1627" s="19">
        <v>0.0</v>
      </c>
      <c r="G1627" s="16" t="s">
        <v>70</v>
      </c>
      <c r="H1627" s="21"/>
      <c r="I1627" s="22"/>
      <c r="J1627" s="23"/>
      <c r="K1627" s="24">
        <v>28800.0</v>
      </c>
      <c r="L1627" s="24">
        <v>46000.0</v>
      </c>
      <c r="M1627" s="25" t="s">
        <v>82</v>
      </c>
      <c r="N1627" s="26"/>
      <c r="O1627" s="27">
        <f t="shared" si="212"/>
        <v>0.5972222222</v>
      </c>
      <c r="P1627" s="28">
        <f t="shared" si="213"/>
        <v>0</v>
      </c>
    </row>
    <row r="1628" hidden="1">
      <c r="A1628" s="16" t="s">
        <v>2403</v>
      </c>
      <c r="B1628" s="36"/>
      <c r="C1628" s="18"/>
      <c r="D1628" s="4"/>
      <c r="E1628" s="19">
        <v>0.0</v>
      </c>
      <c r="F1628" s="19">
        <v>0.0</v>
      </c>
      <c r="G1628" s="16" t="s">
        <v>70</v>
      </c>
      <c r="H1628" s="21"/>
      <c r="I1628" s="22"/>
      <c r="J1628" s="23"/>
      <c r="K1628" s="44">
        <v>28800.0</v>
      </c>
      <c r="L1628" s="44">
        <v>46000.0</v>
      </c>
      <c r="M1628" s="25" t="s">
        <v>82</v>
      </c>
      <c r="N1628" s="26"/>
      <c r="O1628" s="27">
        <f t="shared" si="212"/>
        <v>0.5972222222</v>
      </c>
      <c r="P1628" s="28">
        <f t="shared" si="213"/>
        <v>0</v>
      </c>
    </row>
    <row r="1629" hidden="1">
      <c r="A1629" s="16" t="s">
        <v>2404</v>
      </c>
      <c r="B1629" s="17"/>
      <c r="C1629" s="18"/>
      <c r="D1629" s="4"/>
      <c r="E1629" s="19">
        <v>0.0</v>
      </c>
      <c r="F1629" s="19">
        <v>0.0</v>
      </c>
      <c r="G1629" s="16" t="s">
        <v>70</v>
      </c>
      <c r="H1629" s="21"/>
      <c r="I1629" s="22"/>
      <c r="J1629" s="23"/>
      <c r="K1629" s="44">
        <v>28800.0</v>
      </c>
      <c r="L1629" s="44">
        <v>46000.0</v>
      </c>
      <c r="M1629" s="25" t="s">
        <v>82</v>
      </c>
      <c r="N1629" s="26"/>
      <c r="O1629" s="27">
        <f t="shared" si="212"/>
        <v>0.5972222222</v>
      </c>
      <c r="P1629" s="28">
        <f t="shared" si="213"/>
        <v>0</v>
      </c>
    </row>
    <row r="1630" hidden="1">
      <c r="A1630" s="16" t="s">
        <v>2405</v>
      </c>
      <c r="B1630" s="36"/>
      <c r="C1630" s="18"/>
      <c r="D1630" s="4"/>
      <c r="E1630" s="19">
        <v>0.0</v>
      </c>
      <c r="F1630" s="19">
        <v>0.0</v>
      </c>
      <c r="G1630" s="16" t="s">
        <v>70</v>
      </c>
      <c r="H1630" s="21"/>
      <c r="I1630" s="22"/>
      <c r="J1630" s="23"/>
      <c r="K1630" s="44">
        <v>28800.0</v>
      </c>
      <c r="L1630" s="44">
        <v>46000.0</v>
      </c>
      <c r="M1630" s="25" t="s">
        <v>82</v>
      </c>
      <c r="N1630" s="26"/>
      <c r="O1630" s="27">
        <f t="shared" si="212"/>
        <v>0.5972222222</v>
      </c>
      <c r="P1630" s="28">
        <f t="shared" si="213"/>
        <v>0</v>
      </c>
    </row>
    <row r="1631" hidden="1">
      <c r="A1631" s="16" t="s">
        <v>2406</v>
      </c>
      <c r="B1631" s="36"/>
      <c r="C1631" s="18"/>
      <c r="D1631" s="4"/>
      <c r="E1631" s="19">
        <v>0.0</v>
      </c>
      <c r="F1631" s="19">
        <v>0.0</v>
      </c>
      <c r="G1631" s="16" t="s">
        <v>70</v>
      </c>
      <c r="H1631" s="21"/>
      <c r="I1631" s="22"/>
      <c r="J1631" s="23"/>
      <c r="K1631" s="44">
        <v>28800.0</v>
      </c>
      <c r="L1631" s="44">
        <v>46000.0</v>
      </c>
      <c r="M1631" s="25" t="s">
        <v>82</v>
      </c>
      <c r="N1631" s="26"/>
      <c r="O1631" s="27">
        <f t="shared" si="212"/>
        <v>0.5972222222</v>
      </c>
      <c r="P1631" s="28">
        <f t="shared" si="213"/>
        <v>0</v>
      </c>
    </row>
    <row r="1632" hidden="1">
      <c r="A1632" s="16" t="s">
        <v>2407</v>
      </c>
      <c r="B1632" s="36"/>
      <c r="C1632" s="18"/>
      <c r="D1632" s="4"/>
      <c r="E1632" s="19">
        <v>0.0</v>
      </c>
      <c r="F1632" s="19">
        <v>0.0</v>
      </c>
      <c r="G1632" s="16" t="s">
        <v>70</v>
      </c>
      <c r="H1632" s="21"/>
      <c r="I1632" s="22"/>
      <c r="J1632" s="23"/>
      <c r="K1632" s="44">
        <v>28800.0</v>
      </c>
      <c r="L1632" s="44">
        <v>46000.0</v>
      </c>
      <c r="M1632" s="25" t="s">
        <v>82</v>
      </c>
      <c r="N1632" s="26"/>
      <c r="O1632" s="27">
        <f t="shared" si="212"/>
        <v>0.5972222222</v>
      </c>
      <c r="P1632" s="28">
        <f t="shared" si="213"/>
        <v>0</v>
      </c>
    </row>
    <row r="1633" hidden="1">
      <c r="A1633" s="16" t="s">
        <v>2408</v>
      </c>
      <c r="B1633" s="36"/>
      <c r="C1633" s="18"/>
      <c r="D1633" s="4"/>
      <c r="E1633" s="19">
        <v>0.0</v>
      </c>
      <c r="F1633" s="19">
        <v>0.0</v>
      </c>
      <c r="G1633" s="16" t="s">
        <v>70</v>
      </c>
      <c r="H1633" s="21"/>
      <c r="I1633" s="22"/>
      <c r="J1633" s="23"/>
      <c r="K1633" s="44">
        <v>28800.0</v>
      </c>
      <c r="L1633" s="44">
        <v>46000.0</v>
      </c>
      <c r="M1633" s="25" t="s">
        <v>82</v>
      </c>
      <c r="N1633" s="26"/>
      <c r="O1633" s="27">
        <f t="shared" si="212"/>
        <v>0.5972222222</v>
      </c>
      <c r="P1633" s="28">
        <f t="shared" si="213"/>
        <v>0</v>
      </c>
    </row>
    <row r="1634" hidden="1">
      <c r="A1634" s="16" t="s">
        <v>2409</v>
      </c>
      <c r="B1634" s="36" t="s">
        <v>2410</v>
      </c>
      <c r="C1634" s="18"/>
      <c r="D1634" s="4"/>
      <c r="E1634" s="19">
        <v>0.0</v>
      </c>
      <c r="F1634" s="19">
        <v>0.0</v>
      </c>
      <c r="G1634" s="16" t="s">
        <v>2411</v>
      </c>
      <c r="H1634" s="21"/>
      <c r="I1634" s="22"/>
      <c r="J1634" s="29"/>
      <c r="K1634" s="32">
        <f t="shared" ref="K1634:K1635" si="214">38000*0.8</f>
        <v>30400</v>
      </c>
      <c r="L1634" s="32">
        <v>48000.0</v>
      </c>
      <c r="M1634" s="25" t="s">
        <v>82</v>
      </c>
      <c r="N1634" s="26"/>
      <c r="O1634" s="27">
        <f t="shared" si="212"/>
        <v>0.5789473684</v>
      </c>
      <c r="P1634" s="28">
        <f t="shared" si="213"/>
        <v>0</v>
      </c>
    </row>
    <row r="1635" hidden="1">
      <c r="A1635" s="16" t="s">
        <v>2412</v>
      </c>
      <c r="B1635" s="36" t="s">
        <v>2410</v>
      </c>
      <c r="C1635" s="18"/>
      <c r="D1635" s="4"/>
      <c r="E1635" s="19">
        <v>0.0</v>
      </c>
      <c r="F1635" s="19">
        <v>0.0</v>
      </c>
      <c r="G1635" s="16" t="s">
        <v>2411</v>
      </c>
      <c r="H1635" s="21"/>
      <c r="I1635" s="22"/>
      <c r="J1635" s="29"/>
      <c r="K1635" s="32">
        <f t="shared" si="214"/>
        <v>30400</v>
      </c>
      <c r="L1635" s="32">
        <v>48000.0</v>
      </c>
      <c r="M1635" s="25" t="s">
        <v>82</v>
      </c>
      <c r="N1635" s="26"/>
      <c r="O1635" s="27">
        <f t="shared" si="212"/>
        <v>0.5789473684</v>
      </c>
      <c r="P1635" s="28">
        <f t="shared" si="213"/>
        <v>0</v>
      </c>
    </row>
    <row r="1636" hidden="1">
      <c r="A1636" s="16" t="s">
        <v>2413</v>
      </c>
      <c r="B1636" s="36" t="s">
        <v>2414</v>
      </c>
      <c r="C1636" s="18"/>
      <c r="D1636" s="4"/>
      <c r="E1636" s="19">
        <v>0.0</v>
      </c>
      <c r="F1636" s="19">
        <v>2.0</v>
      </c>
      <c r="G1636" s="16" t="s">
        <v>2415</v>
      </c>
      <c r="H1636" s="21"/>
      <c r="I1636" s="22">
        <v>0.0</v>
      </c>
      <c r="J1636" s="29"/>
      <c r="K1636" s="32">
        <f t="shared" ref="K1636:K1637" si="215">90000*0.8</f>
        <v>72000</v>
      </c>
      <c r="L1636" s="24">
        <v>100000.0</v>
      </c>
      <c r="M1636" s="25"/>
      <c r="N1636" s="26"/>
      <c r="O1636" s="27">
        <f t="shared" si="212"/>
        <v>0.3888888889</v>
      </c>
      <c r="P1636" s="28">
        <f t="shared" si="213"/>
        <v>144000</v>
      </c>
    </row>
    <row r="1637" hidden="1">
      <c r="A1637" s="16" t="s">
        <v>2416</v>
      </c>
      <c r="B1637" s="36" t="s">
        <v>2417</v>
      </c>
      <c r="C1637" s="18" t="s">
        <v>144</v>
      </c>
      <c r="D1637" s="4">
        <v>62000.0</v>
      </c>
      <c r="E1637" s="19">
        <v>0.0</v>
      </c>
      <c r="F1637" s="19">
        <v>2.0</v>
      </c>
      <c r="G1637" s="16" t="s">
        <v>2415</v>
      </c>
      <c r="H1637" s="21"/>
      <c r="I1637" s="22">
        <v>0.0</v>
      </c>
      <c r="J1637" s="47">
        <v>45809.0</v>
      </c>
      <c r="K1637" s="32">
        <f t="shared" si="215"/>
        <v>72000</v>
      </c>
      <c r="L1637" s="24">
        <v>100000.0</v>
      </c>
      <c r="M1637" s="25"/>
      <c r="N1637" s="26"/>
      <c r="O1637" s="27">
        <f t="shared" si="212"/>
        <v>0.3888888889</v>
      </c>
      <c r="P1637" s="28">
        <f t="shared" si="213"/>
        <v>144000</v>
      </c>
    </row>
    <row r="1638" hidden="1">
      <c r="A1638" s="40" t="s">
        <v>2418</v>
      </c>
      <c r="B1638" s="17"/>
      <c r="C1638" s="18"/>
      <c r="D1638" s="4"/>
      <c r="E1638" s="19">
        <v>0.0</v>
      </c>
      <c r="F1638" s="19">
        <v>0.0</v>
      </c>
      <c r="G1638" s="16" t="s">
        <v>2419</v>
      </c>
      <c r="H1638" s="21"/>
      <c r="I1638" s="22">
        <v>0.0</v>
      </c>
      <c r="J1638" s="29"/>
      <c r="K1638" s="43">
        <v>23000.0</v>
      </c>
      <c r="L1638" s="44">
        <v>40000.0</v>
      </c>
      <c r="M1638" s="25" t="s">
        <v>82</v>
      </c>
      <c r="N1638" s="26"/>
      <c r="O1638" s="27">
        <f t="shared" si="212"/>
        <v>0.7391304348</v>
      </c>
      <c r="P1638" s="28">
        <f t="shared" si="213"/>
        <v>0</v>
      </c>
    </row>
    <row r="1639" hidden="1">
      <c r="A1639" s="16" t="s">
        <v>2420</v>
      </c>
      <c r="B1639" s="51" t="s">
        <v>2421</v>
      </c>
      <c r="C1639" s="38"/>
      <c r="D1639" s="61"/>
      <c r="E1639" s="19"/>
      <c r="F1639" s="19"/>
      <c r="G1639" s="16" t="s">
        <v>2422</v>
      </c>
      <c r="H1639" s="21"/>
      <c r="I1639" s="22">
        <v>1.0</v>
      </c>
      <c r="J1639" s="23"/>
      <c r="K1639" s="55">
        <v>213000.0</v>
      </c>
      <c r="L1639" s="55">
        <v>260000.0</v>
      </c>
      <c r="M1639" s="25" t="s">
        <v>82</v>
      </c>
      <c r="N1639" s="26">
        <v>200000.0</v>
      </c>
      <c r="O1639" s="27">
        <f t="shared" si="212"/>
        <v>0.220657277</v>
      </c>
      <c r="P1639" s="28">
        <f t="shared" si="213"/>
        <v>0</v>
      </c>
    </row>
    <row r="1640" hidden="1">
      <c r="A1640" s="16" t="s">
        <v>2423</v>
      </c>
      <c r="B1640" s="51" t="s">
        <v>2421</v>
      </c>
      <c r="C1640" s="38"/>
      <c r="D1640" s="61"/>
      <c r="E1640" s="19"/>
      <c r="F1640" s="19"/>
      <c r="G1640" s="16" t="s">
        <v>2422</v>
      </c>
      <c r="H1640" s="21"/>
      <c r="I1640" s="22">
        <v>0.0</v>
      </c>
      <c r="J1640" s="23"/>
      <c r="K1640" s="55">
        <v>213000.0</v>
      </c>
      <c r="L1640" s="55">
        <v>260000.0</v>
      </c>
      <c r="M1640" s="25" t="s">
        <v>82</v>
      </c>
      <c r="N1640" s="26">
        <v>200000.0</v>
      </c>
      <c r="O1640" s="27">
        <f t="shared" si="212"/>
        <v>0.220657277</v>
      </c>
      <c r="P1640" s="28">
        <f t="shared" si="213"/>
        <v>0</v>
      </c>
    </row>
    <row r="1641" hidden="1">
      <c r="A1641" s="16" t="s">
        <v>2424</v>
      </c>
      <c r="B1641" s="51" t="s">
        <v>2421</v>
      </c>
      <c r="C1641" s="38"/>
      <c r="D1641" s="67"/>
      <c r="E1641" s="19"/>
      <c r="F1641" s="19"/>
      <c r="G1641" s="16" t="s">
        <v>2422</v>
      </c>
      <c r="H1641" s="21"/>
      <c r="I1641" s="22">
        <v>1.0</v>
      </c>
      <c r="J1641" s="29"/>
      <c r="K1641" s="48">
        <v>213000.0</v>
      </c>
      <c r="L1641" s="55">
        <v>260000.0</v>
      </c>
      <c r="M1641" s="25" t="s">
        <v>82</v>
      </c>
      <c r="N1641" s="26">
        <v>200000.0</v>
      </c>
      <c r="O1641" s="27">
        <f t="shared" si="212"/>
        <v>0.220657277</v>
      </c>
      <c r="P1641" s="28">
        <f t="shared" si="213"/>
        <v>0</v>
      </c>
    </row>
    <row r="1642" hidden="1">
      <c r="A1642" s="16" t="s">
        <v>2425</v>
      </c>
      <c r="B1642" s="51" t="s">
        <v>2421</v>
      </c>
      <c r="C1642" s="38"/>
      <c r="D1642" s="67"/>
      <c r="E1642" s="19"/>
      <c r="F1642" s="19"/>
      <c r="G1642" s="16" t="s">
        <v>2422</v>
      </c>
      <c r="H1642" s="21"/>
      <c r="I1642" s="22">
        <v>0.0</v>
      </c>
      <c r="J1642" s="29"/>
      <c r="K1642" s="48">
        <v>213000.0</v>
      </c>
      <c r="L1642" s="55">
        <v>260000.0</v>
      </c>
      <c r="M1642" s="25" t="s">
        <v>82</v>
      </c>
      <c r="N1642" s="26">
        <v>200000.0</v>
      </c>
      <c r="O1642" s="27">
        <f t="shared" si="212"/>
        <v>0.220657277</v>
      </c>
      <c r="P1642" s="28">
        <f t="shared" si="213"/>
        <v>0</v>
      </c>
    </row>
    <row r="1643" hidden="1">
      <c r="A1643" s="42" t="s">
        <v>2426</v>
      </c>
      <c r="B1643" s="17" t="s">
        <v>2427</v>
      </c>
      <c r="C1643" s="18"/>
      <c r="D1643" s="4"/>
      <c r="E1643" s="19">
        <v>0.0</v>
      </c>
      <c r="F1643" s="19"/>
      <c r="G1643" s="16" t="s">
        <v>767</v>
      </c>
      <c r="H1643" s="21"/>
      <c r="I1643" s="22"/>
      <c r="J1643" s="29"/>
      <c r="K1643" s="32">
        <v>88000.0</v>
      </c>
      <c r="L1643" s="32">
        <v>130000.0</v>
      </c>
      <c r="M1643" s="25" t="s">
        <v>82</v>
      </c>
      <c r="N1643" s="26"/>
      <c r="O1643" s="27">
        <f t="shared" si="212"/>
        <v>0.4772727273</v>
      </c>
      <c r="P1643" s="28">
        <f t="shared" si="213"/>
        <v>0</v>
      </c>
    </row>
    <row r="1644" hidden="1">
      <c r="A1644" s="16" t="s">
        <v>2428</v>
      </c>
      <c r="B1644" s="36"/>
      <c r="C1644" s="18"/>
      <c r="D1644" s="4"/>
      <c r="E1644" s="19"/>
      <c r="F1644" s="19">
        <v>0.0</v>
      </c>
      <c r="G1644" s="16" t="s">
        <v>93</v>
      </c>
      <c r="H1644" s="21"/>
      <c r="I1644" s="22"/>
      <c r="J1644" s="29"/>
      <c r="K1644" s="55">
        <v>40000.0</v>
      </c>
      <c r="L1644" s="55">
        <v>54000.0</v>
      </c>
      <c r="M1644" s="25" t="s">
        <v>82</v>
      </c>
      <c r="N1644" s="26"/>
      <c r="O1644" s="27">
        <f t="shared" si="212"/>
        <v>0.35</v>
      </c>
      <c r="P1644" s="28">
        <f t="shared" si="213"/>
        <v>0</v>
      </c>
    </row>
    <row r="1645" hidden="1">
      <c r="A1645" s="16" t="s">
        <v>2429</v>
      </c>
      <c r="B1645" s="17"/>
      <c r="C1645" s="18"/>
      <c r="D1645" s="4"/>
      <c r="E1645" s="19">
        <v>0.0</v>
      </c>
      <c r="F1645" s="19">
        <v>0.0</v>
      </c>
      <c r="G1645" s="16" t="s">
        <v>277</v>
      </c>
      <c r="H1645" s="21"/>
      <c r="I1645" s="22">
        <v>3.0</v>
      </c>
      <c r="J1645" s="47">
        <v>46023.0</v>
      </c>
      <c r="K1645" s="32">
        <v>87250.0</v>
      </c>
      <c r="L1645" s="24">
        <v>115000.0</v>
      </c>
      <c r="M1645" s="25" t="s">
        <v>82</v>
      </c>
      <c r="N1645" s="26">
        <v>94000.0</v>
      </c>
      <c r="O1645" s="27">
        <f t="shared" si="212"/>
        <v>0.3180515759</v>
      </c>
      <c r="P1645" s="28">
        <f t="shared" si="213"/>
        <v>0</v>
      </c>
    </row>
    <row r="1646" hidden="1">
      <c r="A1646" s="16" t="s">
        <v>2430</v>
      </c>
      <c r="B1646" s="17"/>
      <c r="C1646" s="18"/>
      <c r="D1646" s="4"/>
      <c r="E1646" s="19">
        <v>0.0</v>
      </c>
      <c r="F1646" s="19">
        <v>0.0</v>
      </c>
      <c r="G1646" s="16" t="s">
        <v>277</v>
      </c>
      <c r="H1646" s="21"/>
      <c r="I1646" s="22">
        <v>3.0</v>
      </c>
      <c r="J1646" s="47">
        <v>46054.0</v>
      </c>
      <c r="K1646" s="32">
        <v>87250.0</v>
      </c>
      <c r="L1646" s="24">
        <v>115000.0</v>
      </c>
      <c r="M1646" s="25" t="s">
        <v>82</v>
      </c>
      <c r="N1646" s="26">
        <v>94000.0</v>
      </c>
      <c r="O1646" s="27">
        <f t="shared" si="212"/>
        <v>0.3180515759</v>
      </c>
      <c r="P1646" s="28">
        <f t="shared" si="213"/>
        <v>0</v>
      </c>
    </row>
    <row r="1647" hidden="1">
      <c r="A1647" s="150" t="s">
        <v>2431</v>
      </c>
      <c r="B1647" s="17" t="s">
        <v>2432</v>
      </c>
      <c r="C1647" s="18"/>
      <c r="D1647" s="19"/>
      <c r="E1647" s="19">
        <v>0.0</v>
      </c>
      <c r="F1647" s="19">
        <v>0.0</v>
      </c>
      <c r="G1647" s="16" t="s">
        <v>277</v>
      </c>
      <c r="H1647" s="21"/>
      <c r="I1647" s="22">
        <v>0.0</v>
      </c>
      <c r="J1647" s="29"/>
      <c r="K1647" s="32">
        <f>79476</f>
        <v>79476</v>
      </c>
      <c r="L1647" s="32">
        <v>115000.0</v>
      </c>
      <c r="M1647" s="25" t="s">
        <v>82</v>
      </c>
      <c r="N1647" s="26">
        <v>94000.0</v>
      </c>
      <c r="O1647" s="27">
        <f t="shared" si="212"/>
        <v>0.446977704</v>
      </c>
      <c r="P1647" s="28">
        <f t="shared" si="213"/>
        <v>0</v>
      </c>
    </row>
    <row r="1648" hidden="1">
      <c r="A1648" s="16" t="s">
        <v>2433</v>
      </c>
      <c r="B1648" s="17"/>
      <c r="C1648" s="18"/>
      <c r="D1648" s="4"/>
      <c r="E1648" s="19">
        <v>0.0</v>
      </c>
      <c r="F1648" s="19">
        <v>0.0</v>
      </c>
      <c r="G1648" s="16" t="s">
        <v>277</v>
      </c>
      <c r="H1648" s="21"/>
      <c r="I1648" s="22">
        <v>1.0</v>
      </c>
      <c r="J1648" s="58">
        <v>46296.0</v>
      </c>
      <c r="K1648" s="32">
        <v>79476.0</v>
      </c>
      <c r="L1648" s="32">
        <v>115000.0</v>
      </c>
      <c r="M1648" s="25" t="s">
        <v>82</v>
      </c>
      <c r="N1648" s="26">
        <v>94000.0</v>
      </c>
      <c r="O1648" s="27">
        <f t="shared" si="212"/>
        <v>0.446977704</v>
      </c>
      <c r="P1648" s="28">
        <f t="shared" si="213"/>
        <v>0</v>
      </c>
    </row>
    <row r="1649" hidden="1">
      <c r="A1649" s="16" t="s">
        <v>2434</v>
      </c>
      <c r="B1649" s="17"/>
      <c r="C1649" s="18"/>
      <c r="D1649" s="4"/>
      <c r="E1649" s="19">
        <v>0.0</v>
      </c>
      <c r="F1649" s="19">
        <v>0.0</v>
      </c>
      <c r="G1649" s="16" t="s">
        <v>277</v>
      </c>
      <c r="H1649" s="21"/>
      <c r="I1649" s="22">
        <v>3.0</v>
      </c>
      <c r="J1649" s="58">
        <v>45992.0</v>
      </c>
      <c r="K1649" s="32">
        <v>83600.0</v>
      </c>
      <c r="L1649" s="32">
        <v>115000.0</v>
      </c>
      <c r="M1649" s="25" t="s">
        <v>82</v>
      </c>
      <c r="N1649" s="26">
        <v>94000.0</v>
      </c>
      <c r="O1649" s="27">
        <f t="shared" si="212"/>
        <v>0.3755980861</v>
      </c>
      <c r="P1649" s="28">
        <f t="shared" si="213"/>
        <v>0</v>
      </c>
    </row>
    <row r="1650" hidden="1">
      <c r="A1650" s="16" t="s">
        <v>2435</v>
      </c>
      <c r="B1650" s="17"/>
      <c r="C1650" s="18"/>
      <c r="D1650" s="4"/>
      <c r="E1650" s="19">
        <v>0.0</v>
      </c>
      <c r="F1650" s="19">
        <v>0.0</v>
      </c>
      <c r="G1650" s="16" t="s">
        <v>277</v>
      </c>
      <c r="H1650" s="21"/>
      <c r="I1650" s="22">
        <v>3.0</v>
      </c>
      <c r="J1650" s="58">
        <v>46327.0</v>
      </c>
      <c r="K1650" s="32">
        <v>83600.0</v>
      </c>
      <c r="L1650" s="32">
        <v>115000.0</v>
      </c>
      <c r="M1650" s="25" t="s">
        <v>82</v>
      </c>
      <c r="N1650" s="26">
        <v>94000.0</v>
      </c>
      <c r="O1650" s="27">
        <f t="shared" si="212"/>
        <v>0.3755980861</v>
      </c>
      <c r="P1650" s="28">
        <f t="shared" si="213"/>
        <v>0</v>
      </c>
    </row>
    <row r="1651" hidden="1">
      <c r="A1651" s="16" t="s">
        <v>2436</v>
      </c>
      <c r="B1651" s="17"/>
      <c r="C1651" s="18"/>
      <c r="D1651" s="4"/>
      <c r="E1651" s="19">
        <v>0.0</v>
      </c>
      <c r="F1651" s="19">
        <v>0.0</v>
      </c>
      <c r="G1651" s="16" t="s">
        <v>277</v>
      </c>
      <c r="H1651" s="21"/>
      <c r="I1651" s="22">
        <v>1.0</v>
      </c>
      <c r="J1651" s="47">
        <v>46113.0</v>
      </c>
      <c r="K1651" s="32">
        <v>83600.0</v>
      </c>
      <c r="L1651" s="32">
        <v>115000.0</v>
      </c>
      <c r="M1651" s="25" t="s">
        <v>82</v>
      </c>
      <c r="N1651" s="26">
        <v>94000.0</v>
      </c>
      <c r="O1651" s="27">
        <f t="shared" si="212"/>
        <v>0.3755980861</v>
      </c>
      <c r="P1651" s="28">
        <f t="shared" si="213"/>
        <v>0</v>
      </c>
    </row>
    <row r="1652" hidden="1">
      <c r="A1652" s="16" t="s">
        <v>2437</v>
      </c>
      <c r="B1652" s="17"/>
      <c r="C1652" s="18"/>
      <c r="D1652" s="4"/>
      <c r="E1652" s="19">
        <v>0.0</v>
      </c>
      <c r="F1652" s="19">
        <v>0.0</v>
      </c>
      <c r="G1652" s="16" t="s">
        <v>277</v>
      </c>
      <c r="H1652" s="21"/>
      <c r="I1652" s="22">
        <v>1.0</v>
      </c>
      <c r="J1652" s="47">
        <v>46174.0</v>
      </c>
      <c r="K1652" s="32">
        <v>83600.0</v>
      </c>
      <c r="L1652" s="32">
        <v>115000.0</v>
      </c>
      <c r="M1652" s="25" t="s">
        <v>82</v>
      </c>
      <c r="N1652" s="26">
        <v>94000.0</v>
      </c>
      <c r="O1652" s="27">
        <f t="shared" si="212"/>
        <v>0.3755980861</v>
      </c>
      <c r="P1652" s="28">
        <f t="shared" si="213"/>
        <v>0</v>
      </c>
    </row>
    <row r="1653" hidden="1">
      <c r="A1653" s="16" t="s">
        <v>2438</v>
      </c>
      <c r="B1653" s="17"/>
      <c r="C1653" s="18"/>
      <c r="D1653" s="4"/>
      <c r="E1653" s="19">
        <v>0.0</v>
      </c>
      <c r="F1653" s="19">
        <v>0.0</v>
      </c>
      <c r="G1653" s="16" t="s">
        <v>277</v>
      </c>
      <c r="H1653" s="21"/>
      <c r="I1653" s="22">
        <v>3.0</v>
      </c>
      <c r="J1653" s="47">
        <v>46204.0</v>
      </c>
      <c r="K1653" s="32">
        <v>83600.0</v>
      </c>
      <c r="L1653" s="32">
        <v>115000.0</v>
      </c>
      <c r="M1653" s="25" t="s">
        <v>82</v>
      </c>
      <c r="N1653" s="26">
        <v>94000.0</v>
      </c>
      <c r="O1653" s="27">
        <f t="shared" si="212"/>
        <v>0.3755980861</v>
      </c>
      <c r="P1653" s="28">
        <f t="shared" si="213"/>
        <v>0</v>
      </c>
    </row>
    <row r="1654" hidden="1">
      <c r="A1654" s="16" t="s">
        <v>2439</v>
      </c>
      <c r="B1654" s="17"/>
      <c r="C1654" s="18"/>
      <c r="D1654" s="4"/>
      <c r="E1654" s="19">
        <v>0.0</v>
      </c>
      <c r="F1654" s="19">
        <v>0.0</v>
      </c>
      <c r="G1654" s="16" t="s">
        <v>277</v>
      </c>
      <c r="H1654" s="21"/>
      <c r="I1654" s="22">
        <v>3.0</v>
      </c>
      <c r="J1654" s="47">
        <v>46023.0</v>
      </c>
      <c r="K1654" s="32">
        <v>83600.0</v>
      </c>
      <c r="L1654" s="32">
        <v>115000.0</v>
      </c>
      <c r="M1654" s="25" t="s">
        <v>82</v>
      </c>
      <c r="N1654" s="26">
        <v>94000.0</v>
      </c>
      <c r="O1654" s="27">
        <f t="shared" si="212"/>
        <v>0.3755980861</v>
      </c>
      <c r="P1654" s="28">
        <f t="shared" si="213"/>
        <v>0</v>
      </c>
    </row>
    <row r="1655" hidden="1">
      <c r="A1655" s="16" t="s">
        <v>2440</v>
      </c>
      <c r="B1655" s="36" t="s">
        <v>2441</v>
      </c>
      <c r="C1655" s="18" t="s">
        <v>144</v>
      </c>
      <c r="D1655" s="4">
        <v>51200.0</v>
      </c>
      <c r="E1655" s="19">
        <v>0.0</v>
      </c>
      <c r="F1655" s="19">
        <v>3.0</v>
      </c>
      <c r="G1655" s="16" t="s">
        <v>2442</v>
      </c>
      <c r="H1655" s="21"/>
      <c r="I1655" s="22">
        <v>0.0</v>
      </c>
      <c r="J1655" s="47">
        <v>46143.0</v>
      </c>
      <c r="K1655" s="32">
        <f>90000*0.8</f>
        <v>72000</v>
      </c>
      <c r="L1655" s="24">
        <v>120000.0</v>
      </c>
      <c r="M1655" s="25" t="s">
        <v>82</v>
      </c>
      <c r="N1655" s="26">
        <v>98000.0</v>
      </c>
      <c r="O1655" s="27">
        <f t="shared" si="212"/>
        <v>0.6666666667</v>
      </c>
      <c r="P1655" s="28">
        <f t="shared" si="213"/>
        <v>216000</v>
      </c>
    </row>
    <row r="1656" hidden="1">
      <c r="A1656" s="16" t="s">
        <v>2443</v>
      </c>
      <c r="B1656" s="36" t="s">
        <v>2444</v>
      </c>
      <c r="C1656" s="18"/>
      <c r="D1656" s="4"/>
      <c r="E1656" s="19">
        <v>0.0</v>
      </c>
      <c r="F1656" s="19">
        <v>0.0</v>
      </c>
      <c r="G1656" s="16" t="s">
        <v>2442</v>
      </c>
      <c r="H1656" s="21"/>
      <c r="I1656" s="22">
        <v>2.0</v>
      </c>
      <c r="J1656" s="29"/>
      <c r="K1656" s="43">
        <v>116000.0</v>
      </c>
      <c r="L1656" s="44">
        <v>152000.0</v>
      </c>
      <c r="M1656" s="25" t="s">
        <v>82</v>
      </c>
      <c r="N1656" s="26">
        <v>98000.0</v>
      </c>
      <c r="O1656" s="27">
        <f t="shared" si="212"/>
        <v>0.3103448276</v>
      </c>
      <c r="P1656" s="28">
        <f t="shared" si="213"/>
        <v>0</v>
      </c>
    </row>
    <row r="1657" hidden="1">
      <c r="A1657" s="16" t="s">
        <v>2445</v>
      </c>
      <c r="B1657" s="49"/>
      <c r="C1657" s="64" t="s">
        <v>97</v>
      </c>
      <c r="D1657" s="4"/>
      <c r="E1657" s="19"/>
      <c r="F1657" s="19"/>
      <c r="G1657" s="16" t="s">
        <v>98</v>
      </c>
      <c r="H1657" s="21">
        <v>1.0</v>
      </c>
      <c r="I1657" s="22"/>
      <c r="J1657" s="29"/>
      <c r="K1657" s="48">
        <v>72300.0</v>
      </c>
      <c r="L1657" s="55">
        <v>89000.0</v>
      </c>
      <c r="M1657" s="25" t="s">
        <v>76</v>
      </c>
      <c r="N1657" s="70">
        <v>75000.0</v>
      </c>
      <c r="O1657" s="27">
        <f t="shared" si="212"/>
        <v>0.2309820194</v>
      </c>
      <c r="P1657" s="28">
        <f t="shared" si="213"/>
        <v>0</v>
      </c>
    </row>
    <row r="1658" hidden="1">
      <c r="A1658" s="16" t="s">
        <v>2446</v>
      </c>
      <c r="B1658" s="49"/>
      <c r="C1658" s="64" t="s">
        <v>97</v>
      </c>
      <c r="D1658" s="4"/>
      <c r="E1658" s="19"/>
      <c r="F1658" s="19"/>
      <c r="G1658" s="16" t="s">
        <v>98</v>
      </c>
      <c r="H1658" s="21">
        <v>3.0</v>
      </c>
      <c r="I1658" s="22"/>
      <c r="J1658" s="29"/>
      <c r="K1658" s="48">
        <v>72300.0</v>
      </c>
      <c r="L1658" s="55">
        <v>89000.0</v>
      </c>
      <c r="M1658" s="25" t="s">
        <v>76</v>
      </c>
      <c r="N1658" s="70">
        <v>75000.0</v>
      </c>
      <c r="O1658" s="27">
        <f t="shared" si="212"/>
        <v>0.2309820194</v>
      </c>
      <c r="P1658" s="28">
        <f t="shared" si="213"/>
        <v>0</v>
      </c>
    </row>
    <row r="1659" hidden="1">
      <c r="A1659" s="16" t="s">
        <v>2447</v>
      </c>
      <c r="B1659" s="49"/>
      <c r="C1659" s="64" t="s">
        <v>97</v>
      </c>
      <c r="D1659" s="4"/>
      <c r="E1659" s="19"/>
      <c r="F1659" s="19"/>
      <c r="G1659" s="16" t="s">
        <v>98</v>
      </c>
      <c r="H1659" s="21">
        <v>2.0</v>
      </c>
      <c r="I1659" s="22"/>
      <c r="J1659" s="47">
        <v>46447.0</v>
      </c>
      <c r="K1659" s="48">
        <v>72300.0</v>
      </c>
      <c r="L1659" s="55">
        <v>89000.0</v>
      </c>
      <c r="M1659" s="25" t="s">
        <v>76</v>
      </c>
      <c r="N1659" s="70">
        <v>75000.0</v>
      </c>
      <c r="O1659" s="27">
        <f t="shared" si="212"/>
        <v>0.2309820194</v>
      </c>
      <c r="P1659" s="28">
        <f t="shared" si="213"/>
        <v>0</v>
      </c>
    </row>
    <row r="1660" hidden="1">
      <c r="A1660" s="56" t="s">
        <v>2448</v>
      </c>
      <c r="B1660" s="49"/>
      <c r="C1660" s="64" t="s">
        <v>97</v>
      </c>
      <c r="D1660" s="4"/>
      <c r="E1660" s="19"/>
      <c r="F1660" s="19"/>
      <c r="G1660" s="16" t="s">
        <v>98</v>
      </c>
      <c r="H1660" s="21">
        <v>0.0</v>
      </c>
      <c r="I1660" s="22"/>
      <c r="J1660" s="22" t="s">
        <v>2449</v>
      </c>
      <c r="K1660" s="48">
        <v>72300.0</v>
      </c>
      <c r="L1660" s="55">
        <v>89000.0</v>
      </c>
      <c r="M1660" s="25" t="s">
        <v>76</v>
      </c>
      <c r="N1660" s="70">
        <v>75000.0</v>
      </c>
      <c r="O1660" s="27">
        <f t="shared" si="212"/>
        <v>0.2309820194</v>
      </c>
      <c r="P1660" s="28">
        <f t="shared" si="213"/>
        <v>0</v>
      </c>
    </row>
    <row r="1661" hidden="1">
      <c r="A1661" s="56" t="s">
        <v>2450</v>
      </c>
      <c r="B1661" s="49"/>
      <c r="C1661" s="64" t="s">
        <v>97</v>
      </c>
      <c r="D1661" s="4"/>
      <c r="E1661" s="19"/>
      <c r="F1661" s="19"/>
      <c r="G1661" s="16" t="s">
        <v>98</v>
      </c>
      <c r="H1661" s="21">
        <v>6.0</v>
      </c>
      <c r="I1661" s="22"/>
      <c r="J1661" s="47">
        <v>45870.0</v>
      </c>
      <c r="K1661" s="48">
        <v>72300.0</v>
      </c>
      <c r="L1661" s="55">
        <v>89000.0</v>
      </c>
      <c r="M1661" s="25" t="s">
        <v>76</v>
      </c>
      <c r="N1661" s="70">
        <v>75000.0</v>
      </c>
      <c r="O1661" s="27">
        <f t="shared" si="212"/>
        <v>0.2309820194</v>
      </c>
      <c r="P1661" s="28">
        <f t="shared" si="213"/>
        <v>0</v>
      </c>
    </row>
    <row r="1662" hidden="1">
      <c r="A1662" s="268" t="s">
        <v>2450</v>
      </c>
      <c r="B1662" s="49"/>
      <c r="C1662" s="18"/>
      <c r="D1662" s="4"/>
      <c r="E1662" s="19">
        <v>0.0</v>
      </c>
      <c r="F1662" s="19">
        <v>0.0</v>
      </c>
      <c r="G1662" s="16"/>
      <c r="H1662" s="21"/>
      <c r="I1662" s="22">
        <v>6.0</v>
      </c>
      <c r="J1662" s="29"/>
      <c r="K1662" s="48">
        <v>72300.0</v>
      </c>
      <c r="L1662" s="24"/>
      <c r="M1662" s="25"/>
      <c r="N1662" s="70"/>
      <c r="O1662" s="27"/>
      <c r="P1662" s="28"/>
    </row>
    <row r="1663" hidden="1">
      <c r="A1663" s="56" t="s">
        <v>2451</v>
      </c>
      <c r="B1663" s="49">
        <f>75*5</f>
        <v>375</v>
      </c>
      <c r="C1663" s="18" t="s">
        <v>985</v>
      </c>
      <c r="D1663" s="4"/>
      <c r="E1663" s="19"/>
      <c r="F1663" s="19"/>
      <c r="G1663" s="16" t="s">
        <v>98</v>
      </c>
      <c r="H1663" s="21">
        <v>2.0</v>
      </c>
      <c r="I1663" s="22"/>
      <c r="J1663" s="29"/>
      <c r="K1663" s="48">
        <v>72300.0</v>
      </c>
      <c r="L1663" s="55">
        <v>89000.0</v>
      </c>
      <c r="M1663" s="25" t="s">
        <v>76</v>
      </c>
      <c r="N1663" s="70">
        <v>75000.0</v>
      </c>
      <c r="O1663" s="27">
        <f t="shared" ref="O1663:O1692" si="216">(L1663/K1663)-1</f>
        <v>0.2309820194</v>
      </c>
      <c r="P1663" s="28">
        <f t="shared" ref="P1663:P1692" si="217">K1663*F1663</f>
        <v>0</v>
      </c>
    </row>
    <row r="1664" hidden="1">
      <c r="A1664" s="56" t="s">
        <v>2452</v>
      </c>
      <c r="B1664" s="49"/>
      <c r="C1664" s="18" t="s">
        <v>985</v>
      </c>
      <c r="D1664" s="4"/>
      <c r="E1664" s="19"/>
      <c r="F1664" s="19"/>
      <c r="G1664" s="16" t="s">
        <v>98</v>
      </c>
      <c r="H1664" s="21">
        <v>3.0</v>
      </c>
      <c r="I1664" s="22"/>
      <c r="J1664" s="29"/>
      <c r="K1664" s="48">
        <v>72300.0</v>
      </c>
      <c r="L1664" s="55">
        <v>89000.0</v>
      </c>
      <c r="M1664" s="25" t="s">
        <v>76</v>
      </c>
      <c r="N1664" s="70">
        <v>75000.0</v>
      </c>
      <c r="O1664" s="27">
        <f t="shared" si="216"/>
        <v>0.2309820194</v>
      </c>
      <c r="P1664" s="28">
        <f t="shared" si="217"/>
        <v>0</v>
      </c>
    </row>
    <row r="1665" hidden="1">
      <c r="A1665" s="56" t="s">
        <v>2453</v>
      </c>
      <c r="B1665" s="49">
        <v>140.0</v>
      </c>
      <c r="C1665" s="64" t="s">
        <v>97</v>
      </c>
      <c r="D1665" s="4"/>
      <c r="E1665" s="19"/>
      <c r="F1665" s="19"/>
      <c r="G1665" s="16" t="s">
        <v>98</v>
      </c>
      <c r="H1665" s="21">
        <v>6.0</v>
      </c>
      <c r="I1665" s="22"/>
      <c r="J1665" s="29"/>
      <c r="K1665" s="48">
        <v>72300.0</v>
      </c>
      <c r="L1665" s="55">
        <v>89000.0</v>
      </c>
      <c r="M1665" s="25" t="s">
        <v>76</v>
      </c>
      <c r="N1665" s="70">
        <v>75000.0</v>
      </c>
      <c r="O1665" s="27">
        <f t="shared" si="216"/>
        <v>0.2309820194</v>
      </c>
      <c r="P1665" s="28">
        <f t="shared" si="217"/>
        <v>0</v>
      </c>
    </row>
    <row r="1666" hidden="1">
      <c r="A1666" s="56" t="s">
        <v>2454</v>
      </c>
      <c r="B1666" s="49">
        <v>10.0</v>
      </c>
      <c r="C1666" s="18"/>
      <c r="D1666" s="4"/>
      <c r="E1666" s="19"/>
      <c r="F1666" s="19"/>
      <c r="G1666" s="16" t="s">
        <v>98</v>
      </c>
      <c r="H1666" s="21">
        <v>1.0</v>
      </c>
      <c r="I1666" s="22"/>
      <c r="J1666" s="58">
        <v>46508.0</v>
      </c>
      <c r="K1666" s="48">
        <v>72300.0</v>
      </c>
      <c r="L1666" s="55">
        <v>89000.0</v>
      </c>
      <c r="M1666" s="25" t="s">
        <v>76</v>
      </c>
      <c r="N1666" s="70">
        <v>75000.0</v>
      </c>
      <c r="O1666" s="27">
        <f t="shared" si="216"/>
        <v>0.2309820194</v>
      </c>
      <c r="P1666" s="28">
        <f t="shared" si="217"/>
        <v>0</v>
      </c>
    </row>
    <row r="1667" hidden="1">
      <c r="A1667" s="56" t="s">
        <v>2455</v>
      </c>
      <c r="B1667" s="49"/>
      <c r="C1667" s="18"/>
      <c r="D1667" s="4"/>
      <c r="E1667" s="19"/>
      <c r="F1667" s="19"/>
      <c r="G1667" s="16" t="s">
        <v>98</v>
      </c>
      <c r="H1667" s="21">
        <v>3.0</v>
      </c>
      <c r="I1667" s="22"/>
      <c r="J1667" s="58">
        <v>46296.0</v>
      </c>
      <c r="K1667" s="48">
        <v>72300.0</v>
      </c>
      <c r="L1667" s="55">
        <v>89000.0</v>
      </c>
      <c r="M1667" s="25" t="s">
        <v>76</v>
      </c>
      <c r="N1667" s="70">
        <v>75000.0</v>
      </c>
      <c r="O1667" s="27">
        <f t="shared" si="216"/>
        <v>0.2309820194</v>
      </c>
      <c r="P1667" s="28">
        <f t="shared" si="217"/>
        <v>0</v>
      </c>
    </row>
    <row r="1668" hidden="1">
      <c r="A1668" s="56" t="s">
        <v>2456</v>
      </c>
      <c r="B1668" s="49"/>
      <c r="C1668" s="64" t="s">
        <v>97</v>
      </c>
      <c r="D1668" s="4"/>
      <c r="E1668" s="19"/>
      <c r="F1668" s="19"/>
      <c r="G1668" s="16" t="s">
        <v>98</v>
      </c>
      <c r="H1668" s="21">
        <v>3.0</v>
      </c>
      <c r="I1668" s="22"/>
      <c r="J1668" s="58">
        <v>45962.0</v>
      </c>
      <c r="K1668" s="48">
        <v>72300.0</v>
      </c>
      <c r="L1668" s="55">
        <v>89000.0</v>
      </c>
      <c r="M1668" s="25" t="s">
        <v>76</v>
      </c>
      <c r="N1668" s="70">
        <v>75000.0</v>
      </c>
      <c r="O1668" s="27">
        <f t="shared" si="216"/>
        <v>0.2309820194</v>
      </c>
      <c r="P1668" s="28">
        <f t="shared" si="217"/>
        <v>0</v>
      </c>
    </row>
    <row r="1669" hidden="1">
      <c r="A1669" s="16" t="s">
        <v>2457</v>
      </c>
      <c r="B1669" s="49"/>
      <c r="C1669" s="18" t="s">
        <v>985</v>
      </c>
      <c r="D1669" s="4"/>
      <c r="E1669" s="19"/>
      <c r="F1669" s="19"/>
      <c r="G1669" s="16" t="s">
        <v>98</v>
      </c>
      <c r="H1669" s="21">
        <v>5.0</v>
      </c>
      <c r="I1669" s="22"/>
      <c r="J1669" s="47">
        <v>46508.0</v>
      </c>
      <c r="K1669" s="48">
        <v>72300.0</v>
      </c>
      <c r="L1669" s="55">
        <v>89000.0</v>
      </c>
      <c r="M1669" s="25" t="s">
        <v>76</v>
      </c>
      <c r="N1669" s="70">
        <v>75000.0</v>
      </c>
      <c r="O1669" s="27">
        <f t="shared" si="216"/>
        <v>0.2309820194</v>
      </c>
      <c r="P1669" s="28">
        <f t="shared" si="217"/>
        <v>0</v>
      </c>
    </row>
    <row r="1670" hidden="1">
      <c r="A1670" s="16" t="s">
        <v>2458</v>
      </c>
      <c r="B1670" s="49"/>
      <c r="C1670" s="18" t="s">
        <v>985</v>
      </c>
      <c r="D1670" s="4"/>
      <c r="E1670" s="19"/>
      <c r="F1670" s="19"/>
      <c r="G1670" s="16" t="s">
        <v>98</v>
      </c>
      <c r="H1670" s="21">
        <v>1.0</v>
      </c>
      <c r="I1670" s="22"/>
      <c r="J1670" s="29"/>
      <c r="K1670" s="48">
        <v>72300.0</v>
      </c>
      <c r="L1670" s="55">
        <v>89000.0</v>
      </c>
      <c r="M1670" s="25" t="s">
        <v>76</v>
      </c>
      <c r="N1670" s="70">
        <v>75000.0</v>
      </c>
      <c r="O1670" s="27">
        <f t="shared" si="216"/>
        <v>0.2309820194</v>
      </c>
      <c r="P1670" s="28">
        <f t="shared" si="217"/>
        <v>0</v>
      </c>
    </row>
    <row r="1671" hidden="1">
      <c r="A1671" s="16" t="s">
        <v>2459</v>
      </c>
      <c r="B1671" s="49"/>
      <c r="C1671" s="18"/>
      <c r="D1671" s="4"/>
      <c r="E1671" s="19"/>
      <c r="F1671" s="19"/>
      <c r="G1671" s="16" t="s">
        <v>98</v>
      </c>
      <c r="H1671" s="21">
        <v>5.0</v>
      </c>
      <c r="I1671" s="22"/>
      <c r="J1671" s="29"/>
      <c r="K1671" s="48">
        <v>72300.0</v>
      </c>
      <c r="L1671" s="55">
        <v>89000.0</v>
      </c>
      <c r="M1671" s="25" t="s">
        <v>76</v>
      </c>
      <c r="N1671" s="70">
        <v>75000.0</v>
      </c>
      <c r="O1671" s="27">
        <f t="shared" si="216"/>
        <v>0.2309820194</v>
      </c>
      <c r="P1671" s="28">
        <f t="shared" si="217"/>
        <v>0</v>
      </c>
    </row>
    <row r="1672" hidden="1">
      <c r="A1672" s="16" t="s">
        <v>2460</v>
      </c>
      <c r="B1672" s="49"/>
      <c r="C1672" s="18"/>
      <c r="D1672" s="4"/>
      <c r="E1672" s="19"/>
      <c r="F1672" s="19"/>
      <c r="G1672" s="16" t="s">
        <v>98</v>
      </c>
      <c r="H1672" s="21">
        <v>5.0</v>
      </c>
      <c r="I1672" s="22"/>
      <c r="J1672" s="29"/>
      <c r="K1672" s="48">
        <v>72300.0</v>
      </c>
      <c r="L1672" s="55">
        <v>89000.0</v>
      </c>
      <c r="M1672" s="25" t="s">
        <v>76</v>
      </c>
      <c r="N1672" s="70">
        <v>75000.0</v>
      </c>
      <c r="O1672" s="27">
        <f t="shared" si="216"/>
        <v>0.2309820194</v>
      </c>
      <c r="P1672" s="28">
        <f t="shared" si="217"/>
        <v>0</v>
      </c>
    </row>
    <row r="1673" hidden="1">
      <c r="A1673" s="16" t="s">
        <v>2461</v>
      </c>
      <c r="B1673" s="17"/>
      <c r="C1673" s="18"/>
      <c r="D1673" s="4"/>
      <c r="E1673" s="19">
        <v>0.0</v>
      </c>
      <c r="F1673" s="19"/>
      <c r="G1673" s="16" t="s">
        <v>57</v>
      </c>
      <c r="H1673" s="21"/>
      <c r="I1673" s="22"/>
      <c r="J1673" s="29"/>
      <c r="K1673" s="43">
        <v>22000.0</v>
      </c>
      <c r="L1673" s="44">
        <v>35000.0</v>
      </c>
      <c r="M1673" s="25" t="s">
        <v>82</v>
      </c>
      <c r="N1673" s="26"/>
      <c r="O1673" s="27">
        <f t="shared" si="216"/>
        <v>0.5909090909</v>
      </c>
      <c r="P1673" s="28">
        <f t="shared" si="217"/>
        <v>0</v>
      </c>
    </row>
    <row r="1674" hidden="1">
      <c r="A1674" s="16" t="s">
        <v>2462</v>
      </c>
      <c r="B1674" s="17"/>
      <c r="C1674" s="18"/>
      <c r="D1674" s="4"/>
      <c r="E1674" s="19">
        <v>0.0</v>
      </c>
      <c r="F1674" s="19"/>
      <c r="G1674" s="16" t="s">
        <v>57</v>
      </c>
      <c r="H1674" s="21"/>
      <c r="I1674" s="22"/>
      <c r="J1674" s="29"/>
      <c r="K1674" s="43">
        <v>22000.0</v>
      </c>
      <c r="L1674" s="44">
        <v>35000.0</v>
      </c>
      <c r="M1674" s="25" t="s">
        <v>82</v>
      </c>
      <c r="N1674" s="26"/>
      <c r="O1674" s="27">
        <f t="shared" si="216"/>
        <v>0.5909090909</v>
      </c>
      <c r="P1674" s="28">
        <f t="shared" si="217"/>
        <v>0</v>
      </c>
    </row>
    <row r="1675" hidden="1">
      <c r="A1675" s="16" t="s">
        <v>2463</v>
      </c>
      <c r="B1675" s="36"/>
      <c r="C1675" s="18"/>
      <c r="D1675" s="4"/>
      <c r="E1675" s="19">
        <v>0.0</v>
      </c>
      <c r="F1675" s="19"/>
      <c r="G1675" s="16" t="s">
        <v>57</v>
      </c>
      <c r="H1675" s="21"/>
      <c r="I1675" s="22"/>
      <c r="J1675" s="29"/>
      <c r="K1675" s="43">
        <v>22000.0</v>
      </c>
      <c r="L1675" s="44">
        <v>35000.0</v>
      </c>
      <c r="M1675" s="25" t="s">
        <v>82</v>
      </c>
      <c r="N1675" s="26"/>
      <c r="O1675" s="27">
        <f t="shared" si="216"/>
        <v>0.5909090909</v>
      </c>
      <c r="P1675" s="28">
        <f t="shared" si="217"/>
        <v>0</v>
      </c>
    </row>
    <row r="1676" hidden="1">
      <c r="A1676" s="16" t="s">
        <v>2464</v>
      </c>
      <c r="B1676" s="17"/>
      <c r="C1676" s="18"/>
      <c r="D1676" s="4"/>
      <c r="E1676" s="19">
        <v>0.0</v>
      </c>
      <c r="F1676" s="19"/>
      <c r="G1676" s="16" t="s">
        <v>57</v>
      </c>
      <c r="H1676" s="21"/>
      <c r="I1676" s="22"/>
      <c r="J1676" s="29"/>
      <c r="K1676" s="43">
        <v>22000.0</v>
      </c>
      <c r="L1676" s="44">
        <v>35000.0</v>
      </c>
      <c r="M1676" s="25" t="s">
        <v>82</v>
      </c>
      <c r="N1676" s="26"/>
      <c r="O1676" s="27">
        <f t="shared" si="216"/>
        <v>0.5909090909</v>
      </c>
      <c r="P1676" s="28">
        <f t="shared" si="217"/>
        <v>0</v>
      </c>
    </row>
    <row r="1677" hidden="1">
      <c r="A1677" s="16" t="s">
        <v>2465</v>
      </c>
      <c r="B1677" s="36"/>
      <c r="C1677" s="18"/>
      <c r="D1677" s="4"/>
      <c r="E1677" s="19">
        <v>0.0</v>
      </c>
      <c r="F1677" s="19"/>
      <c r="G1677" s="16" t="s">
        <v>2466</v>
      </c>
      <c r="H1677" s="21"/>
      <c r="I1677" s="22"/>
      <c r="J1677" s="29"/>
      <c r="K1677" s="32">
        <v>2500.0</v>
      </c>
      <c r="L1677" s="24">
        <v>5000.0</v>
      </c>
      <c r="M1677" s="25"/>
      <c r="N1677" s="70"/>
      <c r="O1677" s="27">
        <f t="shared" si="216"/>
        <v>1</v>
      </c>
      <c r="P1677" s="28">
        <f t="shared" si="217"/>
        <v>0</v>
      </c>
    </row>
    <row r="1678" ht="24.0" hidden="1" customHeight="1">
      <c r="A1678" s="269" t="s">
        <v>2467</v>
      </c>
      <c r="B1678" s="17"/>
      <c r="C1678" s="18"/>
      <c r="D1678" s="4"/>
      <c r="E1678" s="19">
        <v>0.0</v>
      </c>
      <c r="F1678" s="19">
        <v>0.0</v>
      </c>
      <c r="G1678" s="16" t="s">
        <v>2468</v>
      </c>
      <c r="H1678" s="21"/>
      <c r="I1678" s="22"/>
      <c r="J1678" s="29"/>
      <c r="K1678" s="48">
        <v>9685.0</v>
      </c>
      <c r="L1678" s="24">
        <v>15000.0</v>
      </c>
      <c r="M1678" s="25"/>
      <c r="N1678" s="26">
        <v>12000.0</v>
      </c>
      <c r="O1678" s="27">
        <f t="shared" si="216"/>
        <v>0.5487867837</v>
      </c>
      <c r="P1678" s="28">
        <f t="shared" si="217"/>
        <v>0</v>
      </c>
    </row>
    <row r="1679" hidden="1">
      <c r="A1679" s="42" t="s">
        <v>2469</v>
      </c>
      <c r="B1679" s="17"/>
      <c r="C1679" s="18" t="s">
        <v>547</v>
      </c>
      <c r="D1679" s="4"/>
      <c r="E1679" s="19">
        <v>0.0</v>
      </c>
      <c r="F1679" s="19">
        <v>0.0</v>
      </c>
      <c r="G1679" s="16" t="s">
        <v>760</v>
      </c>
      <c r="H1679" s="21"/>
      <c r="I1679" s="22">
        <v>0.0</v>
      </c>
      <c r="J1679" s="29"/>
      <c r="K1679" s="43">
        <v>1.0</v>
      </c>
      <c r="L1679" s="43">
        <v>1.0</v>
      </c>
      <c r="M1679" s="25"/>
      <c r="N1679" s="26"/>
      <c r="O1679" s="27">
        <f t="shared" si="216"/>
        <v>0</v>
      </c>
      <c r="P1679" s="28">
        <f t="shared" si="217"/>
        <v>0</v>
      </c>
    </row>
    <row r="1680" hidden="1">
      <c r="A1680" s="118" t="s">
        <v>2470</v>
      </c>
      <c r="B1680" s="36" t="s">
        <v>2471</v>
      </c>
      <c r="C1680" s="18"/>
      <c r="D1680" s="4"/>
      <c r="E1680" s="19">
        <v>0.0</v>
      </c>
      <c r="F1680" s="19"/>
      <c r="G1680" s="16" t="s">
        <v>2472</v>
      </c>
      <c r="H1680" s="21"/>
      <c r="I1680" s="22"/>
      <c r="J1680" s="29"/>
      <c r="K1680" s="43">
        <f>4490*1.19</f>
        <v>5343.1</v>
      </c>
      <c r="L1680" s="44">
        <v>9000.0</v>
      </c>
      <c r="M1680" s="25"/>
      <c r="N1680" s="26"/>
      <c r="O1680" s="27">
        <f t="shared" si="216"/>
        <v>0.6844154143</v>
      </c>
      <c r="P1680" s="28">
        <f t="shared" si="217"/>
        <v>0</v>
      </c>
    </row>
    <row r="1681" hidden="1">
      <c r="A1681" s="16" t="s">
        <v>2473</v>
      </c>
      <c r="B1681" s="36" t="s">
        <v>2474</v>
      </c>
      <c r="C1681" s="18"/>
      <c r="D1681" s="4"/>
      <c r="E1681" s="19"/>
      <c r="F1681" s="19"/>
      <c r="G1681" s="16" t="s">
        <v>2475</v>
      </c>
      <c r="H1681" s="21"/>
      <c r="I1681" s="22">
        <v>22.0</v>
      </c>
      <c r="J1681" s="29"/>
      <c r="K1681" s="48">
        <f>5382*1.19</f>
        <v>6404.58</v>
      </c>
      <c r="L1681" s="55">
        <v>9000.0</v>
      </c>
      <c r="M1681" s="25"/>
      <c r="N1681" s="26"/>
      <c r="O1681" s="27">
        <f t="shared" si="216"/>
        <v>0.405244372</v>
      </c>
      <c r="P1681" s="28">
        <f t="shared" si="217"/>
        <v>0</v>
      </c>
    </row>
    <row r="1682" hidden="1">
      <c r="A1682" s="52" t="s">
        <v>2476</v>
      </c>
      <c r="B1682" s="17"/>
      <c r="C1682" s="18"/>
      <c r="D1682" s="4"/>
      <c r="E1682" s="19">
        <v>0.0</v>
      </c>
      <c r="F1682" s="19">
        <v>0.0</v>
      </c>
      <c r="G1682" s="16" t="s">
        <v>2477</v>
      </c>
      <c r="H1682" s="21"/>
      <c r="I1682" s="22">
        <v>10.0</v>
      </c>
      <c r="J1682" s="29"/>
      <c r="K1682" s="48">
        <f>18500*1.19-925</f>
        <v>21090</v>
      </c>
      <c r="L1682" s="55">
        <v>36000.0</v>
      </c>
      <c r="M1682" s="25"/>
      <c r="N1682" s="26"/>
      <c r="O1682" s="27">
        <f t="shared" si="216"/>
        <v>0.706970128</v>
      </c>
      <c r="P1682" s="28">
        <f t="shared" si="217"/>
        <v>0</v>
      </c>
    </row>
    <row r="1683" hidden="1">
      <c r="A1683" s="42" t="s">
        <v>2478</v>
      </c>
      <c r="B1683" s="36"/>
      <c r="C1683" s="18" t="s">
        <v>547</v>
      </c>
      <c r="D1683" s="4"/>
      <c r="E1683" s="19">
        <v>0.0</v>
      </c>
      <c r="F1683" s="19">
        <v>0.0</v>
      </c>
      <c r="G1683" s="16" t="s">
        <v>2479</v>
      </c>
      <c r="H1683" s="21"/>
      <c r="I1683" s="22">
        <v>5.0</v>
      </c>
      <c r="J1683" s="29"/>
      <c r="K1683" s="43">
        <v>1.0</v>
      </c>
      <c r="L1683" s="43">
        <v>1.0</v>
      </c>
      <c r="M1683" s="25"/>
      <c r="N1683" s="26"/>
      <c r="O1683" s="27">
        <f t="shared" si="216"/>
        <v>0</v>
      </c>
      <c r="P1683" s="28">
        <f t="shared" si="217"/>
        <v>0</v>
      </c>
    </row>
    <row r="1684" hidden="1">
      <c r="A1684" s="122" t="s">
        <v>2480</v>
      </c>
      <c r="B1684" s="17">
        <v>240001.0</v>
      </c>
      <c r="C1684" s="18"/>
      <c r="D1684" s="4"/>
      <c r="E1684" s="19">
        <v>0.0</v>
      </c>
      <c r="F1684" s="19">
        <v>0.0</v>
      </c>
      <c r="G1684" s="16" t="s">
        <v>425</v>
      </c>
      <c r="H1684" s="21"/>
      <c r="I1684" s="22">
        <v>80.0</v>
      </c>
      <c r="J1684" s="29"/>
      <c r="K1684" s="43">
        <f>320*1.19</f>
        <v>380.8</v>
      </c>
      <c r="L1684" s="44">
        <v>1000.0</v>
      </c>
      <c r="M1684" s="25"/>
      <c r="N1684" s="26"/>
      <c r="O1684" s="27">
        <f t="shared" si="216"/>
        <v>1.62605042</v>
      </c>
      <c r="P1684" s="28">
        <f t="shared" si="217"/>
        <v>0</v>
      </c>
    </row>
    <row r="1685" hidden="1">
      <c r="A1685" s="122" t="s">
        <v>2481</v>
      </c>
      <c r="B1685" s="17">
        <v>240003.0</v>
      </c>
      <c r="C1685" s="18"/>
      <c r="D1685" s="4"/>
      <c r="E1685" s="19">
        <v>0.0</v>
      </c>
      <c r="F1685" s="19">
        <v>0.0</v>
      </c>
      <c r="G1685" s="16" t="s">
        <v>425</v>
      </c>
      <c r="H1685" s="73"/>
      <c r="I1685" s="22">
        <v>40.0</v>
      </c>
      <c r="J1685" s="74"/>
      <c r="K1685" s="75">
        <v>427.0</v>
      </c>
      <c r="L1685" s="44">
        <v>1500.0</v>
      </c>
      <c r="M1685" s="25"/>
      <c r="N1685" s="26"/>
      <c r="O1685" s="27">
        <f t="shared" si="216"/>
        <v>2.512880562</v>
      </c>
      <c r="P1685" s="28">
        <f t="shared" si="217"/>
        <v>0</v>
      </c>
    </row>
    <row r="1686" hidden="1">
      <c r="A1686" s="122" t="s">
        <v>2482</v>
      </c>
      <c r="B1686" s="17">
        <v>240015.0</v>
      </c>
      <c r="C1686" s="18"/>
      <c r="D1686" s="4"/>
      <c r="E1686" s="19">
        <v>0.0</v>
      </c>
      <c r="F1686" s="19">
        <v>0.0</v>
      </c>
      <c r="G1686" s="16" t="s">
        <v>425</v>
      </c>
      <c r="H1686" s="21"/>
      <c r="I1686" s="22">
        <v>20.0</v>
      </c>
      <c r="J1686" s="74"/>
      <c r="K1686" s="75">
        <f>703*1.19</f>
        <v>836.57</v>
      </c>
      <c r="L1686" s="44">
        <v>1500.0</v>
      </c>
      <c r="M1686" s="25"/>
      <c r="N1686" s="70"/>
      <c r="O1686" s="27">
        <f t="shared" si="216"/>
        <v>0.7930358488</v>
      </c>
      <c r="P1686" s="28">
        <f t="shared" si="217"/>
        <v>0</v>
      </c>
    </row>
    <row r="1687" hidden="1">
      <c r="A1687" s="122" t="s">
        <v>2483</v>
      </c>
      <c r="B1687" s="17">
        <v>240009.0</v>
      </c>
      <c r="C1687" s="18"/>
      <c r="D1687" s="4"/>
      <c r="E1687" s="19">
        <v>0.0</v>
      </c>
      <c r="F1687" s="19">
        <v>0.0</v>
      </c>
      <c r="G1687" s="16" t="s">
        <v>425</v>
      </c>
      <c r="H1687" s="21"/>
      <c r="I1687" s="22">
        <v>20.0</v>
      </c>
      <c r="J1687" s="45"/>
      <c r="K1687" s="172">
        <f>790*1.19</f>
        <v>940.1</v>
      </c>
      <c r="L1687" s="172">
        <v>2000.0</v>
      </c>
      <c r="M1687" s="25"/>
      <c r="N1687" s="70"/>
      <c r="O1687" s="27">
        <f t="shared" si="216"/>
        <v>1.127433252</v>
      </c>
      <c r="P1687" s="28">
        <f t="shared" si="217"/>
        <v>0</v>
      </c>
    </row>
    <row r="1688" hidden="1">
      <c r="A1688" s="122" t="s">
        <v>2484</v>
      </c>
      <c r="B1688" s="17">
        <v>240011.0</v>
      </c>
      <c r="C1688" s="18"/>
      <c r="D1688" s="4"/>
      <c r="E1688" s="19">
        <v>0.0</v>
      </c>
      <c r="F1688" s="19">
        <v>0.0</v>
      </c>
      <c r="G1688" s="16" t="s">
        <v>425</v>
      </c>
      <c r="H1688" s="21"/>
      <c r="I1688" s="22">
        <v>80.0</v>
      </c>
      <c r="J1688" s="74"/>
      <c r="K1688" s="75">
        <f t="shared" ref="K1688:K1691" si="218">703*1.19</f>
        <v>836.57</v>
      </c>
      <c r="L1688" s="44">
        <v>1500.0</v>
      </c>
      <c r="M1688" s="25"/>
      <c r="N1688" s="70"/>
      <c r="O1688" s="27">
        <f t="shared" si="216"/>
        <v>0.7930358488</v>
      </c>
      <c r="P1688" s="28">
        <f t="shared" si="217"/>
        <v>0</v>
      </c>
    </row>
    <row r="1689" hidden="1">
      <c r="A1689" s="122" t="s">
        <v>2485</v>
      </c>
      <c r="B1689" s="17">
        <v>240005.0</v>
      </c>
      <c r="C1689" s="18"/>
      <c r="D1689" s="4"/>
      <c r="E1689" s="19">
        <v>0.0</v>
      </c>
      <c r="F1689" s="19">
        <v>0.0</v>
      </c>
      <c r="G1689" s="16" t="s">
        <v>425</v>
      </c>
      <c r="H1689" s="21"/>
      <c r="I1689" s="22">
        <v>30.0</v>
      </c>
      <c r="J1689" s="74"/>
      <c r="K1689" s="75">
        <f t="shared" si="218"/>
        <v>836.57</v>
      </c>
      <c r="L1689" s="44">
        <v>1500.0</v>
      </c>
      <c r="M1689" s="25"/>
      <c r="N1689" s="26"/>
      <c r="O1689" s="27">
        <f t="shared" si="216"/>
        <v>0.7930358488</v>
      </c>
      <c r="P1689" s="28">
        <f t="shared" si="217"/>
        <v>0</v>
      </c>
    </row>
    <row r="1690" hidden="1">
      <c r="A1690" s="122" t="s">
        <v>2486</v>
      </c>
      <c r="B1690" s="17">
        <v>240013.0</v>
      </c>
      <c r="C1690" s="18"/>
      <c r="D1690" s="4"/>
      <c r="E1690" s="19">
        <v>0.0</v>
      </c>
      <c r="F1690" s="19">
        <v>0.0</v>
      </c>
      <c r="G1690" s="16" t="s">
        <v>425</v>
      </c>
      <c r="H1690" s="21"/>
      <c r="I1690" s="22">
        <v>30.0</v>
      </c>
      <c r="J1690" s="74"/>
      <c r="K1690" s="75">
        <f t="shared" si="218"/>
        <v>836.57</v>
      </c>
      <c r="L1690" s="44">
        <v>1500.0</v>
      </c>
      <c r="M1690" s="25"/>
      <c r="N1690" s="70"/>
      <c r="O1690" s="27">
        <f t="shared" si="216"/>
        <v>0.7930358488</v>
      </c>
      <c r="P1690" s="28">
        <f t="shared" si="217"/>
        <v>0</v>
      </c>
    </row>
    <row r="1691" hidden="1">
      <c r="A1691" s="122" t="s">
        <v>2487</v>
      </c>
      <c r="B1691" s="17">
        <v>240007.0</v>
      </c>
      <c r="C1691" s="18"/>
      <c r="D1691" s="4"/>
      <c r="E1691" s="19">
        <v>0.0</v>
      </c>
      <c r="F1691" s="19">
        <v>0.0</v>
      </c>
      <c r="G1691" s="16" t="s">
        <v>425</v>
      </c>
      <c r="H1691" s="21"/>
      <c r="I1691" s="22">
        <v>30.0</v>
      </c>
      <c r="J1691" s="74"/>
      <c r="K1691" s="75">
        <f t="shared" si="218"/>
        <v>836.57</v>
      </c>
      <c r="L1691" s="44">
        <v>1500.0</v>
      </c>
      <c r="M1691" s="25"/>
      <c r="N1691" s="26"/>
      <c r="O1691" s="27">
        <f t="shared" si="216"/>
        <v>0.7930358488</v>
      </c>
      <c r="P1691" s="28">
        <f t="shared" si="217"/>
        <v>0</v>
      </c>
    </row>
    <row r="1692" hidden="1">
      <c r="A1692" s="122" t="s">
        <v>2488</v>
      </c>
      <c r="B1692" s="17">
        <v>240002.0</v>
      </c>
      <c r="C1692" s="18"/>
      <c r="D1692" s="4"/>
      <c r="E1692" s="19">
        <v>0.0</v>
      </c>
      <c r="F1692" s="19">
        <v>0.0</v>
      </c>
      <c r="G1692" s="16" t="s">
        <v>425</v>
      </c>
      <c r="H1692" s="73"/>
      <c r="I1692" s="22">
        <v>21.0</v>
      </c>
      <c r="J1692" s="74"/>
      <c r="K1692" s="75">
        <v>300.0</v>
      </c>
      <c r="L1692" s="44">
        <v>1000.0</v>
      </c>
      <c r="M1692" s="25"/>
      <c r="N1692" s="26"/>
      <c r="O1692" s="27">
        <f t="shared" si="216"/>
        <v>2.333333333</v>
      </c>
      <c r="P1692" s="28">
        <f t="shared" si="217"/>
        <v>0</v>
      </c>
    </row>
    <row r="1693" hidden="1">
      <c r="A1693" s="16" t="s">
        <v>2489</v>
      </c>
      <c r="B1693" s="51">
        <v>1.0</v>
      </c>
      <c r="C1693" s="270"/>
      <c r="D1693" s="136"/>
      <c r="E1693" s="19"/>
      <c r="F1693" s="19">
        <v>0.0</v>
      </c>
      <c r="G1693" s="16" t="s">
        <v>93</v>
      </c>
      <c r="H1693" s="271"/>
      <c r="I1693" s="49"/>
      <c r="J1693" s="26"/>
      <c r="K1693" s="48">
        <v>706000.0</v>
      </c>
      <c r="L1693" s="55">
        <v>882000.0</v>
      </c>
      <c r="M1693" s="49"/>
      <c r="N1693" s="26"/>
      <c r="O1693" s="27"/>
      <c r="P1693" s="28"/>
    </row>
    <row r="1694" hidden="1">
      <c r="A1694" s="16" t="s">
        <v>2490</v>
      </c>
      <c r="B1694" s="49"/>
      <c r="C1694" s="270"/>
      <c r="D1694" s="136"/>
      <c r="E1694" s="19"/>
      <c r="F1694" s="19">
        <v>0.0</v>
      </c>
      <c r="G1694" s="16" t="s">
        <v>93</v>
      </c>
      <c r="H1694" s="271"/>
      <c r="I1694" s="49"/>
      <c r="J1694" s="272"/>
      <c r="K1694" s="55">
        <v>1154000.0</v>
      </c>
      <c r="L1694" s="55">
        <v>1443000.0</v>
      </c>
      <c r="M1694" s="49"/>
      <c r="N1694" s="70"/>
      <c r="O1694" s="27"/>
      <c r="P1694" s="28"/>
    </row>
    <row r="1695" hidden="1">
      <c r="A1695" s="16" t="s">
        <v>2491</v>
      </c>
      <c r="B1695" s="49">
        <v>1.0</v>
      </c>
      <c r="C1695" s="270"/>
      <c r="D1695" s="136"/>
      <c r="E1695" s="19"/>
      <c r="F1695" s="19">
        <v>0.0</v>
      </c>
      <c r="G1695" s="16" t="s">
        <v>93</v>
      </c>
      <c r="H1695" s="271"/>
      <c r="I1695" s="49"/>
      <c r="J1695" s="26"/>
      <c r="K1695" s="48">
        <v>1005000.0</v>
      </c>
      <c r="L1695" s="48">
        <v>1256000.0</v>
      </c>
      <c r="M1695" s="49"/>
      <c r="N1695" s="50"/>
      <c r="O1695" s="27"/>
      <c r="P1695" s="28"/>
    </row>
    <row r="1696" hidden="1">
      <c r="A1696" s="16" t="s">
        <v>2492</v>
      </c>
      <c r="B1696" s="17"/>
      <c r="C1696" s="18"/>
      <c r="D1696" s="4"/>
      <c r="E1696" s="19">
        <v>0.0</v>
      </c>
      <c r="F1696" s="19">
        <v>0.0</v>
      </c>
      <c r="G1696" s="16" t="s">
        <v>792</v>
      </c>
      <c r="H1696" s="21"/>
      <c r="I1696" s="22">
        <v>1.0</v>
      </c>
      <c r="J1696" s="29"/>
      <c r="K1696" s="43"/>
      <c r="L1696" s="44">
        <v>450000.0</v>
      </c>
      <c r="M1696" s="25"/>
      <c r="N1696" s="26"/>
      <c r="O1696" s="27" t="str">
        <f t="shared" ref="O1696:O1731" si="219">(L1696/K1696)-1</f>
        <v>#DIV/0!</v>
      </c>
      <c r="P1696" s="28">
        <f t="shared" ref="P1696:P1705" si="220">K1696*F1696</f>
        <v>0</v>
      </c>
    </row>
    <row r="1697" hidden="1">
      <c r="A1697" s="40" t="s">
        <v>2493</v>
      </c>
      <c r="B1697" s="17"/>
      <c r="C1697" s="38"/>
      <c r="D1697" s="4"/>
      <c r="E1697" s="19">
        <v>1.0</v>
      </c>
      <c r="F1697" s="19"/>
      <c r="G1697" s="16" t="s">
        <v>2494</v>
      </c>
      <c r="H1697" s="21">
        <v>1.0</v>
      </c>
      <c r="I1697" s="22"/>
      <c r="J1697" s="47">
        <v>46054.0</v>
      </c>
      <c r="K1697" s="60">
        <v>185600.0</v>
      </c>
      <c r="L1697" s="55">
        <v>220000.0</v>
      </c>
      <c r="M1697" s="25" t="s">
        <v>76</v>
      </c>
      <c r="N1697" s="26"/>
      <c r="O1697" s="27">
        <f t="shared" si="219"/>
        <v>0.1853448276</v>
      </c>
      <c r="P1697" s="28">
        <f t="shared" si="220"/>
        <v>0</v>
      </c>
    </row>
    <row r="1698" hidden="1">
      <c r="A1698" s="52" t="s">
        <v>2495</v>
      </c>
      <c r="B1698" s="49"/>
      <c r="C1698" s="18"/>
      <c r="D1698" s="4"/>
      <c r="E1698" s="19"/>
      <c r="F1698" s="19"/>
      <c r="G1698" s="16" t="s">
        <v>88</v>
      </c>
      <c r="H1698" s="21"/>
      <c r="I1698" s="22">
        <v>0.0</v>
      </c>
      <c r="J1698" s="29"/>
      <c r="K1698" s="48">
        <f>11235*1.19</f>
        <v>13369.65</v>
      </c>
      <c r="L1698" s="55">
        <v>18000.0</v>
      </c>
      <c r="M1698" s="25"/>
      <c r="N1698" s="26"/>
      <c r="O1698" s="27">
        <f t="shared" si="219"/>
        <v>0.3463329257</v>
      </c>
      <c r="P1698" s="28">
        <f t="shared" si="220"/>
        <v>0</v>
      </c>
    </row>
    <row r="1699" hidden="1">
      <c r="A1699" s="16" t="s">
        <v>2496</v>
      </c>
      <c r="B1699" s="17"/>
      <c r="C1699" s="18"/>
      <c r="D1699" s="4"/>
      <c r="E1699" s="19">
        <v>0.0</v>
      </c>
      <c r="F1699" s="19">
        <v>0.0</v>
      </c>
      <c r="G1699" s="16" t="s">
        <v>588</v>
      </c>
      <c r="H1699" s="21"/>
      <c r="I1699" s="22">
        <f>12+19</f>
        <v>31</v>
      </c>
      <c r="J1699" s="47">
        <v>47300.0</v>
      </c>
      <c r="K1699" s="32">
        <v>4282.0</v>
      </c>
      <c r="L1699" s="32">
        <v>6000.0</v>
      </c>
      <c r="M1699" s="25"/>
      <c r="N1699" s="26"/>
      <c r="O1699" s="27">
        <f t="shared" si="219"/>
        <v>0.4012143858</v>
      </c>
      <c r="P1699" s="28">
        <f t="shared" si="220"/>
        <v>0</v>
      </c>
    </row>
    <row r="1700" hidden="1">
      <c r="A1700" s="16" t="s">
        <v>2497</v>
      </c>
      <c r="B1700" s="17"/>
      <c r="C1700" s="18"/>
      <c r="D1700" s="4"/>
      <c r="E1700" s="19">
        <v>0.0</v>
      </c>
      <c r="F1700" s="19">
        <v>0.0</v>
      </c>
      <c r="G1700" s="16" t="s">
        <v>588</v>
      </c>
      <c r="H1700" s="21"/>
      <c r="I1700" s="22">
        <v>10.0</v>
      </c>
      <c r="J1700" s="47">
        <v>46508.0</v>
      </c>
      <c r="K1700" s="32">
        <v>2975.0</v>
      </c>
      <c r="L1700" s="32">
        <v>4000.0</v>
      </c>
      <c r="M1700" s="25"/>
      <c r="N1700" s="26"/>
      <c r="O1700" s="27">
        <f t="shared" si="219"/>
        <v>0.3445378151</v>
      </c>
      <c r="P1700" s="28">
        <f t="shared" si="220"/>
        <v>0</v>
      </c>
    </row>
    <row r="1701" hidden="1">
      <c r="A1701" s="16" t="s">
        <v>2498</v>
      </c>
      <c r="B1701" s="17"/>
      <c r="C1701" s="18"/>
      <c r="D1701" s="4"/>
      <c r="E1701" s="19">
        <v>0.0</v>
      </c>
      <c r="F1701" s="19">
        <v>0.0</v>
      </c>
      <c r="G1701" s="16" t="s">
        <v>670</v>
      </c>
      <c r="H1701" s="21"/>
      <c r="I1701" s="22">
        <v>0.0</v>
      </c>
      <c r="J1701" s="29"/>
      <c r="K1701" s="43">
        <f>2178*1.19</f>
        <v>2591.82</v>
      </c>
      <c r="L1701" s="44">
        <v>4500.0</v>
      </c>
      <c r="M1701" s="25"/>
      <c r="N1701" s="26"/>
      <c r="O1701" s="27">
        <f t="shared" si="219"/>
        <v>0.7362316828</v>
      </c>
      <c r="P1701" s="28">
        <f t="shared" si="220"/>
        <v>0</v>
      </c>
    </row>
    <row r="1702" hidden="1">
      <c r="A1702" s="16" t="s">
        <v>2499</v>
      </c>
      <c r="B1702" s="17"/>
      <c r="C1702" s="18"/>
      <c r="D1702" s="4"/>
      <c r="E1702" s="19">
        <v>0.0</v>
      </c>
      <c r="F1702" s="19">
        <v>0.0</v>
      </c>
      <c r="G1702" s="16" t="s">
        <v>670</v>
      </c>
      <c r="H1702" s="21"/>
      <c r="I1702" s="22">
        <v>6.0</v>
      </c>
      <c r="J1702" s="29"/>
      <c r="K1702" s="43">
        <f>910*1.19</f>
        <v>1082.9</v>
      </c>
      <c r="L1702" s="44">
        <v>3000.0</v>
      </c>
      <c r="M1702" s="25"/>
      <c r="N1702" s="26"/>
      <c r="O1702" s="27">
        <f t="shared" si="219"/>
        <v>1.770338905</v>
      </c>
      <c r="P1702" s="28">
        <f t="shared" si="220"/>
        <v>0</v>
      </c>
    </row>
    <row r="1703" hidden="1">
      <c r="A1703" s="16" t="s">
        <v>2500</v>
      </c>
      <c r="B1703" s="17"/>
      <c r="C1703" s="18"/>
      <c r="D1703" s="4"/>
      <c r="E1703" s="19">
        <v>0.0</v>
      </c>
      <c r="F1703" s="19">
        <v>0.0</v>
      </c>
      <c r="G1703" s="16" t="s">
        <v>670</v>
      </c>
      <c r="H1703" s="21"/>
      <c r="I1703" s="22">
        <v>3.0</v>
      </c>
      <c r="J1703" s="29"/>
      <c r="K1703" s="43">
        <f>4202*1.19</f>
        <v>5000.38</v>
      </c>
      <c r="L1703" s="44">
        <v>8500.0</v>
      </c>
      <c r="M1703" s="25"/>
      <c r="N1703" s="26"/>
      <c r="O1703" s="27">
        <f t="shared" si="219"/>
        <v>0.6998708098</v>
      </c>
      <c r="P1703" s="28">
        <f t="shared" si="220"/>
        <v>0</v>
      </c>
    </row>
    <row r="1704" hidden="1">
      <c r="A1704" s="16" t="s">
        <v>2501</v>
      </c>
      <c r="B1704" s="17"/>
      <c r="C1704" s="18"/>
      <c r="D1704" s="4"/>
      <c r="E1704" s="19"/>
      <c r="F1704" s="19"/>
      <c r="G1704" s="16" t="s">
        <v>2502</v>
      </c>
      <c r="H1704" s="21"/>
      <c r="I1704" s="22">
        <v>0.0</v>
      </c>
      <c r="J1704" s="47">
        <v>46478.0</v>
      </c>
      <c r="K1704" s="32">
        <v>6288.0</v>
      </c>
      <c r="L1704" s="32">
        <v>9000.0</v>
      </c>
      <c r="M1704" s="25"/>
      <c r="N1704" s="26"/>
      <c r="O1704" s="27">
        <f t="shared" si="219"/>
        <v>0.4312977099</v>
      </c>
      <c r="P1704" s="28">
        <f t="shared" si="220"/>
        <v>0</v>
      </c>
    </row>
    <row r="1705" hidden="1">
      <c r="A1705" s="16" t="s">
        <v>2503</v>
      </c>
      <c r="B1705" s="17"/>
      <c r="C1705" s="18"/>
      <c r="D1705" s="4"/>
      <c r="E1705" s="19"/>
      <c r="F1705" s="19">
        <v>1.0</v>
      </c>
      <c r="G1705" s="16" t="s">
        <v>93</v>
      </c>
      <c r="H1705" s="21"/>
      <c r="I1705" s="22"/>
      <c r="J1705" s="47">
        <v>47150.0</v>
      </c>
      <c r="K1705" s="48">
        <v>188200.0</v>
      </c>
      <c r="L1705" s="55">
        <v>235000.0</v>
      </c>
      <c r="M1705" s="25"/>
      <c r="N1705" s="26">
        <v>194000.0</v>
      </c>
      <c r="O1705" s="27">
        <f t="shared" si="219"/>
        <v>0.2486716259</v>
      </c>
      <c r="P1705" s="28">
        <f t="shared" si="220"/>
        <v>188200</v>
      </c>
    </row>
    <row r="1706" hidden="1">
      <c r="A1706" s="52" t="s">
        <v>2504</v>
      </c>
      <c r="B1706" s="17"/>
      <c r="C1706" s="18"/>
      <c r="D1706" s="4"/>
      <c r="E1706" s="19">
        <v>0.0</v>
      </c>
      <c r="F1706" s="19">
        <v>0.0</v>
      </c>
      <c r="G1706" s="16" t="s">
        <v>2505</v>
      </c>
      <c r="H1706" s="21"/>
      <c r="I1706" s="22">
        <v>2.0</v>
      </c>
      <c r="J1706" s="29"/>
      <c r="K1706" s="48">
        <f>6100*1.19</f>
        <v>7259</v>
      </c>
      <c r="L1706" s="55">
        <v>12000.0</v>
      </c>
      <c r="M1706" s="25"/>
      <c r="N1706" s="26">
        <v>10000.0</v>
      </c>
      <c r="O1706" s="27">
        <f t="shared" si="219"/>
        <v>0.6531202645</v>
      </c>
      <c r="P1706" s="28" t="str">
        <f>K1706*#REF!</f>
        <v>#REF!</v>
      </c>
    </row>
    <row r="1707" hidden="1">
      <c r="A1707" s="42" t="s">
        <v>2506</v>
      </c>
      <c r="B1707" s="273"/>
      <c r="C1707" s="18"/>
      <c r="D1707" s="107"/>
      <c r="E1707" s="19">
        <v>10.0</v>
      </c>
      <c r="F1707" s="19">
        <v>10.0</v>
      </c>
      <c r="G1707" s="16" t="s">
        <v>102</v>
      </c>
      <c r="H1707" s="21"/>
      <c r="I1707" s="22">
        <v>2.0</v>
      </c>
      <c r="J1707" s="29"/>
      <c r="K1707" s="32">
        <v>29040.0</v>
      </c>
      <c r="L1707" s="24">
        <v>40000.0</v>
      </c>
      <c r="M1707" s="25"/>
      <c r="N1707" s="26">
        <v>34000.0</v>
      </c>
      <c r="O1707" s="27">
        <f t="shared" si="219"/>
        <v>0.3774104683</v>
      </c>
      <c r="P1707" s="28">
        <f t="shared" ref="P1707:P1731" si="221">K1707*F1707</f>
        <v>290400</v>
      </c>
    </row>
    <row r="1708" hidden="1">
      <c r="A1708" s="16" t="s">
        <v>2507</v>
      </c>
      <c r="B1708" s="17"/>
      <c r="C1708" s="18"/>
      <c r="D1708" s="4"/>
      <c r="E1708" s="19">
        <v>0.0</v>
      </c>
      <c r="F1708" s="19">
        <v>0.0</v>
      </c>
      <c r="G1708" s="16" t="s">
        <v>1328</v>
      </c>
      <c r="H1708" s="21"/>
      <c r="I1708" s="22">
        <v>0.0</v>
      </c>
      <c r="J1708" s="29"/>
      <c r="K1708" s="43">
        <v>29500.0</v>
      </c>
      <c r="L1708" s="44">
        <v>36000.0</v>
      </c>
      <c r="M1708" s="25"/>
      <c r="N1708" s="26"/>
      <c r="O1708" s="27">
        <f t="shared" si="219"/>
        <v>0.2203389831</v>
      </c>
      <c r="P1708" s="28">
        <f t="shared" si="221"/>
        <v>0</v>
      </c>
    </row>
    <row r="1709" hidden="1">
      <c r="A1709" s="16" t="s">
        <v>2508</v>
      </c>
      <c r="B1709" s="17"/>
      <c r="C1709" s="18"/>
      <c r="D1709" s="4"/>
      <c r="E1709" s="19"/>
      <c r="F1709" s="19">
        <v>3.0</v>
      </c>
      <c r="G1709" s="16" t="s">
        <v>476</v>
      </c>
      <c r="H1709" s="21"/>
      <c r="I1709" s="22"/>
      <c r="J1709" s="29"/>
      <c r="K1709" s="48">
        <v>37000.0</v>
      </c>
      <c r="L1709" s="48">
        <v>46000.0</v>
      </c>
      <c r="M1709" s="25" t="s">
        <v>82</v>
      </c>
      <c r="N1709" s="26"/>
      <c r="O1709" s="27">
        <f t="shared" si="219"/>
        <v>0.2432432432</v>
      </c>
      <c r="P1709" s="28">
        <f t="shared" si="221"/>
        <v>111000</v>
      </c>
    </row>
    <row r="1710" hidden="1">
      <c r="A1710" s="16" t="s">
        <v>2509</v>
      </c>
      <c r="B1710" s="17"/>
      <c r="C1710" s="18"/>
      <c r="D1710" s="4"/>
      <c r="E1710" s="19">
        <v>0.0</v>
      </c>
      <c r="F1710" s="19"/>
      <c r="G1710" s="16" t="s">
        <v>57</v>
      </c>
      <c r="H1710" s="21"/>
      <c r="I1710" s="22"/>
      <c r="J1710" s="29"/>
      <c r="K1710" s="43">
        <v>10000.0</v>
      </c>
      <c r="L1710" s="44">
        <v>15000.0</v>
      </c>
      <c r="M1710" s="25" t="s">
        <v>82</v>
      </c>
      <c r="N1710" s="26"/>
      <c r="O1710" s="27">
        <f t="shared" si="219"/>
        <v>0.5</v>
      </c>
      <c r="P1710" s="28">
        <f t="shared" si="221"/>
        <v>0</v>
      </c>
    </row>
    <row r="1711" hidden="1">
      <c r="A1711" s="16" t="s">
        <v>2510</v>
      </c>
      <c r="B1711" s="17"/>
      <c r="C1711" s="18"/>
      <c r="D1711" s="4"/>
      <c r="E1711" s="19">
        <v>0.0</v>
      </c>
      <c r="F1711" s="19"/>
      <c r="G1711" s="16" t="s">
        <v>57</v>
      </c>
      <c r="H1711" s="21"/>
      <c r="I1711" s="22"/>
      <c r="J1711" s="29"/>
      <c r="K1711" s="43">
        <f>130900/5</f>
        <v>26180</v>
      </c>
      <c r="L1711" s="44">
        <v>39000.0</v>
      </c>
      <c r="M1711" s="25"/>
      <c r="N1711" s="26"/>
      <c r="O1711" s="27">
        <f t="shared" si="219"/>
        <v>0.4896867838</v>
      </c>
      <c r="P1711" s="28">
        <f t="shared" si="221"/>
        <v>0</v>
      </c>
    </row>
    <row r="1712" hidden="1">
      <c r="A1712" s="16" t="s">
        <v>2511</v>
      </c>
      <c r="B1712" s="17"/>
      <c r="C1712" s="18"/>
      <c r="D1712" s="4"/>
      <c r="E1712" s="19"/>
      <c r="F1712" s="19">
        <v>0.0</v>
      </c>
      <c r="G1712" s="16" t="s">
        <v>2512</v>
      </c>
      <c r="H1712" s="21"/>
      <c r="I1712" s="22"/>
      <c r="J1712" s="29"/>
      <c r="K1712" s="43">
        <v>2200.0</v>
      </c>
      <c r="L1712" s="44">
        <v>6000.0</v>
      </c>
      <c r="M1712" s="25" t="s">
        <v>82</v>
      </c>
      <c r="N1712" s="26"/>
      <c r="O1712" s="27">
        <f t="shared" si="219"/>
        <v>1.727272727</v>
      </c>
      <c r="P1712" s="28">
        <f t="shared" si="221"/>
        <v>0</v>
      </c>
    </row>
    <row r="1713" hidden="1">
      <c r="A1713" s="52" t="s">
        <v>2513</v>
      </c>
      <c r="B1713" s="17"/>
      <c r="C1713" s="18"/>
      <c r="D1713" s="4"/>
      <c r="E1713" s="19">
        <v>0.0</v>
      </c>
      <c r="F1713" s="19">
        <v>2.0</v>
      </c>
      <c r="G1713" s="16" t="s">
        <v>2199</v>
      </c>
      <c r="H1713" s="21"/>
      <c r="I1713" s="22"/>
      <c r="J1713" s="23"/>
      <c r="K1713" s="24">
        <v>22000.0</v>
      </c>
      <c r="L1713" s="24">
        <v>32000.0</v>
      </c>
      <c r="M1713" s="25"/>
      <c r="N1713" s="26"/>
      <c r="O1713" s="27">
        <f t="shared" si="219"/>
        <v>0.4545454545</v>
      </c>
      <c r="P1713" s="28">
        <f t="shared" si="221"/>
        <v>44000</v>
      </c>
    </row>
    <row r="1714" hidden="1">
      <c r="A1714" s="16" t="s">
        <v>2514</v>
      </c>
      <c r="B1714" s="17"/>
      <c r="C1714" s="18"/>
      <c r="D1714" s="4"/>
      <c r="E1714" s="19">
        <v>0.0</v>
      </c>
      <c r="F1714" s="19">
        <v>0.0</v>
      </c>
      <c r="G1714" s="16" t="s">
        <v>1935</v>
      </c>
      <c r="H1714" s="21"/>
      <c r="I1714" s="22">
        <v>0.0</v>
      </c>
      <c r="J1714" s="29"/>
      <c r="K1714" s="43">
        <v>1462.0</v>
      </c>
      <c r="L1714" s="44">
        <v>2500.0</v>
      </c>
      <c r="M1714" s="25"/>
      <c r="N1714" s="26"/>
      <c r="O1714" s="27">
        <f t="shared" si="219"/>
        <v>0.7099863201</v>
      </c>
      <c r="P1714" s="28">
        <f t="shared" si="221"/>
        <v>0</v>
      </c>
    </row>
    <row r="1715" hidden="1">
      <c r="A1715" s="16" t="s">
        <v>2515</v>
      </c>
      <c r="B1715" s="49"/>
      <c r="C1715" s="18"/>
      <c r="D1715" s="4"/>
      <c r="E1715" s="19"/>
      <c r="F1715" s="19">
        <v>0.0</v>
      </c>
      <c r="G1715" s="16" t="s">
        <v>93</v>
      </c>
      <c r="H1715" s="21"/>
      <c r="I1715" s="22"/>
      <c r="J1715" s="29"/>
      <c r="K1715" s="48">
        <f>137590/10</f>
        <v>13759</v>
      </c>
      <c r="L1715" s="55">
        <v>20000.0</v>
      </c>
      <c r="M1715" s="25"/>
      <c r="N1715" s="26">
        <v>16000.0</v>
      </c>
      <c r="O1715" s="27">
        <f t="shared" si="219"/>
        <v>0.4535940112</v>
      </c>
      <c r="P1715" s="28">
        <f t="shared" si="221"/>
        <v>0</v>
      </c>
    </row>
    <row r="1716" hidden="1">
      <c r="A1716" s="16" t="s">
        <v>2516</v>
      </c>
      <c r="B1716" s="49">
        <v>2.206802401E9</v>
      </c>
      <c r="C1716" s="18"/>
      <c r="D1716" s="4"/>
      <c r="E1716" s="19"/>
      <c r="F1716" s="19">
        <v>1.0</v>
      </c>
      <c r="G1716" s="16" t="s">
        <v>93</v>
      </c>
      <c r="H1716" s="21"/>
      <c r="I1716" s="22"/>
      <c r="J1716" s="58">
        <v>46692.0</v>
      </c>
      <c r="K1716" s="48">
        <v>144800.0</v>
      </c>
      <c r="L1716" s="55">
        <v>181100.0</v>
      </c>
      <c r="M1716" s="25"/>
      <c r="N1716" s="26"/>
      <c r="O1716" s="27">
        <f t="shared" si="219"/>
        <v>0.2506906077</v>
      </c>
      <c r="P1716" s="28">
        <f t="shared" si="221"/>
        <v>144800</v>
      </c>
    </row>
    <row r="1717" hidden="1">
      <c r="A1717" s="16" t="s">
        <v>2517</v>
      </c>
      <c r="B1717" s="17"/>
      <c r="C1717" s="18" t="s">
        <v>144</v>
      </c>
      <c r="D1717" s="4">
        <v>34300.0</v>
      </c>
      <c r="E1717" s="19"/>
      <c r="F1717" s="19">
        <v>3.0</v>
      </c>
      <c r="G1717" s="16" t="s">
        <v>93</v>
      </c>
      <c r="H1717" s="21"/>
      <c r="I1717" s="22"/>
      <c r="J1717" s="23"/>
      <c r="K1717" s="55">
        <v>32590.0</v>
      </c>
      <c r="L1717" s="55">
        <v>46000.0</v>
      </c>
      <c r="M1717" s="25" t="s">
        <v>76</v>
      </c>
      <c r="N1717" s="26"/>
      <c r="O1717" s="27">
        <f t="shared" si="219"/>
        <v>0.4114759129</v>
      </c>
      <c r="P1717" s="28">
        <f t="shared" si="221"/>
        <v>97770</v>
      </c>
    </row>
    <row r="1718" hidden="1">
      <c r="A1718" s="16" t="s">
        <v>2518</v>
      </c>
      <c r="B1718" s="17"/>
      <c r="C1718" s="18"/>
      <c r="D1718" s="4"/>
      <c r="E1718" s="19">
        <v>0.0</v>
      </c>
      <c r="F1718" s="19">
        <v>0.0</v>
      </c>
      <c r="G1718" s="16" t="s">
        <v>473</v>
      </c>
      <c r="H1718" s="21"/>
      <c r="I1718" s="22"/>
      <c r="J1718" s="29"/>
      <c r="K1718" s="48">
        <v>28000.0</v>
      </c>
      <c r="L1718" s="55">
        <v>54000.0</v>
      </c>
      <c r="M1718" s="25" t="s">
        <v>76</v>
      </c>
      <c r="N1718" s="26">
        <v>44000.0</v>
      </c>
      <c r="O1718" s="27">
        <f t="shared" si="219"/>
        <v>0.9285714286</v>
      </c>
      <c r="P1718" s="28">
        <f t="shared" si="221"/>
        <v>0</v>
      </c>
    </row>
    <row r="1719" hidden="1">
      <c r="A1719" s="16" t="s">
        <v>2519</v>
      </c>
      <c r="B1719" s="36" t="s">
        <v>2520</v>
      </c>
      <c r="C1719" s="18" t="s">
        <v>144</v>
      </c>
      <c r="D1719" s="4">
        <v>28700.0</v>
      </c>
      <c r="E1719" s="19">
        <v>0.0</v>
      </c>
      <c r="F1719" s="19">
        <v>0.0</v>
      </c>
      <c r="G1719" s="16" t="s">
        <v>70</v>
      </c>
      <c r="H1719" s="21"/>
      <c r="I1719" s="22"/>
      <c r="J1719" s="58">
        <v>45962.0</v>
      </c>
      <c r="K1719" s="32">
        <f>40000*0.8</f>
        <v>32000</v>
      </c>
      <c r="L1719" s="24">
        <v>54000.0</v>
      </c>
      <c r="M1719" s="25"/>
      <c r="N1719" s="26"/>
      <c r="O1719" s="27">
        <f t="shared" si="219"/>
        <v>0.6875</v>
      </c>
      <c r="P1719" s="28">
        <f t="shared" si="221"/>
        <v>0</v>
      </c>
    </row>
    <row r="1720" hidden="1">
      <c r="A1720" s="16" t="s">
        <v>2521</v>
      </c>
      <c r="B1720" s="17" t="s">
        <v>2522</v>
      </c>
      <c r="C1720" s="18"/>
      <c r="D1720" s="4"/>
      <c r="E1720" s="19">
        <v>0.0</v>
      </c>
      <c r="F1720" s="19">
        <v>0.0</v>
      </c>
      <c r="G1720" s="20" t="s">
        <v>78</v>
      </c>
      <c r="H1720" s="21">
        <v>3.0</v>
      </c>
      <c r="I1720" s="22">
        <v>4.0</v>
      </c>
      <c r="J1720" s="29"/>
      <c r="K1720" s="32">
        <v>26760.0</v>
      </c>
      <c r="L1720" s="24">
        <v>54000.0</v>
      </c>
      <c r="M1720" s="25"/>
      <c r="N1720" s="31">
        <v>35000.0</v>
      </c>
      <c r="O1720" s="27">
        <f t="shared" si="219"/>
        <v>1.01793722</v>
      </c>
      <c r="P1720" s="28">
        <f t="shared" si="221"/>
        <v>0</v>
      </c>
    </row>
    <row r="1721" hidden="1">
      <c r="A1721" s="224" t="s">
        <v>2523</v>
      </c>
      <c r="B1721" s="36"/>
      <c r="C1721" s="18" t="s">
        <v>1572</v>
      </c>
      <c r="D1721" s="4"/>
      <c r="E1721" s="19"/>
      <c r="F1721" s="19">
        <v>0.0</v>
      </c>
      <c r="G1721" s="16" t="s">
        <v>93</v>
      </c>
      <c r="H1721" s="21"/>
      <c r="I1721" s="22"/>
      <c r="J1721" s="29"/>
      <c r="K1721" s="48">
        <v>266300.0</v>
      </c>
      <c r="L1721" s="55">
        <v>333500.0</v>
      </c>
      <c r="M1721" s="25">
        <v>1.19</v>
      </c>
      <c r="N1721" s="26"/>
      <c r="O1721" s="27">
        <f t="shared" si="219"/>
        <v>0.2523469771</v>
      </c>
      <c r="P1721" s="28">
        <f t="shared" si="221"/>
        <v>0</v>
      </c>
    </row>
    <row r="1722" hidden="1">
      <c r="A1722" s="224" t="s">
        <v>2524</v>
      </c>
      <c r="B1722" s="36"/>
      <c r="C1722" s="18" t="s">
        <v>1572</v>
      </c>
      <c r="D1722" s="4"/>
      <c r="E1722" s="19"/>
      <c r="F1722" s="19">
        <v>0.0</v>
      </c>
      <c r="G1722" s="16" t="s">
        <v>93</v>
      </c>
      <c r="H1722" s="21"/>
      <c r="I1722" s="22"/>
      <c r="J1722" s="29"/>
      <c r="K1722" s="48">
        <f>200000+48000</f>
        <v>248000</v>
      </c>
      <c r="L1722" s="55">
        <v>352000.0</v>
      </c>
      <c r="M1722" s="25">
        <v>1.19</v>
      </c>
      <c r="N1722" s="63"/>
      <c r="O1722" s="27">
        <f t="shared" si="219"/>
        <v>0.4193548387</v>
      </c>
      <c r="P1722" s="28">
        <f t="shared" si="221"/>
        <v>0</v>
      </c>
    </row>
    <row r="1723" hidden="1">
      <c r="A1723" s="224" t="s">
        <v>2525</v>
      </c>
      <c r="B1723" s="36">
        <v>297770.0</v>
      </c>
      <c r="C1723" s="18" t="s">
        <v>2526</v>
      </c>
      <c r="D1723" s="4"/>
      <c r="E1723" s="19"/>
      <c r="F1723" s="19">
        <v>0.0</v>
      </c>
      <c r="G1723" s="16" t="s">
        <v>93</v>
      </c>
      <c r="H1723" s="21"/>
      <c r="I1723" s="22"/>
      <c r="J1723" s="47">
        <v>46419.0</v>
      </c>
      <c r="K1723" s="48">
        <v>82900.0</v>
      </c>
      <c r="L1723" s="55">
        <v>110000.0</v>
      </c>
      <c r="M1723" s="25">
        <v>1.19</v>
      </c>
      <c r="N1723" s="26"/>
      <c r="O1723" s="27">
        <f t="shared" si="219"/>
        <v>0.3268998794</v>
      </c>
      <c r="P1723" s="28">
        <f t="shared" si="221"/>
        <v>0</v>
      </c>
    </row>
    <row r="1724" hidden="1">
      <c r="A1724" s="16" t="s">
        <v>2527</v>
      </c>
      <c r="B1724" s="36"/>
      <c r="C1724" s="18" t="s">
        <v>2526</v>
      </c>
      <c r="D1724" s="4"/>
      <c r="E1724" s="19">
        <v>0.0</v>
      </c>
      <c r="F1724" s="19"/>
      <c r="G1724" s="16" t="s">
        <v>1573</v>
      </c>
      <c r="H1724" s="21"/>
      <c r="I1724" s="22"/>
      <c r="J1724" s="29"/>
      <c r="K1724" s="48">
        <v>110000.0</v>
      </c>
      <c r="L1724" s="55">
        <v>160000.0</v>
      </c>
      <c r="M1724" s="25"/>
      <c r="N1724" s="26">
        <v>130000.0</v>
      </c>
      <c r="O1724" s="27">
        <f t="shared" si="219"/>
        <v>0.4545454545</v>
      </c>
      <c r="P1724" s="28">
        <f t="shared" si="221"/>
        <v>0</v>
      </c>
    </row>
    <row r="1725" hidden="1">
      <c r="A1725" s="16" t="s">
        <v>2528</v>
      </c>
      <c r="B1725" s="36" t="s">
        <v>2529</v>
      </c>
      <c r="C1725" s="18" t="s">
        <v>2530</v>
      </c>
      <c r="D1725" s="4"/>
      <c r="E1725" s="19">
        <v>0.0</v>
      </c>
      <c r="F1725" s="19"/>
      <c r="G1725" s="16" t="s">
        <v>1573</v>
      </c>
      <c r="H1725" s="21"/>
      <c r="I1725" s="22"/>
      <c r="J1725" s="29"/>
      <c r="K1725" s="48"/>
      <c r="L1725" s="55">
        <v>120000.0</v>
      </c>
      <c r="M1725" s="25"/>
      <c r="N1725" s="70"/>
      <c r="O1725" s="27" t="str">
        <f t="shared" si="219"/>
        <v>#DIV/0!</v>
      </c>
      <c r="P1725" s="28">
        <f t="shared" si="221"/>
        <v>0</v>
      </c>
    </row>
    <row r="1726" hidden="1">
      <c r="A1726" s="224" t="s">
        <v>2531</v>
      </c>
      <c r="B1726" s="36">
        <v>292818.0</v>
      </c>
      <c r="C1726" s="18" t="s">
        <v>2530</v>
      </c>
      <c r="D1726" s="4"/>
      <c r="E1726" s="19"/>
      <c r="F1726" s="19">
        <v>0.0</v>
      </c>
      <c r="G1726" s="16" t="s">
        <v>93</v>
      </c>
      <c r="H1726" s="21"/>
      <c r="I1726" s="22"/>
      <c r="J1726" s="23"/>
      <c r="K1726" s="55">
        <v>213000.0</v>
      </c>
      <c r="L1726" s="55">
        <v>266300.0</v>
      </c>
      <c r="M1726" s="25">
        <v>1.19</v>
      </c>
      <c r="N1726" s="26"/>
      <c r="O1726" s="27">
        <f t="shared" si="219"/>
        <v>0.2502347418</v>
      </c>
      <c r="P1726" s="28">
        <f t="shared" si="221"/>
        <v>0</v>
      </c>
    </row>
    <row r="1727" hidden="1">
      <c r="A1727" s="16" t="s">
        <v>2532</v>
      </c>
      <c r="B1727" s="17"/>
      <c r="C1727" s="18"/>
      <c r="D1727" s="4"/>
      <c r="E1727" s="19">
        <v>0.0</v>
      </c>
      <c r="F1727" s="19">
        <v>2.0</v>
      </c>
      <c r="G1727" s="16" t="s">
        <v>2533</v>
      </c>
      <c r="H1727" s="21"/>
      <c r="I1727" s="22">
        <v>0.0</v>
      </c>
      <c r="J1727" s="29"/>
      <c r="K1727" s="43">
        <f>30478*1.19+7500</f>
        <v>43768.82</v>
      </c>
      <c r="L1727" s="44">
        <v>60000.0</v>
      </c>
      <c r="M1727" s="25"/>
      <c r="N1727" s="26"/>
      <c r="O1727" s="27">
        <f t="shared" si="219"/>
        <v>0.3708388757</v>
      </c>
      <c r="P1727" s="28">
        <f t="shared" si="221"/>
        <v>87537.64</v>
      </c>
    </row>
    <row r="1728" hidden="1">
      <c r="A1728" s="224" t="s">
        <v>2534</v>
      </c>
      <c r="B1728" s="36"/>
      <c r="C1728" s="18" t="s">
        <v>2526</v>
      </c>
      <c r="D1728" s="4"/>
      <c r="E1728" s="19">
        <v>0.0</v>
      </c>
      <c r="F1728" s="19">
        <v>0.0</v>
      </c>
      <c r="G1728" s="16" t="s">
        <v>1210</v>
      </c>
      <c r="H1728" s="21"/>
      <c r="I1728" s="22">
        <v>10.0</v>
      </c>
      <c r="J1728" s="29"/>
      <c r="K1728" s="48">
        <f>164800/2</f>
        <v>82400</v>
      </c>
      <c r="L1728" s="55">
        <v>120000.0</v>
      </c>
      <c r="M1728" s="25"/>
      <c r="N1728" s="26">
        <v>98000.0</v>
      </c>
      <c r="O1728" s="27">
        <f t="shared" si="219"/>
        <v>0.4563106796</v>
      </c>
      <c r="P1728" s="28">
        <f t="shared" si="221"/>
        <v>0</v>
      </c>
    </row>
    <row r="1729" hidden="1">
      <c r="A1729" s="16" t="s">
        <v>2535</v>
      </c>
      <c r="B1729" s="51" t="s">
        <v>1840</v>
      </c>
      <c r="C1729" s="18" t="s">
        <v>2526</v>
      </c>
      <c r="D1729" s="67"/>
      <c r="E1729" s="19"/>
      <c r="F1729" s="19"/>
      <c r="G1729" s="16" t="s">
        <v>1626</v>
      </c>
      <c r="H1729" s="21"/>
      <c r="I1729" s="22">
        <v>40.0</v>
      </c>
      <c r="J1729" s="45">
        <v>120.0</v>
      </c>
      <c r="K1729" s="60">
        <v>91000.0</v>
      </c>
      <c r="L1729" s="55">
        <v>120000.0</v>
      </c>
      <c r="M1729" s="25">
        <v>1.19</v>
      </c>
      <c r="N1729" s="43">
        <v>98000.0</v>
      </c>
      <c r="O1729" s="27">
        <f t="shared" si="219"/>
        <v>0.3186813187</v>
      </c>
      <c r="P1729" s="28">
        <f t="shared" si="221"/>
        <v>0</v>
      </c>
    </row>
    <row r="1730" hidden="1">
      <c r="A1730" s="16" t="s">
        <v>2536</v>
      </c>
      <c r="B1730" s="36"/>
      <c r="C1730" s="18" t="s">
        <v>2530</v>
      </c>
      <c r="D1730" s="67"/>
      <c r="E1730" s="19"/>
      <c r="F1730" s="19"/>
      <c r="G1730" s="16" t="s">
        <v>1626</v>
      </c>
      <c r="H1730" s="21"/>
      <c r="I1730" s="22">
        <v>189.0</v>
      </c>
      <c r="J1730" s="45">
        <v>210.0</v>
      </c>
      <c r="K1730" s="60">
        <v>180000.0</v>
      </c>
      <c r="L1730" s="55">
        <v>210000.0</v>
      </c>
      <c r="M1730" s="25">
        <v>1.19</v>
      </c>
      <c r="N1730" s="43">
        <v>180000.0</v>
      </c>
      <c r="O1730" s="27">
        <f t="shared" si="219"/>
        <v>0.1666666667</v>
      </c>
      <c r="P1730" s="28">
        <f t="shared" si="221"/>
        <v>0</v>
      </c>
    </row>
    <row r="1731" hidden="1">
      <c r="A1731" s="16" t="s">
        <v>2537</v>
      </c>
      <c r="B1731" s="51" t="s">
        <v>2538</v>
      </c>
      <c r="C1731" s="18" t="s">
        <v>2530</v>
      </c>
      <c r="D1731" s="67"/>
      <c r="E1731" s="19"/>
      <c r="F1731" s="19"/>
      <c r="G1731" s="16" t="s">
        <v>1626</v>
      </c>
      <c r="H1731" s="21"/>
      <c r="I1731" s="22">
        <v>5.0</v>
      </c>
      <c r="J1731" s="45"/>
      <c r="K1731" s="60">
        <v>407000.0</v>
      </c>
      <c r="L1731" s="55">
        <v>450000.0</v>
      </c>
      <c r="M1731" s="25"/>
      <c r="N1731" s="26">
        <v>440000.0</v>
      </c>
      <c r="O1731" s="27">
        <f t="shared" si="219"/>
        <v>0.1056511057</v>
      </c>
      <c r="P1731" s="28">
        <f t="shared" si="221"/>
        <v>0</v>
      </c>
    </row>
    <row r="1732" hidden="1">
      <c r="A1732" s="16" t="s">
        <v>2539</v>
      </c>
      <c r="B1732" s="36"/>
      <c r="C1732" s="18"/>
      <c r="D1732" s="4"/>
      <c r="E1732" s="19"/>
      <c r="F1732" s="19"/>
      <c r="G1732" s="16" t="s">
        <v>2540</v>
      </c>
      <c r="H1732" s="21"/>
      <c r="I1732" s="22"/>
      <c r="J1732" s="29"/>
      <c r="K1732" s="48">
        <f>145900/2*1.19</f>
        <v>86810.5</v>
      </c>
      <c r="L1732" s="48">
        <v>120000.0</v>
      </c>
      <c r="M1732" s="25"/>
      <c r="N1732" s="50"/>
      <c r="O1732" s="27"/>
      <c r="P1732" s="28"/>
    </row>
    <row r="1733" hidden="1">
      <c r="A1733" s="16" t="s">
        <v>2541</v>
      </c>
      <c r="B1733" s="36"/>
      <c r="C1733" s="18"/>
      <c r="D1733" s="4"/>
      <c r="E1733" s="19">
        <v>0.0</v>
      </c>
      <c r="F1733" s="19">
        <v>0.0</v>
      </c>
      <c r="G1733" s="16" t="s">
        <v>643</v>
      </c>
      <c r="H1733" s="21" t="s">
        <v>2542</v>
      </c>
      <c r="I1733" s="22">
        <v>0.0</v>
      </c>
      <c r="J1733" s="29"/>
      <c r="K1733" s="48">
        <f>450000/56</f>
        <v>8035.714286</v>
      </c>
      <c r="L1733" s="48">
        <v>10000.0</v>
      </c>
      <c r="M1733" s="25"/>
      <c r="N1733" s="50"/>
      <c r="O1733" s="27">
        <f t="shared" ref="O1733:O1736" si="222">(L1733/K1733)-1</f>
        <v>0.2444444444</v>
      </c>
      <c r="P1733" s="28">
        <f t="shared" ref="P1733:P1736" si="223">K1733*F1733</f>
        <v>0</v>
      </c>
    </row>
    <row r="1734" hidden="1">
      <c r="A1734" s="224" t="s">
        <v>2543</v>
      </c>
      <c r="B1734" s="36" t="s">
        <v>2529</v>
      </c>
      <c r="C1734" s="18" t="s">
        <v>2530</v>
      </c>
      <c r="D1734" s="4"/>
      <c r="E1734" s="19">
        <v>0.0</v>
      </c>
      <c r="F1734" s="19">
        <v>0.0</v>
      </c>
      <c r="G1734" s="16" t="s">
        <v>1210</v>
      </c>
      <c r="H1734" s="21"/>
      <c r="I1734" s="22">
        <v>8.0</v>
      </c>
      <c r="J1734" s="29"/>
      <c r="K1734" s="48">
        <v>144500.0</v>
      </c>
      <c r="L1734" s="55">
        <v>210000.0</v>
      </c>
      <c r="M1734" s="25"/>
      <c r="N1734" s="26"/>
      <c r="O1734" s="27">
        <f t="shared" si="222"/>
        <v>0.4532871972</v>
      </c>
      <c r="P1734" s="28">
        <f t="shared" si="223"/>
        <v>0</v>
      </c>
    </row>
    <row r="1735" hidden="1">
      <c r="A1735" s="16" t="s">
        <v>2544</v>
      </c>
      <c r="B1735" s="36" t="s">
        <v>2545</v>
      </c>
      <c r="C1735" s="18" t="s">
        <v>2273</v>
      </c>
      <c r="D1735" s="4"/>
      <c r="E1735" s="19">
        <v>0.0</v>
      </c>
      <c r="F1735" s="19">
        <v>0.0</v>
      </c>
      <c r="G1735" s="16" t="s">
        <v>2546</v>
      </c>
      <c r="H1735" s="21"/>
      <c r="I1735" s="22">
        <v>8.0</v>
      </c>
      <c r="J1735" s="45"/>
      <c r="K1735" s="60">
        <v>101800.0</v>
      </c>
      <c r="L1735" s="55">
        <v>160000.0</v>
      </c>
      <c r="M1735" s="25"/>
      <c r="N1735" s="26"/>
      <c r="O1735" s="27">
        <f t="shared" si="222"/>
        <v>0.5717092338</v>
      </c>
      <c r="P1735" s="28">
        <f t="shared" si="223"/>
        <v>0</v>
      </c>
    </row>
    <row r="1736" hidden="1">
      <c r="A1736" s="16" t="s">
        <v>2547</v>
      </c>
      <c r="B1736" s="17"/>
      <c r="C1736" s="18"/>
      <c r="D1736" s="4"/>
      <c r="E1736" s="19">
        <v>0.0</v>
      </c>
      <c r="F1736" s="19">
        <v>0.0</v>
      </c>
      <c r="G1736" s="16" t="s">
        <v>2533</v>
      </c>
      <c r="H1736" s="21"/>
      <c r="I1736" s="22">
        <v>0.0</v>
      </c>
      <c r="J1736" s="29"/>
      <c r="K1736" s="48">
        <v>84141.0</v>
      </c>
      <c r="L1736" s="55">
        <v>110000.0</v>
      </c>
      <c r="M1736" s="25"/>
      <c r="N1736" s="26"/>
      <c r="O1736" s="27">
        <f t="shared" si="222"/>
        <v>0.3073293638</v>
      </c>
      <c r="P1736" s="28">
        <f t="shared" si="223"/>
        <v>0</v>
      </c>
    </row>
    <row r="1737" hidden="1">
      <c r="A1737" s="16" t="s">
        <v>2548</v>
      </c>
      <c r="B1737" s="17"/>
      <c r="C1737" s="18"/>
      <c r="D1737" s="4"/>
      <c r="E1737" s="19">
        <v>0.0</v>
      </c>
      <c r="F1737" s="19">
        <v>0.0</v>
      </c>
      <c r="G1737" s="16" t="s">
        <v>580</v>
      </c>
      <c r="H1737" s="33"/>
      <c r="I1737" s="22"/>
      <c r="J1737" s="170"/>
      <c r="K1737" s="32">
        <v>3280.0</v>
      </c>
      <c r="L1737" s="24">
        <v>20000.0</v>
      </c>
      <c r="M1737" s="25"/>
      <c r="N1737" s="39"/>
      <c r="O1737" s="27"/>
      <c r="P1737" s="28"/>
    </row>
    <row r="1738" hidden="1">
      <c r="A1738" s="16" t="s">
        <v>2549</v>
      </c>
      <c r="B1738" s="17" t="s">
        <v>2550</v>
      </c>
      <c r="C1738" s="18"/>
      <c r="D1738" s="4"/>
      <c r="E1738" s="19">
        <v>0.0</v>
      </c>
      <c r="F1738" s="19">
        <v>0.0</v>
      </c>
      <c r="G1738" s="16" t="s">
        <v>286</v>
      </c>
      <c r="H1738" s="21"/>
      <c r="I1738" s="22">
        <v>38.0</v>
      </c>
      <c r="J1738" s="29"/>
      <c r="K1738" s="32">
        <v>2455.0</v>
      </c>
      <c r="L1738" s="24">
        <v>4000.0</v>
      </c>
      <c r="M1738" s="25" t="s">
        <v>76</v>
      </c>
      <c r="N1738" s="70"/>
      <c r="O1738" s="27">
        <f t="shared" ref="O1738:O1740" si="224">(L1738/K1738)-1</f>
        <v>0.6293279022</v>
      </c>
      <c r="P1738" s="28">
        <f t="shared" ref="P1738:P1740" si="225">K1738*F1738</f>
        <v>0</v>
      </c>
    </row>
    <row r="1739" hidden="1">
      <c r="A1739" s="16" t="s">
        <v>2551</v>
      </c>
      <c r="B1739" s="17" t="s">
        <v>2552</v>
      </c>
      <c r="C1739" s="18"/>
      <c r="D1739" s="4"/>
      <c r="E1739" s="19">
        <v>0.0</v>
      </c>
      <c r="F1739" s="19">
        <v>0.0</v>
      </c>
      <c r="G1739" s="16" t="s">
        <v>286</v>
      </c>
      <c r="H1739" s="21"/>
      <c r="I1739" s="22">
        <v>30.0</v>
      </c>
      <c r="J1739" s="29"/>
      <c r="K1739" s="32">
        <v>3169.0</v>
      </c>
      <c r="L1739" s="24">
        <v>5000.0</v>
      </c>
      <c r="M1739" s="25" t="s">
        <v>76</v>
      </c>
      <c r="N1739" s="26"/>
      <c r="O1739" s="27">
        <f t="shared" si="224"/>
        <v>0.5777847902</v>
      </c>
      <c r="P1739" s="28">
        <f t="shared" si="225"/>
        <v>0</v>
      </c>
    </row>
    <row r="1740" hidden="1">
      <c r="A1740" s="56" t="s">
        <v>2553</v>
      </c>
      <c r="B1740" s="17" t="s">
        <v>2554</v>
      </c>
      <c r="C1740" s="18"/>
      <c r="D1740" s="4"/>
      <c r="E1740" s="19">
        <v>0.0</v>
      </c>
      <c r="F1740" s="19">
        <v>0.0</v>
      </c>
      <c r="G1740" s="16" t="s">
        <v>286</v>
      </c>
      <c r="H1740" s="21"/>
      <c r="I1740" s="22">
        <v>16.0</v>
      </c>
      <c r="J1740" s="29"/>
      <c r="K1740" s="32">
        <v>2882.0</v>
      </c>
      <c r="L1740" s="24">
        <v>6000.0</v>
      </c>
      <c r="M1740" s="25" t="s">
        <v>76</v>
      </c>
      <c r="N1740" s="70">
        <v>4000.0</v>
      </c>
      <c r="O1740" s="27">
        <f t="shared" si="224"/>
        <v>1.081887578</v>
      </c>
      <c r="P1740" s="28">
        <f t="shared" si="225"/>
        <v>0</v>
      </c>
    </row>
    <row r="1741" hidden="1">
      <c r="A1741" s="16" t="s">
        <v>2555</v>
      </c>
      <c r="B1741" s="97"/>
      <c r="C1741" s="18"/>
      <c r="D1741" s="98"/>
      <c r="E1741" s="19"/>
      <c r="F1741" s="19">
        <v>0.0</v>
      </c>
      <c r="G1741" s="16" t="s">
        <v>93</v>
      </c>
      <c r="H1741" s="99"/>
      <c r="I1741" s="22"/>
      <c r="J1741" s="182"/>
      <c r="K1741" s="226">
        <v>85100.0</v>
      </c>
      <c r="L1741" s="165">
        <v>106400.0</v>
      </c>
      <c r="M1741" s="25"/>
      <c r="N1741" s="31"/>
      <c r="O1741" s="27"/>
      <c r="P1741" s="28"/>
    </row>
    <row r="1742" hidden="1">
      <c r="A1742" s="16" t="s">
        <v>2556</v>
      </c>
      <c r="B1742" s="97" t="s">
        <v>2557</v>
      </c>
      <c r="C1742" s="18"/>
      <c r="D1742" s="98"/>
      <c r="E1742" s="19">
        <v>10.0</v>
      </c>
      <c r="F1742" s="19"/>
      <c r="G1742" s="16" t="s">
        <v>485</v>
      </c>
      <c r="H1742" s="21">
        <v>0.0</v>
      </c>
      <c r="I1742" s="22"/>
      <c r="J1742" s="22"/>
      <c r="K1742" s="250">
        <f>67000*1.19</f>
        <v>79730</v>
      </c>
      <c r="L1742" s="101">
        <v>110000.0</v>
      </c>
      <c r="M1742" s="25"/>
      <c r="N1742" s="26"/>
      <c r="O1742" s="27">
        <f t="shared" ref="O1742:O1744" si="226">(L1742/K1742)-1</f>
        <v>0.3796563401</v>
      </c>
      <c r="P1742" s="28">
        <f t="shared" ref="P1742:P1744" si="227">K1742*F1742</f>
        <v>0</v>
      </c>
    </row>
    <row r="1743" hidden="1">
      <c r="A1743" s="16" t="s">
        <v>2558</v>
      </c>
      <c r="B1743" s="97" t="s">
        <v>2559</v>
      </c>
      <c r="C1743" s="18" t="s">
        <v>558</v>
      </c>
      <c r="D1743" s="98"/>
      <c r="E1743" s="19">
        <v>0.0</v>
      </c>
      <c r="F1743" s="19"/>
      <c r="G1743" s="16" t="s">
        <v>485</v>
      </c>
      <c r="H1743" s="21">
        <v>0.0</v>
      </c>
      <c r="I1743" s="22"/>
      <c r="J1743" s="22"/>
      <c r="K1743" s="174">
        <f t="shared" ref="K1743:K1744" si="228">49867*1.19</f>
        <v>59341.73</v>
      </c>
      <c r="L1743" s="175">
        <v>95000.0</v>
      </c>
      <c r="M1743" s="25"/>
      <c r="N1743" s="26"/>
      <c r="O1743" s="27">
        <f t="shared" si="226"/>
        <v>0.6008970416</v>
      </c>
      <c r="P1743" s="28">
        <f t="shared" si="227"/>
        <v>0</v>
      </c>
    </row>
    <row r="1744" hidden="1">
      <c r="A1744" s="16" t="s">
        <v>2558</v>
      </c>
      <c r="B1744" s="97" t="s">
        <v>2560</v>
      </c>
      <c r="C1744" s="18" t="s">
        <v>558</v>
      </c>
      <c r="D1744" s="98"/>
      <c r="E1744" s="19">
        <v>0.0</v>
      </c>
      <c r="F1744" s="19"/>
      <c r="G1744" s="16" t="s">
        <v>485</v>
      </c>
      <c r="H1744" s="21">
        <v>0.0</v>
      </c>
      <c r="I1744" s="22"/>
      <c r="J1744" s="173"/>
      <c r="K1744" s="174">
        <f t="shared" si="228"/>
        <v>59341.73</v>
      </c>
      <c r="L1744" s="175">
        <v>95000.0</v>
      </c>
      <c r="M1744" s="25"/>
      <c r="N1744" s="26"/>
      <c r="O1744" s="27">
        <f t="shared" si="226"/>
        <v>0.6008970416</v>
      </c>
      <c r="P1744" s="28">
        <f t="shared" si="227"/>
        <v>0</v>
      </c>
    </row>
    <row r="1745" hidden="1">
      <c r="A1745" s="16" t="s">
        <v>2561</v>
      </c>
      <c r="B1745" s="134" t="s">
        <v>1460</v>
      </c>
      <c r="C1745" s="18"/>
      <c r="D1745" s="98"/>
      <c r="E1745" s="19">
        <v>0.0</v>
      </c>
      <c r="F1745" s="19">
        <v>0.0</v>
      </c>
      <c r="G1745" s="16" t="s">
        <v>577</v>
      </c>
      <c r="H1745" s="21"/>
      <c r="I1745" s="22"/>
      <c r="J1745" s="29"/>
      <c r="K1745" s="48">
        <v>176400.0</v>
      </c>
      <c r="L1745" s="101">
        <v>190000.0</v>
      </c>
      <c r="M1745" s="25"/>
      <c r="N1745" s="26"/>
      <c r="O1745" s="27"/>
      <c r="P1745" s="28"/>
    </row>
    <row r="1746" hidden="1">
      <c r="A1746" s="16" t="s">
        <v>2562</v>
      </c>
      <c r="B1746" s="97" t="s">
        <v>2563</v>
      </c>
      <c r="C1746" s="18"/>
      <c r="D1746" s="98"/>
      <c r="E1746" s="19">
        <v>6.0</v>
      </c>
      <c r="F1746" s="19"/>
      <c r="G1746" s="16" t="s">
        <v>485</v>
      </c>
      <c r="H1746" s="21">
        <v>3.0</v>
      </c>
      <c r="I1746" s="22"/>
      <c r="J1746" s="29"/>
      <c r="K1746" s="48">
        <f>103600*1.19</f>
        <v>123284</v>
      </c>
      <c r="L1746" s="48">
        <v>148000.0</v>
      </c>
      <c r="M1746" s="25"/>
      <c r="N1746" s="26">
        <v>135000.0</v>
      </c>
      <c r="O1746" s="27">
        <f t="shared" ref="O1746:O1747" si="229">(L1746/K1746)-1</f>
        <v>0.2004801921</v>
      </c>
      <c r="P1746" s="28">
        <f t="shared" ref="P1746:P1747" si="230">K1746*F1746</f>
        <v>0</v>
      </c>
    </row>
    <row r="1747" hidden="1">
      <c r="A1747" s="16" t="s">
        <v>2564</v>
      </c>
      <c r="B1747" s="51"/>
      <c r="C1747" s="18"/>
      <c r="D1747" s="4"/>
      <c r="E1747" s="19"/>
      <c r="F1747" s="19">
        <v>0.0</v>
      </c>
      <c r="G1747" s="20" t="s">
        <v>93</v>
      </c>
      <c r="H1747" s="21"/>
      <c r="I1747" s="22"/>
      <c r="J1747" s="29"/>
      <c r="K1747" s="32">
        <v>135980.0</v>
      </c>
      <c r="L1747" s="24">
        <v>152000.0</v>
      </c>
      <c r="M1747" s="25"/>
      <c r="N1747" s="57"/>
      <c r="O1747" s="27">
        <f t="shared" si="229"/>
        <v>0.1178114429</v>
      </c>
      <c r="P1747" s="28">
        <f t="shared" si="230"/>
        <v>0</v>
      </c>
    </row>
    <row r="1748" hidden="1">
      <c r="A1748" s="16" t="s">
        <v>2565</v>
      </c>
      <c r="B1748" s="51"/>
      <c r="C1748" s="18"/>
      <c r="D1748" s="4"/>
      <c r="E1748" s="19">
        <v>0.0</v>
      </c>
      <c r="F1748" s="19">
        <v>0.0</v>
      </c>
      <c r="G1748" s="20" t="s">
        <v>2566</v>
      </c>
      <c r="H1748" s="21">
        <v>0.0</v>
      </c>
      <c r="I1748" s="22">
        <v>1.0</v>
      </c>
      <c r="J1748" s="29"/>
      <c r="K1748" s="32"/>
      <c r="L1748" s="24">
        <v>135000.0</v>
      </c>
      <c r="M1748" s="25"/>
      <c r="N1748" s="57"/>
      <c r="O1748" s="27"/>
      <c r="P1748" s="28"/>
    </row>
    <row r="1749" hidden="1">
      <c r="A1749" s="16" t="s">
        <v>2567</v>
      </c>
      <c r="B1749" s="97" t="s">
        <v>2568</v>
      </c>
      <c r="C1749" s="18" t="s">
        <v>558</v>
      </c>
      <c r="D1749" s="98"/>
      <c r="E1749" s="19">
        <v>0.0</v>
      </c>
      <c r="F1749" s="19"/>
      <c r="G1749" s="16" t="s">
        <v>485</v>
      </c>
      <c r="H1749" s="21">
        <v>0.0</v>
      </c>
      <c r="I1749" s="22"/>
      <c r="J1749" s="173"/>
      <c r="K1749" s="174">
        <f>36924*1.19</f>
        <v>43939.56</v>
      </c>
      <c r="L1749" s="175">
        <v>95000.0</v>
      </c>
      <c r="M1749" s="25"/>
      <c r="N1749" s="26"/>
      <c r="O1749" s="27">
        <f t="shared" ref="O1749:O1784" si="231">(L1749/K1749)-1</f>
        <v>1.162060794</v>
      </c>
      <c r="P1749" s="28">
        <f t="shared" ref="P1749:P1750" si="232">K1749*F1749</f>
        <v>0</v>
      </c>
    </row>
    <row r="1750" hidden="1">
      <c r="A1750" s="16" t="s">
        <v>2569</v>
      </c>
      <c r="B1750" s="134" t="s">
        <v>1460</v>
      </c>
      <c r="C1750" s="18"/>
      <c r="D1750" s="4"/>
      <c r="E1750" s="19"/>
      <c r="F1750" s="19">
        <v>0.0</v>
      </c>
      <c r="G1750" s="20" t="s">
        <v>93</v>
      </c>
      <c r="H1750" s="21"/>
      <c r="I1750" s="22"/>
      <c r="J1750" s="29"/>
      <c r="K1750" s="48">
        <v>165000.0</v>
      </c>
      <c r="L1750" s="55">
        <v>200000.0</v>
      </c>
      <c r="M1750" s="25"/>
      <c r="N1750" s="57"/>
      <c r="O1750" s="27">
        <f t="shared" si="231"/>
        <v>0.2121212121</v>
      </c>
      <c r="P1750" s="28">
        <f t="shared" si="232"/>
        <v>0</v>
      </c>
    </row>
    <row r="1751" hidden="1">
      <c r="A1751" s="16" t="s">
        <v>2570</v>
      </c>
      <c r="B1751" s="17"/>
      <c r="C1751" s="18"/>
      <c r="D1751" s="4"/>
      <c r="E1751" s="19">
        <v>0.0</v>
      </c>
      <c r="F1751" s="19">
        <v>0.0</v>
      </c>
      <c r="G1751" s="16" t="s">
        <v>16</v>
      </c>
      <c r="H1751" s="21"/>
      <c r="I1751" s="22">
        <v>3.0</v>
      </c>
      <c r="J1751" s="29"/>
      <c r="K1751" s="48">
        <v>42000.0</v>
      </c>
      <c r="L1751" s="55">
        <v>70000.0</v>
      </c>
      <c r="M1751" s="25"/>
      <c r="N1751" s="26"/>
      <c r="O1751" s="27">
        <f t="shared" si="231"/>
        <v>0.6666666667</v>
      </c>
      <c r="P1751" s="28"/>
    </row>
    <row r="1752" hidden="1">
      <c r="A1752" s="16" t="s">
        <v>2571</v>
      </c>
      <c r="B1752" s="17"/>
      <c r="C1752" s="18"/>
      <c r="D1752" s="4"/>
      <c r="E1752" s="19">
        <v>0.0</v>
      </c>
      <c r="F1752" s="19">
        <v>0.0</v>
      </c>
      <c r="G1752" s="16" t="s">
        <v>630</v>
      </c>
      <c r="H1752" s="21"/>
      <c r="I1752" s="22">
        <v>3.0</v>
      </c>
      <c r="J1752" s="29"/>
      <c r="K1752" s="43">
        <v>46560.0</v>
      </c>
      <c r="L1752" s="44">
        <v>90000.0</v>
      </c>
      <c r="M1752" s="25"/>
      <c r="N1752" s="26"/>
      <c r="O1752" s="27">
        <f t="shared" si="231"/>
        <v>0.9329896907</v>
      </c>
      <c r="P1752" s="28"/>
    </row>
    <row r="1753" hidden="1">
      <c r="A1753" s="16" t="s">
        <v>2572</v>
      </c>
      <c r="B1753" s="17"/>
      <c r="C1753" s="18"/>
      <c r="D1753" s="4"/>
      <c r="E1753" s="19">
        <v>0.0</v>
      </c>
      <c r="F1753" s="19">
        <v>0.0</v>
      </c>
      <c r="G1753" s="16" t="s">
        <v>16</v>
      </c>
      <c r="H1753" s="21"/>
      <c r="I1753" s="22">
        <v>0.0</v>
      </c>
      <c r="J1753" s="29"/>
      <c r="K1753" s="32">
        <v>319.0</v>
      </c>
      <c r="L1753" s="24">
        <v>1000.0</v>
      </c>
      <c r="M1753" s="25"/>
      <c r="N1753" s="26"/>
      <c r="O1753" s="27">
        <f t="shared" si="231"/>
        <v>2.134796238</v>
      </c>
      <c r="P1753" s="28">
        <f t="shared" ref="P1753:P1778" si="233">K1753*F1753</f>
        <v>0</v>
      </c>
    </row>
    <row r="1754" hidden="1">
      <c r="A1754" s="16" t="s">
        <v>2573</v>
      </c>
      <c r="B1754" s="17"/>
      <c r="C1754" s="18"/>
      <c r="D1754" s="4"/>
      <c r="E1754" s="19">
        <v>0.0</v>
      </c>
      <c r="F1754" s="19"/>
      <c r="G1754" s="16" t="s">
        <v>57</v>
      </c>
      <c r="H1754" s="21"/>
      <c r="I1754" s="22"/>
      <c r="J1754" s="29"/>
      <c r="K1754" s="43">
        <v>10000.0</v>
      </c>
      <c r="L1754" s="44">
        <v>20000.0</v>
      </c>
      <c r="M1754" s="25"/>
      <c r="N1754" s="26"/>
      <c r="O1754" s="27">
        <f t="shared" si="231"/>
        <v>1</v>
      </c>
      <c r="P1754" s="28">
        <f t="shared" si="233"/>
        <v>0</v>
      </c>
    </row>
    <row r="1755" hidden="1">
      <c r="A1755" s="56" t="s">
        <v>2574</v>
      </c>
      <c r="B1755" s="17" t="s">
        <v>2575</v>
      </c>
      <c r="C1755" s="18"/>
      <c r="D1755" s="4"/>
      <c r="E1755" s="19">
        <v>0.0</v>
      </c>
      <c r="F1755" s="19">
        <v>0.0</v>
      </c>
      <c r="G1755" s="16" t="s">
        <v>286</v>
      </c>
      <c r="H1755" s="21"/>
      <c r="I1755" s="22">
        <v>0.0</v>
      </c>
      <c r="J1755" s="29"/>
      <c r="K1755" s="24">
        <v>7318.0</v>
      </c>
      <c r="L1755" s="24">
        <v>11000.0</v>
      </c>
      <c r="M1755" s="25"/>
      <c r="N1755" s="50"/>
      <c r="O1755" s="27">
        <f t="shared" si="231"/>
        <v>0.5031429352</v>
      </c>
      <c r="P1755" s="28">
        <f t="shared" si="233"/>
        <v>0</v>
      </c>
    </row>
    <row r="1756" hidden="1">
      <c r="A1756" s="56" t="s">
        <v>2576</v>
      </c>
      <c r="B1756" s="17" t="s">
        <v>2577</v>
      </c>
      <c r="C1756" s="18"/>
      <c r="D1756" s="4"/>
      <c r="E1756" s="19">
        <v>0.0</v>
      </c>
      <c r="F1756" s="19">
        <v>0.0</v>
      </c>
      <c r="G1756" s="16" t="s">
        <v>286</v>
      </c>
      <c r="H1756" s="21"/>
      <c r="I1756" s="22">
        <v>0.0</v>
      </c>
      <c r="J1756" s="29"/>
      <c r="K1756" s="24">
        <v>7741.0</v>
      </c>
      <c r="L1756" s="24">
        <v>11000.0</v>
      </c>
      <c r="M1756" s="25"/>
      <c r="N1756" s="50"/>
      <c r="O1756" s="27">
        <f t="shared" si="231"/>
        <v>0.4210050381</v>
      </c>
      <c r="P1756" s="28">
        <f t="shared" si="233"/>
        <v>0</v>
      </c>
    </row>
    <row r="1757" hidden="1">
      <c r="A1757" s="56" t="s">
        <v>2578</v>
      </c>
      <c r="B1757" s="17"/>
      <c r="C1757" s="18"/>
      <c r="D1757" s="4"/>
      <c r="E1757" s="19">
        <v>0.0</v>
      </c>
      <c r="F1757" s="19">
        <v>0.0</v>
      </c>
      <c r="G1757" s="16" t="s">
        <v>286</v>
      </c>
      <c r="H1757" s="21"/>
      <c r="I1757" s="22" t="s">
        <v>99</v>
      </c>
      <c r="J1757" s="29"/>
      <c r="K1757" s="32">
        <v>7233.0</v>
      </c>
      <c r="L1757" s="24">
        <v>11000.0</v>
      </c>
      <c r="M1757" s="25"/>
      <c r="N1757" s="26"/>
      <c r="O1757" s="27">
        <f t="shared" si="231"/>
        <v>0.5208074105</v>
      </c>
      <c r="P1757" s="28">
        <f t="shared" si="233"/>
        <v>0</v>
      </c>
    </row>
    <row r="1758" hidden="1">
      <c r="A1758" s="56" t="s">
        <v>2579</v>
      </c>
      <c r="B1758" s="17" t="s">
        <v>2580</v>
      </c>
      <c r="C1758" s="18"/>
      <c r="D1758" s="4"/>
      <c r="E1758" s="19">
        <v>0.0</v>
      </c>
      <c r="F1758" s="19">
        <v>0.0</v>
      </c>
      <c r="G1758" s="16" t="s">
        <v>286</v>
      </c>
      <c r="H1758" s="21"/>
      <c r="I1758" s="22" t="s">
        <v>99</v>
      </c>
      <c r="J1758" s="29"/>
      <c r="K1758" s="32">
        <v>7625.0</v>
      </c>
      <c r="L1758" s="24">
        <v>11000.0</v>
      </c>
      <c r="M1758" s="25" t="s">
        <v>76</v>
      </c>
      <c r="N1758" s="70"/>
      <c r="O1758" s="27">
        <f t="shared" si="231"/>
        <v>0.4426229508</v>
      </c>
      <c r="P1758" s="28">
        <f t="shared" si="233"/>
        <v>0</v>
      </c>
    </row>
    <row r="1759" hidden="1">
      <c r="A1759" s="56" t="s">
        <v>2581</v>
      </c>
      <c r="B1759" s="17"/>
      <c r="C1759" s="18"/>
      <c r="D1759" s="4"/>
      <c r="E1759" s="19">
        <v>0.0</v>
      </c>
      <c r="F1759" s="19">
        <v>0.0</v>
      </c>
      <c r="G1759" s="16" t="s">
        <v>286</v>
      </c>
      <c r="H1759" s="21"/>
      <c r="I1759" s="22" t="s">
        <v>99</v>
      </c>
      <c r="J1759" s="29"/>
      <c r="K1759" s="32">
        <v>7233.0</v>
      </c>
      <c r="L1759" s="24">
        <v>11000.0</v>
      </c>
      <c r="M1759" s="25" t="s">
        <v>76</v>
      </c>
      <c r="N1759" s="70"/>
      <c r="O1759" s="27">
        <f t="shared" si="231"/>
        <v>0.5208074105</v>
      </c>
      <c r="P1759" s="28">
        <f t="shared" si="233"/>
        <v>0</v>
      </c>
    </row>
    <row r="1760" hidden="1">
      <c r="A1760" s="56" t="s">
        <v>2582</v>
      </c>
      <c r="B1760" s="17" t="s">
        <v>2583</v>
      </c>
      <c r="C1760" s="18"/>
      <c r="D1760" s="4"/>
      <c r="E1760" s="19">
        <v>0.0</v>
      </c>
      <c r="F1760" s="19">
        <v>0.0</v>
      </c>
      <c r="G1760" s="16" t="s">
        <v>286</v>
      </c>
      <c r="H1760" s="21"/>
      <c r="I1760" s="22" t="s">
        <v>99</v>
      </c>
      <c r="J1760" s="29"/>
      <c r="K1760" s="32">
        <v>7354.0</v>
      </c>
      <c r="L1760" s="24">
        <v>11000.0</v>
      </c>
      <c r="M1760" s="25" t="s">
        <v>76</v>
      </c>
      <c r="N1760" s="26"/>
      <c r="O1760" s="27">
        <f t="shared" si="231"/>
        <v>0.495784607</v>
      </c>
      <c r="P1760" s="28">
        <f t="shared" si="233"/>
        <v>0</v>
      </c>
    </row>
    <row r="1761" hidden="1">
      <c r="A1761" s="56" t="s">
        <v>2584</v>
      </c>
      <c r="B1761" s="17" t="s">
        <v>2585</v>
      </c>
      <c r="C1761" s="18"/>
      <c r="D1761" s="4"/>
      <c r="E1761" s="19">
        <v>0.0</v>
      </c>
      <c r="F1761" s="19">
        <v>0.0</v>
      </c>
      <c r="G1761" s="16" t="s">
        <v>286</v>
      </c>
      <c r="H1761" s="21"/>
      <c r="I1761" s="22" t="s">
        <v>99</v>
      </c>
      <c r="J1761" s="29"/>
      <c r="K1761" s="32">
        <v>9181.0</v>
      </c>
      <c r="L1761" s="24">
        <v>11000.0</v>
      </c>
      <c r="M1761" s="25" t="s">
        <v>76</v>
      </c>
      <c r="N1761" s="70"/>
      <c r="O1761" s="27">
        <f t="shared" si="231"/>
        <v>0.1981265657</v>
      </c>
      <c r="P1761" s="28">
        <f t="shared" si="233"/>
        <v>0</v>
      </c>
    </row>
    <row r="1762" hidden="1">
      <c r="A1762" s="56" t="s">
        <v>2586</v>
      </c>
      <c r="B1762" s="17"/>
      <c r="C1762" s="18"/>
      <c r="D1762" s="4"/>
      <c r="E1762" s="19">
        <v>0.0</v>
      </c>
      <c r="F1762" s="19">
        <v>0.0</v>
      </c>
      <c r="G1762" s="16" t="s">
        <v>286</v>
      </c>
      <c r="H1762" s="21"/>
      <c r="I1762" s="22" t="s">
        <v>99</v>
      </c>
      <c r="J1762" s="29"/>
      <c r="K1762" s="32">
        <v>7233.0</v>
      </c>
      <c r="L1762" s="24">
        <v>11000.0</v>
      </c>
      <c r="M1762" s="25" t="s">
        <v>76</v>
      </c>
      <c r="N1762" s="26"/>
      <c r="O1762" s="27">
        <f t="shared" si="231"/>
        <v>0.5208074105</v>
      </c>
      <c r="P1762" s="28">
        <f t="shared" si="233"/>
        <v>0</v>
      </c>
    </row>
    <row r="1763" hidden="1">
      <c r="A1763" s="16" t="s">
        <v>2587</v>
      </c>
      <c r="B1763" s="17" t="s">
        <v>2588</v>
      </c>
      <c r="C1763" s="18"/>
      <c r="D1763" s="4"/>
      <c r="E1763" s="19">
        <v>0.0</v>
      </c>
      <c r="F1763" s="19">
        <v>0.0</v>
      </c>
      <c r="G1763" s="16" t="s">
        <v>630</v>
      </c>
      <c r="H1763" s="21"/>
      <c r="I1763" s="22">
        <v>31.0</v>
      </c>
      <c r="J1763" s="22" t="s">
        <v>2589</v>
      </c>
      <c r="K1763" s="32">
        <v>14000.0</v>
      </c>
      <c r="L1763" s="24">
        <v>38000.0</v>
      </c>
      <c r="M1763" s="25" t="s">
        <v>76</v>
      </c>
      <c r="N1763" s="70">
        <v>28000.0</v>
      </c>
      <c r="O1763" s="27">
        <f t="shared" si="231"/>
        <v>1.714285714</v>
      </c>
      <c r="P1763" s="28">
        <f t="shared" si="233"/>
        <v>0</v>
      </c>
    </row>
    <row r="1764" hidden="1">
      <c r="A1764" s="16" t="s">
        <v>2590</v>
      </c>
      <c r="B1764" s="17" t="s">
        <v>2588</v>
      </c>
      <c r="C1764" s="18"/>
      <c r="D1764" s="4"/>
      <c r="E1764" s="19">
        <v>0.0</v>
      </c>
      <c r="F1764" s="19">
        <v>0.0</v>
      </c>
      <c r="G1764" s="16" t="s">
        <v>630</v>
      </c>
      <c r="H1764" s="21"/>
      <c r="I1764" s="22">
        <f>17+47</f>
        <v>64</v>
      </c>
      <c r="J1764" s="47">
        <v>46478.0</v>
      </c>
      <c r="K1764" s="32">
        <v>14000.0</v>
      </c>
      <c r="L1764" s="24">
        <v>38000.0</v>
      </c>
      <c r="M1764" s="25" t="s">
        <v>76</v>
      </c>
      <c r="N1764" s="70">
        <v>28000.0</v>
      </c>
      <c r="O1764" s="27">
        <f t="shared" si="231"/>
        <v>1.714285714</v>
      </c>
      <c r="P1764" s="28">
        <f t="shared" si="233"/>
        <v>0</v>
      </c>
    </row>
    <row r="1765" hidden="1">
      <c r="A1765" s="16" t="s">
        <v>2591</v>
      </c>
      <c r="B1765" s="17" t="s">
        <v>2588</v>
      </c>
      <c r="C1765" s="18"/>
      <c r="D1765" s="4"/>
      <c r="E1765" s="19">
        <v>0.0</v>
      </c>
      <c r="F1765" s="19">
        <v>0.0</v>
      </c>
      <c r="G1765" s="16" t="s">
        <v>630</v>
      </c>
      <c r="H1765" s="21"/>
      <c r="I1765" s="22">
        <v>51.0</v>
      </c>
      <c r="J1765" s="58">
        <v>46661.0</v>
      </c>
      <c r="K1765" s="32">
        <v>14000.0</v>
      </c>
      <c r="L1765" s="24">
        <v>38000.0</v>
      </c>
      <c r="M1765" s="25" t="s">
        <v>76</v>
      </c>
      <c r="N1765" s="70">
        <v>28000.0</v>
      </c>
      <c r="O1765" s="27">
        <f t="shared" si="231"/>
        <v>1.714285714</v>
      </c>
      <c r="P1765" s="28">
        <f t="shared" si="233"/>
        <v>0</v>
      </c>
    </row>
    <row r="1766" hidden="1">
      <c r="A1766" s="16" t="s">
        <v>2592</v>
      </c>
      <c r="B1766" s="17" t="s">
        <v>2588</v>
      </c>
      <c r="C1766" s="18" t="s">
        <v>55</v>
      </c>
      <c r="D1766" s="4"/>
      <c r="E1766" s="19">
        <v>0.0</v>
      </c>
      <c r="F1766" s="19">
        <v>0.0</v>
      </c>
      <c r="G1766" s="16" t="s">
        <v>630</v>
      </c>
      <c r="H1766" s="21"/>
      <c r="I1766" s="22">
        <v>9.0</v>
      </c>
      <c r="J1766" s="47">
        <v>46569.0</v>
      </c>
      <c r="K1766" s="32">
        <v>14000.0</v>
      </c>
      <c r="L1766" s="24">
        <v>38000.0</v>
      </c>
      <c r="M1766" s="25" t="s">
        <v>76</v>
      </c>
      <c r="N1766" s="70">
        <v>28000.0</v>
      </c>
      <c r="O1766" s="27">
        <f t="shared" si="231"/>
        <v>1.714285714</v>
      </c>
      <c r="P1766" s="28">
        <f t="shared" si="233"/>
        <v>0</v>
      </c>
    </row>
    <row r="1767" hidden="1">
      <c r="A1767" s="56" t="s">
        <v>2593</v>
      </c>
      <c r="B1767" s="17" t="s">
        <v>2594</v>
      </c>
      <c r="C1767" s="18"/>
      <c r="D1767" s="4"/>
      <c r="E1767" s="19">
        <v>0.0</v>
      </c>
      <c r="F1767" s="19">
        <v>0.0</v>
      </c>
      <c r="G1767" s="16" t="s">
        <v>286</v>
      </c>
      <c r="H1767" s="21"/>
      <c r="I1767" s="22">
        <v>0.0</v>
      </c>
      <c r="J1767" s="29"/>
      <c r="K1767" s="43">
        <v>5303.0</v>
      </c>
      <c r="L1767" s="44">
        <v>11000.0</v>
      </c>
      <c r="M1767" s="25"/>
      <c r="N1767" s="26"/>
      <c r="O1767" s="27">
        <f t="shared" si="231"/>
        <v>1.074297567</v>
      </c>
      <c r="P1767" s="28">
        <f t="shared" si="233"/>
        <v>0</v>
      </c>
    </row>
    <row r="1768" hidden="1">
      <c r="A1768" s="56" t="s">
        <v>2595</v>
      </c>
      <c r="B1768" s="17" t="s">
        <v>2596</v>
      </c>
      <c r="C1768" s="18"/>
      <c r="D1768" s="4"/>
      <c r="E1768" s="19">
        <v>0.0</v>
      </c>
      <c r="F1768" s="19">
        <v>0.0</v>
      </c>
      <c r="G1768" s="16" t="s">
        <v>286</v>
      </c>
      <c r="H1768" s="21"/>
      <c r="I1768" s="22">
        <v>0.0</v>
      </c>
      <c r="J1768" s="29"/>
      <c r="K1768" s="43">
        <v>5303.0</v>
      </c>
      <c r="L1768" s="44">
        <v>11000.0</v>
      </c>
      <c r="M1768" s="25"/>
      <c r="N1768" s="50"/>
      <c r="O1768" s="27">
        <f t="shared" si="231"/>
        <v>1.074297567</v>
      </c>
      <c r="P1768" s="28">
        <f t="shared" si="233"/>
        <v>0</v>
      </c>
    </row>
    <row r="1769" hidden="1">
      <c r="A1769" s="56" t="s">
        <v>2597</v>
      </c>
      <c r="B1769" s="17" t="s">
        <v>2598</v>
      </c>
      <c r="C1769" s="18"/>
      <c r="D1769" s="4"/>
      <c r="E1769" s="19">
        <v>0.0</v>
      </c>
      <c r="F1769" s="19">
        <v>0.0</v>
      </c>
      <c r="G1769" s="16" t="s">
        <v>286</v>
      </c>
      <c r="H1769" s="21"/>
      <c r="I1769" s="22">
        <v>0.0</v>
      </c>
      <c r="J1769" s="29"/>
      <c r="K1769" s="43">
        <v>5303.0</v>
      </c>
      <c r="L1769" s="44">
        <v>11000.0</v>
      </c>
      <c r="M1769" s="25"/>
      <c r="N1769" s="50"/>
      <c r="O1769" s="27">
        <f t="shared" si="231"/>
        <v>1.074297567</v>
      </c>
      <c r="P1769" s="28">
        <f t="shared" si="233"/>
        <v>0</v>
      </c>
    </row>
    <row r="1770" hidden="1">
      <c r="A1770" s="16" t="s">
        <v>2599</v>
      </c>
      <c r="B1770" s="17" t="s">
        <v>2600</v>
      </c>
      <c r="C1770" s="18"/>
      <c r="D1770" s="4"/>
      <c r="E1770" s="19">
        <v>0.0</v>
      </c>
      <c r="F1770" s="19">
        <v>0.0</v>
      </c>
      <c r="G1770" s="16" t="s">
        <v>630</v>
      </c>
      <c r="H1770" s="21"/>
      <c r="I1770" s="22">
        <v>72.0</v>
      </c>
      <c r="J1770" s="47">
        <v>46844.0</v>
      </c>
      <c r="K1770" s="32">
        <v>13000.0</v>
      </c>
      <c r="L1770" s="24">
        <v>30000.0</v>
      </c>
      <c r="M1770" s="25" t="s">
        <v>76</v>
      </c>
      <c r="N1770" s="70">
        <v>24000.0</v>
      </c>
      <c r="O1770" s="27">
        <f t="shared" si="231"/>
        <v>1.307692308</v>
      </c>
      <c r="P1770" s="28">
        <f t="shared" si="233"/>
        <v>0</v>
      </c>
    </row>
    <row r="1771" hidden="1">
      <c r="A1771" s="16" t="s">
        <v>2601</v>
      </c>
      <c r="B1771" s="17" t="s">
        <v>2600</v>
      </c>
      <c r="C1771" s="18"/>
      <c r="D1771" s="4"/>
      <c r="E1771" s="19">
        <v>0.0</v>
      </c>
      <c r="F1771" s="19">
        <v>0.0</v>
      </c>
      <c r="G1771" s="16" t="s">
        <v>630</v>
      </c>
      <c r="H1771" s="21"/>
      <c r="I1771" s="22">
        <f>16+29</f>
        <v>45</v>
      </c>
      <c r="J1771" s="58">
        <v>46661.0</v>
      </c>
      <c r="K1771" s="32">
        <v>13000.0</v>
      </c>
      <c r="L1771" s="24">
        <v>30000.0</v>
      </c>
      <c r="M1771" s="25" t="s">
        <v>76</v>
      </c>
      <c r="N1771" s="70">
        <v>24000.0</v>
      </c>
      <c r="O1771" s="27">
        <f t="shared" si="231"/>
        <v>1.307692308</v>
      </c>
      <c r="P1771" s="28">
        <f t="shared" si="233"/>
        <v>0</v>
      </c>
    </row>
    <row r="1772" hidden="1">
      <c r="A1772" s="16" t="s">
        <v>2602</v>
      </c>
      <c r="B1772" s="17" t="s">
        <v>2600</v>
      </c>
      <c r="C1772" s="18"/>
      <c r="D1772" s="4"/>
      <c r="E1772" s="19">
        <v>0.0</v>
      </c>
      <c r="F1772" s="19">
        <v>6.0</v>
      </c>
      <c r="G1772" s="16" t="s">
        <v>630</v>
      </c>
      <c r="H1772" s="21"/>
      <c r="I1772" s="22">
        <v>26.0</v>
      </c>
      <c r="J1772" s="47">
        <v>46235.0</v>
      </c>
      <c r="K1772" s="32">
        <v>13000.0</v>
      </c>
      <c r="L1772" s="24">
        <v>30000.0</v>
      </c>
      <c r="M1772" s="25" t="s">
        <v>76</v>
      </c>
      <c r="N1772" s="70">
        <v>24000.0</v>
      </c>
      <c r="O1772" s="27">
        <f t="shared" si="231"/>
        <v>1.307692308</v>
      </c>
      <c r="P1772" s="28">
        <f t="shared" si="233"/>
        <v>78000</v>
      </c>
    </row>
    <row r="1773" hidden="1">
      <c r="A1773" s="16" t="s">
        <v>2603</v>
      </c>
      <c r="B1773" s="17" t="s">
        <v>2600</v>
      </c>
      <c r="C1773" s="18"/>
      <c r="D1773" s="4"/>
      <c r="E1773" s="19">
        <v>0.0</v>
      </c>
      <c r="F1773" s="19">
        <v>0.0</v>
      </c>
      <c r="G1773" s="16" t="s">
        <v>630</v>
      </c>
      <c r="H1773" s="21"/>
      <c r="I1773" s="22">
        <v>5.0</v>
      </c>
      <c r="J1773" s="47">
        <v>46235.0</v>
      </c>
      <c r="K1773" s="32">
        <v>13000.0</v>
      </c>
      <c r="L1773" s="24">
        <v>30000.0</v>
      </c>
      <c r="M1773" s="25" t="s">
        <v>76</v>
      </c>
      <c r="N1773" s="70">
        <v>24000.0</v>
      </c>
      <c r="O1773" s="27">
        <f t="shared" si="231"/>
        <v>1.307692308</v>
      </c>
      <c r="P1773" s="28">
        <f t="shared" si="233"/>
        <v>0</v>
      </c>
    </row>
    <row r="1774" hidden="1">
      <c r="A1774" s="16" t="s">
        <v>2604</v>
      </c>
      <c r="B1774" s="17" t="s">
        <v>2605</v>
      </c>
      <c r="C1774" s="18"/>
      <c r="D1774" s="4"/>
      <c r="E1774" s="19">
        <v>0.0</v>
      </c>
      <c r="F1774" s="19">
        <v>0.0</v>
      </c>
      <c r="G1774" s="20" t="s">
        <v>2606</v>
      </c>
      <c r="H1774" s="21"/>
      <c r="I1774" s="22">
        <v>26.0</v>
      </c>
      <c r="J1774" s="58">
        <v>47027.0</v>
      </c>
      <c r="K1774" s="32">
        <v>55000.0</v>
      </c>
      <c r="L1774" s="24">
        <v>98000.0</v>
      </c>
      <c r="M1774" s="25" t="s">
        <v>76</v>
      </c>
      <c r="N1774" s="31">
        <v>80000.0</v>
      </c>
      <c r="O1774" s="27">
        <f t="shared" si="231"/>
        <v>0.7818181818</v>
      </c>
      <c r="P1774" s="28">
        <f t="shared" si="233"/>
        <v>0</v>
      </c>
    </row>
    <row r="1775" hidden="1">
      <c r="A1775" s="16" t="s">
        <v>2607</v>
      </c>
      <c r="B1775" s="17" t="s">
        <v>2608</v>
      </c>
      <c r="C1775" s="18"/>
      <c r="D1775" s="4"/>
      <c r="E1775" s="19">
        <v>0.0</v>
      </c>
      <c r="F1775" s="19">
        <v>0.0</v>
      </c>
      <c r="G1775" s="20" t="s">
        <v>2606</v>
      </c>
      <c r="H1775" s="21"/>
      <c r="I1775" s="22">
        <v>31.0</v>
      </c>
      <c r="J1775" s="58">
        <v>47027.0</v>
      </c>
      <c r="K1775" s="32">
        <v>6600.0</v>
      </c>
      <c r="L1775" s="24">
        <v>98000.0</v>
      </c>
      <c r="M1775" s="25" t="s">
        <v>76</v>
      </c>
      <c r="N1775" s="31">
        <v>80000.0</v>
      </c>
      <c r="O1775" s="27">
        <f t="shared" si="231"/>
        <v>13.84848485</v>
      </c>
      <c r="P1775" s="28">
        <f t="shared" si="233"/>
        <v>0</v>
      </c>
    </row>
    <row r="1776" hidden="1">
      <c r="A1776" s="16" t="s">
        <v>2609</v>
      </c>
      <c r="B1776" s="17"/>
      <c r="C1776" s="18"/>
      <c r="D1776" s="4"/>
      <c r="E1776" s="19">
        <v>0.0</v>
      </c>
      <c r="F1776" s="19">
        <v>0.0</v>
      </c>
      <c r="G1776" s="20" t="s">
        <v>2606</v>
      </c>
      <c r="H1776" s="21"/>
      <c r="I1776" s="22">
        <v>74.0</v>
      </c>
      <c r="J1776" s="58">
        <v>46661.0</v>
      </c>
      <c r="K1776" s="32">
        <v>55000.0</v>
      </c>
      <c r="L1776" s="24">
        <v>98000.0</v>
      </c>
      <c r="M1776" s="25" t="s">
        <v>76</v>
      </c>
      <c r="N1776" s="26">
        <v>80000.0</v>
      </c>
      <c r="O1776" s="27">
        <f t="shared" si="231"/>
        <v>0.7818181818</v>
      </c>
      <c r="P1776" s="28">
        <f t="shared" si="233"/>
        <v>0</v>
      </c>
    </row>
    <row r="1777" hidden="1">
      <c r="A1777" s="16" t="s">
        <v>2610</v>
      </c>
      <c r="B1777" s="17" t="s">
        <v>2611</v>
      </c>
      <c r="C1777" s="18"/>
      <c r="D1777" s="4"/>
      <c r="E1777" s="19">
        <v>0.0</v>
      </c>
      <c r="F1777" s="19">
        <v>0.0</v>
      </c>
      <c r="G1777" s="20" t="s">
        <v>2606</v>
      </c>
      <c r="H1777" s="21"/>
      <c r="I1777" s="22">
        <v>8.0</v>
      </c>
      <c r="J1777" s="58">
        <v>46296.0</v>
      </c>
      <c r="K1777" s="32">
        <v>55000.0</v>
      </c>
      <c r="L1777" s="24">
        <v>98000.0</v>
      </c>
      <c r="M1777" s="25" t="s">
        <v>76</v>
      </c>
      <c r="N1777" s="26">
        <v>80000.0</v>
      </c>
      <c r="O1777" s="27">
        <f t="shared" si="231"/>
        <v>0.7818181818</v>
      </c>
      <c r="P1777" s="28">
        <f t="shared" si="233"/>
        <v>0</v>
      </c>
    </row>
    <row r="1778" hidden="1">
      <c r="A1778" s="42" t="s">
        <v>2612</v>
      </c>
      <c r="B1778" s="114" t="s">
        <v>2613</v>
      </c>
      <c r="C1778" s="18"/>
      <c r="D1778" s="4"/>
      <c r="E1778" s="19">
        <v>0.0</v>
      </c>
      <c r="F1778" s="19">
        <v>0.0</v>
      </c>
      <c r="G1778" s="16" t="s">
        <v>1400</v>
      </c>
      <c r="H1778" s="21"/>
      <c r="I1778" s="22">
        <v>1.0</v>
      </c>
      <c r="J1778" s="47">
        <v>46174.0</v>
      </c>
      <c r="K1778" s="48">
        <f t="shared" ref="K1778:K1779" si="234">283255/3</f>
        <v>94418.33333</v>
      </c>
      <c r="L1778" s="55">
        <v>136000.0</v>
      </c>
      <c r="M1778" s="25" t="s">
        <v>2614</v>
      </c>
      <c r="N1778" s="70">
        <v>108000.0</v>
      </c>
      <c r="O1778" s="27">
        <f t="shared" si="231"/>
        <v>0.4403982277</v>
      </c>
      <c r="P1778" s="28">
        <f t="shared" si="233"/>
        <v>0</v>
      </c>
    </row>
    <row r="1779" hidden="1">
      <c r="A1779" s="42" t="s">
        <v>2615</v>
      </c>
      <c r="B1779" s="114" t="s">
        <v>2613</v>
      </c>
      <c r="C1779" s="18"/>
      <c r="D1779" s="4"/>
      <c r="E1779" s="19">
        <v>0.0</v>
      </c>
      <c r="F1779" s="19">
        <v>3.0</v>
      </c>
      <c r="G1779" s="16" t="s">
        <v>1400</v>
      </c>
      <c r="H1779" s="21"/>
      <c r="I1779" s="22">
        <v>0.0</v>
      </c>
      <c r="J1779" s="47">
        <v>46174.0</v>
      </c>
      <c r="K1779" s="48">
        <f t="shared" si="234"/>
        <v>94418.33333</v>
      </c>
      <c r="L1779" s="55">
        <v>136000.0</v>
      </c>
      <c r="M1779" s="25" t="s">
        <v>2614</v>
      </c>
      <c r="N1779" s="26">
        <v>108000.0</v>
      </c>
      <c r="O1779" s="27">
        <f t="shared" si="231"/>
        <v>0.4403982277</v>
      </c>
      <c r="P1779" s="28">
        <f>K1779*F1778</f>
        <v>0</v>
      </c>
    </row>
    <row r="1780" hidden="1">
      <c r="A1780" s="52" t="s">
        <v>2616</v>
      </c>
      <c r="B1780" s="17"/>
      <c r="C1780" s="18"/>
      <c r="D1780" s="4"/>
      <c r="E1780" s="19">
        <v>0.0</v>
      </c>
      <c r="F1780" s="19">
        <v>0.0</v>
      </c>
      <c r="G1780" s="16" t="s">
        <v>2617</v>
      </c>
      <c r="H1780" s="21"/>
      <c r="I1780" s="22"/>
      <c r="J1780" s="29"/>
      <c r="K1780" s="32">
        <f>3500*0.95*1.19</f>
        <v>3956.75</v>
      </c>
      <c r="L1780" s="24">
        <v>8000.0</v>
      </c>
      <c r="M1780" s="25"/>
      <c r="N1780" s="26"/>
      <c r="O1780" s="27">
        <f t="shared" si="231"/>
        <v>1.021861376</v>
      </c>
      <c r="P1780" s="28">
        <f t="shared" ref="P1780:P1784" si="235">K1780*F1780</f>
        <v>0</v>
      </c>
    </row>
    <row r="1781" hidden="1">
      <c r="A1781" s="52" t="s">
        <v>2618</v>
      </c>
      <c r="B1781" s="17"/>
      <c r="C1781" s="18"/>
      <c r="D1781" s="4"/>
      <c r="E1781" s="19">
        <v>0.0</v>
      </c>
      <c r="F1781" s="19">
        <v>0.0</v>
      </c>
      <c r="G1781" s="16" t="s">
        <v>2617</v>
      </c>
      <c r="H1781" s="21"/>
      <c r="I1781" s="22">
        <v>50.0</v>
      </c>
      <c r="J1781" s="29"/>
      <c r="K1781" s="32">
        <f t="shared" ref="K1781:K1782" si="236">7700*1.19/3</f>
        <v>3054.333333</v>
      </c>
      <c r="L1781" s="24">
        <v>8000.0</v>
      </c>
      <c r="M1781" s="25"/>
      <c r="N1781" s="26"/>
      <c r="O1781" s="27">
        <f t="shared" si="231"/>
        <v>1.61922951</v>
      </c>
      <c r="P1781" s="28">
        <f t="shared" si="235"/>
        <v>0</v>
      </c>
    </row>
    <row r="1782" hidden="1">
      <c r="A1782" s="52" t="s">
        <v>2619</v>
      </c>
      <c r="B1782" s="17"/>
      <c r="C1782" s="18"/>
      <c r="D1782" s="4"/>
      <c r="E1782" s="19">
        <v>0.0</v>
      </c>
      <c r="F1782" s="19">
        <v>0.0</v>
      </c>
      <c r="G1782" s="16" t="s">
        <v>2617</v>
      </c>
      <c r="H1782" s="21"/>
      <c r="I1782" s="22">
        <v>68.0</v>
      </c>
      <c r="J1782" s="29"/>
      <c r="K1782" s="32">
        <f t="shared" si="236"/>
        <v>3054.333333</v>
      </c>
      <c r="L1782" s="24">
        <v>8000.0</v>
      </c>
      <c r="M1782" s="25"/>
      <c r="N1782" s="26"/>
      <c r="O1782" s="27">
        <f t="shared" si="231"/>
        <v>1.61922951</v>
      </c>
      <c r="P1782" s="28">
        <f t="shared" si="235"/>
        <v>0</v>
      </c>
    </row>
    <row r="1783" hidden="1">
      <c r="A1783" s="16" t="s">
        <v>2620</v>
      </c>
      <c r="B1783" s="17"/>
      <c r="C1783" s="18"/>
      <c r="D1783" s="4"/>
      <c r="E1783" s="19">
        <v>0.0</v>
      </c>
      <c r="F1783" s="19">
        <v>0.0</v>
      </c>
      <c r="G1783" s="16" t="s">
        <v>2621</v>
      </c>
      <c r="H1783" s="21"/>
      <c r="I1783" s="22">
        <v>0.0</v>
      </c>
      <c r="J1783" s="29"/>
      <c r="K1783" s="43">
        <v>2800.0</v>
      </c>
      <c r="L1783" s="44">
        <v>14000.0</v>
      </c>
      <c r="M1783" s="25"/>
      <c r="N1783" s="26"/>
      <c r="O1783" s="27">
        <f t="shared" si="231"/>
        <v>4</v>
      </c>
      <c r="P1783" s="28">
        <f t="shared" si="235"/>
        <v>0</v>
      </c>
    </row>
    <row r="1784" hidden="1">
      <c r="A1784" s="52" t="s">
        <v>2622</v>
      </c>
      <c r="B1784" s="17"/>
      <c r="C1784" s="18"/>
      <c r="D1784" s="4"/>
      <c r="E1784" s="19">
        <v>0.0</v>
      </c>
      <c r="F1784" s="19">
        <v>0.0</v>
      </c>
      <c r="G1784" s="16" t="s">
        <v>2617</v>
      </c>
      <c r="H1784" s="21"/>
      <c r="I1784" s="22">
        <f>17*5</f>
        <v>85</v>
      </c>
      <c r="J1784" s="29"/>
      <c r="K1784" s="32">
        <f>7700*1.19/3</f>
        <v>3054.333333</v>
      </c>
      <c r="L1784" s="24">
        <v>8000.0</v>
      </c>
      <c r="M1784" s="25"/>
      <c r="N1784" s="26"/>
      <c r="O1784" s="27">
        <f t="shared" si="231"/>
        <v>1.61922951</v>
      </c>
      <c r="P1784" s="28">
        <f t="shared" si="235"/>
        <v>0</v>
      </c>
    </row>
    <row r="1785" hidden="1">
      <c r="A1785" s="16" t="s">
        <v>2623</v>
      </c>
      <c r="B1785" s="17"/>
      <c r="C1785" s="18"/>
      <c r="D1785" s="4"/>
      <c r="E1785" s="19">
        <v>0.0</v>
      </c>
      <c r="F1785" s="19">
        <v>0.0</v>
      </c>
      <c r="G1785" s="16" t="s">
        <v>2624</v>
      </c>
      <c r="H1785" s="21"/>
      <c r="I1785" s="22"/>
      <c r="J1785" s="29"/>
      <c r="K1785" s="43"/>
      <c r="L1785" s="44">
        <v>11000.0</v>
      </c>
      <c r="M1785" s="25"/>
      <c r="N1785" s="26"/>
      <c r="O1785" s="27"/>
      <c r="P1785" s="28"/>
    </row>
    <row r="1786" hidden="1">
      <c r="A1786" s="16" t="s">
        <v>2625</v>
      </c>
      <c r="B1786" s="131" t="s">
        <v>2626</v>
      </c>
      <c r="C1786" s="18"/>
      <c r="D1786" s="4"/>
      <c r="E1786" s="19">
        <v>0.0</v>
      </c>
      <c r="F1786" s="19">
        <v>8.0</v>
      </c>
      <c r="G1786" s="16" t="s">
        <v>2627</v>
      </c>
      <c r="H1786" s="21"/>
      <c r="I1786" s="22"/>
      <c r="J1786" s="29"/>
      <c r="K1786" s="32">
        <v>11000.0</v>
      </c>
      <c r="L1786" s="274">
        <v>18000.0</v>
      </c>
      <c r="M1786" s="25"/>
      <c r="N1786" s="26"/>
      <c r="O1786" s="27">
        <f t="shared" ref="O1786:O1789" si="237">(L1786/K1786)-1</f>
        <v>0.6363636364</v>
      </c>
      <c r="P1786" s="28">
        <f t="shared" ref="P1786:P1789" si="238">K1786*F1786</f>
        <v>88000</v>
      </c>
    </row>
    <row r="1787" hidden="1">
      <c r="A1787" s="16" t="s">
        <v>2628</v>
      </c>
      <c r="B1787" s="193" t="s">
        <v>2629</v>
      </c>
      <c r="C1787" s="18"/>
      <c r="D1787" s="4"/>
      <c r="E1787" s="19">
        <v>0.0</v>
      </c>
      <c r="F1787" s="19">
        <v>10.0</v>
      </c>
      <c r="G1787" s="16" t="s">
        <v>2627</v>
      </c>
      <c r="H1787" s="21"/>
      <c r="I1787" s="22"/>
      <c r="J1787" s="29"/>
      <c r="K1787" s="43">
        <v>10000.0</v>
      </c>
      <c r="L1787" s="275">
        <v>18000.0</v>
      </c>
      <c r="M1787" s="25"/>
      <c r="N1787" s="26"/>
      <c r="O1787" s="27">
        <f t="shared" si="237"/>
        <v>0.8</v>
      </c>
      <c r="P1787" s="28">
        <f t="shared" si="238"/>
        <v>100000</v>
      </c>
    </row>
    <row r="1788" hidden="1">
      <c r="A1788" s="16" t="s">
        <v>2630</v>
      </c>
      <c r="B1788" s="193" t="s">
        <v>2631</v>
      </c>
      <c r="C1788" s="18"/>
      <c r="D1788" s="4"/>
      <c r="E1788" s="19">
        <v>0.0</v>
      </c>
      <c r="F1788" s="19"/>
      <c r="G1788" s="16" t="s">
        <v>2632</v>
      </c>
      <c r="H1788" s="21"/>
      <c r="I1788" s="22"/>
      <c r="J1788" s="29"/>
      <c r="K1788" s="43">
        <v>6600.0</v>
      </c>
      <c r="L1788" s="44">
        <v>10000.0</v>
      </c>
      <c r="M1788" s="25"/>
      <c r="N1788" s="26"/>
      <c r="O1788" s="27">
        <f t="shared" si="237"/>
        <v>0.5151515152</v>
      </c>
      <c r="P1788" s="28">
        <f t="shared" si="238"/>
        <v>0</v>
      </c>
    </row>
    <row r="1789" hidden="1">
      <c r="A1789" s="16" t="s">
        <v>2633</v>
      </c>
      <c r="B1789" s="49"/>
      <c r="C1789" s="18"/>
      <c r="D1789" s="4"/>
      <c r="E1789" s="19">
        <v>0.0</v>
      </c>
      <c r="F1789" s="19"/>
      <c r="G1789" s="16" t="s">
        <v>625</v>
      </c>
      <c r="H1789" s="21"/>
      <c r="I1789" s="22"/>
      <c r="J1789" s="29"/>
      <c r="K1789" s="43">
        <v>6500.0</v>
      </c>
      <c r="L1789" s="44">
        <v>10000.0</v>
      </c>
      <c r="M1789" s="25"/>
      <c r="N1789" s="26"/>
      <c r="O1789" s="27">
        <f t="shared" si="237"/>
        <v>0.5384615385</v>
      </c>
      <c r="P1789" s="28">
        <f t="shared" si="238"/>
        <v>0</v>
      </c>
    </row>
    <row r="1790" hidden="1">
      <c r="A1790" s="16" t="s">
        <v>2634</v>
      </c>
      <c r="B1790" s="36"/>
      <c r="C1790" s="18"/>
      <c r="D1790" s="4"/>
      <c r="E1790" s="19">
        <v>0.0</v>
      </c>
      <c r="F1790" s="19"/>
      <c r="G1790" s="16" t="s">
        <v>2635</v>
      </c>
      <c r="H1790" s="21"/>
      <c r="I1790" s="22"/>
      <c r="J1790" s="29"/>
      <c r="K1790" s="43"/>
      <c r="L1790" s="43"/>
      <c r="M1790" s="25"/>
      <c r="N1790" s="50"/>
      <c r="O1790" s="27"/>
      <c r="P1790" s="28"/>
    </row>
    <row r="1791" hidden="1">
      <c r="A1791" s="16" t="s">
        <v>2636</v>
      </c>
      <c r="B1791" s="36"/>
      <c r="C1791" s="18"/>
      <c r="D1791" s="4"/>
      <c r="E1791" s="19">
        <v>0.0</v>
      </c>
      <c r="F1791" s="19"/>
      <c r="G1791" s="16" t="s">
        <v>1333</v>
      </c>
      <c r="H1791" s="21"/>
      <c r="I1791" s="22"/>
      <c r="J1791" s="29"/>
      <c r="K1791" s="43"/>
      <c r="L1791" s="43"/>
      <c r="M1791" s="25"/>
      <c r="N1791" s="50"/>
      <c r="O1791" s="27"/>
      <c r="P1791" s="28"/>
    </row>
    <row r="1792" hidden="1">
      <c r="A1792" s="16" t="s">
        <v>2637</v>
      </c>
      <c r="B1792" s="36"/>
      <c r="C1792" s="18"/>
      <c r="D1792" s="4"/>
      <c r="E1792" s="19">
        <v>0.0</v>
      </c>
      <c r="F1792" s="19"/>
      <c r="G1792" s="16" t="s">
        <v>1333</v>
      </c>
      <c r="H1792" s="21"/>
      <c r="I1792" s="22"/>
      <c r="J1792" s="29"/>
      <c r="K1792" s="32">
        <f>140+19</f>
        <v>159</v>
      </c>
      <c r="L1792" s="43">
        <v>500.0</v>
      </c>
      <c r="M1792" s="25"/>
      <c r="N1792" s="50"/>
      <c r="O1792" s="27">
        <f t="shared" ref="O1792:O1796" si="239">(L1792/K1792)-1</f>
        <v>2.144654088</v>
      </c>
      <c r="P1792" s="28"/>
    </row>
    <row r="1793" hidden="1">
      <c r="A1793" s="52" t="s">
        <v>2638</v>
      </c>
      <c r="B1793" s="17" t="s">
        <v>2639</v>
      </c>
      <c r="C1793" s="18"/>
      <c r="D1793" s="4"/>
      <c r="E1793" s="19">
        <v>0.0</v>
      </c>
      <c r="F1793" s="19">
        <v>0.0</v>
      </c>
      <c r="G1793" s="16" t="s">
        <v>2640</v>
      </c>
      <c r="H1793" s="21"/>
      <c r="I1793" s="22"/>
      <c r="J1793" s="29"/>
      <c r="K1793" s="32">
        <f>2845*1.19</f>
        <v>3385.55</v>
      </c>
      <c r="L1793" s="24">
        <v>5000.0</v>
      </c>
      <c r="M1793" s="25">
        <v>0.19</v>
      </c>
      <c r="N1793" s="26"/>
      <c r="O1793" s="27">
        <f t="shared" si="239"/>
        <v>0.4768649112</v>
      </c>
      <c r="P1793" s="28">
        <f t="shared" ref="P1793:P1796" si="240">K1793*F1793</f>
        <v>0</v>
      </c>
    </row>
    <row r="1794" hidden="1">
      <c r="A1794" s="52" t="s">
        <v>2641</v>
      </c>
      <c r="B1794" s="17" t="s">
        <v>2642</v>
      </c>
      <c r="C1794" s="18"/>
      <c r="D1794" s="4"/>
      <c r="E1794" s="19">
        <v>0.0</v>
      </c>
      <c r="F1794" s="19">
        <v>0.0</v>
      </c>
      <c r="G1794" s="16" t="s">
        <v>2640</v>
      </c>
      <c r="H1794" s="21"/>
      <c r="I1794" s="22">
        <v>7.0</v>
      </c>
      <c r="J1794" s="29"/>
      <c r="K1794" s="32">
        <f t="shared" ref="K1794:K1795" si="241">3170*1.19</f>
        <v>3772.3</v>
      </c>
      <c r="L1794" s="24">
        <v>7000.0</v>
      </c>
      <c r="M1794" s="25">
        <v>0.19</v>
      </c>
      <c r="N1794" s="26"/>
      <c r="O1794" s="27">
        <f t="shared" si="239"/>
        <v>0.8556318426</v>
      </c>
      <c r="P1794" s="28">
        <f t="shared" si="240"/>
        <v>0</v>
      </c>
    </row>
    <row r="1795" hidden="1">
      <c r="A1795" s="52" t="s">
        <v>2643</v>
      </c>
      <c r="B1795" s="17"/>
      <c r="C1795" s="18"/>
      <c r="D1795" s="4"/>
      <c r="E1795" s="19">
        <v>0.0</v>
      </c>
      <c r="F1795" s="19">
        <v>0.0</v>
      </c>
      <c r="G1795" s="16" t="s">
        <v>2640</v>
      </c>
      <c r="H1795" s="21"/>
      <c r="I1795" s="22">
        <v>11.0</v>
      </c>
      <c r="J1795" s="29"/>
      <c r="K1795" s="32">
        <f t="shared" si="241"/>
        <v>3772.3</v>
      </c>
      <c r="L1795" s="24">
        <v>7000.0</v>
      </c>
      <c r="M1795" s="25">
        <v>0.19</v>
      </c>
      <c r="N1795" s="26"/>
      <c r="O1795" s="27">
        <f t="shared" si="239"/>
        <v>0.8556318426</v>
      </c>
      <c r="P1795" s="28">
        <f t="shared" si="240"/>
        <v>0</v>
      </c>
    </row>
    <row r="1796" hidden="1">
      <c r="A1796" s="16" t="s">
        <v>2644</v>
      </c>
      <c r="B1796" s="17" t="s">
        <v>2645</v>
      </c>
      <c r="C1796" s="18"/>
      <c r="D1796" s="4"/>
      <c r="E1796" s="19">
        <v>0.0</v>
      </c>
      <c r="F1796" s="19">
        <v>0.0</v>
      </c>
      <c r="G1796" s="16" t="s">
        <v>286</v>
      </c>
      <c r="H1796" s="21"/>
      <c r="I1796" s="22">
        <v>2.0</v>
      </c>
      <c r="J1796" s="45"/>
      <c r="K1796" s="46">
        <f>1923*1.19</f>
        <v>2288.37</v>
      </c>
      <c r="L1796" s="24">
        <v>4000.0</v>
      </c>
      <c r="M1796" s="25">
        <v>0.19</v>
      </c>
      <c r="N1796" s="70"/>
      <c r="O1796" s="27">
        <f t="shared" si="239"/>
        <v>0.7479690784</v>
      </c>
      <c r="P1796" s="28">
        <f t="shared" si="240"/>
        <v>0</v>
      </c>
    </row>
    <row r="1797" hidden="1">
      <c r="A1797" s="16" t="s">
        <v>2646</v>
      </c>
      <c r="B1797" s="36"/>
      <c r="C1797" s="18"/>
      <c r="D1797" s="4"/>
      <c r="E1797" s="19">
        <v>0.0</v>
      </c>
      <c r="F1797" s="19"/>
      <c r="G1797" s="16" t="s">
        <v>1333</v>
      </c>
      <c r="H1797" s="21"/>
      <c r="I1797" s="22"/>
      <c r="J1797" s="29"/>
      <c r="K1797" s="32">
        <f>406+208</f>
        <v>614</v>
      </c>
      <c r="L1797" s="32">
        <v>5000.0</v>
      </c>
      <c r="M1797" s="25"/>
      <c r="N1797" s="50"/>
      <c r="O1797" s="27"/>
      <c r="P1797" s="28"/>
    </row>
    <row r="1798" hidden="1">
      <c r="A1798" s="16" t="s">
        <v>2647</v>
      </c>
      <c r="B1798" s="36"/>
      <c r="C1798" s="18"/>
      <c r="D1798" s="4"/>
      <c r="E1798" s="19">
        <v>0.0</v>
      </c>
      <c r="F1798" s="19"/>
      <c r="G1798" s="16" t="s">
        <v>1333</v>
      </c>
      <c r="H1798" s="21"/>
      <c r="I1798" s="22"/>
      <c r="J1798" s="29"/>
      <c r="K1798" s="32">
        <f>208+74</f>
        <v>282</v>
      </c>
      <c r="L1798" s="43"/>
      <c r="M1798" s="25"/>
      <c r="N1798" s="50"/>
      <c r="O1798" s="27"/>
      <c r="P1798" s="28"/>
    </row>
    <row r="1799" hidden="1">
      <c r="A1799" s="122" t="s">
        <v>2648</v>
      </c>
      <c r="B1799" s="17">
        <v>249008.0</v>
      </c>
      <c r="C1799" s="18"/>
      <c r="D1799" s="4"/>
      <c r="E1799" s="19">
        <v>0.0</v>
      </c>
      <c r="F1799" s="19">
        <v>0.0</v>
      </c>
      <c r="G1799" s="16" t="s">
        <v>2649</v>
      </c>
      <c r="H1799" s="21"/>
      <c r="I1799" s="22"/>
      <c r="J1799" s="45"/>
      <c r="K1799" s="172">
        <f>6629*1.19</f>
        <v>7888.51</v>
      </c>
      <c r="L1799" s="44">
        <v>15000.0</v>
      </c>
      <c r="M1799" s="25"/>
      <c r="N1799" s="26"/>
      <c r="O1799" s="27">
        <f t="shared" ref="O1799:O1842" si="242">(L1799/K1799)-1</f>
        <v>0.9014997763</v>
      </c>
      <c r="P1799" s="28">
        <f t="shared" ref="P1799:P1837" si="243">K1799*F1799</f>
        <v>0</v>
      </c>
    </row>
    <row r="1800" hidden="1">
      <c r="A1800" s="122" t="s">
        <v>2650</v>
      </c>
      <c r="B1800" s="273" t="s">
        <v>2651</v>
      </c>
      <c r="C1800" s="18"/>
      <c r="D1800" s="4"/>
      <c r="E1800" s="19"/>
      <c r="F1800" s="19">
        <v>0.0</v>
      </c>
      <c r="G1800" s="16" t="s">
        <v>2652</v>
      </c>
      <c r="H1800" s="21"/>
      <c r="I1800" s="22" t="s">
        <v>2653</v>
      </c>
      <c r="J1800" s="45"/>
      <c r="K1800" s="60">
        <v>3451.0</v>
      </c>
      <c r="L1800" s="55">
        <v>12000.0</v>
      </c>
      <c r="M1800" s="25"/>
      <c r="N1800" s="26"/>
      <c r="O1800" s="27">
        <f t="shared" si="242"/>
        <v>2.47725297</v>
      </c>
      <c r="P1800" s="28">
        <f t="shared" si="243"/>
        <v>0</v>
      </c>
    </row>
    <row r="1801" hidden="1">
      <c r="A1801" s="122" t="s">
        <v>2654</v>
      </c>
      <c r="B1801" s="17">
        <v>249002.0</v>
      </c>
      <c r="C1801" s="18"/>
      <c r="D1801" s="4"/>
      <c r="E1801" s="19">
        <v>0.0</v>
      </c>
      <c r="F1801" s="19">
        <v>0.0</v>
      </c>
      <c r="G1801" s="16" t="s">
        <v>2649</v>
      </c>
      <c r="H1801" s="21"/>
      <c r="I1801" s="22">
        <v>0.0</v>
      </c>
      <c r="J1801" s="45"/>
      <c r="K1801" s="172">
        <f>6201*1.19</f>
        <v>7379.19</v>
      </c>
      <c r="L1801" s="43">
        <v>12000.0</v>
      </c>
      <c r="M1801" s="25"/>
      <c r="N1801" s="26"/>
      <c r="O1801" s="27">
        <f t="shared" si="242"/>
        <v>0.626194745</v>
      </c>
      <c r="P1801" s="28">
        <f t="shared" si="243"/>
        <v>0</v>
      </c>
    </row>
    <row r="1802" hidden="1">
      <c r="A1802" s="122" t="s">
        <v>2655</v>
      </c>
      <c r="B1802" s="17" t="s">
        <v>2656</v>
      </c>
      <c r="C1802" s="18"/>
      <c r="D1802" s="4"/>
      <c r="E1802" s="19"/>
      <c r="F1802" s="19">
        <v>0.0</v>
      </c>
      <c r="G1802" s="16" t="s">
        <v>2652</v>
      </c>
      <c r="H1802" s="21"/>
      <c r="I1802" s="22" t="s">
        <v>2657</v>
      </c>
      <c r="J1802" s="45"/>
      <c r="K1802" s="60">
        <v>3094.0</v>
      </c>
      <c r="L1802" s="55">
        <v>8000.0</v>
      </c>
      <c r="M1802" s="25"/>
      <c r="N1802" s="26"/>
      <c r="O1802" s="27">
        <f t="shared" si="242"/>
        <v>1.585649644</v>
      </c>
      <c r="P1802" s="28">
        <f t="shared" si="243"/>
        <v>0</v>
      </c>
    </row>
    <row r="1803" hidden="1">
      <c r="A1803" s="122" t="s">
        <v>2658</v>
      </c>
      <c r="B1803" s="17">
        <v>249001.0</v>
      </c>
      <c r="C1803" s="18"/>
      <c r="D1803" s="4"/>
      <c r="E1803" s="19">
        <v>0.0</v>
      </c>
      <c r="F1803" s="19">
        <v>0.0</v>
      </c>
      <c r="G1803" s="16" t="s">
        <v>2649</v>
      </c>
      <c r="H1803" s="21"/>
      <c r="I1803" s="22"/>
      <c r="J1803" s="29"/>
      <c r="K1803" s="43">
        <f>3754*1.19</f>
        <v>4467.26</v>
      </c>
      <c r="L1803" s="44">
        <v>7000.0</v>
      </c>
      <c r="M1803" s="25"/>
      <c r="N1803" s="26"/>
      <c r="O1803" s="27">
        <f t="shared" si="242"/>
        <v>0.5669560312</v>
      </c>
      <c r="P1803" s="28">
        <f t="shared" si="243"/>
        <v>0</v>
      </c>
    </row>
    <row r="1804" hidden="1">
      <c r="A1804" s="122" t="s">
        <v>2659</v>
      </c>
      <c r="B1804" s="17">
        <v>249001.0</v>
      </c>
      <c r="C1804" s="18"/>
      <c r="D1804" s="4"/>
      <c r="E1804" s="19"/>
      <c r="F1804" s="19"/>
      <c r="G1804" s="16" t="s">
        <v>2660</v>
      </c>
      <c r="H1804" s="21">
        <v>0.0</v>
      </c>
      <c r="I1804" s="22"/>
      <c r="J1804" s="45"/>
      <c r="K1804" s="172">
        <f>4876*1.19</f>
        <v>5802.44</v>
      </c>
      <c r="L1804" s="44">
        <v>7000.0</v>
      </c>
      <c r="M1804" s="25"/>
      <c r="N1804" s="70"/>
      <c r="O1804" s="27">
        <f t="shared" si="242"/>
        <v>0.2063890363</v>
      </c>
      <c r="P1804" s="28">
        <f t="shared" si="243"/>
        <v>0</v>
      </c>
    </row>
    <row r="1805" hidden="1">
      <c r="A1805" s="16" t="s">
        <v>2661</v>
      </c>
      <c r="B1805" s="17"/>
      <c r="C1805" s="18"/>
      <c r="D1805" s="4"/>
      <c r="E1805" s="19">
        <v>0.0</v>
      </c>
      <c r="F1805" s="19">
        <v>0.0</v>
      </c>
      <c r="G1805" s="16" t="s">
        <v>1108</v>
      </c>
      <c r="H1805" s="21"/>
      <c r="I1805" s="22"/>
      <c r="J1805" s="29"/>
      <c r="K1805" s="43">
        <f>26000*1.19</f>
        <v>30940</v>
      </c>
      <c r="L1805" s="44">
        <v>45000.0</v>
      </c>
      <c r="M1805" s="25"/>
      <c r="N1805" s="26"/>
      <c r="O1805" s="27">
        <f t="shared" si="242"/>
        <v>0.454427925</v>
      </c>
      <c r="P1805" s="28">
        <f t="shared" si="243"/>
        <v>0</v>
      </c>
    </row>
    <row r="1806" hidden="1">
      <c r="A1806" s="16" t="s">
        <v>2662</v>
      </c>
      <c r="B1806" s="49"/>
      <c r="C1806" s="18"/>
      <c r="D1806" s="4"/>
      <c r="E1806" s="19">
        <v>0.0</v>
      </c>
      <c r="F1806" s="19">
        <v>0.0</v>
      </c>
      <c r="G1806" s="16" t="s">
        <v>254</v>
      </c>
      <c r="H1806" s="21"/>
      <c r="I1806" s="22">
        <v>0.0</v>
      </c>
      <c r="J1806" s="23"/>
      <c r="K1806" s="44">
        <v>270000.0</v>
      </c>
      <c r="L1806" s="44">
        <v>330000.0</v>
      </c>
      <c r="M1806" s="25"/>
      <c r="N1806" s="26"/>
      <c r="O1806" s="27">
        <f t="shared" si="242"/>
        <v>0.2222222222</v>
      </c>
      <c r="P1806" s="28">
        <f t="shared" si="243"/>
        <v>0</v>
      </c>
    </row>
    <row r="1807" hidden="1">
      <c r="A1807" s="16" t="s">
        <v>2663</v>
      </c>
      <c r="B1807" s="36"/>
      <c r="C1807" s="18"/>
      <c r="D1807" s="4"/>
      <c r="E1807" s="19">
        <v>0.0</v>
      </c>
      <c r="F1807" s="19">
        <v>0.0</v>
      </c>
      <c r="G1807" s="16" t="s">
        <v>84</v>
      </c>
      <c r="H1807" s="21"/>
      <c r="I1807" s="22"/>
      <c r="J1807" s="29"/>
      <c r="K1807" s="43">
        <f>28*800</f>
        <v>22400</v>
      </c>
      <c r="L1807" s="44">
        <v>42000.0</v>
      </c>
      <c r="M1807" s="25"/>
      <c r="N1807" s="26"/>
      <c r="O1807" s="27">
        <f t="shared" si="242"/>
        <v>0.875</v>
      </c>
      <c r="P1807" s="28">
        <f t="shared" si="243"/>
        <v>0</v>
      </c>
    </row>
    <row r="1808" hidden="1">
      <c r="A1808" s="16" t="s">
        <v>2664</v>
      </c>
      <c r="B1808" s="17"/>
      <c r="C1808" s="18"/>
      <c r="D1808" s="4"/>
      <c r="E1808" s="19">
        <v>0.0</v>
      </c>
      <c r="F1808" s="19">
        <v>0.0</v>
      </c>
      <c r="G1808" s="16" t="s">
        <v>1108</v>
      </c>
      <c r="H1808" s="21"/>
      <c r="I1808" s="22">
        <v>0.0</v>
      </c>
      <c r="J1808" s="45"/>
      <c r="K1808" s="60">
        <v>70210.0</v>
      </c>
      <c r="L1808" s="55">
        <v>88000.0</v>
      </c>
      <c r="M1808" s="25"/>
      <c r="N1808" s="48">
        <v>75000.0</v>
      </c>
      <c r="O1808" s="27">
        <f t="shared" si="242"/>
        <v>0.253382709</v>
      </c>
      <c r="P1808" s="28">
        <f t="shared" si="243"/>
        <v>0</v>
      </c>
    </row>
    <row r="1809" hidden="1">
      <c r="A1809" s="40" t="s">
        <v>2665</v>
      </c>
      <c r="B1809" s="17"/>
      <c r="C1809" s="18"/>
      <c r="D1809" s="4"/>
      <c r="E1809" s="19">
        <v>0.0</v>
      </c>
      <c r="F1809" s="19">
        <v>0.0</v>
      </c>
      <c r="G1809" s="16" t="s">
        <v>1108</v>
      </c>
      <c r="H1809" s="21"/>
      <c r="I1809" s="22">
        <v>0.0</v>
      </c>
      <c r="J1809" s="45"/>
      <c r="K1809" s="60">
        <v>70210.0</v>
      </c>
      <c r="L1809" s="55">
        <v>88000.0</v>
      </c>
      <c r="M1809" s="116"/>
      <c r="N1809" s="48">
        <v>78000.0</v>
      </c>
      <c r="O1809" s="27">
        <f t="shared" si="242"/>
        <v>0.253382709</v>
      </c>
      <c r="P1809" s="28">
        <f t="shared" si="243"/>
        <v>0</v>
      </c>
    </row>
    <row r="1810" hidden="1">
      <c r="A1810" s="16" t="s">
        <v>2666</v>
      </c>
      <c r="B1810" s="17"/>
      <c r="C1810" s="18"/>
      <c r="D1810" s="4"/>
      <c r="E1810" s="19">
        <v>0.0</v>
      </c>
      <c r="F1810" s="19"/>
      <c r="G1810" s="16" t="s">
        <v>2667</v>
      </c>
      <c r="H1810" s="21"/>
      <c r="I1810" s="22"/>
      <c r="J1810" s="45"/>
      <c r="K1810" s="60">
        <f>34000*1.19</f>
        <v>40460</v>
      </c>
      <c r="L1810" s="55">
        <v>54000.0</v>
      </c>
      <c r="M1810" s="25"/>
      <c r="N1810" s="50">
        <v>48000.0</v>
      </c>
      <c r="O1810" s="27">
        <f t="shared" si="242"/>
        <v>0.3346515077</v>
      </c>
      <c r="P1810" s="28">
        <f t="shared" si="243"/>
        <v>0</v>
      </c>
    </row>
    <row r="1811" hidden="1">
      <c r="A1811" s="16" t="s">
        <v>2668</v>
      </c>
      <c r="B1811" s="17"/>
      <c r="C1811" s="68"/>
      <c r="D1811" s="4"/>
      <c r="E1811" s="19">
        <v>2.0</v>
      </c>
      <c r="F1811" s="77">
        <v>0.0</v>
      </c>
      <c r="G1811" s="16" t="s">
        <v>2669</v>
      </c>
      <c r="H1811" s="21">
        <v>1.0</v>
      </c>
      <c r="I1811" s="22">
        <v>2.0</v>
      </c>
      <c r="J1811" s="45"/>
      <c r="K1811" s="60">
        <v>185000.0</v>
      </c>
      <c r="L1811" s="55">
        <v>240000.0</v>
      </c>
      <c r="M1811" s="25" t="s">
        <v>82</v>
      </c>
      <c r="N1811" s="26"/>
      <c r="O1811" s="27">
        <f t="shared" si="242"/>
        <v>0.2972972973</v>
      </c>
      <c r="P1811" s="28">
        <f t="shared" si="243"/>
        <v>0</v>
      </c>
    </row>
    <row r="1812" hidden="1">
      <c r="A1812" s="16" t="s">
        <v>2670</v>
      </c>
      <c r="B1812" s="17">
        <v>31973.0</v>
      </c>
      <c r="C1812" s="68"/>
      <c r="D1812" s="4"/>
      <c r="E1812" s="19">
        <v>0.0</v>
      </c>
      <c r="F1812" s="19">
        <v>0.0</v>
      </c>
      <c r="G1812" s="16" t="s">
        <v>2669</v>
      </c>
      <c r="H1812" s="21">
        <v>0.0</v>
      </c>
      <c r="I1812" s="22">
        <v>3.0</v>
      </c>
      <c r="J1812" s="45"/>
      <c r="K1812" s="60">
        <v>3700.0</v>
      </c>
      <c r="L1812" s="55">
        <v>6000.0</v>
      </c>
      <c r="M1812" s="25" t="s">
        <v>82</v>
      </c>
      <c r="N1812" s="26"/>
      <c r="O1812" s="27">
        <f t="shared" si="242"/>
        <v>0.6216216216</v>
      </c>
      <c r="P1812" s="28">
        <f t="shared" si="243"/>
        <v>0</v>
      </c>
    </row>
    <row r="1813" hidden="1">
      <c r="A1813" s="16" t="s">
        <v>2671</v>
      </c>
      <c r="B1813" s="51">
        <v>29676.0</v>
      </c>
      <c r="C1813" s="68"/>
      <c r="D1813" s="4"/>
      <c r="E1813" s="19">
        <v>0.0</v>
      </c>
      <c r="F1813" s="19">
        <v>0.0</v>
      </c>
      <c r="G1813" s="16" t="s">
        <v>2669</v>
      </c>
      <c r="H1813" s="21">
        <v>1.0</v>
      </c>
      <c r="I1813" s="22">
        <v>3.0</v>
      </c>
      <c r="J1813" s="29"/>
      <c r="K1813" s="48">
        <v>106000.0</v>
      </c>
      <c r="L1813" s="48">
        <v>130000.0</v>
      </c>
      <c r="M1813" s="25" t="s">
        <v>82</v>
      </c>
      <c r="N1813" s="26"/>
      <c r="O1813" s="27">
        <f t="shared" si="242"/>
        <v>0.2264150943</v>
      </c>
      <c r="P1813" s="28">
        <f t="shared" si="243"/>
        <v>0</v>
      </c>
    </row>
    <row r="1814" hidden="1">
      <c r="A1814" s="122" t="s">
        <v>2672</v>
      </c>
      <c r="B1814" s="17"/>
      <c r="C1814" s="18"/>
      <c r="D1814" s="4"/>
      <c r="E1814" s="19">
        <v>0.0</v>
      </c>
      <c r="F1814" s="19">
        <v>0.0</v>
      </c>
      <c r="G1814" s="16" t="s">
        <v>254</v>
      </c>
      <c r="H1814" s="21"/>
      <c r="I1814" s="22">
        <v>0.0</v>
      </c>
      <c r="J1814" s="29"/>
      <c r="K1814" s="43">
        <v>122000.0</v>
      </c>
      <c r="L1814" s="44">
        <v>160000.0</v>
      </c>
      <c r="M1814" s="25"/>
      <c r="N1814" s="26"/>
      <c r="O1814" s="27">
        <f t="shared" si="242"/>
        <v>0.3114754098</v>
      </c>
      <c r="P1814" s="28">
        <f t="shared" si="243"/>
        <v>0</v>
      </c>
    </row>
    <row r="1815" hidden="1">
      <c r="A1815" s="256" t="s">
        <v>2673</v>
      </c>
      <c r="B1815" s="97" t="s">
        <v>2674</v>
      </c>
      <c r="C1815" s="18"/>
      <c r="D1815" s="4"/>
      <c r="E1815" s="19">
        <v>0.0</v>
      </c>
      <c r="F1815" s="19">
        <v>0.0</v>
      </c>
      <c r="G1815" s="16" t="s">
        <v>2675</v>
      </c>
      <c r="H1815" s="21"/>
      <c r="I1815" s="22">
        <v>1.0</v>
      </c>
      <c r="J1815" s="29"/>
      <c r="K1815" s="43">
        <v>480000.0</v>
      </c>
      <c r="L1815" s="44">
        <v>750000.0</v>
      </c>
      <c r="M1815" s="25"/>
      <c r="N1815" s="50"/>
      <c r="O1815" s="27">
        <f t="shared" si="242"/>
        <v>0.5625</v>
      </c>
      <c r="P1815" s="28">
        <f t="shared" si="243"/>
        <v>0</v>
      </c>
    </row>
    <row r="1816" hidden="1">
      <c r="A1816" s="16" t="s">
        <v>2676</v>
      </c>
      <c r="B1816" s="167" t="s">
        <v>2677</v>
      </c>
      <c r="C1816" s="18"/>
      <c r="D1816" s="4"/>
      <c r="E1816" s="19">
        <v>0.0</v>
      </c>
      <c r="F1816" s="19">
        <v>0.0</v>
      </c>
      <c r="G1816" s="16" t="s">
        <v>1400</v>
      </c>
      <c r="H1816" s="21"/>
      <c r="I1816" s="22">
        <v>0.0</v>
      </c>
      <c r="J1816" s="23"/>
      <c r="K1816" s="55">
        <v>109081.0</v>
      </c>
      <c r="L1816" s="55">
        <v>155000.0</v>
      </c>
      <c r="M1816" s="25"/>
      <c r="N1816" s="50">
        <v>120000.0</v>
      </c>
      <c r="O1816" s="27">
        <f t="shared" si="242"/>
        <v>0.4209624041</v>
      </c>
      <c r="P1816" s="28">
        <f t="shared" si="243"/>
        <v>0</v>
      </c>
    </row>
    <row r="1817" hidden="1">
      <c r="A1817" s="16" t="s">
        <v>2678</v>
      </c>
      <c r="B1817" s="36" t="s">
        <v>2679</v>
      </c>
      <c r="C1817" s="18"/>
      <c r="D1817" s="4"/>
      <c r="E1817" s="19">
        <v>0.0</v>
      </c>
      <c r="F1817" s="19">
        <v>0.0</v>
      </c>
      <c r="G1817" s="16" t="s">
        <v>1400</v>
      </c>
      <c r="H1817" s="21"/>
      <c r="I1817" s="22">
        <v>1.0</v>
      </c>
      <c r="J1817" s="23"/>
      <c r="K1817" s="55">
        <v>113000.0</v>
      </c>
      <c r="L1817" s="55">
        <v>170000.0</v>
      </c>
      <c r="M1817" s="25"/>
      <c r="N1817" s="50"/>
      <c r="O1817" s="27">
        <f t="shared" si="242"/>
        <v>0.5044247788</v>
      </c>
      <c r="P1817" s="28">
        <f t="shared" si="243"/>
        <v>0</v>
      </c>
    </row>
    <row r="1818" hidden="1">
      <c r="A1818" s="16" t="s">
        <v>2680</v>
      </c>
      <c r="B1818" s="36" t="s">
        <v>2681</v>
      </c>
      <c r="C1818" s="18"/>
      <c r="D1818" s="4"/>
      <c r="E1818" s="19">
        <v>0.0</v>
      </c>
      <c r="F1818" s="19">
        <v>3.0</v>
      </c>
      <c r="G1818" s="16" t="s">
        <v>1400</v>
      </c>
      <c r="H1818" s="21"/>
      <c r="I1818" s="22">
        <v>0.0</v>
      </c>
      <c r="J1818" s="23"/>
      <c r="K1818" s="55">
        <v>71470.0</v>
      </c>
      <c r="L1818" s="55">
        <v>100000.0</v>
      </c>
      <c r="M1818" s="25"/>
      <c r="N1818" s="50"/>
      <c r="O1818" s="27">
        <f t="shared" si="242"/>
        <v>0.3991884707</v>
      </c>
      <c r="P1818" s="28">
        <f t="shared" si="243"/>
        <v>214410</v>
      </c>
    </row>
    <row r="1819" hidden="1">
      <c r="A1819" s="16" t="s">
        <v>2682</v>
      </c>
      <c r="B1819" s="36" t="s">
        <v>2683</v>
      </c>
      <c r="C1819" s="18"/>
      <c r="D1819" s="4"/>
      <c r="E1819" s="19">
        <v>0.0</v>
      </c>
      <c r="F1819" s="19">
        <v>0.0</v>
      </c>
      <c r="G1819" s="16" t="s">
        <v>1400</v>
      </c>
      <c r="H1819" s="21"/>
      <c r="I1819" s="22">
        <v>2.0</v>
      </c>
      <c r="J1819" s="47">
        <v>46569.0</v>
      </c>
      <c r="K1819" s="55">
        <v>71470.0</v>
      </c>
      <c r="L1819" s="24">
        <v>100000.0</v>
      </c>
      <c r="M1819" s="25"/>
      <c r="N1819" s="26"/>
      <c r="O1819" s="27">
        <f t="shared" si="242"/>
        <v>0.3991884707</v>
      </c>
      <c r="P1819" s="28">
        <f t="shared" si="243"/>
        <v>0</v>
      </c>
    </row>
    <row r="1820" hidden="1">
      <c r="A1820" s="16" t="s">
        <v>2684</v>
      </c>
      <c r="B1820" s="36" t="s">
        <v>2685</v>
      </c>
      <c r="C1820" s="18"/>
      <c r="D1820" s="4"/>
      <c r="E1820" s="19">
        <v>0.0</v>
      </c>
      <c r="F1820" s="19">
        <v>0.0</v>
      </c>
      <c r="G1820" s="16" t="s">
        <v>1400</v>
      </c>
      <c r="H1820" s="21"/>
      <c r="I1820" s="22">
        <v>2.0</v>
      </c>
      <c r="J1820" s="23"/>
      <c r="K1820" s="55">
        <v>71470.0</v>
      </c>
      <c r="L1820" s="24">
        <v>100000.0</v>
      </c>
      <c r="M1820" s="25"/>
      <c r="N1820" s="50"/>
      <c r="O1820" s="27">
        <f t="shared" si="242"/>
        <v>0.3991884707</v>
      </c>
      <c r="P1820" s="28">
        <f t="shared" si="243"/>
        <v>0</v>
      </c>
    </row>
    <row r="1821" hidden="1">
      <c r="A1821" s="16" t="s">
        <v>2686</v>
      </c>
      <c r="B1821" s="36"/>
      <c r="C1821" s="18"/>
      <c r="D1821" s="4"/>
      <c r="E1821" s="19">
        <v>0.0</v>
      </c>
      <c r="F1821" s="19">
        <v>2.0</v>
      </c>
      <c r="G1821" s="16" t="s">
        <v>1400</v>
      </c>
      <c r="H1821" s="21"/>
      <c r="I1821" s="22">
        <v>0.0</v>
      </c>
      <c r="J1821" s="23"/>
      <c r="K1821" s="55">
        <v>71470.0</v>
      </c>
      <c r="L1821" s="24">
        <v>100000.0</v>
      </c>
      <c r="M1821" s="25"/>
      <c r="N1821" s="50"/>
      <c r="O1821" s="27">
        <f t="shared" si="242"/>
        <v>0.3991884707</v>
      </c>
      <c r="P1821" s="28">
        <f t="shared" si="243"/>
        <v>142940</v>
      </c>
    </row>
    <row r="1822" hidden="1">
      <c r="A1822" s="42" t="s">
        <v>2687</v>
      </c>
      <c r="B1822" s="17"/>
      <c r="C1822" s="38"/>
      <c r="D1822" s="61"/>
      <c r="E1822" s="19"/>
      <c r="F1822" s="19"/>
      <c r="G1822" s="16" t="s">
        <v>91</v>
      </c>
      <c r="H1822" s="21"/>
      <c r="I1822" s="22">
        <v>0.0</v>
      </c>
      <c r="J1822" s="29"/>
      <c r="K1822" s="43">
        <v>300000.0</v>
      </c>
      <c r="L1822" s="44">
        <v>350000.0</v>
      </c>
      <c r="M1822" s="25"/>
      <c r="N1822" s="26"/>
      <c r="O1822" s="27">
        <f t="shared" si="242"/>
        <v>0.1666666667</v>
      </c>
      <c r="P1822" s="28">
        <f t="shared" si="243"/>
        <v>0</v>
      </c>
    </row>
    <row r="1823" hidden="1">
      <c r="A1823" s="42" t="s">
        <v>2688</v>
      </c>
      <c r="B1823" s="51" t="s">
        <v>2689</v>
      </c>
      <c r="C1823" s="38"/>
      <c r="D1823" s="61"/>
      <c r="E1823" s="19"/>
      <c r="F1823" s="19">
        <f>326400/4</f>
        <v>81600</v>
      </c>
      <c r="G1823" s="16" t="s">
        <v>91</v>
      </c>
      <c r="H1823" s="21"/>
      <c r="I1823" s="22">
        <v>1.0</v>
      </c>
      <c r="J1823" s="47">
        <v>46113.0</v>
      </c>
      <c r="K1823" s="46">
        <f>384000/4</f>
        <v>96000</v>
      </c>
      <c r="L1823" s="24">
        <v>125000.0</v>
      </c>
      <c r="M1823" s="25" t="s">
        <v>82</v>
      </c>
      <c r="N1823" s="26">
        <v>110000.0</v>
      </c>
      <c r="O1823" s="27">
        <f t="shared" si="242"/>
        <v>0.3020833333</v>
      </c>
      <c r="P1823" s="28">
        <f t="shared" si="243"/>
        <v>7833600000</v>
      </c>
    </row>
    <row r="1824" hidden="1">
      <c r="A1824" s="42" t="s">
        <v>2690</v>
      </c>
      <c r="B1824" s="17"/>
      <c r="C1824" s="38" t="s">
        <v>2691</v>
      </c>
      <c r="D1824" s="61"/>
      <c r="E1824" s="19"/>
      <c r="F1824" s="19"/>
      <c r="G1824" s="16" t="s">
        <v>91</v>
      </c>
      <c r="H1824" s="21"/>
      <c r="I1824" s="22">
        <v>0.0</v>
      </c>
      <c r="J1824" s="58">
        <v>45992.0</v>
      </c>
      <c r="K1824" s="32">
        <v>315455.0</v>
      </c>
      <c r="L1824" s="24">
        <v>390000.0</v>
      </c>
      <c r="M1824" s="25"/>
      <c r="N1824" s="26">
        <v>295000.0</v>
      </c>
      <c r="O1824" s="27">
        <f t="shared" si="242"/>
        <v>0.2363094578</v>
      </c>
      <c r="P1824" s="28">
        <f t="shared" si="243"/>
        <v>0</v>
      </c>
    </row>
    <row r="1825" hidden="1">
      <c r="A1825" s="16" t="s">
        <v>2692</v>
      </c>
      <c r="B1825" s="97" t="s">
        <v>2693</v>
      </c>
      <c r="C1825" s="18"/>
      <c r="D1825" s="98"/>
      <c r="E1825" s="19">
        <v>0.0</v>
      </c>
      <c r="F1825" s="19"/>
      <c r="G1825" s="16" t="s">
        <v>485</v>
      </c>
      <c r="H1825" s="21">
        <v>0.0</v>
      </c>
      <c r="I1825" s="22"/>
      <c r="J1825" s="173"/>
      <c r="K1825" s="174">
        <v>49210.0</v>
      </c>
      <c r="L1825" s="175">
        <v>95000.0</v>
      </c>
      <c r="M1825" s="25"/>
      <c r="N1825" s="26"/>
      <c r="O1825" s="27">
        <f t="shared" si="242"/>
        <v>0.9305019305</v>
      </c>
      <c r="P1825" s="28">
        <f t="shared" si="243"/>
        <v>0</v>
      </c>
    </row>
    <row r="1826" hidden="1">
      <c r="A1826" s="16" t="s">
        <v>2694</v>
      </c>
      <c r="B1826" s="36"/>
      <c r="C1826" s="18"/>
      <c r="D1826" s="4"/>
      <c r="E1826" s="19">
        <v>0.0</v>
      </c>
      <c r="F1826" s="19">
        <v>0.0</v>
      </c>
      <c r="G1826" s="16" t="s">
        <v>1400</v>
      </c>
      <c r="H1826" s="21"/>
      <c r="I1826" s="22">
        <v>0.0</v>
      </c>
      <c r="J1826" s="23"/>
      <c r="K1826" s="55">
        <v>90300.0</v>
      </c>
      <c r="L1826" s="55">
        <v>140000.0</v>
      </c>
      <c r="M1826" s="25"/>
      <c r="N1826" s="50"/>
      <c r="O1826" s="27">
        <f t="shared" si="242"/>
        <v>0.5503875969</v>
      </c>
      <c r="P1826" s="28">
        <f t="shared" si="243"/>
        <v>0</v>
      </c>
    </row>
    <row r="1827" hidden="1">
      <c r="A1827" s="16" t="s">
        <v>2695</v>
      </c>
      <c r="B1827" s="36" t="s">
        <v>2696</v>
      </c>
      <c r="C1827" s="18"/>
      <c r="D1827" s="4"/>
      <c r="E1827" s="19">
        <v>0.0</v>
      </c>
      <c r="F1827" s="19">
        <v>0.0</v>
      </c>
      <c r="G1827" s="16" t="s">
        <v>1400</v>
      </c>
      <c r="H1827" s="21"/>
      <c r="I1827" s="22">
        <v>1.0</v>
      </c>
      <c r="J1827" s="23"/>
      <c r="K1827" s="55">
        <v>90300.0</v>
      </c>
      <c r="L1827" s="55">
        <v>140000.0</v>
      </c>
      <c r="M1827" s="25"/>
      <c r="N1827" s="50"/>
      <c r="O1827" s="27">
        <f t="shared" si="242"/>
        <v>0.5503875969</v>
      </c>
      <c r="P1827" s="28">
        <f t="shared" si="243"/>
        <v>0</v>
      </c>
    </row>
    <row r="1828" hidden="1">
      <c r="A1828" s="16" t="s">
        <v>2697</v>
      </c>
      <c r="B1828" s="36" t="s">
        <v>2696</v>
      </c>
      <c r="C1828" s="18"/>
      <c r="D1828" s="4"/>
      <c r="E1828" s="19">
        <v>0.0</v>
      </c>
      <c r="F1828" s="19">
        <v>0.0</v>
      </c>
      <c r="G1828" s="16" t="s">
        <v>1400</v>
      </c>
      <c r="H1828" s="21"/>
      <c r="I1828" s="22">
        <v>0.0</v>
      </c>
      <c r="J1828" s="23"/>
      <c r="K1828" s="55">
        <v>90300.0</v>
      </c>
      <c r="L1828" s="55">
        <v>140000.0</v>
      </c>
      <c r="M1828" s="25"/>
      <c r="N1828" s="26"/>
      <c r="O1828" s="27">
        <f t="shared" si="242"/>
        <v>0.5503875969</v>
      </c>
      <c r="P1828" s="28">
        <f t="shared" si="243"/>
        <v>0</v>
      </c>
    </row>
    <row r="1829" hidden="1">
      <c r="A1829" s="52" t="s">
        <v>2698</v>
      </c>
      <c r="B1829" s="36" t="s">
        <v>328</v>
      </c>
      <c r="C1829" s="18"/>
      <c r="D1829" s="67"/>
      <c r="E1829" s="19">
        <v>0.0</v>
      </c>
      <c r="F1829" s="19">
        <v>20.0</v>
      </c>
      <c r="G1829" s="16" t="s">
        <v>513</v>
      </c>
      <c r="H1829" s="21"/>
      <c r="I1829" s="22">
        <v>11.0</v>
      </c>
      <c r="J1829" s="29"/>
      <c r="K1829" s="43">
        <f>16000*0.95*1.19</f>
        <v>18088</v>
      </c>
      <c r="L1829" s="24">
        <v>27000.0</v>
      </c>
      <c r="M1829" s="25"/>
      <c r="N1829" s="50">
        <v>23000.0</v>
      </c>
      <c r="O1829" s="27">
        <f t="shared" si="242"/>
        <v>0.4927023441</v>
      </c>
      <c r="P1829" s="28">
        <f t="shared" si="243"/>
        <v>361760</v>
      </c>
    </row>
    <row r="1830" hidden="1">
      <c r="A1830" s="16" t="s">
        <v>2699</v>
      </c>
      <c r="B1830" s="193" t="s">
        <v>2700</v>
      </c>
      <c r="C1830" s="18"/>
      <c r="D1830" s="4"/>
      <c r="E1830" s="19">
        <v>0.0</v>
      </c>
      <c r="F1830" s="19">
        <v>20.0</v>
      </c>
      <c r="G1830" s="16" t="s">
        <v>2701</v>
      </c>
      <c r="H1830" s="21"/>
      <c r="I1830" s="22">
        <v>78.0</v>
      </c>
      <c r="J1830" s="29"/>
      <c r="K1830" s="32">
        <f>11429*1.19</f>
        <v>13600.51</v>
      </c>
      <c r="L1830" s="24">
        <v>22000.0</v>
      </c>
      <c r="M1830" s="25"/>
      <c r="N1830" s="26"/>
      <c r="O1830" s="27">
        <f t="shared" si="242"/>
        <v>0.6175863993</v>
      </c>
      <c r="P1830" s="28">
        <f t="shared" si="243"/>
        <v>272010.2</v>
      </c>
    </row>
    <row r="1831" hidden="1">
      <c r="A1831" s="135" t="s">
        <v>2702</v>
      </c>
      <c r="B1831" s="36" t="s">
        <v>328</v>
      </c>
      <c r="C1831" s="18"/>
      <c r="D1831" s="4"/>
      <c r="E1831" s="19"/>
      <c r="F1831" s="19"/>
      <c r="G1831" s="16" t="s">
        <v>375</v>
      </c>
      <c r="H1831" s="21">
        <v>0.0</v>
      </c>
      <c r="I1831" s="22"/>
      <c r="J1831" s="29"/>
      <c r="K1831" s="32">
        <f>12400*1.19</f>
        <v>14756</v>
      </c>
      <c r="L1831" s="24">
        <v>22000.0</v>
      </c>
      <c r="M1831" s="25">
        <v>1.19</v>
      </c>
      <c r="N1831" s="26"/>
      <c r="O1831" s="27">
        <f t="shared" si="242"/>
        <v>0.4909189482</v>
      </c>
      <c r="P1831" s="28">
        <f t="shared" si="243"/>
        <v>0</v>
      </c>
    </row>
    <row r="1832" hidden="1">
      <c r="A1832" s="16" t="s">
        <v>2703</v>
      </c>
      <c r="B1832" s="36" t="s">
        <v>328</v>
      </c>
      <c r="C1832" s="18"/>
      <c r="D1832" s="4"/>
      <c r="E1832" s="19"/>
      <c r="F1832" s="19">
        <v>0.0</v>
      </c>
      <c r="G1832" s="16" t="s">
        <v>93</v>
      </c>
      <c r="H1832" s="21"/>
      <c r="I1832" s="22"/>
      <c r="J1832" s="29"/>
      <c r="K1832" s="43">
        <v>23000.0</v>
      </c>
      <c r="L1832" s="44">
        <v>28000.0</v>
      </c>
      <c r="M1832" s="25"/>
      <c r="N1832" s="69"/>
      <c r="O1832" s="27">
        <f t="shared" si="242"/>
        <v>0.2173913043</v>
      </c>
      <c r="P1832" s="28">
        <f t="shared" si="243"/>
        <v>0</v>
      </c>
    </row>
    <row r="1833" hidden="1">
      <c r="A1833" s="52" t="s">
        <v>2704</v>
      </c>
      <c r="B1833" s="36"/>
      <c r="C1833" s="18" t="s">
        <v>1200</v>
      </c>
      <c r="D1833" s="4"/>
      <c r="E1833" s="19"/>
      <c r="F1833" s="19"/>
      <c r="G1833" s="16" t="s">
        <v>2705</v>
      </c>
      <c r="H1833" s="21">
        <v>0.0</v>
      </c>
      <c r="I1833" s="22"/>
      <c r="J1833" s="23"/>
      <c r="K1833" s="24">
        <v>20825.0</v>
      </c>
      <c r="L1833" s="24">
        <v>27000.0</v>
      </c>
      <c r="M1833" s="25">
        <v>1.19</v>
      </c>
      <c r="N1833" s="70">
        <v>25000.0</v>
      </c>
      <c r="O1833" s="27">
        <f t="shared" si="242"/>
        <v>0.2965186074</v>
      </c>
      <c r="P1833" s="28">
        <f t="shared" si="243"/>
        <v>0</v>
      </c>
    </row>
    <row r="1834" hidden="1">
      <c r="A1834" s="52" t="s">
        <v>2706</v>
      </c>
      <c r="B1834" s="36"/>
      <c r="C1834" s="38"/>
      <c r="D1834" s="4"/>
      <c r="E1834" s="19"/>
      <c r="F1834" s="19"/>
      <c r="G1834" s="16" t="s">
        <v>88</v>
      </c>
      <c r="H1834" s="21"/>
      <c r="I1834" s="22">
        <v>18.0</v>
      </c>
      <c r="J1834" s="29"/>
      <c r="K1834" s="48">
        <v>8706.0</v>
      </c>
      <c r="L1834" s="48">
        <v>12000.0</v>
      </c>
      <c r="M1834" s="25"/>
      <c r="N1834" s="26"/>
      <c r="O1834" s="27">
        <f t="shared" si="242"/>
        <v>0.3783597519</v>
      </c>
      <c r="P1834" s="28">
        <f t="shared" si="243"/>
        <v>0</v>
      </c>
    </row>
    <row r="1835" hidden="1">
      <c r="A1835" s="16" t="s">
        <v>2707</v>
      </c>
      <c r="B1835" s="157"/>
      <c r="C1835" s="18"/>
      <c r="D1835" s="4"/>
      <c r="E1835" s="19">
        <v>0.0</v>
      </c>
      <c r="F1835" s="19">
        <v>3.0</v>
      </c>
      <c r="G1835" s="266" t="s">
        <v>2708</v>
      </c>
      <c r="H1835" s="21"/>
      <c r="I1835" s="22">
        <v>0.0</v>
      </c>
      <c r="J1835" s="23"/>
      <c r="K1835" s="55">
        <v>3700.0</v>
      </c>
      <c r="L1835" s="55">
        <v>8000.0</v>
      </c>
      <c r="M1835" s="25"/>
      <c r="N1835" s="31"/>
      <c r="O1835" s="27">
        <f t="shared" si="242"/>
        <v>1.162162162</v>
      </c>
      <c r="P1835" s="28">
        <f t="shared" si="243"/>
        <v>11100</v>
      </c>
    </row>
    <row r="1836" hidden="1">
      <c r="A1836" s="16" t="s">
        <v>2709</v>
      </c>
      <c r="B1836" s="157"/>
      <c r="C1836" s="18"/>
      <c r="D1836" s="4"/>
      <c r="E1836" s="19"/>
      <c r="F1836" s="19"/>
      <c r="G1836" s="266" t="s">
        <v>2710</v>
      </c>
      <c r="H1836" s="21"/>
      <c r="I1836" s="22"/>
      <c r="J1836" s="23"/>
      <c r="K1836" s="55">
        <v>23300.0</v>
      </c>
      <c r="L1836" s="55">
        <v>32000.0</v>
      </c>
      <c r="M1836" s="25"/>
      <c r="N1836" s="31"/>
      <c r="O1836" s="27">
        <f t="shared" si="242"/>
        <v>0.3733905579</v>
      </c>
      <c r="P1836" s="28">
        <f t="shared" si="243"/>
        <v>0</v>
      </c>
    </row>
    <row r="1837" hidden="1">
      <c r="A1837" s="52" t="s">
        <v>2711</v>
      </c>
      <c r="B1837" s="36"/>
      <c r="C1837" s="18"/>
      <c r="D1837" s="4"/>
      <c r="E1837" s="19">
        <v>0.0</v>
      </c>
      <c r="F1837" s="19">
        <v>0.0</v>
      </c>
      <c r="G1837" s="16" t="s">
        <v>437</v>
      </c>
      <c r="H1837" s="21"/>
      <c r="I1837" s="22">
        <v>50.0</v>
      </c>
      <c r="J1837" s="29"/>
      <c r="K1837" s="43">
        <v>1100.0</v>
      </c>
      <c r="L1837" s="44">
        <v>2000.0</v>
      </c>
      <c r="M1837" s="25"/>
      <c r="N1837" s="70"/>
      <c r="O1837" s="27">
        <f t="shared" si="242"/>
        <v>0.8181818182</v>
      </c>
      <c r="P1837" s="28">
        <f t="shared" si="243"/>
        <v>0</v>
      </c>
    </row>
    <row r="1838" hidden="1">
      <c r="A1838" s="16" t="s">
        <v>2712</v>
      </c>
      <c r="B1838" s="17"/>
      <c r="C1838" s="18"/>
      <c r="D1838" s="66"/>
      <c r="E1838" s="19">
        <v>0.0</v>
      </c>
      <c r="F1838" s="19">
        <v>0.0</v>
      </c>
      <c r="G1838" s="16" t="s">
        <v>1935</v>
      </c>
      <c r="H1838" s="21"/>
      <c r="I1838" s="22">
        <v>7.0</v>
      </c>
      <c r="J1838" s="23"/>
      <c r="K1838" s="24">
        <f>2014*0.91*1.19</f>
        <v>2180.9606</v>
      </c>
      <c r="L1838" s="24">
        <v>3000.0</v>
      </c>
      <c r="M1838" s="25"/>
      <c r="N1838" s="70"/>
      <c r="O1838" s="27">
        <f t="shared" si="242"/>
        <v>0.3755406677</v>
      </c>
      <c r="P1838" s="28" t="str">
        <f>K1838*#REF!</f>
        <v>#REF!</v>
      </c>
    </row>
    <row r="1839" hidden="1">
      <c r="A1839" s="119" t="s">
        <v>2713</v>
      </c>
      <c r="B1839" s="17"/>
      <c r="C1839" s="18"/>
      <c r="D1839" s="4"/>
      <c r="E1839" s="19">
        <v>0.0</v>
      </c>
      <c r="F1839" s="19"/>
      <c r="G1839" s="16" t="s">
        <v>57</v>
      </c>
      <c r="H1839" s="73"/>
      <c r="I1839" s="22"/>
      <c r="J1839" s="74"/>
      <c r="K1839" s="75">
        <v>170000.0</v>
      </c>
      <c r="L1839" s="44">
        <v>210000.0</v>
      </c>
      <c r="M1839" s="25"/>
      <c r="N1839" s="31"/>
      <c r="O1839" s="27">
        <f t="shared" si="242"/>
        <v>0.2352941176</v>
      </c>
      <c r="P1839" s="28">
        <f t="shared" ref="P1839:P1842" si="244">K1839*F1839</f>
        <v>0</v>
      </c>
    </row>
    <row r="1840" hidden="1">
      <c r="A1840" s="52" t="s">
        <v>2714</v>
      </c>
      <c r="B1840" s="17" t="s">
        <v>2715</v>
      </c>
      <c r="C1840" s="18"/>
      <c r="D1840" s="19"/>
      <c r="E1840" s="19">
        <v>0.0</v>
      </c>
      <c r="F1840" s="19"/>
      <c r="G1840" s="16" t="s">
        <v>2716</v>
      </c>
      <c r="H1840" s="21"/>
      <c r="I1840" s="22"/>
      <c r="J1840" s="23"/>
      <c r="K1840" s="24">
        <f>18000*1.19/6</f>
        <v>3570</v>
      </c>
      <c r="L1840" s="24">
        <v>5000.0</v>
      </c>
      <c r="M1840" s="25"/>
      <c r="N1840" s="70"/>
      <c r="O1840" s="27">
        <f t="shared" si="242"/>
        <v>0.4005602241</v>
      </c>
      <c r="P1840" s="28">
        <f t="shared" si="244"/>
        <v>0</v>
      </c>
    </row>
    <row r="1841" hidden="1">
      <c r="A1841" s="42" t="s">
        <v>2717</v>
      </c>
      <c r="B1841" s="17"/>
      <c r="C1841" s="18"/>
      <c r="D1841" s="4"/>
      <c r="E1841" s="19">
        <v>0.0</v>
      </c>
      <c r="F1841" s="19">
        <v>0.0</v>
      </c>
      <c r="G1841" s="16" t="s">
        <v>2718</v>
      </c>
      <c r="H1841" s="21"/>
      <c r="I1841" s="22">
        <v>2.0</v>
      </c>
      <c r="J1841" s="23"/>
      <c r="K1841" s="55">
        <v>22688.0</v>
      </c>
      <c r="L1841" s="48">
        <v>32000.0</v>
      </c>
      <c r="M1841" s="25"/>
      <c r="N1841" s="26"/>
      <c r="O1841" s="27">
        <f t="shared" si="242"/>
        <v>0.4104372355</v>
      </c>
      <c r="P1841" s="28">
        <f t="shared" si="244"/>
        <v>0</v>
      </c>
    </row>
    <row r="1842" hidden="1">
      <c r="A1842" s="122" t="s">
        <v>2719</v>
      </c>
      <c r="B1842" s="17"/>
      <c r="C1842" s="18"/>
      <c r="D1842" s="4"/>
      <c r="E1842" s="19">
        <v>0.0</v>
      </c>
      <c r="F1842" s="19">
        <v>0.0</v>
      </c>
      <c r="G1842" s="20" t="s">
        <v>911</v>
      </c>
      <c r="H1842" s="73"/>
      <c r="I1842" s="22"/>
      <c r="J1842" s="74"/>
      <c r="K1842" s="184">
        <v>119.0</v>
      </c>
      <c r="L1842" s="55">
        <v>1000.0</v>
      </c>
      <c r="M1842" s="25"/>
      <c r="N1842" s="31"/>
      <c r="O1842" s="27">
        <f t="shared" si="242"/>
        <v>7.403361345</v>
      </c>
      <c r="P1842" s="28">
        <f t="shared" si="244"/>
        <v>0</v>
      </c>
    </row>
    <row r="1843" hidden="1">
      <c r="A1843" s="42" t="s">
        <v>2720</v>
      </c>
      <c r="B1843" s="71"/>
      <c r="C1843" s="18"/>
      <c r="D1843" s="4"/>
      <c r="E1843" s="19">
        <v>0.0</v>
      </c>
      <c r="F1843" s="19">
        <v>0.0</v>
      </c>
      <c r="G1843" s="16" t="s">
        <v>2721</v>
      </c>
      <c r="H1843" s="21"/>
      <c r="I1843" s="22">
        <v>50.0</v>
      </c>
      <c r="J1843" s="29"/>
      <c r="K1843" s="32">
        <f>83.61+83.61+143+143</f>
        <v>453.22</v>
      </c>
      <c r="L1843" s="24">
        <v>12000.0</v>
      </c>
      <c r="M1843" s="25"/>
      <c r="N1843" s="26"/>
      <c r="O1843" s="27"/>
      <c r="P1843" s="28"/>
    </row>
    <row r="1844" hidden="1">
      <c r="A1844" s="16" t="s">
        <v>2722</v>
      </c>
      <c r="B1844" s="17" t="s">
        <v>2723</v>
      </c>
      <c r="C1844" s="18"/>
      <c r="D1844" s="4"/>
      <c r="E1844" s="19">
        <v>0.0</v>
      </c>
      <c r="F1844" s="19">
        <v>0.0</v>
      </c>
      <c r="G1844" s="16" t="s">
        <v>2724</v>
      </c>
      <c r="H1844" s="21"/>
      <c r="I1844" s="22">
        <v>18.0</v>
      </c>
      <c r="J1844" s="29"/>
      <c r="K1844" s="48">
        <v>900.0</v>
      </c>
      <c r="L1844" s="55">
        <v>2000.0</v>
      </c>
      <c r="M1844" s="25"/>
      <c r="N1844" s="31"/>
      <c r="O1844" s="27">
        <f t="shared" ref="O1844:O1859" si="245">(L1844/K1844)-1</f>
        <v>1.222222222</v>
      </c>
      <c r="P1844" s="28">
        <f t="shared" ref="P1844:P1852" si="246">K1844*F1844</f>
        <v>0</v>
      </c>
    </row>
    <row r="1845" hidden="1">
      <c r="A1845" s="16" t="s">
        <v>2725</v>
      </c>
      <c r="B1845" s="17" t="s">
        <v>2723</v>
      </c>
      <c r="C1845" s="18"/>
      <c r="D1845" s="4"/>
      <c r="E1845" s="19">
        <v>0.0</v>
      </c>
      <c r="F1845" s="19">
        <v>0.0</v>
      </c>
      <c r="G1845" s="16" t="s">
        <v>2726</v>
      </c>
      <c r="H1845" s="21"/>
      <c r="I1845" s="22">
        <v>22.0</v>
      </c>
      <c r="J1845" s="29"/>
      <c r="K1845" s="48">
        <v>900.0</v>
      </c>
      <c r="L1845" s="55">
        <v>2000.0</v>
      </c>
      <c r="M1845" s="25"/>
      <c r="N1845" s="31"/>
      <c r="O1845" s="27">
        <f t="shared" si="245"/>
        <v>1.222222222</v>
      </c>
      <c r="P1845" s="28">
        <f t="shared" si="246"/>
        <v>0</v>
      </c>
    </row>
    <row r="1846" hidden="1">
      <c r="A1846" s="16" t="s">
        <v>2727</v>
      </c>
      <c r="B1846" s="17" t="s">
        <v>2723</v>
      </c>
      <c r="C1846" s="18"/>
      <c r="D1846" s="4"/>
      <c r="E1846" s="19">
        <v>0.0</v>
      </c>
      <c r="F1846" s="19">
        <v>0.0</v>
      </c>
      <c r="G1846" s="16" t="s">
        <v>2726</v>
      </c>
      <c r="H1846" s="21"/>
      <c r="I1846" s="22">
        <v>20.0</v>
      </c>
      <c r="J1846" s="29"/>
      <c r="K1846" s="48">
        <v>900.0</v>
      </c>
      <c r="L1846" s="55">
        <v>2000.0</v>
      </c>
      <c r="M1846" s="25"/>
      <c r="N1846" s="31"/>
      <c r="O1846" s="27">
        <f t="shared" si="245"/>
        <v>1.222222222</v>
      </c>
      <c r="P1846" s="28">
        <f t="shared" si="246"/>
        <v>0</v>
      </c>
    </row>
    <row r="1847" hidden="1">
      <c r="A1847" s="16" t="s">
        <v>2728</v>
      </c>
      <c r="B1847" s="17" t="s">
        <v>2723</v>
      </c>
      <c r="C1847" s="18"/>
      <c r="D1847" s="4"/>
      <c r="E1847" s="19">
        <v>0.0</v>
      </c>
      <c r="F1847" s="19">
        <v>0.0</v>
      </c>
      <c r="G1847" s="16" t="s">
        <v>2726</v>
      </c>
      <c r="H1847" s="21"/>
      <c r="I1847" s="22">
        <v>18.0</v>
      </c>
      <c r="J1847" s="29"/>
      <c r="K1847" s="48">
        <v>900.0</v>
      </c>
      <c r="L1847" s="55">
        <v>2000.0</v>
      </c>
      <c r="M1847" s="25"/>
      <c r="N1847" s="31"/>
      <c r="O1847" s="27">
        <f t="shared" si="245"/>
        <v>1.222222222</v>
      </c>
      <c r="P1847" s="28">
        <f t="shared" si="246"/>
        <v>0</v>
      </c>
    </row>
    <row r="1848" hidden="1">
      <c r="A1848" s="16" t="s">
        <v>2729</v>
      </c>
      <c r="B1848" s="17" t="s">
        <v>2723</v>
      </c>
      <c r="C1848" s="18"/>
      <c r="D1848" s="4"/>
      <c r="E1848" s="19">
        <v>0.0</v>
      </c>
      <c r="F1848" s="19">
        <v>0.0</v>
      </c>
      <c r="G1848" s="16" t="s">
        <v>2726</v>
      </c>
      <c r="H1848" s="21"/>
      <c r="I1848" s="22">
        <v>21.0</v>
      </c>
      <c r="J1848" s="29"/>
      <c r="K1848" s="48">
        <v>900.0</v>
      </c>
      <c r="L1848" s="55">
        <v>2000.0</v>
      </c>
      <c r="M1848" s="25"/>
      <c r="N1848" s="31"/>
      <c r="O1848" s="27">
        <f t="shared" si="245"/>
        <v>1.222222222</v>
      </c>
      <c r="P1848" s="28">
        <f t="shared" si="246"/>
        <v>0</v>
      </c>
    </row>
    <row r="1849" hidden="1">
      <c r="A1849" s="16" t="s">
        <v>2730</v>
      </c>
      <c r="B1849" s="17" t="s">
        <v>2723</v>
      </c>
      <c r="C1849" s="18"/>
      <c r="D1849" s="4"/>
      <c r="E1849" s="19">
        <v>0.0</v>
      </c>
      <c r="F1849" s="19">
        <v>0.0</v>
      </c>
      <c r="G1849" s="16" t="s">
        <v>2726</v>
      </c>
      <c r="H1849" s="21"/>
      <c r="I1849" s="22">
        <v>20.0</v>
      </c>
      <c r="J1849" s="29"/>
      <c r="K1849" s="48">
        <v>900.0</v>
      </c>
      <c r="L1849" s="55">
        <v>2000.0</v>
      </c>
      <c r="M1849" s="25"/>
      <c r="N1849" s="31"/>
      <c r="O1849" s="27">
        <f t="shared" si="245"/>
        <v>1.222222222</v>
      </c>
      <c r="P1849" s="28">
        <f t="shared" si="246"/>
        <v>0</v>
      </c>
    </row>
    <row r="1850" hidden="1">
      <c r="A1850" s="16" t="s">
        <v>2731</v>
      </c>
      <c r="B1850" s="17" t="s">
        <v>2723</v>
      </c>
      <c r="C1850" s="18"/>
      <c r="D1850" s="4"/>
      <c r="E1850" s="19">
        <v>0.0</v>
      </c>
      <c r="F1850" s="19">
        <v>0.0</v>
      </c>
      <c r="G1850" s="16" t="s">
        <v>2726</v>
      </c>
      <c r="H1850" s="21"/>
      <c r="I1850" s="22">
        <v>27.0</v>
      </c>
      <c r="J1850" s="29"/>
      <c r="K1850" s="48">
        <v>900.0</v>
      </c>
      <c r="L1850" s="55">
        <v>2000.0</v>
      </c>
      <c r="M1850" s="25"/>
      <c r="N1850" s="31"/>
      <c r="O1850" s="27">
        <f t="shared" si="245"/>
        <v>1.222222222</v>
      </c>
      <c r="P1850" s="28">
        <f t="shared" si="246"/>
        <v>0</v>
      </c>
    </row>
    <row r="1851" hidden="1">
      <c r="A1851" s="16" t="s">
        <v>2732</v>
      </c>
      <c r="B1851" s="17" t="s">
        <v>2723</v>
      </c>
      <c r="C1851" s="18"/>
      <c r="D1851" s="4"/>
      <c r="E1851" s="19">
        <v>0.0</v>
      </c>
      <c r="F1851" s="19">
        <v>0.0</v>
      </c>
      <c r="G1851" s="16" t="s">
        <v>2726</v>
      </c>
      <c r="H1851" s="21"/>
      <c r="I1851" s="22">
        <v>22.0</v>
      </c>
      <c r="J1851" s="29"/>
      <c r="K1851" s="48">
        <v>900.0</v>
      </c>
      <c r="L1851" s="55">
        <v>2000.0</v>
      </c>
      <c r="M1851" s="25"/>
      <c r="N1851" s="31"/>
      <c r="O1851" s="27">
        <f t="shared" si="245"/>
        <v>1.222222222</v>
      </c>
      <c r="P1851" s="28">
        <f t="shared" si="246"/>
        <v>0</v>
      </c>
    </row>
    <row r="1852" hidden="1">
      <c r="A1852" s="59" t="s">
        <v>2733</v>
      </c>
      <c r="B1852" s="17"/>
      <c r="C1852" s="18"/>
      <c r="D1852" s="4"/>
      <c r="E1852" s="19">
        <v>0.0</v>
      </c>
      <c r="F1852" s="19"/>
      <c r="G1852" s="16" t="s">
        <v>57</v>
      </c>
      <c r="H1852" s="21"/>
      <c r="I1852" s="22"/>
      <c r="J1852" s="29"/>
      <c r="K1852" s="43">
        <v>5000.0</v>
      </c>
      <c r="L1852" s="44">
        <v>15000.0</v>
      </c>
      <c r="M1852" s="25"/>
      <c r="N1852" s="31"/>
      <c r="O1852" s="27">
        <f t="shared" si="245"/>
        <v>2</v>
      </c>
      <c r="P1852" s="28">
        <f t="shared" si="246"/>
        <v>0</v>
      </c>
    </row>
    <row r="1853" hidden="1">
      <c r="A1853" s="16" t="s">
        <v>2734</v>
      </c>
      <c r="B1853" s="134"/>
      <c r="C1853" s="18"/>
      <c r="D1853" s="154"/>
      <c r="E1853" s="19">
        <v>0.0</v>
      </c>
      <c r="F1853" s="19">
        <v>0.0</v>
      </c>
      <c r="G1853" s="16" t="s">
        <v>2735</v>
      </c>
      <c r="H1853" s="21"/>
      <c r="I1853" s="22" t="s">
        <v>2736</v>
      </c>
      <c r="J1853" s="29"/>
      <c r="K1853" s="32">
        <f>83720/10/6</f>
        <v>1395.333333</v>
      </c>
      <c r="L1853" s="48">
        <v>3500.0</v>
      </c>
      <c r="M1853" s="25"/>
      <c r="N1853" s="69"/>
      <c r="O1853" s="27">
        <f t="shared" si="245"/>
        <v>1.508361204</v>
      </c>
      <c r="P1853" s="28" t="str">
        <f>K1853*#REF!</f>
        <v>#REF!</v>
      </c>
    </row>
    <row r="1854" hidden="1">
      <c r="A1854" s="16" t="s">
        <v>2737</v>
      </c>
      <c r="B1854" s="17"/>
      <c r="C1854" s="18"/>
      <c r="D1854" s="4"/>
      <c r="E1854" s="19">
        <v>0.0</v>
      </c>
      <c r="F1854" s="19"/>
      <c r="G1854" s="16" t="s">
        <v>767</v>
      </c>
      <c r="H1854" s="21"/>
      <c r="I1854" s="22"/>
      <c r="J1854" s="29"/>
      <c r="K1854" s="43">
        <v>1.0</v>
      </c>
      <c r="L1854" s="44">
        <v>1.0</v>
      </c>
      <c r="M1854" s="25"/>
      <c r="N1854" s="31"/>
      <c r="O1854" s="27">
        <f t="shared" si="245"/>
        <v>0</v>
      </c>
      <c r="P1854" s="28">
        <f t="shared" ref="P1854:P1859" si="247">K1854*F1854</f>
        <v>0</v>
      </c>
    </row>
    <row r="1855" hidden="1">
      <c r="A1855" s="42" t="s">
        <v>2738</v>
      </c>
      <c r="B1855" s="114" t="s">
        <v>2739</v>
      </c>
      <c r="C1855" s="18"/>
      <c r="D1855" s="4"/>
      <c r="E1855" s="19">
        <v>0.0</v>
      </c>
      <c r="F1855" s="19">
        <v>0.0</v>
      </c>
      <c r="G1855" s="16" t="s">
        <v>1400</v>
      </c>
      <c r="H1855" s="21"/>
      <c r="I1855" s="22">
        <v>0.0</v>
      </c>
      <c r="J1855" s="23"/>
      <c r="K1855" s="55">
        <v>221900.0</v>
      </c>
      <c r="L1855" s="55">
        <v>280000.0</v>
      </c>
      <c r="M1855" s="25"/>
      <c r="N1855" s="26"/>
      <c r="O1855" s="27">
        <f t="shared" si="245"/>
        <v>0.261829653</v>
      </c>
      <c r="P1855" s="28">
        <f t="shared" si="247"/>
        <v>0</v>
      </c>
    </row>
    <row r="1856" hidden="1">
      <c r="A1856" s="42" t="s">
        <v>2740</v>
      </c>
      <c r="B1856" s="114" t="s">
        <v>2739</v>
      </c>
      <c r="C1856" s="18"/>
      <c r="D1856" s="4"/>
      <c r="E1856" s="19">
        <v>0.0</v>
      </c>
      <c r="F1856" s="19">
        <v>2.0</v>
      </c>
      <c r="G1856" s="16" t="s">
        <v>1400</v>
      </c>
      <c r="H1856" s="21"/>
      <c r="I1856" s="22">
        <v>0.0</v>
      </c>
      <c r="J1856" s="58">
        <v>46661.0</v>
      </c>
      <c r="K1856" s="55">
        <v>221900.0</v>
      </c>
      <c r="L1856" s="55">
        <v>280000.0</v>
      </c>
      <c r="M1856" s="25"/>
      <c r="N1856" s="26"/>
      <c r="O1856" s="27">
        <f t="shared" si="245"/>
        <v>0.261829653</v>
      </c>
      <c r="P1856" s="28">
        <f t="shared" si="247"/>
        <v>443800</v>
      </c>
    </row>
    <row r="1857" hidden="1">
      <c r="A1857" s="42" t="s">
        <v>2741</v>
      </c>
      <c r="B1857" s="114" t="s">
        <v>2739</v>
      </c>
      <c r="C1857" s="18"/>
      <c r="D1857" s="4"/>
      <c r="E1857" s="19">
        <v>0.0</v>
      </c>
      <c r="F1857" s="19">
        <v>2.0</v>
      </c>
      <c r="G1857" s="16" t="s">
        <v>1400</v>
      </c>
      <c r="H1857" s="21"/>
      <c r="I1857" s="22">
        <v>0.0</v>
      </c>
      <c r="J1857" s="23"/>
      <c r="K1857" s="55">
        <v>221900.0</v>
      </c>
      <c r="L1857" s="55">
        <v>280000.0</v>
      </c>
      <c r="M1857" s="25"/>
      <c r="N1857" s="50">
        <v>220000.0</v>
      </c>
      <c r="O1857" s="27">
        <f t="shared" si="245"/>
        <v>0.261829653</v>
      </c>
      <c r="P1857" s="28">
        <f t="shared" si="247"/>
        <v>443800</v>
      </c>
    </row>
    <row r="1858" hidden="1">
      <c r="A1858" s="42" t="s">
        <v>2742</v>
      </c>
      <c r="B1858" s="114" t="s">
        <v>2743</v>
      </c>
      <c r="C1858" s="18"/>
      <c r="D1858" s="4"/>
      <c r="E1858" s="19">
        <v>0.0</v>
      </c>
      <c r="F1858" s="19">
        <v>0.0</v>
      </c>
      <c r="G1858" s="16" t="s">
        <v>1400</v>
      </c>
      <c r="H1858" s="21"/>
      <c r="I1858" s="22">
        <v>2.0</v>
      </c>
      <c r="J1858" s="58">
        <v>45992.0</v>
      </c>
      <c r="K1858" s="55">
        <v>162500.0</v>
      </c>
      <c r="L1858" s="55">
        <v>230000.0</v>
      </c>
      <c r="M1858" s="25"/>
      <c r="N1858" s="50">
        <v>220000.0</v>
      </c>
      <c r="O1858" s="27">
        <f t="shared" si="245"/>
        <v>0.4153846154</v>
      </c>
      <c r="P1858" s="28">
        <f t="shared" si="247"/>
        <v>0</v>
      </c>
    </row>
    <row r="1859" hidden="1">
      <c r="A1859" s="42" t="s">
        <v>2744</v>
      </c>
      <c r="B1859" s="71"/>
      <c r="C1859" s="18"/>
      <c r="D1859" s="4"/>
      <c r="E1859" s="19">
        <v>0.0</v>
      </c>
      <c r="F1859" s="19">
        <v>0.0</v>
      </c>
      <c r="G1859" s="16" t="s">
        <v>1400</v>
      </c>
      <c r="H1859" s="21"/>
      <c r="I1859" s="22">
        <v>1.0</v>
      </c>
      <c r="J1859" s="47">
        <v>45901.0</v>
      </c>
      <c r="K1859" s="55">
        <v>162500.0</v>
      </c>
      <c r="L1859" s="55">
        <v>230000.0</v>
      </c>
      <c r="M1859" s="25"/>
      <c r="N1859" s="50">
        <v>220000.0</v>
      </c>
      <c r="O1859" s="27">
        <f t="shared" si="245"/>
        <v>0.4153846154</v>
      </c>
      <c r="P1859" s="28">
        <f t="shared" si="247"/>
        <v>0</v>
      </c>
    </row>
    <row r="1860" hidden="1">
      <c r="A1860" s="42" t="s">
        <v>2745</v>
      </c>
      <c r="B1860" s="71"/>
      <c r="C1860" s="18"/>
      <c r="D1860" s="4"/>
      <c r="E1860" s="19">
        <v>0.0</v>
      </c>
      <c r="F1860" s="19">
        <v>0.0</v>
      </c>
      <c r="G1860" s="16" t="s">
        <v>1400</v>
      </c>
      <c r="H1860" s="21"/>
      <c r="I1860" s="22">
        <v>0.0</v>
      </c>
      <c r="J1860" s="23"/>
      <c r="K1860" s="55">
        <v>162500.0</v>
      </c>
      <c r="L1860" s="55">
        <v>230000.0</v>
      </c>
      <c r="M1860" s="25"/>
      <c r="N1860" s="31"/>
      <c r="O1860" s="27"/>
      <c r="P1860" s="28"/>
    </row>
    <row r="1861" hidden="1">
      <c r="A1861" s="42" t="s">
        <v>2746</v>
      </c>
      <c r="B1861" s="36"/>
      <c r="C1861" s="18"/>
      <c r="D1861" s="4"/>
      <c r="E1861" s="19">
        <v>0.0</v>
      </c>
      <c r="F1861" s="19"/>
      <c r="G1861" s="16" t="s">
        <v>625</v>
      </c>
      <c r="H1861" s="21"/>
      <c r="I1861" s="22"/>
      <c r="J1861" s="29"/>
      <c r="K1861" s="43">
        <v>1.0</v>
      </c>
      <c r="L1861" s="43">
        <v>1.0</v>
      </c>
      <c r="M1861" s="25"/>
      <c r="N1861" s="26"/>
      <c r="O1861" s="27">
        <f t="shared" ref="O1861:O1863" si="248">(L1861/K1861)-1</f>
        <v>0</v>
      </c>
      <c r="P1861" s="28">
        <f t="shared" ref="P1861:P1881" si="249">K1861*F1861</f>
        <v>0</v>
      </c>
    </row>
    <row r="1862" hidden="1">
      <c r="A1862" s="42" t="s">
        <v>2746</v>
      </c>
      <c r="B1862" s="36"/>
      <c r="C1862" s="18"/>
      <c r="D1862" s="4"/>
      <c r="E1862" s="19">
        <v>0.0</v>
      </c>
      <c r="F1862" s="19"/>
      <c r="G1862" s="16" t="s">
        <v>39</v>
      </c>
      <c r="H1862" s="21"/>
      <c r="I1862" s="22"/>
      <c r="J1862" s="29"/>
      <c r="K1862" s="43">
        <v>1.0</v>
      </c>
      <c r="L1862" s="43">
        <v>1.0</v>
      </c>
      <c r="M1862" s="25"/>
      <c r="N1862" s="26"/>
      <c r="O1862" s="27">
        <f t="shared" si="248"/>
        <v>0</v>
      </c>
      <c r="P1862" s="28">
        <f t="shared" si="249"/>
        <v>0</v>
      </c>
    </row>
    <row r="1863" hidden="1">
      <c r="A1863" s="42" t="s">
        <v>2747</v>
      </c>
      <c r="B1863" s="36"/>
      <c r="C1863" s="18"/>
      <c r="D1863" s="4"/>
      <c r="E1863" s="19">
        <v>0.0</v>
      </c>
      <c r="F1863" s="19"/>
      <c r="G1863" s="16" t="s">
        <v>39</v>
      </c>
      <c r="H1863" s="21"/>
      <c r="I1863" s="22"/>
      <c r="J1863" s="29"/>
      <c r="K1863" s="43">
        <v>6000.0</v>
      </c>
      <c r="L1863" s="44">
        <v>1000.0</v>
      </c>
      <c r="M1863" s="25"/>
      <c r="N1863" s="26"/>
      <c r="O1863" s="27">
        <f t="shared" si="248"/>
        <v>-0.8333333333</v>
      </c>
      <c r="P1863" s="28">
        <f t="shared" si="249"/>
        <v>0</v>
      </c>
    </row>
    <row r="1864" hidden="1">
      <c r="A1864" s="122" t="s">
        <v>2748</v>
      </c>
      <c r="B1864" s="36"/>
      <c r="C1864" s="18"/>
      <c r="D1864" s="4"/>
      <c r="E1864" s="19">
        <v>0.0</v>
      </c>
      <c r="F1864" s="19"/>
      <c r="G1864" s="16" t="s">
        <v>2749</v>
      </c>
      <c r="H1864" s="21"/>
      <c r="I1864" s="22"/>
      <c r="J1864" s="29"/>
      <c r="K1864" s="43">
        <f>24370*1.19</f>
        <v>29000.3</v>
      </c>
      <c r="L1864" s="44">
        <v>30000.0</v>
      </c>
      <c r="M1864" s="25"/>
      <c r="N1864" s="39"/>
      <c r="O1864" s="147" t="s">
        <v>611</v>
      </c>
      <c r="P1864" s="28">
        <f t="shared" si="249"/>
        <v>0</v>
      </c>
    </row>
    <row r="1865" hidden="1">
      <c r="A1865" s="42" t="s">
        <v>2750</v>
      </c>
      <c r="B1865" s="36"/>
      <c r="C1865" s="18"/>
      <c r="D1865" s="4"/>
      <c r="E1865" s="19">
        <v>0.0</v>
      </c>
      <c r="F1865" s="19"/>
      <c r="G1865" s="16" t="s">
        <v>2749</v>
      </c>
      <c r="H1865" s="21"/>
      <c r="I1865" s="22"/>
      <c r="J1865" s="29"/>
      <c r="K1865" s="43">
        <v>1250.0</v>
      </c>
      <c r="L1865" s="44">
        <v>2000.0</v>
      </c>
      <c r="M1865" s="25"/>
      <c r="N1865" s="26"/>
      <c r="O1865" s="27">
        <f t="shared" ref="O1865:O1881" si="250">(L1865/K1865)-1</f>
        <v>0.6</v>
      </c>
      <c r="P1865" s="28">
        <f t="shared" si="249"/>
        <v>0</v>
      </c>
    </row>
    <row r="1866" hidden="1">
      <c r="A1866" s="42" t="s">
        <v>2751</v>
      </c>
      <c r="B1866" s="71"/>
      <c r="C1866" s="18"/>
      <c r="D1866" s="4"/>
      <c r="E1866" s="19">
        <v>0.0</v>
      </c>
      <c r="F1866" s="19"/>
      <c r="G1866" s="20" t="s">
        <v>291</v>
      </c>
      <c r="H1866" s="21"/>
      <c r="I1866" s="22"/>
      <c r="J1866" s="29"/>
      <c r="K1866" s="32">
        <v>900.0</v>
      </c>
      <c r="L1866" s="24">
        <v>1500.0</v>
      </c>
      <c r="M1866" s="25"/>
      <c r="N1866" s="50"/>
      <c r="O1866" s="27">
        <f t="shared" si="250"/>
        <v>0.6666666667</v>
      </c>
      <c r="P1866" s="28">
        <f t="shared" si="249"/>
        <v>0</v>
      </c>
    </row>
    <row r="1867" hidden="1">
      <c r="A1867" s="52" t="s">
        <v>2752</v>
      </c>
      <c r="B1867" s="17" t="s">
        <v>2753</v>
      </c>
      <c r="C1867" s="38"/>
      <c r="D1867" s="4" t="s">
        <v>2754</v>
      </c>
      <c r="E1867" s="19">
        <v>0.0</v>
      </c>
      <c r="F1867" s="19">
        <v>20.0</v>
      </c>
      <c r="G1867" s="16" t="s">
        <v>2755</v>
      </c>
      <c r="H1867" s="21"/>
      <c r="I1867" s="22">
        <v>17.0</v>
      </c>
      <c r="J1867" s="23"/>
      <c r="K1867" s="55">
        <v>2501.0</v>
      </c>
      <c r="L1867" s="55">
        <v>5000.0</v>
      </c>
      <c r="M1867" s="25"/>
      <c r="N1867" s="70"/>
      <c r="O1867" s="27">
        <f t="shared" si="250"/>
        <v>0.9992003199</v>
      </c>
      <c r="P1867" s="28">
        <f t="shared" si="249"/>
        <v>50020</v>
      </c>
    </row>
    <row r="1868" hidden="1">
      <c r="A1868" s="122" t="s">
        <v>2756</v>
      </c>
      <c r="B1868" s="51"/>
      <c r="C1868" s="18"/>
      <c r="D1868" s="4"/>
      <c r="E1868" s="19">
        <v>0.0</v>
      </c>
      <c r="F1868" s="19"/>
      <c r="G1868" s="16" t="s">
        <v>2757</v>
      </c>
      <c r="H1868" s="21"/>
      <c r="I1868" s="22"/>
      <c r="J1868" s="23"/>
      <c r="K1868" s="44">
        <v>1550.0</v>
      </c>
      <c r="L1868" s="44">
        <v>8000.0</v>
      </c>
      <c r="M1868" s="25"/>
      <c r="N1868" s="26"/>
      <c r="O1868" s="27">
        <f t="shared" si="250"/>
        <v>4.161290323</v>
      </c>
      <c r="P1868" s="28">
        <f t="shared" si="249"/>
        <v>0</v>
      </c>
    </row>
    <row r="1869" hidden="1">
      <c r="A1869" s="52" t="s">
        <v>2758</v>
      </c>
      <c r="B1869" s="17" t="s">
        <v>2759</v>
      </c>
      <c r="C1869" s="38"/>
      <c r="D1869" s="4" t="s">
        <v>2754</v>
      </c>
      <c r="E1869" s="19">
        <v>0.0</v>
      </c>
      <c r="F1869" s="19">
        <v>20.0</v>
      </c>
      <c r="G1869" s="16" t="s">
        <v>2755</v>
      </c>
      <c r="H1869" s="21"/>
      <c r="I1869" s="22">
        <v>50.0</v>
      </c>
      <c r="J1869" s="23"/>
      <c r="K1869" s="55">
        <v>2261.0</v>
      </c>
      <c r="L1869" s="55">
        <v>4000.0</v>
      </c>
      <c r="M1869" s="25"/>
      <c r="N1869" s="50">
        <v>3000.0</v>
      </c>
      <c r="O1869" s="27">
        <f t="shared" si="250"/>
        <v>0.7691287041</v>
      </c>
      <c r="P1869" s="28">
        <f t="shared" si="249"/>
        <v>45220</v>
      </c>
    </row>
    <row r="1870" hidden="1">
      <c r="A1870" s="40" t="s">
        <v>2760</v>
      </c>
      <c r="B1870" s="17"/>
      <c r="C1870" s="18"/>
      <c r="D1870" s="4"/>
      <c r="E1870" s="19">
        <v>0.0</v>
      </c>
      <c r="F1870" s="19">
        <v>0.0</v>
      </c>
      <c r="G1870" s="16" t="s">
        <v>1935</v>
      </c>
      <c r="H1870" s="21"/>
      <c r="I1870" s="22" t="s">
        <v>99</v>
      </c>
      <c r="J1870" s="29"/>
      <c r="K1870" s="43">
        <v>1359.0</v>
      </c>
      <c r="L1870" s="44">
        <v>2500.0</v>
      </c>
      <c r="M1870" s="25"/>
      <c r="N1870" s="31"/>
      <c r="O1870" s="27">
        <f t="shared" si="250"/>
        <v>0.8395879323</v>
      </c>
      <c r="P1870" s="28">
        <f t="shared" si="249"/>
        <v>0</v>
      </c>
    </row>
    <row r="1871" hidden="1">
      <c r="A1871" s="16" t="s">
        <v>2761</v>
      </c>
      <c r="B1871" s="36"/>
      <c r="C1871" s="18"/>
      <c r="D1871" s="4"/>
      <c r="E1871" s="19">
        <v>0.0</v>
      </c>
      <c r="F1871" s="19"/>
      <c r="G1871" s="16" t="s">
        <v>2762</v>
      </c>
      <c r="H1871" s="21"/>
      <c r="I1871" s="22"/>
      <c r="J1871" s="29"/>
      <c r="K1871" s="43">
        <f>(208000/80)/50*20</f>
        <v>1040</v>
      </c>
      <c r="L1871" s="44">
        <v>3000.0</v>
      </c>
      <c r="M1871" s="25"/>
      <c r="N1871" s="26"/>
      <c r="O1871" s="27">
        <f t="shared" si="250"/>
        <v>1.884615385</v>
      </c>
      <c r="P1871" s="28">
        <f t="shared" si="249"/>
        <v>0</v>
      </c>
    </row>
    <row r="1872" hidden="1">
      <c r="A1872" s="16" t="s">
        <v>2763</v>
      </c>
      <c r="B1872" s="36"/>
      <c r="C1872" s="18"/>
      <c r="D1872" s="4"/>
      <c r="E1872" s="19">
        <v>0.0</v>
      </c>
      <c r="F1872" s="19">
        <v>0.0</v>
      </c>
      <c r="G1872" s="16" t="s">
        <v>590</v>
      </c>
      <c r="H1872" s="21">
        <v>0.0</v>
      </c>
      <c r="I1872" s="22">
        <v>5.0</v>
      </c>
      <c r="J1872" s="29"/>
      <c r="K1872" s="43">
        <v>4000.0</v>
      </c>
      <c r="L1872" s="44">
        <v>6000.0</v>
      </c>
      <c r="M1872" s="25"/>
      <c r="N1872" s="26"/>
      <c r="O1872" s="27">
        <f t="shared" si="250"/>
        <v>0.5</v>
      </c>
      <c r="P1872" s="28">
        <f t="shared" si="249"/>
        <v>0</v>
      </c>
    </row>
    <row r="1873" hidden="1">
      <c r="A1873" s="59" t="s">
        <v>2764</v>
      </c>
      <c r="B1873" s="49"/>
      <c r="C1873" s="18"/>
      <c r="D1873" s="4"/>
      <c r="E1873" s="19">
        <v>0.0</v>
      </c>
      <c r="F1873" s="19"/>
      <c r="G1873" s="16" t="s">
        <v>2765</v>
      </c>
      <c r="H1873" s="21"/>
      <c r="I1873" s="22"/>
      <c r="J1873" s="29"/>
      <c r="K1873" s="43">
        <v>5000.0</v>
      </c>
      <c r="L1873" s="44">
        <v>10000.0</v>
      </c>
      <c r="M1873" s="25"/>
      <c r="N1873" s="31"/>
      <c r="O1873" s="27">
        <f t="shared" si="250"/>
        <v>1</v>
      </c>
      <c r="P1873" s="28">
        <f t="shared" si="249"/>
        <v>0</v>
      </c>
    </row>
    <row r="1874" hidden="1">
      <c r="A1874" s="59" t="s">
        <v>2766</v>
      </c>
      <c r="B1874" s="49"/>
      <c r="C1874" s="18"/>
      <c r="D1874" s="4"/>
      <c r="E1874" s="19">
        <v>0.0</v>
      </c>
      <c r="F1874" s="19"/>
      <c r="G1874" s="16" t="s">
        <v>2765</v>
      </c>
      <c r="H1874" s="21"/>
      <c r="I1874" s="22"/>
      <c r="J1874" s="29"/>
      <c r="K1874" s="43">
        <v>5000.0</v>
      </c>
      <c r="L1874" s="44">
        <v>8000.0</v>
      </c>
      <c r="M1874" s="25"/>
      <c r="N1874" s="26"/>
      <c r="O1874" s="27">
        <f t="shared" si="250"/>
        <v>0.6</v>
      </c>
      <c r="P1874" s="28">
        <f t="shared" si="249"/>
        <v>0</v>
      </c>
    </row>
    <row r="1875" hidden="1">
      <c r="A1875" s="16" t="s">
        <v>2767</v>
      </c>
      <c r="B1875" s="36"/>
      <c r="C1875" s="18"/>
      <c r="D1875" s="4"/>
      <c r="E1875" s="19">
        <v>0.0</v>
      </c>
      <c r="F1875" s="19">
        <v>0.0</v>
      </c>
      <c r="G1875" s="16" t="s">
        <v>84</v>
      </c>
      <c r="H1875" s="21"/>
      <c r="I1875" s="22"/>
      <c r="J1875" s="29"/>
      <c r="K1875" s="43">
        <v>11520.0</v>
      </c>
      <c r="L1875" s="44">
        <v>20000.0</v>
      </c>
      <c r="M1875" s="25"/>
      <c r="N1875" s="31"/>
      <c r="O1875" s="27">
        <f t="shared" si="250"/>
        <v>0.7361111111</v>
      </c>
      <c r="P1875" s="28">
        <f t="shared" si="249"/>
        <v>0</v>
      </c>
    </row>
    <row r="1876" hidden="1">
      <c r="A1876" s="122" t="s">
        <v>2768</v>
      </c>
      <c r="B1876" s="17">
        <v>249003.0</v>
      </c>
      <c r="C1876" s="18" t="s">
        <v>2769</v>
      </c>
      <c r="D1876" s="67"/>
      <c r="E1876" s="19"/>
      <c r="F1876" s="19">
        <v>0.0</v>
      </c>
      <c r="G1876" s="16" t="s">
        <v>2770</v>
      </c>
      <c r="H1876" s="21"/>
      <c r="I1876" s="22"/>
      <c r="J1876" s="29"/>
      <c r="K1876" s="32">
        <v>3484.0</v>
      </c>
      <c r="L1876" s="24">
        <v>5000.0</v>
      </c>
      <c r="M1876" s="25"/>
      <c r="N1876" s="70"/>
      <c r="O1876" s="27">
        <f t="shared" si="250"/>
        <v>0.4351320321</v>
      </c>
      <c r="P1876" s="28">
        <f t="shared" si="249"/>
        <v>0</v>
      </c>
    </row>
    <row r="1877" hidden="1">
      <c r="A1877" s="16" t="s">
        <v>2771</v>
      </c>
      <c r="B1877" s="17" t="s">
        <v>1818</v>
      </c>
      <c r="C1877" s="18"/>
      <c r="D1877" s="4"/>
      <c r="E1877" s="19">
        <v>0.0</v>
      </c>
      <c r="F1877" s="19"/>
      <c r="G1877" s="16" t="s">
        <v>1811</v>
      </c>
      <c r="H1877" s="21"/>
      <c r="I1877" s="22"/>
      <c r="J1877" s="29"/>
      <c r="K1877" s="48">
        <f>212500*1.19/40</f>
        <v>6321.875</v>
      </c>
      <c r="L1877" s="55">
        <v>9000.0</v>
      </c>
      <c r="M1877" s="25"/>
      <c r="N1877" s="26"/>
      <c r="O1877" s="27">
        <f t="shared" si="250"/>
        <v>0.4236282748</v>
      </c>
      <c r="P1877" s="28">
        <f t="shared" si="249"/>
        <v>0</v>
      </c>
    </row>
    <row r="1878" hidden="1">
      <c r="A1878" s="122" t="s">
        <v>2772</v>
      </c>
      <c r="B1878" s="17">
        <v>247006.0</v>
      </c>
      <c r="C1878" s="18"/>
      <c r="D1878" s="4"/>
      <c r="E1878" s="19">
        <v>0.0</v>
      </c>
      <c r="F1878" s="19">
        <v>0.0</v>
      </c>
      <c r="G1878" s="16" t="s">
        <v>425</v>
      </c>
      <c r="H1878" s="73"/>
      <c r="I1878" s="22"/>
      <c r="J1878" s="74"/>
      <c r="K1878" s="75">
        <v>230000.0</v>
      </c>
      <c r="L1878" s="44">
        <f t="shared" ref="L1878:L1879" si="251">K1878*1.5</f>
        <v>345000</v>
      </c>
      <c r="M1878" s="25"/>
      <c r="N1878" s="26"/>
      <c r="O1878" s="27">
        <f t="shared" si="250"/>
        <v>0.5</v>
      </c>
      <c r="P1878" s="28">
        <f t="shared" si="249"/>
        <v>0</v>
      </c>
    </row>
    <row r="1879" hidden="1">
      <c r="A1879" s="122" t="s">
        <v>2773</v>
      </c>
      <c r="B1879" s="17">
        <v>247005.0</v>
      </c>
      <c r="C1879" s="18"/>
      <c r="D1879" s="4"/>
      <c r="E1879" s="19">
        <v>0.0</v>
      </c>
      <c r="F1879" s="19">
        <v>0.0</v>
      </c>
      <c r="G1879" s="16" t="s">
        <v>425</v>
      </c>
      <c r="H1879" s="73"/>
      <c r="I1879" s="22"/>
      <c r="J1879" s="74"/>
      <c r="K1879" s="75">
        <v>130000.0</v>
      </c>
      <c r="L1879" s="44">
        <f t="shared" si="251"/>
        <v>195000</v>
      </c>
      <c r="M1879" s="25"/>
      <c r="N1879" s="26"/>
      <c r="O1879" s="27">
        <f t="shared" si="250"/>
        <v>0.5</v>
      </c>
      <c r="P1879" s="28">
        <f t="shared" si="249"/>
        <v>0</v>
      </c>
    </row>
    <row r="1880" hidden="1">
      <c r="A1880" s="16" t="s">
        <v>2774</v>
      </c>
      <c r="B1880" s="36"/>
      <c r="C1880" s="18" t="s">
        <v>328</v>
      </c>
      <c r="D1880" s="4"/>
      <c r="E1880" s="19">
        <v>0.0</v>
      </c>
      <c r="F1880" s="19">
        <v>0.0</v>
      </c>
      <c r="G1880" s="54" t="s">
        <v>63</v>
      </c>
      <c r="H1880" s="21"/>
      <c r="I1880" s="22">
        <v>1.0</v>
      </c>
      <c r="J1880" s="23"/>
      <c r="K1880" s="55">
        <v>106480.0</v>
      </c>
      <c r="L1880" s="55">
        <v>142000.0</v>
      </c>
      <c r="M1880" s="25" t="s">
        <v>82</v>
      </c>
      <c r="N1880" s="26"/>
      <c r="O1880" s="27">
        <f t="shared" si="250"/>
        <v>0.3335837716</v>
      </c>
      <c r="P1880" s="28">
        <f t="shared" si="249"/>
        <v>0</v>
      </c>
    </row>
    <row r="1881" hidden="1">
      <c r="A1881" s="224" t="s">
        <v>2775</v>
      </c>
      <c r="B1881" s="17"/>
      <c r="C1881" s="38"/>
      <c r="D1881" s="61"/>
      <c r="E1881" s="19"/>
      <c r="F1881" s="19"/>
      <c r="G1881" s="16" t="s">
        <v>1626</v>
      </c>
      <c r="H1881" s="21"/>
      <c r="I1881" s="22">
        <v>0.0</v>
      </c>
      <c r="J1881" s="45"/>
      <c r="K1881" s="172">
        <v>445280.0</v>
      </c>
      <c r="L1881" s="44">
        <v>500000.0</v>
      </c>
      <c r="M1881" s="25"/>
      <c r="N1881" s="26"/>
      <c r="O1881" s="27">
        <f t="shared" si="250"/>
        <v>0.1228889687</v>
      </c>
      <c r="P1881" s="28">
        <f t="shared" si="249"/>
        <v>0</v>
      </c>
    </row>
    <row r="1882" hidden="1">
      <c r="A1882" s="16" t="s">
        <v>2776</v>
      </c>
      <c r="B1882" s="36"/>
      <c r="C1882" s="18"/>
      <c r="D1882" s="4"/>
      <c r="E1882" s="19">
        <v>0.0</v>
      </c>
      <c r="F1882" s="19">
        <v>0.0</v>
      </c>
      <c r="G1882" s="20" t="s">
        <v>580</v>
      </c>
      <c r="H1882" s="21"/>
      <c r="I1882" s="22">
        <v>1.0</v>
      </c>
      <c r="J1882" s="29"/>
      <c r="K1882" s="32"/>
      <c r="L1882" s="55">
        <v>420000.0</v>
      </c>
      <c r="M1882" s="25"/>
      <c r="N1882" s="31"/>
      <c r="O1882" s="27"/>
      <c r="P1882" s="28"/>
    </row>
    <row r="1883" hidden="1">
      <c r="A1883" s="16" t="s">
        <v>2777</v>
      </c>
      <c r="B1883" s="36"/>
      <c r="C1883" s="18"/>
      <c r="D1883" s="4"/>
      <c r="E1883" s="19">
        <v>0.0</v>
      </c>
      <c r="F1883" s="19">
        <v>0.0</v>
      </c>
      <c r="G1883" s="20" t="s">
        <v>2778</v>
      </c>
      <c r="H1883" s="21"/>
      <c r="I1883" s="22">
        <v>19.0</v>
      </c>
      <c r="J1883" s="29"/>
      <c r="K1883" s="32">
        <v>18000.0</v>
      </c>
      <c r="L1883" s="24">
        <v>28000.0</v>
      </c>
      <c r="M1883" s="25"/>
      <c r="N1883" s="31"/>
      <c r="O1883" s="27">
        <f t="shared" ref="O1883:O1884" si="252">(L1883/K1883)-1</f>
        <v>0.5555555556</v>
      </c>
      <c r="P1883" s="28">
        <f t="shared" ref="P1883:P1884" si="253">K1883*F1883</f>
        <v>0</v>
      </c>
    </row>
    <row r="1884" hidden="1">
      <c r="A1884" s="16" t="s">
        <v>2779</v>
      </c>
      <c r="B1884" s="36"/>
      <c r="C1884" s="18"/>
      <c r="D1884" s="4"/>
      <c r="E1884" s="19">
        <v>0.0</v>
      </c>
      <c r="F1884" s="19">
        <v>0.0</v>
      </c>
      <c r="G1884" s="20" t="s">
        <v>2780</v>
      </c>
      <c r="H1884" s="21"/>
      <c r="I1884" s="22"/>
      <c r="J1884" s="29"/>
      <c r="K1884" s="43">
        <v>7500.0</v>
      </c>
      <c r="L1884" s="44">
        <v>17000.0</v>
      </c>
      <c r="M1884" s="25"/>
      <c r="N1884" s="26"/>
      <c r="O1884" s="27">
        <f t="shared" si="252"/>
        <v>1.266666667</v>
      </c>
      <c r="P1884" s="28">
        <f t="shared" si="253"/>
        <v>0</v>
      </c>
    </row>
    <row r="1885" hidden="1">
      <c r="A1885" s="16" t="s">
        <v>2781</v>
      </c>
      <c r="B1885" s="17"/>
      <c r="C1885" s="38"/>
      <c r="D1885" s="4"/>
      <c r="E1885" s="19">
        <v>0.0</v>
      </c>
      <c r="F1885" s="19">
        <v>0.0</v>
      </c>
      <c r="G1885" s="16"/>
      <c r="H1885" s="21"/>
      <c r="I1885" s="22">
        <v>2.0</v>
      </c>
      <c r="J1885" s="47">
        <v>45778.0</v>
      </c>
      <c r="K1885" s="43"/>
      <c r="L1885" s="172"/>
      <c r="M1885" s="25"/>
      <c r="N1885" s="26"/>
      <c r="O1885" s="27"/>
      <c r="P1885" s="28"/>
    </row>
    <row r="1886" hidden="1">
      <c r="A1886" s="40" t="s">
        <v>2782</v>
      </c>
      <c r="B1886" s="17"/>
      <c r="C1886" s="18"/>
      <c r="D1886" s="4"/>
      <c r="E1886" s="19">
        <v>0.0</v>
      </c>
      <c r="F1886" s="19"/>
      <c r="G1886" s="16" t="s">
        <v>57</v>
      </c>
      <c r="H1886" s="21"/>
      <c r="I1886" s="22"/>
      <c r="J1886" s="29"/>
      <c r="K1886" s="43">
        <v>200000.0</v>
      </c>
      <c r="L1886" s="44">
        <v>245000.0</v>
      </c>
      <c r="M1886" s="25"/>
      <c r="N1886" s="31"/>
      <c r="O1886" s="27">
        <f t="shared" ref="O1886:O1911" si="254">(L1886/K1886)-1</f>
        <v>0.225</v>
      </c>
      <c r="P1886" s="28">
        <f t="shared" ref="P1886:P1900" si="255">K1886*F1886</f>
        <v>0</v>
      </c>
    </row>
    <row r="1887" hidden="1">
      <c r="A1887" s="42" t="s">
        <v>2783</v>
      </c>
      <c r="B1887" s="17"/>
      <c r="C1887" s="38"/>
      <c r="D1887" s="61"/>
      <c r="E1887" s="19"/>
      <c r="F1887" s="19"/>
      <c r="G1887" s="16" t="s">
        <v>2784</v>
      </c>
      <c r="H1887" s="21"/>
      <c r="I1887" s="22">
        <v>0.0</v>
      </c>
      <c r="J1887" s="29"/>
      <c r="K1887" s="43"/>
      <c r="L1887" s="44"/>
      <c r="M1887" s="25"/>
      <c r="N1887" s="26"/>
      <c r="O1887" s="27" t="str">
        <f t="shared" si="254"/>
        <v>#DIV/0!</v>
      </c>
      <c r="P1887" s="28">
        <f t="shared" si="255"/>
        <v>0</v>
      </c>
    </row>
    <row r="1888" hidden="1">
      <c r="A1888" s="40" t="s">
        <v>2785</v>
      </c>
      <c r="B1888" s="49"/>
      <c r="C1888" s="18"/>
      <c r="D1888" s="4"/>
      <c r="E1888" s="19">
        <v>0.0</v>
      </c>
      <c r="F1888" s="19"/>
      <c r="G1888" s="20" t="s">
        <v>2786</v>
      </c>
      <c r="H1888" s="21"/>
      <c r="I1888" s="22"/>
      <c r="J1888" s="29"/>
      <c r="K1888" s="43">
        <v>68300.0</v>
      </c>
      <c r="L1888" s="44">
        <v>75000.0</v>
      </c>
      <c r="M1888" s="25"/>
      <c r="N1888" s="26"/>
      <c r="O1888" s="27">
        <f t="shared" si="254"/>
        <v>0.0980966325</v>
      </c>
      <c r="P1888" s="28">
        <f t="shared" si="255"/>
        <v>0</v>
      </c>
    </row>
    <row r="1889" hidden="1">
      <c r="A1889" s="16" t="s">
        <v>2787</v>
      </c>
      <c r="B1889" s="36" t="s">
        <v>2788</v>
      </c>
      <c r="C1889" s="18"/>
      <c r="D1889" s="4"/>
      <c r="E1889" s="19">
        <v>0.0</v>
      </c>
      <c r="F1889" s="19">
        <v>0.0</v>
      </c>
      <c r="G1889" s="16" t="s">
        <v>70</v>
      </c>
      <c r="H1889" s="21"/>
      <c r="I1889" s="22"/>
      <c r="J1889" s="29"/>
      <c r="K1889" s="43">
        <f>100000*0.8*1.19</f>
        <v>95200</v>
      </c>
      <c r="L1889" s="44">
        <v>145000.0</v>
      </c>
      <c r="M1889" s="25"/>
      <c r="N1889" s="26"/>
      <c r="O1889" s="27">
        <f t="shared" si="254"/>
        <v>0.5231092437</v>
      </c>
      <c r="P1889" s="28">
        <f t="shared" si="255"/>
        <v>0</v>
      </c>
    </row>
    <row r="1890" hidden="1">
      <c r="A1890" s="42" t="s">
        <v>2789</v>
      </c>
      <c r="B1890" s="71"/>
      <c r="C1890" s="18"/>
      <c r="D1890" s="4"/>
      <c r="E1890" s="19">
        <v>0.0</v>
      </c>
      <c r="F1890" s="19"/>
      <c r="G1890" s="20" t="s">
        <v>291</v>
      </c>
      <c r="H1890" s="21"/>
      <c r="I1890" s="22"/>
      <c r="J1890" s="29"/>
      <c r="K1890" s="32">
        <f>23529.41*1.19</f>
        <v>27999.9979</v>
      </c>
      <c r="L1890" s="24">
        <v>40000.0</v>
      </c>
      <c r="M1890" s="25"/>
      <c r="N1890" s="70" t="s">
        <v>2790</v>
      </c>
      <c r="O1890" s="27">
        <f t="shared" si="254"/>
        <v>0.4285715357</v>
      </c>
      <c r="P1890" s="28">
        <f t="shared" si="255"/>
        <v>0</v>
      </c>
    </row>
    <row r="1891" hidden="1">
      <c r="A1891" s="16" t="s">
        <v>2791</v>
      </c>
      <c r="B1891" s="49"/>
      <c r="C1891" s="18"/>
      <c r="D1891" s="4"/>
      <c r="E1891" s="19"/>
      <c r="F1891" s="19"/>
      <c r="G1891" s="16" t="s">
        <v>1926</v>
      </c>
      <c r="H1891" s="21"/>
      <c r="I1891" s="22"/>
      <c r="J1891" s="47">
        <v>46478.0</v>
      </c>
      <c r="K1891" s="55">
        <f>6650*1.19</f>
        <v>7913.5</v>
      </c>
      <c r="L1891" s="55">
        <v>12000.0</v>
      </c>
      <c r="M1891" s="25"/>
      <c r="N1891" s="26"/>
      <c r="O1891" s="27">
        <f t="shared" si="254"/>
        <v>0.5163960321</v>
      </c>
      <c r="P1891" s="28">
        <f t="shared" si="255"/>
        <v>0</v>
      </c>
    </row>
    <row r="1892" hidden="1">
      <c r="A1892" s="16" t="s">
        <v>2792</v>
      </c>
      <c r="B1892" s="36"/>
      <c r="C1892" s="18"/>
      <c r="D1892" s="4"/>
      <c r="E1892" s="19"/>
      <c r="F1892" s="19"/>
      <c r="G1892" s="16" t="s">
        <v>88</v>
      </c>
      <c r="H1892" s="21"/>
      <c r="I1892" s="22">
        <v>7.0</v>
      </c>
      <c r="J1892" s="47">
        <v>46174.0</v>
      </c>
      <c r="K1892" s="24">
        <f>5311*1.19</f>
        <v>6320.09</v>
      </c>
      <c r="L1892" s="32">
        <v>12000.0</v>
      </c>
      <c r="M1892" s="25"/>
      <c r="N1892" s="26"/>
      <c r="O1892" s="27">
        <f t="shared" si="254"/>
        <v>0.8987071387</v>
      </c>
      <c r="P1892" s="28">
        <f t="shared" si="255"/>
        <v>0</v>
      </c>
    </row>
    <row r="1893" hidden="1">
      <c r="A1893" s="16" t="s">
        <v>2793</v>
      </c>
      <c r="B1893" s="17"/>
      <c r="C1893" s="18"/>
      <c r="D1893" s="4"/>
      <c r="E1893" s="19">
        <v>0.0</v>
      </c>
      <c r="F1893" s="19">
        <v>0.0</v>
      </c>
      <c r="G1893" s="16" t="s">
        <v>2794</v>
      </c>
      <c r="H1893" s="21"/>
      <c r="I1893" s="22">
        <f>194+50</f>
        <v>244</v>
      </c>
      <c r="J1893" s="29"/>
      <c r="K1893" s="48">
        <v>2400.0</v>
      </c>
      <c r="L1893" s="55">
        <v>7000.0</v>
      </c>
      <c r="M1893" s="25"/>
      <c r="N1893" s="26"/>
      <c r="O1893" s="27">
        <f t="shared" si="254"/>
        <v>1.916666667</v>
      </c>
      <c r="P1893" s="28">
        <f t="shared" si="255"/>
        <v>0</v>
      </c>
    </row>
    <row r="1894" hidden="1">
      <c r="A1894" s="16" t="s">
        <v>2795</v>
      </c>
      <c r="B1894" s="17"/>
      <c r="C1894" s="18"/>
      <c r="D1894" s="4"/>
      <c r="E1894" s="19">
        <v>0.0</v>
      </c>
      <c r="F1894" s="19">
        <v>0.0</v>
      </c>
      <c r="G1894" s="16" t="s">
        <v>2794</v>
      </c>
      <c r="H1894" s="21"/>
      <c r="I1894" s="22">
        <f>168+50+50</f>
        <v>268</v>
      </c>
      <c r="J1894" s="29"/>
      <c r="K1894" s="48">
        <v>4900.0</v>
      </c>
      <c r="L1894" s="55">
        <v>7000.0</v>
      </c>
      <c r="M1894" s="25"/>
      <c r="N1894" s="26"/>
      <c r="O1894" s="27">
        <f t="shared" si="254"/>
        <v>0.4285714286</v>
      </c>
      <c r="P1894" s="28">
        <f t="shared" si="255"/>
        <v>0</v>
      </c>
    </row>
    <row r="1895" hidden="1">
      <c r="A1895" s="40" t="s">
        <v>2796</v>
      </c>
      <c r="B1895" s="17"/>
      <c r="C1895" s="18"/>
      <c r="D1895" s="4"/>
      <c r="E1895" s="19">
        <v>0.0</v>
      </c>
      <c r="F1895" s="19">
        <v>0.0</v>
      </c>
      <c r="G1895" s="16" t="s">
        <v>2794</v>
      </c>
      <c r="H1895" s="21"/>
      <c r="I1895" s="22">
        <v>53.0</v>
      </c>
      <c r="J1895" s="29"/>
      <c r="K1895" s="48">
        <v>5200.0</v>
      </c>
      <c r="L1895" s="55">
        <v>8000.0</v>
      </c>
      <c r="M1895" s="25"/>
      <c r="N1895" s="26"/>
      <c r="O1895" s="27">
        <f t="shared" si="254"/>
        <v>0.5384615385</v>
      </c>
      <c r="P1895" s="28">
        <f t="shared" si="255"/>
        <v>0</v>
      </c>
    </row>
    <row r="1896" hidden="1">
      <c r="A1896" s="16" t="s">
        <v>2797</v>
      </c>
      <c r="B1896" s="17"/>
      <c r="C1896" s="18"/>
      <c r="D1896" s="4"/>
      <c r="E1896" s="19">
        <v>0.0</v>
      </c>
      <c r="F1896" s="19">
        <v>0.0</v>
      </c>
      <c r="G1896" s="16" t="s">
        <v>2794</v>
      </c>
      <c r="H1896" s="21"/>
      <c r="I1896" s="22">
        <f>52+25</f>
        <v>77</v>
      </c>
      <c r="J1896" s="29"/>
      <c r="K1896" s="48">
        <v>7900.0</v>
      </c>
      <c r="L1896" s="55">
        <v>10000.0</v>
      </c>
      <c r="M1896" s="25"/>
      <c r="N1896" s="26"/>
      <c r="O1896" s="27">
        <f t="shared" si="254"/>
        <v>0.2658227848</v>
      </c>
      <c r="P1896" s="28">
        <f t="shared" si="255"/>
        <v>0</v>
      </c>
    </row>
    <row r="1897" hidden="1">
      <c r="A1897" s="16" t="s">
        <v>2798</v>
      </c>
      <c r="B1897" s="17" t="s">
        <v>2799</v>
      </c>
      <c r="C1897" s="276"/>
      <c r="D1897" s="4"/>
      <c r="E1897" s="19">
        <v>0.0</v>
      </c>
      <c r="F1897" s="19">
        <v>0.0</v>
      </c>
      <c r="G1897" s="16" t="s">
        <v>1876</v>
      </c>
      <c r="H1897" s="21"/>
      <c r="I1897" s="22"/>
      <c r="J1897" s="58"/>
      <c r="K1897" s="48">
        <f>494050/214</f>
        <v>2308.64486</v>
      </c>
      <c r="L1897" s="55">
        <v>3500.0</v>
      </c>
      <c r="M1897" s="25"/>
      <c r="N1897" s="26"/>
      <c r="O1897" s="27">
        <f t="shared" si="254"/>
        <v>0.5160408865</v>
      </c>
      <c r="P1897" s="28">
        <f t="shared" si="255"/>
        <v>0</v>
      </c>
    </row>
    <row r="1898" hidden="1">
      <c r="A1898" s="16" t="s">
        <v>2800</v>
      </c>
      <c r="B1898" s="17"/>
      <c r="C1898" s="277"/>
      <c r="D1898" s="4"/>
      <c r="E1898" s="19">
        <v>99.0</v>
      </c>
      <c r="F1898" s="19">
        <v>0.0</v>
      </c>
      <c r="G1898" s="16" t="s">
        <v>1876</v>
      </c>
      <c r="H1898" s="21"/>
      <c r="I1898" s="22"/>
      <c r="J1898" s="58"/>
      <c r="K1898" s="55">
        <f>492980/33</f>
        <v>14938.78788</v>
      </c>
      <c r="L1898" s="55">
        <v>18000.0</v>
      </c>
      <c r="M1898" s="25"/>
      <c r="N1898" s="26">
        <v>16000.0</v>
      </c>
      <c r="O1898" s="27">
        <f t="shared" si="254"/>
        <v>0.2049170352</v>
      </c>
      <c r="P1898" s="28">
        <f t="shared" si="255"/>
        <v>0</v>
      </c>
    </row>
    <row r="1899" hidden="1">
      <c r="A1899" s="16" t="s">
        <v>2801</v>
      </c>
      <c r="B1899" s="17" t="s">
        <v>2799</v>
      </c>
      <c r="C1899" s="276"/>
      <c r="D1899" s="4"/>
      <c r="E1899" s="19">
        <v>0.0</v>
      </c>
      <c r="F1899" s="19">
        <v>0.0</v>
      </c>
      <c r="G1899" s="16" t="s">
        <v>1876</v>
      </c>
      <c r="H1899" s="21"/>
      <c r="I1899" s="22"/>
      <c r="J1899" s="29"/>
      <c r="K1899" s="48">
        <f>323440/150</f>
        <v>2156.266667</v>
      </c>
      <c r="L1899" s="55">
        <v>3500.0</v>
      </c>
      <c r="M1899" s="25"/>
      <c r="N1899" s="26"/>
      <c r="O1899" s="27">
        <f t="shared" si="254"/>
        <v>0.6231758595</v>
      </c>
      <c r="P1899" s="28">
        <f t="shared" si="255"/>
        <v>0</v>
      </c>
    </row>
    <row r="1900" hidden="1">
      <c r="A1900" s="16" t="s">
        <v>2802</v>
      </c>
      <c r="B1900" s="17"/>
      <c r="C1900" s="277"/>
      <c r="D1900" s="4"/>
      <c r="E1900" s="19">
        <v>0.0</v>
      </c>
      <c r="F1900" s="19">
        <v>0.0</v>
      </c>
      <c r="G1900" s="16" t="s">
        <v>1876</v>
      </c>
      <c r="H1900" s="21"/>
      <c r="I1900" s="22"/>
      <c r="J1900" s="23"/>
      <c r="K1900" s="55">
        <f>322260/33</f>
        <v>9765.454545</v>
      </c>
      <c r="L1900" s="55">
        <v>15000.0</v>
      </c>
      <c r="M1900" s="25"/>
      <c r="N1900" s="26">
        <v>16000.0</v>
      </c>
      <c r="O1900" s="27">
        <f t="shared" si="254"/>
        <v>0.5360268106</v>
      </c>
      <c r="P1900" s="28">
        <f t="shared" si="255"/>
        <v>0</v>
      </c>
    </row>
    <row r="1901" hidden="1">
      <c r="A1901" s="40" t="s">
        <v>2803</v>
      </c>
      <c r="B1901" s="17" t="s">
        <v>2799</v>
      </c>
      <c r="C1901" s="277"/>
      <c r="D1901" s="4"/>
      <c r="E1901" s="19">
        <v>0.0</v>
      </c>
      <c r="F1901" s="19">
        <v>0.0</v>
      </c>
      <c r="G1901" s="16" t="s">
        <v>1876</v>
      </c>
      <c r="H1901" s="21"/>
      <c r="I1901" s="22"/>
      <c r="J1901" s="23"/>
      <c r="K1901" s="55">
        <f>384270/150</f>
        <v>2561.8</v>
      </c>
      <c r="L1901" s="55">
        <v>3500.0</v>
      </c>
      <c r="M1901" s="25"/>
      <c r="N1901" s="26"/>
      <c r="O1901" s="27">
        <f t="shared" si="254"/>
        <v>0.3662268717</v>
      </c>
      <c r="P1901" s="28">
        <f t="shared" ref="P1901:P1902" si="256">K1901*F1902</f>
        <v>0</v>
      </c>
    </row>
    <row r="1902" hidden="1">
      <c r="A1902" s="16" t="s">
        <v>2804</v>
      </c>
      <c r="B1902" s="17"/>
      <c r="C1902" s="277"/>
      <c r="D1902" s="4"/>
      <c r="E1902" s="19">
        <v>33.0</v>
      </c>
      <c r="F1902" s="19">
        <v>0.0</v>
      </c>
      <c r="G1902" s="16" t="s">
        <v>1876</v>
      </c>
      <c r="H1902" s="21"/>
      <c r="I1902" s="22"/>
      <c r="J1902" s="23"/>
      <c r="K1902" s="55">
        <f>382880/33</f>
        <v>11602.42424</v>
      </c>
      <c r="L1902" s="55">
        <v>18000.0</v>
      </c>
      <c r="M1902" s="25"/>
      <c r="N1902" s="26">
        <v>16000.0</v>
      </c>
      <c r="O1902" s="27">
        <f t="shared" si="254"/>
        <v>0.5513999164</v>
      </c>
      <c r="P1902" s="28">
        <f t="shared" si="256"/>
        <v>0</v>
      </c>
    </row>
    <row r="1903" hidden="1">
      <c r="A1903" s="16" t="s">
        <v>2805</v>
      </c>
      <c r="B1903" s="17"/>
      <c r="C1903" s="277"/>
      <c r="D1903" s="4"/>
      <c r="E1903" s="19">
        <v>0.0</v>
      </c>
      <c r="F1903" s="19">
        <v>0.0</v>
      </c>
      <c r="G1903" s="16" t="s">
        <v>1876</v>
      </c>
      <c r="H1903" s="21"/>
      <c r="I1903" s="22"/>
      <c r="J1903" s="23"/>
      <c r="K1903" s="55">
        <f>412440/33</f>
        <v>12498.18182</v>
      </c>
      <c r="L1903" s="55">
        <v>18000.0</v>
      </c>
      <c r="M1903" s="25"/>
      <c r="N1903" s="26">
        <v>16000.0</v>
      </c>
      <c r="O1903" s="27">
        <f t="shared" si="254"/>
        <v>0.440209485</v>
      </c>
      <c r="P1903" s="28">
        <f t="shared" ref="P1903:P1905" si="257">K1903*F1903</f>
        <v>0</v>
      </c>
    </row>
    <row r="1904" hidden="1">
      <c r="A1904" s="16" t="s">
        <v>2806</v>
      </c>
      <c r="B1904" s="17" t="s">
        <v>2799</v>
      </c>
      <c r="C1904" s="276"/>
      <c r="D1904" s="4"/>
      <c r="E1904" s="19">
        <v>0.0</v>
      </c>
      <c r="F1904" s="19">
        <v>0.0</v>
      </c>
      <c r="G1904" s="16" t="s">
        <v>1876</v>
      </c>
      <c r="H1904" s="21"/>
      <c r="I1904" s="22"/>
      <c r="J1904" s="29"/>
      <c r="K1904" s="55">
        <f>413830/150</f>
        <v>2758.866667</v>
      </c>
      <c r="L1904" s="55">
        <v>3500.0</v>
      </c>
      <c r="M1904" s="25"/>
      <c r="N1904" s="26"/>
      <c r="O1904" s="27">
        <f t="shared" si="254"/>
        <v>0.2686368799</v>
      </c>
      <c r="P1904" s="28">
        <f t="shared" si="257"/>
        <v>0</v>
      </c>
    </row>
    <row r="1905" hidden="1">
      <c r="A1905" s="16" t="s">
        <v>2807</v>
      </c>
      <c r="B1905" s="17"/>
      <c r="C1905" s="276"/>
      <c r="D1905" s="4"/>
      <c r="E1905" s="19">
        <v>33.0</v>
      </c>
      <c r="F1905" s="19">
        <v>0.0</v>
      </c>
      <c r="G1905" s="16" t="s">
        <v>1876</v>
      </c>
      <c r="H1905" s="21"/>
      <c r="I1905" s="22"/>
      <c r="J1905" s="58"/>
      <c r="K1905" s="55">
        <f>446500/33</f>
        <v>13530.30303</v>
      </c>
      <c r="L1905" s="55">
        <v>18000.0</v>
      </c>
      <c r="M1905" s="25"/>
      <c r="N1905" s="26">
        <v>16000.0</v>
      </c>
      <c r="O1905" s="27">
        <f t="shared" si="254"/>
        <v>0.3303471445</v>
      </c>
      <c r="P1905" s="28">
        <f t="shared" si="257"/>
        <v>0</v>
      </c>
    </row>
    <row r="1906" hidden="1">
      <c r="A1906" s="16" t="s">
        <v>2808</v>
      </c>
      <c r="B1906" s="17" t="s">
        <v>2799</v>
      </c>
      <c r="C1906" s="276"/>
      <c r="D1906" s="4"/>
      <c r="E1906" s="19">
        <v>0.0</v>
      </c>
      <c r="F1906" s="19">
        <v>0.0</v>
      </c>
      <c r="G1906" s="16" t="s">
        <v>1876</v>
      </c>
      <c r="H1906" s="21"/>
      <c r="I1906" s="22"/>
      <c r="J1906" s="29"/>
      <c r="K1906" s="48">
        <f>448110/150</f>
        <v>2987.4</v>
      </c>
      <c r="L1906" s="55">
        <v>3500.0</v>
      </c>
      <c r="M1906" s="25"/>
      <c r="N1906" s="26"/>
      <c r="O1906" s="27">
        <f t="shared" si="254"/>
        <v>0.1715873335</v>
      </c>
      <c r="P1906" s="28">
        <f>K1906*F1905</f>
        <v>0</v>
      </c>
    </row>
    <row r="1907" hidden="1">
      <c r="A1907" s="42" t="s">
        <v>2809</v>
      </c>
      <c r="B1907" s="36"/>
      <c r="C1907" s="18"/>
      <c r="D1907" s="4"/>
      <c r="E1907" s="19">
        <v>0.0</v>
      </c>
      <c r="F1907" s="19"/>
      <c r="G1907" s="20" t="s">
        <v>2810</v>
      </c>
      <c r="H1907" s="21"/>
      <c r="I1907" s="22"/>
      <c r="J1907" s="47"/>
      <c r="K1907" s="43">
        <v>9600.0</v>
      </c>
      <c r="L1907" s="44">
        <v>15000.0</v>
      </c>
      <c r="M1907" s="25"/>
      <c r="N1907" s="70"/>
      <c r="O1907" s="27">
        <f t="shared" si="254"/>
        <v>0.5625</v>
      </c>
      <c r="P1907" s="28">
        <f t="shared" ref="P1907:P1911" si="258">K1907*F1907</f>
        <v>0</v>
      </c>
    </row>
    <row r="1908" hidden="1">
      <c r="A1908" s="42" t="s">
        <v>2811</v>
      </c>
      <c r="B1908" s="71"/>
      <c r="C1908" s="153"/>
      <c r="D1908" s="4"/>
      <c r="E1908" s="19">
        <v>0.0</v>
      </c>
      <c r="F1908" s="19"/>
      <c r="G1908" s="20" t="s">
        <v>2810</v>
      </c>
      <c r="H1908" s="21"/>
      <c r="I1908" s="22"/>
      <c r="J1908" s="47">
        <v>46174.0</v>
      </c>
      <c r="K1908" s="32">
        <v>10250.0</v>
      </c>
      <c r="L1908" s="24">
        <v>13000.0</v>
      </c>
      <c r="M1908" s="25"/>
      <c r="N1908" s="50"/>
      <c r="O1908" s="27">
        <f t="shared" si="254"/>
        <v>0.2682926829</v>
      </c>
      <c r="P1908" s="28">
        <f t="shared" si="258"/>
        <v>0</v>
      </c>
    </row>
    <row r="1909" hidden="1">
      <c r="A1909" s="16" t="s">
        <v>2812</v>
      </c>
      <c r="B1909" s="36"/>
      <c r="C1909" s="153"/>
      <c r="D1909" s="4"/>
      <c r="E1909" s="19">
        <v>0.0</v>
      </c>
      <c r="F1909" s="19"/>
      <c r="G1909" s="20" t="s">
        <v>2813</v>
      </c>
      <c r="H1909" s="21"/>
      <c r="I1909" s="22"/>
      <c r="J1909" s="29"/>
      <c r="K1909" s="43">
        <v>9600.0</v>
      </c>
      <c r="L1909" s="44">
        <v>15000.0</v>
      </c>
      <c r="M1909" s="25" t="s">
        <v>76</v>
      </c>
      <c r="N1909" s="70"/>
      <c r="O1909" s="27">
        <f t="shared" si="254"/>
        <v>0.5625</v>
      </c>
      <c r="P1909" s="28">
        <f t="shared" si="258"/>
        <v>0</v>
      </c>
    </row>
    <row r="1910" hidden="1">
      <c r="A1910" s="16" t="s">
        <v>2814</v>
      </c>
      <c r="B1910" s="51" t="s">
        <v>2815</v>
      </c>
      <c r="C1910" s="38" t="s">
        <v>2816</v>
      </c>
      <c r="D1910" s="61"/>
      <c r="E1910" s="19"/>
      <c r="F1910" s="19"/>
      <c r="G1910" s="16" t="s">
        <v>91</v>
      </c>
      <c r="H1910" s="21"/>
      <c r="I1910" s="22">
        <v>19.0</v>
      </c>
      <c r="J1910" s="29" t="s">
        <v>2817</v>
      </c>
      <c r="K1910" s="32">
        <v>160000.0</v>
      </c>
      <c r="L1910" s="24">
        <v>210000.0</v>
      </c>
      <c r="M1910" s="25"/>
      <c r="N1910" s="26">
        <v>170000.0</v>
      </c>
      <c r="O1910" s="27">
        <f t="shared" si="254"/>
        <v>0.3125</v>
      </c>
      <c r="P1910" s="28">
        <f t="shared" si="258"/>
        <v>0</v>
      </c>
    </row>
    <row r="1911" hidden="1">
      <c r="A1911" s="16" t="s">
        <v>2818</v>
      </c>
      <c r="B1911" s="51" t="s">
        <v>2819</v>
      </c>
      <c r="C1911" s="38"/>
      <c r="D1911" s="61"/>
      <c r="E1911" s="19"/>
      <c r="F1911" s="19"/>
      <c r="G1911" s="16" t="s">
        <v>91</v>
      </c>
      <c r="H1911" s="21"/>
      <c r="I1911" s="22">
        <v>1.0</v>
      </c>
      <c r="J1911" s="47">
        <v>46023.0</v>
      </c>
      <c r="K1911" s="32">
        <v>96000.0</v>
      </c>
      <c r="L1911" s="46">
        <v>130000.0</v>
      </c>
      <c r="M1911" s="25"/>
      <c r="N1911" s="26">
        <v>95000.0</v>
      </c>
      <c r="O1911" s="27">
        <f t="shared" si="254"/>
        <v>0.3541666667</v>
      </c>
      <c r="P1911" s="28">
        <f t="shared" si="258"/>
        <v>0</v>
      </c>
    </row>
    <row r="1912" hidden="1">
      <c r="A1912" s="16" t="s">
        <v>2820</v>
      </c>
      <c r="B1912" s="17"/>
      <c r="C1912" s="18"/>
      <c r="D1912" s="4"/>
      <c r="E1912" s="19">
        <v>0.0</v>
      </c>
      <c r="F1912" s="19">
        <v>0.0</v>
      </c>
      <c r="G1912" s="20" t="s">
        <v>1335</v>
      </c>
      <c r="H1912" s="21"/>
      <c r="I1912" s="22"/>
      <c r="J1912" s="29"/>
      <c r="K1912" s="43"/>
      <c r="L1912" s="44">
        <v>45000.0</v>
      </c>
      <c r="M1912" s="25"/>
      <c r="N1912" s="39"/>
      <c r="O1912" s="27"/>
      <c r="P1912" s="28"/>
    </row>
    <row r="1913" hidden="1">
      <c r="A1913" s="16" t="s">
        <v>2821</v>
      </c>
      <c r="B1913" s="17"/>
      <c r="C1913" s="18"/>
      <c r="D1913" s="4"/>
      <c r="E1913" s="19">
        <v>0.0</v>
      </c>
      <c r="F1913" s="19">
        <v>0.0</v>
      </c>
      <c r="G1913" s="20" t="s">
        <v>1335</v>
      </c>
      <c r="H1913" s="21"/>
      <c r="I1913" s="22"/>
      <c r="J1913" s="29"/>
      <c r="K1913" s="43"/>
      <c r="L1913" s="44">
        <v>35000.0</v>
      </c>
      <c r="M1913" s="25"/>
      <c r="N1913" s="39"/>
      <c r="O1913" s="27"/>
      <c r="P1913" s="28"/>
    </row>
  </sheetData>
  <autoFilter ref="$A$1:$P$1913">
    <filterColumn colId="0">
      <filters>
        <filter val="Aclaramiento consultorio OPALECENSE BOOTS 40%"/>
        <filter val="Barrera Gingival  opaldam ultradent"/>
        <filter val="Bandas de Acero"/>
      </filters>
    </filterColumn>
  </autoFilter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4.38"/>
    <col customWidth="1" min="2" max="2" width="46.88"/>
    <col customWidth="1" min="5" max="5" width="5.25"/>
  </cols>
  <sheetData>
    <row r="2">
      <c r="B2" s="298" t="s">
        <v>909</v>
      </c>
      <c r="D2" s="299" t="s">
        <v>2853</v>
      </c>
    </row>
    <row r="5">
      <c r="C5" s="293" t="s">
        <v>2854</v>
      </c>
      <c r="D5" s="293" t="s">
        <v>2855</v>
      </c>
    </row>
    <row r="6">
      <c r="B6" s="167" t="s">
        <v>838</v>
      </c>
      <c r="C6" s="126"/>
      <c r="D6" s="126"/>
    </row>
    <row r="7">
      <c r="B7" s="167" t="s">
        <v>907</v>
      </c>
      <c r="C7" s="126"/>
      <c r="D7" s="126"/>
    </row>
    <row r="8">
      <c r="B8" s="167" t="s">
        <v>910</v>
      </c>
      <c r="C8" s="126"/>
      <c r="D8" s="126"/>
    </row>
    <row r="9">
      <c r="B9" s="167" t="s">
        <v>912</v>
      </c>
      <c r="C9" s="126"/>
      <c r="D9" s="126"/>
    </row>
    <row r="10">
      <c r="B10" s="167" t="s">
        <v>1030</v>
      </c>
      <c r="C10" s="126"/>
      <c r="D10" s="126"/>
    </row>
    <row r="11">
      <c r="B11" s="167" t="s">
        <v>1032</v>
      </c>
      <c r="C11" s="126"/>
      <c r="D11" s="126"/>
    </row>
    <row r="12">
      <c r="B12" s="167" t="s">
        <v>1126</v>
      </c>
      <c r="C12" s="126"/>
      <c r="D12" s="126"/>
    </row>
    <row r="13">
      <c r="B13" s="167" t="s">
        <v>1129</v>
      </c>
      <c r="C13" s="126"/>
      <c r="D13" s="126"/>
    </row>
    <row r="14">
      <c r="B14" s="167" t="s">
        <v>1131</v>
      </c>
      <c r="C14" s="126"/>
      <c r="D14" s="126"/>
    </row>
    <row r="15">
      <c r="B15" s="167" t="s">
        <v>1146</v>
      </c>
      <c r="C15" s="126"/>
      <c r="D15" s="126"/>
    </row>
    <row r="16">
      <c r="B16" s="167" t="s">
        <v>1763</v>
      </c>
      <c r="C16" s="126"/>
      <c r="D16" s="126"/>
    </row>
    <row r="17">
      <c r="B17" s="167" t="s">
        <v>1808</v>
      </c>
      <c r="C17" s="126"/>
      <c r="D17" s="126"/>
    </row>
    <row r="18">
      <c r="B18" s="167" t="s">
        <v>1817</v>
      </c>
      <c r="C18" s="126"/>
      <c r="D18" s="126"/>
    </row>
    <row r="19">
      <c r="B19" s="167" t="s">
        <v>1841</v>
      </c>
      <c r="C19" s="126"/>
      <c r="D19" s="126"/>
    </row>
    <row r="20">
      <c r="B20" s="167" t="s">
        <v>1843</v>
      </c>
      <c r="C20" s="126"/>
      <c r="D20" s="126"/>
    </row>
    <row r="21">
      <c r="B21" s="167" t="s">
        <v>1844</v>
      </c>
      <c r="C21" s="126"/>
      <c r="D21" s="126"/>
    </row>
    <row r="22">
      <c r="B22" s="167" t="s">
        <v>1847</v>
      </c>
      <c r="C22" s="126"/>
      <c r="D22" s="126"/>
    </row>
    <row r="23">
      <c r="B23" s="167" t="s">
        <v>1848</v>
      </c>
      <c r="C23" s="126"/>
      <c r="D23" s="126"/>
    </row>
    <row r="24">
      <c r="B24" s="167" t="s">
        <v>1851</v>
      </c>
      <c r="C24" s="126"/>
      <c r="D24" s="126"/>
    </row>
    <row r="25">
      <c r="B25" s="167" t="s">
        <v>1852</v>
      </c>
      <c r="C25" s="126"/>
      <c r="D25" s="126"/>
    </row>
    <row r="26">
      <c r="B26" s="167" t="s">
        <v>1905</v>
      </c>
      <c r="C26" s="126"/>
      <c r="D26" s="126"/>
    </row>
    <row r="27">
      <c r="B27" s="167" t="s">
        <v>2124</v>
      </c>
      <c r="C27" s="126"/>
      <c r="D27" s="126"/>
    </row>
    <row r="28">
      <c r="B28" s="167" t="s">
        <v>2126</v>
      </c>
      <c r="C28" s="126"/>
      <c r="D28" s="126"/>
    </row>
    <row r="29">
      <c r="B29" s="167" t="s">
        <v>2127</v>
      </c>
      <c r="C29" s="126"/>
      <c r="D29" s="126"/>
    </row>
    <row r="30">
      <c r="B30" s="167" t="s">
        <v>2131</v>
      </c>
      <c r="C30" s="126"/>
      <c r="D30" s="126"/>
    </row>
    <row r="31">
      <c r="B31" s="167" t="s">
        <v>2135</v>
      </c>
      <c r="C31" s="126"/>
      <c r="D31" s="126"/>
    </row>
    <row r="32">
      <c r="B32" s="167" t="s">
        <v>2137</v>
      </c>
      <c r="C32" s="126"/>
      <c r="D32" s="126"/>
    </row>
    <row r="33">
      <c r="B33" s="167" t="s">
        <v>2140</v>
      </c>
      <c r="C33" s="126"/>
      <c r="D33" s="126"/>
    </row>
    <row r="34">
      <c r="B34" s="167" t="s">
        <v>2142</v>
      </c>
      <c r="C34" s="126"/>
      <c r="D34" s="126"/>
    </row>
    <row r="35">
      <c r="B35" s="167" t="s">
        <v>2856</v>
      </c>
      <c r="C35" s="126"/>
      <c r="D35" s="126"/>
    </row>
    <row r="36">
      <c r="B36" s="300" t="s">
        <v>2262</v>
      </c>
      <c r="C36" s="126"/>
      <c r="D36" s="126"/>
    </row>
    <row r="37">
      <c r="B37" s="167" t="s">
        <v>2650</v>
      </c>
      <c r="C37" s="126"/>
      <c r="D37" s="126"/>
    </row>
    <row r="38">
      <c r="B38" s="167" t="s">
        <v>2655</v>
      </c>
      <c r="C38" s="126"/>
      <c r="D38" s="126"/>
    </row>
    <row r="39">
      <c r="B39" s="167" t="s">
        <v>2719</v>
      </c>
      <c r="C39" s="126"/>
      <c r="D39" s="126"/>
    </row>
    <row r="40">
      <c r="B40" s="167" t="s">
        <v>2752</v>
      </c>
      <c r="C40" s="126"/>
      <c r="D40" s="126"/>
    </row>
    <row r="41">
      <c r="B41" s="167" t="s">
        <v>2758</v>
      </c>
      <c r="C41" s="126"/>
      <c r="D41" s="126"/>
    </row>
    <row r="42">
      <c r="B42" s="167" t="s">
        <v>2768</v>
      </c>
      <c r="C42" s="126"/>
      <c r="D42" s="126"/>
    </row>
    <row r="43">
      <c r="B43" s="167" t="s">
        <v>2771</v>
      </c>
      <c r="C43" s="126"/>
      <c r="D43" s="126"/>
    </row>
  </sheetData>
  <printOptions horizontalCentered="1"/>
  <pageMargins bottom="0.75" footer="0.0" header="0.0" left="0.25" right="0.25" top="0.75"/>
  <pageSetup fitToHeight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1.38"/>
    <col customWidth="1" min="2" max="2" width="11.88"/>
    <col customWidth="1" min="3" max="3" width="10.5"/>
    <col customWidth="1" min="4" max="4" width="9.25"/>
    <col customWidth="1" min="5" max="6" width="8.75"/>
    <col customWidth="1" min="7" max="7" width="12.88"/>
    <col customWidth="1" min="8" max="8" width="8.38"/>
    <col customWidth="1" min="9" max="9" width="7.88"/>
    <col customWidth="1" min="10" max="10" width="10.0"/>
    <col customWidth="1" min="11" max="11" width="9.88"/>
    <col customWidth="1" min="12" max="12" width="10.38"/>
    <col customWidth="1" min="13" max="13" width="6.0"/>
    <col customWidth="1" min="14" max="14" width="8.88"/>
    <col customWidth="1" min="15" max="15" width="5.0"/>
    <col customWidth="1" min="16" max="16" width="9.5"/>
  </cols>
  <sheetData>
    <row r="1" ht="80.25" customHeight="1">
      <c r="A1" s="278" t="s">
        <v>328</v>
      </c>
      <c r="B1" s="2" t="s">
        <v>1</v>
      </c>
      <c r="C1" s="3"/>
      <c r="D1" s="4"/>
      <c r="E1" s="5" t="s">
        <v>2</v>
      </c>
      <c r="F1" s="5" t="s">
        <v>3</v>
      </c>
      <c r="G1" s="6"/>
      <c r="H1" s="7" t="s">
        <v>4</v>
      </c>
      <c r="I1" s="8" t="s">
        <v>5</v>
      </c>
      <c r="J1" s="9" t="s">
        <v>6</v>
      </c>
      <c r="K1" s="10" t="s">
        <v>7</v>
      </c>
      <c r="L1" s="11" t="s">
        <v>8</v>
      </c>
      <c r="M1" s="12" t="s">
        <v>9</v>
      </c>
      <c r="N1" s="13" t="s">
        <v>10</v>
      </c>
      <c r="O1" s="14" t="s">
        <v>11</v>
      </c>
      <c r="P1" s="15" t="s">
        <v>12</v>
      </c>
    </row>
    <row r="2" hidden="1">
      <c r="A2" s="16" t="s">
        <v>13</v>
      </c>
      <c r="B2" s="17"/>
      <c r="C2" s="18"/>
      <c r="D2" s="4"/>
      <c r="E2" s="19">
        <v>0.0</v>
      </c>
      <c r="F2" s="19">
        <v>0.0</v>
      </c>
      <c r="G2" s="20" t="s">
        <v>14</v>
      </c>
      <c r="H2" s="21">
        <v>0.0</v>
      </c>
      <c r="I2" s="22">
        <v>0.0</v>
      </c>
      <c r="J2" s="23"/>
      <c r="K2" s="24">
        <f>9288*1.19</f>
        <v>11052.72</v>
      </c>
      <c r="L2" s="24">
        <v>15000.0</v>
      </c>
      <c r="M2" s="25"/>
      <c r="N2" s="26"/>
      <c r="O2" s="27">
        <f>(L2/K2)-1</f>
        <v>0.3571320001</v>
      </c>
      <c r="P2" s="28">
        <f t="shared" ref="P2:P16" si="1">K2*F2</f>
        <v>0</v>
      </c>
    </row>
    <row r="3" hidden="1">
      <c r="A3" s="16" t="s">
        <v>15</v>
      </c>
      <c r="B3" s="17"/>
      <c r="C3" s="18"/>
      <c r="D3" s="4"/>
      <c r="E3" s="19">
        <v>0.0</v>
      </c>
      <c r="F3" s="19">
        <v>0.0</v>
      </c>
      <c r="G3" s="16" t="s">
        <v>16</v>
      </c>
      <c r="H3" s="21"/>
      <c r="I3" s="22">
        <v>8.0</v>
      </c>
      <c r="J3" s="29"/>
      <c r="K3" s="30">
        <v>8746.0</v>
      </c>
      <c r="L3" s="24">
        <v>30000.0</v>
      </c>
      <c r="M3" s="25">
        <v>19.0</v>
      </c>
      <c r="N3" s="31"/>
      <c r="O3" s="27">
        <f t="shared" ref="O3:O6" si="2">(L3/K3)-1</f>
        <v>2.430139492</v>
      </c>
      <c r="P3" s="28">
        <f t="shared" si="1"/>
        <v>0</v>
      </c>
    </row>
    <row r="4" hidden="1">
      <c r="A4" s="16" t="s">
        <v>17</v>
      </c>
      <c r="B4" s="17"/>
      <c r="C4" s="18"/>
      <c r="D4" s="4"/>
      <c r="E4" s="19">
        <v>0.0</v>
      </c>
      <c r="F4" s="19">
        <v>0.0</v>
      </c>
      <c r="G4" s="16" t="s">
        <v>16</v>
      </c>
      <c r="H4" s="21"/>
      <c r="I4" s="22">
        <v>50.0</v>
      </c>
      <c r="J4" s="29"/>
      <c r="K4" s="32">
        <f>1962*2</f>
        <v>3924</v>
      </c>
      <c r="L4" s="24">
        <v>30000.0</v>
      </c>
      <c r="M4" s="25"/>
      <c r="N4" s="31"/>
      <c r="O4" s="27">
        <f t="shared" si="2"/>
        <v>6.645259939</v>
      </c>
      <c r="P4" s="28">
        <f t="shared" si="1"/>
        <v>0</v>
      </c>
    </row>
    <row r="5" hidden="1">
      <c r="A5" s="16" t="s">
        <v>18</v>
      </c>
      <c r="B5" s="17"/>
      <c r="C5" s="18"/>
      <c r="D5" s="4"/>
      <c r="E5" s="19">
        <v>0.0</v>
      </c>
      <c r="F5" s="19">
        <v>0.0</v>
      </c>
      <c r="G5" s="16" t="s">
        <v>16</v>
      </c>
      <c r="H5" s="33"/>
      <c r="I5" s="22">
        <v>100.0</v>
      </c>
      <c r="J5" s="34"/>
      <c r="K5" s="35">
        <v>1712.0</v>
      </c>
      <c r="L5" s="24">
        <v>10000.0</v>
      </c>
      <c r="M5" s="25"/>
      <c r="N5" s="31"/>
      <c r="O5" s="27">
        <f t="shared" si="2"/>
        <v>4.841121495</v>
      </c>
      <c r="P5" s="28">
        <f t="shared" si="1"/>
        <v>0</v>
      </c>
    </row>
    <row r="6" hidden="1">
      <c r="A6" s="16" t="s">
        <v>19</v>
      </c>
      <c r="B6" s="17"/>
      <c r="C6" s="18"/>
      <c r="D6" s="4"/>
      <c r="E6" s="19">
        <v>0.0</v>
      </c>
      <c r="F6" s="19">
        <v>0.0</v>
      </c>
      <c r="G6" s="16" t="s">
        <v>20</v>
      </c>
      <c r="H6" s="21"/>
      <c r="I6" s="22" t="s">
        <v>21</v>
      </c>
      <c r="J6" s="29"/>
      <c r="K6" s="32">
        <v>4500.0</v>
      </c>
      <c r="L6" s="24">
        <v>12000.0</v>
      </c>
      <c r="M6" s="25"/>
      <c r="N6" s="31"/>
      <c r="O6" s="27">
        <f t="shared" si="2"/>
        <v>1.666666667</v>
      </c>
      <c r="P6" s="28">
        <f t="shared" si="1"/>
        <v>0</v>
      </c>
    </row>
    <row r="7" hidden="1">
      <c r="A7" s="16" t="s">
        <v>22</v>
      </c>
      <c r="B7" s="36"/>
      <c r="C7" s="18"/>
      <c r="D7" s="4"/>
      <c r="E7" s="19">
        <v>0.0</v>
      </c>
      <c r="F7" s="19">
        <v>0.0</v>
      </c>
      <c r="G7" s="16" t="s">
        <v>23</v>
      </c>
      <c r="H7" s="21"/>
      <c r="I7" s="22" t="s">
        <v>24</v>
      </c>
      <c r="J7" s="29"/>
      <c r="K7" s="32">
        <v>16900.0</v>
      </c>
      <c r="L7" s="32">
        <v>24000.0</v>
      </c>
      <c r="M7" s="25"/>
      <c r="N7" s="37"/>
      <c r="O7" s="27">
        <f t="shared" ref="O7:O8" si="3">(L7/K7)-1</f>
        <v>0.4201183432</v>
      </c>
      <c r="P7" s="28">
        <f t="shared" si="1"/>
        <v>0</v>
      </c>
    </row>
    <row r="8" hidden="1">
      <c r="A8" s="16" t="s">
        <v>25</v>
      </c>
      <c r="B8" s="36"/>
      <c r="C8" s="38"/>
      <c r="D8" s="4"/>
      <c r="E8" s="19">
        <v>0.0</v>
      </c>
      <c r="F8" s="19">
        <v>0.0</v>
      </c>
      <c r="G8" s="16" t="s">
        <v>26</v>
      </c>
      <c r="H8" s="21"/>
      <c r="I8" s="22">
        <v>20.0</v>
      </c>
      <c r="J8" s="29"/>
      <c r="K8" s="32">
        <v>16900.0</v>
      </c>
      <c r="L8" s="24">
        <v>24000.0</v>
      </c>
      <c r="M8" s="25"/>
      <c r="N8" s="39"/>
      <c r="O8" s="27">
        <f t="shared" si="3"/>
        <v>0.4201183432</v>
      </c>
      <c r="P8" s="28">
        <f t="shared" si="1"/>
        <v>0</v>
      </c>
    </row>
    <row r="9" hidden="1">
      <c r="A9" s="16" t="s">
        <v>27</v>
      </c>
      <c r="B9" s="17"/>
      <c r="C9" s="18"/>
      <c r="D9" s="4"/>
      <c r="E9" s="19">
        <v>0.0</v>
      </c>
      <c r="F9" s="19">
        <v>0.0</v>
      </c>
      <c r="G9" s="16" t="s">
        <v>16</v>
      </c>
      <c r="H9" s="33"/>
      <c r="I9" s="22">
        <v>50.0</v>
      </c>
      <c r="J9" s="34"/>
      <c r="K9" s="30">
        <v>1426.9789473684211</v>
      </c>
      <c r="L9" s="24">
        <v>10000.0</v>
      </c>
      <c r="M9" s="25"/>
      <c r="N9" s="31"/>
      <c r="O9" s="27">
        <f>(L9/K9)-1</f>
        <v>6.007811866</v>
      </c>
      <c r="P9" s="28">
        <f t="shared" si="1"/>
        <v>0</v>
      </c>
    </row>
    <row r="10" hidden="1">
      <c r="A10" s="40" t="s">
        <v>28</v>
      </c>
      <c r="B10" s="17" t="s">
        <v>29</v>
      </c>
      <c r="C10" s="18"/>
      <c r="D10" s="4"/>
      <c r="E10" s="19">
        <v>0.0</v>
      </c>
      <c r="F10" s="19">
        <v>0.0</v>
      </c>
      <c r="G10" s="20" t="s">
        <v>30</v>
      </c>
      <c r="H10" s="21"/>
      <c r="I10" s="22">
        <f>8+16*5</f>
        <v>88</v>
      </c>
      <c r="J10" s="29"/>
      <c r="K10" s="32">
        <f t="shared" ref="K10:K11" si="4">9300*1.19/5</f>
        <v>2213.4</v>
      </c>
      <c r="L10" s="24">
        <v>8000.0</v>
      </c>
      <c r="M10" s="25"/>
      <c r="N10" s="26"/>
      <c r="O10" s="27">
        <f t="shared" ref="O10:O21" si="5">(L10/K10)-1</f>
        <v>2.614348965</v>
      </c>
      <c r="P10" s="28">
        <f t="shared" si="1"/>
        <v>0</v>
      </c>
    </row>
    <row r="11" hidden="1">
      <c r="A11" s="16" t="s">
        <v>31</v>
      </c>
      <c r="B11" s="17" t="s">
        <v>32</v>
      </c>
      <c r="C11" s="18"/>
      <c r="D11" s="4"/>
      <c r="E11" s="19">
        <v>0.0</v>
      </c>
      <c r="F11" s="19">
        <v>0.0</v>
      </c>
      <c r="G11" s="20" t="s">
        <v>30</v>
      </c>
      <c r="H11" s="21"/>
      <c r="I11" s="22">
        <v>26.0</v>
      </c>
      <c r="J11" s="29"/>
      <c r="K11" s="32">
        <f t="shared" si="4"/>
        <v>2213.4</v>
      </c>
      <c r="L11" s="24">
        <v>8000.0</v>
      </c>
      <c r="M11" s="25"/>
      <c r="N11" s="31"/>
      <c r="O11" s="27">
        <f t="shared" si="5"/>
        <v>2.614348965</v>
      </c>
      <c r="P11" s="28">
        <f t="shared" si="1"/>
        <v>0</v>
      </c>
    </row>
    <row r="12" hidden="1">
      <c r="A12" s="40" t="s">
        <v>33</v>
      </c>
      <c r="B12" s="36"/>
      <c r="C12" s="18"/>
      <c r="D12" s="4"/>
      <c r="E12" s="19">
        <v>0.0</v>
      </c>
      <c r="F12" s="19">
        <v>0.0</v>
      </c>
      <c r="G12" s="16" t="s">
        <v>26</v>
      </c>
      <c r="H12" s="21"/>
      <c r="I12" s="22">
        <v>10.0</v>
      </c>
      <c r="J12" s="29"/>
      <c r="K12" s="32">
        <v>16900.0</v>
      </c>
      <c r="L12" s="32">
        <v>24000.0</v>
      </c>
      <c r="M12" s="25"/>
      <c r="N12" s="26"/>
      <c r="O12" s="27">
        <f t="shared" si="5"/>
        <v>0.4201183432</v>
      </c>
      <c r="P12" s="28">
        <f t="shared" si="1"/>
        <v>0</v>
      </c>
    </row>
    <row r="13" hidden="1">
      <c r="A13" s="16" t="s">
        <v>34</v>
      </c>
      <c r="B13" s="17"/>
      <c r="C13" s="18"/>
      <c r="D13" s="4"/>
      <c r="E13" s="19">
        <v>0.0</v>
      </c>
      <c r="F13" s="19">
        <v>0.0</v>
      </c>
      <c r="G13" s="16" t="s">
        <v>16</v>
      </c>
      <c r="H13" s="21"/>
      <c r="I13" s="22">
        <v>58.0</v>
      </c>
      <c r="J13" s="23"/>
      <c r="K13" s="24">
        <v>4602.0</v>
      </c>
      <c r="L13" s="24">
        <v>12000.0</v>
      </c>
      <c r="M13" s="25"/>
      <c r="N13" s="26"/>
      <c r="O13" s="27">
        <f t="shared" si="5"/>
        <v>1.60756193</v>
      </c>
      <c r="P13" s="28">
        <f t="shared" si="1"/>
        <v>0</v>
      </c>
    </row>
    <row r="14" hidden="1">
      <c r="A14" s="16" t="s">
        <v>35</v>
      </c>
      <c r="B14" s="17"/>
      <c r="C14" s="18"/>
      <c r="D14" s="4"/>
      <c r="E14" s="19">
        <v>0.0</v>
      </c>
      <c r="F14" s="19">
        <v>0.0</v>
      </c>
      <c r="G14" s="16" t="s">
        <v>36</v>
      </c>
      <c r="H14" s="21"/>
      <c r="I14" s="22">
        <v>1.0</v>
      </c>
      <c r="J14" s="23"/>
      <c r="K14" s="24">
        <f>65000/200</f>
        <v>325</v>
      </c>
      <c r="L14" s="24">
        <v>800.0</v>
      </c>
      <c r="M14" s="25"/>
      <c r="N14" s="26"/>
      <c r="O14" s="27">
        <f t="shared" si="5"/>
        <v>1.461538462</v>
      </c>
      <c r="P14" s="28">
        <f t="shared" si="1"/>
        <v>0</v>
      </c>
    </row>
    <row r="15" hidden="1">
      <c r="A15" s="16" t="s">
        <v>37</v>
      </c>
      <c r="B15" s="17"/>
      <c r="C15" s="18"/>
      <c r="D15" s="41"/>
      <c r="E15" s="19">
        <v>0.0</v>
      </c>
      <c r="F15" s="19">
        <v>0.0</v>
      </c>
      <c r="G15" s="16" t="s">
        <v>36</v>
      </c>
      <c r="H15" s="21"/>
      <c r="I15" s="22"/>
      <c r="J15" s="23"/>
      <c r="K15" s="24">
        <v>65000.0</v>
      </c>
      <c r="L15" s="24">
        <v>105000.0</v>
      </c>
      <c r="M15" s="25"/>
      <c r="N15" s="26">
        <v>90000.0</v>
      </c>
      <c r="O15" s="27">
        <f t="shared" si="5"/>
        <v>0.6153846154</v>
      </c>
      <c r="P15" s="28">
        <f t="shared" si="1"/>
        <v>0</v>
      </c>
    </row>
    <row r="16" hidden="1">
      <c r="A16" s="42" t="s">
        <v>38</v>
      </c>
      <c r="B16" s="17"/>
      <c r="C16" s="18"/>
      <c r="D16" s="4"/>
      <c r="E16" s="19">
        <v>0.0</v>
      </c>
      <c r="F16" s="19"/>
      <c r="G16" s="16" t="s">
        <v>39</v>
      </c>
      <c r="H16" s="21"/>
      <c r="I16" s="22"/>
      <c r="J16" s="29"/>
      <c r="K16" s="43">
        <f>3200*1.19</f>
        <v>3808</v>
      </c>
      <c r="L16" s="44">
        <v>6000.0</v>
      </c>
      <c r="M16" s="25"/>
      <c r="N16" s="31"/>
      <c r="O16" s="27">
        <f t="shared" si="5"/>
        <v>0.5756302521</v>
      </c>
      <c r="P16" s="28">
        <f t="shared" si="1"/>
        <v>0</v>
      </c>
    </row>
    <row r="17" hidden="1">
      <c r="A17" s="16" t="s">
        <v>40</v>
      </c>
      <c r="B17" s="17"/>
      <c r="C17" s="18"/>
      <c r="D17" s="4"/>
      <c r="E17" s="19">
        <v>0.0</v>
      </c>
      <c r="F17" s="19">
        <v>0.0</v>
      </c>
      <c r="G17" s="20" t="s">
        <v>41</v>
      </c>
      <c r="H17" s="21"/>
      <c r="I17" s="22"/>
      <c r="J17" s="45"/>
      <c r="K17" s="46">
        <v>28000.0</v>
      </c>
      <c r="L17" s="46">
        <v>48000.0</v>
      </c>
      <c r="M17" s="25"/>
      <c r="N17" s="26">
        <v>38000.0</v>
      </c>
      <c r="O17" s="27">
        <f t="shared" si="5"/>
        <v>0.7142857143</v>
      </c>
      <c r="P17" s="28"/>
    </row>
    <row r="18" hidden="1">
      <c r="A18" s="16" t="s">
        <v>42</v>
      </c>
      <c r="B18" s="17"/>
      <c r="C18" s="18"/>
      <c r="D18" s="4"/>
      <c r="E18" s="19">
        <v>0.0</v>
      </c>
      <c r="F18" s="19">
        <v>0.0</v>
      </c>
      <c r="G18" s="20" t="s">
        <v>41</v>
      </c>
      <c r="H18" s="21"/>
      <c r="I18" s="22"/>
      <c r="J18" s="45"/>
      <c r="K18" s="46">
        <v>35000.0</v>
      </c>
      <c r="L18" s="46">
        <v>54000.0</v>
      </c>
      <c r="M18" s="25"/>
      <c r="N18" s="26">
        <v>44000.0</v>
      </c>
      <c r="O18" s="27">
        <f t="shared" si="5"/>
        <v>0.5428571429</v>
      </c>
      <c r="P18" s="28"/>
    </row>
    <row r="19" hidden="1">
      <c r="A19" s="16" t="s">
        <v>43</v>
      </c>
      <c r="B19" s="17" t="s">
        <v>44</v>
      </c>
      <c r="C19" s="18"/>
      <c r="D19" s="4"/>
      <c r="E19" s="19">
        <v>0.0</v>
      </c>
      <c r="F19" s="19">
        <v>0.0</v>
      </c>
      <c r="G19" s="20" t="s">
        <v>45</v>
      </c>
      <c r="H19" s="21"/>
      <c r="I19" s="22">
        <v>10.0</v>
      </c>
      <c r="J19" s="47">
        <v>45717.0</v>
      </c>
      <c r="K19" s="46">
        <f>121849*1.19</f>
        <v>145000.31</v>
      </c>
      <c r="L19" s="46">
        <v>178000.0</v>
      </c>
      <c r="M19" s="25"/>
      <c r="N19" s="26">
        <v>168000.0</v>
      </c>
      <c r="O19" s="27">
        <f t="shared" si="5"/>
        <v>0.2275835824</v>
      </c>
      <c r="P19" s="28">
        <f t="shared" ref="P19:P21" si="6">K19*F19</f>
        <v>0</v>
      </c>
    </row>
    <row r="20" hidden="1">
      <c r="A20" s="16" t="s">
        <v>46</v>
      </c>
      <c r="B20" s="17" t="s">
        <v>47</v>
      </c>
      <c r="C20" s="18"/>
      <c r="D20" s="4"/>
      <c r="E20" s="19"/>
      <c r="F20" s="19"/>
      <c r="G20" s="20" t="s">
        <v>48</v>
      </c>
      <c r="H20" s="21"/>
      <c r="I20" s="22">
        <v>0.0</v>
      </c>
      <c r="J20" s="29"/>
      <c r="K20" s="48">
        <v>116000.0</v>
      </c>
      <c r="L20" s="32">
        <v>145000.0</v>
      </c>
      <c r="M20" s="25"/>
      <c r="N20" s="31">
        <v>120000.0</v>
      </c>
      <c r="O20" s="27">
        <f t="shared" si="5"/>
        <v>0.25</v>
      </c>
      <c r="P20" s="28">
        <f t="shared" si="6"/>
        <v>0</v>
      </c>
    </row>
    <row r="21" hidden="1">
      <c r="A21" s="16" t="s">
        <v>49</v>
      </c>
      <c r="B21" s="49"/>
      <c r="C21" s="18"/>
      <c r="D21" s="4"/>
      <c r="E21" s="19">
        <v>0.0</v>
      </c>
      <c r="F21" s="19">
        <v>0.0</v>
      </c>
      <c r="G21" s="16" t="s">
        <v>50</v>
      </c>
      <c r="H21" s="21"/>
      <c r="I21" s="22"/>
      <c r="J21" s="29"/>
      <c r="K21" s="43">
        <v>35000.0</v>
      </c>
      <c r="L21" s="44">
        <v>48000.0</v>
      </c>
      <c r="M21" s="25"/>
      <c r="N21" s="26"/>
      <c r="O21" s="27">
        <f t="shared" si="5"/>
        <v>0.3714285714</v>
      </c>
      <c r="P21" s="28">
        <f t="shared" si="6"/>
        <v>0</v>
      </c>
    </row>
    <row r="22" hidden="1">
      <c r="A22" s="16" t="s">
        <v>51</v>
      </c>
      <c r="B22" s="36"/>
      <c r="C22" s="18"/>
      <c r="D22" s="4"/>
      <c r="E22" s="19">
        <v>0.0</v>
      </c>
      <c r="F22" s="19">
        <v>0.0</v>
      </c>
      <c r="G22" s="16" t="s">
        <v>52</v>
      </c>
      <c r="H22" s="21"/>
      <c r="I22" s="22"/>
      <c r="J22" s="29"/>
      <c r="K22" s="48">
        <v>24850.0</v>
      </c>
      <c r="L22" s="48">
        <v>48000.0</v>
      </c>
      <c r="M22" s="25" t="s">
        <v>53</v>
      </c>
      <c r="N22" s="50">
        <v>34000.0</v>
      </c>
      <c r="O22" s="27"/>
      <c r="P22" s="28"/>
    </row>
    <row r="23" hidden="1">
      <c r="A23" s="16" t="s">
        <v>54</v>
      </c>
      <c r="B23" s="51"/>
      <c r="C23" s="18" t="s">
        <v>55</v>
      </c>
      <c r="D23" s="4"/>
      <c r="E23" s="19">
        <v>0.0</v>
      </c>
      <c r="F23" s="19">
        <v>0.0</v>
      </c>
      <c r="G23" s="20" t="s">
        <v>14</v>
      </c>
      <c r="H23" s="21">
        <v>0.0</v>
      </c>
      <c r="I23" s="22">
        <v>0.0</v>
      </c>
      <c r="J23" s="29"/>
      <c r="K23" s="43">
        <v>49504.0</v>
      </c>
      <c r="L23" s="44">
        <v>65000.0</v>
      </c>
      <c r="M23" s="25"/>
      <c r="N23" s="26"/>
      <c r="O23" s="27">
        <f t="shared" ref="O23:O57" si="7">(L23/K23)-1</f>
        <v>0.3130252101</v>
      </c>
      <c r="P23" s="28">
        <f t="shared" ref="P23:P25" si="8">K23*F23</f>
        <v>0</v>
      </c>
    </row>
    <row r="24" hidden="1">
      <c r="A24" s="16" t="s">
        <v>56</v>
      </c>
      <c r="B24" s="17"/>
      <c r="C24" s="18"/>
      <c r="D24" s="4"/>
      <c r="E24" s="19">
        <v>0.0</v>
      </c>
      <c r="F24" s="19"/>
      <c r="G24" s="20" t="s">
        <v>57</v>
      </c>
      <c r="H24" s="21"/>
      <c r="I24" s="22"/>
      <c r="J24" s="29"/>
      <c r="K24" s="43">
        <v>7400.0</v>
      </c>
      <c r="L24" s="44">
        <v>12000.0</v>
      </c>
      <c r="M24" s="25"/>
      <c r="N24" s="31"/>
      <c r="O24" s="27">
        <f t="shared" si="7"/>
        <v>0.6216216216</v>
      </c>
      <c r="P24" s="28">
        <f t="shared" si="8"/>
        <v>0</v>
      </c>
    </row>
    <row r="25" hidden="1">
      <c r="A25" s="52" t="s">
        <v>58</v>
      </c>
      <c r="B25" s="36" t="s">
        <v>59</v>
      </c>
      <c r="C25" s="18"/>
      <c r="D25" s="4"/>
      <c r="E25" s="19">
        <v>0.0</v>
      </c>
      <c r="F25" s="19"/>
      <c r="G25" s="20" t="s">
        <v>60</v>
      </c>
      <c r="H25" s="21"/>
      <c r="I25" s="22"/>
      <c r="J25" s="29"/>
      <c r="K25" s="43">
        <f>24789.92*1.19</f>
        <v>29500.0048</v>
      </c>
      <c r="L25" s="44">
        <v>39000.0</v>
      </c>
      <c r="M25" s="25"/>
      <c r="N25" s="53"/>
      <c r="O25" s="27">
        <f t="shared" si="7"/>
        <v>0.3220336832</v>
      </c>
      <c r="P25" s="28">
        <f t="shared" si="8"/>
        <v>0</v>
      </c>
    </row>
    <row r="26" hidden="1">
      <c r="A26" s="16" t="s">
        <v>61</v>
      </c>
      <c r="B26" s="17"/>
      <c r="C26" s="18"/>
      <c r="D26" s="4"/>
      <c r="E26" s="19">
        <v>0.0</v>
      </c>
      <c r="F26" s="19">
        <v>0.0</v>
      </c>
      <c r="G26" s="20" t="s">
        <v>14</v>
      </c>
      <c r="H26" s="21">
        <v>0.0</v>
      </c>
      <c r="I26" s="22">
        <v>10.0</v>
      </c>
      <c r="J26" s="47">
        <v>46174.0</v>
      </c>
      <c r="K26" s="24">
        <f>50500*1.19</f>
        <v>60095</v>
      </c>
      <c r="L26" s="24">
        <v>76000.0</v>
      </c>
      <c r="M26" s="25"/>
      <c r="N26" s="26">
        <v>65000.0</v>
      </c>
      <c r="O26" s="27">
        <f t="shared" si="7"/>
        <v>0.2646642816</v>
      </c>
      <c r="P26" s="28">
        <f>K26*F27</f>
        <v>0</v>
      </c>
    </row>
    <row r="27" hidden="1">
      <c r="A27" s="42" t="s">
        <v>62</v>
      </c>
      <c r="B27" s="17"/>
      <c r="C27" s="18"/>
      <c r="D27" s="4"/>
      <c r="E27" s="19">
        <v>0.0</v>
      </c>
      <c r="F27" s="19">
        <v>0.0</v>
      </c>
      <c r="G27" s="54" t="s">
        <v>63</v>
      </c>
      <c r="H27" s="21"/>
      <c r="I27" s="22">
        <v>0.0</v>
      </c>
      <c r="J27" s="47">
        <v>46174.0</v>
      </c>
      <c r="K27" s="48">
        <f>26000*1.19</f>
        <v>30940</v>
      </c>
      <c r="L27" s="55">
        <v>55000.0</v>
      </c>
      <c r="M27" s="25"/>
      <c r="N27" s="26"/>
      <c r="O27" s="27">
        <f t="shared" si="7"/>
        <v>0.7776341306</v>
      </c>
      <c r="P27" s="28" t="str">
        <f>K27*#REF!</f>
        <v>#REF!</v>
      </c>
    </row>
    <row r="28" hidden="1">
      <c r="A28" s="52" t="s">
        <v>64</v>
      </c>
      <c r="B28" s="17"/>
      <c r="C28" s="18"/>
      <c r="D28" s="4"/>
      <c r="E28" s="19">
        <v>0.0</v>
      </c>
      <c r="F28" s="19">
        <v>0.0</v>
      </c>
      <c r="G28" s="20" t="s">
        <v>65</v>
      </c>
      <c r="H28" s="21"/>
      <c r="I28" s="22">
        <v>0.0</v>
      </c>
      <c r="J28" s="47">
        <v>46174.0</v>
      </c>
      <c r="K28" s="43">
        <v>7500.0</v>
      </c>
      <c r="L28" s="44">
        <v>12000.0</v>
      </c>
      <c r="M28" s="25"/>
      <c r="N28" s="26"/>
      <c r="O28" s="27">
        <f t="shared" si="7"/>
        <v>0.6</v>
      </c>
      <c r="P28" s="28">
        <f t="shared" ref="P28:P37" si="9">K28*F28</f>
        <v>0</v>
      </c>
    </row>
    <row r="29" hidden="1">
      <c r="A29" s="16" t="s">
        <v>66</v>
      </c>
      <c r="B29" s="17"/>
      <c r="C29" s="18"/>
      <c r="D29" s="4"/>
      <c r="E29" s="19">
        <v>0.0</v>
      </c>
      <c r="F29" s="19"/>
      <c r="G29" s="20" t="s">
        <v>57</v>
      </c>
      <c r="H29" s="21"/>
      <c r="I29" s="22"/>
      <c r="J29" s="29"/>
      <c r="K29" s="43">
        <v>1800.0</v>
      </c>
      <c r="L29" s="44">
        <v>3500.0</v>
      </c>
      <c r="M29" s="25"/>
      <c r="N29" s="31"/>
      <c r="O29" s="27">
        <f t="shared" si="7"/>
        <v>0.9444444444</v>
      </c>
      <c r="P29" s="28">
        <f t="shared" si="9"/>
        <v>0</v>
      </c>
    </row>
    <row r="30" hidden="1">
      <c r="A30" s="16" t="s">
        <v>67</v>
      </c>
      <c r="B30" s="17"/>
      <c r="C30" s="18"/>
      <c r="D30" s="4"/>
      <c r="E30" s="19">
        <v>0.0</v>
      </c>
      <c r="F30" s="19"/>
      <c r="G30" s="20" t="s">
        <v>57</v>
      </c>
      <c r="H30" s="21"/>
      <c r="I30" s="22"/>
      <c r="J30" s="29"/>
      <c r="K30" s="43">
        <v>6400.0</v>
      </c>
      <c r="L30" s="44">
        <v>9000.0</v>
      </c>
      <c r="M30" s="25"/>
      <c r="N30" s="31"/>
      <c r="O30" s="27">
        <f t="shared" si="7"/>
        <v>0.40625</v>
      </c>
      <c r="P30" s="28">
        <f t="shared" si="9"/>
        <v>0</v>
      </c>
    </row>
    <row r="31" hidden="1">
      <c r="A31" s="56" t="s">
        <v>68</v>
      </c>
      <c r="B31" s="36" t="s">
        <v>69</v>
      </c>
      <c r="C31" s="18"/>
      <c r="D31" s="4"/>
      <c r="E31" s="19">
        <v>0.0</v>
      </c>
      <c r="F31" s="19">
        <v>0.0</v>
      </c>
      <c r="G31" s="16" t="s">
        <v>70</v>
      </c>
      <c r="H31" s="21"/>
      <c r="I31" s="22">
        <v>0.0</v>
      </c>
      <c r="J31" s="47">
        <v>46082.0</v>
      </c>
      <c r="K31" s="32">
        <f>100000*0.8*1.19</f>
        <v>95200</v>
      </c>
      <c r="L31" s="24">
        <v>145000.0</v>
      </c>
      <c r="M31" s="25"/>
      <c r="N31" s="26"/>
      <c r="O31" s="27">
        <f t="shared" si="7"/>
        <v>0.5231092437</v>
      </c>
      <c r="P31" s="28">
        <f t="shared" si="9"/>
        <v>0</v>
      </c>
    </row>
    <row r="32" hidden="1">
      <c r="A32" s="16" t="s">
        <v>71</v>
      </c>
      <c r="B32" s="51" t="s">
        <v>72</v>
      </c>
      <c r="C32" s="18"/>
      <c r="D32" s="4"/>
      <c r="E32" s="19">
        <v>0.0</v>
      </c>
      <c r="F32" s="19">
        <v>0.0</v>
      </c>
      <c r="G32" s="20" t="s">
        <v>73</v>
      </c>
      <c r="H32" s="21"/>
      <c r="I32" s="22">
        <v>0.0</v>
      </c>
      <c r="J32" s="29"/>
      <c r="K32" s="43">
        <v>10868.0</v>
      </c>
      <c r="L32" s="44">
        <v>18000.0</v>
      </c>
      <c r="M32" s="25"/>
      <c r="N32" s="26"/>
      <c r="O32" s="27">
        <f t="shared" si="7"/>
        <v>0.6562384983</v>
      </c>
      <c r="P32" s="28">
        <f t="shared" si="9"/>
        <v>0</v>
      </c>
    </row>
    <row r="33" hidden="1">
      <c r="A33" s="16" t="s">
        <v>74</v>
      </c>
      <c r="B33" s="51" t="s">
        <v>72</v>
      </c>
      <c r="C33" s="18"/>
      <c r="D33" s="41"/>
      <c r="E33" s="19">
        <v>0.0</v>
      </c>
      <c r="F33" s="19">
        <v>0.0</v>
      </c>
      <c r="G33" s="16" t="s">
        <v>75</v>
      </c>
      <c r="H33" s="21"/>
      <c r="I33" s="22"/>
      <c r="J33" s="47">
        <v>46478.0</v>
      </c>
      <c r="K33" s="55">
        <v>12000.0</v>
      </c>
      <c r="L33" s="55">
        <v>20000.0</v>
      </c>
      <c r="M33" s="25" t="s">
        <v>76</v>
      </c>
      <c r="N33" s="26">
        <v>18000.0</v>
      </c>
      <c r="O33" s="27">
        <f t="shared" si="7"/>
        <v>0.6666666667</v>
      </c>
      <c r="P33" s="28">
        <f t="shared" si="9"/>
        <v>0</v>
      </c>
    </row>
    <row r="34" hidden="1">
      <c r="A34" s="16" t="s">
        <v>77</v>
      </c>
      <c r="B34" s="51" t="s">
        <v>72</v>
      </c>
      <c r="C34" s="18"/>
      <c r="D34" s="4"/>
      <c r="E34" s="19">
        <v>2.0</v>
      </c>
      <c r="F34" s="19">
        <v>0.0</v>
      </c>
      <c r="G34" s="20" t="s">
        <v>78</v>
      </c>
      <c r="H34" s="21">
        <v>2.0</v>
      </c>
      <c r="I34" s="22">
        <v>3.0</v>
      </c>
      <c r="J34" s="29"/>
      <c r="K34" s="48">
        <v>13272.0</v>
      </c>
      <c r="L34" s="55">
        <v>22000.0</v>
      </c>
      <c r="M34" s="25"/>
      <c r="N34" s="57"/>
      <c r="O34" s="27">
        <f t="shared" si="7"/>
        <v>0.6576250753</v>
      </c>
      <c r="P34" s="28">
        <f t="shared" si="9"/>
        <v>0</v>
      </c>
    </row>
    <row r="35" hidden="1">
      <c r="A35" s="16" t="s">
        <v>79</v>
      </c>
      <c r="B35" s="51" t="s">
        <v>72</v>
      </c>
      <c r="C35" s="18" t="s">
        <v>80</v>
      </c>
      <c r="D35" s="4">
        <f>(6500*1.19)/3</f>
        <v>2578.333333</v>
      </c>
      <c r="E35" s="19">
        <v>0.0</v>
      </c>
      <c r="F35" s="19">
        <v>0.0</v>
      </c>
      <c r="G35" s="54" t="s">
        <v>81</v>
      </c>
      <c r="H35" s="21"/>
      <c r="I35" s="22"/>
      <c r="J35" s="58">
        <v>45962.0</v>
      </c>
      <c r="K35" s="24">
        <f>(11654*1.19)/3</f>
        <v>4622.753333</v>
      </c>
      <c r="L35" s="24">
        <v>13000.0</v>
      </c>
      <c r="M35" s="25" t="s">
        <v>82</v>
      </c>
      <c r="N35" s="26"/>
      <c r="O35" s="27">
        <f t="shared" si="7"/>
        <v>1.81217687</v>
      </c>
      <c r="P35" s="28">
        <f t="shared" si="9"/>
        <v>0</v>
      </c>
    </row>
    <row r="36" hidden="1">
      <c r="A36" s="16" t="s">
        <v>83</v>
      </c>
      <c r="B36" s="51" t="s">
        <v>72</v>
      </c>
      <c r="C36" s="18"/>
      <c r="D36" s="4"/>
      <c r="E36" s="19">
        <v>0.0</v>
      </c>
      <c r="F36" s="19">
        <v>0.0</v>
      </c>
      <c r="G36" s="16" t="s">
        <v>84</v>
      </c>
      <c r="H36" s="21"/>
      <c r="I36" s="22">
        <v>0.0</v>
      </c>
      <c r="J36" s="29"/>
      <c r="K36" s="43">
        <v>2000.0</v>
      </c>
      <c r="L36" s="44">
        <v>10000.0</v>
      </c>
      <c r="M36" s="25"/>
      <c r="N36" s="31"/>
      <c r="O36" s="27">
        <f t="shared" si="7"/>
        <v>4</v>
      </c>
      <c r="P36" s="28">
        <f t="shared" si="9"/>
        <v>0</v>
      </c>
    </row>
    <row r="37" hidden="1">
      <c r="A37" s="16" t="s">
        <v>85</v>
      </c>
      <c r="B37" s="51" t="s">
        <v>86</v>
      </c>
      <c r="C37" s="18"/>
      <c r="D37" s="4"/>
      <c r="E37" s="19">
        <v>0.0</v>
      </c>
      <c r="F37" s="19">
        <v>0.0</v>
      </c>
      <c r="G37" s="16" t="s">
        <v>70</v>
      </c>
      <c r="H37" s="21"/>
      <c r="I37" s="22">
        <v>0.0</v>
      </c>
      <c r="J37" s="58">
        <v>45992.0</v>
      </c>
      <c r="K37" s="24">
        <f>32500*0.8</f>
        <v>26000</v>
      </c>
      <c r="L37" s="24">
        <v>35000.0</v>
      </c>
      <c r="M37" s="25" t="s">
        <v>76</v>
      </c>
      <c r="N37" s="26"/>
      <c r="O37" s="27">
        <f t="shared" si="7"/>
        <v>0.3461538462</v>
      </c>
      <c r="P37" s="28">
        <f t="shared" si="9"/>
        <v>0</v>
      </c>
    </row>
    <row r="38" hidden="1">
      <c r="A38" s="59" t="s">
        <v>87</v>
      </c>
      <c r="B38" s="51" t="s">
        <v>72</v>
      </c>
      <c r="C38" s="18"/>
      <c r="D38" s="4"/>
      <c r="E38" s="19"/>
      <c r="F38" s="19"/>
      <c r="G38" s="16" t="s">
        <v>88</v>
      </c>
      <c r="H38" s="21"/>
      <c r="I38" s="22">
        <v>2.0</v>
      </c>
      <c r="J38" s="47">
        <v>46844.0</v>
      </c>
      <c r="K38" s="60">
        <v>14173.0</v>
      </c>
      <c r="L38" s="55">
        <v>24000.0</v>
      </c>
      <c r="M38" s="25"/>
      <c r="N38" s="26"/>
      <c r="O38" s="27">
        <f t="shared" si="7"/>
        <v>0.6933606153</v>
      </c>
      <c r="P38" s="28" t="str">
        <f>K38*#REF!</f>
        <v>#REF!</v>
      </c>
    </row>
    <row r="39" hidden="1">
      <c r="A39" s="16" t="s">
        <v>89</v>
      </c>
      <c r="B39" s="51" t="s">
        <v>90</v>
      </c>
      <c r="C39" s="38"/>
      <c r="D39" s="61"/>
      <c r="E39" s="19"/>
      <c r="F39" s="62"/>
      <c r="G39" s="16" t="s">
        <v>91</v>
      </c>
      <c r="H39" s="21"/>
      <c r="I39" s="22">
        <v>11.0</v>
      </c>
      <c r="J39" s="47">
        <v>46447.0</v>
      </c>
      <c r="K39" s="60">
        <v>54000.0</v>
      </c>
      <c r="L39" s="55">
        <v>68000.0</v>
      </c>
      <c r="M39" s="25" t="s">
        <v>82</v>
      </c>
      <c r="N39" s="26"/>
      <c r="O39" s="27">
        <f t="shared" si="7"/>
        <v>0.2592592593</v>
      </c>
      <c r="P39" s="28">
        <f t="shared" ref="P39:P57" si="10">K39*F39</f>
        <v>0</v>
      </c>
    </row>
    <row r="40" hidden="1">
      <c r="A40" s="16" t="s">
        <v>92</v>
      </c>
      <c r="B40" s="51" t="s">
        <v>72</v>
      </c>
      <c r="C40" s="18"/>
      <c r="D40" s="4"/>
      <c r="E40" s="19">
        <v>0.0</v>
      </c>
      <c r="F40" s="19">
        <v>0.0</v>
      </c>
      <c r="G40" s="20" t="s">
        <v>93</v>
      </c>
      <c r="H40" s="21"/>
      <c r="I40" s="22">
        <v>6.0</v>
      </c>
      <c r="J40" s="58">
        <v>46296.0</v>
      </c>
      <c r="K40" s="48">
        <v>33800.0</v>
      </c>
      <c r="L40" s="55">
        <v>42500.0</v>
      </c>
      <c r="M40" s="25" t="s">
        <v>76</v>
      </c>
      <c r="N40" s="57"/>
      <c r="O40" s="27">
        <f t="shared" si="7"/>
        <v>0.2573964497</v>
      </c>
      <c r="P40" s="28">
        <f t="shared" si="10"/>
        <v>0</v>
      </c>
    </row>
    <row r="41" hidden="1">
      <c r="A41" s="16" t="s">
        <v>94</v>
      </c>
      <c r="B41" s="51" t="s">
        <v>72</v>
      </c>
      <c r="C41" s="18"/>
      <c r="D41" s="4"/>
      <c r="E41" s="19">
        <v>0.0</v>
      </c>
      <c r="F41" s="19">
        <v>0.0</v>
      </c>
      <c r="G41" s="20" t="s">
        <v>78</v>
      </c>
      <c r="H41" s="21">
        <v>1.0</v>
      </c>
      <c r="I41" s="22">
        <v>3.0</v>
      </c>
      <c r="J41" s="29"/>
      <c r="K41" s="32">
        <v>150579.0</v>
      </c>
      <c r="L41" s="24">
        <v>210000.0</v>
      </c>
      <c r="M41" s="25"/>
      <c r="N41" s="63" t="s">
        <v>95</v>
      </c>
      <c r="O41" s="27">
        <f t="shared" si="7"/>
        <v>0.3946167792</v>
      </c>
      <c r="P41" s="28">
        <f t="shared" si="10"/>
        <v>0</v>
      </c>
    </row>
    <row r="42">
      <c r="A42" s="16" t="s">
        <v>96</v>
      </c>
      <c r="B42" s="51" t="s">
        <v>72</v>
      </c>
      <c r="C42" s="64" t="s">
        <v>97</v>
      </c>
      <c r="D42" s="4"/>
      <c r="E42" s="19"/>
      <c r="F42" s="19"/>
      <c r="G42" s="16" t="s">
        <v>98</v>
      </c>
      <c r="H42" s="21">
        <v>10.0</v>
      </c>
      <c r="I42" s="22"/>
      <c r="J42" s="29" t="s">
        <v>99</v>
      </c>
      <c r="K42" s="48">
        <v>12400.0</v>
      </c>
      <c r="L42" s="55">
        <v>18000.0</v>
      </c>
      <c r="M42" s="25" t="s">
        <v>76</v>
      </c>
      <c r="N42" s="65">
        <v>15000.0</v>
      </c>
      <c r="O42" s="27">
        <f t="shared" si="7"/>
        <v>0.4516129032</v>
      </c>
      <c r="P42" s="28">
        <f t="shared" si="10"/>
        <v>0</v>
      </c>
    </row>
    <row r="43" hidden="1">
      <c r="A43" s="16" t="s">
        <v>100</v>
      </c>
      <c r="B43" s="17"/>
      <c r="C43" s="18"/>
      <c r="D43" s="4"/>
      <c r="E43" s="19">
        <v>0.0</v>
      </c>
      <c r="F43" s="19">
        <v>0.0</v>
      </c>
      <c r="G43" s="16" t="s">
        <v>84</v>
      </c>
      <c r="H43" s="21"/>
      <c r="I43" s="22">
        <v>0.0</v>
      </c>
      <c r="J43" s="29"/>
      <c r="K43" s="48">
        <v>37140.0</v>
      </c>
      <c r="L43" s="55">
        <v>46400.0</v>
      </c>
      <c r="M43" s="25"/>
      <c r="N43" s="57"/>
      <c r="O43" s="27">
        <f t="shared" si="7"/>
        <v>0.2493268713</v>
      </c>
      <c r="P43" s="28">
        <f t="shared" si="10"/>
        <v>0</v>
      </c>
    </row>
    <row r="44" hidden="1">
      <c r="A44" s="16" t="s">
        <v>101</v>
      </c>
      <c r="B44" s="17"/>
      <c r="C44" s="18"/>
      <c r="D44" s="66"/>
      <c r="E44" s="19">
        <v>0.0</v>
      </c>
      <c r="F44" s="19">
        <v>0.0</v>
      </c>
      <c r="G44" s="54" t="s">
        <v>102</v>
      </c>
      <c r="H44" s="21"/>
      <c r="I44" s="22">
        <v>8.0</v>
      </c>
      <c r="J44" s="29"/>
      <c r="K44" s="48">
        <f>21315*1.19</f>
        <v>25364.85</v>
      </c>
      <c r="L44" s="48">
        <v>38000.0</v>
      </c>
      <c r="M44" s="25" t="s">
        <v>82</v>
      </c>
      <c r="N44" s="26">
        <v>32000.0</v>
      </c>
      <c r="O44" s="27">
        <f t="shared" si="7"/>
        <v>0.4981362003</v>
      </c>
      <c r="P44" s="28">
        <f t="shared" si="10"/>
        <v>0</v>
      </c>
    </row>
    <row r="45" hidden="1">
      <c r="A45" s="42" t="s">
        <v>103</v>
      </c>
      <c r="B45" s="36"/>
      <c r="C45" s="18"/>
      <c r="D45" s="4"/>
      <c r="E45" s="19">
        <v>0.0</v>
      </c>
      <c r="F45" s="19">
        <v>0.0</v>
      </c>
      <c r="G45" s="16" t="s">
        <v>104</v>
      </c>
      <c r="H45" s="21"/>
      <c r="I45" s="22">
        <v>5.0</v>
      </c>
      <c r="J45" s="47">
        <v>46478.0</v>
      </c>
      <c r="K45" s="32">
        <f>23294*1.19</f>
        <v>27719.86</v>
      </c>
      <c r="L45" s="24">
        <v>40000.0</v>
      </c>
      <c r="M45" s="25"/>
      <c r="N45" s="26">
        <v>35000.0</v>
      </c>
      <c r="O45" s="27">
        <f t="shared" si="7"/>
        <v>0.4430087309</v>
      </c>
      <c r="P45" s="28">
        <f t="shared" si="10"/>
        <v>0</v>
      </c>
    </row>
    <row r="46" hidden="1">
      <c r="A46" s="16" t="s">
        <v>105</v>
      </c>
      <c r="B46" s="17"/>
      <c r="C46" s="18"/>
      <c r="D46" s="4"/>
      <c r="E46" s="19">
        <v>0.0</v>
      </c>
      <c r="F46" s="19">
        <v>0.0</v>
      </c>
      <c r="G46" s="16" t="s">
        <v>84</v>
      </c>
      <c r="H46" s="21"/>
      <c r="I46" s="22">
        <v>0.0</v>
      </c>
      <c r="J46" s="29"/>
      <c r="K46" s="43">
        <v>10320.0</v>
      </c>
      <c r="L46" s="44">
        <v>30000.0</v>
      </c>
      <c r="M46" s="25"/>
      <c r="N46" s="57"/>
      <c r="O46" s="27">
        <f t="shared" si="7"/>
        <v>1.906976744</v>
      </c>
      <c r="P46" s="28">
        <f t="shared" si="10"/>
        <v>0</v>
      </c>
    </row>
    <row r="47" hidden="1">
      <c r="A47" s="16" t="s">
        <v>106</v>
      </c>
      <c r="B47" s="36" t="s">
        <v>107</v>
      </c>
      <c r="C47" s="18"/>
      <c r="D47" s="4"/>
      <c r="E47" s="19">
        <v>0.0</v>
      </c>
      <c r="F47" s="19">
        <v>0.0</v>
      </c>
      <c r="G47" s="16" t="s">
        <v>70</v>
      </c>
      <c r="H47" s="21"/>
      <c r="I47" s="22">
        <v>0.0</v>
      </c>
      <c r="J47" s="47">
        <v>46023.0</v>
      </c>
      <c r="K47" s="32">
        <f>40000*0.8*1.19</f>
        <v>38080</v>
      </c>
      <c r="L47" s="32">
        <v>56000.0</v>
      </c>
      <c r="M47" s="25"/>
      <c r="N47" s="26"/>
      <c r="O47" s="27">
        <f t="shared" si="7"/>
        <v>0.4705882353</v>
      </c>
      <c r="P47" s="28">
        <f t="shared" si="10"/>
        <v>0</v>
      </c>
    </row>
    <row r="48" hidden="1">
      <c r="A48" s="42" t="s">
        <v>108</v>
      </c>
      <c r="B48" s="36"/>
      <c r="C48" s="18"/>
      <c r="D48" s="4"/>
      <c r="E48" s="19">
        <v>0.0</v>
      </c>
      <c r="F48" s="19">
        <v>10.0</v>
      </c>
      <c r="G48" s="16" t="s">
        <v>104</v>
      </c>
      <c r="H48" s="21"/>
      <c r="I48" s="22">
        <v>4.0</v>
      </c>
      <c r="J48" s="47">
        <v>46569.0</v>
      </c>
      <c r="K48" s="24">
        <f>25757*1.19</f>
        <v>30650.83</v>
      </c>
      <c r="L48" s="24">
        <v>45000.0</v>
      </c>
      <c r="M48" s="25"/>
      <c r="N48" s="26">
        <v>38000.0</v>
      </c>
      <c r="O48" s="27">
        <f t="shared" si="7"/>
        <v>0.4681494759</v>
      </c>
      <c r="P48" s="28">
        <f t="shared" si="10"/>
        <v>306508.3</v>
      </c>
    </row>
    <row r="49" hidden="1">
      <c r="A49" s="52" t="s">
        <v>109</v>
      </c>
      <c r="B49" s="36" t="s">
        <v>110</v>
      </c>
      <c r="C49" s="18"/>
      <c r="D49" s="67"/>
      <c r="E49" s="19">
        <v>0.0</v>
      </c>
      <c r="F49" s="19">
        <v>0.0</v>
      </c>
      <c r="G49" s="16" t="s">
        <v>111</v>
      </c>
      <c r="H49" s="21"/>
      <c r="I49" s="22"/>
      <c r="J49" s="23"/>
      <c r="K49" s="55">
        <f>24667*1.19</f>
        <v>29353.73</v>
      </c>
      <c r="L49" s="55">
        <v>45000.0</v>
      </c>
      <c r="M49" s="25"/>
      <c r="N49" s="26">
        <v>35000.0</v>
      </c>
      <c r="O49" s="27">
        <f t="shared" si="7"/>
        <v>0.5330249341</v>
      </c>
      <c r="P49" s="28">
        <f t="shared" si="10"/>
        <v>0</v>
      </c>
    </row>
    <row r="50" hidden="1">
      <c r="A50" s="16" t="s">
        <v>112</v>
      </c>
      <c r="B50" s="17" t="s">
        <v>113</v>
      </c>
      <c r="C50" s="68"/>
      <c r="D50" s="4"/>
      <c r="E50" s="19">
        <v>0.0</v>
      </c>
      <c r="F50" s="19">
        <v>0.0</v>
      </c>
      <c r="G50" s="20" t="s">
        <v>78</v>
      </c>
      <c r="H50" s="21">
        <v>3.0</v>
      </c>
      <c r="I50" s="22">
        <v>6.0</v>
      </c>
      <c r="J50" s="23"/>
      <c r="K50" s="24">
        <v>30257.0</v>
      </c>
      <c r="L50" s="24">
        <v>52000.0</v>
      </c>
      <c r="M50" s="25" t="s">
        <v>82</v>
      </c>
      <c r="N50" s="26">
        <v>38000.0</v>
      </c>
      <c r="O50" s="27">
        <f t="shared" si="7"/>
        <v>0.7186105695</v>
      </c>
      <c r="P50" s="28">
        <f t="shared" si="10"/>
        <v>0</v>
      </c>
    </row>
    <row r="51" hidden="1">
      <c r="A51" s="16" t="s">
        <v>114</v>
      </c>
      <c r="B51" s="51" t="s">
        <v>115</v>
      </c>
      <c r="C51" s="38"/>
      <c r="D51" s="61"/>
      <c r="E51" s="19"/>
      <c r="F51" s="62"/>
      <c r="G51" s="16" t="s">
        <v>91</v>
      </c>
      <c r="H51" s="21"/>
      <c r="I51" s="22">
        <v>3.0</v>
      </c>
      <c r="J51" s="45"/>
      <c r="K51" s="60">
        <v>118000.0</v>
      </c>
      <c r="L51" s="55">
        <v>170000.0</v>
      </c>
      <c r="M51" s="25" t="s">
        <v>82</v>
      </c>
      <c r="N51" s="26"/>
      <c r="O51" s="27">
        <f t="shared" si="7"/>
        <v>0.4406779661</v>
      </c>
      <c r="P51" s="28">
        <f t="shared" si="10"/>
        <v>0</v>
      </c>
    </row>
    <row r="52" hidden="1">
      <c r="A52" s="16" t="s">
        <v>116</v>
      </c>
      <c r="B52" s="36"/>
      <c r="C52" s="18"/>
      <c r="D52" s="4"/>
      <c r="E52" s="19">
        <v>0.0</v>
      </c>
      <c r="F52" s="19">
        <v>0.0</v>
      </c>
      <c r="G52" s="40" t="s">
        <v>93</v>
      </c>
      <c r="H52" s="21"/>
      <c r="I52" s="22">
        <v>3.0</v>
      </c>
      <c r="J52" s="29"/>
      <c r="K52" s="32">
        <v>19710.0</v>
      </c>
      <c r="L52" s="24">
        <v>24630.0</v>
      </c>
      <c r="M52" s="25"/>
      <c r="N52" s="69"/>
      <c r="O52" s="27">
        <f t="shared" si="7"/>
        <v>0.2496194825</v>
      </c>
      <c r="P52" s="28">
        <f t="shared" si="10"/>
        <v>0</v>
      </c>
    </row>
    <row r="53" hidden="1">
      <c r="A53" s="16" t="s">
        <v>117</v>
      </c>
      <c r="B53" s="17"/>
      <c r="C53" s="18" t="s">
        <v>118</v>
      </c>
      <c r="D53" s="4"/>
      <c r="E53" s="19">
        <v>0.0</v>
      </c>
      <c r="F53" s="19">
        <v>0.0</v>
      </c>
      <c r="G53" s="16" t="s">
        <v>119</v>
      </c>
      <c r="H53" s="21">
        <v>3.0</v>
      </c>
      <c r="I53" s="22">
        <v>4.0</v>
      </c>
      <c r="J53" s="45" t="s">
        <v>99</v>
      </c>
      <c r="K53" s="46">
        <v>45031.0</v>
      </c>
      <c r="L53" s="24">
        <v>58000.0</v>
      </c>
      <c r="M53" s="25" t="s">
        <v>120</v>
      </c>
      <c r="N53" s="26"/>
      <c r="O53" s="27">
        <f t="shared" si="7"/>
        <v>0.2880015989</v>
      </c>
      <c r="P53" s="28">
        <f t="shared" si="10"/>
        <v>0</v>
      </c>
    </row>
    <row r="54" hidden="1">
      <c r="A54" s="16" t="s">
        <v>121</v>
      </c>
      <c r="B54" s="17" t="s">
        <v>122</v>
      </c>
      <c r="C54" s="18" t="s">
        <v>123</v>
      </c>
      <c r="D54" s="4"/>
      <c r="E54" s="19">
        <v>1.0</v>
      </c>
      <c r="F54" s="19">
        <v>0.0</v>
      </c>
      <c r="G54" s="16" t="s">
        <v>124</v>
      </c>
      <c r="H54" s="21">
        <v>1.0</v>
      </c>
      <c r="I54" s="22">
        <v>2.0</v>
      </c>
      <c r="J54" s="58">
        <v>45931.0</v>
      </c>
      <c r="K54" s="55">
        <v>211194.0</v>
      </c>
      <c r="L54" s="55">
        <v>248000.0</v>
      </c>
      <c r="M54" s="25"/>
      <c r="N54" s="26"/>
      <c r="O54" s="27">
        <f t="shared" si="7"/>
        <v>0.1742757843</v>
      </c>
      <c r="P54" s="28">
        <f t="shared" si="10"/>
        <v>0</v>
      </c>
    </row>
    <row r="55" hidden="1">
      <c r="A55" s="16" t="s">
        <v>125</v>
      </c>
      <c r="B55" s="17"/>
      <c r="C55" s="18" t="s">
        <v>123</v>
      </c>
      <c r="D55" s="4"/>
      <c r="E55" s="19">
        <v>0.0</v>
      </c>
      <c r="F55" s="19">
        <v>0.0</v>
      </c>
      <c r="G55" s="16" t="s">
        <v>119</v>
      </c>
      <c r="H55" s="21">
        <v>0.0</v>
      </c>
      <c r="I55" s="22"/>
      <c r="J55" s="23"/>
      <c r="K55" s="55">
        <v>25000.0</v>
      </c>
      <c r="L55" s="55">
        <v>30000.0</v>
      </c>
      <c r="M55" s="25"/>
      <c r="N55" s="69"/>
      <c r="O55" s="27">
        <f t="shared" si="7"/>
        <v>0.2</v>
      </c>
      <c r="P55" s="28">
        <f t="shared" si="10"/>
        <v>0</v>
      </c>
    </row>
    <row r="56" hidden="1">
      <c r="A56" s="16" t="s">
        <v>126</v>
      </c>
      <c r="B56" s="17"/>
      <c r="C56" s="18"/>
      <c r="D56" s="4"/>
      <c r="E56" s="19">
        <v>0.0</v>
      </c>
      <c r="F56" s="19">
        <v>0.0</v>
      </c>
      <c r="G56" s="16" t="s">
        <v>127</v>
      </c>
      <c r="H56" s="21"/>
      <c r="I56" s="22">
        <v>0.0</v>
      </c>
      <c r="J56" s="29"/>
      <c r="K56" s="48">
        <v>26900.0</v>
      </c>
      <c r="L56" s="55">
        <v>33600.0</v>
      </c>
      <c r="M56" s="25"/>
      <c r="N56" s="69"/>
      <c r="O56" s="27">
        <f t="shared" si="7"/>
        <v>0.249070632</v>
      </c>
      <c r="P56" s="28">
        <f t="shared" si="10"/>
        <v>0</v>
      </c>
    </row>
    <row r="57" hidden="1">
      <c r="A57" s="16" t="s">
        <v>128</v>
      </c>
      <c r="B57" s="49"/>
      <c r="C57" s="18" t="s">
        <v>123</v>
      </c>
      <c r="D57" s="4"/>
      <c r="E57" s="19"/>
      <c r="F57" s="19"/>
      <c r="G57" s="16" t="s">
        <v>98</v>
      </c>
      <c r="H57" s="21">
        <v>0.0</v>
      </c>
      <c r="I57" s="22"/>
      <c r="J57" s="47">
        <v>46113.0</v>
      </c>
      <c r="K57" s="55">
        <v>13953.0</v>
      </c>
      <c r="L57" s="55">
        <v>22000.0</v>
      </c>
      <c r="M57" s="25"/>
      <c r="N57" s="70"/>
      <c r="O57" s="27">
        <f t="shared" si="7"/>
        <v>0.5767218519</v>
      </c>
      <c r="P57" s="28">
        <f t="shared" si="10"/>
        <v>0</v>
      </c>
    </row>
    <row r="58" hidden="1">
      <c r="A58" s="16" t="s">
        <v>129</v>
      </c>
      <c r="B58" s="49"/>
      <c r="C58" s="18" t="s">
        <v>123</v>
      </c>
      <c r="D58" s="4"/>
      <c r="E58" s="19"/>
      <c r="F58" s="19"/>
      <c r="G58" s="16" t="s">
        <v>98</v>
      </c>
      <c r="H58" s="21">
        <v>0.0</v>
      </c>
      <c r="I58" s="22"/>
      <c r="J58" s="29"/>
      <c r="K58" s="48">
        <v>15153.0</v>
      </c>
      <c r="L58" s="55">
        <v>22000.0</v>
      </c>
      <c r="M58" s="25"/>
      <c r="N58" s="26"/>
      <c r="O58" s="27" t="str">
        <f>(L58/#REF!)-1</f>
        <v>#REF!</v>
      </c>
      <c r="P58" s="28" t="str">
        <f>#REF!*K58</f>
        <v>#REF!</v>
      </c>
    </row>
    <row r="59" hidden="1">
      <c r="A59" s="42" t="s">
        <v>130</v>
      </c>
      <c r="B59" s="71"/>
      <c r="C59" s="18"/>
      <c r="D59" s="4"/>
      <c r="E59" s="19">
        <v>0.0</v>
      </c>
      <c r="F59" s="19">
        <v>0.0</v>
      </c>
      <c r="G59" s="54" t="s">
        <v>63</v>
      </c>
      <c r="H59" s="21"/>
      <c r="I59" s="22">
        <v>0.0</v>
      </c>
      <c r="J59" s="29"/>
      <c r="K59" s="43">
        <f t="shared" ref="K59:K60" si="11">8070*1.19</f>
        <v>9603.3</v>
      </c>
      <c r="L59" s="44">
        <v>20000.0</v>
      </c>
      <c r="M59" s="25"/>
      <c r="N59" s="26"/>
      <c r="O59" s="27">
        <f t="shared" ref="O59:O78" si="12">(L59/K59)-1</f>
        <v>1.082617434</v>
      </c>
      <c r="P59" s="28">
        <f t="shared" ref="P59:P78" si="13">K59*F59</f>
        <v>0</v>
      </c>
    </row>
    <row r="60" hidden="1">
      <c r="A60" s="42" t="s">
        <v>131</v>
      </c>
      <c r="B60" s="71"/>
      <c r="C60" s="18"/>
      <c r="D60" s="4"/>
      <c r="E60" s="19">
        <v>0.0</v>
      </c>
      <c r="F60" s="19">
        <v>0.0</v>
      </c>
      <c r="G60" s="54" t="s">
        <v>63</v>
      </c>
      <c r="H60" s="21"/>
      <c r="I60" s="22">
        <v>0.0</v>
      </c>
      <c r="J60" s="29"/>
      <c r="K60" s="43">
        <f t="shared" si="11"/>
        <v>9603.3</v>
      </c>
      <c r="L60" s="44">
        <v>20000.0</v>
      </c>
      <c r="M60" s="25"/>
      <c r="N60" s="26"/>
      <c r="O60" s="27">
        <f t="shared" si="12"/>
        <v>1.082617434</v>
      </c>
      <c r="P60" s="28">
        <f t="shared" si="13"/>
        <v>0</v>
      </c>
    </row>
    <row r="61" hidden="1">
      <c r="A61" s="16" t="s">
        <v>132</v>
      </c>
      <c r="B61" s="36" t="s">
        <v>133</v>
      </c>
      <c r="C61" s="18" t="s">
        <v>123</v>
      </c>
      <c r="D61" s="4"/>
      <c r="E61" s="19">
        <v>0.0</v>
      </c>
      <c r="F61" s="19">
        <v>0.0</v>
      </c>
      <c r="G61" s="16" t="s">
        <v>70</v>
      </c>
      <c r="H61" s="21"/>
      <c r="I61" s="22">
        <v>0.0</v>
      </c>
      <c r="J61" s="22" t="s">
        <v>134</v>
      </c>
      <c r="K61" s="32">
        <v>16800.0</v>
      </c>
      <c r="L61" s="24">
        <v>25000.0</v>
      </c>
      <c r="M61" s="72"/>
      <c r="N61" s="26">
        <v>22000.0</v>
      </c>
      <c r="O61" s="27">
        <f t="shared" si="12"/>
        <v>0.4880952381</v>
      </c>
      <c r="P61" s="28">
        <f t="shared" si="13"/>
        <v>0</v>
      </c>
    </row>
    <row r="62" hidden="1">
      <c r="A62" s="16" t="s">
        <v>135</v>
      </c>
      <c r="B62" s="36" t="s">
        <v>133</v>
      </c>
      <c r="C62" s="18" t="s">
        <v>123</v>
      </c>
      <c r="D62" s="4"/>
      <c r="E62" s="19">
        <v>0.0</v>
      </c>
      <c r="F62" s="19">
        <v>0.0</v>
      </c>
      <c r="G62" s="16" t="s">
        <v>70</v>
      </c>
      <c r="H62" s="21"/>
      <c r="I62" s="22">
        <v>0.0</v>
      </c>
      <c r="J62" s="47">
        <v>45717.0</v>
      </c>
      <c r="K62" s="32">
        <v>16800.0</v>
      </c>
      <c r="L62" s="24">
        <v>25000.0</v>
      </c>
      <c r="M62" s="72"/>
      <c r="N62" s="26"/>
      <c r="O62" s="27">
        <f t="shared" si="12"/>
        <v>0.4880952381</v>
      </c>
      <c r="P62" s="28">
        <f t="shared" si="13"/>
        <v>0</v>
      </c>
    </row>
    <row r="63" hidden="1">
      <c r="A63" s="16" t="s">
        <v>136</v>
      </c>
      <c r="B63" s="17"/>
      <c r="C63" s="18"/>
      <c r="D63" s="4"/>
      <c r="E63" s="19">
        <v>0.0</v>
      </c>
      <c r="F63" s="19"/>
      <c r="G63" s="16" t="s">
        <v>137</v>
      </c>
      <c r="H63" s="73"/>
      <c r="I63" s="22"/>
      <c r="J63" s="74"/>
      <c r="K63" s="75">
        <v>11700.0</v>
      </c>
      <c r="L63" s="44">
        <v>18000.0</v>
      </c>
      <c r="M63" s="25"/>
      <c r="N63" s="69"/>
      <c r="O63" s="27">
        <f t="shared" si="12"/>
        <v>0.5384615385</v>
      </c>
      <c r="P63" s="28">
        <f t="shared" si="13"/>
        <v>0</v>
      </c>
    </row>
    <row r="64" hidden="1">
      <c r="A64" s="16" t="s">
        <v>138</v>
      </c>
      <c r="B64" s="36" t="s">
        <v>139</v>
      </c>
      <c r="C64" s="18" t="s">
        <v>80</v>
      </c>
      <c r="D64" s="4">
        <f>(195200+37088)/6</f>
        <v>38714.66667</v>
      </c>
      <c r="E64" s="19">
        <v>0.0</v>
      </c>
      <c r="F64" s="19">
        <v>0.0</v>
      </c>
      <c r="G64" s="16" t="s">
        <v>70</v>
      </c>
      <c r="H64" s="21"/>
      <c r="I64" s="22">
        <v>0.0</v>
      </c>
      <c r="J64" s="47">
        <v>46023.0</v>
      </c>
      <c r="K64" s="32">
        <f>245000*0.8*1.19/6</f>
        <v>38873.33333</v>
      </c>
      <c r="L64" s="32">
        <v>65000.0</v>
      </c>
      <c r="M64" s="25"/>
      <c r="N64" s="26">
        <v>48000.0</v>
      </c>
      <c r="O64" s="27">
        <f t="shared" si="12"/>
        <v>0.6720974104</v>
      </c>
      <c r="P64" s="28">
        <f t="shared" si="13"/>
        <v>0</v>
      </c>
    </row>
    <row r="65" hidden="1">
      <c r="A65" s="16" t="s">
        <v>140</v>
      </c>
      <c r="B65" s="36" t="s">
        <v>141</v>
      </c>
      <c r="C65" s="18" t="s">
        <v>142</v>
      </c>
      <c r="D65" s="4"/>
      <c r="E65" s="19">
        <v>0.0</v>
      </c>
      <c r="F65" s="19">
        <v>0.0</v>
      </c>
      <c r="G65" s="16" t="s">
        <v>70</v>
      </c>
      <c r="H65" s="21"/>
      <c r="I65" s="22"/>
      <c r="J65" s="29"/>
      <c r="K65" s="43">
        <f>80000*0.8*1.19</f>
        <v>76160</v>
      </c>
      <c r="L65" s="43">
        <v>100000.0</v>
      </c>
      <c r="M65" s="25"/>
      <c r="N65" s="26"/>
      <c r="O65" s="27">
        <f t="shared" si="12"/>
        <v>0.3130252101</v>
      </c>
      <c r="P65" s="28">
        <f t="shared" si="13"/>
        <v>0</v>
      </c>
    </row>
    <row r="66" hidden="1">
      <c r="A66" s="16" t="s">
        <v>143</v>
      </c>
      <c r="B66" s="36"/>
      <c r="C66" s="18" t="s">
        <v>144</v>
      </c>
      <c r="D66" s="4">
        <v>38000.0</v>
      </c>
      <c r="E66" s="19">
        <v>0.0</v>
      </c>
      <c r="F66" s="19">
        <v>0.0</v>
      </c>
      <c r="G66" s="40" t="s">
        <v>93</v>
      </c>
      <c r="H66" s="21"/>
      <c r="I66" s="22">
        <v>0.0</v>
      </c>
      <c r="J66" s="23"/>
      <c r="K66" s="24">
        <v>36130.0</v>
      </c>
      <c r="L66" s="24">
        <v>49000.0</v>
      </c>
      <c r="M66" s="25"/>
      <c r="N66" s="76"/>
      <c r="O66" s="27">
        <f t="shared" si="12"/>
        <v>0.3562136728</v>
      </c>
      <c r="P66" s="28">
        <f t="shared" si="13"/>
        <v>0</v>
      </c>
    </row>
    <row r="67" hidden="1">
      <c r="A67" s="16" t="s">
        <v>145</v>
      </c>
      <c r="B67" s="36" t="s">
        <v>146</v>
      </c>
      <c r="C67" s="18" t="s">
        <v>142</v>
      </c>
      <c r="D67" s="4"/>
      <c r="E67" s="19">
        <v>0.0</v>
      </c>
      <c r="F67" s="19">
        <v>0.0</v>
      </c>
      <c r="G67" s="16" t="s">
        <v>70</v>
      </c>
      <c r="H67" s="21"/>
      <c r="I67" s="22"/>
      <c r="J67" s="22" t="s">
        <v>147</v>
      </c>
      <c r="K67" s="24">
        <f>250000*0.8</f>
        <v>200000</v>
      </c>
      <c r="L67" s="24">
        <v>270000.0</v>
      </c>
      <c r="M67" s="25"/>
      <c r="N67" s="26"/>
      <c r="O67" s="27">
        <f t="shared" si="12"/>
        <v>0.35</v>
      </c>
      <c r="P67" s="28">
        <f t="shared" si="13"/>
        <v>0</v>
      </c>
    </row>
    <row r="68" hidden="1">
      <c r="A68" s="16" t="s">
        <v>148</v>
      </c>
      <c r="B68" s="36"/>
      <c r="C68" s="18" t="s">
        <v>142</v>
      </c>
      <c r="D68" s="4"/>
      <c r="E68" s="19">
        <v>0.0</v>
      </c>
      <c r="F68" s="19">
        <v>0.0</v>
      </c>
      <c r="G68" s="16" t="s">
        <v>70</v>
      </c>
      <c r="H68" s="21"/>
      <c r="I68" s="22"/>
      <c r="J68" s="23"/>
      <c r="K68" s="48">
        <v>89000.0</v>
      </c>
      <c r="L68" s="55">
        <v>119000.0</v>
      </c>
      <c r="M68" s="25"/>
      <c r="N68" s="26"/>
      <c r="O68" s="27">
        <f t="shared" si="12"/>
        <v>0.3370786517</v>
      </c>
      <c r="P68" s="28">
        <f t="shared" si="13"/>
        <v>0</v>
      </c>
    </row>
    <row r="69" hidden="1">
      <c r="A69" s="16" t="s">
        <v>149</v>
      </c>
      <c r="B69" s="36"/>
      <c r="C69" s="18" t="s">
        <v>142</v>
      </c>
      <c r="D69" s="4"/>
      <c r="E69" s="19">
        <v>0.0</v>
      </c>
      <c r="F69" s="19">
        <v>0.0</v>
      </c>
      <c r="G69" s="16" t="s">
        <v>70</v>
      </c>
      <c r="H69" s="21"/>
      <c r="I69" s="22"/>
      <c r="J69" s="23"/>
      <c r="K69" s="44">
        <v>190000.0</v>
      </c>
      <c r="L69" s="44">
        <v>220000.0</v>
      </c>
      <c r="M69" s="25"/>
      <c r="N69" s="26"/>
      <c r="O69" s="27">
        <f t="shared" si="12"/>
        <v>0.1578947368</v>
      </c>
      <c r="P69" s="28">
        <f t="shared" si="13"/>
        <v>0</v>
      </c>
    </row>
    <row r="70" hidden="1">
      <c r="A70" s="16" t="s">
        <v>150</v>
      </c>
      <c r="B70" s="36" t="s">
        <v>151</v>
      </c>
      <c r="C70" s="18" t="s">
        <v>142</v>
      </c>
      <c r="D70" s="4"/>
      <c r="E70" s="19">
        <v>0.0</v>
      </c>
      <c r="F70" s="19">
        <v>0.0</v>
      </c>
      <c r="G70" s="16" t="s">
        <v>70</v>
      </c>
      <c r="H70" s="21"/>
      <c r="I70" s="22"/>
      <c r="J70" s="23"/>
      <c r="K70" s="24">
        <v>200000.0</v>
      </c>
      <c r="L70" s="24">
        <v>270000.0</v>
      </c>
      <c r="M70" s="25"/>
      <c r="N70" s="26"/>
      <c r="O70" s="27">
        <f t="shared" si="12"/>
        <v>0.35</v>
      </c>
      <c r="P70" s="28">
        <f t="shared" si="13"/>
        <v>0</v>
      </c>
    </row>
    <row r="71" hidden="1">
      <c r="A71" s="16" t="s">
        <v>152</v>
      </c>
      <c r="B71" s="36" t="s">
        <v>153</v>
      </c>
      <c r="C71" s="18" t="s">
        <v>142</v>
      </c>
      <c r="D71" s="4" t="s">
        <v>154</v>
      </c>
      <c r="E71" s="19">
        <v>0.0</v>
      </c>
      <c r="F71" s="19">
        <v>0.0</v>
      </c>
      <c r="G71" s="16" t="s">
        <v>70</v>
      </c>
      <c r="H71" s="21"/>
      <c r="I71" s="22"/>
      <c r="J71" s="29"/>
      <c r="K71" s="43">
        <f>123000*0.8*1.19</f>
        <v>117096</v>
      </c>
      <c r="L71" s="44">
        <v>165000.0</v>
      </c>
      <c r="M71" s="25"/>
      <c r="N71" s="26"/>
      <c r="O71" s="27">
        <f t="shared" si="12"/>
        <v>0.4091002255</v>
      </c>
      <c r="P71" s="28">
        <f t="shared" si="13"/>
        <v>0</v>
      </c>
    </row>
    <row r="72" hidden="1">
      <c r="A72" s="16" t="s">
        <v>155</v>
      </c>
      <c r="B72" s="17"/>
      <c r="C72" s="18"/>
      <c r="D72" s="4"/>
      <c r="E72" s="19">
        <v>0.0</v>
      </c>
      <c r="F72" s="19">
        <v>0.0</v>
      </c>
      <c r="G72" s="16" t="s">
        <v>119</v>
      </c>
      <c r="H72" s="21">
        <v>4.0</v>
      </c>
      <c r="I72" s="22">
        <v>0.0</v>
      </c>
      <c r="J72" s="23"/>
      <c r="K72" s="24">
        <v>115250.0</v>
      </c>
      <c r="L72" s="24">
        <v>148000.0</v>
      </c>
      <c r="M72" s="25" t="s">
        <v>120</v>
      </c>
      <c r="N72" s="26"/>
      <c r="O72" s="27">
        <f t="shared" si="12"/>
        <v>0.284164859</v>
      </c>
      <c r="P72" s="28">
        <f t="shared" si="13"/>
        <v>0</v>
      </c>
    </row>
    <row r="73" hidden="1">
      <c r="A73" s="16" t="s">
        <v>156</v>
      </c>
      <c r="B73" s="17" t="s">
        <v>157</v>
      </c>
      <c r="C73" s="18"/>
      <c r="D73" s="4"/>
      <c r="E73" s="19">
        <v>1.0</v>
      </c>
      <c r="F73" s="77">
        <v>0.0</v>
      </c>
      <c r="G73" s="16" t="s">
        <v>119</v>
      </c>
      <c r="H73" s="21">
        <v>1.0</v>
      </c>
      <c r="I73" s="22">
        <v>2.0</v>
      </c>
      <c r="J73" s="47">
        <v>45901.0</v>
      </c>
      <c r="K73" s="24">
        <v>97429.0</v>
      </c>
      <c r="L73" s="24">
        <v>125000.0</v>
      </c>
      <c r="M73" s="25" t="s">
        <v>120</v>
      </c>
      <c r="N73" s="26"/>
      <c r="O73" s="27">
        <f t="shared" si="12"/>
        <v>0.2829855587</v>
      </c>
      <c r="P73" s="28">
        <f t="shared" si="13"/>
        <v>0</v>
      </c>
    </row>
    <row r="74" hidden="1">
      <c r="A74" s="16" t="s">
        <v>158</v>
      </c>
      <c r="B74" s="36"/>
      <c r="C74" s="18"/>
      <c r="D74" s="4"/>
      <c r="E74" s="19">
        <v>0.0</v>
      </c>
      <c r="F74" s="19">
        <v>0.0</v>
      </c>
      <c r="G74" s="20" t="s">
        <v>159</v>
      </c>
      <c r="H74" s="21"/>
      <c r="I74" s="22">
        <v>0.0</v>
      </c>
      <c r="J74" s="29"/>
      <c r="K74" s="43">
        <v>141000.0</v>
      </c>
      <c r="L74" s="44">
        <v>175000.0</v>
      </c>
      <c r="M74" s="25"/>
      <c r="N74" s="69"/>
      <c r="O74" s="27">
        <f t="shared" si="12"/>
        <v>0.2411347518</v>
      </c>
      <c r="P74" s="28">
        <f t="shared" si="13"/>
        <v>0</v>
      </c>
    </row>
    <row r="75" hidden="1">
      <c r="A75" s="16" t="s">
        <v>160</v>
      </c>
      <c r="B75" s="36"/>
      <c r="C75" s="18"/>
      <c r="D75" s="4"/>
      <c r="E75" s="19">
        <v>0.0</v>
      </c>
      <c r="F75" s="19">
        <v>0.0</v>
      </c>
      <c r="G75" s="20" t="s">
        <v>159</v>
      </c>
      <c r="H75" s="21"/>
      <c r="I75" s="22">
        <v>0.0</v>
      </c>
      <c r="J75" s="29"/>
      <c r="K75" s="43">
        <v>292000.0</v>
      </c>
      <c r="L75" s="44">
        <v>365000.0</v>
      </c>
      <c r="M75" s="78"/>
      <c r="N75" s="69"/>
      <c r="O75" s="27">
        <f t="shared" si="12"/>
        <v>0.25</v>
      </c>
      <c r="P75" s="28">
        <f t="shared" si="13"/>
        <v>0</v>
      </c>
    </row>
    <row r="76" hidden="1">
      <c r="A76" s="16" t="s">
        <v>161</v>
      </c>
      <c r="B76" s="36"/>
      <c r="C76" s="18"/>
      <c r="D76" s="4"/>
      <c r="E76" s="19">
        <v>2.0</v>
      </c>
      <c r="F76" s="19">
        <v>0.0</v>
      </c>
      <c r="G76" s="20" t="s">
        <v>159</v>
      </c>
      <c r="H76" s="21"/>
      <c r="I76" s="22">
        <v>0.0</v>
      </c>
      <c r="J76" s="47">
        <v>45748.0</v>
      </c>
      <c r="K76" s="55">
        <v>287900.0</v>
      </c>
      <c r="L76" s="55">
        <v>359800.0</v>
      </c>
      <c r="M76" s="25"/>
      <c r="N76" s="50"/>
      <c r="O76" s="27">
        <f t="shared" si="12"/>
        <v>0.2497394929</v>
      </c>
      <c r="P76" s="28">
        <f t="shared" si="13"/>
        <v>0</v>
      </c>
    </row>
    <row r="77" hidden="1">
      <c r="A77" s="16" t="s">
        <v>162</v>
      </c>
      <c r="B77" s="49"/>
      <c r="C77" s="18"/>
      <c r="D77" s="4"/>
      <c r="E77" s="19"/>
      <c r="F77" s="19"/>
      <c r="G77" s="20" t="s">
        <v>163</v>
      </c>
      <c r="H77" s="21">
        <v>0.0</v>
      </c>
      <c r="I77" s="22">
        <v>0.0</v>
      </c>
      <c r="J77" s="58">
        <v>45870.0</v>
      </c>
      <c r="K77" s="79">
        <v>42000.0</v>
      </c>
      <c r="L77" s="79">
        <v>65000.0</v>
      </c>
      <c r="M77" s="25"/>
      <c r="N77" s="70"/>
      <c r="O77" s="27">
        <f t="shared" si="12"/>
        <v>0.5476190476</v>
      </c>
      <c r="P77" s="28">
        <f t="shared" si="13"/>
        <v>0</v>
      </c>
    </row>
    <row r="78" hidden="1">
      <c r="A78" s="16" t="s">
        <v>164</v>
      </c>
      <c r="B78" s="49"/>
      <c r="C78" s="18"/>
      <c r="D78" s="4"/>
      <c r="E78" s="19"/>
      <c r="F78" s="19"/>
      <c r="G78" s="20" t="s">
        <v>163</v>
      </c>
      <c r="H78" s="21">
        <v>0.0</v>
      </c>
      <c r="I78" s="22">
        <v>0.0</v>
      </c>
      <c r="J78" s="58">
        <v>45869.0</v>
      </c>
      <c r="K78" s="55">
        <v>65450.0</v>
      </c>
      <c r="L78" s="55">
        <v>88000.0</v>
      </c>
      <c r="M78" s="25"/>
      <c r="N78" s="70"/>
      <c r="O78" s="27">
        <f t="shared" si="12"/>
        <v>0.3445378151</v>
      </c>
      <c r="P78" s="28">
        <f t="shared" si="13"/>
        <v>0</v>
      </c>
    </row>
    <row r="79" hidden="1">
      <c r="A79" s="80" t="s">
        <v>165</v>
      </c>
      <c r="B79" s="81"/>
      <c r="C79" s="82"/>
      <c r="D79" s="83"/>
      <c r="E79" s="19">
        <v>0.0</v>
      </c>
      <c r="F79" s="19">
        <v>0.0</v>
      </c>
      <c r="G79" s="80"/>
      <c r="H79" s="84"/>
      <c r="I79" s="85"/>
      <c r="J79" s="86"/>
      <c r="K79" s="87"/>
      <c r="L79" s="87">
        <v>312000.0</v>
      </c>
      <c r="M79" s="88"/>
      <c r="N79" s="89"/>
      <c r="O79" s="90"/>
      <c r="P79" s="91"/>
    </row>
    <row r="80" hidden="1">
      <c r="A80" s="16" t="s">
        <v>166</v>
      </c>
      <c r="B80" s="36" t="s">
        <v>167</v>
      </c>
      <c r="C80" s="92" t="s">
        <v>168</v>
      </c>
      <c r="D80" s="4"/>
      <c r="E80" s="19">
        <v>0.0</v>
      </c>
      <c r="F80" s="19">
        <v>0.0</v>
      </c>
      <c r="G80" s="16" t="s">
        <v>169</v>
      </c>
      <c r="H80" s="21"/>
      <c r="I80" s="22"/>
      <c r="J80" s="23"/>
      <c r="K80" s="24">
        <v>80808.0</v>
      </c>
      <c r="L80" s="24">
        <v>120000.0</v>
      </c>
      <c r="M80" s="78" t="s">
        <v>76</v>
      </c>
      <c r="N80" s="26">
        <v>110000.0</v>
      </c>
      <c r="O80" s="27">
        <f t="shared" ref="O80:O82" si="14">(L80/K80)-1</f>
        <v>0.485001485</v>
      </c>
      <c r="P80" s="28">
        <f t="shared" ref="P80:P81" si="15">K80*F80</f>
        <v>0</v>
      </c>
    </row>
    <row r="81" hidden="1">
      <c r="A81" s="16" t="s">
        <v>170</v>
      </c>
      <c r="B81" s="36" t="s">
        <v>167</v>
      </c>
      <c r="C81" s="18"/>
      <c r="D81" s="4"/>
      <c r="E81" s="19">
        <v>0.0</v>
      </c>
      <c r="F81" s="19">
        <v>0.0</v>
      </c>
      <c r="G81" s="16" t="s">
        <v>169</v>
      </c>
      <c r="H81" s="21"/>
      <c r="I81" s="22"/>
      <c r="J81" s="23"/>
      <c r="K81" s="24">
        <v>97275.0</v>
      </c>
      <c r="L81" s="24">
        <v>130000.0</v>
      </c>
      <c r="M81" s="25" t="s">
        <v>76</v>
      </c>
      <c r="N81" s="26">
        <v>120000.0</v>
      </c>
      <c r="O81" s="27">
        <f t="shared" si="14"/>
        <v>0.3364173734</v>
      </c>
      <c r="P81" s="28">
        <f t="shared" si="15"/>
        <v>0</v>
      </c>
    </row>
    <row r="82" hidden="1">
      <c r="A82" s="16" t="s">
        <v>171</v>
      </c>
      <c r="B82" s="36" t="s">
        <v>167</v>
      </c>
      <c r="C82" s="18"/>
      <c r="D82" s="4"/>
      <c r="E82" s="19">
        <v>0.0</v>
      </c>
      <c r="F82" s="19">
        <v>0.0</v>
      </c>
      <c r="G82" s="16" t="s">
        <v>172</v>
      </c>
      <c r="H82" s="21"/>
      <c r="I82" s="22"/>
      <c r="J82" s="29"/>
      <c r="K82" s="32">
        <f>130000/15</f>
        <v>8666.666667</v>
      </c>
      <c r="L82" s="24">
        <v>20000.0</v>
      </c>
      <c r="M82" s="25"/>
      <c r="N82" s="26"/>
      <c r="O82" s="27">
        <f t="shared" si="14"/>
        <v>1.307692308</v>
      </c>
      <c r="P82" s="28">
        <f>K82*F81</f>
        <v>0</v>
      </c>
    </row>
    <row r="83" hidden="1">
      <c r="A83" s="16" t="s">
        <v>173</v>
      </c>
      <c r="B83" s="36" t="s">
        <v>167</v>
      </c>
      <c r="C83" s="92"/>
      <c r="D83" s="4"/>
      <c r="E83" s="19">
        <v>0.0</v>
      </c>
      <c r="F83" s="19">
        <v>0.0</v>
      </c>
      <c r="G83" s="16" t="s">
        <v>169</v>
      </c>
      <c r="H83" s="21"/>
      <c r="I83" s="22"/>
      <c r="J83" s="23"/>
      <c r="K83" s="24">
        <v>80808.0</v>
      </c>
      <c r="L83" s="24">
        <v>120000.0</v>
      </c>
      <c r="M83" s="78" t="s">
        <v>76</v>
      </c>
      <c r="N83" s="26"/>
      <c r="O83" s="27">
        <f t="shared" ref="O83:O131" si="16">(L83/K83)-1</f>
        <v>0.485001485</v>
      </c>
      <c r="P83" s="28">
        <f t="shared" ref="P83:P131" si="17">K83*F83</f>
        <v>0</v>
      </c>
    </row>
    <row r="84" hidden="1">
      <c r="A84" s="16" t="s">
        <v>174</v>
      </c>
      <c r="B84" s="36" t="s">
        <v>167</v>
      </c>
      <c r="C84" s="18"/>
      <c r="D84" s="4"/>
      <c r="E84" s="19">
        <v>0.0</v>
      </c>
      <c r="F84" s="19">
        <v>0.0</v>
      </c>
      <c r="G84" s="16" t="s">
        <v>169</v>
      </c>
      <c r="H84" s="21"/>
      <c r="I84" s="22"/>
      <c r="J84" s="23"/>
      <c r="K84" s="24">
        <v>87241.0</v>
      </c>
      <c r="L84" s="24">
        <v>120000.0</v>
      </c>
      <c r="M84" s="25" t="s">
        <v>76</v>
      </c>
      <c r="N84" s="26"/>
      <c r="O84" s="27">
        <f t="shared" si="16"/>
        <v>0.3755000516</v>
      </c>
      <c r="P84" s="28">
        <f t="shared" si="17"/>
        <v>0</v>
      </c>
    </row>
    <row r="85" hidden="1">
      <c r="A85" s="16" t="s">
        <v>175</v>
      </c>
      <c r="B85" s="17"/>
      <c r="C85" s="18"/>
      <c r="D85" s="4"/>
      <c r="E85" s="19">
        <v>0.0</v>
      </c>
      <c r="F85" s="19">
        <v>0.0</v>
      </c>
      <c r="G85" s="20" t="s">
        <v>176</v>
      </c>
      <c r="H85" s="21"/>
      <c r="I85" s="22"/>
      <c r="J85" s="29"/>
      <c r="K85" s="43">
        <v>25000.0</v>
      </c>
      <c r="L85" s="44">
        <v>35000.0</v>
      </c>
      <c r="M85" s="25"/>
      <c r="N85" s="57"/>
      <c r="O85" s="27">
        <f t="shared" si="16"/>
        <v>0.4</v>
      </c>
      <c r="P85" s="28">
        <f t="shared" si="17"/>
        <v>0</v>
      </c>
    </row>
    <row r="86" hidden="1">
      <c r="A86" s="93" t="s">
        <v>177</v>
      </c>
      <c r="B86" s="36"/>
      <c r="C86" s="38"/>
      <c r="D86" s="4"/>
      <c r="E86" s="19"/>
      <c r="F86" s="19"/>
      <c r="G86" s="40" t="s">
        <v>98</v>
      </c>
      <c r="H86" s="21">
        <v>0.0</v>
      </c>
      <c r="I86" s="22">
        <v>15.0</v>
      </c>
      <c r="J86" s="47"/>
      <c r="K86" s="48">
        <v>18683.0</v>
      </c>
      <c r="L86" s="48">
        <v>24000.0</v>
      </c>
      <c r="M86" s="25">
        <v>1.19</v>
      </c>
      <c r="N86" s="48">
        <v>22000.0</v>
      </c>
      <c r="O86" s="27">
        <f t="shared" si="16"/>
        <v>0.2845902692</v>
      </c>
      <c r="P86" s="28">
        <f t="shared" si="17"/>
        <v>0</v>
      </c>
    </row>
    <row r="87" hidden="1">
      <c r="A87" s="56" t="s">
        <v>178</v>
      </c>
      <c r="B87" s="36"/>
      <c r="C87" s="38"/>
      <c r="D87" s="4"/>
      <c r="E87" s="19"/>
      <c r="F87" s="19"/>
      <c r="G87" s="40" t="s">
        <v>98</v>
      </c>
      <c r="H87" s="21">
        <v>0.0</v>
      </c>
      <c r="I87" s="22">
        <v>19.0</v>
      </c>
      <c r="J87" s="22"/>
      <c r="K87" s="48">
        <v>18683.0</v>
      </c>
      <c r="L87" s="48">
        <v>24000.0</v>
      </c>
      <c r="M87" s="25">
        <v>1.19</v>
      </c>
      <c r="N87" s="48">
        <v>22000.0</v>
      </c>
      <c r="O87" s="27">
        <f t="shared" si="16"/>
        <v>0.2845902692</v>
      </c>
      <c r="P87" s="28">
        <f t="shared" si="17"/>
        <v>0</v>
      </c>
    </row>
    <row r="88" hidden="1">
      <c r="A88" s="16" t="s">
        <v>179</v>
      </c>
      <c r="B88" s="49"/>
      <c r="C88" s="38"/>
      <c r="D88" s="4"/>
      <c r="E88" s="19"/>
      <c r="F88" s="19"/>
      <c r="G88" s="40" t="s">
        <v>98</v>
      </c>
      <c r="H88" s="21">
        <v>0.0</v>
      </c>
      <c r="I88" s="22">
        <v>15.0</v>
      </c>
      <c r="J88" s="22"/>
      <c r="K88" s="48">
        <v>18683.0</v>
      </c>
      <c r="L88" s="48">
        <v>24000.0</v>
      </c>
      <c r="M88" s="25">
        <v>1.19</v>
      </c>
      <c r="N88" s="48">
        <v>22000.0</v>
      </c>
      <c r="O88" s="27">
        <f t="shared" si="16"/>
        <v>0.2845902692</v>
      </c>
      <c r="P88" s="28">
        <f t="shared" si="17"/>
        <v>0</v>
      </c>
    </row>
    <row r="89" hidden="1">
      <c r="A89" s="16" t="s">
        <v>180</v>
      </c>
      <c r="B89" s="49"/>
      <c r="C89" s="38"/>
      <c r="D89" s="4"/>
      <c r="E89" s="19"/>
      <c r="F89" s="19"/>
      <c r="G89" s="40" t="s">
        <v>98</v>
      </c>
      <c r="H89" s="21">
        <v>0.0</v>
      </c>
      <c r="I89" s="22">
        <v>3.0</v>
      </c>
      <c r="J89" s="47"/>
      <c r="K89" s="55">
        <v>18683.0</v>
      </c>
      <c r="L89" s="55">
        <v>24000.0</v>
      </c>
      <c r="M89" s="25">
        <v>1.19</v>
      </c>
      <c r="N89" s="48">
        <v>21000.0</v>
      </c>
      <c r="O89" s="27">
        <f t="shared" si="16"/>
        <v>0.2845902692</v>
      </c>
      <c r="P89" s="28">
        <f t="shared" si="17"/>
        <v>0</v>
      </c>
    </row>
    <row r="90" hidden="1">
      <c r="A90" s="16" t="s">
        <v>181</v>
      </c>
      <c r="B90" s="49"/>
      <c r="C90" s="38"/>
      <c r="D90" s="4"/>
      <c r="E90" s="19"/>
      <c r="F90" s="19"/>
      <c r="G90" s="40" t="s">
        <v>98</v>
      </c>
      <c r="H90" s="21">
        <v>0.0</v>
      </c>
      <c r="I90" s="22">
        <v>1.0</v>
      </c>
      <c r="J90" s="58"/>
      <c r="K90" s="55">
        <v>18683.0</v>
      </c>
      <c r="L90" s="55">
        <v>24000.0</v>
      </c>
      <c r="M90" s="25">
        <v>1.19</v>
      </c>
      <c r="N90" s="48">
        <v>21000.0</v>
      </c>
      <c r="O90" s="27">
        <f t="shared" si="16"/>
        <v>0.2845902692</v>
      </c>
      <c r="P90" s="28">
        <f t="shared" si="17"/>
        <v>0</v>
      </c>
    </row>
    <row r="91" hidden="1">
      <c r="A91" s="16" t="s">
        <v>182</v>
      </c>
      <c r="B91" s="49"/>
      <c r="C91" s="38"/>
      <c r="D91" s="4"/>
      <c r="E91" s="19"/>
      <c r="F91" s="19"/>
      <c r="G91" s="40" t="s">
        <v>98</v>
      </c>
      <c r="H91" s="21">
        <v>0.0</v>
      </c>
      <c r="I91" s="22">
        <v>12.0</v>
      </c>
      <c r="J91" s="47"/>
      <c r="K91" s="55">
        <v>18683.0</v>
      </c>
      <c r="L91" s="55">
        <v>24000.0</v>
      </c>
      <c r="M91" s="25">
        <v>1.19</v>
      </c>
      <c r="N91" s="48">
        <v>21000.0</v>
      </c>
      <c r="O91" s="27">
        <f t="shared" si="16"/>
        <v>0.2845902692</v>
      </c>
      <c r="P91" s="28">
        <f t="shared" si="17"/>
        <v>0</v>
      </c>
    </row>
    <row r="92" hidden="1">
      <c r="A92" s="40" t="s">
        <v>183</v>
      </c>
      <c r="B92" s="49"/>
      <c r="C92" s="38"/>
      <c r="D92" s="4"/>
      <c r="E92" s="19"/>
      <c r="F92" s="19"/>
      <c r="G92" s="40" t="s">
        <v>98</v>
      </c>
      <c r="H92" s="21">
        <v>0.0</v>
      </c>
      <c r="I92" s="22">
        <v>7.0</v>
      </c>
      <c r="J92" s="47"/>
      <c r="K92" s="55">
        <v>18683.0</v>
      </c>
      <c r="L92" s="55">
        <v>24000.0</v>
      </c>
      <c r="M92" s="25">
        <v>1.19</v>
      </c>
      <c r="N92" s="48">
        <v>21000.0</v>
      </c>
      <c r="O92" s="27">
        <f t="shared" si="16"/>
        <v>0.2845902692</v>
      </c>
      <c r="P92" s="28">
        <f t="shared" si="17"/>
        <v>0</v>
      </c>
    </row>
    <row r="93" hidden="1">
      <c r="A93" s="16" t="s">
        <v>184</v>
      </c>
      <c r="B93" s="49"/>
      <c r="C93" s="38"/>
      <c r="D93" s="4"/>
      <c r="E93" s="19"/>
      <c r="F93" s="19"/>
      <c r="G93" s="40" t="s">
        <v>98</v>
      </c>
      <c r="H93" s="21">
        <v>0.0</v>
      </c>
      <c r="I93" s="22">
        <v>5.0</v>
      </c>
      <c r="J93" s="47"/>
      <c r="K93" s="55">
        <v>18683.0</v>
      </c>
      <c r="L93" s="55">
        <v>24000.0</v>
      </c>
      <c r="M93" s="25">
        <v>1.19</v>
      </c>
      <c r="N93" s="48">
        <v>21000.0</v>
      </c>
      <c r="O93" s="27">
        <f t="shared" si="16"/>
        <v>0.2845902692</v>
      </c>
      <c r="P93" s="28">
        <f t="shared" si="17"/>
        <v>0</v>
      </c>
    </row>
    <row r="94" hidden="1">
      <c r="A94" s="16" t="s">
        <v>185</v>
      </c>
      <c r="B94" s="49"/>
      <c r="C94" s="38"/>
      <c r="D94" s="4"/>
      <c r="E94" s="19"/>
      <c r="F94" s="19"/>
      <c r="G94" s="40" t="s">
        <v>98</v>
      </c>
      <c r="H94" s="21">
        <v>0.0</v>
      </c>
      <c r="I94" s="22">
        <v>4.0</v>
      </c>
      <c r="J94" s="94"/>
      <c r="K94" s="55">
        <v>18683.0</v>
      </c>
      <c r="L94" s="55">
        <v>24000.0</v>
      </c>
      <c r="M94" s="25">
        <v>1.19</v>
      </c>
      <c r="N94" s="48">
        <v>21000.0</v>
      </c>
      <c r="O94" s="27">
        <f t="shared" si="16"/>
        <v>0.2845902692</v>
      </c>
      <c r="P94" s="28">
        <f t="shared" si="17"/>
        <v>0</v>
      </c>
    </row>
    <row r="95" hidden="1">
      <c r="A95" s="40" t="s">
        <v>186</v>
      </c>
      <c r="B95" s="49"/>
      <c r="C95" s="38"/>
      <c r="D95" s="4"/>
      <c r="E95" s="19"/>
      <c r="F95" s="19"/>
      <c r="G95" s="40" t="s">
        <v>98</v>
      </c>
      <c r="H95" s="21">
        <v>0.0</v>
      </c>
      <c r="I95" s="22">
        <v>10.0</v>
      </c>
      <c r="J95" s="22"/>
      <c r="K95" s="48">
        <v>9639.0</v>
      </c>
      <c r="L95" s="55">
        <v>14000.0</v>
      </c>
      <c r="M95" s="25">
        <v>1.19</v>
      </c>
      <c r="N95" s="48">
        <v>12000.0</v>
      </c>
      <c r="O95" s="27">
        <f t="shared" si="16"/>
        <v>0.452432825</v>
      </c>
      <c r="P95" s="28">
        <f t="shared" si="17"/>
        <v>0</v>
      </c>
    </row>
    <row r="96" hidden="1">
      <c r="A96" s="16" t="s">
        <v>187</v>
      </c>
      <c r="B96" s="49"/>
      <c r="C96" s="38"/>
      <c r="D96" s="4"/>
      <c r="E96" s="19"/>
      <c r="F96" s="19"/>
      <c r="G96" s="40" t="s">
        <v>98</v>
      </c>
      <c r="H96" s="21">
        <v>0.0</v>
      </c>
      <c r="I96" s="22">
        <v>14.0</v>
      </c>
      <c r="J96" s="47"/>
      <c r="K96" s="48">
        <v>9639.0</v>
      </c>
      <c r="L96" s="55">
        <v>14000.0</v>
      </c>
      <c r="M96" s="25">
        <v>1.19</v>
      </c>
      <c r="N96" s="48">
        <v>12000.0</v>
      </c>
      <c r="O96" s="27">
        <f t="shared" si="16"/>
        <v>0.452432825</v>
      </c>
      <c r="P96" s="28">
        <f t="shared" si="17"/>
        <v>0</v>
      </c>
    </row>
    <row r="97" hidden="1">
      <c r="A97" s="40" t="s">
        <v>188</v>
      </c>
      <c r="B97" s="49"/>
      <c r="C97" s="38"/>
      <c r="D97" s="4"/>
      <c r="E97" s="19"/>
      <c r="F97" s="19"/>
      <c r="G97" s="40" t="s">
        <v>98</v>
      </c>
      <c r="H97" s="21">
        <v>0.0</v>
      </c>
      <c r="I97" s="22">
        <v>7.0</v>
      </c>
      <c r="J97" s="22"/>
      <c r="K97" s="48">
        <v>9639.0</v>
      </c>
      <c r="L97" s="55">
        <v>14000.0</v>
      </c>
      <c r="M97" s="25">
        <v>1.19</v>
      </c>
      <c r="N97" s="48">
        <v>12000.0</v>
      </c>
      <c r="O97" s="27">
        <f t="shared" si="16"/>
        <v>0.452432825</v>
      </c>
      <c r="P97" s="28">
        <f t="shared" si="17"/>
        <v>0</v>
      </c>
    </row>
    <row r="98" hidden="1">
      <c r="A98" s="16" t="s">
        <v>189</v>
      </c>
      <c r="B98" s="49"/>
      <c r="C98" s="38"/>
      <c r="D98" s="4"/>
      <c r="E98" s="19"/>
      <c r="F98" s="19"/>
      <c r="G98" s="40" t="s">
        <v>98</v>
      </c>
      <c r="H98" s="21">
        <v>0.0</v>
      </c>
      <c r="I98" s="22">
        <v>10.0</v>
      </c>
      <c r="J98" s="58"/>
      <c r="K98" s="48">
        <v>9639.0</v>
      </c>
      <c r="L98" s="55">
        <v>14000.0</v>
      </c>
      <c r="M98" s="25">
        <v>1.19</v>
      </c>
      <c r="N98" s="48">
        <v>12000.0</v>
      </c>
      <c r="O98" s="27">
        <f t="shared" si="16"/>
        <v>0.452432825</v>
      </c>
      <c r="P98" s="28">
        <f t="shared" si="17"/>
        <v>0</v>
      </c>
    </row>
    <row r="99" hidden="1">
      <c r="A99" s="16" t="s">
        <v>190</v>
      </c>
      <c r="B99" s="49"/>
      <c r="C99" s="38"/>
      <c r="D99" s="4"/>
      <c r="E99" s="19"/>
      <c r="F99" s="19"/>
      <c r="G99" s="40" t="s">
        <v>98</v>
      </c>
      <c r="H99" s="21">
        <v>0.0</v>
      </c>
      <c r="I99" s="22">
        <v>2.0</v>
      </c>
      <c r="J99" s="22" t="s">
        <v>191</v>
      </c>
      <c r="K99" s="55">
        <v>55167.0</v>
      </c>
      <c r="L99" s="55">
        <v>70000.0</v>
      </c>
      <c r="M99" s="72"/>
      <c r="N99" s="26">
        <v>64000.0</v>
      </c>
      <c r="O99" s="27">
        <f t="shared" si="16"/>
        <v>0.2688745083</v>
      </c>
      <c r="P99" s="28">
        <f t="shared" si="17"/>
        <v>0</v>
      </c>
    </row>
    <row r="100" hidden="1">
      <c r="A100" s="16" t="s">
        <v>192</v>
      </c>
      <c r="B100" s="49"/>
      <c r="C100" s="38"/>
      <c r="D100" s="4"/>
      <c r="E100" s="19"/>
      <c r="F100" s="19"/>
      <c r="G100" s="20" t="s">
        <v>98</v>
      </c>
      <c r="H100" s="21">
        <v>0.0</v>
      </c>
      <c r="I100" s="22">
        <v>1.0</v>
      </c>
      <c r="J100" s="47">
        <v>46508.0</v>
      </c>
      <c r="K100" s="95">
        <f>54400*1.19</f>
        <v>64736</v>
      </c>
      <c r="L100" s="55">
        <v>78000.0</v>
      </c>
      <c r="M100" s="96"/>
      <c r="N100" s="26">
        <v>72000.0</v>
      </c>
      <c r="O100" s="27">
        <f t="shared" si="16"/>
        <v>0.2048937222</v>
      </c>
      <c r="P100" s="28">
        <f t="shared" si="17"/>
        <v>0</v>
      </c>
    </row>
    <row r="101" hidden="1">
      <c r="A101" s="40" t="s">
        <v>193</v>
      </c>
      <c r="B101" s="49"/>
      <c r="C101" s="68"/>
      <c r="D101" s="4"/>
      <c r="E101" s="19"/>
      <c r="F101" s="19"/>
      <c r="G101" s="20" t="s">
        <v>194</v>
      </c>
      <c r="H101" s="21">
        <v>0.0</v>
      </c>
      <c r="I101" s="22">
        <v>53.0</v>
      </c>
      <c r="J101" s="47">
        <v>46508.0</v>
      </c>
      <c r="K101" s="55">
        <v>10948.0</v>
      </c>
      <c r="L101" s="55">
        <v>15000.0</v>
      </c>
      <c r="M101" s="96">
        <f>L101-K101</f>
        <v>4052</v>
      </c>
      <c r="N101" s="26">
        <v>12000.0</v>
      </c>
      <c r="O101" s="27">
        <f t="shared" si="16"/>
        <v>0.3701132627</v>
      </c>
      <c r="P101" s="28">
        <f t="shared" si="17"/>
        <v>0</v>
      </c>
    </row>
    <row r="102" hidden="1">
      <c r="A102" s="40" t="s">
        <v>195</v>
      </c>
      <c r="B102" s="49"/>
      <c r="C102" s="68"/>
      <c r="D102" s="4"/>
      <c r="E102" s="19"/>
      <c r="F102" s="19"/>
      <c r="G102" s="40" t="s">
        <v>98</v>
      </c>
      <c r="H102" s="21">
        <v>0.0</v>
      </c>
      <c r="I102" s="22">
        <v>6.0</v>
      </c>
      <c r="J102" s="47">
        <v>46539.0</v>
      </c>
      <c r="K102" s="55">
        <v>18564.0</v>
      </c>
      <c r="L102" s="55">
        <v>27000.0</v>
      </c>
      <c r="M102" s="96"/>
      <c r="N102" s="48">
        <v>23000.0</v>
      </c>
      <c r="O102" s="27">
        <f t="shared" si="16"/>
        <v>0.454427925</v>
      </c>
      <c r="P102" s="28">
        <f t="shared" si="17"/>
        <v>0</v>
      </c>
    </row>
    <row r="103" hidden="1">
      <c r="A103" s="40" t="s">
        <v>196</v>
      </c>
      <c r="B103" s="49"/>
      <c r="C103" s="68"/>
      <c r="D103" s="4"/>
      <c r="E103" s="19"/>
      <c r="F103" s="19"/>
      <c r="G103" s="20" t="s">
        <v>98</v>
      </c>
      <c r="H103" s="21">
        <v>0.0</v>
      </c>
      <c r="I103" s="22">
        <v>3.0</v>
      </c>
      <c r="J103" s="47">
        <v>46478.0</v>
      </c>
      <c r="K103" s="55">
        <v>34391.0</v>
      </c>
      <c r="L103" s="55">
        <v>46000.0</v>
      </c>
      <c r="M103" s="96"/>
      <c r="N103" s="48">
        <v>39000.0</v>
      </c>
      <c r="O103" s="27">
        <f t="shared" si="16"/>
        <v>0.3375592452</v>
      </c>
      <c r="P103" s="28">
        <f t="shared" si="17"/>
        <v>0</v>
      </c>
    </row>
    <row r="104" hidden="1">
      <c r="A104" s="16" t="s">
        <v>197</v>
      </c>
      <c r="B104" s="49"/>
      <c r="C104" s="68"/>
      <c r="D104" s="4"/>
      <c r="E104" s="19"/>
      <c r="F104" s="19"/>
      <c r="G104" s="40" t="s">
        <v>98</v>
      </c>
      <c r="H104" s="21">
        <v>0.0</v>
      </c>
      <c r="I104" s="22">
        <v>0.0</v>
      </c>
      <c r="J104" s="47">
        <v>46508.0</v>
      </c>
      <c r="K104" s="55">
        <f>5400*1.19</f>
        <v>6426</v>
      </c>
      <c r="L104" s="55">
        <v>11000.0</v>
      </c>
      <c r="M104" s="96">
        <f>L104-K104</f>
        <v>4574</v>
      </c>
      <c r="N104" s="26">
        <v>9000.0</v>
      </c>
      <c r="O104" s="27">
        <f t="shared" si="16"/>
        <v>0.7117958294</v>
      </c>
      <c r="P104" s="28">
        <f t="shared" si="17"/>
        <v>0</v>
      </c>
    </row>
    <row r="105" hidden="1">
      <c r="A105" s="16" t="s">
        <v>198</v>
      </c>
      <c r="B105" s="49"/>
      <c r="C105" s="38"/>
      <c r="D105" s="4"/>
      <c r="E105" s="19"/>
      <c r="F105" s="19"/>
      <c r="G105" s="40" t="s">
        <v>98</v>
      </c>
      <c r="H105" s="21">
        <v>0.0</v>
      </c>
      <c r="I105" s="22"/>
      <c r="J105" s="29"/>
      <c r="K105" s="48">
        <f>L109/8</f>
        <v>9000</v>
      </c>
      <c r="L105" s="55">
        <v>12000.0</v>
      </c>
      <c r="M105" s="72"/>
      <c r="N105" s="26"/>
      <c r="O105" s="27">
        <f t="shared" si="16"/>
        <v>0.3333333333</v>
      </c>
      <c r="P105" s="28">
        <f t="shared" si="17"/>
        <v>0</v>
      </c>
    </row>
    <row r="106" hidden="1">
      <c r="A106" s="16" t="s">
        <v>199</v>
      </c>
      <c r="B106" s="49"/>
      <c r="C106" s="68"/>
      <c r="D106" s="4"/>
      <c r="E106" s="19"/>
      <c r="F106" s="19"/>
      <c r="G106" s="20" t="s">
        <v>200</v>
      </c>
      <c r="H106" s="21">
        <v>0.0</v>
      </c>
      <c r="I106" s="22">
        <v>1.0</v>
      </c>
      <c r="J106" s="47">
        <v>46784.0</v>
      </c>
      <c r="K106" s="55">
        <v>55167.0</v>
      </c>
      <c r="L106" s="55">
        <v>70000.0</v>
      </c>
      <c r="M106" s="72"/>
      <c r="N106" s="26">
        <v>64000.0</v>
      </c>
      <c r="O106" s="27">
        <f t="shared" si="16"/>
        <v>0.2688745083</v>
      </c>
      <c r="P106" s="28">
        <f t="shared" si="17"/>
        <v>0</v>
      </c>
    </row>
    <row r="107" hidden="1">
      <c r="A107" s="16" t="s">
        <v>201</v>
      </c>
      <c r="B107" s="49"/>
      <c r="C107" s="38"/>
      <c r="D107" s="4"/>
      <c r="E107" s="19"/>
      <c r="F107" s="19"/>
      <c r="G107" s="40" t="s">
        <v>98</v>
      </c>
      <c r="H107" s="21">
        <v>0.0</v>
      </c>
      <c r="I107" s="22">
        <v>1.0</v>
      </c>
      <c r="J107" s="29"/>
      <c r="K107" s="24">
        <v>101745.0</v>
      </c>
      <c r="L107" s="24">
        <v>130000.0</v>
      </c>
      <c r="M107" s="72"/>
      <c r="N107" s="26"/>
      <c r="O107" s="27">
        <f t="shared" si="16"/>
        <v>0.2777040641</v>
      </c>
      <c r="P107" s="28">
        <f t="shared" si="17"/>
        <v>0</v>
      </c>
    </row>
    <row r="108" hidden="1">
      <c r="A108" s="16" t="s">
        <v>202</v>
      </c>
      <c r="B108" s="49"/>
      <c r="C108" s="68"/>
      <c r="D108" s="4"/>
      <c r="E108" s="19"/>
      <c r="F108" s="19"/>
      <c r="G108" s="40" t="s">
        <v>98</v>
      </c>
      <c r="H108" s="21">
        <v>0.0</v>
      </c>
      <c r="I108" s="22">
        <v>4.0</v>
      </c>
      <c r="J108" s="47">
        <v>46844.0</v>
      </c>
      <c r="K108" s="55">
        <v>55167.0</v>
      </c>
      <c r="L108" s="55">
        <v>70000.0</v>
      </c>
      <c r="M108" s="72"/>
      <c r="N108" s="26">
        <v>64000.0</v>
      </c>
      <c r="O108" s="27">
        <f t="shared" si="16"/>
        <v>0.2688745083</v>
      </c>
      <c r="P108" s="28">
        <f t="shared" si="17"/>
        <v>0</v>
      </c>
    </row>
    <row r="109" hidden="1">
      <c r="A109" s="16" t="s">
        <v>203</v>
      </c>
      <c r="B109" s="49"/>
      <c r="C109" s="38"/>
      <c r="D109" s="4"/>
      <c r="E109" s="19"/>
      <c r="F109" s="19"/>
      <c r="G109" s="40" t="s">
        <v>98</v>
      </c>
      <c r="H109" s="21">
        <v>0.0</v>
      </c>
      <c r="I109" s="22"/>
      <c r="J109" s="47">
        <v>46874.0</v>
      </c>
      <c r="K109" s="55">
        <f t="shared" ref="K109:K110" si="18">47300*1.19</f>
        <v>56287</v>
      </c>
      <c r="L109" s="55">
        <v>72000.0</v>
      </c>
      <c r="M109" s="72"/>
      <c r="N109" s="26"/>
      <c r="O109" s="27">
        <f t="shared" si="16"/>
        <v>0.2791585979</v>
      </c>
      <c r="P109" s="28">
        <f t="shared" si="17"/>
        <v>0</v>
      </c>
    </row>
    <row r="110" hidden="1">
      <c r="A110" s="16" t="s">
        <v>204</v>
      </c>
      <c r="B110" s="49"/>
      <c r="C110" s="38"/>
      <c r="D110" s="4"/>
      <c r="E110" s="19"/>
      <c r="F110" s="19"/>
      <c r="G110" s="40" t="s">
        <v>98</v>
      </c>
      <c r="H110" s="21">
        <v>0.0</v>
      </c>
      <c r="I110" s="22">
        <v>1.0</v>
      </c>
      <c r="J110" s="47">
        <v>46874.0</v>
      </c>
      <c r="K110" s="55">
        <f t="shared" si="18"/>
        <v>56287</v>
      </c>
      <c r="L110" s="55">
        <v>72000.0</v>
      </c>
      <c r="M110" s="72"/>
      <c r="N110" s="26"/>
      <c r="O110" s="27">
        <f t="shared" si="16"/>
        <v>0.2791585979</v>
      </c>
      <c r="P110" s="28">
        <f t="shared" si="17"/>
        <v>0</v>
      </c>
    </row>
    <row r="111" hidden="1">
      <c r="A111" s="40" t="s">
        <v>205</v>
      </c>
      <c r="B111" s="49"/>
      <c r="C111" s="38"/>
      <c r="D111" s="4"/>
      <c r="E111" s="19"/>
      <c r="F111" s="19"/>
      <c r="G111" s="40" t="s">
        <v>98</v>
      </c>
      <c r="H111" s="21">
        <v>0.0</v>
      </c>
      <c r="I111" s="22">
        <v>2.0</v>
      </c>
      <c r="J111" s="47"/>
      <c r="K111" s="48">
        <v>18683.0</v>
      </c>
      <c r="L111" s="48">
        <v>24000.0</v>
      </c>
      <c r="M111" s="25">
        <v>1.19</v>
      </c>
      <c r="N111" s="48">
        <v>22000.0</v>
      </c>
      <c r="O111" s="27">
        <f t="shared" si="16"/>
        <v>0.2845902692</v>
      </c>
      <c r="P111" s="28">
        <f t="shared" si="17"/>
        <v>0</v>
      </c>
    </row>
    <row r="112" hidden="1">
      <c r="A112" s="16" t="s">
        <v>206</v>
      </c>
      <c r="B112" s="49"/>
      <c r="C112" s="38"/>
      <c r="D112" s="4"/>
      <c r="E112" s="19"/>
      <c r="F112" s="19"/>
      <c r="G112" s="40" t="s">
        <v>98</v>
      </c>
      <c r="H112" s="21">
        <v>0.0</v>
      </c>
      <c r="I112" s="22">
        <v>3.0</v>
      </c>
      <c r="J112" s="22"/>
      <c r="K112" s="48">
        <v>18683.0</v>
      </c>
      <c r="L112" s="48">
        <v>24000.0</v>
      </c>
      <c r="M112" s="25">
        <v>1.19</v>
      </c>
      <c r="N112" s="48">
        <v>22000.0</v>
      </c>
      <c r="O112" s="27">
        <f t="shared" si="16"/>
        <v>0.2845902692</v>
      </c>
      <c r="P112" s="28">
        <f t="shared" si="17"/>
        <v>0</v>
      </c>
    </row>
    <row r="113" hidden="1">
      <c r="A113" s="40" t="s">
        <v>207</v>
      </c>
      <c r="B113" s="49"/>
      <c r="C113" s="38"/>
      <c r="D113" s="4"/>
      <c r="E113" s="19"/>
      <c r="F113" s="19"/>
      <c r="G113" s="40" t="s">
        <v>98</v>
      </c>
      <c r="H113" s="21">
        <v>0.0</v>
      </c>
      <c r="I113" s="22">
        <v>3.0</v>
      </c>
      <c r="J113" s="29"/>
      <c r="K113" s="48">
        <v>18683.0</v>
      </c>
      <c r="L113" s="48">
        <v>24000.0</v>
      </c>
      <c r="M113" s="25">
        <v>1.19</v>
      </c>
      <c r="N113" s="48">
        <v>22000.0</v>
      </c>
      <c r="O113" s="27">
        <f t="shared" si="16"/>
        <v>0.2845902692</v>
      </c>
      <c r="P113" s="28">
        <f t="shared" si="17"/>
        <v>0</v>
      </c>
    </row>
    <row r="114" hidden="1">
      <c r="A114" s="16" t="s">
        <v>208</v>
      </c>
      <c r="B114" s="49"/>
      <c r="C114" s="38" t="s">
        <v>209</v>
      </c>
      <c r="D114" s="4"/>
      <c r="E114" s="19"/>
      <c r="F114" s="19"/>
      <c r="G114" s="40" t="s">
        <v>98</v>
      </c>
      <c r="H114" s="21">
        <v>0.0</v>
      </c>
      <c r="I114" s="22">
        <v>6.0</v>
      </c>
      <c r="J114" s="47"/>
      <c r="K114" s="55">
        <v>18683.0</v>
      </c>
      <c r="L114" s="55">
        <v>24000.0</v>
      </c>
      <c r="M114" s="25">
        <v>1.19</v>
      </c>
      <c r="N114" s="48">
        <v>21000.0</v>
      </c>
      <c r="O114" s="27">
        <f t="shared" si="16"/>
        <v>0.2845902692</v>
      </c>
      <c r="P114" s="28">
        <f t="shared" si="17"/>
        <v>0</v>
      </c>
    </row>
    <row r="115" hidden="1">
      <c r="A115" s="40" t="s">
        <v>210</v>
      </c>
      <c r="B115" s="49"/>
      <c r="C115" s="38"/>
      <c r="D115" s="4"/>
      <c r="E115" s="19"/>
      <c r="F115" s="19"/>
      <c r="G115" s="40" t="s">
        <v>98</v>
      </c>
      <c r="H115" s="21">
        <v>0.0</v>
      </c>
      <c r="I115" s="22">
        <v>3.0</v>
      </c>
      <c r="J115" s="47"/>
      <c r="K115" s="55">
        <v>18683.0</v>
      </c>
      <c r="L115" s="55">
        <v>24000.0</v>
      </c>
      <c r="M115" s="25">
        <v>1.19</v>
      </c>
      <c r="N115" s="48">
        <v>21000.0</v>
      </c>
      <c r="O115" s="27">
        <f t="shared" si="16"/>
        <v>0.2845902692</v>
      </c>
      <c r="P115" s="28">
        <f t="shared" si="17"/>
        <v>0</v>
      </c>
    </row>
    <row r="116" hidden="1">
      <c r="A116" s="40" t="s">
        <v>211</v>
      </c>
      <c r="B116" s="49"/>
      <c r="C116" s="38"/>
      <c r="D116" s="4"/>
      <c r="E116" s="19"/>
      <c r="F116" s="19"/>
      <c r="G116" s="40" t="s">
        <v>98</v>
      </c>
      <c r="H116" s="21">
        <v>0.0</v>
      </c>
      <c r="I116" s="22">
        <v>5.0</v>
      </c>
      <c r="J116" s="22"/>
      <c r="K116" s="55">
        <v>18683.0</v>
      </c>
      <c r="L116" s="55">
        <v>24000.0</v>
      </c>
      <c r="M116" s="25">
        <v>1.19</v>
      </c>
      <c r="N116" s="48">
        <v>21000.0</v>
      </c>
      <c r="O116" s="27">
        <f t="shared" si="16"/>
        <v>0.2845902692</v>
      </c>
      <c r="P116" s="28">
        <f t="shared" si="17"/>
        <v>0</v>
      </c>
    </row>
    <row r="117" hidden="1">
      <c r="A117" s="40" t="s">
        <v>212</v>
      </c>
      <c r="B117" s="49"/>
      <c r="C117" s="38"/>
      <c r="D117" s="4"/>
      <c r="E117" s="19"/>
      <c r="F117" s="19"/>
      <c r="G117" s="40" t="s">
        <v>98</v>
      </c>
      <c r="H117" s="21">
        <v>0.0</v>
      </c>
      <c r="I117" s="22">
        <v>3.0</v>
      </c>
      <c r="J117" s="23"/>
      <c r="K117" s="55">
        <v>18683.0</v>
      </c>
      <c r="L117" s="55">
        <v>24000.0</v>
      </c>
      <c r="M117" s="25">
        <v>1.19</v>
      </c>
      <c r="N117" s="48">
        <v>21000.0</v>
      </c>
      <c r="O117" s="27">
        <f t="shared" si="16"/>
        <v>0.2845902692</v>
      </c>
      <c r="P117" s="28">
        <f t="shared" si="17"/>
        <v>0</v>
      </c>
    </row>
    <row r="118" hidden="1">
      <c r="A118" s="40" t="s">
        <v>213</v>
      </c>
      <c r="B118" s="49"/>
      <c r="C118" s="38"/>
      <c r="D118" s="4"/>
      <c r="E118" s="19"/>
      <c r="F118" s="19"/>
      <c r="G118" s="40" t="s">
        <v>98</v>
      </c>
      <c r="H118" s="21">
        <v>0.0</v>
      </c>
      <c r="I118" s="22">
        <v>4.0</v>
      </c>
      <c r="J118" s="22"/>
      <c r="K118" s="55">
        <v>18683.0</v>
      </c>
      <c r="L118" s="55">
        <v>24000.0</v>
      </c>
      <c r="M118" s="25">
        <v>1.19</v>
      </c>
      <c r="N118" s="48">
        <v>21000.0</v>
      </c>
      <c r="O118" s="27">
        <f t="shared" si="16"/>
        <v>0.2845902692</v>
      </c>
      <c r="P118" s="28">
        <f t="shared" si="17"/>
        <v>0</v>
      </c>
    </row>
    <row r="119" hidden="1">
      <c r="A119" s="40" t="s">
        <v>214</v>
      </c>
      <c r="B119" s="49"/>
      <c r="C119" s="38" t="s">
        <v>209</v>
      </c>
      <c r="D119" s="4"/>
      <c r="E119" s="19"/>
      <c r="F119" s="19"/>
      <c r="G119" s="40" t="s">
        <v>98</v>
      </c>
      <c r="H119" s="21">
        <v>0.0</v>
      </c>
      <c r="I119" s="22">
        <v>6.0</v>
      </c>
      <c r="J119" s="47"/>
      <c r="K119" s="55">
        <v>18683.0</v>
      </c>
      <c r="L119" s="55">
        <v>24000.0</v>
      </c>
      <c r="M119" s="25">
        <v>1.19</v>
      </c>
      <c r="N119" s="48">
        <v>21000.0</v>
      </c>
      <c r="O119" s="27">
        <f t="shared" si="16"/>
        <v>0.2845902692</v>
      </c>
      <c r="P119" s="28">
        <f t="shared" si="17"/>
        <v>0</v>
      </c>
    </row>
    <row r="120" hidden="1">
      <c r="A120" s="40" t="s">
        <v>215</v>
      </c>
      <c r="B120" s="49"/>
      <c r="C120" s="38"/>
      <c r="D120" s="4"/>
      <c r="E120" s="19"/>
      <c r="F120" s="19"/>
      <c r="G120" s="40" t="s">
        <v>98</v>
      </c>
      <c r="H120" s="21">
        <v>0.0</v>
      </c>
      <c r="I120" s="22">
        <v>0.0</v>
      </c>
      <c r="J120" s="22"/>
      <c r="K120" s="48">
        <v>9639.0</v>
      </c>
      <c r="L120" s="55">
        <v>14000.0</v>
      </c>
      <c r="M120" s="25">
        <v>1.19</v>
      </c>
      <c r="N120" s="48">
        <v>12000.0</v>
      </c>
      <c r="O120" s="27">
        <f t="shared" si="16"/>
        <v>0.452432825</v>
      </c>
      <c r="P120" s="28">
        <f t="shared" si="17"/>
        <v>0</v>
      </c>
    </row>
    <row r="121" hidden="1">
      <c r="A121" s="16" t="s">
        <v>216</v>
      </c>
      <c r="B121" s="49"/>
      <c r="C121" s="38"/>
      <c r="D121" s="4"/>
      <c r="E121" s="19"/>
      <c r="F121" s="19"/>
      <c r="G121" s="40" t="s">
        <v>98</v>
      </c>
      <c r="H121" s="21">
        <v>0.0</v>
      </c>
      <c r="I121" s="22">
        <v>7.0</v>
      </c>
      <c r="J121" s="47"/>
      <c r="K121" s="48">
        <v>9639.0</v>
      </c>
      <c r="L121" s="55">
        <v>14000.0</v>
      </c>
      <c r="M121" s="25">
        <v>1.19</v>
      </c>
      <c r="N121" s="48">
        <v>12000.0</v>
      </c>
      <c r="O121" s="27">
        <f t="shared" si="16"/>
        <v>0.452432825</v>
      </c>
      <c r="P121" s="28">
        <f t="shared" si="17"/>
        <v>0</v>
      </c>
    </row>
    <row r="122" hidden="1">
      <c r="A122" s="40" t="s">
        <v>217</v>
      </c>
      <c r="B122" s="49"/>
      <c r="C122" s="38"/>
      <c r="D122" s="4"/>
      <c r="E122" s="19"/>
      <c r="F122" s="19"/>
      <c r="G122" s="40" t="s">
        <v>98</v>
      </c>
      <c r="H122" s="21">
        <v>0.0</v>
      </c>
      <c r="I122" s="22">
        <v>0.0</v>
      </c>
      <c r="J122" s="47"/>
      <c r="K122" s="48">
        <v>9639.0</v>
      </c>
      <c r="L122" s="55">
        <v>14000.0</v>
      </c>
      <c r="M122" s="25">
        <v>1.19</v>
      </c>
      <c r="N122" s="48">
        <v>12000.0</v>
      </c>
      <c r="O122" s="27">
        <f t="shared" si="16"/>
        <v>0.452432825</v>
      </c>
      <c r="P122" s="28">
        <f t="shared" si="17"/>
        <v>0</v>
      </c>
    </row>
    <row r="123" hidden="1">
      <c r="A123" s="16" t="s">
        <v>218</v>
      </c>
      <c r="B123" s="49"/>
      <c r="C123" s="38"/>
      <c r="D123" s="4"/>
      <c r="E123" s="19" t="s">
        <v>219</v>
      </c>
      <c r="F123" s="19"/>
      <c r="G123" s="40" t="s">
        <v>98</v>
      </c>
      <c r="H123" s="21">
        <v>0.0</v>
      </c>
      <c r="I123" s="22">
        <v>10.0</v>
      </c>
      <c r="J123" s="58"/>
      <c r="K123" s="48">
        <v>9639.0</v>
      </c>
      <c r="L123" s="55">
        <v>14000.0</v>
      </c>
      <c r="M123" s="25">
        <v>1.19</v>
      </c>
      <c r="N123" s="48">
        <v>12000.0</v>
      </c>
      <c r="O123" s="27">
        <f t="shared" si="16"/>
        <v>0.452432825</v>
      </c>
      <c r="P123" s="28">
        <f t="shared" si="17"/>
        <v>0</v>
      </c>
    </row>
    <row r="124" hidden="1">
      <c r="A124" s="40" t="s">
        <v>220</v>
      </c>
      <c r="B124" s="49"/>
      <c r="C124" s="38"/>
      <c r="D124" s="4"/>
      <c r="E124" s="19"/>
      <c r="F124" s="19"/>
      <c r="G124" s="40" t="s">
        <v>98</v>
      </c>
      <c r="H124" s="21">
        <v>0.0</v>
      </c>
      <c r="I124" s="22">
        <v>1.0</v>
      </c>
      <c r="J124" s="47">
        <v>46508.0</v>
      </c>
      <c r="K124" s="55">
        <v>55167.0</v>
      </c>
      <c r="L124" s="55">
        <v>70000.0</v>
      </c>
      <c r="M124" s="25"/>
      <c r="N124" s="26">
        <v>64000.0</v>
      </c>
      <c r="O124" s="27">
        <f t="shared" si="16"/>
        <v>0.2688745083</v>
      </c>
      <c r="P124" s="28">
        <f t="shared" si="17"/>
        <v>0</v>
      </c>
    </row>
    <row r="125" hidden="1">
      <c r="A125" s="40" t="s">
        <v>221</v>
      </c>
      <c r="B125" s="49"/>
      <c r="C125" s="38"/>
      <c r="D125" s="4"/>
      <c r="E125" s="19"/>
      <c r="F125" s="19"/>
      <c r="G125" s="20" t="s">
        <v>98</v>
      </c>
      <c r="H125" s="21">
        <v>0.0</v>
      </c>
      <c r="I125" s="22">
        <v>1.0</v>
      </c>
      <c r="J125" s="47">
        <v>46966.0</v>
      </c>
      <c r="K125" s="55">
        <v>55167.0</v>
      </c>
      <c r="L125" s="55">
        <v>70000.0</v>
      </c>
      <c r="M125" s="25"/>
      <c r="N125" s="26">
        <v>64000.0</v>
      </c>
      <c r="O125" s="27">
        <f t="shared" si="16"/>
        <v>0.2688745083</v>
      </c>
      <c r="P125" s="28">
        <f t="shared" si="17"/>
        <v>0</v>
      </c>
    </row>
    <row r="126" hidden="1">
      <c r="A126" s="40" t="s">
        <v>222</v>
      </c>
      <c r="B126" s="49"/>
      <c r="C126" s="38"/>
      <c r="D126" s="4"/>
      <c r="E126" s="19"/>
      <c r="F126" s="19"/>
      <c r="G126" s="40" t="s">
        <v>98</v>
      </c>
      <c r="H126" s="21">
        <v>0.0</v>
      </c>
      <c r="I126" s="22">
        <v>6.0</v>
      </c>
      <c r="J126" s="23"/>
      <c r="K126" s="55">
        <v>10948.0</v>
      </c>
      <c r="L126" s="55">
        <v>15000.0</v>
      </c>
      <c r="M126" s="78"/>
      <c r="N126" s="26"/>
      <c r="O126" s="27">
        <f t="shared" si="16"/>
        <v>0.3701132627</v>
      </c>
      <c r="P126" s="28">
        <f t="shared" si="17"/>
        <v>0</v>
      </c>
    </row>
    <row r="127" hidden="1">
      <c r="A127" s="40" t="s">
        <v>223</v>
      </c>
      <c r="B127" s="49"/>
      <c r="C127" s="38"/>
      <c r="D127" s="4"/>
      <c r="E127" s="19"/>
      <c r="F127" s="19"/>
      <c r="G127" s="40" t="s">
        <v>98</v>
      </c>
      <c r="H127" s="21">
        <v>0.0</v>
      </c>
      <c r="I127" s="22">
        <v>0.0</v>
      </c>
      <c r="J127" s="47">
        <v>46905.0</v>
      </c>
      <c r="K127" s="55">
        <v>18564.0</v>
      </c>
      <c r="L127" s="55">
        <v>27000.0</v>
      </c>
      <c r="M127" s="78"/>
      <c r="N127" s="48">
        <v>23000.0</v>
      </c>
      <c r="O127" s="27">
        <f t="shared" si="16"/>
        <v>0.454427925</v>
      </c>
      <c r="P127" s="28">
        <f t="shared" si="17"/>
        <v>0</v>
      </c>
    </row>
    <row r="128" hidden="1">
      <c r="A128" s="16" t="s">
        <v>224</v>
      </c>
      <c r="B128" s="49"/>
      <c r="C128" s="68"/>
      <c r="D128" s="4"/>
      <c r="E128" s="19"/>
      <c r="F128" s="19"/>
      <c r="G128" s="20" t="s">
        <v>98</v>
      </c>
      <c r="H128" s="21">
        <v>0.0</v>
      </c>
      <c r="I128" s="22">
        <v>1.0</v>
      </c>
      <c r="J128" s="23"/>
      <c r="K128" s="55">
        <v>34391.0</v>
      </c>
      <c r="L128" s="55">
        <v>46000.0</v>
      </c>
      <c r="M128" s="78"/>
      <c r="N128" s="26"/>
      <c r="O128" s="27">
        <f t="shared" si="16"/>
        <v>0.3375592452</v>
      </c>
      <c r="P128" s="28">
        <f t="shared" si="17"/>
        <v>0</v>
      </c>
    </row>
    <row r="129" hidden="1">
      <c r="A129" s="16" t="s">
        <v>225</v>
      </c>
      <c r="B129" s="49"/>
      <c r="C129" s="38"/>
      <c r="D129" s="4"/>
      <c r="E129" s="19"/>
      <c r="F129" s="19"/>
      <c r="G129" s="40" t="s">
        <v>98</v>
      </c>
      <c r="H129" s="21">
        <v>0.0</v>
      </c>
      <c r="I129" s="22">
        <v>13.0</v>
      </c>
      <c r="J129" s="23"/>
      <c r="K129" s="55">
        <f>5400*1.19</f>
        <v>6426</v>
      </c>
      <c r="L129" s="55">
        <v>11000.0</v>
      </c>
      <c r="M129" s="78"/>
      <c r="N129" s="26">
        <v>9000.0</v>
      </c>
      <c r="O129" s="27">
        <f t="shared" si="16"/>
        <v>0.7117958294</v>
      </c>
      <c r="P129" s="28">
        <f t="shared" si="17"/>
        <v>0</v>
      </c>
    </row>
    <row r="130" hidden="1">
      <c r="A130" s="16" t="s">
        <v>226</v>
      </c>
      <c r="B130" s="36"/>
      <c r="C130" s="38"/>
      <c r="D130" s="4"/>
      <c r="E130" s="19"/>
      <c r="F130" s="19"/>
      <c r="G130" s="16" t="s">
        <v>200</v>
      </c>
      <c r="H130" s="21">
        <v>0.0</v>
      </c>
      <c r="I130" s="22">
        <v>0.0</v>
      </c>
      <c r="J130" s="23"/>
      <c r="K130" s="55">
        <v>15470.0</v>
      </c>
      <c r="L130" s="55">
        <v>25000.0</v>
      </c>
      <c r="M130" s="25">
        <v>1.19</v>
      </c>
      <c r="N130" s="48">
        <v>20000.0</v>
      </c>
      <c r="O130" s="27">
        <f t="shared" si="16"/>
        <v>0.6160310278</v>
      </c>
      <c r="P130" s="28">
        <f t="shared" si="17"/>
        <v>0</v>
      </c>
    </row>
    <row r="131" hidden="1">
      <c r="A131" s="16" t="s">
        <v>227</v>
      </c>
      <c r="B131" s="36"/>
      <c r="C131" s="38"/>
      <c r="D131" s="4"/>
      <c r="E131" s="19"/>
      <c r="F131" s="19"/>
      <c r="G131" s="16" t="s">
        <v>200</v>
      </c>
      <c r="H131" s="21">
        <v>0.0</v>
      </c>
      <c r="I131" s="22">
        <v>0.0</v>
      </c>
      <c r="J131" s="23"/>
      <c r="K131" s="55">
        <v>29750.0</v>
      </c>
      <c r="L131" s="55">
        <v>40000.0</v>
      </c>
      <c r="M131" s="25">
        <v>1.19</v>
      </c>
      <c r="N131" s="48">
        <v>35000.0</v>
      </c>
      <c r="O131" s="27">
        <f t="shared" si="16"/>
        <v>0.3445378151</v>
      </c>
      <c r="P131" s="28">
        <f t="shared" si="17"/>
        <v>0</v>
      </c>
    </row>
    <row r="132" hidden="1">
      <c r="A132" s="16" t="s">
        <v>228</v>
      </c>
      <c r="B132" s="17"/>
      <c r="C132" s="18"/>
      <c r="D132" s="4"/>
      <c r="E132" s="19"/>
      <c r="F132" s="19"/>
      <c r="G132" s="16" t="s">
        <v>229</v>
      </c>
      <c r="H132" s="21"/>
      <c r="I132" s="22"/>
      <c r="J132" s="29"/>
      <c r="K132" s="48"/>
      <c r="L132" s="55"/>
      <c r="M132" s="25"/>
      <c r="N132" s="26"/>
      <c r="O132" s="27"/>
      <c r="P132" s="28"/>
    </row>
    <row r="133" hidden="1">
      <c r="A133" s="59" t="s">
        <v>230</v>
      </c>
      <c r="B133" s="97"/>
      <c r="C133" s="18"/>
      <c r="D133" s="98"/>
      <c r="E133" s="19">
        <v>0.0</v>
      </c>
      <c r="F133" s="19">
        <v>0.0</v>
      </c>
      <c r="G133" s="20" t="s">
        <v>231</v>
      </c>
      <c r="H133" s="99"/>
      <c r="I133" s="22"/>
      <c r="J133" s="100"/>
      <c r="K133" s="101">
        <v>25000.0</v>
      </c>
      <c r="L133" s="101">
        <v>50000.0</v>
      </c>
      <c r="M133" s="25"/>
      <c r="N133" s="102"/>
      <c r="O133" s="27"/>
      <c r="P133" s="28"/>
    </row>
    <row r="134" hidden="1">
      <c r="A134" s="16" t="s">
        <v>232</v>
      </c>
      <c r="B134" s="16" t="s">
        <v>233</v>
      </c>
      <c r="C134" s="103"/>
      <c r="D134" s="41"/>
      <c r="E134" s="19">
        <v>0.0</v>
      </c>
      <c r="F134" s="19">
        <v>0.0</v>
      </c>
      <c r="G134" s="16" t="s">
        <v>234</v>
      </c>
      <c r="H134" s="21"/>
      <c r="I134" s="22"/>
      <c r="J134" s="47">
        <v>46174.0</v>
      </c>
      <c r="K134" s="32">
        <f>72750*1.19</f>
        <v>86572.5</v>
      </c>
      <c r="L134" s="24">
        <v>110000.0</v>
      </c>
      <c r="M134" s="25"/>
      <c r="N134" s="26"/>
      <c r="O134" s="27">
        <f t="shared" ref="O134:O149" si="19">(L134/K134)-1</f>
        <v>0.2706113373</v>
      </c>
      <c r="P134" s="28">
        <f t="shared" ref="P134:P136" si="20">K134*F134</f>
        <v>0</v>
      </c>
    </row>
    <row r="135" hidden="1">
      <c r="A135" s="16" t="s">
        <v>235</v>
      </c>
      <c r="B135" s="17" t="s">
        <v>236</v>
      </c>
      <c r="C135" s="103" t="s">
        <v>237</v>
      </c>
      <c r="D135" s="4"/>
      <c r="E135" s="19">
        <v>0.0</v>
      </c>
      <c r="F135" s="19">
        <v>0.0</v>
      </c>
      <c r="G135" s="16" t="s">
        <v>238</v>
      </c>
      <c r="H135" s="21"/>
      <c r="I135" s="22"/>
      <c r="J135" s="47">
        <v>46082.0</v>
      </c>
      <c r="K135" s="48">
        <v>124000.0</v>
      </c>
      <c r="L135" s="48">
        <v>170000.0</v>
      </c>
      <c r="M135" s="25"/>
      <c r="N135" s="50">
        <v>150000.0</v>
      </c>
      <c r="O135" s="27">
        <f t="shared" si="19"/>
        <v>0.3709677419</v>
      </c>
      <c r="P135" s="28">
        <f t="shared" si="20"/>
        <v>0</v>
      </c>
    </row>
    <row r="136" hidden="1">
      <c r="A136" s="16" t="s">
        <v>239</v>
      </c>
      <c r="B136" s="17"/>
      <c r="C136" s="18"/>
      <c r="D136" s="41"/>
      <c r="E136" s="19">
        <v>0.0</v>
      </c>
      <c r="F136" s="19">
        <v>0.0</v>
      </c>
      <c r="G136" s="16" t="s">
        <v>238</v>
      </c>
      <c r="H136" s="21"/>
      <c r="I136" s="22"/>
      <c r="J136" s="22" t="s">
        <v>240</v>
      </c>
      <c r="K136" s="48">
        <v>140000.0</v>
      </c>
      <c r="L136" s="48">
        <v>190000.0</v>
      </c>
      <c r="M136" s="25"/>
      <c r="N136" s="26">
        <v>175000.0</v>
      </c>
      <c r="O136" s="27">
        <f t="shared" si="19"/>
        <v>0.3571428571</v>
      </c>
      <c r="P136" s="28">
        <f t="shared" si="20"/>
        <v>0</v>
      </c>
    </row>
    <row r="137" hidden="1">
      <c r="A137" s="16" t="s">
        <v>241</v>
      </c>
      <c r="B137" s="36" t="s">
        <v>242</v>
      </c>
      <c r="C137" s="104"/>
      <c r="D137" s="4"/>
      <c r="E137" s="19">
        <v>0.0</v>
      </c>
      <c r="F137" s="19">
        <v>0.0</v>
      </c>
      <c r="G137" s="16" t="s">
        <v>70</v>
      </c>
      <c r="H137" s="21"/>
      <c r="I137" s="22"/>
      <c r="J137" s="58">
        <v>45931.0</v>
      </c>
      <c r="K137" s="43">
        <v>58000.0</v>
      </c>
      <c r="L137" s="43">
        <v>70000.0</v>
      </c>
      <c r="M137" s="25"/>
      <c r="N137" s="26"/>
      <c r="O137" s="27">
        <f t="shared" si="19"/>
        <v>0.2068965517</v>
      </c>
      <c r="P137" s="28">
        <f>K137*F139</f>
        <v>0</v>
      </c>
    </row>
    <row r="138" hidden="1">
      <c r="A138" s="16" t="s">
        <v>243</v>
      </c>
      <c r="B138" s="36" t="s">
        <v>244</v>
      </c>
      <c r="C138" s="104"/>
      <c r="D138" s="4"/>
      <c r="E138" s="19">
        <v>0.0</v>
      </c>
      <c r="F138" s="19">
        <v>0.0</v>
      </c>
      <c r="G138" s="16" t="s">
        <v>70</v>
      </c>
      <c r="H138" s="21"/>
      <c r="I138" s="22"/>
      <c r="J138" s="58">
        <v>46113.0</v>
      </c>
      <c r="K138" s="24">
        <f>95000*0.8</f>
        <v>76000</v>
      </c>
      <c r="L138" s="32">
        <v>106000.0</v>
      </c>
      <c r="M138" s="25"/>
      <c r="N138" s="26">
        <v>88000.0</v>
      </c>
      <c r="O138" s="27">
        <f t="shared" si="19"/>
        <v>0.3947368421</v>
      </c>
      <c r="P138" s="28">
        <f t="shared" ref="P138:P149" si="21">K138*F138</f>
        <v>0</v>
      </c>
    </row>
    <row r="139" hidden="1">
      <c r="A139" s="16" t="s">
        <v>245</v>
      </c>
      <c r="B139" s="36" t="s">
        <v>246</v>
      </c>
      <c r="C139" s="105" t="s">
        <v>144</v>
      </c>
      <c r="D139" s="4">
        <v>79100.0</v>
      </c>
      <c r="E139" s="19">
        <v>0.0</v>
      </c>
      <c r="F139" s="19">
        <v>0.0</v>
      </c>
      <c r="G139" s="16" t="s">
        <v>70</v>
      </c>
      <c r="H139" s="21"/>
      <c r="I139" s="22"/>
      <c r="J139" s="47">
        <v>46023.0</v>
      </c>
      <c r="K139" s="32">
        <f>125000*0.8</f>
        <v>100000</v>
      </c>
      <c r="L139" s="32">
        <v>140000.0</v>
      </c>
      <c r="M139" s="25" t="s">
        <v>76</v>
      </c>
      <c r="N139" s="26"/>
      <c r="O139" s="27">
        <f t="shared" si="19"/>
        <v>0.4</v>
      </c>
      <c r="P139" s="28">
        <f t="shared" si="21"/>
        <v>0</v>
      </c>
    </row>
    <row r="140" hidden="1">
      <c r="A140" s="16" t="s">
        <v>247</v>
      </c>
      <c r="B140" s="17" t="s">
        <v>248</v>
      </c>
      <c r="C140" s="18"/>
      <c r="D140" s="4"/>
      <c r="E140" s="19">
        <v>0.0</v>
      </c>
      <c r="F140" s="19">
        <v>0.0</v>
      </c>
      <c r="G140" s="54" t="s">
        <v>102</v>
      </c>
      <c r="H140" s="21"/>
      <c r="I140" s="22">
        <v>3.0</v>
      </c>
      <c r="J140" s="47">
        <v>45901.0</v>
      </c>
      <c r="K140" s="48">
        <v>24000.0</v>
      </c>
      <c r="L140" s="48">
        <v>44000.0</v>
      </c>
      <c r="M140" s="25" t="s">
        <v>76</v>
      </c>
      <c r="N140" s="26">
        <v>38000.0</v>
      </c>
      <c r="O140" s="27">
        <f t="shared" si="19"/>
        <v>0.8333333333</v>
      </c>
      <c r="P140" s="28">
        <f t="shared" si="21"/>
        <v>0</v>
      </c>
    </row>
    <row r="141" hidden="1">
      <c r="A141" s="16" t="s">
        <v>249</v>
      </c>
      <c r="B141" s="17"/>
      <c r="C141" s="106"/>
      <c r="D141" s="4"/>
      <c r="E141" s="19">
        <v>0.0</v>
      </c>
      <c r="F141" s="19">
        <v>0.0</v>
      </c>
      <c r="G141" s="54" t="s">
        <v>102</v>
      </c>
      <c r="H141" s="21"/>
      <c r="I141" s="22">
        <v>0.0</v>
      </c>
      <c r="J141" s="29"/>
      <c r="K141" s="43">
        <v>37840.0</v>
      </c>
      <c r="L141" s="44">
        <v>56000.0</v>
      </c>
      <c r="M141" s="25" t="s">
        <v>76</v>
      </c>
      <c r="N141" s="26"/>
      <c r="O141" s="27">
        <f t="shared" si="19"/>
        <v>0.4799154334</v>
      </c>
      <c r="P141" s="28">
        <f t="shared" si="21"/>
        <v>0</v>
      </c>
    </row>
    <row r="142" hidden="1">
      <c r="A142" s="16" t="s">
        <v>250</v>
      </c>
      <c r="B142" s="17"/>
      <c r="C142" s="106"/>
      <c r="D142" s="107" t="s">
        <v>251</v>
      </c>
      <c r="E142" s="108">
        <v>3.0</v>
      </c>
      <c r="F142" s="19">
        <v>0.0</v>
      </c>
      <c r="G142" s="54" t="s">
        <v>102</v>
      </c>
      <c r="H142" s="21"/>
      <c r="I142" s="22">
        <v>1.0</v>
      </c>
      <c r="J142" s="47">
        <v>45748.0</v>
      </c>
      <c r="K142" s="32">
        <v>39732.0</v>
      </c>
      <c r="L142" s="24">
        <v>58000.0</v>
      </c>
      <c r="M142" s="25" t="s">
        <v>76</v>
      </c>
      <c r="N142" s="26"/>
      <c r="O142" s="27">
        <f t="shared" si="19"/>
        <v>0.4597805295</v>
      </c>
      <c r="P142" s="28">
        <f t="shared" si="21"/>
        <v>0</v>
      </c>
    </row>
    <row r="143" hidden="1">
      <c r="A143" s="16" t="s">
        <v>252</v>
      </c>
      <c r="B143" s="17" t="s">
        <v>253</v>
      </c>
      <c r="C143" s="103"/>
      <c r="D143" s="4"/>
      <c r="E143" s="19">
        <v>0.0</v>
      </c>
      <c r="F143" s="19">
        <v>12.0</v>
      </c>
      <c r="G143" s="20" t="s">
        <v>254</v>
      </c>
      <c r="H143" s="21"/>
      <c r="I143" s="22">
        <v>3.0</v>
      </c>
      <c r="J143" s="22" t="s">
        <v>255</v>
      </c>
      <c r="K143" s="32">
        <v>87000.0</v>
      </c>
      <c r="L143" s="24">
        <v>105000.0</v>
      </c>
      <c r="M143" s="25" t="s">
        <v>76</v>
      </c>
      <c r="N143" s="26">
        <v>98000.0</v>
      </c>
      <c r="O143" s="27">
        <f t="shared" si="19"/>
        <v>0.2068965517</v>
      </c>
      <c r="P143" s="28">
        <f t="shared" si="21"/>
        <v>1044000</v>
      </c>
    </row>
    <row r="144" hidden="1">
      <c r="A144" s="16" t="s">
        <v>256</v>
      </c>
      <c r="B144" s="17" t="s">
        <v>257</v>
      </c>
      <c r="C144" s="109"/>
      <c r="D144" s="4"/>
      <c r="E144" s="19">
        <v>0.0</v>
      </c>
      <c r="F144" s="19"/>
      <c r="G144" s="20" t="s">
        <v>57</v>
      </c>
      <c r="H144" s="21"/>
      <c r="I144" s="22"/>
      <c r="J144" s="58"/>
      <c r="K144" s="24">
        <v>28000.0</v>
      </c>
      <c r="L144" s="24">
        <v>42000.0</v>
      </c>
      <c r="M144" s="25"/>
      <c r="N144" s="26">
        <v>35000.0</v>
      </c>
      <c r="O144" s="27">
        <f t="shared" si="19"/>
        <v>0.5</v>
      </c>
      <c r="P144" s="28">
        <f t="shared" si="21"/>
        <v>0</v>
      </c>
    </row>
    <row r="145" hidden="1">
      <c r="A145" s="16" t="s">
        <v>258</v>
      </c>
      <c r="B145" s="17"/>
      <c r="C145" s="103"/>
      <c r="D145" s="4"/>
      <c r="E145" s="19">
        <v>0.0</v>
      </c>
      <c r="F145" s="19">
        <v>0.0</v>
      </c>
      <c r="G145" s="16" t="s">
        <v>259</v>
      </c>
      <c r="H145" s="21">
        <v>0.0</v>
      </c>
      <c r="I145" s="22">
        <v>0.0</v>
      </c>
      <c r="J145" s="29"/>
      <c r="K145" s="48">
        <v>171100.0</v>
      </c>
      <c r="L145" s="55">
        <v>215000.0</v>
      </c>
      <c r="M145" s="25"/>
      <c r="N145" s="26"/>
      <c r="O145" s="27">
        <f t="shared" si="19"/>
        <v>0.2565751023</v>
      </c>
      <c r="P145" s="28">
        <f t="shared" si="21"/>
        <v>0</v>
      </c>
    </row>
    <row r="146" hidden="1">
      <c r="A146" s="16" t="s">
        <v>260</v>
      </c>
      <c r="B146" s="17"/>
      <c r="C146" s="103"/>
      <c r="D146" s="4"/>
      <c r="E146" s="19">
        <v>0.0</v>
      </c>
      <c r="F146" s="19">
        <v>0.0</v>
      </c>
      <c r="G146" s="20" t="s">
        <v>14</v>
      </c>
      <c r="H146" s="21">
        <v>0.0</v>
      </c>
      <c r="I146" s="22">
        <v>0.0</v>
      </c>
      <c r="J146" s="29"/>
      <c r="K146" s="43">
        <v>144700.0</v>
      </c>
      <c r="L146" s="44">
        <v>180000.0</v>
      </c>
      <c r="M146" s="25"/>
      <c r="N146" s="69"/>
      <c r="O146" s="27">
        <f t="shared" si="19"/>
        <v>0.2439530062</v>
      </c>
      <c r="P146" s="28">
        <f t="shared" si="21"/>
        <v>0</v>
      </c>
    </row>
    <row r="147" hidden="1">
      <c r="A147" s="16" t="s">
        <v>261</v>
      </c>
      <c r="B147" s="17"/>
      <c r="C147" s="103"/>
      <c r="D147" s="4"/>
      <c r="E147" s="19">
        <v>0.0</v>
      </c>
      <c r="F147" s="19">
        <v>0.0</v>
      </c>
      <c r="G147" s="20" t="s">
        <v>14</v>
      </c>
      <c r="H147" s="21">
        <v>0.0</v>
      </c>
      <c r="I147" s="22">
        <v>0.0</v>
      </c>
      <c r="J147" s="29"/>
      <c r="K147" s="48">
        <v>280000.0</v>
      </c>
      <c r="L147" s="55">
        <v>364000.0</v>
      </c>
      <c r="M147" s="25"/>
      <c r="N147" s="69"/>
      <c r="O147" s="27">
        <f t="shared" si="19"/>
        <v>0.3</v>
      </c>
      <c r="P147" s="28">
        <f t="shared" si="21"/>
        <v>0</v>
      </c>
    </row>
    <row r="148" hidden="1">
      <c r="A148" s="16" t="s">
        <v>262</v>
      </c>
      <c r="B148" s="17"/>
      <c r="C148" s="103"/>
      <c r="D148" s="4"/>
      <c r="E148" s="19">
        <v>0.0</v>
      </c>
      <c r="F148" s="19">
        <v>0.0</v>
      </c>
      <c r="G148" s="16" t="s">
        <v>259</v>
      </c>
      <c r="H148" s="21">
        <v>0.0</v>
      </c>
      <c r="I148" s="22">
        <v>0.0</v>
      </c>
      <c r="J148" s="29"/>
      <c r="K148" s="32">
        <v>103000.0</v>
      </c>
      <c r="L148" s="24">
        <v>127000.0</v>
      </c>
      <c r="M148" s="25"/>
      <c r="N148" s="26"/>
      <c r="O148" s="27">
        <f t="shared" si="19"/>
        <v>0.2330097087</v>
      </c>
      <c r="P148" s="28">
        <f t="shared" si="21"/>
        <v>0</v>
      </c>
    </row>
    <row r="149" hidden="1">
      <c r="A149" s="16" t="s">
        <v>262</v>
      </c>
      <c r="B149" s="17"/>
      <c r="C149" s="103"/>
      <c r="D149" s="4"/>
      <c r="E149" s="19">
        <v>0.0</v>
      </c>
      <c r="F149" s="19">
        <v>0.0</v>
      </c>
      <c r="G149" s="16" t="s">
        <v>259</v>
      </c>
      <c r="H149" s="21">
        <v>0.0</v>
      </c>
      <c r="I149" s="22">
        <v>0.0</v>
      </c>
      <c r="J149" s="29"/>
      <c r="K149" s="48">
        <v>103400.0</v>
      </c>
      <c r="L149" s="55">
        <v>138000.0</v>
      </c>
      <c r="M149" s="25"/>
      <c r="N149" s="26"/>
      <c r="O149" s="27">
        <f t="shared" si="19"/>
        <v>0.334622824</v>
      </c>
      <c r="P149" s="28">
        <f t="shared" si="21"/>
        <v>0</v>
      </c>
    </row>
    <row r="150" hidden="1">
      <c r="A150" s="16" t="s">
        <v>263</v>
      </c>
      <c r="B150" s="36"/>
      <c r="C150" s="92"/>
      <c r="D150" s="61"/>
      <c r="E150" s="19"/>
      <c r="F150" s="19"/>
      <c r="G150" s="20" t="s">
        <v>264</v>
      </c>
      <c r="H150" s="21"/>
      <c r="I150" s="22">
        <v>1.0</v>
      </c>
      <c r="J150" s="47"/>
      <c r="K150" s="43"/>
      <c r="L150" s="44"/>
      <c r="M150" s="25"/>
      <c r="N150" s="26"/>
      <c r="O150" s="27"/>
      <c r="P150" s="28"/>
    </row>
    <row r="151" hidden="1">
      <c r="A151" s="16" t="s">
        <v>2857</v>
      </c>
      <c r="B151" s="36" t="s">
        <v>266</v>
      </c>
      <c r="C151" s="92"/>
      <c r="D151" s="4"/>
      <c r="E151" s="19"/>
      <c r="F151" s="19"/>
      <c r="G151" s="20" t="s">
        <v>267</v>
      </c>
      <c r="H151" s="21"/>
      <c r="I151" s="22"/>
      <c r="J151" s="29"/>
      <c r="K151" s="48">
        <v>48897.0</v>
      </c>
      <c r="L151" s="55">
        <v>69000.0</v>
      </c>
      <c r="M151" s="25"/>
      <c r="N151" s="26">
        <v>58000.0</v>
      </c>
      <c r="O151" s="27">
        <f t="shared" ref="O151:O232" si="22">(L151/K151)-1</f>
        <v>0.4111295171</v>
      </c>
      <c r="P151" s="28">
        <f t="shared" ref="P151:P232" si="23">K151*F151</f>
        <v>0</v>
      </c>
    </row>
    <row r="152" hidden="1">
      <c r="A152" s="16" t="s">
        <v>268</v>
      </c>
      <c r="B152" s="36"/>
      <c r="C152" s="92"/>
      <c r="D152" s="4"/>
      <c r="E152" s="19"/>
      <c r="F152" s="19"/>
      <c r="G152" s="20" t="s">
        <v>267</v>
      </c>
      <c r="H152" s="21"/>
      <c r="I152" s="22"/>
      <c r="J152" s="29"/>
      <c r="K152" s="43">
        <f>L151/20</f>
        <v>3450</v>
      </c>
      <c r="L152" s="44">
        <v>4000.0</v>
      </c>
      <c r="M152" s="25"/>
      <c r="N152" s="26"/>
      <c r="O152" s="27">
        <f t="shared" si="22"/>
        <v>0.1594202899</v>
      </c>
      <c r="P152" s="28">
        <f t="shared" si="23"/>
        <v>0</v>
      </c>
    </row>
    <row r="153" hidden="1">
      <c r="A153" s="16" t="s">
        <v>269</v>
      </c>
      <c r="B153" s="49"/>
      <c r="C153" s="103"/>
      <c r="D153" s="4"/>
      <c r="E153" s="19">
        <v>0.0</v>
      </c>
      <c r="F153" s="19">
        <v>0.0</v>
      </c>
      <c r="G153" s="16" t="s">
        <v>270</v>
      </c>
      <c r="H153" s="21">
        <v>0.0</v>
      </c>
      <c r="I153" s="22">
        <v>0.0</v>
      </c>
      <c r="J153" s="29"/>
      <c r="K153" s="43">
        <v>102401.0</v>
      </c>
      <c r="L153" s="44">
        <v>140000.0</v>
      </c>
      <c r="M153" s="25" t="s">
        <v>82</v>
      </c>
      <c r="N153" s="70"/>
      <c r="O153" s="27">
        <f t="shared" si="22"/>
        <v>0.3671741487</v>
      </c>
      <c r="P153" s="28">
        <f t="shared" si="23"/>
        <v>0</v>
      </c>
    </row>
    <row r="154" hidden="1">
      <c r="A154" s="40" t="s">
        <v>271</v>
      </c>
      <c r="B154" s="17"/>
      <c r="C154" s="103"/>
      <c r="D154" s="4"/>
      <c r="E154" s="19">
        <v>0.0</v>
      </c>
      <c r="F154" s="19">
        <v>0.0</v>
      </c>
      <c r="G154" s="40" t="s">
        <v>93</v>
      </c>
      <c r="H154" s="21"/>
      <c r="I154" s="22">
        <v>0.0</v>
      </c>
      <c r="J154" s="29"/>
      <c r="K154" s="43">
        <v>5100.0</v>
      </c>
      <c r="L154" s="44">
        <v>7000.0</v>
      </c>
      <c r="M154" s="25"/>
      <c r="N154" s="69"/>
      <c r="O154" s="27">
        <f t="shared" si="22"/>
        <v>0.3725490196</v>
      </c>
      <c r="P154" s="28">
        <f t="shared" si="23"/>
        <v>0</v>
      </c>
    </row>
    <row r="155" hidden="1">
      <c r="A155" s="16" t="s">
        <v>272</v>
      </c>
      <c r="B155" s="17"/>
      <c r="C155" s="103"/>
      <c r="D155" s="4"/>
      <c r="E155" s="19"/>
      <c r="F155" s="19"/>
      <c r="G155" s="16" t="s">
        <v>273</v>
      </c>
      <c r="H155" s="21"/>
      <c r="I155" s="22">
        <v>0.0</v>
      </c>
      <c r="J155" s="22"/>
      <c r="K155" s="32">
        <v>119000.0</v>
      </c>
      <c r="L155" s="24">
        <v>148000.0</v>
      </c>
      <c r="M155" s="25"/>
      <c r="N155" s="69"/>
      <c r="O155" s="27">
        <f t="shared" si="22"/>
        <v>0.243697479</v>
      </c>
      <c r="P155" s="28">
        <f t="shared" si="23"/>
        <v>0</v>
      </c>
    </row>
    <row r="156" hidden="1">
      <c r="A156" s="16" t="s">
        <v>274</v>
      </c>
      <c r="B156" s="17"/>
      <c r="C156" s="103"/>
      <c r="D156" s="4"/>
      <c r="E156" s="19"/>
      <c r="F156" s="19"/>
      <c r="G156" s="16" t="s">
        <v>275</v>
      </c>
      <c r="H156" s="21"/>
      <c r="I156" s="22">
        <v>0.0</v>
      </c>
      <c r="J156" s="47"/>
      <c r="K156" s="32">
        <v>236500.0</v>
      </c>
      <c r="L156" s="24">
        <v>295000.0</v>
      </c>
      <c r="M156" s="25"/>
      <c r="N156" s="69"/>
      <c r="O156" s="27">
        <f t="shared" si="22"/>
        <v>0.2473572939</v>
      </c>
      <c r="P156" s="28">
        <f t="shared" si="23"/>
        <v>0</v>
      </c>
    </row>
    <row r="157" hidden="1">
      <c r="A157" s="16" t="s">
        <v>276</v>
      </c>
      <c r="B157" s="17"/>
      <c r="C157" s="18"/>
      <c r="D157" s="4"/>
      <c r="E157" s="19">
        <v>0.0</v>
      </c>
      <c r="F157" s="19">
        <v>0.0</v>
      </c>
      <c r="G157" s="16" t="s">
        <v>277</v>
      </c>
      <c r="H157" s="21"/>
      <c r="I157" s="22">
        <v>4.0</v>
      </c>
      <c r="J157" s="47">
        <v>45809.0</v>
      </c>
      <c r="K157" s="32">
        <f>176000*0.8</f>
        <v>140800</v>
      </c>
      <c r="L157" s="32">
        <v>176000.0</v>
      </c>
      <c r="M157" s="25" t="s">
        <v>82</v>
      </c>
      <c r="N157" s="26"/>
      <c r="O157" s="27">
        <f t="shared" si="22"/>
        <v>0.25</v>
      </c>
      <c r="P157" s="28">
        <f t="shared" si="23"/>
        <v>0</v>
      </c>
    </row>
    <row r="158">
      <c r="A158" s="16" t="s">
        <v>278</v>
      </c>
      <c r="B158" s="49"/>
      <c r="C158" s="92" t="s">
        <v>279</v>
      </c>
      <c r="D158" s="4"/>
      <c r="E158" s="19"/>
      <c r="F158" s="19"/>
      <c r="G158" s="16" t="s">
        <v>98</v>
      </c>
      <c r="H158" s="21">
        <v>10.0</v>
      </c>
      <c r="I158" s="22"/>
      <c r="J158" s="47">
        <v>46266.0</v>
      </c>
      <c r="K158" s="32">
        <v>110000.0</v>
      </c>
      <c r="L158" s="24">
        <v>165000.0</v>
      </c>
      <c r="M158" s="25" t="s">
        <v>76</v>
      </c>
      <c r="N158" s="70"/>
      <c r="O158" s="27">
        <f t="shared" si="22"/>
        <v>0.5</v>
      </c>
      <c r="P158" s="28">
        <f t="shared" si="23"/>
        <v>0</v>
      </c>
    </row>
    <row r="159" hidden="1">
      <c r="A159" s="16" t="s">
        <v>280</v>
      </c>
      <c r="B159" s="36"/>
      <c r="C159" s="103"/>
      <c r="D159" s="110"/>
      <c r="E159" s="19">
        <v>0.0</v>
      </c>
      <c r="F159" s="19">
        <v>0.0</v>
      </c>
      <c r="G159" s="16" t="s">
        <v>281</v>
      </c>
      <c r="H159" s="21"/>
      <c r="I159" s="22">
        <v>0.0</v>
      </c>
      <c r="J159" s="23"/>
      <c r="K159" s="24">
        <v>120000.0</v>
      </c>
      <c r="L159" s="24">
        <v>150000.0</v>
      </c>
      <c r="M159" s="25"/>
      <c r="N159" s="69"/>
      <c r="O159" s="27">
        <f t="shared" si="22"/>
        <v>0.25</v>
      </c>
      <c r="P159" s="28">
        <f t="shared" si="23"/>
        <v>0</v>
      </c>
    </row>
    <row r="160" hidden="1">
      <c r="A160" s="16" t="s">
        <v>282</v>
      </c>
      <c r="B160" s="49"/>
      <c r="C160" s="18" t="s">
        <v>55</v>
      </c>
      <c r="D160" s="4"/>
      <c r="E160" s="19">
        <v>0.0</v>
      </c>
      <c r="F160" s="19"/>
      <c r="G160" s="20" t="s">
        <v>283</v>
      </c>
      <c r="H160" s="21"/>
      <c r="I160" s="22"/>
      <c r="J160" s="29"/>
      <c r="K160" s="43">
        <v>2915.0</v>
      </c>
      <c r="L160" s="44">
        <v>6000.0</v>
      </c>
      <c r="M160" s="25"/>
      <c r="N160" s="69"/>
      <c r="O160" s="27">
        <f t="shared" si="22"/>
        <v>1.058319039</v>
      </c>
      <c r="P160" s="28">
        <f t="shared" si="23"/>
        <v>0</v>
      </c>
    </row>
    <row r="161" hidden="1">
      <c r="A161" s="59" t="s">
        <v>284</v>
      </c>
      <c r="B161" s="36"/>
      <c r="C161" s="103"/>
      <c r="D161" s="4"/>
      <c r="E161" s="19"/>
      <c r="F161" s="19"/>
      <c r="G161" s="16" t="s">
        <v>88</v>
      </c>
      <c r="H161" s="21"/>
      <c r="I161" s="22">
        <v>1.0</v>
      </c>
      <c r="J161" s="23"/>
      <c r="K161" s="55">
        <f>10610*1.19</f>
        <v>12625.9</v>
      </c>
      <c r="L161" s="55">
        <v>18000.0</v>
      </c>
      <c r="M161" s="25"/>
      <c r="N161" s="26"/>
      <c r="O161" s="27">
        <f t="shared" si="22"/>
        <v>0.4256409444</v>
      </c>
      <c r="P161" s="28">
        <f t="shared" si="23"/>
        <v>0</v>
      </c>
    </row>
    <row r="162" hidden="1">
      <c r="A162" s="16" t="s">
        <v>285</v>
      </c>
      <c r="B162" s="17"/>
      <c r="C162" s="103"/>
      <c r="D162" s="4"/>
      <c r="E162" s="19">
        <v>0.0</v>
      </c>
      <c r="F162" s="19">
        <v>0.0</v>
      </c>
      <c r="G162" s="20" t="s">
        <v>286</v>
      </c>
      <c r="H162" s="21"/>
      <c r="I162" s="22">
        <v>30.0</v>
      </c>
      <c r="J162" s="47">
        <v>46508.0</v>
      </c>
      <c r="K162" s="24">
        <v>669.0</v>
      </c>
      <c r="L162" s="24">
        <v>1000.0</v>
      </c>
      <c r="M162" s="25">
        <v>1.19</v>
      </c>
      <c r="N162" s="50"/>
      <c r="O162" s="27">
        <f t="shared" si="22"/>
        <v>0.4947683109</v>
      </c>
      <c r="P162" s="28">
        <f t="shared" si="23"/>
        <v>0</v>
      </c>
    </row>
    <row r="163" hidden="1">
      <c r="A163" s="40" t="s">
        <v>287</v>
      </c>
      <c r="B163" s="17" t="s">
        <v>288</v>
      </c>
      <c r="C163" s="18"/>
      <c r="D163" s="4"/>
      <c r="E163" s="19">
        <v>0.0</v>
      </c>
      <c r="F163" s="19">
        <v>0.0</v>
      </c>
      <c r="G163" s="20" t="s">
        <v>289</v>
      </c>
      <c r="H163" s="21"/>
      <c r="I163" s="22"/>
      <c r="J163" s="29"/>
      <c r="K163" s="32">
        <v>2859.0</v>
      </c>
      <c r="L163" s="24">
        <v>5000.0</v>
      </c>
      <c r="M163" s="25" t="s">
        <v>76</v>
      </c>
      <c r="N163" s="70"/>
      <c r="O163" s="27">
        <f t="shared" si="22"/>
        <v>0.7488632389</v>
      </c>
      <c r="P163" s="28">
        <f t="shared" si="23"/>
        <v>0</v>
      </c>
    </row>
    <row r="164" hidden="1">
      <c r="A164" s="42" t="s">
        <v>290</v>
      </c>
      <c r="B164" s="36"/>
      <c r="C164" s="18"/>
      <c r="D164" s="4"/>
      <c r="E164" s="19">
        <v>0.0</v>
      </c>
      <c r="F164" s="19"/>
      <c r="G164" s="20" t="s">
        <v>291</v>
      </c>
      <c r="H164" s="21"/>
      <c r="I164" s="22"/>
      <c r="J164" s="29"/>
      <c r="K164" s="32">
        <v>2000.0</v>
      </c>
      <c r="L164" s="24">
        <v>4000.0</v>
      </c>
      <c r="M164" s="25"/>
      <c r="N164" s="50"/>
      <c r="O164" s="27">
        <f t="shared" si="22"/>
        <v>1</v>
      </c>
      <c r="P164" s="28">
        <f t="shared" si="23"/>
        <v>0</v>
      </c>
    </row>
    <row r="165" hidden="1">
      <c r="A165" s="16" t="s">
        <v>292</v>
      </c>
      <c r="B165" s="36"/>
      <c r="C165" s="103"/>
      <c r="D165" s="4"/>
      <c r="E165" s="19">
        <v>0.0</v>
      </c>
      <c r="F165" s="19">
        <v>0.0</v>
      </c>
      <c r="G165" s="40" t="s">
        <v>93</v>
      </c>
      <c r="H165" s="21"/>
      <c r="I165" s="22">
        <v>6.0</v>
      </c>
      <c r="J165" s="47">
        <v>46569.0</v>
      </c>
      <c r="K165" s="32">
        <f>113848*1.19</f>
        <v>135479.12</v>
      </c>
      <c r="L165" s="24">
        <v>170000.0</v>
      </c>
      <c r="M165" s="25"/>
      <c r="N165" s="69"/>
      <c r="O165" s="27">
        <f t="shared" si="22"/>
        <v>0.2548059066</v>
      </c>
      <c r="P165" s="28">
        <f t="shared" si="23"/>
        <v>0</v>
      </c>
    </row>
    <row r="166" hidden="1">
      <c r="A166" s="16" t="s">
        <v>293</v>
      </c>
      <c r="B166" s="36"/>
      <c r="C166" s="103"/>
      <c r="D166" s="4"/>
      <c r="E166" s="19">
        <v>0.0</v>
      </c>
      <c r="F166" s="19">
        <v>0.0</v>
      </c>
      <c r="G166" s="40" t="s">
        <v>93</v>
      </c>
      <c r="H166" s="21"/>
      <c r="I166" s="22">
        <v>0.0</v>
      </c>
      <c r="J166" s="23"/>
      <c r="K166" s="24">
        <f>135500/100+600</f>
        <v>1955</v>
      </c>
      <c r="L166" s="24">
        <v>3000.0</v>
      </c>
      <c r="M166" s="25"/>
      <c r="N166" s="69"/>
      <c r="O166" s="27">
        <f t="shared" si="22"/>
        <v>0.5345268542</v>
      </c>
      <c r="P166" s="28">
        <f t="shared" si="23"/>
        <v>0</v>
      </c>
    </row>
    <row r="167" hidden="1">
      <c r="A167" s="16" t="s">
        <v>294</v>
      </c>
      <c r="B167" s="17" t="s">
        <v>295</v>
      </c>
      <c r="C167" s="103"/>
      <c r="D167" s="4"/>
      <c r="E167" s="19">
        <v>0.0</v>
      </c>
      <c r="F167" s="19">
        <v>4.0</v>
      </c>
      <c r="G167" s="16" t="s">
        <v>296</v>
      </c>
      <c r="H167" s="21"/>
      <c r="I167" s="22">
        <v>0.0</v>
      </c>
      <c r="J167" s="29"/>
      <c r="K167" s="32">
        <f>101800/100</f>
        <v>1018</v>
      </c>
      <c r="L167" s="24">
        <v>3000.0</v>
      </c>
      <c r="M167" s="25"/>
      <c r="N167" s="26"/>
      <c r="O167" s="27">
        <f t="shared" si="22"/>
        <v>1.946954813</v>
      </c>
      <c r="P167" s="28">
        <f t="shared" si="23"/>
        <v>4072</v>
      </c>
    </row>
    <row r="168" hidden="1">
      <c r="A168" s="52" t="s">
        <v>297</v>
      </c>
      <c r="B168" s="17" t="s">
        <v>298</v>
      </c>
      <c r="C168" s="103"/>
      <c r="D168" s="67"/>
      <c r="E168" s="19">
        <v>0.0</v>
      </c>
      <c r="F168" s="19"/>
      <c r="G168" s="20" t="s">
        <v>60</v>
      </c>
      <c r="H168" s="21"/>
      <c r="I168" s="22"/>
      <c r="J168" s="29"/>
      <c r="K168" s="48">
        <f t="shared" ref="K168:K170" si="24">9400*1.19/12</f>
        <v>932.1666667</v>
      </c>
      <c r="L168" s="55">
        <v>1500.0</v>
      </c>
      <c r="M168" s="25"/>
      <c r="N168" s="70"/>
      <c r="O168" s="27">
        <f t="shared" si="22"/>
        <v>0.6091543</v>
      </c>
      <c r="P168" s="28">
        <f t="shared" si="23"/>
        <v>0</v>
      </c>
    </row>
    <row r="169" hidden="1">
      <c r="A169" s="52" t="s">
        <v>299</v>
      </c>
      <c r="B169" s="17" t="s">
        <v>300</v>
      </c>
      <c r="C169" s="103"/>
      <c r="D169" s="67"/>
      <c r="E169" s="19">
        <v>0.0</v>
      </c>
      <c r="F169" s="19"/>
      <c r="G169" s="20" t="s">
        <v>60</v>
      </c>
      <c r="H169" s="21"/>
      <c r="I169" s="22"/>
      <c r="J169" s="29"/>
      <c r="K169" s="48">
        <f t="shared" si="24"/>
        <v>932.1666667</v>
      </c>
      <c r="L169" s="55">
        <v>1500.0</v>
      </c>
      <c r="M169" s="25"/>
      <c r="N169" s="26"/>
      <c r="O169" s="27">
        <f t="shared" si="22"/>
        <v>0.6091543</v>
      </c>
      <c r="P169" s="28">
        <f t="shared" si="23"/>
        <v>0</v>
      </c>
    </row>
    <row r="170" hidden="1">
      <c r="A170" s="52" t="s">
        <v>301</v>
      </c>
      <c r="B170" s="17" t="s">
        <v>298</v>
      </c>
      <c r="C170" s="103"/>
      <c r="D170" s="4"/>
      <c r="E170" s="19">
        <v>0.0</v>
      </c>
      <c r="F170" s="19"/>
      <c r="G170" s="20" t="s">
        <v>60</v>
      </c>
      <c r="H170" s="21"/>
      <c r="I170" s="22"/>
      <c r="J170" s="29"/>
      <c r="K170" s="48">
        <f t="shared" si="24"/>
        <v>932.1666667</v>
      </c>
      <c r="L170" s="55">
        <v>1500.0</v>
      </c>
      <c r="M170" s="25"/>
      <c r="N170" s="70"/>
      <c r="O170" s="27">
        <f t="shared" si="22"/>
        <v>0.6091543</v>
      </c>
      <c r="P170" s="28">
        <f t="shared" si="23"/>
        <v>0</v>
      </c>
    </row>
    <row r="171" hidden="1">
      <c r="A171" s="16" t="s">
        <v>302</v>
      </c>
      <c r="B171" s="17" t="s">
        <v>303</v>
      </c>
      <c r="C171" s="103"/>
      <c r="D171" s="4"/>
      <c r="E171" s="19"/>
      <c r="F171" s="19">
        <v>1.0</v>
      </c>
      <c r="G171" s="20" t="s">
        <v>304</v>
      </c>
      <c r="H171" s="21">
        <v>0.0</v>
      </c>
      <c r="I171" s="22">
        <v>22.0</v>
      </c>
      <c r="J171" s="58">
        <v>47027.0</v>
      </c>
      <c r="K171" s="48">
        <v>21539.0</v>
      </c>
      <c r="L171" s="55">
        <v>32000.0</v>
      </c>
      <c r="M171" s="25">
        <v>0.19</v>
      </c>
      <c r="N171" s="26">
        <v>26000.0</v>
      </c>
      <c r="O171" s="27">
        <f t="shared" si="22"/>
        <v>0.4856771438</v>
      </c>
      <c r="P171" s="28">
        <f t="shared" si="23"/>
        <v>21539</v>
      </c>
    </row>
    <row r="172" hidden="1">
      <c r="A172" s="16" t="s">
        <v>305</v>
      </c>
      <c r="B172" s="17" t="s">
        <v>306</v>
      </c>
      <c r="C172" s="103"/>
      <c r="D172" s="4"/>
      <c r="E172" s="19"/>
      <c r="F172" s="19">
        <v>1.0</v>
      </c>
      <c r="G172" s="20" t="s">
        <v>304</v>
      </c>
      <c r="H172" s="21">
        <v>0.0</v>
      </c>
      <c r="I172" s="22">
        <v>21.0</v>
      </c>
      <c r="J172" s="58">
        <v>47027.0</v>
      </c>
      <c r="K172" s="48">
        <v>21539.0</v>
      </c>
      <c r="L172" s="55">
        <v>32000.0</v>
      </c>
      <c r="M172" s="25" t="s">
        <v>307</v>
      </c>
      <c r="N172" s="26">
        <v>26000.0</v>
      </c>
      <c r="O172" s="27">
        <f t="shared" si="22"/>
        <v>0.4856771438</v>
      </c>
      <c r="P172" s="28">
        <f t="shared" si="23"/>
        <v>21539</v>
      </c>
    </row>
    <row r="173" hidden="1">
      <c r="A173" s="16" t="s">
        <v>308</v>
      </c>
      <c r="B173" s="36"/>
      <c r="C173" s="18"/>
      <c r="D173" s="4"/>
      <c r="E173" s="19">
        <v>0.0</v>
      </c>
      <c r="F173" s="19">
        <v>0.0</v>
      </c>
      <c r="G173" s="40" t="s">
        <v>93</v>
      </c>
      <c r="H173" s="21"/>
      <c r="I173" s="22">
        <v>0.0</v>
      </c>
      <c r="J173" s="29"/>
      <c r="K173" s="32">
        <v>21600.0</v>
      </c>
      <c r="L173" s="24">
        <v>30000.0</v>
      </c>
      <c r="M173" s="25"/>
      <c r="N173" s="26"/>
      <c r="O173" s="27">
        <f t="shared" si="22"/>
        <v>0.3888888889</v>
      </c>
      <c r="P173" s="28">
        <f t="shared" si="23"/>
        <v>0</v>
      </c>
    </row>
    <row r="174" hidden="1">
      <c r="A174" s="16" t="s">
        <v>309</v>
      </c>
      <c r="B174" s="36"/>
      <c r="C174" s="18"/>
      <c r="D174" s="4"/>
      <c r="E174" s="19">
        <v>0.0</v>
      </c>
      <c r="F174" s="19">
        <v>0.0</v>
      </c>
      <c r="G174" s="40" t="s">
        <v>93</v>
      </c>
      <c r="H174" s="21"/>
      <c r="I174" s="22">
        <v>0.0</v>
      </c>
      <c r="J174" s="29"/>
      <c r="K174" s="48">
        <v>33180.0</v>
      </c>
      <c r="L174" s="55">
        <v>42000.0</v>
      </c>
      <c r="M174" s="25"/>
      <c r="N174" s="31"/>
      <c r="O174" s="27">
        <f t="shared" si="22"/>
        <v>0.2658227848</v>
      </c>
      <c r="P174" s="28">
        <f t="shared" si="23"/>
        <v>0</v>
      </c>
    </row>
    <row r="175" hidden="1">
      <c r="A175" s="16" t="s">
        <v>310</v>
      </c>
      <c r="B175" s="17"/>
      <c r="C175" s="103"/>
      <c r="D175" s="4"/>
      <c r="E175" s="19">
        <v>0.0</v>
      </c>
      <c r="F175" s="19">
        <v>0.0</v>
      </c>
      <c r="G175" s="16" t="s">
        <v>311</v>
      </c>
      <c r="H175" s="21"/>
      <c r="I175" s="22">
        <v>0.0</v>
      </c>
      <c r="J175" s="29"/>
      <c r="K175" s="43">
        <v>15920.0</v>
      </c>
      <c r="L175" s="44">
        <v>20000.0</v>
      </c>
      <c r="M175" s="25"/>
      <c r="N175" s="69"/>
      <c r="O175" s="27">
        <f t="shared" si="22"/>
        <v>0.256281407</v>
      </c>
      <c r="P175" s="28">
        <f t="shared" si="23"/>
        <v>0</v>
      </c>
    </row>
    <row r="176" hidden="1">
      <c r="A176" s="16" t="s">
        <v>312</v>
      </c>
      <c r="B176" s="17"/>
      <c r="C176" s="103"/>
      <c r="D176" s="4"/>
      <c r="E176" s="19">
        <v>0.0</v>
      </c>
      <c r="F176" s="19">
        <v>0.0</v>
      </c>
      <c r="G176" s="16" t="s">
        <v>84</v>
      </c>
      <c r="H176" s="21"/>
      <c r="I176" s="22">
        <v>0.0</v>
      </c>
      <c r="J176" s="29"/>
      <c r="K176" s="43">
        <f>16*800</f>
        <v>12800</v>
      </c>
      <c r="L176" s="44">
        <v>20000.0</v>
      </c>
      <c r="M176" s="25"/>
      <c r="N176" s="69"/>
      <c r="O176" s="27">
        <f t="shared" si="22"/>
        <v>0.5625</v>
      </c>
      <c r="P176" s="28">
        <f t="shared" si="23"/>
        <v>0</v>
      </c>
    </row>
    <row r="177" hidden="1">
      <c r="A177" s="16" t="s">
        <v>313</v>
      </c>
      <c r="B177" s="17"/>
      <c r="C177" s="103"/>
      <c r="D177" s="4"/>
      <c r="E177" s="19">
        <v>0.0</v>
      </c>
      <c r="F177" s="19">
        <v>0.0</v>
      </c>
      <c r="G177" s="16" t="s">
        <v>311</v>
      </c>
      <c r="H177" s="21"/>
      <c r="I177" s="22">
        <v>0.0</v>
      </c>
      <c r="J177" s="29"/>
      <c r="K177" s="43">
        <v>15920.0</v>
      </c>
      <c r="L177" s="44">
        <v>20000.0</v>
      </c>
      <c r="M177" s="25"/>
      <c r="N177" s="69"/>
      <c r="O177" s="27">
        <f t="shared" si="22"/>
        <v>0.256281407</v>
      </c>
      <c r="P177" s="28">
        <f t="shared" si="23"/>
        <v>0</v>
      </c>
    </row>
    <row r="178" hidden="1">
      <c r="A178" s="16" t="s">
        <v>314</v>
      </c>
      <c r="B178" s="17"/>
      <c r="C178" s="103"/>
      <c r="D178" s="4"/>
      <c r="E178" s="19">
        <v>0.0</v>
      </c>
      <c r="F178" s="19">
        <v>0.0</v>
      </c>
      <c r="G178" s="16" t="s">
        <v>84</v>
      </c>
      <c r="H178" s="21"/>
      <c r="I178" s="22">
        <v>4.0</v>
      </c>
      <c r="J178" s="29"/>
      <c r="K178" s="43">
        <f t="shared" ref="K178:K180" si="25">16*800</f>
        <v>12800</v>
      </c>
      <c r="L178" s="44">
        <v>20000.0</v>
      </c>
      <c r="M178" s="25"/>
      <c r="N178" s="69"/>
      <c r="O178" s="27">
        <f t="shared" si="22"/>
        <v>0.5625</v>
      </c>
      <c r="P178" s="28">
        <f t="shared" si="23"/>
        <v>0</v>
      </c>
    </row>
    <row r="179" hidden="1">
      <c r="A179" s="16" t="s">
        <v>315</v>
      </c>
      <c r="B179" s="17"/>
      <c r="C179" s="103"/>
      <c r="D179" s="4"/>
      <c r="E179" s="19">
        <v>0.0</v>
      </c>
      <c r="F179" s="19">
        <v>0.0</v>
      </c>
      <c r="G179" s="16" t="s">
        <v>84</v>
      </c>
      <c r="H179" s="21"/>
      <c r="I179" s="22">
        <v>0.0</v>
      </c>
      <c r="J179" s="29"/>
      <c r="K179" s="43">
        <f t="shared" si="25"/>
        <v>12800</v>
      </c>
      <c r="L179" s="44">
        <v>18000.0</v>
      </c>
      <c r="M179" s="25"/>
      <c r="N179" s="50"/>
      <c r="O179" s="27">
        <f t="shared" si="22"/>
        <v>0.40625</v>
      </c>
      <c r="P179" s="28">
        <f t="shared" si="23"/>
        <v>0</v>
      </c>
    </row>
    <row r="180" hidden="1">
      <c r="A180" s="16" t="s">
        <v>316</v>
      </c>
      <c r="B180" s="17"/>
      <c r="C180" s="103"/>
      <c r="D180" s="4"/>
      <c r="E180" s="19">
        <v>0.0</v>
      </c>
      <c r="F180" s="19">
        <v>0.0</v>
      </c>
      <c r="G180" s="16" t="s">
        <v>84</v>
      </c>
      <c r="H180" s="21"/>
      <c r="I180" s="22">
        <v>1.0</v>
      </c>
      <c r="J180" s="29"/>
      <c r="K180" s="43">
        <f t="shared" si="25"/>
        <v>12800</v>
      </c>
      <c r="L180" s="44">
        <v>18000.0</v>
      </c>
      <c r="M180" s="25"/>
      <c r="N180" s="50"/>
      <c r="O180" s="27">
        <f t="shared" si="22"/>
        <v>0.40625</v>
      </c>
      <c r="P180" s="28">
        <f t="shared" si="23"/>
        <v>0</v>
      </c>
    </row>
    <row r="181" hidden="1">
      <c r="A181" s="16" t="s">
        <v>317</v>
      </c>
      <c r="B181" s="36"/>
      <c r="C181" s="103"/>
      <c r="D181" s="4"/>
      <c r="E181" s="19">
        <v>0.0</v>
      </c>
      <c r="F181" s="19">
        <v>0.0</v>
      </c>
      <c r="G181" s="16" t="s">
        <v>318</v>
      </c>
      <c r="H181" s="21"/>
      <c r="I181" s="22">
        <v>1.0</v>
      </c>
      <c r="J181" s="29"/>
      <c r="K181" s="43">
        <f t="shared" ref="K181:K184" si="26">9600/10</f>
        <v>960</v>
      </c>
      <c r="L181" s="44">
        <v>2500.0</v>
      </c>
      <c r="M181" s="25"/>
      <c r="N181" s="69"/>
      <c r="O181" s="27">
        <f t="shared" si="22"/>
        <v>1.604166667</v>
      </c>
      <c r="P181" s="28">
        <f t="shared" si="23"/>
        <v>0</v>
      </c>
    </row>
    <row r="182" hidden="1">
      <c r="A182" s="16" t="s">
        <v>319</v>
      </c>
      <c r="B182" s="36"/>
      <c r="C182" s="103"/>
      <c r="D182" s="4"/>
      <c r="E182" s="19">
        <v>0.0</v>
      </c>
      <c r="F182" s="19">
        <v>0.0</v>
      </c>
      <c r="G182" s="16" t="s">
        <v>318</v>
      </c>
      <c r="H182" s="21"/>
      <c r="I182" s="22">
        <v>1.0</v>
      </c>
      <c r="J182" s="29"/>
      <c r="K182" s="43">
        <f t="shared" si="26"/>
        <v>960</v>
      </c>
      <c r="L182" s="44">
        <v>2500.0</v>
      </c>
      <c r="M182" s="25"/>
      <c r="N182" s="69"/>
      <c r="O182" s="27">
        <f t="shared" si="22"/>
        <v>1.604166667</v>
      </c>
      <c r="P182" s="28">
        <f t="shared" si="23"/>
        <v>0</v>
      </c>
    </row>
    <row r="183" hidden="1">
      <c r="A183" s="16" t="s">
        <v>320</v>
      </c>
      <c r="B183" s="36"/>
      <c r="C183" s="103"/>
      <c r="D183" s="4"/>
      <c r="E183" s="19">
        <v>0.0</v>
      </c>
      <c r="F183" s="19">
        <v>0.0</v>
      </c>
      <c r="G183" s="16" t="s">
        <v>318</v>
      </c>
      <c r="H183" s="21"/>
      <c r="I183" s="22">
        <v>1.0</v>
      </c>
      <c r="J183" s="29"/>
      <c r="K183" s="43">
        <f t="shared" si="26"/>
        <v>960</v>
      </c>
      <c r="L183" s="44">
        <v>2500.0</v>
      </c>
      <c r="M183" s="25"/>
      <c r="N183" s="69"/>
      <c r="O183" s="27">
        <f t="shared" si="22"/>
        <v>1.604166667</v>
      </c>
      <c r="P183" s="28">
        <f t="shared" si="23"/>
        <v>0</v>
      </c>
    </row>
    <row r="184" hidden="1">
      <c r="A184" s="16" t="s">
        <v>321</v>
      </c>
      <c r="B184" s="36"/>
      <c r="C184" s="103"/>
      <c r="D184" s="4"/>
      <c r="E184" s="19">
        <v>0.0</v>
      </c>
      <c r="F184" s="19">
        <v>0.0</v>
      </c>
      <c r="G184" s="16" t="s">
        <v>318</v>
      </c>
      <c r="H184" s="21"/>
      <c r="I184" s="22">
        <v>2.0</v>
      </c>
      <c r="J184" s="29"/>
      <c r="K184" s="43">
        <f t="shared" si="26"/>
        <v>960</v>
      </c>
      <c r="L184" s="44">
        <v>2500.0</v>
      </c>
      <c r="M184" s="25"/>
      <c r="N184" s="69"/>
      <c r="O184" s="27">
        <f t="shared" si="22"/>
        <v>1.604166667</v>
      </c>
      <c r="P184" s="28">
        <f t="shared" si="23"/>
        <v>0</v>
      </c>
    </row>
    <row r="185" hidden="1">
      <c r="A185" s="16" t="s">
        <v>322</v>
      </c>
      <c r="B185" s="17"/>
      <c r="C185" s="103"/>
      <c r="D185" s="4"/>
      <c r="E185" s="19">
        <v>0.0</v>
      </c>
      <c r="F185" s="19">
        <v>0.0</v>
      </c>
      <c r="G185" s="16" t="s">
        <v>318</v>
      </c>
      <c r="H185" s="111"/>
      <c r="I185" s="22" t="s">
        <v>99</v>
      </c>
      <c r="J185" s="112"/>
      <c r="K185" s="113">
        <f>9800/10</f>
        <v>980</v>
      </c>
      <c r="L185" s="44">
        <v>3000.0</v>
      </c>
      <c r="M185" s="25"/>
      <c r="N185" s="26"/>
      <c r="O185" s="27">
        <f t="shared" si="22"/>
        <v>2.06122449</v>
      </c>
      <c r="P185" s="28">
        <f t="shared" si="23"/>
        <v>0</v>
      </c>
    </row>
    <row r="186" hidden="1">
      <c r="A186" s="16" t="s">
        <v>323</v>
      </c>
      <c r="B186" s="17"/>
      <c r="C186" s="109"/>
      <c r="D186" s="4"/>
      <c r="E186" s="19">
        <v>0.0</v>
      </c>
      <c r="F186" s="19"/>
      <c r="G186" s="56" t="s">
        <v>324</v>
      </c>
      <c r="H186" s="21"/>
      <c r="I186" s="22"/>
      <c r="J186" s="29"/>
      <c r="K186" s="43">
        <v>20800.0</v>
      </c>
      <c r="L186" s="44">
        <v>26000.0</v>
      </c>
      <c r="M186" s="25"/>
      <c r="N186" s="26"/>
      <c r="O186" s="27">
        <f t="shared" si="22"/>
        <v>0.25</v>
      </c>
      <c r="P186" s="28">
        <f t="shared" si="23"/>
        <v>0</v>
      </c>
    </row>
    <row r="187" hidden="1">
      <c r="A187" s="16" t="s">
        <v>325</v>
      </c>
      <c r="B187" s="17"/>
      <c r="C187" s="103"/>
      <c r="D187" s="4"/>
      <c r="E187" s="19">
        <v>0.0</v>
      </c>
      <c r="F187" s="19">
        <v>0.0</v>
      </c>
      <c r="G187" s="16" t="s">
        <v>84</v>
      </c>
      <c r="H187" s="21"/>
      <c r="I187" s="22">
        <v>1.0</v>
      </c>
      <c r="J187" s="29"/>
      <c r="K187" s="43">
        <v>18000.0</v>
      </c>
      <c r="L187" s="44">
        <v>25000.0</v>
      </c>
      <c r="M187" s="25"/>
      <c r="N187" s="69"/>
      <c r="O187" s="27">
        <f t="shared" si="22"/>
        <v>0.3888888889</v>
      </c>
      <c r="P187" s="28">
        <f t="shared" si="23"/>
        <v>0</v>
      </c>
    </row>
    <row r="188" hidden="1">
      <c r="A188" s="42" t="s">
        <v>326</v>
      </c>
      <c r="B188" s="71"/>
      <c r="C188" s="18"/>
      <c r="D188" s="4"/>
      <c r="E188" s="19">
        <v>0.0</v>
      </c>
      <c r="F188" s="19"/>
      <c r="G188" s="20" t="s">
        <v>291</v>
      </c>
      <c r="H188" s="21"/>
      <c r="I188" s="22"/>
      <c r="J188" s="29"/>
      <c r="K188" s="32">
        <v>1900.0</v>
      </c>
      <c r="L188" s="24">
        <v>3000.0</v>
      </c>
      <c r="M188" s="25"/>
      <c r="N188" s="50"/>
      <c r="O188" s="27">
        <f t="shared" si="22"/>
        <v>0.5789473684</v>
      </c>
      <c r="P188" s="28">
        <f t="shared" si="23"/>
        <v>0</v>
      </c>
    </row>
    <row r="189" hidden="1">
      <c r="A189" s="42" t="s">
        <v>327</v>
      </c>
      <c r="B189" s="114" t="s">
        <v>328</v>
      </c>
      <c r="C189" s="18"/>
      <c r="D189" s="4"/>
      <c r="E189" s="19">
        <v>0.0</v>
      </c>
      <c r="F189" s="19"/>
      <c r="G189" s="20" t="s">
        <v>291</v>
      </c>
      <c r="H189" s="21"/>
      <c r="I189" s="22"/>
      <c r="J189" s="29"/>
      <c r="K189" s="43">
        <v>3100.0</v>
      </c>
      <c r="L189" s="44">
        <v>5000.0</v>
      </c>
      <c r="M189" s="25"/>
      <c r="N189" s="50"/>
      <c r="O189" s="27">
        <f t="shared" si="22"/>
        <v>0.6129032258</v>
      </c>
      <c r="P189" s="28">
        <f t="shared" si="23"/>
        <v>0</v>
      </c>
    </row>
    <row r="190" hidden="1">
      <c r="A190" s="42" t="s">
        <v>329</v>
      </c>
      <c r="B190" s="36"/>
      <c r="C190" s="18"/>
      <c r="D190" s="4"/>
      <c r="E190" s="19">
        <v>0.0</v>
      </c>
      <c r="F190" s="19"/>
      <c r="G190" s="20" t="s">
        <v>291</v>
      </c>
      <c r="H190" s="21"/>
      <c r="I190" s="22"/>
      <c r="J190" s="29"/>
      <c r="K190" s="43">
        <v>27500.0</v>
      </c>
      <c r="L190" s="44">
        <v>48000.0</v>
      </c>
      <c r="M190" s="25"/>
      <c r="N190" s="50"/>
      <c r="O190" s="27">
        <f t="shared" si="22"/>
        <v>0.7454545455</v>
      </c>
      <c r="P190" s="28">
        <f t="shared" si="23"/>
        <v>0</v>
      </c>
    </row>
    <row r="191" hidden="1">
      <c r="A191" s="16" t="s">
        <v>330</v>
      </c>
      <c r="B191" s="49"/>
      <c r="C191" s="103"/>
      <c r="D191" s="4"/>
      <c r="E191" s="19">
        <v>0.0</v>
      </c>
      <c r="F191" s="19">
        <v>0.0</v>
      </c>
      <c r="G191" s="16" t="s">
        <v>331</v>
      </c>
      <c r="H191" s="21"/>
      <c r="I191" s="22">
        <f t="shared" ref="I191:I192" si="27">12+28</f>
        <v>40</v>
      </c>
      <c r="J191" s="29"/>
      <c r="K191" s="48">
        <v>5350.0</v>
      </c>
      <c r="L191" s="55">
        <v>8500.0</v>
      </c>
      <c r="M191" s="25"/>
      <c r="N191" s="70">
        <v>7500.0</v>
      </c>
      <c r="O191" s="27">
        <f t="shared" si="22"/>
        <v>0.5887850467</v>
      </c>
      <c r="P191" s="28">
        <f t="shared" si="23"/>
        <v>0</v>
      </c>
    </row>
    <row r="192" hidden="1">
      <c r="A192" s="40" t="s">
        <v>332</v>
      </c>
      <c r="B192" s="49"/>
      <c r="C192" s="103"/>
      <c r="D192" s="4"/>
      <c r="E192" s="19">
        <v>0.0</v>
      </c>
      <c r="F192" s="19">
        <v>0.0</v>
      </c>
      <c r="G192" s="16" t="s">
        <v>331</v>
      </c>
      <c r="H192" s="21"/>
      <c r="I192" s="22">
        <f t="shared" si="27"/>
        <v>40</v>
      </c>
      <c r="J192" s="29"/>
      <c r="K192" s="48">
        <v>3050.0</v>
      </c>
      <c r="L192" s="55">
        <v>5000.0</v>
      </c>
      <c r="M192" s="25"/>
      <c r="N192" s="70">
        <v>4500.0</v>
      </c>
      <c r="O192" s="27">
        <f t="shared" si="22"/>
        <v>0.6393442623</v>
      </c>
      <c r="P192" s="28">
        <f t="shared" si="23"/>
        <v>0</v>
      </c>
    </row>
    <row r="193" hidden="1">
      <c r="A193" s="16" t="s">
        <v>333</v>
      </c>
      <c r="B193" s="49"/>
      <c r="C193" s="103"/>
      <c r="D193" s="4"/>
      <c r="E193" s="19">
        <v>0.0</v>
      </c>
      <c r="F193" s="19">
        <v>0.0</v>
      </c>
      <c r="G193" s="20" t="s">
        <v>254</v>
      </c>
      <c r="H193" s="21"/>
      <c r="I193" s="22">
        <v>72.0</v>
      </c>
      <c r="J193" s="47">
        <v>46174.0</v>
      </c>
      <c r="K193" s="43">
        <f>19203*1.19</f>
        <v>22851.57</v>
      </c>
      <c r="L193" s="44">
        <v>32000.0</v>
      </c>
      <c r="M193" s="25"/>
      <c r="N193" s="26">
        <v>28000.0</v>
      </c>
      <c r="O193" s="27">
        <f t="shared" si="22"/>
        <v>0.4003414207</v>
      </c>
      <c r="P193" s="28">
        <f t="shared" si="23"/>
        <v>0</v>
      </c>
    </row>
    <row r="194" hidden="1">
      <c r="A194" s="16" t="s">
        <v>334</v>
      </c>
      <c r="B194" s="115" t="s">
        <v>335</v>
      </c>
      <c r="C194" s="103" t="s">
        <v>336</v>
      </c>
      <c r="D194" s="4"/>
      <c r="E194" s="19"/>
      <c r="F194" s="19"/>
      <c r="G194" s="20" t="s">
        <v>337</v>
      </c>
      <c r="H194" s="21"/>
      <c r="I194" s="22"/>
      <c r="J194" s="22" t="s">
        <v>338</v>
      </c>
      <c r="K194" s="48">
        <v>52000.0</v>
      </c>
      <c r="L194" s="55">
        <v>62000.0</v>
      </c>
      <c r="M194" s="25"/>
      <c r="N194" s="70"/>
      <c r="O194" s="27">
        <f t="shared" si="22"/>
        <v>0.1923076923</v>
      </c>
      <c r="P194" s="28">
        <f t="shared" si="23"/>
        <v>0</v>
      </c>
    </row>
    <row r="195" hidden="1">
      <c r="A195" s="16" t="s">
        <v>339</v>
      </c>
      <c r="B195" s="17"/>
      <c r="C195" s="103" t="s">
        <v>340</v>
      </c>
      <c r="D195" s="4"/>
      <c r="E195" s="19">
        <v>0.0</v>
      </c>
      <c r="F195" s="19">
        <v>0.0</v>
      </c>
      <c r="G195" s="20" t="s">
        <v>341</v>
      </c>
      <c r="H195" s="21"/>
      <c r="I195" s="22">
        <v>0.0</v>
      </c>
      <c r="J195" s="29"/>
      <c r="K195" s="43">
        <f>1639*1.19</f>
        <v>1950.41</v>
      </c>
      <c r="L195" s="44">
        <v>3000.0</v>
      </c>
      <c r="M195" s="25"/>
      <c r="N195" s="69"/>
      <c r="O195" s="27">
        <f t="shared" si="22"/>
        <v>0.5381381351</v>
      </c>
      <c r="P195" s="28">
        <f t="shared" si="23"/>
        <v>0</v>
      </c>
    </row>
    <row r="196" hidden="1">
      <c r="A196" s="16" t="s">
        <v>342</v>
      </c>
      <c r="B196" s="17"/>
      <c r="C196" s="103"/>
      <c r="D196" s="4"/>
      <c r="E196" s="19">
        <v>0.0</v>
      </c>
      <c r="F196" s="19">
        <v>0.0</v>
      </c>
      <c r="G196" s="20" t="s">
        <v>343</v>
      </c>
      <c r="H196" s="21"/>
      <c r="I196" s="22">
        <v>0.0</v>
      </c>
      <c r="J196" s="29"/>
      <c r="K196" s="43">
        <v>10500.0</v>
      </c>
      <c r="L196" s="44">
        <v>15000.0</v>
      </c>
      <c r="M196" s="25"/>
      <c r="N196" s="69"/>
      <c r="O196" s="27">
        <f t="shared" si="22"/>
        <v>0.4285714286</v>
      </c>
      <c r="P196" s="28">
        <f t="shared" si="23"/>
        <v>0</v>
      </c>
    </row>
    <row r="197" ht="17.25" hidden="1" customHeight="1">
      <c r="A197" s="16" t="s">
        <v>344</v>
      </c>
      <c r="B197" s="17"/>
      <c r="C197" s="103"/>
      <c r="D197" s="4"/>
      <c r="E197" s="19">
        <v>0.0</v>
      </c>
      <c r="F197" s="19"/>
      <c r="G197" s="20" t="s">
        <v>345</v>
      </c>
      <c r="H197" s="21"/>
      <c r="I197" s="22"/>
      <c r="J197" s="29"/>
      <c r="K197" s="43">
        <v>1000.0</v>
      </c>
      <c r="L197" s="44">
        <v>2000.0</v>
      </c>
      <c r="M197" s="25"/>
      <c r="N197" s="69"/>
      <c r="O197" s="27">
        <f t="shared" si="22"/>
        <v>1</v>
      </c>
      <c r="P197" s="28">
        <f t="shared" si="23"/>
        <v>0</v>
      </c>
    </row>
    <row r="198" hidden="1">
      <c r="A198" s="16" t="s">
        <v>346</v>
      </c>
      <c r="B198" s="17"/>
      <c r="C198" s="103"/>
      <c r="D198" s="4"/>
      <c r="E198" s="19">
        <v>0.0</v>
      </c>
      <c r="F198" s="19"/>
      <c r="G198" s="20" t="s">
        <v>345</v>
      </c>
      <c r="H198" s="21"/>
      <c r="I198" s="22"/>
      <c r="J198" s="29"/>
      <c r="K198" s="43">
        <v>13000.0</v>
      </c>
      <c r="L198" s="44">
        <v>20000.0</v>
      </c>
      <c r="M198" s="25"/>
      <c r="N198" s="69"/>
      <c r="O198" s="27">
        <f t="shared" si="22"/>
        <v>0.5384615385</v>
      </c>
      <c r="P198" s="28">
        <f t="shared" si="23"/>
        <v>0</v>
      </c>
    </row>
    <row r="199" hidden="1">
      <c r="A199" s="16" t="s">
        <v>347</v>
      </c>
      <c r="B199" s="49"/>
      <c r="C199" s="103" t="s">
        <v>336</v>
      </c>
      <c r="D199" s="4"/>
      <c r="E199" s="19"/>
      <c r="F199" s="19"/>
      <c r="G199" s="40" t="s">
        <v>98</v>
      </c>
      <c r="H199" s="21">
        <v>0.0</v>
      </c>
      <c r="I199" s="22"/>
      <c r="J199" s="47">
        <v>46054.0</v>
      </c>
      <c r="K199" s="24">
        <f>22500*1.19</f>
        <v>26775</v>
      </c>
      <c r="L199" s="24">
        <v>34000.0</v>
      </c>
      <c r="M199" s="25"/>
      <c r="N199" s="26">
        <v>31000.0</v>
      </c>
      <c r="O199" s="27">
        <f t="shared" si="22"/>
        <v>0.2698412698</v>
      </c>
      <c r="P199" s="28">
        <f t="shared" si="23"/>
        <v>0</v>
      </c>
    </row>
    <row r="200" hidden="1">
      <c r="A200" s="16" t="s">
        <v>348</v>
      </c>
      <c r="B200" s="49"/>
      <c r="C200" s="103"/>
      <c r="D200" s="4"/>
      <c r="E200" s="19"/>
      <c r="F200" s="19"/>
      <c r="G200" s="40" t="s">
        <v>98</v>
      </c>
      <c r="H200" s="21">
        <v>0.0</v>
      </c>
      <c r="I200" s="22"/>
      <c r="J200" s="29"/>
      <c r="K200" s="43">
        <f>1500*1.19</f>
        <v>1785</v>
      </c>
      <c r="L200" s="44">
        <v>3500.0</v>
      </c>
      <c r="M200" s="25"/>
      <c r="N200" s="26"/>
      <c r="O200" s="27">
        <f t="shared" si="22"/>
        <v>0.9607843137</v>
      </c>
      <c r="P200" s="28">
        <f t="shared" si="23"/>
        <v>0</v>
      </c>
    </row>
    <row r="201" hidden="1">
      <c r="A201" s="40" t="s">
        <v>349</v>
      </c>
      <c r="B201" s="17"/>
      <c r="C201" s="103"/>
      <c r="D201" s="4"/>
      <c r="E201" s="19">
        <v>0.0</v>
      </c>
      <c r="F201" s="19"/>
      <c r="G201" s="20" t="s">
        <v>350</v>
      </c>
      <c r="H201" s="21"/>
      <c r="I201" s="22"/>
      <c r="J201" s="29"/>
      <c r="K201" s="43">
        <v>1950.0</v>
      </c>
      <c r="L201" s="44">
        <v>3000.0</v>
      </c>
      <c r="M201" s="25"/>
      <c r="N201" s="69"/>
      <c r="O201" s="27">
        <f t="shared" si="22"/>
        <v>0.5384615385</v>
      </c>
      <c r="P201" s="28">
        <f t="shared" si="23"/>
        <v>0</v>
      </c>
    </row>
    <row r="202" hidden="1">
      <c r="A202" s="40" t="s">
        <v>351</v>
      </c>
      <c r="B202" s="17"/>
      <c r="C202" s="103" t="s">
        <v>336</v>
      </c>
      <c r="D202" s="4"/>
      <c r="E202" s="19"/>
      <c r="F202" s="19"/>
      <c r="G202" s="20" t="s">
        <v>352</v>
      </c>
      <c r="H202" s="21"/>
      <c r="I202" s="22"/>
      <c r="J202" s="22" t="s">
        <v>353</v>
      </c>
      <c r="K202" s="43">
        <f>36135*1.19</f>
        <v>43000.65</v>
      </c>
      <c r="L202" s="44">
        <v>58000.0</v>
      </c>
      <c r="M202" s="25"/>
      <c r="N202" s="70"/>
      <c r="O202" s="27">
        <f t="shared" si="22"/>
        <v>0.3488168202</v>
      </c>
      <c r="P202" s="28">
        <f t="shared" si="23"/>
        <v>0</v>
      </c>
    </row>
    <row r="203" hidden="1">
      <c r="A203" s="16" t="s">
        <v>354</v>
      </c>
      <c r="B203" s="17"/>
      <c r="C203" s="103"/>
      <c r="D203" s="4"/>
      <c r="E203" s="19">
        <v>0.0</v>
      </c>
      <c r="F203" s="19">
        <v>0.0</v>
      </c>
      <c r="G203" s="16" t="s">
        <v>355</v>
      </c>
      <c r="H203" s="21"/>
      <c r="I203" s="22">
        <v>0.0</v>
      </c>
      <c r="J203" s="29"/>
      <c r="K203" s="43">
        <v>2000.0</v>
      </c>
      <c r="L203" s="44">
        <v>4000.0</v>
      </c>
      <c r="M203" s="25"/>
      <c r="N203" s="69"/>
      <c r="O203" s="27">
        <f t="shared" si="22"/>
        <v>1</v>
      </c>
      <c r="P203" s="28">
        <f t="shared" si="23"/>
        <v>0</v>
      </c>
    </row>
    <row r="204" hidden="1">
      <c r="A204" s="16" t="s">
        <v>356</v>
      </c>
      <c r="B204" s="17" t="s">
        <v>357</v>
      </c>
      <c r="C204" s="103" t="s">
        <v>336</v>
      </c>
      <c r="D204" s="4"/>
      <c r="E204" s="19"/>
      <c r="F204" s="19"/>
      <c r="G204" s="20" t="s">
        <v>358</v>
      </c>
      <c r="H204" s="21"/>
      <c r="I204" s="22"/>
      <c r="J204" s="47">
        <v>47209.0</v>
      </c>
      <c r="K204" s="48">
        <v>34800.0</v>
      </c>
      <c r="L204" s="55">
        <v>42000.0</v>
      </c>
      <c r="M204" s="25"/>
      <c r="N204" s="70"/>
      <c r="O204" s="27">
        <f t="shared" si="22"/>
        <v>0.2068965517</v>
      </c>
      <c r="P204" s="28">
        <f t="shared" si="23"/>
        <v>0</v>
      </c>
    </row>
    <row r="205" hidden="1">
      <c r="A205" s="56" t="s">
        <v>359</v>
      </c>
      <c r="B205" s="49" t="s">
        <v>360</v>
      </c>
      <c r="C205" s="18"/>
      <c r="D205" s="4"/>
      <c r="E205" s="19"/>
      <c r="F205" s="19"/>
      <c r="G205" s="16" t="s">
        <v>98</v>
      </c>
      <c r="H205" s="21">
        <v>0.0</v>
      </c>
      <c r="I205" s="22">
        <v>20.0</v>
      </c>
      <c r="J205" s="47">
        <v>47331.0</v>
      </c>
      <c r="K205" s="48">
        <v>23000.0</v>
      </c>
      <c r="L205" s="48">
        <v>34000.0</v>
      </c>
      <c r="M205" s="25" t="s">
        <v>76</v>
      </c>
      <c r="N205" s="26">
        <v>28000.0</v>
      </c>
      <c r="O205" s="27">
        <f t="shared" si="22"/>
        <v>0.4782608696</v>
      </c>
      <c r="P205" s="28">
        <f t="shared" si="23"/>
        <v>0</v>
      </c>
    </row>
    <row r="206" hidden="1">
      <c r="A206" s="16" t="s">
        <v>361</v>
      </c>
      <c r="B206" s="49"/>
      <c r="C206" s="18"/>
      <c r="D206" s="4"/>
      <c r="E206" s="19"/>
      <c r="F206" s="19"/>
      <c r="G206" s="16" t="s">
        <v>200</v>
      </c>
      <c r="H206" s="21">
        <v>0.0</v>
      </c>
      <c r="I206" s="22">
        <v>26.0</v>
      </c>
      <c r="J206" s="47">
        <v>47239.0</v>
      </c>
      <c r="K206" s="48">
        <v>25850.0</v>
      </c>
      <c r="L206" s="55">
        <v>34000.0</v>
      </c>
      <c r="M206" s="25" t="s">
        <v>82</v>
      </c>
      <c r="N206" s="26">
        <v>28000.0</v>
      </c>
      <c r="O206" s="27">
        <f t="shared" si="22"/>
        <v>0.3152804642</v>
      </c>
      <c r="P206" s="28">
        <f t="shared" si="23"/>
        <v>0</v>
      </c>
    </row>
    <row r="207" hidden="1">
      <c r="A207" s="16" t="s">
        <v>362</v>
      </c>
      <c r="B207" s="51" t="s">
        <v>363</v>
      </c>
      <c r="C207" s="92" t="s">
        <v>279</v>
      </c>
      <c r="D207" s="61"/>
      <c r="E207" s="19"/>
      <c r="F207" s="62"/>
      <c r="G207" s="16" t="s">
        <v>91</v>
      </c>
      <c r="H207" s="21"/>
      <c r="I207" s="22">
        <v>25.0</v>
      </c>
      <c r="J207" s="47">
        <v>46023.0</v>
      </c>
      <c r="K207" s="60">
        <v>318000.0</v>
      </c>
      <c r="L207" s="55">
        <v>380000.0</v>
      </c>
      <c r="M207" s="25" t="s">
        <v>82</v>
      </c>
      <c r="N207" s="26"/>
      <c r="O207" s="27">
        <f t="shared" si="22"/>
        <v>0.1949685535</v>
      </c>
      <c r="P207" s="28">
        <f t="shared" si="23"/>
        <v>0</v>
      </c>
    </row>
    <row r="208" hidden="1">
      <c r="A208" s="16" t="s">
        <v>364</v>
      </c>
      <c r="B208" s="17"/>
      <c r="C208" s="38"/>
      <c r="D208" s="61"/>
      <c r="E208" s="19"/>
      <c r="F208" s="62"/>
      <c r="G208" s="16" t="s">
        <v>91</v>
      </c>
      <c r="H208" s="21"/>
      <c r="I208" s="22">
        <v>0.0</v>
      </c>
      <c r="J208" s="29"/>
      <c r="K208" s="32">
        <f>906000/100</f>
        <v>9060</v>
      </c>
      <c r="L208" s="24">
        <v>15000.0</v>
      </c>
      <c r="M208" s="25"/>
      <c r="N208" s="26"/>
      <c r="O208" s="27">
        <f t="shared" si="22"/>
        <v>0.6556291391</v>
      </c>
      <c r="P208" s="28">
        <f t="shared" si="23"/>
        <v>0</v>
      </c>
    </row>
    <row r="209" hidden="1">
      <c r="A209" s="16" t="s">
        <v>365</v>
      </c>
      <c r="B209" s="36" t="s">
        <v>366</v>
      </c>
      <c r="C209" s="18"/>
      <c r="D209" s="4"/>
      <c r="E209" s="19">
        <v>0.0</v>
      </c>
      <c r="F209" s="19">
        <v>0.0</v>
      </c>
      <c r="G209" s="16" t="s">
        <v>70</v>
      </c>
      <c r="H209" s="21"/>
      <c r="I209" s="22"/>
      <c r="J209" s="29"/>
      <c r="K209" s="48">
        <f t="shared" ref="K209:K210" si="28">100000</f>
        <v>100000</v>
      </c>
      <c r="L209" s="55">
        <v>140000.0</v>
      </c>
      <c r="M209" s="25" t="s">
        <v>76</v>
      </c>
      <c r="N209" s="26">
        <v>140000.0</v>
      </c>
      <c r="O209" s="27">
        <f t="shared" si="22"/>
        <v>0.4</v>
      </c>
      <c r="P209" s="28">
        <f t="shared" si="23"/>
        <v>0</v>
      </c>
    </row>
    <row r="210" hidden="1">
      <c r="A210" s="16" t="s">
        <v>367</v>
      </c>
      <c r="B210" s="36" t="s">
        <v>368</v>
      </c>
      <c r="C210" s="92"/>
      <c r="D210" s="4"/>
      <c r="E210" s="19">
        <v>0.0</v>
      </c>
      <c r="F210" s="19">
        <v>0.0</v>
      </c>
      <c r="G210" s="16" t="s">
        <v>70</v>
      </c>
      <c r="H210" s="21"/>
      <c r="I210" s="22"/>
      <c r="J210" s="29"/>
      <c r="K210" s="48">
        <f t="shared" si="28"/>
        <v>100000</v>
      </c>
      <c r="L210" s="55">
        <v>140000.0</v>
      </c>
      <c r="M210" s="25" t="s">
        <v>76</v>
      </c>
      <c r="N210" s="26">
        <v>140000.0</v>
      </c>
      <c r="O210" s="27">
        <f t="shared" si="22"/>
        <v>0.4</v>
      </c>
      <c r="P210" s="28">
        <f t="shared" si="23"/>
        <v>0</v>
      </c>
    </row>
    <row r="211" hidden="1">
      <c r="A211" s="16" t="s">
        <v>369</v>
      </c>
      <c r="B211" s="36"/>
      <c r="C211" s="18"/>
      <c r="D211" s="4" t="s">
        <v>154</v>
      </c>
      <c r="E211" s="19">
        <v>0.0</v>
      </c>
      <c r="F211" s="19">
        <v>0.0</v>
      </c>
      <c r="G211" s="16" t="s">
        <v>70</v>
      </c>
      <c r="H211" s="21"/>
      <c r="I211" s="22"/>
      <c r="J211" s="29"/>
      <c r="K211" s="43">
        <f t="shared" ref="K211:K212" si="29">200000*0.8</f>
        <v>160000</v>
      </c>
      <c r="L211" s="43">
        <v>230000.0</v>
      </c>
      <c r="M211" s="25"/>
      <c r="N211" s="26"/>
      <c r="O211" s="27">
        <f t="shared" si="22"/>
        <v>0.4375</v>
      </c>
      <c r="P211" s="28">
        <f t="shared" si="23"/>
        <v>0</v>
      </c>
    </row>
    <row r="212" hidden="1">
      <c r="A212" s="16" t="s">
        <v>370</v>
      </c>
      <c r="B212" s="36"/>
      <c r="C212" s="18"/>
      <c r="D212" s="4" t="s">
        <v>154</v>
      </c>
      <c r="E212" s="19">
        <v>0.0</v>
      </c>
      <c r="F212" s="19">
        <v>0.0</v>
      </c>
      <c r="G212" s="16" t="s">
        <v>70</v>
      </c>
      <c r="H212" s="21"/>
      <c r="I212" s="22"/>
      <c r="J212" s="29"/>
      <c r="K212" s="43">
        <f t="shared" si="29"/>
        <v>160000</v>
      </c>
      <c r="L212" s="43">
        <v>230000.0</v>
      </c>
      <c r="M212" s="25"/>
      <c r="N212" s="26"/>
      <c r="O212" s="27">
        <f t="shared" si="22"/>
        <v>0.4375</v>
      </c>
      <c r="P212" s="28">
        <f t="shared" si="23"/>
        <v>0</v>
      </c>
    </row>
    <row r="213" hidden="1">
      <c r="A213" s="16" t="s">
        <v>371</v>
      </c>
      <c r="B213" s="36"/>
      <c r="C213" s="103"/>
      <c r="D213" s="4"/>
      <c r="E213" s="19">
        <v>0.0</v>
      </c>
      <c r="F213" s="19">
        <v>0.0</v>
      </c>
      <c r="G213" s="56" t="s">
        <v>372</v>
      </c>
      <c r="H213" s="21"/>
      <c r="I213" s="22"/>
      <c r="J213" s="29" t="s">
        <v>373</v>
      </c>
      <c r="K213" s="48">
        <v>48744.0</v>
      </c>
      <c r="L213" s="55">
        <v>62000.0</v>
      </c>
      <c r="M213" s="25" t="s">
        <v>82</v>
      </c>
      <c r="N213" s="26"/>
      <c r="O213" s="27">
        <f t="shared" si="22"/>
        <v>0.2719514197</v>
      </c>
      <c r="P213" s="28">
        <f t="shared" si="23"/>
        <v>0</v>
      </c>
    </row>
    <row r="214" hidden="1">
      <c r="A214" s="16" t="s">
        <v>374</v>
      </c>
      <c r="B214" s="49"/>
      <c r="C214" s="103"/>
      <c r="D214" s="4"/>
      <c r="E214" s="19"/>
      <c r="F214" s="19"/>
      <c r="G214" s="40" t="s">
        <v>375</v>
      </c>
      <c r="H214" s="21">
        <v>0.0</v>
      </c>
      <c r="I214" s="22"/>
      <c r="J214" s="29"/>
      <c r="K214" s="43">
        <f>90000/50</f>
        <v>1800</v>
      </c>
      <c r="L214" s="44">
        <v>3000.0</v>
      </c>
      <c r="M214" s="25"/>
      <c r="N214" s="26"/>
      <c r="O214" s="27">
        <f t="shared" si="22"/>
        <v>0.6666666667</v>
      </c>
      <c r="P214" s="28">
        <f t="shared" si="23"/>
        <v>0</v>
      </c>
    </row>
    <row r="215" hidden="1">
      <c r="A215" s="16" t="s">
        <v>376</v>
      </c>
      <c r="B215" s="17"/>
      <c r="C215" s="18"/>
      <c r="D215" s="4"/>
      <c r="E215" s="19">
        <v>0.0</v>
      </c>
      <c r="F215" s="19">
        <v>0.0</v>
      </c>
      <c r="G215" s="20" t="s">
        <v>377</v>
      </c>
      <c r="H215" s="21"/>
      <c r="I215" s="22">
        <v>0.0</v>
      </c>
      <c r="J215" s="29"/>
      <c r="K215" s="43">
        <v>8900.0</v>
      </c>
      <c r="L215" s="44">
        <v>14000.0</v>
      </c>
      <c r="M215" s="25"/>
      <c r="N215" s="31"/>
      <c r="O215" s="27">
        <f t="shared" si="22"/>
        <v>0.5730337079</v>
      </c>
      <c r="P215" s="28">
        <f t="shared" si="23"/>
        <v>0</v>
      </c>
    </row>
    <row r="216" hidden="1">
      <c r="A216" s="16" t="s">
        <v>378</v>
      </c>
      <c r="B216" s="49" t="s">
        <v>379</v>
      </c>
      <c r="C216" s="38"/>
      <c r="D216" s="4"/>
      <c r="E216" s="19"/>
      <c r="F216" s="62"/>
      <c r="G216" s="40" t="s">
        <v>98</v>
      </c>
      <c r="H216" s="21">
        <v>0.0</v>
      </c>
      <c r="I216" s="22"/>
      <c r="J216" s="47">
        <v>46174.0</v>
      </c>
      <c r="K216" s="48">
        <f>82000/5</f>
        <v>16400</v>
      </c>
      <c r="L216" s="55">
        <v>18000.0</v>
      </c>
      <c r="M216" s="25" t="s">
        <v>76</v>
      </c>
      <c r="N216" s="70"/>
      <c r="O216" s="27">
        <f t="shared" si="22"/>
        <v>0.09756097561</v>
      </c>
      <c r="P216" s="28">
        <f t="shared" si="23"/>
        <v>0</v>
      </c>
    </row>
    <row r="217" hidden="1">
      <c r="A217" s="16" t="s">
        <v>380</v>
      </c>
      <c r="B217" s="49" t="s">
        <v>381</v>
      </c>
      <c r="C217" s="38">
        <f>L217/5</f>
        <v>16400</v>
      </c>
      <c r="D217" s="4"/>
      <c r="E217" s="19"/>
      <c r="F217" s="62"/>
      <c r="G217" s="40" t="s">
        <v>98</v>
      </c>
      <c r="H217" s="21">
        <v>0.0</v>
      </c>
      <c r="I217" s="22">
        <v>9.0</v>
      </c>
      <c r="J217" s="47">
        <v>46174.0</v>
      </c>
      <c r="K217" s="48">
        <v>68300.0</v>
      </c>
      <c r="L217" s="55">
        <v>82000.0</v>
      </c>
      <c r="M217" s="25" t="s">
        <v>76</v>
      </c>
      <c r="N217" s="65">
        <v>75000.0</v>
      </c>
      <c r="O217" s="27">
        <f t="shared" si="22"/>
        <v>0.2005856515</v>
      </c>
      <c r="P217" s="28">
        <f t="shared" si="23"/>
        <v>0</v>
      </c>
    </row>
    <row r="218" hidden="1">
      <c r="A218" s="16" t="s">
        <v>382</v>
      </c>
      <c r="B218" s="49" t="s">
        <v>381</v>
      </c>
      <c r="C218" s="18"/>
      <c r="D218" s="4"/>
      <c r="E218" s="19"/>
      <c r="F218" s="19"/>
      <c r="G218" s="16" t="s">
        <v>98</v>
      </c>
      <c r="H218" s="21">
        <v>0.0</v>
      </c>
      <c r="I218" s="22">
        <f>13*3</f>
        <v>39</v>
      </c>
      <c r="J218" s="47"/>
      <c r="K218" s="48">
        <v>52100.0</v>
      </c>
      <c r="L218" s="55">
        <v>63000.0</v>
      </c>
      <c r="M218" s="116" t="s">
        <v>76</v>
      </c>
      <c r="N218" s="48">
        <v>57000.0</v>
      </c>
      <c r="O218" s="27">
        <f t="shared" si="22"/>
        <v>0.2092130518</v>
      </c>
      <c r="P218" s="28">
        <f t="shared" si="23"/>
        <v>0</v>
      </c>
    </row>
    <row r="219" hidden="1">
      <c r="A219" s="16" t="s">
        <v>383</v>
      </c>
      <c r="B219" s="49" t="s">
        <v>381</v>
      </c>
      <c r="C219" s="18"/>
      <c r="D219" s="4"/>
      <c r="E219" s="19"/>
      <c r="F219" s="19"/>
      <c r="G219" s="16" t="s">
        <v>98</v>
      </c>
      <c r="H219" s="21">
        <v>0.0</v>
      </c>
      <c r="I219" s="22"/>
      <c r="J219" s="47"/>
      <c r="K219" s="48">
        <v>52100.0</v>
      </c>
      <c r="L219" s="55">
        <v>63000.0</v>
      </c>
      <c r="M219" s="116" t="s">
        <v>76</v>
      </c>
      <c r="N219" s="48">
        <v>57000.0</v>
      </c>
      <c r="O219" s="27">
        <f t="shared" si="22"/>
        <v>0.2092130518</v>
      </c>
      <c r="P219" s="28">
        <f t="shared" si="23"/>
        <v>0</v>
      </c>
    </row>
    <row r="220" hidden="1">
      <c r="A220" s="16" t="s">
        <v>384</v>
      </c>
      <c r="B220" s="49" t="s">
        <v>379</v>
      </c>
      <c r="C220" s="18"/>
      <c r="D220" s="4"/>
      <c r="E220" s="19"/>
      <c r="F220" s="19">
        <v>1.0</v>
      </c>
      <c r="G220" s="16" t="s">
        <v>98</v>
      </c>
      <c r="H220" s="21">
        <v>0.0</v>
      </c>
      <c r="I220" s="22"/>
      <c r="J220" s="47"/>
      <c r="K220" s="48">
        <f>63000/5</f>
        <v>12600</v>
      </c>
      <c r="L220" s="55">
        <v>15000.0</v>
      </c>
      <c r="M220" s="116" t="s">
        <v>76</v>
      </c>
      <c r="N220" s="117"/>
      <c r="O220" s="27">
        <f t="shared" si="22"/>
        <v>0.1904761905</v>
      </c>
      <c r="P220" s="28">
        <f t="shared" si="23"/>
        <v>12600</v>
      </c>
    </row>
    <row r="221" hidden="1">
      <c r="A221" s="16" t="s">
        <v>385</v>
      </c>
      <c r="B221" s="49" t="s">
        <v>379</v>
      </c>
      <c r="C221" s="18"/>
      <c r="D221" s="4"/>
      <c r="E221" s="19"/>
      <c r="F221" s="19"/>
      <c r="G221" s="16" t="s">
        <v>98</v>
      </c>
      <c r="H221" s="21">
        <v>0.0</v>
      </c>
      <c r="I221" s="22">
        <f t="shared" ref="I221:I222" si="30">13*3</f>
        <v>39</v>
      </c>
      <c r="J221" s="47"/>
      <c r="K221" s="48">
        <v>61300.0</v>
      </c>
      <c r="L221" s="55">
        <v>72000.0</v>
      </c>
      <c r="M221" s="116" t="s">
        <v>76</v>
      </c>
      <c r="N221" s="26"/>
      <c r="O221" s="27">
        <f t="shared" si="22"/>
        <v>0.1745513866</v>
      </c>
      <c r="P221" s="28">
        <f t="shared" si="23"/>
        <v>0</v>
      </c>
    </row>
    <row r="222" hidden="1">
      <c r="A222" s="54" t="s">
        <v>386</v>
      </c>
      <c r="B222" s="49" t="s">
        <v>381</v>
      </c>
      <c r="C222" s="18"/>
      <c r="D222" s="4"/>
      <c r="E222" s="19"/>
      <c r="F222" s="19"/>
      <c r="G222" s="16" t="s">
        <v>98</v>
      </c>
      <c r="H222" s="21">
        <v>0.0</v>
      </c>
      <c r="I222" s="22">
        <f t="shared" si="30"/>
        <v>39</v>
      </c>
      <c r="J222" s="47"/>
      <c r="K222" s="48">
        <f>72000/5</f>
        <v>14400</v>
      </c>
      <c r="L222" s="55">
        <v>18000.0</v>
      </c>
      <c r="M222" s="116" t="s">
        <v>76</v>
      </c>
      <c r="N222" s="48"/>
      <c r="O222" s="27">
        <f t="shared" si="22"/>
        <v>0.25</v>
      </c>
      <c r="P222" s="28">
        <f t="shared" si="23"/>
        <v>0</v>
      </c>
    </row>
    <row r="223" hidden="1">
      <c r="A223" s="16" t="s">
        <v>387</v>
      </c>
      <c r="B223" s="49" t="s">
        <v>381</v>
      </c>
      <c r="C223" s="18"/>
      <c r="D223" s="4"/>
      <c r="E223" s="19"/>
      <c r="F223" s="19"/>
      <c r="G223" s="16" t="s">
        <v>98</v>
      </c>
      <c r="H223" s="21">
        <v>0.0</v>
      </c>
      <c r="I223" s="22">
        <v>4.0</v>
      </c>
      <c r="J223" s="47">
        <v>46143.0</v>
      </c>
      <c r="K223" s="60">
        <v>63000.0</v>
      </c>
      <c r="L223" s="55">
        <v>76000.0</v>
      </c>
      <c r="M223" s="25" t="s">
        <v>76</v>
      </c>
      <c r="N223" s="65">
        <v>68000.0</v>
      </c>
      <c r="O223" s="27">
        <f t="shared" si="22"/>
        <v>0.2063492063</v>
      </c>
      <c r="P223" s="28">
        <f t="shared" si="23"/>
        <v>0</v>
      </c>
    </row>
    <row r="224" hidden="1">
      <c r="A224" s="16" t="s">
        <v>388</v>
      </c>
      <c r="B224" s="49" t="s">
        <v>379</v>
      </c>
      <c r="C224" s="18"/>
      <c r="D224" s="4"/>
      <c r="E224" s="19"/>
      <c r="F224" s="19">
        <v>1.0</v>
      </c>
      <c r="G224" s="16" t="s">
        <v>98</v>
      </c>
      <c r="H224" s="21">
        <v>0.0</v>
      </c>
      <c r="I224" s="22"/>
      <c r="J224" s="47">
        <v>46143.0</v>
      </c>
      <c r="K224" s="60">
        <f>76000/5</f>
        <v>15200</v>
      </c>
      <c r="L224" s="55">
        <v>18000.0</v>
      </c>
      <c r="M224" s="25" t="s">
        <v>76</v>
      </c>
      <c r="N224" s="70"/>
      <c r="O224" s="27">
        <f t="shared" si="22"/>
        <v>0.1842105263</v>
      </c>
      <c r="P224" s="28">
        <f t="shared" si="23"/>
        <v>15200</v>
      </c>
    </row>
    <row r="225" hidden="1">
      <c r="A225" s="16" t="s">
        <v>389</v>
      </c>
      <c r="B225" s="36"/>
      <c r="C225" s="109"/>
      <c r="D225" s="4"/>
      <c r="E225" s="19">
        <v>0.0</v>
      </c>
      <c r="F225" s="19">
        <v>0.0</v>
      </c>
      <c r="G225" s="40" t="s">
        <v>93</v>
      </c>
      <c r="H225" s="21"/>
      <c r="I225" s="22">
        <v>10.0</v>
      </c>
      <c r="J225" s="29"/>
      <c r="K225" s="48">
        <v>74900.0</v>
      </c>
      <c r="L225" s="55">
        <v>85000.0</v>
      </c>
      <c r="M225" s="25" t="s">
        <v>76</v>
      </c>
      <c r="N225" s="69"/>
      <c r="O225" s="27">
        <f t="shared" si="22"/>
        <v>0.1348464619</v>
      </c>
      <c r="P225" s="28">
        <f t="shared" si="23"/>
        <v>0</v>
      </c>
    </row>
    <row r="226" hidden="1">
      <c r="A226" s="16" t="s">
        <v>390</v>
      </c>
      <c r="B226" s="36"/>
      <c r="C226" s="109"/>
      <c r="D226" s="4"/>
      <c r="E226" s="19">
        <v>0.0</v>
      </c>
      <c r="F226" s="19">
        <v>0.0</v>
      </c>
      <c r="G226" s="40" t="s">
        <v>93</v>
      </c>
      <c r="H226" s="21"/>
      <c r="I226" s="22">
        <v>5.0</v>
      </c>
      <c r="J226" s="29"/>
      <c r="K226" s="48">
        <v>74900.0</v>
      </c>
      <c r="L226" s="55">
        <v>85000.0</v>
      </c>
      <c r="M226" s="25"/>
      <c r="N226" s="69"/>
      <c r="O226" s="27">
        <f t="shared" si="22"/>
        <v>0.1348464619</v>
      </c>
      <c r="P226" s="28">
        <f t="shared" si="23"/>
        <v>0</v>
      </c>
    </row>
    <row r="227" hidden="1">
      <c r="A227" s="16" t="s">
        <v>391</v>
      </c>
      <c r="B227" s="36"/>
      <c r="C227" s="109"/>
      <c r="D227" s="4"/>
      <c r="E227" s="19">
        <v>0.0</v>
      </c>
      <c r="F227" s="19">
        <v>0.0</v>
      </c>
      <c r="G227" s="40" t="s">
        <v>93</v>
      </c>
      <c r="H227" s="21"/>
      <c r="I227" s="22">
        <v>5.0</v>
      </c>
      <c r="J227" s="29"/>
      <c r="K227" s="48">
        <f>85000/5</f>
        <v>17000</v>
      </c>
      <c r="L227" s="55">
        <v>20000.0</v>
      </c>
      <c r="M227" s="25"/>
      <c r="N227" s="69"/>
      <c r="O227" s="27">
        <f t="shared" si="22"/>
        <v>0.1764705882</v>
      </c>
      <c r="P227" s="28">
        <f t="shared" si="23"/>
        <v>0</v>
      </c>
    </row>
    <row r="228" hidden="1">
      <c r="A228" s="16" t="s">
        <v>392</v>
      </c>
      <c r="B228" s="17"/>
      <c r="C228" s="18"/>
      <c r="D228" s="4"/>
      <c r="E228" s="19">
        <v>0.0</v>
      </c>
      <c r="F228" s="19">
        <v>0.0</v>
      </c>
      <c r="G228" s="16" t="s">
        <v>393</v>
      </c>
      <c r="H228" s="21">
        <v>0.0</v>
      </c>
      <c r="I228" s="22">
        <v>0.0</v>
      </c>
      <c r="J228" s="29"/>
      <c r="K228" s="48">
        <v>23000.0</v>
      </c>
      <c r="L228" s="55">
        <v>34000.0</v>
      </c>
      <c r="M228" s="25"/>
      <c r="N228" s="31">
        <v>28000.0</v>
      </c>
      <c r="O228" s="27">
        <f t="shared" si="22"/>
        <v>0.4782608696</v>
      </c>
      <c r="P228" s="28">
        <f t="shared" si="23"/>
        <v>0</v>
      </c>
    </row>
    <row r="229" hidden="1">
      <c r="A229" s="16" t="s">
        <v>394</v>
      </c>
      <c r="B229" s="17"/>
      <c r="C229" s="18"/>
      <c r="D229" s="4"/>
      <c r="E229" s="19">
        <v>0.0</v>
      </c>
      <c r="F229" s="19">
        <v>0.0</v>
      </c>
      <c r="G229" s="16" t="s">
        <v>393</v>
      </c>
      <c r="H229" s="21">
        <v>0.0</v>
      </c>
      <c r="I229" s="22">
        <v>0.0</v>
      </c>
      <c r="J229" s="29"/>
      <c r="K229" s="48">
        <v>68000.0</v>
      </c>
      <c r="L229" s="55">
        <v>86000.0</v>
      </c>
      <c r="M229" s="25"/>
      <c r="N229" s="31">
        <v>78000.0</v>
      </c>
      <c r="O229" s="27">
        <f t="shared" si="22"/>
        <v>0.2647058824</v>
      </c>
      <c r="P229" s="28">
        <f t="shared" si="23"/>
        <v>0</v>
      </c>
    </row>
    <row r="230" hidden="1">
      <c r="A230" s="52" t="s">
        <v>395</v>
      </c>
      <c r="B230" s="17"/>
      <c r="C230" s="109"/>
      <c r="D230" s="4"/>
      <c r="E230" s="19">
        <v>0.0</v>
      </c>
      <c r="F230" s="19"/>
      <c r="G230" s="20" t="s">
        <v>396</v>
      </c>
      <c r="H230" s="21"/>
      <c r="I230" s="22"/>
      <c r="J230" s="29"/>
      <c r="K230" s="48">
        <v>10710.0</v>
      </c>
      <c r="L230" s="44">
        <v>9000.0</v>
      </c>
      <c r="M230" s="25"/>
      <c r="N230" s="69"/>
      <c r="O230" s="27">
        <f t="shared" si="22"/>
        <v>-0.1596638655</v>
      </c>
      <c r="P230" s="28">
        <f t="shared" si="23"/>
        <v>0</v>
      </c>
    </row>
    <row r="231" hidden="1">
      <c r="A231" s="52" t="s">
        <v>397</v>
      </c>
      <c r="B231" s="17"/>
      <c r="C231" s="109"/>
      <c r="D231" s="4"/>
      <c r="E231" s="19">
        <v>0.0</v>
      </c>
      <c r="F231" s="19"/>
      <c r="G231" s="20" t="s">
        <v>396</v>
      </c>
      <c r="H231" s="21"/>
      <c r="I231" s="22"/>
      <c r="J231" s="29"/>
      <c r="K231" s="48">
        <v>8330.0</v>
      </c>
      <c r="L231" s="44">
        <v>8000.0</v>
      </c>
      <c r="M231" s="25"/>
      <c r="N231" s="69"/>
      <c r="O231" s="27">
        <f t="shared" si="22"/>
        <v>-0.03961584634</v>
      </c>
      <c r="P231" s="28">
        <f t="shared" si="23"/>
        <v>0</v>
      </c>
    </row>
    <row r="232" hidden="1">
      <c r="A232" s="118" t="s">
        <v>398</v>
      </c>
      <c r="B232" s="17"/>
      <c r="C232" s="109"/>
      <c r="D232" s="4"/>
      <c r="E232" s="19">
        <v>0.0</v>
      </c>
      <c r="F232" s="19"/>
      <c r="G232" s="20" t="s">
        <v>396</v>
      </c>
      <c r="H232" s="21"/>
      <c r="I232" s="22"/>
      <c r="J232" s="29"/>
      <c r="K232" s="48">
        <v>9520.0</v>
      </c>
      <c r="L232" s="44">
        <v>9000.0</v>
      </c>
      <c r="M232" s="25"/>
      <c r="N232" s="69"/>
      <c r="O232" s="27">
        <f t="shared" si="22"/>
        <v>-0.05462184874</v>
      </c>
      <c r="P232" s="28">
        <f t="shared" si="23"/>
        <v>0</v>
      </c>
    </row>
    <row r="233" hidden="1">
      <c r="A233" s="119" t="s">
        <v>399</v>
      </c>
      <c r="B233" s="51"/>
      <c r="C233" s="18"/>
      <c r="D233" s="4"/>
      <c r="E233" s="19">
        <v>0.0</v>
      </c>
      <c r="F233" s="19">
        <v>0.0</v>
      </c>
      <c r="G233" s="120" t="s">
        <v>400</v>
      </c>
      <c r="H233" s="21"/>
      <c r="I233" s="22">
        <v>9.0</v>
      </c>
      <c r="J233" s="29"/>
      <c r="K233" s="43"/>
      <c r="L233" s="44"/>
      <c r="M233" s="25"/>
      <c r="N233" s="26"/>
      <c r="O233" s="27"/>
      <c r="P233" s="28"/>
    </row>
    <row r="234" hidden="1">
      <c r="A234" s="16" t="s">
        <v>401</v>
      </c>
      <c r="B234" s="17"/>
      <c r="C234" s="109"/>
      <c r="D234" s="4"/>
      <c r="E234" s="19">
        <v>0.0</v>
      </c>
      <c r="F234" s="19">
        <v>0.0</v>
      </c>
      <c r="G234" s="54" t="s">
        <v>63</v>
      </c>
      <c r="H234" s="21"/>
      <c r="I234" s="22">
        <v>3.0</v>
      </c>
      <c r="J234" s="29"/>
      <c r="K234" s="32">
        <f>90640/2</f>
        <v>45320</v>
      </c>
      <c r="L234" s="24">
        <v>70000.0</v>
      </c>
      <c r="M234" s="25" t="s">
        <v>76</v>
      </c>
      <c r="N234" s="26"/>
      <c r="O234" s="27">
        <f t="shared" ref="O234:O248" si="31">(L234/K234)-1</f>
        <v>0.5445719329</v>
      </c>
      <c r="P234" s="28">
        <f t="shared" ref="P234:P253" si="32">K234*F234</f>
        <v>0</v>
      </c>
    </row>
    <row r="235" hidden="1">
      <c r="A235" s="16" t="s">
        <v>402</v>
      </c>
      <c r="B235" s="17"/>
      <c r="C235" s="109"/>
      <c r="D235" s="4"/>
      <c r="E235" s="19">
        <v>0.0</v>
      </c>
      <c r="F235" s="19">
        <v>0.0</v>
      </c>
      <c r="G235" s="16" t="s">
        <v>16</v>
      </c>
      <c r="H235" s="21"/>
      <c r="I235" s="22">
        <v>0.0</v>
      </c>
      <c r="J235" s="29"/>
      <c r="K235" s="43">
        <v>20000.0</v>
      </c>
      <c r="L235" s="44">
        <v>35000.0</v>
      </c>
      <c r="M235" s="25"/>
      <c r="N235" s="69"/>
      <c r="O235" s="27">
        <f t="shared" si="31"/>
        <v>0.75</v>
      </c>
      <c r="P235" s="28">
        <f t="shared" si="32"/>
        <v>0</v>
      </c>
    </row>
    <row r="236" hidden="1">
      <c r="A236" s="42" t="s">
        <v>403</v>
      </c>
      <c r="B236" s="121"/>
      <c r="C236" s="109"/>
      <c r="D236" s="4"/>
      <c r="E236" s="19">
        <v>0.0</v>
      </c>
      <c r="F236" s="19">
        <v>0.0</v>
      </c>
      <c r="G236" s="20" t="s">
        <v>84</v>
      </c>
      <c r="H236" s="21"/>
      <c r="I236" s="22">
        <v>0.0</v>
      </c>
      <c r="J236" s="29"/>
      <c r="K236" s="43">
        <v>17600.0</v>
      </c>
      <c r="L236" s="44">
        <v>32000.0</v>
      </c>
      <c r="M236" s="25"/>
      <c r="N236" s="69"/>
      <c r="O236" s="27">
        <f t="shared" si="31"/>
        <v>0.8181818182</v>
      </c>
      <c r="P236" s="28">
        <f t="shared" si="32"/>
        <v>0</v>
      </c>
    </row>
    <row r="237" hidden="1">
      <c r="A237" s="16" t="s">
        <v>404</v>
      </c>
      <c r="B237" s="17"/>
      <c r="C237" s="109"/>
      <c r="D237" s="4"/>
      <c r="E237" s="19">
        <v>0.0</v>
      </c>
      <c r="F237" s="19">
        <v>0.0</v>
      </c>
      <c r="G237" s="16" t="s">
        <v>405</v>
      </c>
      <c r="H237" s="21"/>
      <c r="I237" s="22">
        <v>0.0</v>
      </c>
      <c r="J237" s="29"/>
      <c r="K237" s="32">
        <v>4300.0</v>
      </c>
      <c r="L237" s="32">
        <v>9000.0</v>
      </c>
      <c r="M237" s="25"/>
      <c r="N237" s="69"/>
      <c r="O237" s="27">
        <f t="shared" si="31"/>
        <v>1.093023256</v>
      </c>
      <c r="P237" s="28">
        <f t="shared" si="32"/>
        <v>0</v>
      </c>
    </row>
    <row r="238" hidden="1">
      <c r="A238" s="16" t="s">
        <v>406</v>
      </c>
      <c r="B238" s="17" t="s">
        <v>407</v>
      </c>
      <c r="C238" s="109"/>
      <c r="D238" s="4"/>
      <c r="E238" s="19">
        <v>0.0</v>
      </c>
      <c r="F238" s="19">
        <v>0.0</v>
      </c>
      <c r="G238" s="16" t="s">
        <v>405</v>
      </c>
      <c r="H238" s="21"/>
      <c r="I238" s="22">
        <v>0.0</v>
      </c>
      <c r="J238" s="29"/>
      <c r="K238" s="32">
        <v>4900.0</v>
      </c>
      <c r="L238" s="32">
        <v>9000.0</v>
      </c>
      <c r="M238" s="25"/>
      <c r="N238" s="69"/>
      <c r="O238" s="27">
        <f t="shared" si="31"/>
        <v>0.8367346939</v>
      </c>
      <c r="P238" s="28">
        <f t="shared" si="32"/>
        <v>0</v>
      </c>
    </row>
    <row r="239" hidden="1">
      <c r="A239" s="16" t="s">
        <v>408</v>
      </c>
      <c r="B239" s="17" t="s">
        <v>409</v>
      </c>
      <c r="C239" s="109"/>
      <c r="D239" s="4"/>
      <c r="E239" s="19">
        <v>0.0</v>
      </c>
      <c r="F239" s="19">
        <v>0.0</v>
      </c>
      <c r="G239" s="16" t="s">
        <v>405</v>
      </c>
      <c r="H239" s="21"/>
      <c r="I239" s="22">
        <v>0.0</v>
      </c>
      <c r="J239" s="29"/>
      <c r="K239" s="32">
        <v>3360.0</v>
      </c>
      <c r="L239" s="32">
        <v>9000.0</v>
      </c>
      <c r="M239" s="25"/>
      <c r="N239" s="69"/>
      <c r="O239" s="27">
        <f t="shared" si="31"/>
        <v>1.678571429</v>
      </c>
      <c r="P239" s="28">
        <f t="shared" si="32"/>
        <v>0</v>
      </c>
    </row>
    <row r="240" hidden="1">
      <c r="A240" s="16" t="s">
        <v>410</v>
      </c>
      <c r="B240" s="17"/>
      <c r="C240" s="109"/>
      <c r="D240" s="4"/>
      <c r="E240" s="19">
        <v>0.0</v>
      </c>
      <c r="F240" s="19"/>
      <c r="G240" s="16" t="s">
        <v>411</v>
      </c>
      <c r="H240" s="21"/>
      <c r="I240" s="22"/>
      <c r="J240" s="29"/>
      <c r="K240" s="32">
        <f>84000/10</f>
        <v>8400</v>
      </c>
      <c r="L240" s="24">
        <v>18000.0</v>
      </c>
      <c r="M240" s="25" t="s">
        <v>76</v>
      </c>
      <c r="N240" s="69"/>
      <c r="O240" s="27">
        <f t="shared" si="31"/>
        <v>1.142857143</v>
      </c>
      <c r="P240" s="28">
        <f t="shared" si="32"/>
        <v>0</v>
      </c>
    </row>
    <row r="241" hidden="1">
      <c r="A241" s="16" t="s">
        <v>412</v>
      </c>
      <c r="B241" s="17" t="s">
        <v>413</v>
      </c>
      <c r="C241" s="109"/>
      <c r="D241" s="4"/>
      <c r="E241" s="19">
        <v>0.0</v>
      </c>
      <c r="F241" s="19">
        <v>0.0</v>
      </c>
      <c r="G241" s="16" t="s">
        <v>405</v>
      </c>
      <c r="H241" s="21"/>
      <c r="I241" s="22">
        <v>0.0</v>
      </c>
      <c r="J241" s="29"/>
      <c r="K241" s="48">
        <v>6500.0</v>
      </c>
      <c r="L241" s="48">
        <v>9000.0</v>
      </c>
      <c r="M241" s="25"/>
      <c r="N241" s="69"/>
      <c r="O241" s="27">
        <f t="shared" si="31"/>
        <v>0.3846153846</v>
      </c>
      <c r="P241" s="28">
        <f t="shared" si="32"/>
        <v>0</v>
      </c>
    </row>
    <row r="242" hidden="1">
      <c r="A242" s="16" t="s">
        <v>414</v>
      </c>
      <c r="B242" s="17" t="s">
        <v>415</v>
      </c>
      <c r="C242" s="109"/>
      <c r="D242" s="4"/>
      <c r="E242" s="19">
        <v>0.0</v>
      </c>
      <c r="F242" s="19">
        <v>0.0</v>
      </c>
      <c r="G242" s="16" t="s">
        <v>405</v>
      </c>
      <c r="H242" s="21"/>
      <c r="I242" s="22">
        <v>0.0</v>
      </c>
      <c r="J242" s="29"/>
      <c r="K242" s="48">
        <v>3900.0</v>
      </c>
      <c r="L242" s="48">
        <v>9000.0</v>
      </c>
      <c r="M242" s="25"/>
      <c r="N242" s="69"/>
      <c r="O242" s="27">
        <f t="shared" si="31"/>
        <v>1.307692308</v>
      </c>
      <c r="P242" s="28">
        <f t="shared" si="32"/>
        <v>0</v>
      </c>
    </row>
    <row r="243" hidden="1">
      <c r="A243" s="16" t="s">
        <v>416</v>
      </c>
      <c r="B243" s="17"/>
      <c r="C243" s="109"/>
      <c r="D243" s="4"/>
      <c r="E243" s="19">
        <v>0.0</v>
      </c>
      <c r="F243" s="19">
        <v>0.0</v>
      </c>
      <c r="G243" s="16" t="s">
        <v>286</v>
      </c>
      <c r="H243" s="21"/>
      <c r="I243" s="22">
        <v>1.0</v>
      </c>
      <c r="J243" s="29"/>
      <c r="K243" s="43">
        <v>8847.0</v>
      </c>
      <c r="L243" s="44">
        <v>14000.0</v>
      </c>
      <c r="M243" s="25"/>
      <c r="N243" s="69"/>
      <c r="O243" s="27">
        <f t="shared" si="31"/>
        <v>0.5824573302</v>
      </c>
      <c r="P243" s="28">
        <f t="shared" si="32"/>
        <v>0</v>
      </c>
    </row>
    <row r="244" hidden="1">
      <c r="A244" s="16" t="s">
        <v>417</v>
      </c>
      <c r="B244" s="51" t="s">
        <v>418</v>
      </c>
      <c r="C244" s="38"/>
      <c r="D244" s="67"/>
      <c r="E244" s="19"/>
      <c r="F244" s="19">
        <f>9906300/10</f>
        <v>990630</v>
      </c>
      <c r="G244" s="16" t="s">
        <v>419</v>
      </c>
      <c r="H244" s="21"/>
      <c r="I244" s="22">
        <v>9.0</v>
      </c>
      <c r="J244" s="29"/>
      <c r="K244" s="32">
        <v>980000.0</v>
      </c>
      <c r="L244" s="24">
        <v>1300000.0</v>
      </c>
      <c r="M244" s="25"/>
      <c r="N244" s="26">
        <v>1150000.0</v>
      </c>
      <c r="O244" s="27">
        <f t="shared" si="31"/>
        <v>0.3265306122</v>
      </c>
      <c r="P244" s="28">
        <f t="shared" si="32"/>
        <v>970817400000</v>
      </c>
    </row>
    <row r="245" hidden="1">
      <c r="A245" s="52" t="s">
        <v>420</v>
      </c>
      <c r="B245" s="17"/>
      <c r="C245" s="18"/>
      <c r="D245" s="4"/>
      <c r="E245" s="19">
        <v>0.0</v>
      </c>
      <c r="F245" s="19">
        <v>0.0</v>
      </c>
      <c r="G245" s="16" t="s">
        <v>421</v>
      </c>
      <c r="H245" s="21"/>
      <c r="I245" s="22"/>
      <c r="J245" s="23"/>
      <c r="K245" s="44">
        <f>33000*1.19</f>
        <v>39270</v>
      </c>
      <c r="L245" s="44">
        <v>48000.0</v>
      </c>
      <c r="M245" s="25"/>
      <c r="N245" s="50"/>
      <c r="O245" s="27">
        <f t="shared" si="31"/>
        <v>0.2223071047</v>
      </c>
      <c r="P245" s="28">
        <f t="shared" si="32"/>
        <v>0</v>
      </c>
    </row>
    <row r="246" hidden="1">
      <c r="A246" s="52" t="s">
        <v>422</v>
      </c>
      <c r="B246" s="17">
        <v>245021.0</v>
      </c>
      <c r="C246" s="18"/>
      <c r="D246" s="4"/>
      <c r="E246" s="19">
        <v>0.0</v>
      </c>
      <c r="F246" s="19">
        <v>0.0</v>
      </c>
      <c r="G246" s="16" t="s">
        <v>423</v>
      </c>
      <c r="H246" s="21"/>
      <c r="I246" s="22"/>
      <c r="J246" s="29"/>
      <c r="K246" s="43">
        <f>16000*1.19</f>
        <v>19040</v>
      </c>
      <c r="L246" s="44">
        <v>32000.0</v>
      </c>
      <c r="M246" s="25"/>
      <c r="N246" s="70"/>
      <c r="O246" s="27">
        <f t="shared" si="31"/>
        <v>0.6806722689</v>
      </c>
      <c r="P246" s="28">
        <f t="shared" si="32"/>
        <v>0</v>
      </c>
    </row>
    <row r="247" hidden="1">
      <c r="A247" s="122" t="s">
        <v>424</v>
      </c>
      <c r="B247" s="17">
        <v>245022.0</v>
      </c>
      <c r="C247" s="18"/>
      <c r="D247" s="4"/>
      <c r="E247" s="19">
        <v>0.0</v>
      </c>
      <c r="F247" s="19">
        <v>0.0</v>
      </c>
      <c r="G247" s="16" t="s">
        <v>425</v>
      </c>
      <c r="H247" s="21"/>
      <c r="I247" s="22">
        <v>0.0</v>
      </c>
      <c r="J247" s="29"/>
      <c r="K247" s="43">
        <f>52500*1.19</f>
        <v>62475</v>
      </c>
      <c r="L247" s="43">
        <v>95000.0</v>
      </c>
      <c r="M247" s="25"/>
      <c r="N247" s="70"/>
      <c r="O247" s="27">
        <f t="shared" si="31"/>
        <v>0.5206082433</v>
      </c>
      <c r="P247" s="28">
        <f t="shared" si="32"/>
        <v>0</v>
      </c>
    </row>
    <row r="248" hidden="1">
      <c r="A248" s="52" t="s">
        <v>426</v>
      </c>
      <c r="B248" s="51"/>
      <c r="C248" s="18"/>
      <c r="D248" s="4"/>
      <c r="E248" s="19">
        <v>0.0</v>
      </c>
      <c r="F248" s="19">
        <v>0.0</v>
      </c>
      <c r="G248" s="16" t="s">
        <v>427</v>
      </c>
      <c r="H248" s="21"/>
      <c r="I248" s="22"/>
      <c r="J248" s="29"/>
      <c r="K248" s="32">
        <v>3374.0</v>
      </c>
      <c r="L248" s="24">
        <v>6000.0</v>
      </c>
      <c r="M248" s="25"/>
      <c r="N248" s="26"/>
      <c r="O248" s="27">
        <f t="shared" si="31"/>
        <v>0.7783046829</v>
      </c>
      <c r="P248" s="28">
        <f t="shared" si="32"/>
        <v>0</v>
      </c>
    </row>
    <row r="249" hidden="1">
      <c r="A249" s="16" t="s">
        <v>428</v>
      </c>
      <c r="B249" s="17"/>
      <c r="C249" s="18"/>
      <c r="D249" s="4"/>
      <c r="E249" s="19">
        <v>0.0</v>
      </c>
      <c r="F249" s="19">
        <v>0.0</v>
      </c>
      <c r="G249" s="16" t="s">
        <v>16</v>
      </c>
      <c r="H249" s="33"/>
      <c r="I249" s="22">
        <v>0.0</v>
      </c>
      <c r="J249" s="34"/>
      <c r="K249" s="123">
        <v>1712.0</v>
      </c>
      <c r="L249" s="44">
        <v>8000.0</v>
      </c>
      <c r="M249" s="25"/>
      <c r="N249" s="31"/>
      <c r="O249" s="27">
        <f>(L249/K249)-1</f>
        <v>3.672897196</v>
      </c>
      <c r="P249" s="28">
        <f t="shared" si="32"/>
        <v>0</v>
      </c>
    </row>
    <row r="250" hidden="1">
      <c r="A250" s="16" t="s">
        <v>429</v>
      </c>
      <c r="B250" s="124" t="s">
        <v>430</v>
      </c>
      <c r="C250" s="18"/>
      <c r="D250" s="4"/>
      <c r="E250" s="19">
        <v>0.0</v>
      </c>
      <c r="F250" s="19"/>
      <c r="G250" s="16" t="s">
        <v>431</v>
      </c>
      <c r="H250" s="21"/>
      <c r="I250" s="22"/>
      <c r="J250" s="29"/>
      <c r="K250" s="32">
        <v>12500.0</v>
      </c>
      <c r="L250" s="24">
        <v>16000.0</v>
      </c>
      <c r="M250" s="25"/>
      <c r="N250" s="26"/>
      <c r="O250" s="27">
        <f t="shared" ref="O250:O297" si="33">(L250/K250)-1</f>
        <v>0.28</v>
      </c>
      <c r="P250" s="28">
        <f t="shared" si="32"/>
        <v>0</v>
      </c>
    </row>
    <row r="251" hidden="1">
      <c r="A251" s="16" t="s">
        <v>432</v>
      </c>
      <c r="B251" s="17"/>
      <c r="C251" s="18"/>
      <c r="D251" s="4"/>
      <c r="E251" s="19">
        <v>0.0</v>
      </c>
      <c r="F251" s="19"/>
      <c r="G251" s="16" t="s">
        <v>57</v>
      </c>
      <c r="H251" s="21"/>
      <c r="I251" s="22"/>
      <c r="J251" s="29"/>
      <c r="K251" s="43">
        <v>1550000.0</v>
      </c>
      <c r="L251" s="125">
        <f>K251*1.2</f>
        <v>1860000</v>
      </c>
      <c r="M251" s="25"/>
      <c r="N251" s="69"/>
      <c r="O251" s="27">
        <f t="shared" si="33"/>
        <v>0.2</v>
      </c>
      <c r="P251" s="28">
        <f t="shared" si="32"/>
        <v>0</v>
      </c>
    </row>
    <row r="252" hidden="1">
      <c r="A252" s="16" t="s">
        <v>433</v>
      </c>
      <c r="B252" s="36"/>
      <c r="C252" s="18"/>
      <c r="D252" s="4"/>
      <c r="E252" s="19">
        <v>0.0</v>
      </c>
      <c r="F252" s="19">
        <v>0.0</v>
      </c>
      <c r="G252" s="16" t="s">
        <v>434</v>
      </c>
      <c r="H252" s="21"/>
      <c r="I252" s="22">
        <v>0.0</v>
      </c>
      <c r="J252" s="29"/>
      <c r="K252" s="43">
        <v>6400.0</v>
      </c>
      <c r="L252" s="44">
        <v>10000.0</v>
      </c>
      <c r="M252" s="25"/>
      <c r="N252" s="69"/>
      <c r="O252" s="27">
        <f t="shared" si="33"/>
        <v>0.5625</v>
      </c>
      <c r="P252" s="28">
        <f t="shared" si="32"/>
        <v>0</v>
      </c>
    </row>
    <row r="253" hidden="1">
      <c r="A253" s="16" t="s">
        <v>435</v>
      </c>
      <c r="B253" s="17"/>
      <c r="C253" s="18"/>
      <c r="D253" s="4"/>
      <c r="E253" s="19">
        <v>0.0</v>
      </c>
      <c r="F253" s="19">
        <v>0.0</v>
      </c>
      <c r="G253" s="20" t="s">
        <v>286</v>
      </c>
      <c r="H253" s="21"/>
      <c r="I253" s="22">
        <v>0.0</v>
      </c>
      <c r="J253" s="29"/>
      <c r="K253" s="32">
        <v>1145.0</v>
      </c>
      <c r="L253" s="24">
        <v>4000.0</v>
      </c>
      <c r="M253" s="25"/>
      <c r="N253" s="50">
        <v>3000.0</v>
      </c>
      <c r="O253" s="27">
        <f t="shared" si="33"/>
        <v>2.493449782</v>
      </c>
      <c r="P253" s="28">
        <f t="shared" si="32"/>
        <v>0</v>
      </c>
    </row>
    <row r="254" hidden="1">
      <c r="A254" s="52" t="s">
        <v>436</v>
      </c>
      <c r="B254" s="49"/>
      <c r="C254" s="18"/>
      <c r="D254" s="4"/>
      <c r="E254" s="19">
        <v>0.0</v>
      </c>
      <c r="F254" s="19">
        <v>0.0</v>
      </c>
      <c r="G254" s="16" t="s">
        <v>437</v>
      </c>
      <c r="H254" s="21"/>
      <c r="I254" s="22">
        <v>20.0</v>
      </c>
      <c r="J254" s="29"/>
      <c r="K254" s="32">
        <v>400.0</v>
      </c>
      <c r="L254" s="24">
        <v>600.0</v>
      </c>
      <c r="M254" s="25"/>
      <c r="N254" s="70"/>
      <c r="O254" s="27">
        <f t="shared" si="33"/>
        <v>0.5</v>
      </c>
      <c r="P254" s="28" t="str">
        <f t="shared" ref="P254:P256" si="34">K254*#REF!</f>
        <v>#REF!</v>
      </c>
    </row>
    <row r="255" hidden="1">
      <c r="A255" s="52" t="s">
        <v>2858</v>
      </c>
      <c r="B255" s="49"/>
      <c r="C255" s="18"/>
      <c r="D255" s="4"/>
      <c r="E255" s="19">
        <v>0.0</v>
      </c>
      <c r="F255" s="19">
        <v>0.0</v>
      </c>
      <c r="G255" s="16" t="s">
        <v>439</v>
      </c>
      <c r="H255" s="21"/>
      <c r="I255" s="22">
        <v>15.0</v>
      </c>
      <c r="J255" s="29"/>
      <c r="K255" s="43">
        <v>430.0</v>
      </c>
      <c r="L255" s="44">
        <v>600.0</v>
      </c>
      <c r="M255" s="25"/>
      <c r="N255" s="70"/>
      <c r="O255" s="27">
        <f t="shared" si="33"/>
        <v>0.3953488372</v>
      </c>
      <c r="P255" s="28" t="str">
        <f t="shared" si="34"/>
        <v>#REF!</v>
      </c>
    </row>
    <row r="256" hidden="1">
      <c r="A256" s="52" t="s">
        <v>440</v>
      </c>
      <c r="B256" s="126"/>
      <c r="C256" s="18"/>
      <c r="D256" s="4"/>
      <c r="E256" s="19">
        <v>0.0</v>
      </c>
      <c r="F256" s="19">
        <v>0.0</v>
      </c>
      <c r="G256" s="16" t="s">
        <v>437</v>
      </c>
      <c r="H256" s="21"/>
      <c r="I256" s="22" t="s">
        <v>441</v>
      </c>
      <c r="J256" s="29"/>
      <c r="K256" s="32">
        <v>2500.0</v>
      </c>
      <c r="L256" s="24">
        <v>5000.0</v>
      </c>
      <c r="M256" s="25"/>
      <c r="N256" s="70"/>
      <c r="O256" s="27">
        <f t="shared" si="33"/>
        <v>1</v>
      </c>
      <c r="P256" s="28" t="str">
        <f t="shared" si="34"/>
        <v>#REF!</v>
      </c>
    </row>
    <row r="257" hidden="1">
      <c r="A257" s="52" t="s">
        <v>442</v>
      </c>
      <c r="B257" s="36"/>
      <c r="C257" s="18"/>
      <c r="D257" s="4"/>
      <c r="E257" s="19">
        <v>0.0</v>
      </c>
      <c r="F257" s="19">
        <v>0.0</v>
      </c>
      <c r="G257" s="16" t="s">
        <v>443</v>
      </c>
      <c r="H257" s="21"/>
      <c r="I257" s="22">
        <v>0.0</v>
      </c>
      <c r="J257" s="23"/>
      <c r="K257" s="44" t="s">
        <v>328</v>
      </c>
      <c r="L257" s="44">
        <v>28000.0</v>
      </c>
      <c r="M257" s="25"/>
      <c r="N257" s="26"/>
      <c r="O257" s="27" t="str">
        <f t="shared" si="33"/>
        <v>#VALUE!</v>
      </c>
      <c r="P257" s="28">
        <f>L257*F258</f>
        <v>28000</v>
      </c>
    </row>
    <row r="258" hidden="1">
      <c r="A258" s="52" t="s">
        <v>444</v>
      </c>
      <c r="B258" s="36" t="s">
        <v>445</v>
      </c>
      <c r="C258" s="18"/>
      <c r="D258" s="19"/>
      <c r="E258" s="19">
        <v>0.0</v>
      </c>
      <c r="F258" s="19">
        <v>1.0</v>
      </c>
      <c r="G258" s="16" t="s">
        <v>443</v>
      </c>
      <c r="H258" s="21"/>
      <c r="I258" s="22" t="s">
        <v>446</v>
      </c>
      <c r="J258" s="23"/>
      <c r="K258" s="24">
        <v>10115.0</v>
      </c>
      <c r="L258" s="24">
        <v>18000.0</v>
      </c>
      <c r="M258" s="25"/>
      <c r="N258" s="26">
        <v>13000.0</v>
      </c>
      <c r="O258" s="27">
        <f t="shared" si="33"/>
        <v>0.7795353435</v>
      </c>
      <c r="P258" s="28">
        <f t="shared" ref="P258:P287" si="35">K258*F258</f>
        <v>10115</v>
      </c>
    </row>
    <row r="259" hidden="1">
      <c r="A259" s="16" t="s">
        <v>447</v>
      </c>
      <c r="B259" s="17"/>
      <c r="C259" s="18"/>
      <c r="D259" s="4"/>
      <c r="E259" s="19">
        <v>0.0</v>
      </c>
      <c r="F259" s="19">
        <v>0.0</v>
      </c>
      <c r="G259" s="20" t="s">
        <v>286</v>
      </c>
      <c r="H259" s="21"/>
      <c r="I259" s="22">
        <v>5.0</v>
      </c>
      <c r="J259" s="29"/>
      <c r="K259" s="32">
        <f>34986/25</f>
        <v>1399.44</v>
      </c>
      <c r="L259" s="24">
        <v>7000.0</v>
      </c>
      <c r="M259" s="25"/>
      <c r="N259" s="69"/>
      <c r="O259" s="27">
        <f t="shared" si="33"/>
        <v>4.0020008</v>
      </c>
      <c r="P259" s="28">
        <f t="shared" si="35"/>
        <v>0</v>
      </c>
    </row>
    <row r="260" hidden="1">
      <c r="A260" s="16" t="s">
        <v>448</v>
      </c>
      <c r="B260" s="49"/>
      <c r="C260" s="18"/>
      <c r="D260" s="4"/>
      <c r="E260" s="19"/>
      <c r="F260" s="19"/>
      <c r="G260" s="20" t="s">
        <v>449</v>
      </c>
      <c r="H260" s="21">
        <v>0.0</v>
      </c>
      <c r="I260" s="22"/>
      <c r="J260" s="29"/>
      <c r="K260" s="48">
        <v>12019.0</v>
      </c>
      <c r="L260" s="55">
        <v>18000.0</v>
      </c>
      <c r="M260" s="25"/>
      <c r="N260" s="48">
        <v>16000.0</v>
      </c>
      <c r="O260" s="27">
        <f t="shared" si="33"/>
        <v>0.4976287545</v>
      </c>
      <c r="P260" s="28">
        <f t="shared" si="35"/>
        <v>0</v>
      </c>
    </row>
    <row r="261" hidden="1">
      <c r="A261" s="16" t="s">
        <v>450</v>
      </c>
      <c r="B261" s="49"/>
      <c r="C261" s="18"/>
      <c r="D261" s="4"/>
      <c r="E261" s="19"/>
      <c r="F261" s="19"/>
      <c r="G261" s="20" t="s">
        <v>449</v>
      </c>
      <c r="H261" s="21">
        <v>0.0</v>
      </c>
      <c r="I261" s="22"/>
      <c r="J261" s="29"/>
      <c r="K261" s="48">
        <v>14042.0</v>
      </c>
      <c r="L261" s="55">
        <v>18000.0</v>
      </c>
      <c r="M261" s="25">
        <v>1.19</v>
      </c>
      <c r="N261" s="65">
        <v>16000.0</v>
      </c>
      <c r="O261" s="27">
        <f t="shared" si="33"/>
        <v>0.2818686797</v>
      </c>
      <c r="P261" s="28">
        <f t="shared" si="35"/>
        <v>0</v>
      </c>
    </row>
    <row r="262" hidden="1">
      <c r="A262" s="16" t="s">
        <v>451</v>
      </c>
      <c r="B262" s="17"/>
      <c r="C262" s="18"/>
      <c r="D262" s="4"/>
      <c r="E262" s="19">
        <v>0.0</v>
      </c>
      <c r="F262" s="19">
        <v>0.0</v>
      </c>
      <c r="G262" s="20" t="s">
        <v>16</v>
      </c>
      <c r="H262" s="21"/>
      <c r="I262" s="22">
        <v>0.0</v>
      </c>
      <c r="J262" s="23"/>
      <c r="K262" s="127">
        <v>5422.5199999999995</v>
      </c>
      <c r="L262" s="55">
        <v>36000.0</v>
      </c>
      <c r="M262" s="25"/>
      <c r="N262" s="69"/>
      <c r="O262" s="27">
        <f t="shared" si="33"/>
        <v>5.638979663</v>
      </c>
      <c r="P262" s="28">
        <f t="shared" si="35"/>
        <v>0</v>
      </c>
    </row>
    <row r="263" hidden="1">
      <c r="A263" s="16" t="s">
        <v>452</v>
      </c>
      <c r="B263" s="17"/>
      <c r="C263" s="18"/>
      <c r="D263" s="4"/>
      <c r="E263" s="19">
        <v>0.0</v>
      </c>
      <c r="F263" s="77">
        <v>0.0</v>
      </c>
      <c r="G263" s="20" t="s">
        <v>14</v>
      </c>
      <c r="H263" s="21">
        <v>0.0</v>
      </c>
      <c r="I263" s="22">
        <v>0.0</v>
      </c>
      <c r="J263" s="23"/>
      <c r="K263" s="24">
        <f>42000*1.19</f>
        <v>49980</v>
      </c>
      <c r="L263" s="24">
        <v>68000.0</v>
      </c>
      <c r="M263" s="25"/>
      <c r="N263" s="69"/>
      <c r="O263" s="27">
        <f t="shared" si="33"/>
        <v>0.3605442177</v>
      </c>
      <c r="P263" s="28">
        <f t="shared" si="35"/>
        <v>0</v>
      </c>
    </row>
    <row r="264" hidden="1">
      <c r="A264" s="16" t="s">
        <v>453</v>
      </c>
      <c r="B264" s="51"/>
      <c r="C264" s="18"/>
      <c r="D264" s="4"/>
      <c r="E264" s="19">
        <v>0.0</v>
      </c>
      <c r="F264" s="19">
        <v>0.0</v>
      </c>
      <c r="G264" s="16" t="s">
        <v>84</v>
      </c>
      <c r="H264" s="21"/>
      <c r="I264" s="22">
        <v>0.0</v>
      </c>
      <c r="J264" s="29"/>
      <c r="K264" s="43">
        <v>900.0</v>
      </c>
      <c r="L264" s="44">
        <v>8000.0</v>
      </c>
      <c r="M264" s="25"/>
      <c r="N264" s="69"/>
      <c r="O264" s="27">
        <f t="shared" si="33"/>
        <v>7.888888889</v>
      </c>
      <c r="P264" s="28">
        <f t="shared" si="35"/>
        <v>0</v>
      </c>
    </row>
    <row r="265" hidden="1">
      <c r="A265" s="16" t="s">
        <v>454</v>
      </c>
      <c r="B265" s="17"/>
      <c r="C265" s="18"/>
      <c r="D265" s="4"/>
      <c r="E265" s="19">
        <v>0.0</v>
      </c>
      <c r="F265" s="19">
        <v>0.0</v>
      </c>
      <c r="G265" s="16" t="s">
        <v>16</v>
      </c>
      <c r="H265" s="21"/>
      <c r="I265" s="22">
        <v>0.0</v>
      </c>
      <c r="J265" s="29"/>
      <c r="K265" s="43">
        <v>6400.0</v>
      </c>
      <c r="L265" s="44">
        <v>22000.0</v>
      </c>
      <c r="M265" s="25"/>
      <c r="N265" s="69"/>
      <c r="O265" s="27">
        <f t="shared" si="33"/>
        <v>2.4375</v>
      </c>
      <c r="P265" s="28">
        <f t="shared" si="35"/>
        <v>0</v>
      </c>
    </row>
    <row r="266" hidden="1">
      <c r="A266" s="16" t="s">
        <v>455</v>
      </c>
      <c r="B266" s="51"/>
      <c r="C266" s="18"/>
      <c r="D266" s="4"/>
      <c r="E266" s="19">
        <v>0.0</v>
      </c>
      <c r="F266" s="19"/>
      <c r="G266" s="20" t="s">
        <v>57</v>
      </c>
      <c r="H266" s="21"/>
      <c r="I266" s="22"/>
      <c r="J266" s="29"/>
      <c r="K266" s="32">
        <f>232*4</f>
        <v>928</v>
      </c>
      <c r="L266" s="24">
        <v>3000.0</v>
      </c>
      <c r="M266" s="25"/>
      <c r="N266" s="26"/>
      <c r="O266" s="27">
        <f t="shared" si="33"/>
        <v>2.232758621</v>
      </c>
      <c r="P266" s="28">
        <f t="shared" si="35"/>
        <v>0</v>
      </c>
    </row>
    <row r="267" hidden="1">
      <c r="A267" s="52" t="s">
        <v>456</v>
      </c>
      <c r="B267" s="49"/>
      <c r="C267" s="18"/>
      <c r="D267" s="4"/>
      <c r="E267" s="19">
        <v>0.0</v>
      </c>
      <c r="F267" s="19"/>
      <c r="G267" s="20" t="s">
        <v>457</v>
      </c>
      <c r="H267" s="21"/>
      <c r="I267" s="22"/>
      <c r="J267" s="29"/>
      <c r="K267" s="32">
        <f>9900*1.19</f>
        <v>11781</v>
      </c>
      <c r="L267" s="32">
        <v>16000.0</v>
      </c>
      <c r="M267" s="25">
        <v>1.19</v>
      </c>
      <c r="N267" s="70"/>
      <c r="O267" s="27">
        <f t="shared" si="33"/>
        <v>0.3581190052</v>
      </c>
      <c r="P267" s="28">
        <f t="shared" si="35"/>
        <v>0</v>
      </c>
    </row>
    <row r="268" hidden="1">
      <c r="A268" s="16" t="s">
        <v>458</v>
      </c>
      <c r="B268" s="126"/>
      <c r="C268" s="18"/>
      <c r="D268" s="4"/>
      <c r="E268" s="19">
        <v>0.0</v>
      </c>
      <c r="F268" s="77">
        <v>0.0</v>
      </c>
      <c r="G268" s="20" t="s">
        <v>78</v>
      </c>
      <c r="H268" s="21">
        <v>13.0</v>
      </c>
      <c r="I268" s="22">
        <v>15.0</v>
      </c>
      <c r="J268" s="47">
        <v>45870.0</v>
      </c>
      <c r="K268" s="55">
        <v>5159.0</v>
      </c>
      <c r="L268" s="55">
        <v>8000.0</v>
      </c>
      <c r="M268" s="25" t="s">
        <v>76</v>
      </c>
      <c r="N268" s="26"/>
      <c r="O268" s="27">
        <f t="shared" si="33"/>
        <v>0.5506881179</v>
      </c>
      <c r="P268" s="28">
        <f t="shared" si="35"/>
        <v>0</v>
      </c>
    </row>
    <row r="269" hidden="1">
      <c r="A269" s="16" t="s">
        <v>459</v>
      </c>
      <c r="B269" s="17" t="s">
        <v>460</v>
      </c>
      <c r="C269" s="18"/>
      <c r="D269" s="4"/>
      <c r="E269" s="19">
        <v>0.0</v>
      </c>
      <c r="F269" s="77">
        <v>0.0</v>
      </c>
      <c r="G269" s="20" t="s">
        <v>78</v>
      </c>
      <c r="H269" s="21">
        <v>6.0</v>
      </c>
      <c r="I269" s="22">
        <v>23.0</v>
      </c>
      <c r="J269" s="23"/>
      <c r="K269" s="55">
        <v>14703.0</v>
      </c>
      <c r="L269" s="55">
        <v>22000.0</v>
      </c>
      <c r="M269" s="25" t="s">
        <v>76</v>
      </c>
      <c r="N269" s="26"/>
      <c r="O269" s="27">
        <f t="shared" si="33"/>
        <v>0.4962932735</v>
      </c>
      <c r="P269" s="28">
        <f t="shared" si="35"/>
        <v>0</v>
      </c>
    </row>
    <row r="270" hidden="1">
      <c r="A270" s="52" t="s">
        <v>461</v>
      </c>
      <c r="B270" s="17"/>
      <c r="C270" s="18"/>
      <c r="D270" s="4"/>
      <c r="E270" s="19">
        <v>0.0</v>
      </c>
      <c r="F270" s="19">
        <v>0.0</v>
      </c>
      <c r="G270" s="16" t="s">
        <v>462</v>
      </c>
      <c r="H270" s="21"/>
      <c r="I270" s="22">
        <v>0.0</v>
      </c>
      <c r="J270" s="29"/>
      <c r="K270" s="43">
        <v>116323.0</v>
      </c>
      <c r="L270" s="44">
        <v>154000.0</v>
      </c>
      <c r="M270" s="25"/>
      <c r="N270" s="70"/>
      <c r="O270" s="27">
        <f t="shared" si="33"/>
        <v>0.3238998306</v>
      </c>
      <c r="P270" s="28">
        <f t="shared" si="35"/>
        <v>0</v>
      </c>
    </row>
    <row r="271" hidden="1">
      <c r="A271" s="16" t="s">
        <v>463</v>
      </c>
      <c r="B271" s="51"/>
      <c r="C271" s="18"/>
      <c r="D271" s="4"/>
      <c r="E271" s="19">
        <v>0.0</v>
      </c>
      <c r="F271" s="19">
        <v>0.0</v>
      </c>
      <c r="G271" s="16" t="s">
        <v>462</v>
      </c>
      <c r="H271" s="21"/>
      <c r="I271" s="22">
        <v>0.0</v>
      </c>
      <c r="J271" s="29"/>
      <c r="K271" s="43">
        <v>86500.0</v>
      </c>
      <c r="L271" s="44">
        <v>115000.0</v>
      </c>
      <c r="M271" s="25"/>
      <c r="N271" s="69"/>
      <c r="O271" s="27">
        <f t="shared" si="33"/>
        <v>0.3294797688</v>
      </c>
      <c r="P271" s="28">
        <f t="shared" si="35"/>
        <v>0</v>
      </c>
    </row>
    <row r="272" hidden="1">
      <c r="A272" s="16" t="s">
        <v>464</v>
      </c>
      <c r="B272" s="49"/>
      <c r="C272" s="18">
        <f>K268*50</f>
        <v>257950</v>
      </c>
      <c r="D272" s="4"/>
      <c r="E272" s="19">
        <v>0.0</v>
      </c>
      <c r="F272" s="19">
        <v>0.0</v>
      </c>
      <c r="G272" s="16" t="s">
        <v>465</v>
      </c>
      <c r="H272" s="21"/>
      <c r="I272" s="22">
        <v>0.0</v>
      </c>
      <c r="J272" s="29"/>
      <c r="K272" s="48">
        <v>5800.0</v>
      </c>
      <c r="L272" s="55">
        <v>8000.0</v>
      </c>
      <c r="M272" s="25"/>
      <c r="N272" s="69"/>
      <c r="O272" s="27">
        <f t="shared" si="33"/>
        <v>0.3793103448</v>
      </c>
      <c r="P272" s="28">
        <f t="shared" si="35"/>
        <v>0</v>
      </c>
    </row>
    <row r="273" hidden="1">
      <c r="A273" s="16" t="s">
        <v>466</v>
      </c>
      <c r="B273" s="17"/>
      <c r="C273" s="18" t="s">
        <v>467</v>
      </c>
      <c r="D273" s="4"/>
      <c r="E273" s="19">
        <v>0.0</v>
      </c>
      <c r="F273" s="77">
        <v>0.0</v>
      </c>
      <c r="G273" s="20" t="s">
        <v>468</v>
      </c>
      <c r="H273" s="21">
        <v>4.0</v>
      </c>
      <c r="I273" s="22">
        <v>3.0</v>
      </c>
      <c r="J273" s="23"/>
      <c r="K273" s="24">
        <v>26891.0</v>
      </c>
      <c r="L273" s="24">
        <v>46000.0</v>
      </c>
      <c r="M273" s="25"/>
      <c r="N273" s="26"/>
      <c r="O273" s="27">
        <f t="shared" si="33"/>
        <v>0.7106094976</v>
      </c>
      <c r="P273" s="28">
        <f t="shared" si="35"/>
        <v>0</v>
      </c>
    </row>
    <row r="274" hidden="1">
      <c r="A274" s="16" t="s">
        <v>469</v>
      </c>
      <c r="B274" s="36"/>
      <c r="C274" s="18"/>
      <c r="D274" s="4"/>
      <c r="E274" s="19">
        <v>0.0</v>
      </c>
      <c r="F274" s="19">
        <v>0.0</v>
      </c>
      <c r="G274" s="16" t="s">
        <v>470</v>
      </c>
      <c r="H274" s="21"/>
      <c r="I274" s="22">
        <v>3.0</v>
      </c>
      <c r="J274" s="29"/>
      <c r="K274" s="48">
        <v>34990.0</v>
      </c>
      <c r="L274" s="55">
        <v>45000.0</v>
      </c>
      <c r="M274" s="25"/>
      <c r="N274" s="69"/>
      <c r="O274" s="27">
        <f t="shared" si="33"/>
        <v>0.2860817376</v>
      </c>
      <c r="P274" s="28">
        <f t="shared" si="35"/>
        <v>0</v>
      </c>
    </row>
    <row r="275" hidden="1">
      <c r="A275" s="16" t="s">
        <v>471</v>
      </c>
      <c r="B275" s="36" t="s">
        <v>472</v>
      </c>
      <c r="C275" s="18" t="s">
        <v>144</v>
      </c>
      <c r="D275" s="4">
        <v>17600.0</v>
      </c>
      <c r="E275" s="19">
        <v>0.0</v>
      </c>
      <c r="F275" s="19">
        <v>0.0</v>
      </c>
      <c r="G275" s="54" t="s">
        <v>473</v>
      </c>
      <c r="H275" s="21"/>
      <c r="I275" s="22"/>
      <c r="J275" s="29"/>
      <c r="K275" s="32">
        <v>21120.0</v>
      </c>
      <c r="L275" s="24">
        <v>38000.0</v>
      </c>
      <c r="M275" s="25" t="s">
        <v>76</v>
      </c>
      <c r="N275" s="26">
        <v>28000.0</v>
      </c>
      <c r="O275" s="27">
        <f t="shared" si="33"/>
        <v>0.7992424242</v>
      </c>
      <c r="P275" s="28">
        <f t="shared" si="35"/>
        <v>0</v>
      </c>
    </row>
    <row r="276" hidden="1">
      <c r="A276" s="16" t="s">
        <v>474</v>
      </c>
      <c r="B276" s="49"/>
      <c r="C276" s="18" t="s">
        <v>467</v>
      </c>
      <c r="D276" s="4"/>
      <c r="E276" s="19"/>
      <c r="F276" s="19"/>
      <c r="G276" s="20" t="s">
        <v>163</v>
      </c>
      <c r="H276" s="21">
        <v>0.0</v>
      </c>
      <c r="I276" s="22"/>
      <c r="J276" s="23"/>
      <c r="K276" s="95">
        <f>23100*1.19</f>
        <v>27489</v>
      </c>
      <c r="L276" s="55">
        <v>36000.0</v>
      </c>
      <c r="M276" s="25"/>
      <c r="N276" s="70">
        <v>32000.0</v>
      </c>
      <c r="O276" s="27">
        <f t="shared" si="33"/>
        <v>0.309614755</v>
      </c>
      <c r="P276" s="28">
        <f t="shared" si="35"/>
        <v>0</v>
      </c>
    </row>
    <row r="277" hidden="1">
      <c r="A277" s="16" t="s">
        <v>475</v>
      </c>
      <c r="B277" s="36"/>
      <c r="C277" s="18"/>
      <c r="D277" s="4"/>
      <c r="E277" s="19">
        <v>0.0</v>
      </c>
      <c r="F277" s="19">
        <v>0.0</v>
      </c>
      <c r="G277" s="16" t="s">
        <v>476</v>
      </c>
      <c r="H277" s="21"/>
      <c r="I277" s="22">
        <v>0.0</v>
      </c>
      <c r="J277" s="29"/>
      <c r="K277" s="48">
        <v>50800.0</v>
      </c>
      <c r="L277" s="55">
        <v>63600.0</v>
      </c>
      <c r="M277" s="25"/>
      <c r="N277" s="69"/>
      <c r="O277" s="27">
        <f t="shared" si="33"/>
        <v>0.2519685039</v>
      </c>
      <c r="P277" s="28">
        <f t="shared" si="35"/>
        <v>0</v>
      </c>
    </row>
    <row r="278" hidden="1">
      <c r="A278" s="16" t="s">
        <v>477</v>
      </c>
      <c r="B278" s="36" t="s">
        <v>478</v>
      </c>
      <c r="C278" s="18" t="s">
        <v>467</v>
      </c>
      <c r="D278" s="4"/>
      <c r="E278" s="19">
        <v>0.0</v>
      </c>
      <c r="F278" s="19">
        <v>0.0</v>
      </c>
      <c r="G278" s="16" t="s">
        <v>70</v>
      </c>
      <c r="H278" s="21"/>
      <c r="I278" s="22"/>
      <c r="J278" s="23"/>
      <c r="K278" s="55">
        <v>19200.0</v>
      </c>
      <c r="L278" s="55">
        <v>32000.0</v>
      </c>
      <c r="M278" s="25" t="s">
        <v>76</v>
      </c>
      <c r="N278" s="26">
        <v>25000.0</v>
      </c>
      <c r="O278" s="27">
        <f t="shared" si="33"/>
        <v>0.6666666667</v>
      </c>
      <c r="P278" s="28">
        <f t="shared" si="35"/>
        <v>0</v>
      </c>
    </row>
    <row r="279" hidden="1">
      <c r="A279" s="16" t="s">
        <v>479</v>
      </c>
      <c r="B279" s="17"/>
      <c r="C279" s="92"/>
      <c r="D279" s="4"/>
      <c r="E279" s="19">
        <v>0.0</v>
      </c>
      <c r="F279" s="19">
        <v>0.0</v>
      </c>
      <c r="G279" s="54" t="s">
        <v>63</v>
      </c>
      <c r="H279" s="21"/>
      <c r="I279" s="22">
        <v>2.0</v>
      </c>
      <c r="J279" s="47"/>
      <c r="K279" s="55">
        <f>70148/2</f>
        <v>35074</v>
      </c>
      <c r="L279" s="55">
        <v>55000.0</v>
      </c>
      <c r="M279" s="25" t="s">
        <v>82</v>
      </c>
      <c r="N279" s="26"/>
      <c r="O279" s="27">
        <f t="shared" si="33"/>
        <v>0.5681131322</v>
      </c>
      <c r="P279" s="28">
        <f t="shared" si="35"/>
        <v>0</v>
      </c>
    </row>
    <row r="280" hidden="1">
      <c r="A280" s="16" t="s">
        <v>480</v>
      </c>
      <c r="B280" s="17"/>
      <c r="C280" s="18"/>
      <c r="D280" s="4"/>
      <c r="E280" s="19">
        <v>0.0</v>
      </c>
      <c r="F280" s="19"/>
      <c r="G280" s="16" t="s">
        <v>57</v>
      </c>
      <c r="H280" s="21"/>
      <c r="I280" s="22"/>
      <c r="J280" s="29"/>
      <c r="K280" s="43">
        <v>59200.0</v>
      </c>
      <c r="L280" s="44">
        <v>75000.0</v>
      </c>
      <c r="M280" s="25"/>
      <c r="N280" s="69"/>
      <c r="O280" s="27">
        <f t="shared" si="33"/>
        <v>0.2668918919</v>
      </c>
      <c r="P280" s="28">
        <f t="shared" si="35"/>
        <v>0</v>
      </c>
    </row>
    <row r="281" hidden="1">
      <c r="A281" s="52" t="s">
        <v>481</v>
      </c>
      <c r="B281" s="17"/>
      <c r="C281" s="18"/>
      <c r="D281" s="4"/>
      <c r="E281" s="19">
        <v>0.0</v>
      </c>
      <c r="F281" s="19"/>
      <c r="G281" s="20" t="s">
        <v>482</v>
      </c>
      <c r="H281" s="21"/>
      <c r="I281" s="22"/>
      <c r="J281" s="29"/>
      <c r="K281" s="48">
        <f>3100*0.95*1.19</f>
        <v>3504.55</v>
      </c>
      <c r="L281" s="55">
        <v>7000.0</v>
      </c>
      <c r="M281" s="25"/>
      <c r="N281" s="70"/>
      <c r="O281" s="27">
        <f t="shared" si="33"/>
        <v>0.9974033756</v>
      </c>
      <c r="P281" s="28">
        <f t="shared" si="35"/>
        <v>0</v>
      </c>
    </row>
    <row r="282" hidden="1">
      <c r="A282" s="59" t="s">
        <v>483</v>
      </c>
      <c r="B282" s="97" t="s">
        <v>484</v>
      </c>
      <c r="C282" s="18"/>
      <c r="D282" s="98"/>
      <c r="E282" s="19">
        <v>0.0</v>
      </c>
      <c r="F282" s="128"/>
      <c r="G282" s="20" t="s">
        <v>485</v>
      </c>
      <c r="H282" s="21">
        <v>0.0</v>
      </c>
      <c r="I282" s="22"/>
      <c r="J282" s="29"/>
      <c r="K282" s="43">
        <v>1.0</v>
      </c>
      <c r="L282" s="43">
        <v>1.0</v>
      </c>
      <c r="M282" s="25"/>
      <c r="N282" s="26"/>
      <c r="O282" s="27">
        <f t="shared" si="33"/>
        <v>0</v>
      </c>
      <c r="P282" s="28">
        <f t="shared" si="35"/>
        <v>0</v>
      </c>
    </row>
    <row r="283" hidden="1">
      <c r="A283" s="59" t="s">
        <v>486</v>
      </c>
      <c r="B283" s="97" t="s">
        <v>484</v>
      </c>
      <c r="C283" s="18" t="s">
        <v>55</v>
      </c>
      <c r="D283" s="98"/>
      <c r="E283" s="19">
        <v>0.0</v>
      </c>
      <c r="F283" s="128"/>
      <c r="G283" s="20" t="s">
        <v>485</v>
      </c>
      <c r="H283" s="21">
        <v>0.0</v>
      </c>
      <c r="I283" s="22"/>
      <c r="J283" s="129"/>
      <c r="K283" s="130">
        <v>210000.0</v>
      </c>
      <c r="L283" s="43">
        <v>355000.0</v>
      </c>
      <c r="M283" s="25"/>
      <c r="N283" s="26"/>
      <c r="O283" s="27">
        <f t="shared" si="33"/>
        <v>0.6904761905</v>
      </c>
      <c r="P283" s="28">
        <f t="shared" si="35"/>
        <v>0</v>
      </c>
    </row>
    <row r="284" hidden="1">
      <c r="A284" s="59" t="s">
        <v>487</v>
      </c>
      <c r="B284" s="97" t="s">
        <v>484</v>
      </c>
      <c r="C284" s="18" t="s">
        <v>55</v>
      </c>
      <c r="D284" s="98"/>
      <c r="E284" s="19">
        <v>0.0</v>
      </c>
      <c r="F284" s="128"/>
      <c r="G284" s="20" t="s">
        <v>485</v>
      </c>
      <c r="H284" s="21">
        <v>0.0</v>
      </c>
      <c r="I284" s="22"/>
      <c r="J284" s="29"/>
      <c r="K284" s="43">
        <v>1.0</v>
      </c>
      <c r="L284" s="43">
        <v>1.0</v>
      </c>
      <c r="M284" s="25"/>
      <c r="N284" s="26"/>
      <c r="O284" s="27">
        <f t="shared" si="33"/>
        <v>0</v>
      </c>
      <c r="P284" s="28">
        <f t="shared" si="35"/>
        <v>0</v>
      </c>
    </row>
    <row r="285" hidden="1">
      <c r="A285" s="122" t="s">
        <v>488</v>
      </c>
      <c r="B285" s="17"/>
      <c r="C285" s="18"/>
      <c r="D285" s="4"/>
      <c r="E285" s="19">
        <v>0.0</v>
      </c>
      <c r="F285" s="19">
        <v>0.0</v>
      </c>
      <c r="G285" s="16" t="s">
        <v>437</v>
      </c>
      <c r="H285" s="21"/>
      <c r="I285" s="22">
        <v>0.0</v>
      </c>
      <c r="J285" s="29"/>
      <c r="K285" s="32">
        <v>2900.0</v>
      </c>
      <c r="L285" s="24">
        <v>9000.0</v>
      </c>
      <c r="M285" s="25"/>
      <c r="N285" s="70"/>
      <c r="O285" s="27">
        <f t="shared" si="33"/>
        <v>2.103448276</v>
      </c>
      <c r="P285" s="28">
        <f t="shared" si="35"/>
        <v>0</v>
      </c>
    </row>
    <row r="286" hidden="1">
      <c r="A286" s="122" t="s">
        <v>489</v>
      </c>
      <c r="B286" s="17"/>
      <c r="C286" s="18"/>
      <c r="D286" s="4"/>
      <c r="E286" s="19">
        <v>0.0</v>
      </c>
      <c r="F286" s="19">
        <v>0.0</v>
      </c>
      <c r="G286" s="16" t="s">
        <v>437</v>
      </c>
      <c r="H286" s="21"/>
      <c r="I286" s="22">
        <v>0.0</v>
      </c>
      <c r="J286" s="29"/>
      <c r="K286" s="32">
        <v>2900.0</v>
      </c>
      <c r="L286" s="24">
        <v>9000.0</v>
      </c>
      <c r="M286" s="25"/>
      <c r="N286" s="70"/>
      <c r="O286" s="27">
        <f t="shared" si="33"/>
        <v>2.103448276</v>
      </c>
      <c r="P286" s="28">
        <f t="shared" si="35"/>
        <v>0</v>
      </c>
    </row>
    <row r="287" hidden="1">
      <c r="A287" s="122" t="s">
        <v>490</v>
      </c>
      <c r="B287" s="17"/>
      <c r="C287" s="18"/>
      <c r="D287" s="4"/>
      <c r="E287" s="19">
        <v>0.0</v>
      </c>
      <c r="F287" s="19">
        <v>1.0</v>
      </c>
      <c r="G287" s="16" t="s">
        <v>437</v>
      </c>
      <c r="H287" s="21"/>
      <c r="I287" s="22">
        <v>0.0</v>
      </c>
      <c r="J287" s="29"/>
      <c r="K287" s="32">
        <v>2900.0</v>
      </c>
      <c r="L287" s="24">
        <v>9000.0</v>
      </c>
      <c r="M287" s="25"/>
      <c r="N287" s="70"/>
      <c r="O287" s="27">
        <f t="shared" si="33"/>
        <v>2.103448276</v>
      </c>
      <c r="P287" s="28">
        <f t="shared" si="35"/>
        <v>2900</v>
      </c>
    </row>
    <row r="288" hidden="1">
      <c r="A288" s="122" t="s">
        <v>491</v>
      </c>
      <c r="B288" s="131" t="s">
        <v>492</v>
      </c>
      <c r="C288" s="18"/>
      <c r="D288" s="4"/>
      <c r="E288" s="19">
        <v>0.0</v>
      </c>
      <c r="F288" s="62">
        <v>0.0</v>
      </c>
      <c r="G288" s="16" t="s">
        <v>493</v>
      </c>
      <c r="H288" s="21"/>
      <c r="I288" s="22">
        <f>70+160</f>
        <v>230</v>
      </c>
      <c r="J288" s="29"/>
      <c r="K288" s="48">
        <v>2900.0</v>
      </c>
      <c r="L288" s="55">
        <v>9000.0</v>
      </c>
      <c r="M288" s="25"/>
      <c r="N288" s="70">
        <v>7000.0</v>
      </c>
      <c r="O288" s="27">
        <f t="shared" si="33"/>
        <v>2.103448276</v>
      </c>
      <c r="P288" s="28" t="str">
        <f t="shared" ref="P288:P289" si="36">K288*#REF!</f>
        <v>#REF!</v>
      </c>
    </row>
    <row r="289" hidden="1">
      <c r="A289" s="122" t="s">
        <v>494</v>
      </c>
      <c r="B289" s="17"/>
      <c r="C289" s="18"/>
      <c r="D289" s="4"/>
      <c r="E289" s="19">
        <v>0.0</v>
      </c>
      <c r="F289" s="19">
        <v>0.0</v>
      </c>
      <c r="G289" s="16" t="s">
        <v>437</v>
      </c>
      <c r="H289" s="21"/>
      <c r="I289" s="22">
        <v>10.0</v>
      </c>
      <c r="J289" s="29"/>
      <c r="K289" s="32">
        <v>3500.0</v>
      </c>
      <c r="L289" s="24">
        <v>9000.0</v>
      </c>
      <c r="M289" s="25"/>
      <c r="N289" s="70"/>
      <c r="O289" s="27">
        <f t="shared" si="33"/>
        <v>1.571428571</v>
      </c>
      <c r="P289" s="28" t="str">
        <f t="shared" si="36"/>
        <v>#REF!</v>
      </c>
    </row>
    <row r="290" hidden="1">
      <c r="A290" s="122" t="s">
        <v>495</v>
      </c>
      <c r="B290" s="17"/>
      <c r="C290" s="18"/>
      <c r="D290" s="132"/>
      <c r="E290" s="19">
        <v>0.0</v>
      </c>
      <c r="F290" s="19">
        <v>0.0</v>
      </c>
      <c r="G290" s="16" t="s">
        <v>437</v>
      </c>
      <c r="H290" s="21"/>
      <c r="I290" s="22">
        <v>0.0</v>
      </c>
      <c r="J290" s="29"/>
      <c r="K290" s="32">
        <v>3500.0</v>
      </c>
      <c r="L290" s="24">
        <v>8000.0</v>
      </c>
      <c r="M290" s="25"/>
      <c r="N290" s="70"/>
      <c r="O290" s="27">
        <f t="shared" si="33"/>
        <v>1.285714286</v>
      </c>
      <c r="P290" s="28">
        <f t="shared" ref="P290:P294" si="37">K290*F290</f>
        <v>0</v>
      </c>
    </row>
    <row r="291" hidden="1">
      <c r="A291" s="133" t="s">
        <v>496</v>
      </c>
      <c r="B291" s="134"/>
      <c r="C291" s="18"/>
      <c r="D291" s="4"/>
      <c r="E291" s="19">
        <v>0.0</v>
      </c>
      <c r="F291" s="19">
        <v>0.0</v>
      </c>
      <c r="G291" s="20" t="s">
        <v>497</v>
      </c>
      <c r="H291" s="21"/>
      <c r="I291" s="22">
        <v>0.0</v>
      </c>
      <c r="J291" s="23"/>
      <c r="K291" s="44">
        <f>26436/10</f>
        <v>2643.6</v>
      </c>
      <c r="L291" s="44">
        <v>9000.0</v>
      </c>
      <c r="M291" s="25"/>
      <c r="N291" s="63"/>
      <c r="O291" s="27">
        <f t="shared" si="33"/>
        <v>2.404448479</v>
      </c>
      <c r="P291" s="28">
        <f t="shared" si="37"/>
        <v>0</v>
      </c>
    </row>
    <row r="292" hidden="1">
      <c r="A292" s="122" t="s">
        <v>498</v>
      </c>
      <c r="B292" s="17"/>
      <c r="C292" s="18"/>
      <c r="D292" s="4"/>
      <c r="E292" s="19">
        <v>0.0</v>
      </c>
      <c r="F292" s="19">
        <v>0.0</v>
      </c>
      <c r="G292" s="16" t="s">
        <v>437</v>
      </c>
      <c r="H292" s="21"/>
      <c r="I292" s="22">
        <v>8.0</v>
      </c>
      <c r="J292" s="29"/>
      <c r="K292" s="32">
        <v>5000.0</v>
      </c>
      <c r="L292" s="24">
        <v>9000.0</v>
      </c>
      <c r="M292" s="25"/>
      <c r="N292" s="70"/>
      <c r="O292" s="27">
        <f t="shared" si="33"/>
        <v>0.8</v>
      </c>
      <c r="P292" s="28">
        <f t="shared" si="37"/>
        <v>0</v>
      </c>
    </row>
    <row r="293" hidden="1">
      <c r="A293" s="122" t="s">
        <v>499</v>
      </c>
      <c r="B293" s="17"/>
      <c r="C293" s="18"/>
      <c r="D293" s="132"/>
      <c r="E293" s="19">
        <v>0.0</v>
      </c>
      <c r="F293" s="19">
        <v>0.0</v>
      </c>
      <c r="G293" s="16" t="s">
        <v>437</v>
      </c>
      <c r="H293" s="21"/>
      <c r="I293" s="22">
        <v>0.0</v>
      </c>
      <c r="J293" s="29"/>
      <c r="K293" s="32">
        <v>5000.0</v>
      </c>
      <c r="L293" s="24">
        <v>9000.0</v>
      </c>
      <c r="M293" s="25"/>
      <c r="N293" s="70"/>
      <c r="O293" s="27">
        <f t="shared" si="33"/>
        <v>0.8</v>
      </c>
      <c r="P293" s="28">
        <f t="shared" si="37"/>
        <v>0</v>
      </c>
    </row>
    <row r="294" hidden="1">
      <c r="A294" s="16" t="s">
        <v>500</v>
      </c>
      <c r="B294" s="49"/>
      <c r="C294" s="18"/>
      <c r="D294" s="4"/>
      <c r="E294" s="19"/>
      <c r="F294" s="19"/>
      <c r="G294" s="40" t="s">
        <v>98</v>
      </c>
      <c r="H294" s="21">
        <v>0.0</v>
      </c>
      <c r="I294" s="22"/>
      <c r="J294" s="29"/>
      <c r="K294" s="48">
        <v>120.0</v>
      </c>
      <c r="L294" s="55">
        <v>200.0</v>
      </c>
      <c r="M294" s="25"/>
      <c r="N294" s="26"/>
      <c r="O294" s="27">
        <f t="shared" si="33"/>
        <v>0.6666666667</v>
      </c>
      <c r="P294" s="28">
        <f t="shared" si="37"/>
        <v>0</v>
      </c>
    </row>
    <row r="295" hidden="1">
      <c r="A295" s="16" t="s">
        <v>501</v>
      </c>
      <c r="B295" s="17"/>
      <c r="C295" s="18"/>
      <c r="D295" s="4"/>
      <c r="E295" s="19"/>
      <c r="F295" s="19"/>
      <c r="G295" s="16" t="s">
        <v>229</v>
      </c>
      <c r="H295" s="21"/>
      <c r="I295" s="22"/>
      <c r="J295" s="29"/>
      <c r="K295" s="48">
        <f>785085/144</f>
        <v>5451.979167</v>
      </c>
      <c r="L295" s="55">
        <v>9000.0</v>
      </c>
      <c r="M295" s="25"/>
      <c r="N295" s="50">
        <v>7500.0</v>
      </c>
      <c r="O295" s="27">
        <f t="shared" si="33"/>
        <v>0.6507766675</v>
      </c>
      <c r="P295" s="28"/>
    </row>
    <row r="296" hidden="1">
      <c r="A296" s="42" t="s">
        <v>502</v>
      </c>
      <c r="B296" s="71"/>
      <c r="C296" s="18"/>
      <c r="D296" s="4"/>
      <c r="E296" s="19">
        <v>0.0</v>
      </c>
      <c r="F296" s="19"/>
      <c r="G296" s="16" t="s">
        <v>503</v>
      </c>
      <c r="H296" s="21"/>
      <c r="I296" s="22"/>
      <c r="J296" s="29"/>
      <c r="K296" s="32">
        <v>3200.0</v>
      </c>
      <c r="L296" s="24">
        <v>6000.0</v>
      </c>
      <c r="M296" s="25"/>
      <c r="N296" s="26"/>
      <c r="O296" s="27">
        <f t="shared" si="33"/>
        <v>0.875</v>
      </c>
      <c r="P296" s="28">
        <f t="shared" ref="P296:P297" si="38">K296*F296</f>
        <v>0</v>
      </c>
    </row>
    <row r="297" hidden="1">
      <c r="A297" s="42" t="s">
        <v>504</v>
      </c>
      <c r="B297" s="71"/>
      <c r="C297" s="18"/>
      <c r="D297" s="4"/>
      <c r="E297" s="19">
        <v>0.0</v>
      </c>
      <c r="F297" s="19">
        <v>0.0</v>
      </c>
      <c r="G297" s="16" t="s">
        <v>341</v>
      </c>
      <c r="H297" s="21"/>
      <c r="I297" s="22">
        <v>7.0</v>
      </c>
      <c r="J297" s="29"/>
      <c r="K297" s="32">
        <f>3200/25</f>
        <v>128</v>
      </c>
      <c r="L297" s="24">
        <v>1000.0</v>
      </c>
      <c r="M297" s="25"/>
      <c r="N297" s="69"/>
      <c r="O297" s="27">
        <f t="shared" si="33"/>
        <v>6.8125</v>
      </c>
      <c r="P297" s="28">
        <f t="shared" si="38"/>
        <v>0</v>
      </c>
    </row>
    <row r="298" hidden="1">
      <c r="A298" s="16" t="s">
        <v>505</v>
      </c>
      <c r="B298" s="36"/>
      <c r="C298" s="18"/>
      <c r="D298" s="4"/>
      <c r="E298" s="19">
        <v>1.0</v>
      </c>
      <c r="F298" s="19"/>
      <c r="G298" s="16" t="s">
        <v>93</v>
      </c>
      <c r="H298" s="21"/>
      <c r="I298" s="22"/>
      <c r="J298" s="29"/>
      <c r="K298" s="48">
        <v>300380.0</v>
      </c>
      <c r="L298" s="55">
        <v>375500.0</v>
      </c>
      <c r="M298" s="25"/>
      <c r="N298" s="69"/>
      <c r="O298" s="27"/>
      <c r="P298" s="28"/>
    </row>
    <row r="299" hidden="1">
      <c r="A299" s="16" t="s">
        <v>506</v>
      </c>
      <c r="B299" s="36"/>
      <c r="C299" s="18"/>
      <c r="D299" s="4"/>
      <c r="E299" s="19">
        <v>5.0</v>
      </c>
      <c r="F299" s="19">
        <v>0.0</v>
      </c>
      <c r="G299" s="16" t="s">
        <v>281</v>
      </c>
      <c r="H299" s="21"/>
      <c r="I299" s="22">
        <v>2.0</v>
      </c>
      <c r="J299" s="29"/>
      <c r="K299" s="48">
        <v>91700.0</v>
      </c>
      <c r="L299" s="55">
        <v>114700.0</v>
      </c>
      <c r="M299" s="25" t="s">
        <v>82</v>
      </c>
      <c r="N299" s="69"/>
      <c r="O299" s="27">
        <f t="shared" ref="O299:O337" si="39">(L299/K299)-1</f>
        <v>0.2508178844</v>
      </c>
      <c r="P299" s="28">
        <f t="shared" ref="P299:P337" si="40">K299*F299</f>
        <v>0</v>
      </c>
    </row>
    <row r="300" hidden="1">
      <c r="A300" s="16" t="s">
        <v>507</v>
      </c>
      <c r="B300" s="36"/>
      <c r="C300" s="18"/>
      <c r="D300" s="4"/>
      <c r="E300" s="19">
        <v>0.0</v>
      </c>
      <c r="F300" s="19">
        <v>0.0</v>
      </c>
      <c r="G300" s="16" t="s">
        <v>281</v>
      </c>
      <c r="H300" s="21"/>
      <c r="I300" s="22">
        <v>0.0</v>
      </c>
      <c r="J300" s="29"/>
      <c r="K300" s="48">
        <v>79000.0</v>
      </c>
      <c r="L300" s="55">
        <v>98750.0</v>
      </c>
      <c r="M300" s="25" t="s">
        <v>82</v>
      </c>
      <c r="N300" s="69"/>
      <c r="O300" s="27">
        <f t="shared" si="39"/>
        <v>0.25</v>
      </c>
      <c r="P300" s="28">
        <f t="shared" si="40"/>
        <v>0</v>
      </c>
    </row>
    <row r="301" hidden="1">
      <c r="A301" s="42" t="s">
        <v>508</v>
      </c>
      <c r="B301" s="114" t="s">
        <v>509</v>
      </c>
      <c r="C301" s="18" t="s">
        <v>144</v>
      </c>
      <c r="D301" s="4">
        <v>60432.0</v>
      </c>
      <c r="E301" s="19">
        <v>0.0</v>
      </c>
      <c r="F301" s="19">
        <v>0.0</v>
      </c>
      <c r="G301" s="40" t="s">
        <v>93</v>
      </c>
      <c r="H301" s="21"/>
      <c r="I301" s="22">
        <v>20.0</v>
      </c>
      <c r="J301" s="23"/>
      <c r="K301" s="55">
        <v>57410.0</v>
      </c>
      <c r="L301" s="55">
        <v>72000.0</v>
      </c>
      <c r="M301" s="25">
        <v>0.0</v>
      </c>
      <c r="N301" s="26">
        <v>62000.0</v>
      </c>
      <c r="O301" s="27">
        <f t="shared" si="39"/>
        <v>0.2541369099</v>
      </c>
      <c r="P301" s="28">
        <f t="shared" si="40"/>
        <v>0</v>
      </c>
    </row>
    <row r="302" hidden="1">
      <c r="A302" s="16" t="s">
        <v>510</v>
      </c>
      <c r="B302" s="51" t="s">
        <v>511</v>
      </c>
      <c r="C302" s="38"/>
      <c r="D302" s="61"/>
      <c r="E302" s="19"/>
      <c r="F302" s="62"/>
      <c r="G302" s="16" t="s">
        <v>91</v>
      </c>
      <c r="H302" s="21"/>
      <c r="I302" s="22">
        <v>3.0</v>
      </c>
      <c r="J302" s="29"/>
      <c r="K302" s="48">
        <v>224000.0</v>
      </c>
      <c r="L302" s="55">
        <v>290000.0</v>
      </c>
      <c r="M302" s="25"/>
      <c r="N302" s="26"/>
      <c r="O302" s="27">
        <f t="shared" si="39"/>
        <v>0.2946428571</v>
      </c>
      <c r="P302" s="28">
        <f t="shared" si="40"/>
        <v>0</v>
      </c>
    </row>
    <row r="303" hidden="1">
      <c r="A303" s="52" t="s">
        <v>512</v>
      </c>
      <c r="B303" s="17"/>
      <c r="C303" s="18"/>
      <c r="D303" s="4"/>
      <c r="E303" s="19">
        <v>0.0</v>
      </c>
      <c r="F303" s="19">
        <v>0.0</v>
      </c>
      <c r="G303" s="20" t="s">
        <v>513</v>
      </c>
      <c r="H303" s="21"/>
      <c r="I303" s="22">
        <v>0.0</v>
      </c>
      <c r="J303" s="29"/>
      <c r="K303" s="43">
        <v>2400.0</v>
      </c>
      <c r="L303" s="44">
        <v>4500.0</v>
      </c>
      <c r="M303" s="25"/>
      <c r="N303" s="69"/>
      <c r="O303" s="27">
        <f t="shared" si="39"/>
        <v>0.875</v>
      </c>
      <c r="P303" s="28">
        <f t="shared" si="40"/>
        <v>0</v>
      </c>
    </row>
    <row r="304" hidden="1">
      <c r="A304" s="119" t="s">
        <v>514</v>
      </c>
      <c r="B304" s="36" t="s">
        <v>515</v>
      </c>
      <c r="C304" s="18"/>
      <c r="D304" s="4"/>
      <c r="E304" s="19">
        <v>0.0</v>
      </c>
      <c r="F304" s="19"/>
      <c r="G304" s="16" t="s">
        <v>516</v>
      </c>
      <c r="H304" s="21"/>
      <c r="I304" s="22"/>
      <c r="J304" s="29"/>
      <c r="K304" s="48">
        <f>26700/1000</f>
        <v>26.7</v>
      </c>
      <c r="L304" s="44">
        <v>500.0</v>
      </c>
      <c r="M304" s="25"/>
      <c r="N304" s="70"/>
      <c r="O304" s="27">
        <f t="shared" si="39"/>
        <v>17.72659176</v>
      </c>
      <c r="P304" s="28">
        <f t="shared" si="40"/>
        <v>0</v>
      </c>
    </row>
    <row r="305" hidden="1">
      <c r="A305" s="119" t="s">
        <v>517</v>
      </c>
      <c r="B305" s="36" t="s">
        <v>515</v>
      </c>
      <c r="C305" s="18"/>
      <c r="D305" s="4"/>
      <c r="E305" s="19">
        <v>0.0</v>
      </c>
      <c r="F305" s="19"/>
      <c r="G305" s="16" t="s">
        <v>516</v>
      </c>
      <c r="H305" s="21"/>
      <c r="I305" s="22"/>
      <c r="J305" s="29"/>
      <c r="K305" s="48">
        <f>5700/100</f>
        <v>57</v>
      </c>
      <c r="L305" s="44">
        <v>500.0</v>
      </c>
      <c r="M305" s="25"/>
      <c r="N305" s="70"/>
      <c r="O305" s="27">
        <f t="shared" si="39"/>
        <v>7.771929825</v>
      </c>
      <c r="P305" s="28">
        <f t="shared" si="40"/>
        <v>0</v>
      </c>
    </row>
    <row r="306" hidden="1">
      <c r="A306" s="119" t="s">
        <v>518</v>
      </c>
      <c r="B306" s="36" t="s">
        <v>515</v>
      </c>
      <c r="C306" s="18"/>
      <c r="D306" s="4"/>
      <c r="E306" s="19">
        <v>0.0</v>
      </c>
      <c r="F306" s="19"/>
      <c r="G306" s="16" t="s">
        <v>516</v>
      </c>
      <c r="H306" s="21"/>
      <c r="I306" s="22"/>
      <c r="J306" s="29"/>
      <c r="K306" s="48">
        <f>7200/100</f>
        <v>72</v>
      </c>
      <c r="L306" s="44">
        <v>100.0</v>
      </c>
      <c r="M306" s="25"/>
      <c r="N306" s="70"/>
      <c r="O306" s="27">
        <f t="shared" si="39"/>
        <v>0.3888888889</v>
      </c>
      <c r="P306" s="28">
        <f t="shared" si="40"/>
        <v>0</v>
      </c>
    </row>
    <row r="307" hidden="1">
      <c r="A307" s="119" t="s">
        <v>519</v>
      </c>
      <c r="B307" s="36" t="s">
        <v>515</v>
      </c>
      <c r="C307" s="18"/>
      <c r="D307" s="4"/>
      <c r="E307" s="19">
        <v>0.0</v>
      </c>
      <c r="F307" s="19"/>
      <c r="G307" s="16" t="s">
        <v>516</v>
      </c>
      <c r="H307" s="21"/>
      <c r="I307" s="22"/>
      <c r="J307" s="29"/>
      <c r="K307" s="48">
        <f>11200/100</f>
        <v>112</v>
      </c>
      <c r="L307" s="44">
        <v>200.0</v>
      </c>
      <c r="M307" s="25"/>
      <c r="N307" s="69"/>
      <c r="O307" s="27">
        <f t="shared" si="39"/>
        <v>0.7857142857</v>
      </c>
      <c r="P307" s="28">
        <f t="shared" si="40"/>
        <v>0</v>
      </c>
    </row>
    <row r="308" hidden="1">
      <c r="A308" s="16" t="s">
        <v>520</v>
      </c>
      <c r="B308" s="36" t="s">
        <v>521</v>
      </c>
      <c r="C308" s="18"/>
      <c r="D308" s="4"/>
      <c r="E308" s="19">
        <v>3.0</v>
      </c>
      <c r="F308" s="19">
        <v>5.0</v>
      </c>
      <c r="G308" s="16" t="s">
        <v>516</v>
      </c>
      <c r="H308" s="21"/>
      <c r="I308" s="22"/>
      <c r="J308" s="29"/>
      <c r="K308" s="43">
        <f>8000/100</f>
        <v>80</v>
      </c>
      <c r="L308" s="44">
        <v>200.0</v>
      </c>
      <c r="M308" s="25"/>
      <c r="N308" s="50"/>
      <c r="O308" s="27">
        <f t="shared" si="39"/>
        <v>1.5</v>
      </c>
      <c r="P308" s="28">
        <f t="shared" si="40"/>
        <v>400</v>
      </c>
    </row>
    <row r="309" hidden="1">
      <c r="A309" s="16" t="s">
        <v>522</v>
      </c>
      <c r="B309" s="36" t="s">
        <v>515</v>
      </c>
      <c r="C309" s="18"/>
      <c r="D309" s="4"/>
      <c r="E309" s="19">
        <v>0.0</v>
      </c>
      <c r="F309" s="19"/>
      <c r="G309" s="16" t="s">
        <v>516</v>
      </c>
      <c r="H309" s="21"/>
      <c r="I309" s="22"/>
      <c r="J309" s="29"/>
      <c r="K309" s="48">
        <f>9600/100</f>
        <v>96</v>
      </c>
      <c r="L309" s="44">
        <v>200.0</v>
      </c>
      <c r="M309" s="25"/>
      <c r="N309" s="50"/>
      <c r="O309" s="27">
        <f t="shared" si="39"/>
        <v>1.083333333</v>
      </c>
      <c r="P309" s="28">
        <f t="shared" si="40"/>
        <v>0</v>
      </c>
    </row>
    <row r="310" hidden="1">
      <c r="A310" s="54" t="s">
        <v>523</v>
      </c>
      <c r="B310" s="36" t="s">
        <v>515</v>
      </c>
      <c r="C310" s="18"/>
      <c r="D310" s="4" t="s">
        <v>524</v>
      </c>
      <c r="E310" s="19">
        <v>4.0</v>
      </c>
      <c r="F310" s="19">
        <v>0.0</v>
      </c>
      <c r="G310" s="16" t="s">
        <v>516</v>
      </c>
      <c r="H310" s="21">
        <v>0.0</v>
      </c>
      <c r="I310" s="22">
        <v>0.0</v>
      </c>
      <c r="J310" s="29"/>
      <c r="K310" s="48">
        <f>5800/100</f>
        <v>58</v>
      </c>
      <c r="L310" s="44">
        <v>100.0</v>
      </c>
      <c r="M310" s="25"/>
      <c r="N310" s="70"/>
      <c r="O310" s="27">
        <f t="shared" si="39"/>
        <v>0.724137931</v>
      </c>
      <c r="P310" s="28">
        <f t="shared" si="40"/>
        <v>0</v>
      </c>
    </row>
    <row r="311" hidden="1">
      <c r="A311" s="16" t="s">
        <v>525</v>
      </c>
      <c r="B311" s="36" t="s">
        <v>515</v>
      </c>
      <c r="C311" s="18"/>
      <c r="D311" s="4"/>
      <c r="E311" s="19">
        <v>0.0</v>
      </c>
      <c r="F311" s="19">
        <v>0.0</v>
      </c>
      <c r="G311" s="16" t="s">
        <v>516</v>
      </c>
      <c r="H311" s="21">
        <v>0.0</v>
      </c>
      <c r="I311" s="22">
        <v>0.0</v>
      </c>
      <c r="J311" s="29"/>
      <c r="K311" s="48">
        <f>7500/100</f>
        <v>75</v>
      </c>
      <c r="L311" s="44">
        <v>300.0</v>
      </c>
      <c r="M311" s="25"/>
      <c r="N311" s="70"/>
      <c r="O311" s="27">
        <f t="shared" si="39"/>
        <v>3</v>
      </c>
      <c r="P311" s="28">
        <f t="shared" si="40"/>
        <v>0</v>
      </c>
    </row>
    <row r="312" hidden="1">
      <c r="A312" s="16" t="s">
        <v>526</v>
      </c>
      <c r="B312" s="36"/>
      <c r="C312" s="18"/>
      <c r="D312" s="4" t="s">
        <v>527</v>
      </c>
      <c r="E312" s="19">
        <v>0.0</v>
      </c>
      <c r="F312" s="19">
        <v>0.0</v>
      </c>
      <c r="G312" s="16" t="s">
        <v>516</v>
      </c>
      <c r="H312" s="21">
        <v>0.0</v>
      </c>
      <c r="I312" s="22">
        <v>0.0</v>
      </c>
      <c r="J312" s="29"/>
      <c r="K312" s="43">
        <f>9000/100</f>
        <v>90</v>
      </c>
      <c r="L312" s="44">
        <v>300.0</v>
      </c>
      <c r="M312" s="25"/>
      <c r="N312" s="69"/>
      <c r="O312" s="27">
        <f t="shared" si="39"/>
        <v>2.333333333</v>
      </c>
      <c r="P312" s="28">
        <f t="shared" si="40"/>
        <v>0</v>
      </c>
    </row>
    <row r="313" hidden="1">
      <c r="A313" s="16" t="s">
        <v>528</v>
      </c>
      <c r="B313" s="36"/>
      <c r="C313" s="18"/>
      <c r="D313" s="4" t="s">
        <v>527</v>
      </c>
      <c r="E313" s="19">
        <v>0.0</v>
      </c>
      <c r="F313" s="19">
        <v>0.0</v>
      </c>
      <c r="G313" s="16" t="s">
        <v>516</v>
      </c>
      <c r="H313" s="21">
        <v>0.0</v>
      </c>
      <c r="I313" s="22">
        <v>0.0</v>
      </c>
      <c r="J313" s="22"/>
      <c r="K313" s="43">
        <f>10000/100</f>
        <v>100</v>
      </c>
      <c r="L313" s="44">
        <v>500.0</v>
      </c>
      <c r="M313" s="25"/>
      <c r="N313" s="69"/>
      <c r="O313" s="27">
        <f t="shared" si="39"/>
        <v>4</v>
      </c>
      <c r="P313" s="28">
        <f t="shared" si="40"/>
        <v>0</v>
      </c>
    </row>
    <row r="314" hidden="1">
      <c r="A314" s="16" t="s">
        <v>529</v>
      </c>
      <c r="B314" s="36" t="s">
        <v>515</v>
      </c>
      <c r="C314" s="18"/>
      <c r="D314" s="4"/>
      <c r="E314" s="19">
        <v>0.0</v>
      </c>
      <c r="F314" s="19">
        <v>0.0</v>
      </c>
      <c r="G314" s="16" t="s">
        <v>516</v>
      </c>
      <c r="H314" s="21">
        <v>0.0</v>
      </c>
      <c r="I314" s="22">
        <v>0.0</v>
      </c>
      <c r="J314" s="29"/>
      <c r="K314" s="48">
        <f>2800/100</f>
        <v>28</v>
      </c>
      <c r="L314" s="44">
        <v>100.0</v>
      </c>
      <c r="M314" s="25"/>
      <c r="N314" s="70"/>
      <c r="O314" s="27">
        <f t="shared" si="39"/>
        <v>2.571428571</v>
      </c>
      <c r="P314" s="28">
        <f t="shared" si="40"/>
        <v>0</v>
      </c>
    </row>
    <row r="315" hidden="1">
      <c r="A315" s="16" t="s">
        <v>530</v>
      </c>
      <c r="B315" s="36" t="s">
        <v>515</v>
      </c>
      <c r="C315" s="18"/>
      <c r="D315" s="4"/>
      <c r="E315" s="19">
        <v>0.0</v>
      </c>
      <c r="F315" s="19">
        <v>0.0</v>
      </c>
      <c r="G315" s="16" t="s">
        <v>516</v>
      </c>
      <c r="H315" s="21">
        <v>0.0</v>
      </c>
      <c r="I315" s="22">
        <v>0.0</v>
      </c>
      <c r="J315" s="29"/>
      <c r="K315" s="48">
        <f>3900/100</f>
        <v>39</v>
      </c>
      <c r="L315" s="44">
        <v>200.0</v>
      </c>
      <c r="M315" s="25"/>
      <c r="N315" s="70"/>
      <c r="O315" s="27">
        <f t="shared" si="39"/>
        <v>4.128205128</v>
      </c>
      <c r="P315" s="28">
        <f t="shared" si="40"/>
        <v>0</v>
      </c>
    </row>
    <row r="316" hidden="1">
      <c r="A316" s="16" t="s">
        <v>531</v>
      </c>
      <c r="B316" s="17" t="s">
        <v>532</v>
      </c>
      <c r="C316" s="18"/>
      <c r="D316" s="4"/>
      <c r="E316" s="19">
        <v>0.0</v>
      </c>
      <c r="F316" s="19">
        <v>0.0</v>
      </c>
      <c r="G316" s="16" t="s">
        <v>533</v>
      </c>
      <c r="H316" s="21"/>
      <c r="I316" s="22"/>
      <c r="J316" s="58">
        <v>46661.0</v>
      </c>
      <c r="K316" s="32">
        <v>6500.0</v>
      </c>
      <c r="L316" s="24">
        <v>20000.0</v>
      </c>
      <c r="M316" s="25"/>
      <c r="N316" s="70"/>
      <c r="O316" s="27">
        <f t="shared" si="39"/>
        <v>2.076923077</v>
      </c>
      <c r="P316" s="28">
        <f t="shared" si="40"/>
        <v>0</v>
      </c>
    </row>
    <row r="317" hidden="1">
      <c r="A317" s="16" t="s">
        <v>534</v>
      </c>
      <c r="B317" s="17"/>
      <c r="C317" s="18"/>
      <c r="D317" s="4"/>
      <c r="E317" s="19">
        <v>0.0</v>
      </c>
      <c r="F317" s="19"/>
      <c r="G317" s="16" t="s">
        <v>535</v>
      </c>
      <c r="H317" s="21"/>
      <c r="I317" s="22"/>
      <c r="J317" s="58">
        <v>46661.0</v>
      </c>
      <c r="K317" s="32">
        <v>10500.0</v>
      </c>
      <c r="L317" s="24">
        <v>22000.0</v>
      </c>
      <c r="M317" s="25"/>
      <c r="N317" s="70">
        <v>18000.0</v>
      </c>
      <c r="O317" s="27">
        <f t="shared" si="39"/>
        <v>1.095238095</v>
      </c>
      <c r="P317" s="28">
        <f t="shared" si="40"/>
        <v>0</v>
      </c>
    </row>
    <row r="318" hidden="1">
      <c r="A318" s="16" t="s">
        <v>536</v>
      </c>
      <c r="B318" s="17" t="s">
        <v>537</v>
      </c>
      <c r="C318" s="18"/>
      <c r="D318" s="4"/>
      <c r="E318" s="19">
        <v>0.0</v>
      </c>
      <c r="F318" s="19"/>
      <c r="G318" s="16" t="s">
        <v>535</v>
      </c>
      <c r="H318" s="21"/>
      <c r="I318" s="22"/>
      <c r="J318" s="29"/>
      <c r="K318" s="32">
        <v>16000.0</v>
      </c>
      <c r="L318" s="24">
        <v>32000.0</v>
      </c>
      <c r="M318" s="25"/>
      <c r="N318" s="70">
        <v>28000.0</v>
      </c>
      <c r="O318" s="27">
        <f t="shared" si="39"/>
        <v>1</v>
      </c>
      <c r="P318" s="28">
        <f t="shared" si="40"/>
        <v>0</v>
      </c>
    </row>
    <row r="319" hidden="1">
      <c r="A319" s="16" t="s">
        <v>538</v>
      </c>
      <c r="B319" s="17" t="s">
        <v>539</v>
      </c>
      <c r="C319" s="18"/>
      <c r="D319" s="4"/>
      <c r="E319" s="19">
        <v>0.0</v>
      </c>
      <c r="F319" s="19"/>
      <c r="G319" s="16" t="s">
        <v>535</v>
      </c>
      <c r="H319" s="21"/>
      <c r="I319" s="22"/>
      <c r="J319" s="29"/>
      <c r="K319" s="32">
        <v>32000.0</v>
      </c>
      <c r="L319" s="24">
        <v>48000.0</v>
      </c>
      <c r="M319" s="25"/>
      <c r="N319" s="70">
        <v>42000.0</v>
      </c>
      <c r="O319" s="27">
        <f t="shared" si="39"/>
        <v>0.5</v>
      </c>
      <c r="P319" s="28">
        <f t="shared" si="40"/>
        <v>0</v>
      </c>
    </row>
    <row r="320" hidden="1">
      <c r="A320" s="16" t="s">
        <v>540</v>
      </c>
      <c r="B320" s="36" t="s">
        <v>541</v>
      </c>
      <c r="C320" s="18"/>
      <c r="D320" s="4"/>
      <c r="E320" s="19">
        <v>0.0</v>
      </c>
      <c r="F320" s="19"/>
      <c r="G320" s="16" t="s">
        <v>535</v>
      </c>
      <c r="H320" s="21"/>
      <c r="I320" s="22"/>
      <c r="J320" s="29"/>
      <c r="K320" s="43">
        <v>45000.0</v>
      </c>
      <c r="L320" s="44">
        <v>110000.0</v>
      </c>
      <c r="M320" s="25"/>
      <c r="N320" s="70"/>
      <c r="O320" s="27">
        <f t="shared" si="39"/>
        <v>1.444444444</v>
      </c>
      <c r="P320" s="28">
        <f t="shared" si="40"/>
        <v>0</v>
      </c>
    </row>
    <row r="321" hidden="1">
      <c r="A321" s="16" t="s">
        <v>542</v>
      </c>
      <c r="B321" s="36" t="s">
        <v>543</v>
      </c>
      <c r="C321" s="18"/>
      <c r="D321" s="4"/>
      <c r="E321" s="19">
        <v>0.0</v>
      </c>
      <c r="F321" s="19"/>
      <c r="G321" s="16" t="s">
        <v>535</v>
      </c>
      <c r="H321" s="21"/>
      <c r="I321" s="22"/>
      <c r="J321" s="29"/>
      <c r="K321" s="32">
        <v>80000.0</v>
      </c>
      <c r="L321" s="24">
        <v>170000.0</v>
      </c>
      <c r="M321" s="25"/>
      <c r="N321" s="70"/>
      <c r="O321" s="27">
        <f t="shared" si="39"/>
        <v>1.125</v>
      </c>
      <c r="P321" s="28">
        <f t="shared" si="40"/>
        <v>0</v>
      </c>
    </row>
    <row r="322" hidden="1">
      <c r="A322" s="16" t="s">
        <v>544</v>
      </c>
      <c r="B322" s="36"/>
      <c r="C322" s="18"/>
      <c r="D322" s="4"/>
      <c r="E322" s="19">
        <v>0.0</v>
      </c>
      <c r="F322" s="19"/>
      <c r="G322" s="16" t="s">
        <v>516</v>
      </c>
      <c r="H322" s="21"/>
      <c r="I322" s="22"/>
      <c r="J322" s="29"/>
      <c r="K322" s="43">
        <f t="shared" ref="K322:K323" si="41">16500/100</f>
        <v>165</v>
      </c>
      <c r="L322" s="44">
        <v>200.0</v>
      </c>
      <c r="M322" s="25"/>
      <c r="N322" s="69"/>
      <c r="O322" s="27">
        <f t="shared" si="39"/>
        <v>0.2121212121</v>
      </c>
      <c r="P322" s="28">
        <f t="shared" si="40"/>
        <v>0</v>
      </c>
    </row>
    <row r="323" hidden="1">
      <c r="A323" s="16" t="s">
        <v>545</v>
      </c>
      <c r="B323" s="36"/>
      <c r="C323" s="18"/>
      <c r="D323" s="4"/>
      <c r="E323" s="19">
        <v>0.0</v>
      </c>
      <c r="F323" s="19"/>
      <c r="G323" s="16" t="s">
        <v>516</v>
      </c>
      <c r="H323" s="21"/>
      <c r="I323" s="22"/>
      <c r="J323" s="29"/>
      <c r="K323" s="43">
        <f t="shared" si="41"/>
        <v>165</v>
      </c>
      <c r="L323" s="44">
        <v>200.0</v>
      </c>
      <c r="M323" s="25"/>
      <c r="N323" s="69"/>
      <c r="O323" s="27">
        <f t="shared" si="39"/>
        <v>0.2121212121</v>
      </c>
      <c r="P323" s="28">
        <f t="shared" si="40"/>
        <v>0</v>
      </c>
    </row>
    <row r="324" hidden="1">
      <c r="A324" s="16" t="s">
        <v>546</v>
      </c>
      <c r="B324" s="36"/>
      <c r="C324" s="18" t="s">
        <v>547</v>
      </c>
      <c r="D324" s="4"/>
      <c r="E324" s="19">
        <v>0.0</v>
      </c>
      <c r="F324" s="19"/>
      <c r="G324" s="16" t="s">
        <v>516</v>
      </c>
      <c r="H324" s="21"/>
      <c r="I324" s="22"/>
      <c r="J324" s="29"/>
      <c r="K324" s="43">
        <f>2000/100</f>
        <v>20</v>
      </c>
      <c r="L324" s="44">
        <v>50.0</v>
      </c>
      <c r="M324" s="25"/>
      <c r="N324" s="69"/>
      <c r="O324" s="27">
        <f t="shared" si="39"/>
        <v>1.5</v>
      </c>
      <c r="P324" s="28">
        <f t="shared" si="40"/>
        <v>0</v>
      </c>
    </row>
    <row r="325" hidden="1">
      <c r="A325" s="119" t="s">
        <v>548</v>
      </c>
      <c r="B325" s="36"/>
      <c r="C325" s="18"/>
      <c r="D325" s="4"/>
      <c r="E325" s="19">
        <v>0.0</v>
      </c>
      <c r="F325" s="19"/>
      <c r="G325" s="16" t="s">
        <v>516</v>
      </c>
      <c r="H325" s="21"/>
      <c r="I325" s="22"/>
      <c r="J325" s="29"/>
      <c r="K325" s="43">
        <f>1500/100</f>
        <v>15</v>
      </c>
      <c r="L325" s="44">
        <v>500.0</v>
      </c>
      <c r="M325" s="25"/>
      <c r="N325" s="70"/>
      <c r="O325" s="27">
        <f t="shared" si="39"/>
        <v>32.33333333</v>
      </c>
      <c r="P325" s="28">
        <f t="shared" si="40"/>
        <v>0</v>
      </c>
    </row>
    <row r="326" hidden="1">
      <c r="A326" s="16" t="s">
        <v>549</v>
      </c>
      <c r="B326" s="36" t="s">
        <v>515</v>
      </c>
      <c r="C326" s="18"/>
      <c r="D326" s="4"/>
      <c r="E326" s="19">
        <v>0.0</v>
      </c>
      <c r="F326" s="19"/>
      <c r="G326" s="16" t="s">
        <v>516</v>
      </c>
      <c r="H326" s="21"/>
      <c r="I326" s="22"/>
      <c r="J326" s="29"/>
      <c r="K326" s="48">
        <f t="shared" ref="K326:K327" si="42">9600/100</f>
        <v>96</v>
      </c>
      <c r="L326" s="44">
        <v>200.0</v>
      </c>
      <c r="M326" s="25"/>
      <c r="N326" s="70"/>
      <c r="O326" s="27">
        <f t="shared" si="39"/>
        <v>1.083333333</v>
      </c>
      <c r="P326" s="28">
        <f t="shared" si="40"/>
        <v>0</v>
      </c>
    </row>
    <row r="327" hidden="1">
      <c r="A327" s="16" t="s">
        <v>550</v>
      </c>
      <c r="B327" s="36" t="s">
        <v>515</v>
      </c>
      <c r="C327" s="18"/>
      <c r="D327" s="4"/>
      <c r="E327" s="19">
        <v>0.0</v>
      </c>
      <c r="F327" s="19"/>
      <c r="G327" s="16" t="s">
        <v>516</v>
      </c>
      <c r="H327" s="21"/>
      <c r="I327" s="22"/>
      <c r="J327" s="29"/>
      <c r="K327" s="48">
        <f t="shared" si="42"/>
        <v>96</v>
      </c>
      <c r="L327" s="44">
        <v>200.0</v>
      </c>
      <c r="M327" s="25"/>
      <c r="N327" s="69"/>
      <c r="O327" s="27">
        <f t="shared" si="39"/>
        <v>1.083333333</v>
      </c>
      <c r="P327" s="28">
        <f t="shared" si="40"/>
        <v>0</v>
      </c>
    </row>
    <row r="328" hidden="1">
      <c r="A328" s="52" t="s">
        <v>551</v>
      </c>
      <c r="B328" s="17"/>
      <c r="C328" s="18"/>
      <c r="D328" s="4"/>
      <c r="E328" s="19">
        <v>0.0</v>
      </c>
      <c r="F328" s="19">
        <v>0.0</v>
      </c>
      <c r="G328" s="20" t="s">
        <v>437</v>
      </c>
      <c r="H328" s="21"/>
      <c r="I328" s="22" t="s">
        <v>99</v>
      </c>
      <c r="J328" s="29"/>
      <c r="K328" s="32">
        <v>2500.0</v>
      </c>
      <c r="L328" s="24">
        <v>4000.0</v>
      </c>
      <c r="M328" s="25"/>
      <c r="N328" s="70"/>
      <c r="O328" s="27">
        <f t="shared" si="39"/>
        <v>0.6</v>
      </c>
      <c r="P328" s="28">
        <f t="shared" si="40"/>
        <v>0</v>
      </c>
    </row>
    <row r="329" hidden="1">
      <c r="A329" s="16" t="s">
        <v>552</v>
      </c>
      <c r="B329" s="36"/>
      <c r="C329" s="18"/>
      <c r="D329" s="4"/>
      <c r="E329" s="19">
        <v>0.0</v>
      </c>
      <c r="F329" s="19"/>
      <c r="G329" s="16" t="s">
        <v>553</v>
      </c>
      <c r="H329" s="21"/>
      <c r="I329" s="22"/>
      <c r="J329" s="29"/>
      <c r="K329" s="43">
        <v>500.0</v>
      </c>
      <c r="L329" s="43">
        <v>1.0</v>
      </c>
      <c r="M329" s="25"/>
      <c r="N329" s="26"/>
      <c r="O329" s="27">
        <f t="shared" si="39"/>
        <v>-0.998</v>
      </c>
      <c r="P329" s="28">
        <f t="shared" si="40"/>
        <v>0</v>
      </c>
    </row>
    <row r="330" hidden="1">
      <c r="A330" s="16" t="s">
        <v>554</v>
      </c>
      <c r="B330" s="36"/>
      <c r="C330" s="18"/>
      <c r="D330" s="4"/>
      <c r="E330" s="19">
        <v>0.0</v>
      </c>
      <c r="F330" s="19">
        <v>5.0</v>
      </c>
      <c r="G330" s="16" t="s">
        <v>555</v>
      </c>
      <c r="H330" s="21"/>
      <c r="I330" s="22">
        <v>40.0</v>
      </c>
      <c r="J330" s="29"/>
      <c r="K330" s="43">
        <v>900.0</v>
      </c>
      <c r="L330" s="44">
        <v>2000.0</v>
      </c>
      <c r="M330" s="25"/>
      <c r="N330" s="69"/>
      <c r="O330" s="27">
        <f t="shared" si="39"/>
        <v>1.222222222</v>
      </c>
      <c r="P330" s="28">
        <f t="shared" si="40"/>
        <v>4500</v>
      </c>
    </row>
    <row r="331" hidden="1">
      <c r="A331" s="59" t="s">
        <v>556</v>
      </c>
      <c r="B331" s="97" t="s">
        <v>557</v>
      </c>
      <c r="C331" s="18" t="s">
        <v>558</v>
      </c>
      <c r="D331" s="98"/>
      <c r="E331" s="19">
        <v>0.0</v>
      </c>
      <c r="F331" s="128"/>
      <c r="G331" s="20" t="s">
        <v>485</v>
      </c>
      <c r="H331" s="21">
        <v>0.0</v>
      </c>
      <c r="I331" s="22"/>
      <c r="J331" s="29"/>
      <c r="K331" s="43">
        <v>75000.0</v>
      </c>
      <c r="L331" s="43">
        <v>90000.0</v>
      </c>
      <c r="M331" s="25"/>
      <c r="N331" s="26"/>
      <c r="O331" s="27">
        <f t="shared" si="39"/>
        <v>0.2</v>
      </c>
      <c r="P331" s="28">
        <f t="shared" si="40"/>
        <v>0</v>
      </c>
    </row>
    <row r="332" hidden="1">
      <c r="A332" s="16" t="s">
        <v>559</v>
      </c>
      <c r="B332" s="17" t="s">
        <v>560</v>
      </c>
      <c r="C332" s="18"/>
      <c r="D332" s="4"/>
      <c r="E332" s="19">
        <v>0.0</v>
      </c>
      <c r="F332" s="19">
        <v>0.0</v>
      </c>
      <c r="G332" s="16" t="s">
        <v>561</v>
      </c>
      <c r="H332" s="21"/>
      <c r="I332" s="22" t="s">
        <v>99</v>
      </c>
      <c r="J332" s="29"/>
      <c r="K332" s="43">
        <v>14800.0</v>
      </c>
      <c r="L332" s="44">
        <v>24000.0</v>
      </c>
      <c r="M332" s="25"/>
      <c r="N332" s="50">
        <v>17000.0</v>
      </c>
      <c r="O332" s="27">
        <f t="shared" si="39"/>
        <v>0.6216216216</v>
      </c>
      <c r="P332" s="28">
        <f t="shared" si="40"/>
        <v>0</v>
      </c>
    </row>
    <row r="333" hidden="1">
      <c r="A333" s="135" t="s">
        <v>562</v>
      </c>
      <c r="B333" s="17"/>
      <c r="C333" s="18"/>
      <c r="D333" s="4"/>
      <c r="E333" s="19">
        <v>3.0</v>
      </c>
      <c r="F333" s="19">
        <v>0.0</v>
      </c>
      <c r="G333" s="20" t="s">
        <v>563</v>
      </c>
      <c r="H333" s="21"/>
      <c r="I333" s="22">
        <v>1.0</v>
      </c>
      <c r="J333" s="23"/>
      <c r="K333" s="55">
        <f>32000*0.9*1.19</f>
        <v>34272</v>
      </c>
      <c r="L333" s="55">
        <v>56000.0</v>
      </c>
      <c r="M333" s="25"/>
      <c r="N333" s="70"/>
      <c r="O333" s="27">
        <f t="shared" si="39"/>
        <v>0.6339869281</v>
      </c>
      <c r="P333" s="28">
        <f t="shared" si="40"/>
        <v>0</v>
      </c>
    </row>
    <row r="334" hidden="1">
      <c r="A334" s="135" t="s">
        <v>564</v>
      </c>
      <c r="B334" s="136" t="s">
        <v>565</v>
      </c>
      <c r="C334" s="18"/>
      <c r="D334" s="4"/>
      <c r="E334" s="19">
        <v>0.0</v>
      </c>
      <c r="F334" s="19">
        <v>1.0</v>
      </c>
      <c r="G334" s="20" t="s">
        <v>563</v>
      </c>
      <c r="H334" s="21"/>
      <c r="I334" s="22">
        <v>0.0</v>
      </c>
      <c r="J334" s="23"/>
      <c r="K334" s="55">
        <f>38000*0.9*1.19</f>
        <v>40698</v>
      </c>
      <c r="L334" s="55">
        <v>60000.0</v>
      </c>
      <c r="M334" s="25"/>
      <c r="N334" s="70"/>
      <c r="O334" s="27">
        <f t="shared" si="39"/>
        <v>0.4742739201</v>
      </c>
      <c r="P334" s="28">
        <f t="shared" si="40"/>
        <v>40698</v>
      </c>
    </row>
    <row r="335" hidden="1">
      <c r="A335" s="40" t="s">
        <v>566</v>
      </c>
      <c r="B335" s="17"/>
      <c r="C335" s="18"/>
      <c r="D335" s="4"/>
      <c r="E335" s="19">
        <v>0.0</v>
      </c>
      <c r="F335" s="19">
        <v>0.0</v>
      </c>
      <c r="G335" s="16" t="s">
        <v>26</v>
      </c>
      <c r="H335" s="21"/>
      <c r="I335" s="22">
        <v>0.0</v>
      </c>
      <c r="J335" s="29"/>
      <c r="K335" s="43">
        <v>3500.0</v>
      </c>
      <c r="L335" s="44">
        <v>6000.0</v>
      </c>
      <c r="M335" s="25"/>
      <c r="N335" s="26"/>
      <c r="O335" s="27">
        <f t="shared" si="39"/>
        <v>0.7142857143</v>
      </c>
      <c r="P335" s="28">
        <f t="shared" si="40"/>
        <v>0</v>
      </c>
    </row>
    <row r="336" hidden="1">
      <c r="A336" s="52" t="s">
        <v>567</v>
      </c>
      <c r="B336" s="17"/>
      <c r="C336" s="18"/>
      <c r="D336" s="4"/>
      <c r="E336" s="19">
        <v>0.0</v>
      </c>
      <c r="F336" s="19">
        <v>0.0</v>
      </c>
      <c r="G336" s="16" t="s">
        <v>563</v>
      </c>
      <c r="H336" s="21"/>
      <c r="I336" s="22">
        <v>0.0</v>
      </c>
      <c r="J336" s="29"/>
      <c r="K336" s="43">
        <f>5500*1.19</f>
        <v>6545</v>
      </c>
      <c r="L336" s="44">
        <v>10000.0</v>
      </c>
      <c r="M336" s="25"/>
      <c r="N336" s="26"/>
      <c r="O336" s="27">
        <f t="shared" si="39"/>
        <v>0.5278838808</v>
      </c>
      <c r="P336" s="28">
        <f t="shared" si="40"/>
        <v>0</v>
      </c>
    </row>
    <row r="337" hidden="1">
      <c r="A337" s="52" t="s">
        <v>568</v>
      </c>
      <c r="B337" s="17"/>
      <c r="C337" s="18"/>
      <c r="D337" s="4"/>
      <c r="E337" s="19">
        <v>0.0</v>
      </c>
      <c r="F337" s="19"/>
      <c r="G337" s="16" t="s">
        <v>569</v>
      </c>
      <c r="H337" s="21"/>
      <c r="I337" s="22"/>
      <c r="J337" s="29">
        <f t="shared" ref="J337:K337" si="43">5400*1.19</f>
        <v>6426</v>
      </c>
      <c r="K337" s="48">
        <f t="shared" si="43"/>
        <v>6426</v>
      </c>
      <c r="L337" s="55">
        <v>10000.0</v>
      </c>
      <c r="M337" s="25"/>
      <c r="N337" s="26">
        <v>9000.0</v>
      </c>
      <c r="O337" s="27">
        <f t="shared" si="39"/>
        <v>0.5561780268</v>
      </c>
      <c r="P337" s="28">
        <f t="shared" si="40"/>
        <v>0</v>
      </c>
    </row>
    <row r="338" hidden="1">
      <c r="A338" s="135" t="s">
        <v>570</v>
      </c>
      <c r="B338" s="17"/>
      <c r="C338" s="18"/>
      <c r="D338" s="4"/>
      <c r="E338" s="19">
        <v>0.0</v>
      </c>
      <c r="F338" s="19">
        <v>0.0</v>
      </c>
      <c r="G338" s="20"/>
      <c r="H338" s="21"/>
      <c r="I338" s="22">
        <v>9.0</v>
      </c>
      <c r="J338" s="23"/>
      <c r="K338" s="24"/>
      <c r="L338" s="24"/>
      <c r="M338" s="25"/>
      <c r="N338" s="70"/>
      <c r="O338" s="27"/>
      <c r="P338" s="28"/>
    </row>
    <row r="339" hidden="1">
      <c r="A339" s="16" t="s">
        <v>571</v>
      </c>
      <c r="B339" s="36"/>
      <c r="C339" s="18"/>
      <c r="D339" s="4"/>
      <c r="E339" s="19"/>
      <c r="F339" s="19"/>
      <c r="G339" s="16" t="s">
        <v>572</v>
      </c>
      <c r="H339" s="21"/>
      <c r="I339" s="22"/>
      <c r="J339" s="29"/>
      <c r="K339" s="43">
        <v>3500.0</v>
      </c>
      <c r="L339" s="44">
        <v>6000.0</v>
      </c>
      <c r="M339" s="25"/>
      <c r="N339" s="26"/>
      <c r="O339" s="27">
        <f t="shared" ref="O339:O358" si="44">(L339/K339)-1</f>
        <v>0.7142857143</v>
      </c>
      <c r="P339" s="28">
        <f t="shared" ref="P339:P358" si="45">K339*F339</f>
        <v>0</v>
      </c>
    </row>
    <row r="340" hidden="1">
      <c r="A340" s="16" t="s">
        <v>573</v>
      </c>
      <c r="B340" s="36"/>
      <c r="C340" s="18"/>
      <c r="D340" s="4"/>
      <c r="E340" s="19"/>
      <c r="F340" s="19"/>
      <c r="G340" s="16" t="s">
        <v>572</v>
      </c>
      <c r="H340" s="21"/>
      <c r="I340" s="22"/>
      <c r="J340" s="29"/>
      <c r="K340" s="43">
        <v>4900.0</v>
      </c>
      <c r="L340" s="44">
        <v>7000.0</v>
      </c>
      <c r="M340" s="25"/>
      <c r="N340" s="26"/>
      <c r="O340" s="27">
        <f t="shared" si="44"/>
        <v>0.4285714286</v>
      </c>
      <c r="P340" s="28">
        <f t="shared" si="45"/>
        <v>0</v>
      </c>
    </row>
    <row r="341" hidden="1">
      <c r="A341" s="16" t="s">
        <v>574</v>
      </c>
      <c r="B341" s="36"/>
      <c r="C341" s="18"/>
      <c r="D341" s="4"/>
      <c r="E341" s="19"/>
      <c r="F341" s="19"/>
      <c r="G341" s="16" t="s">
        <v>575</v>
      </c>
      <c r="H341" s="21"/>
      <c r="I341" s="22"/>
      <c r="J341" s="29"/>
      <c r="K341" s="43">
        <v>14400.0</v>
      </c>
      <c r="L341" s="44">
        <v>22000.0</v>
      </c>
      <c r="M341" s="25"/>
      <c r="N341" s="26"/>
      <c r="O341" s="27">
        <f t="shared" si="44"/>
        <v>0.5277777778</v>
      </c>
      <c r="P341" s="28">
        <f t="shared" si="45"/>
        <v>0</v>
      </c>
    </row>
    <row r="342" hidden="1">
      <c r="A342" s="16" t="s">
        <v>576</v>
      </c>
      <c r="B342" s="36"/>
      <c r="C342" s="18"/>
      <c r="D342" s="4"/>
      <c r="E342" s="19">
        <v>0.0</v>
      </c>
      <c r="F342" s="19">
        <v>0.0</v>
      </c>
      <c r="G342" s="16" t="s">
        <v>577</v>
      </c>
      <c r="H342" s="21"/>
      <c r="I342" s="22">
        <v>1.0</v>
      </c>
      <c r="J342" s="29"/>
      <c r="K342" s="32">
        <f>56280*1.19</f>
        <v>66973.2</v>
      </c>
      <c r="L342" s="32">
        <v>83000.0</v>
      </c>
      <c r="M342" s="25"/>
      <c r="N342" s="26"/>
      <c r="O342" s="27">
        <f t="shared" si="44"/>
        <v>0.2393016908</v>
      </c>
      <c r="P342" s="28">
        <f t="shared" si="45"/>
        <v>0</v>
      </c>
    </row>
    <row r="343" hidden="1">
      <c r="A343" s="16" t="s">
        <v>578</v>
      </c>
      <c r="B343" s="36"/>
      <c r="C343" s="18"/>
      <c r="D343" s="4"/>
      <c r="E343" s="19"/>
      <c r="F343" s="19"/>
      <c r="G343" s="16" t="s">
        <v>575</v>
      </c>
      <c r="H343" s="21"/>
      <c r="I343" s="22"/>
      <c r="J343" s="29"/>
      <c r="K343" s="43">
        <v>2500.0</v>
      </c>
      <c r="L343" s="44">
        <v>6000.0</v>
      </c>
      <c r="M343" s="25"/>
      <c r="N343" s="26"/>
      <c r="O343" s="27">
        <f t="shared" si="44"/>
        <v>1.4</v>
      </c>
      <c r="P343" s="28">
        <f t="shared" si="45"/>
        <v>0</v>
      </c>
    </row>
    <row r="344" hidden="1">
      <c r="A344" s="16" t="s">
        <v>579</v>
      </c>
      <c r="B344" s="36"/>
      <c r="C344" s="38"/>
      <c r="D344" s="4"/>
      <c r="E344" s="19">
        <v>0.0</v>
      </c>
      <c r="F344" s="62">
        <v>0.0</v>
      </c>
      <c r="G344" s="16" t="s">
        <v>580</v>
      </c>
      <c r="H344" s="21"/>
      <c r="I344" s="22">
        <v>1.0</v>
      </c>
      <c r="J344" s="29"/>
      <c r="K344" s="30">
        <v>30173.699999999997</v>
      </c>
      <c r="L344" s="46">
        <v>95000.0</v>
      </c>
      <c r="M344" s="25"/>
      <c r="N344" s="26"/>
      <c r="O344" s="27">
        <f t="shared" si="44"/>
        <v>2.148437215</v>
      </c>
      <c r="P344" s="28">
        <f t="shared" si="45"/>
        <v>0</v>
      </c>
    </row>
    <row r="345" hidden="1">
      <c r="A345" s="16" t="s">
        <v>581</v>
      </c>
      <c r="B345" s="51" t="s">
        <v>582</v>
      </c>
      <c r="C345" s="18" t="s">
        <v>55</v>
      </c>
      <c r="D345" s="98"/>
      <c r="E345" s="19">
        <v>0.0</v>
      </c>
      <c r="F345" s="128"/>
      <c r="G345" s="20" t="s">
        <v>485</v>
      </c>
      <c r="H345" s="21">
        <v>0.0</v>
      </c>
      <c r="I345" s="22"/>
      <c r="J345" s="29"/>
      <c r="K345" s="43">
        <f>31953*1.19</f>
        <v>38024.07</v>
      </c>
      <c r="L345" s="44">
        <v>95000.0</v>
      </c>
      <c r="M345" s="25"/>
      <c r="N345" s="31"/>
      <c r="O345" s="27">
        <f t="shared" si="44"/>
        <v>1.49841745</v>
      </c>
      <c r="P345" s="28">
        <f t="shared" si="45"/>
        <v>0</v>
      </c>
    </row>
    <row r="346" hidden="1">
      <c r="A346" s="16" t="s">
        <v>583</v>
      </c>
      <c r="B346" s="36"/>
      <c r="C346" s="18"/>
      <c r="D346" s="4"/>
      <c r="E346" s="19"/>
      <c r="F346" s="19"/>
      <c r="G346" s="16" t="s">
        <v>572</v>
      </c>
      <c r="H346" s="21"/>
      <c r="I346" s="22"/>
      <c r="J346" s="29"/>
      <c r="K346" s="43">
        <v>3300.0</v>
      </c>
      <c r="L346" s="44">
        <v>12000.0</v>
      </c>
      <c r="M346" s="25"/>
      <c r="N346" s="26"/>
      <c r="O346" s="27">
        <f t="shared" si="44"/>
        <v>2.636363636</v>
      </c>
      <c r="P346" s="28">
        <f t="shared" si="45"/>
        <v>0</v>
      </c>
    </row>
    <row r="347" hidden="1">
      <c r="A347" s="16" t="s">
        <v>584</v>
      </c>
      <c r="B347" s="17"/>
      <c r="C347" s="18"/>
      <c r="D347" s="4"/>
      <c r="E347" s="19">
        <v>0.0</v>
      </c>
      <c r="F347" s="19">
        <v>0.0</v>
      </c>
      <c r="G347" s="137" t="s">
        <v>585</v>
      </c>
      <c r="H347" s="21"/>
      <c r="I347" s="22"/>
      <c r="J347" s="29"/>
      <c r="K347" s="48">
        <f>68000/100</f>
        <v>680</v>
      </c>
      <c r="L347" s="55">
        <v>2000.0</v>
      </c>
      <c r="M347" s="25"/>
      <c r="N347" s="26"/>
      <c r="O347" s="27">
        <f t="shared" si="44"/>
        <v>1.941176471</v>
      </c>
      <c r="P347" s="28">
        <f t="shared" si="45"/>
        <v>0</v>
      </c>
    </row>
    <row r="348" hidden="1">
      <c r="A348" s="16" t="s">
        <v>586</v>
      </c>
      <c r="B348" s="17"/>
      <c r="C348" s="18"/>
      <c r="D348" s="4" t="s">
        <v>587</v>
      </c>
      <c r="E348" s="19">
        <v>0.0</v>
      </c>
      <c r="F348" s="19">
        <v>0.0</v>
      </c>
      <c r="G348" s="16" t="s">
        <v>588</v>
      </c>
      <c r="H348" s="21"/>
      <c r="I348" s="22">
        <v>0.0</v>
      </c>
      <c r="J348" s="29"/>
      <c r="K348" s="43">
        <v>762.0</v>
      </c>
      <c r="L348" s="44">
        <v>2000.0</v>
      </c>
      <c r="M348" s="25"/>
      <c r="N348" s="26"/>
      <c r="O348" s="27">
        <f t="shared" si="44"/>
        <v>1.624671916</v>
      </c>
      <c r="P348" s="28">
        <f t="shared" si="45"/>
        <v>0</v>
      </c>
    </row>
    <row r="349" hidden="1">
      <c r="A349" s="16" t="s">
        <v>589</v>
      </c>
      <c r="B349" s="36"/>
      <c r="C349" s="18"/>
      <c r="D349" s="4"/>
      <c r="E349" s="19">
        <v>0.0</v>
      </c>
      <c r="F349" s="19">
        <v>0.0</v>
      </c>
      <c r="G349" s="16" t="s">
        <v>590</v>
      </c>
      <c r="H349" s="21">
        <v>9.0</v>
      </c>
      <c r="I349" s="22">
        <v>14.0</v>
      </c>
      <c r="J349" s="29"/>
      <c r="K349" s="32">
        <f>4900*1.19</f>
        <v>5831</v>
      </c>
      <c r="L349" s="24">
        <v>10000.0</v>
      </c>
      <c r="M349" s="25"/>
      <c r="N349" s="31"/>
      <c r="O349" s="27">
        <f t="shared" si="44"/>
        <v>0.714971703</v>
      </c>
      <c r="P349" s="28">
        <f t="shared" si="45"/>
        <v>0</v>
      </c>
    </row>
    <row r="350" hidden="1">
      <c r="A350" s="16" t="s">
        <v>591</v>
      </c>
      <c r="B350" s="49"/>
      <c r="C350" s="92"/>
      <c r="D350" s="4"/>
      <c r="E350" s="19">
        <v>0.0</v>
      </c>
      <c r="F350" s="19">
        <v>0.0</v>
      </c>
      <c r="G350" s="16" t="s">
        <v>590</v>
      </c>
      <c r="H350" s="21">
        <v>14.0</v>
      </c>
      <c r="I350" s="22">
        <v>27.0</v>
      </c>
      <c r="J350" s="29"/>
      <c r="K350" s="32">
        <f>8571*0.85*1.19</f>
        <v>8669.5665</v>
      </c>
      <c r="L350" s="24">
        <v>15000.0</v>
      </c>
      <c r="M350" s="25"/>
      <c r="N350" s="31"/>
      <c r="O350" s="27">
        <f t="shared" si="44"/>
        <v>0.7301903157</v>
      </c>
      <c r="P350" s="28">
        <f t="shared" si="45"/>
        <v>0</v>
      </c>
    </row>
    <row r="351" hidden="1">
      <c r="A351" s="16" t="s">
        <v>592</v>
      </c>
      <c r="B351" s="49"/>
      <c r="C351" s="92"/>
      <c r="D351" s="4"/>
      <c r="E351" s="19">
        <v>20.0</v>
      </c>
      <c r="F351" s="19">
        <v>30.0</v>
      </c>
      <c r="G351" s="16" t="s">
        <v>590</v>
      </c>
      <c r="H351" s="21">
        <v>0.0</v>
      </c>
      <c r="I351" s="22">
        <v>2.0</v>
      </c>
      <c r="J351" s="29"/>
      <c r="K351" s="48">
        <f>9000*1.19</f>
        <v>10710</v>
      </c>
      <c r="L351" s="55">
        <v>19000.0</v>
      </c>
      <c r="M351" s="25"/>
      <c r="N351" s="31"/>
      <c r="O351" s="27">
        <f t="shared" si="44"/>
        <v>0.7740429505</v>
      </c>
      <c r="P351" s="28">
        <f t="shared" si="45"/>
        <v>321300</v>
      </c>
    </row>
    <row r="352" hidden="1">
      <c r="A352" s="16" t="s">
        <v>593</v>
      </c>
      <c r="B352" s="49"/>
      <c r="C352" s="92"/>
      <c r="D352" s="4"/>
      <c r="E352" s="19">
        <v>10.0</v>
      </c>
      <c r="F352" s="19">
        <v>20.0</v>
      </c>
      <c r="G352" s="16" t="s">
        <v>590</v>
      </c>
      <c r="H352" s="21">
        <v>7.0</v>
      </c>
      <c r="I352" s="22">
        <v>8.0</v>
      </c>
      <c r="J352" s="29"/>
      <c r="K352" s="48">
        <f>10700*1.19</f>
        <v>12733</v>
      </c>
      <c r="L352" s="55">
        <v>21000.0</v>
      </c>
      <c r="M352" s="25"/>
      <c r="N352" s="31"/>
      <c r="O352" s="27">
        <f t="shared" si="44"/>
        <v>0.649257834</v>
      </c>
      <c r="P352" s="28">
        <f t="shared" si="45"/>
        <v>254660</v>
      </c>
    </row>
    <row r="353" hidden="1">
      <c r="A353" s="16" t="s">
        <v>594</v>
      </c>
      <c r="B353" s="17" t="s">
        <v>595</v>
      </c>
      <c r="C353" s="18"/>
      <c r="D353" s="4"/>
      <c r="E353" s="19">
        <v>0.0</v>
      </c>
      <c r="F353" s="19">
        <v>0.0</v>
      </c>
      <c r="G353" s="138" t="s">
        <v>596</v>
      </c>
      <c r="H353" s="139"/>
      <c r="I353" s="22" t="s">
        <v>597</v>
      </c>
      <c r="J353" s="140"/>
      <c r="K353" s="141">
        <f>910*1.19</f>
        <v>1082.9</v>
      </c>
      <c r="L353" s="44">
        <v>2000.0</v>
      </c>
      <c r="M353" s="25"/>
      <c r="N353" s="26"/>
      <c r="O353" s="27">
        <f t="shared" si="44"/>
        <v>0.8468926032</v>
      </c>
      <c r="P353" s="28">
        <f t="shared" si="45"/>
        <v>0</v>
      </c>
    </row>
    <row r="354" hidden="1">
      <c r="A354" s="16" t="s">
        <v>598</v>
      </c>
      <c r="B354" s="17" t="s">
        <v>599</v>
      </c>
      <c r="C354" s="18"/>
      <c r="D354" s="4"/>
      <c r="E354" s="19">
        <v>0.0</v>
      </c>
      <c r="F354" s="19">
        <v>0.0</v>
      </c>
      <c r="G354" s="138" t="s">
        <v>600</v>
      </c>
      <c r="H354" s="21"/>
      <c r="I354" s="22">
        <f>86</f>
        <v>86</v>
      </c>
      <c r="J354" s="29"/>
      <c r="K354" s="48">
        <v>1285.0</v>
      </c>
      <c r="L354" s="55">
        <v>2000.0</v>
      </c>
      <c r="M354" s="25"/>
      <c r="N354" s="26"/>
      <c r="O354" s="27">
        <f t="shared" si="44"/>
        <v>0.5564202335</v>
      </c>
      <c r="P354" s="28">
        <f t="shared" si="45"/>
        <v>0</v>
      </c>
    </row>
    <row r="355" hidden="1">
      <c r="A355" s="16" t="s">
        <v>2859</v>
      </c>
      <c r="B355" s="17" t="s">
        <v>602</v>
      </c>
      <c r="C355" s="18"/>
      <c r="D355" s="4"/>
      <c r="E355" s="19">
        <v>0.0</v>
      </c>
      <c r="F355" s="19">
        <v>0.0</v>
      </c>
      <c r="G355" s="20" t="s">
        <v>600</v>
      </c>
      <c r="H355" s="21"/>
      <c r="I355" s="22" t="s">
        <v>603</v>
      </c>
      <c r="J355" s="29"/>
      <c r="K355" s="43">
        <v>1071.0</v>
      </c>
      <c r="L355" s="44">
        <v>2000.0</v>
      </c>
      <c r="M355" s="25"/>
      <c r="N355" s="26"/>
      <c r="O355" s="27">
        <f t="shared" si="44"/>
        <v>0.8674136321</v>
      </c>
      <c r="P355" s="28">
        <f t="shared" si="45"/>
        <v>0</v>
      </c>
    </row>
    <row r="356" hidden="1">
      <c r="A356" s="16" t="s">
        <v>604</v>
      </c>
      <c r="B356" s="97" t="s">
        <v>605</v>
      </c>
      <c r="C356" s="92"/>
      <c r="D356" s="4"/>
      <c r="E356" s="19"/>
      <c r="F356" s="19">
        <v>0.0</v>
      </c>
      <c r="G356" s="16" t="s">
        <v>572</v>
      </c>
      <c r="H356" s="21"/>
      <c r="I356" s="22">
        <v>12.0</v>
      </c>
      <c r="J356" s="23"/>
      <c r="K356" s="24">
        <v>9782.0</v>
      </c>
      <c r="L356" s="24">
        <v>18000.0</v>
      </c>
      <c r="M356" s="25"/>
      <c r="N356" s="70"/>
      <c r="O356" s="27">
        <f t="shared" si="44"/>
        <v>0.840114496</v>
      </c>
      <c r="P356" s="28">
        <f t="shared" si="45"/>
        <v>0</v>
      </c>
    </row>
    <row r="357" hidden="1">
      <c r="A357" s="16" t="s">
        <v>606</v>
      </c>
      <c r="B357" s="142"/>
      <c r="C357" s="92"/>
      <c r="D357" s="4"/>
      <c r="E357" s="19"/>
      <c r="F357" s="19">
        <v>0.0</v>
      </c>
      <c r="G357" s="16" t="s">
        <v>572</v>
      </c>
      <c r="H357" s="143"/>
      <c r="I357" s="22">
        <v>36.0</v>
      </c>
      <c r="J357" s="144"/>
      <c r="K357" s="145">
        <v>12515.0</v>
      </c>
      <c r="L357" s="146">
        <v>24000.0</v>
      </c>
      <c r="M357" s="25"/>
      <c r="N357" s="70"/>
      <c r="O357" s="27">
        <f t="shared" si="44"/>
        <v>0.9176987615</v>
      </c>
      <c r="P357" s="28">
        <f t="shared" si="45"/>
        <v>0</v>
      </c>
    </row>
    <row r="358" hidden="1">
      <c r="A358" s="16" t="s">
        <v>607</v>
      </c>
      <c r="B358" s="142" t="s">
        <v>608</v>
      </c>
      <c r="C358" s="92"/>
      <c r="D358" s="4"/>
      <c r="E358" s="19"/>
      <c r="F358" s="19">
        <v>0.0</v>
      </c>
      <c r="G358" s="16" t="s">
        <v>572</v>
      </c>
      <c r="H358" s="21"/>
      <c r="I358" s="22">
        <v>30.0</v>
      </c>
      <c r="J358" s="29"/>
      <c r="K358" s="32">
        <v>17118.0</v>
      </c>
      <c r="L358" s="24">
        <v>32000.0</v>
      </c>
      <c r="M358" s="25"/>
      <c r="N358" s="70"/>
      <c r="O358" s="27">
        <f t="shared" si="44"/>
        <v>0.8693772637</v>
      </c>
      <c r="P358" s="28">
        <f t="shared" si="45"/>
        <v>0</v>
      </c>
    </row>
    <row r="359" hidden="1">
      <c r="A359" s="16" t="s">
        <v>609</v>
      </c>
      <c r="B359" s="51"/>
      <c r="C359" s="18" t="s">
        <v>547</v>
      </c>
      <c r="D359" s="4"/>
      <c r="E359" s="19">
        <v>0.0</v>
      </c>
      <c r="F359" s="19"/>
      <c r="G359" s="16" t="s">
        <v>610</v>
      </c>
      <c r="H359" s="21"/>
      <c r="I359" s="22"/>
      <c r="J359" s="29"/>
      <c r="K359" s="43">
        <v>1.0</v>
      </c>
      <c r="L359" s="44">
        <v>1.0</v>
      </c>
      <c r="M359" s="25"/>
      <c r="N359" s="26"/>
      <c r="O359" s="147" t="s">
        <v>611</v>
      </c>
      <c r="P359" s="28"/>
    </row>
    <row r="360" hidden="1">
      <c r="A360" s="52" t="s">
        <v>612</v>
      </c>
      <c r="B360" s="36"/>
      <c r="C360" s="18"/>
      <c r="D360" s="67"/>
      <c r="E360" s="19">
        <v>0.0</v>
      </c>
      <c r="F360" s="19">
        <v>0.0</v>
      </c>
      <c r="G360" s="56" t="s">
        <v>613</v>
      </c>
      <c r="H360" s="21"/>
      <c r="I360" s="22"/>
      <c r="J360" s="29"/>
      <c r="K360" s="48">
        <v>25935.0</v>
      </c>
      <c r="L360" s="55">
        <v>36000.0</v>
      </c>
      <c r="M360" s="25"/>
      <c r="N360" s="26">
        <v>29000.0</v>
      </c>
      <c r="O360" s="27">
        <f t="shared" ref="O360:O380" si="46">(L360/K360)-1</f>
        <v>0.3880855986</v>
      </c>
      <c r="P360" s="28"/>
    </row>
    <row r="361" hidden="1">
      <c r="A361" s="16" t="s">
        <v>614</v>
      </c>
      <c r="B361" s="17"/>
      <c r="C361" s="18"/>
      <c r="D361" s="4"/>
      <c r="E361" s="19">
        <v>0.0</v>
      </c>
      <c r="F361" s="19">
        <v>0.0</v>
      </c>
      <c r="G361" s="20" t="s">
        <v>615</v>
      </c>
      <c r="H361" s="21"/>
      <c r="I361" s="22">
        <v>12.0</v>
      </c>
      <c r="J361" s="29"/>
      <c r="K361" s="32">
        <f>345000/15</f>
        <v>23000</v>
      </c>
      <c r="L361" s="24">
        <v>50000.0</v>
      </c>
      <c r="M361" s="25"/>
      <c r="N361" s="26"/>
      <c r="O361" s="27">
        <f t="shared" si="46"/>
        <v>1.173913043</v>
      </c>
      <c r="P361" s="28">
        <f t="shared" ref="P361:P371" si="47">K361*F361</f>
        <v>0</v>
      </c>
    </row>
    <row r="362" hidden="1">
      <c r="A362" s="16" t="s">
        <v>616</v>
      </c>
      <c r="B362" s="148" t="s">
        <v>617</v>
      </c>
      <c r="C362" s="18"/>
      <c r="D362" s="4"/>
      <c r="E362" s="19">
        <v>0.0</v>
      </c>
      <c r="F362" s="19"/>
      <c r="G362" s="20" t="s">
        <v>618</v>
      </c>
      <c r="H362" s="21"/>
      <c r="I362" s="22"/>
      <c r="J362" s="29"/>
      <c r="K362" s="32">
        <v>15000.0</v>
      </c>
      <c r="L362" s="24">
        <v>25000.0</v>
      </c>
      <c r="M362" s="25"/>
      <c r="N362" s="26">
        <v>20000.0</v>
      </c>
      <c r="O362" s="27">
        <f t="shared" si="46"/>
        <v>0.6666666667</v>
      </c>
      <c r="P362" s="28">
        <f t="shared" si="47"/>
        <v>0</v>
      </c>
    </row>
    <row r="363" hidden="1">
      <c r="A363" s="52" t="s">
        <v>619</v>
      </c>
      <c r="B363" s="17"/>
      <c r="C363" s="18"/>
      <c r="D363" s="4"/>
      <c r="E363" s="19">
        <v>0.0</v>
      </c>
      <c r="F363" s="19">
        <v>0.0</v>
      </c>
      <c r="G363" s="16" t="s">
        <v>437</v>
      </c>
      <c r="H363" s="21"/>
      <c r="I363" s="22" t="s">
        <v>99</v>
      </c>
      <c r="J363" s="29"/>
      <c r="K363" s="43">
        <v>4000.0</v>
      </c>
      <c r="L363" s="44">
        <v>8000.0</v>
      </c>
      <c r="M363" s="25"/>
      <c r="N363" s="70"/>
      <c r="O363" s="27">
        <f t="shared" si="46"/>
        <v>1</v>
      </c>
      <c r="P363" s="28">
        <f t="shared" si="47"/>
        <v>0</v>
      </c>
    </row>
    <row r="364" hidden="1">
      <c r="A364" s="52" t="s">
        <v>620</v>
      </c>
      <c r="B364" s="17"/>
      <c r="C364" s="18"/>
      <c r="D364" s="4"/>
      <c r="E364" s="19">
        <v>0.0</v>
      </c>
      <c r="F364" s="19">
        <v>0.0</v>
      </c>
      <c r="G364" s="16" t="s">
        <v>437</v>
      </c>
      <c r="H364" s="21"/>
      <c r="I364" s="22" t="s">
        <v>99</v>
      </c>
      <c r="J364" s="29"/>
      <c r="K364" s="43">
        <v>4000.0</v>
      </c>
      <c r="L364" s="44">
        <v>8000.0</v>
      </c>
      <c r="M364" s="25"/>
      <c r="N364" s="70"/>
      <c r="O364" s="27">
        <f t="shared" si="46"/>
        <v>1</v>
      </c>
      <c r="P364" s="28">
        <f t="shared" si="47"/>
        <v>0</v>
      </c>
    </row>
    <row r="365" hidden="1">
      <c r="A365" s="52" t="s">
        <v>621</v>
      </c>
      <c r="B365" s="17"/>
      <c r="C365" s="18"/>
      <c r="D365" s="4"/>
      <c r="E365" s="19">
        <v>0.0</v>
      </c>
      <c r="F365" s="19">
        <v>0.0</v>
      </c>
      <c r="G365" s="16" t="s">
        <v>437</v>
      </c>
      <c r="H365" s="21"/>
      <c r="I365" s="22" t="s">
        <v>99</v>
      </c>
      <c r="J365" s="29"/>
      <c r="K365" s="43">
        <v>3800.0</v>
      </c>
      <c r="L365" s="44">
        <v>8000.0</v>
      </c>
      <c r="M365" s="25"/>
      <c r="N365" s="70"/>
      <c r="O365" s="27">
        <f t="shared" si="46"/>
        <v>1.105263158</v>
      </c>
      <c r="P365" s="28">
        <f t="shared" si="47"/>
        <v>0</v>
      </c>
    </row>
    <row r="366" hidden="1">
      <c r="A366" s="52" t="s">
        <v>622</v>
      </c>
      <c r="B366" s="17"/>
      <c r="C366" s="18"/>
      <c r="D366" s="4"/>
      <c r="E366" s="19">
        <v>0.0</v>
      </c>
      <c r="F366" s="19">
        <v>0.0</v>
      </c>
      <c r="G366" s="16" t="s">
        <v>437</v>
      </c>
      <c r="H366" s="21"/>
      <c r="I366" s="22" t="s">
        <v>99</v>
      </c>
      <c r="J366" s="29"/>
      <c r="K366" s="43">
        <v>3800.0</v>
      </c>
      <c r="L366" s="44">
        <v>8000.0</v>
      </c>
      <c r="M366" s="25"/>
      <c r="N366" s="70"/>
      <c r="O366" s="27">
        <f t="shared" si="46"/>
        <v>1.105263158</v>
      </c>
      <c r="P366" s="28">
        <f t="shared" si="47"/>
        <v>0</v>
      </c>
    </row>
    <row r="367" hidden="1">
      <c r="A367" s="52" t="s">
        <v>623</v>
      </c>
      <c r="B367" s="17"/>
      <c r="C367" s="18"/>
      <c r="D367" s="4"/>
      <c r="E367" s="19">
        <v>0.0</v>
      </c>
      <c r="F367" s="19">
        <v>0.0</v>
      </c>
      <c r="G367" s="16" t="s">
        <v>437</v>
      </c>
      <c r="H367" s="21"/>
      <c r="I367" s="22" t="s">
        <v>99</v>
      </c>
      <c r="J367" s="29"/>
      <c r="K367" s="43">
        <v>3800.0</v>
      </c>
      <c r="L367" s="44">
        <v>8000.0</v>
      </c>
      <c r="M367" s="25"/>
      <c r="N367" s="70"/>
      <c r="O367" s="27">
        <f t="shared" si="46"/>
        <v>1.105263158</v>
      </c>
      <c r="P367" s="28">
        <f t="shared" si="47"/>
        <v>0</v>
      </c>
    </row>
    <row r="368" hidden="1">
      <c r="A368" s="149" t="s">
        <v>624</v>
      </c>
      <c r="B368" s="71"/>
      <c r="C368" s="18"/>
      <c r="D368" s="4"/>
      <c r="E368" s="19">
        <v>0.0</v>
      </c>
      <c r="F368" s="19"/>
      <c r="G368" s="16" t="s">
        <v>625</v>
      </c>
      <c r="H368" s="21"/>
      <c r="I368" s="22"/>
      <c r="J368" s="29"/>
      <c r="K368" s="43">
        <v>183.0</v>
      </c>
      <c r="L368" s="44">
        <v>600.0</v>
      </c>
      <c r="M368" s="25"/>
      <c r="N368" s="26"/>
      <c r="O368" s="27">
        <f t="shared" si="46"/>
        <v>2.278688525</v>
      </c>
      <c r="P368" s="28">
        <f t="shared" si="47"/>
        <v>0</v>
      </c>
    </row>
    <row r="369" hidden="1">
      <c r="A369" s="52" t="s">
        <v>626</v>
      </c>
      <c r="B369" s="17"/>
      <c r="C369" s="18"/>
      <c r="D369" s="4"/>
      <c r="E369" s="19">
        <v>0.0</v>
      </c>
      <c r="F369" s="19">
        <v>0.0</v>
      </c>
      <c r="G369" s="16" t="s">
        <v>437</v>
      </c>
      <c r="H369" s="21"/>
      <c r="I369" s="22">
        <v>500.0</v>
      </c>
      <c r="J369" s="29"/>
      <c r="K369" s="43">
        <f>420000/200/14</f>
        <v>150</v>
      </c>
      <c r="L369" s="44">
        <v>600.0</v>
      </c>
      <c r="M369" s="25"/>
      <c r="N369" s="70"/>
      <c r="O369" s="27">
        <f t="shared" si="46"/>
        <v>3</v>
      </c>
      <c r="P369" s="28">
        <f t="shared" si="47"/>
        <v>0</v>
      </c>
    </row>
    <row r="370" hidden="1">
      <c r="A370" s="52" t="s">
        <v>627</v>
      </c>
      <c r="B370" s="36"/>
      <c r="C370" s="18"/>
      <c r="D370" s="4"/>
      <c r="E370" s="19">
        <v>0.0</v>
      </c>
      <c r="F370" s="19">
        <v>0.0</v>
      </c>
      <c r="G370" s="16" t="s">
        <v>437</v>
      </c>
      <c r="H370" s="21"/>
      <c r="I370" s="22">
        <v>50.0</v>
      </c>
      <c r="J370" s="29"/>
      <c r="K370" s="32">
        <f>70000/100</f>
        <v>700</v>
      </c>
      <c r="L370" s="32">
        <v>1500.0</v>
      </c>
      <c r="M370" s="25"/>
      <c r="N370" s="70"/>
      <c r="O370" s="27">
        <f t="shared" si="46"/>
        <v>1.142857143</v>
      </c>
      <c r="P370" s="28">
        <f t="shared" si="47"/>
        <v>0</v>
      </c>
    </row>
    <row r="371" hidden="1">
      <c r="A371" s="52" t="s">
        <v>2860</v>
      </c>
      <c r="B371" s="17"/>
      <c r="C371" s="18"/>
      <c r="D371" s="4"/>
      <c r="E371" s="19">
        <v>0.0</v>
      </c>
      <c r="F371" s="19">
        <v>0.0</v>
      </c>
      <c r="G371" s="16" t="s">
        <v>437</v>
      </c>
      <c r="H371" s="21"/>
      <c r="I371" s="22">
        <v>500.0</v>
      </c>
      <c r="J371" s="29"/>
      <c r="K371" s="43">
        <f>420000/200/14</f>
        <v>150</v>
      </c>
      <c r="L371" s="44">
        <v>600.0</v>
      </c>
      <c r="M371" s="25"/>
      <c r="N371" s="70"/>
      <c r="O371" s="27">
        <f t="shared" si="46"/>
        <v>3</v>
      </c>
      <c r="P371" s="28">
        <f t="shared" si="47"/>
        <v>0</v>
      </c>
    </row>
    <row r="372" hidden="1">
      <c r="A372" s="16" t="s">
        <v>629</v>
      </c>
      <c r="B372" s="49"/>
      <c r="C372" s="18"/>
      <c r="D372" s="4"/>
      <c r="E372" s="19">
        <v>0.0</v>
      </c>
      <c r="F372" s="19">
        <v>0.0</v>
      </c>
      <c r="G372" s="16" t="s">
        <v>630</v>
      </c>
      <c r="H372" s="21"/>
      <c r="I372" s="22">
        <v>0.0</v>
      </c>
      <c r="J372" s="29"/>
      <c r="K372" s="32">
        <v>22000.0</v>
      </c>
      <c r="L372" s="24">
        <v>38000.0</v>
      </c>
      <c r="M372" s="25">
        <v>1.19</v>
      </c>
      <c r="N372" s="69"/>
      <c r="O372" s="27">
        <f t="shared" si="46"/>
        <v>0.7272727273</v>
      </c>
      <c r="P372" s="28"/>
    </row>
    <row r="373" hidden="1">
      <c r="A373" s="16" t="s">
        <v>631</v>
      </c>
      <c r="B373" s="49"/>
      <c r="C373" s="18"/>
      <c r="D373" s="4"/>
      <c r="E373" s="19">
        <v>0.0</v>
      </c>
      <c r="F373" s="19">
        <v>0.0</v>
      </c>
      <c r="G373" s="16" t="s">
        <v>630</v>
      </c>
      <c r="H373" s="21"/>
      <c r="I373" s="22"/>
      <c r="J373" s="29"/>
      <c r="K373" s="32">
        <f>22000/2.5</f>
        <v>8800</v>
      </c>
      <c r="L373" s="24">
        <v>18000.0</v>
      </c>
      <c r="M373" s="25"/>
      <c r="N373" s="69"/>
      <c r="O373" s="27">
        <f t="shared" si="46"/>
        <v>1.045454545</v>
      </c>
      <c r="P373" s="28"/>
    </row>
    <row r="374" hidden="1">
      <c r="A374" s="150" t="s">
        <v>632</v>
      </c>
      <c r="B374" s="36"/>
      <c r="C374" s="18"/>
      <c r="D374" s="4"/>
      <c r="E374" s="19">
        <v>0.0</v>
      </c>
      <c r="F374" s="62"/>
      <c r="G374" s="16" t="s">
        <v>39</v>
      </c>
      <c r="H374" s="21"/>
      <c r="I374" s="22"/>
      <c r="J374" s="29"/>
      <c r="K374" s="32">
        <v>2000.0</v>
      </c>
      <c r="L374" s="24">
        <v>7000.0</v>
      </c>
      <c r="M374" s="25"/>
      <c r="N374" s="26"/>
      <c r="O374" s="27">
        <f t="shared" si="46"/>
        <v>2.5</v>
      </c>
      <c r="P374" s="28" t="str">
        <f>K374*#REF!</f>
        <v>#REF!</v>
      </c>
    </row>
    <row r="375" hidden="1">
      <c r="A375" s="42" t="s">
        <v>633</v>
      </c>
      <c r="B375" s="114"/>
      <c r="C375" s="18"/>
      <c r="D375" s="4"/>
      <c r="E375" s="19"/>
      <c r="F375" s="19"/>
      <c r="G375" s="20" t="s">
        <v>291</v>
      </c>
      <c r="H375" s="21"/>
      <c r="I375" s="22"/>
      <c r="J375" s="29"/>
      <c r="K375" s="32">
        <f>11000/25</f>
        <v>440</v>
      </c>
      <c r="L375" s="24">
        <v>1000.0</v>
      </c>
      <c r="M375" s="25"/>
      <c r="N375" s="50"/>
      <c r="O375" s="27">
        <f t="shared" si="46"/>
        <v>1.272727273</v>
      </c>
      <c r="P375" s="28">
        <f t="shared" ref="P375:P383" si="48">K375*F375</f>
        <v>0</v>
      </c>
    </row>
    <row r="376" hidden="1">
      <c r="A376" s="16" t="s">
        <v>634</v>
      </c>
      <c r="B376" s="36"/>
      <c r="C376" s="18"/>
      <c r="D376" s="4"/>
      <c r="E376" s="19">
        <v>0.0</v>
      </c>
      <c r="F376" s="19">
        <v>0.0</v>
      </c>
      <c r="G376" s="20" t="s">
        <v>400</v>
      </c>
      <c r="H376" s="21"/>
      <c r="I376" s="22">
        <v>4.0</v>
      </c>
      <c r="J376" s="29"/>
      <c r="K376" s="32">
        <v>22479.0</v>
      </c>
      <c r="L376" s="24">
        <v>52000.0</v>
      </c>
      <c r="M376" s="25"/>
      <c r="N376" s="26"/>
      <c r="O376" s="27">
        <f t="shared" si="46"/>
        <v>1.313270163</v>
      </c>
      <c r="P376" s="28">
        <f t="shared" si="48"/>
        <v>0</v>
      </c>
    </row>
    <row r="377" hidden="1">
      <c r="A377" s="16" t="s">
        <v>635</v>
      </c>
      <c r="B377" s="36"/>
      <c r="C377" s="18"/>
      <c r="D377" s="4"/>
      <c r="E377" s="19">
        <v>0.0</v>
      </c>
      <c r="F377" s="19"/>
      <c r="G377" s="20" t="s">
        <v>57</v>
      </c>
      <c r="H377" s="21"/>
      <c r="I377" s="22"/>
      <c r="J377" s="29"/>
      <c r="K377" s="43">
        <v>800.0</v>
      </c>
      <c r="L377" s="44">
        <v>4000.0</v>
      </c>
      <c r="M377" s="25"/>
      <c r="N377" s="26"/>
      <c r="O377" s="27">
        <f t="shared" si="46"/>
        <v>4</v>
      </c>
      <c r="P377" s="28">
        <f t="shared" si="48"/>
        <v>0</v>
      </c>
    </row>
    <row r="378" hidden="1">
      <c r="A378" s="16" t="s">
        <v>636</v>
      </c>
      <c r="B378" s="36"/>
      <c r="C378" s="18"/>
      <c r="D378" s="4"/>
      <c r="E378" s="19">
        <v>0.0</v>
      </c>
      <c r="F378" s="19"/>
      <c r="G378" s="20" t="s">
        <v>57</v>
      </c>
      <c r="H378" s="21"/>
      <c r="I378" s="22"/>
      <c r="J378" s="29"/>
      <c r="K378" s="43">
        <f>14706*1.19/25</f>
        <v>700.0056</v>
      </c>
      <c r="L378" s="44">
        <v>4000.0</v>
      </c>
      <c r="M378" s="25"/>
      <c r="N378" s="26"/>
      <c r="O378" s="27">
        <f t="shared" si="46"/>
        <v>4.71424</v>
      </c>
      <c r="P378" s="28">
        <f t="shared" si="48"/>
        <v>0</v>
      </c>
    </row>
    <row r="379" hidden="1">
      <c r="A379" s="16" t="s">
        <v>637</v>
      </c>
      <c r="B379" s="51"/>
      <c r="C379" s="18"/>
      <c r="D379" s="4"/>
      <c r="E379" s="19">
        <v>0.0</v>
      </c>
      <c r="F379" s="19">
        <v>0.0</v>
      </c>
      <c r="G379" s="20" t="s">
        <v>93</v>
      </c>
      <c r="H379" s="21"/>
      <c r="I379" s="22">
        <v>0.0</v>
      </c>
      <c r="J379" s="29"/>
      <c r="K379" s="32">
        <v>85060.0</v>
      </c>
      <c r="L379" s="24">
        <v>108000.0</v>
      </c>
      <c r="M379" s="25"/>
      <c r="N379" s="57"/>
      <c r="O379" s="27">
        <f t="shared" si="46"/>
        <v>0.2696919821</v>
      </c>
      <c r="P379" s="28">
        <f t="shared" si="48"/>
        <v>0</v>
      </c>
    </row>
    <row r="380" hidden="1">
      <c r="A380" s="122" t="s">
        <v>638</v>
      </c>
      <c r="B380" s="17"/>
      <c r="C380" s="18"/>
      <c r="D380" s="4"/>
      <c r="E380" s="19">
        <v>0.0</v>
      </c>
      <c r="F380" s="19"/>
      <c r="G380" s="16" t="s">
        <v>553</v>
      </c>
      <c r="H380" s="21"/>
      <c r="I380" s="22"/>
      <c r="J380" s="29"/>
      <c r="K380" s="43">
        <v>1.0</v>
      </c>
      <c r="L380" s="43">
        <v>1.0</v>
      </c>
      <c r="M380" s="25"/>
      <c r="N380" s="26"/>
      <c r="O380" s="27">
        <f t="shared" si="46"/>
        <v>0</v>
      </c>
      <c r="P380" s="28">
        <f t="shared" si="48"/>
        <v>0</v>
      </c>
    </row>
    <row r="381" hidden="1">
      <c r="A381" s="16" t="s">
        <v>639</v>
      </c>
      <c r="B381" s="49"/>
      <c r="C381" s="18" t="s">
        <v>547</v>
      </c>
      <c r="D381" s="4"/>
      <c r="E381" s="19"/>
      <c r="F381" s="19"/>
      <c r="G381" s="20" t="s">
        <v>640</v>
      </c>
      <c r="H381" s="21">
        <v>0.0</v>
      </c>
      <c r="I381" s="22"/>
      <c r="J381" s="29"/>
      <c r="K381" s="43">
        <v>1.0</v>
      </c>
      <c r="L381" s="44">
        <v>0.0</v>
      </c>
      <c r="M381" s="25"/>
      <c r="N381" s="70"/>
      <c r="O381" s="147" t="s">
        <v>611</v>
      </c>
      <c r="P381" s="28">
        <f t="shared" si="48"/>
        <v>0</v>
      </c>
    </row>
    <row r="382" hidden="1">
      <c r="A382" s="42" t="s">
        <v>641</v>
      </c>
      <c r="B382" s="36"/>
      <c r="C382" s="18" t="s">
        <v>547</v>
      </c>
      <c r="D382" s="4"/>
      <c r="E382" s="19">
        <v>0.0</v>
      </c>
      <c r="F382" s="19"/>
      <c r="G382" s="151" t="s">
        <v>625</v>
      </c>
      <c r="H382" s="21"/>
      <c r="I382" s="22"/>
      <c r="J382" s="29"/>
      <c r="K382" s="43">
        <v>1.0</v>
      </c>
      <c r="L382" s="43">
        <v>1.0</v>
      </c>
      <c r="M382" s="25"/>
      <c r="N382" s="50"/>
      <c r="O382" s="27">
        <f t="shared" ref="O382:O398" si="49">(L382/K382)-1</f>
        <v>0</v>
      </c>
      <c r="P382" s="28">
        <f t="shared" si="48"/>
        <v>0</v>
      </c>
    </row>
    <row r="383" hidden="1">
      <c r="A383" s="42" t="s">
        <v>642</v>
      </c>
      <c r="B383" s="71"/>
      <c r="C383" s="18"/>
      <c r="D383" s="4"/>
      <c r="E383" s="19">
        <v>0.0</v>
      </c>
      <c r="F383" s="19">
        <v>0.0</v>
      </c>
      <c r="G383" s="20" t="s">
        <v>643</v>
      </c>
      <c r="H383" s="21"/>
      <c r="I383" s="22"/>
      <c r="J383" s="29"/>
      <c r="K383" s="43">
        <f>17200/25</f>
        <v>688</v>
      </c>
      <c r="L383" s="44">
        <v>1500.0</v>
      </c>
      <c r="M383" s="25"/>
      <c r="N383" s="26"/>
      <c r="O383" s="27">
        <f t="shared" si="49"/>
        <v>1.180232558</v>
      </c>
      <c r="P383" s="28">
        <f t="shared" si="48"/>
        <v>0</v>
      </c>
    </row>
    <row r="384" hidden="1">
      <c r="A384" s="42" t="s">
        <v>644</v>
      </c>
      <c r="B384" s="71"/>
      <c r="C384" s="18"/>
      <c r="D384" s="66"/>
      <c r="E384" s="19">
        <v>0.0</v>
      </c>
      <c r="F384" s="19"/>
      <c r="G384" s="20" t="s">
        <v>553</v>
      </c>
      <c r="H384" s="21"/>
      <c r="I384" s="22"/>
      <c r="J384" s="29"/>
      <c r="K384" s="32">
        <f>17200/100</f>
        <v>172</v>
      </c>
      <c r="L384" s="24">
        <v>1500.0</v>
      </c>
      <c r="M384" s="25"/>
      <c r="N384" s="26"/>
      <c r="O384" s="27">
        <f t="shared" si="49"/>
        <v>7.720930233</v>
      </c>
      <c r="P384" s="28" t="str">
        <f>K384*#REF!</f>
        <v>#REF!</v>
      </c>
    </row>
    <row r="385" hidden="1">
      <c r="A385" s="42" t="s">
        <v>645</v>
      </c>
      <c r="B385" s="17" t="s">
        <v>646</v>
      </c>
      <c r="C385" s="18"/>
      <c r="D385" s="4"/>
      <c r="E385" s="19">
        <v>0.0</v>
      </c>
      <c r="F385" s="19">
        <v>0.0</v>
      </c>
      <c r="G385" s="16" t="s">
        <v>104</v>
      </c>
      <c r="H385" s="21"/>
      <c r="I385" s="22">
        <v>0.0</v>
      </c>
      <c r="J385" s="29"/>
      <c r="K385" s="43">
        <v>8190.0</v>
      </c>
      <c r="L385" s="44">
        <v>14000.0</v>
      </c>
      <c r="M385" s="25"/>
      <c r="N385" s="26"/>
      <c r="O385" s="27">
        <f t="shared" si="49"/>
        <v>0.7094017094</v>
      </c>
      <c r="P385" s="28">
        <f t="shared" ref="P385:P400" si="50">K385*F385</f>
        <v>0</v>
      </c>
    </row>
    <row r="386" hidden="1">
      <c r="A386" s="42" t="s">
        <v>647</v>
      </c>
      <c r="B386" s="17"/>
      <c r="C386" s="18"/>
      <c r="D386" s="4"/>
      <c r="E386" s="19">
        <v>0.0</v>
      </c>
      <c r="F386" s="19">
        <v>0.0</v>
      </c>
      <c r="G386" s="54" t="s">
        <v>102</v>
      </c>
      <c r="H386" s="21"/>
      <c r="I386" s="22">
        <v>0.0</v>
      </c>
      <c r="J386" s="29"/>
      <c r="K386" s="43">
        <v>8000.0</v>
      </c>
      <c r="L386" s="44">
        <v>18000.0</v>
      </c>
      <c r="M386" s="25"/>
      <c r="N386" s="26"/>
      <c r="O386" s="27">
        <f t="shared" si="49"/>
        <v>1.25</v>
      </c>
      <c r="P386" s="28">
        <f t="shared" si="50"/>
        <v>0</v>
      </c>
    </row>
    <row r="387" hidden="1">
      <c r="A387" s="16" t="s">
        <v>648</v>
      </c>
      <c r="B387" s="17"/>
      <c r="C387" s="18"/>
      <c r="D387" s="4"/>
      <c r="E387" s="19"/>
      <c r="F387" s="19"/>
      <c r="G387" s="16" t="s">
        <v>88</v>
      </c>
      <c r="H387" s="21"/>
      <c r="I387" s="22">
        <v>0.0</v>
      </c>
      <c r="J387" s="29"/>
      <c r="K387" s="43">
        <v>8350.0</v>
      </c>
      <c r="L387" s="44">
        <v>12000.0</v>
      </c>
      <c r="M387" s="25"/>
      <c r="N387" s="26"/>
      <c r="O387" s="27">
        <f t="shared" si="49"/>
        <v>0.4371257485</v>
      </c>
      <c r="P387" s="28">
        <f t="shared" si="50"/>
        <v>0</v>
      </c>
    </row>
    <row r="388" hidden="1">
      <c r="A388" s="42" t="s">
        <v>649</v>
      </c>
      <c r="B388" s="17" t="s">
        <v>650</v>
      </c>
      <c r="C388" s="18"/>
      <c r="D388" s="4"/>
      <c r="E388" s="19">
        <v>0.0</v>
      </c>
      <c r="F388" s="19">
        <v>0.0</v>
      </c>
      <c r="G388" s="54" t="s">
        <v>473</v>
      </c>
      <c r="H388" s="21"/>
      <c r="I388" s="22"/>
      <c r="J388" s="47">
        <v>45840.0</v>
      </c>
      <c r="K388" s="48">
        <v>99000.0</v>
      </c>
      <c r="L388" s="48">
        <v>136000.0</v>
      </c>
      <c r="M388" s="25" t="s">
        <v>82</v>
      </c>
      <c r="N388" s="26"/>
      <c r="O388" s="27">
        <f t="shared" si="49"/>
        <v>0.3737373737</v>
      </c>
      <c r="P388" s="28">
        <f t="shared" si="50"/>
        <v>0</v>
      </c>
    </row>
    <row r="389" hidden="1">
      <c r="A389" s="42" t="s">
        <v>651</v>
      </c>
      <c r="B389" s="17"/>
      <c r="C389" s="18"/>
      <c r="D389" s="4"/>
      <c r="E389" s="19">
        <v>0.0</v>
      </c>
      <c r="F389" s="19">
        <v>0.0</v>
      </c>
      <c r="G389" s="54" t="s">
        <v>473</v>
      </c>
      <c r="H389" s="21"/>
      <c r="I389" s="22"/>
      <c r="J389" s="47">
        <v>45838.0</v>
      </c>
      <c r="K389" s="48">
        <f>100000/4</f>
        <v>25000</v>
      </c>
      <c r="L389" s="48">
        <v>46000.0</v>
      </c>
      <c r="M389" s="25" t="s">
        <v>82</v>
      </c>
      <c r="N389" s="26">
        <v>36000.0</v>
      </c>
      <c r="O389" s="27">
        <f t="shared" si="49"/>
        <v>0.84</v>
      </c>
      <c r="P389" s="28">
        <f t="shared" si="50"/>
        <v>0</v>
      </c>
    </row>
    <row r="390" hidden="1">
      <c r="A390" s="42" t="s">
        <v>652</v>
      </c>
      <c r="B390" s="17"/>
      <c r="C390" s="18"/>
      <c r="D390" s="4"/>
      <c r="E390" s="19">
        <v>0.0</v>
      </c>
      <c r="F390" s="19">
        <v>0.0</v>
      </c>
      <c r="G390" s="54" t="s">
        <v>473</v>
      </c>
      <c r="H390" s="21"/>
      <c r="I390" s="22"/>
      <c r="J390" s="47">
        <v>45837.0</v>
      </c>
      <c r="K390" s="48">
        <f>100000/3</f>
        <v>33333.33333</v>
      </c>
      <c r="L390" s="48">
        <v>54000.0</v>
      </c>
      <c r="M390" s="25" t="s">
        <v>82</v>
      </c>
      <c r="N390" s="26">
        <v>42000.0</v>
      </c>
      <c r="O390" s="27">
        <f t="shared" si="49"/>
        <v>0.62</v>
      </c>
      <c r="P390" s="28">
        <f t="shared" si="50"/>
        <v>0</v>
      </c>
    </row>
    <row r="391" hidden="1">
      <c r="A391" s="42" t="s">
        <v>653</v>
      </c>
      <c r="B391" s="17"/>
      <c r="C391" s="18"/>
      <c r="D391" s="4"/>
      <c r="E391" s="19">
        <v>0.0</v>
      </c>
      <c r="F391" s="19">
        <v>0.0</v>
      </c>
      <c r="G391" s="54" t="s">
        <v>473</v>
      </c>
      <c r="H391" s="21"/>
      <c r="I391" s="22"/>
      <c r="J391" s="47">
        <v>45839.0</v>
      </c>
      <c r="K391" s="32">
        <f>38104/2</f>
        <v>19052</v>
      </c>
      <c r="L391" s="32">
        <v>34000.0</v>
      </c>
      <c r="M391" s="25" t="s">
        <v>82</v>
      </c>
      <c r="N391" s="26"/>
      <c r="O391" s="27">
        <f t="shared" si="49"/>
        <v>0.7845895444</v>
      </c>
      <c r="P391" s="28">
        <f t="shared" si="50"/>
        <v>0</v>
      </c>
    </row>
    <row r="392" hidden="1">
      <c r="A392" s="16" t="s">
        <v>654</v>
      </c>
      <c r="B392" s="17"/>
      <c r="C392" s="18"/>
      <c r="D392" s="4"/>
      <c r="E392" s="19">
        <v>0.0</v>
      </c>
      <c r="F392" s="19">
        <v>0.0</v>
      </c>
      <c r="G392" s="120" t="s">
        <v>655</v>
      </c>
      <c r="H392" s="21"/>
      <c r="I392" s="22">
        <v>10.0</v>
      </c>
      <c r="J392" s="47">
        <v>46082.0</v>
      </c>
      <c r="K392" s="32">
        <v>18172.0</v>
      </c>
      <c r="L392" s="24">
        <v>32000.0</v>
      </c>
      <c r="M392" s="25" t="s">
        <v>82</v>
      </c>
      <c r="N392" s="31">
        <v>25000.0</v>
      </c>
      <c r="O392" s="27">
        <f t="shared" si="49"/>
        <v>0.7609509135</v>
      </c>
      <c r="P392" s="28">
        <f t="shared" si="50"/>
        <v>0</v>
      </c>
    </row>
    <row r="393" hidden="1">
      <c r="A393" s="16" t="s">
        <v>656</v>
      </c>
      <c r="B393" s="17"/>
      <c r="C393" s="18"/>
      <c r="D393" s="4"/>
      <c r="E393" s="19">
        <v>0.0</v>
      </c>
      <c r="F393" s="19">
        <v>0.0</v>
      </c>
      <c r="G393" s="40" t="s">
        <v>93</v>
      </c>
      <c r="H393" s="21"/>
      <c r="I393" s="22">
        <v>0.0</v>
      </c>
      <c r="J393" s="29"/>
      <c r="K393" s="32">
        <v>32130.0</v>
      </c>
      <c r="L393" s="24">
        <v>42000.0</v>
      </c>
      <c r="M393" s="25"/>
      <c r="N393" s="26"/>
      <c r="O393" s="27">
        <f t="shared" si="49"/>
        <v>0.3071895425</v>
      </c>
      <c r="P393" s="28">
        <f t="shared" si="50"/>
        <v>0</v>
      </c>
    </row>
    <row r="394" hidden="1">
      <c r="A394" s="16" t="s">
        <v>657</v>
      </c>
      <c r="B394" s="17"/>
      <c r="C394" s="18"/>
      <c r="D394" s="4"/>
      <c r="E394" s="19">
        <v>0.0</v>
      </c>
      <c r="F394" s="19">
        <v>0.0</v>
      </c>
      <c r="G394" s="120" t="s">
        <v>655</v>
      </c>
      <c r="H394" s="21"/>
      <c r="I394" s="22">
        <v>4.0</v>
      </c>
      <c r="J394" s="29"/>
      <c r="K394" s="32">
        <v>19360.0</v>
      </c>
      <c r="L394" s="24">
        <v>34000.0</v>
      </c>
      <c r="M394" s="25" t="s">
        <v>82</v>
      </c>
      <c r="N394" s="26">
        <v>25000.0</v>
      </c>
      <c r="O394" s="27">
        <f t="shared" si="49"/>
        <v>0.7561983471</v>
      </c>
      <c r="P394" s="28">
        <f t="shared" si="50"/>
        <v>0</v>
      </c>
    </row>
    <row r="395" hidden="1">
      <c r="A395" s="122" t="s">
        <v>658</v>
      </c>
      <c r="B395" s="17">
        <v>248002.0</v>
      </c>
      <c r="C395" s="18"/>
      <c r="D395" s="110"/>
      <c r="E395" s="19">
        <v>0.0</v>
      </c>
      <c r="F395" s="152">
        <v>0.0</v>
      </c>
      <c r="G395" s="16" t="s">
        <v>659</v>
      </c>
      <c r="H395" s="21"/>
      <c r="I395" s="22">
        <v>20.0</v>
      </c>
      <c r="J395" s="23"/>
      <c r="K395" s="44">
        <f>3347*1.19</f>
        <v>3982.93</v>
      </c>
      <c r="L395" s="44">
        <v>7000.0</v>
      </c>
      <c r="M395" s="25"/>
      <c r="N395" s="26"/>
      <c r="O395" s="27">
        <f t="shared" si="49"/>
        <v>0.7575001318</v>
      </c>
      <c r="P395" s="28">
        <f t="shared" si="50"/>
        <v>0</v>
      </c>
    </row>
    <row r="396" hidden="1">
      <c r="A396" s="122" t="s">
        <v>660</v>
      </c>
      <c r="B396" s="17">
        <v>241027.0</v>
      </c>
      <c r="C396" s="18"/>
      <c r="D396" s="4"/>
      <c r="E396" s="19">
        <v>0.0</v>
      </c>
      <c r="F396" s="19">
        <v>0.0</v>
      </c>
      <c r="G396" s="16" t="s">
        <v>425</v>
      </c>
      <c r="H396" s="21"/>
      <c r="I396" s="22">
        <v>60.0</v>
      </c>
      <c r="J396" s="29"/>
      <c r="K396" s="43">
        <f>1416*1.19</f>
        <v>1685.04</v>
      </c>
      <c r="L396" s="43">
        <v>4000.0</v>
      </c>
      <c r="M396" s="25"/>
      <c r="N396" s="70"/>
      <c r="O396" s="27">
        <f t="shared" si="49"/>
        <v>1.373830888</v>
      </c>
      <c r="P396" s="28">
        <f t="shared" si="50"/>
        <v>0</v>
      </c>
    </row>
    <row r="397" hidden="1">
      <c r="A397" s="16" t="s">
        <v>661</v>
      </c>
      <c r="B397" s="36"/>
      <c r="C397" s="18"/>
      <c r="D397" s="4"/>
      <c r="E397" s="19"/>
      <c r="F397" s="19"/>
      <c r="G397" s="16" t="s">
        <v>39</v>
      </c>
      <c r="H397" s="21"/>
      <c r="I397" s="22"/>
      <c r="J397" s="29"/>
      <c r="K397" s="43">
        <f>21795*1.19/10</f>
        <v>2593.605</v>
      </c>
      <c r="L397" s="44">
        <v>7000.0</v>
      </c>
      <c r="M397" s="25"/>
      <c r="N397" s="63"/>
      <c r="O397" s="27">
        <f t="shared" si="49"/>
        <v>1.698946062</v>
      </c>
      <c r="P397" s="28">
        <f t="shared" si="50"/>
        <v>0</v>
      </c>
    </row>
    <row r="398" hidden="1">
      <c r="A398" s="16" t="s">
        <v>662</v>
      </c>
      <c r="B398" s="36"/>
      <c r="C398" s="18"/>
      <c r="D398" s="4"/>
      <c r="E398" s="19">
        <v>0.0</v>
      </c>
      <c r="F398" s="19"/>
      <c r="G398" s="16" t="s">
        <v>39</v>
      </c>
      <c r="H398" s="21"/>
      <c r="I398" s="22"/>
      <c r="J398" s="29"/>
      <c r="K398" s="43">
        <f>2180.22*1.19/3</f>
        <v>864.8206</v>
      </c>
      <c r="L398" s="44">
        <v>5000.0</v>
      </c>
      <c r="M398" s="25"/>
      <c r="N398" s="50"/>
      <c r="O398" s="27">
        <f t="shared" si="49"/>
        <v>4.781545907</v>
      </c>
      <c r="P398" s="28">
        <f t="shared" si="50"/>
        <v>0</v>
      </c>
    </row>
    <row r="399" hidden="1">
      <c r="A399" s="42" t="s">
        <v>663</v>
      </c>
      <c r="B399" s="114"/>
      <c r="C399" s="153"/>
      <c r="D399" s="154"/>
      <c r="E399" s="19">
        <v>0.0</v>
      </c>
      <c r="F399" s="155"/>
      <c r="G399" s="20" t="s">
        <v>664</v>
      </c>
      <c r="H399" s="21"/>
      <c r="I399" s="22"/>
      <c r="J399" s="29"/>
      <c r="K399" s="32">
        <f>8067*1.19/12</f>
        <v>799.9775</v>
      </c>
      <c r="L399" s="24">
        <v>2000.0</v>
      </c>
      <c r="M399" s="25"/>
      <c r="N399" s="50"/>
      <c r="O399" s="27">
        <f>(L399/K398)-1</f>
        <v>1.312618363</v>
      </c>
      <c r="P399" s="28">
        <f t="shared" si="50"/>
        <v>0</v>
      </c>
    </row>
    <row r="400" hidden="1">
      <c r="A400" s="156" t="s">
        <v>665</v>
      </c>
      <c r="B400" s="71"/>
      <c r="C400" s="153"/>
      <c r="D400" s="4"/>
      <c r="E400" s="19">
        <v>0.0</v>
      </c>
      <c r="F400" s="19"/>
      <c r="G400" s="20" t="s">
        <v>666</v>
      </c>
      <c r="H400" s="33"/>
      <c r="I400" s="22"/>
      <c r="J400" s="34"/>
      <c r="K400" s="123">
        <f>7142*1.19/12</f>
        <v>708.2483333</v>
      </c>
      <c r="L400" s="44">
        <v>2000.0</v>
      </c>
      <c r="M400" s="25"/>
      <c r="N400" s="50"/>
      <c r="O400" s="27">
        <f>(L400/K400)-1</f>
        <v>1.823868276</v>
      </c>
      <c r="P400" s="28">
        <f t="shared" si="50"/>
        <v>0</v>
      </c>
    </row>
    <row r="401" hidden="1">
      <c r="A401" s="52" t="s">
        <v>667</v>
      </c>
      <c r="B401" s="126"/>
      <c r="C401" s="18"/>
      <c r="D401" s="4"/>
      <c r="E401" s="19">
        <v>0.0</v>
      </c>
      <c r="F401" s="19">
        <v>0.0</v>
      </c>
      <c r="G401" s="20" t="s">
        <v>668</v>
      </c>
      <c r="H401" s="21"/>
      <c r="I401" s="22">
        <v>7.0</v>
      </c>
      <c r="J401" s="29"/>
      <c r="K401" s="43"/>
      <c r="L401" s="44"/>
      <c r="M401" s="25"/>
      <c r="N401" s="70"/>
      <c r="O401" s="27"/>
      <c r="P401" s="28"/>
    </row>
    <row r="402" hidden="1">
      <c r="A402" s="16" t="s">
        <v>669</v>
      </c>
      <c r="B402" s="17"/>
      <c r="C402" s="18"/>
      <c r="D402" s="4"/>
      <c r="E402" s="19">
        <v>0.0</v>
      </c>
      <c r="F402" s="19">
        <v>0.0</v>
      </c>
      <c r="G402" s="16" t="s">
        <v>670</v>
      </c>
      <c r="H402" s="21"/>
      <c r="I402" s="22">
        <v>30.0</v>
      </c>
      <c r="J402" s="29"/>
      <c r="K402" s="43">
        <f>1800*1.19</f>
        <v>2142</v>
      </c>
      <c r="L402" s="44">
        <v>5000.0</v>
      </c>
      <c r="M402" s="25"/>
      <c r="N402" s="26"/>
      <c r="O402" s="27">
        <f t="shared" ref="O402:O436" si="51">(L402/K402)-1</f>
        <v>1.33426704</v>
      </c>
      <c r="P402" s="28">
        <f t="shared" ref="P402:P436" si="52">K402*F402</f>
        <v>0</v>
      </c>
    </row>
    <row r="403" hidden="1">
      <c r="A403" s="16" t="s">
        <v>669</v>
      </c>
      <c r="B403" s="17"/>
      <c r="C403" s="18"/>
      <c r="D403" s="4"/>
      <c r="E403" s="19">
        <v>0.0</v>
      </c>
      <c r="F403" s="19">
        <v>0.0</v>
      </c>
      <c r="G403" s="16" t="s">
        <v>671</v>
      </c>
      <c r="H403" s="21"/>
      <c r="I403" s="22">
        <v>0.0</v>
      </c>
      <c r="J403" s="29"/>
      <c r="K403" s="32">
        <v>2815.0</v>
      </c>
      <c r="L403" s="24">
        <v>5000.0</v>
      </c>
      <c r="M403" s="25"/>
      <c r="N403" s="26"/>
      <c r="O403" s="27">
        <f t="shared" si="51"/>
        <v>0.7761989343</v>
      </c>
      <c r="P403" s="28">
        <f t="shared" si="52"/>
        <v>0</v>
      </c>
    </row>
    <row r="404" hidden="1">
      <c r="A404" s="16" t="s">
        <v>672</v>
      </c>
      <c r="B404" s="17"/>
      <c r="C404" s="18"/>
      <c r="D404" s="110"/>
      <c r="E404" s="19">
        <v>0.0</v>
      </c>
      <c r="F404" s="152">
        <v>0.0</v>
      </c>
      <c r="G404" s="16" t="s">
        <v>670</v>
      </c>
      <c r="H404" s="21"/>
      <c r="I404" s="22">
        <v>20.0</v>
      </c>
      <c r="J404" s="29"/>
      <c r="K404" s="32">
        <f>9621/5</f>
        <v>1924.2</v>
      </c>
      <c r="L404" s="24">
        <v>4000.0</v>
      </c>
      <c r="M404" s="25"/>
      <c r="N404" s="26"/>
      <c r="O404" s="27">
        <f t="shared" si="51"/>
        <v>1.078785989</v>
      </c>
      <c r="P404" s="28">
        <f t="shared" si="52"/>
        <v>0</v>
      </c>
    </row>
    <row r="405" hidden="1">
      <c r="A405" s="16" t="s">
        <v>673</v>
      </c>
      <c r="B405" s="17"/>
      <c r="C405" s="18"/>
      <c r="D405" s="4"/>
      <c r="E405" s="19"/>
      <c r="F405" s="19"/>
      <c r="G405" s="16" t="s">
        <v>674</v>
      </c>
      <c r="H405" s="21"/>
      <c r="I405" s="22"/>
      <c r="J405" s="23"/>
      <c r="K405" s="24">
        <f>9621</f>
        <v>9621</v>
      </c>
      <c r="L405" s="24">
        <v>16000.0</v>
      </c>
      <c r="M405" s="25"/>
      <c r="N405" s="26"/>
      <c r="O405" s="27">
        <f t="shared" si="51"/>
        <v>0.6630287912</v>
      </c>
      <c r="P405" s="28">
        <f t="shared" si="52"/>
        <v>0</v>
      </c>
    </row>
    <row r="406" hidden="1">
      <c r="A406" s="122" t="s">
        <v>675</v>
      </c>
      <c r="B406" s="51">
        <v>242007.0</v>
      </c>
      <c r="C406" s="18"/>
      <c r="D406" s="66" t="s">
        <v>676</v>
      </c>
      <c r="E406" s="19">
        <v>0.0</v>
      </c>
      <c r="F406" s="19">
        <v>10.0</v>
      </c>
      <c r="G406" s="16" t="s">
        <v>425</v>
      </c>
      <c r="H406" s="21"/>
      <c r="I406" s="22">
        <v>2.0</v>
      </c>
      <c r="J406" s="29"/>
      <c r="K406" s="32">
        <f t="shared" ref="K406:K407" si="53">6290*1.19</f>
        <v>7485.1</v>
      </c>
      <c r="L406" s="32">
        <v>10000.0</v>
      </c>
      <c r="M406" s="25"/>
      <c r="N406" s="70"/>
      <c r="O406" s="27">
        <f t="shared" si="51"/>
        <v>0.3359874952</v>
      </c>
      <c r="P406" s="28">
        <f t="shared" si="52"/>
        <v>74851</v>
      </c>
    </row>
    <row r="407" hidden="1">
      <c r="A407" s="122" t="s">
        <v>677</v>
      </c>
      <c r="B407" s="51">
        <v>242006.0</v>
      </c>
      <c r="C407" s="18"/>
      <c r="D407" s="66" t="s">
        <v>676</v>
      </c>
      <c r="E407" s="19">
        <v>0.0</v>
      </c>
      <c r="F407" s="19">
        <v>10.0</v>
      </c>
      <c r="G407" s="16" t="s">
        <v>425</v>
      </c>
      <c r="H407" s="21"/>
      <c r="I407" s="22">
        <v>2.0</v>
      </c>
      <c r="J407" s="29"/>
      <c r="K407" s="32">
        <f t="shared" si="53"/>
        <v>7485.1</v>
      </c>
      <c r="L407" s="32">
        <v>10000.0</v>
      </c>
      <c r="M407" s="25"/>
      <c r="N407" s="70"/>
      <c r="O407" s="27">
        <f t="shared" si="51"/>
        <v>0.3359874952</v>
      </c>
      <c r="P407" s="28">
        <f t="shared" si="52"/>
        <v>74851</v>
      </c>
    </row>
    <row r="408" hidden="1">
      <c r="A408" s="16" t="s">
        <v>678</v>
      </c>
      <c r="B408" s="17"/>
      <c r="C408" s="18"/>
      <c r="D408" s="4"/>
      <c r="E408" s="19">
        <v>0.0</v>
      </c>
      <c r="F408" s="19">
        <v>0.0</v>
      </c>
      <c r="G408" s="16" t="s">
        <v>588</v>
      </c>
      <c r="H408" s="21"/>
      <c r="I408" s="22">
        <v>50.0</v>
      </c>
      <c r="J408" s="29"/>
      <c r="K408" s="43">
        <v>1700.0</v>
      </c>
      <c r="L408" s="44">
        <v>3500.0</v>
      </c>
      <c r="M408" s="25"/>
      <c r="N408" s="26"/>
      <c r="O408" s="27">
        <f t="shared" si="51"/>
        <v>1.058823529</v>
      </c>
      <c r="P408" s="28">
        <f t="shared" si="52"/>
        <v>0</v>
      </c>
    </row>
    <row r="409" hidden="1">
      <c r="A409" s="119" t="s">
        <v>679</v>
      </c>
      <c r="B409" s="17" t="s">
        <v>680</v>
      </c>
      <c r="C409" s="18"/>
      <c r="D409" s="4"/>
      <c r="E409" s="19">
        <v>0.0</v>
      </c>
      <c r="F409" s="19">
        <v>0.0</v>
      </c>
      <c r="G409" s="16" t="s">
        <v>671</v>
      </c>
      <c r="H409" s="73"/>
      <c r="I409" s="22">
        <v>0.0</v>
      </c>
      <c r="J409" s="74"/>
      <c r="K409" s="75">
        <v>3000.0</v>
      </c>
      <c r="L409" s="44">
        <v>4500.0</v>
      </c>
      <c r="M409" s="25"/>
      <c r="N409" s="26"/>
      <c r="O409" s="27">
        <f t="shared" si="51"/>
        <v>0.5</v>
      </c>
      <c r="P409" s="28">
        <f t="shared" si="52"/>
        <v>0</v>
      </c>
    </row>
    <row r="410" hidden="1">
      <c r="A410" s="122" t="s">
        <v>681</v>
      </c>
      <c r="B410" s="17">
        <v>241025.0</v>
      </c>
      <c r="C410" s="18"/>
      <c r="D410" s="4"/>
      <c r="E410" s="19">
        <v>0.0</v>
      </c>
      <c r="F410" s="19">
        <v>0.0</v>
      </c>
      <c r="G410" s="16" t="s">
        <v>425</v>
      </c>
      <c r="H410" s="21"/>
      <c r="I410" s="22">
        <f>60+50</f>
        <v>110</v>
      </c>
      <c r="J410" s="29"/>
      <c r="K410" s="43">
        <f>1416*1.19</f>
        <v>1685.04</v>
      </c>
      <c r="L410" s="43">
        <v>4000.0</v>
      </c>
      <c r="M410" s="25"/>
      <c r="N410" s="26"/>
      <c r="O410" s="27">
        <f t="shared" si="51"/>
        <v>1.373830888</v>
      </c>
      <c r="P410" s="28">
        <f t="shared" si="52"/>
        <v>0</v>
      </c>
    </row>
    <row r="411" hidden="1">
      <c r="A411" s="16" t="s">
        <v>682</v>
      </c>
      <c r="B411" s="36"/>
      <c r="C411" s="18"/>
      <c r="D411" s="4"/>
      <c r="E411" s="19"/>
      <c r="F411" s="19"/>
      <c r="G411" s="20" t="s">
        <v>683</v>
      </c>
      <c r="H411" s="21"/>
      <c r="I411" s="22">
        <v>1.0</v>
      </c>
      <c r="J411" s="23"/>
      <c r="K411" s="55">
        <v>3958.0</v>
      </c>
      <c r="L411" s="55">
        <v>7000.0</v>
      </c>
      <c r="M411" s="25"/>
      <c r="N411" s="26"/>
      <c r="O411" s="27">
        <f t="shared" si="51"/>
        <v>0.7685699848</v>
      </c>
      <c r="P411" s="28">
        <f t="shared" si="52"/>
        <v>0</v>
      </c>
    </row>
    <row r="412" hidden="1">
      <c r="A412" s="16" t="s">
        <v>684</v>
      </c>
      <c r="B412" s="36"/>
      <c r="C412" s="18"/>
      <c r="D412" s="4"/>
      <c r="E412" s="19"/>
      <c r="F412" s="19"/>
      <c r="G412" s="20" t="s">
        <v>683</v>
      </c>
      <c r="H412" s="21"/>
      <c r="I412" s="22">
        <v>2.0</v>
      </c>
      <c r="J412" s="23"/>
      <c r="K412" s="24">
        <v>22372.0</v>
      </c>
      <c r="L412" s="24">
        <v>32000.0</v>
      </c>
      <c r="M412" s="25"/>
      <c r="N412" s="26"/>
      <c r="O412" s="27">
        <f t="shared" si="51"/>
        <v>0.4303593778</v>
      </c>
      <c r="P412" s="28">
        <f t="shared" si="52"/>
        <v>0</v>
      </c>
    </row>
    <row r="413" hidden="1">
      <c r="A413" s="52" t="s">
        <v>685</v>
      </c>
      <c r="B413" s="17"/>
      <c r="C413" s="18"/>
      <c r="D413" s="4"/>
      <c r="E413" s="19">
        <v>0.0</v>
      </c>
      <c r="F413" s="19">
        <v>0.0</v>
      </c>
      <c r="G413" s="20" t="s">
        <v>563</v>
      </c>
      <c r="H413" s="21"/>
      <c r="I413" s="22">
        <v>0.0</v>
      </c>
      <c r="J413" s="29"/>
      <c r="K413" s="43">
        <v>2000.0</v>
      </c>
      <c r="L413" s="44">
        <v>6000.0</v>
      </c>
      <c r="M413" s="25"/>
      <c r="N413" s="26"/>
      <c r="O413" s="27">
        <f t="shared" si="51"/>
        <v>2</v>
      </c>
      <c r="P413" s="28">
        <f t="shared" si="52"/>
        <v>0</v>
      </c>
    </row>
    <row r="414" hidden="1">
      <c r="A414" s="122" t="s">
        <v>686</v>
      </c>
      <c r="B414" s="17">
        <v>241026.0</v>
      </c>
      <c r="C414" s="18" t="s">
        <v>687</v>
      </c>
      <c r="D414" s="4"/>
      <c r="E414" s="19">
        <v>0.0</v>
      </c>
      <c r="F414" s="19">
        <v>0.0</v>
      </c>
      <c r="G414" s="16" t="s">
        <v>425</v>
      </c>
      <c r="H414" s="21"/>
      <c r="I414" s="22">
        <f>80+50</f>
        <v>130</v>
      </c>
      <c r="J414" s="29"/>
      <c r="K414" s="43">
        <f>1416*1.19</f>
        <v>1685.04</v>
      </c>
      <c r="L414" s="43">
        <v>4000.0</v>
      </c>
      <c r="M414" s="25"/>
      <c r="N414" s="70"/>
      <c r="O414" s="27">
        <f t="shared" si="51"/>
        <v>1.373830888</v>
      </c>
      <c r="P414" s="28">
        <f t="shared" si="52"/>
        <v>0</v>
      </c>
    </row>
    <row r="415" hidden="1">
      <c r="A415" s="16" t="s">
        <v>688</v>
      </c>
      <c r="B415" s="49" t="s">
        <v>689</v>
      </c>
      <c r="C415" s="18"/>
      <c r="D415" s="4"/>
      <c r="E415" s="19">
        <v>0.0</v>
      </c>
      <c r="F415" s="19">
        <v>0.0</v>
      </c>
      <c r="G415" s="16" t="s">
        <v>690</v>
      </c>
      <c r="H415" s="21"/>
      <c r="I415" s="22">
        <v>40.0</v>
      </c>
      <c r="J415" s="29"/>
      <c r="K415" s="32">
        <v>11213.0</v>
      </c>
      <c r="L415" s="24">
        <v>14000.0</v>
      </c>
      <c r="M415" s="25"/>
      <c r="N415" s="69"/>
      <c r="O415" s="27">
        <f t="shared" si="51"/>
        <v>0.2485507893</v>
      </c>
      <c r="P415" s="28">
        <f t="shared" si="52"/>
        <v>0</v>
      </c>
    </row>
    <row r="416" hidden="1">
      <c r="A416" s="52" t="s">
        <v>691</v>
      </c>
      <c r="B416" s="51"/>
      <c r="C416" s="18"/>
      <c r="D416" s="4"/>
      <c r="E416" s="19">
        <v>0.0</v>
      </c>
      <c r="F416" s="19">
        <v>0.0</v>
      </c>
      <c r="G416" s="20" t="s">
        <v>692</v>
      </c>
      <c r="H416" s="21"/>
      <c r="I416" s="22">
        <v>0.0</v>
      </c>
      <c r="J416" s="29"/>
      <c r="K416" s="43">
        <v>3900.0</v>
      </c>
      <c r="L416" s="44">
        <v>7000.0</v>
      </c>
      <c r="M416" s="25"/>
      <c r="N416" s="26"/>
      <c r="O416" s="27">
        <f t="shared" si="51"/>
        <v>0.7948717949</v>
      </c>
      <c r="P416" s="28">
        <f t="shared" si="52"/>
        <v>0</v>
      </c>
    </row>
    <row r="417" hidden="1">
      <c r="A417" s="122" t="s">
        <v>693</v>
      </c>
      <c r="B417" s="51"/>
      <c r="C417" s="18"/>
      <c r="D417" s="4"/>
      <c r="E417" s="19">
        <v>0.0</v>
      </c>
      <c r="F417" s="19">
        <v>0.0</v>
      </c>
      <c r="G417" s="16" t="s">
        <v>425</v>
      </c>
      <c r="H417" s="21"/>
      <c r="I417" s="22">
        <v>8.0</v>
      </c>
      <c r="J417" s="29"/>
      <c r="K417" s="43">
        <f>6290*1.19</f>
        <v>7485.1</v>
      </c>
      <c r="L417" s="43">
        <v>10000.0</v>
      </c>
      <c r="M417" s="25"/>
      <c r="N417" s="26"/>
      <c r="O417" s="27">
        <f t="shared" si="51"/>
        <v>0.3359874952</v>
      </c>
      <c r="P417" s="28">
        <f t="shared" si="52"/>
        <v>0</v>
      </c>
    </row>
    <row r="418" hidden="1">
      <c r="A418" s="16" t="s">
        <v>694</v>
      </c>
      <c r="B418" s="17" t="s">
        <v>695</v>
      </c>
      <c r="C418" s="18"/>
      <c r="D418" s="4"/>
      <c r="E418" s="19">
        <v>10.0</v>
      </c>
      <c r="F418" s="19">
        <v>0.0</v>
      </c>
      <c r="G418" s="20" t="s">
        <v>696</v>
      </c>
      <c r="H418" s="21"/>
      <c r="I418" s="22"/>
      <c r="J418" s="29"/>
      <c r="K418" s="48">
        <v>42000.0</v>
      </c>
      <c r="L418" s="55">
        <v>52000.0</v>
      </c>
      <c r="M418" s="25"/>
      <c r="N418" s="26">
        <v>42000.0</v>
      </c>
      <c r="O418" s="27">
        <f t="shared" si="51"/>
        <v>0.2380952381</v>
      </c>
      <c r="P418" s="28">
        <f t="shared" si="52"/>
        <v>0</v>
      </c>
    </row>
    <row r="419" hidden="1">
      <c r="A419" s="52" t="s">
        <v>697</v>
      </c>
      <c r="B419" s="126"/>
      <c r="C419" s="18"/>
      <c r="D419" s="4"/>
      <c r="E419" s="19">
        <v>0.0</v>
      </c>
      <c r="F419" s="19">
        <v>0.0</v>
      </c>
      <c r="G419" s="20" t="s">
        <v>696</v>
      </c>
      <c r="H419" s="21"/>
      <c r="I419" s="22"/>
      <c r="J419" s="29"/>
      <c r="K419" s="43">
        <f>36900/144</f>
        <v>256.25</v>
      </c>
      <c r="L419" s="44">
        <v>500.0</v>
      </c>
      <c r="M419" s="25"/>
      <c r="N419" s="70"/>
      <c r="O419" s="27">
        <f t="shared" si="51"/>
        <v>0.9512195122</v>
      </c>
      <c r="P419" s="28">
        <f t="shared" si="52"/>
        <v>0</v>
      </c>
    </row>
    <row r="420" hidden="1">
      <c r="A420" s="16" t="s">
        <v>698</v>
      </c>
      <c r="B420" s="17"/>
      <c r="C420" s="18"/>
      <c r="D420" s="4"/>
      <c r="E420" s="19">
        <v>1.0</v>
      </c>
      <c r="F420" s="19">
        <v>0.0</v>
      </c>
      <c r="G420" s="16" t="s">
        <v>699</v>
      </c>
      <c r="H420" s="21"/>
      <c r="I420" s="22"/>
      <c r="J420" s="29"/>
      <c r="K420" s="48">
        <f>22950*1.19/20</f>
        <v>1365.525</v>
      </c>
      <c r="L420" s="55">
        <v>2000.0</v>
      </c>
      <c r="M420" s="25"/>
      <c r="N420" s="26"/>
      <c r="O420" s="27">
        <f t="shared" si="51"/>
        <v>0.4646381428</v>
      </c>
      <c r="P420" s="28">
        <f t="shared" si="52"/>
        <v>0</v>
      </c>
    </row>
    <row r="421" hidden="1">
      <c r="A421" s="16" t="s">
        <v>700</v>
      </c>
      <c r="B421" s="157"/>
      <c r="C421" s="92"/>
      <c r="D421" s="4"/>
      <c r="E421" s="19">
        <v>0.0</v>
      </c>
      <c r="F421" s="19">
        <v>0.0</v>
      </c>
      <c r="G421" s="137" t="s">
        <v>585</v>
      </c>
      <c r="H421" s="21"/>
      <c r="I421" s="22"/>
      <c r="J421" s="47"/>
      <c r="K421" s="48">
        <f>9200/18</f>
        <v>511.1111111</v>
      </c>
      <c r="L421" s="55">
        <v>1000.0</v>
      </c>
      <c r="M421" s="25"/>
      <c r="N421" s="102"/>
      <c r="O421" s="27">
        <f t="shared" si="51"/>
        <v>0.9565217391</v>
      </c>
      <c r="P421" s="28">
        <f t="shared" si="52"/>
        <v>0</v>
      </c>
    </row>
    <row r="422" hidden="1">
      <c r="A422" s="16" t="s">
        <v>701</v>
      </c>
      <c r="B422" s="157"/>
      <c r="C422" s="92"/>
      <c r="D422" s="4"/>
      <c r="E422" s="19">
        <v>0.0</v>
      </c>
      <c r="F422" s="19">
        <v>0.0</v>
      </c>
      <c r="G422" s="137" t="s">
        <v>585</v>
      </c>
      <c r="H422" s="21"/>
      <c r="I422" s="22"/>
      <c r="J422" s="47"/>
      <c r="K422" s="48">
        <v>9200.0</v>
      </c>
      <c r="L422" s="55">
        <v>15000.0</v>
      </c>
      <c r="M422" s="25"/>
      <c r="N422" s="102">
        <v>12000.0</v>
      </c>
      <c r="O422" s="27">
        <f t="shared" si="51"/>
        <v>0.6304347826</v>
      </c>
      <c r="P422" s="28">
        <f t="shared" si="52"/>
        <v>0</v>
      </c>
    </row>
    <row r="423" hidden="1">
      <c r="A423" s="16" t="s">
        <v>702</v>
      </c>
      <c r="B423" s="17"/>
      <c r="C423" s="18"/>
      <c r="D423" s="4"/>
      <c r="E423" s="19">
        <v>0.0</v>
      </c>
      <c r="F423" s="19">
        <v>0.0</v>
      </c>
      <c r="G423" s="137" t="s">
        <v>585</v>
      </c>
      <c r="H423" s="21"/>
      <c r="I423" s="22"/>
      <c r="J423" s="29"/>
      <c r="K423" s="48">
        <f>15000/18</f>
        <v>833.3333333</v>
      </c>
      <c r="L423" s="55">
        <v>2000.0</v>
      </c>
      <c r="M423" s="25"/>
      <c r="N423" s="39"/>
      <c r="O423" s="27">
        <f t="shared" si="51"/>
        <v>1.4</v>
      </c>
      <c r="P423" s="28">
        <f t="shared" si="52"/>
        <v>0</v>
      </c>
    </row>
    <row r="424" hidden="1">
      <c r="A424" s="16" t="s">
        <v>703</v>
      </c>
      <c r="B424" s="17" t="s">
        <v>704</v>
      </c>
      <c r="C424" s="18"/>
      <c r="D424" s="4"/>
      <c r="E424" s="19">
        <v>0.0</v>
      </c>
      <c r="F424" s="19">
        <v>0.0</v>
      </c>
      <c r="G424" s="16" t="s">
        <v>699</v>
      </c>
      <c r="H424" s="21"/>
      <c r="I424" s="22"/>
      <c r="J424" s="29"/>
      <c r="K424" s="43">
        <f>(81855*1.19)/120</f>
        <v>811.72875</v>
      </c>
      <c r="L424" s="44">
        <v>2000.0</v>
      </c>
      <c r="M424" s="25"/>
      <c r="N424" s="39"/>
      <c r="O424" s="27">
        <f t="shared" si="51"/>
        <v>1.46387725</v>
      </c>
      <c r="P424" s="28">
        <f t="shared" si="52"/>
        <v>0</v>
      </c>
    </row>
    <row r="425" hidden="1">
      <c r="A425" s="16" t="s">
        <v>705</v>
      </c>
      <c r="B425" s="17"/>
      <c r="C425" s="18"/>
      <c r="D425" s="4"/>
      <c r="E425" s="19">
        <v>1.0</v>
      </c>
      <c r="F425" s="19">
        <v>0.0</v>
      </c>
      <c r="G425" s="16" t="s">
        <v>699</v>
      </c>
      <c r="H425" s="21"/>
      <c r="I425" s="22"/>
      <c r="J425" s="29"/>
      <c r="K425" s="48">
        <f>22950*1.19/20</f>
        <v>1365.525</v>
      </c>
      <c r="L425" s="55">
        <v>2000.0</v>
      </c>
      <c r="M425" s="25"/>
      <c r="N425" s="39"/>
      <c r="O425" s="27">
        <f t="shared" si="51"/>
        <v>0.4646381428</v>
      </c>
      <c r="P425" s="28">
        <f t="shared" si="52"/>
        <v>0</v>
      </c>
    </row>
    <row r="426" hidden="1">
      <c r="A426" s="16" t="s">
        <v>706</v>
      </c>
      <c r="B426" s="157"/>
      <c r="C426" s="18"/>
      <c r="D426" s="4"/>
      <c r="E426" s="19">
        <v>0.0</v>
      </c>
      <c r="F426" s="19">
        <v>0.0</v>
      </c>
      <c r="G426" s="137" t="s">
        <v>585</v>
      </c>
      <c r="H426" s="21"/>
      <c r="I426" s="22"/>
      <c r="J426" s="29"/>
      <c r="K426" s="48">
        <v>990.0</v>
      </c>
      <c r="L426" s="55">
        <v>2000.0</v>
      </c>
      <c r="M426" s="25"/>
      <c r="N426" s="102"/>
      <c r="O426" s="27">
        <f t="shared" si="51"/>
        <v>1.02020202</v>
      </c>
      <c r="P426" s="28">
        <f t="shared" si="52"/>
        <v>0</v>
      </c>
    </row>
    <row r="427" hidden="1">
      <c r="A427" s="16" t="s">
        <v>707</v>
      </c>
      <c r="B427" s="157"/>
      <c r="C427" s="18"/>
      <c r="D427" s="4"/>
      <c r="E427" s="19">
        <v>0.0</v>
      </c>
      <c r="F427" s="19">
        <v>0.0</v>
      </c>
      <c r="G427" s="137" t="s">
        <v>585</v>
      </c>
      <c r="H427" s="21"/>
      <c r="I427" s="22"/>
      <c r="J427" s="29"/>
      <c r="K427" s="48">
        <f t="shared" ref="K427:K430" si="54">54600/60</f>
        <v>910</v>
      </c>
      <c r="L427" s="55">
        <v>2000.0</v>
      </c>
      <c r="M427" s="25"/>
      <c r="N427" s="39"/>
      <c r="O427" s="27">
        <f t="shared" si="51"/>
        <v>1.197802198</v>
      </c>
      <c r="P427" s="28">
        <f t="shared" si="52"/>
        <v>0</v>
      </c>
    </row>
    <row r="428" hidden="1">
      <c r="A428" s="16" t="s">
        <v>708</v>
      </c>
      <c r="B428" s="157"/>
      <c r="C428" s="18"/>
      <c r="D428" s="4"/>
      <c r="E428" s="19">
        <v>0.0</v>
      </c>
      <c r="F428" s="19">
        <v>0.0</v>
      </c>
      <c r="G428" s="137" t="s">
        <v>585</v>
      </c>
      <c r="H428" s="21"/>
      <c r="I428" s="22"/>
      <c r="J428" s="29"/>
      <c r="K428" s="48">
        <f t="shared" si="54"/>
        <v>910</v>
      </c>
      <c r="L428" s="55">
        <v>2000.0</v>
      </c>
      <c r="M428" s="25"/>
      <c r="N428" s="39"/>
      <c r="O428" s="27">
        <f t="shared" si="51"/>
        <v>1.197802198</v>
      </c>
      <c r="P428" s="28">
        <f t="shared" si="52"/>
        <v>0</v>
      </c>
    </row>
    <row r="429" hidden="1">
      <c r="A429" s="16" t="s">
        <v>709</v>
      </c>
      <c r="B429" s="157"/>
      <c r="C429" s="18"/>
      <c r="D429" s="4"/>
      <c r="E429" s="19">
        <v>0.0</v>
      </c>
      <c r="F429" s="19">
        <v>0.0</v>
      </c>
      <c r="G429" s="137" t="s">
        <v>585</v>
      </c>
      <c r="H429" s="21"/>
      <c r="I429" s="22"/>
      <c r="J429" s="29"/>
      <c r="K429" s="48">
        <f t="shared" si="54"/>
        <v>910</v>
      </c>
      <c r="L429" s="55">
        <v>2000.0</v>
      </c>
      <c r="M429" s="25"/>
      <c r="N429" s="39"/>
      <c r="O429" s="27">
        <f t="shared" si="51"/>
        <v>1.197802198</v>
      </c>
      <c r="P429" s="28">
        <f t="shared" si="52"/>
        <v>0</v>
      </c>
    </row>
    <row r="430" hidden="1">
      <c r="A430" s="16" t="s">
        <v>710</v>
      </c>
      <c r="B430" s="157"/>
      <c r="C430" s="18"/>
      <c r="D430" s="4"/>
      <c r="E430" s="19">
        <v>0.0</v>
      </c>
      <c r="F430" s="19">
        <v>0.0</v>
      </c>
      <c r="G430" s="137" t="s">
        <v>585</v>
      </c>
      <c r="H430" s="21"/>
      <c r="I430" s="22"/>
      <c r="J430" s="29"/>
      <c r="K430" s="48">
        <f t="shared" si="54"/>
        <v>910</v>
      </c>
      <c r="L430" s="55">
        <v>2000.0</v>
      </c>
      <c r="M430" s="25"/>
      <c r="N430" s="39"/>
      <c r="O430" s="27">
        <f t="shared" si="51"/>
        <v>1.197802198</v>
      </c>
      <c r="P430" s="28">
        <f t="shared" si="52"/>
        <v>0</v>
      </c>
    </row>
    <row r="431" hidden="1">
      <c r="A431" s="16" t="s">
        <v>711</v>
      </c>
      <c r="B431" s="157"/>
      <c r="C431" s="92"/>
      <c r="D431" s="4"/>
      <c r="E431" s="19">
        <v>0.0</v>
      </c>
      <c r="F431" s="19">
        <v>0.0</v>
      </c>
      <c r="G431" s="137" t="s">
        <v>585</v>
      </c>
      <c r="H431" s="21"/>
      <c r="I431" s="22"/>
      <c r="J431" s="47">
        <v>46935.0</v>
      </c>
      <c r="K431" s="48">
        <v>15900.0</v>
      </c>
      <c r="L431" s="55">
        <v>22000.0</v>
      </c>
      <c r="M431" s="25" t="s">
        <v>76</v>
      </c>
      <c r="N431" s="102">
        <v>18000.0</v>
      </c>
      <c r="O431" s="27">
        <f t="shared" si="51"/>
        <v>0.3836477987</v>
      </c>
      <c r="P431" s="28">
        <f t="shared" si="52"/>
        <v>0</v>
      </c>
    </row>
    <row r="432" hidden="1">
      <c r="A432" s="16" t="s">
        <v>712</v>
      </c>
      <c r="B432" s="157"/>
      <c r="C432" s="92"/>
      <c r="D432" s="4"/>
      <c r="E432" s="19">
        <v>0.0</v>
      </c>
      <c r="F432" s="19">
        <v>0.0</v>
      </c>
      <c r="G432" s="137" t="s">
        <v>585</v>
      </c>
      <c r="H432" s="21"/>
      <c r="I432" s="22"/>
      <c r="J432" s="47">
        <v>46935.0</v>
      </c>
      <c r="K432" s="48">
        <v>15900.0</v>
      </c>
      <c r="L432" s="55">
        <v>22000.0</v>
      </c>
      <c r="M432" s="25" t="s">
        <v>76</v>
      </c>
      <c r="N432" s="102">
        <v>18000.0</v>
      </c>
      <c r="O432" s="27">
        <f t="shared" si="51"/>
        <v>0.3836477987</v>
      </c>
      <c r="P432" s="28">
        <f t="shared" si="52"/>
        <v>0</v>
      </c>
    </row>
    <row r="433" hidden="1">
      <c r="A433" s="16" t="s">
        <v>713</v>
      </c>
      <c r="B433" s="17"/>
      <c r="C433" s="18"/>
      <c r="D433" s="4"/>
      <c r="E433" s="19">
        <v>0.0</v>
      </c>
      <c r="F433" s="19">
        <v>0.0</v>
      </c>
      <c r="G433" s="137" t="s">
        <v>585</v>
      </c>
      <c r="H433" s="21"/>
      <c r="I433" s="22"/>
      <c r="J433" s="29"/>
      <c r="K433" s="48">
        <f>22000/18</f>
        <v>1222.222222</v>
      </c>
      <c r="L433" s="55">
        <v>2000.0</v>
      </c>
      <c r="M433" s="25"/>
      <c r="N433" s="39"/>
      <c r="O433" s="27">
        <f t="shared" si="51"/>
        <v>0.6363636364</v>
      </c>
      <c r="P433" s="28">
        <f t="shared" si="52"/>
        <v>0</v>
      </c>
    </row>
    <row r="434" hidden="1">
      <c r="A434" s="16" t="s">
        <v>714</v>
      </c>
      <c r="B434" s="157"/>
      <c r="C434" s="92"/>
      <c r="D434" s="4"/>
      <c r="E434" s="19">
        <v>0.0</v>
      </c>
      <c r="F434" s="19">
        <v>0.0</v>
      </c>
      <c r="G434" s="137" t="s">
        <v>585</v>
      </c>
      <c r="H434" s="21"/>
      <c r="I434" s="22"/>
      <c r="J434" s="47">
        <v>46905.0</v>
      </c>
      <c r="K434" s="48">
        <v>14800.0</v>
      </c>
      <c r="L434" s="55">
        <v>20000.0</v>
      </c>
      <c r="M434" s="25"/>
      <c r="N434" s="102">
        <v>18000.0</v>
      </c>
      <c r="O434" s="27">
        <f t="shared" si="51"/>
        <v>0.3513513514</v>
      </c>
      <c r="P434" s="28">
        <f t="shared" si="52"/>
        <v>0</v>
      </c>
    </row>
    <row r="435" hidden="1">
      <c r="A435" s="16" t="s">
        <v>715</v>
      </c>
      <c r="B435" s="157"/>
      <c r="C435" s="18"/>
      <c r="D435" s="4"/>
      <c r="E435" s="19">
        <v>0.0</v>
      </c>
      <c r="F435" s="19">
        <v>0.0</v>
      </c>
      <c r="G435" s="137" t="s">
        <v>585</v>
      </c>
      <c r="H435" s="21"/>
      <c r="I435" s="22"/>
      <c r="J435" s="29"/>
      <c r="K435" s="48">
        <v>883.0</v>
      </c>
      <c r="L435" s="55">
        <v>2000.0</v>
      </c>
      <c r="M435" s="25"/>
      <c r="N435" s="39"/>
      <c r="O435" s="27">
        <f t="shared" si="51"/>
        <v>1.265005663</v>
      </c>
      <c r="P435" s="28">
        <f t="shared" si="52"/>
        <v>0</v>
      </c>
    </row>
    <row r="436" hidden="1">
      <c r="A436" s="16" t="s">
        <v>716</v>
      </c>
      <c r="B436" s="157"/>
      <c r="C436" s="92"/>
      <c r="D436" s="4"/>
      <c r="E436" s="19">
        <v>0.0</v>
      </c>
      <c r="F436" s="19">
        <v>0.0</v>
      </c>
      <c r="G436" s="137" t="s">
        <v>585</v>
      </c>
      <c r="H436" s="21"/>
      <c r="I436" s="22"/>
      <c r="J436" s="29"/>
      <c r="K436" s="48">
        <f>108000/120</f>
        <v>900</v>
      </c>
      <c r="L436" s="55">
        <v>2000.0</v>
      </c>
      <c r="M436" s="25"/>
      <c r="N436" s="102"/>
      <c r="O436" s="27">
        <f t="shared" si="51"/>
        <v>1.222222222</v>
      </c>
      <c r="P436" s="28">
        <f t="shared" si="52"/>
        <v>0</v>
      </c>
    </row>
    <row r="437" hidden="1">
      <c r="A437" s="16" t="s">
        <v>717</v>
      </c>
      <c r="B437" s="17"/>
      <c r="C437" s="18"/>
      <c r="D437" s="4"/>
      <c r="E437" s="19"/>
      <c r="F437" s="19"/>
      <c r="G437" s="20" t="s">
        <v>229</v>
      </c>
      <c r="H437" s="21"/>
      <c r="I437" s="22"/>
      <c r="J437" s="23"/>
      <c r="K437" s="55">
        <v>112000.0</v>
      </c>
      <c r="L437" s="55">
        <v>148000.0</v>
      </c>
      <c r="M437" s="25"/>
      <c r="N437" s="26">
        <v>120000.0</v>
      </c>
      <c r="O437" s="27"/>
      <c r="P437" s="28"/>
    </row>
    <row r="438" hidden="1">
      <c r="A438" s="16" t="s">
        <v>718</v>
      </c>
      <c r="B438" s="17"/>
      <c r="C438" s="18"/>
      <c r="D438" s="4"/>
      <c r="E438" s="19"/>
      <c r="F438" s="19"/>
      <c r="G438" s="20" t="s">
        <v>229</v>
      </c>
      <c r="H438" s="21"/>
      <c r="I438" s="22"/>
      <c r="J438" s="23"/>
      <c r="K438" s="55">
        <v>200000.0</v>
      </c>
      <c r="L438" s="55">
        <v>290000.0</v>
      </c>
      <c r="M438" s="25"/>
      <c r="N438" s="26">
        <v>225000.0</v>
      </c>
      <c r="O438" s="27"/>
      <c r="P438" s="28"/>
    </row>
    <row r="439" hidden="1">
      <c r="A439" s="16" t="s">
        <v>719</v>
      </c>
      <c r="B439" s="17"/>
      <c r="C439" s="18"/>
      <c r="D439" s="4"/>
      <c r="E439" s="19"/>
      <c r="F439" s="19"/>
      <c r="G439" s="20" t="s">
        <v>229</v>
      </c>
      <c r="H439" s="21"/>
      <c r="I439" s="22"/>
      <c r="J439" s="23"/>
      <c r="K439" s="55">
        <f>200000/6</f>
        <v>33333.33333</v>
      </c>
      <c r="L439" s="55">
        <v>60000.0</v>
      </c>
      <c r="M439" s="25"/>
      <c r="N439" s="26"/>
      <c r="O439" s="27"/>
      <c r="P439" s="28"/>
    </row>
    <row r="440" hidden="1">
      <c r="A440" s="16" t="s">
        <v>720</v>
      </c>
      <c r="B440" s="17"/>
      <c r="C440" s="92"/>
      <c r="D440" s="4"/>
      <c r="E440" s="19">
        <v>0.0</v>
      </c>
      <c r="F440" s="19">
        <v>0.0</v>
      </c>
      <c r="G440" s="137" t="s">
        <v>585</v>
      </c>
      <c r="H440" s="21"/>
      <c r="I440" s="22"/>
      <c r="J440" s="29"/>
      <c r="K440" s="48">
        <f>26800/30</f>
        <v>893.3333333</v>
      </c>
      <c r="L440" s="55">
        <v>2000.0</v>
      </c>
      <c r="M440" s="25"/>
      <c r="N440" s="102"/>
      <c r="O440" s="27">
        <f t="shared" ref="O440:O503" si="55">(L440/K440)-1</f>
        <v>1.23880597</v>
      </c>
      <c r="P440" s="28">
        <f t="shared" ref="P440:P503" si="56">K440*F440</f>
        <v>0</v>
      </c>
    </row>
    <row r="441" hidden="1">
      <c r="A441" s="16" t="s">
        <v>721</v>
      </c>
      <c r="B441" s="17"/>
      <c r="C441" s="18"/>
      <c r="D441" s="4"/>
      <c r="E441" s="19">
        <v>0.0</v>
      </c>
      <c r="F441" s="19">
        <v>0.0</v>
      </c>
      <c r="G441" s="16" t="s">
        <v>699</v>
      </c>
      <c r="H441" s="21"/>
      <c r="I441" s="22"/>
      <c r="J441" s="29"/>
      <c r="K441" s="48">
        <f>22950*1.19/20</f>
        <v>1365.525</v>
      </c>
      <c r="L441" s="55">
        <v>2000.0</v>
      </c>
      <c r="M441" s="25"/>
      <c r="N441" s="39"/>
      <c r="O441" s="27">
        <f t="shared" si="55"/>
        <v>0.4646381428</v>
      </c>
      <c r="P441" s="28">
        <f t="shared" si="56"/>
        <v>0</v>
      </c>
    </row>
    <row r="442" hidden="1">
      <c r="A442" s="16" t="s">
        <v>722</v>
      </c>
      <c r="B442" s="157"/>
      <c r="C442" s="92"/>
      <c r="D442" s="4"/>
      <c r="E442" s="19">
        <v>0.0</v>
      </c>
      <c r="F442" s="19">
        <v>0.0</v>
      </c>
      <c r="G442" s="137" t="s">
        <v>585</v>
      </c>
      <c r="H442" s="21"/>
      <c r="I442" s="22"/>
      <c r="J442" s="29"/>
      <c r="K442" s="48">
        <v>24100.0</v>
      </c>
      <c r="L442" s="55">
        <v>36000.0</v>
      </c>
      <c r="M442" s="25"/>
      <c r="N442" s="102"/>
      <c r="O442" s="27">
        <f t="shared" si="55"/>
        <v>0.4937759336</v>
      </c>
      <c r="P442" s="28">
        <f t="shared" si="56"/>
        <v>0</v>
      </c>
    </row>
    <row r="443" hidden="1">
      <c r="A443" s="16" t="s">
        <v>723</v>
      </c>
      <c r="B443" s="17"/>
      <c r="C443" s="18"/>
      <c r="D443" s="4"/>
      <c r="E443" s="19">
        <v>0.0</v>
      </c>
      <c r="F443" s="19">
        <v>0.0</v>
      </c>
      <c r="G443" s="137" t="s">
        <v>585</v>
      </c>
      <c r="H443" s="21"/>
      <c r="I443" s="22"/>
      <c r="J443" s="29"/>
      <c r="K443" s="48">
        <f>36000/75</f>
        <v>480</v>
      </c>
      <c r="L443" s="55">
        <v>1000.0</v>
      </c>
      <c r="M443" s="25"/>
      <c r="N443" s="39"/>
      <c r="O443" s="27">
        <f t="shared" si="55"/>
        <v>1.083333333</v>
      </c>
      <c r="P443" s="28">
        <f t="shared" si="56"/>
        <v>0</v>
      </c>
    </row>
    <row r="444" hidden="1">
      <c r="A444" s="16" t="s">
        <v>724</v>
      </c>
      <c r="B444" s="17"/>
      <c r="C444" s="18"/>
      <c r="D444" s="4"/>
      <c r="E444" s="19">
        <v>1.0</v>
      </c>
      <c r="F444" s="19">
        <v>0.0</v>
      </c>
      <c r="G444" s="16" t="s">
        <v>699</v>
      </c>
      <c r="H444" s="21"/>
      <c r="I444" s="22"/>
      <c r="J444" s="58">
        <v>46722.0</v>
      </c>
      <c r="K444" s="48">
        <f>22950*1.19/20</f>
        <v>1365.525</v>
      </c>
      <c r="L444" s="55">
        <v>2000.0</v>
      </c>
      <c r="M444" s="25"/>
      <c r="N444" s="39"/>
      <c r="O444" s="27">
        <f t="shared" si="55"/>
        <v>0.4646381428</v>
      </c>
      <c r="P444" s="28">
        <f t="shared" si="56"/>
        <v>0</v>
      </c>
    </row>
    <row r="445" hidden="1">
      <c r="A445" s="16" t="s">
        <v>725</v>
      </c>
      <c r="B445" s="17"/>
      <c r="C445" s="18"/>
      <c r="D445" s="4"/>
      <c r="E445" s="19">
        <v>0.0</v>
      </c>
      <c r="F445" s="19"/>
      <c r="G445" s="16" t="s">
        <v>726</v>
      </c>
      <c r="H445" s="21"/>
      <c r="I445" s="22"/>
      <c r="J445" s="58">
        <v>45992.0</v>
      </c>
      <c r="K445" s="43">
        <f>4563*1.19</f>
        <v>5429.97</v>
      </c>
      <c r="L445" s="44">
        <v>8000.0</v>
      </c>
      <c r="M445" s="25"/>
      <c r="N445" s="39"/>
      <c r="O445" s="27">
        <f t="shared" si="55"/>
        <v>0.4733046407</v>
      </c>
      <c r="P445" s="28">
        <f t="shared" si="56"/>
        <v>0</v>
      </c>
    </row>
    <row r="446" hidden="1">
      <c r="A446" s="16" t="s">
        <v>727</v>
      </c>
      <c r="B446" s="17"/>
      <c r="C446" s="18"/>
      <c r="D446" s="4"/>
      <c r="E446" s="19">
        <v>0.0</v>
      </c>
      <c r="F446" s="128"/>
      <c r="G446" s="16" t="s">
        <v>726</v>
      </c>
      <c r="H446" s="21"/>
      <c r="I446" s="22"/>
      <c r="J446" s="29"/>
      <c r="K446" s="32">
        <f>7677*1.19</f>
        <v>9135.63</v>
      </c>
      <c r="L446" s="24">
        <v>12000.0</v>
      </c>
      <c r="M446" s="25"/>
      <c r="N446" s="39"/>
      <c r="O446" s="27">
        <f t="shared" si="55"/>
        <v>0.313538311</v>
      </c>
      <c r="P446" s="28">
        <f t="shared" si="56"/>
        <v>0</v>
      </c>
    </row>
    <row r="447" hidden="1">
      <c r="A447" s="16" t="s">
        <v>728</v>
      </c>
      <c r="B447" s="17" t="s">
        <v>729</v>
      </c>
      <c r="C447" s="158" t="s">
        <v>730</v>
      </c>
      <c r="D447" s="61"/>
      <c r="E447" s="19"/>
      <c r="F447" s="19"/>
      <c r="G447" s="16" t="s">
        <v>731</v>
      </c>
      <c r="H447" s="21"/>
      <c r="I447" s="22">
        <v>19.0</v>
      </c>
      <c r="J447" s="47">
        <v>46447.0</v>
      </c>
      <c r="K447" s="48">
        <v>160000.0</v>
      </c>
      <c r="L447" s="55">
        <v>210000.0</v>
      </c>
      <c r="M447" s="25" t="s">
        <v>82</v>
      </c>
      <c r="N447" s="26">
        <v>190000.0</v>
      </c>
      <c r="O447" s="27">
        <f t="shared" si="55"/>
        <v>0.3125</v>
      </c>
      <c r="P447" s="28">
        <f t="shared" si="56"/>
        <v>0</v>
      </c>
    </row>
    <row r="448" hidden="1">
      <c r="A448" s="16" t="s">
        <v>732</v>
      </c>
      <c r="B448" s="17" t="s">
        <v>729</v>
      </c>
      <c r="C448" s="38"/>
      <c r="D448" s="61"/>
      <c r="E448" s="19"/>
      <c r="F448" s="19"/>
      <c r="G448" s="16" t="s">
        <v>731</v>
      </c>
      <c r="H448" s="21"/>
      <c r="I448" s="22">
        <v>5.0</v>
      </c>
      <c r="J448" s="47">
        <v>46478.0</v>
      </c>
      <c r="K448" s="48">
        <v>160000.0</v>
      </c>
      <c r="L448" s="55">
        <v>210000.0</v>
      </c>
      <c r="M448" s="25" t="s">
        <v>82</v>
      </c>
      <c r="N448" s="26">
        <v>190000.0</v>
      </c>
      <c r="O448" s="27">
        <f t="shared" si="55"/>
        <v>0.3125</v>
      </c>
      <c r="P448" s="28">
        <f t="shared" si="56"/>
        <v>0</v>
      </c>
    </row>
    <row r="449" hidden="1">
      <c r="A449" s="16" t="s">
        <v>733</v>
      </c>
      <c r="B449" s="17" t="s">
        <v>729</v>
      </c>
      <c r="C449" s="38"/>
      <c r="D449" s="61"/>
      <c r="E449" s="19"/>
      <c r="F449" s="19"/>
      <c r="G449" s="16" t="s">
        <v>731</v>
      </c>
      <c r="H449" s="21"/>
      <c r="I449" s="22">
        <v>1.0</v>
      </c>
      <c r="J449" s="47">
        <v>46388.0</v>
      </c>
      <c r="K449" s="55">
        <v>160000.0</v>
      </c>
      <c r="L449" s="55">
        <v>210000.0</v>
      </c>
      <c r="M449" s="25" t="s">
        <v>82</v>
      </c>
      <c r="N449" s="26">
        <v>190000.0</v>
      </c>
      <c r="O449" s="27">
        <f t="shared" si="55"/>
        <v>0.3125</v>
      </c>
      <c r="P449" s="28">
        <f t="shared" si="56"/>
        <v>0</v>
      </c>
    </row>
    <row r="450" hidden="1">
      <c r="A450" s="16" t="s">
        <v>734</v>
      </c>
      <c r="B450" s="17" t="s">
        <v>729</v>
      </c>
      <c r="C450" s="158" t="s">
        <v>730</v>
      </c>
      <c r="D450" s="61"/>
      <c r="E450" s="19"/>
      <c r="F450" s="19"/>
      <c r="G450" s="16" t="s">
        <v>731</v>
      </c>
      <c r="H450" s="21"/>
      <c r="I450" s="22">
        <v>11.0</v>
      </c>
      <c r="J450" s="58">
        <v>46357.0</v>
      </c>
      <c r="K450" s="55">
        <v>160000.0</v>
      </c>
      <c r="L450" s="55">
        <v>210000.0</v>
      </c>
      <c r="M450" s="25" t="s">
        <v>82</v>
      </c>
      <c r="N450" s="26">
        <v>190000.0</v>
      </c>
      <c r="O450" s="27">
        <f t="shared" si="55"/>
        <v>0.3125</v>
      </c>
      <c r="P450" s="28">
        <f t="shared" si="56"/>
        <v>0</v>
      </c>
    </row>
    <row r="451" hidden="1">
      <c r="A451" s="16" t="s">
        <v>735</v>
      </c>
      <c r="B451" s="17"/>
      <c r="C451" s="38"/>
      <c r="D451" s="61"/>
      <c r="E451" s="19"/>
      <c r="F451" s="19"/>
      <c r="G451" s="16" t="s">
        <v>731</v>
      </c>
      <c r="H451" s="21"/>
      <c r="I451" s="22">
        <v>0.0</v>
      </c>
      <c r="J451" s="23"/>
      <c r="K451" s="24">
        <f t="shared" ref="K451:K454" si="57">86000</f>
        <v>86000</v>
      </c>
      <c r="L451" s="24">
        <v>105000.0</v>
      </c>
      <c r="M451" s="25" t="s">
        <v>82</v>
      </c>
      <c r="N451" s="26"/>
      <c r="O451" s="27">
        <f t="shared" si="55"/>
        <v>0.2209302326</v>
      </c>
      <c r="P451" s="28">
        <f t="shared" si="56"/>
        <v>0</v>
      </c>
    </row>
    <row r="452" hidden="1">
      <c r="A452" s="16" t="s">
        <v>736</v>
      </c>
      <c r="B452" s="17"/>
      <c r="C452" s="158" t="s">
        <v>737</v>
      </c>
      <c r="D452" s="61"/>
      <c r="E452" s="19"/>
      <c r="F452" s="19"/>
      <c r="G452" s="16" t="s">
        <v>731</v>
      </c>
      <c r="H452" s="21"/>
      <c r="I452" s="22">
        <v>0.0</v>
      </c>
      <c r="J452" s="47">
        <v>46082.0</v>
      </c>
      <c r="K452" s="24">
        <f t="shared" si="57"/>
        <v>86000</v>
      </c>
      <c r="L452" s="24">
        <v>105000.0</v>
      </c>
      <c r="M452" s="25" t="s">
        <v>82</v>
      </c>
      <c r="N452" s="26"/>
      <c r="O452" s="27">
        <f t="shared" si="55"/>
        <v>0.2209302326</v>
      </c>
      <c r="P452" s="28">
        <f t="shared" si="56"/>
        <v>0</v>
      </c>
    </row>
    <row r="453" hidden="1">
      <c r="A453" s="16" t="s">
        <v>738</v>
      </c>
      <c r="B453" s="17"/>
      <c r="C453" s="158" t="s">
        <v>737</v>
      </c>
      <c r="D453" s="61"/>
      <c r="E453" s="19"/>
      <c r="F453" s="19"/>
      <c r="G453" s="16" t="s">
        <v>731</v>
      </c>
      <c r="H453" s="159"/>
      <c r="I453" s="160">
        <v>1.0</v>
      </c>
      <c r="J453" s="161">
        <v>45839.0</v>
      </c>
      <c r="K453" s="24">
        <f t="shared" si="57"/>
        <v>86000</v>
      </c>
      <c r="L453" s="24">
        <v>105000.0</v>
      </c>
      <c r="M453" s="25" t="s">
        <v>82</v>
      </c>
      <c r="N453" s="26"/>
      <c r="O453" s="27">
        <f t="shared" si="55"/>
        <v>0.2209302326</v>
      </c>
      <c r="P453" s="28">
        <f t="shared" si="56"/>
        <v>0</v>
      </c>
    </row>
    <row r="454" hidden="1">
      <c r="A454" s="16" t="s">
        <v>739</v>
      </c>
      <c r="B454" s="17"/>
      <c r="C454" s="158" t="s">
        <v>737</v>
      </c>
      <c r="D454" s="61"/>
      <c r="E454" s="19"/>
      <c r="F454" s="19"/>
      <c r="G454" s="16" t="s">
        <v>731</v>
      </c>
      <c r="H454" s="159"/>
      <c r="I454" s="160">
        <v>3.0</v>
      </c>
      <c r="J454" s="162">
        <v>45809.0</v>
      </c>
      <c r="K454" s="24">
        <f t="shared" si="57"/>
        <v>86000</v>
      </c>
      <c r="L454" s="24">
        <v>105000.0</v>
      </c>
      <c r="M454" s="25" t="s">
        <v>82</v>
      </c>
      <c r="N454" s="26"/>
      <c r="O454" s="27">
        <f t="shared" si="55"/>
        <v>0.2209302326</v>
      </c>
      <c r="P454" s="28">
        <f t="shared" si="56"/>
        <v>0</v>
      </c>
    </row>
    <row r="455" hidden="1">
      <c r="A455" s="16" t="s">
        <v>740</v>
      </c>
      <c r="B455" s="17"/>
      <c r="C455" s="18"/>
      <c r="D455" s="4"/>
      <c r="E455" s="19">
        <v>2.0</v>
      </c>
      <c r="F455" s="19">
        <v>0.0</v>
      </c>
      <c r="G455" s="16" t="s">
        <v>470</v>
      </c>
      <c r="H455" s="21"/>
      <c r="I455" s="22">
        <v>1.0</v>
      </c>
      <c r="J455" s="47">
        <v>47150.0</v>
      </c>
      <c r="K455" s="48">
        <v>46320.0</v>
      </c>
      <c r="L455" s="55">
        <v>58000.0</v>
      </c>
      <c r="M455" s="25">
        <v>1.19</v>
      </c>
      <c r="N455" s="102">
        <v>52000.0</v>
      </c>
      <c r="O455" s="27">
        <f t="shared" si="55"/>
        <v>0.2521588946</v>
      </c>
      <c r="P455" s="28">
        <f t="shared" si="56"/>
        <v>0</v>
      </c>
    </row>
    <row r="456" hidden="1">
      <c r="A456" s="16" t="s">
        <v>741</v>
      </c>
      <c r="B456" s="17"/>
      <c r="C456" s="18"/>
      <c r="D456" s="4"/>
      <c r="E456" s="19">
        <v>0.0</v>
      </c>
      <c r="F456" s="19">
        <v>0.0</v>
      </c>
      <c r="G456" s="16" t="s">
        <v>470</v>
      </c>
      <c r="H456" s="21"/>
      <c r="I456" s="22">
        <v>0.0</v>
      </c>
      <c r="J456" s="29"/>
      <c r="K456" s="32">
        <f>41690/10</f>
        <v>4169</v>
      </c>
      <c r="L456" s="24">
        <v>7000.0</v>
      </c>
      <c r="M456" s="25"/>
      <c r="N456" s="39"/>
      <c r="O456" s="27">
        <f t="shared" si="55"/>
        <v>0.6790597266</v>
      </c>
      <c r="P456" s="28">
        <f t="shared" si="56"/>
        <v>0</v>
      </c>
    </row>
    <row r="457" hidden="1">
      <c r="A457" s="16" t="s">
        <v>742</v>
      </c>
      <c r="B457" s="17"/>
      <c r="C457" s="18"/>
      <c r="D457" s="4"/>
      <c r="E457" s="19">
        <v>0.0</v>
      </c>
      <c r="F457" s="19">
        <v>0.0</v>
      </c>
      <c r="G457" s="16" t="s">
        <v>630</v>
      </c>
      <c r="H457" s="21"/>
      <c r="I457" s="22">
        <v>7.0</v>
      </c>
      <c r="J457" s="29"/>
      <c r="K457" s="32">
        <v>41000.0</v>
      </c>
      <c r="L457" s="24">
        <v>70000.0</v>
      </c>
      <c r="M457" s="25"/>
      <c r="N457" s="26"/>
      <c r="O457" s="27">
        <f t="shared" si="55"/>
        <v>0.7073170732</v>
      </c>
      <c r="P457" s="28">
        <f t="shared" si="56"/>
        <v>0</v>
      </c>
    </row>
    <row r="458" hidden="1">
      <c r="A458" s="16" t="s">
        <v>743</v>
      </c>
      <c r="B458" s="49"/>
      <c r="C458" s="18"/>
      <c r="D458" s="4"/>
      <c r="E458" s="19">
        <v>0.0</v>
      </c>
      <c r="F458" s="19">
        <v>0.0</v>
      </c>
      <c r="G458" s="16" t="s">
        <v>744</v>
      </c>
      <c r="H458" s="21"/>
      <c r="I458" s="22">
        <v>55.0</v>
      </c>
      <c r="J458" s="58">
        <v>47058.0</v>
      </c>
      <c r="K458" s="55">
        <f>38000*1.19</f>
        <v>45220</v>
      </c>
      <c r="L458" s="55">
        <v>75000.0</v>
      </c>
      <c r="M458" s="25"/>
      <c r="N458" s="163">
        <v>65000.0</v>
      </c>
      <c r="O458" s="27">
        <f t="shared" si="55"/>
        <v>0.6585581601</v>
      </c>
      <c r="P458" s="28">
        <f t="shared" si="56"/>
        <v>0</v>
      </c>
    </row>
    <row r="459" hidden="1">
      <c r="A459" s="16" t="s">
        <v>745</v>
      </c>
      <c r="B459" s="36"/>
      <c r="C459" s="18"/>
      <c r="D459" s="4"/>
      <c r="E459" s="19">
        <v>0.0</v>
      </c>
      <c r="F459" s="19">
        <v>0.0</v>
      </c>
      <c r="G459" s="16" t="s">
        <v>16</v>
      </c>
      <c r="H459" s="21"/>
      <c r="I459" s="22">
        <v>0.0</v>
      </c>
      <c r="J459" s="29"/>
      <c r="K459" s="43">
        <v>22000.0</v>
      </c>
      <c r="L459" s="44">
        <v>30000.0</v>
      </c>
      <c r="M459" s="25"/>
      <c r="N459" s="39"/>
      <c r="O459" s="27">
        <f t="shared" si="55"/>
        <v>0.3636363636</v>
      </c>
      <c r="P459" s="28">
        <f t="shared" si="56"/>
        <v>0</v>
      </c>
    </row>
    <row r="460" hidden="1">
      <c r="A460" s="59" t="s">
        <v>746</v>
      </c>
      <c r="B460" s="134"/>
      <c r="C460" s="18"/>
      <c r="D460" s="4"/>
      <c r="E460" s="19">
        <v>0.0</v>
      </c>
      <c r="F460" s="19"/>
      <c r="G460" s="20" t="s">
        <v>747</v>
      </c>
      <c r="H460" s="21"/>
      <c r="I460" s="22"/>
      <c r="J460" s="23"/>
      <c r="K460" s="55">
        <f>360000/54</f>
        <v>6666.666667</v>
      </c>
      <c r="L460" s="55">
        <v>15000.0</v>
      </c>
      <c r="M460" s="25"/>
      <c r="N460" s="102">
        <v>12000.0</v>
      </c>
      <c r="O460" s="27">
        <f t="shared" si="55"/>
        <v>1.25</v>
      </c>
      <c r="P460" s="28">
        <f t="shared" si="56"/>
        <v>0</v>
      </c>
    </row>
    <row r="461" hidden="1">
      <c r="A461" s="122" t="s">
        <v>748</v>
      </c>
      <c r="B461" s="36"/>
      <c r="C461" s="18"/>
      <c r="D461" s="4"/>
      <c r="E461" s="19"/>
      <c r="F461" s="19"/>
      <c r="G461" s="16" t="s">
        <v>39</v>
      </c>
      <c r="H461" s="21"/>
      <c r="I461" s="22"/>
      <c r="J461" s="29"/>
      <c r="K461" s="32">
        <f>10000/10</f>
        <v>1000</v>
      </c>
      <c r="L461" s="24">
        <v>5000.0</v>
      </c>
      <c r="M461" s="25"/>
      <c r="N461" s="39"/>
      <c r="O461" s="27">
        <f t="shared" si="55"/>
        <v>4</v>
      </c>
      <c r="P461" s="28">
        <f t="shared" si="56"/>
        <v>0</v>
      </c>
    </row>
    <row r="462" hidden="1">
      <c r="A462" s="122" t="s">
        <v>749</v>
      </c>
      <c r="B462" s="36"/>
      <c r="C462" s="18"/>
      <c r="D462" s="4"/>
      <c r="E462" s="19"/>
      <c r="F462" s="19"/>
      <c r="G462" s="16" t="s">
        <v>39</v>
      </c>
      <c r="H462" s="21"/>
      <c r="I462" s="22"/>
      <c r="J462" s="29"/>
      <c r="K462" s="32">
        <f>5000/10</f>
        <v>500</v>
      </c>
      <c r="L462" s="24">
        <v>3000.0</v>
      </c>
      <c r="M462" s="25"/>
      <c r="N462" s="39"/>
      <c r="O462" s="27">
        <f t="shared" si="55"/>
        <v>5</v>
      </c>
      <c r="P462" s="28">
        <f t="shared" si="56"/>
        <v>0</v>
      </c>
    </row>
    <row r="463" hidden="1">
      <c r="A463" s="16" t="s">
        <v>750</v>
      </c>
      <c r="B463" s="17" t="s">
        <v>751</v>
      </c>
      <c r="C463" s="18"/>
      <c r="D463" s="4"/>
      <c r="E463" s="19">
        <v>0.0</v>
      </c>
      <c r="F463" s="19">
        <v>0.0</v>
      </c>
      <c r="G463" s="16" t="s">
        <v>752</v>
      </c>
      <c r="H463" s="21"/>
      <c r="I463" s="22">
        <v>4.0</v>
      </c>
      <c r="J463" s="29"/>
      <c r="K463" s="32">
        <v>10500.0</v>
      </c>
      <c r="L463" s="24">
        <v>18000.0</v>
      </c>
      <c r="M463" s="25"/>
      <c r="N463" s="26">
        <v>15000.0</v>
      </c>
      <c r="O463" s="27">
        <f t="shared" si="55"/>
        <v>0.7142857143</v>
      </c>
      <c r="P463" s="28">
        <f t="shared" si="56"/>
        <v>0</v>
      </c>
    </row>
    <row r="464" hidden="1">
      <c r="A464" s="16" t="s">
        <v>753</v>
      </c>
      <c r="B464" s="17"/>
      <c r="C464" s="18"/>
      <c r="D464" s="164"/>
      <c r="E464" s="19">
        <v>0.0</v>
      </c>
      <c r="F464" s="19"/>
      <c r="G464" s="20" t="s">
        <v>610</v>
      </c>
      <c r="H464" s="21"/>
      <c r="I464" s="22"/>
      <c r="J464" s="29"/>
      <c r="K464" s="32">
        <v>67200.0</v>
      </c>
      <c r="L464" s="24">
        <v>85000.0</v>
      </c>
      <c r="M464" s="25"/>
      <c r="N464" s="39"/>
      <c r="O464" s="27">
        <f t="shared" si="55"/>
        <v>0.2648809524</v>
      </c>
      <c r="P464" s="28">
        <f t="shared" si="56"/>
        <v>0</v>
      </c>
    </row>
    <row r="465" hidden="1">
      <c r="A465" s="52" t="s">
        <v>754</v>
      </c>
      <c r="B465" s="36"/>
      <c r="C465" s="18"/>
      <c r="D465" s="4"/>
      <c r="E465" s="19">
        <v>0.0</v>
      </c>
      <c r="F465" s="19">
        <v>0.0</v>
      </c>
      <c r="G465" s="20" t="s">
        <v>755</v>
      </c>
      <c r="H465" s="21"/>
      <c r="I465" s="22">
        <v>18.0</v>
      </c>
      <c r="J465" s="29"/>
      <c r="K465" s="43">
        <v>3700.0</v>
      </c>
      <c r="L465" s="44">
        <v>12000.0</v>
      </c>
      <c r="M465" s="25"/>
      <c r="N465" s="39"/>
      <c r="O465" s="27">
        <f t="shared" si="55"/>
        <v>2.243243243</v>
      </c>
      <c r="P465" s="28">
        <f t="shared" si="56"/>
        <v>0</v>
      </c>
    </row>
    <row r="466" hidden="1">
      <c r="A466" s="16" t="s">
        <v>756</v>
      </c>
      <c r="B466" s="36"/>
      <c r="C466" s="18"/>
      <c r="D466" s="4"/>
      <c r="E466" s="19">
        <v>0.0</v>
      </c>
      <c r="F466" s="19">
        <v>0.0</v>
      </c>
      <c r="G466" s="20" t="s">
        <v>84</v>
      </c>
      <c r="H466" s="21"/>
      <c r="I466" s="22"/>
      <c r="J466" s="29"/>
      <c r="K466" s="43">
        <v>9150.0</v>
      </c>
      <c r="L466" s="44">
        <v>32000.0</v>
      </c>
      <c r="M466" s="25"/>
      <c r="N466" s="39"/>
      <c r="O466" s="27">
        <f t="shared" si="55"/>
        <v>2.49726776</v>
      </c>
      <c r="P466" s="28">
        <f t="shared" si="56"/>
        <v>0</v>
      </c>
    </row>
    <row r="467" hidden="1">
      <c r="A467" s="16" t="s">
        <v>757</v>
      </c>
      <c r="B467" s="36"/>
      <c r="C467" s="18"/>
      <c r="D467" s="4"/>
      <c r="E467" s="19">
        <v>0.0</v>
      </c>
      <c r="F467" s="19">
        <v>0.0</v>
      </c>
      <c r="G467" s="16" t="s">
        <v>16</v>
      </c>
      <c r="H467" s="21"/>
      <c r="I467" s="22"/>
      <c r="J467" s="29"/>
      <c r="K467" s="32">
        <v>6641.0</v>
      </c>
      <c r="L467" s="24">
        <v>40000.0</v>
      </c>
      <c r="M467" s="25"/>
      <c r="N467" s="39"/>
      <c r="O467" s="27">
        <f t="shared" si="55"/>
        <v>5.023189279</v>
      </c>
      <c r="P467" s="28">
        <f t="shared" si="56"/>
        <v>0</v>
      </c>
    </row>
    <row r="468" hidden="1">
      <c r="A468" s="52" t="s">
        <v>758</v>
      </c>
      <c r="B468" s="36"/>
      <c r="C468" s="18"/>
      <c r="D468" s="4"/>
      <c r="E468" s="19">
        <v>0.0</v>
      </c>
      <c r="F468" s="19">
        <v>0.0</v>
      </c>
      <c r="G468" s="20" t="s">
        <v>377</v>
      </c>
      <c r="H468" s="21"/>
      <c r="I468" s="22">
        <v>33.0</v>
      </c>
      <c r="J468" s="47">
        <v>46174.0</v>
      </c>
      <c r="K468" s="32">
        <f>26900*1.19</f>
        <v>32011</v>
      </c>
      <c r="L468" s="24">
        <v>38000.0</v>
      </c>
      <c r="M468" s="25"/>
      <c r="N468" s="39"/>
      <c r="O468" s="27">
        <f t="shared" si="55"/>
        <v>0.1870919371</v>
      </c>
      <c r="P468" s="28">
        <f t="shared" si="56"/>
        <v>0</v>
      </c>
    </row>
    <row r="469" hidden="1">
      <c r="A469" s="42" t="s">
        <v>759</v>
      </c>
      <c r="B469" s="17"/>
      <c r="C469" s="18" t="s">
        <v>547</v>
      </c>
      <c r="D469" s="4"/>
      <c r="E469" s="19">
        <v>0.0</v>
      </c>
      <c r="F469" s="19">
        <v>0.0</v>
      </c>
      <c r="G469" s="20" t="s">
        <v>760</v>
      </c>
      <c r="H469" s="21"/>
      <c r="I469" s="22">
        <v>0.0</v>
      </c>
      <c r="J469" s="29"/>
      <c r="K469" s="43"/>
      <c r="L469" s="44"/>
      <c r="M469" s="25"/>
      <c r="N469" s="39"/>
      <c r="O469" s="27" t="str">
        <f t="shared" si="55"/>
        <v>#DIV/0!</v>
      </c>
      <c r="P469" s="28">
        <f t="shared" si="56"/>
        <v>0</v>
      </c>
    </row>
    <row r="470" hidden="1">
      <c r="A470" s="59" t="s">
        <v>761</v>
      </c>
      <c r="B470" s="97" t="s">
        <v>762</v>
      </c>
      <c r="C470" s="18"/>
      <c r="D470" s="98"/>
      <c r="E470" s="19">
        <v>4.0</v>
      </c>
      <c r="F470" s="19"/>
      <c r="G470" s="20" t="s">
        <v>485</v>
      </c>
      <c r="H470" s="21">
        <v>2.0</v>
      </c>
      <c r="I470" s="22"/>
      <c r="J470" s="100"/>
      <c r="K470" s="165">
        <f>51658*1.19</f>
        <v>61473.02</v>
      </c>
      <c r="L470" s="165">
        <v>105000.0</v>
      </c>
      <c r="M470" s="25"/>
      <c r="N470" s="26"/>
      <c r="O470" s="27">
        <f t="shared" si="55"/>
        <v>0.7080664005</v>
      </c>
      <c r="P470" s="28">
        <f t="shared" si="56"/>
        <v>0</v>
      </c>
    </row>
    <row r="471" hidden="1">
      <c r="A471" s="16" t="s">
        <v>763</v>
      </c>
      <c r="B471" s="36"/>
      <c r="C471" s="18"/>
      <c r="D471" s="4"/>
      <c r="E471" s="19">
        <v>0.0</v>
      </c>
      <c r="F471" s="19">
        <v>0.0</v>
      </c>
      <c r="G471" s="20" t="s">
        <v>254</v>
      </c>
      <c r="H471" s="21"/>
      <c r="I471" s="22">
        <v>0.0</v>
      </c>
      <c r="J471" s="29"/>
      <c r="K471" s="43">
        <v>47100.0</v>
      </c>
      <c r="L471" s="44">
        <v>65000.0</v>
      </c>
      <c r="M471" s="25"/>
      <c r="N471" s="39"/>
      <c r="O471" s="27">
        <f t="shared" si="55"/>
        <v>0.3800424628</v>
      </c>
      <c r="P471" s="28">
        <f t="shared" si="56"/>
        <v>0</v>
      </c>
    </row>
    <row r="472" hidden="1">
      <c r="A472" s="16" t="s">
        <v>764</v>
      </c>
      <c r="B472" s="166"/>
      <c r="C472" s="18"/>
      <c r="D472" s="4" t="s">
        <v>676</v>
      </c>
      <c r="E472" s="19">
        <v>0.0</v>
      </c>
      <c r="F472" s="19">
        <v>0.0</v>
      </c>
      <c r="G472" s="20" t="s">
        <v>254</v>
      </c>
      <c r="H472" s="21"/>
      <c r="I472" s="22">
        <v>8.0</v>
      </c>
      <c r="J472" s="23" t="s">
        <v>99</v>
      </c>
      <c r="K472" s="44">
        <v>39276.0</v>
      </c>
      <c r="L472" s="44">
        <v>52000.0</v>
      </c>
      <c r="M472" s="25" t="s">
        <v>76</v>
      </c>
      <c r="N472" s="39"/>
      <c r="O472" s="27">
        <f t="shared" si="55"/>
        <v>0.3239637438</v>
      </c>
      <c r="P472" s="28">
        <f t="shared" si="56"/>
        <v>0</v>
      </c>
    </row>
    <row r="473" hidden="1">
      <c r="A473" s="16" t="s">
        <v>765</v>
      </c>
      <c r="B473" s="17"/>
      <c r="C473" s="18" t="s">
        <v>144</v>
      </c>
      <c r="D473" s="4">
        <v>77499.0</v>
      </c>
      <c r="E473" s="19">
        <v>0.0</v>
      </c>
      <c r="F473" s="77">
        <v>0.0</v>
      </c>
      <c r="G473" s="20" t="s">
        <v>78</v>
      </c>
      <c r="H473" s="21">
        <v>4.0</v>
      </c>
      <c r="I473" s="22">
        <v>3.0</v>
      </c>
      <c r="J473" s="23"/>
      <c r="K473" s="24">
        <v>72817.0</v>
      </c>
      <c r="L473" s="24">
        <v>98000.0</v>
      </c>
      <c r="M473" s="25" t="s">
        <v>82</v>
      </c>
      <c r="N473" s="39"/>
      <c r="O473" s="27">
        <f t="shared" si="55"/>
        <v>0.3458395704</v>
      </c>
      <c r="P473" s="28">
        <f t="shared" si="56"/>
        <v>0</v>
      </c>
    </row>
    <row r="474" hidden="1">
      <c r="A474" s="16" t="s">
        <v>766</v>
      </c>
      <c r="B474" s="17"/>
      <c r="C474" s="18"/>
      <c r="D474" s="4"/>
      <c r="E474" s="19">
        <v>0.0</v>
      </c>
      <c r="F474" s="19"/>
      <c r="G474" s="16" t="s">
        <v>767</v>
      </c>
      <c r="H474" s="21"/>
      <c r="I474" s="22"/>
      <c r="J474" s="29"/>
      <c r="K474" s="43">
        <v>1500000.0</v>
      </c>
      <c r="L474" s="125">
        <f>K474*1.2</f>
        <v>1800000</v>
      </c>
      <c r="M474" s="25"/>
      <c r="N474" s="39"/>
      <c r="O474" s="27">
        <f t="shared" si="55"/>
        <v>0.2</v>
      </c>
      <c r="P474" s="28">
        <f t="shared" si="56"/>
        <v>0</v>
      </c>
    </row>
    <row r="475" hidden="1">
      <c r="A475" s="52" t="s">
        <v>768</v>
      </c>
      <c r="B475" s="167"/>
      <c r="C475" s="68"/>
      <c r="D475" s="4"/>
      <c r="E475" s="19">
        <v>10.0</v>
      </c>
      <c r="F475" s="77">
        <v>0.0</v>
      </c>
      <c r="G475" s="20" t="s">
        <v>14</v>
      </c>
      <c r="H475" s="21">
        <v>4.0</v>
      </c>
      <c r="I475" s="22">
        <v>6.0</v>
      </c>
      <c r="J475" s="47">
        <v>46539.0</v>
      </c>
      <c r="K475" s="24">
        <v>13351.0</v>
      </c>
      <c r="L475" s="24">
        <v>20000.0</v>
      </c>
      <c r="M475" s="25" t="s">
        <v>76</v>
      </c>
      <c r="N475" s="39"/>
      <c r="O475" s="27">
        <f t="shared" si="55"/>
        <v>0.49801513</v>
      </c>
      <c r="P475" s="28">
        <f t="shared" si="56"/>
        <v>0</v>
      </c>
    </row>
    <row r="476" hidden="1">
      <c r="A476" s="52" t="s">
        <v>769</v>
      </c>
      <c r="B476" s="17"/>
      <c r="C476" s="68"/>
      <c r="D476" s="4"/>
      <c r="E476" s="19">
        <v>0.0</v>
      </c>
      <c r="F476" s="19">
        <v>0.0</v>
      </c>
      <c r="G476" s="20" t="s">
        <v>14</v>
      </c>
      <c r="H476" s="21">
        <v>1.0</v>
      </c>
      <c r="I476" s="22">
        <v>1.0</v>
      </c>
      <c r="J476" s="23"/>
      <c r="K476" s="44">
        <v>171200.0</v>
      </c>
      <c r="L476" s="44">
        <v>220000.0</v>
      </c>
      <c r="M476" s="25" t="s">
        <v>76</v>
      </c>
      <c r="N476" s="39"/>
      <c r="O476" s="27">
        <f t="shared" si="55"/>
        <v>0.285046729</v>
      </c>
      <c r="P476" s="28">
        <f t="shared" si="56"/>
        <v>0</v>
      </c>
    </row>
    <row r="477" hidden="1">
      <c r="A477" s="52" t="s">
        <v>770</v>
      </c>
      <c r="B477" s="17" t="s">
        <v>771</v>
      </c>
      <c r="C477" s="18"/>
      <c r="D477" s="4"/>
      <c r="E477" s="19">
        <v>0.0</v>
      </c>
      <c r="F477" s="19">
        <v>0.0</v>
      </c>
      <c r="G477" s="16" t="s">
        <v>772</v>
      </c>
      <c r="H477" s="21"/>
      <c r="I477" s="22">
        <v>0.0</v>
      </c>
      <c r="J477" s="29"/>
      <c r="K477" s="32">
        <f>9000*1.19</f>
        <v>10710</v>
      </c>
      <c r="L477" s="24">
        <v>15000.0</v>
      </c>
      <c r="M477" s="25"/>
      <c r="N477" s="39"/>
      <c r="O477" s="27">
        <f t="shared" si="55"/>
        <v>0.4005602241</v>
      </c>
      <c r="P477" s="28">
        <f t="shared" si="56"/>
        <v>0</v>
      </c>
    </row>
    <row r="478" hidden="1">
      <c r="A478" s="16" t="s">
        <v>773</v>
      </c>
      <c r="B478" s="36"/>
      <c r="C478" s="18"/>
      <c r="D478" s="4"/>
      <c r="E478" s="19">
        <v>0.0</v>
      </c>
      <c r="F478" s="19"/>
      <c r="G478" s="20" t="s">
        <v>610</v>
      </c>
      <c r="H478" s="21"/>
      <c r="I478" s="22"/>
      <c r="J478" s="29"/>
      <c r="K478" s="43">
        <v>33000.0</v>
      </c>
      <c r="L478" s="44">
        <v>45000.0</v>
      </c>
      <c r="M478" s="25" t="s">
        <v>82</v>
      </c>
      <c r="N478" s="39"/>
      <c r="O478" s="27">
        <f t="shared" si="55"/>
        <v>0.3636363636</v>
      </c>
      <c r="P478" s="28">
        <f t="shared" si="56"/>
        <v>0</v>
      </c>
    </row>
    <row r="479" hidden="1">
      <c r="A479" s="16" t="s">
        <v>774</v>
      </c>
      <c r="B479" s="36"/>
      <c r="C479" s="18"/>
      <c r="D479" s="4"/>
      <c r="E479" s="19">
        <v>0.0</v>
      </c>
      <c r="F479" s="19"/>
      <c r="G479" s="20" t="s">
        <v>610</v>
      </c>
      <c r="H479" s="21"/>
      <c r="I479" s="22"/>
      <c r="J479" s="29"/>
      <c r="K479" s="43">
        <v>33000.0</v>
      </c>
      <c r="L479" s="44">
        <v>45000.0</v>
      </c>
      <c r="M479" s="25"/>
      <c r="N479" s="39"/>
      <c r="O479" s="27">
        <f t="shared" si="55"/>
        <v>0.3636363636</v>
      </c>
      <c r="P479" s="28">
        <f t="shared" si="56"/>
        <v>0</v>
      </c>
    </row>
    <row r="480" hidden="1">
      <c r="A480" s="16" t="s">
        <v>775</v>
      </c>
      <c r="B480" s="49"/>
      <c r="C480" s="18" t="s">
        <v>55</v>
      </c>
      <c r="D480" s="4"/>
      <c r="E480" s="19">
        <v>0.0</v>
      </c>
      <c r="F480" s="19"/>
      <c r="G480" s="20" t="s">
        <v>610</v>
      </c>
      <c r="H480" s="21"/>
      <c r="I480" s="22"/>
      <c r="J480" s="29"/>
      <c r="K480" s="43">
        <v>33000.0</v>
      </c>
      <c r="L480" s="44">
        <v>45000.0</v>
      </c>
      <c r="M480" s="25" t="s">
        <v>82</v>
      </c>
      <c r="N480" s="39"/>
      <c r="O480" s="27">
        <f t="shared" si="55"/>
        <v>0.3636363636</v>
      </c>
      <c r="P480" s="28">
        <f t="shared" si="56"/>
        <v>0</v>
      </c>
    </row>
    <row r="481" hidden="1">
      <c r="A481" s="40" t="s">
        <v>776</v>
      </c>
      <c r="B481" s="49"/>
      <c r="C481" s="18" t="s">
        <v>55</v>
      </c>
      <c r="D481" s="4"/>
      <c r="E481" s="19">
        <v>0.0</v>
      </c>
      <c r="F481" s="19"/>
      <c r="G481" s="20" t="s">
        <v>610</v>
      </c>
      <c r="H481" s="21"/>
      <c r="I481" s="22"/>
      <c r="J481" s="29"/>
      <c r="K481" s="43">
        <v>33000.0</v>
      </c>
      <c r="L481" s="44">
        <v>45000.0</v>
      </c>
      <c r="M481" s="25" t="s">
        <v>82</v>
      </c>
      <c r="N481" s="26"/>
      <c r="O481" s="27">
        <f t="shared" si="55"/>
        <v>0.3636363636</v>
      </c>
      <c r="P481" s="28">
        <f t="shared" si="56"/>
        <v>0</v>
      </c>
    </row>
    <row r="482" hidden="1">
      <c r="A482" s="40" t="s">
        <v>777</v>
      </c>
      <c r="B482" s="36"/>
      <c r="C482" s="18"/>
      <c r="D482" s="4"/>
      <c r="E482" s="19">
        <v>0.0</v>
      </c>
      <c r="F482" s="19"/>
      <c r="G482" s="20" t="s">
        <v>610</v>
      </c>
      <c r="H482" s="21"/>
      <c r="I482" s="22"/>
      <c r="J482" s="29"/>
      <c r="K482" s="43">
        <v>33000.0</v>
      </c>
      <c r="L482" s="44">
        <v>45000.0</v>
      </c>
      <c r="M482" s="25" t="s">
        <v>82</v>
      </c>
      <c r="N482" s="39"/>
      <c r="O482" s="27">
        <f t="shared" si="55"/>
        <v>0.3636363636</v>
      </c>
      <c r="P482" s="28">
        <f t="shared" si="56"/>
        <v>0</v>
      </c>
    </row>
    <row r="483" hidden="1">
      <c r="A483" s="16" t="s">
        <v>778</v>
      </c>
      <c r="B483" s="36"/>
      <c r="C483" s="18"/>
      <c r="D483" s="4"/>
      <c r="E483" s="19">
        <v>0.0</v>
      </c>
      <c r="F483" s="19"/>
      <c r="G483" s="20" t="s">
        <v>610</v>
      </c>
      <c r="H483" s="21"/>
      <c r="I483" s="22"/>
      <c r="J483" s="29"/>
      <c r="K483" s="43">
        <v>33000.0</v>
      </c>
      <c r="L483" s="44">
        <v>45000.0</v>
      </c>
      <c r="M483" s="25" t="s">
        <v>82</v>
      </c>
      <c r="N483" s="39"/>
      <c r="O483" s="27">
        <f t="shared" si="55"/>
        <v>0.3636363636</v>
      </c>
      <c r="P483" s="28">
        <f t="shared" si="56"/>
        <v>0</v>
      </c>
    </row>
    <row r="484" hidden="1">
      <c r="A484" s="40" t="s">
        <v>779</v>
      </c>
      <c r="B484" s="36"/>
      <c r="C484" s="18"/>
      <c r="D484" s="4"/>
      <c r="E484" s="19">
        <v>0.0</v>
      </c>
      <c r="F484" s="19"/>
      <c r="G484" s="20" t="s">
        <v>610</v>
      </c>
      <c r="H484" s="21"/>
      <c r="I484" s="22"/>
      <c r="J484" s="29"/>
      <c r="K484" s="43">
        <v>33000.0</v>
      </c>
      <c r="L484" s="44">
        <v>45000.0</v>
      </c>
      <c r="M484" s="25"/>
      <c r="N484" s="39"/>
      <c r="O484" s="27">
        <f t="shared" si="55"/>
        <v>0.3636363636</v>
      </c>
      <c r="P484" s="28">
        <f t="shared" si="56"/>
        <v>0</v>
      </c>
    </row>
    <row r="485" hidden="1">
      <c r="A485" s="16" t="s">
        <v>780</v>
      </c>
      <c r="B485" s="36"/>
      <c r="C485" s="18"/>
      <c r="D485" s="4"/>
      <c r="E485" s="19">
        <v>0.0</v>
      </c>
      <c r="F485" s="19"/>
      <c r="G485" s="20" t="s">
        <v>610</v>
      </c>
      <c r="H485" s="21"/>
      <c r="I485" s="22"/>
      <c r="J485" s="29"/>
      <c r="K485" s="43">
        <v>33000.0</v>
      </c>
      <c r="L485" s="44">
        <v>45000.0</v>
      </c>
      <c r="M485" s="25" t="s">
        <v>82</v>
      </c>
      <c r="N485" s="39"/>
      <c r="O485" s="27">
        <f t="shared" si="55"/>
        <v>0.3636363636</v>
      </c>
      <c r="P485" s="28">
        <f t="shared" si="56"/>
        <v>0</v>
      </c>
    </row>
    <row r="486" hidden="1">
      <c r="A486" s="16" t="s">
        <v>781</v>
      </c>
      <c r="B486" s="54" t="s">
        <v>782</v>
      </c>
      <c r="C486" s="18"/>
      <c r="D486" s="4"/>
      <c r="E486" s="19">
        <v>0.0</v>
      </c>
      <c r="F486" s="19">
        <v>0.0</v>
      </c>
      <c r="G486" s="16" t="s">
        <v>783</v>
      </c>
      <c r="H486" s="21"/>
      <c r="I486" s="22">
        <v>9.0</v>
      </c>
      <c r="J486" s="29"/>
      <c r="K486" s="48">
        <v>15500.0</v>
      </c>
      <c r="L486" s="48">
        <v>27000.0</v>
      </c>
      <c r="M486" s="25" t="s">
        <v>82</v>
      </c>
      <c r="N486" s="26"/>
      <c r="O486" s="27">
        <f t="shared" si="55"/>
        <v>0.7419354839</v>
      </c>
      <c r="P486" s="28">
        <f t="shared" si="56"/>
        <v>0</v>
      </c>
    </row>
    <row r="487" hidden="1">
      <c r="A487" s="16" t="s">
        <v>784</v>
      </c>
      <c r="B487" s="54" t="s">
        <v>782</v>
      </c>
      <c r="C487" s="18"/>
      <c r="D487" s="107" t="s">
        <v>251</v>
      </c>
      <c r="E487" s="19">
        <v>20.0</v>
      </c>
      <c r="F487" s="19">
        <v>0.0</v>
      </c>
      <c r="G487" s="16" t="s">
        <v>783</v>
      </c>
      <c r="H487" s="21"/>
      <c r="I487" s="22">
        <v>9.0</v>
      </c>
      <c r="J487" s="29"/>
      <c r="K487" s="48">
        <v>15500.0</v>
      </c>
      <c r="L487" s="48">
        <v>27000.0</v>
      </c>
      <c r="M487" s="25" t="s">
        <v>82</v>
      </c>
      <c r="N487" s="26"/>
      <c r="O487" s="27">
        <f t="shared" si="55"/>
        <v>0.7419354839</v>
      </c>
      <c r="P487" s="28">
        <f t="shared" si="56"/>
        <v>0</v>
      </c>
    </row>
    <row r="488" hidden="1">
      <c r="A488" s="16" t="s">
        <v>785</v>
      </c>
      <c r="B488" s="54" t="s">
        <v>782</v>
      </c>
      <c r="C488" s="18"/>
      <c r="D488" s="4"/>
      <c r="E488" s="19">
        <v>0.0</v>
      </c>
      <c r="F488" s="19">
        <v>0.0</v>
      </c>
      <c r="G488" s="16" t="s">
        <v>783</v>
      </c>
      <c r="H488" s="21"/>
      <c r="I488" s="22">
        <v>0.0</v>
      </c>
      <c r="J488" s="29"/>
      <c r="K488" s="48">
        <v>15500.0</v>
      </c>
      <c r="L488" s="48">
        <v>27000.0</v>
      </c>
      <c r="M488" s="25" t="s">
        <v>82</v>
      </c>
      <c r="N488" s="39"/>
      <c r="O488" s="27">
        <f t="shared" si="55"/>
        <v>0.7419354839</v>
      </c>
      <c r="P488" s="28">
        <f t="shared" si="56"/>
        <v>0</v>
      </c>
    </row>
    <row r="489" hidden="1">
      <c r="A489" s="16" t="s">
        <v>786</v>
      </c>
      <c r="B489" s="54" t="s">
        <v>782</v>
      </c>
      <c r="C489" s="18"/>
      <c r="D489" s="4"/>
      <c r="E489" s="19">
        <v>0.0</v>
      </c>
      <c r="F489" s="19">
        <v>0.0</v>
      </c>
      <c r="G489" s="16" t="s">
        <v>783</v>
      </c>
      <c r="H489" s="21"/>
      <c r="I489" s="22">
        <v>0.0</v>
      </c>
      <c r="J489" s="29"/>
      <c r="K489" s="48">
        <v>15500.0</v>
      </c>
      <c r="L489" s="48">
        <v>27000.0</v>
      </c>
      <c r="M489" s="25" t="s">
        <v>82</v>
      </c>
      <c r="N489" s="39"/>
      <c r="O489" s="27">
        <f t="shared" si="55"/>
        <v>0.7419354839</v>
      </c>
      <c r="P489" s="28">
        <f t="shared" si="56"/>
        <v>0</v>
      </c>
    </row>
    <row r="490" hidden="1">
      <c r="A490" s="16" t="s">
        <v>787</v>
      </c>
      <c r="B490" s="54" t="s">
        <v>782</v>
      </c>
      <c r="C490" s="18"/>
      <c r="D490" s="4"/>
      <c r="E490" s="19">
        <v>0.0</v>
      </c>
      <c r="F490" s="19">
        <v>0.0</v>
      </c>
      <c r="G490" s="16" t="s">
        <v>783</v>
      </c>
      <c r="H490" s="21"/>
      <c r="I490" s="22">
        <v>0.0</v>
      </c>
      <c r="J490" s="29"/>
      <c r="K490" s="48">
        <v>15500.0</v>
      </c>
      <c r="L490" s="48">
        <v>27000.0</v>
      </c>
      <c r="M490" s="25" t="s">
        <v>82</v>
      </c>
      <c r="N490" s="39"/>
      <c r="O490" s="27">
        <f t="shared" si="55"/>
        <v>0.7419354839</v>
      </c>
      <c r="P490" s="28">
        <f t="shared" si="56"/>
        <v>0</v>
      </c>
    </row>
    <row r="491" hidden="1">
      <c r="A491" s="16" t="s">
        <v>788</v>
      </c>
      <c r="B491" s="54" t="s">
        <v>782</v>
      </c>
      <c r="C491" s="18"/>
      <c r="D491" s="4"/>
      <c r="E491" s="19">
        <v>0.0</v>
      </c>
      <c r="F491" s="19">
        <v>0.0</v>
      </c>
      <c r="G491" s="16" t="s">
        <v>783</v>
      </c>
      <c r="H491" s="21"/>
      <c r="I491" s="22">
        <v>0.0</v>
      </c>
      <c r="J491" s="29"/>
      <c r="K491" s="48">
        <v>15500.0</v>
      </c>
      <c r="L491" s="48">
        <v>27000.0</v>
      </c>
      <c r="M491" s="25" t="s">
        <v>82</v>
      </c>
      <c r="N491" s="39"/>
      <c r="O491" s="27">
        <f t="shared" si="55"/>
        <v>0.7419354839</v>
      </c>
      <c r="P491" s="28">
        <f t="shared" si="56"/>
        <v>0</v>
      </c>
    </row>
    <row r="492" hidden="1">
      <c r="A492" s="16" t="s">
        <v>789</v>
      </c>
      <c r="B492" s="54" t="s">
        <v>782</v>
      </c>
      <c r="C492" s="18"/>
      <c r="D492" s="4"/>
      <c r="E492" s="19">
        <v>0.0</v>
      </c>
      <c r="F492" s="19">
        <v>0.0</v>
      </c>
      <c r="G492" s="16" t="s">
        <v>783</v>
      </c>
      <c r="H492" s="21"/>
      <c r="I492" s="22">
        <v>21.0</v>
      </c>
      <c r="J492" s="29"/>
      <c r="K492" s="48">
        <v>15500.0</v>
      </c>
      <c r="L492" s="48">
        <v>27000.0</v>
      </c>
      <c r="M492" s="168" t="s">
        <v>76</v>
      </c>
      <c r="N492" s="39"/>
      <c r="O492" s="27">
        <f t="shared" si="55"/>
        <v>0.7419354839</v>
      </c>
      <c r="P492" s="28">
        <f t="shared" si="56"/>
        <v>0</v>
      </c>
    </row>
    <row r="493" hidden="1">
      <c r="A493" s="16" t="s">
        <v>790</v>
      </c>
      <c r="B493" s="54" t="s">
        <v>782</v>
      </c>
      <c r="C493" s="18"/>
      <c r="D493" s="107" t="s">
        <v>251</v>
      </c>
      <c r="E493" s="19">
        <v>20.0</v>
      </c>
      <c r="F493" s="19">
        <v>0.0</v>
      </c>
      <c r="G493" s="16" t="s">
        <v>783</v>
      </c>
      <c r="H493" s="21"/>
      <c r="I493" s="22">
        <v>10.0</v>
      </c>
      <c r="J493" s="29"/>
      <c r="K493" s="48">
        <v>15500.0</v>
      </c>
      <c r="L493" s="48">
        <v>27000.0</v>
      </c>
      <c r="M493" s="168" t="s">
        <v>76</v>
      </c>
      <c r="N493" s="39"/>
      <c r="O493" s="27">
        <f t="shared" si="55"/>
        <v>0.7419354839</v>
      </c>
      <c r="P493" s="28">
        <f t="shared" si="56"/>
        <v>0</v>
      </c>
    </row>
    <row r="494" hidden="1">
      <c r="A494" s="16" t="s">
        <v>791</v>
      </c>
      <c r="B494" s="17"/>
      <c r="C494" s="18"/>
      <c r="D494" s="4"/>
      <c r="E494" s="19">
        <v>0.0</v>
      </c>
      <c r="F494" s="19">
        <v>0.0</v>
      </c>
      <c r="G494" s="16" t="s">
        <v>792</v>
      </c>
      <c r="H494" s="21"/>
      <c r="I494" s="22">
        <v>0.0</v>
      </c>
      <c r="J494" s="29"/>
      <c r="K494" s="43">
        <v>190000.0</v>
      </c>
      <c r="L494" s="44">
        <v>220000.0</v>
      </c>
      <c r="M494" s="25"/>
      <c r="N494" s="39"/>
      <c r="O494" s="27">
        <f t="shared" si="55"/>
        <v>0.1578947368</v>
      </c>
      <c r="P494" s="28">
        <f t="shared" si="56"/>
        <v>0</v>
      </c>
    </row>
    <row r="495" hidden="1">
      <c r="A495" s="122" t="s">
        <v>793</v>
      </c>
      <c r="B495" s="17"/>
      <c r="C495" s="18"/>
      <c r="D495" s="4"/>
      <c r="E495" s="19">
        <v>0.0</v>
      </c>
      <c r="F495" s="19">
        <v>0.0</v>
      </c>
      <c r="G495" s="16" t="s">
        <v>16</v>
      </c>
      <c r="H495" s="73"/>
      <c r="I495" s="22">
        <v>0.0</v>
      </c>
      <c r="J495" s="74"/>
      <c r="K495" s="75">
        <v>289000.0</v>
      </c>
      <c r="L495" s="44">
        <v>550000.0</v>
      </c>
      <c r="M495" s="25"/>
      <c r="N495" s="39"/>
      <c r="O495" s="27">
        <f t="shared" si="55"/>
        <v>0.9031141869</v>
      </c>
      <c r="P495" s="28">
        <f t="shared" si="56"/>
        <v>0</v>
      </c>
    </row>
    <row r="496" hidden="1">
      <c r="A496" s="122" t="s">
        <v>794</v>
      </c>
      <c r="B496" s="134"/>
      <c r="C496" s="18"/>
      <c r="D496" s="4"/>
      <c r="E496" s="19">
        <v>0.0</v>
      </c>
      <c r="F496" s="19">
        <v>10.0</v>
      </c>
      <c r="G496" s="16" t="s">
        <v>16</v>
      </c>
      <c r="H496" s="21"/>
      <c r="I496" s="22">
        <v>0.0</v>
      </c>
      <c r="J496" s="29"/>
      <c r="K496" s="169">
        <v>10277.0</v>
      </c>
      <c r="L496" s="24">
        <v>50000.0</v>
      </c>
      <c r="M496" s="25"/>
      <c r="N496" s="102">
        <v>40000.0</v>
      </c>
      <c r="O496" s="27">
        <f t="shared" si="55"/>
        <v>3.865233045</v>
      </c>
      <c r="P496" s="28">
        <f t="shared" si="56"/>
        <v>102770</v>
      </c>
    </row>
    <row r="497" hidden="1">
      <c r="A497" s="122" t="s">
        <v>795</v>
      </c>
      <c r="B497" s="17">
        <v>241099.0</v>
      </c>
      <c r="C497" s="18"/>
      <c r="D497" s="4" t="s">
        <v>796</v>
      </c>
      <c r="E497" s="19">
        <v>0.0</v>
      </c>
      <c r="F497" s="19">
        <v>10.0</v>
      </c>
      <c r="G497" s="16" t="s">
        <v>425</v>
      </c>
      <c r="H497" s="21"/>
      <c r="I497" s="22">
        <v>9.0</v>
      </c>
      <c r="J497" s="29"/>
      <c r="K497" s="43">
        <f>14156*1.19</f>
        <v>16845.64</v>
      </c>
      <c r="L497" s="43">
        <v>28000.0</v>
      </c>
      <c r="M497" s="25"/>
      <c r="N497" s="39"/>
      <c r="O497" s="27">
        <f t="shared" si="55"/>
        <v>0.662151156</v>
      </c>
      <c r="P497" s="28">
        <f t="shared" si="56"/>
        <v>168456.4</v>
      </c>
    </row>
    <row r="498" hidden="1">
      <c r="A498" s="42" t="s">
        <v>797</v>
      </c>
      <c r="B498" s="71"/>
      <c r="C498" s="18"/>
      <c r="D498" s="4"/>
      <c r="E498" s="19">
        <v>0.0</v>
      </c>
      <c r="F498" s="19"/>
      <c r="G498" s="16" t="s">
        <v>798</v>
      </c>
      <c r="H498" s="21"/>
      <c r="I498" s="22"/>
      <c r="J498" s="29"/>
      <c r="K498" s="43">
        <v>1416.0</v>
      </c>
      <c r="L498" s="44">
        <v>5000.0</v>
      </c>
      <c r="M498" s="25"/>
      <c r="N498" s="39"/>
      <c r="O498" s="27">
        <f t="shared" si="55"/>
        <v>2.531073446</v>
      </c>
      <c r="P498" s="28">
        <f t="shared" si="56"/>
        <v>0</v>
      </c>
    </row>
    <row r="499" hidden="1">
      <c r="A499" s="42" t="s">
        <v>799</v>
      </c>
      <c r="B499" s="114" t="s">
        <v>328</v>
      </c>
      <c r="C499" s="18"/>
      <c r="D499" s="4"/>
      <c r="E499" s="19">
        <v>0.0</v>
      </c>
      <c r="F499" s="19"/>
      <c r="G499" s="16" t="s">
        <v>798</v>
      </c>
      <c r="H499" s="21"/>
      <c r="I499" s="22"/>
      <c r="J499" s="29"/>
      <c r="K499" s="43">
        <v>1443.0</v>
      </c>
      <c r="L499" s="44">
        <v>4000.0</v>
      </c>
      <c r="M499" s="25"/>
      <c r="N499" s="39"/>
      <c r="O499" s="27">
        <f t="shared" si="55"/>
        <v>1.772002772</v>
      </c>
      <c r="P499" s="28">
        <f t="shared" si="56"/>
        <v>0</v>
      </c>
    </row>
    <row r="500" hidden="1">
      <c r="A500" s="16" t="s">
        <v>800</v>
      </c>
      <c r="B500" s="49"/>
      <c r="C500" s="18"/>
      <c r="D500" s="4"/>
      <c r="E500" s="19">
        <v>0.0</v>
      </c>
      <c r="F500" s="19"/>
      <c r="G500" s="20" t="s">
        <v>57</v>
      </c>
      <c r="H500" s="21"/>
      <c r="I500" s="22"/>
      <c r="J500" s="58">
        <v>46357.0</v>
      </c>
      <c r="K500" s="32">
        <v>48000.0</v>
      </c>
      <c r="L500" s="24">
        <v>68000.0</v>
      </c>
      <c r="M500" s="25"/>
      <c r="N500" s="39"/>
      <c r="O500" s="27">
        <f t="shared" si="55"/>
        <v>0.4166666667</v>
      </c>
      <c r="P500" s="28">
        <f t="shared" si="56"/>
        <v>0</v>
      </c>
    </row>
    <row r="501" hidden="1">
      <c r="A501" s="16" t="s">
        <v>801</v>
      </c>
      <c r="B501" s="17"/>
      <c r="C501" s="18"/>
      <c r="D501" s="4"/>
      <c r="E501" s="19">
        <v>0.0</v>
      </c>
      <c r="F501" s="19"/>
      <c r="G501" s="20" t="s">
        <v>57</v>
      </c>
      <c r="H501" s="21"/>
      <c r="I501" s="22"/>
      <c r="J501" s="29"/>
      <c r="K501" s="43">
        <f>325*3</f>
        <v>975</v>
      </c>
      <c r="L501" s="44">
        <v>2000.0</v>
      </c>
      <c r="M501" s="25"/>
      <c r="N501" s="39"/>
      <c r="O501" s="27">
        <f t="shared" si="55"/>
        <v>1.051282051</v>
      </c>
      <c r="P501" s="28">
        <f t="shared" si="56"/>
        <v>0</v>
      </c>
    </row>
    <row r="502" hidden="1">
      <c r="A502" s="16" t="s">
        <v>802</v>
      </c>
      <c r="B502" s="17"/>
      <c r="C502" s="18"/>
      <c r="D502" s="4"/>
      <c r="E502" s="19">
        <v>0.0</v>
      </c>
      <c r="F502" s="19">
        <v>0.0</v>
      </c>
      <c r="G502" s="16" t="s">
        <v>580</v>
      </c>
      <c r="H502" s="33"/>
      <c r="I502" s="22">
        <v>0.0</v>
      </c>
      <c r="J502" s="170"/>
      <c r="K502" s="30">
        <v>4904.4</v>
      </c>
      <c r="L502" s="24">
        <v>22000.0</v>
      </c>
      <c r="M502" s="25"/>
      <c r="N502" s="39"/>
      <c r="O502" s="27">
        <f t="shared" si="55"/>
        <v>3.485767882</v>
      </c>
      <c r="P502" s="28">
        <f t="shared" si="56"/>
        <v>0</v>
      </c>
    </row>
    <row r="503" hidden="1">
      <c r="A503" s="16" t="s">
        <v>803</v>
      </c>
      <c r="B503" s="17"/>
      <c r="C503" s="18"/>
      <c r="D503" s="4"/>
      <c r="E503" s="19">
        <v>0.0</v>
      </c>
      <c r="F503" s="19">
        <v>0.0</v>
      </c>
      <c r="G503" s="16" t="s">
        <v>16</v>
      </c>
      <c r="H503" s="21"/>
      <c r="I503" s="22">
        <v>0.0</v>
      </c>
      <c r="J503" s="29"/>
      <c r="K503" s="43">
        <v>1500.0</v>
      </c>
      <c r="L503" s="44">
        <v>4000.0</v>
      </c>
      <c r="M503" s="25"/>
      <c r="N503" s="39"/>
      <c r="O503" s="27">
        <f t="shared" si="55"/>
        <v>1.666666667</v>
      </c>
      <c r="P503" s="28">
        <f t="shared" si="56"/>
        <v>0</v>
      </c>
    </row>
    <row r="504" hidden="1">
      <c r="A504" s="16" t="s">
        <v>804</v>
      </c>
      <c r="B504" s="36"/>
      <c r="C504" s="18"/>
      <c r="D504" s="4"/>
      <c r="E504" s="19">
        <v>0.0</v>
      </c>
      <c r="F504" s="19">
        <v>0.0</v>
      </c>
      <c r="G504" s="16" t="s">
        <v>580</v>
      </c>
      <c r="H504" s="21"/>
      <c r="I504" s="22"/>
      <c r="J504" s="45"/>
      <c r="K504" s="60">
        <v>75000.0</v>
      </c>
      <c r="L504" s="55">
        <v>170000.0</v>
      </c>
      <c r="M504" s="25"/>
      <c r="N504" s="39"/>
      <c r="O504" s="27"/>
      <c r="P504" s="28"/>
    </row>
    <row r="505" hidden="1">
      <c r="A505" s="16" t="s">
        <v>805</v>
      </c>
      <c r="B505" s="36"/>
      <c r="C505" s="18"/>
      <c r="D505" s="4"/>
      <c r="E505" s="19">
        <v>0.0</v>
      </c>
      <c r="F505" s="19"/>
      <c r="G505" s="16" t="s">
        <v>39</v>
      </c>
      <c r="H505" s="21"/>
      <c r="I505" s="22"/>
      <c r="J505" s="29"/>
      <c r="K505" s="43">
        <v>5420.0</v>
      </c>
      <c r="L505" s="44">
        <v>10000.0</v>
      </c>
      <c r="M505" s="25"/>
      <c r="N505" s="39"/>
      <c r="O505" s="27">
        <f t="shared" ref="O505:O511" si="58">(L505/K505)-1</f>
        <v>0.8450184502</v>
      </c>
      <c r="P505" s="28">
        <f t="shared" ref="P505:P511" si="59">K505*F505</f>
        <v>0</v>
      </c>
    </row>
    <row r="506" hidden="1">
      <c r="A506" s="16" t="s">
        <v>806</v>
      </c>
      <c r="B506" s="36"/>
      <c r="C506" s="18"/>
      <c r="D506" s="4"/>
      <c r="E506" s="19">
        <v>0.0</v>
      </c>
      <c r="F506" s="19"/>
      <c r="G506" s="16" t="s">
        <v>39</v>
      </c>
      <c r="H506" s="21"/>
      <c r="I506" s="22"/>
      <c r="J506" s="45"/>
      <c r="K506" s="46">
        <v>5500.0</v>
      </c>
      <c r="L506" s="24">
        <v>9000.0</v>
      </c>
      <c r="M506" s="25"/>
      <c r="N506" s="39"/>
      <c r="O506" s="27">
        <f t="shared" si="58"/>
        <v>0.6363636364</v>
      </c>
      <c r="P506" s="28">
        <f t="shared" si="59"/>
        <v>0</v>
      </c>
    </row>
    <row r="507" hidden="1">
      <c r="A507" s="16" t="s">
        <v>807</v>
      </c>
      <c r="B507" s="36"/>
      <c r="C507" s="18"/>
      <c r="D507" s="164"/>
      <c r="E507" s="19"/>
      <c r="F507" s="19"/>
      <c r="G507" s="16" t="s">
        <v>88</v>
      </c>
      <c r="H507" s="21"/>
      <c r="I507" s="22">
        <v>7.0</v>
      </c>
      <c r="J507" s="47">
        <v>46174.0</v>
      </c>
      <c r="K507" s="60">
        <v>26616.0</v>
      </c>
      <c r="L507" s="55">
        <v>32000.0</v>
      </c>
      <c r="M507" s="25"/>
      <c r="N507" s="39"/>
      <c r="O507" s="27">
        <f t="shared" si="58"/>
        <v>0.2022843402</v>
      </c>
      <c r="P507" s="28">
        <f t="shared" si="59"/>
        <v>0</v>
      </c>
    </row>
    <row r="508" hidden="1">
      <c r="A508" s="156" t="s">
        <v>808</v>
      </c>
      <c r="B508" s="114" t="s">
        <v>809</v>
      </c>
      <c r="C508" s="18"/>
      <c r="D508" s="4"/>
      <c r="E508" s="19"/>
      <c r="F508" s="19"/>
      <c r="G508" s="20" t="s">
        <v>810</v>
      </c>
      <c r="H508" s="21"/>
      <c r="I508" s="22">
        <v>19.0</v>
      </c>
      <c r="J508" s="29" t="s">
        <v>811</v>
      </c>
      <c r="K508" s="32">
        <v>2050.0</v>
      </c>
      <c r="L508" s="24">
        <v>3000.0</v>
      </c>
      <c r="M508" s="25"/>
      <c r="N508" s="39"/>
      <c r="O508" s="27">
        <f t="shared" si="58"/>
        <v>0.4634146341</v>
      </c>
      <c r="P508" s="28">
        <f t="shared" si="59"/>
        <v>0</v>
      </c>
    </row>
    <row r="509" hidden="1">
      <c r="A509" s="52" t="s">
        <v>812</v>
      </c>
      <c r="B509" s="17"/>
      <c r="C509" s="18"/>
      <c r="D509" s="4"/>
      <c r="E509" s="19">
        <v>0.0</v>
      </c>
      <c r="F509" s="19">
        <v>0.0</v>
      </c>
      <c r="G509" s="16" t="s">
        <v>813</v>
      </c>
      <c r="H509" s="33"/>
      <c r="I509" s="22">
        <v>5.0</v>
      </c>
      <c r="J509" s="34"/>
      <c r="K509" s="48">
        <v>3500.0</v>
      </c>
      <c r="L509" s="55">
        <v>7000.0</v>
      </c>
      <c r="M509" s="25"/>
      <c r="N509" s="39"/>
      <c r="O509" s="27">
        <f t="shared" si="58"/>
        <v>1</v>
      </c>
      <c r="P509" s="28">
        <f t="shared" si="59"/>
        <v>0</v>
      </c>
    </row>
    <row r="510" hidden="1">
      <c r="A510" s="40" t="s">
        <v>814</v>
      </c>
      <c r="B510" s="17"/>
      <c r="C510" s="18"/>
      <c r="D510" s="4"/>
      <c r="E510" s="19">
        <v>0.0</v>
      </c>
      <c r="F510" s="19">
        <v>0.0</v>
      </c>
      <c r="G510" s="16" t="s">
        <v>815</v>
      </c>
      <c r="H510" s="21"/>
      <c r="I510" s="22">
        <f>50+100</f>
        <v>150</v>
      </c>
      <c r="J510" s="45"/>
      <c r="K510" s="46">
        <f>4076*1.19</f>
        <v>4850.44</v>
      </c>
      <c r="L510" s="24">
        <v>8000.0</v>
      </c>
      <c r="M510" s="25" t="s">
        <v>82</v>
      </c>
      <c r="N510" s="39"/>
      <c r="O510" s="27">
        <f t="shared" si="58"/>
        <v>0.6493349057</v>
      </c>
      <c r="P510" s="28">
        <f t="shared" si="59"/>
        <v>0</v>
      </c>
    </row>
    <row r="511" hidden="1">
      <c r="A511" s="16" t="s">
        <v>816</v>
      </c>
      <c r="B511" s="17"/>
      <c r="C511" s="18" t="s">
        <v>547</v>
      </c>
      <c r="D511" s="4"/>
      <c r="E511" s="19">
        <v>0.0</v>
      </c>
      <c r="F511" s="19">
        <v>0.0</v>
      </c>
      <c r="G511" s="20" t="s">
        <v>84</v>
      </c>
      <c r="H511" s="21"/>
      <c r="I511" s="22">
        <v>0.0</v>
      </c>
      <c r="J511" s="29"/>
      <c r="K511" s="43"/>
      <c r="L511" s="44">
        <v>15000.0</v>
      </c>
      <c r="M511" s="25"/>
      <c r="N511" s="39"/>
      <c r="O511" s="27" t="str">
        <f t="shared" si="58"/>
        <v>#DIV/0!</v>
      </c>
      <c r="P511" s="28">
        <f t="shared" si="59"/>
        <v>0</v>
      </c>
    </row>
    <row r="512" hidden="1">
      <c r="A512" s="16" t="s">
        <v>817</v>
      </c>
      <c r="B512" s="17"/>
      <c r="C512" s="18"/>
      <c r="D512" s="4"/>
      <c r="E512" s="19">
        <v>0.0</v>
      </c>
      <c r="F512" s="19">
        <v>0.0</v>
      </c>
      <c r="G512" s="16"/>
      <c r="H512" s="21"/>
      <c r="I512" s="22">
        <v>21.0</v>
      </c>
      <c r="J512" s="29"/>
      <c r="K512" s="43"/>
      <c r="L512" s="32">
        <v>35000.0</v>
      </c>
      <c r="M512" s="25"/>
      <c r="N512" s="39"/>
      <c r="O512" s="27"/>
      <c r="P512" s="28"/>
    </row>
    <row r="513" hidden="1">
      <c r="A513" s="52" t="s">
        <v>818</v>
      </c>
      <c r="B513" s="17"/>
      <c r="C513" s="18" t="s">
        <v>547</v>
      </c>
      <c r="D513" s="4"/>
      <c r="E513" s="19">
        <v>0.0</v>
      </c>
      <c r="F513" s="19">
        <v>0.0</v>
      </c>
      <c r="G513" s="20" t="s">
        <v>813</v>
      </c>
      <c r="H513" s="21"/>
      <c r="I513" s="22">
        <v>0.0</v>
      </c>
      <c r="J513" s="29"/>
      <c r="K513" s="44">
        <v>5000.0</v>
      </c>
      <c r="L513" s="44">
        <v>5000.0</v>
      </c>
      <c r="M513" s="25"/>
      <c r="N513" s="39"/>
      <c r="O513" s="27">
        <f t="shared" ref="O513:O515" si="60">(L513/K513)-1</f>
        <v>0</v>
      </c>
      <c r="P513" s="28">
        <f t="shared" ref="P513:P515" si="61">K513*F513</f>
        <v>0</v>
      </c>
    </row>
    <row r="514" hidden="1">
      <c r="A514" s="16" t="s">
        <v>819</v>
      </c>
      <c r="B514" s="17"/>
      <c r="C514" s="18"/>
      <c r="D514" s="4"/>
      <c r="E514" s="19">
        <v>0.0</v>
      </c>
      <c r="F514" s="19">
        <v>0.0</v>
      </c>
      <c r="G514" s="16" t="s">
        <v>16</v>
      </c>
      <c r="H514" s="21"/>
      <c r="I514" s="22"/>
      <c r="J514" s="29"/>
      <c r="K514" s="32">
        <v>13119.0</v>
      </c>
      <c r="L514" s="32">
        <v>45000.0</v>
      </c>
      <c r="M514" s="25"/>
      <c r="N514" s="39"/>
      <c r="O514" s="27">
        <f t="shared" si="60"/>
        <v>2.430139492</v>
      </c>
      <c r="P514" s="28">
        <f t="shared" si="61"/>
        <v>0</v>
      </c>
    </row>
    <row r="515" hidden="1">
      <c r="A515" s="16" t="s">
        <v>820</v>
      </c>
      <c r="B515" s="17"/>
      <c r="C515" s="18"/>
      <c r="D515" s="4"/>
      <c r="E515" s="19">
        <v>0.0</v>
      </c>
      <c r="F515" s="19">
        <v>0.0</v>
      </c>
      <c r="G515" s="16" t="s">
        <v>821</v>
      </c>
      <c r="H515" s="21"/>
      <c r="I515" s="22"/>
      <c r="J515" s="29"/>
      <c r="K515" s="43">
        <f>11640*1.19</f>
        <v>13851.6</v>
      </c>
      <c r="L515" s="43">
        <v>20000.0</v>
      </c>
      <c r="M515" s="25"/>
      <c r="N515" s="102"/>
      <c r="O515" s="27">
        <f t="shared" si="60"/>
        <v>0.4438765197</v>
      </c>
      <c r="P515" s="28">
        <f t="shared" si="61"/>
        <v>0</v>
      </c>
    </row>
    <row r="516" hidden="1">
      <c r="A516" s="16" t="s">
        <v>822</v>
      </c>
      <c r="B516" s="49"/>
      <c r="C516" s="18"/>
      <c r="D516" s="4"/>
      <c r="E516" s="19">
        <v>0.0</v>
      </c>
      <c r="F516" s="19">
        <v>0.0</v>
      </c>
      <c r="G516" s="20" t="s">
        <v>400</v>
      </c>
      <c r="H516" s="21"/>
      <c r="I516" s="22">
        <v>1.0</v>
      </c>
      <c r="J516" s="23"/>
      <c r="K516" s="44"/>
      <c r="L516" s="44"/>
      <c r="M516" s="25"/>
      <c r="N516" s="39"/>
      <c r="O516" s="27"/>
      <c r="P516" s="28"/>
    </row>
    <row r="517" hidden="1">
      <c r="A517" s="16" t="s">
        <v>823</v>
      </c>
      <c r="B517" s="17"/>
      <c r="C517" s="18"/>
      <c r="D517" s="4"/>
      <c r="E517" s="19">
        <v>0.0</v>
      </c>
      <c r="F517" s="19">
        <v>0.0</v>
      </c>
      <c r="G517" s="16" t="s">
        <v>84</v>
      </c>
      <c r="H517" s="21"/>
      <c r="I517" s="22">
        <v>0.0</v>
      </c>
      <c r="J517" s="29"/>
      <c r="K517" s="43">
        <v>30000.0</v>
      </c>
      <c r="L517" s="44">
        <v>50000.0</v>
      </c>
      <c r="M517" s="25"/>
      <c r="N517" s="39"/>
      <c r="O517" s="27">
        <f t="shared" ref="O517:O566" si="62">(L517/K517)-1</f>
        <v>0.6666666667</v>
      </c>
      <c r="P517" s="28">
        <f t="shared" ref="P517:P534" si="63">K517*F517</f>
        <v>0</v>
      </c>
    </row>
    <row r="518" hidden="1">
      <c r="A518" s="16" t="s">
        <v>824</v>
      </c>
      <c r="B518" s="17" t="s">
        <v>328</v>
      </c>
      <c r="C518" s="18"/>
      <c r="D518" s="4"/>
      <c r="E518" s="19">
        <v>0.0</v>
      </c>
      <c r="F518" s="19">
        <v>0.0</v>
      </c>
      <c r="G518" s="20" t="s">
        <v>318</v>
      </c>
      <c r="H518" s="21"/>
      <c r="I518" s="22">
        <v>7.0</v>
      </c>
      <c r="J518" s="47">
        <v>46813.0</v>
      </c>
      <c r="K518" s="43">
        <f t="shared" ref="K518:K520" si="64">13600*1.19</f>
        <v>16184</v>
      </c>
      <c r="L518" s="44">
        <v>22000.0</v>
      </c>
      <c r="M518" s="25"/>
      <c r="N518" s="39"/>
      <c r="O518" s="27">
        <f t="shared" si="62"/>
        <v>0.3593672763</v>
      </c>
      <c r="P518" s="28">
        <f t="shared" si="63"/>
        <v>0</v>
      </c>
    </row>
    <row r="519" hidden="1">
      <c r="A519" s="16" t="s">
        <v>825</v>
      </c>
      <c r="B519" s="17" t="s">
        <v>328</v>
      </c>
      <c r="C519" s="18"/>
      <c r="D519" s="4"/>
      <c r="E519" s="19">
        <v>0.0</v>
      </c>
      <c r="F519" s="19">
        <v>0.0</v>
      </c>
      <c r="G519" s="20" t="s">
        <v>318</v>
      </c>
      <c r="H519" s="21"/>
      <c r="I519" s="22">
        <v>15.0</v>
      </c>
      <c r="J519" s="29"/>
      <c r="K519" s="43">
        <f t="shared" si="64"/>
        <v>16184</v>
      </c>
      <c r="L519" s="44">
        <v>22000.0</v>
      </c>
      <c r="M519" s="25"/>
      <c r="N519" s="39"/>
      <c r="O519" s="27">
        <f t="shared" si="62"/>
        <v>0.3593672763</v>
      </c>
      <c r="P519" s="28">
        <f t="shared" si="63"/>
        <v>0</v>
      </c>
    </row>
    <row r="520" hidden="1">
      <c r="A520" s="16" t="s">
        <v>826</v>
      </c>
      <c r="B520" s="171" t="s">
        <v>827</v>
      </c>
      <c r="C520" s="18"/>
      <c r="D520" s="4"/>
      <c r="E520" s="19">
        <v>0.0</v>
      </c>
      <c r="F520" s="19">
        <v>10.0</v>
      </c>
      <c r="G520" s="20" t="s">
        <v>318</v>
      </c>
      <c r="H520" s="21"/>
      <c r="I520" s="22">
        <v>21.0</v>
      </c>
      <c r="J520" s="29"/>
      <c r="K520" s="43">
        <f t="shared" si="64"/>
        <v>16184</v>
      </c>
      <c r="L520" s="44">
        <v>22000.0</v>
      </c>
      <c r="M520" s="25"/>
      <c r="N520" s="39"/>
      <c r="O520" s="27">
        <f t="shared" si="62"/>
        <v>0.3593672763</v>
      </c>
      <c r="P520" s="28">
        <f t="shared" si="63"/>
        <v>161840</v>
      </c>
    </row>
    <row r="521" hidden="1">
      <c r="A521" s="16" t="s">
        <v>828</v>
      </c>
      <c r="B521" s="36"/>
      <c r="C521" s="38"/>
      <c r="D521" s="4"/>
      <c r="E521" s="19">
        <v>0.0</v>
      </c>
      <c r="F521" s="19"/>
      <c r="G521" s="20" t="s">
        <v>829</v>
      </c>
      <c r="H521" s="21"/>
      <c r="I521" s="22"/>
      <c r="J521" s="23"/>
      <c r="K521" s="24">
        <f t="shared" ref="K521:K522" si="65">27731/25</f>
        <v>1109.24</v>
      </c>
      <c r="L521" s="24">
        <v>3000.0</v>
      </c>
      <c r="M521" s="25"/>
      <c r="N521" s="26"/>
      <c r="O521" s="27">
        <f t="shared" si="62"/>
        <v>1.70455447</v>
      </c>
      <c r="P521" s="28">
        <f t="shared" si="63"/>
        <v>0</v>
      </c>
    </row>
    <row r="522" hidden="1">
      <c r="A522" s="16" t="s">
        <v>830</v>
      </c>
      <c r="B522" s="36"/>
      <c r="C522" s="18"/>
      <c r="D522" s="4"/>
      <c r="E522" s="19">
        <v>0.0</v>
      </c>
      <c r="F522" s="19"/>
      <c r="G522" s="20" t="s">
        <v>829</v>
      </c>
      <c r="H522" s="21"/>
      <c r="I522" s="22"/>
      <c r="J522" s="23"/>
      <c r="K522" s="24">
        <f t="shared" si="65"/>
        <v>1109.24</v>
      </c>
      <c r="L522" s="24">
        <v>3000.0</v>
      </c>
      <c r="M522" s="25"/>
      <c r="N522" s="26"/>
      <c r="O522" s="27">
        <f t="shared" si="62"/>
        <v>1.70455447</v>
      </c>
      <c r="P522" s="28">
        <f t="shared" si="63"/>
        <v>0</v>
      </c>
    </row>
    <row r="523" hidden="1">
      <c r="A523" s="16" t="s">
        <v>831</v>
      </c>
      <c r="B523" s="49"/>
      <c r="C523" s="18"/>
      <c r="D523" s="4"/>
      <c r="E523" s="19">
        <v>0.0</v>
      </c>
      <c r="F523" s="19"/>
      <c r="G523" s="20" t="s">
        <v>829</v>
      </c>
      <c r="H523" s="21"/>
      <c r="I523" s="22"/>
      <c r="J523" s="23"/>
      <c r="K523" s="44">
        <f>23530*1.19</f>
        <v>28000.7</v>
      </c>
      <c r="L523" s="44">
        <v>35000.0</v>
      </c>
      <c r="M523" s="25"/>
      <c r="N523" s="39"/>
      <c r="O523" s="27">
        <f t="shared" si="62"/>
        <v>0.2499687508</v>
      </c>
      <c r="P523" s="28">
        <f t="shared" si="63"/>
        <v>0</v>
      </c>
    </row>
    <row r="524" hidden="1">
      <c r="A524" s="52" t="s">
        <v>832</v>
      </c>
      <c r="B524" s="17" t="s">
        <v>833</v>
      </c>
      <c r="C524" s="18"/>
      <c r="D524" s="4"/>
      <c r="E524" s="19">
        <v>0.0</v>
      </c>
      <c r="F524" s="19">
        <v>0.0</v>
      </c>
      <c r="G524" s="20" t="s">
        <v>563</v>
      </c>
      <c r="H524" s="21"/>
      <c r="I524" s="22">
        <v>6.0</v>
      </c>
      <c r="J524" s="29"/>
      <c r="K524" s="32">
        <f>7600*1.19</f>
        <v>9044</v>
      </c>
      <c r="L524" s="24">
        <v>18000.0</v>
      </c>
      <c r="M524" s="25"/>
      <c r="N524" s="70"/>
      <c r="O524" s="27">
        <f t="shared" si="62"/>
        <v>0.9902697921</v>
      </c>
      <c r="P524" s="28">
        <f t="shared" si="63"/>
        <v>0</v>
      </c>
    </row>
    <row r="525" hidden="1">
      <c r="A525" s="16" t="s">
        <v>834</v>
      </c>
      <c r="B525" s="17" t="s">
        <v>835</v>
      </c>
      <c r="C525" s="18"/>
      <c r="D525" s="4"/>
      <c r="E525" s="19">
        <v>0.0</v>
      </c>
      <c r="F525" s="19">
        <v>0.0</v>
      </c>
      <c r="G525" s="20" t="s">
        <v>30</v>
      </c>
      <c r="H525" s="21"/>
      <c r="I525" s="22">
        <f>28+20</f>
        <v>48</v>
      </c>
      <c r="J525" s="45"/>
      <c r="K525" s="172">
        <v>8800.0</v>
      </c>
      <c r="L525" s="44">
        <v>18000.0</v>
      </c>
      <c r="M525" s="25"/>
      <c r="N525" s="39"/>
      <c r="O525" s="27">
        <f t="shared" si="62"/>
        <v>1.045454545</v>
      </c>
      <c r="P525" s="28">
        <f t="shared" si="63"/>
        <v>0</v>
      </c>
    </row>
    <row r="526" hidden="1">
      <c r="A526" s="16" t="s">
        <v>836</v>
      </c>
      <c r="B526" s="17" t="s">
        <v>835</v>
      </c>
      <c r="C526" s="18"/>
      <c r="D526" s="4"/>
      <c r="E526" s="19">
        <v>0.0</v>
      </c>
      <c r="F526" s="19">
        <v>0.0</v>
      </c>
      <c r="G526" s="20" t="s">
        <v>30</v>
      </c>
      <c r="H526" s="21"/>
      <c r="I526" s="22">
        <f>34+18</f>
        <v>52</v>
      </c>
      <c r="J526" s="45"/>
      <c r="K526" s="172">
        <v>8800.0</v>
      </c>
      <c r="L526" s="44">
        <v>18000.0</v>
      </c>
      <c r="M526" s="25"/>
      <c r="N526" s="39"/>
      <c r="O526" s="27">
        <f t="shared" si="62"/>
        <v>1.045454545</v>
      </c>
      <c r="P526" s="28">
        <f t="shared" si="63"/>
        <v>0</v>
      </c>
    </row>
    <row r="527" hidden="1">
      <c r="A527" s="16" t="s">
        <v>837</v>
      </c>
      <c r="B527" s="17" t="s">
        <v>835</v>
      </c>
      <c r="C527" s="18"/>
      <c r="D527" s="4"/>
      <c r="E527" s="19">
        <v>0.0</v>
      </c>
      <c r="F527" s="19">
        <v>0.0</v>
      </c>
      <c r="G527" s="20" t="s">
        <v>30</v>
      </c>
      <c r="H527" s="21"/>
      <c r="I527" s="22">
        <f>41+15</f>
        <v>56</v>
      </c>
      <c r="J527" s="45"/>
      <c r="K527" s="172">
        <v>8800.0</v>
      </c>
      <c r="L527" s="44">
        <v>18000.0</v>
      </c>
      <c r="M527" s="25"/>
      <c r="N527" s="39"/>
      <c r="O527" s="27">
        <f t="shared" si="62"/>
        <v>1.045454545</v>
      </c>
      <c r="P527" s="28">
        <f t="shared" si="63"/>
        <v>0</v>
      </c>
    </row>
    <row r="528" hidden="1">
      <c r="A528" s="16" t="s">
        <v>838</v>
      </c>
      <c r="B528" s="17" t="s">
        <v>839</v>
      </c>
      <c r="C528" s="18"/>
      <c r="D528" s="4"/>
      <c r="E528" s="19">
        <v>0.0</v>
      </c>
      <c r="F528" s="19">
        <v>0.0</v>
      </c>
      <c r="G528" s="16" t="s">
        <v>840</v>
      </c>
      <c r="H528" s="21"/>
      <c r="I528" s="22">
        <f>41+35</f>
        <v>76</v>
      </c>
      <c r="J528" s="45"/>
      <c r="K528" s="46">
        <v>8000.0</v>
      </c>
      <c r="L528" s="24">
        <v>18000.0</v>
      </c>
      <c r="M528" s="25"/>
      <c r="N528" s="102">
        <v>11000.0</v>
      </c>
      <c r="O528" s="27">
        <f t="shared" si="62"/>
        <v>1.25</v>
      </c>
      <c r="P528" s="28">
        <f t="shared" si="63"/>
        <v>0</v>
      </c>
    </row>
    <row r="529" hidden="1">
      <c r="A529" s="59" t="s">
        <v>841</v>
      </c>
      <c r="B529" s="97" t="s">
        <v>842</v>
      </c>
      <c r="C529" s="18"/>
      <c r="D529" s="98"/>
      <c r="E529" s="19">
        <v>0.0</v>
      </c>
      <c r="F529" s="19"/>
      <c r="G529" s="20" t="s">
        <v>485</v>
      </c>
      <c r="H529" s="21">
        <v>11.0</v>
      </c>
      <c r="I529" s="22"/>
      <c r="J529" s="100"/>
      <c r="K529" s="165">
        <f>58360*1.19</f>
        <v>69448.4</v>
      </c>
      <c r="L529" s="165">
        <v>105000.0</v>
      </c>
      <c r="M529" s="25"/>
      <c r="N529" s="39"/>
      <c r="O529" s="27">
        <f t="shared" si="62"/>
        <v>0.5119138814</v>
      </c>
      <c r="P529" s="28">
        <f t="shared" si="63"/>
        <v>0</v>
      </c>
    </row>
    <row r="530" hidden="1">
      <c r="A530" s="59" t="s">
        <v>843</v>
      </c>
      <c r="B530" s="97" t="s">
        <v>844</v>
      </c>
      <c r="C530" s="18" t="s">
        <v>845</v>
      </c>
      <c r="D530" s="98"/>
      <c r="E530" s="19">
        <v>0.0</v>
      </c>
      <c r="F530" s="19"/>
      <c r="G530" s="20" t="s">
        <v>485</v>
      </c>
      <c r="H530" s="21">
        <v>0.0</v>
      </c>
      <c r="I530" s="22"/>
      <c r="J530" s="173"/>
      <c r="K530" s="174">
        <f>48840*1.19</f>
        <v>58119.6</v>
      </c>
      <c r="L530" s="175">
        <v>95000.0</v>
      </c>
      <c r="M530" s="25"/>
      <c r="N530" s="39"/>
      <c r="O530" s="27">
        <f t="shared" si="62"/>
        <v>0.6345604581</v>
      </c>
      <c r="P530" s="28">
        <f t="shared" si="63"/>
        <v>0</v>
      </c>
    </row>
    <row r="531" hidden="1">
      <c r="A531" s="52" t="s">
        <v>846</v>
      </c>
      <c r="B531" s="17" t="s">
        <v>847</v>
      </c>
      <c r="C531" s="18"/>
      <c r="D531" s="4"/>
      <c r="E531" s="19">
        <v>0.0</v>
      </c>
      <c r="F531" s="19"/>
      <c r="G531" s="16" t="s">
        <v>848</v>
      </c>
      <c r="H531" s="21"/>
      <c r="I531" s="22"/>
      <c r="J531" s="29"/>
      <c r="K531" s="32">
        <f>K532/5</f>
        <v>2142.77</v>
      </c>
      <c r="L531" s="24">
        <v>7000.0</v>
      </c>
      <c r="M531" s="25"/>
      <c r="N531" s="39"/>
      <c r="O531" s="27">
        <f t="shared" si="62"/>
        <v>2.266799517</v>
      </c>
      <c r="P531" s="28">
        <f t="shared" si="63"/>
        <v>0</v>
      </c>
    </row>
    <row r="532" hidden="1">
      <c r="A532" s="52" t="s">
        <v>849</v>
      </c>
      <c r="B532" s="36"/>
      <c r="C532" s="18"/>
      <c r="D532" s="4"/>
      <c r="E532" s="19">
        <v>0.0</v>
      </c>
      <c r="F532" s="19">
        <v>0.0</v>
      </c>
      <c r="G532" s="16" t="s">
        <v>580</v>
      </c>
      <c r="H532" s="21"/>
      <c r="I532" s="22">
        <v>0.0</v>
      </c>
      <c r="J532" s="29"/>
      <c r="K532" s="30">
        <v>10713.85</v>
      </c>
      <c r="L532" s="30">
        <v>70000.0</v>
      </c>
      <c r="M532" s="25"/>
      <c r="N532" s="70"/>
      <c r="O532" s="27">
        <f t="shared" si="62"/>
        <v>5.533599033</v>
      </c>
      <c r="P532" s="28">
        <f t="shared" si="63"/>
        <v>0</v>
      </c>
    </row>
    <row r="533" hidden="1">
      <c r="A533" s="52" t="s">
        <v>850</v>
      </c>
      <c r="B533" s="36" t="s">
        <v>851</v>
      </c>
      <c r="C533" s="18"/>
      <c r="D533" s="4"/>
      <c r="E533" s="19">
        <v>0.0</v>
      </c>
      <c r="F533" s="19"/>
      <c r="G533" s="16" t="s">
        <v>848</v>
      </c>
      <c r="H533" s="21"/>
      <c r="I533" s="22"/>
      <c r="J533" s="29"/>
      <c r="K533" s="32">
        <f>14200*1.19</f>
        <v>16898</v>
      </c>
      <c r="L533" s="24">
        <v>32000.0</v>
      </c>
      <c r="M533" s="25"/>
      <c r="N533" s="70"/>
      <c r="O533" s="27">
        <f t="shared" si="62"/>
        <v>0.8937152326</v>
      </c>
      <c r="P533" s="28">
        <f t="shared" si="63"/>
        <v>0</v>
      </c>
    </row>
    <row r="534" hidden="1">
      <c r="A534" s="16" t="s">
        <v>852</v>
      </c>
      <c r="B534" s="36"/>
      <c r="C534" s="18"/>
      <c r="D534" s="4"/>
      <c r="E534" s="19">
        <v>0.0</v>
      </c>
      <c r="F534" s="19">
        <v>0.0</v>
      </c>
      <c r="G534" s="16" t="s">
        <v>853</v>
      </c>
      <c r="H534" s="21"/>
      <c r="I534" s="22">
        <v>0.0</v>
      </c>
      <c r="J534" s="29"/>
      <c r="K534" s="43">
        <v>6800.0</v>
      </c>
      <c r="L534" s="44">
        <v>10000.0</v>
      </c>
      <c r="M534" s="25"/>
      <c r="N534" s="39"/>
      <c r="O534" s="27">
        <f t="shared" si="62"/>
        <v>0.4705882353</v>
      </c>
      <c r="P534" s="28">
        <f t="shared" si="63"/>
        <v>0</v>
      </c>
    </row>
    <row r="535" hidden="1">
      <c r="A535" s="16" t="s">
        <v>854</v>
      </c>
      <c r="B535" s="17"/>
      <c r="C535" s="18"/>
      <c r="D535" s="4"/>
      <c r="E535" s="19">
        <v>0.0</v>
      </c>
      <c r="F535" s="19">
        <v>0.0</v>
      </c>
      <c r="G535" s="16" t="s">
        <v>577</v>
      </c>
      <c r="H535" s="21"/>
      <c r="I535" s="22">
        <v>0.0</v>
      </c>
      <c r="J535" s="29"/>
      <c r="K535" s="43">
        <f>104000*1.19</f>
        <v>123760</v>
      </c>
      <c r="L535" s="44">
        <v>155000.0</v>
      </c>
      <c r="M535" s="25"/>
      <c r="N535" s="39"/>
      <c r="O535" s="27">
        <f t="shared" si="62"/>
        <v>0.2524240465</v>
      </c>
      <c r="P535" s="28"/>
    </row>
    <row r="536" hidden="1">
      <c r="A536" s="16" t="s">
        <v>855</v>
      </c>
      <c r="B536" s="51" t="s">
        <v>856</v>
      </c>
      <c r="C536" s="18"/>
      <c r="D536" s="4"/>
      <c r="E536" s="19">
        <v>0.0</v>
      </c>
      <c r="F536" s="19">
        <v>0.0</v>
      </c>
      <c r="G536" s="20" t="s">
        <v>93</v>
      </c>
      <c r="H536" s="21"/>
      <c r="I536" s="22">
        <v>0.0</v>
      </c>
      <c r="J536" s="29"/>
      <c r="K536" s="32">
        <v>87160.0</v>
      </c>
      <c r="L536" s="24">
        <v>109000.0</v>
      </c>
      <c r="M536" s="25"/>
      <c r="N536" s="57"/>
      <c r="O536" s="27">
        <f t="shared" si="62"/>
        <v>0.2505736576</v>
      </c>
      <c r="P536" s="28">
        <f t="shared" ref="P536:P562" si="66">K536*F536</f>
        <v>0</v>
      </c>
    </row>
    <row r="537" hidden="1">
      <c r="A537" s="59" t="s">
        <v>857</v>
      </c>
      <c r="B537" s="97" t="s">
        <v>858</v>
      </c>
      <c r="C537" s="18" t="s">
        <v>859</v>
      </c>
      <c r="D537" s="98"/>
      <c r="E537" s="19">
        <v>0.0</v>
      </c>
      <c r="F537" s="19"/>
      <c r="G537" s="20" t="s">
        <v>485</v>
      </c>
      <c r="H537" s="21">
        <v>1.0</v>
      </c>
      <c r="I537" s="22"/>
      <c r="J537" s="45"/>
      <c r="K537" s="60">
        <v>77469.0</v>
      </c>
      <c r="L537" s="101">
        <v>105000.0</v>
      </c>
      <c r="M537" s="25"/>
      <c r="N537" s="102">
        <v>88000.0</v>
      </c>
      <c r="O537" s="27">
        <f t="shared" si="62"/>
        <v>0.355380862</v>
      </c>
      <c r="P537" s="28">
        <f t="shared" si="66"/>
        <v>0</v>
      </c>
    </row>
    <row r="538" hidden="1">
      <c r="A538" s="59" t="s">
        <v>860</v>
      </c>
      <c r="B538" s="97" t="s">
        <v>861</v>
      </c>
      <c r="C538" s="18" t="s">
        <v>862</v>
      </c>
      <c r="D538" s="98"/>
      <c r="E538" s="19">
        <v>0.0</v>
      </c>
      <c r="F538" s="19"/>
      <c r="G538" s="16" t="s">
        <v>485</v>
      </c>
      <c r="H538" s="21">
        <v>0.0</v>
      </c>
      <c r="I538" s="22"/>
      <c r="J538" s="45"/>
      <c r="K538" s="60">
        <v>77469.0</v>
      </c>
      <c r="L538" s="101">
        <v>105000.0</v>
      </c>
      <c r="M538" s="25"/>
      <c r="N538" s="102">
        <v>88000.0</v>
      </c>
      <c r="O538" s="27">
        <f t="shared" si="62"/>
        <v>0.355380862</v>
      </c>
      <c r="P538" s="28">
        <f t="shared" si="66"/>
        <v>0</v>
      </c>
    </row>
    <row r="539" ht="27.0" hidden="1" customHeight="1">
      <c r="A539" s="59" t="s">
        <v>863</v>
      </c>
      <c r="B539" s="97" t="s">
        <v>864</v>
      </c>
      <c r="C539" s="18"/>
      <c r="D539" s="98"/>
      <c r="E539" s="19">
        <v>0.0</v>
      </c>
      <c r="F539" s="19"/>
      <c r="G539" s="16" t="s">
        <v>485</v>
      </c>
      <c r="H539" s="21">
        <v>0.0</v>
      </c>
      <c r="I539" s="22"/>
      <c r="J539" s="45"/>
      <c r="K539" s="60">
        <v>77469.0</v>
      </c>
      <c r="L539" s="101">
        <v>105000.0</v>
      </c>
      <c r="M539" s="25"/>
      <c r="N539" s="102">
        <v>88000.0</v>
      </c>
      <c r="O539" s="27">
        <f t="shared" si="62"/>
        <v>0.355380862</v>
      </c>
      <c r="P539" s="28">
        <f t="shared" si="66"/>
        <v>0</v>
      </c>
    </row>
    <row r="540" ht="27.0" hidden="1" customHeight="1">
      <c r="A540" s="59" t="s">
        <v>865</v>
      </c>
      <c r="B540" s="97" t="s">
        <v>866</v>
      </c>
      <c r="C540" s="18" t="s">
        <v>862</v>
      </c>
      <c r="D540" s="98"/>
      <c r="E540" s="19">
        <v>0.0</v>
      </c>
      <c r="F540" s="19"/>
      <c r="G540" s="16" t="s">
        <v>485</v>
      </c>
      <c r="H540" s="21">
        <v>2.0</v>
      </c>
      <c r="I540" s="22"/>
      <c r="J540" s="45" t="s">
        <v>867</v>
      </c>
      <c r="K540" s="60">
        <v>77469.0</v>
      </c>
      <c r="L540" s="101">
        <v>105000.0</v>
      </c>
      <c r="M540" s="25"/>
      <c r="N540" s="102">
        <v>88000.0</v>
      </c>
      <c r="O540" s="27">
        <f t="shared" si="62"/>
        <v>0.355380862</v>
      </c>
      <c r="P540" s="28">
        <f t="shared" si="66"/>
        <v>0</v>
      </c>
    </row>
    <row r="541" ht="27.0" hidden="1" customHeight="1">
      <c r="A541" s="59" t="s">
        <v>868</v>
      </c>
      <c r="B541" s="97" t="s">
        <v>869</v>
      </c>
      <c r="C541" s="18" t="s">
        <v>862</v>
      </c>
      <c r="D541" s="98"/>
      <c r="E541" s="19">
        <v>0.0</v>
      </c>
      <c r="F541" s="19"/>
      <c r="G541" s="16" t="s">
        <v>485</v>
      </c>
      <c r="H541" s="21">
        <v>0.0</v>
      </c>
      <c r="I541" s="22"/>
      <c r="J541" s="45" t="s">
        <v>867</v>
      </c>
      <c r="K541" s="60">
        <v>77469.0</v>
      </c>
      <c r="L541" s="101">
        <v>105000.0</v>
      </c>
      <c r="M541" s="25"/>
      <c r="N541" s="102">
        <v>88000.0</v>
      </c>
      <c r="O541" s="27">
        <f t="shared" si="62"/>
        <v>0.355380862</v>
      </c>
      <c r="P541" s="28">
        <f t="shared" si="66"/>
        <v>0</v>
      </c>
    </row>
    <row r="542" ht="27.0" hidden="1" customHeight="1">
      <c r="A542" s="59" t="s">
        <v>870</v>
      </c>
      <c r="B542" s="97" t="s">
        <v>871</v>
      </c>
      <c r="C542" s="18" t="s">
        <v>862</v>
      </c>
      <c r="D542" s="98"/>
      <c r="E542" s="19">
        <v>0.0</v>
      </c>
      <c r="F542" s="19"/>
      <c r="G542" s="16" t="s">
        <v>485</v>
      </c>
      <c r="H542" s="21">
        <v>1.0</v>
      </c>
      <c r="I542" s="22"/>
      <c r="J542" s="45" t="s">
        <v>867</v>
      </c>
      <c r="K542" s="60">
        <v>77469.0</v>
      </c>
      <c r="L542" s="101">
        <v>105000.0</v>
      </c>
      <c r="M542" s="25"/>
      <c r="N542" s="102">
        <v>88000.0</v>
      </c>
      <c r="O542" s="27">
        <f t="shared" si="62"/>
        <v>0.355380862</v>
      </c>
      <c r="P542" s="28">
        <f t="shared" si="66"/>
        <v>0</v>
      </c>
    </row>
    <row r="543" ht="27.0" hidden="1" customHeight="1">
      <c r="A543" s="59" t="s">
        <v>872</v>
      </c>
      <c r="B543" s="97" t="s">
        <v>873</v>
      </c>
      <c r="C543" s="18" t="s">
        <v>874</v>
      </c>
      <c r="D543" s="98"/>
      <c r="E543" s="19">
        <v>0.0</v>
      </c>
      <c r="F543" s="19"/>
      <c r="G543" s="16" t="s">
        <v>485</v>
      </c>
      <c r="H543" s="21">
        <v>1.0</v>
      </c>
      <c r="I543" s="22"/>
      <c r="J543" s="45"/>
      <c r="K543" s="60">
        <v>77469.0</v>
      </c>
      <c r="L543" s="101">
        <v>105000.0</v>
      </c>
      <c r="M543" s="25"/>
      <c r="N543" s="102">
        <v>88000.0</v>
      </c>
      <c r="O543" s="27">
        <f t="shared" si="62"/>
        <v>0.355380862</v>
      </c>
      <c r="P543" s="28">
        <f t="shared" si="66"/>
        <v>0</v>
      </c>
    </row>
    <row r="544" ht="27.0" hidden="1" customHeight="1">
      <c r="A544" s="59" t="s">
        <v>875</v>
      </c>
      <c r="B544" s="97" t="s">
        <v>876</v>
      </c>
      <c r="C544" s="18"/>
      <c r="D544" s="98"/>
      <c r="E544" s="19">
        <v>0.0</v>
      </c>
      <c r="F544" s="19"/>
      <c r="G544" s="20" t="s">
        <v>485</v>
      </c>
      <c r="H544" s="21">
        <v>1.0</v>
      </c>
      <c r="I544" s="22"/>
      <c r="J544" s="45"/>
      <c r="K544" s="60">
        <v>77469.0</v>
      </c>
      <c r="L544" s="101">
        <v>105000.0</v>
      </c>
      <c r="M544" s="25"/>
      <c r="N544" s="102">
        <v>88000.0</v>
      </c>
      <c r="O544" s="27">
        <f t="shared" si="62"/>
        <v>0.355380862</v>
      </c>
      <c r="P544" s="28">
        <f t="shared" si="66"/>
        <v>0</v>
      </c>
    </row>
    <row r="545" ht="27.0" hidden="1" customHeight="1">
      <c r="A545" s="59" t="s">
        <v>877</v>
      </c>
      <c r="B545" s="97" t="s">
        <v>878</v>
      </c>
      <c r="C545" s="18" t="s">
        <v>879</v>
      </c>
      <c r="D545" s="98"/>
      <c r="E545" s="19">
        <v>0.0</v>
      </c>
      <c r="F545" s="19"/>
      <c r="G545" s="16" t="s">
        <v>485</v>
      </c>
      <c r="H545" s="21">
        <v>3.0</v>
      </c>
      <c r="I545" s="22"/>
      <c r="J545" s="45"/>
      <c r="K545" s="60">
        <v>77469.0</v>
      </c>
      <c r="L545" s="101">
        <v>105000.0</v>
      </c>
      <c r="M545" s="25"/>
      <c r="N545" s="102">
        <v>88000.0</v>
      </c>
      <c r="O545" s="27">
        <f t="shared" si="62"/>
        <v>0.355380862</v>
      </c>
      <c r="P545" s="28">
        <f t="shared" si="66"/>
        <v>0</v>
      </c>
    </row>
    <row r="546" ht="27.0" hidden="1" customHeight="1">
      <c r="A546" s="59" t="s">
        <v>880</v>
      </c>
      <c r="B546" s="97" t="s">
        <v>881</v>
      </c>
      <c r="C546" s="18" t="s">
        <v>859</v>
      </c>
      <c r="D546" s="98"/>
      <c r="E546" s="19">
        <v>0.0</v>
      </c>
      <c r="F546" s="19"/>
      <c r="G546" s="20" t="s">
        <v>485</v>
      </c>
      <c r="H546" s="21">
        <v>1.0</v>
      </c>
      <c r="I546" s="22"/>
      <c r="J546" s="45"/>
      <c r="K546" s="60">
        <v>77469.0</v>
      </c>
      <c r="L546" s="101">
        <v>105000.0</v>
      </c>
      <c r="M546" s="25"/>
      <c r="N546" s="102">
        <v>88000.0</v>
      </c>
      <c r="O546" s="27">
        <f t="shared" si="62"/>
        <v>0.355380862</v>
      </c>
      <c r="P546" s="28">
        <f t="shared" si="66"/>
        <v>0</v>
      </c>
    </row>
    <row r="547" ht="27.0" hidden="1" customHeight="1">
      <c r="A547" s="52" t="s">
        <v>882</v>
      </c>
      <c r="B547" s="17"/>
      <c r="C547" s="18"/>
      <c r="D547" s="4"/>
      <c r="E547" s="19">
        <v>0.0</v>
      </c>
      <c r="F547" s="19">
        <v>0.0</v>
      </c>
      <c r="G547" s="16" t="s">
        <v>883</v>
      </c>
      <c r="H547" s="21"/>
      <c r="I547" s="22">
        <v>0.0</v>
      </c>
      <c r="J547" s="29"/>
      <c r="K547" s="43">
        <v>2950.0</v>
      </c>
      <c r="L547" s="44">
        <v>6000.0</v>
      </c>
      <c r="M547" s="25"/>
      <c r="N547" s="39"/>
      <c r="O547" s="27">
        <f t="shared" si="62"/>
        <v>1.033898305</v>
      </c>
      <c r="P547" s="28">
        <f t="shared" si="66"/>
        <v>0</v>
      </c>
    </row>
    <row r="548" hidden="1">
      <c r="A548" s="40" t="s">
        <v>884</v>
      </c>
      <c r="B548" s="49"/>
      <c r="C548" s="18"/>
      <c r="D548" s="4"/>
      <c r="E548" s="19"/>
      <c r="F548" s="19"/>
      <c r="G548" s="40" t="s">
        <v>375</v>
      </c>
      <c r="H548" s="21">
        <v>0.0</v>
      </c>
      <c r="I548" s="22"/>
      <c r="J548" s="29"/>
      <c r="K548" s="43">
        <v>100.0</v>
      </c>
      <c r="L548" s="44">
        <v>1000.0</v>
      </c>
      <c r="M548" s="25">
        <v>1.19</v>
      </c>
      <c r="N548" s="39"/>
      <c r="O548" s="27">
        <f t="shared" si="62"/>
        <v>9</v>
      </c>
      <c r="P548" s="28">
        <f t="shared" si="66"/>
        <v>0</v>
      </c>
    </row>
    <row r="549" hidden="1">
      <c r="A549" s="118" t="s">
        <v>885</v>
      </c>
      <c r="B549" s="17"/>
      <c r="C549" s="18"/>
      <c r="D549" s="67"/>
      <c r="E549" s="19">
        <v>0.0</v>
      </c>
      <c r="F549" s="19"/>
      <c r="G549" s="20" t="s">
        <v>886</v>
      </c>
      <c r="H549" s="21"/>
      <c r="I549" s="22"/>
      <c r="J549" s="29"/>
      <c r="K549" s="32">
        <v>2400.0</v>
      </c>
      <c r="L549" s="24">
        <v>3500.0</v>
      </c>
      <c r="M549" s="25"/>
      <c r="N549" s="39"/>
      <c r="O549" s="27">
        <f t="shared" si="62"/>
        <v>0.4583333333</v>
      </c>
      <c r="P549" s="28">
        <f t="shared" si="66"/>
        <v>0</v>
      </c>
    </row>
    <row r="550" hidden="1">
      <c r="A550" s="118" t="s">
        <v>887</v>
      </c>
      <c r="B550" s="36" t="s">
        <v>888</v>
      </c>
      <c r="C550" s="18"/>
      <c r="D550" s="67"/>
      <c r="E550" s="19">
        <v>0.0</v>
      </c>
      <c r="F550" s="19">
        <v>0.0</v>
      </c>
      <c r="G550" s="16" t="s">
        <v>889</v>
      </c>
      <c r="H550" s="21"/>
      <c r="I550" s="22">
        <v>0.0</v>
      </c>
      <c r="J550" s="29"/>
      <c r="K550" s="48">
        <v>21385.0</v>
      </c>
      <c r="L550" s="24">
        <v>28000.0</v>
      </c>
      <c r="M550" s="25"/>
      <c r="N550" s="26"/>
      <c r="O550" s="27">
        <f t="shared" si="62"/>
        <v>0.3093289689</v>
      </c>
      <c r="P550" s="28">
        <f t="shared" si="66"/>
        <v>0</v>
      </c>
    </row>
    <row r="551" hidden="1">
      <c r="A551" s="176" t="s">
        <v>890</v>
      </c>
      <c r="B551" s="36" t="s">
        <v>891</v>
      </c>
      <c r="C551" s="18"/>
      <c r="D551" s="4"/>
      <c r="E551" s="19">
        <v>0.0</v>
      </c>
      <c r="F551" s="19">
        <v>0.0</v>
      </c>
      <c r="G551" s="16" t="s">
        <v>70</v>
      </c>
      <c r="H551" s="21"/>
      <c r="I551" s="22"/>
      <c r="J551" s="29"/>
      <c r="K551" s="32">
        <f>29000*0.8*1.19</f>
        <v>27608</v>
      </c>
      <c r="L551" s="24">
        <v>36000.0</v>
      </c>
      <c r="M551" s="25"/>
      <c r="N551" s="39"/>
      <c r="O551" s="27">
        <f t="shared" si="62"/>
        <v>0.3039698638</v>
      </c>
      <c r="P551" s="28">
        <f t="shared" si="66"/>
        <v>0</v>
      </c>
    </row>
    <row r="552" hidden="1">
      <c r="A552" s="16" t="s">
        <v>892</v>
      </c>
      <c r="B552" s="36"/>
      <c r="C552" s="68"/>
      <c r="D552" s="4"/>
      <c r="E552" s="19">
        <v>0.0</v>
      </c>
      <c r="F552" s="19">
        <v>0.0</v>
      </c>
      <c r="G552" s="20" t="s">
        <v>78</v>
      </c>
      <c r="H552" s="21">
        <v>2.0</v>
      </c>
      <c r="I552" s="22">
        <v>5.0</v>
      </c>
      <c r="J552" s="45"/>
      <c r="K552" s="46">
        <v>11455.0</v>
      </c>
      <c r="L552" s="24">
        <v>28000.0</v>
      </c>
      <c r="M552" s="25" t="s">
        <v>76</v>
      </c>
      <c r="N552" s="39"/>
      <c r="O552" s="27">
        <f t="shared" si="62"/>
        <v>1.444347447</v>
      </c>
      <c r="P552" s="28">
        <f t="shared" si="66"/>
        <v>0</v>
      </c>
    </row>
    <row r="553" hidden="1">
      <c r="A553" s="52" t="s">
        <v>893</v>
      </c>
      <c r="B553" s="36"/>
      <c r="C553" s="18"/>
      <c r="D553" s="19"/>
      <c r="E553" s="19"/>
      <c r="F553" s="19"/>
      <c r="G553" s="16" t="s">
        <v>88</v>
      </c>
      <c r="H553" s="21"/>
      <c r="I553" s="22">
        <v>0.0</v>
      </c>
      <c r="J553" s="29"/>
      <c r="K553" s="32">
        <v>9063.0</v>
      </c>
      <c r="L553" s="24">
        <v>14000.0</v>
      </c>
      <c r="M553" s="25"/>
      <c r="N553" s="39"/>
      <c r="O553" s="27">
        <f t="shared" si="62"/>
        <v>0.544742359</v>
      </c>
      <c r="P553" s="28">
        <f t="shared" si="66"/>
        <v>0</v>
      </c>
    </row>
    <row r="554" hidden="1">
      <c r="A554" s="52" t="s">
        <v>894</v>
      </c>
      <c r="B554" s="36"/>
      <c r="C554" s="18"/>
      <c r="D554" s="4"/>
      <c r="E554" s="19"/>
      <c r="F554" s="19"/>
      <c r="G554" s="16" t="s">
        <v>88</v>
      </c>
      <c r="H554" s="21"/>
      <c r="I554" s="22">
        <v>19.0</v>
      </c>
      <c r="J554" s="29"/>
      <c r="K554" s="32">
        <v>19585.0</v>
      </c>
      <c r="L554" s="24">
        <v>28000.0</v>
      </c>
      <c r="M554" s="25"/>
      <c r="N554" s="39"/>
      <c r="O554" s="27">
        <f t="shared" si="62"/>
        <v>0.4296655604</v>
      </c>
      <c r="P554" s="28">
        <f t="shared" si="66"/>
        <v>0</v>
      </c>
    </row>
    <row r="555" hidden="1">
      <c r="A555" s="52" t="s">
        <v>895</v>
      </c>
      <c r="B555" s="36"/>
      <c r="C555" s="18"/>
      <c r="D555" s="4"/>
      <c r="E555" s="19">
        <v>0.0</v>
      </c>
      <c r="F555" s="19">
        <v>0.0</v>
      </c>
      <c r="G555" s="20" t="s">
        <v>613</v>
      </c>
      <c r="H555" s="21"/>
      <c r="I555" s="22">
        <v>15.0</v>
      </c>
      <c r="J555" s="29"/>
      <c r="K555" s="32">
        <v>12285.0</v>
      </c>
      <c r="L555" s="32">
        <v>17000.0</v>
      </c>
      <c r="M555" s="25"/>
      <c r="N555" s="26"/>
      <c r="O555" s="27">
        <f t="shared" si="62"/>
        <v>0.3838013838</v>
      </c>
      <c r="P555" s="28">
        <f t="shared" si="66"/>
        <v>0</v>
      </c>
    </row>
    <row r="556" hidden="1">
      <c r="A556" s="52" t="s">
        <v>896</v>
      </c>
      <c r="B556" s="36"/>
      <c r="C556" s="18"/>
      <c r="D556" s="4"/>
      <c r="E556" s="19">
        <v>0.0</v>
      </c>
      <c r="F556" s="19">
        <v>0.0</v>
      </c>
      <c r="G556" s="20" t="s">
        <v>377</v>
      </c>
      <c r="H556" s="21"/>
      <c r="I556" s="22">
        <v>7.0</v>
      </c>
      <c r="J556" s="23"/>
      <c r="K556" s="24">
        <v>16000.0</v>
      </c>
      <c r="L556" s="24">
        <v>28000.0</v>
      </c>
      <c r="M556" s="25"/>
      <c r="N556" s="70"/>
      <c r="O556" s="27">
        <f t="shared" si="62"/>
        <v>0.75</v>
      </c>
      <c r="P556" s="28">
        <f t="shared" si="66"/>
        <v>0</v>
      </c>
    </row>
    <row r="557" hidden="1">
      <c r="A557" s="52" t="s">
        <v>897</v>
      </c>
      <c r="B557" s="36"/>
      <c r="C557" s="18"/>
      <c r="D557" s="4"/>
      <c r="E557" s="19">
        <v>0.0</v>
      </c>
      <c r="F557" s="19">
        <v>10.0</v>
      </c>
      <c r="G557" s="20" t="s">
        <v>377</v>
      </c>
      <c r="H557" s="21"/>
      <c r="I557" s="22">
        <v>40.0</v>
      </c>
      <c r="J557" s="47">
        <v>46569.0</v>
      </c>
      <c r="K557" s="43">
        <v>6000.0</v>
      </c>
      <c r="L557" s="44">
        <v>10000.0</v>
      </c>
      <c r="M557" s="25"/>
      <c r="N557" s="26"/>
      <c r="O557" s="27">
        <f t="shared" si="62"/>
        <v>0.6666666667</v>
      </c>
      <c r="P557" s="28">
        <f t="shared" si="66"/>
        <v>60000</v>
      </c>
    </row>
    <row r="558" hidden="1">
      <c r="A558" s="16" t="s">
        <v>898</v>
      </c>
      <c r="B558" s="49"/>
      <c r="C558" s="18"/>
      <c r="D558" s="4"/>
      <c r="E558" s="19"/>
      <c r="F558" s="19"/>
      <c r="G558" s="16" t="s">
        <v>88</v>
      </c>
      <c r="H558" s="21"/>
      <c r="I558" s="22">
        <v>3.0</v>
      </c>
      <c r="J558" s="22" t="s">
        <v>899</v>
      </c>
      <c r="K558" s="43">
        <f>17786*1.19</f>
        <v>21165.34</v>
      </c>
      <c r="L558" s="44">
        <v>34000.0</v>
      </c>
      <c r="M558" s="25"/>
      <c r="N558" s="39"/>
      <c r="O558" s="27">
        <f t="shared" si="62"/>
        <v>0.6063998972</v>
      </c>
      <c r="P558" s="28">
        <f t="shared" si="66"/>
        <v>0</v>
      </c>
    </row>
    <row r="559" hidden="1">
      <c r="A559" s="16" t="s">
        <v>900</v>
      </c>
      <c r="B559" s="36"/>
      <c r="C559" s="18"/>
      <c r="D559" s="4"/>
      <c r="E559" s="19">
        <v>0.0</v>
      </c>
      <c r="F559" s="19"/>
      <c r="G559" s="16" t="s">
        <v>39</v>
      </c>
      <c r="H559" s="21"/>
      <c r="I559" s="22"/>
      <c r="J559" s="29"/>
      <c r="K559" s="43">
        <v>4000.0</v>
      </c>
      <c r="L559" s="44">
        <v>7000.0</v>
      </c>
      <c r="M559" s="25"/>
      <c r="N559" s="39"/>
      <c r="O559" s="27">
        <f t="shared" si="62"/>
        <v>0.75</v>
      </c>
      <c r="P559" s="28">
        <f t="shared" si="66"/>
        <v>0</v>
      </c>
    </row>
    <row r="560" hidden="1">
      <c r="A560" s="52" t="s">
        <v>901</v>
      </c>
      <c r="B560" s="36" t="s">
        <v>902</v>
      </c>
      <c r="C560" s="18" t="s">
        <v>903</v>
      </c>
      <c r="D560" s="67">
        <f>29000*0.95</f>
        <v>27550</v>
      </c>
      <c r="E560" s="19">
        <v>2.0</v>
      </c>
      <c r="F560" s="19"/>
      <c r="G560" s="20" t="s">
        <v>60</v>
      </c>
      <c r="H560" s="21"/>
      <c r="I560" s="22"/>
      <c r="J560" s="47">
        <v>46508.0</v>
      </c>
      <c r="K560" s="48">
        <v>29000.0</v>
      </c>
      <c r="L560" s="55">
        <v>38000.0</v>
      </c>
      <c r="M560" s="25" t="s">
        <v>76</v>
      </c>
      <c r="N560" s="26"/>
      <c r="O560" s="27">
        <f t="shared" si="62"/>
        <v>0.3103448276</v>
      </c>
      <c r="P560" s="28">
        <f t="shared" si="66"/>
        <v>0</v>
      </c>
    </row>
    <row r="561" hidden="1">
      <c r="A561" s="177" t="s">
        <v>904</v>
      </c>
      <c r="B561" s="36" t="s">
        <v>905</v>
      </c>
      <c r="C561" s="68"/>
      <c r="D561" s="4"/>
      <c r="E561" s="19">
        <v>5.0</v>
      </c>
      <c r="F561" s="19">
        <v>0.0</v>
      </c>
      <c r="G561" s="20" t="s">
        <v>78</v>
      </c>
      <c r="H561" s="21">
        <v>0.0</v>
      </c>
      <c r="I561" s="22">
        <v>5.0</v>
      </c>
      <c r="J561" s="23"/>
      <c r="K561" s="55">
        <v>21488.0</v>
      </c>
      <c r="L561" s="55">
        <v>34000.0</v>
      </c>
      <c r="M561" s="25"/>
      <c r="N561" s="102">
        <v>28000.0</v>
      </c>
      <c r="O561" s="27">
        <f t="shared" si="62"/>
        <v>0.582278481</v>
      </c>
      <c r="P561" s="28">
        <f t="shared" si="66"/>
        <v>0</v>
      </c>
    </row>
    <row r="562" hidden="1">
      <c r="A562" s="16" t="s">
        <v>906</v>
      </c>
      <c r="B562" s="49"/>
      <c r="C562" s="18"/>
      <c r="D562" s="4"/>
      <c r="E562" s="19"/>
      <c r="F562" s="19"/>
      <c r="G562" s="16" t="s">
        <v>375</v>
      </c>
      <c r="H562" s="21">
        <v>0.0</v>
      </c>
      <c r="I562" s="22"/>
      <c r="J562" s="29"/>
      <c r="K562" s="48">
        <v>6700.0</v>
      </c>
      <c r="L562" s="48">
        <v>9000.0</v>
      </c>
      <c r="M562" s="25" t="s">
        <v>76</v>
      </c>
      <c r="N562" s="102">
        <v>8000.0</v>
      </c>
      <c r="O562" s="27">
        <f t="shared" si="62"/>
        <v>0.3432835821</v>
      </c>
      <c r="P562" s="28">
        <f t="shared" si="66"/>
        <v>0</v>
      </c>
    </row>
    <row r="563" hidden="1">
      <c r="A563" s="16" t="s">
        <v>907</v>
      </c>
      <c r="B563" s="17" t="s">
        <v>908</v>
      </c>
      <c r="C563" s="38"/>
      <c r="D563" s="4"/>
      <c r="E563" s="19">
        <v>0.0</v>
      </c>
      <c r="F563" s="62">
        <v>0.0</v>
      </c>
      <c r="G563" s="16" t="s">
        <v>909</v>
      </c>
      <c r="H563" s="21"/>
      <c r="I563" s="22"/>
      <c r="J563" s="29"/>
      <c r="K563" s="48">
        <v>14280.0</v>
      </c>
      <c r="L563" s="60">
        <v>18000.0</v>
      </c>
      <c r="M563" s="25"/>
      <c r="N563" s="26"/>
      <c r="O563" s="27">
        <f t="shared" si="62"/>
        <v>0.2605042017</v>
      </c>
      <c r="P563" s="28"/>
    </row>
    <row r="564" hidden="1">
      <c r="A564" s="16" t="s">
        <v>910</v>
      </c>
      <c r="B564" s="17"/>
      <c r="C564" s="18"/>
      <c r="D564" s="4"/>
      <c r="E564" s="19">
        <v>0.0</v>
      </c>
      <c r="F564" s="19">
        <v>0.0</v>
      </c>
      <c r="G564" s="20" t="s">
        <v>911</v>
      </c>
      <c r="H564" s="21"/>
      <c r="I564" s="22"/>
      <c r="J564" s="29"/>
      <c r="K564" s="32">
        <v>1200.0</v>
      </c>
      <c r="L564" s="24">
        <v>2500.0</v>
      </c>
      <c r="M564" s="25"/>
      <c r="N564" s="39"/>
      <c r="O564" s="27">
        <f t="shared" si="62"/>
        <v>1.083333333</v>
      </c>
      <c r="P564" s="28">
        <f t="shared" ref="P564:P566" si="67">K564*F564</f>
        <v>0</v>
      </c>
    </row>
    <row r="565" hidden="1">
      <c r="A565" s="16" t="s">
        <v>912</v>
      </c>
      <c r="B565" s="17"/>
      <c r="C565" s="18"/>
      <c r="D565" s="4"/>
      <c r="E565" s="19">
        <v>0.0</v>
      </c>
      <c r="F565" s="19">
        <v>0.0</v>
      </c>
      <c r="G565" s="20" t="s">
        <v>911</v>
      </c>
      <c r="H565" s="21"/>
      <c r="I565" s="22"/>
      <c r="J565" s="29"/>
      <c r="K565" s="32">
        <v>1200.0</v>
      </c>
      <c r="L565" s="24">
        <v>3000.0</v>
      </c>
      <c r="M565" s="25"/>
      <c r="N565" s="39"/>
      <c r="O565" s="27">
        <f t="shared" si="62"/>
        <v>1.5</v>
      </c>
      <c r="P565" s="28">
        <f t="shared" si="67"/>
        <v>0</v>
      </c>
    </row>
    <row r="566" hidden="1">
      <c r="A566" s="122" t="s">
        <v>913</v>
      </c>
      <c r="B566" s="17">
        <v>242014.0</v>
      </c>
      <c r="C566" s="18"/>
      <c r="D566" s="4"/>
      <c r="E566" s="19">
        <v>0.0</v>
      </c>
      <c r="F566" s="19">
        <v>0.0</v>
      </c>
      <c r="G566" s="16" t="s">
        <v>914</v>
      </c>
      <c r="H566" s="73"/>
      <c r="I566" s="22">
        <v>200.0</v>
      </c>
      <c r="J566" s="74"/>
      <c r="K566" s="75">
        <v>600.0</v>
      </c>
      <c r="L566" s="44">
        <v>2500.0</v>
      </c>
      <c r="M566" s="25"/>
      <c r="N566" s="39"/>
      <c r="O566" s="27">
        <f t="shared" si="62"/>
        <v>3.166666667</v>
      </c>
      <c r="P566" s="28">
        <f t="shared" si="67"/>
        <v>0</v>
      </c>
    </row>
    <row r="567" hidden="1">
      <c r="A567" s="52" t="s">
        <v>915</v>
      </c>
      <c r="B567" s="17"/>
      <c r="C567" s="18"/>
      <c r="D567" s="4"/>
      <c r="E567" s="19">
        <v>0.0</v>
      </c>
      <c r="F567" s="19">
        <v>0.0</v>
      </c>
      <c r="G567" s="16" t="s">
        <v>400</v>
      </c>
      <c r="H567" s="21"/>
      <c r="I567" s="22"/>
      <c r="J567" s="29"/>
      <c r="K567" s="32">
        <v>21850.0</v>
      </c>
      <c r="L567" s="24">
        <v>70000.0</v>
      </c>
      <c r="M567" s="25"/>
      <c r="N567" s="102"/>
      <c r="O567" s="27"/>
      <c r="P567" s="28"/>
    </row>
    <row r="568" hidden="1">
      <c r="A568" s="122" t="s">
        <v>916</v>
      </c>
      <c r="B568" s="17">
        <v>241052.0</v>
      </c>
      <c r="C568" s="18"/>
      <c r="D568" s="4"/>
      <c r="E568" s="19">
        <v>0.0</v>
      </c>
      <c r="F568" s="19">
        <v>0.0</v>
      </c>
      <c r="G568" s="16" t="s">
        <v>425</v>
      </c>
      <c r="H568" s="21"/>
      <c r="I568" s="22"/>
      <c r="J568" s="29"/>
      <c r="K568" s="43">
        <f>8401*1.19</f>
        <v>9997.19</v>
      </c>
      <c r="L568" s="43">
        <v>14000.0</v>
      </c>
      <c r="M568" s="25"/>
      <c r="N568" s="39"/>
      <c r="O568" s="27">
        <f t="shared" ref="O568:O613" si="68">(L568/K568)-1</f>
        <v>0.4003935106</v>
      </c>
      <c r="P568" s="28">
        <f t="shared" ref="P568:P572" si="69">K568*F568</f>
        <v>0</v>
      </c>
    </row>
    <row r="569" hidden="1">
      <c r="A569" s="52" t="s">
        <v>917</v>
      </c>
      <c r="B569" s="17"/>
      <c r="C569" s="18"/>
      <c r="D569" s="4"/>
      <c r="E569" s="19">
        <v>0.0</v>
      </c>
      <c r="F569" s="19">
        <v>0.0</v>
      </c>
      <c r="G569" s="16" t="s">
        <v>918</v>
      </c>
      <c r="H569" s="21"/>
      <c r="I569" s="22">
        <f>22+150</f>
        <v>172</v>
      </c>
      <c r="J569" s="29"/>
      <c r="K569" s="32">
        <v>3000.0</v>
      </c>
      <c r="L569" s="24">
        <v>8000.0</v>
      </c>
      <c r="M569" s="25"/>
      <c r="N569" s="102">
        <v>6000.0</v>
      </c>
      <c r="O569" s="27">
        <f t="shared" si="68"/>
        <v>1.666666667</v>
      </c>
      <c r="P569" s="28">
        <f t="shared" si="69"/>
        <v>0</v>
      </c>
    </row>
    <row r="570" hidden="1">
      <c r="A570" s="122" t="s">
        <v>919</v>
      </c>
      <c r="B570" s="17">
        <v>241051.0</v>
      </c>
      <c r="C570" s="18"/>
      <c r="D570" s="4"/>
      <c r="E570" s="19">
        <v>0.0</v>
      </c>
      <c r="F570" s="19">
        <v>0.0</v>
      </c>
      <c r="G570" s="16" t="s">
        <v>425</v>
      </c>
      <c r="H570" s="21"/>
      <c r="I570" s="22"/>
      <c r="J570" s="29"/>
      <c r="K570" s="43">
        <f t="shared" ref="K570:K572" si="70">8401*1.19</f>
        <v>9997.19</v>
      </c>
      <c r="L570" s="43">
        <v>14000.0</v>
      </c>
      <c r="M570" s="25"/>
      <c r="N570" s="39"/>
      <c r="O570" s="27">
        <f t="shared" si="68"/>
        <v>0.4003935106</v>
      </c>
      <c r="P570" s="28">
        <f t="shared" si="69"/>
        <v>0</v>
      </c>
    </row>
    <row r="571" hidden="1">
      <c r="A571" s="122" t="s">
        <v>920</v>
      </c>
      <c r="B571" s="17">
        <v>241050.0</v>
      </c>
      <c r="C571" s="18"/>
      <c r="D571" s="4"/>
      <c r="E571" s="19">
        <v>0.0</v>
      </c>
      <c r="F571" s="19">
        <v>0.0</v>
      </c>
      <c r="G571" s="16" t="s">
        <v>425</v>
      </c>
      <c r="H571" s="21"/>
      <c r="I571" s="22"/>
      <c r="J571" s="29"/>
      <c r="K571" s="43">
        <f t="shared" si="70"/>
        <v>9997.19</v>
      </c>
      <c r="L571" s="43">
        <v>14000.0</v>
      </c>
      <c r="M571" s="25"/>
      <c r="N571" s="39"/>
      <c r="O571" s="27">
        <f t="shared" si="68"/>
        <v>0.4003935106</v>
      </c>
      <c r="P571" s="28">
        <f t="shared" si="69"/>
        <v>0</v>
      </c>
    </row>
    <row r="572" hidden="1">
      <c r="A572" s="122" t="s">
        <v>921</v>
      </c>
      <c r="B572" s="17">
        <v>241053.0</v>
      </c>
      <c r="C572" s="18"/>
      <c r="D572" s="4"/>
      <c r="E572" s="19">
        <v>0.0</v>
      </c>
      <c r="F572" s="19">
        <v>0.0</v>
      </c>
      <c r="G572" s="16" t="s">
        <v>425</v>
      </c>
      <c r="H572" s="21"/>
      <c r="I572" s="22"/>
      <c r="J572" s="29"/>
      <c r="K572" s="43">
        <f t="shared" si="70"/>
        <v>9997.19</v>
      </c>
      <c r="L572" s="43">
        <v>14000.0</v>
      </c>
      <c r="M572" s="25"/>
      <c r="N572" s="39"/>
      <c r="O572" s="27">
        <f t="shared" si="68"/>
        <v>0.4003935106</v>
      </c>
      <c r="P572" s="28">
        <f t="shared" si="69"/>
        <v>0</v>
      </c>
    </row>
    <row r="573" hidden="1">
      <c r="A573" s="176" t="s">
        <v>922</v>
      </c>
      <c r="B573" s="36" t="s">
        <v>923</v>
      </c>
      <c r="C573" s="18"/>
      <c r="D573" s="4"/>
      <c r="E573" s="19">
        <v>0.0</v>
      </c>
      <c r="F573" s="19">
        <v>0.0</v>
      </c>
      <c r="G573" s="16" t="s">
        <v>924</v>
      </c>
      <c r="H573" s="21"/>
      <c r="I573" s="22">
        <v>1.0</v>
      </c>
      <c r="J573" s="29"/>
      <c r="K573" s="32">
        <f>65000*0.8*1.19</f>
        <v>61880</v>
      </c>
      <c r="L573" s="24">
        <v>88000.0</v>
      </c>
      <c r="M573" s="25"/>
      <c r="N573" s="39"/>
      <c r="O573" s="27">
        <f t="shared" si="68"/>
        <v>0.4221073045</v>
      </c>
      <c r="P573" s="28"/>
    </row>
    <row r="574" hidden="1">
      <c r="A574" s="122" t="s">
        <v>925</v>
      </c>
      <c r="B574" s="17">
        <v>242012.0</v>
      </c>
      <c r="C574" s="18"/>
      <c r="D574" s="4"/>
      <c r="E574" s="19">
        <v>0.0</v>
      </c>
      <c r="F574" s="19">
        <v>0.0</v>
      </c>
      <c r="G574" s="16" t="s">
        <v>425</v>
      </c>
      <c r="H574" s="73"/>
      <c r="I574" s="22"/>
      <c r="J574" s="74"/>
      <c r="K574" s="75">
        <v>900.0</v>
      </c>
      <c r="L574" s="44">
        <v>1500.0</v>
      </c>
      <c r="M574" s="25"/>
      <c r="N574" s="39"/>
      <c r="O574" s="27">
        <f t="shared" si="68"/>
        <v>0.6666666667</v>
      </c>
      <c r="P574" s="28">
        <f t="shared" ref="P574:P613" si="71">K574*F574</f>
        <v>0</v>
      </c>
    </row>
    <row r="575" hidden="1">
      <c r="A575" s="122" t="s">
        <v>926</v>
      </c>
      <c r="B575" s="17">
        <v>242013.0</v>
      </c>
      <c r="C575" s="18"/>
      <c r="D575" s="4"/>
      <c r="E575" s="19">
        <v>0.0</v>
      </c>
      <c r="F575" s="19">
        <v>0.0</v>
      </c>
      <c r="G575" s="16" t="s">
        <v>425</v>
      </c>
      <c r="H575" s="21"/>
      <c r="I575" s="22"/>
      <c r="J575" s="29"/>
      <c r="K575" s="43">
        <f>1517*1.19</f>
        <v>1805.23</v>
      </c>
      <c r="L575" s="43">
        <v>3500.0</v>
      </c>
      <c r="M575" s="25"/>
      <c r="N575" s="39"/>
      <c r="O575" s="27">
        <f t="shared" si="68"/>
        <v>0.938811121</v>
      </c>
      <c r="P575" s="28">
        <f t="shared" si="71"/>
        <v>0</v>
      </c>
    </row>
    <row r="576" hidden="1">
      <c r="A576" s="122" t="s">
        <v>927</v>
      </c>
      <c r="B576" s="17">
        <v>241054.0</v>
      </c>
      <c r="C576" s="18"/>
      <c r="D576" s="4"/>
      <c r="E576" s="19">
        <v>0.0</v>
      </c>
      <c r="F576" s="19">
        <v>0.0</v>
      </c>
      <c r="G576" s="16" t="s">
        <v>425</v>
      </c>
      <c r="H576" s="73"/>
      <c r="I576" s="22"/>
      <c r="J576" s="74"/>
      <c r="K576" s="75">
        <f>7478*1.19</f>
        <v>8898.82</v>
      </c>
      <c r="L576" s="44">
        <f>K576*1.5</f>
        <v>13348.23</v>
      </c>
      <c r="M576" s="25"/>
      <c r="N576" s="39"/>
      <c r="O576" s="27">
        <f t="shared" si="68"/>
        <v>0.5</v>
      </c>
      <c r="P576" s="28">
        <f t="shared" si="71"/>
        <v>0</v>
      </c>
    </row>
    <row r="577" hidden="1">
      <c r="A577" s="122" t="s">
        <v>928</v>
      </c>
      <c r="B577" s="17">
        <v>242014.0</v>
      </c>
      <c r="C577" s="18" t="s">
        <v>929</v>
      </c>
      <c r="D577" s="4"/>
      <c r="E577" s="19">
        <v>0.0</v>
      </c>
      <c r="F577" s="19">
        <v>0.0</v>
      </c>
      <c r="G577" s="16" t="s">
        <v>425</v>
      </c>
      <c r="H577" s="73"/>
      <c r="I577" s="22"/>
      <c r="J577" s="74"/>
      <c r="K577" s="75">
        <v>500.0</v>
      </c>
      <c r="L577" s="44">
        <v>1000.0</v>
      </c>
      <c r="M577" s="25"/>
      <c r="N577" s="39"/>
      <c r="O577" s="27">
        <f t="shared" si="68"/>
        <v>1</v>
      </c>
      <c r="P577" s="28">
        <f t="shared" si="71"/>
        <v>0</v>
      </c>
    </row>
    <row r="578" hidden="1">
      <c r="A578" s="122" t="s">
        <v>930</v>
      </c>
      <c r="B578" s="17">
        <v>241055.0</v>
      </c>
      <c r="C578" s="18"/>
      <c r="D578" s="4"/>
      <c r="E578" s="19">
        <v>0.0</v>
      </c>
      <c r="F578" s="19">
        <v>0.0</v>
      </c>
      <c r="G578" s="16" t="s">
        <v>425</v>
      </c>
      <c r="H578" s="73"/>
      <c r="I578" s="22"/>
      <c r="J578" s="74"/>
      <c r="K578" s="75">
        <v>4000.0</v>
      </c>
      <c r="L578" s="44">
        <v>7000.0</v>
      </c>
      <c r="M578" s="25"/>
      <c r="N578" s="39"/>
      <c r="O578" s="27">
        <f t="shared" si="68"/>
        <v>0.75</v>
      </c>
      <c r="P578" s="28">
        <f t="shared" si="71"/>
        <v>0</v>
      </c>
    </row>
    <row r="579" hidden="1">
      <c r="A579" s="16" t="s">
        <v>931</v>
      </c>
      <c r="B579" s="51"/>
      <c r="C579" s="18"/>
      <c r="D579" s="4"/>
      <c r="E579" s="19">
        <v>0.0</v>
      </c>
      <c r="F579" s="19">
        <v>0.0</v>
      </c>
      <c r="G579" s="16" t="s">
        <v>932</v>
      </c>
      <c r="H579" s="21"/>
      <c r="I579" s="22">
        <v>5.0</v>
      </c>
      <c r="J579" s="29"/>
      <c r="K579" s="43">
        <f>27311*1.19/50</f>
        <v>650.0018</v>
      </c>
      <c r="L579" s="44">
        <v>2000.0</v>
      </c>
      <c r="M579" s="25"/>
      <c r="N579" s="39"/>
      <c r="O579" s="27">
        <f t="shared" si="68"/>
        <v>2.076914556</v>
      </c>
      <c r="P579" s="28">
        <f t="shared" si="71"/>
        <v>0</v>
      </c>
    </row>
    <row r="580" hidden="1">
      <c r="A580" s="16" t="s">
        <v>933</v>
      </c>
      <c r="B580" s="17"/>
      <c r="C580" s="18" t="s">
        <v>144</v>
      </c>
      <c r="D580" s="4">
        <f t="shared" ref="D580:D582" si="72">9874*1.19</f>
        <v>11750.06</v>
      </c>
      <c r="E580" s="19">
        <v>3.0</v>
      </c>
      <c r="F580" s="19">
        <v>0.0</v>
      </c>
      <c r="G580" s="20" t="s">
        <v>78</v>
      </c>
      <c r="H580" s="21">
        <v>3.0</v>
      </c>
      <c r="I580" s="22">
        <v>0.0</v>
      </c>
      <c r="J580" s="29"/>
      <c r="K580" s="48">
        <f t="shared" ref="K580:K588" si="73">10231*1.19</f>
        <v>12174.89</v>
      </c>
      <c r="L580" s="55">
        <v>16000.0</v>
      </c>
      <c r="M580" s="25"/>
      <c r="N580" s="39"/>
      <c r="O580" s="27">
        <f t="shared" si="68"/>
        <v>0.3141802513</v>
      </c>
      <c r="P580" s="28">
        <f t="shared" si="71"/>
        <v>0</v>
      </c>
    </row>
    <row r="581" hidden="1">
      <c r="A581" s="16" t="s">
        <v>934</v>
      </c>
      <c r="B581" s="17"/>
      <c r="C581" s="18" t="s">
        <v>144</v>
      </c>
      <c r="D581" s="4">
        <f t="shared" si="72"/>
        <v>11750.06</v>
      </c>
      <c r="E581" s="19">
        <v>1.0</v>
      </c>
      <c r="F581" s="77">
        <v>0.0</v>
      </c>
      <c r="G581" s="20" t="s">
        <v>78</v>
      </c>
      <c r="H581" s="21">
        <v>5.0</v>
      </c>
      <c r="I581" s="22">
        <v>0.0</v>
      </c>
      <c r="J581" s="29"/>
      <c r="K581" s="48">
        <f t="shared" si="73"/>
        <v>12174.89</v>
      </c>
      <c r="L581" s="55">
        <v>16000.0</v>
      </c>
      <c r="M581" s="25"/>
      <c r="N581" s="39"/>
      <c r="O581" s="27">
        <f t="shared" si="68"/>
        <v>0.3141802513</v>
      </c>
      <c r="P581" s="28">
        <f t="shared" si="71"/>
        <v>0</v>
      </c>
    </row>
    <row r="582" hidden="1">
      <c r="A582" s="16" t="s">
        <v>935</v>
      </c>
      <c r="B582" s="17"/>
      <c r="C582" s="18" t="s">
        <v>144</v>
      </c>
      <c r="D582" s="4">
        <f t="shared" si="72"/>
        <v>11750.06</v>
      </c>
      <c r="E582" s="19">
        <v>2.0</v>
      </c>
      <c r="F582" s="19">
        <v>0.0</v>
      </c>
      <c r="G582" s="20" t="s">
        <v>78</v>
      </c>
      <c r="H582" s="21">
        <v>4.0</v>
      </c>
      <c r="I582" s="22">
        <v>0.0</v>
      </c>
      <c r="J582" s="29"/>
      <c r="K582" s="48">
        <f t="shared" si="73"/>
        <v>12174.89</v>
      </c>
      <c r="L582" s="55">
        <v>16000.0</v>
      </c>
      <c r="M582" s="25"/>
      <c r="N582" s="39"/>
      <c r="O582" s="27">
        <f t="shared" si="68"/>
        <v>0.3141802513</v>
      </c>
      <c r="P582" s="28">
        <f t="shared" si="71"/>
        <v>0</v>
      </c>
    </row>
    <row r="583" hidden="1">
      <c r="A583" s="16" t="s">
        <v>936</v>
      </c>
      <c r="B583" s="17"/>
      <c r="C583" s="18"/>
      <c r="D583" s="4"/>
      <c r="E583" s="19">
        <v>0.0</v>
      </c>
      <c r="F583" s="77">
        <v>0.0</v>
      </c>
      <c r="G583" s="20" t="s">
        <v>78</v>
      </c>
      <c r="H583" s="21">
        <v>7.0</v>
      </c>
      <c r="I583" s="22">
        <v>0.0</v>
      </c>
      <c r="J583" s="29"/>
      <c r="K583" s="48">
        <f t="shared" si="73"/>
        <v>12174.89</v>
      </c>
      <c r="L583" s="55">
        <v>16000.0</v>
      </c>
      <c r="M583" s="25"/>
      <c r="N583" s="39"/>
      <c r="O583" s="27">
        <f t="shared" si="68"/>
        <v>0.3141802513</v>
      </c>
      <c r="P583" s="28">
        <f t="shared" si="71"/>
        <v>0</v>
      </c>
    </row>
    <row r="584" hidden="1">
      <c r="A584" s="16" t="s">
        <v>937</v>
      </c>
      <c r="B584" s="17"/>
      <c r="C584" s="18" t="s">
        <v>144</v>
      </c>
      <c r="D584" s="4">
        <f>9874*1.19</f>
        <v>11750.06</v>
      </c>
      <c r="E584" s="19">
        <v>3.0</v>
      </c>
      <c r="F584" s="19">
        <v>0.0</v>
      </c>
      <c r="G584" s="20" t="s">
        <v>78</v>
      </c>
      <c r="H584" s="21">
        <v>3.0</v>
      </c>
      <c r="I584" s="22">
        <v>0.0</v>
      </c>
      <c r="J584" s="29"/>
      <c r="K584" s="48">
        <f t="shared" si="73"/>
        <v>12174.89</v>
      </c>
      <c r="L584" s="55">
        <v>16000.0</v>
      </c>
      <c r="M584" s="25"/>
      <c r="N584" s="39"/>
      <c r="O584" s="27">
        <f t="shared" si="68"/>
        <v>0.3141802513</v>
      </c>
      <c r="P584" s="28">
        <f t="shared" si="71"/>
        <v>0</v>
      </c>
    </row>
    <row r="585" hidden="1">
      <c r="A585" s="16" t="s">
        <v>938</v>
      </c>
      <c r="B585" s="17"/>
      <c r="C585" s="18"/>
      <c r="D585" s="4"/>
      <c r="E585" s="19">
        <v>1.0</v>
      </c>
      <c r="F585" s="77">
        <v>0.0</v>
      </c>
      <c r="G585" s="20" t="s">
        <v>78</v>
      </c>
      <c r="H585" s="21">
        <v>5.0</v>
      </c>
      <c r="I585" s="22">
        <v>0.0</v>
      </c>
      <c r="J585" s="29"/>
      <c r="K585" s="48">
        <f t="shared" si="73"/>
        <v>12174.89</v>
      </c>
      <c r="L585" s="55">
        <v>16000.0</v>
      </c>
      <c r="M585" s="25"/>
      <c r="N585" s="39"/>
      <c r="O585" s="27">
        <f t="shared" si="68"/>
        <v>0.3141802513</v>
      </c>
      <c r="P585" s="28">
        <f t="shared" si="71"/>
        <v>0</v>
      </c>
    </row>
    <row r="586" hidden="1">
      <c r="A586" s="16" t="s">
        <v>939</v>
      </c>
      <c r="B586" s="17"/>
      <c r="C586" s="18" t="s">
        <v>144</v>
      </c>
      <c r="D586" s="4">
        <f t="shared" ref="D586:D587" si="74">9874*1.19</f>
        <v>11750.06</v>
      </c>
      <c r="E586" s="19">
        <v>2.0</v>
      </c>
      <c r="F586" s="77">
        <v>0.0</v>
      </c>
      <c r="G586" s="20" t="s">
        <v>78</v>
      </c>
      <c r="H586" s="21">
        <v>4.0</v>
      </c>
      <c r="I586" s="22">
        <v>0.0</v>
      </c>
      <c r="J586" s="29"/>
      <c r="K586" s="48">
        <f t="shared" si="73"/>
        <v>12174.89</v>
      </c>
      <c r="L586" s="55">
        <v>16000.0</v>
      </c>
      <c r="M586" s="25"/>
      <c r="N586" s="39"/>
      <c r="O586" s="27">
        <f t="shared" si="68"/>
        <v>0.3141802513</v>
      </c>
      <c r="P586" s="28">
        <f t="shared" si="71"/>
        <v>0</v>
      </c>
    </row>
    <row r="587" hidden="1">
      <c r="A587" s="16" t="s">
        <v>940</v>
      </c>
      <c r="B587" s="17"/>
      <c r="C587" s="18" t="s">
        <v>144</v>
      </c>
      <c r="D587" s="4">
        <f t="shared" si="74"/>
        <v>11750.06</v>
      </c>
      <c r="E587" s="19">
        <v>2.0</v>
      </c>
      <c r="F587" s="77">
        <v>0.0</v>
      </c>
      <c r="G587" s="20" t="s">
        <v>78</v>
      </c>
      <c r="H587" s="21">
        <v>4.0</v>
      </c>
      <c r="I587" s="22">
        <v>0.0</v>
      </c>
      <c r="J587" s="29"/>
      <c r="K587" s="48">
        <f t="shared" si="73"/>
        <v>12174.89</v>
      </c>
      <c r="L587" s="55">
        <v>16000.0</v>
      </c>
      <c r="M587" s="25"/>
      <c r="N587" s="39"/>
      <c r="O587" s="27">
        <f t="shared" si="68"/>
        <v>0.3141802513</v>
      </c>
      <c r="P587" s="28">
        <f t="shared" si="71"/>
        <v>0</v>
      </c>
    </row>
    <row r="588" hidden="1">
      <c r="A588" s="16" t="s">
        <v>941</v>
      </c>
      <c r="B588" s="17"/>
      <c r="C588" s="18"/>
      <c r="D588" s="4"/>
      <c r="E588" s="19">
        <v>0.0</v>
      </c>
      <c r="F588" s="77">
        <v>0.0</v>
      </c>
      <c r="G588" s="20" t="s">
        <v>78</v>
      </c>
      <c r="H588" s="21">
        <v>7.0</v>
      </c>
      <c r="I588" s="22">
        <v>0.0</v>
      </c>
      <c r="J588" s="29"/>
      <c r="K588" s="48">
        <f t="shared" si="73"/>
        <v>12174.89</v>
      </c>
      <c r="L588" s="55">
        <v>16000.0</v>
      </c>
      <c r="M588" s="25"/>
      <c r="N588" s="39"/>
      <c r="O588" s="27">
        <f t="shared" si="68"/>
        <v>0.3141802513</v>
      </c>
      <c r="P588" s="28">
        <f t="shared" si="71"/>
        <v>0</v>
      </c>
    </row>
    <row r="589" hidden="1">
      <c r="A589" s="16" t="s">
        <v>942</v>
      </c>
      <c r="B589" s="17"/>
      <c r="C589" s="18"/>
      <c r="D589" s="4" t="s">
        <v>796</v>
      </c>
      <c r="E589" s="19">
        <v>0.0</v>
      </c>
      <c r="F589" s="19"/>
      <c r="G589" s="16" t="s">
        <v>943</v>
      </c>
      <c r="H589" s="21"/>
      <c r="I589" s="22"/>
      <c r="J589" s="29"/>
      <c r="K589" s="43">
        <f>K592/15</f>
        <v>840.9333333</v>
      </c>
      <c r="L589" s="44">
        <v>30000.0</v>
      </c>
      <c r="M589" s="25"/>
      <c r="N589" s="39"/>
      <c r="O589" s="27">
        <f t="shared" si="68"/>
        <v>34.67464722</v>
      </c>
      <c r="P589" s="28">
        <f t="shared" si="71"/>
        <v>0</v>
      </c>
    </row>
    <row r="590" hidden="1">
      <c r="A590" s="16" t="s">
        <v>944</v>
      </c>
      <c r="B590" s="17"/>
      <c r="C590" s="18"/>
      <c r="D590" s="4"/>
      <c r="E590" s="19">
        <v>0.0</v>
      </c>
      <c r="F590" s="19"/>
      <c r="G590" s="16" t="s">
        <v>943</v>
      </c>
      <c r="H590" s="21"/>
      <c r="I590" s="22"/>
      <c r="J590" s="29"/>
      <c r="K590" s="43">
        <v>71400.0</v>
      </c>
      <c r="L590" s="44">
        <v>95000.0</v>
      </c>
      <c r="M590" s="25"/>
      <c r="N590" s="39"/>
      <c r="O590" s="27">
        <f t="shared" si="68"/>
        <v>0.3305322129</v>
      </c>
      <c r="P590" s="28">
        <f t="shared" si="71"/>
        <v>0</v>
      </c>
    </row>
    <row r="591" hidden="1">
      <c r="A591" s="16" t="s">
        <v>945</v>
      </c>
      <c r="B591" s="49"/>
      <c r="C591" s="18"/>
      <c r="D591" s="4"/>
      <c r="E591" s="19">
        <v>0.0</v>
      </c>
      <c r="F591" s="19">
        <v>0.0</v>
      </c>
      <c r="G591" s="16" t="s">
        <v>93</v>
      </c>
      <c r="H591" s="21"/>
      <c r="I591" s="22"/>
      <c r="J591" s="29"/>
      <c r="K591" s="32">
        <v>39730.0</v>
      </c>
      <c r="L591" s="24">
        <v>49600.0</v>
      </c>
      <c r="M591" s="168" t="s">
        <v>76</v>
      </c>
      <c r="N591" s="39"/>
      <c r="O591" s="27">
        <f t="shared" si="68"/>
        <v>0.2484268814</v>
      </c>
      <c r="P591" s="28">
        <f t="shared" si="71"/>
        <v>0</v>
      </c>
    </row>
    <row r="592" hidden="1">
      <c r="A592" s="16" t="s">
        <v>946</v>
      </c>
      <c r="B592" s="49" t="s">
        <v>947</v>
      </c>
      <c r="C592" s="18" t="s">
        <v>948</v>
      </c>
      <c r="D592" s="4"/>
      <c r="E592" s="19"/>
      <c r="F592" s="19"/>
      <c r="G592" s="16" t="s">
        <v>949</v>
      </c>
      <c r="H592" s="21">
        <v>0.0</v>
      </c>
      <c r="I592" s="22"/>
      <c r="J592" s="29"/>
      <c r="K592" s="48">
        <v>12614.0</v>
      </c>
      <c r="L592" s="55">
        <v>18000.0</v>
      </c>
      <c r="M592" s="25"/>
      <c r="N592" s="102">
        <v>15000.0</v>
      </c>
      <c r="O592" s="27">
        <f t="shared" si="68"/>
        <v>0.4269858887</v>
      </c>
      <c r="P592" s="28">
        <f t="shared" si="71"/>
        <v>0</v>
      </c>
    </row>
    <row r="593" hidden="1">
      <c r="A593" s="16" t="s">
        <v>950</v>
      </c>
      <c r="B593" s="49"/>
      <c r="C593" s="18" t="s">
        <v>951</v>
      </c>
      <c r="D593" s="4"/>
      <c r="E593" s="19"/>
      <c r="F593" s="19"/>
      <c r="G593" s="16" t="s">
        <v>952</v>
      </c>
      <c r="H593" s="21">
        <v>0.0</v>
      </c>
      <c r="I593" s="22"/>
      <c r="J593" s="29"/>
      <c r="K593" s="32">
        <f>62800*1.19</f>
        <v>74732</v>
      </c>
      <c r="L593" s="24">
        <v>110000.0</v>
      </c>
      <c r="M593" s="25">
        <v>85.0</v>
      </c>
      <c r="N593" s="102">
        <v>85000.0</v>
      </c>
      <c r="O593" s="27">
        <f t="shared" si="68"/>
        <v>0.4719263502</v>
      </c>
      <c r="P593" s="28">
        <f t="shared" si="71"/>
        <v>0</v>
      </c>
    </row>
    <row r="594" hidden="1">
      <c r="A594" s="16" t="s">
        <v>953</v>
      </c>
      <c r="B594" s="49" t="s">
        <v>954</v>
      </c>
      <c r="C594" s="18" t="s">
        <v>948</v>
      </c>
      <c r="D594" s="4"/>
      <c r="E594" s="19"/>
      <c r="F594" s="19"/>
      <c r="G594" s="16" t="s">
        <v>949</v>
      </c>
      <c r="H594" s="21">
        <v>0.0</v>
      </c>
      <c r="I594" s="22"/>
      <c r="J594" s="29"/>
      <c r="K594" s="48">
        <f>12614*48</f>
        <v>605472</v>
      </c>
      <c r="L594" s="55">
        <f>15000*48</f>
        <v>720000</v>
      </c>
      <c r="M594" s="25"/>
      <c r="N594" s="39">
        <f>690000/48</f>
        <v>14375</v>
      </c>
      <c r="O594" s="27">
        <f t="shared" si="68"/>
        <v>0.1891549072</v>
      </c>
      <c r="P594" s="28">
        <f t="shared" si="71"/>
        <v>0</v>
      </c>
    </row>
    <row r="595" hidden="1">
      <c r="A595" s="122" t="s">
        <v>955</v>
      </c>
      <c r="B595" s="17">
        <v>242010.0</v>
      </c>
      <c r="C595" s="18"/>
      <c r="D595" s="4"/>
      <c r="E595" s="19">
        <v>0.0</v>
      </c>
      <c r="F595" s="19">
        <v>0.0</v>
      </c>
      <c r="G595" s="16" t="s">
        <v>659</v>
      </c>
      <c r="H595" s="73"/>
      <c r="I595" s="22">
        <v>30.0</v>
      </c>
      <c r="J595" s="74"/>
      <c r="K595" s="75">
        <v>1000.0</v>
      </c>
      <c r="L595" s="44">
        <v>3000.0</v>
      </c>
      <c r="M595" s="25"/>
      <c r="N595" s="39"/>
      <c r="O595" s="27">
        <f t="shared" si="68"/>
        <v>2</v>
      </c>
      <c r="P595" s="28">
        <f t="shared" si="71"/>
        <v>0</v>
      </c>
    </row>
    <row r="596" hidden="1">
      <c r="A596" s="59" t="s">
        <v>956</v>
      </c>
      <c r="B596" s="121"/>
      <c r="C596" s="18"/>
      <c r="D596" s="4"/>
      <c r="E596" s="19">
        <v>0.0</v>
      </c>
      <c r="F596" s="19">
        <v>0.0</v>
      </c>
      <c r="G596" s="16" t="s">
        <v>84</v>
      </c>
      <c r="H596" s="21"/>
      <c r="I596" s="22">
        <v>0.0</v>
      </c>
      <c r="J596" s="29"/>
      <c r="K596" s="43">
        <v>18000.0</v>
      </c>
      <c r="L596" s="44">
        <v>40000.0</v>
      </c>
      <c r="M596" s="25"/>
      <c r="N596" s="39"/>
      <c r="O596" s="27">
        <f t="shared" si="68"/>
        <v>1.222222222</v>
      </c>
      <c r="P596" s="28">
        <f t="shared" si="71"/>
        <v>0</v>
      </c>
    </row>
    <row r="597" hidden="1">
      <c r="A597" s="16" t="s">
        <v>957</v>
      </c>
      <c r="B597" s="17"/>
      <c r="C597" s="158" t="s">
        <v>958</v>
      </c>
      <c r="D597" s="61"/>
      <c r="E597" s="19"/>
      <c r="F597" s="19"/>
      <c r="G597" s="16" t="s">
        <v>91</v>
      </c>
      <c r="H597" s="21"/>
      <c r="I597" s="22">
        <v>20.0</v>
      </c>
      <c r="J597" s="29" t="s">
        <v>959</v>
      </c>
      <c r="K597" s="32">
        <v>267000.0</v>
      </c>
      <c r="L597" s="24">
        <v>325000.0</v>
      </c>
      <c r="M597" s="25" t="s">
        <v>76</v>
      </c>
      <c r="N597" s="102">
        <v>270000.0</v>
      </c>
      <c r="O597" s="27">
        <f t="shared" si="68"/>
        <v>0.2172284644</v>
      </c>
      <c r="P597" s="28">
        <f t="shared" si="71"/>
        <v>0</v>
      </c>
    </row>
    <row r="598" hidden="1">
      <c r="A598" s="40" t="s">
        <v>960</v>
      </c>
      <c r="B598" s="17"/>
      <c r="C598" s="18"/>
      <c r="D598" s="4"/>
      <c r="E598" s="19">
        <v>0.0</v>
      </c>
      <c r="F598" s="19">
        <v>0.0</v>
      </c>
      <c r="G598" s="16" t="s">
        <v>961</v>
      </c>
      <c r="H598" s="21"/>
      <c r="I598" s="22">
        <v>0.0</v>
      </c>
      <c r="J598" s="29"/>
      <c r="K598" s="48">
        <v>13000.0</v>
      </c>
      <c r="L598" s="55">
        <v>24000.0</v>
      </c>
      <c r="M598" s="25"/>
      <c r="N598" s="102">
        <v>18000.0</v>
      </c>
      <c r="O598" s="27">
        <f t="shared" si="68"/>
        <v>0.8461538462</v>
      </c>
      <c r="P598" s="28">
        <f t="shared" si="71"/>
        <v>0</v>
      </c>
    </row>
    <row r="599" hidden="1">
      <c r="A599" s="16" t="s">
        <v>962</v>
      </c>
      <c r="B599" s="49"/>
      <c r="C599" s="92"/>
      <c r="D599" s="4"/>
      <c r="E599" s="19"/>
      <c r="F599" s="19"/>
      <c r="G599" s="16" t="s">
        <v>200</v>
      </c>
      <c r="H599" s="21">
        <v>0.0</v>
      </c>
      <c r="I599" s="22">
        <v>3.0</v>
      </c>
      <c r="J599" s="29"/>
      <c r="K599" s="48">
        <v>141253.0</v>
      </c>
      <c r="L599" s="48">
        <v>170000.0</v>
      </c>
      <c r="M599" s="25">
        <v>1.19</v>
      </c>
      <c r="N599" s="48">
        <v>155000.0</v>
      </c>
      <c r="O599" s="27">
        <f t="shared" si="68"/>
        <v>0.2035142616</v>
      </c>
      <c r="P599" s="28">
        <f t="shared" si="71"/>
        <v>0</v>
      </c>
    </row>
    <row r="600" hidden="1">
      <c r="A600" s="16" t="s">
        <v>963</v>
      </c>
      <c r="B600" s="49"/>
      <c r="C600" s="18"/>
      <c r="D600" s="4"/>
      <c r="E600" s="19">
        <v>0.0</v>
      </c>
      <c r="F600" s="19">
        <v>0.0</v>
      </c>
      <c r="G600" s="16" t="s">
        <v>341</v>
      </c>
      <c r="H600" s="21"/>
      <c r="I600" s="22"/>
      <c r="J600" s="29"/>
      <c r="K600" s="48">
        <f>170000/8</f>
        <v>21250</v>
      </c>
      <c r="L600" s="55">
        <v>30000.0</v>
      </c>
      <c r="M600" s="25"/>
      <c r="N600" s="39"/>
      <c r="O600" s="27">
        <f t="shared" si="68"/>
        <v>0.4117647059</v>
      </c>
      <c r="P600" s="28">
        <f t="shared" si="71"/>
        <v>0</v>
      </c>
    </row>
    <row r="601" hidden="1">
      <c r="A601" s="16" t="s">
        <v>964</v>
      </c>
      <c r="B601" s="36" t="s">
        <v>965</v>
      </c>
      <c r="C601" s="18"/>
      <c r="D601" s="4"/>
      <c r="E601" s="19">
        <v>0.0</v>
      </c>
      <c r="F601" s="19">
        <v>0.0</v>
      </c>
      <c r="G601" s="20" t="s">
        <v>966</v>
      </c>
      <c r="H601" s="21"/>
      <c r="I601" s="22">
        <v>4.0</v>
      </c>
      <c r="J601" s="29"/>
      <c r="K601" s="32">
        <v>30000.0</v>
      </c>
      <c r="L601" s="24">
        <v>40000.0</v>
      </c>
      <c r="M601" s="25"/>
      <c r="N601" s="102">
        <v>38000.0</v>
      </c>
      <c r="O601" s="27">
        <f t="shared" si="68"/>
        <v>0.3333333333</v>
      </c>
      <c r="P601" s="28">
        <f t="shared" si="71"/>
        <v>0</v>
      </c>
    </row>
    <row r="602" hidden="1">
      <c r="A602" s="42" t="s">
        <v>967</v>
      </c>
      <c r="B602" s="49"/>
      <c r="C602" s="18" t="s">
        <v>55</v>
      </c>
      <c r="D602" s="4" t="s">
        <v>968</v>
      </c>
      <c r="E602" s="19">
        <v>0.0</v>
      </c>
      <c r="F602" s="19"/>
      <c r="G602" s="20" t="s">
        <v>610</v>
      </c>
      <c r="H602" s="21"/>
      <c r="I602" s="22"/>
      <c r="J602" s="29"/>
      <c r="K602" s="43">
        <v>46500.0</v>
      </c>
      <c r="L602" s="43">
        <v>62000.0</v>
      </c>
      <c r="M602" s="25"/>
      <c r="N602" s="26"/>
      <c r="O602" s="27">
        <f t="shared" si="68"/>
        <v>0.3333333333</v>
      </c>
      <c r="P602" s="28">
        <f t="shared" si="71"/>
        <v>0</v>
      </c>
    </row>
    <row r="603" hidden="1">
      <c r="A603" s="42" t="s">
        <v>969</v>
      </c>
      <c r="B603" s="71"/>
      <c r="C603" s="18"/>
      <c r="D603" s="4"/>
      <c r="E603" s="19">
        <v>0.0</v>
      </c>
      <c r="F603" s="19"/>
      <c r="G603" s="20" t="s">
        <v>291</v>
      </c>
      <c r="H603" s="21"/>
      <c r="I603" s="22"/>
      <c r="J603" s="29"/>
      <c r="K603" s="32">
        <f>21008*1.19</f>
        <v>24999.52</v>
      </c>
      <c r="L603" s="24">
        <v>32000.0</v>
      </c>
      <c r="M603" s="25"/>
      <c r="N603" s="39"/>
      <c r="O603" s="27">
        <f t="shared" si="68"/>
        <v>0.2800245765</v>
      </c>
      <c r="P603" s="28">
        <f t="shared" si="71"/>
        <v>0</v>
      </c>
    </row>
    <row r="604" hidden="1">
      <c r="A604" s="122" t="s">
        <v>970</v>
      </c>
      <c r="B604" s="36" t="s">
        <v>971</v>
      </c>
      <c r="C604" s="18"/>
      <c r="D604" s="4"/>
      <c r="E604" s="19">
        <v>0.0</v>
      </c>
      <c r="F604" s="19">
        <v>0.0</v>
      </c>
      <c r="G604" s="16" t="s">
        <v>972</v>
      </c>
      <c r="H604" s="21"/>
      <c r="I604" s="22">
        <v>1.0</v>
      </c>
      <c r="J604" s="29"/>
      <c r="K604" s="48">
        <v>36985.0</v>
      </c>
      <c r="L604" s="24">
        <v>58000.0</v>
      </c>
      <c r="M604" s="25" t="s">
        <v>82</v>
      </c>
      <c r="N604" s="26"/>
      <c r="O604" s="27">
        <f t="shared" si="68"/>
        <v>0.5682033257</v>
      </c>
      <c r="P604" s="28">
        <f t="shared" si="71"/>
        <v>0</v>
      </c>
    </row>
    <row r="605" hidden="1">
      <c r="A605" s="16" t="s">
        <v>973</v>
      </c>
      <c r="B605" s="17" t="s">
        <v>974</v>
      </c>
      <c r="C605" s="18"/>
      <c r="D605" s="4"/>
      <c r="E605" s="19">
        <v>0.0</v>
      </c>
      <c r="F605" s="19">
        <v>0.0</v>
      </c>
      <c r="G605" s="20" t="s">
        <v>975</v>
      </c>
      <c r="H605" s="21"/>
      <c r="I605" s="22" t="s">
        <v>976</v>
      </c>
      <c r="J605" s="29"/>
      <c r="K605" s="48">
        <v>1200.0</v>
      </c>
      <c r="L605" s="55">
        <v>5000.0</v>
      </c>
      <c r="M605" s="25" t="s">
        <v>82</v>
      </c>
      <c r="N605" s="39"/>
      <c r="O605" s="27">
        <f t="shared" si="68"/>
        <v>3.166666667</v>
      </c>
      <c r="P605" s="28">
        <f t="shared" si="71"/>
        <v>0</v>
      </c>
    </row>
    <row r="606" hidden="1">
      <c r="A606" s="52" t="s">
        <v>977</v>
      </c>
      <c r="B606" s="17" t="s">
        <v>978</v>
      </c>
      <c r="C606" s="18"/>
      <c r="D606" s="4"/>
      <c r="E606" s="19">
        <v>0.0</v>
      </c>
      <c r="F606" s="19">
        <f>11080/80</f>
        <v>138.5</v>
      </c>
      <c r="G606" s="16" t="s">
        <v>979</v>
      </c>
      <c r="H606" s="33"/>
      <c r="I606" s="22" t="s">
        <v>99</v>
      </c>
      <c r="J606" s="34"/>
      <c r="K606" s="35">
        <f>9063/40</f>
        <v>226.575</v>
      </c>
      <c r="L606" s="24">
        <v>500.0</v>
      </c>
      <c r="M606" s="25"/>
      <c r="N606" s="39"/>
      <c r="O606" s="27">
        <f t="shared" si="68"/>
        <v>1.206774799</v>
      </c>
      <c r="P606" s="28">
        <f t="shared" si="71"/>
        <v>31380.6375</v>
      </c>
    </row>
    <row r="607" hidden="1">
      <c r="A607" s="59" t="s">
        <v>980</v>
      </c>
      <c r="B607" s="134"/>
      <c r="C607" s="18"/>
      <c r="D607" s="98"/>
      <c r="E607" s="19">
        <v>0.0</v>
      </c>
      <c r="F607" s="19"/>
      <c r="G607" s="20" t="s">
        <v>485</v>
      </c>
      <c r="H607" s="21">
        <v>0.0</v>
      </c>
      <c r="I607" s="22"/>
      <c r="J607" s="173"/>
      <c r="K607" s="174">
        <v>60000.0</v>
      </c>
      <c r="L607" s="175">
        <v>95000.0</v>
      </c>
      <c r="M607" s="25"/>
      <c r="N607" s="39"/>
      <c r="O607" s="27">
        <f t="shared" si="68"/>
        <v>0.5833333333</v>
      </c>
      <c r="P607" s="28">
        <f t="shared" si="71"/>
        <v>0</v>
      </c>
    </row>
    <row r="608" hidden="1">
      <c r="A608" s="149" t="s">
        <v>981</v>
      </c>
      <c r="B608" s="71"/>
      <c r="C608" s="18"/>
      <c r="D608" s="4"/>
      <c r="E608" s="19">
        <v>0.0</v>
      </c>
      <c r="F608" s="19"/>
      <c r="G608" s="16" t="s">
        <v>982</v>
      </c>
      <c r="H608" s="21"/>
      <c r="I608" s="22"/>
      <c r="J608" s="29"/>
      <c r="K608" s="43">
        <v>750.0</v>
      </c>
      <c r="L608" s="44">
        <v>1500.0</v>
      </c>
      <c r="M608" s="25"/>
      <c r="N608" s="39"/>
      <c r="O608" s="27">
        <f t="shared" si="68"/>
        <v>1</v>
      </c>
      <c r="P608" s="28">
        <f t="shared" si="71"/>
        <v>0</v>
      </c>
    </row>
    <row r="609" hidden="1">
      <c r="A609" s="16" t="s">
        <v>983</v>
      </c>
      <c r="B609" s="17" t="s">
        <v>984</v>
      </c>
      <c r="C609" s="18" t="s">
        <v>985</v>
      </c>
      <c r="D609" s="4"/>
      <c r="E609" s="19"/>
      <c r="F609" s="19"/>
      <c r="G609" s="16" t="s">
        <v>986</v>
      </c>
      <c r="H609" s="21"/>
      <c r="I609" s="22"/>
      <c r="J609" s="29"/>
      <c r="K609" s="48">
        <v>199000.0</v>
      </c>
      <c r="L609" s="55">
        <v>280000.0</v>
      </c>
      <c r="M609" s="25" t="s">
        <v>76</v>
      </c>
      <c r="N609" s="39"/>
      <c r="O609" s="27">
        <f t="shared" si="68"/>
        <v>0.4070351759</v>
      </c>
      <c r="P609" s="28">
        <f t="shared" si="71"/>
        <v>0</v>
      </c>
    </row>
    <row r="610" hidden="1">
      <c r="A610" s="16" t="s">
        <v>987</v>
      </c>
      <c r="B610" s="17" t="s">
        <v>984</v>
      </c>
      <c r="C610" s="18" t="s">
        <v>985</v>
      </c>
      <c r="D610" s="4"/>
      <c r="E610" s="19"/>
      <c r="F610" s="19"/>
      <c r="G610" s="16" t="s">
        <v>986</v>
      </c>
      <c r="H610" s="21"/>
      <c r="I610" s="22"/>
      <c r="J610" s="29"/>
      <c r="K610" s="48">
        <v>199000.0</v>
      </c>
      <c r="L610" s="55">
        <v>280000.0</v>
      </c>
      <c r="M610" s="25"/>
      <c r="N610" s="39"/>
      <c r="O610" s="27">
        <f t="shared" si="68"/>
        <v>0.4070351759</v>
      </c>
      <c r="P610" s="28">
        <f t="shared" si="71"/>
        <v>0</v>
      </c>
    </row>
    <row r="611" hidden="1">
      <c r="A611" s="16" t="s">
        <v>988</v>
      </c>
      <c r="B611" s="36"/>
      <c r="C611" s="18"/>
      <c r="D611" s="4"/>
      <c r="E611" s="19">
        <v>0.0</v>
      </c>
      <c r="F611" s="19">
        <v>0.0</v>
      </c>
      <c r="G611" s="16" t="s">
        <v>989</v>
      </c>
      <c r="H611" s="21"/>
      <c r="I611" s="22">
        <v>0.0</v>
      </c>
      <c r="J611" s="29"/>
      <c r="K611" s="32">
        <v>225000.0</v>
      </c>
      <c r="L611" s="24">
        <v>280000.0</v>
      </c>
      <c r="M611" s="25"/>
      <c r="N611" s="39"/>
      <c r="O611" s="27">
        <f t="shared" si="68"/>
        <v>0.2444444444</v>
      </c>
      <c r="P611" s="28">
        <f t="shared" si="71"/>
        <v>0</v>
      </c>
    </row>
    <row r="612" hidden="1">
      <c r="A612" s="16" t="s">
        <v>990</v>
      </c>
      <c r="B612" s="49"/>
      <c r="C612" s="18"/>
      <c r="D612" s="4"/>
      <c r="E612" s="19">
        <v>0.0</v>
      </c>
      <c r="F612" s="19">
        <v>0.0</v>
      </c>
      <c r="G612" s="16" t="s">
        <v>643</v>
      </c>
      <c r="H612" s="21"/>
      <c r="I612" s="22">
        <v>4.0</v>
      </c>
      <c r="J612" s="29"/>
      <c r="K612" s="32">
        <f>82000/4</f>
        <v>20500</v>
      </c>
      <c r="L612" s="24">
        <v>25000.0</v>
      </c>
      <c r="M612" s="25"/>
      <c r="N612" s="39"/>
      <c r="O612" s="27">
        <f t="shared" si="68"/>
        <v>0.2195121951</v>
      </c>
      <c r="P612" s="28">
        <f t="shared" si="71"/>
        <v>0</v>
      </c>
    </row>
    <row r="613" hidden="1">
      <c r="A613" s="16" t="s">
        <v>991</v>
      </c>
      <c r="B613" s="49"/>
      <c r="C613" s="18"/>
      <c r="D613" s="4"/>
      <c r="E613" s="19"/>
      <c r="F613" s="19"/>
      <c r="G613" s="16" t="s">
        <v>375</v>
      </c>
      <c r="H613" s="21">
        <v>0.0</v>
      </c>
      <c r="I613" s="22">
        <v>0.0</v>
      </c>
      <c r="J613" s="23"/>
      <c r="K613" s="24">
        <f>55500*1.19</f>
        <v>66045</v>
      </c>
      <c r="L613" s="24">
        <v>82000.0</v>
      </c>
      <c r="M613" s="25">
        <v>1.19</v>
      </c>
      <c r="N613" s="102">
        <v>74000.0</v>
      </c>
      <c r="O613" s="27">
        <f t="shared" si="68"/>
        <v>0.2415777122</v>
      </c>
      <c r="P613" s="28">
        <f t="shared" si="71"/>
        <v>0</v>
      </c>
    </row>
    <row r="614" hidden="1">
      <c r="A614" s="16" t="s">
        <v>992</v>
      </c>
      <c r="B614" s="178"/>
      <c r="C614" s="18"/>
      <c r="D614" s="4"/>
      <c r="E614" s="19">
        <v>0.0</v>
      </c>
      <c r="F614" s="19">
        <v>0.0</v>
      </c>
      <c r="G614" s="16" t="s">
        <v>400</v>
      </c>
      <c r="H614" s="21"/>
      <c r="I614" s="22">
        <v>3.0</v>
      </c>
      <c r="J614" s="29"/>
      <c r="K614" s="48">
        <v>138000.0</v>
      </c>
      <c r="L614" s="55">
        <v>370000.0</v>
      </c>
      <c r="M614" s="25"/>
      <c r="N614" s="39"/>
      <c r="O614" s="27"/>
      <c r="P614" s="28"/>
    </row>
    <row r="615" hidden="1">
      <c r="A615" s="16" t="s">
        <v>993</v>
      </c>
      <c r="B615" s="17"/>
      <c r="C615" s="18"/>
      <c r="D615" s="4"/>
      <c r="E615" s="19">
        <v>0.0</v>
      </c>
      <c r="F615" s="19"/>
      <c r="G615" s="16" t="s">
        <v>767</v>
      </c>
      <c r="H615" s="21"/>
      <c r="I615" s="22"/>
      <c r="J615" s="29"/>
      <c r="K615" s="43">
        <v>298000.0</v>
      </c>
      <c r="L615" s="44">
        <v>380000.0</v>
      </c>
      <c r="M615" s="25"/>
      <c r="N615" s="39"/>
      <c r="O615" s="27">
        <f t="shared" ref="O615:O653" si="75">(L615/K615)-1</f>
        <v>0.2751677852</v>
      </c>
      <c r="P615" s="28">
        <f t="shared" ref="P615:P653" si="76">K615*F615</f>
        <v>0</v>
      </c>
    </row>
    <row r="616" hidden="1">
      <c r="A616" s="16" t="s">
        <v>994</v>
      </c>
      <c r="B616" s="97" t="s">
        <v>995</v>
      </c>
      <c r="C616" s="18"/>
      <c r="D616" s="98"/>
      <c r="E616" s="19">
        <v>0.0</v>
      </c>
      <c r="F616" s="19"/>
      <c r="G616" s="20" t="s">
        <v>485</v>
      </c>
      <c r="H616" s="21">
        <v>14.0</v>
      </c>
      <c r="I616" s="22"/>
      <c r="J616" s="100"/>
      <c r="K616" s="165">
        <f>55092*1.19</f>
        <v>65559.48</v>
      </c>
      <c r="L616" s="24">
        <v>105000.0</v>
      </c>
      <c r="M616" s="25"/>
      <c r="N616" s="39"/>
      <c r="O616" s="27">
        <f t="shared" si="75"/>
        <v>0.6015990365</v>
      </c>
      <c r="P616" s="28">
        <f t="shared" si="76"/>
        <v>0</v>
      </c>
    </row>
    <row r="617" hidden="1">
      <c r="A617" s="16" t="s">
        <v>996</v>
      </c>
      <c r="B617" s="17" t="s">
        <v>997</v>
      </c>
      <c r="C617" s="18"/>
      <c r="D617" s="4" t="s">
        <v>998</v>
      </c>
      <c r="E617" s="19">
        <v>0.0</v>
      </c>
      <c r="F617" s="19">
        <v>5.0</v>
      </c>
      <c r="G617" s="20" t="s">
        <v>999</v>
      </c>
      <c r="H617" s="21"/>
      <c r="I617" s="22">
        <v>0.0</v>
      </c>
      <c r="J617" s="29"/>
      <c r="K617" s="32">
        <f>47601*1.19</f>
        <v>56645.19</v>
      </c>
      <c r="L617" s="24">
        <v>75000.0</v>
      </c>
      <c r="M617" s="25"/>
      <c r="N617" s="102">
        <v>62000.0</v>
      </c>
      <c r="O617" s="27">
        <f t="shared" si="75"/>
        <v>0.3240312196</v>
      </c>
      <c r="P617" s="28">
        <f t="shared" si="76"/>
        <v>283225.95</v>
      </c>
    </row>
    <row r="618" hidden="1">
      <c r="A618" s="16" t="s">
        <v>1000</v>
      </c>
      <c r="B618" s="17"/>
      <c r="C618" s="18"/>
      <c r="D618" s="19"/>
      <c r="E618" s="19">
        <v>0.0</v>
      </c>
      <c r="F618" s="19">
        <v>0.0</v>
      </c>
      <c r="G618" s="120" t="s">
        <v>1001</v>
      </c>
      <c r="H618" s="21"/>
      <c r="I618" s="22"/>
      <c r="J618" s="29"/>
      <c r="K618" s="48">
        <f>44880*1.19</f>
        <v>53407.2</v>
      </c>
      <c r="L618" s="48">
        <v>75000.0</v>
      </c>
      <c r="M618" s="25"/>
      <c r="N618" s="26">
        <v>62000.0</v>
      </c>
      <c r="O618" s="27">
        <f t="shared" si="75"/>
        <v>0.4043050375</v>
      </c>
      <c r="P618" s="28">
        <f t="shared" si="76"/>
        <v>0</v>
      </c>
    </row>
    <row r="619" hidden="1">
      <c r="A619" s="56" t="s">
        <v>1002</v>
      </c>
      <c r="B619" s="17"/>
      <c r="C619" s="18"/>
      <c r="D619" s="4"/>
      <c r="E619" s="19">
        <v>0.0</v>
      </c>
      <c r="F619" s="19">
        <v>0.0</v>
      </c>
      <c r="G619" s="16" t="s">
        <v>16</v>
      </c>
      <c r="H619" s="99"/>
      <c r="I619" s="22"/>
      <c r="J619" s="173"/>
      <c r="K619" s="179">
        <v>74341.0</v>
      </c>
      <c r="L619" s="24">
        <v>160000.0</v>
      </c>
      <c r="M619" s="25"/>
      <c r="N619" s="102">
        <v>145000.0</v>
      </c>
      <c r="O619" s="27">
        <f t="shared" si="75"/>
        <v>1.152244387</v>
      </c>
      <c r="P619" s="28">
        <f t="shared" si="76"/>
        <v>0</v>
      </c>
    </row>
    <row r="620" hidden="1">
      <c r="A620" s="56" t="s">
        <v>1003</v>
      </c>
      <c r="B620" s="51"/>
      <c r="C620" s="18" t="s">
        <v>55</v>
      </c>
      <c r="D620" s="4" t="s">
        <v>968</v>
      </c>
      <c r="E620" s="19">
        <v>0.0</v>
      </c>
      <c r="F620" s="19"/>
      <c r="G620" s="20" t="s">
        <v>610</v>
      </c>
      <c r="H620" s="99"/>
      <c r="I620" s="22"/>
      <c r="J620" s="173"/>
      <c r="K620" s="174">
        <v>105000.0</v>
      </c>
      <c r="L620" s="44">
        <v>120000.0</v>
      </c>
      <c r="M620" s="25"/>
      <c r="N620" s="31"/>
      <c r="O620" s="27">
        <f t="shared" si="75"/>
        <v>0.1428571429</v>
      </c>
      <c r="P620" s="28">
        <f t="shared" si="76"/>
        <v>0</v>
      </c>
    </row>
    <row r="621" hidden="1">
      <c r="A621" s="52" t="s">
        <v>1004</v>
      </c>
      <c r="B621" s="17"/>
      <c r="C621" s="18"/>
      <c r="D621" s="4"/>
      <c r="E621" s="19">
        <v>0.0</v>
      </c>
      <c r="F621" s="19">
        <v>0.0</v>
      </c>
      <c r="G621" s="20" t="s">
        <v>1005</v>
      </c>
      <c r="H621" s="21"/>
      <c r="I621" s="22">
        <v>0.0</v>
      </c>
      <c r="J621" s="29"/>
      <c r="K621" s="43">
        <v>10000.0</v>
      </c>
      <c r="L621" s="44">
        <v>18000.0</v>
      </c>
      <c r="M621" s="25"/>
      <c r="N621" s="39"/>
      <c r="O621" s="27">
        <f t="shared" si="75"/>
        <v>0.8</v>
      </c>
      <c r="P621" s="28">
        <f t="shared" si="76"/>
        <v>0</v>
      </c>
    </row>
    <row r="622" hidden="1">
      <c r="A622" s="59" t="s">
        <v>1006</v>
      </c>
      <c r="B622" s="121"/>
      <c r="C622" s="18"/>
      <c r="D622" s="4"/>
      <c r="E622" s="19">
        <v>0.0</v>
      </c>
      <c r="F622" s="19">
        <v>0.0</v>
      </c>
      <c r="G622" s="16" t="s">
        <v>16</v>
      </c>
      <c r="H622" s="21"/>
      <c r="I622" s="22" t="s">
        <v>1007</v>
      </c>
      <c r="J622" s="29"/>
      <c r="K622" s="32">
        <v>15449.0</v>
      </c>
      <c r="L622" s="24">
        <v>60000.0</v>
      </c>
      <c r="M622" s="25"/>
      <c r="N622" s="39"/>
      <c r="O622" s="27">
        <f t="shared" si="75"/>
        <v>2.883746521</v>
      </c>
      <c r="P622" s="28">
        <f t="shared" si="76"/>
        <v>0</v>
      </c>
    </row>
    <row r="623" hidden="1">
      <c r="A623" s="59" t="s">
        <v>1008</v>
      </c>
      <c r="B623" s="121"/>
      <c r="C623" s="18"/>
      <c r="D623" s="4"/>
      <c r="E623" s="19">
        <v>0.0</v>
      </c>
      <c r="F623" s="19">
        <v>0.0</v>
      </c>
      <c r="G623" s="16" t="s">
        <v>16</v>
      </c>
      <c r="H623" s="33"/>
      <c r="I623" s="22"/>
      <c r="J623" s="170"/>
      <c r="K623" s="127">
        <v>73566.0</v>
      </c>
      <c r="L623" s="55">
        <v>145000.0</v>
      </c>
      <c r="M623" s="25"/>
      <c r="N623" s="39"/>
      <c r="O623" s="27">
        <f t="shared" si="75"/>
        <v>0.9710192208</v>
      </c>
      <c r="P623" s="28">
        <f t="shared" si="76"/>
        <v>0</v>
      </c>
    </row>
    <row r="624" hidden="1">
      <c r="A624" s="52" t="s">
        <v>1009</v>
      </c>
      <c r="B624" s="17"/>
      <c r="C624" s="18"/>
      <c r="D624" s="4"/>
      <c r="E624" s="19">
        <v>0.0</v>
      </c>
      <c r="F624" s="19"/>
      <c r="G624" s="16" t="s">
        <v>1010</v>
      </c>
      <c r="H624" s="21"/>
      <c r="I624" s="22"/>
      <c r="J624" s="29"/>
      <c r="K624" s="43">
        <v>20200.0</v>
      </c>
      <c r="L624" s="44">
        <v>32000.0</v>
      </c>
      <c r="M624" s="25"/>
      <c r="N624" s="39"/>
      <c r="O624" s="27">
        <f t="shared" si="75"/>
        <v>0.5841584158</v>
      </c>
      <c r="P624" s="28">
        <f t="shared" si="76"/>
        <v>0</v>
      </c>
    </row>
    <row r="625" hidden="1">
      <c r="A625" s="16" t="s">
        <v>1011</v>
      </c>
      <c r="B625" s="17"/>
      <c r="C625" s="18"/>
      <c r="D625" s="4"/>
      <c r="E625" s="19">
        <v>0.0</v>
      </c>
      <c r="F625" s="19"/>
      <c r="G625" s="16" t="s">
        <v>1012</v>
      </c>
      <c r="H625" s="21"/>
      <c r="I625" s="22"/>
      <c r="J625" s="29"/>
      <c r="K625" s="43">
        <v>4499.0</v>
      </c>
      <c r="L625" s="44">
        <v>12000.0</v>
      </c>
      <c r="M625" s="25"/>
      <c r="N625" s="39"/>
      <c r="O625" s="27">
        <f t="shared" si="75"/>
        <v>1.667259391</v>
      </c>
      <c r="P625" s="28">
        <f t="shared" si="76"/>
        <v>0</v>
      </c>
    </row>
    <row r="626" hidden="1">
      <c r="A626" s="16" t="s">
        <v>1013</v>
      </c>
      <c r="B626" s="180"/>
      <c r="C626" s="18"/>
      <c r="D626" s="4"/>
      <c r="E626" s="19">
        <v>0.0</v>
      </c>
      <c r="F626" s="19"/>
      <c r="G626" s="16" t="s">
        <v>1012</v>
      </c>
      <c r="H626" s="21"/>
      <c r="I626" s="22"/>
      <c r="J626" s="29"/>
      <c r="K626" s="43">
        <v>4499.0</v>
      </c>
      <c r="L626" s="44">
        <v>12000.0</v>
      </c>
      <c r="M626" s="25"/>
      <c r="N626" s="39"/>
      <c r="O626" s="27">
        <f t="shared" si="75"/>
        <v>1.667259391</v>
      </c>
      <c r="P626" s="28">
        <f t="shared" si="76"/>
        <v>0</v>
      </c>
    </row>
    <row r="627" hidden="1">
      <c r="A627" s="16" t="s">
        <v>1014</v>
      </c>
      <c r="B627" s="36"/>
      <c r="C627" s="18"/>
      <c r="D627" s="4"/>
      <c r="E627" s="19">
        <v>0.0</v>
      </c>
      <c r="F627" s="19"/>
      <c r="G627" s="16" t="s">
        <v>1015</v>
      </c>
      <c r="H627" s="21"/>
      <c r="I627" s="22"/>
      <c r="J627" s="29"/>
      <c r="K627" s="43">
        <v>4499.0</v>
      </c>
      <c r="L627" s="44">
        <v>12000.0</v>
      </c>
      <c r="M627" s="25"/>
      <c r="N627" s="39"/>
      <c r="O627" s="27">
        <f t="shared" si="75"/>
        <v>1.667259391</v>
      </c>
      <c r="P627" s="28">
        <f t="shared" si="76"/>
        <v>0</v>
      </c>
    </row>
    <row r="628" hidden="1">
      <c r="A628" s="16" t="s">
        <v>1016</v>
      </c>
      <c r="B628" s="17"/>
      <c r="C628" s="18"/>
      <c r="D628" s="4"/>
      <c r="E628" s="19">
        <v>0.0</v>
      </c>
      <c r="F628" s="19">
        <v>0.0</v>
      </c>
      <c r="G628" s="16" t="s">
        <v>588</v>
      </c>
      <c r="H628" s="21"/>
      <c r="I628" s="22">
        <v>80.0</v>
      </c>
      <c r="J628" s="29"/>
      <c r="K628" s="32">
        <f>122*25</f>
        <v>3050</v>
      </c>
      <c r="L628" s="24">
        <v>5000.0</v>
      </c>
      <c r="M628" s="25"/>
      <c r="N628" s="39"/>
      <c r="O628" s="27">
        <f t="shared" si="75"/>
        <v>0.6393442623</v>
      </c>
      <c r="P628" s="28">
        <f t="shared" si="76"/>
        <v>0</v>
      </c>
    </row>
    <row r="629" hidden="1">
      <c r="A629" s="16" t="s">
        <v>1017</v>
      </c>
      <c r="B629" s="36"/>
      <c r="C629" s="18"/>
      <c r="D629" s="4"/>
      <c r="E629" s="19">
        <v>0.0</v>
      </c>
      <c r="F629" s="19">
        <v>0.0</v>
      </c>
      <c r="G629" s="16" t="s">
        <v>93</v>
      </c>
      <c r="H629" s="21"/>
      <c r="I629" s="22">
        <v>0.0</v>
      </c>
      <c r="J629" s="29"/>
      <c r="K629" s="43">
        <v>11400.0</v>
      </c>
      <c r="L629" s="44">
        <v>17000.0</v>
      </c>
      <c r="M629" s="25"/>
      <c r="N629" s="39"/>
      <c r="O629" s="27">
        <f t="shared" si="75"/>
        <v>0.4912280702</v>
      </c>
      <c r="P629" s="28">
        <f t="shared" si="76"/>
        <v>0</v>
      </c>
    </row>
    <row r="630" hidden="1">
      <c r="A630" s="16" t="s">
        <v>1018</v>
      </c>
      <c r="B630" s="178"/>
      <c r="C630" s="18"/>
      <c r="D630" s="4"/>
      <c r="E630" s="19">
        <v>0.0</v>
      </c>
      <c r="F630" s="19">
        <v>0.0</v>
      </c>
      <c r="G630" s="40" t="s">
        <v>93</v>
      </c>
      <c r="H630" s="21"/>
      <c r="I630" s="22">
        <v>0.0</v>
      </c>
      <c r="J630" s="29"/>
      <c r="K630" s="43">
        <v>50300.0</v>
      </c>
      <c r="L630" s="44">
        <v>65000.0</v>
      </c>
      <c r="M630" s="25" t="s">
        <v>82</v>
      </c>
      <c r="N630" s="39"/>
      <c r="O630" s="27">
        <f t="shared" si="75"/>
        <v>0.2922465209</v>
      </c>
      <c r="P630" s="28">
        <f t="shared" si="76"/>
        <v>0</v>
      </c>
    </row>
    <row r="631" hidden="1">
      <c r="A631" s="16" t="s">
        <v>1019</v>
      </c>
      <c r="B631" s="17"/>
      <c r="C631" s="18" t="s">
        <v>1020</v>
      </c>
      <c r="D631" s="4"/>
      <c r="E631" s="19">
        <v>0.0</v>
      </c>
      <c r="F631" s="19"/>
      <c r="G631" s="20" t="s">
        <v>610</v>
      </c>
      <c r="H631" s="21"/>
      <c r="I631" s="22"/>
      <c r="J631" s="29"/>
      <c r="K631" s="32">
        <f t="shared" ref="K631:K633" si="77">50420*1.19/4</f>
        <v>14999.95</v>
      </c>
      <c r="L631" s="24">
        <v>22000.0</v>
      </c>
      <c r="M631" s="25"/>
      <c r="N631" s="39"/>
      <c r="O631" s="27">
        <f t="shared" si="75"/>
        <v>0.4666715556</v>
      </c>
      <c r="P631" s="28">
        <f t="shared" si="76"/>
        <v>0</v>
      </c>
    </row>
    <row r="632" hidden="1">
      <c r="A632" s="16" t="s">
        <v>1021</v>
      </c>
      <c r="B632" s="36"/>
      <c r="C632" s="18" t="s">
        <v>1020</v>
      </c>
      <c r="D632" s="4"/>
      <c r="E632" s="19">
        <v>0.0</v>
      </c>
      <c r="F632" s="19"/>
      <c r="G632" s="20" t="s">
        <v>610</v>
      </c>
      <c r="H632" s="21"/>
      <c r="I632" s="22"/>
      <c r="J632" s="29"/>
      <c r="K632" s="32">
        <f t="shared" si="77"/>
        <v>14999.95</v>
      </c>
      <c r="L632" s="24">
        <v>22000.0</v>
      </c>
      <c r="M632" s="25"/>
      <c r="N632" s="39"/>
      <c r="O632" s="27">
        <f t="shared" si="75"/>
        <v>0.4666715556</v>
      </c>
      <c r="P632" s="28">
        <f t="shared" si="76"/>
        <v>0</v>
      </c>
    </row>
    <row r="633" hidden="1">
      <c r="A633" s="16" t="s">
        <v>1022</v>
      </c>
      <c r="B633" s="49"/>
      <c r="C633" s="18"/>
      <c r="D633" s="4"/>
      <c r="E633" s="19">
        <v>0.0</v>
      </c>
      <c r="F633" s="19"/>
      <c r="G633" s="20" t="s">
        <v>610</v>
      </c>
      <c r="H633" s="21"/>
      <c r="I633" s="22"/>
      <c r="J633" s="29"/>
      <c r="K633" s="32">
        <f t="shared" si="77"/>
        <v>14999.95</v>
      </c>
      <c r="L633" s="24">
        <v>22000.0</v>
      </c>
      <c r="M633" s="25"/>
      <c r="N633" s="39"/>
      <c r="O633" s="27">
        <f t="shared" si="75"/>
        <v>0.4666715556</v>
      </c>
      <c r="P633" s="28">
        <f t="shared" si="76"/>
        <v>0</v>
      </c>
    </row>
    <row r="634" hidden="1">
      <c r="A634" s="40" t="s">
        <v>1023</v>
      </c>
      <c r="B634" s="17"/>
      <c r="C634" s="18"/>
      <c r="D634" s="4"/>
      <c r="E634" s="19">
        <v>0.0</v>
      </c>
      <c r="F634" s="19"/>
      <c r="G634" s="20" t="s">
        <v>57</v>
      </c>
      <c r="H634" s="21"/>
      <c r="I634" s="22"/>
      <c r="J634" s="29"/>
      <c r="K634" s="43">
        <v>2600.0</v>
      </c>
      <c r="L634" s="44">
        <v>4000.0</v>
      </c>
      <c r="M634" s="25"/>
      <c r="N634" s="39"/>
      <c r="O634" s="27">
        <f t="shared" si="75"/>
        <v>0.5384615385</v>
      </c>
      <c r="P634" s="28">
        <f t="shared" si="76"/>
        <v>0</v>
      </c>
    </row>
    <row r="635" hidden="1">
      <c r="A635" s="59" t="s">
        <v>1024</v>
      </c>
      <c r="B635" s="134"/>
      <c r="C635" s="18"/>
      <c r="D635" s="4"/>
      <c r="E635" s="19">
        <v>0.0</v>
      </c>
      <c r="F635" s="19">
        <v>0.0</v>
      </c>
      <c r="G635" s="20" t="s">
        <v>26</v>
      </c>
      <c r="H635" s="21"/>
      <c r="I635" s="22">
        <v>100.0</v>
      </c>
      <c r="J635" s="29"/>
      <c r="K635" s="32">
        <v>1900.0</v>
      </c>
      <c r="L635" s="24">
        <v>4000.0</v>
      </c>
      <c r="M635" s="25"/>
      <c r="N635" s="39"/>
      <c r="O635" s="27">
        <f t="shared" si="75"/>
        <v>1.105263158</v>
      </c>
      <c r="P635" s="28">
        <f t="shared" si="76"/>
        <v>0</v>
      </c>
    </row>
    <row r="636" hidden="1">
      <c r="A636" s="122" t="s">
        <v>1025</v>
      </c>
      <c r="B636" s="17"/>
      <c r="C636" s="18"/>
      <c r="D636" s="4"/>
      <c r="E636" s="19">
        <v>0.0</v>
      </c>
      <c r="F636" s="19">
        <v>0.0</v>
      </c>
      <c r="G636" s="16" t="s">
        <v>425</v>
      </c>
      <c r="H636" s="73"/>
      <c r="I636" s="22">
        <v>0.0</v>
      </c>
      <c r="J636" s="74"/>
      <c r="K636" s="75">
        <v>250000.0</v>
      </c>
      <c r="L636" s="44">
        <f t="shared" ref="L636:L638" si="78">K636*1.5</f>
        <v>375000</v>
      </c>
      <c r="M636" s="25"/>
      <c r="N636" s="39"/>
      <c r="O636" s="27">
        <f t="shared" si="75"/>
        <v>0.5</v>
      </c>
      <c r="P636" s="28">
        <f t="shared" si="76"/>
        <v>0</v>
      </c>
    </row>
    <row r="637" hidden="1">
      <c r="A637" s="122" t="s">
        <v>1026</v>
      </c>
      <c r="B637" s="17"/>
      <c r="C637" s="18"/>
      <c r="D637" s="4"/>
      <c r="E637" s="19">
        <v>0.0</v>
      </c>
      <c r="F637" s="19">
        <v>0.0</v>
      </c>
      <c r="G637" s="16" t="s">
        <v>425</v>
      </c>
      <c r="H637" s="73"/>
      <c r="I637" s="22">
        <v>0.0</v>
      </c>
      <c r="J637" s="74"/>
      <c r="K637" s="75">
        <v>41000.0</v>
      </c>
      <c r="L637" s="44">
        <f t="shared" si="78"/>
        <v>61500</v>
      </c>
      <c r="M637" s="25"/>
      <c r="N637" s="39"/>
      <c r="O637" s="27">
        <f t="shared" si="75"/>
        <v>0.5</v>
      </c>
      <c r="P637" s="28">
        <f t="shared" si="76"/>
        <v>0</v>
      </c>
    </row>
    <row r="638" hidden="1">
      <c r="A638" s="122" t="s">
        <v>1027</v>
      </c>
      <c r="B638" s="17"/>
      <c r="C638" s="18"/>
      <c r="D638" s="4"/>
      <c r="E638" s="19">
        <v>0.0</v>
      </c>
      <c r="F638" s="19">
        <v>0.0</v>
      </c>
      <c r="G638" s="16" t="s">
        <v>425</v>
      </c>
      <c r="H638" s="73"/>
      <c r="I638" s="22">
        <v>0.0</v>
      </c>
      <c r="J638" s="74"/>
      <c r="K638" s="75">
        <v>62000.0</v>
      </c>
      <c r="L638" s="44">
        <f t="shared" si="78"/>
        <v>93000</v>
      </c>
      <c r="M638" s="25"/>
      <c r="N638" s="39"/>
      <c r="O638" s="27">
        <f t="shared" si="75"/>
        <v>0.5</v>
      </c>
      <c r="P638" s="28">
        <f t="shared" si="76"/>
        <v>0</v>
      </c>
    </row>
    <row r="639" hidden="1">
      <c r="A639" s="16" t="s">
        <v>1028</v>
      </c>
      <c r="B639" s="36"/>
      <c r="C639" s="18"/>
      <c r="D639" s="4"/>
      <c r="E639" s="19">
        <v>0.0</v>
      </c>
      <c r="F639" s="19"/>
      <c r="G639" s="16" t="s">
        <v>39</v>
      </c>
      <c r="H639" s="21"/>
      <c r="I639" s="22"/>
      <c r="J639" s="29"/>
      <c r="K639" s="32">
        <v>2300.0</v>
      </c>
      <c r="L639" s="24">
        <v>6000.0</v>
      </c>
      <c r="M639" s="25"/>
      <c r="N639" s="39"/>
      <c r="O639" s="27">
        <f t="shared" si="75"/>
        <v>1.608695652</v>
      </c>
      <c r="P639" s="28">
        <f t="shared" si="76"/>
        <v>0</v>
      </c>
    </row>
    <row r="640" hidden="1">
      <c r="A640" s="16" t="s">
        <v>1029</v>
      </c>
      <c r="B640" s="36"/>
      <c r="C640" s="18"/>
      <c r="D640" s="4"/>
      <c r="E640" s="19">
        <v>0.0</v>
      </c>
      <c r="F640" s="19"/>
      <c r="G640" s="16" t="s">
        <v>39</v>
      </c>
      <c r="H640" s="21"/>
      <c r="I640" s="22"/>
      <c r="J640" s="29"/>
      <c r="K640" s="43">
        <v>1986.0</v>
      </c>
      <c r="L640" s="44">
        <v>5500.0</v>
      </c>
      <c r="M640" s="25"/>
      <c r="N640" s="39"/>
      <c r="O640" s="27">
        <f t="shared" si="75"/>
        <v>1.7693857</v>
      </c>
      <c r="P640" s="28">
        <f t="shared" si="76"/>
        <v>0</v>
      </c>
    </row>
    <row r="641" hidden="1">
      <c r="A641" s="16" t="s">
        <v>1030</v>
      </c>
      <c r="B641" s="17"/>
      <c r="C641" s="18"/>
      <c r="D641" s="4"/>
      <c r="E641" s="19">
        <v>0.0</v>
      </c>
      <c r="F641" s="19">
        <v>0.0</v>
      </c>
      <c r="G641" s="16" t="s">
        <v>1031</v>
      </c>
      <c r="H641" s="21"/>
      <c r="I641" s="22">
        <v>134.0</v>
      </c>
      <c r="J641" s="29"/>
      <c r="K641" s="43">
        <v>1200.0</v>
      </c>
      <c r="L641" s="44">
        <v>2000.0</v>
      </c>
      <c r="M641" s="25"/>
      <c r="N641" s="39"/>
      <c r="O641" s="27">
        <f t="shared" si="75"/>
        <v>0.6666666667</v>
      </c>
      <c r="P641" s="28">
        <f t="shared" si="76"/>
        <v>0</v>
      </c>
    </row>
    <row r="642" hidden="1">
      <c r="A642" s="52" t="s">
        <v>1032</v>
      </c>
      <c r="B642" s="17" t="s">
        <v>1033</v>
      </c>
      <c r="C642" s="18"/>
      <c r="D642" s="4"/>
      <c r="E642" s="19"/>
      <c r="F642" s="19">
        <v>0.0</v>
      </c>
      <c r="G642" s="16" t="s">
        <v>1034</v>
      </c>
      <c r="H642" s="21">
        <v>0.0</v>
      </c>
      <c r="I642" s="22"/>
      <c r="J642" s="100"/>
      <c r="K642" s="101">
        <v>1131.0</v>
      </c>
      <c r="L642" s="101">
        <v>2000.0</v>
      </c>
      <c r="M642" s="25"/>
      <c r="N642" s="39"/>
      <c r="O642" s="27">
        <f t="shared" si="75"/>
        <v>0.7683465959</v>
      </c>
      <c r="P642" s="28">
        <f t="shared" si="76"/>
        <v>0</v>
      </c>
    </row>
    <row r="643" hidden="1">
      <c r="A643" s="16" t="s">
        <v>1035</v>
      </c>
      <c r="B643" s="97" t="s">
        <v>1036</v>
      </c>
      <c r="C643" s="18"/>
      <c r="D643" s="98"/>
      <c r="E643" s="19">
        <v>1.0</v>
      </c>
      <c r="F643" s="19"/>
      <c r="G643" s="20" t="s">
        <v>485</v>
      </c>
      <c r="H643" s="21">
        <v>2.0</v>
      </c>
      <c r="I643" s="22"/>
      <c r="J643" s="100"/>
      <c r="K643" s="101">
        <f t="shared" ref="K643:K653" si="79">74900*1.19</f>
        <v>89131</v>
      </c>
      <c r="L643" s="101">
        <v>115000.0</v>
      </c>
      <c r="M643" s="25"/>
      <c r="N643" s="102">
        <v>99000.0</v>
      </c>
      <c r="O643" s="27">
        <f t="shared" si="75"/>
        <v>0.2902357205</v>
      </c>
      <c r="P643" s="28">
        <f t="shared" si="76"/>
        <v>0</v>
      </c>
    </row>
    <row r="644" hidden="1">
      <c r="A644" s="16" t="s">
        <v>1037</v>
      </c>
      <c r="B644" s="97" t="s">
        <v>1038</v>
      </c>
      <c r="C644" s="18"/>
      <c r="D644" s="98"/>
      <c r="E644" s="19">
        <v>1.0</v>
      </c>
      <c r="F644" s="19"/>
      <c r="G644" s="20" t="s">
        <v>485</v>
      </c>
      <c r="H644" s="21">
        <v>2.0</v>
      </c>
      <c r="I644" s="22"/>
      <c r="J644" s="100"/>
      <c r="K644" s="101">
        <f t="shared" si="79"/>
        <v>89131</v>
      </c>
      <c r="L644" s="101">
        <v>115000.0</v>
      </c>
      <c r="M644" s="25"/>
      <c r="N644" s="102">
        <v>99000.0</v>
      </c>
      <c r="O644" s="27">
        <f t="shared" si="75"/>
        <v>0.2902357205</v>
      </c>
      <c r="P644" s="28">
        <f t="shared" si="76"/>
        <v>0</v>
      </c>
    </row>
    <row r="645" hidden="1">
      <c r="A645" s="16" t="s">
        <v>1039</v>
      </c>
      <c r="B645" s="97" t="s">
        <v>1040</v>
      </c>
      <c r="C645" s="18" t="s">
        <v>1041</v>
      </c>
      <c r="D645" s="98"/>
      <c r="E645" s="19">
        <v>1.0</v>
      </c>
      <c r="F645" s="19"/>
      <c r="G645" s="20" t="s">
        <v>485</v>
      </c>
      <c r="H645" s="21">
        <v>2.0</v>
      </c>
      <c r="I645" s="22"/>
      <c r="J645" s="100"/>
      <c r="K645" s="101">
        <f t="shared" si="79"/>
        <v>89131</v>
      </c>
      <c r="L645" s="101">
        <v>115000.0</v>
      </c>
      <c r="M645" s="25"/>
      <c r="N645" s="102">
        <v>99000.0</v>
      </c>
      <c r="O645" s="27">
        <f t="shared" si="75"/>
        <v>0.2902357205</v>
      </c>
      <c r="P645" s="28">
        <f t="shared" si="76"/>
        <v>0</v>
      </c>
    </row>
    <row r="646" hidden="1">
      <c r="A646" s="16" t="s">
        <v>1042</v>
      </c>
      <c r="B646" s="97" t="s">
        <v>1043</v>
      </c>
      <c r="C646" s="18" t="s">
        <v>1044</v>
      </c>
      <c r="D646" s="98"/>
      <c r="E646" s="19">
        <v>3.0</v>
      </c>
      <c r="F646" s="19"/>
      <c r="G646" s="20" t="s">
        <v>485</v>
      </c>
      <c r="H646" s="21">
        <v>0.0</v>
      </c>
      <c r="I646" s="22"/>
      <c r="J646" s="100"/>
      <c r="K646" s="101">
        <f t="shared" si="79"/>
        <v>89131</v>
      </c>
      <c r="L646" s="101">
        <v>115000.0</v>
      </c>
      <c r="M646" s="25"/>
      <c r="N646" s="102">
        <v>99000.0</v>
      </c>
      <c r="O646" s="27">
        <f t="shared" si="75"/>
        <v>0.2902357205</v>
      </c>
      <c r="P646" s="28">
        <f t="shared" si="76"/>
        <v>0</v>
      </c>
    </row>
    <row r="647" hidden="1">
      <c r="A647" s="16" t="s">
        <v>1045</v>
      </c>
      <c r="B647" s="97" t="s">
        <v>1046</v>
      </c>
      <c r="C647" s="18" t="s">
        <v>55</v>
      </c>
      <c r="D647" s="98"/>
      <c r="E647" s="19">
        <v>3.0</v>
      </c>
      <c r="F647" s="19"/>
      <c r="G647" s="20" t="s">
        <v>485</v>
      </c>
      <c r="H647" s="21">
        <v>0.0</v>
      </c>
      <c r="I647" s="22"/>
      <c r="J647" s="100"/>
      <c r="K647" s="101">
        <f t="shared" si="79"/>
        <v>89131</v>
      </c>
      <c r="L647" s="101">
        <v>115000.0</v>
      </c>
      <c r="M647" s="25"/>
      <c r="N647" s="102">
        <v>99000.0</v>
      </c>
      <c r="O647" s="27">
        <f t="shared" si="75"/>
        <v>0.2902357205</v>
      </c>
      <c r="P647" s="28">
        <f t="shared" si="76"/>
        <v>0</v>
      </c>
    </row>
    <row r="648" hidden="1">
      <c r="A648" s="16" t="s">
        <v>1047</v>
      </c>
      <c r="B648" s="142" t="s">
        <v>1048</v>
      </c>
      <c r="C648" s="18"/>
      <c r="D648" s="98"/>
      <c r="E648" s="19">
        <v>0.0</v>
      </c>
      <c r="F648" s="19"/>
      <c r="G648" s="20" t="s">
        <v>1049</v>
      </c>
      <c r="H648" s="21">
        <v>3.0</v>
      </c>
      <c r="I648" s="22"/>
      <c r="J648" s="100"/>
      <c r="K648" s="101">
        <f t="shared" si="79"/>
        <v>89131</v>
      </c>
      <c r="L648" s="101">
        <v>115000.0</v>
      </c>
      <c r="M648" s="25"/>
      <c r="N648" s="102">
        <v>99000.0</v>
      </c>
      <c r="O648" s="27">
        <f t="shared" si="75"/>
        <v>0.2902357205</v>
      </c>
      <c r="P648" s="28">
        <f t="shared" si="76"/>
        <v>0</v>
      </c>
    </row>
    <row r="649" hidden="1">
      <c r="A649" s="16" t="s">
        <v>1050</v>
      </c>
      <c r="B649" s="97" t="s">
        <v>1051</v>
      </c>
      <c r="C649" s="18" t="s">
        <v>55</v>
      </c>
      <c r="D649" s="98"/>
      <c r="E649" s="19">
        <v>3.0</v>
      </c>
      <c r="F649" s="19"/>
      <c r="G649" s="20" t="s">
        <v>485</v>
      </c>
      <c r="H649" s="21">
        <v>0.0</v>
      </c>
      <c r="I649" s="22"/>
      <c r="J649" s="100"/>
      <c r="K649" s="101">
        <f t="shared" si="79"/>
        <v>89131</v>
      </c>
      <c r="L649" s="101">
        <v>115000.0</v>
      </c>
      <c r="M649" s="25"/>
      <c r="N649" s="102">
        <v>99000.0</v>
      </c>
      <c r="O649" s="27">
        <f t="shared" si="75"/>
        <v>0.2902357205</v>
      </c>
      <c r="P649" s="28">
        <f t="shared" si="76"/>
        <v>0</v>
      </c>
    </row>
    <row r="650" hidden="1">
      <c r="A650" s="16" t="s">
        <v>1052</v>
      </c>
      <c r="B650" s="97" t="s">
        <v>1053</v>
      </c>
      <c r="C650" s="18" t="s">
        <v>1041</v>
      </c>
      <c r="D650" s="98"/>
      <c r="E650" s="19">
        <v>3.0</v>
      </c>
      <c r="F650" s="19"/>
      <c r="G650" s="20" t="s">
        <v>485</v>
      </c>
      <c r="H650" s="21">
        <v>0.0</v>
      </c>
      <c r="I650" s="22"/>
      <c r="J650" s="100"/>
      <c r="K650" s="101">
        <f t="shared" si="79"/>
        <v>89131</v>
      </c>
      <c r="L650" s="101">
        <v>115000.0</v>
      </c>
      <c r="M650" s="25"/>
      <c r="N650" s="102">
        <v>99000.0</v>
      </c>
      <c r="O650" s="27">
        <f t="shared" si="75"/>
        <v>0.2902357205</v>
      </c>
      <c r="P650" s="28">
        <f t="shared" si="76"/>
        <v>0</v>
      </c>
    </row>
    <row r="651" hidden="1">
      <c r="A651" s="16" t="s">
        <v>1054</v>
      </c>
      <c r="B651" s="97" t="s">
        <v>1055</v>
      </c>
      <c r="C651" s="18" t="s">
        <v>1044</v>
      </c>
      <c r="D651" s="98"/>
      <c r="E651" s="19">
        <v>2.0</v>
      </c>
      <c r="F651" s="19"/>
      <c r="G651" s="20" t="s">
        <v>485</v>
      </c>
      <c r="H651" s="21">
        <v>1.0</v>
      </c>
      <c r="I651" s="22"/>
      <c r="J651" s="100"/>
      <c r="K651" s="101">
        <f t="shared" si="79"/>
        <v>89131</v>
      </c>
      <c r="L651" s="101">
        <v>115000.0</v>
      </c>
      <c r="M651" s="25"/>
      <c r="N651" s="102">
        <v>99000.0</v>
      </c>
      <c r="O651" s="27">
        <f t="shared" si="75"/>
        <v>0.2902357205</v>
      </c>
      <c r="P651" s="28">
        <f t="shared" si="76"/>
        <v>0</v>
      </c>
    </row>
    <row r="652" hidden="1">
      <c r="A652" s="16" t="s">
        <v>1056</v>
      </c>
      <c r="B652" s="97" t="s">
        <v>1057</v>
      </c>
      <c r="C652" s="18"/>
      <c r="D652" s="98"/>
      <c r="E652" s="19">
        <v>2.0</v>
      </c>
      <c r="F652" s="19"/>
      <c r="G652" s="20" t="s">
        <v>485</v>
      </c>
      <c r="H652" s="21">
        <v>0.0</v>
      </c>
      <c r="I652" s="22"/>
      <c r="J652" s="173"/>
      <c r="K652" s="101">
        <f t="shared" si="79"/>
        <v>89131</v>
      </c>
      <c r="L652" s="101">
        <v>115000.0</v>
      </c>
      <c r="M652" s="25"/>
      <c r="N652" s="102">
        <v>99000.0</v>
      </c>
      <c r="O652" s="27">
        <f t="shared" si="75"/>
        <v>0.2902357205</v>
      </c>
      <c r="P652" s="28">
        <f t="shared" si="76"/>
        <v>0</v>
      </c>
    </row>
    <row r="653" hidden="1">
      <c r="A653" s="16" t="s">
        <v>1058</v>
      </c>
      <c r="B653" s="97" t="s">
        <v>1059</v>
      </c>
      <c r="C653" s="18" t="s">
        <v>55</v>
      </c>
      <c r="D653" s="98"/>
      <c r="E653" s="19">
        <v>1.0</v>
      </c>
      <c r="F653" s="19"/>
      <c r="G653" s="20" t="s">
        <v>485</v>
      </c>
      <c r="H653" s="21">
        <v>2.0</v>
      </c>
      <c r="I653" s="22"/>
      <c r="J653" s="100"/>
      <c r="K653" s="101">
        <f t="shared" si="79"/>
        <v>89131</v>
      </c>
      <c r="L653" s="101">
        <v>115000.0</v>
      </c>
      <c r="M653" s="25"/>
      <c r="N653" s="102">
        <v>99000.0</v>
      </c>
      <c r="O653" s="27">
        <f t="shared" si="75"/>
        <v>0.2902357205</v>
      </c>
      <c r="P653" s="28">
        <f t="shared" si="76"/>
        <v>0</v>
      </c>
    </row>
    <row r="654" hidden="1">
      <c r="A654" s="16" t="s">
        <v>1060</v>
      </c>
      <c r="B654" s="36"/>
      <c r="C654" s="18"/>
      <c r="D654" s="4"/>
      <c r="E654" s="19">
        <v>0.0</v>
      </c>
      <c r="F654" s="19">
        <v>0.0</v>
      </c>
      <c r="G654" s="16" t="s">
        <v>16</v>
      </c>
      <c r="H654" s="21"/>
      <c r="I654" s="22">
        <v>10.0</v>
      </c>
      <c r="J654" s="29"/>
      <c r="K654" s="24">
        <v>25830.0</v>
      </c>
      <c r="L654" s="55">
        <v>90000.0</v>
      </c>
      <c r="M654" s="25"/>
      <c r="N654" s="39"/>
      <c r="O654" s="27"/>
      <c r="P654" s="28"/>
    </row>
    <row r="655" hidden="1">
      <c r="A655" s="59" t="s">
        <v>1061</v>
      </c>
      <c r="B655" s="134" t="s">
        <v>1062</v>
      </c>
      <c r="C655" s="18" t="s">
        <v>55</v>
      </c>
      <c r="D655" s="98"/>
      <c r="E655" s="19">
        <v>0.0</v>
      </c>
      <c r="F655" s="19"/>
      <c r="G655" s="16" t="s">
        <v>485</v>
      </c>
      <c r="H655" s="21">
        <v>0.0</v>
      </c>
      <c r="I655" s="22"/>
      <c r="J655" s="173"/>
      <c r="K655" s="174">
        <f>37187*1.19</f>
        <v>44252.53</v>
      </c>
      <c r="L655" s="175">
        <v>95000.0</v>
      </c>
      <c r="M655" s="25"/>
      <c r="N655" s="26"/>
      <c r="O655" s="27">
        <f t="shared" ref="O655:O752" si="80">(L655/K655)-1</f>
        <v>1.146769913</v>
      </c>
      <c r="P655" s="28">
        <f t="shared" ref="P655:P674" si="81">K655*F655</f>
        <v>0</v>
      </c>
    </row>
    <row r="656" hidden="1">
      <c r="A656" s="42" t="s">
        <v>1063</v>
      </c>
      <c r="B656" s="71"/>
      <c r="C656" s="18" t="s">
        <v>547</v>
      </c>
      <c r="D656" s="4"/>
      <c r="E656" s="19">
        <v>0.0</v>
      </c>
      <c r="F656" s="19"/>
      <c r="G656" s="16" t="s">
        <v>291</v>
      </c>
      <c r="H656" s="21"/>
      <c r="I656" s="22"/>
      <c r="J656" s="29"/>
      <c r="K656" s="44">
        <v>6000.0</v>
      </c>
      <c r="L656" s="44">
        <v>6000.0</v>
      </c>
      <c r="M656" s="25"/>
      <c r="N656" s="39"/>
      <c r="O656" s="27">
        <f t="shared" si="80"/>
        <v>0</v>
      </c>
      <c r="P656" s="28">
        <f t="shared" si="81"/>
        <v>0</v>
      </c>
    </row>
    <row r="657" hidden="1">
      <c r="A657" s="42" t="s">
        <v>1064</v>
      </c>
      <c r="B657" s="71"/>
      <c r="C657" s="18"/>
      <c r="D657" s="4"/>
      <c r="E657" s="19">
        <v>0.0</v>
      </c>
      <c r="F657" s="19"/>
      <c r="G657" s="20" t="s">
        <v>291</v>
      </c>
      <c r="H657" s="21"/>
      <c r="I657" s="22"/>
      <c r="J657" s="29"/>
      <c r="K657" s="43">
        <v>4000.0</v>
      </c>
      <c r="L657" s="44">
        <v>8000.0</v>
      </c>
      <c r="M657" s="25"/>
      <c r="N657" s="39"/>
      <c r="O657" s="27">
        <f t="shared" si="80"/>
        <v>1</v>
      </c>
      <c r="P657" s="28">
        <f t="shared" si="81"/>
        <v>0</v>
      </c>
    </row>
    <row r="658" hidden="1">
      <c r="A658" s="42" t="s">
        <v>1065</v>
      </c>
      <c r="B658" s="71"/>
      <c r="C658" s="18"/>
      <c r="D658" s="4"/>
      <c r="E658" s="19">
        <v>0.0</v>
      </c>
      <c r="F658" s="19"/>
      <c r="G658" s="151" t="s">
        <v>625</v>
      </c>
      <c r="H658" s="21"/>
      <c r="I658" s="22"/>
      <c r="J658" s="29"/>
      <c r="K658" s="43">
        <v>2000.0</v>
      </c>
      <c r="L658" s="44">
        <v>10000.0</v>
      </c>
      <c r="M658" s="25"/>
      <c r="N658" s="39"/>
      <c r="O658" s="27">
        <f t="shared" si="80"/>
        <v>4</v>
      </c>
      <c r="P658" s="28">
        <f t="shared" si="81"/>
        <v>0</v>
      </c>
    </row>
    <row r="659" hidden="1">
      <c r="A659" s="42" t="s">
        <v>1066</v>
      </c>
      <c r="B659" s="71"/>
      <c r="C659" s="18"/>
      <c r="D659" s="4"/>
      <c r="E659" s="19">
        <v>20.0</v>
      </c>
      <c r="F659" s="19">
        <v>0.0</v>
      </c>
      <c r="G659" s="16" t="s">
        <v>513</v>
      </c>
      <c r="H659" s="21"/>
      <c r="I659" s="22">
        <v>10.0</v>
      </c>
      <c r="J659" s="29"/>
      <c r="K659" s="32">
        <f>10000*1.19</f>
        <v>11900</v>
      </c>
      <c r="L659" s="32">
        <v>15000.0</v>
      </c>
      <c r="M659" s="25"/>
      <c r="N659" s="39"/>
      <c r="O659" s="27">
        <f t="shared" si="80"/>
        <v>0.2605042017</v>
      </c>
      <c r="P659" s="28">
        <f t="shared" si="81"/>
        <v>0</v>
      </c>
    </row>
    <row r="660" hidden="1">
      <c r="A660" s="16" t="s">
        <v>1067</v>
      </c>
      <c r="B660" s="36"/>
      <c r="C660" s="18"/>
      <c r="D660" s="4"/>
      <c r="E660" s="19">
        <v>0.0</v>
      </c>
      <c r="F660" s="19">
        <v>0.0</v>
      </c>
      <c r="G660" s="16" t="s">
        <v>16</v>
      </c>
      <c r="H660" s="21"/>
      <c r="I660" s="22">
        <v>2.0</v>
      </c>
      <c r="J660" s="29"/>
      <c r="K660" s="32">
        <v>51618.0</v>
      </c>
      <c r="L660" s="55">
        <v>100000.0</v>
      </c>
      <c r="M660" s="25"/>
      <c r="N660" s="102">
        <v>70000.0</v>
      </c>
      <c r="O660" s="27">
        <f t="shared" si="80"/>
        <v>0.9373086908</v>
      </c>
      <c r="P660" s="28">
        <f t="shared" si="81"/>
        <v>0</v>
      </c>
    </row>
    <row r="661" hidden="1">
      <c r="A661" s="16" t="s">
        <v>1068</v>
      </c>
      <c r="B661" s="36"/>
      <c r="C661" s="18"/>
      <c r="D661" s="4"/>
      <c r="E661" s="19">
        <v>0.0</v>
      </c>
      <c r="F661" s="19">
        <v>0.0</v>
      </c>
      <c r="G661" s="16" t="s">
        <v>16</v>
      </c>
      <c r="H661" s="21"/>
      <c r="I661" s="22">
        <v>9.0</v>
      </c>
      <c r="J661" s="29"/>
      <c r="K661" s="43">
        <v>42210.0</v>
      </c>
      <c r="L661" s="55">
        <v>120000.0</v>
      </c>
      <c r="M661" s="25"/>
      <c r="N661" s="39"/>
      <c r="O661" s="27">
        <f t="shared" si="80"/>
        <v>1.842928216</v>
      </c>
      <c r="P661" s="28">
        <f t="shared" si="81"/>
        <v>0</v>
      </c>
    </row>
    <row r="662" hidden="1">
      <c r="A662" s="16" t="s">
        <v>1069</v>
      </c>
      <c r="B662" s="36"/>
      <c r="C662" s="18"/>
      <c r="D662" s="4" t="s">
        <v>796</v>
      </c>
      <c r="E662" s="19">
        <v>0.0</v>
      </c>
      <c r="F662" s="19">
        <v>100.0</v>
      </c>
      <c r="G662" s="20" t="s">
        <v>1070</v>
      </c>
      <c r="H662" s="21"/>
      <c r="I662" s="22">
        <v>30.0</v>
      </c>
      <c r="J662" s="29"/>
      <c r="K662" s="43">
        <v>2200.0</v>
      </c>
      <c r="L662" s="44">
        <v>6000.0</v>
      </c>
      <c r="M662" s="25"/>
      <c r="N662" s="102">
        <v>4000.0</v>
      </c>
      <c r="O662" s="27">
        <f t="shared" si="80"/>
        <v>1.727272727</v>
      </c>
      <c r="P662" s="28">
        <f t="shared" si="81"/>
        <v>220000</v>
      </c>
    </row>
    <row r="663" hidden="1">
      <c r="A663" s="16" t="s">
        <v>1071</v>
      </c>
      <c r="B663" s="36"/>
      <c r="C663" s="18"/>
      <c r="D663" s="110"/>
      <c r="E663" s="19">
        <v>0.0</v>
      </c>
      <c r="F663" s="19">
        <v>0.0</v>
      </c>
      <c r="G663" s="20" t="s">
        <v>1070</v>
      </c>
      <c r="H663" s="21"/>
      <c r="I663" s="22">
        <f>7*20</f>
        <v>140</v>
      </c>
      <c r="J663" s="29"/>
      <c r="K663" s="43">
        <v>2200.0</v>
      </c>
      <c r="L663" s="44">
        <v>6000.0</v>
      </c>
      <c r="M663" s="25"/>
      <c r="N663" s="102">
        <v>4000.0</v>
      </c>
      <c r="O663" s="27">
        <f t="shared" si="80"/>
        <v>1.727272727</v>
      </c>
      <c r="P663" s="28">
        <f t="shared" si="81"/>
        <v>0</v>
      </c>
    </row>
    <row r="664" hidden="1">
      <c r="A664" s="16" t="s">
        <v>1072</v>
      </c>
      <c r="B664" s="36"/>
      <c r="C664" s="18"/>
      <c r="D664" s="4" t="s">
        <v>796</v>
      </c>
      <c r="E664" s="19">
        <v>0.0</v>
      </c>
      <c r="F664" s="19">
        <v>50.0</v>
      </c>
      <c r="G664" s="20" t="s">
        <v>1070</v>
      </c>
      <c r="H664" s="21"/>
      <c r="I664" s="22">
        <v>60.0</v>
      </c>
      <c r="J664" s="29"/>
      <c r="K664" s="43">
        <v>2200.0</v>
      </c>
      <c r="L664" s="44">
        <v>6000.0</v>
      </c>
      <c r="M664" s="25"/>
      <c r="N664" s="102">
        <v>4000.0</v>
      </c>
      <c r="O664" s="27">
        <f t="shared" si="80"/>
        <v>1.727272727</v>
      </c>
      <c r="P664" s="28">
        <f t="shared" si="81"/>
        <v>110000</v>
      </c>
    </row>
    <row r="665" hidden="1">
      <c r="A665" s="16" t="s">
        <v>1073</v>
      </c>
      <c r="B665" s="36"/>
      <c r="C665" s="18"/>
      <c r="D665" s="4"/>
      <c r="E665" s="19">
        <v>0.0</v>
      </c>
      <c r="F665" s="19">
        <v>0.0</v>
      </c>
      <c r="G665" s="20" t="s">
        <v>1070</v>
      </c>
      <c r="H665" s="21"/>
      <c r="I665" s="22">
        <v>100.0</v>
      </c>
      <c r="J665" s="29"/>
      <c r="K665" s="43">
        <v>2200.0</v>
      </c>
      <c r="L665" s="44">
        <v>6000.0</v>
      </c>
      <c r="M665" s="25"/>
      <c r="N665" s="102">
        <v>4000.0</v>
      </c>
      <c r="O665" s="27">
        <f t="shared" si="80"/>
        <v>1.727272727</v>
      </c>
      <c r="P665" s="28">
        <f t="shared" si="81"/>
        <v>0</v>
      </c>
    </row>
    <row r="666" hidden="1">
      <c r="A666" s="59" t="s">
        <v>1074</v>
      </c>
      <c r="B666" s="134" t="s">
        <v>1075</v>
      </c>
      <c r="C666" s="18" t="s">
        <v>845</v>
      </c>
      <c r="D666" s="98"/>
      <c r="E666" s="19">
        <v>0.0</v>
      </c>
      <c r="F666" s="19"/>
      <c r="G666" s="16" t="s">
        <v>485</v>
      </c>
      <c r="H666" s="21">
        <v>0.0</v>
      </c>
      <c r="I666" s="22"/>
      <c r="J666" s="29"/>
      <c r="K666" s="32">
        <f>18950*1.19</f>
        <v>22550.5</v>
      </c>
      <c r="L666" s="165">
        <v>35000.0</v>
      </c>
      <c r="M666" s="25"/>
      <c r="N666" s="26"/>
      <c r="O666" s="27">
        <f t="shared" si="80"/>
        <v>0.5520720161</v>
      </c>
      <c r="P666" s="28">
        <f t="shared" si="81"/>
        <v>0</v>
      </c>
    </row>
    <row r="667" hidden="1">
      <c r="A667" s="149" t="s">
        <v>1076</v>
      </c>
      <c r="B667" s="71"/>
      <c r="C667" s="18"/>
      <c r="D667" s="181"/>
      <c r="E667" s="19">
        <v>0.0</v>
      </c>
      <c r="F667" s="19"/>
      <c r="G667" s="16" t="s">
        <v>1077</v>
      </c>
      <c r="H667" s="21"/>
      <c r="I667" s="22"/>
      <c r="J667" s="29"/>
      <c r="K667" s="32">
        <v>400.0</v>
      </c>
      <c r="L667" s="24">
        <v>1500.0</v>
      </c>
      <c r="M667" s="25"/>
      <c r="N667" s="39"/>
      <c r="O667" s="27">
        <f t="shared" si="80"/>
        <v>2.75</v>
      </c>
      <c r="P667" s="28">
        <f t="shared" si="81"/>
        <v>0</v>
      </c>
    </row>
    <row r="668" hidden="1">
      <c r="A668" s="16" t="s">
        <v>1078</v>
      </c>
      <c r="B668" s="36"/>
      <c r="C668" s="18"/>
      <c r="D668" s="4"/>
      <c r="E668" s="19">
        <v>0.0</v>
      </c>
      <c r="F668" s="19">
        <v>0.0</v>
      </c>
      <c r="G668" s="54" t="s">
        <v>63</v>
      </c>
      <c r="H668" s="21"/>
      <c r="I668" s="22">
        <v>0.0</v>
      </c>
      <c r="J668" s="29"/>
      <c r="K668" s="43">
        <f>112640/2</f>
        <v>56320</v>
      </c>
      <c r="L668" s="44">
        <v>80000.0</v>
      </c>
      <c r="M668" s="25"/>
      <c r="N668" s="39"/>
      <c r="O668" s="27">
        <f t="shared" si="80"/>
        <v>0.4204545455</v>
      </c>
      <c r="P668" s="28">
        <f t="shared" si="81"/>
        <v>0</v>
      </c>
    </row>
    <row r="669" hidden="1">
      <c r="A669" s="16" t="s">
        <v>1079</v>
      </c>
      <c r="B669" s="17"/>
      <c r="C669" s="18"/>
      <c r="D669" s="4"/>
      <c r="E669" s="19">
        <v>0.0</v>
      </c>
      <c r="F669" s="19">
        <v>0.0</v>
      </c>
      <c r="G669" s="16" t="s">
        <v>760</v>
      </c>
      <c r="H669" s="21"/>
      <c r="I669" s="22">
        <v>0.0</v>
      </c>
      <c r="J669" s="29"/>
      <c r="K669" s="43">
        <v>2000.0</v>
      </c>
      <c r="L669" s="44">
        <v>10000.0</v>
      </c>
      <c r="M669" s="25"/>
      <c r="N669" s="39"/>
      <c r="O669" s="27">
        <f t="shared" si="80"/>
        <v>4</v>
      </c>
      <c r="P669" s="28">
        <f t="shared" si="81"/>
        <v>0</v>
      </c>
    </row>
    <row r="670" hidden="1">
      <c r="A670" s="52" t="s">
        <v>1080</v>
      </c>
      <c r="B670" s="17"/>
      <c r="C670" s="18"/>
      <c r="D670" s="4"/>
      <c r="E670" s="19">
        <v>0.0</v>
      </c>
      <c r="F670" s="19">
        <v>0.0</v>
      </c>
      <c r="G670" s="16" t="s">
        <v>462</v>
      </c>
      <c r="H670" s="21"/>
      <c r="I670" s="22">
        <v>0.0</v>
      </c>
      <c r="J670" s="29"/>
      <c r="K670" s="43">
        <f>23400*1.19</f>
        <v>27846</v>
      </c>
      <c r="L670" s="44">
        <v>40000.0</v>
      </c>
      <c r="M670" s="25"/>
      <c r="N670" s="39"/>
      <c r="O670" s="27">
        <f t="shared" si="80"/>
        <v>0.4364720247</v>
      </c>
      <c r="P670" s="28">
        <f t="shared" si="81"/>
        <v>0</v>
      </c>
    </row>
    <row r="671" hidden="1">
      <c r="A671" s="59" t="s">
        <v>1081</v>
      </c>
      <c r="B671" s="36"/>
      <c r="C671" s="18"/>
      <c r="D671" s="110"/>
      <c r="E671" s="19">
        <v>0.0</v>
      </c>
      <c r="F671" s="19">
        <v>0.0</v>
      </c>
      <c r="G671" s="16" t="s">
        <v>93</v>
      </c>
      <c r="H671" s="21"/>
      <c r="I671" s="22">
        <v>1.0</v>
      </c>
      <c r="J671" s="29"/>
      <c r="K671" s="32">
        <v>22480.0</v>
      </c>
      <c r="L671" s="24">
        <v>28000.0</v>
      </c>
      <c r="M671" s="25"/>
      <c r="N671" s="39"/>
      <c r="O671" s="27">
        <f t="shared" si="80"/>
        <v>0.2455516014</v>
      </c>
      <c r="P671" s="28">
        <f t="shared" si="81"/>
        <v>0</v>
      </c>
    </row>
    <row r="672" hidden="1">
      <c r="A672" s="52" t="s">
        <v>1082</v>
      </c>
      <c r="B672" s="17"/>
      <c r="C672" s="18"/>
      <c r="D672" s="4"/>
      <c r="E672" s="19">
        <v>0.0</v>
      </c>
      <c r="F672" s="19"/>
      <c r="G672" s="20" t="s">
        <v>60</v>
      </c>
      <c r="H672" s="21"/>
      <c r="I672" s="22"/>
      <c r="J672" s="29"/>
      <c r="K672" s="32">
        <v>500.0</v>
      </c>
      <c r="L672" s="24">
        <v>1000.0</v>
      </c>
      <c r="M672" s="25"/>
      <c r="N672" s="39"/>
      <c r="O672" s="27">
        <f t="shared" si="80"/>
        <v>1</v>
      </c>
      <c r="P672" s="28">
        <f t="shared" si="81"/>
        <v>0</v>
      </c>
    </row>
    <row r="673" hidden="1">
      <c r="A673" s="16" t="s">
        <v>1083</v>
      </c>
      <c r="B673" s="51"/>
      <c r="C673" s="18"/>
      <c r="D673" s="98"/>
      <c r="E673" s="19">
        <v>0.0</v>
      </c>
      <c r="F673" s="19"/>
      <c r="G673" s="20" t="s">
        <v>485</v>
      </c>
      <c r="H673" s="21">
        <v>3.0</v>
      </c>
      <c r="I673" s="22"/>
      <c r="J673" s="182"/>
      <c r="K673" s="55">
        <v>273819.0</v>
      </c>
      <c r="L673" s="55">
        <v>320000.0</v>
      </c>
      <c r="M673" s="25"/>
      <c r="N673" s="39"/>
      <c r="O673" s="27">
        <f t="shared" si="80"/>
        <v>0.1686552065</v>
      </c>
      <c r="P673" s="28">
        <f t="shared" si="81"/>
        <v>0</v>
      </c>
    </row>
    <row r="674" hidden="1">
      <c r="A674" s="16" t="s">
        <v>1084</v>
      </c>
      <c r="B674" s="36"/>
      <c r="C674" s="18"/>
      <c r="D674" s="4"/>
      <c r="E674" s="19">
        <v>0.0</v>
      </c>
      <c r="F674" s="19">
        <v>0.0</v>
      </c>
      <c r="G674" s="20" t="s">
        <v>1085</v>
      </c>
      <c r="H674" s="21"/>
      <c r="I674" s="22"/>
      <c r="J674" s="47">
        <v>46569.0</v>
      </c>
      <c r="K674" s="48">
        <v>12285.0</v>
      </c>
      <c r="L674" s="55">
        <v>18000.0</v>
      </c>
      <c r="M674" s="25"/>
      <c r="N674" s="39"/>
      <c r="O674" s="27">
        <f t="shared" si="80"/>
        <v>0.4652014652</v>
      </c>
      <c r="P674" s="28">
        <f t="shared" si="81"/>
        <v>0</v>
      </c>
    </row>
    <row r="675" hidden="1">
      <c r="A675" s="52" t="s">
        <v>1086</v>
      </c>
      <c r="B675" s="16"/>
      <c r="C675" s="18"/>
      <c r="D675" s="98"/>
      <c r="E675" s="19">
        <v>0.0</v>
      </c>
      <c r="F675" s="19">
        <v>0.0</v>
      </c>
      <c r="G675" s="16" t="s">
        <v>613</v>
      </c>
      <c r="H675" s="21"/>
      <c r="I675" s="22"/>
      <c r="J675" s="47"/>
      <c r="K675" s="48">
        <v>10985.0</v>
      </c>
      <c r="L675" s="48">
        <v>16000.0</v>
      </c>
      <c r="M675" s="25"/>
      <c r="N675" s="39"/>
      <c r="O675" s="27">
        <f t="shared" si="80"/>
        <v>0.456531634</v>
      </c>
      <c r="P675" s="28"/>
    </row>
    <row r="676" hidden="1">
      <c r="A676" s="52" t="s">
        <v>1087</v>
      </c>
      <c r="B676" s="16" t="s">
        <v>1088</v>
      </c>
      <c r="C676" s="18"/>
      <c r="D676" s="98"/>
      <c r="E676" s="19"/>
      <c r="F676" s="19"/>
      <c r="G676" s="16" t="s">
        <v>88</v>
      </c>
      <c r="H676" s="21"/>
      <c r="I676" s="22">
        <v>4.0</v>
      </c>
      <c r="J676" s="47">
        <v>46174.0</v>
      </c>
      <c r="K676" s="48">
        <v>13101.0</v>
      </c>
      <c r="L676" s="48">
        <v>18000.0</v>
      </c>
      <c r="M676" s="25"/>
      <c r="N676" s="39"/>
      <c r="O676" s="27">
        <f t="shared" si="80"/>
        <v>0.3739409205</v>
      </c>
      <c r="P676" s="28">
        <f t="shared" ref="P676:P752" si="82">K676*F676</f>
        <v>0</v>
      </c>
    </row>
    <row r="677" hidden="1">
      <c r="A677" s="16" t="s">
        <v>1089</v>
      </c>
      <c r="B677" s="16" t="s">
        <v>1090</v>
      </c>
      <c r="C677" s="18"/>
      <c r="D677" s="4"/>
      <c r="E677" s="19">
        <v>15.0</v>
      </c>
      <c r="F677" s="19">
        <v>0.0</v>
      </c>
      <c r="G677" s="16" t="s">
        <v>1090</v>
      </c>
      <c r="H677" s="21"/>
      <c r="I677" s="22">
        <v>0.0</v>
      </c>
      <c r="J677" s="47">
        <v>46419.0</v>
      </c>
      <c r="K677" s="48">
        <v>8970.0</v>
      </c>
      <c r="L677" s="55">
        <v>12000.0</v>
      </c>
      <c r="M677" s="25"/>
      <c r="N677" s="39"/>
      <c r="O677" s="27">
        <f t="shared" si="80"/>
        <v>0.3377926421</v>
      </c>
      <c r="P677" s="28">
        <f t="shared" si="82"/>
        <v>0</v>
      </c>
    </row>
    <row r="678" hidden="1">
      <c r="A678" s="59" t="s">
        <v>1091</v>
      </c>
      <c r="B678" s="97" t="s">
        <v>1092</v>
      </c>
      <c r="C678" s="18" t="s">
        <v>845</v>
      </c>
      <c r="D678" s="98"/>
      <c r="E678" s="19">
        <v>0.0</v>
      </c>
      <c r="F678" s="19"/>
      <c r="G678" s="20" t="s">
        <v>485</v>
      </c>
      <c r="H678" s="21">
        <v>0.0</v>
      </c>
      <c r="I678" s="22"/>
      <c r="J678" s="173"/>
      <c r="K678" s="24">
        <f>47617*1.19</f>
        <v>56664.23</v>
      </c>
      <c r="L678" s="24">
        <v>95000.0</v>
      </c>
      <c r="M678" s="25"/>
      <c r="N678" s="39"/>
      <c r="O678" s="27">
        <f t="shared" si="80"/>
        <v>0.6765426796</v>
      </c>
      <c r="P678" s="28">
        <f t="shared" si="82"/>
        <v>0</v>
      </c>
    </row>
    <row r="679" hidden="1">
      <c r="A679" s="40" t="s">
        <v>1093</v>
      </c>
      <c r="B679" s="36" t="s">
        <v>1094</v>
      </c>
      <c r="C679" s="18"/>
      <c r="D679" s="4"/>
      <c r="E679" s="19">
        <v>0.0</v>
      </c>
      <c r="F679" s="19"/>
      <c r="G679" s="20" t="s">
        <v>1095</v>
      </c>
      <c r="H679" s="21"/>
      <c r="I679" s="22">
        <v>35.0</v>
      </c>
      <c r="J679" s="29"/>
      <c r="K679" s="48">
        <v>6783.0</v>
      </c>
      <c r="L679" s="55">
        <v>12000.0</v>
      </c>
      <c r="M679" s="25"/>
      <c r="N679" s="39"/>
      <c r="O679" s="27">
        <f t="shared" si="80"/>
        <v>0.7691287041</v>
      </c>
      <c r="P679" s="28">
        <f t="shared" si="82"/>
        <v>0</v>
      </c>
    </row>
    <row r="680" hidden="1">
      <c r="A680" s="16" t="s">
        <v>1096</v>
      </c>
      <c r="B680" s="183" t="s">
        <v>1097</v>
      </c>
      <c r="C680" s="18" t="s">
        <v>1098</v>
      </c>
      <c r="D680" s="4"/>
      <c r="E680" s="19"/>
      <c r="F680" s="19">
        <v>1.0</v>
      </c>
      <c r="G680" s="16" t="s">
        <v>1099</v>
      </c>
      <c r="H680" s="21">
        <v>0.0</v>
      </c>
      <c r="I680" s="22"/>
      <c r="J680" s="29"/>
      <c r="K680" s="48">
        <v>17017.0</v>
      </c>
      <c r="L680" s="48">
        <v>24000.0</v>
      </c>
      <c r="M680" s="25"/>
      <c r="N680" s="26" t="s">
        <v>1100</v>
      </c>
      <c r="O680" s="27">
        <f t="shared" si="80"/>
        <v>0.4103543515</v>
      </c>
      <c r="P680" s="28">
        <f t="shared" si="82"/>
        <v>17017</v>
      </c>
    </row>
    <row r="681" hidden="1">
      <c r="A681" s="42" t="s">
        <v>1101</v>
      </c>
      <c r="B681" s="71"/>
      <c r="C681" s="18"/>
      <c r="D681" s="4"/>
      <c r="E681" s="19">
        <v>0.0</v>
      </c>
      <c r="F681" s="19"/>
      <c r="G681" s="16" t="s">
        <v>553</v>
      </c>
      <c r="H681" s="21"/>
      <c r="I681" s="22"/>
      <c r="J681" s="29"/>
      <c r="K681" s="32">
        <f>590*1.19</f>
        <v>702.1</v>
      </c>
      <c r="L681" s="24">
        <v>1500.0</v>
      </c>
      <c r="M681" s="25"/>
      <c r="N681" s="26"/>
      <c r="O681" s="27">
        <f t="shared" si="80"/>
        <v>1.136447799</v>
      </c>
      <c r="P681" s="28">
        <f t="shared" si="82"/>
        <v>0</v>
      </c>
    </row>
    <row r="682" hidden="1">
      <c r="A682" s="122" t="s">
        <v>1102</v>
      </c>
      <c r="B682" s="17">
        <v>242001.0</v>
      </c>
      <c r="C682" s="18"/>
      <c r="D682" s="4"/>
      <c r="E682" s="19">
        <v>0.0</v>
      </c>
      <c r="F682" s="19">
        <v>0.0</v>
      </c>
      <c r="G682" s="16" t="s">
        <v>659</v>
      </c>
      <c r="H682" s="73"/>
      <c r="I682" s="22">
        <v>0.0</v>
      </c>
      <c r="J682" s="74"/>
      <c r="K682" s="75">
        <v>4500.0</v>
      </c>
      <c r="L682" s="44">
        <v>7000.0</v>
      </c>
      <c r="M682" s="25"/>
      <c r="N682" s="39"/>
      <c r="O682" s="27">
        <f t="shared" si="80"/>
        <v>0.5555555556</v>
      </c>
      <c r="P682" s="28">
        <f t="shared" si="82"/>
        <v>0</v>
      </c>
    </row>
    <row r="683" hidden="1">
      <c r="A683" s="122" t="s">
        <v>1103</v>
      </c>
      <c r="B683" s="17">
        <v>242002.0</v>
      </c>
      <c r="C683" s="18"/>
      <c r="D683" s="4"/>
      <c r="E683" s="19">
        <v>0.0</v>
      </c>
      <c r="F683" s="19">
        <v>0.0</v>
      </c>
      <c r="G683" s="16" t="s">
        <v>659</v>
      </c>
      <c r="H683" s="73"/>
      <c r="I683" s="22">
        <v>13.0</v>
      </c>
      <c r="J683" s="74"/>
      <c r="K683" s="75">
        <f>5796*1.19</f>
        <v>6897.24</v>
      </c>
      <c r="L683" s="75">
        <v>10000.0</v>
      </c>
      <c r="M683" s="25"/>
      <c r="N683" s="39"/>
      <c r="O683" s="27">
        <f t="shared" si="80"/>
        <v>0.4498553044</v>
      </c>
      <c r="P683" s="28">
        <f t="shared" si="82"/>
        <v>0</v>
      </c>
    </row>
    <row r="684" hidden="1">
      <c r="A684" s="122" t="s">
        <v>1104</v>
      </c>
      <c r="B684" s="17">
        <v>242003.0</v>
      </c>
      <c r="C684" s="18"/>
      <c r="D684" s="4"/>
      <c r="E684" s="19">
        <v>0.0</v>
      </c>
      <c r="F684" s="19">
        <v>0.0</v>
      </c>
      <c r="G684" s="16" t="s">
        <v>659</v>
      </c>
      <c r="H684" s="73"/>
      <c r="I684" s="22">
        <v>10.0</v>
      </c>
      <c r="J684" s="74"/>
      <c r="K684" s="75">
        <v>5300.0</v>
      </c>
      <c r="L684" s="44">
        <v>7000.0</v>
      </c>
      <c r="M684" s="25"/>
      <c r="N684" s="39"/>
      <c r="O684" s="27">
        <f t="shared" si="80"/>
        <v>0.320754717</v>
      </c>
      <c r="P684" s="28">
        <f t="shared" si="82"/>
        <v>0</v>
      </c>
    </row>
    <row r="685" hidden="1">
      <c r="A685" s="16" t="s">
        <v>1105</v>
      </c>
      <c r="B685" s="49" t="s">
        <v>689</v>
      </c>
      <c r="C685" s="18"/>
      <c r="D685" s="4"/>
      <c r="E685" s="19">
        <v>0.0</v>
      </c>
      <c r="F685" s="19">
        <v>0.0</v>
      </c>
      <c r="G685" s="16" t="s">
        <v>16</v>
      </c>
      <c r="H685" s="21"/>
      <c r="I685" s="22">
        <v>30.0</v>
      </c>
      <c r="J685" s="29"/>
      <c r="K685" s="43">
        <v>1433.0</v>
      </c>
      <c r="L685" s="44">
        <v>14000.0</v>
      </c>
      <c r="M685" s="25"/>
      <c r="N685" s="102">
        <v>9000.0</v>
      </c>
      <c r="O685" s="27">
        <f t="shared" si="80"/>
        <v>8.769713887</v>
      </c>
      <c r="P685" s="28">
        <f t="shared" si="82"/>
        <v>0</v>
      </c>
    </row>
    <row r="686" hidden="1">
      <c r="A686" s="122" t="s">
        <v>1106</v>
      </c>
      <c r="B686" s="17">
        <v>241017.0</v>
      </c>
      <c r="C686" s="18"/>
      <c r="D686" s="4"/>
      <c r="E686" s="19">
        <v>0.0</v>
      </c>
      <c r="F686" s="19">
        <v>0.0</v>
      </c>
      <c r="G686" s="16" t="s">
        <v>659</v>
      </c>
      <c r="H686" s="73"/>
      <c r="I686" s="22">
        <v>30.0</v>
      </c>
      <c r="J686" s="74"/>
      <c r="K686" s="75">
        <f>697*1.19</f>
        <v>829.43</v>
      </c>
      <c r="L686" s="44">
        <v>2000.0</v>
      </c>
      <c r="M686" s="25"/>
      <c r="N686" s="39"/>
      <c r="O686" s="27">
        <f t="shared" si="80"/>
        <v>1.411294503</v>
      </c>
      <c r="P686" s="28">
        <f t="shared" si="82"/>
        <v>0</v>
      </c>
    </row>
    <row r="687" hidden="1">
      <c r="A687" s="122" t="s">
        <v>1107</v>
      </c>
      <c r="B687" s="17"/>
      <c r="C687" s="92">
        <v>321300.0</v>
      </c>
      <c r="D687" s="4"/>
      <c r="E687" s="19">
        <v>0.0</v>
      </c>
      <c r="F687" s="19">
        <v>0.0</v>
      </c>
      <c r="G687" s="16" t="s">
        <v>1108</v>
      </c>
      <c r="H687" s="73"/>
      <c r="I687" s="22">
        <v>4.0</v>
      </c>
      <c r="J687" s="74"/>
      <c r="K687" s="184">
        <v>321300.0</v>
      </c>
      <c r="L687" s="55"/>
      <c r="M687" s="25"/>
      <c r="N687" s="102"/>
      <c r="O687" s="27">
        <f t="shared" si="80"/>
        <v>-1</v>
      </c>
      <c r="P687" s="28">
        <f t="shared" si="82"/>
        <v>0</v>
      </c>
    </row>
    <row r="688" hidden="1">
      <c r="A688" s="122" t="s">
        <v>1109</v>
      </c>
      <c r="B688" s="17"/>
      <c r="C688" s="18"/>
      <c r="D688" s="4"/>
      <c r="E688" s="19">
        <v>0.0</v>
      </c>
      <c r="F688" s="19">
        <v>0.0</v>
      </c>
      <c r="G688" s="16" t="s">
        <v>16</v>
      </c>
      <c r="H688" s="73"/>
      <c r="I688" s="22">
        <v>10.0</v>
      </c>
      <c r="J688" s="74"/>
      <c r="K688" s="44">
        <v>90000.0</v>
      </c>
      <c r="L688" s="44">
        <v>90000.0</v>
      </c>
      <c r="M688" s="25"/>
      <c r="N688" s="39"/>
      <c r="O688" s="27">
        <f t="shared" si="80"/>
        <v>0</v>
      </c>
      <c r="P688" s="28">
        <f t="shared" si="82"/>
        <v>0</v>
      </c>
    </row>
    <row r="689" hidden="1">
      <c r="A689" s="42" t="s">
        <v>1110</v>
      </c>
      <c r="B689" s="17" t="s">
        <v>1111</v>
      </c>
      <c r="C689" s="18"/>
      <c r="D689" s="19"/>
      <c r="E689" s="19">
        <v>0.0</v>
      </c>
      <c r="F689" s="19">
        <v>0.0</v>
      </c>
      <c r="G689" s="54" t="s">
        <v>1112</v>
      </c>
      <c r="H689" s="21"/>
      <c r="I689" s="22">
        <v>3.0</v>
      </c>
      <c r="J689" s="29"/>
      <c r="K689" s="32">
        <v>47430.0</v>
      </c>
      <c r="L689" s="32">
        <v>78000.0</v>
      </c>
      <c r="M689" s="25" t="s">
        <v>82</v>
      </c>
      <c r="N689" s="26">
        <v>48000.0</v>
      </c>
      <c r="O689" s="27">
        <f t="shared" si="80"/>
        <v>0.6445287793</v>
      </c>
      <c r="P689" s="28">
        <f t="shared" si="82"/>
        <v>0</v>
      </c>
    </row>
    <row r="690" hidden="1">
      <c r="A690" s="118" t="s">
        <v>1113</v>
      </c>
      <c r="B690" s="17" t="s">
        <v>1114</v>
      </c>
      <c r="C690" s="18"/>
      <c r="D690" s="67"/>
      <c r="E690" s="19">
        <v>0.0</v>
      </c>
      <c r="F690" s="19">
        <v>0.0</v>
      </c>
      <c r="G690" s="16" t="s">
        <v>1115</v>
      </c>
      <c r="H690" s="33"/>
      <c r="I690" s="22">
        <v>11.0</v>
      </c>
      <c r="J690" s="34"/>
      <c r="K690" s="48">
        <v>7800.0</v>
      </c>
      <c r="L690" s="55">
        <v>12000.0</v>
      </c>
      <c r="M690" s="25"/>
      <c r="N690" s="39"/>
      <c r="O690" s="27">
        <f t="shared" si="80"/>
        <v>0.5384615385</v>
      </c>
      <c r="P690" s="28">
        <f t="shared" si="82"/>
        <v>0</v>
      </c>
    </row>
    <row r="691" hidden="1">
      <c r="A691" s="118" t="s">
        <v>1116</v>
      </c>
      <c r="B691" s="17" t="s">
        <v>1117</v>
      </c>
      <c r="C691" s="18"/>
      <c r="D691" s="4"/>
      <c r="E691" s="19">
        <v>0.0</v>
      </c>
      <c r="F691" s="19">
        <v>0.0</v>
      </c>
      <c r="G691" s="16" t="s">
        <v>1118</v>
      </c>
      <c r="H691" s="21"/>
      <c r="I691" s="22">
        <v>4.0</v>
      </c>
      <c r="J691" s="23"/>
      <c r="K691" s="24">
        <f>10335*1.19</f>
        <v>12298.65</v>
      </c>
      <c r="L691" s="24">
        <v>18000.0</v>
      </c>
      <c r="M691" s="25"/>
      <c r="N691" s="26"/>
      <c r="O691" s="27">
        <f t="shared" si="80"/>
        <v>0.4635752705</v>
      </c>
      <c r="P691" s="28">
        <f t="shared" si="82"/>
        <v>0</v>
      </c>
    </row>
    <row r="692" hidden="1">
      <c r="A692" s="52" t="s">
        <v>1119</v>
      </c>
      <c r="B692" s="17" t="s">
        <v>1120</v>
      </c>
      <c r="C692" s="18"/>
      <c r="D692" s="67"/>
      <c r="E692" s="19">
        <v>0.0</v>
      </c>
      <c r="F692" s="19">
        <v>0.0</v>
      </c>
      <c r="G692" s="16" t="s">
        <v>1121</v>
      </c>
      <c r="H692" s="21"/>
      <c r="I692" s="22">
        <v>0.0</v>
      </c>
      <c r="J692" s="29"/>
      <c r="K692" s="32">
        <f>21385*1.19</f>
        <v>25448.15</v>
      </c>
      <c r="L692" s="32">
        <v>35000.0</v>
      </c>
      <c r="M692" s="25"/>
      <c r="N692" s="39"/>
      <c r="O692" s="27">
        <f t="shared" si="80"/>
        <v>0.3753455556</v>
      </c>
      <c r="P692" s="28">
        <f t="shared" si="82"/>
        <v>0</v>
      </c>
    </row>
    <row r="693" hidden="1">
      <c r="A693" s="52" t="s">
        <v>1122</v>
      </c>
      <c r="B693" s="36" t="s">
        <v>1123</v>
      </c>
      <c r="C693" s="18"/>
      <c r="D693" s="67"/>
      <c r="E693" s="19">
        <v>0.0</v>
      </c>
      <c r="F693" s="19">
        <v>0.0</v>
      </c>
      <c r="G693" s="16" t="s">
        <v>1124</v>
      </c>
      <c r="H693" s="21"/>
      <c r="I693" s="22">
        <v>6.0</v>
      </c>
      <c r="J693" s="22" t="s">
        <v>1125</v>
      </c>
      <c r="K693" s="55">
        <f>9685*1.19</f>
        <v>11525.15</v>
      </c>
      <c r="L693" s="24">
        <v>15000.0</v>
      </c>
      <c r="M693" s="25"/>
      <c r="N693" s="26"/>
      <c r="O693" s="27">
        <f t="shared" si="80"/>
        <v>0.3015014989</v>
      </c>
      <c r="P693" s="28">
        <f t="shared" si="82"/>
        <v>0</v>
      </c>
    </row>
    <row r="694" hidden="1">
      <c r="A694" s="185" t="s">
        <v>1126</v>
      </c>
      <c r="B694" s="36" t="s">
        <v>1127</v>
      </c>
      <c r="C694" s="18"/>
      <c r="D694" s="4"/>
      <c r="E694" s="19">
        <v>0.0</v>
      </c>
      <c r="F694" s="19">
        <v>10.0</v>
      </c>
      <c r="G694" s="20" t="s">
        <v>1128</v>
      </c>
      <c r="H694" s="21"/>
      <c r="I694" s="22">
        <v>8.0</v>
      </c>
      <c r="J694" s="29"/>
      <c r="K694" s="32">
        <f t="shared" ref="K694:K696" si="83">6100*1.19</f>
        <v>7259</v>
      </c>
      <c r="L694" s="24">
        <v>11000.0</v>
      </c>
      <c r="M694" s="25"/>
      <c r="N694" s="70"/>
      <c r="O694" s="27">
        <f t="shared" si="80"/>
        <v>0.5153602425</v>
      </c>
      <c r="P694" s="28">
        <f t="shared" si="82"/>
        <v>72590</v>
      </c>
    </row>
    <row r="695" hidden="1">
      <c r="A695" s="52" t="s">
        <v>1129</v>
      </c>
      <c r="B695" s="36" t="s">
        <v>1127</v>
      </c>
      <c r="C695" s="18"/>
      <c r="D695" s="4" t="s">
        <v>1130</v>
      </c>
      <c r="E695" s="19">
        <v>0.0</v>
      </c>
      <c r="F695" s="19">
        <v>6.0</v>
      </c>
      <c r="G695" s="20" t="s">
        <v>1128</v>
      </c>
      <c r="H695" s="21"/>
      <c r="I695" s="22">
        <v>10.0</v>
      </c>
      <c r="J695" s="29"/>
      <c r="K695" s="32">
        <f t="shared" si="83"/>
        <v>7259</v>
      </c>
      <c r="L695" s="24">
        <v>11000.0</v>
      </c>
      <c r="M695" s="25"/>
      <c r="N695" s="39"/>
      <c r="O695" s="27">
        <f t="shared" si="80"/>
        <v>0.5153602425</v>
      </c>
      <c r="P695" s="28">
        <f t="shared" si="82"/>
        <v>43554</v>
      </c>
    </row>
    <row r="696" hidden="1">
      <c r="A696" s="52" t="s">
        <v>1131</v>
      </c>
      <c r="B696" s="36" t="s">
        <v>1127</v>
      </c>
      <c r="C696" s="18"/>
      <c r="D696" s="4"/>
      <c r="E696" s="19">
        <v>0.0</v>
      </c>
      <c r="F696" s="19">
        <v>0.0</v>
      </c>
      <c r="G696" s="20" t="s">
        <v>1128</v>
      </c>
      <c r="H696" s="21"/>
      <c r="I696" s="22">
        <v>14.0</v>
      </c>
      <c r="J696" s="29"/>
      <c r="K696" s="32">
        <f t="shared" si="83"/>
        <v>7259</v>
      </c>
      <c r="L696" s="24">
        <v>11000.0</v>
      </c>
      <c r="M696" s="25"/>
      <c r="N696" s="39"/>
      <c r="O696" s="27">
        <f t="shared" si="80"/>
        <v>0.5153602425</v>
      </c>
      <c r="P696" s="28">
        <f t="shared" si="82"/>
        <v>0</v>
      </c>
    </row>
    <row r="697" hidden="1">
      <c r="A697" s="52" t="s">
        <v>1132</v>
      </c>
      <c r="B697" s="17">
        <v>249014.0</v>
      </c>
      <c r="C697" s="18"/>
      <c r="D697" s="4"/>
      <c r="E697" s="19">
        <v>0.0</v>
      </c>
      <c r="F697" s="19">
        <v>0.0</v>
      </c>
      <c r="G697" s="16" t="s">
        <v>425</v>
      </c>
      <c r="H697" s="21"/>
      <c r="I697" s="22">
        <v>0.0</v>
      </c>
      <c r="J697" s="29"/>
      <c r="K697" s="43">
        <f>18721/6</f>
        <v>3120.166667</v>
      </c>
      <c r="L697" s="44">
        <v>3500.0</v>
      </c>
      <c r="M697" s="25"/>
      <c r="N697" s="39"/>
      <c r="O697" s="27">
        <f t="shared" si="80"/>
        <v>0.1217349501</v>
      </c>
      <c r="P697" s="28">
        <f t="shared" si="82"/>
        <v>0</v>
      </c>
    </row>
    <row r="698" hidden="1">
      <c r="A698" s="16" t="s">
        <v>1133</v>
      </c>
      <c r="B698" s="49"/>
      <c r="C698" s="18"/>
      <c r="D698" s="4"/>
      <c r="E698" s="19">
        <v>0.0</v>
      </c>
      <c r="F698" s="19">
        <v>0.0</v>
      </c>
      <c r="G698" s="16" t="s">
        <v>16</v>
      </c>
      <c r="H698" s="21"/>
      <c r="I698" s="22">
        <v>5.0</v>
      </c>
      <c r="J698" s="29"/>
      <c r="K698" s="32">
        <v>43730.0</v>
      </c>
      <c r="L698" s="186">
        <v>224000.0</v>
      </c>
      <c r="M698" s="25"/>
      <c r="N698" s="39"/>
      <c r="O698" s="27">
        <f t="shared" si="80"/>
        <v>4.122341642</v>
      </c>
      <c r="P698" s="28">
        <f t="shared" si="82"/>
        <v>0</v>
      </c>
    </row>
    <row r="699" hidden="1">
      <c r="A699" s="16" t="s">
        <v>1134</v>
      </c>
      <c r="B699" s="49"/>
      <c r="C699" s="18"/>
      <c r="D699" s="4"/>
      <c r="E699" s="19">
        <v>0.0</v>
      </c>
      <c r="F699" s="19">
        <v>0.0</v>
      </c>
      <c r="G699" s="16" t="s">
        <v>16</v>
      </c>
      <c r="H699" s="21"/>
      <c r="I699" s="22">
        <v>5.0</v>
      </c>
      <c r="J699" s="29"/>
      <c r="K699" s="32">
        <f>43730/120</f>
        <v>364.4166667</v>
      </c>
      <c r="L699" s="186">
        <v>7000.0</v>
      </c>
      <c r="M699" s="25"/>
      <c r="N699" s="39"/>
      <c r="O699" s="27">
        <f t="shared" si="80"/>
        <v>18.20878116</v>
      </c>
      <c r="P699" s="28">
        <f t="shared" si="82"/>
        <v>0</v>
      </c>
    </row>
    <row r="700" hidden="1">
      <c r="A700" s="16" t="s">
        <v>1135</v>
      </c>
      <c r="B700" s="49"/>
      <c r="C700" s="18"/>
      <c r="D700" s="4"/>
      <c r="E700" s="19">
        <v>0.0</v>
      </c>
      <c r="F700" s="19">
        <v>0.0</v>
      </c>
      <c r="G700" s="16" t="s">
        <v>16</v>
      </c>
      <c r="H700" s="21"/>
      <c r="I700" s="22">
        <v>5.0</v>
      </c>
      <c r="J700" s="29"/>
      <c r="K700" s="43">
        <f>55406/50</f>
        <v>1108.12</v>
      </c>
      <c r="L700" s="44">
        <v>7000.0</v>
      </c>
      <c r="M700" s="25"/>
      <c r="N700" s="39"/>
      <c r="O700" s="27">
        <f t="shared" si="80"/>
        <v>5.317005378</v>
      </c>
      <c r="P700" s="28">
        <f t="shared" si="82"/>
        <v>0</v>
      </c>
    </row>
    <row r="701" hidden="1">
      <c r="A701" s="16" t="s">
        <v>1136</v>
      </c>
      <c r="B701" s="49"/>
      <c r="C701" s="18"/>
      <c r="D701" s="4"/>
      <c r="E701" s="19">
        <v>0.0</v>
      </c>
      <c r="F701" s="19">
        <v>0.0</v>
      </c>
      <c r="G701" s="16" t="s">
        <v>16</v>
      </c>
      <c r="H701" s="21"/>
      <c r="I701" s="22">
        <v>0.0</v>
      </c>
      <c r="J701" s="29"/>
      <c r="K701" s="43">
        <v>4656.0</v>
      </c>
      <c r="L701" s="44">
        <v>7000.0</v>
      </c>
      <c r="M701" s="25"/>
      <c r="N701" s="39"/>
      <c r="O701" s="27">
        <f t="shared" si="80"/>
        <v>0.5034364261</v>
      </c>
      <c r="P701" s="28">
        <f t="shared" si="82"/>
        <v>0</v>
      </c>
    </row>
    <row r="702" hidden="1">
      <c r="A702" s="16" t="s">
        <v>1137</v>
      </c>
      <c r="B702" s="49"/>
      <c r="C702" s="18"/>
      <c r="D702" s="4"/>
      <c r="E702" s="19">
        <v>0.0</v>
      </c>
      <c r="F702" s="19">
        <v>0.0</v>
      </c>
      <c r="G702" s="16" t="s">
        <v>16</v>
      </c>
      <c r="H702" s="21"/>
      <c r="I702" s="22">
        <v>0.0</v>
      </c>
      <c r="J702" s="29"/>
      <c r="K702" s="43">
        <v>4656.0</v>
      </c>
      <c r="L702" s="44">
        <v>7000.0</v>
      </c>
      <c r="M702" s="25"/>
      <c r="N702" s="39"/>
      <c r="O702" s="27">
        <f t="shared" si="80"/>
        <v>0.5034364261</v>
      </c>
      <c r="P702" s="28">
        <f t="shared" si="82"/>
        <v>0</v>
      </c>
    </row>
    <row r="703" ht="27.75" hidden="1" customHeight="1">
      <c r="A703" s="16" t="s">
        <v>1138</v>
      </c>
      <c r="B703" s="49"/>
      <c r="C703" s="18"/>
      <c r="D703" s="4"/>
      <c r="E703" s="19">
        <v>0.0</v>
      </c>
      <c r="F703" s="19">
        <v>0.0</v>
      </c>
      <c r="G703" s="16" t="s">
        <v>16</v>
      </c>
      <c r="H703" s="21"/>
      <c r="I703" s="22">
        <v>0.0</v>
      </c>
      <c r="J703" s="29"/>
      <c r="K703" s="43">
        <v>4656.0</v>
      </c>
      <c r="L703" s="44">
        <v>7000.0</v>
      </c>
      <c r="M703" s="25"/>
      <c r="N703" s="39"/>
      <c r="O703" s="27">
        <f t="shared" si="80"/>
        <v>0.5034364261</v>
      </c>
      <c r="P703" s="28">
        <f t="shared" si="82"/>
        <v>0</v>
      </c>
    </row>
    <row r="704" ht="27.75" hidden="1" customHeight="1">
      <c r="A704" s="16" t="s">
        <v>1139</v>
      </c>
      <c r="B704" s="49"/>
      <c r="C704" s="18"/>
      <c r="D704" s="4"/>
      <c r="E704" s="19">
        <v>0.0</v>
      </c>
      <c r="F704" s="19">
        <v>0.0</v>
      </c>
      <c r="G704" s="16" t="s">
        <v>16</v>
      </c>
      <c r="H704" s="21"/>
      <c r="I704" s="22">
        <v>0.0</v>
      </c>
      <c r="J704" s="29"/>
      <c r="K704" s="43">
        <v>4656.0</v>
      </c>
      <c r="L704" s="44">
        <v>7000.0</v>
      </c>
      <c r="M704" s="25"/>
      <c r="N704" s="39"/>
      <c r="O704" s="27">
        <f t="shared" si="80"/>
        <v>0.5034364261</v>
      </c>
      <c r="P704" s="28">
        <f t="shared" si="82"/>
        <v>0</v>
      </c>
    </row>
    <row r="705" ht="27.75" hidden="1" customHeight="1">
      <c r="A705" s="16" t="s">
        <v>1140</v>
      </c>
      <c r="B705" s="49"/>
      <c r="C705" s="18"/>
      <c r="D705" s="4"/>
      <c r="E705" s="19">
        <v>0.0</v>
      </c>
      <c r="F705" s="19">
        <v>0.0</v>
      </c>
      <c r="G705" s="16" t="s">
        <v>16</v>
      </c>
      <c r="H705" s="21"/>
      <c r="I705" s="22">
        <v>0.0</v>
      </c>
      <c r="J705" s="29"/>
      <c r="K705" s="43">
        <v>4656.0</v>
      </c>
      <c r="L705" s="44">
        <v>7000.0</v>
      </c>
      <c r="M705" s="25"/>
      <c r="N705" s="39"/>
      <c r="O705" s="27">
        <f t="shared" si="80"/>
        <v>0.5034364261</v>
      </c>
      <c r="P705" s="28">
        <f t="shared" si="82"/>
        <v>0</v>
      </c>
    </row>
    <row r="706" ht="27.75" hidden="1" customHeight="1">
      <c r="A706" s="16" t="s">
        <v>1141</v>
      </c>
      <c r="B706" s="49"/>
      <c r="C706" s="18"/>
      <c r="D706" s="4"/>
      <c r="E706" s="19">
        <v>0.0</v>
      </c>
      <c r="F706" s="19">
        <v>0.0</v>
      </c>
      <c r="G706" s="16" t="s">
        <v>16</v>
      </c>
      <c r="H706" s="21"/>
      <c r="I706" s="22">
        <v>0.0</v>
      </c>
      <c r="J706" s="29"/>
      <c r="K706" s="43">
        <v>4656.0</v>
      </c>
      <c r="L706" s="44">
        <v>7000.0</v>
      </c>
      <c r="M706" s="25"/>
      <c r="N706" s="39"/>
      <c r="O706" s="27">
        <f t="shared" si="80"/>
        <v>0.5034364261</v>
      </c>
      <c r="P706" s="28">
        <f t="shared" si="82"/>
        <v>0</v>
      </c>
    </row>
    <row r="707" hidden="1">
      <c r="A707" s="16" t="s">
        <v>1142</v>
      </c>
      <c r="B707" s="49"/>
      <c r="C707" s="18"/>
      <c r="D707" s="4"/>
      <c r="E707" s="19">
        <v>0.0</v>
      </c>
      <c r="F707" s="19">
        <v>0.0</v>
      </c>
      <c r="G707" s="16" t="s">
        <v>16</v>
      </c>
      <c r="H707" s="21"/>
      <c r="I707" s="22">
        <v>0.0</v>
      </c>
      <c r="J707" s="29"/>
      <c r="K707" s="43">
        <v>4656.0</v>
      </c>
      <c r="L707" s="44">
        <v>7000.0</v>
      </c>
      <c r="M707" s="25"/>
      <c r="N707" s="39"/>
      <c r="O707" s="27">
        <f t="shared" si="80"/>
        <v>0.5034364261</v>
      </c>
      <c r="P707" s="28">
        <f t="shared" si="82"/>
        <v>0</v>
      </c>
    </row>
    <row r="708" hidden="1">
      <c r="A708" s="16" t="s">
        <v>1143</v>
      </c>
      <c r="B708" s="49"/>
      <c r="C708" s="18"/>
      <c r="D708" s="4"/>
      <c r="E708" s="19">
        <v>0.0</v>
      </c>
      <c r="F708" s="19">
        <v>0.0</v>
      </c>
      <c r="G708" s="16" t="s">
        <v>16</v>
      </c>
      <c r="H708" s="21"/>
      <c r="I708" s="22">
        <v>0.0</v>
      </c>
      <c r="J708" s="29"/>
      <c r="K708" s="43">
        <v>4656.0</v>
      </c>
      <c r="L708" s="44">
        <v>7000.0</v>
      </c>
      <c r="M708" s="25"/>
      <c r="N708" s="39"/>
      <c r="O708" s="27">
        <f t="shared" si="80"/>
        <v>0.5034364261</v>
      </c>
      <c r="P708" s="28">
        <f t="shared" si="82"/>
        <v>0</v>
      </c>
    </row>
    <row r="709" hidden="1">
      <c r="A709" s="16" t="s">
        <v>1144</v>
      </c>
      <c r="B709" s="49"/>
      <c r="C709" s="18"/>
      <c r="D709" s="4"/>
      <c r="E709" s="19">
        <v>0.0</v>
      </c>
      <c r="F709" s="19">
        <v>0.0</v>
      </c>
      <c r="G709" s="16" t="s">
        <v>16</v>
      </c>
      <c r="H709" s="21"/>
      <c r="I709" s="22">
        <v>0.0</v>
      </c>
      <c r="J709" s="29"/>
      <c r="K709" s="43">
        <v>4656.0</v>
      </c>
      <c r="L709" s="44">
        <v>7000.0</v>
      </c>
      <c r="M709" s="25"/>
      <c r="N709" s="39"/>
      <c r="O709" s="27">
        <f t="shared" si="80"/>
        <v>0.5034364261</v>
      </c>
      <c r="P709" s="28">
        <f t="shared" si="82"/>
        <v>0</v>
      </c>
    </row>
    <row r="710" hidden="1">
      <c r="A710" s="16" t="s">
        <v>1145</v>
      </c>
      <c r="B710" s="17"/>
      <c r="C710" s="18"/>
      <c r="D710" s="4"/>
      <c r="E710" s="19">
        <v>0.0</v>
      </c>
      <c r="F710" s="19"/>
      <c r="G710" s="16" t="s">
        <v>625</v>
      </c>
      <c r="H710" s="21"/>
      <c r="I710" s="22"/>
      <c r="J710" s="29"/>
      <c r="K710" s="32">
        <v>1500.0</v>
      </c>
      <c r="L710" s="24">
        <v>3000.0</v>
      </c>
      <c r="M710" s="25"/>
      <c r="N710" s="39"/>
      <c r="O710" s="27">
        <f t="shared" si="80"/>
        <v>1</v>
      </c>
      <c r="P710" s="28">
        <f t="shared" si="82"/>
        <v>0</v>
      </c>
    </row>
    <row r="711" hidden="1">
      <c r="A711" s="52" t="s">
        <v>1146</v>
      </c>
      <c r="B711" s="17" t="s">
        <v>1147</v>
      </c>
      <c r="C711" s="18"/>
      <c r="D711" s="67" t="s">
        <v>1148</v>
      </c>
      <c r="E711" s="19">
        <v>0.0</v>
      </c>
      <c r="F711" s="19"/>
      <c r="G711" s="16" t="s">
        <v>1149</v>
      </c>
      <c r="H711" s="21"/>
      <c r="I711" s="22"/>
      <c r="J711" s="29"/>
      <c r="K711" s="32">
        <v>28000.0</v>
      </c>
      <c r="L711" s="32">
        <v>35000.0</v>
      </c>
      <c r="M711" s="25" t="s">
        <v>82</v>
      </c>
      <c r="N711" s="39"/>
      <c r="O711" s="27">
        <f t="shared" si="80"/>
        <v>0.25</v>
      </c>
      <c r="P711" s="28">
        <f t="shared" si="82"/>
        <v>0</v>
      </c>
    </row>
    <row r="712" hidden="1">
      <c r="A712" s="16" t="s">
        <v>1150</v>
      </c>
      <c r="B712" s="36"/>
      <c r="C712" s="18"/>
      <c r="D712" s="4"/>
      <c r="E712" s="19">
        <v>0.0</v>
      </c>
      <c r="F712" s="19">
        <v>0.0</v>
      </c>
      <c r="G712" s="16" t="s">
        <v>577</v>
      </c>
      <c r="H712" s="21"/>
      <c r="I712" s="22">
        <v>0.0</v>
      </c>
      <c r="J712" s="29"/>
      <c r="K712" s="43">
        <v>10500.0</v>
      </c>
      <c r="L712" s="44">
        <v>15000.0</v>
      </c>
      <c r="M712" s="25"/>
      <c r="N712" s="26"/>
      <c r="O712" s="27">
        <f t="shared" si="80"/>
        <v>0.4285714286</v>
      </c>
      <c r="P712" s="28">
        <f t="shared" si="82"/>
        <v>0</v>
      </c>
    </row>
    <row r="713" hidden="1">
      <c r="A713" s="59" t="s">
        <v>1151</v>
      </c>
      <c r="B713" s="97" t="s">
        <v>1152</v>
      </c>
      <c r="C713" s="18"/>
      <c r="D713" s="4"/>
      <c r="E713" s="19">
        <v>0.0</v>
      </c>
      <c r="F713" s="19"/>
      <c r="G713" s="20" t="s">
        <v>1153</v>
      </c>
      <c r="H713" s="21"/>
      <c r="I713" s="22"/>
      <c r="J713" s="29"/>
      <c r="K713" s="32">
        <v>1390.0</v>
      </c>
      <c r="L713" s="24">
        <v>4000.0</v>
      </c>
      <c r="M713" s="25"/>
      <c r="N713" s="39"/>
      <c r="O713" s="27">
        <f t="shared" si="80"/>
        <v>1.877697842</v>
      </c>
      <c r="P713" s="28">
        <f t="shared" si="82"/>
        <v>0</v>
      </c>
    </row>
    <row r="714" hidden="1">
      <c r="A714" s="59" t="s">
        <v>1154</v>
      </c>
      <c r="B714" s="97" t="s">
        <v>1155</v>
      </c>
      <c r="C714" s="18"/>
      <c r="D714" s="98"/>
      <c r="E714" s="19">
        <v>0.0</v>
      </c>
      <c r="F714" s="19"/>
      <c r="G714" s="20" t="s">
        <v>485</v>
      </c>
      <c r="H714" s="21">
        <v>5.0</v>
      </c>
      <c r="I714" s="22"/>
      <c r="J714" s="100"/>
      <c r="K714" s="101">
        <f>74900*1.19</f>
        <v>89131</v>
      </c>
      <c r="L714" s="101">
        <v>115000.0</v>
      </c>
      <c r="M714" s="25"/>
      <c r="N714" s="102">
        <v>99000.0</v>
      </c>
      <c r="O714" s="27">
        <f t="shared" si="80"/>
        <v>0.2902357205</v>
      </c>
      <c r="P714" s="28">
        <f t="shared" si="82"/>
        <v>0</v>
      </c>
    </row>
    <row r="715" hidden="1">
      <c r="A715" s="40" t="s">
        <v>1156</v>
      </c>
      <c r="B715" s="36"/>
      <c r="C715" s="18" t="s">
        <v>1157</v>
      </c>
      <c r="D715" s="4"/>
      <c r="E715" s="19">
        <v>0.0</v>
      </c>
      <c r="F715" s="19">
        <v>0.0</v>
      </c>
      <c r="G715" s="16" t="s">
        <v>1158</v>
      </c>
      <c r="H715" s="21"/>
      <c r="I715" s="22">
        <v>0.0</v>
      </c>
      <c r="J715" s="29"/>
      <c r="K715" s="43">
        <f>10900*1.19</f>
        <v>12971</v>
      </c>
      <c r="L715" s="44">
        <v>25000.0</v>
      </c>
      <c r="M715" s="25"/>
      <c r="N715" s="39"/>
      <c r="O715" s="27">
        <f t="shared" si="80"/>
        <v>0.9273764552</v>
      </c>
      <c r="P715" s="28">
        <f t="shared" si="82"/>
        <v>0</v>
      </c>
    </row>
    <row r="716" hidden="1">
      <c r="A716" s="16" t="s">
        <v>1159</v>
      </c>
      <c r="B716" s="49"/>
      <c r="C716" s="18"/>
      <c r="D716" s="4"/>
      <c r="E716" s="19">
        <v>0.0</v>
      </c>
      <c r="F716" s="19">
        <v>0.0</v>
      </c>
      <c r="G716" s="16" t="s">
        <v>16</v>
      </c>
      <c r="H716" s="21"/>
      <c r="I716" s="22"/>
      <c r="J716" s="29"/>
      <c r="K716" s="30">
        <v>402.316</v>
      </c>
      <c r="L716" s="24">
        <v>4000.0</v>
      </c>
      <c r="M716" s="25"/>
      <c r="N716" s="39"/>
      <c r="O716" s="27">
        <f t="shared" si="80"/>
        <v>8.942433311</v>
      </c>
      <c r="P716" s="28">
        <f t="shared" si="82"/>
        <v>0</v>
      </c>
    </row>
    <row r="717" hidden="1">
      <c r="A717" s="16" t="s">
        <v>1160</v>
      </c>
      <c r="B717" s="36"/>
      <c r="C717" s="18" t="s">
        <v>1157</v>
      </c>
      <c r="D717" s="4"/>
      <c r="E717" s="19">
        <v>0.0</v>
      </c>
      <c r="F717" s="19"/>
      <c r="G717" s="16" t="s">
        <v>1161</v>
      </c>
      <c r="H717" s="21"/>
      <c r="I717" s="22"/>
      <c r="J717" s="23"/>
      <c r="K717" s="44">
        <f t="shared" ref="K717:K726" si="84">34290*1.19/5</f>
        <v>8161.02</v>
      </c>
      <c r="L717" s="44">
        <v>18000.0</v>
      </c>
      <c r="M717" s="25"/>
      <c r="N717" s="102">
        <v>14000.0</v>
      </c>
      <c r="O717" s="27">
        <f t="shared" si="80"/>
        <v>1.205606652</v>
      </c>
      <c r="P717" s="28">
        <f t="shared" si="82"/>
        <v>0</v>
      </c>
    </row>
    <row r="718" hidden="1">
      <c r="A718" s="16" t="s">
        <v>1162</v>
      </c>
      <c r="B718" s="17"/>
      <c r="C718" s="18" t="s">
        <v>1157</v>
      </c>
      <c r="D718" s="4"/>
      <c r="E718" s="19">
        <v>0.0</v>
      </c>
      <c r="F718" s="19">
        <v>0.0</v>
      </c>
      <c r="G718" s="16" t="s">
        <v>16</v>
      </c>
      <c r="H718" s="21"/>
      <c r="I718" s="22">
        <v>13.0</v>
      </c>
      <c r="J718" s="23"/>
      <c r="K718" s="44">
        <f t="shared" si="84"/>
        <v>8161.02</v>
      </c>
      <c r="L718" s="44">
        <v>18000.0</v>
      </c>
      <c r="M718" s="25"/>
      <c r="N718" s="102">
        <v>14000.0</v>
      </c>
      <c r="O718" s="27">
        <f t="shared" si="80"/>
        <v>1.205606652</v>
      </c>
      <c r="P718" s="28">
        <f t="shared" si="82"/>
        <v>0</v>
      </c>
    </row>
    <row r="719" hidden="1">
      <c r="A719" s="16" t="s">
        <v>1163</v>
      </c>
      <c r="B719" s="36"/>
      <c r="C719" s="18" t="s">
        <v>1157</v>
      </c>
      <c r="D719" s="4"/>
      <c r="E719" s="19">
        <v>0.0</v>
      </c>
      <c r="F719" s="19"/>
      <c r="G719" s="16" t="s">
        <v>1164</v>
      </c>
      <c r="H719" s="21"/>
      <c r="I719" s="22"/>
      <c r="J719" s="23"/>
      <c r="K719" s="44">
        <f t="shared" si="84"/>
        <v>8161.02</v>
      </c>
      <c r="L719" s="44">
        <v>18000.0</v>
      </c>
      <c r="M719" s="25"/>
      <c r="N719" s="102">
        <v>14000.0</v>
      </c>
      <c r="O719" s="27">
        <f t="shared" si="80"/>
        <v>1.205606652</v>
      </c>
      <c r="P719" s="28">
        <f t="shared" si="82"/>
        <v>0</v>
      </c>
    </row>
    <row r="720" hidden="1">
      <c r="A720" s="16" t="s">
        <v>1165</v>
      </c>
      <c r="B720" s="36"/>
      <c r="C720" s="18" t="s">
        <v>1157</v>
      </c>
      <c r="D720" s="4"/>
      <c r="E720" s="19">
        <v>0.0</v>
      </c>
      <c r="F720" s="19"/>
      <c r="G720" s="16" t="s">
        <v>1164</v>
      </c>
      <c r="H720" s="21"/>
      <c r="I720" s="22"/>
      <c r="J720" s="23"/>
      <c r="K720" s="44">
        <f t="shared" si="84"/>
        <v>8161.02</v>
      </c>
      <c r="L720" s="44">
        <v>18000.0</v>
      </c>
      <c r="M720" s="25"/>
      <c r="N720" s="102">
        <v>14000.0</v>
      </c>
      <c r="O720" s="27">
        <f t="shared" si="80"/>
        <v>1.205606652</v>
      </c>
      <c r="P720" s="28">
        <f t="shared" si="82"/>
        <v>0</v>
      </c>
    </row>
    <row r="721" hidden="1">
      <c r="A721" s="16" t="s">
        <v>1166</v>
      </c>
      <c r="B721" s="36"/>
      <c r="C721" s="18" t="s">
        <v>1157</v>
      </c>
      <c r="D721" s="4"/>
      <c r="E721" s="19">
        <v>0.0</v>
      </c>
      <c r="F721" s="19"/>
      <c r="G721" s="16" t="s">
        <v>1164</v>
      </c>
      <c r="H721" s="21"/>
      <c r="I721" s="22"/>
      <c r="J721" s="23"/>
      <c r="K721" s="44">
        <f t="shared" si="84"/>
        <v>8161.02</v>
      </c>
      <c r="L721" s="44">
        <v>18000.0</v>
      </c>
      <c r="M721" s="25"/>
      <c r="N721" s="102">
        <v>14000.0</v>
      </c>
      <c r="O721" s="27">
        <f t="shared" si="80"/>
        <v>1.205606652</v>
      </c>
      <c r="P721" s="28">
        <f t="shared" si="82"/>
        <v>0</v>
      </c>
    </row>
    <row r="722" hidden="1">
      <c r="A722" s="16" t="s">
        <v>1167</v>
      </c>
      <c r="B722" s="36"/>
      <c r="C722" s="18" t="s">
        <v>1157</v>
      </c>
      <c r="D722" s="4"/>
      <c r="E722" s="19">
        <v>0.0</v>
      </c>
      <c r="F722" s="19"/>
      <c r="G722" s="16" t="s">
        <v>1164</v>
      </c>
      <c r="H722" s="21"/>
      <c r="I722" s="22"/>
      <c r="J722" s="23"/>
      <c r="K722" s="44">
        <f t="shared" si="84"/>
        <v>8161.02</v>
      </c>
      <c r="L722" s="44">
        <v>18000.0</v>
      </c>
      <c r="M722" s="25"/>
      <c r="N722" s="102">
        <v>14000.0</v>
      </c>
      <c r="O722" s="27">
        <f t="shared" si="80"/>
        <v>1.205606652</v>
      </c>
      <c r="P722" s="28">
        <f t="shared" si="82"/>
        <v>0</v>
      </c>
    </row>
    <row r="723" hidden="1">
      <c r="A723" s="187" t="s">
        <v>1168</v>
      </c>
      <c r="B723" s="36"/>
      <c r="C723" s="18" t="s">
        <v>1157</v>
      </c>
      <c r="D723" s="4"/>
      <c r="E723" s="19">
        <v>0.0</v>
      </c>
      <c r="F723" s="19"/>
      <c r="G723" s="16" t="s">
        <v>1164</v>
      </c>
      <c r="H723" s="21"/>
      <c r="I723" s="22"/>
      <c r="J723" s="23"/>
      <c r="K723" s="44">
        <f t="shared" si="84"/>
        <v>8161.02</v>
      </c>
      <c r="L723" s="44">
        <v>18000.0</v>
      </c>
      <c r="M723" s="25"/>
      <c r="N723" s="102">
        <v>14000.0</v>
      </c>
      <c r="O723" s="27">
        <f t="shared" si="80"/>
        <v>1.205606652</v>
      </c>
      <c r="P723" s="28">
        <f t="shared" si="82"/>
        <v>0</v>
      </c>
    </row>
    <row r="724" hidden="1">
      <c r="A724" s="187" t="s">
        <v>1169</v>
      </c>
      <c r="B724" s="36"/>
      <c r="C724" s="18" t="s">
        <v>1157</v>
      </c>
      <c r="D724" s="4"/>
      <c r="E724" s="19">
        <v>0.0</v>
      </c>
      <c r="F724" s="19"/>
      <c r="G724" s="16" t="s">
        <v>1164</v>
      </c>
      <c r="H724" s="21"/>
      <c r="I724" s="22"/>
      <c r="J724" s="23"/>
      <c r="K724" s="44">
        <f t="shared" si="84"/>
        <v>8161.02</v>
      </c>
      <c r="L724" s="44">
        <v>18000.0</v>
      </c>
      <c r="M724" s="25"/>
      <c r="N724" s="102">
        <v>14000.0</v>
      </c>
      <c r="O724" s="27">
        <f t="shared" si="80"/>
        <v>1.205606652</v>
      </c>
      <c r="P724" s="28">
        <f t="shared" si="82"/>
        <v>0</v>
      </c>
    </row>
    <row r="725" hidden="1">
      <c r="A725" s="187" t="s">
        <v>1170</v>
      </c>
      <c r="B725" s="36">
        <v>245034.0</v>
      </c>
      <c r="C725" s="18" t="s">
        <v>1157</v>
      </c>
      <c r="D725" s="4"/>
      <c r="E725" s="19">
        <v>0.0</v>
      </c>
      <c r="F725" s="19"/>
      <c r="G725" s="16" t="s">
        <v>1164</v>
      </c>
      <c r="H725" s="21"/>
      <c r="I725" s="22"/>
      <c r="J725" s="23"/>
      <c r="K725" s="44">
        <f t="shared" si="84"/>
        <v>8161.02</v>
      </c>
      <c r="L725" s="44">
        <v>18000.0</v>
      </c>
      <c r="M725" s="25"/>
      <c r="N725" s="102">
        <v>14000.0</v>
      </c>
      <c r="O725" s="27">
        <f t="shared" si="80"/>
        <v>1.205606652</v>
      </c>
      <c r="P725" s="28">
        <f t="shared" si="82"/>
        <v>0</v>
      </c>
    </row>
    <row r="726" hidden="1">
      <c r="A726" s="187" t="s">
        <v>1171</v>
      </c>
      <c r="B726" s="36">
        <v>245035.0</v>
      </c>
      <c r="C726" s="18" t="s">
        <v>1157</v>
      </c>
      <c r="D726" s="4"/>
      <c r="E726" s="19">
        <v>0.0</v>
      </c>
      <c r="F726" s="19"/>
      <c r="G726" s="16" t="s">
        <v>1164</v>
      </c>
      <c r="H726" s="21"/>
      <c r="I726" s="22"/>
      <c r="J726" s="23"/>
      <c r="K726" s="44">
        <f t="shared" si="84"/>
        <v>8161.02</v>
      </c>
      <c r="L726" s="44">
        <v>18000.0</v>
      </c>
      <c r="M726" s="25"/>
      <c r="N726" s="102">
        <v>14000.0</v>
      </c>
      <c r="O726" s="27">
        <f t="shared" si="80"/>
        <v>1.205606652</v>
      </c>
      <c r="P726" s="28">
        <f t="shared" si="82"/>
        <v>0</v>
      </c>
    </row>
    <row r="727" hidden="1">
      <c r="A727" s="187" t="s">
        <v>1172</v>
      </c>
      <c r="B727" s="36">
        <v>245032.0</v>
      </c>
      <c r="C727" s="18" t="s">
        <v>1157</v>
      </c>
      <c r="D727" s="4"/>
      <c r="E727" s="19">
        <v>0.0</v>
      </c>
      <c r="F727" s="19"/>
      <c r="G727" s="16" t="s">
        <v>1161</v>
      </c>
      <c r="H727" s="21"/>
      <c r="I727" s="22"/>
      <c r="J727" s="23"/>
      <c r="K727" s="44">
        <v>6378.0</v>
      </c>
      <c r="L727" s="44">
        <v>18000.0</v>
      </c>
      <c r="M727" s="25"/>
      <c r="N727" s="102">
        <v>14000.0</v>
      </c>
      <c r="O727" s="27">
        <f t="shared" si="80"/>
        <v>1.822201317</v>
      </c>
      <c r="P727" s="28">
        <f t="shared" si="82"/>
        <v>0</v>
      </c>
    </row>
    <row r="728" hidden="1">
      <c r="A728" s="187" t="s">
        <v>1173</v>
      </c>
      <c r="B728" s="36">
        <v>245033.0</v>
      </c>
      <c r="C728" s="18" t="s">
        <v>1157</v>
      </c>
      <c r="D728" s="4"/>
      <c r="E728" s="19">
        <v>0.0</v>
      </c>
      <c r="F728" s="19"/>
      <c r="G728" s="16" t="s">
        <v>1161</v>
      </c>
      <c r="H728" s="21"/>
      <c r="I728" s="22"/>
      <c r="J728" s="23"/>
      <c r="K728" s="44">
        <v>6378.0</v>
      </c>
      <c r="L728" s="44">
        <v>18000.0</v>
      </c>
      <c r="M728" s="25"/>
      <c r="N728" s="102">
        <v>14000.0</v>
      </c>
      <c r="O728" s="27">
        <f t="shared" si="80"/>
        <v>1.822201317</v>
      </c>
      <c r="P728" s="28">
        <f t="shared" si="82"/>
        <v>0</v>
      </c>
    </row>
    <row r="729" hidden="1">
      <c r="A729" s="187" t="s">
        <v>1174</v>
      </c>
      <c r="B729" s="36">
        <v>245034.0</v>
      </c>
      <c r="C729" s="18" t="s">
        <v>1157</v>
      </c>
      <c r="D729" s="4"/>
      <c r="E729" s="19">
        <v>0.0</v>
      </c>
      <c r="F729" s="19">
        <v>1.0</v>
      </c>
      <c r="G729" s="16" t="s">
        <v>1161</v>
      </c>
      <c r="H729" s="21"/>
      <c r="I729" s="22"/>
      <c r="J729" s="23"/>
      <c r="K729" s="44">
        <v>6378.0</v>
      </c>
      <c r="L729" s="44">
        <v>18000.0</v>
      </c>
      <c r="M729" s="25"/>
      <c r="N729" s="102">
        <v>14000.0</v>
      </c>
      <c r="O729" s="27">
        <f t="shared" si="80"/>
        <v>1.822201317</v>
      </c>
      <c r="P729" s="28">
        <f t="shared" si="82"/>
        <v>6378</v>
      </c>
    </row>
    <row r="730" hidden="1">
      <c r="A730" s="187" t="s">
        <v>1175</v>
      </c>
      <c r="B730" s="36">
        <v>245035.0</v>
      </c>
      <c r="C730" s="18" t="s">
        <v>1157</v>
      </c>
      <c r="D730" s="4"/>
      <c r="E730" s="19">
        <v>0.0</v>
      </c>
      <c r="F730" s="19">
        <v>1.0</v>
      </c>
      <c r="G730" s="16" t="s">
        <v>1161</v>
      </c>
      <c r="H730" s="21"/>
      <c r="I730" s="22"/>
      <c r="J730" s="23"/>
      <c r="K730" s="44">
        <v>6378.0</v>
      </c>
      <c r="L730" s="44">
        <v>18000.0</v>
      </c>
      <c r="M730" s="25"/>
      <c r="N730" s="102">
        <v>14000.0</v>
      </c>
      <c r="O730" s="27">
        <f t="shared" si="80"/>
        <v>1.822201317</v>
      </c>
      <c r="P730" s="28">
        <f t="shared" si="82"/>
        <v>6378</v>
      </c>
    </row>
    <row r="731" hidden="1">
      <c r="A731" s="16" t="s">
        <v>1176</v>
      </c>
      <c r="B731" s="36"/>
      <c r="C731" s="18" t="s">
        <v>1157</v>
      </c>
      <c r="D731" s="4"/>
      <c r="E731" s="19">
        <v>0.0</v>
      </c>
      <c r="F731" s="19"/>
      <c r="G731" s="16" t="s">
        <v>1164</v>
      </c>
      <c r="H731" s="21"/>
      <c r="I731" s="22"/>
      <c r="J731" s="23"/>
      <c r="K731" s="44">
        <f t="shared" ref="K731:K736" si="85">34290*1.19/5</f>
        <v>8161.02</v>
      </c>
      <c r="L731" s="44">
        <v>18000.0</v>
      </c>
      <c r="M731" s="25"/>
      <c r="N731" s="102">
        <v>14000.0</v>
      </c>
      <c r="O731" s="27">
        <f t="shared" si="80"/>
        <v>1.205606652</v>
      </c>
      <c r="P731" s="28">
        <f t="shared" si="82"/>
        <v>0</v>
      </c>
    </row>
    <row r="732" hidden="1">
      <c r="A732" s="16" t="s">
        <v>1177</v>
      </c>
      <c r="B732" s="36"/>
      <c r="C732" s="18" t="s">
        <v>1157</v>
      </c>
      <c r="D732" s="4"/>
      <c r="E732" s="19">
        <v>0.0</v>
      </c>
      <c r="F732" s="19"/>
      <c r="G732" s="16" t="s">
        <v>1161</v>
      </c>
      <c r="H732" s="21"/>
      <c r="I732" s="22"/>
      <c r="J732" s="23"/>
      <c r="K732" s="44">
        <f t="shared" si="85"/>
        <v>8161.02</v>
      </c>
      <c r="L732" s="44">
        <v>18000.0</v>
      </c>
      <c r="M732" s="25"/>
      <c r="N732" s="102">
        <v>14000.0</v>
      </c>
      <c r="O732" s="27">
        <f t="shared" si="80"/>
        <v>1.205606652</v>
      </c>
      <c r="P732" s="28">
        <f t="shared" si="82"/>
        <v>0</v>
      </c>
    </row>
    <row r="733" hidden="1">
      <c r="A733" s="16" t="s">
        <v>1178</v>
      </c>
      <c r="B733" s="36"/>
      <c r="C733" s="18" t="s">
        <v>1157</v>
      </c>
      <c r="D733" s="4"/>
      <c r="E733" s="19">
        <v>0.0</v>
      </c>
      <c r="F733" s="19"/>
      <c r="G733" s="16" t="s">
        <v>1164</v>
      </c>
      <c r="H733" s="21"/>
      <c r="I733" s="22"/>
      <c r="J733" s="23"/>
      <c r="K733" s="44">
        <f t="shared" si="85"/>
        <v>8161.02</v>
      </c>
      <c r="L733" s="44">
        <v>18000.0</v>
      </c>
      <c r="M733" s="25"/>
      <c r="N733" s="102">
        <v>14000.0</v>
      </c>
      <c r="O733" s="27">
        <f t="shared" si="80"/>
        <v>1.205606652</v>
      </c>
      <c r="P733" s="28">
        <f t="shared" si="82"/>
        <v>0</v>
      </c>
    </row>
    <row r="734" hidden="1">
      <c r="A734" s="16" t="s">
        <v>1179</v>
      </c>
      <c r="B734" s="36"/>
      <c r="C734" s="18" t="s">
        <v>1157</v>
      </c>
      <c r="D734" s="4"/>
      <c r="E734" s="19">
        <v>0.0</v>
      </c>
      <c r="F734" s="19"/>
      <c r="G734" s="16" t="s">
        <v>1164</v>
      </c>
      <c r="H734" s="21"/>
      <c r="I734" s="22"/>
      <c r="J734" s="23"/>
      <c r="K734" s="44">
        <f t="shared" si="85"/>
        <v>8161.02</v>
      </c>
      <c r="L734" s="44">
        <v>18000.0</v>
      </c>
      <c r="M734" s="25"/>
      <c r="N734" s="102">
        <v>14000.0</v>
      </c>
      <c r="O734" s="27">
        <f t="shared" si="80"/>
        <v>1.205606652</v>
      </c>
      <c r="P734" s="28">
        <f t="shared" si="82"/>
        <v>0</v>
      </c>
    </row>
    <row r="735" hidden="1">
      <c r="A735" s="16" t="s">
        <v>1180</v>
      </c>
      <c r="B735" s="36"/>
      <c r="C735" s="18" t="s">
        <v>1157</v>
      </c>
      <c r="D735" s="4"/>
      <c r="E735" s="19">
        <v>0.0</v>
      </c>
      <c r="F735" s="19"/>
      <c r="G735" s="16" t="s">
        <v>1164</v>
      </c>
      <c r="H735" s="21"/>
      <c r="I735" s="22"/>
      <c r="J735" s="23"/>
      <c r="K735" s="44">
        <f t="shared" si="85"/>
        <v>8161.02</v>
      </c>
      <c r="L735" s="44">
        <v>18000.0</v>
      </c>
      <c r="M735" s="25"/>
      <c r="N735" s="102">
        <v>14000.0</v>
      </c>
      <c r="O735" s="27">
        <f t="shared" si="80"/>
        <v>1.205606652</v>
      </c>
      <c r="P735" s="28">
        <f t="shared" si="82"/>
        <v>0</v>
      </c>
    </row>
    <row r="736" hidden="1">
      <c r="A736" s="16" t="s">
        <v>1181</v>
      </c>
      <c r="B736" s="36"/>
      <c r="C736" s="18" t="s">
        <v>1157</v>
      </c>
      <c r="D736" s="4"/>
      <c r="E736" s="19">
        <v>0.0</v>
      </c>
      <c r="F736" s="19"/>
      <c r="G736" s="16" t="s">
        <v>1164</v>
      </c>
      <c r="H736" s="21"/>
      <c r="I736" s="22"/>
      <c r="J736" s="23"/>
      <c r="K736" s="44">
        <f t="shared" si="85"/>
        <v>8161.02</v>
      </c>
      <c r="L736" s="44">
        <v>18000.0</v>
      </c>
      <c r="M736" s="25"/>
      <c r="N736" s="102">
        <v>14000.0</v>
      </c>
      <c r="O736" s="27">
        <f t="shared" si="80"/>
        <v>1.205606652</v>
      </c>
      <c r="P736" s="28">
        <f t="shared" si="82"/>
        <v>0</v>
      </c>
    </row>
    <row r="737" hidden="1">
      <c r="A737" s="16" t="s">
        <v>1182</v>
      </c>
      <c r="B737" s="36">
        <v>245037.0</v>
      </c>
      <c r="C737" s="18" t="s">
        <v>1157</v>
      </c>
      <c r="D737" s="4"/>
      <c r="E737" s="19">
        <v>0.0</v>
      </c>
      <c r="F737" s="19">
        <v>0.0</v>
      </c>
      <c r="G737" s="16" t="s">
        <v>914</v>
      </c>
      <c r="H737" s="21"/>
      <c r="I737" s="22" t="s">
        <v>99</v>
      </c>
      <c r="J737" s="23"/>
      <c r="K737" s="44">
        <v>6378.0</v>
      </c>
      <c r="L737" s="44">
        <v>18000.0</v>
      </c>
      <c r="M737" s="25"/>
      <c r="N737" s="102">
        <v>14000.0</v>
      </c>
      <c r="O737" s="27">
        <f t="shared" si="80"/>
        <v>1.822201317</v>
      </c>
      <c r="P737" s="28">
        <f t="shared" si="82"/>
        <v>0</v>
      </c>
    </row>
    <row r="738" hidden="1">
      <c r="A738" s="16" t="s">
        <v>1183</v>
      </c>
      <c r="B738" s="36"/>
      <c r="C738" s="18" t="s">
        <v>1157</v>
      </c>
      <c r="D738" s="4"/>
      <c r="E738" s="19">
        <v>0.0</v>
      </c>
      <c r="F738" s="19"/>
      <c r="G738" s="16" t="s">
        <v>1164</v>
      </c>
      <c r="H738" s="21"/>
      <c r="I738" s="22"/>
      <c r="J738" s="23"/>
      <c r="K738" s="44">
        <f t="shared" ref="K738:K742" si="86">34290*1.19/5</f>
        <v>8161.02</v>
      </c>
      <c r="L738" s="44">
        <v>18000.0</v>
      </c>
      <c r="M738" s="25"/>
      <c r="N738" s="102">
        <v>14000.0</v>
      </c>
      <c r="O738" s="27">
        <f t="shared" si="80"/>
        <v>1.205606652</v>
      </c>
      <c r="P738" s="28">
        <f t="shared" si="82"/>
        <v>0</v>
      </c>
    </row>
    <row r="739" hidden="1">
      <c r="A739" s="16" t="s">
        <v>1184</v>
      </c>
      <c r="B739" s="36"/>
      <c r="C739" s="18" t="s">
        <v>1157</v>
      </c>
      <c r="D739" s="4"/>
      <c r="E739" s="19">
        <v>0.0</v>
      </c>
      <c r="F739" s="19"/>
      <c r="G739" s="16" t="s">
        <v>1164</v>
      </c>
      <c r="H739" s="21"/>
      <c r="I739" s="22"/>
      <c r="J739" s="23"/>
      <c r="K739" s="44">
        <f t="shared" si="86"/>
        <v>8161.02</v>
      </c>
      <c r="L739" s="44">
        <v>18000.0</v>
      </c>
      <c r="M739" s="25"/>
      <c r="N739" s="102">
        <v>14000.0</v>
      </c>
      <c r="O739" s="27">
        <f t="shared" si="80"/>
        <v>1.205606652</v>
      </c>
      <c r="P739" s="28">
        <f t="shared" si="82"/>
        <v>0</v>
      </c>
    </row>
    <row r="740" hidden="1">
      <c r="A740" s="16" t="s">
        <v>1185</v>
      </c>
      <c r="B740" s="36"/>
      <c r="C740" s="18" t="s">
        <v>1157</v>
      </c>
      <c r="D740" s="4"/>
      <c r="E740" s="19">
        <v>0.0</v>
      </c>
      <c r="F740" s="19"/>
      <c r="G740" s="16" t="s">
        <v>1161</v>
      </c>
      <c r="H740" s="21"/>
      <c r="I740" s="22"/>
      <c r="J740" s="23"/>
      <c r="K740" s="44">
        <f t="shared" si="86"/>
        <v>8161.02</v>
      </c>
      <c r="L740" s="44">
        <v>18000.0</v>
      </c>
      <c r="M740" s="25"/>
      <c r="N740" s="102">
        <v>14000.0</v>
      </c>
      <c r="O740" s="27">
        <f t="shared" si="80"/>
        <v>1.205606652</v>
      </c>
      <c r="P740" s="28">
        <f t="shared" si="82"/>
        <v>0</v>
      </c>
    </row>
    <row r="741" hidden="1">
      <c r="A741" s="16" t="s">
        <v>1186</v>
      </c>
      <c r="B741" s="36"/>
      <c r="C741" s="18" t="s">
        <v>1157</v>
      </c>
      <c r="D741" s="4"/>
      <c r="E741" s="19">
        <v>0.0</v>
      </c>
      <c r="F741" s="19"/>
      <c r="G741" s="16" t="s">
        <v>1164</v>
      </c>
      <c r="H741" s="21"/>
      <c r="I741" s="22"/>
      <c r="J741" s="23"/>
      <c r="K741" s="44">
        <f t="shared" si="86"/>
        <v>8161.02</v>
      </c>
      <c r="L741" s="44">
        <v>18000.0</v>
      </c>
      <c r="M741" s="25"/>
      <c r="N741" s="102">
        <v>14000.0</v>
      </c>
      <c r="O741" s="27">
        <f t="shared" si="80"/>
        <v>1.205606652</v>
      </c>
      <c r="P741" s="28">
        <f t="shared" si="82"/>
        <v>0</v>
      </c>
    </row>
    <row r="742" hidden="1">
      <c r="A742" s="16" t="s">
        <v>1187</v>
      </c>
      <c r="B742" s="36"/>
      <c r="C742" s="18" t="s">
        <v>1157</v>
      </c>
      <c r="D742" s="4"/>
      <c r="E742" s="19">
        <v>0.0</v>
      </c>
      <c r="F742" s="19"/>
      <c r="G742" s="16" t="s">
        <v>1164</v>
      </c>
      <c r="H742" s="21"/>
      <c r="I742" s="22"/>
      <c r="J742" s="23"/>
      <c r="K742" s="44">
        <f t="shared" si="86"/>
        <v>8161.02</v>
      </c>
      <c r="L742" s="44">
        <v>18000.0</v>
      </c>
      <c r="M742" s="25"/>
      <c r="N742" s="102">
        <v>14000.0</v>
      </c>
      <c r="O742" s="27">
        <f t="shared" si="80"/>
        <v>1.205606652</v>
      </c>
      <c r="P742" s="28">
        <f t="shared" si="82"/>
        <v>0</v>
      </c>
    </row>
    <row r="743" hidden="1">
      <c r="A743" s="16" t="s">
        <v>1188</v>
      </c>
      <c r="B743" s="36">
        <v>245039.0</v>
      </c>
      <c r="C743" s="18" t="s">
        <v>1157</v>
      </c>
      <c r="D743" s="4"/>
      <c r="E743" s="19">
        <v>0.0</v>
      </c>
      <c r="F743" s="19"/>
      <c r="G743" s="16" t="s">
        <v>1161</v>
      </c>
      <c r="H743" s="21"/>
      <c r="I743" s="22"/>
      <c r="J743" s="23"/>
      <c r="K743" s="44">
        <v>6378.0</v>
      </c>
      <c r="L743" s="44">
        <v>18000.0</v>
      </c>
      <c r="M743" s="25"/>
      <c r="N743" s="102">
        <v>14000.0</v>
      </c>
      <c r="O743" s="27">
        <f t="shared" si="80"/>
        <v>1.822201317</v>
      </c>
      <c r="P743" s="28">
        <f t="shared" si="82"/>
        <v>0</v>
      </c>
    </row>
    <row r="744" hidden="1">
      <c r="A744" s="16" t="s">
        <v>1189</v>
      </c>
      <c r="B744" s="36"/>
      <c r="C744" s="18" t="s">
        <v>1157</v>
      </c>
      <c r="D744" s="4"/>
      <c r="E744" s="19">
        <v>0.0</v>
      </c>
      <c r="F744" s="19"/>
      <c r="G744" s="16" t="s">
        <v>1164</v>
      </c>
      <c r="H744" s="21"/>
      <c r="I744" s="22"/>
      <c r="J744" s="23"/>
      <c r="K744" s="44">
        <f t="shared" ref="K744:K746" si="87">34290*1.19/5</f>
        <v>8161.02</v>
      </c>
      <c r="L744" s="44">
        <v>18000.0</v>
      </c>
      <c r="M744" s="25"/>
      <c r="N744" s="102">
        <v>14000.0</v>
      </c>
      <c r="O744" s="27">
        <f t="shared" si="80"/>
        <v>1.205606652</v>
      </c>
      <c r="P744" s="28">
        <f t="shared" si="82"/>
        <v>0</v>
      </c>
    </row>
    <row r="745" hidden="1">
      <c r="A745" s="16" t="s">
        <v>1190</v>
      </c>
      <c r="B745" s="36"/>
      <c r="C745" s="18" t="s">
        <v>1157</v>
      </c>
      <c r="D745" s="4"/>
      <c r="E745" s="19">
        <v>0.0</v>
      </c>
      <c r="F745" s="19"/>
      <c r="G745" s="16" t="s">
        <v>1161</v>
      </c>
      <c r="H745" s="21"/>
      <c r="I745" s="22"/>
      <c r="J745" s="23"/>
      <c r="K745" s="44">
        <f t="shared" si="87"/>
        <v>8161.02</v>
      </c>
      <c r="L745" s="44">
        <v>18000.0</v>
      </c>
      <c r="M745" s="25"/>
      <c r="N745" s="102">
        <v>14000.0</v>
      </c>
      <c r="O745" s="27">
        <f t="shared" si="80"/>
        <v>1.205606652</v>
      </c>
      <c r="P745" s="28">
        <f t="shared" si="82"/>
        <v>0</v>
      </c>
    </row>
    <row r="746" hidden="1">
      <c r="A746" s="16" t="s">
        <v>1191</v>
      </c>
      <c r="B746" s="36"/>
      <c r="C746" s="18" t="s">
        <v>1157</v>
      </c>
      <c r="D746" s="4"/>
      <c r="E746" s="19">
        <v>0.0</v>
      </c>
      <c r="F746" s="19"/>
      <c r="G746" s="16" t="s">
        <v>1164</v>
      </c>
      <c r="H746" s="21"/>
      <c r="I746" s="22"/>
      <c r="J746" s="23"/>
      <c r="K746" s="44">
        <f t="shared" si="87"/>
        <v>8161.02</v>
      </c>
      <c r="L746" s="44">
        <v>18000.0</v>
      </c>
      <c r="M746" s="25"/>
      <c r="N746" s="102">
        <v>14000.0</v>
      </c>
      <c r="O746" s="27">
        <f t="shared" si="80"/>
        <v>1.205606652</v>
      </c>
      <c r="P746" s="28">
        <f t="shared" si="82"/>
        <v>0</v>
      </c>
    </row>
    <row r="747" hidden="1">
      <c r="A747" s="16" t="s">
        <v>1192</v>
      </c>
      <c r="B747" s="36">
        <v>245041.0</v>
      </c>
      <c r="C747" s="18" t="s">
        <v>1157</v>
      </c>
      <c r="D747" s="4"/>
      <c r="E747" s="19">
        <v>0.0</v>
      </c>
      <c r="F747" s="19"/>
      <c r="G747" s="16" t="s">
        <v>1161</v>
      </c>
      <c r="H747" s="21"/>
      <c r="I747" s="22"/>
      <c r="J747" s="23"/>
      <c r="K747" s="44">
        <v>6378.0</v>
      </c>
      <c r="L747" s="44">
        <v>18000.0</v>
      </c>
      <c r="M747" s="25"/>
      <c r="N747" s="102">
        <v>14000.0</v>
      </c>
      <c r="O747" s="27">
        <f t="shared" si="80"/>
        <v>1.822201317</v>
      </c>
      <c r="P747" s="28">
        <f t="shared" si="82"/>
        <v>0</v>
      </c>
    </row>
    <row r="748" hidden="1">
      <c r="A748" s="16" t="s">
        <v>1193</v>
      </c>
      <c r="B748" s="36"/>
      <c r="C748" s="18" t="s">
        <v>1157</v>
      </c>
      <c r="D748" s="4"/>
      <c r="E748" s="19">
        <v>0.0</v>
      </c>
      <c r="F748" s="19"/>
      <c r="G748" s="16" t="s">
        <v>1164</v>
      </c>
      <c r="H748" s="21"/>
      <c r="I748" s="22"/>
      <c r="J748" s="23"/>
      <c r="K748" s="44">
        <f t="shared" ref="K748:K750" si="88">34290*1.19/5</f>
        <v>8161.02</v>
      </c>
      <c r="L748" s="44">
        <v>18000.0</v>
      </c>
      <c r="M748" s="25"/>
      <c r="N748" s="102">
        <v>14000.0</v>
      </c>
      <c r="O748" s="27">
        <f t="shared" si="80"/>
        <v>1.205606652</v>
      </c>
      <c r="P748" s="28">
        <f t="shared" si="82"/>
        <v>0</v>
      </c>
    </row>
    <row r="749" hidden="1">
      <c r="A749" s="16" t="s">
        <v>1194</v>
      </c>
      <c r="B749" s="36"/>
      <c r="C749" s="18" t="s">
        <v>1157</v>
      </c>
      <c r="D749" s="4"/>
      <c r="E749" s="19">
        <v>0.0</v>
      </c>
      <c r="F749" s="19"/>
      <c r="G749" s="16" t="s">
        <v>1161</v>
      </c>
      <c r="H749" s="21"/>
      <c r="I749" s="22"/>
      <c r="J749" s="23"/>
      <c r="K749" s="44">
        <f t="shared" si="88"/>
        <v>8161.02</v>
      </c>
      <c r="L749" s="44">
        <v>18000.0</v>
      </c>
      <c r="M749" s="25"/>
      <c r="N749" s="102">
        <v>14000.0</v>
      </c>
      <c r="O749" s="27">
        <f t="shared" si="80"/>
        <v>1.205606652</v>
      </c>
      <c r="P749" s="28">
        <f t="shared" si="82"/>
        <v>0</v>
      </c>
    </row>
    <row r="750" hidden="1">
      <c r="A750" s="16" t="s">
        <v>1195</v>
      </c>
      <c r="B750" s="36"/>
      <c r="C750" s="18" t="s">
        <v>1157</v>
      </c>
      <c r="D750" s="4"/>
      <c r="E750" s="19">
        <v>0.0</v>
      </c>
      <c r="F750" s="19"/>
      <c r="G750" s="16" t="s">
        <v>1164</v>
      </c>
      <c r="H750" s="21"/>
      <c r="I750" s="22"/>
      <c r="J750" s="23"/>
      <c r="K750" s="44">
        <f t="shared" si="88"/>
        <v>8161.02</v>
      </c>
      <c r="L750" s="44">
        <v>18000.0</v>
      </c>
      <c r="M750" s="25"/>
      <c r="N750" s="102">
        <v>14000.0</v>
      </c>
      <c r="O750" s="27">
        <f t="shared" si="80"/>
        <v>1.205606652</v>
      </c>
      <c r="P750" s="28">
        <f t="shared" si="82"/>
        <v>0</v>
      </c>
    </row>
    <row r="751" hidden="1">
      <c r="A751" s="16" t="s">
        <v>1196</v>
      </c>
      <c r="B751" s="36">
        <v>245043.0</v>
      </c>
      <c r="C751" s="18" t="s">
        <v>1157</v>
      </c>
      <c r="D751" s="4"/>
      <c r="E751" s="19">
        <v>0.0</v>
      </c>
      <c r="F751" s="19">
        <v>1.0</v>
      </c>
      <c r="G751" s="16" t="s">
        <v>1161</v>
      </c>
      <c r="H751" s="21"/>
      <c r="I751" s="22"/>
      <c r="J751" s="23"/>
      <c r="K751" s="44">
        <v>6378.0</v>
      </c>
      <c r="L751" s="44">
        <v>18000.0</v>
      </c>
      <c r="M751" s="25"/>
      <c r="N751" s="102">
        <v>14000.0</v>
      </c>
      <c r="O751" s="27">
        <f t="shared" si="80"/>
        <v>1.822201317</v>
      </c>
      <c r="P751" s="28">
        <f t="shared" si="82"/>
        <v>6378</v>
      </c>
    </row>
    <row r="752" hidden="1">
      <c r="A752" s="16" t="s">
        <v>1197</v>
      </c>
      <c r="B752" s="36"/>
      <c r="C752" s="18"/>
      <c r="D752" s="4"/>
      <c r="E752" s="19">
        <v>0.0</v>
      </c>
      <c r="F752" s="19">
        <v>0.0</v>
      </c>
      <c r="G752" s="16" t="s">
        <v>1198</v>
      </c>
      <c r="H752" s="21"/>
      <c r="I752" s="22">
        <v>100.0</v>
      </c>
      <c r="J752" s="29"/>
      <c r="K752" s="32">
        <v>2800.0</v>
      </c>
      <c r="L752" s="32">
        <v>12000.0</v>
      </c>
      <c r="M752" s="25"/>
      <c r="N752" s="39"/>
      <c r="O752" s="27">
        <f t="shared" si="80"/>
        <v>3.285714286</v>
      </c>
      <c r="P752" s="28">
        <f t="shared" si="82"/>
        <v>0</v>
      </c>
    </row>
    <row r="753" hidden="1">
      <c r="A753" s="16" t="s">
        <v>1199</v>
      </c>
      <c r="B753" s="36"/>
      <c r="C753" s="18" t="s">
        <v>1200</v>
      </c>
      <c r="D753" s="4"/>
      <c r="E753" s="19"/>
      <c r="F753" s="19"/>
      <c r="G753" s="16" t="s">
        <v>1201</v>
      </c>
      <c r="H753" s="21">
        <v>0.0</v>
      </c>
      <c r="I753" s="22"/>
      <c r="J753" s="23"/>
      <c r="K753" s="24">
        <f>9500*1.19</f>
        <v>11305</v>
      </c>
      <c r="L753" s="24">
        <v>16000.0</v>
      </c>
      <c r="M753" s="25"/>
      <c r="N753" s="39"/>
      <c r="O753" s="27"/>
      <c r="P753" s="28"/>
    </row>
    <row r="754" hidden="1">
      <c r="A754" s="16" t="s">
        <v>1202</v>
      </c>
      <c r="B754" s="79">
        <f>L754*4</f>
        <v>64000</v>
      </c>
      <c r="C754" s="18" t="s">
        <v>1200</v>
      </c>
      <c r="D754" s="4"/>
      <c r="E754" s="19"/>
      <c r="F754" s="19"/>
      <c r="G754" s="20" t="s">
        <v>375</v>
      </c>
      <c r="H754" s="21">
        <v>0.0</v>
      </c>
      <c r="I754" s="22"/>
      <c r="J754" s="29"/>
      <c r="K754" s="32">
        <f>9000*1.19</f>
        <v>10710</v>
      </c>
      <c r="L754" s="24">
        <v>16000.0</v>
      </c>
      <c r="M754" s="25"/>
      <c r="N754" s="70"/>
      <c r="O754" s="27">
        <f>(L754/K754)-1</f>
        <v>0.4939309057</v>
      </c>
      <c r="P754" s="28">
        <f>K754*F754</f>
        <v>0</v>
      </c>
    </row>
    <row r="755" hidden="1">
      <c r="A755" s="16" t="s">
        <v>1203</v>
      </c>
      <c r="B755" s="36"/>
      <c r="C755" s="18" t="s">
        <v>1200</v>
      </c>
      <c r="D755" s="4"/>
      <c r="E755" s="19"/>
      <c r="F755" s="19"/>
      <c r="G755" s="16" t="s">
        <v>1201</v>
      </c>
      <c r="H755" s="21">
        <v>0.0</v>
      </c>
      <c r="I755" s="22"/>
      <c r="J755" s="23"/>
      <c r="K755" s="24">
        <f>9500*1.19</f>
        <v>11305</v>
      </c>
      <c r="L755" s="24">
        <v>16000.0</v>
      </c>
      <c r="M755" s="25"/>
      <c r="N755" s="39"/>
      <c r="O755" s="27"/>
      <c r="P755" s="28"/>
    </row>
    <row r="756" hidden="1">
      <c r="A756" s="16" t="s">
        <v>1204</v>
      </c>
      <c r="B756" s="36"/>
      <c r="C756" s="18"/>
      <c r="D756" s="4"/>
      <c r="E756" s="19">
        <v>0.0</v>
      </c>
      <c r="F756" s="19">
        <v>0.0</v>
      </c>
      <c r="G756" s="16" t="s">
        <v>1205</v>
      </c>
      <c r="H756" s="21"/>
      <c r="I756" s="22"/>
      <c r="J756" s="29"/>
      <c r="K756" s="43">
        <f>11452*1.19</f>
        <v>13627.88</v>
      </c>
      <c r="L756" s="44">
        <v>18000.0</v>
      </c>
      <c r="M756" s="25"/>
      <c r="N756" s="39"/>
      <c r="O756" s="27">
        <f t="shared" ref="O756:O764" si="89">(L756/K756)-1</f>
        <v>0.3208217272</v>
      </c>
      <c r="P756" s="28">
        <f t="shared" ref="P756:P764" si="90">K756*F756</f>
        <v>0</v>
      </c>
    </row>
    <row r="757" hidden="1">
      <c r="A757" s="16" t="s">
        <v>1206</v>
      </c>
      <c r="B757" s="17"/>
      <c r="C757" s="18"/>
      <c r="D757" s="4"/>
      <c r="E757" s="19">
        <v>0.0</v>
      </c>
      <c r="F757" s="19">
        <v>0.0</v>
      </c>
      <c r="G757" s="40" t="s">
        <v>93</v>
      </c>
      <c r="H757" s="21"/>
      <c r="I757" s="22">
        <v>10.0</v>
      </c>
      <c r="J757" s="29"/>
      <c r="K757" s="32">
        <v>10670.0</v>
      </c>
      <c r="L757" s="24">
        <v>14000.0</v>
      </c>
      <c r="M757" s="25"/>
      <c r="N757" s="39"/>
      <c r="O757" s="27">
        <f t="shared" si="89"/>
        <v>0.3120899719</v>
      </c>
      <c r="P757" s="28">
        <f t="shared" si="90"/>
        <v>0</v>
      </c>
    </row>
    <row r="758" hidden="1">
      <c r="A758" s="16" t="s">
        <v>1207</v>
      </c>
      <c r="B758" s="17"/>
      <c r="C758" s="18"/>
      <c r="D758" s="4"/>
      <c r="E758" s="19">
        <v>0.0</v>
      </c>
      <c r="F758" s="19">
        <v>0.0</v>
      </c>
      <c r="G758" s="40" t="s">
        <v>93</v>
      </c>
      <c r="H758" s="21"/>
      <c r="I758" s="22"/>
      <c r="J758" s="29"/>
      <c r="K758" s="32">
        <v>10670.0</v>
      </c>
      <c r="L758" s="24">
        <v>14000.0</v>
      </c>
      <c r="M758" s="25"/>
      <c r="N758" s="39"/>
      <c r="O758" s="27">
        <f t="shared" si="89"/>
        <v>0.3120899719</v>
      </c>
      <c r="P758" s="28">
        <f t="shared" si="90"/>
        <v>0</v>
      </c>
    </row>
    <row r="759" hidden="1">
      <c r="A759" s="16" t="s">
        <v>1208</v>
      </c>
      <c r="B759" s="17"/>
      <c r="C759" s="18"/>
      <c r="D759" s="4"/>
      <c r="E759" s="19">
        <v>0.0</v>
      </c>
      <c r="F759" s="19">
        <v>0.0</v>
      </c>
      <c r="G759" s="40" t="s">
        <v>93</v>
      </c>
      <c r="H759" s="21"/>
      <c r="I759" s="22"/>
      <c r="J759" s="29"/>
      <c r="K759" s="32">
        <v>10670.0</v>
      </c>
      <c r="L759" s="24">
        <v>14000.0</v>
      </c>
      <c r="M759" s="25"/>
      <c r="N759" s="39"/>
      <c r="O759" s="27">
        <f t="shared" si="89"/>
        <v>0.3120899719</v>
      </c>
      <c r="P759" s="28">
        <f t="shared" si="90"/>
        <v>0</v>
      </c>
    </row>
    <row r="760" hidden="1">
      <c r="A760" s="16" t="s">
        <v>1209</v>
      </c>
      <c r="B760" s="36"/>
      <c r="C760" s="18"/>
      <c r="D760" s="4"/>
      <c r="E760" s="19">
        <v>0.0</v>
      </c>
      <c r="F760" s="19">
        <v>0.0</v>
      </c>
      <c r="G760" s="16" t="s">
        <v>1210</v>
      </c>
      <c r="H760" s="21"/>
      <c r="I760" s="22"/>
      <c r="J760" s="23"/>
      <c r="K760" s="24">
        <v>10710.0</v>
      </c>
      <c r="L760" s="24">
        <v>18000.0</v>
      </c>
      <c r="M760" s="25"/>
      <c r="N760" s="102">
        <v>14000.0</v>
      </c>
      <c r="O760" s="27">
        <f t="shared" si="89"/>
        <v>0.6806722689</v>
      </c>
      <c r="P760" s="28">
        <f t="shared" si="90"/>
        <v>0</v>
      </c>
    </row>
    <row r="761" hidden="1">
      <c r="A761" s="16" t="s">
        <v>1211</v>
      </c>
      <c r="B761" s="49"/>
      <c r="C761" s="18"/>
      <c r="D761" s="4"/>
      <c r="E761" s="19">
        <v>0.0</v>
      </c>
      <c r="F761" s="19">
        <v>0.0</v>
      </c>
      <c r="G761" s="20" t="s">
        <v>159</v>
      </c>
      <c r="H761" s="21"/>
      <c r="I761" s="22"/>
      <c r="J761" s="29"/>
      <c r="K761" s="48">
        <v>22230.0</v>
      </c>
      <c r="L761" s="55">
        <v>28000.0</v>
      </c>
      <c r="M761" s="25"/>
      <c r="N761" s="70"/>
      <c r="O761" s="27">
        <f t="shared" si="89"/>
        <v>0.2595591543</v>
      </c>
      <c r="P761" s="28">
        <f t="shared" si="90"/>
        <v>0</v>
      </c>
    </row>
    <row r="762" hidden="1">
      <c r="A762" s="16" t="s">
        <v>1212</v>
      </c>
      <c r="B762" s="17"/>
      <c r="C762" s="18" t="s">
        <v>1157</v>
      </c>
      <c r="D762" s="4"/>
      <c r="E762" s="19">
        <v>0.0</v>
      </c>
      <c r="F762" s="19">
        <v>0.0</v>
      </c>
      <c r="G762" s="16" t="s">
        <v>1158</v>
      </c>
      <c r="H762" s="21"/>
      <c r="I762" s="22"/>
      <c r="J762" s="29"/>
      <c r="K762" s="43">
        <f>11000*1.19</f>
        <v>13090</v>
      </c>
      <c r="L762" s="44">
        <v>25000.0</v>
      </c>
      <c r="M762" s="25"/>
      <c r="N762" s="102">
        <v>20000.0</v>
      </c>
      <c r="O762" s="27">
        <f t="shared" si="89"/>
        <v>0.909854851</v>
      </c>
      <c r="P762" s="28">
        <f t="shared" si="90"/>
        <v>0</v>
      </c>
    </row>
    <row r="763" hidden="1">
      <c r="A763" s="16" t="s">
        <v>1213</v>
      </c>
      <c r="B763" s="49"/>
      <c r="C763" s="18"/>
      <c r="D763" s="4"/>
      <c r="E763" s="19"/>
      <c r="F763" s="19"/>
      <c r="G763" s="20" t="s">
        <v>375</v>
      </c>
      <c r="H763" s="21">
        <v>0.0</v>
      </c>
      <c r="I763" s="22"/>
      <c r="J763" s="29"/>
      <c r="K763" s="32">
        <f>24500*1.19</f>
        <v>29155</v>
      </c>
      <c r="L763" s="24">
        <v>46000.0</v>
      </c>
      <c r="M763" s="25"/>
      <c r="N763" s="70"/>
      <c r="O763" s="27">
        <f t="shared" si="89"/>
        <v>0.5777739667</v>
      </c>
      <c r="P763" s="28">
        <f t="shared" si="90"/>
        <v>0</v>
      </c>
    </row>
    <row r="764" hidden="1">
      <c r="A764" s="16" t="s">
        <v>1214</v>
      </c>
      <c r="B764" s="17"/>
      <c r="C764" s="18" t="s">
        <v>1020</v>
      </c>
      <c r="D764" s="188"/>
      <c r="E764" s="19">
        <v>0.0</v>
      </c>
      <c r="F764" s="19"/>
      <c r="G764" s="16" t="s">
        <v>1215</v>
      </c>
      <c r="H764" s="21"/>
      <c r="I764" s="22"/>
      <c r="J764" s="29"/>
      <c r="K764" s="32">
        <v>45339.0</v>
      </c>
      <c r="L764" s="24">
        <v>56000.0</v>
      </c>
      <c r="M764" s="25"/>
      <c r="N764" s="39"/>
      <c r="O764" s="27">
        <f t="shared" si="89"/>
        <v>0.2351397252</v>
      </c>
      <c r="P764" s="28">
        <f t="shared" si="90"/>
        <v>0</v>
      </c>
    </row>
    <row r="765" hidden="1">
      <c r="A765" s="16" t="s">
        <v>1216</v>
      </c>
      <c r="B765" s="36"/>
      <c r="C765" s="18" t="s">
        <v>1200</v>
      </c>
      <c r="D765" s="4"/>
      <c r="E765" s="19"/>
      <c r="F765" s="19"/>
      <c r="G765" s="16" t="s">
        <v>1201</v>
      </c>
      <c r="H765" s="21">
        <v>0.0</v>
      </c>
      <c r="I765" s="22"/>
      <c r="J765" s="23"/>
      <c r="K765" s="24">
        <f t="shared" ref="K765:K768" si="91">9000*1.19</f>
        <v>10710</v>
      </c>
      <c r="L765" s="24">
        <v>16000.0</v>
      </c>
      <c r="M765" s="25"/>
      <c r="N765" s="39"/>
      <c r="O765" s="27"/>
      <c r="P765" s="28"/>
    </row>
    <row r="766" hidden="1">
      <c r="A766" s="16" t="s">
        <v>1217</v>
      </c>
      <c r="B766" s="36"/>
      <c r="C766" s="18" t="s">
        <v>1200</v>
      </c>
      <c r="D766" s="4"/>
      <c r="E766" s="19"/>
      <c r="F766" s="19"/>
      <c r="G766" s="16" t="s">
        <v>1201</v>
      </c>
      <c r="H766" s="21">
        <v>0.0</v>
      </c>
      <c r="I766" s="22"/>
      <c r="J766" s="23"/>
      <c r="K766" s="24">
        <f t="shared" si="91"/>
        <v>10710</v>
      </c>
      <c r="L766" s="24">
        <v>16000.0</v>
      </c>
      <c r="M766" s="25"/>
      <c r="N766" s="39"/>
      <c r="O766" s="27"/>
      <c r="P766" s="28"/>
    </row>
    <row r="767" hidden="1">
      <c r="A767" s="16" t="s">
        <v>1218</v>
      </c>
      <c r="B767" s="36"/>
      <c r="C767" s="18" t="s">
        <v>1200</v>
      </c>
      <c r="D767" s="4"/>
      <c r="E767" s="19"/>
      <c r="F767" s="19"/>
      <c r="G767" s="16" t="s">
        <v>1201</v>
      </c>
      <c r="H767" s="21">
        <v>0.0</v>
      </c>
      <c r="I767" s="22"/>
      <c r="J767" s="23"/>
      <c r="K767" s="24">
        <f t="shared" si="91"/>
        <v>10710</v>
      </c>
      <c r="L767" s="24">
        <v>16000.0</v>
      </c>
      <c r="M767" s="25"/>
      <c r="N767" s="26"/>
      <c r="O767" s="27"/>
      <c r="P767" s="28"/>
    </row>
    <row r="768" hidden="1">
      <c r="A768" s="16" t="s">
        <v>1219</v>
      </c>
      <c r="B768" s="36"/>
      <c r="C768" s="18" t="s">
        <v>1200</v>
      </c>
      <c r="D768" s="4"/>
      <c r="E768" s="19"/>
      <c r="F768" s="19"/>
      <c r="G768" s="16" t="s">
        <v>1201</v>
      </c>
      <c r="H768" s="21">
        <v>0.0</v>
      </c>
      <c r="I768" s="22"/>
      <c r="J768" s="23"/>
      <c r="K768" s="24">
        <f t="shared" si="91"/>
        <v>10710</v>
      </c>
      <c r="L768" s="24">
        <v>16000.0</v>
      </c>
      <c r="M768" s="25"/>
      <c r="N768" s="39"/>
      <c r="O768" s="27"/>
      <c r="P768" s="28"/>
    </row>
    <row r="769" hidden="1">
      <c r="A769" s="16" t="s">
        <v>1220</v>
      </c>
      <c r="B769" s="36"/>
      <c r="C769" s="18"/>
      <c r="D769" s="4"/>
      <c r="E769" s="19">
        <v>0.0</v>
      </c>
      <c r="F769" s="19"/>
      <c r="G769" s="16" t="s">
        <v>1012</v>
      </c>
      <c r="H769" s="21"/>
      <c r="I769" s="22"/>
      <c r="J769" s="29"/>
      <c r="K769" s="43">
        <v>86430.0</v>
      </c>
      <c r="L769" s="44">
        <v>102000.0</v>
      </c>
      <c r="M769" s="25"/>
      <c r="N769" s="39"/>
      <c r="O769" s="27">
        <f t="shared" ref="O769:O789" si="92">(L769/K769)-1</f>
        <v>0.1801457827</v>
      </c>
      <c r="P769" s="28">
        <f t="shared" ref="P769:P789" si="93">K769*F769</f>
        <v>0</v>
      </c>
    </row>
    <row r="770" hidden="1">
      <c r="A770" s="16" t="s">
        <v>1221</v>
      </c>
      <c r="B770" s="49"/>
      <c r="C770" s="18"/>
      <c r="D770" s="4"/>
      <c r="E770" s="19">
        <v>0.0</v>
      </c>
      <c r="F770" s="19">
        <v>0.0</v>
      </c>
      <c r="G770" s="16" t="s">
        <v>16</v>
      </c>
      <c r="H770" s="21"/>
      <c r="I770" s="22"/>
      <c r="J770" s="29"/>
      <c r="K770" s="32">
        <v>674.0</v>
      </c>
      <c r="L770" s="24">
        <v>4000.0</v>
      </c>
      <c r="M770" s="25"/>
      <c r="N770" s="39"/>
      <c r="O770" s="27">
        <f t="shared" si="92"/>
        <v>4.934718101</v>
      </c>
      <c r="P770" s="28">
        <f t="shared" si="93"/>
        <v>0</v>
      </c>
    </row>
    <row r="771" hidden="1">
      <c r="A771" s="16" t="s">
        <v>1222</v>
      </c>
      <c r="B771" s="189">
        <f>L771</f>
        <v>50000</v>
      </c>
      <c r="C771" s="18" t="s">
        <v>1200</v>
      </c>
      <c r="D771" s="4"/>
      <c r="E771" s="19"/>
      <c r="F771" s="19"/>
      <c r="G771" s="16" t="s">
        <v>1201</v>
      </c>
      <c r="H771" s="21">
        <v>0.0</v>
      </c>
      <c r="I771" s="22"/>
      <c r="J771" s="23"/>
      <c r="K771" s="24">
        <f>24500*1.19</f>
        <v>29155</v>
      </c>
      <c r="L771" s="24">
        <v>50000.0</v>
      </c>
      <c r="M771" s="25"/>
      <c r="N771" s="39"/>
      <c r="O771" s="27">
        <f t="shared" si="92"/>
        <v>0.714971703</v>
      </c>
      <c r="P771" s="28">
        <f t="shared" si="93"/>
        <v>0</v>
      </c>
    </row>
    <row r="772" hidden="1">
      <c r="A772" s="118" t="s">
        <v>1223</v>
      </c>
      <c r="B772" s="17"/>
      <c r="C772" s="18"/>
      <c r="D772" s="4"/>
      <c r="E772" s="19">
        <v>0.0</v>
      </c>
      <c r="F772" s="19">
        <v>0.0</v>
      </c>
      <c r="G772" s="40" t="s">
        <v>563</v>
      </c>
      <c r="H772" s="21"/>
      <c r="I772" s="22"/>
      <c r="J772" s="29"/>
      <c r="K772" s="43">
        <v>2500.0</v>
      </c>
      <c r="L772" s="44">
        <v>3500.0</v>
      </c>
      <c r="M772" s="25"/>
      <c r="N772" s="39"/>
      <c r="O772" s="27">
        <f t="shared" si="92"/>
        <v>0.4</v>
      </c>
      <c r="P772" s="28">
        <f t="shared" si="93"/>
        <v>0</v>
      </c>
    </row>
    <row r="773" hidden="1">
      <c r="A773" s="118" t="s">
        <v>1223</v>
      </c>
      <c r="B773" s="17"/>
      <c r="C773" s="18"/>
      <c r="D773" s="4"/>
      <c r="E773" s="19">
        <v>0.0</v>
      </c>
      <c r="F773" s="19">
        <v>0.0</v>
      </c>
      <c r="G773" s="16" t="s">
        <v>425</v>
      </c>
      <c r="H773" s="21"/>
      <c r="I773" s="22"/>
      <c r="J773" s="29"/>
      <c r="K773" s="43">
        <v>2500.0</v>
      </c>
      <c r="L773" s="44">
        <v>3500.0</v>
      </c>
      <c r="M773" s="25"/>
      <c r="N773" s="39"/>
      <c r="O773" s="27">
        <f t="shared" si="92"/>
        <v>0.4</v>
      </c>
      <c r="P773" s="28">
        <f t="shared" si="93"/>
        <v>0</v>
      </c>
    </row>
    <row r="774" hidden="1">
      <c r="A774" s="16" t="s">
        <v>1224</v>
      </c>
      <c r="B774" s="49"/>
      <c r="C774" s="18"/>
      <c r="D774" s="4"/>
      <c r="E774" s="19">
        <v>0.0</v>
      </c>
      <c r="F774" s="19">
        <v>0.0</v>
      </c>
      <c r="G774" s="20" t="s">
        <v>1225</v>
      </c>
      <c r="H774" s="21"/>
      <c r="I774" s="22"/>
      <c r="J774" s="29"/>
      <c r="K774" s="32">
        <v>10670.0</v>
      </c>
      <c r="L774" s="24">
        <v>14000.0</v>
      </c>
      <c r="M774" s="25"/>
      <c r="N774" s="39"/>
      <c r="O774" s="27">
        <f t="shared" si="92"/>
        <v>0.3120899719</v>
      </c>
      <c r="P774" s="28">
        <f t="shared" si="93"/>
        <v>0</v>
      </c>
    </row>
    <row r="775" hidden="1">
      <c r="A775" s="16" t="s">
        <v>1226</v>
      </c>
      <c r="B775" s="17"/>
      <c r="C775" s="18"/>
      <c r="D775" s="4"/>
      <c r="E775" s="19">
        <v>0.0</v>
      </c>
      <c r="F775" s="19"/>
      <c r="G775" s="16" t="s">
        <v>1227</v>
      </c>
      <c r="H775" s="21"/>
      <c r="I775" s="22"/>
      <c r="J775" s="29"/>
      <c r="K775" s="43">
        <v>1800.0</v>
      </c>
      <c r="L775" s="44">
        <v>4000.0</v>
      </c>
      <c r="M775" s="25"/>
      <c r="N775" s="39"/>
      <c r="O775" s="27">
        <f t="shared" si="92"/>
        <v>1.222222222</v>
      </c>
      <c r="P775" s="28">
        <f t="shared" si="93"/>
        <v>0</v>
      </c>
    </row>
    <row r="776" hidden="1">
      <c r="A776" s="16" t="s">
        <v>1228</v>
      </c>
      <c r="B776" s="36"/>
      <c r="C776" s="18" t="s">
        <v>1157</v>
      </c>
      <c r="D776" s="4"/>
      <c r="E776" s="19">
        <v>0.0</v>
      </c>
      <c r="F776" s="19"/>
      <c r="G776" s="16" t="s">
        <v>1229</v>
      </c>
      <c r="H776" s="21"/>
      <c r="I776" s="22"/>
      <c r="J776" s="29"/>
      <c r="K776" s="43">
        <f>10677*1.19</f>
        <v>12705.63</v>
      </c>
      <c r="L776" s="44">
        <v>25000.0</v>
      </c>
      <c r="M776" s="25"/>
      <c r="N776" s="102">
        <v>22000.0</v>
      </c>
      <c r="O776" s="27">
        <f t="shared" si="92"/>
        <v>0.9676316719</v>
      </c>
      <c r="P776" s="28">
        <f t="shared" si="93"/>
        <v>0</v>
      </c>
    </row>
    <row r="777" hidden="1">
      <c r="A777" s="16" t="s">
        <v>1230</v>
      </c>
      <c r="B777" s="17"/>
      <c r="C777" s="18"/>
      <c r="D777" s="4"/>
      <c r="E777" s="19">
        <v>0.0</v>
      </c>
      <c r="F777" s="19"/>
      <c r="G777" s="20" t="s">
        <v>1231</v>
      </c>
      <c r="H777" s="21"/>
      <c r="I777" s="22"/>
      <c r="J777" s="29"/>
      <c r="K777" s="43">
        <v>21000.0</v>
      </c>
      <c r="L777" s="44">
        <v>45000.0</v>
      </c>
      <c r="M777" s="25"/>
      <c r="N777" s="39"/>
      <c r="O777" s="27">
        <f t="shared" si="92"/>
        <v>1.142857143</v>
      </c>
      <c r="P777" s="28">
        <f t="shared" si="93"/>
        <v>0</v>
      </c>
    </row>
    <row r="778" hidden="1">
      <c r="A778" s="16" t="s">
        <v>1232</v>
      </c>
      <c r="B778" s="17" t="s">
        <v>1233</v>
      </c>
      <c r="C778" s="18"/>
      <c r="D778" s="4"/>
      <c r="E778" s="19">
        <v>0.0</v>
      </c>
      <c r="F778" s="19"/>
      <c r="G778" s="20" t="s">
        <v>1234</v>
      </c>
      <c r="H778" s="21"/>
      <c r="I778" s="22"/>
      <c r="J778" s="29"/>
      <c r="K778" s="32">
        <v>14700.0</v>
      </c>
      <c r="L778" s="24">
        <v>45000.0</v>
      </c>
      <c r="M778" s="25"/>
      <c r="N778" s="39"/>
      <c r="O778" s="27">
        <f t="shared" si="92"/>
        <v>2.06122449</v>
      </c>
      <c r="P778" s="28">
        <f t="shared" si="93"/>
        <v>0</v>
      </c>
    </row>
    <row r="779" hidden="1">
      <c r="A779" s="16" t="s">
        <v>1235</v>
      </c>
      <c r="B779" s="17"/>
      <c r="C779" s="18"/>
      <c r="D779" s="4"/>
      <c r="E779" s="19">
        <v>0.0</v>
      </c>
      <c r="F779" s="19"/>
      <c r="G779" s="20" t="s">
        <v>1231</v>
      </c>
      <c r="H779" s="21"/>
      <c r="I779" s="22"/>
      <c r="J779" s="29"/>
      <c r="K779" s="43">
        <v>9400.0</v>
      </c>
      <c r="L779" s="44">
        <v>25000.0</v>
      </c>
      <c r="M779" s="25"/>
      <c r="N779" s="39"/>
      <c r="O779" s="27">
        <f t="shared" si="92"/>
        <v>1.659574468</v>
      </c>
      <c r="P779" s="28">
        <f t="shared" si="93"/>
        <v>0</v>
      </c>
    </row>
    <row r="780" hidden="1">
      <c r="A780" s="16" t="s">
        <v>1236</v>
      </c>
      <c r="B780" s="49"/>
      <c r="C780" s="18" t="s">
        <v>1200</v>
      </c>
      <c r="D780" s="4"/>
      <c r="E780" s="19"/>
      <c r="F780" s="19"/>
      <c r="G780" s="20" t="s">
        <v>375</v>
      </c>
      <c r="H780" s="21">
        <v>0.0</v>
      </c>
      <c r="I780" s="22"/>
      <c r="J780" s="29"/>
      <c r="K780" s="32">
        <f>46400*1.19</f>
        <v>55216</v>
      </c>
      <c r="L780" s="24">
        <v>70000.0</v>
      </c>
      <c r="M780" s="25"/>
      <c r="N780" s="70"/>
      <c r="O780" s="27">
        <f t="shared" si="92"/>
        <v>0.2677484787</v>
      </c>
      <c r="P780" s="28">
        <f t="shared" si="93"/>
        <v>0</v>
      </c>
    </row>
    <row r="781" hidden="1">
      <c r="A781" s="52" t="s">
        <v>1237</v>
      </c>
      <c r="B781" s="17"/>
      <c r="C781" s="18"/>
      <c r="D781" s="4"/>
      <c r="E781" s="19">
        <v>0.0</v>
      </c>
      <c r="F781" s="19"/>
      <c r="G781" s="20" t="s">
        <v>457</v>
      </c>
      <c r="H781" s="21"/>
      <c r="I781" s="22"/>
      <c r="J781" s="29"/>
      <c r="K781" s="48">
        <f>8500*1.19</f>
        <v>10115</v>
      </c>
      <c r="L781" s="55">
        <v>16000.0</v>
      </c>
      <c r="M781" s="25"/>
      <c r="N781" s="39"/>
      <c r="O781" s="27">
        <f t="shared" si="92"/>
        <v>0.5818091943</v>
      </c>
      <c r="P781" s="28">
        <f t="shared" si="93"/>
        <v>0</v>
      </c>
    </row>
    <row r="782" hidden="1">
      <c r="A782" s="16" t="s">
        <v>1238</v>
      </c>
      <c r="B782" s="17"/>
      <c r="C782" s="18"/>
      <c r="D782" s="4"/>
      <c r="E782" s="19">
        <v>0.0</v>
      </c>
      <c r="F782" s="19"/>
      <c r="G782" s="20" t="s">
        <v>1231</v>
      </c>
      <c r="H782" s="21"/>
      <c r="I782" s="22"/>
      <c r="J782" s="29"/>
      <c r="K782" s="43">
        <v>7200.0</v>
      </c>
      <c r="L782" s="44">
        <v>20000.0</v>
      </c>
      <c r="M782" s="25"/>
      <c r="N782" s="39"/>
      <c r="O782" s="27">
        <f t="shared" si="92"/>
        <v>1.777777778</v>
      </c>
      <c r="P782" s="28">
        <f t="shared" si="93"/>
        <v>0</v>
      </c>
    </row>
    <row r="783" hidden="1">
      <c r="A783" s="16" t="s">
        <v>1239</v>
      </c>
      <c r="B783" s="17" t="s">
        <v>1240</v>
      </c>
      <c r="C783" s="18"/>
      <c r="D783" s="4"/>
      <c r="E783" s="19">
        <v>0.0</v>
      </c>
      <c r="F783" s="19"/>
      <c r="G783" s="16" t="s">
        <v>1241</v>
      </c>
      <c r="H783" s="21"/>
      <c r="I783" s="22"/>
      <c r="J783" s="58">
        <v>46327.0</v>
      </c>
      <c r="K783" s="32">
        <v>121500.0</v>
      </c>
      <c r="L783" s="24">
        <v>165000.0</v>
      </c>
      <c r="M783" s="25" t="s">
        <v>76</v>
      </c>
      <c r="N783" s="102">
        <v>145000.0</v>
      </c>
      <c r="O783" s="27">
        <f t="shared" si="92"/>
        <v>0.3580246914</v>
      </c>
      <c r="P783" s="28">
        <f t="shared" si="93"/>
        <v>0</v>
      </c>
    </row>
    <row r="784" hidden="1">
      <c r="A784" s="16" t="s">
        <v>1242</v>
      </c>
      <c r="B784" s="17" t="s">
        <v>1243</v>
      </c>
      <c r="C784" s="18"/>
      <c r="D784" s="4"/>
      <c r="E784" s="19">
        <v>0.0</v>
      </c>
      <c r="F784" s="19"/>
      <c r="G784" s="16" t="s">
        <v>1241</v>
      </c>
      <c r="H784" s="21"/>
      <c r="I784" s="22"/>
      <c r="J784" s="58">
        <v>46143.0</v>
      </c>
      <c r="K784" s="48">
        <v>121500.0</v>
      </c>
      <c r="L784" s="55">
        <v>165000.0</v>
      </c>
      <c r="M784" s="25" t="s">
        <v>76</v>
      </c>
      <c r="N784" s="102">
        <v>145000.0</v>
      </c>
      <c r="O784" s="27">
        <f t="shared" si="92"/>
        <v>0.3580246914</v>
      </c>
      <c r="P784" s="28">
        <f t="shared" si="93"/>
        <v>0</v>
      </c>
    </row>
    <row r="785" hidden="1">
      <c r="A785" s="16" t="s">
        <v>1244</v>
      </c>
      <c r="B785" s="17" t="s">
        <v>1243</v>
      </c>
      <c r="C785" s="18"/>
      <c r="D785" s="4"/>
      <c r="E785" s="19">
        <v>0.0</v>
      </c>
      <c r="F785" s="19"/>
      <c r="G785" s="16" t="s">
        <v>1241</v>
      </c>
      <c r="H785" s="21"/>
      <c r="I785" s="22"/>
      <c r="J785" s="29"/>
      <c r="K785" s="48">
        <v>121500.0</v>
      </c>
      <c r="L785" s="55">
        <v>165000.0</v>
      </c>
      <c r="M785" s="25" t="s">
        <v>76</v>
      </c>
      <c r="N785" s="102">
        <v>145000.0</v>
      </c>
      <c r="O785" s="27">
        <f t="shared" si="92"/>
        <v>0.3580246914</v>
      </c>
      <c r="P785" s="28">
        <f t="shared" si="93"/>
        <v>0</v>
      </c>
    </row>
    <row r="786" hidden="1">
      <c r="A786" s="16" t="s">
        <v>1245</v>
      </c>
      <c r="B786" s="17" t="s">
        <v>1243</v>
      </c>
      <c r="C786" s="18"/>
      <c r="D786" s="4"/>
      <c r="E786" s="19">
        <v>0.0</v>
      </c>
      <c r="F786" s="19"/>
      <c r="G786" s="16" t="s">
        <v>1241</v>
      </c>
      <c r="H786" s="21"/>
      <c r="I786" s="22"/>
      <c r="J786" s="29"/>
      <c r="K786" s="48">
        <v>121500.0</v>
      </c>
      <c r="L786" s="55">
        <v>165000.0</v>
      </c>
      <c r="M786" s="25" t="s">
        <v>76</v>
      </c>
      <c r="N786" s="102">
        <v>145000.0</v>
      </c>
      <c r="O786" s="27">
        <f t="shared" si="92"/>
        <v>0.3580246914</v>
      </c>
      <c r="P786" s="28">
        <f t="shared" si="93"/>
        <v>0</v>
      </c>
    </row>
    <row r="787" hidden="1">
      <c r="A787" s="16" t="s">
        <v>1246</v>
      </c>
      <c r="B787" s="17" t="s">
        <v>1247</v>
      </c>
      <c r="C787" s="18"/>
      <c r="D787" s="4"/>
      <c r="E787" s="19">
        <v>0.0</v>
      </c>
      <c r="F787" s="19"/>
      <c r="G787" s="16" t="s">
        <v>1241</v>
      </c>
      <c r="H787" s="21"/>
      <c r="I787" s="22"/>
      <c r="J787" s="23"/>
      <c r="K787" s="55">
        <v>150462.0</v>
      </c>
      <c r="L787" s="55">
        <v>190000.0</v>
      </c>
      <c r="M787" s="25" t="s">
        <v>76</v>
      </c>
      <c r="N787" s="26">
        <v>170000.0</v>
      </c>
      <c r="O787" s="27">
        <f t="shared" si="92"/>
        <v>0.2627773125</v>
      </c>
      <c r="P787" s="28">
        <f t="shared" si="93"/>
        <v>0</v>
      </c>
    </row>
    <row r="788" hidden="1">
      <c r="A788" s="16" t="s">
        <v>1248</v>
      </c>
      <c r="B788" s="17" t="s">
        <v>1249</v>
      </c>
      <c r="C788" s="18"/>
      <c r="D788" s="4"/>
      <c r="E788" s="19" t="s">
        <v>1250</v>
      </c>
      <c r="F788" s="19">
        <f>169312</f>
        <v>169312</v>
      </c>
      <c r="G788" s="16" t="s">
        <v>1251</v>
      </c>
      <c r="H788" s="21"/>
      <c r="I788" s="22">
        <v>0.0</v>
      </c>
      <c r="J788" s="29"/>
      <c r="K788" s="48">
        <v>161250.0</v>
      </c>
      <c r="L788" s="55">
        <v>220000.0</v>
      </c>
      <c r="M788" s="25" t="s">
        <v>76</v>
      </c>
      <c r="N788" s="102">
        <v>178000.0</v>
      </c>
      <c r="O788" s="27">
        <f t="shared" si="92"/>
        <v>0.3643410853</v>
      </c>
      <c r="P788" s="28">
        <f t="shared" si="93"/>
        <v>27301560000</v>
      </c>
    </row>
    <row r="789" hidden="1">
      <c r="A789" s="52" t="s">
        <v>1252</v>
      </c>
      <c r="B789" s="17" t="s">
        <v>1253</v>
      </c>
      <c r="C789" s="18"/>
      <c r="D789" s="4"/>
      <c r="E789" s="19">
        <v>0.0</v>
      </c>
      <c r="F789" s="19">
        <v>0.0</v>
      </c>
      <c r="G789" s="16" t="s">
        <v>1254</v>
      </c>
      <c r="H789" s="21"/>
      <c r="I789" s="22">
        <f>12*5</f>
        <v>60</v>
      </c>
      <c r="J789" s="29"/>
      <c r="K789" s="32">
        <v>11900.0</v>
      </c>
      <c r="L789" s="32">
        <v>18000.0</v>
      </c>
      <c r="M789" s="25"/>
      <c r="N789" s="70"/>
      <c r="O789" s="27">
        <f t="shared" si="92"/>
        <v>0.512605042</v>
      </c>
      <c r="P789" s="28">
        <f t="shared" si="93"/>
        <v>0</v>
      </c>
    </row>
    <row r="790" hidden="1">
      <c r="A790" s="16" t="s">
        <v>1255</v>
      </c>
      <c r="B790" s="180"/>
      <c r="C790" s="18"/>
      <c r="D790" s="4"/>
      <c r="E790" s="19">
        <v>0.0</v>
      </c>
      <c r="F790" s="19">
        <v>0.0</v>
      </c>
      <c r="G790" s="16" t="s">
        <v>580</v>
      </c>
      <c r="H790" s="21"/>
      <c r="I790" s="22"/>
      <c r="J790" s="29"/>
      <c r="K790" s="48">
        <v>381000.0</v>
      </c>
      <c r="L790" s="55">
        <v>550000.0</v>
      </c>
      <c r="M790" s="25"/>
      <c r="N790" s="39"/>
      <c r="O790" s="27"/>
      <c r="P790" s="28"/>
    </row>
    <row r="791" hidden="1">
      <c r="A791" s="16" t="s">
        <v>1256</v>
      </c>
      <c r="B791" s="180" t="s">
        <v>1257</v>
      </c>
      <c r="C791" s="18"/>
      <c r="D791" s="4"/>
      <c r="E791" s="19">
        <v>0.0</v>
      </c>
      <c r="F791" s="19"/>
      <c r="G791" s="16" t="s">
        <v>39</v>
      </c>
      <c r="H791" s="21"/>
      <c r="I791" s="22"/>
      <c r="J791" s="29"/>
      <c r="K791" s="32">
        <v>3203.0</v>
      </c>
      <c r="L791" s="24">
        <v>10000.0</v>
      </c>
      <c r="M791" s="25"/>
      <c r="N791" s="39"/>
      <c r="O791" s="27">
        <f t="shared" ref="O791:O820" si="94">(L791/K791)-1</f>
        <v>2.122073057</v>
      </c>
      <c r="P791" s="28">
        <f t="shared" ref="P791:P823" si="95">K791*F791</f>
        <v>0</v>
      </c>
    </row>
    <row r="792" hidden="1">
      <c r="A792" s="40" t="s">
        <v>1258</v>
      </c>
      <c r="B792" s="36"/>
      <c r="C792" s="18"/>
      <c r="D792" s="4"/>
      <c r="E792" s="19">
        <v>0.0</v>
      </c>
      <c r="F792" s="19"/>
      <c r="G792" s="20" t="s">
        <v>1259</v>
      </c>
      <c r="H792" s="21"/>
      <c r="I792" s="22"/>
      <c r="J792" s="29"/>
      <c r="K792" s="43">
        <v>2500.0</v>
      </c>
      <c r="L792" s="44">
        <v>3500.0</v>
      </c>
      <c r="M792" s="25"/>
      <c r="N792" s="39"/>
      <c r="O792" s="27">
        <f t="shared" si="94"/>
        <v>0.4</v>
      </c>
      <c r="P792" s="28">
        <f t="shared" si="95"/>
        <v>0</v>
      </c>
    </row>
    <row r="793" hidden="1">
      <c r="A793" s="40" t="s">
        <v>1260</v>
      </c>
      <c r="B793" s="17"/>
      <c r="C793" s="18"/>
      <c r="D793" s="4"/>
      <c r="E793" s="19">
        <v>0.0</v>
      </c>
      <c r="F793" s="19"/>
      <c r="G793" s="20" t="s">
        <v>57</v>
      </c>
      <c r="H793" s="21"/>
      <c r="I793" s="22"/>
      <c r="J793" s="29"/>
      <c r="K793" s="43">
        <v>3500.0</v>
      </c>
      <c r="L793" s="44">
        <v>5000.0</v>
      </c>
      <c r="M793" s="25"/>
      <c r="N793" s="39"/>
      <c r="O793" s="27">
        <f t="shared" si="94"/>
        <v>0.4285714286</v>
      </c>
      <c r="P793" s="28">
        <f t="shared" si="95"/>
        <v>0</v>
      </c>
    </row>
    <row r="794" hidden="1">
      <c r="A794" s="52" t="s">
        <v>1261</v>
      </c>
      <c r="B794" s="36"/>
      <c r="C794" s="18"/>
      <c r="D794" s="4"/>
      <c r="E794" s="19">
        <v>0.0</v>
      </c>
      <c r="F794" s="19">
        <v>1.0</v>
      </c>
      <c r="G794" s="20" t="s">
        <v>377</v>
      </c>
      <c r="H794" s="21"/>
      <c r="I794" s="22">
        <v>0.0</v>
      </c>
      <c r="J794" s="29"/>
      <c r="K794" s="32">
        <v>35000.0</v>
      </c>
      <c r="L794" s="24">
        <v>52000.0</v>
      </c>
      <c r="M794" s="25" t="s">
        <v>82</v>
      </c>
      <c r="N794" s="39"/>
      <c r="O794" s="27">
        <f t="shared" si="94"/>
        <v>0.4857142857</v>
      </c>
      <c r="P794" s="28">
        <f t="shared" si="95"/>
        <v>35000</v>
      </c>
    </row>
    <row r="795" hidden="1">
      <c r="A795" s="119" t="s">
        <v>1262</v>
      </c>
      <c r="B795" s="51"/>
      <c r="C795" s="18"/>
      <c r="D795" s="4"/>
      <c r="E795" s="19">
        <v>0.0</v>
      </c>
      <c r="F795" s="19">
        <v>0.0</v>
      </c>
      <c r="G795" s="20" t="s">
        <v>497</v>
      </c>
      <c r="H795" s="190"/>
      <c r="I795" s="22"/>
      <c r="J795" s="191"/>
      <c r="K795" s="192">
        <f>6274/10</f>
        <v>627.4</v>
      </c>
      <c r="L795" s="44">
        <v>1000.0</v>
      </c>
      <c r="M795" s="25"/>
      <c r="N795" s="39"/>
      <c r="O795" s="27">
        <f t="shared" si="94"/>
        <v>0.5938795027</v>
      </c>
      <c r="P795" s="28">
        <f t="shared" si="95"/>
        <v>0</v>
      </c>
    </row>
    <row r="796" hidden="1">
      <c r="A796" s="119" t="s">
        <v>1263</v>
      </c>
      <c r="B796" s="51"/>
      <c r="C796" s="18"/>
      <c r="D796" s="4"/>
      <c r="E796" s="19">
        <v>0.0</v>
      </c>
      <c r="F796" s="19">
        <v>0.0</v>
      </c>
      <c r="G796" s="20" t="s">
        <v>497</v>
      </c>
      <c r="H796" s="190"/>
      <c r="I796" s="22">
        <f>11*50</f>
        <v>550</v>
      </c>
      <c r="J796" s="191"/>
      <c r="K796" s="192">
        <f>8248/20</f>
        <v>412.4</v>
      </c>
      <c r="L796" s="44">
        <v>1000.0</v>
      </c>
      <c r="M796" s="25"/>
      <c r="N796" s="39"/>
      <c r="O796" s="27">
        <f t="shared" si="94"/>
        <v>1.424830262</v>
      </c>
      <c r="P796" s="28">
        <f t="shared" si="95"/>
        <v>0</v>
      </c>
    </row>
    <row r="797" hidden="1">
      <c r="A797" s="119" t="s">
        <v>1264</v>
      </c>
      <c r="B797" s="51" t="s">
        <v>1265</v>
      </c>
      <c r="C797" s="18"/>
      <c r="D797" s="4"/>
      <c r="E797" s="19">
        <v>0.0</v>
      </c>
      <c r="F797" s="19">
        <v>5.0</v>
      </c>
      <c r="G797" s="20" t="s">
        <v>1266</v>
      </c>
      <c r="H797" s="190"/>
      <c r="I797" s="22">
        <v>0.0</v>
      </c>
      <c r="J797" s="191"/>
      <c r="K797" s="184">
        <f>8000/20</f>
        <v>400</v>
      </c>
      <c r="L797" s="55">
        <v>1000.0</v>
      </c>
      <c r="M797" s="25"/>
      <c r="N797" s="39"/>
      <c r="O797" s="27">
        <f t="shared" si="94"/>
        <v>1.5</v>
      </c>
      <c r="P797" s="28">
        <f t="shared" si="95"/>
        <v>2000</v>
      </c>
    </row>
    <row r="798" hidden="1">
      <c r="A798" s="16" t="s">
        <v>1267</v>
      </c>
      <c r="B798" s="17"/>
      <c r="C798" s="18"/>
      <c r="D798" s="4"/>
      <c r="E798" s="19">
        <v>0.0</v>
      </c>
      <c r="F798" s="19">
        <v>1.0</v>
      </c>
      <c r="G798" s="16" t="s">
        <v>1268</v>
      </c>
      <c r="H798" s="21"/>
      <c r="I798" s="22">
        <v>141.0</v>
      </c>
      <c r="J798" s="47">
        <v>46539.0</v>
      </c>
      <c r="K798" s="32">
        <v>3000.0</v>
      </c>
      <c r="L798" s="24">
        <v>7000.0</v>
      </c>
      <c r="M798" s="25"/>
      <c r="N798" s="39"/>
      <c r="O798" s="27">
        <f t="shared" si="94"/>
        <v>1.333333333</v>
      </c>
      <c r="P798" s="28">
        <f t="shared" si="95"/>
        <v>3000</v>
      </c>
    </row>
    <row r="799" hidden="1">
      <c r="A799" s="16" t="s">
        <v>1269</v>
      </c>
      <c r="B799" s="17" t="s">
        <v>1270</v>
      </c>
      <c r="C799" s="18"/>
      <c r="D799" s="4"/>
      <c r="E799" s="19">
        <v>0.0</v>
      </c>
      <c r="F799" s="19">
        <v>0.0</v>
      </c>
      <c r="G799" s="20" t="s">
        <v>286</v>
      </c>
      <c r="H799" s="21"/>
      <c r="I799" s="22"/>
      <c r="J799" s="29"/>
      <c r="K799" s="48">
        <f>197</f>
        <v>197</v>
      </c>
      <c r="L799" s="55">
        <v>1000.0</v>
      </c>
      <c r="M799" s="25"/>
      <c r="N799" s="39"/>
      <c r="O799" s="27">
        <f t="shared" si="94"/>
        <v>4.076142132</v>
      </c>
      <c r="P799" s="28">
        <f t="shared" si="95"/>
        <v>0</v>
      </c>
    </row>
    <row r="800" hidden="1">
      <c r="A800" s="16" t="s">
        <v>1271</v>
      </c>
      <c r="B800" s="17"/>
      <c r="C800" s="18"/>
      <c r="D800" s="4"/>
      <c r="E800" s="19">
        <v>0.0</v>
      </c>
      <c r="F800" s="19">
        <v>0.0</v>
      </c>
      <c r="G800" s="16" t="s">
        <v>1272</v>
      </c>
      <c r="H800" s="21"/>
      <c r="I800" s="22">
        <v>7.0</v>
      </c>
      <c r="J800" s="29"/>
      <c r="K800" s="43">
        <v>7950.0</v>
      </c>
      <c r="L800" s="44">
        <v>12000.0</v>
      </c>
      <c r="M800" s="25"/>
      <c r="N800" s="39"/>
      <c r="O800" s="27">
        <f t="shared" si="94"/>
        <v>0.5094339623</v>
      </c>
      <c r="P800" s="28">
        <f t="shared" si="95"/>
        <v>0</v>
      </c>
    </row>
    <row r="801" hidden="1">
      <c r="A801" s="16" t="s">
        <v>1273</v>
      </c>
      <c r="B801" s="17"/>
      <c r="C801" s="18"/>
      <c r="D801" s="4"/>
      <c r="E801" s="19">
        <v>0.0</v>
      </c>
      <c r="F801" s="19">
        <v>0.0</v>
      </c>
      <c r="G801" s="16" t="s">
        <v>1272</v>
      </c>
      <c r="H801" s="21"/>
      <c r="I801" s="22">
        <v>9.0</v>
      </c>
      <c r="J801" s="29"/>
      <c r="K801" s="43">
        <v>7950.0</v>
      </c>
      <c r="L801" s="44">
        <v>12000.0</v>
      </c>
      <c r="M801" s="25"/>
      <c r="N801" s="39"/>
      <c r="O801" s="27">
        <f t="shared" si="94"/>
        <v>0.5094339623</v>
      </c>
      <c r="P801" s="28">
        <f t="shared" si="95"/>
        <v>0</v>
      </c>
    </row>
    <row r="802" hidden="1">
      <c r="A802" s="16" t="s">
        <v>1274</v>
      </c>
      <c r="B802" s="17"/>
      <c r="C802" s="18"/>
      <c r="D802" s="4"/>
      <c r="E802" s="19">
        <v>0.0</v>
      </c>
      <c r="F802" s="19">
        <v>0.0</v>
      </c>
      <c r="G802" s="16" t="s">
        <v>1272</v>
      </c>
      <c r="H802" s="21"/>
      <c r="I802" s="22">
        <v>1.0</v>
      </c>
      <c r="J802" s="29"/>
      <c r="K802" s="43">
        <v>7950.0</v>
      </c>
      <c r="L802" s="44">
        <v>12000.0</v>
      </c>
      <c r="M802" s="25"/>
      <c r="N802" s="39"/>
      <c r="O802" s="27">
        <f t="shared" si="94"/>
        <v>0.5094339623</v>
      </c>
      <c r="P802" s="28">
        <f t="shared" si="95"/>
        <v>0</v>
      </c>
    </row>
    <row r="803" hidden="1">
      <c r="A803" s="16" t="s">
        <v>1275</v>
      </c>
      <c r="B803" s="17"/>
      <c r="C803" s="18"/>
      <c r="D803" s="4"/>
      <c r="E803" s="19">
        <v>0.0</v>
      </c>
      <c r="F803" s="19">
        <v>0.0</v>
      </c>
      <c r="G803" s="16" t="s">
        <v>1272</v>
      </c>
      <c r="H803" s="21"/>
      <c r="I803" s="22">
        <v>0.0</v>
      </c>
      <c r="J803" s="29"/>
      <c r="K803" s="43">
        <v>7950.0</v>
      </c>
      <c r="L803" s="44">
        <v>12000.0</v>
      </c>
      <c r="M803" s="25"/>
      <c r="N803" s="39"/>
      <c r="O803" s="27">
        <f t="shared" si="94"/>
        <v>0.5094339623</v>
      </c>
      <c r="P803" s="28">
        <f t="shared" si="95"/>
        <v>0</v>
      </c>
    </row>
    <row r="804" hidden="1">
      <c r="A804" s="16" t="s">
        <v>1276</v>
      </c>
      <c r="B804" s="17"/>
      <c r="C804" s="18"/>
      <c r="D804" s="4"/>
      <c r="E804" s="19">
        <v>0.0</v>
      </c>
      <c r="F804" s="19">
        <v>0.0</v>
      </c>
      <c r="G804" s="16" t="s">
        <v>1272</v>
      </c>
      <c r="H804" s="21"/>
      <c r="I804" s="22">
        <v>0.0</v>
      </c>
      <c r="J804" s="29"/>
      <c r="K804" s="43">
        <v>7950.0</v>
      </c>
      <c r="L804" s="44">
        <v>10000.0</v>
      </c>
      <c r="M804" s="25"/>
      <c r="N804" s="39"/>
      <c r="O804" s="27">
        <f t="shared" si="94"/>
        <v>0.2578616352</v>
      </c>
      <c r="P804" s="28">
        <f t="shared" si="95"/>
        <v>0</v>
      </c>
    </row>
    <row r="805" hidden="1">
      <c r="A805" s="16" t="s">
        <v>1277</v>
      </c>
      <c r="B805" s="17"/>
      <c r="C805" s="18"/>
      <c r="D805" s="4"/>
      <c r="E805" s="19">
        <v>0.0</v>
      </c>
      <c r="F805" s="19">
        <v>0.0</v>
      </c>
      <c r="G805" s="16" t="s">
        <v>1272</v>
      </c>
      <c r="H805" s="21"/>
      <c r="I805" s="22">
        <v>0.0</v>
      </c>
      <c r="J805" s="29"/>
      <c r="K805" s="43">
        <v>7950.0</v>
      </c>
      <c r="L805" s="44">
        <v>12000.0</v>
      </c>
      <c r="M805" s="25"/>
      <c r="N805" s="39"/>
      <c r="O805" s="27">
        <f t="shared" si="94"/>
        <v>0.5094339623</v>
      </c>
      <c r="P805" s="28">
        <f t="shared" si="95"/>
        <v>0</v>
      </c>
    </row>
    <row r="806" hidden="1">
      <c r="A806" s="40" t="s">
        <v>1278</v>
      </c>
      <c r="B806" s="36"/>
      <c r="C806" s="18"/>
      <c r="D806" s="4"/>
      <c r="E806" s="19">
        <v>0.0</v>
      </c>
      <c r="F806" s="19">
        <v>0.0</v>
      </c>
      <c r="G806" s="16" t="s">
        <v>1279</v>
      </c>
      <c r="H806" s="21"/>
      <c r="I806" s="22">
        <v>0.0</v>
      </c>
      <c r="J806" s="29"/>
      <c r="K806" s="43">
        <v>3800.0</v>
      </c>
      <c r="L806" s="44">
        <v>6500.0</v>
      </c>
      <c r="M806" s="25"/>
      <c r="N806" s="39"/>
      <c r="O806" s="27">
        <f t="shared" si="94"/>
        <v>0.7105263158</v>
      </c>
      <c r="P806" s="28">
        <f t="shared" si="95"/>
        <v>0</v>
      </c>
    </row>
    <row r="807" hidden="1">
      <c r="A807" s="16" t="s">
        <v>1280</v>
      </c>
      <c r="B807" s="36"/>
      <c r="C807" s="18"/>
      <c r="D807" s="4"/>
      <c r="E807" s="19"/>
      <c r="F807" s="19"/>
      <c r="G807" s="16" t="s">
        <v>88</v>
      </c>
      <c r="H807" s="21"/>
      <c r="I807" s="22">
        <v>0.0</v>
      </c>
      <c r="J807" s="29"/>
      <c r="K807" s="43">
        <v>6078.0</v>
      </c>
      <c r="L807" s="44">
        <v>12000.0</v>
      </c>
      <c r="M807" s="25"/>
      <c r="N807" s="39"/>
      <c r="O807" s="27">
        <f t="shared" si="94"/>
        <v>0.9743336624</v>
      </c>
      <c r="P807" s="28">
        <f t="shared" si="95"/>
        <v>0</v>
      </c>
    </row>
    <row r="808" hidden="1">
      <c r="A808" s="16" t="s">
        <v>1281</v>
      </c>
      <c r="B808" s="51"/>
      <c r="C808" s="18" t="s">
        <v>55</v>
      </c>
      <c r="D808" s="4"/>
      <c r="E808" s="19"/>
      <c r="F808" s="19"/>
      <c r="G808" s="16" t="s">
        <v>88</v>
      </c>
      <c r="H808" s="21"/>
      <c r="I808" s="22">
        <v>0.0</v>
      </c>
      <c r="J808" s="29"/>
      <c r="K808" s="43">
        <f>4673*1.19</f>
        <v>5560.87</v>
      </c>
      <c r="L808" s="44">
        <v>9000.0</v>
      </c>
      <c r="M808" s="25"/>
      <c r="N808" s="26"/>
      <c r="O808" s="27">
        <f t="shared" si="94"/>
        <v>0.618451789</v>
      </c>
      <c r="P808" s="28">
        <f t="shared" si="95"/>
        <v>0</v>
      </c>
    </row>
    <row r="809" hidden="1">
      <c r="A809" s="16" t="s">
        <v>1282</v>
      </c>
      <c r="B809" s="36"/>
      <c r="C809" s="18"/>
      <c r="D809" s="4"/>
      <c r="E809" s="19"/>
      <c r="F809" s="19"/>
      <c r="G809" s="16" t="s">
        <v>88</v>
      </c>
      <c r="H809" s="21"/>
      <c r="I809" s="22">
        <v>8.0</v>
      </c>
      <c r="J809" s="29"/>
      <c r="K809" s="43">
        <v>2125.0</v>
      </c>
      <c r="L809" s="44">
        <v>3000.0</v>
      </c>
      <c r="M809" s="25"/>
      <c r="N809" s="39"/>
      <c r="O809" s="27">
        <f t="shared" si="94"/>
        <v>0.4117647059</v>
      </c>
      <c r="P809" s="28">
        <f t="shared" si="95"/>
        <v>0</v>
      </c>
    </row>
    <row r="810" hidden="1">
      <c r="A810" s="16" t="s">
        <v>1283</v>
      </c>
      <c r="B810" s="36"/>
      <c r="C810" s="18"/>
      <c r="D810" s="4"/>
      <c r="E810" s="19"/>
      <c r="F810" s="19"/>
      <c r="G810" s="16" t="s">
        <v>88</v>
      </c>
      <c r="H810" s="21"/>
      <c r="I810" s="22">
        <v>0.0</v>
      </c>
      <c r="J810" s="29"/>
      <c r="K810" s="43">
        <v>6078.0</v>
      </c>
      <c r="L810" s="44">
        <v>12000.0</v>
      </c>
      <c r="M810" s="25"/>
      <c r="N810" s="39"/>
      <c r="O810" s="27">
        <f t="shared" si="94"/>
        <v>0.9743336624</v>
      </c>
      <c r="P810" s="28">
        <f t="shared" si="95"/>
        <v>0</v>
      </c>
    </row>
    <row r="811" hidden="1">
      <c r="A811" s="16" t="s">
        <v>1284</v>
      </c>
      <c r="B811" s="17"/>
      <c r="C811" s="18"/>
      <c r="D811" s="4"/>
      <c r="E811" s="19">
        <v>0.0</v>
      </c>
      <c r="F811" s="19">
        <v>0.0</v>
      </c>
      <c r="G811" s="120" t="s">
        <v>1285</v>
      </c>
      <c r="H811" s="21"/>
      <c r="I811" s="22">
        <v>1.0</v>
      </c>
      <c r="J811" s="29"/>
      <c r="K811" s="48">
        <v>75440.0</v>
      </c>
      <c r="L811" s="55">
        <v>125000.0</v>
      </c>
      <c r="M811" s="25" t="s">
        <v>82</v>
      </c>
      <c r="N811" s="48">
        <v>98000.0</v>
      </c>
      <c r="O811" s="27">
        <f t="shared" si="94"/>
        <v>0.6569459173</v>
      </c>
      <c r="P811" s="28">
        <f t="shared" si="95"/>
        <v>0</v>
      </c>
    </row>
    <row r="812" hidden="1">
      <c r="A812" s="16" t="s">
        <v>1286</v>
      </c>
      <c r="B812" s="17"/>
      <c r="C812" s="18"/>
      <c r="D812" s="4"/>
      <c r="E812" s="19">
        <v>0.0</v>
      </c>
      <c r="F812" s="19">
        <v>0.0</v>
      </c>
      <c r="G812" s="120" t="s">
        <v>1285</v>
      </c>
      <c r="H812" s="21"/>
      <c r="I812" s="22">
        <v>0.0</v>
      </c>
      <c r="J812" s="29"/>
      <c r="K812" s="48">
        <f>125000/4</f>
        <v>31250</v>
      </c>
      <c r="L812" s="55">
        <v>40000.0</v>
      </c>
      <c r="M812" s="25" t="s">
        <v>82</v>
      </c>
      <c r="N812" s="48">
        <v>28000.0</v>
      </c>
      <c r="O812" s="27">
        <f t="shared" si="94"/>
        <v>0.28</v>
      </c>
      <c r="P812" s="28">
        <f t="shared" si="95"/>
        <v>0</v>
      </c>
    </row>
    <row r="813" hidden="1">
      <c r="A813" s="16" t="s">
        <v>1287</v>
      </c>
      <c r="B813" s="17"/>
      <c r="C813" s="18"/>
      <c r="D813" s="4"/>
      <c r="E813" s="19">
        <v>0.0</v>
      </c>
      <c r="F813" s="19">
        <v>0.0</v>
      </c>
      <c r="G813" s="120" t="s">
        <v>1285</v>
      </c>
      <c r="H813" s="21"/>
      <c r="I813" s="22">
        <v>0.0</v>
      </c>
      <c r="J813" s="29"/>
      <c r="K813" s="48">
        <f>125000/40</f>
        <v>3125</v>
      </c>
      <c r="L813" s="55">
        <v>7000.0</v>
      </c>
      <c r="M813" s="25" t="s">
        <v>82</v>
      </c>
      <c r="N813" s="48">
        <v>4000.0</v>
      </c>
      <c r="O813" s="27">
        <f t="shared" si="94"/>
        <v>1.24</v>
      </c>
      <c r="P813" s="28">
        <f t="shared" si="95"/>
        <v>0</v>
      </c>
    </row>
    <row r="814" hidden="1">
      <c r="A814" s="16" t="s">
        <v>1288</v>
      </c>
      <c r="B814" s="49"/>
      <c r="C814" s="18"/>
      <c r="D814" s="4"/>
      <c r="E814" s="19">
        <v>0.0</v>
      </c>
      <c r="F814" s="19">
        <v>0.0</v>
      </c>
      <c r="G814" s="20" t="s">
        <v>254</v>
      </c>
      <c r="H814" s="21"/>
      <c r="I814" s="22"/>
      <c r="J814" s="29"/>
      <c r="K814" s="43">
        <f>65800/20</f>
        <v>3290</v>
      </c>
      <c r="L814" s="44">
        <v>7000.0</v>
      </c>
      <c r="M814" s="25"/>
      <c r="N814" s="39"/>
      <c r="O814" s="27">
        <f t="shared" si="94"/>
        <v>1.127659574</v>
      </c>
      <c r="P814" s="28">
        <f t="shared" si="95"/>
        <v>0</v>
      </c>
    </row>
    <row r="815" hidden="1">
      <c r="A815" s="16" t="s">
        <v>1289</v>
      </c>
      <c r="B815" s="36" t="s">
        <v>1290</v>
      </c>
      <c r="C815" s="18"/>
      <c r="D815" s="4" t="s">
        <v>1291</v>
      </c>
      <c r="E815" s="19">
        <v>0.0</v>
      </c>
      <c r="F815" s="19"/>
      <c r="G815" s="16" t="s">
        <v>1292</v>
      </c>
      <c r="H815" s="21"/>
      <c r="I815" s="22"/>
      <c r="J815" s="29"/>
      <c r="K815" s="32">
        <f>5000/10</f>
        <v>500</v>
      </c>
      <c r="L815" s="24">
        <v>2500.0</v>
      </c>
      <c r="M815" s="25"/>
      <c r="N815" s="39"/>
      <c r="O815" s="27">
        <f t="shared" si="94"/>
        <v>4</v>
      </c>
      <c r="P815" s="28">
        <f t="shared" si="95"/>
        <v>0</v>
      </c>
    </row>
    <row r="816" hidden="1">
      <c r="A816" s="16" t="s">
        <v>1293</v>
      </c>
      <c r="B816" s="36" t="s">
        <v>1294</v>
      </c>
      <c r="C816" s="18"/>
      <c r="D816" s="4"/>
      <c r="E816" s="19"/>
      <c r="F816" s="19"/>
      <c r="G816" s="16" t="s">
        <v>88</v>
      </c>
      <c r="H816" s="21"/>
      <c r="I816" s="22">
        <v>27.0</v>
      </c>
      <c r="J816" s="47">
        <v>46508.0</v>
      </c>
      <c r="K816" s="48">
        <v>13059.0</v>
      </c>
      <c r="L816" s="48">
        <v>18000.0</v>
      </c>
      <c r="M816" s="25"/>
      <c r="N816" s="102">
        <v>16000.0</v>
      </c>
      <c r="O816" s="27">
        <f t="shared" si="94"/>
        <v>0.3783597519</v>
      </c>
      <c r="P816" s="28">
        <f t="shared" si="95"/>
        <v>0</v>
      </c>
    </row>
    <row r="817" hidden="1">
      <c r="A817" s="16" t="s">
        <v>1295</v>
      </c>
      <c r="B817" s="17" t="s">
        <v>1296</v>
      </c>
      <c r="C817" s="18"/>
      <c r="D817" s="4"/>
      <c r="E817" s="19"/>
      <c r="F817" s="19"/>
      <c r="G817" s="16" t="s">
        <v>88</v>
      </c>
      <c r="H817" s="21"/>
      <c r="I817" s="22">
        <v>4.0</v>
      </c>
      <c r="J817" s="29"/>
      <c r="K817" s="48">
        <v>29178.0</v>
      </c>
      <c r="L817" s="55">
        <v>36000.0</v>
      </c>
      <c r="M817" s="25"/>
      <c r="N817" s="39"/>
      <c r="O817" s="27">
        <f t="shared" si="94"/>
        <v>0.2338062924</v>
      </c>
      <c r="P817" s="28">
        <f t="shared" si="95"/>
        <v>0</v>
      </c>
    </row>
    <row r="818" hidden="1">
      <c r="A818" s="52" t="s">
        <v>1297</v>
      </c>
      <c r="B818" s="17" t="s">
        <v>1298</v>
      </c>
      <c r="C818" s="18" t="s">
        <v>547</v>
      </c>
      <c r="D818" s="4"/>
      <c r="E818" s="19">
        <v>0.0</v>
      </c>
      <c r="F818" s="19">
        <v>0.0</v>
      </c>
      <c r="G818" s="16" t="s">
        <v>104</v>
      </c>
      <c r="H818" s="21"/>
      <c r="I818" s="22">
        <v>0.0</v>
      </c>
      <c r="J818" s="29"/>
      <c r="K818" s="43">
        <v>1.0</v>
      </c>
      <c r="L818" s="44">
        <v>1.0</v>
      </c>
      <c r="M818" s="25"/>
      <c r="N818" s="39"/>
      <c r="O818" s="27">
        <f t="shared" si="94"/>
        <v>0</v>
      </c>
      <c r="P818" s="28">
        <f t="shared" si="95"/>
        <v>0</v>
      </c>
    </row>
    <row r="819" hidden="1">
      <c r="A819" s="52" t="s">
        <v>1299</v>
      </c>
      <c r="B819" s="17" t="s">
        <v>1298</v>
      </c>
      <c r="C819" s="18"/>
      <c r="D819" s="4"/>
      <c r="E819" s="19">
        <v>0.0</v>
      </c>
      <c r="F819" s="19">
        <v>20.0</v>
      </c>
      <c r="G819" s="20" t="s">
        <v>377</v>
      </c>
      <c r="H819" s="21"/>
      <c r="I819" s="22">
        <v>31.0</v>
      </c>
      <c r="J819" s="47">
        <v>46054.0</v>
      </c>
      <c r="K819" s="32">
        <v>10500.0</v>
      </c>
      <c r="L819" s="24">
        <v>16000.0</v>
      </c>
      <c r="M819" s="25" t="s">
        <v>82</v>
      </c>
      <c r="N819" s="31">
        <v>14000.0</v>
      </c>
      <c r="O819" s="27">
        <f t="shared" si="94"/>
        <v>0.5238095238</v>
      </c>
      <c r="P819" s="28">
        <f t="shared" si="95"/>
        <v>210000</v>
      </c>
    </row>
    <row r="820" hidden="1">
      <c r="A820" s="52" t="s">
        <v>1300</v>
      </c>
      <c r="B820" s="51" t="s">
        <v>1296</v>
      </c>
      <c r="C820" s="18" t="s">
        <v>55</v>
      </c>
      <c r="D820" s="4"/>
      <c r="E820" s="19">
        <v>0.0</v>
      </c>
      <c r="F820" s="19">
        <v>0.0</v>
      </c>
      <c r="G820" s="20" t="s">
        <v>377</v>
      </c>
      <c r="H820" s="21"/>
      <c r="I820" s="22">
        <v>9.0</v>
      </c>
      <c r="J820" s="23"/>
      <c r="K820" s="24">
        <v>25000.0</v>
      </c>
      <c r="L820" s="32">
        <v>36000.0</v>
      </c>
      <c r="M820" s="25" t="s">
        <v>82</v>
      </c>
      <c r="N820" s="26"/>
      <c r="O820" s="27">
        <f t="shared" si="94"/>
        <v>0.44</v>
      </c>
      <c r="P820" s="28">
        <f t="shared" si="95"/>
        <v>0</v>
      </c>
    </row>
    <row r="821" hidden="1">
      <c r="A821" s="16" t="s">
        <v>1301</v>
      </c>
      <c r="B821" s="17" t="s">
        <v>1302</v>
      </c>
      <c r="C821" s="18" t="s">
        <v>1303</v>
      </c>
      <c r="D821" s="19"/>
      <c r="E821" s="19">
        <v>0.0</v>
      </c>
      <c r="F821" s="19">
        <v>15.0</v>
      </c>
      <c r="G821" s="16" t="s">
        <v>1304</v>
      </c>
      <c r="H821" s="21"/>
      <c r="I821" s="22">
        <v>2.0</v>
      </c>
      <c r="J821" s="29"/>
      <c r="K821" s="32">
        <f>231059*1.19/15</f>
        <v>18330.68067</v>
      </c>
      <c r="L821" s="32">
        <v>30000.0</v>
      </c>
      <c r="M821" s="25"/>
      <c r="N821" s="102">
        <v>24000.0</v>
      </c>
      <c r="O821" s="27">
        <f>(L821/K821)-1</f>
        <v>0.6366004376</v>
      </c>
      <c r="P821" s="28">
        <f t="shared" si="95"/>
        <v>274960.21</v>
      </c>
    </row>
    <row r="822" hidden="1">
      <c r="A822" s="16" t="s">
        <v>1305</v>
      </c>
      <c r="B822" s="17"/>
      <c r="C822" s="18"/>
      <c r="D822" s="4"/>
      <c r="E822" s="19">
        <v>0.0</v>
      </c>
      <c r="F822" s="19">
        <v>0.0</v>
      </c>
      <c r="G822" s="16" t="s">
        <v>1306</v>
      </c>
      <c r="H822" s="21"/>
      <c r="I822" s="22">
        <v>69.0</v>
      </c>
      <c r="J822" s="29"/>
      <c r="K822" s="48">
        <f>60800/8</f>
        <v>7600</v>
      </c>
      <c r="L822" s="48">
        <v>10000.0</v>
      </c>
      <c r="M822" s="25" t="s">
        <v>76</v>
      </c>
      <c r="N822" s="39"/>
      <c r="O822" s="27">
        <f t="shared" ref="O822:O841" si="96">(L822/K822)-1</f>
        <v>0.3157894737</v>
      </c>
      <c r="P822" s="28">
        <f t="shared" si="95"/>
        <v>0</v>
      </c>
    </row>
    <row r="823" hidden="1">
      <c r="A823" s="16" t="s">
        <v>1307</v>
      </c>
      <c r="B823" s="17" t="s">
        <v>1308</v>
      </c>
      <c r="C823" s="92"/>
      <c r="D823" s="4"/>
      <c r="E823" s="19">
        <v>0.0</v>
      </c>
      <c r="F823" s="19">
        <v>0.0</v>
      </c>
      <c r="G823" s="20" t="s">
        <v>1309</v>
      </c>
      <c r="H823" s="21">
        <v>3.0</v>
      </c>
      <c r="I823" s="22"/>
      <c r="J823" s="47">
        <v>47178.0</v>
      </c>
      <c r="K823" s="48">
        <f>61642/15</f>
        <v>4109.466667</v>
      </c>
      <c r="L823" s="55">
        <v>8000.0</v>
      </c>
      <c r="M823" s="25"/>
      <c r="N823" s="102">
        <v>6000.0</v>
      </c>
      <c r="O823" s="27">
        <f t="shared" si="96"/>
        <v>0.9467246358</v>
      </c>
      <c r="P823" s="28">
        <f t="shared" si="95"/>
        <v>0</v>
      </c>
    </row>
    <row r="824" hidden="1">
      <c r="A824" s="52" t="s">
        <v>1310</v>
      </c>
      <c r="B824" s="36"/>
      <c r="C824" s="18"/>
      <c r="D824" s="4"/>
      <c r="E824" s="19">
        <v>0.0</v>
      </c>
      <c r="F824" s="19">
        <v>0.0</v>
      </c>
      <c r="G824" s="16" t="s">
        <v>437</v>
      </c>
      <c r="H824" s="21"/>
      <c r="I824" s="22" t="s">
        <v>99</v>
      </c>
      <c r="J824" s="29"/>
      <c r="K824" s="43">
        <v>6000.0</v>
      </c>
      <c r="L824" s="44">
        <v>15000.0</v>
      </c>
      <c r="M824" s="25"/>
      <c r="N824" s="39"/>
      <c r="O824" s="27">
        <f t="shared" si="96"/>
        <v>1.5</v>
      </c>
      <c r="P824" s="28" t="str">
        <f>K824*#REF!</f>
        <v>#REF!</v>
      </c>
    </row>
    <row r="825" hidden="1">
      <c r="A825" s="52" t="s">
        <v>1311</v>
      </c>
      <c r="B825" s="36"/>
      <c r="C825" s="18"/>
      <c r="D825" s="4"/>
      <c r="E825" s="19">
        <v>0.0</v>
      </c>
      <c r="F825" s="19">
        <v>0.0</v>
      </c>
      <c r="G825" s="16" t="s">
        <v>437</v>
      </c>
      <c r="H825" s="21"/>
      <c r="I825" s="22" t="s">
        <v>99</v>
      </c>
      <c r="J825" s="29"/>
      <c r="K825" s="43">
        <v>5000.0</v>
      </c>
      <c r="L825" s="44">
        <v>12000.0</v>
      </c>
      <c r="M825" s="25"/>
      <c r="N825" s="39"/>
      <c r="O825" s="27">
        <f t="shared" si="96"/>
        <v>1.4</v>
      </c>
      <c r="P825" s="28">
        <f t="shared" ref="P825:P827" si="97">K825*F825</f>
        <v>0</v>
      </c>
    </row>
    <row r="826" hidden="1">
      <c r="A826" s="52" t="s">
        <v>1312</v>
      </c>
      <c r="B826" s="36"/>
      <c r="C826" s="18"/>
      <c r="D826" s="4"/>
      <c r="E826" s="19">
        <v>0.0</v>
      </c>
      <c r="F826" s="19">
        <v>0.0</v>
      </c>
      <c r="G826" s="16" t="s">
        <v>437</v>
      </c>
      <c r="H826" s="21"/>
      <c r="I826" s="22">
        <v>4.0</v>
      </c>
      <c r="J826" s="29"/>
      <c r="K826" s="43">
        <v>8000.0</v>
      </c>
      <c r="L826" s="44">
        <v>15000.0</v>
      </c>
      <c r="M826" s="25"/>
      <c r="N826" s="39"/>
      <c r="O826" s="27">
        <f t="shared" si="96"/>
        <v>0.875</v>
      </c>
      <c r="P826" s="28">
        <f t="shared" si="97"/>
        <v>0</v>
      </c>
    </row>
    <row r="827" hidden="1">
      <c r="A827" s="52" t="s">
        <v>1313</v>
      </c>
      <c r="B827" s="36"/>
      <c r="C827" s="18"/>
      <c r="D827" s="4"/>
      <c r="E827" s="19">
        <v>0.0</v>
      </c>
      <c r="F827" s="19">
        <v>0.0</v>
      </c>
      <c r="G827" s="16" t="s">
        <v>437</v>
      </c>
      <c r="H827" s="21"/>
      <c r="I827" s="22" t="s">
        <v>99</v>
      </c>
      <c r="J827" s="29"/>
      <c r="K827" s="43">
        <v>9000.0</v>
      </c>
      <c r="L827" s="44">
        <v>18000.0</v>
      </c>
      <c r="M827" s="25"/>
      <c r="N827" s="39"/>
      <c r="O827" s="27">
        <f t="shared" si="96"/>
        <v>1</v>
      </c>
      <c r="P827" s="28">
        <f t="shared" si="97"/>
        <v>0</v>
      </c>
    </row>
    <row r="828" hidden="1">
      <c r="A828" s="52" t="s">
        <v>1314</v>
      </c>
      <c r="B828" s="36"/>
      <c r="C828" s="18"/>
      <c r="D828" s="4"/>
      <c r="E828" s="19">
        <v>0.0</v>
      </c>
      <c r="F828" s="19">
        <v>0.0</v>
      </c>
      <c r="G828" s="16" t="s">
        <v>437</v>
      </c>
      <c r="H828" s="21"/>
      <c r="I828" s="22">
        <v>13.0</v>
      </c>
      <c r="J828" s="23"/>
      <c r="K828" s="44">
        <v>7000.0</v>
      </c>
      <c r="L828" s="44">
        <v>18000.0</v>
      </c>
      <c r="M828" s="25"/>
      <c r="N828" s="39"/>
      <c r="O828" s="27">
        <f t="shared" si="96"/>
        <v>1.571428571</v>
      </c>
      <c r="P828" s="28" t="str">
        <f>K828*#REF!</f>
        <v>#REF!</v>
      </c>
    </row>
    <row r="829" hidden="1">
      <c r="A829" s="52" t="s">
        <v>1315</v>
      </c>
      <c r="B829" s="17"/>
      <c r="C829" s="18"/>
      <c r="D829" s="4"/>
      <c r="E829" s="19">
        <v>0.0</v>
      </c>
      <c r="F829" s="19">
        <v>0.0</v>
      </c>
      <c r="G829" s="16" t="s">
        <v>437</v>
      </c>
      <c r="H829" s="21"/>
      <c r="I829" s="22">
        <v>11.0</v>
      </c>
      <c r="J829" s="29"/>
      <c r="K829" s="43">
        <v>6000.0</v>
      </c>
      <c r="L829" s="44">
        <v>15000.0</v>
      </c>
      <c r="M829" s="25"/>
      <c r="N829" s="39"/>
      <c r="O829" s="27">
        <f t="shared" si="96"/>
        <v>1.5</v>
      </c>
      <c r="P829" s="28">
        <f t="shared" ref="P829:P833" si="98">K829*F829</f>
        <v>0</v>
      </c>
    </row>
    <row r="830" hidden="1">
      <c r="A830" s="52" t="s">
        <v>1316</v>
      </c>
      <c r="B830" s="36" t="s">
        <v>680</v>
      </c>
      <c r="C830" s="18"/>
      <c r="D830" s="4"/>
      <c r="E830" s="19">
        <v>0.0</v>
      </c>
      <c r="F830" s="19">
        <v>0.0</v>
      </c>
      <c r="G830" s="16" t="s">
        <v>437</v>
      </c>
      <c r="H830" s="21"/>
      <c r="I830" s="22" t="s">
        <v>99</v>
      </c>
      <c r="J830" s="29"/>
      <c r="K830" s="43">
        <v>2000.0</v>
      </c>
      <c r="L830" s="44">
        <v>8000.0</v>
      </c>
      <c r="M830" s="25"/>
      <c r="N830" s="39"/>
      <c r="O830" s="27">
        <f t="shared" si="96"/>
        <v>3</v>
      </c>
      <c r="P830" s="28">
        <f t="shared" si="98"/>
        <v>0</v>
      </c>
    </row>
    <row r="831" hidden="1">
      <c r="A831" s="119" t="s">
        <v>1317</v>
      </c>
      <c r="B831" s="51"/>
      <c r="C831" s="18"/>
      <c r="D831" s="4"/>
      <c r="E831" s="19">
        <v>0.0</v>
      </c>
      <c r="F831" s="19">
        <v>0.0</v>
      </c>
      <c r="G831" s="20" t="s">
        <v>497</v>
      </c>
      <c r="H831" s="190"/>
      <c r="I831" s="22" t="s">
        <v>99</v>
      </c>
      <c r="J831" s="191"/>
      <c r="K831" s="192">
        <f>8125/25</f>
        <v>325</v>
      </c>
      <c r="L831" s="44">
        <v>500.0</v>
      </c>
      <c r="M831" s="25"/>
      <c r="N831" s="39"/>
      <c r="O831" s="27">
        <f t="shared" si="96"/>
        <v>0.5384615385</v>
      </c>
      <c r="P831" s="28">
        <f t="shared" si="98"/>
        <v>0</v>
      </c>
    </row>
    <row r="832" hidden="1">
      <c r="A832" s="52" t="s">
        <v>1318</v>
      </c>
      <c r="B832" s="36" t="s">
        <v>680</v>
      </c>
      <c r="C832" s="18"/>
      <c r="D832" s="4"/>
      <c r="E832" s="19">
        <v>0.0</v>
      </c>
      <c r="F832" s="19">
        <v>0.0</v>
      </c>
      <c r="G832" s="16" t="s">
        <v>437</v>
      </c>
      <c r="H832" s="21"/>
      <c r="I832" s="22" t="s">
        <v>99</v>
      </c>
      <c r="J832" s="29"/>
      <c r="K832" s="43">
        <v>350.0</v>
      </c>
      <c r="L832" s="44">
        <v>1000.0</v>
      </c>
      <c r="M832" s="25"/>
      <c r="N832" s="39"/>
      <c r="O832" s="27">
        <f t="shared" si="96"/>
        <v>1.857142857</v>
      </c>
      <c r="P832" s="28">
        <f t="shared" si="98"/>
        <v>0</v>
      </c>
    </row>
    <row r="833" hidden="1">
      <c r="A833" s="122" t="s">
        <v>1319</v>
      </c>
      <c r="B833" s="36"/>
      <c r="C833" s="18"/>
      <c r="D833" s="4"/>
      <c r="E833" s="19">
        <v>0.0</v>
      </c>
      <c r="F833" s="19">
        <v>0.0</v>
      </c>
      <c r="G833" s="16" t="s">
        <v>437</v>
      </c>
      <c r="H833" s="21"/>
      <c r="I833" s="22" t="s">
        <v>99</v>
      </c>
      <c r="J833" s="29"/>
      <c r="K833" s="43">
        <v>350.0</v>
      </c>
      <c r="L833" s="44">
        <v>500.0</v>
      </c>
      <c r="M833" s="25"/>
      <c r="N833" s="39"/>
      <c r="O833" s="27">
        <f t="shared" si="96"/>
        <v>0.4285714286</v>
      </c>
      <c r="P833" s="28">
        <f t="shared" si="98"/>
        <v>0</v>
      </c>
    </row>
    <row r="834" hidden="1">
      <c r="A834" s="52" t="s">
        <v>1320</v>
      </c>
      <c r="B834" s="17"/>
      <c r="C834" s="18"/>
      <c r="D834" s="4"/>
      <c r="E834" s="19">
        <v>0.0</v>
      </c>
      <c r="F834" s="19">
        <v>0.0</v>
      </c>
      <c r="G834" s="16" t="s">
        <v>437</v>
      </c>
      <c r="H834" s="21"/>
      <c r="I834" s="22" t="s">
        <v>99</v>
      </c>
      <c r="J834" s="29"/>
      <c r="K834" s="43">
        <v>1000.0</v>
      </c>
      <c r="L834" s="44">
        <v>1500.0</v>
      </c>
      <c r="M834" s="25"/>
      <c r="N834" s="39"/>
      <c r="O834" s="27">
        <f t="shared" si="96"/>
        <v>0.5</v>
      </c>
      <c r="P834" s="28" t="str">
        <f>K834*#REF!</f>
        <v>#REF!</v>
      </c>
    </row>
    <row r="835" hidden="1">
      <c r="A835" s="52" t="s">
        <v>1321</v>
      </c>
      <c r="B835" s="17"/>
      <c r="C835" s="18"/>
      <c r="D835" s="4"/>
      <c r="E835" s="19">
        <v>0.0</v>
      </c>
      <c r="F835" s="19">
        <v>0.0</v>
      </c>
      <c r="G835" s="16" t="s">
        <v>437</v>
      </c>
      <c r="H835" s="21"/>
      <c r="I835" s="22">
        <v>8.0</v>
      </c>
      <c r="J835" s="29"/>
      <c r="K835" s="43">
        <v>1000.0</v>
      </c>
      <c r="L835" s="44">
        <v>1500.0</v>
      </c>
      <c r="M835" s="25"/>
      <c r="N835" s="39"/>
      <c r="O835" s="27">
        <f t="shared" si="96"/>
        <v>0.5</v>
      </c>
      <c r="P835" s="28">
        <f t="shared" ref="P835:P839" si="99">K835*F835</f>
        <v>0</v>
      </c>
    </row>
    <row r="836" hidden="1">
      <c r="A836" s="52" t="s">
        <v>1322</v>
      </c>
      <c r="B836" s="36"/>
      <c r="C836" s="18"/>
      <c r="D836" s="4"/>
      <c r="E836" s="19">
        <v>0.0</v>
      </c>
      <c r="F836" s="19">
        <v>0.0</v>
      </c>
      <c r="G836" s="16" t="s">
        <v>439</v>
      </c>
      <c r="H836" s="21"/>
      <c r="I836" s="22" t="s">
        <v>99</v>
      </c>
      <c r="J836" s="29"/>
      <c r="K836" s="43">
        <v>350.0</v>
      </c>
      <c r="L836" s="44">
        <v>500.0</v>
      </c>
      <c r="M836" s="25"/>
      <c r="N836" s="39"/>
      <c r="O836" s="27">
        <f t="shared" si="96"/>
        <v>0.4285714286</v>
      </c>
      <c r="P836" s="28">
        <f t="shared" si="99"/>
        <v>0</v>
      </c>
    </row>
    <row r="837" hidden="1">
      <c r="A837" s="52" t="s">
        <v>1323</v>
      </c>
      <c r="B837" s="36"/>
      <c r="C837" s="18"/>
      <c r="D837" s="4"/>
      <c r="E837" s="19">
        <v>0.0</v>
      </c>
      <c r="F837" s="19">
        <v>0.0</v>
      </c>
      <c r="G837" s="16" t="s">
        <v>439</v>
      </c>
      <c r="H837" s="21"/>
      <c r="I837" s="22">
        <f>12+19</f>
        <v>31</v>
      </c>
      <c r="J837" s="29"/>
      <c r="K837" s="43">
        <v>350.0</v>
      </c>
      <c r="L837" s="44">
        <v>500.0</v>
      </c>
      <c r="M837" s="25"/>
      <c r="N837" s="39"/>
      <c r="O837" s="27">
        <f t="shared" si="96"/>
        <v>0.4285714286</v>
      </c>
      <c r="P837" s="28">
        <f t="shared" si="99"/>
        <v>0</v>
      </c>
    </row>
    <row r="838" hidden="1">
      <c r="A838" s="119" t="s">
        <v>1324</v>
      </c>
      <c r="B838" s="193" t="s">
        <v>1325</v>
      </c>
      <c r="C838" s="18"/>
      <c r="D838" s="4"/>
      <c r="E838" s="19"/>
      <c r="F838" s="19"/>
      <c r="G838" s="20" t="s">
        <v>1326</v>
      </c>
      <c r="H838" s="21">
        <v>0.0</v>
      </c>
      <c r="I838" s="22"/>
      <c r="J838" s="74"/>
      <c r="K838" s="194">
        <f>13685/100</f>
        <v>136.85</v>
      </c>
      <c r="L838" s="24">
        <v>500.0</v>
      </c>
      <c r="M838" s="25"/>
      <c r="N838" s="39"/>
      <c r="O838" s="27">
        <f t="shared" si="96"/>
        <v>2.653635367</v>
      </c>
      <c r="P838" s="28">
        <f t="shared" si="99"/>
        <v>0</v>
      </c>
    </row>
    <row r="839" hidden="1">
      <c r="A839" s="16" t="s">
        <v>1327</v>
      </c>
      <c r="B839" s="49"/>
      <c r="C839" s="18"/>
      <c r="D839" s="4" t="s">
        <v>676</v>
      </c>
      <c r="E839" s="19">
        <v>0.0</v>
      </c>
      <c r="F839" s="19">
        <v>20.0</v>
      </c>
      <c r="G839" s="20" t="s">
        <v>1328</v>
      </c>
      <c r="H839" s="21"/>
      <c r="I839" s="22">
        <v>8.0</v>
      </c>
      <c r="J839" s="47">
        <v>46508.0</v>
      </c>
      <c r="K839" s="43">
        <v>6188.0</v>
      </c>
      <c r="L839" s="44">
        <v>8000.0</v>
      </c>
      <c r="M839" s="25"/>
      <c r="N839" s="39"/>
      <c r="O839" s="27">
        <f t="shared" si="96"/>
        <v>0.2928248222</v>
      </c>
      <c r="P839" s="28">
        <f t="shared" si="99"/>
        <v>123760</v>
      </c>
    </row>
    <row r="840" hidden="1">
      <c r="A840" s="16" t="s">
        <v>1329</v>
      </c>
      <c r="B840" s="4" t="s">
        <v>1330</v>
      </c>
      <c r="C840" s="18"/>
      <c r="D840" s="4"/>
      <c r="E840" s="19">
        <v>0.0</v>
      </c>
      <c r="F840" s="19">
        <v>0.0</v>
      </c>
      <c r="G840" s="16" t="s">
        <v>1331</v>
      </c>
      <c r="H840" s="21"/>
      <c r="I840" s="22">
        <v>0.0</v>
      </c>
      <c r="J840" s="23"/>
      <c r="K840" s="24">
        <f>10367*1.19</f>
        <v>12336.73</v>
      </c>
      <c r="L840" s="24">
        <v>15000.0</v>
      </c>
      <c r="M840" s="25"/>
      <c r="N840" s="39"/>
      <c r="O840" s="27">
        <f t="shared" si="96"/>
        <v>0.2158813559</v>
      </c>
      <c r="P840" s="28"/>
    </row>
    <row r="841" hidden="1">
      <c r="A841" s="42" t="s">
        <v>1332</v>
      </c>
      <c r="B841" s="71"/>
      <c r="C841" s="18"/>
      <c r="D841" s="4"/>
      <c r="E841" s="19">
        <v>0.0</v>
      </c>
      <c r="F841" s="19"/>
      <c r="G841" s="20" t="s">
        <v>1333</v>
      </c>
      <c r="H841" s="21"/>
      <c r="I841" s="22"/>
      <c r="J841" s="29"/>
      <c r="K841" s="43">
        <v>240.0</v>
      </c>
      <c r="L841" s="44">
        <v>1000.0</v>
      </c>
      <c r="M841" s="25"/>
      <c r="N841" s="39"/>
      <c r="O841" s="27">
        <f t="shared" si="96"/>
        <v>3.166666667</v>
      </c>
      <c r="P841" s="28">
        <f>K841*F841</f>
        <v>0</v>
      </c>
    </row>
    <row r="842" hidden="1">
      <c r="A842" s="16" t="s">
        <v>1334</v>
      </c>
      <c r="B842" s="17"/>
      <c r="C842" s="18"/>
      <c r="D842" s="4"/>
      <c r="E842" s="19">
        <v>0.0</v>
      </c>
      <c r="F842" s="19">
        <v>0.0</v>
      </c>
      <c r="G842" s="20" t="s">
        <v>1335</v>
      </c>
      <c r="H842" s="21"/>
      <c r="I842" s="22"/>
      <c r="J842" s="29"/>
      <c r="K842" s="43"/>
      <c r="L842" s="44">
        <v>45000.0</v>
      </c>
      <c r="M842" s="25"/>
      <c r="N842" s="39"/>
      <c r="O842" s="27"/>
      <c r="P842" s="28"/>
    </row>
    <row r="843" hidden="1">
      <c r="A843" s="16" t="s">
        <v>1336</v>
      </c>
      <c r="B843" s="49"/>
      <c r="C843" s="18"/>
      <c r="D843" s="4" t="s">
        <v>998</v>
      </c>
      <c r="E843" s="19">
        <v>0.0</v>
      </c>
      <c r="F843" s="19">
        <v>10.0</v>
      </c>
      <c r="G843" s="20" t="s">
        <v>1205</v>
      </c>
      <c r="H843" s="21"/>
      <c r="I843" s="22">
        <v>2.0</v>
      </c>
      <c r="J843" s="29"/>
      <c r="K843" s="43">
        <f>45000*1.19</f>
        <v>53550</v>
      </c>
      <c r="L843" s="44">
        <v>76000.0</v>
      </c>
      <c r="M843" s="25"/>
      <c r="N843" s="39"/>
      <c r="O843" s="27">
        <f t="shared" ref="O843:O876" si="100">(L843/K843)-1</f>
        <v>0.4192343604</v>
      </c>
      <c r="P843" s="28">
        <f t="shared" ref="P843:P876" si="101">K843*F843</f>
        <v>535500</v>
      </c>
    </row>
    <row r="844" hidden="1">
      <c r="A844" s="40" t="s">
        <v>1337</v>
      </c>
      <c r="B844" s="17"/>
      <c r="C844" s="18"/>
      <c r="D844" s="4"/>
      <c r="E844" s="19">
        <v>0.0</v>
      </c>
      <c r="F844" s="19"/>
      <c r="G844" s="16" t="s">
        <v>1338</v>
      </c>
      <c r="H844" s="21"/>
      <c r="I844" s="22"/>
      <c r="J844" s="29"/>
      <c r="K844" s="43">
        <v>100000.0</v>
      </c>
      <c r="L844" s="44">
        <v>145000.0</v>
      </c>
      <c r="M844" s="25"/>
      <c r="N844" s="39"/>
      <c r="O844" s="27">
        <f t="shared" si="100"/>
        <v>0.45</v>
      </c>
      <c r="P844" s="28">
        <f t="shared" si="101"/>
        <v>0</v>
      </c>
    </row>
    <row r="845" hidden="1">
      <c r="A845" s="16" t="s">
        <v>1339</v>
      </c>
      <c r="B845" s="195"/>
      <c r="C845" s="18"/>
      <c r="D845" s="4"/>
      <c r="E845" s="19">
        <v>0.0</v>
      </c>
      <c r="F845" s="19">
        <v>0.0</v>
      </c>
      <c r="G845" s="16" t="s">
        <v>1340</v>
      </c>
      <c r="H845" s="21"/>
      <c r="I845" s="22"/>
      <c r="J845" s="29"/>
      <c r="K845" s="43">
        <v>3016.0</v>
      </c>
      <c r="L845" s="44">
        <v>10000.0</v>
      </c>
      <c r="M845" s="25"/>
      <c r="N845" s="39"/>
      <c r="O845" s="27">
        <f t="shared" si="100"/>
        <v>2.315649867</v>
      </c>
      <c r="P845" s="28">
        <f t="shared" si="101"/>
        <v>0</v>
      </c>
    </row>
    <row r="846" hidden="1">
      <c r="A846" s="16" t="s">
        <v>1341</v>
      </c>
      <c r="B846" s="196"/>
      <c r="C846" s="18"/>
      <c r="D846" s="4"/>
      <c r="E846" s="19">
        <v>0.0</v>
      </c>
      <c r="F846" s="19">
        <v>0.0</v>
      </c>
      <c r="G846" s="16" t="s">
        <v>1340</v>
      </c>
      <c r="H846" s="21"/>
      <c r="I846" s="22"/>
      <c r="J846" s="29"/>
      <c r="K846" s="43">
        <v>2936.0</v>
      </c>
      <c r="L846" s="44">
        <v>10000.0</v>
      </c>
      <c r="M846" s="25"/>
      <c r="N846" s="39"/>
      <c r="O846" s="27">
        <f t="shared" si="100"/>
        <v>2.40599455</v>
      </c>
      <c r="P846" s="28">
        <f t="shared" si="101"/>
        <v>0</v>
      </c>
    </row>
    <row r="847" hidden="1">
      <c r="A847" s="16" t="s">
        <v>1342</v>
      </c>
      <c r="B847" s="195"/>
      <c r="C847" s="18"/>
      <c r="D847" s="4"/>
      <c r="E847" s="19">
        <v>0.0</v>
      </c>
      <c r="F847" s="19">
        <v>0.0</v>
      </c>
      <c r="G847" s="16" t="s">
        <v>1340</v>
      </c>
      <c r="H847" s="21"/>
      <c r="I847" s="22"/>
      <c r="J847" s="29"/>
      <c r="K847" s="43">
        <v>3016.0</v>
      </c>
      <c r="L847" s="44">
        <v>10000.0</v>
      </c>
      <c r="M847" s="25"/>
      <c r="N847" s="39"/>
      <c r="O847" s="27">
        <f t="shared" si="100"/>
        <v>2.315649867</v>
      </c>
      <c r="P847" s="28">
        <f t="shared" si="101"/>
        <v>0</v>
      </c>
    </row>
    <row r="848" hidden="1">
      <c r="A848" s="16" t="s">
        <v>1343</v>
      </c>
      <c r="B848" s="195"/>
      <c r="C848" s="18"/>
      <c r="D848" s="4"/>
      <c r="E848" s="19">
        <v>0.0</v>
      </c>
      <c r="F848" s="19">
        <v>0.0</v>
      </c>
      <c r="G848" s="16" t="s">
        <v>1340</v>
      </c>
      <c r="H848" s="21"/>
      <c r="I848" s="22"/>
      <c r="J848" s="29"/>
      <c r="K848" s="43">
        <v>3016.0</v>
      </c>
      <c r="L848" s="44">
        <v>10000.0</v>
      </c>
      <c r="M848" s="25"/>
      <c r="N848" s="39"/>
      <c r="O848" s="27">
        <f t="shared" si="100"/>
        <v>2.315649867</v>
      </c>
      <c r="P848" s="28">
        <f t="shared" si="101"/>
        <v>0</v>
      </c>
    </row>
    <row r="849" hidden="1">
      <c r="A849" s="16" t="s">
        <v>1344</v>
      </c>
      <c r="B849" s="195"/>
      <c r="C849" s="18"/>
      <c r="D849" s="4"/>
      <c r="E849" s="19">
        <v>0.0</v>
      </c>
      <c r="F849" s="19">
        <v>0.0</v>
      </c>
      <c r="G849" s="16" t="s">
        <v>1340</v>
      </c>
      <c r="H849" s="21"/>
      <c r="I849" s="22"/>
      <c r="J849" s="29"/>
      <c r="K849" s="43">
        <v>3016.0</v>
      </c>
      <c r="L849" s="44">
        <v>10000.0</v>
      </c>
      <c r="M849" s="25"/>
      <c r="N849" s="39"/>
      <c r="O849" s="27">
        <f t="shared" si="100"/>
        <v>2.315649867</v>
      </c>
      <c r="P849" s="28">
        <f t="shared" si="101"/>
        <v>0</v>
      </c>
    </row>
    <row r="850" hidden="1">
      <c r="A850" s="16" t="s">
        <v>1345</v>
      </c>
      <c r="B850" s="195"/>
      <c r="C850" s="18"/>
      <c r="D850" s="4"/>
      <c r="E850" s="19">
        <v>0.0</v>
      </c>
      <c r="F850" s="19">
        <v>0.0</v>
      </c>
      <c r="G850" s="16" t="s">
        <v>1340</v>
      </c>
      <c r="H850" s="21"/>
      <c r="I850" s="22"/>
      <c r="J850" s="29"/>
      <c r="K850" s="43">
        <v>3016.0</v>
      </c>
      <c r="L850" s="44">
        <v>10000.0</v>
      </c>
      <c r="M850" s="25"/>
      <c r="N850" s="39"/>
      <c r="O850" s="27">
        <f t="shared" si="100"/>
        <v>2.315649867</v>
      </c>
      <c r="P850" s="28">
        <f t="shared" si="101"/>
        <v>0</v>
      </c>
    </row>
    <row r="851" hidden="1">
      <c r="A851" s="16" t="s">
        <v>1346</v>
      </c>
      <c r="B851" s="195"/>
      <c r="C851" s="18"/>
      <c r="D851" s="4"/>
      <c r="E851" s="19">
        <v>0.0</v>
      </c>
      <c r="F851" s="19">
        <v>0.0</v>
      </c>
      <c r="G851" s="16" t="s">
        <v>1340</v>
      </c>
      <c r="H851" s="21"/>
      <c r="I851" s="22"/>
      <c r="J851" s="29"/>
      <c r="K851" s="43">
        <v>3016.0</v>
      </c>
      <c r="L851" s="44">
        <v>10000.0</v>
      </c>
      <c r="M851" s="25"/>
      <c r="N851" s="39"/>
      <c r="O851" s="27">
        <f t="shared" si="100"/>
        <v>2.315649867</v>
      </c>
      <c r="P851" s="28">
        <f t="shared" si="101"/>
        <v>0</v>
      </c>
    </row>
    <row r="852" hidden="1">
      <c r="A852" s="16" t="s">
        <v>1347</v>
      </c>
      <c r="B852" s="195"/>
      <c r="C852" s="18"/>
      <c r="D852" s="4"/>
      <c r="E852" s="19">
        <v>0.0</v>
      </c>
      <c r="F852" s="19">
        <v>0.0</v>
      </c>
      <c r="G852" s="16" t="s">
        <v>1340</v>
      </c>
      <c r="H852" s="21"/>
      <c r="I852" s="22"/>
      <c r="J852" s="29"/>
      <c r="K852" s="43">
        <v>3016.0</v>
      </c>
      <c r="L852" s="44">
        <v>10000.0</v>
      </c>
      <c r="M852" s="25"/>
      <c r="N852" s="39"/>
      <c r="O852" s="27">
        <f t="shared" si="100"/>
        <v>2.315649867</v>
      </c>
      <c r="P852" s="28">
        <f t="shared" si="101"/>
        <v>0</v>
      </c>
    </row>
    <row r="853" hidden="1">
      <c r="A853" s="42" t="s">
        <v>1348</v>
      </c>
      <c r="B853" s="195"/>
      <c r="C853" s="18"/>
      <c r="D853" s="4"/>
      <c r="E853" s="19">
        <v>0.0</v>
      </c>
      <c r="F853" s="19">
        <v>0.0</v>
      </c>
      <c r="G853" s="16" t="s">
        <v>1340</v>
      </c>
      <c r="H853" s="21"/>
      <c r="I853" s="22"/>
      <c r="J853" s="29"/>
      <c r="K853" s="43">
        <v>3016.0</v>
      </c>
      <c r="L853" s="44">
        <v>10000.0</v>
      </c>
      <c r="M853" s="25"/>
      <c r="N853" s="39"/>
      <c r="O853" s="27">
        <f t="shared" si="100"/>
        <v>2.315649867</v>
      </c>
      <c r="P853" s="28">
        <f t="shared" si="101"/>
        <v>0</v>
      </c>
    </row>
    <row r="854" hidden="1">
      <c r="A854" s="42" t="s">
        <v>1349</v>
      </c>
      <c r="B854" s="195"/>
      <c r="C854" s="18"/>
      <c r="D854" s="4"/>
      <c r="E854" s="19">
        <v>0.0</v>
      </c>
      <c r="F854" s="19">
        <v>0.0</v>
      </c>
      <c r="G854" s="16" t="s">
        <v>1340</v>
      </c>
      <c r="H854" s="21"/>
      <c r="I854" s="22"/>
      <c r="J854" s="29"/>
      <c r="K854" s="43">
        <v>4000.0</v>
      </c>
      <c r="L854" s="44">
        <v>10000.0</v>
      </c>
      <c r="M854" s="25"/>
      <c r="N854" s="39"/>
      <c r="O854" s="27">
        <f t="shared" si="100"/>
        <v>1.5</v>
      </c>
      <c r="P854" s="28">
        <f t="shared" si="101"/>
        <v>0</v>
      </c>
    </row>
    <row r="855" hidden="1">
      <c r="A855" s="42" t="s">
        <v>1350</v>
      </c>
      <c r="B855" s="195"/>
      <c r="C855" s="18"/>
      <c r="D855" s="4"/>
      <c r="E855" s="19">
        <v>0.0</v>
      </c>
      <c r="F855" s="19">
        <v>0.0</v>
      </c>
      <c r="G855" s="16" t="s">
        <v>1340</v>
      </c>
      <c r="H855" s="21"/>
      <c r="I855" s="22"/>
      <c r="J855" s="29"/>
      <c r="K855" s="43">
        <v>3016.0</v>
      </c>
      <c r="L855" s="44">
        <v>10000.0</v>
      </c>
      <c r="M855" s="25"/>
      <c r="N855" s="39"/>
      <c r="O855" s="27">
        <f t="shared" si="100"/>
        <v>2.315649867</v>
      </c>
      <c r="P855" s="28">
        <f t="shared" si="101"/>
        <v>0</v>
      </c>
    </row>
    <row r="856" hidden="1">
      <c r="A856" s="42" t="s">
        <v>1351</v>
      </c>
      <c r="B856" s="195"/>
      <c r="C856" s="18"/>
      <c r="D856" s="4"/>
      <c r="E856" s="19">
        <v>0.0</v>
      </c>
      <c r="F856" s="19">
        <v>0.0</v>
      </c>
      <c r="G856" s="16" t="s">
        <v>1340</v>
      </c>
      <c r="H856" s="21"/>
      <c r="I856" s="22"/>
      <c r="J856" s="29"/>
      <c r="K856" s="43">
        <v>3016.0</v>
      </c>
      <c r="L856" s="44">
        <v>10000.0</v>
      </c>
      <c r="M856" s="25"/>
      <c r="N856" s="39"/>
      <c r="O856" s="27">
        <f t="shared" si="100"/>
        <v>2.315649867</v>
      </c>
      <c r="P856" s="28">
        <f t="shared" si="101"/>
        <v>0</v>
      </c>
    </row>
    <row r="857" hidden="1">
      <c r="A857" s="42" t="s">
        <v>1352</v>
      </c>
      <c r="B857" s="195"/>
      <c r="C857" s="18"/>
      <c r="D857" s="4"/>
      <c r="E857" s="19">
        <v>0.0</v>
      </c>
      <c r="F857" s="19">
        <v>0.0</v>
      </c>
      <c r="G857" s="16" t="s">
        <v>1340</v>
      </c>
      <c r="H857" s="21"/>
      <c r="I857" s="22"/>
      <c r="J857" s="29"/>
      <c r="K857" s="43">
        <v>3016.0</v>
      </c>
      <c r="L857" s="44">
        <v>10000.0</v>
      </c>
      <c r="M857" s="25"/>
      <c r="N857" s="39"/>
      <c r="O857" s="27">
        <f t="shared" si="100"/>
        <v>2.315649867</v>
      </c>
      <c r="P857" s="28">
        <f t="shared" si="101"/>
        <v>0</v>
      </c>
    </row>
    <row r="858" hidden="1">
      <c r="A858" s="42" t="s">
        <v>1353</v>
      </c>
      <c r="B858" s="195"/>
      <c r="C858" s="18"/>
      <c r="D858" s="4"/>
      <c r="E858" s="19">
        <v>0.0</v>
      </c>
      <c r="F858" s="19">
        <v>0.0</v>
      </c>
      <c r="G858" s="16" t="s">
        <v>1340</v>
      </c>
      <c r="H858" s="21"/>
      <c r="I858" s="22"/>
      <c r="J858" s="29"/>
      <c r="K858" s="43">
        <v>3016.0</v>
      </c>
      <c r="L858" s="44">
        <v>10000.0</v>
      </c>
      <c r="M858" s="25"/>
      <c r="N858" s="39"/>
      <c r="O858" s="27">
        <f t="shared" si="100"/>
        <v>2.315649867</v>
      </c>
      <c r="P858" s="28">
        <f t="shared" si="101"/>
        <v>0</v>
      </c>
    </row>
    <row r="859" hidden="1">
      <c r="A859" s="42" t="s">
        <v>1354</v>
      </c>
      <c r="B859" s="195"/>
      <c r="C859" s="18"/>
      <c r="D859" s="4"/>
      <c r="E859" s="19">
        <v>0.0</v>
      </c>
      <c r="F859" s="19">
        <v>0.0</v>
      </c>
      <c r="G859" s="16" t="s">
        <v>1340</v>
      </c>
      <c r="H859" s="21"/>
      <c r="I859" s="22"/>
      <c r="J859" s="29"/>
      <c r="K859" s="43">
        <v>3016.0</v>
      </c>
      <c r="L859" s="44">
        <v>10000.0</v>
      </c>
      <c r="M859" s="25"/>
      <c r="N859" s="39"/>
      <c r="O859" s="27">
        <f t="shared" si="100"/>
        <v>2.315649867</v>
      </c>
      <c r="P859" s="28">
        <f t="shared" si="101"/>
        <v>0</v>
      </c>
    </row>
    <row r="860" hidden="1">
      <c r="A860" s="42" t="s">
        <v>1355</v>
      </c>
      <c r="B860" s="195"/>
      <c r="C860" s="18"/>
      <c r="D860" s="4"/>
      <c r="E860" s="19">
        <v>0.0</v>
      </c>
      <c r="F860" s="19">
        <v>0.0</v>
      </c>
      <c r="G860" s="16" t="s">
        <v>1340</v>
      </c>
      <c r="H860" s="21"/>
      <c r="I860" s="22"/>
      <c r="J860" s="29"/>
      <c r="K860" s="43">
        <v>3016.0</v>
      </c>
      <c r="L860" s="44">
        <v>10000.0</v>
      </c>
      <c r="M860" s="25"/>
      <c r="N860" s="39"/>
      <c r="O860" s="27">
        <f t="shared" si="100"/>
        <v>2.315649867</v>
      </c>
      <c r="P860" s="28">
        <f t="shared" si="101"/>
        <v>0</v>
      </c>
    </row>
    <row r="861" hidden="1">
      <c r="A861" s="42" t="s">
        <v>1356</v>
      </c>
      <c r="B861" s="195"/>
      <c r="C861" s="18"/>
      <c r="D861" s="4"/>
      <c r="E861" s="19">
        <v>0.0</v>
      </c>
      <c r="F861" s="19">
        <v>0.0</v>
      </c>
      <c r="G861" s="16" t="s">
        <v>1340</v>
      </c>
      <c r="H861" s="21"/>
      <c r="I861" s="22"/>
      <c r="J861" s="29"/>
      <c r="K861" s="43">
        <v>3016.0</v>
      </c>
      <c r="L861" s="44">
        <v>10000.0</v>
      </c>
      <c r="M861" s="25"/>
      <c r="N861" s="39"/>
      <c r="O861" s="27">
        <f t="shared" si="100"/>
        <v>2.315649867</v>
      </c>
      <c r="P861" s="28">
        <f t="shared" si="101"/>
        <v>0</v>
      </c>
    </row>
    <row r="862" hidden="1">
      <c r="A862" s="42" t="s">
        <v>1357</v>
      </c>
      <c r="B862" s="195"/>
      <c r="C862" s="18"/>
      <c r="D862" s="4"/>
      <c r="E862" s="19">
        <v>0.0</v>
      </c>
      <c r="F862" s="19">
        <v>0.0</v>
      </c>
      <c r="G862" s="16" t="s">
        <v>1340</v>
      </c>
      <c r="H862" s="21"/>
      <c r="I862" s="22"/>
      <c r="J862" s="29"/>
      <c r="K862" s="43">
        <v>3016.0</v>
      </c>
      <c r="L862" s="44">
        <v>10000.0</v>
      </c>
      <c r="M862" s="25"/>
      <c r="N862" s="39"/>
      <c r="O862" s="27">
        <f t="shared" si="100"/>
        <v>2.315649867</v>
      </c>
      <c r="P862" s="28">
        <f t="shared" si="101"/>
        <v>0</v>
      </c>
    </row>
    <row r="863" hidden="1">
      <c r="A863" s="42" t="s">
        <v>1358</v>
      </c>
      <c r="B863" s="195"/>
      <c r="C863" s="18"/>
      <c r="D863" s="4"/>
      <c r="E863" s="19">
        <v>0.0</v>
      </c>
      <c r="F863" s="19">
        <v>0.0</v>
      </c>
      <c r="G863" s="16" t="s">
        <v>1340</v>
      </c>
      <c r="H863" s="21"/>
      <c r="I863" s="22"/>
      <c r="J863" s="29"/>
      <c r="K863" s="43">
        <v>3016.0</v>
      </c>
      <c r="L863" s="44">
        <v>10000.0</v>
      </c>
      <c r="M863" s="25"/>
      <c r="N863" s="39"/>
      <c r="O863" s="27">
        <f t="shared" si="100"/>
        <v>2.315649867</v>
      </c>
      <c r="P863" s="28">
        <f t="shared" si="101"/>
        <v>0</v>
      </c>
    </row>
    <row r="864" hidden="1">
      <c r="A864" s="42" t="s">
        <v>1359</v>
      </c>
      <c r="B864" s="195"/>
      <c r="C864" s="18"/>
      <c r="D864" s="4"/>
      <c r="E864" s="19">
        <v>0.0</v>
      </c>
      <c r="F864" s="19">
        <v>0.0</v>
      </c>
      <c r="G864" s="16" t="s">
        <v>1340</v>
      </c>
      <c r="H864" s="21"/>
      <c r="I864" s="22"/>
      <c r="J864" s="29"/>
      <c r="K864" s="43">
        <v>3016.0</v>
      </c>
      <c r="L864" s="44">
        <v>10000.0</v>
      </c>
      <c r="M864" s="25"/>
      <c r="N864" s="39"/>
      <c r="O864" s="27">
        <f t="shared" si="100"/>
        <v>2.315649867</v>
      </c>
      <c r="P864" s="28">
        <f t="shared" si="101"/>
        <v>0</v>
      </c>
    </row>
    <row r="865" hidden="1">
      <c r="A865" s="42" t="s">
        <v>1360</v>
      </c>
      <c r="B865" s="195"/>
      <c r="C865" s="18"/>
      <c r="D865" s="4"/>
      <c r="E865" s="19">
        <v>0.0</v>
      </c>
      <c r="F865" s="19">
        <v>0.0</v>
      </c>
      <c r="G865" s="16" t="s">
        <v>1340</v>
      </c>
      <c r="H865" s="21"/>
      <c r="I865" s="22"/>
      <c r="J865" s="29"/>
      <c r="K865" s="43">
        <v>3016.0</v>
      </c>
      <c r="L865" s="44">
        <v>10000.0</v>
      </c>
      <c r="M865" s="25"/>
      <c r="N865" s="39"/>
      <c r="O865" s="27">
        <f t="shared" si="100"/>
        <v>2.315649867</v>
      </c>
      <c r="P865" s="28">
        <f t="shared" si="101"/>
        <v>0</v>
      </c>
    </row>
    <row r="866" hidden="1">
      <c r="A866" s="16" t="s">
        <v>1361</v>
      </c>
      <c r="B866" s="195"/>
      <c r="C866" s="18"/>
      <c r="D866" s="4"/>
      <c r="E866" s="19">
        <v>0.0</v>
      </c>
      <c r="F866" s="19">
        <v>0.0</v>
      </c>
      <c r="G866" s="16" t="s">
        <v>1340</v>
      </c>
      <c r="H866" s="21"/>
      <c r="I866" s="22"/>
      <c r="J866" s="29"/>
      <c r="K866" s="43">
        <v>3016.0</v>
      </c>
      <c r="L866" s="44">
        <v>10000.0</v>
      </c>
      <c r="M866" s="25"/>
      <c r="N866" s="39"/>
      <c r="O866" s="27">
        <f t="shared" si="100"/>
        <v>2.315649867</v>
      </c>
      <c r="P866" s="28">
        <f t="shared" si="101"/>
        <v>0</v>
      </c>
    </row>
    <row r="867" hidden="1">
      <c r="A867" s="16" t="s">
        <v>1362</v>
      </c>
      <c r="B867" s="195"/>
      <c r="C867" s="18"/>
      <c r="D867" s="4"/>
      <c r="E867" s="19">
        <v>0.0</v>
      </c>
      <c r="F867" s="19">
        <v>0.0</v>
      </c>
      <c r="G867" s="16" t="s">
        <v>1340</v>
      </c>
      <c r="H867" s="21"/>
      <c r="I867" s="22"/>
      <c r="J867" s="29"/>
      <c r="K867" s="43">
        <v>2936.0</v>
      </c>
      <c r="L867" s="44">
        <v>10000.0</v>
      </c>
      <c r="M867" s="25"/>
      <c r="N867" s="39"/>
      <c r="O867" s="27">
        <f t="shared" si="100"/>
        <v>2.40599455</v>
      </c>
      <c r="P867" s="28">
        <f t="shared" si="101"/>
        <v>0</v>
      </c>
    </row>
    <row r="868" hidden="1">
      <c r="A868" s="40" t="s">
        <v>1363</v>
      </c>
      <c r="B868" s="195"/>
      <c r="C868" s="18"/>
      <c r="D868" s="4"/>
      <c r="E868" s="19">
        <v>0.0</v>
      </c>
      <c r="F868" s="19">
        <v>0.0</v>
      </c>
      <c r="G868" s="16" t="s">
        <v>1340</v>
      </c>
      <c r="H868" s="21"/>
      <c r="I868" s="22"/>
      <c r="J868" s="29"/>
      <c r="K868" s="43">
        <v>4000.0</v>
      </c>
      <c r="L868" s="44">
        <v>10000.0</v>
      </c>
      <c r="M868" s="25"/>
      <c r="N868" s="39"/>
      <c r="O868" s="27">
        <f t="shared" si="100"/>
        <v>1.5</v>
      </c>
      <c r="P868" s="28">
        <f t="shared" si="101"/>
        <v>0</v>
      </c>
    </row>
    <row r="869" hidden="1">
      <c r="A869" s="40" t="s">
        <v>1364</v>
      </c>
      <c r="B869" s="195"/>
      <c r="C869" s="18"/>
      <c r="D869" s="4"/>
      <c r="E869" s="19">
        <v>0.0</v>
      </c>
      <c r="F869" s="19">
        <v>0.0</v>
      </c>
      <c r="G869" s="16" t="s">
        <v>1340</v>
      </c>
      <c r="H869" s="21"/>
      <c r="I869" s="22"/>
      <c r="J869" s="29"/>
      <c r="K869" s="43">
        <v>3016.0</v>
      </c>
      <c r="L869" s="44">
        <v>10000.0</v>
      </c>
      <c r="M869" s="25"/>
      <c r="N869" s="39"/>
      <c r="O869" s="27">
        <f t="shared" si="100"/>
        <v>2.315649867</v>
      </c>
      <c r="P869" s="28">
        <f t="shared" si="101"/>
        <v>0</v>
      </c>
    </row>
    <row r="870" hidden="1">
      <c r="A870" s="40" t="s">
        <v>1365</v>
      </c>
      <c r="B870" s="195"/>
      <c r="C870" s="18"/>
      <c r="D870" s="4"/>
      <c r="E870" s="19">
        <v>0.0</v>
      </c>
      <c r="F870" s="19">
        <v>0.0</v>
      </c>
      <c r="G870" s="16" t="s">
        <v>1340</v>
      </c>
      <c r="H870" s="21"/>
      <c r="I870" s="22"/>
      <c r="J870" s="29"/>
      <c r="K870" s="43">
        <v>3016.0</v>
      </c>
      <c r="L870" s="44">
        <v>10000.0</v>
      </c>
      <c r="M870" s="25"/>
      <c r="N870" s="39"/>
      <c r="O870" s="27">
        <f t="shared" si="100"/>
        <v>2.315649867</v>
      </c>
      <c r="P870" s="28">
        <f t="shared" si="101"/>
        <v>0</v>
      </c>
    </row>
    <row r="871" hidden="1">
      <c r="A871" s="40" t="s">
        <v>1366</v>
      </c>
      <c r="B871" s="195"/>
      <c r="C871" s="18"/>
      <c r="D871" s="4"/>
      <c r="E871" s="19">
        <v>0.0</v>
      </c>
      <c r="F871" s="19">
        <v>0.0</v>
      </c>
      <c r="G871" s="16" t="s">
        <v>1340</v>
      </c>
      <c r="H871" s="21"/>
      <c r="I871" s="22"/>
      <c r="J871" s="29"/>
      <c r="K871" s="43">
        <v>3016.0</v>
      </c>
      <c r="L871" s="44">
        <v>10000.0</v>
      </c>
      <c r="M871" s="25"/>
      <c r="N871" s="39"/>
      <c r="O871" s="27">
        <f t="shared" si="100"/>
        <v>2.315649867</v>
      </c>
      <c r="P871" s="28">
        <f t="shared" si="101"/>
        <v>0</v>
      </c>
    </row>
    <row r="872" hidden="1">
      <c r="A872" s="40" t="s">
        <v>1367</v>
      </c>
      <c r="B872" s="49"/>
      <c r="C872" s="18"/>
      <c r="D872" s="4"/>
      <c r="E872" s="19">
        <v>0.0</v>
      </c>
      <c r="F872" s="19">
        <v>0.0</v>
      </c>
      <c r="G872" s="16" t="s">
        <v>1340</v>
      </c>
      <c r="H872" s="21"/>
      <c r="I872" s="22"/>
      <c r="J872" s="29"/>
      <c r="K872" s="43">
        <v>2936.0</v>
      </c>
      <c r="L872" s="44">
        <v>10000.0</v>
      </c>
      <c r="M872" s="25"/>
      <c r="N872" s="39"/>
      <c r="O872" s="27">
        <f t="shared" si="100"/>
        <v>2.40599455</v>
      </c>
      <c r="P872" s="28">
        <f t="shared" si="101"/>
        <v>0</v>
      </c>
    </row>
    <row r="873" hidden="1">
      <c r="A873" s="16" t="s">
        <v>1368</v>
      </c>
      <c r="B873" s="195"/>
      <c r="C873" s="18"/>
      <c r="D873" s="4"/>
      <c r="E873" s="19">
        <v>0.0</v>
      </c>
      <c r="F873" s="19">
        <v>0.0</v>
      </c>
      <c r="G873" s="16" t="s">
        <v>1340</v>
      </c>
      <c r="H873" s="21"/>
      <c r="I873" s="22"/>
      <c r="J873" s="29"/>
      <c r="K873" s="43">
        <v>3016.0</v>
      </c>
      <c r="L873" s="44">
        <v>10000.0</v>
      </c>
      <c r="M873" s="25"/>
      <c r="N873" s="39"/>
      <c r="O873" s="27">
        <f t="shared" si="100"/>
        <v>2.315649867</v>
      </c>
      <c r="P873" s="28">
        <f t="shared" si="101"/>
        <v>0</v>
      </c>
    </row>
    <row r="874" hidden="1">
      <c r="A874" s="16" t="s">
        <v>1369</v>
      </c>
      <c r="B874" s="195"/>
      <c r="C874" s="18"/>
      <c r="D874" s="4"/>
      <c r="E874" s="19">
        <v>0.0</v>
      </c>
      <c r="F874" s="19">
        <v>0.0</v>
      </c>
      <c r="G874" s="16" t="s">
        <v>1340</v>
      </c>
      <c r="H874" s="21"/>
      <c r="I874" s="22"/>
      <c r="J874" s="29"/>
      <c r="K874" s="43">
        <v>3016.0</v>
      </c>
      <c r="L874" s="44">
        <v>10000.0</v>
      </c>
      <c r="M874" s="25"/>
      <c r="N874" s="39"/>
      <c r="O874" s="27">
        <f t="shared" si="100"/>
        <v>2.315649867</v>
      </c>
      <c r="P874" s="28">
        <f t="shared" si="101"/>
        <v>0</v>
      </c>
    </row>
    <row r="875" hidden="1">
      <c r="A875" s="16" t="s">
        <v>1370</v>
      </c>
      <c r="B875" s="195"/>
      <c r="C875" s="18"/>
      <c r="D875" s="4"/>
      <c r="E875" s="19">
        <v>0.0</v>
      </c>
      <c r="F875" s="19">
        <v>0.0</v>
      </c>
      <c r="G875" s="16" t="s">
        <v>1340</v>
      </c>
      <c r="H875" s="21"/>
      <c r="I875" s="22"/>
      <c r="J875" s="29"/>
      <c r="K875" s="43">
        <v>3016.0</v>
      </c>
      <c r="L875" s="44">
        <v>10000.0</v>
      </c>
      <c r="M875" s="25"/>
      <c r="N875" s="39"/>
      <c r="O875" s="27">
        <f t="shared" si="100"/>
        <v>2.315649867</v>
      </c>
      <c r="P875" s="28">
        <f t="shared" si="101"/>
        <v>0</v>
      </c>
    </row>
    <row r="876" hidden="1">
      <c r="A876" s="16" t="s">
        <v>1371</v>
      </c>
      <c r="B876" s="51"/>
      <c r="C876" s="18"/>
      <c r="D876" s="4"/>
      <c r="E876" s="19">
        <v>0.0</v>
      </c>
      <c r="F876" s="19">
        <v>0.0</v>
      </c>
      <c r="G876" s="16" t="s">
        <v>1340</v>
      </c>
      <c r="H876" s="21"/>
      <c r="I876" s="22"/>
      <c r="J876" s="29"/>
      <c r="K876" s="43">
        <v>3016.0</v>
      </c>
      <c r="L876" s="44">
        <v>10000.0</v>
      </c>
      <c r="M876" s="25"/>
      <c r="N876" s="39"/>
      <c r="O876" s="27">
        <f t="shared" si="100"/>
        <v>2.315649867</v>
      </c>
      <c r="P876" s="28">
        <f t="shared" si="101"/>
        <v>0</v>
      </c>
    </row>
    <row r="877" hidden="1">
      <c r="A877" s="16" t="s">
        <v>1372</v>
      </c>
      <c r="B877" s="17"/>
      <c r="C877" s="38"/>
      <c r="D877" s="4"/>
      <c r="E877" s="19">
        <v>0.0</v>
      </c>
      <c r="F877" s="19">
        <v>0.0</v>
      </c>
      <c r="G877" s="16"/>
      <c r="H877" s="21"/>
      <c r="I877" s="22">
        <v>12.0</v>
      </c>
      <c r="J877" s="29"/>
      <c r="K877" s="43"/>
      <c r="L877" s="172"/>
      <c r="M877" s="25"/>
      <c r="N877" s="26"/>
      <c r="O877" s="27"/>
      <c r="P877" s="28"/>
    </row>
    <row r="878" hidden="1">
      <c r="A878" s="16" t="s">
        <v>1373</v>
      </c>
      <c r="B878" s="17" t="s">
        <v>1374</v>
      </c>
      <c r="C878" s="18"/>
      <c r="D878" s="4"/>
      <c r="E878" s="19"/>
      <c r="F878" s="19"/>
      <c r="G878" s="20" t="s">
        <v>1375</v>
      </c>
      <c r="H878" s="21">
        <v>0.0</v>
      </c>
      <c r="I878" s="22"/>
      <c r="J878" s="29"/>
      <c r="K878" s="48">
        <f t="shared" ref="K878:K881" si="102">1583*1.19</f>
        <v>1883.77</v>
      </c>
      <c r="L878" s="55">
        <v>3000.0</v>
      </c>
      <c r="M878" s="25"/>
      <c r="N878" s="26"/>
      <c r="O878" s="27">
        <f t="shared" ref="O878:O893" si="103">(L878/K878)-1</f>
        <v>0.5925511076</v>
      </c>
      <c r="P878" s="28">
        <f t="shared" ref="P878:P893" si="104">K878*F878</f>
        <v>0</v>
      </c>
    </row>
    <row r="879" hidden="1">
      <c r="A879" s="16" t="s">
        <v>1376</v>
      </c>
      <c r="B879" s="17" t="s">
        <v>1377</v>
      </c>
      <c r="C879" s="18"/>
      <c r="D879" s="4"/>
      <c r="E879" s="19"/>
      <c r="F879" s="19"/>
      <c r="G879" s="20" t="s">
        <v>1375</v>
      </c>
      <c r="H879" s="21">
        <v>0.0</v>
      </c>
      <c r="I879" s="22"/>
      <c r="J879" s="29"/>
      <c r="K879" s="48">
        <f t="shared" si="102"/>
        <v>1883.77</v>
      </c>
      <c r="L879" s="55">
        <v>3000.0</v>
      </c>
      <c r="M879" s="25"/>
      <c r="N879" s="39"/>
      <c r="O879" s="27">
        <f t="shared" si="103"/>
        <v>0.5925511076</v>
      </c>
      <c r="P879" s="28">
        <f t="shared" si="104"/>
        <v>0</v>
      </c>
    </row>
    <row r="880" hidden="1">
      <c r="A880" s="16" t="s">
        <v>1378</v>
      </c>
      <c r="B880" s="17" t="s">
        <v>1379</v>
      </c>
      <c r="C880" s="18"/>
      <c r="D880" s="4"/>
      <c r="E880" s="19"/>
      <c r="F880" s="19"/>
      <c r="G880" s="20" t="s">
        <v>1375</v>
      </c>
      <c r="H880" s="21">
        <v>0.0</v>
      </c>
      <c r="I880" s="22"/>
      <c r="J880" s="29"/>
      <c r="K880" s="48">
        <f t="shared" si="102"/>
        <v>1883.77</v>
      </c>
      <c r="L880" s="55">
        <v>3000.0</v>
      </c>
      <c r="M880" s="25"/>
      <c r="N880" s="39"/>
      <c r="O880" s="27">
        <f t="shared" si="103"/>
        <v>0.5925511076</v>
      </c>
      <c r="P880" s="28">
        <f t="shared" si="104"/>
        <v>0</v>
      </c>
    </row>
    <row r="881" hidden="1">
      <c r="A881" s="16" t="s">
        <v>1380</v>
      </c>
      <c r="B881" s="17" t="s">
        <v>1377</v>
      </c>
      <c r="C881" s="18"/>
      <c r="D881" s="4"/>
      <c r="E881" s="19"/>
      <c r="F881" s="19"/>
      <c r="G881" s="20" t="s">
        <v>1375</v>
      </c>
      <c r="H881" s="21">
        <v>0.0</v>
      </c>
      <c r="I881" s="22"/>
      <c r="J881" s="29"/>
      <c r="K881" s="32">
        <f t="shared" si="102"/>
        <v>1883.77</v>
      </c>
      <c r="L881" s="24">
        <v>3000.0</v>
      </c>
      <c r="M881" s="25"/>
      <c r="N881" s="39"/>
      <c r="O881" s="27">
        <f t="shared" si="103"/>
        <v>0.5925511076</v>
      </c>
      <c r="P881" s="28">
        <f t="shared" si="104"/>
        <v>0</v>
      </c>
    </row>
    <row r="882" hidden="1">
      <c r="A882" s="119" t="s">
        <v>1381</v>
      </c>
      <c r="B882" s="51"/>
      <c r="C882" s="18"/>
      <c r="D882" s="4"/>
      <c r="E882" s="19">
        <v>0.0</v>
      </c>
      <c r="F882" s="19"/>
      <c r="G882" s="20" t="s">
        <v>1382</v>
      </c>
      <c r="H882" s="73"/>
      <c r="I882" s="22"/>
      <c r="J882" s="74"/>
      <c r="K882" s="75">
        <v>1133.0</v>
      </c>
      <c r="L882" s="44">
        <v>4000.0</v>
      </c>
      <c r="M882" s="25"/>
      <c r="N882" s="39"/>
      <c r="O882" s="27">
        <f t="shared" si="103"/>
        <v>2.530450132</v>
      </c>
      <c r="P882" s="28">
        <f t="shared" si="104"/>
        <v>0</v>
      </c>
    </row>
    <row r="883" hidden="1">
      <c r="A883" s="119" t="s">
        <v>1381</v>
      </c>
      <c r="B883" s="51"/>
      <c r="C883" s="18"/>
      <c r="D883" s="4"/>
      <c r="E883" s="19">
        <v>0.0</v>
      </c>
      <c r="F883" s="19">
        <v>0.0</v>
      </c>
      <c r="G883" s="20" t="s">
        <v>1383</v>
      </c>
      <c r="H883" s="99"/>
      <c r="I883" s="22"/>
      <c r="J883" s="173"/>
      <c r="K883" s="174">
        <f>188655/100</f>
        <v>1886.55</v>
      </c>
      <c r="L883" s="44">
        <v>4000.0</v>
      </c>
      <c r="M883" s="25"/>
      <c r="N883" s="39"/>
      <c r="O883" s="27">
        <f t="shared" si="103"/>
        <v>1.120272455</v>
      </c>
      <c r="P883" s="28">
        <f t="shared" si="104"/>
        <v>0</v>
      </c>
    </row>
    <row r="884" hidden="1">
      <c r="A884" s="16" t="s">
        <v>1384</v>
      </c>
      <c r="B884" s="116" t="s">
        <v>1385</v>
      </c>
      <c r="C884" s="38"/>
      <c r="D884" s="98"/>
      <c r="E884" s="19"/>
      <c r="F884" s="19"/>
      <c r="G884" s="16" t="s">
        <v>1386</v>
      </c>
      <c r="H884" s="21">
        <v>0.0</v>
      </c>
      <c r="I884" s="22"/>
      <c r="J884" s="29"/>
      <c r="K884" s="32">
        <v>14280.0</v>
      </c>
      <c r="L884" s="24">
        <v>24000.0</v>
      </c>
      <c r="M884" s="25"/>
      <c r="N884" s="197">
        <v>18000.0</v>
      </c>
      <c r="O884" s="27">
        <f t="shared" si="103"/>
        <v>0.6806722689</v>
      </c>
      <c r="P884" s="28">
        <f t="shared" si="104"/>
        <v>0</v>
      </c>
    </row>
    <row r="885" hidden="1">
      <c r="A885" s="16" t="s">
        <v>1387</v>
      </c>
      <c r="B885" s="116" t="s">
        <v>1385</v>
      </c>
      <c r="C885" s="38"/>
      <c r="D885" s="4"/>
      <c r="E885" s="19"/>
      <c r="F885" s="19"/>
      <c r="G885" s="16" t="s">
        <v>1386</v>
      </c>
      <c r="H885" s="21">
        <v>0.0</v>
      </c>
      <c r="I885" s="22"/>
      <c r="J885" s="29"/>
      <c r="K885" s="32">
        <v>14280.0</v>
      </c>
      <c r="L885" s="24">
        <v>24000.0</v>
      </c>
      <c r="M885" s="25"/>
      <c r="N885" s="197">
        <v>18000.0</v>
      </c>
      <c r="O885" s="27">
        <f t="shared" si="103"/>
        <v>0.6806722689</v>
      </c>
      <c r="P885" s="28">
        <f t="shared" si="104"/>
        <v>0</v>
      </c>
    </row>
    <row r="886" hidden="1">
      <c r="A886" s="16" t="s">
        <v>1388</v>
      </c>
      <c r="B886" s="116" t="s">
        <v>1385</v>
      </c>
      <c r="C886" s="38"/>
      <c r="D886" s="4"/>
      <c r="E886" s="19"/>
      <c r="F886" s="19"/>
      <c r="G886" s="16" t="s">
        <v>1386</v>
      </c>
      <c r="H886" s="21">
        <v>0.0</v>
      </c>
      <c r="I886" s="22"/>
      <c r="J886" s="29"/>
      <c r="K886" s="32">
        <v>14280.0</v>
      </c>
      <c r="L886" s="24">
        <v>24000.0</v>
      </c>
      <c r="M886" s="25"/>
      <c r="N886" s="197">
        <v>18000.0</v>
      </c>
      <c r="O886" s="27">
        <f t="shared" si="103"/>
        <v>0.6806722689</v>
      </c>
      <c r="P886" s="28">
        <f t="shared" si="104"/>
        <v>0</v>
      </c>
    </row>
    <row r="887" hidden="1">
      <c r="A887" s="16" t="s">
        <v>1389</v>
      </c>
      <c r="B887" s="198" t="s">
        <v>1390</v>
      </c>
      <c r="C887" s="38"/>
      <c r="D887" s="4"/>
      <c r="E887" s="19"/>
      <c r="F887" s="19"/>
      <c r="G887" s="16" t="s">
        <v>1386</v>
      </c>
      <c r="H887" s="21">
        <v>0.0</v>
      </c>
      <c r="I887" s="22"/>
      <c r="J887" s="29"/>
      <c r="K887" s="43">
        <v>21250.0</v>
      </c>
      <c r="L887" s="44">
        <v>30000.0</v>
      </c>
      <c r="M887" s="25"/>
      <c r="N887" s="39"/>
      <c r="O887" s="27">
        <f t="shared" si="103"/>
        <v>0.4117647059</v>
      </c>
      <c r="P887" s="28">
        <f t="shared" si="104"/>
        <v>0</v>
      </c>
    </row>
    <row r="888" hidden="1">
      <c r="A888" s="16" t="s">
        <v>1391</v>
      </c>
      <c r="B888" s="198" t="s">
        <v>1390</v>
      </c>
      <c r="C888" s="38"/>
      <c r="D888" s="4"/>
      <c r="E888" s="19"/>
      <c r="F888" s="19"/>
      <c r="G888" s="16" t="s">
        <v>1386</v>
      </c>
      <c r="H888" s="21">
        <v>0.0</v>
      </c>
      <c r="I888" s="22"/>
      <c r="J888" s="29"/>
      <c r="K888" s="32">
        <v>21250.0</v>
      </c>
      <c r="L888" s="24">
        <v>30000.0</v>
      </c>
      <c r="M888" s="25"/>
      <c r="N888" s="39"/>
      <c r="O888" s="27">
        <f t="shared" si="103"/>
        <v>0.4117647059</v>
      </c>
      <c r="P888" s="28">
        <f t="shared" si="104"/>
        <v>0</v>
      </c>
    </row>
    <row r="889" hidden="1">
      <c r="A889" s="16" t="s">
        <v>1392</v>
      </c>
      <c r="B889" s="198" t="s">
        <v>1390</v>
      </c>
      <c r="C889" s="38"/>
      <c r="D889" s="4"/>
      <c r="E889" s="19"/>
      <c r="F889" s="19"/>
      <c r="G889" s="16" t="s">
        <v>1386</v>
      </c>
      <c r="H889" s="21">
        <v>0.0</v>
      </c>
      <c r="I889" s="22"/>
      <c r="J889" s="29"/>
      <c r="K889" s="32">
        <v>21250.0</v>
      </c>
      <c r="L889" s="24">
        <v>30000.0</v>
      </c>
      <c r="M889" s="25"/>
      <c r="N889" s="39"/>
      <c r="O889" s="27">
        <f t="shared" si="103"/>
        <v>0.4117647059</v>
      </c>
      <c r="P889" s="28">
        <f t="shared" si="104"/>
        <v>0</v>
      </c>
    </row>
    <row r="890" hidden="1">
      <c r="A890" s="119" t="s">
        <v>1393</v>
      </c>
      <c r="B890" s="51"/>
      <c r="C890" s="18"/>
      <c r="D890" s="4"/>
      <c r="E890" s="19">
        <v>0.0</v>
      </c>
      <c r="F890" s="19">
        <v>0.0</v>
      </c>
      <c r="G890" s="20" t="s">
        <v>1394</v>
      </c>
      <c r="H890" s="73"/>
      <c r="I890" s="22" t="s">
        <v>1395</v>
      </c>
      <c r="J890" s="74"/>
      <c r="K890" s="75">
        <v>3300.0</v>
      </c>
      <c r="L890" s="44">
        <v>5000.0</v>
      </c>
      <c r="M890" s="25"/>
      <c r="N890" s="39"/>
      <c r="O890" s="27">
        <f t="shared" si="103"/>
        <v>0.5151515152</v>
      </c>
      <c r="P890" s="28">
        <f t="shared" si="104"/>
        <v>0</v>
      </c>
    </row>
    <row r="891" hidden="1">
      <c r="A891" s="40" t="s">
        <v>1396</v>
      </c>
      <c r="B891" s="36"/>
      <c r="C891" s="18"/>
      <c r="D891" s="4"/>
      <c r="E891" s="19">
        <v>0.0</v>
      </c>
      <c r="F891" s="19"/>
      <c r="G891" s="16" t="s">
        <v>1397</v>
      </c>
      <c r="H891" s="21"/>
      <c r="I891" s="22"/>
      <c r="J891" s="29"/>
      <c r="K891" s="43">
        <v>50.0</v>
      </c>
      <c r="L891" s="44">
        <v>300.0</v>
      </c>
      <c r="M891" s="25"/>
      <c r="N891" s="39"/>
      <c r="O891" s="27">
        <f t="shared" si="103"/>
        <v>5</v>
      </c>
      <c r="P891" s="28">
        <f t="shared" si="104"/>
        <v>0</v>
      </c>
    </row>
    <row r="892" hidden="1">
      <c r="A892" s="56" t="s">
        <v>1398</v>
      </c>
      <c r="B892" s="49"/>
      <c r="C892" s="18"/>
      <c r="D892" s="4"/>
      <c r="E892" s="19"/>
      <c r="F892" s="19"/>
      <c r="G892" s="20" t="s">
        <v>98</v>
      </c>
      <c r="H892" s="21">
        <v>0.0</v>
      </c>
      <c r="I892" s="22"/>
      <c r="J892" s="29"/>
      <c r="K892" s="32">
        <f>3300*1.19</f>
        <v>3927</v>
      </c>
      <c r="L892" s="24">
        <v>7000.0</v>
      </c>
      <c r="M892" s="25"/>
      <c r="N892" s="102">
        <v>6000.0</v>
      </c>
      <c r="O892" s="27">
        <f t="shared" si="103"/>
        <v>0.7825311943</v>
      </c>
      <c r="P892" s="28">
        <f t="shared" si="104"/>
        <v>0</v>
      </c>
    </row>
    <row r="893" hidden="1">
      <c r="A893" s="16" t="s">
        <v>1399</v>
      </c>
      <c r="B893" s="17"/>
      <c r="C893" s="18"/>
      <c r="D893" s="4"/>
      <c r="E893" s="19"/>
      <c r="F893" s="19"/>
      <c r="G893" s="16" t="s">
        <v>1400</v>
      </c>
      <c r="H893" s="21"/>
      <c r="I893" s="22">
        <v>0.0</v>
      </c>
      <c r="J893" s="29"/>
      <c r="K893" s="32">
        <v>380000.0</v>
      </c>
      <c r="L893" s="24">
        <v>550000.0</v>
      </c>
      <c r="M893" s="25"/>
      <c r="N893" s="39"/>
      <c r="O893" s="27">
        <f t="shared" si="103"/>
        <v>0.4473684211</v>
      </c>
      <c r="P893" s="28">
        <f t="shared" si="104"/>
        <v>0</v>
      </c>
    </row>
    <row r="894" hidden="1">
      <c r="A894" s="16" t="s">
        <v>1401</v>
      </c>
      <c r="B894" s="17"/>
      <c r="C894" s="18"/>
      <c r="D894" s="4"/>
      <c r="E894" s="19">
        <v>0.0</v>
      </c>
      <c r="F894" s="19">
        <v>0.0</v>
      </c>
      <c r="G894" s="16" t="s">
        <v>1402</v>
      </c>
      <c r="H894" s="21"/>
      <c r="I894" s="22"/>
      <c r="J894" s="29"/>
      <c r="K894" s="32">
        <v>235000.0</v>
      </c>
      <c r="L894" s="24">
        <v>320000.0</v>
      </c>
      <c r="M894" s="25"/>
      <c r="N894" s="39"/>
      <c r="O894" s="27"/>
      <c r="P894" s="28"/>
    </row>
    <row r="895" hidden="1">
      <c r="A895" s="16" t="s">
        <v>1403</v>
      </c>
      <c r="B895" s="17"/>
      <c r="C895" s="18"/>
      <c r="D895" s="4"/>
      <c r="E895" s="19">
        <v>0.0</v>
      </c>
      <c r="F895" s="19">
        <v>0.0</v>
      </c>
      <c r="G895" s="16" t="s">
        <v>16</v>
      </c>
      <c r="H895" s="21"/>
      <c r="I895" s="22">
        <v>2.0</v>
      </c>
      <c r="J895" s="29"/>
      <c r="K895" s="32">
        <v>380000.0</v>
      </c>
      <c r="L895" s="24">
        <v>550000.0</v>
      </c>
      <c r="M895" s="25"/>
      <c r="N895" s="102">
        <v>490000.0</v>
      </c>
      <c r="O895" s="27">
        <f t="shared" ref="O895:O948" si="105">(L895/K895)-1</f>
        <v>0.4473684211</v>
      </c>
      <c r="P895" s="28">
        <f t="shared" ref="P895:P902" si="106">K895*F895</f>
        <v>0</v>
      </c>
    </row>
    <row r="896" hidden="1">
      <c r="A896" s="52" t="s">
        <v>1404</v>
      </c>
      <c r="B896" s="36"/>
      <c r="C896" s="18"/>
      <c r="D896" s="4"/>
      <c r="E896" s="19">
        <v>0.0</v>
      </c>
      <c r="F896" s="19">
        <v>0.0</v>
      </c>
      <c r="G896" s="20" t="s">
        <v>563</v>
      </c>
      <c r="H896" s="21"/>
      <c r="I896" s="22">
        <v>2.0</v>
      </c>
      <c r="J896" s="29"/>
      <c r="K896" s="32">
        <f>35000*1.19</f>
        <v>41650</v>
      </c>
      <c r="L896" s="24">
        <v>3500.0</v>
      </c>
      <c r="M896" s="25"/>
      <c r="N896" s="26"/>
      <c r="O896" s="27">
        <f t="shared" si="105"/>
        <v>-0.9159663866</v>
      </c>
      <c r="P896" s="28">
        <f t="shared" si="106"/>
        <v>0</v>
      </c>
    </row>
    <row r="897" hidden="1">
      <c r="A897" s="52" t="s">
        <v>1405</v>
      </c>
      <c r="B897" s="36"/>
      <c r="C897" s="18"/>
      <c r="D897" s="4"/>
      <c r="E897" s="19">
        <v>0.0</v>
      </c>
      <c r="F897" s="19">
        <v>0.0</v>
      </c>
      <c r="G897" s="20" t="s">
        <v>563</v>
      </c>
      <c r="H897" s="21"/>
      <c r="I897" s="22">
        <v>60.0</v>
      </c>
      <c r="J897" s="29"/>
      <c r="K897" s="32">
        <v>1319.0</v>
      </c>
      <c r="L897" s="24">
        <v>3500.0</v>
      </c>
      <c r="M897" s="25"/>
      <c r="N897" s="26"/>
      <c r="O897" s="27">
        <f t="shared" si="105"/>
        <v>1.653525398</v>
      </c>
      <c r="P897" s="28">
        <f t="shared" si="106"/>
        <v>0</v>
      </c>
    </row>
    <row r="898" hidden="1">
      <c r="A898" s="16" t="s">
        <v>1406</v>
      </c>
      <c r="B898" s="36"/>
      <c r="C898" s="18"/>
      <c r="D898" s="199"/>
      <c r="E898" s="19">
        <v>0.0</v>
      </c>
      <c r="F898" s="19">
        <v>0.0</v>
      </c>
      <c r="G898" s="16" t="s">
        <v>1407</v>
      </c>
      <c r="H898" s="21"/>
      <c r="I898" s="22">
        <v>2.0</v>
      </c>
      <c r="J898" s="47">
        <v>46447.0</v>
      </c>
      <c r="K898" s="55">
        <f>10985</f>
        <v>10985</v>
      </c>
      <c r="L898" s="24">
        <v>18000.0</v>
      </c>
      <c r="M898" s="25"/>
      <c r="N898" s="26"/>
      <c r="O898" s="27">
        <f t="shared" si="105"/>
        <v>0.6385980883</v>
      </c>
      <c r="P898" s="28">
        <f t="shared" si="106"/>
        <v>0</v>
      </c>
    </row>
    <row r="899" hidden="1">
      <c r="A899" s="16" t="s">
        <v>1408</v>
      </c>
      <c r="B899" s="49"/>
      <c r="C899" s="18" t="s">
        <v>1409</v>
      </c>
      <c r="D899" s="4"/>
      <c r="E899" s="19"/>
      <c r="F899" s="19"/>
      <c r="G899" s="16" t="s">
        <v>1410</v>
      </c>
      <c r="H899" s="21"/>
      <c r="I899" s="22">
        <v>14.0</v>
      </c>
      <c r="J899" s="23"/>
      <c r="K899" s="55">
        <v>12757.0</v>
      </c>
      <c r="L899" s="55">
        <v>18000.0</v>
      </c>
      <c r="M899" s="25" t="s">
        <v>82</v>
      </c>
      <c r="N899" s="102">
        <v>15000.0</v>
      </c>
      <c r="O899" s="27">
        <f t="shared" si="105"/>
        <v>0.4109900447</v>
      </c>
      <c r="P899" s="28">
        <f t="shared" si="106"/>
        <v>0</v>
      </c>
    </row>
    <row r="900" hidden="1">
      <c r="A900" s="16" t="s">
        <v>1411</v>
      </c>
      <c r="B900" s="49"/>
      <c r="C900" s="18"/>
      <c r="D900" s="4"/>
      <c r="E900" s="19">
        <v>12.0</v>
      </c>
      <c r="F900" s="19"/>
      <c r="G900" s="16" t="s">
        <v>1412</v>
      </c>
      <c r="H900" s="21"/>
      <c r="I900" s="22"/>
      <c r="J900" s="22" t="s">
        <v>1413</v>
      </c>
      <c r="K900" s="55">
        <v>9638.0</v>
      </c>
      <c r="L900" s="55">
        <v>14000.0</v>
      </c>
      <c r="M900" s="25" t="s">
        <v>82</v>
      </c>
      <c r="N900" s="102">
        <v>11000.0</v>
      </c>
      <c r="O900" s="27">
        <f t="shared" si="105"/>
        <v>0.4525835236</v>
      </c>
      <c r="P900" s="28">
        <f t="shared" si="106"/>
        <v>0</v>
      </c>
    </row>
    <row r="901" hidden="1">
      <c r="A901" s="16" t="s">
        <v>1414</v>
      </c>
      <c r="B901" s="17" t="s">
        <v>1415</v>
      </c>
      <c r="C901" s="18" t="s">
        <v>144</v>
      </c>
      <c r="D901" s="4">
        <v>17301.0</v>
      </c>
      <c r="E901" s="19">
        <v>0.0</v>
      </c>
      <c r="F901" s="19"/>
      <c r="G901" s="16" t="s">
        <v>1416</v>
      </c>
      <c r="H901" s="21">
        <v>4.0</v>
      </c>
      <c r="I901" s="22"/>
      <c r="J901" s="23"/>
      <c r="K901" s="24">
        <v>16995.0</v>
      </c>
      <c r="L901" s="24">
        <v>26000.0</v>
      </c>
      <c r="M901" s="25"/>
      <c r="N901" s="39"/>
      <c r="O901" s="27">
        <f t="shared" si="105"/>
        <v>0.529861724</v>
      </c>
      <c r="P901" s="28">
        <f t="shared" si="106"/>
        <v>0</v>
      </c>
    </row>
    <row r="902" hidden="1">
      <c r="A902" s="16" t="s">
        <v>1417</v>
      </c>
      <c r="B902" s="17"/>
      <c r="C902" s="18"/>
      <c r="D902" s="199"/>
      <c r="E902" s="19">
        <v>0.0</v>
      </c>
      <c r="F902" s="19">
        <v>0.0</v>
      </c>
      <c r="G902" s="20" t="s">
        <v>78</v>
      </c>
      <c r="H902" s="21">
        <v>1.0</v>
      </c>
      <c r="I902" s="22">
        <v>5.0</v>
      </c>
      <c r="J902" s="23"/>
      <c r="K902" s="24">
        <v>14500.0</v>
      </c>
      <c r="L902" s="24">
        <v>26000.0</v>
      </c>
      <c r="M902" s="25"/>
      <c r="N902" s="39"/>
      <c r="O902" s="27">
        <f t="shared" si="105"/>
        <v>0.7931034483</v>
      </c>
      <c r="P902" s="28">
        <f t="shared" si="106"/>
        <v>0</v>
      </c>
    </row>
    <row r="903" hidden="1">
      <c r="A903" s="52" t="s">
        <v>1418</v>
      </c>
      <c r="B903" s="36"/>
      <c r="C903" s="18"/>
      <c r="D903" s="4"/>
      <c r="E903" s="19">
        <v>0.0</v>
      </c>
      <c r="F903" s="19">
        <v>12.0</v>
      </c>
      <c r="G903" s="20" t="s">
        <v>377</v>
      </c>
      <c r="H903" s="21"/>
      <c r="I903" s="22">
        <v>0.0</v>
      </c>
      <c r="J903" s="47"/>
      <c r="K903" s="32">
        <f>19000*1.19</f>
        <v>22610</v>
      </c>
      <c r="L903" s="24">
        <v>28000.0</v>
      </c>
      <c r="M903" s="25"/>
      <c r="N903" s="39"/>
      <c r="O903" s="27">
        <f t="shared" si="105"/>
        <v>0.2383900929</v>
      </c>
      <c r="P903" s="28"/>
    </row>
    <row r="904" hidden="1">
      <c r="A904" s="42" t="s">
        <v>1419</v>
      </c>
      <c r="B904" s="17"/>
      <c r="C904" s="18"/>
      <c r="D904" s="4"/>
      <c r="E904" s="19">
        <v>0.0</v>
      </c>
      <c r="F904" s="19">
        <v>0.0</v>
      </c>
      <c r="G904" s="54" t="s">
        <v>102</v>
      </c>
      <c r="H904" s="21"/>
      <c r="I904" s="22">
        <v>2.0</v>
      </c>
      <c r="J904" s="29"/>
      <c r="K904" s="48">
        <v>33478.0</v>
      </c>
      <c r="L904" s="55">
        <v>48000.0</v>
      </c>
      <c r="M904" s="25"/>
      <c r="N904" s="39"/>
      <c r="O904" s="27">
        <f t="shared" si="105"/>
        <v>0.4337774061</v>
      </c>
      <c r="P904" s="28">
        <f t="shared" ref="P904:P928" si="107">K904*F904</f>
        <v>0</v>
      </c>
    </row>
    <row r="905" hidden="1">
      <c r="A905" s="42" t="s">
        <v>1420</v>
      </c>
      <c r="B905" s="36">
        <v>29674.0</v>
      </c>
      <c r="C905" s="18"/>
      <c r="D905" s="4"/>
      <c r="E905" s="19">
        <v>1.0</v>
      </c>
      <c r="F905" s="77">
        <v>0.0</v>
      </c>
      <c r="G905" s="20" t="s">
        <v>14</v>
      </c>
      <c r="H905" s="21">
        <v>1.0</v>
      </c>
      <c r="I905" s="22">
        <v>0.0</v>
      </c>
      <c r="J905" s="29"/>
      <c r="K905" s="48">
        <v>69900.0</v>
      </c>
      <c r="L905" s="55">
        <v>89000.0</v>
      </c>
      <c r="M905" s="25"/>
      <c r="N905" s="102">
        <v>79000.0</v>
      </c>
      <c r="O905" s="27">
        <f t="shared" si="105"/>
        <v>0.2732474964</v>
      </c>
      <c r="P905" s="28">
        <f t="shared" si="107"/>
        <v>0</v>
      </c>
    </row>
    <row r="906" hidden="1">
      <c r="A906" s="52" t="s">
        <v>1421</v>
      </c>
      <c r="B906" s="36"/>
      <c r="C906" s="18" t="s">
        <v>1422</v>
      </c>
      <c r="D906" s="4"/>
      <c r="E906" s="19">
        <v>0.0</v>
      </c>
      <c r="F906" s="19">
        <v>0.0</v>
      </c>
      <c r="G906" s="16" t="s">
        <v>1423</v>
      </c>
      <c r="H906" s="21"/>
      <c r="I906" s="22"/>
      <c r="J906" s="47">
        <v>46508.0</v>
      </c>
      <c r="K906" s="60">
        <v>7961.0</v>
      </c>
      <c r="L906" s="55">
        <v>8000.0</v>
      </c>
      <c r="M906" s="25"/>
      <c r="N906" s="39"/>
      <c r="O906" s="27">
        <f t="shared" si="105"/>
        <v>0.00489888205</v>
      </c>
      <c r="P906" s="28">
        <f t="shared" si="107"/>
        <v>0</v>
      </c>
    </row>
    <row r="907" hidden="1">
      <c r="A907" s="52" t="s">
        <v>1424</v>
      </c>
      <c r="B907" s="36"/>
      <c r="C907" s="18"/>
      <c r="D907" s="4"/>
      <c r="E907" s="19">
        <v>0.0</v>
      </c>
      <c r="F907" s="19">
        <v>0.0</v>
      </c>
      <c r="G907" s="16" t="s">
        <v>1423</v>
      </c>
      <c r="H907" s="21"/>
      <c r="I907" s="22">
        <v>20.0</v>
      </c>
      <c r="J907" s="29"/>
      <c r="K907" s="43">
        <v>5114.0</v>
      </c>
      <c r="L907" s="24">
        <v>8000.0</v>
      </c>
      <c r="M907" s="25" t="s">
        <v>82</v>
      </c>
      <c r="N907" s="39"/>
      <c r="O907" s="27">
        <f t="shared" si="105"/>
        <v>0.564333203</v>
      </c>
      <c r="P907" s="200">
        <f t="shared" si="107"/>
        <v>0</v>
      </c>
    </row>
    <row r="908" hidden="1">
      <c r="A908" s="16" t="s">
        <v>1425</v>
      </c>
      <c r="B908" s="17"/>
      <c r="C908" s="18"/>
      <c r="D908" s="4"/>
      <c r="E908" s="19">
        <v>0.0</v>
      </c>
      <c r="F908" s="19">
        <v>0.0</v>
      </c>
      <c r="G908" s="20" t="s">
        <v>286</v>
      </c>
      <c r="H908" s="21"/>
      <c r="I908" s="22">
        <v>0.0</v>
      </c>
      <c r="J908" s="29"/>
      <c r="K908" s="43">
        <v>17136.0</v>
      </c>
      <c r="L908" s="44">
        <v>23000.0</v>
      </c>
      <c r="M908" s="25"/>
      <c r="N908" s="39"/>
      <c r="O908" s="27">
        <f t="shared" si="105"/>
        <v>0.3422035481</v>
      </c>
      <c r="P908" s="28">
        <f t="shared" si="107"/>
        <v>0</v>
      </c>
    </row>
    <row r="909" hidden="1">
      <c r="A909" s="16" t="s">
        <v>1426</v>
      </c>
      <c r="B909" s="17"/>
      <c r="C909" s="18"/>
      <c r="D909" s="4"/>
      <c r="E909" s="19">
        <v>0.0</v>
      </c>
      <c r="F909" s="19">
        <v>0.0</v>
      </c>
      <c r="G909" s="20" t="s">
        <v>286</v>
      </c>
      <c r="H909" s="21"/>
      <c r="I909" s="22">
        <v>0.0</v>
      </c>
      <c r="J909" s="29"/>
      <c r="K909" s="43">
        <v>18445.0</v>
      </c>
      <c r="L909" s="44">
        <v>23000.0</v>
      </c>
      <c r="M909" s="25"/>
      <c r="N909" s="39"/>
      <c r="O909" s="27">
        <f t="shared" si="105"/>
        <v>0.2469503931</v>
      </c>
      <c r="P909" s="28">
        <f t="shared" si="107"/>
        <v>0</v>
      </c>
    </row>
    <row r="910" hidden="1">
      <c r="A910" s="52" t="s">
        <v>1427</v>
      </c>
      <c r="B910" s="36" t="s">
        <v>1428</v>
      </c>
      <c r="C910" s="18"/>
      <c r="D910" s="4"/>
      <c r="E910" s="19">
        <v>0.0</v>
      </c>
      <c r="F910" s="19"/>
      <c r="G910" s="20" t="s">
        <v>1429</v>
      </c>
      <c r="H910" s="21"/>
      <c r="I910" s="22"/>
      <c r="J910" s="29"/>
      <c r="K910" s="48">
        <f t="shared" ref="K910:K911" si="108">2800*0.95*1.19</f>
        <v>3165.4</v>
      </c>
      <c r="L910" s="48">
        <v>8000.0</v>
      </c>
      <c r="M910" s="25"/>
      <c r="N910" s="39"/>
      <c r="O910" s="27">
        <f t="shared" si="105"/>
        <v>1.52732672</v>
      </c>
      <c r="P910" s="28">
        <f t="shared" si="107"/>
        <v>0</v>
      </c>
    </row>
    <row r="911" hidden="1">
      <c r="A911" s="52" t="s">
        <v>1430</v>
      </c>
      <c r="B911" s="36" t="s">
        <v>1428</v>
      </c>
      <c r="C911" s="18"/>
      <c r="D911" s="4"/>
      <c r="E911" s="19">
        <v>0.0</v>
      </c>
      <c r="F911" s="19"/>
      <c r="G911" s="20" t="s">
        <v>1429</v>
      </c>
      <c r="H911" s="21"/>
      <c r="I911" s="22"/>
      <c r="J911" s="29"/>
      <c r="K911" s="48">
        <f t="shared" si="108"/>
        <v>3165.4</v>
      </c>
      <c r="L911" s="48">
        <v>8000.0</v>
      </c>
      <c r="M911" s="25"/>
      <c r="N911" s="39"/>
      <c r="O911" s="27">
        <f t="shared" si="105"/>
        <v>1.52732672</v>
      </c>
      <c r="P911" s="28">
        <f t="shared" si="107"/>
        <v>0</v>
      </c>
    </row>
    <row r="912" hidden="1">
      <c r="A912" s="16" t="s">
        <v>1431</v>
      </c>
      <c r="B912" s="36"/>
      <c r="C912" s="18"/>
      <c r="D912" s="4"/>
      <c r="E912" s="19"/>
      <c r="F912" s="19"/>
      <c r="G912" s="16" t="s">
        <v>88</v>
      </c>
      <c r="H912" s="21"/>
      <c r="I912" s="22">
        <v>0.0</v>
      </c>
      <c r="J912" s="47">
        <v>45809.0</v>
      </c>
      <c r="K912" s="43">
        <f>9244*1.19</f>
        <v>11000.36</v>
      </c>
      <c r="L912" s="43">
        <v>17000.0</v>
      </c>
      <c r="M912" s="25"/>
      <c r="N912" s="39"/>
      <c r="O912" s="27">
        <f t="shared" si="105"/>
        <v>0.5454039686</v>
      </c>
      <c r="P912" s="28">
        <f t="shared" si="107"/>
        <v>0</v>
      </c>
    </row>
    <row r="913" hidden="1">
      <c r="A913" s="16" t="s">
        <v>1432</v>
      </c>
      <c r="B913" s="17"/>
      <c r="C913" s="18"/>
      <c r="D913" s="4"/>
      <c r="E913" s="19">
        <v>0.0</v>
      </c>
      <c r="F913" s="19">
        <v>0.0</v>
      </c>
      <c r="G913" s="54" t="s">
        <v>102</v>
      </c>
      <c r="H913" s="21"/>
      <c r="I913" s="22">
        <v>0.0</v>
      </c>
      <c r="J913" s="29"/>
      <c r="K913" s="43">
        <v>32500.0</v>
      </c>
      <c r="L913" s="44">
        <v>50000.0</v>
      </c>
      <c r="M913" s="25"/>
      <c r="N913" s="39"/>
      <c r="O913" s="27">
        <f t="shared" si="105"/>
        <v>0.5384615385</v>
      </c>
      <c r="P913" s="28">
        <f t="shared" si="107"/>
        <v>0</v>
      </c>
    </row>
    <row r="914" hidden="1">
      <c r="A914" s="16" t="s">
        <v>1433</v>
      </c>
      <c r="B914" s="17"/>
      <c r="C914" s="18"/>
      <c r="D914" s="4"/>
      <c r="E914" s="19">
        <v>0.0</v>
      </c>
      <c r="F914" s="19">
        <v>0.0</v>
      </c>
      <c r="G914" s="54" t="s">
        <v>102</v>
      </c>
      <c r="H914" s="21"/>
      <c r="I914" s="22">
        <v>0.0</v>
      </c>
      <c r="J914" s="29"/>
      <c r="K914" s="43">
        <v>32500.0</v>
      </c>
      <c r="L914" s="44">
        <v>50000.0</v>
      </c>
      <c r="M914" s="25"/>
      <c r="N914" s="102"/>
      <c r="O914" s="27">
        <f t="shared" si="105"/>
        <v>0.5384615385</v>
      </c>
      <c r="P914" s="28">
        <f t="shared" si="107"/>
        <v>0</v>
      </c>
    </row>
    <row r="915" hidden="1">
      <c r="A915" s="16" t="s">
        <v>1434</v>
      </c>
      <c r="B915" s="17"/>
      <c r="C915" s="158"/>
      <c r="D915" s="67"/>
      <c r="E915" s="19"/>
      <c r="F915" s="19"/>
      <c r="G915" s="40" t="s">
        <v>1435</v>
      </c>
      <c r="H915" s="21"/>
      <c r="I915" s="22">
        <v>3.0</v>
      </c>
      <c r="J915" s="47">
        <v>45901.0</v>
      </c>
      <c r="K915" s="24">
        <v>48000.0</v>
      </c>
      <c r="L915" s="24">
        <v>64000.0</v>
      </c>
      <c r="M915" s="25"/>
      <c r="N915" s="102">
        <v>54000.0</v>
      </c>
      <c r="O915" s="27">
        <f t="shared" si="105"/>
        <v>0.3333333333</v>
      </c>
      <c r="P915" s="28">
        <f t="shared" si="107"/>
        <v>0</v>
      </c>
    </row>
    <row r="916" hidden="1">
      <c r="A916" s="16" t="s">
        <v>1436</v>
      </c>
      <c r="B916" s="17"/>
      <c r="C916" s="158"/>
      <c r="D916" s="67"/>
      <c r="E916" s="19"/>
      <c r="F916" s="19"/>
      <c r="G916" s="40" t="s">
        <v>1435</v>
      </c>
      <c r="H916" s="21"/>
      <c r="I916" s="22">
        <v>4.0</v>
      </c>
      <c r="J916" s="94"/>
      <c r="K916" s="24">
        <v>48000.0</v>
      </c>
      <c r="L916" s="24">
        <v>64000.0</v>
      </c>
      <c r="M916" s="25"/>
      <c r="N916" s="102">
        <v>54000.0</v>
      </c>
      <c r="O916" s="27">
        <f t="shared" si="105"/>
        <v>0.3333333333</v>
      </c>
      <c r="P916" s="28">
        <f t="shared" si="107"/>
        <v>0</v>
      </c>
    </row>
    <row r="917" hidden="1">
      <c r="A917" s="16" t="s">
        <v>1437</v>
      </c>
      <c r="B917" s="17"/>
      <c r="C917" s="158"/>
      <c r="D917" s="67"/>
      <c r="E917" s="19"/>
      <c r="F917" s="19"/>
      <c r="G917" s="40" t="s">
        <v>1435</v>
      </c>
      <c r="H917" s="21"/>
      <c r="I917" s="22">
        <v>6.0</v>
      </c>
      <c r="J917" s="58">
        <v>46327.0</v>
      </c>
      <c r="K917" s="24">
        <v>48000.0</v>
      </c>
      <c r="L917" s="24">
        <v>64000.0</v>
      </c>
      <c r="M917" s="25"/>
      <c r="N917" s="102">
        <v>54000.0</v>
      </c>
      <c r="O917" s="27">
        <f t="shared" si="105"/>
        <v>0.3333333333</v>
      </c>
      <c r="P917" s="28">
        <f t="shared" si="107"/>
        <v>0</v>
      </c>
    </row>
    <row r="918" hidden="1">
      <c r="A918" s="16" t="s">
        <v>1438</v>
      </c>
      <c r="B918" s="17"/>
      <c r="C918" s="158"/>
      <c r="D918" s="67"/>
      <c r="E918" s="19"/>
      <c r="F918" s="19"/>
      <c r="G918" s="40" t="s">
        <v>1435</v>
      </c>
      <c r="H918" s="21"/>
      <c r="I918" s="22">
        <v>40.0</v>
      </c>
      <c r="J918" s="58">
        <v>46327.0</v>
      </c>
      <c r="K918" s="24">
        <v>48000.0</v>
      </c>
      <c r="L918" s="24">
        <v>64000.0</v>
      </c>
      <c r="M918" s="25"/>
      <c r="N918" s="102">
        <v>54000.0</v>
      </c>
      <c r="O918" s="27">
        <f t="shared" si="105"/>
        <v>0.3333333333</v>
      </c>
      <c r="P918" s="28">
        <f t="shared" si="107"/>
        <v>0</v>
      </c>
    </row>
    <row r="919" hidden="1">
      <c r="A919" s="16" t="s">
        <v>1439</v>
      </c>
      <c r="B919" s="17"/>
      <c r="C919" s="158"/>
      <c r="D919" s="67"/>
      <c r="E919" s="19"/>
      <c r="F919" s="19"/>
      <c r="G919" s="40" t="s">
        <v>1435</v>
      </c>
      <c r="H919" s="21"/>
      <c r="I919" s="22">
        <v>45.0</v>
      </c>
      <c r="J919" s="22" t="s">
        <v>1440</v>
      </c>
      <c r="K919" s="24">
        <v>48000.0</v>
      </c>
      <c r="L919" s="24">
        <v>64000.0</v>
      </c>
      <c r="M919" s="25"/>
      <c r="N919" s="102">
        <v>54000.0</v>
      </c>
      <c r="O919" s="27">
        <f t="shared" si="105"/>
        <v>0.3333333333</v>
      </c>
      <c r="P919" s="28">
        <f t="shared" si="107"/>
        <v>0</v>
      </c>
    </row>
    <row r="920" hidden="1">
      <c r="A920" s="16" t="s">
        <v>1441</v>
      </c>
      <c r="B920" s="17"/>
      <c r="C920" s="68"/>
      <c r="D920" s="4"/>
      <c r="E920" s="19">
        <v>0.0</v>
      </c>
      <c r="F920" s="19">
        <v>0.0</v>
      </c>
      <c r="G920" s="20" t="s">
        <v>468</v>
      </c>
      <c r="H920" s="21">
        <v>1.0</v>
      </c>
      <c r="I920" s="22">
        <v>3.0</v>
      </c>
      <c r="J920" s="45"/>
      <c r="K920" s="32">
        <f t="shared" ref="K920:K922" si="109">54613</f>
        <v>54613</v>
      </c>
      <c r="L920" s="24">
        <v>85000.0</v>
      </c>
      <c r="M920" s="25" t="s">
        <v>82</v>
      </c>
      <c r="N920" s="102">
        <v>62000.0</v>
      </c>
      <c r="O920" s="27">
        <f t="shared" si="105"/>
        <v>0.5564059839</v>
      </c>
      <c r="P920" s="28">
        <f t="shared" si="107"/>
        <v>0</v>
      </c>
    </row>
    <row r="921" hidden="1">
      <c r="A921" s="16" t="s">
        <v>1442</v>
      </c>
      <c r="B921" s="17"/>
      <c r="C921" s="18"/>
      <c r="D921" s="4"/>
      <c r="E921" s="19">
        <v>0.0</v>
      </c>
      <c r="F921" s="77">
        <v>0.0</v>
      </c>
      <c r="G921" s="20" t="s">
        <v>468</v>
      </c>
      <c r="H921" s="21">
        <v>1.0</v>
      </c>
      <c r="I921" s="22">
        <v>2.0</v>
      </c>
      <c r="J921" s="45"/>
      <c r="K921" s="32">
        <f t="shared" si="109"/>
        <v>54613</v>
      </c>
      <c r="L921" s="24">
        <v>85000.0</v>
      </c>
      <c r="M921" s="25" t="s">
        <v>76</v>
      </c>
      <c r="N921" s="102">
        <v>62000.0</v>
      </c>
      <c r="O921" s="27">
        <f t="shared" si="105"/>
        <v>0.5564059839</v>
      </c>
      <c r="P921" s="28">
        <f t="shared" si="107"/>
        <v>0</v>
      </c>
    </row>
    <row r="922" hidden="1">
      <c r="A922" s="16" t="s">
        <v>1443</v>
      </c>
      <c r="B922" s="17"/>
      <c r="C922" s="18"/>
      <c r="D922" s="4"/>
      <c r="E922" s="19">
        <v>0.0</v>
      </c>
      <c r="F922" s="77">
        <v>0.0</v>
      </c>
      <c r="G922" s="20" t="s">
        <v>468</v>
      </c>
      <c r="H922" s="21">
        <v>3.0</v>
      </c>
      <c r="I922" s="22">
        <v>1.0</v>
      </c>
      <c r="J922" s="29"/>
      <c r="K922" s="32">
        <f t="shared" si="109"/>
        <v>54613</v>
      </c>
      <c r="L922" s="24">
        <v>85000.0</v>
      </c>
      <c r="M922" s="25" t="s">
        <v>82</v>
      </c>
      <c r="N922" s="102">
        <v>62000.0</v>
      </c>
      <c r="O922" s="27">
        <f t="shared" si="105"/>
        <v>0.5564059839</v>
      </c>
      <c r="P922" s="28">
        <f t="shared" si="107"/>
        <v>0</v>
      </c>
    </row>
    <row r="923" hidden="1">
      <c r="A923" s="16" t="s">
        <v>1444</v>
      </c>
      <c r="B923" s="17"/>
      <c r="C923" s="18"/>
      <c r="D923" s="4"/>
      <c r="E923" s="19">
        <v>0.0</v>
      </c>
      <c r="F923" s="77">
        <v>0.0</v>
      </c>
      <c r="G923" s="20" t="s">
        <v>468</v>
      </c>
      <c r="H923" s="21">
        <v>0.0</v>
      </c>
      <c r="I923" s="22">
        <v>0.0</v>
      </c>
      <c r="J923" s="45"/>
      <c r="K923" s="46">
        <v>54613.0</v>
      </c>
      <c r="L923" s="24">
        <v>85000.0</v>
      </c>
      <c r="M923" s="25" t="s">
        <v>82</v>
      </c>
      <c r="N923" s="39"/>
      <c r="O923" s="27">
        <f t="shared" si="105"/>
        <v>0.5564059839</v>
      </c>
      <c r="P923" s="28">
        <f t="shared" si="107"/>
        <v>0</v>
      </c>
    </row>
    <row r="924" hidden="1">
      <c r="A924" s="16" t="s">
        <v>1445</v>
      </c>
      <c r="B924" s="17"/>
      <c r="C924" s="18"/>
      <c r="D924" s="4"/>
      <c r="E924" s="19">
        <v>0.0</v>
      </c>
      <c r="F924" s="19">
        <v>0.0</v>
      </c>
      <c r="G924" s="20" t="s">
        <v>286</v>
      </c>
      <c r="H924" s="21"/>
      <c r="I924" s="22">
        <v>0.0</v>
      </c>
      <c r="J924" s="29"/>
      <c r="K924" s="43">
        <v>4600.0</v>
      </c>
      <c r="L924" s="44">
        <v>8000.0</v>
      </c>
      <c r="M924" s="25"/>
      <c r="N924" s="39"/>
      <c r="O924" s="27">
        <f t="shared" si="105"/>
        <v>0.7391304348</v>
      </c>
      <c r="P924" s="28">
        <f t="shared" si="107"/>
        <v>0</v>
      </c>
    </row>
    <row r="925" hidden="1">
      <c r="A925" s="16" t="s">
        <v>1446</v>
      </c>
      <c r="B925" s="36"/>
      <c r="C925" s="18"/>
      <c r="D925" s="4"/>
      <c r="E925" s="19">
        <v>2.0</v>
      </c>
      <c r="F925" s="19"/>
      <c r="G925" s="16" t="s">
        <v>1412</v>
      </c>
      <c r="H925" s="21"/>
      <c r="I925" s="22"/>
      <c r="J925" s="29"/>
      <c r="K925" s="48">
        <v>4935.0</v>
      </c>
      <c r="L925" s="55">
        <v>8000.0</v>
      </c>
      <c r="M925" s="25" t="s">
        <v>76</v>
      </c>
      <c r="N925" s="39"/>
      <c r="O925" s="27">
        <f t="shared" si="105"/>
        <v>0.6210739615</v>
      </c>
      <c r="P925" s="28">
        <f t="shared" si="107"/>
        <v>0</v>
      </c>
    </row>
    <row r="926" hidden="1">
      <c r="A926" s="16" t="s">
        <v>1447</v>
      </c>
      <c r="B926" s="49" t="s">
        <v>1448</v>
      </c>
      <c r="C926" s="18"/>
      <c r="D926" s="4"/>
      <c r="E926" s="19">
        <v>15.0</v>
      </c>
      <c r="F926" s="19">
        <v>20.0</v>
      </c>
      <c r="G926" s="16" t="s">
        <v>1449</v>
      </c>
      <c r="H926" s="21"/>
      <c r="I926" s="22">
        <v>4.0</v>
      </c>
      <c r="J926" s="29"/>
      <c r="K926" s="48">
        <f>5095</f>
        <v>5095</v>
      </c>
      <c r="L926" s="48">
        <v>8000.0</v>
      </c>
      <c r="M926" s="25" t="s">
        <v>76</v>
      </c>
      <c r="N926" s="39"/>
      <c r="O926" s="27">
        <f t="shared" si="105"/>
        <v>0.5701668302</v>
      </c>
      <c r="P926" s="28">
        <f t="shared" si="107"/>
        <v>101900</v>
      </c>
    </row>
    <row r="927" hidden="1">
      <c r="A927" s="16" t="s">
        <v>1450</v>
      </c>
      <c r="B927" s="49" t="s">
        <v>1451</v>
      </c>
      <c r="C927" s="18"/>
      <c r="D927" s="4"/>
      <c r="E927" s="19"/>
      <c r="F927" s="19"/>
      <c r="G927" s="16" t="s">
        <v>88</v>
      </c>
      <c r="H927" s="21"/>
      <c r="I927" s="22">
        <v>55.0</v>
      </c>
      <c r="J927" s="47">
        <v>46174.0</v>
      </c>
      <c r="K927" s="32">
        <v>4040.0</v>
      </c>
      <c r="L927" s="24">
        <v>8000.0</v>
      </c>
      <c r="M927" s="25" t="s">
        <v>76</v>
      </c>
      <c r="N927" s="39"/>
      <c r="O927" s="27">
        <f t="shared" si="105"/>
        <v>0.9801980198</v>
      </c>
      <c r="P927" s="28">
        <f t="shared" si="107"/>
        <v>0</v>
      </c>
    </row>
    <row r="928" hidden="1">
      <c r="A928" s="16" t="s">
        <v>1452</v>
      </c>
      <c r="B928" s="51"/>
      <c r="C928" s="18" t="s">
        <v>55</v>
      </c>
      <c r="D928" s="4"/>
      <c r="E928" s="19">
        <v>0.0</v>
      </c>
      <c r="F928" s="19">
        <v>15.0</v>
      </c>
      <c r="G928" s="20" t="s">
        <v>286</v>
      </c>
      <c r="H928" s="21"/>
      <c r="I928" s="22">
        <v>0.0</v>
      </c>
      <c r="J928" s="29"/>
      <c r="K928" s="43">
        <f>77469/100</f>
        <v>774.69</v>
      </c>
      <c r="L928" s="44">
        <v>1500.0</v>
      </c>
      <c r="M928" s="25"/>
      <c r="N928" s="39"/>
      <c r="O928" s="27">
        <f t="shared" si="105"/>
        <v>0.9362583743</v>
      </c>
      <c r="P928" s="28">
        <f t="shared" si="107"/>
        <v>11620.35</v>
      </c>
    </row>
    <row r="929" hidden="1">
      <c r="A929" s="122" t="s">
        <v>1453</v>
      </c>
      <c r="B929" s="17"/>
      <c r="C929" s="18"/>
      <c r="D929" s="4"/>
      <c r="E929" s="19">
        <v>0.0</v>
      </c>
      <c r="F929" s="19">
        <v>0.0</v>
      </c>
      <c r="G929" s="16" t="s">
        <v>659</v>
      </c>
      <c r="H929" s="21"/>
      <c r="I929" s="22">
        <v>9.0</v>
      </c>
      <c r="J929" s="23"/>
      <c r="K929" s="24">
        <f>(20000*1.19)/10</f>
        <v>2380</v>
      </c>
      <c r="L929" s="24">
        <v>4000.0</v>
      </c>
      <c r="M929" s="25"/>
      <c r="N929" s="39"/>
      <c r="O929" s="27">
        <f t="shared" si="105"/>
        <v>0.6806722689</v>
      </c>
      <c r="P929" s="28" t="str">
        <f>K929*#REF!</f>
        <v>#REF!</v>
      </c>
    </row>
    <row r="930" hidden="1">
      <c r="A930" s="16" t="s">
        <v>1454</v>
      </c>
      <c r="B930" s="17"/>
      <c r="C930" s="18"/>
      <c r="D930" s="4"/>
      <c r="E930" s="19">
        <v>0.0</v>
      </c>
      <c r="F930" s="19">
        <v>0.0</v>
      </c>
      <c r="G930" s="16" t="s">
        <v>1455</v>
      </c>
      <c r="H930" s="21"/>
      <c r="I930" s="22"/>
      <c r="J930" s="47">
        <v>46844.0</v>
      </c>
      <c r="K930" s="32">
        <v>25000.0</v>
      </c>
      <c r="L930" s="32">
        <v>38000.0</v>
      </c>
      <c r="M930" s="25"/>
      <c r="N930" s="102">
        <v>32000.0</v>
      </c>
      <c r="O930" s="27">
        <f t="shared" si="105"/>
        <v>0.52</v>
      </c>
      <c r="P930" s="28">
        <f t="shared" ref="P930:P954" si="110">K930*F930</f>
        <v>0</v>
      </c>
    </row>
    <row r="931" hidden="1">
      <c r="A931" s="16" t="s">
        <v>1456</v>
      </c>
      <c r="B931" s="17"/>
      <c r="C931" s="18"/>
      <c r="D931" s="4"/>
      <c r="E931" s="19">
        <v>0.0</v>
      </c>
      <c r="F931" s="19">
        <v>0.0</v>
      </c>
      <c r="G931" s="16" t="s">
        <v>1455</v>
      </c>
      <c r="H931" s="21"/>
      <c r="I931" s="22"/>
      <c r="J931" s="47">
        <v>46844.0</v>
      </c>
      <c r="K931" s="32">
        <v>25000.0</v>
      </c>
      <c r="L931" s="32">
        <v>38000.0</v>
      </c>
      <c r="M931" s="25"/>
      <c r="N931" s="102">
        <v>32000.0</v>
      </c>
      <c r="O931" s="27">
        <f t="shared" si="105"/>
        <v>0.52</v>
      </c>
      <c r="P931" s="28">
        <f t="shared" si="110"/>
        <v>0</v>
      </c>
    </row>
    <row r="932" hidden="1">
      <c r="A932" s="16" t="s">
        <v>1457</v>
      </c>
      <c r="B932" s="17"/>
      <c r="C932" s="18"/>
      <c r="D932" s="4"/>
      <c r="E932" s="19">
        <v>0.0</v>
      </c>
      <c r="F932" s="19">
        <v>0.0</v>
      </c>
      <c r="G932" s="16" t="s">
        <v>1455</v>
      </c>
      <c r="H932" s="21"/>
      <c r="I932" s="22"/>
      <c r="J932" s="58">
        <v>47088.0</v>
      </c>
      <c r="K932" s="32">
        <v>25000.0</v>
      </c>
      <c r="L932" s="32">
        <v>38000.0</v>
      </c>
      <c r="M932" s="25"/>
      <c r="N932" s="102">
        <v>32000.0</v>
      </c>
      <c r="O932" s="27">
        <f t="shared" si="105"/>
        <v>0.52</v>
      </c>
      <c r="P932" s="28">
        <f t="shared" si="110"/>
        <v>0</v>
      </c>
    </row>
    <row r="933" hidden="1">
      <c r="A933" s="16" t="s">
        <v>1458</v>
      </c>
      <c r="B933" s="17"/>
      <c r="C933" s="18"/>
      <c r="D933" s="4"/>
      <c r="E933" s="19">
        <v>0.0</v>
      </c>
      <c r="F933" s="19">
        <v>5.0</v>
      </c>
      <c r="G933" s="16" t="s">
        <v>1455</v>
      </c>
      <c r="H933" s="21"/>
      <c r="I933" s="22"/>
      <c r="J933" s="58">
        <v>47088.0</v>
      </c>
      <c r="K933" s="32">
        <v>25000.0</v>
      </c>
      <c r="L933" s="32">
        <v>52000.0</v>
      </c>
      <c r="M933" s="25"/>
      <c r="N933" s="102">
        <v>32000.0</v>
      </c>
      <c r="O933" s="27">
        <f t="shared" si="105"/>
        <v>1.08</v>
      </c>
      <c r="P933" s="28">
        <f t="shared" si="110"/>
        <v>125000</v>
      </c>
    </row>
    <row r="934" hidden="1">
      <c r="A934" s="59" t="s">
        <v>1459</v>
      </c>
      <c r="B934" s="134" t="s">
        <v>1460</v>
      </c>
      <c r="C934" s="18"/>
      <c r="D934" s="4"/>
      <c r="E934" s="19">
        <v>0.0</v>
      </c>
      <c r="F934" s="19">
        <v>0.0</v>
      </c>
      <c r="G934" s="20" t="s">
        <v>1461</v>
      </c>
      <c r="H934" s="21"/>
      <c r="I934" s="22"/>
      <c r="J934" s="23"/>
      <c r="K934" s="24">
        <v>257000.0</v>
      </c>
      <c r="L934" s="24">
        <v>340000.0</v>
      </c>
      <c r="M934" s="25"/>
      <c r="N934" s="39"/>
      <c r="O934" s="27">
        <f t="shared" si="105"/>
        <v>0.3229571984</v>
      </c>
      <c r="P934" s="28">
        <f t="shared" si="110"/>
        <v>0</v>
      </c>
    </row>
    <row r="935" hidden="1">
      <c r="A935" s="59" t="s">
        <v>1462</v>
      </c>
      <c r="B935" s="134" t="s">
        <v>1463</v>
      </c>
      <c r="C935" s="18" t="s">
        <v>1464</v>
      </c>
      <c r="D935" s="4"/>
      <c r="E935" s="19">
        <v>0.0</v>
      </c>
      <c r="F935" s="19">
        <v>0.0</v>
      </c>
      <c r="G935" s="20" t="s">
        <v>1461</v>
      </c>
      <c r="H935" s="21"/>
      <c r="I935" s="22"/>
      <c r="J935" s="29"/>
      <c r="K935" s="43">
        <v>55000.0</v>
      </c>
      <c r="L935" s="44">
        <v>90000.0</v>
      </c>
      <c r="M935" s="25"/>
      <c r="N935" s="39"/>
      <c r="O935" s="27">
        <f t="shared" si="105"/>
        <v>0.6363636364</v>
      </c>
      <c r="P935" s="28">
        <f t="shared" si="110"/>
        <v>0</v>
      </c>
    </row>
    <row r="936" hidden="1">
      <c r="A936" s="59" t="s">
        <v>1465</v>
      </c>
      <c r="B936" s="134" t="s">
        <v>1460</v>
      </c>
      <c r="C936" s="18" t="s">
        <v>1466</v>
      </c>
      <c r="D936" s="4"/>
      <c r="E936" s="19">
        <v>0.0</v>
      </c>
      <c r="F936" s="19">
        <v>0.0</v>
      </c>
      <c r="G936" s="20" t="s">
        <v>1461</v>
      </c>
      <c r="H936" s="21"/>
      <c r="I936" s="22"/>
      <c r="J936" s="29"/>
      <c r="K936" s="48">
        <v>138050.0</v>
      </c>
      <c r="L936" s="55">
        <v>174000.0</v>
      </c>
      <c r="M936" s="25"/>
      <c r="N936" s="39"/>
      <c r="O936" s="27">
        <f t="shared" si="105"/>
        <v>0.2604128939</v>
      </c>
      <c r="P936" s="28">
        <f t="shared" si="110"/>
        <v>0</v>
      </c>
    </row>
    <row r="937" hidden="1">
      <c r="A937" s="59" t="s">
        <v>1467</v>
      </c>
      <c r="B937" s="134" t="s">
        <v>1460</v>
      </c>
      <c r="C937" s="18" t="s">
        <v>1466</v>
      </c>
      <c r="D937" s="4"/>
      <c r="E937" s="19">
        <v>0.0</v>
      </c>
      <c r="F937" s="19">
        <v>0.0</v>
      </c>
      <c r="G937" s="20" t="s">
        <v>1461</v>
      </c>
      <c r="H937" s="21"/>
      <c r="I937" s="22"/>
      <c r="J937" s="29"/>
      <c r="K937" s="48">
        <v>138050.0</v>
      </c>
      <c r="L937" s="55">
        <v>174000.0</v>
      </c>
      <c r="M937" s="25"/>
      <c r="N937" s="39"/>
      <c r="O937" s="27">
        <f t="shared" si="105"/>
        <v>0.2604128939</v>
      </c>
      <c r="P937" s="28">
        <f t="shared" si="110"/>
        <v>0</v>
      </c>
    </row>
    <row r="938" hidden="1">
      <c r="A938" s="59" t="s">
        <v>1468</v>
      </c>
      <c r="B938" s="134" t="s">
        <v>1460</v>
      </c>
      <c r="C938" s="18" t="s">
        <v>1466</v>
      </c>
      <c r="D938" s="4"/>
      <c r="E938" s="19">
        <v>0.0</v>
      </c>
      <c r="F938" s="19">
        <v>0.0</v>
      </c>
      <c r="G938" s="20" t="s">
        <v>1461</v>
      </c>
      <c r="H938" s="21"/>
      <c r="I938" s="22"/>
      <c r="J938" s="29"/>
      <c r="K938" s="48">
        <v>138050.0</v>
      </c>
      <c r="L938" s="55">
        <v>174000.0</v>
      </c>
      <c r="M938" s="25"/>
      <c r="N938" s="39"/>
      <c r="O938" s="27">
        <f t="shared" si="105"/>
        <v>0.2604128939</v>
      </c>
      <c r="P938" s="28">
        <f t="shared" si="110"/>
        <v>0</v>
      </c>
    </row>
    <row r="939" hidden="1">
      <c r="A939" s="59" t="s">
        <v>1469</v>
      </c>
      <c r="B939" s="134" t="s">
        <v>1460</v>
      </c>
      <c r="C939" s="18" t="s">
        <v>1466</v>
      </c>
      <c r="D939" s="4"/>
      <c r="E939" s="19">
        <v>0.0</v>
      </c>
      <c r="F939" s="19">
        <v>0.0</v>
      </c>
      <c r="G939" s="20" t="s">
        <v>1461</v>
      </c>
      <c r="H939" s="21"/>
      <c r="I939" s="22"/>
      <c r="J939" s="29"/>
      <c r="K939" s="48">
        <v>138050.0</v>
      </c>
      <c r="L939" s="55">
        <v>174000.0</v>
      </c>
      <c r="M939" s="25"/>
      <c r="N939" s="39"/>
      <c r="O939" s="27">
        <f t="shared" si="105"/>
        <v>0.2604128939</v>
      </c>
      <c r="P939" s="28">
        <f t="shared" si="110"/>
        <v>0</v>
      </c>
    </row>
    <row r="940" hidden="1">
      <c r="A940" s="59" t="s">
        <v>1470</v>
      </c>
      <c r="B940" s="134" t="s">
        <v>1460</v>
      </c>
      <c r="C940" s="18" t="s">
        <v>1466</v>
      </c>
      <c r="D940" s="4"/>
      <c r="E940" s="19">
        <v>0.0</v>
      </c>
      <c r="F940" s="19">
        <v>0.0</v>
      </c>
      <c r="G940" s="20" t="s">
        <v>1461</v>
      </c>
      <c r="H940" s="21"/>
      <c r="I940" s="22"/>
      <c r="J940" s="29"/>
      <c r="K940" s="48">
        <v>138050.0</v>
      </c>
      <c r="L940" s="55">
        <v>174000.0</v>
      </c>
      <c r="M940" s="25"/>
      <c r="N940" s="39"/>
      <c r="O940" s="27">
        <f t="shared" si="105"/>
        <v>0.2604128939</v>
      </c>
      <c r="P940" s="28">
        <f t="shared" si="110"/>
        <v>0</v>
      </c>
    </row>
    <row r="941" hidden="1">
      <c r="A941" s="59" t="s">
        <v>1471</v>
      </c>
      <c r="B941" s="134" t="s">
        <v>1460</v>
      </c>
      <c r="C941" s="18" t="s">
        <v>1466</v>
      </c>
      <c r="D941" s="4"/>
      <c r="E941" s="19">
        <v>0.0</v>
      </c>
      <c r="F941" s="19">
        <v>0.0</v>
      </c>
      <c r="G941" s="20" t="s">
        <v>1461</v>
      </c>
      <c r="H941" s="21"/>
      <c r="I941" s="22"/>
      <c r="J941" s="29"/>
      <c r="K941" s="48">
        <v>138050.0</v>
      </c>
      <c r="L941" s="55">
        <v>174000.0</v>
      </c>
      <c r="M941" s="25"/>
      <c r="N941" s="39"/>
      <c r="O941" s="27">
        <f t="shared" si="105"/>
        <v>0.2604128939</v>
      </c>
      <c r="P941" s="28">
        <f t="shared" si="110"/>
        <v>0</v>
      </c>
    </row>
    <row r="942" hidden="1">
      <c r="A942" s="59" t="s">
        <v>1472</v>
      </c>
      <c r="B942" s="134" t="s">
        <v>1460</v>
      </c>
      <c r="C942" s="18" t="s">
        <v>1466</v>
      </c>
      <c r="D942" s="4"/>
      <c r="E942" s="19">
        <v>0.0</v>
      </c>
      <c r="F942" s="19">
        <v>0.0</v>
      </c>
      <c r="G942" s="20" t="s">
        <v>1461</v>
      </c>
      <c r="H942" s="21"/>
      <c r="I942" s="22"/>
      <c r="J942" s="29"/>
      <c r="K942" s="48">
        <v>138050.0</v>
      </c>
      <c r="L942" s="55">
        <v>174000.0</v>
      </c>
      <c r="M942" s="25"/>
      <c r="N942" s="39"/>
      <c r="O942" s="27">
        <f t="shared" si="105"/>
        <v>0.2604128939</v>
      </c>
      <c r="P942" s="28">
        <f t="shared" si="110"/>
        <v>0</v>
      </c>
    </row>
    <row r="943" hidden="1">
      <c r="A943" s="59" t="s">
        <v>1473</v>
      </c>
      <c r="B943" s="134" t="s">
        <v>1460</v>
      </c>
      <c r="C943" s="18" t="s">
        <v>1474</v>
      </c>
      <c r="D943" s="4"/>
      <c r="E943" s="19">
        <v>0.0</v>
      </c>
      <c r="F943" s="19">
        <v>0.0</v>
      </c>
      <c r="G943" s="20" t="s">
        <v>1461</v>
      </c>
      <c r="H943" s="21"/>
      <c r="I943" s="22"/>
      <c r="J943" s="29"/>
      <c r="K943" s="48">
        <v>179950.0</v>
      </c>
      <c r="L943" s="55">
        <v>198000.0</v>
      </c>
      <c r="M943" s="25"/>
      <c r="N943" s="39"/>
      <c r="O943" s="27">
        <f t="shared" si="105"/>
        <v>0.1003056405</v>
      </c>
      <c r="P943" s="28">
        <f t="shared" si="110"/>
        <v>0</v>
      </c>
    </row>
    <row r="944" hidden="1">
      <c r="A944" s="59" t="s">
        <v>1475</v>
      </c>
      <c r="B944" s="134" t="s">
        <v>1460</v>
      </c>
      <c r="C944" s="18" t="s">
        <v>1474</v>
      </c>
      <c r="D944" s="4"/>
      <c r="E944" s="19">
        <v>0.0</v>
      </c>
      <c r="F944" s="19">
        <v>0.0</v>
      </c>
      <c r="G944" s="20" t="s">
        <v>1461</v>
      </c>
      <c r="H944" s="21"/>
      <c r="I944" s="22"/>
      <c r="J944" s="29"/>
      <c r="K944" s="48">
        <v>179950.0</v>
      </c>
      <c r="L944" s="55">
        <v>198000.0</v>
      </c>
      <c r="M944" s="25"/>
      <c r="N944" s="39"/>
      <c r="O944" s="27">
        <f t="shared" si="105"/>
        <v>0.1003056405</v>
      </c>
      <c r="P944" s="28">
        <f t="shared" si="110"/>
        <v>0</v>
      </c>
    </row>
    <row r="945" hidden="1">
      <c r="A945" s="59" t="s">
        <v>1476</v>
      </c>
      <c r="B945" s="134" t="s">
        <v>1477</v>
      </c>
      <c r="C945" s="18" t="s">
        <v>1464</v>
      </c>
      <c r="D945" s="4"/>
      <c r="E945" s="19">
        <v>0.0</v>
      </c>
      <c r="F945" s="19">
        <v>0.0</v>
      </c>
      <c r="G945" s="20" t="s">
        <v>1461</v>
      </c>
      <c r="H945" s="21"/>
      <c r="I945" s="22"/>
      <c r="J945" s="29"/>
      <c r="K945" s="201">
        <v>93296.0</v>
      </c>
      <c r="L945" s="202">
        <v>110000.0</v>
      </c>
      <c r="M945" s="25"/>
      <c r="N945" s="39"/>
      <c r="O945" s="27">
        <f t="shared" si="105"/>
        <v>0.1790430458</v>
      </c>
      <c r="P945" s="28">
        <f t="shared" si="110"/>
        <v>0</v>
      </c>
    </row>
    <row r="946" hidden="1">
      <c r="A946" s="16" t="s">
        <v>1478</v>
      </c>
      <c r="B946" s="134" t="s">
        <v>1460</v>
      </c>
      <c r="C946" s="18"/>
      <c r="D946" s="4"/>
      <c r="E946" s="19">
        <v>0.0</v>
      </c>
      <c r="F946" s="19">
        <v>0.0</v>
      </c>
      <c r="G946" s="20" t="s">
        <v>1461</v>
      </c>
      <c r="H946" s="21"/>
      <c r="I946" s="22"/>
      <c r="J946" s="29"/>
      <c r="K946" s="48">
        <f>108319*1.19</f>
        <v>128899.61</v>
      </c>
      <c r="L946" s="55">
        <v>160000.0</v>
      </c>
      <c r="M946" s="25"/>
      <c r="N946" s="39"/>
      <c r="O946" s="27">
        <f t="shared" si="105"/>
        <v>0.2412760597</v>
      </c>
      <c r="P946" s="28">
        <f t="shared" si="110"/>
        <v>0</v>
      </c>
    </row>
    <row r="947" hidden="1">
      <c r="A947" s="59" t="s">
        <v>1479</v>
      </c>
      <c r="B947" s="134" t="s">
        <v>1460</v>
      </c>
      <c r="C947" s="18"/>
      <c r="D947" s="4"/>
      <c r="E947" s="19">
        <v>0.0</v>
      </c>
      <c r="F947" s="19">
        <v>0.0</v>
      </c>
      <c r="G947" s="20" t="s">
        <v>1461</v>
      </c>
      <c r="H947" s="21"/>
      <c r="I947" s="22"/>
      <c r="J947" s="29" t="s">
        <v>1480</v>
      </c>
      <c r="K947" s="48">
        <f>37000+77000</f>
        <v>114000</v>
      </c>
      <c r="L947" s="55">
        <v>145000.0</v>
      </c>
      <c r="M947" s="25"/>
      <c r="N947" s="39"/>
      <c r="O947" s="27">
        <f t="shared" si="105"/>
        <v>0.2719298246</v>
      </c>
      <c r="P947" s="28">
        <f t="shared" si="110"/>
        <v>0</v>
      </c>
    </row>
    <row r="948" hidden="1">
      <c r="A948" s="59" t="s">
        <v>1481</v>
      </c>
      <c r="B948" s="134" t="s">
        <v>1460</v>
      </c>
      <c r="C948" s="18"/>
      <c r="D948" s="19"/>
      <c r="E948" s="19">
        <v>0.0</v>
      </c>
      <c r="F948" s="19">
        <v>0.0</v>
      </c>
      <c r="G948" s="20" t="s">
        <v>1461</v>
      </c>
      <c r="H948" s="21"/>
      <c r="I948" s="22"/>
      <c r="J948" s="29"/>
      <c r="K948" s="48">
        <f>108319*1.19</f>
        <v>128899.61</v>
      </c>
      <c r="L948" s="55">
        <v>170000.0</v>
      </c>
      <c r="M948" s="25"/>
      <c r="N948" s="102">
        <v>150000.0</v>
      </c>
      <c r="O948" s="27">
        <f t="shared" si="105"/>
        <v>0.3188558135</v>
      </c>
      <c r="P948" s="28">
        <f t="shared" si="110"/>
        <v>0</v>
      </c>
    </row>
    <row r="949" hidden="1">
      <c r="A949" s="16" t="s">
        <v>1482</v>
      </c>
      <c r="B949" s="134" t="s">
        <v>1460</v>
      </c>
      <c r="C949" s="18"/>
      <c r="D949" s="4"/>
      <c r="E949" s="19">
        <v>0.0</v>
      </c>
      <c r="F949" s="19">
        <v>0.0</v>
      </c>
      <c r="G949" s="20" t="s">
        <v>1461</v>
      </c>
      <c r="H949" s="21"/>
      <c r="I949" s="22" t="s">
        <v>99</v>
      </c>
      <c r="J949" s="29"/>
      <c r="K949" s="43">
        <v>31500.0</v>
      </c>
      <c r="L949" s="44">
        <v>45000.0</v>
      </c>
      <c r="M949" s="25"/>
      <c r="N949" s="39"/>
      <c r="O949" s="27">
        <f>(L949/K949)-1</f>
        <v>0.4285714286</v>
      </c>
      <c r="P949" s="28">
        <f t="shared" si="110"/>
        <v>0</v>
      </c>
    </row>
    <row r="950" hidden="1">
      <c r="A950" s="59" t="s">
        <v>1483</v>
      </c>
      <c r="B950" s="134" t="s">
        <v>1460</v>
      </c>
      <c r="C950" s="18"/>
      <c r="D950" s="4"/>
      <c r="E950" s="19">
        <v>0.0</v>
      </c>
      <c r="F950" s="19">
        <v>0.0</v>
      </c>
      <c r="G950" s="20" t="s">
        <v>1461</v>
      </c>
      <c r="H950" s="21"/>
      <c r="I950" s="22" t="s">
        <v>99</v>
      </c>
      <c r="J950" s="29"/>
      <c r="K950" s="43">
        <v>158000.0</v>
      </c>
      <c r="L950" s="44">
        <v>230000.0</v>
      </c>
      <c r="M950" s="25"/>
      <c r="N950" s="39"/>
      <c r="O950" s="27">
        <f t="shared" ref="O950:O954" si="111">(L950/K950)-1</f>
        <v>0.4556962025</v>
      </c>
      <c r="P950" s="28">
        <f t="shared" si="110"/>
        <v>0</v>
      </c>
    </row>
    <row r="951" hidden="1">
      <c r="A951" s="59" t="s">
        <v>1484</v>
      </c>
      <c r="B951" s="134" t="s">
        <v>1460</v>
      </c>
      <c r="C951" s="18"/>
      <c r="D951" s="4"/>
      <c r="E951" s="19">
        <v>0.0</v>
      </c>
      <c r="F951" s="19">
        <v>0.0</v>
      </c>
      <c r="G951" s="20" t="s">
        <v>1461</v>
      </c>
      <c r="H951" s="21"/>
      <c r="I951" s="22"/>
      <c r="J951" s="29"/>
      <c r="K951" s="43">
        <v>266000.0</v>
      </c>
      <c r="L951" s="44">
        <v>350000.0</v>
      </c>
      <c r="M951" s="25"/>
      <c r="N951" s="39"/>
      <c r="O951" s="27">
        <f t="shared" si="111"/>
        <v>0.3157894737</v>
      </c>
      <c r="P951" s="28">
        <f t="shared" si="110"/>
        <v>0</v>
      </c>
    </row>
    <row r="952" hidden="1">
      <c r="A952" s="59" t="s">
        <v>1485</v>
      </c>
      <c r="B952" s="134" t="s">
        <v>1460</v>
      </c>
      <c r="C952" s="18"/>
      <c r="D952" s="19"/>
      <c r="E952" s="19">
        <v>0.0</v>
      </c>
      <c r="F952" s="19">
        <v>0.0</v>
      </c>
      <c r="G952" s="20" t="s">
        <v>1461</v>
      </c>
      <c r="H952" s="21"/>
      <c r="I952" s="22"/>
      <c r="J952" s="29"/>
      <c r="K952" s="43">
        <v>210000.0</v>
      </c>
      <c r="L952" s="44">
        <v>280000.0</v>
      </c>
      <c r="M952" s="25"/>
      <c r="N952" s="39"/>
      <c r="O952" s="27">
        <f t="shared" si="111"/>
        <v>0.3333333333</v>
      </c>
      <c r="P952" s="28">
        <f t="shared" si="110"/>
        <v>0</v>
      </c>
    </row>
    <row r="953" hidden="1">
      <c r="A953" s="59" t="s">
        <v>1486</v>
      </c>
      <c r="B953" s="134" t="s">
        <v>1460</v>
      </c>
      <c r="C953" s="18"/>
      <c r="D953" s="4"/>
      <c r="E953" s="19">
        <v>0.0</v>
      </c>
      <c r="F953" s="19">
        <v>0.0</v>
      </c>
      <c r="G953" s="20" t="s">
        <v>1461</v>
      </c>
      <c r="H953" s="21"/>
      <c r="I953" s="22"/>
      <c r="J953" s="29"/>
      <c r="K953" s="32">
        <f>280000*1.19</f>
        <v>333200</v>
      </c>
      <c r="L953" s="24">
        <v>440000.0</v>
      </c>
      <c r="M953" s="25"/>
      <c r="N953" s="102">
        <v>390000.0</v>
      </c>
      <c r="O953" s="27">
        <f t="shared" si="111"/>
        <v>0.3205282113</v>
      </c>
      <c r="P953" s="28">
        <f t="shared" si="110"/>
        <v>0</v>
      </c>
    </row>
    <row r="954" hidden="1">
      <c r="A954" s="59" t="s">
        <v>1487</v>
      </c>
      <c r="B954" s="203" t="s">
        <v>1488</v>
      </c>
      <c r="C954" s="204" t="s">
        <v>1464</v>
      </c>
      <c r="D954" s="205"/>
      <c r="E954" s="19">
        <v>0.0</v>
      </c>
      <c r="F954" s="19">
        <v>0.0</v>
      </c>
      <c r="G954" s="20" t="s">
        <v>1461</v>
      </c>
      <c r="H954" s="206"/>
      <c r="I954" s="207"/>
      <c r="J954" s="208" t="s">
        <v>1480</v>
      </c>
      <c r="K954" s="209">
        <v>37000.0</v>
      </c>
      <c r="L954" s="209">
        <v>54000.0</v>
      </c>
      <c r="M954" s="25"/>
      <c r="N954" s="39"/>
      <c r="O954" s="27">
        <f t="shared" si="111"/>
        <v>0.4594594595</v>
      </c>
      <c r="P954" s="28">
        <f t="shared" si="110"/>
        <v>0</v>
      </c>
    </row>
    <row r="955" hidden="1">
      <c r="A955" s="210" t="s">
        <v>1489</v>
      </c>
      <c r="B955" s="203" t="s">
        <v>1490</v>
      </c>
      <c r="C955" s="204" t="s">
        <v>1464</v>
      </c>
      <c r="D955" s="205"/>
      <c r="E955" s="19">
        <v>0.0</v>
      </c>
      <c r="F955" s="19">
        <v>0.0</v>
      </c>
      <c r="G955" s="20" t="s">
        <v>1461</v>
      </c>
      <c r="H955" s="206"/>
      <c r="I955" s="207"/>
      <c r="J955" s="208" t="s">
        <v>1480</v>
      </c>
      <c r="K955" s="202">
        <v>20680.0</v>
      </c>
      <c r="L955" s="211">
        <v>45000.0</v>
      </c>
      <c r="M955" s="25"/>
      <c r="N955" s="39"/>
      <c r="O955" s="27"/>
      <c r="P955" s="28"/>
    </row>
    <row r="956" hidden="1">
      <c r="A956" s="59" t="s">
        <v>1491</v>
      </c>
      <c r="B956" s="134" t="s">
        <v>1492</v>
      </c>
      <c r="C956" s="18" t="s">
        <v>1464</v>
      </c>
      <c r="D956" s="4"/>
      <c r="E956" s="19">
        <v>0.0</v>
      </c>
      <c r="F956" s="19">
        <v>0.0</v>
      </c>
      <c r="G956" s="20" t="s">
        <v>1461</v>
      </c>
      <c r="H956" s="21"/>
      <c r="I956" s="22"/>
      <c r="J956" s="29" t="s">
        <v>1480</v>
      </c>
      <c r="K956" s="48">
        <v>77000.0</v>
      </c>
      <c r="L956" s="55">
        <v>98000.0</v>
      </c>
      <c r="M956" s="25"/>
      <c r="N956" s="39"/>
      <c r="O956" s="27">
        <f t="shared" ref="O956:O962" si="112">(L956/K956)-1</f>
        <v>0.2727272727</v>
      </c>
      <c r="P956" s="28">
        <f t="shared" ref="P956:P962" si="113">K956*F956</f>
        <v>0</v>
      </c>
    </row>
    <row r="957" hidden="1">
      <c r="A957" s="59" t="s">
        <v>1493</v>
      </c>
      <c r="B957" s="203" t="s">
        <v>1494</v>
      </c>
      <c r="C957" s="204" t="s">
        <v>1464</v>
      </c>
      <c r="D957" s="205"/>
      <c r="E957" s="19">
        <v>0.0</v>
      </c>
      <c r="F957" s="19">
        <v>0.0</v>
      </c>
      <c r="G957" s="20" t="s">
        <v>1461</v>
      </c>
      <c r="H957" s="206"/>
      <c r="I957" s="207"/>
      <c r="J957" s="212"/>
      <c r="K957" s="201">
        <v>84728.0</v>
      </c>
      <c r="L957" s="202">
        <v>105000.0</v>
      </c>
      <c r="M957" s="25"/>
      <c r="N957" s="39"/>
      <c r="O957" s="27">
        <f t="shared" si="112"/>
        <v>0.2392597488</v>
      </c>
      <c r="P957" s="28">
        <f t="shared" si="113"/>
        <v>0</v>
      </c>
    </row>
    <row r="958" hidden="1">
      <c r="A958" s="59" t="s">
        <v>1495</v>
      </c>
      <c r="B958" s="134" t="s">
        <v>1460</v>
      </c>
      <c r="C958" s="18"/>
      <c r="D958" s="19"/>
      <c r="E958" s="19">
        <v>0.0</v>
      </c>
      <c r="F958" s="19">
        <v>0.0</v>
      </c>
      <c r="G958" s="20" t="s">
        <v>1461</v>
      </c>
      <c r="H958" s="21"/>
      <c r="I958" s="22"/>
      <c r="J958" s="29"/>
      <c r="K958" s="48">
        <f>90672*1.19</f>
        <v>107899.68</v>
      </c>
      <c r="L958" s="55">
        <v>160000.0</v>
      </c>
      <c r="M958" s="25"/>
      <c r="N958" s="39"/>
      <c r="O958" s="27">
        <f t="shared" si="112"/>
        <v>0.4828588926</v>
      </c>
      <c r="P958" s="28">
        <f t="shared" si="113"/>
        <v>0</v>
      </c>
    </row>
    <row r="959" hidden="1">
      <c r="A959" s="59" t="s">
        <v>1496</v>
      </c>
      <c r="B959" s="134" t="s">
        <v>1460</v>
      </c>
      <c r="C959" s="18"/>
      <c r="D959" s="19"/>
      <c r="E959" s="19">
        <v>0.0</v>
      </c>
      <c r="F959" s="19">
        <v>0.0</v>
      </c>
      <c r="G959" s="20" t="s">
        <v>1461</v>
      </c>
      <c r="H959" s="21"/>
      <c r="I959" s="22"/>
      <c r="J959" s="29"/>
      <c r="K959" s="43">
        <v>89000.0</v>
      </c>
      <c r="L959" s="44">
        <v>140000.0</v>
      </c>
      <c r="M959" s="25"/>
      <c r="N959" s="39"/>
      <c r="O959" s="27">
        <f t="shared" si="112"/>
        <v>0.5730337079</v>
      </c>
      <c r="P959" s="28">
        <f t="shared" si="113"/>
        <v>0</v>
      </c>
    </row>
    <row r="960" hidden="1">
      <c r="A960" s="16" t="s">
        <v>1497</v>
      </c>
      <c r="B960" s="134" t="s">
        <v>1460</v>
      </c>
      <c r="C960" s="18"/>
      <c r="D960" s="4"/>
      <c r="E960" s="19">
        <v>0.0</v>
      </c>
      <c r="F960" s="19">
        <v>0.0</v>
      </c>
      <c r="G960" s="20" t="s">
        <v>1461</v>
      </c>
      <c r="H960" s="21"/>
      <c r="I960" s="22"/>
      <c r="J960" s="29"/>
      <c r="K960" s="43">
        <v>54000.0</v>
      </c>
      <c r="L960" s="44">
        <v>90000.0</v>
      </c>
      <c r="M960" s="25"/>
      <c r="N960" s="39"/>
      <c r="O960" s="27">
        <f t="shared" si="112"/>
        <v>0.6666666667</v>
      </c>
      <c r="P960" s="28">
        <f t="shared" si="113"/>
        <v>0</v>
      </c>
    </row>
    <row r="961" hidden="1">
      <c r="A961" s="16" t="s">
        <v>1498</v>
      </c>
      <c r="B961" s="36"/>
      <c r="C961" s="18"/>
      <c r="D961" s="19"/>
      <c r="E961" s="19">
        <v>0.0</v>
      </c>
      <c r="F961" s="19">
        <v>0.0</v>
      </c>
      <c r="G961" s="54" t="s">
        <v>63</v>
      </c>
      <c r="H961" s="213"/>
      <c r="I961" s="22">
        <v>1.0</v>
      </c>
      <c r="J961" s="214"/>
      <c r="K961" s="48">
        <v>33440.0</v>
      </c>
      <c r="L961" s="55">
        <v>48000.0</v>
      </c>
      <c r="M961" s="25"/>
      <c r="N961" s="26">
        <v>42000.0</v>
      </c>
      <c r="O961" s="27">
        <f t="shared" si="112"/>
        <v>0.4354066986</v>
      </c>
      <c r="P961" s="28">
        <f t="shared" si="113"/>
        <v>0</v>
      </c>
    </row>
    <row r="962" hidden="1">
      <c r="A962" s="16" t="s">
        <v>1499</v>
      </c>
      <c r="B962" s="49"/>
      <c r="C962" s="92"/>
      <c r="D962" s="4"/>
      <c r="E962" s="19">
        <v>0.0</v>
      </c>
      <c r="F962" s="19"/>
      <c r="G962" s="16" t="s">
        <v>744</v>
      </c>
      <c r="H962" s="215"/>
      <c r="I962" s="22">
        <v>1.0</v>
      </c>
      <c r="J962" s="216"/>
      <c r="K962" s="217">
        <v>6367.0</v>
      </c>
      <c r="L962" s="184">
        <v>12000.0</v>
      </c>
      <c r="M962" s="25"/>
      <c r="N962" s="102">
        <v>10000.0</v>
      </c>
      <c r="O962" s="27">
        <f t="shared" si="112"/>
        <v>0.8847180776</v>
      </c>
      <c r="P962" s="28">
        <f t="shared" si="113"/>
        <v>0</v>
      </c>
    </row>
    <row r="963" hidden="1">
      <c r="A963" s="16" t="s">
        <v>1500</v>
      </c>
      <c r="B963" s="17"/>
      <c r="C963" s="38"/>
      <c r="D963" s="4"/>
      <c r="E963" s="19"/>
      <c r="F963" s="19"/>
      <c r="G963" s="16" t="s">
        <v>159</v>
      </c>
      <c r="H963" s="21"/>
      <c r="I963" s="22">
        <v>1.0</v>
      </c>
      <c r="J963" s="29"/>
      <c r="K963" s="48">
        <f>196800/3</f>
        <v>65600</v>
      </c>
      <c r="L963" s="60">
        <v>110000.0</v>
      </c>
      <c r="M963" s="25"/>
      <c r="N963" s="26"/>
      <c r="O963" s="27"/>
      <c r="P963" s="28"/>
    </row>
    <row r="964" hidden="1">
      <c r="A964" s="42" t="s">
        <v>1501</v>
      </c>
      <c r="B964" s="71"/>
      <c r="C964" s="18"/>
      <c r="D964" s="4"/>
      <c r="E964" s="19">
        <v>0.0</v>
      </c>
      <c r="F964" s="19">
        <v>0.0</v>
      </c>
      <c r="G964" s="16" t="s">
        <v>465</v>
      </c>
      <c r="H964" s="21"/>
      <c r="I964" s="22">
        <v>0.0</v>
      </c>
      <c r="J964" s="29"/>
      <c r="K964" s="43">
        <v>45800.0</v>
      </c>
      <c r="L964" s="44">
        <v>60000.0</v>
      </c>
      <c r="M964" s="25"/>
      <c r="N964" s="39"/>
      <c r="O964" s="27">
        <f t="shared" ref="O964:O982" si="114">(L964/K964)-1</f>
        <v>0.3100436681</v>
      </c>
      <c r="P964" s="28">
        <f t="shared" ref="P964:P990" si="115">K964*F964</f>
        <v>0</v>
      </c>
    </row>
    <row r="965" hidden="1">
      <c r="A965" s="42" t="s">
        <v>1502</v>
      </c>
      <c r="B965" s="114" t="s">
        <v>1503</v>
      </c>
      <c r="C965" s="18"/>
      <c r="D965" s="107" t="s">
        <v>251</v>
      </c>
      <c r="E965" s="19">
        <v>6.0</v>
      </c>
      <c r="F965" s="19">
        <v>0.0</v>
      </c>
      <c r="G965" s="54" t="s">
        <v>63</v>
      </c>
      <c r="H965" s="21"/>
      <c r="I965" s="22">
        <v>0.0</v>
      </c>
      <c r="J965" s="29"/>
      <c r="K965" s="32">
        <f>52712</f>
        <v>52712</v>
      </c>
      <c r="L965" s="24">
        <v>72000.0</v>
      </c>
      <c r="M965" s="25" t="s">
        <v>82</v>
      </c>
      <c r="N965" s="102">
        <v>65000.0</v>
      </c>
      <c r="O965" s="27">
        <f t="shared" si="114"/>
        <v>0.3659128851</v>
      </c>
      <c r="P965" s="28">
        <f t="shared" si="115"/>
        <v>0</v>
      </c>
    </row>
    <row r="966" hidden="1">
      <c r="A966" s="16" t="s">
        <v>1504</v>
      </c>
      <c r="B966" s="17"/>
      <c r="C966" s="18"/>
      <c r="D966" s="4"/>
      <c r="E966" s="19">
        <v>0.0</v>
      </c>
      <c r="F966" s="19">
        <v>0.0</v>
      </c>
      <c r="G966" s="20" t="s">
        <v>1225</v>
      </c>
      <c r="H966" s="21"/>
      <c r="I966" s="22">
        <v>0.0</v>
      </c>
      <c r="J966" s="29"/>
      <c r="K966" s="43">
        <v>90320.0</v>
      </c>
      <c r="L966" s="44">
        <v>112000.0</v>
      </c>
      <c r="M966" s="25"/>
      <c r="N966" s="39"/>
      <c r="O966" s="27">
        <f t="shared" si="114"/>
        <v>0.2400354296</v>
      </c>
      <c r="P966" s="28">
        <f t="shared" si="115"/>
        <v>0</v>
      </c>
    </row>
    <row r="967" hidden="1">
      <c r="A967" s="16" t="s">
        <v>1505</v>
      </c>
      <c r="B967" s="17"/>
      <c r="C967" s="18"/>
      <c r="D967" s="4"/>
      <c r="E967" s="19">
        <v>0.0</v>
      </c>
      <c r="F967" s="19">
        <v>0.0</v>
      </c>
      <c r="G967" s="20" t="s">
        <v>1225</v>
      </c>
      <c r="H967" s="21"/>
      <c r="I967" s="22">
        <v>2.0</v>
      </c>
      <c r="J967" s="22" t="s">
        <v>1506</v>
      </c>
      <c r="K967" s="48">
        <v>15400.0</v>
      </c>
      <c r="L967" s="55">
        <v>19300.0</v>
      </c>
      <c r="M967" s="25" t="s">
        <v>76</v>
      </c>
      <c r="N967" s="39"/>
      <c r="O967" s="27">
        <f t="shared" si="114"/>
        <v>0.2532467532</v>
      </c>
      <c r="P967" s="28">
        <f t="shared" si="115"/>
        <v>0</v>
      </c>
    </row>
    <row r="968" hidden="1">
      <c r="A968" s="16" t="s">
        <v>1507</v>
      </c>
      <c r="B968" s="36"/>
      <c r="C968" s="18"/>
      <c r="D968" s="4"/>
      <c r="E968" s="19"/>
      <c r="F968" s="19"/>
      <c r="G968" s="16" t="s">
        <v>1400</v>
      </c>
      <c r="H968" s="21"/>
      <c r="I968" s="22">
        <v>0.0</v>
      </c>
      <c r="J968" s="29"/>
      <c r="K968" s="32">
        <f>319328*1.19</f>
        <v>380000.32</v>
      </c>
      <c r="L968" s="24">
        <v>460000.0</v>
      </c>
      <c r="M968" s="25"/>
      <c r="N968" s="39"/>
      <c r="O968" s="27">
        <f t="shared" si="114"/>
        <v>0.2105252964</v>
      </c>
      <c r="P968" s="28">
        <f t="shared" si="115"/>
        <v>0</v>
      </c>
    </row>
    <row r="969" hidden="1">
      <c r="A969" s="16" t="s">
        <v>1508</v>
      </c>
      <c r="B969" s="49"/>
      <c r="C969" s="18" t="s">
        <v>55</v>
      </c>
      <c r="D969" s="4"/>
      <c r="E969" s="19"/>
      <c r="F969" s="19"/>
      <c r="G969" s="20" t="s">
        <v>88</v>
      </c>
      <c r="H969" s="21"/>
      <c r="I969" s="22">
        <v>2.0</v>
      </c>
      <c r="J969" s="29"/>
      <c r="K969" s="43">
        <f>5591*1.19</f>
        <v>6653.29</v>
      </c>
      <c r="L969" s="43">
        <v>12000.0</v>
      </c>
      <c r="M969" s="25"/>
      <c r="N969" s="26"/>
      <c r="O969" s="27">
        <f t="shared" si="114"/>
        <v>0.8036189614</v>
      </c>
      <c r="P969" s="28">
        <f t="shared" si="115"/>
        <v>0</v>
      </c>
    </row>
    <row r="970" hidden="1">
      <c r="A970" s="16" t="s">
        <v>1509</v>
      </c>
      <c r="B970" s="36"/>
      <c r="C970" s="18"/>
      <c r="D970" s="4"/>
      <c r="E970" s="19"/>
      <c r="F970" s="19"/>
      <c r="G970" s="20" t="s">
        <v>1510</v>
      </c>
      <c r="H970" s="21"/>
      <c r="I970" s="22">
        <v>0.0</v>
      </c>
      <c r="J970" s="29"/>
      <c r="K970" s="43">
        <v>6678.0</v>
      </c>
      <c r="L970" s="44">
        <v>12000.0</v>
      </c>
      <c r="M970" s="25"/>
      <c r="N970" s="39"/>
      <c r="O970" s="27">
        <f t="shared" si="114"/>
        <v>0.7969451932</v>
      </c>
      <c r="P970" s="28">
        <f t="shared" si="115"/>
        <v>0</v>
      </c>
    </row>
    <row r="971" hidden="1">
      <c r="A971" s="119" t="s">
        <v>1511</v>
      </c>
      <c r="B971" s="51"/>
      <c r="C971" s="18"/>
      <c r="D971" s="4"/>
      <c r="E971" s="19">
        <v>0.0</v>
      </c>
      <c r="F971" s="19">
        <v>0.0</v>
      </c>
      <c r="G971" s="20" t="s">
        <v>497</v>
      </c>
      <c r="H971" s="190"/>
      <c r="I971" s="22">
        <v>0.0</v>
      </c>
      <c r="J971" s="191"/>
      <c r="K971" s="192">
        <v>11182.0</v>
      </c>
      <c r="L971" s="44">
        <v>18000.0</v>
      </c>
      <c r="M971" s="25"/>
      <c r="N971" s="39"/>
      <c r="O971" s="27">
        <f t="shared" si="114"/>
        <v>0.6097299231</v>
      </c>
      <c r="P971" s="28">
        <f t="shared" si="115"/>
        <v>0</v>
      </c>
    </row>
    <row r="972" hidden="1">
      <c r="A972" s="16" t="s">
        <v>1512</v>
      </c>
      <c r="B972" s="36"/>
      <c r="C972" s="18"/>
      <c r="D972" s="4"/>
      <c r="E972" s="19">
        <v>0.0</v>
      </c>
      <c r="F972" s="19">
        <v>0.0</v>
      </c>
      <c r="G972" s="20" t="s">
        <v>1513</v>
      </c>
      <c r="H972" s="21"/>
      <c r="I972" s="22">
        <v>0.0</v>
      </c>
      <c r="J972" s="29"/>
      <c r="K972" s="43">
        <v>3000.0</v>
      </c>
      <c r="L972" s="44">
        <v>5000.0</v>
      </c>
      <c r="M972" s="78"/>
      <c r="N972" s="39"/>
      <c r="O972" s="27">
        <f t="shared" si="114"/>
        <v>0.6666666667</v>
      </c>
      <c r="P972" s="28">
        <f t="shared" si="115"/>
        <v>0</v>
      </c>
    </row>
    <row r="973" hidden="1">
      <c r="A973" s="16" t="s">
        <v>1514</v>
      </c>
      <c r="B973" s="36"/>
      <c r="C973" s="18"/>
      <c r="D973" s="4"/>
      <c r="E973" s="19">
        <v>0.0</v>
      </c>
      <c r="F973" s="19">
        <v>0.0</v>
      </c>
      <c r="G973" s="16" t="s">
        <v>1331</v>
      </c>
      <c r="H973" s="21"/>
      <c r="I973" s="22">
        <v>3.0</v>
      </c>
      <c r="J973" s="47">
        <v>46539.0</v>
      </c>
      <c r="K973" s="48">
        <f>12935*1.19</f>
        <v>15392.65</v>
      </c>
      <c r="L973" s="55">
        <v>18000.0</v>
      </c>
      <c r="M973" s="25" t="s">
        <v>9</v>
      </c>
      <c r="N973" s="26"/>
      <c r="O973" s="27">
        <f t="shared" si="114"/>
        <v>0.1693892864</v>
      </c>
      <c r="P973" s="28">
        <f t="shared" si="115"/>
        <v>0</v>
      </c>
    </row>
    <row r="974" hidden="1">
      <c r="A974" s="52" t="s">
        <v>1515</v>
      </c>
      <c r="B974" s="49"/>
      <c r="C974" s="18"/>
      <c r="D974" s="4"/>
      <c r="E974" s="19">
        <v>0.0</v>
      </c>
      <c r="F974" s="19">
        <v>0.0</v>
      </c>
      <c r="G974" s="20" t="s">
        <v>1513</v>
      </c>
      <c r="H974" s="21"/>
      <c r="I974" s="22">
        <v>0.0</v>
      </c>
      <c r="J974" s="29"/>
      <c r="K974" s="43">
        <v>3000.0</v>
      </c>
      <c r="L974" s="44">
        <v>4000.0</v>
      </c>
      <c r="M974" s="25"/>
      <c r="N974" s="39"/>
      <c r="O974" s="27">
        <f t="shared" si="114"/>
        <v>0.3333333333</v>
      </c>
      <c r="P974" s="28">
        <f t="shared" si="115"/>
        <v>0</v>
      </c>
    </row>
    <row r="975" hidden="1">
      <c r="A975" s="16" t="s">
        <v>1516</v>
      </c>
      <c r="B975" s="36" t="s">
        <v>1517</v>
      </c>
      <c r="C975" s="18"/>
      <c r="D975" s="4"/>
      <c r="E975" s="19"/>
      <c r="F975" s="19"/>
      <c r="G975" s="16" t="s">
        <v>88</v>
      </c>
      <c r="H975" s="21"/>
      <c r="I975" s="22">
        <v>33.0</v>
      </c>
      <c r="J975" s="58">
        <v>45931.0</v>
      </c>
      <c r="K975" s="48">
        <v>5280.0</v>
      </c>
      <c r="L975" s="55">
        <v>12000.0</v>
      </c>
      <c r="M975" s="25"/>
      <c r="N975" s="39"/>
      <c r="O975" s="27">
        <f t="shared" si="114"/>
        <v>1.272727273</v>
      </c>
      <c r="P975" s="28">
        <f t="shared" si="115"/>
        <v>0</v>
      </c>
    </row>
    <row r="976" hidden="1">
      <c r="A976" s="52" t="s">
        <v>1518</v>
      </c>
      <c r="B976" s="36" t="s">
        <v>1517</v>
      </c>
      <c r="C976" s="18"/>
      <c r="D976" s="218"/>
      <c r="E976" s="19">
        <v>10.0</v>
      </c>
      <c r="F976" s="19">
        <v>20.0</v>
      </c>
      <c r="G976" s="16" t="s">
        <v>104</v>
      </c>
      <c r="H976" s="21"/>
      <c r="I976" s="22">
        <v>7.0</v>
      </c>
      <c r="J976" s="47">
        <v>46478.0</v>
      </c>
      <c r="K976" s="55">
        <v>9001.0</v>
      </c>
      <c r="L976" s="24">
        <v>12000.0</v>
      </c>
      <c r="M976" s="25" t="s">
        <v>76</v>
      </c>
      <c r="N976" s="39"/>
      <c r="O976" s="27">
        <f t="shared" si="114"/>
        <v>0.3331852016</v>
      </c>
      <c r="P976" s="28">
        <f t="shared" si="115"/>
        <v>180020</v>
      </c>
    </row>
    <row r="977" hidden="1">
      <c r="A977" s="52" t="s">
        <v>1519</v>
      </c>
      <c r="B977" s="36" t="s">
        <v>1520</v>
      </c>
      <c r="C977" s="18"/>
      <c r="D977" s="4"/>
      <c r="E977" s="19">
        <v>0.0</v>
      </c>
      <c r="F977" s="19">
        <v>0.0</v>
      </c>
      <c r="G977" s="20" t="s">
        <v>1521</v>
      </c>
      <c r="H977" s="21"/>
      <c r="I977" s="22">
        <v>18.0</v>
      </c>
      <c r="J977" s="47">
        <v>46419.0</v>
      </c>
      <c r="K977" s="32">
        <v>7000.0</v>
      </c>
      <c r="L977" s="24">
        <v>12000.0</v>
      </c>
      <c r="M977" s="25"/>
      <c r="N977" s="26"/>
      <c r="O977" s="27">
        <f t="shared" si="114"/>
        <v>0.7142857143</v>
      </c>
      <c r="P977" s="28">
        <f t="shared" si="115"/>
        <v>0</v>
      </c>
    </row>
    <row r="978" hidden="1">
      <c r="A978" s="52" t="s">
        <v>1522</v>
      </c>
      <c r="B978" s="36"/>
      <c r="C978" s="18"/>
      <c r="D978" s="4"/>
      <c r="E978" s="19">
        <v>0.0</v>
      </c>
      <c r="F978" s="19">
        <v>8.0</v>
      </c>
      <c r="G978" s="20" t="s">
        <v>377</v>
      </c>
      <c r="H978" s="21"/>
      <c r="I978" s="22">
        <v>28.0</v>
      </c>
      <c r="J978" s="58">
        <v>45962.0</v>
      </c>
      <c r="K978" s="32">
        <v>18500.0</v>
      </c>
      <c r="L978" s="24">
        <v>28000.0</v>
      </c>
      <c r="M978" s="25"/>
      <c r="N978" s="102">
        <v>24000.0</v>
      </c>
      <c r="O978" s="27">
        <f t="shared" si="114"/>
        <v>0.5135135135</v>
      </c>
      <c r="P978" s="28">
        <f t="shared" si="115"/>
        <v>148000</v>
      </c>
    </row>
    <row r="979" hidden="1">
      <c r="A979" s="16" t="s">
        <v>1523</v>
      </c>
      <c r="B979" s="51"/>
      <c r="C979" s="18"/>
      <c r="D979" s="4"/>
      <c r="E979" s="19"/>
      <c r="F979" s="19"/>
      <c r="G979" s="16" t="s">
        <v>88</v>
      </c>
      <c r="H979" s="21"/>
      <c r="I979" s="22">
        <v>29.0</v>
      </c>
      <c r="J979" s="47">
        <v>46175.0</v>
      </c>
      <c r="K979" s="48">
        <v>19182.0</v>
      </c>
      <c r="L979" s="55">
        <v>28000.0</v>
      </c>
      <c r="M979" s="25"/>
      <c r="N979" s="102">
        <v>24000.0</v>
      </c>
      <c r="O979" s="27">
        <f t="shared" si="114"/>
        <v>0.4597018038</v>
      </c>
      <c r="P979" s="28">
        <f t="shared" si="115"/>
        <v>0</v>
      </c>
    </row>
    <row r="980" hidden="1">
      <c r="A980" s="52" t="s">
        <v>1524</v>
      </c>
      <c r="B980" s="36"/>
      <c r="C980" s="18"/>
      <c r="D980" s="4"/>
      <c r="E980" s="19">
        <v>0.0</v>
      </c>
      <c r="F980" s="19">
        <v>0.0</v>
      </c>
      <c r="G980" s="20" t="s">
        <v>377</v>
      </c>
      <c r="H980" s="21"/>
      <c r="I980" s="22">
        <v>1.0</v>
      </c>
      <c r="J980" s="29"/>
      <c r="K980" s="32">
        <v>58000.0</v>
      </c>
      <c r="L980" s="24">
        <v>84000.0</v>
      </c>
      <c r="M980" s="25"/>
      <c r="N980" s="102">
        <v>72000.0</v>
      </c>
      <c r="O980" s="27">
        <f t="shared" si="114"/>
        <v>0.4482758621</v>
      </c>
      <c r="P980" s="28">
        <f t="shared" si="115"/>
        <v>0</v>
      </c>
    </row>
    <row r="981" hidden="1">
      <c r="A981" s="16" t="s">
        <v>1525</v>
      </c>
      <c r="B981" s="17"/>
      <c r="C981" s="18"/>
      <c r="D981" s="4"/>
      <c r="E981" s="19">
        <v>0.0</v>
      </c>
      <c r="F981" s="19"/>
      <c r="G981" s="20" t="s">
        <v>57</v>
      </c>
      <c r="H981" s="21"/>
      <c r="I981" s="22"/>
      <c r="J981" s="29"/>
      <c r="K981" s="43">
        <v>6500.0</v>
      </c>
      <c r="L981" s="44">
        <v>10000.0</v>
      </c>
      <c r="M981" s="78"/>
      <c r="N981" s="39"/>
      <c r="O981" s="27">
        <f t="shared" si="114"/>
        <v>0.5384615385</v>
      </c>
      <c r="P981" s="28">
        <f t="shared" si="115"/>
        <v>0</v>
      </c>
    </row>
    <row r="982" hidden="1">
      <c r="A982" s="52" t="s">
        <v>1526</v>
      </c>
      <c r="B982" s="49"/>
      <c r="C982" s="18" t="s">
        <v>547</v>
      </c>
      <c r="D982" s="4"/>
      <c r="E982" s="19">
        <v>0.0</v>
      </c>
      <c r="F982" s="19">
        <v>0.0</v>
      </c>
      <c r="G982" s="16" t="s">
        <v>104</v>
      </c>
      <c r="H982" s="21"/>
      <c r="I982" s="22">
        <v>0.0</v>
      </c>
      <c r="J982" s="29"/>
      <c r="K982" s="43"/>
      <c r="L982" s="44"/>
      <c r="M982" s="25"/>
      <c r="N982" s="39"/>
      <c r="O982" s="27" t="str">
        <f t="shared" si="114"/>
        <v>#DIV/0!</v>
      </c>
      <c r="P982" s="28">
        <f t="shared" si="115"/>
        <v>0</v>
      </c>
    </row>
    <row r="983" hidden="1">
      <c r="A983" s="119" t="s">
        <v>1527</v>
      </c>
      <c r="B983" s="51"/>
      <c r="C983" s="18"/>
      <c r="D983" s="4"/>
      <c r="E983" s="19">
        <v>0.0</v>
      </c>
      <c r="F983" s="19">
        <v>0.0</v>
      </c>
      <c r="G983" s="20" t="s">
        <v>497</v>
      </c>
      <c r="H983" s="190"/>
      <c r="I983" s="22">
        <v>0.0</v>
      </c>
      <c r="J983" s="191"/>
      <c r="K983" s="192">
        <v>7597.0</v>
      </c>
      <c r="L983" s="44">
        <v>9000.0</v>
      </c>
      <c r="M983" s="25"/>
      <c r="N983" s="39"/>
      <c r="O983" s="147" t="s">
        <v>611</v>
      </c>
      <c r="P983" s="28">
        <f t="shared" si="115"/>
        <v>0</v>
      </c>
    </row>
    <row r="984" hidden="1">
      <c r="A984" s="59" t="s">
        <v>1528</v>
      </c>
      <c r="B984" s="97" t="s">
        <v>1529</v>
      </c>
      <c r="C984" s="18" t="s">
        <v>55</v>
      </c>
      <c r="D984" s="4"/>
      <c r="E984" s="19">
        <v>0.0</v>
      </c>
      <c r="F984" s="19"/>
      <c r="G984" s="16" t="s">
        <v>485</v>
      </c>
      <c r="H984" s="21">
        <v>0.0</v>
      </c>
      <c r="I984" s="22"/>
      <c r="J984" s="29"/>
      <c r="K984" s="43">
        <f>91603*1.19</f>
        <v>109007.57</v>
      </c>
      <c r="L984" s="44">
        <v>160000.0</v>
      </c>
      <c r="M984" s="25"/>
      <c r="N984" s="31"/>
      <c r="O984" s="27">
        <f t="shared" ref="O984:O996" si="116">(L984/K984)-1</f>
        <v>0.4677879711</v>
      </c>
      <c r="P984" s="28">
        <f t="shared" si="115"/>
        <v>0</v>
      </c>
    </row>
    <row r="985" hidden="1">
      <c r="A985" s="16" t="s">
        <v>1530</v>
      </c>
      <c r="B985" s="17" t="s">
        <v>1531</v>
      </c>
      <c r="C985" s="18"/>
      <c r="D985" s="4"/>
      <c r="E985" s="19">
        <v>0.0</v>
      </c>
      <c r="F985" s="19">
        <v>5.0</v>
      </c>
      <c r="G985" s="20" t="s">
        <v>286</v>
      </c>
      <c r="H985" s="21"/>
      <c r="I985" s="22">
        <v>100.0</v>
      </c>
      <c r="J985" s="29"/>
      <c r="K985" s="32">
        <f>304*1.19</f>
        <v>361.76</v>
      </c>
      <c r="L985" s="24">
        <v>800.0</v>
      </c>
      <c r="M985" s="25">
        <v>0.1</v>
      </c>
      <c r="N985" s="70"/>
      <c r="O985" s="27">
        <f t="shared" si="116"/>
        <v>1.21141088</v>
      </c>
      <c r="P985" s="28">
        <f t="shared" si="115"/>
        <v>1808.8</v>
      </c>
    </row>
    <row r="986" hidden="1">
      <c r="A986" s="40" t="s">
        <v>1532</v>
      </c>
      <c r="B986" s="17" t="s">
        <v>1533</v>
      </c>
      <c r="C986" s="18"/>
      <c r="D986" s="4"/>
      <c r="E986" s="19">
        <v>0.0</v>
      </c>
      <c r="F986" s="19">
        <v>0.0</v>
      </c>
      <c r="G986" s="20" t="s">
        <v>286</v>
      </c>
      <c r="H986" s="21"/>
      <c r="I986" s="22">
        <v>200.0</v>
      </c>
      <c r="J986" s="29"/>
      <c r="K986" s="32">
        <f>208*1.19</f>
        <v>247.52</v>
      </c>
      <c r="L986" s="24">
        <v>500.0</v>
      </c>
      <c r="M986" s="25"/>
      <c r="N986" s="39"/>
      <c r="O986" s="27">
        <f t="shared" si="116"/>
        <v>1.020038785</v>
      </c>
      <c r="P986" s="28">
        <f t="shared" si="115"/>
        <v>0</v>
      </c>
    </row>
    <row r="987" hidden="1">
      <c r="A987" s="40" t="s">
        <v>1534</v>
      </c>
      <c r="B987" s="17" t="s">
        <v>1535</v>
      </c>
      <c r="C987" s="18"/>
      <c r="D987" s="4"/>
      <c r="E987" s="19">
        <v>0.0</v>
      </c>
      <c r="F987" s="19">
        <v>0.0</v>
      </c>
      <c r="G987" s="20" t="s">
        <v>286</v>
      </c>
      <c r="H987" s="21"/>
      <c r="I987" s="22">
        <v>100.0</v>
      </c>
      <c r="J987" s="29"/>
      <c r="K987" s="32">
        <f>376*1.19</f>
        <v>447.44</v>
      </c>
      <c r="L987" s="24">
        <v>1000.0</v>
      </c>
      <c r="M987" s="25"/>
      <c r="N987" s="70"/>
      <c r="O987" s="27">
        <f t="shared" si="116"/>
        <v>1.234936528</v>
      </c>
      <c r="P987" s="28">
        <f t="shared" si="115"/>
        <v>0</v>
      </c>
    </row>
    <row r="988" hidden="1">
      <c r="A988" s="40" t="s">
        <v>1536</v>
      </c>
      <c r="B988" s="17" t="s">
        <v>1537</v>
      </c>
      <c r="C988" s="18"/>
      <c r="D988" s="4"/>
      <c r="E988" s="19">
        <v>0.0</v>
      </c>
      <c r="F988" s="19">
        <v>0.0</v>
      </c>
      <c r="G988" s="20" t="s">
        <v>286</v>
      </c>
      <c r="H988" s="21"/>
      <c r="I988" s="22">
        <v>300.0</v>
      </c>
      <c r="J988" s="29"/>
      <c r="K988" s="32">
        <f>189*1.19</f>
        <v>224.91</v>
      </c>
      <c r="L988" s="24">
        <v>600.0</v>
      </c>
      <c r="M988" s="25"/>
      <c r="N988" s="70"/>
      <c r="O988" s="27">
        <f t="shared" si="116"/>
        <v>1.66773376</v>
      </c>
      <c r="P988" s="28">
        <f t="shared" si="115"/>
        <v>0</v>
      </c>
    </row>
    <row r="989" hidden="1">
      <c r="A989" s="16" t="s">
        <v>1538</v>
      </c>
      <c r="B989" s="17" t="s">
        <v>1539</v>
      </c>
      <c r="C989" s="18"/>
      <c r="D989" s="4"/>
      <c r="E989" s="19">
        <v>0.0</v>
      </c>
      <c r="F989" s="19">
        <v>0.0</v>
      </c>
      <c r="G989" s="20" t="s">
        <v>1540</v>
      </c>
      <c r="H989" s="21"/>
      <c r="I989" s="22"/>
      <c r="J989" s="29"/>
      <c r="K989" s="48">
        <v>40000.0</v>
      </c>
      <c r="L989" s="55">
        <v>70000.0</v>
      </c>
      <c r="M989" s="25"/>
      <c r="N989" s="39"/>
      <c r="O989" s="27">
        <f t="shared" si="116"/>
        <v>0.75</v>
      </c>
      <c r="P989" s="28">
        <f t="shared" si="115"/>
        <v>0</v>
      </c>
    </row>
    <row r="990" hidden="1">
      <c r="A990" s="16" t="s">
        <v>1541</v>
      </c>
      <c r="B990" s="36" t="s">
        <v>1542</v>
      </c>
      <c r="C990" s="18"/>
      <c r="D990" s="4"/>
      <c r="E990" s="19">
        <v>0.0</v>
      </c>
      <c r="F990" s="19">
        <v>0.0</v>
      </c>
      <c r="G990" s="16" t="s">
        <v>16</v>
      </c>
      <c r="H990" s="21"/>
      <c r="I990" s="22">
        <v>0.0</v>
      </c>
      <c r="J990" s="29"/>
      <c r="K990" s="43">
        <v>33000.0</v>
      </c>
      <c r="L990" s="44">
        <v>140000.0</v>
      </c>
      <c r="M990" s="25"/>
      <c r="N990" s="39"/>
      <c r="O990" s="27">
        <f t="shared" si="116"/>
        <v>3.242424242</v>
      </c>
      <c r="P990" s="28">
        <f t="shared" si="115"/>
        <v>0</v>
      </c>
    </row>
    <row r="991" hidden="1">
      <c r="A991" s="16" t="s">
        <v>1543</v>
      </c>
      <c r="B991" s="17" t="s">
        <v>44</v>
      </c>
      <c r="C991" s="38"/>
      <c r="D991" s="4"/>
      <c r="E991" s="19">
        <v>0.0</v>
      </c>
      <c r="F991" s="19">
        <v>0.0</v>
      </c>
      <c r="G991" s="20" t="s">
        <v>45</v>
      </c>
      <c r="H991" s="21"/>
      <c r="I991" s="22">
        <v>1.0</v>
      </c>
      <c r="J991" s="45"/>
      <c r="K991" s="46">
        <f>2488400+2063100</f>
        <v>4551500</v>
      </c>
      <c r="L991" s="46">
        <v>4900000.0</v>
      </c>
      <c r="M991" s="25"/>
      <c r="N991" s="26"/>
      <c r="O991" s="27">
        <f t="shared" si="116"/>
        <v>0.07656816434</v>
      </c>
      <c r="P991" s="28"/>
    </row>
    <row r="992" hidden="1">
      <c r="A992" s="16" t="s">
        <v>1544</v>
      </c>
      <c r="B992" s="17"/>
      <c r="C992" s="18"/>
      <c r="D992" s="4"/>
      <c r="E992" s="19">
        <v>0.0</v>
      </c>
      <c r="F992" s="19">
        <v>0.0</v>
      </c>
      <c r="G992" s="16" t="s">
        <v>16</v>
      </c>
      <c r="H992" s="33"/>
      <c r="I992" s="22">
        <v>7.0</v>
      </c>
      <c r="J992" s="34"/>
      <c r="K992" s="30">
        <v>16398.75</v>
      </c>
      <c r="L992" s="24">
        <v>70000.0</v>
      </c>
      <c r="M992" s="25"/>
      <c r="N992" s="39"/>
      <c r="O992" s="27">
        <f t="shared" si="116"/>
        <v>3.268618035</v>
      </c>
      <c r="P992" s="28">
        <f t="shared" ref="P992:P996" si="117">K992*F992</f>
        <v>0</v>
      </c>
    </row>
    <row r="993" hidden="1">
      <c r="A993" s="52" t="s">
        <v>1545</v>
      </c>
      <c r="B993" s="17"/>
      <c r="C993" s="18"/>
      <c r="D993" s="4"/>
      <c r="E993" s="19">
        <v>0.0</v>
      </c>
      <c r="F993" s="19">
        <v>0.0</v>
      </c>
      <c r="G993" s="16" t="s">
        <v>437</v>
      </c>
      <c r="H993" s="21"/>
      <c r="I993" s="22">
        <v>0.0</v>
      </c>
      <c r="J993" s="29"/>
      <c r="K993" s="43">
        <v>4900.0</v>
      </c>
      <c r="L993" s="44">
        <v>9000.0</v>
      </c>
      <c r="M993" s="25"/>
      <c r="N993" s="39"/>
      <c r="O993" s="27">
        <f t="shared" si="116"/>
        <v>0.8367346939</v>
      </c>
      <c r="P993" s="28">
        <f t="shared" si="117"/>
        <v>0</v>
      </c>
    </row>
    <row r="994" hidden="1">
      <c r="A994" s="52" t="s">
        <v>1546</v>
      </c>
      <c r="B994" s="17"/>
      <c r="C994" s="18"/>
      <c r="D994" s="4"/>
      <c r="E994" s="19">
        <v>0.0</v>
      </c>
      <c r="F994" s="19">
        <v>0.0</v>
      </c>
      <c r="G994" s="16" t="s">
        <v>437</v>
      </c>
      <c r="H994" s="21"/>
      <c r="I994" s="22">
        <v>0.0</v>
      </c>
      <c r="J994" s="29"/>
      <c r="K994" s="43">
        <v>6900.0</v>
      </c>
      <c r="L994" s="44">
        <v>9000.0</v>
      </c>
      <c r="M994" s="25"/>
      <c r="N994" s="39"/>
      <c r="O994" s="27">
        <f t="shared" si="116"/>
        <v>0.3043478261</v>
      </c>
      <c r="P994" s="28">
        <f t="shared" si="117"/>
        <v>0</v>
      </c>
    </row>
    <row r="995" hidden="1">
      <c r="A995" s="52" t="s">
        <v>1547</v>
      </c>
      <c r="B995" s="17"/>
      <c r="C995" s="18"/>
      <c r="D995" s="4"/>
      <c r="E995" s="19">
        <v>0.0</v>
      </c>
      <c r="F995" s="19">
        <v>0.0</v>
      </c>
      <c r="G995" s="16" t="s">
        <v>437</v>
      </c>
      <c r="H995" s="21"/>
      <c r="I995" s="22">
        <v>0.0</v>
      </c>
      <c r="J995" s="29"/>
      <c r="K995" s="43">
        <v>4900.0</v>
      </c>
      <c r="L995" s="44">
        <v>9000.0</v>
      </c>
      <c r="M995" s="25"/>
      <c r="N995" s="39"/>
      <c r="O995" s="27">
        <f t="shared" si="116"/>
        <v>0.8367346939</v>
      </c>
      <c r="P995" s="28">
        <f t="shared" si="117"/>
        <v>0</v>
      </c>
    </row>
    <row r="996" hidden="1">
      <c r="A996" s="122" t="s">
        <v>1548</v>
      </c>
      <c r="B996" s="134"/>
      <c r="C996" s="18"/>
      <c r="D996" s="4"/>
      <c r="E996" s="19">
        <v>0.0</v>
      </c>
      <c r="F996" s="19">
        <v>0.0</v>
      </c>
      <c r="G996" s="16" t="s">
        <v>16</v>
      </c>
      <c r="H996" s="33"/>
      <c r="I996" s="22">
        <v>8.0</v>
      </c>
      <c r="J996" s="34"/>
      <c r="K996" s="123">
        <v>101737.0</v>
      </c>
      <c r="L996" s="44">
        <v>260000.0</v>
      </c>
      <c r="M996" s="25"/>
      <c r="N996" s="102">
        <v>190000.0</v>
      </c>
      <c r="O996" s="27">
        <f t="shared" si="116"/>
        <v>1.55560907</v>
      </c>
      <c r="P996" s="28">
        <f t="shared" si="117"/>
        <v>0</v>
      </c>
    </row>
    <row r="997" hidden="1">
      <c r="A997" s="16" t="s">
        <v>1549</v>
      </c>
      <c r="B997" s="17"/>
      <c r="C997" s="18"/>
      <c r="D997" s="4"/>
      <c r="E997" s="19">
        <v>0.0</v>
      </c>
      <c r="F997" s="19">
        <v>0.0</v>
      </c>
      <c r="G997" s="16" t="s">
        <v>1205</v>
      </c>
      <c r="H997" s="21"/>
      <c r="I997" s="22">
        <v>20.0</v>
      </c>
      <c r="J997" s="29"/>
      <c r="K997" s="43"/>
      <c r="L997" s="32">
        <v>25000.0</v>
      </c>
      <c r="M997" s="25"/>
      <c r="N997" s="39"/>
      <c r="O997" s="27"/>
      <c r="P997" s="28"/>
    </row>
    <row r="998" hidden="1">
      <c r="A998" s="16" t="s">
        <v>1550</v>
      </c>
      <c r="B998" s="17"/>
      <c r="C998" s="18"/>
      <c r="D998" s="4"/>
      <c r="E998" s="19">
        <v>0.0</v>
      </c>
      <c r="F998" s="19">
        <v>0.0</v>
      </c>
      <c r="G998" s="20" t="s">
        <v>1551</v>
      </c>
      <c r="H998" s="21"/>
      <c r="I998" s="22">
        <v>0.0</v>
      </c>
      <c r="J998" s="29"/>
      <c r="K998" s="43">
        <v>260000.0</v>
      </c>
      <c r="L998" s="44">
        <v>450000.0</v>
      </c>
      <c r="M998" s="25"/>
      <c r="N998" s="39"/>
      <c r="O998" s="27">
        <f t="shared" ref="O998:O1002" si="118">(L998/K998)-1</f>
        <v>0.7307692308</v>
      </c>
      <c r="P998" s="28">
        <f>K998*F998</f>
        <v>0</v>
      </c>
    </row>
    <row r="999" hidden="1">
      <c r="A999" s="16" t="s">
        <v>1552</v>
      </c>
      <c r="B999" s="17" t="s">
        <v>44</v>
      </c>
      <c r="C999" s="18"/>
      <c r="D999" s="19"/>
      <c r="E999" s="19">
        <v>0.0</v>
      </c>
      <c r="F999" s="19">
        <v>0.0</v>
      </c>
      <c r="G999" s="16" t="s">
        <v>45</v>
      </c>
      <c r="H999" s="21"/>
      <c r="I999" s="22">
        <v>1.0</v>
      </c>
      <c r="J999" s="45"/>
      <c r="K999" s="46">
        <v>2452400.0</v>
      </c>
      <c r="L999" s="46">
        <v>2700000.0</v>
      </c>
      <c r="M999" s="25"/>
      <c r="N999" s="69"/>
      <c r="O999" s="27">
        <f t="shared" si="118"/>
        <v>0.1009623226</v>
      </c>
      <c r="P999" s="28"/>
    </row>
    <row r="1000" hidden="1">
      <c r="A1000" s="16" t="s">
        <v>1553</v>
      </c>
      <c r="B1000" s="17" t="s">
        <v>44</v>
      </c>
      <c r="C1000" s="18"/>
      <c r="D1000" s="19"/>
      <c r="E1000" s="19">
        <v>0.0</v>
      </c>
      <c r="F1000" s="19">
        <v>0.0</v>
      </c>
      <c r="G1000" s="16" t="s">
        <v>45</v>
      </c>
      <c r="H1000" s="21"/>
      <c r="I1000" s="22">
        <v>1.0</v>
      </c>
      <c r="J1000" s="45"/>
      <c r="K1000" s="46">
        <v>2452400.0</v>
      </c>
      <c r="L1000" s="46">
        <v>2700000.0</v>
      </c>
      <c r="M1000" s="25"/>
      <c r="N1000" s="69"/>
      <c r="O1000" s="27">
        <f t="shared" si="118"/>
        <v>0.1009623226</v>
      </c>
      <c r="P1000" s="28"/>
    </row>
    <row r="1001" hidden="1">
      <c r="A1001" s="16" t="s">
        <v>1554</v>
      </c>
      <c r="B1001" s="36"/>
      <c r="C1001" s="18"/>
      <c r="D1001" s="4"/>
      <c r="E1001" s="19"/>
      <c r="F1001" s="19"/>
      <c r="G1001" s="16" t="s">
        <v>1201</v>
      </c>
      <c r="H1001" s="21">
        <v>0.0</v>
      </c>
      <c r="I1001" s="22"/>
      <c r="J1001" s="29"/>
      <c r="K1001" s="43">
        <f>29750*1.19</f>
        <v>35402.5</v>
      </c>
      <c r="L1001" s="43">
        <v>60000.0</v>
      </c>
      <c r="M1001" s="25"/>
      <c r="N1001" s="39"/>
      <c r="O1001" s="27">
        <f t="shared" si="118"/>
        <v>0.6947955653</v>
      </c>
      <c r="P1001" s="28">
        <f t="shared" ref="P1001:P1002" si="119">K1001*F1001</f>
        <v>0</v>
      </c>
    </row>
    <row r="1002" hidden="1">
      <c r="A1002" s="119" t="s">
        <v>1555</v>
      </c>
      <c r="B1002" s="17"/>
      <c r="C1002" s="18"/>
      <c r="D1002" s="4"/>
      <c r="E1002" s="19">
        <v>0.0</v>
      </c>
      <c r="F1002" s="19">
        <v>0.0</v>
      </c>
      <c r="G1002" s="16" t="s">
        <v>16</v>
      </c>
      <c r="H1002" s="73"/>
      <c r="I1002" s="22">
        <v>0.0</v>
      </c>
      <c r="J1002" s="74"/>
      <c r="K1002" s="75">
        <v>17000.0</v>
      </c>
      <c r="L1002" s="44">
        <v>35000.0</v>
      </c>
      <c r="M1002" s="25"/>
      <c r="N1002" s="39"/>
      <c r="O1002" s="27">
        <f t="shared" si="118"/>
        <v>1.058823529</v>
      </c>
      <c r="P1002" s="28">
        <f t="shared" si="119"/>
        <v>0</v>
      </c>
    </row>
    <row r="1003" hidden="1">
      <c r="A1003" s="16" t="s">
        <v>1556</v>
      </c>
      <c r="B1003" s="36"/>
      <c r="C1003" s="18"/>
      <c r="D1003" s="4"/>
      <c r="E1003" s="19">
        <v>0.0</v>
      </c>
      <c r="F1003" s="19">
        <v>0.0</v>
      </c>
      <c r="G1003" s="16" t="s">
        <v>400</v>
      </c>
      <c r="H1003" s="21"/>
      <c r="I1003" s="22">
        <v>3.0</v>
      </c>
      <c r="J1003" s="29"/>
      <c r="K1003" s="32"/>
      <c r="L1003" s="32"/>
      <c r="M1003" s="25"/>
      <c r="N1003" s="26"/>
      <c r="O1003" s="27"/>
      <c r="P1003" s="28"/>
    </row>
    <row r="1004" hidden="1">
      <c r="A1004" s="219" t="s">
        <v>1557</v>
      </c>
      <c r="B1004" s="17">
        <v>240041.0</v>
      </c>
      <c r="C1004" s="18"/>
      <c r="D1004" s="4"/>
      <c r="E1004" s="19">
        <v>0.0</v>
      </c>
      <c r="F1004" s="19">
        <v>0.0</v>
      </c>
      <c r="G1004" s="16" t="s">
        <v>659</v>
      </c>
      <c r="H1004" s="21"/>
      <c r="I1004" s="22">
        <v>2.0</v>
      </c>
      <c r="J1004" s="29"/>
      <c r="K1004" s="43">
        <f t="shared" ref="K1004:K1005" si="120">38637*1.19</f>
        <v>45978.03</v>
      </c>
      <c r="L1004" s="44">
        <v>70000.0</v>
      </c>
      <c r="M1004" s="25"/>
      <c r="N1004" s="39"/>
      <c r="O1004" s="27">
        <f t="shared" ref="O1004:O1008" si="121">(L1004/K1004)-1</f>
        <v>0.5224662736</v>
      </c>
      <c r="P1004" s="28">
        <f t="shared" ref="P1004:P1008" si="122">K1004*F1004</f>
        <v>0</v>
      </c>
    </row>
    <row r="1005" hidden="1">
      <c r="A1005" s="219" t="s">
        <v>1558</v>
      </c>
      <c r="B1005" s="17">
        <v>240043.0</v>
      </c>
      <c r="C1005" s="18"/>
      <c r="D1005" s="4"/>
      <c r="E1005" s="19">
        <v>0.0</v>
      </c>
      <c r="F1005" s="19">
        <v>0.0</v>
      </c>
      <c r="G1005" s="16" t="s">
        <v>425</v>
      </c>
      <c r="H1005" s="21"/>
      <c r="I1005" s="22">
        <v>28.0</v>
      </c>
      <c r="J1005" s="29"/>
      <c r="K1005" s="43">
        <f t="shared" si="120"/>
        <v>45978.03</v>
      </c>
      <c r="L1005" s="44">
        <v>70000.0</v>
      </c>
      <c r="M1005" s="25"/>
      <c r="N1005" s="39"/>
      <c r="O1005" s="27">
        <f t="shared" si="121"/>
        <v>0.5224662736</v>
      </c>
      <c r="P1005" s="28">
        <f t="shared" si="122"/>
        <v>0</v>
      </c>
    </row>
    <row r="1006" hidden="1">
      <c r="A1006" s="16" t="s">
        <v>1559</v>
      </c>
      <c r="B1006" s="17"/>
      <c r="C1006" s="18"/>
      <c r="D1006" s="4"/>
      <c r="E1006" s="19">
        <v>0.0</v>
      </c>
      <c r="F1006" s="19">
        <v>0.0</v>
      </c>
      <c r="G1006" s="40" t="s">
        <v>93</v>
      </c>
      <c r="H1006" s="21"/>
      <c r="I1006" s="22">
        <v>0.0</v>
      </c>
      <c r="J1006" s="29"/>
      <c r="K1006" s="43">
        <v>112000.0</v>
      </c>
      <c r="L1006" s="43">
        <v>141000.0</v>
      </c>
      <c r="M1006" s="25"/>
      <c r="N1006" s="39"/>
      <c r="O1006" s="27">
        <f t="shared" si="121"/>
        <v>0.2589285714</v>
      </c>
      <c r="P1006" s="28">
        <f t="shared" si="122"/>
        <v>0</v>
      </c>
    </row>
    <row r="1007" hidden="1">
      <c r="A1007" s="16" t="s">
        <v>1560</v>
      </c>
      <c r="B1007" s="36"/>
      <c r="C1007" s="18"/>
      <c r="D1007" s="66"/>
      <c r="E1007" s="19">
        <v>0.0</v>
      </c>
      <c r="F1007" s="19">
        <v>0.0</v>
      </c>
      <c r="G1007" s="16" t="s">
        <v>70</v>
      </c>
      <c r="H1007" s="111"/>
      <c r="I1007" s="22"/>
      <c r="J1007" s="112"/>
      <c r="K1007" s="113">
        <v>202000.0</v>
      </c>
      <c r="L1007" s="44">
        <v>270000.0</v>
      </c>
      <c r="M1007" s="25"/>
      <c r="N1007" s="39"/>
      <c r="O1007" s="27">
        <f t="shared" si="121"/>
        <v>0.3366336634</v>
      </c>
      <c r="P1007" s="28">
        <f t="shared" si="122"/>
        <v>0</v>
      </c>
    </row>
    <row r="1008" hidden="1">
      <c r="A1008" s="16" t="s">
        <v>1561</v>
      </c>
      <c r="B1008" s="36"/>
      <c r="C1008" s="18"/>
      <c r="D1008" s="4"/>
      <c r="E1008" s="19">
        <v>0.0</v>
      </c>
      <c r="F1008" s="19">
        <v>0.0</v>
      </c>
      <c r="G1008" s="16" t="s">
        <v>70</v>
      </c>
      <c r="H1008" s="111"/>
      <c r="I1008" s="22"/>
      <c r="J1008" s="112"/>
      <c r="K1008" s="113">
        <v>190000.0</v>
      </c>
      <c r="L1008" s="44">
        <v>240000.0</v>
      </c>
      <c r="M1008" s="25"/>
      <c r="N1008" s="39"/>
      <c r="O1008" s="27">
        <f t="shared" si="121"/>
        <v>0.2631578947</v>
      </c>
      <c r="P1008" s="28">
        <f t="shared" si="122"/>
        <v>0</v>
      </c>
    </row>
    <row r="1009" hidden="1">
      <c r="A1009" s="16" t="s">
        <v>1562</v>
      </c>
      <c r="B1009" s="17"/>
      <c r="C1009" s="18"/>
      <c r="D1009" s="4"/>
      <c r="E1009" s="19">
        <v>0.0</v>
      </c>
      <c r="F1009" s="19">
        <v>0.0</v>
      </c>
      <c r="G1009" s="16" t="s">
        <v>400</v>
      </c>
      <c r="H1009" s="21"/>
      <c r="I1009" s="22">
        <v>3.0</v>
      </c>
      <c r="J1009" s="29"/>
      <c r="K1009" s="30">
        <v>21865.0</v>
      </c>
      <c r="L1009" s="24">
        <v>70000.0</v>
      </c>
      <c r="M1009" s="25"/>
      <c r="N1009" s="102">
        <v>50000.0</v>
      </c>
      <c r="O1009" s="27"/>
      <c r="P1009" s="28"/>
    </row>
    <row r="1010" hidden="1">
      <c r="A1010" s="16" t="s">
        <v>1563</v>
      </c>
      <c r="B1010" s="17"/>
      <c r="C1010" s="18"/>
      <c r="D1010" s="4"/>
      <c r="E1010" s="19">
        <v>0.0</v>
      </c>
      <c r="F1010" s="19">
        <v>0.0</v>
      </c>
      <c r="G1010" s="16" t="s">
        <v>1564</v>
      </c>
      <c r="H1010" s="21"/>
      <c r="I1010" s="22">
        <v>0.0</v>
      </c>
      <c r="J1010" s="29"/>
      <c r="K1010" s="32">
        <v>364000.0</v>
      </c>
      <c r="L1010" s="24">
        <v>430000.0</v>
      </c>
      <c r="M1010" s="25"/>
      <c r="N1010" s="102">
        <v>380000.0</v>
      </c>
      <c r="O1010" s="27">
        <f t="shared" ref="O1010:O1045" si="123">(L1010/K1010)-1</f>
        <v>0.1813186813</v>
      </c>
      <c r="P1010" s="28">
        <f t="shared" ref="P1010:P1019" si="124">K1010*F1010</f>
        <v>0</v>
      </c>
    </row>
    <row r="1011" hidden="1">
      <c r="A1011" s="122" t="s">
        <v>1565</v>
      </c>
      <c r="B1011" s="134"/>
      <c r="C1011" s="18"/>
      <c r="D1011" s="4"/>
      <c r="E1011" s="19">
        <v>0.0</v>
      </c>
      <c r="F1011" s="19">
        <v>0.0</v>
      </c>
      <c r="G1011" s="16" t="s">
        <v>16</v>
      </c>
      <c r="H1011" s="21"/>
      <c r="I1011" s="22" t="s">
        <v>1566</v>
      </c>
      <c r="J1011" s="29"/>
      <c r="K1011" s="43">
        <v>87500.0</v>
      </c>
      <c r="L1011" s="44">
        <v>240000.0</v>
      </c>
      <c r="M1011" s="25"/>
      <c r="N1011" s="102">
        <v>190000.0</v>
      </c>
      <c r="O1011" s="27">
        <f t="shared" si="123"/>
        <v>1.742857143</v>
      </c>
      <c r="P1011" s="28">
        <f t="shared" si="124"/>
        <v>0</v>
      </c>
    </row>
    <row r="1012" hidden="1">
      <c r="A1012" s="16" t="s">
        <v>1567</v>
      </c>
      <c r="B1012" s="36" t="s">
        <v>328</v>
      </c>
      <c r="C1012" s="18"/>
      <c r="D1012" s="4"/>
      <c r="E1012" s="19">
        <v>2.0</v>
      </c>
      <c r="F1012" s="19">
        <v>0.0</v>
      </c>
      <c r="G1012" s="16" t="s">
        <v>93</v>
      </c>
      <c r="H1012" s="21"/>
      <c r="I1012" s="22">
        <v>0.0</v>
      </c>
      <c r="J1012" s="29"/>
      <c r="K1012" s="48">
        <v>292300.0</v>
      </c>
      <c r="L1012" s="55">
        <v>365000.0</v>
      </c>
      <c r="M1012" s="25"/>
      <c r="N1012" s="69"/>
      <c r="O1012" s="27">
        <f t="shared" si="123"/>
        <v>0.2487170715</v>
      </c>
      <c r="P1012" s="28">
        <f t="shared" si="124"/>
        <v>0</v>
      </c>
    </row>
    <row r="1013" hidden="1">
      <c r="A1013" s="137" t="s">
        <v>1568</v>
      </c>
      <c r="B1013" s="17" t="s">
        <v>44</v>
      </c>
      <c r="C1013" s="18"/>
      <c r="D1013" s="4"/>
      <c r="E1013" s="19">
        <v>0.0</v>
      </c>
      <c r="F1013" s="19">
        <v>0.0</v>
      </c>
      <c r="G1013" s="16" t="s">
        <v>1569</v>
      </c>
      <c r="H1013" s="220"/>
      <c r="I1013" s="22">
        <v>0.0</v>
      </c>
      <c r="J1013" s="172"/>
      <c r="K1013" s="60">
        <v>2782560.0</v>
      </c>
      <c r="L1013" s="60">
        <v>3150000.0</v>
      </c>
      <c r="M1013" s="25"/>
      <c r="N1013" s="221">
        <v>3080000.0</v>
      </c>
      <c r="O1013" s="27">
        <f t="shared" si="123"/>
        <v>0.1320510609</v>
      </c>
      <c r="P1013" s="28">
        <f t="shared" si="124"/>
        <v>0</v>
      </c>
    </row>
    <row r="1014" hidden="1">
      <c r="A1014" s="16" t="s">
        <v>1570</v>
      </c>
      <c r="B1014" s="36" t="s">
        <v>1571</v>
      </c>
      <c r="C1014" s="18" t="s">
        <v>1572</v>
      </c>
      <c r="D1014" s="4"/>
      <c r="E1014" s="19"/>
      <c r="F1014" s="19"/>
      <c r="G1014" s="16" t="s">
        <v>1573</v>
      </c>
      <c r="H1014" s="21"/>
      <c r="I1014" s="22"/>
      <c r="J1014" s="23"/>
      <c r="K1014" s="55">
        <v>142000.0</v>
      </c>
      <c r="L1014" s="55">
        <v>250000.0</v>
      </c>
      <c r="M1014" s="25"/>
      <c r="N1014" s="102">
        <v>190000.0</v>
      </c>
      <c r="O1014" s="27">
        <f t="shared" si="123"/>
        <v>0.7605633803</v>
      </c>
      <c r="P1014" s="28">
        <f t="shared" si="124"/>
        <v>0</v>
      </c>
    </row>
    <row r="1015" hidden="1">
      <c r="A1015" s="16" t="s">
        <v>1574</v>
      </c>
      <c r="B1015" s="222" t="s">
        <v>1575</v>
      </c>
      <c r="C1015" s="18" t="s">
        <v>1572</v>
      </c>
      <c r="D1015" s="4"/>
      <c r="E1015" s="19"/>
      <c r="F1015" s="19"/>
      <c r="G1015" s="16" t="s">
        <v>1573</v>
      </c>
      <c r="H1015" s="21"/>
      <c r="I1015" s="22"/>
      <c r="J1015" s="45"/>
      <c r="K1015" s="60">
        <v>223000.0</v>
      </c>
      <c r="L1015" s="55">
        <v>350000.0</v>
      </c>
      <c r="M1015" s="25"/>
      <c r="N1015" s="39"/>
      <c r="O1015" s="27">
        <f t="shared" si="123"/>
        <v>0.5695067265</v>
      </c>
      <c r="P1015" s="28">
        <f t="shared" si="124"/>
        <v>0</v>
      </c>
    </row>
    <row r="1016" hidden="1">
      <c r="A1016" s="16" t="s">
        <v>1576</v>
      </c>
      <c r="B1016" s="36" t="s">
        <v>1577</v>
      </c>
      <c r="C1016" s="18"/>
      <c r="D1016" s="4" t="s">
        <v>998</v>
      </c>
      <c r="E1016" s="19">
        <v>0.0</v>
      </c>
      <c r="F1016" s="19">
        <v>31.0</v>
      </c>
      <c r="G1016" s="16" t="s">
        <v>1210</v>
      </c>
      <c r="H1016" s="21"/>
      <c r="I1016" s="22">
        <v>4.0</v>
      </c>
      <c r="J1016" s="58">
        <v>46327.0</v>
      </c>
      <c r="K1016" s="55">
        <f>102419*1.19</f>
        <v>121878.61</v>
      </c>
      <c r="L1016" s="55">
        <v>160000.0</v>
      </c>
      <c r="M1016" s="25" t="s">
        <v>82</v>
      </c>
      <c r="N1016" s="102">
        <v>140000.0</v>
      </c>
      <c r="O1016" s="27">
        <f t="shared" si="123"/>
        <v>0.3127816276</v>
      </c>
      <c r="P1016" s="28">
        <f t="shared" si="124"/>
        <v>3778236.91</v>
      </c>
    </row>
    <row r="1017" hidden="1">
      <c r="A1017" s="59" t="s">
        <v>1578</v>
      </c>
      <c r="B1017" s="17"/>
      <c r="C1017" s="18"/>
      <c r="D1017" s="4"/>
      <c r="E1017" s="19">
        <v>0.0</v>
      </c>
      <c r="F1017" s="19">
        <v>0.0</v>
      </c>
      <c r="G1017" s="16" t="s">
        <v>16</v>
      </c>
      <c r="H1017" s="21"/>
      <c r="I1017" s="22">
        <v>0.0</v>
      </c>
      <c r="J1017" s="29"/>
      <c r="K1017" s="30">
        <v>4023.1600000000003</v>
      </c>
      <c r="L1017" s="24">
        <v>50000.0</v>
      </c>
      <c r="M1017" s="25"/>
      <c r="N1017" s="39"/>
      <c r="O1017" s="27">
        <f t="shared" si="123"/>
        <v>11.42804164</v>
      </c>
      <c r="P1017" s="28">
        <f t="shared" si="124"/>
        <v>0</v>
      </c>
    </row>
    <row r="1018" hidden="1">
      <c r="A1018" s="59" t="s">
        <v>1579</v>
      </c>
      <c r="B1018" s="121"/>
      <c r="C1018" s="18"/>
      <c r="D1018" s="4"/>
      <c r="E1018" s="19">
        <v>0.0</v>
      </c>
      <c r="F1018" s="19">
        <v>0.0</v>
      </c>
      <c r="G1018" s="16" t="s">
        <v>16</v>
      </c>
      <c r="H1018" s="21"/>
      <c r="I1018" s="22">
        <v>0.0</v>
      </c>
      <c r="J1018" s="29"/>
      <c r="K1018" s="32">
        <v>4498.0</v>
      </c>
      <c r="L1018" s="24">
        <v>50000.0</v>
      </c>
      <c r="M1018" s="25"/>
      <c r="N1018" s="39"/>
      <c r="O1018" s="27">
        <f t="shared" si="123"/>
        <v>10.11605158</v>
      </c>
      <c r="P1018" s="28">
        <f t="shared" si="124"/>
        <v>0</v>
      </c>
    </row>
    <row r="1019" hidden="1">
      <c r="A1019" s="59" t="s">
        <v>1580</v>
      </c>
      <c r="B1019" s="121"/>
      <c r="C1019" s="18"/>
      <c r="D1019" s="4"/>
      <c r="E1019" s="19">
        <v>0.0</v>
      </c>
      <c r="F1019" s="19"/>
      <c r="G1019" s="20" t="s">
        <v>57</v>
      </c>
      <c r="H1019" s="21"/>
      <c r="I1019" s="22"/>
      <c r="J1019" s="29"/>
      <c r="K1019" s="32">
        <v>4498.0</v>
      </c>
      <c r="L1019" s="24">
        <v>50000.0</v>
      </c>
      <c r="M1019" s="25"/>
      <c r="N1019" s="39"/>
      <c r="O1019" s="27">
        <f t="shared" si="123"/>
        <v>10.11605158</v>
      </c>
      <c r="P1019" s="28">
        <f t="shared" si="124"/>
        <v>0</v>
      </c>
    </row>
    <row r="1020" hidden="1">
      <c r="A1020" s="16" t="s">
        <v>2861</v>
      </c>
      <c r="B1020" s="36" t="s">
        <v>1582</v>
      </c>
      <c r="C1020" s="18" t="s">
        <v>1572</v>
      </c>
      <c r="D1020" s="4"/>
      <c r="E1020" s="19"/>
      <c r="F1020" s="19"/>
      <c r="G1020" s="16" t="s">
        <v>1583</v>
      </c>
      <c r="H1020" s="21"/>
      <c r="I1020" s="22"/>
      <c r="J1020" s="23"/>
      <c r="K1020" s="55">
        <v>520000.0</v>
      </c>
      <c r="L1020" s="55">
        <v>590000.0</v>
      </c>
      <c r="M1020" s="25"/>
      <c r="N1020" s="102">
        <v>540000.0</v>
      </c>
      <c r="O1020" s="27">
        <f t="shared" si="123"/>
        <v>0.1346153846</v>
      </c>
      <c r="P1020" s="28">
        <f>K1020*F1021</f>
        <v>355667676000</v>
      </c>
    </row>
    <row r="1021" hidden="1">
      <c r="A1021" s="16" t="s">
        <v>1584</v>
      </c>
      <c r="B1021" s="36" t="s">
        <v>1585</v>
      </c>
      <c r="C1021" s="18" t="s">
        <v>1572</v>
      </c>
      <c r="D1021" s="4"/>
      <c r="E1021" s="19" t="s">
        <v>1250</v>
      </c>
      <c r="F1021" s="19">
        <f>574770*1.19</f>
        <v>683976.3</v>
      </c>
      <c r="G1021" s="16" t="s">
        <v>1583</v>
      </c>
      <c r="H1021" s="21"/>
      <c r="I1021" s="22"/>
      <c r="J1021" s="23"/>
      <c r="K1021" s="55">
        <f>574770*1.19</f>
        <v>683976.3</v>
      </c>
      <c r="L1021" s="55">
        <v>780000.0</v>
      </c>
      <c r="M1021" s="25"/>
      <c r="N1021" s="102">
        <v>720000.0</v>
      </c>
      <c r="O1021" s="27">
        <f t="shared" si="123"/>
        <v>0.1403903907</v>
      </c>
      <c r="P1021" s="28" t="str">
        <f>K1021*#REF!</f>
        <v>#REF!</v>
      </c>
    </row>
    <row r="1022" hidden="1">
      <c r="A1022" s="16" t="s">
        <v>1586</v>
      </c>
      <c r="B1022" s="49"/>
      <c r="C1022" s="18"/>
      <c r="D1022" s="4" t="s">
        <v>998</v>
      </c>
      <c r="E1022" s="19">
        <v>0.0</v>
      </c>
      <c r="F1022" s="19">
        <v>2.0</v>
      </c>
      <c r="G1022" s="20" t="s">
        <v>254</v>
      </c>
      <c r="H1022" s="21"/>
      <c r="I1022" s="22">
        <v>0.0</v>
      </c>
      <c r="J1022" s="23"/>
      <c r="K1022" s="24">
        <f>235000*1.19</f>
        <v>279650</v>
      </c>
      <c r="L1022" s="32">
        <v>380000.0</v>
      </c>
      <c r="M1022" s="25"/>
      <c r="N1022" s="39"/>
      <c r="O1022" s="27">
        <f t="shared" si="123"/>
        <v>0.3588414089</v>
      </c>
      <c r="P1022" s="28">
        <f t="shared" ref="P1022:P1039" si="125">K1022*F1022</f>
        <v>559300</v>
      </c>
    </row>
    <row r="1023" hidden="1">
      <c r="A1023" s="16" t="s">
        <v>1587</v>
      </c>
      <c r="B1023" s="49"/>
      <c r="C1023" s="18"/>
      <c r="D1023" s="4" t="s">
        <v>998</v>
      </c>
      <c r="E1023" s="19">
        <v>0.0</v>
      </c>
      <c r="F1023" s="19">
        <v>15.0</v>
      </c>
      <c r="G1023" s="20" t="s">
        <v>254</v>
      </c>
      <c r="H1023" s="21"/>
      <c r="I1023" s="22">
        <v>0.0</v>
      </c>
      <c r="J1023" s="23"/>
      <c r="K1023" s="24">
        <f t="shared" ref="K1023:K1024" si="126">245000*1.19</f>
        <v>291550</v>
      </c>
      <c r="L1023" s="32">
        <v>380000.0</v>
      </c>
      <c r="M1023" s="25"/>
      <c r="N1023" s="39"/>
      <c r="O1023" s="27">
        <f t="shared" si="123"/>
        <v>0.3033784943</v>
      </c>
      <c r="P1023" s="28">
        <f t="shared" si="125"/>
        <v>4373250</v>
      </c>
    </row>
    <row r="1024" hidden="1">
      <c r="A1024" s="16" t="s">
        <v>1588</v>
      </c>
      <c r="B1024" s="49"/>
      <c r="C1024" s="223" t="s">
        <v>1589</v>
      </c>
      <c r="D1024" s="4" t="s">
        <v>998</v>
      </c>
      <c r="E1024" s="19">
        <v>0.0</v>
      </c>
      <c r="F1024" s="19">
        <v>2.0</v>
      </c>
      <c r="G1024" s="20" t="s">
        <v>254</v>
      </c>
      <c r="H1024" s="21"/>
      <c r="I1024" s="22">
        <v>0.0</v>
      </c>
      <c r="J1024" s="23"/>
      <c r="K1024" s="24">
        <f t="shared" si="126"/>
        <v>291550</v>
      </c>
      <c r="L1024" s="32">
        <v>380000.0</v>
      </c>
      <c r="M1024" s="25"/>
      <c r="N1024" s="39"/>
      <c r="O1024" s="27">
        <f t="shared" si="123"/>
        <v>0.3033784943</v>
      </c>
      <c r="P1024" s="28">
        <f t="shared" si="125"/>
        <v>583100</v>
      </c>
    </row>
    <row r="1025" hidden="1">
      <c r="A1025" s="16" t="s">
        <v>1590</v>
      </c>
      <c r="B1025" s="17"/>
      <c r="C1025" s="18"/>
      <c r="D1025" s="4" t="s">
        <v>676</v>
      </c>
      <c r="E1025" s="19">
        <v>0.0</v>
      </c>
      <c r="F1025" s="19">
        <v>20.0</v>
      </c>
      <c r="G1025" s="16" t="s">
        <v>588</v>
      </c>
      <c r="H1025" s="21"/>
      <c r="I1025" s="22">
        <v>4.0</v>
      </c>
      <c r="J1025" s="47">
        <v>45383.0</v>
      </c>
      <c r="K1025" s="43">
        <v>5435.0</v>
      </c>
      <c r="L1025" s="44">
        <v>10000.0</v>
      </c>
      <c r="M1025" s="25"/>
      <c r="N1025" s="39"/>
      <c r="O1025" s="27">
        <f t="shared" si="123"/>
        <v>0.8399264029</v>
      </c>
      <c r="P1025" s="28">
        <f t="shared" si="125"/>
        <v>108700</v>
      </c>
    </row>
    <row r="1026" hidden="1">
      <c r="A1026" s="16" t="s">
        <v>1591</v>
      </c>
      <c r="B1026" s="16" t="s">
        <v>1592</v>
      </c>
      <c r="C1026" s="18"/>
      <c r="D1026" s="4"/>
      <c r="E1026" s="19">
        <v>0.0</v>
      </c>
      <c r="F1026" s="19">
        <v>0.0</v>
      </c>
      <c r="G1026" s="16" t="s">
        <v>588</v>
      </c>
      <c r="H1026" s="21"/>
      <c r="I1026" s="22" t="s">
        <v>1593</v>
      </c>
      <c r="J1026" s="29"/>
      <c r="K1026" s="48">
        <v>9089.0</v>
      </c>
      <c r="L1026" s="55">
        <v>14000.0</v>
      </c>
      <c r="M1026" s="25"/>
      <c r="N1026" s="39"/>
      <c r="O1026" s="27">
        <f t="shared" si="123"/>
        <v>0.5403234679</v>
      </c>
      <c r="P1026" s="28">
        <f t="shared" si="125"/>
        <v>0</v>
      </c>
    </row>
    <row r="1027" hidden="1">
      <c r="A1027" s="16" t="s">
        <v>1594</v>
      </c>
      <c r="B1027" s="16" t="s">
        <v>1595</v>
      </c>
      <c r="C1027" s="18"/>
      <c r="D1027" s="4"/>
      <c r="E1027" s="19">
        <v>0.0</v>
      </c>
      <c r="F1027" s="19">
        <v>0.0</v>
      </c>
      <c r="G1027" s="16" t="s">
        <v>588</v>
      </c>
      <c r="H1027" s="21"/>
      <c r="I1027" s="22">
        <v>0.0</v>
      </c>
      <c r="J1027" s="29"/>
      <c r="K1027" s="43">
        <v>7429.0</v>
      </c>
      <c r="L1027" s="44">
        <v>12000.0</v>
      </c>
      <c r="M1027" s="25"/>
      <c r="N1027" s="39"/>
      <c r="O1027" s="27">
        <f t="shared" si="123"/>
        <v>0.6152914255</v>
      </c>
      <c r="P1027" s="28">
        <f t="shared" si="125"/>
        <v>0</v>
      </c>
    </row>
    <row r="1028" hidden="1">
      <c r="A1028" s="16" t="s">
        <v>1596</v>
      </c>
      <c r="B1028" s="36"/>
      <c r="C1028" s="18"/>
      <c r="D1028" s="4"/>
      <c r="E1028" s="19">
        <v>0.0</v>
      </c>
      <c r="F1028" s="19"/>
      <c r="G1028" s="16" t="s">
        <v>57</v>
      </c>
      <c r="H1028" s="21"/>
      <c r="I1028" s="22"/>
      <c r="J1028" s="45"/>
      <c r="K1028" s="172">
        <v>1.0</v>
      </c>
      <c r="L1028" s="44">
        <v>1.0</v>
      </c>
      <c r="M1028" s="25" t="s">
        <v>82</v>
      </c>
      <c r="N1028" s="39"/>
      <c r="O1028" s="27">
        <f t="shared" si="123"/>
        <v>0</v>
      </c>
      <c r="P1028" s="28">
        <f t="shared" si="125"/>
        <v>0</v>
      </c>
    </row>
    <row r="1029" hidden="1">
      <c r="A1029" s="16" t="s">
        <v>1597</v>
      </c>
      <c r="B1029" s="157"/>
      <c r="C1029" s="92"/>
      <c r="D1029" s="4"/>
      <c r="E1029" s="19">
        <v>0.0</v>
      </c>
      <c r="F1029" s="19">
        <v>0.0</v>
      </c>
      <c r="G1029" s="137" t="s">
        <v>585</v>
      </c>
      <c r="H1029" s="21"/>
      <c r="I1029" s="22"/>
      <c r="J1029" s="29"/>
      <c r="K1029" s="48">
        <v>33700.0</v>
      </c>
      <c r="L1029" s="55">
        <v>44000.0</v>
      </c>
      <c r="M1029" s="25"/>
      <c r="N1029" s="102"/>
      <c r="O1029" s="27">
        <f t="shared" si="123"/>
        <v>0.3056379822</v>
      </c>
      <c r="P1029" s="28">
        <f t="shared" si="125"/>
        <v>0</v>
      </c>
    </row>
    <row r="1030" hidden="1">
      <c r="A1030" s="16" t="s">
        <v>1598</v>
      </c>
      <c r="B1030" s="157"/>
      <c r="C1030" s="92"/>
      <c r="D1030" s="4"/>
      <c r="E1030" s="19">
        <v>0.0</v>
      </c>
      <c r="F1030" s="19">
        <v>0.0</v>
      </c>
      <c r="G1030" s="137" t="s">
        <v>585</v>
      </c>
      <c r="H1030" s="21"/>
      <c r="I1030" s="22"/>
      <c r="J1030" s="29"/>
      <c r="K1030" s="48">
        <v>33700.0</v>
      </c>
      <c r="L1030" s="55">
        <v>44000.0</v>
      </c>
      <c r="M1030" s="25"/>
      <c r="N1030" s="102"/>
      <c r="O1030" s="27">
        <f t="shared" si="123"/>
        <v>0.3056379822</v>
      </c>
      <c r="P1030" s="28">
        <f t="shared" si="125"/>
        <v>0</v>
      </c>
    </row>
    <row r="1031" hidden="1">
      <c r="A1031" s="16" t="s">
        <v>1599</v>
      </c>
      <c r="B1031" s="157"/>
      <c r="C1031" s="92"/>
      <c r="D1031" s="4"/>
      <c r="E1031" s="19">
        <v>0.0</v>
      </c>
      <c r="F1031" s="19">
        <v>0.0</v>
      </c>
      <c r="G1031" s="137" t="s">
        <v>585</v>
      </c>
      <c r="H1031" s="21"/>
      <c r="I1031" s="22"/>
      <c r="J1031" s="29"/>
      <c r="K1031" s="48">
        <v>33700.0</v>
      </c>
      <c r="L1031" s="55">
        <v>44000.0</v>
      </c>
      <c r="M1031" s="25"/>
      <c r="N1031" s="102"/>
      <c r="O1031" s="27">
        <f t="shared" si="123"/>
        <v>0.3056379822</v>
      </c>
      <c r="P1031" s="28">
        <f t="shared" si="125"/>
        <v>0</v>
      </c>
    </row>
    <row r="1032" hidden="1">
      <c r="A1032" s="16" t="s">
        <v>1600</v>
      </c>
      <c r="B1032" s="17"/>
      <c r="C1032" s="18" t="s">
        <v>1601</v>
      </c>
      <c r="D1032" s="4"/>
      <c r="E1032" s="19">
        <v>0.0</v>
      </c>
      <c r="F1032" s="19">
        <v>0.0</v>
      </c>
      <c r="G1032" s="16" t="s">
        <v>1551</v>
      </c>
      <c r="H1032" s="21"/>
      <c r="I1032" s="22"/>
      <c r="J1032" s="29"/>
      <c r="K1032" s="44">
        <v>220000.0</v>
      </c>
      <c r="L1032" s="44">
        <v>220000.0</v>
      </c>
      <c r="M1032" s="25"/>
      <c r="N1032" s="26"/>
      <c r="O1032" s="27">
        <f t="shared" si="123"/>
        <v>0</v>
      </c>
      <c r="P1032" s="28">
        <f t="shared" si="125"/>
        <v>0</v>
      </c>
    </row>
    <row r="1033" hidden="1">
      <c r="A1033" s="16" t="s">
        <v>1602</v>
      </c>
      <c r="B1033" s="17"/>
      <c r="C1033" s="18"/>
      <c r="D1033" s="4"/>
      <c r="E1033" s="19">
        <v>0.0</v>
      </c>
      <c r="F1033" s="19">
        <v>0.0</v>
      </c>
      <c r="G1033" s="16" t="s">
        <v>16</v>
      </c>
      <c r="H1033" s="21"/>
      <c r="I1033" s="22" t="s">
        <v>1603</v>
      </c>
      <c r="J1033" s="29"/>
      <c r="K1033" s="32">
        <v>38000.0</v>
      </c>
      <c r="L1033" s="24">
        <v>80000.0</v>
      </c>
      <c r="M1033" s="25"/>
      <c r="N1033" s="26"/>
      <c r="O1033" s="27">
        <f t="shared" si="123"/>
        <v>1.105263158</v>
      </c>
      <c r="P1033" s="28">
        <f t="shared" si="125"/>
        <v>0</v>
      </c>
    </row>
    <row r="1034" hidden="1">
      <c r="A1034" s="59" t="s">
        <v>1604</v>
      </c>
      <c r="B1034" s="121"/>
      <c r="C1034" s="18" t="s">
        <v>547</v>
      </c>
      <c r="D1034" s="4"/>
      <c r="E1034" s="19">
        <v>0.0</v>
      </c>
      <c r="F1034" s="19"/>
      <c r="G1034" s="20" t="s">
        <v>57</v>
      </c>
      <c r="H1034" s="21"/>
      <c r="I1034" s="22"/>
      <c r="J1034" s="29"/>
      <c r="K1034" s="43"/>
      <c r="L1034" s="44"/>
      <c r="M1034" s="25"/>
      <c r="N1034" s="26"/>
      <c r="O1034" s="27" t="str">
        <f t="shared" si="123"/>
        <v>#DIV/0!</v>
      </c>
      <c r="P1034" s="28">
        <f t="shared" si="125"/>
        <v>0</v>
      </c>
    </row>
    <row r="1035" hidden="1">
      <c r="A1035" s="59" t="s">
        <v>1605</v>
      </c>
      <c r="B1035" s="121"/>
      <c r="C1035" s="18" t="s">
        <v>547</v>
      </c>
      <c r="D1035" s="4"/>
      <c r="E1035" s="19">
        <v>0.0</v>
      </c>
      <c r="F1035" s="19"/>
      <c r="G1035" s="20" t="s">
        <v>57</v>
      </c>
      <c r="H1035" s="21"/>
      <c r="I1035" s="22"/>
      <c r="J1035" s="29"/>
      <c r="K1035" s="43"/>
      <c r="L1035" s="44"/>
      <c r="M1035" s="25"/>
      <c r="N1035" s="26"/>
      <c r="O1035" s="27" t="str">
        <f t="shared" si="123"/>
        <v>#DIV/0!</v>
      </c>
      <c r="P1035" s="28">
        <f t="shared" si="125"/>
        <v>0</v>
      </c>
    </row>
    <row r="1036" hidden="1">
      <c r="A1036" s="16" t="s">
        <v>1606</v>
      </c>
      <c r="B1036" s="17"/>
      <c r="C1036" s="18" t="s">
        <v>1607</v>
      </c>
      <c r="D1036" s="4"/>
      <c r="E1036" s="19">
        <v>0.0</v>
      </c>
      <c r="F1036" s="19">
        <v>0.0</v>
      </c>
      <c r="G1036" s="16" t="s">
        <v>1608</v>
      </c>
      <c r="H1036" s="21"/>
      <c r="I1036" s="22">
        <v>0.0</v>
      </c>
      <c r="J1036" s="29"/>
      <c r="K1036" s="43">
        <f>180672*1.19*0.85</f>
        <v>182749.728</v>
      </c>
      <c r="L1036" s="44">
        <v>270000.0</v>
      </c>
      <c r="M1036" s="25"/>
      <c r="N1036" s="50"/>
      <c r="O1036" s="27">
        <f t="shared" si="123"/>
        <v>0.4774303795</v>
      </c>
      <c r="P1036" s="28">
        <f t="shared" si="125"/>
        <v>0</v>
      </c>
    </row>
    <row r="1037" hidden="1">
      <c r="A1037" s="42" t="s">
        <v>1609</v>
      </c>
      <c r="B1037" s="36"/>
      <c r="C1037" s="18"/>
      <c r="D1037" s="4"/>
      <c r="E1037" s="19">
        <v>0.0</v>
      </c>
      <c r="F1037" s="19">
        <v>0.0</v>
      </c>
      <c r="G1037" s="16" t="s">
        <v>84</v>
      </c>
      <c r="H1037" s="73"/>
      <c r="I1037" s="22">
        <v>0.0</v>
      </c>
      <c r="J1037" s="74"/>
      <c r="K1037" s="44">
        <v>60000.0</v>
      </c>
      <c r="L1037" s="44">
        <v>60000.0</v>
      </c>
      <c r="M1037" s="25"/>
      <c r="N1037" s="26"/>
      <c r="O1037" s="27">
        <f t="shared" si="123"/>
        <v>0</v>
      </c>
      <c r="P1037" s="28">
        <f t="shared" si="125"/>
        <v>0</v>
      </c>
    </row>
    <row r="1038" hidden="1">
      <c r="A1038" s="16" t="s">
        <v>1610</v>
      </c>
      <c r="B1038" s="17"/>
      <c r="C1038" s="18"/>
      <c r="D1038" s="4"/>
      <c r="E1038" s="19">
        <v>0.0</v>
      </c>
      <c r="F1038" s="19">
        <v>0.0</v>
      </c>
      <c r="G1038" s="16" t="s">
        <v>580</v>
      </c>
      <c r="H1038" s="21"/>
      <c r="I1038" s="22">
        <v>3.0</v>
      </c>
      <c r="J1038" s="29"/>
      <c r="K1038" s="43">
        <v>60000.0</v>
      </c>
      <c r="L1038" s="44">
        <v>110000.0</v>
      </c>
      <c r="M1038" s="25"/>
      <c r="N1038" s="69"/>
      <c r="O1038" s="27">
        <f t="shared" si="123"/>
        <v>0.8333333333</v>
      </c>
      <c r="P1038" s="28">
        <f t="shared" si="125"/>
        <v>0</v>
      </c>
    </row>
    <row r="1039" hidden="1">
      <c r="A1039" s="16" t="s">
        <v>1611</v>
      </c>
      <c r="B1039" s="17"/>
      <c r="C1039" s="18"/>
      <c r="D1039" s="4" t="s">
        <v>796</v>
      </c>
      <c r="E1039" s="19">
        <v>0.0</v>
      </c>
      <c r="F1039" s="19">
        <v>20.0</v>
      </c>
      <c r="G1039" s="16" t="s">
        <v>16</v>
      </c>
      <c r="H1039" s="21"/>
      <c r="I1039" s="22">
        <v>6.0</v>
      </c>
      <c r="J1039" s="29"/>
      <c r="K1039" s="43">
        <v>13438.0</v>
      </c>
      <c r="L1039" s="44">
        <v>40000.0</v>
      </c>
      <c r="M1039" s="25"/>
      <c r="N1039" s="26"/>
      <c r="O1039" s="27">
        <f t="shared" si="123"/>
        <v>1.976633428</v>
      </c>
      <c r="P1039" s="28">
        <f t="shared" si="125"/>
        <v>268760</v>
      </c>
    </row>
    <row r="1040" hidden="1">
      <c r="A1040" s="16" t="s">
        <v>1612</v>
      </c>
      <c r="B1040" s="36" t="s">
        <v>1613</v>
      </c>
      <c r="C1040" s="18"/>
      <c r="D1040" s="4"/>
      <c r="E1040" s="19"/>
      <c r="F1040" s="19"/>
      <c r="G1040" s="16" t="s">
        <v>1614</v>
      </c>
      <c r="H1040" s="21">
        <v>0.0</v>
      </c>
      <c r="I1040" s="22"/>
      <c r="J1040" s="29"/>
      <c r="K1040" s="32">
        <f>86900*1.19</f>
        <v>103411</v>
      </c>
      <c r="L1040" s="32">
        <v>150000.0</v>
      </c>
      <c r="M1040" s="25"/>
      <c r="N1040" s="26">
        <v>148000.0</v>
      </c>
      <c r="O1040" s="27">
        <f t="shared" si="123"/>
        <v>0.4505226717</v>
      </c>
      <c r="P1040" s="28"/>
    </row>
    <row r="1041" hidden="1">
      <c r="A1041" s="16" t="s">
        <v>1615</v>
      </c>
      <c r="B1041" s="36" t="s">
        <v>1616</v>
      </c>
      <c r="C1041" s="18"/>
      <c r="D1041" s="4"/>
      <c r="E1041" s="19"/>
      <c r="F1041" s="19"/>
      <c r="G1041" s="16" t="s">
        <v>1614</v>
      </c>
      <c r="H1041" s="21">
        <v>0.0</v>
      </c>
      <c r="I1041" s="22"/>
      <c r="J1041" s="29"/>
      <c r="K1041" s="32">
        <v>84500.0</v>
      </c>
      <c r="L1041" s="32">
        <v>130000.0</v>
      </c>
      <c r="M1041" s="25"/>
      <c r="N1041" s="26">
        <v>110000.0</v>
      </c>
      <c r="O1041" s="27">
        <f t="shared" si="123"/>
        <v>0.5384615385</v>
      </c>
      <c r="P1041" s="28"/>
    </row>
    <row r="1042" hidden="1">
      <c r="A1042" s="16" t="s">
        <v>1617</v>
      </c>
      <c r="B1042" s="17"/>
      <c r="C1042" s="18"/>
      <c r="D1042" s="4"/>
      <c r="E1042" s="19">
        <v>0.0</v>
      </c>
      <c r="F1042" s="19">
        <v>0.0</v>
      </c>
      <c r="G1042" s="16" t="s">
        <v>580</v>
      </c>
      <c r="H1042" s="21"/>
      <c r="I1042" s="22">
        <v>6.0</v>
      </c>
      <c r="J1042" s="29"/>
      <c r="K1042" s="43">
        <v>60000.0</v>
      </c>
      <c r="L1042" s="44">
        <v>110000.0</v>
      </c>
      <c r="M1042" s="25"/>
      <c r="N1042" s="69"/>
      <c r="O1042" s="27">
        <f t="shared" si="123"/>
        <v>0.8333333333</v>
      </c>
      <c r="P1042" s="28">
        <f t="shared" ref="P1042:P1045" si="127">K1042*F1042</f>
        <v>0</v>
      </c>
    </row>
    <row r="1043" hidden="1">
      <c r="A1043" s="16" t="s">
        <v>1618</v>
      </c>
      <c r="B1043" s="17"/>
      <c r="C1043" s="18"/>
      <c r="D1043" s="4"/>
      <c r="E1043" s="19"/>
      <c r="F1043" s="19"/>
      <c r="G1043" s="16" t="s">
        <v>1619</v>
      </c>
      <c r="H1043" s="21">
        <v>0.0</v>
      </c>
      <c r="I1043" s="22"/>
      <c r="J1043" s="29"/>
      <c r="K1043" s="43">
        <f>205882*1.19*0.85</f>
        <v>208249.643</v>
      </c>
      <c r="L1043" s="44">
        <v>270000.0</v>
      </c>
      <c r="M1043" s="25"/>
      <c r="N1043" s="50"/>
      <c r="O1043" s="27">
        <f t="shared" si="123"/>
        <v>0.2965208301</v>
      </c>
      <c r="P1043" s="28">
        <f t="shared" si="127"/>
        <v>0</v>
      </c>
    </row>
    <row r="1044" hidden="1">
      <c r="A1044" s="16" t="s">
        <v>1620</v>
      </c>
      <c r="B1044" s="17"/>
      <c r="C1044" s="18"/>
      <c r="D1044" s="4"/>
      <c r="E1044" s="19">
        <v>0.0</v>
      </c>
      <c r="F1044" s="19">
        <v>0.0</v>
      </c>
      <c r="G1044" s="16" t="s">
        <v>580</v>
      </c>
      <c r="H1044" s="21"/>
      <c r="I1044" s="22">
        <v>3.0</v>
      </c>
      <c r="J1044" s="29"/>
      <c r="K1044" s="43">
        <v>110000.0</v>
      </c>
      <c r="L1044" s="44">
        <v>180000.0</v>
      </c>
      <c r="M1044" s="25"/>
      <c r="N1044" s="69"/>
      <c r="O1044" s="27">
        <f t="shared" si="123"/>
        <v>0.6363636364</v>
      </c>
      <c r="P1044" s="28">
        <f t="shared" si="127"/>
        <v>0</v>
      </c>
    </row>
    <row r="1045" hidden="1">
      <c r="A1045" s="16" t="s">
        <v>1621</v>
      </c>
      <c r="B1045" s="17"/>
      <c r="C1045" s="18"/>
      <c r="D1045" s="4"/>
      <c r="E1045" s="19">
        <v>0.0</v>
      </c>
      <c r="F1045" s="19">
        <v>0.0</v>
      </c>
      <c r="G1045" s="16" t="s">
        <v>580</v>
      </c>
      <c r="H1045" s="21"/>
      <c r="I1045" s="22">
        <v>5.0</v>
      </c>
      <c r="J1045" s="29"/>
      <c r="K1045" s="43">
        <v>21000.0</v>
      </c>
      <c r="L1045" s="44">
        <v>54000.0</v>
      </c>
      <c r="M1045" s="25"/>
      <c r="N1045" s="69"/>
      <c r="O1045" s="27">
        <f t="shared" si="123"/>
        <v>1.571428571</v>
      </c>
      <c r="P1045" s="28">
        <f t="shared" si="127"/>
        <v>0</v>
      </c>
    </row>
    <row r="1046">
      <c r="A1046" s="16" t="s">
        <v>1622</v>
      </c>
      <c r="B1046" s="49"/>
      <c r="C1046" s="64"/>
      <c r="D1046" s="4"/>
      <c r="E1046" s="19"/>
      <c r="F1046" s="19"/>
      <c r="G1046" s="20" t="s">
        <v>98</v>
      </c>
      <c r="H1046" s="21">
        <v>0.0</v>
      </c>
      <c r="I1046" s="22"/>
      <c r="J1046" s="29"/>
      <c r="K1046" s="43"/>
      <c r="L1046" s="44"/>
      <c r="M1046" s="25"/>
      <c r="N1046" s="70"/>
      <c r="O1046" s="27"/>
      <c r="P1046" s="28"/>
    </row>
    <row r="1047">
      <c r="A1047" s="16" t="s">
        <v>1623</v>
      </c>
      <c r="B1047" s="49"/>
      <c r="C1047" s="64"/>
      <c r="D1047" s="4"/>
      <c r="E1047" s="19"/>
      <c r="F1047" s="19"/>
      <c r="G1047" s="20" t="s">
        <v>98</v>
      </c>
      <c r="H1047" s="21">
        <v>0.0</v>
      </c>
      <c r="I1047" s="22"/>
      <c r="J1047" s="29"/>
      <c r="K1047" s="43">
        <v>400000.0</v>
      </c>
      <c r="L1047" s="44">
        <v>479000.0</v>
      </c>
      <c r="M1047" s="25"/>
      <c r="N1047" s="70"/>
      <c r="O1047" s="27">
        <f t="shared" ref="O1047:O1063" si="128">(L1047/K1047)-1</f>
        <v>0.1975</v>
      </c>
      <c r="P1047" s="28">
        <f t="shared" ref="P1047:P1059" si="129">K1047*F1047</f>
        <v>0</v>
      </c>
    </row>
    <row r="1048" hidden="1">
      <c r="A1048" s="224" t="s">
        <v>1624</v>
      </c>
      <c r="B1048" s="36"/>
      <c r="C1048" s="18" t="s">
        <v>1572</v>
      </c>
      <c r="D1048" s="4"/>
      <c r="E1048" s="19">
        <v>0.0</v>
      </c>
      <c r="F1048" s="19">
        <v>0.0</v>
      </c>
      <c r="G1048" s="16" t="s">
        <v>1210</v>
      </c>
      <c r="H1048" s="21"/>
      <c r="I1048" s="22">
        <v>0.0</v>
      </c>
      <c r="J1048" s="29"/>
      <c r="K1048" s="48">
        <v>226900.0</v>
      </c>
      <c r="L1048" s="55">
        <v>290000.0</v>
      </c>
      <c r="M1048" s="25"/>
      <c r="N1048" s="26"/>
      <c r="O1048" s="27">
        <f t="shared" si="128"/>
        <v>0.2780960776</v>
      </c>
      <c r="P1048" s="28">
        <f t="shared" si="129"/>
        <v>0</v>
      </c>
    </row>
    <row r="1049" hidden="1">
      <c r="A1049" s="16" t="s">
        <v>1625</v>
      </c>
      <c r="B1049" s="36"/>
      <c r="C1049" s="18" t="s">
        <v>1572</v>
      </c>
      <c r="D1049" s="61"/>
      <c r="E1049" s="19"/>
      <c r="F1049" s="19"/>
      <c r="G1049" s="16" t="s">
        <v>1626</v>
      </c>
      <c r="H1049" s="21"/>
      <c r="I1049" s="22"/>
      <c r="J1049" s="29">
        <v>280.0</v>
      </c>
      <c r="K1049" s="48">
        <f>180000+91000</f>
        <v>271000</v>
      </c>
      <c r="L1049" s="55">
        <v>280000.0</v>
      </c>
      <c r="M1049" s="25"/>
      <c r="N1049" s="43">
        <v>270000.0</v>
      </c>
      <c r="O1049" s="27">
        <f t="shared" si="128"/>
        <v>0.0332103321</v>
      </c>
      <c r="P1049" s="28">
        <f t="shared" si="129"/>
        <v>0</v>
      </c>
    </row>
    <row r="1050" hidden="1">
      <c r="A1050" s="16" t="s">
        <v>1627</v>
      </c>
      <c r="B1050" s="36"/>
      <c r="C1050" s="18" t="s">
        <v>1572</v>
      </c>
      <c r="D1050" s="61"/>
      <c r="E1050" s="19"/>
      <c r="F1050" s="19"/>
      <c r="G1050" s="16" t="s">
        <v>1626</v>
      </c>
      <c r="H1050" s="21"/>
      <c r="I1050" s="22"/>
      <c r="J1050" s="29"/>
      <c r="K1050" s="48">
        <f>348480+87120+87120</f>
        <v>522720</v>
      </c>
      <c r="L1050" s="55">
        <v>650000.0</v>
      </c>
      <c r="M1050" s="25"/>
      <c r="N1050" s="26"/>
      <c r="O1050" s="27">
        <f t="shared" si="128"/>
        <v>0.2434955617</v>
      </c>
      <c r="P1050" s="28">
        <f t="shared" si="129"/>
        <v>0</v>
      </c>
    </row>
    <row r="1051" hidden="1">
      <c r="A1051" s="16" t="s">
        <v>1628</v>
      </c>
      <c r="B1051" s="36"/>
      <c r="C1051" s="18"/>
      <c r="D1051" s="4"/>
      <c r="E1051" s="19">
        <v>0.0</v>
      </c>
      <c r="F1051" s="19">
        <v>4.0</v>
      </c>
      <c r="G1051" s="16" t="s">
        <v>1400</v>
      </c>
      <c r="H1051" s="21"/>
      <c r="I1051" s="22"/>
      <c r="J1051" s="29"/>
      <c r="K1051" s="48">
        <v>178000.0</v>
      </c>
      <c r="L1051" s="55">
        <v>230000.0</v>
      </c>
      <c r="M1051" s="25"/>
      <c r="N1051" s="26"/>
      <c r="O1051" s="27">
        <f t="shared" si="128"/>
        <v>0.2921348315</v>
      </c>
      <c r="P1051" s="28">
        <f t="shared" si="129"/>
        <v>712000</v>
      </c>
    </row>
    <row r="1052" hidden="1">
      <c r="A1052" s="52" t="s">
        <v>1629</v>
      </c>
      <c r="B1052" s="17"/>
      <c r="C1052" s="18"/>
      <c r="D1052" s="4"/>
      <c r="E1052" s="19">
        <v>0.0</v>
      </c>
      <c r="F1052" s="19">
        <v>0.0</v>
      </c>
      <c r="G1052" s="16" t="s">
        <v>1630</v>
      </c>
      <c r="H1052" s="21"/>
      <c r="I1052" s="22">
        <v>1.0</v>
      </c>
      <c r="J1052" s="29"/>
      <c r="K1052" s="32">
        <v>60690.0</v>
      </c>
      <c r="L1052" s="24">
        <v>75000.0</v>
      </c>
      <c r="M1052" s="25"/>
      <c r="N1052" s="70"/>
      <c r="O1052" s="27">
        <f t="shared" si="128"/>
        <v>0.235788433</v>
      </c>
      <c r="P1052" s="200">
        <f t="shared" si="129"/>
        <v>0</v>
      </c>
    </row>
    <row r="1053" hidden="1">
      <c r="A1053" s="16" t="s">
        <v>1631</v>
      </c>
      <c r="B1053" s="36"/>
      <c r="C1053" s="18"/>
      <c r="D1053" s="4"/>
      <c r="E1053" s="19">
        <v>0.0</v>
      </c>
      <c r="F1053" s="19">
        <v>0.0</v>
      </c>
      <c r="G1053" s="16" t="s">
        <v>1400</v>
      </c>
      <c r="H1053" s="21"/>
      <c r="I1053" s="22"/>
      <c r="J1053" s="29"/>
      <c r="K1053" s="43">
        <v>417000.0</v>
      </c>
      <c r="L1053" s="44">
        <v>495000.0</v>
      </c>
      <c r="M1053" s="25"/>
      <c r="N1053" s="26"/>
      <c r="O1053" s="27">
        <f t="shared" si="128"/>
        <v>0.1870503597</v>
      </c>
      <c r="P1053" s="28">
        <f t="shared" si="129"/>
        <v>0</v>
      </c>
    </row>
    <row r="1054" hidden="1">
      <c r="A1054" s="118" t="s">
        <v>1632</v>
      </c>
      <c r="B1054" s="17"/>
      <c r="C1054" s="18"/>
      <c r="D1054" s="4"/>
      <c r="E1054" s="19">
        <v>0.0</v>
      </c>
      <c r="F1054" s="19">
        <v>1.0</v>
      </c>
      <c r="G1054" s="16" t="s">
        <v>437</v>
      </c>
      <c r="H1054" s="21"/>
      <c r="I1054" s="22">
        <v>67.0</v>
      </c>
      <c r="J1054" s="29"/>
      <c r="K1054" s="32">
        <v>4900.0</v>
      </c>
      <c r="L1054" s="24">
        <v>9000.0</v>
      </c>
      <c r="M1054" s="25"/>
      <c r="N1054" s="70"/>
      <c r="O1054" s="27">
        <f t="shared" si="128"/>
        <v>0.8367346939</v>
      </c>
      <c r="P1054" s="28">
        <f t="shared" si="129"/>
        <v>4900</v>
      </c>
    </row>
    <row r="1055" hidden="1">
      <c r="A1055" s="16" t="s">
        <v>1633</v>
      </c>
      <c r="B1055" s="17"/>
      <c r="C1055" s="18"/>
      <c r="D1055" s="4"/>
      <c r="E1055" s="19">
        <v>0.0</v>
      </c>
      <c r="F1055" s="19"/>
      <c r="G1055" s="16" t="s">
        <v>57</v>
      </c>
      <c r="H1055" s="21"/>
      <c r="I1055" s="22"/>
      <c r="J1055" s="29"/>
      <c r="K1055" s="43">
        <v>214000.0</v>
      </c>
      <c r="L1055" s="44">
        <v>260000.0</v>
      </c>
      <c r="M1055" s="25"/>
      <c r="N1055" s="26"/>
      <c r="O1055" s="27">
        <f t="shared" si="128"/>
        <v>0.214953271</v>
      </c>
      <c r="P1055" s="28">
        <f t="shared" si="129"/>
        <v>0</v>
      </c>
    </row>
    <row r="1056" hidden="1">
      <c r="A1056" s="16" t="s">
        <v>1634</v>
      </c>
      <c r="B1056" s="36"/>
      <c r="C1056" s="18"/>
      <c r="D1056" s="4"/>
      <c r="E1056" s="19">
        <v>0.0</v>
      </c>
      <c r="F1056" s="19">
        <v>0.0</v>
      </c>
      <c r="G1056" s="16" t="s">
        <v>1635</v>
      </c>
      <c r="H1056" s="21"/>
      <c r="I1056" s="22">
        <v>3.0</v>
      </c>
      <c r="J1056" s="23"/>
      <c r="K1056" s="44">
        <f>91616*1.19</f>
        <v>109023.04</v>
      </c>
      <c r="L1056" s="44">
        <f t="shared" ref="L1056:L1058" si="130">18*8000</f>
        <v>144000</v>
      </c>
      <c r="M1056" s="25"/>
      <c r="N1056" s="26"/>
      <c r="O1056" s="27">
        <f t="shared" si="128"/>
        <v>0.3208217272</v>
      </c>
      <c r="P1056" s="28">
        <f t="shared" si="129"/>
        <v>0</v>
      </c>
    </row>
    <row r="1057" hidden="1">
      <c r="A1057" s="16" t="s">
        <v>1636</v>
      </c>
      <c r="B1057" s="36"/>
      <c r="C1057" s="18"/>
      <c r="D1057" s="4" t="s">
        <v>998</v>
      </c>
      <c r="E1057" s="19">
        <v>0.0</v>
      </c>
      <c r="F1057" s="19">
        <v>1.0</v>
      </c>
      <c r="G1057" s="16" t="s">
        <v>1635</v>
      </c>
      <c r="H1057" s="21"/>
      <c r="I1057" s="22">
        <v>2.0</v>
      </c>
      <c r="J1057" s="23"/>
      <c r="K1057" s="44">
        <f t="shared" ref="K1057:K1058" si="131">13628*8</f>
        <v>109024</v>
      </c>
      <c r="L1057" s="44">
        <f t="shared" si="130"/>
        <v>144000</v>
      </c>
      <c r="M1057" s="25"/>
      <c r="N1057" s="26"/>
      <c r="O1057" s="27">
        <f t="shared" si="128"/>
        <v>0.3208100969</v>
      </c>
      <c r="P1057" s="28">
        <f t="shared" si="129"/>
        <v>109024</v>
      </c>
    </row>
    <row r="1058" hidden="1">
      <c r="A1058" s="16" t="s">
        <v>1637</v>
      </c>
      <c r="B1058" s="36"/>
      <c r="C1058" s="18"/>
      <c r="D1058" s="4" t="s">
        <v>998</v>
      </c>
      <c r="E1058" s="19">
        <v>0.0</v>
      </c>
      <c r="F1058" s="19">
        <v>1.0</v>
      </c>
      <c r="G1058" s="16" t="s">
        <v>1635</v>
      </c>
      <c r="H1058" s="21"/>
      <c r="I1058" s="22">
        <v>2.0</v>
      </c>
      <c r="J1058" s="23"/>
      <c r="K1058" s="44">
        <f t="shared" si="131"/>
        <v>109024</v>
      </c>
      <c r="L1058" s="44">
        <f t="shared" si="130"/>
        <v>144000</v>
      </c>
      <c r="M1058" s="25"/>
      <c r="N1058" s="26"/>
      <c r="O1058" s="27">
        <f t="shared" si="128"/>
        <v>0.3208100969</v>
      </c>
      <c r="P1058" s="28">
        <f t="shared" si="129"/>
        <v>109024</v>
      </c>
    </row>
    <row r="1059" hidden="1">
      <c r="A1059" s="16" t="s">
        <v>1638</v>
      </c>
      <c r="B1059" s="17"/>
      <c r="C1059" s="18"/>
      <c r="D1059" s="4"/>
      <c r="E1059" s="19">
        <v>0.0</v>
      </c>
      <c r="F1059" s="19">
        <v>0.0</v>
      </c>
      <c r="G1059" s="16" t="s">
        <v>1639</v>
      </c>
      <c r="H1059" s="21"/>
      <c r="I1059" s="22" t="s">
        <v>99</v>
      </c>
      <c r="J1059" s="29"/>
      <c r="K1059" s="43">
        <v>110000.0</v>
      </c>
      <c r="L1059" s="44">
        <v>310000.0</v>
      </c>
      <c r="M1059" s="25"/>
      <c r="N1059" s="39"/>
      <c r="O1059" s="27">
        <f t="shared" si="128"/>
        <v>1.818181818</v>
      </c>
      <c r="P1059" s="28">
        <f t="shared" si="129"/>
        <v>0</v>
      </c>
    </row>
    <row r="1060" hidden="1">
      <c r="A1060" s="225" t="s">
        <v>1640</v>
      </c>
      <c r="B1060" s="17"/>
      <c r="C1060" s="18"/>
      <c r="D1060" s="4"/>
      <c r="E1060" s="19">
        <v>0.0</v>
      </c>
      <c r="F1060" s="19">
        <v>0.0</v>
      </c>
      <c r="G1060" s="16" t="s">
        <v>580</v>
      </c>
      <c r="H1060" s="21"/>
      <c r="I1060" s="22"/>
      <c r="J1060" s="29"/>
      <c r="K1060" s="30">
        <v>18497.79</v>
      </c>
      <c r="L1060" s="44">
        <v>55000.0</v>
      </c>
      <c r="M1060" s="25"/>
      <c r="N1060" s="69"/>
      <c r="O1060" s="27">
        <f t="shared" si="128"/>
        <v>1.973328165</v>
      </c>
      <c r="P1060" s="28"/>
    </row>
    <row r="1061" hidden="1">
      <c r="A1061" s="16" t="s">
        <v>1641</v>
      </c>
      <c r="B1061" s="126"/>
      <c r="C1061" s="18"/>
      <c r="D1061" s="4"/>
      <c r="E1061" s="19">
        <v>0.0</v>
      </c>
      <c r="F1061" s="19"/>
      <c r="G1061" s="16" t="s">
        <v>1642</v>
      </c>
      <c r="H1061" s="21"/>
      <c r="I1061" s="22"/>
      <c r="J1061" s="29"/>
      <c r="K1061" s="43">
        <f t="shared" ref="K1061:K1062" si="132">900</f>
        <v>900</v>
      </c>
      <c r="L1061" s="44">
        <v>4000.0</v>
      </c>
      <c r="M1061" s="25"/>
      <c r="N1061" s="26"/>
      <c r="O1061" s="27">
        <f t="shared" si="128"/>
        <v>3.444444444</v>
      </c>
      <c r="P1061" s="28">
        <f t="shared" ref="P1061:P1065" si="133">K1061*F1061</f>
        <v>0</v>
      </c>
    </row>
    <row r="1062" hidden="1">
      <c r="A1062" s="16" t="s">
        <v>1643</v>
      </c>
      <c r="B1062" s="167" t="s">
        <v>1644</v>
      </c>
      <c r="C1062" s="18"/>
      <c r="D1062" s="4"/>
      <c r="E1062" s="19">
        <v>0.0</v>
      </c>
      <c r="F1062" s="19"/>
      <c r="G1062" s="16" t="s">
        <v>1645</v>
      </c>
      <c r="H1062" s="21"/>
      <c r="I1062" s="22"/>
      <c r="J1062" s="29"/>
      <c r="K1062" s="43">
        <f t="shared" si="132"/>
        <v>900</v>
      </c>
      <c r="L1062" s="44">
        <v>4000.0</v>
      </c>
      <c r="M1062" s="25"/>
      <c r="N1062" s="26"/>
      <c r="O1062" s="27">
        <f t="shared" si="128"/>
        <v>3.444444444</v>
      </c>
      <c r="P1062" s="28">
        <f t="shared" si="133"/>
        <v>0</v>
      </c>
    </row>
    <row r="1063" hidden="1">
      <c r="A1063" s="16" t="s">
        <v>1646</v>
      </c>
      <c r="B1063" s="157" t="s">
        <v>1647</v>
      </c>
      <c r="C1063" s="18"/>
      <c r="D1063" s="4"/>
      <c r="E1063" s="19">
        <v>0.0</v>
      </c>
      <c r="F1063" s="19"/>
      <c r="G1063" s="16" t="s">
        <v>1642</v>
      </c>
      <c r="H1063" s="21"/>
      <c r="I1063" s="22"/>
      <c r="J1063" s="29"/>
      <c r="K1063" s="43">
        <f>9000/10</f>
        <v>900</v>
      </c>
      <c r="L1063" s="44">
        <v>4000.0</v>
      </c>
      <c r="M1063" s="25"/>
      <c r="N1063" s="26"/>
      <c r="O1063" s="27">
        <f t="shared" si="128"/>
        <v>3.444444444</v>
      </c>
      <c r="P1063" s="28">
        <f t="shared" si="133"/>
        <v>0</v>
      </c>
    </row>
    <row r="1064" hidden="1">
      <c r="A1064" s="16" t="s">
        <v>1648</v>
      </c>
      <c r="B1064" s="17" t="s">
        <v>1649</v>
      </c>
      <c r="C1064" s="18"/>
      <c r="D1064" s="19"/>
      <c r="E1064" s="19">
        <v>0.0</v>
      </c>
      <c r="F1064" s="19">
        <v>0.0</v>
      </c>
      <c r="G1064" s="16" t="s">
        <v>1650</v>
      </c>
      <c r="H1064" s="21"/>
      <c r="I1064" s="22">
        <v>2.0</v>
      </c>
      <c r="J1064" s="47">
        <v>46113.0</v>
      </c>
      <c r="K1064" s="48">
        <v>395304.0</v>
      </c>
      <c r="L1064" s="55">
        <v>495000.0</v>
      </c>
      <c r="M1064" s="25"/>
      <c r="N1064" s="26">
        <v>440000.0</v>
      </c>
      <c r="O1064" s="27">
        <f t="shared" ref="O1064:O1065" si="134">(L1064/K1064)-1</f>
        <v>0.2522008378</v>
      </c>
      <c r="P1064" s="28">
        <f t="shared" si="133"/>
        <v>0</v>
      </c>
    </row>
    <row r="1065" hidden="1">
      <c r="A1065" s="16" t="s">
        <v>1651</v>
      </c>
      <c r="B1065" s="17"/>
      <c r="C1065" s="18"/>
      <c r="D1065" s="4"/>
      <c r="E1065" s="19">
        <v>0.0</v>
      </c>
      <c r="F1065" s="19">
        <v>0.0</v>
      </c>
      <c r="G1065" s="16" t="s">
        <v>1650</v>
      </c>
      <c r="H1065" s="21"/>
      <c r="I1065" s="22"/>
      <c r="J1065" s="29"/>
      <c r="K1065" s="48">
        <f>495000/8</f>
        <v>61875</v>
      </c>
      <c r="L1065" s="55">
        <v>70000.0</v>
      </c>
      <c r="M1065" s="25"/>
      <c r="N1065" s="26"/>
      <c r="O1065" s="27">
        <f t="shared" si="134"/>
        <v>0.1313131313</v>
      </c>
      <c r="P1065" s="28">
        <f t="shared" si="133"/>
        <v>0</v>
      </c>
    </row>
    <row r="1066" hidden="1">
      <c r="A1066" s="16" t="s">
        <v>1652</v>
      </c>
      <c r="B1066" s="17"/>
      <c r="C1066" s="18"/>
      <c r="D1066" s="4"/>
      <c r="E1066" s="19">
        <v>0.0</v>
      </c>
      <c r="F1066" s="19">
        <v>0.0</v>
      </c>
      <c r="G1066" s="16" t="s">
        <v>400</v>
      </c>
      <c r="H1066" s="21"/>
      <c r="I1066" s="22">
        <v>3.0</v>
      </c>
      <c r="J1066" s="29"/>
      <c r="K1066" s="48">
        <v>136000.0</v>
      </c>
      <c r="L1066" s="55">
        <v>460000.0</v>
      </c>
      <c r="M1066" s="25"/>
      <c r="N1066" s="26"/>
      <c r="O1066" s="27">
        <f t="shared" ref="O1066:O1072" si="135">(L1066/K1066)-1</f>
        <v>2.382352941</v>
      </c>
      <c r="P1066" s="28"/>
    </row>
    <row r="1067" hidden="1">
      <c r="A1067" s="16" t="s">
        <v>1653</v>
      </c>
      <c r="B1067" s="17"/>
      <c r="C1067" s="18"/>
      <c r="D1067" s="4"/>
      <c r="E1067" s="19">
        <v>0.0</v>
      </c>
      <c r="F1067" s="19">
        <v>1.0</v>
      </c>
      <c r="G1067" s="16" t="s">
        <v>154</v>
      </c>
      <c r="H1067" s="21"/>
      <c r="I1067" s="22">
        <v>0.0</v>
      </c>
      <c r="J1067" s="29"/>
      <c r="K1067" s="48">
        <v>743000.0</v>
      </c>
      <c r="L1067" s="55">
        <v>1050000.0</v>
      </c>
      <c r="M1067" s="25"/>
      <c r="N1067" s="26"/>
      <c r="O1067" s="27">
        <f t="shared" si="135"/>
        <v>0.4131897712</v>
      </c>
      <c r="P1067" s="28"/>
    </row>
    <row r="1068" hidden="1">
      <c r="A1068" s="16" t="s">
        <v>1654</v>
      </c>
      <c r="B1068" s="17"/>
      <c r="C1068" s="18"/>
      <c r="D1068" s="4"/>
      <c r="E1068" s="19">
        <v>0.0</v>
      </c>
      <c r="F1068" s="19">
        <v>0.0</v>
      </c>
      <c r="G1068" s="16" t="s">
        <v>154</v>
      </c>
      <c r="H1068" s="21"/>
      <c r="I1068" s="22">
        <v>1.0</v>
      </c>
      <c r="J1068" s="29"/>
      <c r="K1068" s="48">
        <v>384000.0</v>
      </c>
      <c r="L1068" s="55">
        <v>540000.0</v>
      </c>
      <c r="M1068" s="25"/>
      <c r="N1068" s="117">
        <v>480000.0</v>
      </c>
      <c r="O1068" s="27">
        <f t="shared" si="135"/>
        <v>0.40625</v>
      </c>
      <c r="P1068" s="28"/>
    </row>
    <row r="1069" hidden="1">
      <c r="A1069" s="122" t="s">
        <v>1655</v>
      </c>
      <c r="B1069" s="17"/>
      <c r="C1069" s="18"/>
      <c r="D1069" s="4"/>
      <c r="E1069" s="19">
        <v>0.0</v>
      </c>
      <c r="F1069" s="19">
        <v>0.0</v>
      </c>
      <c r="G1069" s="16" t="s">
        <v>1108</v>
      </c>
      <c r="H1069" s="21"/>
      <c r="I1069" s="22"/>
      <c r="J1069" s="29">
        <f>200000*1.19</f>
        <v>238000</v>
      </c>
      <c r="K1069" s="48">
        <v>250000.0</v>
      </c>
      <c r="L1069" s="55">
        <v>420000.0</v>
      </c>
      <c r="M1069" s="25"/>
      <c r="N1069" s="102">
        <v>370000.0</v>
      </c>
      <c r="O1069" s="27">
        <f t="shared" si="135"/>
        <v>0.68</v>
      </c>
      <c r="P1069" s="28"/>
    </row>
    <row r="1070" hidden="1">
      <c r="A1070" s="122" t="s">
        <v>1656</v>
      </c>
      <c r="B1070" s="17"/>
      <c r="C1070" s="18"/>
      <c r="D1070" s="4"/>
      <c r="E1070" s="19">
        <v>0.0</v>
      </c>
      <c r="F1070" s="19">
        <v>0.0</v>
      </c>
      <c r="G1070" s="16" t="s">
        <v>1108</v>
      </c>
      <c r="H1070" s="73"/>
      <c r="I1070" s="22">
        <v>4.0</v>
      </c>
      <c r="J1070" s="74">
        <f>320000*1.19</f>
        <v>380800</v>
      </c>
      <c r="K1070" s="184">
        <v>380000.0</v>
      </c>
      <c r="L1070" s="55">
        <v>540000.0</v>
      </c>
      <c r="M1070" s="25"/>
      <c r="N1070" s="102">
        <v>480000.0</v>
      </c>
      <c r="O1070" s="27">
        <f t="shared" si="135"/>
        <v>0.4210526316</v>
      </c>
      <c r="P1070" s="28">
        <f>K1070*F1070</f>
        <v>0</v>
      </c>
    </row>
    <row r="1071" hidden="1">
      <c r="A1071" s="16" t="s">
        <v>1657</v>
      </c>
      <c r="B1071" s="17" t="s">
        <v>1658</v>
      </c>
      <c r="C1071" s="18"/>
      <c r="D1071" s="4"/>
      <c r="E1071" s="19">
        <v>0.0</v>
      </c>
      <c r="F1071" s="19">
        <v>0.0</v>
      </c>
      <c r="G1071" s="16" t="s">
        <v>1659</v>
      </c>
      <c r="H1071" s="21">
        <v>0.0</v>
      </c>
      <c r="I1071" s="22"/>
      <c r="J1071" s="29"/>
      <c r="K1071" s="32">
        <v>5000000.0</v>
      </c>
      <c r="L1071" s="24">
        <v>5500000.0</v>
      </c>
      <c r="M1071" s="25"/>
      <c r="N1071" s="26"/>
      <c r="O1071" s="27">
        <f t="shared" si="135"/>
        <v>0.1</v>
      </c>
      <c r="P1071" s="28"/>
    </row>
    <row r="1072" hidden="1">
      <c r="A1072" s="16" t="s">
        <v>1660</v>
      </c>
      <c r="B1072" s="17"/>
      <c r="C1072" s="18"/>
      <c r="D1072" s="4"/>
      <c r="E1072" s="19">
        <v>0.0</v>
      </c>
      <c r="F1072" s="19">
        <v>0.0</v>
      </c>
      <c r="G1072" s="16" t="s">
        <v>1661</v>
      </c>
      <c r="H1072" s="21"/>
      <c r="I1072" s="22"/>
      <c r="J1072" s="29"/>
      <c r="K1072" s="48">
        <v>150000.0</v>
      </c>
      <c r="L1072" s="55">
        <v>350000.0</v>
      </c>
      <c r="M1072" s="25"/>
      <c r="N1072" s="26">
        <v>240000.0</v>
      </c>
      <c r="O1072" s="27">
        <f t="shared" si="135"/>
        <v>1.333333333</v>
      </c>
      <c r="P1072" s="28"/>
    </row>
    <row r="1073" hidden="1">
      <c r="A1073" s="16" t="s">
        <v>1662</v>
      </c>
      <c r="B1073" s="17"/>
      <c r="C1073" s="18"/>
      <c r="D1073" s="4"/>
      <c r="E1073" s="19">
        <v>0.0</v>
      </c>
      <c r="F1073" s="19">
        <v>0.0</v>
      </c>
      <c r="G1073" s="16" t="s">
        <v>400</v>
      </c>
      <c r="H1073" s="21"/>
      <c r="I1073" s="22">
        <v>2.0</v>
      </c>
      <c r="J1073" s="29"/>
      <c r="K1073" s="48">
        <v>130000.0</v>
      </c>
      <c r="L1073" s="55">
        <v>280000.0</v>
      </c>
      <c r="M1073" s="25"/>
      <c r="N1073" s="26"/>
      <c r="O1073" s="27"/>
      <c r="P1073" s="28"/>
    </row>
    <row r="1074" hidden="1">
      <c r="A1074" s="122" t="s">
        <v>1663</v>
      </c>
      <c r="B1074" s="17"/>
      <c r="C1074" s="18"/>
      <c r="D1074" s="4"/>
      <c r="E1074" s="19">
        <v>0.0</v>
      </c>
      <c r="F1074" s="19">
        <v>0.0</v>
      </c>
      <c r="G1074" s="16" t="s">
        <v>16</v>
      </c>
      <c r="H1074" s="73"/>
      <c r="I1074" s="22">
        <v>0.0</v>
      </c>
      <c r="J1074" s="74"/>
      <c r="K1074" s="75"/>
      <c r="L1074" s="24">
        <v>240000.0</v>
      </c>
      <c r="M1074" s="25"/>
      <c r="N1074" s="26"/>
      <c r="O1074" s="27"/>
      <c r="P1074" s="28"/>
    </row>
    <row r="1075" hidden="1">
      <c r="A1075" s="16" t="s">
        <v>1664</v>
      </c>
      <c r="B1075" s="17"/>
      <c r="C1075" s="18"/>
      <c r="D1075" s="4"/>
      <c r="E1075" s="19">
        <v>0.0</v>
      </c>
      <c r="F1075" s="19">
        <v>0.0</v>
      </c>
      <c r="G1075" s="20" t="s">
        <v>78</v>
      </c>
      <c r="H1075" s="21">
        <v>0.0</v>
      </c>
      <c r="I1075" s="22">
        <v>0.0</v>
      </c>
      <c r="J1075" s="29"/>
      <c r="K1075" s="43">
        <v>18300.0</v>
      </c>
      <c r="L1075" s="44">
        <v>23000.0</v>
      </c>
      <c r="M1075" s="25" t="s">
        <v>82</v>
      </c>
      <c r="N1075" s="26"/>
      <c r="O1075" s="27">
        <f t="shared" ref="O1075:O1081" si="136">(L1075/K1075)-1</f>
        <v>0.2568306011</v>
      </c>
      <c r="P1075" s="28">
        <f t="shared" ref="P1075:P1081" si="137">K1075*F1075</f>
        <v>0</v>
      </c>
    </row>
    <row r="1076" hidden="1">
      <c r="A1076" s="16" t="s">
        <v>1665</v>
      </c>
      <c r="B1076" s="49"/>
      <c r="C1076" s="18"/>
      <c r="D1076" s="4"/>
      <c r="E1076" s="19">
        <v>0.0</v>
      </c>
      <c r="F1076" s="19">
        <v>0.0</v>
      </c>
      <c r="G1076" s="16" t="s">
        <v>1449</v>
      </c>
      <c r="H1076" s="21"/>
      <c r="I1076" s="22">
        <v>1.0</v>
      </c>
      <c r="J1076" s="47">
        <v>46054.0</v>
      </c>
      <c r="K1076" s="32">
        <v>9427.0</v>
      </c>
      <c r="L1076" s="24">
        <v>14000.0</v>
      </c>
      <c r="M1076" s="25" t="s">
        <v>76</v>
      </c>
      <c r="N1076" s="26"/>
      <c r="O1076" s="27">
        <f t="shared" si="136"/>
        <v>0.4850960008</v>
      </c>
      <c r="P1076" s="28">
        <f t="shared" si="137"/>
        <v>0</v>
      </c>
    </row>
    <row r="1077" hidden="1">
      <c r="A1077" s="16" t="s">
        <v>1666</v>
      </c>
      <c r="B1077" s="17"/>
      <c r="C1077" s="18"/>
      <c r="D1077" s="4"/>
      <c r="E1077" s="19">
        <v>0.0</v>
      </c>
      <c r="F1077" s="19"/>
      <c r="G1077" s="16" t="s">
        <v>1015</v>
      </c>
      <c r="H1077" s="21"/>
      <c r="I1077" s="22"/>
      <c r="J1077" s="29"/>
      <c r="K1077" s="43">
        <v>7000.0</v>
      </c>
      <c r="L1077" s="44">
        <v>10000.0</v>
      </c>
      <c r="M1077" s="25"/>
      <c r="N1077" s="26"/>
      <c r="O1077" s="27">
        <f t="shared" si="136"/>
        <v>0.4285714286</v>
      </c>
      <c r="P1077" s="28">
        <f t="shared" si="137"/>
        <v>0</v>
      </c>
    </row>
    <row r="1078" hidden="1">
      <c r="A1078" s="16" t="s">
        <v>1667</v>
      </c>
      <c r="B1078" s="17"/>
      <c r="C1078" s="18"/>
      <c r="D1078" s="4"/>
      <c r="E1078" s="19">
        <v>0.0</v>
      </c>
      <c r="F1078" s="19"/>
      <c r="G1078" s="16" t="s">
        <v>1015</v>
      </c>
      <c r="H1078" s="21"/>
      <c r="I1078" s="22"/>
      <c r="J1078" s="29"/>
      <c r="K1078" s="43">
        <v>7000.0</v>
      </c>
      <c r="L1078" s="44">
        <v>10000.0</v>
      </c>
      <c r="M1078" s="25"/>
      <c r="N1078" s="26"/>
      <c r="O1078" s="27">
        <f t="shared" si="136"/>
        <v>0.4285714286</v>
      </c>
      <c r="P1078" s="28">
        <f t="shared" si="137"/>
        <v>0</v>
      </c>
    </row>
    <row r="1079" hidden="1">
      <c r="A1079" s="16" t="s">
        <v>1668</v>
      </c>
      <c r="B1079" s="17"/>
      <c r="C1079" s="18"/>
      <c r="D1079" s="4"/>
      <c r="E1079" s="19">
        <v>0.0</v>
      </c>
      <c r="F1079" s="19"/>
      <c r="G1079" s="16" t="s">
        <v>1015</v>
      </c>
      <c r="H1079" s="21"/>
      <c r="I1079" s="22"/>
      <c r="J1079" s="29"/>
      <c r="K1079" s="43">
        <v>7000.0</v>
      </c>
      <c r="L1079" s="44">
        <v>10000.0</v>
      </c>
      <c r="M1079" s="25"/>
      <c r="N1079" s="26"/>
      <c r="O1079" s="27">
        <f t="shared" si="136"/>
        <v>0.4285714286</v>
      </c>
      <c r="P1079" s="28">
        <f t="shared" si="137"/>
        <v>0</v>
      </c>
    </row>
    <row r="1080" hidden="1">
      <c r="A1080" s="16" t="s">
        <v>1669</v>
      </c>
      <c r="B1080" s="36"/>
      <c r="C1080" s="18"/>
      <c r="D1080" s="4"/>
      <c r="E1080" s="19"/>
      <c r="F1080" s="19"/>
      <c r="G1080" s="16" t="s">
        <v>39</v>
      </c>
      <c r="H1080" s="21"/>
      <c r="I1080" s="22"/>
      <c r="J1080" s="29"/>
      <c r="K1080" s="32">
        <f t="shared" ref="K1080:K1081" si="138">24500/200</f>
        <v>122.5</v>
      </c>
      <c r="L1080" s="24">
        <v>500.0</v>
      </c>
      <c r="M1080" s="25"/>
      <c r="N1080" s="50"/>
      <c r="O1080" s="27">
        <f t="shared" si="136"/>
        <v>3.081632653</v>
      </c>
      <c r="P1080" s="28">
        <f t="shared" si="137"/>
        <v>0</v>
      </c>
    </row>
    <row r="1081" hidden="1">
      <c r="A1081" s="16" t="s">
        <v>1670</v>
      </c>
      <c r="B1081" s="36"/>
      <c r="C1081" s="18"/>
      <c r="D1081" s="4"/>
      <c r="E1081" s="19"/>
      <c r="F1081" s="19"/>
      <c r="G1081" s="16" t="s">
        <v>39</v>
      </c>
      <c r="H1081" s="21"/>
      <c r="I1081" s="22"/>
      <c r="J1081" s="29"/>
      <c r="K1081" s="32">
        <f t="shared" si="138"/>
        <v>122.5</v>
      </c>
      <c r="L1081" s="24">
        <v>500.0</v>
      </c>
      <c r="M1081" s="25"/>
      <c r="N1081" s="50"/>
      <c r="O1081" s="27">
        <f t="shared" si="136"/>
        <v>3.081632653</v>
      </c>
      <c r="P1081" s="28">
        <f t="shared" si="137"/>
        <v>0</v>
      </c>
    </row>
    <row r="1082" hidden="1">
      <c r="A1082" s="52" t="s">
        <v>1671</v>
      </c>
      <c r="B1082" s="17"/>
      <c r="C1082" s="18"/>
      <c r="D1082" s="4"/>
      <c r="E1082" s="19">
        <v>0.0</v>
      </c>
      <c r="F1082" s="19">
        <v>0.0</v>
      </c>
      <c r="G1082" s="16" t="s">
        <v>580</v>
      </c>
      <c r="H1082" s="21"/>
      <c r="I1082" s="22" t="s">
        <v>1672</v>
      </c>
      <c r="J1082" s="23"/>
      <c r="K1082" s="186">
        <v>10058.0</v>
      </c>
      <c r="L1082" s="24">
        <v>48000.0</v>
      </c>
      <c r="M1082" s="25"/>
      <c r="N1082" s="70"/>
      <c r="O1082" s="27"/>
      <c r="P1082" s="28"/>
    </row>
    <row r="1083" hidden="1">
      <c r="A1083" s="16" t="s">
        <v>1673</v>
      </c>
      <c r="B1083" s="17"/>
      <c r="C1083" s="18"/>
      <c r="D1083" s="4"/>
      <c r="E1083" s="19">
        <v>0.0</v>
      </c>
      <c r="F1083" s="19">
        <v>0.0</v>
      </c>
      <c r="G1083" s="16" t="s">
        <v>1225</v>
      </c>
      <c r="H1083" s="21"/>
      <c r="I1083" s="22"/>
      <c r="J1083" s="45"/>
      <c r="K1083" s="48">
        <f t="shared" ref="K1083:K1090" si="139">12940</f>
        <v>12940</v>
      </c>
      <c r="L1083" s="55">
        <v>22000.0</v>
      </c>
      <c r="M1083" s="25"/>
      <c r="N1083" s="31">
        <v>18000.0</v>
      </c>
      <c r="O1083" s="27">
        <f t="shared" ref="O1083:O1160" si="140">(L1083/K1083)-1</f>
        <v>0.7001545595</v>
      </c>
      <c r="P1083" s="28">
        <f t="shared" ref="P1083:P1102" si="141">K1083*F1083</f>
        <v>0</v>
      </c>
    </row>
    <row r="1084" hidden="1">
      <c r="A1084" s="16" t="s">
        <v>1674</v>
      </c>
      <c r="B1084" s="17"/>
      <c r="C1084" s="18"/>
      <c r="D1084" s="4"/>
      <c r="E1084" s="19">
        <v>0.0</v>
      </c>
      <c r="F1084" s="19">
        <v>0.0</v>
      </c>
      <c r="G1084" s="16" t="s">
        <v>1225</v>
      </c>
      <c r="H1084" s="21"/>
      <c r="I1084" s="22"/>
      <c r="J1084" s="45"/>
      <c r="K1084" s="48">
        <f t="shared" si="139"/>
        <v>12940</v>
      </c>
      <c r="L1084" s="55">
        <v>22000.0</v>
      </c>
      <c r="M1084" s="25"/>
      <c r="N1084" s="31">
        <v>18000.0</v>
      </c>
      <c r="O1084" s="27">
        <f t="shared" si="140"/>
        <v>0.7001545595</v>
      </c>
      <c r="P1084" s="28">
        <f t="shared" si="141"/>
        <v>0</v>
      </c>
    </row>
    <row r="1085" hidden="1">
      <c r="A1085" s="16" t="s">
        <v>1675</v>
      </c>
      <c r="B1085" s="17"/>
      <c r="C1085" s="18"/>
      <c r="D1085" s="4"/>
      <c r="E1085" s="19">
        <v>0.0</v>
      </c>
      <c r="F1085" s="19">
        <v>0.0</v>
      </c>
      <c r="G1085" s="16" t="s">
        <v>1225</v>
      </c>
      <c r="H1085" s="21"/>
      <c r="I1085" s="22">
        <v>0.0</v>
      </c>
      <c r="J1085" s="45"/>
      <c r="K1085" s="48">
        <f t="shared" si="139"/>
        <v>12940</v>
      </c>
      <c r="L1085" s="55">
        <v>22000.0</v>
      </c>
      <c r="M1085" s="25"/>
      <c r="N1085" s="31">
        <v>18000.0</v>
      </c>
      <c r="O1085" s="27">
        <f t="shared" si="140"/>
        <v>0.7001545595</v>
      </c>
      <c r="P1085" s="28">
        <f t="shared" si="141"/>
        <v>0</v>
      </c>
    </row>
    <row r="1086" hidden="1">
      <c r="A1086" s="16" t="s">
        <v>1676</v>
      </c>
      <c r="B1086" s="17"/>
      <c r="C1086" s="18"/>
      <c r="D1086" s="4"/>
      <c r="E1086" s="19">
        <v>0.0</v>
      </c>
      <c r="F1086" s="19">
        <v>0.0</v>
      </c>
      <c r="G1086" s="16" t="s">
        <v>1225</v>
      </c>
      <c r="H1086" s="21"/>
      <c r="I1086" s="22">
        <v>0.0</v>
      </c>
      <c r="J1086" s="45"/>
      <c r="K1086" s="48">
        <f t="shared" si="139"/>
        <v>12940</v>
      </c>
      <c r="L1086" s="55">
        <v>22000.0</v>
      </c>
      <c r="M1086" s="25"/>
      <c r="N1086" s="31">
        <v>18000.0</v>
      </c>
      <c r="O1086" s="27">
        <f t="shared" si="140"/>
        <v>0.7001545595</v>
      </c>
      <c r="P1086" s="28">
        <f t="shared" si="141"/>
        <v>0</v>
      </c>
    </row>
    <row r="1087" hidden="1">
      <c r="A1087" s="16" t="s">
        <v>1677</v>
      </c>
      <c r="B1087" s="17"/>
      <c r="C1087" s="18"/>
      <c r="D1087" s="4"/>
      <c r="E1087" s="19">
        <v>0.0</v>
      </c>
      <c r="F1087" s="19">
        <v>0.0</v>
      </c>
      <c r="G1087" s="16" t="s">
        <v>1225</v>
      </c>
      <c r="H1087" s="21"/>
      <c r="I1087" s="22">
        <v>0.0</v>
      </c>
      <c r="J1087" s="45"/>
      <c r="K1087" s="48">
        <f t="shared" si="139"/>
        <v>12940</v>
      </c>
      <c r="L1087" s="55">
        <v>22000.0</v>
      </c>
      <c r="M1087" s="25"/>
      <c r="N1087" s="31">
        <v>18000.0</v>
      </c>
      <c r="O1087" s="27">
        <f t="shared" si="140"/>
        <v>0.7001545595</v>
      </c>
      <c r="P1087" s="28">
        <f t="shared" si="141"/>
        <v>0</v>
      </c>
    </row>
    <row r="1088" hidden="1">
      <c r="A1088" s="16" t="s">
        <v>1678</v>
      </c>
      <c r="B1088" s="17"/>
      <c r="C1088" s="18"/>
      <c r="D1088" s="4"/>
      <c r="E1088" s="19">
        <v>0.0</v>
      </c>
      <c r="F1088" s="19">
        <v>0.0</v>
      </c>
      <c r="G1088" s="16" t="s">
        <v>1225</v>
      </c>
      <c r="H1088" s="21"/>
      <c r="I1088" s="22">
        <v>0.0</v>
      </c>
      <c r="J1088" s="45"/>
      <c r="K1088" s="48">
        <f t="shared" si="139"/>
        <v>12940</v>
      </c>
      <c r="L1088" s="55">
        <v>22000.0</v>
      </c>
      <c r="M1088" s="25"/>
      <c r="N1088" s="31">
        <v>18000.0</v>
      </c>
      <c r="O1088" s="27">
        <f t="shared" si="140"/>
        <v>0.7001545595</v>
      </c>
      <c r="P1088" s="28">
        <f t="shared" si="141"/>
        <v>0</v>
      </c>
    </row>
    <row r="1089" hidden="1">
      <c r="A1089" s="16" t="s">
        <v>1679</v>
      </c>
      <c r="B1089" s="17"/>
      <c r="C1089" s="18"/>
      <c r="D1089" s="4"/>
      <c r="E1089" s="19">
        <v>0.0</v>
      </c>
      <c r="F1089" s="19">
        <v>0.0</v>
      </c>
      <c r="G1089" s="16" t="s">
        <v>1225</v>
      </c>
      <c r="H1089" s="21"/>
      <c r="I1089" s="22">
        <v>0.0</v>
      </c>
      <c r="J1089" s="45"/>
      <c r="K1089" s="48">
        <f t="shared" si="139"/>
        <v>12940</v>
      </c>
      <c r="L1089" s="55">
        <v>22000.0</v>
      </c>
      <c r="M1089" s="25"/>
      <c r="N1089" s="31">
        <v>18000.0</v>
      </c>
      <c r="O1089" s="27">
        <f t="shared" si="140"/>
        <v>0.7001545595</v>
      </c>
      <c r="P1089" s="28">
        <f t="shared" si="141"/>
        <v>0</v>
      </c>
    </row>
    <row r="1090" hidden="1">
      <c r="A1090" s="16" t="s">
        <v>1680</v>
      </c>
      <c r="B1090" s="17"/>
      <c r="C1090" s="18"/>
      <c r="D1090" s="4"/>
      <c r="E1090" s="19">
        <v>0.0</v>
      </c>
      <c r="F1090" s="19">
        <v>0.0</v>
      </c>
      <c r="G1090" s="16" t="s">
        <v>1225</v>
      </c>
      <c r="H1090" s="21"/>
      <c r="I1090" s="22">
        <v>0.0</v>
      </c>
      <c r="J1090" s="45"/>
      <c r="K1090" s="48">
        <f t="shared" si="139"/>
        <v>12940</v>
      </c>
      <c r="L1090" s="55">
        <v>22000.0</v>
      </c>
      <c r="M1090" s="25"/>
      <c r="N1090" s="31">
        <v>18000.0</v>
      </c>
      <c r="O1090" s="27">
        <f t="shared" si="140"/>
        <v>0.7001545595</v>
      </c>
      <c r="P1090" s="28">
        <f t="shared" si="141"/>
        <v>0</v>
      </c>
    </row>
    <row r="1091" hidden="1">
      <c r="A1091" s="16" t="s">
        <v>1681</v>
      </c>
      <c r="B1091" s="17"/>
      <c r="C1091" s="18"/>
      <c r="D1091" s="4"/>
      <c r="E1091" s="19">
        <v>0.0</v>
      </c>
      <c r="F1091" s="19">
        <v>0.0</v>
      </c>
      <c r="G1091" s="16" t="s">
        <v>1225</v>
      </c>
      <c r="H1091" s="21"/>
      <c r="I1091" s="22">
        <v>0.0</v>
      </c>
      <c r="J1091" s="29"/>
      <c r="K1091" s="48">
        <v>14340.0</v>
      </c>
      <c r="L1091" s="55">
        <v>25000.0</v>
      </c>
      <c r="M1091" s="25"/>
      <c r="N1091" s="26">
        <v>20000.0</v>
      </c>
      <c r="O1091" s="27">
        <f t="shared" si="140"/>
        <v>0.7433751743</v>
      </c>
      <c r="P1091" s="28">
        <f t="shared" si="141"/>
        <v>0</v>
      </c>
    </row>
    <row r="1092" hidden="1">
      <c r="A1092" s="16" t="s">
        <v>1682</v>
      </c>
      <c r="B1092" s="17"/>
      <c r="C1092" s="18"/>
      <c r="D1092" s="4"/>
      <c r="E1092" s="19">
        <v>0.0</v>
      </c>
      <c r="F1092" s="19">
        <v>0.0</v>
      </c>
      <c r="G1092" s="16" t="s">
        <v>1225</v>
      </c>
      <c r="H1092" s="21"/>
      <c r="I1092" s="22">
        <v>0.0</v>
      </c>
      <c r="J1092" s="45"/>
      <c r="K1092" s="48">
        <f t="shared" ref="K1092:K1094" si="142">12940</f>
        <v>12940</v>
      </c>
      <c r="L1092" s="55">
        <v>22000.0</v>
      </c>
      <c r="M1092" s="25"/>
      <c r="N1092" s="31">
        <v>18000.0</v>
      </c>
      <c r="O1092" s="27">
        <f t="shared" si="140"/>
        <v>0.7001545595</v>
      </c>
      <c r="P1092" s="28">
        <f t="shared" si="141"/>
        <v>0</v>
      </c>
    </row>
    <row r="1093" hidden="1">
      <c r="A1093" s="16" t="s">
        <v>1683</v>
      </c>
      <c r="B1093" s="17"/>
      <c r="C1093" s="18"/>
      <c r="D1093" s="4"/>
      <c r="E1093" s="19">
        <v>0.0</v>
      </c>
      <c r="F1093" s="19">
        <v>0.0</v>
      </c>
      <c r="G1093" s="16" t="s">
        <v>1225</v>
      </c>
      <c r="H1093" s="21"/>
      <c r="I1093" s="22">
        <v>0.0</v>
      </c>
      <c r="J1093" s="45"/>
      <c r="K1093" s="48">
        <f t="shared" si="142"/>
        <v>12940</v>
      </c>
      <c r="L1093" s="55">
        <v>22000.0</v>
      </c>
      <c r="M1093" s="25"/>
      <c r="N1093" s="31">
        <v>18000.0</v>
      </c>
      <c r="O1093" s="27">
        <f t="shared" si="140"/>
        <v>0.7001545595</v>
      </c>
      <c r="P1093" s="28">
        <f t="shared" si="141"/>
        <v>0</v>
      </c>
    </row>
    <row r="1094" hidden="1">
      <c r="A1094" s="16" t="s">
        <v>1684</v>
      </c>
      <c r="B1094" s="17"/>
      <c r="C1094" s="18"/>
      <c r="D1094" s="4"/>
      <c r="E1094" s="19">
        <v>0.0</v>
      </c>
      <c r="F1094" s="19">
        <v>0.0</v>
      </c>
      <c r="G1094" s="16" t="s">
        <v>1225</v>
      </c>
      <c r="H1094" s="21"/>
      <c r="I1094" s="22">
        <v>0.0</v>
      </c>
      <c r="J1094" s="45"/>
      <c r="K1094" s="48">
        <f t="shared" si="142"/>
        <v>12940</v>
      </c>
      <c r="L1094" s="55">
        <v>22000.0</v>
      </c>
      <c r="M1094" s="25"/>
      <c r="N1094" s="31">
        <v>18000.0</v>
      </c>
      <c r="O1094" s="27">
        <f t="shared" si="140"/>
        <v>0.7001545595</v>
      </c>
      <c r="P1094" s="28">
        <f t="shared" si="141"/>
        <v>0</v>
      </c>
    </row>
    <row r="1095" hidden="1">
      <c r="A1095" s="16" t="s">
        <v>1685</v>
      </c>
      <c r="B1095" s="36"/>
      <c r="C1095" s="18"/>
      <c r="D1095" s="98"/>
      <c r="E1095" s="19">
        <v>0.0</v>
      </c>
      <c r="F1095" s="19"/>
      <c r="G1095" s="20" t="s">
        <v>610</v>
      </c>
      <c r="H1095" s="21"/>
      <c r="I1095" s="22"/>
      <c r="J1095" s="23"/>
      <c r="K1095" s="24">
        <v>39270.0</v>
      </c>
      <c r="L1095" s="24">
        <v>62000.0</v>
      </c>
      <c r="M1095" s="25"/>
      <c r="N1095" s="26"/>
      <c r="O1095" s="27">
        <f t="shared" si="140"/>
        <v>0.5788133435</v>
      </c>
      <c r="P1095" s="28">
        <f t="shared" si="141"/>
        <v>0</v>
      </c>
    </row>
    <row r="1096" hidden="1">
      <c r="A1096" s="16" t="s">
        <v>1686</v>
      </c>
      <c r="B1096" s="36"/>
      <c r="C1096" s="18" t="s">
        <v>1020</v>
      </c>
      <c r="D1096" s="98"/>
      <c r="E1096" s="19">
        <v>0.0</v>
      </c>
      <c r="F1096" s="19"/>
      <c r="G1096" s="20" t="s">
        <v>610</v>
      </c>
      <c r="H1096" s="21"/>
      <c r="I1096" s="22"/>
      <c r="J1096" s="23"/>
      <c r="K1096" s="24">
        <v>39270.0</v>
      </c>
      <c r="L1096" s="24">
        <v>62000.0</v>
      </c>
      <c r="M1096" s="25"/>
      <c r="N1096" s="26"/>
      <c r="O1096" s="27">
        <f t="shared" si="140"/>
        <v>0.5788133435</v>
      </c>
      <c r="P1096" s="28">
        <f t="shared" si="141"/>
        <v>0</v>
      </c>
    </row>
    <row r="1097" hidden="1">
      <c r="A1097" s="16" t="s">
        <v>1687</v>
      </c>
      <c r="B1097" s="36"/>
      <c r="C1097" s="18" t="s">
        <v>1020</v>
      </c>
      <c r="D1097" s="98"/>
      <c r="E1097" s="19">
        <v>0.0</v>
      </c>
      <c r="F1097" s="19"/>
      <c r="G1097" s="20" t="s">
        <v>610</v>
      </c>
      <c r="H1097" s="21"/>
      <c r="I1097" s="22"/>
      <c r="J1097" s="23"/>
      <c r="K1097" s="24">
        <v>39270.0</v>
      </c>
      <c r="L1097" s="24">
        <v>62000.0</v>
      </c>
      <c r="M1097" s="25"/>
      <c r="N1097" s="26"/>
      <c r="O1097" s="27">
        <f t="shared" si="140"/>
        <v>0.5788133435</v>
      </c>
      <c r="P1097" s="28">
        <f t="shared" si="141"/>
        <v>0</v>
      </c>
    </row>
    <row r="1098" hidden="1">
      <c r="A1098" s="16" t="s">
        <v>1688</v>
      </c>
      <c r="B1098" s="36"/>
      <c r="C1098" s="18" t="s">
        <v>1020</v>
      </c>
      <c r="D1098" s="98"/>
      <c r="E1098" s="19">
        <v>0.0</v>
      </c>
      <c r="F1098" s="19"/>
      <c r="G1098" s="20" t="s">
        <v>610</v>
      </c>
      <c r="H1098" s="21"/>
      <c r="I1098" s="22"/>
      <c r="J1098" s="23"/>
      <c r="K1098" s="24">
        <v>39270.0</v>
      </c>
      <c r="L1098" s="24">
        <v>62000.0</v>
      </c>
      <c r="M1098" s="25"/>
      <c r="N1098" s="26"/>
      <c r="O1098" s="27">
        <f t="shared" si="140"/>
        <v>0.5788133435</v>
      </c>
      <c r="P1098" s="28">
        <f t="shared" si="141"/>
        <v>0</v>
      </c>
    </row>
    <row r="1099" hidden="1">
      <c r="A1099" s="16" t="s">
        <v>1689</v>
      </c>
      <c r="B1099" s="36"/>
      <c r="C1099" s="18"/>
      <c r="D1099" s="98"/>
      <c r="E1099" s="19">
        <v>0.0</v>
      </c>
      <c r="F1099" s="19"/>
      <c r="G1099" s="20" t="s">
        <v>610</v>
      </c>
      <c r="H1099" s="21"/>
      <c r="I1099" s="22"/>
      <c r="J1099" s="23"/>
      <c r="K1099" s="24">
        <v>39270.0</v>
      </c>
      <c r="L1099" s="24">
        <v>62000.0</v>
      </c>
      <c r="M1099" s="25"/>
      <c r="N1099" s="26"/>
      <c r="O1099" s="27">
        <f t="shared" si="140"/>
        <v>0.5788133435</v>
      </c>
      <c r="P1099" s="28">
        <f t="shared" si="141"/>
        <v>0</v>
      </c>
    </row>
    <row r="1100" hidden="1">
      <c r="A1100" s="16" t="s">
        <v>1690</v>
      </c>
      <c r="B1100" s="36"/>
      <c r="C1100" s="18"/>
      <c r="D1100" s="98"/>
      <c r="E1100" s="19">
        <v>0.0</v>
      </c>
      <c r="F1100" s="19"/>
      <c r="G1100" s="20" t="s">
        <v>610</v>
      </c>
      <c r="H1100" s="21"/>
      <c r="I1100" s="22"/>
      <c r="J1100" s="23"/>
      <c r="K1100" s="24">
        <v>39270.0</v>
      </c>
      <c r="L1100" s="24">
        <v>62000.0</v>
      </c>
      <c r="M1100" s="25"/>
      <c r="N1100" s="26"/>
      <c r="O1100" s="27">
        <f t="shared" si="140"/>
        <v>0.5788133435</v>
      </c>
      <c r="P1100" s="28">
        <f t="shared" si="141"/>
        <v>0</v>
      </c>
    </row>
    <row r="1101" hidden="1">
      <c r="A1101" s="16" t="s">
        <v>1691</v>
      </c>
      <c r="B1101" s="36"/>
      <c r="C1101" s="18"/>
      <c r="D1101" s="98"/>
      <c r="E1101" s="19">
        <v>0.0</v>
      </c>
      <c r="F1101" s="19"/>
      <c r="G1101" s="20" t="s">
        <v>610</v>
      </c>
      <c r="H1101" s="21"/>
      <c r="I1101" s="22"/>
      <c r="J1101" s="23"/>
      <c r="K1101" s="24">
        <v>39270.0</v>
      </c>
      <c r="L1101" s="24">
        <v>62000.0</v>
      </c>
      <c r="M1101" s="25"/>
      <c r="N1101" s="26"/>
      <c r="O1101" s="27">
        <f t="shared" si="140"/>
        <v>0.5788133435</v>
      </c>
      <c r="P1101" s="28">
        <f t="shared" si="141"/>
        <v>0</v>
      </c>
    </row>
    <row r="1102" hidden="1">
      <c r="A1102" s="40" t="s">
        <v>1692</v>
      </c>
      <c r="B1102" s="36"/>
      <c r="C1102" s="18" t="s">
        <v>1020</v>
      </c>
      <c r="D1102" s="98"/>
      <c r="E1102" s="19">
        <v>0.0</v>
      </c>
      <c r="F1102" s="19"/>
      <c r="G1102" s="20" t="s">
        <v>610</v>
      </c>
      <c r="H1102" s="21"/>
      <c r="I1102" s="22"/>
      <c r="J1102" s="23"/>
      <c r="K1102" s="24">
        <v>39270.0</v>
      </c>
      <c r="L1102" s="24">
        <v>62000.0</v>
      </c>
      <c r="M1102" s="25"/>
      <c r="N1102" s="26"/>
      <c r="O1102" s="27">
        <f t="shared" si="140"/>
        <v>0.5788133435</v>
      </c>
      <c r="P1102" s="28">
        <f t="shared" si="141"/>
        <v>0</v>
      </c>
    </row>
    <row r="1103" hidden="1">
      <c r="A1103" s="16" t="s">
        <v>1693</v>
      </c>
      <c r="B1103" s="36"/>
      <c r="C1103" s="18"/>
      <c r="D1103" s="98"/>
      <c r="E1103" s="19">
        <v>0.0</v>
      </c>
      <c r="F1103" s="19"/>
      <c r="G1103" s="20" t="s">
        <v>610</v>
      </c>
      <c r="H1103" s="21"/>
      <c r="I1103" s="22"/>
      <c r="J1103" s="23"/>
      <c r="K1103" s="24">
        <v>39270.0</v>
      </c>
      <c r="L1103" s="24">
        <v>62000.0</v>
      </c>
      <c r="M1103" s="25"/>
      <c r="N1103" s="26"/>
      <c r="O1103" s="27">
        <f t="shared" si="140"/>
        <v>0.5788133435</v>
      </c>
      <c r="P1103" s="28" t="str">
        <f>K1103*#REF!</f>
        <v>#REF!</v>
      </c>
    </row>
    <row r="1104" hidden="1">
      <c r="A1104" s="16" t="s">
        <v>1694</v>
      </c>
      <c r="B1104" s="36"/>
      <c r="C1104" s="18"/>
      <c r="D1104" s="98"/>
      <c r="E1104" s="19">
        <v>0.0</v>
      </c>
      <c r="F1104" s="19"/>
      <c r="G1104" s="20" t="s">
        <v>610</v>
      </c>
      <c r="H1104" s="21"/>
      <c r="I1104" s="22"/>
      <c r="J1104" s="23"/>
      <c r="K1104" s="24">
        <v>39270.0</v>
      </c>
      <c r="L1104" s="24">
        <v>62000.0</v>
      </c>
      <c r="M1104" s="25"/>
      <c r="N1104" s="26"/>
      <c r="O1104" s="27">
        <f t="shared" si="140"/>
        <v>0.5788133435</v>
      </c>
      <c r="P1104" s="28">
        <f t="shared" ref="P1104:P1158" si="143">K1104*F1104</f>
        <v>0</v>
      </c>
    </row>
    <row r="1105" hidden="1">
      <c r="A1105" s="16" t="s">
        <v>1695</v>
      </c>
      <c r="B1105" s="36"/>
      <c r="C1105" s="18"/>
      <c r="D1105" s="98"/>
      <c r="E1105" s="19">
        <v>0.0</v>
      </c>
      <c r="F1105" s="19"/>
      <c r="G1105" s="20" t="s">
        <v>610</v>
      </c>
      <c r="H1105" s="21"/>
      <c r="I1105" s="22"/>
      <c r="J1105" s="23"/>
      <c r="K1105" s="24">
        <v>39270.0</v>
      </c>
      <c r="L1105" s="24">
        <v>62000.0</v>
      </c>
      <c r="M1105" s="25"/>
      <c r="N1105" s="26"/>
      <c r="O1105" s="27">
        <f t="shared" si="140"/>
        <v>0.5788133435</v>
      </c>
      <c r="P1105" s="28">
        <f t="shared" si="143"/>
        <v>0</v>
      </c>
    </row>
    <row r="1106" hidden="1">
      <c r="A1106" s="16" t="s">
        <v>1696</v>
      </c>
      <c r="B1106" s="36"/>
      <c r="C1106" s="18"/>
      <c r="D1106" s="98"/>
      <c r="E1106" s="19">
        <v>0.0</v>
      </c>
      <c r="F1106" s="19"/>
      <c r="G1106" s="20" t="s">
        <v>610</v>
      </c>
      <c r="H1106" s="21"/>
      <c r="I1106" s="22"/>
      <c r="J1106" s="23"/>
      <c r="K1106" s="24">
        <v>39270.0</v>
      </c>
      <c r="L1106" s="24">
        <v>62000.0</v>
      </c>
      <c r="M1106" s="25"/>
      <c r="N1106" s="26"/>
      <c r="O1106" s="27">
        <f t="shared" si="140"/>
        <v>0.5788133435</v>
      </c>
      <c r="P1106" s="28">
        <f t="shared" si="143"/>
        <v>0</v>
      </c>
    </row>
    <row r="1107" hidden="1">
      <c r="A1107" s="16" t="s">
        <v>1697</v>
      </c>
      <c r="B1107" s="36"/>
      <c r="C1107" s="18"/>
      <c r="D1107" s="98"/>
      <c r="E1107" s="19">
        <v>0.0</v>
      </c>
      <c r="F1107" s="19"/>
      <c r="G1107" s="20" t="s">
        <v>610</v>
      </c>
      <c r="H1107" s="21"/>
      <c r="I1107" s="22"/>
      <c r="J1107" s="23"/>
      <c r="K1107" s="24">
        <v>39270.0</v>
      </c>
      <c r="L1107" s="24">
        <v>62000.0</v>
      </c>
      <c r="M1107" s="25"/>
      <c r="N1107" s="26"/>
      <c r="O1107" s="27">
        <f t="shared" si="140"/>
        <v>0.5788133435</v>
      </c>
      <c r="P1107" s="28">
        <f t="shared" si="143"/>
        <v>0</v>
      </c>
    </row>
    <row r="1108" hidden="1">
      <c r="A1108" s="16" t="s">
        <v>1698</v>
      </c>
      <c r="B1108" s="36"/>
      <c r="C1108" s="18"/>
      <c r="D1108" s="98"/>
      <c r="E1108" s="19">
        <v>0.0</v>
      </c>
      <c r="F1108" s="19"/>
      <c r="G1108" s="20" t="s">
        <v>610</v>
      </c>
      <c r="H1108" s="21"/>
      <c r="I1108" s="22"/>
      <c r="J1108" s="23"/>
      <c r="K1108" s="24">
        <v>39270.0</v>
      </c>
      <c r="L1108" s="24">
        <v>62000.0</v>
      </c>
      <c r="M1108" s="25"/>
      <c r="N1108" s="26"/>
      <c r="O1108" s="27">
        <f t="shared" si="140"/>
        <v>0.5788133435</v>
      </c>
      <c r="P1108" s="28">
        <f t="shared" si="143"/>
        <v>0</v>
      </c>
    </row>
    <row r="1109" hidden="1">
      <c r="A1109" s="40" t="s">
        <v>1699</v>
      </c>
      <c r="B1109" s="36"/>
      <c r="C1109" s="18" t="s">
        <v>1020</v>
      </c>
      <c r="D1109" s="98"/>
      <c r="E1109" s="19">
        <v>0.0</v>
      </c>
      <c r="F1109" s="19"/>
      <c r="G1109" s="20" t="s">
        <v>610</v>
      </c>
      <c r="H1109" s="21"/>
      <c r="I1109" s="22"/>
      <c r="J1109" s="29"/>
      <c r="K1109" s="24">
        <v>39270.0</v>
      </c>
      <c r="L1109" s="24">
        <v>62000.0</v>
      </c>
      <c r="M1109" s="25"/>
      <c r="N1109" s="26"/>
      <c r="O1109" s="27">
        <f t="shared" si="140"/>
        <v>0.5788133435</v>
      </c>
      <c r="P1109" s="28">
        <f t="shared" si="143"/>
        <v>0</v>
      </c>
    </row>
    <row r="1110" hidden="1">
      <c r="A1110" s="16" t="s">
        <v>1700</v>
      </c>
      <c r="B1110" s="36"/>
      <c r="C1110" s="18"/>
      <c r="D1110" s="4"/>
      <c r="E1110" s="19">
        <v>0.0</v>
      </c>
      <c r="F1110" s="19"/>
      <c r="G1110" s="20" t="s">
        <v>610</v>
      </c>
      <c r="H1110" s="21"/>
      <c r="I1110" s="22"/>
      <c r="J1110" s="23"/>
      <c r="K1110" s="24">
        <v>55335.0</v>
      </c>
      <c r="L1110" s="24">
        <v>72000.0</v>
      </c>
      <c r="M1110" s="25"/>
      <c r="N1110" s="26">
        <v>64000.0</v>
      </c>
      <c r="O1110" s="27">
        <f t="shared" si="140"/>
        <v>0.3011656275</v>
      </c>
      <c r="P1110" s="28">
        <f t="shared" si="143"/>
        <v>0</v>
      </c>
    </row>
    <row r="1111" hidden="1">
      <c r="A1111" s="16" t="s">
        <v>1701</v>
      </c>
      <c r="B1111" s="36"/>
      <c r="C1111" s="18"/>
      <c r="D1111" s="4"/>
      <c r="E1111" s="19">
        <v>0.0</v>
      </c>
      <c r="F1111" s="19"/>
      <c r="G1111" s="20" t="s">
        <v>610</v>
      </c>
      <c r="H1111" s="21"/>
      <c r="I1111" s="22"/>
      <c r="J1111" s="23"/>
      <c r="K1111" s="24">
        <v>55335.0</v>
      </c>
      <c r="L1111" s="24">
        <v>72000.0</v>
      </c>
      <c r="M1111" s="25"/>
      <c r="N1111" s="26">
        <v>64000.0</v>
      </c>
      <c r="O1111" s="27">
        <f t="shared" si="140"/>
        <v>0.3011656275</v>
      </c>
      <c r="P1111" s="28">
        <f t="shared" si="143"/>
        <v>0</v>
      </c>
    </row>
    <row r="1112" hidden="1">
      <c r="A1112" s="16" t="s">
        <v>1702</v>
      </c>
      <c r="B1112" s="36"/>
      <c r="C1112" s="18"/>
      <c r="D1112" s="4"/>
      <c r="E1112" s="19">
        <v>0.0</v>
      </c>
      <c r="F1112" s="19"/>
      <c r="G1112" s="20" t="s">
        <v>610</v>
      </c>
      <c r="H1112" s="21"/>
      <c r="I1112" s="22"/>
      <c r="J1112" s="23"/>
      <c r="K1112" s="24">
        <v>55335.0</v>
      </c>
      <c r="L1112" s="24">
        <v>72000.0</v>
      </c>
      <c r="M1112" s="25"/>
      <c r="N1112" s="26">
        <v>64000.0</v>
      </c>
      <c r="O1112" s="27">
        <f t="shared" si="140"/>
        <v>0.3011656275</v>
      </c>
      <c r="P1112" s="28">
        <f t="shared" si="143"/>
        <v>0</v>
      </c>
    </row>
    <row r="1113" hidden="1">
      <c r="A1113" s="119" t="s">
        <v>1703</v>
      </c>
      <c r="B1113" s="36"/>
      <c r="C1113" s="18"/>
      <c r="D1113" s="4"/>
      <c r="E1113" s="19">
        <v>0.0</v>
      </c>
      <c r="F1113" s="19">
        <v>0.0</v>
      </c>
      <c r="G1113" s="16" t="s">
        <v>1205</v>
      </c>
      <c r="H1113" s="21"/>
      <c r="I1113" s="22">
        <v>0.0</v>
      </c>
      <c r="J1113" s="23"/>
      <c r="K1113" s="44">
        <f t="shared" ref="K1113:K1117" si="144">16336*1.19</f>
        <v>19439.84</v>
      </c>
      <c r="L1113" s="44">
        <v>32000.0</v>
      </c>
      <c r="M1113" s="25"/>
      <c r="N1113" s="26"/>
      <c r="O1113" s="27">
        <f t="shared" si="140"/>
        <v>0.6461040832</v>
      </c>
      <c r="P1113" s="28">
        <f t="shared" si="143"/>
        <v>0</v>
      </c>
    </row>
    <row r="1114" hidden="1">
      <c r="A1114" s="119" t="s">
        <v>1704</v>
      </c>
      <c r="B1114" s="36"/>
      <c r="C1114" s="18"/>
      <c r="D1114" s="4"/>
      <c r="E1114" s="19">
        <v>0.0</v>
      </c>
      <c r="F1114" s="19">
        <v>0.0</v>
      </c>
      <c r="G1114" s="16" t="s">
        <v>1635</v>
      </c>
      <c r="H1114" s="21"/>
      <c r="I1114" s="22">
        <v>0.0</v>
      </c>
      <c r="J1114" s="23"/>
      <c r="K1114" s="44">
        <f t="shared" si="144"/>
        <v>19439.84</v>
      </c>
      <c r="L1114" s="44">
        <v>32000.0</v>
      </c>
      <c r="M1114" s="25"/>
      <c r="N1114" s="26"/>
      <c r="O1114" s="27">
        <f t="shared" si="140"/>
        <v>0.6461040832</v>
      </c>
      <c r="P1114" s="28">
        <f t="shared" si="143"/>
        <v>0</v>
      </c>
    </row>
    <row r="1115" hidden="1">
      <c r="A1115" s="119" t="s">
        <v>1705</v>
      </c>
      <c r="B1115" s="36"/>
      <c r="C1115" s="18"/>
      <c r="D1115" s="4"/>
      <c r="E1115" s="19">
        <v>0.0</v>
      </c>
      <c r="F1115" s="19">
        <v>0.0</v>
      </c>
      <c r="G1115" s="16" t="s">
        <v>1635</v>
      </c>
      <c r="H1115" s="21"/>
      <c r="I1115" s="22">
        <v>0.0</v>
      </c>
      <c r="J1115" s="23"/>
      <c r="K1115" s="44">
        <f t="shared" si="144"/>
        <v>19439.84</v>
      </c>
      <c r="L1115" s="44">
        <v>32000.0</v>
      </c>
      <c r="M1115" s="25"/>
      <c r="N1115" s="26"/>
      <c r="O1115" s="27">
        <f t="shared" si="140"/>
        <v>0.6461040832</v>
      </c>
      <c r="P1115" s="28">
        <f t="shared" si="143"/>
        <v>0</v>
      </c>
    </row>
    <row r="1116" hidden="1">
      <c r="A1116" s="119" t="s">
        <v>1706</v>
      </c>
      <c r="B1116" s="36"/>
      <c r="C1116" s="18"/>
      <c r="D1116" s="4"/>
      <c r="E1116" s="19">
        <v>0.0</v>
      </c>
      <c r="F1116" s="19">
        <v>0.0</v>
      </c>
      <c r="G1116" s="16" t="s">
        <v>1635</v>
      </c>
      <c r="H1116" s="21"/>
      <c r="I1116" s="22">
        <v>0.0</v>
      </c>
      <c r="J1116" s="23"/>
      <c r="K1116" s="44">
        <f t="shared" si="144"/>
        <v>19439.84</v>
      </c>
      <c r="L1116" s="44">
        <v>32000.0</v>
      </c>
      <c r="M1116" s="25"/>
      <c r="N1116" s="26"/>
      <c r="O1116" s="27">
        <f t="shared" si="140"/>
        <v>0.6461040832</v>
      </c>
      <c r="P1116" s="28">
        <f t="shared" si="143"/>
        <v>0</v>
      </c>
    </row>
    <row r="1117" hidden="1">
      <c r="A1117" s="119" t="s">
        <v>1707</v>
      </c>
      <c r="B1117" s="36"/>
      <c r="C1117" s="18"/>
      <c r="D1117" s="4"/>
      <c r="E1117" s="19">
        <v>0.0</v>
      </c>
      <c r="F1117" s="19">
        <v>0.0</v>
      </c>
      <c r="G1117" s="16" t="s">
        <v>1635</v>
      </c>
      <c r="H1117" s="21"/>
      <c r="I1117" s="22">
        <v>0.0</v>
      </c>
      <c r="J1117" s="23"/>
      <c r="K1117" s="44">
        <f t="shared" si="144"/>
        <v>19439.84</v>
      </c>
      <c r="L1117" s="44">
        <v>32000.0</v>
      </c>
      <c r="M1117" s="25"/>
      <c r="N1117" s="26"/>
      <c r="O1117" s="27">
        <f t="shared" si="140"/>
        <v>0.6461040832</v>
      </c>
      <c r="P1117" s="28">
        <f t="shared" si="143"/>
        <v>0</v>
      </c>
    </row>
    <row r="1118" hidden="1">
      <c r="A1118" s="16" t="s">
        <v>1708</v>
      </c>
      <c r="B1118" s="36"/>
      <c r="C1118" s="18"/>
      <c r="D1118" s="4"/>
      <c r="E1118" s="19">
        <v>0.0</v>
      </c>
      <c r="F1118" s="19"/>
      <c r="G1118" s="20" t="s">
        <v>610</v>
      </c>
      <c r="H1118" s="99"/>
      <c r="I1118" s="22"/>
      <c r="J1118" s="182"/>
      <c r="K1118" s="226">
        <v>23145.0</v>
      </c>
      <c r="L1118" s="24">
        <v>32000.0</v>
      </c>
      <c r="M1118" s="25"/>
      <c r="N1118" s="26">
        <v>28000.0</v>
      </c>
      <c r="O1118" s="27">
        <f t="shared" si="140"/>
        <v>0.382588032</v>
      </c>
      <c r="P1118" s="28">
        <f t="shared" si="143"/>
        <v>0</v>
      </c>
    </row>
    <row r="1119" hidden="1">
      <c r="A1119" s="16" t="s">
        <v>1709</v>
      </c>
      <c r="B1119" s="36"/>
      <c r="C1119" s="18"/>
      <c r="D1119" s="4"/>
      <c r="E1119" s="19">
        <v>0.0</v>
      </c>
      <c r="F1119" s="19"/>
      <c r="G1119" s="20" t="s">
        <v>610</v>
      </c>
      <c r="H1119" s="99"/>
      <c r="I1119" s="22"/>
      <c r="J1119" s="182"/>
      <c r="K1119" s="226">
        <v>23145.0</v>
      </c>
      <c r="L1119" s="24">
        <v>32000.0</v>
      </c>
      <c r="M1119" s="25"/>
      <c r="N1119" s="26">
        <v>28000.0</v>
      </c>
      <c r="O1119" s="27">
        <f t="shared" si="140"/>
        <v>0.382588032</v>
      </c>
      <c r="P1119" s="28">
        <f t="shared" si="143"/>
        <v>0</v>
      </c>
    </row>
    <row r="1120" hidden="1">
      <c r="A1120" s="16" t="s">
        <v>1710</v>
      </c>
      <c r="B1120" s="36"/>
      <c r="C1120" s="18"/>
      <c r="D1120" s="4"/>
      <c r="E1120" s="19">
        <v>0.0</v>
      </c>
      <c r="F1120" s="19"/>
      <c r="G1120" s="20" t="s">
        <v>610</v>
      </c>
      <c r="H1120" s="99"/>
      <c r="I1120" s="22"/>
      <c r="J1120" s="182"/>
      <c r="K1120" s="226">
        <v>23145.0</v>
      </c>
      <c r="L1120" s="24">
        <v>32000.0</v>
      </c>
      <c r="M1120" s="25"/>
      <c r="N1120" s="26">
        <v>28000.0</v>
      </c>
      <c r="O1120" s="27">
        <f t="shared" si="140"/>
        <v>0.382588032</v>
      </c>
      <c r="P1120" s="28">
        <f t="shared" si="143"/>
        <v>0</v>
      </c>
    </row>
    <row r="1121" hidden="1">
      <c r="A1121" s="16" t="s">
        <v>1711</v>
      </c>
      <c r="B1121" s="36"/>
      <c r="C1121" s="18"/>
      <c r="D1121" s="4"/>
      <c r="E1121" s="19">
        <v>0.0</v>
      </c>
      <c r="F1121" s="19"/>
      <c r="G1121" s="20" t="s">
        <v>610</v>
      </c>
      <c r="H1121" s="99"/>
      <c r="I1121" s="22"/>
      <c r="J1121" s="182"/>
      <c r="K1121" s="226">
        <v>23145.0</v>
      </c>
      <c r="L1121" s="24">
        <v>32000.0</v>
      </c>
      <c r="M1121" s="25"/>
      <c r="N1121" s="26">
        <v>28000.0</v>
      </c>
      <c r="O1121" s="27">
        <f t="shared" si="140"/>
        <v>0.382588032</v>
      </c>
      <c r="P1121" s="28">
        <f t="shared" si="143"/>
        <v>0</v>
      </c>
    </row>
    <row r="1122" hidden="1">
      <c r="A1122" s="16" t="s">
        <v>1712</v>
      </c>
      <c r="B1122" s="36"/>
      <c r="C1122" s="18"/>
      <c r="D1122" s="4"/>
      <c r="E1122" s="19">
        <v>0.0</v>
      </c>
      <c r="F1122" s="19"/>
      <c r="G1122" s="20" t="s">
        <v>610</v>
      </c>
      <c r="H1122" s="99"/>
      <c r="I1122" s="22"/>
      <c r="J1122" s="182"/>
      <c r="K1122" s="226">
        <v>23145.0</v>
      </c>
      <c r="L1122" s="24">
        <v>32000.0</v>
      </c>
      <c r="M1122" s="25"/>
      <c r="N1122" s="26">
        <v>28000.0</v>
      </c>
      <c r="O1122" s="27">
        <f t="shared" si="140"/>
        <v>0.382588032</v>
      </c>
      <c r="P1122" s="28">
        <f t="shared" si="143"/>
        <v>0</v>
      </c>
    </row>
    <row r="1123" hidden="1">
      <c r="A1123" s="16" t="s">
        <v>1713</v>
      </c>
      <c r="B1123" s="36"/>
      <c r="C1123" s="18"/>
      <c r="D1123" s="4"/>
      <c r="E1123" s="19">
        <v>0.0</v>
      </c>
      <c r="F1123" s="19"/>
      <c r="G1123" s="20" t="s">
        <v>610</v>
      </c>
      <c r="H1123" s="99"/>
      <c r="I1123" s="22"/>
      <c r="J1123" s="182"/>
      <c r="K1123" s="226">
        <v>23145.0</v>
      </c>
      <c r="L1123" s="24">
        <v>32000.0</v>
      </c>
      <c r="M1123" s="25"/>
      <c r="N1123" s="26">
        <v>28000.0</v>
      </c>
      <c r="O1123" s="27">
        <f t="shared" si="140"/>
        <v>0.382588032</v>
      </c>
      <c r="P1123" s="28">
        <f t="shared" si="143"/>
        <v>0</v>
      </c>
    </row>
    <row r="1124" hidden="1">
      <c r="A1124" s="16" t="s">
        <v>1714</v>
      </c>
      <c r="B1124" s="36"/>
      <c r="C1124" s="18"/>
      <c r="D1124" s="4"/>
      <c r="E1124" s="19">
        <v>0.0</v>
      </c>
      <c r="F1124" s="19"/>
      <c r="G1124" s="20" t="s">
        <v>610</v>
      </c>
      <c r="H1124" s="99"/>
      <c r="I1124" s="22"/>
      <c r="J1124" s="182"/>
      <c r="K1124" s="226">
        <v>23145.0</v>
      </c>
      <c r="L1124" s="24">
        <v>32000.0</v>
      </c>
      <c r="M1124" s="25"/>
      <c r="N1124" s="26">
        <v>28000.0</v>
      </c>
      <c r="O1124" s="27">
        <f t="shared" si="140"/>
        <v>0.382588032</v>
      </c>
      <c r="P1124" s="28">
        <f t="shared" si="143"/>
        <v>0</v>
      </c>
    </row>
    <row r="1125" hidden="1">
      <c r="A1125" s="16" t="s">
        <v>1715</v>
      </c>
      <c r="B1125" s="36"/>
      <c r="C1125" s="18" t="s">
        <v>1020</v>
      </c>
      <c r="D1125" s="4"/>
      <c r="E1125" s="19">
        <v>0.0</v>
      </c>
      <c r="F1125" s="19"/>
      <c r="G1125" s="20" t="s">
        <v>610</v>
      </c>
      <c r="H1125" s="99"/>
      <c r="I1125" s="22"/>
      <c r="J1125" s="182"/>
      <c r="K1125" s="226">
        <v>23145.0</v>
      </c>
      <c r="L1125" s="24">
        <v>32000.0</v>
      </c>
      <c r="M1125" s="25"/>
      <c r="N1125" s="26">
        <v>28000.0</v>
      </c>
      <c r="O1125" s="27">
        <f t="shared" si="140"/>
        <v>0.382588032</v>
      </c>
      <c r="P1125" s="28">
        <f t="shared" si="143"/>
        <v>0</v>
      </c>
    </row>
    <row r="1126" hidden="1">
      <c r="A1126" s="16" t="s">
        <v>1716</v>
      </c>
      <c r="B1126" s="36"/>
      <c r="C1126" s="18" t="s">
        <v>1020</v>
      </c>
      <c r="D1126" s="4"/>
      <c r="E1126" s="19">
        <v>0.0</v>
      </c>
      <c r="F1126" s="19"/>
      <c r="G1126" s="138" t="s">
        <v>610</v>
      </c>
      <c r="H1126" s="99"/>
      <c r="I1126" s="22"/>
      <c r="J1126" s="182"/>
      <c r="K1126" s="226">
        <v>23145.0</v>
      </c>
      <c r="L1126" s="24">
        <v>32000.0</v>
      </c>
      <c r="M1126" s="25"/>
      <c r="N1126" s="26">
        <v>28000.0</v>
      </c>
      <c r="O1126" s="27">
        <f t="shared" si="140"/>
        <v>0.382588032</v>
      </c>
      <c r="P1126" s="28">
        <f t="shared" si="143"/>
        <v>0</v>
      </c>
    </row>
    <row r="1127" hidden="1">
      <c r="A1127" s="16" t="s">
        <v>1717</v>
      </c>
      <c r="B1127" s="36"/>
      <c r="C1127" s="18"/>
      <c r="D1127" s="4"/>
      <c r="E1127" s="19">
        <v>0.0</v>
      </c>
      <c r="F1127" s="19"/>
      <c r="G1127" s="20" t="s">
        <v>610</v>
      </c>
      <c r="H1127" s="99"/>
      <c r="I1127" s="22"/>
      <c r="J1127" s="173"/>
      <c r="K1127" s="227">
        <v>44625.0</v>
      </c>
      <c r="L1127" s="24">
        <v>58000.0</v>
      </c>
      <c r="M1127" s="25"/>
      <c r="N1127" s="26"/>
      <c r="O1127" s="27">
        <f t="shared" si="140"/>
        <v>0.299719888</v>
      </c>
      <c r="P1127" s="28">
        <f t="shared" si="143"/>
        <v>0</v>
      </c>
    </row>
    <row r="1128" hidden="1">
      <c r="A1128" s="16" t="s">
        <v>1718</v>
      </c>
      <c r="B1128" s="36"/>
      <c r="C1128" s="18"/>
      <c r="D1128" s="4"/>
      <c r="E1128" s="19">
        <v>0.0</v>
      </c>
      <c r="F1128" s="19"/>
      <c r="G1128" s="20" t="s">
        <v>610</v>
      </c>
      <c r="H1128" s="99"/>
      <c r="I1128" s="22"/>
      <c r="J1128" s="173"/>
      <c r="K1128" s="227">
        <v>44625.0</v>
      </c>
      <c r="L1128" s="24">
        <v>58000.0</v>
      </c>
      <c r="M1128" s="25"/>
      <c r="N1128" s="26"/>
      <c r="O1128" s="27">
        <f t="shared" si="140"/>
        <v>0.299719888</v>
      </c>
      <c r="P1128" s="28">
        <f t="shared" si="143"/>
        <v>0</v>
      </c>
    </row>
    <row r="1129" hidden="1">
      <c r="A1129" s="16" t="s">
        <v>1719</v>
      </c>
      <c r="B1129" s="36"/>
      <c r="C1129" s="18"/>
      <c r="D1129" s="4"/>
      <c r="E1129" s="19">
        <v>0.0</v>
      </c>
      <c r="F1129" s="19"/>
      <c r="G1129" s="20" t="s">
        <v>610</v>
      </c>
      <c r="H1129" s="99"/>
      <c r="I1129" s="22"/>
      <c r="J1129" s="173"/>
      <c r="K1129" s="227">
        <v>44625.0</v>
      </c>
      <c r="L1129" s="24">
        <v>58000.0</v>
      </c>
      <c r="M1129" s="25"/>
      <c r="N1129" s="26"/>
      <c r="O1129" s="27">
        <f t="shared" si="140"/>
        <v>0.299719888</v>
      </c>
      <c r="P1129" s="28">
        <f t="shared" si="143"/>
        <v>0</v>
      </c>
    </row>
    <row r="1130" hidden="1">
      <c r="A1130" s="16" t="s">
        <v>1720</v>
      </c>
      <c r="B1130" s="36"/>
      <c r="C1130" s="18"/>
      <c r="D1130" s="4"/>
      <c r="E1130" s="19">
        <v>0.0</v>
      </c>
      <c r="F1130" s="19"/>
      <c r="G1130" s="20" t="s">
        <v>610</v>
      </c>
      <c r="H1130" s="99"/>
      <c r="I1130" s="22"/>
      <c r="J1130" s="173"/>
      <c r="K1130" s="227">
        <v>44625.0</v>
      </c>
      <c r="L1130" s="24">
        <v>58000.0</v>
      </c>
      <c r="M1130" s="25"/>
      <c r="N1130" s="26"/>
      <c r="O1130" s="27">
        <f t="shared" si="140"/>
        <v>0.299719888</v>
      </c>
      <c r="P1130" s="28">
        <f t="shared" si="143"/>
        <v>0</v>
      </c>
    </row>
    <row r="1131" hidden="1">
      <c r="A1131" s="16" t="s">
        <v>1721</v>
      </c>
      <c r="B1131" s="36"/>
      <c r="C1131" s="18"/>
      <c r="D1131" s="4"/>
      <c r="E1131" s="19">
        <v>0.0</v>
      </c>
      <c r="F1131" s="19"/>
      <c r="G1131" s="20" t="s">
        <v>610</v>
      </c>
      <c r="H1131" s="99"/>
      <c r="I1131" s="22"/>
      <c r="J1131" s="173"/>
      <c r="K1131" s="227">
        <v>44625.0</v>
      </c>
      <c r="L1131" s="24">
        <v>58000.0</v>
      </c>
      <c r="M1131" s="25"/>
      <c r="N1131" s="26"/>
      <c r="O1131" s="27">
        <f t="shared" si="140"/>
        <v>0.299719888</v>
      </c>
      <c r="P1131" s="28">
        <f t="shared" si="143"/>
        <v>0</v>
      </c>
    </row>
    <row r="1132" hidden="1">
      <c r="A1132" s="16" t="s">
        <v>1722</v>
      </c>
      <c r="B1132" s="36"/>
      <c r="C1132" s="18"/>
      <c r="D1132" s="4"/>
      <c r="E1132" s="19">
        <v>0.0</v>
      </c>
      <c r="F1132" s="19"/>
      <c r="G1132" s="20" t="s">
        <v>610</v>
      </c>
      <c r="H1132" s="21"/>
      <c r="I1132" s="22"/>
      <c r="J1132" s="23"/>
      <c r="K1132" s="227">
        <v>44625.0</v>
      </c>
      <c r="L1132" s="24">
        <v>58000.0</v>
      </c>
      <c r="M1132" s="25"/>
      <c r="N1132" s="26"/>
      <c r="O1132" s="27">
        <f t="shared" si="140"/>
        <v>0.299719888</v>
      </c>
      <c r="P1132" s="28">
        <f t="shared" si="143"/>
        <v>0</v>
      </c>
    </row>
    <row r="1133" hidden="1">
      <c r="A1133" s="16" t="s">
        <v>1723</v>
      </c>
      <c r="B1133" s="36"/>
      <c r="C1133" s="18"/>
      <c r="D1133" s="4"/>
      <c r="E1133" s="19">
        <v>0.0</v>
      </c>
      <c r="F1133" s="19"/>
      <c r="G1133" s="20" t="s">
        <v>610</v>
      </c>
      <c r="H1133" s="21"/>
      <c r="I1133" s="22"/>
      <c r="J1133" s="23"/>
      <c r="K1133" s="227">
        <v>44625.0</v>
      </c>
      <c r="L1133" s="24">
        <v>58000.0</v>
      </c>
      <c r="M1133" s="25"/>
      <c r="N1133" s="26"/>
      <c r="O1133" s="27">
        <f t="shared" si="140"/>
        <v>0.299719888</v>
      </c>
      <c r="P1133" s="28">
        <f t="shared" si="143"/>
        <v>0</v>
      </c>
    </row>
    <row r="1134" hidden="1">
      <c r="A1134" s="16" t="s">
        <v>1724</v>
      </c>
      <c r="B1134" s="36"/>
      <c r="C1134" s="18"/>
      <c r="D1134" s="4"/>
      <c r="E1134" s="19">
        <v>0.0</v>
      </c>
      <c r="F1134" s="19"/>
      <c r="G1134" s="20" t="s">
        <v>610</v>
      </c>
      <c r="H1134" s="99"/>
      <c r="I1134" s="22"/>
      <c r="J1134" s="173"/>
      <c r="K1134" s="227">
        <v>44625.0</v>
      </c>
      <c r="L1134" s="24">
        <v>58000.0</v>
      </c>
      <c r="M1134" s="25"/>
      <c r="N1134" s="26"/>
      <c r="O1134" s="27">
        <f t="shared" si="140"/>
        <v>0.299719888</v>
      </c>
      <c r="P1134" s="28">
        <f t="shared" si="143"/>
        <v>0</v>
      </c>
    </row>
    <row r="1135" hidden="1">
      <c r="A1135" s="16" t="s">
        <v>1725</v>
      </c>
      <c r="B1135" s="36"/>
      <c r="C1135" s="18"/>
      <c r="D1135" s="4"/>
      <c r="E1135" s="19">
        <v>0.0</v>
      </c>
      <c r="F1135" s="19"/>
      <c r="G1135" s="20" t="s">
        <v>610</v>
      </c>
      <c r="H1135" s="99"/>
      <c r="I1135" s="22"/>
      <c r="J1135" s="173"/>
      <c r="K1135" s="227">
        <v>44625.0</v>
      </c>
      <c r="L1135" s="24">
        <v>58000.0</v>
      </c>
      <c r="M1135" s="25"/>
      <c r="N1135" s="26"/>
      <c r="O1135" s="27">
        <f t="shared" si="140"/>
        <v>0.299719888</v>
      </c>
      <c r="P1135" s="28">
        <f t="shared" si="143"/>
        <v>0</v>
      </c>
    </row>
    <row r="1136" hidden="1">
      <c r="A1136" s="16" t="s">
        <v>1726</v>
      </c>
      <c r="B1136" s="36"/>
      <c r="C1136" s="18"/>
      <c r="D1136" s="4"/>
      <c r="E1136" s="19">
        <v>0.0</v>
      </c>
      <c r="F1136" s="19"/>
      <c r="G1136" s="20" t="s">
        <v>610</v>
      </c>
      <c r="H1136" s="99"/>
      <c r="I1136" s="22"/>
      <c r="J1136" s="173"/>
      <c r="K1136" s="227">
        <v>44625.0</v>
      </c>
      <c r="L1136" s="24">
        <v>58000.0</v>
      </c>
      <c r="M1136" s="25"/>
      <c r="N1136" s="26"/>
      <c r="O1136" s="27">
        <f t="shared" si="140"/>
        <v>0.299719888</v>
      </c>
      <c r="P1136" s="28">
        <f t="shared" si="143"/>
        <v>0</v>
      </c>
    </row>
    <row r="1137" hidden="1">
      <c r="A1137" s="16" t="s">
        <v>1727</v>
      </c>
      <c r="B1137" s="36"/>
      <c r="C1137" s="18"/>
      <c r="D1137" s="4"/>
      <c r="E1137" s="19">
        <v>0.0</v>
      </c>
      <c r="F1137" s="19"/>
      <c r="G1137" s="20" t="s">
        <v>610</v>
      </c>
      <c r="H1137" s="99"/>
      <c r="I1137" s="22"/>
      <c r="J1137" s="173"/>
      <c r="K1137" s="227">
        <v>44625.0</v>
      </c>
      <c r="L1137" s="24">
        <v>58000.0</v>
      </c>
      <c r="M1137" s="25"/>
      <c r="N1137" s="26"/>
      <c r="O1137" s="27">
        <f t="shared" si="140"/>
        <v>0.299719888</v>
      </c>
      <c r="P1137" s="28">
        <f t="shared" si="143"/>
        <v>0</v>
      </c>
    </row>
    <row r="1138" hidden="1">
      <c r="A1138" s="16" t="s">
        <v>1728</v>
      </c>
      <c r="B1138" s="36"/>
      <c r="C1138" s="18"/>
      <c r="D1138" s="4"/>
      <c r="E1138" s="19">
        <v>0.0</v>
      </c>
      <c r="F1138" s="19"/>
      <c r="G1138" s="20" t="s">
        <v>610</v>
      </c>
      <c r="H1138" s="99"/>
      <c r="I1138" s="22"/>
      <c r="J1138" s="173"/>
      <c r="K1138" s="227">
        <v>44625.0</v>
      </c>
      <c r="L1138" s="24">
        <v>58000.0</v>
      </c>
      <c r="M1138" s="25"/>
      <c r="N1138" s="26"/>
      <c r="O1138" s="27">
        <f t="shared" si="140"/>
        <v>0.299719888</v>
      </c>
      <c r="P1138" s="28">
        <f t="shared" si="143"/>
        <v>0</v>
      </c>
    </row>
    <row r="1139" hidden="1">
      <c r="A1139" s="16" t="s">
        <v>1729</v>
      </c>
      <c r="B1139" s="36"/>
      <c r="C1139" s="18"/>
      <c r="D1139" s="4"/>
      <c r="E1139" s="19">
        <v>0.0</v>
      </c>
      <c r="F1139" s="19"/>
      <c r="G1139" s="20" t="s">
        <v>610</v>
      </c>
      <c r="H1139" s="99"/>
      <c r="I1139" s="22"/>
      <c r="J1139" s="182"/>
      <c r="K1139" s="226">
        <v>23145.0</v>
      </c>
      <c r="L1139" s="24">
        <v>32000.0</v>
      </c>
      <c r="M1139" s="25"/>
      <c r="N1139" s="26">
        <v>28000.0</v>
      </c>
      <c r="O1139" s="27">
        <f t="shared" si="140"/>
        <v>0.382588032</v>
      </c>
      <c r="P1139" s="28">
        <f t="shared" si="143"/>
        <v>0</v>
      </c>
    </row>
    <row r="1140" hidden="1">
      <c r="A1140" s="16" t="s">
        <v>1730</v>
      </c>
      <c r="B1140" s="36"/>
      <c r="C1140" s="18"/>
      <c r="D1140" s="4"/>
      <c r="E1140" s="19">
        <v>0.0</v>
      </c>
      <c r="F1140" s="19"/>
      <c r="G1140" s="20" t="s">
        <v>610</v>
      </c>
      <c r="H1140" s="99"/>
      <c r="I1140" s="22"/>
      <c r="J1140" s="182"/>
      <c r="K1140" s="226">
        <v>23145.0</v>
      </c>
      <c r="L1140" s="24">
        <v>32000.0</v>
      </c>
      <c r="M1140" s="25"/>
      <c r="N1140" s="26">
        <v>28000.0</v>
      </c>
      <c r="O1140" s="27">
        <f t="shared" si="140"/>
        <v>0.382588032</v>
      </c>
      <c r="P1140" s="28">
        <f t="shared" si="143"/>
        <v>0</v>
      </c>
    </row>
    <row r="1141" hidden="1">
      <c r="A1141" s="16" t="s">
        <v>1731</v>
      </c>
      <c r="B1141" s="36"/>
      <c r="C1141" s="18"/>
      <c r="D1141" s="4"/>
      <c r="E1141" s="19">
        <v>0.0</v>
      </c>
      <c r="F1141" s="19"/>
      <c r="G1141" s="20" t="s">
        <v>610</v>
      </c>
      <c r="H1141" s="99"/>
      <c r="I1141" s="22"/>
      <c r="J1141" s="182"/>
      <c r="K1141" s="226">
        <v>23145.0</v>
      </c>
      <c r="L1141" s="24">
        <v>32000.0</v>
      </c>
      <c r="M1141" s="25"/>
      <c r="N1141" s="26">
        <v>28000.0</v>
      </c>
      <c r="O1141" s="27">
        <f t="shared" si="140"/>
        <v>0.382588032</v>
      </c>
      <c r="P1141" s="28">
        <f t="shared" si="143"/>
        <v>0</v>
      </c>
    </row>
    <row r="1142" hidden="1">
      <c r="A1142" s="16" t="s">
        <v>1732</v>
      </c>
      <c r="B1142" s="36"/>
      <c r="C1142" s="18"/>
      <c r="D1142" s="4"/>
      <c r="E1142" s="19">
        <v>0.0</v>
      </c>
      <c r="F1142" s="19"/>
      <c r="G1142" s="20" t="s">
        <v>610</v>
      </c>
      <c r="H1142" s="99"/>
      <c r="I1142" s="22"/>
      <c r="J1142" s="182"/>
      <c r="K1142" s="226">
        <v>23145.0</v>
      </c>
      <c r="L1142" s="24">
        <v>32000.0</v>
      </c>
      <c r="M1142" s="25"/>
      <c r="N1142" s="26">
        <v>28000.0</v>
      </c>
      <c r="O1142" s="27">
        <f t="shared" si="140"/>
        <v>0.382588032</v>
      </c>
      <c r="P1142" s="28">
        <f t="shared" si="143"/>
        <v>0</v>
      </c>
    </row>
    <row r="1143" hidden="1">
      <c r="A1143" s="16" t="s">
        <v>1733</v>
      </c>
      <c r="B1143" s="36"/>
      <c r="C1143" s="18"/>
      <c r="D1143" s="4"/>
      <c r="E1143" s="19">
        <v>0.0</v>
      </c>
      <c r="F1143" s="19"/>
      <c r="G1143" s="20" t="s">
        <v>610</v>
      </c>
      <c r="H1143" s="99"/>
      <c r="I1143" s="22"/>
      <c r="J1143" s="182"/>
      <c r="K1143" s="226">
        <v>23145.0</v>
      </c>
      <c r="L1143" s="24">
        <v>32000.0</v>
      </c>
      <c r="M1143" s="25"/>
      <c r="N1143" s="26">
        <v>28000.0</v>
      </c>
      <c r="O1143" s="27">
        <f t="shared" si="140"/>
        <v>0.382588032</v>
      </c>
      <c r="P1143" s="28">
        <f t="shared" si="143"/>
        <v>0</v>
      </c>
    </row>
    <row r="1144" hidden="1">
      <c r="A1144" s="16" t="s">
        <v>1734</v>
      </c>
      <c r="B1144" s="36"/>
      <c r="C1144" s="18"/>
      <c r="D1144" s="4"/>
      <c r="E1144" s="19">
        <v>0.0</v>
      </c>
      <c r="F1144" s="19"/>
      <c r="G1144" s="20" t="s">
        <v>610</v>
      </c>
      <c r="H1144" s="99"/>
      <c r="I1144" s="22"/>
      <c r="J1144" s="182"/>
      <c r="K1144" s="226">
        <v>23145.0</v>
      </c>
      <c r="L1144" s="24">
        <v>32000.0</v>
      </c>
      <c r="M1144" s="25"/>
      <c r="N1144" s="26">
        <v>28000.0</v>
      </c>
      <c r="O1144" s="27">
        <f t="shared" si="140"/>
        <v>0.382588032</v>
      </c>
      <c r="P1144" s="28">
        <f t="shared" si="143"/>
        <v>0</v>
      </c>
    </row>
    <row r="1145" hidden="1">
      <c r="A1145" s="16" t="s">
        <v>1735</v>
      </c>
      <c r="B1145" s="36"/>
      <c r="C1145" s="18"/>
      <c r="D1145" s="4"/>
      <c r="E1145" s="19">
        <v>0.0</v>
      </c>
      <c r="F1145" s="19"/>
      <c r="G1145" s="20" t="s">
        <v>610</v>
      </c>
      <c r="H1145" s="99"/>
      <c r="I1145" s="22"/>
      <c r="J1145" s="182"/>
      <c r="K1145" s="226">
        <v>23145.0</v>
      </c>
      <c r="L1145" s="24">
        <v>32000.0</v>
      </c>
      <c r="M1145" s="25"/>
      <c r="N1145" s="26">
        <v>28000.0</v>
      </c>
      <c r="O1145" s="27">
        <f t="shared" si="140"/>
        <v>0.382588032</v>
      </c>
      <c r="P1145" s="28">
        <f t="shared" si="143"/>
        <v>0</v>
      </c>
    </row>
    <row r="1146" hidden="1">
      <c r="A1146" s="16" t="s">
        <v>1736</v>
      </c>
      <c r="B1146" s="36"/>
      <c r="C1146" s="18" t="s">
        <v>1020</v>
      </c>
      <c r="D1146" s="4"/>
      <c r="E1146" s="19">
        <v>0.0</v>
      </c>
      <c r="F1146" s="19"/>
      <c r="G1146" s="20" t="s">
        <v>610</v>
      </c>
      <c r="H1146" s="99"/>
      <c r="I1146" s="22"/>
      <c r="J1146" s="182"/>
      <c r="K1146" s="226">
        <v>23145.0</v>
      </c>
      <c r="L1146" s="24">
        <v>32000.0</v>
      </c>
      <c r="M1146" s="25"/>
      <c r="N1146" s="26">
        <v>28000.0</v>
      </c>
      <c r="O1146" s="27">
        <f t="shared" si="140"/>
        <v>0.382588032</v>
      </c>
      <c r="P1146" s="28">
        <f t="shared" si="143"/>
        <v>0</v>
      </c>
    </row>
    <row r="1147" hidden="1">
      <c r="A1147" s="16" t="s">
        <v>1737</v>
      </c>
      <c r="B1147" s="36"/>
      <c r="C1147" s="18"/>
      <c r="D1147" s="4"/>
      <c r="E1147" s="19">
        <v>0.0</v>
      </c>
      <c r="F1147" s="19"/>
      <c r="G1147" s="20" t="s">
        <v>610</v>
      </c>
      <c r="H1147" s="99"/>
      <c r="I1147" s="22"/>
      <c r="J1147" s="182"/>
      <c r="K1147" s="226">
        <v>23145.0</v>
      </c>
      <c r="L1147" s="24">
        <v>32000.0</v>
      </c>
      <c r="M1147" s="25"/>
      <c r="N1147" s="26">
        <v>28000.0</v>
      </c>
      <c r="O1147" s="27">
        <f t="shared" si="140"/>
        <v>0.382588032</v>
      </c>
      <c r="P1147" s="28">
        <f t="shared" si="143"/>
        <v>0</v>
      </c>
    </row>
    <row r="1148" hidden="1">
      <c r="A1148" s="16" t="s">
        <v>1738</v>
      </c>
      <c r="B1148" s="36"/>
      <c r="C1148" s="18"/>
      <c r="D1148" s="4"/>
      <c r="E1148" s="19">
        <v>0.0</v>
      </c>
      <c r="F1148" s="19"/>
      <c r="G1148" s="20" t="s">
        <v>610</v>
      </c>
      <c r="H1148" s="99"/>
      <c r="I1148" s="22"/>
      <c r="J1148" s="182"/>
      <c r="K1148" s="226">
        <v>23145.0</v>
      </c>
      <c r="L1148" s="24">
        <v>32000.0</v>
      </c>
      <c r="M1148" s="25"/>
      <c r="N1148" s="26">
        <v>28000.0</v>
      </c>
      <c r="O1148" s="27">
        <f t="shared" si="140"/>
        <v>0.382588032</v>
      </c>
      <c r="P1148" s="28">
        <f t="shared" si="143"/>
        <v>0</v>
      </c>
    </row>
    <row r="1149" hidden="1">
      <c r="A1149" s="16" t="s">
        <v>1739</v>
      </c>
      <c r="B1149" s="36"/>
      <c r="C1149" s="18"/>
      <c r="D1149" s="4"/>
      <c r="E1149" s="19">
        <v>0.0</v>
      </c>
      <c r="F1149" s="19"/>
      <c r="G1149" s="20" t="s">
        <v>610</v>
      </c>
      <c r="H1149" s="99"/>
      <c r="I1149" s="22"/>
      <c r="J1149" s="182"/>
      <c r="K1149" s="226">
        <v>23145.0</v>
      </c>
      <c r="L1149" s="24">
        <v>32000.0</v>
      </c>
      <c r="M1149" s="25"/>
      <c r="N1149" s="26">
        <v>28000.0</v>
      </c>
      <c r="O1149" s="27">
        <f t="shared" si="140"/>
        <v>0.382588032</v>
      </c>
      <c r="P1149" s="28">
        <f t="shared" si="143"/>
        <v>0</v>
      </c>
    </row>
    <row r="1150" hidden="1">
      <c r="A1150" s="16" t="s">
        <v>1740</v>
      </c>
      <c r="B1150" s="36"/>
      <c r="C1150" s="18"/>
      <c r="D1150" s="4"/>
      <c r="E1150" s="19">
        <v>0.0</v>
      </c>
      <c r="F1150" s="19"/>
      <c r="G1150" s="20" t="s">
        <v>610</v>
      </c>
      <c r="H1150" s="99"/>
      <c r="I1150" s="22"/>
      <c r="J1150" s="182"/>
      <c r="K1150" s="226">
        <v>23145.0</v>
      </c>
      <c r="L1150" s="24">
        <v>32000.0</v>
      </c>
      <c r="M1150" s="25"/>
      <c r="N1150" s="26">
        <v>28000.0</v>
      </c>
      <c r="O1150" s="27">
        <f t="shared" si="140"/>
        <v>0.382588032</v>
      </c>
      <c r="P1150" s="28">
        <f t="shared" si="143"/>
        <v>0</v>
      </c>
    </row>
    <row r="1151" hidden="1">
      <c r="A1151" s="119" t="s">
        <v>1741</v>
      </c>
      <c r="B1151" s="36"/>
      <c r="C1151" s="18"/>
      <c r="D1151" s="4"/>
      <c r="E1151" s="19">
        <v>0.0</v>
      </c>
      <c r="F1151" s="19"/>
      <c r="G1151" s="20" t="s">
        <v>610</v>
      </c>
      <c r="H1151" s="21"/>
      <c r="I1151" s="22"/>
      <c r="J1151" s="29"/>
      <c r="K1151" s="43">
        <f>80750*1.16</f>
        <v>93670</v>
      </c>
      <c r="L1151" s="44">
        <v>125000.0</v>
      </c>
      <c r="M1151" s="25"/>
      <c r="N1151" s="26"/>
      <c r="O1151" s="27">
        <f t="shared" si="140"/>
        <v>0.3344720828</v>
      </c>
      <c r="P1151" s="28">
        <f t="shared" si="143"/>
        <v>0</v>
      </c>
    </row>
    <row r="1152" hidden="1">
      <c r="A1152" s="119" t="s">
        <v>1742</v>
      </c>
      <c r="B1152" s="36" t="s">
        <v>680</v>
      </c>
      <c r="C1152" s="18"/>
      <c r="D1152" s="4"/>
      <c r="E1152" s="19">
        <v>0.0</v>
      </c>
      <c r="F1152" s="19"/>
      <c r="G1152" s="20" t="s">
        <v>610</v>
      </c>
      <c r="H1152" s="73"/>
      <c r="I1152" s="22"/>
      <c r="J1152" s="74"/>
      <c r="K1152" s="75">
        <f>145900*1.16</f>
        <v>169244</v>
      </c>
      <c r="L1152" s="44">
        <v>210000.0</v>
      </c>
      <c r="M1152" s="25"/>
      <c r="N1152" s="26"/>
      <c r="O1152" s="27">
        <f t="shared" si="140"/>
        <v>0.240812082</v>
      </c>
      <c r="P1152" s="28">
        <f t="shared" si="143"/>
        <v>0</v>
      </c>
    </row>
    <row r="1153" hidden="1">
      <c r="A1153" s="16" t="s">
        <v>1743</v>
      </c>
      <c r="B1153" s="36"/>
      <c r="C1153" s="18"/>
      <c r="D1153" s="4"/>
      <c r="E1153" s="19"/>
      <c r="F1153" s="19"/>
      <c r="G1153" s="16" t="s">
        <v>88</v>
      </c>
      <c r="H1153" s="21"/>
      <c r="I1153" s="22">
        <v>0.0</v>
      </c>
      <c r="J1153" s="29"/>
      <c r="K1153" s="43">
        <v>6418.0</v>
      </c>
      <c r="L1153" s="44">
        <v>10000.0</v>
      </c>
      <c r="M1153" s="25"/>
      <c r="N1153" s="26"/>
      <c r="O1153" s="27">
        <f t="shared" si="140"/>
        <v>0.5581177937</v>
      </c>
      <c r="P1153" s="28">
        <f t="shared" si="143"/>
        <v>0</v>
      </c>
    </row>
    <row r="1154" hidden="1">
      <c r="A1154" s="16" t="s">
        <v>1744</v>
      </c>
      <c r="B1154" s="36"/>
      <c r="C1154" s="18"/>
      <c r="D1154" s="4"/>
      <c r="E1154" s="19">
        <v>0.0</v>
      </c>
      <c r="F1154" s="19">
        <v>0.0</v>
      </c>
      <c r="G1154" s="16" t="s">
        <v>1513</v>
      </c>
      <c r="H1154" s="21"/>
      <c r="I1154" s="22">
        <v>0.0</v>
      </c>
      <c r="J1154" s="29"/>
      <c r="K1154" s="43">
        <v>2000.0</v>
      </c>
      <c r="L1154" s="44">
        <v>3000.0</v>
      </c>
      <c r="M1154" s="25"/>
      <c r="N1154" s="50"/>
      <c r="O1154" s="27">
        <f t="shared" si="140"/>
        <v>0.5</v>
      </c>
      <c r="P1154" s="28">
        <f t="shared" si="143"/>
        <v>0</v>
      </c>
    </row>
    <row r="1155" hidden="1">
      <c r="A1155" s="16" t="s">
        <v>1745</v>
      </c>
      <c r="B1155" s="166"/>
      <c r="C1155" s="18"/>
      <c r="D1155" s="4"/>
      <c r="E1155" s="19">
        <v>0.0</v>
      </c>
      <c r="F1155" s="19">
        <v>0.0</v>
      </c>
      <c r="G1155" s="16" t="s">
        <v>999</v>
      </c>
      <c r="H1155" s="21"/>
      <c r="I1155" s="22">
        <v>0.0</v>
      </c>
      <c r="J1155" s="29"/>
      <c r="K1155" s="43">
        <v>35822.0</v>
      </c>
      <c r="L1155" s="44">
        <v>48000.0</v>
      </c>
      <c r="M1155" s="25" t="s">
        <v>76</v>
      </c>
      <c r="N1155" s="26"/>
      <c r="O1155" s="27">
        <f t="shared" si="140"/>
        <v>0.3399586846</v>
      </c>
      <c r="P1155" s="28">
        <f t="shared" si="143"/>
        <v>0</v>
      </c>
    </row>
    <row r="1156" hidden="1">
      <c r="A1156" s="52" t="s">
        <v>1746</v>
      </c>
      <c r="B1156" s="17"/>
      <c r="C1156" s="18"/>
      <c r="D1156" s="4"/>
      <c r="E1156" s="19">
        <v>0.0</v>
      </c>
      <c r="F1156" s="19">
        <v>0.0</v>
      </c>
      <c r="G1156" s="16" t="s">
        <v>1747</v>
      </c>
      <c r="H1156" s="21"/>
      <c r="I1156" s="22">
        <v>0.0</v>
      </c>
      <c r="J1156" s="29"/>
      <c r="K1156" s="48">
        <f>8600*2</f>
        <v>17200</v>
      </c>
      <c r="L1156" s="55">
        <v>25000.0</v>
      </c>
      <c r="M1156" s="78"/>
      <c r="N1156" s="26"/>
      <c r="O1156" s="27">
        <f t="shared" si="140"/>
        <v>0.4534883721</v>
      </c>
      <c r="P1156" s="28">
        <f t="shared" si="143"/>
        <v>0</v>
      </c>
    </row>
    <row r="1157" hidden="1">
      <c r="A1157" s="40" t="s">
        <v>1748</v>
      </c>
      <c r="B1157" s="17" t="s">
        <v>1749</v>
      </c>
      <c r="C1157" s="18"/>
      <c r="D1157" s="4"/>
      <c r="E1157" s="19">
        <v>0.0</v>
      </c>
      <c r="F1157" s="19">
        <v>0.0</v>
      </c>
      <c r="G1157" s="16" t="s">
        <v>561</v>
      </c>
      <c r="H1157" s="21"/>
      <c r="I1157" s="22" t="s">
        <v>99</v>
      </c>
      <c r="J1157" s="29"/>
      <c r="K1157" s="32">
        <v>9200.0</v>
      </c>
      <c r="L1157" s="24">
        <v>24000.0</v>
      </c>
      <c r="M1157" s="25"/>
      <c r="N1157" s="26">
        <v>12000.0</v>
      </c>
      <c r="O1157" s="27">
        <f t="shared" si="140"/>
        <v>1.608695652</v>
      </c>
      <c r="P1157" s="28">
        <f t="shared" si="143"/>
        <v>0</v>
      </c>
    </row>
    <row r="1158" hidden="1">
      <c r="A1158" s="40" t="s">
        <v>1750</v>
      </c>
      <c r="B1158" s="17"/>
      <c r="C1158" s="18"/>
      <c r="D1158" s="4"/>
      <c r="E1158" s="19">
        <v>0.0</v>
      </c>
      <c r="F1158" s="19">
        <v>0.0</v>
      </c>
      <c r="G1158" s="40" t="s">
        <v>93</v>
      </c>
      <c r="H1158" s="21"/>
      <c r="I1158" s="22" t="s">
        <v>99</v>
      </c>
      <c r="J1158" s="29"/>
      <c r="K1158" s="32">
        <f>K1157/40</f>
        <v>230</v>
      </c>
      <c r="L1158" s="24">
        <v>1000.0</v>
      </c>
      <c r="M1158" s="25"/>
      <c r="N1158" s="26"/>
      <c r="O1158" s="27">
        <f t="shared" si="140"/>
        <v>3.347826087</v>
      </c>
      <c r="P1158" s="28">
        <f t="shared" si="143"/>
        <v>0</v>
      </c>
    </row>
    <row r="1159" hidden="1">
      <c r="A1159" s="16" t="s">
        <v>1751</v>
      </c>
      <c r="B1159" s="17"/>
      <c r="C1159" s="18"/>
      <c r="D1159" s="4"/>
      <c r="E1159" s="19"/>
      <c r="F1159" s="19"/>
      <c r="G1159" s="20" t="s">
        <v>1752</v>
      </c>
      <c r="H1159" s="21"/>
      <c r="I1159" s="22"/>
      <c r="J1159" s="23"/>
      <c r="K1159" s="24">
        <v>295000.0</v>
      </c>
      <c r="L1159" s="24">
        <v>490000.0</v>
      </c>
      <c r="M1159" s="25"/>
      <c r="N1159" s="26"/>
      <c r="O1159" s="27">
        <f t="shared" si="140"/>
        <v>0.6610169492</v>
      </c>
      <c r="P1159" s="28"/>
    </row>
    <row r="1160" hidden="1">
      <c r="A1160" s="52" t="s">
        <v>1753</v>
      </c>
      <c r="B1160" s="36" t="s">
        <v>1754</v>
      </c>
      <c r="C1160" s="18"/>
      <c r="D1160" s="67"/>
      <c r="E1160" s="19">
        <v>30.0</v>
      </c>
      <c r="F1160" s="19">
        <v>0.0</v>
      </c>
      <c r="G1160" s="16" t="s">
        <v>1755</v>
      </c>
      <c r="H1160" s="21"/>
      <c r="I1160" s="22">
        <v>40.0</v>
      </c>
      <c r="J1160" s="29"/>
      <c r="K1160" s="48">
        <v>2200.0</v>
      </c>
      <c r="L1160" s="55">
        <v>4000.0</v>
      </c>
      <c r="M1160" s="25"/>
      <c r="N1160" s="26"/>
      <c r="O1160" s="27">
        <f t="shared" si="140"/>
        <v>0.8181818182</v>
      </c>
      <c r="P1160" s="28">
        <f>K1160*F1160</f>
        <v>0</v>
      </c>
    </row>
    <row r="1161" hidden="1">
      <c r="A1161" s="16" t="s">
        <v>1756</v>
      </c>
      <c r="B1161" s="51" t="s">
        <v>1757</v>
      </c>
      <c r="C1161" s="38"/>
      <c r="D1161" s="67"/>
      <c r="E1161" s="19"/>
      <c r="F1161" s="19">
        <f>174790*0.85*1.19</f>
        <v>176800.085</v>
      </c>
      <c r="G1161" s="16" t="s">
        <v>1435</v>
      </c>
      <c r="H1161" s="21"/>
      <c r="I1161" s="22">
        <v>2.0</v>
      </c>
      <c r="J1161" s="23"/>
      <c r="K1161" s="55">
        <v>208000.0</v>
      </c>
      <c r="L1161" s="55">
        <v>240000.0</v>
      </c>
      <c r="M1161" s="25"/>
      <c r="N1161" s="26">
        <v>200000.0</v>
      </c>
      <c r="O1161" s="27"/>
      <c r="P1161" s="28"/>
    </row>
    <row r="1162" hidden="1">
      <c r="A1162" s="16" t="s">
        <v>1758</v>
      </c>
      <c r="B1162" s="17"/>
      <c r="C1162" s="38"/>
      <c r="D1162" s="4"/>
      <c r="E1162" s="19">
        <v>0.0</v>
      </c>
      <c r="F1162" s="19">
        <v>0.0</v>
      </c>
      <c r="G1162" s="16" t="s">
        <v>400</v>
      </c>
      <c r="H1162" s="33"/>
      <c r="I1162" s="22">
        <v>1.0</v>
      </c>
      <c r="J1162" s="170"/>
      <c r="K1162" s="30">
        <v>192089.0</v>
      </c>
      <c r="L1162" s="24">
        <v>320000.0</v>
      </c>
      <c r="M1162" s="25"/>
      <c r="N1162" s="26"/>
      <c r="O1162" s="27"/>
      <c r="P1162" s="28"/>
    </row>
    <row r="1163" hidden="1">
      <c r="A1163" s="42" t="s">
        <v>1759</v>
      </c>
      <c r="B1163" s="71"/>
      <c r="C1163" s="18"/>
      <c r="D1163" s="4"/>
      <c r="E1163" s="19">
        <v>0.0</v>
      </c>
      <c r="F1163" s="19"/>
      <c r="G1163" s="16" t="s">
        <v>1760</v>
      </c>
      <c r="H1163" s="21"/>
      <c r="I1163" s="22"/>
      <c r="J1163" s="29"/>
      <c r="K1163" s="32">
        <v>65000.0</v>
      </c>
      <c r="L1163" s="24">
        <v>95000.0</v>
      </c>
      <c r="M1163" s="25"/>
      <c r="N1163" s="26"/>
      <c r="O1163" s="27">
        <f>(L1163/K1163)-1</f>
        <v>0.4615384615</v>
      </c>
      <c r="P1163" s="28">
        <f>K1163*F1163</f>
        <v>0</v>
      </c>
    </row>
    <row r="1164" hidden="1">
      <c r="A1164" s="16" t="s">
        <v>1761</v>
      </c>
      <c r="B1164" s="17"/>
      <c r="C1164" s="38"/>
      <c r="D1164" s="4"/>
      <c r="E1164" s="19">
        <v>0.0</v>
      </c>
      <c r="F1164" s="19">
        <v>0.0</v>
      </c>
      <c r="G1164" s="16" t="s">
        <v>470</v>
      </c>
      <c r="H1164" s="21"/>
      <c r="I1164" s="22">
        <v>0.0</v>
      </c>
      <c r="J1164" s="29"/>
      <c r="K1164" s="43"/>
      <c r="L1164" s="172">
        <v>615000.0</v>
      </c>
      <c r="M1164" s="25"/>
      <c r="N1164" s="26"/>
      <c r="O1164" s="27"/>
      <c r="P1164" s="28"/>
    </row>
    <row r="1165" hidden="1">
      <c r="A1165" s="16" t="s">
        <v>1762</v>
      </c>
      <c r="B1165" s="17"/>
      <c r="C1165" s="18"/>
      <c r="D1165" s="4"/>
      <c r="E1165" s="19">
        <v>0.0</v>
      </c>
      <c r="F1165" s="19">
        <v>0.0</v>
      </c>
      <c r="G1165" s="20" t="s">
        <v>93</v>
      </c>
      <c r="H1165" s="21"/>
      <c r="I1165" s="22">
        <v>0.0</v>
      </c>
      <c r="J1165" s="29"/>
      <c r="K1165" s="32">
        <v>191600.0</v>
      </c>
      <c r="L1165" s="24">
        <v>239000.0</v>
      </c>
      <c r="M1165" s="25"/>
      <c r="N1165" s="26"/>
      <c r="O1165" s="27">
        <f t="shared" ref="O1165:O1192" si="145">(L1165/K1165)-1</f>
        <v>0.2473903967</v>
      </c>
      <c r="P1165" s="28">
        <f t="shared" ref="P1165:P1191" si="146">K1165*F1165</f>
        <v>0</v>
      </c>
    </row>
    <row r="1166" hidden="1">
      <c r="A1166" s="52" t="s">
        <v>1763</v>
      </c>
      <c r="B1166" s="17" t="s">
        <v>1764</v>
      </c>
      <c r="C1166" s="18"/>
      <c r="D1166" s="4" t="s">
        <v>1765</v>
      </c>
      <c r="E1166" s="19">
        <v>0.0</v>
      </c>
      <c r="F1166" s="19">
        <v>2.0</v>
      </c>
      <c r="G1166" s="16" t="s">
        <v>1766</v>
      </c>
      <c r="H1166" s="21"/>
      <c r="I1166" s="22">
        <v>2.0</v>
      </c>
      <c r="J1166" s="29"/>
      <c r="K1166" s="48">
        <f>19400*0.95*1.19</f>
        <v>21931.7</v>
      </c>
      <c r="L1166" s="55">
        <v>35000.0</v>
      </c>
      <c r="M1166" s="25"/>
      <c r="N1166" s="50"/>
      <c r="O1166" s="27">
        <f t="shared" si="145"/>
        <v>0.5958635218</v>
      </c>
      <c r="P1166" s="200">
        <f t="shared" si="146"/>
        <v>43863.4</v>
      </c>
    </row>
    <row r="1167" hidden="1">
      <c r="A1167" s="149" t="s">
        <v>1767</v>
      </c>
      <c r="B1167" s="71"/>
      <c r="C1167" s="18"/>
      <c r="D1167" s="4"/>
      <c r="E1167" s="19">
        <v>0.0</v>
      </c>
      <c r="F1167" s="19"/>
      <c r="G1167" s="16" t="s">
        <v>1077</v>
      </c>
      <c r="H1167" s="21"/>
      <c r="I1167" s="22"/>
      <c r="J1167" s="29"/>
      <c r="K1167" s="43">
        <v>400.0</v>
      </c>
      <c r="L1167" s="44">
        <v>5600.0</v>
      </c>
      <c r="M1167" s="25"/>
      <c r="N1167" s="26"/>
      <c r="O1167" s="27">
        <f t="shared" si="145"/>
        <v>13</v>
      </c>
      <c r="P1167" s="28">
        <f t="shared" si="146"/>
        <v>0</v>
      </c>
    </row>
    <row r="1168" hidden="1">
      <c r="A1168" s="122" t="s">
        <v>1768</v>
      </c>
      <c r="B1168" s="17"/>
      <c r="C1168" s="18"/>
      <c r="D1168" s="4"/>
      <c r="E1168" s="19">
        <v>0.0</v>
      </c>
      <c r="F1168" s="19"/>
      <c r="G1168" s="16" t="s">
        <v>1769</v>
      </c>
      <c r="H1168" s="73"/>
      <c r="I1168" s="22"/>
      <c r="J1168" s="74"/>
      <c r="K1168" s="75">
        <v>10000.0</v>
      </c>
      <c r="L1168" s="44">
        <v>40000.0</v>
      </c>
      <c r="M1168" s="25"/>
      <c r="N1168" s="26"/>
      <c r="O1168" s="27">
        <f t="shared" si="145"/>
        <v>3</v>
      </c>
      <c r="P1168" s="28">
        <f t="shared" si="146"/>
        <v>0</v>
      </c>
    </row>
    <row r="1169" hidden="1">
      <c r="A1169" s="122" t="s">
        <v>1770</v>
      </c>
      <c r="B1169" s="17">
        <v>241019.0</v>
      </c>
      <c r="C1169" s="18" t="s">
        <v>1771</v>
      </c>
      <c r="D1169" s="4"/>
      <c r="E1169" s="19">
        <v>0.0</v>
      </c>
      <c r="F1169" s="19">
        <v>0.0</v>
      </c>
      <c r="G1169" s="16" t="s">
        <v>659</v>
      </c>
      <c r="H1169" s="21"/>
      <c r="I1169" s="22">
        <v>50.0</v>
      </c>
      <c r="J1169" s="23"/>
      <c r="K1169" s="44">
        <f>2264*1.19</f>
        <v>2694.16</v>
      </c>
      <c r="L1169" s="44">
        <v>5000.0</v>
      </c>
      <c r="M1169" s="25"/>
      <c r="N1169" s="70"/>
      <c r="O1169" s="27">
        <f t="shared" si="145"/>
        <v>0.8558660213</v>
      </c>
      <c r="P1169" s="28">
        <f t="shared" si="146"/>
        <v>0</v>
      </c>
    </row>
    <row r="1170" hidden="1">
      <c r="A1170" s="122" t="s">
        <v>1772</v>
      </c>
      <c r="B1170" s="17">
        <v>241018.0</v>
      </c>
      <c r="C1170" s="18" t="s">
        <v>687</v>
      </c>
      <c r="D1170" s="4"/>
      <c r="E1170" s="19">
        <v>0.0</v>
      </c>
      <c r="F1170" s="19">
        <v>0.0</v>
      </c>
      <c r="G1170" s="16" t="s">
        <v>659</v>
      </c>
      <c r="H1170" s="21"/>
      <c r="I1170" s="22">
        <v>90.0</v>
      </c>
      <c r="J1170" s="23"/>
      <c r="K1170" s="44">
        <f t="shared" ref="K1170:K1171" si="147">2103*1.19</f>
        <v>2502.57</v>
      </c>
      <c r="L1170" s="44">
        <v>5000.0</v>
      </c>
      <c r="M1170" s="25"/>
      <c r="N1170" s="70"/>
      <c r="O1170" s="27">
        <f t="shared" si="145"/>
        <v>0.9979461114</v>
      </c>
      <c r="P1170" s="28">
        <f t="shared" si="146"/>
        <v>0</v>
      </c>
    </row>
    <row r="1171" hidden="1">
      <c r="A1171" s="122" t="s">
        <v>1773</v>
      </c>
      <c r="B1171" s="17">
        <v>241018.0</v>
      </c>
      <c r="C1171" s="18" t="s">
        <v>687</v>
      </c>
      <c r="D1171" s="4"/>
      <c r="E1171" s="19">
        <v>0.0</v>
      </c>
      <c r="F1171" s="19">
        <v>0.0</v>
      </c>
      <c r="G1171" s="16" t="s">
        <v>659</v>
      </c>
      <c r="H1171" s="21"/>
      <c r="I1171" s="22">
        <v>50.0</v>
      </c>
      <c r="J1171" s="23"/>
      <c r="K1171" s="44">
        <f t="shared" si="147"/>
        <v>2502.57</v>
      </c>
      <c r="L1171" s="44">
        <v>5000.0</v>
      </c>
      <c r="M1171" s="25"/>
      <c r="N1171" s="70"/>
      <c r="O1171" s="27">
        <f t="shared" si="145"/>
        <v>0.9979461114</v>
      </c>
      <c r="P1171" s="28">
        <f t="shared" si="146"/>
        <v>0</v>
      </c>
    </row>
    <row r="1172" hidden="1">
      <c r="A1172" s="122" t="s">
        <v>1774</v>
      </c>
      <c r="B1172" s="17"/>
      <c r="C1172" s="18"/>
      <c r="D1172" s="4"/>
      <c r="E1172" s="19">
        <v>0.0</v>
      </c>
      <c r="F1172" s="19">
        <v>0.0</v>
      </c>
      <c r="G1172" s="16" t="s">
        <v>1775</v>
      </c>
      <c r="H1172" s="73"/>
      <c r="I1172" s="22">
        <v>20.0</v>
      </c>
      <c r="J1172" s="74"/>
      <c r="K1172" s="194">
        <f t="shared" ref="K1172:K1173" si="148">99000/6</f>
        <v>16500</v>
      </c>
      <c r="L1172" s="24">
        <v>26000.0</v>
      </c>
      <c r="M1172" s="25"/>
      <c r="N1172" s="26"/>
      <c r="O1172" s="27">
        <f t="shared" si="145"/>
        <v>0.5757575758</v>
      </c>
      <c r="P1172" s="28">
        <f t="shared" si="146"/>
        <v>0</v>
      </c>
    </row>
    <row r="1173" hidden="1">
      <c r="A1173" s="122" t="s">
        <v>1776</v>
      </c>
      <c r="B1173" s="17"/>
      <c r="C1173" s="18"/>
      <c r="D1173" s="4"/>
      <c r="E1173" s="19">
        <v>0.0</v>
      </c>
      <c r="F1173" s="19">
        <v>0.0</v>
      </c>
      <c r="G1173" s="16" t="s">
        <v>1775</v>
      </c>
      <c r="H1173" s="73"/>
      <c r="I1173" s="22">
        <v>7.0</v>
      </c>
      <c r="J1173" s="74"/>
      <c r="K1173" s="194">
        <f t="shared" si="148"/>
        <v>16500</v>
      </c>
      <c r="L1173" s="24">
        <v>26000.0</v>
      </c>
      <c r="M1173" s="25"/>
      <c r="N1173" s="26"/>
      <c r="O1173" s="27">
        <f t="shared" si="145"/>
        <v>0.5757575758</v>
      </c>
      <c r="P1173" s="28">
        <f t="shared" si="146"/>
        <v>0</v>
      </c>
    </row>
    <row r="1174" hidden="1">
      <c r="A1174" s="52" t="s">
        <v>1777</v>
      </c>
      <c r="B1174" s="49"/>
      <c r="C1174" s="18"/>
      <c r="D1174" s="4"/>
      <c r="E1174" s="19">
        <v>0.0</v>
      </c>
      <c r="F1174" s="19">
        <v>0.0</v>
      </c>
      <c r="G1174" s="16" t="s">
        <v>932</v>
      </c>
      <c r="H1174" s="21"/>
      <c r="I1174" s="22">
        <v>0.0</v>
      </c>
      <c r="J1174" s="29"/>
      <c r="K1174" s="43">
        <f>5126*1.19</f>
        <v>6099.94</v>
      </c>
      <c r="L1174" s="44">
        <v>12000.0</v>
      </c>
      <c r="M1174" s="25"/>
      <c r="N1174" s="26"/>
      <c r="O1174" s="27">
        <f t="shared" si="145"/>
        <v>0.9672324646</v>
      </c>
      <c r="P1174" s="28">
        <f t="shared" si="146"/>
        <v>0</v>
      </c>
    </row>
    <row r="1175" hidden="1">
      <c r="A1175" s="122" t="s">
        <v>1778</v>
      </c>
      <c r="B1175" s="17">
        <v>241021.0</v>
      </c>
      <c r="C1175" s="18" t="s">
        <v>1779</v>
      </c>
      <c r="D1175" s="4"/>
      <c r="E1175" s="19">
        <v>0.0</v>
      </c>
      <c r="F1175" s="19">
        <v>0.0</v>
      </c>
      <c r="G1175" s="16" t="s">
        <v>1780</v>
      </c>
      <c r="H1175" s="21"/>
      <c r="I1175" s="22">
        <v>9.0</v>
      </c>
      <c r="J1175" s="23"/>
      <c r="K1175" s="24">
        <f>1846*1.19</f>
        <v>2196.74</v>
      </c>
      <c r="L1175" s="24">
        <v>4000.0</v>
      </c>
      <c r="M1175" s="25"/>
      <c r="N1175" s="70">
        <v>3000.0</v>
      </c>
      <c r="O1175" s="27">
        <f t="shared" si="145"/>
        <v>0.8208800313</v>
      </c>
      <c r="P1175" s="28">
        <f t="shared" si="146"/>
        <v>0</v>
      </c>
    </row>
    <row r="1176" hidden="1">
      <c r="A1176" s="219" t="s">
        <v>1781</v>
      </c>
      <c r="B1176" s="17">
        <v>241022.0</v>
      </c>
      <c r="C1176" s="18" t="s">
        <v>1782</v>
      </c>
      <c r="D1176" s="4"/>
      <c r="E1176" s="19">
        <v>0.0</v>
      </c>
      <c r="F1176" s="19">
        <v>0.0</v>
      </c>
      <c r="G1176" s="16" t="s">
        <v>1780</v>
      </c>
      <c r="H1176" s="21"/>
      <c r="I1176" s="22">
        <v>0.0</v>
      </c>
      <c r="J1176" s="23"/>
      <c r="K1176" s="24">
        <f>1385*1.19</f>
        <v>1648.15</v>
      </c>
      <c r="L1176" s="24">
        <v>4000.0</v>
      </c>
      <c r="M1176" s="25"/>
      <c r="N1176" s="70">
        <v>3000.0</v>
      </c>
      <c r="O1176" s="27">
        <f t="shared" si="145"/>
        <v>1.426963565</v>
      </c>
      <c r="P1176" s="28">
        <f t="shared" si="146"/>
        <v>0</v>
      </c>
    </row>
    <row r="1177" hidden="1">
      <c r="A1177" s="228" t="s">
        <v>1783</v>
      </c>
      <c r="B1177" s="134" t="s">
        <v>1784</v>
      </c>
      <c r="C1177" s="18" t="s">
        <v>845</v>
      </c>
      <c r="D1177" s="98"/>
      <c r="E1177" s="19">
        <v>0.0</v>
      </c>
      <c r="F1177" s="19"/>
      <c r="G1177" s="20" t="s">
        <v>485</v>
      </c>
      <c r="H1177" s="21">
        <v>0.0</v>
      </c>
      <c r="I1177" s="22"/>
      <c r="J1177" s="173"/>
      <c r="K1177" s="174">
        <f>18764*1.19</f>
        <v>22329.16</v>
      </c>
      <c r="L1177" s="229">
        <v>35000.0</v>
      </c>
      <c r="M1177" s="25"/>
      <c r="N1177" s="26"/>
      <c r="O1177" s="27">
        <f t="shared" si="145"/>
        <v>0.567457083</v>
      </c>
      <c r="P1177" s="28">
        <f t="shared" si="146"/>
        <v>0</v>
      </c>
    </row>
    <row r="1178" hidden="1">
      <c r="A1178" s="59" t="s">
        <v>1785</v>
      </c>
      <c r="B1178" s="134" t="s">
        <v>1786</v>
      </c>
      <c r="C1178" s="18" t="s">
        <v>55</v>
      </c>
      <c r="D1178" s="98"/>
      <c r="E1178" s="19">
        <v>0.0</v>
      </c>
      <c r="F1178" s="19"/>
      <c r="G1178" s="16" t="s">
        <v>485</v>
      </c>
      <c r="H1178" s="21">
        <v>0.0</v>
      </c>
      <c r="I1178" s="22"/>
      <c r="J1178" s="29"/>
      <c r="K1178" s="43">
        <f t="shared" ref="K1178:K1179" si="149">26432*1.19</f>
        <v>31454.08</v>
      </c>
      <c r="L1178" s="229">
        <v>55000.0</v>
      </c>
      <c r="M1178" s="25"/>
      <c r="N1178" s="26"/>
      <c r="O1178" s="27">
        <f t="shared" si="145"/>
        <v>0.7485807882</v>
      </c>
      <c r="P1178" s="28">
        <f t="shared" si="146"/>
        <v>0</v>
      </c>
    </row>
    <row r="1179" hidden="1">
      <c r="A1179" s="59" t="s">
        <v>1787</v>
      </c>
      <c r="B1179" s="134" t="s">
        <v>1788</v>
      </c>
      <c r="C1179" s="18" t="s">
        <v>55</v>
      </c>
      <c r="D1179" s="98"/>
      <c r="E1179" s="19">
        <v>0.0</v>
      </c>
      <c r="F1179" s="19"/>
      <c r="G1179" s="16" t="s">
        <v>485</v>
      </c>
      <c r="H1179" s="21">
        <v>0.0</v>
      </c>
      <c r="I1179" s="22"/>
      <c r="J1179" s="29"/>
      <c r="K1179" s="43">
        <f t="shared" si="149"/>
        <v>31454.08</v>
      </c>
      <c r="L1179" s="229">
        <v>55000.0</v>
      </c>
      <c r="M1179" s="25"/>
      <c r="N1179" s="26"/>
      <c r="O1179" s="27">
        <f t="shared" si="145"/>
        <v>0.7485807882</v>
      </c>
      <c r="P1179" s="28">
        <f t="shared" si="146"/>
        <v>0</v>
      </c>
    </row>
    <row r="1180" hidden="1">
      <c r="A1180" s="59" t="s">
        <v>1789</v>
      </c>
      <c r="B1180" s="134"/>
      <c r="C1180" s="18"/>
      <c r="D1180" s="4"/>
      <c r="E1180" s="19">
        <v>0.0</v>
      </c>
      <c r="F1180" s="19">
        <v>0.0</v>
      </c>
      <c r="G1180" s="16" t="s">
        <v>84</v>
      </c>
      <c r="H1180" s="21"/>
      <c r="I1180" s="22" t="s">
        <v>99</v>
      </c>
      <c r="J1180" s="29"/>
      <c r="K1180" s="43">
        <v>4000.0</v>
      </c>
      <c r="L1180" s="44">
        <v>10000.0</v>
      </c>
      <c r="M1180" s="25"/>
      <c r="N1180" s="26"/>
      <c r="O1180" s="27">
        <f t="shared" si="145"/>
        <v>1.5</v>
      </c>
      <c r="P1180" s="28">
        <f t="shared" si="146"/>
        <v>0</v>
      </c>
    </row>
    <row r="1181" hidden="1">
      <c r="A1181" s="59" t="s">
        <v>1790</v>
      </c>
      <c r="B1181" s="134"/>
      <c r="C1181" s="18"/>
      <c r="D1181" s="4"/>
      <c r="E1181" s="19">
        <v>0.0</v>
      </c>
      <c r="F1181" s="19">
        <v>0.0</v>
      </c>
      <c r="G1181" s="16" t="s">
        <v>84</v>
      </c>
      <c r="H1181" s="21"/>
      <c r="I1181" s="22" t="s">
        <v>99</v>
      </c>
      <c r="J1181" s="29"/>
      <c r="K1181" s="43">
        <v>4000.0</v>
      </c>
      <c r="L1181" s="44">
        <v>10000.0</v>
      </c>
      <c r="M1181" s="25"/>
      <c r="N1181" s="26"/>
      <c r="O1181" s="27">
        <f t="shared" si="145"/>
        <v>1.5</v>
      </c>
      <c r="P1181" s="28">
        <f t="shared" si="146"/>
        <v>0</v>
      </c>
    </row>
    <row r="1182" hidden="1">
      <c r="A1182" s="40" t="s">
        <v>1791</v>
      </c>
      <c r="B1182" s="17"/>
      <c r="C1182" s="18"/>
      <c r="D1182" s="4"/>
      <c r="E1182" s="19">
        <v>0.0</v>
      </c>
      <c r="F1182" s="19">
        <v>0.0</v>
      </c>
      <c r="G1182" s="16" t="s">
        <v>286</v>
      </c>
      <c r="H1182" s="21"/>
      <c r="I1182" s="22">
        <v>0.0</v>
      </c>
      <c r="J1182" s="29"/>
      <c r="K1182" s="43">
        <v>7687.0</v>
      </c>
      <c r="L1182" s="44">
        <v>11000.0</v>
      </c>
      <c r="M1182" s="25"/>
      <c r="N1182" s="26"/>
      <c r="O1182" s="27">
        <f t="shared" si="145"/>
        <v>0.4309873813</v>
      </c>
      <c r="P1182" s="28">
        <f t="shared" si="146"/>
        <v>0</v>
      </c>
    </row>
    <row r="1183" hidden="1">
      <c r="A1183" s="16" t="s">
        <v>1792</v>
      </c>
      <c r="B1183" s="51" t="s">
        <v>1793</v>
      </c>
      <c r="C1183" s="18"/>
      <c r="D1183" s="230"/>
      <c r="E1183" s="19">
        <v>0.0</v>
      </c>
      <c r="F1183" s="19">
        <v>0.0</v>
      </c>
      <c r="G1183" s="54" t="s">
        <v>102</v>
      </c>
      <c r="H1183" s="21"/>
      <c r="I1183" s="22">
        <v>4.0</v>
      </c>
      <c r="J1183" s="29"/>
      <c r="K1183" s="32">
        <f>15423*1.19</f>
        <v>18353.37</v>
      </c>
      <c r="L1183" s="24">
        <v>38000.0</v>
      </c>
      <c r="M1183" s="25"/>
      <c r="N1183" s="26"/>
      <c r="O1183" s="27">
        <f t="shared" si="145"/>
        <v>1.070464443</v>
      </c>
      <c r="P1183" s="28">
        <f t="shared" si="146"/>
        <v>0</v>
      </c>
    </row>
    <row r="1184" hidden="1">
      <c r="A1184" s="119" t="s">
        <v>1794</v>
      </c>
      <c r="B1184" s="51"/>
      <c r="C1184" s="18"/>
      <c r="D1184" s="4"/>
      <c r="E1184" s="19">
        <v>0.0</v>
      </c>
      <c r="F1184" s="19">
        <v>0.0</v>
      </c>
      <c r="G1184" s="120" t="s">
        <v>1795</v>
      </c>
      <c r="H1184" s="21"/>
      <c r="I1184" s="22">
        <v>0.0</v>
      </c>
      <c r="J1184" s="29"/>
      <c r="K1184" s="43">
        <f>63050*1.19</f>
        <v>75029.5</v>
      </c>
      <c r="L1184" s="44">
        <v>100000.0</v>
      </c>
      <c r="M1184" s="25"/>
      <c r="N1184" s="26"/>
      <c r="O1184" s="27">
        <f t="shared" si="145"/>
        <v>0.3328090951</v>
      </c>
      <c r="P1184" s="28">
        <f t="shared" si="146"/>
        <v>0</v>
      </c>
    </row>
    <row r="1185" hidden="1">
      <c r="A1185" s="119" t="s">
        <v>1796</v>
      </c>
      <c r="B1185" s="51"/>
      <c r="C1185" s="18"/>
      <c r="D1185" s="4"/>
      <c r="E1185" s="19">
        <v>0.0</v>
      </c>
      <c r="F1185" s="19">
        <v>0.0</v>
      </c>
      <c r="G1185" s="120" t="s">
        <v>1795</v>
      </c>
      <c r="H1185" s="21"/>
      <c r="I1185" s="22">
        <v>0.0</v>
      </c>
      <c r="J1185" s="29"/>
      <c r="K1185" s="43">
        <f>99910*1.19</f>
        <v>118892.9</v>
      </c>
      <c r="L1185" s="44">
        <v>145000.0</v>
      </c>
      <c r="M1185" s="25"/>
      <c r="N1185" s="26"/>
      <c r="O1185" s="27">
        <f t="shared" si="145"/>
        <v>0.2195850215</v>
      </c>
      <c r="P1185" s="28">
        <f t="shared" si="146"/>
        <v>0</v>
      </c>
    </row>
    <row r="1186" hidden="1">
      <c r="A1186" s="42" t="s">
        <v>1797</v>
      </c>
      <c r="B1186" s="17"/>
      <c r="C1186" s="18"/>
      <c r="D1186" s="4"/>
      <c r="E1186" s="19">
        <v>0.0</v>
      </c>
      <c r="F1186" s="19">
        <v>0.0</v>
      </c>
      <c r="G1186" s="20" t="s">
        <v>1798</v>
      </c>
      <c r="H1186" s="21">
        <v>1.0</v>
      </c>
      <c r="I1186" s="22">
        <v>0.0</v>
      </c>
      <c r="J1186" s="29"/>
      <c r="K1186" s="32">
        <v>153800.0</v>
      </c>
      <c r="L1186" s="24">
        <v>195000.0</v>
      </c>
      <c r="M1186" s="25"/>
      <c r="N1186" s="26"/>
      <c r="O1186" s="27">
        <f t="shared" si="145"/>
        <v>0.2678803641</v>
      </c>
      <c r="P1186" s="28">
        <f t="shared" si="146"/>
        <v>0</v>
      </c>
    </row>
    <row r="1187" hidden="1">
      <c r="A1187" s="118" t="s">
        <v>1799</v>
      </c>
      <c r="B1187" s="17" t="s">
        <v>340</v>
      </c>
      <c r="C1187" s="18"/>
      <c r="D1187" s="4"/>
      <c r="E1187" s="19">
        <v>100.0</v>
      </c>
      <c r="F1187" s="19">
        <v>0.0</v>
      </c>
      <c r="G1187" s="16" t="s">
        <v>1800</v>
      </c>
      <c r="H1187" s="21"/>
      <c r="I1187" s="22">
        <v>50.0</v>
      </c>
      <c r="J1187" s="29"/>
      <c r="K1187" s="43">
        <v>252.0</v>
      </c>
      <c r="L1187" s="44">
        <v>500.0</v>
      </c>
      <c r="M1187" s="25"/>
      <c r="N1187" s="26"/>
      <c r="O1187" s="27">
        <f t="shared" si="145"/>
        <v>0.9841269841</v>
      </c>
      <c r="P1187" s="28">
        <f t="shared" si="146"/>
        <v>0</v>
      </c>
    </row>
    <row r="1188" hidden="1">
      <c r="A1188" s="118" t="s">
        <v>1801</v>
      </c>
      <c r="B1188" s="36" t="s">
        <v>1802</v>
      </c>
      <c r="C1188" s="18"/>
      <c r="D1188" s="4" t="s">
        <v>1803</v>
      </c>
      <c r="E1188" s="19">
        <v>0.0</v>
      </c>
      <c r="F1188" s="19"/>
      <c r="G1188" s="20" t="s">
        <v>1804</v>
      </c>
      <c r="H1188" s="21"/>
      <c r="I1188" s="22"/>
      <c r="J1188" s="29"/>
      <c r="K1188" s="48">
        <f>5000*0.95*1.19</f>
        <v>5652.5</v>
      </c>
      <c r="L1188" s="48">
        <v>10000.0</v>
      </c>
      <c r="M1188" s="25"/>
      <c r="N1188" s="50"/>
      <c r="O1188" s="27">
        <f t="shared" si="145"/>
        <v>0.7691287041</v>
      </c>
      <c r="P1188" s="28">
        <f t="shared" si="146"/>
        <v>0</v>
      </c>
    </row>
    <row r="1189" hidden="1">
      <c r="A1189" s="52" t="s">
        <v>1805</v>
      </c>
      <c r="B1189" s="17" t="s">
        <v>1806</v>
      </c>
      <c r="C1189" s="18"/>
      <c r="D1189" s="4"/>
      <c r="E1189" s="19">
        <v>0.0</v>
      </c>
      <c r="F1189" s="19"/>
      <c r="G1189" s="20" t="s">
        <v>1807</v>
      </c>
      <c r="H1189" s="21"/>
      <c r="I1189" s="22"/>
      <c r="J1189" s="29"/>
      <c r="K1189" s="48">
        <f>5400*1.19</f>
        <v>6426</v>
      </c>
      <c r="L1189" s="55">
        <v>10000.0</v>
      </c>
      <c r="M1189" s="25"/>
      <c r="N1189" s="50"/>
      <c r="O1189" s="27">
        <f t="shared" si="145"/>
        <v>0.5561780268</v>
      </c>
      <c r="P1189" s="28">
        <f t="shared" si="146"/>
        <v>0</v>
      </c>
    </row>
    <row r="1190" hidden="1">
      <c r="A1190" s="16" t="s">
        <v>1808</v>
      </c>
      <c r="B1190" s="17" t="s">
        <v>1809</v>
      </c>
      <c r="C1190" s="18"/>
      <c r="D1190" s="4" t="s">
        <v>1810</v>
      </c>
      <c r="E1190" s="19">
        <v>0.0</v>
      </c>
      <c r="F1190" s="19"/>
      <c r="G1190" s="16" t="s">
        <v>1811</v>
      </c>
      <c r="H1190" s="21"/>
      <c r="I1190" s="22"/>
      <c r="J1190" s="29"/>
      <c r="K1190" s="43">
        <v>1260.0</v>
      </c>
      <c r="L1190" s="44">
        <v>3500.0</v>
      </c>
      <c r="M1190" s="25"/>
      <c r="N1190" s="26"/>
      <c r="O1190" s="27">
        <f t="shared" si="145"/>
        <v>1.777777778</v>
      </c>
      <c r="P1190" s="28">
        <f t="shared" si="146"/>
        <v>0</v>
      </c>
    </row>
    <row r="1191" hidden="1">
      <c r="A1191" s="16" t="s">
        <v>1812</v>
      </c>
      <c r="B1191" s="36"/>
      <c r="C1191" s="18"/>
      <c r="D1191" s="4"/>
      <c r="E1191" s="19">
        <v>0.0</v>
      </c>
      <c r="F1191" s="19"/>
      <c r="G1191" s="16" t="s">
        <v>57</v>
      </c>
      <c r="H1191" s="21"/>
      <c r="I1191" s="22"/>
      <c r="J1191" s="29"/>
      <c r="K1191" s="43">
        <v>1.0</v>
      </c>
      <c r="L1191" s="44">
        <v>3000.0</v>
      </c>
      <c r="M1191" s="25"/>
      <c r="N1191" s="26"/>
      <c r="O1191" s="27">
        <f t="shared" si="145"/>
        <v>2999</v>
      </c>
      <c r="P1191" s="28">
        <f t="shared" si="146"/>
        <v>0</v>
      </c>
    </row>
    <row r="1192" hidden="1">
      <c r="A1192" s="231" t="s">
        <v>1813</v>
      </c>
      <c r="B1192" s="36"/>
      <c r="C1192" s="18"/>
      <c r="D1192" s="67"/>
      <c r="E1192" s="19"/>
      <c r="F1192" s="19"/>
      <c r="G1192" s="16" t="s">
        <v>1814</v>
      </c>
      <c r="H1192" s="21"/>
      <c r="I1192" s="22">
        <v>0.0</v>
      </c>
      <c r="J1192" s="29"/>
      <c r="K1192" s="48">
        <f>56471*1.19</f>
        <v>67200.49</v>
      </c>
      <c r="L1192" s="55">
        <v>96000.0</v>
      </c>
      <c r="M1192" s="25"/>
      <c r="N1192" s="26"/>
      <c r="O1192" s="27">
        <f t="shared" si="145"/>
        <v>0.428561012</v>
      </c>
      <c r="P1192" s="28"/>
    </row>
    <row r="1193" hidden="1">
      <c r="A1193" s="52" t="s">
        <v>1815</v>
      </c>
      <c r="B1193" s="16"/>
      <c r="C1193" s="18"/>
      <c r="D1193" s="98"/>
      <c r="E1193" s="19">
        <v>0.0</v>
      </c>
      <c r="F1193" s="19">
        <v>0.0</v>
      </c>
      <c r="G1193" s="16" t="s">
        <v>563</v>
      </c>
      <c r="H1193" s="21"/>
      <c r="I1193" s="22"/>
      <c r="J1193" s="47"/>
      <c r="K1193" s="48">
        <f t="shared" ref="K1193:K1194" si="150">28000*1.19/2</f>
        <v>16660</v>
      </c>
      <c r="L1193" s="48">
        <v>23000.0</v>
      </c>
      <c r="M1193" s="25">
        <v>19.0</v>
      </c>
      <c r="N1193" s="39"/>
      <c r="O1193" s="27">
        <f>(L1193/K1193)-1</f>
        <v>0.3805522209</v>
      </c>
      <c r="P1193" s="28">
        <f>K1193*F1193</f>
        <v>0</v>
      </c>
    </row>
    <row r="1194" hidden="1">
      <c r="A1194" s="231" t="s">
        <v>1816</v>
      </c>
      <c r="B1194" s="36"/>
      <c r="C1194" s="18"/>
      <c r="D1194" s="4"/>
      <c r="E1194" s="19">
        <v>0.0</v>
      </c>
      <c r="F1194" s="19">
        <v>0.0</v>
      </c>
      <c r="G1194" s="16" t="s">
        <v>65</v>
      </c>
      <c r="H1194" s="21"/>
      <c r="I1194" s="22">
        <v>0.0</v>
      </c>
      <c r="J1194" s="29"/>
      <c r="K1194" s="32">
        <f t="shared" si="150"/>
        <v>16660</v>
      </c>
      <c r="L1194" s="24">
        <v>23000.0</v>
      </c>
      <c r="M1194" s="25"/>
      <c r="N1194" s="26"/>
      <c r="O1194" s="27">
        <f t="shared" ref="O1194:O1203" si="151">(L1194/K1194)-1</f>
        <v>0.3805522209</v>
      </c>
      <c r="P1194" s="28"/>
    </row>
    <row r="1195" hidden="1">
      <c r="A1195" s="16" t="s">
        <v>1817</v>
      </c>
      <c r="B1195" s="17" t="s">
        <v>1818</v>
      </c>
      <c r="C1195" s="18"/>
      <c r="D1195" s="4"/>
      <c r="E1195" s="19">
        <v>0.0</v>
      </c>
      <c r="F1195" s="19"/>
      <c r="G1195" s="16" t="s">
        <v>1811</v>
      </c>
      <c r="H1195" s="21"/>
      <c r="I1195" s="22"/>
      <c r="J1195" s="29"/>
      <c r="K1195" s="48">
        <f>162000*1.19/35</f>
        <v>5508</v>
      </c>
      <c r="L1195" s="55">
        <v>9000.0</v>
      </c>
      <c r="M1195" s="25"/>
      <c r="N1195" s="26"/>
      <c r="O1195" s="27">
        <f t="shared" si="151"/>
        <v>0.6339869281</v>
      </c>
      <c r="P1195" s="28">
        <f t="shared" ref="P1195:P1196" si="152">K1195*F1195</f>
        <v>0</v>
      </c>
    </row>
    <row r="1196" hidden="1">
      <c r="A1196" s="16" t="s">
        <v>1819</v>
      </c>
      <c r="B1196" s="36"/>
      <c r="C1196" s="18"/>
      <c r="D1196" s="4"/>
      <c r="E1196" s="19">
        <v>0.0</v>
      </c>
      <c r="F1196" s="19">
        <v>0.0</v>
      </c>
      <c r="G1196" s="20" t="s">
        <v>1820</v>
      </c>
      <c r="H1196" s="21"/>
      <c r="I1196" s="22">
        <v>0.0</v>
      </c>
      <c r="J1196" s="29"/>
      <c r="K1196" s="43">
        <v>48900.0</v>
      </c>
      <c r="L1196" s="44">
        <v>70000.0</v>
      </c>
      <c r="M1196" s="25"/>
      <c r="N1196" s="26"/>
      <c r="O1196" s="27">
        <f t="shared" si="151"/>
        <v>0.4314928425</v>
      </c>
      <c r="P1196" s="28">
        <f t="shared" si="152"/>
        <v>0</v>
      </c>
    </row>
    <row r="1197" hidden="1">
      <c r="A1197" s="16" t="s">
        <v>1821</v>
      </c>
      <c r="B1197" s="36"/>
      <c r="C1197" s="18"/>
      <c r="D1197" s="4"/>
      <c r="E1197" s="19"/>
      <c r="F1197" s="19">
        <v>0.0</v>
      </c>
      <c r="G1197" s="20" t="s">
        <v>45</v>
      </c>
      <c r="H1197" s="21"/>
      <c r="I1197" s="22"/>
      <c r="J1197" s="29"/>
      <c r="K1197" s="48">
        <v>90375.0</v>
      </c>
      <c r="L1197" s="55">
        <v>110000.0</v>
      </c>
      <c r="M1197" s="25"/>
      <c r="N1197" s="26">
        <v>98000.0</v>
      </c>
      <c r="O1197" s="27">
        <f t="shared" si="151"/>
        <v>0.2171507607</v>
      </c>
      <c r="P1197" s="28"/>
    </row>
    <row r="1198" hidden="1">
      <c r="A1198" s="16" t="s">
        <v>1822</v>
      </c>
      <c r="B1198" s="17" t="s">
        <v>1823</v>
      </c>
      <c r="C1198" s="38"/>
      <c r="D1198" s="67"/>
      <c r="E1198" s="19"/>
      <c r="F1198" s="19"/>
      <c r="G1198" s="16" t="s">
        <v>1435</v>
      </c>
      <c r="H1198" s="143"/>
      <c r="I1198" s="22">
        <v>3.0</v>
      </c>
      <c r="J1198" s="232"/>
      <c r="K1198" s="233">
        <v>595000.0</v>
      </c>
      <c r="L1198" s="55">
        <v>720000.0</v>
      </c>
      <c r="M1198" s="25"/>
      <c r="N1198" s="26">
        <v>640000.0</v>
      </c>
      <c r="O1198" s="27">
        <f t="shared" si="151"/>
        <v>0.2100840336</v>
      </c>
      <c r="P1198" s="28">
        <f t="shared" ref="P1198:P1203" si="153">K1198*F1198</f>
        <v>0</v>
      </c>
    </row>
    <row r="1199" hidden="1">
      <c r="A1199" s="234" t="s">
        <v>1824</v>
      </c>
      <c r="B1199" s="17" t="s">
        <v>1825</v>
      </c>
      <c r="C1199" s="18" t="s">
        <v>948</v>
      </c>
      <c r="D1199" s="4"/>
      <c r="E1199" s="19" t="s">
        <v>1826</v>
      </c>
      <c r="F1199" s="19" t="s">
        <v>1827</v>
      </c>
      <c r="G1199" s="16" t="s">
        <v>1828</v>
      </c>
      <c r="H1199" s="21">
        <v>0.0</v>
      </c>
      <c r="I1199" s="235"/>
      <c r="J1199" s="29"/>
      <c r="K1199" s="32">
        <f>6400*1.19</f>
        <v>7616</v>
      </c>
      <c r="L1199" s="24">
        <v>13000.0</v>
      </c>
      <c r="M1199" s="25"/>
      <c r="N1199" s="70">
        <v>9000.0</v>
      </c>
      <c r="O1199" s="27">
        <f t="shared" si="151"/>
        <v>0.7069327731</v>
      </c>
      <c r="P1199" s="28" t="str">
        <f t="shared" si="153"/>
        <v>#VALUE!</v>
      </c>
    </row>
    <row r="1200" hidden="1">
      <c r="A1200" s="16" t="s">
        <v>1829</v>
      </c>
      <c r="B1200" s="17"/>
      <c r="C1200" s="18"/>
      <c r="D1200" s="4"/>
      <c r="E1200" s="19">
        <v>0.0</v>
      </c>
      <c r="F1200" s="19">
        <v>0.0</v>
      </c>
      <c r="G1200" s="16" t="s">
        <v>425</v>
      </c>
      <c r="H1200" s="99"/>
      <c r="I1200" s="22">
        <v>0.0</v>
      </c>
      <c r="J1200" s="182"/>
      <c r="K1200" s="236">
        <f>410851*1.19</f>
        <v>488912.69</v>
      </c>
      <c r="L1200" s="44">
        <v>720000.0</v>
      </c>
      <c r="M1200" s="25"/>
      <c r="N1200" s="26"/>
      <c r="O1200" s="27">
        <f t="shared" si="151"/>
        <v>0.4726555778</v>
      </c>
      <c r="P1200" s="28">
        <f t="shared" si="153"/>
        <v>0</v>
      </c>
    </row>
    <row r="1201" hidden="1">
      <c r="A1201" s="122" t="s">
        <v>1830</v>
      </c>
      <c r="B1201" s="17"/>
      <c r="C1201" s="18"/>
      <c r="D1201" s="4"/>
      <c r="E1201" s="19">
        <v>0.0</v>
      </c>
      <c r="F1201" s="19">
        <v>0.0</v>
      </c>
      <c r="G1201" s="16" t="s">
        <v>16</v>
      </c>
      <c r="H1201" s="73"/>
      <c r="I1201" s="22">
        <v>1.0</v>
      </c>
      <c r="J1201" s="74"/>
      <c r="K1201" s="75">
        <v>239400.0</v>
      </c>
      <c r="L1201" s="44">
        <v>550000.0</v>
      </c>
      <c r="M1201" s="25"/>
      <c r="N1201" s="26"/>
      <c r="O1201" s="27">
        <f t="shared" si="151"/>
        <v>1.297410192</v>
      </c>
      <c r="P1201" s="28">
        <f t="shared" si="153"/>
        <v>0</v>
      </c>
    </row>
    <row r="1202" hidden="1">
      <c r="A1202" s="122" t="s">
        <v>1831</v>
      </c>
      <c r="B1202" s="17"/>
      <c r="C1202" s="18"/>
      <c r="D1202" s="4"/>
      <c r="E1202" s="19">
        <v>0.0</v>
      </c>
      <c r="F1202" s="19">
        <v>0.0</v>
      </c>
      <c r="G1202" s="16" t="s">
        <v>16</v>
      </c>
      <c r="H1202" s="73"/>
      <c r="I1202" s="22">
        <v>0.0</v>
      </c>
      <c r="J1202" s="74"/>
      <c r="K1202" s="75">
        <v>291000.0</v>
      </c>
      <c r="L1202" s="44">
        <v>550000.0</v>
      </c>
      <c r="M1202" s="25"/>
      <c r="N1202" s="26"/>
      <c r="O1202" s="27">
        <f t="shared" si="151"/>
        <v>0.8900343643</v>
      </c>
      <c r="P1202" s="28">
        <f t="shared" si="153"/>
        <v>0</v>
      </c>
    </row>
    <row r="1203" hidden="1">
      <c r="A1203" s="122" t="s">
        <v>1832</v>
      </c>
      <c r="B1203" s="17">
        <v>243002.0</v>
      </c>
      <c r="C1203" s="18"/>
      <c r="D1203" s="98"/>
      <c r="E1203" s="19">
        <v>0.0</v>
      </c>
      <c r="F1203" s="19">
        <v>0.0</v>
      </c>
      <c r="G1203" s="16" t="s">
        <v>425</v>
      </c>
      <c r="H1203" s="21"/>
      <c r="I1203" s="22">
        <v>10.0</v>
      </c>
      <c r="J1203" s="23"/>
      <c r="K1203" s="55">
        <v>500000.0</v>
      </c>
      <c r="L1203" s="55">
        <v>580000.0</v>
      </c>
      <c r="M1203" s="25"/>
      <c r="N1203" s="26">
        <v>570000.0</v>
      </c>
      <c r="O1203" s="27">
        <f t="shared" si="151"/>
        <v>0.16</v>
      </c>
      <c r="P1203" s="28">
        <f t="shared" si="153"/>
        <v>0</v>
      </c>
    </row>
    <row r="1204" hidden="1">
      <c r="A1204" s="122" t="s">
        <v>1833</v>
      </c>
      <c r="B1204" s="17"/>
      <c r="C1204" s="18"/>
      <c r="D1204" s="4"/>
      <c r="E1204" s="19">
        <v>0.0</v>
      </c>
      <c r="F1204" s="19">
        <v>0.0</v>
      </c>
      <c r="G1204" s="16" t="s">
        <v>400</v>
      </c>
      <c r="H1204" s="73"/>
      <c r="I1204" s="22">
        <v>3.0</v>
      </c>
      <c r="J1204" s="74"/>
      <c r="K1204" s="75"/>
      <c r="L1204" s="44"/>
      <c r="M1204" s="25"/>
      <c r="N1204" s="26"/>
      <c r="O1204" s="27"/>
      <c r="P1204" s="28"/>
    </row>
    <row r="1205" hidden="1">
      <c r="A1205" s="122" t="s">
        <v>1834</v>
      </c>
      <c r="B1205" s="17"/>
      <c r="C1205" s="18"/>
      <c r="D1205" s="4"/>
      <c r="E1205" s="19">
        <v>0.0</v>
      </c>
      <c r="F1205" s="19"/>
      <c r="G1205" s="16" t="s">
        <v>553</v>
      </c>
      <c r="H1205" s="21"/>
      <c r="I1205" s="22"/>
      <c r="J1205" s="29"/>
      <c r="K1205" s="43">
        <v>1.0</v>
      </c>
      <c r="L1205" s="43">
        <v>1.0</v>
      </c>
      <c r="M1205" s="25"/>
      <c r="N1205" s="50"/>
      <c r="O1205" s="27">
        <f t="shared" ref="O1205:O1221" si="154">(L1205/K1205)-1</f>
        <v>0</v>
      </c>
      <c r="P1205" s="28">
        <f t="shared" ref="P1205:P1213" si="155">K1205*F1205</f>
        <v>0</v>
      </c>
    </row>
    <row r="1206" hidden="1">
      <c r="A1206" s="40" t="s">
        <v>1835</v>
      </c>
      <c r="B1206" s="36"/>
      <c r="C1206" s="18" t="s">
        <v>1020</v>
      </c>
      <c r="D1206" s="4"/>
      <c r="E1206" s="19">
        <v>0.0</v>
      </c>
      <c r="F1206" s="19">
        <v>5.0</v>
      </c>
      <c r="G1206" s="16" t="s">
        <v>610</v>
      </c>
      <c r="H1206" s="21"/>
      <c r="I1206" s="22"/>
      <c r="J1206" s="23"/>
      <c r="K1206" s="55">
        <f>73949*1.19</f>
        <v>87999.31</v>
      </c>
      <c r="L1206" s="55">
        <v>110000.0</v>
      </c>
      <c r="M1206" s="25"/>
      <c r="N1206" s="26">
        <v>94000.0</v>
      </c>
      <c r="O1206" s="27">
        <f t="shared" si="154"/>
        <v>0.2500098012</v>
      </c>
      <c r="P1206" s="28">
        <f t="shared" si="155"/>
        <v>439996.55</v>
      </c>
    </row>
    <row r="1207" hidden="1">
      <c r="A1207" s="118" t="s">
        <v>1836</v>
      </c>
      <c r="B1207" s="17"/>
      <c r="C1207" s="18"/>
      <c r="D1207" s="4"/>
      <c r="E1207" s="19">
        <v>0.0</v>
      </c>
      <c r="F1207" s="19">
        <v>0.0</v>
      </c>
      <c r="G1207" s="16" t="s">
        <v>513</v>
      </c>
      <c r="H1207" s="21"/>
      <c r="I1207" s="22">
        <v>0.0</v>
      </c>
      <c r="J1207" s="29"/>
      <c r="K1207" s="43">
        <v>7000.0</v>
      </c>
      <c r="L1207" s="44">
        <v>12000.0</v>
      </c>
      <c r="M1207" s="25"/>
      <c r="N1207" s="26"/>
      <c r="O1207" s="27">
        <f t="shared" si="154"/>
        <v>0.7142857143</v>
      </c>
      <c r="P1207" s="28">
        <f t="shared" si="155"/>
        <v>0</v>
      </c>
    </row>
    <row r="1208" hidden="1">
      <c r="A1208" s="122" t="s">
        <v>1837</v>
      </c>
      <c r="B1208" s="17">
        <v>248003.0</v>
      </c>
      <c r="C1208" s="18"/>
      <c r="D1208" s="4"/>
      <c r="E1208" s="19">
        <v>0.0</v>
      </c>
      <c r="F1208" s="19">
        <v>0.0</v>
      </c>
      <c r="G1208" s="16" t="s">
        <v>659</v>
      </c>
      <c r="H1208" s="73"/>
      <c r="I1208" s="22">
        <v>30.0</v>
      </c>
      <c r="J1208" s="74"/>
      <c r="K1208" s="75">
        <f>9596*1.19/12</f>
        <v>951.6033333</v>
      </c>
      <c r="L1208" s="44">
        <v>2000.0</v>
      </c>
      <c r="M1208" s="25"/>
      <c r="N1208" s="26"/>
      <c r="O1208" s="27">
        <f t="shared" si="154"/>
        <v>1.101716051</v>
      </c>
      <c r="P1208" s="28">
        <f t="shared" si="155"/>
        <v>0</v>
      </c>
    </row>
    <row r="1209" hidden="1">
      <c r="A1209" s="16" t="s">
        <v>1838</v>
      </c>
      <c r="B1209" s="178"/>
      <c r="C1209" s="18" t="s">
        <v>985</v>
      </c>
      <c r="D1209" s="4"/>
      <c r="E1209" s="19">
        <v>0.0</v>
      </c>
      <c r="F1209" s="19">
        <v>0.0</v>
      </c>
      <c r="G1209" s="40" t="s">
        <v>93</v>
      </c>
      <c r="H1209" s="21"/>
      <c r="I1209" s="22">
        <v>0.0</v>
      </c>
      <c r="J1209" s="29"/>
      <c r="K1209" s="48">
        <v>206700.0</v>
      </c>
      <c r="L1209" s="55">
        <v>229700.0</v>
      </c>
      <c r="M1209" s="25" t="s">
        <v>82</v>
      </c>
      <c r="N1209" s="39"/>
      <c r="O1209" s="27">
        <f t="shared" si="154"/>
        <v>0.1112723754</v>
      </c>
      <c r="P1209" s="28">
        <f t="shared" si="155"/>
        <v>0</v>
      </c>
    </row>
    <row r="1210" hidden="1">
      <c r="A1210" s="16" t="s">
        <v>1839</v>
      </c>
      <c r="B1210" s="51" t="s">
        <v>1840</v>
      </c>
      <c r="C1210" s="38"/>
      <c r="D1210" s="61"/>
      <c r="E1210" s="19"/>
      <c r="F1210" s="19"/>
      <c r="G1210" s="16" t="s">
        <v>91</v>
      </c>
      <c r="H1210" s="21">
        <f>87*2</f>
        <v>174</v>
      </c>
      <c r="I1210" s="22">
        <v>3.0</v>
      </c>
      <c r="J1210" s="47">
        <v>46508.0</v>
      </c>
      <c r="K1210" s="24">
        <f>174000/2</f>
        <v>87000</v>
      </c>
      <c r="L1210" s="24">
        <v>120000.0</v>
      </c>
      <c r="M1210" s="25"/>
      <c r="N1210" s="102">
        <v>90000.0</v>
      </c>
      <c r="O1210" s="27">
        <f t="shared" si="154"/>
        <v>0.3793103448</v>
      </c>
      <c r="P1210" s="28">
        <f t="shared" si="155"/>
        <v>0</v>
      </c>
    </row>
    <row r="1211" hidden="1">
      <c r="A1211" s="16" t="s">
        <v>1841</v>
      </c>
      <c r="B1211" s="17" t="s">
        <v>1842</v>
      </c>
      <c r="C1211" s="18"/>
      <c r="D1211" s="4" t="s">
        <v>1148</v>
      </c>
      <c r="E1211" s="19">
        <v>0.0</v>
      </c>
      <c r="F1211" s="19">
        <v>15.0</v>
      </c>
      <c r="G1211" s="20" t="s">
        <v>911</v>
      </c>
      <c r="H1211" s="21"/>
      <c r="I1211" s="22">
        <v>11.0</v>
      </c>
      <c r="J1211" s="29"/>
      <c r="K1211" s="32">
        <v>96000.0</v>
      </c>
      <c r="L1211" s="24">
        <v>130000.0</v>
      </c>
      <c r="M1211" s="25"/>
      <c r="N1211" s="26">
        <v>110000.0</v>
      </c>
      <c r="O1211" s="27">
        <f t="shared" si="154"/>
        <v>0.3541666667</v>
      </c>
      <c r="P1211" s="28">
        <f t="shared" si="155"/>
        <v>1440000</v>
      </c>
    </row>
    <row r="1212" hidden="1">
      <c r="A1212" s="16" t="s">
        <v>1843</v>
      </c>
      <c r="B1212" s="17" t="s">
        <v>1842</v>
      </c>
      <c r="C1212" s="18"/>
      <c r="D1212" s="4" t="s">
        <v>1148</v>
      </c>
      <c r="E1212" s="19">
        <v>0.0</v>
      </c>
      <c r="F1212" s="19">
        <v>15.0</v>
      </c>
      <c r="G1212" s="20" t="s">
        <v>911</v>
      </c>
      <c r="H1212" s="21"/>
      <c r="I1212" s="22">
        <v>0.0</v>
      </c>
      <c r="J1212" s="29"/>
      <c r="K1212" s="32">
        <v>96000.0</v>
      </c>
      <c r="L1212" s="24">
        <v>130000.0</v>
      </c>
      <c r="M1212" s="25"/>
      <c r="N1212" s="26"/>
      <c r="O1212" s="27">
        <f t="shared" si="154"/>
        <v>0.3541666667</v>
      </c>
      <c r="P1212" s="28">
        <f t="shared" si="155"/>
        <v>1440000</v>
      </c>
    </row>
    <row r="1213" hidden="1">
      <c r="A1213" s="52" t="s">
        <v>1844</v>
      </c>
      <c r="B1213" s="17" t="s">
        <v>1845</v>
      </c>
      <c r="C1213" s="18"/>
      <c r="D1213" s="4" t="s">
        <v>1148</v>
      </c>
      <c r="E1213" s="19">
        <v>0.0</v>
      </c>
      <c r="F1213" s="19">
        <v>15.0</v>
      </c>
      <c r="G1213" s="16" t="s">
        <v>1846</v>
      </c>
      <c r="H1213" s="21"/>
      <c r="I1213" s="22">
        <v>5.0</v>
      </c>
      <c r="J1213" s="29"/>
      <c r="K1213" s="32">
        <v>45000.0</v>
      </c>
      <c r="L1213" s="24">
        <v>65000.0</v>
      </c>
      <c r="M1213" s="25"/>
      <c r="N1213" s="26">
        <v>55000.0</v>
      </c>
      <c r="O1213" s="27">
        <f t="shared" si="154"/>
        <v>0.4444444444</v>
      </c>
      <c r="P1213" s="28">
        <f t="shared" si="155"/>
        <v>675000</v>
      </c>
    </row>
    <row r="1214" hidden="1">
      <c r="A1214" s="16" t="s">
        <v>1847</v>
      </c>
      <c r="B1214" s="17"/>
      <c r="C1214" s="18"/>
      <c r="D1214" s="4"/>
      <c r="E1214" s="19">
        <v>0.0</v>
      </c>
      <c r="F1214" s="19">
        <v>0.0</v>
      </c>
      <c r="G1214" s="16" t="s">
        <v>1846</v>
      </c>
      <c r="H1214" s="237"/>
      <c r="I1214" s="22">
        <v>11.0</v>
      </c>
      <c r="J1214" s="238"/>
      <c r="K1214" s="239"/>
      <c r="L1214" s="44">
        <v>78000.0</v>
      </c>
      <c r="M1214" s="25"/>
      <c r="N1214" s="26"/>
      <c r="O1214" s="27" t="str">
        <f t="shared" si="154"/>
        <v>#DIV/0!</v>
      </c>
      <c r="P1214" s="28">
        <f>L1214*F1214</f>
        <v>0</v>
      </c>
    </row>
    <row r="1215" hidden="1">
      <c r="A1215" s="52" t="s">
        <v>1848</v>
      </c>
      <c r="B1215" s="17" t="s">
        <v>1845</v>
      </c>
      <c r="C1215" s="18"/>
      <c r="D1215" s="4" t="s">
        <v>1148</v>
      </c>
      <c r="E1215" s="19">
        <v>0.0</v>
      </c>
      <c r="F1215" s="19">
        <v>10.0</v>
      </c>
      <c r="G1215" s="16" t="s">
        <v>1846</v>
      </c>
      <c r="H1215" s="21"/>
      <c r="I1215" s="22">
        <v>0.0</v>
      </c>
      <c r="J1215" s="29"/>
      <c r="K1215" s="32">
        <v>45000.0</v>
      </c>
      <c r="L1215" s="24">
        <v>65000.0</v>
      </c>
      <c r="M1215" s="25"/>
      <c r="N1215" s="26"/>
      <c r="O1215" s="27">
        <f t="shared" si="154"/>
        <v>0.4444444444</v>
      </c>
      <c r="P1215" s="28">
        <f t="shared" ref="P1215:P1221" si="156">K1215*F1215</f>
        <v>450000</v>
      </c>
    </row>
    <row r="1216" hidden="1">
      <c r="A1216" s="52" t="s">
        <v>1849</v>
      </c>
      <c r="B1216" s="17"/>
      <c r="C1216" s="18"/>
      <c r="D1216" s="4"/>
      <c r="E1216" s="19">
        <v>0.0</v>
      </c>
      <c r="F1216" s="19">
        <v>0.0</v>
      </c>
      <c r="G1216" s="16" t="s">
        <v>692</v>
      </c>
      <c r="H1216" s="21"/>
      <c r="I1216" s="22">
        <v>0.0</v>
      </c>
      <c r="J1216" s="29"/>
      <c r="K1216" s="43">
        <f t="shared" ref="K1216:K1217" si="157">82000*1.19</f>
        <v>97580</v>
      </c>
      <c r="L1216" s="44">
        <v>130000.0</v>
      </c>
      <c r="M1216" s="25"/>
      <c r="N1216" s="26"/>
      <c r="O1216" s="27">
        <f t="shared" si="154"/>
        <v>0.3322402132</v>
      </c>
      <c r="P1216" s="28">
        <f t="shared" si="156"/>
        <v>0</v>
      </c>
    </row>
    <row r="1217" hidden="1">
      <c r="A1217" s="52" t="s">
        <v>1850</v>
      </c>
      <c r="B1217" s="17"/>
      <c r="C1217" s="18"/>
      <c r="D1217" s="4"/>
      <c r="E1217" s="19">
        <v>0.0</v>
      </c>
      <c r="F1217" s="19">
        <v>0.0</v>
      </c>
      <c r="G1217" s="16" t="s">
        <v>692</v>
      </c>
      <c r="H1217" s="21"/>
      <c r="I1217" s="22">
        <v>0.0</v>
      </c>
      <c r="J1217" s="29"/>
      <c r="K1217" s="43">
        <f t="shared" si="157"/>
        <v>97580</v>
      </c>
      <c r="L1217" s="44">
        <v>130000.0</v>
      </c>
      <c r="M1217" s="25"/>
      <c r="N1217" s="26"/>
      <c r="O1217" s="27">
        <f t="shared" si="154"/>
        <v>0.3322402132</v>
      </c>
      <c r="P1217" s="28">
        <f t="shared" si="156"/>
        <v>0</v>
      </c>
    </row>
    <row r="1218" hidden="1">
      <c r="A1218" s="16" t="s">
        <v>1851</v>
      </c>
      <c r="B1218" s="17"/>
      <c r="C1218" s="18"/>
      <c r="D1218" s="4"/>
      <c r="E1218" s="19">
        <v>0.0</v>
      </c>
      <c r="F1218" s="19">
        <v>0.0</v>
      </c>
      <c r="G1218" s="20" t="s">
        <v>911</v>
      </c>
      <c r="H1218" s="21"/>
      <c r="I1218" s="22">
        <v>0.0</v>
      </c>
      <c r="J1218" s="29"/>
      <c r="K1218" s="48">
        <f>170000*1.19</f>
        <v>202300</v>
      </c>
      <c r="L1218" s="55">
        <v>280000.0</v>
      </c>
      <c r="M1218" s="25"/>
      <c r="N1218" s="26">
        <v>240000.0</v>
      </c>
      <c r="O1218" s="27">
        <f t="shared" si="154"/>
        <v>0.384083045</v>
      </c>
      <c r="P1218" s="28">
        <f t="shared" si="156"/>
        <v>0</v>
      </c>
    </row>
    <row r="1219" hidden="1">
      <c r="A1219" s="16" t="s">
        <v>1852</v>
      </c>
      <c r="B1219" s="17"/>
      <c r="C1219" s="18"/>
      <c r="D1219" s="4"/>
      <c r="E1219" s="19">
        <v>0.0</v>
      </c>
      <c r="F1219" s="19">
        <v>0.0</v>
      </c>
      <c r="G1219" s="20" t="s">
        <v>911</v>
      </c>
      <c r="H1219" s="21"/>
      <c r="I1219" s="22">
        <v>3.0</v>
      </c>
      <c r="J1219" s="29"/>
      <c r="K1219" s="32">
        <f>90000*1.19</f>
        <v>107100</v>
      </c>
      <c r="L1219" s="24">
        <v>160000.0</v>
      </c>
      <c r="M1219" s="25"/>
      <c r="N1219" s="26">
        <v>145000.0</v>
      </c>
      <c r="O1219" s="27">
        <f t="shared" si="154"/>
        <v>0.4939309057</v>
      </c>
      <c r="P1219" s="28">
        <f t="shared" si="156"/>
        <v>0</v>
      </c>
    </row>
    <row r="1220" hidden="1">
      <c r="A1220" s="16" t="s">
        <v>1853</v>
      </c>
      <c r="B1220" s="17" t="s">
        <v>1854</v>
      </c>
      <c r="C1220" s="18"/>
      <c r="D1220" s="4"/>
      <c r="E1220" s="19">
        <v>0.0</v>
      </c>
      <c r="F1220" s="19">
        <v>0.0</v>
      </c>
      <c r="G1220" s="16" t="s">
        <v>1855</v>
      </c>
      <c r="H1220" s="21"/>
      <c r="I1220" s="22">
        <v>19.0</v>
      </c>
      <c r="J1220" s="23"/>
      <c r="K1220" s="24">
        <v>3000.0</v>
      </c>
      <c r="L1220" s="24">
        <v>4000.0</v>
      </c>
      <c r="M1220" s="25"/>
      <c r="N1220" s="26"/>
      <c r="O1220" s="27">
        <f t="shared" si="154"/>
        <v>0.3333333333</v>
      </c>
      <c r="P1220" s="28">
        <f t="shared" si="156"/>
        <v>0</v>
      </c>
    </row>
    <row r="1221" hidden="1">
      <c r="A1221" s="16" t="s">
        <v>1856</v>
      </c>
      <c r="B1221" s="17" t="s">
        <v>1857</v>
      </c>
      <c r="C1221" s="18"/>
      <c r="D1221" s="4"/>
      <c r="E1221" s="19">
        <v>0.0</v>
      </c>
      <c r="F1221" s="19">
        <v>0.0</v>
      </c>
      <c r="G1221" s="16" t="s">
        <v>1855</v>
      </c>
      <c r="H1221" s="21"/>
      <c r="I1221" s="22">
        <v>22.0</v>
      </c>
      <c r="J1221" s="29"/>
      <c r="K1221" s="48">
        <v>3500.0</v>
      </c>
      <c r="L1221" s="55">
        <v>6000.0</v>
      </c>
      <c r="M1221" s="116"/>
      <c r="N1221" s="48">
        <v>4500.0</v>
      </c>
      <c r="O1221" s="27">
        <f t="shared" si="154"/>
        <v>0.7142857143</v>
      </c>
      <c r="P1221" s="28">
        <f t="shared" si="156"/>
        <v>0</v>
      </c>
    </row>
    <row r="1222" hidden="1">
      <c r="A1222" s="16" t="s">
        <v>1858</v>
      </c>
      <c r="B1222" s="17" t="s">
        <v>1857</v>
      </c>
      <c r="C1222" s="18"/>
      <c r="D1222" s="4"/>
      <c r="E1222" s="19">
        <v>0.0</v>
      </c>
      <c r="F1222" s="19">
        <v>0.0</v>
      </c>
      <c r="G1222" s="16" t="s">
        <v>1855</v>
      </c>
      <c r="H1222" s="21"/>
      <c r="I1222" s="22">
        <v>53.0</v>
      </c>
      <c r="J1222" s="29"/>
      <c r="K1222" s="48">
        <v>3500.0</v>
      </c>
      <c r="L1222" s="55">
        <v>6000.0</v>
      </c>
      <c r="M1222" s="116"/>
      <c r="N1222" s="48">
        <v>4500.0</v>
      </c>
      <c r="O1222" s="27"/>
      <c r="P1222" s="28"/>
    </row>
    <row r="1223" hidden="1">
      <c r="A1223" s="16" t="s">
        <v>1859</v>
      </c>
      <c r="B1223" s="17" t="s">
        <v>1857</v>
      </c>
      <c r="C1223" s="18"/>
      <c r="D1223" s="4"/>
      <c r="E1223" s="19">
        <v>0.0</v>
      </c>
      <c r="F1223" s="19">
        <v>0.0</v>
      </c>
      <c r="G1223" s="16" t="s">
        <v>1855</v>
      </c>
      <c r="H1223" s="21"/>
      <c r="I1223" s="22">
        <v>18.0</v>
      </c>
      <c r="J1223" s="29"/>
      <c r="K1223" s="48">
        <v>3500.0</v>
      </c>
      <c r="L1223" s="55">
        <v>6000.0</v>
      </c>
      <c r="M1223" s="116"/>
      <c r="N1223" s="48">
        <v>4500.0</v>
      </c>
      <c r="O1223" s="27">
        <f t="shared" ref="O1223:O1226" si="158">(L1223/K1223)-1</f>
        <v>0.7142857143</v>
      </c>
      <c r="P1223" s="28">
        <f t="shared" ref="P1223:P1226" si="159">K1223*F1223</f>
        <v>0</v>
      </c>
    </row>
    <row r="1224" hidden="1">
      <c r="A1224" s="16" t="s">
        <v>1860</v>
      </c>
      <c r="B1224" s="17"/>
      <c r="C1224" s="18"/>
      <c r="D1224" s="4"/>
      <c r="E1224" s="19">
        <v>0.0</v>
      </c>
      <c r="F1224" s="19">
        <v>0.0</v>
      </c>
      <c r="G1224" s="16" t="s">
        <v>1855</v>
      </c>
      <c r="H1224" s="21"/>
      <c r="I1224" s="22">
        <v>0.0</v>
      </c>
      <c r="J1224" s="29"/>
      <c r="K1224" s="43">
        <v>3500.0</v>
      </c>
      <c r="L1224" s="44">
        <v>5000.0</v>
      </c>
      <c r="M1224" s="25"/>
      <c r="N1224" s="26"/>
      <c r="O1224" s="27">
        <f t="shared" si="158"/>
        <v>0.4285714286</v>
      </c>
      <c r="P1224" s="28">
        <f t="shared" si="159"/>
        <v>0</v>
      </c>
    </row>
    <row r="1225" hidden="1">
      <c r="A1225" s="16" t="s">
        <v>1861</v>
      </c>
      <c r="B1225" s="36"/>
      <c r="C1225" s="18"/>
      <c r="D1225" s="4"/>
      <c r="E1225" s="19">
        <v>0.0</v>
      </c>
      <c r="F1225" s="19">
        <v>0.0</v>
      </c>
      <c r="G1225" s="16" t="s">
        <v>1862</v>
      </c>
      <c r="H1225" s="21"/>
      <c r="I1225" s="22"/>
      <c r="J1225" s="47">
        <v>46388.0</v>
      </c>
      <c r="K1225" s="48">
        <v>9620.0</v>
      </c>
      <c r="L1225" s="24">
        <v>13000.0</v>
      </c>
      <c r="M1225" s="25" t="s">
        <v>76</v>
      </c>
      <c r="N1225" s="26"/>
      <c r="O1225" s="27">
        <f t="shared" si="158"/>
        <v>0.3513513514</v>
      </c>
      <c r="P1225" s="28">
        <f t="shared" si="159"/>
        <v>0</v>
      </c>
    </row>
    <row r="1226" hidden="1">
      <c r="A1226" s="40" t="s">
        <v>1863</v>
      </c>
      <c r="B1226" s="36"/>
      <c r="C1226" s="18"/>
      <c r="D1226" s="4"/>
      <c r="E1226" s="19">
        <v>0.0</v>
      </c>
      <c r="F1226" s="19">
        <v>0.0</v>
      </c>
      <c r="G1226" s="16" t="s">
        <v>1862</v>
      </c>
      <c r="H1226" s="21"/>
      <c r="I1226" s="22"/>
      <c r="J1226" s="47">
        <v>46388.0</v>
      </c>
      <c r="K1226" s="55">
        <v>9243.0</v>
      </c>
      <c r="L1226" s="24">
        <v>12000.0</v>
      </c>
      <c r="M1226" s="25" t="s">
        <v>76</v>
      </c>
      <c r="N1226" s="26"/>
      <c r="O1226" s="27">
        <f t="shared" si="158"/>
        <v>0.2982797793</v>
      </c>
      <c r="P1226" s="28">
        <f t="shared" si="159"/>
        <v>0</v>
      </c>
    </row>
    <row r="1227" hidden="1">
      <c r="A1227" s="122" t="s">
        <v>1864</v>
      </c>
      <c r="B1227" s="17"/>
      <c r="C1227" s="18"/>
      <c r="D1227" s="98"/>
      <c r="E1227" s="19">
        <v>0.0</v>
      </c>
      <c r="F1227" s="19">
        <v>0.0</v>
      </c>
      <c r="G1227" s="16" t="s">
        <v>400</v>
      </c>
      <c r="H1227" s="21"/>
      <c r="I1227" s="22"/>
      <c r="J1227" s="23"/>
      <c r="K1227" s="30">
        <v>1279200.0</v>
      </c>
      <c r="L1227" s="186">
        <v>2800000.0</v>
      </c>
      <c r="M1227" s="25"/>
      <c r="N1227" s="26"/>
      <c r="O1227" s="27"/>
      <c r="P1227" s="28"/>
    </row>
    <row r="1228" hidden="1">
      <c r="A1228" s="16" t="s">
        <v>1865</v>
      </c>
      <c r="B1228" s="36"/>
      <c r="C1228" s="18"/>
      <c r="D1228" s="4"/>
      <c r="E1228" s="19">
        <v>0.0</v>
      </c>
      <c r="F1228" s="19">
        <v>0.0</v>
      </c>
      <c r="G1228" s="16" t="s">
        <v>470</v>
      </c>
      <c r="H1228" s="21"/>
      <c r="I1228" s="22">
        <v>1.0</v>
      </c>
      <c r="J1228" s="29"/>
      <c r="K1228" s="48">
        <f>167900/2</f>
        <v>83950</v>
      </c>
      <c r="L1228" s="55">
        <v>105000.0</v>
      </c>
      <c r="M1228" s="25"/>
      <c r="N1228" s="26"/>
      <c r="O1228" s="27">
        <f t="shared" ref="O1228:O1264" si="160">(L1228/K1228)-1</f>
        <v>0.2507444908</v>
      </c>
      <c r="P1228" s="28">
        <f t="shared" ref="P1228:P1257" si="161">K1228*F1228</f>
        <v>0</v>
      </c>
    </row>
    <row r="1229" hidden="1">
      <c r="A1229" s="16" t="s">
        <v>1866</v>
      </c>
      <c r="B1229" s="36"/>
      <c r="C1229" s="18"/>
      <c r="D1229" s="4"/>
      <c r="E1229" s="19">
        <v>0.0</v>
      </c>
      <c r="F1229" s="19">
        <v>0.0</v>
      </c>
      <c r="G1229" s="16" t="s">
        <v>470</v>
      </c>
      <c r="H1229" s="21"/>
      <c r="I1229" s="22">
        <v>1.0</v>
      </c>
      <c r="J1229" s="29"/>
      <c r="K1229" s="48">
        <v>116100.0</v>
      </c>
      <c r="L1229" s="55">
        <v>145000.0</v>
      </c>
      <c r="M1229" s="25"/>
      <c r="N1229" s="26"/>
      <c r="O1229" s="27">
        <f t="shared" si="160"/>
        <v>0.2489233419</v>
      </c>
      <c r="P1229" s="28">
        <f t="shared" si="161"/>
        <v>0</v>
      </c>
    </row>
    <row r="1230" hidden="1">
      <c r="A1230" s="52" t="s">
        <v>1867</v>
      </c>
      <c r="B1230" s="17"/>
      <c r="C1230" s="18"/>
      <c r="D1230" s="4"/>
      <c r="E1230" s="19">
        <v>0.0</v>
      </c>
      <c r="F1230" s="19">
        <v>0.0</v>
      </c>
      <c r="G1230" s="16" t="s">
        <v>1868</v>
      </c>
      <c r="H1230" s="21"/>
      <c r="I1230" s="22">
        <v>0.0</v>
      </c>
      <c r="J1230" s="29"/>
      <c r="K1230" s="43">
        <f>67000*1.19</f>
        <v>79730</v>
      </c>
      <c r="L1230" s="44">
        <v>100000.0</v>
      </c>
      <c r="M1230" s="25"/>
      <c r="N1230" s="26"/>
      <c r="O1230" s="27">
        <f t="shared" si="160"/>
        <v>0.2542330365</v>
      </c>
      <c r="P1230" s="28">
        <f t="shared" si="161"/>
        <v>0</v>
      </c>
    </row>
    <row r="1231" hidden="1">
      <c r="A1231" s="52" t="s">
        <v>1869</v>
      </c>
      <c r="B1231" s="36"/>
      <c r="C1231" s="18"/>
      <c r="D1231" s="4"/>
      <c r="E1231" s="19">
        <v>0.0</v>
      </c>
      <c r="F1231" s="19">
        <v>0.0</v>
      </c>
      <c r="G1231" s="16" t="s">
        <v>1868</v>
      </c>
      <c r="H1231" s="21"/>
      <c r="I1231" s="22">
        <v>13.0</v>
      </c>
      <c r="J1231" s="29"/>
      <c r="K1231" s="32">
        <v>75000.0</v>
      </c>
      <c r="L1231" s="24">
        <v>110000.0</v>
      </c>
      <c r="M1231" s="25"/>
      <c r="N1231" s="26">
        <v>98000.0</v>
      </c>
      <c r="O1231" s="27">
        <f t="shared" si="160"/>
        <v>0.4666666667</v>
      </c>
      <c r="P1231" s="28">
        <f t="shared" si="161"/>
        <v>0</v>
      </c>
    </row>
    <row r="1232" hidden="1">
      <c r="A1232" s="52" t="s">
        <v>1870</v>
      </c>
      <c r="B1232" s="240"/>
      <c r="C1232" s="18"/>
      <c r="D1232" s="4"/>
      <c r="E1232" s="19">
        <v>0.0</v>
      </c>
      <c r="F1232" s="19">
        <v>0.0</v>
      </c>
      <c r="G1232" s="16" t="s">
        <v>1868</v>
      </c>
      <c r="H1232" s="21"/>
      <c r="I1232" s="22">
        <v>3.0</v>
      </c>
      <c r="J1232" s="29"/>
      <c r="K1232" s="43">
        <f>58000*1.19</f>
        <v>69020</v>
      </c>
      <c r="L1232" s="44">
        <v>80000.0</v>
      </c>
      <c r="M1232" s="25"/>
      <c r="N1232" s="26"/>
      <c r="O1232" s="27">
        <f t="shared" si="160"/>
        <v>0.1590843234</v>
      </c>
      <c r="P1232" s="28">
        <f t="shared" si="161"/>
        <v>0</v>
      </c>
    </row>
    <row r="1233" hidden="1">
      <c r="A1233" s="52" t="s">
        <v>1871</v>
      </c>
      <c r="B1233" s="17"/>
      <c r="C1233" s="18"/>
      <c r="D1233" s="4"/>
      <c r="E1233" s="19">
        <v>0.0</v>
      </c>
      <c r="F1233" s="19">
        <v>0.0</v>
      </c>
      <c r="G1233" s="16" t="s">
        <v>1868</v>
      </c>
      <c r="H1233" s="21"/>
      <c r="I1233" s="22">
        <v>0.0</v>
      </c>
      <c r="J1233" s="29"/>
      <c r="K1233" s="43">
        <f>48000*1.19</f>
        <v>57120</v>
      </c>
      <c r="L1233" s="44">
        <v>72000.0</v>
      </c>
      <c r="M1233" s="25"/>
      <c r="N1233" s="26"/>
      <c r="O1233" s="27">
        <f t="shared" si="160"/>
        <v>0.2605042017</v>
      </c>
      <c r="P1233" s="28">
        <f t="shared" si="161"/>
        <v>0</v>
      </c>
    </row>
    <row r="1234" hidden="1">
      <c r="A1234" s="52" t="s">
        <v>1872</v>
      </c>
      <c r="B1234" s="17"/>
      <c r="C1234" s="18"/>
      <c r="D1234" s="4"/>
      <c r="E1234" s="19">
        <v>0.0</v>
      </c>
      <c r="F1234" s="19">
        <v>0.0</v>
      </c>
      <c r="G1234" s="16" t="s">
        <v>1868</v>
      </c>
      <c r="H1234" s="33"/>
      <c r="I1234" s="22">
        <v>0.0</v>
      </c>
      <c r="J1234" s="34"/>
      <c r="K1234" s="123">
        <f>55000*1.19</f>
        <v>65450</v>
      </c>
      <c r="L1234" s="44">
        <v>82000.0</v>
      </c>
      <c r="M1234" s="25"/>
      <c r="N1234" s="26"/>
      <c r="O1234" s="27">
        <f t="shared" si="160"/>
        <v>0.2528647823</v>
      </c>
      <c r="P1234" s="28">
        <f t="shared" si="161"/>
        <v>0</v>
      </c>
    </row>
    <row r="1235" hidden="1">
      <c r="A1235" s="42" t="s">
        <v>1873</v>
      </c>
      <c r="B1235" s="51"/>
      <c r="C1235" s="18"/>
      <c r="D1235" s="4"/>
      <c r="E1235" s="19">
        <v>0.0</v>
      </c>
      <c r="F1235" s="19">
        <v>0.0</v>
      </c>
      <c r="G1235" s="16" t="s">
        <v>1874</v>
      </c>
      <c r="H1235" s="21"/>
      <c r="I1235" s="22" t="s">
        <v>99</v>
      </c>
      <c r="J1235" s="23"/>
      <c r="K1235" s="44">
        <v>70000.0</v>
      </c>
      <c r="L1235" s="44">
        <v>120000.0</v>
      </c>
      <c r="M1235" s="25"/>
      <c r="N1235" s="26"/>
      <c r="O1235" s="27">
        <f t="shared" si="160"/>
        <v>0.7142857143</v>
      </c>
      <c r="P1235" s="28">
        <f t="shared" si="161"/>
        <v>0</v>
      </c>
    </row>
    <row r="1236" hidden="1">
      <c r="A1236" s="42" t="s">
        <v>1875</v>
      </c>
      <c r="B1236" s="51"/>
      <c r="C1236" s="18"/>
      <c r="D1236" s="4"/>
      <c r="E1236" s="19">
        <v>0.0</v>
      </c>
      <c r="F1236" s="19">
        <v>0.0</v>
      </c>
      <c r="G1236" s="16" t="s">
        <v>1876</v>
      </c>
      <c r="H1236" s="21"/>
      <c r="I1236" s="22"/>
      <c r="J1236" s="23"/>
      <c r="K1236" s="44">
        <v>244200.0</v>
      </c>
      <c r="L1236" s="44">
        <v>290000.0</v>
      </c>
      <c r="M1236" s="25"/>
      <c r="N1236" s="26"/>
      <c r="O1236" s="27">
        <f t="shared" si="160"/>
        <v>0.1875511876</v>
      </c>
      <c r="P1236" s="28">
        <f t="shared" si="161"/>
        <v>0</v>
      </c>
    </row>
    <row r="1237" hidden="1">
      <c r="A1237" s="16" t="s">
        <v>1877</v>
      </c>
      <c r="B1237" s="241"/>
      <c r="C1237" s="18"/>
      <c r="D1237" s="4"/>
      <c r="E1237" s="19"/>
      <c r="F1237" s="19"/>
      <c r="G1237" s="16" t="s">
        <v>640</v>
      </c>
      <c r="H1237" s="21">
        <v>0.0</v>
      </c>
      <c r="I1237" s="22"/>
      <c r="J1237" s="23"/>
      <c r="K1237" s="55">
        <f>79900*1.19</f>
        <v>95081</v>
      </c>
      <c r="L1237" s="55">
        <v>126000.0</v>
      </c>
      <c r="M1237" s="25"/>
      <c r="N1237" s="70"/>
      <c r="O1237" s="27">
        <f t="shared" si="160"/>
        <v>0.3251858941</v>
      </c>
      <c r="P1237" s="28">
        <f t="shared" si="161"/>
        <v>0</v>
      </c>
    </row>
    <row r="1238" hidden="1">
      <c r="A1238" s="16" t="s">
        <v>1878</v>
      </c>
      <c r="B1238" s="157"/>
      <c r="C1238" s="18"/>
      <c r="D1238" s="4"/>
      <c r="E1238" s="19"/>
      <c r="F1238" s="19"/>
      <c r="G1238" s="16" t="s">
        <v>640</v>
      </c>
      <c r="H1238" s="21">
        <v>0.0</v>
      </c>
      <c r="I1238" s="22"/>
      <c r="J1238" s="29"/>
      <c r="K1238" s="43">
        <v>23300.0</v>
      </c>
      <c r="L1238" s="44">
        <v>35000.0</v>
      </c>
      <c r="M1238" s="25"/>
      <c r="N1238" s="26"/>
      <c r="O1238" s="27">
        <f t="shared" si="160"/>
        <v>0.5021459227</v>
      </c>
      <c r="P1238" s="28">
        <f t="shared" si="161"/>
        <v>0</v>
      </c>
    </row>
    <row r="1239" hidden="1">
      <c r="A1239" s="16" t="s">
        <v>1879</v>
      </c>
      <c r="B1239" s="241"/>
      <c r="C1239" s="18"/>
      <c r="D1239" s="4"/>
      <c r="E1239" s="19">
        <v>0.0</v>
      </c>
      <c r="F1239" s="19">
        <v>0.0</v>
      </c>
      <c r="G1239" s="16" t="s">
        <v>341</v>
      </c>
      <c r="H1239" s="21"/>
      <c r="I1239" s="22">
        <f>13+8</f>
        <v>21</v>
      </c>
      <c r="J1239" s="29"/>
      <c r="K1239" s="43">
        <f>L1237/50</f>
        <v>2520</v>
      </c>
      <c r="L1239" s="44">
        <v>5000.0</v>
      </c>
      <c r="M1239" s="25"/>
      <c r="N1239" s="26"/>
      <c r="O1239" s="27">
        <f t="shared" si="160"/>
        <v>0.9841269841</v>
      </c>
      <c r="P1239" s="28">
        <f t="shared" si="161"/>
        <v>0</v>
      </c>
    </row>
    <row r="1240" hidden="1">
      <c r="A1240" s="16" t="s">
        <v>1880</v>
      </c>
      <c r="B1240" s="36" t="s">
        <v>1881</v>
      </c>
      <c r="C1240" s="18" t="s">
        <v>1020</v>
      </c>
      <c r="D1240" s="98"/>
      <c r="E1240" s="19"/>
      <c r="F1240" s="19"/>
      <c r="G1240" s="16" t="s">
        <v>610</v>
      </c>
      <c r="H1240" s="21"/>
      <c r="I1240" s="22"/>
      <c r="J1240" s="23"/>
      <c r="K1240" s="55">
        <f>101260*1.19</f>
        <v>120499.4</v>
      </c>
      <c r="L1240" s="55">
        <v>140000.0</v>
      </c>
      <c r="M1240" s="25"/>
      <c r="N1240" s="26"/>
      <c r="O1240" s="27">
        <f t="shared" si="160"/>
        <v>0.1618315112</v>
      </c>
      <c r="P1240" s="28">
        <f t="shared" si="161"/>
        <v>0</v>
      </c>
    </row>
    <row r="1241" hidden="1">
      <c r="A1241" s="42" t="s">
        <v>1882</v>
      </c>
      <c r="B1241" s="51"/>
      <c r="C1241" s="18"/>
      <c r="D1241" s="4"/>
      <c r="E1241" s="19"/>
      <c r="F1241" s="19"/>
      <c r="G1241" s="16" t="s">
        <v>98</v>
      </c>
      <c r="H1241" s="21">
        <v>0.0</v>
      </c>
      <c r="I1241" s="22">
        <v>1.0</v>
      </c>
      <c r="J1241" s="58">
        <v>46296.0</v>
      </c>
      <c r="K1241" s="24">
        <f t="shared" ref="K1241:K1242" si="162">19800*1.19</f>
        <v>23562</v>
      </c>
      <c r="L1241" s="24">
        <v>30000.0</v>
      </c>
      <c r="M1241" s="25">
        <v>1.19</v>
      </c>
      <c r="N1241" s="26">
        <v>27200.0</v>
      </c>
      <c r="O1241" s="27">
        <f t="shared" si="160"/>
        <v>0.2732365674</v>
      </c>
      <c r="P1241" s="28">
        <f t="shared" si="161"/>
        <v>0</v>
      </c>
    </row>
    <row r="1242" hidden="1">
      <c r="A1242" s="42" t="s">
        <v>1883</v>
      </c>
      <c r="B1242" s="51"/>
      <c r="C1242" s="18"/>
      <c r="D1242" s="4"/>
      <c r="E1242" s="19"/>
      <c r="F1242" s="19"/>
      <c r="G1242" s="16" t="s">
        <v>98</v>
      </c>
      <c r="H1242" s="21">
        <v>0.0</v>
      </c>
      <c r="I1242" s="22">
        <v>0.0</v>
      </c>
      <c r="J1242" s="23"/>
      <c r="K1242" s="24">
        <f t="shared" si="162"/>
        <v>23562</v>
      </c>
      <c r="L1242" s="24">
        <v>30000.0</v>
      </c>
      <c r="M1242" s="25">
        <v>1.19</v>
      </c>
      <c r="N1242" s="26">
        <v>27200.0</v>
      </c>
      <c r="O1242" s="27">
        <f t="shared" si="160"/>
        <v>0.2732365674</v>
      </c>
      <c r="P1242" s="28">
        <f t="shared" si="161"/>
        <v>0</v>
      </c>
    </row>
    <row r="1243" hidden="1">
      <c r="A1243" s="40" t="s">
        <v>1884</v>
      </c>
      <c r="B1243" s="17"/>
      <c r="C1243" s="18"/>
      <c r="D1243" s="4"/>
      <c r="E1243" s="19">
        <v>0.0</v>
      </c>
      <c r="F1243" s="19">
        <v>0.0</v>
      </c>
      <c r="G1243" s="16" t="s">
        <v>93</v>
      </c>
      <c r="H1243" s="21"/>
      <c r="I1243" s="22">
        <v>0.0</v>
      </c>
      <c r="J1243" s="29"/>
      <c r="K1243" s="43">
        <v>25000.0</v>
      </c>
      <c r="L1243" s="44">
        <v>42000.0</v>
      </c>
      <c r="M1243" s="25"/>
      <c r="N1243" s="26"/>
      <c r="O1243" s="27">
        <f t="shared" si="160"/>
        <v>0.68</v>
      </c>
      <c r="P1243" s="28">
        <f t="shared" si="161"/>
        <v>0</v>
      </c>
    </row>
    <row r="1244" hidden="1">
      <c r="A1244" s="40" t="s">
        <v>1885</v>
      </c>
      <c r="B1244" s="17"/>
      <c r="C1244" s="18"/>
      <c r="D1244" s="4"/>
      <c r="E1244" s="19">
        <v>0.0</v>
      </c>
      <c r="F1244" s="19">
        <v>0.0</v>
      </c>
      <c r="G1244" s="16" t="s">
        <v>93</v>
      </c>
      <c r="H1244" s="21"/>
      <c r="I1244" s="22">
        <v>0.0</v>
      </c>
      <c r="J1244" s="29"/>
      <c r="K1244" s="43">
        <v>24000.0</v>
      </c>
      <c r="L1244" s="44">
        <v>42000.0</v>
      </c>
      <c r="M1244" s="25"/>
      <c r="N1244" s="26"/>
      <c r="O1244" s="27">
        <f t="shared" si="160"/>
        <v>0.75</v>
      </c>
      <c r="P1244" s="28">
        <f t="shared" si="161"/>
        <v>0</v>
      </c>
    </row>
    <row r="1245" hidden="1">
      <c r="A1245" s="16" t="s">
        <v>1886</v>
      </c>
      <c r="B1245" s="17"/>
      <c r="C1245" s="18"/>
      <c r="D1245" s="4"/>
      <c r="E1245" s="19">
        <v>0.0</v>
      </c>
      <c r="F1245" s="19"/>
      <c r="G1245" s="16" t="s">
        <v>1259</v>
      </c>
      <c r="H1245" s="21"/>
      <c r="I1245" s="22"/>
      <c r="J1245" s="29"/>
      <c r="K1245" s="43">
        <v>55000.0</v>
      </c>
      <c r="L1245" s="44">
        <v>75000.0</v>
      </c>
      <c r="M1245" s="25"/>
      <c r="N1245" s="26"/>
      <c r="O1245" s="27">
        <f t="shared" si="160"/>
        <v>0.3636363636</v>
      </c>
      <c r="P1245" s="28">
        <f t="shared" si="161"/>
        <v>0</v>
      </c>
    </row>
    <row r="1246" hidden="1">
      <c r="A1246" s="16" t="s">
        <v>1887</v>
      </c>
      <c r="B1246" s="17" t="s">
        <v>1888</v>
      </c>
      <c r="C1246" s="18"/>
      <c r="D1246" s="4"/>
      <c r="E1246" s="19">
        <v>1.0</v>
      </c>
      <c r="F1246" s="19">
        <v>0.0</v>
      </c>
      <c r="G1246" s="16" t="s">
        <v>119</v>
      </c>
      <c r="H1246" s="21">
        <v>0.0</v>
      </c>
      <c r="I1246" s="22">
        <v>1.0</v>
      </c>
      <c r="J1246" s="29"/>
      <c r="K1246" s="48">
        <v>87100.0</v>
      </c>
      <c r="L1246" s="55">
        <v>124000.0</v>
      </c>
      <c r="M1246" s="25"/>
      <c r="N1246" s="26"/>
      <c r="O1246" s="27">
        <f t="shared" si="160"/>
        <v>0.4236509759</v>
      </c>
      <c r="P1246" s="28">
        <f t="shared" si="161"/>
        <v>0</v>
      </c>
    </row>
    <row r="1247" hidden="1">
      <c r="A1247" s="16" t="s">
        <v>1889</v>
      </c>
      <c r="B1247" s="17" t="s">
        <v>1890</v>
      </c>
      <c r="C1247" s="38"/>
      <c r="D1247" s="4"/>
      <c r="E1247" s="19">
        <v>0.0</v>
      </c>
      <c r="F1247" s="19">
        <v>0.0</v>
      </c>
      <c r="G1247" s="20" t="s">
        <v>468</v>
      </c>
      <c r="H1247" s="21">
        <v>2.0</v>
      </c>
      <c r="I1247" s="22">
        <v>2.0</v>
      </c>
      <c r="J1247" s="45"/>
      <c r="K1247" s="46">
        <v>112867.0</v>
      </c>
      <c r="L1247" s="24">
        <v>145000.0</v>
      </c>
      <c r="M1247" s="25"/>
      <c r="N1247" s="26"/>
      <c r="O1247" s="27">
        <f t="shared" si="160"/>
        <v>0.2846979188</v>
      </c>
      <c r="P1247" s="28">
        <f t="shared" si="161"/>
        <v>0</v>
      </c>
    </row>
    <row r="1248" hidden="1">
      <c r="A1248" s="42" t="s">
        <v>1891</v>
      </c>
      <c r="B1248" s="71"/>
      <c r="C1248" s="18"/>
      <c r="D1248" s="4"/>
      <c r="E1248" s="19"/>
      <c r="F1248" s="19"/>
      <c r="G1248" s="16" t="s">
        <v>1400</v>
      </c>
      <c r="H1248" s="21"/>
      <c r="I1248" s="22">
        <v>1.0</v>
      </c>
      <c r="J1248" s="23"/>
      <c r="K1248" s="55">
        <v>93000.0</v>
      </c>
      <c r="L1248" s="55">
        <v>98000.0</v>
      </c>
      <c r="M1248" s="25"/>
      <c r="N1248" s="48">
        <v>90000.0</v>
      </c>
      <c r="O1248" s="27">
        <f t="shared" si="160"/>
        <v>0.05376344086</v>
      </c>
      <c r="P1248" s="28">
        <f t="shared" si="161"/>
        <v>0</v>
      </c>
    </row>
    <row r="1249" hidden="1">
      <c r="A1249" s="42" t="s">
        <v>1892</v>
      </c>
      <c r="B1249" s="71"/>
      <c r="C1249" s="18"/>
      <c r="D1249" s="4"/>
      <c r="E1249" s="19"/>
      <c r="F1249" s="19"/>
      <c r="G1249" s="16" t="s">
        <v>1400</v>
      </c>
      <c r="H1249" s="21"/>
      <c r="I1249" s="22">
        <v>1.0</v>
      </c>
      <c r="J1249" s="23"/>
      <c r="K1249" s="55">
        <v>224999.0</v>
      </c>
      <c r="L1249" s="55">
        <v>280000.0</v>
      </c>
      <c r="M1249" s="25"/>
      <c r="N1249" s="48">
        <v>260000.0</v>
      </c>
      <c r="O1249" s="27">
        <f t="shared" si="160"/>
        <v>0.2444499753</v>
      </c>
      <c r="P1249" s="28">
        <f t="shared" si="161"/>
        <v>0</v>
      </c>
    </row>
    <row r="1250" hidden="1">
      <c r="A1250" s="16" t="s">
        <v>1893</v>
      </c>
      <c r="B1250" s="17"/>
      <c r="C1250" s="18"/>
      <c r="D1250" s="4"/>
      <c r="E1250" s="19">
        <v>0.0</v>
      </c>
      <c r="F1250" s="19">
        <v>0.0</v>
      </c>
      <c r="G1250" s="16" t="s">
        <v>1400</v>
      </c>
      <c r="H1250" s="21"/>
      <c r="I1250" s="22"/>
      <c r="J1250" s="23">
        <f>633752*1.19/80</f>
        <v>9427.061</v>
      </c>
      <c r="K1250" s="44">
        <f>621743/50*1.19</f>
        <v>14797.4834</v>
      </c>
      <c r="L1250" s="44">
        <v>18000.0</v>
      </c>
      <c r="M1250" s="25"/>
      <c r="N1250" s="26"/>
      <c r="O1250" s="27">
        <f t="shared" si="160"/>
        <v>0.2164230575</v>
      </c>
      <c r="P1250" s="28">
        <f t="shared" si="161"/>
        <v>0</v>
      </c>
    </row>
    <row r="1251" hidden="1">
      <c r="A1251" s="16" t="s">
        <v>1894</v>
      </c>
      <c r="B1251" s="17" t="s">
        <v>1895</v>
      </c>
      <c r="C1251" s="18"/>
      <c r="D1251" s="4"/>
      <c r="E1251" s="19">
        <v>0.0</v>
      </c>
      <c r="F1251" s="19">
        <v>0.0</v>
      </c>
      <c r="G1251" s="16" t="s">
        <v>1400</v>
      </c>
      <c r="H1251" s="21"/>
      <c r="I1251" s="22">
        <v>35.0</v>
      </c>
      <c r="J1251" s="47">
        <v>46447.0</v>
      </c>
      <c r="K1251" s="32">
        <f t="shared" ref="K1251:K1252" si="163">9244*1.19</f>
        <v>11000.36</v>
      </c>
      <c r="L1251" s="24">
        <v>15000.0</v>
      </c>
      <c r="M1251" s="25"/>
      <c r="N1251" s="50">
        <v>12000.0</v>
      </c>
      <c r="O1251" s="27">
        <f t="shared" si="160"/>
        <v>0.363591737</v>
      </c>
      <c r="P1251" s="28">
        <f t="shared" si="161"/>
        <v>0</v>
      </c>
    </row>
    <row r="1252" hidden="1">
      <c r="A1252" s="16" t="s">
        <v>1896</v>
      </c>
      <c r="B1252" s="17" t="s">
        <v>1895</v>
      </c>
      <c r="C1252" s="18"/>
      <c r="D1252" s="4"/>
      <c r="E1252" s="19">
        <v>0.0</v>
      </c>
      <c r="F1252" s="19">
        <v>0.0</v>
      </c>
      <c r="G1252" s="16" t="s">
        <v>1400</v>
      </c>
      <c r="H1252" s="21"/>
      <c r="I1252" s="22">
        <v>40.0</v>
      </c>
      <c r="J1252" s="47">
        <v>46570.0</v>
      </c>
      <c r="K1252" s="32">
        <f t="shared" si="163"/>
        <v>11000.36</v>
      </c>
      <c r="L1252" s="24">
        <v>15000.0</v>
      </c>
      <c r="M1252" s="25"/>
      <c r="N1252" s="26">
        <v>12000.0</v>
      </c>
      <c r="O1252" s="27">
        <f t="shared" si="160"/>
        <v>0.363591737</v>
      </c>
      <c r="P1252" s="28">
        <f t="shared" si="161"/>
        <v>0</v>
      </c>
    </row>
    <row r="1253" hidden="1">
      <c r="A1253" s="16" t="s">
        <v>1897</v>
      </c>
      <c r="B1253" s="17"/>
      <c r="C1253" s="18"/>
      <c r="D1253" s="4"/>
      <c r="E1253" s="19">
        <v>0.0</v>
      </c>
      <c r="F1253" s="19">
        <v>0.0</v>
      </c>
      <c r="G1253" s="16" t="s">
        <v>580</v>
      </c>
      <c r="H1253" s="21"/>
      <c r="I1253" s="22">
        <v>2.0</v>
      </c>
      <c r="J1253" s="47"/>
      <c r="K1253" s="24">
        <v>19459.850000000002</v>
      </c>
      <c r="L1253" s="24">
        <v>100000.0</v>
      </c>
      <c r="M1253" s="25"/>
      <c r="N1253" s="26"/>
      <c r="O1253" s="27">
        <f t="shared" si="160"/>
        <v>4.138785756</v>
      </c>
      <c r="P1253" s="28">
        <f t="shared" si="161"/>
        <v>0</v>
      </c>
    </row>
    <row r="1254" hidden="1">
      <c r="A1254" s="16" t="s">
        <v>1898</v>
      </c>
      <c r="B1254" s="17"/>
      <c r="C1254" s="18"/>
      <c r="D1254" s="19"/>
      <c r="E1254" s="19">
        <v>0.0</v>
      </c>
      <c r="F1254" s="19">
        <v>0.0</v>
      </c>
      <c r="G1254" s="16" t="s">
        <v>63</v>
      </c>
      <c r="H1254" s="21"/>
      <c r="I1254" s="22">
        <v>1.0</v>
      </c>
      <c r="J1254" s="47"/>
      <c r="K1254" s="32">
        <v>201520.0</v>
      </c>
      <c r="L1254" s="24">
        <v>310000.0</v>
      </c>
      <c r="M1254" s="25"/>
      <c r="N1254" s="26"/>
      <c r="O1254" s="27">
        <f t="shared" si="160"/>
        <v>0.5383088527</v>
      </c>
      <c r="P1254" s="28">
        <f t="shared" si="161"/>
        <v>0</v>
      </c>
    </row>
    <row r="1255" hidden="1">
      <c r="A1255" s="16" t="s">
        <v>1899</v>
      </c>
      <c r="B1255" s="17"/>
      <c r="C1255" s="18"/>
      <c r="D1255" s="107" t="s">
        <v>251</v>
      </c>
      <c r="E1255" s="19">
        <v>1.0</v>
      </c>
      <c r="F1255" s="19">
        <v>1.0</v>
      </c>
      <c r="G1255" s="16" t="s">
        <v>63</v>
      </c>
      <c r="H1255" s="21"/>
      <c r="I1255" s="22">
        <v>0.0</v>
      </c>
      <c r="J1255" s="29"/>
      <c r="K1255" s="32">
        <v>201520.0</v>
      </c>
      <c r="L1255" s="24">
        <v>310000.0</v>
      </c>
      <c r="M1255" s="25"/>
      <c r="N1255" s="26"/>
      <c r="O1255" s="27">
        <f t="shared" si="160"/>
        <v>0.5383088527</v>
      </c>
      <c r="P1255" s="28">
        <f t="shared" si="161"/>
        <v>201520</v>
      </c>
    </row>
    <row r="1256" hidden="1">
      <c r="A1256" s="16" t="s">
        <v>1900</v>
      </c>
      <c r="B1256" s="17"/>
      <c r="C1256" s="18"/>
      <c r="D1256" s="4"/>
      <c r="E1256" s="19">
        <v>0.0</v>
      </c>
      <c r="F1256" s="19">
        <v>0.0</v>
      </c>
      <c r="G1256" s="16" t="s">
        <v>16</v>
      </c>
      <c r="H1256" s="21"/>
      <c r="I1256" s="22">
        <v>0.0</v>
      </c>
      <c r="J1256" s="29"/>
      <c r="K1256" s="43">
        <v>25000.0</v>
      </c>
      <c r="L1256" s="44">
        <v>45000.0</v>
      </c>
      <c r="M1256" s="25"/>
      <c r="N1256" s="26"/>
      <c r="O1256" s="27">
        <f t="shared" si="160"/>
        <v>0.8</v>
      </c>
      <c r="P1256" s="28">
        <f t="shared" si="161"/>
        <v>0</v>
      </c>
    </row>
    <row r="1257" hidden="1">
      <c r="A1257" s="52" t="s">
        <v>1901</v>
      </c>
      <c r="B1257" s="17" t="s">
        <v>1902</v>
      </c>
      <c r="C1257" s="18"/>
      <c r="D1257" s="4"/>
      <c r="E1257" s="19">
        <v>3.0</v>
      </c>
      <c r="F1257" s="19">
        <v>0.0</v>
      </c>
      <c r="G1257" s="16" t="s">
        <v>1903</v>
      </c>
      <c r="H1257" s="21"/>
      <c r="I1257" s="22">
        <v>7.0</v>
      </c>
      <c r="J1257" s="29"/>
      <c r="K1257" s="32">
        <f>12500*1.19</f>
        <v>14875</v>
      </c>
      <c r="L1257" s="24">
        <v>32000.0</v>
      </c>
      <c r="M1257" s="25"/>
      <c r="N1257" s="26"/>
      <c r="O1257" s="27">
        <f t="shared" si="160"/>
        <v>1.151260504</v>
      </c>
      <c r="P1257" s="28">
        <f t="shared" si="161"/>
        <v>0</v>
      </c>
    </row>
    <row r="1258" hidden="1">
      <c r="A1258" s="16" t="s">
        <v>1904</v>
      </c>
      <c r="B1258" s="36"/>
      <c r="C1258" s="18"/>
      <c r="D1258" s="4"/>
      <c r="E1258" s="19">
        <v>0.0</v>
      </c>
      <c r="F1258" s="19">
        <v>0.0</v>
      </c>
      <c r="G1258" s="16" t="s">
        <v>643</v>
      </c>
      <c r="H1258" s="21"/>
      <c r="I1258" s="22">
        <v>0.0</v>
      </c>
      <c r="J1258" s="29"/>
      <c r="K1258" s="32">
        <v>120000.0</v>
      </c>
      <c r="L1258" s="24">
        <v>150000.0</v>
      </c>
      <c r="M1258" s="25"/>
      <c r="N1258" s="26"/>
      <c r="O1258" s="27">
        <f t="shared" si="160"/>
        <v>0.25</v>
      </c>
      <c r="P1258" s="28">
        <f>K1258*F1260</f>
        <v>0</v>
      </c>
    </row>
    <row r="1259" hidden="1">
      <c r="A1259" s="16" t="s">
        <v>1905</v>
      </c>
      <c r="B1259" s="36"/>
      <c r="C1259" s="18"/>
      <c r="D1259" s="19"/>
      <c r="E1259" s="19">
        <v>0.0</v>
      </c>
      <c r="F1259" s="19">
        <v>0.0</v>
      </c>
      <c r="G1259" s="16" t="s">
        <v>1818</v>
      </c>
      <c r="H1259" s="21"/>
      <c r="I1259" s="22">
        <v>3.0</v>
      </c>
      <c r="J1259" s="29"/>
      <c r="K1259" s="48">
        <v>293000.0</v>
      </c>
      <c r="L1259" s="55">
        <v>360000.0</v>
      </c>
      <c r="M1259" s="25"/>
      <c r="N1259" s="26"/>
      <c r="O1259" s="27">
        <f t="shared" si="160"/>
        <v>0.228668942</v>
      </c>
      <c r="P1259" s="28">
        <f t="shared" ref="P1259:P1260" si="164">K1259*F1260</f>
        <v>0</v>
      </c>
    </row>
    <row r="1260" hidden="1">
      <c r="A1260" s="16" t="s">
        <v>1906</v>
      </c>
      <c r="B1260" s="36"/>
      <c r="C1260" s="18"/>
      <c r="D1260" s="19"/>
      <c r="E1260" s="19">
        <v>0.0</v>
      </c>
      <c r="F1260" s="19">
        <v>0.0</v>
      </c>
      <c r="G1260" s="16" t="s">
        <v>1907</v>
      </c>
      <c r="H1260" s="21"/>
      <c r="I1260" s="22">
        <v>3.0</v>
      </c>
      <c r="J1260" s="29"/>
      <c r="K1260" s="48">
        <f>293400*2</f>
        <v>586800</v>
      </c>
      <c r="L1260" s="55">
        <v>690000.0</v>
      </c>
      <c r="M1260" s="25"/>
      <c r="N1260" s="26"/>
      <c r="O1260" s="27">
        <f t="shared" si="160"/>
        <v>0.1758691207</v>
      </c>
      <c r="P1260" s="28">
        <f t="shared" si="164"/>
        <v>0</v>
      </c>
    </row>
    <row r="1261" hidden="1">
      <c r="A1261" s="40" t="s">
        <v>1908</v>
      </c>
      <c r="B1261" s="17"/>
      <c r="C1261" s="18"/>
      <c r="D1261" s="4"/>
      <c r="E1261" s="19">
        <v>0.0</v>
      </c>
      <c r="F1261" s="19">
        <v>0.0</v>
      </c>
      <c r="G1261" s="16" t="s">
        <v>1909</v>
      </c>
      <c r="H1261" s="21"/>
      <c r="I1261" s="22"/>
      <c r="J1261" s="29"/>
      <c r="K1261" s="43">
        <v>15000.0</v>
      </c>
      <c r="L1261" s="44">
        <v>20000.0</v>
      </c>
      <c r="M1261" s="25"/>
      <c r="N1261" s="26"/>
      <c r="O1261" s="27">
        <f t="shared" si="160"/>
        <v>0.3333333333</v>
      </c>
      <c r="P1261" s="28">
        <f t="shared" ref="P1261:P1264" si="165">K1261*F1261</f>
        <v>0</v>
      </c>
    </row>
    <row r="1262" hidden="1">
      <c r="A1262" s="16" t="s">
        <v>1910</v>
      </c>
      <c r="B1262" s="36" t="s">
        <v>1911</v>
      </c>
      <c r="C1262" s="18"/>
      <c r="D1262" s="4"/>
      <c r="E1262" s="19">
        <v>0.0</v>
      </c>
      <c r="F1262" s="19">
        <v>0.0</v>
      </c>
      <c r="G1262" s="16" t="s">
        <v>70</v>
      </c>
      <c r="H1262" s="21"/>
      <c r="I1262" s="22"/>
      <c r="J1262" s="29"/>
      <c r="K1262" s="32">
        <f>85000*0.8</f>
        <v>68000</v>
      </c>
      <c r="L1262" s="24">
        <v>85000.0</v>
      </c>
      <c r="M1262" s="25" t="s">
        <v>82</v>
      </c>
      <c r="N1262" s="26"/>
      <c r="O1262" s="27">
        <f t="shared" si="160"/>
        <v>0.25</v>
      </c>
      <c r="P1262" s="28">
        <f t="shared" si="165"/>
        <v>0</v>
      </c>
    </row>
    <row r="1263" hidden="1">
      <c r="A1263" s="16" t="s">
        <v>1912</v>
      </c>
      <c r="B1263" s="36"/>
      <c r="C1263" s="18"/>
      <c r="D1263" s="4"/>
      <c r="E1263" s="19">
        <v>0.0</v>
      </c>
      <c r="F1263" s="19"/>
      <c r="G1263" s="16" t="s">
        <v>57</v>
      </c>
      <c r="H1263" s="21"/>
      <c r="I1263" s="22"/>
      <c r="J1263" s="29"/>
      <c r="K1263" s="43">
        <v>5800.0</v>
      </c>
      <c r="L1263" s="44">
        <v>10000.0</v>
      </c>
      <c r="M1263" s="25"/>
      <c r="N1263" s="26"/>
      <c r="O1263" s="27">
        <f t="shared" si="160"/>
        <v>0.724137931</v>
      </c>
      <c r="P1263" s="28">
        <f t="shared" si="165"/>
        <v>0</v>
      </c>
    </row>
    <row r="1264" hidden="1">
      <c r="A1264" s="16" t="s">
        <v>1913</v>
      </c>
      <c r="B1264" s="36" t="s">
        <v>1914</v>
      </c>
      <c r="C1264" s="18"/>
      <c r="D1264" s="4"/>
      <c r="E1264" s="19">
        <v>0.0</v>
      </c>
      <c r="F1264" s="19">
        <v>100.0</v>
      </c>
      <c r="G1264" s="16" t="s">
        <v>1915</v>
      </c>
      <c r="H1264" s="21"/>
      <c r="I1264" s="22">
        <f>8*20</f>
        <v>160</v>
      </c>
      <c r="J1264" s="58">
        <v>45931.0</v>
      </c>
      <c r="K1264" s="48">
        <v>4600.0</v>
      </c>
      <c r="L1264" s="55">
        <v>15000.0</v>
      </c>
      <c r="M1264" s="25"/>
      <c r="N1264" s="26">
        <v>8000.0</v>
      </c>
      <c r="O1264" s="27">
        <f t="shared" si="160"/>
        <v>2.260869565</v>
      </c>
      <c r="P1264" s="28">
        <f t="shared" si="165"/>
        <v>460000</v>
      </c>
    </row>
    <row r="1265" hidden="1">
      <c r="A1265" s="16" t="s">
        <v>1916</v>
      </c>
      <c r="B1265" s="36"/>
      <c r="C1265" s="18"/>
      <c r="D1265" s="4"/>
      <c r="E1265" s="19">
        <v>0.0</v>
      </c>
      <c r="F1265" s="19">
        <v>0.0</v>
      </c>
      <c r="G1265" s="16" t="s">
        <v>1917</v>
      </c>
      <c r="H1265" s="21"/>
      <c r="I1265" s="22"/>
      <c r="J1265" s="58"/>
      <c r="K1265" s="48">
        <v>750.0</v>
      </c>
      <c r="L1265" s="55">
        <v>2000.0</v>
      </c>
      <c r="M1265" s="25"/>
      <c r="N1265" s="26"/>
      <c r="O1265" s="27"/>
      <c r="P1265" s="28"/>
    </row>
    <row r="1266" hidden="1">
      <c r="A1266" s="16" t="s">
        <v>1918</v>
      </c>
      <c r="B1266" s="36"/>
      <c r="C1266" s="18"/>
      <c r="D1266" s="4"/>
      <c r="E1266" s="19">
        <v>0.0</v>
      </c>
      <c r="F1266" s="19">
        <v>0.0</v>
      </c>
      <c r="G1266" s="16" t="s">
        <v>1108</v>
      </c>
      <c r="H1266" s="21"/>
      <c r="I1266" s="22">
        <v>0.0</v>
      </c>
      <c r="J1266" s="23"/>
      <c r="K1266" s="24">
        <v>10000.0</v>
      </c>
      <c r="L1266" s="24">
        <v>16000.0</v>
      </c>
      <c r="M1266" s="25"/>
      <c r="N1266" s="26"/>
      <c r="O1266" s="27">
        <f t="shared" ref="O1266:O1267" si="166">(L1266/K1266)-1</f>
        <v>0.6</v>
      </c>
      <c r="P1266" s="28">
        <f t="shared" ref="P1266:P1267" si="167">K1266*F1266</f>
        <v>0</v>
      </c>
    </row>
    <row r="1267" hidden="1">
      <c r="A1267" s="52" t="s">
        <v>1919</v>
      </c>
      <c r="B1267" s="17"/>
      <c r="C1267" s="18" t="s">
        <v>547</v>
      </c>
      <c r="D1267" s="4"/>
      <c r="E1267" s="19">
        <v>0.0</v>
      </c>
      <c r="F1267" s="19">
        <v>0.0</v>
      </c>
      <c r="G1267" s="16" t="s">
        <v>437</v>
      </c>
      <c r="H1267" s="21"/>
      <c r="I1267" s="22">
        <v>0.0</v>
      </c>
      <c r="J1267" s="29"/>
      <c r="K1267" s="43"/>
      <c r="L1267" s="44">
        <v>10000.0</v>
      </c>
      <c r="M1267" s="25"/>
      <c r="N1267" s="70"/>
      <c r="O1267" s="27" t="str">
        <f t="shared" si="166"/>
        <v>#DIV/0!</v>
      </c>
      <c r="P1267" s="28">
        <f t="shared" si="167"/>
        <v>0</v>
      </c>
    </row>
    <row r="1268" hidden="1">
      <c r="A1268" s="16" t="s">
        <v>1920</v>
      </c>
      <c r="B1268" s="54" t="s">
        <v>1921</v>
      </c>
      <c r="C1268" s="18"/>
      <c r="D1268" s="4"/>
      <c r="E1268" s="19">
        <v>0.0</v>
      </c>
      <c r="F1268" s="19">
        <v>0.0</v>
      </c>
      <c r="G1268" s="16" t="s">
        <v>1922</v>
      </c>
      <c r="H1268" s="21"/>
      <c r="I1268" s="22">
        <v>2.0</v>
      </c>
      <c r="J1268" s="29"/>
      <c r="K1268" s="48">
        <v>16900.0</v>
      </c>
      <c r="L1268" s="55">
        <v>28000.0</v>
      </c>
      <c r="M1268" s="25"/>
      <c r="N1268" s="26"/>
      <c r="O1268" s="27"/>
      <c r="P1268" s="28"/>
    </row>
    <row r="1269" hidden="1">
      <c r="A1269" s="16" t="s">
        <v>1923</v>
      </c>
      <c r="B1269" s="54" t="s">
        <v>1924</v>
      </c>
      <c r="C1269" s="18"/>
      <c r="D1269" s="4"/>
      <c r="E1269" s="19">
        <v>0.0</v>
      </c>
      <c r="F1269" s="19">
        <v>0.0</v>
      </c>
      <c r="G1269" s="16" t="s">
        <v>1922</v>
      </c>
      <c r="H1269" s="21"/>
      <c r="I1269" s="22">
        <v>2.0</v>
      </c>
      <c r="J1269" s="29"/>
      <c r="K1269" s="48">
        <v>20000.0</v>
      </c>
      <c r="L1269" s="55">
        <v>28000.0</v>
      </c>
      <c r="M1269" s="25"/>
      <c r="N1269" s="26"/>
      <c r="O1269" s="27"/>
      <c r="P1269" s="28"/>
    </row>
    <row r="1270" hidden="1">
      <c r="A1270" s="16" t="s">
        <v>1925</v>
      </c>
      <c r="B1270" s="36"/>
      <c r="C1270" s="18"/>
      <c r="D1270" s="4"/>
      <c r="E1270" s="19"/>
      <c r="F1270" s="19"/>
      <c r="G1270" s="16" t="s">
        <v>1926</v>
      </c>
      <c r="H1270" s="21"/>
      <c r="I1270" s="22">
        <v>18.0</v>
      </c>
      <c r="J1270" s="22" t="s">
        <v>1927</v>
      </c>
      <c r="K1270" s="48">
        <v>3436.0</v>
      </c>
      <c r="L1270" s="55">
        <v>7000.0</v>
      </c>
      <c r="M1270" s="25"/>
      <c r="N1270" s="26"/>
      <c r="O1270" s="27">
        <f t="shared" ref="O1270:O1282" si="168">(L1270/K1270)-1</f>
        <v>1.037252619</v>
      </c>
      <c r="P1270" s="28">
        <f t="shared" ref="P1270:P1308" si="169">K1270*F1270</f>
        <v>0</v>
      </c>
    </row>
    <row r="1271" hidden="1">
      <c r="A1271" s="16" t="s">
        <v>1928</v>
      </c>
      <c r="B1271" s="17"/>
      <c r="C1271" s="18"/>
      <c r="D1271" s="4"/>
      <c r="E1271" s="19">
        <v>0.0</v>
      </c>
      <c r="F1271" s="19">
        <v>0.0</v>
      </c>
      <c r="G1271" s="20" t="s">
        <v>1929</v>
      </c>
      <c r="H1271" s="21">
        <v>0.0</v>
      </c>
      <c r="I1271" s="22">
        <v>0.0</v>
      </c>
      <c r="J1271" s="23"/>
      <c r="K1271" s="55">
        <v>29000.0</v>
      </c>
      <c r="L1271" s="55">
        <v>45000.0</v>
      </c>
      <c r="M1271" s="25"/>
      <c r="N1271" s="26"/>
      <c r="O1271" s="27">
        <f t="shared" si="168"/>
        <v>0.5517241379</v>
      </c>
      <c r="P1271" s="28">
        <f t="shared" si="169"/>
        <v>0</v>
      </c>
    </row>
    <row r="1272" hidden="1">
      <c r="A1272" s="16" t="s">
        <v>1930</v>
      </c>
      <c r="B1272" s="17" t="s">
        <v>680</v>
      </c>
      <c r="C1272" s="18"/>
      <c r="D1272" s="4"/>
      <c r="E1272" s="19">
        <v>0.0</v>
      </c>
      <c r="F1272" s="19">
        <v>0.0</v>
      </c>
      <c r="G1272" s="16" t="s">
        <v>671</v>
      </c>
      <c r="H1272" s="21"/>
      <c r="I1272" s="22">
        <v>0.0</v>
      </c>
      <c r="J1272" s="29"/>
      <c r="K1272" s="43">
        <v>5543.0</v>
      </c>
      <c r="L1272" s="44">
        <v>9000.0</v>
      </c>
      <c r="M1272" s="25"/>
      <c r="N1272" s="26"/>
      <c r="O1272" s="27">
        <f t="shared" si="168"/>
        <v>0.6236694931</v>
      </c>
      <c r="P1272" s="28">
        <f t="shared" si="169"/>
        <v>0</v>
      </c>
    </row>
    <row r="1273" hidden="1">
      <c r="A1273" s="16" t="s">
        <v>1931</v>
      </c>
      <c r="B1273" s="17" t="s">
        <v>680</v>
      </c>
      <c r="C1273" s="18"/>
      <c r="D1273" s="4"/>
      <c r="E1273" s="19">
        <v>0.0</v>
      </c>
      <c r="F1273" s="19">
        <v>0.0</v>
      </c>
      <c r="G1273" s="16" t="s">
        <v>671</v>
      </c>
      <c r="H1273" s="21"/>
      <c r="I1273" s="22">
        <v>5.0</v>
      </c>
      <c r="J1273" s="29"/>
      <c r="K1273" s="43">
        <v>5543.0</v>
      </c>
      <c r="L1273" s="44">
        <v>9000.0</v>
      </c>
      <c r="M1273" s="25"/>
      <c r="N1273" s="26"/>
      <c r="O1273" s="27">
        <f t="shared" si="168"/>
        <v>0.6236694931</v>
      </c>
      <c r="P1273" s="28">
        <f t="shared" si="169"/>
        <v>0</v>
      </c>
    </row>
    <row r="1274" hidden="1">
      <c r="A1274" s="16" t="s">
        <v>1934</v>
      </c>
      <c r="B1274" s="36"/>
      <c r="C1274" s="18"/>
      <c r="D1274" s="4"/>
      <c r="E1274" s="19">
        <v>0.0</v>
      </c>
      <c r="F1274" s="19">
        <v>0.0</v>
      </c>
      <c r="G1274" s="16" t="s">
        <v>1935</v>
      </c>
      <c r="H1274" s="21"/>
      <c r="I1274" s="22">
        <v>1.0</v>
      </c>
      <c r="J1274" s="29"/>
      <c r="K1274" s="43">
        <v>6000.0</v>
      </c>
      <c r="L1274" s="44">
        <v>9000.0</v>
      </c>
      <c r="M1274" s="25"/>
      <c r="N1274" s="26"/>
      <c r="O1274" s="27">
        <f t="shared" si="168"/>
        <v>0.5</v>
      </c>
      <c r="P1274" s="28">
        <f t="shared" si="169"/>
        <v>0</v>
      </c>
    </row>
    <row r="1275" hidden="1">
      <c r="A1275" s="16" t="s">
        <v>1936</v>
      </c>
      <c r="B1275" s="36"/>
      <c r="C1275" s="18"/>
      <c r="D1275" s="4"/>
      <c r="E1275" s="19">
        <v>0.0</v>
      </c>
      <c r="F1275" s="19"/>
      <c r="G1275" s="16" t="s">
        <v>57</v>
      </c>
      <c r="H1275" s="21"/>
      <c r="I1275" s="22"/>
      <c r="J1275" s="29"/>
      <c r="K1275" s="43">
        <v>850.0</v>
      </c>
      <c r="L1275" s="44">
        <v>1500.0</v>
      </c>
      <c r="M1275" s="25"/>
      <c r="N1275" s="26"/>
      <c r="O1275" s="27">
        <f t="shared" si="168"/>
        <v>0.7647058824</v>
      </c>
      <c r="P1275" s="28">
        <f t="shared" si="169"/>
        <v>0</v>
      </c>
    </row>
    <row r="1276" hidden="1">
      <c r="A1276" s="40" t="s">
        <v>1937</v>
      </c>
      <c r="B1276" s="17"/>
      <c r="C1276" s="18"/>
      <c r="D1276" s="4"/>
      <c r="E1276" s="19">
        <v>0.0</v>
      </c>
      <c r="F1276" s="19">
        <v>0.0</v>
      </c>
      <c r="G1276" s="16" t="s">
        <v>1938</v>
      </c>
      <c r="H1276" s="33"/>
      <c r="I1276" s="22">
        <v>1.0</v>
      </c>
      <c r="J1276" s="34"/>
      <c r="K1276" s="123">
        <f>10500*0.8</f>
        <v>8400</v>
      </c>
      <c r="L1276" s="44">
        <v>18000.0</v>
      </c>
      <c r="M1276" s="25"/>
      <c r="N1276" s="26"/>
      <c r="O1276" s="27">
        <f t="shared" si="168"/>
        <v>1.142857143</v>
      </c>
      <c r="P1276" s="28">
        <f t="shared" si="169"/>
        <v>0</v>
      </c>
    </row>
    <row r="1277" hidden="1">
      <c r="A1277" s="16" t="s">
        <v>1939</v>
      </c>
      <c r="B1277" s="17"/>
      <c r="C1277" s="18"/>
      <c r="D1277" s="4"/>
      <c r="E1277" s="19">
        <v>0.0</v>
      </c>
      <c r="F1277" s="19">
        <v>0.0</v>
      </c>
      <c r="G1277" s="16" t="s">
        <v>93</v>
      </c>
      <c r="H1277" s="21"/>
      <c r="I1277" s="22">
        <v>0.0</v>
      </c>
      <c r="J1277" s="29"/>
      <c r="K1277" s="43">
        <v>3769.0</v>
      </c>
      <c r="L1277" s="44">
        <v>6000.0</v>
      </c>
      <c r="M1277" s="25"/>
      <c r="N1277" s="26"/>
      <c r="O1277" s="27">
        <f t="shared" si="168"/>
        <v>0.5919342001</v>
      </c>
      <c r="P1277" s="28">
        <f t="shared" si="169"/>
        <v>0</v>
      </c>
    </row>
    <row r="1278" hidden="1">
      <c r="A1278" s="52" t="s">
        <v>1940</v>
      </c>
      <c r="B1278" s="36" t="s">
        <v>1941</v>
      </c>
      <c r="C1278" s="18"/>
      <c r="D1278" s="4"/>
      <c r="E1278" s="19">
        <v>0.0</v>
      </c>
      <c r="F1278" s="19"/>
      <c r="G1278" s="20" t="s">
        <v>1942</v>
      </c>
      <c r="H1278" s="21"/>
      <c r="I1278" s="22"/>
      <c r="J1278" s="29"/>
      <c r="K1278" s="32">
        <f>(34000*0.95*1.19)/12</f>
        <v>3203.083333</v>
      </c>
      <c r="L1278" s="24">
        <v>5000.0</v>
      </c>
      <c r="M1278" s="25"/>
      <c r="N1278" s="26"/>
      <c r="O1278" s="27">
        <f t="shared" si="168"/>
        <v>0.5609959154</v>
      </c>
      <c r="P1278" s="28">
        <f t="shared" si="169"/>
        <v>0</v>
      </c>
    </row>
    <row r="1279" hidden="1">
      <c r="A1279" s="16" t="s">
        <v>1943</v>
      </c>
      <c r="B1279" s="36"/>
      <c r="C1279" s="18"/>
      <c r="D1279" s="4"/>
      <c r="E1279" s="19">
        <v>0.0</v>
      </c>
      <c r="F1279" s="19">
        <v>0.0</v>
      </c>
      <c r="G1279" s="16" t="s">
        <v>1513</v>
      </c>
      <c r="H1279" s="21"/>
      <c r="I1279" s="22">
        <v>0.0</v>
      </c>
      <c r="J1279" s="29"/>
      <c r="K1279" s="43">
        <v>1000.0</v>
      </c>
      <c r="L1279" s="44">
        <v>1400.0</v>
      </c>
      <c r="M1279" s="25"/>
      <c r="N1279" s="26"/>
      <c r="O1279" s="27">
        <f t="shared" si="168"/>
        <v>0.4</v>
      </c>
      <c r="P1279" s="28">
        <f t="shared" si="169"/>
        <v>0</v>
      </c>
    </row>
    <row r="1280" hidden="1">
      <c r="A1280" s="16" t="s">
        <v>1944</v>
      </c>
      <c r="B1280" s="17"/>
      <c r="C1280" s="18"/>
      <c r="D1280" s="4"/>
      <c r="E1280" s="19">
        <v>0.0</v>
      </c>
      <c r="F1280" s="19"/>
      <c r="G1280" s="16" t="s">
        <v>1945</v>
      </c>
      <c r="H1280" s="21"/>
      <c r="I1280" s="22"/>
      <c r="J1280" s="29"/>
      <c r="K1280" s="43">
        <v>500.0</v>
      </c>
      <c r="L1280" s="44">
        <v>2000.0</v>
      </c>
      <c r="M1280" s="25"/>
      <c r="N1280" s="50"/>
      <c r="O1280" s="27">
        <f t="shared" si="168"/>
        <v>3</v>
      </c>
      <c r="P1280" s="28">
        <f t="shared" si="169"/>
        <v>0</v>
      </c>
    </row>
    <row r="1281" hidden="1">
      <c r="A1281" s="16" t="s">
        <v>1946</v>
      </c>
      <c r="B1281" s="17"/>
      <c r="C1281" s="18"/>
      <c r="D1281" s="4"/>
      <c r="E1281" s="19">
        <v>0.0</v>
      </c>
      <c r="F1281" s="19">
        <v>0.0</v>
      </c>
      <c r="G1281" s="16" t="s">
        <v>1947</v>
      </c>
      <c r="H1281" s="21"/>
      <c r="I1281" s="22">
        <v>0.0</v>
      </c>
      <c r="J1281" s="29"/>
      <c r="K1281" s="32">
        <f>74223*1.19/50</f>
        <v>1766.5074</v>
      </c>
      <c r="L1281" s="24">
        <v>3500.0</v>
      </c>
      <c r="M1281" s="25"/>
      <c r="N1281" s="26"/>
      <c r="O1281" s="27">
        <f t="shared" si="168"/>
        <v>0.9813106925</v>
      </c>
      <c r="P1281" s="28">
        <f t="shared" si="169"/>
        <v>0</v>
      </c>
    </row>
    <row r="1282" hidden="1">
      <c r="A1282" s="16" t="s">
        <v>1948</v>
      </c>
      <c r="B1282" s="17"/>
      <c r="C1282" s="18"/>
      <c r="D1282" s="4"/>
      <c r="E1282" s="19">
        <v>0.0</v>
      </c>
      <c r="F1282" s="19">
        <v>0.0</v>
      </c>
      <c r="G1282" s="16" t="s">
        <v>1947</v>
      </c>
      <c r="H1282" s="21"/>
      <c r="I1282" s="22">
        <v>0.0</v>
      </c>
      <c r="J1282" s="29"/>
      <c r="K1282" s="32">
        <f>74223*1.19</f>
        <v>88325.37</v>
      </c>
      <c r="L1282" s="24">
        <v>110000.0</v>
      </c>
      <c r="M1282" s="25"/>
      <c r="N1282" s="26"/>
      <c r="O1282" s="27">
        <f t="shared" si="168"/>
        <v>0.2453952924</v>
      </c>
      <c r="P1282" s="28">
        <f t="shared" si="169"/>
        <v>0</v>
      </c>
    </row>
    <row r="1283" hidden="1">
      <c r="A1283" s="42" t="s">
        <v>1949</v>
      </c>
      <c r="B1283" s="17"/>
      <c r="C1283" s="18"/>
      <c r="D1283" s="4"/>
      <c r="E1283" s="19">
        <v>0.0</v>
      </c>
      <c r="F1283" s="19"/>
      <c r="G1283" s="20" t="s">
        <v>291</v>
      </c>
      <c r="H1283" s="143"/>
      <c r="I1283" s="22"/>
      <c r="J1283" s="242"/>
      <c r="K1283" s="243">
        <v>6722.0</v>
      </c>
      <c r="L1283" s="145">
        <v>7000.0</v>
      </c>
      <c r="M1283" s="25"/>
      <c r="N1283" s="50"/>
      <c r="O1283" s="147" t="s">
        <v>611</v>
      </c>
      <c r="P1283" s="28">
        <f t="shared" si="169"/>
        <v>0</v>
      </c>
    </row>
    <row r="1284" hidden="1">
      <c r="A1284" s="42" t="s">
        <v>1950</v>
      </c>
      <c r="B1284" s="17"/>
      <c r="C1284" s="18"/>
      <c r="D1284" s="4"/>
      <c r="E1284" s="19">
        <v>0.0</v>
      </c>
      <c r="F1284" s="19"/>
      <c r="G1284" s="16" t="s">
        <v>553</v>
      </c>
      <c r="H1284" s="237"/>
      <c r="I1284" s="22"/>
      <c r="J1284" s="244"/>
      <c r="K1284" s="245">
        <f>4000/12</f>
        <v>333.3333333</v>
      </c>
      <c r="L1284" s="24">
        <v>4000.0</v>
      </c>
      <c r="M1284" s="25"/>
      <c r="N1284" s="50"/>
      <c r="O1284" s="147" t="s">
        <v>611</v>
      </c>
      <c r="P1284" s="28">
        <f t="shared" si="169"/>
        <v>0</v>
      </c>
    </row>
    <row r="1285" hidden="1">
      <c r="A1285" s="42" t="s">
        <v>1951</v>
      </c>
      <c r="B1285" s="17"/>
      <c r="C1285" s="18"/>
      <c r="D1285" s="4"/>
      <c r="E1285" s="19"/>
      <c r="F1285" s="19"/>
      <c r="G1285" s="16" t="s">
        <v>553</v>
      </c>
      <c r="H1285" s="21"/>
      <c r="I1285" s="22"/>
      <c r="J1285" s="29"/>
      <c r="K1285" s="32">
        <v>3900.0</v>
      </c>
      <c r="L1285" s="24">
        <v>4000.0</v>
      </c>
      <c r="M1285" s="25"/>
      <c r="N1285" s="26"/>
      <c r="O1285" s="147" t="s">
        <v>611</v>
      </c>
      <c r="P1285" s="28">
        <f t="shared" si="169"/>
        <v>0</v>
      </c>
    </row>
    <row r="1286" hidden="1">
      <c r="A1286" s="42" t="s">
        <v>1952</v>
      </c>
      <c r="B1286" s="17"/>
      <c r="C1286" s="18"/>
      <c r="D1286" s="4"/>
      <c r="E1286" s="19">
        <v>0.0</v>
      </c>
      <c r="F1286" s="19"/>
      <c r="G1286" s="16" t="s">
        <v>553</v>
      </c>
      <c r="H1286" s="21"/>
      <c r="I1286" s="22"/>
      <c r="J1286" s="29"/>
      <c r="K1286" s="32">
        <v>3900.0</v>
      </c>
      <c r="L1286" s="24">
        <v>4000.0</v>
      </c>
      <c r="M1286" s="25"/>
      <c r="N1286" s="26"/>
      <c r="O1286" s="147" t="s">
        <v>611</v>
      </c>
      <c r="P1286" s="28">
        <f t="shared" si="169"/>
        <v>0</v>
      </c>
    </row>
    <row r="1287" hidden="1">
      <c r="A1287" s="42" t="s">
        <v>1953</v>
      </c>
      <c r="B1287" s="17"/>
      <c r="C1287" s="18"/>
      <c r="D1287" s="4"/>
      <c r="E1287" s="19">
        <v>0.0</v>
      </c>
      <c r="F1287" s="19"/>
      <c r="G1287" s="16" t="s">
        <v>553</v>
      </c>
      <c r="H1287" s="21"/>
      <c r="I1287" s="22"/>
      <c r="J1287" s="29"/>
      <c r="K1287" s="32">
        <v>3900.0</v>
      </c>
      <c r="L1287" s="24">
        <v>4000.0</v>
      </c>
      <c r="M1287" s="25"/>
      <c r="N1287" s="50"/>
      <c r="O1287" s="147" t="s">
        <v>611</v>
      </c>
      <c r="P1287" s="28">
        <f t="shared" si="169"/>
        <v>0</v>
      </c>
    </row>
    <row r="1288" hidden="1">
      <c r="A1288" s="42" t="s">
        <v>1954</v>
      </c>
      <c r="B1288" s="17"/>
      <c r="C1288" s="18"/>
      <c r="D1288" s="4"/>
      <c r="E1288" s="19">
        <v>0.0</v>
      </c>
      <c r="F1288" s="19"/>
      <c r="G1288" s="16" t="s">
        <v>553</v>
      </c>
      <c r="H1288" s="21"/>
      <c r="I1288" s="22"/>
      <c r="J1288" s="29"/>
      <c r="K1288" s="43">
        <v>8000.0</v>
      </c>
      <c r="L1288" s="44">
        <v>9000.0</v>
      </c>
      <c r="M1288" s="25"/>
      <c r="N1288" s="50"/>
      <c r="O1288" s="147" t="s">
        <v>611</v>
      </c>
      <c r="P1288" s="28">
        <f t="shared" si="169"/>
        <v>0</v>
      </c>
    </row>
    <row r="1289" hidden="1">
      <c r="A1289" s="42" t="s">
        <v>1955</v>
      </c>
      <c r="B1289" s="17"/>
      <c r="C1289" s="18"/>
      <c r="D1289" s="4"/>
      <c r="E1289" s="19"/>
      <c r="F1289" s="19"/>
      <c r="G1289" s="16" t="s">
        <v>553</v>
      </c>
      <c r="H1289" s="21"/>
      <c r="I1289" s="22"/>
      <c r="J1289" s="29"/>
      <c r="K1289" s="32">
        <v>1200.0</v>
      </c>
      <c r="L1289" s="24">
        <v>5000.0</v>
      </c>
      <c r="M1289" s="25"/>
      <c r="N1289" s="26"/>
      <c r="O1289" s="147" t="s">
        <v>611</v>
      </c>
      <c r="P1289" s="28">
        <f t="shared" si="169"/>
        <v>0</v>
      </c>
    </row>
    <row r="1290" hidden="1">
      <c r="A1290" s="42" t="s">
        <v>1956</v>
      </c>
      <c r="B1290" s="17"/>
      <c r="C1290" s="18"/>
      <c r="D1290" s="4"/>
      <c r="E1290" s="19"/>
      <c r="F1290" s="19"/>
      <c r="G1290" s="16" t="s">
        <v>553</v>
      </c>
      <c r="H1290" s="21"/>
      <c r="I1290" s="22"/>
      <c r="J1290" s="29"/>
      <c r="K1290" s="32">
        <f>7000/12</f>
        <v>583.3333333</v>
      </c>
      <c r="L1290" s="24">
        <v>2000.0</v>
      </c>
      <c r="M1290" s="25"/>
      <c r="N1290" s="26"/>
      <c r="O1290" s="147" t="s">
        <v>611</v>
      </c>
      <c r="P1290" s="28">
        <f t="shared" si="169"/>
        <v>0</v>
      </c>
    </row>
    <row r="1291" hidden="1">
      <c r="A1291" s="42" t="s">
        <v>1957</v>
      </c>
      <c r="B1291" s="17"/>
      <c r="C1291" s="18"/>
      <c r="D1291" s="4"/>
      <c r="E1291" s="19">
        <v>0.0</v>
      </c>
      <c r="F1291" s="19"/>
      <c r="G1291" s="16" t="s">
        <v>1958</v>
      </c>
      <c r="H1291" s="21"/>
      <c r="I1291" s="22"/>
      <c r="J1291" s="29"/>
      <c r="K1291" s="43">
        <v>2300.0</v>
      </c>
      <c r="L1291" s="44">
        <v>3000.0</v>
      </c>
      <c r="M1291" s="25"/>
      <c r="N1291" s="26"/>
      <c r="O1291" s="147" t="s">
        <v>611</v>
      </c>
      <c r="P1291" s="28">
        <f t="shared" si="169"/>
        <v>0</v>
      </c>
    </row>
    <row r="1292" hidden="1">
      <c r="A1292" s="42" t="s">
        <v>1959</v>
      </c>
      <c r="B1292" s="17"/>
      <c r="C1292" s="18"/>
      <c r="D1292" s="4"/>
      <c r="E1292" s="19">
        <v>0.0</v>
      </c>
      <c r="F1292" s="19"/>
      <c r="G1292" s="16" t="s">
        <v>553</v>
      </c>
      <c r="H1292" s="21"/>
      <c r="I1292" s="22"/>
      <c r="J1292" s="29"/>
      <c r="K1292" s="32">
        <f>1850*1.19</f>
        <v>2201.5</v>
      </c>
      <c r="L1292" s="32">
        <v>3000.0</v>
      </c>
      <c r="M1292" s="25"/>
      <c r="N1292" s="26"/>
      <c r="O1292" s="147" t="s">
        <v>611</v>
      </c>
      <c r="P1292" s="28">
        <f t="shared" si="169"/>
        <v>0</v>
      </c>
    </row>
    <row r="1293" hidden="1">
      <c r="A1293" s="42" t="s">
        <v>1960</v>
      </c>
      <c r="B1293" s="17"/>
      <c r="C1293" s="18"/>
      <c r="D1293" s="4"/>
      <c r="E1293" s="19">
        <v>0.0</v>
      </c>
      <c r="F1293" s="19"/>
      <c r="G1293" s="16" t="s">
        <v>553</v>
      </c>
      <c r="H1293" s="237"/>
      <c r="I1293" s="22"/>
      <c r="J1293" s="244"/>
      <c r="K1293" s="245">
        <f>2600*1.19</f>
        <v>3094</v>
      </c>
      <c r="L1293" s="145">
        <v>4000.0</v>
      </c>
      <c r="M1293" s="25"/>
      <c r="N1293" s="26"/>
      <c r="O1293" s="147" t="s">
        <v>611</v>
      </c>
      <c r="P1293" s="28">
        <f t="shared" si="169"/>
        <v>0</v>
      </c>
    </row>
    <row r="1294" hidden="1">
      <c r="A1294" s="42" t="s">
        <v>1961</v>
      </c>
      <c r="B1294" s="17"/>
      <c r="C1294" s="18"/>
      <c r="D1294" s="4"/>
      <c r="E1294" s="19">
        <v>0.0</v>
      </c>
      <c r="F1294" s="19"/>
      <c r="G1294" s="16" t="s">
        <v>553</v>
      </c>
      <c r="H1294" s="21"/>
      <c r="I1294" s="22"/>
      <c r="J1294" s="29"/>
      <c r="K1294" s="43">
        <v>1000.0</v>
      </c>
      <c r="L1294" s="44">
        <v>2000.0</v>
      </c>
      <c r="M1294" s="25"/>
      <c r="N1294" s="50"/>
      <c r="O1294" s="147" t="s">
        <v>611</v>
      </c>
      <c r="P1294" s="28">
        <f t="shared" si="169"/>
        <v>0</v>
      </c>
    </row>
    <row r="1295" hidden="1">
      <c r="A1295" s="42" t="s">
        <v>1962</v>
      </c>
      <c r="B1295" s="17"/>
      <c r="C1295" s="18"/>
      <c r="D1295" s="4"/>
      <c r="E1295" s="19">
        <v>0.0</v>
      </c>
      <c r="F1295" s="19"/>
      <c r="G1295" s="16" t="s">
        <v>553</v>
      </c>
      <c r="H1295" s="21"/>
      <c r="I1295" s="22"/>
      <c r="J1295" s="29"/>
      <c r="K1295" s="43">
        <v>1000.0</v>
      </c>
      <c r="L1295" s="44">
        <v>2000.0</v>
      </c>
      <c r="M1295" s="25"/>
      <c r="N1295" s="50"/>
      <c r="O1295" s="147" t="s">
        <v>611</v>
      </c>
      <c r="P1295" s="28">
        <f t="shared" si="169"/>
        <v>0</v>
      </c>
    </row>
    <row r="1296" hidden="1">
      <c r="A1296" s="42" t="s">
        <v>1963</v>
      </c>
      <c r="B1296" s="17"/>
      <c r="C1296" s="18"/>
      <c r="D1296" s="4"/>
      <c r="E1296" s="19">
        <v>0.0</v>
      </c>
      <c r="F1296" s="19"/>
      <c r="G1296" s="16" t="s">
        <v>553</v>
      </c>
      <c r="H1296" s="21"/>
      <c r="I1296" s="22"/>
      <c r="J1296" s="29"/>
      <c r="K1296" s="43">
        <v>1000.0</v>
      </c>
      <c r="L1296" s="44">
        <v>2000.0</v>
      </c>
      <c r="M1296" s="25"/>
      <c r="N1296" s="50"/>
      <c r="O1296" s="147" t="s">
        <v>611</v>
      </c>
      <c r="P1296" s="28">
        <f t="shared" si="169"/>
        <v>0</v>
      </c>
    </row>
    <row r="1297" hidden="1">
      <c r="A1297" s="42" t="s">
        <v>1964</v>
      </c>
      <c r="B1297" s="71"/>
      <c r="C1297" s="18"/>
      <c r="D1297" s="4"/>
      <c r="E1297" s="19">
        <v>0.0</v>
      </c>
      <c r="F1297" s="19"/>
      <c r="G1297" s="16" t="s">
        <v>1958</v>
      </c>
      <c r="H1297" s="21"/>
      <c r="I1297" s="22"/>
      <c r="J1297" s="29"/>
      <c r="K1297" s="43">
        <v>1000.0</v>
      </c>
      <c r="L1297" s="44">
        <v>2000.0</v>
      </c>
      <c r="M1297" s="25"/>
      <c r="N1297" s="50"/>
      <c r="O1297" s="147" t="s">
        <v>611</v>
      </c>
      <c r="P1297" s="28">
        <f t="shared" si="169"/>
        <v>0</v>
      </c>
    </row>
    <row r="1298" hidden="1">
      <c r="A1298" s="16" t="s">
        <v>1965</v>
      </c>
      <c r="B1298" s="36"/>
      <c r="C1298" s="18"/>
      <c r="D1298" s="4"/>
      <c r="E1298" s="19">
        <v>0.0</v>
      </c>
      <c r="F1298" s="19"/>
      <c r="G1298" s="16" t="s">
        <v>553</v>
      </c>
      <c r="H1298" s="21"/>
      <c r="I1298" s="22"/>
      <c r="J1298" s="29"/>
      <c r="K1298" s="43">
        <v>2269.0</v>
      </c>
      <c r="L1298" s="44">
        <v>4000.0</v>
      </c>
      <c r="M1298" s="25"/>
      <c r="N1298" s="50"/>
      <c r="O1298" s="147" t="s">
        <v>611</v>
      </c>
      <c r="P1298" s="28">
        <f t="shared" si="169"/>
        <v>0</v>
      </c>
    </row>
    <row r="1299" hidden="1">
      <c r="A1299" s="16" t="s">
        <v>1966</v>
      </c>
      <c r="B1299" s="36"/>
      <c r="C1299" s="18"/>
      <c r="D1299" s="4"/>
      <c r="E1299" s="19">
        <v>0.0</v>
      </c>
      <c r="F1299" s="19"/>
      <c r="G1299" s="16" t="s">
        <v>553</v>
      </c>
      <c r="H1299" s="21"/>
      <c r="I1299" s="22"/>
      <c r="J1299" s="29"/>
      <c r="K1299" s="32">
        <f t="shared" ref="K1299:K1300" si="170">3000*1.19</f>
        <v>3570</v>
      </c>
      <c r="L1299" s="24">
        <v>4000.0</v>
      </c>
      <c r="M1299" s="25"/>
      <c r="N1299" s="50"/>
      <c r="O1299" s="147" t="s">
        <v>611</v>
      </c>
      <c r="P1299" s="28">
        <f t="shared" si="169"/>
        <v>0</v>
      </c>
    </row>
    <row r="1300" hidden="1">
      <c r="A1300" s="16" t="s">
        <v>1967</v>
      </c>
      <c r="B1300" s="49"/>
      <c r="C1300" s="18"/>
      <c r="D1300" s="4"/>
      <c r="E1300" s="19"/>
      <c r="F1300" s="19"/>
      <c r="G1300" s="16" t="s">
        <v>553</v>
      </c>
      <c r="H1300" s="21"/>
      <c r="I1300" s="22"/>
      <c r="J1300" s="29"/>
      <c r="K1300" s="32">
        <f t="shared" si="170"/>
        <v>3570</v>
      </c>
      <c r="L1300" s="24">
        <v>4000.0</v>
      </c>
      <c r="M1300" s="25"/>
      <c r="N1300" s="50"/>
      <c r="O1300" s="147" t="s">
        <v>611</v>
      </c>
      <c r="P1300" s="28">
        <f t="shared" si="169"/>
        <v>0</v>
      </c>
    </row>
    <row r="1301" hidden="1">
      <c r="A1301" s="16" t="s">
        <v>1968</v>
      </c>
      <c r="B1301" s="36"/>
      <c r="C1301" s="18"/>
      <c r="D1301" s="4"/>
      <c r="E1301" s="19">
        <v>0.0</v>
      </c>
      <c r="F1301" s="19"/>
      <c r="G1301" s="16" t="s">
        <v>553</v>
      </c>
      <c r="H1301" s="21"/>
      <c r="I1301" s="22"/>
      <c r="J1301" s="29"/>
      <c r="K1301" s="43">
        <v>2700.0</v>
      </c>
      <c r="L1301" s="43">
        <v>4000.0</v>
      </c>
      <c r="M1301" s="25"/>
      <c r="N1301" s="26"/>
      <c r="O1301" s="147" t="s">
        <v>611</v>
      </c>
      <c r="P1301" s="28">
        <f t="shared" si="169"/>
        <v>0</v>
      </c>
    </row>
    <row r="1302" hidden="1">
      <c r="A1302" s="42" t="s">
        <v>1969</v>
      </c>
      <c r="B1302" s="17"/>
      <c r="C1302" s="18"/>
      <c r="D1302" s="4"/>
      <c r="E1302" s="19">
        <v>0.0</v>
      </c>
      <c r="F1302" s="19"/>
      <c r="G1302" s="16" t="s">
        <v>553</v>
      </c>
      <c r="H1302" s="21"/>
      <c r="I1302" s="22"/>
      <c r="J1302" s="29"/>
      <c r="K1302" s="43">
        <v>1000.0</v>
      </c>
      <c r="L1302" s="44">
        <v>2000.0</v>
      </c>
      <c r="M1302" s="25"/>
      <c r="N1302" s="26"/>
      <c r="O1302" s="147" t="s">
        <v>611</v>
      </c>
      <c r="P1302" s="28">
        <f t="shared" si="169"/>
        <v>0</v>
      </c>
    </row>
    <row r="1303" hidden="1">
      <c r="A1303" s="42" t="s">
        <v>1970</v>
      </c>
      <c r="B1303" s="71"/>
      <c r="C1303" s="18"/>
      <c r="D1303" s="4"/>
      <c r="E1303" s="19">
        <v>0.0</v>
      </c>
      <c r="F1303" s="19"/>
      <c r="G1303" s="16" t="s">
        <v>553</v>
      </c>
      <c r="H1303" s="21"/>
      <c r="I1303" s="22"/>
      <c r="J1303" s="29"/>
      <c r="K1303" s="43">
        <v>1000.0</v>
      </c>
      <c r="L1303" s="44">
        <v>2000.0</v>
      </c>
      <c r="M1303" s="25"/>
      <c r="N1303" s="26"/>
      <c r="O1303" s="147" t="s">
        <v>611</v>
      </c>
      <c r="P1303" s="28">
        <f t="shared" si="169"/>
        <v>0</v>
      </c>
    </row>
    <row r="1304" hidden="1">
      <c r="A1304" s="42" t="s">
        <v>1971</v>
      </c>
      <c r="B1304" s="71"/>
      <c r="C1304" s="18"/>
      <c r="D1304" s="4"/>
      <c r="E1304" s="19">
        <v>0.0</v>
      </c>
      <c r="F1304" s="19"/>
      <c r="G1304" s="16" t="s">
        <v>553</v>
      </c>
      <c r="H1304" s="21"/>
      <c r="I1304" s="22"/>
      <c r="J1304" s="29"/>
      <c r="K1304" s="43">
        <v>1000.0</v>
      </c>
      <c r="L1304" s="44">
        <v>2000.0</v>
      </c>
      <c r="M1304" s="25"/>
      <c r="N1304" s="26"/>
      <c r="O1304" s="147" t="s">
        <v>611</v>
      </c>
      <c r="P1304" s="28">
        <f t="shared" si="169"/>
        <v>0</v>
      </c>
    </row>
    <row r="1305" hidden="1">
      <c r="A1305" s="42" t="s">
        <v>1972</v>
      </c>
      <c r="B1305" s="71"/>
      <c r="C1305" s="18"/>
      <c r="D1305" s="4"/>
      <c r="E1305" s="19">
        <v>0.0</v>
      </c>
      <c r="F1305" s="19"/>
      <c r="G1305" s="16" t="s">
        <v>553</v>
      </c>
      <c r="H1305" s="21"/>
      <c r="I1305" s="22"/>
      <c r="J1305" s="29"/>
      <c r="K1305" s="32">
        <v>2300.0</v>
      </c>
      <c r="L1305" s="24">
        <v>3000.0</v>
      </c>
      <c r="M1305" s="25"/>
      <c r="N1305" s="50"/>
      <c r="O1305" s="147" t="s">
        <v>611</v>
      </c>
      <c r="P1305" s="28">
        <f t="shared" si="169"/>
        <v>0</v>
      </c>
    </row>
    <row r="1306" hidden="1">
      <c r="A1306" s="42" t="s">
        <v>1973</v>
      </c>
      <c r="B1306" s="36"/>
      <c r="C1306" s="18"/>
      <c r="D1306" s="4"/>
      <c r="E1306" s="19">
        <v>0.0</v>
      </c>
      <c r="F1306" s="19"/>
      <c r="G1306" s="16" t="s">
        <v>553</v>
      </c>
      <c r="H1306" s="21"/>
      <c r="I1306" s="22"/>
      <c r="J1306" s="29"/>
      <c r="K1306" s="32">
        <v>1300.0</v>
      </c>
      <c r="L1306" s="24">
        <v>2000.0</v>
      </c>
      <c r="M1306" s="25"/>
      <c r="N1306" s="26"/>
      <c r="O1306" s="27">
        <f>(L1306/K1306)-1</f>
        <v>0.5384615385</v>
      </c>
      <c r="P1306" s="28">
        <f t="shared" si="169"/>
        <v>0</v>
      </c>
    </row>
    <row r="1307" hidden="1">
      <c r="A1307" s="42" t="s">
        <v>1974</v>
      </c>
      <c r="B1307" s="71"/>
      <c r="C1307" s="18"/>
      <c r="D1307" s="4"/>
      <c r="E1307" s="19">
        <v>0.0</v>
      </c>
      <c r="F1307" s="19"/>
      <c r="G1307" s="16" t="s">
        <v>553</v>
      </c>
      <c r="H1307" s="21"/>
      <c r="I1307" s="22"/>
      <c r="J1307" s="29"/>
      <c r="K1307" s="43">
        <v>1000.0</v>
      </c>
      <c r="L1307" s="44">
        <v>2000.0</v>
      </c>
      <c r="M1307" s="25"/>
      <c r="N1307" s="70"/>
      <c r="O1307" s="147" t="s">
        <v>611</v>
      </c>
      <c r="P1307" s="28">
        <f t="shared" si="169"/>
        <v>0</v>
      </c>
    </row>
    <row r="1308" hidden="1">
      <c r="A1308" s="42" t="s">
        <v>1975</v>
      </c>
      <c r="B1308" s="71"/>
      <c r="C1308" s="18"/>
      <c r="D1308" s="4"/>
      <c r="E1308" s="19">
        <v>0.0</v>
      </c>
      <c r="F1308" s="19"/>
      <c r="G1308" s="16" t="s">
        <v>553</v>
      </c>
      <c r="H1308" s="21"/>
      <c r="I1308" s="22"/>
      <c r="J1308" s="29"/>
      <c r="K1308" s="43">
        <v>1000.0</v>
      </c>
      <c r="L1308" s="44">
        <v>2000.0</v>
      </c>
      <c r="M1308" s="25"/>
      <c r="N1308" s="26"/>
      <c r="O1308" s="147" t="s">
        <v>611</v>
      </c>
      <c r="P1308" s="28">
        <f t="shared" si="169"/>
        <v>0</v>
      </c>
    </row>
    <row r="1309" hidden="1">
      <c r="A1309" s="42" t="s">
        <v>1976</v>
      </c>
      <c r="B1309" s="36"/>
      <c r="C1309" s="18"/>
      <c r="D1309" s="4"/>
      <c r="E1309" s="19">
        <v>0.0</v>
      </c>
      <c r="F1309" s="19">
        <v>0.0</v>
      </c>
      <c r="G1309" s="16"/>
      <c r="H1309" s="21"/>
      <c r="I1309" s="22">
        <v>3.0</v>
      </c>
      <c r="J1309" s="29"/>
      <c r="K1309" s="43"/>
      <c r="L1309" s="44"/>
      <c r="M1309" s="25"/>
      <c r="N1309" s="26"/>
      <c r="O1309" s="27"/>
      <c r="P1309" s="28"/>
    </row>
    <row r="1310" hidden="1">
      <c r="A1310" s="16" t="s">
        <v>1977</v>
      </c>
      <c r="B1310" s="36"/>
      <c r="C1310" s="18"/>
      <c r="D1310" s="4"/>
      <c r="E1310" s="19">
        <v>0.0</v>
      </c>
      <c r="F1310" s="19"/>
      <c r="G1310" s="16" t="s">
        <v>553</v>
      </c>
      <c r="H1310" s="21"/>
      <c r="I1310" s="22"/>
      <c r="J1310" s="29"/>
      <c r="K1310" s="43">
        <v>1000.0</v>
      </c>
      <c r="L1310" s="44">
        <v>2000.0</v>
      </c>
      <c r="M1310" s="25"/>
      <c r="N1310" s="50"/>
      <c r="O1310" s="147" t="s">
        <v>611</v>
      </c>
      <c r="P1310" s="28">
        <f t="shared" ref="P1310:P1321" si="171">K1310*F1310</f>
        <v>0</v>
      </c>
    </row>
    <row r="1311" hidden="1">
      <c r="A1311" s="42" t="s">
        <v>1978</v>
      </c>
      <c r="B1311" s="71"/>
      <c r="C1311" s="18"/>
      <c r="D1311" s="4"/>
      <c r="E1311" s="19">
        <v>0.0</v>
      </c>
      <c r="F1311" s="19"/>
      <c r="G1311" s="16" t="s">
        <v>553</v>
      </c>
      <c r="H1311" s="21"/>
      <c r="I1311" s="22"/>
      <c r="J1311" s="29"/>
      <c r="K1311" s="43">
        <v>1000.0</v>
      </c>
      <c r="L1311" s="44">
        <v>2000.0</v>
      </c>
      <c r="M1311" s="25"/>
      <c r="N1311" s="26"/>
      <c r="O1311" s="147" t="s">
        <v>611</v>
      </c>
      <c r="P1311" s="28">
        <f t="shared" si="171"/>
        <v>0</v>
      </c>
    </row>
    <row r="1312" hidden="1">
      <c r="A1312" s="42" t="s">
        <v>1979</v>
      </c>
      <c r="B1312" s="71"/>
      <c r="C1312" s="18"/>
      <c r="D1312" s="4"/>
      <c r="E1312" s="19">
        <v>0.0</v>
      </c>
      <c r="F1312" s="19"/>
      <c r="G1312" s="16" t="s">
        <v>553</v>
      </c>
      <c r="H1312" s="21"/>
      <c r="I1312" s="22"/>
      <c r="J1312" s="29"/>
      <c r="K1312" s="32">
        <f>2000*1.19</f>
        <v>2380</v>
      </c>
      <c r="L1312" s="24">
        <v>2000.0</v>
      </c>
      <c r="M1312" s="25"/>
      <c r="N1312" s="26"/>
      <c r="O1312" s="147" t="s">
        <v>611</v>
      </c>
      <c r="P1312" s="28">
        <f t="shared" si="171"/>
        <v>0</v>
      </c>
    </row>
    <row r="1313" hidden="1">
      <c r="A1313" s="42" t="s">
        <v>1980</v>
      </c>
      <c r="B1313" s="71"/>
      <c r="C1313" s="18"/>
      <c r="D1313" s="4"/>
      <c r="E1313" s="19">
        <v>0.0</v>
      </c>
      <c r="F1313" s="19"/>
      <c r="G1313" s="16" t="s">
        <v>553</v>
      </c>
      <c r="H1313" s="21"/>
      <c r="I1313" s="22"/>
      <c r="J1313" s="29"/>
      <c r="K1313" s="32">
        <f>4500*1.19</f>
        <v>5355</v>
      </c>
      <c r="L1313" s="24">
        <v>2000.0</v>
      </c>
      <c r="M1313" s="25"/>
      <c r="N1313" s="26"/>
      <c r="O1313" s="147" t="s">
        <v>611</v>
      </c>
      <c r="P1313" s="28">
        <f t="shared" si="171"/>
        <v>0</v>
      </c>
    </row>
    <row r="1314" hidden="1">
      <c r="A1314" s="149" t="s">
        <v>1981</v>
      </c>
      <c r="B1314" s="71"/>
      <c r="C1314" s="18"/>
      <c r="D1314" s="4"/>
      <c r="E1314" s="19">
        <v>0.0</v>
      </c>
      <c r="F1314" s="19"/>
      <c r="G1314" s="16" t="s">
        <v>1982</v>
      </c>
      <c r="H1314" s="21"/>
      <c r="I1314" s="22"/>
      <c r="J1314" s="29"/>
      <c r="K1314" s="43">
        <v>17500.0</v>
      </c>
      <c r="L1314" s="44">
        <v>20000.0</v>
      </c>
      <c r="M1314" s="25"/>
      <c r="N1314" s="26"/>
      <c r="O1314" s="147" t="s">
        <v>611</v>
      </c>
      <c r="P1314" s="28">
        <f t="shared" si="171"/>
        <v>0</v>
      </c>
    </row>
    <row r="1315" hidden="1">
      <c r="A1315" s="16" t="s">
        <v>1983</v>
      </c>
      <c r="B1315" s="17"/>
      <c r="C1315" s="18"/>
      <c r="D1315" s="4"/>
      <c r="E1315" s="19">
        <v>0.0</v>
      </c>
      <c r="F1315" s="19"/>
      <c r="G1315" s="16" t="s">
        <v>39</v>
      </c>
      <c r="H1315" s="237"/>
      <c r="I1315" s="22"/>
      <c r="J1315" s="244"/>
      <c r="K1315" s="246">
        <v>1000.0</v>
      </c>
      <c r="L1315" s="247">
        <v>2000.0</v>
      </c>
      <c r="M1315" s="25"/>
      <c r="N1315" s="26"/>
      <c r="O1315" s="147" t="s">
        <v>611</v>
      </c>
      <c r="P1315" s="28">
        <f t="shared" si="171"/>
        <v>0</v>
      </c>
    </row>
    <row r="1316" hidden="1">
      <c r="A1316" s="16" t="s">
        <v>1984</v>
      </c>
      <c r="B1316" s="36"/>
      <c r="C1316" s="18"/>
      <c r="D1316" s="4" t="s">
        <v>998</v>
      </c>
      <c r="E1316" s="19">
        <v>0.0</v>
      </c>
      <c r="F1316" s="19">
        <v>4.0</v>
      </c>
      <c r="G1316" s="16" t="s">
        <v>73</v>
      </c>
      <c r="H1316" s="21"/>
      <c r="I1316" s="22">
        <v>1.0</v>
      </c>
      <c r="J1316" s="248" t="s">
        <v>1985</v>
      </c>
      <c r="K1316" s="32">
        <v>350000.0</v>
      </c>
      <c r="L1316" s="24">
        <v>590000.0</v>
      </c>
      <c r="M1316" s="25" t="s">
        <v>82</v>
      </c>
      <c r="N1316" s="26"/>
      <c r="O1316" s="27">
        <f t="shared" ref="O1316:O1321" si="172">(L1316/K1316)-1</f>
        <v>0.6857142857</v>
      </c>
      <c r="P1316" s="28">
        <f t="shared" si="171"/>
        <v>1400000</v>
      </c>
    </row>
    <row r="1317" hidden="1">
      <c r="A1317" s="16" t="s">
        <v>1986</v>
      </c>
      <c r="B1317" s="36"/>
      <c r="C1317" s="18"/>
      <c r="D1317" s="4"/>
      <c r="E1317" s="19">
        <v>0.0</v>
      </c>
      <c r="F1317" s="19">
        <v>0.0</v>
      </c>
      <c r="G1317" s="16" t="s">
        <v>73</v>
      </c>
      <c r="H1317" s="21"/>
      <c r="I1317" s="22">
        <v>1.0</v>
      </c>
      <c r="J1317" s="29"/>
      <c r="K1317" s="32">
        <v>330000.0</v>
      </c>
      <c r="L1317" s="24">
        <v>590000.0</v>
      </c>
      <c r="M1317" s="25" t="s">
        <v>82</v>
      </c>
      <c r="N1317" s="26"/>
      <c r="O1317" s="27">
        <f t="shared" si="172"/>
        <v>0.7878787879</v>
      </c>
      <c r="P1317" s="28">
        <f t="shared" si="171"/>
        <v>0</v>
      </c>
    </row>
    <row r="1318" hidden="1">
      <c r="A1318" s="122" t="s">
        <v>1987</v>
      </c>
      <c r="B1318" s="17"/>
      <c r="C1318" s="18"/>
      <c r="D1318" s="4"/>
      <c r="E1318" s="19">
        <v>0.0</v>
      </c>
      <c r="F1318" s="19">
        <v>0.0</v>
      </c>
      <c r="G1318" s="16" t="s">
        <v>425</v>
      </c>
      <c r="H1318" s="73"/>
      <c r="I1318" s="22">
        <v>0.0</v>
      </c>
      <c r="J1318" s="74"/>
      <c r="K1318" s="75">
        <v>928000.0</v>
      </c>
      <c r="L1318" s="44">
        <f>K1318*1.5</f>
        <v>1392000</v>
      </c>
      <c r="M1318" s="25"/>
      <c r="N1318" s="26"/>
      <c r="O1318" s="27">
        <f t="shared" si="172"/>
        <v>0.5</v>
      </c>
      <c r="P1318" s="28">
        <f t="shared" si="171"/>
        <v>0</v>
      </c>
    </row>
    <row r="1319" hidden="1">
      <c r="A1319" s="40" t="s">
        <v>1988</v>
      </c>
      <c r="B1319" s="17"/>
      <c r="C1319" s="18"/>
      <c r="D1319" s="4"/>
      <c r="E1319" s="19">
        <v>0.0</v>
      </c>
      <c r="F1319" s="19">
        <v>0.0</v>
      </c>
      <c r="G1319" s="16" t="s">
        <v>93</v>
      </c>
      <c r="H1319" s="21"/>
      <c r="I1319" s="22"/>
      <c r="J1319" s="29"/>
      <c r="K1319" s="43">
        <v>6500.0</v>
      </c>
      <c r="L1319" s="44">
        <v>10000.0</v>
      </c>
      <c r="M1319" s="25"/>
      <c r="N1319" s="26"/>
      <c r="O1319" s="27">
        <f t="shared" si="172"/>
        <v>0.5384615385</v>
      </c>
      <c r="P1319" s="28">
        <f t="shared" si="171"/>
        <v>0</v>
      </c>
    </row>
    <row r="1320" hidden="1">
      <c r="A1320" s="16" t="s">
        <v>1989</v>
      </c>
      <c r="B1320" s="17"/>
      <c r="C1320" s="18"/>
      <c r="D1320" s="4"/>
      <c r="E1320" s="19">
        <v>0.0</v>
      </c>
      <c r="F1320" s="19">
        <v>0.0</v>
      </c>
      <c r="G1320" s="20" t="s">
        <v>1990</v>
      </c>
      <c r="H1320" s="21">
        <v>0.0</v>
      </c>
      <c r="I1320" s="22">
        <v>0.0</v>
      </c>
      <c r="J1320" s="45"/>
      <c r="K1320" s="172">
        <f>39433*1.19</f>
        <v>46925.27</v>
      </c>
      <c r="L1320" s="44">
        <v>62000.0</v>
      </c>
      <c r="M1320" s="25"/>
      <c r="N1320" s="26"/>
      <c r="O1320" s="27">
        <f t="shared" si="172"/>
        <v>0.3212497232</v>
      </c>
      <c r="P1320" s="28">
        <f t="shared" si="171"/>
        <v>0</v>
      </c>
    </row>
    <row r="1321" hidden="1">
      <c r="A1321" s="16" t="s">
        <v>1991</v>
      </c>
      <c r="B1321" s="17"/>
      <c r="C1321" s="18"/>
      <c r="D1321" s="4"/>
      <c r="E1321" s="19">
        <v>0.0</v>
      </c>
      <c r="F1321" s="19">
        <v>0.0</v>
      </c>
      <c r="G1321" s="20" t="s">
        <v>14</v>
      </c>
      <c r="H1321" s="21">
        <v>0.0</v>
      </c>
      <c r="I1321" s="22">
        <v>0.0</v>
      </c>
      <c r="J1321" s="45"/>
      <c r="K1321" s="172">
        <v>15366.0</v>
      </c>
      <c r="L1321" s="44">
        <v>20000.0</v>
      </c>
      <c r="M1321" s="25"/>
      <c r="N1321" s="31"/>
      <c r="O1321" s="27">
        <f t="shared" si="172"/>
        <v>0.3015749056</v>
      </c>
      <c r="P1321" s="28">
        <f t="shared" si="171"/>
        <v>0</v>
      </c>
    </row>
    <row r="1322" hidden="1">
      <c r="A1322" s="16" t="s">
        <v>1992</v>
      </c>
      <c r="B1322" s="17"/>
      <c r="C1322" s="18"/>
      <c r="D1322" s="4"/>
      <c r="E1322" s="19"/>
      <c r="F1322" s="19"/>
      <c r="G1322" s="20" t="s">
        <v>1993</v>
      </c>
      <c r="H1322" s="21"/>
      <c r="I1322" s="22"/>
      <c r="J1322" s="23"/>
      <c r="K1322" s="55">
        <v>23300.0</v>
      </c>
      <c r="L1322" s="55">
        <v>29000.0</v>
      </c>
      <c r="M1322" s="25"/>
      <c r="N1322" s="26"/>
      <c r="O1322" s="27"/>
      <c r="P1322" s="28"/>
    </row>
    <row r="1323" hidden="1">
      <c r="A1323" s="16" t="s">
        <v>1994</v>
      </c>
      <c r="B1323" s="17"/>
      <c r="C1323" s="18"/>
      <c r="D1323" s="4"/>
      <c r="E1323" s="19">
        <v>0.0</v>
      </c>
      <c r="F1323" s="19"/>
      <c r="G1323" s="16" t="s">
        <v>1995</v>
      </c>
      <c r="H1323" s="21"/>
      <c r="I1323" s="22"/>
      <c r="J1323" s="23"/>
      <c r="K1323" s="44">
        <v>63780.0</v>
      </c>
      <c r="L1323" s="44">
        <v>80000.0</v>
      </c>
      <c r="M1323" s="25"/>
      <c r="N1323" s="26"/>
      <c r="O1323" s="27">
        <f t="shared" ref="O1323:O1332" si="173">(L1323/K1323)-1</f>
        <v>0.2543116965</v>
      </c>
      <c r="P1323" s="28">
        <f t="shared" ref="P1323:P1332" si="174">K1323*F1323</f>
        <v>0</v>
      </c>
    </row>
    <row r="1324" hidden="1">
      <c r="A1324" s="16" t="s">
        <v>1996</v>
      </c>
      <c r="B1324" s="36" t="s">
        <v>1997</v>
      </c>
      <c r="C1324" s="18"/>
      <c r="D1324" s="4"/>
      <c r="E1324" s="19">
        <v>0.0</v>
      </c>
      <c r="F1324" s="19">
        <v>0.0</v>
      </c>
      <c r="G1324" s="16" t="s">
        <v>70</v>
      </c>
      <c r="H1324" s="21"/>
      <c r="I1324" s="22"/>
      <c r="J1324" s="29"/>
      <c r="K1324" s="32">
        <f>32000*0.8*1.19</f>
        <v>30464</v>
      </c>
      <c r="L1324" s="24">
        <v>48000.0</v>
      </c>
      <c r="M1324" s="25"/>
      <c r="N1324" s="26"/>
      <c r="O1324" s="27">
        <f t="shared" si="173"/>
        <v>0.5756302521</v>
      </c>
      <c r="P1324" s="28">
        <f t="shared" si="174"/>
        <v>0</v>
      </c>
    </row>
    <row r="1325" hidden="1">
      <c r="A1325" s="16" t="s">
        <v>1998</v>
      </c>
      <c r="B1325" s="148"/>
      <c r="C1325" s="18"/>
      <c r="D1325" s="4"/>
      <c r="E1325" s="19">
        <v>0.0</v>
      </c>
      <c r="F1325" s="19">
        <v>0.0</v>
      </c>
      <c r="G1325" s="16" t="s">
        <v>102</v>
      </c>
      <c r="H1325" s="99"/>
      <c r="I1325" s="22">
        <v>1.0</v>
      </c>
      <c r="J1325" s="173"/>
      <c r="K1325" s="249">
        <v>28644.0</v>
      </c>
      <c r="L1325" s="249">
        <v>40000.0</v>
      </c>
      <c r="M1325" s="25" t="s">
        <v>76</v>
      </c>
      <c r="N1325" s="26">
        <v>35000.0</v>
      </c>
      <c r="O1325" s="27">
        <f t="shared" si="173"/>
        <v>0.3964530094</v>
      </c>
      <c r="P1325" s="28">
        <f t="shared" si="174"/>
        <v>0</v>
      </c>
    </row>
    <row r="1326" hidden="1">
      <c r="A1326" s="16" t="s">
        <v>2862</v>
      </c>
      <c r="B1326" s="49" t="s">
        <v>2000</v>
      </c>
      <c r="C1326" s="18"/>
      <c r="D1326" s="4"/>
      <c r="E1326" s="19">
        <v>12.0</v>
      </c>
      <c r="F1326" s="19">
        <v>0.0</v>
      </c>
      <c r="G1326" s="16" t="s">
        <v>104</v>
      </c>
      <c r="H1326" s="21"/>
      <c r="I1326" s="22">
        <v>2.0</v>
      </c>
      <c r="J1326" s="47">
        <v>46388.0</v>
      </c>
      <c r="K1326" s="48">
        <f>9376*1.19</f>
        <v>11157.44</v>
      </c>
      <c r="L1326" s="32">
        <v>16000.0</v>
      </c>
      <c r="M1326" s="25"/>
      <c r="N1326" s="26"/>
      <c r="O1326" s="27">
        <f t="shared" si="173"/>
        <v>0.4340207073</v>
      </c>
      <c r="P1326" s="28">
        <f t="shared" si="174"/>
        <v>0</v>
      </c>
    </row>
    <row r="1327" hidden="1">
      <c r="A1327" s="16" t="s">
        <v>2001</v>
      </c>
      <c r="B1327" s="36">
        <f>9685*1.19</f>
        <v>11525.15</v>
      </c>
      <c r="C1327" s="18"/>
      <c r="D1327" s="4" t="s">
        <v>328</v>
      </c>
      <c r="E1327" s="19">
        <v>0.0</v>
      </c>
      <c r="F1327" s="19">
        <v>0.0</v>
      </c>
      <c r="G1327" s="16" t="s">
        <v>2002</v>
      </c>
      <c r="H1327" s="21"/>
      <c r="I1327" s="22">
        <v>4.0</v>
      </c>
      <c r="J1327" s="47">
        <v>46844.0</v>
      </c>
      <c r="K1327" s="48">
        <f>9685*1.19</f>
        <v>11525.15</v>
      </c>
      <c r="L1327" s="55">
        <v>14000.0</v>
      </c>
      <c r="M1327" s="25"/>
      <c r="N1327" s="26"/>
      <c r="O1327" s="27">
        <f t="shared" si="173"/>
        <v>0.2147347323</v>
      </c>
      <c r="P1327" s="28">
        <f t="shared" si="174"/>
        <v>0</v>
      </c>
    </row>
    <row r="1328" hidden="1">
      <c r="A1328" s="16" t="s">
        <v>2003</v>
      </c>
      <c r="B1328" s="36"/>
      <c r="C1328" s="18"/>
      <c r="D1328" s="4" t="s">
        <v>328</v>
      </c>
      <c r="E1328" s="19">
        <v>0.0</v>
      </c>
      <c r="F1328" s="19">
        <v>0.0</v>
      </c>
      <c r="G1328" s="16" t="s">
        <v>2002</v>
      </c>
      <c r="H1328" s="21"/>
      <c r="I1328" s="22">
        <v>4.0</v>
      </c>
      <c r="J1328" s="47">
        <v>46843.0</v>
      </c>
      <c r="K1328" s="48">
        <f>25945*1.19</f>
        <v>30874.55</v>
      </c>
      <c r="L1328" s="55">
        <v>44000.0</v>
      </c>
      <c r="M1328" s="25"/>
      <c r="N1328" s="26"/>
      <c r="O1328" s="27">
        <f t="shared" si="173"/>
        <v>0.4251219856</v>
      </c>
      <c r="P1328" s="28">
        <f t="shared" si="174"/>
        <v>0</v>
      </c>
    </row>
    <row r="1329" hidden="1">
      <c r="A1329" s="16" t="s">
        <v>2004</v>
      </c>
      <c r="B1329" s="36"/>
      <c r="C1329" s="18"/>
      <c r="D1329" s="4"/>
      <c r="E1329" s="19">
        <v>0.0</v>
      </c>
      <c r="F1329" s="19">
        <v>0.0</v>
      </c>
      <c r="G1329" s="16" t="s">
        <v>63</v>
      </c>
      <c r="H1329" s="21"/>
      <c r="I1329" s="22">
        <v>0.0</v>
      </c>
      <c r="J1329" s="29"/>
      <c r="K1329" s="48">
        <v>8000.0</v>
      </c>
      <c r="L1329" s="55">
        <v>16000.0</v>
      </c>
      <c r="M1329" s="25" t="s">
        <v>76</v>
      </c>
      <c r="N1329" s="26"/>
      <c r="O1329" s="27">
        <f t="shared" si="173"/>
        <v>1</v>
      </c>
      <c r="P1329" s="28">
        <f t="shared" si="174"/>
        <v>0</v>
      </c>
    </row>
    <row r="1330" hidden="1">
      <c r="A1330" s="52" t="s">
        <v>2005</v>
      </c>
      <c r="B1330" s="36"/>
      <c r="C1330" s="18" t="s">
        <v>2006</v>
      </c>
      <c r="D1330" s="188"/>
      <c r="E1330" s="19"/>
      <c r="F1330" s="19"/>
      <c r="G1330" s="16" t="s">
        <v>88</v>
      </c>
      <c r="H1330" s="21"/>
      <c r="I1330" s="22">
        <v>16.0</v>
      </c>
      <c r="J1330" s="47">
        <v>46419.0</v>
      </c>
      <c r="K1330" s="24">
        <v>10534.0</v>
      </c>
      <c r="L1330" s="24">
        <v>14000.0</v>
      </c>
      <c r="M1330" s="25"/>
      <c r="N1330" s="26"/>
      <c r="O1330" s="27">
        <f t="shared" si="173"/>
        <v>0.3290298082</v>
      </c>
      <c r="P1330" s="28">
        <f t="shared" si="174"/>
        <v>0</v>
      </c>
    </row>
    <row r="1331" hidden="1">
      <c r="A1331" s="52" t="s">
        <v>2007</v>
      </c>
      <c r="B1331" s="157"/>
      <c r="C1331" s="18"/>
      <c r="D1331" s="67"/>
      <c r="E1331" s="19">
        <v>0.0</v>
      </c>
      <c r="F1331" s="19">
        <v>0.0</v>
      </c>
      <c r="G1331" s="16" t="s">
        <v>2008</v>
      </c>
      <c r="H1331" s="21"/>
      <c r="I1331" s="22">
        <v>5.0</v>
      </c>
      <c r="J1331" s="47">
        <v>45870.0</v>
      </c>
      <c r="K1331" s="48">
        <v>52400.0</v>
      </c>
      <c r="L1331" s="55">
        <v>68000.0</v>
      </c>
      <c r="M1331" s="25" t="s">
        <v>76</v>
      </c>
      <c r="N1331" s="26"/>
      <c r="O1331" s="27">
        <f t="shared" si="173"/>
        <v>0.2977099237</v>
      </c>
      <c r="P1331" s="28">
        <f t="shared" si="174"/>
        <v>0</v>
      </c>
    </row>
    <row r="1332" hidden="1">
      <c r="A1332" s="16" t="s">
        <v>2009</v>
      </c>
      <c r="B1332" s="157"/>
      <c r="C1332" s="18"/>
      <c r="D1332" s="4"/>
      <c r="E1332" s="19">
        <v>0.0</v>
      </c>
      <c r="F1332" s="19">
        <v>0.0</v>
      </c>
      <c r="G1332" s="20" t="s">
        <v>1820</v>
      </c>
      <c r="H1332" s="21"/>
      <c r="I1332" s="22">
        <v>0.0</v>
      </c>
      <c r="J1332" s="29"/>
      <c r="K1332" s="43"/>
      <c r="L1332" s="44"/>
      <c r="M1332" s="25"/>
      <c r="N1332" s="26"/>
      <c r="O1332" s="27" t="str">
        <f t="shared" si="173"/>
        <v>#DIV/0!</v>
      </c>
      <c r="P1332" s="28">
        <f t="shared" si="174"/>
        <v>0</v>
      </c>
    </row>
    <row r="1333" hidden="1">
      <c r="A1333" s="52" t="s">
        <v>2010</v>
      </c>
      <c r="B1333" s="157"/>
      <c r="C1333" s="18"/>
      <c r="D1333" s="67"/>
      <c r="E1333" s="19">
        <v>0.0</v>
      </c>
      <c r="F1333" s="19">
        <v>0.0</v>
      </c>
      <c r="G1333" s="16" t="s">
        <v>65</v>
      </c>
      <c r="H1333" s="21"/>
      <c r="I1333" s="22">
        <v>1.0</v>
      </c>
      <c r="J1333" s="47"/>
      <c r="K1333" s="48">
        <f>45500*0.95*1.19</f>
        <v>51437.75</v>
      </c>
      <c r="L1333" s="55">
        <v>70000.0</v>
      </c>
      <c r="M1333" s="25"/>
      <c r="N1333" s="26">
        <v>58000.0</v>
      </c>
      <c r="O1333" s="27"/>
      <c r="P1333" s="28"/>
    </row>
    <row r="1334" hidden="1">
      <c r="A1334" s="52" t="s">
        <v>2011</v>
      </c>
      <c r="B1334" s="157"/>
      <c r="C1334" s="18"/>
      <c r="D1334" s="98">
        <f>18600*1.19</f>
        <v>22134</v>
      </c>
      <c r="E1334" s="19">
        <v>0.0</v>
      </c>
      <c r="F1334" s="19">
        <v>0.0</v>
      </c>
      <c r="G1334" s="16" t="s">
        <v>2008</v>
      </c>
      <c r="H1334" s="21"/>
      <c r="I1334" s="22">
        <v>0.0</v>
      </c>
      <c r="J1334" s="22" t="s">
        <v>2012</v>
      </c>
      <c r="K1334" s="55">
        <v>16200.0</v>
      </c>
      <c r="L1334" s="55">
        <v>24000.0</v>
      </c>
      <c r="M1334" s="25"/>
      <c r="N1334" s="26">
        <v>20000.0</v>
      </c>
      <c r="O1334" s="27">
        <f t="shared" ref="O1334:O1338" si="175">(L1334/K1334)-1</f>
        <v>0.4814814815</v>
      </c>
      <c r="P1334" s="28">
        <f t="shared" ref="P1334:P1338" si="176">K1334*F1334</f>
        <v>0</v>
      </c>
    </row>
    <row r="1335" hidden="1">
      <c r="A1335" s="59" t="s">
        <v>2013</v>
      </c>
      <c r="B1335" s="49" t="s">
        <v>2014</v>
      </c>
      <c r="C1335" s="92"/>
      <c r="D1335" s="4"/>
      <c r="E1335" s="19">
        <v>0.0</v>
      </c>
      <c r="F1335" s="19">
        <v>0.0</v>
      </c>
      <c r="G1335" s="16" t="s">
        <v>1251</v>
      </c>
      <c r="H1335" s="21"/>
      <c r="I1335" s="22">
        <v>1.0</v>
      </c>
      <c r="J1335" s="29"/>
      <c r="K1335" s="48">
        <v>149900.0</v>
      </c>
      <c r="L1335" s="55">
        <v>205000.0</v>
      </c>
      <c r="M1335" s="25"/>
      <c r="N1335" s="26"/>
      <c r="O1335" s="27">
        <f t="shared" si="175"/>
        <v>0.3675783856</v>
      </c>
      <c r="P1335" s="28">
        <f t="shared" si="176"/>
        <v>0</v>
      </c>
    </row>
    <row r="1336" hidden="1">
      <c r="A1336" s="16" t="s">
        <v>2015</v>
      </c>
      <c r="B1336" s="17" t="s">
        <v>2016</v>
      </c>
      <c r="C1336" s="18"/>
      <c r="D1336" s="4"/>
      <c r="E1336" s="19">
        <v>0.0</v>
      </c>
      <c r="F1336" s="19"/>
      <c r="G1336" s="16" t="s">
        <v>2017</v>
      </c>
      <c r="H1336" s="21"/>
      <c r="I1336" s="22"/>
      <c r="J1336" s="23"/>
      <c r="K1336" s="44">
        <v>8400.0</v>
      </c>
      <c r="L1336" s="44">
        <v>12000.0</v>
      </c>
      <c r="M1336" s="25"/>
      <c r="N1336" s="50"/>
      <c r="O1336" s="27">
        <f t="shared" si="175"/>
        <v>0.4285714286</v>
      </c>
      <c r="P1336" s="28">
        <f t="shared" si="176"/>
        <v>0</v>
      </c>
    </row>
    <row r="1337" hidden="1">
      <c r="A1337" s="16" t="s">
        <v>2018</v>
      </c>
      <c r="B1337" s="17" t="s">
        <v>2016</v>
      </c>
      <c r="C1337" s="18"/>
      <c r="D1337" s="4"/>
      <c r="E1337" s="19">
        <v>0.0</v>
      </c>
      <c r="F1337" s="19"/>
      <c r="G1337" s="16" t="s">
        <v>2017</v>
      </c>
      <c r="H1337" s="21"/>
      <c r="I1337" s="22"/>
      <c r="J1337" s="23"/>
      <c r="K1337" s="44">
        <v>8400.0</v>
      </c>
      <c r="L1337" s="44">
        <v>12000.0</v>
      </c>
      <c r="M1337" s="25"/>
      <c r="N1337" s="26"/>
      <c r="O1337" s="27">
        <f t="shared" si="175"/>
        <v>0.4285714286</v>
      </c>
      <c r="P1337" s="28">
        <f t="shared" si="176"/>
        <v>0</v>
      </c>
    </row>
    <row r="1338" hidden="1">
      <c r="A1338" s="16" t="s">
        <v>2019</v>
      </c>
      <c r="B1338" s="17" t="s">
        <v>2016</v>
      </c>
      <c r="C1338" s="18"/>
      <c r="D1338" s="4"/>
      <c r="E1338" s="19">
        <v>0.0</v>
      </c>
      <c r="F1338" s="19"/>
      <c r="G1338" s="16" t="s">
        <v>2017</v>
      </c>
      <c r="H1338" s="21"/>
      <c r="I1338" s="22"/>
      <c r="J1338" s="23"/>
      <c r="K1338" s="44">
        <v>8400.0</v>
      </c>
      <c r="L1338" s="44">
        <v>12000.0</v>
      </c>
      <c r="M1338" s="25"/>
      <c r="N1338" s="26"/>
      <c r="O1338" s="27">
        <f t="shared" si="175"/>
        <v>0.4285714286</v>
      </c>
      <c r="P1338" s="28">
        <f t="shared" si="176"/>
        <v>0</v>
      </c>
    </row>
    <row r="1339" hidden="1">
      <c r="A1339" s="42" t="s">
        <v>2020</v>
      </c>
      <c r="B1339" s="17"/>
      <c r="C1339" s="18"/>
      <c r="D1339" s="4"/>
      <c r="E1339" s="19">
        <v>0.0</v>
      </c>
      <c r="F1339" s="19">
        <v>0.0</v>
      </c>
      <c r="G1339" s="16" t="s">
        <v>2021</v>
      </c>
      <c r="H1339" s="21"/>
      <c r="I1339" s="22">
        <v>1.0</v>
      </c>
      <c r="J1339" s="29"/>
      <c r="K1339" s="43"/>
      <c r="L1339" s="44"/>
      <c r="M1339" s="25"/>
      <c r="N1339" s="50"/>
      <c r="O1339" s="147"/>
      <c r="P1339" s="28"/>
    </row>
    <row r="1340" hidden="1">
      <c r="A1340" s="42" t="s">
        <v>2022</v>
      </c>
      <c r="B1340" s="114"/>
      <c r="C1340" s="18"/>
      <c r="D1340" s="4"/>
      <c r="E1340" s="19">
        <v>0.0</v>
      </c>
      <c r="F1340" s="19"/>
      <c r="G1340" s="16" t="s">
        <v>2023</v>
      </c>
      <c r="H1340" s="21"/>
      <c r="I1340" s="22"/>
      <c r="J1340" s="29"/>
      <c r="K1340" s="32">
        <f>3800/12</f>
        <v>316.6666667</v>
      </c>
      <c r="L1340" s="24">
        <v>600.0</v>
      </c>
      <c r="M1340" s="25"/>
      <c r="N1340" s="50"/>
      <c r="O1340" s="27">
        <f>(L1340/K1340)-1</f>
        <v>0.8947368421</v>
      </c>
      <c r="P1340" s="28">
        <f>K1340*F1340</f>
        <v>0</v>
      </c>
    </row>
    <row r="1341" hidden="1">
      <c r="A1341" s="42" t="s">
        <v>2024</v>
      </c>
      <c r="B1341" s="114"/>
      <c r="C1341" s="18"/>
      <c r="D1341" s="4"/>
      <c r="E1341" s="19">
        <v>0.0</v>
      </c>
      <c r="F1341" s="19"/>
      <c r="G1341" s="16" t="s">
        <v>2023</v>
      </c>
      <c r="H1341" s="21"/>
      <c r="I1341" s="22"/>
      <c r="J1341" s="29"/>
      <c r="K1341" s="43"/>
      <c r="L1341" s="44"/>
      <c r="M1341" s="25"/>
      <c r="N1341" s="50"/>
      <c r="O1341" s="27"/>
      <c r="P1341" s="28"/>
    </row>
    <row r="1342" hidden="1">
      <c r="A1342" s="40" t="s">
        <v>2025</v>
      </c>
      <c r="B1342" s="17"/>
      <c r="C1342" s="18"/>
      <c r="D1342" s="4"/>
      <c r="E1342" s="19">
        <v>0.0</v>
      </c>
      <c r="F1342" s="19"/>
      <c r="G1342" s="16" t="s">
        <v>57</v>
      </c>
      <c r="H1342" s="21"/>
      <c r="I1342" s="22"/>
      <c r="J1342" s="29"/>
      <c r="K1342" s="43">
        <v>6000.0</v>
      </c>
      <c r="L1342" s="44">
        <v>9000.0</v>
      </c>
      <c r="M1342" s="25"/>
      <c r="N1342" s="26"/>
      <c r="O1342" s="27">
        <f t="shared" ref="O1342:O1388" si="177">(L1342/K1342)-1</f>
        <v>0.5</v>
      </c>
      <c r="P1342" s="28">
        <f t="shared" ref="P1342:P1388" si="178">K1342*F1342</f>
        <v>0</v>
      </c>
    </row>
    <row r="1343" hidden="1">
      <c r="A1343" s="16" t="s">
        <v>2026</v>
      </c>
      <c r="B1343" s="17"/>
      <c r="C1343" s="18"/>
      <c r="D1343" s="4"/>
      <c r="E1343" s="19">
        <v>0.0</v>
      </c>
      <c r="F1343" s="19">
        <v>0.0</v>
      </c>
      <c r="G1343" s="16" t="s">
        <v>104</v>
      </c>
      <c r="H1343" s="21"/>
      <c r="I1343" s="22">
        <v>0.0</v>
      </c>
      <c r="J1343" s="29"/>
      <c r="K1343" s="43">
        <v>12176.0</v>
      </c>
      <c r="L1343" s="44">
        <v>16000.0</v>
      </c>
      <c r="M1343" s="25"/>
      <c r="N1343" s="26"/>
      <c r="O1343" s="27">
        <f t="shared" si="177"/>
        <v>0.3140604468</v>
      </c>
      <c r="P1343" s="28">
        <f t="shared" si="178"/>
        <v>0</v>
      </c>
    </row>
    <row r="1344" hidden="1">
      <c r="A1344" s="59" t="s">
        <v>2027</v>
      </c>
      <c r="B1344" s="97" t="s">
        <v>2028</v>
      </c>
      <c r="C1344" s="18"/>
      <c r="D1344" s="98"/>
      <c r="E1344" s="19">
        <v>0.0</v>
      </c>
      <c r="F1344" s="19"/>
      <c r="G1344" s="16" t="s">
        <v>485</v>
      </c>
      <c r="H1344" s="21">
        <v>0.0</v>
      </c>
      <c r="I1344" s="22"/>
      <c r="J1344" s="22"/>
      <c r="K1344" s="236">
        <f>104363*1.19</f>
        <v>124191.97</v>
      </c>
      <c r="L1344" s="175">
        <v>180000.0</v>
      </c>
      <c r="M1344" s="25"/>
      <c r="N1344" s="26"/>
      <c r="O1344" s="27">
        <f t="shared" si="177"/>
        <v>0.4493690695</v>
      </c>
      <c r="P1344" s="28">
        <f t="shared" si="178"/>
        <v>0</v>
      </c>
    </row>
    <row r="1345" hidden="1">
      <c r="A1345" s="59" t="s">
        <v>2029</v>
      </c>
      <c r="B1345" s="97" t="s">
        <v>2030</v>
      </c>
      <c r="C1345" s="18"/>
      <c r="D1345" s="98"/>
      <c r="E1345" s="19">
        <v>0.0</v>
      </c>
      <c r="F1345" s="19"/>
      <c r="G1345" s="16" t="s">
        <v>485</v>
      </c>
      <c r="H1345" s="21">
        <v>0.0</v>
      </c>
      <c r="I1345" s="22"/>
      <c r="J1345" s="22"/>
      <c r="K1345" s="236">
        <f>94875*1.19</f>
        <v>112901.25</v>
      </c>
      <c r="L1345" s="175">
        <v>180000.0</v>
      </c>
      <c r="M1345" s="25"/>
      <c r="N1345" s="26"/>
      <c r="O1345" s="27">
        <f t="shared" si="177"/>
        <v>0.5943136148</v>
      </c>
      <c r="P1345" s="28">
        <f t="shared" si="178"/>
        <v>0</v>
      </c>
    </row>
    <row r="1346" hidden="1">
      <c r="A1346" s="59" t="s">
        <v>2031</v>
      </c>
      <c r="B1346" s="97" t="s">
        <v>2032</v>
      </c>
      <c r="C1346" s="18"/>
      <c r="D1346" s="98"/>
      <c r="E1346" s="19">
        <v>0.0</v>
      </c>
      <c r="F1346" s="19"/>
      <c r="G1346" s="16" t="s">
        <v>485</v>
      </c>
      <c r="H1346" s="21">
        <v>0.0</v>
      </c>
      <c r="I1346" s="22"/>
      <c r="J1346" s="22"/>
      <c r="K1346" s="250">
        <v>136612.0</v>
      </c>
      <c r="L1346" s="101">
        <v>199000.0</v>
      </c>
      <c r="M1346" s="25"/>
      <c r="N1346" s="26"/>
      <c r="O1346" s="27">
        <f t="shared" si="177"/>
        <v>0.4566802331</v>
      </c>
      <c r="P1346" s="28">
        <f t="shared" si="178"/>
        <v>0</v>
      </c>
    </row>
    <row r="1347" hidden="1">
      <c r="A1347" s="122" t="s">
        <v>2033</v>
      </c>
      <c r="B1347" s="17">
        <v>241003.0</v>
      </c>
      <c r="C1347" s="18"/>
      <c r="D1347" s="4"/>
      <c r="E1347" s="19">
        <v>0.0</v>
      </c>
      <c r="F1347" s="19">
        <v>0.0</v>
      </c>
      <c r="G1347" s="16" t="s">
        <v>425</v>
      </c>
      <c r="H1347" s="73"/>
      <c r="I1347" s="22">
        <f>26+40</f>
        <v>66</v>
      </c>
      <c r="J1347" s="74"/>
      <c r="K1347" s="75">
        <v>400.0</v>
      </c>
      <c r="L1347" s="44">
        <v>2000.0</v>
      </c>
      <c r="M1347" s="25"/>
      <c r="N1347" s="26"/>
      <c r="O1347" s="27">
        <f t="shared" si="177"/>
        <v>4</v>
      </c>
      <c r="P1347" s="28">
        <f t="shared" si="178"/>
        <v>0</v>
      </c>
    </row>
    <row r="1348" hidden="1">
      <c r="A1348" s="122" t="s">
        <v>2034</v>
      </c>
      <c r="B1348" s="17">
        <v>241007.0</v>
      </c>
      <c r="C1348" s="18"/>
      <c r="D1348" s="4"/>
      <c r="E1348" s="19">
        <v>0.0</v>
      </c>
      <c r="F1348" s="19">
        <v>0.0</v>
      </c>
      <c r="G1348" s="16" t="s">
        <v>425</v>
      </c>
      <c r="H1348" s="73"/>
      <c r="I1348" s="22">
        <f>30+50</f>
        <v>80</v>
      </c>
      <c r="J1348" s="74"/>
      <c r="K1348" s="75">
        <v>400.0</v>
      </c>
      <c r="L1348" s="44">
        <v>2000.0</v>
      </c>
      <c r="M1348" s="25"/>
      <c r="N1348" s="26"/>
      <c r="O1348" s="27">
        <f t="shared" si="177"/>
        <v>4</v>
      </c>
      <c r="P1348" s="28">
        <f t="shared" si="178"/>
        <v>0</v>
      </c>
    </row>
    <row r="1349" hidden="1">
      <c r="A1349" s="122" t="s">
        <v>2035</v>
      </c>
      <c r="B1349" s="17">
        <v>241012.0</v>
      </c>
      <c r="C1349" s="18"/>
      <c r="D1349" s="4"/>
      <c r="E1349" s="19">
        <v>0.0</v>
      </c>
      <c r="F1349" s="19">
        <v>0.0</v>
      </c>
      <c r="G1349" s="16" t="s">
        <v>425</v>
      </c>
      <c r="H1349" s="73"/>
      <c r="I1349" s="22">
        <f>55+50</f>
        <v>105</v>
      </c>
      <c r="J1349" s="74"/>
      <c r="K1349" s="75">
        <v>400.0</v>
      </c>
      <c r="L1349" s="44">
        <v>2000.0</v>
      </c>
      <c r="M1349" s="25"/>
      <c r="N1349" s="26"/>
      <c r="O1349" s="27">
        <f t="shared" si="177"/>
        <v>4</v>
      </c>
      <c r="P1349" s="28">
        <f t="shared" si="178"/>
        <v>0</v>
      </c>
    </row>
    <row r="1350" hidden="1">
      <c r="A1350" s="122" t="s">
        <v>2036</v>
      </c>
      <c r="B1350" s="17">
        <v>241004.0</v>
      </c>
      <c r="C1350" s="18"/>
      <c r="D1350" s="4"/>
      <c r="E1350" s="19">
        <v>0.0</v>
      </c>
      <c r="F1350" s="19">
        <v>0.0</v>
      </c>
      <c r="G1350" s="16" t="s">
        <v>425</v>
      </c>
      <c r="H1350" s="73"/>
      <c r="I1350" s="22">
        <v>50.0</v>
      </c>
      <c r="J1350" s="74"/>
      <c r="K1350" s="75">
        <f>62726*1.19/100</f>
        <v>746.4394</v>
      </c>
      <c r="L1350" s="44">
        <v>2000.0</v>
      </c>
      <c r="M1350" s="25"/>
      <c r="N1350" s="26"/>
      <c r="O1350" s="27">
        <f t="shared" si="177"/>
        <v>1.679386967</v>
      </c>
      <c r="P1350" s="28">
        <f t="shared" si="178"/>
        <v>0</v>
      </c>
    </row>
    <row r="1351" hidden="1">
      <c r="A1351" s="122" t="s">
        <v>2037</v>
      </c>
      <c r="B1351" s="17">
        <v>241008.0</v>
      </c>
      <c r="C1351" s="18"/>
      <c r="D1351" s="4"/>
      <c r="E1351" s="19">
        <v>0.0</v>
      </c>
      <c r="F1351" s="19">
        <v>0.0</v>
      </c>
      <c r="G1351" s="16" t="s">
        <v>425</v>
      </c>
      <c r="H1351" s="73"/>
      <c r="I1351" s="22">
        <f>29+16+50</f>
        <v>95</v>
      </c>
      <c r="J1351" s="74"/>
      <c r="K1351" s="75">
        <v>400.0</v>
      </c>
      <c r="L1351" s="44">
        <v>2000.0</v>
      </c>
      <c r="M1351" s="25"/>
      <c r="N1351" s="26"/>
      <c r="O1351" s="27">
        <f t="shared" si="177"/>
        <v>4</v>
      </c>
      <c r="P1351" s="28">
        <f t="shared" si="178"/>
        <v>0</v>
      </c>
    </row>
    <row r="1352" hidden="1">
      <c r="A1352" s="122" t="s">
        <v>2038</v>
      </c>
      <c r="B1352" s="17">
        <v>241016.0</v>
      </c>
      <c r="C1352" s="18"/>
      <c r="D1352" s="4"/>
      <c r="E1352" s="19">
        <v>0.0</v>
      </c>
      <c r="F1352" s="19">
        <v>0.0</v>
      </c>
      <c r="G1352" s="16" t="s">
        <v>425</v>
      </c>
      <c r="H1352" s="21"/>
      <c r="I1352" s="22">
        <f>30+21</f>
        <v>51</v>
      </c>
      <c r="J1352" s="29"/>
      <c r="K1352" s="43">
        <f>627*1.19</f>
        <v>746.13</v>
      </c>
      <c r="L1352" s="44">
        <v>2000.0</v>
      </c>
      <c r="M1352" s="25"/>
      <c r="N1352" s="26"/>
      <c r="O1352" s="27">
        <f t="shared" si="177"/>
        <v>1.680498037</v>
      </c>
      <c r="P1352" s="28">
        <f t="shared" si="178"/>
        <v>0</v>
      </c>
    </row>
    <row r="1353" hidden="1">
      <c r="A1353" s="122" t="s">
        <v>2039</v>
      </c>
      <c r="B1353" s="17">
        <v>241013.0</v>
      </c>
      <c r="C1353" s="18"/>
      <c r="D1353" s="4"/>
      <c r="E1353" s="19">
        <v>0.0</v>
      </c>
      <c r="F1353" s="19">
        <v>0.0</v>
      </c>
      <c r="G1353" s="16" t="s">
        <v>425</v>
      </c>
      <c r="H1353" s="73"/>
      <c r="I1353" s="22">
        <v>0.0</v>
      </c>
      <c r="J1353" s="74"/>
      <c r="K1353" s="75">
        <v>400.0</v>
      </c>
      <c r="L1353" s="44">
        <v>2000.0</v>
      </c>
      <c r="M1353" s="25"/>
      <c r="N1353" s="26"/>
      <c r="O1353" s="27">
        <f t="shared" si="177"/>
        <v>4</v>
      </c>
      <c r="P1353" s="28">
        <f t="shared" si="178"/>
        <v>0</v>
      </c>
    </row>
    <row r="1354" hidden="1">
      <c r="A1354" s="122" t="s">
        <v>2040</v>
      </c>
      <c r="B1354" s="17">
        <v>241009.0</v>
      </c>
      <c r="C1354" s="18"/>
      <c r="D1354" s="4"/>
      <c r="E1354" s="19">
        <v>0.0</v>
      </c>
      <c r="F1354" s="19">
        <v>0.0</v>
      </c>
      <c r="G1354" s="16" t="s">
        <v>425</v>
      </c>
      <c r="H1354" s="73"/>
      <c r="I1354" s="22">
        <v>0.0</v>
      </c>
      <c r="J1354" s="74"/>
      <c r="K1354" s="75">
        <v>400.0</v>
      </c>
      <c r="L1354" s="44">
        <v>2000.0</v>
      </c>
      <c r="M1354" s="25"/>
      <c r="N1354" s="26"/>
      <c r="O1354" s="27">
        <f t="shared" si="177"/>
        <v>4</v>
      </c>
      <c r="P1354" s="28">
        <f t="shared" si="178"/>
        <v>0</v>
      </c>
    </row>
    <row r="1355" hidden="1">
      <c r="A1355" s="122" t="s">
        <v>2041</v>
      </c>
      <c r="B1355" s="17">
        <v>241061.0</v>
      </c>
      <c r="C1355" s="18"/>
      <c r="D1355" s="4"/>
      <c r="E1355" s="19">
        <v>0.0</v>
      </c>
      <c r="F1355" s="19">
        <v>0.0</v>
      </c>
      <c r="G1355" s="16" t="s">
        <v>425</v>
      </c>
      <c r="H1355" s="73"/>
      <c r="I1355" s="22">
        <v>0.0</v>
      </c>
      <c r="J1355" s="74"/>
      <c r="K1355" s="75">
        <v>400.0</v>
      </c>
      <c r="L1355" s="44">
        <v>2000.0</v>
      </c>
      <c r="M1355" s="25"/>
      <c r="N1355" s="26"/>
      <c r="O1355" s="27">
        <f t="shared" si="177"/>
        <v>4</v>
      </c>
      <c r="P1355" s="28">
        <f t="shared" si="178"/>
        <v>0</v>
      </c>
    </row>
    <row r="1356" hidden="1">
      <c r="A1356" s="52" t="s">
        <v>2042</v>
      </c>
      <c r="B1356" s="36">
        <f>12800*1.19</f>
        <v>15232</v>
      </c>
      <c r="C1356" s="18"/>
      <c r="D1356" s="4"/>
      <c r="E1356" s="19">
        <v>0.0</v>
      </c>
      <c r="F1356" s="19">
        <v>0.0</v>
      </c>
      <c r="G1356" s="16" t="s">
        <v>513</v>
      </c>
      <c r="H1356" s="21"/>
      <c r="I1356" s="22">
        <v>4.0</v>
      </c>
      <c r="J1356" s="29"/>
      <c r="K1356" s="43">
        <f>17500*1.19</f>
        <v>20825</v>
      </c>
      <c r="L1356" s="44">
        <v>30000.0</v>
      </c>
      <c r="M1356" s="25"/>
      <c r="N1356" s="50"/>
      <c r="O1356" s="27">
        <f t="shared" si="177"/>
        <v>0.4405762305</v>
      </c>
      <c r="P1356" s="28">
        <f t="shared" si="178"/>
        <v>0</v>
      </c>
    </row>
    <row r="1357" hidden="1">
      <c r="A1357" s="52" t="s">
        <v>2043</v>
      </c>
      <c r="B1357" s="134" t="s">
        <v>1460</v>
      </c>
      <c r="C1357" s="18"/>
      <c r="D1357" s="4"/>
      <c r="E1357" s="19">
        <v>0.0</v>
      </c>
      <c r="F1357" s="19">
        <v>2.0</v>
      </c>
      <c r="G1357" s="16" t="s">
        <v>1108</v>
      </c>
      <c r="H1357" s="21"/>
      <c r="I1357" s="22">
        <v>3.0</v>
      </c>
      <c r="J1357" s="29"/>
      <c r="K1357" s="32">
        <f>128000*1.19</f>
        <v>152320</v>
      </c>
      <c r="L1357" s="24">
        <v>190000.0</v>
      </c>
      <c r="M1357" s="25"/>
      <c r="N1357" s="50"/>
      <c r="O1357" s="27">
        <f t="shared" si="177"/>
        <v>0.2473739496</v>
      </c>
      <c r="P1357" s="28">
        <f t="shared" si="178"/>
        <v>304640</v>
      </c>
    </row>
    <row r="1358" hidden="1">
      <c r="A1358" s="122" t="s">
        <v>2044</v>
      </c>
      <c r="B1358" s="36" t="s">
        <v>2045</v>
      </c>
      <c r="C1358" s="18"/>
      <c r="D1358" s="4"/>
      <c r="E1358" s="19">
        <v>0.0</v>
      </c>
      <c r="F1358" s="19"/>
      <c r="G1358" s="16" t="s">
        <v>2046</v>
      </c>
      <c r="H1358" s="21"/>
      <c r="I1358" s="22"/>
      <c r="J1358" s="23"/>
      <c r="K1358" s="24">
        <v>4165.0</v>
      </c>
      <c r="L1358" s="24">
        <v>7000.0</v>
      </c>
      <c r="M1358" s="25"/>
      <c r="N1358" s="70"/>
      <c r="O1358" s="27">
        <f t="shared" si="177"/>
        <v>0.6806722689</v>
      </c>
      <c r="P1358" s="28">
        <f t="shared" si="178"/>
        <v>0</v>
      </c>
    </row>
    <row r="1359" hidden="1">
      <c r="A1359" s="122" t="s">
        <v>2047</v>
      </c>
      <c r="B1359" s="17">
        <v>241001.0</v>
      </c>
      <c r="C1359" s="18"/>
      <c r="D1359" s="4"/>
      <c r="E1359" s="19">
        <v>0.0</v>
      </c>
      <c r="F1359" s="19">
        <v>0.0</v>
      </c>
      <c r="G1359" s="16" t="s">
        <v>425</v>
      </c>
      <c r="H1359" s="73"/>
      <c r="I1359" s="22">
        <f>15+31+50</f>
        <v>96</v>
      </c>
      <c r="J1359" s="74"/>
      <c r="K1359" s="75">
        <f>62726*1.19/100</f>
        <v>746.4394</v>
      </c>
      <c r="L1359" s="44">
        <v>2000.0</v>
      </c>
      <c r="M1359" s="25"/>
      <c r="N1359" s="26"/>
      <c r="O1359" s="27">
        <f t="shared" si="177"/>
        <v>1.679386967</v>
      </c>
      <c r="P1359" s="28">
        <f t="shared" si="178"/>
        <v>0</v>
      </c>
    </row>
    <row r="1360" hidden="1">
      <c r="A1360" s="122" t="s">
        <v>2048</v>
      </c>
      <c r="B1360" s="17">
        <v>241005.0</v>
      </c>
      <c r="C1360" s="18"/>
      <c r="D1360" s="4"/>
      <c r="E1360" s="19">
        <v>0.0</v>
      </c>
      <c r="F1360" s="19">
        <v>0.0</v>
      </c>
      <c r="G1360" s="16" t="s">
        <v>425</v>
      </c>
      <c r="H1360" s="73"/>
      <c r="I1360" s="22">
        <v>50.0</v>
      </c>
      <c r="J1360" s="74"/>
      <c r="K1360" s="75">
        <v>400.0</v>
      </c>
      <c r="L1360" s="44">
        <v>2000.0</v>
      </c>
      <c r="M1360" s="25"/>
      <c r="N1360" s="26"/>
      <c r="O1360" s="27">
        <f t="shared" si="177"/>
        <v>4</v>
      </c>
      <c r="P1360" s="28">
        <f t="shared" si="178"/>
        <v>0</v>
      </c>
    </row>
    <row r="1361" hidden="1">
      <c r="A1361" s="122" t="s">
        <v>2049</v>
      </c>
      <c r="B1361" s="17">
        <v>241014.0</v>
      </c>
      <c r="C1361" s="18"/>
      <c r="D1361" s="4"/>
      <c r="E1361" s="19">
        <v>0.0</v>
      </c>
      <c r="F1361" s="19">
        <v>0.0</v>
      </c>
      <c r="G1361" s="16" t="s">
        <v>425</v>
      </c>
      <c r="H1361" s="73"/>
      <c r="I1361" s="22">
        <f>15+22</f>
        <v>37</v>
      </c>
      <c r="J1361" s="74"/>
      <c r="K1361" s="75">
        <v>400.0</v>
      </c>
      <c r="L1361" s="44">
        <v>2000.0</v>
      </c>
      <c r="M1361" s="25"/>
      <c r="N1361" s="26"/>
      <c r="O1361" s="27">
        <f t="shared" si="177"/>
        <v>4</v>
      </c>
      <c r="P1361" s="28">
        <f t="shared" si="178"/>
        <v>0</v>
      </c>
    </row>
    <row r="1362" hidden="1">
      <c r="A1362" s="122" t="s">
        <v>2050</v>
      </c>
      <c r="B1362" s="17">
        <v>241010.0</v>
      </c>
      <c r="C1362" s="18"/>
      <c r="D1362" s="4"/>
      <c r="E1362" s="19">
        <v>0.0</v>
      </c>
      <c r="F1362" s="19">
        <v>0.0</v>
      </c>
      <c r="G1362" s="16" t="s">
        <v>425</v>
      </c>
      <c r="H1362" s="73"/>
      <c r="I1362" s="22">
        <v>50.0</v>
      </c>
      <c r="J1362" s="74"/>
      <c r="K1362" s="75">
        <f>62726*1.19/100</f>
        <v>746.4394</v>
      </c>
      <c r="L1362" s="44">
        <v>2000.0</v>
      </c>
      <c r="M1362" s="25"/>
      <c r="N1362" s="26"/>
      <c r="O1362" s="27">
        <f t="shared" si="177"/>
        <v>1.679386967</v>
      </c>
      <c r="P1362" s="28">
        <f t="shared" si="178"/>
        <v>0</v>
      </c>
    </row>
    <row r="1363" hidden="1">
      <c r="A1363" s="122" t="s">
        <v>2051</v>
      </c>
      <c r="B1363" s="17">
        <v>241002.0</v>
      </c>
      <c r="C1363" s="18"/>
      <c r="D1363" s="4"/>
      <c r="E1363" s="19">
        <v>0.0</v>
      </c>
      <c r="F1363" s="19">
        <v>0.0</v>
      </c>
      <c r="G1363" s="16" t="s">
        <v>425</v>
      </c>
      <c r="H1363" s="73"/>
      <c r="I1363" s="22">
        <v>20.0</v>
      </c>
      <c r="J1363" s="74"/>
      <c r="K1363" s="75">
        <v>400.0</v>
      </c>
      <c r="L1363" s="44">
        <v>2000.0</v>
      </c>
      <c r="M1363" s="25"/>
      <c r="N1363" s="26"/>
      <c r="O1363" s="27">
        <f t="shared" si="177"/>
        <v>4</v>
      </c>
      <c r="P1363" s="28">
        <f t="shared" si="178"/>
        <v>0</v>
      </c>
    </row>
    <row r="1364" hidden="1">
      <c r="A1364" s="122" t="s">
        <v>2052</v>
      </c>
      <c r="B1364" s="17">
        <v>241006.0</v>
      </c>
      <c r="C1364" s="18"/>
      <c r="D1364" s="4"/>
      <c r="E1364" s="19">
        <v>0.0</v>
      </c>
      <c r="F1364" s="19">
        <v>0.0</v>
      </c>
      <c r="G1364" s="16" t="s">
        <v>425</v>
      </c>
      <c r="H1364" s="73"/>
      <c r="I1364" s="22">
        <v>9.0</v>
      </c>
      <c r="J1364" s="74"/>
      <c r="K1364" s="75">
        <v>400.0</v>
      </c>
      <c r="L1364" s="44">
        <v>2000.0</v>
      </c>
      <c r="M1364" s="25"/>
      <c r="N1364" s="26"/>
      <c r="O1364" s="27">
        <f t="shared" si="177"/>
        <v>4</v>
      </c>
      <c r="P1364" s="28">
        <f t="shared" si="178"/>
        <v>0</v>
      </c>
    </row>
    <row r="1365" hidden="1">
      <c r="A1365" s="122" t="s">
        <v>2053</v>
      </c>
      <c r="B1365" s="17">
        <v>241015.0</v>
      </c>
      <c r="C1365" s="18"/>
      <c r="D1365" s="4"/>
      <c r="E1365" s="19">
        <v>0.0</v>
      </c>
      <c r="F1365" s="19">
        <v>0.0</v>
      </c>
      <c r="G1365" s="16" t="s">
        <v>425</v>
      </c>
      <c r="H1365" s="73"/>
      <c r="I1365" s="22">
        <v>8.0</v>
      </c>
      <c r="J1365" s="74"/>
      <c r="K1365" s="75"/>
      <c r="L1365" s="44">
        <v>2000.0</v>
      </c>
      <c r="M1365" s="25"/>
      <c r="N1365" s="26"/>
      <c r="O1365" s="27" t="str">
        <f t="shared" si="177"/>
        <v>#DIV/0!</v>
      </c>
      <c r="P1365" s="28">
        <f t="shared" si="178"/>
        <v>0</v>
      </c>
    </row>
    <row r="1366" hidden="1">
      <c r="A1366" s="122" t="s">
        <v>2054</v>
      </c>
      <c r="B1366" s="17">
        <v>241011.0</v>
      </c>
      <c r="C1366" s="18"/>
      <c r="D1366" s="4"/>
      <c r="E1366" s="19">
        <v>0.0</v>
      </c>
      <c r="F1366" s="19">
        <v>0.0</v>
      </c>
      <c r="G1366" s="16" t="s">
        <v>425</v>
      </c>
      <c r="H1366" s="73"/>
      <c r="I1366" s="22">
        <v>14.0</v>
      </c>
      <c r="J1366" s="74"/>
      <c r="K1366" s="75">
        <v>400.0</v>
      </c>
      <c r="L1366" s="44">
        <v>2000.0</v>
      </c>
      <c r="M1366" s="25"/>
      <c r="N1366" s="26"/>
      <c r="O1366" s="27">
        <f t="shared" si="177"/>
        <v>4</v>
      </c>
      <c r="P1366" s="28">
        <f t="shared" si="178"/>
        <v>0</v>
      </c>
    </row>
    <row r="1367" hidden="1">
      <c r="A1367" s="52" t="s">
        <v>2055</v>
      </c>
      <c r="B1367" s="17"/>
      <c r="C1367" s="18"/>
      <c r="D1367" s="4"/>
      <c r="E1367" s="19">
        <v>0.0</v>
      </c>
      <c r="F1367" s="19"/>
      <c r="G1367" s="16" t="s">
        <v>2056</v>
      </c>
      <c r="H1367" s="21"/>
      <c r="I1367" s="22"/>
      <c r="J1367" s="29"/>
      <c r="K1367" s="43">
        <v>2080.0</v>
      </c>
      <c r="L1367" s="44">
        <v>4000.0</v>
      </c>
      <c r="M1367" s="25"/>
      <c r="N1367" s="26"/>
      <c r="O1367" s="27">
        <f t="shared" si="177"/>
        <v>0.9230769231</v>
      </c>
      <c r="P1367" s="28">
        <f t="shared" si="178"/>
        <v>0</v>
      </c>
    </row>
    <row r="1368" hidden="1">
      <c r="A1368" s="52" t="s">
        <v>2057</v>
      </c>
      <c r="B1368" s="17"/>
      <c r="C1368" s="18"/>
      <c r="D1368" s="4"/>
      <c r="E1368" s="19">
        <v>0.0</v>
      </c>
      <c r="F1368" s="19"/>
      <c r="G1368" s="16" t="s">
        <v>2056</v>
      </c>
      <c r="H1368" s="21"/>
      <c r="I1368" s="22"/>
      <c r="J1368" s="29"/>
      <c r="K1368" s="43">
        <v>2080.0</v>
      </c>
      <c r="L1368" s="44">
        <v>4000.0</v>
      </c>
      <c r="M1368" s="25"/>
      <c r="N1368" s="26"/>
      <c r="O1368" s="27">
        <f t="shared" si="177"/>
        <v>0.9230769231</v>
      </c>
      <c r="P1368" s="28">
        <f t="shared" si="178"/>
        <v>0</v>
      </c>
    </row>
    <row r="1369" hidden="1">
      <c r="A1369" s="52" t="s">
        <v>2058</v>
      </c>
      <c r="B1369" s="36"/>
      <c r="C1369" s="18"/>
      <c r="D1369" s="4"/>
      <c r="E1369" s="19">
        <v>0.0</v>
      </c>
      <c r="F1369" s="19"/>
      <c r="G1369" s="16" t="s">
        <v>2056</v>
      </c>
      <c r="H1369" s="21"/>
      <c r="I1369" s="22"/>
      <c r="J1369" s="29"/>
      <c r="K1369" s="43">
        <v>2479.0</v>
      </c>
      <c r="L1369" s="44">
        <v>4000.0</v>
      </c>
      <c r="M1369" s="25"/>
      <c r="N1369" s="26"/>
      <c r="O1369" s="27">
        <f t="shared" si="177"/>
        <v>0.6135538524</v>
      </c>
      <c r="P1369" s="28">
        <f t="shared" si="178"/>
        <v>0</v>
      </c>
    </row>
    <row r="1370" hidden="1">
      <c r="A1370" s="52" t="s">
        <v>2059</v>
      </c>
      <c r="B1370" s="134"/>
      <c r="C1370" s="18"/>
      <c r="D1370" s="4"/>
      <c r="E1370" s="19">
        <v>0.0</v>
      </c>
      <c r="F1370" s="19"/>
      <c r="G1370" s="16" t="s">
        <v>2056</v>
      </c>
      <c r="H1370" s="21"/>
      <c r="I1370" s="22"/>
      <c r="J1370" s="29"/>
      <c r="K1370" s="43">
        <f t="shared" ref="K1370:K1371" si="179">25000*1.19/12</f>
        <v>2479.166667</v>
      </c>
      <c r="L1370" s="44">
        <v>4000.0</v>
      </c>
      <c r="M1370" s="25"/>
      <c r="N1370" s="26"/>
      <c r="O1370" s="27">
        <f t="shared" si="177"/>
        <v>0.6134453782</v>
      </c>
      <c r="P1370" s="28">
        <f t="shared" si="178"/>
        <v>0</v>
      </c>
    </row>
    <row r="1371" hidden="1">
      <c r="A1371" s="52" t="s">
        <v>2060</v>
      </c>
      <c r="B1371" s="36"/>
      <c r="C1371" s="18"/>
      <c r="D1371" s="4"/>
      <c r="E1371" s="19">
        <v>0.0</v>
      </c>
      <c r="F1371" s="19"/>
      <c r="G1371" s="16" t="s">
        <v>2056</v>
      </c>
      <c r="H1371" s="21"/>
      <c r="I1371" s="22"/>
      <c r="J1371" s="29"/>
      <c r="K1371" s="43">
        <f t="shared" si="179"/>
        <v>2479.166667</v>
      </c>
      <c r="L1371" s="44">
        <v>4000.0</v>
      </c>
      <c r="M1371" s="25"/>
      <c r="N1371" s="26"/>
      <c r="O1371" s="27">
        <f t="shared" si="177"/>
        <v>0.6134453782</v>
      </c>
      <c r="P1371" s="28">
        <f t="shared" si="178"/>
        <v>0</v>
      </c>
    </row>
    <row r="1372" hidden="1">
      <c r="A1372" s="52" t="s">
        <v>2061</v>
      </c>
      <c r="B1372" s="17"/>
      <c r="C1372" s="18"/>
      <c r="D1372" s="4"/>
      <c r="E1372" s="19">
        <v>0.0</v>
      </c>
      <c r="F1372" s="19"/>
      <c r="G1372" s="16" t="s">
        <v>2056</v>
      </c>
      <c r="H1372" s="21"/>
      <c r="I1372" s="22"/>
      <c r="J1372" s="29"/>
      <c r="K1372" s="43">
        <v>2080.0</v>
      </c>
      <c r="L1372" s="44">
        <v>4000.0</v>
      </c>
      <c r="M1372" s="25"/>
      <c r="N1372" s="69"/>
      <c r="O1372" s="27">
        <f t="shared" si="177"/>
        <v>0.9230769231</v>
      </c>
      <c r="P1372" s="28">
        <f t="shared" si="178"/>
        <v>0</v>
      </c>
    </row>
    <row r="1373" hidden="1">
      <c r="A1373" s="52" t="s">
        <v>2062</v>
      </c>
      <c r="B1373" s="17"/>
      <c r="C1373" s="18"/>
      <c r="D1373" s="4"/>
      <c r="E1373" s="19">
        <v>0.0</v>
      </c>
      <c r="F1373" s="19"/>
      <c r="G1373" s="16" t="s">
        <v>2056</v>
      </c>
      <c r="H1373" s="21"/>
      <c r="I1373" s="22"/>
      <c r="J1373" s="29"/>
      <c r="K1373" s="43">
        <v>2080.0</v>
      </c>
      <c r="L1373" s="44">
        <v>4000.0</v>
      </c>
      <c r="M1373" s="25"/>
      <c r="N1373" s="26"/>
      <c r="O1373" s="27">
        <f t="shared" si="177"/>
        <v>0.9230769231</v>
      </c>
      <c r="P1373" s="28">
        <f t="shared" si="178"/>
        <v>0</v>
      </c>
    </row>
    <row r="1374" hidden="1">
      <c r="A1374" s="16" t="s">
        <v>2063</v>
      </c>
      <c r="B1374" s="17" t="s">
        <v>44</v>
      </c>
      <c r="C1374" s="18"/>
      <c r="D1374" s="4"/>
      <c r="E1374" s="19">
        <v>0.0</v>
      </c>
      <c r="F1374" s="19">
        <v>1.0</v>
      </c>
      <c r="G1374" s="16" t="s">
        <v>45</v>
      </c>
      <c r="H1374" s="21"/>
      <c r="I1374" s="22">
        <v>2.0</v>
      </c>
      <c r="J1374" s="45"/>
      <c r="K1374" s="46">
        <v>2488400.0</v>
      </c>
      <c r="L1374" s="46">
        <v>2900000.0</v>
      </c>
      <c r="M1374" s="25"/>
      <c r="N1374" s="69"/>
      <c r="O1374" s="27">
        <f t="shared" si="177"/>
        <v>0.1654074908</v>
      </c>
      <c r="P1374" s="28">
        <f t="shared" si="178"/>
        <v>2488400</v>
      </c>
    </row>
    <row r="1375" hidden="1">
      <c r="A1375" s="16" t="s">
        <v>2064</v>
      </c>
      <c r="B1375" s="17" t="s">
        <v>44</v>
      </c>
      <c r="C1375" s="18"/>
      <c r="D1375" s="4"/>
      <c r="E1375" s="19">
        <v>0.0</v>
      </c>
      <c r="F1375" s="19">
        <v>0.0</v>
      </c>
      <c r="G1375" s="16" t="s">
        <v>1569</v>
      </c>
      <c r="H1375" s="21"/>
      <c r="I1375" s="22">
        <v>2.0</v>
      </c>
      <c r="J1375" s="45"/>
      <c r="K1375" s="46">
        <v>1079000.0</v>
      </c>
      <c r="L1375" s="46">
        <v>1260000.0</v>
      </c>
      <c r="M1375" s="25"/>
      <c r="N1375" s="69"/>
      <c r="O1375" s="27">
        <f t="shared" si="177"/>
        <v>0.1677479147</v>
      </c>
      <c r="P1375" s="28">
        <f t="shared" si="178"/>
        <v>0</v>
      </c>
    </row>
    <row r="1376" hidden="1">
      <c r="A1376" s="156" t="s">
        <v>2065</v>
      </c>
      <c r="B1376" s="71"/>
      <c r="C1376" s="18"/>
      <c r="D1376" s="4"/>
      <c r="E1376" s="19">
        <v>0.0</v>
      </c>
      <c r="F1376" s="19"/>
      <c r="G1376" s="16" t="s">
        <v>291</v>
      </c>
      <c r="H1376" s="21"/>
      <c r="I1376" s="22"/>
      <c r="J1376" s="29"/>
      <c r="K1376" s="43">
        <f>13026*1.19/20</f>
        <v>775.047</v>
      </c>
      <c r="L1376" s="44">
        <v>1000.0</v>
      </c>
      <c r="M1376" s="25"/>
      <c r="N1376" s="50"/>
      <c r="O1376" s="27">
        <f t="shared" si="177"/>
        <v>0.2902443336</v>
      </c>
      <c r="P1376" s="28">
        <f t="shared" si="178"/>
        <v>0</v>
      </c>
    </row>
    <row r="1377" hidden="1">
      <c r="A1377" s="122" t="s">
        <v>2066</v>
      </c>
      <c r="B1377" s="17"/>
      <c r="C1377" s="18" t="s">
        <v>1157</v>
      </c>
      <c r="D1377" s="4"/>
      <c r="E1377" s="19">
        <v>0.0</v>
      </c>
      <c r="F1377" s="19">
        <v>0.0</v>
      </c>
      <c r="G1377" s="16" t="s">
        <v>580</v>
      </c>
      <c r="H1377" s="21"/>
      <c r="I1377" s="22"/>
      <c r="J1377" s="23"/>
      <c r="K1377" s="44">
        <f t="shared" ref="K1377:K1379" si="180">8962*1.19</f>
        <v>10664.78</v>
      </c>
      <c r="L1377" s="44">
        <v>35000.0</v>
      </c>
      <c r="M1377" s="25"/>
      <c r="N1377" s="251">
        <v>14000.0</v>
      </c>
      <c r="O1377" s="27">
        <f t="shared" si="177"/>
        <v>2.281830474</v>
      </c>
      <c r="P1377" s="28">
        <f t="shared" si="178"/>
        <v>0</v>
      </c>
    </row>
    <row r="1378" hidden="1">
      <c r="A1378" s="122" t="s">
        <v>2067</v>
      </c>
      <c r="B1378" s="17">
        <v>241035.0</v>
      </c>
      <c r="C1378" s="18" t="s">
        <v>1157</v>
      </c>
      <c r="D1378" s="4"/>
      <c r="E1378" s="19">
        <v>0.0</v>
      </c>
      <c r="F1378" s="19">
        <v>0.0</v>
      </c>
      <c r="G1378" s="16" t="s">
        <v>425</v>
      </c>
      <c r="H1378" s="21"/>
      <c r="I1378" s="22"/>
      <c r="J1378" s="23"/>
      <c r="K1378" s="44">
        <f t="shared" si="180"/>
        <v>10664.78</v>
      </c>
      <c r="L1378" s="44">
        <v>20000.0</v>
      </c>
      <c r="M1378" s="25"/>
      <c r="N1378" s="251">
        <v>14000.0</v>
      </c>
      <c r="O1378" s="27">
        <f t="shared" si="177"/>
        <v>0.8753316993</v>
      </c>
      <c r="P1378" s="28">
        <f t="shared" si="178"/>
        <v>0</v>
      </c>
    </row>
    <row r="1379" hidden="1">
      <c r="A1379" s="122" t="s">
        <v>2068</v>
      </c>
      <c r="B1379" s="17">
        <v>241034.0</v>
      </c>
      <c r="C1379" s="18" t="s">
        <v>1157</v>
      </c>
      <c r="D1379" s="4"/>
      <c r="E1379" s="19">
        <v>0.0</v>
      </c>
      <c r="F1379" s="19">
        <v>0.0</v>
      </c>
      <c r="G1379" s="16" t="s">
        <v>425</v>
      </c>
      <c r="H1379" s="21"/>
      <c r="I1379" s="22">
        <v>85.0</v>
      </c>
      <c r="J1379" s="23"/>
      <c r="K1379" s="44">
        <f t="shared" si="180"/>
        <v>10664.78</v>
      </c>
      <c r="L1379" s="44">
        <v>20000.0</v>
      </c>
      <c r="M1379" s="25"/>
      <c r="N1379" s="251">
        <v>14000.0</v>
      </c>
      <c r="O1379" s="27">
        <f t="shared" si="177"/>
        <v>0.8753316993</v>
      </c>
      <c r="P1379" s="28">
        <f t="shared" si="178"/>
        <v>0</v>
      </c>
    </row>
    <row r="1380" hidden="1">
      <c r="A1380" s="122" t="s">
        <v>2069</v>
      </c>
      <c r="B1380" s="17">
        <v>241032.0</v>
      </c>
      <c r="C1380" s="18" t="s">
        <v>1157</v>
      </c>
      <c r="D1380" s="4"/>
      <c r="E1380" s="19">
        <v>0.0</v>
      </c>
      <c r="F1380" s="19">
        <v>0.0</v>
      </c>
      <c r="G1380" s="16" t="s">
        <v>2070</v>
      </c>
      <c r="H1380" s="21"/>
      <c r="I1380" s="22" t="s">
        <v>99</v>
      </c>
      <c r="J1380" s="23"/>
      <c r="K1380" s="44">
        <v>8532.0</v>
      </c>
      <c r="L1380" s="44">
        <v>20000.0</v>
      </c>
      <c r="M1380" s="25"/>
      <c r="N1380" s="251">
        <v>14000.0</v>
      </c>
      <c r="O1380" s="27">
        <f t="shared" si="177"/>
        <v>1.344116268</v>
      </c>
      <c r="P1380" s="28">
        <f t="shared" si="178"/>
        <v>0</v>
      </c>
    </row>
    <row r="1381" hidden="1">
      <c r="A1381" s="122" t="s">
        <v>2071</v>
      </c>
      <c r="B1381" s="17"/>
      <c r="C1381" s="18" t="s">
        <v>1157</v>
      </c>
      <c r="D1381" s="4"/>
      <c r="E1381" s="19">
        <v>0.0</v>
      </c>
      <c r="F1381" s="19">
        <v>0.0</v>
      </c>
      <c r="G1381" s="16" t="s">
        <v>425</v>
      </c>
      <c r="H1381" s="21"/>
      <c r="I1381" s="22" t="s">
        <v>99</v>
      </c>
      <c r="J1381" s="23"/>
      <c r="K1381" s="44">
        <f t="shared" ref="K1381:K1383" si="181">8962*1.19</f>
        <v>10664.78</v>
      </c>
      <c r="L1381" s="44">
        <v>20000.0</v>
      </c>
      <c r="M1381" s="25"/>
      <c r="N1381" s="251">
        <v>14000.0</v>
      </c>
      <c r="O1381" s="27">
        <f t="shared" si="177"/>
        <v>0.8753316993</v>
      </c>
      <c r="P1381" s="28">
        <f t="shared" si="178"/>
        <v>0</v>
      </c>
    </row>
    <row r="1382" hidden="1">
      <c r="A1382" s="122" t="s">
        <v>2072</v>
      </c>
      <c r="B1382" s="17">
        <v>241033.0</v>
      </c>
      <c r="C1382" s="18" t="s">
        <v>1157</v>
      </c>
      <c r="D1382" s="4"/>
      <c r="E1382" s="19">
        <v>0.0</v>
      </c>
      <c r="F1382" s="19">
        <v>0.0</v>
      </c>
      <c r="G1382" s="16" t="s">
        <v>425</v>
      </c>
      <c r="H1382" s="21"/>
      <c r="I1382" s="22" t="s">
        <v>99</v>
      </c>
      <c r="J1382" s="23"/>
      <c r="K1382" s="44">
        <f t="shared" si="181"/>
        <v>10664.78</v>
      </c>
      <c r="L1382" s="44">
        <v>20000.0</v>
      </c>
      <c r="M1382" s="25"/>
      <c r="N1382" s="251">
        <v>14000.0</v>
      </c>
      <c r="O1382" s="27">
        <f t="shared" si="177"/>
        <v>0.8753316993</v>
      </c>
      <c r="P1382" s="28">
        <f t="shared" si="178"/>
        <v>0</v>
      </c>
    </row>
    <row r="1383" hidden="1">
      <c r="A1383" s="122" t="s">
        <v>2073</v>
      </c>
      <c r="B1383" s="17">
        <v>241037.0</v>
      </c>
      <c r="C1383" s="18" t="s">
        <v>1157</v>
      </c>
      <c r="D1383" s="4"/>
      <c r="E1383" s="19">
        <v>0.0</v>
      </c>
      <c r="F1383" s="19">
        <v>0.0</v>
      </c>
      <c r="G1383" s="16" t="s">
        <v>425</v>
      </c>
      <c r="H1383" s="21"/>
      <c r="I1383" s="22" t="s">
        <v>99</v>
      </c>
      <c r="J1383" s="23"/>
      <c r="K1383" s="44">
        <f t="shared" si="181"/>
        <v>10664.78</v>
      </c>
      <c r="L1383" s="44">
        <v>20000.0</v>
      </c>
      <c r="M1383" s="25"/>
      <c r="N1383" s="251">
        <v>14000.0</v>
      </c>
      <c r="O1383" s="27">
        <f t="shared" si="177"/>
        <v>0.8753316993</v>
      </c>
      <c r="P1383" s="28">
        <f t="shared" si="178"/>
        <v>0</v>
      </c>
    </row>
    <row r="1384" hidden="1">
      <c r="A1384" s="122" t="s">
        <v>2074</v>
      </c>
      <c r="B1384" s="17">
        <v>241036.0</v>
      </c>
      <c r="C1384" s="18" t="s">
        <v>1157</v>
      </c>
      <c r="D1384" s="4"/>
      <c r="E1384" s="19">
        <v>0.0</v>
      </c>
      <c r="F1384" s="19">
        <v>0.0</v>
      </c>
      <c r="G1384" s="16" t="s">
        <v>425</v>
      </c>
      <c r="H1384" s="21"/>
      <c r="I1384" s="22" t="s">
        <v>99</v>
      </c>
      <c r="J1384" s="23"/>
      <c r="K1384" s="44">
        <v>8532.0</v>
      </c>
      <c r="L1384" s="44">
        <v>20000.0</v>
      </c>
      <c r="M1384" s="25"/>
      <c r="N1384" s="251">
        <v>14000.0</v>
      </c>
      <c r="O1384" s="27">
        <f t="shared" si="177"/>
        <v>1.344116268</v>
      </c>
      <c r="P1384" s="28">
        <f t="shared" si="178"/>
        <v>0</v>
      </c>
    </row>
    <row r="1385" hidden="1">
      <c r="A1385" s="122" t="s">
        <v>2075</v>
      </c>
      <c r="B1385" s="17">
        <v>241030.0</v>
      </c>
      <c r="C1385" s="18" t="s">
        <v>1157</v>
      </c>
      <c r="D1385" s="4"/>
      <c r="E1385" s="19">
        <v>0.0</v>
      </c>
      <c r="F1385" s="19">
        <v>0.0</v>
      </c>
      <c r="G1385" s="16" t="s">
        <v>2070</v>
      </c>
      <c r="H1385" s="21"/>
      <c r="I1385" s="22" t="s">
        <v>99</v>
      </c>
      <c r="J1385" s="23"/>
      <c r="K1385" s="44">
        <v>8532.0</v>
      </c>
      <c r="L1385" s="44">
        <v>20000.0</v>
      </c>
      <c r="M1385" s="25"/>
      <c r="N1385" s="251">
        <v>14000.0</v>
      </c>
      <c r="O1385" s="27">
        <f t="shared" si="177"/>
        <v>1.344116268</v>
      </c>
      <c r="P1385" s="28">
        <f t="shared" si="178"/>
        <v>0</v>
      </c>
    </row>
    <row r="1386" hidden="1">
      <c r="A1386" s="122" t="s">
        <v>2076</v>
      </c>
      <c r="B1386" s="17">
        <v>241029.0</v>
      </c>
      <c r="C1386" s="18" t="s">
        <v>1157</v>
      </c>
      <c r="D1386" s="4"/>
      <c r="E1386" s="19">
        <v>0.0</v>
      </c>
      <c r="F1386" s="19">
        <v>0.0</v>
      </c>
      <c r="G1386" s="16" t="s">
        <v>2070</v>
      </c>
      <c r="H1386" s="21"/>
      <c r="I1386" s="22" t="s">
        <v>99</v>
      </c>
      <c r="J1386" s="23"/>
      <c r="K1386" s="44">
        <v>8532.0</v>
      </c>
      <c r="L1386" s="44">
        <v>20000.0</v>
      </c>
      <c r="M1386" s="25"/>
      <c r="N1386" s="251">
        <v>14000.0</v>
      </c>
      <c r="O1386" s="27">
        <f t="shared" si="177"/>
        <v>1.344116268</v>
      </c>
      <c r="P1386" s="28">
        <f t="shared" si="178"/>
        <v>0</v>
      </c>
    </row>
    <row r="1387" hidden="1">
      <c r="A1387" s="122" t="s">
        <v>2077</v>
      </c>
      <c r="B1387" s="17">
        <v>241028.0</v>
      </c>
      <c r="C1387" s="18" t="s">
        <v>1157</v>
      </c>
      <c r="D1387" s="4"/>
      <c r="E1387" s="19">
        <v>0.0</v>
      </c>
      <c r="F1387" s="19">
        <v>0.0</v>
      </c>
      <c r="G1387" s="16" t="s">
        <v>2070</v>
      </c>
      <c r="H1387" s="21"/>
      <c r="I1387" s="22" t="s">
        <v>99</v>
      </c>
      <c r="J1387" s="23"/>
      <c r="K1387" s="44">
        <v>8532.0</v>
      </c>
      <c r="L1387" s="44">
        <v>20000.0</v>
      </c>
      <c r="M1387" s="25"/>
      <c r="N1387" s="251">
        <v>14000.0</v>
      </c>
      <c r="O1387" s="27">
        <f t="shared" si="177"/>
        <v>1.344116268</v>
      </c>
      <c r="P1387" s="28">
        <f t="shared" si="178"/>
        <v>0</v>
      </c>
    </row>
    <row r="1388" hidden="1">
      <c r="A1388" s="122" t="s">
        <v>2078</v>
      </c>
      <c r="B1388" s="17">
        <v>241031.0</v>
      </c>
      <c r="C1388" s="18" t="s">
        <v>1157</v>
      </c>
      <c r="D1388" s="4"/>
      <c r="E1388" s="19">
        <v>0.0</v>
      </c>
      <c r="F1388" s="19">
        <v>0.0</v>
      </c>
      <c r="G1388" s="16" t="s">
        <v>2079</v>
      </c>
      <c r="H1388" s="21"/>
      <c r="I1388" s="22"/>
      <c r="J1388" s="23"/>
      <c r="K1388" s="44">
        <f>8962*1.19</f>
        <v>10664.78</v>
      </c>
      <c r="L1388" s="44">
        <v>20000.0</v>
      </c>
      <c r="M1388" s="25"/>
      <c r="N1388" s="251">
        <v>14000.0</v>
      </c>
      <c r="O1388" s="27">
        <f t="shared" si="177"/>
        <v>0.8753316993</v>
      </c>
      <c r="P1388" s="28">
        <f t="shared" si="178"/>
        <v>0</v>
      </c>
    </row>
    <row r="1389" hidden="1">
      <c r="A1389" s="122" t="s">
        <v>2080</v>
      </c>
      <c r="B1389" s="17"/>
      <c r="C1389" s="18"/>
      <c r="D1389" s="4"/>
      <c r="E1389" s="19"/>
      <c r="F1389" s="19"/>
      <c r="G1389" s="16" t="s">
        <v>1630</v>
      </c>
      <c r="H1389" s="21"/>
      <c r="I1389" s="22"/>
      <c r="J1389" s="23"/>
      <c r="K1389" s="55">
        <v>16958.0</v>
      </c>
      <c r="L1389" s="55">
        <v>75000.0</v>
      </c>
      <c r="M1389" s="25"/>
      <c r="N1389" s="251"/>
      <c r="O1389" s="27"/>
      <c r="P1389" s="28"/>
    </row>
    <row r="1390" hidden="1">
      <c r="A1390" s="122" t="s">
        <v>2081</v>
      </c>
      <c r="B1390" s="17"/>
      <c r="C1390" s="18" t="s">
        <v>1157</v>
      </c>
      <c r="D1390" s="4"/>
      <c r="E1390" s="19">
        <v>0.0</v>
      </c>
      <c r="F1390" s="19">
        <v>0.0</v>
      </c>
      <c r="G1390" s="16" t="s">
        <v>1630</v>
      </c>
      <c r="H1390" s="21"/>
      <c r="I1390" s="22" t="s">
        <v>99</v>
      </c>
      <c r="J1390" s="23"/>
      <c r="K1390" s="24">
        <f t="shared" ref="K1390:K1400" si="182">41961*1.19</f>
        <v>49933.59</v>
      </c>
      <c r="L1390" s="24">
        <v>70000.0</v>
      </c>
      <c r="M1390" s="25"/>
      <c r="N1390" s="251"/>
      <c r="O1390" s="27">
        <f t="shared" ref="O1390:O1421" si="183">(L1390/K1390)-1</f>
        <v>0.401861953</v>
      </c>
      <c r="P1390" s="28">
        <f t="shared" ref="P1390:P1421" si="184">K1390*F1390</f>
        <v>0</v>
      </c>
    </row>
    <row r="1391" hidden="1">
      <c r="A1391" s="122" t="s">
        <v>2082</v>
      </c>
      <c r="B1391" s="17">
        <v>244015.0</v>
      </c>
      <c r="C1391" s="18"/>
      <c r="D1391" s="66"/>
      <c r="E1391" s="19">
        <v>0.0</v>
      </c>
      <c r="F1391" s="19">
        <v>0.0</v>
      </c>
      <c r="G1391" s="16" t="s">
        <v>2083</v>
      </c>
      <c r="H1391" s="21"/>
      <c r="I1391" s="22">
        <v>4.0</v>
      </c>
      <c r="J1391" s="23"/>
      <c r="K1391" s="24">
        <f t="shared" si="182"/>
        <v>49933.59</v>
      </c>
      <c r="L1391" s="24">
        <v>70000.0</v>
      </c>
      <c r="M1391" s="25"/>
      <c r="N1391" s="26"/>
      <c r="O1391" s="27">
        <f t="shared" si="183"/>
        <v>0.401861953</v>
      </c>
      <c r="P1391" s="28">
        <f t="shared" si="184"/>
        <v>0</v>
      </c>
    </row>
    <row r="1392" hidden="1">
      <c r="A1392" s="122" t="s">
        <v>2084</v>
      </c>
      <c r="B1392" s="17">
        <v>244004.0</v>
      </c>
      <c r="C1392" s="18"/>
      <c r="D1392" s="66"/>
      <c r="E1392" s="19">
        <v>0.0</v>
      </c>
      <c r="F1392" s="19">
        <v>0.0</v>
      </c>
      <c r="G1392" s="16" t="s">
        <v>2083</v>
      </c>
      <c r="H1392" s="21"/>
      <c r="I1392" s="22"/>
      <c r="J1392" s="23"/>
      <c r="K1392" s="24">
        <f t="shared" si="182"/>
        <v>49933.59</v>
      </c>
      <c r="L1392" s="24">
        <v>70000.0</v>
      </c>
      <c r="M1392" s="25"/>
      <c r="N1392" s="26"/>
      <c r="O1392" s="27">
        <f t="shared" si="183"/>
        <v>0.401861953</v>
      </c>
      <c r="P1392" s="28">
        <f t="shared" si="184"/>
        <v>0</v>
      </c>
    </row>
    <row r="1393" hidden="1">
      <c r="A1393" s="16" t="s">
        <v>2085</v>
      </c>
      <c r="B1393" s="17">
        <v>244010.0</v>
      </c>
      <c r="C1393" s="18"/>
      <c r="D1393" s="66"/>
      <c r="E1393" s="19">
        <v>0.0</v>
      </c>
      <c r="F1393" s="19">
        <v>0.0</v>
      </c>
      <c r="G1393" s="16" t="s">
        <v>2083</v>
      </c>
      <c r="H1393" s="21"/>
      <c r="I1393" s="22">
        <v>15.0</v>
      </c>
      <c r="J1393" s="23"/>
      <c r="K1393" s="24">
        <f t="shared" si="182"/>
        <v>49933.59</v>
      </c>
      <c r="L1393" s="24">
        <v>70000.0</v>
      </c>
      <c r="M1393" s="25"/>
      <c r="N1393" s="70"/>
      <c r="O1393" s="27">
        <f t="shared" si="183"/>
        <v>0.401861953</v>
      </c>
      <c r="P1393" s="28">
        <f t="shared" si="184"/>
        <v>0</v>
      </c>
    </row>
    <row r="1394" hidden="1">
      <c r="A1394" s="122" t="s">
        <v>2086</v>
      </c>
      <c r="B1394" s="17">
        <v>244005.0</v>
      </c>
      <c r="C1394" s="18"/>
      <c r="D1394" s="66"/>
      <c r="E1394" s="19">
        <v>0.0</v>
      </c>
      <c r="F1394" s="19">
        <v>0.0</v>
      </c>
      <c r="G1394" s="16" t="s">
        <v>2083</v>
      </c>
      <c r="H1394" s="21"/>
      <c r="I1394" s="22">
        <v>16.0</v>
      </c>
      <c r="J1394" s="23"/>
      <c r="K1394" s="24">
        <f t="shared" si="182"/>
        <v>49933.59</v>
      </c>
      <c r="L1394" s="24">
        <v>70000.0</v>
      </c>
      <c r="M1394" s="25"/>
      <c r="N1394" s="70"/>
      <c r="O1394" s="27">
        <f t="shared" si="183"/>
        <v>0.401861953</v>
      </c>
      <c r="P1394" s="28">
        <f t="shared" si="184"/>
        <v>0</v>
      </c>
    </row>
    <row r="1395" hidden="1">
      <c r="A1395" s="122" t="s">
        <v>2087</v>
      </c>
      <c r="B1395" s="17">
        <v>244008.0</v>
      </c>
      <c r="C1395" s="18" t="s">
        <v>687</v>
      </c>
      <c r="D1395" s="66"/>
      <c r="E1395" s="19">
        <v>0.0</v>
      </c>
      <c r="F1395" s="19">
        <v>0.0</v>
      </c>
      <c r="G1395" s="16" t="s">
        <v>2083</v>
      </c>
      <c r="H1395" s="21"/>
      <c r="I1395" s="22">
        <v>30.0</v>
      </c>
      <c r="J1395" s="23"/>
      <c r="K1395" s="24">
        <f t="shared" si="182"/>
        <v>49933.59</v>
      </c>
      <c r="L1395" s="24">
        <v>70000.0</v>
      </c>
      <c r="M1395" s="25"/>
      <c r="N1395" s="70"/>
      <c r="O1395" s="27">
        <f t="shared" si="183"/>
        <v>0.401861953</v>
      </c>
      <c r="P1395" s="28">
        <f t="shared" si="184"/>
        <v>0</v>
      </c>
    </row>
    <row r="1396" hidden="1">
      <c r="A1396" s="122" t="s">
        <v>2088</v>
      </c>
      <c r="B1396" s="17">
        <v>244016.0</v>
      </c>
      <c r="C1396" s="18" t="s">
        <v>687</v>
      </c>
      <c r="D1396" s="66"/>
      <c r="E1396" s="19">
        <v>0.0</v>
      </c>
      <c r="F1396" s="19">
        <v>0.0</v>
      </c>
      <c r="G1396" s="16" t="s">
        <v>2083</v>
      </c>
      <c r="H1396" s="21"/>
      <c r="I1396" s="22">
        <v>15.0</v>
      </c>
      <c r="J1396" s="23"/>
      <c r="K1396" s="24">
        <f t="shared" si="182"/>
        <v>49933.59</v>
      </c>
      <c r="L1396" s="24">
        <v>70000.0</v>
      </c>
      <c r="M1396" s="25"/>
      <c r="N1396" s="70"/>
      <c r="O1396" s="27">
        <f t="shared" si="183"/>
        <v>0.401861953</v>
      </c>
      <c r="P1396" s="28">
        <f t="shared" si="184"/>
        <v>0</v>
      </c>
    </row>
    <row r="1397" hidden="1">
      <c r="A1397" s="122" t="s">
        <v>2089</v>
      </c>
      <c r="B1397" s="17">
        <v>244006.0</v>
      </c>
      <c r="C1397" s="18"/>
      <c r="D1397" s="66"/>
      <c r="E1397" s="19">
        <v>0.0</v>
      </c>
      <c r="F1397" s="19">
        <v>0.0</v>
      </c>
      <c r="G1397" s="16" t="s">
        <v>2083</v>
      </c>
      <c r="H1397" s="21"/>
      <c r="I1397" s="22">
        <v>22.0</v>
      </c>
      <c r="J1397" s="23"/>
      <c r="K1397" s="24">
        <f t="shared" si="182"/>
        <v>49933.59</v>
      </c>
      <c r="L1397" s="24">
        <v>70000.0</v>
      </c>
      <c r="M1397" s="25"/>
      <c r="N1397" s="70"/>
      <c r="O1397" s="27">
        <f t="shared" si="183"/>
        <v>0.401861953</v>
      </c>
      <c r="P1397" s="28">
        <f t="shared" si="184"/>
        <v>0</v>
      </c>
    </row>
    <row r="1398" hidden="1">
      <c r="A1398" s="122" t="s">
        <v>2090</v>
      </c>
      <c r="B1398" s="17">
        <v>244003.0</v>
      </c>
      <c r="C1398" s="18" t="s">
        <v>687</v>
      </c>
      <c r="D1398" s="66"/>
      <c r="E1398" s="19">
        <v>0.0</v>
      </c>
      <c r="F1398" s="19">
        <v>0.0</v>
      </c>
      <c r="G1398" s="16" t="s">
        <v>2083</v>
      </c>
      <c r="H1398" s="21"/>
      <c r="I1398" s="22">
        <v>28.0</v>
      </c>
      <c r="J1398" s="23"/>
      <c r="K1398" s="24">
        <f t="shared" si="182"/>
        <v>49933.59</v>
      </c>
      <c r="L1398" s="24">
        <v>70000.0</v>
      </c>
      <c r="M1398" s="25"/>
      <c r="N1398" s="70"/>
      <c r="O1398" s="27">
        <f t="shared" si="183"/>
        <v>0.401861953</v>
      </c>
      <c r="P1398" s="28">
        <f t="shared" si="184"/>
        <v>0</v>
      </c>
    </row>
    <row r="1399" hidden="1">
      <c r="A1399" s="122" t="s">
        <v>2091</v>
      </c>
      <c r="B1399" s="17">
        <v>244007.0</v>
      </c>
      <c r="C1399" s="18"/>
      <c r="D1399" s="66"/>
      <c r="E1399" s="19">
        <v>0.0</v>
      </c>
      <c r="F1399" s="19">
        <v>0.0</v>
      </c>
      <c r="G1399" s="16" t="s">
        <v>2083</v>
      </c>
      <c r="H1399" s="21"/>
      <c r="I1399" s="22"/>
      <c r="J1399" s="23"/>
      <c r="K1399" s="24">
        <f t="shared" si="182"/>
        <v>49933.59</v>
      </c>
      <c r="L1399" s="24">
        <v>70000.0</v>
      </c>
      <c r="M1399" s="25"/>
      <c r="N1399" s="26"/>
      <c r="O1399" s="27">
        <f t="shared" si="183"/>
        <v>0.401861953</v>
      </c>
      <c r="P1399" s="28">
        <f t="shared" si="184"/>
        <v>0</v>
      </c>
    </row>
    <row r="1400" hidden="1">
      <c r="A1400" s="122" t="s">
        <v>2092</v>
      </c>
      <c r="B1400" s="17">
        <v>244012.0</v>
      </c>
      <c r="C1400" s="18" t="s">
        <v>687</v>
      </c>
      <c r="D1400" s="66"/>
      <c r="E1400" s="19">
        <v>0.0</v>
      </c>
      <c r="F1400" s="19">
        <v>0.0</v>
      </c>
      <c r="G1400" s="16" t="s">
        <v>2083</v>
      </c>
      <c r="H1400" s="21"/>
      <c r="I1400" s="22">
        <v>24.0</v>
      </c>
      <c r="J1400" s="23"/>
      <c r="K1400" s="24">
        <f t="shared" si="182"/>
        <v>49933.59</v>
      </c>
      <c r="L1400" s="24">
        <v>70000.0</v>
      </c>
      <c r="M1400" s="25"/>
      <c r="N1400" s="70"/>
      <c r="O1400" s="27">
        <f t="shared" si="183"/>
        <v>0.401861953</v>
      </c>
      <c r="P1400" s="28">
        <f t="shared" si="184"/>
        <v>0</v>
      </c>
    </row>
    <row r="1401" hidden="1">
      <c r="A1401" s="16" t="s">
        <v>2093</v>
      </c>
      <c r="B1401" s="17"/>
      <c r="C1401" s="18"/>
      <c r="D1401" s="4"/>
      <c r="E1401" s="19">
        <v>0.0</v>
      </c>
      <c r="F1401" s="19">
        <v>0.0</v>
      </c>
      <c r="G1401" s="16" t="s">
        <v>65</v>
      </c>
      <c r="H1401" s="21"/>
      <c r="I1401" s="22"/>
      <c r="J1401" s="29"/>
      <c r="K1401" s="32">
        <f>600*1.19</f>
        <v>714</v>
      </c>
      <c r="L1401" s="24">
        <v>1500.0</v>
      </c>
      <c r="M1401" s="25"/>
      <c r="N1401" s="69"/>
      <c r="O1401" s="27">
        <f t="shared" si="183"/>
        <v>1.100840336</v>
      </c>
      <c r="P1401" s="28">
        <f t="shared" si="184"/>
        <v>0</v>
      </c>
    </row>
    <row r="1402" hidden="1">
      <c r="A1402" s="42" t="s">
        <v>2094</v>
      </c>
      <c r="B1402" s="17"/>
      <c r="C1402" s="18"/>
      <c r="D1402" s="4" t="s">
        <v>676</v>
      </c>
      <c r="E1402" s="19">
        <v>0.0</v>
      </c>
      <c r="F1402" s="19"/>
      <c r="G1402" s="16" t="s">
        <v>553</v>
      </c>
      <c r="H1402" s="21"/>
      <c r="I1402" s="22"/>
      <c r="J1402" s="29"/>
      <c r="K1402" s="43">
        <v>450.0</v>
      </c>
      <c r="L1402" s="44">
        <v>2000.0</v>
      </c>
      <c r="M1402" s="25"/>
      <c r="N1402" s="69"/>
      <c r="O1402" s="27">
        <f t="shared" si="183"/>
        <v>3.444444444</v>
      </c>
      <c r="P1402" s="28">
        <f t="shared" si="184"/>
        <v>0</v>
      </c>
    </row>
    <row r="1403" hidden="1">
      <c r="A1403" s="42" t="s">
        <v>2095</v>
      </c>
      <c r="B1403" s="71"/>
      <c r="C1403" s="18"/>
      <c r="D1403" s="4"/>
      <c r="E1403" s="19">
        <v>0.0</v>
      </c>
      <c r="F1403" s="19"/>
      <c r="G1403" s="16" t="s">
        <v>553</v>
      </c>
      <c r="H1403" s="21"/>
      <c r="I1403" s="22"/>
      <c r="J1403" s="29"/>
      <c r="K1403" s="43">
        <f>2500/6</f>
        <v>416.6666667</v>
      </c>
      <c r="L1403" s="44">
        <v>2000.0</v>
      </c>
      <c r="M1403" s="25"/>
      <c r="N1403" s="26"/>
      <c r="O1403" s="27">
        <f t="shared" si="183"/>
        <v>3.8</v>
      </c>
      <c r="P1403" s="28">
        <f t="shared" si="184"/>
        <v>0</v>
      </c>
    </row>
    <row r="1404" hidden="1">
      <c r="A1404" s="52" t="s">
        <v>2096</v>
      </c>
      <c r="B1404" s="36"/>
      <c r="C1404" s="18"/>
      <c r="D1404" s="4"/>
      <c r="E1404" s="19">
        <v>100.0</v>
      </c>
      <c r="F1404" s="19">
        <v>0.0</v>
      </c>
      <c r="G1404" s="16" t="s">
        <v>2097</v>
      </c>
      <c r="H1404" s="21"/>
      <c r="I1404" s="22"/>
      <c r="J1404" s="23"/>
      <c r="K1404" s="44">
        <f t="shared" ref="K1404:K1409" si="185">22300*1.19</f>
        <v>26537</v>
      </c>
      <c r="L1404" s="44">
        <v>35000.0</v>
      </c>
      <c r="M1404" s="25"/>
      <c r="N1404" s="70"/>
      <c r="O1404" s="27">
        <f t="shared" si="183"/>
        <v>0.3189132155</v>
      </c>
      <c r="P1404" s="28">
        <f t="shared" si="184"/>
        <v>0</v>
      </c>
    </row>
    <row r="1405" hidden="1">
      <c r="A1405" s="52" t="s">
        <v>2098</v>
      </c>
      <c r="B1405" s="36"/>
      <c r="C1405" s="18"/>
      <c r="D1405" s="4"/>
      <c r="E1405" s="19">
        <v>0.0</v>
      </c>
      <c r="F1405" s="19">
        <v>0.0</v>
      </c>
      <c r="G1405" s="16" t="s">
        <v>2097</v>
      </c>
      <c r="H1405" s="21"/>
      <c r="I1405" s="22"/>
      <c r="J1405" s="23"/>
      <c r="K1405" s="44">
        <f t="shared" si="185"/>
        <v>26537</v>
      </c>
      <c r="L1405" s="44">
        <v>35000.0</v>
      </c>
      <c r="M1405" s="25"/>
      <c r="N1405" s="70"/>
      <c r="O1405" s="27">
        <f t="shared" si="183"/>
        <v>0.3189132155</v>
      </c>
      <c r="P1405" s="28">
        <f t="shared" si="184"/>
        <v>0</v>
      </c>
    </row>
    <row r="1406" hidden="1">
      <c r="A1406" s="52" t="s">
        <v>2099</v>
      </c>
      <c r="B1406" s="36"/>
      <c r="C1406" s="18"/>
      <c r="D1406" s="4"/>
      <c r="E1406" s="19">
        <v>0.0</v>
      </c>
      <c r="F1406" s="19">
        <v>0.0</v>
      </c>
      <c r="G1406" s="16" t="s">
        <v>2097</v>
      </c>
      <c r="H1406" s="21"/>
      <c r="I1406" s="22"/>
      <c r="J1406" s="23"/>
      <c r="K1406" s="44">
        <f t="shared" si="185"/>
        <v>26537</v>
      </c>
      <c r="L1406" s="44">
        <v>35000.0</v>
      </c>
      <c r="M1406" s="25"/>
      <c r="N1406" s="70"/>
      <c r="O1406" s="27">
        <f t="shared" si="183"/>
        <v>0.3189132155</v>
      </c>
      <c r="P1406" s="28">
        <f t="shared" si="184"/>
        <v>0</v>
      </c>
    </row>
    <row r="1407" hidden="1">
      <c r="A1407" s="52" t="s">
        <v>2100</v>
      </c>
      <c r="B1407" s="36">
        <v>245012.0</v>
      </c>
      <c r="C1407" s="18"/>
      <c r="D1407" s="4"/>
      <c r="E1407" s="19">
        <v>0.0</v>
      </c>
      <c r="F1407" s="19">
        <v>0.0</v>
      </c>
      <c r="G1407" s="16" t="s">
        <v>2097</v>
      </c>
      <c r="H1407" s="21"/>
      <c r="I1407" s="22"/>
      <c r="J1407" s="23"/>
      <c r="K1407" s="44">
        <f t="shared" si="185"/>
        <v>26537</v>
      </c>
      <c r="L1407" s="44">
        <v>35000.0</v>
      </c>
      <c r="M1407" s="25"/>
      <c r="N1407" s="70"/>
      <c r="O1407" s="27">
        <f t="shared" si="183"/>
        <v>0.3189132155</v>
      </c>
      <c r="P1407" s="28">
        <f t="shared" si="184"/>
        <v>0</v>
      </c>
    </row>
    <row r="1408" hidden="1">
      <c r="A1408" s="52" t="s">
        <v>2101</v>
      </c>
      <c r="B1408" s="36">
        <v>245018.0</v>
      </c>
      <c r="C1408" s="18"/>
      <c r="D1408" s="4"/>
      <c r="E1408" s="19">
        <v>0.0</v>
      </c>
      <c r="F1408" s="19">
        <v>0.0</v>
      </c>
      <c r="G1408" s="16" t="s">
        <v>659</v>
      </c>
      <c r="H1408" s="21"/>
      <c r="I1408" s="22"/>
      <c r="J1408" s="23"/>
      <c r="K1408" s="44">
        <f t="shared" si="185"/>
        <v>26537</v>
      </c>
      <c r="L1408" s="44">
        <v>35000.0</v>
      </c>
      <c r="M1408" s="25"/>
      <c r="N1408" s="70"/>
      <c r="O1408" s="27">
        <f t="shared" si="183"/>
        <v>0.3189132155</v>
      </c>
      <c r="P1408" s="28">
        <f t="shared" si="184"/>
        <v>0</v>
      </c>
    </row>
    <row r="1409" hidden="1">
      <c r="A1409" s="52" t="s">
        <v>2102</v>
      </c>
      <c r="B1409" s="36">
        <v>245014.0</v>
      </c>
      <c r="C1409" s="18"/>
      <c r="D1409" s="4"/>
      <c r="E1409" s="19">
        <v>0.0</v>
      </c>
      <c r="F1409" s="19">
        <v>0.0</v>
      </c>
      <c r="G1409" s="16" t="s">
        <v>2097</v>
      </c>
      <c r="H1409" s="21"/>
      <c r="I1409" s="22"/>
      <c r="J1409" s="23"/>
      <c r="K1409" s="44">
        <f t="shared" si="185"/>
        <v>26537</v>
      </c>
      <c r="L1409" s="44">
        <v>35000.0</v>
      </c>
      <c r="M1409" s="25"/>
      <c r="N1409" s="70"/>
      <c r="O1409" s="27">
        <f t="shared" si="183"/>
        <v>0.3189132155</v>
      </c>
      <c r="P1409" s="28">
        <f t="shared" si="184"/>
        <v>0</v>
      </c>
    </row>
    <row r="1410" hidden="1">
      <c r="A1410" s="52" t="s">
        <v>2103</v>
      </c>
      <c r="B1410" s="17"/>
      <c r="C1410" s="18"/>
      <c r="D1410" s="4"/>
      <c r="E1410" s="19">
        <v>0.0</v>
      </c>
      <c r="F1410" s="19">
        <v>0.0</v>
      </c>
      <c r="G1410" s="16" t="s">
        <v>65</v>
      </c>
      <c r="H1410" s="21"/>
      <c r="I1410" s="22">
        <v>20.0</v>
      </c>
      <c r="J1410" s="23"/>
      <c r="K1410" s="24">
        <f>2000*1.19</f>
        <v>2380</v>
      </c>
      <c r="L1410" s="24">
        <v>7000.0</v>
      </c>
      <c r="M1410" s="25"/>
      <c r="N1410" s="252"/>
      <c r="O1410" s="27">
        <f t="shared" si="183"/>
        <v>1.941176471</v>
      </c>
      <c r="P1410" s="28">
        <f t="shared" si="184"/>
        <v>0</v>
      </c>
    </row>
    <row r="1411" hidden="1">
      <c r="A1411" s="42" t="s">
        <v>2104</v>
      </c>
      <c r="B1411" s="71"/>
      <c r="C1411" s="18"/>
      <c r="D1411" s="4"/>
      <c r="E1411" s="19">
        <v>0.0</v>
      </c>
      <c r="F1411" s="19"/>
      <c r="G1411" s="16" t="s">
        <v>553</v>
      </c>
      <c r="H1411" s="21"/>
      <c r="I1411" s="22"/>
      <c r="J1411" s="29"/>
      <c r="K1411" s="43">
        <f t="shared" ref="K1411:K1412" si="186">6500/6</f>
        <v>1083.333333</v>
      </c>
      <c r="L1411" s="44">
        <v>5000.0</v>
      </c>
      <c r="M1411" s="25"/>
      <c r="N1411" s="26"/>
      <c r="O1411" s="27">
        <f t="shared" si="183"/>
        <v>3.615384615</v>
      </c>
      <c r="P1411" s="28">
        <f t="shared" si="184"/>
        <v>0</v>
      </c>
    </row>
    <row r="1412" hidden="1">
      <c r="A1412" s="42" t="s">
        <v>2105</v>
      </c>
      <c r="B1412" s="71"/>
      <c r="C1412" s="18"/>
      <c r="D1412" s="4"/>
      <c r="E1412" s="19">
        <v>0.0</v>
      </c>
      <c r="F1412" s="19"/>
      <c r="G1412" s="16" t="s">
        <v>553</v>
      </c>
      <c r="H1412" s="21"/>
      <c r="I1412" s="22"/>
      <c r="J1412" s="29"/>
      <c r="K1412" s="43">
        <f t="shared" si="186"/>
        <v>1083.333333</v>
      </c>
      <c r="L1412" s="44">
        <v>25000.0</v>
      </c>
      <c r="M1412" s="25"/>
      <c r="N1412" s="26"/>
      <c r="O1412" s="27">
        <f t="shared" si="183"/>
        <v>22.07692308</v>
      </c>
      <c r="P1412" s="28">
        <f t="shared" si="184"/>
        <v>0</v>
      </c>
    </row>
    <row r="1413" hidden="1">
      <c r="A1413" s="40" t="s">
        <v>2106</v>
      </c>
      <c r="B1413" s="17"/>
      <c r="C1413" s="18"/>
      <c r="D1413" s="4"/>
      <c r="E1413" s="19">
        <v>0.0</v>
      </c>
      <c r="F1413" s="19"/>
      <c r="G1413" s="16" t="s">
        <v>2107</v>
      </c>
      <c r="H1413" s="21"/>
      <c r="I1413" s="22"/>
      <c r="J1413" s="29"/>
      <c r="K1413" s="43">
        <v>3500.0</v>
      </c>
      <c r="L1413" s="44">
        <v>8000.0</v>
      </c>
      <c r="M1413" s="25"/>
      <c r="N1413" s="69"/>
      <c r="O1413" s="27">
        <f t="shared" si="183"/>
        <v>1.285714286</v>
      </c>
      <c r="P1413" s="28">
        <f t="shared" si="184"/>
        <v>0</v>
      </c>
    </row>
    <row r="1414" hidden="1">
      <c r="A1414" s="42" t="s">
        <v>2108</v>
      </c>
      <c r="B1414" s="71"/>
      <c r="C1414" s="18"/>
      <c r="D1414" s="4"/>
      <c r="E1414" s="19">
        <v>0.0</v>
      </c>
      <c r="F1414" s="19"/>
      <c r="G1414" s="16" t="s">
        <v>2109</v>
      </c>
      <c r="H1414" s="21"/>
      <c r="I1414" s="22"/>
      <c r="J1414" s="29"/>
      <c r="K1414" s="43">
        <v>1000.0</v>
      </c>
      <c r="L1414" s="44">
        <v>2000.0</v>
      </c>
      <c r="M1414" s="25"/>
      <c r="N1414" s="50"/>
      <c r="O1414" s="27">
        <f t="shared" si="183"/>
        <v>1</v>
      </c>
      <c r="P1414" s="28">
        <f t="shared" si="184"/>
        <v>0</v>
      </c>
    </row>
    <row r="1415" hidden="1">
      <c r="A1415" s="59" t="s">
        <v>2110</v>
      </c>
      <c r="B1415" s="134" t="s">
        <v>2111</v>
      </c>
      <c r="C1415" s="18" t="s">
        <v>2112</v>
      </c>
      <c r="D1415" s="98"/>
      <c r="E1415" s="19">
        <v>0.0</v>
      </c>
      <c r="F1415" s="19"/>
      <c r="G1415" s="16" t="s">
        <v>485</v>
      </c>
      <c r="H1415" s="21">
        <v>0.0</v>
      </c>
      <c r="I1415" s="22"/>
      <c r="J1415" s="22"/>
      <c r="K1415" s="174">
        <f t="shared" ref="K1415:K1416" si="187">45491*1.19</f>
        <v>54134.29</v>
      </c>
      <c r="L1415" s="175">
        <v>95000.0</v>
      </c>
      <c r="M1415" s="25"/>
      <c r="N1415" s="26"/>
      <c r="O1415" s="27">
        <f t="shared" si="183"/>
        <v>0.7548950951</v>
      </c>
      <c r="P1415" s="28">
        <f t="shared" si="184"/>
        <v>0</v>
      </c>
    </row>
    <row r="1416" hidden="1">
      <c r="A1416" s="59" t="s">
        <v>2113</v>
      </c>
      <c r="B1416" s="97" t="s">
        <v>2114</v>
      </c>
      <c r="C1416" s="18" t="s">
        <v>2112</v>
      </c>
      <c r="D1416" s="98"/>
      <c r="E1416" s="19">
        <v>0.0</v>
      </c>
      <c r="F1416" s="19"/>
      <c r="G1416" s="16" t="s">
        <v>485</v>
      </c>
      <c r="H1416" s="21">
        <v>0.0</v>
      </c>
      <c r="I1416" s="22"/>
      <c r="J1416" s="22"/>
      <c r="K1416" s="174">
        <f t="shared" si="187"/>
        <v>54134.29</v>
      </c>
      <c r="L1416" s="175">
        <v>95000.0</v>
      </c>
      <c r="M1416" s="25"/>
      <c r="N1416" s="26"/>
      <c r="O1416" s="27">
        <f t="shared" si="183"/>
        <v>0.7548950951</v>
      </c>
      <c r="P1416" s="28">
        <f t="shared" si="184"/>
        <v>0</v>
      </c>
    </row>
    <row r="1417" hidden="1">
      <c r="A1417" s="253" t="s">
        <v>2115</v>
      </c>
      <c r="B1417" s="97" t="s">
        <v>2116</v>
      </c>
      <c r="C1417" s="18" t="s">
        <v>845</v>
      </c>
      <c r="D1417" s="4"/>
      <c r="E1417" s="19">
        <v>0.0</v>
      </c>
      <c r="F1417" s="19"/>
      <c r="G1417" s="16" t="s">
        <v>485</v>
      </c>
      <c r="H1417" s="21">
        <v>0.0</v>
      </c>
      <c r="I1417" s="22"/>
      <c r="J1417" s="22"/>
      <c r="K1417" s="174">
        <f>36739*1.19</f>
        <v>43719.41</v>
      </c>
      <c r="L1417" s="175">
        <v>95000.0</v>
      </c>
      <c r="M1417" s="25"/>
      <c r="N1417" s="31"/>
      <c r="O1417" s="27">
        <f t="shared" si="183"/>
        <v>1.172947897</v>
      </c>
      <c r="P1417" s="28">
        <f t="shared" si="184"/>
        <v>0</v>
      </c>
    </row>
    <row r="1418" hidden="1">
      <c r="A1418" s="59" t="s">
        <v>2117</v>
      </c>
      <c r="B1418" s="121"/>
      <c r="C1418" s="18"/>
      <c r="D1418" s="4"/>
      <c r="E1418" s="19">
        <v>0.0</v>
      </c>
      <c r="F1418" s="19">
        <v>0.0</v>
      </c>
      <c r="G1418" s="16" t="s">
        <v>84</v>
      </c>
      <c r="H1418" s="21"/>
      <c r="I1418" s="254" t="s">
        <v>676</v>
      </c>
      <c r="J1418" s="29"/>
      <c r="K1418" s="43">
        <v>38800.0</v>
      </c>
      <c r="L1418" s="44">
        <v>70000.0</v>
      </c>
      <c r="M1418" s="25"/>
      <c r="N1418" s="69"/>
      <c r="O1418" s="27">
        <f t="shared" si="183"/>
        <v>0.8041237113</v>
      </c>
      <c r="P1418" s="28">
        <f t="shared" si="184"/>
        <v>0</v>
      </c>
    </row>
    <row r="1419" hidden="1">
      <c r="A1419" s="16" t="s">
        <v>2118</v>
      </c>
      <c r="B1419" s="17" t="s">
        <v>1285</v>
      </c>
      <c r="C1419" s="38"/>
      <c r="D1419" s="61"/>
      <c r="E1419" s="19"/>
      <c r="F1419" s="19"/>
      <c r="G1419" s="16" t="s">
        <v>2119</v>
      </c>
      <c r="H1419" s="21"/>
      <c r="I1419" s="22">
        <v>3.0</v>
      </c>
      <c r="J1419" s="29"/>
      <c r="K1419" s="32">
        <v>75000.0</v>
      </c>
      <c r="L1419" s="24">
        <v>130000.0</v>
      </c>
      <c r="M1419" s="25"/>
      <c r="N1419" s="26">
        <v>110000.0</v>
      </c>
      <c r="O1419" s="27">
        <f t="shared" si="183"/>
        <v>0.7333333333</v>
      </c>
      <c r="P1419" s="28">
        <f t="shared" si="184"/>
        <v>0</v>
      </c>
    </row>
    <row r="1420" hidden="1">
      <c r="A1420" s="40" t="s">
        <v>2120</v>
      </c>
      <c r="B1420" s="17"/>
      <c r="C1420" s="18"/>
      <c r="D1420" s="4"/>
      <c r="E1420" s="19">
        <v>0.0</v>
      </c>
      <c r="F1420" s="19"/>
      <c r="G1420" s="16" t="s">
        <v>2121</v>
      </c>
      <c r="H1420" s="21"/>
      <c r="I1420" s="22"/>
      <c r="J1420" s="29"/>
      <c r="K1420" s="48">
        <v>15000.0</v>
      </c>
      <c r="L1420" s="55">
        <v>70000.0</v>
      </c>
      <c r="M1420" s="25"/>
      <c r="N1420" s="50">
        <v>55000.0</v>
      </c>
      <c r="O1420" s="27">
        <f t="shared" si="183"/>
        <v>3.666666667</v>
      </c>
      <c r="P1420" s="28">
        <f t="shared" si="184"/>
        <v>0</v>
      </c>
    </row>
    <row r="1421" hidden="1">
      <c r="A1421" s="16" t="s">
        <v>2122</v>
      </c>
      <c r="B1421" s="17"/>
      <c r="C1421" s="38"/>
      <c r="D1421" s="61"/>
      <c r="E1421" s="19">
        <v>0.0</v>
      </c>
      <c r="F1421" s="19">
        <v>0.0</v>
      </c>
      <c r="G1421" s="16" t="s">
        <v>2123</v>
      </c>
      <c r="H1421" s="21"/>
      <c r="I1421" s="22">
        <v>1.0</v>
      </c>
      <c r="J1421" s="29"/>
      <c r="K1421" s="32">
        <v>75000.0</v>
      </c>
      <c r="L1421" s="24">
        <v>130000.0</v>
      </c>
      <c r="M1421" s="25"/>
      <c r="N1421" s="26">
        <v>110000.0</v>
      </c>
      <c r="O1421" s="27">
        <f t="shared" si="183"/>
        <v>0.7333333333</v>
      </c>
      <c r="P1421" s="28">
        <f t="shared" si="184"/>
        <v>0</v>
      </c>
    </row>
    <row r="1422" hidden="1">
      <c r="A1422" s="16" t="s">
        <v>2124</v>
      </c>
      <c r="B1422" s="17"/>
      <c r="C1422" s="18"/>
      <c r="D1422" s="4"/>
      <c r="E1422" s="19">
        <v>0.0</v>
      </c>
      <c r="F1422" s="19">
        <v>0.0</v>
      </c>
      <c r="G1422" s="20" t="s">
        <v>909</v>
      </c>
      <c r="H1422" s="21"/>
      <c r="I1422" s="22"/>
      <c r="J1422" s="29"/>
      <c r="K1422" s="43"/>
      <c r="L1422" s="44" t="s">
        <v>2125</v>
      </c>
      <c r="M1422" s="25"/>
      <c r="N1422" s="39"/>
      <c r="O1422" s="27"/>
      <c r="P1422" s="28"/>
    </row>
    <row r="1423" hidden="1">
      <c r="A1423" s="16" t="s">
        <v>2126</v>
      </c>
      <c r="B1423" s="49"/>
      <c r="C1423" s="18"/>
      <c r="D1423" s="19"/>
      <c r="E1423" s="19">
        <v>0.0</v>
      </c>
      <c r="F1423" s="19">
        <v>0.0</v>
      </c>
      <c r="G1423" s="20" t="s">
        <v>909</v>
      </c>
      <c r="H1423" s="21"/>
      <c r="I1423" s="22"/>
      <c r="J1423" s="23"/>
      <c r="K1423" s="24"/>
      <c r="L1423" s="24"/>
      <c r="M1423" s="25"/>
      <c r="N1423" s="70"/>
      <c r="O1423" s="27"/>
      <c r="P1423" s="28"/>
    </row>
    <row r="1424" hidden="1">
      <c r="A1424" s="16" t="s">
        <v>2127</v>
      </c>
      <c r="B1424" s="42" t="s">
        <v>2128</v>
      </c>
      <c r="C1424" s="18" t="s">
        <v>2129</v>
      </c>
      <c r="D1424" s="4"/>
      <c r="E1424" s="19">
        <v>0.0</v>
      </c>
      <c r="F1424" s="19">
        <v>0.0</v>
      </c>
      <c r="G1424" s="20" t="s">
        <v>2130</v>
      </c>
      <c r="H1424" s="21"/>
      <c r="I1424" s="22"/>
      <c r="J1424" s="29"/>
      <c r="K1424" s="32">
        <v>2000.0</v>
      </c>
      <c r="L1424" s="55">
        <v>4000.0</v>
      </c>
      <c r="M1424" s="25"/>
      <c r="N1424" s="69"/>
      <c r="O1424" s="27">
        <f t="shared" ref="O1424:O1449" si="188">(L1424/K1424)-1</f>
        <v>1</v>
      </c>
      <c r="P1424" s="28">
        <f t="shared" ref="P1424:P1449" si="189">K1424*F1424</f>
        <v>0</v>
      </c>
    </row>
    <row r="1425" hidden="1">
      <c r="A1425" s="16" t="s">
        <v>2131</v>
      </c>
      <c r="B1425" s="42" t="s">
        <v>2132</v>
      </c>
      <c r="C1425" s="18" t="s">
        <v>2133</v>
      </c>
      <c r="D1425" s="4" t="s">
        <v>2134</v>
      </c>
      <c r="E1425" s="19">
        <v>0.0</v>
      </c>
      <c r="F1425" s="19">
        <v>80.0</v>
      </c>
      <c r="G1425" s="20" t="s">
        <v>2130</v>
      </c>
      <c r="H1425" s="21"/>
      <c r="I1425" s="22"/>
      <c r="J1425" s="29"/>
      <c r="K1425" s="32">
        <v>2000.0</v>
      </c>
      <c r="L1425" s="55">
        <v>4000.0</v>
      </c>
      <c r="M1425" s="25"/>
      <c r="N1425" s="69"/>
      <c r="O1425" s="27">
        <f t="shared" si="188"/>
        <v>1</v>
      </c>
      <c r="P1425" s="28">
        <f t="shared" si="189"/>
        <v>160000</v>
      </c>
    </row>
    <row r="1426" hidden="1">
      <c r="A1426" s="16" t="s">
        <v>2135</v>
      </c>
      <c r="B1426" s="42" t="s">
        <v>2136</v>
      </c>
      <c r="C1426" s="18"/>
      <c r="D1426" s="4"/>
      <c r="E1426" s="19">
        <v>0.0</v>
      </c>
      <c r="F1426" s="19">
        <v>30.0</v>
      </c>
      <c r="G1426" s="20" t="s">
        <v>2130</v>
      </c>
      <c r="H1426" s="21"/>
      <c r="I1426" s="22"/>
      <c r="J1426" s="29"/>
      <c r="K1426" s="32">
        <v>2500.0</v>
      </c>
      <c r="L1426" s="55">
        <v>5000.0</v>
      </c>
      <c r="M1426" s="25"/>
      <c r="N1426" s="69"/>
      <c r="O1426" s="27">
        <f t="shared" si="188"/>
        <v>1</v>
      </c>
      <c r="P1426" s="28">
        <f t="shared" si="189"/>
        <v>75000</v>
      </c>
    </row>
    <row r="1427" hidden="1">
      <c r="A1427" s="16" t="s">
        <v>2137</v>
      </c>
      <c r="B1427" s="42" t="s">
        <v>2863</v>
      </c>
      <c r="C1427" s="18"/>
      <c r="D1427" s="4"/>
      <c r="E1427" s="19">
        <v>0.0</v>
      </c>
      <c r="F1427" s="19">
        <v>60.0</v>
      </c>
      <c r="G1427" s="20" t="s">
        <v>2139</v>
      </c>
      <c r="H1427" s="21"/>
      <c r="I1427" s="22">
        <v>80.0</v>
      </c>
      <c r="J1427" s="29"/>
      <c r="K1427" s="32">
        <v>2300.0</v>
      </c>
      <c r="L1427" s="55">
        <v>4000.0</v>
      </c>
      <c r="M1427" s="25"/>
      <c r="N1427" s="69"/>
      <c r="O1427" s="27">
        <f t="shared" si="188"/>
        <v>0.7391304348</v>
      </c>
      <c r="P1427" s="28">
        <f t="shared" si="189"/>
        <v>138000</v>
      </c>
    </row>
    <row r="1428" hidden="1">
      <c r="A1428" s="16" t="s">
        <v>2140</v>
      </c>
      <c r="B1428" s="42" t="s">
        <v>2864</v>
      </c>
      <c r="C1428" s="18"/>
      <c r="D1428" s="4"/>
      <c r="E1428" s="19">
        <v>0.0</v>
      </c>
      <c r="F1428" s="19">
        <v>30.0</v>
      </c>
      <c r="G1428" s="20" t="s">
        <v>2139</v>
      </c>
      <c r="H1428" s="21"/>
      <c r="I1428" s="22">
        <v>65.0</v>
      </c>
      <c r="J1428" s="29"/>
      <c r="K1428" s="32">
        <v>2300.0</v>
      </c>
      <c r="L1428" s="55">
        <v>4000.0</v>
      </c>
      <c r="M1428" s="25"/>
      <c r="N1428" s="69"/>
      <c r="O1428" s="27">
        <f t="shared" si="188"/>
        <v>0.7391304348</v>
      </c>
      <c r="P1428" s="28">
        <f t="shared" si="189"/>
        <v>69000</v>
      </c>
    </row>
    <row r="1429" hidden="1">
      <c r="A1429" s="16" t="s">
        <v>2142</v>
      </c>
      <c r="B1429" s="42" t="s">
        <v>2865</v>
      </c>
      <c r="C1429" s="18"/>
      <c r="D1429" s="4" t="s">
        <v>2144</v>
      </c>
      <c r="E1429" s="19">
        <v>50.0</v>
      </c>
      <c r="F1429" s="19">
        <v>50.0</v>
      </c>
      <c r="G1429" s="20" t="s">
        <v>2139</v>
      </c>
      <c r="H1429" s="21"/>
      <c r="I1429" s="22">
        <v>60.0</v>
      </c>
      <c r="J1429" s="29"/>
      <c r="K1429" s="32">
        <v>2500.0</v>
      </c>
      <c r="L1429" s="55">
        <v>5000.0</v>
      </c>
      <c r="M1429" s="25"/>
      <c r="N1429" s="69"/>
      <c r="O1429" s="27">
        <f t="shared" si="188"/>
        <v>1</v>
      </c>
      <c r="P1429" s="28">
        <f t="shared" si="189"/>
        <v>125000</v>
      </c>
    </row>
    <row r="1430" hidden="1">
      <c r="A1430" s="16" t="s">
        <v>2145</v>
      </c>
      <c r="B1430" s="42"/>
      <c r="C1430" s="18"/>
      <c r="D1430" s="4"/>
      <c r="E1430" s="19">
        <v>0.0</v>
      </c>
      <c r="F1430" s="19">
        <v>0.0</v>
      </c>
      <c r="G1430" s="20" t="s">
        <v>580</v>
      </c>
      <c r="H1430" s="21"/>
      <c r="I1430" s="22">
        <v>16.0</v>
      </c>
      <c r="J1430" s="29"/>
      <c r="K1430" s="24">
        <v>96206.0</v>
      </c>
      <c r="L1430" s="24">
        <v>280000.0</v>
      </c>
      <c r="M1430" s="25"/>
      <c r="N1430" s="69"/>
      <c r="O1430" s="27">
        <f t="shared" si="188"/>
        <v>1.910421387</v>
      </c>
      <c r="P1430" s="28">
        <f t="shared" si="189"/>
        <v>0</v>
      </c>
    </row>
    <row r="1431" hidden="1">
      <c r="A1431" s="16" t="s">
        <v>2146</v>
      </c>
      <c r="B1431" s="36"/>
      <c r="C1431" s="18"/>
      <c r="D1431" s="4"/>
      <c r="E1431" s="19">
        <v>0.0</v>
      </c>
      <c r="F1431" s="19">
        <v>0.0</v>
      </c>
      <c r="G1431" s="16" t="s">
        <v>643</v>
      </c>
      <c r="H1431" s="21"/>
      <c r="I1431" s="22">
        <v>0.0</v>
      </c>
      <c r="J1431" s="29"/>
      <c r="K1431" s="43">
        <v>80000.0</v>
      </c>
      <c r="L1431" s="44">
        <v>120000.0</v>
      </c>
      <c r="M1431" s="25"/>
      <c r="N1431" s="69"/>
      <c r="O1431" s="27">
        <f t="shared" si="188"/>
        <v>0.5</v>
      </c>
      <c r="P1431" s="28">
        <f t="shared" si="189"/>
        <v>0</v>
      </c>
    </row>
    <row r="1432" hidden="1">
      <c r="A1432" s="16" t="s">
        <v>2147</v>
      </c>
      <c r="B1432" s="36"/>
      <c r="C1432" s="18"/>
      <c r="D1432" s="4"/>
      <c r="E1432" s="19">
        <v>0.0</v>
      </c>
      <c r="F1432" s="19">
        <v>0.0</v>
      </c>
      <c r="G1432" s="16" t="s">
        <v>1907</v>
      </c>
      <c r="H1432" s="21"/>
      <c r="I1432" s="22">
        <v>14.0</v>
      </c>
      <c r="J1432" s="29"/>
      <c r="K1432" s="32">
        <v>120000.0</v>
      </c>
      <c r="L1432" s="24">
        <v>180000.0</v>
      </c>
      <c r="M1432" s="25"/>
      <c r="N1432" s="69"/>
      <c r="O1432" s="27">
        <f t="shared" si="188"/>
        <v>0.5</v>
      </c>
      <c r="P1432" s="28">
        <f t="shared" si="189"/>
        <v>0</v>
      </c>
    </row>
    <row r="1433" hidden="1">
      <c r="A1433" s="16" t="s">
        <v>2148</v>
      </c>
      <c r="B1433" s="17" t="s">
        <v>2149</v>
      </c>
      <c r="C1433" s="18"/>
      <c r="D1433" s="4"/>
      <c r="E1433" s="19">
        <v>10.0</v>
      </c>
      <c r="F1433" s="19"/>
      <c r="G1433" s="16" t="s">
        <v>396</v>
      </c>
      <c r="H1433" s="21"/>
      <c r="I1433" s="22"/>
      <c r="J1433" s="29"/>
      <c r="K1433" s="48">
        <f>9000*0.95*1.19</f>
        <v>10174.5</v>
      </c>
      <c r="L1433" s="55">
        <v>16000.0</v>
      </c>
      <c r="M1433" s="25"/>
      <c r="N1433" s="69"/>
      <c r="O1433" s="27">
        <f t="shared" si="188"/>
        <v>0.5725588481</v>
      </c>
      <c r="P1433" s="28">
        <f t="shared" si="189"/>
        <v>0</v>
      </c>
    </row>
    <row r="1434" hidden="1">
      <c r="A1434" s="16" t="s">
        <v>2150</v>
      </c>
      <c r="B1434" s="17"/>
      <c r="C1434" s="18"/>
      <c r="D1434" s="4"/>
      <c r="E1434" s="19">
        <v>0.0</v>
      </c>
      <c r="F1434" s="19">
        <v>0.0</v>
      </c>
      <c r="G1434" s="20" t="s">
        <v>966</v>
      </c>
      <c r="H1434" s="21"/>
      <c r="I1434" s="22">
        <v>0.0</v>
      </c>
      <c r="J1434" s="29"/>
      <c r="K1434" s="43">
        <v>3000.0</v>
      </c>
      <c r="L1434" s="44">
        <v>5000.0</v>
      </c>
      <c r="M1434" s="25"/>
      <c r="N1434" s="69"/>
      <c r="O1434" s="27">
        <f t="shared" si="188"/>
        <v>0.6666666667</v>
      </c>
      <c r="P1434" s="28">
        <f t="shared" si="189"/>
        <v>0</v>
      </c>
    </row>
    <row r="1435" hidden="1">
      <c r="A1435" s="122" t="s">
        <v>2151</v>
      </c>
      <c r="B1435" s="17"/>
      <c r="C1435" s="18"/>
      <c r="D1435" s="4"/>
      <c r="E1435" s="19">
        <v>0.0</v>
      </c>
      <c r="F1435" s="19">
        <v>0.0</v>
      </c>
      <c r="G1435" s="16" t="s">
        <v>425</v>
      </c>
      <c r="H1435" s="73"/>
      <c r="I1435" s="22">
        <v>0.0</v>
      </c>
      <c r="J1435" s="74"/>
      <c r="K1435" s="75">
        <v>11000.0</v>
      </c>
      <c r="L1435" s="44">
        <f>K1435*1.5</f>
        <v>16500</v>
      </c>
      <c r="M1435" s="25"/>
      <c r="N1435" s="70"/>
      <c r="O1435" s="27">
        <f t="shared" si="188"/>
        <v>0.5</v>
      </c>
      <c r="P1435" s="28">
        <f t="shared" si="189"/>
        <v>0</v>
      </c>
    </row>
    <row r="1436" hidden="1">
      <c r="A1436" s="52" t="s">
        <v>2866</v>
      </c>
      <c r="B1436" s="17" t="s">
        <v>2153</v>
      </c>
      <c r="C1436" s="18"/>
      <c r="D1436" s="4" t="s">
        <v>2154</v>
      </c>
      <c r="E1436" s="19">
        <v>0.0</v>
      </c>
      <c r="F1436" s="19">
        <v>20.0</v>
      </c>
      <c r="G1436" s="16" t="s">
        <v>2155</v>
      </c>
      <c r="H1436" s="21"/>
      <c r="I1436" s="22">
        <v>12.0</v>
      </c>
      <c r="J1436" s="29"/>
      <c r="K1436" s="43">
        <f>29000*0.95*1.19/10</f>
        <v>3278.45</v>
      </c>
      <c r="L1436" s="44">
        <v>4000.0</v>
      </c>
      <c r="M1436" s="25">
        <v>1.19</v>
      </c>
      <c r="N1436" s="26"/>
      <c r="O1436" s="27">
        <f t="shared" si="188"/>
        <v>0.2200887615</v>
      </c>
      <c r="P1436" s="28">
        <f t="shared" si="189"/>
        <v>65569</v>
      </c>
    </row>
    <row r="1437" hidden="1">
      <c r="A1437" s="52" t="s">
        <v>2156</v>
      </c>
      <c r="B1437" s="131" t="s">
        <v>2157</v>
      </c>
      <c r="C1437" s="18">
        <f>34000/50</f>
        <v>680</v>
      </c>
      <c r="D1437" s="4"/>
      <c r="E1437" s="19">
        <v>0.0</v>
      </c>
      <c r="F1437" s="19">
        <v>2.0</v>
      </c>
      <c r="G1437" s="16" t="s">
        <v>2158</v>
      </c>
      <c r="H1437" s="21"/>
      <c r="I1437" s="22">
        <v>700.0</v>
      </c>
      <c r="J1437" s="29"/>
      <c r="K1437" s="43">
        <v>450.0</v>
      </c>
      <c r="L1437" s="44">
        <v>2000.0</v>
      </c>
      <c r="M1437" s="25"/>
      <c r="N1437" s="70"/>
      <c r="O1437" s="27">
        <f t="shared" si="188"/>
        <v>3.444444444</v>
      </c>
      <c r="P1437" s="28">
        <f t="shared" si="189"/>
        <v>900</v>
      </c>
    </row>
    <row r="1438" hidden="1">
      <c r="A1438" s="16" t="s">
        <v>2159</v>
      </c>
      <c r="B1438" s="51"/>
      <c r="C1438" s="18"/>
      <c r="D1438" s="98"/>
      <c r="E1438" s="19"/>
      <c r="F1438" s="19"/>
      <c r="G1438" s="16" t="s">
        <v>88</v>
      </c>
      <c r="H1438" s="21"/>
      <c r="I1438" s="22">
        <v>0.0</v>
      </c>
      <c r="J1438" s="47">
        <v>46204.0</v>
      </c>
      <c r="K1438" s="55">
        <v>15008.0</v>
      </c>
      <c r="L1438" s="55">
        <v>22000.0</v>
      </c>
      <c r="M1438" s="25"/>
      <c r="N1438" s="26">
        <v>18000.0</v>
      </c>
      <c r="O1438" s="27">
        <f t="shared" si="188"/>
        <v>0.4658848614</v>
      </c>
      <c r="P1438" s="28">
        <f t="shared" si="189"/>
        <v>0</v>
      </c>
    </row>
    <row r="1439" hidden="1">
      <c r="A1439" s="16" t="s">
        <v>2160</v>
      </c>
      <c r="B1439" s="17"/>
      <c r="C1439" s="18"/>
      <c r="D1439" s="4"/>
      <c r="E1439" s="19">
        <v>0.0</v>
      </c>
      <c r="F1439" s="19">
        <v>0.0</v>
      </c>
      <c r="G1439" s="16" t="s">
        <v>26</v>
      </c>
      <c r="H1439" s="21"/>
      <c r="I1439" s="22">
        <v>13.0</v>
      </c>
      <c r="J1439" s="29"/>
      <c r="K1439" s="32">
        <v>4500.0</v>
      </c>
      <c r="L1439" s="24">
        <v>10000.0</v>
      </c>
      <c r="M1439" s="25"/>
      <c r="N1439" s="26"/>
      <c r="O1439" s="27">
        <f t="shared" si="188"/>
        <v>1.222222222</v>
      </c>
      <c r="P1439" s="28">
        <f t="shared" si="189"/>
        <v>0</v>
      </c>
    </row>
    <row r="1440" hidden="1">
      <c r="A1440" s="59" t="s">
        <v>2161</v>
      </c>
      <c r="B1440" s="17"/>
      <c r="C1440" s="18"/>
      <c r="D1440" s="4"/>
      <c r="E1440" s="19">
        <v>0.0</v>
      </c>
      <c r="F1440" s="19">
        <v>0.0</v>
      </c>
      <c r="G1440" s="16" t="s">
        <v>2162</v>
      </c>
      <c r="H1440" s="21"/>
      <c r="I1440" s="22">
        <v>120.0</v>
      </c>
      <c r="J1440" s="29"/>
      <c r="K1440" s="43">
        <v>1341.0</v>
      </c>
      <c r="L1440" s="44">
        <v>3000.0</v>
      </c>
      <c r="M1440" s="25"/>
      <c r="N1440" s="26"/>
      <c r="O1440" s="27">
        <f t="shared" si="188"/>
        <v>1.237136465</v>
      </c>
      <c r="P1440" s="28">
        <f t="shared" si="189"/>
        <v>0</v>
      </c>
    </row>
    <row r="1441" hidden="1">
      <c r="A1441" s="52" t="s">
        <v>2163</v>
      </c>
      <c r="B1441" s="17"/>
      <c r="C1441" s="18"/>
      <c r="D1441" s="4"/>
      <c r="E1441" s="19">
        <v>0.0</v>
      </c>
      <c r="F1441" s="19"/>
      <c r="G1441" s="16" t="s">
        <v>2164</v>
      </c>
      <c r="H1441" s="21"/>
      <c r="I1441" s="22"/>
      <c r="J1441" s="29"/>
      <c r="K1441" s="43">
        <v>2900.0</v>
      </c>
      <c r="L1441" s="44">
        <v>10000.0</v>
      </c>
      <c r="M1441" s="25"/>
      <c r="N1441" s="26"/>
      <c r="O1441" s="27">
        <f t="shared" si="188"/>
        <v>2.448275862</v>
      </c>
      <c r="P1441" s="28">
        <f t="shared" si="189"/>
        <v>0</v>
      </c>
    </row>
    <row r="1442" hidden="1">
      <c r="A1442" s="122" t="s">
        <v>2165</v>
      </c>
      <c r="B1442" s="17">
        <v>241024.0</v>
      </c>
      <c r="C1442" s="18"/>
      <c r="D1442" s="4"/>
      <c r="E1442" s="19">
        <v>0.0</v>
      </c>
      <c r="F1442" s="19">
        <v>0.0</v>
      </c>
      <c r="G1442" s="16" t="s">
        <v>425</v>
      </c>
      <c r="H1442" s="21"/>
      <c r="I1442" s="22">
        <v>28.0</v>
      </c>
      <c r="J1442" s="29"/>
      <c r="K1442" s="43">
        <f>1643*1.19</f>
        <v>1955.17</v>
      </c>
      <c r="L1442" s="44">
        <v>3500.0</v>
      </c>
      <c r="M1442" s="25"/>
      <c r="N1442" s="70"/>
      <c r="O1442" s="27">
        <f t="shared" si="188"/>
        <v>0.7901256668</v>
      </c>
      <c r="P1442" s="28">
        <f t="shared" si="189"/>
        <v>0</v>
      </c>
    </row>
    <row r="1443" hidden="1">
      <c r="A1443" s="52" t="s">
        <v>2166</v>
      </c>
      <c r="B1443" s="17"/>
      <c r="C1443" s="18"/>
      <c r="D1443" s="67"/>
      <c r="E1443" s="19">
        <v>0.0</v>
      </c>
      <c r="F1443" s="19">
        <v>15.0</v>
      </c>
      <c r="G1443" s="16" t="s">
        <v>563</v>
      </c>
      <c r="H1443" s="21"/>
      <c r="I1443" s="22">
        <v>9.0</v>
      </c>
      <c r="J1443" s="29"/>
      <c r="K1443" s="32">
        <f>6300*1.19</f>
        <v>7497</v>
      </c>
      <c r="L1443" s="32">
        <v>15000.0</v>
      </c>
      <c r="M1443" s="25"/>
      <c r="N1443" s="70"/>
      <c r="O1443" s="27">
        <f t="shared" si="188"/>
        <v>1.00080032</v>
      </c>
      <c r="P1443" s="28">
        <f t="shared" si="189"/>
        <v>112455</v>
      </c>
    </row>
    <row r="1444" hidden="1">
      <c r="A1444" s="52" t="s">
        <v>2167</v>
      </c>
      <c r="B1444" s="17"/>
      <c r="C1444" s="18"/>
      <c r="D1444" s="4"/>
      <c r="E1444" s="19">
        <v>0.0</v>
      </c>
      <c r="F1444" s="19">
        <v>0.0</v>
      </c>
      <c r="G1444" s="16" t="s">
        <v>2168</v>
      </c>
      <c r="H1444" s="21"/>
      <c r="I1444" s="22">
        <v>0.0</v>
      </c>
      <c r="J1444" s="29"/>
      <c r="K1444" s="43">
        <v>7000.0</v>
      </c>
      <c r="L1444" s="44">
        <v>15000.0</v>
      </c>
      <c r="M1444" s="25"/>
      <c r="N1444" s="26"/>
      <c r="O1444" s="27">
        <f t="shared" si="188"/>
        <v>1.142857143</v>
      </c>
      <c r="P1444" s="28">
        <f t="shared" si="189"/>
        <v>0</v>
      </c>
    </row>
    <row r="1445" hidden="1">
      <c r="A1445" s="59" t="s">
        <v>2169</v>
      </c>
      <c r="B1445" s="17" t="s">
        <v>680</v>
      </c>
      <c r="C1445" s="18"/>
      <c r="D1445" s="4"/>
      <c r="E1445" s="19">
        <v>0.0</v>
      </c>
      <c r="F1445" s="19">
        <v>0.0</v>
      </c>
      <c r="G1445" s="16" t="s">
        <v>2170</v>
      </c>
      <c r="H1445" s="21"/>
      <c r="I1445" s="22">
        <v>5.0</v>
      </c>
      <c r="J1445" s="29"/>
      <c r="K1445" s="43">
        <v>2200.0</v>
      </c>
      <c r="L1445" s="44">
        <v>5000.0</v>
      </c>
      <c r="M1445" s="25"/>
      <c r="N1445" s="26"/>
      <c r="O1445" s="27">
        <f t="shared" si="188"/>
        <v>1.272727273</v>
      </c>
      <c r="P1445" s="28">
        <f t="shared" si="189"/>
        <v>0</v>
      </c>
    </row>
    <row r="1446" hidden="1">
      <c r="A1446" s="118" t="s">
        <v>2171</v>
      </c>
      <c r="B1446" s="17">
        <v>241023.0</v>
      </c>
      <c r="C1446" s="18"/>
      <c r="D1446" s="4"/>
      <c r="E1446" s="19">
        <v>0.0</v>
      </c>
      <c r="F1446" s="19">
        <v>0.0</v>
      </c>
      <c r="G1446" s="16" t="s">
        <v>425</v>
      </c>
      <c r="H1446" s="21"/>
      <c r="I1446" s="22">
        <v>40.0</v>
      </c>
      <c r="J1446" s="23"/>
      <c r="K1446" s="44">
        <f>1846*1.19</f>
        <v>2196.74</v>
      </c>
      <c r="L1446" s="44">
        <v>4000.0</v>
      </c>
      <c r="M1446" s="25"/>
      <c r="N1446" s="70"/>
      <c r="O1446" s="27">
        <f t="shared" si="188"/>
        <v>0.8208800313</v>
      </c>
      <c r="P1446" s="28">
        <f t="shared" si="189"/>
        <v>0</v>
      </c>
    </row>
    <row r="1447" hidden="1">
      <c r="A1447" s="59" t="s">
        <v>2172</v>
      </c>
      <c r="B1447" s="134"/>
      <c r="C1447" s="18" t="s">
        <v>2112</v>
      </c>
      <c r="D1447" s="98"/>
      <c r="E1447" s="19">
        <v>0.0</v>
      </c>
      <c r="F1447" s="19"/>
      <c r="G1447" s="16" t="s">
        <v>485</v>
      </c>
      <c r="H1447" s="21">
        <v>0.0</v>
      </c>
      <c r="I1447" s="22"/>
      <c r="J1447" s="22"/>
      <c r="K1447" s="43">
        <v>20000.0</v>
      </c>
      <c r="L1447" s="44">
        <v>30000.0</v>
      </c>
      <c r="M1447" s="25"/>
      <c r="N1447" s="26"/>
      <c r="O1447" s="27">
        <f t="shared" si="188"/>
        <v>0.5</v>
      </c>
      <c r="P1447" s="28">
        <f t="shared" si="189"/>
        <v>0</v>
      </c>
    </row>
    <row r="1448" hidden="1">
      <c r="A1448" s="255" t="s">
        <v>2173</v>
      </c>
      <c r="B1448" s="121"/>
      <c r="C1448" s="18"/>
      <c r="D1448" s="4"/>
      <c r="E1448" s="19">
        <v>0.0</v>
      </c>
      <c r="F1448" s="19">
        <v>0.0</v>
      </c>
      <c r="G1448" s="16" t="s">
        <v>16</v>
      </c>
      <c r="H1448" s="21"/>
      <c r="I1448" s="22">
        <v>21.0</v>
      </c>
      <c r="J1448" s="29"/>
      <c r="K1448" s="43">
        <f>180000/100</f>
        <v>1800</v>
      </c>
      <c r="L1448" s="44">
        <v>15000.0</v>
      </c>
      <c r="M1448" s="25"/>
      <c r="N1448" s="26">
        <v>10000.0</v>
      </c>
      <c r="O1448" s="27">
        <f t="shared" si="188"/>
        <v>7.333333333</v>
      </c>
      <c r="P1448" s="28">
        <f t="shared" si="189"/>
        <v>0</v>
      </c>
    </row>
    <row r="1449" hidden="1">
      <c r="A1449" s="255" t="s">
        <v>2174</v>
      </c>
      <c r="B1449" s="121"/>
      <c r="C1449" s="18"/>
      <c r="D1449" s="4"/>
      <c r="E1449" s="19">
        <v>0.0</v>
      </c>
      <c r="F1449" s="19"/>
      <c r="G1449" s="16" t="s">
        <v>93</v>
      </c>
      <c r="H1449" s="21"/>
      <c r="I1449" s="22">
        <v>0.0</v>
      </c>
      <c r="J1449" s="29"/>
      <c r="K1449" s="48">
        <v>29400.0</v>
      </c>
      <c r="L1449" s="55">
        <v>36000.0</v>
      </c>
      <c r="M1449" s="25"/>
      <c r="N1449" s="26"/>
      <c r="O1449" s="27">
        <f t="shared" si="188"/>
        <v>0.2244897959</v>
      </c>
      <c r="P1449" s="28">
        <f t="shared" si="189"/>
        <v>0</v>
      </c>
    </row>
    <row r="1450" hidden="1">
      <c r="A1450" s="255" t="s">
        <v>2175</v>
      </c>
      <c r="B1450" s="121"/>
      <c r="C1450" s="18"/>
      <c r="D1450" s="4"/>
      <c r="E1450" s="19"/>
      <c r="F1450" s="19"/>
      <c r="G1450" s="16"/>
      <c r="H1450" s="21"/>
      <c r="I1450" s="22"/>
      <c r="J1450" s="29"/>
      <c r="K1450" s="48"/>
      <c r="L1450" s="55"/>
      <c r="M1450" s="25"/>
      <c r="N1450" s="26"/>
      <c r="O1450" s="27"/>
      <c r="P1450" s="28"/>
    </row>
    <row r="1451" hidden="1">
      <c r="A1451" s="255" t="s">
        <v>2176</v>
      </c>
      <c r="B1451" s="121"/>
      <c r="C1451" s="18"/>
      <c r="D1451" s="4"/>
      <c r="E1451" s="19">
        <v>0.0</v>
      </c>
      <c r="F1451" s="19">
        <v>0.0</v>
      </c>
      <c r="G1451" s="16" t="s">
        <v>93</v>
      </c>
      <c r="H1451" s="21"/>
      <c r="I1451" s="22">
        <v>0.0</v>
      </c>
      <c r="J1451" s="29"/>
      <c r="K1451" s="43">
        <v>16160.0</v>
      </c>
      <c r="L1451" s="44">
        <v>21000.0</v>
      </c>
      <c r="M1451" s="25"/>
      <c r="N1451" s="26"/>
      <c r="O1451" s="27">
        <f t="shared" ref="O1451:O1467" si="190">(L1451/K1451)-1</f>
        <v>0.2995049505</v>
      </c>
      <c r="P1451" s="28">
        <f t="shared" ref="P1451:P1454" si="191">K1451*F1451</f>
        <v>0</v>
      </c>
    </row>
    <row r="1452" hidden="1">
      <c r="A1452" s="255" t="s">
        <v>2177</v>
      </c>
      <c r="B1452" s="121"/>
      <c r="C1452" s="18"/>
      <c r="D1452" s="4"/>
      <c r="E1452" s="19">
        <v>0.0</v>
      </c>
      <c r="F1452" s="19">
        <v>0.0</v>
      </c>
      <c r="G1452" s="16" t="s">
        <v>16</v>
      </c>
      <c r="H1452" s="21"/>
      <c r="I1452" s="22">
        <v>17.0</v>
      </c>
      <c r="J1452" s="29"/>
      <c r="K1452" s="32">
        <f t="shared" ref="K1452:K1454" si="192">180000/100</f>
        <v>1800</v>
      </c>
      <c r="L1452" s="24">
        <v>15000.0</v>
      </c>
      <c r="M1452" s="25"/>
      <c r="N1452" s="26"/>
      <c r="O1452" s="27">
        <f t="shared" si="190"/>
        <v>7.333333333</v>
      </c>
      <c r="P1452" s="28">
        <f t="shared" si="191"/>
        <v>0</v>
      </c>
    </row>
    <row r="1453" hidden="1">
      <c r="A1453" s="255" t="s">
        <v>2178</v>
      </c>
      <c r="B1453" s="121"/>
      <c r="C1453" s="18"/>
      <c r="D1453" s="4"/>
      <c r="E1453" s="19">
        <v>0.0</v>
      </c>
      <c r="F1453" s="19">
        <v>0.0</v>
      </c>
      <c r="G1453" s="16" t="s">
        <v>16</v>
      </c>
      <c r="H1453" s="21"/>
      <c r="I1453" s="22">
        <v>17.0</v>
      </c>
      <c r="J1453" s="29"/>
      <c r="K1453" s="43">
        <f t="shared" si="192"/>
        <v>1800</v>
      </c>
      <c r="L1453" s="44">
        <v>60000.0</v>
      </c>
      <c r="M1453" s="25"/>
      <c r="N1453" s="26"/>
      <c r="O1453" s="27">
        <f t="shared" si="190"/>
        <v>32.33333333</v>
      </c>
      <c r="P1453" s="28">
        <f t="shared" si="191"/>
        <v>0</v>
      </c>
    </row>
    <row r="1454" hidden="1">
      <c r="A1454" s="255" t="s">
        <v>2179</v>
      </c>
      <c r="B1454" s="121"/>
      <c r="C1454" s="18"/>
      <c r="D1454" s="4" t="s">
        <v>676</v>
      </c>
      <c r="E1454" s="19">
        <v>0.0</v>
      </c>
      <c r="F1454" s="19">
        <v>3.0</v>
      </c>
      <c r="G1454" s="16" t="s">
        <v>16</v>
      </c>
      <c r="H1454" s="21"/>
      <c r="I1454" s="22">
        <v>1.0</v>
      </c>
      <c r="J1454" s="29"/>
      <c r="K1454" s="32">
        <f t="shared" si="192"/>
        <v>1800</v>
      </c>
      <c r="L1454" s="24">
        <v>15000.0</v>
      </c>
      <c r="M1454" s="25"/>
      <c r="N1454" s="26"/>
      <c r="O1454" s="27">
        <f t="shared" si="190"/>
        <v>7.333333333</v>
      </c>
      <c r="P1454" s="28">
        <f t="shared" si="191"/>
        <v>5400</v>
      </c>
    </row>
    <row r="1455" hidden="1">
      <c r="A1455" s="16" t="s">
        <v>2180</v>
      </c>
      <c r="B1455" s="36"/>
      <c r="C1455" s="18"/>
      <c r="D1455" s="4" t="s">
        <v>998</v>
      </c>
      <c r="E1455" s="19">
        <v>0.0</v>
      </c>
      <c r="F1455" s="19">
        <v>5.0</v>
      </c>
      <c r="G1455" s="16" t="s">
        <v>73</v>
      </c>
      <c r="H1455" s="21"/>
      <c r="I1455" s="22"/>
      <c r="J1455" s="29"/>
      <c r="K1455" s="32">
        <f>(255000/10)</f>
        <v>25500</v>
      </c>
      <c r="L1455" s="24">
        <v>30000.0</v>
      </c>
      <c r="M1455" s="25" t="s">
        <v>82</v>
      </c>
      <c r="N1455" s="26"/>
      <c r="O1455" s="27">
        <f t="shared" si="190"/>
        <v>0.1764705882</v>
      </c>
      <c r="P1455" s="28" t="str">
        <f t="shared" ref="P1455:P1456" si="193">K1455*#REF!</f>
        <v>#REF!</v>
      </c>
    </row>
    <row r="1456" hidden="1">
      <c r="A1456" s="16" t="s">
        <v>2181</v>
      </c>
      <c r="B1456" s="36"/>
      <c r="C1456" s="18"/>
      <c r="D1456" s="4"/>
      <c r="E1456" s="19">
        <v>0.0</v>
      </c>
      <c r="F1456" s="19">
        <v>0.0</v>
      </c>
      <c r="G1456" s="16" t="s">
        <v>73</v>
      </c>
      <c r="H1456" s="21"/>
      <c r="I1456" s="22" t="s">
        <v>2182</v>
      </c>
      <c r="J1456" s="29"/>
      <c r="K1456" s="32">
        <f>(270000/15)*1.19</f>
        <v>21420</v>
      </c>
      <c r="L1456" s="24">
        <v>30000.0</v>
      </c>
      <c r="M1456" s="25" t="s">
        <v>82</v>
      </c>
      <c r="N1456" s="26"/>
      <c r="O1456" s="27">
        <f t="shared" si="190"/>
        <v>0.4005602241</v>
      </c>
      <c r="P1456" s="28" t="str">
        <f t="shared" si="193"/>
        <v>#REF!</v>
      </c>
    </row>
    <row r="1457" hidden="1">
      <c r="A1457" s="256" t="s">
        <v>2183</v>
      </c>
      <c r="B1457" s="134"/>
      <c r="C1457" s="18"/>
      <c r="D1457" s="4"/>
      <c r="E1457" s="19">
        <v>0.0</v>
      </c>
      <c r="F1457" s="19">
        <v>0.0</v>
      </c>
      <c r="G1457" s="16" t="s">
        <v>2184</v>
      </c>
      <c r="H1457" s="21"/>
      <c r="I1457" s="22">
        <v>0.0</v>
      </c>
      <c r="J1457" s="29"/>
      <c r="K1457" s="43">
        <v>48000.0</v>
      </c>
      <c r="L1457" s="44">
        <v>70000.0</v>
      </c>
      <c r="M1457" s="25"/>
      <c r="N1457" s="26"/>
      <c r="O1457" s="27">
        <f t="shared" si="190"/>
        <v>0.4583333333</v>
      </c>
      <c r="P1457" s="28">
        <f t="shared" ref="P1457:P1467" si="194">K1457*F1457</f>
        <v>0</v>
      </c>
    </row>
    <row r="1458" hidden="1">
      <c r="A1458" s="256" t="s">
        <v>2185</v>
      </c>
      <c r="B1458" s="134"/>
      <c r="C1458" s="18"/>
      <c r="D1458" s="4"/>
      <c r="E1458" s="19">
        <v>0.0</v>
      </c>
      <c r="F1458" s="19">
        <v>0.0</v>
      </c>
      <c r="G1458" s="16" t="s">
        <v>2184</v>
      </c>
      <c r="H1458" s="21"/>
      <c r="I1458" s="22">
        <v>2.0</v>
      </c>
      <c r="J1458" s="29"/>
      <c r="K1458" s="48">
        <v>94500.0</v>
      </c>
      <c r="L1458" s="55">
        <v>130000.0</v>
      </c>
      <c r="M1458" s="25"/>
      <c r="N1458" s="26"/>
      <c r="O1458" s="27">
        <f t="shared" si="190"/>
        <v>0.3756613757</v>
      </c>
      <c r="P1458" s="28">
        <f t="shared" si="194"/>
        <v>0</v>
      </c>
    </row>
    <row r="1459" hidden="1">
      <c r="A1459" s="16" t="s">
        <v>2186</v>
      </c>
      <c r="B1459" s="36" t="s">
        <v>2187</v>
      </c>
      <c r="C1459" s="18" t="s">
        <v>144</v>
      </c>
      <c r="D1459" s="4">
        <v>68300.0</v>
      </c>
      <c r="E1459" s="19">
        <v>0.0</v>
      </c>
      <c r="F1459" s="19">
        <v>0.0</v>
      </c>
      <c r="G1459" s="16" t="s">
        <v>70</v>
      </c>
      <c r="H1459" s="21"/>
      <c r="I1459" s="22"/>
      <c r="J1459" s="58">
        <v>45931.0</v>
      </c>
      <c r="K1459" s="32">
        <f t="shared" ref="K1459:K1460" si="195">90000*0.8</f>
        <v>72000</v>
      </c>
      <c r="L1459" s="24">
        <v>100000.0</v>
      </c>
      <c r="M1459" s="25" t="s">
        <v>82</v>
      </c>
      <c r="N1459" s="26"/>
      <c r="O1459" s="27">
        <f t="shared" si="190"/>
        <v>0.3888888889</v>
      </c>
      <c r="P1459" s="28">
        <f t="shared" si="194"/>
        <v>0</v>
      </c>
    </row>
    <row r="1460" hidden="1">
      <c r="A1460" s="16" t="s">
        <v>2188</v>
      </c>
      <c r="B1460" s="36" t="s">
        <v>2187</v>
      </c>
      <c r="C1460" s="18" t="s">
        <v>144</v>
      </c>
      <c r="D1460" s="4">
        <v>68300.0</v>
      </c>
      <c r="E1460" s="19">
        <v>0.0</v>
      </c>
      <c r="F1460" s="19">
        <v>0.0</v>
      </c>
      <c r="G1460" s="16" t="s">
        <v>70</v>
      </c>
      <c r="H1460" s="21"/>
      <c r="I1460" s="22"/>
      <c r="J1460" s="22" t="s">
        <v>2189</v>
      </c>
      <c r="K1460" s="32">
        <f t="shared" si="195"/>
        <v>72000</v>
      </c>
      <c r="L1460" s="24">
        <v>100000.0</v>
      </c>
      <c r="M1460" s="25" t="s">
        <v>82</v>
      </c>
      <c r="N1460" s="26"/>
      <c r="O1460" s="27">
        <f t="shared" si="190"/>
        <v>0.3888888889</v>
      </c>
      <c r="P1460" s="28">
        <f t="shared" si="194"/>
        <v>0</v>
      </c>
    </row>
    <row r="1461" hidden="1">
      <c r="A1461" s="16" t="s">
        <v>2190</v>
      </c>
      <c r="B1461" s="36" t="s">
        <v>2187</v>
      </c>
      <c r="C1461" s="18" t="s">
        <v>144</v>
      </c>
      <c r="D1461" s="4">
        <v>68300.0</v>
      </c>
      <c r="E1461" s="19">
        <v>0.0</v>
      </c>
      <c r="F1461" s="19">
        <v>0.0</v>
      </c>
      <c r="G1461" s="16" t="s">
        <v>70</v>
      </c>
      <c r="H1461" s="21"/>
      <c r="I1461" s="22"/>
      <c r="J1461" s="47">
        <v>45748.0</v>
      </c>
      <c r="K1461" s="32">
        <v>72000.0</v>
      </c>
      <c r="L1461" s="24">
        <v>100000.0</v>
      </c>
      <c r="M1461" s="25" t="s">
        <v>76</v>
      </c>
      <c r="N1461" s="26"/>
      <c r="O1461" s="27">
        <f t="shared" si="190"/>
        <v>0.3888888889</v>
      </c>
      <c r="P1461" s="28">
        <f t="shared" si="194"/>
        <v>0</v>
      </c>
    </row>
    <row r="1462" hidden="1">
      <c r="A1462" s="16" t="s">
        <v>2191</v>
      </c>
      <c r="B1462" s="36" t="s">
        <v>2192</v>
      </c>
      <c r="C1462" s="18" t="s">
        <v>144</v>
      </c>
      <c r="D1462" s="4">
        <v>272600.0</v>
      </c>
      <c r="E1462" s="19">
        <v>0.0</v>
      </c>
      <c r="F1462" s="19">
        <v>0.0</v>
      </c>
      <c r="G1462" s="16" t="s">
        <v>70</v>
      </c>
      <c r="H1462" s="21"/>
      <c r="I1462" s="22"/>
      <c r="J1462" s="29"/>
      <c r="K1462" s="48">
        <v>272600.0</v>
      </c>
      <c r="L1462" s="55">
        <v>340000.0</v>
      </c>
      <c r="M1462" s="25" t="s">
        <v>76</v>
      </c>
      <c r="N1462" s="26">
        <v>210000.0</v>
      </c>
      <c r="O1462" s="27">
        <f t="shared" si="190"/>
        <v>0.2472487161</v>
      </c>
      <c r="P1462" s="28">
        <f t="shared" si="194"/>
        <v>0</v>
      </c>
    </row>
    <row r="1463" hidden="1">
      <c r="A1463" s="52" t="s">
        <v>2193</v>
      </c>
      <c r="B1463" s="17"/>
      <c r="C1463" s="18"/>
      <c r="D1463" s="4"/>
      <c r="E1463" s="19">
        <v>0.0</v>
      </c>
      <c r="F1463" s="19">
        <v>0.0</v>
      </c>
      <c r="G1463" s="16" t="s">
        <v>563</v>
      </c>
      <c r="H1463" s="21"/>
      <c r="I1463" s="22">
        <v>7.0</v>
      </c>
      <c r="J1463" s="29"/>
      <c r="K1463" s="48">
        <v>25000.0</v>
      </c>
      <c r="L1463" s="55">
        <v>45000.0</v>
      </c>
      <c r="M1463" s="25"/>
      <c r="N1463" s="26"/>
      <c r="O1463" s="27">
        <f t="shared" si="190"/>
        <v>0.8</v>
      </c>
      <c r="P1463" s="28">
        <f t="shared" si="194"/>
        <v>0</v>
      </c>
    </row>
    <row r="1464" hidden="1">
      <c r="A1464" s="52" t="s">
        <v>2867</v>
      </c>
      <c r="B1464" s="17"/>
      <c r="C1464" s="18"/>
      <c r="D1464" s="67"/>
      <c r="E1464" s="19">
        <v>1.0</v>
      </c>
      <c r="F1464" s="19">
        <v>10.0</v>
      </c>
      <c r="G1464" s="16" t="s">
        <v>563</v>
      </c>
      <c r="H1464" s="21"/>
      <c r="I1464" s="22">
        <v>16.0</v>
      </c>
      <c r="J1464" s="23"/>
      <c r="K1464" s="24">
        <f>(33000*1.19)/10</f>
        <v>3927</v>
      </c>
      <c r="L1464" s="24">
        <v>6000.0</v>
      </c>
      <c r="M1464" s="25"/>
      <c r="N1464" s="26"/>
      <c r="O1464" s="27">
        <f t="shared" si="190"/>
        <v>0.5278838808</v>
      </c>
      <c r="P1464" s="28">
        <f t="shared" si="194"/>
        <v>39270</v>
      </c>
    </row>
    <row r="1465" hidden="1">
      <c r="A1465" s="16" t="s">
        <v>2195</v>
      </c>
      <c r="B1465" s="51" t="s">
        <v>2196</v>
      </c>
      <c r="C1465" s="18"/>
      <c r="D1465" s="4"/>
      <c r="E1465" s="19">
        <v>0.0</v>
      </c>
      <c r="F1465" s="19">
        <v>0.0</v>
      </c>
      <c r="G1465" s="16" t="s">
        <v>1661</v>
      </c>
      <c r="H1465" s="21"/>
      <c r="I1465" s="22">
        <v>4.0</v>
      </c>
      <c r="J1465" s="29"/>
      <c r="K1465" s="32">
        <v>115000.0</v>
      </c>
      <c r="L1465" s="24">
        <v>200000.0</v>
      </c>
      <c r="M1465" s="25"/>
      <c r="N1465" s="50"/>
      <c r="O1465" s="27">
        <f t="shared" si="190"/>
        <v>0.7391304348</v>
      </c>
      <c r="P1465" s="28">
        <f t="shared" si="194"/>
        <v>0</v>
      </c>
    </row>
    <row r="1466" hidden="1">
      <c r="A1466" s="59" t="s">
        <v>2197</v>
      </c>
      <c r="B1466" s="17"/>
      <c r="C1466" s="18"/>
      <c r="D1466" s="4"/>
      <c r="E1466" s="19">
        <v>0.0</v>
      </c>
      <c r="F1466" s="19">
        <v>0.0</v>
      </c>
      <c r="G1466" s="16" t="s">
        <v>2162</v>
      </c>
      <c r="H1466" s="21"/>
      <c r="I1466" s="22">
        <v>100.0</v>
      </c>
      <c r="J1466" s="29"/>
      <c r="K1466" s="43">
        <v>141.0</v>
      </c>
      <c r="L1466" s="44">
        <v>500.0</v>
      </c>
      <c r="M1466" s="25"/>
      <c r="N1466" s="26"/>
      <c r="O1466" s="27">
        <f t="shared" si="190"/>
        <v>2.546099291</v>
      </c>
      <c r="P1466" s="28">
        <f t="shared" si="194"/>
        <v>0</v>
      </c>
    </row>
    <row r="1467" hidden="1">
      <c r="A1467" s="40" t="s">
        <v>2198</v>
      </c>
      <c r="B1467" s="17"/>
      <c r="C1467" s="18"/>
      <c r="D1467" s="4"/>
      <c r="E1467" s="19">
        <v>0.0</v>
      </c>
      <c r="F1467" s="19">
        <v>2.0</v>
      </c>
      <c r="G1467" s="16" t="s">
        <v>2199</v>
      </c>
      <c r="H1467" s="21"/>
      <c r="I1467" s="22"/>
      <c r="J1467" s="29"/>
      <c r="K1467" s="43">
        <v>12000.0</v>
      </c>
      <c r="L1467" s="44">
        <v>20000.0</v>
      </c>
      <c r="M1467" s="25"/>
      <c r="N1467" s="26"/>
      <c r="O1467" s="27">
        <f t="shared" si="190"/>
        <v>0.6666666667</v>
      </c>
      <c r="P1467" s="28">
        <f t="shared" si="194"/>
        <v>24000</v>
      </c>
    </row>
    <row r="1468" hidden="1">
      <c r="A1468" s="16" t="s">
        <v>2200</v>
      </c>
      <c r="B1468" s="17"/>
      <c r="C1468" s="18"/>
      <c r="D1468" s="4"/>
      <c r="E1468" s="19">
        <v>0.0</v>
      </c>
      <c r="F1468" s="19">
        <v>0.0</v>
      </c>
      <c r="G1468" s="16" t="s">
        <v>400</v>
      </c>
      <c r="H1468" s="21"/>
      <c r="I1468" s="22">
        <v>9.0</v>
      </c>
      <c r="J1468" s="29"/>
      <c r="K1468" s="43"/>
      <c r="L1468" s="44"/>
      <c r="M1468" s="25"/>
      <c r="N1468" s="26"/>
      <c r="O1468" s="27"/>
      <c r="P1468" s="28"/>
    </row>
    <row r="1469" hidden="1">
      <c r="A1469" s="122" t="s">
        <v>2201</v>
      </c>
      <c r="B1469" s="156"/>
      <c r="C1469" s="18"/>
      <c r="D1469" s="4"/>
      <c r="E1469" s="19">
        <v>0.0</v>
      </c>
      <c r="F1469" s="19">
        <v>0.0</v>
      </c>
      <c r="G1469" s="16" t="s">
        <v>580</v>
      </c>
      <c r="H1469" s="21"/>
      <c r="I1469" s="22">
        <v>5.0</v>
      </c>
      <c r="J1469" s="29"/>
      <c r="K1469" s="32">
        <f>55000/2</f>
        <v>27500</v>
      </c>
      <c r="L1469" s="24">
        <v>90000.0</v>
      </c>
      <c r="M1469" s="25"/>
      <c r="N1469" s="50">
        <v>60000.0</v>
      </c>
      <c r="O1469" s="27">
        <f t="shared" ref="O1469:O1507" si="196">(L1469/K1469)-1</f>
        <v>2.272727273</v>
      </c>
      <c r="P1469" s="28">
        <f>K1469*F1469</f>
        <v>0</v>
      </c>
    </row>
    <row r="1470" hidden="1">
      <c r="A1470" s="122" t="s">
        <v>2202</v>
      </c>
      <c r="B1470" s="156"/>
      <c r="C1470" s="18"/>
      <c r="D1470" s="4"/>
      <c r="E1470" s="19">
        <v>0.0</v>
      </c>
      <c r="F1470" s="19">
        <v>0.0</v>
      </c>
      <c r="G1470" s="16" t="s">
        <v>580</v>
      </c>
      <c r="H1470" s="21"/>
      <c r="I1470" s="22"/>
      <c r="J1470" s="29"/>
      <c r="K1470" s="32">
        <v>55000.0</v>
      </c>
      <c r="L1470" s="24">
        <v>150000.0</v>
      </c>
      <c r="M1470" s="25"/>
      <c r="N1470" s="50">
        <v>110000.0</v>
      </c>
      <c r="O1470" s="27">
        <f t="shared" si="196"/>
        <v>1.727272727</v>
      </c>
      <c r="P1470" s="28"/>
    </row>
    <row r="1471" hidden="1">
      <c r="A1471" s="122" t="s">
        <v>2203</v>
      </c>
      <c r="B1471" s="17">
        <v>240033.0</v>
      </c>
      <c r="C1471" s="18" t="s">
        <v>687</v>
      </c>
      <c r="D1471" s="257"/>
      <c r="E1471" s="19">
        <v>0.0</v>
      </c>
      <c r="F1471" s="19">
        <v>0.0</v>
      </c>
      <c r="G1471" s="16" t="s">
        <v>2204</v>
      </c>
      <c r="H1471" s="21"/>
      <c r="I1471" s="22">
        <v>70.0</v>
      </c>
      <c r="J1471" s="23"/>
      <c r="K1471" s="55">
        <f t="shared" ref="K1471:K1473" si="197">3200*0.95*1.19</f>
        <v>3617.6</v>
      </c>
      <c r="L1471" s="55">
        <v>9000.0</v>
      </c>
      <c r="M1471" s="25"/>
      <c r="N1471" s="70"/>
      <c r="O1471" s="27">
        <f t="shared" si="196"/>
        <v>1.48783724</v>
      </c>
      <c r="P1471" s="28">
        <f t="shared" ref="P1471:P1500" si="198">K1471*F1471</f>
        <v>0</v>
      </c>
    </row>
    <row r="1472" hidden="1">
      <c r="A1472" s="122" t="s">
        <v>2205</v>
      </c>
      <c r="B1472" s="17">
        <v>240031.0</v>
      </c>
      <c r="C1472" s="18" t="s">
        <v>687</v>
      </c>
      <c r="D1472" s="257"/>
      <c r="E1472" s="19">
        <v>0.0</v>
      </c>
      <c r="F1472" s="19">
        <v>0.0</v>
      </c>
      <c r="G1472" s="16" t="s">
        <v>2204</v>
      </c>
      <c r="H1472" s="21"/>
      <c r="I1472" s="22">
        <v>80.0</v>
      </c>
      <c r="J1472" s="23"/>
      <c r="K1472" s="55">
        <f t="shared" si="197"/>
        <v>3617.6</v>
      </c>
      <c r="L1472" s="55">
        <v>9000.0</v>
      </c>
      <c r="M1472" s="25"/>
      <c r="N1472" s="70"/>
      <c r="O1472" s="27">
        <f t="shared" si="196"/>
        <v>1.48783724</v>
      </c>
      <c r="P1472" s="28">
        <f t="shared" si="198"/>
        <v>0</v>
      </c>
    </row>
    <row r="1473" hidden="1">
      <c r="A1473" s="122" t="s">
        <v>2206</v>
      </c>
      <c r="B1473" s="17">
        <v>240032.0</v>
      </c>
      <c r="C1473" s="18" t="s">
        <v>687</v>
      </c>
      <c r="D1473" s="257"/>
      <c r="E1473" s="19">
        <v>0.0</v>
      </c>
      <c r="F1473" s="19">
        <v>0.0</v>
      </c>
      <c r="G1473" s="16" t="s">
        <v>2204</v>
      </c>
      <c r="H1473" s="21"/>
      <c r="I1473" s="22">
        <v>70.0</v>
      </c>
      <c r="J1473" s="23"/>
      <c r="K1473" s="55">
        <f t="shared" si="197"/>
        <v>3617.6</v>
      </c>
      <c r="L1473" s="55">
        <v>9000.0</v>
      </c>
      <c r="M1473" s="25"/>
      <c r="N1473" s="70"/>
      <c r="O1473" s="27">
        <f t="shared" si="196"/>
        <v>1.48783724</v>
      </c>
      <c r="P1473" s="28">
        <f t="shared" si="198"/>
        <v>0</v>
      </c>
    </row>
    <row r="1474" hidden="1">
      <c r="A1474" s="122" t="s">
        <v>2207</v>
      </c>
      <c r="B1474" s="258">
        <f>120137</f>
        <v>120137</v>
      </c>
      <c r="C1474" s="223" t="s">
        <v>2208</v>
      </c>
      <c r="D1474" s="4"/>
      <c r="E1474" s="19">
        <v>0.0</v>
      </c>
      <c r="F1474" s="19">
        <v>0.0</v>
      </c>
      <c r="G1474" s="16" t="s">
        <v>1205</v>
      </c>
      <c r="H1474" s="21"/>
      <c r="I1474" s="22">
        <v>18.0</v>
      </c>
      <c r="J1474" s="29"/>
      <c r="K1474" s="43">
        <f>108000*1.19</f>
        <v>128520</v>
      </c>
      <c r="L1474" s="44">
        <v>165000.0</v>
      </c>
      <c r="M1474" s="25" t="s">
        <v>9</v>
      </c>
      <c r="N1474" s="26">
        <v>148000.0</v>
      </c>
      <c r="O1474" s="27">
        <f t="shared" si="196"/>
        <v>0.2838468721</v>
      </c>
      <c r="P1474" s="28">
        <f t="shared" si="198"/>
        <v>0</v>
      </c>
    </row>
    <row r="1475" hidden="1">
      <c r="A1475" s="122" t="s">
        <v>2209</v>
      </c>
      <c r="B1475" s="17">
        <v>240037.0</v>
      </c>
      <c r="C1475" s="18"/>
      <c r="D1475" s="4"/>
      <c r="E1475" s="19">
        <v>0.0</v>
      </c>
      <c r="F1475" s="19">
        <v>0.0</v>
      </c>
      <c r="G1475" s="16" t="s">
        <v>659</v>
      </c>
      <c r="H1475" s="21"/>
      <c r="I1475" s="22">
        <v>0.0</v>
      </c>
      <c r="J1475" s="259"/>
      <c r="K1475" s="260">
        <f t="shared" ref="K1475:K1478" si="199">3029*1.19</f>
        <v>3604.51</v>
      </c>
      <c r="L1475" s="44">
        <v>9000.0</v>
      </c>
      <c r="M1475" s="25"/>
      <c r="N1475" s="70"/>
      <c r="O1475" s="27">
        <f t="shared" si="196"/>
        <v>1.496871974</v>
      </c>
      <c r="P1475" s="28">
        <f t="shared" si="198"/>
        <v>0</v>
      </c>
    </row>
    <row r="1476" hidden="1">
      <c r="A1476" s="122" t="s">
        <v>2210</v>
      </c>
      <c r="B1476" s="17">
        <v>240040.0</v>
      </c>
      <c r="C1476" s="18"/>
      <c r="D1476" s="4"/>
      <c r="E1476" s="19">
        <v>0.0</v>
      </c>
      <c r="F1476" s="19">
        <v>0.0</v>
      </c>
      <c r="G1476" s="16" t="s">
        <v>659</v>
      </c>
      <c r="H1476" s="21"/>
      <c r="I1476" s="22" t="s">
        <v>99</v>
      </c>
      <c r="J1476" s="259"/>
      <c r="K1476" s="260">
        <f t="shared" si="199"/>
        <v>3604.51</v>
      </c>
      <c r="L1476" s="44">
        <v>9000.0</v>
      </c>
      <c r="M1476" s="25"/>
      <c r="N1476" s="70"/>
      <c r="O1476" s="27">
        <f t="shared" si="196"/>
        <v>1.496871974</v>
      </c>
      <c r="P1476" s="28">
        <f t="shared" si="198"/>
        <v>0</v>
      </c>
    </row>
    <row r="1477" hidden="1">
      <c r="A1477" s="122" t="s">
        <v>2211</v>
      </c>
      <c r="B1477" s="17">
        <v>240038.0</v>
      </c>
      <c r="C1477" s="18"/>
      <c r="D1477" s="4"/>
      <c r="E1477" s="19">
        <v>0.0</v>
      </c>
      <c r="F1477" s="19">
        <v>0.0</v>
      </c>
      <c r="G1477" s="16" t="s">
        <v>659</v>
      </c>
      <c r="H1477" s="21"/>
      <c r="I1477" s="22" t="s">
        <v>99</v>
      </c>
      <c r="J1477" s="259"/>
      <c r="K1477" s="260">
        <f t="shared" si="199"/>
        <v>3604.51</v>
      </c>
      <c r="L1477" s="44">
        <v>9000.0</v>
      </c>
      <c r="M1477" s="25"/>
      <c r="N1477" s="70"/>
      <c r="O1477" s="27">
        <f t="shared" si="196"/>
        <v>1.496871974</v>
      </c>
      <c r="P1477" s="28">
        <f t="shared" si="198"/>
        <v>0</v>
      </c>
    </row>
    <row r="1478" hidden="1">
      <c r="A1478" s="122" t="s">
        <v>2212</v>
      </c>
      <c r="B1478" s="17">
        <v>240039.0</v>
      </c>
      <c r="C1478" s="18"/>
      <c r="D1478" s="4"/>
      <c r="E1478" s="19">
        <v>0.0</v>
      </c>
      <c r="F1478" s="19">
        <v>0.0</v>
      </c>
      <c r="G1478" s="16" t="s">
        <v>659</v>
      </c>
      <c r="H1478" s="21"/>
      <c r="I1478" s="22">
        <v>50.0</v>
      </c>
      <c r="J1478" s="259"/>
      <c r="K1478" s="260">
        <f t="shared" si="199"/>
        <v>3604.51</v>
      </c>
      <c r="L1478" s="44">
        <v>9000.0</v>
      </c>
      <c r="M1478" s="25"/>
      <c r="N1478" s="70"/>
      <c r="O1478" s="27">
        <f t="shared" si="196"/>
        <v>1.496871974</v>
      </c>
      <c r="P1478" s="28">
        <f t="shared" si="198"/>
        <v>0</v>
      </c>
    </row>
    <row r="1479" hidden="1">
      <c r="A1479" s="122" t="s">
        <v>2213</v>
      </c>
      <c r="B1479" s="17">
        <v>240030.0</v>
      </c>
      <c r="C1479" s="18"/>
      <c r="D1479" s="4"/>
      <c r="E1479" s="19">
        <v>0.0</v>
      </c>
      <c r="F1479" s="19">
        <v>0.0</v>
      </c>
      <c r="G1479" s="16" t="s">
        <v>659</v>
      </c>
      <c r="H1479" s="21"/>
      <c r="I1479" s="22" t="s">
        <v>99</v>
      </c>
      <c r="J1479" s="23"/>
      <c r="K1479" s="44">
        <f t="shared" ref="K1479:K1484" si="200">5251*1.19</f>
        <v>6248.69</v>
      </c>
      <c r="L1479" s="44">
        <v>9000.0</v>
      </c>
      <c r="M1479" s="25"/>
      <c r="N1479" s="26"/>
      <c r="O1479" s="27">
        <f t="shared" si="196"/>
        <v>0.4403018873</v>
      </c>
      <c r="P1479" s="28">
        <f t="shared" si="198"/>
        <v>0</v>
      </c>
    </row>
    <row r="1480" hidden="1">
      <c r="A1480" s="122" t="s">
        <v>2214</v>
      </c>
      <c r="B1480" s="17">
        <v>240028.0</v>
      </c>
      <c r="C1480" s="18"/>
      <c r="D1480" s="4"/>
      <c r="E1480" s="19">
        <v>0.0</v>
      </c>
      <c r="F1480" s="19">
        <v>0.0</v>
      </c>
      <c r="G1480" s="16" t="s">
        <v>659</v>
      </c>
      <c r="H1480" s="21"/>
      <c r="I1480" s="22" t="s">
        <v>99</v>
      </c>
      <c r="J1480" s="23"/>
      <c r="K1480" s="44">
        <f t="shared" si="200"/>
        <v>6248.69</v>
      </c>
      <c r="L1480" s="44">
        <v>9000.0</v>
      </c>
      <c r="M1480" s="25"/>
      <c r="N1480" s="26"/>
      <c r="O1480" s="27">
        <f t="shared" si="196"/>
        <v>0.4403018873</v>
      </c>
      <c r="P1480" s="28">
        <f t="shared" si="198"/>
        <v>0</v>
      </c>
    </row>
    <row r="1481" hidden="1">
      <c r="A1481" s="122" t="s">
        <v>2215</v>
      </c>
      <c r="B1481" s="17">
        <v>240029.0</v>
      </c>
      <c r="C1481" s="18"/>
      <c r="D1481" s="4"/>
      <c r="E1481" s="19">
        <v>0.0</v>
      </c>
      <c r="F1481" s="19">
        <v>0.0</v>
      </c>
      <c r="G1481" s="16" t="s">
        <v>659</v>
      </c>
      <c r="H1481" s="21"/>
      <c r="I1481" s="22" t="s">
        <v>99</v>
      </c>
      <c r="J1481" s="23"/>
      <c r="K1481" s="44">
        <f t="shared" si="200"/>
        <v>6248.69</v>
      </c>
      <c r="L1481" s="44">
        <v>9000.0</v>
      </c>
      <c r="M1481" s="25"/>
      <c r="N1481" s="70"/>
      <c r="O1481" s="27">
        <f t="shared" si="196"/>
        <v>0.4403018873</v>
      </c>
      <c r="P1481" s="28">
        <f t="shared" si="198"/>
        <v>0</v>
      </c>
    </row>
    <row r="1482" hidden="1">
      <c r="A1482" s="122" t="s">
        <v>2216</v>
      </c>
      <c r="B1482" s="17">
        <v>240025.0</v>
      </c>
      <c r="C1482" s="18"/>
      <c r="D1482" s="4"/>
      <c r="E1482" s="19">
        <v>0.0</v>
      </c>
      <c r="F1482" s="19">
        <v>0.0</v>
      </c>
      <c r="G1482" s="16" t="s">
        <v>659</v>
      </c>
      <c r="H1482" s="21"/>
      <c r="I1482" s="22">
        <v>12.0</v>
      </c>
      <c r="J1482" s="23"/>
      <c r="K1482" s="44">
        <f t="shared" si="200"/>
        <v>6248.69</v>
      </c>
      <c r="L1482" s="44">
        <v>9000.0</v>
      </c>
      <c r="M1482" s="25"/>
      <c r="N1482" s="26"/>
      <c r="O1482" s="27">
        <f t="shared" si="196"/>
        <v>0.4403018873</v>
      </c>
      <c r="P1482" s="28">
        <f t="shared" si="198"/>
        <v>0</v>
      </c>
    </row>
    <row r="1483" hidden="1">
      <c r="A1483" s="122" t="s">
        <v>2217</v>
      </c>
      <c r="B1483" s="17">
        <v>240027.0</v>
      </c>
      <c r="C1483" s="18"/>
      <c r="D1483" s="4"/>
      <c r="E1483" s="19">
        <v>0.0</v>
      </c>
      <c r="F1483" s="19">
        <v>0.0</v>
      </c>
      <c r="G1483" s="16" t="s">
        <v>659</v>
      </c>
      <c r="H1483" s="21"/>
      <c r="I1483" s="22">
        <v>20.0</v>
      </c>
      <c r="J1483" s="23"/>
      <c r="K1483" s="44">
        <f t="shared" si="200"/>
        <v>6248.69</v>
      </c>
      <c r="L1483" s="44">
        <v>9000.0</v>
      </c>
      <c r="M1483" s="25"/>
      <c r="N1483" s="26"/>
      <c r="O1483" s="27">
        <f t="shared" si="196"/>
        <v>0.4403018873</v>
      </c>
      <c r="P1483" s="28">
        <f t="shared" si="198"/>
        <v>0</v>
      </c>
    </row>
    <row r="1484" hidden="1">
      <c r="A1484" s="122" t="s">
        <v>2218</v>
      </c>
      <c r="B1484" s="17">
        <v>240026.0</v>
      </c>
      <c r="C1484" s="18"/>
      <c r="D1484" s="4"/>
      <c r="E1484" s="19">
        <v>0.0</v>
      </c>
      <c r="F1484" s="19">
        <v>0.0</v>
      </c>
      <c r="G1484" s="16" t="s">
        <v>659</v>
      </c>
      <c r="H1484" s="21"/>
      <c r="I1484" s="22">
        <v>50.0</v>
      </c>
      <c r="J1484" s="23"/>
      <c r="K1484" s="44">
        <f t="shared" si="200"/>
        <v>6248.69</v>
      </c>
      <c r="L1484" s="44">
        <v>9000.0</v>
      </c>
      <c r="M1484" s="25"/>
      <c r="N1484" s="26"/>
      <c r="O1484" s="27">
        <f t="shared" si="196"/>
        <v>0.4403018873</v>
      </c>
      <c r="P1484" s="28">
        <f t="shared" si="198"/>
        <v>0</v>
      </c>
    </row>
    <row r="1485" hidden="1">
      <c r="A1485" s="16" t="s">
        <v>2219</v>
      </c>
      <c r="B1485" s="36"/>
      <c r="C1485" s="18"/>
      <c r="D1485" s="4"/>
      <c r="E1485" s="19">
        <v>0.0</v>
      </c>
      <c r="F1485" s="19">
        <v>10.0</v>
      </c>
      <c r="G1485" s="16" t="s">
        <v>932</v>
      </c>
      <c r="H1485" s="21"/>
      <c r="I1485" s="22">
        <v>10.0</v>
      </c>
      <c r="J1485" s="29"/>
      <c r="K1485" s="43">
        <f t="shared" ref="K1485:K1486" si="201">2269*1.19</f>
        <v>2700.11</v>
      </c>
      <c r="L1485" s="44">
        <v>6000.0</v>
      </c>
      <c r="M1485" s="25"/>
      <c r="N1485" s="26"/>
      <c r="O1485" s="27">
        <f t="shared" si="196"/>
        <v>1.222131691</v>
      </c>
      <c r="P1485" s="28">
        <f t="shared" si="198"/>
        <v>27001.1</v>
      </c>
    </row>
    <row r="1486" hidden="1">
      <c r="A1486" s="16" t="s">
        <v>2220</v>
      </c>
      <c r="B1486" s="49"/>
      <c r="C1486" s="18"/>
      <c r="D1486" s="4"/>
      <c r="E1486" s="19">
        <v>0.0</v>
      </c>
      <c r="F1486" s="19">
        <v>10.0</v>
      </c>
      <c r="G1486" s="16" t="s">
        <v>932</v>
      </c>
      <c r="H1486" s="21"/>
      <c r="I1486" s="22">
        <v>10.0</v>
      </c>
      <c r="J1486" s="29"/>
      <c r="K1486" s="43">
        <f t="shared" si="201"/>
        <v>2700.11</v>
      </c>
      <c r="L1486" s="44">
        <v>6000.0</v>
      </c>
      <c r="M1486" s="25"/>
      <c r="N1486" s="26"/>
      <c r="O1486" s="27">
        <f t="shared" si="196"/>
        <v>1.222131691</v>
      </c>
      <c r="P1486" s="28">
        <f t="shared" si="198"/>
        <v>27001.1</v>
      </c>
    </row>
    <row r="1487" hidden="1">
      <c r="A1487" s="122" t="s">
        <v>2221</v>
      </c>
      <c r="B1487" s="17">
        <v>241060.0</v>
      </c>
      <c r="C1487" s="18"/>
      <c r="D1487" s="4"/>
      <c r="E1487" s="19">
        <v>0.0</v>
      </c>
      <c r="F1487" s="19">
        <v>0.0</v>
      </c>
      <c r="G1487" s="16" t="s">
        <v>659</v>
      </c>
      <c r="H1487" s="21"/>
      <c r="I1487" s="22">
        <v>20.0</v>
      </c>
      <c r="J1487" s="23"/>
      <c r="K1487" s="44">
        <f t="shared" ref="K1487:K1489" si="202">3786*1.19</f>
        <v>4505.34</v>
      </c>
      <c r="L1487" s="44">
        <v>9000.0</v>
      </c>
      <c r="M1487" s="25"/>
      <c r="N1487" s="26"/>
      <c r="O1487" s="27">
        <f t="shared" si="196"/>
        <v>0.9976294797</v>
      </c>
      <c r="P1487" s="28">
        <f t="shared" si="198"/>
        <v>0</v>
      </c>
    </row>
    <row r="1488" hidden="1">
      <c r="A1488" s="122" t="s">
        <v>2222</v>
      </c>
      <c r="B1488" s="17">
        <v>241058.0</v>
      </c>
      <c r="C1488" s="18"/>
      <c r="D1488" s="4"/>
      <c r="E1488" s="19">
        <v>0.0</v>
      </c>
      <c r="F1488" s="19">
        <v>0.0</v>
      </c>
      <c r="G1488" s="16" t="s">
        <v>659</v>
      </c>
      <c r="H1488" s="21"/>
      <c r="I1488" s="22">
        <v>20.0</v>
      </c>
      <c r="J1488" s="23"/>
      <c r="K1488" s="44">
        <f t="shared" si="202"/>
        <v>4505.34</v>
      </c>
      <c r="L1488" s="44">
        <v>9000.0</v>
      </c>
      <c r="M1488" s="25"/>
      <c r="N1488" s="70"/>
      <c r="O1488" s="27">
        <f t="shared" si="196"/>
        <v>0.9976294797</v>
      </c>
      <c r="P1488" s="28">
        <f t="shared" si="198"/>
        <v>0</v>
      </c>
    </row>
    <row r="1489" hidden="1">
      <c r="A1489" s="122" t="s">
        <v>2223</v>
      </c>
      <c r="B1489" s="17">
        <v>241059.0</v>
      </c>
      <c r="C1489" s="18"/>
      <c r="D1489" s="4"/>
      <c r="E1489" s="19">
        <v>0.0</v>
      </c>
      <c r="F1489" s="19">
        <v>0.0</v>
      </c>
      <c r="G1489" s="16" t="s">
        <v>659</v>
      </c>
      <c r="H1489" s="21"/>
      <c r="I1489" s="22">
        <v>20.0</v>
      </c>
      <c r="J1489" s="23"/>
      <c r="K1489" s="44">
        <f t="shared" si="202"/>
        <v>4505.34</v>
      </c>
      <c r="L1489" s="44">
        <v>9000.0</v>
      </c>
      <c r="M1489" s="25"/>
      <c r="N1489" s="70"/>
      <c r="O1489" s="27">
        <f t="shared" si="196"/>
        <v>0.9976294797</v>
      </c>
      <c r="P1489" s="28">
        <f t="shared" si="198"/>
        <v>0</v>
      </c>
    </row>
    <row r="1490" hidden="1">
      <c r="A1490" s="40" t="s">
        <v>2224</v>
      </c>
      <c r="B1490" s="17"/>
      <c r="C1490" s="18"/>
      <c r="D1490" s="4"/>
      <c r="E1490" s="19">
        <v>0.0</v>
      </c>
      <c r="F1490" s="19"/>
      <c r="G1490" s="16" t="s">
        <v>57</v>
      </c>
      <c r="H1490" s="21"/>
      <c r="I1490" s="22"/>
      <c r="J1490" s="29"/>
      <c r="K1490" s="43">
        <v>80000.0</v>
      </c>
      <c r="L1490" s="44">
        <v>150000.0</v>
      </c>
      <c r="M1490" s="25"/>
      <c r="N1490" s="26"/>
      <c r="O1490" s="27">
        <f t="shared" si="196"/>
        <v>0.875</v>
      </c>
      <c r="P1490" s="28">
        <f t="shared" si="198"/>
        <v>0</v>
      </c>
    </row>
    <row r="1491" hidden="1">
      <c r="A1491" s="16" t="s">
        <v>2225</v>
      </c>
      <c r="B1491" s="49"/>
      <c r="C1491" s="18"/>
      <c r="D1491" s="4"/>
      <c r="E1491" s="19"/>
      <c r="F1491" s="19"/>
      <c r="G1491" s="20" t="s">
        <v>98</v>
      </c>
      <c r="H1491" s="21">
        <v>0.0</v>
      </c>
      <c r="I1491" s="22"/>
      <c r="J1491" s="29"/>
      <c r="K1491" s="32">
        <v>6600.0</v>
      </c>
      <c r="L1491" s="24">
        <v>14000.0</v>
      </c>
      <c r="M1491" s="25"/>
      <c r="N1491" s="26">
        <v>11000.0</v>
      </c>
      <c r="O1491" s="27">
        <f t="shared" si="196"/>
        <v>1.121212121</v>
      </c>
      <c r="P1491" s="28">
        <f t="shared" si="198"/>
        <v>0</v>
      </c>
    </row>
    <row r="1492" hidden="1">
      <c r="A1492" s="16" t="s">
        <v>2226</v>
      </c>
      <c r="B1492" s="49"/>
      <c r="C1492" s="18"/>
      <c r="D1492" s="4"/>
      <c r="E1492" s="19"/>
      <c r="F1492" s="19"/>
      <c r="G1492" s="20" t="s">
        <v>98</v>
      </c>
      <c r="H1492" s="21">
        <v>0.0</v>
      </c>
      <c r="I1492" s="22"/>
      <c r="J1492" s="29"/>
      <c r="K1492" s="32">
        <v>6600.0</v>
      </c>
      <c r="L1492" s="24">
        <v>14000.0</v>
      </c>
      <c r="M1492" s="25"/>
      <c r="N1492" s="26"/>
      <c r="O1492" s="27">
        <f t="shared" si="196"/>
        <v>1.121212121</v>
      </c>
      <c r="P1492" s="28">
        <f t="shared" si="198"/>
        <v>0</v>
      </c>
    </row>
    <row r="1493" hidden="1">
      <c r="A1493" s="16" t="s">
        <v>2227</v>
      </c>
      <c r="B1493" s="49"/>
      <c r="C1493" s="18"/>
      <c r="D1493" s="4"/>
      <c r="E1493" s="19"/>
      <c r="F1493" s="19"/>
      <c r="G1493" s="20" t="s">
        <v>98</v>
      </c>
      <c r="H1493" s="21">
        <v>0.0</v>
      </c>
      <c r="I1493" s="22"/>
      <c r="J1493" s="29"/>
      <c r="K1493" s="32">
        <v>6600.0</v>
      </c>
      <c r="L1493" s="24">
        <v>14000.0</v>
      </c>
      <c r="M1493" s="25"/>
      <c r="N1493" s="26"/>
      <c r="O1493" s="27">
        <f t="shared" si="196"/>
        <v>1.121212121</v>
      </c>
      <c r="P1493" s="28">
        <f t="shared" si="198"/>
        <v>0</v>
      </c>
    </row>
    <row r="1494" hidden="1">
      <c r="A1494" s="40" t="s">
        <v>2228</v>
      </c>
      <c r="B1494" s="17"/>
      <c r="C1494" s="18"/>
      <c r="D1494" s="4"/>
      <c r="E1494" s="19">
        <v>0.0</v>
      </c>
      <c r="F1494" s="19"/>
      <c r="G1494" s="16" t="s">
        <v>57</v>
      </c>
      <c r="H1494" s="21"/>
      <c r="I1494" s="22"/>
      <c r="J1494" s="29"/>
      <c r="K1494" s="43">
        <v>250.0</v>
      </c>
      <c r="L1494" s="44">
        <v>1000.0</v>
      </c>
      <c r="M1494" s="25"/>
      <c r="N1494" s="26"/>
      <c r="O1494" s="27">
        <f t="shared" si="196"/>
        <v>3</v>
      </c>
      <c r="P1494" s="28">
        <f t="shared" si="198"/>
        <v>0</v>
      </c>
    </row>
    <row r="1495" hidden="1">
      <c r="A1495" s="52" t="s">
        <v>2229</v>
      </c>
      <c r="B1495" s="17"/>
      <c r="C1495" s="18"/>
      <c r="D1495" s="4"/>
      <c r="E1495" s="19">
        <v>0.0</v>
      </c>
      <c r="F1495" s="19">
        <v>0.0</v>
      </c>
      <c r="G1495" s="16" t="s">
        <v>2230</v>
      </c>
      <c r="H1495" s="21"/>
      <c r="I1495" s="22">
        <v>40.0</v>
      </c>
      <c r="J1495" s="29"/>
      <c r="K1495" s="32">
        <f>60518/200</f>
        <v>302.59</v>
      </c>
      <c r="L1495" s="24">
        <v>500.0</v>
      </c>
      <c r="M1495" s="25"/>
      <c r="N1495" s="26"/>
      <c r="O1495" s="27">
        <f t="shared" si="196"/>
        <v>0.6524009386</v>
      </c>
      <c r="P1495" s="28">
        <f t="shared" si="198"/>
        <v>0</v>
      </c>
    </row>
    <row r="1496" hidden="1">
      <c r="A1496" s="52" t="s">
        <v>2231</v>
      </c>
      <c r="B1496" s="17" t="s">
        <v>2232</v>
      </c>
      <c r="C1496" s="18"/>
      <c r="D1496" s="4"/>
      <c r="E1496" s="19">
        <v>0.0</v>
      </c>
      <c r="F1496" s="19">
        <v>0.0</v>
      </c>
      <c r="G1496" s="16" t="s">
        <v>2230</v>
      </c>
      <c r="H1496" s="21"/>
      <c r="I1496" s="22">
        <v>0.0</v>
      </c>
      <c r="J1496" s="29"/>
      <c r="K1496" s="32">
        <v>60518.0</v>
      </c>
      <c r="L1496" s="24">
        <v>80000.0</v>
      </c>
      <c r="M1496" s="25"/>
      <c r="N1496" s="26"/>
      <c r="O1496" s="27">
        <f t="shared" si="196"/>
        <v>0.3219207509</v>
      </c>
      <c r="P1496" s="28">
        <f t="shared" si="198"/>
        <v>0</v>
      </c>
    </row>
    <row r="1497" hidden="1">
      <c r="A1497" s="52" t="s">
        <v>2233</v>
      </c>
      <c r="B1497" s="17" t="s">
        <v>2234</v>
      </c>
      <c r="C1497" s="18"/>
      <c r="D1497" s="4"/>
      <c r="E1497" s="19">
        <v>0.0</v>
      </c>
      <c r="F1497" s="19">
        <v>0.0</v>
      </c>
      <c r="G1497" s="16" t="s">
        <v>2235</v>
      </c>
      <c r="H1497" s="21"/>
      <c r="I1497" s="22">
        <v>100.0</v>
      </c>
      <c r="J1497" s="29"/>
      <c r="K1497" s="32">
        <v>4760.0</v>
      </c>
      <c r="L1497" s="24">
        <v>8000.0</v>
      </c>
      <c r="M1497" s="25"/>
      <c r="N1497" s="26"/>
      <c r="O1497" s="27">
        <f t="shared" si="196"/>
        <v>0.6806722689</v>
      </c>
      <c r="P1497" s="28">
        <f t="shared" si="198"/>
        <v>0</v>
      </c>
    </row>
    <row r="1498" hidden="1">
      <c r="A1498" s="16" t="s">
        <v>2236</v>
      </c>
      <c r="B1498" s="17"/>
      <c r="C1498" s="261"/>
      <c r="D1498" s="67"/>
      <c r="E1498" s="19"/>
      <c r="F1498" s="19"/>
      <c r="G1498" s="16" t="s">
        <v>1435</v>
      </c>
      <c r="H1498" s="21"/>
      <c r="I1498" s="22">
        <v>50.0</v>
      </c>
      <c r="J1498" s="45"/>
      <c r="K1498" s="172">
        <f>27000/15</f>
        <v>1800</v>
      </c>
      <c r="L1498" s="44">
        <v>3000.0</v>
      </c>
      <c r="M1498" s="25"/>
      <c r="N1498" s="26"/>
      <c r="O1498" s="27">
        <f t="shared" si="196"/>
        <v>0.6666666667</v>
      </c>
      <c r="P1498" s="28">
        <f t="shared" si="198"/>
        <v>0</v>
      </c>
    </row>
    <row r="1499" hidden="1">
      <c r="A1499" s="16" t="s">
        <v>2237</v>
      </c>
      <c r="B1499" s="17"/>
      <c r="C1499" s="38"/>
      <c r="D1499" s="61"/>
      <c r="E1499" s="19"/>
      <c r="F1499" s="19"/>
      <c r="G1499" s="16" t="s">
        <v>2238</v>
      </c>
      <c r="H1499" s="21"/>
      <c r="I1499" s="22"/>
      <c r="J1499" s="23"/>
      <c r="K1499" s="44">
        <v>960.0</v>
      </c>
      <c r="L1499" s="44">
        <v>2000.0</v>
      </c>
      <c r="M1499" s="25"/>
      <c r="N1499" s="26"/>
      <c r="O1499" s="27">
        <f t="shared" si="196"/>
        <v>1.083333333</v>
      </c>
      <c r="P1499" s="28">
        <f t="shared" si="198"/>
        <v>0</v>
      </c>
    </row>
    <row r="1500" hidden="1">
      <c r="A1500" s="16" t="s">
        <v>2239</v>
      </c>
      <c r="B1500" s="17"/>
      <c r="C1500" s="38"/>
      <c r="D1500" s="61"/>
      <c r="E1500" s="19"/>
      <c r="F1500" s="19"/>
      <c r="G1500" s="16" t="s">
        <v>1435</v>
      </c>
      <c r="H1500" s="21"/>
      <c r="I1500" s="22">
        <v>100.0</v>
      </c>
      <c r="J1500" s="29"/>
      <c r="K1500" s="43">
        <f>48807/50</f>
        <v>976.14</v>
      </c>
      <c r="L1500" s="44">
        <v>3000.0</v>
      </c>
      <c r="M1500" s="25"/>
      <c r="N1500" s="26"/>
      <c r="O1500" s="27">
        <f t="shared" si="196"/>
        <v>2.073329645</v>
      </c>
      <c r="P1500" s="28">
        <f t="shared" si="198"/>
        <v>0</v>
      </c>
    </row>
    <row r="1501" hidden="1">
      <c r="A1501" s="16" t="s">
        <v>2240</v>
      </c>
      <c r="B1501" s="17"/>
      <c r="C1501" s="38"/>
      <c r="D1501" s="4"/>
      <c r="E1501" s="19">
        <v>0.0</v>
      </c>
      <c r="F1501" s="19">
        <v>0.0</v>
      </c>
      <c r="G1501" s="16"/>
      <c r="H1501" s="21"/>
      <c r="I1501" s="22">
        <f>16*12</f>
        <v>192</v>
      </c>
      <c r="J1501" s="45"/>
      <c r="K1501" s="172"/>
      <c r="L1501" s="44"/>
      <c r="M1501" s="25"/>
      <c r="N1501" s="26"/>
      <c r="O1501" s="27" t="str">
        <f t="shared" si="196"/>
        <v>#DIV/0!</v>
      </c>
      <c r="P1501" s="28"/>
    </row>
    <row r="1502" hidden="1">
      <c r="A1502" s="16" t="s">
        <v>2241</v>
      </c>
      <c r="B1502" s="17"/>
      <c r="C1502" s="38"/>
      <c r="D1502" s="61"/>
      <c r="E1502" s="19"/>
      <c r="F1502" s="19"/>
      <c r="G1502" s="16" t="s">
        <v>1435</v>
      </c>
      <c r="H1502" s="21"/>
      <c r="I1502" s="22">
        <v>100.0</v>
      </c>
      <c r="J1502" s="45"/>
      <c r="K1502" s="172">
        <f>15000/8</f>
        <v>1875</v>
      </c>
      <c r="L1502" s="44">
        <v>3000.0</v>
      </c>
      <c r="M1502" s="25"/>
      <c r="N1502" s="26"/>
      <c r="O1502" s="27">
        <f t="shared" si="196"/>
        <v>0.6</v>
      </c>
      <c r="P1502" s="28">
        <f t="shared" ref="P1502:P1504" si="203">K1502*F1502</f>
        <v>0</v>
      </c>
    </row>
    <row r="1503" hidden="1">
      <c r="A1503" s="16" t="s">
        <v>2242</v>
      </c>
      <c r="B1503" s="17" t="s">
        <v>2243</v>
      </c>
      <c r="C1503" s="38"/>
      <c r="D1503" s="61"/>
      <c r="E1503" s="19"/>
      <c r="F1503" s="19"/>
      <c r="G1503" s="16" t="s">
        <v>1435</v>
      </c>
      <c r="H1503" s="21"/>
      <c r="I1503" s="22">
        <v>100.0</v>
      </c>
      <c r="J1503" s="29"/>
      <c r="K1503" s="48">
        <v>1594.0</v>
      </c>
      <c r="L1503" s="55">
        <v>3000.0</v>
      </c>
      <c r="M1503" s="25"/>
      <c r="N1503" s="26"/>
      <c r="O1503" s="27">
        <f t="shared" si="196"/>
        <v>0.8820577164</v>
      </c>
      <c r="P1503" s="28">
        <f t="shared" si="203"/>
        <v>0</v>
      </c>
    </row>
    <row r="1504" hidden="1">
      <c r="A1504" s="16" t="s">
        <v>2244</v>
      </c>
      <c r="B1504" s="17"/>
      <c r="C1504" s="38"/>
      <c r="D1504" s="61"/>
      <c r="E1504" s="19"/>
      <c r="F1504" s="19"/>
      <c r="G1504" s="16" t="s">
        <v>1435</v>
      </c>
      <c r="H1504" s="21"/>
      <c r="I1504" s="22">
        <v>300.0</v>
      </c>
      <c r="J1504" s="45"/>
      <c r="K1504" s="172">
        <f>58080/50</f>
        <v>1161.6</v>
      </c>
      <c r="L1504" s="44">
        <v>3000.0</v>
      </c>
      <c r="M1504" s="25"/>
      <c r="N1504" s="26"/>
      <c r="O1504" s="27">
        <f t="shared" si="196"/>
        <v>1.582644628</v>
      </c>
      <c r="P1504" s="28">
        <f t="shared" si="203"/>
        <v>0</v>
      </c>
    </row>
    <row r="1505" hidden="1">
      <c r="A1505" s="16" t="s">
        <v>2245</v>
      </c>
      <c r="B1505" s="49" t="s">
        <v>2246</v>
      </c>
      <c r="C1505" s="18"/>
      <c r="D1505" s="4"/>
      <c r="E1505" s="19">
        <v>0.0</v>
      </c>
      <c r="F1505" s="19">
        <v>0.0</v>
      </c>
      <c r="G1505" s="16" t="s">
        <v>2247</v>
      </c>
      <c r="H1505" s="21"/>
      <c r="I1505" s="22"/>
      <c r="J1505" s="23"/>
      <c r="K1505" s="24">
        <v>14900.0</v>
      </c>
      <c r="L1505" s="24">
        <v>20000.0</v>
      </c>
      <c r="M1505" s="25" t="s">
        <v>76</v>
      </c>
      <c r="N1505" s="31"/>
      <c r="O1505" s="27">
        <f t="shared" si="196"/>
        <v>0.3422818792</v>
      </c>
      <c r="P1505" s="28" t="str">
        <f t="shared" ref="P1505:P1506" si="204">K1505*#REF!</f>
        <v>#REF!</v>
      </c>
    </row>
    <row r="1506" hidden="1">
      <c r="A1506" s="16" t="s">
        <v>2248</v>
      </c>
      <c r="B1506" s="49" t="s">
        <v>2246</v>
      </c>
      <c r="C1506" s="18"/>
      <c r="D1506" s="4"/>
      <c r="E1506" s="19">
        <v>0.0</v>
      </c>
      <c r="F1506" s="19">
        <v>0.0</v>
      </c>
      <c r="G1506" s="16" t="s">
        <v>2247</v>
      </c>
      <c r="H1506" s="21"/>
      <c r="I1506" s="22"/>
      <c r="J1506" s="23"/>
      <c r="K1506" s="24">
        <v>14530.0</v>
      </c>
      <c r="L1506" s="24">
        <v>20000.0</v>
      </c>
      <c r="M1506" s="25" t="s">
        <v>76</v>
      </c>
      <c r="N1506" s="31"/>
      <c r="O1506" s="27">
        <f t="shared" si="196"/>
        <v>0.3764624914</v>
      </c>
      <c r="P1506" s="28" t="str">
        <f t="shared" si="204"/>
        <v>#REF!</v>
      </c>
    </row>
    <row r="1507" hidden="1">
      <c r="A1507" s="16" t="s">
        <v>2249</v>
      </c>
      <c r="B1507" s="36"/>
      <c r="C1507" s="18"/>
      <c r="D1507" s="4"/>
      <c r="E1507" s="19">
        <v>10.0</v>
      </c>
      <c r="F1507" s="19">
        <v>0.0</v>
      </c>
      <c r="G1507" s="16" t="s">
        <v>93</v>
      </c>
      <c r="H1507" s="21"/>
      <c r="I1507" s="22"/>
      <c r="J1507" s="29"/>
      <c r="K1507" s="43">
        <f>50000/24</f>
        <v>2083.333333</v>
      </c>
      <c r="L1507" s="44">
        <v>4000.0</v>
      </c>
      <c r="M1507" s="25"/>
      <c r="N1507" s="26"/>
      <c r="O1507" s="27">
        <f t="shared" si="196"/>
        <v>0.92</v>
      </c>
      <c r="P1507" s="28">
        <f>K1507*F1507</f>
        <v>0</v>
      </c>
    </row>
    <row r="1508" hidden="1">
      <c r="A1508" s="187" t="s">
        <v>2250</v>
      </c>
      <c r="B1508" s="17"/>
      <c r="C1508" s="18"/>
      <c r="D1508" s="4"/>
      <c r="E1508" s="19">
        <v>0.0</v>
      </c>
      <c r="F1508" s="19">
        <v>0.0</v>
      </c>
      <c r="G1508" s="16" t="s">
        <v>154</v>
      </c>
      <c r="H1508" s="21"/>
      <c r="I1508" s="22"/>
      <c r="J1508" s="29"/>
      <c r="K1508" s="48">
        <v>3000.0</v>
      </c>
      <c r="L1508" s="55">
        <v>4000.0</v>
      </c>
      <c r="M1508" s="25"/>
      <c r="N1508" s="26">
        <v>3000.0</v>
      </c>
      <c r="O1508" s="27"/>
      <c r="P1508" s="28"/>
    </row>
    <row r="1509" hidden="1">
      <c r="A1509" s="187" t="s">
        <v>2251</v>
      </c>
      <c r="B1509" s="36"/>
      <c r="C1509" s="18"/>
      <c r="D1509" s="4"/>
      <c r="E1509" s="19"/>
      <c r="F1509" s="19"/>
      <c r="G1509" s="16" t="s">
        <v>154</v>
      </c>
      <c r="H1509" s="21"/>
      <c r="I1509" s="22"/>
      <c r="J1509" s="23"/>
      <c r="K1509" s="55">
        <v>47600.0</v>
      </c>
      <c r="L1509" s="55">
        <v>59500.0</v>
      </c>
      <c r="M1509" s="25"/>
      <c r="N1509" s="163">
        <v>54000.0</v>
      </c>
      <c r="O1509" s="27"/>
      <c r="P1509" s="28"/>
    </row>
    <row r="1510" hidden="1">
      <c r="A1510" s="16" t="s">
        <v>2252</v>
      </c>
      <c r="B1510" s="17"/>
      <c r="C1510" s="18"/>
      <c r="D1510" s="4"/>
      <c r="E1510" s="19">
        <v>0.0</v>
      </c>
      <c r="F1510" s="19">
        <v>0.0</v>
      </c>
      <c r="G1510" s="16" t="s">
        <v>792</v>
      </c>
      <c r="H1510" s="21"/>
      <c r="I1510" s="22">
        <v>0.0</v>
      </c>
      <c r="J1510" s="29"/>
      <c r="K1510" s="48">
        <v>90000.0</v>
      </c>
      <c r="L1510" s="55">
        <v>170000.0</v>
      </c>
      <c r="M1510" s="25"/>
      <c r="N1510" s="26"/>
      <c r="O1510" s="27">
        <f t="shared" ref="O1510:O1511" si="205">(L1510/K1510)-1</f>
        <v>0.8888888889</v>
      </c>
      <c r="P1510" s="28">
        <f t="shared" ref="P1510:P1511" si="206">K1510*F1510</f>
        <v>0</v>
      </c>
    </row>
    <row r="1511" hidden="1">
      <c r="A1511" s="16" t="s">
        <v>2253</v>
      </c>
      <c r="B1511" s="17"/>
      <c r="C1511" s="18"/>
      <c r="D1511" s="4"/>
      <c r="E1511" s="19">
        <v>0.0</v>
      </c>
      <c r="F1511" s="19">
        <v>0.0</v>
      </c>
      <c r="G1511" s="16" t="s">
        <v>792</v>
      </c>
      <c r="H1511" s="21"/>
      <c r="I1511" s="22">
        <v>0.0</v>
      </c>
      <c r="J1511" s="29"/>
      <c r="K1511" s="48">
        <f>90000/5</f>
        <v>18000</v>
      </c>
      <c r="L1511" s="55">
        <v>50000.0</v>
      </c>
      <c r="M1511" s="25"/>
      <c r="N1511" s="26"/>
      <c r="O1511" s="27">
        <f t="shared" si="205"/>
        <v>1.777777778</v>
      </c>
      <c r="P1511" s="28">
        <f t="shared" si="206"/>
        <v>0</v>
      </c>
    </row>
    <row r="1512" hidden="1">
      <c r="A1512" s="42" t="s">
        <v>2254</v>
      </c>
      <c r="B1512" s="71"/>
      <c r="C1512" s="18"/>
      <c r="D1512" s="4"/>
      <c r="E1512" s="19"/>
      <c r="F1512" s="19"/>
      <c r="G1512" s="20" t="s">
        <v>2255</v>
      </c>
      <c r="H1512" s="21"/>
      <c r="I1512" s="22"/>
      <c r="J1512" s="29"/>
      <c r="K1512" s="48">
        <v>36000.0</v>
      </c>
      <c r="L1512" s="55">
        <v>45000.0</v>
      </c>
      <c r="M1512" s="25"/>
      <c r="N1512" s="102"/>
      <c r="O1512" s="27"/>
      <c r="P1512" s="28"/>
    </row>
    <row r="1513" hidden="1">
      <c r="A1513" s="16" t="s">
        <v>2256</v>
      </c>
      <c r="B1513" s="17"/>
      <c r="C1513" s="18"/>
      <c r="D1513" s="4"/>
      <c r="E1513" s="19">
        <v>0.0</v>
      </c>
      <c r="F1513" s="19">
        <v>0.0</v>
      </c>
      <c r="G1513" s="16" t="s">
        <v>16</v>
      </c>
      <c r="H1513" s="21"/>
      <c r="I1513" s="22">
        <v>8.0</v>
      </c>
      <c r="J1513" s="29"/>
      <c r="K1513" s="43">
        <v>140000.0</v>
      </c>
      <c r="L1513" s="44">
        <v>250000.0</v>
      </c>
      <c r="M1513" s="25"/>
      <c r="N1513" s="26"/>
      <c r="O1513" s="262">
        <f>(L1513/K1513)-1</f>
        <v>0.7857142857</v>
      </c>
      <c r="P1513" s="28">
        <f>K1513*F1513</f>
        <v>0</v>
      </c>
    </row>
    <row r="1514" hidden="1">
      <c r="A1514" s="16" t="s">
        <v>2257</v>
      </c>
      <c r="B1514" s="17"/>
      <c r="C1514" s="18"/>
      <c r="D1514" s="4"/>
      <c r="E1514" s="19">
        <v>0.0</v>
      </c>
      <c r="F1514" s="19">
        <v>0.0</v>
      </c>
      <c r="G1514" s="16" t="s">
        <v>400</v>
      </c>
      <c r="H1514" s="21"/>
      <c r="I1514" s="22"/>
      <c r="J1514" s="29"/>
      <c r="K1514" s="30">
        <v>170210.0</v>
      </c>
      <c r="L1514" s="186">
        <v>290000.0</v>
      </c>
      <c r="M1514" s="25"/>
      <c r="N1514" s="26"/>
      <c r="O1514" s="27"/>
      <c r="P1514" s="28"/>
    </row>
    <row r="1515" hidden="1">
      <c r="A1515" s="16" t="s">
        <v>2258</v>
      </c>
      <c r="B1515" s="17"/>
      <c r="C1515" s="18"/>
      <c r="D1515" s="19"/>
      <c r="E1515" s="19">
        <v>0.0</v>
      </c>
      <c r="F1515" s="19"/>
      <c r="G1515" s="16" t="s">
        <v>2259</v>
      </c>
      <c r="H1515" s="21"/>
      <c r="I1515" s="263"/>
      <c r="J1515" s="29"/>
      <c r="K1515" s="43">
        <f>157857*1.19</f>
        <v>187849.83</v>
      </c>
      <c r="L1515" s="43">
        <v>250000.0</v>
      </c>
      <c r="M1515" s="25"/>
      <c r="N1515" s="26"/>
      <c r="O1515" s="27">
        <f t="shared" ref="O1515:O1546" si="207">(L1515/K1515)-1</f>
        <v>0.3308502861</v>
      </c>
      <c r="P1515" s="28">
        <f t="shared" ref="P1515:P1519" si="208">K1515*F1515</f>
        <v>0</v>
      </c>
    </row>
    <row r="1516" hidden="1">
      <c r="A1516" s="16" t="s">
        <v>2260</v>
      </c>
      <c r="B1516" s="17"/>
      <c r="C1516" s="18"/>
      <c r="D1516" s="4"/>
      <c r="E1516" s="19">
        <v>0.0</v>
      </c>
      <c r="F1516" s="19">
        <v>0.0</v>
      </c>
      <c r="G1516" s="16" t="s">
        <v>16</v>
      </c>
      <c r="H1516" s="21"/>
      <c r="I1516" s="22">
        <v>0.0</v>
      </c>
      <c r="J1516" s="29"/>
      <c r="K1516" s="43">
        <v>122670.0</v>
      </c>
      <c r="L1516" s="43">
        <v>220000.0</v>
      </c>
      <c r="M1516" s="25"/>
      <c r="N1516" s="26"/>
      <c r="O1516" s="264">
        <f t="shared" si="207"/>
        <v>0.7934295264</v>
      </c>
      <c r="P1516" s="28">
        <f t="shared" si="208"/>
        <v>0</v>
      </c>
    </row>
    <row r="1517" hidden="1">
      <c r="A1517" s="40" t="s">
        <v>2261</v>
      </c>
      <c r="B1517" s="17"/>
      <c r="C1517" s="18"/>
      <c r="D1517" s="4"/>
      <c r="E1517" s="19">
        <v>0.0</v>
      </c>
      <c r="F1517" s="19"/>
      <c r="G1517" s="16" t="s">
        <v>57</v>
      </c>
      <c r="H1517" s="21"/>
      <c r="I1517" s="22"/>
      <c r="J1517" s="29"/>
      <c r="K1517" s="43">
        <v>800.0</v>
      </c>
      <c r="L1517" s="44">
        <v>1200.0</v>
      </c>
      <c r="M1517" s="25"/>
      <c r="N1517" s="26"/>
      <c r="O1517" s="27">
        <f t="shared" si="207"/>
        <v>0.5</v>
      </c>
      <c r="P1517" s="28">
        <f t="shared" si="208"/>
        <v>0</v>
      </c>
    </row>
    <row r="1518" hidden="1">
      <c r="A1518" s="59" t="s">
        <v>2262</v>
      </c>
      <c r="B1518" s="142"/>
      <c r="C1518" s="18"/>
      <c r="D1518" s="4" t="s">
        <v>676</v>
      </c>
      <c r="E1518" s="19">
        <v>0.0</v>
      </c>
      <c r="F1518" s="19">
        <v>1.0</v>
      </c>
      <c r="G1518" s="16" t="s">
        <v>670</v>
      </c>
      <c r="H1518" s="21"/>
      <c r="I1518" s="22">
        <v>30.0</v>
      </c>
      <c r="J1518" s="29"/>
      <c r="K1518" s="43">
        <f>43000*1.19</f>
        <v>51170</v>
      </c>
      <c r="L1518" s="44">
        <v>90000.0</v>
      </c>
      <c r="M1518" s="25"/>
      <c r="N1518" s="26"/>
      <c r="O1518" s="27">
        <f t="shared" si="207"/>
        <v>0.7588430721</v>
      </c>
      <c r="P1518" s="28">
        <f t="shared" si="208"/>
        <v>51170</v>
      </c>
    </row>
    <row r="1519" hidden="1">
      <c r="A1519" s="59" t="s">
        <v>2262</v>
      </c>
      <c r="B1519" s="142" t="s">
        <v>2263</v>
      </c>
      <c r="C1519" s="18"/>
      <c r="D1519" s="4" t="s">
        <v>1148</v>
      </c>
      <c r="E1519" s="19">
        <v>0.0</v>
      </c>
      <c r="F1519" s="19">
        <v>1.0</v>
      </c>
      <c r="G1519" s="16" t="s">
        <v>2264</v>
      </c>
      <c r="H1519" s="21"/>
      <c r="I1519" s="22">
        <v>0.0</v>
      </c>
      <c r="J1519" s="29"/>
      <c r="K1519" s="48">
        <v>41650.0</v>
      </c>
      <c r="L1519" s="55">
        <v>80000.0</v>
      </c>
      <c r="M1519" s="25"/>
      <c r="N1519" s="26"/>
      <c r="O1519" s="27">
        <f t="shared" si="207"/>
        <v>0.9207683073</v>
      </c>
      <c r="P1519" s="28">
        <f t="shared" si="208"/>
        <v>41650</v>
      </c>
    </row>
    <row r="1520" hidden="1">
      <c r="A1520" s="59" t="s">
        <v>2265</v>
      </c>
      <c r="B1520" s="142"/>
      <c r="C1520" s="18"/>
      <c r="D1520" s="4"/>
      <c r="E1520" s="19">
        <v>0.0</v>
      </c>
      <c r="F1520" s="19">
        <v>0.0</v>
      </c>
      <c r="G1520" s="16" t="s">
        <v>671</v>
      </c>
      <c r="H1520" s="21"/>
      <c r="I1520" s="22">
        <v>0.0</v>
      </c>
      <c r="J1520" s="29"/>
      <c r="K1520" s="48">
        <f>41650/72</f>
        <v>578.4722222</v>
      </c>
      <c r="L1520" s="55">
        <v>2000.0</v>
      </c>
      <c r="M1520" s="25"/>
      <c r="N1520" s="26"/>
      <c r="O1520" s="27">
        <f t="shared" si="207"/>
        <v>2.457382953</v>
      </c>
      <c r="P1520" s="28">
        <f>K1520*F1539</f>
        <v>0</v>
      </c>
    </row>
    <row r="1521" hidden="1">
      <c r="A1521" s="16" t="s">
        <v>2266</v>
      </c>
      <c r="B1521" s="17"/>
      <c r="C1521" s="18"/>
      <c r="D1521" s="4"/>
      <c r="E1521" s="19">
        <v>0.0</v>
      </c>
      <c r="F1521" s="19"/>
      <c r="G1521" s="16" t="s">
        <v>767</v>
      </c>
      <c r="H1521" s="21"/>
      <c r="I1521" s="22"/>
      <c r="J1521" s="29"/>
      <c r="K1521" s="43">
        <v>4690000.0</v>
      </c>
      <c r="L1521" s="125">
        <f>K1521*1.2</f>
        <v>5628000</v>
      </c>
      <c r="M1521" s="25"/>
      <c r="N1521" s="26"/>
      <c r="O1521" s="27">
        <f t="shared" si="207"/>
        <v>0.2</v>
      </c>
      <c r="P1521" s="28">
        <f t="shared" ref="P1521:P1538" si="209">K1521*F1521</f>
        <v>0</v>
      </c>
    </row>
    <row r="1522" hidden="1">
      <c r="A1522" s="16" t="s">
        <v>2267</v>
      </c>
      <c r="B1522" s="17"/>
      <c r="C1522" s="18"/>
      <c r="D1522" s="4"/>
      <c r="E1522" s="19">
        <v>0.0</v>
      </c>
      <c r="F1522" s="19"/>
      <c r="G1522" s="16" t="s">
        <v>767</v>
      </c>
      <c r="H1522" s="21"/>
      <c r="I1522" s="22"/>
      <c r="J1522" s="29"/>
      <c r="K1522" s="43">
        <v>3960000.0</v>
      </c>
      <c r="L1522" s="44">
        <v>4800000.0</v>
      </c>
      <c r="M1522" s="25"/>
      <c r="N1522" s="26"/>
      <c r="O1522" s="27">
        <f t="shared" si="207"/>
        <v>0.2121212121</v>
      </c>
      <c r="P1522" s="28">
        <f t="shared" si="209"/>
        <v>0</v>
      </c>
    </row>
    <row r="1523" hidden="1">
      <c r="A1523" s="16" t="s">
        <v>2268</v>
      </c>
      <c r="B1523" s="36"/>
      <c r="C1523" s="18"/>
      <c r="D1523" s="4"/>
      <c r="E1523" s="19">
        <v>1.0</v>
      </c>
      <c r="F1523" s="19">
        <v>0.0</v>
      </c>
      <c r="G1523" s="16" t="s">
        <v>2269</v>
      </c>
      <c r="H1523" s="21"/>
      <c r="I1523" s="22"/>
      <c r="J1523" s="58">
        <v>45962.0</v>
      </c>
      <c r="K1523" s="32">
        <v>34270.0</v>
      </c>
      <c r="L1523" s="24">
        <v>42000.0</v>
      </c>
      <c r="M1523" s="25"/>
      <c r="N1523" s="26"/>
      <c r="O1523" s="27">
        <f t="shared" si="207"/>
        <v>0.2255617158</v>
      </c>
      <c r="P1523" s="28">
        <f t="shared" si="209"/>
        <v>0</v>
      </c>
    </row>
    <row r="1524" hidden="1">
      <c r="A1524" s="16" t="s">
        <v>2270</v>
      </c>
      <c r="B1524" s="36"/>
      <c r="C1524" s="18"/>
      <c r="D1524" s="4"/>
      <c r="E1524" s="19">
        <v>0.0</v>
      </c>
      <c r="F1524" s="19"/>
      <c r="G1524" s="16" t="s">
        <v>575</v>
      </c>
      <c r="H1524" s="21"/>
      <c r="I1524" s="22"/>
      <c r="J1524" s="29"/>
      <c r="K1524" s="43">
        <v>3400.0</v>
      </c>
      <c r="L1524" s="44">
        <v>6000.0</v>
      </c>
      <c r="M1524" s="25"/>
      <c r="N1524" s="26"/>
      <c r="O1524" s="27">
        <f t="shared" si="207"/>
        <v>0.7647058824</v>
      </c>
      <c r="P1524" s="28">
        <f t="shared" si="209"/>
        <v>0</v>
      </c>
    </row>
    <row r="1525" hidden="1">
      <c r="A1525" s="16" t="s">
        <v>2271</v>
      </c>
      <c r="B1525" s="36"/>
      <c r="C1525" s="18" t="s">
        <v>328</v>
      </c>
      <c r="D1525" s="4"/>
      <c r="E1525" s="19">
        <v>0.0</v>
      </c>
      <c r="F1525" s="19">
        <v>0.0</v>
      </c>
      <c r="G1525" s="16" t="s">
        <v>590</v>
      </c>
      <c r="H1525" s="21">
        <v>0.0</v>
      </c>
      <c r="I1525" s="22">
        <v>5.0</v>
      </c>
      <c r="J1525" s="29"/>
      <c r="K1525" s="24">
        <v>3995.0</v>
      </c>
      <c r="L1525" s="24">
        <v>7000.0</v>
      </c>
      <c r="M1525" s="25"/>
      <c r="N1525" s="31"/>
      <c r="O1525" s="27">
        <f t="shared" si="207"/>
        <v>0.7521902378</v>
      </c>
      <c r="P1525" s="28">
        <f t="shared" si="209"/>
        <v>0</v>
      </c>
    </row>
    <row r="1526" hidden="1">
      <c r="A1526" s="16" t="s">
        <v>2272</v>
      </c>
      <c r="B1526" s="36"/>
      <c r="C1526" s="18" t="s">
        <v>2273</v>
      </c>
      <c r="D1526" s="61"/>
      <c r="E1526" s="19"/>
      <c r="F1526" s="19"/>
      <c r="G1526" s="16" t="s">
        <v>1626</v>
      </c>
      <c r="H1526" s="160" t="s">
        <v>2274</v>
      </c>
      <c r="I1526" s="160">
        <v>22.0</v>
      </c>
      <c r="J1526" s="162">
        <v>45809.0</v>
      </c>
      <c r="K1526" s="60">
        <v>87120.0</v>
      </c>
      <c r="L1526" s="55">
        <v>120000.0</v>
      </c>
      <c r="M1526" s="25"/>
      <c r="N1526" s="265">
        <v>70000.0</v>
      </c>
      <c r="O1526" s="27">
        <f t="shared" si="207"/>
        <v>0.3774104683</v>
      </c>
      <c r="P1526" s="28">
        <f t="shared" si="209"/>
        <v>0</v>
      </c>
    </row>
    <row r="1527" hidden="1">
      <c r="A1527" s="16" t="s">
        <v>2275</v>
      </c>
      <c r="B1527" s="36"/>
      <c r="C1527" s="18" t="s">
        <v>2276</v>
      </c>
      <c r="D1527" s="67"/>
      <c r="E1527" s="19"/>
      <c r="F1527" s="19"/>
      <c r="G1527" s="16" t="s">
        <v>1626</v>
      </c>
      <c r="H1527" s="21"/>
      <c r="I1527" s="22">
        <v>5.0</v>
      </c>
      <c r="J1527" s="45"/>
      <c r="K1527" s="60">
        <v>91000.0</v>
      </c>
      <c r="L1527" s="55">
        <v>120000.0</v>
      </c>
      <c r="M1527" s="25"/>
      <c r="N1527" s="26">
        <v>100000.0</v>
      </c>
      <c r="O1527" s="27">
        <f t="shared" si="207"/>
        <v>0.3186813187</v>
      </c>
      <c r="P1527" s="28">
        <f t="shared" si="209"/>
        <v>0</v>
      </c>
    </row>
    <row r="1528" hidden="1">
      <c r="A1528" s="224" t="s">
        <v>2277</v>
      </c>
      <c r="B1528" s="36"/>
      <c r="C1528" s="18" t="s">
        <v>2276</v>
      </c>
      <c r="D1528" s="4"/>
      <c r="E1528" s="19">
        <v>0.0</v>
      </c>
      <c r="F1528" s="19">
        <v>0.0</v>
      </c>
      <c r="G1528" s="16" t="s">
        <v>93</v>
      </c>
      <c r="H1528" s="21"/>
      <c r="I1528" s="22">
        <v>0.0</v>
      </c>
      <c r="J1528" s="29"/>
      <c r="K1528" s="48">
        <v>96500.0</v>
      </c>
      <c r="L1528" s="55">
        <v>120500.0</v>
      </c>
      <c r="M1528" s="25"/>
      <c r="N1528" s="26"/>
      <c r="O1528" s="27">
        <f t="shared" si="207"/>
        <v>0.2487046632</v>
      </c>
      <c r="P1528" s="28">
        <f t="shared" si="209"/>
        <v>0</v>
      </c>
    </row>
    <row r="1529" hidden="1">
      <c r="A1529" s="224" t="s">
        <v>2278</v>
      </c>
      <c r="B1529" s="36"/>
      <c r="C1529" s="18" t="s">
        <v>2279</v>
      </c>
      <c r="D1529" s="4"/>
      <c r="E1529" s="19">
        <v>0.0</v>
      </c>
      <c r="F1529" s="19">
        <v>0.0</v>
      </c>
      <c r="G1529" s="16" t="s">
        <v>1210</v>
      </c>
      <c r="H1529" s="21"/>
      <c r="I1529" s="22">
        <v>0.0</v>
      </c>
      <c r="J1529" s="29"/>
      <c r="K1529" s="48">
        <f>164800/2</f>
        <v>82400</v>
      </c>
      <c r="L1529" s="55">
        <v>120000.0</v>
      </c>
      <c r="M1529" s="25"/>
      <c r="N1529" s="26">
        <v>100000.0</v>
      </c>
      <c r="O1529" s="27">
        <f t="shared" si="207"/>
        <v>0.4563106796</v>
      </c>
      <c r="P1529" s="28">
        <f t="shared" si="209"/>
        <v>0</v>
      </c>
    </row>
    <row r="1530" hidden="1">
      <c r="A1530" s="224" t="s">
        <v>2280</v>
      </c>
      <c r="B1530" s="36"/>
      <c r="C1530" s="18" t="s">
        <v>2279</v>
      </c>
      <c r="D1530" s="4"/>
      <c r="E1530" s="19">
        <v>0.0</v>
      </c>
      <c r="F1530" s="19">
        <v>0.0</v>
      </c>
      <c r="G1530" s="16" t="s">
        <v>93</v>
      </c>
      <c r="H1530" s="21"/>
      <c r="I1530" s="22">
        <v>0.0</v>
      </c>
      <c r="J1530" s="29"/>
      <c r="K1530" s="48">
        <v>92600.0</v>
      </c>
      <c r="L1530" s="55">
        <v>115700.0</v>
      </c>
      <c r="M1530" s="25"/>
      <c r="N1530" s="26"/>
      <c r="O1530" s="27">
        <f t="shared" si="207"/>
        <v>0.2494600432</v>
      </c>
      <c r="P1530" s="28">
        <f t="shared" si="209"/>
        <v>0</v>
      </c>
    </row>
    <row r="1531" hidden="1">
      <c r="A1531" s="16" t="s">
        <v>2281</v>
      </c>
      <c r="B1531" s="51" t="s">
        <v>2282</v>
      </c>
      <c r="C1531" s="18" t="s">
        <v>2279</v>
      </c>
      <c r="D1531" s="67"/>
      <c r="E1531" s="19"/>
      <c r="F1531" s="19"/>
      <c r="G1531" s="16" t="s">
        <v>1626</v>
      </c>
      <c r="H1531" s="21"/>
      <c r="I1531" s="22">
        <v>41.0</v>
      </c>
      <c r="J1531" s="45"/>
      <c r="K1531" s="60">
        <v>87120.0</v>
      </c>
      <c r="L1531" s="55">
        <v>120000.0</v>
      </c>
      <c r="M1531" s="25"/>
      <c r="N1531" s="26"/>
      <c r="O1531" s="27">
        <f t="shared" si="207"/>
        <v>0.3774104683</v>
      </c>
      <c r="P1531" s="28">
        <f t="shared" si="209"/>
        <v>0</v>
      </c>
    </row>
    <row r="1532" hidden="1">
      <c r="A1532" s="16" t="s">
        <v>2283</v>
      </c>
      <c r="B1532" s="36" t="s">
        <v>2284</v>
      </c>
      <c r="C1532" s="18" t="s">
        <v>2279</v>
      </c>
      <c r="D1532" s="4"/>
      <c r="E1532" s="19">
        <v>0.0</v>
      </c>
      <c r="F1532" s="19">
        <v>12.0</v>
      </c>
      <c r="G1532" s="20" t="s">
        <v>48</v>
      </c>
      <c r="H1532" s="21"/>
      <c r="I1532" s="22">
        <v>0.0</v>
      </c>
      <c r="J1532" s="29"/>
      <c r="K1532" s="48">
        <v>114500.0</v>
      </c>
      <c r="L1532" s="55">
        <v>160000.0</v>
      </c>
      <c r="M1532" s="25"/>
      <c r="N1532" s="26"/>
      <c r="O1532" s="27">
        <f t="shared" si="207"/>
        <v>0.3973799127</v>
      </c>
      <c r="P1532" s="28">
        <f t="shared" si="209"/>
        <v>1374000</v>
      </c>
    </row>
    <row r="1533" hidden="1">
      <c r="A1533" s="16" t="s">
        <v>2285</v>
      </c>
      <c r="B1533" s="17" t="s">
        <v>2286</v>
      </c>
      <c r="C1533" s="18"/>
      <c r="D1533" s="4"/>
      <c r="E1533" s="19">
        <v>0.0</v>
      </c>
      <c r="F1533" s="19">
        <v>0.0</v>
      </c>
      <c r="G1533" s="266" t="s">
        <v>513</v>
      </c>
      <c r="H1533" s="21"/>
      <c r="I1533" s="22">
        <v>20.0</v>
      </c>
      <c r="J1533" s="29"/>
      <c r="K1533" s="32">
        <f>6664/12</f>
        <v>555.3333333</v>
      </c>
      <c r="L1533" s="24">
        <v>1500.0</v>
      </c>
      <c r="M1533" s="25"/>
      <c r="N1533" s="26"/>
      <c r="O1533" s="27">
        <f t="shared" si="207"/>
        <v>1.701080432</v>
      </c>
      <c r="P1533" s="28">
        <f t="shared" si="209"/>
        <v>0</v>
      </c>
    </row>
    <row r="1534" hidden="1">
      <c r="A1534" s="16" t="s">
        <v>2287</v>
      </c>
      <c r="B1534" s="222" t="s">
        <v>2288</v>
      </c>
      <c r="C1534" s="18"/>
      <c r="D1534" s="4"/>
      <c r="E1534" s="19">
        <v>0.0</v>
      </c>
      <c r="F1534" s="19"/>
      <c r="G1534" s="134" t="s">
        <v>2289</v>
      </c>
      <c r="H1534" s="21"/>
      <c r="I1534" s="22"/>
      <c r="J1534" s="47">
        <v>45870.0</v>
      </c>
      <c r="K1534" s="43">
        <v>415000.0</v>
      </c>
      <c r="L1534" s="44">
        <v>490000.0</v>
      </c>
      <c r="M1534" s="25" t="s">
        <v>76</v>
      </c>
      <c r="N1534" s="69"/>
      <c r="O1534" s="27">
        <f t="shared" si="207"/>
        <v>0.1807228916</v>
      </c>
      <c r="P1534" s="28">
        <f t="shared" si="209"/>
        <v>0</v>
      </c>
    </row>
    <row r="1535" hidden="1">
      <c r="A1535" s="16" t="s">
        <v>2290</v>
      </c>
      <c r="B1535" s="51"/>
      <c r="C1535" s="18"/>
      <c r="D1535" s="4"/>
      <c r="E1535" s="19">
        <v>0.0</v>
      </c>
      <c r="F1535" s="19">
        <v>0.0</v>
      </c>
      <c r="G1535" s="16" t="s">
        <v>2291</v>
      </c>
      <c r="H1535" s="21"/>
      <c r="I1535" s="22">
        <v>1.0</v>
      </c>
      <c r="J1535" s="29"/>
      <c r="K1535" s="43">
        <v>331000.0</v>
      </c>
      <c r="L1535" s="44">
        <v>430000.0</v>
      </c>
      <c r="M1535" s="25" t="s">
        <v>76</v>
      </c>
      <c r="N1535" s="26"/>
      <c r="O1535" s="27">
        <f t="shared" si="207"/>
        <v>0.2990936556</v>
      </c>
      <c r="P1535" s="28">
        <f t="shared" si="209"/>
        <v>0</v>
      </c>
    </row>
    <row r="1536" hidden="1">
      <c r="A1536" s="16" t="s">
        <v>2292</v>
      </c>
      <c r="B1536" s="51" t="s">
        <v>2293</v>
      </c>
      <c r="C1536" s="18"/>
      <c r="D1536" s="98"/>
      <c r="E1536" s="19">
        <v>4.0</v>
      </c>
      <c r="F1536" s="19"/>
      <c r="G1536" s="16" t="s">
        <v>485</v>
      </c>
      <c r="H1536" s="21">
        <v>1.0</v>
      </c>
      <c r="I1536" s="22"/>
      <c r="J1536" s="22"/>
      <c r="K1536" s="32">
        <f>64782*1.19</f>
        <v>77090.58</v>
      </c>
      <c r="L1536" s="24">
        <v>105000.0</v>
      </c>
      <c r="M1536" s="25"/>
      <c r="N1536" s="26">
        <v>95000.0</v>
      </c>
      <c r="O1536" s="27">
        <f t="shared" si="207"/>
        <v>0.3620341162</v>
      </c>
      <c r="P1536" s="28">
        <f t="shared" si="209"/>
        <v>0</v>
      </c>
    </row>
    <row r="1537" hidden="1">
      <c r="A1537" s="16" t="s">
        <v>2294</v>
      </c>
      <c r="B1537" s="51" t="s">
        <v>2295</v>
      </c>
      <c r="C1537" s="18"/>
      <c r="D1537" s="98"/>
      <c r="E1537" s="19">
        <v>2.0</v>
      </c>
      <c r="F1537" s="19"/>
      <c r="G1537" s="16" t="s">
        <v>485</v>
      </c>
      <c r="H1537" s="21">
        <v>0.0</v>
      </c>
      <c r="I1537" s="22"/>
      <c r="J1537" s="22"/>
      <c r="K1537" s="250">
        <v>153153.0</v>
      </c>
      <c r="L1537" s="55">
        <v>230000.0</v>
      </c>
      <c r="M1537" s="25"/>
      <c r="N1537" s="26"/>
      <c r="O1537" s="27">
        <f t="shared" si="207"/>
        <v>0.5017662076</v>
      </c>
      <c r="P1537" s="28">
        <f t="shared" si="209"/>
        <v>0</v>
      </c>
    </row>
    <row r="1538" hidden="1">
      <c r="A1538" s="16" t="s">
        <v>2296</v>
      </c>
      <c r="B1538" s="17"/>
      <c r="C1538" s="18"/>
      <c r="D1538" s="4" t="s">
        <v>676</v>
      </c>
      <c r="E1538" s="19">
        <v>0.0</v>
      </c>
      <c r="F1538" s="19">
        <v>100.0</v>
      </c>
      <c r="G1538" s="16" t="s">
        <v>670</v>
      </c>
      <c r="H1538" s="21"/>
      <c r="I1538" s="22">
        <v>30.0</v>
      </c>
      <c r="J1538" s="29"/>
      <c r="K1538" s="43">
        <f>500*1.19</f>
        <v>595</v>
      </c>
      <c r="L1538" s="44">
        <v>1000.0</v>
      </c>
      <c r="M1538" s="25"/>
      <c r="N1538" s="26"/>
      <c r="O1538" s="27">
        <f t="shared" si="207"/>
        <v>0.6806722689</v>
      </c>
      <c r="P1538" s="28">
        <f t="shared" si="209"/>
        <v>59500</v>
      </c>
    </row>
    <row r="1539" hidden="1">
      <c r="A1539" s="16" t="s">
        <v>2296</v>
      </c>
      <c r="B1539" s="17"/>
      <c r="C1539" s="18"/>
      <c r="D1539" s="4"/>
      <c r="E1539" s="19">
        <v>0.0</v>
      </c>
      <c r="F1539" s="19">
        <v>0.0</v>
      </c>
      <c r="G1539" s="16" t="s">
        <v>671</v>
      </c>
      <c r="H1539" s="21"/>
      <c r="I1539" s="22"/>
      <c r="J1539" s="29"/>
      <c r="K1539" s="32">
        <v>609.0</v>
      </c>
      <c r="L1539" s="24">
        <v>1500.0</v>
      </c>
      <c r="M1539" s="25"/>
      <c r="N1539" s="26"/>
      <c r="O1539" s="27">
        <f t="shared" si="207"/>
        <v>1.463054187</v>
      </c>
      <c r="P1539" s="28" t="str">
        <f>K1539*#REF!</f>
        <v>#REF!</v>
      </c>
    </row>
    <row r="1540" hidden="1">
      <c r="A1540" s="16" t="s">
        <v>2297</v>
      </c>
      <c r="B1540" s="17"/>
      <c r="C1540" s="18"/>
      <c r="D1540" s="4"/>
      <c r="E1540" s="19">
        <v>0.0</v>
      </c>
      <c r="F1540" s="19">
        <v>0.0</v>
      </c>
      <c r="G1540" s="16" t="s">
        <v>93</v>
      </c>
      <c r="H1540" s="99"/>
      <c r="I1540" s="22">
        <v>3.0</v>
      </c>
      <c r="J1540" s="173" t="s">
        <v>2298</v>
      </c>
      <c r="K1540" s="249">
        <v>64700.0</v>
      </c>
      <c r="L1540" s="55">
        <v>80800.0</v>
      </c>
      <c r="M1540" s="25">
        <v>0.19</v>
      </c>
      <c r="N1540" s="26"/>
      <c r="O1540" s="27">
        <f t="shared" si="207"/>
        <v>0.2488408037</v>
      </c>
      <c r="P1540" s="28">
        <f t="shared" ref="P1540:P1592" si="210">K1540*F1540</f>
        <v>0</v>
      </c>
    </row>
    <row r="1541" hidden="1">
      <c r="A1541" s="52" t="s">
        <v>2299</v>
      </c>
      <c r="B1541" s="17"/>
      <c r="C1541" s="18"/>
      <c r="D1541" s="4"/>
      <c r="E1541" s="19">
        <v>0.0</v>
      </c>
      <c r="F1541" s="19">
        <v>0.0</v>
      </c>
      <c r="G1541" s="16" t="s">
        <v>513</v>
      </c>
      <c r="H1541" s="21"/>
      <c r="I1541" s="22">
        <v>4.0</v>
      </c>
      <c r="J1541" s="259"/>
      <c r="K1541" s="48">
        <f>(7200*0.95*1.19)</f>
        <v>8139.6</v>
      </c>
      <c r="L1541" s="55">
        <v>12000.0</v>
      </c>
      <c r="M1541" s="25"/>
      <c r="N1541" s="26"/>
      <c r="O1541" s="27">
        <f t="shared" si="207"/>
        <v>0.4742739201</v>
      </c>
      <c r="P1541" s="28">
        <f t="shared" si="210"/>
        <v>0</v>
      </c>
    </row>
    <row r="1542" hidden="1">
      <c r="A1542" s="52" t="s">
        <v>2300</v>
      </c>
      <c r="B1542" s="17"/>
      <c r="C1542" s="18" t="s">
        <v>547</v>
      </c>
      <c r="D1542" s="4"/>
      <c r="E1542" s="19">
        <v>0.0</v>
      </c>
      <c r="F1542" s="19">
        <v>0.0</v>
      </c>
      <c r="G1542" s="16" t="s">
        <v>513</v>
      </c>
      <c r="H1542" s="21"/>
      <c r="I1542" s="22">
        <v>200.0</v>
      </c>
      <c r="J1542" s="29"/>
      <c r="K1542" s="48">
        <f>8140/50</f>
        <v>162.8</v>
      </c>
      <c r="L1542" s="55">
        <v>400.0</v>
      </c>
      <c r="M1542" s="25"/>
      <c r="N1542" s="26"/>
      <c r="O1542" s="27">
        <f t="shared" si="207"/>
        <v>1.457002457</v>
      </c>
      <c r="P1542" s="28">
        <f t="shared" si="210"/>
        <v>0</v>
      </c>
    </row>
    <row r="1543" hidden="1">
      <c r="A1543" s="40" t="s">
        <v>2301</v>
      </c>
      <c r="B1543" s="17"/>
      <c r="C1543" s="18"/>
      <c r="D1543" s="4"/>
      <c r="E1543" s="19">
        <v>0.0</v>
      </c>
      <c r="F1543" s="19">
        <v>0.0</v>
      </c>
      <c r="G1543" s="16" t="s">
        <v>93</v>
      </c>
      <c r="H1543" s="21"/>
      <c r="I1543" s="22"/>
      <c r="J1543" s="29"/>
      <c r="K1543" s="43">
        <v>7110.0</v>
      </c>
      <c r="L1543" s="44">
        <v>12000.0</v>
      </c>
      <c r="M1543" s="25"/>
      <c r="N1543" s="26"/>
      <c r="O1543" s="27">
        <f t="shared" si="207"/>
        <v>0.6877637131</v>
      </c>
      <c r="P1543" s="28">
        <f t="shared" si="210"/>
        <v>0</v>
      </c>
    </row>
    <row r="1544" hidden="1">
      <c r="A1544" s="40" t="s">
        <v>2302</v>
      </c>
      <c r="B1544" s="17"/>
      <c r="C1544" s="18"/>
      <c r="D1544" s="4"/>
      <c r="E1544" s="19">
        <v>0.0</v>
      </c>
      <c r="F1544" s="19">
        <v>0.0</v>
      </c>
      <c r="G1544" s="16" t="s">
        <v>93</v>
      </c>
      <c r="H1544" s="21"/>
      <c r="I1544" s="22"/>
      <c r="J1544" s="29"/>
      <c r="K1544" s="43">
        <v>7110.0</v>
      </c>
      <c r="L1544" s="44">
        <v>12000.0</v>
      </c>
      <c r="M1544" s="25"/>
      <c r="N1544" s="26"/>
      <c r="O1544" s="27">
        <f t="shared" si="207"/>
        <v>0.6877637131</v>
      </c>
      <c r="P1544" s="28">
        <f t="shared" si="210"/>
        <v>0</v>
      </c>
    </row>
    <row r="1545" hidden="1">
      <c r="A1545" s="40" t="s">
        <v>2303</v>
      </c>
      <c r="B1545" s="17"/>
      <c r="C1545" s="18"/>
      <c r="D1545" s="4"/>
      <c r="E1545" s="19">
        <v>0.0</v>
      </c>
      <c r="F1545" s="19">
        <v>0.0</v>
      </c>
      <c r="G1545" s="16" t="s">
        <v>93</v>
      </c>
      <c r="H1545" s="21"/>
      <c r="I1545" s="22"/>
      <c r="J1545" s="29"/>
      <c r="K1545" s="43">
        <v>7110.0</v>
      </c>
      <c r="L1545" s="44">
        <v>12000.0</v>
      </c>
      <c r="M1545" s="25"/>
      <c r="N1545" s="26"/>
      <c r="O1545" s="27">
        <f t="shared" si="207"/>
        <v>0.6877637131</v>
      </c>
      <c r="P1545" s="28">
        <f t="shared" si="210"/>
        <v>0</v>
      </c>
    </row>
    <row r="1546" hidden="1">
      <c r="A1546" s="16" t="s">
        <v>2304</v>
      </c>
      <c r="B1546" s="17">
        <v>2.508588001E9</v>
      </c>
      <c r="C1546" s="18"/>
      <c r="D1546" s="4"/>
      <c r="E1546" s="19">
        <v>0.0</v>
      </c>
      <c r="F1546" s="19">
        <v>0.0</v>
      </c>
      <c r="G1546" s="16" t="s">
        <v>93</v>
      </c>
      <c r="H1546" s="99"/>
      <c r="I1546" s="22">
        <v>3.0</v>
      </c>
      <c r="J1546" s="267">
        <v>46447.0</v>
      </c>
      <c r="K1546" s="249">
        <v>64700.0</v>
      </c>
      <c r="L1546" s="48">
        <v>80800.0</v>
      </c>
      <c r="M1546" s="25"/>
      <c r="N1546" s="26"/>
      <c r="O1546" s="27">
        <f t="shared" si="207"/>
        <v>0.2488408037</v>
      </c>
      <c r="P1546" s="28">
        <f t="shared" si="210"/>
        <v>0</v>
      </c>
    </row>
    <row r="1547" hidden="1">
      <c r="A1547" s="16" t="s">
        <v>2305</v>
      </c>
      <c r="B1547" s="17"/>
      <c r="C1547" s="18"/>
      <c r="D1547" s="4"/>
      <c r="E1547" s="19">
        <v>0.0</v>
      </c>
      <c r="F1547" s="19"/>
      <c r="G1547" s="16" t="s">
        <v>2306</v>
      </c>
      <c r="H1547" s="21"/>
      <c r="I1547" s="22"/>
      <c r="J1547" s="29"/>
      <c r="K1547" s="43">
        <v>6000.0</v>
      </c>
      <c r="L1547" s="125">
        <v>9000.0</v>
      </c>
      <c r="M1547" s="25"/>
      <c r="N1547" s="26"/>
      <c r="O1547" s="27">
        <f>(L1547/K1547)-1</f>
        <v>0.5</v>
      </c>
      <c r="P1547" s="28">
        <f t="shared" si="210"/>
        <v>0</v>
      </c>
    </row>
    <row r="1548" hidden="1">
      <c r="A1548" s="16" t="s">
        <v>2307</v>
      </c>
      <c r="B1548" s="36"/>
      <c r="C1548" s="18"/>
      <c r="D1548" s="4"/>
      <c r="E1548" s="19">
        <v>0.0</v>
      </c>
      <c r="F1548" s="19"/>
      <c r="G1548" s="16" t="s">
        <v>2306</v>
      </c>
      <c r="H1548" s="21"/>
      <c r="I1548" s="22"/>
      <c r="J1548" s="29"/>
      <c r="K1548" s="43">
        <v>10000.0</v>
      </c>
      <c r="L1548" s="44">
        <v>16000.0</v>
      </c>
      <c r="M1548" s="25"/>
      <c r="N1548" s="26"/>
      <c r="O1548" s="27">
        <f t="shared" ref="O1548:O1592" si="211">(L1548/K1548)-1</f>
        <v>0.6</v>
      </c>
      <c r="P1548" s="28">
        <f t="shared" si="210"/>
        <v>0</v>
      </c>
    </row>
    <row r="1549" hidden="1">
      <c r="A1549" s="16" t="s">
        <v>2308</v>
      </c>
      <c r="B1549" s="36"/>
      <c r="C1549" s="18"/>
      <c r="D1549" s="4"/>
      <c r="E1549" s="19">
        <v>0.0</v>
      </c>
      <c r="F1549" s="19"/>
      <c r="G1549" s="16" t="s">
        <v>57</v>
      </c>
      <c r="H1549" s="21"/>
      <c r="I1549" s="22"/>
      <c r="J1549" s="29"/>
      <c r="K1549" s="43">
        <v>48500.0</v>
      </c>
      <c r="L1549" s="44">
        <v>72000.0</v>
      </c>
      <c r="M1549" s="25"/>
      <c r="N1549" s="26"/>
      <c r="O1549" s="27">
        <f t="shared" si="211"/>
        <v>0.4845360825</v>
      </c>
      <c r="P1549" s="28">
        <f t="shared" si="210"/>
        <v>0</v>
      </c>
    </row>
    <row r="1550" hidden="1">
      <c r="A1550" s="16" t="s">
        <v>2309</v>
      </c>
      <c r="B1550" s="36"/>
      <c r="C1550" s="18"/>
      <c r="D1550" s="4"/>
      <c r="E1550" s="19">
        <v>0.0</v>
      </c>
      <c r="F1550" s="19"/>
      <c r="G1550" s="16" t="s">
        <v>57</v>
      </c>
      <c r="H1550" s="21"/>
      <c r="I1550" s="22"/>
      <c r="J1550" s="29"/>
      <c r="K1550" s="43">
        <v>29800.0</v>
      </c>
      <c r="L1550" s="44">
        <v>45000.0</v>
      </c>
      <c r="M1550" s="25" t="s">
        <v>82</v>
      </c>
      <c r="N1550" s="26"/>
      <c r="O1550" s="27">
        <f t="shared" si="211"/>
        <v>0.5100671141</v>
      </c>
      <c r="P1550" s="28">
        <f t="shared" si="210"/>
        <v>0</v>
      </c>
    </row>
    <row r="1551" hidden="1">
      <c r="A1551" s="16" t="s">
        <v>2310</v>
      </c>
      <c r="B1551" s="167" t="s">
        <v>2311</v>
      </c>
      <c r="C1551" s="18"/>
      <c r="D1551" s="4"/>
      <c r="E1551" s="19">
        <v>0.0</v>
      </c>
      <c r="F1551" s="19"/>
      <c r="G1551" s="16" t="s">
        <v>2312</v>
      </c>
      <c r="H1551" s="21"/>
      <c r="I1551" s="22"/>
      <c r="J1551" s="29"/>
      <c r="K1551" s="43">
        <v>42000.0</v>
      </c>
      <c r="L1551" s="44">
        <v>60000.0</v>
      </c>
      <c r="M1551" s="25" t="s">
        <v>82</v>
      </c>
      <c r="N1551" s="26"/>
      <c r="O1551" s="27">
        <f t="shared" si="211"/>
        <v>0.4285714286</v>
      </c>
      <c r="P1551" s="28">
        <f t="shared" si="210"/>
        <v>0</v>
      </c>
    </row>
    <row r="1552" hidden="1">
      <c r="A1552" s="16" t="s">
        <v>2313</v>
      </c>
      <c r="B1552" s="17" t="s">
        <v>2314</v>
      </c>
      <c r="C1552" s="18"/>
      <c r="D1552" s="4"/>
      <c r="E1552" s="19">
        <v>0.0</v>
      </c>
      <c r="F1552" s="19"/>
      <c r="G1552" s="16" t="s">
        <v>2315</v>
      </c>
      <c r="H1552" s="21"/>
      <c r="I1552" s="22"/>
      <c r="J1552" s="47">
        <v>46174.0</v>
      </c>
      <c r="K1552" s="48">
        <v>120000.0</v>
      </c>
      <c r="L1552" s="55">
        <v>180000.0</v>
      </c>
      <c r="M1552" s="25" t="s">
        <v>82</v>
      </c>
      <c r="N1552" s="50">
        <v>150000.0</v>
      </c>
      <c r="O1552" s="27">
        <f t="shared" si="211"/>
        <v>0.5</v>
      </c>
      <c r="P1552" s="28">
        <f t="shared" si="210"/>
        <v>0</v>
      </c>
    </row>
    <row r="1553" hidden="1">
      <c r="A1553" s="16" t="s">
        <v>2316</v>
      </c>
      <c r="B1553" s="17" t="s">
        <v>2314</v>
      </c>
      <c r="C1553" s="18"/>
      <c r="D1553" s="4"/>
      <c r="E1553" s="19">
        <v>0.0</v>
      </c>
      <c r="F1553" s="19"/>
      <c r="G1553" s="16" t="s">
        <v>2315</v>
      </c>
      <c r="H1553" s="21"/>
      <c r="I1553" s="22"/>
      <c r="J1553" s="47"/>
      <c r="K1553" s="48">
        <v>120000.0</v>
      </c>
      <c r="L1553" s="55">
        <v>180000.0</v>
      </c>
      <c r="M1553" s="25" t="s">
        <v>82</v>
      </c>
      <c r="N1553" s="50">
        <v>150000.0</v>
      </c>
      <c r="O1553" s="27">
        <f t="shared" si="211"/>
        <v>0.5</v>
      </c>
      <c r="P1553" s="28">
        <f t="shared" si="210"/>
        <v>0</v>
      </c>
    </row>
    <row r="1554" hidden="1">
      <c r="A1554" s="16" t="s">
        <v>2317</v>
      </c>
      <c r="B1554" s="126"/>
      <c r="C1554" s="18"/>
      <c r="D1554" s="4"/>
      <c r="E1554" s="19">
        <v>0.0</v>
      </c>
      <c r="F1554" s="19"/>
      <c r="G1554" s="16" t="s">
        <v>57</v>
      </c>
      <c r="H1554" s="21"/>
      <c r="I1554" s="22"/>
      <c r="J1554" s="29"/>
      <c r="K1554" s="43">
        <v>29800.0</v>
      </c>
      <c r="L1554" s="44">
        <v>45000.0</v>
      </c>
      <c r="M1554" s="25" t="s">
        <v>82</v>
      </c>
      <c r="N1554" s="26"/>
      <c r="O1554" s="27">
        <f t="shared" si="211"/>
        <v>0.5100671141</v>
      </c>
      <c r="P1554" s="28">
        <f t="shared" si="210"/>
        <v>0</v>
      </c>
    </row>
    <row r="1555" hidden="1">
      <c r="A1555" s="16" t="s">
        <v>2318</v>
      </c>
      <c r="B1555" s="126"/>
      <c r="C1555" s="18"/>
      <c r="D1555" s="4"/>
      <c r="E1555" s="19">
        <v>0.0</v>
      </c>
      <c r="F1555" s="19"/>
      <c r="G1555" s="16" t="s">
        <v>57</v>
      </c>
      <c r="H1555" s="21"/>
      <c r="I1555" s="22"/>
      <c r="J1555" s="29"/>
      <c r="K1555" s="43">
        <v>29800.0</v>
      </c>
      <c r="L1555" s="44">
        <v>45000.0</v>
      </c>
      <c r="M1555" s="25" t="s">
        <v>82</v>
      </c>
      <c r="N1555" s="26"/>
      <c r="O1555" s="27">
        <f t="shared" si="211"/>
        <v>0.5100671141</v>
      </c>
      <c r="P1555" s="28">
        <f t="shared" si="210"/>
        <v>0</v>
      </c>
    </row>
    <row r="1556" hidden="1">
      <c r="A1556" s="16" t="s">
        <v>2319</v>
      </c>
      <c r="B1556" s="126"/>
      <c r="C1556" s="18"/>
      <c r="D1556" s="4"/>
      <c r="E1556" s="19">
        <v>0.0</v>
      </c>
      <c r="F1556" s="19"/>
      <c r="G1556" s="16" t="s">
        <v>57</v>
      </c>
      <c r="H1556" s="21"/>
      <c r="I1556" s="22"/>
      <c r="J1556" s="29"/>
      <c r="K1556" s="43">
        <v>30800.0</v>
      </c>
      <c r="L1556" s="44">
        <v>45000.0</v>
      </c>
      <c r="M1556" s="25" t="s">
        <v>82</v>
      </c>
      <c r="N1556" s="26"/>
      <c r="O1556" s="27">
        <f t="shared" si="211"/>
        <v>0.461038961</v>
      </c>
      <c r="P1556" s="28">
        <f t="shared" si="210"/>
        <v>0</v>
      </c>
    </row>
    <row r="1557" hidden="1">
      <c r="A1557" s="16" t="s">
        <v>2320</v>
      </c>
      <c r="B1557" s="36"/>
      <c r="C1557" s="18"/>
      <c r="D1557" s="4"/>
      <c r="E1557" s="19">
        <v>0.0</v>
      </c>
      <c r="F1557" s="19"/>
      <c r="G1557" s="16" t="s">
        <v>57</v>
      </c>
      <c r="H1557" s="21"/>
      <c r="I1557" s="22"/>
      <c r="J1557" s="29"/>
      <c r="K1557" s="43">
        <v>29800.0</v>
      </c>
      <c r="L1557" s="44">
        <v>45000.0</v>
      </c>
      <c r="M1557" s="25" t="s">
        <v>82</v>
      </c>
      <c r="N1557" s="26"/>
      <c r="O1557" s="27">
        <f t="shared" si="211"/>
        <v>0.5100671141</v>
      </c>
      <c r="P1557" s="28">
        <f t="shared" si="210"/>
        <v>0</v>
      </c>
    </row>
    <row r="1558" hidden="1">
      <c r="A1558" s="16" t="s">
        <v>2321</v>
      </c>
      <c r="B1558" s="167" t="s">
        <v>2322</v>
      </c>
      <c r="C1558" s="18"/>
      <c r="D1558" s="19"/>
      <c r="E1558" s="19">
        <v>0.0</v>
      </c>
      <c r="F1558" s="19">
        <v>5.0</v>
      </c>
      <c r="G1558" s="16" t="s">
        <v>2312</v>
      </c>
      <c r="H1558" s="21"/>
      <c r="I1558" s="22"/>
      <c r="J1558" s="29"/>
      <c r="K1558" s="32">
        <v>42000.0</v>
      </c>
      <c r="L1558" s="24">
        <v>60000.0</v>
      </c>
      <c r="M1558" s="25" t="s">
        <v>82</v>
      </c>
      <c r="N1558" s="26"/>
      <c r="O1558" s="27">
        <f t="shared" si="211"/>
        <v>0.4285714286</v>
      </c>
      <c r="P1558" s="28">
        <f t="shared" si="210"/>
        <v>210000</v>
      </c>
    </row>
    <row r="1559" hidden="1">
      <c r="A1559" s="16" t="s">
        <v>2323</v>
      </c>
      <c r="B1559" s="167" t="s">
        <v>2324</v>
      </c>
      <c r="C1559" s="18"/>
      <c r="D1559" s="19"/>
      <c r="E1559" s="19">
        <v>0.0</v>
      </c>
      <c r="F1559" s="19">
        <v>5.0</v>
      </c>
      <c r="G1559" s="16" t="s">
        <v>2312</v>
      </c>
      <c r="H1559" s="21"/>
      <c r="I1559" s="22"/>
      <c r="J1559" s="47">
        <v>46388.0</v>
      </c>
      <c r="K1559" s="32">
        <v>42000.0</v>
      </c>
      <c r="L1559" s="24">
        <v>60000.0</v>
      </c>
      <c r="M1559" s="25" t="s">
        <v>82</v>
      </c>
      <c r="N1559" s="26"/>
      <c r="O1559" s="27">
        <f t="shared" si="211"/>
        <v>0.4285714286</v>
      </c>
      <c r="P1559" s="28">
        <f t="shared" si="210"/>
        <v>210000</v>
      </c>
    </row>
    <row r="1560" hidden="1">
      <c r="A1560" s="16" t="s">
        <v>2325</v>
      </c>
      <c r="B1560" s="167" t="s">
        <v>2326</v>
      </c>
      <c r="C1560" s="18"/>
      <c r="D1560" s="19"/>
      <c r="E1560" s="19">
        <v>0.0</v>
      </c>
      <c r="F1560" s="19">
        <v>2.0</v>
      </c>
      <c r="G1560" s="16" t="s">
        <v>2312</v>
      </c>
      <c r="H1560" s="21"/>
      <c r="I1560" s="22"/>
      <c r="J1560" s="29"/>
      <c r="K1560" s="32">
        <v>42000.0</v>
      </c>
      <c r="L1560" s="24">
        <v>60000.0</v>
      </c>
      <c r="M1560" s="25" t="s">
        <v>82</v>
      </c>
      <c r="N1560" s="26"/>
      <c r="O1560" s="27">
        <f t="shared" si="211"/>
        <v>0.4285714286</v>
      </c>
      <c r="P1560" s="28">
        <f t="shared" si="210"/>
        <v>84000</v>
      </c>
    </row>
    <row r="1561" hidden="1">
      <c r="A1561" s="16" t="s">
        <v>2327</v>
      </c>
      <c r="B1561" s="17"/>
      <c r="C1561" s="18"/>
      <c r="D1561" s="4"/>
      <c r="E1561" s="19">
        <v>0.0</v>
      </c>
      <c r="F1561" s="19"/>
      <c r="G1561" s="16" t="s">
        <v>2315</v>
      </c>
      <c r="H1561" s="21"/>
      <c r="I1561" s="22"/>
      <c r="J1561" s="29"/>
      <c r="K1561" s="43">
        <v>32000.0</v>
      </c>
      <c r="L1561" s="44">
        <v>48000.0</v>
      </c>
      <c r="M1561" s="25" t="s">
        <v>82</v>
      </c>
      <c r="N1561" s="26"/>
      <c r="O1561" s="27">
        <f t="shared" si="211"/>
        <v>0.5</v>
      </c>
      <c r="P1561" s="28">
        <f t="shared" si="210"/>
        <v>0</v>
      </c>
    </row>
    <row r="1562" hidden="1">
      <c r="A1562" s="16" t="s">
        <v>2328</v>
      </c>
      <c r="B1562" s="167" t="s">
        <v>2329</v>
      </c>
      <c r="C1562" s="18"/>
      <c r="D1562" s="4"/>
      <c r="E1562" s="19">
        <v>0.0</v>
      </c>
      <c r="F1562" s="19">
        <v>2.0</v>
      </c>
      <c r="G1562" s="16" t="s">
        <v>2315</v>
      </c>
      <c r="H1562" s="21"/>
      <c r="I1562" s="22"/>
      <c r="J1562" s="29"/>
      <c r="K1562" s="32">
        <v>155000.0</v>
      </c>
      <c r="L1562" s="24">
        <v>180000.0</v>
      </c>
      <c r="M1562" s="25" t="s">
        <v>82</v>
      </c>
      <c r="N1562" s="26"/>
      <c r="O1562" s="27">
        <f t="shared" si="211"/>
        <v>0.1612903226</v>
      </c>
      <c r="P1562" s="28">
        <f t="shared" si="210"/>
        <v>310000</v>
      </c>
    </row>
    <row r="1563" hidden="1">
      <c r="A1563" s="16" t="s">
        <v>2330</v>
      </c>
      <c r="B1563" s="167"/>
      <c r="C1563" s="18"/>
      <c r="D1563" s="4"/>
      <c r="E1563" s="19">
        <v>0.0</v>
      </c>
      <c r="F1563" s="19"/>
      <c r="G1563" s="16" t="s">
        <v>2315</v>
      </c>
      <c r="H1563" s="21"/>
      <c r="I1563" s="22"/>
      <c r="J1563" s="29"/>
      <c r="K1563" s="43">
        <v>32000.0</v>
      </c>
      <c r="L1563" s="44">
        <v>48000.0</v>
      </c>
      <c r="M1563" s="25" t="s">
        <v>82</v>
      </c>
      <c r="N1563" s="26"/>
      <c r="O1563" s="27">
        <f t="shared" si="211"/>
        <v>0.5</v>
      </c>
      <c r="P1563" s="28">
        <f t="shared" si="210"/>
        <v>0</v>
      </c>
    </row>
    <row r="1564" hidden="1">
      <c r="A1564" s="16" t="s">
        <v>2331</v>
      </c>
      <c r="B1564" s="167" t="s">
        <v>2332</v>
      </c>
      <c r="C1564" s="18"/>
      <c r="D1564" s="4" t="s">
        <v>676</v>
      </c>
      <c r="E1564" s="19">
        <v>0.0</v>
      </c>
      <c r="F1564" s="19">
        <v>2.0</v>
      </c>
      <c r="G1564" s="16" t="s">
        <v>2315</v>
      </c>
      <c r="H1564" s="21"/>
      <c r="I1564" s="22"/>
      <c r="J1564" s="29"/>
      <c r="K1564" s="43">
        <v>155000.0</v>
      </c>
      <c r="L1564" s="44">
        <v>180000.0</v>
      </c>
      <c r="M1564" s="25" t="s">
        <v>82</v>
      </c>
      <c r="N1564" s="26"/>
      <c r="O1564" s="27">
        <f t="shared" si="211"/>
        <v>0.1612903226</v>
      </c>
      <c r="P1564" s="28">
        <f t="shared" si="210"/>
        <v>310000</v>
      </c>
    </row>
    <row r="1565" hidden="1">
      <c r="A1565" s="16" t="s">
        <v>2333</v>
      </c>
      <c r="B1565" s="167"/>
      <c r="C1565" s="18"/>
      <c r="D1565" s="4"/>
      <c r="E1565" s="19">
        <v>0.0</v>
      </c>
      <c r="F1565" s="19"/>
      <c r="G1565" s="16" t="s">
        <v>2315</v>
      </c>
      <c r="H1565" s="21"/>
      <c r="I1565" s="22"/>
      <c r="J1565" s="29"/>
      <c r="K1565" s="43">
        <v>32000.0</v>
      </c>
      <c r="L1565" s="44">
        <v>48000.0</v>
      </c>
      <c r="M1565" s="25" t="s">
        <v>82</v>
      </c>
      <c r="N1565" s="26"/>
      <c r="O1565" s="27">
        <f t="shared" si="211"/>
        <v>0.5</v>
      </c>
      <c r="P1565" s="28">
        <f t="shared" si="210"/>
        <v>0</v>
      </c>
    </row>
    <row r="1566" hidden="1">
      <c r="A1566" s="16" t="s">
        <v>2334</v>
      </c>
      <c r="B1566" s="167" t="s">
        <v>2332</v>
      </c>
      <c r="C1566" s="18"/>
      <c r="D1566" s="4"/>
      <c r="E1566" s="19">
        <v>0.0</v>
      </c>
      <c r="F1566" s="19"/>
      <c r="G1566" s="16" t="s">
        <v>2315</v>
      </c>
      <c r="H1566" s="21"/>
      <c r="I1566" s="22"/>
      <c r="J1566" s="29"/>
      <c r="K1566" s="32">
        <v>155000.0</v>
      </c>
      <c r="L1566" s="24">
        <v>180000.0</v>
      </c>
      <c r="M1566" s="25" t="s">
        <v>82</v>
      </c>
      <c r="N1566" s="26"/>
      <c r="O1566" s="27">
        <f t="shared" si="211"/>
        <v>0.1612903226</v>
      </c>
      <c r="P1566" s="28">
        <f t="shared" si="210"/>
        <v>0</v>
      </c>
    </row>
    <row r="1567" hidden="1">
      <c r="A1567" s="16" t="s">
        <v>2335</v>
      </c>
      <c r="B1567" s="167" t="s">
        <v>2332</v>
      </c>
      <c r="C1567" s="18"/>
      <c r="D1567" s="4"/>
      <c r="E1567" s="19">
        <v>0.0</v>
      </c>
      <c r="F1567" s="19"/>
      <c r="G1567" s="16" t="s">
        <v>2315</v>
      </c>
      <c r="H1567" s="21"/>
      <c r="I1567" s="22"/>
      <c r="J1567" s="47">
        <v>46266.0</v>
      </c>
      <c r="K1567" s="43">
        <v>155000.0</v>
      </c>
      <c r="L1567" s="44">
        <v>180000.0</v>
      </c>
      <c r="M1567" s="25" t="s">
        <v>82</v>
      </c>
      <c r="N1567" s="26"/>
      <c r="O1567" s="27">
        <f t="shared" si="211"/>
        <v>0.1612903226</v>
      </c>
      <c r="P1567" s="28">
        <f t="shared" si="210"/>
        <v>0</v>
      </c>
    </row>
    <row r="1568" hidden="1">
      <c r="A1568" s="16" t="s">
        <v>2336</v>
      </c>
      <c r="B1568" s="17"/>
      <c r="C1568" s="18"/>
      <c r="D1568" s="4"/>
      <c r="E1568" s="19">
        <v>0.0</v>
      </c>
      <c r="F1568" s="19">
        <v>0.0</v>
      </c>
      <c r="G1568" s="16" t="s">
        <v>63</v>
      </c>
      <c r="H1568" s="21"/>
      <c r="I1568" s="22">
        <v>0.0</v>
      </c>
      <c r="J1568" s="29"/>
      <c r="K1568" s="43">
        <v>28644.0</v>
      </c>
      <c r="L1568" s="44">
        <v>40000.0</v>
      </c>
      <c r="M1568" s="25" t="s">
        <v>82</v>
      </c>
      <c r="N1568" s="26"/>
      <c r="O1568" s="27">
        <f t="shared" si="211"/>
        <v>0.3964530094</v>
      </c>
      <c r="P1568" s="28">
        <f t="shared" si="210"/>
        <v>0</v>
      </c>
    </row>
    <row r="1569" hidden="1">
      <c r="A1569" s="16" t="s">
        <v>2337</v>
      </c>
      <c r="B1569" s="17"/>
      <c r="C1569" s="18"/>
      <c r="D1569" s="4"/>
      <c r="E1569" s="19">
        <v>0.0</v>
      </c>
      <c r="F1569" s="19">
        <v>0.0</v>
      </c>
      <c r="G1569" s="16" t="s">
        <v>63</v>
      </c>
      <c r="H1569" s="21"/>
      <c r="I1569" s="22">
        <v>0.0</v>
      </c>
      <c r="J1569" s="29"/>
      <c r="K1569" s="43">
        <v>28644.0</v>
      </c>
      <c r="L1569" s="44">
        <v>40000.0</v>
      </c>
      <c r="M1569" s="25" t="s">
        <v>82</v>
      </c>
      <c r="N1569" s="26"/>
      <c r="O1569" s="27">
        <f t="shared" si="211"/>
        <v>0.3964530094</v>
      </c>
      <c r="P1569" s="28">
        <f t="shared" si="210"/>
        <v>0</v>
      </c>
    </row>
    <row r="1570" hidden="1">
      <c r="A1570" s="16" t="s">
        <v>2338</v>
      </c>
      <c r="B1570" s="17"/>
      <c r="C1570" s="18"/>
      <c r="D1570" s="4"/>
      <c r="E1570" s="19">
        <v>0.0</v>
      </c>
      <c r="F1570" s="19">
        <v>0.0</v>
      </c>
      <c r="G1570" s="16" t="s">
        <v>63</v>
      </c>
      <c r="H1570" s="21"/>
      <c r="I1570" s="22">
        <v>0.0</v>
      </c>
      <c r="J1570" s="29"/>
      <c r="K1570" s="43">
        <v>28644.0</v>
      </c>
      <c r="L1570" s="44">
        <v>40000.0</v>
      </c>
      <c r="M1570" s="25" t="s">
        <v>82</v>
      </c>
      <c r="N1570" s="26"/>
      <c r="O1570" s="27">
        <f t="shared" si="211"/>
        <v>0.3964530094</v>
      </c>
      <c r="P1570" s="28">
        <f t="shared" si="210"/>
        <v>0</v>
      </c>
    </row>
    <row r="1571" hidden="1">
      <c r="A1571" s="16" t="s">
        <v>2339</v>
      </c>
      <c r="B1571" s="17"/>
      <c r="C1571" s="18"/>
      <c r="D1571" s="4"/>
      <c r="E1571" s="19">
        <v>0.0</v>
      </c>
      <c r="F1571" s="19">
        <v>0.0</v>
      </c>
      <c r="G1571" s="16" t="s">
        <v>63</v>
      </c>
      <c r="H1571" s="21"/>
      <c r="I1571" s="22">
        <v>0.0</v>
      </c>
      <c r="J1571" s="29"/>
      <c r="K1571" s="43">
        <v>28644.0</v>
      </c>
      <c r="L1571" s="44">
        <v>40000.0</v>
      </c>
      <c r="M1571" s="25" t="s">
        <v>82</v>
      </c>
      <c r="N1571" s="26"/>
      <c r="O1571" s="27">
        <f t="shared" si="211"/>
        <v>0.3964530094</v>
      </c>
      <c r="P1571" s="28">
        <f t="shared" si="210"/>
        <v>0</v>
      </c>
    </row>
    <row r="1572" hidden="1">
      <c r="A1572" s="16" t="s">
        <v>2340</v>
      </c>
      <c r="B1572" s="17"/>
      <c r="C1572" s="18"/>
      <c r="D1572" s="4"/>
      <c r="E1572" s="19">
        <v>0.0</v>
      </c>
      <c r="F1572" s="19">
        <v>0.0</v>
      </c>
      <c r="G1572" s="16" t="s">
        <v>63</v>
      </c>
      <c r="H1572" s="21"/>
      <c r="I1572" s="22">
        <v>0.0</v>
      </c>
      <c r="J1572" s="29"/>
      <c r="K1572" s="43">
        <v>28644.0</v>
      </c>
      <c r="L1572" s="44">
        <v>40000.0</v>
      </c>
      <c r="M1572" s="25" t="s">
        <v>82</v>
      </c>
      <c r="N1572" s="26"/>
      <c r="O1572" s="27">
        <f t="shared" si="211"/>
        <v>0.3964530094</v>
      </c>
      <c r="P1572" s="28">
        <f t="shared" si="210"/>
        <v>0</v>
      </c>
    </row>
    <row r="1573" hidden="1">
      <c r="A1573" s="16" t="s">
        <v>2341</v>
      </c>
      <c r="B1573" s="17"/>
      <c r="C1573" s="18"/>
      <c r="D1573" s="4"/>
      <c r="E1573" s="19">
        <v>0.0</v>
      </c>
      <c r="F1573" s="19">
        <v>0.0</v>
      </c>
      <c r="G1573" s="16" t="s">
        <v>63</v>
      </c>
      <c r="H1573" s="21"/>
      <c r="I1573" s="22">
        <v>0.0</v>
      </c>
      <c r="J1573" s="29"/>
      <c r="K1573" s="43">
        <v>28644.0</v>
      </c>
      <c r="L1573" s="44">
        <v>40000.0</v>
      </c>
      <c r="M1573" s="25" t="s">
        <v>82</v>
      </c>
      <c r="N1573" s="26"/>
      <c r="O1573" s="27">
        <f t="shared" si="211"/>
        <v>0.3964530094</v>
      </c>
      <c r="P1573" s="28">
        <f t="shared" si="210"/>
        <v>0</v>
      </c>
    </row>
    <row r="1574" hidden="1">
      <c r="A1574" s="16" t="s">
        <v>2342</v>
      </c>
      <c r="B1574" s="17"/>
      <c r="C1574" s="18"/>
      <c r="D1574" s="4"/>
      <c r="E1574" s="19">
        <v>0.0</v>
      </c>
      <c r="F1574" s="19">
        <v>0.0</v>
      </c>
      <c r="G1574" s="16" t="s">
        <v>63</v>
      </c>
      <c r="H1574" s="21"/>
      <c r="I1574" s="22">
        <v>0.0</v>
      </c>
      <c r="J1574" s="29"/>
      <c r="K1574" s="43">
        <v>28644.0</v>
      </c>
      <c r="L1574" s="44">
        <v>40000.0</v>
      </c>
      <c r="M1574" s="25" t="s">
        <v>82</v>
      </c>
      <c r="N1574" s="26"/>
      <c r="O1574" s="27">
        <f t="shared" si="211"/>
        <v>0.3964530094</v>
      </c>
      <c r="P1574" s="28">
        <f t="shared" si="210"/>
        <v>0</v>
      </c>
    </row>
    <row r="1575" hidden="1">
      <c r="A1575" s="16" t="s">
        <v>2343</v>
      </c>
      <c r="B1575" s="17"/>
      <c r="C1575" s="18"/>
      <c r="D1575" s="4"/>
      <c r="E1575" s="19">
        <v>0.0</v>
      </c>
      <c r="F1575" s="19">
        <v>0.0</v>
      </c>
      <c r="G1575" s="16" t="s">
        <v>63</v>
      </c>
      <c r="H1575" s="21"/>
      <c r="I1575" s="22">
        <v>0.0</v>
      </c>
      <c r="J1575" s="29"/>
      <c r="K1575" s="43">
        <v>28644.0</v>
      </c>
      <c r="L1575" s="44">
        <v>40000.0</v>
      </c>
      <c r="M1575" s="25" t="s">
        <v>82</v>
      </c>
      <c r="N1575" s="26"/>
      <c r="O1575" s="27">
        <f t="shared" si="211"/>
        <v>0.3964530094</v>
      </c>
      <c r="P1575" s="28">
        <f t="shared" si="210"/>
        <v>0</v>
      </c>
    </row>
    <row r="1576" hidden="1">
      <c r="A1576" s="16" t="s">
        <v>2344</v>
      </c>
      <c r="B1576" s="17"/>
      <c r="C1576" s="18"/>
      <c r="D1576" s="4"/>
      <c r="E1576" s="19">
        <v>0.0</v>
      </c>
      <c r="F1576" s="19">
        <v>0.0</v>
      </c>
      <c r="G1576" s="16" t="s">
        <v>93</v>
      </c>
      <c r="H1576" s="21"/>
      <c r="I1576" s="22">
        <v>0.0</v>
      </c>
      <c r="J1576" s="29"/>
      <c r="K1576" s="32">
        <v>389000.0</v>
      </c>
      <c r="L1576" s="24">
        <v>450000.0</v>
      </c>
      <c r="M1576" s="25"/>
      <c r="N1576" s="26"/>
      <c r="O1576" s="27">
        <f t="shared" si="211"/>
        <v>0.1568123393</v>
      </c>
      <c r="P1576" s="28">
        <f t="shared" si="210"/>
        <v>0</v>
      </c>
    </row>
    <row r="1577" hidden="1">
      <c r="A1577" s="16" t="s">
        <v>2345</v>
      </c>
      <c r="B1577" s="26">
        <v>33000.0</v>
      </c>
      <c r="C1577" s="18"/>
      <c r="D1577" s="4"/>
      <c r="E1577" s="19">
        <v>0.0</v>
      </c>
      <c r="F1577" s="19">
        <v>4.0</v>
      </c>
      <c r="G1577" s="16" t="s">
        <v>1205</v>
      </c>
      <c r="H1577" s="21"/>
      <c r="I1577" s="22">
        <v>0.0</v>
      </c>
      <c r="J1577" s="29"/>
      <c r="K1577" s="43">
        <v>46297.0</v>
      </c>
      <c r="L1577" s="44">
        <v>58000.0</v>
      </c>
      <c r="M1577" s="25" t="s">
        <v>82</v>
      </c>
      <c r="N1577" s="26">
        <v>52000.0</v>
      </c>
      <c r="O1577" s="27">
        <f t="shared" si="211"/>
        <v>0.2527809577</v>
      </c>
      <c r="P1577" s="28">
        <f t="shared" si="210"/>
        <v>185188</v>
      </c>
    </row>
    <row r="1578" hidden="1">
      <c r="A1578" s="16" t="s">
        <v>2346</v>
      </c>
      <c r="B1578" s="26">
        <v>33000.0</v>
      </c>
      <c r="C1578" s="18"/>
      <c r="D1578" s="4"/>
      <c r="E1578" s="19">
        <v>0.0</v>
      </c>
      <c r="F1578" s="19">
        <v>4.0</v>
      </c>
      <c r="G1578" s="16" t="s">
        <v>1205</v>
      </c>
      <c r="H1578" s="21"/>
      <c r="I1578" s="22">
        <v>0.0</v>
      </c>
      <c r="J1578" s="29"/>
      <c r="K1578" s="43">
        <v>46297.0</v>
      </c>
      <c r="L1578" s="44">
        <v>58000.0</v>
      </c>
      <c r="M1578" s="25" t="s">
        <v>82</v>
      </c>
      <c r="N1578" s="26">
        <v>52000.0</v>
      </c>
      <c r="O1578" s="27">
        <f t="shared" si="211"/>
        <v>0.2527809577</v>
      </c>
      <c r="P1578" s="28">
        <f t="shared" si="210"/>
        <v>185188</v>
      </c>
    </row>
    <row r="1579" hidden="1">
      <c r="A1579" s="16" t="s">
        <v>2347</v>
      </c>
      <c r="B1579" s="26">
        <v>33000.0</v>
      </c>
      <c r="C1579" s="18"/>
      <c r="D1579" s="4"/>
      <c r="E1579" s="19">
        <v>0.0</v>
      </c>
      <c r="F1579" s="19">
        <v>5.0</v>
      </c>
      <c r="G1579" s="16" t="s">
        <v>1205</v>
      </c>
      <c r="H1579" s="21"/>
      <c r="I1579" s="22">
        <v>1.0</v>
      </c>
      <c r="J1579" s="29"/>
      <c r="K1579" s="43">
        <v>46297.0</v>
      </c>
      <c r="L1579" s="44">
        <v>58000.0</v>
      </c>
      <c r="M1579" s="25" t="s">
        <v>82</v>
      </c>
      <c r="N1579" s="26">
        <v>52000.0</v>
      </c>
      <c r="O1579" s="27">
        <f t="shared" si="211"/>
        <v>0.2527809577</v>
      </c>
      <c r="P1579" s="28">
        <f t="shared" si="210"/>
        <v>231485</v>
      </c>
    </row>
    <row r="1580" hidden="1">
      <c r="A1580" s="16" t="s">
        <v>2348</v>
      </c>
      <c r="B1580" s="26">
        <v>33000.0</v>
      </c>
      <c r="C1580" s="18"/>
      <c r="D1580" s="4"/>
      <c r="E1580" s="19">
        <v>0.0</v>
      </c>
      <c r="F1580" s="19">
        <v>5.0</v>
      </c>
      <c r="G1580" s="16" t="s">
        <v>1205</v>
      </c>
      <c r="H1580" s="21"/>
      <c r="I1580" s="22">
        <v>0.0</v>
      </c>
      <c r="J1580" s="29"/>
      <c r="K1580" s="43">
        <v>46297.0</v>
      </c>
      <c r="L1580" s="44">
        <v>58000.0</v>
      </c>
      <c r="M1580" s="25" t="s">
        <v>82</v>
      </c>
      <c r="N1580" s="26">
        <v>52000.0</v>
      </c>
      <c r="O1580" s="27">
        <f t="shared" si="211"/>
        <v>0.2527809577</v>
      </c>
      <c r="P1580" s="28">
        <f t="shared" si="210"/>
        <v>231485</v>
      </c>
    </row>
    <row r="1581" hidden="1">
      <c r="A1581" s="16" t="s">
        <v>2349</v>
      </c>
      <c r="B1581" s="26">
        <v>33000.0</v>
      </c>
      <c r="C1581" s="18"/>
      <c r="D1581" s="4"/>
      <c r="E1581" s="19">
        <v>0.0</v>
      </c>
      <c r="F1581" s="19">
        <v>2.0</v>
      </c>
      <c r="G1581" s="16" t="s">
        <v>1205</v>
      </c>
      <c r="H1581" s="21"/>
      <c r="I1581" s="22">
        <v>1.0</v>
      </c>
      <c r="J1581" s="29"/>
      <c r="K1581" s="43">
        <v>46297.0</v>
      </c>
      <c r="L1581" s="44">
        <v>58000.0</v>
      </c>
      <c r="M1581" s="25" t="s">
        <v>82</v>
      </c>
      <c r="N1581" s="26">
        <v>52000.0</v>
      </c>
      <c r="O1581" s="27">
        <f t="shared" si="211"/>
        <v>0.2527809577</v>
      </c>
      <c r="P1581" s="28">
        <f t="shared" si="210"/>
        <v>92594</v>
      </c>
    </row>
    <row r="1582" hidden="1">
      <c r="A1582" s="16" t="s">
        <v>2350</v>
      </c>
      <c r="B1582" s="26">
        <v>33000.0</v>
      </c>
      <c r="C1582" s="18"/>
      <c r="D1582" s="4"/>
      <c r="E1582" s="19">
        <v>0.0</v>
      </c>
      <c r="F1582" s="19">
        <v>2.0</v>
      </c>
      <c r="G1582" s="16" t="s">
        <v>1205</v>
      </c>
      <c r="H1582" s="21"/>
      <c r="I1582" s="22">
        <v>0.0</v>
      </c>
      <c r="J1582" s="29"/>
      <c r="K1582" s="43">
        <v>46297.0</v>
      </c>
      <c r="L1582" s="44">
        <v>58000.0</v>
      </c>
      <c r="M1582" s="25" t="s">
        <v>82</v>
      </c>
      <c r="N1582" s="26">
        <v>52000.0</v>
      </c>
      <c r="O1582" s="27">
        <f t="shared" si="211"/>
        <v>0.2527809577</v>
      </c>
      <c r="P1582" s="28">
        <f t="shared" si="210"/>
        <v>92594</v>
      </c>
    </row>
    <row r="1583" hidden="1">
      <c r="A1583" s="16" t="s">
        <v>2351</v>
      </c>
      <c r="B1583" s="26">
        <v>33000.0</v>
      </c>
      <c r="C1583" s="18"/>
      <c r="D1583" s="4"/>
      <c r="E1583" s="19">
        <v>0.0</v>
      </c>
      <c r="F1583" s="19">
        <v>1.0</v>
      </c>
      <c r="G1583" s="16" t="s">
        <v>1205</v>
      </c>
      <c r="H1583" s="21"/>
      <c r="I1583" s="22">
        <v>0.0</v>
      </c>
      <c r="J1583" s="29"/>
      <c r="K1583" s="43">
        <v>46297.0</v>
      </c>
      <c r="L1583" s="44">
        <v>58000.0</v>
      </c>
      <c r="M1583" s="25" t="s">
        <v>82</v>
      </c>
      <c r="N1583" s="26">
        <v>52000.0</v>
      </c>
      <c r="O1583" s="27">
        <f t="shared" si="211"/>
        <v>0.2527809577</v>
      </c>
      <c r="P1583" s="28">
        <f t="shared" si="210"/>
        <v>46297</v>
      </c>
    </row>
    <row r="1584" hidden="1">
      <c r="A1584" s="16" t="s">
        <v>2352</v>
      </c>
      <c r="B1584" s="26">
        <v>33000.0</v>
      </c>
      <c r="C1584" s="18"/>
      <c r="D1584" s="4"/>
      <c r="E1584" s="19">
        <v>0.0</v>
      </c>
      <c r="F1584" s="19">
        <v>1.0</v>
      </c>
      <c r="G1584" s="16" t="s">
        <v>1205</v>
      </c>
      <c r="H1584" s="21"/>
      <c r="I1584" s="22">
        <v>0.0</v>
      </c>
      <c r="J1584" s="29"/>
      <c r="K1584" s="43">
        <v>46297.0</v>
      </c>
      <c r="L1584" s="44">
        <v>58000.0</v>
      </c>
      <c r="M1584" s="25" t="s">
        <v>82</v>
      </c>
      <c r="N1584" s="26">
        <v>52000.0</v>
      </c>
      <c r="O1584" s="27">
        <f t="shared" si="211"/>
        <v>0.2527809577</v>
      </c>
      <c r="P1584" s="28">
        <f t="shared" si="210"/>
        <v>46297</v>
      </c>
    </row>
    <row r="1585" hidden="1">
      <c r="A1585" s="16" t="s">
        <v>2353</v>
      </c>
      <c r="B1585" s="36"/>
      <c r="C1585" s="18" t="s">
        <v>985</v>
      </c>
      <c r="D1585" s="4"/>
      <c r="E1585" s="19">
        <v>0.0</v>
      </c>
      <c r="F1585" s="19">
        <v>0.0</v>
      </c>
      <c r="G1585" s="20" t="s">
        <v>1820</v>
      </c>
      <c r="H1585" s="21"/>
      <c r="I1585" s="22">
        <f>15+31</f>
        <v>46</v>
      </c>
      <c r="J1585" s="29"/>
      <c r="K1585" s="48">
        <v>180000.0</v>
      </c>
      <c r="L1585" s="48">
        <v>260000.0</v>
      </c>
      <c r="M1585" s="25" t="s">
        <v>82</v>
      </c>
      <c r="N1585" s="26" t="s">
        <v>2354</v>
      </c>
      <c r="O1585" s="27">
        <f t="shared" si="211"/>
        <v>0.4444444444</v>
      </c>
      <c r="P1585" s="28">
        <f t="shared" si="210"/>
        <v>0</v>
      </c>
    </row>
    <row r="1586" hidden="1">
      <c r="A1586" s="16" t="s">
        <v>2355</v>
      </c>
      <c r="B1586" s="36"/>
      <c r="C1586" s="18" t="s">
        <v>985</v>
      </c>
      <c r="D1586" s="4"/>
      <c r="E1586" s="19">
        <v>0.0</v>
      </c>
      <c r="F1586" s="19">
        <v>0.0</v>
      </c>
      <c r="G1586" s="20" t="s">
        <v>1820</v>
      </c>
      <c r="H1586" s="21"/>
      <c r="I1586" s="22">
        <f>14+15</f>
        <v>29</v>
      </c>
      <c r="J1586" s="29"/>
      <c r="K1586" s="48">
        <v>180000.0</v>
      </c>
      <c r="L1586" s="48">
        <v>260000.0</v>
      </c>
      <c r="M1586" s="25" t="s">
        <v>82</v>
      </c>
      <c r="N1586" s="26">
        <v>220000.0</v>
      </c>
      <c r="O1586" s="27">
        <f t="shared" si="211"/>
        <v>0.4444444444</v>
      </c>
      <c r="P1586" s="28">
        <f t="shared" si="210"/>
        <v>0</v>
      </c>
    </row>
    <row r="1587" hidden="1">
      <c r="A1587" s="16" t="s">
        <v>2356</v>
      </c>
      <c r="B1587" s="36"/>
      <c r="C1587" s="18" t="s">
        <v>985</v>
      </c>
      <c r="D1587" s="4"/>
      <c r="E1587" s="19">
        <v>0.0</v>
      </c>
      <c r="F1587" s="19">
        <v>0.0</v>
      </c>
      <c r="G1587" s="20" t="s">
        <v>1820</v>
      </c>
      <c r="H1587" s="21"/>
      <c r="I1587" s="22">
        <v>29.0</v>
      </c>
      <c r="J1587" s="29"/>
      <c r="K1587" s="48">
        <v>180000.0</v>
      </c>
      <c r="L1587" s="48">
        <v>260000.0</v>
      </c>
      <c r="M1587" s="25" t="s">
        <v>82</v>
      </c>
      <c r="N1587" s="26">
        <v>220000.0</v>
      </c>
      <c r="O1587" s="27">
        <f t="shared" si="211"/>
        <v>0.4444444444</v>
      </c>
      <c r="P1587" s="28">
        <f t="shared" si="210"/>
        <v>0</v>
      </c>
    </row>
    <row r="1588" hidden="1">
      <c r="A1588" s="40" t="s">
        <v>2357</v>
      </c>
      <c r="B1588" s="36"/>
      <c r="C1588" s="18"/>
      <c r="D1588" s="4"/>
      <c r="E1588" s="19">
        <v>0.0</v>
      </c>
      <c r="F1588" s="19"/>
      <c r="G1588" s="16" t="s">
        <v>2269</v>
      </c>
      <c r="H1588" s="21"/>
      <c r="I1588" s="22"/>
      <c r="J1588" s="29"/>
      <c r="K1588" s="43">
        <v>3000.0</v>
      </c>
      <c r="L1588" s="44">
        <v>6000.0</v>
      </c>
      <c r="M1588" s="25" t="s">
        <v>82</v>
      </c>
      <c r="N1588" s="26"/>
      <c r="O1588" s="27">
        <f t="shared" si="211"/>
        <v>1</v>
      </c>
      <c r="P1588" s="28">
        <f t="shared" si="210"/>
        <v>0</v>
      </c>
    </row>
    <row r="1589" hidden="1">
      <c r="A1589" s="16" t="s">
        <v>2358</v>
      </c>
      <c r="B1589" s="17"/>
      <c r="C1589" s="18"/>
      <c r="D1589" s="4"/>
      <c r="E1589" s="19">
        <v>0.0</v>
      </c>
      <c r="F1589" s="19"/>
      <c r="G1589" s="16" t="s">
        <v>57</v>
      </c>
      <c r="H1589" s="21"/>
      <c r="I1589" s="22"/>
      <c r="J1589" s="29"/>
      <c r="K1589" s="43">
        <v>16000.0</v>
      </c>
      <c r="L1589" s="44">
        <v>30000.0</v>
      </c>
      <c r="M1589" s="25" t="s">
        <v>82</v>
      </c>
      <c r="N1589" s="26"/>
      <c r="O1589" s="27">
        <f t="shared" si="211"/>
        <v>0.875</v>
      </c>
      <c r="P1589" s="28">
        <f t="shared" si="210"/>
        <v>0</v>
      </c>
    </row>
    <row r="1590" hidden="1">
      <c r="A1590" s="16" t="s">
        <v>2359</v>
      </c>
      <c r="B1590" s="17"/>
      <c r="C1590" s="18"/>
      <c r="D1590" s="4"/>
      <c r="E1590" s="19">
        <v>0.0</v>
      </c>
      <c r="F1590" s="19"/>
      <c r="G1590" s="16" t="s">
        <v>57</v>
      </c>
      <c r="H1590" s="21"/>
      <c r="I1590" s="22"/>
      <c r="J1590" s="29"/>
      <c r="K1590" s="43">
        <v>16000.0</v>
      </c>
      <c r="L1590" s="44">
        <v>30000.0</v>
      </c>
      <c r="M1590" s="25" t="s">
        <v>82</v>
      </c>
      <c r="N1590" s="26"/>
      <c r="O1590" s="27">
        <f t="shared" si="211"/>
        <v>0.875</v>
      </c>
      <c r="P1590" s="28">
        <f t="shared" si="210"/>
        <v>0</v>
      </c>
    </row>
    <row r="1591" hidden="1">
      <c r="A1591" s="16" t="s">
        <v>2360</v>
      </c>
      <c r="B1591" s="36"/>
      <c r="C1591" s="18"/>
      <c r="D1591" s="4"/>
      <c r="E1591" s="19">
        <v>0.0</v>
      </c>
      <c r="F1591" s="19"/>
      <c r="G1591" s="16" t="s">
        <v>57</v>
      </c>
      <c r="H1591" s="21"/>
      <c r="I1591" s="22"/>
      <c r="J1591" s="29"/>
      <c r="K1591" s="43">
        <v>16000.0</v>
      </c>
      <c r="L1591" s="44">
        <v>30000.0</v>
      </c>
      <c r="M1591" s="25" t="s">
        <v>82</v>
      </c>
      <c r="N1591" s="26"/>
      <c r="O1591" s="27">
        <f t="shared" si="211"/>
        <v>0.875</v>
      </c>
      <c r="P1591" s="28">
        <f t="shared" si="210"/>
        <v>0</v>
      </c>
    </row>
    <row r="1592" hidden="1">
      <c r="A1592" s="16" t="s">
        <v>2361</v>
      </c>
      <c r="B1592" s="17" t="s">
        <v>2362</v>
      </c>
      <c r="C1592" s="18"/>
      <c r="D1592" s="4"/>
      <c r="E1592" s="19">
        <v>0.0</v>
      </c>
      <c r="F1592" s="19">
        <v>0.0</v>
      </c>
      <c r="G1592" s="16" t="s">
        <v>277</v>
      </c>
      <c r="H1592" s="21"/>
      <c r="I1592" s="22">
        <v>1.0</v>
      </c>
      <c r="J1592" s="58">
        <v>45992.0</v>
      </c>
      <c r="K1592" s="48">
        <f>360000/15</f>
        <v>24000</v>
      </c>
      <c r="L1592" s="55">
        <v>36000.0</v>
      </c>
      <c r="M1592" s="25" t="s">
        <v>82</v>
      </c>
      <c r="N1592" s="26">
        <v>30000.0</v>
      </c>
      <c r="O1592" s="27">
        <f t="shared" si="211"/>
        <v>0.5</v>
      </c>
      <c r="P1592" s="28">
        <f t="shared" si="210"/>
        <v>0</v>
      </c>
    </row>
    <row r="1593" hidden="1">
      <c r="A1593" s="16" t="s">
        <v>2363</v>
      </c>
      <c r="B1593" s="17"/>
      <c r="C1593" s="18"/>
      <c r="D1593" s="4"/>
      <c r="E1593" s="19">
        <v>0.0</v>
      </c>
      <c r="F1593" s="19">
        <v>0.0</v>
      </c>
      <c r="G1593" s="16" t="s">
        <v>277</v>
      </c>
      <c r="H1593" s="21"/>
      <c r="I1593" s="22"/>
      <c r="J1593" s="58"/>
      <c r="K1593" s="48">
        <f>360000</f>
        <v>360000</v>
      </c>
      <c r="L1593" s="55">
        <v>460000.0</v>
      </c>
      <c r="M1593" s="25"/>
      <c r="N1593" s="26">
        <v>410000.0</v>
      </c>
      <c r="O1593" s="27"/>
      <c r="P1593" s="28"/>
    </row>
    <row r="1594" hidden="1">
      <c r="A1594" s="16" t="s">
        <v>2364</v>
      </c>
      <c r="B1594" s="26">
        <v>33000.0</v>
      </c>
      <c r="C1594" s="18"/>
      <c r="D1594" s="4"/>
      <c r="E1594" s="19">
        <v>0.0</v>
      </c>
      <c r="F1594" s="19">
        <v>0.0</v>
      </c>
      <c r="G1594" s="16" t="s">
        <v>1205</v>
      </c>
      <c r="H1594" s="21"/>
      <c r="I1594" s="22">
        <v>12.0</v>
      </c>
      <c r="J1594" s="29"/>
      <c r="K1594" s="32">
        <v>33000.0</v>
      </c>
      <c r="L1594" s="24">
        <v>58000.0</v>
      </c>
      <c r="M1594" s="25" t="s">
        <v>82</v>
      </c>
      <c r="N1594" s="26">
        <v>52000.0</v>
      </c>
      <c r="O1594" s="27">
        <f t="shared" ref="O1594:O1661" si="212">(L1594/K1594)-1</f>
        <v>0.7575757576</v>
      </c>
      <c r="P1594" s="28">
        <f t="shared" ref="P1594:P1661" si="213">K1594*F1594</f>
        <v>0</v>
      </c>
    </row>
    <row r="1595" hidden="1">
      <c r="A1595" s="16" t="s">
        <v>2365</v>
      </c>
      <c r="B1595" s="26">
        <v>33000.0</v>
      </c>
      <c r="C1595" s="18"/>
      <c r="D1595" s="4"/>
      <c r="E1595" s="19">
        <v>0.0</v>
      </c>
      <c r="F1595" s="19">
        <v>16.0</v>
      </c>
      <c r="G1595" s="16" t="s">
        <v>1205</v>
      </c>
      <c r="H1595" s="21"/>
      <c r="I1595" s="22">
        <v>0.0</v>
      </c>
      <c r="J1595" s="29"/>
      <c r="K1595" s="32">
        <v>33000.0</v>
      </c>
      <c r="L1595" s="24">
        <v>58000.0</v>
      </c>
      <c r="M1595" s="25" t="s">
        <v>82</v>
      </c>
      <c r="N1595" s="26">
        <v>52000.0</v>
      </c>
      <c r="O1595" s="27">
        <f t="shared" si="212"/>
        <v>0.7575757576</v>
      </c>
      <c r="P1595" s="28">
        <f t="shared" si="213"/>
        <v>528000</v>
      </c>
    </row>
    <row r="1596" hidden="1">
      <c r="A1596" s="16" t="s">
        <v>2366</v>
      </c>
      <c r="B1596" s="26">
        <v>33000.0</v>
      </c>
      <c r="C1596" s="18"/>
      <c r="D1596" s="4"/>
      <c r="E1596" s="19">
        <v>0.0</v>
      </c>
      <c r="F1596" s="19">
        <v>0.0</v>
      </c>
      <c r="G1596" s="16" t="s">
        <v>1205</v>
      </c>
      <c r="H1596" s="21"/>
      <c r="I1596" s="22">
        <v>0.0</v>
      </c>
      <c r="J1596" s="29"/>
      <c r="K1596" s="32">
        <v>33000.0</v>
      </c>
      <c r="L1596" s="24">
        <v>58000.0</v>
      </c>
      <c r="M1596" s="25" t="s">
        <v>82</v>
      </c>
      <c r="N1596" s="26">
        <v>52000.0</v>
      </c>
      <c r="O1596" s="27">
        <f t="shared" si="212"/>
        <v>0.7575757576</v>
      </c>
      <c r="P1596" s="28">
        <f t="shared" si="213"/>
        <v>0</v>
      </c>
    </row>
    <row r="1597" hidden="1">
      <c r="A1597" s="16" t="s">
        <v>2367</v>
      </c>
      <c r="B1597" s="36"/>
      <c r="C1597" s="18"/>
      <c r="D1597" s="4"/>
      <c r="E1597" s="19">
        <v>0.0</v>
      </c>
      <c r="F1597" s="19">
        <v>0.0</v>
      </c>
      <c r="G1597" s="16" t="s">
        <v>84</v>
      </c>
      <c r="H1597" s="21"/>
      <c r="I1597" s="22">
        <v>0.0</v>
      </c>
      <c r="J1597" s="29"/>
      <c r="K1597" s="43">
        <v>27000.0</v>
      </c>
      <c r="L1597" s="44">
        <v>48000.0</v>
      </c>
      <c r="M1597" s="25" t="s">
        <v>82</v>
      </c>
      <c r="N1597" s="26"/>
      <c r="O1597" s="27">
        <f t="shared" si="212"/>
        <v>0.7777777778</v>
      </c>
      <c r="P1597" s="28">
        <f t="shared" si="213"/>
        <v>0</v>
      </c>
    </row>
    <row r="1598" hidden="1">
      <c r="A1598" s="42" t="s">
        <v>2368</v>
      </c>
      <c r="B1598" s="17"/>
      <c r="C1598" s="18"/>
      <c r="D1598" s="4"/>
      <c r="E1598" s="19">
        <v>0.0</v>
      </c>
      <c r="F1598" s="19"/>
      <c r="G1598" s="16" t="s">
        <v>767</v>
      </c>
      <c r="H1598" s="21"/>
      <c r="I1598" s="22"/>
      <c r="J1598" s="29"/>
      <c r="K1598" s="32">
        <v>88000.0</v>
      </c>
      <c r="L1598" s="32">
        <v>130000.0</v>
      </c>
      <c r="M1598" s="25" t="s">
        <v>82</v>
      </c>
      <c r="N1598" s="26"/>
      <c r="O1598" s="27">
        <f t="shared" si="212"/>
        <v>0.4772727273</v>
      </c>
      <c r="P1598" s="28">
        <f t="shared" si="213"/>
        <v>0</v>
      </c>
    </row>
    <row r="1599" hidden="1">
      <c r="A1599" s="42" t="s">
        <v>2369</v>
      </c>
      <c r="B1599" s="17"/>
      <c r="C1599" s="18"/>
      <c r="D1599" s="4"/>
      <c r="E1599" s="19">
        <v>0.0</v>
      </c>
      <c r="F1599" s="19"/>
      <c r="G1599" s="16" t="s">
        <v>767</v>
      </c>
      <c r="H1599" s="21"/>
      <c r="I1599" s="22"/>
      <c r="J1599" s="29"/>
      <c r="K1599" s="32">
        <v>93000.0</v>
      </c>
      <c r="L1599" s="32">
        <v>130000.0</v>
      </c>
      <c r="M1599" s="25" t="s">
        <v>82</v>
      </c>
      <c r="N1599" s="26"/>
      <c r="O1599" s="27">
        <f t="shared" si="212"/>
        <v>0.3978494624</v>
      </c>
      <c r="P1599" s="28">
        <f t="shared" si="213"/>
        <v>0</v>
      </c>
    </row>
    <row r="1600" hidden="1">
      <c r="A1600" s="16" t="s">
        <v>2370</v>
      </c>
      <c r="B1600" s="42" t="s">
        <v>2371</v>
      </c>
      <c r="C1600" s="18"/>
      <c r="D1600" s="4"/>
      <c r="E1600" s="19">
        <v>0.0</v>
      </c>
      <c r="F1600" s="19">
        <v>0.0</v>
      </c>
      <c r="G1600" s="16" t="s">
        <v>473</v>
      </c>
      <c r="H1600" s="21"/>
      <c r="I1600" s="22"/>
      <c r="J1600" s="29"/>
      <c r="K1600" s="48">
        <v>22880.0</v>
      </c>
      <c r="L1600" s="55">
        <v>38000.0</v>
      </c>
      <c r="M1600" s="25" t="s">
        <v>82</v>
      </c>
      <c r="N1600" s="26"/>
      <c r="O1600" s="27">
        <f t="shared" si="212"/>
        <v>0.6608391608</v>
      </c>
      <c r="P1600" s="28">
        <f t="shared" si="213"/>
        <v>0</v>
      </c>
    </row>
    <row r="1601" hidden="1">
      <c r="A1601" s="16" t="s">
        <v>2372</v>
      </c>
      <c r="B1601" s="42" t="s">
        <v>2371</v>
      </c>
      <c r="C1601" s="18"/>
      <c r="D1601" s="4"/>
      <c r="E1601" s="19">
        <v>0.0</v>
      </c>
      <c r="F1601" s="19">
        <v>0.0</v>
      </c>
      <c r="G1601" s="16" t="s">
        <v>473</v>
      </c>
      <c r="H1601" s="21"/>
      <c r="I1601" s="22"/>
      <c r="J1601" s="29"/>
      <c r="K1601" s="48">
        <v>22880.0</v>
      </c>
      <c r="L1601" s="55">
        <v>38000.0</v>
      </c>
      <c r="M1601" s="25" t="s">
        <v>82</v>
      </c>
      <c r="N1601" s="26"/>
      <c r="O1601" s="27">
        <f t="shared" si="212"/>
        <v>0.6608391608</v>
      </c>
      <c r="P1601" s="28">
        <f t="shared" si="213"/>
        <v>0</v>
      </c>
    </row>
    <row r="1602" hidden="1">
      <c r="A1602" s="16" t="s">
        <v>2373</v>
      </c>
      <c r="B1602" s="42" t="s">
        <v>2371</v>
      </c>
      <c r="C1602" s="18" t="s">
        <v>144</v>
      </c>
      <c r="D1602" s="4">
        <v>22000.0</v>
      </c>
      <c r="E1602" s="19">
        <v>0.0</v>
      </c>
      <c r="F1602" s="19">
        <v>0.0</v>
      </c>
      <c r="G1602" s="16" t="s">
        <v>473</v>
      </c>
      <c r="H1602" s="21"/>
      <c r="I1602" s="22"/>
      <c r="J1602" s="29"/>
      <c r="K1602" s="48">
        <v>22880.0</v>
      </c>
      <c r="L1602" s="55">
        <v>38000.0</v>
      </c>
      <c r="M1602" s="25" t="s">
        <v>82</v>
      </c>
      <c r="N1602" s="26">
        <v>28000.0</v>
      </c>
      <c r="O1602" s="27">
        <f t="shared" si="212"/>
        <v>0.6608391608</v>
      </c>
      <c r="P1602" s="28">
        <f t="shared" si="213"/>
        <v>0</v>
      </c>
    </row>
    <row r="1603" hidden="1">
      <c r="A1603" s="16" t="s">
        <v>2374</v>
      </c>
      <c r="B1603" s="156"/>
      <c r="C1603" s="18"/>
      <c r="D1603" s="4"/>
      <c r="E1603" s="19">
        <v>0.0</v>
      </c>
      <c r="F1603" s="19">
        <v>5.0</v>
      </c>
      <c r="G1603" s="16" t="s">
        <v>2375</v>
      </c>
      <c r="H1603" s="21"/>
      <c r="I1603" s="22"/>
      <c r="J1603" s="29"/>
      <c r="K1603" s="32">
        <v>25000.0</v>
      </c>
      <c r="L1603" s="24">
        <v>36000.0</v>
      </c>
      <c r="M1603" s="25" t="s">
        <v>82</v>
      </c>
      <c r="N1603" s="26"/>
      <c r="O1603" s="27">
        <f t="shared" si="212"/>
        <v>0.44</v>
      </c>
      <c r="P1603" s="28">
        <f t="shared" si="213"/>
        <v>125000</v>
      </c>
    </row>
    <row r="1604" hidden="1">
      <c r="A1604" s="16" t="s">
        <v>2376</v>
      </c>
      <c r="B1604" s="156"/>
      <c r="C1604" s="18"/>
      <c r="D1604" s="4"/>
      <c r="E1604" s="19">
        <v>0.0</v>
      </c>
      <c r="F1604" s="19">
        <v>5.0</v>
      </c>
      <c r="G1604" s="16" t="s">
        <v>2375</v>
      </c>
      <c r="H1604" s="21"/>
      <c r="I1604" s="22"/>
      <c r="J1604" s="47">
        <v>46419.0</v>
      </c>
      <c r="K1604" s="32">
        <v>25000.0</v>
      </c>
      <c r="L1604" s="24">
        <v>36000.0</v>
      </c>
      <c r="M1604" s="25" t="s">
        <v>82</v>
      </c>
      <c r="N1604" s="26"/>
      <c r="O1604" s="27">
        <f t="shared" si="212"/>
        <v>0.44</v>
      </c>
      <c r="P1604" s="28">
        <f t="shared" si="213"/>
        <v>125000</v>
      </c>
    </row>
    <row r="1605" hidden="1">
      <c r="A1605" s="42" t="s">
        <v>2377</v>
      </c>
      <c r="B1605" s="17"/>
      <c r="C1605" s="18"/>
      <c r="D1605" s="4"/>
      <c r="E1605" s="19">
        <v>0.0</v>
      </c>
      <c r="F1605" s="19">
        <v>0.0</v>
      </c>
      <c r="G1605" s="16" t="s">
        <v>84</v>
      </c>
      <c r="H1605" s="21"/>
      <c r="I1605" s="22">
        <v>0.0</v>
      </c>
      <c r="J1605" s="29"/>
      <c r="K1605" s="43">
        <v>31600.0</v>
      </c>
      <c r="L1605" s="44">
        <v>44000.0</v>
      </c>
      <c r="M1605" s="25" t="s">
        <v>82</v>
      </c>
      <c r="N1605" s="26"/>
      <c r="O1605" s="27">
        <f t="shared" si="212"/>
        <v>0.3924050633</v>
      </c>
      <c r="P1605" s="28">
        <f t="shared" si="213"/>
        <v>0</v>
      </c>
    </row>
    <row r="1606" hidden="1">
      <c r="A1606" s="42" t="s">
        <v>2378</v>
      </c>
      <c r="B1606" s="17"/>
      <c r="C1606" s="18"/>
      <c r="D1606" s="4"/>
      <c r="E1606" s="19">
        <v>0.0</v>
      </c>
      <c r="F1606" s="19">
        <v>0.0</v>
      </c>
      <c r="G1606" s="16" t="s">
        <v>84</v>
      </c>
      <c r="H1606" s="21"/>
      <c r="I1606" s="22">
        <v>0.0</v>
      </c>
      <c r="J1606" s="29"/>
      <c r="K1606" s="43">
        <v>31600.0</v>
      </c>
      <c r="L1606" s="44">
        <v>44000.0</v>
      </c>
      <c r="M1606" s="25" t="s">
        <v>82</v>
      </c>
      <c r="N1606" s="26"/>
      <c r="O1606" s="27">
        <f t="shared" si="212"/>
        <v>0.3924050633</v>
      </c>
      <c r="P1606" s="28">
        <f t="shared" si="213"/>
        <v>0</v>
      </c>
    </row>
    <row r="1607" hidden="1">
      <c r="A1607" s="16" t="s">
        <v>2379</v>
      </c>
      <c r="B1607" s="51" t="s">
        <v>2380</v>
      </c>
      <c r="C1607" s="18" t="s">
        <v>144</v>
      </c>
      <c r="D1607" s="4">
        <v>62500.0</v>
      </c>
      <c r="E1607" s="19">
        <v>0.0</v>
      </c>
      <c r="F1607" s="77">
        <v>0.0</v>
      </c>
      <c r="G1607" s="20" t="s">
        <v>78</v>
      </c>
      <c r="H1607" s="21">
        <v>2.0</v>
      </c>
      <c r="I1607" s="22">
        <v>1.0</v>
      </c>
      <c r="J1607" s="23"/>
      <c r="K1607" s="24">
        <v>76458.0</v>
      </c>
      <c r="L1607" s="24">
        <v>98000.0</v>
      </c>
      <c r="M1607" s="25" t="s">
        <v>82</v>
      </c>
      <c r="N1607" s="26">
        <v>88000.0</v>
      </c>
      <c r="O1607" s="27">
        <f t="shared" si="212"/>
        <v>0.2817494572</v>
      </c>
      <c r="P1607" s="28">
        <f t="shared" si="213"/>
        <v>0</v>
      </c>
    </row>
    <row r="1608" hidden="1">
      <c r="A1608" s="16" t="s">
        <v>2381</v>
      </c>
      <c r="B1608" s="51"/>
      <c r="C1608" s="18"/>
      <c r="D1608" s="4"/>
      <c r="E1608" s="19">
        <v>0.0</v>
      </c>
      <c r="F1608" s="19">
        <v>0.0</v>
      </c>
      <c r="G1608" s="20" t="s">
        <v>78</v>
      </c>
      <c r="H1608" s="21">
        <v>1.0</v>
      </c>
      <c r="I1608" s="22">
        <v>2.0</v>
      </c>
      <c r="J1608" s="23"/>
      <c r="K1608" s="24">
        <v>76458.0</v>
      </c>
      <c r="L1608" s="24">
        <v>98000.0</v>
      </c>
      <c r="M1608" s="25" t="s">
        <v>82</v>
      </c>
      <c r="N1608" s="26">
        <v>88000.0</v>
      </c>
      <c r="O1608" s="27">
        <f t="shared" si="212"/>
        <v>0.2817494572</v>
      </c>
      <c r="P1608" s="28">
        <f t="shared" si="213"/>
        <v>0</v>
      </c>
    </row>
    <row r="1609" hidden="1">
      <c r="A1609" s="16" t="s">
        <v>2382</v>
      </c>
      <c r="B1609" s="51"/>
      <c r="C1609" s="18"/>
      <c r="D1609" s="4"/>
      <c r="E1609" s="19">
        <v>0.0</v>
      </c>
      <c r="F1609" s="77">
        <v>0.0</v>
      </c>
      <c r="G1609" s="20" t="s">
        <v>78</v>
      </c>
      <c r="H1609" s="21">
        <v>1.0</v>
      </c>
      <c r="I1609" s="22">
        <v>0.0</v>
      </c>
      <c r="J1609" s="23"/>
      <c r="K1609" s="24">
        <v>76458.0</v>
      </c>
      <c r="L1609" s="24">
        <v>98000.0</v>
      </c>
      <c r="M1609" s="25" t="s">
        <v>82</v>
      </c>
      <c r="N1609" s="26">
        <v>88000.0</v>
      </c>
      <c r="O1609" s="27">
        <f t="shared" si="212"/>
        <v>0.2817494572</v>
      </c>
      <c r="P1609" s="28">
        <f t="shared" si="213"/>
        <v>0</v>
      </c>
    </row>
    <row r="1610" hidden="1">
      <c r="A1610" s="16" t="s">
        <v>2383</v>
      </c>
      <c r="B1610" s="51"/>
      <c r="C1610" s="18"/>
      <c r="D1610" s="4"/>
      <c r="E1610" s="19">
        <v>0.0</v>
      </c>
      <c r="F1610" s="19">
        <v>0.0</v>
      </c>
      <c r="G1610" s="20" t="s">
        <v>78</v>
      </c>
      <c r="H1610" s="21">
        <v>1.0</v>
      </c>
      <c r="I1610" s="22">
        <v>2.0</v>
      </c>
      <c r="J1610" s="23"/>
      <c r="K1610" s="24">
        <v>76458.0</v>
      </c>
      <c r="L1610" s="24">
        <v>98000.0</v>
      </c>
      <c r="M1610" s="25" t="s">
        <v>82</v>
      </c>
      <c r="N1610" s="26">
        <v>88000.0</v>
      </c>
      <c r="O1610" s="27">
        <f t="shared" si="212"/>
        <v>0.2817494572</v>
      </c>
      <c r="P1610" s="28">
        <f t="shared" si="213"/>
        <v>0</v>
      </c>
    </row>
    <row r="1611" hidden="1">
      <c r="A1611" s="16" t="s">
        <v>2384</v>
      </c>
      <c r="B1611" s="51"/>
      <c r="C1611" s="18" t="s">
        <v>144</v>
      </c>
      <c r="D1611" s="4">
        <v>62500.0</v>
      </c>
      <c r="E1611" s="19">
        <v>0.0</v>
      </c>
      <c r="F1611" s="77">
        <v>0.0</v>
      </c>
      <c r="G1611" s="20" t="s">
        <v>78</v>
      </c>
      <c r="H1611" s="21">
        <v>2.0</v>
      </c>
      <c r="I1611" s="22">
        <v>1.0</v>
      </c>
      <c r="J1611" s="23"/>
      <c r="K1611" s="24">
        <v>76458.0</v>
      </c>
      <c r="L1611" s="24">
        <v>98000.0</v>
      </c>
      <c r="M1611" s="25" t="s">
        <v>82</v>
      </c>
      <c r="N1611" s="26">
        <v>88000.0</v>
      </c>
      <c r="O1611" s="27">
        <f t="shared" si="212"/>
        <v>0.2817494572</v>
      </c>
      <c r="P1611" s="28">
        <f t="shared" si="213"/>
        <v>0</v>
      </c>
    </row>
    <row r="1612" hidden="1">
      <c r="A1612" s="16" t="s">
        <v>2385</v>
      </c>
      <c r="B1612" s="51"/>
      <c r="C1612" s="18"/>
      <c r="D1612" s="4"/>
      <c r="E1612" s="19">
        <v>0.0</v>
      </c>
      <c r="F1612" s="19">
        <v>0.0</v>
      </c>
      <c r="G1612" s="20" t="s">
        <v>78</v>
      </c>
      <c r="H1612" s="21">
        <v>1.0</v>
      </c>
      <c r="I1612" s="22">
        <v>4.0</v>
      </c>
      <c r="J1612" s="23"/>
      <c r="K1612" s="24">
        <v>76458.0</v>
      </c>
      <c r="L1612" s="24">
        <v>98000.0</v>
      </c>
      <c r="M1612" s="25" t="s">
        <v>82</v>
      </c>
      <c r="N1612" s="26">
        <v>88000.0</v>
      </c>
      <c r="O1612" s="27">
        <f t="shared" si="212"/>
        <v>0.2817494572</v>
      </c>
      <c r="P1612" s="28">
        <f t="shared" si="213"/>
        <v>0</v>
      </c>
    </row>
    <row r="1613" hidden="1">
      <c r="A1613" s="16" t="s">
        <v>2386</v>
      </c>
      <c r="B1613" s="51"/>
      <c r="C1613" s="18" t="s">
        <v>144</v>
      </c>
      <c r="D1613" s="4">
        <v>62500.0</v>
      </c>
      <c r="E1613" s="19">
        <v>0.0</v>
      </c>
      <c r="F1613" s="77">
        <v>0.0</v>
      </c>
      <c r="G1613" s="20" t="s">
        <v>78</v>
      </c>
      <c r="H1613" s="21">
        <v>1.0</v>
      </c>
      <c r="I1613" s="22">
        <v>0.0</v>
      </c>
      <c r="J1613" s="47">
        <v>46447.0</v>
      </c>
      <c r="K1613" s="24">
        <v>76458.0</v>
      </c>
      <c r="L1613" s="24">
        <v>98000.0</v>
      </c>
      <c r="M1613" s="25" t="s">
        <v>82</v>
      </c>
      <c r="N1613" s="26">
        <v>88000.0</v>
      </c>
      <c r="O1613" s="27">
        <f t="shared" si="212"/>
        <v>0.2817494572</v>
      </c>
      <c r="P1613" s="28">
        <f t="shared" si="213"/>
        <v>0</v>
      </c>
    </row>
    <row r="1614" hidden="1">
      <c r="A1614" s="16" t="s">
        <v>2387</v>
      </c>
      <c r="B1614" s="51"/>
      <c r="C1614" s="18" t="s">
        <v>144</v>
      </c>
      <c r="D1614" s="4">
        <v>62500.0</v>
      </c>
      <c r="E1614" s="19">
        <v>0.0</v>
      </c>
      <c r="F1614" s="19">
        <v>0.0</v>
      </c>
      <c r="G1614" s="20" t="s">
        <v>78</v>
      </c>
      <c r="H1614" s="21">
        <v>1.0</v>
      </c>
      <c r="I1614" s="22">
        <v>7.0</v>
      </c>
      <c r="J1614" s="47">
        <v>46508.0</v>
      </c>
      <c r="K1614" s="24">
        <v>76458.0</v>
      </c>
      <c r="L1614" s="24">
        <v>98000.0</v>
      </c>
      <c r="M1614" s="25" t="s">
        <v>82</v>
      </c>
      <c r="N1614" s="26">
        <v>88000.0</v>
      </c>
      <c r="O1614" s="27">
        <f t="shared" si="212"/>
        <v>0.2817494572</v>
      </c>
      <c r="P1614" s="28">
        <f t="shared" si="213"/>
        <v>0</v>
      </c>
    </row>
    <row r="1615" hidden="1">
      <c r="A1615" s="16" t="s">
        <v>2388</v>
      </c>
      <c r="B1615" s="51"/>
      <c r="C1615" s="18" t="s">
        <v>144</v>
      </c>
      <c r="D1615" s="4">
        <v>62500.0</v>
      </c>
      <c r="E1615" s="19">
        <v>0.0</v>
      </c>
      <c r="F1615" s="19">
        <v>0.0</v>
      </c>
      <c r="G1615" s="20" t="s">
        <v>78</v>
      </c>
      <c r="H1615" s="21">
        <v>1.0</v>
      </c>
      <c r="I1615" s="22">
        <v>0.0</v>
      </c>
      <c r="J1615" s="47">
        <v>46448.0</v>
      </c>
      <c r="K1615" s="24">
        <v>76458.0</v>
      </c>
      <c r="L1615" s="24">
        <v>98000.0</v>
      </c>
      <c r="M1615" s="25" t="s">
        <v>82</v>
      </c>
      <c r="N1615" s="26">
        <v>88000.0</v>
      </c>
      <c r="O1615" s="27">
        <f t="shared" si="212"/>
        <v>0.2817494572</v>
      </c>
      <c r="P1615" s="28">
        <f t="shared" si="213"/>
        <v>0</v>
      </c>
    </row>
    <row r="1616" hidden="1">
      <c r="A1616" s="16" t="s">
        <v>2389</v>
      </c>
      <c r="B1616" s="51"/>
      <c r="C1616" s="38"/>
      <c r="D1616" s="4"/>
      <c r="E1616" s="19">
        <v>0.0</v>
      </c>
      <c r="F1616" s="19">
        <v>0.0</v>
      </c>
      <c r="G1616" s="20" t="s">
        <v>78</v>
      </c>
      <c r="H1616" s="21">
        <v>2.0</v>
      </c>
      <c r="I1616" s="22">
        <v>3.0</v>
      </c>
      <c r="J1616" s="47">
        <v>46447.0</v>
      </c>
      <c r="K1616" s="24">
        <v>76458.0</v>
      </c>
      <c r="L1616" s="24">
        <v>98000.0</v>
      </c>
      <c r="M1616" s="25" t="s">
        <v>82</v>
      </c>
      <c r="N1616" s="26">
        <v>88000.0</v>
      </c>
      <c r="O1616" s="27">
        <f t="shared" si="212"/>
        <v>0.2817494572</v>
      </c>
      <c r="P1616" s="28">
        <f t="shared" si="213"/>
        <v>0</v>
      </c>
    </row>
    <row r="1617" hidden="1">
      <c r="A1617" s="16" t="s">
        <v>2390</v>
      </c>
      <c r="B1617" s="51"/>
      <c r="C1617" s="18" t="s">
        <v>144</v>
      </c>
      <c r="D1617" s="4">
        <v>62500.0</v>
      </c>
      <c r="E1617" s="19">
        <v>2.0</v>
      </c>
      <c r="F1617" s="19">
        <v>0.0</v>
      </c>
      <c r="G1617" s="20" t="s">
        <v>78</v>
      </c>
      <c r="H1617" s="21">
        <v>0.0</v>
      </c>
      <c r="I1617" s="22">
        <v>4.0</v>
      </c>
      <c r="J1617" s="47">
        <v>46478.0</v>
      </c>
      <c r="K1617" s="24">
        <v>76458.0</v>
      </c>
      <c r="L1617" s="24">
        <v>98000.0</v>
      </c>
      <c r="M1617" s="25" t="s">
        <v>82</v>
      </c>
      <c r="N1617" s="26">
        <v>88000.0</v>
      </c>
      <c r="O1617" s="27">
        <f t="shared" si="212"/>
        <v>0.2817494572</v>
      </c>
      <c r="P1617" s="28">
        <f t="shared" si="213"/>
        <v>0</v>
      </c>
    </row>
    <row r="1618" hidden="1">
      <c r="A1618" s="16" t="s">
        <v>2391</v>
      </c>
      <c r="B1618" s="51"/>
      <c r="C1618" s="38"/>
      <c r="D1618" s="4"/>
      <c r="E1618" s="19">
        <v>0.0</v>
      </c>
      <c r="F1618" s="19">
        <v>0.0</v>
      </c>
      <c r="G1618" s="20" t="s">
        <v>78</v>
      </c>
      <c r="H1618" s="21">
        <v>2.0</v>
      </c>
      <c r="I1618" s="22">
        <v>4.0</v>
      </c>
      <c r="J1618" s="47">
        <v>46479.0</v>
      </c>
      <c r="K1618" s="24">
        <v>76458.0</v>
      </c>
      <c r="L1618" s="24">
        <v>98000.0</v>
      </c>
      <c r="M1618" s="25" t="s">
        <v>82</v>
      </c>
      <c r="N1618" s="26">
        <v>88000.0</v>
      </c>
      <c r="O1618" s="27">
        <f t="shared" si="212"/>
        <v>0.2817494572</v>
      </c>
      <c r="P1618" s="28">
        <f t="shared" si="213"/>
        <v>0</v>
      </c>
    </row>
    <row r="1619" hidden="1">
      <c r="A1619" s="16" t="s">
        <v>2392</v>
      </c>
      <c r="B1619" s="36"/>
      <c r="C1619" s="68"/>
      <c r="D1619" s="4"/>
      <c r="E1619" s="19">
        <v>0.0</v>
      </c>
      <c r="F1619" s="19">
        <v>0.0</v>
      </c>
      <c r="G1619" s="20" t="s">
        <v>14</v>
      </c>
      <c r="H1619" s="21">
        <v>1.0</v>
      </c>
      <c r="I1619" s="22">
        <v>0.0</v>
      </c>
      <c r="J1619" s="23"/>
      <c r="K1619" s="55">
        <v>97600.0</v>
      </c>
      <c r="L1619" s="55">
        <v>120000.0</v>
      </c>
      <c r="M1619" s="25" t="s">
        <v>82</v>
      </c>
      <c r="N1619" s="26">
        <v>102000.0</v>
      </c>
      <c r="O1619" s="27">
        <f t="shared" si="212"/>
        <v>0.2295081967</v>
      </c>
      <c r="P1619" s="28">
        <f t="shared" si="213"/>
        <v>0</v>
      </c>
    </row>
    <row r="1620" hidden="1">
      <c r="A1620" s="16" t="s">
        <v>2393</v>
      </c>
      <c r="B1620" s="36"/>
      <c r="C1620" s="18"/>
      <c r="D1620" s="4"/>
      <c r="E1620" s="19">
        <v>0.0</v>
      </c>
      <c r="F1620" s="19">
        <v>0.0</v>
      </c>
      <c r="G1620" s="20" t="s">
        <v>14</v>
      </c>
      <c r="H1620" s="21">
        <v>1.0</v>
      </c>
      <c r="I1620" s="22">
        <v>0.0</v>
      </c>
      <c r="J1620" s="23"/>
      <c r="K1620" s="55">
        <v>97600.0</v>
      </c>
      <c r="L1620" s="55">
        <v>120000.0</v>
      </c>
      <c r="M1620" s="25" t="s">
        <v>82</v>
      </c>
      <c r="N1620" s="26">
        <v>102000.0</v>
      </c>
      <c r="O1620" s="27">
        <f t="shared" si="212"/>
        <v>0.2295081967</v>
      </c>
      <c r="P1620" s="28">
        <f t="shared" si="213"/>
        <v>0</v>
      </c>
    </row>
    <row r="1621" hidden="1">
      <c r="A1621" s="16" t="s">
        <v>2394</v>
      </c>
      <c r="B1621" s="36" t="s">
        <v>2395</v>
      </c>
      <c r="C1621" s="18"/>
      <c r="D1621" s="4"/>
      <c r="E1621" s="19">
        <v>0.0</v>
      </c>
      <c r="F1621" s="19">
        <v>0.0</v>
      </c>
      <c r="G1621" s="20" t="s">
        <v>14</v>
      </c>
      <c r="H1621" s="21">
        <v>6.0</v>
      </c>
      <c r="I1621" s="22">
        <v>15.0</v>
      </c>
      <c r="J1621" s="47">
        <v>46447.0</v>
      </c>
      <c r="K1621" s="55">
        <v>97600.0</v>
      </c>
      <c r="L1621" s="55">
        <v>120000.0</v>
      </c>
      <c r="M1621" s="25" t="s">
        <v>82</v>
      </c>
      <c r="N1621" s="26">
        <v>102000.0</v>
      </c>
      <c r="O1621" s="27">
        <f t="shared" si="212"/>
        <v>0.2295081967</v>
      </c>
      <c r="P1621" s="28">
        <f t="shared" si="213"/>
        <v>0</v>
      </c>
    </row>
    <row r="1622" hidden="1">
      <c r="A1622" s="16" t="s">
        <v>2396</v>
      </c>
      <c r="B1622" s="36" t="s">
        <v>2395</v>
      </c>
      <c r="C1622" s="18"/>
      <c r="D1622" s="4"/>
      <c r="E1622" s="19">
        <v>0.0</v>
      </c>
      <c r="F1622" s="19">
        <v>0.0</v>
      </c>
      <c r="G1622" s="20" t="s">
        <v>14</v>
      </c>
      <c r="H1622" s="21">
        <v>11.0</v>
      </c>
      <c r="I1622" s="22">
        <v>10.0</v>
      </c>
      <c r="J1622" s="47">
        <v>46419.0</v>
      </c>
      <c r="K1622" s="55">
        <v>97600.0</v>
      </c>
      <c r="L1622" s="55">
        <v>120000.0</v>
      </c>
      <c r="M1622" s="25" t="s">
        <v>82</v>
      </c>
      <c r="N1622" s="26">
        <v>102000.0</v>
      </c>
      <c r="O1622" s="27">
        <f t="shared" si="212"/>
        <v>0.2295081967</v>
      </c>
      <c r="P1622" s="28">
        <f t="shared" si="213"/>
        <v>0</v>
      </c>
    </row>
    <row r="1623" hidden="1">
      <c r="A1623" s="16" t="s">
        <v>2397</v>
      </c>
      <c r="B1623" s="36"/>
      <c r="C1623" s="18"/>
      <c r="D1623" s="4"/>
      <c r="E1623" s="19">
        <v>0.0</v>
      </c>
      <c r="F1623" s="19">
        <v>0.0</v>
      </c>
      <c r="G1623" s="20" t="s">
        <v>14</v>
      </c>
      <c r="H1623" s="21">
        <v>0.0</v>
      </c>
      <c r="I1623" s="22">
        <v>0.0</v>
      </c>
      <c r="J1623" s="47">
        <v>46478.0</v>
      </c>
      <c r="K1623" s="43">
        <v>26700.0</v>
      </c>
      <c r="L1623" s="44">
        <v>38000.0</v>
      </c>
      <c r="M1623" s="25" t="s">
        <v>82</v>
      </c>
      <c r="N1623" s="26"/>
      <c r="O1623" s="27">
        <f t="shared" si="212"/>
        <v>0.4232209738</v>
      </c>
      <c r="P1623" s="28">
        <f t="shared" si="213"/>
        <v>0</v>
      </c>
    </row>
    <row r="1624" hidden="1">
      <c r="A1624" s="16" t="s">
        <v>2398</v>
      </c>
      <c r="B1624" s="36"/>
      <c r="C1624" s="18"/>
      <c r="D1624" s="4"/>
      <c r="E1624" s="19">
        <v>0.0</v>
      </c>
      <c r="F1624" s="19">
        <v>0.0</v>
      </c>
      <c r="G1624" s="20" t="s">
        <v>14</v>
      </c>
      <c r="H1624" s="21">
        <v>0.0</v>
      </c>
      <c r="I1624" s="22">
        <v>0.0</v>
      </c>
      <c r="J1624" s="47">
        <v>46478.0</v>
      </c>
      <c r="K1624" s="43">
        <v>26700.0</v>
      </c>
      <c r="L1624" s="44">
        <v>38000.0</v>
      </c>
      <c r="M1624" s="25" t="s">
        <v>82</v>
      </c>
      <c r="N1624" s="26"/>
      <c r="O1624" s="27">
        <f t="shared" si="212"/>
        <v>0.4232209738</v>
      </c>
      <c r="P1624" s="28">
        <f t="shared" si="213"/>
        <v>0</v>
      </c>
    </row>
    <row r="1625" hidden="1">
      <c r="A1625" s="16" t="s">
        <v>2399</v>
      </c>
      <c r="B1625" s="36"/>
      <c r="C1625" s="18"/>
      <c r="D1625" s="4"/>
      <c r="E1625" s="19">
        <v>0.0</v>
      </c>
      <c r="F1625" s="19">
        <v>0.0</v>
      </c>
      <c r="G1625" s="20" t="s">
        <v>14</v>
      </c>
      <c r="H1625" s="21">
        <v>0.0</v>
      </c>
      <c r="I1625" s="22">
        <v>0.0</v>
      </c>
      <c r="J1625" s="29"/>
      <c r="K1625" s="43">
        <v>26700.0</v>
      </c>
      <c r="L1625" s="44">
        <v>38000.0</v>
      </c>
      <c r="M1625" s="25" t="s">
        <v>82</v>
      </c>
      <c r="N1625" s="26"/>
      <c r="O1625" s="27">
        <f t="shared" si="212"/>
        <v>0.4232209738</v>
      </c>
      <c r="P1625" s="28">
        <f t="shared" si="213"/>
        <v>0</v>
      </c>
    </row>
    <row r="1626" hidden="1">
      <c r="A1626" s="16" t="s">
        <v>2400</v>
      </c>
      <c r="B1626" s="36" t="s">
        <v>2401</v>
      </c>
      <c r="C1626" s="18"/>
      <c r="D1626" s="4"/>
      <c r="E1626" s="19">
        <v>0.0</v>
      </c>
      <c r="F1626" s="19">
        <v>0.0</v>
      </c>
      <c r="G1626" s="16" t="s">
        <v>70</v>
      </c>
      <c r="H1626" s="21"/>
      <c r="I1626" s="22"/>
      <c r="J1626" s="23"/>
      <c r="K1626" s="24">
        <v>28800.0</v>
      </c>
      <c r="L1626" s="24">
        <v>46000.0</v>
      </c>
      <c r="M1626" s="25" t="s">
        <v>82</v>
      </c>
      <c r="N1626" s="26"/>
      <c r="O1626" s="27">
        <f t="shared" si="212"/>
        <v>0.5972222222</v>
      </c>
      <c r="P1626" s="28">
        <f t="shared" si="213"/>
        <v>0</v>
      </c>
    </row>
    <row r="1627" hidden="1">
      <c r="A1627" s="16" t="s">
        <v>2402</v>
      </c>
      <c r="B1627" s="36" t="s">
        <v>2401</v>
      </c>
      <c r="C1627" s="18"/>
      <c r="D1627" s="4"/>
      <c r="E1627" s="19">
        <v>0.0</v>
      </c>
      <c r="F1627" s="19">
        <v>0.0</v>
      </c>
      <c r="G1627" s="16" t="s">
        <v>70</v>
      </c>
      <c r="H1627" s="21"/>
      <c r="I1627" s="22"/>
      <c r="J1627" s="23"/>
      <c r="K1627" s="24">
        <v>28800.0</v>
      </c>
      <c r="L1627" s="24">
        <v>46000.0</v>
      </c>
      <c r="M1627" s="25" t="s">
        <v>82</v>
      </c>
      <c r="N1627" s="26"/>
      <c r="O1627" s="27">
        <f t="shared" si="212"/>
        <v>0.5972222222</v>
      </c>
      <c r="P1627" s="28">
        <f t="shared" si="213"/>
        <v>0</v>
      </c>
    </row>
    <row r="1628" hidden="1">
      <c r="A1628" s="16" t="s">
        <v>2403</v>
      </c>
      <c r="B1628" s="36"/>
      <c r="C1628" s="18"/>
      <c r="D1628" s="4"/>
      <c r="E1628" s="19">
        <v>0.0</v>
      </c>
      <c r="F1628" s="19">
        <v>0.0</v>
      </c>
      <c r="G1628" s="16" t="s">
        <v>70</v>
      </c>
      <c r="H1628" s="21"/>
      <c r="I1628" s="22"/>
      <c r="J1628" s="23"/>
      <c r="K1628" s="44">
        <v>28800.0</v>
      </c>
      <c r="L1628" s="44">
        <v>46000.0</v>
      </c>
      <c r="M1628" s="25" t="s">
        <v>82</v>
      </c>
      <c r="N1628" s="26"/>
      <c r="O1628" s="27">
        <f t="shared" si="212"/>
        <v>0.5972222222</v>
      </c>
      <c r="P1628" s="28">
        <f t="shared" si="213"/>
        <v>0</v>
      </c>
    </row>
    <row r="1629" hidden="1">
      <c r="A1629" s="16" t="s">
        <v>2404</v>
      </c>
      <c r="B1629" s="17"/>
      <c r="C1629" s="18"/>
      <c r="D1629" s="4"/>
      <c r="E1629" s="19">
        <v>0.0</v>
      </c>
      <c r="F1629" s="19">
        <v>0.0</v>
      </c>
      <c r="G1629" s="16" t="s">
        <v>70</v>
      </c>
      <c r="H1629" s="21"/>
      <c r="I1629" s="22"/>
      <c r="J1629" s="23"/>
      <c r="K1629" s="44">
        <v>28800.0</v>
      </c>
      <c r="L1629" s="44">
        <v>46000.0</v>
      </c>
      <c r="M1629" s="25" t="s">
        <v>82</v>
      </c>
      <c r="N1629" s="26"/>
      <c r="O1629" s="27">
        <f t="shared" si="212"/>
        <v>0.5972222222</v>
      </c>
      <c r="P1629" s="28">
        <f t="shared" si="213"/>
        <v>0</v>
      </c>
    </row>
    <row r="1630" hidden="1">
      <c r="A1630" s="16" t="s">
        <v>2405</v>
      </c>
      <c r="B1630" s="36"/>
      <c r="C1630" s="18"/>
      <c r="D1630" s="4"/>
      <c r="E1630" s="19">
        <v>0.0</v>
      </c>
      <c r="F1630" s="19">
        <v>0.0</v>
      </c>
      <c r="G1630" s="16" t="s">
        <v>70</v>
      </c>
      <c r="H1630" s="21"/>
      <c r="I1630" s="22"/>
      <c r="J1630" s="23"/>
      <c r="K1630" s="44">
        <v>28800.0</v>
      </c>
      <c r="L1630" s="44">
        <v>46000.0</v>
      </c>
      <c r="M1630" s="25" t="s">
        <v>82</v>
      </c>
      <c r="N1630" s="26"/>
      <c r="O1630" s="27">
        <f t="shared" si="212"/>
        <v>0.5972222222</v>
      </c>
      <c r="P1630" s="28">
        <f t="shared" si="213"/>
        <v>0</v>
      </c>
    </row>
    <row r="1631" hidden="1">
      <c r="A1631" s="16" t="s">
        <v>2406</v>
      </c>
      <c r="B1631" s="36"/>
      <c r="C1631" s="18"/>
      <c r="D1631" s="4"/>
      <c r="E1631" s="19">
        <v>0.0</v>
      </c>
      <c r="F1631" s="19">
        <v>0.0</v>
      </c>
      <c r="G1631" s="16" t="s">
        <v>70</v>
      </c>
      <c r="H1631" s="21"/>
      <c r="I1631" s="22"/>
      <c r="J1631" s="23"/>
      <c r="K1631" s="44">
        <v>28800.0</v>
      </c>
      <c r="L1631" s="44">
        <v>46000.0</v>
      </c>
      <c r="M1631" s="25" t="s">
        <v>82</v>
      </c>
      <c r="N1631" s="26"/>
      <c r="O1631" s="27">
        <f t="shared" si="212"/>
        <v>0.5972222222</v>
      </c>
      <c r="P1631" s="28">
        <f t="shared" si="213"/>
        <v>0</v>
      </c>
    </row>
    <row r="1632" hidden="1">
      <c r="A1632" s="16" t="s">
        <v>2407</v>
      </c>
      <c r="B1632" s="36"/>
      <c r="C1632" s="18"/>
      <c r="D1632" s="4"/>
      <c r="E1632" s="19">
        <v>0.0</v>
      </c>
      <c r="F1632" s="19">
        <v>0.0</v>
      </c>
      <c r="G1632" s="16" t="s">
        <v>70</v>
      </c>
      <c r="H1632" s="21"/>
      <c r="I1632" s="22"/>
      <c r="J1632" s="23"/>
      <c r="K1632" s="44">
        <v>28800.0</v>
      </c>
      <c r="L1632" s="44">
        <v>46000.0</v>
      </c>
      <c r="M1632" s="25" t="s">
        <v>82</v>
      </c>
      <c r="N1632" s="26"/>
      <c r="O1632" s="27">
        <f t="shared" si="212"/>
        <v>0.5972222222</v>
      </c>
      <c r="P1632" s="28">
        <f t="shared" si="213"/>
        <v>0</v>
      </c>
    </row>
    <row r="1633" hidden="1">
      <c r="A1633" s="16" t="s">
        <v>2408</v>
      </c>
      <c r="B1633" s="36"/>
      <c r="C1633" s="18"/>
      <c r="D1633" s="4"/>
      <c r="E1633" s="19">
        <v>0.0</v>
      </c>
      <c r="F1633" s="19">
        <v>0.0</v>
      </c>
      <c r="G1633" s="16" t="s">
        <v>70</v>
      </c>
      <c r="H1633" s="21"/>
      <c r="I1633" s="22"/>
      <c r="J1633" s="23"/>
      <c r="K1633" s="44">
        <v>28800.0</v>
      </c>
      <c r="L1633" s="44">
        <v>46000.0</v>
      </c>
      <c r="M1633" s="25" t="s">
        <v>82</v>
      </c>
      <c r="N1633" s="26"/>
      <c r="O1633" s="27">
        <f t="shared" si="212"/>
        <v>0.5972222222</v>
      </c>
      <c r="P1633" s="28">
        <f t="shared" si="213"/>
        <v>0</v>
      </c>
    </row>
    <row r="1634" hidden="1">
      <c r="A1634" s="16" t="s">
        <v>2409</v>
      </c>
      <c r="B1634" s="36" t="s">
        <v>2410</v>
      </c>
      <c r="C1634" s="18"/>
      <c r="D1634" s="4"/>
      <c r="E1634" s="19">
        <v>0.0</v>
      </c>
      <c r="F1634" s="19">
        <v>0.0</v>
      </c>
      <c r="G1634" s="16" t="s">
        <v>2411</v>
      </c>
      <c r="H1634" s="21"/>
      <c r="I1634" s="22"/>
      <c r="J1634" s="29"/>
      <c r="K1634" s="32">
        <f t="shared" ref="K1634:K1635" si="214">38000*0.8</f>
        <v>30400</v>
      </c>
      <c r="L1634" s="32">
        <v>48000.0</v>
      </c>
      <c r="M1634" s="25" t="s">
        <v>82</v>
      </c>
      <c r="N1634" s="26"/>
      <c r="O1634" s="27">
        <f t="shared" si="212"/>
        <v>0.5789473684</v>
      </c>
      <c r="P1634" s="28">
        <f t="shared" si="213"/>
        <v>0</v>
      </c>
    </row>
    <row r="1635" hidden="1">
      <c r="A1635" s="16" t="s">
        <v>2412</v>
      </c>
      <c r="B1635" s="36" t="s">
        <v>2410</v>
      </c>
      <c r="C1635" s="18"/>
      <c r="D1635" s="4"/>
      <c r="E1635" s="19">
        <v>0.0</v>
      </c>
      <c r="F1635" s="19">
        <v>0.0</v>
      </c>
      <c r="G1635" s="16" t="s">
        <v>2411</v>
      </c>
      <c r="H1635" s="21"/>
      <c r="I1635" s="22"/>
      <c r="J1635" s="29"/>
      <c r="K1635" s="32">
        <f t="shared" si="214"/>
        <v>30400</v>
      </c>
      <c r="L1635" s="32">
        <v>48000.0</v>
      </c>
      <c r="M1635" s="25" t="s">
        <v>82</v>
      </c>
      <c r="N1635" s="26"/>
      <c r="O1635" s="27">
        <f t="shared" si="212"/>
        <v>0.5789473684</v>
      </c>
      <c r="P1635" s="28">
        <f t="shared" si="213"/>
        <v>0</v>
      </c>
    </row>
    <row r="1636" hidden="1">
      <c r="A1636" s="16" t="s">
        <v>2413</v>
      </c>
      <c r="B1636" s="36" t="s">
        <v>2414</v>
      </c>
      <c r="C1636" s="18"/>
      <c r="D1636" s="4"/>
      <c r="E1636" s="19">
        <v>0.0</v>
      </c>
      <c r="F1636" s="19">
        <v>2.0</v>
      </c>
      <c r="G1636" s="16" t="s">
        <v>2415</v>
      </c>
      <c r="H1636" s="21"/>
      <c r="I1636" s="22">
        <v>0.0</v>
      </c>
      <c r="J1636" s="29"/>
      <c r="K1636" s="32">
        <f t="shared" ref="K1636:K1637" si="215">90000*0.8</f>
        <v>72000</v>
      </c>
      <c r="L1636" s="24">
        <v>100000.0</v>
      </c>
      <c r="M1636" s="25"/>
      <c r="N1636" s="26"/>
      <c r="O1636" s="27">
        <f t="shared" si="212"/>
        <v>0.3888888889</v>
      </c>
      <c r="P1636" s="28">
        <f t="shared" si="213"/>
        <v>144000</v>
      </c>
    </row>
    <row r="1637" hidden="1">
      <c r="A1637" s="16" t="s">
        <v>2416</v>
      </c>
      <c r="B1637" s="36" t="s">
        <v>2417</v>
      </c>
      <c r="C1637" s="18" t="s">
        <v>144</v>
      </c>
      <c r="D1637" s="4">
        <v>62000.0</v>
      </c>
      <c r="E1637" s="19">
        <v>0.0</v>
      </c>
      <c r="F1637" s="19">
        <v>2.0</v>
      </c>
      <c r="G1637" s="16" t="s">
        <v>2415</v>
      </c>
      <c r="H1637" s="21"/>
      <c r="I1637" s="22">
        <v>0.0</v>
      </c>
      <c r="J1637" s="47">
        <v>45809.0</v>
      </c>
      <c r="K1637" s="32">
        <f t="shared" si="215"/>
        <v>72000</v>
      </c>
      <c r="L1637" s="24">
        <v>100000.0</v>
      </c>
      <c r="M1637" s="25"/>
      <c r="N1637" s="26"/>
      <c r="O1637" s="27">
        <f t="shared" si="212"/>
        <v>0.3888888889</v>
      </c>
      <c r="P1637" s="28">
        <f t="shared" si="213"/>
        <v>144000</v>
      </c>
    </row>
    <row r="1638" hidden="1">
      <c r="A1638" s="40" t="s">
        <v>2418</v>
      </c>
      <c r="B1638" s="17"/>
      <c r="C1638" s="18"/>
      <c r="D1638" s="4"/>
      <c r="E1638" s="19">
        <v>0.0</v>
      </c>
      <c r="F1638" s="19">
        <v>0.0</v>
      </c>
      <c r="G1638" s="16" t="s">
        <v>2419</v>
      </c>
      <c r="H1638" s="21"/>
      <c r="I1638" s="22">
        <v>0.0</v>
      </c>
      <c r="J1638" s="29"/>
      <c r="K1638" s="43">
        <v>23000.0</v>
      </c>
      <c r="L1638" s="44">
        <v>40000.0</v>
      </c>
      <c r="M1638" s="25" t="s">
        <v>82</v>
      </c>
      <c r="N1638" s="26"/>
      <c r="O1638" s="27">
        <f t="shared" si="212"/>
        <v>0.7391304348</v>
      </c>
      <c r="P1638" s="28">
        <f t="shared" si="213"/>
        <v>0</v>
      </c>
    </row>
    <row r="1639" hidden="1">
      <c r="A1639" s="16" t="s">
        <v>2420</v>
      </c>
      <c r="B1639" s="51" t="s">
        <v>2421</v>
      </c>
      <c r="C1639" s="38"/>
      <c r="D1639" s="61"/>
      <c r="E1639" s="19"/>
      <c r="F1639" s="19"/>
      <c r="G1639" s="16" t="s">
        <v>2422</v>
      </c>
      <c r="H1639" s="21"/>
      <c r="I1639" s="22">
        <v>1.0</v>
      </c>
      <c r="J1639" s="23"/>
      <c r="K1639" s="55">
        <v>213000.0</v>
      </c>
      <c r="L1639" s="55">
        <v>260000.0</v>
      </c>
      <c r="M1639" s="25" t="s">
        <v>82</v>
      </c>
      <c r="N1639" s="26">
        <v>200000.0</v>
      </c>
      <c r="O1639" s="27">
        <f t="shared" si="212"/>
        <v>0.220657277</v>
      </c>
      <c r="P1639" s="28">
        <f t="shared" si="213"/>
        <v>0</v>
      </c>
    </row>
    <row r="1640" hidden="1">
      <c r="A1640" s="16" t="s">
        <v>2423</v>
      </c>
      <c r="B1640" s="51" t="s">
        <v>2421</v>
      </c>
      <c r="C1640" s="38"/>
      <c r="D1640" s="61"/>
      <c r="E1640" s="19"/>
      <c r="F1640" s="19"/>
      <c r="G1640" s="16" t="s">
        <v>2422</v>
      </c>
      <c r="H1640" s="21"/>
      <c r="I1640" s="22">
        <v>0.0</v>
      </c>
      <c r="J1640" s="23"/>
      <c r="K1640" s="55">
        <v>213000.0</v>
      </c>
      <c r="L1640" s="55">
        <v>260000.0</v>
      </c>
      <c r="M1640" s="25" t="s">
        <v>82</v>
      </c>
      <c r="N1640" s="26">
        <v>200000.0</v>
      </c>
      <c r="O1640" s="27">
        <f t="shared" si="212"/>
        <v>0.220657277</v>
      </c>
      <c r="P1640" s="28">
        <f t="shared" si="213"/>
        <v>0</v>
      </c>
    </row>
    <row r="1641" hidden="1">
      <c r="A1641" s="16" t="s">
        <v>2424</v>
      </c>
      <c r="B1641" s="51" t="s">
        <v>2421</v>
      </c>
      <c r="C1641" s="38"/>
      <c r="D1641" s="67"/>
      <c r="E1641" s="19"/>
      <c r="F1641" s="19"/>
      <c r="G1641" s="16" t="s">
        <v>2422</v>
      </c>
      <c r="H1641" s="21"/>
      <c r="I1641" s="22">
        <v>1.0</v>
      </c>
      <c r="J1641" s="29"/>
      <c r="K1641" s="48">
        <v>213000.0</v>
      </c>
      <c r="L1641" s="55">
        <v>260000.0</v>
      </c>
      <c r="M1641" s="25" t="s">
        <v>82</v>
      </c>
      <c r="N1641" s="26">
        <v>200000.0</v>
      </c>
      <c r="O1641" s="27">
        <f t="shared" si="212"/>
        <v>0.220657277</v>
      </c>
      <c r="P1641" s="28">
        <f t="shared" si="213"/>
        <v>0</v>
      </c>
    </row>
    <row r="1642" hidden="1">
      <c r="A1642" s="16" t="s">
        <v>2425</v>
      </c>
      <c r="B1642" s="51" t="s">
        <v>2421</v>
      </c>
      <c r="C1642" s="38"/>
      <c r="D1642" s="67"/>
      <c r="E1642" s="19"/>
      <c r="F1642" s="19"/>
      <c r="G1642" s="16" t="s">
        <v>2422</v>
      </c>
      <c r="H1642" s="21"/>
      <c r="I1642" s="22">
        <v>0.0</v>
      </c>
      <c r="J1642" s="29"/>
      <c r="K1642" s="48">
        <v>213000.0</v>
      </c>
      <c r="L1642" s="55">
        <v>260000.0</v>
      </c>
      <c r="M1642" s="25" t="s">
        <v>82</v>
      </c>
      <c r="N1642" s="26">
        <v>200000.0</v>
      </c>
      <c r="O1642" s="27">
        <f t="shared" si="212"/>
        <v>0.220657277</v>
      </c>
      <c r="P1642" s="28">
        <f t="shared" si="213"/>
        <v>0</v>
      </c>
    </row>
    <row r="1643" hidden="1">
      <c r="A1643" s="42" t="s">
        <v>2426</v>
      </c>
      <c r="B1643" s="17" t="s">
        <v>2427</v>
      </c>
      <c r="C1643" s="18"/>
      <c r="D1643" s="4"/>
      <c r="E1643" s="19">
        <v>0.0</v>
      </c>
      <c r="F1643" s="19"/>
      <c r="G1643" s="16" t="s">
        <v>767</v>
      </c>
      <c r="H1643" s="21"/>
      <c r="I1643" s="22"/>
      <c r="J1643" s="29"/>
      <c r="K1643" s="32">
        <v>88000.0</v>
      </c>
      <c r="L1643" s="32">
        <v>130000.0</v>
      </c>
      <c r="M1643" s="25" t="s">
        <v>82</v>
      </c>
      <c r="N1643" s="26"/>
      <c r="O1643" s="27">
        <f t="shared" si="212"/>
        <v>0.4772727273</v>
      </c>
      <c r="P1643" s="28">
        <f t="shared" si="213"/>
        <v>0</v>
      </c>
    </row>
    <row r="1644" hidden="1">
      <c r="A1644" s="16" t="s">
        <v>2428</v>
      </c>
      <c r="B1644" s="36"/>
      <c r="C1644" s="18"/>
      <c r="D1644" s="4"/>
      <c r="E1644" s="19">
        <v>0.0</v>
      </c>
      <c r="F1644" s="19">
        <v>0.0</v>
      </c>
      <c r="G1644" s="16" t="s">
        <v>93</v>
      </c>
      <c r="H1644" s="21"/>
      <c r="I1644" s="22">
        <v>0.0</v>
      </c>
      <c r="J1644" s="29"/>
      <c r="K1644" s="55">
        <v>40000.0</v>
      </c>
      <c r="L1644" s="55">
        <v>54000.0</v>
      </c>
      <c r="M1644" s="25" t="s">
        <v>82</v>
      </c>
      <c r="N1644" s="26"/>
      <c r="O1644" s="27">
        <f t="shared" si="212"/>
        <v>0.35</v>
      </c>
      <c r="P1644" s="28">
        <f t="shared" si="213"/>
        <v>0</v>
      </c>
    </row>
    <row r="1645" hidden="1">
      <c r="A1645" s="16" t="s">
        <v>2429</v>
      </c>
      <c r="B1645" s="17"/>
      <c r="C1645" s="18"/>
      <c r="D1645" s="4"/>
      <c r="E1645" s="19">
        <v>0.0</v>
      </c>
      <c r="F1645" s="19">
        <v>0.0</v>
      </c>
      <c r="G1645" s="16" t="s">
        <v>277</v>
      </c>
      <c r="H1645" s="21"/>
      <c r="I1645" s="22">
        <v>3.0</v>
      </c>
      <c r="J1645" s="47">
        <v>46023.0</v>
      </c>
      <c r="K1645" s="32">
        <v>87250.0</v>
      </c>
      <c r="L1645" s="24">
        <v>115000.0</v>
      </c>
      <c r="M1645" s="25" t="s">
        <v>82</v>
      </c>
      <c r="N1645" s="26">
        <v>94000.0</v>
      </c>
      <c r="O1645" s="27">
        <f t="shared" si="212"/>
        <v>0.3180515759</v>
      </c>
      <c r="P1645" s="28">
        <f t="shared" si="213"/>
        <v>0</v>
      </c>
    </row>
    <row r="1646" hidden="1">
      <c r="A1646" s="16" t="s">
        <v>2430</v>
      </c>
      <c r="B1646" s="17"/>
      <c r="C1646" s="18"/>
      <c r="D1646" s="4"/>
      <c r="E1646" s="19">
        <v>0.0</v>
      </c>
      <c r="F1646" s="19">
        <v>0.0</v>
      </c>
      <c r="G1646" s="16" t="s">
        <v>277</v>
      </c>
      <c r="H1646" s="21"/>
      <c r="I1646" s="22">
        <v>3.0</v>
      </c>
      <c r="J1646" s="47">
        <v>46054.0</v>
      </c>
      <c r="K1646" s="32">
        <v>87250.0</v>
      </c>
      <c r="L1646" s="24">
        <v>115000.0</v>
      </c>
      <c r="M1646" s="25" t="s">
        <v>82</v>
      </c>
      <c r="N1646" s="26">
        <v>94000.0</v>
      </c>
      <c r="O1646" s="27">
        <f t="shared" si="212"/>
        <v>0.3180515759</v>
      </c>
      <c r="P1646" s="28">
        <f t="shared" si="213"/>
        <v>0</v>
      </c>
    </row>
    <row r="1647" hidden="1">
      <c r="A1647" s="150" t="s">
        <v>2431</v>
      </c>
      <c r="B1647" s="17" t="s">
        <v>2432</v>
      </c>
      <c r="C1647" s="18"/>
      <c r="D1647" s="19"/>
      <c r="E1647" s="19">
        <v>0.0</v>
      </c>
      <c r="F1647" s="19">
        <v>0.0</v>
      </c>
      <c r="G1647" s="16" t="s">
        <v>277</v>
      </c>
      <c r="H1647" s="21"/>
      <c r="I1647" s="22">
        <v>0.0</v>
      </c>
      <c r="J1647" s="29"/>
      <c r="K1647" s="32">
        <f>79476</f>
        <v>79476</v>
      </c>
      <c r="L1647" s="32">
        <v>115000.0</v>
      </c>
      <c r="M1647" s="25" t="s">
        <v>82</v>
      </c>
      <c r="N1647" s="26">
        <v>94000.0</v>
      </c>
      <c r="O1647" s="27">
        <f t="shared" si="212"/>
        <v>0.446977704</v>
      </c>
      <c r="P1647" s="28">
        <f t="shared" si="213"/>
        <v>0</v>
      </c>
    </row>
    <row r="1648" hidden="1">
      <c r="A1648" s="16" t="s">
        <v>2433</v>
      </c>
      <c r="B1648" s="17"/>
      <c r="C1648" s="18"/>
      <c r="D1648" s="4"/>
      <c r="E1648" s="19">
        <v>0.0</v>
      </c>
      <c r="F1648" s="19">
        <v>0.0</v>
      </c>
      <c r="G1648" s="16" t="s">
        <v>277</v>
      </c>
      <c r="H1648" s="21"/>
      <c r="I1648" s="22">
        <v>1.0</v>
      </c>
      <c r="J1648" s="58">
        <v>46296.0</v>
      </c>
      <c r="K1648" s="32">
        <v>79476.0</v>
      </c>
      <c r="L1648" s="32">
        <v>115000.0</v>
      </c>
      <c r="M1648" s="25" t="s">
        <v>82</v>
      </c>
      <c r="N1648" s="26">
        <v>94000.0</v>
      </c>
      <c r="O1648" s="27">
        <f t="shared" si="212"/>
        <v>0.446977704</v>
      </c>
      <c r="P1648" s="28">
        <f t="shared" si="213"/>
        <v>0</v>
      </c>
    </row>
    <row r="1649" hidden="1">
      <c r="A1649" s="16" t="s">
        <v>2434</v>
      </c>
      <c r="B1649" s="17"/>
      <c r="C1649" s="18"/>
      <c r="D1649" s="4"/>
      <c r="E1649" s="19">
        <v>0.0</v>
      </c>
      <c r="F1649" s="19">
        <v>0.0</v>
      </c>
      <c r="G1649" s="16" t="s">
        <v>277</v>
      </c>
      <c r="H1649" s="21"/>
      <c r="I1649" s="22">
        <v>3.0</v>
      </c>
      <c r="J1649" s="58">
        <v>45992.0</v>
      </c>
      <c r="K1649" s="32">
        <v>83600.0</v>
      </c>
      <c r="L1649" s="32">
        <v>115000.0</v>
      </c>
      <c r="M1649" s="25" t="s">
        <v>82</v>
      </c>
      <c r="N1649" s="26">
        <v>94000.0</v>
      </c>
      <c r="O1649" s="27">
        <f t="shared" si="212"/>
        <v>0.3755980861</v>
      </c>
      <c r="P1649" s="28">
        <f t="shared" si="213"/>
        <v>0</v>
      </c>
    </row>
    <row r="1650" hidden="1">
      <c r="A1650" s="16" t="s">
        <v>2435</v>
      </c>
      <c r="B1650" s="17"/>
      <c r="C1650" s="18"/>
      <c r="D1650" s="4"/>
      <c r="E1650" s="19">
        <v>0.0</v>
      </c>
      <c r="F1650" s="19">
        <v>0.0</v>
      </c>
      <c r="G1650" s="16" t="s">
        <v>277</v>
      </c>
      <c r="H1650" s="21"/>
      <c r="I1650" s="22">
        <v>3.0</v>
      </c>
      <c r="J1650" s="58">
        <v>46327.0</v>
      </c>
      <c r="K1650" s="32">
        <v>83600.0</v>
      </c>
      <c r="L1650" s="32">
        <v>115000.0</v>
      </c>
      <c r="M1650" s="25" t="s">
        <v>82</v>
      </c>
      <c r="N1650" s="26">
        <v>94000.0</v>
      </c>
      <c r="O1650" s="27">
        <f t="shared" si="212"/>
        <v>0.3755980861</v>
      </c>
      <c r="P1650" s="28">
        <f t="shared" si="213"/>
        <v>0</v>
      </c>
    </row>
    <row r="1651" hidden="1">
      <c r="A1651" s="16" t="s">
        <v>2436</v>
      </c>
      <c r="B1651" s="17"/>
      <c r="C1651" s="18"/>
      <c r="D1651" s="4"/>
      <c r="E1651" s="19">
        <v>0.0</v>
      </c>
      <c r="F1651" s="19">
        <v>0.0</v>
      </c>
      <c r="G1651" s="16" t="s">
        <v>277</v>
      </c>
      <c r="H1651" s="21"/>
      <c r="I1651" s="22">
        <v>1.0</v>
      </c>
      <c r="J1651" s="47">
        <v>46113.0</v>
      </c>
      <c r="K1651" s="32">
        <v>83600.0</v>
      </c>
      <c r="L1651" s="32">
        <v>115000.0</v>
      </c>
      <c r="M1651" s="25" t="s">
        <v>82</v>
      </c>
      <c r="N1651" s="26">
        <v>94000.0</v>
      </c>
      <c r="O1651" s="27">
        <f t="shared" si="212"/>
        <v>0.3755980861</v>
      </c>
      <c r="P1651" s="28">
        <f t="shared" si="213"/>
        <v>0</v>
      </c>
    </row>
    <row r="1652" hidden="1">
      <c r="A1652" s="16" t="s">
        <v>2437</v>
      </c>
      <c r="B1652" s="17"/>
      <c r="C1652" s="18"/>
      <c r="D1652" s="4"/>
      <c r="E1652" s="19">
        <v>0.0</v>
      </c>
      <c r="F1652" s="19">
        <v>0.0</v>
      </c>
      <c r="G1652" s="16" t="s">
        <v>277</v>
      </c>
      <c r="H1652" s="21"/>
      <c r="I1652" s="22">
        <v>1.0</v>
      </c>
      <c r="J1652" s="47">
        <v>46174.0</v>
      </c>
      <c r="K1652" s="32">
        <v>83600.0</v>
      </c>
      <c r="L1652" s="32">
        <v>115000.0</v>
      </c>
      <c r="M1652" s="25" t="s">
        <v>82</v>
      </c>
      <c r="N1652" s="26">
        <v>94000.0</v>
      </c>
      <c r="O1652" s="27">
        <f t="shared" si="212"/>
        <v>0.3755980861</v>
      </c>
      <c r="P1652" s="28">
        <f t="shared" si="213"/>
        <v>0</v>
      </c>
    </row>
    <row r="1653" hidden="1">
      <c r="A1653" s="16" t="s">
        <v>2438</v>
      </c>
      <c r="B1653" s="17"/>
      <c r="C1653" s="18"/>
      <c r="D1653" s="4"/>
      <c r="E1653" s="19">
        <v>0.0</v>
      </c>
      <c r="F1653" s="19">
        <v>0.0</v>
      </c>
      <c r="G1653" s="16" t="s">
        <v>277</v>
      </c>
      <c r="H1653" s="21"/>
      <c r="I1653" s="22">
        <v>3.0</v>
      </c>
      <c r="J1653" s="47">
        <v>46204.0</v>
      </c>
      <c r="K1653" s="32">
        <v>83600.0</v>
      </c>
      <c r="L1653" s="32">
        <v>115000.0</v>
      </c>
      <c r="M1653" s="25" t="s">
        <v>82</v>
      </c>
      <c r="N1653" s="26">
        <v>94000.0</v>
      </c>
      <c r="O1653" s="27">
        <f t="shared" si="212"/>
        <v>0.3755980861</v>
      </c>
      <c r="P1653" s="28">
        <f t="shared" si="213"/>
        <v>0</v>
      </c>
    </row>
    <row r="1654" hidden="1">
      <c r="A1654" s="16" t="s">
        <v>2439</v>
      </c>
      <c r="B1654" s="17"/>
      <c r="C1654" s="18"/>
      <c r="D1654" s="4"/>
      <c r="E1654" s="19">
        <v>0.0</v>
      </c>
      <c r="F1654" s="19">
        <v>0.0</v>
      </c>
      <c r="G1654" s="16" t="s">
        <v>277</v>
      </c>
      <c r="H1654" s="21"/>
      <c r="I1654" s="22">
        <v>3.0</v>
      </c>
      <c r="J1654" s="47">
        <v>46023.0</v>
      </c>
      <c r="K1654" s="32">
        <v>83600.0</v>
      </c>
      <c r="L1654" s="32">
        <v>115000.0</v>
      </c>
      <c r="M1654" s="25" t="s">
        <v>82</v>
      </c>
      <c r="N1654" s="26">
        <v>94000.0</v>
      </c>
      <c r="O1654" s="27">
        <f t="shared" si="212"/>
        <v>0.3755980861</v>
      </c>
      <c r="P1654" s="28">
        <f t="shared" si="213"/>
        <v>0</v>
      </c>
    </row>
    <row r="1655" hidden="1">
      <c r="A1655" s="16" t="s">
        <v>2440</v>
      </c>
      <c r="B1655" s="36" t="s">
        <v>2441</v>
      </c>
      <c r="C1655" s="18" t="s">
        <v>144</v>
      </c>
      <c r="D1655" s="4">
        <v>51200.0</v>
      </c>
      <c r="E1655" s="19">
        <v>0.0</v>
      </c>
      <c r="F1655" s="19">
        <v>3.0</v>
      </c>
      <c r="G1655" s="16" t="s">
        <v>2442</v>
      </c>
      <c r="H1655" s="21"/>
      <c r="I1655" s="22">
        <v>0.0</v>
      </c>
      <c r="J1655" s="47">
        <v>46143.0</v>
      </c>
      <c r="K1655" s="32">
        <f>90000*0.8</f>
        <v>72000</v>
      </c>
      <c r="L1655" s="24">
        <v>120000.0</v>
      </c>
      <c r="M1655" s="25" t="s">
        <v>82</v>
      </c>
      <c r="N1655" s="26">
        <v>98000.0</v>
      </c>
      <c r="O1655" s="27">
        <f t="shared" si="212"/>
        <v>0.6666666667</v>
      </c>
      <c r="P1655" s="28">
        <f t="shared" si="213"/>
        <v>216000</v>
      </c>
    </row>
    <row r="1656" hidden="1">
      <c r="A1656" s="16" t="s">
        <v>2443</v>
      </c>
      <c r="B1656" s="36" t="s">
        <v>2444</v>
      </c>
      <c r="C1656" s="18"/>
      <c r="D1656" s="4"/>
      <c r="E1656" s="19">
        <v>0.0</v>
      </c>
      <c r="F1656" s="19">
        <v>0.0</v>
      </c>
      <c r="G1656" s="16" t="s">
        <v>2442</v>
      </c>
      <c r="H1656" s="21"/>
      <c r="I1656" s="22">
        <v>2.0</v>
      </c>
      <c r="J1656" s="29"/>
      <c r="K1656" s="43">
        <v>116000.0</v>
      </c>
      <c r="L1656" s="44">
        <v>152000.0</v>
      </c>
      <c r="M1656" s="25" t="s">
        <v>82</v>
      </c>
      <c r="N1656" s="26">
        <v>98000.0</v>
      </c>
      <c r="O1656" s="27">
        <f t="shared" si="212"/>
        <v>0.3103448276</v>
      </c>
      <c r="P1656" s="28">
        <f t="shared" si="213"/>
        <v>0</v>
      </c>
    </row>
    <row r="1657">
      <c r="A1657" s="16" t="s">
        <v>2445</v>
      </c>
      <c r="B1657" s="49"/>
      <c r="C1657" s="64" t="s">
        <v>97</v>
      </c>
      <c r="D1657" s="4"/>
      <c r="E1657" s="19"/>
      <c r="F1657" s="19"/>
      <c r="G1657" s="16" t="s">
        <v>98</v>
      </c>
      <c r="H1657" s="21">
        <v>1.0</v>
      </c>
      <c r="I1657" s="22"/>
      <c r="J1657" s="29"/>
      <c r="K1657" s="48">
        <v>72300.0</v>
      </c>
      <c r="L1657" s="55">
        <v>89000.0</v>
      </c>
      <c r="M1657" s="25" t="s">
        <v>76</v>
      </c>
      <c r="N1657" s="70">
        <v>75000.0</v>
      </c>
      <c r="O1657" s="27">
        <f t="shared" si="212"/>
        <v>0.2309820194</v>
      </c>
      <c r="P1657" s="28">
        <f t="shared" si="213"/>
        <v>0</v>
      </c>
    </row>
    <row r="1658">
      <c r="A1658" s="16" t="s">
        <v>2446</v>
      </c>
      <c r="B1658" s="49"/>
      <c r="C1658" s="64" t="s">
        <v>97</v>
      </c>
      <c r="D1658" s="4"/>
      <c r="E1658" s="19"/>
      <c r="F1658" s="19"/>
      <c r="G1658" s="16" t="s">
        <v>98</v>
      </c>
      <c r="H1658" s="21">
        <v>3.0</v>
      </c>
      <c r="I1658" s="22"/>
      <c r="J1658" s="29"/>
      <c r="K1658" s="48">
        <v>72300.0</v>
      </c>
      <c r="L1658" s="55">
        <v>89000.0</v>
      </c>
      <c r="M1658" s="25" t="s">
        <v>76</v>
      </c>
      <c r="N1658" s="70">
        <v>75000.0</v>
      </c>
      <c r="O1658" s="27">
        <f t="shared" si="212"/>
        <v>0.2309820194</v>
      </c>
      <c r="P1658" s="28">
        <f t="shared" si="213"/>
        <v>0</v>
      </c>
    </row>
    <row r="1659">
      <c r="A1659" s="16" t="s">
        <v>2447</v>
      </c>
      <c r="B1659" s="49"/>
      <c r="C1659" s="64" t="s">
        <v>97</v>
      </c>
      <c r="D1659" s="4"/>
      <c r="E1659" s="19"/>
      <c r="F1659" s="19"/>
      <c r="G1659" s="16" t="s">
        <v>98</v>
      </c>
      <c r="H1659" s="21">
        <v>2.0</v>
      </c>
      <c r="I1659" s="22"/>
      <c r="J1659" s="47">
        <v>46447.0</v>
      </c>
      <c r="K1659" s="48">
        <v>72300.0</v>
      </c>
      <c r="L1659" s="55">
        <v>89000.0</v>
      </c>
      <c r="M1659" s="25" t="s">
        <v>76</v>
      </c>
      <c r="N1659" s="70">
        <v>75000.0</v>
      </c>
      <c r="O1659" s="27">
        <f t="shared" si="212"/>
        <v>0.2309820194</v>
      </c>
      <c r="P1659" s="28">
        <f t="shared" si="213"/>
        <v>0</v>
      </c>
    </row>
    <row r="1660">
      <c r="A1660" s="56" t="s">
        <v>2448</v>
      </c>
      <c r="B1660" s="49"/>
      <c r="C1660" s="64" t="s">
        <v>97</v>
      </c>
      <c r="D1660" s="4"/>
      <c r="E1660" s="19"/>
      <c r="F1660" s="19"/>
      <c r="G1660" s="16" t="s">
        <v>98</v>
      </c>
      <c r="H1660" s="21">
        <v>0.0</v>
      </c>
      <c r="I1660" s="22"/>
      <c r="J1660" s="22" t="s">
        <v>2449</v>
      </c>
      <c r="K1660" s="48">
        <v>72300.0</v>
      </c>
      <c r="L1660" s="55">
        <v>89000.0</v>
      </c>
      <c r="M1660" s="25" t="s">
        <v>76</v>
      </c>
      <c r="N1660" s="70">
        <v>75000.0</v>
      </c>
      <c r="O1660" s="27">
        <f t="shared" si="212"/>
        <v>0.2309820194</v>
      </c>
      <c r="P1660" s="28">
        <f t="shared" si="213"/>
        <v>0</v>
      </c>
    </row>
    <row r="1661">
      <c r="A1661" s="56" t="s">
        <v>2450</v>
      </c>
      <c r="B1661" s="49"/>
      <c r="C1661" s="64" t="s">
        <v>97</v>
      </c>
      <c r="D1661" s="4"/>
      <c r="E1661" s="19"/>
      <c r="F1661" s="19"/>
      <c r="G1661" s="16" t="s">
        <v>98</v>
      </c>
      <c r="H1661" s="21">
        <v>6.0</v>
      </c>
      <c r="I1661" s="22"/>
      <c r="J1661" s="47">
        <v>45870.0</v>
      </c>
      <c r="K1661" s="48">
        <v>72300.0</v>
      </c>
      <c r="L1661" s="55">
        <v>89000.0</v>
      </c>
      <c r="M1661" s="25" t="s">
        <v>76</v>
      </c>
      <c r="N1661" s="70">
        <v>75000.0</v>
      </c>
      <c r="O1661" s="27">
        <f t="shared" si="212"/>
        <v>0.2309820194</v>
      </c>
      <c r="P1661" s="28">
        <f t="shared" si="213"/>
        <v>0</v>
      </c>
    </row>
    <row r="1662">
      <c r="A1662" s="268" t="s">
        <v>2450</v>
      </c>
      <c r="B1662" s="49"/>
      <c r="C1662" s="18"/>
      <c r="D1662" s="4"/>
      <c r="E1662" s="19">
        <v>0.0</v>
      </c>
      <c r="F1662" s="19">
        <v>0.0</v>
      </c>
      <c r="G1662" s="16"/>
      <c r="H1662" s="21"/>
      <c r="I1662" s="22">
        <v>6.0</v>
      </c>
      <c r="J1662" s="29"/>
      <c r="K1662" s="48">
        <v>72300.0</v>
      </c>
      <c r="L1662" s="24"/>
      <c r="M1662" s="25"/>
      <c r="N1662" s="70"/>
      <c r="O1662" s="27"/>
      <c r="P1662" s="28"/>
    </row>
    <row r="1663">
      <c r="A1663" s="56" t="s">
        <v>2451</v>
      </c>
      <c r="B1663" s="49">
        <f>75*5</f>
        <v>375</v>
      </c>
      <c r="C1663" s="18" t="s">
        <v>985</v>
      </c>
      <c r="D1663" s="4"/>
      <c r="E1663" s="19"/>
      <c r="F1663" s="19"/>
      <c r="G1663" s="16" t="s">
        <v>98</v>
      </c>
      <c r="H1663" s="21">
        <v>2.0</v>
      </c>
      <c r="I1663" s="22"/>
      <c r="J1663" s="29"/>
      <c r="K1663" s="48">
        <v>72300.0</v>
      </c>
      <c r="L1663" s="55">
        <v>89000.0</v>
      </c>
      <c r="M1663" s="25" t="s">
        <v>76</v>
      </c>
      <c r="N1663" s="70">
        <v>75000.0</v>
      </c>
      <c r="O1663" s="27">
        <f t="shared" ref="O1663:O1692" si="216">(L1663/K1663)-1</f>
        <v>0.2309820194</v>
      </c>
      <c r="P1663" s="28">
        <f t="shared" ref="P1663:P1692" si="217">K1663*F1663</f>
        <v>0</v>
      </c>
    </row>
    <row r="1664">
      <c r="A1664" s="56" t="s">
        <v>2452</v>
      </c>
      <c r="B1664" s="49"/>
      <c r="C1664" s="18" t="s">
        <v>985</v>
      </c>
      <c r="D1664" s="4"/>
      <c r="E1664" s="19"/>
      <c r="F1664" s="19"/>
      <c r="G1664" s="16" t="s">
        <v>98</v>
      </c>
      <c r="H1664" s="21">
        <v>3.0</v>
      </c>
      <c r="I1664" s="22"/>
      <c r="J1664" s="29"/>
      <c r="K1664" s="48">
        <v>72300.0</v>
      </c>
      <c r="L1664" s="55">
        <v>89000.0</v>
      </c>
      <c r="M1664" s="25" t="s">
        <v>76</v>
      </c>
      <c r="N1664" s="70">
        <v>75000.0</v>
      </c>
      <c r="O1664" s="27">
        <f t="shared" si="216"/>
        <v>0.2309820194</v>
      </c>
      <c r="P1664" s="28">
        <f t="shared" si="217"/>
        <v>0</v>
      </c>
    </row>
    <row r="1665">
      <c r="A1665" s="56" t="s">
        <v>2453</v>
      </c>
      <c r="B1665" s="49">
        <v>140.0</v>
      </c>
      <c r="C1665" s="64" t="s">
        <v>97</v>
      </c>
      <c r="D1665" s="4"/>
      <c r="E1665" s="19"/>
      <c r="F1665" s="19"/>
      <c r="G1665" s="16" t="s">
        <v>98</v>
      </c>
      <c r="H1665" s="21">
        <v>6.0</v>
      </c>
      <c r="I1665" s="22"/>
      <c r="J1665" s="29"/>
      <c r="K1665" s="48">
        <v>72300.0</v>
      </c>
      <c r="L1665" s="55">
        <v>89000.0</v>
      </c>
      <c r="M1665" s="25" t="s">
        <v>76</v>
      </c>
      <c r="N1665" s="70">
        <v>75000.0</v>
      </c>
      <c r="O1665" s="27">
        <f t="shared" si="216"/>
        <v>0.2309820194</v>
      </c>
      <c r="P1665" s="28">
        <f t="shared" si="217"/>
        <v>0</v>
      </c>
    </row>
    <row r="1666">
      <c r="A1666" s="56" t="s">
        <v>2454</v>
      </c>
      <c r="B1666" s="49">
        <v>10.0</v>
      </c>
      <c r="C1666" s="18"/>
      <c r="D1666" s="4"/>
      <c r="E1666" s="19"/>
      <c r="F1666" s="19"/>
      <c r="G1666" s="16" t="s">
        <v>98</v>
      </c>
      <c r="H1666" s="21">
        <v>1.0</v>
      </c>
      <c r="I1666" s="22"/>
      <c r="J1666" s="58">
        <v>46508.0</v>
      </c>
      <c r="K1666" s="48">
        <v>72300.0</v>
      </c>
      <c r="L1666" s="55">
        <v>89000.0</v>
      </c>
      <c r="M1666" s="25" t="s">
        <v>76</v>
      </c>
      <c r="N1666" s="70">
        <v>75000.0</v>
      </c>
      <c r="O1666" s="27">
        <f t="shared" si="216"/>
        <v>0.2309820194</v>
      </c>
      <c r="P1666" s="28">
        <f t="shared" si="217"/>
        <v>0</v>
      </c>
    </row>
    <row r="1667">
      <c r="A1667" s="56" t="s">
        <v>2455</v>
      </c>
      <c r="B1667" s="49"/>
      <c r="C1667" s="18"/>
      <c r="D1667" s="4"/>
      <c r="E1667" s="19"/>
      <c r="F1667" s="19"/>
      <c r="G1667" s="16" t="s">
        <v>98</v>
      </c>
      <c r="H1667" s="21">
        <v>3.0</v>
      </c>
      <c r="I1667" s="22"/>
      <c r="J1667" s="58">
        <v>46296.0</v>
      </c>
      <c r="K1667" s="48">
        <v>72300.0</v>
      </c>
      <c r="L1667" s="55">
        <v>89000.0</v>
      </c>
      <c r="M1667" s="25" t="s">
        <v>76</v>
      </c>
      <c r="N1667" s="70">
        <v>75000.0</v>
      </c>
      <c r="O1667" s="27">
        <f t="shared" si="216"/>
        <v>0.2309820194</v>
      </c>
      <c r="P1667" s="28">
        <f t="shared" si="217"/>
        <v>0</v>
      </c>
    </row>
    <row r="1668">
      <c r="A1668" s="56" t="s">
        <v>2456</v>
      </c>
      <c r="B1668" s="49"/>
      <c r="C1668" s="64" t="s">
        <v>97</v>
      </c>
      <c r="D1668" s="4"/>
      <c r="E1668" s="19"/>
      <c r="F1668" s="19"/>
      <c r="G1668" s="16" t="s">
        <v>98</v>
      </c>
      <c r="H1668" s="21">
        <v>3.0</v>
      </c>
      <c r="I1668" s="22"/>
      <c r="J1668" s="58">
        <v>45962.0</v>
      </c>
      <c r="K1668" s="48">
        <v>72300.0</v>
      </c>
      <c r="L1668" s="55">
        <v>89000.0</v>
      </c>
      <c r="M1668" s="25" t="s">
        <v>76</v>
      </c>
      <c r="N1668" s="70">
        <v>75000.0</v>
      </c>
      <c r="O1668" s="27">
        <f t="shared" si="216"/>
        <v>0.2309820194</v>
      </c>
      <c r="P1668" s="28">
        <f t="shared" si="217"/>
        <v>0</v>
      </c>
    </row>
    <row r="1669">
      <c r="A1669" s="16" t="s">
        <v>2457</v>
      </c>
      <c r="B1669" s="49"/>
      <c r="C1669" s="18" t="s">
        <v>985</v>
      </c>
      <c r="D1669" s="4"/>
      <c r="E1669" s="19"/>
      <c r="F1669" s="19"/>
      <c r="G1669" s="16" t="s">
        <v>98</v>
      </c>
      <c r="H1669" s="21">
        <v>5.0</v>
      </c>
      <c r="I1669" s="22"/>
      <c r="J1669" s="47">
        <v>46508.0</v>
      </c>
      <c r="K1669" s="48">
        <v>72300.0</v>
      </c>
      <c r="L1669" s="55">
        <v>89000.0</v>
      </c>
      <c r="M1669" s="25" t="s">
        <v>76</v>
      </c>
      <c r="N1669" s="70">
        <v>75000.0</v>
      </c>
      <c r="O1669" s="27">
        <f t="shared" si="216"/>
        <v>0.2309820194</v>
      </c>
      <c r="P1669" s="28">
        <f t="shared" si="217"/>
        <v>0</v>
      </c>
    </row>
    <row r="1670">
      <c r="A1670" s="16" t="s">
        <v>2458</v>
      </c>
      <c r="B1670" s="49"/>
      <c r="C1670" s="18" t="s">
        <v>985</v>
      </c>
      <c r="D1670" s="4"/>
      <c r="E1670" s="19"/>
      <c r="F1670" s="19"/>
      <c r="G1670" s="16" t="s">
        <v>98</v>
      </c>
      <c r="H1670" s="21">
        <v>1.0</v>
      </c>
      <c r="I1670" s="22"/>
      <c r="J1670" s="29"/>
      <c r="K1670" s="48">
        <v>72300.0</v>
      </c>
      <c r="L1670" s="55">
        <v>89000.0</v>
      </c>
      <c r="M1670" s="25" t="s">
        <v>76</v>
      </c>
      <c r="N1670" s="70">
        <v>75000.0</v>
      </c>
      <c r="O1670" s="27">
        <f t="shared" si="216"/>
        <v>0.2309820194</v>
      </c>
      <c r="P1670" s="28">
        <f t="shared" si="217"/>
        <v>0</v>
      </c>
    </row>
    <row r="1671">
      <c r="A1671" s="16" t="s">
        <v>2459</v>
      </c>
      <c r="B1671" s="49"/>
      <c r="C1671" s="18"/>
      <c r="D1671" s="4"/>
      <c r="E1671" s="19"/>
      <c r="F1671" s="19"/>
      <c r="G1671" s="16" t="s">
        <v>98</v>
      </c>
      <c r="H1671" s="21">
        <v>5.0</v>
      </c>
      <c r="I1671" s="22"/>
      <c r="J1671" s="29"/>
      <c r="K1671" s="48">
        <v>72300.0</v>
      </c>
      <c r="L1671" s="55">
        <v>89000.0</v>
      </c>
      <c r="M1671" s="25" t="s">
        <v>76</v>
      </c>
      <c r="N1671" s="70">
        <v>75000.0</v>
      </c>
      <c r="O1671" s="27">
        <f t="shared" si="216"/>
        <v>0.2309820194</v>
      </c>
      <c r="P1671" s="28">
        <f t="shared" si="217"/>
        <v>0</v>
      </c>
    </row>
    <row r="1672">
      <c r="A1672" s="16" t="s">
        <v>2460</v>
      </c>
      <c r="B1672" s="49"/>
      <c r="C1672" s="18"/>
      <c r="D1672" s="4"/>
      <c r="E1672" s="19"/>
      <c r="F1672" s="19"/>
      <c r="G1672" s="16" t="s">
        <v>98</v>
      </c>
      <c r="H1672" s="21">
        <v>5.0</v>
      </c>
      <c r="I1672" s="22"/>
      <c r="J1672" s="29"/>
      <c r="K1672" s="48">
        <v>72300.0</v>
      </c>
      <c r="L1672" s="55">
        <v>89000.0</v>
      </c>
      <c r="M1672" s="25" t="s">
        <v>76</v>
      </c>
      <c r="N1672" s="70">
        <v>75000.0</v>
      </c>
      <c r="O1672" s="27">
        <f t="shared" si="216"/>
        <v>0.2309820194</v>
      </c>
      <c r="P1672" s="28">
        <f t="shared" si="217"/>
        <v>0</v>
      </c>
    </row>
    <row r="1673" hidden="1">
      <c r="A1673" s="16" t="s">
        <v>2461</v>
      </c>
      <c r="B1673" s="17"/>
      <c r="C1673" s="18"/>
      <c r="D1673" s="4"/>
      <c r="E1673" s="19">
        <v>0.0</v>
      </c>
      <c r="F1673" s="19"/>
      <c r="G1673" s="16" t="s">
        <v>57</v>
      </c>
      <c r="H1673" s="21"/>
      <c r="I1673" s="22"/>
      <c r="J1673" s="29"/>
      <c r="K1673" s="43">
        <v>22000.0</v>
      </c>
      <c r="L1673" s="44">
        <v>35000.0</v>
      </c>
      <c r="M1673" s="25" t="s">
        <v>82</v>
      </c>
      <c r="N1673" s="26"/>
      <c r="O1673" s="27">
        <f t="shared" si="216"/>
        <v>0.5909090909</v>
      </c>
      <c r="P1673" s="28">
        <f t="shared" si="217"/>
        <v>0</v>
      </c>
    </row>
    <row r="1674" hidden="1">
      <c r="A1674" s="16" t="s">
        <v>2462</v>
      </c>
      <c r="B1674" s="17"/>
      <c r="C1674" s="18"/>
      <c r="D1674" s="4"/>
      <c r="E1674" s="19">
        <v>0.0</v>
      </c>
      <c r="F1674" s="19"/>
      <c r="G1674" s="16" t="s">
        <v>57</v>
      </c>
      <c r="H1674" s="21"/>
      <c r="I1674" s="22"/>
      <c r="J1674" s="29"/>
      <c r="K1674" s="43">
        <v>22000.0</v>
      </c>
      <c r="L1674" s="44">
        <v>35000.0</v>
      </c>
      <c r="M1674" s="25" t="s">
        <v>82</v>
      </c>
      <c r="N1674" s="26"/>
      <c r="O1674" s="27">
        <f t="shared" si="216"/>
        <v>0.5909090909</v>
      </c>
      <c r="P1674" s="28">
        <f t="shared" si="217"/>
        <v>0</v>
      </c>
    </row>
    <row r="1675" hidden="1">
      <c r="A1675" s="16" t="s">
        <v>2463</v>
      </c>
      <c r="B1675" s="36"/>
      <c r="C1675" s="18"/>
      <c r="D1675" s="4"/>
      <c r="E1675" s="19">
        <v>0.0</v>
      </c>
      <c r="F1675" s="19"/>
      <c r="G1675" s="16" t="s">
        <v>57</v>
      </c>
      <c r="H1675" s="21"/>
      <c r="I1675" s="22"/>
      <c r="J1675" s="29"/>
      <c r="K1675" s="43">
        <v>22000.0</v>
      </c>
      <c r="L1675" s="44">
        <v>35000.0</v>
      </c>
      <c r="M1675" s="25" t="s">
        <v>82</v>
      </c>
      <c r="N1675" s="26"/>
      <c r="O1675" s="27">
        <f t="shared" si="216"/>
        <v>0.5909090909</v>
      </c>
      <c r="P1675" s="28">
        <f t="shared" si="217"/>
        <v>0</v>
      </c>
    </row>
    <row r="1676" hidden="1">
      <c r="A1676" s="16" t="s">
        <v>2464</v>
      </c>
      <c r="B1676" s="17"/>
      <c r="C1676" s="18"/>
      <c r="D1676" s="4"/>
      <c r="E1676" s="19">
        <v>0.0</v>
      </c>
      <c r="F1676" s="19"/>
      <c r="G1676" s="16" t="s">
        <v>57</v>
      </c>
      <c r="H1676" s="21"/>
      <c r="I1676" s="22"/>
      <c r="J1676" s="29"/>
      <c r="K1676" s="43">
        <v>22000.0</v>
      </c>
      <c r="L1676" s="44">
        <v>35000.0</v>
      </c>
      <c r="M1676" s="25" t="s">
        <v>82</v>
      </c>
      <c r="N1676" s="26"/>
      <c r="O1676" s="27">
        <f t="shared" si="216"/>
        <v>0.5909090909</v>
      </c>
      <c r="P1676" s="28">
        <f t="shared" si="217"/>
        <v>0</v>
      </c>
    </row>
    <row r="1677" hidden="1">
      <c r="A1677" s="16" t="s">
        <v>2465</v>
      </c>
      <c r="B1677" s="36"/>
      <c r="C1677" s="18"/>
      <c r="D1677" s="4"/>
      <c r="E1677" s="19">
        <v>0.0</v>
      </c>
      <c r="F1677" s="19"/>
      <c r="G1677" s="16" t="s">
        <v>2466</v>
      </c>
      <c r="H1677" s="21"/>
      <c r="I1677" s="22"/>
      <c r="J1677" s="29"/>
      <c r="K1677" s="32">
        <v>2500.0</v>
      </c>
      <c r="L1677" s="24">
        <v>5000.0</v>
      </c>
      <c r="M1677" s="25"/>
      <c r="N1677" s="70"/>
      <c r="O1677" s="27">
        <f t="shared" si="216"/>
        <v>1</v>
      </c>
      <c r="P1677" s="28">
        <f t="shared" si="217"/>
        <v>0</v>
      </c>
    </row>
    <row r="1678" ht="24.0" hidden="1" customHeight="1">
      <c r="A1678" s="269" t="s">
        <v>2467</v>
      </c>
      <c r="B1678" s="17"/>
      <c r="C1678" s="18"/>
      <c r="D1678" s="4"/>
      <c r="E1678" s="19">
        <v>0.0</v>
      </c>
      <c r="F1678" s="19">
        <v>0.0</v>
      </c>
      <c r="G1678" s="16" t="s">
        <v>2468</v>
      </c>
      <c r="H1678" s="21"/>
      <c r="I1678" s="22"/>
      <c r="J1678" s="29"/>
      <c r="K1678" s="48">
        <v>9685.0</v>
      </c>
      <c r="L1678" s="24">
        <v>15000.0</v>
      </c>
      <c r="M1678" s="25"/>
      <c r="N1678" s="26">
        <v>12000.0</v>
      </c>
      <c r="O1678" s="27">
        <f t="shared" si="216"/>
        <v>0.5487867837</v>
      </c>
      <c r="P1678" s="28">
        <f t="shared" si="217"/>
        <v>0</v>
      </c>
    </row>
    <row r="1679" hidden="1">
      <c r="A1679" s="42" t="s">
        <v>2469</v>
      </c>
      <c r="B1679" s="17"/>
      <c r="C1679" s="18" t="s">
        <v>547</v>
      </c>
      <c r="D1679" s="4"/>
      <c r="E1679" s="19">
        <v>0.0</v>
      </c>
      <c r="F1679" s="19">
        <v>0.0</v>
      </c>
      <c r="G1679" s="16" t="s">
        <v>760</v>
      </c>
      <c r="H1679" s="21"/>
      <c r="I1679" s="22">
        <v>0.0</v>
      </c>
      <c r="J1679" s="29"/>
      <c r="K1679" s="43">
        <v>1.0</v>
      </c>
      <c r="L1679" s="43">
        <v>1.0</v>
      </c>
      <c r="M1679" s="25"/>
      <c r="N1679" s="26"/>
      <c r="O1679" s="27">
        <f t="shared" si="216"/>
        <v>0</v>
      </c>
      <c r="P1679" s="28">
        <f t="shared" si="217"/>
        <v>0</v>
      </c>
    </row>
    <row r="1680" hidden="1">
      <c r="A1680" s="118" t="s">
        <v>2470</v>
      </c>
      <c r="B1680" s="36" t="s">
        <v>2471</v>
      </c>
      <c r="C1680" s="18"/>
      <c r="D1680" s="4"/>
      <c r="E1680" s="19">
        <v>0.0</v>
      </c>
      <c r="F1680" s="19"/>
      <c r="G1680" s="16" t="s">
        <v>2472</v>
      </c>
      <c r="H1680" s="21"/>
      <c r="I1680" s="22"/>
      <c r="J1680" s="29"/>
      <c r="K1680" s="43">
        <f>4490*1.19</f>
        <v>5343.1</v>
      </c>
      <c r="L1680" s="44">
        <v>9000.0</v>
      </c>
      <c r="M1680" s="25"/>
      <c r="N1680" s="26"/>
      <c r="O1680" s="27">
        <f t="shared" si="216"/>
        <v>0.6844154143</v>
      </c>
      <c r="P1680" s="28">
        <f t="shared" si="217"/>
        <v>0</v>
      </c>
    </row>
    <row r="1681" hidden="1">
      <c r="A1681" s="16" t="s">
        <v>2473</v>
      </c>
      <c r="B1681" s="36" t="s">
        <v>2474</v>
      </c>
      <c r="C1681" s="18"/>
      <c r="D1681" s="4"/>
      <c r="E1681" s="19"/>
      <c r="F1681" s="19"/>
      <c r="G1681" s="16" t="s">
        <v>2475</v>
      </c>
      <c r="H1681" s="21"/>
      <c r="I1681" s="22">
        <v>22.0</v>
      </c>
      <c r="J1681" s="29"/>
      <c r="K1681" s="48">
        <f>5382*1.19</f>
        <v>6404.58</v>
      </c>
      <c r="L1681" s="55">
        <v>9000.0</v>
      </c>
      <c r="M1681" s="25"/>
      <c r="N1681" s="26"/>
      <c r="O1681" s="27">
        <f t="shared" si="216"/>
        <v>0.405244372</v>
      </c>
      <c r="P1681" s="28">
        <f t="shared" si="217"/>
        <v>0</v>
      </c>
    </row>
    <row r="1682" hidden="1">
      <c r="A1682" s="52" t="s">
        <v>2476</v>
      </c>
      <c r="B1682" s="17"/>
      <c r="C1682" s="18"/>
      <c r="D1682" s="4"/>
      <c r="E1682" s="19">
        <v>0.0</v>
      </c>
      <c r="F1682" s="19">
        <v>1.0</v>
      </c>
      <c r="G1682" s="16" t="s">
        <v>2477</v>
      </c>
      <c r="H1682" s="21"/>
      <c r="I1682" s="22">
        <v>10.0</v>
      </c>
      <c r="J1682" s="29"/>
      <c r="K1682" s="48">
        <f>18500*1.19-925</f>
        <v>21090</v>
      </c>
      <c r="L1682" s="55">
        <v>36000.0</v>
      </c>
      <c r="M1682" s="25"/>
      <c r="N1682" s="26"/>
      <c r="O1682" s="27">
        <f t="shared" si="216"/>
        <v>0.706970128</v>
      </c>
      <c r="P1682" s="28">
        <f t="shared" si="217"/>
        <v>21090</v>
      </c>
    </row>
    <row r="1683" hidden="1">
      <c r="A1683" s="42" t="s">
        <v>2478</v>
      </c>
      <c r="B1683" s="36"/>
      <c r="C1683" s="18" t="s">
        <v>547</v>
      </c>
      <c r="D1683" s="4"/>
      <c r="E1683" s="19">
        <v>0.0</v>
      </c>
      <c r="F1683" s="19">
        <v>0.0</v>
      </c>
      <c r="G1683" s="16" t="s">
        <v>2479</v>
      </c>
      <c r="H1683" s="21"/>
      <c r="I1683" s="22">
        <v>5.0</v>
      </c>
      <c r="J1683" s="29"/>
      <c r="K1683" s="43">
        <v>1.0</v>
      </c>
      <c r="L1683" s="43">
        <v>1.0</v>
      </c>
      <c r="M1683" s="25"/>
      <c r="N1683" s="26"/>
      <c r="O1683" s="27">
        <f t="shared" si="216"/>
        <v>0</v>
      </c>
      <c r="P1683" s="28">
        <f t="shared" si="217"/>
        <v>0</v>
      </c>
    </row>
    <row r="1684" hidden="1">
      <c r="A1684" s="122" t="s">
        <v>2480</v>
      </c>
      <c r="B1684" s="17">
        <v>240001.0</v>
      </c>
      <c r="C1684" s="18"/>
      <c r="D1684" s="4"/>
      <c r="E1684" s="19">
        <v>0.0</v>
      </c>
      <c r="F1684" s="19">
        <v>0.0</v>
      </c>
      <c r="G1684" s="16" t="s">
        <v>425</v>
      </c>
      <c r="H1684" s="21"/>
      <c r="I1684" s="22">
        <v>80.0</v>
      </c>
      <c r="J1684" s="29"/>
      <c r="K1684" s="43">
        <f>320*1.19</f>
        <v>380.8</v>
      </c>
      <c r="L1684" s="44">
        <v>1000.0</v>
      </c>
      <c r="M1684" s="25"/>
      <c r="N1684" s="26"/>
      <c r="O1684" s="27">
        <f t="shared" si="216"/>
        <v>1.62605042</v>
      </c>
      <c r="P1684" s="28">
        <f t="shared" si="217"/>
        <v>0</v>
      </c>
    </row>
    <row r="1685" hidden="1">
      <c r="A1685" s="122" t="s">
        <v>2481</v>
      </c>
      <c r="B1685" s="17">
        <v>240003.0</v>
      </c>
      <c r="C1685" s="18"/>
      <c r="D1685" s="4"/>
      <c r="E1685" s="19">
        <v>0.0</v>
      </c>
      <c r="F1685" s="19">
        <v>0.0</v>
      </c>
      <c r="G1685" s="16" t="s">
        <v>425</v>
      </c>
      <c r="H1685" s="73"/>
      <c r="I1685" s="22">
        <v>40.0</v>
      </c>
      <c r="J1685" s="74"/>
      <c r="K1685" s="75">
        <v>427.0</v>
      </c>
      <c r="L1685" s="44">
        <v>1500.0</v>
      </c>
      <c r="M1685" s="25"/>
      <c r="N1685" s="26"/>
      <c r="O1685" s="27">
        <f t="shared" si="216"/>
        <v>2.512880562</v>
      </c>
      <c r="P1685" s="28">
        <f t="shared" si="217"/>
        <v>0</v>
      </c>
    </row>
    <row r="1686" hidden="1">
      <c r="A1686" s="122" t="s">
        <v>2482</v>
      </c>
      <c r="B1686" s="17">
        <v>240015.0</v>
      </c>
      <c r="C1686" s="18"/>
      <c r="D1686" s="4"/>
      <c r="E1686" s="19">
        <v>0.0</v>
      </c>
      <c r="F1686" s="19">
        <v>0.0</v>
      </c>
      <c r="G1686" s="16" t="s">
        <v>425</v>
      </c>
      <c r="H1686" s="21"/>
      <c r="I1686" s="22">
        <v>20.0</v>
      </c>
      <c r="J1686" s="74"/>
      <c r="K1686" s="75">
        <f>703*1.19</f>
        <v>836.57</v>
      </c>
      <c r="L1686" s="44">
        <v>1500.0</v>
      </c>
      <c r="M1686" s="25"/>
      <c r="N1686" s="70"/>
      <c r="O1686" s="27">
        <f t="shared" si="216"/>
        <v>0.7930358488</v>
      </c>
      <c r="P1686" s="28">
        <f t="shared" si="217"/>
        <v>0</v>
      </c>
    </row>
    <row r="1687" hidden="1">
      <c r="A1687" s="122" t="s">
        <v>2483</v>
      </c>
      <c r="B1687" s="17">
        <v>240009.0</v>
      </c>
      <c r="C1687" s="18"/>
      <c r="D1687" s="4"/>
      <c r="E1687" s="19">
        <v>0.0</v>
      </c>
      <c r="F1687" s="19">
        <v>0.0</v>
      </c>
      <c r="G1687" s="16" t="s">
        <v>425</v>
      </c>
      <c r="H1687" s="21"/>
      <c r="I1687" s="22">
        <v>20.0</v>
      </c>
      <c r="J1687" s="45"/>
      <c r="K1687" s="172">
        <f>790*1.19</f>
        <v>940.1</v>
      </c>
      <c r="L1687" s="172">
        <v>2000.0</v>
      </c>
      <c r="M1687" s="25"/>
      <c r="N1687" s="70"/>
      <c r="O1687" s="27">
        <f t="shared" si="216"/>
        <v>1.127433252</v>
      </c>
      <c r="P1687" s="28">
        <f t="shared" si="217"/>
        <v>0</v>
      </c>
    </row>
    <row r="1688" hidden="1">
      <c r="A1688" s="122" t="s">
        <v>2484</v>
      </c>
      <c r="B1688" s="17">
        <v>240011.0</v>
      </c>
      <c r="C1688" s="18"/>
      <c r="D1688" s="4"/>
      <c r="E1688" s="19">
        <v>0.0</v>
      </c>
      <c r="F1688" s="19">
        <v>0.0</v>
      </c>
      <c r="G1688" s="16" t="s">
        <v>425</v>
      </c>
      <c r="H1688" s="21"/>
      <c r="I1688" s="22">
        <v>80.0</v>
      </c>
      <c r="J1688" s="74"/>
      <c r="K1688" s="75">
        <f t="shared" ref="K1688:K1691" si="218">703*1.19</f>
        <v>836.57</v>
      </c>
      <c r="L1688" s="44">
        <v>1500.0</v>
      </c>
      <c r="M1688" s="25"/>
      <c r="N1688" s="70"/>
      <c r="O1688" s="27">
        <f t="shared" si="216"/>
        <v>0.7930358488</v>
      </c>
      <c r="P1688" s="28">
        <f t="shared" si="217"/>
        <v>0</v>
      </c>
    </row>
    <row r="1689" hidden="1">
      <c r="A1689" s="122" t="s">
        <v>2485</v>
      </c>
      <c r="B1689" s="17">
        <v>240005.0</v>
      </c>
      <c r="C1689" s="18"/>
      <c r="D1689" s="4"/>
      <c r="E1689" s="19">
        <v>0.0</v>
      </c>
      <c r="F1689" s="19">
        <v>0.0</v>
      </c>
      <c r="G1689" s="16" t="s">
        <v>425</v>
      </c>
      <c r="H1689" s="21"/>
      <c r="I1689" s="22">
        <v>30.0</v>
      </c>
      <c r="J1689" s="74"/>
      <c r="K1689" s="75">
        <f t="shared" si="218"/>
        <v>836.57</v>
      </c>
      <c r="L1689" s="44">
        <v>1500.0</v>
      </c>
      <c r="M1689" s="25"/>
      <c r="N1689" s="26"/>
      <c r="O1689" s="27">
        <f t="shared" si="216"/>
        <v>0.7930358488</v>
      </c>
      <c r="P1689" s="28">
        <f t="shared" si="217"/>
        <v>0</v>
      </c>
    </row>
    <row r="1690" hidden="1">
      <c r="A1690" s="122" t="s">
        <v>2486</v>
      </c>
      <c r="B1690" s="17">
        <v>240013.0</v>
      </c>
      <c r="C1690" s="18"/>
      <c r="D1690" s="4"/>
      <c r="E1690" s="19">
        <v>0.0</v>
      </c>
      <c r="F1690" s="19">
        <v>0.0</v>
      </c>
      <c r="G1690" s="16" t="s">
        <v>425</v>
      </c>
      <c r="H1690" s="21"/>
      <c r="I1690" s="22">
        <v>30.0</v>
      </c>
      <c r="J1690" s="74"/>
      <c r="K1690" s="75">
        <f t="shared" si="218"/>
        <v>836.57</v>
      </c>
      <c r="L1690" s="44">
        <v>1500.0</v>
      </c>
      <c r="M1690" s="25"/>
      <c r="N1690" s="70"/>
      <c r="O1690" s="27">
        <f t="shared" si="216"/>
        <v>0.7930358488</v>
      </c>
      <c r="P1690" s="28">
        <f t="shared" si="217"/>
        <v>0</v>
      </c>
    </row>
    <row r="1691" hidden="1">
      <c r="A1691" s="122" t="s">
        <v>2487</v>
      </c>
      <c r="B1691" s="17">
        <v>240007.0</v>
      </c>
      <c r="C1691" s="18"/>
      <c r="D1691" s="4"/>
      <c r="E1691" s="19">
        <v>0.0</v>
      </c>
      <c r="F1691" s="19">
        <v>0.0</v>
      </c>
      <c r="G1691" s="16" t="s">
        <v>425</v>
      </c>
      <c r="H1691" s="21"/>
      <c r="I1691" s="22">
        <v>30.0</v>
      </c>
      <c r="J1691" s="74"/>
      <c r="K1691" s="75">
        <f t="shared" si="218"/>
        <v>836.57</v>
      </c>
      <c r="L1691" s="44">
        <v>1500.0</v>
      </c>
      <c r="M1691" s="25"/>
      <c r="N1691" s="26"/>
      <c r="O1691" s="27">
        <f t="shared" si="216"/>
        <v>0.7930358488</v>
      </c>
      <c r="P1691" s="28">
        <f t="shared" si="217"/>
        <v>0</v>
      </c>
    </row>
    <row r="1692" hidden="1">
      <c r="A1692" s="122" t="s">
        <v>2488</v>
      </c>
      <c r="B1692" s="17">
        <v>240002.0</v>
      </c>
      <c r="C1692" s="18"/>
      <c r="D1692" s="4"/>
      <c r="E1692" s="19">
        <v>0.0</v>
      </c>
      <c r="F1692" s="19">
        <v>0.0</v>
      </c>
      <c r="G1692" s="16" t="s">
        <v>425</v>
      </c>
      <c r="H1692" s="73"/>
      <c r="I1692" s="22">
        <v>21.0</v>
      </c>
      <c r="J1692" s="74"/>
      <c r="K1692" s="75">
        <v>300.0</v>
      </c>
      <c r="L1692" s="44">
        <v>1000.0</v>
      </c>
      <c r="M1692" s="25"/>
      <c r="N1692" s="26"/>
      <c r="O1692" s="27">
        <f t="shared" si="216"/>
        <v>2.333333333</v>
      </c>
      <c r="P1692" s="28">
        <f t="shared" si="217"/>
        <v>0</v>
      </c>
    </row>
    <row r="1693" hidden="1">
      <c r="A1693" s="16" t="s">
        <v>2489</v>
      </c>
      <c r="B1693" s="51">
        <v>1.0</v>
      </c>
      <c r="C1693" s="270"/>
      <c r="D1693" s="136"/>
      <c r="E1693" s="19">
        <v>0.0</v>
      </c>
      <c r="F1693" s="19">
        <v>0.0</v>
      </c>
      <c r="G1693" s="16" t="s">
        <v>93</v>
      </c>
      <c r="H1693" s="271"/>
      <c r="I1693" s="49"/>
      <c r="J1693" s="26"/>
      <c r="K1693" s="48">
        <v>706000.0</v>
      </c>
      <c r="L1693" s="55">
        <v>882000.0</v>
      </c>
      <c r="M1693" s="49"/>
      <c r="N1693" s="26"/>
      <c r="O1693" s="27"/>
      <c r="P1693" s="28"/>
    </row>
    <row r="1694" hidden="1">
      <c r="A1694" s="16" t="s">
        <v>2490</v>
      </c>
      <c r="B1694" s="49"/>
      <c r="C1694" s="270"/>
      <c r="D1694" s="136"/>
      <c r="E1694" s="19">
        <v>0.0</v>
      </c>
      <c r="F1694" s="19">
        <v>0.0</v>
      </c>
      <c r="G1694" s="16" t="s">
        <v>93</v>
      </c>
      <c r="H1694" s="271"/>
      <c r="I1694" s="49"/>
      <c r="J1694" s="272"/>
      <c r="K1694" s="55">
        <v>1154000.0</v>
      </c>
      <c r="L1694" s="55">
        <v>1443000.0</v>
      </c>
      <c r="M1694" s="49"/>
      <c r="N1694" s="70"/>
      <c r="O1694" s="27"/>
      <c r="P1694" s="28"/>
    </row>
    <row r="1695" hidden="1">
      <c r="A1695" s="16" t="s">
        <v>2491</v>
      </c>
      <c r="B1695" s="49">
        <v>1.0</v>
      </c>
      <c r="C1695" s="270"/>
      <c r="D1695" s="136"/>
      <c r="E1695" s="19">
        <v>0.0</v>
      </c>
      <c r="F1695" s="19">
        <v>0.0</v>
      </c>
      <c r="G1695" s="16" t="s">
        <v>93</v>
      </c>
      <c r="H1695" s="271"/>
      <c r="I1695" s="49"/>
      <c r="J1695" s="26"/>
      <c r="K1695" s="48">
        <v>1005000.0</v>
      </c>
      <c r="L1695" s="48">
        <v>1256000.0</v>
      </c>
      <c r="M1695" s="49"/>
      <c r="N1695" s="50"/>
      <c r="O1695" s="27"/>
      <c r="P1695" s="28"/>
    </row>
    <row r="1696" hidden="1">
      <c r="A1696" s="16" t="s">
        <v>2492</v>
      </c>
      <c r="B1696" s="17"/>
      <c r="C1696" s="18"/>
      <c r="D1696" s="4"/>
      <c r="E1696" s="19">
        <v>0.0</v>
      </c>
      <c r="F1696" s="19">
        <v>0.0</v>
      </c>
      <c r="G1696" s="16" t="s">
        <v>792</v>
      </c>
      <c r="H1696" s="21"/>
      <c r="I1696" s="22">
        <v>1.0</v>
      </c>
      <c r="J1696" s="29"/>
      <c r="K1696" s="43"/>
      <c r="L1696" s="44">
        <v>450000.0</v>
      </c>
      <c r="M1696" s="25"/>
      <c r="N1696" s="26"/>
      <c r="O1696" s="27" t="str">
        <f t="shared" ref="O1696:O1731" si="219">(L1696/K1696)-1</f>
        <v>#DIV/0!</v>
      </c>
      <c r="P1696" s="28">
        <f t="shared" ref="P1696:P1705" si="220">K1696*F1696</f>
        <v>0</v>
      </c>
    </row>
    <row r="1697" hidden="1">
      <c r="A1697" s="40" t="s">
        <v>2493</v>
      </c>
      <c r="B1697" s="17"/>
      <c r="C1697" s="38"/>
      <c r="D1697" s="4"/>
      <c r="E1697" s="19">
        <v>1.0</v>
      </c>
      <c r="F1697" s="19"/>
      <c r="G1697" s="16" t="s">
        <v>2494</v>
      </c>
      <c r="H1697" s="21">
        <v>1.0</v>
      </c>
      <c r="I1697" s="22"/>
      <c r="J1697" s="47">
        <v>46054.0</v>
      </c>
      <c r="K1697" s="60">
        <v>185600.0</v>
      </c>
      <c r="L1697" s="55">
        <v>220000.0</v>
      </c>
      <c r="M1697" s="25" t="s">
        <v>76</v>
      </c>
      <c r="N1697" s="26"/>
      <c r="O1697" s="27">
        <f t="shared" si="219"/>
        <v>0.1853448276</v>
      </c>
      <c r="P1697" s="28">
        <f t="shared" si="220"/>
        <v>0</v>
      </c>
    </row>
    <row r="1698" hidden="1">
      <c r="A1698" s="52" t="s">
        <v>2495</v>
      </c>
      <c r="B1698" s="49"/>
      <c r="C1698" s="18"/>
      <c r="D1698" s="4"/>
      <c r="E1698" s="19"/>
      <c r="F1698" s="19"/>
      <c r="G1698" s="16" t="s">
        <v>88</v>
      </c>
      <c r="H1698" s="21"/>
      <c r="I1698" s="22">
        <v>0.0</v>
      </c>
      <c r="J1698" s="29"/>
      <c r="K1698" s="48">
        <f>11235*1.19</f>
        <v>13369.65</v>
      </c>
      <c r="L1698" s="55">
        <v>18000.0</v>
      </c>
      <c r="M1698" s="25"/>
      <c r="N1698" s="26"/>
      <c r="O1698" s="27">
        <f t="shared" si="219"/>
        <v>0.3463329257</v>
      </c>
      <c r="P1698" s="28">
        <f t="shared" si="220"/>
        <v>0</v>
      </c>
    </row>
    <row r="1699" hidden="1">
      <c r="A1699" s="16" t="s">
        <v>2496</v>
      </c>
      <c r="B1699" s="17"/>
      <c r="C1699" s="18"/>
      <c r="D1699" s="4"/>
      <c r="E1699" s="19">
        <v>0.0</v>
      </c>
      <c r="F1699" s="19">
        <v>0.0</v>
      </c>
      <c r="G1699" s="16" t="s">
        <v>588</v>
      </c>
      <c r="H1699" s="21"/>
      <c r="I1699" s="22">
        <f>12+19</f>
        <v>31</v>
      </c>
      <c r="J1699" s="47">
        <v>47300.0</v>
      </c>
      <c r="K1699" s="32">
        <v>4282.0</v>
      </c>
      <c r="L1699" s="32">
        <v>6000.0</v>
      </c>
      <c r="M1699" s="25"/>
      <c r="N1699" s="26"/>
      <c r="O1699" s="27">
        <f t="shared" si="219"/>
        <v>0.4012143858</v>
      </c>
      <c r="P1699" s="28">
        <f t="shared" si="220"/>
        <v>0</v>
      </c>
    </row>
    <row r="1700" hidden="1">
      <c r="A1700" s="16" t="s">
        <v>2497</v>
      </c>
      <c r="B1700" s="17"/>
      <c r="C1700" s="18"/>
      <c r="D1700" s="4"/>
      <c r="E1700" s="19">
        <v>0.0</v>
      </c>
      <c r="F1700" s="19">
        <v>0.0</v>
      </c>
      <c r="G1700" s="16" t="s">
        <v>588</v>
      </c>
      <c r="H1700" s="21"/>
      <c r="I1700" s="22">
        <v>10.0</v>
      </c>
      <c r="J1700" s="47">
        <v>46508.0</v>
      </c>
      <c r="K1700" s="32">
        <v>2975.0</v>
      </c>
      <c r="L1700" s="32">
        <v>4000.0</v>
      </c>
      <c r="M1700" s="25"/>
      <c r="N1700" s="26"/>
      <c r="O1700" s="27">
        <f t="shared" si="219"/>
        <v>0.3445378151</v>
      </c>
      <c r="P1700" s="28">
        <f t="shared" si="220"/>
        <v>0</v>
      </c>
    </row>
    <row r="1701" hidden="1">
      <c r="A1701" s="16" t="s">
        <v>2498</v>
      </c>
      <c r="B1701" s="17"/>
      <c r="C1701" s="18"/>
      <c r="D1701" s="4"/>
      <c r="E1701" s="19">
        <v>0.0</v>
      </c>
      <c r="F1701" s="19">
        <v>0.0</v>
      </c>
      <c r="G1701" s="16" t="s">
        <v>670</v>
      </c>
      <c r="H1701" s="21"/>
      <c r="I1701" s="22">
        <v>0.0</v>
      </c>
      <c r="J1701" s="29"/>
      <c r="K1701" s="43">
        <f>2178*1.19</f>
        <v>2591.82</v>
      </c>
      <c r="L1701" s="44">
        <v>4500.0</v>
      </c>
      <c r="M1701" s="25"/>
      <c r="N1701" s="26"/>
      <c r="O1701" s="27">
        <f t="shared" si="219"/>
        <v>0.7362316828</v>
      </c>
      <c r="P1701" s="28">
        <f t="shared" si="220"/>
        <v>0</v>
      </c>
    </row>
    <row r="1702" hidden="1">
      <c r="A1702" s="16" t="s">
        <v>2499</v>
      </c>
      <c r="B1702" s="17"/>
      <c r="C1702" s="18"/>
      <c r="D1702" s="4"/>
      <c r="E1702" s="19">
        <v>0.0</v>
      </c>
      <c r="F1702" s="19">
        <v>0.0</v>
      </c>
      <c r="G1702" s="16" t="s">
        <v>670</v>
      </c>
      <c r="H1702" s="21"/>
      <c r="I1702" s="22">
        <v>6.0</v>
      </c>
      <c r="J1702" s="29"/>
      <c r="K1702" s="43">
        <f>910*1.19</f>
        <v>1082.9</v>
      </c>
      <c r="L1702" s="44">
        <v>3000.0</v>
      </c>
      <c r="M1702" s="25"/>
      <c r="N1702" s="26"/>
      <c r="O1702" s="27">
        <f t="shared" si="219"/>
        <v>1.770338905</v>
      </c>
      <c r="P1702" s="28">
        <f t="shared" si="220"/>
        <v>0</v>
      </c>
    </row>
    <row r="1703" hidden="1">
      <c r="A1703" s="16" t="s">
        <v>2500</v>
      </c>
      <c r="B1703" s="17"/>
      <c r="C1703" s="18"/>
      <c r="D1703" s="4"/>
      <c r="E1703" s="19">
        <v>0.0</v>
      </c>
      <c r="F1703" s="19">
        <v>0.0</v>
      </c>
      <c r="G1703" s="16" t="s">
        <v>670</v>
      </c>
      <c r="H1703" s="21"/>
      <c r="I1703" s="22">
        <v>3.0</v>
      </c>
      <c r="J1703" s="29"/>
      <c r="K1703" s="43">
        <f>4202*1.19</f>
        <v>5000.38</v>
      </c>
      <c r="L1703" s="44">
        <v>8500.0</v>
      </c>
      <c r="M1703" s="25"/>
      <c r="N1703" s="26"/>
      <c r="O1703" s="27">
        <f t="shared" si="219"/>
        <v>0.6998708098</v>
      </c>
      <c r="P1703" s="28">
        <f t="shared" si="220"/>
        <v>0</v>
      </c>
    </row>
    <row r="1704" hidden="1">
      <c r="A1704" s="16" t="s">
        <v>2501</v>
      </c>
      <c r="B1704" s="17"/>
      <c r="C1704" s="18"/>
      <c r="D1704" s="4"/>
      <c r="E1704" s="19"/>
      <c r="F1704" s="19"/>
      <c r="G1704" s="16" t="s">
        <v>2502</v>
      </c>
      <c r="H1704" s="21"/>
      <c r="I1704" s="22">
        <v>0.0</v>
      </c>
      <c r="J1704" s="47">
        <v>46478.0</v>
      </c>
      <c r="K1704" s="32">
        <v>6288.0</v>
      </c>
      <c r="L1704" s="32">
        <v>9000.0</v>
      </c>
      <c r="M1704" s="25"/>
      <c r="N1704" s="26"/>
      <c r="O1704" s="27">
        <f t="shared" si="219"/>
        <v>0.4312977099</v>
      </c>
      <c r="P1704" s="28">
        <f t="shared" si="220"/>
        <v>0</v>
      </c>
    </row>
    <row r="1705" hidden="1">
      <c r="A1705" s="16" t="s">
        <v>2503</v>
      </c>
      <c r="B1705" s="17"/>
      <c r="C1705" s="18"/>
      <c r="D1705" s="4"/>
      <c r="E1705" s="19">
        <v>0.0</v>
      </c>
      <c r="F1705" s="19">
        <v>0.0</v>
      </c>
      <c r="G1705" s="16" t="s">
        <v>93</v>
      </c>
      <c r="H1705" s="21"/>
      <c r="I1705" s="22">
        <v>1.0</v>
      </c>
      <c r="J1705" s="47">
        <v>47150.0</v>
      </c>
      <c r="K1705" s="48">
        <v>188200.0</v>
      </c>
      <c r="L1705" s="55">
        <v>235000.0</v>
      </c>
      <c r="M1705" s="25"/>
      <c r="N1705" s="26">
        <v>194000.0</v>
      </c>
      <c r="O1705" s="27">
        <f t="shared" si="219"/>
        <v>0.2486716259</v>
      </c>
      <c r="P1705" s="28">
        <f t="shared" si="220"/>
        <v>0</v>
      </c>
    </row>
    <row r="1706" hidden="1">
      <c r="A1706" s="52" t="s">
        <v>2504</v>
      </c>
      <c r="B1706" s="17"/>
      <c r="C1706" s="18"/>
      <c r="D1706" s="4"/>
      <c r="E1706" s="19">
        <v>0.0</v>
      </c>
      <c r="F1706" s="19">
        <v>0.0</v>
      </c>
      <c r="G1706" s="16" t="s">
        <v>2505</v>
      </c>
      <c r="H1706" s="21"/>
      <c r="I1706" s="22">
        <v>2.0</v>
      </c>
      <c r="J1706" s="29"/>
      <c r="K1706" s="48">
        <f>6100*1.19</f>
        <v>7259</v>
      </c>
      <c r="L1706" s="55">
        <v>12000.0</v>
      </c>
      <c r="M1706" s="25"/>
      <c r="N1706" s="26">
        <v>10000.0</v>
      </c>
      <c r="O1706" s="27">
        <f t="shared" si="219"/>
        <v>0.6531202645</v>
      </c>
      <c r="P1706" s="28" t="str">
        <f>K1706*#REF!</f>
        <v>#REF!</v>
      </c>
    </row>
    <row r="1707" hidden="1">
      <c r="A1707" s="42" t="s">
        <v>2506</v>
      </c>
      <c r="B1707" s="273"/>
      <c r="C1707" s="18"/>
      <c r="D1707" s="107"/>
      <c r="E1707" s="19">
        <v>10.0</v>
      </c>
      <c r="F1707" s="19">
        <v>10.0</v>
      </c>
      <c r="G1707" s="16" t="s">
        <v>102</v>
      </c>
      <c r="H1707" s="21"/>
      <c r="I1707" s="22">
        <v>2.0</v>
      </c>
      <c r="J1707" s="29"/>
      <c r="K1707" s="32">
        <v>29040.0</v>
      </c>
      <c r="L1707" s="24">
        <v>40000.0</v>
      </c>
      <c r="M1707" s="25"/>
      <c r="N1707" s="26">
        <v>34000.0</v>
      </c>
      <c r="O1707" s="27">
        <f t="shared" si="219"/>
        <v>0.3774104683</v>
      </c>
      <c r="P1707" s="28">
        <f t="shared" ref="P1707:P1731" si="221">K1707*F1707</f>
        <v>290400</v>
      </c>
    </row>
    <row r="1708" hidden="1">
      <c r="A1708" s="16" t="s">
        <v>2507</v>
      </c>
      <c r="B1708" s="17"/>
      <c r="C1708" s="18"/>
      <c r="D1708" s="4"/>
      <c r="E1708" s="19">
        <v>0.0</v>
      </c>
      <c r="F1708" s="19">
        <v>0.0</v>
      </c>
      <c r="G1708" s="16" t="s">
        <v>1328</v>
      </c>
      <c r="H1708" s="21"/>
      <c r="I1708" s="22">
        <v>0.0</v>
      </c>
      <c r="J1708" s="29"/>
      <c r="K1708" s="43">
        <v>29500.0</v>
      </c>
      <c r="L1708" s="44">
        <v>36000.0</v>
      </c>
      <c r="M1708" s="25"/>
      <c r="N1708" s="26"/>
      <c r="O1708" s="27">
        <f t="shared" si="219"/>
        <v>0.2203389831</v>
      </c>
      <c r="P1708" s="28">
        <f t="shared" si="221"/>
        <v>0</v>
      </c>
    </row>
    <row r="1709" hidden="1">
      <c r="A1709" s="16" t="s">
        <v>2508</v>
      </c>
      <c r="B1709" s="17"/>
      <c r="C1709" s="18"/>
      <c r="D1709" s="4"/>
      <c r="E1709" s="19">
        <v>4.0</v>
      </c>
      <c r="F1709" s="19">
        <v>0.0</v>
      </c>
      <c r="G1709" s="16" t="s">
        <v>476</v>
      </c>
      <c r="H1709" s="21"/>
      <c r="I1709" s="22">
        <v>3.0</v>
      </c>
      <c r="J1709" s="29"/>
      <c r="K1709" s="48">
        <v>37000.0</v>
      </c>
      <c r="L1709" s="48">
        <v>46000.0</v>
      </c>
      <c r="M1709" s="25" t="s">
        <v>82</v>
      </c>
      <c r="N1709" s="26"/>
      <c r="O1709" s="27">
        <f t="shared" si="219"/>
        <v>0.2432432432</v>
      </c>
      <c r="P1709" s="28">
        <f t="shared" si="221"/>
        <v>0</v>
      </c>
    </row>
    <row r="1710" hidden="1">
      <c r="A1710" s="16" t="s">
        <v>2509</v>
      </c>
      <c r="B1710" s="17"/>
      <c r="C1710" s="18"/>
      <c r="D1710" s="4"/>
      <c r="E1710" s="19">
        <v>0.0</v>
      </c>
      <c r="F1710" s="19"/>
      <c r="G1710" s="16" t="s">
        <v>57</v>
      </c>
      <c r="H1710" s="21"/>
      <c r="I1710" s="22"/>
      <c r="J1710" s="29"/>
      <c r="K1710" s="43">
        <v>10000.0</v>
      </c>
      <c r="L1710" s="44">
        <v>15000.0</v>
      </c>
      <c r="M1710" s="25" t="s">
        <v>82</v>
      </c>
      <c r="N1710" s="26"/>
      <c r="O1710" s="27">
        <f t="shared" si="219"/>
        <v>0.5</v>
      </c>
      <c r="P1710" s="28">
        <f t="shared" si="221"/>
        <v>0</v>
      </c>
    </row>
    <row r="1711" hidden="1">
      <c r="A1711" s="16" t="s">
        <v>2510</v>
      </c>
      <c r="B1711" s="17"/>
      <c r="C1711" s="18"/>
      <c r="D1711" s="4"/>
      <c r="E1711" s="19">
        <v>0.0</v>
      </c>
      <c r="F1711" s="19"/>
      <c r="G1711" s="16" t="s">
        <v>57</v>
      </c>
      <c r="H1711" s="21"/>
      <c r="I1711" s="22"/>
      <c r="J1711" s="29"/>
      <c r="K1711" s="43">
        <f>130900/5</f>
        <v>26180</v>
      </c>
      <c r="L1711" s="44">
        <v>39000.0</v>
      </c>
      <c r="M1711" s="25"/>
      <c r="N1711" s="26"/>
      <c r="O1711" s="27">
        <f t="shared" si="219"/>
        <v>0.4896867838</v>
      </c>
      <c r="P1711" s="28">
        <f t="shared" si="221"/>
        <v>0</v>
      </c>
    </row>
    <row r="1712" hidden="1">
      <c r="A1712" s="16" t="s">
        <v>2511</v>
      </c>
      <c r="B1712" s="17"/>
      <c r="C1712" s="18"/>
      <c r="D1712" s="4"/>
      <c r="E1712" s="19">
        <v>0.0</v>
      </c>
      <c r="F1712" s="19"/>
      <c r="G1712" s="16" t="s">
        <v>2512</v>
      </c>
      <c r="H1712" s="21"/>
      <c r="I1712" s="22"/>
      <c r="J1712" s="29"/>
      <c r="K1712" s="43">
        <v>2200.0</v>
      </c>
      <c r="L1712" s="44">
        <v>6000.0</v>
      </c>
      <c r="M1712" s="25" t="s">
        <v>82</v>
      </c>
      <c r="N1712" s="26"/>
      <c r="O1712" s="27">
        <f t="shared" si="219"/>
        <v>1.727272727</v>
      </c>
      <c r="P1712" s="28">
        <f t="shared" si="221"/>
        <v>0</v>
      </c>
    </row>
    <row r="1713" hidden="1">
      <c r="A1713" s="52" t="s">
        <v>2513</v>
      </c>
      <c r="B1713" s="17"/>
      <c r="C1713" s="18"/>
      <c r="D1713" s="4"/>
      <c r="E1713" s="19">
        <v>0.0</v>
      </c>
      <c r="F1713" s="19">
        <v>2.0</v>
      </c>
      <c r="G1713" s="16" t="s">
        <v>2199</v>
      </c>
      <c r="H1713" s="21"/>
      <c r="I1713" s="22"/>
      <c r="J1713" s="23"/>
      <c r="K1713" s="24">
        <v>22000.0</v>
      </c>
      <c r="L1713" s="24">
        <v>32000.0</v>
      </c>
      <c r="M1713" s="25"/>
      <c r="N1713" s="26"/>
      <c r="O1713" s="27">
        <f t="shared" si="219"/>
        <v>0.4545454545</v>
      </c>
      <c r="P1713" s="28">
        <f t="shared" si="221"/>
        <v>44000</v>
      </c>
    </row>
    <row r="1714" hidden="1">
      <c r="A1714" s="16" t="s">
        <v>2514</v>
      </c>
      <c r="B1714" s="17"/>
      <c r="C1714" s="18"/>
      <c r="D1714" s="4"/>
      <c r="E1714" s="19">
        <v>0.0</v>
      </c>
      <c r="F1714" s="19">
        <v>0.0</v>
      </c>
      <c r="G1714" s="16" t="s">
        <v>1935</v>
      </c>
      <c r="H1714" s="21"/>
      <c r="I1714" s="22">
        <v>0.0</v>
      </c>
      <c r="J1714" s="29"/>
      <c r="K1714" s="43">
        <v>1462.0</v>
      </c>
      <c r="L1714" s="44">
        <v>2500.0</v>
      </c>
      <c r="M1714" s="25"/>
      <c r="N1714" s="26"/>
      <c r="O1714" s="27">
        <f t="shared" si="219"/>
        <v>0.7099863201</v>
      </c>
      <c r="P1714" s="28">
        <f t="shared" si="221"/>
        <v>0</v>
      </c>
    </row>
    <row r="1715" hidden="1">
      <c r="A1715" s="16" t="s">
        <v>2515</v>
      </c>
      <c r="B1715" s="49"/>
      <c r="C1715" s="18"/>
      <c r="D1715" s="4"/>
      <c r="E1715" s="19">
        <v>0.0</v>
      </c>
      <c r="F1715" s="19">
        <v>0.0</v>
      </c>
      <c r="G1715" s="16" t="s">
        <v>93</v>
      </c>
      <c r="H1715" s="21"/>
      <c r="I1715" s="22">
        <v>0.0</v>
      </c>
      <c r="J1715" s="29"/>
      <c r="K1715" s="48">
        <f>137590/10</f>
        <v>13759</v>
      </c>
      <c r="L1715" s="55">
        <v>20000.0</v>
      </c>
      <c r="M1715" s="25"/>
      <c r="N1715" s="26">
        <v>16000.0</v>
      </c>
      <c r="O1715" s="27">
        <f t="shared" si="219"/>
        <v>0.4535940112</v>
      </c>
      <c r="P1715" s="28">
        <f t="shared" si="221"/>
        <v>0</v>
      </c>
    </row>
    <row r="1716" hidden="1">
      <c r="A1716" s="16" t="s">
        <v>2516</v>
      </c>
      <c r="B1716" s="49">
        <v>2.206802401E9</v>
      </c>
      <c r="C1716" s="18"/>
      <c r="D1716" s="4"/>
      <c r="E1716" s="19">
        <v>0.0</v>
      </c>
      <c r="F1716" s="19">
        <v>0.0</v>
      </c>
      <c r="G1716" s="16" t="s">
        <v>93</v>
      </c>
      <c r="H1716" s="21"/>
      <c r="I1716" s="22">
        <v>1.0</v>
      </c>
      <c r="J1716" s="58">
        <v>46692.0</v>
      </c>
      <c r="K1716" s="48">
        <v>144800.0</v>
      </c>
      <c r="L1716" s="55">
        <v>181100.0</v>
      </c>
      <c r="M1716" s="25"/>
      <c r="N1716" s="26"/>
      <c r="O1716" s="27">
        <f t="shared" si="219"/>
        <v>0.2506906077</v>
      </c>
      <c r="P1716" s="28">
        <f t="shared" si="221"/>
        <v>0</v>
      </c>
    </row>
    <row r="1717" hidden="1">
      <c r="A1717" s="16" t="s">
        <v>2517</v>
      </c>
      <c r="B1717" s="17"/>
      <c r="C1717" s="18" t="s">
        <v>144</v>
      </c>
      <c r="D1717" s="4">
        <v>34300.0</v>
      </c>
      <c r="E1717" s="19">
        <v>3.0</v>
      </c>
      <c r="F1717" s="19">
        <v>0.0</v>
      </c>
      <c r="G1717" s="16" t="s">
        <v>93</v>
      </c>
      <c r="H1717" s="21"/>
      <c r="I1717" s="22">
        <v>2.0</v>
      </c>
      <c r="J1717" s="23"/>
      <c r="K1717" s="55">
        <v>32590.0</v>
      </c>
      <c r="L1717" s="55">
        <v>46000.0</v>
      </c>
      <c r="M1717" s="25" t="s">
        <v>76</v>
      </c>
      <c r="N1717" s="26"/>
      <c r="O1717" s="27">
        <f t="shared" si="219"/>
        <v>0.4114759129</v>
      </c>
      <c r="P1717" s="28">
        <f t="shared" si="221"/>
        <v>0</v>
      </c>
    </row>
    <row r="1718" hidden="1">
      <c r="A1718" s="16" t="s">
        <v>2518</v>
      </c>
      <c r="B1718" s="17"/>
      <c r="C1718" s="18"/>
      <c r="D1718" s="4"/>
      <c r="E1718" s="19">
        <v>0.0</v>
      </c>
      <c r="F1718" s="19">
        <v>0.0</v>
      </c>
      <c r="G1718" s="16" t="s">
        <v>473</v>
      </c>
      <c r="H1718" s="21"/>
      <c r="I1718" s="22"/>
      <c r="J1718" s="29"/>
      <c r="K1718" s="48">
        <v>28000.0</v>
      </c>
      <c r="L1718" s="55">
        <v>54000.0</v>
      </c>
      <c r="M1718" s="25" t="s">
        <v>76</v>
      </c>
      <c r="N1718" s="26">
        <v>44000.0</v>
      </c>
      <c r="O1718" s="27">
        <f t="shared" si="219"/>
        <v>0.9285714286</v>
      </c>
      <c r="P1718" s="28">
        <f t="shared" si="221"/>
        <v>0</v>
      </c>
    </row>
    <row r="1719" hidden="1">
      <c r="A1719" s="16" t="s">
        <v>2519</v>
      </c>
      <c r="B1719" s="36" t="s">
        <v>2520</v>
      </c>
      <c r="C1719" s="18" t="s">
        <v>144</v>
      </c>
      <c r="D1719" s="4">
        <v>28700.0</v>
      </c>
      <c r="E1719" s="19">
        <v>0.0</v>
      </c>
      <c r="F1719" s="19">
        <v>0.0</v>
      </c>
      <c r="G1719" s="16" t="s">
        <v>70</v>
      </c>
      <c r="H1719" s="21"/>
      <c r="I1719" s="22"/>
      <c r="J1719" s="58">
        <v>45962.0</v>
      </c>
      <c r="K1719" s="32">
        <f>40000*0.8</f>
        <v>32000</v>
      </c>
      <c r="L1719" s="24">
        <v>54000.0</v>
      </c>
      <c r="M1719" s="25"/>
      <c r="N1719" s="26"/>
      <c r="O1719" s="27">
        <f t="shared" si="219"/>
        <v>0.6875</v>
      </c>
      <c r="P1719" s="28">
        <f t="shared" si="221"/>
        <v>0</v>
      </c>
    </row>
    <row r="1720" hidden="1">
      <c r="A1720" s="16" t="s">
        <v>2521</v>
      </c>
      <c r="B1720" s="17" t="s">
        <v>2522</v>
      </c>
      <c r="C1720" s="18"/>
      <c r="D1720" s="4"/>
      <c r="E1720" s="19">
        <v>0.0</v>
      </c>
      <c r="F1720" s="19">
        <v>0.0</v>
      </c>
      <c r="G1720" s="20" t="s">
        <v>78</v>
      </c>
      <c r="H1720" s="21">
        <v>3.0</v>
      </c>
      <c r="I1720" s="22">
        <v>4.0</v>
      </c>
      <c r="J1720" s="29"/>
      <c r="K1720" s="32">
        <v>26760.0</v>
      </c>
      <c r="L1720" s="24">
        <v>54000.0</v>
      </c>
      <c r="M1720" s="25"/>
      <c r="N1720" s="31">
        <v>35000.0</v>
      </c>
      <c r="O1720" s="27">
        <f t="shared" si="219"/>
        <v>1.01793722</v>
      </c>
      <c r="P1720" s="28">
        <f t="shared" si="221"/>
        <v>0</v>
      </c>
    </row>
    <row r="1721" hidden="1">
      <c r="A1721" s="224" t="s">
        <v>2523</v>
      </c>
      <c r="B1721" s="36"/>
      <c r="C1721" s="18" t="s">
        <v>1572</v>
      </c>
      <c r="D1721" s="4"/>
      <c r="E1721" s="19">
        <v>0.0</v>
      </c>
      <c r="F1721" s="19">
        <v>0.0</v>
      </c>
      <c r="G1721" s="16" t="s">
        <v>93</v>
      </c>
      <c r="H1721" s="21"/>
      <c r="I1721" s="22">
        <v>0.0</v>
      </c>
      <c r="J1721" s="29"/>
      <c r="K1721" s="48">
        <v>266300.0</v>
      </c>
      <c r="L1721" s="55">
        <v>333500.0</v>
      </c>
      <c r="M1721" s="25">
        <v>1.19</v>
      </c>
      <c r="N1721" s="26"/>
      <c r="O1721" s="27">
        <f t="shared" si="219"/>
        <v>0.2523469771</v>
      </c>
      <c r="P1721" s="28">
        <f t="shared" si="221"/>
        <v>0</v>
      </c>
    </row>
    <row r="1722" hidden="1">
      <c r="A1722" s="224" t="s">
        <v>2524</v>
      </c>
      <c r="B1722" s="36"/>
      <c r="C1722" s="18" t="s">
        <v>1572</v>
      </c>
      <c r="D1722" s="4"/>
      <c r="E1722" s="19">
        <v>0.0</v>
      </c>
      <c r="F1722" s="19">
        <v>0.0</v>
      </c>
      <c r="G1722" s="16" t="s">
        <v>93</v>
      </c>
      <c r="H1722" s="21"/>
      <c r="I1722" s="22">
        <v>0.0</v>
      </c>
      <c r="J1722" s="29"/>
      <c r="K1722" s="48">
        <f>200000+48000</f>
        <v>248000</v>
      </c>
      <c r="L1722" s="55">
        <v>352000.0</v>
      </c>
      <c r="M1722" s="25">
        <v>1.19</v>
      </c>
      <c r="N1722" s="63"/>
      <c r="O1722" s="27">
        <f t="shared" si="219"/>
        <v>0.4193548387</v>
      </c>
      <c r="P1722" s="28">
        <f t="shared" si="221"/>
        <v>0</v>
      </c>
    </row>
    <row r="1723" hidden="1">
      <c r="A1723" s="224" t="s">
        <v>2525</v>
      </c>
      <c r="B1723" s="36">
        <v>297770.0</v>
      </c>
      <c r="C1723" s="18" t="s">
        <v>2526</v>
      </c>
      <c r="D1723" s="4"/>
      <c r="E1723" s="19">
        <v>0.0</v>
      </c>
      <c r="F1723" s="19">
        <v>0.0</v>
      </c>
      <c r="G1723" s="16" t="s">
        <v>93</v>
      </c>
      <c r="H1723" s="21"/>
      <c r="I1723" s="22">
        <v>6.0</v>
      </c>
      <c r="J1723" s="47">
        <v>46419.0</v>
      </c>
      <c r="K1723" s="48">
        <v>82900.0</v>
      </c>
      <c r="L1723" s="55">
        <v>110000.0</v>
      </c>
      <c r="M1723" s="25">
        <v>1.19</v>
      </c>
      <c r="N1723" s="26"/>
      <c r="O1723" s="27">
        <f t="shared" si="219"/>
        <v>0.3268998794</v>
      </c>
      <c r="P1723" s="28">
        <f t="shared" si="221"/>
        <v>0</v>
      </c>
    </row>
    <row r="1724" hidden="1">
      <c r="A1724" s="16" t="s">
        <v>2527</v>
      </c>
      <c r="B1724" s="36"/>
      <c r="C1724" s="18" t="s">
        <v>2526</v>
      </c>
      <c r="D1724" s="4"/>
      <c r="E1724" s="19">
        <v>0.0</v>
      </c>
      <c r="F1724" s="19"/>
      <c r="G1724" s="16" t="s">
        <v>1573</v>
      </c>
      <c r="H1724" s="21"/>
      <c r="I1724" s="22"/>
      <c r="J1724" s="29"/>
      <c r="K1724" s="48">
        <v>110000.0</v>
      </c>
      <c r="L1724" s="55">
        <v>160000.0</v>
      </c>
      <c r="M1724" s="25"/>
      <c r="N1724" s="26">
        <v>130000.0</v>
      </c>
      <c r="O1724" s="27">
        <f t="shared" si="219"/>
        <v>0.4545454545</v>
      </c>
      <c r="P1724" s="28">
        <f t="shared" si="221"/>
        <v>0</v>
      </c>
    </row>
    <row r="1725" hidden="1">
      <c r="A1725" s="16" t="s">
        <v>2528</v>
      </c>
      <c r="B1725" s="36" t="s">
        <v>2529</v>
      </c>
      <c r="C1725" s="18" t="s">
        <v>2530</v>
      </c>
      <c r="D1725" s="4"/>
      <c r="E1725" s="19">
        <v>0.0</v>
      </c>
      <c r="F1725" s="19"/>
      <c r="G1725" s="16" t="s">
        <v>1573</v>
      </c>
      <c r="H1725" s="21"/>
      <c r="I1725" s="22"/>
      <c r="J1725" s="29"/>
      <c r="K1725" s="48"/>
      <c r="L1725" s="55">
        <v>120000.0</v>
      </c>
      <c r="M1725" s="25"/>
      <c r="N1725" s="70"/>
      <c r="O1725" s="27" t="str">
        <f t="shared" si="219"/>
        <v>#DIV/0!</v>
      </c>
      <c r="P1725" s="28">
        <f t="shared" si="221"/>
        <v>0</v>
      </c>
    </row>
    <row r="1726" hidden="1">
      <c r="A1726" s="224" t="s">
        <v>2531</v>
      </c>
      <c r="B1726" s="36">
        <v>292818.0</v>
      </c>
      <c r="C1726" s="18" t="s">
        <v>2530</v>
      </c>
      <c r="D1726" s="4"/>
      <c r="E1726" s="19">
        <v>0.0</v>
      </c>
      <c r="F1726" s="19">
        <v>0.0</v>
      </c>
      <c r="G1726" s="16" t="s">
        <v>93</v>
      </c>
      <c r="H1726" s="21"/>
      <c r="I1726" s="22">
        <v>1.0</v>
      </c>
      <c r="J1726" s="23"/>
      <c r="K1726" s="55">
        <v>213000.0</v>
      </c>
      <c r="L1726" s="55">
        <v>266300.0</v>
      </c>
      <c r="M1726" s="25">
        <v>1.19</v>
      </c>
      <c r="N1726" s="26"/>
      <c r="O1726" s="27">
        <f t="shared" si="219"/>
        <v>0.2502347418</v>
      </c>
      <c r="P1726" s="28">
        <f t="shared" si="221"/>
        <v>0</v>
      </c>
    </row>
    <row r="1727" hidden="1">
      <c r="A1727" s="16" t="s">
        <v>2532</v>
      </c>
      <c r="B1727" s="17"/>
      <c r="C1727" s="18"/>
      <c r="D1727" s="4"/>
      <c r="E1727" s="19">
        <v>0.0</v>
      </c>
      <c r="F1727" s="19">
        <v>2.0</v>
      </c>
      <c r="G1727" s="16" t="s">
        <v>2533</v>
      </c>
      <c r="H1727" s="21"/>
      <c r="I1727" s="22">
        <v>0.0</v>
      </c>
      <c r="J1727" s="29"/>
      <c r="K1727" s="43">
        <f>30478*1.19+7500</f>
        <v>43768.82</v>
      </c>
      <c r="L1727" s="44">
        <v>60000.0</v>
      </c>
      <c r="M1727" s="25"/>
      <c r="N1727" s="26"/>
      <c r="O1727" s="27">
        <f t="shared" si="219"/>
        <v>0.3708388757</v>
      </c>
      <c r="P1727" s="28">
        <f t="shared" si="221"/>
        <v>87537.64</v>
      </c>
    </row>
    <row r="1728" hidden="1">
      <c r="A1728" s="224" t="s">
        <v>2534</v>
      </c>
      <c r="B1728" s="36"/>
      <c r="C1728" s="18" t="s">
        <v>2526</v>
      </c>
      <c r="D1728" s="4"/>
      <c r="E1728" s="19">
        <v>0.0</v>
      </c>
      <c r="F1728" s="19">
        <v>0.0</v>
      </c>
      <c r="G1728" s="16" t="s">
        <v>1210</v>
      </c>
      <c r="H1728" s="21"/>
      <c r="I1728" s="22">
        <v>10.0</v>
      </c>
      <c r="J1728" s="29"/>
      <c r="K1728" s="48">
        <f>164800/2</f>
        <v>82400</v>
      </c>
      <c r="L1728" s="55">
        <v>120000.0</v>
      </c>
      <c r="M1728" s="25"/>
      <c r="N1728" s="26">
        <v>98000.0</v>
      </c>
      <c r="O1728" s="27">
        <f t="shared" si="219"/>
        <v>0.4563106796</v>
      </c>
      <c r="P1728" s="28">
        <f t="shared" si="221"/>
        <v>0</v>
      </c>
    </row>
    <row r="1729" hidden="1">
      <c r="A1729" s="16" t="s">
        <v>2535</v>
      </c>
      <c r="B1729" s="51" t="s">
        <v>1840</v>
      </c>
      <c r="C1729" s="18" t="s">
        <v>2526</v>
      </c>
      <c r="D1729" s="67"/>
      <c r="E1729" s="19"/>
      <c r="F1729" s="19"/>
      <c r="G1729" s="16" t="s">
        <v>1626</v>
      </c>
      <c r="H1729" s="21"/>
      <c r="I1729" s="22">
        <v>40.0</v>
      </c>
      <c r="J1729" s="45">
        <v>120.0</v>
      </c>
      <c r="K1729" s="60">
        <v>91000.0</v>
      </c>
      <c r="L1729" s="55">
        <v>120000.0</v>
      </c>
      <c r="M1729" s="25">
        <v>1.19</v>
      </c>
      <c r="N1729" s="43">
        <v>98000.0</v>
      </c>
      <c r="O1729" s="27">
        <f t="shared" si="219"/>
        <v>0.3186813187</v>
      </c>
      <c r="P1729" s="28">
        <f t="shared" si="221"/>
        <v>0</v>
      </c>
    </row>
    <row r="1730" hidden="1">
      <c r="A1730" s="16" t="s">
        <v>2536</v>
      </c>
      <c r="B1730" s="36"/>
      <c r="C1730" s="18" t="s">
        <v>2530</v>
      </c>
      <c r="D1730" s="67"/>
      <c r="E1730" s="19"/>
      <c r="F1730" s="19"/>
      <c r="G1730" s="16" t="s">
        <v>1626</v>
      </c>
      <c r="H1730" s="21"/>
      <c r="I1730" s="22">
        <v>189.0</v>
      </c>
      <c r="J1730" s="45">
        <v>210.0</v>
      </c>
      <c r="K1730" s="60">
        <v>180000.0</v>
      </c>
      <c r="L1730" s="55">
        <v>210000.0</v>
      </c>
      <c r="M1730" s="25">
        <v>1.19</v>
      </c>
      <c r="N1730" s="43">
        <v>180000.0</v>
      </c>
      <c r="O1730" s="27">
        <f t="shared" si="219"/>
        <v>0.1666666667</v>
      </c>
      <c r="P1730" s="28">
        <f t="shared" si="221"/>
        <v>0</v>
      </c>
    </row>
    <row r="1731" hidden="1">
      <c r="A1731" s="16" t="s">
        <v>2537</v>
      </c>
      <c r="B1731" s="51" t="s">
        <v>2538</v>
      </c>
      <c r="C1731" s="18" t="s">
        <v>2530</v>
      </c>
      <c r="D1731" s="67"/>
      <c r="E1731" s="19"/>
      <c r="F1731" s="19"/>
      <c r="G1731" s="16" t="s">
        <v>1626</v>
      </c>
      <c r="H1731" s="21"/>
      <c r="I1731" s="22">
        <v>5.0</v>
      </c>
      <c r="J1731" s="45"/>
      <c r="K1731" s="60">
        <v>407000.0</v>
      </c>
      <c r="L1731" s="55">
        <v>450000.0</v>
      </c>
      <c r="M1731" s="25"/>
      <c r="N1731" s="26">
        <v>440000.0</v>
      </c>
      <c r="O1731" s="27">
        <f t="shared" si="219"/>
        <v>0.1056511057</v>
      </c>
      <c r="P1731" s="28">
        <f t="shared" si="221"/>
        <v>0</v>
      </c>
    </row>
    <row r="1732" hidden="1">
      <c r="A1732" s="16" t="s">
        <v>2539</v>
      </c>
      <c r="B1732" s="36"/>
      <c r="C1732" s="18"/>
      <c r="D1732" s="4"/>
      <c r="E1732" s="19"/>
      <c r="F1732" s="19"/>
      <c r="G1732" s="16" t="s">
        <v>2540</v>
      </c>
      <c r="H1732" s="21"/>
      <c r="I1732" s="22"/>
      <c r="J1732" s="29"/>
      <c r="K1732" s="48">
        <f>145900/2*1.19</f>
        <v>86810.5</v>
      </c>
      <c r="L1732" s="48">
        <v>120000.0</v>
      </c>
      <c r="M1732" s="25"/>
      <c r="N1732" s="50"/>
      <c r="O1732" s="27"/>
      <c r="P1732" s="28"/>
    </row>
    <row r="1733" hidden="1">
      <c r="A1733" s="16" t="s">
        <v>2541</v>
      </c>
      <c r="B1733" s="36"/>
      <c r="C1733" s="18"/>
      <c r="D1733" s="4"/>
      <c r="E1733" s="19">
        <v>0.0</v>
      </c>
      <c r="F1733" s="19">
        <v>0.0</v>
      </c>
      <c r="G1733" s="16" t="s">
        <v>643</v>
      </c>
      <c r="H1733" s="21" t="s">
        <v>2542</v>
      </c>
      <c r="I1733" s="22">
        <v>0.0</v>
      </c>
      <c r="J1733" s="29"/>
      <c r="K1733" s="48">
        <f>450000/56</f>
        <v>8035.714286</v>
      </c>
      <c r="L1733" s="48">
        <v>10000.0</v>
      </c>
      <c r="M1733" s="25"/>
      <c r="N1733" s="50"/>
      <c r="O1733" s="27">
        <f t="shared" ref="O1733:O1736" si="222">(L1733/K1733)-1</f>
        <v>0.2444444444</v>
      </c>
      <c r="P1733" s="28">
        <f t="shared" ref="P1733:P1736" si="223">K1733*F1733</f>
        <v>0</v>
      </c>
    </row>
    <row r="1734" hidden="1">
      <c r="A1734" s="224" t="s">
        <v>2543</v>
      </c>
      <c r="B1734" s="36" t="s">
        <v>2529</v>
      </c>
      <c r="C1734" s="18" t="s">
        <v>2530</v>
      </c>
      <c r="D1734" s="4"/>
      <c r="E1734" s="19">
        <v>0.0</v>
      </c>
      <c r="F1734" s="19">
        <v>0.0</v>
      </c>
      <c r="G1734" s="16" t="s">
        <v>1210</v>
      </c>
      <c r="H1734" s="21"/>
      <c r="I1734" s="22">
        <v>8.0</v>
      </c>
      <c r="J1734" s="29"/>
      <c r="K1734" s="48">
        <v>144500.0</v>
      </c>
      <c r="L1734" s="55">
        <v>210000.0</v>
      </c>
      <c r="M1734" s="25"/>
      <c r="N1734" s="26"/>
      <c r="O1734" s="27">
        <f t="shared" si="222"/>
        <v>0.4532871972</v>
      </c>
      <c r="P1734" s="28">
        <f t="shared" si="223"/>
        <v>0</v>
      </c>
    </row>
    <row r="1735" hidden="1">
      <c r="A1735" s="16" t="s">
        <v>2544</v>
      </c>
      <c r="B1735" s="36" t="s">
        <v>2545</v>
      </c>
      <c r="C1735" s="18" t="s">
        <v>2273</v>
      </c>
      <c r="D1735" s="4"/>
      <c r="E1735" s="19">
        <v>0.0</v>
      </c>
      <c r="F1735" s="19">
        <v>0.0</v>
      </c>
      <c r="G1735" s="16" t="s">
        <v>2546</v>
      </c>
      <c r="H1735" s="21"/>
      <c r="I1735" s="22">
        <v>8.0</v>
      </c>
      <c r="J1735" s="45"/>
      <c r="K1735" s="60">
        <v>101800.0</v>
      </c>
      <c r="L1735" s="55">
        <v>160000.0</v>
      </c>
      <c r="M1735" s="25"/>
      <c r="N1735" s="26"/>
      <c r="O1735" s="27">
        <f t="shared" si="222"/>
        <v>0.5717092338</v>
      </c>
      <c r="P1735" s="28">
        <f t="shared" si="223"/>
        <v>0</v>
      </c>
    </row>
    <row r="1736" hidden="1">
      <c r="A1736" s="16" t="s">
        <v>2547</v>
      </c>
      <c r="B1736" s="17"/>
      <c r="C1736" s="18"/>
      <c r="D1736" s="4"/>
      <c r="E1736" s="19">
        <v>0.0</v>
      </c>
      <c r="F1736" s="19">
        <v>0.0</v>
      </c>
      <c r="G1736" s="16" t="s">
        <v>2533</v>
      </c>
      <c r="H1736" s="21"/>
      <c r="I1736" s="22">
        <v>0.0</v>
      </c>
      <c r="J1736" s="29"/>
      <c r="K1736" s="48">
        <v>84141.0</v>
      </c>
      <c r="L1736" s="55">
        <v>110000.0</v>
      </c>
      <c r="M1736" s="25"/>
      <c r="N1736" s="26"/>
      <c r="O1736" s="27">
        <f t="shared" si="222"/>
        <v>0.3073293638</v>
      </c>
      <c r="P1736" s="28">
        <f t="shared" si="223"/>
        <v>0</v>
      </c>
    </row>
    <row r="1737" hidden="1">
      <c r="A1737" s="16" t="s">
        <v>2548</v>
      </c>
      <c r="B1737" s="17"/>
      <c r="C1737" s="18"/>
      <c r="D1737" s="4"/>
      <c r="E1737" s="19">
        <v>0.0</v>
      </c>
      <c r="F1737" s="19">
        <v>0.0</v>
      </c>
      <c r="G1737" s="16" t="s">
        <v>580</v>
      </c>
      <c r="H1737" s="33"/>
      <c r="I1737" s="22"/>
      <c r="J1737" s="170"/>
      <c r="K1737" s="32">
        <v>3280.0</v>
      </c>
      <c r="L1737" s="24">
        <v>20000.0</v>
      </c>
      <c r="M1737" s="25"/>
      <c r="N1737" s="39"/>
      <c r="O1737" s="27"/>
      <c r="P1737" s="28"/>
    </row>
    <row r="1738" hidden="1">
      <c r="A1738" s="16" t="s">
        <v>2549</v>
      </c>
      <c r="B1738" s="17" t="s">
        <v>2550</v>
      </c>
      <c r="C1738" s="18"/>
      <c r="D1738" s="4"/>
      <c r="E1738" s="19">
        <v>0.0</v>
      </c>
      <c r="F1738" s="19">
        <v>0.0</v>
      </c>
      <c r="G1738" s="16" t="s">
        <v>286</v>
      </c>
      <c r="H1738" s="21"/>
      <c r="I1738" s="22">
        <v>38.0</v>
      </c>
      <c r="J1738" s="29"/>
      <c r="K1738" s="32">
        <v>2455.0</v>
      </c>
      <c r="L1738" s="24">
        <v>4000.0</v>
      </c>
      <c r="M1738" s="25" t="s">
        <v>76</v>
      </c>
      <c r="N1738" s="70"/>
      <c r="O1738" s="27">
        <f t="shared" ref="O1738:O1740" si="224">(L1738/K1738)-1</f>
        <v>0.6293279022</v>
      </c>
      <c r="P1738" s="28">
        <f t="shared" ref="P1738:P1740" si="225">K1738*F1738</f>
        <v>0</v>
      </c>
    </row>
    <row r="1739" hidden="1">
      <c r="A1739" s="16" t="s">
        <v>2551</v>
      </c>
      <c r="B1739" s="17" t="s">
        <v>2552</v>
      </c>
      <c r="C1739" s="18"/>
      <c r="D1739" s="4"/>
      <c r="E1739" s="19">
        <v>0.0</v>
      </c>
      <c r="F1739" s="19">
        <v>0.0</v>
      </c>
      <c r="G1739" s="16" t="s">
        <v>286</v>
      </c>
      <c r="H1739" s="21"/>
      <c r="I1739" s="22">
        <v>30.0</v>
      </c>
      <c r="J1739" s="29"/>
      <c r="K1739" s="32">
        <v>3169.0</v>
      </c>
      <c r="L1739" s="24">
        <v>5000.0</v>
      </c>
      <c r="M1739" s="25" t="s">
        <v>76</v>
      </c>
      <c r="N1739" s="26"/>
      <c r="O1739" s="27">
        <f t="shared" si="224"/>
        <v>0.5777847902</v>
      </c>
      <c r="P1739" s="28">
        <f t="shared" si="225"/>
        <v>0</v>
      </c>
    </row>
    <row r="1740" hidden="1">
      <c r="A1740" s="56" t="s">
        <v>2553</v>
      </c>
      <c r="B1740" s="17" t="s">
        <v>2554</v>
      </c>
      <c r="C1740" s="18"/>
      <c r="D1740" s="4"/>
      <c r="E1740" s="19">
        <v>0.0</v>
      </c>
      <c r="F1740" s="19">
        <v>1.0</v>
      </c>
      <c r="G1740" s="16" t="s">
        <v>286</v>
      </c>
      <c r="H1740" s="21"/>
      <c r="I1740" s="22">
        <v>16.0</v>
      </c>
      <c r="J1740" s="29"/>
      <c r="K1740" s="32">
        <v>2882.0</v>
      </c>
      <c r="L1740" s="24">
        <v>6000.0</v>
      </c>
      <c r="M1740" s="25" t="s">
        <v>76</v>
      </c>
      <c r="N1740" s="70">
        <v>4000.0</v>
      </c>
      <c r="O1740" s="27">
        <f t="shared" si="224"/>
        <v>1.081887578</v>
      </c>
      <c r="P1740" s="28">
        <f t="shared" si="225"/>
        <v>2882</v>
      </c>
    </row>
    <row r="1741" hidden="1">
      <c r="A1741" s="16" t="s">
        <v>2555</v>
      </c>
      <c r="B1741" s="97"/>
      <c r="C1741" s="18"/>
      <c r="D1741" s="98"/>
      <c r="E1741" s="19">
        <v>0.0</v>
      </c>
      <c r="F1741" s="19">
        <v>0.0</v>
      </c>
      <c r="G1741" s="16" t="s">
        <v>93</v>
      </c>
      <c r="H1741" s="99"/>
      <c r="I1741" s="22" t="s">
        <v>99</v>
      </c>
      <c r="J1741" s="182"/>
      <c r="K1741" s="226">
        <v>85100.0</v>
      </c>
      <c r="L1741" s="165">
        <v>106400.0</v>
      </c>
      <c r="M1741" s="25"/>
      <c r="N1741" s="31"/>
      <c r="O1741" s="27"/>
      <c r="P1741" s="28"/>
    </row>
    <row r="1742" hidden="1">
      <c r="A1742" s="16" t="s">
        <v>2556</v>
      </c>
      <c r="B1742" s="97" t="s">
        <v>2557</v>
      </c>
      <c r="C1742" s="18"/>
      <c r="D1742" s="98"/>
      <c r="E1742" s="19">
        <v>10.0</v>
      </c>
      <c r="F1742" s="19"/>
      <c r="G1742" s="16" t="s">
        <v>485</v>
      </c>
      <c r="H1742" s="21">
        <v>0.0</v>
      </c>
      <c r="I1742" s="22"/>
      <c r="J1742" s="22"/>
      <c r="K1742" s="250">
        <f>67000*1.19</f>
        <v>79730</v>
      </c>
      <c r="L1742" s="101">
        <v>110000.0</v>
      </c>
      <c r="M1742" s="25"/>
      <c r="N1742" s="26"/>
      <c r="O1742" s="27">
        <f t="shared" ref="O1742:O1744" si="226">(L1742/K1742)-1</f>
        <v>0.3796563401</v>
      </c>
      <c r="P1742" s="28">
        <f t="shared" ref="P1742:P1744" si="227">K1742*F1742</f>
        <v>0</v>
      </c>
    </row>
    <row r="1743" hidden="1">
      <c r="A1743" s="16" t="s">
        <v>2558</v>
      </c>
      <c r="B1743" s="97" t="s">
        <v>2559</v>
      </c>
      <c r="C1743" s="18" t="s">
        <v>558</v>
      </c>
      <c r="D1743" s="98"/>
      <c r="E1743" s="19">
        <v>0.0</v>
      </c>
      <c r="F1743" s="19"/>
      <c r="G1743" s="16" t="s">
        <v>485</v>
      </c>
      <c r="H1743" s="21">
        <v>0.0</v>
      </c>
      <c r="I1743" s="22"/>
      <c r="J1743" s="22"/>
      <c r="K1743" s="174">
        <f t="shared" ref="K1743:K1744" si="228">49867*1.19</f>
        <v>59341.73</v>
      </c>
      <c r="L1743" s="175">
        <v>95000.0</v>
      </c>
      <c r="M1743" s="25"/>
      <c r="N1743" s="26"/>
      <c r="O1743" s="27">
        <f t="shared" si="226"/>
        <v>0.6008970416</v>
      </c>
      <c r="P1743" s="28">
        <f t="shared" si="227"/>
        <v>0</v>
      </c>
    </row>
    <row r="1744" hidden="1">
      <c r="A1744" s="16" t="s">
        <v>2558</v>
      </c>
      <c r="B1744" s="97" t="s">
        <v>2560</v>
      </c>
      <c r="C1744" s="18" t="s">
        <v>558</v>
      </c>
      <c r="D1744" s="98"/>
      <c r="E1744" s="19">
        <v>0.0</v>
      </c>
      <c r="F1744" s="19"/>
      <c r="G1744" s="16" t="s">
        <v>485</v>
      </c>
      <c r="H1744" s="21">
        <v>0.0</v>
      </c>
      <c r="I1744" s="22"/>
      <c r="J1744" s="173"/>
      <c r="K1744" s="174">
        <f t="shared" si="228"/>
        <v>59341.73</v>
      </c>
      <c r="L1744" s="175">
        <v>95000.0</v>
      </c>
      <c r="M1744" s="25"/>
      <c r="N1744" s="26"/>
      <c r="O1744" s="27">
        <f t="shared" si="226"/>
        <v>0.6008970416</v>
      </c>
      <c r="P1744" s="28">
        <f t="shared" si="227"/>
        <v>0</v>
      </c>
    </row>
    <row r="1745" hidden="1">
      <c r="A1745" s="16" t="s">
        <v>2561</v>
      </c>
      <c r="B1745" s="134" t="s">
        <v>1460</v>
      </c>
      <c r="C1745" s="18"/>
      <c r="D1745" s="98"/>
      <c r="E1745" s="19">
        <v>0.0</v>
      </c>
      <c r="F1745" s="19">
        <v>0.0</v>
      </c>
      <c r="G1745" s="16" t="s">
        <v>577</v>
      </c>
      <c r="H1745" s="21"/>
      <c r="I1745" s="22"/>
      <c r="J1745" s="29"/>
      <c r="K1745" s="48">
        <v>176400.0</v>
      </c>
      <c r="L1745" s="101">
        <v>190000.0</v>
      </c>
      <c r="M1745" s="25"/>
      <c r="N1745" s="26"/>
      <c r="O1745" s="27"/>
      <c r="P1745" s="28"/>
    </row>
    <row r="1746" hidden="1">
      <c r="A1746" s="16" t="s">
        <v>2562</v>
      </c>
      <c r="B1746" s="97" t="s">
        <v>2563</v>
      </c>
      <c r="C1746" s="18"/>
      <c r="D1746" s="98"/>
      <c r="E1746" s="19">
        <v>6.0</v>
      </c>
      <c r="F1746" s="19"/>
      <c r="G1746" s="16" t="s">
        <v>485</v>
      </c>
      <c r="H1746" s="21">
        <v>3.0</v>
      </c>
      <c r="I1746" s="22"/>
      <c r="J1746" s="29"/>
      <c r="K1746" s="48">
        <f>103600*1.19</f>
        <v>123284</v>
      </c>
      <c r="L1746" s="48">
        <v>148000.0</v>
      </c>
      <c r="M1746" s="25"/>
      <c r="N1746" s="26">
        <v>135000.0</v>
      </c>
      <c r="O1746" s="27">
        <f t="shared" ref="O1746:O1747" si="229">(L1746/K1746)-1</f>
        <v>0.2004801921</v>
      </c>
      <c r="P1746" s="28">
        <f t="shared" ref="P1746:P1747" si="230">K1746*F1746</f>
        <v>0</v>
      </c>
    </row>
    <row r="1747" hidden="1">
      <c r="A1747" s="16" t="s">
        <v>2564</v>
      </c>
      <c r="B1747" s="51"/>
      <c r="C1747" s="18"/>
      <c r="D1747" s="4"/>
      <c r="E1747" s="19">
        <v>0.0</v>
      </c>
      <c r="F1747" s="19">
        <v>0.0</v>
      </c>
      <c r="G1747" s="20" t="s">
        <v>93</v>
      </c>
      <c r="H1747" s="21"/>
      <c r="I1747" s="22" t="s">
        <v>99</v>
      </c>
      <c r="J1747" s="29"/>
      <c r="K1747" s="32">
        <v>135980.0</v>
      </c>
      <c r="L1747" s="24">
        <v>152000.0</v>
      </c>
      <c r="M1747" s="25"/>
      <c r="N1747" s="57"/>
      <c r="O1747" s="27">
        <f t="shared" si="229"/>
        <v>0.1178114429</v>
      </c>
      <c r="P1747" s="28">
        <f t="shared" si="230"/>
        <v>0</v>
      </c>
    </row>
    <row r="1748" hidden="1">
      <c r="A1748" s="16" t="s">
        <v>2565</v>
      </c>
      <c r="B1748" s="51"/>
      <c r="C1748" s="18"/>
      <c r="D1748" s="4"/>
      <c r="E1748" s="19">
        <v>0.0</v>
      </c>
      <c r="F1748" s="19">
        <v>0.0</v>
      </c>
      <c r="G1748" s="20" t="s">
        <v>2566</v>
      </c>
      <c r="H1748" s="21">
        <v>0.0</v>
      </c>
      <c r="I1748" s="22">
        <v>1.0</v>
      </c>
      <c r="J1748" s="29"/>
      <c r="K1748" s="32"/>
      <c r="L1748" s="24">
        <v>135000.0</v>
      </c>
      <c r="M1748" s="25"/>
      <c r="N1748" s="57"/>
      <c r="O1748" s="27"/>
      <c r="P1748" s="28"/>
    </row>
    <row r="1749" hidden="1">
      <c r="A1749" s="16" t="s">
        <v>2567</v>
      </c>
      <c r="B1749" s="97" t="s">
        <v>2568</v>
      </c>
      <c r="C1749" s="18" t="s">
        <v>558</v>
      </c>
      <c r="D1749" s="98"/>
      <c r="E1749" s="19">
        <v>0.0</v>
      </c>
      <c r="F1749" s="19"/>
      <c r="G1749" s="16" t="s">
        <v>485</v>
      </c>
      <c r="H1749" s="21">
        <v>0.0</v>
      </c>
      <c r="I1749" s="22"/>
      <c r="J1749" s="173"/>
      <c r="K1749" s="174">
        <f>36924*1.19</f>
        <v>43939.56</v>
      </c>
      <c r="L1749" s="175">
        <v>95000.0</v>
      </c>
      <c r="M1749" s="25"/>
      <c r="N1749" s="26"/>
      <c r="O1749" s="27">
        <f t="shared" ref="O1749:O1784" si="231">(L1749/K1749)-1</f>
        <v>1.162060794</v>
      </c>
      <c r="P1749" s="28">
        <f t="shared" ref="P1749:P1750" si="232">K1749*F1749</f>
        <v>0</v>
      </c>
    </row>
    <row r="1750" hidden="1">
      <c r="A1750" s="16" t="s">
        <v>2569</v>
      </c>
      <c r="B1750" s="134" t="s">
        <v>1460</v>
      </c>
      <c r="C1750" s="18"/>
      <c r="D1750" s="4"/>
      <c r="E1750" s="19">
        <v>0.0</v>
      </c>
      <c r="F1750" s="19">
        <v>0.0</v>
      </c>
      <c r="G1750" s="20" t="s">
        <v>93</v>
      </c>
      <c r="H1750" s="21"/>
      <c r="I1750" s="22" t="s">
        <v>99</v>
      </c>
      <c r="J1750" s="29"/>
      <c r="K1750" s="48">
        <v>165000.0</v>
      </c>
      <c r="L1750" s="55">
        <v>200000.0</v>
      </c>
      <c r="M1750" s="25"/>
      <c r="N1750" s="57"/>
      <c r="O1750" s="27">
        <f t="shared" si="231"/>
        <v>0.2121212121</v>
      </c>
      <c r="P1750" s="28">
        <f t="shared" si="232"/>
        <v>0</v>
      </c>
    </row>
    <row r="1751" hidden="1">
      <c r="A1751" s="16" t="s">
        <v>2570</v>
      </c>
      <c r="B1751" s="17"/>
      <c r="C1751" s="18"/>
      <c r="D1751" s="4"/>
      <c r="E1751" s="19">
        <v>0.0</v>
      </c>
      <c r="F1751" s="19">
        <v>0.0</v>
      </c>
      <c r="G1751" s="16" t="s">
        <v>16</v>
      </c>
      <c r="H1751" s="21"/>
      <c r="I1751" s="22">
        <v>3.0</v>
      </c>
      <c r="J1751" s="29"/>
      <c r="K1751" s="48">
        <v>42000.0</v>
      </c>
      <c r="L1751" s="55">
        <v>70000.0</v>
      </c>
      <c r="M1751" s="25"/>
      <c r="N1751" s="26"/>
      <c r="O1751" s="27">
        <f t="shared" si="231"/>
        <v>0.6666666667</v>
      </c>
      <c r="P1751" s="28"/>
    </row>
    <row r="1752" hidden="1">
      <c r="A1752" s="16" t="s">
        <v>2571</v>
      </c>
      <c r="B1752" s="17"/>
      <c r="C1752" s="18"/>
      <c r="D1752" s="4"/>
      <c r="E1752" s="19">
        <v>0.0</v>
      </c>
      <c r="F1752" s="19">
        <v>0.0</v>
      </c>
      <c r="G1752" s="16" t="s">
        <v>630</v>
      </c>
      <c r="H1752" s="21"/>
      <c r="I1752" s="22">
        <v>3.0</v>
      </c>
      <c r="J1752" s="29"/>
      <c r="K1752" s="43">
        <v>46560.0</v>
      </c>
      <c r="L1752" s="44">
        <v>90000.0</v>
      </c>
      <c r="M1752" s="25"/>
      <c r="N1752" s="26"/>
      <c r="O1752" s="27">
        <f t="shared" si="231"/>
        <v>0.9329896907</v>
      </c>
      <c r="P1752" s="28"/>
    </row>
    <row r="1753" hidden="1">
      <c r="A1753" s="16" t="s">
        <v>2572</v>
      </c>
      <c r="B1753" s="17"/>
      <c r="C1753" s="18"/>
      <c r="D1753" s="4"/>
      <c r="E1753" s="19">
        <v>0.0</v>
      </c>
      <c r="F1753" s="19">
        <v>0.0</v>
      </c>
      <c r="G1753" s="16" t="s">
        <v>16</v>
      </c>
      <c r="H1753" s="21"/>
      <c r="I1753" s="22">
        <v>0.0</v>
      </c>
      <c r="J1753" s="29"/>
      <c r="K1753" s="32">
        <v>319.0</v>
      </c>
      <c r="L1753" s="24">
        <v>1000.0</v>
      </c>
      <c r="M1753" s="25"/>
      <c r="N1753" s="26"/>
      <c r="O1753" s="27">
        <f t="shared" si="231"/>
        <v>2.134796238</v>
      </c>
      <c r="P1753" s="28">
        <f t="shared" ref="P1753:P1778" si="233">K1753*F1753</f>
        <v>0</v>
      </c>
    </row>
    <row r="1754" hidden="1">
      <c r="A1754" s="16" t="s">
        <v>2573</v>
      </c>
      <c r="B1754" s="17"/>
      <c r="C1754" s="18"/>
      <c r="D1754" s="4"/>
      <c r="E1754" s="19">
        <v>0.0</v>
      </c>
      <c r="F1754" s="19"/>
      <c r="G1754" s="16" t="s">
        <v>57</v>
      </c>
      <c r="H1754" s="21"/>
      <c r="I1754" s="22"/>
      <c r="J1754" s="29"/>
      <c r="K1754" s="43">
        <v>10000.0</v>
      </c>
      <c r="L1754" s="44">
        <v>20000.0</v>
      </c>
      <c r="M1754" s="25"/>
      <c r="N1754" s="26"/>
      <c r="O1754" s="27">
        <f t="shared" si="231"/>
        <v>1</v>
      </c>
      <c r="P1754" s="28">
        <f t="shared" si="233"/>
        <v>0</v>
      </c>
    </row>
    <row r="1755" hidden="1">
      <c r="A1755" s="56" t="s">
        <v>2574</v>
      </c>
      <c r="B1755" s="17" t="s">
        <v>2575</v>
      </c>
      <c r="C1755" s="18"/>
      <c r="D1755" s="4"/>
      <c r="E1755" s="19">
        <v>0.0</v>
      </c>
      <c r="F1755" s="19">
        <v>0.0</v>
      </c>
      <c r="G1755" s="16" t="s">
        <v>286</v>
      </c>
      <c r="H1755" s="21"/>
      <c r="I1755" s="22">
        <v>0.0</v>
      </c>
      <c r="J1755" s="29"/>
      <c r="K1755" s="24">
        <v>7318.0</v>
      </c>
      <c r="L1755" s="24">
        <v>11000.0</v>
      </c>
      <c r="M1755" s="25"/>
      <c r="N1755" s="50"/>
      <c r="O1755" s="27">
        <f t="shared" si="231"/>
        <v>0.5031429352</v>
      </c>
      <c r="P1755" s="28">
        <f t="shared" si="233"/>
        <v>0</v>
      </c>
    </row>
    <row r="1756" hidden="1">
      <c r="A1756" s="56" t="s">
        <v>2576</v>
      </c>
      <c r="B1756" s="17" t="s">
        <v>2577</v>
      </c>
      <c r="C1756" s="18"/>
      <c r="D1756" s="4"/>
      <c r="E1756" s="19">
        <v>0.0</v>
      </c>
      <c r="F1756" s="19">
        <v>0.0</v>
      </c>
      <c r="G1756" s="16" t="s">
        <v>286</v>
      </c>
      <c r="H1756" s="21"/>
      <c r="I1756" s="22">
        <v>0.0</v>
      </c>
      <c r="J1756" s="29"/>
      <c r="K1756" s="24">
        <v>7741.0</v>
      </c>
      <c r="L1756" s="24">
        <v>11000.0</v>
      </c>
      <c r="M1756" s="25"/>
      <c r="N1756" s="50"/>
      <c r="O1756" s="27">
        <f t="shared" si="231"/>
        <v>0.4210050381</v>
      </c>
      <c r="P1756" s="28">
        <f t="shared" si="233"/>
        <v>0</v>
      </c>
    </row>
    <row r="1757" hidden="1">
      <c r="A1757" s="56" t="s">
        <v>2578</v>
      </c>
      <c r="B1757" s="17"/>
      <c r="C1757" s="18"/>
      <c r="D1757" s="4"/>
      <c r="E1757" s="19">
        <v>0.0</v>
      </c>
      <c r="F1757" s="19">
        <v>0.0</v>
      </c>
      <c r="G1757" s="16" t="s">
        <v>286</v>
      </c>
      <c r="H1757" s="21"/>
      <c r="I1757" s="22" t="s">
        <v>99</v>
      </c>
      <c r="J1757" s="29"/>
      <c r="K1757" s="32">
        <v>7233.0</v>
      </c>
      <c r="L1757" s="24">
        <v>11000.0</v>
      </c>
      <c r="M1757" s="25"/>
      <c r="N1757" s="26"/>
      <c r="O1757" s="27">
        <f t="shared" si="231"/>
        <v>0.5208074105</v>
      </c>
      <c r="P1757" s="28">
        <f t="shared" si="233"/>
        <v>0</v>
      </c>
    </row>
    <row r="1758" hidden="1">
      <c r="A1758" s="56" t="s">
        <v>2579</v>
      </c>
      <c r="B1758" s="17" t="s">
        <v>2580</v>
      </c>
      <c r="C1758" s="18"/>
      <c r="D1758" s="4"/>
      <c r="E1758" s="19">
        <v>0.0</v>
      </c>
      <c r="F1758" s="19">
        <v>0.0</v>
      </c>
      <c r="G1758" s="16" t="s">
        <v>286</v>
      </c>
      <c r="H1758" s="21"/>
      <c r="I1758" s="22" t="s">
        <v>99</v>
      </c>
      <c r="J1758" s="29"/>
      <c r="K1758" s="32">
        <v>7625.0</v>
      </c>
      <c r="L1758" s="24">
        <v>11000.0</v>
      </c>
      <c r="M1758" s="25" t="s">
        <v>76</v>
      </c>
      <c r="N1758" s="70"/>
      <c r="O1758" s="27">
        <f t="shared" si="231"/>
        <v>0.4426229508</v>
      </c>
      <c r="P1758" s="28">
        <f t="shared" si="233"/>
        <v>0</v>
      </c>
    </row>
    <row r="1759" hidden="1">
      <c r="A1759" s="56" t="s">
        <v>2581</v>
      </c>
      <c r="B1759" s="17"/>
      <c r="C1759" s="18"/>
      <c r="D1759" s="4"/>
      <c r="E1759" s="19">
        <v>0.0</v>
      </c>
      <c r="F1759" s="19">
        <v>0.0</v>
      </c>
      <c r="G1759" s="16" t="s">
        <v>286</v>
      </c>
      <c r="H1759" s="21"/>
      <c r="I1759" s="22" t="s">
        <v>99</v>
      </c>
      <c r="J1759" s="29"/>
      <c r="K1759" s="32">
        <v>7233.0</v>
      </c>
      <c r="L1759" s="24">
        <v>11000.0</v>
      </c>
      <c r="M1759" s="25" t="s">
        <v>76</v>
      </c>
      <c r="N1759" s="70"/>
      <c r="O1759" s="27">
        <f t="shared" si="231"/>
        <v>0.5208074105</v>
      </c>
      <c r="P1759" s="28">
        <f t="shared" si="233"/>
        <v>0</v>
      </c>
    </row>
    <row r="1760" hidden="1">
      <c r="A1760" s="56" t="s">
        <v>2582</v>
      </c>
      <c r="B1760" s="17" t="s">
        <v>2583</v>
      </c>
      <c r="C1760" s="18"/>
      <c r="D1760" s="4"/>
      <c r="E1760" s="19">
        <v>0.0</v>
      </c>
      <c r="F1760" s="19">
        <v>0.0</v>
      </c>
      <c r="G1760" s="16" t="s">
        <v>286</v>
      </c>
      <c r="H1760" s="21"/>
      <c r="I1760" s="22" t="s">
        <v>99</v>
      </c>
      <c r="J1760" s="29"/>
      <c r="K1760" s="32">
        <v>7354.0</v>
      </c>
      <c r="L1760" s="24">
        <v>11000.0</v>
      </c>
      <c r="M1760" s="25" t="s">
        <v>76</v>
      </c>
      <c r="N1760" s="26"/>
      <c r="O1760" s="27">
        <f t="shared" si="231"/>
        <v>0.495784607</v>
      </c>
      <c r="P1760" s="28">
        <f t="shared" si="233"/>
        <v>0</v>
      </c>
    </row>
    <row r="1761" hidden="1">
      <c r="A1761" s="56" t="s">
        <v>2584</v>
      </c>
      <c r="B1761" s="17" t="s">
        <v>2585</v>
      </c>
      <c r="C1761" s="18"/>
      <c r="D1761" s="4"/>
      <c r="E1761" s="19">
        <v>0.0</v>
      </c>
      <c r="F1761" s="19">
        <v>0.0</v>
      </c>
      <c r="G1761" s="16" t="s">
        <v>286</v>
      </c>
      <c r="H1761" s="21"/>
      <c r="I1761" s="22" t="s">
        <v>99</v>
      </c>
      <c r="J1761" s="29"/>
      <c r="K1761" s="32">
        <v>9181.0</v>
      </c>
      <c r="L1761" s="24">
        <v>11000.0</v>
      </c>
      <c r="M1761" s="25" t="s">
        <v>76</v>
      </c>
      <c r="N1761" s="70"/>
      <c r="O1761" s="27">
        <f t="shared" si="231"/>
        <v>0.1981265657</v>
      </c>
      <c r="P1761" s="28">
        <f t="shared" si="233"/>
        <v>0</v>
      </c>
    </row>
    <row r="1762" hidden="1">
      <c r="A1762" s="56" t="s">
        <v>2586</v>
      </c>
      <c r="B1762" s="17"/>
      <c r="C1762" s="18"/>
      <c r="D1762" s="4"/>
      <c r="E1762" s="19">
        <v>0.0</v>
      </c>
      <c r="F1762" s="19">
        <v>0.0</v>
      </c>
      <c r="G1762" s="16" t="s">
        <v>286</v>
      </c>
      <c r="H1762" s="21"/>
      <c r="I1762" s="22" t="s">
        <v>99</v>
      </c>
      <c r="J1762" s="29"/>
      <c r="K1762" s="32">
        <v>7233.0</v>
      </c>
      <c r="L1762" s="24">
        <v>11000.0</v>
      </c>
      <c r="M1762" s="25" t="s">
        <v>76</v>
      </c>
      <c r="N1762" s="26"/>
      <c r="O1762" s="27">
        <f t="shared" si="231"/>
        <v>0.5208074105</v>
      </c>
      <c r="P1762" s="28">
        <f t="shared" si="233"/>
        <v>0</v>
      </c>
    </row>
    <row r="1763" hidden="1">
      <c r="A1763" s="16" t="s">
        <v>2587</v>
      </c>
      <c r="B1763" s="17" t="s">
        <v>2588</v>
      </c>
      <c r="C1763" s="18"/>
      <c r="D1763" s="4"/>
      <c r="E1763" s="19">
        <v>0.0</v>
      </c>
      <c r="F1763" s="19">
        <v>0.0</v>
      </c>
      <c r="G1763" s="16" t="s">
        <v>630</v>
      </c>
      <c r="H1763" s="21"/>
      <c r="I1763" s="22">
        <v>31.0</v>
      </c>
      <c r="J1763" s="22" t="s">
        <v>2589</v>
      </c>
      <c r="K1763" s="32">
        <v>14000.0</v>
      </c>
      <c r="L1763" s="24">
        <v>38000.0</v>
      </c>
      <c r="M1763" s="25" t="s">
        <v>76</v>
      </c>
      <c r="N1763" s="70">
        <v>28000.0</v>
      </c>
      <c r="O1763" s="27">
        <f t="shared" si="231"/>
        <v>1.714285714</v>
      </c>
      <c r="P1763" s="28">
        <f t="shared" si="233"/>
        <v>0</v>
      </c>
    </row>
    <row r="1764" hidden="1">
      <c r="A1764" s="16" t="s">
        <v>2590</v>
      </c>
      <c r="B1764" s="17" t="s">
        <v>2588</v>
      </c>
      <c r="C1764" s="18"/>
      <c r="D1764" s="4"/>
      <c r="E1764" s="19">
        <v>0.0</v>
      </c>
      <c r="F1764" s="19">
        <v>0.0</v>
      </c>
      <c r="G1764" s="16" t="s">
        <v>630</v>
      </c>
      <c r="H1764" s="21"/>
      <c r="I1764" s="22">
        <f>17+47</f>
        <v>64</v>
      </c>
      <c r="J1764" s="47">
        <v>46478.0</v>
      </c>
      <c r="K1764" s="32">
        <v>14000.0</v>
      </c>
      <c r="L1764" s="24">
        <v>38000.0</v>
      </c>
      <c r="M1764" s="25" t="s">
        <v>76</v>
      </c>
      <c r="N1764" s="70">
        <v>28000.0</v>
      </c>
      <c r="O1764" s="27">
        <f t="shared" si="231"/>
        <v>1.714285714</v>
      </c>
      <c r="P1764" s="28">
        <f t="shared" si="233"/>
        <v>0</v>
      </c>
    </row>
    <row r="1765" hidden="1">
      <c r="A1765" s="16" t="s">
        <v>2591</v>
      </c>
      <c r="B1765" s="17" t="s">
        <v>2588</v>
      </c>
      <c r="C1765" s="18"/>
      <c r="D1765" s="4"/>
      <c r="E1765" s="19">
        <v>0.0</v>
      </c>
      <c r="F1765" s="19">
        <v>0.0</v>
      </c>
      <c r="G1765" s="16" t="s">
        <v>630</v>
      </c>
      <c r="H1765" s="21"/>
      <c r="I1765" s="22">
        <v>51.0</v>
      </c>
      <c r="J1765" s="58">
        <v>46661.0</v>
      </c>
      <c r="K1765" s="32">
        <v>14000.0</v>
      </c>
      <c r="L1765" s="24">
        <v>38000.0</v>
      </c>
      <c r="M1765" s="25" t="s">
        <v>76</v>
      </c>
      <c r="N1765" s="70">
        <v>28000.0</v>
      </c>
      <c r="O1765" s="27">
        <f t="shared" si="231"/>
        <v>1.714285714</v>
      </c>
      <c r="P1765" s="28">
        <f t="shared" si="233"/>
        <v>0</v>
      </c>
    </row>
    <row r="1766" hidden="1">
      <c r="A1766" s="16" t="s">
        <v>2592</v>
      </c>
      <c r="B1766" s="17" t="s">
        <v>2588</v>
      </c>
      <c r="C1766" s="18" t="s">
        <v>55</v>
      </c>
      <c r="D1766" s="4"/>
      <c r="E1766" s="19">
        <v>0.0</v>
      </c>
      <c r="F1766" s="19">
        <v>0.0</v>
      </c>
      <c r="G1766" s="16" t="s">
        <v>630</v>
      </c>
      <c r="H1766" s="21"/>
      <c r="I1766" s="22">
        <v>9.0</v>
      </c>
      <c r="J1766" s="47">
        <v>46569.0</v>
      </c>
      <c r="K1766" s="32">
        <v>14000.0</v>
      </c>
      <c r="L1766" s="24">
        <v>38000.0</v>
      </c>
      <c r="M1766" s="25" t="s">
        <v>76</v>
      </c>
      <c r="N1766" s="70">
        <v>28000.0</v>
      </c>
      <c r="O1766" s="27">
        <f t="shared" si="231"/>
        <v>1.714285714</v>
      </c>
      <c r="P1766" s="28">
        <f t="shared" si="233"/>
        <v>0</v>
      </c>
    </row>
    <row r="1767" hidden="1">
      <c r="A1767" s="56" t="s">
        <v>2593</v>
      </c>
      <c r="B1767" s="17" t="s">
        <v>2594</v>
      </c>
      <c r="C1767" s="18"/>
      <c r="D1767" s="4"/>
      <c r="E1767" s="19">
        <v>0.0</v>
      </c>
      <c r="F1767" s="19">
        <v>0.0</v>
      </c>
      <c r="G1767" s="16" t="s">
        <v>286</v>
      </c>
      <c r="H1767" s="21"/>
      <c r="I1767" s="22">
        <v>0.0</v>
      </c>
      <c r="J1767" s="29"/>
      <c r="K1767" s="43">
        <v>5303.0</v>
      </c>
      <c r="L1767" s="44">
        <v>11000.0</v>
      </c>
      <c r="M1767" s="25"/>
      <c r="N1767" s="26"/>
      <c r="O1767" s="27">
        <f t="shared" si="231"/>
        <v>1.074297567</v>
      </c>
      <c r="P1767" s="28">
        <f t="shared" si="233"/>
        <v>0</v>
      </c>
    </row>
    <row r="1768" hidden="1">
      <c r="A1768" s="56" t="s">
        <v>2595</v>
      </c>
      <c r="B1768" s="17" t="s">
        <v>2596</v>
      </c>
      <c r="C1768" s="18"/>
      <c r="D1768" s="4"/>
      <c r="E1768" s="19">
        <v>0.0</v>
      </c>
      <c r="F1768" s="19">
        <v>0.0</v>
      </c>
      <c r="G1768" s="16" t="s">
        <v>286</v>
      </c>
      <c r="H1768" s="21"/>
      <c r="I1768" s="22">
        <v>0.0</v>
      </c>
      <c r="J1768" s="29"/>
      <c r="K1768" s="43">
        <v>5303.0</v>
      </c>
      <c r="L1768" s="44">
        <v>11000.0</v>
      </c>
      <c r="M1768" s="25"/>
      <c r="N1768" s="50"/>
      <c r="O1768" s="27">
        <f t="shared" si="231"/>
        <v>1.074297567</v>
      </c>
      <c r="P1768" s="28">
        <f t="shared" si="233"/>
        <v>0</v>
      </c>
    </row>
    <row r="1769" hidden="1">
      <c r="A1769" s="56" t="s">
        <v>2597</v>
      </c>
      <c r="B1769" s="17" t="s">
        <v>2598</v>
      </c>
      <c r="C1769" s="18"/>
      <c r="D1769" s="4"/>
      <c r="E1769" s="19">
        <v>0.0</v>
      </c>
      <c r="F1769" s="19">
        <v>0.0</v>
      </c>
      <c r="G1769" s="16" t="s">
        <v>286</v>
      </c>
      <c r="H1769" s="21"/>
      <c r="I1769" s="22">
        <v>0.0</v>
      </c>
      <c r="J1769" s="29"/>
      <c r="K1769" s="43">
        <v>5303.0</v>
      </c>
      <c r="L1769" s="44">
        <v>11000.0</v>
      </c>
      <c r="M1769" s="25"/>
      <c r="N1769" s="50"/>
      <c r="O1769" s="27">
        <f t="shared" si="231"/>
        <v>1.074297567</v>
      </c>
      <c r="P1769" s="28">
        <f t="shared" si="233"/>
        <v>0</v>
      </c>
    </row>
    <row r="1770" hidden="1">
      <c r="A1770" s="16" t="s">
        <v>2599</v>
      </c>
      <c r="B1770" s="17" t="s">
        <v>2600</v>
      </c>
      <c r="C1770" s="18"/>
      <c r="D1770" s="4"/>
      <c r="E1770" s="19">
        <v>0.0</v>
      </c>
      <c r="F1770" s="19">
        <v>1.0</v>
      </c>
      <c r="G1770" s="16" t="s">
        <v>630</v>
      </c>
      <c r="H1770" s="21"/>
      <c r="I1770" s="22">
        <v>72.0</v>
      </c>
      <c r="J1770" s="47">
        <v>46844.0</v>
      </c>
      <c r="K1770" s="32">
        <v>13000.0</v>
      </c>
      <c r="L1770" s="24">
        <v>30000.0</v>
      </c>
      <c r="M1770" s="25" t="s">
        <v>76</v>
      </c>
      <c r="N1770" s="70">
        <v>24000.0</v>
      </c>
      <c r="O1770" s="27">
        <f t="shared" si="231"/>
        <v>1.307692308</v>
      </c>
      <c r="P1770" s="28">
        <f t="shared" si="233"/>
        <v>13000</v>
      </c>
    </row>
    <row r="1771" hidden="1">
      <c r="A1771" s="16" t="s">
        <v>2601</v>
      </c>
      <c r="B1771" s="17" t="s">
        <v>2600</v>
      </c>
      <c r="C1771" s="18"/>
      <c r="D1771" s="4"/>
      <c r="E1771" s="19">
        <v>0.0</v>
      </c>
      <c r="F1771" s="19">
        <v>1.0</v>
      </c>
      <c r="G1771" s="16" t="s">
        <v>630</v>
      </c>
      <c r="H1771" s="21"/>
      <c r="I1771" s="22">
        <f>16+29</f>
        <v>45</v>
      </c>
      <c r="J1771" s="58">
        <v>46661.0</v>
      </c>
      <c r="K1771" s="32">
        <v>13000.0</v>
      </c>
      <c r="L1771" s="24">
        <v>30000.0</v>
      </c>
      <c r="M1771" s="25" t="s">
        <v>76</v>
      </c>
      <c r="N1771" s="70">
        <v>24000.0</v>
      </c>
      <c r="O1771" s="27">
        <f t="shared" si="231"/>
        <v>1.307692308</v>
      </c>
      <c r="P1771" s="28">
        <f t="shared" si="233"/>
        <v>13000</v>
      </c>
    </row>
    <row r="1772" hidden="1">
      <c r="A1772" s="16" t="s">
        <v>2602</v>
      </c>
      <c r="B1772" s="17" t="s">
        <v>2600</v>
      </c>
      <c r="C1772" s="18"/>
      <c r="D1772" s="4"/>
      <c r="E1772" s="19">
        <v>0.0</v>
      </c>
      <c r="F1772" s="19">
        <v>6.0</v>
      </c>
      <c r="G1772" s="16" t="s">
        <v>630</v>
      </c>
      <c r="H1772" s="21"/>
      <c r="I1772" s="22">
        <v>26.0</v>
      </c>
      <c r="J1772" s="47">
        <v>46235.0</v>
      </c>
      <c r="K1772" s="32">
        <v>13000.0</v>
      </c>
      <c r="L1772" s="24">
        <v>30000.0</v>
      </c>
      <c r="M1772" s="25" t="s">
        <v>76</v>
      </c>
      <c r="N1772" s="70">
        <v>24000.0</v>
      </c>
      <c r="O1772" s="27">
        <f t="shared" si="231"/>
        <v>1.307692308</v>
      </c>
      <c r="P1772" s="28">
        <f t="shared" si="233"/>
        <v>78000</v>
      </c>
    </row>
    <row r="1773" hidden="1">
      <c r="A1773" s="16" t="s">
        <v>2603</v>
      </c>
      <c r="B1773" s="17" t="s">
        <v>2600</v>
      </c>
      <c r="C1773" s="18"/>
      <c r="D1773" s="4"/>
      <c r="E1773" s="19">
        <v>0.0</v>
      </c>
      <c r="F1773" s="19">
        <v>0.0</v>
      </c>
      <c r="G1773" s="16" t="s">
        <v>630</v>
      </c>
      <c r="H1773" s="21"/>
      <c r="I1773" s="22">
        <v>5.0</v>
      </c>
      <c r="J1773" s="47">
        <v>46235.0</v>
      </c>
      <c r="K1773" s="32">
        <v>13000.0</v>
      </c>
      <c r="L1773" s="24">
        <v>30000.0</v>
      </c>
      <c r="M1773" s="25" t="s">
        <v>76</v>
      </c>
      <c r="N1773" s="70">
        <v>24000.0</v>
      </c>
      <c r="O1773" s="27">
        <f t="shared" si="231"/>
        <v>1.307692308</v>
      </c>
      <c r="P1773" s="28">
        <f t="shared" si="233"/>
        <v>0</v>
      </c>
    </row>
    <row r="1774" hidden="1">
      <c r="A1774" s="16" t="s">
        <v>2604</v>
      </c>
      <c r="B1774" s="17" t="s">
        <v>2605</v>
      </c>
      <c r="C1774" s="18"/>
      <c r="D1774" s="4"/>
      <c r="E1774" s="19">
        <v>0.0</v>
      </c>
      <c r="F1774" s="19">
        <v>0.0</v>
      </c>
      <c r="G1774" s="20" t="s">
        <v>2606</v>
      </c>
      <c r="H1774" s="21"/>
      <c r="I1774" s="22">
        <v>26.0</v>
      </c>
      <c r="J1774" s="58">
        <v>47027.0</v>
      </c>
      <c r="K1774" s="32">
        <v>55000.0</v>
      </c>
      <c r="L1774" s="24">
        <v>98000.0</v>
      </c>
      <c r="M1774" s="25" t="s">
        <v>76</v>
      </c>
      <c r="N1774" s="31">
        <v>80000.0</v>
      </c>
      <c r="O1774" s="27">
        <f t="shared" si="231"/>
        <v>0.7818181818</v>
      </c>
      <c r="P1774" s="28">
        <f t="shared" si="233"/>
        <v>0</v>
      </c>
    </row>
    <row r="1775" hidden="1">
      <c r="A1775" s="16" t="s">
        <v>2607</v>
      </c>
      <c r="B1775" s="17" t="s">
        <v>2608</v>
      </c>
      <c r="C1775" s="18"/>
      <c r="D1775" s="4"/>
      <c r="E1775" s="19">
        <v>0.0</v>
      </c>
      <c r="F1775" s="19">
        <v>0.0</v>
      </c>
      <c r="G1775" s="20" t="s">
        <v>2606</v>
      </c>
      <c r="H1775" s="21"/>
      <c r="I1775" s="22">
        <v>31.0</v>
      </c>
      <c r="J1775" s="58">
        <v>47027.0</v>
      </c>
      <c r="K1775" s="32">
        <v>6600.0</v>
      </c>
      <c r="L1775" s="24">
        <v>98000.0</v>
      </c>
      <c r="M1775" s="25" t="s">
        <v>76</v>
      </c>
      <c r="N1775" s="31">
        <v>80000.0</v>
      </c>
      <c r="O1775" s="27">
        <f t="shared" si="231"/>
        <v>13.84848485</v>
      </c>
      <c r="P1775" s="28">
        <f t="shared" si="233"/>
        <v>0</v>
      </c>
    </row>
    <row r="1776" hidden="1">
      <c r="A1776" s="16" t="s">
        <v>2609</v>
      </c>
      <c r="B1776" s="17"/>
      <c r="C1776" s="18"/>
      <c r="D1776" s="4"/>
      <c r="E1776" s="19">
        <v>0.0</v>
      </c>
      <c r="F1776" s="19">
        <v>0.0</v>
      </c>
      <c r="G1776" s="20" t="s">
        <v>2606</v>
      </c>
      <c r="H1776" s="21"/>
      <c r="I1776" s="22">
        <v>74.0</v>
      </c>
      <c r="J1776" s="58">
        <v>46661.0</v>
      </c>
      <c r="K1776" s="32">
        <v>55000.0</v>
      </c>
      <c r="L1776" s="24">
        <v>98000.0</v>
      </c>
      <c r="M1776" s="25" t="s">
        <v>76</v>
      </c>
      <c r="N1776" s="26">
        <v>80000.0</v>
      </c>
      <c r="O1776" s="27">
        <f t="shared" si="231"/>
        <v>0.7818181818</v>
      </c>
      <c r="P1776" s="28">
        <f t="shared" si="233"/>
        <v>0</v>
      </c>
    </row>
    <row r="1777" hidden="1">
      <c r="A1777" s="16" t="s">
        <v>2610</v>
      </c>
      <c r="B1777" s="17" t="s">
        <v>2611</v>
      </c>
      <c r="C1777" s="18"/>
      <c r="D1777" s="4"/>
      <c r="E1777" s="19">
        <v>0.0</v>
      </c>
      <c r="F1777" s="19">
        <v>0.0</v>
      </c>
      <c r="G1777" s="20" t="s">
        <v>2606</v>
      </c>
      <c r="H1777" s="21"/>
      <c r="I1777" s="22">
        <v>8.0</v>
      </c>
      <c r="J1777" s="58">
        <v>46296.0</v>
      </c>
      <c r="K1777" s="32">
        <v>55000.0</v>
      </c>
      <c r="L1777" s="24">
        <v>98000.0</v>
      </c>
      <c r="M1777" s="25" t="s">
        <v>76</v>
      </c>
      <c r="N1777" s="26">
        <v>80000.0</v>
      </c>
      <c r="O1777" s="27">
        <f t="shared" si="231"/>
        <v>0.7818181818</v>
      </c>
      <c r="P1777" s="28">
        <f t="shared" si="233"/>
        <v>0</v>
      </c>
    </row>
    <row r="1778" hidden="1">
      <c r="A1778" s="42" t="s">
        <v>2612</v>
      </c>
      <c r="B1778" s="114" t="s">
        <v>2613</v>
      </c>
      <c r="C1778" s="18"/>
      <c r="D1778" s="4"/>
      <c r="E1778" s="19">
        <v>0.0</v>
      </c>
      <c r="F1778" s="19">
        <v>0.0</v>
      </c>
      <c r="G1778" s="16" t="s">
        <v>1400</v>
      </c>
      <c r="H1778" s="21"/>
      <c r="I1778" s="22">
        <v>1.0</v>
      </c>
      <c r="J1778" s="47">
        <v>46174.0</v>
      </c>
      <c r="K1778" s="48">
        <f t="shared" ref="K1778:K1779" si="234">283255/3</f>
        <v>94418.33333</v>
      </c>
      <c r="L1778" s="55">
        <v>136000.0</v>
      </c>
      <c r="M1778" s="25" t="s">
        <v>2614</v>
      </c>
      <c r="N1778" s="70">
        <v>108000.0</v>
      </c>
      <c r="O1778" s="27">
        <f t="shared" si="231"/>
        <v>0.4403982277</v>
      </c>
      <c r="P1778" s="28">
        <f t="shared" si="233"/>
        <v>0</v>
      </c>
    </row>
    <row r="1779" hidden="1">
      <c r="A1779" s="42" t="s">
        <v>2615</v>
      </c>
      <c r="B1779" s="114" t="s">
        <v>2613</v>
      </c>
      <c r="C1779" s="18"/>
      <c r="D1779" s="4"/>
      <c r="E1779" s="19">
        <v>0.0</v>
      </c>
      <c r="F1779" s="19">
        <v>3.0</v>
      </c>
      <c r="G1779" s="16" t="s">
        <v>1400</v>
      </c>
      <c r="H1779" s="21"/>
      <c r="I1779" s="22">
        <v>0.0</v>
      </c>
      <c r="J1779" s="47">
        <v>46174.0</v>
      </c>
      <c r="K1779" s="48">
        <f t="shared" si="234"/>
        <v>94418.33333</v>
      </c>
      <c r="L1779" s="55">
        <v>136000.0</v>
      </c>
      <c r="M1779" s="25" t="s">
        <v>2614</v>
      </c>
      <c r="N1779" s="26">
        <v>108000.0</v>
      </c>
      <c r="O1779" s="27">
        <f t="shared" si="231"/>
        <v>0.4403982277</v>
      </c>
      <c r="P1779" s="28">
        <f>K1779*F1778</f>
        <v>0</v>
      </c>
    </row>
    <row r="1780" hidden="1">
      <c r="A1780" s="52" t="s">
        <v>2616</v>
      </c>
      <c r="B1780" s="17"/>
      <c r="C1780" s="18"/>
      <c r="D1780" s="4"/>
      <c r="E1780" s="19">
        <v>0.0</v>
      </c>
      <c r="F1780" s="19">
        <v>0.0</v>
      </c>
      <c r="G1780" s="16" t="s">
        <v>2617</v>
      </c>
      <c r="H1780" s="21"/>
      <c r="I1780" s="22"/>
      <c r="J1780" s="29"/>
      <c r="K1780" s="32">
        <f>3500*0.95*1.19</f>
        <v>3956.75</v>
      </c>
      <c r="L1780" s="24">
        <v>8000.0</v>
      </c>
      <c r="M1780" s="25"/>
      <c r="N1780" s="26"/>
      <c r="O1780" s="27">
        <f t="shared" si="231"/>
        <v>1.021861376</v>
      </c>
      <c r="P1780" s="28">
        <f t="shared" ref="P1780:P1784" si="235">K1780*F1780</f>
        <v>0</v>
      </c>
    </row>
    <row r="1781" hidden="1">
      <c r="A1781" s="52" t="s">
        <v>2618</v>
      </c>
      <c r="B1781" s="17"/>
      <c r="C1781" s="18"/>
      <c r="D1781" s="4"/>
      <c r="E1781" s="19">
        <v>0.0</v>
      </c>
      <c r="F1781" s="19">
        <v>0.0</v>
      </c>
      <c r="G1781" s="16" t="s">
        <v>2617</v>
      </c>
      <c r="H1781" s="21"/>
      <c r="I1781" s="22">
        <v>50.0</v>
      </c>
      <c r="J1781" s="29"/>
      <c r="K1781" s="32">
        <f t="shared" ref="K1781:K1782" si="236">7700*1.19/3</f>
        <v>3054.333333</v>
      </c>
      <c r="L1781" s="24">
        <v>8000.0</v>
      </c>
      <c r="M1781" s="25"/>
      <c r="N1781" s="26"/>
      <c r="O1781" s="27">
        <f t="shared" si="231"/>
        <v>1.61922951</v>
      </c>
      <c r="P1781" s="28">
        <f t="shared" si="235"/>
        <v>0</v>
      </c>
    </row>
    <row r="1782" hidden="1">
      <c r="A1782" s="52" t="s">
        <v>2619</v>
      </c>
      <c r="B1782" s="17"/>
      <c r="C1782" s="18"/>
      <c r="D1782" s="4"/>
      <c r="E1782" s="19">
        <v>0.0</v>
      </c>
      <c r="F1782" s="19">
        <v>0.0</v>
      </c>
      <c r="G1782" s="16" t="s">
        <v>2617</v>
      </c>
      <c r="H1782" s="21"/>
      <c r="I1782" s="22">
        <v>68.0</v>
      </c>
      <c r="J1782" s="29"/>
      <c r="K1782" s="32">
        <f t="shared" si="236"/>
        <v>3054.333333</v>
      </c>
      <c r="L1782" s="24">
        <v>8000.0</v>
      </c>
      <c r="M1782" s="25"/>
      <c r="N1782" s="26"/>
      <c r="O1782" s="27">
        <f t="shared" si="231"/>
        <v>1.61922951</v>
      </c>
      <c r="P1782" s="28">
        <f t="shared" si="235"/>
        <v>0</v>
      </c>
    </row>
    <row r="1783" hidden="1">
      <c r="A1783" s="16" t="s">
        <v>2620</v>
      </c>
      <c r="B1783" s="17"/>
      <c r="C1783" s="18"/>
      <c r="D1783" s="4"/>
      <c r="E1783" s="19">
        <v>0.0</v>
      </c>
      <c r="F1783" s="19">
        <v>0.0</v>
      </c>
      <c r="G1783" s="16" t="s">
        <v>2621</v>
      </c>
      <c r="H1783" s="21"/>
      <c r="I1783" s="22">
        <v>0.0</v>
      </c>
      <c r="J1783" s="29"/>
      <c r="K1783" s="43">
        <v>2800.0</v>
      </c>
      <c r="L1783" s="44">
        <v>14000.0</v>
      </c>
      <c r="M1783" s="25"/>
      <c r="N1783" s="26"/>
      <c r="O1783" s="27">
        <f t="shared" si="231"/>
        <v>4</v>
      </c>
      <c r="P1783" s="28">
        <f t="shared" si="235"/>
        <v>0</v>
      </c>
    </row>
    <row r="1784" hidden="1">
      <c r="A1784" s="52" t="s">
        <v>2622</v>
      </c>
      <c r="B1784" s="17"/>
      <c r="C1784" s="18"/>
      <c r="D1784" s="4"/>
      <c r="E1784" s="19">
        <v>0.0</v>
      </c>
      <c r="F1784" s="19">
        <v>0.0</v>
      </c>
      <c r="G1784" s="16" t="s">
        <v>2617</v>
      </c>
      <c r="H1784" s="21"/>
      <c r="I1784" s="22">
        <f>17*5</f>
        <v>85</v>
      </c>
      <c r="J1784" s="29"/>
      <c r="K1784" s="32">
        <f>7700*1.19/3</f>
        <v>3054.333333</v>
      </c>
      <c r="L1784" s="24">
        <v>8000.0</v>
      </c>
      <c r="M1784" s="25"/>
      <c r="N1784" s="26"/>
      <c r="O1784" s="27">
        <f t="shared" si="231"/>
        <v>1.61922951</v>
      </c>
      <c r="P1784" s="28">
        <f t="shared" si="235"/>
        <v>0</v>
      </c>
    </row>
    <row r="1785" hidden="1">
      <c r="A1785" s="16" t="s">
        <v>2623</v>
      </c>
      <c r="B1785" s="17"/>
      <c r="C1785" s="18"/>
      <c r="D1785" s="4"/>
      <c r="E1785" s="19">
        <v>0.0</v>
      </c>
      <c r="F1785" s="19">
        <v>0.0</v>
      </c>
      <c r="G1785" s="16" t="s">
        <v>2624</v>
      </c>
      <c r="H1785" s="21"/>
      <c r="I1785" s="22"/>
      <c r="J1785" s="29"/>
      <c r="K1785" s="43"/>
      <c r="L1785" s="44">
        <v>11000.0</v>
      </c>
      <c r="M1785" s="25"/>
      <c r="N1785" s="26"/>
      <c r="O1785" s="27"/>
      <c r="P1785" s="28"/>
    </row>
    <row r="1786" hidden="1">
      <c r="A1786" s="16" t="s">
        <v>2625</v>
      </c>
      <c r="B1786" s="131" t="s">
        <v>2626</v>
      </c>
      <c r="C1786" s="18"/>
      <c r="D1786" s="4"/>
      <c r="E1786" s="19">
        <v>0.0</v>
      </c>
      <c r="F1786" s="19">
        <v>8.0</v>
      </c>
      <c r="G1786" s="16" t="s">
        <v>2627</v>
      </c>
      <c r="H1786" s="21"/>
      <c r="I1786" s="22"/>
      <c r="J1786" s="29"/>
      <c r="K1786" s="32">
        <v>11000.0</v>
      </c>
      <c r="L1786" s="274">
        <v>18000.0</v>
      </c>
      <c r="M1786" s="25"/>
      <c r="N1786" s="26"/>
      <c r="O1786" s="27">
        <f t="shared" ref="O1786:O1789" si="237">(L1786/K1786)-1</f>
        <v>0.6363636364</v>
      </c>
      <c r="P1786" s="28">
        <f t="shared" ref="P1786:P1789" si="238">K1786*F1786</f>
        <v>88000</v>
      </c>
    </row>
    <row r="1787" hidden="1">
      <c r="A1787" s="16" t="s">
        <v>2628</v>
      </c>
      <c r="B1787" s="193" t="s">
        <v>2629</v>
      </c>
      <c r="C1787" s="18"/>
      <c r="D1787" s="4"/>
      <c r="E1787" s="19">
        <v>0.0</v>
      </c>
      <c r="F1787" s="19">
        <v>10.0</v>
      </c>
      <c r="G1787" s="16" t="s">
        <v>2627</v>
      </c>
      <c r="H1787" s="21"/>
      <c r="I1787" s="22"/>
      <c r="J1787" s="29"/>
      <c r="K1787" s="43">
        <v>10000.0</v>
      </c>
      <c r="L1787" s="275">
        <v>18000.0</v>
      </c>
      <c r="M1787" s="25"/>
      <c r="N1787" s="26"/>
      <c r="O1787" s="27">
        <f t="shared" si="237"/>
        <v>0.8</v>
      </c>
      <c r="P1787" s="28">
        <f t="shared" si="238"/>
        <v>100000</v>
      </c>
    </row>
    <row r="1788" hidden="1">
      <c r="A1788" s="16" t="s">
        <v>2630</v>
      </c>
      <c r="B1788" s="193" t="s">
        <v>2631</v>
      </c>
      <c r="C1788" s="18"/>
      <c r="D1788" s="4"/>
      <c r="E1788" s="19">
        <v>0.0</v>
      </c>
      <c r="F1788" s="19"/>
      <c r="G1788" s="16" t="s">
        <v>2632</v>
      </c>
      <c r="H1788" s="21"/>
      <c r="I1788" s="22"/>
      <c r="J1788" s="29"/>
      <c r="K1788" s="43">
        <v>6600.0</v>
      </c>
      <c r="L1788" s="44">
        <v>10000.0</v>
      </c>
      <c r="M1788" s="25"/>
      <c r="N1788" s="26"/>
      <c r="O1788" s="27">
        <f t="shared" si="237"/>
        <v>0.5151515152</v>
      </c>
      <c r="P1788" s="28">
        <f t="shared" si="238"/>
        <v>0</v>
      </c>
    </row>
    <row r="1789" hidden="1">
      <c r="A1789" s="16" t="s">
        <v>2633</v>
      </c>
      <c r="B1789" s="49"/>
      <c r="C1789" s="18"/>
      <c r="D1789" s="4"/>
      <c r="E1789" s="19">
        <v>0.0</v>
      </c>
      <c r="F1789" s="19"/>
      <c r="G1789" s="16" t="s">
        <v>625</v>
      </c>
      <c r="H1789" s="21"/>
      <c r="I1789" s="22"/>
      <c r="J1789" s="29"/>
      <c r="K1789" s="43">
        <v>6500.0</v>
      </c>
      <c r="L1789" s="44">
        <v>10000.0</v>
      </c>
      <c r="M1789" s="25"/>
      <c r="N1789" s="26"/>
      <c r="O1789" s="27">
        <f t="shared" si="237"/>
        <v>0.5384615385</v>
      </c>
      <c r="P1789" s="28">
        <f t="shared" si="238"/>
        <v>0</v>
      </c>
    </row>
    <row r="1790" hidden="1">
      <c r="A1790" s="16" t="s">
        <v>2634</v>
      </c>
      <c r="B1790" s="36"/>
      <c r="C1790" s="18"/>
      <c r="D1790" s="4"/>
      <c r="E1790" s="19">
        <v>0.0</v>
      </c>
      <c r="F1790" s="19"/>
      <c r="G1790" s="16" t="s">
        <v>2635</v>
      </c>
      <c r="H1790" s="21"/>
      <c r="I1790" s="22"/>
      <c r="J1790" s="29"/>
      <c r="K1790" s="43"/>
      <c r="L1790" s="43"/>
      <c r="M1790" s="25"/>
      <c r="N1790" s="50"/>
      <c r="O1790" s="27"/>
      <c r="P1790" s="28"/>
    </row>
    <row r="1791" hidden="1">
      <c r="A1791" s="16" t="s">
        <v>2636</v>
      </c>
      <c r="B1791" s="36"/>
      <c r="C1791" s="18"/>
      <c r="D1791" s="4"/>
      <c r="E1791" s="19">
        <v>0.0</v>
      </c>
      <c r="F1791" s="19"/>
      <c r="G1791" s="16" t="s">
        <v>1333</v>
      </c>
      <c r="H1791" s="21"/>
      <c r="I1791" s="22"/>
      <c r="J1791" s="29"/>
      <c r="K1791" s="43"/>
      <c r="L1791" s="43"/>
      <c r="M1791" s="25"/>
      <c r="N1791" s="50"/>
      <c r="O1791" s="27"/>
      <c r="P1791" s="28"/>
    </row>
    <row r="1792" hidden="1">
      <c r="A1792" s="16" t="s">
        <v>2637</v>
      </c>
      <c r="B1792" s="36"/>
      <c r="C1792" s="18"/>
      <c r="D1792" s="4"/>
      <c r="E1792" s="19">
        <v>0.0</v>
      </c>
      <c r="F1792" s="19"/>
      <c r="G1792" s="16" t="s">
        <v>1333</v>
      </c>
      <c r="H1792" s="21"/>
      <c r="I1792" s="22"/>
      <c r="J1792" s="29"/>
      <c r="K1792" s="32">
        <f>140+19</f>
        <v>159</v>
      </c>
      <c r="L1792" s="43">
        <v>500.0</v>
      </c>
      <c r="M1792" s="25"/>
      <c r="N1792" s="50"/>
      <c r="O1792" s="27">
        <f t="shared" ref="O1792:O1796" si="239">(L1792/K1792)-1</f>
        <v>2.144654088</v>
      </c>
      <c r="P1792" s="28"/>
    </row>
    <row r="1793" hidden="1">
      <c r="A1793" s="52" t="s">
        <v>2638</v>
      </c>
      <c r="B1793" s="17" t="s">
        <v>2639</v>
      </c>
      <c r="C1793" s="18"/>
      <c r="D1793" s="4"/>
      <c r="E1793" s="19">
        <v>0.0</v>
      </c>
      <c r="F1793" s="19">
        <v>0.0</v>
      </c>
      <c r="G1793" s="16" t="s">
        <v>2640</v>
      </c>
      <c r="H1793" s="21"/>
      <c r="I1793" s="22"/>
      <c r="J1793" s="29"/>
      <c r="K1793" s="32">
        <f>2845*1.19</f>
        <v>3385.55</v>
      </c>
      <c r="L1793" s="24">
        <v>5000.0</v>
      </c>
      <c r="M1793" s="25">
        <v>0.19</v>
      </c>
      <c r="N1793" s="26"/>
      <c r="O1793" s="27">
        <f t="shared" si="239"/>
        <v>0.4768649112</v>
      </c>
      <c r="P1793" s="28">
        <f t="shared" ref="P1793:P1796" si="240">K1793*F1793</f>
        <v>0</v>
      </c>
    </row>
    <row r="1794" hidden="1">
      <c r="A1794" s="52" t="s">
        <v>2641</v>
      </c>
      <c r="B1794" s="17" t="s">
        <v>2642</v>
      </c>
      <c r="C1794" s="18"/>
      <c r="D1794" s="4"/>
      <c r="E1794" s="19">
        <v>0.0</v>
      </c>
      <c r="F1794" s="19">
        <v>0.0</v>
      </c>
      <c r="G1794" s="16" t="s">
        <v>2640</v>
      </c>
      <c r="H1794" s="21"/>
      <c r="I1794" s="22">
        <v>7.0</v>
      </c>
      <c r="J1794" s="29"/>
      <c r="K1794" s="32">
        <f t="shared" ref="K1794:K1795" si="241">3170*1.19</f>
        <v>3772.3</v>
      </c>
      <c r="L1794" s="24">
        <v>7000.0</v>
      </c>
      <c r="M1794" s="25">
        <v>0.19</v>
      </c>
      <c r="N1794" s="26"/>
      <c r="O1794" s="27">
        <f t="shared" si="239"/>
        <v>0.8556318426</v>
      </c>
      <c r="P1794" s="28">
        <f t="shared" si="240"/>
        <v>0</v>
      </c>
    </row>
    <row r="1795" hidden="1">
      <c r="A1795" s="52" t="s">
        <v>2643</v>
      </c>
      <c r="B1795" s="17"/>
      <c r="C1795" s="18"/>
      <c r="D1795" s="4"/>
      <c r="E1795" s="19">
        <v>0.0</v>
      </c>
      <c r="F1795" s="19">
        <v>0.0</v>
      </c>
      <c r="G1795" s="16" t="s">
        <v>2640</v>
      </c>
      <c r="H1795" s="21"/>
      <c r="I1795" s="22">
        <v>11.0</v>
      </c>
      <c r="J1795" s="29"/>
      <c r="K1795" s="32">
        <f t="shared" si="241"/>
        <v>3772.3</v>
      </c>
      <c r="L1795" s="24">
        <v>7000.0</v>
      </c>
      <c r="M1795" s="25">
        <v>0.19</v>
      </c>
      <c r="N1795" s="26"/>
      <c r="O1795" s="27">
        <f t="shared" si="239"/>
        <v>0.8556318426</v>
      </c>
      <c r="P1795" s="28">
        <f t="shared" si="240"/>
        <v>0</v>
      </c>
    </row>
    <row r="1796" hidden="1">
      <c r="A1796" s="16" t="s">
        <v>2644</v>
      </c>
      <c r="B1796" s="17" t="s">
        <v>2645</v>
      </c>
      <c r="C1796" s="18"/>
      <c r="D1796" s="4"/>
      <c r="E1796" s="19">
        <v>0.0</v>
      </c>
      <c r="F1796" s="19">
        <v>0.0</v>
      </c>
      <c r="G1796" s="16" t="s">
        <v>286</v>
      </c>
      <c r="H1796" s="21"/>
      <c r="I1796" s="22">
        <v>2.0</v>
      </c>
      <c r="J1796" s="45"/>
      <c r="K1796" s="46">
        <f>1923*1.19</f>
        <v>2288.37</v>
      </c>
      <c r="L1796" s="24">
        <v>4000.0</v>
      </c>
      <c r="M1796" s="25">
        <v>0.19</v>
      </c>
      <c r="N1796" s="70"/>
      <c r="O1796" s="27">
        <f t="shared" si="239"/>
        <v>0.7479690784</v>
      </c>
      <c r="P1796" s="28">
        <f t="shared" si="240"/>
        <v>0</v>
      </c>
    </row>
    <row r="1797" hidden="1">
      <c r="A1797" s="16" t="s">
        <v>2646</v>
      </c>
      <c r="B1797" s="36"/>
      <c r="C1797" s="18"/>
      <c r="D1797" s="4"/>
      <c r="E1797" s="19">
        <v>0.0</v>
      </c>
      <c r="F1797" s="19"/>
      <c r="G1797" s="16" t="s">
        <v>1333</v>
      </c>
      <c r="H1797" s="21"/>
      <c r="I1797" s="22"/>
      <c r="J1797" s="29"/>
      <c r="K1797" s="32">
        <f>406+208</f>
        <v>614</v>
      </c>
      <c r="L1797" s="32">
        <v>5000.0</v>
      </c>
      <c r="M1797" s="25"/>
      <c r="N1797" s="50"/>
      <c r="O1797" s="27"/>
      <c r="P1797" s="28"/>
    </row>
    <row r="1798" hidden="1">
      <c r="A1798" s="16" t="s">
        <v>2647</v>
      </c>
      <c r="B1798" s="36"/>
      <c r="C1798" s="18"/>
      <c r="D1798" s="4"/>
      <c r="E1798" s="19">
        <v>0.0</v>
      </c>
      <c r="F1798" s="19"/>
      <c r="G1798" s="16" t="s">
        <v>1333</v>
      </c>
      <c r="H1798" s="21"/>
      <c r="I1798" s="22"/>
      <c r="J1798" s="29"/>
      <c r="K1798" s="32">
        <f>208+74</f>
        <v>282</v>
      </c>
      <c r="L1798" s="43"/>
      <c r="M1798" s="25"/>
      <c r="N1798" s="50"/>
      <c r="O1798" s="27"/>
      <c r="P1798" s="28"/>
    </row>
    <row r="1799" hidden="1">
      <c r="A1799" s="122" t="s">
        <v>2648</v>
      </c>
      <c r="B1799" s="17">
        <v>249008.0</v>
      </c>
      <c r="C1799" s="18"/>
      <c r="D1799" s="4"/>
      <c r="E1799" s="19">
        <v>0.0</v>
      </c>
      <c r="F1799" s="19">
        <v>0.0</v>
      </c>
      <c r="G1799" s="16" t="s">
        <v>2649</v>
      </c>
      <c r="H1799" s="21"/>
      <c r="I1799" s="22"/>
      <c r="J1799" s="45"/>
      <c r="K1799" s="172">
        <f>6629*1.19</f>
        <v>7888.51</v>
      </c>
      <c r="L1799" s="44">
        <v>15000.0</v>
      </c>
      <c r="M1799" s="25"/>
      <c r="N1799" s="26"/>
      <c r="O1799" s="27">
        <f t="shared" ref="O1799:O1842" si="242">(L1799/K1799)-1</f>
        <v>0.9014997763</v>
      </c>
      <c r="P1799" s="28">
        <f t="shared" ref="P1799:P1837" si="243">K1799*F1799</f>
        <v>0</v>
      </c>
    </row>
    <row r="1800" hidden="1">
      <c r="A1800" s="122" t="s">
        <v>2650</v>
      </c>
      <c r="B1800" s="273" t="s">
        <v>2651</v>
      </c>
      <c r="C1800" s="18"/>
      <c r="D1800" s="4"/>
      <c r="E1800" s="19"/>
      <c r="F1800" s="19">
        <v>0.0</v>
      </c>
      <c r="G1800" s="16" t="s">
        <v>2652</v>
      </c>
      <c r="H1800" s="21"/>
      <c r="I1800" s="22" t="s">
        <v>2653</v>
      </c>
      <c r="J1800" s="45"/>
      <c r="K1800" s="60">
        <v>3451.0</v>
      </c>
      <c r="L1800" s="55">
        <v>12000.0</v>
      </c>
      <c r="M1800" s="25"/>
      <c r="N1800" s="26"/>
      <c r="O1800" s="27">
        <f t="shared" si="242"/>
        <v>2.47725297</v>
      </c>
      <c r="P1800" s="28">
        <f t="shared" si="243"/>
        <v>0</v>
      </c>
    </row>
    <row r="1801" hidden="1">
      <c r="A1801" s="122" t="s">
        <v>2654</v>
      </c>
      <c r="B1801" s="17">
        <v>249002.0</v>
      </c>
      <c r="C1801" s="18"/>
      <c r="D1801" s="4"/>
      <c r="E1801" s="19">
        <v>0.0</v>
      </c>
      <c r="F1801" s="19">
        <v>0.0</v>
      </c>
      <c r="G1801" s="16" t="s">
        <v>2649</v>
      </c>
      <c r="H1801" s="21"/>
      <c r="I1801" s="22">
        <v>0.0</v>
      </c>
      <c r="J1801" s="45"/>
      <c r="K1801" s="172">
        <f>6201*1.19</f>
        <v>7379.19</v>
      </c>
      <c r="L1801" s="43">
        <v>12000.0</v>
      </c>
      <c r="M1801" s="25"/>
      <c r="N1801" s="26"/>
      <c r="O1801" s="27">
        <f t="shared" si="242"/>
        <v>0.626194745</v>
      </c>
      <c r="P1801" s="28">
        <f t="shared" si="243"/>
        <v>0</v>
      </c>
    </row>
    <row r="1802" hidden="1">
      <c r="A1802" s="122" t="s">
        <v>2655</v>
      </c>
      <c r="B1802" s="17" t="s">
        <v>2656</v>
      </c>
      <c r="C1802" s="18"/>
      <c r="D1802" s="4"/>
      <c r="E1802" s="19"/>
      <c r="F1802" s="19">
        <v>0.0</v>
      </c>
      <c r="G1802" s="16" t="s">
        <v>2652</v>
      </c>
      <c r="H1802" s="21"/>
      <c r="I1802" s="22" t="s">
        <v>2657</v>
      </c>
      <c r="J1802" s="45"/>
      <c r="K1802" s="60">
        <v>3094.0</v>
      </c>
      <c r="L1802" s="55">
        <v>8000.0</v>
      </c>
      <c r="M1802" s="25"/>
      <c r="N1802" s="26"/>
      <c r="O1802" s="27">
        <f t="shared" si="242"/>
        <v>1.585649644</v>
      </c>
      <c r="P1802" s="28">
        <f t="shared" si="243"/>
        <v>0</v>
      </c>
    </row>
    <row r="1803" hidden="1">
      <c r="A1803" s="122" t="s">
        <v>2658</v>
      </c>
      <c r="B1803" s="17">
        <v>249001.0</v>
      </c>
      <c r="C1803" s="18"/>
      <c r="D1803" s="4"/>
      <c r="E1803" s="19">
        <v>0.0</v>
      </c>
      <c r="F1803" s="19">
        <v>0.0</v>
      </c>
      <c r="G1803" s="16" t="s">
        <v>2649</v>
      </c>
      <c r="H1803" s="21"/>
      <c r="I1803" s="22"/>
      <c r="J1803" s="29"/>
      <c r="K1803" s="43">
        <f>3754*1.19</f>
        <v>4467.26</v>
      </c>
      <c r="L1803" s="44">
        <v>7000.0</v>
      </c>
      <c r="M1803" s="25"/>
      <c r="N1803" s="26"/>
      <c r="O1803" s="27">
        <f t="shared" si="242"/>
        <v>0.5669560312</v>
      </c>
      <c r="P1803" s="28">
        <f t="shared" si="243"/>
        <v>0</v>
      </c>
    </row>
    <row r="1804" hidden="1">
      <c r="A1804" s="122" t="s">
        <v>2659</v>
      </c>
      <c r="B1804" s="17">
        <v>249001.0</v>
      </c>
      <c r="C1804" s="18"/>
      <c r="D1804" s="4"/>
      <c r="E1804" s="19"/>
      <c r="F1804" s="19"/>
      <c r="G1804" s="16" t="s">
        <v>2660</v>
      </c>
      <c r="H1804" s="21">
        <v>0.0</v>
      </c>
      <c r="I1804" s="22"/>
      <c r="J1804" s="45"/>
      <c r="K1804" s="172">
        <f>4876*1.19</f>
        <v>5802.44</v>
      </c>
      <c r="L1804" s="44">
        <v>7000.0</v>
      </c>
      <c r="M1804" s="25"/>
      <c r="N1804" s="70"/>
      <c r="O1804" s="27">
        <f t="shared" si="242"/>
        <v>0.2063890363</v>
      </c>
      <c r="P1804" s="28">
        <f t="shared" si="243"/>
        <v>0</v>
      </c>
    </row>
    <row r="1805" hidden="1">
      <c r="A1805" s="16" t="s">
        <v>2661</v>
      </c>
      <c r="B1805" s="17"/>
      <c r="C1805" s="18"/>
      <c r="D1805" s="4"/>
      <c r="E1805" s="19">
        <v>0.0</v>
      </c>
      <c r="F1805" s="19">
        <v>0.0</v>
      </c>
      <c r="G1805" s="16" t="s">
        <v>1108</v>
      </c>
      <c r="H1805" s="21"/>
      <c r="I1805" s="22"/>
      <c r="J1805" s="29"/>
      <c r="K1805" s="43">
        <f>26000*1.19</f>
        <v>30940</v>
      </c>
      <c r="L1805" s="44">
        <v>45000.0</v>
      </c>
      <c r="M1805" s="25"/>
      <c r="N1805" s="26"/>
      <c r="O1805" s="27">
        <f t="shared" si="242"/>
        <v>0.454427925</v>
      </c>
      <c r="P1805" s="28">
        <f t="shared" si="243"/>
        <v>0</v>
      </c>
    </row>
    <row r="1806" hidden="1">
      <c r="A1806" s="16" t="s">
        <v>2662</v>
      </c>
      <c r="B1806" s="49"/>
      <c r="C1806" s="18"/>
      <c r="D1806" s="4"/>
      <c r="E1806" s="19">
        <v>0.0</v>
      </c>
      <c r="F1806" s="19">
        <v>0.0</v>
      </c>
      <c r="G1806" s="16" t="s">
        <v>254</v>
      </c>
      <c r="H1806" s="21"/>
      <c r="I1806" s="22">
        <v>0.0</v>
      </c>
      <c r="J1806" s="23"/>
      <c r="K1806" s="44">
        <v>270000.0</v>
      </c>
      <c r="L1806" s="44">
        <v>330000.0</v>
      </c>
      <c r="M1806" s="25"/>
      <c r="N1806" s="26"/>
      <c r="O1806" s="27">
        <f t="shared" si="242"/>
        <v>0.2222222222</v>
      </c>
      <c r="P1806" s="28">
        <f t="shared" si="243"/>
        <v>0</v>
      </c>
    </row>
    <row r="1807" hidden="1">
      <c r="A1807" s="16" t="s">
        <v>2663</v>
      </c>
      <c r="B1807" s="36"/>
      <c r="C1807" s="18"/>
      <c r="D1807" s="4"/>
      <c r="E1807" s="19">
        <v>0.0</v>
      </c>
      <c r="F1807" s="19">
        <v>0.0</v>
      </c>
      <c r="G1807" s="16" t="s">
        <v>84</v>
      </c>
      <c r="H1807" s="21"/>
      <c r="I1807" s="22"/>
      <c r="J1807" s="29"/>
      <c r="K1807" s="43">
        <f>28*800</f>
        <v>22400</v>
      </c>
      <c r="L1807" s="44">
        <v>42000.0</v>
      </c>
      <c r="M1807" s="25"/>
      <c r="N1807" s="26"/>
      <c r="O1807" s="27">
        <f t="shared" si="242"/>
        <v>0.875</v>
      </c>
      <c r="P1807" s="28">
        <f t="shared" si="243"/>
        <v>0</v>
      </c>
    </row>
    <row r="1808" hidden="1">
      <c r="A1808" s="16" t="s">
        <v>2664</v>
      </c>
      <c r="B1808" s="17"/>
      <c r="C1808" s="18"/>
      <c r="D1808" s="4"/>
      <c r="E1808" s="19">
        <v>0.0</v>
      </c>
      <c r="F1808" s="19">
        <v>0.0</v>
      </c>
      <c r="G1808" s="16" t="s">
        <v>1108</v>
      </c>
      <c r="H1808" s="21"/>
      <c r="I1808" s="22">
        <v>0.0</v>
      </c>
      <c r="J1808" s="45"/>
      <c r="K1808" s="60">
        <v>70210.0</v>
      </c>
      <c r="L1808" s="55">
        <v>88000.0</v>
      </c>
      <c r="M1808" s="25"/>
      <c r="N1808" s="48">
        <v>75000.0</v>
      </c>
      <c r="O1808" s="27">
        <f t="shared" si="242"/>
        <v>0.253382709</v>
      </c>
      <c r="P1808" s="28">
        <f t="shared" si="243"/>
        <v>0</v>
      </c>
    </row>
    <row r="1809" hidden="1">
      <c r="A1809" s="40" t="s">
        <v>2665</v>
      </c>
      <c r="B1809" s="17"/>
      <c r="C1809" s="18"/>
      <c r="D1809" s="4"/>
      <c r="E1809" s="19">
        <v>0.0</v>
      </c>
      <c r="F1809" s="19">
        <v>0.0</v>
      </c>
      <c r="G1809" s="16" t="s">
        <v>1108</v>
      </c>
      <c r="H1809" s="21"/>
      <c r="I1809" s="22">
        <v>0.0</v>
      </c>
      <c r="J1809" s="45"/>
      <c r="K1809" s="60">
        <v>70210.0</v>
      </c>
      <c r="L1809" s="55">
        <v>88000.0</v>
      </c>
      <c r="M1809" s="116"/>
      <c r="N1809" s="48">
        <v>78000.0</v>
      </c>
      <c r="O1809" s="27">
        <f t="shared" si="242"/>
        <v>0.253382709</v>
      </c>
      <c r="P1809" s="28">
        <f t="shared" si="243"/>
        <v>0</v>
      </c>
    </row>
    <row r="1810" hidden="1">
      <c r="A1810" s="16" t="s">
        <v>2666</v>
      </c>
      <c r="B1810" s="17"/>
      <c r="C1810" s="18"/>
      <c r="D1810" s="4"/>
      <c r="E1810" s="19">
        <v>0.0</v>
      </c>
      <c r="F1810" s="19"/>
      <c r="G1810" s="16" t="s">
        <v>2667</v>
      </c>
      <c r="H1810" s="21"/>
      <c r="I1810" s="22"/>
      <c r="J1810" s="45"/>
      <c r="K1810" s="60">
        <f>34000*1.19</f>
        <v>40460</v>
      </c>
      <c r="L1810" s="55">
        <v>54000.0</v>
      </c>
      <c r="M1810" s="25"/>
      <c r="N1810" s="50">
        <v>48000.0</v>
      </c>
      <c r="O1810" s="27">
        <f t="shared" si="242"/>
        <v>0.3346515077</v>
      </c>
      <c r="P1810" s="28">
        <f t="shared" si="243"/>
        <v>0</v>
      </c>
    </row>
    <row r="1811" hidden="1">
      <c r="A1811" s="16" t="s">
        <v>2668</v>
      </c>
      <c r="B1811" s="17"/>
      <c r="C1811" s="68"/>
      <c r="D1811" s="4"/>
      <c r="E1811" s="19">
        <v>2.0</v>
      </c>
      <c r="F1811" s="77">
        <v>0.0</v>
      </c>
      <c r="G1811" s="16" t="s">
        <v>2669</v>
      </c>
      <c r="H1811" s="21">
        <v>1.0</v>
      </c>
      <c r="I1811" s="22">
        <v>2.0</v>
      </c>
      <c r="J1811" s="45"/>
      <c r="K1811" s="60">
        <v>185000.0</v>
      </c>
      <c r="L1811" s="55">
        <v>240000.0</v>
      </c>
      <c r="M1811" s="25" t="s">
        <v>82</v>
      </c>
      <c r="N1811" s="26"/>
      <c r="O1811" s="27">
        <f t="shared" si="242"/>
        <v>0.2972972973</v>
      </c>
      <c r="P1811" s="28">
        <f t="shared" si="243"/>
        <v>0</v>
      </c>
    </row>
    <row r="1812" hidden="1">
      <c r="A1812" s="16" t="s">
        <v>2670</v>
      </c>
      <c r="B1812" s="17">
        <v>31973.0</v>
      </c>
      <c r="C1812" s="68"/>
      <c r="D1812" s="4"/>
      <c r="E1812" s="19">
        <v>0.0</v>
      </c>
      <c r="F1812" s="19">
        <v>0.0</v>
      </c>
      <c r="G1812" s="16" t="s">
        <v>2669</v>
      </c>
      <c r="H1812" s="21">
        <v>0.0</v>
      </c>
      <c r="I1812" s="22">
        <v>3.0</v>
      </c>
      <c r="J1812" s="45"/>
      <c r="K1812" s="60">
        <v>3700.0</v>
      </c>
      <c r="L1812" s="55">
        <v>6000.0</v>
      </c>
      <c r="M1812" s="25" t="s">
        <v>82</v>
      </c>
      <c r="N1812" s="26"/>
      <c r="O1812" s="27">
        <f t="shared" si="242"/>
        <v>0.6216216216</v>
      </c>
      <c r="P1812" s="28">
        <f t="shared" si="243"/>
        <v>0</v>
      </c>
    </row>
    <row r="1813" hidden="1">
      <c r="A1813" s="16" t="s">
        <v>2671</v>
      </c>
      <c r="B1813" s="51">
        <v>29676.0</v>
      </c>
      <c r="C1813" s="68"/>
      <c r="D1813" s="4"/>
      <c r="E1813" s="19">
        <v>0.0</v>
      </c>
      <c r="F1813" s="19">
        <v>0.0</v>
      </c>
      <c r="G1813" s="16" t="s">
        <v>2669</v>
      </c>
      <c r="H1813" s="21">
        <v>1.0</v>
      </c>
      <c r="I1813" s="22">
        <v>3.0</v>
      </c>
      <c r="J1813" s="29"/>
      <c r="K1813" s="48">
        <v>106000.0</v>
      </c>
      <c r="L1813" s="48">
        <v>130000.0</v>
      </c>
      <c r="M1813" s="25" t="s">
        <v>82</v>
      </c>
      <c r="N1813" s="26"/>
      <c r="O1813" s="27">
        <f t="shared" si="242"/>
        <v>0.2264150943</v>
      </c>
      <c r="P1813" s="28">
        <f t="shared" si="243"/>
        <v>0</v>
      </c>
    </row>
    <row r="1814" hidden="1">
      <c r="A1814" s="122" t="s">
        <v>2672</v>
      </c>
      <c r="B1814" s="17"/>
      <c r="C1814" s="18"/>
      <c r="D1814" s="4"/>
      <c r="E1814" s="19">
        <v>0.0</v>
      </c>
      <c r="F1814" s="19">
        <v>0.0</v>
      </c>
      <c r="G1814" s="16" t="s">
        <v>254</v>
      </c>
      <c r="H1814" s="21"/>
      <c r="I1814" s="22">
        <v>0.0</v>
      </c>
      <c r="J1814" s="29"/>
      <c r="K1814" s="43">
        <v>122000.0</v>
      </c>
      <c r="L1814" s="44">
        <v>160000.0</v>
      </c>
      <c r="M1814" s="25"/>
      <c r="N1814" s="26"/>
      <c r="O1814" s="27">
        <f t="shared" si="242"/>
        <v>0.3114754098</v>
      </c>
      <c r="P1814" s="28">
        <f t="shared" si="243"/>
        <v>0</v>
      </c>
    </row>
    <row r="1815" hidden="1">
      <c r="A1815" s="256" t="s">
        <v>2673</v>
      </c>
      <c r="B1815" s="97" t="s">
        <v>2674</v>
      </c>
      <c r="C1815" s="18"/>
      <c r="D1815" s="4"/>
      <c r="E1815" s="19">
        <v>0.0</v>
      </c>
      <c r="F1815" s="19">
        <v>0.0</v>
      </c>
      <c r="G1815" s="16" t="s">
        <v>2675</v>
      </c>
      <c r="H1815" s="21"/>
      <c r="I1815" s="22">
        <v>1.0</v>
      </c>
      <c r="J1815" s="29"/>
      <c r="K1815" s="43">
        <v>480000.0</v>
      </c>
      <c r="L1815" s="44">
        <v>750000.0</v>
      </c>
      <c r="M1815" s="25"/>
      <c r="N1815" s="50"/>
      <c r="O1815" s="27">
        <f t="shared" si="242"/>
        <v>0.5625</v>
      </c>
      <c r="P1815" s="28">
        <f t="shared" si="243"/>
        <v>0</v>
      </c>
    </row>
    <row r="1816" hidden="1">
      <c r="A1816" s="16" t="s">
        <v>2676</v>
      </c>
      <c r="B1816" s="167" t="s">
        <v>2677</v>
      </c>
      <c r="C1816" s="18"/>
      <c r="D1816" s="4"/>
      <c r="E1816" s="19">
        <v>0.0</v>
      </c>
      <c r="F1816" s="19">
        <v>0.0</v>
      </c>
      <c r="G1816" s="16" t="s">
        <v>1400</v>
      </c>
      <c r="H1816" s="21"/>
      <c r="I1816" s="22">
        <v>0.0</v>
      </c>
      <c r="J1816" s="23"/>
      <c r="K1816" s="55">
        <v>109081.0</v>
      </c>
      <c r="L1816" s="55">
        <v>155000.0</v>
      </c>
      <c r="M1816" s="25"/>
      <c r="N1816" s="50">
        <v>120000.0</v>
      </c>
      <c r="O1816" s="27">
        <f t="shared" si="242"/>
        <v>0.4209624041</v>
      </c>
      <c r="P1816" s="28">
        <f t="shared" si="243"/>
        <v>0</v>
      </c>
    </row>
    <row r="1817" hidden="1">
      <c r="A1817" s="16" t="s">
        <v>2678</v>
      </c>
      <c r="B1817" s="36" t="s">
        <v>2679</v>
      </c>
      <c r="C1817" s="18"/>
      <c r="D1817" s="4"/>
      <c r="E1817" s="19">
        <v>0.0</v>
      </c>
      <c r="F1817" s="19">
        <v>0.0</v>
      </c>
      <c r="G1817" s="16" t="s">
        <v>1400</v>
      </c>
      <c r="H1817" s="21"/>
      <c r="I1817" s="22">
        <v>1.0</v>
      </c>
      <c r="J1817" s="23"/>
      <c r="K1817" s="55">
        <v>113000.0</v>
      </c>
      <c r="L1817" s="55">
        <v>170000.0</v>
      </c>
      <c r="M1817" s="25"/>
      <c r="N1817" s="50"/>
      <c r="O1817" s="27">
        <f t="shared" si="242"/>
        <v>0.5044247788</v>
      </c>
      <c r="P1817" s="28">
        <f t="shared" si="243"/>
        <v>0</v>
      </c>
    </row>
    <row r="1818" hidden="1">
      <c r="A1818" s="16" t="s">
        <v>2680</v>
      </c>
      <c r="B1818" s="36" t="s">
        <v>2681</v>
      </c>
      <c r="C1818" s="18"/>
      <c r="D1818" s="4"/>
      <c r="E1818" s="19">
        <v>0.0</v>
      </c>
      <c r="F1818" s="19">
        <v>3.0</v>
      </c>
      <c r="G1818" s="16" t="s">
        <v>1400</v>
      </c>
      <c r="H1818" s="21"/>
      <c r="I1818" s="22">
        <v>0.0</v>
      </c>
      <c r="J1818" s="23"/>
      <c r="K1818" s="55">
        <v>71470.0</v>
      </c>
      <c r="L1818" s="55">
        <v>100000.0</v>
      </c>
      <c r="M1818" s="25"/>
      <c r="N1818" s="50"/>
      <c r="O1818" s="27">
        <f t="shared" si="242"/>
        <v>0.3991884707</v>
      </c>
      <c r="P1818" s="28">
        <f t="shared" si="243"/>
        <v>214410</v>
      </c>
    </row>
    <row r="1819" hidden="1">
      <c r="A1819" s="16" t="s">
        <v>2682</v>
      </c>
      <c r="B1819" s="36" t="s">
        <v>2683</v>
      </c>
      <c r="C1819" s="18"/>
      <c r="D1819" s="4"/>
      <c r="E1819" s="19">
        <v>0.0</v>
      </c>
      <c r="F1819" s="19">
        <v>0.0</v>
      </c>
      <c r="G1819" s="16" t="s">
        <v>1400</v>
      </c>
      <c r="H1819" s="21"/>
      <c r="I1819" s="22">
        <v>2.0</v>
      </c>
      <c r="J1819" s="47">
        <v>46569.0</v>
      </c>
      <c r="K1819" s="55">
        <v>71470.0</v>
      </c>
      <c r="L1819" s="24">
        <v>100000.0</v>
      </c>
      <c r="M1819" s="25"/>
      <c r="N1819" s="26"/>
      <c r="O1819" s="27">
        <f t="shared" si="242"/>
        <v>0.3991884707</v>
      </c>
      <c r="P1819" s="28">
        <f t="shared" si="243"/>
        <v>0</v>
      </c>
    </row>
    <row r="1820" hidden="1">
      <c r="A1820" s="16" t="s">
        <v>2684</v>
      </c>
      <c r="B1820" s="36" t="s">
        <v>2685</v>
      </c>
      <c r="C1820" s="18"/>
      <c r="D1820" s="4"/>
      <c r="E1820" s="19">
        <v>0.0</v>
      </c>
      <c r="F1820" s="19">
        <v>0.0</v>
      </c>
      <c r="G1820" s="16" t="s">
        <v>1400</v>
      </c>
      <c r="H1820" s="21"/>
      <c r="I1820" s="22">
        <v>2.0</v>
      </c>
      <c r="J1820" s="23"/>
      <c r="K1820" s="55">
        <v>71470.0</v>
      </c>
      <c r="L1820" s="24">
        <v>100000.0</v>
      </c>
      <c r="M1820" s="25"/>
      <c r="N1820" s="50"/>
      <c r="O1820" s="27">
        <f t="shared" si="242"/>
        <v>0.3991884707</v>
      </c>
      <c r="P1820" s="28">
        <f t="shared" si="243"/>
        <v>0</v>
      </c>
    </row>
    <row r="1821" hidden="1">
      <c r="A1821" s="16" t="s">
        <v>2686</v>
      </c>
      <c r="B1821" s="36"/>
      <c r="C1821" s="18"/>
      <c r="D1821" s="4"/>
      <c r="E1821" s="19">
        <v>0.0</v>
      </c>
      <c r="F1821" s="19">
        <v>2.0</v>
      </c>
      <c r="G1821" s="16" t="s">
        <v>1400</v>
      </c>
      <c r="H1821" s="21"/>
      <c r="I1821" s="22">
        <v>0.0</v>
      </c>
      <c r="J1821" s="23"/>
      <c r="K1821" s="55">
        <v>71470.0</v>
      </c>
      <c r="L1821" s="24">
        <v>100000.0</v>
      </c>
      <c r="M1821" s="25"/>
      <c r="N1821" s="50"/>
      <c r="O1821" s="27">
        <f t="shared" si="242"/>
        <v>0.3991884707</v>
      </c>
      <c r="P1821" s="28">
        <f t="shared" si="243"/>
        <v>142940</v>
      </c>
    </row>
    <row r="1822" hidden="1">
      <c r="A1822" s="42" t="s">
        <v>2687</v>
      </c>
      <c r="B1822" s="17"/>
      <c r="C1822" s="38"/>
      <c r="D1822" s="61"/>
      <c r="E1822" s="19"/>
      <c r="F1822" s="19"/>
      <c r="G1822" s="16" t="s">
        <v>91</v>
      </c>
      <c r="H1822" s="21"/>
      <c r="I1822" s="22">
        <v>0.0</v>
      </c>
      <c r="J1822" s="29"/>
      <c r="K1822" s="43">
        <v>300000.0</v>
      </c>
      <c r="L1822" s="44">
        <v>350000.0</v>
      </c>
      <c r="M1822" s="25"/>
      <c r="N1822" s="26"/>
      <c r="O1822" s="27">
        <f t="shared" si="242"/>
        <v>0.1666666667</v>
      </c>
      <c r="P1822" s="28">
        <f t="shared" si="243"/>
        <v>0</v>
      </c>
    </row>
    <row r="1823" hidden="1">
      <c r="A1823" s="42" t="s">
        <v>2688</v>
      </c>
      <c r="B1823" s="51" t="s">
        <v>2689</v>
      </c>
      <c r="C1823" s="38"/>
      <c r="D1823" s="61"/>
      <c r="E1823" s="19"/>
      <c r="F1823" s="19">
        <f>326400/4</f>
        <v>81600</v>
      </c>
      <c r="G1823" s="16" t="s">
        <v>91</v>
      </c>
      <c r="H1823" s="21"/>
      <c r="I1823" s="22">
        <v>1.0</v>
      </c>
      <c r="J1823" s="47">
        <v>46113.0</v>
      </c>
      <c r="K1823" s="46">
        <f>384000/4</f>
        <v>96000</v>
      </c>
      <c r="L1823" s="24">
        <v>125000.0</v>
      </c>
      <c r="M1823" s="25" t="s">
        <v>82</v>
      </c>
      <c r="N1823" s="26">
        <v>110000.0</v>
      </c>
      <c r="O1823" s="27">
        <f t="shared" si="242"/>
        <v>0.3020833333</v>
      </c>
      <c r="P1823" s="28">
        <f t="shared" si="243"/>
        <v>7833600000</v>
      </c>
    </row>
    <row r="1824" hidden="1">
      <c r="A1824" s="42" t="s">
        <v>2690</v>
      </c>
      <c r="B1824" s="17"/>
      <c r="C1824" s="38" t="s">
        <v>2691</v>
      </c>
      <c r="D1824" s="61"/>
      <c r="E1824" s="19"/>
      <c r="F1824" s="19"/>
      <c r="G1824" s="16" t="s">
        <v>91</v>
      </c>
      <c r="H1824" s="21"/>
      <c r="I1824" s="22">
        <v>0.0</v>
      </c>
      <c r="J1824" s="58">
        <v>45992.0</v>
      </c>
      <c r="K1824" s="32">
        <v>315455.0</v>
      </c>
      <c r="L1824" s="24">
        <v>390000.0</v>
      </c>
      <c r="M1824" s="25"/>
      <c r="N1824" s="26">
        <v>295000.0</v>
      </c>
      <c r="O1824" s="27">
        <f t="shared" si="242"/>
        <v>0.2363094578</v>
      </c>
      <c r="P1824" s="28">
        <f t="shared" si="243"/>
        <v>0</v>
      </c>
    </row>
    <row r="1825" hidden="1">
      <c r="A1825" s="16" t="s">
        <v>2692</v>
      </c>
      <c r="B1825" s="97" t="s">
        <v>2693</v>
      </c>
      <c r="C1825" s="18"/>
      <c r="D1825" s="98"/>
      <c r="E1825" s="19">
        <v>0.0</v>
      </c>
      <c r="F1825" s="19"/>
      <c r="G1825" s="16" t="s">
        <v>485</v>
      </c>
      <c r="H1825" s="21">
        <v>0.0</v>
      </c>
      <c r="I1825" s="22"/>
      <c r="J1825" s="173"/>
      <c r="K1825" s="174">
        <v>49210.0</v>
      </c>
      <c r="L1825" s="175">
        <v>95000.0</v>
      </c>
      <c r="M1825" s="25"/>
      <c r="N1825" s="26"/>
      <c r="O1825" s="27">
        <f t="shared" si="242"/>
        <v>0.9305019305</v>
      </c>
      <c r="P1825" s="28">
        <f t="shared" si="243"/>
        <v>0</v>
      </c>
    </row>
    <row r="1826" hidden="1">
      <c r="A1826" s="16" t="s">
        <v>2694</v>
      </c>
      <c r="B1826" s="36"/>
      <c r="C1826" s="18"/>
      <c r="D1826" s="4"/>
      <c r="E1826" s="19">
        <v>0.0</v>
      </c>
      <c r="F1826" s="19">
        <v>0.0</v>
      </c>
      <c r="G1826" s="16" t="s">
        <v>1400</v>
      </c>
      <c r="H1826" s="21"/>
      <c r="I1826" s="22">
        <v>0.0</v>
      </c>
      <c r="J1826" s="23"/>
      <c r="K1826" s="55">
        <v>90300.0</v>
      </c>
      <c r="L1826" s="55">
        <v>140000.0</v>
      </c>
      <c r="M1826" s="25"/>
      <c r="N1826" s="50"/>
      <c r="O1826" s="27">
        <f t="shared" si="242"/>
        <v>0.5503875969</v>
      </c>
      <c r="P1826" s="28">
        <f t="shared" si="243"/>
        <v>0</v>
      </c>
    </row>
    <row r="1827" hidden="1">
      <c r="A1827" s="16" t="s">
        <v>2695</v>
      </c>
      <c r="B1827" s="36" t="s">
        <v>2696</v>
      </c>
      <c r="C1827" s="18"/>
      <c r="D1827" s="4"/>
      <c r="E1827" s="19">
        <v>0.0</v>
      </c>
      <c r="F1827" s="19">
        <v>0.0</v>
      </c>
      <c r="G1827" s="16" t="s">
        <v>1400</v>
      </c>
      <c r="H1827" s="21"/>
      <c r="I1827" s="22">
        <v>1.0</v>
      </c>
      <c r="J1827" s="23"/>
      <c r="K1827" s="55">
        <v>90300.0</v>
      </c>
      <c r="L1827" s="55">
        <v>140000.0</v>
      </c>
      <c r="M1827" s="25"/>
      <c r="N1827" s="50"/>
      <c r="O1827" s="27">
        <f t="shared" si="242"/>
        <v>0.5503875969</v>
      </c>
      <c r="P1827" s="28">
        <f t="shared" si="243"/>
        <v>0</v>
      </c>
    </row>
    <row r="1828" hidden="1">
      <c r="A1828" s="16" t="s">
        <v>2697</v>
      </c>
      <c r="B1828" s="36" t="s">
        <v>2696</v>
      </c>
      <c r="C1828" s="18"/>
      <c r="D1828" s="4"/>
      <c r="E1828" s="19">
        <v>0.0</v>
      </c>
      <c r="F1828" s="19">
        <v>0.0</v>
      </c>
      <c r="G1828" s="16" t="s">
        <v>1400</v>
      </c>
      <c r="H1828" s="21"/>
      <c r="I1828" s="22">
        <v>0.0</v>
      </c>
      <c r="J1828" s="23"/>
      <c r="K1828" s="55">
        <v>90300.0</v>
      </c>
      <c r="L1828" s="55">
        <v>140000.0</v>
      </c>
      <c r="M1828" s="25"/>
      <c r="N1828" s="26"/>
      <c r="O1828" s="27">
        <f t="shared" si="242"/>
        <v>0.5503875969</v>
      </c>
      <c r="P1828" s="28">
        <f t="shared" si="243"/>
        <v>0</v>
      </c>
    </row>
    <row r="1829" hidden="1">
      <c r="A1829" s="52" t="s">
        <v>2698</v>
      </c>
      <c r="B1829" s="36" t="s">
        <v>328</v>
      </c>
      <c r="C1829" s="18"/>
      <c r="D1829" s="67"/>
      <c r="E1829" s="19">
        <v>0.0</v>
      </c>
      <c r="F1829" s="19">
        <v>20.0</v>
      </c>
      <c r="G1829" s="16" t="s">
        <v>513</v>
      </c>
      <c r="H1829" s="21"/>
      <c r="I1829" s="22">
        <v>11.0</v>
      </c>
      <c r="J1829" s="29"/>
      <c r="K1829" s="43">
        <f>16000*0.95*1.19</f>
        <v>18088</v>
      </c>
      <c r="L1829" s="24">
        <v>27000.0</v>
      </c>
      <c r="M1829" s="25"/>
      <c r="N1829" s="50">
        <v>23000.0</v>
      </c>
      <c r="O1829" s="27">
        <f t="shared" si="242"/>
        <v>0.4927023441</v>
      </c>
      <c r="P1829" s="28">
        <f t="shared" si="243"/>
        <v>361760</v>
      </c>
    </row>
    <row r="1830" hidden="1">
      <c r="A1830" s="16" t="s">
        <v>2699</v>
      </c>
      <c r="B1830" s="193" t="s">
        <v>2700</v>
      </c>
      <c r="C1830" s="18"/>
      <c r="D1830" s="4"/>
      <c r="E1830" s="19">
        <v>0.0</v>
      </c>
      <c r="F1830" s="19">
        <v>20.0</v>
      </c>
      <c r="G1830" s="16" t="s">
        <v>2701</v>
      </c>
      <c r="H1830" s="21"/>
      <c r="I1830" s="22">
        <v>78.0</v>
      </c>
      <c r="J1830" s="29"/>
      <c r="K1830" s="32">
        <f>11429*1.19</f>
        <v>13600.51</v>
      </c>
      <c r="L1830" s="24">
        <v>22000.0</v>
      </c>
      <c r="M1830" s="25"/>
      <c r="N1830" s="26"/>
      <c r="O1830" s="27">
        <f t="shared" si="242"/>
        <v>0.6175863993</v>
      </c>
      <c r="P1830" s="28">
        <f t="shared" si="243"/>
        <v>272010.2</v>
      </c>
    </row>
    <row r="1831" hidden="1">
      <c r="A1831" s="135" t="s">
        <v>2702</v>
      </c>
      <c r="B1831" s="36" t="s">
        <v>328</v>
      </c>
      <c r="C1831" s="18"/>
      <c r="D1831" s="4"/>
      <c r="E1831" s="19"/>
      <c r="F1831" s="19"/>
      <c r="G1831" s="16" t="s">
        <v>375</v>
      </c>
      <c r="H1831" s="21">
        <v>0.0</v>
      </c>
      <c r="I1831" s="22"/>
      <c r="J1831" s="29"/>
      <c r="K1831" s="32">
        <f>12400*1.19</f>
        <v>14756</v>
      </c>
      <c r="L1831" s="24">
        <v>22000.0</v>
      </c>
      <c r="M1831" s="25">
        <v>1.19</v>
      </c>
      <c r="N1831" s="26"/>
      <c r="O1831" s="27">
        <f t="shared" si="242"/>
        <v>0.4909189482</v>
      </c>
      <c r="P1831" s="28">
        <f t="shared" si="243"/>
        <v>0</v>
      </c>
    </row>
    <row r="1832" hidden="1">
      <c r="A1832" s="16" t="s">
        <v>2703</v>
      </c>
      <c r="B1832" s="36" t="s">
        <v>328</v>
      </c>
      <c r="C1832" s="18"/>
      <c r="D1832" s="4"/>
      <c r="E1832" s="19">
        <v>0.0</v>
      </c>
      <c r="F1832" s="19">
        <v>0.0</v>
      </c>
      <c r="G1832" s="16" t="s">
        <v>93</v>
      </c>
      <c r="H1832" s="21"/>
      <c r="I1832" s="22">
        <v>1.0</v>
      </c>
      <c r="J1832" s="29"/>
      <c r="K1832" s="43">
        <v>23000.0</v>
      </c>
      <c r="L1832" s="44">
        <v>28000.0</v>
      </c>
      <c r="M1832" s="25"/>
      <c r="N1832" s="69"/>
      <c r="O1832" s="27">
        <f t="shared" si="242"/>
        <v>0.2173913043</v>
      </c>
      <c r="P1832" s="28">
        <f t="shared" si="243"/>
        <v>0</v>
      </c>
    </row>
    <row r="1833" hidden="1">
      <c r="A1833" s="52" t="s">
        <v>2704</v>
      </c>
      <c r="B1833" s="36"/>
      <c r="C1833" s="18" t="s">
        <v>1200</v>
      </c>
      <c r="D1833" s="4"/>
      <c r="E1833" s="19"/>
      <c r="F1833" s="19"/>
      <c r="G1833" s="16" t="s">
        <v>2705</v>
      </c>
      <c r="H1833" s="21">
        <v>0.0</v>
      </c>
      <c r="I1833" s="22"/>
      <c r="J1833" s="23"/>
      <c r="K1833" s="24">
        <v>20825.0</v>
      </c>
      <c r="L1833" s="24">
        <v>27000.0</v>
      </c>
      <c r="M1833" s="25">
        <v>1.19</v>
      </c>
      <c r="N1833" s="70">
        <v>25000.0</v>
      </c>
      <c r="O1833" s="27">
        <f t="shared" si="242"/>
        <v>0.2965186074</v>
      </c>
      <c r="P1833" s="28">
        <f t="shared" si="243"/>
        <v>0</v>
      </c>
    </row>
    <row r="1834" hidden="1">
      <c r="A1834" s="52" t="s">
        <v>2706</v>
      </c>
      <c r="B1834" s="36"/>
      <c r="C1834" s="38"/>
      <c r="D1834" s="4"/>
      <c r="E1834" s="19"/>
      <c r="F1834" s="19"/>
      <c r="G1834" s="16" t="s">
        <v>88</v>
      </c>
      <c r="H1834" s="21"/>
      <c r="I1834" s="22">
        <v>18.0</v>
      </c>
      <c r="J1834" s="29"/>
      <c r="K1834" s="48">
        <v>8706.0</v>
      </c>
      <c r="L1834" s="48">
        <v>12000.0</v>
      </c>
      <c r="M1834" s="25"/>
      <c r="N1834" s="26"/>
      <c r="O1834" s="27">
        <f t="shared" si="242"/>
        <v>0.3783597519</v>
      </c>
      <c r="P1834" s="28">
        <f t="shared" si="243"/>
        <v>0</v>
      </c>
    </row>
    <row r="1835" hidden="1">
      <c r="A1835" s="16" t="s">
        <v>2707</v>
      </c>
      <c r="B1835" s="157"/>
      <c r="C1835" s="18"/>
      <c r="D1835" s="4"/>
      <c r="E1835" s="19">
        <v>0.0</v>
      </c>
      <c r="F1835" s="19">
        <v>3.0</v>
      </c>
      <c r="G1835" s="266" t="s">
        <v>2708</v>
      </c>
      <c r="H1835" s="21"/>
      <c r="I1835" s="22">
        <v>0.0</v>
      </c>
      <c r="J1835" s="23"/>
      <c r="K1835" s="55">
        <v>3700.0</v>
      </c>
      <c r="L1835" s="55">
        <v>8000.0</v>
      </c>
      <c r="M1835" s="25"/>
      <c r="N1835" s="31"/>
      <c r="O1835" s="27">
        <f t="shared" si="242"/>
        <v>1.162162162</v>
      </c>
      <c r="P1835" s="28">
        <f t="shared" si="243"/>
        <v>11100</v>
      </c>
    </row>
    <row r="1836" hidden="1">
      <c r="A1836" s="16" t="s">
        <v>2709</v>
      </c>
      <c r="B1836" s="157"/>
      <c r="C1836" s="18"/>
      <c r="D1836" s="4"/>
      <c r="E1836" s="19"/>
      <c r="F1836" s="19"/>
      <c r="G1836" s="266" t="s">
        <v>2710</v>
      </c>
      <c r="H1836" s="21"/>
      <c r="I1836" s="22"/>
      <c r="J1836" s="23"/>
      <c r="K1836" s="55">
        <v>23300.0</v>
      </c>
      <c r="L1836" s="55">
        <v>32000.0</v>
      </c>
      <c r="M1836" s="25"/>
      <c r="N1836" s="31"/>
      <c r="O1836" s="27">
        <f t="shared" si="242"/>
        <v>0.3733905579</v>
      </c>
      <c r="P1836" s="28">
        <f t="shared" si="243"/>
        <v>0</v>
      </c>
    </row>
    <row r="1837" hidden="1">
      <c r="A1837" s="52" t="s">
        <v>2711</v>
      </c>
      <c r="B1837" s="36"/>
      <c r="C1837" s="18"/>
      <c r="D1837" s="4"/>
      <c r="E1837" s="19">
        <v>0.0</v>
      </c>
      <c r="F1837" s="19">
        <v>0.0</v>
      </c>
      <c r="G1837" s="16" t="s">
        <v>437</v>
      </c>
      <c r="H1837" s="21"/>
      <c r="I1837" s="22">
        <v>50.0</v>
      </c>
      <c r="J1837" s="29"/>
      <c r="K1837" s="43">
        <v>1100.0</v>
      </c>
      <c r="L1837" s="44">
        <v>2000.0</v>
      </c>
      <c r="M1837" s="25"/>
      <c r="N1837" s="70"/>
      <c r="O1837" s="27">
        <f t="shared" si="242"/>
        <v>0.8181818182</v>
      </c>
      <c r="P1837" s="28">
        <f t="shared" si="243"/>
        <v>0</v>
      </c>
    </row>
    <row r="1838" hidden="1">
      <c r="A1838" s="16" t="s">
        <v>2712</v>
      </c>
      <c r="B1838" s="17"/>
      <c r="C1838" s="18"/>
      <c r="D1838" s="66"/>
      <c r="E1838" s="19">
        <v>0.0</v>
      </c>
      <c r="F1838" s="19">
        <v>0.0</v>
      </c>
      <c r="G1838" s="16" t="s">
        <v>1935</v>
      </c>
      <c r="H1838" s="21"/>
      <c r="I1838" s="22">
        <v>7.0</v>
      </c>
      <c r="J1838" s="23"/>
      <c r="K1838" s="24">
        <f>2014*0.91*1.19</f>
        <v>2180.9606</v>
      </c>
      <c r="L1838" s="24">
        <v>3000.0</v>
      </c>
      <c r="M1838" s="25"/>
      <c r="N1838" s="70"/>
      <c r="O1838" s="27">
        <f t="shared" si="242"/>
        <v>0.3755406677</v>
      </c>
      <c r="P1838" s="28" t="str">
        <f>K1838*#REF!</f>
        <v>#REF!</v>
      </c>
    </row>
    <row r="1839" hidden="1">
      <c r="A1839" s="119" t="s">
        <v>2713</v>
      </c>
      <c r="B1839" s="17"/>
      <c r="C1839" s="18"/>
      <c r="D1839" s="4"/>
      <c r="E1839" s="19">
        <v>0.0</v>
      </c>
      <c r="F1839" s="19"/>
      <c r="G1839" s="16" t="s">
        <v>57</v>
      </c>
      <c r="H1839" s="73"/>
      <c r="I1839" s="22"/>
      <c r="J1839" s="74"/>
      <c r="K1839" s="75">
        <v>170000.0</v>
      </c>
      <c r="L1839" s="44">
        <v>210000.0</v>
      </c>
      <c r="M1839" s="25"/>
      <c r="N1839" s="31"/>
      <c r="O1839" s="27">
        <f t="shared" si="242"/>
        <v>0.2352941176</v>
      </c>
      <c r="P1839" s="28">
        <f t="shared" ref="P1839:P1842" si="244">K1839*F1839</f>
        <v>0</v>
      </c>
    </row>
    <row r="1840" hidden="1">
      <c r="A1840" s="52" t="s">
        <v>2714</v>
      </c>
      <c r="B1840" s="17" t="s">
        <v>2715</v>
      </c>
      <c r="C1840" s="18"/>
      <c r="D1840" s="19"/>
      <c r="E1840" s="19">
        <v>0.0</v>
      </c>
      <c r="F1840" s="19"/>
      <c r="G1840" s="16" t="s">
        <v>2716</v>
      </c>
      <c r="H1840" s="21"/>
      <c r="I1840" s="22"/>
      <c r="J1840" s="23"/>
      <c r="K1840" s="24">
        <f>18000*1.19/6</f>
        <v>3570</v>
      </c>
      <c r="L1840" s="24">
        <v>5000.0</v>
      </c>
      <c r="M1840" s="25"/>
      <c r="N1840" s="70"/>
      <c r="O1840" s="27">
        <f t="shared" si="242"/>
        <v>0.4005602241</v>
      </c>
      <c r="P1840" s="28">
        <f t="shared" si="244"/>
        <v>0</v>
      </c>
    </row>
    <row r="1841" hidden="1">
      <c r="A1841" s="42" t="s">
        <v>2717</v>
      </c>
      <c r="B1841" s="17"/>
      <c r="C1841" s="18"/>
      <c r="D1841" s="4"/>
      <c r="E1841" s="19">
        <v>0.0</v>
      </c>
      <c r="F1841" s="19">
        <v>0.0</v>
      </c>
      <c r="G1841" s="16" t="s">
        <v>2718</v>
      </c>
      <c r="H1841" s="21"/>
      <c r="I1841" s="22">
        <v>2.0</v>
      </c>
      <c r="J1841" s="23"/>
      <c r="K1841" s="55">
        <v>22688.0</v>
      </c>
      <c r="L1841" s="48">
        <v>32000.0</v>
      </c>
      <c r="M1841" s="25"/>
      <c r="N1841" s="26"/>
      <c r="O1841" s="27">
        <f t="shared" si="242"/>
        <v>0.4104372355</v>
      </c>
      <c r="P1841" s="28">
        <f t="shared" si="244"/>
        <v>0</v>
      </c>
    </row>
    <row r="1842" hidden="1">
      <c r="A1842" s="122" t="s">
        <v>2719</v>
      </c>
      <c r="B1842" s="17"/>
      <c r="C1842" s="18"/>
      <c r="D1842" s="4"/>
      <c r="E1842" s="19">
        <v>0.0</v>
      </c>
      <c r="F1842" s="19">
        <v>0.0</v>
      </c>
      <c r="G1842" s="20" t="s">
        <v>911</v>
      </c>
      <c r="H1842" s="73"/>
      <c r="I1842" s="22"/>
      <c r="J1842" s="74"/>
      <c r="K1842" s="184">
        <v>119.0</v>
      </c>
      <c r="L1842" s="55">
        <v>1000.0</v>
      </c>
      <c r="M1842" s="25"/>
      <c r="N1842" s="31"/>
      <c r="O1842" s="27">
        <f t="shared" si="242"/>
        <v>7.403361345</v>
      </c>
      <c r="P1842" s="28">
        <f t="shared" si="244"/>
        <v>0</v>
      </c>
    </row>
    <row r="1843" hidden="1">
      <c r="A1843" s="42" t="s">
        <v>2720</v>
      </c>
      <c r="B1843" s="71"/>
      <c r="C1843" s="18"/>
      <c r="D1843" s="4"/>
      <c r="E1843" s="19">
        <v>0.0</v>
      </c>
      <c r="F1843" s="19">
        <v>0.0</v>
      </c>
      <c r="G1843" s="16" t="s">
        <v>2721</v>
      </c>
      <c r="H1843" s="21"/>
      <c r="I1843" s="22">
        <v>50.0</v>
      </c>
      <c r="J1843" s="29"/>
      <c r="K1843" s="32">
        <f>83.61+83.61+143+143</f>
        <v>453.22</v>
      </c>
      <c r="L1843" s="24">
        <v>12000.0</v>
      </c>
      <c r="M1843" s="25"/>
      <c r="N1843" s="26"/>
      <c r="O1843" s="27"/>
      <c r="P1843" s="28"/>
    </row>
    <row r="1844" hidden="1">
      <c r="A1844" s="16" t="s">
        <v>2722</v>
      </c>
      <c r="B1844" s="17" t="s">
        <v>2723</v>
      </c>
      <c r="C1844" s="18"/>
      <c r="D1844" s="4"/>
      <c r="E1844" s="19">
        <v>0.0</v>
      </c>
      <c r="F1844" s="19">
        <v>0.0</v>
      </c>
      <c r="G1844" s="16" t="s">
        <v>2724</v>
      </c>
      <c r="H1844" s="21"/>
      <c r="I1844" s="22">
        <v>18.0</v>
      </c>
      <c r="J1844" s="29"/>
      <c r="K1844" s="48">
        <v>900.0</v>
      </c>
      <c r="L1844" s="55">
        <v>2000.0</v>
      </c>
      <c r="M1844" s="25"/>
      <c r="N1844" s="31"/>
      <c r="O1844" s="27">
        <f t="shared" ref="O1844:O1859" si="245">(L1844/K1844)-1</f>
        <v>1.222222222</v>
      </c>
      <c r="P1844" s="28">
        <f t="shared" ref="P1844:P1852" si="246">K1844*F1844</f>
        <v>0</v>
      </c>
    </row>
    <row r="1845" hidden="1">
      <c r="A1845" s="16" t="s">
        <v>2725</v>
      </c>
      <c r="B1845" s="17" t="s">
        <v>2723</v>
      </c>
      <c r="C1845" s="18"/>
      <c r="D1845" s="4"/>
      <c r="E1845" s="19">
        <v>0.0</v>
      </c>
      <c r="F1845" s="19">
        <v>0.0</v>
      </c>
      <c r="G1845" s="16" t="s">
        <v>2726</v>
      </c>
      <c r="H1845" s="21"/>
      <c r="I1845" s="22">
        <v>22.0</v>
      </c>
      <c r="J1845" s="29"/>
      <c r="K1845" s="48">
        <v>900.0</v>
      </c>
      <c r="L1845" s="55">
        <v>2000.0</v>
      </c>
      <c r="M1845" s="25"/>
      <c r="N1845" s="31"/>
      <c r="O1845" s="27">
        <f t="shared" si="245"/>
        <v>1.222222222</v>
      </c>
      <c r="P1845" s="28">
        <f t="shared" si="246"/>
        <v>0</v>
      </c>
    </row>
    <row r="1846" hidden="1">
      <c r="A1846" s="16" t="s">
        <v>2727</v>
      </c>
      <c r="B1846" s="17" t="s">
        <v>2723</v>
      </c>
      <c r="C1846" s="18"/>
      <c r="D1846" s="4"/>
      <c r="E1846" s="19">
        <v>0.0</v>
      </c>
      <c r="F1846" s="19">
        <v>0.0</v>
      </c>
      <c r="G1846" s="16" t="s">
        <v>2726</v>
      </c>
      <c r="H1846" s="21"/>
      <c r="I1846" s="22">
        <v>20.0</v>
      </c>
      <c r="J1846" s="29"/>
      <c r="K1846" s="48">
        <v>900.0</v>
      </c>
      <c r="L1846" s="55">
        <v>2000.0</v>
      </c>
      <c r="M1846" s="25"/>
      <c r="N1846" s="31"/>
      <c r="O1846" s="27">
        <f t="shared" si="245"/>
        <v>1.222222222</v>
      </c>
      <c r="P1846" s="28">
        <f t="shared" si="246"/>
        <v>0</v>
      </c>
    </row>
    <row r="1847" hidden="1">
      <c r="A1847" s="16" t="s">
        <v>2728</v>
      </c>
      <c r="B1847" s="17" t="s">
        <v>2723</v>
      </c>
      <c r="C1847" s="18"/>
      <c r="D1847" s="4"/>
      <c r="E1847" s="19">
        <v>0.0</v>
      </c>
      <c r="F1847" s="19">
        <v>0.0</v>
      </c>
      <c r="G1847" s="16" t="s">
        <v>2726</v>
      </c>
      <c r="H1847" s="21"/>
      <c r="I1847" s="22">
        <v>18.0</v>
      </c>
      <c r="J1847" s="29"/>
      <c r="K1847" s="48">
        <v>900.0</v>
      </c>
      <c r="L1847" s="55">
        <v>2000.0</v>
      </c>
      <c r="M1847" s="25"/>
      <c r="N1847" s="31"/>
      <c r="O1847" s="27">
        <f t="shared" si="245"/>
        <v>1.222222222</v>
      </c>
      <c r="P1847" s="28">
        <f t="shared" si="246"/>
        <v>0</v>
      </c>
    </row>
    <row r="1848" hidden="1">
      <c r="A1848" s="16" t="s">
        <v>2729</v>
      </c>
      <c r="B1848" s="17" t="s">
        <v>2723</v>
      </c>
      <c r="C1848" s="18"/>
      <c r="D1848" s="4"/>
      <c r="E1848" s="19">
        <v>0.0</v>
      </c>
      <c r="F1848" s="19">
        <v>0.0</v>
      </c>
      <c r="G1848" s="16" t="s">
        <v>2726</v>
      </c>
      <c r="H1848" s="21"/>
      <c r="I1848" s="22">
        <v>21.0</v>
      </c>
      <c r="J1848" s="29"/>
      <c r="K1848" s="48">
        <v>900.0</v>
      </c>
      <c r="L1848" s="55">
        <v>2000.0</v>
      </c>
      <c r="M1848" s="25"/>
      <c r="N1848" s="31"/>
      <c r="O1848" s="27">
        <f t="shared" si="245"/>
        <v>1.222222222</v>
      </c>
      <c r="P1848" s="28">
        <f t="shared" si="246"/>
        <v>0</v>
      </c>
    </row>
    <row r="1849" hidden="1">
      <c r="A1849" s="16" t="s">
        <v>2730</v>
      </c>
      <c r="B1849" s="17" t="s">
        <v>2723</v>
      </c>
      <c r="C1849" s="18"/>
      <c r="D1849" s="4"/>
      <c r="E1849" s="19">
        <v>0.0</v>
      </c>
      <c r="F1849" s="19">
        <v>0.0</v>
      </c>
      <c r="G1849" s="16" t="s">
        <v>2726</v>
      </c>
      <c r="H1849" s="21"/>
      <c r="I1849" s="22">
        <v>20.0</v>
      </c>
      <c r="J1849" s="29"/>
      <c r="K1849" s="48">
        <v>900.0</v>
      </c>
      <c r="L1849" s="55">
        <v>2000.0</v>
      </c>
      <c r="M1849" s="25"/>
      <c r="N1849" s="31"/>
      <c r="O1849" s="27">
        <f t="shared" si="245"/>
        <v>1.222222222</v>
      </c>
      <c r="P1849" s="28">
        <f t="shared" si="246"/>
        <v>0</v>
      </c>
    </row>
    <row r="1850" hidden="1">
      <c r="A1850" s="16" t="s">
        <v>2731</v>
      </c>
      <c r="B1850" s="17" t="s">
        <v>2723</v>
      </c>
      <c r="C1850" s="18"/>
      <c r="D1850" s="4"/>
      <c r="E1850" s="19">
        <v>0.0</v>
      </c>
      <c r="F1850" s="19">
        <v>0.0</v>
      </c>
      <c r="G1850" s="16" t="s">
        <v>2726</v>
      </c>
      <c r="H1850" s="21"/>
      <c r="I1850" s="22">
        <v>27.0</v>
      </c>
      <c r="J1850" s="29"/>
      <c r="K1850" s="48">
        <v>900.0</v>
      </c>
      <c r="L1850" s="55">
        <v>2000.0</v>
      </c>
      <c r="M1850" s="25"/>
      <c r="N1850" s="31"/>
      <c r="O1850" s="27">
        <f t="shared" si="245"/>
        <v>1.222222222</v>
      </c>
      <c r="P1850" s="28">
        <f t="shared" si="246"/>
        <v>0</v>
      </c>
    </row>
    <row r="1851" hidden="1">
      <c r="A1851" s="16" t="s">
        <v>2732</v>
      </c>
      <c r="B1851" s="17" t="s">
        <v>2723</v>
      </c>
      <c r="C1851" s="18"/>
      <c r="D1851" s="4"/>
      <c r="E1851" s="19">
        <v>0.0</v>
      </c>
      <c r="F1851" s="19">
        <v>0.0</v>
      </c>
      <c r="G1851" s="16" t="s">
        <v>2726</v>
      </c>
      <c r="H1851" s="21"/>
      <c r="I1851" s="22">
        <v>22.0</v>
      </c>
      <c r="J1851" s="29"/>
      <c r="K1851" s="48">
        <v>900.0</v>
      </c>
      <c r="L1851" s="55">
        <v>2000.0</v>
      </c>
      <c r="M1851" s="25"/>
      <c r="N1851" s="31"/>
      <c r="O1851" s="27">
        <f t="shared" si="245"/>
        <v>1.222222222</v>
      </c>
      <c r="P1851" s="28">
        <f t="shared" si="246"/>
        <v>0</v>
      </c>
    </row>
    <row r="1852" hidden="1">
      <c r="A1852" s="59" t="s">
        <v>2733</v>
      </c>
      <c r="B1852" s="17"/>
      <c r="C1852" s="18"/>
      <c r="D1852" s="4"/>
      <c r="E1852" s="19">
        <v>0.0</v>
      </c>
      <c r="F1852" s="19"/>
      <c r="G1852" s="16" t="s">
        <v>57</v>
      </c>
      <c r="H1852" s="21"/>
      <c r="I1852" s="22"/>
      <c r="J1852" s="29"/>
      <c r="K1852" s="43">
        <v>5000.0</v>
      </c>
      <c r="L1852" s="44">
        <v>15000.0</v>
      </c>
      <c r="M1852" s="25"/>
      <c r="N1852" s="31"/>
      <c r="O1852" s="27">
        <f t="shared" si="245"/>
        <v>2</v>
      </c>
      <c r="P1852" s="28">
        <f t="shared" si="246"/>
        <v>0</v>
      </c>
    </row>
    <row r="1853" hidden="1">
      <c r="A1853" s="16" t="s">
        <v>2734</v>
      </c>
      <c r="B1853" s="134"/>
      <c r="C1853" s="18"/>
      <c r="D1853" s="154"/>
      <c r="E1853" s="19">
        <v>0.0</v>
      </c>
      <c r="F1853" s="19">
        <v>0.0</v>
      </c>
      <c r="G1853" s="16" t="s">
        <v>2735</v>
      </c>
      <c r="H1853" s="21"/>
      <c r="I1853" s="22" t="s">
        <v>2736</v>
      </c>
      <c r="J1853" s="29"/>
      <c r="K1853" s="32">
        <f>83720/10/6</f>
        <v>1395.333333</v>
      </c>
      <c r="L1853" s="48">
        <v>3500.0</v>
      </c>
      <c r="M1853" s="25"/>
      <c r="N1853" s="69"/>
      <c r="O1853" s="27">
        <f t="shared" si="245"/>
        <v>1.508361204</v>
      </c>
      <c r="P1853" s="28" t="str">
        <f>K1853*#REF!</f>
        <v>#REF!</v>
      </c>
    </row>
    <row r="1854" hidden="1">
      <c r="A1854" s="16" t="s">
        <v>2737</v>
      </c>
      <c r="B1854" s="17"/>
      <c r="C1854" s="18"/>
      <c r="D1854" s="4"/>
      <c r="E1854" s="19">
        <v>0.0</v>
      </c>
      <c r="F1854" s="19"/>
      <c r="G1854" s="16" t="s">
        <v>767</v>
      </c>
      <c r="H1854" s="21"/>
      <c r="I1854" s="22"/>
      <c r="J1854" s="29"/>
      <c r="K1854" s="43">
        <v>1.0</v>
      </c>
      <c r="L1854" s="44">
        <v>1.0</v>
      </c>
      <c r="M1854" s="25"/>
      <c r="N1854" s="31"/>
      <c r="O1854" s="27">
        <f t="shared" si="245"/>
        <v>0</v>
      </c>
      <c r="P1854" s="28">
        <f t="shared" ref="P1854:P1859" si="247">K1854*F1854</f>
        <v>0</v>
      </c>
    </row>
    <row r="1855" hidden="1">
      <c r="A1855" s="42" t="s">
        <v>2738</v>
      </c>
      <c r="B1855" s="114" t="s">
        <v>2739</v>
      </c>
      <c r="C1855" s="18"/>
      <c r="D1855" s="4"/>
      <c r="E1855" s="19">
        <v>0.0</v>
      </c>
      <c r="F1855" s="19">
        <v>0.0</v>
      </c>
      <c r="G1855" s="16" t="s">
        <v>1400</v>
      </c>
      <c r="H1855" s="21"/>
      <c r="I1855" s="22">
        <v>0.0</v>
      </c>
      <c r="J1855" s="23"/>
      <c r="K1855" s="55">
        <v>221900.0</v>
      </c>
      <c r="L1855" s="55">
        <v>280000.0</v>
      </c>
      <c r="M1855" s="25"/>
      <c r="N1855" s="26"/>
      <c r="O1855" s="27">
        <f t="shared" si="245"/>
        <v>0.261829653</v>
      </c>
      <c r="P1855" s="28">
        <f t="shared" si="247"/>
        <v>0</v>
      </c>
    </row>
    <row r="1856" hidden="1">
      <c r="A1856" s="42" t="s">
        <v>2740</v>
      </c>
      <c r="B1856" s="114" t="s">
        <v>2739</v>
      </c>
      <c r="C1856" s="18"/>
      <c r="D1856" s="4"/>
      <c r="E1856" s="19">
        <v>0.0</v>
      </c>
      <c r="F1856" s="19">
        <v>2.0</v>
      </c>
      <c r="G1856" s="16" t="s">
        <v>1400</v>
      </c>
      <c r="H1856" s="21"/>
      <c r="I1856" s="22">
        <v>0.0</v>
      </c>
      <c r="J1856" s="58">
        <v>46661.0</v>
      </c>
      <c r="K1856" s="55">
        <v>221900.0</v>
      </c>
      <c r="L1856" s="55">
        <v>280000.0</v>
      </c>
      <c r="M1856" s="25"/>
      <c r="N1856" s="26"/>
      <c r="O1856" s="27">
        <f t="shared" si="245"/>
        <v>0.261829653</v>
      </c>
      <c r="P1856" s="28">
        <f t="shared" si="247"/>
        <v>443800</v>
      </c>
    </row>
    <row r="1857" hidden="1">
      <c r="A1857" s="42" t="s">
        <v>2741</v>
      </c>
      <c r="B1857" s="114" t="s">
        <v>2739</v>
      </c>
      <c r="C1857" s="18"/>
      <c r="D1857" s="4"/>
      <c r="E1857" s="19">
        <v>0.0</v>
      </c>
      <c r="F1857" s="19">
        <v>2.0</v>
      </c>
      <c r="G1857" s="16" t="s">
        <v>1400</v>
      </c>
      <c r="H1857" s="21"/>
      <c r="I1857" s="22">
        <v>0.0</v>
      </c>
      <c r="J1857" s="23"/>
      <c r="K1857" s="55">
        <v>221900.0</v>
      </c>
      <c r="L1857" s="55">
        <v>280000.0</v>
      </c>
      <c r="M1857" s="25"/>
      <c r="N1857" s="50">
        <v>220000.0</v>
      </c>
      <c r="O1857" s="27">
        <f t="shared" si="245"/>
        <v>0.261829653</v>
      </c>
      <c r="P1857" s="28">
        <f t="shared" si="247"/>
        <v>443800</v>
      </c>
    </row>
    <row r="1858" hidden="1">
      <c r="A1858" s="42" t="s">
        <v>2742</v>
      </c>
      <c r="B1858" s="114" t="s">
        <v>2743</v>
      </c>
      <c r="C1858" s="18"/>
      <c r="D1858" s="4"/>
      <c r="E1858" s="19">
        <v>0.0</v>
      </c>
      <c r="F1858" s="19">
        <v>0.0</v>
      </c>
      <c r="G1858" s="16" t="s">
        <v>1400</v>
      </c>
      <c r="H1858" s="21"/>
      <c r="I1858" s="22">
        <v>2.0</v>
      </c>
      <c r="J1858" s="58">
        <v>45992.0</v>
      </c>
      <c r="K1858" s="55">
        <v>162500.0</v>
      </c>
      <c r="L1858" s="55">
        <v>230000.0</v>
      </c>
      <c r="M1858" s="25"/>
      <c r="N1858" s="50">
        <v>220000.0</v>
      </c>
      <c r="O1858" s="27">
        <f t="shared" si="245"/>
        <v>0.4153846154</v>
      </c>
      <c r="P1858" s="28">
        <f t="shared" si="247"/>
        <v>0</v>
      </c>
    </row>
    <row r="1859" hidden="1">
      <c r="A1859" s="42" t="s">
        <v>2744</v>
      </c>
      <c r="B1859" s="71"/>
      <c r="C1859" s="18"/>
      <c r="D1859" s="4"/>
      <c r="E1859" s="19">
        <v>0.0</v>
      </c>
      <c r="F1859" s="19">
        <v>0.0</v>
      </c>
      <c r="G1859" s="16" t="s">
        <v>1400</v>
      </c>
      <c r="H1859" s="21"/>
      <c r="I1859" s="22">
        <v>1.0</v>
      </c>
      <c r="J1859" s="47">
        <v>45901.0</v>
      </c>
      <c r="K1859" s="55">
        <v>162500.0</v>
      </c>
      <c r="L1859" s="55">
        <v>230000.0</v>
      </c>
      <c r="M1859" s="25"/>
      <c r="N1859" s="50">
        <v>220000.0</v>
      </c>
      <c r="O1859" s="27">
        <f t="shared" si="245"/>
        <v>0.4153846154</v>
      </c>
      <c r="P1859" s="28">
        <f t="shared" si="247"/>
        <v>0</v>
      </c>
    </row>
    <row r="1860" hidden="1">
      <c r="A1860" s="42" t="s">
        <v>2745</v>
      </c>
      <c r="B1860" s="71"/>
      <c r="C1860" s="18"/>
      <c r="D1860" s="4"/>
      <c r="E1860" s="19">
        <v>0.0</v>
      </c>
      <c r="F1860" s="19">
        <v>0.0</v>
      </c>
      <c r="G1860" s="16" t="s">
        <v>1400</v>
      </c>
      <c r="H1860" s="21"/>
      <c r="I1860" s="22">
        <v>0.0</v>
      </c>
      <c r="J1860" s="23"/>
      <c r="K1860" s="55">
        <v>162500.0</v>
      </c>
      <c r="L1860" s="55">
        <v>230000.0</v>
      </c>
      <c r="M1860" s="25"/>
      <c r="N1860" s="31"/>
      <c r="O1860" s="27"/>
      <c r="P1860" s="28"/>
    </row>
    <row r="1861" hidden="1">
      <c r="A1861" s="42" t="s">
        <v>2746</v>
      </c>
      <c r="B1861" s="36"/>
      <c r="C1861" s="18"/>
      <c r="D1861" s="4"/>
      <c r="E1861" s="19">
        <v>0.0</v>
      </c>
      <c r="F1861" s="19"/>
      <c r="G1861" s="16" t="s">
        <v>625</v>
      </c>
      <c r="H1861" s="21"/>
      <c r="I1861" s="22"/>
      <c r="J1861" s="29"/>
      <c r="K1861" s="43">
        <v>1.0</v>
      </c>
      <c r="L1861" s="43">
        <v>1.0</v>
      </c>
      <c r="M1861" s="25"/>
      <c r="N1861" s="26"/>
      <c r="O1861" s="27">
        <f t="shared" ref="O1861:O1863" si="248">(L1861/K1861)-1</f>
        <v>0</v>
      </c>
      <c r="P1861" s="28">
        <f t="shared" ref="P1861:P1881" si="249">K1861*F1861</f>
        <v>0</v>
      </c>
    </row>
    <row r="1862" hidden="1">
      <c r="A1862" s="42" t="s">
        <v>2746</v>
      </c>
      <c r="B1862" s="36"/>
      <c r="C1862" s="18"/>
      <c r="D1862" s="4"/>
      <c r="E1862" s="19">
        <v>0.0</v>
      </c>
      <c r="F1862" s="19"/>
      <c r="G1862" s="16" t="s">
        <v>39</v>
      </c>
      <c r="H1862" s="21"/>
      <c r="I1862" s="22"/>
      <c r="J1862" s="29"/>
      <c r="K1862" s="43">
        <v>1.0</v>
      </c>
      <c r="L1862" s="43">
        <v>1.0</v>
      </c>
      <c r="M1862" s="25"/>
      <c r="N1862" s="26"/>
      <c r="O1862" s="27">
        <f t="shared" si="248"/>
        <v>0</v>
      </c>
      <c r="P1862" s="28">
        <f t="shared" si="249"/>
        <v>0</v>
      </c>
    </row>
    <row r="1863" hidden="1">
      <c r="A1863" s="42" t="s">
        <v>2747</v>
      </c>
      <c r="B1863" s="36"/>
      <c r="C1863" s="18"/>
      <c r="D1863" s="4"/>
      <c r="E1863" s="19">
        <v>0.0</v>
      </c>
      <c r="F1863" s="19"/>
      <c r="G1863" s="16" t="s">
        <v>39</v>
      </c>
      <c r="H1863" s="21"/>
      <c r="I1863" s="22"/>
      <c r="J1863" s="29"/>
      <c r="K1863" s="43">
        <v>6000.0</v>
      </c>
      <c r="L1863" s="44">
        <v>1000.0</v>
      </c>
      <c r="M1863" s="25"/>
      <c r="N1863" s="26"/>
      <c r="O1863" s="27">
        <f t="shared" si="248"/>
        <v>-0.8333333333</v>
      </c>
      <c r="P1863" s="28">
        <f t="shared" si="249"/>
        <v>0</v>
      </c>
    </row>
    <row r="1864" hidden="1">
      <c r="A1864" s="122" t="s">
        <v>2748</v>
      </c>
      <c r="B1864" s="36"/>
      <c r="C1864" s="18"/>
      <c r="D1864" s="4"/>
      <c r="E1864" s="19">
        <v>0.0</v>
      </c>
      <c r="F1864" s="19"/>
      <c r="G1864" s="16" t="s">
        <v>2749</v>
      </c>
      <c r="H1864" s="21"/>
      <c r="I1864" s="22"/>
      <c r="J1864" s="29"/>
      <c r="K1864" s="43">
        <f>24370*1.19</f>
        <v>29000.3</v>
      </c>
      <c r="L1864" s="44">
        <v>30000.0</v>
      </c>
      <c r="M1864" s="25"/>
      <c r="N1864" s="39"/>
      <c r="O1864" s="147" t="s">
        <v>611</v>
      </c>
      <c r="P1864" s="28">
        <f t="shared" si="249"/>
        <v>0</v>
      </c>
    </row>
    <row r="1865" hidden="1">
      <c r="A1865" s="42" t="s">
        <v>2750</v>
      </c>
      <c r="B1865" s="36"/>
      <c r="C1865" s="18"/>
      <c r="D1865" s="4"/>
      <c r="E1865" s="19">
        <v>0.0</v>
      </c>
      <c r="F1865" s="19"/>
      <c r="G1865" s="16" t="s">
        <v>2749</v>
      </c>
      <c r="H1865" s="21"/>
      <c r="I1865" s="22"/>
      <c r="J1865" s="29"/>
      <c r="K1865" s="43">
        <v>1250.0</v>
      </c>
      <c r="L1865" s="44">
        <v>2000.0</v>
      </c>
      <c r="M1865" s="25"/>
      <c r="N1865" s="26"/>
      <c r="O1865" s="27">
        <f t="shared" ref="O1865:O1881" si="250">(L1865/K1865)-1</f>
        <v>0.6</v>
      </c>
      <c r="P1865" s="28">
        <f t="shared" si="249"/>
        <v>0</v>
      </c>
    </row>
    <row r="1866" hidden="1">
      <c r="A1866" s="42" t="s">
        <v>2751</v>
      </c>
      <c r="B1866" s="71"/>
      <c r="C1866" s="18"/>
      <c r="D1866" s="4"/>
      <c r="E1866" s="19">
        <v>0.0</v>
      </c>
      <c r="F1866" s="19"/>
      <c r="G1866" s="20" t="s">
        <v>291</v>
      </c>
      <c r="H1866" s="21"/>
      <c r="I1866" s="22"/>
      <c r="J1866" s="29"/>
      <c r="K1866" s="32">
        <v>900.0</v>
      </c>
      <c r="L1866" s="24">
        <v>1500.0</v>
      </c>
      <c r="M1866" s="25"/>
      <c r="N1866" s="50"/>
      <c r="O1866" s="27">
        <f t="shared" si="250"/>
        <v>0.6666666667</v>
      </c>
      <c r="P1866" s="28">
        <f t="shared" si="249"/>
        <v>0</v>
      </c>
    </row>
    <row r="1867" hidden="1">
      <c r="A1867" s="52" t="s">
        <v>2752</v>
      </c>
      <c r="B1867" s="17" t="s">
        <v>2753</v>
      </c>
      <c r="C1867" s="38"/>
      <c r="D1867" s="4" t="s">
        <v>2754</v>
      </c>
      <c r="E1867" s="19">
        <v>0.0</v>
      </c>
      <c r="F1867" s="19">
        <v>20.0</v>
      </c>
      <c r="G1867" s="16" t="s">
        <v>2755</v>
      </c>
      <c r="H1867" s="21"/>
      <c r="I1867" s="22">
        <v>17.0</v>
      </c>
      <c r="J1867" s="23"/>
      <c r="K1867" s="55">
        <v>2501.0</v>
      </c>
      <c r="L1867" s="55">
        <v>5000.0</v>
      </c>
      <c r="M1867" s="25"/>
      <c r="N1867" s="70"/>
      <c r="O1867" s="27">
        <f t="shared" si="250"/>
        <v>0.9992003199</v>
      </c>
      <c r="P1867" s="28">
        <f t="shared" si="249"/>
        <v>50020</v>
      </c>
    </row>
    <row r="1868" hidden="1">
      <c r="A1868" s="122" t="s">
        <v>2756</v>
      </c>
      <c r="B1868" s="51"/>
      <c r="C1868" s="18"/>
      <c r="D1868" s="4"/>
      <c r="E1868" s="19">
        <v>0.0</v>
      </c>
      <c r="F1868" s="19"/>
      <c r="G1868" s="16" t="s">
        <v>2757</v>
      </c>
      <c r="H1868" s="21"/>
      <c r="I1868" s="22"/>
      <c r="J1868" s="23"/>
      <c r="K1868" s="44">
        <v>1550.0</v>
      </c>
      <c r="L1868" s="44">
        <v>8000.0</v>
      </c>
      <c r="M1868" s="25"/>
      <c r="N1868" s="26"/>
      <c r="O1868" s="27">
        <f t="shared" si="250"/>
        <v>4.161290323</v>
      </c>
      <c r="P1868" s="28">
        <f t="shared" si="249"/>
        <v>0</v>
      </c>
    </row>
    <row r="1869" hidden="1">
      <c r="A1869" s="52" t="s">
        <v>2758</v>
      </c>
      <c r="B1869" s="17" t="s">
        <v>2759</v>
      </c>
      <c r="C1869" s="38"/>
      <c r="D1869" s="4" t="s">
        <v>2754</v>
      </c>
      <c r="E1869" s="19">
        <v>0.0</v>
      </c>
      <c r="F1869" s="19">
        <v>20.0</v>
      </c>
      <c r="G1869" s="16" t="s">
        <v>2755</v>
      </c>
      <c r="H1869" s="21"/>
      <c r="I1869" s="22">
        <v>50.0</v>
      </c>
      <c r="J1869" s="23"/>
      <c r="K1869" s="55">
        <v>2261.0</v>
      </c>
      <c r="L1869" s="55">
        <v>4000.0</v>
      </c>
      <c r="M1869" s="25"/>
      <c r="N1869" s="50">
        <v>3000.0</v>
      </c>
      <c r="O1869" s="27">
        <f t="shared" si="250"/>
        <v>0.7691287041</v>
      </c>
      <c r="P1869" s="28">
        <f t="shared" si="249"/>
        <v>45220</v>
      </c>
    </row>
    <row r="1870" hidden="1">
      <c r="A1870" s="40" t="s">
        <v>2760</v>
      </c>
      <c r="B1870" s="17"/>
      <c r="C1870" s="18"/>
      <c r="D1870" s="4"/>
      <c r="E1870" s="19">
        <v>0.0</v>
      </c>
      <c r="F1870" s="19">
        <v>0.0</v>
      </c>
      <c r="G1870" s="16" t="s">
        <v>1935</v>
      </c>
      <c r="H1870" s="21"/>
      <c r="I1870" s="22" t="s">
        <v>99</v>
      </c>
      <c r="J1870" s="29"/>
      <c r="K1870" s="43">
        <v>1359.0</v>
      </c>
      <c r="L1870" s="44">
        <v>2500.0</v>
      </c>
      <c r="M1870" s="25"/>
      <c r="N1870" s="31"/>
      <c r="O1870" s="27">
        <f t="shared" si="250"/>
        <v>0.8395879323</v>
      </c>
      <c r="P1870" s="28">
        <f t="shared" si="249"/>
        <v>0</v>
      </c>
    </row>
    <row r="1871" hidden="1">
      <c r="A1871" s="16" t="s">
        <v>2761</v>
      </c>
      <c r="B1871" s="36"/>
      <c r="C1871" s="18"/>
      <c r="D1871" s="4"/>
      <c r="E1871" s="19">
        <v>0.0</v>
      </c>
      <c r="F1871" s="19"/>
      <c r="G1871" s="16" t="s">
        <v>2762</v>
      </c>
      <c r="H1871" s="21"/>
      <c r="I1871" s="22"/>
      <c r="J1871" s="29"/>
      <c r="K1871" s="43">
        <f>(208000/80)/50*20</f>
        <v>1040</v>
      </c>
      <c r="L1871" s="44">
        <v>3000.0</v>
      </c>
      <c r="M1871" s="25"/>
      <c r="N1871" s="26"/>
      <c r="O1871" s="27">
        <f t="shared" si="250"/>
        <v>1.884615385</v>
      </c>
      <c r="P1871" s="28">
        <f t="shared" si="249"/>
        <v>0</v>
      </c>
    </row>
    <row r="1872" hidden="1">
      <c r="A1872" s="16" t="s">
        <v>2763</v>
      </c>
      <c r="B1872" s="36"/>
      <c r="C1872" s="18"/>
      <c r="D1872" s="4"/>
      <c r="E1872" s="19">
        <v>0.0</v>
      </c>
      <c r="F1872" s="19">
        <v>0.0</v>
      </c>
      <c r="G1872" s="16" t="s">
        <v>590</v>
      </c>
      <c r="H1872" s="21">
        <v>0.0</v>
      </c>
      <c r="I1872" s="22">
        <v>5.0</v>
      </c>
      <c r="J1872" s="29"/>
      <c r="K1872" s="43">
        <v>4000.0</v>
      </c>
      <c r="L1872" s="44">
        <v>6000.0</v>
      </c>
      <c r="M1872" s="25"/>
      <c r="N1872" s="26"/>
      <c r="O1872" s="27">
        <f t="shared" si="250"/>
        <v>0.5</v>
      </c>
      <c r="P1872" s="28">
        <f t="shared" si="249"/>
        <v>0</v>
      </c>
    </row>
    <row r="1873" hidden="1">
      <c r="A1873" s="59" t="s">
        <v>2764</v>
      </c>
      <c r="B1873" s="49"/>
      <c r="C1873" s="18"/>
      <c r="D1873" s="4"/>
      <c r="E1873" s="19">
        <v>0.0</v>
      </c>
      <c r="F1873" s="19"/>
      <c r="G1873" s="16" t="s">
        <v>2765</v>
      </c>
      <c r="H1873" s="21"/>
      <c r="I1873" s="22"/>
      <c r="J1873" s="29"/>
      <c r="K1873" s="43">
        <v>5000.0</v>
      </c>
      <c r="L1873" s="44">
        <v>10000.0</v>
      </c>
      <c r="M1873" s="25"/>
      <c r="N1873" s="31"/>
      <c r="O1873" s="27">
        <f t="shared" si="250"/>
        <v>1</v>
      </c>
      <c r="P1873" s="28">
        <f t="shared" si="249"/>
        <v>0</v>
      </c>
    </row>
    <row r="1874" hidden="1">
      <c r="A1874" s="59" t="s">
        <v>2766</v>
      </c>
      <c r="B1874" s="49"/>
      <c r="C1874" s="18"/>
      <c r="D1874" s="4"/>
      <c r="E1874" s="19">
        <v>0.0</v>
      </c>
      <c r="F1874" s="19"/>
      <c r="G1874" s="16" t="s">
        <v>2765</v>
      </c>
      <c r="H1874" s="21"/>
      <c r="I1874" s="22"/>
      <c r="J1874" s="29"/>
      <c r="K1874" s="43">
        <v>5000.0</v>
      </c>
      <c r="L1874" s="44">
        <v>8000.0</v>
      </c>
      <c r="M1874" s="25"/>
      <c r="N1874" s="26"/>
      <c r="O1874" s="27">
        <f t="shared" si="250"/>
        <v>0.6</v>
      </c>
      <c r="P1874" s="28">
        <f t="shared" si="249"/>
        <v>0</v>
      </c>
    </row>
    <row r="1875" hidden="1">
      <c r="A1875" s="16" t="s">
        <v>2767</v>
      </c>
      <c r="B1875" s="36"/>
      <c r="C1875" s="18"/>
      <c r="D1875" s="4"/>
      <c r="E1875" s="19">
        <v>0.0</v>
      </c>
      <c r="F1875" s="19">
        <v>0.0</v>
      </c>
      <c r="G1875" s="16" t="s">
        <v>84</v>
      </c>
      <c r="H1875" s="21"/>
      <c r="I1875" s="22"/>
      <c r="J1875" s="29"/>
      <c r="K1875" s="43">
        <v>11520.0</v>
      </c>
      <c r="L1875" s="44">
        <v>20000.0</v>
      </c>
      <c r="M1875" s="25"/>
      <c r="N1875" s="31"/>
      <c r="O1875" s="27">
        <f t="shared" si="250"/>
        <v>0.7361111111</v>
      </c>
      <c r="P1875" s="28">
        <f t="shared" si="249"/>
        <v>0</v>
      </c>
    </row>
    <row r="1876" hidden="1">
      <c r="A1876" s="122" t="s">
        <v>2768</v>
      </c>
      <c r="B1876" s="17">
        <v>249003.0</v>
      </c>
      <c r="C1876" s="18" t="s">
        <v>2769</v>
      </c>
      <c r="D1876" s="67"/>
      <c r="E1876" s="19">
        <v>60.0</v>
      </c>
      <c r="F1876" s="19">
        <v>40.0</v>
      </c>
      <c r="G1876" s="16" t="s">
        <v>2770</v>
      </c>
      <c r="H1876" s="21"/>
      <c r="I1876" s="22"/>
      <c r="J1876" s="29"/>
      <c r="K1876" s="32">
        <v>3484.0</v>
      </c>
      <c r="L1876" s="24">
        <v>5000.0</v>
      </c>
      <c r="M1876" s="25"/>
      <c r="N1876" s="70"/>
      <c r="O1876" s="27">
        <f t="shared" si="250"/>
        <v>0.4351320321</v>
      </c>
      <c r="P1876" s="28">
        <f t="shared" si="249"/>
        <v>139360</v>
      </c>
    </row>
    <row r="1877" hidden="1">
      <c r="A1877" s="16" t="s">
        <v>2771</v>
      </c>
      <c r="B1877" s="17" t="s">
        <v>1818</v>
      </c>
      <c r="C1877" s="18"/>
      <c r="D1877" s="4"/>
      <c r="E1877" s="19">
        <v>0.0</v>
      </c>
      <c r="F1877" s="19"/>
      <c r="G1877" s="16" t="s">
        <v>1811</v>
      </c>
      <c r="H1877" s="21"/>
      <c r="I1877" s="22"/>
      <c r="J1877" s="29"/>
      <c r="K1877" s="48">
        <f>212500*1.19/40</f>
        <v>6321.875</v>
      </c>
      <c r="L1877" s="55">
        <v>9000.0</v>
      </c>
      <c r="M1877" s="25"/>
      <c r="N1877" s="26"/>
      <c r="O1877" s="27">
        <f t="shared" si="250"/>
        <v>0.4236282748</v>
      </c>
      <c r="P1877" s="28">
        <f t="shared" si="249"/>
        <v>0</v>
      </c>
    </row>
    <row r="1878" hidden="1">
      <c r="A1878" s="122" t="s">
        <v>2772</v>
      </c>
      <c r="B1878" s="17">
        <v>247006.0</v>
      </c>
      <c r="C1878" s="18"/>
      <c r="D1878" s="4"/>
      <c r="E1878" s="19">
        <v>0.0</v>
      </c>
      <c r="F1878" s="19">
        <v>0.0</v>
      </c>
      <c r="G1878" s="16" t="s">
        <v>425</v>
      </c>
      <c r="H1878" s="73"/>
      <c r="I1878" s="22"/>
      <c r="J1878" s="74"/>
      <c r="K1878" s="75">
        <v>230000.0</v>
      </c>
      <c r="L1878" s="44">
        <f t="shared" ref="L1878:L1879" si="251">K1878*1.5</f>
        <v>345000</v>
      </c>
      <c r="M1878" s="25"/>
      <c r="N1878" s="26"/>
      <c r="O1878" s="27">
        <f t="shared" si="250"/>
        <v>0.5</v>
      </c>
      <c r="P1878" s="28">
        <f t="shared" si="249"/>
        <v>0</v>
      </c>
    </row>
    <row r="1879" hidden="1">
      <c r="A1879" s="122" t="s">
        <v>2773</v>
      </c>
      <c r="B1879" s="17">
        <v>247005.0</v>
      </c>
      <c r="C1879" s="18"/>
      <c r="D1879" s="4"/>
      <c r="E1879" s="19">
        <v>0.0</v>
      </c>
      <c r="F1879" s="19">
        <v>0.0</v>
      </c>
      <c r="G1879" s="16" t="s">
        <v>425</v>
      </c>
      <c r="H1879" s="73"/>
      <c r="I1879" s="22"/>
      <c r="J1879" s="74"/>
      <c r="K1879" s="75">
        <v>130000.0</v>
      </c>
      <c r="L1879" s="44">
        <f t="shared" si="251"/>
        <v>195000</v>
      </c>
      <c r="M1879" s="25"/>
      <c r="N1879" s="26"/>
      <c r="O1879" s="27">
        <f t="shared" si="250"/>
        <v>0.5</v>
      </c>
      <c r="P1879" s="28">
        <f t="shared" si="249"/>
        <v>0</v>
      </c>
    </row>
    <row r="1880" hidden="1">
      <c r="A1880" s="16" t="s">
        <v>2774</v>
      </c>
      <c r="B1880" s="36"/>
      <c r="C1880" s="18" t="s">
        <v>328</v>
      </c>
      <c r="D1880" s="4"/>
      <c r="E1880" s="19">
        <v>0.0</v>
      </c>
      <c r="F1880" s="19">
        <v>0.0</v>
      </c>
      <c r="G1880" s="54" t="s">
        <v>63</v>
      </c>
      <c r="H1880" s="21"/>
      <c r="I1880" s="22">
        <v>1.0</v>
      </c>
      <c r="J1880" s="23"/>
      <c r="K1880" s="55">
        <v>106480.0</v>
      </c>
      <c r="L1880" s="55">
        <v>142000.0</v>
      </c>
      <c r="M1880" s="25" t="s">
        <v>82</v>
      </c>
      <c r="N1880" s="26"/>
      <c r="O1880" s="27">
        <f t="shared" si="250"/>
        <v>0.3335837716</v>
      </c>
      <c r="P1880" s="28">
        <f t="shared" si="249"/>
        <v>0</v>
      </c>
    </row>
    <row r="1881" hidden="1">
      <c r="A1881" s="224" t="s">
        <v>2775</v>
      </c>
      <c r="B1881" s="17"/>
      <c r="C1881" s="38"/>
      <c r="D1881" s="61"/>
      <c r="E1881" s="19"/>
      <c r="F1881" s="19"/>
      <c r="G1881" s="16" t="s">
        <v>1626</v>
      </c>
      <c r="H1881" s="21"/>
      <c r="I1881" s="22">
        <v>0.0</v>
      </c>
      <c r="J1881" s="45"/>
      <c r="K1881" s="172">
        <v>445280.0</v>
      </c>
      <c r="L1881" s="44">
        <v>500000.0</v>
      </c>
      <c r="M1881" s="25"/>
      <c r="N1881" s="26"/>
      <c r="O1881" s="27">
        <f t="shared" si="250"/>
        <v>0.1228889687</v>
      </c>
      <c r="P1881" s="28">
        <f t="shared" si="249"/>
        <v>0</v>
      </c>
    </row>
    <row r="1882" hidden="1">
      <c r="A1882" s="16" t="s">
        <v>2776</v>
      </c>
      <c r="B1882" s="36"/>
      <c r="C1882" s="18"/>
      <c r="D1882" s="4"/>
      <c r="E1882" s="19">
        <v>0.0</v>
      </c>
      <c r="F1882" s="19">
        <v>0.0</v>
      </c>
      <c r="G1882" s="20" t="s">
        <v>580</v>
      </c>
      <c r="H1882" s="21"/>
      <c r="I1882" s="22">
        <v>1.0</v>
      </c>
      <c r="J1882" s="29"/>
      <c r="K1882" s="32"/>
      <c r="L1882" s="55">
        <v>420000.0</v>
      </c>
      <c r="M1882" s="25"/>
      <c r="N1882" s="31"/>
      <c r="O1882" s="27"/>
      <c r="P1882" s="28"/>
    </row>
    <row r="1883" hidden="1">
      <c r="A1883" s="16" t="s">
        <v>2777</v>
      </c>
      <c r="B1883" s="36"/>
      <c r="C1883" s="18"/>
      <c r="D1883" s="4"/>
      <c r="E1883" s="19">
        <v>0.0</v>
      </c>
      <c r="F1883" s="19">
        <v>0.0</v>
      </c>
      <c r="G1883" s="20" t="s">
        <v>2778</v>
      </c>
      <c r="H1883" s="21"/>
      <c r="I1883" s="22">
        <v>19.0</v>
      </c>
      <c r="J1883" s="29"/>
      <c r="K1883" s="32">
        <v>18000.0</v>
      </c>
      <c r="L1883" s="24">
        <v>28000.0</v>
      </c>
      <c r="M1883" s="25"/>
      <c r="N1883" s="31"/>
      <c r="O1883" s="27">
        <f t="shared" ref="O1883:O1884" si="252">(L1883/K1883)-1</f>
        <v>0.5555555556</v>
      </c>
      <c r="P1883" s="28">
        <f t="shared" ref="P1883:P1884" si="253">K1883*F1883</f>
        <v>0</v>
      </c>
    </row>
    <row r="1884" hidden="1">
      <c r="A1884" s="16" t="s">
        <v>2779</v>
      </c>
      <c r="B1884" s="36"/>
      <c r="C1884" s="18"/>
      <c r="D1884" s="4"/>
      <c r="E1884" s="19">
        <v>0.0</v>
      </c>
      <c r="F1884" s="19">
        <v>0.0</v>
      </c>
      <c r="G1884" s="20" t="s">
        <v>2780</v>
      </c>
      <c r="H1884" s="21"/>
      <c r="I1884" s="22"/>
      <c r="J1884" s="29"/>
      <c r="K1884" s="43">
        <v>7500.0</v>
      </c>
      <c r="L1884" s="44">
        <v>17000.0</v>
      </c>
      <c r="M1884" s="25"/>
      <c r="N1884" s="26"/>
      <c r="O1884" s="27">
        <f t="shared" si="252"/>
        <v>1.266666667</v>
      </c>
      <c r="P1884" s="28">
        <f t="shared" si="253"/>
        <v>0</v>
      </c>
    </row>
    <row r="1885" hidden="1">
      <c r="A1885" s="16" t="s">
        <v>2781</v>
      </c>
      <c r="B1885" s="17"/>
      <c r="C1885" s="38"/>
      <c r="D1885" s="4"/>
      <c r="E1885" s="19">
        <v>0.0</v>
      </c>
      <c r="F1885" s="19">
        <v>0.0</v>
      </c>
      <c r="G1885" s="16"/>
      <c r="H1885" s="21"/>
      <c r="I1885" s="22">
        <v>2.0</v>
      </c>
      <c r="J1885" s="47">
        <v>45778.0</v>
      </c>
      <c r="K1885" s="43"/>
      <c r="L1885" s="172"/>
      <c r="M1885" s="25"/>
      <c r="N1885" s="26"/>
      <c r="O1885" s="27"/>
      <c r="P1885" s="28"/>
    </row>
    <row r="1886" hidden="1">
      <c r="A1886" s="40" t="s">
        <v>2782</v>
      </c>
      <c r="B1886" s="17"/>
      <c r="C1886" s="18"/>
      <c r="D1886" s="4"/>
      <c r="E1886" s="19">
        <v>0.0</v>
      </c>
      <c r="F1886" s="19"/>
      <c r="G1886" s="16" t="s">
        <v>57</v>
      </c>
      <c r="H1886" s="21"/>
      <c r="I1886" s="22"/>
      <c r="J1886" s="29"/>
      <c r="K1886" s="43">
        <v>200000.0</v>
      </c>
      <c r="L1886" s="44">
        <v>245000.0</v>
      </c>
      <c r="M1886" s="25"/>
      <c r="N1886" s="31"/>
      <c r="O1886" s="27">
        <f t="shared" ref="O1886:O1911" si="254">(L1886/K1886)-1</f>
        <v>0.225</v>
      </c>
      <c r="P1886" s="28">
        <f t="shared" ref="P1886:P1900" si="255">K1886*F1886</f>
        <v>0</v>
      </c>
    </row>
    <row r="1887" hidden="1">
      <c r="A1887" s="42" t="s">
        <v>2783</v>
      </c>
      <c r="B1887" s="17"/>
      <c r="C1887" s="38"/>
      <c r="D1887" s="61"/>
      <c r="E1887" s="19"/>
      <c r="F1887" s="19"/>
      <c r="G1887" s="16" t="s">
        <v>2784</v>
      </c>
      <c r="H1887" s="21"/>
      <c r="I1887" s="22">
        <v>0.0</v>
      </c>
      <c r="J1887" s="29"/>
      <c r="K1887" s="43"/>
      <c r="L1887" s="44"/>
      <c r="M1887" s="25"/>
      <c r="N1887" s="26"/>
      <c r="O1887" s="27" t="str">
        <f t="shared" si="254"/>
        <v>#DIV/0!</v>
      </c>
      <c r="P1887" s="28">
        <f t="shared" si="255"/>
        <v>0</v>
      </c>
    </row>
    <row r="1888" hidden="1">
      <c r="A1888" s="40" t="s">
        <v>2785</v>
      </c>
      <c r="B1888" s="49"/>
      <c r="C1888" s="18"/>
      <c r="D1888" s="4"/>
      <c r="E1888" s="19">
        <v>0.0</v>
      </c>
      <c r="F1888" s="19"/>
      <c r="G1888" s="20" t="s">
        <v>2786</v>
      </c>
      <c r="H1888" s="21"/>
      <c r="I1888" s="22"/>
      <c r="J1888" s="29"/>
      <c r="K1888" s="43">
        <v>68300.0</v>
      </c>
      <c r="L1888" s="44">
        <v>75000.0</v>
      </c>
      <c r="M1888" s="25"/>
      <c r="N1888" s="26"/>
      <c r="O1888" s="27">
        <f t="shared" si="254"/>
        <v>0.0980966325</v>
      </c>
      <c r="P1888" s="28">
        <f t="shared" si="255"/>
        <v>0</v>
      </c>
    </row>
    <row r="1889" hidden="1">
      <c r="A1889" s="16" t="s">
        <v>2787</v>
      </c>
      <c r="B1889" s="36" t="s">
        <v>2788</v>
      </c>
      <c r="C1889" s="18"/>
      <c r="D1889" s="4"/>
      <c r="E1889" s="19">
        <v>0.0</v>
      </c>
      <c r="F1889" s="19">
        <v>0.0</v>
      </c>
      <c r="G1889" s="16" t="s">
        <v>70</v>
      </c>
      <c r="H1889" s="21"/>
      <c r="I1889" s="22"/>
      <c r="J1889" s="29"/>
      <c r="K1889" s="43">
        <f>100000*0.8*1.19</f>
        <v>95200</v>
      </c>
      <c r="L1889" s="44">
        <v>145000.0</v>
      </c>
      <c r="M1889" s="25"/>
      <c r="N1889" s="26"/>
      <c r="O1889" s="27">
        <f t="shared" si="254"/>
        <v>0.5231092437</v>
      </c>
      <c r="P1889" s="28">
        <f t="shared" si="255"/>
        <v>0</v>
      </c>
    </row>
    <row r="1890" hidden="1">
      <c r="A1890" s="42" t="s">
        <v>2789</v>
      </c>
      <c r="B1890" s="71"/>
      <c r="C1890" s="18"/>
      <c r="D1890" s="4"/>
      <c r="E1890" s="19">
        <v>0.0</v>
      </c>
      <c r="F1890" s="19"/>
      <c r="G1890" s="20" t="s">
        <v>291</v>
      </c>
      <c r="H1890" s="21"/>
      <c r="I1890" s="22"/>
      <c r="J1890" s="29"/>
      <c r="K1890" s="32">
        <f>23529.41*1.19</f>
        <v>27999.9979</v>
      </c>
      <c r="L1890" s="24">
        <v>40000.0</v>
      </c>
      <c r="M1890" s="25"/>
      <c r="N1890" s="70" t="s">
        <v>2790</v>
      </c>
      <c r="O1890" s="27">
        <f t="shared" si="254"/>
        <v>0.4285715357</v>
      </c>
      <c r="P1890" s="28">
        <f t="shared" si="255"/>
        <v>0</v>
      </c>
    </row>
    <row r="1891" hidden="1">
      <c r="A1891" s="16" t="s">
        <v>2791</v>
      </c>
      <c r="B1891" s="49"/>
      <c r="C1891" s="18"/>
      <c r="D1891" s="4"/>
      <c r="E1891" s="19"/>
      <c r="F1891" s="19"/>
      <c r="G1891" s="16" t="s">
        <v>1926</v>
      </c>
      <c r="H1891" s="21"/>
      <c r="I1891" s="22"/>
      <c r="J1891" s="47">
        <v>46478.0</v>
      </c>
      <c r="K1891" s="55">
        <f>6650*1.19</f>
        <v>7913.5</v>
      </c>
      <c r="L1891" s="55">
        <v>12000.0</v>
      </c>
      <c r="M1891" s="25"/>
      <c r="N1891" s="26"/>
      <c r="O1891" s="27">
        <f t="shared" si="254"/>
        <v>0.5163960321</v>
      </c>
      <c r="P1891" s="28">
        <f t="shared" si="255"/>
        <v>0</v>
      </c>
    </row>
    <row r="1892" hidden="1">
      <c r="A1892" s="16" t="s">
        <v>2792</v>
      </c>
      <c r="B1892" s="36"/>
      <c r="C1892" s="18"/>
      <c r="D1892" s="4"/>
      <c r="E1892" s="19"/>
      <c r="F1892" s="19"/>
      <c r="G1892" s="16" t="s">
        <v>88</v>
      </c>
      <c r="H1892" s="21"/>
      <c r="I1892" s="22">
        <v>7.0</v>
      </c>
      <c r="J1892" s="47">
        <v>46174.0</v>
      </c>
      <c r="K1892" s="24">
        <f>5311*1.19</f>
        <v>6320.09</v>
      </c>
      <c r="L1892" s="32">
        <v>12000.0</v>
      </c>
      <c r="M1892" s="25"/>
      <c r="N1892" s="26"/>
      <c r="O1892" s="27">
        <f t="shared" si="254"/>
        <v>0.8987071387</v>
      </c>
      <c r="P1892" s="28">
        <f t="shared" si="255"/>
        <v>0</v>
      </c>
    </row>
    <row r="1893" hidden="1">
      <c r="A1893" s="16" t="s">
        <v>2793</v>
      </c>
      <c r="B1893" s="17"/>
      <c r="C1893" s="18"/>
      <c r="D1893" s="4"/>
      <c r="E1893" s="19">
        <v>0.0</v>
      </c>
      <c r="F1893" s="19">
        <v>0.0</v>
      </c>
      <c r="G1893" s="16" t="s">
        <v>2794</v>
      </c>
      <c r="H1893" s="21"/>
      <c r="I1893" s="22">
        <f>194+50</f>
        <v>244</v>
      </c>
      <c r="J1893" s="29"/>
      <c r="K1893" s="48">
        <v>2400.0</v>
      </c>
      <c r="L1893" s="55">
        <v>7000.0</v>
      </c>
      <c r="M1893" s="25"/>
      <c r="N1893" s="26"/>
      <c r="O1893" s="27">
        <f t="shared" si="254"/>
        <v>1.916666667</v>
      </c>
      <c r="P1893" s="28">
        <f t="shared" si="255"/>
        <v>0</v>
      </c>
    </row>
    <row r="1894" hidden="1">
      <c r="A1894" s="16" t="s">
        <v>2795</v>
      </c>
      <c r="B1894" s="17"/>
      <c r="C1894" s="18"/>
      <c r="D1894" s="4"/>
      <c r="E1894" s="19">
        <v>0.0</v>
      </c>
      <c r="F1894" s="19">
        <v>0.0</v>
      </c>
      <c r="G1894" s="16" t="s">
        <v>2794</v>
      </c>
      <c r="H1894" s="21"/>
      <c r="I1894" s="22">
        <f>168+50+50</f>
        <v>268</v>
      </c>
      <c r="J1894" s="29"/>
      <c r="K1894" s="48">
        <v>4900.0</v>
      </c>
      <c r="L1894" s="55">
        <v>7000.0</v>
      </c>
      <c r="M1894" s="25"/>
      <c r="N1894" s="26"/>
      <c r="O1894" s="27">
        <f t="shared" si="254"/>
        <v>0.4285714286</v>
      </c>
      <c r="P1894" s="28">
        <f t="shared" si="255"/>
        <v>0</v>
      </c>
    </row>
    <row r="1895" hidden="1">
      <c r="A1895" s="40" t="s">
        <v>2796</v>
      </c>
      <c r="B1895" s="17"/>
      <c r="C1895" s="18"/>
      <c r="D1895" s="4"/>
      <c r="E1895" s="19">
        <v>0.0</v>
      </c>
      <c r="F1895" s="19">
        <v>0.0</v>
      </c>
      <c r="G1895" s="16" t="s">
        <v>2794</v>
      </c>
      <c r="H1895" s="21"/>
      <c r="I1895" s="22">
        <v>53.0</v>
      </c>
      <c r="J1895" s="29"/>
      <c r="K1895" s="48">
        <v>5200.0</v>
      </c>
      <c r="L1895" s="55">
        <v>8000.0</v>
      </c>
      <c r="M1895" s="25"/>
      <c r="N1895" s="26"/>
      <c r="O1895" s="27">
        <f t="shared" si="254"/>
        <v>0.5384615385</v>
      </c>
      <c r="P1895" s="28">
        <f t="shared" si="255"/>
        <v>0</v>
      </c>
    </row>
    <row r="1896" hidden="1">
      <c r="A1896" s="16" t="s">
        <v>2797</v>
      </c>
      <c r="B1896" s="17"/>
      <c r="C1896" s="18"/>
      <c r="D1896" s="4"/>
      <c r="E1896" s="19">
        <v>0.0</v>
      </c>
      <c r="F1896" s="19">
        <v>0.0</v>
      </c>
      <c r="G1896" s="16" t="s">
        <v>2794</v>
      </c>
      <c r="H1896" s="21"/>
      <c r="I1896" s="22">
        <f>52+25</f>
        <v>77</v>
      </c>
      <c r="J1896" s="29"/>
      <c r="K1896" s="48">
        <v>7900.0</v>
      </c>
      <c r="L1896" s="55">
        <v>10000.0</v>
      </c>
      <c r="M1896" s="25"/>
      <c r="N1896" s="26"/>
      <c r="O1896" s="27">
        <f t="shared" si="254"/>
        <v>0.2658227848</v>
      </c>
      <c r="P1896" s="28">
        <f t="shared" si="255"/>
        <v>0</v>
      </c>
    </row>
    <row r="1897" hidden="1">
      <c r="A1897" s="16" t="s">
        <v>2798</v>
      </c>
      <c r="B1897" s="17" t="s">
        <v>2799</v>
      </c>
      <c r="C1897" s="276"/>
      <c r="D1897" s="4"/>
      <c r="E1897" s="19">
        <v>0.0</v>
      </c>
      <c r="F1897" s="19">
        <v>0.0</v>
      </c>
      <c r="G1897" s="16" t="s">
        <v>1876</v>
      </c>
      <c r="H1897" s="21"/>
      <c r="I1897" s="22"/>
      <c r="J1897" s="58"/>
      <c r="K1897" s="48">
        <f>494050/214</f>
        <v>2308.64486</v>
      </c>
      <c r="L1897" s="55">
        <v>3500.0</v>
      </c>
      <c r="M1897" s="25"/>
      <c r="N1897" s="26"/>
      <c r="O1897" s="27">
        <f t="shared" si="254"/>
        <v>0.5160408865</v>
      </c>
      <c r="P1897" s="28">
        <f t="shared" si="255"/>
        <v>0</v>
      </c>
    </row>
    <row r="1898" hidden="1">
      <c r="A1898" s="16" t="s">
        <v>2800</v>
      </c>
      <c r="B1898" s="17"/>
      <c r="C1898" s="277"/>
      <c r="D1898" s="4"/>
      <c r="E1898" s="19">
        <v>99.0</v>
      </c>
      <c r="F1898" s="19">
        <v>0.0</v>
      </c>
      <c r="G1898" s="16" t="s">
        <v>1876</v>
      </c>
      <c r="H1898" s="21"/>
      <c r="I1898" s="22"/>
      <c r="J1898" s="58"/>
      <c r="K1898" s="55">
        <f>492980/33</f>
        <v>14938.78788</v>
      </c>
      <c r="L1898" s="55">
        <v>18000.0</v>
      </c>
      <c r="M1898" s="25"/>
      <c r="N1898" s="26">
        <v>16000.0</v>
      </c>
      <c r="O1898" s="27">
        <f t="shared" si="254"/>
        <v>0.2049170352</v>
      </c>
      <c r="P1898" s="28">
        <f t="shared" si="255"/>
        <v>0</v>
      </c>
    </row>
    <row r="1899" hidden="1">
      <c r="A1899" s="16" t="s">
        <v>2801</v>
      </c>
      <c r="B1899" s="17" t="s">
        <v>2799</v>
      </c>
      <c r="C1899" s="276"/>
      <c r="D1899" s="4"/>
      <c r="E1899" s="19">
        <v>0.0</v>
      </c>
      <c r="F1899" s="19">
        <v>0.0</v>
      </c>
      <c r="G1899" s="16" t="s">
        <v>1876</v>
      </c>
      <c r="H1899" s="21"/>
      <c r="I1899" s="22"/>
      <c r="J1899" s="29"/>
      <c r="K1899" s="48">
        <f>323440/150</f>
        <v>2156.266667</v>
      </c>
      <c r="L1899" s="55">
        <v>3500.0</v>
      </c>
      <c r="M1899" s="25"/>
      <c r="N1899" s="26"/>
      <c r="O1899" s="27">
        <f t="shared" si="254"/>
        <v>0.6231758595</v>
      </c>
      <c r="P1899" s="28">
        <f t="shared" si="255"/>
        <v>0</v>
      </c>
    </row>
    <row r="1900" hidden="1">
      <c r="A1900" s="16" t="s">
        <v>2802</v>
      </c>
      <c r="B1900" s="17"/>
      <c r="C1900" s="277"/>
      <c r="D1900" s="4"/>
      <c r="E1900" s="19">
        <v>0.0</v>
      </c>
      <c r="F1900" s="19">
        <v>0.0</v>
      </c>
      <c r="G1900" s="16" t="s">
        <v>1876</v>
      </c>
      <c r="H1900" s="21"/>
      <c r="I1900" s="22"/>
      <c r="J1900" s="23"/>
      <c r="K1900" s="55">
        <f>322260/33</f>
        <v>9765.454545</v>
      </c>
      <c r="L1900" s="55">
        <v>15000.0</v>
      </c>
      <c r="M1900" s="25"/>
      <c r="N1900" s="26">
        <v>16000.0</v>
      </c>
      <c r="O1900" s="27">
        <f t="shared" si="254"/>
        <v>0.5360268106</v>
      </c>
      <c r="P1900" s="28">
        <f t="shared" si="255"/>
        <v>0</v>
      </c>
    </row>
    <row r="1901" hidden="1">
      <c r="A1901" s="40" t="s">
        <v>2803</v>
      </c>
      <c r="B1901" s="17" t="s">
        <v>2799</v>
      </c>
      <c r="C1901" s="277"/>
      <c r="D1901" s="4"/>
      <c r="E1901" s="19">
        <v>0.0</v>
      </c>
      <c r="F1901" s="19">
        <v>0.0</v>
      </c>
      <c r="G1901" s="16" t="s">
        <v>1876</v>
      </c>
      <c r="H1901" s="21"/>
      <c r="I1901" s="22"/>
      <c r="J1901" s="23"/>
      <c r="K1901" s="55">
        <f>384270/150</f>
        <v>2561.8</v>
      </c>
      <c r="L1901" s="55">
        <v>3500.0</v>
      </c>
      <c r="M1901" s="25"/>
      <c r="N1901" s="26"/>
      <c r="O1901" s="27">
        <f t="shared" si="254"/>
        <v>0.3662268717</v>
      </c>
      <c r="P1901" s="28">
        <f t="shared" ref="P1901:P1902" si="256">K1901*F1902</f>
        <v>0</v>
      </c>
    </row>
    <row r="1902" hidden="1">
      <c r="A1902" s="16" t="s">
        <v>2804</v>
      </c>
      <c r="B1902" s="17"/>
      <c r="C1902" s="277"/>
      <c r="D1902" s="4"/>
      <c r="E1902" s="19">
        <v>33.0</v>
      </c>
      <c r="F1902" s="19">
        <v>0.0</v>
      </c>
      <c r="G1902" s="16" t="s">
        <v>1876</v>
      </c>
      <c r="H1902" s="21"/>
      <c r="I1902" s="22"/>
      <c r="J1902" s="23"/>
      <c r="K1902" s="55">
        <f>382880/33</f>
        <v>11602.42424</v>
      </c>
      <c r="L1902" s="55">
        <v>18000.0</v>
      </c>
      <c r="M1902" s="25"/>
      <c r="N1902" s="26">
        <v>16000.0</v>
      </c>
      <c r="O1902" s="27">
        <f t="shared" si="254"/>
        <v>0.5513999164</v>
      </c>
      <c r="P1902" s="28">
        <f t="shared" si="256"/>
        <v>0</v>
      </c>
    </row>
    <row r="1903" hidden="1">
      <c r="A1903" s="16" t="s">
        <v>2805</v>
      </c>
      <c r="B1903" s="17"/>
      <c r="C1903" s="277"/>
      <c r="D1903" s="4"/>
      <c r="E1903" s="19">
        <v>0.0</v>
      </c>
      <c r="F1903" s="19">
        <v>0.0</v>
      </c>
      <c r="G1903" s="16" t="s">
        <v>1876</v>
      </c>
      <c r="H1903" s="21"/>
      <c r="I1903" s="22"/>
      <c r="J1903" s="23"/>
      <c r="K1903" s="55">
        <f>412440/33</f>
        <v>12498.18182</v>
      </c>
      <c r="L1903" s="55">
        <v>18000.0</v>
      </c>
      <c r="M1903" s="25"/>
      <c r="N1903" s="26">
        <v>16000.0</v>
      </c>
      <c r="O1903" s="27">
        <f t="shared" si="254"/>
        <v>0.440209485</v>
      </c>
      <c r="P1903" s="28">
        <f t="shared" ref="P1903:P1905" si="257">K1903*F1903</f>
        <v>0</v>
      </c>
    </row>
    <row r="1904" hidden="1">
      <c r="A1904" s="16" t="s">
        <v>2806</v>
      </c>
      <c r="B1904" s="17" t="s">
        <v>2799</v>
      </c>
      <c r="C1904" s="276"/>
      <c r="D1904" s="4"/>
      <c r="E1904" s="19">
        <v>0.0</v>
      </c>
      <c r="F1904" s="19">
        <v>0.0</v>
      </c>
      <c r="G1904" s="16" t="s">
        <v>1876</v>
      </c>
      <c r="H1904" s="21"/>
      <c r="I1904" s="22"/>
      <c r="J1904" s="29"/>
      <c r="K1904" s="55">
        <f>413830/150</f>
        <v>2758.866667</v>
      </c>
      <c r="L1904" s="55">
        <v>3500.0</v>
      </c>
      <c r="M1904" s="25"/>
      <c r="N1904" s="26"/>
      <c r="O1904" s="27">
        <f t="shared" si="254"/>
        <v>0.2686368799</v>
      </c>
      <c r="P1904" s="28">
        <f t="shared" si="257"/>
        <v>0</v>
      </c>
    </row>
    <row r="1905" hidden="1">
      <c r="A1905" s="16" t="s">
        <v>2807</v>
      </c>
      <c r="B1905" s="17"/>
      <c r="C1905" s="276"/>
      <c r="D1905" s="4"/>
      <c r="E1905" s="19">
        <v>33.0</v>
      </c>
      <c r="F1905" s="19">
        <v>0.0</v>
      </c>
      <c r="G1905" s="16" t="s">
        <v>1876</v>
      </c>
      <c r="H1905" s="21"/>
      <c r="I1905" s="22"/>
      <c r="J1905" s="58"/>
      <c r="K1905" s="55">
        <f>446500/33</f>
        <v>13530.30303</v>
      </c>
      <c r="L1905" s="55">
        <v>18000.0</v>
      </c>
      <c r="M1905" s="25"/>
      <c r="N1905" s="26">
        <v>16000.0</v>
      </c>
      <c r="O1905" s="27">
        <f t="shared" si="254"/>
        <v>0.3303471445</v>
      </c>
      <c r="P1905" s="28">
        <f t="shared" si="257"/>
        <v>0</v>
      </c>
    </row>
    <row r="1906" hidden="1">
      <c r="A1906" s="16" t="s">
        <v>2808</v>
      </c>
      <c r="B1906" s="17" t="s">
        <v>2799</v>
      </c>
      <c r="C1906" s="276"/>
      <c r="D1906" s="4"/>
      <c r="E1906" s="19">
        <v>0.0</v>
      </c>
      <c r="F1906" s="19">
        <v>0.0</v>
      </c>
      <c r="G1906" s="16" t="s">
        <v>1876</v>
      </c>
      <c r="H1906" s="21"/>
      <c r="I1906" s="22"/>
      <c r="J1906" s="29"/>
      <c r="K1906" s="48">
        <f>448110/150</f>
        <v>2987.4</v>
      </c>
      <c r="L1906" s="55">
        <v>3500.0</v>
      </c>
      <c r="M1906" s="25"/>
      <c r="N1906" s="26"/>
      <c r="O1906" s="27">
        <f t="shared" si="254"/>
        <v>0.1715873335</v>
      </c>
      <c r="P1906" s="28">
        <f>K1906*F1905</f>
        <v>0</v>
      </c>
    </row>
    <row r="1907" hidden="1">
      <c r="A1907" s="42" t="s">
        <v>2809</v>
      </c>
      <c r="B1907" s="36"/>
      <c r="C1907" s="18"/>
      <c r="D1907" s="4"/>
      <c r="E1907" s="19">
        <v>0.0</v>
      </c>
      <c r="F1907" s="19"/>
      <c r="G1907" s="20" t="s">
        <v>2810</v>
      </c>
      <c r="H1907" s="21"/>
      <c r="I1907" s="22"/>
      <c r="J1907" s="47"/>
      <c r="K1907" s="43">
        <v>9600.0</v>
      </c>
      <c r="L1907" s="44">
        <v>15000.0</v>
      </c>
      <c r="M1907" s="25"/>
      <c r="N1907" s="70"/>
      <c r="O1907" s="27">
        <f t="shared" si="254"/>
        <v>0.5625</v>
      </c>
      <c r="P1907" s="28">
        <f t="shared" ref="P1907:P1911" si="258">K1907*F1907</f>
        <v>0</v>
      </c>
    </row>
    <row r="1908" hidden="1">
      <c r="A1908" s="42" t="s">
        <v>2811</v>
      </c>
      <c r="B1908" s="71"/>
      <c r="C1908" s="153"/>
      <c r="D1908" s="4"/>
      <c r="E1908" s="19">
        <v>0.0</v>
      </c>
      <c r="F1908" s="19">
        <v>1.0</v>
      </c>
      <c r="G1908" s="20" t="s">
        <v>2810</v>
      </c>
      <c r="H1908" s="21"/>
      <c r="I1908" s="22"/>
      <c r="J1908" s="47">
        <v>46174.0</v>
      </c>
      <c r="K1908" s="32">
        <v>10250.0</v>
      </c>
      <c r="L1908" s="24">
        <v>13000.0</v>
      </c>
      <c r="M1908" s="25"/>
      <c r="N1908" s="50"/>
      <c r="O1908" s="27">
        <f t="shared" si="254"/>
        <v>0.2682926829</v>
      </c>
      <c r="P1908" s="28">
        <f t="shared" si="258"/>
        <v>10250</v>
      </c>
    </row>
    <row r="1909" hidden="1">
      <c r="A1909" s="16" t="s">
        <v>2812</v>
      </c>
      <c r="B1909" s="36"/>
      <c r="C1909" s="153"/>
      <c r="D1909" s="4"/>
      <c r="E1909" s="19">
        <v>0.0</v>
      </c>
      <c r="F1909" s="19"/>
      <c r="G1909" s="20" t="s">
        <v>2813</v>
      </c>
      <c r="H1909" s="21"/>
      <c r="I1909" s="22"/>
      <c r="J1909" s="29"/>
      <c r="K1909" s="43">
        <v>9600.0</v>
      </c>
      <c r="L1909" s="44">
        <v>15000.0</v>
      </c>
      <c r="M1909" s="25" t="s">
        <v>76</v>
      </c>
      <c r="N1909" s="70"/>
      <c r="O1909" s="27">
        <f t="shared" si="254"/>
        <v>0.5625</v>
      </c>
      <c r="P1909" s="28">
        <f t="shared" si="258"/>
        <v>0</v>
      </c>
    </row>
    <row r="1910" hidden="1">
      <c r="A1910" s="16" t="s">
        <v>2814</v>
      </c>
      <c r="B1910" s="51" t="s">
        <v>2815</v>
      </c>
      <c r="C1910" s="38" t="s">
        <v>2816</v>
      </c>
      <c r="D1910" s="61"/>
      <c r="E1910" s="19"/>
      <c r="F1910" s="19"/>
      <c r="G1910" s="16" t="s">
        <v>91</v>
      </c>
      <c r="H1910" s="21"/>
      <c r="I1910" s="22">
        <v>19.0</v>
      </c>
      <c r="J1910" s="29" t="s">
        <v>2817</v>
      </c>
      <c r="K1910" s="32">
        <v>160000.0</v>
      </c>
      <c r="L1910" s="24">
        <v>210000.0</v>
      </c>
      <c r="M1910" s="25"/>
      <c r="N1910" s="26">
        <v>170000.0</v>
      </c>
      <c r="O1910" s="27">
        <f t="shared" si="254"/>
        <v>0.3125</v>
      </c>
      <c r="P1910" s="28">
        <f t="shared" si="258"/>
        <v>0</v>
      </c>
    </row>
    <row r="1911" hidden="1">
      <c r="A1911" s="16" t="s">
        <v>2818</v>
      </c>
      <c r="B1911" s="51" t="s">
        <v>2819</v>
      </c>
      <c r="C1911" s="38"/>
      <c r="D1911" s="61"/>
      <c r="E1911" s="19"/>
      <c r="F1911" s="19"/>
      <c r="G1911" s="16" t="s">
        <v>91</v>
      </c>
      <c r="H1911" s="21"/>
      <c r="I1911" s="22">
        <v>1.0</v>
      </c>
      <c r="J1911" s="47">
        <v>46023.0</v>
      </c>
      <c r="K1911" s="32">
        <v>96000.0</v>
      </c>
      <c r="L1911" s="46">
        <v>130000.0</v>
      </c>
      <c r="M1911" s="25"/>
      <c r="N1911" s="26">
        <v>95000.0</v>
      </c>
      <c r="O1911" s="27">
        <f t="shared" si="254"/>
        <v>0.3541666667</v>
      </c>
      <c r="P1911" s="28">
        <f t="shared" si="258"/>
        <v>0</v>
      </c>
    </row>
    <row r="1912" hidden="1">
      <c r="A1912" s="16" t="s">
        <v>2820</v>
      </c>
      <c r="B1912" s="17"/>
      <c r="C1912" s="18"/>
      <c r="D1912" s="4"/>
      <c r="E1912" s="19">
        <v>0.0</v>
      </c>
      <c r="F1912" s="19">
        <v>0.0</v>
      </c>
      <c r="G1912" s="20" t="s">
        <v>1335</v>
      </c>
      <c r="H1912" s="21"/>
      <c r="I1912" s="22"/>
      <c r="J1912" s="29"/>
      <c r="K1912" s="43"/>
      <c r="L1912" s="44">
        <v>45000.0</v>
      </c>
      <c r="M1912" s="25"/>
      <c r="N1912" s="39"/>
      <c r="O1912" s="27"/>
      <c r="P1912" s="28"/>
    </row>
    <row r="1913" hidden="1">
      <c r="A1913" s="16" t="s">
        <v>2821</v>
      </c>
      <c r="B1913" s="17"/>
      <c r="C1913" s="18"/>
      <c r="D1913" s="4"/>
      <c r="E1913" s="19">
        <v>0.0</v>
      </c>
      <c r="F1913" s="19">
        <v>0.0</v>
      </c>
      <c r="G1913" s="20" t="s">
        <v>1335</v>
      </c>
      <c r="H1913" s="21"/>
      <c r="I1913" s="22"/>
      <c r="J1913" s="29"/>
      <c r="K1913" s="43"/>
      <c r="L1913" s="44">
        <v>35000.0</v>
      </c>
      <c r="M1913" s="25"/>
      <c r="N1913" s="39"/>
      <c r="O1913" s="27"/>
      <c r="P1913" s="28"/>
    </row>
  </sheetData>
  <autoFilter ref="$A$1:$P$1913">
    <filterColumn colId="0">
      <filters>
        <filter val="Bandas de Acero"/>
        <filter val="Resina Zafira Dentina A3,5"/>
        <filter val="Acido Desmineralizante Zafira 10 ml"/>
        <filter val="Resina Zafira Insisal"/>
        <filter val="Resina Zafira Dentina BLX"/>
        <filter val="Kit Resinas estudiantil Zafira X 7 JERINGAS"/>
        <filter val="Resina Zafira Opacador"/>
        <filter val="Resina Zafira Dentina B1"/>
        <filter val="Resina Zafira Dentina A3"/>
        <filter val="Resina Zafira Dentina BL"/>
        <filter val="Resina Zafira Dentina A2"/>
        <filter val="Resina Zafira Dentina A1"/>
        <filter val="Kit Resinas estudiantil Zafira X 6 jeringas + acido 10ml + adhesivo 8ml"/>
        <filter val="Resina Zafira Esmalte A1"/>
        <filter val="Resina Zafira Esmalte A2"/>
        <filter val="Resina Zafira Esmalte A3"/>
        <filter val="Resina Zafira Esmalte B1"/>
        <filter val="Resina Zafira Esmalte BL"/>
        <filter val="Adhesivo Universal Zafira 8ml"/>
        <filter val="Resina Zafira Esmalte BLX"/>
      </filters>
    </filterColumn>
  </autoFilter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2.75"/>
  <cols>
    <col customWidth="1" min="1" max="1" width="8.25"/>
    <col customWidth="1" min="2" max="2" width="35.5"/>
    <col customWidth="1" min="3" max="3" width="32.63"/>
    <col customWidth="1" min="4" max="4" width="16.88"/>
    <col customWidth="1" min="5" max="5" width="13.13"/>
    <col customWidth="1" min="6" max="6" width="16.25"/>
  </cols>
  <sheetData>
    <row r="1">
      <c r="A1" s="301" t="s">
        <v>2868</v>
      </c>
      <c r="B1" s="301" t="s">
        <v>2869</v>
      </c>
      <c r="C1" s="301" t="s">
        <v>2870</v>
      </c>
      <c r="D1" s="302"/>
      <c r="E1" s="303"/>
      <c r="F1" s="301" t="s">
        <v>2871</v>
      </c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</row>
    <row r="2">
      <c r="A2" s="304">
        <v>45716.0</v>
      </c>
      <c r="B2" s="305" t="s">
        <v>2872</v>
      </c>
      <c r="C2" s="305" t="s">
        <v>2873</v>
      </c>
      <c r="D2" s="306" t="s">
        <v>2874</v>
      </c>
      <c r="E2" s="305" t="s">
        <v>2873</v>
      </c>
      <c r="F2" s="305" t="s">
        <v>676</v>
      </c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</row>
    <row r="3">
      <c r="A3" s="308">
        <v>45783.0</v>
      </c>
      <c r="B3" s="305" t="s">
        <v>2875</v>
      </c>
      <c r="C3" s="305" t="s">
        <v>2876</v>
      </c>
      <c r="D3" s="306" t="s">
        <v>2877</v>
      </c>
      <c r="E3" s="305" t="s">
        <v>2873</v>
      </c>
      <c r="F3" s="305" t="s">
        <v>2878</v>
      </c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</row>
    <row r="4">
      <c r="A4" s="309">
        <v>45787.0</v>
      </c>
      <c r="B4" s="305" t="s">
        <v>2879</v>
      </c>
      <c r="C4" s="305" t="s">
        <v>2880</v>
      </c>
      <c r="D4" s="306" t="s">
        <v>2881</v>
      </c>
      <c r="E4" s="307"/>
      <c r="F4" s="305" t="s">
        <v>796</v>
      </c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</row>
    <row r="5">
      <c r="A5" s="308">
        <v>45800.0</v>
      </c>
      <c r="B5" s="305" t="s">
        <v>2882</v>
      </c>
      <c r="C5" s="305" t="s">
        <v>2883</v>
      </c>
      <c r="D5" s="306"/>
      <c r="E5" s="307"/>
      <c r="F5" s="305" t="s">
        <v>676</v>
      </c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</row>
    <row r="6">
      <c r="A6" s="304">
        <v>45805.0</v>
      </c>
      <c r="B6" s="305" t="s">
        <v>2884</v>
      </c>
      <c r="C6" s="305" t="s">
        <v>2885</v>
      </c>
      <c r="D6" s="310"/>
      <c r="E6" s="307"/>
      <c r="F6" s="305" t="s">
        <v>2878</v>
      </c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</row>
    <row r="7">
      <c r="A7" s="311">
        <v>45821.0</v>
      </c>
      <c r="B7" s="305" t="s">
        <v>2886</v>
      </c>
      <c r="C7" s="305" t="s">
        <v>2876</v>
      </c>
      <c r="D7" s="305" t="s">
        <v>2887</v>
      </c>
      <c r="E7" s="307"/>
      <c r="F7" s="305" t="s">
        <v>2878</v>
      </c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</row>
    <row r="8">
      <c r="A8" s="311">
        <v>45821.0</v>
      </c>
      <c r="B8" s="305" t="s">
        <v>2888</v>
      </c>
      <c r="C8" s="305" t="s">
        <v>2876</v>
      </c>
      <c r="D8" s="305" t="s">
        <v>2889</v>
      </c>
      <c r="E8" s="307"/>
      <c r="F8" s="305" t="s">
        <v>2878</v>
      </c>
      <c r="G8" s="307"/>
      <c r="H8" s="307"/>
      <c r="I8" s="307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</row>
    <row r="9">
      <c r="A9" s="304">
        <v>45821.0</v>
      </c>
      <c r="B9" s="305" t="s">
        <v>2890</v>
      </c>
      <c r="C9" s="305" t="s">
        <v>2876</v>
      </c>
      <c r="D9" s="310"/>
      <c r="E9" s="307"/>
      <c r="F9" s="305" t="s">
        <v>2878</v>
      </c>
      <c r="G9" s="307"/>
      <c r="H9" s="307"/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</row>
    <row r="10">
      <c r="A10" s="304">
        <v>45821.0</v>
      </c>
      <c r="B10" s="305" t="s">
        <v>2891</v>
      </c>
      <c r="C10" s="305" t="s">
        <v>2876</v>
      </c>
      <c r="D10" s="310"/>
      <c r="E10" s="307"/>
      <c r="F10" s="305" t="s">
        <v>2878</v>
      </c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</row>
    <row r="11">
      <c r="A11" s="304">
        <v>45827.0</v>
      </c>
      <c r="B11" s="305" t="s">
        <v>2892</v>
      </c>
      <c r="C11" s="305" t="s">
        <v>2876</v>
      </c>
      <c r="D11" s="306" t="s">
        <v>2877</v>
      </c>
      <c r="E11" s="307"/>
      <c r="F11" s="305" t="s">
        <v>2893</v>
      </c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</row>
    <row r="12">
      <c r="A12" s="304">
        <v>45827.0</v>
      </c>
      <c r="B12" s="305" t="s">
        <v>2894</v>
      </c>
      <c r="C12" s="305" t="s">
        <v>2876</v>
      </c>
      <c r="D12" s="306" t="s">
        <v>2877</v>
      </c>
      <c r="E12" s="307"/>
      <c r="F12" s="305" t="s">
        <v>2893</v>
      </c>
      <c r="G12" s="307"/>
      <c r="H12" s="307"/>
      <c r="I12" s="307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</row>
    <row r="13">
      <c r="A13" s="304">
        <v>45827.0</v>
      </c>
      <c r="B13" s="305" t="s">
        <v>2895</v>
      </c>
      <c r="C13" s="305" t="s">
        <v>2876</v>
      </c>
      <c r="D13" s="306" t="s">
        <v>2877</v>
      </c>
      <c r="E13" s="305" t="s">
        <v>2896</v>
      </c>
      <c r="F13" s="305" t="s">
        <v>676</v>
      </c>
      <c r="G13" s="307"/>
      <c r="H13" s="307"/>
      <c r="I13" s="307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</row>
    <row r="14">
      <c r="A14" s="304">
        <v>45833.0</v>
      </c>
      <c r="B14" s="305" t="s">
        <v>2897</v>
      </c>
      <c r="C14" s="305" t="s">
        <v>2876</v>
      </c>
      <c r="D14" s="305" t="s">
        <v>2877</v>
      </c>
      <c r="E14" s="307"/>
      <c r="F14" s="312" t="s">
        <v>796</v>
      </c>
      <c r="G14" s="307"/>
      <c r="H14" s="30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</row>
    <row r="15">
      <c r="A15" s="304">
        <v>45834.0</v>
      </c>
      <c r="B15" s="305" t="s">
        <v>2898</v>
      </c>
      <c r="C15" s="305" t="s">
        <v>2876</v>
      </c>
      <c r="D15" s="305" t="s">
        <v>2899</v>
      </c>
      <c r="E15" s="307"/>
      <c r="F15" s="312" t="s">
        <v>676</v>
      </c>
      <c r="G15" s="307"/>
      <c r="H15" s="307"/>
      <c r="I15" s="307"/>
      <c r="J15" s="307"/>
      <c r="K15" s="307"/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</row>
    <row r="16">
      <c r="A16" s="311">
        <v>45839.0</v>
      </c>
      <c r="B16" s="305" t="s">
        <v>2900</v>
      </c>
      <c r="C16" s="305" t="s">
        <v>2876</v>
      </c>
      <c r="D16" s="310"/>
      <c r="E16" s="307"/>
      <c r="F16" s="307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</row>
    <row r="17">
      <c r="A17" s="311">
        <v>45839.0</v>
      </c>
      <c r="B17" s="305" t="s">
        <v>2901</v>
      </c>
      <c r="C17" s="305" t="s">
        <v>2876</v>
      </c>
      <c r="D17" s="310"/>
      <c r="E17" s="307"/>
      <c r="F17" s="307"/>
      <c r="G17" s="307"/>
      <c r="H17" s="307"/>
      <c r="I17" s="307"/>
      <c r="J17" s="307"/>
      <c r="K17" s="307"/>
      <c r="L17" s="307"/>
      <c r="M17" s="307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</row>
    <row r="18">
      <c r="A18" s="307"/>
      <c r="B18" s="307"/>
      <c r="C18" s="305" t="s">
        <v>1542</v>
      </c>
      <c r="D18" s="310"/>
      <c r="E18" s="307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</row>
    <row r="19">
      <c r="A19" s="307"/>
      <c r="B19" s="307"/>
      <c r="C19" s="307"/>
      <c r="D19" s="310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</row>
    <row r="20">
      <c r="A20" s="307"/>
      <c r="B20" s="307"/>
      <c r="C20" s="307"/>
      <c r="D20" s="310"/>
      <c r="E20" s="307"/>
      <c r="F20" s="307"/>
      <c r="G20" s="307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</row>
    <row r="21">
      <c r="A21" s="307"/>
      <c r="B21" s="307"/>
      <c r="C21" s="307"/>
      <c r="D21" s="310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</row>
    <row r="22">
      <c r="A22" s="307"/>
      <c r="B22" s="307"/>
      <c r="C22" s="307"/>
      <c r="D22" s="310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</row>
    <row r="23">
      <c r="A23" s="307"/>
      <c r="B23" s="307"/>
      <c r="C23" s="307"/>
      <c r="D23" s="310"/>
      <c r="E23" s="307"/>
      <c r="F23" s="307"/>
      <c r="G23" s="307"/>
      <c r="H23" s="307"/>
      <c r="I23" s="307"/>
      <c r="J23" s="307"/>
      <c r="K23" s="307"/>
      <c r="L23" s="307"/>
      <c r="M23" s="307"/>
      <c r="N23" s="307"/>
      <c r="O23" s="307"/>
      <c r="P23" s="307"/>
      <c r="Q23" s="307"/>
      <c r="R23" s="307"/>
      <c r="S23" s="307"/>
      <c r="T23" s="307"/>
      <c r="U23" s="307"/>
      <c r="V23" s="307"/>
      <c r="W23" s="307"/>
      <c r="X23" s="307"/>
      <c r="Y23" s="307"/>
    </row>
    <row r="24">
      <c r="A24" s="307"/>
      <c r="B24" s="307"/>
      <c r="C24" s="307"/>
      <c r="D24" s="310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</row>
    <row r="25">
      <c r="A25" s="307"/>
      <c r="B25" s="307"/>
      <c r="C25" s="307"/>
      <c r="D25" s="310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</row>
    <row r="26">
      <c r="A26" s="307"/>
      <c r="B26" s="307"/>
      <c r="C26" s="307"/>
      <c r="D26" s="310"/>
      <c r="E26" s="307"/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</row>
    <row r="27">
      <c r="A27" s="307"/>
      <c r="B27" s="307"/>
      <c r="C27" s="307"/>
      <c r="D27" s="310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</row>
    <row r="28">
      <c r="A28" s="307"/>
      <c r="B28" s="307"/>
      <c r="C28" s="307"/>
      <c r="D28" s="310"/>
      <c r="E28" s="307"/>
      <c r="F28" s="307"/>
      <c r="G28" s="307"/>
      <c r="H28" s="307"/>
      <c r="I28" s="307"/>
      <c r="J28" s="307"/>
      <c r="K28" s="307"/>
      <c r="L28" s="307"/>
      <c r="M28" s="307"/>
      <c r="N28" s="307"/>
      <c r="O28" s="307"/>
      <c r="P28" s="307"/>
      <c r="Q28" s="307"/>
      <c r="R28" s="307"/>
      <c r="S28" s="307"/>
      <c r="T28" s="307"/>
      <c r="U28" s="307"/>
      <c r="V28" s="307"/>
      <c r="W28" s="307"/>
      <c r="X28" s="307"/>
      <c r="Y28" s="307"/>
    </row>
    <row r="29">
      <c r="A29" s="307"/>
      <c r="B29" s="307"/>
      <c r="C29" s="307"/>
      <c r="D29" s="310"/>
      <c r="E29" s="307"/>
      <c r="F29" s="307"/>
      <c r="G29" s="307"/>
      <c r="H29" s="307"/>
      <c r="I29" s="307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7"/>
      <c r="V29" s="307"/>
      <c r="W29" s="307"/>
      <c r="X29" s="307"/>
      <c r="Y29" s="307"/>
    </row>
    <row r="30">
      <c r="A30" s="307"/>
      <c r="B30" s="307"/>
      <c r="C30" s="307"/>
      <c r="D30" s="310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</row>
    <row r="31">
      <c r="A31" s="307"/>
      <c r="B31" s="307"/>
      <c r="C31" s="307"/>
      <c r="D31" s="310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Y31" s="307"/>
    </row>
    <row r="32">
      <c r="A32" s="307"/>
      <c r="B32" s="307"/>
      <c r="C32" s="307"/>
      <c r="D32" s="310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</row>
    <row r="33">
      <c r="A33" s="307"/>
      <c r="B33" s="307"/>
      <c r="C33" s="307"/>
      <c r="D33" s="310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</row>
    <row r="34">
      <c r="A34" s="307"/>
      <c r="B34" s="307"/>
      <c r="C34" s="307"/>
      <c r="D34" s="310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</row>
    <row r="35">
      <c r="A35" s="307"/>
      <c r="B35" s="307"/>
      <c r="C35" s="307"/>
      <c r="D35" s="310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</row>
    <row r="36">
      <c r="A36" s="307"/>
      <c r="B36" s="307"/>
      <c r="C36" s="307"/>
      <c r="D36" s="310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</row>
    <row r="37">
      <c r="A37" s="307"/>
      <c r="B37" s="307"/>
      <c r="C37" s="307"/>
      <c r="D37" s="310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</row>
    <row r="38">
      <c r="A38" s="307"/>
      <c r="B38" s="307"/>
      <c r="C38" s="307"/>
      <c r="D38" s="310"/>
      <c r="E38" s="307"/>
      <c r="F38" s="307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7"/>
      <c r="Y38" s="307"/>
    </row>
    <row r="39">
      <c r="A39" s="307"/>
      <c r="B39" s="307"/>
      <c r="C39" s="307"/>
      <c r="D39" s="310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7"/>
    </row>
    <row r="40">
      <c r="A40" s="307"/>
      <c r="B40" s="307"/>
      <c r="C40" s="307"/>
      <c r="D40" s="310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</row>
    <row r="41">
      <c r="A41" s="307"/>
      <c r="B41" s="307"/>
      <c r="C41" s="307"/>
      <c r="D41" s="310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7"/>
      <c r="Y41" s="307"/>
    </row>
    <row r="42">
      <c r="A42" s="307"/>
      <c r="B42" s="307"/>
      <c r="C42" s="307"/>
      <c r="D42" s="310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7"/>
    </row>
    <row r="43">
      <c r="A43" s="307"/>
      <c r="B43" s="307"/>
      <c r="C43" s="307"/>
      <c r="D43" s="310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</row>
    <row r="44">
      <c r="A44" s="307"/>
      <c r="B44" s="307"/>
      <c r="C44" s="307"/>
      <c r="D44" s="310"/>
      <c r="E44" s="307"/>
      <c r="F44" s="307"/>
      <c r="G44" s="307"/>
      <c r="H44" s="307"/>
      <c r="I44" s="307"/>
      <c r="J44" s="307"/>
      <c r="K44" s="307"/>
      <c r="L44" s="307"/>
      <c r="M44" s="307"/>
      <c r="N44" s="307"/>
      <c r="O44" s="307"/>
      <c r="P44" s="307"/>
      <c r="Q44" s="307"/>
      <c r="R44" s="307"/>
      <c r="S44" s="307"/>
      <c r="T44" s="307"/>
      <c r="U44" s="307"/>
      <c r="V44" s="307"/>
      <c r="W44" s="307"/>
      <c r="X44" s="307"/>
      <c r="Y44" s="307"/>
    </row>
    <row r="45">
      <c r="A45" s="307"/>
      <c r="B45" s="307"/>
      <c r="C45" s="307"/>
      <c r="D45" s="310"/>
      <c r="E45" s="307"/>
      <c r="F45" s="307"/>
      <c r="G45" s="307"/>
      <c r="H45" s="307"/>
      <c r="I45" s="307"/>
      <c r="J45" s="307"/>
      <c r="K45" s="307"/>
      <c r="L45" s="307"/>
      <c r="M45" s="307"/>
      <c r="N45" s="307"/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307"/>
    </row>
    <row r="46">
      <c r="A46" s="307"/>
      <c r="B46" s="307"/>
      <c r="C46" s="307"/>
      <c r="D46" s="310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</row>
    <row r="47">
      <c r="A47" s="307"/>
      <c r="B47" s="307"/>
      <c r="C47" s="307"/>
      <c r="D47" s="310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  <c r="Y47" s="307"/>
    </row>
    <row r="48">
      <c r="A48" s="307"/>
      <c r="B48" s="307"/>
      <c r="C48" s="307"/>
      <c r="D48" s="310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307"/>
    </row>
    <row r="49">
      <c r="A49" s="307"/>
      <c r="B49" s="307"/>
      <c r="C49" s="307"/>
      <c r="D49" s="310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07"/>
      <c r="P49" s="307"/>
      <c r="Q49" s="307"/>
      <c r="R49" s="307"/>
      <c r="S49" s="307"/>
      <c r="T49" s="307"/>
      <c r="U49" s="307"/>
      <c r="V49" s="307"/>
      <c r="W49" s="307"/>
      <c r="X49" s="307"/>
      <c r="Y49" s="307"/>
    </row>
    <row r="50">
      <c r="A50" s="307"/>
      <c r="B50" s="307"/>
      <c r="C50" s="307"/>
      <c r="D50" s="310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7"/>
      <c r="V50" s="307"/>
      <c r="W50" s="307"/>
      <c r="X50" s="307"/>
      <c r="Y50" s="307"/>
    </row>
    <row r="51">
      <c r="A51" s="307"/>
      <c r="B51" s="307"/>
      <c r="C51" s="307"/>
      <c r="D51" s="310"/>
      <c r="E51" s="307"/>
      <c r="F51" s="307"/>
      <c r="G51" s="307"/>
      <c r="H51" s="307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  <c r="W51" s="307"/>
      <c r="X51" s="307"/>
      <c r="Y51" s="307"/>
    </row>
    <row r="52">
      <c r="A52" s="307"/>
      <c r="B52" s="307"/>
      <c r="C52" s="307"/>
      <c r="D52" s="310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</row>
    <row r="53">
      <c r="A53" s="307"/>
      <c r="B53" s="307"/>
      <c r="C53" s="307"/>
      <c r="D53" s="310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Y53" s="307"/>
    </row>
    <row r="54">
      <c r="A54" s="307"/>
      <c r="B54" s="307"/>
      <c r="C54" s="307"/>
      <c r="D54" s="310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307"/>
      <c r="R54" s="307"/>
      <c r="S54" s="307"/>
      <c r="T54" s="307"/>
      <c r="U54" s="307"/>
      <c r="V54" s="307"/>
      <c r="W54" s="307"/>
      <c r="X54" s="307"/>
      <c r="Y54" s="307"/>
    </row>
    <row r="55">
      <c r="A55" s="307"/>
      <c r="B55" s="307"/>
      <c r="C55" s="307"/>
      <c r="D55" s="310"/>
      <c r="E55" s="307"/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7"/>
    </row>
    <row r="56">
      <c r="A56" s="307"/>
      <c r="B56" s="307"/>
      <c r="C56" s="307"/>
      <c r="D56" s="310"/>
      <c r="E56" s="307"/>
      <c r="F56" s="307"/>
      <c r="G56" s="307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</row>
    <row r="57">
      <c r="A57" s="307"/>
      <c r="B57" s="307"/>
      <c r="C57" s="307"/>
      <c r="D57" s="310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</row>
    <row r="58">
      <c r="A58" s="307"/>
      <c r="B58" s="307"/>
      <c r="C58" s="307"/>
      <c r="D58" s="310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7"/>
    </row>
    <row r="59">
      <c r="A59" s="307"/>
      <c r="B59" s="307"/>
      <c r="C59" s="307"/>
      <c r="D59" s="310"/>
      <c r="E59" s="307"/>
      <c r="F59" s="307"/>
      <c r="G59" s="307"/>
      <c r="H59" s="307"/>
      <c r="I59" s="307"/>
      <c r="J59" s="307"/>
      <c r="K59" s="307"/>
      <c r="L59" s="307"/>
      <c r="M59" s="307"/>
      <c r="N59" s="307"/>
      <c r="O59" s="307"/>
      <c r="P59" s="307"/>
      <c r="Q59" s="307"/>
      <c r="R59" s="307"/>
      <c r="S59" s="307"/>
      <c r="T59" s="307"/>
      <c r="U59" s="307"/>
      <c r="V59" s="307"/>
      <c r="W59" s="307"/>
      <c r="X59" s="307"/>
      <c r="Y59" s="307"/>
    </row>
    <row r="60">
      <c r="A60" s="307"/>
      <c r="B60" s="307"/>
      <c r="C60" s="307"/>
      <c r="D60" s="310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</row>
    <row r="61">
      <c r="A61" s="307"/>
      <c r="B61" s="307"/>
      <c r="C61" s="307"/>
      <c r="D61" s="310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  <c r="U61" s="307"/>
      <c r="V61" s="307"/>
      <c r="W61" s="307"/>
      <c r="X61" s="307"/>
      <c r="Y61" s="307"/>
    </row>
    <row r="62">
      <c r="A62" s="307"/>
      <c r="B62" s="307"/>
      <c r="C62" s="307"/>
      <c r="D62" s="310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07"/>
      <c r="P62" s="307"/>
      <c r="Q62" s="307"/>
      <c r="R62" s="307"/>
      <c r="S62" s="307"/>
      <c r="T62" s="307"/>
      <c r="U62" s="307"/>
      <c r="V62" s="307"/>
      <c r="W62" s="307"/>
      <c r="X62" s="307"/>
      <c r="Y62" s="307"/>
    </row>
    <row r="63">
      <c r="A63" s="307"/>
      <c r="B63" s="307"/>
      <c r="C63" s="307"/>
      <c r="D63" s="310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</row>
    <row r="64">
      <c r="A64" s="307"/>
      <c r="B64" s="307"/>
      <c r="C64" s="307"/>
      <c r="D64" s="310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</row>
    <row r="65">
      <c r="A65" s="307"/>
      <c r="B65" s="307"/>
      <c r="C65" s="307"/>
      <c r="D65" s="310"/>
      <c r="E65" s="307"/>
      <c r="F65" s="307"/>
      <c r="G65" s="307"/>
      <c r="H65" s="307"/>
      <c r="I65" s="307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307"/>
      <c r="U65" s="307"/>
      <c r="V65" s="307"/>
      <c r="W65" s="307"/>
      <c r="X65" s="307"/>
      <c r="Y65" s="307"/>
    </row>
    <row r="66">
      <c r="A66" s="307"/>
      <c r="B66" s="307"/>
      <c r="C66" s="307"/>
      <c r="D66" s="310"/>
      <c r="E66" s="307"/>
      <c r="F66" s="307"/>
      <c r="G66" s="307"/>
      <c r="H66" s="307"/>
      <c r="I66" s="307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  <c r="U66" s="307"/>
      <c r="V66" s="307"/>
      <c r="W66" s="307"/>
      <c r="X66" s="307"/>
      <c r="Y66" s="307"/>
    </row>
    <row r="67">
      <c r="A67" s="307"/>
      <c r="B67" s="307"/>
      <c r="C67" s="307"/>
      <c r="D67" s="310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7"/>
      <c r="X67" s="307"/>
      <c r="Y67" s="307"/>
    </row>
    <row r="68">
      <c r="A68" s="307"/>
      <c r="B68" s="307"/>
      <c r="C68" s="307"/>
      <c r="D68" s="310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</row>
    <row r="69">
      <c r="A69" s="307"/>
      <c r="B69" s="307"/>
      <c r="C69" s="307"/>
      <c r="D69" s="310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</row>
    <row r="70">
      <c r="A70" s="307"/>
      <c r="B70" s="307"/>
      <c r="C70" s="307"/>
      <c r="D70" s="310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  <c r="U70" s="307"/>
      <c r="V70" s="307"/>
      <c r="W70" s="307"/>
      <c r="X70" s="307"/>
      <c r="Y70" s="307"/>
    </row>
    <row r="71">
      <c r="A71" s="307"/>
      <c r="B71" s="307"/>
      <c r="C71" s="307"/>
      <c r="D71" s="310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07"/>
      <c r="P71" s="307"/>
      <c r="Q71" s="307"/>
      <c r="R71" s="307"/>
      <c r="S71" s="307"/>
      <c r="T71" s="307"/>
      <c r="U71" s="307"/>
      <c r="V71" s="307"/>
      <c r="W71" s="307"/>
      <c r="X71" s="307"/>
      <c r="Y71" s="307"/>
    </row>
    <row r="72">
      <c r="A72" s="307"/>
      <c r="B72" s="307"/>
      <c r="C72" s="307"/>
      <c r="D72" s="310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</row>
    <row r="73">
      <c r="A73" s="307"/>
      <c r="B73" s="307"/>
      <c r="C73" s="307"/>
      <c r="D73" s="310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  <c r="V73" s="307"/>
      <c r="W73" s="307"/>
      <c r="X73" s="307"/>
      <c r="Y73" s="307"/>
    </row>
    <row r="74">
      <c r="A74" s="307"/>
      <c r="B74" s="307"/>
      <c r="C74" s="307"/>
      <c r="D74" s="310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7"/>
      <c r="V74" s="307"/>
      <c r="W74" s="307"/>
      <c r="X74" s="307"/>
      <c r="Y74" s="307"/>
    </row>
    <row r="75">
      <c r="A75" s="307"/>
      <c r="B75" s="307"/>
      <c r="C75" s="307"/>
      <c r="D75" s="310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</row>
    <row r="76">
      <c r="A76" s="307"/>
      <c r="B76" s="307"/>
      <c r="C76" s="307"/>
      <c r="D76" s="310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</row>
    <row r="77">
      <c r="A77" s="307"/>
      <c r="B77" s="307"/>
      <c r="C77" s="307"/>
      <c r="D77" s="310"/>
      <c r="E77" s="307"/>
      <c r="F77" s="307"/>
      <c r="G77" s="307"/>
      <c r="H77" s="307"/>
      <c r="I77" s="307"/>
      <c r="J77" s="307"/>
      <c r="K77" s="307"/>
      <c r="L77" s="307"/>
      <c r="M77" s="307"/>
      <c r="N77" s="307"/>
      <c r="O77" s="307"/>
      <c r="P77" s="307"/>
      <c r="Q77" s="307"/>
      <c r="R77" s="307"/>
      <c r="S77" s="307"/>
      <c r="T77" s="307"/>
      <c r="U77" s="307"/>
      <c r="V77" s="307"/>
      <c r="W77" s="307"/>
      <c r="X77" s="307"/>
      <c r="Y77" s="307"/>
    </row>
    <row r="78">
      <c r="A78" s="307"/>
      <c r="B78" s="307"/>
      <c r="C78" s="307"/>
      <c r="D78" s="310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  <c r="U78" s="307"/>
      <c r="V78" s="307"/>
      <c r="W78" s="307"/>
      <c r="X78" s="307"/>
      <c r="Y78" s="307"/>
    </row>
    <row r="79">
      <c r="A79" s="307"/>
      <c r="B79" s="307"/>
      <c r="C79" s="307"/>
      <c r="D79" s="310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307"/>
      <c r="Y79" s="307"/>
    </row>
    <row r="80">
      <c r="A80" s="307"/>
      <c r="B80" s="307"/>
      <c r="C80" s="307"/>
      <c r="D80" s="310"/>
      <c r="E80" s="307"/>
      <c r="F80" s="307"/>
      <c r="G80" s="307"/>
      <c r="H80" s="307"/>
      <c r="I80" s="307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7"/>
      <c r="V80" s="307"/>
      <c r="W80" s="307"/>
      <c r="X80" s="307"/>
      <c r="Y80" s="307"/>
    </row>
    <row r="81">
      <c r="A81" s="307"/>
      <c r="B81" s="307"/>
      <c r="C81" s="307"/>
      <c r="D81" s="310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  <c r="U81" s="307"/>
      <c r="V81" s="307"/>
      <c r="W81" s="307"/>
      <c r="X81" s="307"/>
      <c r="Y81" s="307"/>
    </row>
    <row r="82">
      <c r="A82" s="307"/>
      <c r="B82" s="307"/>
      <c r="C82" s="307"/>
      <c r="D82" s="310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</row>
    <row r="83">
      <c r="A83" s="307"/>
      <c r="B83" s="307"/>
      <c r="C83" s="307"/>
      <c r="D83" s="310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07"/>
      <c r="P83" s="307"/>
      <c r="Q83" s="307"/>
      <c r="R83" s="307"/>
      <c r="S83" s="307"/>
      <c r="T83" s="307"/>
      <c r="U83" s="307"/>
      <c r="V83" s="307"/>
      <c r="W83" s="307"/>
      <c r="X83" s="307"/>
      <c r="Y83" s="307"/>
    </row>
    <row r="84">
      <c r="A84" s="307"/>
      <c r="B84" s="307"/>
      <c r="C84" s="307"/>
      <c r="D84" s="310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7"/>
      <c r="V84" s="307"/>
      <c r="W84" s="307"/>
      <c r="X84" s="307"/>
      <c r="Y84" s="307"/>
    </row>
    <row r="85">
      <c r="A85" s="307"/>
      <c r="B85" s="307"/>
      <c r="C85" s="307"/>
      <c r="D85" s="310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</row>
    <row r="86">
      <c r="A86" s="307"/>
      <c r="B86" s="307"/>
      <c r="C86" s="307"/>
      <c r="D86" s="310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</row>
    <row r="87">
      <c r="A87" s="307"/>
      <c r="B87" s="307"/>
      <c r="C87" s="307"/>
      <c r="D87" s="310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</row>
    <row r="88">
      <c r="A88" s="307"/>
      <c r="B88" s="307"/>
      <c r="C88" s="307"/>
      <c r="D88" s="310"/>
      <c r="E88" s="307"/>
      <c r="F88" s="307"/>
      <c r="G88" s="307"/>
      <c r="H88" s="307"/>
      <c r="I88" s="307"/>
      <c r="J88" s="307"/>
      <c r="K88" s="307"/>
      <c r="L88" s="307"/>
      <c r="M88" s="307"/>
      <c r="N88" s="307"/>
      <c r="O88" s="307"/>
      <c r="P88" s="307"/>
      <c r="Q88" s="307"/>
      <c r="R88" s="307"/>
      <c r="S88" s="307"/>
      <c r="T88" s="307"/>
      <c r="U88" s="307"/>
      <c r="V88" s="307"/>
      <c r="W88" s="307"/>
      <c r="X88" s="307"/>
      <c r="Y88" s="307"/>
    </row>
    <row r="89">
      <c r="A89" s="307"/>
      <c r="B89" s="307"/>
      <c r="C89" s="307"/>
      <c r="D89" s="310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</row>
    <row r="90">
      <c r="A90" s="307"/>
      <c r="B90" s="307"/>
      <c r="C90" s="307"/>
      <c r="D90" s="310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</row>
    <row r="91">
      <c r="A91" s="307"/>
      <c r="B91" s="307"/>
      <c r="C91" s="307"/>
      <c r="D91" s="310"/>
      <c r="E91" s="307"/>
      <c r="F91" s="307"/>
      <c r="G91" s="307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</row>
    <row r="92">
      <c r="A92" s="307"/>
      <c r="B92" s="307"/>
      <c r="C92" s="307"/>
      <c r="D92" s="310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7"/>
      <c r="V92" s="307"/>
      <c r="W92" s="307"/>
      <c r="X92" s="307"/>
      <c r="Y92" s="307"/>
    </row>
    <row r="93">
      <c r="A93" s="307"/>
      <c r="B93" s="307"/>
      <c r="C93" s="307"/>
      <c r="D93" s="310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</row>
    <row r="94">
      <c r="A94" s="307"/>
      <c r="B94" s="307"/>
      <c r="C94" s="307"/>
      <c r="D94" s="310"/>
      <c r="E94" s="307"/>
      <c r="F94" s="307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07"/>
      <c r="R94" s="307"/>
      <c r="S94" s="307"/>
      <c r="T94" s="307"/>
      <c r="U94" s="307"/>
      <c r="V94" s="307"/>
      <c r="W94" s="307"/>
      <c r="X94" s="307"/>
      <c r="Y94" s="307"/>
    </row>
    <row r="95">
      <c r="A95" s="307"/>
      <c r="B95" s="307"/>
      <c r="C95" s="307"/>
      <c r="D95" s="310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7"/>
      <c r="V95" s="307"/>
      <c r="W95" s="307"/>
      <c r="X95" s="307"/>
      <c r="Y95" s="307"/>
    </row>
    <row r="96">
      <c r="A96" s="307"/>
      <c r="B96" s="307"/>
      <c r="C96" s="307"/>
      <c r="D96" s="310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  <c r="U96" s="307"/>
      <c r="V96" s="307"/>
      <c r="W96" s="307"/>
      <c r="X96" s="307"/>
      <c r="Y96" s="307"/>
    </row>
    <row r="97">
      <c r="A97" s="307"/>
      <c r="B97" s="307"/>
      <c r="C97" s="307"/>
      <c r="D97" s="310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7"/>
      <c r="V97" s="307"/>
      <c r="W97" s="307"/>
      <c r="X97" s="307"/>
      <c r="Y97" s="307"/>
    </row>
    <row r="98">
      <c r="A98" s="307"/>
      <c r="B98" s="307"/>
      <c r="C98" s="307"/>
      <c r="D98" s="310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  <c r="U98" s="307"/>
      <c r="V98" s="307"/>
      <c r="W98" s="307"/>
      <c r="X98" s="307"/>
      <c r="Y98" s="307"/>
    </row>
    <row r="99">
      <c r="A99" s="307"/>
      <c r="B99" s="307"/>
      <c r="C99" s="307"/>
      <c r="D99" s="310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  <c r="Q99" s="307"/>
      <c r="R99" s="307"/>
      <c r="S99" s="307"/>
      <c r="T99" s="307"/>
      <c r="U99" s="307"/>
      <c r="V99" s="307"/>
      <c r="W99" s="307"/>
      <c r="X99" s="307"/>
      <c r="Y99" s="307"/>
    </row>
    <row r="100">
      <c r="A100" s="307"/>
      <c r="B100" s="307"/>
      <c r="C100" s="307"/>
      <c r="D100" s="310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07"/>
      <c r="P100" s="307"/>
      <c r="Q100" s="307"/>
      <c r="R100" s="307"/>
      <c r="S100" s="307"/>
      <c r="T100" s="307"/>
      <c r="U100" s="307"/>
      <c r="V100" s="307"/>
      <c r="W100" s="307"/>
      <c r="X100" s="307"/>
      <c r="Y100" s="307"/>
    </row>
    <row r="101">
      <c r="A101" s="307"/>
      <c r="B101" s="307"/>
      <c r="C101" s="307"/>
      <c r="D101" s="310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  <c r="U101" s="307"/>
      <c r="V101" s="307"/>
      <c r="W101" s="307"/>
      <c r="X101" s="307"/>
      <c r="Y101" s="307"/>
    </row>
    <row r="102">
      <c r="A102" s="307"/>
      <c r="B102" s="307"/>
      <c r="C102" s="307"/>
      <c r="D102" s="310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7"/>
      <c r="V102" s="307"/>
      <c r="W102" s="307"/>
      <c r="X102" s="307"/>
      <c r="Y102" s="307"/>
    </row>
    <row r="103">
      <c r="A103" s="307"/>
      <c r="B103" s="307"/>
      <c r="C103" s="307"/>
      <c r="D103" s="310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</row>
    <row r="104">
      <c r="A104" s="307"/>
      <c r="B104" s="307"/>
      <c r="C104" s="307"/>
      <c r="D104" s="310"/>
      <c r="E104" s="307"/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  <c r="U104" s="307"/>
      <c r="V104" s="307"/>
      <c r="W104" s="307"/>
      <c r="X104" s="307"/>
      <c r="Y104" s="307"/>
    </row>
    <row r="105">
      <c r="A105" s="307"/>
      <c r="B105" s="307"/>
      <c r="C105" s="307"/>
      <c r="D105" s="310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</row>
    <row r="106">
      <c r="A106" s="307"/>
      <c r="B106" s="307"/>
      <c r="C106" s="307"/>
      <c r="D106" s="310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07"/>
      <c r="P106" s="307"/>
      <c r="Q106" s="307"/>
      <c r="R106" s="307"/>
      <c r="S106" s="307"/>
      <c r="T106" s="307"/>
      <c r="U106" s="307"/>
      <c r="V106" s="307"/>
      <c r="W106" s="307"/>
      <c r="X106" s="307"/>
      <c r="Y106" s="307"/>
    </row>
    <row r="107">
      <c r="A107" s="307"/>
      <c r="B107" s="307"/>
      <c r="C107" s="307"/>
      <c r="D107" s="310"/>
      <c r="E107" s="307"/>
      <c r="F107" s="307"/>
      <c r="G107" s="307"/>
      <c r="H107" s="307"/>
      <c r="I107" s="307"/>
      <c r="J107" s="307"/>
      <c r="K107" s="307"/>
      <c r="L107" s="307"/>
      <c r="M107" s="307"/>
      <c r="N107" s="307"/>
      <c r="O107" s="307"/>
      <c r="P107" s="307"/>
      <c r="Q107" s="307"/>
      <c r="R107" s="307"/>
      <c r="S107" s="307"/>
      <c r="T107" s="307"/>
      <c r="U107" s="307"/>
      <c r="V107" s="307"/>
      <c r="W107" s="307"/>
      <c r="X107" s="307"/>
      <c r="Y107" s="307"/>
    </row>
    <row r="108">
      <c r="A108" s="307"/>
      <c r="B108" s="307"/>
      <c r="C108" s="307"/>
      <c r="D108" s="310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</row>
    <row r="109">
      <c r="A109" s="307"/>
      <c r="B109" s="307"/>
      <c r="C109" s="307"/>
      <c r="D109" s="310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</row>
    <row r="110">
      <c r="A110" s="307"/>
      <c r="B110" s="307"/>
      <c r="C110" s="307"/>
      <c r="D110" s="310"/>
      <c r="E110" s="307"/>
      <c r="F110" s="307"/>
      <c r="G110" s="307"/>
      <c r="H110" s="307"/>
      <c r="I110" s="307"/>
      <c r="J110" s="307"/>
      <c r="K110" s="307"/>
      <c r="L110" s="307"/>
      <c r="M110" s="307"/>
      <c r="N110" s="307"/>
      <c r="O110" s="307"/>
      <c r="P110" s="307"/>
      <c r="Q110" s="307"/>
      <c r="R110" s="307"/>
      <c r="S110" s="307"/>
      <c r="T110" s="307"/>
      <c r="U110" s="307"/>
      <c r="V110" s="307"/>
      <c r="W110" s="307"/>
      <c r="X110" s="307"/>
      <c r="Y110" s="307"/>
    </row>
    <row r="111">
      <c r="A111" s="307"/>
      <c r="B111" s="307"/>
      <c r="C111" s="307"/>
      <c r="D111" s="310"/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  <c r="U111" s="307"/>
      <c r="V111" s="307"/>
      <c r="W111" s="307"/>
      <c r="X111" s="307"/>
      <c r="Y111" s="307"/>
    </row>
    <row r="112">
      <c r="A112" s="307"/>
      <c r="B112" s="307"/>
      <c r="C112" s="307"/>
      <c r="D112" s="310"/>
      <c r="E112" s="307"/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7"/>
      <c r="T112" s="307"/>
      <c r="U112" s="307"/>
      <c r="V112" s="307"/>
      <c r="W112" s="307"/>
      <c r="X112" s="307"/>
      <c r="Y112" s="307"/>
    </row>
    <row r="113">
      <c r="A113" s="307"/>
      <c r="B113" s="307"/>
      <c r="C113" s="307"/>
      <c r="D113" s="310"/>
      <c r="E113" s="307"/>
      <c r="F113" s="307"/>
      <c r="G113" s="307"/>
      <c r="H113" s="307"/>
      <c r="I113" s="307"/>
      <c r="J113" s="307"/>
      <c r="K113" s="307"/>
      <c r="L113" s="307"/>
      <c r="M113" s="307"/>
      <c r="N113" s="307"/>
      <c r="O113" s="307"/>
      <c r="P113" s="307"/>
      <c r="Q113" s="307"/>
      <c r="R113" s="307"/>
      <c r="S113" s="307"/>
      <c r="T113" s="307"/>
      <c r="U113" s="307"/>
      <c r="V113" s="307"/>
      <c r="W113" s="307"/>
      <c r="X113" s="307"/>
      <c r="Y113" s="307"/>
    </row>
    <row r="114">
      <c r="A114" s="307"/>
      <c r="B114" s="307"/>
      <c r="C114" s="307"/>
      <c r="D114" s="310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  <c r="U114" s="307"/>
      <c r="V114" s="307"/>
      <c r="W114" s="307"/>
      <c r="X114" s="307"/>
      <c r="Y114" s="307"/>
    </row>
    <row r="115">
      <c r="A115" s="307"/>
      <c r="B115" s="307"/>
      <c r="C115" s="307"/>
      <c r="D115" s="310"/>
      <c r="E115" s="307"/>
      <c r="F115" s="307"/>
      <c r="G115" s="307"/>
      <c r="H115" s="307"/>
      <c r="I115" s="307"/>
      <c r="J115" s="307"/>
      <c r="K115" s="307"/>
      <c r="L115" s="307"/>
      <c r="M115" s="307"/>
      <c r="N115" s="307"/>
      <c r="O115" s="307"/>
      <c r="P115" s="307"/>
      <c r="Q115" s="307"/>
      <c r="R115" s="307"/>
      <c r="S115" s="307"/>
      <c r="T115" s="307"/>
      <c r="U115" s="307"/>
      <c r="V115" s="307"/>
      <c r="W115" s="307"/>
      <c r="X115" s="307"/>
      <c r="Y115" s="307"/>
    </row>
    <row r="116">
      <c r="A116" s="307"/>
      <c r="B116" s="307"/>
      <c r="C116" s="307"/>
      <c r="D116" s="310"/>
      <c r="E116" s="307"/>
      <c r="F116" s="307"/>
      <c r="G116" s="307"/>
      <c r="H116" s="307"/>
      <c r="I116" s="307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  <c r="U116" s="307"/>
      <c r="V116" s="307"/>
      <c r="W116" s="307"/>
      <c r="X116" s="307"/>
      <c r="Y116" s="307"/>
    </row>
    <row r="117">
      <c r="A117" s="307"/>
      <c r="B117" s="307"/>
      <c r="C117" s="307"/>
      <c r="D117" s="310"/>
      <c r="E117" s="307"/>
      <c r="F117" s="307"/>
      <c r="G117" s="307"/>
      <c r="H117" s="307"/>
      <c r="I117" s="307"/>
      <c r="J117" s="307"/>
      <c r="K117" s="307"/>
      <c r="L117" s="307"/>
      <c r="M117" s="307"/>
      <c r="N117" s="307"/>
      <c r="O117" s="307"/>
      <c r="P117" s="307"/>
      <c r="Q117" s="307"/>
      <c r="R117" s="307"/>
      <c r="S117" s="307"/>
      <c r="T117" s="307"/>
      <c r="U117" s="307"/>
      <c r="V117" s="307"/>
      <c r="W117" s="307"/>
      <c r="X117" s="307"/>
      <c r="Y117" s="307"/>
    </row>
    <row r="118">
      <c r="A118" s="307"/>
      <c r="B118" s="307"/>
      <c r="C118" s="307"/>
      <c r="D118" s="310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</row>
    <row r="119">
      <c r="A119" s="307"/>
      <c r="B119" s="307"/>
      <c r="C119" s="307"/>
      <c r="D119" s="310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</row>
    <row r="120">
      <c r="A120" s="307"/>
      <c r="B120" s="307"/>
      <c r="C120" s="307"/>
      <c r="D120" s="310"/>
      <c r="E120" s="307"/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</row>
    <row r="121">
      <c r="A121" s="307"/>
      <c r="B121" s="307"/>
      <c r="C121" s="307"/>
      <c r="D121" s="310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  <c r="U121" s="307"/>
      <c r="V121" s="307"/>
      <c r="W121" s="307"/>
      <c r="X121" s="307"/>
      <c r="Y121" s="307"/>
    </row>
    <row r="122">
      <c r="A122" s="307"/>
      <c r="B122" s="307"/>
      <c r="C122" s="307"/>
      <c r="D122" s="310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</row>
    <row r="123">
      <c r="A123" s="307"/>
      <c r="B123" s="307"/>
      <c r="C123" s="307"/>
      <c r="D123" s="310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</row>
    <row r="124">
      <c r="A124" s="307"/>
      <c r="B124" s="307"/>
      <c r="C124" s="307"/>
      <c r="D124" s="310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</row>
    <row r="125">
      <c r="A125" s="307"/>
      <c r="B125" s="307"/>
      <c r="C125" s="307"/>
      <c r="D125" s="310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  <c r="U125" s="307"/>
      <c r="V125" s="307"/>
      <c r="W125" s="307"/>
      <c r="X125" s="307"/>
      <c r="Y125" s="307"/>
    </row>
    <row r="126">
      <c r="A126" s="307"/>
      <c r="B126" s="307"/>
      <c r="C126" s="307"/>
      <c r="D126" s="310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07"/>
      <c r="P126" s="307"/>
      <c r="Q126" s="307"/>
      <c r="R126" s="307"/>
      <c r="S126" s="307"/>
      <c r="T126" s="307"/>
      <c r="U126" s="307"/>
      <c r="V126" s="307"/>
      <c r="W126" s="307"/>
      <c r="X126" s="307"/>
      <c r="Y126" s="307"/>
    </row>
    <row r="127">
      <c r="A127" s="307"/>
      <c r="B127" s="307"/>
      <c r="C127" s="307"/>
      <c r="D127" s="310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  <c r="U127" s="307"/>
      <c r="V127" s="307"/>
      <c r="W127" s="307"/>
      <c r="X127" s="307"/>
      <c r="Y127" s="307"/>
    </row>
    <row r="128">
      <c r="A128" s="307"/>
      <c r="B128" s="307"/>
      <c r="C128" s="307"/>
      <c r="D128" s="310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</row>
    <row r="129">
      <c r="A129" s="307"/>
      <c r="B129" s="307"/>
      <c r="C129" s="307"/>
      <c r="D129" s="310"/>
      <c r="E129" s="307"/>
      <c r="F129" s="307"/>
      <c r="G129" s="307"/>
      <c r="H129" s="307"/>
      <c r="I129" s="307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  <c r="U129" s="307"/>
      <c r="V129" s="307"/>
      <c r="W129" s="307"/>
      <c r="X129" s="307"/>
      <c r="Y129" s="307"/>
    </row>
    <row r="130">
      <c r="A130" s="307"/>
      <c r="B130" s="307"/>
      <c r="C130" s="307"/>
      <c r="D130" s="310"/>
      <c r="E130" s="307"/>
      <c r="F130" s="307"/>
      <c r="G130" s="307"/>
      <c r="H130" s="307"/>
      <c r="I130" s="307"/>
      <c r="J130" s="307"/>
      <c r="K130" s="307"/>
      <c r="L130" s="307"/>
      <c r="M130" s="307"/>
      <c r="N130" s="307"/>
      <c r="O130" s="307"/>
      <c r="P130" s="307"/>
      <c r="Q130" s="307"/>
      <c r="R130" s="307"/>
      <c r="S130" s="307"/>
      <c r="T130" s="307"/>
      <c r="U130" s="307"/>
      <c r="V130" s="307"/>
      <c r="W130" s="307"/>
      <c r="X130" s="307"/>
      <c r="Y130" s="307"/>
    </row>
    <row r="131">
      <c r="A131" s="307"/>
      <c r="B131" s="307"/>
      <c r="C131" s="307"/>
      <c r="D131" s="310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</row>
    <row r="132">
      <c r="A132" s="307"/>
      <c r="B132" s="307"/>
      <c r="C132" s="307"/>
      <c r="D132" s="310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</row>
    <row r="133">
      <c r="A133" s="307"/>
      <c r="B133" s="307"/>
      <c r="C133" s="307"/>
      <c r="D133" s="310"/>
      <c r="E133" s="307"/>
      <c r="F133" s="307"/>
      <c r="G133" s="307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</row>
    <row r="134">
      <c r="A134" s="307"/>
      <c r="B134" s="307"/>
      <c r="C134" s="307"/>
      <c r="D134" s="310"/>
      <c r="E134" s="307"/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</row>
    <row r="135">
      <c r="A135" s="307"/>
      <c r="B135" s="307"/>
      <c r="C135" s="307"/>
      <c r="D135" s="310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</row>
    <row r="136">
      <c r="A136" s="307"/>
      <c r="B136" s="307"/>
      <c r="C136" s="307"/>
      <c r="D136" s="310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7"/>
      <c r="V136" s="307"/>
      <c r="W136" s="307"/>
      <c r="X136" s="307"/>
      <c r="Y136" s="307"/>
    </row>
    <row r="137">
      <c r="A137" s="307"/>
      <c r="B137" s="307"/>
      <c r="C137" s="307"/>
      <c r="D137" s="310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7"/>
      <c r="V137" s="307"/>
      <c r="W137" s="307"/>
      <c r="X137" s="307"/>
      <c r="Y137" s="307"/>
    </row>
    <row r="138">
      <c r="A138" s="307"/>
      <c r="B138" s="307"/>
      <c r="C138" s="307"/>
      <c r="D138" s="310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  <c r="U138" s="307"/>
      <c r="V138" s="307"/>
      <c r="W138" s="307"/>
      <c r="X138" s="307"/>
      <c r="Y138" s="307"/>
    </row>
    <row r="139">
      <c r="A139" s="307"/>
      <c r="B139" s="307"/>
      <c r="C139" s="307"/>
      <c r="D139" s="310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07"/>
      <c r="P139" s="307"/>
      <c r="Q139" s="307"/>
      <c r="R139" s="307"/>
      <c r="S139" s="307"/>
      <c r="T139" s="307"/>
      <c r="U139" s="307"/>
      <c r="V139" s="307"/>
      <c r="W139" s="307"/>
      <c r="X139" s="307"/>
      <c r="Y139" s="307"/>
    </row>
    <row r="140">
      <c r="A140" s="307"/>
      <c r="B140" s="307"/>
      <c r="C140" s="307"/>
      <c r="D140" s="310"/>
      <c r="E140" s="307"/>
      <c r="F140" s="307"/>
      <c r="G140" s="307"/>
      <c r="H140" s="307"/>
      <c r="I140" s="307"/>
      <c r="J140" s="307"/>
      <c r="K140" s="307"/>
      <c r="L140" s="307"/>
      <c r="M140" s="307"/>
      <c r="N140" s="307"/>
      <c r="O140" s="307"/>
      <c r="P140" s="307"/>
      <c r="Q140" s="307"/>
      <c r="R140" s="307"/>
      <c r="S140" s="307"/>
      <c r="T140" s="307"/>
      <c r="U140" s="307"/>
      <c r="V140" s="307"/>
      <c r="W140" s="307"/>
      <c r="X140" s="307"/>
      <c r="Y140" s="307"/>
    </row>
    <row r="141">
      <c r="A141" s="307"/>
      <c r="B141" s="307"/>
      <c r="C141" s="307"/>
      <c r="D141" s="310"/>
      <c r="E141" s="307"/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7"/>
      <c r="V141" s="307"/>
      <c r="W141" s="307"/>
      <c r="X141" s="307"/>
      <c r="Y141" s="307"/>
    </row>
    <row r="142">
      <c r="A142" s="307"/>
      <c r="B142" s="307"/>
      <c r="C142" s="307"/>
      <c r="D142" s="310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</row>
    <row r="143">
      <c r="A143" s="307"/>
      <c r="B143" s="307"/>
      <c r="C143" s="307"/>
      <c r="D143" s="310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</row>
    <row r="144">
      <c r="A144" s="307"/>
      <c r="B144" s="307"/>
      <c r="C144" s="307"/>
      <c r="D144" s="310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07"/>
      <c r="P144" s="307"/>
      <c r="Q144" s="307"/>
      <c r="R144" s="307"/>
      <c r="S144" s="307"/>
      <c r="T144" s="307"/>
      <c r="U144" s="307"/>
      <c r="V144" s="307"/>
      <c r="W144" s="307"/>
      <c r="X144" s="307"/>
      <c r="Y144" s="307"/>
    </row>
    <row r="145">
      <c r="A145" s="307"/>
      <c r="B145" s="307"/>
      <c r="C145" s="307"/>
      <c r="D145" s="310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07"/>
      <c r="P145" s="307"/>
      <c r="Q145" s="307"/>
      <c r="R145" s="307"/>
      <c r="S145" s="307"/>
      <c r="T145" s="307"/>
      <c r="U145" s="307"/>
      <c r="V145" s="307"/>
      <c r="W145" s="307"/>
      <c r="X145" s="307"/>
      <c r="Y145" s="307"/>
    </row>
    <row r="146">
      <c r="A146" s="307"/>
      <c r="B146" s="307"/>
      <c r="C146" s="307"/>
      <c r="D146" s="310"/>
      <c r="E146" s="307"/>
      <c r="F146" s="307"/>
      <c r="G146" s="307"/>
      <c r="H146" s="307"/>
      <c r="I146" s="307"/>
      <c r="J146" s="307"/>
      <c r="K146" s="307"/>
      <c r="L146" s="307"/>
      <c r="M146" s="307"/>
      <c r="N146" s="307"/>
      <c r="O146" s="307"/>
      <c r="P146" s="307"/>
      <c r="Q146" s="307"/>
      <c r="R146" s="307"/>
      <c r="S146" s="307"/>
      <c r="T146" s="307"/>
      <c r="U146" s="307"/>
      <c r="V146" s="307"/>
      <c r="W146" s="307"/>
      <c r="X146" s="307"/>
      <c r="Y146" s="307"/>
    </row>
    <row r="147">
      <c r="A147" s="307"/>
      <c r="B147" s="307"/>
      <c r="C147" s="307"/>
      <c r="D147" s="310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</row>
    <row r="148">
      <c r="A148" s="307"/>
      <c r="B148" s="307"/>
      <c r="C148" s="307"/>
      <c r="D148" s="310"/>
      <c r="E148" s="307"/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7"/>
      <c r="V148" s="307"/>
      <c r="W148" s="307"/>
      <c r="X148" s="307"/>
      <c r="Y148" s="307"/>
    </row>
    <row r="149">
      <c r="A149" s="307"/>
      <c r="B149" s="307"/>
      <c r="C149" s="307"/>
      <c r="D149" s="310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</row>
    <row r="150">
      <c r="A150" s="307"/>
      <c r="B150" s="307"/>
      <c r="C150" s="307"/>
      <c r="D150" s="310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07"/>
      <c r="P150" s="307"/>
      <c r="Q150" s="307"/>
      <c r="R150" s="307"/>
      <c r="S150" s="307"/>
      <c r="T150" s="307"/>
      <c r="U150" s="307"/>
      <c r="V150" s="307"/>
      <c r="W150" s="307"/>
      <c r="X150" s="307"/>
      <c r="Y150" s="307"/>
    </row>
    <row r="151">
      <c r="A151" s="307"/>
      <c r="B151" s="307"/>
      <c r="C151" s="307"/>
      <c r="D151" s="310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07"/>
      <c r="P151" s="307"/>
      <c r="Q151" s="307"/>
      <c r="R151" s="307"/>
      <c r="S151" s="307"/>
      <c r="T151" s="307"/>
      <c r="U151" s="307"/>
      <c r="V151" s="307"/>
      <c r="W151" s="307"/>
      <c r="X151" s="307"/>
      <c r="Y151" s="307"/>
    </row>
    <row r="152">
      <c r="A152" s="307"/>
      <c r="B152" s="307"/>
      <c r="C152" s="307"/>
      <c r="D152" s="310"/>
      <c r="E152" s="307"/>
      <c r="F152" s="307"/>
      <c r="G152" s="307"/>
      <c r="H152" s="307"/>
      <c r="I152" s="307"/>
      <c r="J152" s="307"/>
      <c r="K152" s="307"/>
      <c r="L152" s="307"/>
      <c r="M152" s="307"/>
      <c r="N152" s="307"/>
      <c r="O152" s="307"/>
      <c r="P152" s="307"/>
      <c r="Q152" s="307"/>
      <c r="R152" s="307"/>
      <c r="S152" s="307"/>
      <c r="T152" s="307"/>
      <c r="U152" s="307"/>
      <c r="V152" s="307"/>
      <c r="W152" s="307"/>
      <c r="X152" s="307"/>
      <c r="Y152" s="307"/>
    </row>
    <row r="153">
      <c r="A153" s="307"/>
      <c r="B153" s="307"/>
      <c r="C153" s="307"/>
      <c r="D153" s="310"/>
      <c r="E153" s="307"/>
      <c r="F153" s="307"/>
      <c r="G153" s="307"/>
      <c r="H153" s="307"/>
      <c r="I153" s="307"/>
      <c r="J153" s="307"/>
      <c r="K153" s="307"/>
      <c r="L153" s="307"/>
      <c r="M153" s="307"/>
      <c r="N153" s="307"/>
      <c r="O153" s="307"/>
      <c r="P153" s="307"/>
      <c r="Q153" s="307"/>
      <c r="R153" s="307"/>
      <c r="S153" s="307"/>
      <c r="T153" s="307"/>
      <c r="U153" s="307"/>
      <c r="V153" s="307"/>
      <c r="W153" s="307"/>
      <c r="X153" s="307"/>
      <c r="Y153" s="307"/>
    </row>
    <row r="154">
      <c r="A154" s="307"/>
      <c r="B154" s="307"/>
      <c r="C154" s="307"/>
      <c r="D154" s="310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</row>
    <row r="155">
      <c r="A155" s="307"/>
      <c r="B155" s="307"/>
      <c r="C155" s="307"/>
      <c r="D155" s="310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  <c r="U155" s="307"/>
      <c r="V155" s="307"/>
      <c r="W155" s="307"/>
      <c r="X155" s="307"/>
      <c r="Y155" s="307"/>
    </row>
    <row r="156">
      <c r="A156" s="307"/>
      <c r="B156" s="307"/>
      <c r="C156" s="307"/>
      <c r="D156" s="310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07"/>
      <c r="P156" s="307"/>
      <c r="Q156" s="307"/>
      <c r="R156" s="307"/>
      <c r="S156" s="307"/>
      <c r="T156" s="307"/>
      <c r="U156" s="307"/>
      <c r="V156" s="307"/>
      <c r="W156" s="307"/>
      <c r="X156" s="307"/>
      <c r="Y156" s="307"/>
    </row>
    <row r="157">
      <c r="A157" s="307"/>
      <c r="B157" s="307"/>
      <c r="C157" s="307"/>
      <c r="D157" s="310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</row>
    <row r="158">
      <c r="A158" s="307"/>
      <c r="B158" s="307"/>
      <c r="C158" s="307"/>
      <c r="D158" s="310"/>
      <c r="E158" s="307"/>
      <c r="F158" s="307"/>
      <c r="G158" s="307"/>
      <c r="H158" s="307"/>
      <c r="I158" s="307"/>
      <c r="J158" s="307"/>
      <c r="K158" s="307"/>
      <c r="L158" s="307"/>
      <c r="M158" s="307"/>
      <c r="N158" s="307"/>
      <c r="O158" s="307"/>
      <c r="P158" s="307"/>
      <c r="Q158" s="307"/>
      <c r="R158" s="307"/>
      <c r="S158" s="307"/>
      <c r="T158" s="307"/>
      <c r="U158" s="307"/>
      <c r="V158" s="307"/>
      <c r="W158" s="307"/>
      <c r="X158" s="307"/>
      <c r="Y158" s="307"/>
    </row>
    <row r="159">
      <c r="A159" s="307"/>
      <c r="B159" s="307"/>
      <c r="C159" s="307"/>
      <c r="D159" s="310"/>
      <c r="E159" s="307"/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</row>
    <row r="160">
      <c r="A160" s="307"/>
      <c r="B160" s="307"/>
      <c r="C160" s="307"/>
      <c r="D160" s="310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</row>
    <row r="161">
      <c r="A161" s="307"/>
      <c r="B161" s="307"/>
      <c r="C161" s="307"/>
      <c r="D161" s="310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</row>
    <row r="162">
      <c r="A162" s="307"/>
      <c r="B162" s="307"/>
      <c r="C162" s="307"/>
      <c r="D162" s="310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07"/>
      <c r="P162" s="307"/>
      <c r="Q162" s="307"/>
      <c r="R162" s="307"/>
      <c r="S162" s="307"/>
      <c r="T162" s="307"/>
      <c r="U162" s="307"/>
      <c r="V162" s="307"/>
      <c r="W162" s="307"/>
      <c r="X162" s="307"/>
      <c r="Y162" s="307"/>
    </row>
    <row r="163">
      <c r="A163" s="307"/>
      <c r="B163" s="307"/>
      <c r="C163" s="307"/>
      <c r="D163" s="310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07"/>
      <c r="P163" s="307"/>
      <c r="Q163" s="307"/>
      <c r="R163" s="307"/>
      <c r="S163" s="307"/>
      <c r="T163" s="307"/>
      <c r="U163" s="307"/>
      <c r="V163" s="307"/>
      <c r="W163" s="307"/>
      <c r="X163" s="307"/>
      <c r="Y163" s="307"/>
    </row>
    <row r="164">
      <c r="A164" s="307"/>
      <c r="B164" s="307"/>
      <c r="C164" s="307"/>
      <c r="D164" s="310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7"/>
      <c r="V164" s="307"/>
      <c r="W164" s="307"/>
      <c r="X164" s="307"/>
      <c r="Y164" s="307"/>
    </row>
    <row r="165">
      <c r="A165" s="307"/>
      <c r="B165" s="307"/>
      <c r="C165" s="307"/>
      <c r="D165" s="310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</row>
    <row r="166">
      <c r="A166" s="307"/>
      <c r="B166" s="307"/>
      <c r="C166" s="307"/>
      <c r="D166" s="310"/>
      <c r="E166" s="307"/>
      <c r="F166" s="307"/>
      <c r="G166" s="307"/>
      <c r="H166" s="307"/>
      <c r="I166" s="307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  <c r="U166" s="307"/>
      <c r="V166" s="307"/>
      <c r="W166" s="307"/>
      <c r="X166" s="307"/>
      <c r="Y166" s="307"/>
    </row>
    <row r="167">
      <c r="A167" s="307"/>
      <c r="B167" s="307"/>
      <c r="C167" s="307"/>
      <c r="D167" s="310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  <c r="U167" s="307"/>
      <c r="V167" s="307"/>
      <c r="W167" s="307"/>
      <c r="X167" s="307"/>
      <c r="Y167" s="307"/>
    </row>
    <row r="168">
      <c r="A168" s="307"/>
      <c r="B168" s="307"/>
      <c r="C168" s="307"/>
      <c r="D168" s="310"/>
      <c r="E168" s="307"/>
      <c r="F168" s="307"/>
      <c r="G168" s="307"/>
      <c r="H168" s="307"/>
      <c r="I168" s="307"/>
      <c r="J168" s="307"/>
      <c r="K168" s="307"/>
      <c r="L168" s="307"/>
      <c r="M168" s="307"/>
      <c r="N168" s="307"/>
      <c r="O168" s="307"/>
      <c r="P168" s="307"/>
      <c r="Q168" s="307"/>
      <c r="R168" s="307"/>
      <c r="S168" s="307"/>
      <c r="T168" s="307"/>
      <c r="U168" s="307"/>
      <c r="V168" s="307"/>
      <c r="W168" s="307"/>
      <c r="X168" s="307"/>
      <c r="Y168" s="307"/>
    </row>
    <row r="169">
      <c r="A169" s="307"/>
      <c r="B169" s="307"/>
      <c r="C169" s="307"/>
      <c r="D169" s="310"/>
      <c r="E169" s="307"/>
      <c r="F169" s="307"/>
      <c r="G169" s="307"/>
      <c r="H169" s="307"/>
      <c r="I169" s="307"/>
      <c r="J169" s="307"/>
      <c r="K169" s="307"/>
      <c r="L169" s="307"/>
      <c r="M169" s="307"/>
      <c r="N169" s="307"/>
      <c r="O169" s="307"/>
      <c r="P169" s="307"/>
      <c r="Q169" s="307"/>
      <c r="R169" s="307"/>
      <c r="S169" s="307"/>
      <c r="T169" s="307"/>
      <c r="U169" s="307"/>
      <c r="V169" s="307"/>
      <c r="W169" s="307"/>
      <c r="X169" s="307"/>
      <c r="Y169" s="307"/>
    </row>
    <row r="170">
      <c r="A170" s="307"/>
      <c r="B170" s="307"/>
      <c r="C170" s="307"/>
      <c r="D170" s="310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</row>
    <row r="171">
      <c r="A171" s="307"/>
      <c r="B171" s="307"/>
      <c r="C171" s="307"/>
      <c r="D171" s="310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</row>
    <row r="172">
      <c r="A172" s="307"/>
      <c r="B172" s="307"/>
      <c r="C172" s="307"/>
      <c r="D172" s="310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07"/>
      <c r="P172" s="307"/>
      <c r="Q172" s="307"/>
      <c r="R172" s="307"/>
      <c r="S172" s="307"/>
      <c r="T172" s="307"/>
      <c r="U172" s="307"/>
      <c r="V172" s="307"/>
      <c r="W172" s="307"/>
      <c r="X172" s="307"/>
      <c r="Y172" s="307"/>
    </row>
    <row r="173">
      <c r="A173" s="307"/>
      <c r="B173" s="307"/>
      <c r="C173" s="307"/>
      <c r="D173" s="310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  <c r="U173" s="307"/>
      <c r="V173" s="307"/>
      <c r="W173" s="307"/>
      <c r="X173" s="307"/>
      <c r="Y173" s="307"/>
    </row>
    <row r="174">
      <c r="A174" s="307"/>
      <c r="B174" s="307"/>
      <c r="C174" s="307"/>
      <c r="D174" s="310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/>
      <c r="Y174" s="307"/>
    </row>
    <row r="175">
      <c r="A175" s="307"/>
      <c r="B175" s="307"/>
      <c r="C175" s="307"/>
      <c r="D175" s="310"/>
      <c r="E175" s="307"/>
      <c r="F175" s="307"/>
      <c r="G175" s="307"/>
      <c r="H175" s="307"/>
      <c r="I175" s="307"/>
      <c r="J175" s="307"/>
      <c r="K175" s="307"/>
      <c r="L175" s="307"/>
      <c r="M175" s="307"/>
      <c r="N175" s="307"/>
      <c r="O175" s="307"/>
      <c r="P175" s="307"/>
      <c r="Q175" s="307"/>
      <c r="R175" s="307"/>
      <c r="S175" s="307"/>
      <c r="T175" s="307"/>
      <c r="U175" s="307"/>
      <c r="V175" s="307"/>
      <c r="W175" s="307"/>
      <c r="X175" s="307"/>
      <c r="Y175" s="307"/>
    </row>
    <row r="176">
      <c r="A176" s="307"/>
      <c r="B176" s="307"/>
      <c r="C176" s="307"/>
      <c r="D176" s="310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</row>
    <row r="177">
      <c r="A177" s="307"/>
      <c r="B177" s="307"/>
      <c r="C177" s="307"/>
      <c r="D177" s="310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</row>
    <row r="178">
      <c r="A178" s="307"/>
      <c r="B178" s="307"/>
      <c r="C178" s="307"/>
      <c r="D178" s="310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7"/>
      <c r="V178" s="307"/>
      <c r="W178" s="307"/>
      <c r="X178" s="307"/>
      <c r="Y178" s="307"/>
    </row>
    <row r="179">
      <c r="A179" s="307"/>
      <c r="B179" s="307"/>
      <c r="C179" s="307"/>
      <c r="D179" s="310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07"/>
      <c r="P179" s="307"/>
      <c r="Q179" s="307"/>
      <c r="R179" s="307"/>
      <c r="S179" s="307"/>
      <c r="T179" s="307"/>
      <c r="U179" s="307"/>
      <c r="V179" s="307"/>
      <c r="W179" s="307"/>
      <c r="X179" s="307"/>
      <c r="Y179" s="307"/>
    </row>
    <row r="180">
      <c r="A180" s="307"/>
      <c r="B180" s="307"/>
      <c r="C180" s="307"/>
      <c r="D180" s="310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07"/>
      <c r="P180" s="307"/>
      <c r="Q180" s="307"/>
      <c r="R180" s="307"/>
      <c r="S180" s="307"/>
      <c r="T180" s="307"/>
      <c r="U180" s="307"/>
      <c r="V180" s="307"/>
      <c r="W180" s="307"/>
      <c r="X180" s="307"/>
      <c r="Y180" s="307"/>
    </row>
    <row r="181">
      <c r="A181" s="307"/>
      <c r="B181" s="307"/>
      <c r="C181" s="307"/>
      <c r="D181" s="310"/>
      <c r="E181" s="307"/>
      <c r="F181" s="307"/>
      <c r="G181" s="307"/>
      <c r="H181" s="307"/>
      <c r="I181" s="307"/>
      <c r="J181" s="307"/>
      <c r="K181" s="307"/>
      <c r="L181" s="307"/>
      <c r="M181" s="307"/>
      <c r="N181" s="307"/>
      <c r="O181" s="307"/>
      <c r="P181" s="307"/>
      <c r="Q181" s="307"/>
      <c r="R181" s="307"/>
      <c r="S181" s="307"/>
      <c r="T181" s="307"/>
      <c r="U181" s="307"/>
      <c r="V181" s="307"/>
      <c r="W181" s="307"/>
      <c r="X181" s="307"/>
      <c r="Y181" s="307"/>
    </row>
    <row r="182">
      <c r="A182" s="307"/>
      <c r="B182" s="307"/>
      <c r="C182" s="307"/>
      <c r="D182" s="310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</row>
    <row r="183">
      <c r="A183" s="307"/>
      <c r="B183" s="307"/>
      <c r="C183" s="307"/>
      <c r="D183" s="310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7"/>
      <c r="V183" s="307"/>
      <c r="W183" s="307"/>
      <c r="X183" s="307"/>
      <c r="Y183" s="307"/>
    </row>
    <row r="184">
      <c r="A184" s="307"/>
      <c r="B184" s="307"/>
      <c r="C184" s="307"/>
      <c r="D184" s="310"/>
      <c r="E184" s="307"/>
      <c r="F184" s="307"/>
      <c r="G184" s="307"/>
      <c r="H184" s="307"/>
      <c r="I184" s="307"/>
      <c r="J184" s="307"/>
      <c r="K184" s="307"/>
      <c r="L184" s="307"/>
      <c r="M184" s="307"/>
      <c r="N184" s="307"/>
      <c r="O184" s="307"/>
      <c r="P184" s="307"/>
      <c r="Q184" s="307"/>
      <c r="R184" s="307"/>
      <c r="S184" s="307"/>
      <c r="T184" s="307"/>
      <c r="U184" s="307"/>
      <c r="V184" s="307"/>
      <c r="W184" s="307"/>
      <c r="X184" s="307"/>
      <c r="Y184" s="307"/>
    </row>
    <row r="185">
      <c r="A185" s="307"/>
      <c r="B185" s="307"/>
      <c r="C185" s="307"/>
      <c r="D185" s="310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307"/>
      <c r="R185" s="307"/>
      <c r="S185" s="307"/>
      <c r="T185" s="307"/>
      <c r="U185" s="307"/>
      <c r="V185" s="307"/>
      <c r="W185" s="307"/>
      <c r="X185" s="307"/>
      <c r="Y185" s="307"/>
    </row>
    <row r="186">
      <c r="A186" s="307"/>
      <c r="B186" s="307"/>
      <c r="C186" s="307"/>
      <c r="D186" s="310"/>
      <c r="E186" s="307"/>
      <c r="F186" s="307"/>
      <c r="G186" s="307"/>
      <c r="H186" s="307"/>
      <c r="I186" s="307"/>
      <c r="J186" s="307"/>
      <c r="K186" s="307"/>
      <c r="L186" s="307"/>
      <c r="M186" s="307"/>
      <c r="N186" s="307"/>
      <c r="O186" s="307"/>
      <c r="P186" s="307"/>
      <c r="Q186" s="307"/>
      <c r="R186" s="307"/>
      <c r="S186" s="307"/>
      <c r="T186" s="307"/>
      <c r="U186" s="307"/>
      <c r="V186" s="307"/>
      <c r="W186" s="307"/>
      <c r="X186" s="307"/>
      <c r="Y186" s="307"/>
    </row>
    <row r="187">
      <c r="A187" s="307"/>
      <c r="B187" s="307"/>
      <c r="C187" s="307"/>
      <c r="D187" s="310"/>
      <c r="E187" s="307"/>
      <c r="F187" s="307"/>
      <c r="G187" s="307"/>
      <c r="H187" s="307"/>
      <c r="I187" s="307"/>
      <c r="J187" s="307"/>
      <c r="K187" s="307"/>
      <c r="L187" s="307"/>
      <c r="M187" s="307"/>
      <c r="N187" s="307"/>
      <c r="O187" s="307"/>
      <c r="P187" s="307"/>
      <c r="Q187" s="307"/>
      <c r="R187" s="307"/>
      <c r="S187" s="307"/>
      <c r="T187" s="307"/>
      <c r="U187" s="307"/>
      <c r="V187" s="307"/>
      <c r="W187" s="307"/>
      <c r="X187" s="307"/>
      <c r="Y187" s="307"/>
    </row>
    <row r="188">
      <c r="A188" s="307"/>
      <c r="B188" s="307"/>
      <c r="C188" s="307"/>
      <c r="D188" s="310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</row>
    <row r="189">
      <c r="A189" s="307"/>
      <c r="B189" s="307"/>
      <c r="C189" s="307"/>
      <c r="D189" s="310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</row>
    <row r="190">
      <c r="A190" s="307"/>
      <c r="B190" s="307"/>
      <c r="C190" s="307"/>
      <c r="D190" s="310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</row>
    <row r="191">
      <c r="A191" s="307"/>
      <c r="B191" s="307"/>
      <c r="C191" s="307"/>
      <c r="D191" s="310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</row>
    <row r="192">
      <c r="A192" s="307"/>
      <c r="B192" s="307"/>
      <c r="C192" s="307"/>
      <c r="D192" s="310"/>
      <c r="E192" s="307"/>
      <c r="F192" s="307"/>
      <c r="G192" s="307"/>
      <c r="H192" s="307"/>
      <c r="I192" s="307"/>
      <c r="J192" s="307"/>
      <c r="K192" s="307"/>
      <c r="L192" s="307"/>
      <c r="M192" s="307"/>
      <c r="N192" s="307"/>
      <c r="O192" s="307"/>
      <c r="P192" s="307"/>
      <c r="Q192" s="307"/>
      <c r="R192" s="307"/>
      <c r="S192" s="307"/>
      <c r="T192" s="307"/>
      <c r="U192" s="307"/>
      <c r="V192" s="307"/>
      <c r="W192" s="307"/>
      <c r="X192" s="307"/>
      <c r="Y192" s="307"/>
    </row>
    <row r="193">
      <c r="A193" s="307"/>
      <c r="B193" s="307"/>
      <c r="C193" s="307"/>
      <c r="D193" s="310"/>
      <c r="E193" s="307"/>
      <c r="F193" s="307"/>
      <c r="G193" s="307"/>
      <c r="H193" s="307"/>
      <c r="I193" s="307"/>
      <c r="J193" s="307"/>
      <c r="K193" s="307"/>
      <c r="L193" s="307"/>
      <c r="M193" s="307"/>
      <c r="N193" s="307"/>
      <c r="O193" s="307"/>
      <c r="P193" s="307"/>
      <c r="Q193" s="307"/>
      <c r="R193" s="307"/>
      <c r="S193" s="307"/>
      <c r="T193" s="307"/>
      <c r="U193" s="307"/>
      <c r="V193" s="307"/>
      <c r="W193" s="307"/>
      <c r="X193" s="307"/>
      <c r="Y193" s="307"/>
    </row>
    <row r="194">
      <c r="A194" s="307"/>
      <c r="B194" s="307"/>
      <c r="C194" s="307"/>
      <c r="D194" s="310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  <c r="U194" s="307"/>
      <c r="V194" s="307"/>
      <c r="W194" s="307"/>
      <c r="X194" s="307"/>
      <c r="Y194" s="307"/>
    </row>
    <row r="195">
      <c r="A195" s="307"/>
      <c r="B195" s="307"/>
      <c r="C195" s="307"/>
      <c r="D195" s="310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07"/>
      <c r="P195" s="307"/>
      <c r="Q195" s="307"/>
      <c r="R195" s="307"/>
      <c r="S195" s="307"/>
      <c r="T195" s="307"/>
      <c r="U195" s="307"/>
      <c r="V195" s="307"/>
      <c r="W195" s="307"/>
      <c r="X195" s="307"/>
      <c r="Y195" s="307"/>
    </row>
    <row r="196">
      <c r="A196" s="307"/>
      <c r="B196" s="307"/>
      <c r="C196" s="307"/>
      <c r="D196" s="310"/>
      <c r="E196" s="307"/>
      <c r="F196" s="307"/>
      <c r="G196" s="307"/>
      <c r="H196" s="307"/>
      <c r="I196" s="307"/>
      <c r="J196" s="307"/>
      <c r="K196" s="307"/>
      <c r="L196" s="307"/>
      <c r="M196" s="307"/>
      <c r="N196" s="307"/>
      <c r="O196" s="307"/>
      <c r="P196" s="307"/>
      <c r="Q196" s="307"/>
      <c r="R196" s="307"/>
      <c r="S196" s="307"/>
      <c r="T196" s="307"/>
      <c r="U196" s="307"/>
      <c r="V196" s="307"/>
      <c r="W196" s="307"/>
      <c r="X196" s="307"/>
      <c r="Y196" s="307"/>
    </row>
    <row r="197">
      <c r="A197" s="307"/>
      <c r="B197" s="307"/>
      <c r="C197" s="307"/>
      <c r="D197" s="310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</row>
    <row r="198">
      <c r="A198" s="307"/>
      <c r="B198" s="307"/>
      <c r="C198" s="307"/>
      <c r="D198" s="310"/>
      <c r="E198" s="307"/>
      <c r="F198" s="307"/>
      <c r="G198" s="307"/>
      <c r="H198" s="307"/>
      <c r="I198" s="307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  <c r="U198" s="307"/>
      <c r="V198" s="307"/>
      <c r="W198" s="307"/>
      <c r="X198" s="307"/>
      <c r="Y198" s="307"/>
    </row>
    <row r="199">
      <c r="A199" s="307"/>
      <c r="B199" s="307"/>
      <c r="C199" s="307"/>
      <c r="D199" s="310"/>
      <c r="E199" s="307"/>
      <c r="F199" s="307"/>
      <c r="G199" s="307"/>
      <c r="H199" s="307"/>
      <c r="I199" s="307"/>
      <c r="J199" s="307"/>
      <c r="K199" s="307"/>
      <c r="L199" s="307"/>
      <c r="M199" s="307"/>
      <c r="N199" s="307"/>
      <c r="O199" s="307"/>
      <c r="P199" s="307"/>
      <c r="Q199" s="307"/>
      <c r="R199" s="307"/>
      <c r="S199" s="307"/>
      <c r="T199" s="307"/>
      <c r="U199" s="307"/>
      <c r="V199" s="307"/>
      <c r="W199" s="307"/>
      <c r="X199" s="307"/>
      <c r="Y199" s="307"/>
    </row>
    <row r="200">
      <c r="A200" s="307"/>
      <c r="B200" s="307"/>
      <c r="C200" s="307"/>
      <c r="D200" s="310"/>
      <c r="E200" s="307"/>
      <c r="F200" s="307"/>
      <c r="G200" s="307"/>
      <c r="H200" s="307"/>
      <c r="I200" s="307"/>
      <c r="J200" s="307"/>
      <c r="K200" s="307"/>
      <c r="L200" s="307"/>
      <c r="M200" s="307"/>
      <c r="N200" s="307"/>
      <c r="O200" s="307"/>
      <c r="P200" s="307"/>
      <c r="Q200" s="307"/>
      <c r="R200" s="307"/>
      <c r="S200" s="307"/>
      <c r="T200" s="307"/>
      <c r="U200" s="307"/>
      <c r="V200" s="307"/>
      <c r="W200" s="307"/>
      <c r="X200" s="307"/>
      <c r="Y200" s="307"/>
    </row>
    <row r="201">
      <c r="A201" s="307"/>
      <c r="B201" s="307"/>
      <c r="C201" s="307"/>
      <c r="D201" s="310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</row>
    <row r="202">
      <c r="A202" s="307"/>
      <c r="B202" s="307"/>
      <c r="C202" s="307"/>
      <c r="D202" s="310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7"/>
      <c r="V202" s="307"/>
      <c r="W202" s="307"/>
      <c r="X202" s="307"/>
      <c r="Y202" s="307"/>
    </row>
    <row r="203">
      <c r="A203" s="307"/>
      <c r="B203" s="307"/>
      <c r="C203" s="307"/>
      <c r="D203" s="310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7"/>
      <c r="V203" s="307"/>
      <c r="W203" s="307"/>
      <c r="X203" s="307"/>
      <c r="Y203" s="307"/>
    </row>
    <row r="204">
      <c r="A204" s="307"/>
      <c r="B204" s="307"/>
      <c r="C204" s="307"/>
      <c r="D204" s="310"/>
      <c r="E204" s="307"/>
      <c r="F204" s="307"/>
      <c r="G204" s="307"/>
      <c r="H204" s="307"/>
      <c r="I204" s="307"/>
      <c r="J204" s="307"/>
      <c r="K204" s="307"/>
      <c r="L204" s="307"/>
      <c r="M204" s="307"/>
      <c r="N204" s="307"/>
      <c r="O204" s="307"/>
      <c r="P204" s="307"/>
      <c r="Q204" s="307"/>
      <c r="R204" s="307"/>
      <c r="S204" s="307"/>
      <c r="T204" s="307"/>
      <c r="U204" s="307"/>
      <c r="V204" s="307"/>
      <c r="W204" s="307"/>
      <c r="X204" s="307"/>
      <c r="Y204" s="307"/>
    </row>
    <row r="205">
      <c r="A205" s="307"/>
      <c r="B205" s="307"/>
      <c r="C205" s="307"/>
      <c r="D205" s="310"/>
      <c r="E205" s="307"/>
      <c r="F205" s="307"/>
      <c r="G205" s="307"/>
      <c r="H205" s="307"/>
      <c r="I205" s="307"/>
      <c r="J205" s="307"/>
      <c r="K205" s="307"/>
      <c r="L205" s="307"/>
      <c r="M205" s="307"/>
      <c r="N205" s="307"/>
      <c r="O205" s="307"/>
      <c r="P205" s="307"/>
      <c r="Q205" s="307"/>
      <c r="R205" s="307"/>
      <c r="S205" s="307"/>
      <c r="T205" s="307"/>
      <c r="U205" s="307"/>
      <c r="V205" s="307"/>
      <c r="W205" s="307"/>
      <c r="X205" s="307"/>
      <c r="Y205" s="307"/>
    </row>
    <row r="206">
      <c r="A206" s="307"/>
      <c r="B206" s="307"/>
      <c r="C206" s="307"/>
      <c r="D206" s="310"/>
      <c r="E206" s="307"/>
      <c r="F206" s="307"/>
      <c r="G206" s="307"/>
      <c r="H206" s="307"/>
      <c r="I206" s="307"/>
      <c r="J206" s="307"/>
      <c r="K206" s="307"/>
      <c r="L206" s="307"/>
      <c r="M206" s="307"/>
      <c r="N206" s="307"/>
      <c r="O206" s="307"/>
      <c r="P206" s="307"/>
      <c r="Q206" s="307"/>
      <c r="R206" s="307"/>
      <c r="S206" s="307"/>
      <c r="T206" s="307"/>
      <c r="U206" s="307"/>
      <c r="V206" s="307"/>
      <c r="W206" s="307"/>
      <c r="X206" s="307"/>
      <c r="Y206" s="307"/>
    </row>
    <row r="207">
      <c r="A207" s="307"/>
      <c r="B207" s="307"/>
      <c r="C207" s="307"/>
      <c r="D207" s="310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  <c r="U207" s="307"/>
      <c r="V207" s="307"/>
      <c r="W207" s="307"/>
      <c r="X207" s="307"/>
      <c r="Y207" s="307"/>
    </row>
    <row r="208">
      <c r="A208" s="307"/>
      <c r="B208" s="307"/>
      <c r="C208" s="307"/>
      <c r="D208" s="310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</row>
    <row r="209">
      <c r="A209" s="307"/>
      <c r="B209" s="307"/>
      <c r="C209" s="307"/>
      <c r="D209" s="310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</row>
    <row r="210">
      <c r="A210" s="307"/>
      <c r="B210" s="307"/>
      <c r="C210" s="307"/>
      <c r="D210" s="310"/>
      <c r="E210" s="307"/>
      <c r="F210" s="307"/>
      <c r="G210" s="307"/>
      <c r="H210" s="307"/>
      <c r="I210" s="307"/>
      <c r="J210" s="307"/>
      <c r="K210" s="307"/>
      <c r="L210" s="307"/>
      <c r="M210" s="307"/>
      <c r="N210" s="307"/>
      <c r="O210" s="307"/>
      <c r="P210" s="307"/>
      <c r="Q210" s="307"/>
      <c r="R210" s="307"/>
      <c r="S210" s="307"/>
      <c r="T210" s="307"/>
      <c r="U210" s="307"/>
      <c r="V210" s="307"/>
      <c r="W210" s="307"/>
      <c r="X210" s="307"/>
      <c r="Y210" s="307"/>
    </row>
    <row r="211">
      <c r="A211" s="307"/>
      <c r="B211" s="307"/>
      <c r="C211" s="307"/>
      <c r="D211" s="310"/>
      <c r="E211" s="307"/>
      <c r="F211" s="307"/>
      <c r="G211" s="307"/>
      <c r="H211" s="307"/>
      <c r="I211" s="307"/>
      <c r="J211" s="307"/>
      <c r="K211" s="307"/>
      <c r="L211" s="307"/>
      <c r="M211" s="307"/>
      <c r="N211" s="307"/>
      <c r="O211" s="307"/>
      <c r="P211" s="307"/>
      <c r="Q211" s="307"/>
      <c r="R211" s="307"/>
      <c r="S211" s="307"/>
      <c r="T211" s="307"/>
      <c r="U211" s="307"/>
      <c r="V211" s="307"/>
      <c r="W211" s="307"/>
      <c r="X211" s="307"/>
      <c r="Y211" s="307"/>
    </row>
    <row r="212">
      <c r="A212" s="307"/>
      <c r="B212" s="307"/>
      <c r="C212" s="307"/>
      <c r="D212" s="310"/>
      <c r="E212" s="307"/>
      <c r="F212" s="307"/>
      <c r="G212" s="307"/>
      <c r="H212" s="307"/>
      <c r="I212" s="307"/>
      <c r="J212" s="307"/>
      <c r="K212" s="307"/>
      <c r="L212" s="307"/>
      <c r="M212" s="307"/>
      <c r="N212" s="307"/>
      <c r="O212" s="307"/>
      <c r="P212" s="307"/>
      <c r="Q212" s="307"/>
      <c r="R212" s="307"/>
      <c r="S212" s="307"/>
      <c r="T212" s="307"/>
      <c r="U212" s="307"/>
      <c r="V212" s="307"/>
      <c r="W212" s="307"/>
      <c r="X212" s="307"/>
      <c r="Y212" s="307"/>
    </row>
    <row r="213">
      <c r="A213" s="307"/>
      <c r="B213" s="307"/>
      <c r="C213" s="307"/>
      <c r="D213" s="310"/>
      <c r="E213" s="307"/>
      <c r="F213" s="307"/>
      <c r="G213" s="307"/>
      <c r="H213" s="307"/>
      <c r="I213" s="307"/>
      <c r="J213" s="307"/>
      <c r="K213" s="307"/>
      <c r="L213" s="307"/>
      <c r="M213" s="307"/>
      <c r="N213" s="307"/>
      <c r="O213" s="307"/>
      <c r="P213" s="307"/>
      <c r="Q213" s="307"/>
      <c r="R213" s="307"/>
      <c r="S213" s="307"/>
      <c r="T213" s="307"/>
      <c r="U213" s="307"/>
      <c r="V213" s="307"/>
      <c r="W213" s="307"/>
      <c r="X213" s="307"/>
      <c r="Y213" s="307"/>
    </row>
    <row r="214">
      <c r="A214" s="307"/>
      <c r="B214" s="307"/>
      <c r="C214" s="307"/>
      <c r="D214" s="310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</row>
    <row r="215">
      <c r="A215" s="307"/>
      <c r="B215" s="307"/>
      <c r="C215" s="307"/>
      <c r="D215" s="310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7"/>
      <c r="V215" s="307"/>
      <c r="W215" s="307"/>
      <c r="X215" s="307"/>
      <c r="Y215" s="307"/>
    </row>
    <row r="216">
      <c r="A216" s="307"/>
      <c r="B216" s="307"/>
      <c r="C216" s="307"/>
      <c r="D216" s="310"/>
      <c r="E216" s="307"/>
      <c r="F216" s="307"/>
      <c r="G216" s="307"/>
      <c r="H216" s="307"/>
      <c r="I216" s="307"/>
      <c r="J216" s="307"/>
      <c r="K216" s="307"/>
      <c r="L216" s="307"/>
      <c r="M216" s="307"/>
      <c r="N216" s="307"/>
      <c r="O216" s="307"/>
      <c r="P216" s="307"/>
      <c r="Q216" s="307"/>
      <c r="R216" s="307"/>
      <c r="S216" s="307"/>
      <c r="T216" s="307"/>
      <c r="U216" s="307"/>
      <c r="V216" s="307"/>
      <c r="W216" s="307"/>
      <c r="X216" s="307"/>
      <c r="Y216" s="307"/>
    </row>
    <row r="217">
      <c r="A217" s="307"/>
      <c r="B217" s="307"/>
      <c r="C217" s="307"/>
      <c r="D217" s="310"/>
      <c r="E217" s="307"/>
      <c r="F217" s="307"/>
      <c r="G217" s="307"/>
      <c r="H217" s="307"/>
      <c r="I217" s="307"/>
      <c r="J217" s="307"/>
      <c r="K217" s="307"/>
      <c r="L217" s="307"/>
      <c r="M217" s="307"/>
      <c r="N217" s="307"/>
      <c r="O217" s="307"/>
      <c r="P217" s="307"/>
      <c r="Q217" s="307"/>
      <c r="R217" s="307"/>
      <c r="S217" s="307"/>
      <c r="T217" s="307"/>
      <c r="U217" s="307"/>
      <c r="V217" s="307"/>
      <c r="W217" s="307"/>
      <c r="X217" s="307"/>
      <c r="Y217" s="307"/>
    </row>
    <row r="218">
      <c r="A218" s="307"/>
      <c r="B218" s="307"/>
      <c r="C218" s="307"/>
      <c r="D218" s="310"/>
      <c r="E218" s="307"/>
      <c r="F218" s="307"/>
      <c r="G218" s="307"/>
      <c r="H218" s="307"/>
      <c r="I218" s="307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  <c r="U218" s="307"/>
      <c r="V218" s="307"/>
      <c r="W218" s="307"/>
      <c r="X218" s="307"/>
      <c r="Y218" s="307"/>
    </row>
    <row r="219">
      <c r="A219" s="307"/>
      <c r="B219" s="307"/>
      <c r="C219" s="307"/>
      <c r="D219" s="310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</row>
    <row r="220">
      <c r="A220" s="307"/>
      <c r="B220" s="307"/>
      <c r="C220" s="307"/>
      <c r="D220" s="310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7"/>
      <c r="V220" s="307"/>
      <c r="W220" s="307"/>
      <c r="X220" s="307"/>
      <c r="Y220" s="307"/>
    </row>
    <row r="221">
      <c r="A221" s="307"/>
      <c r="B221" s="307"/>
      <c r="C221" s="307"/>
      <c r="D221" s="310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  <c r="U221" s="307"/>
      <c r="V221" s="307"/>
      <c r="W221" s="307"/>
      <c r="X221" s="307"/>
      <c r="Y221" s="307"/>
    </row>
    <row r="222">
      <c r="A222" s="307"/>
      <c r="B222" s="307"/>
      <c r="C222" s="307"/>
      <c r="D222" s="310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  <c r="O222" s="307"/>
      <c r="P222" s="307"/>
      <c r="Q222" s="307"/>
      <c r="R222" s="307"/>
      <c r="S222" s="307"/>
      <c r="T222" s="307"/>
      <c r="U222" s="307"/>
      <c r="V222" s="307"/>
      <c r="W222" s="307"/>
      <c r="X222" s="307"/>
      <c r="Y222" s="307"/>
    </row>
    <row r="223">
      <c r="A223" s="307"/>
      <c r="B223" s="307"/>
      <c r="C223" s="307"/>
      <c r="D223" s="310"/>
      <c r="E223" s="307"/>
      <c r="F223" s="307"/>
      <c r="G223" s="307"/>
      <c r="H223" s="307"/>
      <c r="I223" s="307"/>
      <c r="J223" s="307"/>
      <c r="K223" s="307"/>
      <c r="L223" s="307"/>
      <c r="M223" s="307"/>
      <c r="N223" s="307"/>
      <c r="O223" s="307"/>
      <c r="P223" s="307"/>
      <c r="Q223" s="307"/>
      <c r="R223" s="307"/>
      <c r="S223" s="307"/>
      <c r="T223" s="307"/>
      <c r="U223" s="307"/>
      <c r="V223" s="307"/>
      <c r="W223" s="307"/>
      <c r="X223" s="307"/>
      <c r="Y223" s="307"/>
    </row>
    <row r="224">
      <c r="A224" s="307"/>
      <c r="B224" s="307"/>
      <c r="C224" s="307"/>
      <c r="D224" s="310"/>
      <c r="E224" s="307"/>
      <c r="F224" s="307"/>
      <c r="G224" s="307"/>
      <c r="H224" s="307"/>
      <c r="I224" s="307"/>
      <c r="J224" s="307"/>
      <c r="K224" s="307"/>
      <c r="L224" s="307"/>
      <c r="M224" s="307"/>
      <c r="N224" s="307"/>
      <c r="O224" s="307"/>
      <c r="P224" s="307"/>
      <c r="Q224" s="307"/>
      <c r="R224" s="307"/>
      <c r="S224" s="307"/>
      <c r="T224" s="307"/>
      <c r="U224" s="307"/>
      <c r="V224" s="307"/>
      <c r="W224" s="307"/>
      <c r="X224" s="307"/>
      <c r="Y224" s="307"/>
    </row>
    <row r="225">
      <c r="A225" s="307"/>
      <c r="B225" s="307"/>
      <c r="C225" s="307"/>
      <c r="D225" s="310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</row>
    <row r="226">
      <c r="A226" s="307"/>
      <c r="B226" s="307"/>
      <c r="C226" s="307"/>
      <c r="D226" s="310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</row>
    <row r="227">
      <c r="A227" s="307"/>
      <c r="B227" s="307"/>
      <c r="C227" s="307"/>
      <c r="D227" s="310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  <c r="U227" s="307"/>
      <c r="V227" s="307"/>
      <c r="W227" s="307"/>
      <c r="X227" s="307"/>
      <c r="Y227" s="307"/>
    </row>
    <row r="228">
      <c r="A228" s="307"/>
      <c r="B228" s="307"/>
      <c r="C228" s="307"/>
      <c r="D228" s="310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07"/>
      <c r="P228" s="307"/>
      <c r="Q228" s="307"/>
      <c r="R228" s="307"/>
      <c r="S228" s="307"/>
      <c r="T228" s="307"/>
      <c r="U228" s="307"/>
      <c r="V228" s="307"/>
      <c r="W228" s="307"/>
      <c r="X228" s="307"/>
      <c r="Y228" s="307"/>
    </row>
    <row r="229">
      <c r="A229" s="307"/>
      <c r="B229" s="307"/>
      <c r="C229" s="307"/>
      <c r="D229" s="310"/>
      <c r="E229" s="307"/>
      <c r="F229" s="307"/>
      <c r="G229" s="307"/>
      <c r="H229" s="307"/>
      <c r="I229" s="307"/>
      <c r="J229" s="307"/>
      <c r="K229" s="307"/>
      <c r="L229" s="307"/>
      <c r="M229" s="307"/>
      <c r="N229" s="307"/>
      <c r="O229" s="307"/>
      <c r="P229" s="307"/>
      <c r="Q229" s="307"/>
      <c r="R229" s="307"/>
      <c r="S229" s="307"/>
      <c r="T229" s="307"/>
      <c r="U229" s="307"/>
      <c r="V229" s="307"/>
      <c r="W229" s="307"/>
      <c r="X229" s="307"/>
      <c r="Y229" s="307"/>
    </row>
    <row r="230">
      <c r="A230" s="307"/>
      <c r="B230" s="307"/>
      <c r="C230" s="307"/>
      <c r="D230" s="310"/>
      <c r="E230" s="307"/>
      <c r="F230" s="307"/>
      <c r="G230" s="307"/>
      <c r="H230" s="307"/>
      <c r="I230" s="307"/>
      <c r="J230" s="307"/>
      <c r="K230" s="307"/>
      <c r="L230" s="307"/>
      <c r="M230" s="307"/>
      <c r="N230" s="307"/>
      <c r="O230" s="307"/>
      <c r="P230" s="307"/>
      <c r="Q230" s="307"/>
      <c r="R230" s="307"/>
      <c r="S230" s="307"/>
      <c r="T230" s="307"/>
      <c r="U230" s="307"/>
      <c r="V230" s="307"/>
      <c r="W230" s="307"/>
      <c r="X230" s="307"/>
      <c r="Y230" s="307"/>
    </row>
    <row r="231">
      <c r="A231" s="307"/>
      <c r="B231" s="307"/>
      <c r="C231" s="307"/>
      <c r="D231" s="310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</row>
    <row r="232">
      <c r="A232" s="307"/>
      <c r="B232" s="307"/>
      <c r="C232" s="307"/>
      <c r="D232" s="310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</row>
    <row r="233">
      <c r="A233" s="307"/>
      <c r="B233" s="307"/>
      <c r="C233" s="307"/>
      <c r="D233" s="310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07"/>
      <c r="P233" s="307"/>
      <c r="Q233" s="307"/>
      <c r="R233" s="307"/>
      <c r="S233" s="307"/>
      <c r="T233" s="307"/>
      <c r="U233" s="307"/>
      <c r="V233" s="307"/>
      <c r="W233" s="307"/>
      <c r="X233" s="307"/>
      <c r="Y233" s="307"/>
    </row>
    <row r="234">
      <c r="A234" s="307"/>
      <c r="B234" s="307"/>
      <c r="C234" s="307"/>
      <c r="D234" s="310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  <c r="O234" s="307"/>
      <c r="P234" s="307"/>
      <c r="Q234" s="307"/>
      <c r="R234" s="307"/>
      <c r="S234" s="307"/>
      <c r="T234" s="307"/>
      <c r="U234" s="307"/>
      <c r="V234" s="307"/>
      <c r="W234" s="307"/>
      <c r="X234" s="307"/>
      <c r="Y234" s="307"/>
    </row>
    <row r="235">
      <c r="A235" s="307"/>
      <c r="B235" s="307"/>
      <c r="C235" s="307"/>
      <c r="D235" s="310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</row>
    <row r="236">
      <c r="A236" s="307"/>
      <c r="B236" s="307"/>
      <c r="C236" s="307"/>
      <c r="D236" s="310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</row>
    <row r="237">
      <c r="A237" s="307"/>
      <c r="B237" s="307"/>
      <c r="C237" s="307"/>
      <c r="D237" s="310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  <c r="U237" s="307"/>
      <c r="V237" s="307"/>
      <c r="W237" s="307"/>
      <c r="X237" s="307"/>
      <c r="Y237" s="307"/>
    </row>
    <row r="238">
      <c r="A238" s="307"/>
      <c r="B238" s="307"/>
      <c r="C238" s="307"/>
      <c r="D238" s="310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07"/>
      <c r="P238" s="307"/>
      <c r="Q238" s="307"/>
      <c r="R238" s="307"/>
      <c r="S238" s="307"/>
      <c r="T238" s="307"/>
      <c r="U238" s="307"/>
      <c r="V238" s="307"/>
      <c r="W238" s="307"/>
      <c r="X238" s="307"/>
      <c r="Y238" s="307"/>
    </row>
    <row r="239">
      <c r="A239" s="307"/>
      <c r="B239" s="307"/>
      <c r="C239" s="307"/>
      <c r="D239" s="310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  <c r="O239" s="307"/>
      <c r="P239" s="307"/>
      <c r="Q239" s="307"/>
      <c r="R239" s="307"/>
      <c r="S239" s="307"/>
      <c r="T239" s="307"/>
      <c r="U239" s="307"/>
      <c r="V239" s="307"/>
      <c r="W239" s="307"/>
      <c r="X239" s="307"/>
      <c r="Y239" s="307"/>
    </row>
    <row r="240">
      <c r="A240" s="307"/>
      <c r="B240" s="307"/>
      <c r="C240" s="307"/>
      <c r="D240" s="310"/>
      <c r="E240" s="307"/>
      <c r="F240" s="307"/>
      <c r="G240" s="307"/>
      <c r="H240" s="307"/>
      <c r="I240" s="307"/>
      <c r="J240" s="307"/>
      <c r="K240" s="307"/>
      <c r="L240" s="307"/>
      <c r="M240" s="307"/>
      <c r="N240" s="307"/>
      <c r="O240" s="307"/>
      <c r="P240" s="307"/>
      <c r="Q240" s="307"/>
      <c r="R240" s="307"/>
      <c r="S240" s="307"/>
      <c r="T240" s="307"/>
      <c r="U240" s="307"/>
      <c r="V240" s="307"/>
      <c r="W240" s="307"/>
      <c r="X240" s="307"/>
      <c r="Y240" s="307"/>
    </row>
    <row r="241">
      <c r="A241" s="307"/>
      <c r="B241" s="307"/>
      <c r="C241" s="307"/>
      <c r="D241" s="310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</row>
    <row r="242">
      <c r="A242" s="307"/>
      <c r="B242" s="307"/>
      <c r="C242" s="307"/>
      <c r="D242" s="310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7"/>
      <c r="V242" s="307"/>
      <c r="W242" s="307"/>
      <c r="X242" s="307"/>
      <c r="Y242" s="307"/>
    </row>
    <row r="243">
      <c r="A243" s="307"/>
      <c r="B243" s="307"/>
      <c r="C243" s="307"/>
      <c r="D243" s="310"/>
      <c r="E243" s="307"/>
      <c r="F243" s="307"/>
      <c r="G243" s="307"/>
      <c r="H243" s="307"/>
      <c r="I243" s="307"/>
      <c r="J243" s="307"/>
      <c r="K243" s="307"/>
      <c r="L243" s="307"/>
      <c r="M243" s="307"/>
      <c r="N243" s="307"/>
      <c r="O243" s="307"/>
      <c r="P243" s="307"/>
      <c r="Q243" s="307"/>
      <c r="R243" s="307"/>
      <c r="S243" s="307"/>
      <c r="T243" s="307"/>
      <c r="U243" s="307"/>
      <c r="V243" s="307"/>
      <c r="W243" s="307"/>
      <c r="X243" s="307"/>
      <c r="Y243" s="307"/>
    </row>
    <row r="244">
      <c r="A244" s="307"/>
      <c r="B244" s="307"/>
      <c r="C244" s="307"/>
      <c r="D244" s="310"/>
      <c r="E244" s="307"/>
      <c r="F244" s="307"/>
      <c r="G244" s="307"/>
      <c r="H244" s="307"/>
      <c r="I244" s="307"/>
      <c r="J244" s="307"/>
      <c r="K244" s="307"/>
      <c r="L244" s="307"/>
      <c r="M244" s="307"/>
      <c r="N244" s="307"/>
      <c r="O244" s="307"/>
      <c r="P244" s="307"/>
      <c r="Q244" s="307"/>
      <c r="R244" s="307"/>
      <c r="S244" s="307"/>
      <c r="T244" s="307"/>
      <c r="U244" s="307"/>
      <c r="V244" s="307"/>
      <c r="W244" s="307"/>
      <c r="X244" s="307"/>
      <c r="Y244" s="307"/>
    </row>
    <row r="245">
      <c r="A245" s="307"/>
      <c r="B245" s="307"/>
      <c r="C245" s="307"/>
      <c r="D245" s="310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</row>
    <row r="246">
      <c r="A246" s="307"/>
      <c r="B246" s="307"/>
      <c r="C246" s="307"/>
      <c r="D246" s="310"/>
      <c r="E246" s="307"/>
      <c r="F246" s="307"/>
      <c r="G246" s="307"/>
      <c r="H246" s="307"/>
      <c r="I246" s="307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  <c r="U246" s="307"/>
      <c r="V246" s="307"/>
      <c r="W246" s="307"/>
      <c r="X246" s="307"/>
      <c r="Y246" s="307"/>
    </row>
    <row r="247">
      <c r="A247" s="307"/>
      <c r="B247" s="307"/>
      <c r="C247" s="307"/>
      <c r="D247" s="310"/>
      <c r="E247" s="307"/>
      <c r="F247" s="307"/>
      <c r="G247" s="307"/>
      <c r="H247" s="307"/>
      <c r="I247" s="307"/>
      <c r="J247" s="307"/>
      <c r="K247" s="307"/>
      <c r="L247" s="307"/>
      <c r="M247" s="307"/>
      <c r="N247" s="307"/>
      <c r="O247" s="307"/>
      <c r="P247" s="307"/>
      <c r="Q247" s="307"/>
      <c r="R247" s="307"/>
      <c r="S247" s="307"/>
      <c r="T247" s="307"/>
      <c r="U247" s="307"/>
      <c r="V247" s="307"/>
      <c r="W247" s="307"/>
      <c r="X247" s="307"/>
      <c r="Y247" s="307"/>
    </row>
    <row r="248">
      <c r="A248" s="307"/>
      <c r="B248" s="307"/>
      <c r="C248" s="307"/>
      <c r="D248" s="310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</row>
    <row r="249">
      <c r="A249" s="307"/>
      <c r="B249" s="307"/>
      <c r="C249" s="307"/>
      <c r="D249" s="310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  <c r="O249" s="307"/>
      <c r="P249" s="307"/>
      <c r="Q249" s="307"/>
      <c r="R249" s="307"/>
      <c r="S249" s="307"/>
      <c r="T249" s="307"/>
      <c r="U249" s="307"/>
      <c r="V249" s="307"/>
      <c r="W249" s="307"/>
      <c r="X249" s="307"/>
      <c r="Y249" s="307"/>
    </row>
    <row r="250">
      <c r="A250" s="307"/>
      <c r="B250" s="307"/>
      <c r="C250" s="307"/>
      <c r="D250" s="310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07"/>
      <c r="P250" s="307"/>
      <c r="Q250" s="307"/>
      <c r="R250" s="307"/>
      <c r="S250" s="307"/>
      <c r="T250" s="307"/>
      <c r="U250" s="307"/>
      <c r="V250" s="307"/>
      <c r="W250" s="307"/>
      <c r="X250" s="307"/>
      <c r="Y250" s="307"/>
    </row>
    <row r="251">
      <c r="A251" s="307"/>
      <c r="B251" s="307"/>
      <c r="C251" s="307"/>
      <c r="D251" s="310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</row>
    <row r="252">
      <c r="A252" s="307"/>
      <c r="B252" s="307"/>
      <c r="C252" s="307"/>
      <c r="D252" s="310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7"/>
      <c r="P252" s="307"/>
      <c r="Q252" s="307"/>
      <c r="R252" s="307"/>
      <c r="S252" s="307"/>
      <c r="T252" s="307"/>
      <c r="U252" s="307"/>
      <c r="V252" s="307"/>
      <c r="W252" s="307"/>
      <c r="X252" s="307"/>
      <c r="Y252" s="307"/>
    </row>
    <row r="253">
      <c r="A253" s="307"/>
      <c r="B253" s="307"/>
      <c r="C253" s="307"/>
      <c r="D253" s="310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  <c r="O253" s="307"/>
      <c r="P253" s="307"/>
      <c r="Q253" s="307"/>
      <c r="R253" s="307"/>
      <c r="S253" s="307"/>
      <c r="T253" s="307"/>
      <c r="U253" s="307"/>
      <c r="V253" s="307"/>
      <c r="W253" s="307"/>
      <c r="X253" s="307"/>
      <c r="Y253" s="307"/>
    </row>
    <row r="254">
      <c r="A254" s="307"/>
      <c r="B254" s="307"/>
      <c r="C254" s="307"/>
      <c r="D254" s="310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  <c r="O254" s="307"/>
      <c r="P254" s="307"/>
      <c r="Q254" s="307"/>
      <c r="R254" s="307"/>
      <c r="S254" s="307"/>
      <c r="T254" s="307"/>
      <c r="U254" s="307"/>
      <c r="V254" s="307"/>
      <c r="W254" s="307"/>
      <c r="X254" s="307"/>
      <c r="Y254" s="307"/>
    </row>
    <row r="255">
      <c r="A255" s="307"/>
      <c r="B255" s="307"/>
      <c r="C255" s="307"/>
      <c r="D255" s="310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  <c r="O255" s="307"/>
      <c r="P255" s="307"/>
      <c r="Q255" s="307"/>
      <c r="R255" s="307"/>
      <c r="S255" s="307"/>
      <c r="T255" s="307"/>
      <c r="U255" s="307"/>
      <c r="V255" s="307"/>
      <c r="W255" s="307"/>
      <c r="X255" s="307"/>
      <c r="Y255" s="307"/>
    </row>
    <row r="256">
      <c r="A256" s="307"/>
      <c r="B256" s="307"/>
      <c r="C256" s="307"/>
      <c r="D256" s="310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</row>
    <row r="257">
      <c r="A257" s="307"/>
      <c r="B257" s="307"/>
      <c r="C257" s="307"/>
      <c r="D257" s="310"/>
      <c r="E257" s="307"/>
      <c r="F257" s="307"/>
      <c r="G257" s="307"/>
      <c r="H257" s="307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</row>
    <row r="258">
      <c r="A258" s="307"/>
      <c r="B258" s="307"/>
      <c r="C258" s="307"/>
      <c r="D258" s="310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07"/>
      <c r="P258" s="307"/>
      <c r="Q258" s="307"/>
      <c r="R258" s="307"/>
      <c r="S258" s="307"/>
      <c r="T258" s="307"/>
      <c r="U258" s="307"/>
      <c r="V258" s="307"/>
      <c r="W258" s="307"/>
      <c r="X258" s="307"/>
      <c r="Y258" s="307"/>
    </row>
    <row r="259">
      <c r="A259" s="307"/>
      <c r="B259" s="307"/>
      <c r="C259" s="307"/>
      <c r="D259" s="310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07"/>
      <c r="P259" s="307"/>
      <c r="Q259" s="307"/>
      <c r="R259" s="307"/>
      <c r="S259" s="307"/>
      <c r="T259" s="307"/>
      <c r="U259" s="307"/>
      <c r="V259" s="307"/>
      <c r="W259" s="307"/>
      <c r="X259" s="307"/>
      <c r="Y259" s="307"/>
    </row>
    <row r="260">
      <c r="A260" s="307"/>
      <c r="B260" s="307"/>
      <c r="C260" s="307"/>
      <c r="D260" s="310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</row>
    <row r="261">
      <c r="A261" s="307"/>
      <c r="B261" s="307"/>
      <c r="C261" s="307"/>
      <c r="D261" s="310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  <c r="O261" s="307"/>
      <c r="P261" s="307"/>
      <c r="Q261" s="307"/>
      <c r="R261" s="307"/>
      <c r="S261" s="307"/>
      <c r="T261" s="307"/>
      <c r="U261" s="307"/>
      <c r="V261" s="307"/>
      <c r="W261" s="307"/>
      <c r="X261" s="307"/>
      <c r="Y261" s="307"/>
    </row>
    <row r="262">
      <c r="A262" s="307"/>
      <c r="B262" s="307"/>
      <c r="C262" s="307"/>
      <c r="D262" s="310"/>
      <c r="E262" s="307"/>
      <c r="F262" s="307"/>
      <c r="G262" s="307"/>
      <c r="H262" s="307"/>
      <c r="I262" s="307"/>
      <c r="J262" s="307"/>
      <c r="K262" s="307"/>
      <c r="L262" s="307"/>
      <c r="M262" s="307"/>
      <c r="N262" s="307"/>
      <c r="O262" s="307"/>
      <c r="P262" s="307"/>
      <c r="Q262" s="307"/>
      <c r="R262" s="307"/>
      <c r="S262" s="307"/>
      <c r="T262" s="307"/>
      <c r="U262" s="307"/>
      <c r="V262" s="307"/>
      <c r="W262" s="307"/>
      <c r="X262" s="307"/>
      <c r="Y262" s="307"/>
    </row>
    <row r="263">
      <c r="A263" s="307"/>
      <c r="B263" s="307"/>
      <c r="C263" s="307"/>
      <c r="D263" s="310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</row>
    <row r="264">
      <c r="A264" s="307"/>
      <c r="B264" s="307"/>
      <c r="C264" s="307"/>
      <c r="D264" s="310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07"/>
      <c r="P264" s="307"/>
      <c r="Q264" s="307"/>
      <c r="R264" s="307"/>
      <c r="S264" s="307"/>
      <c r="T264" s="307"/>
      <c r="U264" s="307"/>
      <c r="V264" s="307"/>
      <c r="W264" s="307"/>
      <c r="X264" s="307"/>
      <c r="Y264" s="307"/>
    </row>
    <row r="265">
      <c r="A265" s="307"/>
      <c r="B265" s="307"/>
      <c r="C265" s="307"/>
      <c r="D265" s="310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07"/>
      <c r="P265" s="307"/>
      <c r="Q265" s="307"/>
      <c r="R265" s="307"/>
      <c r="S265" s="307"/>
      <c r="T265" s="307"/>
      <c r="U265" s="307"/>
      <c r="V265" s="307"/>
      <c r="W265" s="307"/>
      <c r="X265" s="307"/>
      <c r="Y265" s="307"/>
    </row>
    <row r="266">
      <c r="A266" s="307"/>
      <c r="B266" s="307"/>
      <c r="C266" s="307"/>
      <c r="D266" s="310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</row>
    <row r="267">
      <c r="A267" s="307"/>
      <c r="B267" s="307"/>
      <c r="C267" s="307"/>
      <c r="D267" s="310"/>
      <c r="E267" s="307"/>
      <c r="F267" s="307"/>
      <c r="G267" s="307"/>
      <c r="H267" s="307"/>
      <c r="I267" s="307"/>
      <c r="J267" s="307"/>
      <c r="K267" s="307"/>
      <c r="L267" s="307"/>
      <c r="M267" s="307"/>
      <c r="N267" s="307"/>
      <c r="O267" s="307"/>
      <c r="P267" s="307"/>
      <c r="Q267" s="307"/>
      <c r="R267" s="307"/>
      <c r="S267" s="307"/>
      <c r="T267" s="307"/>
      <c r="U267" s="307"/>
      <c r="V267" s="307"/>
      <c r="W267" s="307"/>
      <c r="X267" s="307"/>
      <c r="Y267" s="307"/>
    </row>
    <row r="268">
      <c r="A268" s="307"/>
      <c r="B268" s="307"/>
      <c r="C268" s="307"/>
      <c r="D268" s="310"/>
      <c r="E268" s="307"/>
      <c r="F268" s="307"/>
      <c r="G268" s="307"/>
      <c r="H268" s="307"/>
      <c r="I268" s="307"/>
      <c r="J268" s="307"/>
      <c r="K268" s="307"/>
      <c r="L268" s="307"/>
      <c r="M268" s="307"/>
      <c r="N268" s="307"/>
      <c r="O268" s="307"/>
      <c r="P268" s="307"/>
      <c r="Q268" s="307"/>
      <c r="R268" s="307"/>
      <c r="S268" s="307"/>
      <c r="T268" s="307"/>
      <c r="U268" s="307"/>
      <c r="V268" s="307"/>
      <c r="W268" s="307"/>
      <c r="X268" s="307"/>
      <c r="Y268" s="307"/>
    </row>
    <row r="269">
      <c r="A269" s="307"/>
      <c r="B269" s="307"/>
      <c r="C269" s="307"/>
      <c r="D269" s="310"/>
      <c r="E269" s="307"/>
      <c r="F269" s="307"/>
      <c r="G269" s="307"/>
      <c r="H269" s="307"/>
      <c r="I269" s="307"/>
      <c r="J269" s="307"/>
      <c r="K269" s="307"/>
      <c r="L269" s="307"/>
      <c r="M269" s="307"/>
      <c r="N269" s="307"/>
      <c r="O269" s="307"/>
      <c r="P269" s="307"/>
      <c r="Q269" s="307"/>
      <c r="R269" s="307"/>
      <c r="S269" s="307"/>
      <c r="T269" s="307"/>
      <c r="U269" s="307"/>
      <c r="V269" s="307"/>
      <c r="W269" s="307"/>
      <c r="X269" s="307"/>
      <c r="Y269" s="307"/>
    </row>
    <row r="270">
      <c r="A270" s="307"/>
      <c r="B270" s="307"/>
      <c r="C270" s="307"/>
      <c r="D270" s="310"/>
      <c r="E270" s="307"/>
      <c r="F270" s="307"/>
      <c r="G270" s="307"/>
      <c r="H270" s="307"/>
      <c r="I270" s="307"/>
      <c r="J270" s="307"/>
      <c r="K270" s="307"/>
      <c r="L270" s="307"/>
      <c r="M270" s="307"/>
      <c r="N270" s="307"/>
      <c r="O270" s="307"/>
      <c r="P270" s="307"/>
      <c r="Q270" s="307"/>
      <c r="R270" s="307"/>
      <c r="S270" s="307"/>
      <c r="T270" s="307"/>
      <c r="U270" s="307"/>
      <c r="V270" s="307"/>
      <c r="W270" s="307"/>
      <c r="X270" s="307"/>
      <c r="Y270" s="307"/>
    </row>
    <row r="271">
      <c r="A271" s="307"/>
      <c r="B271" s="307"/>
      <c r="C271" s="307"/>
      <c r="D271" s="310"/>
      <c r="E271" s="307"/>
      <c r="F271" s="307"/>
      <c r="G271" s="307"/>
      <c r="H271" s="307"/>
      <c r="I271" s="307"/>
      <c r="J271" s="307"/>
      <c r="K271" s="307"/>
      <c r="L271" s="307"/>
      <c r="M271" s="307"/>
      <c r="N271" s="307"/>
      <c r="O271" s="307"/>
      <c r="P271" s="307"/>
      <c r="Q271" s="307"/>
      <c r="R271" s="307"/>
      <c r="S271" s="307"/>
      <c r="T271" s="307"/>
      <c r="U271" s="307"/>
      <c r="V271" s="307"/>
      <c r="W271" s="307"/>
      <c r="X271" s="307"/>
      <c r="Y271" s="307"/>
    </row>
    <row r="272">
      <c r="A272" s="307"/>
      <c r="B272" s="307"/>
      <c r="C272" s="307"/>
      <c r="D272" s="310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  <c r="O272" s="307"/>
      <c r="P272" s="307"/>
      <c r="Q272" s="307"/>
      <c r="R272" s="307"/>
      <c r="S272" s="307"/>
      <c r="T272" s="307"/>
      <c r="U272" s="307"/>
      <c r="V272" s="307"/>
      <c r="W272" s="307"/>
      <c r="X272" s="307"/>
      <c r="Y272" s="307"/>
    </row>
    <row r="273">
      <c r="A273" s="307"/>
      <c r="B273" s="307"/>
      <c r="C273" s="307"/>
      <c r="D273" s="310"/>
      <c r="E273" s="307"/>
      <c r="F273" s="307"/>
      <c r="G273" s="307"/>
      <c r="H273" s="307"/>
      <c r="I273" s="307"/>
      <c r="J273" s="307"/>
      <c r="K273" s="307"/>
      <c r="L273" s="307"/>
      <c r="M273" s="307"/>
      <c r="N273" s="307"/>
      <c r="O273" s="307"/>
      <c r="P273" s="307"/>
      <c r="Q273" s="307"/>
      <c r="R273" s="307"/>
      <c r="S273" s="307"/>
      <c r="T273" s="307"/>
      <c r="U273" s="307"/>
      <c r="V273" s="307"/>
      <c r="W273" s="307"/>
      <c r="X273" s="307"/>
      <c r="Y273" s="307"/>
    </row>
    <row r="274">
      <c r="A274" s="307"/>
      <c r="B274" s="307"/>
      <c r="C274" s="307"/>
      <c r="D274" s="310"/>
      <c r="E274" s="307"/>
      <c r="F274" s="307"/>
      <c r="G274" s="307"/>
      <c r="H274" s="307"/>
      <c r="I274" s="307"/>
      <c r="J274" s="307"/>
      <c r="K274" s="307"/>
      <c r="L274" s="307"/>
      <c r="M274" s="307"/>
      <c r="N274" s="307"/>
      <c r="O274" s="307"/>
      <c r="P274" s="307"/>
      <c r="Q274" s="307"/>
      <c r="R274" s="307"/>
      <c r="S274" s="307"/>
      <c r="T274" s="307"/>
      <c r="U274" s="307"/>
      <c r="V274" s="307"/>
      <c r="W274" s="307"/>
      <c r="X274" s="307"/>
      <c r="Y274" s="307"/>
    </row>
    <row r="275">
      <c r="A275" s="307"/>
      <c r="B275" s="307"/>
      <c r="C275" s="307"/>
      <c r="D275" s="310"/>
      <c r="E275" s="307"/>
      <c r="F275" s="307"/>
      <c r="G275" s="307"/>
      <c r="H275" s="307"/>
      <c r="I275" s="307"/>
      <c r="J275" s="307"/>
      <c r="K275" s="307"/>
      <c r="L275" s="307"/>
      <c r="M275" s="307"/>
      <c r="N275" s="307"/>
      <c r="O275" s="307"/>
      <c r="P275" s="307"/>
      <c r="Q275" s="307"/>
      <c r="R275" s="307"/>
      <c r="S275" s="307"/>
      <c r="T275" s="307"/>
      <c r="U275" s="307"/>
      <c r="V275" s="307"/>
      <c r="W275" s="307"/>
      <c r="X275" s="307"/>
      <c r="Y275" s="307"/>
    </row>
    <row r="276">
      <c r="A276" s="307"/>
      <c r="B276" s="307"/>
      <c r="C276" s="307"/>
      <c r="D276" s="310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  <c r="O276" s="307"/>
      <c r="P276" s="307"/>
      <c r="Q276" s="307"/>
      <c r="R276" s="307"/>
      <c r="S276" s="307"/>
      <c r="T276" s="307"/>
      <c r="U276" s="307"/>
      <c r="V276" s="307"/>
      <c r="W276" s="307"/>
      <c r="X276" s="307"/>
      <c r="Y276" s="307"/>
    </row>
    <row r="277">
      <c r="A277" s="307"/>
      <c r="B277" s="307"/>
      <c r="C277" s="307"/>
      <c r="D277" s="310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  <c r="O277" s="307"/>
      <c r="P277" s="307"/>
      <c r="Q277" s="307"/>
      <c r="R277" s="307"/>
      <c r="S277" s="307"/>
      <c r="T277" s="307"/>
      <c r="U277" s="307"/>
      <c r="V277" s="307"/>
      <c r="W277" s="307"/>
      <c r="X277" s="307"/>
      <c r="Y277" s="307"/>
    </row>
    <row r="278">
      <c r="A278" s="307"/>
      <c r="B278" s="307"/>
      <c r="C278" s="307"/>
      <c r="D278" s="310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07"/>
      <c r="P278" s="307"/>
      <c r="Q278" s="307"/>
      <c r="R278" s="307"/>
      <c r="S278" s="307"/>
      <c r="T278" s="307"/>
      <c r="U278" s="307"/>
      <c r="V278" s="307"/>
      <c r="W278" s="307"/>
      <c r="X278" s="307"/>
      <c r="Y278" s="307"/>
    </row>
    <row r="279">
      <c r="A279" s="307"/>
      <c r="B279" s="307"/>
      <c r="C279" s="307"/>
      <c r="D279" s="310"/>
      <c r="E279" s="307"/>
      <c r="F279" s="307"/>
      <c r="G279" s="307"/>
      <c r="H279" s="307"/>
      <c r="I279" s="307"/>
      <c r="J279" s="307"/>
      <c r="K279" s="307"/>
      <c r="L279" s="307"/>
      <c r="M279" s="307"/>
      <c r="N279" s="307"/>
      <c r="O279" s="307"/>
      <c r="P279" s="307"/>
      <c r="Q279" s="307"/>
      <c r="R279" s="307"/>
      <c r="S279" s="307"/>
      <c r="T279" s="307"/>
      <c r="U279" s="307"/>
      <c r="V279" s="307"/>
      <c r="W279" s="307"/>
      <c r="X279" s="307"/>
      <c r="Y279" s="307"/>
    </row>
    <row r="280">
      <c r="A280" s="307"/>
      <c r="B280" s="307"/>
      <c r="C280" s="307"/>
      <c r="D280" s="310"/>
      <c r="E280" s="307"/>
      <c r="F280" s="307"/>
      <c r="G280" s="307"/>
      <c r="H280" s="307"/>
      <c r="I280" s="307"/>
      <c r="J280" s="307"/>
      <c r="K280" s="307"/>
      <c r="L280" s="307"/>
      <c r="M280" s="307"/>
      <c r="N280" s="307"/>
      <c r="O280" s="307"/>
      <c r="P280" s="307"/>
      <c r="Q280" s="307"/>
      <c r="R280" s="307"/>
      <c r="S280" s="307"/>
      <c r="T280" s="307"/>
      <c r="U280" s="307"/>
      <c r="V280" s="307"/>
      <c r="W280" s="307"/>
      <c r="X280" s="307"/>
      <c r="Y280" s="307"/>
    </row>
    <row r="281">
      <c r="A281" s="307"/>
      <c r="B281" s="307"/>
      <c r="C281" s="307"/>
      <c r="D281" s="310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7"/>
      <c r="U281" s="307"/>
      <c r="V281" s="307"/>
      <c r="W281" s="307"/>
      <c r="X281" s="307"/>
      <c r="Y281" s="307"/>
    </row>
    <row r="282">
      <c r="A282" s="307"/>
      <c r="B282" s="307"/>
      <c r="C282" s="307"/>
      <c r="D282" s="310"/>
      <c r="E282" s="307"/>
      <c r="F282" s="307"/>
      <c r="G282" s="307"/>
      <c r="H282" s="307"/>
      <c r="I282" s="307"/>
      <c r="J282" s="307"/>
      <c r="K282" s="307"/>
      <c r="L282" s="307"/>
      <c r="M282" s="307"/>
      <c r="N282" s="307"/>
      <c r="O282" s="307"/>
      <c r="P282" s="307"/>
      <c r="Q282" s="307"/>
      <c r="R282" s="307"/>
      <c r="S282" s="307"/>
      <c r="T282" s="307"/>
      <c r="U282" s="307"/>
      <c r="V282" s="307"/>
      <c r="W282" s="307"/>
      <c r="X282" s="307"/>
      <c r="Y282" s="307"/>
    </row>
    <row r="283">
      <c r="A283" s="307"/>
      <c r="B283" s="307"/>
      <c r="C283" s="307"/>
      <c r="D283" s="310"/>
      <c r="E283" s="307"/>
      <c r="F283" s="307"/>
      <c r="G283" s="307"/>
      <c r="H283" s="307"/>
      <c r="I283" s="307"/>
      <c r="J283" s="307"/>
      <c r="K283" s="307"/>
      <c r="L283" s="307"/>
      <c r="M283" s="307"/>
      <c r="N283" s="307"/>
      <c r="O283" s="307"/>
      <c r="P283" s="307"/>
      <c r="Q283" s="307"/>
      <c r="R283" s="307"/>
      <c r="S283" s="307"/>
      <c r="T283" s="307"/>
      <c r="U283" s="307"/>
      <c r="V283" s="307"/>
      <c r="W283" s="307"/>
      <c r="X283" s="307"/>
      <c r="Y283" s="307"/>
    </row>
    <row r="284">
      <c r="A284" s="307"/>
      <c r="B284" s="307"/>
      <c r="C284" s="307"/>
      <c r="D284" s="310"/>
      <c r="E284" s="307"/>
      <c r="F284" s="307"/>
      <c r="G284" s="307"/>
      <c r="H284" s="307"/>
      <c r="I284" s="307"/>
      <c r="J284" s="307"/>
      <c r="K284" s="307"/>
      <c r="L284" s="307"/>
      <c r="M284" s="307"/>
      <c r="N284" s="307"/>
      <c r="O284" s="307"/>
      <c r="P284" s="307"/>
      <c r="Q284" s="307"/>
      <c r="R284" s="307"/>
      <c r="S284" s="307"/>
      <c r="T284" s="307"/>
      <c r="U284" s="307"/>
      <c r="V284" s="307"/>
      <c r="W284" s="307"/>
      <c r="X284" s="307"/>
      <c r="Y284" s="307"/>
    </row>
    <row r="285">
      <c r="A285" s="307"/>
      <c r="B285" s="307"/>
      <c r="C285" s="307"/>
      <c r="D285" s="310"/>
      <c r="E285" s="307"/>
      <c r="F285" s="307"/>
      <c r="G285" s="307"/>
      <c r="H285" s="307"/>
      <c r="I285" s="307"/>
      <c r="J285" s="307"/>
      <c r="K285" s="307"/>
      <c r="L285" s="307"/>
      <c r="M285" s="307"/>
      <c r="N285" s="307"/>
      <c r="O285" s="307"/>
      <c r="P285" s="307"/>
      <c r="Q285" s="307"/>
      <c r="R285" s="307"/>
      <c r="S285" s="307"/>
      <c r="T285" s="307"/>
      <c r="U285" s="307"/>
      <c r="V285" s="307"/>
      <c r="W285" s="307"/>
      <c r="X285" s="307"/>
      <c r="Y285" s="307"/>
    </row>
    <row r="286">
      <c r="A286" s="307"/>
      <c r="B286" s="307"/>
      <c r="C286" s="307"/>
      <c r="D286" s="310"/>
      <c r="E286" s="307"/>
      <c r="F286" s="307"/>
      <c r="G286" s="307"/>
      <c r="H286" s="307"/>
      <c r="I286" s="307"/>
      <c r="J286" s="307"/>
      <c r="K286" s="307"/>
      <c r="L286" s="307"/>
      <c r="M286" s="307"/>
      <c r="N286" s="307"/>
      <c r="O286" s="307"/>
      <c r="P286" s="307"/>
      <c r="Q286" s="307"/>
      <c r="R286" s="307"/>
      <c r="S286" s="307"/>
      <c r="T286" s="307"/>
      <c r="U286" s="307"/>
      <c r="V286" s="307"/>
      <c r="W286" s="307"/>
      <c r="X286" s="307"/>
      <c r="Y286" s="307"/>
    </row>
    <row r="287">
      <c r="A287" s="307"/>
      <c r="B287" s="307"/>
      <c r="C287" s="307"/>
      <c r="D287" s="310"/>
      <c r="E287" s="307"/>
      <c r="F287" s="307"/>
      <c r="G287" s="307"/>
      <c r="H287" s="307"/>
      <c r="I287" s="307"/>
      <c r="J287" s="307"/>
      <c r="K287" s="307"/>
      <c r="L287" s="307"/>
      <c r="M287" s="307"/>
      <c r="N287" s="307"/>
      <c r="O287" s="307"/>
      <c r="P287" s="307"/>
      <c r="Q287" s="307"/>
      <c r="R287" s="307"/>
      <c r="S287" s="307"/>
      <c r="T287" s="307"/>
      <c r="U287" s="307"/>
      <c r="V287" s="307"/>
      <c r="W287" s="307"/>
      <c r="X287" s="307"/>
      <c r="Y287" s="307"/>
    </row>
    <row r="288">
      <c r="A288" s="307"/>
      <c r="B288" s="307"/>
      <c r="C288" s="307"/>
      <c r="D288" s="310"/>
      <c r="E288" s="307"/>
      <c r="F288" s="307"/>
      <c r="G288" s="307"/>
      <c r="H288" s="307"/>
      <c r="I288" s="307"/>
      <c r="J288" s="307"/>
      <c r="K288" s="307"/>
      <c r="L288" s="307"/>
      <c r="M288" s="307"/>
      <c r="N288" s="307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</row>
    <row r="289">
      <c r="A289" s="307"/>
      <c r="B289" s="307"/>
      <c r="C289" s="307"/>
      <c r="D289" s="310"/>
      <c r="E289" s="307"/>
      <c r="F289" s="307"/>
      <c r="G289" s="307"/>
      <c r="H289" s="307"/>
      <c r="I289" s="307"/>
      <c r="J289" s="307"/>
      <c r="K289" s="307"/>
      <c r="L289" s="307"/>
      <c r="M289" s="307"/>
      <c r="N289" s="307"/>
      <c r="O289" s="307"/>
      <c r="P289" s="307"/>
      <c r="Q289" s="307"/>
      <c r="R289" s="307"/>
      <c r="S289" s="307"/>
      <c r="T289" s="307"/>
      <c r="U289" s="307"/>
      <c r="V289" s="307"/>
      <c r="W289" s="307"/>
      <c r="X289" s="307"/>
      <c r="Y289" s="307"/>
    </row>
    <row r="290">
      <c r="A290" s="307"/>
      <c r="B290" s="307"/>
      <c r="C290" s="307"/>
      <c r="D290" s="310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  <c r="O290" s="307"/>
      <c r="P290" s="307"/>
      <c r="Q290" s="307"/>
      <c r="R290" s="307"/>
      <c r="S290" s="307"/>
      <c r="T290" s="307"/>
      <c r="U290" s="307"/>
      <c r="V290" s="307"/>
      <c r="W290" s="307"/>
      <c r="X290" s="307"/>
      <c r="Y290" s="307"/>
    </row>
    <row r="291">
      <c r="A291" s="307"/>
      <c r="B291" s="307"/>
      <c r="C291" s="307"/>
      <c r="D291" s="310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07"/>
      <c r="P291" s="307"/>
      <c r="Q291" s="307"/>
      <c r="R291" s="307"/>
      <c r="S291" s="307"/>
      <c r="T291" s="307"/>
      <c r="U291" s="307"/>
      <c r="V291" s="307"/>
      <c r="W291" s="307"/>
      <c r="X291" s="307"/>
      <c r="Y291" s="307"/>
    </row>
    <row r="292">
      <c r="A292" s="307"/>
      <c r="B292" s="307"/>
      <c r="C292" s="307"/>
      <c r="D292" s="310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07"/>
      <c r="P292" s="307"/>
      <c r="Q292" s="307"/>
      <c r="R292" s="307"/>
      <c r="S292" s="307"/>
      <c r="T292" s="307"/>
      <c r="U292" s="307"/>
      <c r="V292" s="307"/>
      <c r="W292" s="307"/>
      <c r="X292" s="307"/>
      <c r="Y292" s="307"/>
    </row>
    <row r="293">
      <c r="A293" s="307"/>
      <c r="B293" s="307"/>
      <c r="C293" s="307"/>
      <c r="D293" s="310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7"/>
      <c r="P293" s="307"/>
      <c r="Q293" s="307"/>
      <c r="R293" s="307"/>
      <c r="S293" s="307"/>
      <c r="T293" s="307"/>
      <c r="U293" s="307"/>
      <c r="V293" s="307"/>
      <c r="W293" s="307"/>
      <c r="X293" s="307"/>
      <c r="Y293" s="307"/>
    </row>
    <row r="294">
      <c r="A294" s="307"/>
      <c r="B294" s="307"/>
      <c r="C294" s="307"/>
      <c r="D294" s="310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7"/>
      <c r="P294" s="307"/>
      <c r="Q294" s="307"/>
      <c r="R294" s="307"/>
      <c r="S294" s="307"/>
      <c r="T294" s="307"/>
      <c r="U294" s="307"/>
      <c r="V294" s="307"/>
      <c r="W294" s="307"/>
      <c r="X294" s="307"/>
      <c r="Y294" s="307"/>
    </row>
    <row r="295">
      <c r="A295" s="307"/>
      <c r="B295" s="307"/>
      <c r="C295" s="307"/>
      <c r="D295" s="310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7"/>
      <c r="P295" s="307"/>
      <c r="Q295" s="307"/>
      <c r="R295" s="307"/>
      <c r="S295" s="307"/>
      <c r="T295" s="307"/>
      <c r="U295" s="307"/>
      <c r="V295" s="307"/>
      <c r="W295" s="307"/>
      <c r="X295" s="307"/>
      <c r="Y295" s="307"/>
    </row>
    <row r="296">
      <c r="A296" s="307"/>
      <c r="B296" s="307"/>
      <c r="C296" s="307"/>
      <c r="D296" s="310"/>
      <c r="E296" s="307"/>
      <c r="F296" s="307"/>
      <c r="G296" s="307"/>
      <c r="H296" s="307"/>
      <c r="I296" s="307"/>
      <c r="J296" s="307"/>
      <c r="K296" s="307"/>
      <c r="L296" s="307"/>
      <c r="M296" s="307"/>
      <c r="N296" s="307"/>
      <c r="O296" s="307"/>
      <c r="P296" s="307"/>
      <c r="Q296" s="307"/>
      <c r="R296" s="307"/>
      <c r="S296" s="307"/>
      <c r="T296" s="307"/>
      <c r="U296" s="307"/>
      <c r="V296" s="307"/>
      <c r="W296" s="307"/>
      <c r="X296" s="307"/>
      <c r="Y296" s="307"/>
    </row>
    <row r="297">
      <c r="A297" s="307"/>
      <c r="B297" s="307"/>
      <c r="C297" s="307"/>
      <c r="D297" s="310"/>
      <c r="E297" s="307"/>
      <c r="F297" s="307"/>
      <c r="G297" s="307"/>
      <c r="H297" s="307"/>
      <c r="I297" s="307"/>
      <c r="J297" s="307"/>
      <c r="K297" s="307"/>
      <c r="L297" s="307"/>
      <c r="M297" s="307"/>
      <c r="N297" s="307"/>
      <c r="O297" s="307"/>
      <c r="P297" s="307"/>
      <c r="Q297" s="307"/>
      <c r="R297" s="307"/>
      <c r="S297" s="307"/>
      <c r="T297" s="307"/>
      <c r="U297" s="307"/>
      <c r="V297" s="307"/>
      <c r="W297" s="307"/>
      <c r="X297" s="307"/>
      <c r="Y297" s="307"/>
    </row>
    <row r="298">
      <c r="A298" s="307"/>
      <c r="B298" s="307"/>
      <c r="C298" s="307"/>
      <c r="D298" s="310"/>
      <c r="E298" s="307"/>
      <c r="F298" s="307"/>
      <c r="G298" s="307"/>
      <c r="H298" s="307"/>
      <c r="I298" s="307"/>
      <c r="J298" s="307"/>
      <c r="K298" s="307"/>
      <c r="L298" s="307"/>
      <c r="M298" s="307"/>
      <c r="N298" s="307"/>
      <c r="O298" s="307"/>
      <c r="P298" s="307"/>
      <c r="Q298" s="307"/>
      <c r="R298" s="307"/>
      <c r="S298" s="307"/>
      <c r="T298" s="307"/>
      <c r="U298" s="307"/>
      <c r="V298" s="307"/>
      <c r="W298" s="307"/>
      <c r="X298" s="307"/>
      <c r="Y298" s="307"/>
    </row>
    <row r="299">
      <c r="A299" s="307"/>
      <c r="B299" s="307"/>
      <c r="C299" s="307"/>
      <c r="D299" s="310"/>
      <c r="E299" s="307"/>
      <c r="F299" s="307"/>
      <c r="G299" s="307"/>
      <c r="H299" s="307"/>
      <c r="I299" s="307"/>
      <c r="J299" s="307"/>
      <c r="K299" s="307"/>
      <c r="L299" s="307"/>
      <c r="M299" s="307"/>
      <c r="N299" s="307"/>
      <c r="O299" s="307"/>
      <c r="P299" s="307"/>
      <c r="Q299" s="307"/>
      <c r="R299" s="307"/>
      <c r="S299" s="307"/>
      <c r="T299" s="307"/>
      <c r="U299" s="307"/>
      <c r="V299" s="307"/>
      <c r="W299" s="307"/>
      <c r="X299" s="307"/>
      <c r="Y299" s="307"/>
    </row>
    <row r="300">
      <c r="A300" s="307"/>
      <c r="B300" s="307"/>
      <c r="C300" s="307"/>
      <c r="D300" s="310"/>
      <c r="E300" s="307"/>
      <c r="F300" s="307"/>
      <c r="G300" s="307"/>
      <c r="H300" s="307"/>
      <c r="I300" s="307"/>
      <c r="J300" s="307"/>
      <c r="K300" s="307"/>
      <c r="L300" s="307"/>
      <c r="M300" s="307"/>
      <c r="N300" s="307"/>
      <c r="O300" s="307"/>
      <c r="P300" s="307"/>
      <c r="Q300" s="307"/>
      <c r="R300" s="307"/>
      <c r="S300" s="307"/>
      <c r="T300" s="307"/>
      <c r="U300" s="307"/>
      <c r="V300" s="307"/>
      <c r="W300" s="307"/>
      <c r="X300" s="307"/>
      <c r="Y300" s="307"/>
    </row>
    <row r="301">
      <c r="A301" s="307"/>
      <c r="B301" s="307"/>
      <c r="C301" s="307"/>
      <c r="D301" s="310"/>
      <c r="E301" s="307"/>
      <c r="F301" s="307"/>
      <c r="G301" s="307"/>
      <c r="H301" s="307"/>
      <c r="I301" s="307"/>
      <c r="J301" s="307"/>
      <c r="K301" s="307"/>
      <c r="L301" s="307"/>
      <c r="M301" s="307"/>
      <c r="N301" s="307"/>
      <c r="O301" s="307"/>
      <c r="P301" s="307"/>
      <c r="Q301" s="307"/>
      <c r="R301" s="307"/>
      <c r="S301" s="307"/>
      <c r="T301" s="307"/>
      <c r="U301" s="307"/>
      <c r="V301" s="307"/>
      <c r="W301" s="307"/>
      <c r="X301" s="307"/>
      <c r="Y301" s="307"/>
    </row>
    <row r="302">
      <c r="A302" s="307"/>
      <c r="B302" s="307"/>
      <c r="C302" s="307"/>
      <c r="D302" s="310"/>
      <c r="E302" s="307"/>
      <c r="F302" s="307"/>
      <c r="G302" s="307"/>
      <c r="H302" s="307"/>
      <c r="I302" s="307"/>
      <c r="J302" s="307"/>
      <c r="K302" s="307"/>
      <c r="L302" s="307"/>
      <c r="M302" s="307"/>
      <c r="N302" s="307"/>
      <c r="O302" s="307"/>
      <c r="P302" s="307"/>
      <c r="Q302" s="307"/>
      <c r="R302" s="307"/>
      <c r="S302" s="307"/>
      <c r="T302" s="307"/>
      <c r="U302" s="307"/>
      <c r="V302" s="307"/>
      <c r="W302" s="307"/>
      <c r="X302" s="307"/>
      <c r="Y302" s="307"/>
    </row>
    <row r="303">
      <c r="A303" s="307"/>
      <c r="B303" s="307"/>
      <c r="C303" s="307"/>
      <c r="D303" s="310"/>
      <c r="E303" s="307"/>
      <c r="F303" s="307"/>
      <c r="G303" s="307"/>
      <c r="H303" s="307"/>
      <c r="I303" s="307"/>
      <c r="J303" s="307"/>
      <c r="K303" s="307"/>
      <c r="L303" s="307"/>
      <c r="M303" s="307"/>
      <c r="N303" s="307"/>
      <c r="O303" s="307"/>
      <c r="P303" s="307"/>
      <c r="Q303" s="307"/>
      <c r="R303" s="307"/>
      <c r="S303" s="307"/>
      <c r="T303" s="307"/>
      <c r="U303" s="307"/>
      <c r="V303" s="307"/>
      <c r="W303" s="307"/>
      <c r="X303" s="307"/>
      <c r="Y303" s="307"/>
    </row>
    <row r="304">
      <c r="A304" s="307"/>
      <c r="B304" s="307"/>
      <c r="C304" s="307"/>
      <c r="D304" s="310"/>
      <c r="E304" s="307"/>
      <c r="F304" s="307"/>
      <c r="G304" s="307"/>
      <c r="H304" s="307"/>
      <c r="I304" s="307"/>
      <c r="J304" s="307"/>
      <c r="K304" s="307"/>
      <c r="L304" s="307"/>
      <c r="M304" s="307"/>
      <c r="N304" s="307"/>
      <c r="O304" s="307"/>
      <c r="P304" s="307"/>
      <c r="Q304" s="307"/>
      <c r="R304" s="307"/>
      <c r="S304" s="307"/>
      <c r="T304" s="307"/>
      <c r="U304" s="307"/>
      <c r="V304" s="307"/>
      <c r="W304" s="307"/>
      <c r="X304" s="307"/>
      <c r="Y304" s="307"/>
    </row>
    <row r="305">
      <c r="A305" s="307"/>
      <c r="B305" s="307"/>
      <c r="C305" s="307"/>
      <c r="D305" s="310"/>
      <c r="E305" s="307"/>
      <c r="F305" s="307"/>
      <c r="G305" s="307"/>
      <c r="H305" s="307"/>
      <c r="I305" s="307"/>
      <c r="J305" s="307"/>
      <c r="K305" s="307"/>
      <c r="L305" s="307"/>
      <c r="M305" s="307"/>
      <c r="N305" s="307"/>
      <c r="O305" s="307"/>
      <c r="P305" s="307"/>
      <c r="Q305" s="307"/>
      <c r="R305" s="307"/>
      <c r="S305" s="307"/>
      <c r="T305" s="307"/>
      <c r="U305" s="307"/>
      <c r="V305" s="307"/>
      <c r="W305" s="307"/>
      <c r="X305" s="307"/>
      <c r="Y305" s="307"/>
    </row>
    <row r="306">
      <c r="A306" s="307"/>
      <c r="B306" s="307"/>
      <c r="C306" s="307"/>
      <c r="D306" s="310"/>
      <c r="E306" s="307"/>
      <c r="F306" s="307"/>
      <c r="G306" s="307"/>
      <c r="H306" s="307"/>
      <c r="I306" s="307"/>
      <c r="J306" s="307"/>
      <c r="K306" s="307"/>
      <c r="L306" s="307"/>
      <c r="M306" s="307"/>
      <c r="N306" s="307"/>
      <c r="O306" s="307"/>
      <c r="P306" s="307"/>
      <c r="Q306" s="307"/>
      <c r="R306" s="307"/>
      <c r="S306" s="307"/>
      <c r="T306" s="307"/>
      <c r="U306" s="307"/>
      <c r="V306" s="307"/>
      <c r="W306" s="307"/>
      <c r="X306" s="307"/>
      <c r="Y306" s="307"/>
    </row>
    <row r="307">
      <c r="A307" s="307"/>
      <c r="B307" s="307"/>
      <c r="C307" s="307"/>
      <c r="D307" s="310"/>
      <c r="E307" s="307"/>
      <c r="F307" s="307"/>
      <c r="G307" s="307"/>
      <c r="H307" s="307"/>
      <c r="I307" s="307"/>
      <c r="J307" s="307"/>
      <c r="K307" s="307"/>
      <c r="L307" s="307"/>
      <c r="M307" s="307"/>
      <c r="N307" s="307"/>
      <c r="O307" s="307"/>
      <c r="P307" s="307"/>
      <c r="Q307" s="307"/>
      <c r="R307" s="307"/>
      <c r="S307" s="307"/>
      <c r="T307" s="307"/>
      <c r="U307" s="307"/>
      <c r="V307" s="307"/>
      <c r="W307" s="307"/>
      <c r="X307" s="307"/>
      <c r="Y307" s="307"/>
    </row>
    <row r="308">
      <c r="A308" s="307"/>
      <c r="B308" s="307"/>
      <c r="C308" s="307"/>
      <c r="D308" s="310"/>
      <c r="E308" s="307"/>
      <c r="F308" s="307"/>
      <c r="G308" s="307"/>
      <c r="H308" s="307"/>
      <c r="I308" s="307"/>
      <c r="J308" s="307"/>
      <c r="K308" s="307"/>
      <c r="L308" s="307"/>
      <c r="M308" s="307"/>
      <c r="N308" s="307"/>
      <c r="O308" s="307"/>
      <c r="P308" s="307"/>
      <c r="Q308" s="307"/>
      <c r="R308" s="307"/>
      <c r="S308" s="307"/>
      <c r="T308" s="307"/>
      <c r="U308" s="307"/>
      <c r="V308" s="307"/>
      <c r="W308" s="307"/>
      <c r="X308" s="307"/>
      <c r="Y308" s="307"/>
    </row>
    <row r="309">
      <c r="A309" s="307"/>
      <c r="B309" s="307"/>
      <c r="C309" s="307"/>
      <c r="D309" s="310"/>
      <c r="E309" s="307"/>
      <c r="F309" s="307"/>
      <c r="G309" s="307"/>
      <c r="H309" s="307"/>
      <c r="I309" s="307"/>
      <c r="J309" s="307"/>
      <c r="K309" s="307"/>
      <c r="L309" s="307"/>
      <c r="M309" s="307"/>
      <c r="N309" s="307"/>
      <c r="O309" s="307"/>
      <c r="P309" s="307"/>
      <c r="Q309" s="307"/>
      <c r="R309" s="307"/>
      <c r="S309" s="307"/>
      <c r="T309" s="307"/>
      <c r="U309" s="307"/>
      <c r="V309" s="307"/>
      <c r="W309" s="307"/>
      <c r="X309" s="307"/>
      <c r="Y309" s="307"/>
    </row>
    <row r="310">
      <c r="A310" s="307"/>
      <c r="B310" s="307"/>
      <c r="C310" s="307"/>
      <c r="D310" s="310"/>
      <c r="E310" s="307"/>
      <c r="F310" s="307"/>
      <c r="G310" s="307"/>
      <c r="H310" s="307"/>
      <c r="I310" s="307"/>
      <c r="J310" s="307"/>
      <c r="K310" s="307"/>
      <c r="L310" s="307"/>
      <c r="M310" s="307"/>
      <c r="N310" s="307"/>
      <c r="O310" s="307"/>
      <c r="P310" s="307"/>
      <c r="Q310" s="307"/>
      <c r="R310" s="307"/>
      <c r="S310" s="307"/>
      <c r="T310" s="307"/>
      <c r="U310" s="307"/>
      <c r="V310" s="307"/>
      <c r="W310" s="307"/>
      <c r="X310" s="307"/>
      <c r="Y310" s="307"/>
    </row>
    <row r="311">
      <c r="A311" s="307"/>
      <c r="B311" s="307"/>
      <c r="C311" s="307"/>
      <c r="D311" s="310"/>
      <c r="E311" s="307"/>
      <c r="F311" s="307"/>
      <c r="G311" s="307"/>
      <c r="H311" s="307"/>
      <c r="I311" s="307"/>
      <c r="J311" s="307"/>
      <c r="K311" s="307"/>
      <c r="L311" s="307"/>
      <c r="M311" s="307"/>
      <c r="N311" s="307"/>
      <c r="O311" s="307"/>
      <c r="P311" s="307"/>
      <c r="Q311" s="307"/>
      <c r="R311" s="307"/>
      <c r="S311" s="307"/>
      <c r="T311" s="307"/>
      <c r="U311" s="307"/>
      <c r="V311" s="307"/>
      <c r="W311" s="307"/>
      <c r="X311" s="307"/>
      <c r="Y311" s="307"/>
    </row>
    <row r="312">
      <c r="A312" s="307"/>
      <c r="B312" s="307"/>
      <c r="C312" s="307"/>
      <c r="D312" s="310"/>
      <c r="E312" s="307"/>
      <c r="F312" s="307"/>
      <c r="G312" s="307"/>
      <c r="H312" s="307"/>
      <c r="I312" s="307"/>
      <c r="J312" s="307"/>
      <c r="K312" s="307"/>
      <c r="L312" s="307"/>
      <c r="M312" s="307"/>
      <c r="N312" s="307"/>
      <c r="O312" s="307"/>
      <c r="P312" s="307"/>
      <c r="Q312" s="307"/>
      <c r="R312" s="307"/>
      <c r="S312" s="307"/>
      <c r="T312" s="307"/>
      <c r="U312" s="307"/>
      <c r="V312" s="307"/>
      <c r="W312" s="307"/>
      <c r="X312" s="307"/>
      <c r="Y312" s="307"/>
    </row>
    <row r="313">
      <c r="A313" s="307"/>
      <c r="B313" s="307"/>
      <c r="C313" s="307"/>
      <c r="D313" s="310"/>
      <c r="E313" s="307"/>
      <c r="F313" s="307"/>
      <c r="G313" s="307"/>
      <c r="H313" s="307"/>
      <c r="I313" s="307"/>
      <c r="J313" s="307"/>
      <c r="K313" s="307"/>
      <c r="L313" s="307"/>
      <c r="M313" s="307"/>
      <c r="N313" s="307"/>
      <c r="O313" s="307"/>
      <c r="P313" s="307"/>
      <c r="Q313" s="307"/>
      <c r="R313" s="307"/>
      <c r="S313" s="307"/>
      <c r="T313" s="307"/>
      <c r="U313" s="307"/>
      <c r="V313" s="307"/>
      <c r="W313" s="307"/>
      <c r="X313" s="307"/>
      <c r="Y313" s="307"/>
    </row>
    <row r="314">
      <c r="A314" s="307"/>
      <c r="B314" s="307"/>
      <c r="C314" s="307"/>
      <c r="D314" s="310"/>
      <c r="E314" s="307"/>
      <c r="F314" s="307"/>
      <c r="G314" s="307"/>
      <c r="H314" s="307"/>
      <c r="I314" s="307"/>
      <c r="J314" s="307"/>
      <c r="K314" s="307"/>
      <c r="L314" s="307"/>
      <c r="M314" s="307"/>
      <c r="N314" s="307"/>
      <c r="O314" s="307"/>
      <c r="P314" s="307"/>
      <c r="Q314" s="307"/>
      <c r="R314" s="307"/>
      <c r="S314" s="307"/>
      <c r="T314" s="307"/>
      <c r="U314" s="307"/>
      <c r="V314" s="307"/>
      <c r="W314" s="307"/>
      <c r="X314" s="307"/>
      <c r="Y314" s="307"/>
    </row>
    <row r="315">
      <c r="A315" s="307"/>
      <c r="B315" s="307"/>
      <c r="C315" s="307"/>
      <c r="D315" s="310"/>
      <c r="E315" s="307"/>
      <c r="F315" s="307"/>
      <c r="G315" s="307"/>
      <c r="H315" s="307"/>
      <c r="I315" s="307"/>
      <c r="J315" s="307"/>
      <c r="K315" s="307"/>
      <c r="L315" s="307"/>
      <c r="M315" s="307"/>
      <c r="N315" s="307"/>
      <c r="O315" s="307"/>
      <c r="P315" s="307"/>
      <c r="Q315" s="307"/>
      <c r="R315" s="307"/>
      <c r="S315" s="307"/>
      <c r="T315" s="307"/>
      <c r="U315" s="307"/>
      <c r="V315" s="307"/>
      <c r="W315" s="307"/>
      <c r="X315" s="307"/>
      <c r="Y315" s="307"/>
    </row>
    <row r="316">
      <c r="A316" s="307"/>
      <c r="B316" s="307"/>
      <c r="C316" s="307"/>
      <c r="D316" s="310"/>
      <c r="E316" s="307"/>
      <c r="F316" s="307"/>
      <c r="G316" s="307"/>
      <c r="H316" s="307"/>
      <c r="I316" s="307"/>
      <c r="J316" s="307"/>
      <c r="K316" s="307"/>
      <c r="L316" s="307"/>
      <c r="M316" s="307"/>
      <c r="N316" s="307"/>
      <c r="O316" s="307"/>
      <c r="P316" s="307"/>
      <c r="Q316" s="307"/>
      <c r="R316" s="307"/>
      <c r="S316" s="307"/>
      <c r="T316" s="307"/>
      <c r="U316" s="307"/>
      <c r="V316" s="307"/>
      <c r="W316" s="307"/>
      <c r="X316" s="307"/>
      <c r="Y316" s="307"/>
    </row>
    <row r="317">
      <c r="A317" s="307"/>
      <c r="B317" s="307"/>
      <c r="C317" s="307"/>
      <c r="D317" s="310"/>
      <c r="E317" s="307"/>
      <c r="F317" s="307"/>
      <c r="G317" s="307"/>
      <c r="H317" s="307"/>
      <c r="I317" s="307"/>
      <c r="J317" s="307"/>
      <c r="K317" s="307"/>
      <c r="L317" s="307"/>
      <c r="M317" s="307"/>
      <c r="N317" s="307"/>
      <c r="O317" s="307"/>
      <c r="P317" s="307"/>
      <c r="Q317" s="307"/>
      <c r="R317" s="307"/>
      <c r="S317" s="307"/>
      <c r="T317" s="307"/>
      <c r="U317" s="307"/>
      <c r="V317" s="307"/>
      <c r="W317" s="307"/>
      <c r="X317" s="307"/>
      <c r="Y317" s="307"/>
    </row>
    <row r="318">
      <c r="A318" s="307"/>
      <c r="B318" s="307"/>
      <c r="C318" s="307"/>
      <c r="D318" s="310"/>
      <c r="E318" s="307"/>
      <c r="F318" s="307"/>
      <c r="G318" s="307"/>
      <c r="H318" s="307"/>
      <c r="I318" s="307"/>
      <c r="J318" s="307"/>
      <c r="K318" s="307"/>
      <c r="L318" s="307"/>
      <c r="M318" s="307"/>
      <c r="N318" s="307"/>
      <c r="O318" s="307"/>
      <c r="P318" s="307"/>
      <c r="Q318" s="307"/>
      <c r="R318" s="307"/>
      <c r="S318" s="307"/>
      <c r="T318" s="307"/>
      <c r="U318" s="307"/>
      <c r="V318" s="307"/>
      <c r="W318" s="307"/>
      <c r="X318" s="307"/>
      <c r="Y318" s="307"/>
    </row>
    <row r="319">
      <c r="A319" s="307"/>
      <c r="B319" s="307"/>
      <c r="C319" s="307"/>
      <c r="D319" s="310"/>
      <c r="E319" s="307"/>
      <c r="F319" s="307"/>
      <c r="G319" s="307"/>
      <c r="H319" s="307"/>
      <c r="I319" s="307"/>
      <c r="J319" s="307"/>
      <c r="K319" s="307"/>
      <c r="L319" s="307"/>
      <c r="M319" s="307"/>
      <c r="N319" s="307"/>
      <c r="O319" s="307"/>
      <c r="P319" s="307"/>
      <c r="Q319" s="307"/>
      <c r="R319" s="307"/>
      <c r="S319" s="307"/>
      <c r="T319" s="307"/>
      <c r="U319" s="307"/>
      <c r="V319" s="307"/>
      <c r="W319" s="307"/>
      <c r="X319" s="307"/>
      <c r="Y319" s="307"/>
    </row>
    <row r="320">
      <c r="A320" s="307"/>
      <c r="B320" s="307"/>
      <c r="C320" s="307"/>
      <c r="D320" s="310"/>
      <c r="E320" s="307"/>
      <c r="F320" s="307"/>
      <c r="G320" s="307"/>
      <c r="H320" s="307"/>
      <c r="I320" s="307"/>
      <c r="J320" s="307"/>
      <c r="K320" s="307"/>
      <c r="L320" s="307"/>
      <c r="M320" s="307"/>
      <c r="N320" s="307"/>
      <c r="O320" s="307"/>
      <c r="P320" s="307"/>
      <c r="Q320" s="307"/>
      <c r="R320" s="307"/>
      <c r="S320" s="307"/>
      <c r="T320" s="307"/>
      <c r="U320" s="307"/>
      <c r="V320" s="307"/>
      <c r="W320" s="307"/>
      <c r="X320" s="307"/>
      <c r="Y320" s="307"/>
    </row>
    <row r="321">
      <c r="A321" s="307"/>
      <c r="B321" s="307"/>
      <c r="C321" s="307"/>
      <c r="D321" s="310"/>
      <c r="E321" s="307"/>
      <c r="F321" s="307"/>
      <c r="G321" s="307"/>
      <c r="H321" s="307"/>
      <c r="I321" s="307"/>
      <c r="J321" s="307"/>
      <c r="K321" s="307"/>
      <c r="L321" s="307"/>
      <c r="M321" s="307"/>
      <c r="N321" s="307"/>
      <c r="O321" s="307"/>
      <c r="P321" s="307"/>
      <c r="Q321" s="307"/>
      <c r="R321" s="307"/>
      <c r="S321" s="307"/>
      <c r="T321" s="307"/>
      <c r="U321" s="307"/>
      <c r="V321" s="307"/>
      <c r="W321" s="307"/>
      <c r="X321" s="307"/>
      <c r="Y321" s="307"/>
    </row>
    <row r="322">
      <c r="A322" s="307"/>
      <c r="B322" s="307"/>
      <c r="C322" s="307"/>
      <c r="D322" s="310"/>
      <c r="E322" s="307"/>
      <c r="F322" s="307"/>
      <c r="G322" s="307"/>
      <c r="H322" s="307"/>
      <c r="I322" s="307"/>
      <c r="J322" s="307"/>
      <c r="K322" s="307"/>
      <c r="L322" s="307"/>
      <c r="M322" s="307"/>
      <c r="N322" s="307"/>
      <c r="O322" s="307"/>
      <c r="P322" s="307"/>
      <c r="Q322" s="307"/>
      <c r="R322" s="307"/>
      <c r="S322" s="307"/>
      <c r="T322" s="307"/>
      <c r="U322" s="307"/>
      <c r="V322" s="307"/>
      <c r="W322" s="307"/>
      <c r="X322" s="307"/>
      <c r="Y322" s="307"/>
    </row>
    <row r="323">
      <c r="A323" s="307"/>
      <c r="B323" s="307"/>
      <c r="C323" s="307"/>
      <c r="D323" s="310"/>
      <c r="E323" s="307"/>
      <c r="F323" s="307"/>
      <c r="G323" s="307"/>
      <c r="H323" s="307"/>
      <c r="I323" s="307"/>
      <c r="J323" s="307"/>
      <c r="K323" s="307"/>
      <c r="L323" s="307"/>
      <c r="M323" s="307"/>
      <c r="N323" s="307"/>
      <c r="O323" s="307"/>
      <c r="P323" s="307"/>
      <c r="Q323" s="307"/>
      <c r="R323" s="307"/>
      <c r="S323" s="307"/>
      <c r="T323" s="307"/>
      <c r="U323" s="307"/>
      <c r="V323" s="307"/>
      <c r="W323" s="307"/>
      <c r="X323" s="307"/>
      <c r="Y323" s="307"/>
    </row>
    <row r="324">
      <c r="A324" s="307"/>
      <c r="B324" s="307"/>
      <c r="C324" s="307"/>
      <c r="D324" s="310"/>
      <c r="E324" s="307"/>
      <c r="F324" s="307"/>
      <c r="G324" s="307"/>
      <c r="H324" s="307"/>
      <c r="I324" s="307"/>
      <c r="J324" s="307"/>
      <c r="K324" s="307"/>
      <c r="L324" s="307"/>
      <c r="M324" s="307"/>
      <c r="N324" s="307"/>
      <c r="O324" s="307"/>
      <c r="P324" s="307"/>
      <c r="Q324" s="307"/>
      <c r="R324" s="307"/>
      <c r="S324" s="307"/>
      <c r="T324" s="307"/>
      <c r="U324" s="307"/>
      <c r="V324" s="307"/>
      <c r="W324" s="307"/>
      <c r="X324" s="307"/>
      <c r="Y324" s="307"/>
    </row>
    <row r="325">
      <c r="A325" s="307"/>
      <c r="B325" s="307"/>
      <c r="C325" s="307"/>
      <c r="D325" s="310"/>
      <c r="E325" s="307"/>
      <c r="F325" s="307"/>
      <c r="G325" s="307"/>
      <c r="H325" s="307"/>
      <c r="I325" s="307"/>
      <c r="J325" s="307"/>
      <c r="K325" s="307"/>
      <c r="L325" s="307"/>
      <c r="M325" s="307"/>
      <c r="N325" s="307"/>
      <c r="O325" s="307"/>
      <c r="P325" s="307"/>
      <c r="Q325" s="307"/>
      <c r="R325" s="307"/>
      <c r="S325" s="307"/>
      <c r="T325" s="307"/>
      <c r="U325" s="307"/>
      <c r="V325" s="307"/>
      <c r="W325" s="307"/>
      <c r="X325" s="307"/>
      <c r="Y325" s="307"/>
    </row>
    <row r="326">
      <c r="A326" s="307"/>
      <c r="B326" s="307"/>
      <c r="C326" s="307"/>
      <c r="D326" s="310"/>
      <c r="E326" s="307"/>
      <c r="F326" s="307"/>
      <c r="G326" s="307"/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</row>
    <row r="327">
      <c r="A327" s="307"/>
      <c r="B327" s="307"/>
      <c r="C327" s="307"/>
      <c r="D327" s="310"/>
      <c r="E327" s="307"/>
      <c r="F327" s="307"/>
      <c r="G327" s="307"/>
      <c r="H327" s="307"/>
      <c r="I327" s="307"/>
      <c r="J327" s="307"/>
      <c r="K327" s="307"/>
      <c r="L327" s="307"/>
      <c r="M327" s="307"/>
      <c r="N327" s="307"/>
      <c r="O327" s="307"/>
      <c r="P327" s="307"/>
      <c r="Q327" s="307"/>
      <c r="R327" s="307"/>
      <c r="S327" s="307"/>
      <c r="T327" s="307"/>
      <c r="U327" s="307"/>
      <c r="V327" s="307"/>
      <c r="W327" s="307"/>
      <c r="X327" s="307"/>
      <c r="Y327" s="307"/>
    </row>
    <row r="328">
      <c r="A328" s="307"/>
      <c r="B328" s="307"/>
      <c r="C328" s="307"/>
      <c r="D328" s="310"/>
      <c r="E328" s="307"/>
      <c r="F328" s="307"/>
      <c r="G328" s="307"/>
      <c r="H328" s="307"/>
      <c r="I328" s="307"/>
      <c r="J328" s="307"/>
      <c r="K328" s="307"/>
      <c r="L328" s="307"/>
      <c r="M328" s="307"/>
      <c r="N328" s="307"/>
      <c r="O328" s="307"/>
      <c r="P328" s="307"/>
      <c r="Q328" s="307"/>
      <c r="R328" s="307"/>
      <c r="S328" s="307"/>
      <c r="T328" s="307"/>
      <c r="U328" s="307"/>
      <c r="V328" s="307"/>
      <c r="W328" s="307"/>
      <c r="X328" s="307"/>
      <c r="Y328" s="307"/>
    </row>
    <row r="329">
      <c r="A329" s="307"/>
      <c r="B329" s="307"/>
      <c r="C329" s="307"/>
      <c r="D329" s="310"/>
      <c r="E329" s="307"/>
      <c r="F329" s="307"/>
      <c r="G329" s="307"/>
      <c r="H329" s="307"/>
      <c r="I329" s="307"/>
      <c r="J329" s="307"/>
      <c r="K329" s="307"/>
      <c r="L329" s="307"/>
      <c r="M329" s="307"/>
      <c r="N329" s="307"/>
      <c r="O329" s="307"/>
      <c r="P329" s="307"/>
      <c r="Q329" s="307"/>
      <c r="R329" s="307"/>
      <c r="S329" s="307"/>
      <c r="T329" s="307"/>
      <c r="U329" s="307"/>
      <c r="V329" s="307"/>
      <c r="W329" s="307"/>
      <c r="X329" s="307"/>
      <c r="Y329" s="307"/>
    </row>
    <row r="330">
      <c r="A330" s="307"/>
      <c r="B330" s="307"/>
      <c r="C330" s="307"/>
      <c r="D330" s="310"/>
      <c r="E330" s="307"/>
      <c r="F330" s="307"/>
      <c r="G330" s="307"/>
      <c r="H330" s="307"/>
      <c r="I330" s="307"/>
      <c r="J330" s="307"/>
      <c r="K330" s="307"/>
      <c r="L330" s="307"/>
      <c r="M330" s="307"/>
      <c r="N330" s="307"/>
      <c r="O330" s="307"/>
      <c r="P330" s="307"/>
      <c r="Q330" s="307"/>
      <c r="R330" s="307"/>
      <c r="S330" s="307"/>
      <c r="T330" s="307"/>
      <c r="U330" s="307"/>
      <c r="V330" s="307"/>
      <c r="W330" s="307"/>
      <c r="X330" s="307"/>
      <c r="Y330" s="307"/>
    </row>
    <row r="331">
      <c r="A331" s="307"/>
      <c r="B331" s="307"/>
      <c r="C331" s="307"/>
      <c r="D331" s="310"/>
      <c r="E331" s="307"/>
      <c r="F331" s="307"/>
      <c r="G331" s="307"/>
      <c r="H331" s="307"/>
      <c r="I331" s="307"/>
      <c r="J331" s="307"/>
      <c r="K331" s="307"/>
      <c r="L331" s="307"/>
      <c r="M331" s="307"/>
      <c r="N331" s="307"/>
      <c r="O331" s="307"/>
      <c r="P331" s="307"/>
      <c r="Q331" s="307"/>
      <c r="R331" s="307"/>
      <c r="S331" s="307"/>
      <c r="T331" s="307"/>
      <c r="U331" s="307"/>
      <c r="V331" s="307"/>
      <c r="W331" s="307"/>
      <c r="X331" s="307"/>
      <c r="Y331" s="307"/>
    </row>
    <row r="332">
      <c r="A332" s="307"/>
      <c r="B332" s="307"/>
      <c r="C332" s="307"/>
      <c r="D332" s="310"/>
      <c r="E332" s="307"/>
      <c r="F332" s="307"/>
      <c r="G332" s="307"/>
      <c r="H332" s="307"/>
      <c r="I332" s="307"/>
      <c r="J332" s="307"/>
      <c r="K332" s="307"/>
      <c r="L332" s="307"/>
      <c r="M332" s="307"/>
      <c r="N332" s="307"/>
      <c r="O332" s="307"/>
      <c r="P332" s="307"/>
      <c r="Q332" s="307"/>
      <c r="R332" s="307"/>
      <c r="S332" s="307"/>
      <c r="T332" s="307"/>
      <c r="U332" s="307"/>
      <c r="V332" s="307"/>
      <c r="W332" s="307"/>
      <c r="X332" s="307"/>
      <c r="Y332" s="307"/>
    </row>
    <row r="333">
      <c r="A333" s="307"/>
      <c r="B333" s="307"/>
      <c r="C333" s="307"/>
      <c r="D333" s="310"/>
      <c r="E333" s="307"/>
      <c r="F333" s="307"/>
      <c r="G333" s="307"/>
      <c r="H333" s="307"/>
      <c r="I333" s="307"/>
      <c r="J333" s="307"/>
      <c r="K333" s="307"/>
      <c r="L333" s="307"/>
      <c r="M333" s="307"/>
      <c r="N333" s="307"/>
      <c r="O333" s="307"/>
      <c r="P333" s="307"/>
      <c r="Q333" s="307"/>
      <c r="R333" s="307"/>
      <c r="S333" s="307"/>
      <c r="T333" s="307"/>
      <c r="U333" s="307"/>
      <c r="V333" s="307"/>
      <c r="W333" s="307"/>
      <c r="X333" s="307"/>
      <c r="Y333" s="307"/>
    </row>
    <row r="334">
      <c r="A334" s="307"/>
      <c r="B334" s="307"/>
      <c r="C334" s="307"/>
      <c r="D334" s="310"/>
      <c r="E334" s="307"/>
      <c r="F334" s="307"/>
      <c r="G334" s="307"/>
      <c r="H334" s="307"/>
      <c r="I334" s="307"/>
      <c r="J334" s="307"/>
      <c r="K334" s="307"/>
      <c r="L334" s="307"/>
      <c r="M334" s="307"/>
      <c r="N334" s="307"/>
      <c r="O334" s="307"/>
      <c r="P334" s="307"/>
      <c r="Q334" s="307"/>
      <c r="R334" s="307"/>
      <c r="S334" s="307"/>
      <c r="T334" s="307"/>
      <c r="U334" s="307"/>
      <c r="V334" s="307"/>
      <c r="W334" s="307"/>
      <c r="X334" s="307"/>
      <c r="Y334" s="307"/>
    </row>
    <row r="335">
      <c r="A335" s="307"/>
      <c r="B335" s="307"/>
      <c r="C335" s="307"/>
      <c r="D335" s="310"/>
      <c r="E335" s="307"/>
      <c r="F335" s="307"/>
      <c r="G335" s="307"/>
      <c r="H335" s="307"/>
      <c r="I335" s="307"/>
      <c r="J335" s="307"/>
      <c r="K335" s="307"/>
      <c r="L335" s="307"/>
      <c r="M335" s="307"/>
      <c r="N335" s="307"/>
      <c r="O335" s="307"/>
      <c r="P335" s="307"/>
      <c r="Q335" s="307"/>
      <c r="R335" s="307"/>
      <c r="S335" s="307"/>
      <c r="T335" s="307"/>
      <c r="U335" s="307"/>
      <c r="V335" s="307"/>
      <c r="W335" s="307"/>
      <c r="X335" s="307"/>
      <c r="Y335" s="307"/>
    </row>
    <row r="336">
      <c r="A336" s="307"/>
      <c r="B336" s="307"/>
      <c r="C336" s="307"/>
      <c r="D336" s="310"/>
      <c r="E336" s="307"/>
      <c r="F336" s="307"/>
      <c r="G336" s="307"/>
      <c r="H336" s="307"/>
      <c r="I336" s="307"/>
      <c r="J336" s="307"/>
      <c r="K336" s="307"/>
      <c r="L336" s="307"/>
      <c r="M336" s="307"/>
      <c r="N336" s="307"/>
      <c r="O336" s="307"/>
      <c r="P336" s="307"/>
      <c r="Q336" s="307"/>
      <c r="R336" s="307"/>
      <c r="S336" s="307"/>
      <c r="T336" s="307"/>
      <c r="U336" s="307"/>
      <c r="V336" s="307"/>
      <c r="W336" s="307"/>
      <c r="X336" s="307"/>
      <c r="Y336" s="307"/>
    </row>
    <row r="337">
      <c r="A337" s="307"/>
      <c r="B337" s="307"/>
      <c r="C337" s="307"/>
      <c r="D337" s="310"/>
      <c r="E337" s="307"/>
      <c r="F337" s="307"/>
      <c r="G337" s="307"/>
      <c r="H337" s="307"/>
      <c r="I337" s="307"/>
      <c r="J337" s="307"/>
      <c r="K337" s="307"/>
      <c r="L337" s="307"/>
      <c r="M337" s="307"/>
      <c r="N337" s="307"/>
      <c r="O337" s="307"/>
      <c r="P337" s="307"/>
      <c r="Q337" s="307"/>
      <c r="R337" s="307"/>
      <c r="S337" s="307"/>
      <c r="T337" s="307"/>
      <c r="U337" s="307"/>
      <c r="V337" s="307"/>
      <c r="W337" s="307"/>
      <c r="X337" s="307"/>
      <c r="Y337" s="307"/>
    </row>
    <row r="338">
      <c r="A338" s="307"/>
      <c r="B338" s="307"/>
      <c r="C338" s="307"/>
      <c r="D338" s="310"/>
      <c r="E338" s="307"/>
      <c r="F338" s="307"/>
      <c r="G338" s="307"/>
      <c r="H338" s="307"/>
      <c r="I338" s="307"/>
      <c r="J338" s="307"/>
      <c r="K338" s="307"/>
      <c r="L338" s="307"/>
      <c r="M338" s="307"/>
      <c r="N338" s="307"/>
      <c r="O338" s="307"/>
      <c r="P338" s="307"/>
      <c r="Q338" s="307"/>
      <c r="R338" s="307"/>
      <c r="S338" s="307"/>
      <c r="T338" s="307"/>
      <c r="U338" s="307"/>
      <c r="V338" s="307"/>
      <c r="W338" s="307"/>
      <c r="X338" s="307"/>
      <c r="Y338" s="307"/>
    </row>
    <row r="339">
      <c r="A339" s="307"/>
      <c r="B339" s="307"/>
      <c r="C339" s="307"/>
      <c r="D339" s="310"/>
      <c r="E339" s="307"/>
      <c r="F339" s="307"/>
      <c r="G339" s="307"/>
      <c r="H339" s="307"/>
      <c r="I339" s="307"/>
      <c r="J339" s="307"/>
      <c r="K339" s="307"/>
      <c r="L339" s="307"/>
      <c r="M339" s="307"/>
      <c r="N339" s="307"/>
      <c r="O339" s="307"/>
      <c r="P339" s="307"/>
      <c r="Q339" s="307"/>
      <c r="R339" s="307"/>
      <c r="S339" s="307"/>
      <c r="T339" s="307"/>
      <c r="U339" s="307"/>
      <c r="V339" s="307"/>
      <c r="W339" s="307"/>
      <c r="X339" s="307"/>
      <c r="Y339" s="307"/>
    </row>
    <row r="340">
      <c r="A340" s="307"/>
      <c r="B340" s="307"/>
      <c r="C340" s="307"/>
      <c r="D340" s="310"/>
      <c r="E340" s="307"/>
      <c r="F340" s="307"/>
      <c r="G340" s="307"/>
      <c r="H340" s="307"/>
      <c r="I340" s="307"/>
      <c r="J340" s="307"/>
      <c r="K340" s="307"/>
      <c r="L340" s="307"/>
      <c r="M340" s="307"/>
      <c r="N340" s="307"/>
      <c r="O340" s="307"/>
      <c r="P340" s="307"/>
      <c r="Q340" s="307"/>
      <c r="R340" s="307"/>
      <c r="S340" s="307"/>
      <c r="T340" s="307"/>
      <c r="U340" s="307"/>
      <c r="V340" s="307"/>
      <c r="W340" s="307"/>
      <c r="X340" s="307"/>
      <c r="Y340" s="307"/>
    </row>
    <row r="341">
      <c r="A341" s="307"/>
      <c r="B341" s="307"/>
      <c r="C341" s="307"/>
      <c r="D341" s="310"/>
      <c r="E341" s="307"/>
      <c r="F341" s="307"/>
      <c r="G341" s="307"/>
      <c r="H341" s="307"/>
      <c r="I341" s="307"/>
      <c r="J341" s="307"/>
      <c r="K341" s="307"/>
      <c r="L341" s="307"/>
      <c r="M341" s="307"/>
      <c r="N341" s="307"/>
      <c r="O341" s="307"/>
      <c r="P341" s="307"/>
      <c r="Q341" s="307"/>
      <c r="R341" s="307"/>
      <c r="S341" s="307"/>
      <c r="T341" s="307"/>
      <c r="U341" s="307"/>
      <c r="V341" s="307"/>
      <c r="W341" s="307"/>
      <c r="X341" s="307"/>
      <c r="Y341" s="307"/>
    </row>
    <row r="342">
      <c r="A342" s="307"/>
      <c r="B342" s="307"/>
      <c r="C342" s="307"/>
      <c r="D342" s="310"/>
      <c r="E342" s="307"/>
      <c r="F342" s="307"/>
      <c r="G342" s="307"/>
      <c r="H342" s="307"/>
      <c r="I342" s="307"/>
      <c r="J342" s="307"/>
      <c r="K342" s="307"/>
      <c r="L342" s="307"/>
      <c r="M342" s="307"/>
      <c r="N342" s="307"/>
      <c r="O342" s="307"/>
      <c r="P342" s="307"/>
      <c r="Q342" s="307"/>
      <c r="R342" s="307"/>
      <c r="S342" s="307"/>
      <c r="T342" s="307"/>
      <c r="U342" s="307"/>
      <c r="V342" s="307"/>
      <c r="W342" s="307"/>
      <c r="X342" s="307"/>
      <c r="Y342" s="307"/>
    </row>
    <row r="343">
      <c r="A343" s="307"/>
      <c r="B343" s="307"/>
      <c r="C343" s="307"/>
      <c r="D343" s="310"/>
      <c r="E343" s="307"/>
      <c r="F343" s="307"/>
      <c r="G343" s="307"/>
      <c r="H343" s="307"/>
      <c r="I343" s="307"/>
      <c r="J343" s="307"/>
      <c r="K343" s="307"/>
      <c r="L343" s="307"/>
      <c r="M343" s="307"/>
      <c r="N343" s="307"/>
      <c r="O343" s="307"/>
      <c r="P343" s="307"/>
      <c r="Q343" s="307"/>
      <c r="R343" s="307"/>
      <c r="S343" s="307"/>
      <c r="T343" s="307"/>
      <c r="U343" s="307"/>
      <c r="V343" s="307"/>
      <c r="W343" s="307"/>
      <c r="X343" s="307"/>
      <c r="Y343" s="307"/>
    </row>
    <row r="344">
      <c r="A344" s="307"/>
      <c r="B344" s="307"/>
      <c r="C344" s="307"/>
      <c r="D344" s="310"/>
      <c r="E344" s="307"/>
      <c r="F344" s="307"/>
      <c r="G344" s="307"/>
      <c r="H344" s="307"/>
      <c r="I344" s="307"/>
      <c r="J344" s="307"/>
      <c r="K344" s="307"/>
      <c r="L344" s="307"/>
      <c r="M344" s="307"/>
      <c r="N344" s="307"/>
      <c r="O344" s="307"/>
      <c r="P344" s="307"/>
      <c r="Q344" s="307"/>
      <c r="R344" s="307"/>
      <c r="S344" s="307"/>
      <c r="T344" s="307"/>
      <c r="U344" s="307"/>
      <c r="V344" s="307"/>
      <c r="W344" s="307"/>
      <c r="X344" s="307"/>
      <c r="Y344" s="307"/>
    </row>
    <row r="345">
      <c r="A345" s="307"/>
      <c r="B345" s="307"/>
      <c r="C345" s="307"/>
      <c r="D345" s="310"/>
      <c r="E345" s="307"/>
      <c r="F345" s="307"/>
      <c r="G345" s="307"/>
      <c r="H345" s="307"/>
      <c r="I345" s="307"/>
      <c r="J345" s="307"/>
      <c r="K345" s="307"/>
      <c r="L345" s="307"/>
      <c r="M345" s="307"/>
      <c r="N345" s="307"/>
      <c r="O345" s="307"/>
      <c r="P345" s="307"/>
      <c r="Q345" s="307"/>
      <c r="R345" s="307"/>
      <c r="S345" s="307"/>
      <c r="T345" s="307"/>
      <c r="U345" s="307"/>
      <c r="V345" s="307"/>
      <c r="W345" s="307"/>
      <c r="X345" s="307"/>
      <c r="Y345" s="307"/>
    </row>
    <row r="346">
      <c r="A346" s="307"/>
      <c r="B346" s="307"/>
      <c r="C346" s="307"/>
      <c r="D346" s="310"/>
      <c r="E346" s="307"/>
      <c r="F346" s="307"/>
      <c r="G346" s="307"/>
      <c r="H346" s="307"/>
      <c r="I346" s="307"/>
      <c r="J346" s="307"/>
      <c r="K346" s="307"/>
      <c r="L346" s="307"/>
      <c r="M346" s="307"/>
      <c r="N346" s="307"/>
      <c r="O346" s="307"/>
      <c r="P346" s="307"/>
      <c r="Q346" s="307"/>
      <c r="R346" s="307"/>
      <c r="S346" s="307"/>
      <c r="T346" s="307"/>
      <c r="U346" s="307"/>
      <c r="V346" s="307"/>
      <c r="W346" s="307"/>
      <c r="X346" s="307"/>
      <c r="Y346" s="307"/>
    </row>
    <row r="347">
      <c r="A347" s="307"/>
      <c r="B347" s="307"/>
      <c r="C347" s="307"/>
      <c r="D347" s="310"/>
      <c r="E347" s="307"/>
      <c r="F347" s="307"/>
      <c r="G347" s="307"/>
      <c r="H347" s="307"/>
      <c r="I347" s="307"/>
      <c r="J347" s="307"/>
      <c r="K347" s="307"/>
      <c r="L347" s="307"/>
      <c r="M347" s="307"/>
      <c r="N347" s="307"/>
      <c r="O347" s="307"/>
      <c r="P347" s="307"/>
      <c r="Q347" s="307"/>
      <c r="R347" s="307"/>
      <c r="S347" s="307"/>
      <c r="T347" s="307"/>
      <c r="U347" s="307"/>
      <c r="V347" s="307"/>
      <c r="W347" s="307"/>
      <c r="X347" s="307"/>
      <c r="Y347" s="307"/>
    </row>
    <row r="348">
      <c r="A348" s="307"/>
      <c r="B348" s="307"/>
      <c r="C348" s="307"/>
      <c r="D348" s="310"/>
      <c r="E348" s="307"/>
      <c r="F348" s="307"/>
      <c r="G348" s="307"/>
      <c r="H348" s="307"/>
      <c r="I348" s="307"/>
      <c r="J348" s="307"/>
      <c r="K348" s="307"/>
      <c r="L348" s="307"/>
      <c r="M348" s="307"/>
      <c r="N348" s="307"/>
      <c r="O348" s="307"/>
      <c r="P348" s="307"/>
      <c r="Q348" s="307"/>
      <c r="R348" s="307"/>
      <c r="S348" s="307"/>
      <c r="T348" s="307"/>
      <c r="U348" s="307"/>
      <c r="V348" s="307"/>
      <c r="W348" s="307"/>
      <c r="X348" s="307"/>
      <c r="Y348" s="307"/>
    </row>
    <row r="349">
      <c r="A349" s="307"/>
      <c r="B349" s="307"/>
      <c r="C349" s="307"/>
      <c r="D349" s="310"/>
      <c r="E349" s="307"/>
      <c r="F349" s="307"/>
      <c r="G349" s="307"/>
      <c r="H349" s="307"/>
      <c r="I349" s="307"/>
      <c r="J349" s="307"/>
      <c r="K349" s="307"/>
      <c r="L349" s="307"/>
      <c r="M349" s="307"/>
      <c r="N349" s="307"/>
      <c r="O349" s="307"/>
      <c r="P349" s="307"/>
      <c r="Q349" s="307"/>
      <c r="R349" s="307"/>
      <c r="S349" s="307"/>
      <c r="T349" s="307"/>
      <c r="U349" s="307"/>
      <c r="V349" s="307"/>
      <c r="W349" s="307"/>
      <c r="X349" s="307"/>
      <c r="Y349" s="307"/>
    </row>
    <row r="350">
      <c r="A350" s="307"/>
      <c r="B350" s="307"/>
      <c r="C350" s="307"/>
      <c r="D350" s="310"/>
      <c r="E350" s="307"/>
      <c r="F350" s="307"/>
      <c r="G350" s="307"/>
      <c r="H350" s="307"/>
      <c r="I350" s="307"/>
      <c r="J350" s="307"/>
      <c r="K350" s="307"/>
      <c r="L350" s="307"/>
      <c r="M350" s="307"/>
      <c r="N350" s="307"/>
      <c r="O350" s="307"/>
      <c r="P350" s="307"/>
      <c r="Q350" s="307"/>
      <c r="R350" s="307"/>
      <c r="S350" s="307"/>
      <c r="T350" s="307"/>
      <c r="U350" s="307"/>
      <c r="V350" s="307"/>
      <c r="W350" s="307"/>
      <c r="X350" s="307"/>
      <c r="Y350" s="307"/>
    </row>
    <row r="351">
      <c r="A351" s="307"/>
      <c r="B351" s="307"/>
      <c r="C351" s="307"/>
      <c r="D351" s="310"/>
      <c r="E351" s="307"/>
      <c r="F351" s="307"/>
      <c r="G351" s="307"/>
      <c r="H351" s="307"/>
      <c r="I351" s="307"/>
      <c r="J351" s="307"/>
      <c r="K351" s="307"/>
      <c r="L351" s="307"/>
      <c r="M351" s="307"/>
      <c r="N351" s="307"/>
      <c r="O351" s="307"/>
      <c r="P351" s="307"/>
      <c r="Q351" s="307"/>
      <c r="R351" s="307"/>
      <c r="S351" s="307"/>
      <c r="T351" s="307"/>
      <c r="U351" s="307"/>
      <c r="V351" s="307"/>
      <c r="W351" s="307"/>
      <c r="X351" s="307"/>
      <c r="Y351" s="307"/>
    </row>
    <row r="352">
      <c r="A352" s="307"/>
      <c r="B352" s="307"/>
      <c r="C352" s="307"/>
      <c r="D352" s="310"/>
      <c r="E352" s="307"/>
      <c r="F352" s="307"/>
      <c r="G352" s="307"/>
      <c r="H352" s="307"/>
      <c r="I352" s="307"/>
      <c r="J352" s="307"/>
      <c r="K352" s="307"/>
      <c r="L352" s="307"/>
      <c r="M352" s="307"/>
      <c r="N352" s="307"/>
      <c r="O352" s="307"/>
      <c r="P352" s="307"/>
      <c r="Q352" s="307"/>
      <c r="R352" s="307"/>
      <c r="S352" s="307"/>
      <c r="T352" s="307"/>
      <c r="U352" s="307"/>
      <c r="V352" s="307"/>
      <c r="W352" s="307"/>
      <c r="X352" s="307"/>
      <c r="Y352" s="307"/>
    </row>
    <row r="353">
      <c r="A353" s="307"/>
      <c r="B353" s="307"/>
      <c r="C353" s="307"/>
      <c r="D353" s="310"/>
      <c r="E353" s="307"/>
      <c r="F353" s="307"/>
      <c r="G353" s="307"/>
      <c r="H353" s="307"/>
      <c r="I353" s="307"/>
      <c r="J353" s="307"/>
      <c r="K353" s="307"/>
      <c r="L353" s="307"/>
      <c r="M353" s="307"/>
      <c r="N353" s="307"/>
      <c r="O353" s="307"/>
      <c r="P353" s="307"/>
      <c r="Q353" s="307"/>
      <c r="R353" s="307"/>
      <c r="S353" s="307"/>
      <c r="T353" s="307"/>
      <c r="U353" s="307"/>
      <c r="V353" s="307"/>
      <c r="W353" s="307"/>
      <c r="X353" s="307"/>
      <c r="Y353" s="307"/>
    </row>
    <row r="354">
      <c r="A354" s="307"/>
      <c r="B354" s="307"/>
      <c r="C354" s="307"/>
      <c r="D354" s="310"/>
      <c r="E354" s="307"/>
      <c r="F354" s="307"/>
      <c r="G354" s="307"/>
      <c r="H354" s="307"/>
      <c r="I354" s="307"/>
      <c r="J354" s="307"/>
      <c r="K354" s="307"/>
      <c r="L354" s="307"/>
      <c r="M354" s="307"/>
      <c r="N354" s="307"/>
      <c r="O354" s="307"/>
      <c r="P354" s="307"/>
      <c r="Q354" s="307"/>
      <c r="R354" s="307"/>
      <c r="S354" s="307"/>
      <c r="T354" s="307"/>
      <c r="U354" s="307"/>
      <c r="V354" s="307"/>
      <c r="W354" s="307"/>
      <c r="X354" s="307"/>
      <c r="Y354" s="307"/>
    </row>
    <row r="355">
      <c r="A355" s="307"/>
      <c r="B355" s="307"/>
      <c r="C355" s="307"/>
      <c r="D355" s="310"/>
      <c r="E355" s="307"/>
      <c r="F355" s="307"/>
      <c r="G355" s="307"/>
      <c r="H355" s="307"/>
      <c r="I355" s="307"/>
      <c r="J355" s="307"/>
      <c r="K355" s="307"/>
      <c r="L355" s="307"/>
      <c r="M355" s="307"/>
      <c r="N355" s="307"/>
      <c r="O355" s="307"/>
      <c r="P355" s="307"/>
      <c r="Q355" s="307"/>
      <c r="R355" s="307"/>
      <c r="S355" s="307"/>
      <c r="T355" s="307"/>
      <c r="U355" s="307"/>
      <c r="V355" s="307"/>
      <c r="W355" s="307"/>
      <c r="X355" s="307"/>
      <c r="Y355" s="307"/>
    </row>
    <row r="356">
      <c r="A356" s="307"/>
      <c r="B356" s="307"/>
      <c r="C356" s="307"/>
      <c r="D356" s="310"/>
      <c r="E356" s="307"/>
      <c r="F356" s="307"/>
      <c r="G356" s="307"/>
      <c r="H356" s="307"/>
      <c r="I356" s="307"/>
      <c r="J356" s="307"/>
      <c r="K356" s="307"/>
      <c r="L356" s="307"/>
      <c r="M356" s="307"/>
      <c r="N356" s="307"/>
      <c r="O356" s="307"/>
      <c r="P356" s="307"/>
      <c r="Q356" s="307"/>
      <c r="R356" s="307"/>
      <c r="S356" s="307"/>
      <c r="T356" s="307"/>
      <c r="U356" s="307"/>
      <c r="V356" s="307"/>
      <c r="W356" s="307"/>
      <c r="X356" s="307"/>
      <c r="Y356" s="307"/>
    </row>
    <row r="357">
      <c r="A357" s="307"/>
      <c r="B357" s="307"/>
      <c r="C357" s="307"/>
      <c r="D357" s="310"/>
      <c r="E357" s="307"/>
      <c r="F357" s="307"/>
      <c r="G357" s="307"/>
      <c r="H357" s="307"/>
      <c r="I357" s="307"/>
      <c r="J357" s="307"/>
      <c r="K357" s="307"/>
      <c r="L357" s="307"/>
      <c r="M357" s="307"/>
      <c r="N357" s="307"/>
      <c r="O357" s="307"/>
      <c r="P357" s="307"/>
      <c r="Q357" s="307"/>
      <c r="R357" s="307"/>
      <c r="S357" s="307"/>
      <c r="T357" s="307"/>
      <c r="U357" s="307"/>
      <c r="V357" s="307"/>
      <c r="W357" s="307"/>
      <c r="X357" s="307"/>
      <c r="Y357" s="307"/>
    </row>
    <row r="358">
      <c r="A358" s="307"/>
      <c r="B358" s="307"/>
      <c r="C358" s="307"/>
      <c r="D358" s="310"/>
      <c r="E358" s="307"/>
      <c r="F358" s="307"/>
      <c r="G358" s="307"/>
      <c r="H358" s="307"/>
      <c r="I358" s="307"/>
      <c r="J358" s="307"/>
      <c r="K358" s="307"/>
      <c r="L358" s="307"/>
      <c r="M358" s="307"/>
      <c r="N358" s="307"/>
      <c r="O358" s="307"/>
      <c r="P358" s="307"/>
      <c r="Q358" s="307"/>
      <c r="R358" s="307"/>
      <c r="S358" s="307"/>
      <c r="T358" s="307"/>
      <c r="U358" s="307"/>
      <c r="V358" s="307"/>
      <c r="W358" s="307"/>
      <c r="X358" s="307"/>
      <c r="Y358" s="307"/>
    </row>
    <row r="359">
      <c r="A359" s="307"/>
      <c r="B359" s="307"/>
      <c r="C359" s="307"/>
      <c r="D359" s="310"/>
      <c r="E359" s="307"/>
      <c r="F359" s="307"/>
      <c r="G359" s="307"/>
      <c r="H359" s="307"/>
      <c r="I359" s="307"/>
      <c r="J359" s="307"/>
      <c r="K359" s="307"/>
      <c r="L359" s="307"/>
      <c r="M359" s="307"/>
      <c r="N359" s="307"/>
      <c r="O359" s="307"/>
      <c r="P359" s="307"/>
      <c r="Q359" s="307"/>
      <c r="R359" s="307"/>
      <c r="S359" s="307"/>
      <c r="T359" s="307"/>
      <c r="U359" s="307"/>
      <c r="V359" s="307"/>
      <c r="W359" s="307"/>
      <c r="X359" s="307"/>
      <c r="Y359" s="307"/>
    </row>
    <row r="360">
      <c r="A360" s="307"/>
      <c r="B360" s="307"/>
      <c r="C360" s="307"/>
      <c r="D360" s="310"/>
      <c r="E360" s="307"/>
      <c r="F360" s="307"/>
      <c r="G360" s="307"/>
      <c r="H360" s="307"/>
      <c r="I360" s="307"/>
      <c r="J360" s="307"/>
      <c r="K360" s="307"/>
      <c r="L360" s="307"/>
      <c r="M360" s="307"/>
      <c r="N360" s="307"/>
      <c r="O360" s="307"/>
      <c r="P360" s="307"/>
      <c r="Q360" s="307"/>
      <c r="R360" s="307"/>
      <c r="S360" s="307"/>
      <c r="T360" s="307"/>
      <c r="U360" s="307"/>
      <c r="V360" s="307"/>
      <c r="W360" s="307"/>
      <c r="X360" s="307"/>
      <c r="Y360" s="307"/>
    </row>
    <row r="361">
      <c r="A361" s="307"/>
      <c r="B361" s="307"/>
      <c r="C361" s="307"/>
      <c r="D361" s="310"/>
      <c r="E361" s="307"/>
      <c r="F361" s="307"/>
      <c r="G361" s="307"/>
      <c r="H361" s="307"/>
      <c r="I361" s="307"/>
      <c r="J361" s="307"/>
      <c r="K361" s="307"/>
      <c r="L361" s="307"/>
      <c r="M361" s="307"/>
      <c r="N361" s="307"/>
      <c r="O361" s="307"/>
      <c r="P361" s="307"/>
      <c r="Q361" s="307"/>
      <c r="R361" s="307"/>
      <c r="S361" s="307"/>
      <c r="T361" s="307"/>
      <c r="U361" s="307"/>
      <c r="V361" s="307"/>
      <c r="W361" s="307"/>
      <c r="X361" s="307"/>
      <c r="Y361" s="307"/>
    </row>
    <row r="362">
      <c r="A362" s="307"/>
      <c r="B362" s="307"/>
      <c r="C362" s="307"/>
      <c r="D362" s="310"/>
      <c r="E362" s="307"/>
      <c r="F362" s="307"/>
      <c r="G362" s="307"/>
      <c r="H362" s="307"/>
      <c r="I362" s="307"/>
      <c r="J362" s="307"/>
      <c r="K362" s="307"/>
      <c r="L362" s="307"/>
      <c r="M362" s="307"/>
      <c r="N362" s="307"/>
      <c r="O362" s="307"/>
      <c r="P362" s="307"/>
      <c r="Q362" s="307"/>
      <c r="R362" s="307"/>
      <c r="S362" s="307"/>
      <c r="T362" s="307"/>
      <c r="U362" s="307"/>
      <c r="V362" s="307"/>
      <c r="W362" s="307"/>
      <c r="X362" s="307"/>
      <c r="Y362" s="307"/>
    </row>
    <row r="363">
      <c r="A363" s="307"/>
      <c r="B363" s="307"/>
      <c r="C363" s="307"/>
      <c r="D363" s="310"/>
      <c r="E363" s="307"/>
      <c r="F363" s="307"/>
      <c r="G363" s="307"/>
      <c r="H363" s="307"/>
      <c r="I363" s="307"/>
      <c r="J363" s="307"/>
      <c r="K363" s="307"/>
      <c r="L363" s="307"/>
      <c r="M363" s="307"/>
      <c r="N363" s="307"/>
      <c r="O363" s="307"/>
      <c r="P363" s="307"/>
      <c r="Q363" s="307"/>
      <c r="R363" s="307"/>
      <c r="S363" s="307"/>
      <c r="T363" s="307"/>
      <c r="U363" s="307"/>
      <c r="V363" s="307"/>
      <c r="W363" s="307"/>
      <c r="X363" s="307"/>
      <c r="Y363" s="307"/>
    </row>
    <row r="364">
      <c r="A364" s="307"/>
      <c r="B364" s="307"/>
      <c r="C364" s="307"/>
      <c r="D364" s="310"/>
      <c r="E364" s="307"/>
      <c r="F364" s="307"/>
      <c r="G364" s="307"/>
      <c r="H364" s="307"/>
      <c r="I364" s="307"/>
      <c r="J364" s="307"/>
      <c r="K364" s="307"/>
      <c r="L364" s="307"/>
      <c r="M364" s="307"/>
      <c r="N364" s="307"/>
      <c r="O364" s="307"/>
      <c r="P364" s="307"/>
      <c r="Q364" s="307"/>
      <c r="R364" s="307"/>
      <c r="S364" s="307"/>
      <c r="T364" s="307"/>
      <c r="U364" s="307"/>
      <c r="V364" s="307"/>
      <c r="W364" s="307"/>
      <c r="X364" s="307"/>
      <c r="Y364" s="307"/>
    </row>
    <row r="365">
      <c r="A365" s="307"/>
      <c r="B365" s="307"/>
      <c r="C365" s="307"/>
      <c r="D365" s="310"/>
      <c r="E365" s="307"/>
      <c r="F365" s="307"/>
      <c r="G365" s="307"/>
      <c r="H365" s="307"/>
      <c r="I365" s="307"/>
      <c r="J365" s="307"/>
      <c r="K365" s="307"/>
      <c r="L365" s="307"/>
      <c r="M365" s="307"/>
      <c r="N365" s="307"/>
      <c r="O365" s="307"/>
      <c r="P365" s="307"/>
      <c r="Q365" s="307"/>
      <c r="R365" s="307"/>
      <c r="S365" s="307"/>
      <c r="T365" s="307"/>
      <c r="U365" s="307"/>
      <c r="V365" s="307"/>
      <c r="W365" s="307"/>
      <c r="X365" s="307"/>
      <c r="Y365" s="307"/>
    </row>
    <row r="366">
      <c r="A366" s="307"/>
      <c r="B366" s="307"/>
      <c r="C366" s="307"/>
      <c r="D366" s="310"/>
      <c r="E366" s="307"/>
      <c r="F366" s="307"/>
      <c r="G366" s="307"/>
      <c r="H366" s="307"/>
      <c r="I366" s="307"/>
      <c r="J366" s="307"/>
      <c r="K366" s="307"/>
      <c r="L366" s="307"/>
      <c r="M366" s="307"/>
      <c r="N366" s="307"/>
      <c r="O366" s="307"/>
      <c r="P366" s="307"/>
      <c r="Q366" s="307"/>
      <c r="R366" s="307"/>
      <c r="S366" s="307"/>
      <c r="T366" s="307"/>
      <c r="U366" s="307"/>
      <c r="V366" s="307"/>
      <c r="W366" s="307"/>
      <c r="X366" s="307"/>
      <c r="Y366" s="307"/>
    </row>
    <row r="367">
      <c r="A367" s="307"/>
      <c r="B367" s="307"/>
      <c r="C367" s="307"/>
      <c r="D367" s="310"/>
      <c r="E367" s="307"/>
      <c r="F367" s="307"/>
      <c r="G367" s="307"/>
      <c r="H367" s="307"/>
      <c r="I367" s="307"/>
      <c r="J367" s="307"/>
      <c r="K367" s="307"/>
      <c r="L367" s="307"/>
      <c r="M367" s="307"/>
      <c r="N367" s="307"/>
      <c r="O367" s="307"/>
      <c r="P367" s="307"/>
      <c r="Q367" s="307"/>
      <c r="R367" s="307"/>
      <c r="S367" s="307"/>
      <c r="T367" s="307"/>
      <c r="U367" s="307"/>
      <c r="V367" s="307"/>
      <c r="W367" s="307"/>
      <c r="X367" s="307"/>
      <c r="Y367" s="307"/>
    </row>
    <row r="368">
      <c r="A368" s="307"/>
      <c r="B368" s="307"/>
      <c r="C368" s="307"/>
      <c r="D368" s="310"/>
      <c r="E368" s="307"/>
      <c r="F368" s="307"/>
      <c r="G368" s="307"/>
      <c r="H368" s="307"/>
      <c r="I368" s="307"/>
      <c r="J368" s="307"/>
      <c r="K368" s="307"/>
      <c r="L368" s="307"/>
      <c r="M368" s="307"/>
      <c r="N368" s="307"/>
      <c r="O368" s="307"/>
      <c r="P368" s="307"/>
      <c r="Q368" s="307"/>
      <c r="R368" s="307"/>
      <c r="S368" s="307"/>
      <c r="T368" s="307"/>
      <c r="U368" s="307"/>
      <c r="V368" s="307"/>
      <c r="W368" s="307"/>
      <c r="X368" s="307"/>
      <c r="Y368" s="307"/>
    </row>
    <row r="369">
      <c r="A369" s="307"/>
      <c r="B369" s="307"/>
      <c r="C369" s="307"/>
      <c r="D369" s="310"/>
      <c r="E369" s="307"/>
      <c r="F369" s="307"/>
      <c r="G369" s="307"/>
      <c r="H369" s="307"/>
      <c r="I369" s="307"/>
      <c r="J369" s="307"/>
      <c r="K369" s="307"/>
      <c r="L369" s="307"/>
      <c r="M369" s="307"/>
      <c r="N369" s="307"/>
      <c r="O369" s="307"/>
      <c r="P369" s="307"/>
      <c r="Q369" s="307"/>
      <c r="R369" s="307"/>
      <c r="S369" s="307"/>
      <c r="T369" s="307"/>
      <c r="U369" s="307"/>
      <c r="V369" s="307"/>
      <c r="W369" s="307"/>
      <c r="X369" s="307"/>
      <c r="Y369" s="307"/>
    </row>
    <row r="370">
      <c r="A370" s="307"/>
      <c r="B370" s="307"/>
      <c r="C370" s="307"/>
      <c r="D370" s="310"/>
      <c r="E370" s="307"/>
      <c r="F370" s="307"/>
      <c r="G370" s="307"/>
      <c r="H370" s="307"/>
      <c r="I370" s="307"/>
      <c r="J370" s="307"/>
      <c r="K370" s="307"/>
      <c r="L370" s="307"/>
      <c r="M370" s="307"/>
      <c r="N370" s="307"/>
      <c r="O370" s="307"/>
      <c r="P370" s="307"/>
      <c r="Q370" s="307"/>
      <c r="R370" s="307"/>
      <c r="S370" s="307"/>
      <c r="T370" s="307"/>
      <c r="U370" s="307"/>
      <c r="V370" s="307"/>
      <c r="W370" s="307"/>
      <c r="X370" s="307"/>
      <c r="Y370" s="307"/>
    </row>
    <row r="371">
      <c r="A371" s="307"/>
      <c r="B371" s="307"/>
      <c r="C371" s="307"/>
      <c r="D371" s="310"/>
      <c r="E371" s="307"/>
      <c r="F371" s="307"/>
      <c r="G371" s="307"/>
      <c r="H371" s="307"/>
      <c r="I371" s="307"/>
      <c r="J371" s="307"/>
      <c r="K371" s="307"/>
      <c r="L371" s="307"/>
      <c r="M371" s="307"/>
      <c r="N371" s="307"/>
      <c r="O371" s="307"/>
      <c r="P371" s="307"/>
      <c r="Q371" s="307"/>
      <c r="R371" s="307"/>
      <c r="S371" s="307"/>
      <c r="T371" s="307"/>
      <c r="U371" s="307"/>
      <c r="V371" s="307"/>
      <c r="W371" s="307"/>
      <c r="X371" s="307"/>
      <c r="Y371" s="307"/>
    </row>
    <row r="372">
      <c r="A372" s="307"/>
      <c r="B372" s="307"/>
      <c r="C372" s="307"/>
      <c r="D372" s="310"/>
      <c r="E372" s="307"/>
      <c r="F372" s="307"/>
      <c r="G372" s="307"/>
      <c r="H372" s="307"/>
      <c r="I372" s="307"/>
      <c r="J372" s="307"/>
      <c r="K372" s="307"/>
      <c r="L372" s="307"/>
      <c r="M372" s="307"/>
      <c r="N372" s="307"/>
      <c r="O372" s="307"/>
      <c r="P372" s="307"/>
      <c r="Q372" s="307"/>
      <c r="R372" s="307"/>
      <c r="S372" s="307"/>
      <c r="T372" s="307"/>
      <c r="U372" s="307"/>
      <c r="V372" s="307"/>
      <c r="W372" s="307"/>
      <c r="X372" s="307"/>
      <c r="Y372" s="307"/>
    </row>
    <row r="373">
      <c r="A373" s="307"/>
      <c r="B373" s="307"/>
      <c r="C373" s="307"/>
      <c r="D373" s="310"/>
      <c r="E373" s="307"/>
      <c r="F373" s="307"/>
      <c r="G373" s="307"/>
      <c r="H373" s="307"/>
      <c r="I373" s="307"/>
      <c r="J373" s="307"/>
      <c r="K373" s="307"/>
      <c r="L373" s="307"/>
      <c r="M373" s="307"/>
      <c r="N373" s="307"/>
      <c r="O373" s="307"/>
      <c r="P373" s="307"/>
      <c r="Q373" s="307"/>
      <c r="R373" s="307"/>
      <c r="S373" s="307"/>
      <c r="T373" s="307"/>
      <c r="U373" s="307"/>
      <c r="V373" s="307"/>
      <c r="W373" s="307"/>
      <c r="X373" s="307"/>
      <c r="Y373" s="307"/>
    </row>
    <row r="374">
      <c r="A374" s="307"/>
      <c r="B374" s="307"/>
      <c r="C374" s="307"/>
      <c r="D374" s="310"/>
      <c r="E374" s="307"/>
      <c r="F374" s="307"/>
      <c r="G374" s="307"/>
      <c r="H374" s="307"/>
      <c r="I374" s="307"/>
      <c r="J374" s="307"/>
      <c r="K374" s="307"/>
      <c r="L374" s="307"/>
      <c r="M374" s="307"/>
      <c r="N374" s="307"/>
      <c r="O374" s="307"/>
      <c r="P374" s="307"/>
      <c r="Q374" s="307"/>
      <c r="R374" s="307"/>
      <c r="S374" s="307"/>
      <c r="T374" s="307"/>
      <c r="U374" s="307"/>
      <c r="V374" s="307"/>
      <c r="W374" s="307"/>
      <c r="X374" s="307"/>
      <c r="Y374" s="307"/>
    </row>
    <row r="375">
      <c r="A375" s="307"/>
      <c r="B375" s="307"/>
      <c r="C375" s="307"/>
      <c r="D375" s="310"/>
      <c r="E375" s="307"/>
      <c r="F375" s="307"/>
      <c r="G375" s="307"/>
      <c r="H375" s="307"/>
      <c r="I375" s="307"/>
      <c r="J375" s="307"/>
      <c r="K375" s="307"/>
      <c r="L375" s="307"/>
      <c r="M375" s="307"/>
      <c r="N375" s="307"/>
      <c r="O375" s="307"/>
      <c r="P375" s="307"/>
      <c r="Q375" s="307"/>
      <c r="R375" s="307"/>
      <c r="S375" s="307"/>
      <c r="T375" s="307"/>
      <c r="U375" s="307"/>
      <c r="V375" s="307"/>
      <c r="W375" s="307"/>
      <c r="X375" s="307"/>
      <c r="Y375" s="307"/>
    </row>
    <row r="376">
      <c r="A376" s="307"/>
      <c r="B376" s="307"/>
      <c r="C376" s="307"/>
      <c r="D376" s="310"/>
      <c r="E376" s="307"/>
      <c r="F376" s="307"/>
      <c r="G376" s="307"/>
      <c r="H376" s="307"/>
      <c r="I376" s="307"/>
      <c r="J376" s="307"/>
      <c r="K376" s="307"/>
      <c r="L376" s="307"/>
      <c r="M376" s="307"/>
      <c r="N376" s="307"/>
      <c r="O376" s="307"/>
      <c r="P376" s="307"/>
      <c r="Q376" s="307"/>
      <c r="R376" s="307"/>
      <c r="S376" s="307"/>
      <c r="T376" s="307"/>
      <c r="U376" s="307"/>
      <c r="V376" s="307"/>
      <c r="W376" s="307"/>
      <c r="X376" s="307"/>
      <c r="Y376" s="307"/>
    </row>
    <row r="377">
      <c r="A377" s="307"/>
      <c r="B377" s="307"/>
      <c r="C377" s="307"/>
      <c r="D377" s="310"/>
      <c r="E377" s="307"/>
      <c r="F377" s="307"/>
      <c r="G377" s="307"/>
      <c r="H377" s="307"/>
      <c r="I377" s="307"/>
      <c r="J377" s="307"/>
      <c r="K377" s="307"/>
      <c r="L377" s="307"/>
      <c r="M377" s="307"/>
      <c r="N377" s="307"/>
      <c r="O377" s="307"/>
      <c r="P377" s="307"/>
      <c r="Q377" s="307"/>
      <c r="R377" s="307"/>
      <c r="S377" s="307"/>
      <c r="T377" s="307"/>
      <c r="U377" s="307"/>
      <c r="V377" s="307"/>
      <c r="W377" s="307"/>
      <c r="X377" s="307"/>
      <c r="Y377" s="307"/>
    </row>
    <row r="378">
      <c r="A378" s="307"/>
      <c r="B378" s="307"/>
      <c r="C378" s="307"/>
      <c r="D378" s="310"/>
      <c r="E378" s="307"/>
      <c r="F378" s="307"/>
      <c r="G378" s="307"/>
      <c r="H378" s="307"/>
      <c r="I378" s="307"/>
      <c r="J378" s="307"/>
      <c r="K378" s="307"/>
      <c r="L378" s="307"/>
      <c r="M378" s="307"/>
      <c r="N378" s="307"/>
      <c r="O378" s="307"/>
      <c r="P378" s="307"/>
      <c r="Q378" s="307"/>
      <c r="R378" s="307"/>
      <c r="S378" s="307"/>
      <c r="T378" s="307"/>
      <c r="U378" s="307"/>
      <c r="V378" s="307"/>
      <c r="W378" s="307"/>
      <c r="X378" s="307"/>
      <c r="Y378" s="307"/>
    </row>
    <row r="379">
      <c r="A379" s="307"/>
      <c r="B379" s="307"/>
      <c r="C379" s="307"/>
      <c r="D379" s="310"/>
      <c r="E379" s="307"/>
      <c r="F379" s="307"/>
      <c r="G379" s="307"/>
      <c r="H379" s="307"/>
      <c r="I379" s="307"/>
      <c r="J379" s="307"/>
      <c r="K379" s="307"/>
      <c r="L379" s="307"/>
      <c r="M379" s="307"/>
      <c r="N379" s="307"/>
      <c r="O379" s="307"/>
      <c r="P379" s="307"/>
      <c r="Q379" s="307"/>
      <c r="R379" s="307"/>
      <c r="S379" s="307"/>
      <c r="T379" s="307"/>
      <c r="U379" s="307"/>
      <c r="V379" s="307"/>
      <c r="W379" s="307"/>
      <c r="X379" s="307"/>
      <c r="Y379" s="307"/>
    </row>
    <row r="380">
      <c r="A380" s="307"/>
      <c r="B380" s="307"/>
      <c r="C380" s="307"/>
      <c r="D380" s="310"/>
      <c r="E380" s="307"/>
      <c r="F380" s="307"/>
      <c r="G380" s="307"/>
      <c r="H380" s="307"/>
      <c r="I380" s="307"/>
      <c r="J380" s="307"/>
      <c r="K380" s="307"/>
      <c r="L380" s="307"/>
      <c r="M380" s="307"/>
      <c r="N380" s="307"/>
      <c r="O380" s="307"/>
      <c r="P380" s="307"/>
      <c r="Q380" s="307"/>
      <c r="R380" s="307"/>
      <c r="S380" s="307"/>
      <c r="T380" s="307"/>
      <c r="U380" s="307"/>
      <c r="V380" s="307"/>
      <c r="W380" s="307"/>
      <c r="X380" s="307"/>
      <c r="Y380" s="307"/>
    </row>
    <row r="381">
      <c r="A381" s="307"/>
      <c r="B381" s="307"/>
      <c r="C381" s="307"/>
      <c r="D381" s="310"/>
      <c r="E381" s="307"/>
      <c r="F381" s="307"/>
      <c r="G381" s="307"/>
      <c r="H381" s="307"/>
      <c r="I381" s="307"/>
      <c r="J381" s="307"/>
      <c r="K381" s="307"/>
      <c r="L381" s="307"/>
      <c r="M381" s="307"/>
      <c r="N381" s="307"/>
      <c r="O381" s="307"/>
      <c r="P381" s="307"/>
      <c r="Q381" s="307"/>
      <c r="R381" s="307"/>
      <c r="S381" s="307"/>
      <c r="T381" s="307"/>
      <c r="U381" s="307"/>
      <c r="V381" s="307"/>
      <c r="W381" s="307"/>
      <c r="X381" s="307"/>
      <c r="Y381" s="307"/>
    </row>
    <row r="382">
      <c r="A382" s="307"/>
      <c r="B382" s="307"/>
      <c r="C382" s="307"/>
      <c r="D382" s="310"/>
      <c r="E382" s="307"/>
      <c r="F382" s="307"/>
      <c r="G382" s="307"/>
      <c r="H382" s="307"/>
      <c r="I382" s="307"/>
      <c r="J382" s="307"/>
      <c r="K382" s="307"/>
      <c r="L382" s="307"/>
      <c r="M382" s="307"/>
      <c r="N382" s="307"/>
      <c r="O382" s="307"/>
      <c r="P382" s="307"/>
      <c r="Q382" s="307"/>
      <c r="R382" s="307"/>
      <c r="S382" s="307"/>
      <c r="T382" s="307"/>
      <c r="U382" s="307"/>
      <c r="V382" s="307"/>
      <c r="W382" s="307"/>
      <c r="X382" s="307"/>
      <c r="Y382" s="307"/>
    </row>
    <row r="383">
      <c r="A383" s="307"/>
      <c r="B383" s="307"/>
      <c r="C383" s="307"/>
      <c r="D383" s="310"/>
      <c r="E383" s="307"/>
      <c r="F383" s="307"/>
      <c r="G383" s="307"/>
      <c r="H383" s="307"/>
      <c r="I383" s="307"/>
      <c r="J383" s="307"/>
      <c r="K383" s="307"/>
      <c r="L383" s="307"/>
      <c r="M383" s="307"/>
      <c r="N383" s="307"/>
      <c r="O383" s="307"/>
      <c r="P383" s="307"/>
      <c r="Q383" s="307"/>
      <c r="R383" s="307"/>
      <c r="S383" s="307"/>
      <c r="T383" s="307"/>
      <c r="U383" s="307"/>
      <c r="V383" s="307"/>
      <c r="W383" s="307"/>
      <c r="X383" s="307"/>
      <c r="Y383" s="307"/>
    </row>
    <row r="384">
      <c r="A384" s="307"/>
      <c r="B384" s="307"/>
      <c r="C384" s="307"/>
      <c r="D384" s="310"/>
      <c r="E384" s="307"/>
      <c r="F384" s="307"/>
      <c r="G384" s="307"/>
      <c r="H384" s="307"/>
      <c r="I384" s="307"/>
      <c r="J384" s="307"/>
      <c r="K384" s="307"/>
      <c r="L384" s="307"/>
      <c r="M384" s="307"/>
      <c r="N384" s="307"/>
      <c r="O384" s="307"/>
      <c r="P384" s="307"/>
      <c r="Q384" s="307"/>
      <c r="R384" s="307"/>
      <c r="S384" s="307"/>
      <c r="T384" s="307"/>
      <c r="U384" s="307"/>
      <c r="V384" s="307"/>
      <c r="W384" s="307"/>
      <c r="X384" s="307"/>
      <c r="Y384" s="307"/>
    </row>
    <row r="385">
      <c r="A385" s="307"/>
      <c r="B385" s="307"/>
      <c r="C385" s="307"/>
      <c r="D385" s="310"/>
      <c r="E385" s="307"/>
      <c r="F385" s="307"/>
      <c r="G385" s="307"/>
      <c r="H385" s="307"/>
      <c r="I385" s="307"/>
      <c r="J385" s="307"/>
      <c r="K385" s="307"/>
      <c r="L385" s="307"/>
      <c r="M385" s="307"/>
      <c r="N385" s="307"/>
      <c r="O385" s="307"/>
      <c r="P385" s="307"/>
      <c r="Q385" s="307"/>
      <c r="R385" s="307"/>
      <c r="S385" s="307"/>
      <c r="T385" s="307"/>
      <c r="U385" s="307"/>
      <c r="V385" s="307"/>
      <c r="W385" s="307"/>
      <c r="X385" s="307"/>
      <c r="Y385" s="307"/>
    </row>
    <row r="386">
      <c r="A386" s="307"/>
      <c r="B386" s="307"/>
      <c r="C386" s="307"/>
      <c r="D386" s="310"/>
      <c r="E386" s="307"/>
      <c r="F386" s="307"/>
      <c r="G386" s="307"/>
      <c r="H386" s="307"/>
      <c r="I386" s="307"/>
      <c r="J386" s="307"/>
      <c r="K386" s="307"/>
      <c r="L386" s="307"/>
      <c r="M386" s="307"/>
      <c r="N386" s="307"/>
      <c r="O386" s="307"/>
      <c r="P386" s="307"/>
      <c r="Q386" s="307"/>
      <c r="R386" s="307"/>
      <c r="S386" s="307"/>
      <c r="T386" s="307"/>
      <c r="U386" s="307"/>
      <c r="V386" s="307"/>
      <c r="W386" s="307"/>
      <c r="X386" s="307"/>
      <c r="Y386" s="307"/>
    </row>
    <row r="387">
      <c r="A387" s="307"/>
      <c r="B387" s="307"/>
      <c r="C387" s="307"/>
      <c r="D387" s="310"/>
      <c r="E387" s="307"/>
      <c r="F387" s="307"/>
      <c r="G387" s="307"/>
      <c r="H387" s="307"/>
      <c r="I387" s="307"/>
      <c r="J387" s="307"/>
      <c r="K387" s="307"/>
      <c r="L387" s="307"/>
      <c r="M387" s="307"/>
      <c r="N387" s="307"/>
      <c r="O387" s="307"/>
      <c r="P387" s="307"/>
      <c r="Q387" s="307"/>
      <c r="R387" s="307"/>
      <c r="S387" s="307"/>
      <c r="T387" s="307"/>
      <c r="U387" s="307"/>
      <c r="V387" s="307"/>
      <c r="W387" s="307"/>
      <c r="X387" s="307"/>
      <c r="Y387" s="307"/>
    </row>
    <row r="388">
      <c r="A388" s="307"/>
      <c r="B388" s="307"/>
      <c r="C388" s="307"/>
      <c r="D388" s="310"/>
      <c r="E388" s="307"/>
      <c r="F388" s="307"/>
      <c r="G388" s="307"/>
      <c r="H388" s="307"/>
      <c r="I388" s="307"/>
      <c r="J388" s="307"/>
      <c r="K388" s="307"/>
      <c r="L388" s="307"/>
      <c r="M388" s="307"/>
      <c r="N388" s="307"/>
      <c r="O388" s="307"/>
      <c r="P388" s="307"/>
      <c r="Q388" s="307"/>
      <c r="R388" s="307"/>
      <c r="S388" s="307"/>
      <c r="T388" s="307"/>
      <c r="U388" s="307"/>
      <c r="V388" s="307"/>
      <c r="W388" s="307"/>
      <c r="X388" s="307"/>
      <c r="Y388" s="307"/>
    </row>
    <row r="389">
      <c r="A389" s="307"/>
      <c r="B389" s="307"/>
      <c r="C389" s="307"/>
      <c r="D389" s="310"/>
      <c r="E389" s="307"/>
      <c r="F389" s="307"/>
      <c r="G389" s="307"/>
      <c r="H389" s="307"/>
      <c r="I389" s="307"/>
      <c r="J389" s="307"/>
      <c r="K389" s="307"/>
      <c r="L389" s="307"/>
      <c r="M389" s="307"/>
      <c r="N389" s="307"/>
      <c r="O389" s="307"/>
      <c r="P389" s="307"/>
      <c r="Q389" s="307"/>
      <c r="R389" s="307"/>
      <c r="S389" s="307"/>
      <c r="T389" s="307"/>
      <c r="U389" s="307"/>
      <c r="V389" s="307"/>
      <c r="W389" s="307"/>
      <c r="X389" s="307"/>
      <c r="Y389" s="307"/>
    </row>
    <row r="390">
      <c r="A390" s="307"/>
      <c r="B390" s="307"/>
      <c r="C390" s="307"/>
      <c r="D390" s="310"/>
      <c r="E390" s="307"/>
      <c r="F390" s="307"/>
      <c r="G390" s="307"/>
      <c r="H390" s="307"/>
      <c r="I390" s="307"/>
      <c r="J390" s="307"/>
      <c r="K390" s="307"/>
      <c r="L390" s="307"/>
      <c r="M390" s="307"/>
      <c r="N390" s="307"/>
      <c r="O390" s="307"/>
      <c r="P390" s="307"/>
      <c r="Q390" s="307"/>
      <c r="R390" s="307"/>
      <c r="S390" s="307"/>
      <c r="T390" s="307"/>
      <c r="U390" s="307"/>
      <c r="V390" s="307"/>
      <c r="W390" s="307"/>
      <c r="X390" s="307"/>
      <c r="Y390" s="307"/>
    </row>
    <row r="391">
      <c r="A391" s="307"/>
      <c r="B391" s="307"/>
      <c r="C391" s="307"/>
      <c r="D391" s="310"/>
      <c r="E391" s="307"/>
      <c r="F391" s="307"/>
      <c r="G391" s="307"/>
      <c r="H391" s="307"/>
      <c r="I391" s="307"/>
      <c r="J391" s="307"/>
      <c r="K391" s="307"/>
      <c r="L391" s="307"/>
      <c r="M391" s="307"/>
      <c r="N391" s="307"/>
      <c r="O391" s="307"/>
      <c r="P391" s="307"/>
      <c r="Q391" s="307"/>
      <c r="R391" s="307"/>
      <c r="S391" s="307"/>
      <c r="T391" s="307"/>
      <c r="U391" s="307"/>
      <c r="V391" s="307"/>
      <c r="W391" s="307"/>
      <c r="X391" s="307"/>
      <c r="Y391" s="307"/>
    </row>
    <row r="392">
      <c r="A392" s="307"/>
      <c r="B392" s="307"/>
      <c r="C392" s="307"/>
      <c r="D392" s="310"/>
      <c r="E392" s="307"/>
      <c r="F392" s="307"/>
      <c r="G392" s="307"/>
      <c r="H392" s="307"/>
      <c r="I392" s="307"/>
      <c r="J392" s="307"/>
      <c r="K392" s="307"/>
      <c r="L392" s="307"/>
      <c r="M392" s="307"/>
      <c r="N392" s="307"/>
      <c r="O392" s="307"/>
      <c r="P392" s="307"/>
      <c r="Q392" s="307"/>
      <c r="R392" s="307"/>
      <c r="S392" s="307"/>
      <c r="T392" s="307"/>
      <c r="U392" s="307"/>
      <c r="V392" s="307"/>
      <c r="W392" s="307"/>
      <c r="X392" s="307"/>
      <c r="Y392" s="307"/>
    </row>
    <row r="393">
      <c r="A393" s="307"/>
      <c r="B393" s="307"/>
      <c r="C393" s="307"/>
      <c r="D393" s="310"/>
      <c r="E393" s="307"/>
      <c r="F393" s="307"/>
      <c r="G393" s="307"/>
      <c r="H393" s="307"/>
      <c r="I393" s="307"/>
      <c r="J393" s="307"/>
      <c r="K393" s="307"/>
      <c r="L393" s="307"/>
      <c r="M393" s="307"/>
      <c r="N393" s="307"/>
      <c r="O393" s="307"/>
      <c r="P393" s="307"/>
      <c r="Q393" s="307"/>
      <c r="R393" s="307"/>
      <c r="S393" s="307"/>
      <c r="T393" s="307"/>
      <c r="U393" s="307"/>
      <c r="V393" s="307"/>
      <c r="W393" s="307"/>
      <c r="X393" s="307"/>
      <c r="Y393" s="307"/>
    </row>
    <row r="394">
      <c r="A394" s="307"/>
      <c r="B394" s="307"/>
      <c r="C394" s="307"/>
      <c r="D394" s="310"/>
      <c r="E394" s="307"/>
      <c r="F394" s="307"/>
      <c r="G394" s="307"/>
      <c r="H394" s="307"/>
      <c r="I394" s="307"/>
      <c r="J394" s="307"/>
      <c r="K394" s="307"/>
      <c r="L394" s="307"/>
      <c r="M394" s="307"/>
      <c r="N394" s="307"/>
      <c r="O394" s="307"/>
      <c r="P394" s="307"/>
      <c r="Q394" s="307"/>
      <c r="R394" s="307"/>
      <c r="S394" s="307"/>
      <c r="T394" s="307"/>
      <c r="U394" s="307"/>
      <c r="V394" s="307"/>
      <c r="W394" s="307"/>
      <c r="X394" s="307"/>
      <c r="Y394" s="307"/>
    </row>
    <row r="395">
      <c r="A395" s="307"/>
      <c r="B395" s="307"/>
      <c r="C395" s="307"/>
      <c r="D395" s="310"/>
      <c r="E395" s="307"/>
      <c r="F395" s="307"/>
      <c r="G395" s="307"/>
      <c r="H395" s="307"/>
      <c r="I395" s="307"/>
      <c r="J395" s="307"/>
      <c r="K395" s="307"/>
      <c r="L395" s="307"/>
      <c r="M395" s="307"/>
      <c r="N395" s="307"/>
      <c r="O395" s="307"/>
      <c r="P395" s="307"/>
      <c r="Q395" s="307"/>
      <c r="R395" s="307"/>
      <c r="S395" s="307"/>
      <c r="T395" s="307"/>
      <c r="U395" s="307"/>
      <c r="V395" s="307"/>
      <c r="W395" s="307"/>
      <c r="X395" s="307"/>
      <c r="Y395" s="307"/>
    </row>
    <row r="396">
      <c r="A396" s="307"/>
      <c r="B396" s="307"/>
      <c r="C396" s="307"/>
      <c r="D396" s="310"/>
      <c r="E396" s="307"/>
      <c r="F396" s="307"/>
      <c r="G396" s="307"/>
      <c r="H396" s="307"/>
      <c r="I396" s="307"/>
      <c r="J396" s="307"/>
      <c r="K396" s="307"/>
      <c r="L396" s="307"/>
      <c r="M396" s="307"/>
      <c r="N396" s="307"/>
      <c r="O396" s="307"/>
      <c r="P396" s="307"/>
      <c r="Q396" s="307"/>
      <c r="R396" s="307"/>
      <c r="S396" s="307"/>
      <c r="T396" s="307"/>
      <c r="U396" s="307"/>
      <c r="V396" s="307"/>
      <c r="W396" s="307"/>
      <c r="X396" s="307"/>
      <c r="Y396" s="307"/>
    </row>
    <row r="397">
      <c r="A397" s="307"/>
      <c r="B397" s="307"/>
      <c r="C397" s="307"/>
      <c r="D397" s="310"/>
      <c r="E397" s="307"/>
      <c r="F397" s="307"/>
      <c r="G397" s="307"/>
      <c r="H397" s="307"/>
      <c r="I397" s="307"/>
      <c r="J397" s="307"/>
      <c r="K397" s="307"/>
      <c r="L397" s="307"/>
      <c r="M397" s="307"/>
      <c r="N397" s="307"/>
      <c r="O397" s="307"/>
      <c r="P397" s="307"/>
      <c r="Q397" s="307"/>
      <c r="R397" s="307"/>
      <c r="S397" s="307"/>
      <c r="T397" s="307"/>
      <c r="U397" s="307"/>
      <c r="V397" s="307"/>
      <c r="W397" s="307"/>
      <c r="X397" s="307"/>
      <c r="Y397" s="307"/>
    </row>
    <row r="398">
      <c r="A398" s="307"/>
      <c r="B398" s="307"/>
      <c r="C398" s="307"/>
      <c r="D398" s="310"/>
      <c r="E398" s="307"/>
      <c r="F398" s="307"/>
      <c r="G398" s="307"/>
      <c r="H398" s="307"/>
      <c r="I398" s="307"/>
      <c r="J398" s="307"/>
      <c r="K398" s="307"/>
      <c r="L398" s="307"/>
      <c r="M398" s="307"/>
      <c r="N398" s="307"/>
      <c r="O398" s="307"/>
      <c r="P398" s="307"/>
      <c r="Q398" s="307"/>
      <c r="R398" s="307"/>
      <c r="S398" s="307"/>
      <c r="T398" s="307"/>
      <c r="U398" s="307"/>
      <c r="V398" s="307"/>
      <c r="W398" s="307"/>
      <c r="X398" s="307"/>
      <c r="Y398" s="307"/>
    </row>
    <row r="399">
      <c r="A399" s="307"/>
      <c r="B399" s="307"/>
      <c r="C399" s="307"/>
      <c r="D399" s="310"/>
      <c r="E399" s="307"/>
      <c r="F399" s="307"/>
      <c r="G399" s="307"/>
      <c r="H399" s="307"/>
      <c r="I399" s="307"/>
      <c r="J399" s="307"/>
      <c r="K399" s="307"/>
      <c r="L399" s="307"/>
      <c r="M399" s="307"/>
      <c r="N399" s="307"/>
      <c r="O399" s="307"/>
      <c r="P399" s="307"/>
      <c r="Q399" s="307"/>
      <c r="R399" s="307"/>
      <c r="S399" s="307"/>
      <c r="T399" s="307"/>
      <c r="U399" s="307"/>
      <c r="V399" s="307"/>
      <c r="W399" s="307"/>
      <c r="X399" s="307"/>
      <c r="Y399" s="307"/>
    </row>
    <row r="400">
      <c r="A400" s="307"/>
      <c r="B400" s="307"/>
      <c r="C400" s="307"/>
      <c r="D400" s="310"/>
      <c r="E400" s="307"/>
      <c r="F400" s="307"/>
      <c r="G400" s="307"/>
      <c r="H400" s="307"/>
      <c r="I400" s="307"/>
      <c r="J400" s="307"/>
      <c r="K400" s="307"/>
      <c r="L400" s="307"/>
      <c r="M400" s="307"/>
      <c r="N400" s="307"/>
      <c r="O400" s="307"/>
      <c r="P400" s="307"/>
      <c r="Q400" s="307"/>
      <c r="R400" s="307"/>
      <c r="S400" s="307"/>
      <c r="T400" s="307"/>
      <c r="U400" s="307"/>
      <c r="V400" s="307"/>
      <c r="W400" s="307"/>
      <c r="X400" s="307"/>
      <c r="Y400" s="307"/>
    </row>
    <row r="401">
      <c r="A401" s="307"/>
      <c r="B401" s="307"/>
      <c r="C401" s="307"/>
      <c r="D401" s="310"/>
      <c r="E401" s="307"/>
      <c r="F401" s="307"/>
      <c r="G401" s="307"/>
      <c r="H401" s="307"/>
      <c r="I401" s="307"/>
      <c r="J401" s="307"/>
      <c r="K401" s="307"/>
      <c r="L401" s="307"/>
      <c r="M401" s="307"/>
      <c r="N401" s="307"/>
      <c r="O401" s="307"/>
      <c r="P401" s="307"/>
      <c r="Q401" s="307"/>
      <c r="R401" s="307"/>
      <c r="S401" s="307"/>
      <c r="T401" s="307"/>
      <c r="U401" s="307"/>
      <c r="V401" s="307"/>
      <c r="W401" s="307"/>
      <c r="X401" s="307"/>
      <c r="Y401" s="307"/>
    </row>
    <row r="402">
      <c r="A402" s="307"/>
      <c r="B402" s="307"/>
      <c r="C402" s="307"/>
      <c r="D402" s="310"/>
      <c r="E402" s="307"/>
      <c r="F402" s="307"/>
      <c r="G402" s="307"/>
      <c r="H402" s="307"/>
      <c r="I402" s="307"/>
      <c r="J402" s="307"/>
      <c r="K402" s="307"/>
      <c r="L402" s="307"/>
      <c r="M402" s="307"/>
      <c r="N402" s="307"/>
      <c r="O402" s="307"/>
      <c r="P402" s="307"/>
      <c r="Q402" s="307"/>
      <c r="R402" s="307"/>
      <c r="S402" s="307"/>
      <c r="T402" s="307"/>
      <c r="U402" s="307"/>
      <c r="V402" s="307"/>
      <c r="W402" s="307"/>
      <c r="X402" s="307"/>
      <c r="Y402" s="307"/>
    </row>
    <row r="403">
      <c r="A403" s="307"/>
      <c r="B403" s="307"/>
      <c r="C403" s="307"/>
      <c r="D403" s="310"/>
      <c r="E403" s="307"/>
      <c r="F403" s="307"/>
      <c r="G403" s="307"/>
      <c r="H403" s="307"/>
      <c r="I403" s="307"/>
      <c r="J403" s="307"/>
      <c r="K403" s="307"/>
      <c r="L403" s="307"/>
      <c r="M403" s="307"/>
      <c r="N403" s="307"/>
      <c r="O403" s="307"/>
      <c r="P403" s="307"/>
      <c r="Q403" s="307"/>
      <c r="R403" s="307"/>
      <c r="S403" s="307"/>
      <c r="T403" s="307"/>
      <c r="U403" s="307"/>
      <c r="V403" s="307"/>
      <c r="W403" s="307"/>
      <c r="X403" s="307"/>
      <c r="Y403" s="307"/>
    </row>
    <row r="404">
      <c r="A404" s="307"/>
      <c r="B404" s="307"/>
      <c r="C404" s="307"/>
      <c r="D404" s="310"/>
      <c r="E404" s="307"/>
      <c r="F404" s="307"/>
      <c r="G404" s="307"/>
      <c r="H404" s="307"/>
      <c r="I404" s="307"/>
      <c r="J404" s="307"/>
      <c r="K404" s="307"/>
      <c r="L404" s="307"/>
      <c r="M404" s="307"/>
      <c r="N404" s="307"/>
      <c r="O404" s="307"/>
      <c r="P404" s="307"/>
      <c r="Q404" s="307"/>
      <c r="R404" s="307"/>
      <c r="S404" s="307"/>
      <c r="T404" s="307"/>
      <c r="U404" s="307"/>
      <c r="V404" s="307"/>
      <c r="W404" s="307"/>
      <c r="X404" s="307"/>
      <c r="Y404" s="307"/>
    </row>
    <row r="405">
      <c r="A405" s="307"/>
      <c r="B405" s="307"/>
      <c r="C405" s="307"/>
      <c r="D405" s="310"/>
      <c r="E405" s="307"/>
      <c r="F405" s="307"/>
      <c r="G405" s="307"/>
      <c r="H405" s="307"/>
      <c r="I405" s="307"/>
      <c r="J405" s="307"/>
      <c r="K405" s="307"/>
      <c r="L405" s="307"/>
      <c r="M405" s="307"/>
      <c r="N405" s="307"/>
      <c r="O405" s="307"/>
      <c r="P405" s="307"/>
      <c r="Q405" s="307"/>
      <c r="R405" s="307"/>
      <c r="S405" s="307"/>
      <c r="T405" s="307"/>
      <c r="U405" s="307"/>
      <c r="V405" s="307"/>
      <c r="W405" s="307"/>
      <c r="X405" s="307"/>
      <c r="Y405" s="307"/>
    </row>
    <row r="406">
      <c r="A406" s="307"/>
      <c r="B406" s="307"/>
      <c r="C406" s="307"/>
      <c r="D406" s="310"/>
      <c r="E406" s="307"/>
      <c r="F406" s="307"/>
      <c r="G406" s="307"/>
      <c r="H406" s="307"/>
      <c r="I406" s="307"/>
      <c r="J406" s="307"/>
      <c r="K406" s="307"/>
      <c r="L406" s="307"/>
      <c r="M406" s="307"/>
      <c r="N406" s="307"/>
      <c r="O406" s="307"/>
      <c r="P406" s="307"/>
      <c r="Q406" s="307"/>
      <c r="R406" s="307"/>
      <c r="S406" s="307"/>
      <c r="T406" s="307"/>
      <c r="U406" s="307"/>
      <c r="V406" s="307"/>
      <c r="W406" s="307"/>
      <c r="X406" s="307"/>
      <c r="Y406" s="307"/>
    </row>
    <row r="407">
      <c r="A407" s="307"/>
      <c r="B407" s="307"/>
      <c r="C407" s="307"/>
      <c r="D407" s="310"/>
      <c r="E407" s="307"/>
      <c r="F407" s="307"/>
      <c r="G407" s="307"/>
      <c r="H407" s="307"/>
      <c r="I407" s="307"/>
      <c r="J407" s="307"/>
      <c r="K407" s="307"/>
      <c r="L407" s="307"/>
      <c r="M407" s="307"/>
      <c r="N407" s="307"/>
      <c r="O407" s="307"/>
      <c r="P407" s="307"/>
      <c r="Q407" s="307"/>
      <c r="R407" s="307"/>
      <c r="S407" s="307"/>
      <c r="T407" s="307"/>
      <c r="U407" s="307"/>
      <c r="V407" s="307"/>
      <c r="W407" s="307"/>
      <c r="X407" s="307"/>
      <c r="Y407" s="307"/>
    </row>
    <row r="408">
      <c r="A408" s="307"/>
      <c r="B408" s="307"/>
      <c r="C408" s="307"/>
      <c r="D408" s="310"/>
      <c r="E408" s="307"/>
      <c r="F408" s="307"/>
      <c r="G408" s="307"/>
      <c r="H408" s="307"/>
      <c r="I408" s="307"/>
      <c r="J408" s="307"/>
      <c r="K408" s="307"/>
      <c r="L408" s="307"/>
      <c r="M408" s="307"/>
      <c r="N408" s="307"/>
      <c r="O408" s="307"/>
      <c r="P408" s="307"/>
      <c r="Q408" s="307"/>
      <c r="R408" s="307"/>
      <c r="S408" s="307"/>
      <c r="T408" s="307"/>
      <c r="U408" s="307"/>
      <c r="V408" s="307"/>
      <c r="W408" s="307"/>
      <c r="X408" s="307"/>
      <c r="Y408" s="307"/>
    </row>
    <row r="409">
      <c r="A409" s="307"/>
      <c r="B409" s="307"/>
      <c r="C409" s="307"/>
      <c r="D409" s="310"/>
      <c r="E409" s="307"/>
      <c r="F409" s="307"/>
      <c r="G409" s="307"/>
      <c r="H409" s="307"/>
      <c r="I409" s="307"/>
      <c r="J409" s="307"/>
      <c r="K409" s="307"/>
      <c r="L409" s="307"/>
      <c r="M409" s="307"/>
      <c r="N409" s="307"/>
      <c r="O409" s="307"/>
      <c r="P409" s="307"/>
      <c r="Q409" s="307"/>
      <c r="R409" s="307"/>
      <c r="S409" s="307"/>
      <c r="T409" s="307"/>
      <c r="U409" s="307"/>
      <c r="V409" s="307"/>
      <c r="W409" s="307"/>
      <c r="X409" s="307"/>
      <c r="Y409" s="307"/>
    </row>
    <row r="410">
      <c r="A410" s="307"/>
      <c r="B410" s="307"/>
      <c r="C410" s="307"/>
      <c r="D410" s="310"/>
      <c r="E410" s="307"/>
      <c r="F410" s="307"/>
      <c r="G410" s="307"/>
      <c r="H410" s="307"/>
      <c r="I410" s="307"/>
      <c r="J410" s="307"/>
      <c r="K410" s="307"/>
      <c r="L410" s="307"/>
      <c r="M410" s="307"/>
      <c r="N410" s="307"/>
      <c r="O410" s="307"/>
      <c r="P410" s="307"/>
      <c r="Q410" s="307"/>
      <c r="R410" s="307"/>
      <c r="S410" s="307"/>
      <c r="T410" s="307"/>
      <c r="U410" s="307"/>
      <c r="V410" s="307"/>
      <c r="W410" s="307"/>
      <c r="X410" s="307"/>
      <c r="Y410" s="307"/>
    </row>
    <row r="411">
      <c r="A411" s="307"/>
      <c r="B411" s="307"/>
      <c r="C411" s="307"/>
      <c r="D411" s="310"/>
      <c r="E411" s="307"/>
      <c r="F411" s="307"/>
      <c r="G411" s="307"/>
      <c r="H411" s="307"/>
      <c r="I411" s="307"/>
      <c r="J411" s="307"/>
      <c r="K411" s="307"/>
      <c r="L411" s="307"/>
      <c r="M411" s="307"/>
      <c r="N411" s="307"/>
      <c r="O411" s="307"/>
      <c r="P411" s="307"/>
      <c r="Q411" s="307"/>
      <c r="R411" s="307"/>
      <c r="S411" s="307"/>
      <c r="T411" s="307"/>
      <c r="U411" s="307"/>
      <c r="V411" s="307"/>
      <c r="W411" s="307"/>
      <c r="X411" s="307"/>
      <c r="Y411" s="307"/>
    </row>
    <row r="412">
      <c r="A412" s="307"/>
      <c r="B412" s="307"/>
      <c r="C412" s="307"/>
      <c r="D412" s="310"/>
      <c r="E412" s="307"/>
      <c r="F412" s="307"/>
      <c r="G412" s="307"/>
      <c r="H412" s="307"/>
      <c r="I412" s="307"/>
      <c r="J412" s="307"/>
      <c r="K412" s="307"/>
      <c r="L412" s="307"/>
      <c r="M412" s="307"/>
      <c r="N412" s="307"/>
      <c r="O412" s="307"/>
      <c r="P412" s="307"/>
      <c r="Q412" s="307"/>
      <c r="R412" s="307"/>
      <c r="S412" s="307"/>
      <c r="T412" s="307"/>
      <c r="U412" s="307"/>
      <c r="V412" s="307"/>
      <c r="W412" s="307"/>
      <c r="X412" s="307"/>
      <c r="Y412" s="307"/>
    </row>
    <row r="413">
      <c r="A413" s="307"/>
      <c r="B413" s="307"/>
      <c r="C413" s="307"/>
      <c r="D413" s="310"/>
      <c r="E413" s="307"/>
      <c r="F413" s="307"/>
      <c r="G413" s="307"/>
      <c r="H413" s="307"/>
      <c r="I413" s="307"/>
      <c r="J413" s="307"/>
      <c r="K413" s="307"/>
      <c r="L413" s="307"/>
      <c r="M413" s="307"/>
      <c r="N413" s="307"/>
      <c r="O413" s="307"/>
      <c r="P413" s="307"/>
      <c r="Q413" s="307"/>
      <c r="R413" s="307"/>
      <c r="S413" s="307"/>
      <c r="T413" s="307"/>
      <c r="U413" s="307"/>
      <c r="V413" s="307"/>
      <c r="W413" s="307"/>
      <c r="X413" s="307"/>
      <c r="Y413" s="307"/>
    </row>
    <row r="414">
      <c r="A414" s="307"/>
      <c r="B414" s="307"/>
      <c r="C414" s="307"/>
      <c r="D414" s="310"/>
      <c r="E414" s="307"/>
      <c r="F414" s="307"/>
      <c r="G414" s="307"/>
      <c r="H414" s="307"/>
      <c r="I414" s="307"/>
      <c r="J414" s="307"/>
      <c r="K414" s="307"/>
      <c r="L414" s="307"/>
      <c r="M414" s="307"/>
      <c r="N414" s="307"/>
      <c r="O414" s="307"/>
      <c r="P414" s="307"/>
      <c r="Q414" s="307"/>
      <c r="R414" s="307"/>
      <c r="S414" s="307"/>
      <c r="T414" s="307"/>
      <c r="U414" s="307"/>
      <c r="V414" s="307"/>
      <c r="W414" s="307"/>
      <c r="X414" s="307"/>
      <c r="Y414" s="307"/>
    </row>
    <row r="415">
      <c r="A415" s="307"/>
      <c r="B415" s="307"/>
      <c r="C415" s="307"/>
      <c r="D415" s="310"/>
      <c r="E415" s="307"/>
      <c r="F415" s="307"/>
      <c r="G415" s="307"/>
      <c r="H415" s="307"/>
      <c r="I415" s="307"/>
      <c r="J415" s="307"/>
      <c r="K415" s="307"/>
      <c r="L415" s="307"/>
      <c r="M415" s="307"/>
      <c r="N415" s="307"/>
      <c r="O415" s="307"/>
      <c r="P415" s="307"/>
      <c r="Q415" s="307"/>
      <c r="R415" s="307"/>
      <c r="S415" s="307"/>
      <c r="T415" s="307"/>
      <c r="U415" s="307"/>
      <c r="V415" s="307"/>
      <c r="W415" s="307"/>
      <c r="X415" s="307"/>
      <c r="Y415" s="307"/>
    </row>
    <row r="416">
      <c r="A416" s="307"/>
      <c r="B416" s="307"/>
      <c r="C416" s="307"/>
      <c r="D416" s="310"/>
      <c r="E416" s="307"/>
      <c r="F416" s="307"/>
      <c r="G416" s="307"/>
      <c r="H416" s="307"/>
      <c r="I416" s="307"/>
      <c r="J416" s="307"/>
      <c r="K416" s="307"/>
      <c r="L416" s="307"/>
      <c r="M416" s="307"/>
      <c r="N416" s="307"/>
      <c r="O416" s="307"/>
      <c r="P416" s="307"/>
      <c r="Q416" s="307"/>
      <c r="R416" s="307"/>
      <c r="S416" s="307"/>
      <c r="T416" s="307"/>
      <c r="U416" s="307"/>
      <c r="V416" s="307"/>
      <c r="W416" s="307"/>
      <c r="X416" s="307"/>
      <c r="Y416" s="307"/>
    </row>
    <row r="417">
      <c r="A417" s="307"/>
      <c r="B417" s="307"/>
      <c r="C417" s="307"/>
      <c r="D417" s="310"/>
      <c r="E417" s="307"/>
      <c r="F417" s="307"/>
      <c r="G417" s="307"/>
      <c r="H417" s="307"/>
      <c r="I417" s="307"/>
      <c r="J417" s="307"/>
      <c r="K417" s="307"/>
      <c r="L417" s="307"/>
      <c r="M417" s="307"/>
      <c r="N417" s="307"/>
      <c r="O417" s="307"/>
      <c r="P417" s="307"/>
      <c r="Q417" s="307"/>
      <c r="R417" s="307"/>
      <c r="S417" s="307"/>
      <c r="T417" s="307"/>
      <c r="U417" s="307"/>
      <c r="V417" s="307"/>
      <c r="W417" s="307"/>
      <c r="X417" s="307"/>
      <c r="Y417" s="307"/>
    </row>
    <row r="418">
      <c r="A418" s="307"/>
      <c r="B418" s="307"/>
      <c r="C418" s="307"/>
      <c r="D418" s="310"/>
      <c r="E418" s="307"/>
      <c r="F418" s="307"/>
      <c r="G418" s="307"/>
      <c r="H418" s="307"/>
      <c r="I418" s="307"/>
      <c r="J418" s="307"/>
      <c r="K418" s="307"/>
      <c r="L418" s="307"/>
      <c r="M418" s="307"/>
      <c r="N418" s="307"/>
      <c r="O418" s="307"/>
      <c r="P418" s="307"/>
      <c r="Q418" s="307"/>
      <c r="R418" s="307"/>
      <c r="S418" s="307"/>
      <c r="T418" s="307"/>
      <c r="U418" s="307"/>
      <c r="V418" s="307"/>
      <c r="W418" s="307"/>
      <c r="X418" s="307"/>
      <c r="Y418" s="307"/>
    </row>
    <row r="419">
      <c r="A419" s="307"/>
      <c r="B419" s="307"/>
      <c r="C419" s="307"/>
      <c r="D419" s="310"/>
      <c r="E419" s="307"/>
      <c r="F419" s="307"/>
      <c r="G419" s="307"/>
      <c r="H419" s="307"/>
      <c r="I419" s="307"/>
      <c r="J419" s="307"/>
      <c r="K419" s="307"/>
      <c r="L419" s="307"/>
      <c r="M419" s="307"/>
      <c r="N419" s="307"/>
      <c r="O419" s="307"/>
      <c r="P419" s="307"/>
      <c r="Q419" s="307"/>
      <c r="R419" s="307"/>
      <c r="S419" s="307"/>
      <c r="T419" s="307"/>
      <c r="U419" s="307"/>
      <c r="V419" s="307"/>
      <c r="W419" s="307"/>
      <c r="X419" s="307"/>
      <c r="Y419" s="307"/>
    </row>
    <row r="420">
      <c r="A420" s="307"/>
      <c r="B420" s="307"/>
      <c r="C420" s="307"/>
      <c r="D420" s="310"/>
      <c r="E420" s="307"/>
      <c r="F420" s="307"/>
      <c r="G420" s="307"/>
      <c r="H420" s="307"/>
      <c r="I420" s="307"/>
      <c r="J420" s="307"/>
      <c r="K420" s="307"/>
      <c r="L420" s="307"/>
      <c r="M420" s="307"/>
      <c r="N420" s="307"/>
      <c r="O420" s="307"/>
      <c r="P420" s="307"/>
      <c r="Q420" s="307"/>
      <c r="R420" s="307"/>
      <c r="S420" s="307"/>
      <c r="T420" s="307"/>
      <c r="U420" s="307"/>
      <c r="V420" s="307"/>
      <c r="W420" s="307"/>
      <c r="X420" s="307"/>
      <c r="Y420" s="307"/>
    </row>
    <row r="421">
      <c r="A421" s="307"/>
      <c r="B421" s="307"/>
      <c r="C421" s="307"/>
      <c r="D421" s="310"/>
      <c r="E421" s="307"/>
      <c r="F421" s="307"/>
      <c r="G421" s="307"/>
      <c r="H421" s="307"/>
      <c r="I421" s="307"/>
      <c r="J421" s="307"/>
      <c r="K421" s="307"/>
      <c r="L421" s="307"/>
      <c r="M421" s="307"/>
      <c r="N421" s="307"/>
      <c r="O421" s="307"/>
      <c r="P421" s="307"/>
      <c r="Q421" s="307"/>
      <c r="R421" s="307"/>
      <c r="S421" s="307"/>
      <c r="T421" s="307"/>
      <c r="U421" s="307"/>
      <c r="V421" s="307"/>
      <c r="W421" s="307"/>
      <c r="X421" s="307"/>
      <c r="Y421" s="307"/>
    </row>
    <row r="422">
      <c r="A422" s="307"/>
      <c r="B422" s="307"/>
      <c r="C422" s="307"/>
      <c r="D422" s="310"/>
      <c r="E422" s="307"/>
      <c r="F422" s="307"/>
      <c r="G422" s="307"/>
      <c r="H422" s="307"/>
      <c r="I422" s="307"/>
      <c r="J422" s="307"/>
      <c r="K422" s="307"/>
      <c r="L422" s="307"/>
      <c r="M422" s="307"/>
      <c r="N422" s="307"/>
      <c r="O422" s="307"/>
      <c r="P422" s="307"/>
      <c r="Q422" s="307"/>
      <c r="R422" s="307"/>
      <c r="S422" s="307"/>
      <c r="T422" s="307"/>
      <c r="U422" s="307"/>
      <c r="V422" s="307"/>
      <c r="W422" s="307"/>
      <c r="X422" s="307"/>
      <c r="Y422" s="307"/>
    </row>
    <row r="423">
      <c r="A423" s="307"/>
      <c r="B423" s="307"/>
      <c r="C423" s="307"/>
      <c r="D423" s="310"/>
      <c r="E423" s="307"/>
      <c r="F423" s="307"/>
      <c r="G423" s="307"/>
      <c r="H423" s="307"/>
      <c r="I423" s="307"/>
      <c r="J423" s="307"/>
      <c r="K423" s="307"/>
      <c r="L423" s="307"/>
      <c r="M423" s="307"/>
      <c r="N423" s="307"/>
      <c r="O423" s="307"/>
      <c r="P423" s="307"/>
      <c r="Q423" s="307"/>
      <c r="R423" s="307"/>
      <c r="S423" s="307"/>
      <c r="T423" s="307"/>
      <c r="U423" s="307"/>
      <c r="V423" s="307"/>
      <c r="W423" s="307"/>
      <c r="X423" s="307"/>
      <c r="Y423" s="307"/>
    </row>
    <row r="424">
      <c r="A424" s="307"/>
      <c r="B424" s="307"/>
      <c r="C424" s="307"/>
      <c r="D424" s="310"/>
      <c r="E424" s="307"/>
      <c r="F424" s="307"/>
      <c r="G424" s="307"/>
      <c r="H424" s="307"/>
      <c r="I424" s="307"/>
      <c r="J424" s="307"/>
      <c r="K424" s="307"/>
      <c r="L424" s="307"/>
      <c r="M424" s="307"/>
      <c r="N424" s="307"/>
      <c r="O424" s="307"/>
      <c r="P424" s="307"/>
      <c r="Q424" s="307"/>
      <c r="R424" s="307"/>
      <c r="S424" s="307"/>
      <c r="T424" s="307"/>
      <c r="U424" s="307"/>
      <c r="V424" s="307"/>
      <c r="W424" s="307"/>
      <c r="X424" s="307"/>
      <c r="Y424" s="307"/>
    </row>
    <row r="425">
      <c r="A425" s="307"/>
      <c r="B425" s="307"/>
      <c r="C425" s="307"/>
      <c r="D425" s="310"/>
      <c r="E425" s="307"/>
      <c r="F425" s="307"/>
      <c r="G425" s="307"/>
      <c r="H425" s="307"/>
      <c r="I425" s="307"/>
      <c r="J425" s="307"/>
      <c r="K425" s="307"/>
      <c r="L425" s="307"/>
      <c r="M425" s="307"/>
      <c r="N425" s="307"/>
      <c r="O425" s="307"/>
      <c r="P425" s="307"/>
      <c r="Q425" s="307"/>
      <c r="R425" s="307"/>
      <c r="S425" s="307"/>
      <c r="T425" s="307"/>
      <c r="U425" s="307"/>
      <c r="V425" s="307"/>
      <c r="W425" s="307"/>
      <c r="X425" s="307"/>
      <c r="Y425" s="307"/>
    </row>
    <row r="426">
      <c r="A426" s="307"/>
      <c r="B426" s="307"/>
      <c r="C426" s="307"/>
      <c r="D426" s="310"/>
      <c r="E426" s="307"/>
      <c r="F426" s="307"/>
      <c r="G426" s="307"/>
      <c r="H426" s="307"/>
      <c r="I426" s="307"/>
      <c r="J426" s="307"/>
      <c r="K426" s="307"/>
      <c r="L426" s="307"/>
      <c r="M426" s="307"/>
      <c r="N426" s="307"/>
      <c r="O426" s="307"/>
      <c r="P426" s="307"/>
      <c r="Q426" s="307"/>
      <c r="R426" s="307"/>
      <c r="S426" s="307"/>
      <c r="T426" s="307"/>
      <c r="U426" s="307"/>
      <c r="V426" s="307"/>
      <c r="W426" s="307"/>
      <c r="X426" s="307"/>
      <c r="Y426" s="307"/>
    </row>
    <row r="427">
      <c r="A427" s="307"/>
      <c r="B427" s="307"/>
      <c r="C427" s="307"/>
      <c r="D427" s="310"/>
      <c r="E427" s="307"/>
      <c r="F427" s="307"/>
      <c r="G427" s="307"/>
      <c r="H427" s="307"/>
      <c r="I427" s="307"/>
      <c r="J427" s="307"/>
      <c r="K427" s="307"/>
      <c r="L427" s="307"/>
      <c r="M427" s="307"/>
      <c r="N427" s="307"/>
      <c r="O427" s="307"/>
      <c r="P427" s="307"/>
      <c r="Q427" s="307"/>
      <c r="R427" s="307"/>
      <c r="S427" s="307"/>
      <c r="T427" s="307"/>
      <c r="U427" s="307"/>
      <c r="V427" s="307"/>
      <c r="W427" s="307"/>
      <c r="X427" s="307"/>
      <c r="Y427" s="307"/>
    </row>
    <row r="428">
      <c r="A428" s="307"/>
      <c r="B428" s="307"/>
      <c r="C428" s="307"/>
      <c r="D428" s="310"/>
      <c r="E428" s="307"/>
      <c r="F428" s="307"/>
      <c r="G428" s="307"/>
      <c r="H428" s="307"/>
      <c r="I428" s="307"/>
      <c r="J428" s="307"/>
      <c r="K428" s="307"/>
      <c r="L428" s="307"/>
      <c r="M428" s="307"/>
      <c r="N428" s="307"/>
      <c r="O428" s="307"/>
      <c r="P428" s="307"/>
      <c r="Q428" s="307"/>
      <c r="R428" s="307"/>
      <c r="S428" s="307"/>
      <c r="T428" s="307"/>
      <c r="U428" s="307"/>
      <c r="V428" s="307"/>
      <c r="W428" s="307"/>
      <c r="X428" s="307"/>
      <c r="Y428" s="307"/>
    </row>
    <row r="429">
      <c r="A429" s="307"/>
      <c r="B429" s="307"/>
      <c r="C429" s="307"/>
      <c r="D429" s="310"/>
      <c r="E429" s="307"/>
      <c r="F429" s="307"/>
      <c r="G429" s="307"/>
      <c r="H429" s="307"/>
      <c r="I429" s="307"/>
      <c r="J429" s="307"/>
      <c r="K429" s="307"/>
      <c r="L429" s="307"/>
      <c r="M429" s="307"/>
      <c r="N429" s="307"/>
      <c r="O429" s="307"/>
      <c r="P429" s="307"/>
      <c r="Q429" s="307"/>
      <c r="R429" s="307"/>
      <c r="S429" s="307"/>
      <c r="T429" s="307"/>
      <c r="U429" s="307"/>
      <c r="V429" s="307"/>
      <c r="W429" s="307"/>
      <c r="X429" s="307"/>
      <c r="Y429" s="307"/>
    </row>
    <row r="430">
      <c r="A430" s="307"/>
      <c r="B430" s="307"/>
      <c r="C430" s="307"/>
      <c r="D430" s="310"/>
      <c r="E430" s="307"/>
      <c r="F430" s="307"/>
      <c r="G430" s="307"/>
      <c r="H430" s="307"/>
      <c r="I430" s="307"/>
      <c r="J430" s="307"/>
      <c r="K430" s="307"/>
      <c r="L430" s="307"/>
      <c r="M430" s="307"/>
      <c r="N430" s="307"/>
      <c r="O430" s="307"/>
      <c r="P430" s="307"/>
      <c r="Q430" s="307"/>
      <c r="R430" s="307"/>
      <c r="S430" s="307"/>
      <c r="T430" s="307"/>
      <c r="U430" s="307"/>
      <c r="V430" s="307"/>
      <c r="W430" s="307"/>
      <c r="X430" s="307"/>
      <c r="Y430" s="307"/>
    </row>
    <row r="431">
      <c r="A431" s="307"/>
      <c r="B431" s="307"/>
      <c r="C431" s="307"/>
      <c r="D431" s="310"/>
      <c r="E431" s="307"/>
      <c r="F431" s="307"/>
      <c r="G431" s="307"/>
      <c r="H431" s="307"/>
      <c r="I431" s="307"/>
      <c r="J431" s="307"/>
      <c r="K431" s="307"/>
      <c r="L431" s="307"/>
      <c r="M431" s="307"/>
      <c r="N431" s="307"/>
      <c r="O431" s="307"/>
      <c r="P431" s="307"/>
      <c r="Q431" s="307"/>
      <c r="R431" s="307"/>
      <c r="S431" s="307"/>
      <c r="T431" s="307"/>
      <c r="U431" s="307"/>
      <c r="V431" s="307"/>
      <c r="W431" s="307"/>
      <c r="X431" s="307"/>
      <c r="Y431" s="307"/>
    </row>
    <row r="432">
      <c r="A432" s="307"/>
      <c r="B432" s="307"/>
      <c r="C432" s="307"/>
      <c r="D432" s="310"/>
      <c r="E432" s="307"/>
      <c r="F432" s="307"/>
      <c r="G432" s="307"/>
      <c r="H432" s="307"/>
      <c r="I432" s="307"/>
      <c r="J432" s="307"/>
      <c r="K432" s="307"/>
      <c r="L432" s="307"/>
      <c r="M432" s="307"/>
      <c r="N432" s="307"/>
      <c r="O432" s="307"/>
      <c r="P432" s="307"/>
      <c r="Q432" s="307"/>
      <c r="R432" s="307"/>
      <c r="S432" s="307"/>
      <c r="T432" s="307"/>
      <c r="U432" s="307"/>
      <c r="V432" s="307"/>
      <c r="W432" s="307"/>
      <c r="X432" s="307"/>
      <c r="Y432" s="307"/>
    </row>
    <row r="433">
      <c r="A433" s="307"/>
      <c r="B433" s="307"/>
      <c r="C433" s="307"/>
      <c r="D433" s="310"/>
      <c r="E433" s="307"/>
      <c r="F433" s="307"/>
      <c r="G433" s="307"/>
      <c r="H433" s="307"/>
      <c r="I433" s="307"/>
      <c r="J433" s="307"/>
      <c r="K433" s="307"/>
      <c r="L433" s="307"/>
      <c r="M433" s="307"/>
      <c r="N433" s="307"/>
      <c r="O433" s="307"/>
      <c r="P433" s="307"/>
      <c r="Q433" s="307"/>
      <c r="R433" s="307"/>
      <c r="S433" s="307"/>
      <c r="T433" s="307"/>
      <c r="U433" s="307"/>
      <c r="V433" s="307"/>
      <c r="W433" s="307"/>
      <c r="X433" s="307"/>
      <c r="Y433" s="307"/>
    </row>
    <row r="434">
      <c r="A434" s="307"/>
      <c r="B434" s="307"/>
      <c r="C434" s="307"/>
      <c r="D434" s="310"/>
      <c r="E434" s="307"/>
      <c r="F434" s="307"/>
      <c r="G434" s="307"/>
      <c r="H434" s="307"/>
      <c r="I434" s="307"/>
      <c r="J434" s="307"/>
      <c r="K434" s="307"/>
      <c r="L434" s="307"/>
      <c r="M434" s="307"/>
      <c r="N434" s="307"/>
      <c r="O434" s="307"/>
      <c r="P434" s="307"/>
      <c r="Q434" s="307"/>
      <c r="R434" s="307"/>
      <c r="S434" s="307"/>
      <c r="T434" s="307"/>
      <c r="U434" s="307"/>
      <c r="V434" s="307"/>
      <c r="W434" s="307"/>
      <c r="X434" s="307"/>
      <c r="Y434" s="307"/>
    </row>
    <row r="435">
      <c r="A435" s="307"/>
      <c r="B435" s="307"/>
      <c r="C435" s="307"/>
      <c r="D435" s="310"/>
      <c r="E435" s="307"/>
      <c r="F435" s="307"/>
      <c r="G435" s="307"/>
      <c r="H435" s="307"/>
      <c r="I435" s="307"/>
      <c r="J435" s="307"/>
      <c r="K435" s="307"/>
      <c r="L435" s="307"/>
      <c r="M435" s="307"/>
      <c r="N435" s="307"/>
      <c r="O435" s="307"/>
      <c r="P435" s="307"/>
      <c r="Q435" s="307"/>
      <c r="R435" s="307"/>
      <c r="S435" s="307"/>
      <c r="T435" s="307"/>
      <c r="U435" s="307"/>
      <c r="V435" s="307"/>
      <c r="W435" s="307"/>
      <c r="X435" s="307"/>
      <c r="Y435" s="307"/>
    </row>
    <row r="436">
      <c r="A436" s="307"/>
      <c r="B436" s="307"/>
      <c r="C436" s="307"/>
      <c r="D436" s="310"/>
      <c r="E436" s="307"/>
      <c r="F436" s="307"/>
      <c r="G436" s="307"/>
      <c r="H436" s="307"/>
      <c r="I436" s="307"/>
      <c r="J436" s="307"/>
      <c r="K436" s="307"/>
      <c r="L436" s="307"/>
      <c r="M436" s="307"/>
      <c r="N436" s="307"/>
      <c r="O436" s="307"/>
      <c r="P436" s="307"/>
      <c r="Q436" s="307"/>
      <c r="R436" s="307"/>
      <c r="S436" s="307"/>
      <c r="T436" s="307"/>
      <c r="U436" s="307"/>
      <c r="V436" s="307"/>
      <c r="W436" s="307"/>
      <c r="X436" s="307"/>
      <c r="Y436" s="307"/>
    </row>
    <row r="437">
      <c r="A437" s="307"/>
      <c r="B437" s="307"/>
      <c r="C437" s="307"/>
      <c r="D437" s="310"/>
      <c r="E437" s="307"/>
      <c r="F437" s="307"/>
      <c r="G437" s="307"/>
      <c r="H437" s="307"/>
      <c r="I437" s="307"/>
      <c r="J437" s="307"/>
      <c r="K437" s="307"/>
      <c r="L437" s="307"/>
      <c r="M437" s="307"/>
      <c r="N437" s="307"/>
      <c r="O437" s="307"/>
      <c r="P437" s="307"/>
      <c r="Q437" s="307"/>
      <c r="R437" s="307"/>
      <c r="S437" s="307"/>
      <c r="T437" s="307"/>
      <c r="U437" s="307"/>
      <c r="V437" s="307"/>
      <c r="W437" s="307"/>
      <c r="X437" s="307"/>
      <c r="Y437" s="307"/>
    </row>
    <row r="438">
      <c r="A438" s="307"/>
      <c r="B438" s="307"/>
      <c r="C438" s="307"/>
      <c r="D438" s="310"/>
      <c r="E438" s="307"/>
      <c r="F438" s="307"/>
      <c r="G438" s="307"/>
      <c r="H438" s="307"/>
      <c r="I438" s="307"/>
      <c r="J438" s="307"/>
      <c r="K438" s="307"/>
      <c r="L438" s="307"/>
      <c r="M438" s="307"/>
      <c r="N438" s="307"/>
      <c r="O438" s="307"/>
      <c r="P438" s="307"/>
      <c r="Q438" s="307"/>
      <c r="R438" s="307"/>
      <c r="S438" s="307"/>
      <c r="T438" s="307"/>
      <c r="U438" s="307"/>
      <c r="V438" s="307"/>
      <c r="W438" s="307"/>
      <c r="X438" s="307"/>
      <c r="Y438" s="307"/>
    </row>
    <row r="439">
      <c r="A439" s="307"/>
      <c r="B439" s="307"/>
      <c r="C439" s="307"/>
      <c r="D439" s="310"/>
      <c r="E439" s="307"/>
      <c r="F439" s="307"/>
      <c r="G439" s="307"/>
      <c r="H439" s="307"/>
      <c r="I439" s="307"/>
      <c r="J439" s="307"/>
      <c r="K439" s="307"/>
      <c r="L439" s="307"/>
      <c r="M439" s="307"/>
      <c r="N439" s="307"/>
      <c r="O439" s="307"/>
      <c r="P439" s="307"/>
      <c r="Q439" s="307"/>
      <c r="R439" s="307"/>
      <c r="S439" s="307"/>
      <c r="T439" s="307"/>
      <c r="U439" s="307"/>
      <c r="V439" s="307"/>
      <c r="W439" s="307"/>
      <c r="X439" s="307"/>
      <c r="Y439" s="307"/>
    </row>
    <row r="440">
      <c r="A440" s="307"/>
      <c r="B440" s="307"/>
      <c r="C440" s="307"/>
      <c r="D440" s="310"/>
      <c r="E440" s="307"/>
      <c r="F440" s="307"/>
      <c r="G440" s="307"/>
      <c r="H440" s="307"/>
      <c r="I440" s="307"/>
      <c r="J440" s="307"/>
      <c r="K440" s="307"/>
      <c r="L440" s="307"/>
      <c r="M440" s="307"/>
      <c r="N440" s="307"/>
      <c r="O440" s="307"/>
      <c r="P440" s="307"/>
      <c r="Q440" s="307"/>
      <c r="R440" s="307"/>
      <c r="S440" s="307"/>
      <c r="T440" s="307"/>
      <c r="U440" s="307"/>
      <c r="V440" s="307"/>
      <c r="W440" s="307"/>
      <c r="X440" s="307"/>
      <c r="Y440" s="307"/>
    </row>
    <row r="441">
      <c r="A441" s="307"/>
      <c r="B441" s="307"/>
      <c r="C441" s="307"/>
      <c r="D441" s="310"/>
      <c r="E441" s="307"/>
      <c r="F441" s="307"/>
      <c r="G441" s="307"/>
      <c r="H441" s="307"/>
      <c r="I441" s="307"/>
      <c r="J441" s="307"/>
      <c r="K441" s="307"/>
      <c r="L441" s="307"/>
      <c r="M441" s="307"/>
      <c r="N441" s="307"/>
      <c r="O441" s="307"/>
      <c r="P441" s="307"/>
      <c r="Q441" s="307"/>
      <c r="R441" s="307"/>
      <c r="S441" s="307"/>
      <c r="T441" s="307"/>
      <c r="U441" s="307"/>
      <c r="V441" s="307"/>
      <c r="W441" s="307"/>
      <c r="X441" s="307"/>
      <c r="Y441" s="307"/>
    </row>
    <row r="442">
      <c r="A442" s="307"/>
      <c r="B442" s="307"/>
      <c r="C442" s="307"/>
      <c r="D442" s="310"/>
      <c r="E442" s="307"/>
      <c r="F442" s="307"/>
      <c r="G442" s="307"/>
      <c r="H442" s="307"/>
      <c r="I442" s="307"/>
      <c r="J442" s="307"/>
      <c r="K442" s="307"/>
      <c r="L442" s="307"/>
      <c r="M442" s="307"/>
      <c r="N442" s="307"/>
      <c r="O442" s="307"/>
      <c r="P442" s="307"/>
      <c r="Q442" s="307"/>
      <c r="R442" s="307"/>
      <c r="S442" s="307"/>
      <c r="T442" s="307"/>
      <c r="U442" s="307"/>
      <c r="V442" s="307"/>
      <c r="W442" s="307"/>
      <c r="X442" s="307"/>
      <c r="Y442" s="307"/>
    </row>
    <row r="443">
      <c r="A443" s="307"/>
      <c r="B443" s="307"/>
      <c r="C443" s="307"/>
      <c r="D443" s="310"/>
      <c r="E443" s="307"/>
      <c r="F443" s="307"/>
      <c r="G443" s="307"/>
      <c r="H443" s="307"/>
      <c r="I443" s="307"/>
      <c r="J443" s="307"/>
      <c r="K443" s="307"/>
      <c r="L443" s="307"/>
      <c r="M443" s="307"/>
      <c r="N443" s="307"/>
      <c r="O443" s="307"/>
      <c r="P443" s="307"/>
      <c r="Q443" s="307"/>
      <c r="R443" s="307"/>
      <c r="S443" s="307"/>
      <c r="T443" s="307"/>
      <c r="U443" s="307"/>
      <c r="V443" s="307"/>
      <c r="W443" s="307"/>
      <c r="X443" s="307"/>
      <c r="Y443" s="307"/>
    </row>
    <row r="444">
      <c r="A444" s="307"/>
      <c r="B444" s="307"/>
      <c r="C444" s="307"/>
      <c r="D444" s="310"/>
      <c r="E444" s="307"/>
      <c r="F444" s="307"/>
      <c r="G444" s="307"/>
      <c r="H444" s="307"/>
      <c r="I444" s="307"/>
      <c r="J444" s="307"/>
      <c r="K444" s="307"/>
      <c r="L444" s="307"/>
      <c r="M444" s="307"/>
      <c r="N444" s="307"/>
      <c r="O444" s="307"/>
      <c r="P444" s="307"/>
      <c r="Q444" s="307"/>
      <c r="R444" s="307"/>
      <c r="S444" s="307"/>
      <c r="T444" s="307"/>
      <c r="U444" s="307"/>
      <c r="V444" s="307"/>
      <c r="W444" s="307"/>
      <c r="X444" s="307"/>
      <c r="Y444" s="307"/>
    </row>
    <row r="445">
      <c r="A445" s="307"/>
      <c r="B445" s="307"/>
      <c r="C445" s="307"/>
      <c r="D445" s="310"/>
      <c r="E445" s="307"/>
      <c r="F445" s="307"/>
      <c r="G445" s="307"/>
      <c r="H445" s="307"/>
      <c r="I445" s="307"/>
      <c r="J445" s="307"/>
      <c r="K445" s="307"/>
      <c r="L445" s="307"/>
      <c r="M445" s="307"/>
      <c r="N445" s="307"/>
      <c r="O445" s="307"/>
      <c r="P445" s="307"/>
      <c r="Q445" s="307"/>
      <c r="R445" s="307"/>
      <c r="S445" s="307"/>
      <c r="T445" s="307"/>
      <c r="U445" s="307"/>
      <c r="V445" s="307"/>
      <c r="W445" s="307"/>
      <c r="X445" s="307"/>
      <c r="Y445" s="307"/>
    </row>
    <row r="446">
      <c r="A446" s="307"/>
      <c r="B446" s="307"/>
      <c r="C446" s="307"/>
      <c r="D446" s="310"/>
      <c r="E446" s="307"/>
      <c r="F446" s="307"/>
      <c r="G446" s="307"/>
      <c r="H446" s="307"/>
      <c r="I446" s="307"/>
      <c r="J446" s="307"/>
      <c r="K446" s="307"/>
      <c r="L446" s="307"/>
      <c r="M446" s="307"/>
      <c r="N446" s="307"/>
      <c r="O446" s="307"/>
      <c r="P446" s="307"/>
      <c r="Q446" s="307"/>
      <c r="R446" s="307"/>
      <c r="S446" s="307"/>
      <c r="T446" s="307"/>
      <c r="U446" s="307"/>
      <c r="V446" s="307"/>
      <c r="W446" s="307"/>
      <c r="X446" s="307"/>
      <c r="Y446" s="307"/>
    </row>
    <row r="447">
      <c r="A447" s="307"/>
      <c r="B447" s="307"/>
      <c r="C447" s="307"/>
      <c r="D447" s="310"/>
      <c r="E447" s="307"/>
      <c r="F447" s="307"/>
      <c r="G447" s="307"/>
      <c r="H447" s="307"/>
      <c r="I447" s="307"/>
      <c r="J447" s="307"/>
      <c r="K447" s="307"/>
      <c r="L447" s="307"/>
      <c r="M447" s="307"/>
      <c r="N447" s="307"/>
      <c r="O447" s="307"/>
      <c r="P447" s="307"/>
      <c r="Q447" s="307"/>
      <c r="R447" s="307"/>
      <c r="S447" s="307"/>
      <c r="T447" s="307"/>
      <c r="U447" s="307"/>
      <c r="V447" s="307"/>
      <c r="W447" s="307"/>
      <c r="X447" s="307"/>
      <c r="Y447" s="307"/>
    </row>
    <row r="448">
      <c r="A448" s="307"/>
      <c r="B448" s="307"/>
      <c r="C448" s="307"/>
      <c r="D448" s="310"/>
      <c r="E448" s="307"/>
      <c r="F448" s="307"/>
      <c r="G448" s="307"/>
      <c r="H448" s="307"/>
      <c r="I448" s="307"/>
      <c r="J448" s="307"/>
      <c r="K448" s="307"/>
      <c r="L448" s="307"/>
      <c r="M448" s="307"/>
      <c r="N448" s="307"/>
      <c r="O448" s="307"/>
      <c r="P448" s="307"/>
      <c r="Q448" s="307"/>
      <c r="R448" s="307"/>
      <c r="S448" s="307"/>
      <c r="T448" s="307"/>
      <c r="U448" s="307"/>
      <c r="V448" s="307"/>
      <c r="W448" s="307"/>
      <c r="X448" s="307"/>
      <c r="Y448" s="307"/>
    </row>
    <row r="449">
      <c r="A449" s="307"/>
      <c r="B449" s="307"/>
      <c r="C449" s="307"/>
      <c r="D449" s="310"/>
      <c r="E449" s="307"/>
      <c r="F449" s="307"/>
      <c r="G449" s="307"/>
      <c r="H449" s="307"/>
      <c r="I449" s="307"/>
      <c r="J449" s="307"/>
      <c r="K449" s="307"/>
      <c r="L449" s="307"/>
      <c r="M449" s="307"/>
      <c r="N449" s="307"/>
      <c r="O449" s="307"/>
      <c r="P449" s="307"/>
      <c r="Q449" s="307"/>
      <c r="R449" s="307"/>
      <c r="S449" s="307"/>
      <c r="T449" s="307"/>
      <c r="U449" s="307"/>
      <c r="V449" s="307"/>
      <c r="W449" s="307"/>
      <c r="X449" s="307"/>
      <c r="Y449" s="307"/>
    </row>
    <row r="450">
      <c r="A450" s="307"/>
      <c r="B450" s="307"/>
      <c r="C450" s="307"/>
      <c r="D450" s="310"/>
      <c r="E450" s="307"/>
      <c r="F450" s="307"/>
      <c r="G450" s="307"/>
      <c r="H450" s="307"/>
      <c r="I450" s="307"/>
      <c r="J450" s="307"/>
      <c r="K450" s="307"/>
      <c r="L450" s="307"/>
      <c r="M450" s="307"/>
      <c r="N450" s="307"/>
      <c r="O450" s="307"/>
      <c r="P450" s="307"/>
      <c r="Q450" s="307"/>
      <c r="R450" s="307"/>
      <c r="S450" s="307"/>
      <c r="T450" s="307"/>
      <c r="U450" s="307"/>
      <c r="V450" s="307"/>
      <c r="W450" s="307"/>
      <c r="X450" s="307"/>
      <c r="Y450" s="307"/>
    </row>
    <row r="451">
      <c r="A451" s="307"/>
      <c r="B451" s="307"/>
      <c r="C451" s="307"/>
      <c r="D451" s="310"/>
      <c r="E451" s="307"/>
      <c r="F451" s="307"/>
      <c r="G451" s="307"/>
      <c r="H451" s="307"/>
      <c r="I451" s="307"/>
      <c r="J451" s="307"/>
      <c r="K451" s="307"/>
      <c r="L451" s="307"/>
      <c r="M451" s="307"/>
      <c r="N451" s="307"/>
      <c r="O451" s="307"/>
      <c r="P451" s="307"/>
      <c r="Q451" s="307"/>
      <c r="R451" s="307"/>
      <c r="S451" s="307"/>
      <c r="T451" s="307"/>
      <c r="U451" s="307"/>
      <c r="V451" s="307"/>
      <c r="W451" s="307"/>
      <c r="X451" s="307"/>
      <c r="Y451" s="307"/>
    </row>
    <row r="452">
      <c r="A452" s="307"/>
      <c r="B452" s="307"/>
      <c r="C452" s="307"/>
      <c r="D452" s="310"/>
      <c r="E452" s="307"/>
      <c r="F452" s="307"/>
      <c r="G452" s="307"/>
      <c r="H452" s="307"/>
      <c r="I452" s="307"/>
      <c r="J452" s="307"/>
      <c r="K452" s="307"/>
      <c r="L452" s="307"/>
      <c r="M452" s="307"/>
      <c r="N452" s="307"/>
      <c r="O452" s="307"/>
      <c r="P452" s="307"/>
      <c r="Q452" s="307"/>
      <c r="R452" s="307"/>
      <c r="S452" s="307"/>
      <c r="T452" s="307"/>
      <c r="U452" s="307"/>
      <c r="V452" s="307"/>
      <c r="W452" s="307"/>
      <c r="X452" s="307"/>
      <c r="Y452" s="307"/>
    </row>
    <row r="453">
      <c r="A453" s="307"/>
      <c r="B453" s="307"/>
      <c r="C453" s="307"/>
      <c r="D453" s="310"/>
      <c r="E453" s="307"/>
      <c r="F453" s="307"/>
      <c r="G453" s="307"/>
      <c r="H453" s="307"/>
      <c r="I453" s="307"/>
      <c r="J453" s="307"/>
      <c r="K453" s="307"/>
      <c r="L453" s="307"/>
      <c r="M453" s="307"/>
      <c r="N453" s="307"/>
      <c r="O453" s="307"/>
      <c r="P453" s="307"/>
      <c r="Q453" s="307"/>
      <c r="R453" s="307"/>
      <c r="S453" s="307"/>
      <c r="T453" s="307"/>
      <c r="U453" s="307"/>
      <c r="V453" s="307"/>
      <c r="W453" s="307"/>
      <c r="X453" s="307"/>
      <c r="Y453" s="307"/>
    </row>
    <row r="454">
      <c r="A454" s="307"/>
      <c r="B454" s="307"/>
      <c r="C454" s="307"/>
      <c r="D454" s="310"/>
      <c r="E454" s="307"/>
      <c r="F454" s="307"/>
      <c r="G454" s="307"/>
      <c r="H454" s="307"/>
      <c r="I454" s="307"/>
      <c r="J454" s="307"/>
      <c r="K454" s="307"/>
      <c r="L454" s="307"/>
      <c r="M454" s="307"/>
      <c r="N454" s="307"/>
      <c r="O454" s="307"/>
      <c r="P454" s="307"/>
      <c r="Q454" s="307"/>
      <c r="R454" s="307"/>
      <c r="S454" s="307"/>
      <c r="T454" s="307"/>
      <c r="U454" s="307"/>
      <c r="V454" s="307"/>
      <c r="W454" s="307"/>
      <c r="X454" s="307"/>
      <c r="Y454" s="307"/>
    </row>
    <row r="455">
      <c r="A455" s="307"/>
      <c r="B455" s="307"/>
      <c r="C455" s="307"/>
      <c r="D455" s="310"/>
      <c r="E455" s="307"/>
      <c r="F455" s="307"/>
      <c r="G455" s="307"/>
      <c r="H455" s="307"/>
      <c r="I455" s="307"/>
      <c r="J455" s="307"/>
      <c r="K455" s="307"/>
      <c r="L455" s="307"/>
      <c r="M455" s="307"/>
      <c r="N455" s="307"/>
      <c r="O455" s="307"/>
      <c r="P455" s="307"/>
      <c r="Q455" s="307"/>
      <c r="R455" s="307"/>
      <c r="S455" s="307"/>
      <c r="T455" s="307"/>
      <c r="U455" s="307"/>
      <c r="V455" s="307"/>
      <c r="W455" s="307"/>
      <c r="X455" s="307"/>
      <c r="Y455" s="307"/>
    </row>
    <row r="456">
      <c r="A456" s="307"/>
      <c r="B456" s="307"/>
      <c r="C456" s="307"/>
      <c r="D456" s="310"/>
      <c r="E456" s="307"/>
      <c r="F456" s="307"/>
      <c r="G456" s="307"/>
      <c r="H456" s="307"/>
      <c r="I456" s="307"/>
      <c r="J456" s="307"/>
      <c r="K456" s="307"/>
      <c r="L456" s="307"/>
      <c r="M456" s="307"/>
      <c r="N456" s="307"/>
      <c r="O456" s="307"/>
      <c r="P456" s="307"/>
      <c r="Q456" s="307"/>
      <c r="R456" s="307"/>
      <c r="S456" s="307"/>
      <c r="T456" s="307"/>
      <c r="U456" s="307"/>
      <c r="V456" s="307"/>
      <c r="W456" s="307"/>
      <c r="X456" s="307"/>
      <c r="Y456" s="307"/>
    </row>
    <row r="457">
      <c r="A457" s="307"/>
      <c r="B457" s="307"/>
      <c r="C457" s="307"/>
      <c r="D457" s="310"/>
      <c r="E457" s="307"/>
      <c r="F457" s="307"/>
      <c r="G457" s="307"/>
      <c r="H457" s="307"/>
      <c r="I457" s="307"/>
      <c r="J457" s="307"/>
      <c r="K457" s="307"/>
      <c r="L457" s="307"/>
      <c r="M457" s="307"/>
      <c r="N457" s="307"/>
      <c r="O457" s="307"/>
      <c r="P457" s="307"/>
      <c r="Q457" s="307"/>
      <c r="R457" s="307"/>
      <c r="S457" s="307"/>
      <c r="T457" s="307"/>
      <c r="U457" s="307"/>
      <c r="V457" s="307"/>
      <c r="W457" s="307"/>
      <c r="X457" s="307"/>
      <c r="Y457" s="307"/>
    </row>
    <row r="458">
      <c r="A458" s="307"/>
      <c r="B458" s="307"/>
      <c r="C458" s="307"/>
      <c r="D458" s="310"/>
      <c r="E458" s="307"/>
      <c r="F458" s="307"/>
      <c r="G458" s="307"/>
      <c r="H458" s="307"/>
      <c r="I458" s="307"/>
      <c r="J458" s="307"/>
      <c r="K458" s="307"/>
      <c r="L458" s="307"/>
      <c r="M458" s="307"/>
      <c r="N458" s="307"/>
      <c r="O458" s="307"/>
      <c r="P458" s="307"/>
      <c r="Q458" s="307"/>
      <c r="R458" s="307"/>
      <c r="S458" s="307"/>
      <c r="T458" s="307"/>
      <c r="U458" s="307"/>
      <c r="V458" s="307"/>
      <c r="W458" s="307"/>
      <c r="X458" s="307"/>
      <c r="Y458" s="307"/>
    </row>
    <row r="459">
      <c r="A459" s="307"/>
      <c r="B459" s="307"/>
      <c r="C459" s="307"/>
      <c r="D459" s="310"/>
      <c r="E459" s="307"/>
      <c r="F459" s="307"/>
      <c r="G459" s="307"/>
      <c r="H459" s="307"/>
      <c r="I459" s="307"/>
      <c r="J459" s="307"/>
      <c r="K459" s="307"/>
      <c r="L459" s="307"/>
      <c r="M459" s="307"/>
      <c r="N459" s="307"/>
      <c r="O459" s="307"/>
      <c r="P459" s="307"/>
      <c r="Q459" s="307"/>
      <c r="R459" s="307"/>
      <c r="S459" s="307"/>
      <c r="T459" s="307"/>
      <c r="U459" s="307"/>
      <c r="V459" s="307"/>
      <c r="W459" s="307"/>
      <c r="X459" s="307"/>
      <c r="Y459" s="307"/>
    </row>
    <row r="460">
      <c r="A460" s="307"/>
      <c r="B460" s="307"/>
      <c r="C460" s="307"/>
      <c r="D460" s="310"/>
      <c r="E460" s="307"/>
      <c r="F460" s="307"/>
      <c r="G460" s="307"/>
      <c r="H460" s="307"/>
      <c r="I460" s="307"/>
      <c r="J460" s="307"/>
      <c r="K460" s="307"/>
      <c r="L460" s="307"/>
      <c r="M460" s="307"/>
      <c r="N460" s="307"/>
      <c r="O460" s="307"/>
      <c r="P460" s="307"/>
      <c r="Q460" s="307"/>
      <c r="R460" s="307"/>
      <c r="S460" s="307"/>
      <c r="T460" s="307"/>
      <c r="U460" s="307"/>
      <c r="V460" s="307"/>
      <c r="W460" s="307"/>
      <c r="X460" s="307"/>
      <c r="Y460" s="307"/>
    </row>
    <row r="461">
      <c r="A461" s="307"/>
      <c r="B461" s="307"/>
      <c r="C461" s="307"/>
      <c r="D461" s="310"/>
      <c r="E461" s="307"/>
      <c r="F461" s="307"/>
      <c r="G461" s="307"/>
      <c r="H461" s="307"/>
      <c r="I461" s="307"/>
      <c r="J461" s="307"/>
      <c r="K461" s="307"/>
      <c r="L461" s="307"/>
      <c r="M461" s="307"/>
      <c r="N461" s="307"/>
      <c r="O461" s="307"/>
      <c r="P461" s="307"/>
      <c r="Q461" s="307"/>
      <c r="R461" s="307"/>
      <c r="S461" s="307"/>
      <c r="T461" s="307"/>
      <c r="U461" s="307"/>
      <c r="V461" s="307"/>
      <c r="W461" s="307"/>
      <c r="X461" s="307"/>
      <c r="Y461" s="307"/>
    </row>
    <row r="462">
      <c r="A462" s="307"/>
      <c r="B462" s="307"/>
      <c r="C462" s="307"/>
      <c r="D462" s="310"/>
      <c r="E462" s="307"/>
      <c r="F462" s="307"/>
      <c r="G462" s="307"/>
      <c r="H462" s="307"/>
      <c r="I462" s="307"/>
      <c r="J462" s="307"/>
      <c r="K462" s="307"/>
      <c r="L462" s="307"/>
      <c r="M462" s="307"/>
      <c r="N462" s="307"/>
      <c r="O462" s="307"/>
      <c r="P462" s="307"/>
      <c r="Q462" s="307"/>
      <c r="R462" s="307"/>
      <c r="S462" s="307"/>
      <c r="T462" s="307"/>
      <c r="U462" s="307"/>
      <c r="V462" s="307"/>
      <c r="W462" s="307"/>
      <c r="X462" s="307"/>
      <c r="Y462" s="307"/>
    </row>
    <row r="463">
      <c r="A463" s="307"/>
      <c r="B463" s="307"/>
      <c r="C463" s="307"/>
      <c r="D463" s="310"/>
      <c r="E463" s="307"/>
      <c r="F463" s="307"/>
      <c r="G463" s="307"/>
      <c r="H463" s="307"/>
      <c r="I463" s="307"/>
      <c r="J463" s="307"/>
      <c r="K463" s="307"/>
      <c r="L463" s="307"/>
      <c r="M463" s="307"/>
      <c r="N463" s="307"/>
      <c r="O463" s="307"/>
      <c r="P463" s="307"/>
      <c r="Q463" s="307"/>
      <c r="R463" s="307"/>
      <c r="S463" s="307"/>
      <c r="T463" s="307"/>
      <c r="U463" s="307"/>
      <c r="V463" s="307"/>
      <c r="W463" s="307"/>
      <c r="X463" s="307"/>
      <c r="Y463" s="307"/>
    </row>
    <row r="464">
      <c r="A464" s="307"/>
      <c r="B464" s="307"/>
      <c r="C464" s="307"/>
      <c r="D464" s="310"/>
      <c r="E464" s="307"/>
      <c r="F464" s="307"/>
      <c r="G464" s="307"/>
      <c r="H464" s="307"/>
      <c r="I464" s="307"/>
      <c r="J464" s="307"/>
      <c r="K464" s="307"/>
      <c r="L464" s="307"/>
      <c r="M464" s="307"/>
      <c r="N464" s="307"/>
      <c r="O464" s="307"/>
      <c r="P464" s="307"/>
      <c r="Q464" s="307"/>
      <c r="R464" s="307"/>
      <c r="S464" s="307"/>
      <c r="T464" s="307"/>
      <c r="U464" s="307"/>
      <c r="V464" s="307"/>
      <c r="W464" s="307"/>
      <c r="X464" s="307"/>
      <c r="Y464" s="307"/>
    </row>
    <row r="465">
      <c r="A465" s="307"/>
      <c r="B465" s="307"/>
      <c r="C465" s="307"/>
      <c r="D465" s="310"/>
      <c r="E465" s="307"/>
      <c r="F465" s="307"/>
      <c r="G465" s="307"/>
      <c r="H465" s="307"/>
      <c r="I465" s="307"/>
      <c r="J465" s="307"/>
      <c r="K465" s="307"/>
      <c r="L465" s="307"/>
      <c r="M465" s="307"/>
      <c r="N465" s="307"/>
      <c r="O465" s="307"/>
      <c r="P465" s="307"/>
      <c r="Q465" s="307"/>
      <c r="R465" s="307"/>
      <c r="S465" s="307"/>
      <c r="T465" s="307"/>
      <c r="U465" s="307"/>
      <c r="V465" s="307"/>
      <c r="W465" s="307"/>
      <c r="X465" s="307"/>
      <c r="Y465" s="307"/>
    </row>
    <row r="466">
      <c r="A466" s="307"/>
      <c r="B466" s="307"/>
      <c r="C466" s="307"/>
      <c r="D466" s="310"/>
      <c r="E466" s="307"/>
      <c r="F466" s="307"/>
      <c r="G466" s="307"/>
      <c r="H466" s="307"/>
      <c r="I466" s="307"/>
      <c r="J466" s="307"/>
      <c r="K466" s="307"/>
      <c r="L466" s="307"/>
      <c r="M466" s="307"/>
      <c r="N466" s="307"/>
      <c r="O466" s="307"/>
      <c r="P466" s="307"/>
      <c r="Q466" s="307"/>
      <c r="R466" s="307"/>
      <c r="S466" s="307"/>
      <c r="T466" s="307"/>
      <c r="U466" s="307"/>
      <c r="V466" s="307"/>
      <c r="W466" s="307"/>
      <c r="X466" s="307"/>
      <c r="Y466" s="307"/>
    </row>
    <row r="467">
      <c r="A467" s="307"/>
      <c r="B467" s="307"/>
      <c r="C467" s="307"/>
      <c r="D467" s="310"/>
      <c r="E467" s="307"/>
      <c r="F467" s="307"/>
      <c r="G467" s="307"/>
      <c r="H467" s="307"/>
      <c r="I467" s="307"/>
      <c r="J467" s="307"/>
      <c r="K467" s="307"/>
      <c r="L467" s="307"/>
      <c r="M467" s="307"/>
      <c r="N467" s="307"/>
      <c r="O467" s="307"/>
      <c r="P467" s="307"/>
      <c r="Q467" s="307"/>
      <c r="R467" s="307"/>
      <c r="S467" s="307"/>
      <c r="T467" s="307"/>
      <c r="U467" s="307"/>
      <c r="V467" s="307"/>
      <c r="W467" s="307"/>
      <c r="X467" s="307"/>
      <c r="Y467" s="307"/>
    </row>
    <row r="468">
      <c r="A468" s="307"/>
      <c r="B468" s="307"/>
      <c r="C468" s="307"/>
      <c r="D468" s="310"/>
      <c r="E468" s="307"/>
      <c r="F468" s="307"/>
      <c r="G468" s="307"/>
      <c r="H468" s="307"/>
      <c r="I468" s="307"/>
      <c r="J468" s="307"/>
      <c r="K468" s="307"/>
      <c r="L468" s="307"/>
      <c r="M468" s="307"/>
      <c r="N468" s="307"/>
      <c r="O468" s="307"/>
      <c r="P468" s="307"/>
      <c r="Q468" s="307"/>
      <c r="R468" s="307"/>
      <c r="S468" s="307"/>
      <c r="T468" s="307"/>
      <c r="U468" s="307"/>
      <c r="V468" s="307"/>
      <c r="W468" s="307"/>
      <c r="X468" s="307"/>
      <c r="Y468" s="307"/>
    </row>
    <row r="469">
      <c r="A469" s="307"/>
      <c r="B469" s="307"/>
      <c r="C469" s="307"/>
      <c r="D469" s="310"/>
      <c r="E469" s="307"/>
      <c r="F469" s="307"/>
      <c r="G469" s="307"/>
      <c r="H469" s="307"/>
      <c r="I469" s="307"/>
      <c r="J469" s="307"/>
      <c r="K469" s="307"/>
      <c r="L469" s="307"/>
      <c r="M469" s="307"/>
      <c r="N469" s="307"/>
      <c r="O469" s="307"/>
      <c r="P469" s="307"/>
      <c r="Q469" s="307"/>
      <c r="R469" s="307"/>
      <c r="S469" s="307"/>
      <c r="T469" s="307"/>
      <c r="U469" s="307"/>
      <c r="V469" s="307"/>
      <c r="W469" s="307"/>
      <c r="X469" s="307"/>
      <c r="Y469" s="307"/>
    </row>
    <row r="470">
      <c r="A470" s="307"/>
      <c r="B470" s="307"/>
      <c r="C470" s="307"/>
      <c r="D470" s="310"/>
      <c r="E470" s="307"/>
      <c r="F470" s="307"/>
      <c r="G470" s="307"/>
      <c r="H470" s="307"/>
      <c r="I470" s="307"/>
      <c r="J470" s="307"/>
      <c r="K470" s="307"/>
      <c r="L470" s="307"/>
      <c r="M470" s="307"/>
      <c r="N470" s="307"/>
      <c r="O470" s="307"/>
      <c r="P470" s="307"/>
      <c r="Q470" s="307"/>
      <c r="R470" s="307"/>
      <c r="S470" s="307"/>
      <c r="T470" s="307"/>
      <c r="U470" s="307"/>
      <c r="V470" s="307"/>
      <c r="W470" s="307"/>
      <c r="X470" s="307"/>
      <c r="Y470" s="307"/>
    </row>
    <row r="471">
      <c r="A471" s="307"/>
      <c r="B471" s="307"/>
      <c r="C471" s="307"/>
      <c r="D471" s="310"/>
      <c r="E471" s="307"/>
      <c r="F471" s="307"/>
      <c r="G471" s="307"/>
      <c r="H471" s="307"/>
      <c r="I471" s="307"/>
      <c r="J471" s="307"/>
      <c r="K471" s="307"/>
      <c r="L471" s="307"/>
      <c r="M471" s="307"/>
      <c r="N471" s="307"/>
      <c r="O471" s="307"/>
      <c r="P471" s="307"/>
      <c r="Q471" s="307"/>
      <c r="R471" s="307"/>
      <c r="S471" s="307"/>
      <c r="T471" s="307"/>
      <c r="U471" s="307"/>
      <c r="V471" s="307"/>
      <c r="W471" s="307"/>
      <c r="X471" s="307"/>
      <c r="Y471" s="307"/>
    </row>
    <row r="472">
      <c r="A472" s="307"/>
      <c r="B472" s="307"/>
      <c r="C472" s="307"/>
      <c r="D472" s="310"/>
      <c r="E472" s="307"/>
      <c r="F472" s="307"/>
      <c r="G472" s="307"/>
      <c r="H472" s="307"/>
      <c r="I472" s="307"/>
      <c r="J472" s="307"/>
      <c r="K472" s="307"/>
      <c r="L472" s="307"/>
      <c r="M472" s="307"/>
      <c r="N472" s="307"/>
      <c r="O472" s="307"/>
      <c r="P472" s="307"/>
      <c r="Q472" s="307"/>
      <c r="R472" s="307"/>
      <c r="S472" s="307"/>
      <c r="T472" s="307"/>
      <c r="U472" s="307"/>
      <c r="V472" s="307"/>
      <c r="W472" s="307"/>
      <c r="X472" s="307"/>
      <c r="Y472" s="307"/>
    </row>
    <row r="473">
      <c r="A473" s="307"/>
      <c r="B473" s="307"/>
      <c r="C473" s="307"/>
      <c r="D473" s="310"/>
      <c r="E473" s="307"/>
      <c r="F473" s="307"/>
      <c r="G473" s="307"/>
      <c r="H473" s="307"/>
      <c r="I473" s="307"/>
      <c r="J473" s="307"/>
      <c r="K473" s="307"/>
      <c r="L473" s="307"/>
      <c r="M473" s="307"/>
      <c r="N473" s="307"/>
      <c r="O473" s="307"/>
      <c r="P473" s="307"/>
      <c r="Q473" s="307"/>
      <c r="R473" s="307"/>
      <c r="S473" s="307"/>
      <c r="T473" s="307"/>
      <c r="U473" s="307"/>
      <c r="V473" s="307"/>
      <c r="W473" s="307"/>
      <c r="X473" s="307"/>
      <c r="Y473" s="307"/>
    </row>
    <row r="474">
      <c r="A474" s="307"/>
      <c r="B474" s="307"/>
      <c r="C474" s="307"/>
      <c r="D474" s="310"/>
      <c r="E474" s="307"/>
      <c r="F474" s="307"/>
      <c r="G474" s="307"/>
      <c r="H474" s="307"/>
      <c r="I474" s="307"/>
      <c r="J474" s="307"/>
      <c r="K474" s="307"/>
      <c r="L474" s="307"/>
      <c r="M474" s="307"/>
      <c r="N474" s="307"/>
      <c r="O474" s="307"/>
      <c r="P474" s="307"/>
      <c r="Q474" s="307"/>
      <c r="R474" s="307"/>
      <c r="S474" s="307"/>
      <c r="T474" s="307"/>
      <c r="U474" s="307"/>
      <c r="V474" s="307"/>
      <c r="W474" s="307"/>
      <c r="X474" s="307"/>
      <c r="Y474" s="307"/>
    </row>
    <row r="475">
      <c r="A475" s="307"/>
      <c r="B475" s="307"/>
      <c r="C475" s="307"/>
      <c r="D475" s="310"/>
      <c r="E475" s="307"/>
      <c r="F475" s="307"/>
      <c r="G475" s="307"/>
      <c r="H475" s="307"/>
      <c r="I475" s="307"/>
      <c r="J475" s="307"/>
      <c r="K475" s="307"/>
      <c r="L475" s="307"/>
      <c r="M475" s="307"/>
      <c r="N475" s="307"/>
      <c r="O475" s="307"/>
      <c r="P475" s="307"/>
      <c r="Q475" s="307"/>
      <c r="R475" s="307"/>
      <c r="S475" s="307"/>
      <c r="T475" s="307"/>
      <c r="U475" s="307"/>
      <c r="V475" s="307"/>
      <c r="W475" s="307"/>
      <c r="X475" s="307"/>
      <c r="Y475" s="307"/>
    </row>
    <row r="476">
      <c r="A476" s="307"/>
      <c r="B476" s="307"/>
      <c r="C476" s="307"/>
      <c r="D476" s="310"/>
      <c r="E476" s="307"/>
      <c r="F476" s="307"/>
      <c r="G476" s="307"/>
      <c r="H476" s="307"/>
      <c r="I476" s="307"/>
      <c r="J476" s="307"/>
      <c r="K476" s="307"/>
      <c r="L476" s="307"/>
      <c r="M476" s="307"/>
      <c r="N476" s="307"/>
      <c r="O476" s="307"/>
      <c r="P476" s="307"/>
      <c r="Q476" s="307"/>
      <c r="R476" s="307"/>
      <c r="S476" s="307"/>
      <c r="T476" s="307"/>
      <c r="U476" s="307"/>
      <c r="V476" s="307"/>
      <c r="W476" s="307"/>
      <c r="X476" s="307"/>
      <c r="Y476" s="307"/>
    </row>
    <row r="477">
      <c r="A477" s="307"/>
      <c r="B477" s="307"/>
      <c r="C477" s="307"/>
      <c r="D477" s="310"/>
      <c r="E477" s="307"/>
      <c r="F477" s="307"/>
      <c r="G477" s="307"/>
      <c r="H477" s="307"/>
      <c r="I477" s="307"/>
      <c r="J477" s="307"/>
      <c r="K477" s="307"/>
      <c r="L477" s="307"/>
      <c r="M477" s="307"/>
      <c r="N477" s="307"/>
      <c r="O477" s="307"/>
      <c r="P477" s="307"/>
      <c r="Q477" s="307"/>
      <c r="R477" s="307"/>
      <c r="S477" s="307"/>
      <c r="T477" s="307"/>
      <c r="U477" s="307"/>
      <c r="V477" s="307"/>
      <c r="W477" s="307"/>
      <c r="X477" s="307"/>
      <c r="Y477" s="307"/>
    </row>
    <row r="478">
      <c r="A478" s="307"/>
      <c r="B478" s="307"/>
      <c r="C478" s="307"/>
      <c r="D478" s="310"/>
      <c r="E478" s="307"/>
      <c r="F478" s="307"/>
      <c r="G478" s="307"/>
      <c r="H478" s="307"/>
      <c r="I478" s="307"/>
      <c r="J478" s="307"/>
      <c r="K478" s="307"/>
      <c r="L478" s="307"/>
      <c r="M478" s="307"/>
      <c r="N478" s="307"/>
      <c r="O478" s="307"/>
      <c r="P478" s="307"/>
      <c r="Q478" s="307"/>
      <c r="R478" s="307"/>
      <c r="S478" s="307"/>
      <c r="T478" s="307"/>
      <c r="U478" s="307"/>
      <c r="V478" s="307"/>
      <c r="W478" s="307"/>
      <c r="X478" s="307"/>
      <c r="Y478" s="307"/>
    </row>
    <row r="479">
      <c r="A479" s="307"/>
      <c r="B479" s="307"/>
      <c r="C479" s="307"/>
      <c r="D479" s="310"/>
      <c r="E479" s="307"/>
      <c r="F479" s="307"/>
      <c r="G479" s="307"/>
      <c r="H479" s="307"/>
      <c r="I479" s="307"/>
      <c r="J479" s="307"/>
      <c r="K479" s="307"/>
      <c r="L479" s="307"/>
      <c r="M479" s="307"/>
      <c r="N479" s="307"/>
      <c r="O479" s="307"/>
      <c r="P479" s="307"/>
      <c r="Q479" s="307"/>
      <c r="R479" s="307"/>
      <c r="S479" s="307"/>
      <c r="T479" s="307"/>
      <c r="U479" s="307"/>
      <c r="V479" s="307"/>
      <c r="W479" s="307"/>
      <c r="X479" s="307"/>
      <c r="Y479" s="307"/>
    </row>
    <row r="480">
      <c r="A480" s="307"/>
      <c r="B480" s="307"/>
      <c r="C480" s="307"/>
      <c r="D480" s="310"/>
      <c r="E480" s="307"/>
      <c r="F480" s="307"/>
      <c r="G480" s="307"/>
      <c r="H480" s="307"/>
      <c r="I480" s="307"/>
      <c r="J480" s="307"/>
      <c r="K480" s="307"/>
      <c r="L480" s="307"/>
      <c r="M480" s="307"/>
      <c r="N480" s="307"/>
      <c r="O480" s="307"/>
      <c r="P480" s="307"/>
      <c r="Q480" s="307"/>
      <c r="R480" s="307"/>
      <c r="S480" s="307"/>
      <c r="T480" s="307"/>
      <c r="U480" s="307"/>
      <c r="V480" s="307"/>
      <c r="W480" s="307"/>
      <c r="X480" s="307"/>
      <c r="Y480" s="307"/>
    </row>
    <row r="481">
      <c r="A481" s="307"/>
      <c r="B481" s="307"/>
      <c r="C481" s="307"/>
      <c r="D481" s="310"/>
      <c r="E481" s="307"/>
      <c r="F481" s="307"/>
      <c r="G481" s="307"/>
      <c r="H481" s="307"/>
      <c r="I481" s="307"/>
      <c r="J481" s="307"/>
      <c r="K481" s="307"/>
      <c r="L481" s="307"/>
      <c r="M481" s="307"/>
      <c r="N481" s="307"/>
      <c r="O481" s="307"/>
      <c r="P481" s="307"/>
      <c r="Q481" s="307"/>
      <c r="R481" s="307"/>
      <c r="S481" s="307"/>
      <c r="T481" s="307"/>
      <c r="U481" s="307"/>
      <c r="V481" s="307"/>
      <c r="W481" s="307"/>
      <c r="X481" s="307"/>
      <c r="Y481" s="307"/>
    </row>
    <row r="482">
      <c r="A482" s="307"/>
      <c r="B482" s="307"/>
      <c r="C482" s="307"/>
      <c r="D482" s="310"/>
      <c r="E482" s="307"/>
      <c r="F482" s="307"/>
      <c r="G482" s="307"/>
      <c r="H482" s="307"/>
      <c r="I482" s="307"/>
      <c r="J482" s="307"/>
      <c r="K482" s="307"/>
      <c r="L482" s="307"/>
      <c r="M482" s="307"/>
      <c r="N482" s="307"/>
      <c r="O482" s="307"/>
      <c r="P482" s="307"/>
      <c r="Q482" s="307"/>
      <c r="R482" s="307"/>
      <c r="S482" s="307"/>
      <c r="T482" s="307"/>
      <c r="U482" s="307"/>
      <c r="V482" s="307"/>
      <c r="W482" s="307"/>
      <c r="X482" s="307"/>
      <c r="Y482" s="307"/>
    </row>
    <row r="483">
      <c r="A483" s="307"/>
      <c r="B483" s="307"/>
      <c r="C483" s="307"/>
      <c r="D483" s="310"/>
      <c r="E483" s="307"/>
      <c r="F483" s="307"/>
      <c r="G483" s="307"/>
      <c r="H483" s="307"/>
      <c r="I483" s="307"/>
      <c r="J483" s="307"/>
      <c r="K483" s="307"/>
      <c r="L483" s="307"/>
      <c r="M483" s="307"/>
      <c r="N483" s="307"/>
      <c r="O483" s="307"/>
      <c r="P483" s="307"/>
      <c r="Q483" s="307"/>
      <c r="R483" s="307"/>
      <c r="S483" s="307"/>
      <c r="T483" s="307"/>
      <c r="U483" s="307"/>
      <c r="V483" s="307"/>
      <c r="W483" s="307"/>
      <c r="X483" s="307"/>
      <c r="Y483" s="307"/>
    </row>
    <row r="484">
      <c r="A484" s="307"/>
      <c r="B484" s="307"/>
      <c r="C484" s="307"/>
      <c r="D484" s="310"/>
      <c r="E484" s="307"/>
      <c r="F484" s="307"/>
      <c r="G484" s="307"/>
      <c r="H484" s="307"/>
      <c r="I484" s="307"/>
      <c r="J484" s="307"/>
      <c r="K484" s="307"/>
      <c r="L484" s="307"/>
      <c r="M484" s="307"/>
      <c r="N484" s="307"/>
      <c r="O484" s="307"/>
      <c r="P484" s="307"/>
      <c r="Q484" s="307"/>
      <c r="R484" s="307"/>
      <c r="S484" s="307"/>
      <c r="T484" s="307"/>
      <c r="U484" s="307"/>
      <c r="V484" s="307"/>
      <c r="W484" s="307"/>
      <c r="X484" s="307"/>
      <c r="Y484" s="307"/>
    </row>
    <row r="485">
      <c r="A485" s="307"/>
      <c r="B485" s="307"/>
      <c r="C485" s="307"/>
      <c r="D485" s="310"/>
      <c r="E485" s="307"/>
      <c r="F485" s="307"/>
      <c r="G485" s="307"/>
      <c r="H485" s="307"/>
      <c r="I485" s="307"/>
      <c r="J485" s="307"/>
      <c r="K485" s="307"/>
      <c r="L485" s="307"/>
      <c r="M485" s="307"/>
      <c r="N485" s="307"/>
      <c r="O485" s="307"/>
      <c r="P485" s="307"/>
      <c r="Q485" s="307"/>
      <c r="R485" s="307"/>
      <c r="S485" s="307"/>
      <c r="T485" s="307"/>
      <c r="U485" s="307"/>
      <c r="V485" s="307"/>
      <c r="W485" s="307"/>
      <c r="X485" s="307"/>
      <c r="Y485" s="307"/>
    </row>
    <row r="486">
      <c r="A486" s="307"/>
      <c r="B486" s="307"/>
      <c r="C486" s="307"/>
      <c r="D486" s="310"/>
      <c r="E486" s="307"/>
      <c r="F486" s="307"/>
      <c r="G486" s="307"/>
      <c r="H486" s="307"/>
      <c r="I486" s="307"/>
      <c r="J486" s="307"/>
      <c r="K486" s="307"/>
      <c r="L486" s="307"/>
      <c r="M486" s="307"/>
      <c r="N486" s="307"/>
      <c r="O486" s="307"/>
      <c r="P486" s="307"/>
      <c r="Q486" s="307"/>
      <c r="R486" s="307"/>
      <c r="S486" s="307"/>
      <c r="T486" s="307"/>
      <c r="U486" s="307"/>
      <c r="V486" s="307"/>
      <c r="W486" s="307"/>
      <c r="X486" s="307"/>
      <c r="Y486" s="307"/>
    </row>
    <row r="487">
      <c r="A487" s="307"/>
      <c r="B487" s="307"/>
      <c r="C487" s="307"/>
      <c r="D487" s="310"/>
      <c r="E487" s="307"/>
      <c r="F487" s="307"/>
      <c r="G487" s="307"/>
      <c r="H487" s="307"/>
      <c r="I487" s="307"/>
      <c r="J487" s="307"/>
      <c r="K487" s="307"/>
      <c r="L487" s="307"/>
      <c r="M487" s="307"/>
      <c r="N487" s="307"/>
      <c r="O487" s="307"/>
      <c r="P487" s="307"/>
      <c r="Q487" s="307"/>
      <c r="R487" s="307"/>
      <c r="S487" s="307"/>
      <c r="T487" s="307"/>
      <c r="U487" s="307"/>
      <c r="V487" s="307"/>
      <c r="W487" s="307"/>
      <c r="X487" s="307"/>
      <c r="Y487" s="307"/>
    </row>
    <row r="488">
      <c r="A488" s="307"/>
      <c r="B488" s="307"/>
      <c r="C488" s="307"/>
      <c r="D488" s="310"/>
      <c r="E488" s="307"/>
      <c r="F488" s="307"/>
      <c r="G488" s="307"/>
      <c r="H488" s="307"/>
      <c r="I488" s="307"/>
      <c r="J488" s="307"/>
      <c r="K488" s="307"/>
      <c r="L488" s="307"/>
      <c r="M488" s="307"/>
      <c r="N488" s="307"/>
      <c r="O488" s="307"/>
      <c r="P488" s="307"/>
      <c r="Q488" s="307"/>
      <c r="R488" s="307"/>
      <c r="S488" s="307"/>
      <c r="T488" s="307"/>
      <c r="U488" s="307"/>
      <c r="V488" s="307"/>
      <c r="W488" s="307"/>
      <c r="X488" s="307"/>
      <c r="Y488" s="307"/>
    </row>
    <row r="489">
      <c r="A489" s="307"/>
      <c r="B489" s="307"/>
      <c r="C489" s="307"/>
      <c r="D489" s="310"/>
      <c r="E489" s="307"/>
      <c r="F489" s="307"/>
      <c r="G489" s="307"/>
      <c r="H489" s="307"/>
      <c r="I489" s="307"/>
      <c r="J489" s="307"/>
      <c r="K489" s="307"/>
      <c r="L489" s="307"/>
      <c r="M489" s="307"/>
      <c r="N489" s="307"/>
      <c r="O489" s="307"/>
      <c r="P489" s="307"/>
      <c r="Q489" s="307"/>
      <c r="R489" s="307"/>
      <c r="S489" s="307"/>
      <c r="T489" s="307"/>
      <c r="U489" s="307"/>
      <c r="V489" s="307"/>
      <c r="W489" s="307"/>
      <c r="X489" s="307"/>
      <c r="Y489" s="307"/>
    </row>
    <row r="490">
      <c r="A490" s="307"/>
      <c r="B490" s="307"/>
      <c r="C490" s="307"/>
      <c r="D490" s="310"/>
      <c r="E490" s="307"/>
      <c r="F490" s="307"/>
      <c r="G490" s="307"/>
      <c r="H490" s="307"/>
      <c r="I490" s="307"/>
      <c r="J490" s="307"/>
      <c r="K490" s="307"/>
      <c r="L490" s="307"/>
      <c r="M490" s="307"/>
      <c r="N490" s="307"/>
      <c r="O490" s="307"/>
      <c r="P490" s="307"/>
      <c r="Q490" s="307"/>
      <c r="R490" s="307"/>
      <c r="S490" s="307"/>
      <c r="T490" s="307"/>
      <c r="U490" s="307"/>
      <c r="V490" s="307"/>
      <c r="W490" s="307"/>
      <c r="X490" s="307"/>
      <c r="Y490" s="307"/>
    </row>
    <row r="491">
      <c r="A491" s="307"/>
      <c r="B491" s="307"/>
      <c r="C491" s="307"/>
      <c r="D491" s="310"/>
      <c r="E491" s="307"/>
      <c r="F491" s="307"/>
      <c r="G491" s="307"/>
      <c r="H491" s="307"/>
      <c r="I491" s="307"/>
      <c r="J491" s="307"/>
      <c r="K491" s="307"/>
      <c r="L491" s="307"/>
      <c r="M491" s="307"/>
      <c r="N491" s="307"/>
      <c r="O491" s="307"/>
      <c r="P491" s="307"/>
      <c r="Q491" s="307"/>
      <c r="R491" s="307"/>
      <c r="S491" s="307"/>
      <c r="T491" s="307"/>
      <c r="U491" s="307"/>
      <c r="V491" s="307"/>
      <c r="W491" s="307"/>
      <c r="X491" s="307"/>
      <c r="Y491" s="307"/>
    </row>
    <row r="492">
      <c r="A492" s="307"/>
      <c r="B492" s="307"/>
      <c r="C492" s="307"/>
      <c r="D492" s="310"/>
      <c r="E492" s="307"/>
      <c r="F492" s="307"/>
      <c r="G492" s="307"/>
      <c r="H492" s="307"/>
      <c r="I492" s="307"/>
      <c r="J492" s="307"/>
      <c r="K492" s="307"/>
      <c r="L492" s="307"/>
      <c r="M492" s="307"/>
      <c r="N492" s="307"/>
      <c r="O492" s="307"/>
      <c r="P492" s="307"/>
      <c r="Q492" s="307"/>
      <c r="R492" s="307"/>
      <c r="S492" s="307"/>
      <c r="T492" s="307"/>
      <c r="U492" s="307"/>
      <c r="V492" s="307"/>
      <c r="W492" s="307"/>
      <c r="X492" s="307"/>
      <c r="Y492" s="307"/>
    </row>
    <row r="493">
      <c r="A493" s="307"/>
      <c r="B493" s="307"/>
      <c r="C493" s="307"/>
      <c r="D493" s="310"/>
      <c r="E493" s="307"/>
      <c r="F493" s="307"/>
      <c r="G493" s="307"/>
      <c r="H493" s="307"/>
      <c r="I493" s="307"/>
      <c r="J493" s="307"/>
      <c r="K493" s="307"/>
      <c r="L493" s="307"/>
      <c r="M493" s="307"/>
      <c r="N493" s="307"/>
      <c r="O493" s="307"/>
      <c r="P493" s="307"/>
      <c r="Q493" s="307"/>
      <c r="R493" s="307"/>
      <c r="S493" s="307"/>
      <c r="T493" s="307"/>
      <c r="U493" s="307"/>
      <c r="V493" s="307"/>
      <c r="W493" s="307"/>
      <c r="X493" s="307"/>
      <c r="Y493" s="307"/>
    </row>
    <row r="494">
      <c r="A494" s="307"/>
      <c r="B494" s="307"/>
      <c r="C494" s="307"/>
      <c r="D494" s="310"/>
      <c r="E494" s="307"/>
      <c r="F494" s="307"/>
      <c r="G494" s="307"/>
      <c r="H494" s="307"/>
      <c r="I494" s="307"/>
      <c r="J494" s="307"/>
      <c r="K494" s="307"/>
      <c r="L494" s="307"/>
      <c r="M494" s="307"/>
      <c r="N494" s="307"/>
      <c r="O494" s="307"/>
      <c r="P494" s="307"/>
      <c r="Q494" s="307"/>
      <c r="R494" s="307"/>
      <c r="S494" s="307"/>
      <c r="T494" s="307"/>
      <c r="U494" s="307"/>
      <c r="V494" s="307"/>
      <c r="W494" s="307"/>
      <c r="X494" s="307"/>
      <c r="Y494" s="307"/>
    </row>
    <row r="495">
      <c r="A495" s="307"/>
      <c r="B495" s="307"/>
      <c r="C495" s="307"/>
      <c r="D495" s="310"/>
      <c r="E495" s="307"/>
      <c r="F495" s="307"/>
      <c r="G495" s="307"/>
      <c r="H495" s="307"/>
      <c r="I495" s="307"/>
      <c r="J495" s="307"/>
      <c r="K495" s="307"/>
      <c r="L495" s="307"/>
      <c r="M495" s="307"/>
      <c r="N495" s="307"/>
      <c r="O495" s="307"/>
      <c r="P495" s="307"/>
      <c r="Q495" s="307"/>
      <c r="R495" s="307"/>
      <c r="S495" s="307"/>
      <c r="T495" s="307"/>
      <c r="U495" s="307"/>
      <c r="V495" s="307"/>
      <c r="W495" s="307"/>
      <c r="X495" s="307"/>
      <c r="Y495" s="307"/>
    </row>
    <row r="496">
      <c r="A496" s="307"/>
      <c r="B496" s="307"/>
      <c r="C496" s="307"/>
      <c r="D496" s="310"/>
      <c r="E496" s="307"/>
      <c r="F496" s="307"/>
      <c r="G496" s="307"/>
      <c r="H496" s="307"/>
      <c r="I496" s="307"/>
      <c r="J496" s="307"/>
      <c r="K496" s="307"/>
      <c r="L496" s="307"/>
      <c r="M496" s="307"/>
      <c r="N496" s="307"/>
      <c r="O496" s="307"/>
      <c r="P496" s="307"/>
      <c r="Q496" s="307"/>
      <c r="R496" s="307"/>
      <c r="S496" s="307"/>
      <c r="T496" s="307"/>
      <c r="U496" s="307"/>
      <c r="V496" s="307"/>
      <c r="W496" s="307"/>
      <c r="X496" s="307"/>
      <c r="Y496" s="307"/>
    </row>
    <row r="497">
      <c r="A497" s="307"/>
      <c r="B497" s="307"/>
      <c r="C497" s="307"/>
      <c r="D497" s="310"/>
      <c r="E497" s="307"/>
      <c r="F497" s="307"/>
      <c r="G497" s="307"/>
      <c r="H497" s="307"/>
      <c r="I497" s="307"/>
      <c r="J497" s="307"/>
      <c r="K497" s="307"/>
      <c r="L497" s="307"/>
      <c r="M497" s="307"/>
      <c r="N497" s="307"/>
      <c r="O497" s="307"/>
      <c r="P497" s="307"/>
      <c r="Q497" s="307"/>
      <c r="R497" s="307"/>
      <c r="S497" s="307"/>
      <c r="T497" s="307"/>
      <c r="U497" s="307"/>
      <c r="V497" s="307"/>
      <c r="W497" s="307"/>
      <c r="X497" s="307"/>
      <c r="Y497" s="307"/>
    </row>
    <row r="498">
      <c r="A498" s="307"/>
      <c r="B498" s="307"/>
      <c r="C498" s="307"/>
      <c r="D498" s="310"/>
      <c r="E498" s="307"/>
      <c r="F498" s="307"/>
      <c r="G498" s="307"/>
      <c r="H498" s="307"/>
      <c r="I498" s="307"/>
      <c r="J498" s="307"/>
      <c r="K498" s="307"/>
      <c r="L498" s="307"/>
      <c r="M498" s="307"/>
      <c r="N498" s="307"/>
      <c r="O498" s="307"/>
      <c r="P498" s="307"/>
      <c r="Q498" s="307"/>
      <c r="R498" s="307"/>
      <c r="S498" s="307"/>
      <c r="T498" s="307"/>
      <c r="U498" s="307"/>
      <c r="V498" s="307"/>
      <c r="W498" s="307"/>
      <c r="X498" s="307"/>
      <c r="Y498" s="307"/>
    </row>
    <row r="499">
      <c r="A499" s="307"/>
      <c r="B499" s="307"/>
      <c r="C499" s="307"/>
      <c r="D499" s="310"/>
      <c r="E499" s="307"/>
      <c r="F499" s="307"/>
      <c r="G499" s="307"/>
      <c r="H499" s="307"/>
      <c r="I499" s="307"/>
      <c r="J499" s="307"/>
      <c r="K499" s="307"/>
      <c r="L499" s="307"/>
      <c r="M499" s="307"/>
      <c r="N499" s="307"/>
      <c r="O499" s="307"/>
      <c r="P499" s="307"/>
      <c r="Q499" s="307"/>
      <c r="R499" s="307"/>
      <c r="S499" s="307"/>
      <c r="T499" s="307"/>
      <c r="U499" s="307"/>
      <c r="V499" s="307"/>
      <c r="W499" s="307"/>
      <c r="X499" s="307"/>
      <c r="Y499" s="307"/>
    </row>
    <row r="500">
      <c r="A500" s="307"/>
      <c r="B500" s="307"/>
      <c r="C500" s="307"/>
      <c r="D500" s="310"/>
      <c r="E500" s="307"/>
      <c r="F500" s="307"/>
      <c r="G500" s="307"/>
      <c r="H500" s="307"/>
      <c r="I500" s="307"/>
      <c r="J500" s="307"/>
      <c r="K500" s="307"/>
      <c r="L500" s="307"/>
      <c r="M500" s="307"/>
      <c r="N500" s="307"/>
      <c r="O500" s="307"/>
      <c r="P500" s="307"/>
      <c r="Q500" s="307"/>
      <c r="R500" s="307"/>
      <c r="S500" s="307"/>
      <c r="T500" s="307"/>
      <c r="U500" s="307"/>
      <c r="V500" s="307"/>
      <c r="W500" s="307"/>
      <c r="X500" s="307"/>
      <c r="Y500" s="307"/>
    </row>
    <row r="501">
      <c r="A501" s="307"/>
      <c r="B501" s="307"/>
      <c r="C501" s="307"/>
      <c r="D501" s="310"/>
      <c r="E501" s="307"/>
      <c r="F501" s="307"/>
      <c r="G501" s="307"/>
      <c r="H501" s="307"/>
      <c r="I501" s="307"/>
      <c r="J501" s="307"/>
      <c r="K501" s="307"/>
      <c r="L501" s="307"/>
      <c r="M501" s="307"/>
      <c r="N501" s="307"/>
      <c r="O501" s="307"/>
      <c r="P501" s="307"/>
      <c r="Q501" s="307"/>
      <c r="R501" s="307"/>
      <c r="S501" s="307"/>
      <c r="T501" s="307"/>
      <c r="U501" s="307"/>
      <c r="V501" s="307"/>
      <c r="W501" s="307"/>
      <c r="X501" s="307"/>
      <c r="Y501" s="307"/>
    </row>
    <row r="502">
      <c r="A502" s="307"/>
      <c r="B502" s="307"/>
      <c r="C502" s="307"/>
      <c r="D502" s="310"/>
      <c r="E502" s="307"/>
      <c r="F502" s="307"/>
      <c r="G502" s="307"/>
      <c r="H502" s="307"/>
      <c r="I502" s="307"/>
      <c r="J502" s="307"/>
      <c r="K502" s="307"/>
      <c r="L502" s="307"/>
      <c r="M502" s="307"/>
      <c r="N502" s="307"/>
      <c r="O502" s="307"/>
      <c r="P502" s="307"/>
      <c r="Q502" s="307"/>
      <c r="R502" s="307"/>
      <c r="S502" s="307"/>
      <c r="T502" s="307"/>
      <c r="U502" s="307"/>
      <c r="V502" s="307"/>
      <c r="W502" s="307"/>
      <c r="X502" s="307"/>
      <c r="Y502" s="307"/>
    </row>
    <row r="503">
      <c r="A503" s="307"/>
      <c r="B503" s="307"/>
      <c r="C503" s="307"/>
      <c r="D503" s="310"/>
      <c r="E503" s="307"/>
      <c r="F503" s="307"/>
      <c r="G503" s="307"/>
      <c r="H503" s="307"/>
      <c r="I503" s="307"/>
      <c r="J503" s="307"/>
      <c r="K503" s="307"/>
      <c r="L503" s="307"/>
      <c r="M503" s="307"/>
      <c r="N503" s="307"/>
      <c r="O503" s="307"/>
      <c r="P503" s="307"/>
      <c r="Q503" s="307"/>
      <c r="R503" s="307"/>
      <c r="S503" s="307"/>
      <c r="T503" s="307"/>
      <c r="U503" s="307"/>
      <c r="V503" s="307"/>
      <c r="W503" s="307"/>
      <c r="X503" s="307"/>
      <c r="Y503" s="307"/>
    </row>
    <row r="504">
      <c r="A504" s="307"/>
      <c r="B504" s="307"/>
      <c r="C504" s="307"/>
      <c r="D504" s="310"/>
      <c r="E504" s="307"/>
      <c r="F504" s="307"/>
      <c r="G504" s="307"/>
      <c r="H504" s="307"/>
      <c r="I504" s="307"/>
      <c r="J504" s="307"/>
      <c r="K504" s="307"/>
      <c r="L504" s="307"/>
      <c r="M504" s="307"/>
      <c r="N504" s="307"/>
      <c r="O504" s="307"/>
      <c r="P504" s="307"/>
      <c r="Q504" s="307"/>
      <c r="R504" s="307"/>
      <c r="S504" s="307"/>
      <c r="T504" s="307"/>
      <c r="U504" s="307"/>
      <c r="V504" s="307"/>
      <c r="W504" s="307"/>
      <c r="X504" s="307"/>
      <c r="Y504" s="307"/>
    </row>
    <row r="505">
      <c r="A505" s="307"/>
      <c r="B505" s="307"/>
      <c r="C505" s="307"/>
      <c r="D505" s="310"/>
      <c r="E505" s="307"/>
      <c r="F505" s="307"/>
      <c r="G505" s="307"/>
      <c r="H505" s="307"/>
      <c r="I505" s="307"/>
      <c r="J505" s="307"/>
      <c r="K505" s="307"/>
      <c r="L505" s="307"/>
      <c r="M505" s="307"/>
      <c r="N505" s="307"/>
      <c r="O505" s="307"/>
      <c r="P505" s="307"/>
      <c r="Q505" s="307"/>
      <c r="R505" s="307"/>
      <c r="S505" s="307"/>
      <c r="T505" s="307"/>
      <c r="U505" s="307"/>
      <c r="V505" s="307"/>
      <c r="W505" s="307"/>
      <c r="X505" s="307"/>
      <c r="Y505" s="307"/>
    </row>
    <row r="506">
      <c r="A506" s="307"/>
      <c r="B506" s="307"/>
      <c r="C506" s="307"/>
      <c r="D506" s="310"/>
      <c r="E506" s="307"/>
      <c r="F506" s="307"/>
      <c r="G506" s="307"/>
      <c r="H506" s="307"/>
      <c r="I506" s="307"/>
      <c r="J506" s="307"/>
      <c r="K506" s="307"/>
      <c r="L506" s="307"/>
      <c r="M506" s="307"/>
      <c r="N506" s="307"/>
      <c r="O506" s="307"/>
      <c r="P506" s="307"/>
      <c r="Q506" s="307"/>
      <c r="R506" s="307"/>
      <c r="S506" s="307"/>
      <c r="T506" s="307"/>
      <c r="U506" s="307"/>
      <c r="V506" s="307"/>
      <c r="W506" s="307"/>
      <c r="X506" s="307"/>
      <c r="Y506" s="307"/>
    </row>
    <row r="507">
      <c r="A507" s="307"/>
      <c r="B507" s="307"/>
      <c r="C507" s="307"/>
      <c r="D507" s="310"/>
      <c r="E507" s="307"/>
      <c r="F507" s="307"/>
      <c r="G507" s="307"/>
      <c r="H507" s="307"/>
      <c r="I507" s="307"/>
      <c r="J507" s="307"/>
      <c r="K507" s="307"/>
      <c r="L507" s="307"/>
      <c r="M507" s="307"/>
      <c r="N507" s="307"/>
      <c r="O507" s="307"/>
      <c r="P507" s="307"/>
      <c r="Q507" s="307"/>
      <c r="R507" s="307"/>
      <c r="S507" s="307"/>
      <c r="T507" s="307"/>
      <c r="U507" s="307"/>
      <c r="V507" s="307"/>
      <c r="W507" s="307"/>
      <c r="X507" s="307"/>
      <c r="Y507" s="307"/>
    </row>
    <row r="508">
      <c r="A508" s="307"/>
      <c r="B508" s="307"/>
      <c r="C508" s="307"/>
      <c r="D508" s="310"/>
      <c r="E508" s="307"/>
      <c r="F508" s="307"/>
      <c r="G508" s="307"/>
      <c r="H508" s="307"/>
      <c r="I508" s="307"/>
      <c r="J508" s="307"/>
      <c r="K508" s="307"/>
      <c r="L508" s="307"/>
      <c r="M508" s="307"/>
      <c r="N508" s="307"/>
      <c r="O508" s="307"/>
      <c r="P508" s="307"/>
      <c r="Q508" s="307"/>
      <c r="R508" s="307"/>
      <c r="S508" s="307"/>
      <c r="T508" s="307"/>
      <c r="U508" s="307"/>
      <c r="V508" s="307"/>
      <c r="W508" s="307"/>
      <c r="X508" s="307"/>
      <c r="Y508" s="307"/>
    </row>
    <row r="509">
      <c r="A509" s="307"/>
      <c r="B509" s="307"/>
      <c r="C509" s="307"/>
      <c r="D509" s="310"/>
      <c r="E509" s="307"/>
      <c r="F509" s="307"/>
      <c r="G509" s="307"/>
      <c r="H509" s="307"/>
      <c r="I509" s="307"/>
      <c r="J509" s="307"/>
      <c r="K509" s="307"/>
      <c r="L509" s="307"/>
      <c r="M509" s="307"/>
      <c r="N509" s="307"/>
      <c r="O509" s="307"/>
      <c r="P509" s="307"/>
      <c r="Q509" s="307"/>
      <c r="R509" s="307"/>
      <c r="S509" s="307"/>
      <c r="T509" s="307"/>
      <c r="U509" s="307"/>
      <c r="V509" s="307"/>
      <c r="W509" s="307"/>
      <c r="X509" s="307"/>
      <c r="Y509" s="307"/>
    </row>
    <row r="510">
      <c r="A510" s="307"/>
      <c r="B510" s="307"/>
      <c r="C510" s="307"/>
      <c r="D510" s="310"/>
      <c r="E510" s="307"/>
      <c r="F510" s="307"/>
      <c r="G510" s="307"/>
      <c r="H510" s="307"/>
      <c r="I510" s="307"/>
      <c r="J510" s="307"/>
      <c r="K510" s="307"/>
      <c r="L510" s="307"/>
      <c r="M510" s="307"/>
      <c r="N510" s="307"/>
      <c r="O510" s="307"/>
      <c r="P510" s="307"/>
      <c r="Q510" s="307"/>
      <c r="R510" s="307"/>
      <c r="S510" s="307"/>
      <c r="T510" s="307"/>
      <c r="U510" s="307"/>
      <c r="V510" s="307"/>
      <c r="W510" s="307"/>
      <c r="X510" s="307"/>
      <c r="Y510" s="307"/>
    </row>
    <row r="511">
      <c r="A511" s="307"/>
      <c r="B511" s="307"/>
      <c r="C511" s="307"/>
      <c r="D511" s="310"/>
      <c r="E511" s="307"/>
      <c r="F511" s="307"/>
      <c r="G511" s="307"/>
      <c r="H511" s="307"/>
      <c r="I511" s="307"/>
      <c r="J511" s="307"/>
      <c r="K511" s="307"/>
      <c r="L511" s="307"/>
      <c r="M511" s="307"/>
      <c r="N511" s="307"/>
      <c r="O511" s="307"/>
      <c r="P511" s="307"/>
      <c r="Q511" s="307"/>
      <c r="R511" s="307"/>
      <c r="S511" s="307"/>
      <c r="T511" s="307"/>
      <c r="U511" s="307"/>
      <c r="V511" s="307"/>
      <c r="W511" s="307"/>
      <c r="X511" s="307"/>
      <c r="Y511" s="307"/>
    </row>
    <row r="512">
      <c r="A512" s="307"/>
      <c r="B512" s="307"/>
      <c r="C512" s="307"/>
      <c r="D512" s="310"/>
      <c r="E512" s="307"/>
      <c r="F512" s="307"/>
      <c r="G512" s="307"/>
      <c r="H512" s="307"/>
      <c r="I512" s="307"/>
      <c r="J512" s="307"/>
      <c r="K512" s="307"/>
      <c r="L512" s="307"/>
      <c r="M512" s="307"/>
      <c r="N512" s="307"/>
      <c r="O512" s="307"/>
      <c r="P512" s="307"/>
      <c r="Q512" s="307"/>
      <c r="R512" s="307"/>
      <c r="S512" s="307"/>
      <c r="T512" s="307"/>
      <c r="U512" s="307"/>
      <c r="V512" s="307"/>
      <c r="W512" s="307"/>
      <c r="X512" s="307"/>
      <c r="Y512" s="307"/>
    </row>
    <row r="513">
      <c r="A513" s="307"/>
      <c r="B513" s="307"/>
      <c r="C513" s="307"/>
      <c r="D513" s="310"/>
      <c r="E513" s="307"/>
      <c r="F513" s="307"/>
      <c r="G513" s="307"/>
      <c r="H513" s="307"/>
      <c r="I513" s="307"/>
      <c r="J513" s="307"/>
      <c r="K513" s="307"/>
      <c r="L513" s="307"/>
      <c r="M513" s="307"/>
      <c r="N513" s="307"/>
      <c r="O513" s="307"/>
      <c r="P513" s="307"/>
      <c r="Q513" s="307"/>
      <c r="R513" s="307"/>
      <c r="S513" s="307"/>
      <c r="T513" s="307"/>
      <c r="U513" s="307"/>
      <c r="V513" s="307"/>
      <c r="W513" s="307"/>
      <c r="X513" s="307"/>
      <c r="Y513" s="307"/>
    </row>
    <row r="514">
      <c r="A514" s="307"/>
      <c r="B514" s="307"/>
      <c r="C514" s="307"/>
      <c r="D514" s="310"/>
      <c r="E514" s="307"/>
      <c r="F514" s="307"/>
      <c r="G514" s="307"/>
      <c r="H514" s="307"/>
      <c r="I514" s="307"/>
      <c r="J514" s="307"/>
      <c r="K514" s="307"/>
      <c r="L514" s="307"/>
      <c r="M514" s="307"/>
      <c r="N514" s="307"/>
      <c r="O514" s="307"/>
      <c r="P514" s="307"/>
      <c r="Q514" s="307"/>
      <c r="R514" s="307"/>
      <c r="S514" s="307"/>
      <c r="T514" s="307"/>
      <c r="U514" s="307"/>
      <c r="V514" s="307"/>
      <c r="W514" s="307"/>
      <c r="X514" s="307"/>
      <c r="Y514" s="307"/>
    </row>
    <row r="515">
      <c r="A515" s="307"/>
      <c r="B515" s="307"/>
      <c r="C515" s="307"/>
      <c r="D515" s="310"/>
      <c r="E515" s="307"/>
      <c r="F515" s="307"/>
      <c r="G515" s="307"/>
      <c r="H515" s="307"/>
      <c r="I515" s="307"/>
      <c r="J515" s="307"/>
      <c r="K515" s="307"/>
      <c r="L515" s="307"/>
      <c r="M515" s="307"/>
      <c r="N515" s="307"/>
      <c r="O515" s="307"/>
      <c r="P515" s="307"/>
      <c r="Q515" s="307"/>
      <c r="R515" s="307"/>
      <c r="S515" s="307"/>
      <c r="T515" s="307"/>
      <c r="U515" s="307"/>
      <c r="V515" s="307"/>
      <c r="W515" s="307"/>
      <c r="X515" s="307"/>
      <c r="Y515" s="307"/>
    </row>
    <row r="516">
      <c r="A516" s="307"/>
      <c r="B516" s="307"/>
      <c r="C516" s="307"/>
      <c r="D516" s="310"/>
      <c r="E516" s="307"/>
      <c r="F516" s="307"/>
      <c r="G516" s="307"/>
      <c r="H516" s="307"/>
      <c r="I516" s="307"/>
      <c r="J516" s="307"/>
      <c r="K516" s="307"/>
      <c r="L516" s="307"/>
      <c r="M516" s="307"/>
      <c r="N516" s="307"/>
      <c r="O516" s="307"/>
      <c r="P516" s="307"/>
      <c r="Q516" s="307"/>
      <c r="R516" s="307"/>
      <c r="S516" s="307"/>
      <c r="T516" s="307"/>
      <c r="U516" s="307"/>
      <c r="V516" s="307"/>
      <c r="W516" s="307"/>
      <c r="X516" s="307"/>
      <c r="Y516" s="307"/>
    </row>
    <row r="517">
      <c r="A517" s="307"/>
      <c r="B517" s="307"/>
      <c r="C517" s="307"/>
      <c r="D517" s="310"/>
      <c r="E517" s="307"/>
      <c r="F517" s="307"/>
      <c r="G517" s="307"/>
      <c r="H517" s="307"/>
      <c r="I517" s="307"/>
      <c r="J517" s="307"/>
      <c r="K517" s="307"/>
      <c r="L517" s="307"/>
      <c r="M517" s="307"/>
      <c r="N517" s="307"/>
      <c r="O517" s="307"/>
      <c r="P517" s="307"/>
      <c r="Q517" s="307"/>
      <c r="R517" s="307"/>
      <c r="S517" s="307"/>
      <c r="T517" s="307"/>
      <c r="U517" s="307"/>
      <c r="V517" s="307"/>
      <c r="W517" s="307"/>
      <c r="X517" s="307"/>
      <c r="Y517" s="307"/>
    </row>
    <row r="518">
      <c r="A518" s="307"/>
      <c r="B518" s="307"/>
      <c r="C518" s="307"/>
      <c r="D518" s="310"/>
      <c r="E518" s="307"/>
      <c r="F518" s="307"/>
      <c r="G518" s="307"/>
      <c r="H518" s="307"/>
      <c r="I518" s="307"/>
      <c r="J518" s="307"/>
      <c r="K518" s="307"/>
      <c r="L518" s="307"/>
      <c r="M518" s="307"/>
      <c r="N518" s="307"/>
      <c r="O518" s="307"/>
      <c r="P518" s="307"/>
      <c r="Q518" s="307"/>
      <c r="R518" s="307"/>
      <c r="S518" s="307"/>
      <c r="T518" s="307"/>
      <c r="U518" s="307"/>
      <c r="V518" s="307"/>
      <c r="W518" s="307"/>
      <c r="X518" s="307"/>
      <c r="Y518" s="307"/>
    </row>
    <row r="519">
      <c r="A519" s="307"/>
      <c r="B519" s="307"/>
      <c r="C519" s="307"/>
      <c r="D519" s="310"/>
      <c r="E519" s="307"/>
      <c r="F519" s="307"/>
      <c r="G519" s="307"/>
      <c r="H519" s="307"/>
      <c r="I519" s="307"/>
      <c r="J519" s="307"/>
      <c r="K519" s="307"/>
      <c r="L519" s="307"/>
      <c r="M519" s="307"/>
      <c r="N519" s="307"/>
      <c r="O519" s="307"/>
      <c r="P519" s="307"/>
      <c r="Q519" s="307"/>
      <c r="R519" s="307"/>
      <c r="S519" s="307"/>
      <c r="T519" s="307"/>
      <c r="U519" s="307"/>
      <c r="V519" s="307"/>
      <c r="W519" s="307"/>
      <c r="X519" s="307"/>
      <c r="Y519" s="307"/>
    </row>
    <row r="520">
      <c r="A520" s="307"/>
      <c r="B520" s="307"/>
      <c r="C520" s="307"/>
      <c r="D520" s="310"/>
      <c r="E520" s="307"/>
      <c r="F520" s="307"/>
      <c r="G520" s="307"/>
      <c r="H520" s="307"/>
      <c r="I520" s="307"/>
      <c r="J520" s="307"/>
      <c r="K520" s="307"/>
      <c r="L520" s="307"/>
      <c r="M520" s="307"/>
      <c r="N520" s="307"/>
      <c r="O520" s="307"/>
      <c r="P520" s="307"/>
      <c r="Q520" s="307"/>
      <c r="R520" s="307"/>
      <c r="S520" s="307"/>
      <c r="T520" s="307"/>
      <c r="U520" s="307"/>
      <c r="V520" s="307"/>
      <c r="W520" s="307"/>
      <c r="X520" s="307"/>
      <c r="Y520" s="307"/>
    </row>
    <row r="521">
      <c r="A521" s="307"/>
      <c r="B521" s="307"/>
      <c r="C521" s="307"/>
      <c r="D521" s="310"/>
      <c r="E521" s="307"/>
      <c r="F521" s="307"/>
      <c r="G521" s="307"/>
      <c r="H521" s="307"/>
      <c r="I521" s="307"/>
      <c r="J521" s="307"/>
      <c r="K521" s="307"/>
      <c r="L521" s="307"/>
      <c r="M521" s="307"/>
      <c r="N521" s="307"/>
      <c r="O521" s="307"/>
      <c r="P521" s="307"/>
      <c r="Q521" s="307"/>
      <c r="R521" s="307"/>
      <c r="S521" s="307"/>
      <c r="T521" s="307"/>
      <c r="U521" s="307"/>
      <c r="V521" s="307"/>
      <c r="W521" s="307"/>
      <c r="X521" s="307"/>
      <c r="Y521" s="307"/>
    </row>
    <row r="522">
      <c r="A522" s="307"/>
      <c r="B522" s="307"/>
      <c r="C522" s="307"/>
      <c r="D522" s="310"/>
      <c r="E522" s="307"/>
      <c r="F522" s="307"/>
      <c r="G522" s="307"/>
      <c r="H522" s="307"/>
      <c r="I522" s="307"/>
      <c r="J522" s="307"/>
      <c r="K522" s="307"/>
      <c r="L522" s="307"/>
      <c r="M522" s="307"/>
      <c r="N522" s="307"/>
      <c r="O522" s="307"/>
      <c r="P522" s="307"/>
      <c r="Q522" s="307"/>
      <c r="R522" s="307"/>
      <c r="S522" s="307"/>
      <c r="T522" s="307"/>
      <c r="U522" s="307"/>
      <c r="V522" s="307"/>
      <c r="W522" s="307"/>
      <c r="X522" s="307"/>
      <c r="Y522" s="307"/>
    </row>
    <row r="523">
      <c r="A523" s="307"/>
      <c r="B523" s="307"/>
      <c r="C523" s="307"/>
      <c r="D523" s="310"/>
      <c r="E523" s="307"/>
      <c r="F523" s="307"/>
      <c r="G523" s="307"/>
      <c r="H523" s="307"/>
      <c r="I523" s="307"/>
      <c r="J523" s="307"/>
      <c r="K523" s="307"/>
      <c r="L523" s="307"/>
      <c r="M523" s="307"/>
      <c r="N523" s="307"/>
      <c r="O523" s="307"/>
      <c r="P523" s="307"/>
      <c r="Q523" s="307"/>
      <c r="R523" s="307"/>
      <c r="S523" s="307"/>
      <c r="T523" s="307"/>
      <c r="U523" s="307"/>
      <c r="V523" s="307"/>
      <c r="W523" s="307"/>
      <c r="X523" s="307"/>
      <c r="Y523" s="307"/>
    </row>
    <row r="524">
      <c r="A524" s="307"/>
      <c r="B524" s="307"/>
      <c r="C524" s="307"/>
      <c r="D524" s="310"/>
      <c r="E524" s="307"/>
      <c r="F524" s="307"/>
      <c r="G524" s="307"/>
      <c r="H524" s="307"/>
      <c r="I524" s="307"/>
      <c r="J524" s="307"/>
      <c r="K524" s="307"/>
      <c r="L524" s="307"/>
      <c r="M524" s="307"/>
      <c r="N524" s="307"/>
      <c r="O524" s="307"/>
      <c r="P524" s="307"/>
      <c r="Q524" s="307"/>
      <c r="R524" s="307"/>
      <c r="S524" s="307"/>
      <c r="T524" s="307"/>
      <c r="U524" s="307"/>
      <c r="V524" s="307"/>
      <c r="W524" s="307"/>
      <c r="X524" s="307"/>
      <c r="Y524" s="307"/>
    </row>
    <row r="525">
      <c r="A525" s="307"/>
      <c r="B525" s="307"/>
      <c r="C525" s="307"/>
      <c r="D525" s="310"/>
      <c r="E525" s="307"/>
      <c r="F525" s="307"/>
      <c r="G525" s="307"/>
      <c r="H525" s="307"/>
      <c r="I525" s="307"/>
      <c r="J525" s="307"/>
      <c r="K525" s="307"/>
      <c r="L525" s="307"/>
      <c r="M525" s="307"/>
      <c r="N525" s="307"/>
      <c r="O525" s="307"/>
      <c r="P525" s="307"/>
      <c r="Q525" s="307"/>
      <c r="R525" s="307"/>
      <c r="S525" s="307"/>
      <c r="T525" s="307"/>
      <c r="U525" s="307"/>
      <c r="V525" s="307"/>
      <c r="W525" s="307"/>
      <c r="X525" s="307"/>
      <c r="Y525" s="307"/>
    </row>
    <row r="526">
      <c r="A526" s="307"/>
      <c r="B526" s="307"/>
      <c r="C526" s="307"/>
      <c r="D526" s="310"/>
      <c r="E526" s="307"/>
      <c r="F526" s="307"/>
      <c r="G526" s="307"/>
      <c r="H526" s="307"/>
      <c r="I526" s="307"/>
      <c r="J526" s="307"/>
      <c r="K526" s="307"/>
      <c r="L526" s="307"/>
      <c r="M526" s="307"/>
      <c r="N526" s="307"/>
      <c r="O526" s="307"/>
      <c r="P526" s="307"/>
      <c r="Q526" s="307"/>
      <c r="R526" s="307"/>
      <c r="S526" s="307"/>
      <c r="T526" s="307"/>
      <c r="U526" s="307"/>
      <c r="V526" s="307"/>
      <c r="W526" s="307"/>
      <c r="X526" s="307"/>
      <c r="Y526" s="307"/>
    </row>
    <row r="527">
      <c r="A527" s="307"/>
      <c r="B527" s="307"/>
      <c r="C527" s="307"/>
      <c r="D527" s="310"/>
      <c r="E527" s="307"/>
      <c r="F527" s="307"/>
      <c r="G527" s="307"/>
      <c r="H527" s="307"/>
      <c r="I527" s="307"/>
      <c r="J527" s="307"/>
      <c r="K527" s="307"/>
      <c r="L527" s="307"/>
      <c r="M527" s="307"/>
      <c r="N527" s="307"/>
      <c r="O527" s="307"/>
      <c r="P527" s="307"/>
      <c r="Q527" s="307"/>
      <c r="R527" s="307"/>
      <c r="S527" s="307"/>
      <c r="T527" s="307"/>
      <c r="U527" s="307"/>
      <c r="V527" s="307"/>
      <c r="W527" s="307"/>
      <c r="X527" s="307"/>
      <c r="Y527" s="307"/>
    </row>
    <row r="528">
      <c r="A528" s="307"/>
      <c r="B528" s="307"/>
      <c r="C528" s="307"/>
      <c r="D528" s="310"/>
      <c r="E528" s="307"/>
      <c r="F528" s="307"/>
      <c r="G528" s="307"/>
      <c r="H528" s="307"/>
      <c r="I528" s="307"/>
      <c r="J528" s="307"/>
      <c r="K528" s="307"/>
      <c r="L528" s="307"/>
      <c r="M528" s="307"/>
      <c r="N528" s="307"/>
      <c r="O528" s="307"/>
      <c r="P528" s="307"/>
      <c r="Q528" s="307"/>
      <c r="R528" s="307"/>
      <c r="S528" s="307"/>
      <c r="T528" s="307"/>
      <c r="U528" s="307"/>
      <c r="V528" s="307"/>
      <c r="W528" s="307"/>
      <c r="X528" s="307"/>
      <c r="Y528" s="307"/>
    </row>
    <row r="529">
      <c r="A529" s="307"/>
      <c r="B529" s="307"/>
      <c r="C529" s="307"/>
      <c r="D529" s="310"/>
      <c r="E529" s="307"/>
      <c r="F529" s="307"/>
      <c r="G529" s="307"/>
      <c r="H529" s="307"/>
      <c r="I529" s="307"/>
      <c r="J529" s="307"/>
      <c r="K529" s="307"/>
      <c r="L529" s="307"/>
      <c r="M529" s="307"/>
      <c r="N529" s="307"/>
      <c r="O529" s="307"/>
      <c r="P529" s="307"/>
      <c r="Q529" s="307"/>
      <c r="R529" s="307"/>
      <c r="S529" s="307"/>
      <c r="T529" s="307"/>
      <c r="U529" s="307"/>
      <c r="V529" s="307"/>
      <c r="W529" s="307"/>
      <c r="X529" s="307"/>
      <c r="Y529" s="307"/>
    </row>
    <row r="530">
      <c r="A530" s="307"/>
      <c r="B530" s="307"/>
      <c r="C530" s="307"/>
      <c r="D530" s="310"/>
      <c r="E530" s="307"/>
      <c r="F530" s="307"/>
      <c r="G530" s="307"/>
      <c r="H530" s="307"/>
      <c r="I530" s="307"/>
      <c r="J530" s="307"/>
      <c r="K530" s="307"/>
      <c r="L530" s="307"/>
      <c r="M530" s="307"/>
      <c r="N530" s="307"/>
      <c r="O530" s="307"/>
      <c r="P530" s="307"/>
      <c r="Q530" s="307"/>
      <c r="R530" s="307"/>
      <c r="S530" s="307"/>
      <c r="T530" s="307"/>
      <c r="U530" s="307"/>
      <c r="V530" s="307"/>
      <c r="W530" s="307"/>
      <c r="X530" s="307"/>
      <c r="Y530" s="307"/>
    </row>
    <row r="531">
      <c r="A531" s="307"/>
      <c r="B531" s="307"/>
      <c r="C531" s="307"/>
      <c r="D531" s="310"/>
      <c r="E531" s="307"/>
      <c r="F531" s="307"/>
      <c r="G531" s="307"/>
      <c r="H531" s="307"/>
      <c r="I531" s="307"/>
      <c r="J531" s="307"/>
      <c r="K531" s="307"/>
      <c r="L531" s="307"/>
      <c r="M531" s="307"/>
      <c r="N531" s="307"/>
      <c r="O531" s="307"/>
      <c r="P531" s="307"/>
      <c r="Q531" s="307"/>
      <c r="R531" s="307"/>
      <c r="S531" s="307"/>
      <c r="T531" s="307"/>
      <c r="U531" s="307"/>
      <c r="V531" s="307"/>
      <c r="W531" s="307"/>
      <c r="X531" s="307"/>
      <c r="Y531" s="307"/>
    </row>
    <row r="532">
      <c r="A532" s="307"/>
      <c r="B532" s="307"/>
      <c r="C532" s="307"/>
      <c r="D532" s="310"/>
      <c r="E532" s="307"/>
      <c r="F532" s="307"/>
      <c r="G532" s="307"/>
      <c r="H532" s="307"/>
      <c r="I532" s="307"/>
      <c r="J532" s="307"/>
      <c r="K532" s="307"/>
      <c r="L532" s="307"/>
      <c r="M532" s="307"/>
      <c r="N532" s="307"/>
      <c r="O532" s="307"/>
      <c r="P532" s="307"/>
      <c r="Q532" s="307"/>
      <c r="R532" s="307"/>
      <c r="S532" s="307"/>
      <c r="T532" s="307"/>
      <c r="U532" s="307"/>
      <c r="V532" s="307"/>
      <c r="W532" s="307"/>
      <c r="X532" s="307"/>
      <c r="Y532" s="307"/>
    </row>
    <row r="533">
      <c r="A533" s="307"/>
      <c r="B533" s="307"/>
      <c r="C533" s="307"/>
      <c r="D533" s="310"/>
      <c r="E533" s="307"/>
      <c r="F533" s="307"/>
      <c r="G533" s="307"/>
      <c r="H533" s="307"/>
      <c r="I533" s="307"/>
      <c r="J533" s="307"/>
      <c r="K533" s="307"/>
      <c r="L533" s="307"/>
      <c r="M533" s="307"/>
      <c r="N533" s="307"/>
      <c r="O533" s="307"/>
      <c r="P533" s="307"/>
      <c r="Q533" s="307"/>
      <c r="R533" s="307"/>
      <c r="S533" s="307"/>
      <c r="T533" s="307"/>
      <c r="U533" s="307"/>
      <c r="V533" s="307"/>
      <c r="W533" s="307"/>
      <c r="X533" s="307"/>
      <c r="Y533" s="307"/>
    </row>
    <row r="534">
      <c r="A534" s="307"/>
      <c r="B534" s="307"/>
      <c r="C534" s="307"/>
      <c r="D534" s="310"/>
      <c r="E534" s="307"/>
      <c r="F534" s="307"/>
      <c r="G534" s="307"/>
      <c r="H534" s="307"/>
      <c r="I534" s="307"/>
      <c r="J534" s="307"/>
      <c r="K534" s="307"/>
      <c r="L534" s="307"/>
      <c r="M534" s="307"/>
      <c r="N534" s="307"/>
      <c r="O534" s="307"/>
      <c r="P534" s="307"/>
      <c r="Q534" s="307"/>
      <c r="R534" s="307"/>
      <c r="S534" s="307"/>
      <c r="T534" s="307"/>
      <c r="U534" s="307"/>
      <c r="V534" s="307"/>
      <c r="W534" s="307"/>
      <c r="X534" s="307"/>
      <c r="Y534" s="307"/>
    </row>
    <row r="535">
      <c r="A535" s="307"/>
      <c r="B535" s="307"/>
      <c r="C535" s="307"/>
      <c r="D535" s="310"/>
      <c r="E535" s="307"/>
      <c r="F535" s="307"/>
      <c r="G535" s="307"/>
      <c r="H535" s="307"/>
      <c r="I535" s="307"/>
      <c r="J535" s="307"/>
      <c r="K535" s="307"/>
      <c r="L535" s="307"/>
      <c r="M535" s="307"/>
      <c r="N535" s="307"/>
      <c r="O535" s="307"/>
      <c r="P535" s="307"/>
      <c r="Q535" s="307"/>
      <c r="R535" s="307"/>
      <c r="S535" s="307"/>
      <c r="T535" s="307"/>
      <c r="U535" s="307"/>
      <c r="V535" s="307"/>
      <c r="W535" s="307"/>
      <c r="X535" s="307"/>
      <c r="Y535" s="307"/>
    </row>
    <row r="536">
      <c r="A536" s="307"/>
      <c r="B536" s="307"/>
      <c r="C536" s="307"/>
      <c r="D536" s="310"/>
      <c r="E536" s="307"/>
      <c r="F536" s="307"/>
      <c r="G536" s="307"/>
      <c r="H536" s="307"/>
      <c r="I536" s="307"/>
      <c r="J536" s="307"/>
      <c r="K536" s="307"/>
      <c r="L536" s="307"/>
      <c r="M536" s="307"/>
      <c r="N536" s="307"/>
      <c r="O536" s="307"/>
      <c r="P536" s="307"/>
      <c r="Q536" s="307"/>
      <c r="R536" s="307"/>
      <c r="S536" s="307"/>
      <c r="T536" s="307"/>
      <c r="U536" s="307"/>
      <c r="V536" s="307"/>
      <c r="W536" s="307"/>
      <c r="X536" s="307"/>
      <c r="Y536" s="307"/>
    </row>
    <row r="537">
      <c r="A537" s="307"/>
      <c r="B537" s="307"/>
      <c r="C537" s="307"/>
      <c r="D537" s="310"/>
      <c r="E537" s="307"/>
      <c r="F537" s="307"/>
      <c r="G537" s="307"/>
      <c r="H537" s="307"/>
      <c r="I537" s="307"/>
      <c r="J537" s="307"/>
      <c r="K537" s="307"/>
      <c r="L537" s="307"/>
      <c r="M537" s="307"/>
      <c r="N537" s="307"/>
      <c r="O537" s="307"/>
      <c r="P537" s="307"/>
      <c r="Q537" s="307"/>
      <c r="R537" s="307"/>
      <c r="S537" s="307"/>
      <c r="T537" s="307"/>
      <c r="U537" s="307"/>
      <c r="V537" s="307"/>
      <c r="W537" s="307"/>
      <c r="X537" s="307"/>
      <c r="Y537" s="307"/>
    </row>
    <row r="538">
      <c r="A538" s="307"/>
      <c r="B538" s="307"/>
      <c r="C538" s="307"/>
      <c r="D538" s="310"/>
      <c r="E538" s="307"/>
      <c r="F538" s="307"/>
      <c r="G538" s="307"/>
      <c r="H538" s="307"/>
      <c r="I538" s="307"/>
      <c r="J538" s="307"/>
      <c r="K538" s="307"/>
      <c r="L538" s="307"/>
      <c r="M538" s="307"/>
      <c r="N538" s="307"/>
      <c r="O538" s="307"/>
      <c r="P538" s="307"/>
      <c r="Q538" s="307"/>
      <c r="R538" s="307"/>
      <c r="S538" s="307"/>
      <c r="T538" s="307"/>
      <c r="U538" s="307"/>
      <c r="V538" s="307"/>
      <c r="W538" s="307"/>
      <c r="X538" s="307"/>
      <c r="Y538" s="307"/>
    </row>
    <row r="539">
      <c r="A539" s="307"/>
      <c r="B539" s="307"/>
      <c r="C539" s="307"/>
      <c r="D539" s="310"/>
      <c r="E539" s="307"/>
      <c r="F539" s="307"/>
      <c r="G539" s="307"/>
      <c r="H539" s="307"/>
      <c r="I539" s="307"/>
      <c r="J539" s="307"/>
      <c r="K539" s="307"/>
      <c r="L539" s="307"/>
      <c r="M539" s="307"/>
      <c r="N539" s="307"/>
      <c r="O539" s="307"/>
      <c r="P539" s="307"/>
      <c r="Q539" s="307"/>
      <c r="R539" s="307"/>
      <c r="S539" s="307"/>
      <c r="T539" s="307"/>
      <c r="U539" s="307"/>
      <c r="V539" s="307"/>
      <c r="W539" s="307"/>
      <c r="X539" s="307"/>
      <c r="Y539" s="307"/>
    </row>
    <row r="540">
      <c r="A540" s="307"/>
      <c r="B540" s="307"/>
      <c r="C540" s="307"/>
      <c r="D540" s="310"/>
      <c r="E540" s="307"/>
      <c r="F540" s="307"/>
      <c r="G540" s="307"/>
      <c r="H540" s="307"/>
      <c r="I540" s="307"/>
      <c r="J540" s="307"/>
      <c r="K540" s="307"/>
      <c r="L540" s="307"/>
      <c r="M540" s="307"/>
      <c r="N540" s="307"/>
      <c r="O540" s="307"/>
      <c r="P540" s="307"/>
      <c r="Q540" s="307"/>
      <c r="R540" s="307"/>
      <c r="S540" s="307"/>
      <c r="T540" s="307"/>
      <c r="U540" s="307"/>
      <c r="V540" s="307"/>
      <c r="W540" s="307"/>
      <c r="X540" s="307"/>
      <c r="Y540" s="307"/>
    </row>
    <row r="541">
      <c r="A541" s="307"/>
      <c r="B541" s="307"/>
      <c r="C541" s="307"/>
      <c r="D541" s="310"/>
      <c r="E541" s="307"/>
      <c r="F541" s="307"/>
      <c r="G541" s="307"/>
      <c r="H541" s="307"/>
      <c r="I541" s="307"/>
      <c r="J541" s="307"/>
      <c r="K541" s="307"/>
      <c r="L541" s="307"/>
      <c r="M541" s="307"/>
      <c r="N541" s="307"/>
      <c r="O541" s="307"/>
      <c r="P541" s="307"/>
      <c r="Q541" s="307"/>
      <c r="R541" s="307"/>
      <c r="S541" s="307"/>
      <c r="T541" s="307"/>
      <c r="U541" s="307"/>
      <c r="V541" s="307"/>
      <c r="W541" s="307"/>
      <c r="X541" s="307"/>
      <c r="Y541" s="307"/>
    </row>
    <row r="542">
      <c r="A542" s="307"/>
      <c r="B542" s="307"/>
      <c r="C542" s="307"/>
      <c r="D542" s="310"/>
      <c r="E542" s="307"/>
      <c r="F542" s="307"/>
      <c r="G542" s="307"/>
      <c r="H542" s="307"/>
      <c r="I542" s="307"/>
      <c r="J542" s="307"/>
      <c r="K542" s="307"/>
      <c r="L542" s="307"/>
      <c r="M542" s="307"/>
      <c r="N542" s="307"/>
      <c r="O542" s="307"/>
      <c r="P542" s="307"/>
      <c r="Q542" s="307"/>
      <c r="R542" s="307"/>
      <c r="S542" s="307"/>
      <c r="T542" s="307"/>
      <c r="U542" s="307"/>
      <c r="V542" s="307"/>
      <c r="W542" s="307"/>
      <c r="X542" s="307"/>
      <c r="Y542" s="307"/>
    </row>
    <row r="543">
      <c r="A543" s="307"/>
      <c r="B543" s="307"/>
      <c r="C543" s="307"/>
      <c r="D543" s="310"/>
      <c r="E543" s="307"/>
      <c r="F543" s="307"/>
      <c r="G543" s="307"/>
      <c r="H543" s="307"/>
      <c r="I543" s="307"/>
      <c r="J543" s="307"/>
      <c r="K543" s="307"/>
      <c r="L543" s="307"/>
      <c r="M543" s="307"/>
      <c r="N543" s="307"/>
      <c r="O543" s="307"/>
      <c r="P543" s="307"/>
      <c r="Q543" s="307"/>
      <c r="R543" s="307"/>
      <c r="S543" s="307"/>
      <c r="T543" s="307"/>
      <c r="U543" s="307"/>
      <c r="V543" s="307"/>
      <c r="W543" s="307"/>
      <c r="X543" s="307"/>
      <c r="Y543" s="307"/>
    </row>
    <row r="544">
      <c r="A544" s="307"/>
      <c r="B544" s="307"/>
      <c r="C544" s="307"/>
      <c r="D544" s="310"/>
      <c r="E544" s="307"/>
      <c r="F544" s="307"/>
      <c r="G544" s="307"/>
      <c r="H544" s="307"/>
      <c r="I544" s="307"/>
      <c r="J544" s="307"/>
      <c r="K544" s="307"/>
      <c r="L544" s="307"/>
      <c r="M544" s="307"/>
      <c r="N544" s="307"/>
      <c r="O544" s="307"/>
      <c r="P544" s="307"/>
      <c r="Q544" s="307"/>
      <c r="R544" s="307"/>
      <c r="S544" s="307"/>
      <c r="T544" s="307"/>
      <c r="U544" s="307"/>
      <c r="V544" s="307"/>
      <c r="W544" s="307"/>
      <c r="X544" s="307"/>
      <c r="Y544" s="307"/>
    </row>
    <row r="545">
      <c r="A545" s="307"/>
      <c r="B545" s="307"/>
      <c r="C545" s="307"/>
      <c r="D545" s="310"/>
      <c r="E545" s="307"/>
      <c r="F545" s="307"/>
      <c r="G545" s="307"/>
      <c r="H545" s="307"/>
      <c r="I545" s="307"/>
      <c r="J545" s="307"/>
      <c r="K545" s="307"/>
      <c r="L545" s="307"/>
      <c r="M545" s="307"/>
      <c r="N545" s="307"/>
      <c r="O545" s="307"/>
      <c r="P545" s="307"/>
      <c r="Q545" s="307"/>
      <c r="R545" s="307"/>
      <c r="S545" s="307"/>
      <c r="T545" s="307"/>
      <c r="U545" s="307"/>
      <c r="V545" s="307"/>
      <c r="W545" s="307"/>
      <c r="X545" s="307"/>
      <c r="Y545" s="307"/>
    </row>
    <row r="546">
      <c r="A546" s="307"/>
      <c r="B546" s="307"/>
      <c r="C546" s="307"/>
      <c r="D546" s="310"/>
      <c r="E546" s="307"/>
      <c r="F546" s="307"/>
      <c r="G546" s="307"/>
      <c r="H546" s="307"/>
      <c r="I546" s="307"/>
      <c r="J546" s="307"/>
      <c r="K546" s="307"/>
      <c r="L546" s="307"/>
      <c r="M546" s="307"/>
      <c r="N546" s="307"/>
      <c r="O546" s="307"/>
      <c r="P546" s="307"/>
      <c r="Q546" s="307"/>
      <c r="R546" s="307"/>
      <c r="S546" s="307"/>
      <c r="T546" s="307"/>
      <c r="U546" s="307"/>
      <c r="V546" s="307"/>
      <c r="W546" s="307"/>
      <c r="X546" s="307"/>
      <c r="Y546" s="307"/>
    </row>
    <row r="547">
      <c r="A547" s="307"/>
      <c r="B547" s="307"/>
      <c r="C547" s="307"/>
      <c r="D547" s="310"/>
      <c r="E547" s="307"/>
      <c r="F547" s="307"/>
      <c r="G547" s="307"/>
      <c r="H547" s="307"/>
      <c r="I547" s="307"/>
      <c r="J547" s="307"/>
      <c r="K547" s="307"/>
      <c r="L547" s="307"/>
      <c r="M547" s="307"/>
      <c r="N547" s="307"/>
      <c r="O547" s="307"/>
      <c r="P547" s="307"/>
      <c r="Q547" s="307"/>
      <c r="R547" s="307"/>
      <c r="S547" s="307"/>
      <c r="T547" s="307"/>
      <c r="U547" s="307"/>
      <c r="V547" s="307"/>
      <c r="W547" s="307"/>
      <c r="X547" s="307"/>
      <c r="Y547" s="307"/>
    </row>
    <row r="548">
      <c r="A548" s="307"/>
      <c r="B548" s="307"/>
      <c r="C548" s="307"/>
      <c r="D548" s="310"/>
      <c r="E548" s="307"/>
      <c r="F548" s="307"/>
      <c r="G548" s="307"/>
      <c r="H548" s="307"/>
      <c r="I548" s="307"/>
      <c r="J548" s="307"/>
      <c r="K548" s="307"/>
      <c r="L548" s="307"/>
      <c r="M548" s="307"/>
      <c r="N548" s="307"/>
      <c r="O548" s="307"/>
      <c r="P548" s="307"/>
      <c r="Q548" s="307"/>
      <c r="R548" s="307"/>
      <c r="S548" s="307"/>
      <c r="T548" s="307"/>
      <c r="U548" s="307"/>
      <c r="V548" s="307"/>
      <c r="W548" s="307"/>
      <c r="X548" s="307"/>
      <c r="Y548" s="307"/>
    </row>
    <row r="549">
      <c r="A549" s="307"/>
      <c r="B549" s="307"/>
      <c r="C549" s="307"/>
      <c r="D549" s="310"/>
      <c r="E549" s="307"/>
      <c r="F549" s="307"/>
      <c r="G549" s="307"/>
      <c r="H549" s="307"/>
      <c r="I549" s="307"/>
      <c r="J549" s="307"/>
      <c r="K549" s="307"/>
      <c r="L549" s="307"/>
      <c r="M549" s="307"/>
      <c r="N549" s="307"/>
      <c r="O549" s="307"/>
      <c r="P549" s="307"/>
      <c r="Q549" s="307"/>
      <c r="R549" s="307"/>
      <c r="S549" s="307"/>
      <c r="T549" s="307"/>
      <c r="U549" s="307"/>
      <c r="V549" s="307"/>
      <c r="W549" s="307"/>
      <c r="X549" s="307"/>
      <c r="Y549" s="307"/>
    </row>
    <row r="550">
      <c r="A550" s="307"/>
      <c r="B550" s="307"/>
      <c r="C550" s="307"/>
      <c r="D550" s="310"/>
      <c r="E550" s="307"/>
      <c r="F550" s="307"/>
      <c r="G550" s="307"/>
      <c r="H550" s="307"/>
      <c r="I550" s="307"/>
      <c r="J550" s="307"/>
      <c r="K550" s="307"/>
      <c r="L550" s="307"/>
      <c r="M550" s="307"/>
      <c r="N550" s="307"/>
      <c r="O550" s="307"/>
      <c r="P550" s="307"/>
      <c r="Q550" s="307"/>
      <c r="R550" s="307"/>
      <c r="S550" s="307"/>
      <c r="T550" s="307"/>
      <c r="U550" s="307"/>
      <c r="V550" s="307"/>
      <c r="W550" s="307"/>
      <c r="X550" s="307"/>
      <c r="Y550" s="307"/>
    </row>
    <row r="551">
      <c r="A551" s="307"/>
      <c r="B551" s="307"/>
      <c r="C551" s="307"/>
      <c r="D551" s="310"/>
      <c r="E551" s="307"/>
      <c r="F551" s="307"/>
      <c r="G551" s="307"/>
      <c r="H551" s="307"/>
      <c r="I551" s="307"/>
      <c r="J551" s="307"/>
      <c r="K551" s="307"/>
      <c r="L551" s="307"/>
      <c r="M551" s="307"/>
      <c r="N551" s="307"/>
      <c r="O551" s="307"/>
      <c r="P551" s="307"/>
      <c r="Q551" s="307"/>
      <c r="R551" s="307"/>
      <c r="S551" s="307"/>
      <c r="T551" s="307"/>
      <c r="U551" s="307"/>
      <c r="V551" s="307"/>
      <c r="W551" s="307"/>
      <c r="X551" s="307"/>
      <c r="Y551" s="307"/>
    </row>
    <row r="552">
      <c r="A552" s="307"/>
      <c r="B552" s="307"/>
      <c r="C552" s="307"/>
      <c r="D552" s="310"/>
      <c r="E552" s="307"/>
      <c r="F552" s="307"/>
      <c r="G552" s="307"/>
      <c r="H552" s="307"/>
      <c r="I552" s="307"/>
      <c r="J552" s="307"/>
      <c r="K552" s="307"/>
      <c r="L552" s="307"/>
      <c r="M552" s="307"/>
      <c r="N552" s="307"/>
      <c r="O552" s="307"/>
      <c r="P552" s="307"/>
      <c r="Q552" s="307"/>
      <c r="R552" s="307"/>
      <c r="S552" s="307"/>
      <c r="T552" s="307"/>
      <c r="U552" s="307"/>
      <c r="V552" s="307"/>
      <c r="W552" s="307"/>
      <c r="X552" s="307"/>
      <c r="Y552" s="307"/>
    </row>
    <row r="553">
      <c r="A553" s="307"/>
      <c r="B553" s="307"/>
      <c r="C553" s="307"/>
      <c r="D553" s="310"/>
      <c r="E553" s="307"/>
      <c r="F553" s="307"/>
      <c r="G553" s="307"/>
      <c r="H553" s="307"/>
      <c r="I553" s="307"/>
      <c r="J553" s="307"/>
      <c r="K553" s="307"/>
      <c r="L553" s="307"/>
      <c r="M553" s="307"/>
      <c r="N553" s="307"/>
      <c r="O553" s="307"/>
      <c r="P553" s="307"/>
      <c r="Q553" s="307"/>
      <c r="R553" s="307"/>
      <c r="S553" s="307"/>
      <c r="T553" s="307"/>
      <c r="U553" s="307"/>
      <c r="V553" s="307"/>
      <c r="W553" s="307"/>
      <c r="X553" s="307"/>
      <c r="Y553" s="307"/>
    </row>
    <row r="554">
      <c r="A554" s="307"/>
      <c r="B554" s="307"/>
      <c r="C554" s="307"/>
      <c r="D554" s="310"/>
      <c r="E554" s="307"/>
      <c r="F554" s="307"/>
      <c r="G554" s="307"/>
      <c r="H554" s="307"/>
      <c r="I554" s="307"/>
      <c r="J554" s="307"/>
      <c r="K554" s="307"/>
      <c r="L554" s="307"/>
      <c r="M554" s="307"/>
      <c r="N554" s="307"/>
      <c r="O554" s="307"/>
      <c r="P554" s="307"/>
      <c r="Q554" s="307"/>
      <c r="R554" s="307"/>
      <c r="S554" s="307"/>
      <c r="T554" s="307"/>
      <c r="U554" s="307"/>
      <c r="V554" s="307"/>
      <c r="W554" s="307"/>
      <c r="X554" s="307"/>
      <c r="Y554" s="307"/>
    </row>
    <row r="555">
      <c r="A555" s="307"/>
      <c r="B555" s="307"/>
      <c r="C555" s="307"/>
      <c r="D555" s="310"/>
      <c r="E555" s="307"/>
      <c r="F555" s="307"/>
      <c r="G555" s="307"/>
      <c r="H555" s="307"/>
      <c r="I555" s="307"/>
      <c r="J555" s="307"/>
      <c r="K555" s="307"/>
      <c r="L555" s="307"/>
      <c r="M555" s="307"/>
      <c r="N555" s="307"/>
      <c r="O555" s="307"/>
      <c r="P555" s="307"/>
      <c r="Q555" s="307"/>
      <c r="R555" s="307"/>
      <c r="S555" s="307"/>
      <c r="T555" s="307"/>
      <c r="U555" s="307"/>
      <c r="V555" s="307"/>
      <c r="W555" s="307"/>
      <c r="X555" s="307"/>
      <c r="Y555" s="307"/>
    </row>
    <row r="556">
      <c r="A556" s="307"/>
      <c r="B556" s="307"/>
      <c r="C556" s="307"/>
      <c r="D556" s="310"/>
      <c r="E556" s="307"/>
      <c r="F556" s="307"/>
      <c r="G556" s="307"/>
      <c r="H556" s="307"/>
      <c r="I556" s="307"/>
      <c r="J556" s="307"/>
      <c r="K556" s="307"/>
      <c r="L556" s="307"/>
      <c r="M556" s="307"/>
      <c r="N556" s="307"/>
      <c r="O556" s="307"/>
      <c r="P556" s="307"/>
      <c r="Q556" s="307"/>
      <c r="R556" s="307"/>
      <c r="S556" s="307"/>
      <c r="T556" s="307"/>
      <c r="U556" s="307"/>
      <c r="V556" s="307"/>
      <c r="W556" s="307"/>
      <c r="X556" s="307"/>
      <c r="Y556" s="307"/>
    </row>
    <row r="557">
      <c r="A557" s="307"/>
      <c r="B557" s="307"/>
      <c r="C557" s="307"/>
      <c r="D557" s="310"/>
      <c r="E557" s="307"/>
      <c r="F557" s="307"/>
      <c r="G557" s="307"/>
      <c r="H557" s="307"/>
      <c r="I557" s="307"/>
      <c r="J557" s="307"/>
      <c r="K557" s="307"/>
      <c r="L557" s="307"/>
      <c r="M557" s="307"/>
      <c r="N557" s="307"/>
      <c r="O557" s="307"/>
      <c r="P557" s="307"/>
      <c r="Q557" s="307"/>
      <c r="R557" s="307"/>
      <c r="S557" s="307"/>
      <c r="T557" s="307"/>
      <c r="U557" s="307"/>
      <c r="V557" s="307"/>
      <c r="W557" s="307"/>
      <c r="X557" s="307"/>
      <c r="Y557" s="307"/>
    </row>
    <row r="558">
      <c r="A558" s="307"/>
      <c r="B558" s="307"/>
      <c r="C558" s="307"/>
      <c r="D558" s="310"/>
      <c r="E558" s="307"/>
      <c r="F558" s="307"/>
      <c r="G558" s="307"/>
      <c r="H558" s="307"/>
      <c r="I558" s="307"/>
      <c r="J558" s="307"/>
      <c r="K558" s="307"/>
      <c r="L558" s="307"/>
      <c r="M558" s="307"/>
      <c r="N558" s="307"/>
      <c r="O558" s="307"/>
      <c r="P558" s="307"/>
      <c r="Q558" s="307"/>
      <c r="R558" s="307"/>
      <c r="S558" s="307"/>
      <c r="T558" s="307"/>
      <c r="U558" s="307"/>
      <c r="V558" s="307"/>
      <c r="W558" s="307"/>
      <c r="X558" s="307"/>
      <c r="Y558" s="307"/>
    </row>
    <row r="559">
      <c r="A559" s="307"/>
      <c r="B559" s="307"/>
      <c r="C559" s="307"/>
      <c r="D559" s="310"/>
      <c r="E559" s="307"/>
      <c r="F559" s="307"/>
      <c r="G559" s="307"/>
      <c r="H559" s="307"/>
      <c r="I559" s="307"/>
      <c r="J559" s="307"/>
      <c r="K559" s="307"/>
      <c r="L559" s="307"/>
      <c r="M559" s="307"/>
      <c r="N559" s="307"/>
      <c r="O559" s="307"/>
      <c r="P559" s="307"/>
      <c r="Q559" s="307"/>
      <c r="R559" s="307"/>
      <c r="S559" s="307"/>
      <c r="T559" s="307"/>
      <c r="U559" s="307"/>
      <c r="V559" s="307"/>
      <c r="W559" s="307"/>
      <c r="X559" s="307"/>
      <c r="Y559" s="307"/>
    </row>
    <row r="560">
      <c r="A560" s="307"/>
      <c r="B560" s="307"/>
      <c r="C560" s="307"/>
      <c r="D560" s="310"/>
      <c r="E560" s="307"/>
      <c r="F560" s="307"/>
      <c r="G560" s="307"/>
      <c r="H560" s="307"/>
      <c r="I560" s="307"/>
      <c r="J560" s="307"/>
      <c r="K560" s="307"/>
      <c r="L560" s="307"/>
      <c r="M560" s="307"/>
      <c r="N560" s="307"/>
      <c r="O560" s="307"/>
      <c r="P560" s="307"/>
      <c r="Q560" s="307"/>
      <c r="R560" s="307"/>
      <c r="S560" s="307"/>
      <c r="T560" s="307"/>
      <c r="U560" s="307"/>
      <c r="V560" s="307"/>
      <c r="W560" s="307"/>
      <c r="X560" s="307"/>
      <c r="Y560" s="307"/>
    </row>
    <row r="561">
      <c r="A561" s="307"/>
      <c r="B561" s="307"/>
      <c r="C561" s="307"/>
      <c r="D561" s="310"/>
      <c r="E561" s="307"/>
      <c r="F561" s="307"/>
      <c r="G561" s="307"/>
      <c r="H561" s="307"/>
      <c r="I561" s="307"/>
      <c r="J561" s="307"/>
      <c r="K561" s="307"/>
      <c r="L561" s="307"/>
      <c r="M561" s="307"/>
      <c r="N561" s="307"/>
      <c r="O561" s="307"/>
      <c r="P561" s="307"/>
      <c r="Q561" s="307"/>
      <c r="R561" s="307"/>
      <c r="S561" s="307"/>
      <c r="T561" s="307"/>
      <c r="U561" s="307"/>
      <c r="V561" s="307"/>
      <c r="W561" s="307"/>
      <c r="X561" s="307"/>
      <c r="Y561" s="307"/>
    </row>
    <row r="562">
      <c r="A562" s="307"/>
      <c r="B562" s="307"/>
      <c r="C562" s="307"/>
      <c r="D562" s="310"/>
      <c r="E562" s="307"/>
      <c r="F562" s="307"/>
      <c r="G562" s="307"/>
      <c r="H562" s="307"/>
      <c r="I562" s="307"/>
      <c r="J562" s="307"/>
      <c r="K562" s="307"/>
      <c r="L562" s="307"/>
      <c r="M562" s="307"/>
      <c r="N562" s="307"/>
      <c r="O562" s="307"/>
      <c r="P562" s="307"/>
      <c r="Q562" s="307"/>
      <c r="R562" s="307"/>
      <c r="S562" s="307"/>
      <c r="T562" s="307"/>
      <c r="U562" s="307"/>
      <c r="V562" s="307"/>
      <c r="W562" s="307"/>
      <c r="X562" s="307"/>
      <c r="Y562" s="307"/>
    </row>
    <row r="563">
      <c r="A563" s="307"/>
      <c r="B563" s="307"/>
      <c r="C563" s="307"/>
      <c r="D563" s="310"/>
      <c r="E563" s="307"/>
      <c r="F563" s="307"/>
      <c r="G563" s="307"/>
      <c r="H563" s="307"/>
      <c r="I563" s="307"/>
      <c r="J563" s="307"/>
      <c r="K563" s="307"/>
      <c r="L563" s="307"/>
      <c r="M563" s="307"/>
      <c r="N563" s="307"/>
      <c r="O563" s="307"/>
      <c r="P563" s="307"/>
      <c r="Q563" s="307"/>
      <c r="R563" s="307"/>
      <c r="S563" s="307"/>
      <c r="T563" s="307"/>
      <c r="U563" s="307"/>
      <c r="V563" s="307"/>
      <c r="W563" s="307"/>
      <c r="X563" s="307"/>
      <c r="Y563" s="307"/>
    </row>
    <row r="564">
      <c r="A564" s="307"/>
      <c r="B564" s="307"/>
      <c r="C564" s="307"/>
      <c r="D564" s="310"/>
      <c r="E564" s="307"/>
      <c r="F564" s="307"/>
      <c r="G564" s="307"/>
      <c r="H564" s="307"/>
      <c r="I564" s="307"/>
      <c r="J564" s="307"/>
      <c r="K564" s="307"/>
      <c r="L564" s="307"/>
      <c r="M564" s="307"/>
      <c r="N564" s="307"/>
      <c r="O564" s="307"/>
      <c r="P564" s="307"/>
      <c r="Q564" s="307"/>
      <c r="R564" s="307"/>
      <c r="S564" s="307"/>
      <c r="T564" s="307"/>
      <c r="U564" s="307"/>
      <c r="V564" s="307"/>
      <c r="W564" s="307"/>
      <c r="X564" s="307"/>
      <c r="Y564" s="307"/>
    </row>
    <row r="565">
      <c r="A565" s="307"/>
      <c r="B565" s="307"/>
      <c r="C565" s="307"/>
      <c r="D565" s="310"/>
      <c r="E565" s="307"/>
      <c r="F565" s="307"/>
      <c r="G565" s="307"/>
      <c r="H565" s="307"/>
      <c r="I565" s="307"/>
      <c r="J565" s="307"/>
      <c r="K565" s="307"/>
      <c r="L565" s="307"/>
      <c r="M565" s="307"/>
      <c r="N565" s="307"/>
      <c r="O565" s="307"/>
      <c r="P565" s="307"/>
      <c r="Q565" s="307"/>
      <c r="R565" s="307"/>
      <c r="S565" s="307"/>
      <c r="T565" s="307"/>
      <c r="U565" s="307"/>
      <c r="V565" s="307"/>
      <c r="W565" s="307"/>
      <c r="X565" s="307"/>
      <c r="Y565" s="307"/>
    </row>
    <row r="566">
      <c r="A566" s="307"/>
      <c r="B566" s="307"/>
      <c r="C566" s="307"/>
      <c r="D566" s="310"/>
      <c r="E566" s="307"/>
      <c r="F566" s="307"/>
      <c r="G566" s="307"/>
      <c r="H566" s="307"/>
      <c r="I566" s="307"/>
      <c r="J566" s="307"/>
      <c r="K566" s="307"/>
      <c r="L566" s="307"/>
      <c r="M566" s="307"/>
      <c r="N566" s="307"/>
      <c r="O566" s="307"/>
      <c r="P566" s="307"/>
      <c r="Q566" s="307"/>
      <c r="R566" s="307"/>
      <c r="S566" s="307"/>
      <c r="T566" s="307"/>
      <c r="U566" s="307"/>
      <c r="V566" s="307"/>
      <c r="W566" s="307"/>
      <c r="X566" s="307"/>
      <c r="Y566" s="307"/>
    </row>
    <row r="567">
      <c r="A567" s="307"/>
      <c r="B567" s="307"/>
      <c r="C567" s="307"/>
      <c r="D567" s="310"/>
      <c r="E567" s="307"/>
      <c r="F567" s="307"/>
      <c r="G567" s="307"/>
      <c r="H567" s="307"/>
      <c r="I567" s="307"/>
      <c r="J567" s="307"/>
      <c r="K567" s="307"/>
      <c r="L567" s="307"/>
      <c r="M567" s="307"/>
      <c r="N567" s="307"/>
      <c r="O567" s="307"/>
      <c r="P567" s="307"/>
      <c r="Q567" s="307"/>
      <c r="R567" s="307"/>
      <c r="S567" s="307"/>
      <c r="T567" s="307"/>
      <c r="U567" s="307"/>
      <c r="V567" s="307"/>
      <c r="W567" s="307"/>
      <c r="X567" s="307"/>
      <c r="Y567" s="307"/>
    </row>
    <row r="568">
      <c r="A568" s="307"/>
      <c r="B568" s="307"/>
      <c r="C568" s="307"/>
      <c r="D568" s="310"/>
      <c r="E568" s="307"/>
      <c r="F568" s="307"/>
      <c r="G568" s="307"/>
      <c r="H568" s="307"/>
      <c r="I568" s="307"/>
      <c r="J568" s="307"/>
      <c r="K568" s="307"/>
      <c r="L568" s="307"/>
      <c r="M568" s="307"/>
      <c r="N568" s="307"/>
      <c r="O568" s="307"/>
      <c r="P568" s="307"/>
      <c r="Q568" s="307"/>
      <c r="R568" s="307"/>
      <c r="S568" s="307"/>
      <c r="T568" s="307"/>
      <c r="U568" s="307"/>
      <c r="V568" s="307"/>
      <c r="W568" s="307"/>
      <c r="X568" s="307"/>
      <c r="Y568" s="307"/>
    </row>
    <row r="569">
      <c r="A569" s="307"/>
      <c r="B569" s="307"/>
      <c r="C569" s="307"/>
      <c r="D569" s="310"/>
      <c r="E569" s="307"/>
      <c r="F569" s="307"/>
      <c r="G569" s="307"/>
      <c r="H569" s="307"/>
      <c r="I569" s="307"/>
      <c r="J569" s="307"/>
      <c r="K569" s="307"/>
      <c r="L569" s="307"/>
      <c r="M569" s="307"/>
      <c r="N569" s="307"/>
      <c r="O569" s="307"/>
      <c r="P569" s="307"/>
      <c r="Q569" s="307"/>
      <c r="R569" s="307"/>
      <c r="S569" s="307"/>
      <c r="T569" s="307"/>
      <c r="U569" s="307"/>
      <c r="V569" s="307"/>
      <c r="W569" s="307"/>
      <c r="X569" s="307"/>
      <c r="Y569" s="307"/>
    </row>
    <row r="570">
      <c r="A570" s="307"/>
      <c r="B570" s="307"/>
      <c r="C570" s="307"/>
      <c r="D570" s="310"/>
      <c r="E570" s="307"/>
      <c r="F570" s="307"/>
      <c r="G570" s="307"/>
      <c r="H570" s="307"/>
      <c r="I570" s="307"/>
      <c r="J570" s="307"/>
      <c r="K570" s="307"/>
      <c r="L570" s="307"/>
      <c r="M570" s="307"/>
      <c r="N570" s="307"/>
      <c r="O570" s="307"/>
      <c r="P570" s="307"/>
      <c r="Q570" s="307"/>
      <c r="R570" s="307"/>
      <c r="S570" s="307"/>
      <c r="T570" s="307"/>
      <c r="U570" s="307"/>
      <c r="V570" s="307"/>
      <c r="W570" s="307"/>
      <c r="X570" s="307"/>
      <c r="Y570" s="307"/>
    </row>
    <row r="571">
      <c r="A571" s="307"/>
      <c r="B571" s="307"/>
      <c r="C571" s="307"/>
      <c r="D571" s="310"/>
      <c r="E571" s="307"/>
      <c r="F571" s="307"/>
      <c r="G571" s="307"/>
      <c r="H571" s="307"/>
      <c r="I571" s="307"/>
      <c r="J571" s="307"/>
      <c r="K571" s="307"/>
      <c r="L571" s="307"/>
      <c r="M571" s="307"/>
      <c r="N571" s="307"/>
      <c r="O571" s="307"/>
      <c r="P571" s="307"/>
      <c r="Q571" s="307"/>
      <c r="R571" s="307"/>
      <c r="S571" s="307"/>
      <c r="T571" s="307"/>
      <c r="U571" s="307"/>
      <c r="V571" s="307"/>
      <c r="W571" s="307"/>
      <c r="X571" s="307"/>
      <c r="Y571" s="307"/>
    </row>
    <row r="572">
      <c r="A572" s="307"/>
      <c r="B572" s="307"/>
      <c r="C572" s="307"/>
      <c r="D572" s="310"/>
      <c r="E572" s="307"/>
      <c r="F572" s="307"/>
      <c r="G572" s="307"/>
      <c r="H572" s="307"/>
      <c r="I572" s="307"/>
      <c r="J572" s="307"/>
      <c r="K572" s="307"/>
      <c r="L572" s="307"/>
      <c r="M572" s="307"/>
      <c r="N572" s="307"/>
      <c r="O572" s="307"/>
      <c r="P572" s="307"/>
      <c r="Q572" s="307"/>
      <c r="R572" s="307"/>
      <c r="S572" s="307"/>
      <c r="T572" s="307"/>
      <c r="U572" s="307"/>
      <c r="V572" s="307"/>
      <c r="W572" s="307"/>
      <c r="X572" s="307"/>
      <c r="Y572" s="307"/>
    </row>
    <row r="573">
      <c r="A573" s="307"/>
      <c r="B573" s="307"/>
      <c r="C573" s="307"/>
      <c r="D573" s="310"/>
      <c r="E573" s="307"/>
      <c r="F573" s="307"/>
      <c r="G573" s="307"/>
      <c r="H573" s="307"/>
      <c r="I573" s="307"/>
      <c r="J573" s="307"/>
      <c r="K573" s="307"/>
      <c r="L573" s="307"/>
      <c r="M573" s="307"/>
      <c r="N573" s="307"/>
      <c r="O573" s="307"/>
      <c r="P573" s="307"/>
      <c r="Q573" s="307"/>
      <c r="R573" s="307"/>
      <c r="S573" s="307"/>
      <c r="T573" s="307"/>
      <c r="U573" s="307"/>
      <c r="V573" s="307"/>
      <c r="W573" s="307"/>
      <c r="X573" s="307"/>
      <c r="Y573" s="307"/>
    </row>
    <row r="574">
      <c r="A574" s="307"/>
      <c r="B574" s="307"/>
      <c r="C574" s="307"/>
      <c r="D574" s="310"/>
      <c r="E574" s="307"/>
      <c r="F574" s="307"/>
      <c r="G574" s="307"/>
      <c r="H574" s="307"/>
      <c r="I574" s="307"/>
      <c r="J574" s="307"/>
      <c r="K574" s="307"/>
      <c r="L574" s="307"/>
      <c r="M574" s="307"/>
      <c r="N574" s="307"/>
      <c r="O574" s="307"/>
      <c r="P574" s="307"/>
      <c r="Q574" s="307"/>
      <c r="R574" s="307"/>
      <c r="S574" s="307"/>
      <c r="T574" s="307"/>
      <c r="U574" s="307"/>
      <c r="V574" s="307"/>
      <c r="W574" s="307"/>
      <c r="X574" s="307"/>
      <c r="Y574" s="307"/>
    </row>
    <row r="575">
      <c r="A575" s="307"/>
      <c r="B575" s="307"/>
      <c r="C575" s="307"/>
      <c r="D575" s="310"/>
      <c r="E575" s="307"/>
      <c r="F575" s="307"/>
      <c r="G575" s="307"/>
      <c r="H575" s="307"/>
      <c r="I575" s="307"/>
      <c r="J575" s="307"/>
      <c r="K575" s="307"/>
      <c r="L575" s="307"/>
      <c r="M575" s="307"/>
      <c r="N575" s="307"/>
      <c r="O575" s="307"/>
      <c r="P575" s="307"/>
      <c r="Q575" s="307"/>
      <c r="R575" s="307"/>
      <c r="S575" s="307"/>
      <c r="T575" s="307"/>
      <c r="U575" s="307"/>
      <c r="V575" s="307"/>
      <c r="W575" s="307"/>
      <c r="X575" s="307"/>
      <c r="Y575" s="307"/>
    </row>
    <row r="576">
      <c r="A576" s="307"/>
      <c r="B576" s="307"/>
      <c r="C576" s="307"/>
      <c r="D576" s="310"/>
      <c r="E576" s="307"/>
      <c r="F576" s="307"/>
      <c r="G576" s="307"/>
      <c r="H576" s="307"/>
      <c r="I576" s="307"/>
      <c r="J576" s="307"/>
      <c r="K576" s="307"/>
      <c r="L576" s="307"/>
      <c r="M576" s="307"/>
      <c r="N576" s="307"/>
      <c r="O576" s="307"/>
      <c r="P576" s="307"/>
      <c r="Q576" s="307"/>
      <c r="R576" s="307"/>
      <c r="S576" s="307"/>
      <c r="T576" s="307"/>
      <c r="U576" s="307"/>
      <c r="V576" s="307"/>
      <c r="W576" s="307"/>
      <c r="X576" s="307"/>
      <c r="Y576" s="307"/>
    </row>
    <row r="577">
      <c r="A577" s="307"/>
      <c r="B577" s="307"/>
      <c r="C577" s="307"/>
      <c r="D577" s="310"/>
      <c r="E577" s="307"/>
      <c r="F577" s="307"/>
      <c r="G577" s="307"/>
      <c r="H577" s="307"/>
      <c r="I577" s="307"/>
      <c r="J577" s="307"/>
      <c r="K577" s="307"/>
      <c r="L577" s="307"/>
      <c r="M577" s="307"/>
      <c r="N577" s="307"/>
      <c r="O577" s="307"/>
      <c r="P577" s="307"/>
      <c r="Q577" s="307"/>
      <c r="R577" s="307"/>
      <c r="S577" s="307"/>
      <c r="T577" s="307"/>
      <c r="U577" s="307"/>
      <c r="V577" s="307"/>
      <c r="W577" s="307"/>
      <c r="X577" s="307"/>
      <c r="Y577" s="307"/>
    </row>
    <row r="578">
      <c r="A578" s="307"/>
      <c r="B578" s="307"/>
      <c r="C578" s="307"/>
      <c r="D578" s="310"/>
      <c r="E578" s="307"/>
      <c r="F578" s="307"/>
      <c r="G578" s="307"/>
      <c r="H578" s="307"/>
      <c r="I578" s="307"/>
      <c r="J578" s="307"/>
      <c r="K578" s="307"/>
      <c r="L578" s="307"/>
      <c r="M578" s="307"/>
      <c r="N578" s="307"/>
      <c r="O578" s="307"/>
      <c r="P578" s="307"/>
      <c r="Q578" s="307"/>
      <c r="R578" s="307"/>
      <c r="S578" s="307"/>
      <c r="T578" s="307"/>
      <c r="U578" s="307"/>
      <c r="V578" s="307"/>
      <c r="W578" s="307"/>
      <c r="X578" s="307"/>
      <c r="Y578" s="307"/>
    </row>
    <row r="579">
      <c r="A579" s="307"/>
      <c r="B579" s="307"/>
      <c r="C579" s="307"/>
      <c r="D579" s="310"/>
      <c r="E579" s="307"/>
      <c r="F579" s="307"/>
      <c r="G579" s="307"/>
      <c r="H579" s="307"/>
      <c r="I579" s="307"/>
      <c r="J579" s="307"/>
      <c r="K579" s="307"/>
      <c r="L579" s="307"/>
      <c r="M579" s="307"/>
      <c r="N579" s="307"/>
      <c r="O579" s="307"/>
      <c r="P579" s="307"/>
      <c r="Q579" s="307"/>
      <c r="R579" s="307"/>
      <c r="S579" s="307"/>
      <c r="T579" s="307"/>
      <c r="U579" s="307"/>
      <c r="V579" s="307"/>
      <c r="W579" s="307"/>
      <c r="X579" s="307"/>
      <c r="Y579" s="307"/>
    </row>
    <row r="580">
      <c r="A580" s="307"/>
      <c r="B580" s="307"/>
      <c r="C580" s="307"/>
      <c r="D580" s="310"/>
      <c r="E580" s="307"/>
      <c r="F580" s="307"/>
      <c r="G580" s="307"/>
      <c r="H580" s="307"/>
      <c r="I580" s="307"/>
      <c r="J580" s="307"/>
      <c r="K580" s="307"/>
      <c r="L580" s="307"/>
      <c r="M580" s="307"/>
      <c r="N580" s="307"/>
      <c r="O580" s="307"/>
      <c r="P580" s="307"/>
      <c r="Q580" s="307"/>
      <c r="R580" s="307"/>
      <c r="S580" s="307"/>
      <c r="T580" s="307"/>
      <c r="U580" s="307"/>
      <c r="V580" s="307"/>
      <c r="W580" s="307"/>
      <c r="X580" s="307"/>
      <c r="Y580" s="307"/>
    </row>
    <row r="581">
      <c r="A581" s="307"/>
      <c r="B581" s="307"/>
      <c r="C581" s="307"/>
      <c r="D581" s="310"/>
      <c r="E581" s="307"/>
      <c r="F581" s="307"/>
      <c r="G581" s="307"/>
      <c r="H581" s="307"/>
      <c r="I581" s="307"/>
      <c r="J581" s="307"/>
      <c r="K581" s="307"/>
      <c r="L581" s="307"/>
      <c r="M581" s="307"/>
      <c r="N581" s="307"/>
      <c r="O581" s="307"/>
      <c r="P581" s="307"/>
      <c r="Q581" s="307"/>
      <c r="R581" s="307"/>
      <c r="S581" s="307"/>
      <c r="T581" s="307"/>
      <c r="U581" s="307"/>
      <c r="V581" s="307"/>
      <c r="W581" s="307"/>
      <c r="X581" s="307"/>
      <c r="Y581" s="307"/>
    </row>
    <row r="582">
      <c r="A582" s="307"/>
      <c r="B582" s="307"/>
      <c r="C582" s="307"/>
      <c r="D582" s="310"/>
      <c r="E582" s="307"/>
      <c r="F582" s="307"/>
      <c r="G582" s="307"/>
      <c r="H582" s="307"/>
      <c r="I582" s="307"/>
      <c r="J582" s="307"/>
      <c r="K582" s="307"/>
      <c r="L582" s="307"/>
      <c r="M582" s="307"/>
      <c r="N582" s="307"/>
      <c r="O582" s="307"/>
      <c r="P582" s="307"/>
      <c r="Q582" s="307"/>
      <c r="R582" s="307"/>
      <c r="S582" s="307"/>
      <c r="T582" s="307"/>
      <c r="U582" s="307"/>
      <c r="V582" s="307"/>
      <c r="W582" s="307"/>
      <c r="X582" s="307"/>
      <c r="Y582" s="307"/>
    </row>
    <row r="583">
      <c r="A583" s="307"/>
      <c r="B583" s="307"/>
      <c r="C583" s="307"/>
      <c r="D583" s="310"/>
      <c r="E583" s="307"/>
      <c r="F583" s="307"/>
      <c r="G583" s="307"/>
      <c r="H583" s="307"/>
      <c r="I583" s="307"/>
      <c r="J583" s="307"/>
      <c r="K583" s="307"/>
      <c r="L583" s="307"/>
      <c r="M583" s="307"/>
      <c r="N583" s="307"/>
      <c r="O583" s="307"/>
      <c r="P583" s="307"/>
      <c r="Q583" s="307"/>
      <c r="R583" s="307"/>
      <c r="S583" s="307"/>
      <c r="T583" s="307"/>
      <c r="U583" s="307"/>
      <c r="V583" s="307"/>
      <c r="W583" s="307"/>
      <c r="X583" s="307"/>
      <c r="Y583" s="307"/>
    </row>
    <row r="584">
      <c r="A584" s="307"/>
      <c r="B584" s="307"/>
      <c r="C584" s="307"/>
      <c r="D584" s="310"/>
      <c r="E584" s="307"/>
      <c r="F584" s="307"/>
      <c r="G584" s="307"/>
      <c r="H584" s="307"/>
      <c r="I584" s="307"/>
      <c r="J584" s="307"/>
      <c r="K584" s="307"/>
      <c r="L584" s="307"/>
      <c r="M584" s="307"/>
      <c r="N584" s="307"/>
      <c r="O584" s="307"/>
      <c r="P584" s="307"/>
      <c r="Q584" s="307"/>
      <c r="R584" s="307"/>
      <c r="S584" s="307"/>
      <c r="T584" s="307"/>
      <c r="U584" s="307"/>
      <c r="V584" s="307"/>
      <c r="W584" s="307"/>
      <c r="X584" s="307"/>
      <c r="Y584" s="307"/>
    </row>
    <row r="585">
      <c r="A585" s="307"/>
      <c r="B585" s="307"/>
      <c r="C585" s="307"/>
      <c r="D585" s="310"/>
      <c r="E585" s="307"/>
      <c r="F585" s="307"/>
      <c r="G585" s="307"/>
      <c r="H585" s="307"/>
      <c r="I585" s="307"/>
      <c r="J585" s="307"/>
      <c r="K585" s="307"/>
      <c r="L585" s="307"/>
      <c r="M585" s="307"/>
      <c r="N585" s="307"/>
      <c r="O585" s="307"/>
      <c r="P585" s="307"/>
      <c r="Q585" s="307"/>
      <c r="R585" s="307"/>
      <c r="S585" s="307"/>
      <c r="T585" s="307"/>
      <c r="U585" s="307"/>
      <c r="V585" s="307"/>
      <c r="W585" s="307"/>
      <c r="X585" s="307"/>
      <c r="Y585" s="307"/>
    </row>
    <row r="586">
      <c r="A586" s="307"/>
      <c r="B586" s="307"/>
      <c r="C586" s="307"/>
      <c r="D586" s="310"/>
      <c r="E586" s="307"/>
      <c r="F586" s="307"/>
      <c r="G586" s="307"/>
      <c r="H586" s="307"/>
      <c r="I586" s="307"/>
      <c r="J586" s="307"/>
      <c r="K586" s="307"/>
      <c r="L586" s="307"/>
      <c r="M586" s="307"/>
      <c r="N586" s="307"/>
      <c r="O586" s="307"/>
      <c r="P586" s="307"/>
      <c r="Q586" s="307"/>
      <c r="R586" s="307"/>
      <c r="S586" s="307"/>
      <c r="T586" s="307"/>
      <c r="U586" s="307"/>
      <c r="V586" s="307"/>
      <c r="W586" s="307"/>
      <c r="X586" s="307"/>
      <c r="Y586" s="307"/>
    </row>
    <row r="587">
      <c r="A587" s="307"/>
      <c r="B587" s="307"/>
      <c r="C587" s="307"/>
      <c r="D587" s="310"/>
      <c r="E587" s="307"/>
      <c r="F587" s="307"/>
      <c r="G587" s="307"/>
      <c r="H587" s="307"/>
      <c r="I587" s="307"/>
      <c r="J587" s="307"/>
      <c r="K587" s="307"/>
      <c r="L587" s="307"/>
      <c r="M587" s="307"/>
      <c r="N587" s="307"/>
      <c r="O587" s="307"/>
      <c r="P587" s="307"/>
      <c r="Q587" s="307"/>
      <c r="R587" s="307"/>
      <c r="S587" s="307"/>
      <c r="T587" s="307"/>
      <c r="U587" s="307"/>
      <c r="V587" s="307"/>
      <c r="W587" s="307"/>
      <c r="X587" s="307"/>
      <c r="Y587" s="307"/>
    </row>
    <row r="588">
      <c r="A588" s="307"/>
      <c r="B588" s="307"/>
      <c r="C588" s="307"/>
      <c r="D588" s="310"/>
      <c r="E588" s="307"/>
      <c r="F588" s="307"/>
      <c r="G588" s="307"/>
      <c r="H588" s="307"/>
      <c r="I588" s="307"/>
      <c r="J588" s="307"/>
      <c r="K588" s="307"/>
      <c r="L588" s="307"/>
      <c r="M588" s="307"/>
      <c r="N588" s="307"/>
      <c r="O588" s="307"/>
      <c r="P588" s="307"/>
      <c r="Q588" s="307"/>
      <c r="R588" s="307"/>
      <c r="S588" s="307"/>
      <c r="T588" s="307"/>
      <c r="U588" s="307"/>
      <c r="V588" s="307"/>
      <c r="W588" s="307"/>
      <c r="X588" s="307"/>
      <c r="Y588" s="307"/>
    </row>
    <row r="589">
      <c r="A589" s="307"/>
      <c r="B589" s="307"/>
      <c r="C589" s="307"/>
      <c r="D589" s="310"/>
      <c r="E589" s="307"/>
      <c r="F589" s="307"/>
      <c r="G589" s="307"/>
      <c r="H589" s="307"/>
      <c r="I589" s="307"/>
      <c r="J589" s="307"/>
      <c r="K589" s="307"/>
      <c r="L589" s="307"/>
      <c r="M589" s="307"/>
      <c r="N589" s="307"/>
      <c r="O589" s="307"/>
      <c r="P589" s="307"/>
      <c r="Q589" s="307"/>
      <c r="R589" s="307"/>
      <c r="S589" s="307"/>
      <c r="T589" s="307"/>
      <c r="U589" s="307"/>
      <c r="V589" s="307"/>
      <c r="W589" s="307"/>
      <c r="X589" s="307"/>
      <c r="Y589" s="307"/>
    </row>
    <row r="590">
      <c r="A590" s="307"/>
      <c r="B590" s="307"/>
      <c r="C590" s="307"/>
      <c r="D590" s="310"/>
      <c r="E590" s="307"/>
      <c r="F590" s="307"/>
      <c r="G590" s="307"/>
      <c r="H590" s="307"/>
      <c r="I590" s="307"/>
      <c r="J590" s="307"/>
      <c r="K590" s="307"/>
      <c r="L590" s="307"/>
      <c r="M590" s="307"/>
      <c r="N590" s="307"/>
      <c r="O590" s="307"/>
      <c r="P590" s="307"/>
      <c r="Q590" s="307"/>
      <c r="R590" s="307"/>
      <c r="S590" s="307"/>
      <c r="T590" s="307"/>
      <c r="U590" s="307"/>
      <c r="V590" s="307"/>
      <c r="W590" s="307"/>
      <c r="X590" s="307"/>
      <c r="Y590" s="307"/>
    </row>
    <row r="591">
      <c r="A591" s="307"/>
      <c r="B591" s="307"/>
      <c r="C591" s="307"/>
      <c r="D591" s="310"/>
      <c r="E591" s="307"/>
      <c r="F591" s="307"/>
      <c r="G591" s="307"/>
      <c r="H591" s="307"/>
      <c r="I591" s="307"/>
      <c r="J591" s="307"/>
      <c r="K591" s="307"/>
      <c r="L591" s="307"/>
      <c r="M591" s="307"/>
      <c r="N591" s="307"/>
      <c r="O591" s="307"/>
      <c r="P591" s="307"/>
      <c r="Q591" s="307"/>
      <c r="R591" s="307"/>
      <c r="S591" s="307"/>
      <c r="T591" s="307"/>
      <c r="U591" s="307"/>
      <c r="V591" s="307"/>
      <c r="W591" s="307"/>
      <c r="X591" s="307"/>
      <c r="Y591" s="307"/>
    </row>
    <row r="592">
      <c r="A592" s="307"/>
      <c r="B592" s="307"/>
      <c r="C592" s="307"/>
      <c r="D592" s="310"/>
      <c r="E592" s="307"/>
      <c r="F592" s="307"/>
      <c r="G592" s="307"/>
      <c r="H592" s="307"/>
      <c r="I592" s="307"/>
      <c r="J592" s="307"/>
      <c r="K592" s="307"/>
      <c r="L592" s="307"/>
      <c r="M592" s="307"/>
      <c r="N592" s="307"/>
      <c r="O592" s="307"/>
      <c r="P592" s="307"/>
      <c r="Q592" s="307"/>
      <c r="R592" s="307"/>
      <c r="S592" s="307"/>
      <c r="T592" s="307"/>
      <c r="U592" s="307"/>
      <c r="V592" s="307"/>
      <c r="W592" s="307"/>
      <c r="X592" s="307"/>
      <c r="Y592" s="307"/>
    </row>
    <row r="593">
      <c r="A593" s="307"/>
      <c r="B593" s="307"/>
      <c r="C593" s="307"/>
      <c r="D593" s="310"/>
      <c r="E593" s="307"/>
      <c r="F593" s="307"/>
      <c r="G593" s="307"/>
      <c r="H593" s="307"/>
      <c r="I593" s="307"/>
      <c r="J593" s="307"/>
      <c r="K593" s="307"/>
      <c r="L593" s="307"/>
      <c r="M593" s="307"/>
      <c r="N593" s="307"/>
      <c r="O593" s="307"/>
      <c r="P593" s="307"/>
      <c r="Q593" s="307"/>
      <c r="R593" s="307"/>
      <c r="S593" s="307"/>
      <c r="T593" s="307"/>
      <c r="U593" s="307"/>
      <c r="V593" s="307"/>
      <c r="W593" s="307"/>
      <c r="X593" s="307"/>
      <c r="Y593" s="307"/>
    </row>
    <row r="594">
      <c r="A594" s="307"/>
      <c r="B594" s="307"/>
      <c r="C594" s="307"/>
      <c r="D594" s="310"/>
      <c r="E594" s="307"/>
      <c r="F594" s="307"/>
      <c r="G594" s="307"/>
      <c r="H594" s="307"/>
      <c r="I594" s="307"/>
      <c r="J594" s="307"/>
      <c r="K594" s="307"/>
      <c r="L594" s="307"/>
      <c r="M594" s="307"/>
      <c r="N594" s="307"/>
      <c r="O594" s="307"/>
      <c r="P594" s="307"/>
      <c r="Q594" s="307"/>
      <c r="R594" s="307"/>
      <c r="S594" s="307"/>
      <c r="T594" s="307"/>
      <c r="U594" s="307"/>
      <c r="V594" s="307"/>
      <c r="W594" s="307"/>
      <c r="X594" s="307"/>
      <c r="Y594" s="307"/>
    </row>
    <row r="595">
      <c r="A595" s="307"/>
      <c r="B595" s="307"/>
      <c r="C595" s="307"/>
      <c r="D595" s="310"/>
      <c r="E595" s="307"/>
      <c r="F595" s="307"/>
      <c r="G595" s="307"/>
      <c r="H595" s="307"/>
      <c r="I595" s="307"/>
      <c r="J595" s="307"/>
      <c r="K595" s="307"/>
      <c r="L595" s="307"/>
      <c r="M595" s="307"/>
      <c r="N595" s="307"/>
      <c r="O595" s="307"/>
      <c r="P595" s="307"/>
      <c r="Q595" s="307"/>
      <c r="R595" s="307"/>
      <c r="S595" s="307"/>
      <c r="T595" s="307"/>
      <c r="U595" s="307"/>
      <c r="V595" s="307"/>
      <c r="W595" s="307"/>
      <c r="X595" s="307"/>
      <c r="Y595" s="307"/>
    </row>
    <row r="596">
      <c r="A596" s="307"/>
      <c r="B596" s="307"/>
      <c r="C596" s="307"/>
      <c r="D596" s="310"/>
      <c r="E596" s="307"/>
      <c r="F596" s="307"/>
      <c r="G596" s="307"/>
      <c r="H596" s="307"/>
      <c r="I596" s="307"/>
      <c r="J596" s="307"/>
      <c r="K596" s="307"/>
      <c r="L596" s="307"/>
      <c r="M596" s="307"/>
      <c r="N596" s="307"/>
      <c r="O596" s="307"/>
      <c r="P596" s="307"/>
      <c r="Q596" s="307"/>
      <c r="R596" s="307"/>
      <c r="S596" s="307"/>
      <c r="T596" s="307"/>
      <c r="U596" s="307"/>
      <c r="V596" s="307"/>
      <c r="W596" s="307"/>
      <c r="X596" s="307"/>
      <c r="Y596" s="307"/>
    </row>
    <row r="597">
      <c r="A597" s="307"/>
      <c r="B597" s="307"/>
      <c r="C597" s="307"/>
      <c r="D597" s="310"/>
      <c r="E597" s="307"/>
      <c r="F597" s="307"/>
      <c r="G597" s="307"/>
      <c r="H597" s="307"/>
      <c r="I597" s="307"/>
      <c r="J597" s="307"/>
      <c r="K597" s="307"/>
      <c r="L597" s="307"/>
      <c r="M597" s="307"/>
      <c r="N597" s="307"/>
      <c r="O597" s="307"/>
      <c r="P597" s="307"/>
      <c r="Q597" s="307"/>
      <c r="R597" s="307"/>
      <c r="S597" s="307"/>
      <c r="T597" s="307"/>
      <c r="U597" s="307"/>
      <c r="V597" s="307"/>
      <c r="W597" s="307"/>
      <c r="X597" s="307"/>
      <c r="Y597" s="307"/>
    </row>
    <row r="598">
      <c r="A598" s="307"/>
      <c r="B598" s="307"/>
      <c r="C598" s="307"/>
      <c r="D598" s="310"/>
      <c r="E598" s="307"/>
      <c r="F598" s="307"/>
      <c r="G598" s="307"/>
      <c r="H598" s="307"/>
      <c r="I598" s="307"/>
      <c r="J598" s="307"/>
      <c r="K598" s="307"/>
      <c r="L598" s="307"/>
      <c r="M598" s="307"/>
      <c r="N598" s="307"/>
      <c r="O598" s="307"/>
      <c r="P598" s="307"/>
      <c r="Q598" s="307"/>
      <c r="R598" s="307"/>
      <c r="S598" s="307"/>
      <c r="T598" s="307"/>
      <c r="U598" s="307"/>
      <c r="V598" s="307"/>
      <c r="W598" s="307"/>
      <c r="X598" s="307"/>
      <c r="Y598" s="307"/>
    </row>
    <row r="599">
      <c r="A599" s="307"/>
      <c r="B599" s="307"/>
      <c r="C599" s="307"/>
      <c r="D599" s="310"/>
      <c r="E599" s="307"/>
      <c r="F599" s="307"/>
      <c r="G599" s="307"/>
      <c r="H599" s="307"/>
      <c r="I599" s="307"/>
      <c r="J599" s="307"/>
      <c r="K599" s="307"/>
      <c r="L599" s="307"/>
      <c r="M599" s="307"/>
      <c r="N599" s="307"/>
      <c r="O599" s="307"/>
      <c r="P599" s="307"/>
      <c r="Q599" s="307"/>
      <c r="R599" s="307"/>
      <c r="S599" s="307"/>
      <c r="T599" s="307"/>
      <c r="U599" s="307"/>
      <c r="V599" s="307"/>
      <c r="W599" s="307"/>
      <c r="X599" s="307"/>
      <c r="Y599" s="307"/>
    </row>
    <row r="600">
      <c r="A600" s="307"/>
      <c r="B600" s="307"/>
      <c r="C600" s="307"/>
      <c r="D600" s="310"/>
      <c r="E600" s="307"/>
      <c r="F600" s="307"/>
      <c r="G600" s="307"/>
      <c r="H600" s="307"/>
      <c r="I600" s="307"/>
      <c r="J600" s="307"/>
      <c r="K600" s="307"/>
      <c r="L600" s="307"/>
      <c r="M600" s="307"/>
      <c r="N600" s="307"/>
      <c r="O600" s="307"/>
      <c r="P600" s="307"/>
      <c r="Q600" s="307"/>
      <c r="R600" s="307"/>
      <c r="S600" s="307"/>
      <c r="T600" s="307"/>
      <c r="U600" s="307"/>
      <c r="V600" s="307"/>
      <c r="W600" s="307"/>
      <c r="X600" s="307"/>
      <c r="Y600" s="307"/>
    </row>
    <row r="601">
      <c r="A601" s="307"/>
      <c r="B601" s="307"/>
      <c r="C601" s="307"/>
      <c r="D601" s="310"/>
      <c r="E601" s="307"/>
      <c r="F601" s="307"/>
      <c r="G601" s="307"/>
      <c r="H601" s="307"/>
      <c r="I601" s="307"/>
      <c r="J601" s="307"/>
      <c r="K601" s="307"/>
      <c r="L601" s="307"/>
      <c r="M601" s="307"/>
      <c r="N601" s="307"/>
      <c r="O601" s="307"/>
      <c r="P601" s="307"/>
      <c r="Q601" s="307"/>
      <c r="R601" s="307"/>
      <c r="S601" s="307"/>
      <c r="T601" s="307"/>
      <c r="U601" s="307"/>
      <c r="V601" s="307"/>
      <c r="W601" s="307"/>
      <c r="X601" s="307"/>
      <c r="Y601" s="307"/>
    </row>
    <row r="602">
      <c r="A602" s="307"/>
      <c r="B602" s="307"/>
      <c r="C602" s="307"/>
      <c r="D602" s="310"/>
      <c r="E602" s="307"/>
      <c r="F602" s="307"/>
      <c r="G602" s="307"/>
      <c r="H602" s="307"/>
      <c r="I602" s="307"/>
      <c r="J602" s="307"/>
      <c r="K602" s="307"/>
      <c r="L602" s="307"/>
      <c r="M602" s="307"/>
      <c r="N602" s="307"/>
      <c r="O602" s="307"/>
      <c r="P602" s="307"/>
      <c r="Q602" s="307"/>
      <c r="R602" s="307"/>
      <c r="S602" s="307"/>
      <c r="T602" s="307"/>
      <c r="U602" s="307"/>
      <c r="V602" s="307"/>
      <c r="W602" s="307"/>
      <c r="X602" s="307"/>
      <c r="Y602" s="307"/>
    </row>
    <row r="603">
      <c r="A603" s="307"/>
      <c r="B603" s="307"/>
      <c r="C603" s="307"/>
      <c r="D603" s="310"/>
      <c r="E603" s="307"/>
      <c r="F603" s="307"/>
      <c r="G603" s="307"/>
      <c r="H603" s="307"/>
      <c r="I603" s="307"/>
      <c r="J603" s="307"/>
      <c r="K603" s="307"/>
      <c r="L603" s="307"/>
      <c r="M603" s="307"/>
      <c r="N603" s="307"/>
      <c r="O603" s="307"/>
      <c r="P603" s="307"/>
      <c r="Q603" s="307"/>
      <c r="R603" s="307"/>
      <c r="S603" s="307"/>
      <c r="T603" s="307"/>
      <c r="U603" s="307"/>
      <c r="V603" s="307"/>
      <c r="W603" s="307"/>
      <c r="X603" s="307"/>
      <c r="Y603" s="307"/>
    </row>
    <row r="604">
      <c r="A604" s="307"/>
      <c r="B604" s="307"/>
      <c r="C604" s="307"/>
      <c r="D604" s="310"/>
      <c r="E604" s="307"/>
      <c r="F604" s="307"/>
      <c r="G604" s="307"/>
      <c r="H604" s="307"/>
      <c r="I604" s="307"/>
      <c r="J604" s="307"/>
      <c r="K604" s="307"/>
      <c r="L604" s="307"/>
      <c r="M604" s="307"/>
      <c r="N604" s="307"/>
      <c r="O604" s="307"/>
      <c r="P604" s="307"/>
      <c r="Q604" s="307"/>
      <c r="R604" s="307"/>
      <c r="S604" s="307"/>
      <c r="T604" s="307"/>
      <c r="U604" s="307"/>
      <c r="V604" s="307"/>
      <c r="W604" s="307"/>
      <c r="X604" s="307"/>
      <c r="Y604" s="307"/>
    </row>
    <row r="605">
      <c r="A605" s="307"/>
      <c r="B605" s="307"/>
      <c r="C605" s="307"/>
      <c r="D605" s="310"/>
      <c r="E605" s="307"/>
      <c r="F605" s="307"/>
      <c r="G605" s="307"/>
      <c r="H605" s="307"/>
      <c r="I605" s="307"/>
      <c r="J605" s="307"/>
      <c r="K605" s="307"/>
      <c r="L605" s="307"/>
      <c r="M605" s="307"/>
      <c r="N605" s="307"/>
      <c r="O605" s="307"/>
      <c r="P605" s="307"/>
      <c r="Q605" s="307"/>
      <c r="R605" s="307"/>
      <c r="S605" s="307"/>
      <c r="T605" s="307"/>
      <c r="U605" s="307"/>
      <c r="V605" s="307"/>
      <c r="W605" s="307"/>
      <c r="X605" s="307"/>
      <c r="Y605" s="307"/>
    </row>
    <row r="606">
      <c r="A606" s="307"/>
      <c r="B606" s="307"/>
      <c r="C606" s="307"/>
      <c r="D606" s="310"/>
      <c r="E606" s="307"/>
      <c r="F606" s="307"/>
      <c r="G606" s="307"/>
      <c r="H606" s="307"/>
      <c r="I606" s="307"/>
      <c r="J606" s="307"/>
      <c r="K606" s="307"/>
      <c r="L606" s="307"/>
      <c r="M606" s="307"/>
      <c r="N606" s="307"/>
      <c r="O606" s="307"/>
      <c r="P606" s="307"/>
      <c r="Q606" s="307"/>
      <c r="R606" s="307"/>
      <c r="S606" s="307"/>
      <c r="T606" s="307"/>
      <c r="U606" s="307"/>
      <c r="V606" s="307"/>
      <c r="W606" s="307"/>
      <c r="X606" s="307"/>
      <c r="Y606" s="307"/>
    </row>
    <row r="607">
      <c r="A607" s="307"/>
      <c r="B607" s="307"/>
      <c r="C607" s="307"/>
      <c r="D607" s="310"/>
      <c r="E607" s="307"/>
      <c r="F607" s="307"/>
      <c r="G607" s="307"/>
      <c r="H607" s="307"/>
      <c r="I607" s="307"/>
      <c r="J607" s="307"/>
      <c r="K607" s="307"/>
      <c r="L607" s="307"/>
      <c r="M607" s="307"/>
      <c r="N607" s="307"/>
      <c r="O607" s="307"/>
      <c r="P607" s="307"/>
      <c r="Q607" s="307"/>
      <c r="R607" s="307"/>
      <c r="S607" s="307"/>
      <c r="T607" s="307"/>
      <c r="U607" s="307"/>
      <c r="V607" s="307"/>
      <c r="W607" s="307"/>
      <c r="X607" s="307"/>
      <c r="Y607" s="307"/>
    </row>
    <row r="608">
      <c r="A608" s="307"/>
      <c r="B608" s="307"/>
      <c r="C608" s="307"/>
      <c r="D608" s="310"/>
      <c r="E608" s="307"/>
      <c r="F608" s="307"/>
      <c r="G608" s="307"/>
      <c r="H608" s="307"/>
      <c r="I608" s="307"/>
      <c r="J608" s="307"/>
      <c r="K608" s="307"/>
      <c r="L608" s="307"/>
      <c r="M608" s="307"/>
      <c r="N608" s="307"/>
      <c r="O608" s="307"/>
      <c r="P608" s="307"/>
      <c r="Q608" s="307"/>
      <c r="R608" s="307"/>
      <c r="S608" s="307"/>
      <c r="T608" s="307"/>
      <c r="U608" s="307"/>
      <c r="V608" s="307"/>
      <c r="W608" s="307"/>
      <c r="X608" s="307"/>
      <c r="Y608" s="307"/>
    </row>
    <row r="609">
      <c r="A609" s="307"/>
      <c r="B609" s="307"/>
      <c r="C609" s="307"/>
      <c r="D609" s="310"/>
      <c r="E609" s="307"/>
      <c r="F609" s="307"/>
      <c r="G609" s="307"/>
      <c r="H609" s="307"/>
      <c r="I609" s="307"/>
      <c r="J609" s="307"/>
      <c r="K609" s="307"/>
      <c r="L609" s="307"/>
      <c r="M609" s="307"/>
      <c r="N609" s="307"/>
      <c r="O609" s="307"/>
      <c r="P609" s="307"/>
      <c r="Q609" s="307"/>
      <c r="R609" s="307"/>
      <c r="S609" s="307"/>
      <c r="T609" s="307"/>
      <c r="U609" s="307"/>
      <c r="V609" s="307"/>
      <c r="W609" s="307"/>
      <c r="X609" s="307"/>
      <c r="Y609" s="307"/>
    </row>
    <row r="610">
      <c r="A610" s="307"/>
      <c r="B610" s="307"/>
      <c r="C610" s="307"/>
      <c r="D610" s="310"/>
      <c r="E610" s="307"/>
      <c r="F610" s="307"/>
      <c r="G610" s="307"/>
      <c r="H610" s="307"/>
      <c r="I610" s="307"/>
      <c r="J610" s="307"/>
      <c r="K610" s="307"/>
      <c r="L610" s="307"/>
      <c r="M610" s="307"/>
      <c r="N610" s="307"/>
      <c r="O610" s="307"/>
      <c r="P610" s="307"/>
      <c r="Q610" s="307"/>
      <c r="R610" s="307"/>
      <c r="S610" s="307"/>
      <c r="T610" s="307"/>
      <c r="U610" s="307"/>
      <c r="V610" s="307"/>
      <c r="W610" s="307"/>
      <c r="X610" s="307"/>
      <c r="Y610" s="307"/>
    </row>
    <row r="611">
      <c r="A611" s="307"/>
      <c r="B611" s="307"/>
      <c r="C611" s="307"/>
      <c r="D611" s="310"/>
      <c r="E611" s="307"/>
      <c r="F611" s="307"/>
      <c r="G611" s="307"/>
      <c r="H611" s="307"/>
      <c r="I611" s="307"/>
      <c r="J611" s="307"/>
      <c r="K611" s="307"/>
      <c r="L611" s="307"/>
      <c r="M611" s="307"/>
      <c r="N611" s="307"/>
      <c r="O611" s="307"/>
      <c r="P611" s="307"/>
      <c r="Q611" s="307"/>
      <c r="R611" s="307"/>
      <c r="S611" s="307"/>
      <c r="T611" s="307"/>
      <c r="U611" s="307"/>
      <c r="V611" s="307"/>
      <c r="W611" s="307"/>
      <c r="X611" s="307"/>
      <c r="Y611" s="307"/>
    </row>
    <row r="612">
      <c r="A612" s="307"/>
      <c r="B612" s="307"/>
      <c r="C612" s="307"/>
      <c r="D612" s="310"/>
      <c r="E612" s="307"/>
      <c r="F612" s="307"/>
      <c r="G612" s="307"/>
      <c r="H612" s="307"/>
      <c r="I612" s="307"/>
      <c r="J612" s="307"/>
      <c r="K612" s="307"/>
      <c r="L612" s="307"/>
      <c r="M612" s="307"/>
      <c r="N612" s="307"/>
      <c r="O612" s="307"/>
      <c r="P612" s="307"/>
      <c r="Q612" s="307"/>
      <c r="R612" s="307"/>
      <c r="S612" s="307"/>
      <c r="T612" s="307"/>
      <c r="U612" s="307"/>
      <c r="V612" s="307"/>
      <c r="W612" s="307"/>
      <c r="X612" s="307"/>
      <c r="Y612" s="307"/>
    </row>
    <row r="613">
      <c r="A613" s="307"/>
      <c r="B613" s="307"/>
      <c r="C613" s="307"/>
      <c r="D613" s="310"/>
      <c r="E613" s="307"/>
      <c r="F613" s="307"/>
      <c r="G613" s="307"/>
      <c r="H613" s="307"/>
      <c r="I613" s="307"/>
      <c r="J613" s="307"/>
      <c r="K613" s="307"/>
      <c r="L613" s="307"/>
      <c r="M613" s="307"/>
      <c r="N613" s="307"/>
      <c r="O613" s="307"/>
      <c r="P613" s="307"/>
      <c r="Q613" s="307"/>
      <c r="R613" s="307"/>
      <c r="S613" s="307"/>
      <c r="T613" s="307"/>
      <c r="U613" s="307"/>
      <c r="V613" s="307"/>
      <c r="W613" s="307"/>
      <c r="X613" s="307"/>
      <c r="Y613" s="307"/>
    </row>
    <row r="614">
      <c r="A614" s="307"/>
      <c r="B614" s="307"/>
      <c r="C614" s="307"/>
      <c r="D614" s="310"/>
      <c r="E614" s="307"/>
      <c r="F614" s="307"/>
      <c r="G614" s="307"/>
      <c r="H614" s="307"/>
      <c r="I614" s="307"/>
      <c r="J614" s="307"/>
      <c r="K614" s="307"/>
      <c r="L614" s="307"/>
      <c r="M614" s="307"/>
      <c r="N614" s="307"/>
      <c r="O614" s="307"/>
      <c r="P614" s="307"/>
      <c r="Q614" s="307"/>
      <c r="R614" s="307"/>
      <c r="S614" s="307"/>
      <c r="T614" s="307"/>
      <c r="U614" s="307"/>
      <c r="V614" s="307"/>
      <c r="W614" s="307"/>
      <c r="X614" s="307"/>
      <c r="Y614" s="307"/>
    </row>
    <row r="615">
      <c r="A615" s="307"/>
      <c r="B615" s="307"/>
      <c r="C615" s="307"/>
      <c r="D615" s="310"/>
      <c r="E615" s="307"/>
      <c r="F615" s="307"/>
      <c r="G615" s="307"/>
      <c r="H615" s="307"/>
      <c r="I615" s="307"/>
      <c r="J615" s="307"/>
      <c r="K615" s="307"/>
      <c r="L615" s="307"/>
      <c r="M615" s="307"/>
      <c r="N615" s="307"/>
      <c r="O615" s="307"/>
      <c r="P615" s="307"/>
      <c r="Q615" s="307"/>
      <c r="R615" s="307"/>
      <c r="S615" s="307"/>
      <c r="T615" s="307"/>
      <c r="U615" s="307"/>
      <c r="V615" s="307"/>
      <c r="W615" s="307"/>
      <c r="X615" s="307"/>
      <c r="Y615" s="307"/>
    </row>
    <row r="616">
      <c r="A616" s="307"/>
      <c r="B616" s="307"/>
      <c r="C616" s="307"/>
      <c r="D616" s="310"/>
      <c r="E616" s="307"/>
      <c r="F616" s="307"/>
      <c r="G616" s="307"/>
      <c r="H616" s="307"/>
      <c r="I616" s="307"/>
      <c r="J616" s="307"/>
      <c r="K616" s="307"/>
      <c r="L616" s="307"/>
      <c r="M616" s="307"/>
      <c r="N616" s="307"/>
      <c r="O616" s="307"/>
      <c r="P616" s="307"/>
      <c r="Q616" s="307"/>
      <c r="R616" s="307"/>
      <c r="S616" s="307"/>
      <c r="T616" s="307"/>
      <c r="U616" s="307"/>
      <c r="V616" s="307"/>
      <c r="W616" s="307"/>
      <c r="X616" s="307"/>
      <c r="Y616" s="307"/>
    </row>
    <row r="617">
      <c r="A617" s="307"/>
      <c r="B617" s="307"/>
      <c r="C617" s="307"/>
      <c r="D617" s="310"/>
      <c r="E617" s="307"/>
      <c r="F617" s="307"/>
      <c r="G617" s="307"/>
      <c r="H617" s="307"/>
      <c r="I617" s="307"/>
      <c r="J617" s="307"/>
      <c r="K617" s="307"/>
      <c r="L617" s="307"/>
      <c r="M617" s="307"/>
      <c r="N617" s="307"/>
      <c r="O617" s="307"/>
      <c r="P617" s="307"/>
      <c r="Q617" s="307"/>
      <c r="R617" s="307"/>
      <c r="S617" s="307"/>
      <c r="T617" s="307"/>
      <c r="U617" s="307"/>
      <c r="V617" s="307"/>
      <c r="W617" s="307"/>
      <c r="X617" s="307"/>
      <c r="Y617" s="307"/>
    </row>
    <row r="618">
      <c r="A618" s="307"/>
      <c r="B618" s="307"/>
      <c r="C618" s="307"/>
      <c r="D618" s="310"/>
      <c r="E618" s="307"/>
      <c r="F618" s="307"/>
      <c r="G618" s="307"/>
      <c r="H618" s="307"/>
      <c r="I618" s="307"/>
      <c r="J618" s="307"/>
      <c r="K618" s="307"/>
      <c r="L618" s="307"/>
      <c r="M618" s="307"/>
      <c r="N618" s="307"/>
      <c r="O618" s="307"/>
      <c r="P618" s="307"/>
      <c r="Q618" s="307"/>
      <c r="R618" s="307"/>
      <c r="S618" s="307"/>
      <c r="T618" s="307"/>
      <c r="U618" s="307"/>
      <c r="V618" s="307"/>
      <c r="W618" s="307"/>
      <c r="X618" s="307"/>
      <c r="Y618" s="307"/>
    </row>
    <row r="619">
      <c r="A619" s="307"/>
      <c r="B619" s="307"/>
      <c r="C619" s="307"/>
      <c r="D619" s="310"/>
      <c r="E619" s="307"/>
      <c r="F619" s="307"/>
      <c r="G619" s="307"/>
      <c r="H619" s="307"/>
      <c r="I619" s="307"/>
      <c r="J619" s="307"/>
      <c r="K619" s="307"/>
      <c r="L619" s="307"/>
      <c r="M619" s="307"/>
      <c r="N619" s="307"/>
      <c r="O619" s="307"/>
      <c r="P619" s="307"/>
      <c r="Q619" s="307"/>
      <c r="R619" s="307"/>
      <c r="S619" s="307"/>
      <c r="T619" s="307"/>
      <c r="U619" s="307"/>
      <c r="V619" s="307"/>
      <c r="W619" s="307"/>
      <c r="X619" s="307"/>
      <c r="Y619" s="307"/>
    </row>
    <row r="620">
      <c r="A620" s="307"/>
      <c r="B620" s="307"/>
      <c r="C620" s="307"/>
      <c r="D620" s="310"/>
      <c r="E620" s="307"/>
      <c r="F620" s="307"/>
      <c r="G620" s="307"/>
      <c r="H620" s="307"/>
      <c r="I620" s="307"/>
      <c r="J620" s="307"/>
      <c r="K620" s="307"/>
      <c r="L620" s="307"/>
      <c r="M620" s="307"/>
      <c r="N620" s="307"/>
      <c r="O620" s="307"/>
      <c r="P620" s="307"/>
      <c r="Q620" s="307"/>
      <c r="R620" s="307"/>
      <c r="S620" s="307"/>
      <c r="T620" s="307"/>
      <c r="U620" s="307"/>
      <c r="V620" s="307"/>
      <c r="W620" s="307"/>
      <c r="X620" s="307"/>
      <c r="Y620" s="307"/>
    </row>
    <row r="621">
      <c r="A621" s="307"/>
      <c r="B621" s="307"/>
      <c r="C621" s="307"/>
      <c r="D621" s="310"/>
      <c r="E621" s="307"/>
      <c r="F621" s="307"/>
      <c r="G621" s="307"/>
      <c r="H621" s="307"/>
      <c r="I621" s="307"/>
      <c r="J621" s="307"/>
      <c r="K621" s="307"/>
      <c r="L621" s="307"/>
      <c r="M621" s="307"/>
      <c r="N621" s="307"/>
      <c r="O621" s="307"/>
      <c r="P621" s="307"/>
      <c r="Q621" s="307"/>
      <c r="R621" s="307"/>
      <c r="S621" s="307"/>
      <c r="T621" s="307"/>
      <c r="U621" s="307"/>
      <c r="V621" s="307"/>
      <c r="W621" s="307"/>
      <c r="X621" s="307"/>
      <c r="Y621" s="307"/>
    </row>
    <row r="622">
      <c r="A622" s="307"/>
      <c r="B622" s="307"/>
      <c r="C622" s="307"/>
      <c r="D622" s="310"/>
      <c r="E622" s="307"/>
      <c r="F622" s="307"/>
      <c r="G622" s="307"/>
      <c r="H622" s="307"/>
      <c r="I622" s="307"/>
      <c r="J622" s="307"/>
      <c r="K622" s="307"/>
      <c r="L622" s="307"/>
      <c r="M622" s="307"/>
      <c r="N622" s="307"/>
      <c r="O622" s="307"/>
      <c r="P622" s="307"/>
      <c r="Q622" s="307"/>
      <c r="R622" s="307"/>
      <c r="S622" s="307"/>
      <c r="T622" s="307"/>
      <c r="U622" s="307"/>
      <c r="V622" s="307"/>
      <c r="W622" s="307"/>
      <c r="X622" s="307"/>
      <c r="Y622" s="307"/>
    </row>
    <row r="623">
      <c r="A623" s="307"/>
      <c r="B623" s="307"/>
      <c r="C623" s="307"/>
      <c r="D623" s="310"/>
      <c r="E623" s="307"/>
      <c r="F623" s="307"/>
      <c r="G623" s="307"/>
      <c r="H623" s="307"/>
      <c r="I623" s="307"/>
      <c r="J623" s="307"/>
      <c r="K623" s="307"/>
      <c r="L623" s="307"/>
      <c r="M623" s="307"/>
      <c r="N623" s="307"/>
      <c r="O623" s="307"/>
      <c r="P623" s="307"/>
      <c r="Q623" s="307"/>
      <c r="R623" s="307"/>
      <c r="S623" s="307"/>
      <c r="T623" s="307"/>
      <c r="U623" s="307"/>
      <c r="V623" s="307"/>
      <c r="W623" s="307"/>
      <c r="X623" s="307"/>
      <c r="Y623" s="307"/>
    </row>
    <row r="624">
      <c r="A624" s="307"/>
      <c r="B624" s="307"/>
      <c r="C624" s="307"/>
      <c r="D624" s="310"/>
      <c r="E624" s="307"/>
      <c r="F624" s="307"/>
      <c r="G624" s="307"/>
      <c r="H624" s="307"/>
      <c r="I624" s="307"/>
      <c r="J624" s="307"/>
      <c r="K624" s="307"/>
      <c r="L624" s="307"/>
      <c r="M624" s="307"/>
      <c r="N624" s="307"/>
      <c r="O624" s="307"/>
      <c r="P624" s="307"/>
      <c r="Q624" s="307"/>
      <c r="R624" s="307"/>
      <c r="S624" s="307"/>
      <c r="T624" s="307"/>
      <c r="U624" s="307"/>
      <c r="V624" s="307"/>
      <c r="W624" s="307"/>
      <c r="X624" s="307"/>
      <c r="Y624" s="307"/>
    </row>
    <row r="625">
      <c r="A625" s="307"/>
      <c r="B625" s="307"/>
      <c r="C625" s="307"/>
      <c r="D625" s="310"/>
      <c r="E625" s="307"/>
      <c r="F625" s="307"/>
      <c r="G625" s="307"/>
      <c r="H625" s="307"/>
      <c r="I625" s="307"/>
      <c r="J625" s="307"/>
      <c r="K625" s="307"/>
      <c r="L625" s="307"/>
      <c r="M625" s="307"/>
      <c r="N625" s="307"/>
      <c r="O625" s="307"/>
      <c r="P625" s="307"/>
      <c r="Q625" s="307"/>
      <c r="R625" s="307"/>
      <c r="S625" s="307"/>
      <c r="T625" s="307"/>
      <c r="U625" s="307"/>
      <c r="V625" s="307"/>
      <c r="W625" s="307"/>
      <c r="X625" s="307"/>
      <c r="Y625" s="307"/>
    </row>
    <row r="626">
      <c r="A626" s="307"/>
      <c r="B626" s="307"/>
      <c r="C626" s="307"/>
      <c r="D626" s="310"/>
      <c r="E626" s="307"/>
      <c r="F626" s="307"/>
      <c r="G626" s="307"/>
      <c r="H626" s="307"/>
      <c r="I626" s="307"/>
      <c r="J626" s="307"/>
      <c r="K626" s="307"/>
      <c r="L626" s="307"/>
      <c r="M626" s="307"/>
      <c r="N626" s="307"/>
      <c r="O626" s="307"/>
      <c r="P626" s="307"/>
      <c r="Q626" s="307"/>
      <c r="R626" s="307"/>
      <c r="S626" s="307"/>
      <c r="T626" s="307"/>
      <c r="U626" s="307"/>
      <c r="V626" s="307"/>
      <c r="W626" s="307"/>
      <c r="X626" s="307"/>
      <c r="Y626" s="307"/>
    </row>
    <row r="627">
      <c r="A627" s="307"/>
      <c r="B627" s="307"/>
      <c r="C627" s="307"/>
      <c r="D627" s="310"/>
      <c r="E627" s="307"/>
      <c r="F627" s="307"/>
      <c r="G627" s="307"/>
      <c r="H627" s="307"/>
      <c r="I627" s="307"/>
      <c r="J627" s="307"/>
      <c r="K627" s="307"/>
      <c r="L627" s="307"/>
      <c r="M627" s="307"/>
      <c r="N627" s="307"/>
      <c r="O627" s="307"/>
      <c r="P627" s="307"/>
      <c r="Q627" s="307"/>
      <c r="R627" s="307"/>
      <c r="S627" s="307"/>
      <c r="T627" s="307"/>
      <c r="U627" s="307"/>
      <c r="V627" s="307"/>
      <c r="W627" s="307"/>
      <c r="X627" s="307"/>
      <c r="Y627" s="307"/>
    </row>
    <row r="628">
      <c r="A628" s="307"/>
      <c r="B628" s="307"/>
      <c r="C628" s="307"/>
      <c r="D628" s="310"/>
      <c r="E628" s="307"/>
      <c r="F628" s="307"/>
      <c r="G628" s="307"/>
      <c r="H628" s="307"/>
      <c r="I628" s="307"/>
      <c r="J628" s="307"/>
      <c r="K628" s="307"/>
      <c r="L628" s="307"/>
      <c r="M628" s="307"/>
      <c r="N628" s="307"/>
      <c r="O628" s="307"/>
      <c r="P628" s="307"/>
      <c r="Q628" s="307"/>
      <c r="R628" s="307"/>
      <c r="S628" s="307"/>
      <c r="T628" s="307"/>
      <c r="U628" s="307"/>
      <c r="V628" s="307"/>
      <c r="W628" s="307"/>
      <c r="X628" s="307"/>
      <c r="Y628" s="307"/>
    </row>
    <row r="629">
      <c r="A629" s="307"/>
      <c r="B629" s="307"/>
      <c r="C629" s="307"/>
      <c r="D629" s="310"/>
      <c r="E629" s="307"/>
      <c r="F629" s="307"/>
      <c r="G629" s="307"/>
      <c r="H629" s="307"/>
      <c r="I629" s="307"/>
      <c r="J629" s="307"/>
      <c r="K629" s="307"/>
      <c r="L629" s="307"/>
      <c r="M629" s="307"/>
      <c r="N629" s="307"/>
      <c r="O629" s="307"/>
      <c r="P629" s="307"/>
      <c r="Q629" s="307"/>
      <c r="R629" s="307"/>
      <c r="S629" s="307"/>
      <c r="T629" s="307"/>
      <c r="U629" s="307"/>
      <c r="V629" s="307"/>
      <c r="W629" s="307"/>
      <c r="X629" s="307"/>
      <c r="Y629" s="307"/>
    </row>
    <row r="630">
      <c r="A630" s="307"/>
      <c r="B630" s="307"/>
      <c r="C630" s="307"/>
      <c r="D630" s="310"/>
      <c r="E630" s="307"/>
      <c r="F630" s="307"/>
      <c r="G630" s="307"/>
      <c r="H630" s="307"/>
      <c r="I630" s="307"/>
      <c r="J630" s="307"/>
      <c r="K630" s="307"/>
      <c r="L630" s="307"/>
      <c r="M630" s="307"/>
      <c r="N630" s="307"/>
      <c r="O630" s="307"/>
      <c r="P630" s="307"/>
      <c r="Q630" s="307"/>
      <c r="R630" s="307"/>
      <c r="S630" s="307"/>
      <c r="T630" s="307"/>
      <c r="U630" s="307"/>
      <c r="V630" s="307"/>
      <c r="W630" s="307"/>
      <c r="X630" s="307"/>
      <c r="Y630" s="307"/>
    </row>
    <row r="631">
      <c r="A631" s="307"/>
      <c r="B631" s="307"/>
      <c r="C631" s="307"/>
      <c r="D631" s="310"/>
      <c r="E631" s="307"/>
      <c r="F631" s="307"/>
      <c r="G631" s="307"/>
      <c r="H631" s="307"/>
      <c r="I631" s="307"/>
      <c r="J631" s="307"/>
      <c r="K631" s="307"/>
      <c r="L631" s="307"/>
      <c r="M631" s="307"/>
      <c r="N631" s="307"/>
      <c r="O631" s="307"/>
      <c r="P631" s="307"/>
      <c r="Q631" s="307"/>
      <c r="R631" s="307"/>
      <c r="S631" s="307"/>
      <c r="T631" s="307"/>
      <c r="U631" s="307"/>
      <c r="V631" s="307"/>
      <c r="W631" s="307"/>
      <c r="X631" s="307"/>
      <c r="Y631" s="307"/>
    </row>
    <row r="632">
      <c r="A632" s="307"/>
      <c r="B632" s="307"/>
      <c r="C632" s="307"/>
      <c r="D632" s="310"/>
      <c r="E632" s="307"/>
      <c r="F632" s="307"/>
      <c r="G632" s="307"/>
      <c r="H632" s="307"/>
      <c r="I632" s="307"/>
      <c r="J632" s="307"/>
      <c r="K632" s="307"/>
      <c r="L632" s="307"/>
      <c r="M632" s="307"/>
      <c r="N632" s="307"/>
      <c r="O632" s="307"/>
      <c r="P632" s="307"/>
      <c r="Q632" s="307"/>
      <c r="R632" s="307"/>
      <c r="S632" s="307"/>
      <c r="T632" s="307"/>
      <c r="U632" s="307"/>
      <c r="V632" s="307"/>
      <c r="W632" s="307"/>
      <c r="X632" s="307"/>
      <c r="Y632" s="307"/>
    </row>
    <row r="633">
      <c r="A633" s="307"/>
      <c r="B633" s="307"/>
      <c r="C633" s="307"/>
      <c r="D633" s="310"/>
      <c r="E633" s="307"/>
      <c r="F633" s="307"/>
      <c r="G633" s="307"/>
      <c r="H633" s="307"/>
      <c r="I633" s="307"/>
      <c r="J633" s="307"/>
      <c r="K633" s="307"/>
      <c r="L633" s="307"/>
      <c r="M633" s="307"/>
      <c r="N633" s="307"/>
      <c r="O633" s="307"/>
      <c r="P633" s="307"/>
      <c r="Q633" s="307"/>
      <c r="R633" s="307"/>
      <c r="S633" s="307"/>
      <c r="T633" s="307"/>
      <c r="U633" s="307"/>
      <c r="V633" s="307"/>
      <c r="W633" s="307"/>
      <c r="X633" s="307"/>
      <c r="Y633" s="307"/>
    </row>
    <row r="634">
      <c r="A634" s="307"/>
      <c r="B634" s="307"/>
      <c r="C634" s="307"/>
      <c r="D634" s="310"/>
      <c r="E634" s="307"/>
      <c r="F634" s="307"/>
      <c r="G634" s="307"/>
      <c r="H634" s="307"/>
      <c r="I634" s="307"/>
      <c r="J634" s="307"/>
      <c r="K634" s="307"/>
      <c r="L634" s="307"/>
      <c r="M634" s="307"/>
      <c r="N634" s="307"/>
      <c r="O634" s="307"/>
      <c r="P634" s="307"/>
      <c r="Q634" s="307"/>
      <c r="R634" s="307"/>
      <c r="S634" s="307"/>
      <c r="T634" s="307"/>
      <c r="U634" s="307"/>
      <c r="V634" s="307"/>
      <c r="W634" s="307"/>
      <c r="X634" s="307"/>
      <c r="Y634" s="307"/>
    </row>
    <row r="635">
      <c r="A635" s="307"/>
      <c r="B635" s="307"/>
      <c r="C635" s="307"/>
      <c r="D635" s="310"/>
      <c r="E635" s="307"/>
      <c r="F635" s="307"/>
      <c r="G635" s="307"/>
      <c r="H635" s="307"/>
      <c r="I635" s="307"/>
      <c r="J635" s="307"/>
      <c r="K635" s="307"/>
      <c r="L635" s="307"/>
      <c r="M635" s="307"/>
      <c r="N635" s="307"/>
      <c r="O635" s="307"/>
      <c r="P635" s="307"/>
      <c r="Q635" s="307"/>
      <c r="R635" s="307"/>
      <c r="S635" s="307"/>
      <c r="T635" s="307"/>
      <c r="U635" s="307"/>
      <c r="V635" s="307"/>
      <c r="W635" s="307"/>
      <c r="X635" s="307"/>
      <c r="Y635" s="307"/>
    </row>
    <row r="636">
      <c r="A636" s="307"/>
      <c r="B636" s="307"/>
      <c r="C636" s="307"/>
      <c r="D636" s="310"/>
      <c r="E636" s="307"/>
      <c r="F636" s="307"/>
      <c r="G636" s="307"/>
      <c r="H636" s="307"/>
      <c r="I636" s="307"/>
      <c r="J636" s="307"/>
      <c r="K636" s="307"/>
      <c r="L636" s="307"/>
      <c r="M636" s="307"/>
      <c r="N636" s="307"/>
      <c r="O636" s="307"/>
      <c r="P636" s="307"/>
      <c r="Q636" s="307"/>
      <c r="R636" s="307"/>
      <c r="S636" s="307"/>
      <c r="T636" s="307"/>
      <c r="U636" s="307"/>
      <c r="V636" s="307"/>
      <c r="W636" s="307"/>
      <c r="X636" s="307"/>
      <c r="Y636" s="307"/>
    </row>
    <row r="637">
      <c r="A637" s="307"/>
      <c r="B637" s="307"/>
      <c r="C637" s="307"/>
      <c r="D637" s="310"/>
      <c r="E637" s="307"/>
      <c r="F637" s="307"/>
      <c r="G637" s="307"/>
      <c r="H637" s="307"/>
      <c r="I637" s="307"/>
      <c r="J637" s="307"/>
      <c r="K637" s="307"/>
      <c r="L637" s="307"/>
      <c r="M637" s="307"/>
      <c r="N637" s="307"/>
      <c r="O637" s="307"/>
      <c r="P637" s="307"/>
      <c r="Q637" s="307"/>
      <c r="R637" s="307"/>
      <c r="S637" s="307"/>
      <c r="T637" s="307"/>
      <c r="U637" s="307"/>
      <c r="V637" s="307"/>
      <c r="W637" s="307"/>
      <c r="X637" s="307"/>
      <c r="Y637" s="307"/>
    </row>
    <row r="638">
      <c r="A638" s="307"/>
      <c r="B638" s="307"/>
      <c r="C638" s="307"/>
      <c r="D638" s="310"/>
      <c r="E638" s="307"/>
      <c r="F638" s="307"/>
      <c r="G638" s="307"/>
      <c r="H638" s="307"/>
      <c r="I638" s="307"/>
      <c r="J638" s="307"/>
      <c r="K638" s="307"/>
      <c r="L638" s="307"/>
      <c r="M638" s="307"/>
      <c r="N638" s="307"/>
      <c r="O638" s="307"/>
      <c r="P638" s="307"/>
      <c r="Q638" s="307"/>
      <c r="R638" s="307"/>
      <c r="S638" s="307"/>
      <c r="T638" s="307"/>
      <c r="U638" s="307"/>
      <c r="V638" s="307"/>
      <c r="W638" s="307"/>
      <c r="X638" s="307"/>
      <c r="Y638" s="307"/>
    </row>
    <row r="639">
      <c r="A639" s="307"/>
      <c r="B639" s="307"/>
      <c r="C639" s="307"/>
      <c r="D639" s="310"/>
      <c r="E639" s="307"/>
      <c r="F639" s="307"/>
      <c r="G639" s="307"/>
      <c r="H639" s="307"/>
      <c r="I639" s="307"/>
      <c r="J639" s="307"/>
      <c r="K639" s="307"/>
      <c r="L639" s="307"/>
      <c r="M639" s="307"/>
      <c r="N639" s="307"/>
      <c r="O639" s="307"/>
      <c r="P639" s="307"/>
      <c r="Q639" s="307"/>
      <c r="R639" s="307"/>
      <c r="S639" s="307"/>
      <c r="T639" s="307"/>
      <c r="U639" s="307"/>
      <c r="V639" s="307"/>
      <c r="W639" s="307"/>
      <c r="X639" s="307"/>
      <c r="Y639" s="307"/>
    </row>
    <row r="640">
      <c r="A640" s="307"/>
      <c r="B640" s="307"/>
      <c r="C640" s="307"/>
      <c r="D640" s="310"/>
      <c r="E640" s="307"/>
      <c r="F640" s="307"/>
      <c r="G640" s="307"/>
      <c r="H640" s="307"/>
      <c r="I640" s="307"/>
      <c r="J640" s="307"/>
      <c r="K640" s="307"/>
      <c r="L640" s="307"/>
      <c r="M640" s="307"/>
      <c r="N640" s="307"/>
      <c r="O640" s="307"/>
      <c r="P640" s="307"/>
      <c r="Q640" s="307"/>
      <c r="R640" s="307"/>
      <c r="S640" s="307"/>
      <c r="T640" s="307"/>
      <c r="U640" s="307"/>
      <c r="V640" s="307"/>
      <c r="W640" s="307"/>
      <c r="X640" s="307"/>
      <c r="Y640" s="307"/>
    </row>
    <row r="641">
      <c r="A641" s="307"/>
      <c r="B641" s="307"/>
      <c r="C641" s="307"/>
      <c r="D641" s="310"/>
      <c r="E641" s="307"/>
      <c r="F641" s="307"/>
      <c r="G641" s="307"/>
      <c r="H641" s="307"/>
      <c r="I641" s="307"/>
      <c r="J641" s="307"/>
      <c r="K641" s="307"/>
      <c r="L641" s="307"/>
      <c r="M641" s="307"/>
      <c r="N641" s="307"/>
      <c r="O641" s="307"/>
      <c r="P641" s="307"/>
      <c r="Q641" s="307"/>
      <c r="R641" s="307"/>
      <c r="S641" s="307"/>
      <c r="T641" s="307"/>
      <c r="U641" s="307"/>
      <c r="V641" s="307"/>
      <c r="W641" s="307"/>
      <c r="X641" s="307"/>
      <c r="Y641" s="307"/>
    </row>
    <row r="642">
      <c r="A642" s="307"/>
      <c r="B642" s="307"/>
      <c r="C642" s="307"/>
      <c r="D642" s="310"/>
      <c r="E642" s="307"/>
      <c r="F642" s="307"/>
      <c r="G642" s="307"/>
      <c r="H642" s="307"/>
      <c r="I642" s="307"/>
      <c r="J642" s="307"/>
      <c r="K642" s="307"/>
      <c r="L642" s="307"/>
      <c r="M642" s="307"/>
      <c r="N642" s="307"/>
      <c r="O642" s="307"/>
      <c r="P642" s="307"/>
      <c r="Q642" s="307"/>
      <c r="R642" s="307"/>
      <c r="S642" s="307"/>
      <c r="T642" s="307"/>
      <c r="U642" s="307"/>
      <c r="V642" s="307"/>
      <c r="W642" s="307"/>
      <c r="X642" s="307"/>
      <c r="Y642" s="307"/>
    </row>
    <row r="643">
      <c r="A643" s="307"/>
      <c r="B643" s="307"/>
      <c r="C643" s="307"/>
      <c r="D643" s="310"/>
      <c r="E643" s="307"/>
      <c r="F643" s="307"/>
      <c r="G643" s="307"/>
      <c r="H643" s="307"/>
      <c r="I643" s="307"/>
      <c r="J643" s="307"/>
      <c r="K643" s="307"/>
      <c r="L643" s="307"/>
      <c r="M643" s="307"/>
      <c r="N643" s="307"/>
      <c r="O643" s="307"/>
      <c r="P643" s="307"/>
      <c r="Q643" s="307"/>
      <c r="R643" s="307"/>
      <c r="S643" s="307"/>
      <c r="T643" s="307"/>
      <c r="U643" s="307"/>
      <c r="V643" s="307"/>
      <c r="W643" s="307"/>
      <c r="X643" s="307"/>
      <c r="Y643" s="307"/>
    </row>
    <row r="644">
      <c r="A644" s="307"/>
      <c r="B644" s="307"/>
      <c r="C644" s="307"/>
      <c r="D644" s="310"/>
      <c r="E644" s="307"/>
      <c r="F644" s="307"/>
      <c r="G644" s="307"/>
      <c r="H644" s="307"/>
      <c r="I644" s="307"/>
      <c r="J644" s="307"/>
      <c r="K644" s="307"/>
      <c r="L644" s="307"/>
      <c r="M644" s="307"/>
      <c r="N644" s="307"/>
      <c r="O644" s="307"/>
      <c r="P644" s="307"/>
      <c r="Q644" s="307"/>
      <c r="R644" s="307"/>
      <c r="S644" s="307"/>
      <c r="T644" s="307"/>
      <c r="U644" s="307"/>
      <c r="V644" s="307"/>
      <c r="W644" s="307"/>
      <c r="X644" s="307"/>
      <c r="Y644" s="307"/>
    </row>
    <row r="645">
      <c r="A645" s="307"/>
      <c r="B645" s="307"/>
      <c r="C645" s="307"/>
      <c r="D645" s="310"/>
      <c r="E645" s="307"/>
      <c r="F645" s="307"/>
      <c r="G645" s="307"/>
      <c r="H645" s="307"/>
      <c r="I645" s="307"/>
      <c r="J645" s="307"/>
      <c r="K645" s="307"/>
      <c r="L645" s="307"/>
      <c r="M645" s="307"/>
      <c r="N645" s="307"/>
      <c r="O645" s="307"/>
      <c r="P645" s="307"/>
      <c r="Q645" s="307"/>
      <c r="R645" s="307"/>
      <c r="S645" s="307"/>
      <c r="T645" s="307"/>
      <c r="U645" s="307"/>
      <c r="V645" s="307"/>
      <c r="W645" s="307"/>
      <c r="X645" s="307"/>
      <c r="Y645" s="307"/>
    </row>
    <row r="646">
      <c r="A646" s="307"/>
      <c r="B646" s="307"/>
      <c r="C646" s="307"/>
      <c r="D646" s="310"/>
      <c r="E646" s="307"/>
      <c r="F646" s="307"/>
      <c r="G646" s="307"/>
      <c r="H646" s="307"/>
      <c r="I646" s="307"/>
      <c r="J646" s="307"/>
      <c r="K646" s="307"/>
      <c r="L646" s="307"/>
      <c r="M646" s="307"/>
      <c r="N646" s="307"/>
      <c r="O646" s="307"/>
      <c r="P646" s="307"/>
      <c r="Q646" s="307"/>
      <c r="R646" s="307"/>
      <c r="S646" s="307"/>
      <c r="T646" s="307"/>
      <c r="U646" s="307"/>
      <c r="V646" s="307"/>
      <c r="W646" s="307"/>
      <c r="X646" s="307"/>
      <c r="Y646" s="307"/>
    </row>
    <row r="647">
      <c r="A647" s="307"/>
      <c r="B647" s="307"/>
      <c r="C647" s="307"/>
      <c r="D647" s="310"/>
      <c r="E647" s="307"/>
      <c r="F647" s="307"/>
      <c r="G647" s="307"/>
      <c r="H647" s="307"/>
      <c r="I647" s="307"/>
      <c r="J647" s="307"/>
      <c r="K647" s="307"/>
      <c r="L647" s="307"/>
      <c r="M647" s="307"/>
      <c r="N647" s="307"/>
      <c r="O647" s="307"/>
      <c r="P647" s="307"/>
      <c r="Q647" s="307"/>
      <c r="R647" s="307"/>
      <c r="S647" s="307"/>
      <c r="T647" s="307"/>
      <c r="U647" s="307"/>
      <c r="V647" s="307"/>
      <c r="W647" s="307"/>
      <c r="X647" s="307"/>
      <c r="Y647" s="307"/>
    </row>
    <row r="648">
      <c r="A648" s="307"/>
      <c r="B648" s="307"/>
      <c r="C648" s="307"/>
      <c r="D648" s="310"/>
      <c r="E648" s="307"/>
      <c r="F648" s="307"/>
      <c r="G648" s="307"/>
      <c r="H648" s="307"/>
      <c r="I648" s="307"/>
      <c r="J648" s="307"/>
      <c r="K648" s="307"/>
      <c r="L648" s="307"/>
      <c r="M648" s="307"/>
      <c r="N648" s="307"/>
      <c r="O648" s="307"/>
      <c r="P648" s="307"/>
      <c r="Q648" s="307"/>
      <c r="R648" s="307"/>
      <c r="S648" s="307"/>
      <c r="T648" s="307"/>
      <c r="U648" s="307"/>
      <c r="V648" s="307"/>
      <c r="W648" s="307"/>
      <c r="X648" s="307"/>
      <c r="Y648" s="307"/>
    </row>
    <row r="649">
      <c r="A649" s="307"/>
      <c r="B649" s="307"/>
      <c r="C649" s="307"/>
      <c r="D649" s="310"/>
      <c r="E649" s="307"/>
      <c r="F649" s="307"/>
      <c r="G649" s="307"/>
      <c r="H649" s="307"/>
      <c r="I649" s="307"/>
      <c r="J649" s="307"/>
      <c r="K649" s="307"/>
      <c r="L649" s="307"/>
      <c r="M649" s="307"/>
      <c r="N649" s="307"/>
      <c r="O649" s="307"/>
      <c r="P649" s="307"/>
      <c r="Q649" s="307"/>
      <c r="R649" s="307"/>
      <c r="S649" s="307"/>
      <c r="T649" s="307"/>
      <c r="U649" s="307"/>
      <c r="V649" s="307"/>
      <c r="W649" s="307"/>
      <c r="X649" s="307"/>
      <c r="Y649" s="307"/>
    </row>
    <row r="650">
      <c r="A650" s="307"/>
      <c r="B650" s="307"/>
      <c r="C650" s="307"/>
      <c r="D650" s="310"/>
      <c r="E650" s="307"/>
      <c r="F650" s="307"/>
      <c r="G650" s="307"/>
      <c r="H650" s="307"/>
      <c r="I650" s="307"/>
      <c r="J650" s="307"/>
      <c r="K650" s="307"/>
      <c r="L650" s="307"/>
      <c r="M650" s="307"/>
      <c r="N650" s="307"/>
      <c r="O650" s="307"/>
      <c r="P650" s="307"/>
      <c r="Q650" s="307"/>
      <c r="R650" s="307"/>
      <c r="S650" s="307"/>
      <c r="T650" s="307"/>
      <c r="U650" s="307"/>
      <c r="V650" s="307"/>
      <c r="W650" s="307"/>
      <c r="X650" s="307"/>
      <c r="Y650" s="307"/>
    </row>
    <row r="651">
      <c r="A651" s="307"/>
      <c r="B651" s="307"/>
      <c r="C651" s="307"/>
      <c r="D651" s="310"/>
      <c r="E651" s="307"/>
      <c r="F651" s="307"/>
      <c r="G651" s="307"/>
      <c r="H651" s="307"/>
      <c r="I651" s="307"/>
      <c r="J651" s="307"/>
      <c r="K651" s="307"/>
      <c r="L651" s="307"/>
      <c r="M651" s="307"/>
      <c r="N651" s="307"/>
      <c r="O651" s="307"/>
      <c r="P651" s="307"/>
      <c r="Q651" s="307"/>
      <c r="R651" s="307"/>
      <c r="S651" s="307"/>
      <c r="T651" s="307"/>
      <c r="U651" s="307"/>
      <c r="V651" s="307"/>
      <c r="W651" s="307"/>
      <c r="X651" s="307"/>
      <c r="Y651" s="307"/>
    </row>
    <row r="652">
      <c r="A652" s="307"/>
      <c r="B652" s="307"/>
      <c r="C652" s="307"/>
      <c r="D652" s="310"/>
      <c r="E652" s="307"/>
      <c r="F652" s="307"/>
      <c r="G652" s="307"/>
      <c r="H652" s="307"/>
      <c r="I652" s="307"/>
      <c r="J652" s="307"/>
      <c r="K652" s="307"/>
      <c r="L652" s="307"/>
      <c r="M652" s="307"/>
      <c r="N652" s="307"/>
      <c r="O652" s="307"/>
      <c r="P652" s="307"/>
      <c r="Q652" s="307"/>
      <c r="R652" s="307"/>
      <c r="S652" s="307"/>
      <c r="T652" s="307"/>
      <c r="U652" s="307"/>
      <c r="V652" s="307"/>
      <c r="W652" s="307"/>
      <c r="X652" s="307"/>
      <c r="Y652" s="307"/>
    </row>
    <row r="653">
      <c r="A653" s="307"/>
      <c r="B653" s="307"/>
      <c r="C653" s="307"/>
      <c r="D653" s="310"/>
      <c r="E653" s="307"/>
      <c r="F653" s="307"/>
      <c r="G653" s="307"/>
      <c r="H653" s="307"/>
      <c r="I653" s="307"/>
      <c r="J653" s="307"/>
      <c r="K653" s="307"/>
      <c r="L653" s="307"/>
      <c r="M653" s="307"/>
      <c r="N653" s="307"/>
      <c r="O653" s="307"/>
      <c r="P653" s="307"/>
      <c r="Q653" s="307"/>
      <c r="R653" s="307"/>
      <c r="S653" s="307"/>
      <c r="T653" s="307"/>
      <c r="U653" s="307"/>
      <c r="V653" s="307"/>
      <c r="W653" s="307"/>
      <c r="X653" s="307"/>
      <c r="Y653" s="307"/>
    </row>
    <row r="654">
      <c r="A654" s="307"/>
      <c r="B654" s="307"/>
      <c r="C654" s="307"/>
      <c r="D654" s="310"/>
      <c r="E654" s="307"/>
      <c r="F654" s="307"/>
      <c r="G654" s="307"/>
      <c r="H654" s="307"/>
      <c r="I654" s="307"/>
      <c r="J654" s="307"/>
      <c r="K654" s="307"/>
      <c r="L654" s="307"/>
      <c r="M654" s="307"/>
      <c r="N654" s="307"/>
      <c r="O654" s="307"/>
      <c r="P654" s="307"/>
      <c r="Q654" s="307"/>
      <c r="R654" s="307"/>
      <c r="S654" s="307"/>
      <c r="T654" s="307"/>
      <c r="U654" s="307"/>
      <c r="V654" s="307"/>
      <c r="W654" s="307"/>
      <c r="X654" s="307"/>
      <c r="Y654" s="307"/>
    </row>
    <row r="655">
      <c r="A655" s="307"/>
      <c r="B655" s="307"/>
      <c r="C655" s="307"/>
      <c r="D655" s="310"/>
      <c r="E655" s="307"/>
      <c r="F655" s="307"/>
      <c r="G655" s="307"/>
      <c r="H655" s="307"/>
      <c r="I655" s="307"/>
      <c r="J655" s="307"/>
      <c r="K655" s="307"/>
      <c r="L655" s="307"/>
      <c r="M655" s="307"/>
      <c r="N655" s="307"/>
      <c r="O655" s="307"/>
      <c r="P655" s="307"/>
      <c r="Q655" s="307"/>
      <c r="R655" s="307"/>
      <c r="S655" s="307"/>
      <c r="T655" s="307"/>
      <c r="U655" s="307"/>
      <c r="V655" s="307"/>
      <c r="W655" s="307"/>
      <c r="X655" s="307"/>
      <c r="Y655" s="307"/>
    </row>
    <row r="656">
      <c r="A656" s="307"/>
      <c r="B656" s="307"/>
      <c r="C656" s="307"/>
      <c r="D656" s="310"/>
      <c r="E656" s="307"/>
      <c r="F656" s="307"/>
      <c r="G656" s="307"/>
      <c r="H656" s="307"/>
      <c r="I656" s="307"/>
      <c r="J656" s="307"/>
      <c r="K656" s="307"/>
      <c r="L656" s="307"/>
      <c r="M656" s="307"/>
      <c r="N656" s="307"/>
      <c r="O656" s="307"/>
      <c r="P656" s="307"/>
      <c r="Q656" s="307"/>
      <c r="R656" s="307"/>
      <c r="S656" s="307"/>
      <c r="T656" s="307"/>
      <c r="U656" s="307"/>
      <c r="V656" s="307"/>
      <c r="W656" s="307"/>
      <c r="X656" s="307"/>
      <c r="Y656" s="307"/>
    </row>
    <row r="657">
      <c r="A657" s="307"/>
      <c r="B657" s="307"/>
      <c r="C657" s="307"/>
      <c r="D657" s="310"/>
      <c r="E657" s="307"/>
      <c r="F657" s="307"/>
      <c r="G657" s="307"/>
      <c r="H657" s="307"/>
      <c r="I657" s="307"/>
      <c r="J657" s="307"/>
      <c r="K657" s="307"/>
      <c r="L657" s="307"/>
      <c r="M657" s="307"/>
      <c r="N657" s="307"/>
      <c r="O657" s="307"/>
      <c r="P657" s="307"/>
      <c r="Q657" s="307"/>
      <c r="R657" s="307"/>
      <c r="S657" s="307"/>
      <c r="T657" s="307"/>
      <c r="U657" s="307"/>
      <c r="V657" s="307"/>
      <c r="W657" s="307"/>
      <c r="X657" s="307"/>
      <c r="Y657" s="307"/>
    </row>
    <row r="658">
      <c r="A658" s="307"/>
      <c r="B658" s="307"/>
      <c r="C658" s="307"/>
      <c r="D658" s="310"/>
      <c r="E658" s="307"/>
      <c r="F658" s="307"/>
      <c r="G658" s="307"/>
      <c r="H658" s="307"/>
      <c r="I658" s="307"/>
      <c r="J658" s="307"/>
      <c r="K658" s="307"/>
      <c r="L658" s="307"/>
      <c r="M658" s="307"/>
      <c r="N658" s="307"/>
      <c r="O658" s="307"/>
      <c r="P658" s="307"/>
      <c r="Q658" s="307"/>
      <c r="R658" s="307"/>
      <c r="S658" s="307"/>
      <c r="T658" s="307"/>
      <c r="U658" s="307"/>
      <c r="V658" s="307"/>
      <c r="W658" s="307"/>
      <c r="X658" s="307"/>
      <c r="Y658" s="307"/>
    </row>
    <row r="659">
      <c r="A659" s="307"/>
      <c r="B659" s="307"/>
      <c r="C659" s="307"/>
      <c r="D659" s="310"/>
      <c r="E659" s="307"/>
      <c r="F659" s="307"/>
      <c r="G659" s="307"/>
      <c r="H659" s="307"/>
      <c r="I659" s="307"/>
      <c r="J659" s="307"/>
      <c r="K659" s="307"/>
      <c r="L659" s="307"/>
      <c r="M659" s="307"/>
      <c r="N659" s="307"/>
      <c r="O659" s="307"/>
      <c r="P659" s="307"/>
      <c r="Q659" s="307"/>
      <c r="R659" s="307"/>
      <c r="S659" s="307"/>
      <c r="T659" s="307"/>
      <c r="U659" s="307"/>
      <c r="V659" s="307"/>
      <c r="W659" s="307"/>
      <c r="X659" s="307"/>
      <c r="Y659" s="307"/>
    </row>
    <row r="660">
      <c r="A660" s="307"/>
      <c r="B660" s="307"/>
      <c r="C660" s="307"/>
      <c r="D660" s="310"/>
      <c r="E660" s="307"/>
      <c r="F660" s="307"/>
      <c r="G660" s="307"/>
      <c r="H660" s="307"/>
      <c r="I660" s="307"/>
      <c r="J660" s="307"/>
      <c r="K660" s="307"/>
      <c r="L660" s="307"/>
      <c r="M660" s="307"/>
      <c r="N660" s="307"/>
      <c r="O660" s="307"/>
      <c r="P660" s="307"/>
      <c r="Q660" s="307"/>
      <c r="R660" s="307"/>
      <c r="S660" s="307"/>
      <c r="T660" s="307"/>
      <c r="U660" s="307"/>
      <c r="V660" s="307"/>
      <c r="W660" s="307"/>
      <c r="X660" s="307"/>
      <c r="Y660" s="307"/>
    </row>
    <row r="661">
      <c r="A661" s="307"/>
      <c r="B661" s="307"/>
      <c r="C661" s="307"/>
      <c r="D661" s="310"/>
      <c r="E661" s="307"/>
      <c r="F661" s="307"/>
      <c r="G661" s="307"/>
      <c r="H661" s="307"/>
      <c r="I661" s="307"/>
      <c r="J661" s="307"/>
      <c r="K661" s="307"/>
      <c r="L661" s="307"/>
      <c r="M661" s="307"/>
      <c r="N661" s="307"/>
      <c r="O661" s="307"/>
      <c r="P661" s="307"/>
      <c r="Q661" s="307"/>
      <c r="R661" s="307"/>
      <c r="S661" s="307"/>
      <c r="T661" s="307"/>
      <c r="U661" s="307"/>
      <c r="V661" s="307"/>
      <c r="W661" s="307"/>
      <c r="X661" s="307"/>
      <c r="Y661" s="307"/>
    </row>
    <row r="662">
      <c r="A662" s="307"/>
      <c r="B662" s="307"/>
      <c r="C662" s="307"/>
      <c r="D662" s="310"/>
      <c r="E662" s="307"/>
      <c r="F662" s="307"/>
      <c r="G662" s="307"/>
      <c r="H662" s="307"/>
      <c r="I662" s="307"/>
      <c r="J662" s="307"/>
      <c r="K662" s="307"/>
      <c r="L662" s="307"/>
      <c r="M662" s="307"/>
      <c r="N662" s="307"/>
      <c r="O662" s="307"/>
      <c r="P662" s="307"/>
      <c r="Q662" s="307"/>
      <c r="R662" s="307"/>
      <c r="S662" s="307"/>
      <c r="T662" s="307"/>
      <c r="U662" s="307"/>
      <c r="V662" s="307"/>
      <c r="W662" s="307"/>
      <c r="X662" s="307"/>
      <c r="Y662" s="307"/>
    </row>
    <row r="663">
      <c r="A663" s="307"/>
      <c r="B663" s="307"/>
      <c r="C663" s="307"/>
      <c r="D663" s="310"/>
      <c r="E663" s="307"/>
      <c r="F663" s="307"/>
      <c r="G663" s="307"/>
      <c r="H663" s="307"/>
      <c r="I663" s="307"/>
      <c r="J663" s="307"/>
      <c r="K663" s="307"/>
      <c r="L663" s="307"/>
      <c r="M663" s="307"/>
      <c r="N663" s="307"/>
      <c r="O663" s="307"/>
      <c r="P663" s="307"/>
      <c r="Q663" s="307"/>
      <c r="R663" s="307"/>
      <c r="S663" s="307"/>
      <c r="T663" s="307"/>
      <c r="U663" s="307"/>
      <c r="V663" s="307"/>
      <c r="W663" s="307"/>
      <c r="X663" s="307"/>
      <c r="Y663" s="307"/>
    </row>
    <row r="664">
      <c r="A664" s="307"/>
      <c r="B664" s="307"/>
      <c r="C664" s="307"/>
      <c r="D664" s="310"/>
      <c r="E664" s="307"/>
      <c r="F664" s="307"/>
      <c r="G664" s="307"/>
      <c r="H664" s="307"/>
      <c r="I664" s="307"/>
      <c r="J664" s="307"/>
      <c r="K664" s="307"/>
      <c r="L664" s="307"/>
      <c r="M664" s="307"/>
      <c r="N664" s="307"/>
      <c r="O664" s="307"/>
      <c r="P664" s="307"/>
      <c r="Q664" s="307"/>
      <c r="R664" s="307"/>
      <c r="S664" s="307"/>
      <c r="T664" s="307"/>
      <c r="U664" s="307"/>
      <c r="V664" s="307"/>
      <c r="W664" s="307"/>
      <c r="X664" s="307"/>
      <c r="Y664" s="307"/>
    </row>
    <row r="665">
      <c r="A665" s="307"/>
      <c r="B665" s="307"/>
      <c r="C665" s="307"/>
      <c r="D665" s="310"/>
      <c r="E665" s="307"/>
      <c r="F665" s="307"/>
      <c r="G665" s="307"/>
      <c r="H665" s="307"/>
      <c r="I665" s="307"/>
      <c r="J665" s="307"/>
      <c r="K665" s="307"/>
      <c r="L665" s="307"/>
      <c r="M665" s="307"/>
      <c r="N665" s="307"/>
      <c r="O665" s="307"/>
      <c r="P665" s="307"/>
      <c r="Q665" s="307"/>
      <c r="R665" s="307"/>
      <c r="S665" s="307"/>
      <c r="T665" s="307"/>
      <c r="U665" s="307"/>
      <c r="V665" s="307"/>
      <c r="W665" s="307"/>
      <c r="X665" s="307"/>
      <c r="Y665" s="307"/>
    </row>
    <row r="666">
      <c r="A666" s="307"/>
      <c r="B666" s="307"/>
      <c r="C666" s="307"/>
      <c r="D666" s="310"/>
      <c r="E666" s="307"/>
      <c r="F666" s="307"/>
      <c r="G666" s="307"/>
      <c r="H666" s="307"/>
      <c r="I666" s="307"/>
      <c r="J666" s="307"/>
      <c r="K666" s="307"/>
      <c r="L666" s="307"/>
      <c r="M666" s="307"/>
      <c r="N666" s="307"/>
      <c r="O666" s="307"/>
      <c r="P666" s="307"/>
      <c r="Q666" s="307"/>
      <c r="R666" s="307"/>
      <c r="S666" s="307"/>
      <c r="T666" s="307"/>
      <c r="U666" s="307"/>
      <c r="V666" s="307"/>
      <c r="W666" s="307"/>
      <c r="X666" s="307"/>
      <c r="Y666" s="307"/>
    </row>
    <row r="667">
      <c r="A667" s="307"/>
      <c r="B667" s="307"/>
      <c r="C667" s="307"/>
      <c r="D667" s="310"/>
      <c r="E667" s="307"/>
      <c r="F667" s="307"/>
      <c r="G667" s="307"/>
      <c r="H667" s="307"/>
      <c r="I667" s="307"/>
      <c r="J667" s="307"/>
      <c r="K667" s="307"/>
      <c r="L667" s="307"/>
      <c r="M667" s="307"/>
      <c r="N667" s="307"/>
      <c r="O667" s="307"/>
      <c r="P667" s="307"/>
      <c r="Q667" s="307"/>
      <c r="R667" s="307"/>
      <c r="S667" s="307"/>
      <c r="T667" s="307"/>
      <c r="U667" s="307"/>
      <c r="V667" s="307"/>
      <c r="W667" s="307"/>
      <c r="X667" s="307"/>
      <c r="Y667" s="307"/>
    </row>
    <row r="668">
      <c r="A668" s="307"/>
      <c r="B668" s="307"/>
      <c r="C668" s="307"/>
      <c r="D668" s="310"/>
      <c r="E668" s="307"/>
      <c r="F668" s="307"/>
      <c r="G668" s="307"/>
      <c r="H668" s="307"/>
      <c r="I668" s="307"/>
      <c r="J668" s="307"/>
      <c r="K668" s="307"/>
      <c r="L668" s="307"/>
      <c r="M668" s="307"/>
      <c r="N668" s="307"/>
      <c r="O668" s="307"/>
      <c r="P668" s="307"/>
      <c r="Q668" s="307"/>
      <c r="R668" s="307"/>
      <c r="S668" s="307"/>
      <c r="T668" s="307"/>
      <c r="U668" s="307"/>
      <c r="V668" s="307"/>
      <c r="W668" s="307"/>
      <c r="X668" s="307"/>
      <c r="Y668" s="307"/>
    </row>
    <row r="669">
      <c r="A669" s="307"/>
      <c r="B669" s="307"/>
      <c r="C669" s="307"/>
      <c r="D669" s="310"/>
      <c r="E669" s="307"/>
      <c r="F669" s="307"/>
      <c r="G669" s="307"/>
      <c r="H669" s="307"/>
      <c r="I669" s="307"/>
      <c r="J669" s="307"/>
      <c r="K669" s="307"/>
      <c r="L669" s="307"/>
      <c r="M669" s="307"/>
      <c r="N669" s="307"/>
      <c r="O669" s="307"/>
      <c r="P669" s="307"/>
      <c r="Q669" s="307"/>
      <c r="R669" s="307"/>
      <c r="S669" s="307"/>
      <c r="T669" s="307"/>
      <c r="U669" s="307"/>
      <c r="V669" s="307"/>
      <c r="W669" s="307"/>
      <c r="X669" s="307"/>
      <c r="Y669" s="307"/>
    </row>
    <row r="670">
      <c r="A670" s="307"/>
      <c r="B670" s="307"/>
      <c r="C670" s="307"/>
      <c r="D670" s="310"/>
      <c r="E670" s="307"/>
      <c r="F670" s="307"/>
      <c r="G670" s="307"/>
      <c r="H670" s="307"/>
      <c r="I670" s="307"/>
      <c r="J670" s="307"/>
      <c r="K670" s="307"/>
      <c r="L670" s="307"/>
      <c r="M670" s="307"/>
      <c r="N670" s="307"/>
      <c r="O670" s="307"/>
      <c r="P670" s="307"/>
      <c r="Q670" s="307"/>
      <c r="R670" s="307"/>
      <c r="S670" s="307"/>
      <c r="T670" s="307"/>
      <c r="U670" s="307"/>
      <c r="V670" s="307"/>
      <c r="W670" s="307"/>
      <c r="X670" s="307"/>
      <c r="Y670" s="307"/>
    </row>
    <row r="671">
      <c r="A671" s="307"/>
      <c r="B671" s="307"/>
      <c r="C671" s="307"/>
      <c r="D671" s="310"/>
      <c r="E671" s="307"/>
      <c r="F671" s="307"/>
      <c r="G671" s="307"/>
      <c r="H671" s="307"/>
      <c r="I671" s="307"/>
      <c r="J671" s="307"/>
      <c r="K671" s="307"/>
      <c r="L671" s="307"/>
      <c r="M671" s="307"/>
      <c r="N671" s="307"/>
      <c r="O671" s="307"/>
      <c r="P671" s="307"/>
      <c r="Q671" s="307"/>
      <c r="R671" s="307"/>
      <c r="S671" s="307"/>
      <c r="T671" s="307"/>
      <c r="U671" s="307"/>
      <c r="V671" s="307"/>
      <c r="W671" s="307"/>
      <c r="X671" s="307"/>
      <c r="Y671" s="307"/>
    </row>
    <row r="672">
      <c r="A672" s="307"/>
      <c r="B672" s="307"/>
      <c r="C672" s="307"/>
      <c r="D672" s="310"/>
      <c r="E672" s="307"/>
      <c r="F672" s="307"/>
      <c r="G672" s="307"/>
      <c r="H672" s="307"/>
      <c r="I672" s="307"/>
      <c r="J672" s="307"/>
      <c r="K672" s="307"/>
      <c r="L672" s="307"/>
      <c r="M672" s="307"/>
      <c r="N672" s="307"/>
      <c r="O672" s="307"/>
      <c r="P672" s="307"/>
      <c r="Q672" s="307"/>
      <c r="R672" s="307"/>
      <c r="S672" s="307"/>
      <c r="T672" s="307"/>
      <c r="U672" s="307"/>
      <c r="V672" s="307"/>
      <c r="W672" s="307"/>
      <c r="X672" s="307"/>
      <c r="Y672" s="307"/>
    </row>
    <row r="673">
      <c r="A673" s="307"/>
      <c r="B673" s="307"/>
      <c r="C673" s="307"/>
      <c r="D673" s="310"/>
      <c r="E673" s="307"/>
      <c r="F673" s="307"/>
      <c r="G673" s="307"/>
      <c r="H673" s="307"/>
      <c r="I673" s="307"/>
      <c r="J673" s="307"/>
      <c r="K673" s="307"/>
      <c r="L673" s="307"/>
      <c r="M673" s="307"/>
      <c r="N673" s="307"/>
      <c r="O673" s="307"/>
      <c r="P673" s="307"/>
      <c r="Q673" s="307"/>
      <c r="R673" s="307"/>
      <c r="S673" s="307"/>
      <c r="T673" s="307"/>
      <c r="U673" s="307"/>
      <c r="V673" s="307"/>
      <c r="W673" s="307"/>
      <c r="X673" s="307"/>
      <c r="Y673" s="307"/>
    </row>
    <row r="674">
      <c r="A674" s="307"/>
      <c r="B674" s="307"/>
      <c r="C674" s="307"/>
      <c r="D674" s="310"/>
      <c r="E674" s="307"/>
      <c r="F674" s="307"/>
      <c r="G674" s="307"/>
      <c r="H674" s="307"/>
      <c r="I674" s="307"/>
      <c r="J674" s="307"/>
      <c r="K674" s="307"/>
      <c r="L674" s="307"/>
      <c r="M674" s="307"/>
      <c r="N674" s="307"/>
      <c r="O674" s="307"/>
      <c r="P674" s="307"/>
      <c r="Q674" s="307"/>
      <c r="R674" s="307"/>
      <c r="S674" s="307"/>
      <c r="T674" s="307"/>
      <c r="U674" s="307"/>
      <c r="V674" s="307"/>
      <c r="W674" s="307"/>
      <c r="X674" s="307"/>
      <c r="Y674" s="307"/>
    </row>
    <row r="675">
      <c r="A675" s="307"/>
      <c r="B675" s="307"/>
      <c r="C675" s="307"/>
      <c r="D675" s="310"/>
      <c r="E675" s="307"/>
      <c r="F675" s="307"/>
      <c r="G675" s="307"/>
      <c r="H675" s="307"/>
      <c r="I675" s="307"/>
      <c r="J675" s="307"/>
      <c r="K675" s="307"/>
      <c r="L675" s="307"/>
      <c r="M675" s="307"/>
      <c r="N675" s="307"/>
      <c r="O675" s="307"/>
      <c r="P675" s="307"/>
      <c r="Q675" s="307"/>
      <c r="R675" s="307"/>
      <c r="S675" s="307"/>
      <c r="T675" s="307"/>
      <c r="U675" s="307"/>
      <c r="V675" s="307"/>
      <c r="W675" s="307"/>
      <c r="X675" s="307"/>
      <c r="Y675" s="307"/>
    </row>
    <row r="676">
      <c r="A676" s="307"/>
      <c r="B676" s="307"/>
      <c r="C676" s="307"/>
      <c r="D676" s="310"/>
      <c r="E676" s="307"/>
      <c r="F676" s="307"/>
      <c r="G676" s="307"/>
      <c r="H676" s="307"/>
      <c r="I676" s="307"/>
      <c r="J676" s="307"/>
      <c r="K676" s="307"/>
      <c r="L676" s="307"/>
      <c r="M676" s="307"/>
      <c r="N676" s="307"/>
      <c r="O676" s="307"/>
      <c r="P676" s="307"/>
      <c r="Q676" s="307"/>
      <c r="R676" s="307"/>
      <c r="S676" s="307"/>
      <c r="T676" s="307"/>
      <c r="U676" s="307"/>
      <c r="V676" s="307"/>
      <c r="W676" s="307"/>
      <c r="X676" s="307"/>
      <c r="Y676" s="307"/>
    </row>
    <row r="677">
      <c r="A677" s="307"/>
      <c r="B677" s="307"/>
      <c r="C677" s="307"/>
      <c r="D677" s="310"/>
      <c r="E677" s="307"/>
      <c r="F677" s="307"/>
      <c r="G677" s="307"/>
      <c r="H677" s="307"/>
      <c r="I677" s="307"/>
      <c r="J677" s="307"/>
      <c r="K677" s="307"/>
      <c r="L677" s="307"/>
      <c r="M677" s="307"/>
      <c r="N677" s="307"/>
      <c r="O677" s="307"/>
      <c r="P677" s="307"/>
      <c r="Q677" s="307"/>
      <c r="R677" s="307"/>
      <c r="S677" s="307"/>
      <c r="T677" s="307"/>
      <c r="U677" s="307"/>
      <c r="V677" s="307"/>
      <c r="W677" s="307"/>
      <c r="X677" s="307"/>
      <c r="Y677" s="307"/>
    </row>
    <row r="678">
      <c r="A678" s="307"/>
      <c r="B678" s="307"/>
      <c r="C678" s="307"/>
      <c r="D678" s="310"/>
      <c r="E678" s="307"/>
      <c r="F678" s="307"/>
      <c r="G678" s="307"/>
      <c r="H678" s="307"/>
      <c r="I678" s="307"/>
      <c r="J678" s="307"/>
      <c r="K678" s="307"/>
      <c r="L678" s="307"/>
      <c r="M678" s="307"/>
      <c r="N678" s="307"/>
      <c r="O678" s="307"/>
      <c r="P678" s="307"/>
      <c r="Q678" s="307"/>
      <c r="R678" s="307"/>
      <c r="S678" s="307"/>
      <c r="T678" s="307"/>
      <c r="U678" s="307"/>
      <c r="V678" s="307"/>
      <c r="W678" s="307"/>
      <c r="X678" s="307"/>
      <c r="Y678" s="307"/>
    </row>
    <row r="679">
      <c r="A679" s="307"/>
      <c r="B679" s="307"/>
      <c r="C679" s="307"/>
      <c r="D679" s="310"/>
      <c r="E679" s="307"/>
      <c r="F679" s="307"/>
      <c r="G679" s="307"/>
      <c r="H679" s="307"/>
      <c r="I679" s="307"/>
      <c r="J679" s="307"/>
      <c r="K679" s="307"/>
      <c r="L679" s="307"/>
      <c r="M679" s="307"/>
      <c r="N679" s="307"/>
      <c r="O679" s="307"/>
      <c r="P679" s="307"/>
      <c r="Q679" s="307"/>
      <c r="R679" s="307"/>
      <c r="S679" s="307"/>
      <c r="T679" s="307"/>
      <c r="U679" s="307"/>
      <c r="V679" s="307"/>
      <c r="W679" s="307"/>
      <c r="X679" s="307"/>
      <c r="Y679" s="307"/>
    </row>
    <row r="680">
      <c r="A680" s="307"/>
      <c r="B680" s="307"/>
      <c r="C680" s="307"/>
      <c r="D680" s="310"/>
      <c r="E680" s="307"/>
      <c r="F680" s="307"/>
      <c r="G680" s="307"/>
      <c r="H680" s="307"/>
      <c r="I680" s="307"/>
      <c r="J680" s="307"/>
      <c r="K680" s="307"/>
      <c r="L680" s="307"/>
      <c r="M680" s="307"/>
      <c r="N680" s="307"/>
      <c r="O680" s="307"/>
      <c r="P680" s="307"/>
      <c r="Q680" s="307"/>
      <c r="R680" s="307"/>
      <c r="S680" s="307"/>
      <c r="T680" s="307"/>
      <c r="U680" s="307"/>
      <c r="V680" s="307"/>
      <c r="W680" s="307"/>
      <c r="X680" s="307"/>
      <c r="Y680" s="307"/>
    </row>
    <row r="681">
      <c r="A681" s="307"/>
      <c r="B681" s="307"/>
      <c r="C681" s="307"/>
      <c r="D681" s="310"/>
      <c r="E681" s="307"/>
      <c r="F681" s="307"/>
      <c r="G681" s="307"/>
      <c r="H681" s="307"/>
      <c r="I681" s="307"/>
      <c r="J681" s="307"/>
      <c r="K681" s="307"/>
      <c r="L681" s="307"/>
      <c r="M681" s="307"/>
      <c r="N681" s="307"/>
      <c r="O681" s="307"/>
      <c r="P681" s="307"/>
      <c r="Q681" s="307"/>
      <c r="R681" s="307"/>
      <c r="S681" s="307"/>
      <c r="T681" s="307"/>
      <c r="U681" s="307"/>
      <c r="V681" s="307"/>
      <c r="W681" s="307"/>
      <c r="X681" s="307"/>
      <c r="Y681" s="307"/>
    </row>
    <row r="682">
      <c r="A682" s="307"/>
      <c r="B682" s="307"/>
      <c r="C682" s="307"/>
      <c r="D682" s="310"/>
      <c r="E682" s="307"/>
      <c r="F682" s="307"/>
      <c r="G682" s="307"/>
      <c r="H682" s="307"/>
      <c r="I682" s="307"/>
      <c r="J682" s="307"/>
      <c r="K682" s="307"/>
      <c r="L682" s="307"/>
      <c r="M682" s="307"/>
      <c r="N682" s="307"/>
      <c r="O682" s="307"/>
      <c r="P682" s="307"/>
      <c r="Q682" s="307"/>
      <c r="R682" s="307"/>
      <c r="S682" s="307"/>
      <c r="T682" s="307"/>
      <c r="U682" s="307"/>
      <c r="V682" s="307"/>
      <c r="W682" s="307"/>
      <c r="X682" s="307"/>
      <c r="Y682" s="307"/>
    </row>
    <row r="683">
      <c r="A683" s="307"/>
      <c r="B683" s="307"/>
      <c r="C683" s="307"/>
      <c r="D683" s="310"/>
      <c r="E683" s="307"/>
      <c r="F683" s="307"/>
      <c r="G683" s="307"/>
      <c r="H683" s="307"/>
      <c r="I683" s="307"/>
      <c r="J683" s="307"/>
      <c r="K683" s="307"/>
      <c r="L683" s="307"/>
      <c r="M683" s="307"/>
      <c r="N683" s="307"/>
      <c r="O683" s="307"/>
      <c r="P683" s="307"/>
      <c r="Q683" s="307"/>
      <c r="R683" s="307"/>
      <c r="S683" s="307"/>
      <c r="T683" s="307"/>
      <c r="U683" s="307"/>
      <c r="V683" s="307"/>
      <c r="W683" s="307"/>
      <c r="X683" s="307"/>
      <c r="Y683" s="307"/>
    </row>
    <row r="684">
      <c r="A684" s="307"/>
      <c r="B684" s="307"/>
      <c r="C684" s="307"/>
      <c r="D684" s="310"/>
      <c r="E684" s="307"/>
      <c r="F684" s="307"/>
      <c r="G684" s="307"/>
      <c r="H684" s="307"/>
      <c r="I684" s="307"/>
      <c r="J684" s="307"/>
      <c r="K684" s="307"/>
      <c r="L684" s="307"/>
      <c r="M684" s="307"/>
      <c r="N684" s="307"/>
      <c r="O684" s="307"/>
      <c r="P684" s="307"/>
      <c r="Q684" s="307"/>
      <c r="R684" s="307"/>
      <c r="S684" s="307"/>
      <c r="T684" s="307"/>
      <c r="U684" s="307"/>
      <c r="V684" s="307"/>
      <c r="W684" s="307"/>
      <c r="X684" s="307"/>
      <c r="Y684" s="307"/>
    </row>
    <row r="685">
      <c r="A685" s="307"/>
      <c r="B685" s="307"/>
      <c r="C685" s="307"/>
      <c r="D685" s="310"/>
      <c r="E685" s="307"/>
      <c r="F685" s="307"/>
      <c r="G685" s="307"/>
      <c r="H685" s="307"/>
      <c r="I685" s="307"/>
      <c r="J685" s="307"/>
      <c r="K685" s="307"/>
      <c r="L685" s="307"/>
      <c r="M685" s="307"/>
      <c r="N685" s="307"/>
      <c r="O685" s="307"/>
      <c r="P685" s="307"/>
      <c r="Q685" s="307"/>
      <c r="R685" s="307"/>
      <c r="S685" s="307"/>
      <c r="T685" s="307"/>
      <c r="U685" s="307"/>
      <c r="V685" s="307"/>
      <c r="W685" s="307"/>
      <c r="X685" s="307"/>
      <c r="Y685" s="307"/>
    </row>
    <row r="686">
      <c r="A686" s="307"/>
      <c r="B686" s="307"/>
      <c r="C686" s="307"/>
      <c r="D686" s="310"/>
      <c r="E686" s="307"/>
      <c r="F686" s="307"/>
      <c r="G686" s="307"/>
      <c r="H686" s="307"/>
      <c r="I686" s="307"/>
      <c r="J686" s="307"/>
      <c r="K686" s="307"/>
      <c r="L686" s="307"/>
      <c r="M686" s="307"/>
      <c r="N686" s="307"/>
      <c r="O686" s="307"/>
      <c r="P686" s="307"/>
      <c r="Q686" s="307"/>
      <c r="R686" s="307"/>
      <c r="S686" s="307"/>
      <c r="T686" s="307"/>
      <c r="U686" s="307"/>
      <c r="V686" s="307"/>
      <c r="W686" s="307"/>
      <c r="X686" s="307"/>
      <c r="Y686" s="307"/>
    </row>
    <row r="687">
      <c r="A687" s="307"/>
      <c r="B687" s="307"/>
      <c r="C687" s="307"/>
      <c r="D687" s="310"/>
      <c r="E687" s="307"/>
      <c r="F687" s="307"/>
      <c r="G687" s="307"/>
      <c r="H687" s="307"/>
      <c r="I687" s="307"/>
      <c r="J687" s="307"/>
      <c r="K687" s="307"/>
      <c r="L687" s="307"/>
      <c r="M687" s="307"/>
      <c r="N687" s="307"/>
      <c r="O687" s="307"/>
      <c r="P687" s="307"/>
      <c r="Q687" s="307"/>
      <c r="R687" s="307"/>
      <c r="S687" s="307"/>
      <c r="T687" s="307"/>
      <c r="U687" s="307"/>
      <c r="V687" s="307"/>
      <c r="W687" s="307"/>
      <c r="X687" s="307"/>
      <c r="Y687" s="307"/>
    </row>
    <row r="688">
      <c r="A688" s="307"/>
      <c r="B688" s="307"/>
      <c r="C688" s="307"/>
      <c r="D688" s="310"/>
      <c r="E688" s="307"/>
      <c r="F688" s="307"/>
      <c r="G688" s="307"/>
      <c r="H688" s="307"/>
      <c r="I688" s="307"/>
      <c r="J688" s="307"/>
      <c r="K688" s="307"/>
      <c r="L688" s="307"/>
      <c r="M688" s="307"/>
      <c r="N688" s="307"/>
      <c r="O688" s="307"/>
      <c r="P688" s="307"/>
      <c r="Q688" s="307"/>
      <c r="R688" s="307"/>
      <c r="S688" s="307"/>
      <c r="T688" s="307"/>
      <c r="U688" s="307"/>
      <c r="V688" s="307"/>
      <c r="W688" s="307"/>
      <c r="X688" s="307"/>
      <c r="Y688" s="307"/>
    </row>
    <row r="689">
      <c r="A689" s="307"/>
      <c r="B689" s="307"/>
      <c r="C689" s="307"/>
      <c r="D689" s="310"/>
      <c r="E689" s="307"/>
      <c r="F689" s="307"/>
      <c r="G689" s="307"/>
      <c r="H689" s="307"/>
      <c r="I689" s="307"/>
      <c r="J689" s="307"/>
      <c r="K689" s="307"/>
      <c r="L689" s="307"/>
      <c r="M689" s="307"/>
      <c r="N689" s="307"/>
      <c r="O689" s="307"/>
      <c r="P689" s="307"/>
      <c r="Q689" s="307"/>
      <c r="R689" s="307"/>
      <c r="S689" s="307"/>
      <c r="T689" s="307"/>
      <c r="U689" s="307"/>
      <c r="V689" s="307"/>
      <c r="W689" s="307"/>
      <c r="X689" s="307"/>
      <c r="Y689" s="307"/>
    </row>
    <row r="690">
      <c r="A690" s="307"/>
      <c r="B690" s="307"/>
      <c r="C690" s="307"/>
      <c r="D690" s="310"/>
      <c r="E690" s="307"/>
      <c r="F690" s="307"/>
      <c r="G690" s="307"/>
      <c r="H690" s="307"/>
      <c r="I690" s="307"/>
      <c r="J690" s="307"/>
      <c r="K690" s="307"/>
      <c r="L690" s="307"/>
      <c r="M690" s="307"/>
      <c r="N690" s="307"/>
      <c r="O690" s="307"/>
      <c r="P690" s="307"/>
      <c r="Q690" s="307"/>
      <c r="R690" s="307"/>
      <c r="S690" s="307"/>
      <c r="T690" s="307"/>
      <c r="U690" s="307"/>
      <c r="V690" s="307"/>
      <c r="W690" s="307"/>
      <c r="X690" s="307"/>
      <c r="Y690" s="307"/>
    </row>
    <row r="691">
      <c r="A691" s="307"/>
      <c r="B691" s="307"/>
      <c r="C691" s="307"/>
      <c r="D691" s="310"/>
      <c r="E691" s="307"/>
      <c r="F691" s="307"/>
      <c r="G691" s="307"/>
      <c r="H691" s="307"/>
      <c r="I691" s="307"/>
      <c r="J691" s="307"/>
      <c r="K691" s="307"/>
      <c r="L691" s="307"/>
      <c r="M691" s="307"/>
      <c r="N691" s="307"/>
      <c r="O691" s="307"/>
      <c r="P691" s="307"/>
      <c r="Q691" s="307"/>
      <c r="R691" s="307"/>
      <c r="S691" s="307"/>
      <c r="T691" s="307"/>
      <c r="U691" s="307"/>
      <c r="V691" s="307"/>
      <c r="W691" s="307"/>
      <c r="X691" s="307"/>
      <c r="Y691" s="307"/>
    </row>
    <row r="692">
      <c r="A692" s="307"/>
      <c r="B692" s="307"/>
      <c r="C692" s="307"/>
      <c r="D692" s="310"/>
      <c r="E692" s="307"/>
      <c r="F692" s="307"/>
      <c r="G692" s="307"/>
      <c r="H692" s="307"/>
      <c r="I692" s="307"/>
      <c r="J692" s="307"/>
      <c r="K692" s="307"/>
      <c r="L692" s="307"/>
      <c r="M692" s="307"/>
      <c r="N692" s="307"/>
      <c r="O692" s="307"/>
      <c r="P692" s="307"/>
      <c r="Q692" s="307"/>
      <c r="R692" s="307"/>
      <c r="S692" s="307"/>
      <c r="T692" s="307"/>
      <c r="U692" s="307"/>
      <c r="V692" s="307"/>
      <c r="W692" s="307"/>
      <c r="X692" s="307"/>
      <c r="Y692" s="307"/>
    </row>
    <row r="693">
      <c r="A693" s="307"/>
      <c r="B693" s="307"/>
      <c r="C693" s="307"/>
      <c r="D693" s="310"/>
      <c r="E693" s="307"/>
      <c r="F693" s="307"/>
      <c r="G693" s="307"/>
      <c r="H693" s="307"/>
      <c r="I693" s="307"/>
      <c r="J693" s="307"/>
      <c r="K693" s="307"/>
      <c r="L693" s="307"/>
      <c r="M693" s="307"/>
      <c r="N693" s="307"/>
      <c r="O693" s="307"/>
      <c r="P693" s="307"/>
      <c r="Q693" s="307"/>
      <c r="R693" s="307"/>
      <c r="S693" s="307"/>
      <c r="T693" s="307"/>
      <c r="U693" s="307"/>
      <c r="V693" s="307"/>
      <c r="W693" s="307"/>
      <c r="X693" s="307"/>
      <c r="Y693" s="307"/>
    </row>
    <row r="694">
      <c r="A694" s="307"/>
      <c r="B694" s="307"/>
      <c r="C694" s="307"/>
      <c r="D694" s="310"/>
      <c r="E694" s="307"/>
      <c r="F694" s="307"/>
      <c r="G694" s="307"/>
      <c r="H694" s="307"/>
      <c r="I694" s="307"/>
      <c r="J694" s="307"/>
      <c r="K694" s="307"/>
      <c r="L694" s="307"/>
      <c r="M694" s="307"/>
      <c r="N694" s="307"/>
      <c r="O694" s="307"/>
      <c r="P694" s="307"/>
      <c r="Q694" s="307"/>
      <c r="R694" s="307"/>
      <c r="S694" s="307"/>
      <c r="T694" s="307"/>
      <c r="U694" s="307"/>
      <c r="V694" s="307"/>
      <c r="W694" s="307"/>
      <c r="X694" s="307"/>
      <c r="Y694" s="307"/>
    </row>
    <row r="695">
      <c r="A695" s="307"/>
      <c r="B695" s="307"/>
      <c r="C695" s="307"/>
      <c r="D695" s="310"/>
      <c r="E695" s="307"/>
      <c r="F695" s="307"/>
      <c r="G695" s="307"/>
      <c r="H695" s="307"/>
      <c r="I695" s="307"/>
      <c r="J695" s="307"/>
      <c r="K695" s="307"/>
      <c r="L695" s="307"/>
      <c r="M695" s="307"/>
      <c r="N695" s="307"/>
      <c r="O695" s="307"/>
      <c r="P695" s="307"/>
      <c r="Q695" s="307"/>
      <c r="R695" s="307"/>
      <c r="S695" s="307"/>
      <c r="T695" s="307"/>
      <c r="U695" s="307"/>
      <c r="V695" s="307"/>
      <c r="W695" s="307"/>
      <c r="X695" s="307"/>
      <c r="Y695" s="307"/>
    </row>
    <row r="696">
      <c r="A696" s="307"/>
      <c r="B696" s="307"/>
      <c r="C696" s="307"/>
      <c r="D696" s="310"/>
      <c r="E696" s="307"/>
      <c r="F696" s="307"/>
      <c r="G696" s="307"/>
      <c r="H696" s="307"/>
      <c r="I696" s="307"/>
      <c r="J696" s="307"/>
      <c r="K696" s="307"/>
      <c r="L696" s="307"/>
      <c r="M696" s="307"/>
      <c r="N696" s="307"/>
      <c r="O696" s="307"/>
      <c r="P696" s="307"/>
      <c r="Q696" s="307"/>
      <c r="R696" s="307"/>
      <c r="S696" s="307"/>
      <c r="T696" s="307"/>
      <c r="U696" s="307"/>
      <c r="V696" s="307"/>
      <c r="W696" s="307"/>
      <c r="X696" s="307"/>
      <c r="Y696" s="307"/>
    </row>
    <row r="697">
      <c r="A697" s="307"/>
      <c r="B697" s="307"/>
      <c r="C697" s="307"/>
      <c r="D697" s="310"/>
      <c r="E697" s="307"/>
      <c r="F697" s="307"/>
      <c r="G697" s="307"/>
      <c r="H697" s="307"/>
      <c r="I697" s="307"/>
      <c r="J697" s="307"/>
      <c r="K697" s="307"/>
      <c r="L697" s="307"/>
      <c r="M697" s="307"/>
      <c r="N697" s="307"/>
      <c r="O697" s="307"/>
      <c r="P697" s="307"/>
      <c r="Q697" s="307"/>
      <c r="R697" s="307"/>
      <c r="S697" s="307"/>
      <c r="T697" s="307"/>
      <c r="U697" s="307"/>
      <c r="V697" s="307"/>
      <c r="W697" s="307"/>
      <c r="X697" s="307"/>
      <c r="Y697" s="307"/>
    </row>
    <row r="698">
      <c r="A698" s="307"/>
      <c r="B698" s="307"/>
      <c r="C698" s="307"/>
      <c r="D698" s="310"/>
      <c r="E698" s="307"/>
      <c r="F698" s="307"/>
      <c r="G698" s="307"/>
      <c r="H698" s="307"/>
      <c r="I698" s="307"/>
      <c r="J698" s="307"/>
      <c r="K698" s="307"/>
      <c r="L698" s="307"/>
      <c r="M698" s="307"/>
      <c r="N698" s="307"/>
      <c r="O698" s="307"/>
      <c r="P698" s="307"/>
      <c r="Q698" s="307"/>
      <c r="R698" s="307"/>
      <c r="S698" s="307"/>
      <c r="T698" s="307"/>
      <c r="U698" s="307"/>
      <c r="V698" s="307"/>
      <c r="W698" s="307"/>
      <c r="X698" s="307"/>
      <c r="Y698" s="307"/>
    </row>
    <row r="699">
      <c r="A699" s="307"/>
      <c r="B699" s="307"/>
      <c r="C699" s="307"/>
      <c r="D699" s="310"/>
      <c r="E699" s="307"/>
      <c r="F699" s="307"/>
      <c r="G699" s="307"/>
      <c r="H699" s="307"/>
      <c r="I699" s="307"/>
      <c r="J699" s="307"/>
      <c r="K699" s="307"/>
      <c r="L699" s="307"/>
      <c r="M699" s="307"/>
      <c r="N699" s="307"/>
      <c r="O699" s="307"/>
      <c r="P699" s="307"/>
      <c r="Q699" s="307"/>
      <c r="R699" s="307"/>
      <c r="S699" s="307"/>
      <c r="T699" s="307"/>
      <c r="U699" s="307"/>
      <c r="V699" s="307"/>
      <c r="W699" s="307"/>
      <c r="X699" s="307"/>
      <c r="Y699" s="307"/>
    </row>
    <row r="700">
      <c r="A700" s="307"/>
      <c r="B700" s="307"/>
      <c r="C700" s="307"/>
      <c r="D700" s="310"/>
      <c r="E700" s="307"/>
      <c r="F700" s="307"/>
      <c r="G700" s="307"/>
      <c r="H700" s="307"/>
      <c r="I700" s="307"/>
      <c r="J700" s="307"/>
      <c r="K700" s="307"/>
      <c r="L700" s="307"/>
      <c r="M700" s="307"/>
      <c r="N700" s="307"/>
      <c r="O700" s="307"/>
      <c r="P700" s="307"/>
      <c r="Q700" s="307"/>
      <c r="R700" s="307"/>
      <c r="S700" s="307"/>
      <c r="T700" s="307"/>
      <c r="U700" s="307"/>
      <c r="V700" s="307"/>
      <c r="W700" s="307"/>
      <c r="X700" s="307"/>
      <c r="Y700" s="307"/>
    </row>
    <row r="701">
      <c r="A701" s="307"/>
      <c r="B701" s="307"/>
      <c r="C701" s="307"/>
      <c r="D701" s="310"/>
      <c r="E701" s="307"/>
      <c r="F701" s="307"/>
      <c r="G701" s="307"/>
      <c r="H701" s="307"/>
      <c r="I701" s="307"/>
      <c r="J701" s="307"/>
      <c r="K701" s="307"/>
      <c r="L701" s="307"/>
      <c r="M701" s="307"/>
      <c r="N701" s="307"/>
      <c r="O701" s="307"/>
      <c r="P701" s="307"/>
      <c r="Q701" s="307"/>
      <c r="R701" s="307"/>
      <c r="S701" s="307"/>
      <c r="T701" s="307"/>
      <c r="U701" s="307"/>
      <c r="V701" s="307"/>
      <c r="W701" s="307"/>
      <c r="X701" s="307"/>
      <c r="Y701" s="307"/>
    </row>
    <row r="702">
      <c r="A702" s="307"/>
      <c r="B702" s="307"/>
      <c r="C702" s="307"/>
      <c r="D702" s="310"/>
      <c r="E702" s="307"/>
      <c r="F702" s="307"/>
      <c r="G702" s="307"/>
      <c r="H702" s="307"/>
      <c r="I702" s="307"/>
      <c r="J702" s="307"/>
      <c r="K702" s="307"/>
      <c r="L702" s="307"/>
      <c r="M702" s="307"/>
      <c r="N702" s="307"/>
      <c r="O702" s="307"/>
      <c r="P702" s="307"/>
      <c r="Q702" s="307"/>
      <c r="R702" s="307"/>
      <c r="S702" s="307"/>
      <c r="T702" s="307"/>
      <c r="U702" s="307"/>
      <c r="V702" s="307"/>
      <c r="W702" s="307"/>
      <c r="X702" s="307"/>
      <c r="Y702" s="307"/>
    </row>
    <row r="703">
      <c r="A703" s="307"/>
      <c r="B703" s="307"/>
      <c r="C703" s="307"/>
      <c r="D703" s="310"/>
      <c r="E703" s="307"/>
      <c r="F703" s="307"/>
      <c r="G703" s="307"/>
      <c r="H703" s="307"/>
      <c r="I703" s="307"/>
      <c r="J703" s="307"/>
      <c r="K703" s="307"/>
      <c r="L703" s="307"/>
      <c r="M703" s="307"/>
      <c r="N703" s="307"/>
      <c r="O703" s="307"/>
      <c r="P703" s="307"/>
      <c r="Q703" s="307"/>
      <c r="R703" s="307"/>
      <c r="S703" s="307"/>
      <c r="T703" s="307"/>
      <c r="U703" s="307"/>
      <c r="V703" s="307"/>
      <c r="W703" s="307"/>
      <c r="X703" s="307"/>
      <c r="Y703" s="307"/>
    </row>
    <row r="704">
      <c r="A704" s="307"/>
      <c r="B704" s="307"/>
      <c r="C704" s="307"/>
      <c r="D704" s="310"/>
      <c r="E704" s="307"/>
      <c r="F704" s="307"/>
      <c r="G704" s="307"/>
      <c r="H704" s="307"/>
      <c r="I704" s="307"/>
      <c r="J704" s="307"/>
      <c r="K704" s="307"/>
      <c r="L704" s="307"/>
      <c r="M704" s="307"/>
      <c r="N704" s="307"/>
      <c r="O704" s="307"/>
      <c r="P704" s="307"/>
      <c r="Q704" s="307"/>
      <c r="R704" s="307"/>
      <c r="S704" s="307"/>
      <c r="T704" s="307"/>
      <c r="U704" s="307"/>
      <c r="V704" s="307"/>
      <c r="W704" s="307"/>
      <c r="X704" s="307"/>
      <c r="Y704" s="307"/>
    </row>
    <row r="705">
      <c r="A705" s="307"/>
      <c r="B705" s="307"/>
      <c r="C705" s="307"/>
      <c r="D705" s="310"/>
      <c r="E705" s="307"/>
      <c r="F705" s="307"/>
      <c r="G705" s="307"/>
      <c r="H705" s="307"/>
      <c r="I705" s="307"/>
      <c r="J705" s="307"/>
      <c r="K705" s="307"/>
      <c r="L705" s="307"/>
      <c r="M705" s="307"/>
      <c r="N705" s="307"/>
      <c r="O705" s="307"/>
      <c r="P705" s="307"/>
      <c r="Q705" s="307"/>
      <c r="R705" s="307"/>
      <c r="S705" s="307"/>
      <c r="T705" s="307"/>
      <c r="U705" s="307"/>
      <c r="V705" s="307"/>
      <c r="W705" s="307"/>
      <c r="X705" s="307"/>
      <c r="Y705" s="307"/>
    </row>
    <row r="706">
      <c r="A706" s="307"/>
      <c r="B706" s="307"/>
      <c r="C706" s="307"/>
      <c r="D706" s="310"/>
      <c r="E706" s="307"/>
      <c r="F706" s="307"/>
      <c r="G706" s="307"/>
      <c r="H706" s="307"/>
      <c r="I706" s="307"/>
      <c r="J706" s="307"/>
      <c r="K706" s="307"/>
      <c r="L706" s="307"/>
      <c r="M706" s="307"/>
      <c r="N706" s="307"/>
      <c r="O706" s="307"/>
      <c r="P706" s="307"/>
      <c r="Q706" s="307"/>
      <c r="R706" s="307"/>
      <c r="S706" s="307"/>
      <c r="T706" s="307"/>
      <c r="U706" s="307"/>
      <c r="V706" s="307"/>
      <c r="W706" s="307"/>
      <c r="X706" s="307"/>
      <c r="Y706" s="307"/>
    </row>
    <row r="707">
      <c r="A707" s="307"/>
      <c r="B707" s="307"/>
      <c r="C707" s="307"/>
      <c r="D707" s="310"/>
      <c r="E707" s="307"/>
      <c r="F707" s="307"/>
      <c r="G707" s="307"/>
      <c r="H707" s="307"/>
      <c r="I707" s="307"/>
      <c r="J707" s="307"/>
      <c r="K707" s="307"/>
      <c r="L707" s="307"/>
      <c r="M707" s="307"/>
      <c r="N707" s="307"/>
      <c r="O707" s="307"/>
      <c r="P707" s="307"/>
      <c r="Q707" s="307"/>
      <c r="R707" s="307"/>
      <c r="S707" s="307"/>
      <c r="T707" s="307"/>
      <c r="U707" s="307"/>
      <c r="V707" s="307"/>
      <c r="W707" s="307"/>
      <c r="X707" s="307"/>
      <c r="Y707" s="307"/>
    </row>
    <row r="708">
      <c r="A708" s="307"/>
      <c r="B708" s="307"/>
      <c r="C708" s="307"/>
      <c r="D708" s="310"/>
      <c r="E708" s="307"/>
      <c r="F708" s="307"/>
      <c r="G708" s="307"/>
      <c r="H708" s="307"/>
      <c r="I708" s="307"/>
      <c r="J708" s="307"/>
      <c r="K708" s="307"/>
      <c r="L708" s="307"/>
      <c r="M708" s="307"/>
      <c r="N708" s="307"/>
      <c r="O708" s="307"/>
      <c r="P708" s="307"/>
      <c r="Q708" s="307"/>
      <c r="R708" s="307"/>
      <c r="S708" s="307"/>
      <c r="T708" s="307"/>
      <c r="U708" s="307"/>
      <c r="V708" s="307"/>
      <c r="W708" s="307"/>
      <c r="X708" s="307"/>
      <c r="Y708" s="307"/>
    </row>
    <row r="709">
      <c r="A709" s="307"/>
      <c r="B709" s="307"/>
      <c r="C709" s="307"/>
      <c r="D709" s="310"/>
      <c r="E709" s="307"/>
      <c r="F709" s="307"/>
      <c r="G709" s="307"/>
      <c r="H709" s="307"/>
      <c r="I709" s="307"/>
      <c r="J709" s="307"/>
      <c r="K709" s="307"/>
      <c r="L709" s="307"/>
      <c r="M709" s="307"/>
      <c r="N709" s="307"/>
      <c r="O709" s="307"/>
      <c r="P709" s="307"/>
      <c r="Q709" s="307"/>
      <c r="R709" s="307"/>
      <c r="S709" s="307"/>
      <c r="T709" s="307"/>
      <c r="U709" s="307"/>
      <c r="V709" s="307"/>
      <c r="W709" s="307"/>
      <c r="X709" s="307"/>
      <c r="Y709" s="307"/>
    </row>
    <row r="710">
      <c r="A710" s="307"/>
      <c r="B710" s="307"/>
      <c r="C710" s="307"/>
      <c r="D710" s="310"/>
      <c r="E710" s="307"/>
      <c r="F710" s="307"/>
      <c r="G710" s="307"/>
      <c r="H710" s="307"/>
      <c r="I710" s="307"/>
      <c r="J710" s="307"/>
      <c r="K710" s="307"/>
      <c r="L710" s="307"/>
      <c r="M710" s="307"/>
      <c r="N710" s="307"/>
      <c r="O710" s="307"/>
      <c r="P710" s="307"/>
      <c r="Q710" s="307"/>
      <c r="R710" s="307"/>
      <c r="S710" s="307"/>
      <c r="T710" s="307"/>
      <c r="U710" s="307"/>
      <c r="V710" s="307"/>
      <c r="W710" s="307"/>
      <c r="X710" s="307"/>
      <c r="Y710" s="307"/>
    </row>
    <row r="711">
      <c r="A711" s="307"/>
      <c r="B711" s="307"/>
      <c r="C711" s="307"/>
      <c r="D711" s="310"/>
      <c r="E711" s="307"/>
      <c r="F711" s="307"/>
      <c r="G711" s="307"/>
      <c r="H711" s="307"/>
      <c r="I711" s="307"/>
      <c r="J711" s="307"/>
      <c r="K711" s="307"/>
      <c r="L711" s="307"/>
      <c r="M711" s="307"/>
      <c r="N711" s="307"/>
      <c r="O711" s="307"/>
      <c r="P711" s="307"/>
      <c r="Q711" s="307"/>
      <c r="R711" s="307"/>
      <c r="S711" s="307"/>
      <c r="T711" s="307"/>
      <c r="U711" s="307"/>
      <c r="V711" s="307"/>
      <c r="W711" s="307"/>
      <c r="X711" s="307"/>
      <c r="Y711" s="307"/>
    </row>
    <row r="712">
      <c r="A712" s="307"/>
      <c r="B712" s="307"/>
      <c r="C712" s="307"/>
      <c r="D712" s="310"/>
      <c r="E712" s="307"/>
      <c r="F712" s="307"/>
      <c r="G712" s="307"/>
      <c r="H712" s="307"/>
      <c r="I712" s="307"/>
      <c r="J712" s="307"/>
      <c r="K712" s="307"/>
      <c r="L712" s="307"/>
      <c r="M712" s="307"/>
      <c r="N712" s="307"/>
      <c r="O712" s="307"/>
      <c r="P712" s="307"/>
      <c r="Q712" s="307"/>
      <c r="R712" s="307"/>
      <c r="S712" s="307"/>
      <c r="T712" s="307"/>
      <c r="U712" s="307"/>
      <c r="V712" s="307"/>
      <c r="W712" s="307"/>
      <c r="X712" s="307"/>
      <c r="Y712" s="307"/>
    </row>
    <row r="713">
      <c r="A713" s="307"/>
      <c r="B713" s="307"/>
      <c r="C713" s="307"/>
      <c r="D713" s="310"/>
      <c r="E713" s="307"/>
      <c r="F713" s="307"/>
      <c r="G713" s="307"/>
      <c r="H713" s="307"/>
      <c r="I713" s="307"/>
      <c r="J713" s="307"/>
      <c r="K713" s="307"/>
      <c r="L713" s="307"/>
      <c r="M713" s="307"/>
      <c r="N713" s="307"/>
      <c r="O713" s="307"/>
      <c r="P713" s="307"/>
      <c r="Q713" s="307"/>
      <c r="R713" s="307"/>
      <c r="S713" s="307"/>
      <c r="T713" s="307"/>
      <c r="U713" s="307"/>
      <c r="V713" s="307"/>
      <c r="W713" s="307"/>
      <c r="X713" s="307"/>
      <c r="Y713" s="307"/>
    </row>
    <row r="714">
      <c r="A714" s="307"/>
      <c r="B714" s="307"/>
      <c r="C714" s="307"/>
      <c r="D714" s="310"/>
      <c r="E714" s="307"/>
      <c r="F714" s="307"/>
      <c r="G714" s="307"/>
      <c r="H714" s="307"/>
      <c r="I714" s="307"/>
      <c r="J714" s="307"/>
      <c r="K714" s="307"/>
      <c r="L714" s="307"/>
      <c r="M714" s="307"/>
      <c r="N714" s="307"/>
      <c r="O714" s="307"/>
      <c r="P714" s="307"/>
      <c r="Q714" s="307"/>
      <c r="R714" s="307"/>
      <c r="S714" s="307"/>
      <c r="T714" s="307"/>
      <c r="U714" s="307"/>
      <c r="V714" s="307"/>
      <c r="W714" s="307"/>
      <c r="X714" s="307"/>
      <c r="Y714" s="307"/>
    </row>
    <row r="715">
      <c r="A715" s="307"/>
      <c r="B715" s="307"/>
      <c r="C715" s="307"/>
      <c r="D715" s="310"/>
      <c r="E715" s="307"/>
      <c r="F715" s="307"/>
      <c r="G715" s="307"/>
      <c r="H715" s="307"/>
      <c r="I715" s="307"/>
      <c r="J715" s="307"/>
      <c r="K715" s="307"/>
      <c r="L715" s="307"/>
      <c r="M715" s="307"/>
      <c r="N715" s="307"/>
      <c r="O715" s="307"/>
      <c r="P715" s="307"/>
      <c r="Q715" s="307"/>
      <c r="R715" s="307"/>
      <c r="S715" s="307"/>
      <c r="T715" s="307"/>
      <c r="U715" s="307"/>
      <c r="V715" s="307"/>
      <c r="W715" s="307"/>
      <c r="X715" s="307"/>
      <c r="Y715" s="307"/>
    </row>
    <row r="716">
      <c r="A716" s="307"/>
      <c r="B716" s="307"/>
      <c r="C716" s="307"/>
      <c r="D716" s="310"/>
      <c r="E716" s="307"/>
      <c r="F716" s="307"/>
      <c r="G716" s="307"/>
      <c r="H716" s="307"/>
      <c r="I716" s="307"/>
      <c r="J716" s="307"/>
      <c r="K716" s="307"/>
      <c r="L716" s="307"/>
      <c r="M716" s="307"/>
      <c r="N716" s="307"/>
      <c r="O716" s="307"/>
      <c r="P716" s="307"/>
      <c r="Q716" s="307"/>
      <c r="R716" s="307"/>
      <c r="S716" s="307"/>
      <c r="T716" s="307"/>
      <c r="U716" s="307"/>
      <c r="V716" s="307"/>
      <c r="W716" s="307"/>
      <c r="X716" s="307"/>
      <c r="Y716" s="307"/>
    </row>
    <row r="717">
      <c r="A717" s="307"/>
      <c r="B717" s="307"/>
      <c r="C717" s="307"/>
      <c r="D717" s="310"/>
      <c r="E717" s="307"/>
      <c r="F717" s="307"/>
      <c r="G717" s="307"/>
      <c r="H717" s="307"/>
      <c r="I717" s="307"/>
      <c r="J717" s="307"/>
      <c r="K717" s="307"/>
      <c r="L717" s="307"/>
      <c r="M717" s="307"/>
      <c r="N717" s="307"/>
      <c r="O717" s="307"/>
      <c r="P717" s="307"/>
      <c r="Q717" s="307"/>
      <c r="R717" s="307"/>
      <c r="S717" s="307"/>
      <c r="T717" s="307"/>
      <c r="U717" s="307"/>
      <c r="V717" s="307"/>
      <c r="W717" s="307"/>
      <c r="X717" s="307"/>
      <c r="Y717" s="307"/>
    </row>
    <row r="718">
      <c r="A718" s="307"/>
      <c r="B718" s="307"/>
      <c r="C718" s="307"/>
      <c r="D718" s="310"/>
      <c r="E718" s="307"/>
      <c r="F718" s="307"/>
      <c r="G718" s="307"/>
      <c r="H718" s="307"/>
      <c r="I718" s="307"/>
      <c r="J718" s="307"/>
      <c r="K718" s="307"/>
      <c r="L718" s="307"/>
      <c r="M718" s="307"/>
      <c r="N718" s="307"/>
      <c r="O718" s="307"/>
      <c r="P718" s="307"/>
      <c r="Q718" s="307"/>
      <c r="R718" s="307"/>
      <c r="S718" s="307"/>
      <c r="T718" s="307"/>
      <c r="U718" s="307"/>
      <c r="V718" s="307"/>
      <c r="W718" s="307"/>
      <c r="X718" s="307"/>
      <c r="Y718" s="307"/>
    </row>
    <row r="719">
      <c r="A719" s="307"/>
      <c r="B719" s="307"/>
      <c r="C719" s="307"/>
      <c r="D719" s="310"/>
      <c r="E719" s="307"/>
      <c r="F719" s="307"/>
      <c r="G719" s="307"/>
      <c r="H719" s="307"/>
      <c r="I719" s="307"/>
      <c r="J719" s="307"/>
      <c r="K719" s="307"/>
      <c r="L719" s="307"/>
      <c r="M719" s="307"/>
      <c r="N719" s="307"/>
      <c r="O719" s="307"/>
      <c r="P719" s="307"/>
      <c r="Q719" s="307"/>
      <c r="R719" s="307"/>
      <c r="S719" s="307"/>
      <c r="T719" s="307"/>
      <c r="U719" s="307"/>
      <c r="V719" s="307"/>
      <c r="W719" s="307"/>
      <c r="X719" s="307"/>
      <c r="Y719" s="307"/>
    </row>
    <row r="720">
      <c r="A720" s="307"/>
      <c r="B720" s="307"/>
      <c r="C720" s="307"/>
      <c r="D720" s="310"/>
      <c r="E720" s="307"/>
      <c r="F720" s="307"/>
      <c r="G720" s="307"/>
      <c r="H720" s="307"/>
      <c r="I720" s="307"/>
      <c r="J720" s="307"/>
      <c r="K720" s="307"/>
      <c r="L720" s="307"/>
      <c r="M720" s="307"/>
      <c r="N720" s="307"/>
      <c r="O720" s="307"/>
      <c r="P720" s="307"/>
      <c r="Q720" s="307"/>
      <c r="R720" s="307"/>
      <c r="S720" s="307"/>
      <c r="T720" s="307"/>
      <c r="U720" s="307"/>
      <c r="V720" s="307"/>
      <c r="W720" s="307"/>
      <c r="X720" s="307"/>
      <c r="Y720" s="307"/>
    </row>
    <row r="721">
      <c r="A721" s="307"/>
      <c r="B721" s="307"/>
      <c r="C721" s="307"/>
      <c r="D721" s="310"/>
      <c r="E721" s="307"/>
      <c r="F721" s="307"/>
      <c r="G721" s="307"/>
      <c r="H721" s="307"/>
      <c r="I721" s="307"/>
      <c r="J721" s="307"/>
      <c r="K721" s="307"/>
      <c r="L721" s="307"/>
      <c r="M721" s="307"/>
      <c r="N721" s="307"/>
      <c r="O721" s="307"/>
      <c r="P721" s="307"/>
      <c r="Q721" s="307"/>
      <c r="R721" s="307"/>
      <c r="S721" s="307"/>
      <c r="T721" s="307"/>
      <c r="U721" s="307"/>
      <c r="V721" s="307"/>
      <c r="W721" s="307"/>
      <c r="X721" s="307"/>
      <c r="Y721" s="307"/>
    </row>
    <row r="722">
      <c r="A722" s="307"/>
      <c r="B722" s="307"/>
      <c r="C722" s="307"/>
      <c r="D722" s="310"/>
      <c r="E722" s="307"/>
      <c r="F722" s="307"/>
      <c r="G722" s="307"/>
      <c r="H722" s="307"/>
      <c r="I722" s="307"/>
      <c r="J722" s="307"/>
      <c r="K722" s="307"/>
      <c r="L722" s="307"/>
      <c r="M722" s="307"/>
      <c r="N722" s="307"/>
      <c r="O722" s="307"/>
      <c r="P722" s="307"/>
      <c r="Q722" s="307"/>
      <c r="R722" s="307"/>
      <c r="S722" s="307"/>
      <c r="T722" s="307"/>
      <c r="U722" s="307"/>
      <c r="V722" s="307"/>
      <c r="W722" s="307"/>
      <c r="X722" s="307"/>
      <c r="Y722" s="307"/>
    </row>
    <row r="723">
      <c r="A723" s="307"/>
      <c r="B723" s="307"/>
      <c r="C723" s="307"/>
      <c r="D723" s="310"/>
      <c r="E723" s="307"/>
      <c r="F723" s="307"/>
      <c r="G723" s="307"/>
      <c r="H723" s="307"/>
      <c r="I723" s="307"/>
      <c r="J723" s="307"/>
      <c r="K723" s="307"/>
      <c r="L723" s="307"/>
      <c r="M723" s="307"/>
      <c r="N723" s="307"/>
      <c r="O723" s="307"/>
      <c r="P723" s="307"/>
      <c r="Q723" s="307"/>
      <c r="R723" s="307"/>
      <c r="S723" s="307"/>
      <c r="T723" s="307"/>
      <c r="U723" s="307"/>
      <c r="V723" s="307"/>
      <c r="W723" s="307"/>
      <c r="X723" s="307"/>
      <c r="Y723" s="307"/>
    </row>
    <row r="724">
      <c r="A724" s="307"/>
      <c r="B724" s="307"/>
      <c r="C724" s="307"/>
      <c r="D724" s="310"/>
      <c r="E724" s="307"/>
      <c r="F724" s="307"/>
      <c r="G724" s="307"/>
      <c r="H724" s="307"/>
      <c r="I724" s="307"/>
      <c r="J724" s="307"/>
      <c r="K724" s="307"/>
      <c r="L724" s="307"/>
      <c r="M724" s="307"/>
      <c r="N724" s="307"/>
      <c r="O724" s="307"/>
      <c r="P724" s="307"/>
      <c r="Q724" s="307"/>
      <c r="R724" s="307"/>
      <c r="S724" s="307"/>
      <c r="T724" s="307"/>
      <c r="U724" s="307"/>
      <c r="V724" s="307"/>
      <c r="W724" s="307"/>
      <c r="X724" s="307"/>
      <c r="Y724" s="307"/>
    </row>
    <row r="725">
      <c r="A725" s="307"/>
      <c r="B725" s="307"/>
      <c r="C725" s="307"/>
      <c r="D725" s="310"/>
      <c r="E725" s="307"/>
      <c r="F725" s="307"/>
      <c r="G725" s="307"/>
      <c r="H725" s="307"/>
      <c r="I725" s="307"/>
      <c r="J725" s="307"/>
      <c r="K725" s="307"/>
      <c r="L725" s="307"/>
      <c r="M725" s="307"/>
      <c r="N725" s="307"/>
      <c r="O725" s="307"/>
      <c r="P725" s="307"/>
      <c r="Q725" s="307"/>
      <c r="R725" s="307"/>
      <c r="S725" s="307"/>
      <c r="T725" s="307"/>
      <c r="U725" s="307"/>
      <c r="V725" s="307"/>
      <c r="W725" s="307"/>
      <c r="X725" s="307"/>
      <c r="Y725" s="307"/>
    </row>
    <row r="726">
      <c r="A726" s="307"/>
      <c r="B726" s="307"/>
      <c r="C726" s="307"/>
      <c r="D726" s="310"/>
      <c r="E726" s="307"/>
      <c r="F726" s="307"/>
      <c r="G726" s="307"/>
      <c r="H726" s="307"/>
      <c r="I726" s="307"/>
      <c r="J726" s="307"/>
      <c r="K726" s="307"/>
      <c r="L726" s="307"/>
      <c r="M726" s="307"/>
      <c r="N726" s="307"/>
      <c r="O726" s="307"/>
      <c r="P726" s="307"/>
      <c r="Q726" s="307"/>
      <c r="R726" s="307"/>
      <c r="S726" s="307"/>
      <c r="T726" s="307"/>
      <c r="U726" s="307"/>
      <c r="V726" s="307"/>
      <c r="W726" s="307"/>
      <c r="X726" s="307"/>
      <c r="Y726" s="307"/>
    </row>
    <row r="727">
      <c r="A727" s="307"/>
      <c r="B727" s="307"/>
      <c r="C727" s="307"/>
      <c r="D727" s="310"/>
      <c r="E727" s="307"/>
      <c r="F727" s="307"/>
      <c r="G727" s="307"/>
      <c r="H727" s="307"/>
      <c r="I727" s="307"/>
      <c r="J727" s="307"/>
      <c r="K727" s="307"/>
      <c r="L727" s="307"/>
      <c r="M727" s="307"/>
      <c r="N727" s="307"/>
      <c r="O727" s="307"/>
      <c r="P727" s="307"/>
      <c r="Q727" s="307"/>
      <c r="R727" s="307"/>
      <c r="S727" s="307"/>
      <c r="T727" s="307"/>
      <c r="U727" s="307"/>
      <c r="V727" s="307"/>
      <c r="W727" s="307"/>
      <c r="X727" s="307"/>
      <c r="Y727" s="307"/>
    </row>
    <row r="728">
      <c r="A728" s="307"/>
      <c r="B728" s="307"/>
      <c r="C728" s="307"/>
      <c r="D728" s="310"/>
      <c r="E728" s="307"/>
      <c r="F728" s="307"/>
      <c r="G728" s="307"/>
      <c r="H728" s="307"/>
      <c r="I728" s="307"/>
      <c r="J728" s="307"/>
      <c r="K728" s="307"/>
      <c r="L728" s="307"/>
      <c r="M728" s="307"/>
      <c r="N728" s="307"/>
      <c r="O728" s="307"/>
      <c r="P728" s="307"/>
      <c r="Q728" s="307"/>
      <c r="R728" s="307"/>
      <c r="S728" s="307"/>
      <c r="T728" s="307"/>
      <c r="U728" s="307"/>
      <c r="V728" s="307"/>
      <c r="W728" s="307"/>
      <c r="X728" s="307"/>
      <c r="Y728" s="307"/>
    </row>
    <row r="729">
      <c r="A729" s="307"/>
      <c r="B729" s="307"/>
      <c r="C729" s="307"/>
      <c r="D729" s="310"/>
      <c r="E729" s="307"/>
      <c r="F729" s="307"/>
      <c r="G729" s="307"/>
      <c r="H729" s="307"/>
      <c r="I729" s="307"/>
      <c r="J729" s="307"/>
      <c r="K729" s="307"/>
      <c r="L729" s="307"/>
      <c r="M729" s="307"/>
      <c r="N729" s="307"/>
      <c r="O729" s="307"/>
      <c r="P729" s="307"/>
      <c r="Q729" s="307"/>
      <c r="R729" s="307"/>
      <c r="S729" s="307"/>
      <c r="T729" s="307"/>
      <c r="U729" s="307"/>
      <c r="V729" s="307"/>
      <c r="W729" s="307"/>
      <c r="X729" s="307"/>
      <c r="Y729" s="307"/>
    </row>
    <row r="730">
      <c r="A730" s="307"/>
      <c r="B730" s="307"/>
      <c r="C730" s="307"/>
      <c r="D730" s="310"/>
      <c r="E730" s="307"/>
      <c r="F730" s="307"/>
      <c r="G730" s="307"/>
      <c r="H730" s="307"/>
      <c r="I730" s="307"/>
      <c r="J730" s="307"/>
      <c r="K730" s="307"/>
      <c r="L730" s="307"/>
      <c r="M730" s="307"/>
      <c r="N730" s="307"/>
      <c r="O730" s="307"/>
      <c r="P730" s="307"/>
      <c r="Q730" s="307"/>
      <c r="R730" s="307"/>
      <c r="S730" s="307"/>
      <c r="T730" s="307"/>
      <c r="U730" s="307"/>
      <c r="V730" s="307"/>
      <c r="W730" s="307"/>
      <c r="X730" s="307"/>
      <c r="Y730" s="307"/>
    </row>
    <row r="731">
      <c r="A731" s="307"/>
      <c r="B731" s="307"/>
      <c r="C731" s="307"/>
      <c r="D731" s="310"/>
      <c r="E731" s="307"/>
      <c r="F731" s="307"/>
      <c r="G731" s="307"/>
      <c r="H731" s="307"/>
      <c r="I731" s="307"/>
      <c r="J731" s="307"/>
      <c r="K731" s="307"/>
      <c r="L731" s="307"/>
      <c r="M731" s="307"/>
      <c r="N731" s="307"/>
      <c r="O731" s="307"/>
      <c r="P731" s="307"/>
      <c r="Q731" s="307"/>
      <c r="R731" s="307"/>
      <c r="S731" s="307"/>
      <c r="T731" s="307"/>
      <c r="U731" s="307"/>
      <c r="V731" s="307"/>
      <c r="W731" s="307"/>
      <c r="X731" s="307"/>
      <c r="Y731" s="307"/>
    </row>
    <row r="732">
      <c r="A732" s="307"/>
      <c r="B732" s="307"/>
      <c r="C732" s="307"/>
      <c r="D732" s="310"/>
      <c r="E732" s="307"/>
      <c r="F732" s="307"/>
      <c r="G732" s="307"/>
      <c r="H732" s="307"/>
      <c r="I732" s="307"/>
      <c r="J732" s="307"/>
      <c r="K732" s="307"/>
      <c r="L732" s="307"/>
      <c r="M732" s="307"/>
      <c r="N732" s="307"/>
      <c r="O732" s="307"/>
      <c r="P732" s="307"/>
      <c r="Q732" s="307"/>
      <c r="R732" s="307"/>
      <c r="S732" s="307"/>
      <c r="T732" s="307"/>
      <c r="U732" s="307"/>
      <c r="V732" s="307"/>
      <c r="W732" s="307"/>
      <c r="X732" s="307"/>
      <c r="Y732" s="307"/>
    </row>
    <row r="733">
      <c r="A733" s="307"/>
      <c r="B733" s="307"/>
      <c r="C733" s="307"/>
      <c r="D733" s="310"/>
      <c r="E733" s="307"/>
      <c r="F733" s="307"/>
      <c r="G733" s="307"/>
      <c r="H733" s="307"/>
      <c r="I733" s="307"/>
      <c r="J733" s="307"/>
      <c r="K733" s="307"/>
      <c r="L733" s="307"/>
      <c r="M733" s="307"/>
      <c r="N733" s="307"/>
      <c r="O733" s="307"/>
      <c r="P733" s="307"/>
      <c r="Q733" s="307"/>
      <c r="R733" s="307"/>
      <c r="S733" s="307"/>
      <c r="T733" s="307"/>
      <c r="U733" s="307"/>
      <c r="V733" s="307"/>
      <c r="W733" s="307"/>
      <c r="X733" s="307"/>
      <c r="Y733" s="307"/>
    </row>
    <row r="734">
      <c r="A734" s="307"/>
      <c r="B734" s="307"/>
      <c r="C734" s="307"/>
      <c r="D734" s="310"/>
      <c r="E734" s="307"/>
      <c r="F734" s="307"/>
      <c r="G734" s="307"/>
      <c r="H734" s="307"/>
      <c r="I734" s="307"/>
      <c r="J734" s="307"/>
      <c r="K734" s="307"/>
      <c r="L734" s="307"/>
      <c r="M734" s="307"/>
      <c r="N734" s="307"/>
      <c r="O734" s="307"/>
      <c r="P734" s="307"/>
      <c r="Q734" s="307"/>
      <c r="R734" s="307"/>
      <c r="S734" s="307"/>
      <c r="T734" s="307"/>
      <c r="U734" s="307"/>
      <c r="V734" s="307"/>
      <c r="W734" s="307"/>
      <c r="X734" s="307"/>
      <c r="Y734" s="307"/>
    </row>
    <row r="735">
      <c r="A735" s="307"/>
      <c r="B735" s="307"/>
      <c r="C735" s="307"/>
      <c r="D735" s="310"/>
      <c r="E735" s="307"/>
      <c r="F735" s="307"/>
      <c r="G735" s="307"/>
      <c r="H735" s="307"/>
      <c r="I735" s="307"/>
      <c r="J735" s="307"/>
      <c r="K735" s="307"/>
      <c r="L735" s="307"/>
      <c r="M735" s="307"/>
      <c r="N735" s="307"/>
      <c r="O735" s="307"/>
      <c r="P735" s="307"/>
      <c r="Q735" s="307"/>
      <c r="R735" s="307"/>
      <c r="S735" s="307"/>
      <c r="T735" s="307"/>
      <c r="U735" s="307"/>
      <c r="V735" s="307"/>
      <c r="W735" s="307"/>
      <c r="X735" s="307"/>
      <c r="Y735" s="307"/>
    </row>
    <row r="736">
      <c r="A736" s="307"/>
      <c r="B736" s="307"/>
      <c r="C736" s="307"/>
      <c r="D736" s="310"/>
      <c r="E736" s="307"/>
      <c r="F736" s="307"/>
      <c r="G736" s="307"/>
      <c r="H736" s="307"/>
      <c r="I736" s="307"/>
      <c r="J736" s="307"/>
      <c r="K736" s="307"/>
      <c r="L736" s="307"/>
      <c r="M736" s="307"/>
      <c r="N736" s="307"/>
      <c r="O736" s="307"/>
      <c r="P736" s="307"/>
      <c r="Q736" s="307"/>
      <c r="R736" s="307"/>
      <c r="S736" s="307"/>
      <c r="T736" s="307"/>
      <c r="U736" s="307"/>
      <c r="V736" s="307"/>
      <c r="W736" s="307"/>
      <c r="X736" s="307"/>
      <c r="Y736" s="307"/>
    </row>
    <row r="737">
      <c r="A737" s="307"/>
      <c r="B737" s="307"/>
      <c r="C737" s="307"/>
      <c r="D737" s="310"/>
      <c r="E737" s="307"/>
      <c r="F737" s="307"/>
      <c r="G737" s="307"/>
      <c r="H737" s="307"/>
      <c r="I737" s="307"/>
      <c r="J737" s="307"/>
      <c r="K737" s="307"/>
      <c r="L737" s="307"/>
      <c r="M737" s="307"/>
      <c r="N737" s="307"/>
      <c r="O737" s="307"/>
      <c r="P737" s="307"/>
      <c r="Q737" s="307"/>
      <c r="R737" s="307"/>
      <c r="S737" s="307"/>
      <c r="T737" s="307"/>
      <c r="U737" s="307"/>
      <c r="V737" s="307"/>
      <c r="W737" s="307"/>
      <c r="X737" s="307"/>
      <c r="Y737" s="307"/>
    </row>
    <row r="738">
      <c r="A738" s="307"/>
      <c r="B738" s="307"/>
      <c r="C738" s="307"/>
      <c r="D738" s="310"/>
      <c r="E738" s="307"/>
      <c r="F738" s="307"/>
      <c r="G738" s="307"/>
      <c r="H738" s="307"/>
      <c r="I738" s="307"/>
      <c r="J738" s="307"/>
      <c r="K738" s="307"/>
      <c r="L738" s="307"/>
      <c r="M738" s="307"/>
      <c r="N738" s="307"/>
      <c r="O738" s="307"/>
      <c r="P738" s="307"/>
      <c r="Q738" s="307"/>
      <c r="R738" s="307"/>
      <c r="S738" s="307"/>
      <c r="T738" s="307"/>
      <c r="U738" s="307"/>
      <c r="V738" s="307"/>
      <c r="W738" s="307"/>
      <c r="X738" s="307"/>
      <c r="Y738" s="307"/>
    </row>
    <row r="739">
      <c r="A739" s="307"/>
      <c r="B739" s="307"/>
      <c r="C739" s="307"/>
      <c r="D739" s="310"/>
      <c r="E739" s="307"/>
      <c r="F739" s="307"/>
      <c r="G739" s="307"/>
      <c r="H739" s="307"/>
      <c r="I739" s="307"/>
      <c r="J739" s="307"/>
      <c r="K739" s="307"/>
      <c r="L739" s="307"/>
      <c r="M739" s="307"/>
      <c r="N739" s="307"/>
      <c r="O739" s="307"/>
      <c r="P739" s="307"/>
      <c r="Q739" s="307"/>
      <c r="R739" s="307"/>
      <c r="S739" s="307"/>
      <c r="T739" s="307"/>
      <c r="U739" s="307"/>
      <c r="V739" s="307"/>
      <c r="W739" s="307"/>
      <c r="X739" s="307"/>
      <c r="Y739" s="307"/>
    </row>
    <row r="740">
      <c r="A740" s="307"/>
      <c r="B740" s="307"/>
      <c r="C740" s="307"/>
      <c r="D740" s="310"/>
      <c r="E740" s="307"/>
      <c r="F740" s="307"/>
      <c r="G740" s="307"/>
      <c r="H740" s="307"/>
      <c r="I740" s="307"/>
      <c r="J740" s="307"/>
      <c r="K740" s="307"/>
      <c r="L740" s="307"/>
      <c r="M740" s="307"/>
      <c r="N740" s="307"/>
      <c r="O740" s="307"/>
      <c r="P740" s="307"/>
      <c r="Q740" s="307"/>
      <c r="R740" s="307"/>
      <c r="S740" s="307"/>
      <c r="T740" s="307"/>
      <c r="U740" s="307"/>
      <c r="V740" s="307"/>
      <c r="W740" s="307"/>
      <c r="X740" s="307"/>
      <c r="Y740" s="307"/>
    </row>
    <row r="741">
      <c r="A741" s="307"/>
      <c r="B741" s="307"/>
      <c r="C741" s="307"/>
      <c r="D741" s="310"/>
      <c r="E741" s="307"/>
      <c r="F741" s="307"/>
      <c r="G741" s="307"/>
      <c r="H741" s="307"/>
      <c r="I741" s="307"/>
      <c r="J741" s="307"/>
      <c r="K741" s="307"/>
      <c r="L741" s="307"/>
      <c r="M741" s="307"/>
      <c r="N741" s="307"/>
      <c r="O741" s="307"/>
      <c r="P741" s="307"/>
      <c r="Q741" s="307"/>
      <c r="R741" s="307"/>
      <c r="S741" s="307"/>
      <c r="T741" s="307"/>
      <c r="U741" s="307"/>
      <c r="V741" s="307"/>
      <c r="W741" s="307"/>
      <c r="X741" s="307"/>
      <c r="Y741" s="307"/>
    </row>
    <row r="742">
      <c r="A742" s="307"/>
      <c r="B742" s="307"/>
      <c r="C742" s="307"/>
      <c r="D742" s="310"/>
      <c r="E742" s="307"/>
      <c r="F742" s="307"/>
      <c r="G742" s="307"/>
      <c r="H742" s="307"/>
      <c r="I742" s="307"/>
      <c r="J742" s="307"/>
      <c r="K742" s="307"/>
      <c r="L742" s="307"/>
      <c r="M742" s="307"/>
      <c r="N742" s="307"/>
      <c r="O742" s="307"/>
      <c r="P742" s="307"/>
      <c r="Q742" s="307"/>
      <c r="R742" s="307"/>
      <c r="S742" s="307"/>
      <c r="T742" s="307"/>
      <c r="U742" s="307"/>
      <c r="V742" s="307"/>
      <c r="W742" s="307"/>
      <c r="X742" s="307"/>
      <c r="Y742" s="307"/>
    </row>
    <row r="743">
      <c r="A743" s="307"/>
      <c r="B743" s="307"/>
      <c r="C743" s="307"/>
      <c r="D743" s="310"/>
      <c r="E743" s="307"/>
      <c r="F743" s="307"/>
      <c r="G743" s="307"/>
      <c r="H743" s="307"/>
      <c r="I743" s="307"/>
      <c r="J743" s="307"/>
      <c r="K743" s="307"/>
      <c r="L743" s="307"/>
      <c r="M743" s="307"/>
      <c r="N743" s="307"/>
      <c r="O743" s="307"/>
      <c r="P743" s="307"/>
      <c r="Q743" s="307"/>
      <c r="R743" s="307"/>
      <c r="S743" s="307"/>
      <c r="T743" s="307"/>
      <c r="U743" s="307"/>
      <c r="V743" s="307"/>
      <c r="W743" s="307"/>
      <c r="X743" s="307"/>
      <c r="Y743" s="307"/>
    </row>
    <row r="744">
      <c r="A744" s="307"/>
      <c r="B744" s="307"/>
      <c r="C744" s="307"/>
      <c r="D744" s="310"/>
      <c r="E744" s="307"/>
      <c r="F744" s="307"/>
      <c r="G744" s="307"/>
      <c r="H744" s="307"/>
      <c r="I744" s="307"/>
      <c r="J744" s="307"/>
      <c r="K744" s="307"/>
      <c r="L744" s="307"/>
      <c r="M744" s="307"/>
      <c r="N744" s="307"/>
      <c r="O744" s="307"/>
      <c r="P744" s="307"/>
      <c r="Q744" s="307"/>
      <c r="R744" s="307"/>
      <c r="S744" s="307"/>
      <c r="T744" s="307"/>
      <c r="U744" s="307"/>
      <c r="V744" s="307"/>
      <c r="W744" s="307"/>
      <c r="X744" s="307"/>
      <c r="Y744" s="307"/>
    </row>
    <row r="745">
      <c r="A745" s="307"/>
      <c r="B745" s="307"/>
      <c r="C745" s="307"/>
      <c r="D745" s="310"/>
      <c r="E745" s="307"/>
      <c r="F745" s="307"/>
      <c r="G745" s="307"/>
      <c r="H745" s="307"/>
      <c r="I745" s="307"/>
      <c r="J745" s="307"/>
      <c r="K745" s="307"/>
      <c r="L745" s="307"/>
      <c r="M745" s="307"/>
      <c r="N745" s="307"/>
      <c r="O745" s="307"/>
      <c r="P745" s="307"/>
      <c r="Q745" s="307"/>
      <c r="R745" s="307"/>
      <c r="S745" s="307"/>
      <c r="T745" s="307"/>
      <c r="U745" s="307"/>
      <c r="V745" s="307"/>
      <c r="W745" s="307"/>
      <c r="X745" s="307"/>
      <c r="Y745" s="307"/>
    </row>
    <row r="746">
      <c r="A746" s="307"/>
      <c r="B746" s="307"/>
      <c r="C746" s="307"/>
      <c r="D746" s="310"/>
      <c r="E746" s="307"/>
      <c r="F746" s="307"/>
      <c r="G746" s="307"/>
      <c r="H746" s="307"/>
      <c r="I746" s="307"/>
      <c r="J746" s="307"/>
      <c r="K746" s="307"/>
      <c r="L746" s="307"/>
      <c r="M746" s="307"/>
      <c r="N746" s="307"/>
      <c r="O746" s="307"/>
      <c r="P746" s="307"/>
      <c r="Q746" s="307"/>
      <c r="R746" s="307"/>
      <c r="S746" s="307"/>
      <c r="T746" s="307"/>
      <c r="U746" s="307"/>
      <c r="V746" s="307"/>
      <c r="W746" s="307"/>
      <c r="X746" s="307"/>
      <c r="Y746" s="307"/>
    </row>
    <row r="747">
      <c r="A747" s="307"/>
      <c r="B747" s="307"/>
      <c r="C747" s="307"/>
      <c r="D747" s="310"/>
      <c r="E747" s="307"/>
      <c r="F747" s="307"/>
      <c r="G747" s="307"/>
      <c r="H747" s="307"/>
      <c r="I747" s="307"/>
      <c r="J747" s="307"/>
      <c r="K747" s="307"/>
      <c r="L747" s="307"/>
      <c r="M747" s="307"/>
      <c r="N747" s="307"/>
      <c r="O747" s="307"/>
      <c r="P747" s="307"/>
      <c r="Q747" s="307"/>
      <c r="R747" s="307"/>
      <c r="S747" s="307"/>
      <c r="T747" s="307"/>
      <c r="U747" s="307"/>
      <c r="V747" s="307"/>
      <c r="W747" s="307"/>
      <c r="X747" s="307"/>
      <c r="Y747" s="307"/>
    </row>
    <row r="748">
      <c r="A748" s="307"/>
      <c r="B748" s="307"/>
      <c r="C748" s="307"/>
      <c r="D748" s="310"/>
      <c r="E748" s="307"/>
      <c r="F748" s="307"/>
      <c r="G748" s="307"/>
      <c r="H748" s="307"/>
      <c r="I748" s="307"/>
      <c r="J748" s="307"/>
      <c r="K748" s="307"/>
      <c r="L748" s="307"/>
      <c r="M748" s="307"/>
      <c r="N748" s="307"/>
      <c r="O748" s="307"/>
      <c r="P748" s="307"/>
      <c r="Q748" s="307"/>
      <c r="R748" s="307"/>
      <c r="S748" s="307"/>
      <c r="T748" s="307"/>
      <c r="U748" s="307"/>
      <c r="V748" s="307"/>
      <c r="W748" s="307"/>
      <c r="X748" s="307"/>
      <c r="Y748" s="307"/>
    </row>
    <row r="749">
      <c r="A749" s="307"/>
      <c r="B749" s="307"/>
      <c r="C749" s="307"/>
      <c r="D749" s="310"/>
      <c r="E749" s="307"/>
      <c r="F749" s="307"/>
      <c r="G749" s="307"/>
      <c r="H749" s="307"/>
      <c r="I749" s="307"/>
      <c r="J749" s="307"/>
      <c r="K749" s="307"/>
      <c r="L749" s="307"/>
      <c r="M749" s="307"/>
      <c r="N749" s="307"/>
      <c r="O749" s="307"/>
      <c r="P749" s="307"/>
      <c r="Q749" s="307"/>
      <c r="R749" s="307"/>
      <c r="S749" s="307"/>
      <c r="T749" s="307"/>
      <c r="U749" s="307"/>
      <c r="V749" s="307"/>
      <c r="W749" s="307"/>
      <c r="X749" s="307"/>
      <c r="Y749" s="307"/>
    </row>
    <row r="750">
      <c r="A750" s="307"/>
      <c r="B750" s="307"/>
      <c r="C750" s="307"/>
      <c r="D750" s="310"/>
      <c r="E750" s="307"/>
      <c r="F750" s="307"/>
      <c r="G750" s="307"/>
      <c r="H750" s="307"/>
      <c r="I750" s="307"/>
      <c r="J750" s="307"/>
      <c r="K750" s="307"/>
      <c r="L750" s="307"/>
      <c r="M750" s="307"/>
      <c r="N750" s="307"/>
      <c r="O750" s="307"/>
      <c r="P750" s="307"/>
      <c r="Q750" s="307"/>
      <c r="R750" s="307"/>
      <c r="S750" s="307"/>
      <c r="T750" s="307"/>
      <c r="U750" s="307"/>
      <c r="V750" s="307"/>
      <c r="W750" s="307"/>
      <c r="X750" s="307"/>
      <c r="Y750" s="307"/>
    </row>
    <row r="751">
      <c r="A751" s="307"/>
      <c r="B751" s="307"/>
      <c r="C751" s="307"/>
      <c r="D751" s="310"/>
      <c r="E751" s="307"/>
      <c r="F751" s="307"/>
      <c r="G751" s="307"/>
      <c r="H751" s="307"/>
      <c r="I751" s="307"/>
      <c r="J751" s="307"/>
      <c r="K751" s="307"/>
      <c r="L751" s="307"/>
      <c r="M751" s="307"/>
      <c r="N751" s="307"/>
      <c r="O751" s="307"/>
      <c r="P751" s="307"/>
      <c r="Q751" s="307"/>
      <c r="R751" s="307"/>
      <c r="S751" s="307"/>
      <c r="T751" s="307"/>
      <c r="U751" s="307"/>
      <c r="V751" s="307"/>
      <c r="W751" s="307"/>
      <c r="X751" s="307"/>
      <c r="Y751" s="307"/>
    </row>
    <row r="752">
      <c r="A752" s="307"/>
      <c r="B752" s="307"/>
      <c r="C752" s="307"/>
      <c r="D752" s="310"/>
      <c r="E752" s="307"/>
      <c r="F752" s="307"/>
      <c r="G752" s="307"/>
      <c r="H752" s="307"/>
      <c r="I752" s="307"/>
      <c r="J752" s="307"/>
      <c r="K752" s="307"/>
      <c r="L752" s="307"/>
      <c r="M752" s="307"/>
      <c r="N752" s="307"/>
      <c r="O752" s="307"/>
      <c r="P752" s="307"/>
      <c r="Q752" s="307"/>
      <c r="R752" s="307"/>
      <c r="S752" s="307"/>
      <c r="T752" s="307"/>
      <c r="U752" s="307"/>
      <c r="V752" s="307"/>
      <c r="W752" s="307"/>
      <c r="X752" s="307"/>
      <c r="Y752" s="307"/>
    </row>
    <row r="753">
      <c r="A753" s="307"/>
      <c r="B753" s="307"/>
      <c r="C753" s="307"/>
      <c r="D753" s="310"/>
      <c r="E753" s="307"/>
      <c r="F753" s="307"/>
      <c r="G753" s="307"/>
      <c r="H753" s="307"/>
      <c r="I753" s="307"/>
      <c r="J753" s="307"/>
      <c r="K753" s="307"/>
      <c r="L753" s="307"/>
      <c r="M753" s="307"/>
      <c r="N753" s="307"/>
      <c r="O753" s="307"/>
      <c r="P753" s="307"/>
      <c r="Q753" s="307"/>
      <c r="R753" s="307"/>
      <c r="S753" s="307"/>
      <c r="T753" s="307"/>
      <c r="U753" s="307"/>
      <c r="V753" s="307"/>
      <c r="W753" s="307"/>
      <c r="X753" s="307"/>
      <c r="Y753" s="307"/>
    </row>
    <row r="754">
      <c r="A754" s="307"/>
      <c r="B754" s="307"/>
      <c r="C754" s="307"/>
      <c r="D754" s="310"/>
      <c r="E754" s="307"/>
      <c r="F754" s="307"/>
      <c r="G754" s="307"/>
      <c r="H754" s="307"/>
      <c r="I754" s="307"/>
      <c r="J754" s="307"/>
      <c r="K754" s="307"/>
      <c r="L754" s="307"/>
      <c r="M754" s="307"/>
      <c r="N754" s="307"/>
      <c r="O754" s="307"/>
      <c r="P754" s="307"/>
      <c r="Q754" s="307"/>
      <c r="R754" s="307"/>
      <c r="S754" s="307"/>
      <c r="T754" s="307"/>
      <c r="U754" s="307"/>
      <c r="V754" s="307"/>
      <c r="W754" s="307"/>
      <c r="X754" s="307"/>
      <c r="Y754" s="307"/>
    </row>
    <row r="755">
      <c r="A755" s="307"/>
      <c r="B755" s="307"/>
      <c r="C755" s="307"/>
      <c r="D755" s="310"/>
      <c r="E755" s="307"/>
      <c r="F755" s="307"/>
      <c r="G755" s="307"/>
      <c r="H755" s="307"/>
      <c r="I755" s="307"/>
      <c r="J755" s="307"/>
      <c r="K755" s="307"/>
      <c r="L755" s="307"/>
      <c r="M755" s="307"/>
      <c r="N755" s="307"/>
      <c r="O755" s="307"/>
      <c r="P755" s="307"/>
      <c r="Q755" s="307"/>
      <c r="R755" s="307"/>
      <c r="S755" s="307"/>
      <c r="T755" s="307"/>
      <c r="U755" s="307"/>
      <c r="V755" s="307"/>
      <c r="W755" s="307"/>
      <c r="X755" s="307"/>
      <c r="Y755" s="307"/>
    </row>
    <row r="756">
      <c r="A756" s="307"/>
      <c r="B756" s="307"/>
      <c r="C756" s="307"/>
      <c r="D756" s="310"/>
      <c r="E756" s="307"/>
      <c r="F756" s="307"/>
      <c r="G756" s="307"/>
      <c r="H756" s="307"/>
      <c r="I756" s="307"/>
      <c r="J756" s="307"/>
      <c r="K756" s="307"/>
      <c r="L756" s="307"/>
      <c r="M756" s="307"/>
      <c r="N756" s="307"/>
      <c r="O756" s="307"/>
      <c r="P756" s="307"/>
      <c r="Q756" s="307"/>
      <c r="R756" s="307"/>
      <c r="S756" s="307"/>
      <c r="T756" s="307"/>
      <c r="U756" s="307"/>
      <c r="V756" s="307"/>
      <c r="W756" s="307"/>
      <c r="X756" s="307"/>
      <c r="Y756" s="307"/>
    </row>
    <row r="757">
      <c r="A757" s="307"/>
      <c r="B757" s="307"/>
      <c r="C757" s="307"/>
      <c r="D757" s="310"/>
      <c r="E757" s="307"/>
      <c r="F757" s="307"/>
      <c r="G757" s="307"/>
      <c r="H757" s="307"/>
      <c r="I757" s="307"/>
      <c r="J757" s="307"/>
      <c r="K757" s="307"/>
      <c r="L757" s="307"/>
      <c r="M757" s="307"/>
      <c r="N757" s="307"/>
      <c r="O757" s="307"/>
      <c r="P757" s="307"/>
      <c r="Q757" s="307"/>
      <c r="R757" s="307"/>
      <c r="S757" s="307"/>
      <c r="T757" s="307"/>
      <c r="U757" s="307"/>
      <c r="V757" s="307"/>
      <c r="W757" s="307"/>
      <c r="X757" s="307"/>
      <c r="Y757" s="307"/>
    </row>
    <row r="758">
      <c r="A758" s="307"/>
      <c r="B758" s="307"/>
      <c r="C758" s="307"/>
      <c r="D758" s="310"/>
      <c r="E758" s="307"/>
      <c r="F758" s="307"/>
      <c r="G758" s="307"/>
      <c r="H758" s="307"/>
      <c r="I758" s="307"/>
      <c r="J758" s="307"/>
      <c r="K758" s="307"/>
      <c r="L758" s="307"/>
      <c r="M758" s="307"/>
      <c r="N758" s="307"/>
      <c r="O758" s="307"/>
      <c r="P758" s="307"/>
      <c r="Q758" s="307"/>
      <c r="R758" s="307"/>
      <c r="S758" s="307"/>
      <c r="T758" s="307"/>
      <c r="U758" s="307"/>
      <c r="V758" s="307"/>
      <c r="W758" s="307"/>
      <c r="X758" s="307"/>
      <c r="Y758" s="307"/>
    </row>
    <row r="759">
      <c r="A759" s="307"/>
      <c r="B759" s="307"/>
      <c r="C759" s="307"/>
      <c r="D759" s="310"/>
      <c r="E759" s="307"/>
      <c r="F759" s="307"/>
      <c r="G759" s="307"/>
      <c r="H759" s="307"/>
      <c r="I759" s="307"/>
      <c r="J759" s="307"/>
      <c r="K759" s="307"/>
      <c r="L759" s="307"/>
      <c r="M759" s="307"/>
      <c r="N759" s="307"/>
      <c r="O759" s="307"/>
      <c r="P759" s="307"/>
      <c r="Q759" s="307"/>
      <c r="R759" s="307"/>
      <c r="S759" s="307"/>
      <c r="T759" s="307"/>
      <c r="U759" s="307"/>
      <c r="V759" s="307"/>
      <c r="W759" s="307"/>
      <c r="X759" s="307"/>
      <c r="Y759" s="307"/>
    </row>
    <row r="760">
      <c r="A760" s="307"/>
      <c r="B760" s="307"/>
      <c r="C760" s="307"/>
      <c r="D760" s="310"/>
      <c r="E760" s="307"/>
      <c r="F760" s="307"/>
      <c r="G760" s="307"/>
      <c r="H760" s="307"/>
      <c r="I760" s="307"/>
      <c r="J760" s="307"/>
      <c r="K760" s="307"/>
      <c r="L760" s="307"/>
      <c r="M760" s="307"/>
      <c r="N760" s="307"/>
      <c r="O760" s="307"/>
      <c r="P760" s="307"/>
      <c r="Q760" s="307"/>
      <c r="R760" s="307"/>
      <c r="S760" s="307"/>
      <c r="T760" s="307"/>
      <c r="U760" s="307"/>
      <c r="V760" s="307"/>
      <c r="W760" s="307"/>
      <c r="X760" s="307"/>
      <c r="Y760" s="307"/>
    </row>
    <row r="761">
      <c r="A761" s="307"/>
      <c r="B761" s="307"/>
      <c r="C761" s="307"/>
      <c r="D761" s="310"/>
      <c r="E761" s="307"/>
      <c r="F761" s="307"/>
      <c r="G761" s="307"/>
      <c r="H761" s="307"/>
      <c r="I761" s="307"/>
      <c r="J761" s="307"/>
      <c r="K761" s="307"/>
      <c r="L761" s="307"/>
      <c r="M761" s="307"/>
      <c r="N761" s="307"/>
      <c r="O761" s="307"/>
      <c r="P761" s="307"/>
      <c r="Q761" s="307"/>
      <c r="R761" s="307"/>
      <c r="S761" s="307"/>
      <c r="T761" s="307"/>
      <c r="U761" s="307"/>
      <c r="V761" s="307"/>
      <c r="W761" s="307"/>
      <c r="X761" s="307"/>
      <c r="Y761" s="307"/>
    </row>
    <row r="762">
      <c r="A762" s="307"/>
      <c r="B762" s="307"/>
      <c r="C762" s="307"/>
      <c r="D762" s="310"/>
      <c r="E762" s="307"/>
      <c r="F762" s="307"/>
      <c r="G762" s="307"/>
      <c r="H762" s="307"/>
      <c r="I762" s="307"/>
      <c r="J762" s="307"/>
      <c r="K762" s="307"/>
      <c r="L762" s="307"/>
      <c r="M762" s="307"/>
      <c r="N762" s="307"/>
      <c r="O762" s="307"/>
      <c r="P762" s="307"/>
      <c r="Q762" s="307"/>
      <c r="R762" s="307"/>
      <c r="S762" s="307"/>
      <c r="T762" s="307"/>
      <c r="U762" s="307"/>
      <c r="V762" s="307"/>
      <c r="W762" s="307"/>
      <c r="X762" s="307"/>
      <c r="Y762" s="307"/>
    </row>
    <row r="763">
      <c r="A763" s="307"/>
      <c r="B763" s="307"/>
      <c r="C763" s="307"/>
      <c r="D763" s="310"/>
      <c r="E763" s="307"/>
      <c r="F763" s="307"/>
      <c r="G763" s="307"/>
      <c r="H763" s="307"/>
      <c r="I763" s="307"/>
      <c r="J763" s="307"/>
      <c r="K763" s="307"/>
      <c r="L763" s="307"/>
      <c r="M763" s="307"/>
      <c r="N763" s="307"/>
      <c r="O763" s="307"/>
      <c r="P763" s="307"/>
      <c r="Q763" s="307"/>
      <c r="R763" s="307"/>
      <c r="S763" s="307"/>
      <c r="T763" s="307"/>
      <c r="U763" s="307"/>
      <c r="V763" s="307"/>
      <c r="W763" s="307"/>
      <c r="X763" s="307"/>
      <c r="Y763" s="307"/>
    </row>
    <row r="764">
      <c r="A764" s="307"/>
      <c r="B764" s="307"/>
      <c r="C764" s="307"/>
      <c r="D764" s="310"/>
      <c r="E764" s="307"/>
      <c r="F764" s="307"/>
      <c r="G764" s="307"/>
      <c r="H764" s="307"/>
      <c r="I764" s="307"/>
      <c r="J764" s="307"/>
      <c r="K764" s="307"/>
      <c r="L764" s="307"/>
      <c r="M764" s="307"/>
      <c r="N764" s="307"/>
      <c r="O764" s="307"/>
      <c r="P764" s="307"/>
      <c r="Q764" s="307"/>
      <c r="R764" s="307"/>
      <c r="S764" s="307"/>
      <c r="T764" s="307"/>
      <c r="U764" s="307"/>
      <c r="V764" s="307"/>
      <c r="W764" s="307"/>
      <c r="X764" s="307"/>
      <c r="Y764" s="307"/>
    </row>
    <row r="765">
      <c r="A765" s="307"/>
      <c r="B765" s="307"/>
      <c r="C765" s="307"/>
      <c r="D765" s="310"/>
      <c r="E765" s="307"/>
      <c r="F765" s="307"/>
      <c r="G765" s="307"/>
      <c r="H765" s="307"/>
      <c r="I765" s="307"/>
      <c r="J765" s="307"/>
      <c r="K765" s="307"/>
      <c r="L765" s="307"/>
      <c r="M765" s="307"/>
      <c r="N765" s="307"/>
      <c r="O765" s="307"/>
      <c r="P765" s="307"/>
      <c r="Q765" s="307"/>
      <c r="R765" s="307"/>
      <c r="S765" s="307"/>
      <c r="T765" s="307"/>
      <c r="U765" s="307"/>
      <c r="V765" s="307"/>
      <c r="W765" s="307"/>
      <c r="X765" s="307"/>
      <c r="Y765" s="307"/>
    </row>
    <row r="766">
      <c r="A766" s="307"/>
      <c r="B766" s="307"/>
      <c r="C766" s="307"/>
      <c r="D766" s="310"/>
      <c r="E766" s="307"/>
      <c r="F766" s="307"/>
      <c r="G766" s="307"/>
      <c r="H766" s="307"/>
      <c r="I766" s="307"/>
      <c r="J766" s="307"/>
      <c r="K766" s="307"/>
      <c r="L766" s="307"/>
      <c r="M766" s="307"/>
      <c r="N766" s="307"/>
      <c r="O766" s="307"/>
      <c r="P766" s="307"/>
      <c r="Q766" s="307"/>
      <c r="R766" s="307"/>
      <c r="S766" s="307"/>
      <c r="T766" s="307"/>
      <c r="U766" s="307"/>
      <c r="V766" s="307"/>
      <c r="W766" s="307"/>
      <c r="X766" s="307"/>
      <c r="Y766" s="307"/>
    </row>
    <row r="767">
      <c r="A767" s="307"/>
      <c r="B767" s="307"/>
      <c r="C767" s="307"/>
      <c r="D767" s="310"/>
      <c r="E767" s="307"/>
      <c r="F767" s="307"/>
      <c r="G767" s="307"/>
      <c r="H767" s="307"/>
      <c r="I767" s="307"/>
      <c r="J767" s="307"/>
      <c r="K767" s="307"/>
      <c r="L767" s="307"/>
      <c r="M767" s="307"/>
      <c r="N767" s="307"/>
      <c r="O767" s="307"/>
      <c r="P767" s="307"/>
      <c r="Q767" s="307"/>
      <c r="R767" s="307"/>
      <c r="S767" s="307"/>
      <c r="T767" s="307"/>
      <c r="U767" s="307"/>
      <c r="V767" s="307"/>
      <c r="W767" s="307"/>
      <c r="X767" s="307"/>
      <c r="Y767" s="307"/>
    </row>
    <row r="768">
      <c r="A768" s="307"/>
      <c r="B768" s="307"/>
      <c r="C768" s="307"/>
      <c r="D768" s="310"/>
      <c r="E768" s="307"/>
      <c r="F768" s="307"/>
      <c r="G768" s="307"/>
      <c r="H768" s="307"/>
      <c r="I768" s="307"/>
      <c r="J768" s="307"/>
      <c r="K768" s="307"/>
      <c r="L768" s="307"/>
      <c r="M768" s="307"/>
      <c r="N768" s="307"/>
      <c r="O768" s="307"/>
      <c r="P768" s="307"/>
      <c r="Q768" s="307"/>
      <c r="R768" s="307"/>
      <c r="S768" s="307"/>
      <c r="T768" s="307"/>
      <c r="U768" s="307"/>
      <c r="V768" s="307"/>
      <c r="W768" s="307"/>
      <c r="X768" s="307"/>
      <c r="Y768" s="307"/>
    </row>
    <row r="769">
      <c r="A769" s="307"/>
      <c r="B769" s="307"/>
      <c r="C769" s="307"/>
      <c r="D769" s="310"/>
      <c r="E769" s="307"/>
      <c r="F769" s="307"/>
      <c r="G769" s="307"/>
      <c r="H769" s="307"/>
      <c r="I769" s="307"/>
      <c r="J769" s="307"/>
      <c r="K769" s="307"/>
      <c r="L769" s="307"/>
      <c r="M769" s="307"/>
      <c r="N769" s="307"/>
      <c r="O769" s="307"/>
      <c r="P769" s="307"/>
      <c r="Q769" s="307"/>
      <c r="R769" s="307"/>
      <c r="S769" s="307"/>
      <c r="T769" s="307"/>
      <c r="U769" s="307"/>
      <c r="V769" s="307"/>
      <c r="W769" s="307"/>
      <c r="X769" s="307"/>
      <c r="Y769" s="307"/>
    </row>
    <row r="770">
      <c r="A770" s="307"/>
      <c r="B770" s="307"/>
      <c r="C770" s="307"/>
      <c r="D770" s="310"/>
      <c r="E770" s="307"/>
      <c r="F770" s="307"/>
      <c r="G770" s="307"/>
      <c r="H770" s="307"/>
      <c r="I770" s="307"/>
      <c r="J770" s="307"/>
      <c r="K770" s="307"/>
      <c r="L770" s="307"/>
      <c r="M770" s="307"/>
      <c r="N770" s="307"/>
      <c r="O770" s="307"/>
      <c r="P770" s="307"/>
      <c r="Q770" s="307"/>
      <c r="R770" s="307"/>
      <c r="S770" s="307"/>
      <c r="T770" s="307"/>
      <c r="U770" s="307"/>
      <c r="V770" s="307"/>
      <c r="W770" s="307"/>
      <c r="X770" s="307"/>
      <c r="Y770" s="307"/>
    </row>
    <row r="771">
      <c r="A771" s="307"/>
      <c r="B771" s="307"/>
      <c r="C771" s="307"/>
      <c r="D771" s="310"/>
      <c r="E771" s="307"/>
      <c r="F771" s="307"/>
      <c r="G771" s="307"/>
      <c r="H771" s="307"/>
      <c r="I771" s="307"/>
      <c r="J771" s="307"/>
      <c r="K771" s="307"/>
      <c r="L771" s="307"/>
      <c r="M771" s="307"/>
      <c r="N771" s="307"/>
      <c r="O771" s="307"/>
      <c r="P771" s="307"/>
      <c r="Q771" s="307"/>
      <c r="R771" s="307"/>
      <c r="S771" s="307"/>
      <c r="T771" s="307"/>
      <c r="U771" s="307"/>
      <c r="V771" s="307"/>
      <c r="W771" s="307"/>
      <c r="X771" s="307"/>
      <c r="Y771" s="307"/>
    </row>
    <row r="772">
      <c r="A772" s="307"/>
      <c r="B772" s="307"/>
      <c r="C772" s="307"/>
      <c r="D772" s="310"/>
      <c r="E772" s="307"/>
      <c r="F772" s="307"/>
      <c r="G772" s="307"/>
      <c r="H772" s="307"/>
      <c r="I772" s="307"/>
      <c r="J772" s="307"/>
      <c r="K772" s="307"/>
      <c r="L772" s="307"/>
      <c r="M772" s="307"/>
      <c r="N772" s="307"/>
      <c r="O772" s="307"/>
      <c r="P772" s="307"/>
      <c r="Q772" s="307"/>
      <c r="R772" s="307"/>
      <c r="S772" s="307"/>
      <c r="T772" s="307"/>
      <c r="U772" s="307"/>
      <c r="V772" s="307"/>
      <c r="W772" s="307"/>
      <c r="X772" s="307"/>
      <c r="Y772" s="307"/>
    </row>
    <row r="773">
      <c r="A773" s="307"/>
      <c r="B773" s="307"/>
      <c r="C773" s="307"/>
      <c r="D773" s="310"/>
      <c r="E773" s="307"/>
      <c r="F773" s="307"/>
      <c r="G773" s="307"/>
      <c r="H773" s="307"/>
      <c r="I773" s="307"/>
      <c r="J773" s="307"/>
      <c r="K773" s="307"/>
      <c r="L773" s="307"/>
      <c r="M773" s="307"/>
      <c r="N773" s="307"/>
      <c r="O773" s="307"/>
      <c r="P773" s="307"/>
      <c r="Q773" s="307"/>
      <c r="R773" s="307"/>
      <c r="S773" s="307"/>
      <c r="T773" s="307"/>
      <c r="U773" s="307"/>
      <c r="V773" s="307"/>
      <c r="W773" s="307"/>
      <c r="X773" s="307"/>
      <c r="Y773" s="307"/>
    </row>
    <row r="774">
      <c r="A774" s="307"/>
      <c r="B774" s="307"/>
      <c r="C774" s="307"/>
      <c r="D774" s="310"/>
      <c r="E774" s="307"/>
      <c r="F774" s="307"/>
      <c r="G774" s="307"/>
      <c r="H774" s="307"/>
      <c r="I774" s="307"/>
      <c r="J774" s="307"/>
      <c r="K774" s="307"/>
      <c r="L774" s="307"/>
      <c r="M774" s="307"/>
      <c r="N774" s="307"/>
      <c r="O774" s="307"/>
      <c r="P774" s="307"/>
      <c r="Q774" s="307"/>
      <c r="R774" s="307"/>
      <c r="S774" s="307"/>
      <c r="T774" s="307"/>
      <c r="U774" s="307"/>
      <c r="V774" s="307"/>
      <c r="W774" s="307"/>
      <c r="X774" s="307"/>
      <c r="Y774" s="307"/>
    </row>
    <row r="775">
      <c r="A775" s="307"/>
      <c r="B775" s="307"/>
      <c r="C775" s="307"/>
      <c r="D775" s="310"/>
      <c r="E775" s="307"/>
      <c r="F775" s="307"/>
      <c r="G775" s="307"/>
      <c r="H775" s="307"/>
      <c r="I775" s="307"/>
      <c r="J775" s="307"/>
      <c r="K775" s="307"/>
      <c r="L775" s="307"/>
      <c r="M775" s="307"/>
      <c r="N775" s="307"/>
      <c r="O775" s="307"/>
      <c r="P775" s="307"/>
      <c r="Q775" s="307"/>
      <c r="R775" s="307"/>
      <c r="S775" s="307"/>
      <c r="T775" s="307"/>
      <c r="U775" s="307"/>
      <c r="V775" s="307"/>
      <c r="W775" s="307"/>
      <c r="X775" s="307"/>
      <c r="Y775" s="307"/>
    </row>
    <row r="776">
      <c r="A776" s="307"/>
      <c r="B776" s="307"/>
      <c r="C776" s="307"/>
      <c r="D776" s="310"/>
      <c r="E776" s="307"/>
      <c r="F776" s="307"/>
      <c r="G776" s="307"/>
      <c r="H776" s="307"/>
      <c r="I776" s="307"/>
      <c r="J776" s="307"/>
      <c r="K776" s="307"/>
      <c r="L776" s="307"/>
      <c r="M776" s="307"/>
      <c r="N776" s="307"/>
      <c r="O776" s="307"/>
      <c r="P776" s="307"/>
      <c r="Q776" s="307"/>
      <c r="R776" s="307"/>
      <c r="S776" s="307"/>
      <c r="T776" s="307"/>
      <c r="U776" s="307"/>
      <c r="V776" s="307"/>
      <c r="W776" s="307"/>
      <c r="X776" s="307"/>
      <c r="Y776" s="307"/>
    </row>
    <row r="777">
      <c r="A777" s="307"/>
      <c r="B777" s="307"/>
      <c r="C777" s="307"/>
      <c r="D777" s="310"/>
      <c r="E777" s="307"/>
      <c r="F777" s="307"/>
      <c r="G777" s="307"/>
      <c r="H777" s="307"/>
      <c r="I777" s="307"/>
      <c r="J777" s="307"/>
      <c r="K777" s="307"/>
      <c r="L777" s="307"/>
      <c r="M777" s="307"/>
      <c r="N777" s="307"/>
      <c r="O777" s="307"/>
      <c r="P777" s="307"/>
      <c r="Q777" s="307"/>
      <c r="R777" s="307"/>
      <c r="S777" s="307"/>
      <c r="T777" s="307"/>
      <c r="U777" s="307"/>
      <c r="V777" s="307"/>
      <c r="W777" s="307"/>
      <c r="X777" s="307"/>
      <c r="Y777" s="307"/>
    </row>
    <row r="778">
      <c r="A778" s="307"/>
      <c r="B778" s="307"/>
      <c r="C778" s="307"/>
      <c r="D778" s="310"/>
      <c r="E778" s="307"/>
      <c r="F778" s="307"/>
      <c r="G778" s="307"/>
      <c r="H778" s="307"/>
      <c r="I778" s="307"/>
      <c r="J778" s="307"/>
      <c r="K778" s="307"/>
      <c r="L778" s="307"/>
      <c r="M778" s="307"/>
      <c r="N778" s="307"/>
      <c r="O778" s="307"/>
      <c r="P778" s="307"/>
      <c r="Q778" s="307"/>
      <c r="R778" s="307"/>
      <c r="S778" s="307"/>
      <c r="T778" s="307"/>
      <c r="U778" s="307"/>
      <c r="V778" s="307"/>
      <c r="W778" s="307"/>
      <c r="X778" s="307"/>
      <c r="Y778" s="307"/>
    </row>
    <row r="779">
      <c r="A779" s="307"/>
      <c r="B779" s="307"/>
      <c r="C779" s="307"/>
      <c r="D779" s="310"/>
      <c r="E779" s="307"/>
      <c r="F779" s="307"/>
      <c r="G779" s="307"/>
      <c r="H779" s="307"/>
      <c r="I779" s="307"/>
      <c r="J779" s="307"/>
      <c r="K779" s="307"/>
      <c r="L779" s="307"/>
      <c r="M779" s="307"/>
      <c r="N779" s="307"/>
      <c r="O779" s="307"/>
      <c r="P779" s="307"/>
      <c r="Q779" s="307"/>
      <c r="R779" s="307"/>
      <c r="S779" s="307"/>
      <c r="T779" s="307"/>
      <c r="U779" s="307"/>
      <c r="V779" s="307"/>
      <c r="W779" s="307"/>
      <c r="X779" s="307"/>
      <c r="Y779" s="307"/>
    </row>
    <row r="780">
      <c r="A780" s="307"/>
      <c r="B780" s="307"/>
      <c r="C780" s="307"/>
      <c r="D780" s="310"/>
      <c r="E780" s="307"/>
      <c r="F780" s="307"/>
      <c r="G780" s="307"/>
      <c r="H780" s="307"/>
      <c r="I780" s="307"/>
      <c r="J780" s="307"/>
      <c r="K780" s="307"/>
      <c r="L780" s="307"/>
      <c r="M780" s="307"/>
      <c r="N780" s="307"/>
      <c r="O780" s="307"/>
      <c r="P780" s="307"/>
      <c r="Q780" s="307"/>
      <c r="R780" s="307"/>
      <c r="S780" s="307"/>
      <c r="T780" s="307"/>
      <c r="U780" s="307"/>
      <c r="V780" s="307"/>
      <c r="W780" s="307"/>
      <c r="X780" s="307"/>
      <c r="Y780" s="307"/>
    </row>
    <row r="781">
      <c r="A781" s="307"/>
      <c r="B781" s="307"/>
      <c r="C781" s="307"/>
      <c r="D781" s="310"/>
      <c r="E781" s="307"/>
      <c r="F781" s="307"/>
      <c r="G781" s="307"/>
      <c r="H781" s="307"/>
      <c r="I781" s="307"/>
      <c r="J781" s="307"/>
      <c r="K781" s="307"/>
      <c r="L781" s="307"/>
      <c r="M781" s="307"/>
      <c r="N781" s="307"/>
      <c r="O781" s="307"/>
      <c r="P781" s="307"/>
      <c r="Q781" s="307"/>
      <c r="R781" s="307"/>
      <c r="S781" s="307"/>
      <c r="T781" s="307"/>
      <c r="U781" s="307"/>
      <c r="V781" s="307"/>
      <c r="W781" s="307"/>
      <c r="X781" s="307"/>
      <c r="Y781" s="307"/>
    </row>
    <row r="782">
      <c r="A782" s="307"/>
      <c r="B782" s="307"/>
      <c r="C782" s="307"/>
      <c r="D782" s="310"/>
      <c r="E782" s="307"/>
      <c r="F782" s="307"/>
      <c r="G782" s="307"/>
      <c r="H782" s="307"/>
      <c r="I782" s="307"/>
      <c r="J782" s="307"/>
      <c r="K782" s="307"/>
      <c r="L782" s="307"/>
      <c r="M782" s="307"/>
      <c r="N782" s="307"/>
      <c r="O782" s="307"/>
      <c r="P782" s="307"/>
      <c r="Q782" s="307"/>
      <c r="R782" s="307"/>
      <c r="S782" s="307"/>
      <c r="T782" s="307"/>
      <c r="U782" s="307"/>
      <c r="V782" s="307"/>
      <c r="W782" s="307"/>
      <c r="X782" s="307"/>
      <c r="Y782" s="307"/>
    </row>
    <row r="783">
      <c r="A783" s="307"/>
      <c r="B783" s="307"/>
      <c r="C783" s="307"/>
      <c r="D783" s="310"/>
      <c r="E783" s="307"/>
      <c r="F783" s="307"/>
      <c r="G783" s="307"/>
      <c r="H783" s="307"/>
      <c r="I783" s="307"/>
      <c r="J783" s="307"/>
      <c r="K783" s="307"/>
      <c r="L783" s="307"/>
      <c r="M783" s="307"/>
      <c r="N783" s="307"/>
      <c r="O783" s="307"/>
      <c r="P783" s="307"/>
      <c r="Q783" s="307"/>
      <c r="R783" s="307"/>
      <c r="S783" s="307"/>
      <c r="T783" s="307"/>
      <c r="U783" s="307"/>
      <c r="V783" s="307"/>
      <c r="W783" s="307"/>
      <c r="X783" s="307"/>
      <c r="Y783" s="307"/>
    </row>
    <row r="784">
      <c r="A784" s="307"/>
      <c r="B784" s="307"/>
      <c r="C784" s="307"/>
      <c r="D784" s="310"/>
      <c r="E784" s="307"/>
      <c r="F784" s="307"/>
      <c r="G784" s="307"/>
      <c r="H784" s="307"/>
      <c r="I784" s="307"/>
      <c r="J784" s="307"/>
      <c r="K784" s="307"/>
      <c r="L784" s="307"/>
      <c r="M784" s="307"/>
      <c r="N784" s="307"/>
      <c r="O784" s="307"/>
      <c r="P784" s="307"/>
      <c r="Q784" s="307"/>
      <c r="R784" s="307"/>
      <c r="S784" s="307"/>
      <c r="T784" s="307"/>
      <c r="U784" s="307"/>
      <c r="V784" s="307"/>
      <c r="W784" s="307"/>
      <c r="X784" s="307"/>
      <c r="Y784" s="307"/>
    </row>
    <row r="785">
      <c r="A785" s="307"/>
      <c r="B785" s="307"/>
      <c r="C785" s="307"/>
      <c r="D785" s="310"/>
      <c r="E785" s="307"/>
      <c r="F785" s="307"/>
      <c r="G785" s="307"/>
      <c r="H785" s="307"/>
      <c r="I785" s="307"/>
      <c r="J785" s="307"/>
      <c r="K785" s="307"/>
      <c r="L785" s="307"/>
      <c r="M785" s="307"/>
      <c r="N785" s="307"/>
      <c r="O785" s="307"/>
      <c r="P785" s="307"/>
      <c r="Q785" s="307"/>
      <c r="R785" s="307"/>
      <c r="S785" s="307"/>
      <c r="T785" s="307"/>
      <c r="U785" s="307"/>
      <c r="V785" s="307"/>
      <c r="W785" s="307"/>
      <c r="X785" s="307"/>
      <c r="Y785" s="307"/>
    </row>
    <row r="786">
      <c r="A786" s="307"/>
      <c r="B786" s="307"/>
      <c r="C786" s="307"/>
      <c r="D786" s="310"/>
      <c r="E786" s="307"/>
      <c r="F786" s="307"/>
      <c r="G786" s="307"/>
      <c r="H786" s="307"/>
      <c r="I786" s="307"/>
      <c r="J786" s="307"/>
      <c r="K786" s="307"/>
      <c r="L786" s="307"/>
      <c r="M786" s="307"/>
      <c r="N786" s="307"/>
      <c r="O786" s="307"/>
      <c r="P786" s="307"/>
      <c r="Q786" s="307"/>
      <c r="R786" s="307"/>
      <c r="S786" s="307"/>
      <c r="T786" s="307"/>
      <c r="U786" s="307"/>
      <c r="V786" s="307"/>
      <c r="W786" s="307"/>
      <c r="X786" s="307"/>
      <c r="Y786" s="307"/>
    </row>
    <row r="787">
      <c r="A787" s="307"/>
      <c r="B787" s="307"/>
      <c r="C787" s="307"/>
      <c r="D787" s="310"/>
      <c r="E787" s="307"/>
      <c r="F787" s="307"/>
      <c r="G787" s="307"/>
      <c r="H787" s="307"/>
      <c r="I787" s="307"/>
      <c r="J787" s="307"/>
      <c r="K787" s="307"/>
      <c r="L787" s="307"/>
      <c r="M787" s="307"/>
      <c r="N787" s="307"/>
      <c r="O787" s="307"/>
      <c r="P787" s="307"/>
      <c r="Q787" s="307"/>
      <c r="R787" s="307"/>
      <c r="S787" s="307"/>
      <c r="T787" s="307"/>
      <c r="U787" s="307"/>
      <c r="V787" s="307"/>
      <c r="W787" s="307"/>
      <c r="X787" s="307"/>
      <c r="Y787" s="307"/>
    </row>
    <row r="788">
      <c r="A788" s="307"/>
      <c r="B788" s="307"/>
      <c r="C788" s="307"/>
      <c r="D788" s="310"/>
      <c r="E788" s="307"/>
      <c r="F788" s="307"/>
      <c r="G788" s="307"/>
      <c r="H788" s="307"/>
      <c r="I788" s="307"/>
      <c r="J788" s="307"/>
      <c r="K788" s="307"/>
      <c r="L788" s="307"/>
      <c r="M788" s="307"/>
      <c r="N788" s="307"/>
      <c r="O788" s="307"/>
      <c r="P788" s="307"/>
      <c r="Q788" s="307"/>
      <c r="R788" s="307"/>
      <c r="S788" s="307"/>
      <c r="T788" s="307"/>
      <c r="U788" s="307"/>
      <c r="V788" s="307"/>
      <c r="W788" s="307"/>
      <c r="X788" s="307"/>
      <c r="Y788" s="307"/>
    </row>
    <row r="789">
      <c r="A789" s="307"/>
      <c r="B789" s="307"/>
      <c r="C789" s="307"/>
      <c r="D789" s="310"/>
      <c r="E789" s="307"/>
      <c r="F789" s="307"/>
      <c r="G789" s="307"/>
      <c r="H789" s="307"/>
      <c r="I789" s="307"/>
      <c r="J789" s="307"/>
      <c r="K789" s="307"/>
      <c r="L789" s="307"/>
      <c r="M789" s="307"/>
      <c r="N789" s="307"/>
      <c r="O789" s="307"/>
      <c r="P789" s="307"/>
      <c r="Q789" s="307"/>
      <c r="R789" s="307"/>
      <c r="S789" s="307"/>
      <c r="T789" s="307"/>
      <c r="U789" s="307"/>
      <c r="V789" s="307"/>
      <c r="W789" s="307"/>
      <c r="X789" s="307"/>
      <c r="Y789" s="307"/>
    </row>
    <row r="790">
      <c r="A790" s="307"/>
      <c r="B790" s="307"/>
      <c r="C790" s="307"/>
      <c r="D790" s="310"/>
      <c r="E790" s="307"/>
      <c r="F790" s="307"/>
      <c r="G790" s="307"/>
      <c r="H790" s="307"/>
      <c r="I790" s="307"/>
      <c r="J790" s="307"/>
      <c r="K790" s="307"/>
      <c r="L790" s="307"/>
      <c r="M790" s="307"/>
      <c r="N790" s="307"/>
      <c r="O790" s="307"/>
      <c r="P790" s="307"/>
      <c r="Q790" s="307"/>
      <c r="R790" s="307"/>
      <c r="S790" s="307"/>
      <c r="T790" s="307"/>
      <c r="U790" s="307"/>
      <c r="V790" s="307"/>
      <c r="W790" s="307"/>
      <c r="X790" s="307"/>
      <c r="Y790" s="307"/>
    </row>
    <row r="791">
      <c r="A791" s="307"/>
      <c r="B791" s="307"/>
      <c r="C791" s="307"/>
      <c r="D791" s="310"/>
      <c r="E791" s="307"/>
      <c r="F791" s="307"/>
      <c r="G791" s="307"/>
      <c r="H791" s="307"/>
      <c r="I791" s="307"/>
      <c r="J791" s="307"/>
      <c r="K791" s="307"/>
      <c r="L791" s="307"/>
      <c r="M791" s="307"/>
      <c r="N791" s="307"/>
      <c r="O791" s="307"/>
      <c r="P791" s="307"/>
      <c r="Q791" s="307"/>
      <c r="R791" s="307"/>
      <c r="S791" s="307"/>
      <c r="T791" s="307"/>
      <c r="U791" s="307"/>
      <c r="V791" s="307"/>
      <c r="W791" s="307"/>
      <c r="X791" s="307"/>
      <c r="Y791" s="307"/>
    </row>
    <row r="792">
      <c r="A792" s="307"/>
      <c r="B792" s="307"/>
      <c r="C792" s="307"/>
      <c r="D792" s="310"/>
      <c r="E792" s="307"/>
      <c r="F792" s="307"/>
      <c r="G792" s="307"/>
      <c r="H792" s="307"/>
      <c r="I792" s="307"/>
      <c r="J792" s="307"/>
      <c r="K792" s="307"/>
      <c r="L792" s="307"/>
      <c r="M792" s="307"/>
      <c r="N792" s="307"/>
      <c r="O792" s="307"/>
      <c r="P792" s="307"/>
      <c r="Q792" s="307"/>
      <c r="R792" s="307"/>
      <c r="S792" s="307"/>
      <c r="T792" s="307"/>
      <c r="U792" s="307"/>
      <c r="V792" s="307"/>
      <c r="W792" s="307"/>
      <c r="X792" s="307"/>
      <c r="Y792" s="307"/>
    </row>
    <row r="793">
      <c r="A793" s="307"/>
      <c r="B793" s="307"/>
      <c r="C793" s="307"/>
      <c r="D793" s="310"/>
      <c r="E793" s="307"/>
      <c r="F793" s="307"/>
      <c r="G793" s="307"/>
      <c r="H793" s="307"/>
      <c r="I793" s="307"/>
      <c r="J793" s="307"/>
      <c r="K793" s="307"/>
      <c r="L793" s="307"/>
      <c r="M793" s="307"/>
      <c r="N793" s="307"/>
      <c r="O793" s="307"/>
      <c r="P793" s="307"/>
      <c r="Q793" s="307"/>
      <c r="R793" s="307"/>
      <c r="S793" s="307"/>
      <c r="T793" s="307"/>
      <c r="U793" s="307"/>
      <c r="V793" s="307"/>
      <c r="W793" s="307"/>
      <c r="X793" s="307"/>
      <c r="Y793" s="307"/>
    </row>
    <row r="794">
      <c r="A794" s="307"/>
      <c r="B794" s="307"/>
      <c r="C794" s="307"/>
      <c r="D794" s="310"/>
      <c r="E794" s="307"/>
      <c r="F794" s="307"/>
      <c r="G794" s="307"/>
      <c r="H794" s="307"/>
      <c r="I794" s="307"/>
      <c r="J794" s="307"/>
      <c r="K794" s="307"/>
      <c r="L794" s="307"/>
      <c r="M794" s="307"/>
      <c r="N794" s="307"/>
      <c r="O794" s="307"/>
      <c r="P794" s="307"/>
      <c r="Q794" s="307"/>
      <c r="R794" s="307"/>
      <c r="S794" s="307"/>
      <c r="T794" s="307"/>
      <c r="U794" s="307"/>
      <c r="V794" s="307"/>
      <c r="W794" s="307"/>
      <c r="X794" s="307"/>
      <c r="Y794" s="307"/>
    </row>
    <row r="795">
      <c r="A795" s="307"/>
      <c r="B795" s="307"/>
      <c r="C795" s="307"/>
      <c r="D795" s="310"/>
      <c r="E795" s="307"/>
      <c r="F795" s="307"/>
      <c r="G795" s="307"/>
      <c r="H795" s="307"/>
      <c r="I795" s="307"/>
      <c r="J795" s="307"/>
      <c r="K795" s="307"/>
      <c r="L795" s="307"/>
      <c r="M795" s="307"/>
      <c r="N795" s="307"/>
      <c r="O795" s="307"/>
      <c r="P795" s="307"/>
      <c r="Q795" s="307"/>
      <c r="R795" s="307"/>
      <c r="S795" s="307"/>
      <c r="T795" s="307"/>
      <c r="U795" s="307"/>
      <c r="V795" s="307"/>
      <c r="W795" s="307"/>
      <c r="X795" s="307"/>
      <c r="Y795" s="307"/>
    </row>
    <row r="796">
      <c r="A796" s="307"/>
      <c r="B796" s="307"/>
      <c r="C796" s="307"/>
      <c r="D796" s="310"/>
      <c r="E796" s="307"/>
      <c r="F796" s="307"/>
      <c r="G796" s="307"/>
      <c r="H796" s="307"/>
      <c r="I796" s="307"/>
      <c r="J796" s="307"/>
      <c r="K796" s="307"/>
      <c r="L796" s="307"/>
      <c r="M796" s="307"/>
      <c r="N796" s="307"/>
      <c r="O796" s="307"/>
      <c r="P796" s="307"/>
      <c r="Q796" s="307"/>
      <c r="R796" s="307"/>
      <c r="S796" s="307"/>
      <c r="T796" s="307"/>
      <c r="U796" s="307"/>
      <c r="V796" s="307"/>
      <c r="W796" s="307"/>
      <c r="X796" s="307"/>
      <c r="Y796" s="307"/>
    </row>
    <row r="797">
      <c r="A797" s="307"/>
      <c r="B797" s="307"/>
      <c r="C797" s="307"/>
      <c r="D797" s="310"/>
      <c r="E797" s="307"/>
      <c r="F797" s="307"/>
      <c r="G797" s="307"/>
      <c r="H797" s="307"/>
      <c r="I797" s="307"/>
      <c r="J797" s="307"/>
      <c r="K797" s="307"/>
      <c r="L797" s="307"/>
      <c r="M797" s="307"/>
      <c r="N797" s="307"/>
      <c r="O797" s="307"/>
      <c r="P797" s="307"/>
      <c r="Q797" s="307"/>
      <c r="R797" s="307"/>
      <c r="S797" s="307"/>
      <c r="T797" s="307"/>
      <c r="U797" s="307"/>
      <c r="V797" s="307"/>
      <c r="W797" s="307"/>
      <c r="X797" s="307"/>
      <c r="Y797" s="307"/>
    </row>
    <row r="798">
      <c r="A798" s="307"/>
      <c r="B798" s="307"/>
      <c r="C798" s="307"/>
      <c r="D798" s="310"/>
      <c r="E798" s="307"/>
      <c r="F798" s="307"/>
      <c r="G798" s="307"/>
      <c r="H798" s="307"/>
      <c r="I798" s="307"/>
      <c r="J798" s="307"/>
      <c r="K798" s="307"/>
      <c r="L798" s="307"/>
      <c r="M798" s="307"/>
      <c r="N798" s="307"/>
      <c r="O798" s="307"/>
      <c r="P798" s="307"/>
      <c r="Q798" s="307"/>
      <c r="R798" s="307"/>
      <c r="S798" s="307"/>
      <c r="T798" s="307"/>
      <c r="U798" s="307"/>
      <c r="V798" s="307"/>
      <c r="W798" s="307"/>
      <c r="X798" s="307"/>
      <c r="Y798" s="307"/>
    </row>
    <row r="799">
      <c r="A799" s="307"/>
      <c r="B799" s="307"/>
      <c r="C799" s="307"/>
      <c r="D799" s="310"/>
      <c r="E799" s="307"/>
      <c r="F799" s="307"/>
      <c r="G799" s="307"/>
      <c r="H799" s="307"/>
      <c r="I799" s="307"/>
      <c r="J799" s="307"/>
      <c r="K799" s="307"/>
      <c r="L799" s="307"/>
      <c r="M799" s="307"/>
      <c r="N799" s="307"/>
      <c r="O799" s="307"/>
      <c r="P799" s="307"/>
      <c r="Q799" s="307"/>
      <c r="R799" s="307"/>
      <c r="S799" s="307"/>
      <c r="T799" s="307"/>
      <c r="U799" s="307"/>
      <c r="V799" s="307"/>
      <c r="W799" s="307"/>
      <c r="X799" s="307"/>
      <c r="Y799" s="307"/>
    </row>
    <row r="800">
      <c r="A800" s="307"/>
      <c r="B800" s="307"/>
      <c r="C800" s="307"/>
      <c r="D800" s="310"/>
      <c r="E800" s="307"/>
      <c r="F800" s="307"/>
      <c r="G800" s="307"/>
      <c r="H800" s="307"/>
      <c r="I800" s="307"/>
      <c r="J800" s="307"/>
      <c r="K800" s="307"/>
      <c r="L800" s="307"/>
      <c r="M800" s="307"/>
      <c r="N800" s="307"/>
      <c r="O800" s="307"/>
      <c r="P800" s="307"/>
      <c r="Q800" s="307"/>
      <c r="R800" s="307"/>
      <c r="S800" s="307"/>
      <c r="T800" s="307"/>
      <c r="U800" s="307"/>
      <c r="V800" s="307"/>
      <c r="W800" s="307"/>
      <c r="X800" s="307"/>
      <c r="Y800" s="307"/>
    </row>
    <row r="801">
      <c r="A801" s="307"/>
      <c r="B801" s="307"/>
      <c r="C801" s="307"/>
      <c r="D801" s="310"/>
      <c r="E801" s="307"/>
      <c r="F801" s="307"/>
      <c r="G801" s="307"/>
      <c r="H801" s="307"/>
      <c r="I801" s="307"/>
      <c r="J801" s="307"/>
      <c r="K801" s="307"/>
      <c r="L801" s="307"/>
      <c r="M801" s="307"/>
      <c r="N801" s="307"/>
      <c r="O801" s="307"/>
      <c r="P801" s="307"/>
      <c r="Q801" s="307"/>
      <c r="R801" s="307"/>
      <c r="S801" s="307"/>
      <c r="T801" s="307"/>
      <c r="U801" s="307"/>
      <c r="V801" s="307"/>
      <c r="W801" s="307"/>
      <c r="X801" s="307"/>
      <c r="Y801" s="307"/>
    </row>
    <row r="802">
      <c r="A802" s="307"/>
      <c r="B802" s="307"/>
      <c r="C802" s="307"/>
      <c r="D802" s="310"/>
      <c r="E802" s="307"/>
      <c r="F802" s="307"/>
      <c r="G802" s="307"/>
      <c r="H802" s="307"/>
      <c r="I802" s="307"/>
      <c r="J802" s="307"/>
      <c r="K802" s="307"/>
      <c r="L802" s="307"/>
      <c r="M802" s="307"/>
      <c r="N802" s="307"/>
      <c r="O802" s="307"/>
      <c r="P802" s="307"/>
      <c r="Q802" s="307"/>
      <c r="R802" s="307"/>
      <c r="S802" s="307"/>
      <c r="T802" s="307"/>
      <c r="U802" s="307"/>
      <c r="V802" s="307"/>
      <c r="W802" s="307"/>
      <c r="X802" s="307"/>
      <c r="Y802" s="307"/>
    </row>
    <row r="803">
      <c r="A803" s="307"/>
      <c r="B803" s="307"/>
      <c r="C803" s="307"/>
      <c r="D803" s="310"/>
      <c r="E803" s="307"/>
      <c r="F803" s="307"/>
      <c r="G803" s="307"/>
      <c r="H803" s="307"/>
      <c r="I803" s="307"/>
      <c r="J803" s="307"/>
      <c r="K803" s="307"/>
      <c r="L803" s="307"/>
      <c r="M803" s="307"/>
      <c r="N803" s="307"/>
      <c r="O803" s="307"/>
      <c r="P803" s="307"/>
      <c r="Q803" s="307"/>
      <c r="R803" s="307"/>
      <c r="S803" s="307"/>
      <c r="T803" s="307"/>
      <c r="U803" s="307"/>
      <c r="V803" s="307"/>
      <c r="W803" s="307"/>
      <c r="X803" s="307"/>
      <c r="Y803" s="307"/>
    </row>
    <row r="804">
      <c r="A804" s="307"/>
      <c r="B804" s="307"/>
      <c r="C804" s="307"/>
      <c r="D804" s="310"/>
      <c r="E804" s="307"/>
      <c r="F804" s="307"/>
      <c r="G804" s="307"/>
      <c r="H804" s="307"/>
      <c r="I804" s="307"/>
      <c r="J804" s="307"/>
      <c r="K804" s="307"/>
      <c r="L804" s="307"/>
      <c r="M804" s="307"/>
      <c r="N804" s="307"/>
      <c r="O804" s="307"/>
      <c r="P804" s="307"/>
      <c r="Q804" s="307"/>
      <c r="R804" s="307"/>
      <c r="S804" s="307"/>
      <c r="T804" s="307"/>
      <c r="U804" s="307"/>
      <c r="V804" s="307"/>
      <c r="W804" s="307"/>
      <c r="X804" s="307"/>
      <c r="Y804" s="307"/>
    </row>
    <row r="805">
      <c r="A805" s="307"/>
      <c r="B805" s="307"/>
      <c r="C805" s="307"/>
      <c r="D805" s="310"/>
      <c r="E805" s="307"/>
      <c r="F805" s="307"/>
      <c r="G805" s="307"/>
      <c r="H805" s="307"/>
      <c r="I805" s="307"/>
      <c r="J805" s="307"/>
      <c r="K805" s="307"/>
      <c r="L805" s="307"/>
      <c r="M805" s="307"/>
      <c r="N805" s="307"/>
      <c r="O805" s="307"/>
      <c r="P805" s="307"/>
      <c r="Q805" s="307"/>
      <c r="R805" s="307"/>
      <c r="S805" s="307"/>
      <c r="T805" s="307"/>
      <c r="U805" s="307"/>
      <c r="V805" s="307"/>
      <c r="W805" s="307"/>
      <c r="X805" s="307"/>
      <c r="Y805" s="307"/>
    </row>
    <row r="806">
      <c r="A806" s="307"/>
      <c r="B806" s="307"/>
      <c r="C806" s="307"/>
      <c r="D806" s="310"/>
      <c r="E806" s="307"/>
      <c r="F806" s="307"/>
      <c r="G806" s="307"/>
      <c r="H806" s="307"/>
      <c r="I806" s="307"/>
      <c r="J806" s="307"/>
      <c r="K806" s="307"/>
      <c r="L806" s="307"/>
      <c r="M806" s="307"/>
      <c r="N806" s="307"/>
      <c r="O806" s="307"/>
      <c r="P806" s="307"/>
      <c r="Q806" s="307"/>
      <c r="R806" s="307"/>
      <c r="S806" s="307"/>
      <c r="T806" s="307"/>
      <c r="U806" s="307"/>
      <c r="V806" s="307"/>
      <c r="W806" s="307"/>
      <c r="X806" s="307"/>
      <c r="Y806" s="307"/>
    </row>
    <row r="807">
      <c r="A807" s="307"/>
      <c r="B807" s="307"/>
      <c r="C807" s="307"/>
      <c r="D807" s="310"/>
      <c r="E807" s="307"/>
      <c r="F807" s="307"/>
      <c r="G807" s="307"/>
      <c r="H807" s="307"/>
      <c r="I807" s="307"/>
      <c r="J807" s="307"/>
      <c r="K807" s="307"/>
      <c r="L807" s="307"/>
      <c r="M807" s="307"/>
      <c r="N807" s="307"/>
      <c r="O807" s="307"/>
      <c r="P807" s="307"/>
      <c r="Q807" s="307"/>
      <c r="R807" s="307"/>
      <c r="S807" s="307"/>
      <c r="T807" s="307"/>
      <c r="U807" s="307"/>
      <c r="V807" s="307"/>
      <c r="W807" s="307"/>
      <c r="X807" s="307"/>
      <c r="Y807" s="307"/>
    </row>
    <row r="808">
      <c r="A808" s="307"/>
      <c r="B808" s="307"/>
      <c r="C808" s="307"/>
      <c r="D808" s="310"/>
      <c r="E808" s="307"/>
      <c r="F808" s="307"/>
      <c r="G808" s="307"/>
      <c r="H808" s="307"/>
      <c r="I808" s="307"/>
      <c r="J808" s="307"/>
      <c r="K808" s="307"/>
      <c r="L808" s="307"/>
      <c r="M808" s="307"/>
      <c r="N808" s="307"/>
      <c r="O808" s="307"/>
      <c r="P808" s="307"/>
      <c r="Q808" s="307"/>
      <c r="R808" s="307"/>
      <c r="S808" s="307"/>
      <c r="T808" s="307"/>
      <c r="U808" s="307"/>
      <c r="V808" s="307"/>
      <c r="W808" s="307"/>
      <c r="X808" s="307"/>
      <c r="Y808" s="307"/>
    </row>
    <row r="809">
      <c r="A809" s="307"/>
      <c r="B809" s="307"/>
      <c r="C809" s="307"/>
      <c r="D809" s="310"/>
      <c r="E809" s="307"/>
      <c r="F809" s="307"/>
      <c r="G809" s="307"/>
      <c r="H809" s="307"/>
      <c r="I809" s="307"/>
      <c r="J809" s="307"/>
      <c r="K809" s="307"/>
      <c r="L809" s="307"/>
      <c r="M809" s="307"/>
      <c r="N809" s="307"/>
      <c r="O809" s="307"/>
      <c r="P809" s="307"/>
      <c r="Q809" s="307"/>
      <c r="R809" s="307"/>
      <c r="S809" s="307"/>
      <c r="T809" s="307"/>
      <c r="U809" s="307"/>
      <c r="V809" s="307"/>
      <c r="W809" s="307"/>
      <c r="X809" s="307"/>
      <c r="Y809" s="307"/>
    </row>
    <row r="810">
      <c r="A810" s="307"/>
      <c r="B810" s="307"/>
      <c r="C810" s="307"/>
      <c r="D810" s="310"/>
      <c r="E810" s="307"/>
      <c r="F810" s="307"/>
      <c r="G810" s="307"/>
      <c r="H810" s="307"/>
      <c r="I810" s="307"/>
      <c r="J810" s="307"/>
      <c r="K810" s="307"/>
      <c r="L810" s="307"/>
      <c r="M810" s="307"/>
      <c r="N810" s="307"/>
      <c r="O810" s="307"/>
      <c r="P810" s="307"/>
      <c r="Q810" s="307"/>
      <c r="R810" s="307"/>
      <c r="S810" s="307"/>
      <c r="T810" s="307"/>
      <c r="U810" s="307"/>
      <c r="V810" s="307"/>
      <c r="W810" s="307"/>
      <c r="X810" s="307"/>
      <c r="Y810" s="307"/>
    </row>
    <row r="811">
      <c r="A811" s="307"/>
      <c r="B811" s="307"/>
      <c r="C811" s="307"/>
      <c r="D811" s="310"/>
      <c r="E811" s="307"/>
      <c r="F811" s="307"/>
      <c r="G811" s="307"/>
      <c r="H811" s="307"/>
      <c r="I811" s="307"/>
      <c r="J811" s="307"/>
      <c r="K811" s="307"/>
      <c r="L811" s="307"/>
      <c r="M811" s="307"/>
      <c r="N811" s="307"/>
      <c r="O811" s="307"/>
      <c r="P811" s="307"/>
      <c r="Q811" s="307"/>
      <c r="R811" s="307"/>
      <c r="S811" s="307"/>
      <c r="T811" s="307"/>
      <c r="U811" s="307"/>
      <c r="V811" s="307"/>
      <c r="W811" s="307"/>
      <c r="X811" s="307"/>
      <c r="Y811" s="307"/>
    </row>
    <row r="812">
      <c r="A812" s="307"/>
      <c r="B812" s="307"/>
      <c r="C812" s="307"/>
      <c r="D812" s="310"/>
      <c r="E812" s="307"/>
      <c r="F812" s="307"/>
      <c r="G812" s="307"/>
      <c r="H812" s="307"/>
      <c r="I812" s="307"/>
      <c r="J812" s="307"/>
      <c r="K812" s="307"/>
      <c r="L812" s="307"/>
      <c r="M812" s="307"/>
      <c r="N812" s="307"/>
      <c r="O812" s="307"/>
      <c r="P812" s="307"/>
      <c r="Q812" s="307"/>
      <c r="R812" s="307"/>
      <c r="S812" s="307"/>
      <c r="T812" s="307"/>
      <c r="U812" s="307"/>
      <c r="V812" s="307"/>
      <c r="W812" s="307"/>
      <c r="X812" s="307"/>
      <c r="Y812" s="307"/>
    </row>
    <row r="813">
      <c r="A813" s="307"/>
      <c r="B813" s="307"/>
      <c r="C813" s="307"/>
      <c r="D813" s="310"/>
      <c r="E813" s="307"/>
      <c r="F813" s="307"/>
      <c r="G813" s="307"/>
      <c r="H813" s="307"/>
      <c r="I813" s="307"/>
      <c r="J813" s="307"/>
      <c r="K813" s="307"/>
      <c r="L813" s="307"/>
      <c r="M813" s="307"/>
      <c r="N813" s="307"/>
      <c r="O813" s="307"/>
      <c r="P813" s="307"/>
      <c r="Q813" s="307"/>
      <c r="R813" s="307"/>
      <c r="S813" s="307"/>
      <c r="T813" s="307"/>
      <c r="U813" s="307"/>
      <c r="V813" s="307"/>
      <c r="W813" s="307"/>
      <c r="X813" s="307"/>
      <c r="Y813" s="307"/>
    </row>
    <row r="814">
      <c r="A814" s="307"/>
      <c r="B814" s="307"/>
      <c r="C814" s="307"/>
      <c r="D814" s="310"/>
      <c r="E814" s="307"/>
      <c r="F814" s="307"/>
      <c r="G814" s="307"/>
      <c r="H814" s="307"/>
      <c r="I814" s="307"/>
      <c r="J814" s="307"/>
      <c r="K814" s="307"/>
      <c r="L814" s="307"/>
      <c r="M814" s="307"/>
      <c r="N814" s="307"/>
      <c r="O814" s="307"/>
      <c r="P814" s="307"/>
      <c r="Q814" s="307"/>
      <c r="R814" s="307"/>
      <c r="S814" s="307"/>
      <c r="T814" s="307"/>
      <c r="U814" s="307"/>
      <c r="V814" s="307"/>
      <c r="W814" s="307"/>
      <c r="X814" s="307"/>
      <c r="Y814" s="307"/>
    </row>
    <row r="815">
      <c r="A815" s="307"/>
      <c r="B815" s="307"/>
      <c r="C815" s="307"/>
      <c r="D815" s="310"/>
      <c r="E815" s="307"/>
      <c r="F815" s="307"/>
      <c r="G815" s="307"/>
      <c r="H815" s="307"/>
      <c r="I815" s="307"/>
      <c r="J815" s="307"/>
      <c r="K815" s="307"/>
      <c r="L815" s="307"/>
      <c r="M815" s="307"/>
      <c r="N815" s="307"/>
      <c r="O815" s="307"/>
      <c r="P815" s="307"/>
      <c r="Q815" s="307"/>
      <c r="R815" s="307"/>
      <c r="S815" s="307"/>
      <c r="T815" s="307"/>
      <c r="U815" s="307"/>
      <c r="V815" s="307"/>
      <c r="W815" s="307"/>
      <c r="X815" s="307"/>
      <c r="Y815" s="307"/>
    </row>
    <row r="816">
      <c r="A816" s="307"/>
      <c r="B816" s="307"/>
      <c r="C816" s="307"/>
      <c r="D816" s="310"/>
      <c r="E816" s="307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</row>
    <row r="817">
      <c r="A817" s="307"/>
      <c r="B817" s="307"/>
      <c r="C817" s="307"/>
      <c r="D817" s="310"/>
      <c r="E817" s="307"/>
      <c r="F817" s="307"/>
      <c r="G817" s="307"/>
      <c r="H817" s="307"/>
      <c r="I817" s="307"/>
      <c r="J817" s="307"/>
      <c r="K817" s="307"/>
      <c r="L817" s="307"/>
      <c r="M817" s="307"/>
      <c r="N817" s="307"/>
      <c r="O817" s="307"/>
      <c r="P817" s="307"/>
      <c r="Q817" s="307"/>
      <c r="R817" s="307"/>
      <c r="S817" s="307"/>
      <c r="T817" s="307"/>
      <c r="U817" s="307"/>
      <c r="V817" s="307"/>
      <c r="W817" s="307"/>
      <c r="X817" s="307"/>
      <c r="Y817" s="307"/>
    </row>
    <row r="818">
      <c r="A818" s="307"/>
      <c r="B818" s="307"/>
      <c r="C818" s="307"/>
      <c r="D818" s="310"/>
      <c r="E818" s="307"/>
      <c r="F818" s="307"/>
      <c r="G818" s="307"/>
      <c r="H818" s="307"/>
      <c r="I818" s="307"/>
      <c r="J818" s="307"/>
      <c r="K818" s="307"/>
      <c r="L818" s="307"/>
      <c r="M818" s="307"/>
      <c r="N818" s="307"/>
      <c r="O818" s="307"/>
      <c r="P818" s="307"/>
      <c r="Q818" s="307"/>
      <c r="R818" s="307"/>
      <c r="S818" s="307"/>
      <c r="T818" s="307"/>
      <c r="U818" s="307"/>
      <c r="V818" s="307"/>
      <c r="W818" s="307"/>
      <c r="X818" s="307"/>
      <c r="Y818" s="307"/>
    </row>
    <row r="819">
      <c r="A819" s="307"/>
      <c r="B819" s="307"/>
      <c r="C819" s="307"/>
      <c r="D819" s="310"/>
      <c r="E819" s="307"/>
      <c r="F819" s="307"/>
      <c r="G819" s="307"/>
      <c r="H819" s="307"/>
      <c r="I819" s="307"/>
      <c r="J819" s="307"/>
      <c r="K819" s="307"/>
      <c r="L819" s="307"/>
      <c r="M819" s="307"/>
      <c r="N819" s="307"/>
      <c r="O819" s="307"/>
      <c r="P819" s="307"/>
      <c r="Q819" s="307"/>
      <c r="R819" s="307"/>
      <c r="S819" s="307"/>
      <c r="T819" s="307"/>
      <c r="U819" s="307"/>
      <c r="V819" s="307"/>
      <c r="W819" s="307"/>
      <c r="X819" s="307"/>
      <c r="Y819" s="307"/>
    </row>
    <row r="820">
      <c r="A820" s="307"/>
      <c r="B820" s="307"/>
      <c r="C820" s="307"/>
      <c r="D820" s="310"/>
      <c r="E820" s="307"/>
      <c r="F820" s="307"/>
      <c r="G820" s="307"/>
      <c r="H820" s="307"/>
      <c r="I820" s="307"/>
      <c r="J820" s="307"/>
      <c r="K820" s="307"/>
      <c r="L820" s="307"/>
      <c r="M820" s="307"/>
      <c r="N820" s="307"/>
      <c r="O820" s="307"/>
      <c r="P820" s="307"/>
      <c r="Q820" s="307"/>
      <c r="R820" s="307"/>
      <c r="S820" s="307"/>
      <c r="T820" s="307"/>
      <c r="U820" s="307"/>
      <c r="V820" s="307"/>
      <c r="W820" s="307"/>
      <c r="X820" s="307"/>
      <c r="Y820" s="307"/>
    </row>
    <row r="821">
      <c r="A821" s="307"/>
      <c r="B821" s="307"/>
      <c r="C821" s="307"/>
      <c r="D821" s="310"/>
      <c r="E821" s="307"/>
      <c r="F821" s="307"/>
      <c r="G821" s="307"/>
      <c r="H821" s="307"/>
      <c r="I821" s="307"/>
      <c r="J821" s="307"/>
      <c r="K821" s="307"/>
      <c r="L821" s="307"/>
      <c r="M821" s="307"/>
      <c r="N821" s="307"/>
      <c r="O821" s="307"/>
      <c r="P821" s="307"/>
      <c r="Q821" s="307"/>
      <c r="R821" s="307"/>
      <c r="S821" s="307"/>
      <c r="T821" s="307"/>
      <c r="U821" s="307"/>
      <c r="V821" s="307"/>
      <c r="W821" s="307"/>
      <c r="X821" s="307"/>
      <c r="Y821" s="307"/>
    </row>
    <row r="822">
      <c r="A822" s="307"/>
      <c r="B822" s="307"/>
      <c r="C822" s="307"/>
      <c r="D822" s="310"/>
      <c r="E822" s="307"/>
      <c r="F822" s="307"/>
      <c r="G822" s="307"/>
      <c r="H822" s="307"/>
      <c r="I822" s="307"/>
      <c r="J822" s="307"/>
      <c r="K822" s="307"/>
      <c r="L822" s="307"/>
      <c r="M822" s="307"/>
      <c r="N822" s="307"/>
      <c r="O822" s="307"/>
      <c r="P822" s="307"/>
      <c r="Q822" s="307"/>
      <c r="R822" s="307"/>
      <c r="S822" s="307"/>
      <c r="T822" s="307"/>
      <c r="U822" s="307"/>
      <c r="V822" s="307"/>
      <c r="W822" s="307"/>
      <c r="X822" s="307"/>
      <c r="Y822" s="307"/>
    </row>
    <row r="823">
      <c r="A823" s="307"/>
      <c r="B823" s="307"/>
      <c r="C823" s="307"/>
      <c r="D823" s="310"/>
      <c r="E823" s="307"/>
      <c r="F823" s="307"/>
      <c r="G823" s="307"/>
      <c r="H823" s="307"/>
      <c r="I823" s="307"/>
      <c r="J823" s="307"/>
      <c r="K823" s="307"/>
      <c r="L823" s="307"/>
      <c r="M823" s="307"/>
      <c r="N823" s="307"/>
      <c r="O823" s="307"/>
      <c r="P823" s="307"/>
      <c r="Q823" s="307"/>
      <c r="R823" s="307"/>
      <c r="S823" s="307"/>
      <c r="T823" s="307"/>
      <c r="U823" s="307"/>
      <c r="V823" s="307"/>
      <c r="W823" s="307"/>
      <c r="X823" s="307"/>
      <c r="Y823" s="307"/>
    </row>
    <row r="824">
      <c r="A824" s="307"/>
      <c r="B824" s="307"/>
      <c r="C824" s="307"/>
      <c r="D824" s="310"/>
      <c r="E824" s="307"/>
      <c r="F824" s="307"/>
      <c r="G824" s="307"/>
      <c r="H824" s="307"/>
      <c r="I824" s="307"/>
      <c r="J824" s="307"/>
      <c r="K824" s="307"/>
      <c r="L824" s="307"/>
      <c r="M824" s="307"/>
      <c r="N824" s="307"/>
      <c r="O824" s="307"/>
      <c r="P824" s="307"/>
      <c r="Q824" s="307"/>
      <c r="R824" s="307"/>
      <c r="S824" s="307"/>
      <c r="T824" s="307"/>
      <c r="U824" s="307"/>
      <c r="V824" s="307"/>
      <c r="W824" s="307"/>
      <c r="X824" s="307"/>
      <c r="Y824" s="307"/>
    </row>
    <row r="825">
      <c r="A825" s="307"/>
      <c r="B825" s="307"/>
      <c r="C825" s="307"/>
      <c r="D825" s="310"/>
      <c r="E825" s="307"/>
      <c r="F825" s="307"/>
      <c r="G825" s="307"/>
      <c r="H825" s="307"/>
      <c r="I825" s="307"/>
      <c r="J825" s="307"/>
      <c r="K825" s="307"/>
      <c r="L825" s="307"/>
      <c r="M825" s="307"/>
      <c r="N825" s="307"/>
      <c r="O825" s="307"/>
      <c r="P825" s="307"/>
      <c r="Q825" s="307"/>
      <c r="R825" s="307"/>
      <c r="S825" s="307"/>
      <c r="T825" s="307"/>
      <c r="U825" s="307"/>
      <c r="V825" s="307"/>
      <c r="W825" s="307"/>
      <c r="X825" s="307"/>
      <c r="Y825" s="307"/>
    </row>
    <row r="826">
      <c r="A826" s="307"/>
      <c r="B826" s="307"/>
      <c r="C826" s="307"/>
      <c r="D826" s="310"/>
      <c r="E826" s="307"/>
      <c r="F826" s="307"/>
      <c r="G826" s="307"/>
      <c r="H826" s="307"/>
      <c r="I826" s="307"/>
      <c r="J826" s="307"/>
      <c r="K826" s="307"/>
      <c r="L826" s="307"/>
      <c r="M826" s="307"/>
      <c r="N826" s="307"/>
      <c r="O826" s="307"/>
      <c r="P826" s="307"/>
      <c r="Q826" s="307"/>
      <c r="R826" s="307"/>
      <c r="S826" s="307"/>
      <c r="T826" s="307"/>
      <c r="U826" s="307"/>
      <c r="V826" s="307"/>
      <c r="W826" s="307"/>
      <c r="X826" s="307"/>
      <c r="Y826" s="307"/>
    </row>
    <row r="827">
      <c r="A827" s="307"/>
      <c r="B827" s="307"/>
      <c r="C827" s="307"/>
      <c r="D827" s="310"/>
      <c r="E827" s="307"/>
      <c r="F827" s="307"/>
      <c r="G827" s="307"/>
      <c r="H827" s="307"/>
      <c r="I827" s="307"/>
      <c r="J827" s="307"/>
      <c r="K827" s="307"/>
      <c r="L827" s="307"/>
      <c r="M827" s="307"/>
      <c r="N827" s="307"/>
      <c r="O827" s="307"/>
      <c r="P827" s="307"/>
      <c r="Q827" s="307"/>
      <c r="R827" s="307"/>
      <c r="S827" s="307"/>
      <c r="T827" s="307"/>
      <c r="U827" s="307"/>
      <c r="V827" s="307"/>
      <c r="W827" s="307"/>
      <c r="X827" s="307"/>
      <c r="Y827" s="307"/>
    </row>
    <row r="828">
      <c r="A828" s="307"/>
      <c r="B828" s="307"/>
      <c r="C828" s="307"/>
      <c r="D828" s="310"/>
      <c r="E828" s="307"/>
      <c r="F828" s="307"/>
      <c r="G828" s="307"/>
      <c r="H828" s="307"/>
      <c r="I828" s="307"/>
      <c r="J828" s="307"/>
      <c r="K828" s="307"/>
      <c r="L828" s="307"/>
      <c r="M828" s="307"/>
      <c r="N828" s="307"/>
      <c r="O828" s="307"/>
      <c r="P828" s="307"/>
      <c r="Q828" s="307"/>
      <c r="R828" s="307"/>
      <c r="S828" s="307"/>
      <c r="T828" s="307"/>
      <c r="U828" s="307"/>
      <c r="V828" s="307"/>
      <c r="W828" s="307"/>
      <c r="X828" s="307"/>
      <c r="Y828" s="307"/>
    </row>
    <row r="829">
      <c r="A829" s="307"/>
      <c r="B829" s="307"/>
      <c r="C829" s="307"/>
      <c r="D829" s="310"/>
      <c r="E829" s="307"/>
      <c r="F829" s="307"/>
      <c r="G829" s="307"/>
      <c r="H829" s="307"/>
      <c r="I829" s="307"/>
      <c r="J829" s="307"/>
      <c r="K829" s="307"/>
      <c r="L829" s="307"/>
      <c r="M829" s="307"/>
      <c r="N829" s="307"/>
      <c r="O829" s="307"/>
      <c r="P829" s="307"/>
      <c r="Q829" s="307"/>
      <c r="R829" s="307"/>
      <c r="S829" s="307"/>
      <c r="T829" s="307"/>
      <c r="U829" s="307"/>
      <c r="V829" s="307"/>
      <c r="W829" s="307"/>
      <c r="X829" s="307"/>
      <c r="Y829" s="307"/>
    </row>
    <row r="830">
      <c r="A830" s="307"/>
      <c r="B830" s="307"/>
      <c r="C830" s="307"/>
      <c r="D830" s="310"/>
      <c r="E830" s="307"/>
      <c r="F830" s="307"/>
      <c r="G830" s="307"/>
      <c r="H830" s="307"/>
      <c r="I830" s="307"/>
      <c r="J830" s="307"/>
      <c r="K830" s="307"/>
      <c r="L830" s="307"/>
      <c r="M830" s="307"/>
      <c r="N830" s="307"/>
      <c r="O830" s="307"/>
      <c r="P830" s="307"/>
      <c r="Q830" s="307"/>
      <c r="R830" s="307"/>
      <c r="S830" s="307"/>
      <c r="T830" s="307"/>
      <c r="U830" s="307"/>
      <c r="V830" s="307"/>
      <c r="W830" s="307"/>
      <c r="X830" s="307"/>
      <c r="Y830" s="307"/>
    </row>
    <row r="831">
      <c r="A831" s="307"/>
      <c r="B831" s="307"/>
      <c r="C831" s="307"/>
      <c r="D831" s="310"/>
      <c r="E831" s="307"/>
      <c r="F831" s="307"/>
      <c r="G831" s="307"/>
      <c r="H831" s="307"/>
      <c r="I831" s="307"/>
      <c r="J831" s="307"/>
      <c r="K831" s="307"/>
      <c r="L831" s="307"/>
      <c r="M831" s="307"/>
      <c r="N831" s="307"/>
      <c r="O831" s="307"/>
      <c r="P831" s="307"/>
      <c r="Q831" s="307"/>
      <c r="R831" s="307"/>
      <c r="S831" s="307"/>
      <c r="T831" s="307"/>
      <c r="U831" s="307"/>
      <c r="V831" s="307"/>
      <c r="W831" s="307"/>
      <c r="X831" s="307"/>
      <c r="Y831" s="307"/>
    </row>
    <row r="832">
      <c r="A832" s="307"/>
      <c r="B832" s="307"/>
      <c r="C832" s="307"/>
      <c r="D832" s="310"/>
      <c r="E832" s="307"/>
      <c r="F832" s="307"/>
      <c r="G832" s="307"/>
      <c r="H832" s="307"/>
      <c r="I832" s="307"/>
      <c r="J832" s="307"/>
      <c r="K832" s="307"/>
      <c r="L832" s="307"/>
      <c r="M832" s="307"/>
      <c r="N832" s="307"/>
      <c r="O832" s="307"/>
      <c r="P832" s="307"/>
      <c r="Q832" s="307"/>
      <c r="R832" s="307"/>
      <c r="S832" s="307"/>
      <c r="T832" s="307"/>
      <c r="U832" s="307"/>
      <c r="V832" s="307"/>
      <c r="W832" s="307"/>
      <c r="X832" s="307"/>
      <c r="Y832" s="307"/>
    </row>
    <row r="833">
      <c r="A833" s="307"/>
      <c r="B833" s="307"/>
      <c r="C833" s="307"/>
      <c r="D833" s="310"/>
      <c r="E833" s="307"/>
      <c r="F833" s="307"/>
      <c r="G833" s="307"/>
      <c r="H833" s="307"/>
      <c r="I833" s="307"/>
      <c r="J833" s="307"/>
      <c r="K833" s="307"/>
      <c r="L833" s="307"/>
      <c r="M833" s="307"/>
      <c r="N833" s="307"/>
      <c r="O833" s="307"/>
      <c r="P833" s="307"/>
      <c r="Q833" s="307"/>
      <c r="R833" s="307"/>
      <c r="S833" s="307"/>
      <c r="T833" s="307"/>
      <c r="U833" s="307"/>
      <c r="V833" s="307"/>
      <c r="W833" s="307"/>
      <c r="X833" s="307"/>
      <c r="Y833" s="307"/>
    </row>
    <row r="834">
      <c r="A834" s="307"/>
      <c r="B834" s="307"/>
      <c r="C834" s="307"/>
      <c r="D834" s="310"/>
      <c r="E834" s="307"/>
      <c r="F834" s="307"/>
      <c r="G834" s="307"/>
      <c r="H834" s="307"/>
      <c r="I834" s="307"/>
      <c r="J834" s="307"/>
      <c r="K834" s="307"/>
      <c r="L834" s="307"/>
      <c r="M834" s="307"/>
      <c r="N834" s="307"/>
      <c r="O834" s="307"/>
      <c r="P834" s="307"/>
      <c r="Q834" s="307"/>
      <c r="R834" s="307"/>
      <c r="S834" s="307"/>
      <c r="T834" s="307"/>
      <c r="U834" s="307"/>
      <c r="V834" s="307"/>
      <c r="W834" s="307"/>
      <c r="X834" s="307"/>
      <c r="Y834" s="307"/>
    </row>
    <row r="835">
      <c r="A835" s="307"/>
      <c r="B835" s="307"/>
      <c r="C835" s="307"/>
      <c r="D835" s="310"/>
      <c r="E835" s="307"/>
      <c r="F835" s="307"/>
      <c r="G835" s="307"/>
      <c r="H835" s="307"/>
      <c r="I835" s="307"/>
      <c r="J835" s="307"/>
      <c r="K835" s="307"/>
      <c r="L835" s="307"/>
      <c r="M835" s="307"/>
      <c r="N835" s="307"/>
      <c r="O835" s="307"/>
      <c r="P835" s="307"/>
      <c r="Q835" s="307"/>
      <c r="R835" s="307"/>
      <c r="S835" s="307"/>
      <c r="T835" s="307"/>
      <c r="U835" s="307"/>
      <c r="V835" s="307"/>
      <c r="W835" s="307"/>
      <c r="X835" s="307"/>
      <c r="Y835" s="307"/>
    </row>
    <row r="836">
      <c r="A836" s="307"/>
      <c r="B836" s="307"/>
      <c r="C836" s="307"/>
      <c r="D836" s="310"/>
      <c r="E836" s="307"/>
      <c r="F836" s="307"/>
      <c r="G836" s="307"/>
      <c r="H836" s="307"/>
      <c r="I836" s="307"/>
      <c r="J836" s="307"/>
      <c r="K836" s="307"/>
      <c r="L836" s="307"/>
      <c r="M836" s="307"/>
      <c r="N836" s="307"/>
      <c r="O836" s="307"/>
      <c r="P836" s="307"/>
      <c r="Q836" s="307"/>
      <c r="R836" s="307"/>
      <c r="S836" s="307"/>
      <c r="T836" s="307"/>
      <c r="U836" s="307"/>
      <c r="V836" s="307"/>
      <c r="W836" s="307"/>
      <c r="X836" s="307"/>
      <c r="Y836" s="307"/>
    </row>
    <row r="837">
      <c r="A837" s="307"/>
      <c r="B837" s="307"/>
      <c r="C837" s="307"/>
      <c r="D837" s="310"/>
      <c r="E837" s="307"/>
      <c r="F837" s="307"/>
      <c r="G837" s="307"/>
      <c r="H837" s="307"/>
      <c r="I837" s="307"/>
      <c r="J837" s="307"/>
      <c r="K837" s="307"/>
      <c r="L837" s="307"/>
      <c r="M837" s="307"/>
      <c r="N837" s="307"/>
      <c r="O837" s="307"/>
      <c r="P837" s="307"/>
      <c r="Q837" s="307"/>
      <c r="R837" s="307"/>
      <c r="S837" s="307"/>
      <c r="T837" s="307"/>
      <c r="U837" s="307"/>
      <c r="V837" s="307"/>
      <c r="W837" s="307"/>
      <c r="X837" s="307"/>
      <c r="Y837" s="307"/>
    </row>
    <row r="838">
      <c r="A838" s="307"/>
      <c r="B838" s="307"/>
      <c r="C838" s="307"/>
      <c r="D838" s="310"/>
      <c r="E838" s="307"/>
      <c r="F838" s="307"/>
      <c r="G838" s="307"/>
      <c r="H838" s="307"/>
      <c r="I838" s="307"/>
      <c r="J838" s="307"/>
      <c r="K838" s="307"/>
      <c r="L838" s="307"/>
      <c r="M838" s="307"/>
      <c r="N838" s="307"/>
      <c r="O838" s="307"/>
      <c r="P838" s="307"/>
      <c r="Q838" s="307"/>
      <c r="R838" s="307"/>
      <c r="S838" s="307"/>
      <c r="T838" s="307"/>
      <c r="U838" s="307"/>
      <c r="V838" s="307"/>
      <c r="W838" s="307"/>
      <c r="X838" s="307"/>
      <c r="Y838" s="307"/>
    </row>
    <row r="839">
      <c r="A839" s="307"/>
      <c r="B839" s="307"/>
      <c r="C839" s="307"/>
      <c r="D839" s="310"/>
      <c r="E839" s="307"/>
      <c r="F839" s="307"/>
      <c r="G839" s="307"/>
      <c r="H839" s="307"/>
      <c r="I839" s="307"/>
      <c r="J839" s="307"/>
      <c r="K839" s="307"/>
      <c r="L839" s="307"/>
      <c r="M839" s="307"/>
      <c r="N839" s="307"/>
      <c r="O839" s="307"/>
      <c r="P839" s="307"/>
      <c r="Q839" s="307"/>
      <c r="R839" s="307"/>
      <c r="S839" s="307"/>
      <c r="T839" s="307"/>
      <c r="U839" s="307"/>
      <c r="V839" s="307"/>
      <c r="W839" s="307"/>
      <c r="X839" s="307"/>
      <c r="Y839" s="307"/>
    </row>
    <row r="840">
      <c r="A840" s="307"/>
      <c r="B840" s="307"/>
      <c r="C840" s="307"/>
      <c r="D840" s="310"/>
      <c r="E840" s="307"/>
      <c r="F840" s="307"/>
      <c r="G840" s="307"/>
      <c r="H840" s="307"/>
      <c r="I840" s="307"/>
      <c r="J840" s="307"/>
      <c r="K840" s="307"/>
      <c r="L840" s="307"/>
      <c r="M840" s="307"/>
      <c r="N840" s="307"/>
      <c r="O840" s="307"/>
      <c r="P840" s="307"/>
      <c r="Q840" s="307"/>
      <c r="R840" s="307"/>
      <c r="S840" s="307"/>
      <c r="T840" s="307"/>
      <c r="U840" s="307"/>
      <c r="V840" s="307"/>
      <c r="W840" s="307"/>
      <c r="X840" s="307"/>
      <c r="Y840" s="307"/>
    </row>
    <row r="841">
      <c r="A841" s="307"/>
      <c r="B841" s="307"/>
      <c r="C841" s="307"/>
      <c r="D841" s="310"/>
      <c r="E841" s="307"/>
      <c r="F841" s="307"/>
      <c r="G841" s="307"/>
      <c r="H841" s="307"/>
      <c r="I841" s="307"/>
      <c r="J841" s="307"/>
      <c r="K841" s="307"/>
      <c r="L841" s="307"/>
      <c r="M841" s="307"/>
      <c r="N841" s="307"/>
      <c r="O841" s="307"/>
      <c r="P841" s="307"/>
      <c r="Q841" s="307"/>
      <c r="R841" s="307"/>
      <c r="S841" s="307"/>
      <c r="T841" s="307"/>
      <c r="U841" s="307"/>
      <c r="V841" s="307"/>
      <c r="W841" s="307"/>
      <c r="X841" s="307"/>
      <c r="Y841" s="307"/>
    </row>
    <row r="842">
      <c r="A842" s="307"/>
      <c r="B842" s="307"/>
      <c r="C842" s="307"/>
      <c r="D842" s="310"/>
      <c r="E842" s="307"/>
      <c r="F842" s="307"/>
      <c r="G842" s="307"/>
      <c r="H842" s="307"/>
      <c r="I842" s="307"/>
      <c r="J842" s="307"/>
      <c r="K842" s="307"/>
      <c r="L842" s="307"/>
      <c r="M842" s="307"/>
      <c r="N842" s="307"/>
      <c r="O842" s="307"/>
      <c r="P842" s="307"/>
      <c r="Q842" s="307"/>
      <c r="R842" s="307"/>
      <c r="S842" s="307"/>
      <c r="T842" s="307"/>
      <c r="U842" s="307"/>
      <c r="V842" s="307"/>
      <c r="W842" s="307"/>
      <c r="X842" s="307"/>
      <c r="Y842" s="307"/>
    </row>
    <row r="843">
      <c r="A843" s="307"/>
      <c r="B843" s="307"/>
      <c r="C843" s="307"/>
      <c r="D843" s="310"/>
      <c r="E843" s="307"/>
      <c r="F843" s="307"/>
      <c r="G843" s="307"/>
      <c r="H843" s="307"/>
      <c r="I843" s="307"/>
      <c r="J843" s="307"/>
      <c r="K843" s="307"/>
      <c r="L843" s="307"/>
      <c r="M843" s="307"/>
      <c r="N843" s="307"/>
      <c r="O843" s="307"/>
      <c r="P843" s="307"/>
      <c r="Q843" s="307"/>
      <c r="R843" s="307"/>
      <c r="S843" s="307"/>
      <c r="T843" s="307"/>
      <c r="U843" s="307"/>
      <c r="V843" s="307"/>
      <c r="W843" s="307"/>
      <c r="X843" s="307"/>
      <c r="Y843" s="307"/>
    </row>
    <row r="844">
      <c r="A844" s="307"/>
      <c r="B844" s="307"/>
      <c r="C844" s="307"/>
      <c r="D844" s="310"/>
      <c r="E844" s="307"/>
      <c r="F844" s="307"/>
      <c r="G844" s="307"/>
      <c r="H844" s="307"/>
      <c r="I844" s="307"/>
      <c r="J844" s="307"/>
      <c r="K844" s="307"/>
      <c r="L844" s="307"/>
      <c r="M844" s="307"/>
      <c r="N844" s="307"/>
      <c r="O844" s="307"/>
      <c r="P844" s="307"/>
      <c r="Q844" s="307"/>
      <c r="R844" s="307"/>
      <c r="S844" s="307"/>
      <c r="T844" s="307"/>
      <c r="U844" s="307"/>
      <c r="V844" s="307"/>
      <c r="W844" s="307"/>
      <c r="X844" s="307"/>
      <c r="Y844" s="307"/>
    </row>
    <row r="845">
      <c r="A845" s="307"/>
      <c r="B845" s="307"/>
      <c r="C845" s="307"/>
      <c r="D845" s="310"/>
      <c r="E845" s="307"/>
      <c r="F845" s="307"/>
      <c r="G845" s="307"/>
      <c r="H845" s="307"/>
      <c r="I845" s="307"/>
      <c r="J845" s="307"/>
      <c r="K845" s="307"/>
      <c r="L845" s="307"/>
      <c r="M845" s="307"/>
      <c r="N845" s="307"/>
      <c r="O845" s="307"/>
      <c r="P845" s="307"/>
      <c r="Q845" s="307"/>
      <c r="R845" s="307"/>
      <c r="S845" s="307"/>
      <c r="T845" s="307"/>
      <c r="U845" s="307"/>
      <c r="V845" s="307"/>
      <c r="W845" s="307"/>
      <c r="X845" s="307"/>
      <c r="Y845" s="307"/>
    </row>
    <row r="846">
      <c r="A846" s="307"/>
      <c r="B846" s="307"/>
      <c r="C846" s="307"/>
      <c r="D846" s="310"/>
      <c r="E846" s="307"/>
      <c r="F846" s="307"/>
      <c r="G846" s="307"/>
      <c r="H846" s="307"/>
      <c r="I846" s="307"/>
      <c r="J846" s="307"/>
      <c r="K846" s="307"/>
      <c r="L846" s="307"/>
      <c r="M846" s="307"/>
      <c r="N846" s="307"/>
      <c r="O846" s="307"/>
      <c r="P846" s="307"/>
      <c r="Q846" s="307"/>
      <c r="R846" s="307"/>
      <c r="S846" s="307"/>
      <c r="T846" s="307"/>
      <c r="U846" s="307"/>
      <c r="V846" s="307"/>
      <c r="W846" s="307"/>
      <c r="X846" s="307"/>
      <c r="Y846" s="307"/>
    </row>
    <row r="847">
      <c r="A847" s="307"/>
      <c r="B847" s="307"/>
      <c r="C847" s="307"/>
      <c r="D847" s="310"/>
      <c r="E847" s="307"/>
      <c r="F847" s="307"/>
      <c r="G847" s="307"/>
      <c r="H847" s="307"/>
      <c r="I847" s="307"/>
      <c r="J847" s="307"/>
      <c r="K847" s="307"/>
      <c r="L847" s="307"/>
      <c r="M847" s="307"/>
      <c r="N847" s="307"/>
      <c r="O847" s="307"/>
      <c r="P847" s="307"/>
      <c r="Q847" s="307"/>
      <c r="R847" s="307"/>
      <c r="S847" s="307"/>
      <c r="T847" s="307"/>
      <c r="U847" s="307"/>
      <c r="V847" s="307"/>
      <c r="W847" s="307"/>
      <c r="X847" s="307"/>
      <c r="Y847" s="307"/>
    </row>
    <row r="848">
      <c r="A848" s="307"/>
      <c r="B848" s="307"/>
      <c r="C848" s="307"/>
      <c r="D848" s="310"/>
      <c r="E848" s="307"/>
      <c r="F848" s="307"/>
      <c r="G848" s="307"/>
      <c r="H848" s="307"/>
      <c r="I848" s="307"/>
      <c r="J848" s="307"/>
      <c r="K848" s="307"/>
      <c r="L848" s="307"/>
      <c r="M848" s="307"/>
      <c r="N848" s="307"/>
      <c r="O848" s="307"/>
      <c r="P848" s="307"/>
      <c r="Q848" s="307"/>
      <c r="R848" s="307"/>
      <c r="S848" s="307"/>
      <c r="T848" s="307"/>
      <c r="U848" s="307"/>
      <c r="V848" s="307"/>
      <c r="W848" s="307"/>
      <c r="X848" s="307"/>
      <c r="Y848" s="307"/>
    </row>
    <row r="849">
      <c r="A849" s="307"/>
      <c r="B849" s="307"/>
      <c r="C849" s="307"/>
      <c r="D849" s="310"/>
      <c r="E849" s="307"/>
      <c r="F849" s="307"/>
      <c r="G849" s="307"/>
      <c r="H849" s="307"/>
      <c r="I849" s="307"/>
      <c r="J849" s="307"/>
      <c r="K849" s="307"/>
      <c r="L849" s="307"/>
      <c r="M849" s="307"/>
      <c r="N849" s="307"/>
      <c r="O849" s="307"/>
      <c r="P849" s="307"/>
      <c r="Q849" s="307"/>
      <c r="R849" s="307"/>
      <c r="S849" s="307"/>
      <c r="T849" s="307"/>
      <c r="U849" s="307"/>
      <c r="V849" s="307"/>
      <c r="W849" s="307"/>
      <c r="X849" s="307"/>
      <c r="Y849" s="307"/>
    </row>
    <row r="850">
      <c r="A850" s="307"/>
      <c r="B850" s="307"/>
      <c r="C850" s="307"/>
      <c r="D850" s="310"/>
      <c r="E850" s="307"/>
      <c r="F850" s="307"/>
      <c r="G850" s="307"/>
      <c r="H850" s="307"/>
      <c r="I850" s="307"/>
      <c r="J850" s="307"/>
      <c r="K850" s="307"/>
      <c r="L850" s="307"/>
      <c r="M850" s="307"/>
      <c r="N850" s="307"/>
      <c r="O850" s="307"/>
      <c r="P850" s="307"/>
      <c r="Q850" s="307"/>
      <c r="R850" s="307"/>
      <c r="S850" s="307"/>
      <c r="T850" s="307"/>
      <c r="U850" s="307"/>
      <c r="V850" s="307"/>
      <c r="W850" s="307"/>
      <c r="X850" s="307"/>
      <c r="Y850" s="307"/>
    </row>
    <row r="851">
      <c r="A851" s="307"/>
      <c r="B851" s="307"/>
      <c r="C851" s="307"/>
      <c r="D851" s="310"/>
      <c r="E851" s="307"/>
      <c r="F851" s="307"/>
      <c r="G851" s="307"/>
      <c r="H851" s="307"/>
      <c r="I851" s="307"/>
      <c r="J851" s="307"/>
      <c r="K851" s="307"/>
      <c r="L851" s="307"/>
      <c r="M851" s="307"/>
      <c r="N851" s="307"/>
      <c r="O851" s="307"/>
      <c r="P851" s="307"/>
      <c r="Q851" s="307"/>
      <c r="R851" s="307"/>
      <c r="S851" s="307"/>
      <c r="T851" s="307"/>
      <c r="U851" s="307"/>
      <c r="V851" s="307"/>
      <c r="W851" s="307"/>
      <c r="X851" s="307"/>
      <c r="Y851" s="307"/>
    </row>
    <row r="852">
      <c r="A852" s="307"/>
      <c r="B852" s="307"/>
      <c r="C852" s="307"/>
      <c r="D852" s="310"/>
      <c r="E852" s="307"/>
      <c r="F852" s="307"/>
      <c r="G852" s="307"/>
      <c r="H852" s="307"/>
      <c r="I852" s="307"/>
      <c r="J852" s="307"/>
      <c r="K852" s="307"/>
      <c r="L852" s="307"/>
      <c r="M852" s="307"/>
      <c r="N852" s="307"/>
      <c r="O852" s="307"/>
      <c r="P852" s="307"/>
      <c r="Q852" s="307"/>
      <c r="R852" s="307"/>
      <c r="S852" s="307"/>
      <c r="T852" s="307"/>
      <c r="U852" s="307"/>
      <c r="V852" s="307"/>
      <c r="W852" s="307"/>
      <c r="X852" s="307"/>
      <c r="Y852" s="307"/>
    </row>
    <row r="853">
      <c r="A853" s="307"/>
      <c r="B853" s="307"/>
      <c r="C853" s="307"/>
      <c r="D853" s="310"/>
      <c r="E853" s="307"/>
      <c r="F853" s="307"/>
      <c r="G853" s="307"/>
      <c r="H853" s="307"/>
      <c r="I853" s="307"/>
      <c r="J853" s="307"/>
      <c r="K853" s="307"/>
      <c r="L853" s="307"/>
      <c r="M853" s="307"/>
      <c r="N853" s="307"/>
      <c r="O853" s="307"/>
      <c r="P853" s="307"/>
      <c r="Q853" s="307"/>
      <c r="R853" s="307"/>
      <c r="S853" s="307"/>
      <c r="T853" s="307"/>
      <c r="U853" s="307"/>
      <c r="V853" s="307"/>
      <c r="W853" s="307"/>
      <c r="X853" s="307"/>
      <c r="Y853" s="307"/>
    </row>
    <row r="854">
      <c r="A854" s="307"/>
      <c r="B854" s="307"/>
      <c r="C854" s="307"/>
      <c r="D854" s="310"/>
      <c r="E854" s="307"/>
      <c r="F854" s="307"/>
      <c r="G854" s="307"/>
      <c r="H854" s="307"/>
      <c r="I854" s="307"/>
      <c r="J854" s="307"/>
      <c r="K854" s="307"/>
      <c r="L854" s="307"/>
      <c r="M854" s="307"/>
      <c r="N854" s="307"/>
      <c r="O854" s="307"/>
      <c r="P854" s="307"/>
      <c r="Q854" s="307"/>
      <c r="R854" s="307"/>
      <c r="S854" s="307"/>
      <c r="T854" s="307"/>
      <c r="U854" s="307"/>
      <c r="V854" s="307"/>
      <c r="W854" s="307"/>
      <c r="X854" s="307"/>
      <c r="Y854" s="307"/>
    </row>
    <row r="855">
      <c r="A855" s="307"/>
      <c r="B855" s="307"/>
      <c r="C855" s="307"/>
      <c r="D855" s="310"/>
      <c r="E855" s="307"/>
      <c r="F855" s="307"/>
      <c r="G855" s="307"/>
      <c r="H855" s="307"/>
      <c r="I855" s="307"/>
      <c r="J855" s="307"/>
      <c r="K855" s="307"/>
      <c r="L855" s="307"/>
      <c r="M855" s="307"/>
      <c r="N855" s="307"/>
      <c r="O855" s="307"/>
      <c r="P855" s="307"/>
      <c r="Q855" s="307"/>
      <c r="R855" s="307"/>
      <c r="S855" s="307"/>
      <c r="T855" s="307"/>
      <c r="U855" s="307"/>
      <c r="V855" s="307"/>
      <c r="W855" s="307"/>
      <c r="X855" s="307"/>
      <c r="Y855" s="307"/>
    </row>
    <row r="856">
      <c r="A856" s="307"/>
      <c r="B856" s="307"/>
      <c r="C856" s="307"/>
      <c r="D856" s="310"/>
      <c r="E856" s="307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</row>
    <row r="857">
      <c r="A857" s="307"/>
      <c r="B857" s="307"/>
      <c r="C857" s="307"/>
      <c r="D857" s="310"/>
      <c r="E857" s="307"/>
      <c r="F857" s="307"/>
      <c r="G857" s="307"/>
      <c r="H857" s="307"/>
      <c r="I857" s="307"/>
      <c r="J857" s="307"/>
      <c r="K857" s="307"/>
      <c r="L857" s="307"/>
      <c r="M857" s="307"/>
      <c r="N857" s="307"/>
      <c r="O857" s="307"/>
      <c r="P857" s="307"/>
      <c r="Q857" s="307"/>
      <c r="R857" s="307"/>
      <c r="S857" s="307"/>
      <c r="T857" s="307"/>
      <c r="U857" s="307"/>
      <c r="V857" s="307"/>
      <c r="W857" s="307"/>
      <c r="X857" s="307"/>
      <c r="Y857" s="307"/>
    </row>
    <row r="858">
      <c r="A858" s="307"/>
      <c r="B858" s="307"/>
      <c r="C858" s="307"/>
      <c r="D858" s="310"/>
      <c r="E858" s="307"/>
      <c r="F858" s="307"/>
      <c r="G858" s="307"/>
      <c r="H858" s="307"/>
      <c r="I858" s="307"/>
      <c r="J858" s="307"/>
      <c r="K858" s="307"/>
      <c r="L858" s="307"/>
      <c r="M858" s="307"/>
      <c r="N858" s="307"/>
      <c r="O858" s="307"/>
      <c r="P858" s="307"/>
      <c r="Q858" s="307"/>
      <c r="R858" s="307"/>
      <c r="S858" s="307"/>
      <c r="T858" s="307"/>
      <c r="U858" s="307"/>
      <c r="V858" s="307"/>
      <c r="W858" s="307"/>
      <c r="X858" s="307"/>
      <c r="Y858" s="307"/>
    </row>
    <row r="859">
      <c r="A859" s="307"/>
      <c r="B859" s="307"/>
      <c r="C859" s="307"/>
      <c r="D859" s="310"/>
      <c r="E859" s="307"/>
      <c r="F859" s="307"/>
      <c r="G859" s="307"/>
      <c r="H859" s="307"/>
      <c r="I859" s="307"/>
      <c r="J859" s="307"/>
      <c r="K859" s="307"/>
      <c r="L859" s="307"/>
      <c r="M859" s="307"/>
      <c r="N859" s="307"/>
      <c r="O859" s="307"/>
      <c r="P859" s="307"/>
      <c r="Q859" s="307"/>
      <c r="R859" s="307"/>
      <c r="S859" s="307"/>
      <c r="T859" s="307"/>
      <c r="U859" s="307"/>
      <c r="V859" s="307"/>
      <c r="W859" s="307"/>
      <c r="X859" s="307"/>
      <c r="Y859" s="307"/>
    </row>
    <row r="860">
      <c r="A860" s="307"/>
      <c r="B860" s="307"/>
      <c r="C860" s="307"/>
      <c r="D860" s="310"/>
      <c r="E860" s="307"/>
      <c r="F860" s="307"/>
      <c r="G860" s="307"/>
      <c r="H860" s="307"/>
      <c r="I860" s="307"/>
      <c r="J860" s="307"/>
      <c r="K860" s="307"/>
      <c r="L860" s="307"/>
      <c r="M860" s="307"/>
      <c r="N860" s="307"/>
      <c r="O860" s="307"/>
      <c r="P860" s="307"/>
      <c r="Q860" s="307"/>
      <c r="R860" s="307"/>
      <c r="S860" s="307"/>
      <c r="T860" s="307"/>
      <c r="U860" s="307"/>
      <c r="V860" s="307"/>
      <c r="W860" s="307"/>
      <c r="X860" s="307"/>
      <c r="Y860" s="307"/>
    </row>
    <row r="861">
      <c r="A861" s="307"/>
      <c r="B861" s="307"/>
      <c r="C861" s="307"/>
      <c r="D861" s="310"/>
      <c r="E861" s="307"/>
      <c r="F861" s="307"/>
      <c r="G861" s="307"/>
      <c r="H861" s="307"/>
      <c r="I861" s="307"/>
      <c r="J861" s="307"/>
      <c r="K861" s="307"/>
      <c r="L861" s="307"/>
      <c r="M861" s="307"/>
      <c r="N861" s="307"/>
      <c r="O861" s="307"/>
      <c r="P861" s="307"/>
      <c r="Q861" s="307"/>
      <c r="R861" s="307"/>
      <c r="S861" s="307"/>
      <c r="T861" s="307"/>
      <c r="U861" s="307"/>
      <c r="V861" s="307"/>
      <c r="W861" s="307"/>
      <c r="X861" s="307"/>
      <c r="Y861" s="307"/>
    </row>
    <row r="862">
      <c r="A862" s="307"/>
      <c r="B862" s="307"/>
      <c r="C862" s="307"/>
      <c r="D862" s="310"/>
      <c r="E862" s="307"/>
      <c r="F862" s="307"/>
      <c r="G862" s="307"/>
      <c r="H862" s="307"/>
      <c r="I862" s="307"/>
      <c r="J862" s="307"/>
      <c r="K862" s="307"/>
      <c r="L862" s="307"/>
      <c r="M862" s="307"/>
      <c r="N862" s="307"/>
      <c r="O862" s="307"/>
      <c r="P862" s="307"/>
      <c r="Q862" s="307"/>
      <c r="R862" s="307"/>
      <c r="S862" s="307"/>
      <c r="T862" s="307"/>
      <c r="U862" s="307"/>
      <c r="V862" s="307"/>
      <c r="W862" s="307"/>
      <c r="X862" s="307"/>
      <c r="Y862" s="307"/>
    </row>
    <row r="863">
      <c r="A863" s="307"/>
      <c r="B863" s="307"/>
      <c r="C863" s="307"/>
      <c r="D863" s="310"/>
      <c r="E863" s="307"/>
      <c r="F863" s="307"/>
      <c r="G863" s="307"/>
      <c r="H863" s="307"/>
      <c r="I863" s="307"/>
      <c r="J863" s="307"/>
      <c r="K863" s="307"/>
      <c r="L863" s="307"/>
      <c r="M863" s="307"/>
      <c r="N863" s="307"/>
      <c r="O863" s="307"/>
      <c r="P863" s="307"/>
      <c r="Q863" s="307"/>
      <c r="R863" s="307"/>
      <c r="S863" s="307"/>
      <c r="T863" s="307"/>
      <c r="U863" s="307"/>
      <c r="V863" s="307"/>
      <c r="W863" s="307"/>
      <c r="X863" s="307"/>
      <c r="Y863" s="307"/>
    </row>
    <row r="864">
      <c r="A864" s="307"/>
      <c r="B864" s="307"/>
      <c r="C864" s="307"/>
      <c r="D864" s="310"/>
      <c r="E864" s="307"/>
      <c r="F864" s="307"/>
      <c r="G864" s="307"/>
      <c r="H864" s="307"/>
      <c r="I864" s="307"/>
      <c r="J864" s="307"/>
      <c r="K864" s="307"/>
      <c r="L864" s="307"/>
      <c r="M864" s="307"/>
      <c r="N864" s="307"/>
      <c r="O864" s="307"/>
      <c r="P864" s="307"/>
      <c r="Q864" s="307"/>
      <c r="R864" s="307"/>
      <c r="S864" s="307"/>
      <c r="T864" s="307"/>
      <c r="U864" s="307"/>
      <c r="V864" s="307"/>
      <c r="W864" s="307"/>
      <c r="X864" s="307"/>
      <c r="Y864" s="307"/>
    </row>
    <row r="865">
      <c r="A865" s="307"/>
      <c r="B865" s="307"/>
      <c r="C865" s="307"/>
      <c r="D865" s="310"/>
      <c r="E865" s="307"/>
      <c r="F865" s="307"/>
      <c r="G865" s="307"/>
      <c r="H865" s="307"/>
      <c r="I865" s="307"/>
      <c r="J865" s="307"/>
      <c r="K865" s="307"/>
      <c r="L865" s="307"/>
      <c r="M865" s="307"/>
      <c r="N865" s="307"/>
      <c r="O865" s="307"/>
      <c r="P865" s="307"/>
      <c r="Q865" s="307"/>
      <c r="R865" s="307"/>
      <c r="S865" s="307"/>
      <c r="T865" s="307"/>
      <c r="U865" s="307"/>
      <c r="V865" s="307"/>
      <c r="W865" s="307"/>
      <c r="X865" s="307"/>
      <c r="Y865" s="307"/>
    </row>
    <row r="866">
      <c r="A866" s="307"/>
      <c r="B866" s="307"/>
      <c r="C866" s="307"/>
      <c r="D866" s="310"/>
      <c r="E866" s="307"/>
      <c r="F866" s="307"/>
      <c r="G866" s="307"/>
      <c r="H866" s="307"/>
      <c r="I866" s="307"/>
      <c r="J866" s="307"/>
      <c r="K866" s="307"/>
      <c r="L866" s="307"/>
      <c r="M866" s="307"/>
      <c r="N866" s="307"/>
      <c r="O866" s="307"/>
      <c r="P866" s="307"/>
      <c r="Q866" s="307"/>
      <c r="R866" s="307"/>
      <c r="S866" s="307"/>
      <c r="T866" s="307"/>
      <c r="U866" s="307"/>
      <c r="V866" s="307"/>
      <c r="W866" s="307"/>
      <c r="X866" s="307"/>
      <c r="Y866" s="307"/>
    </row>
    <row r="867">
      <c r="A867" s="307"/>
      <c r="B867" s="307"/>
      <c r="C867" s="307"/>
      <c r="D867" s="310"/>
      <c r="E867" s="307"/>
      <c r="F867" s="307"/>
      <c r="G867" s="307"/>
      <c r="H867" s="307"/>
      <c r="I867" s="307"/>
      <c r="J867" s="307"/>
      <c r="K867" s="307"/>
      <c r="L867" s="307"/>
      <c r="M867" s="307"/>
      <c r="N867" s="307"/>
      <c r="O867" s="307"/>
      <c r="P867" s="307"/>
      <c r="Q867" s="307"/>
      <c r="R867" s="307"/>
      <c r="S867" s="307"/>
      <c r="T867" s="307"/>
      <c r="U867" s="307"/>
      <c r="V867" s="307"/>
      <c r="W867" s="307"/>
      <c r="X867" s="307"/>
      <c r="Y867" s="307"/>
    </row>
    <row r="868">
      <c r="A868" s="307"/>
      <c r="B868" s="307"/>
      <c r="C868" s="307"/>
      <c r="D868" s="310"/>
      <c r="E868" s="307"/>
      <c r="F868" s="307"/>
      <c r="G868" s="307"/>
      <c r="H868" s="307"/>
      <c r="I868" s="307"/>
      <c r="J868" s="307"/>
      <c r="K868" s="307"/>
      <c r="L868" s="307"/>
      <c r="M868" s="307"/>
      <c r="N868" s="307"/>
      <c r="O868" s="307"/>
      <c r="P868" s="307"/>
      <c r="Q868" s="307"/>
      <c r="R868" s="307"/>
      <c r="S868" s="307"/>
      <c r="T868" s="307"/>
      <c r="U868" s="307"/>
      <c r="V868" s="307"/>
      <c r="W868" s="307"/>
      <c r="X868" s="307"/>
      <c r="Y868" s="307"/>
    </row>
    <row r="869">
      <c r="A869" s="307"/>
      <c r="B869" s="307"/>
      <c r="C869" s="307"/>
      <c r="D869" s="310"/>
      <c r="E869" s="307"/>
      <c r="F869" s="307"/>
      <c r="G869" s="307"/>
      <c r="H869" s="307"/>
      <c r="I869" s="307"/>
      <c r="J869" s="307"/>
      <c r="K869" s="307"/>
      <c r="L869" s="307"/>
      <c r="M869" s="307"/>
      <c r="N869" s="307"/>
      <c r="O869" s="307"/>
      <c r="P869" s="307"/>
      <c r="Q869" s="307"/>
      <c r="R869" s="307"/>
      <c r="S869" s="307"/>
      <c r="T869" s="307"/>
      <c r="U869" s="307"/>
      <c r="V869" s="307"/>
      <c r="W869" s="307"/>
      <c r="X869" s="307"/>
      <c r="Y869" s="307"/>
    </row>
    <row r="870">
      <c r="A870" s="307"/>
      <c r="B870" s="307"/>
      <c r="C870" s="307"/>
      <c r="D870" s="310"/>
      <c r="E870" s="307"/>
      <c r="F870" s="307"/>
      <c r="G870" s="307"/>
      <c r="H870" s="307"/>
      <c r="I870" s="307"/>
      <c r="J870" s="307"/>
      <c r="K870" s="307"/>
      <c r="L870" s="307"/>
      <c r="M870" s="307"/>
      <c r="N870" s="307"/>
      <c r="O870" s="307"/>
      <c r="P870" s="307"/>
      <c r="Q870" s="307"/>
      <c r="R870" s="307"/>
      <c r="S870" s="307"/>
      <c r="T870" s="307"/>
      <c r="U870" s="307"/>
      <c r="V870" s="307"/>
      <c r="W870" s="307"/>
      <c r="X870" s="307"/>
      <c r="Y870" s="307"/>
    </row>
    <row r="871">
      <c r="A871" s="307"/>
      <c r="B871" s="307"/>
      <c r="C871" s="307"/>
      <c r="D871" s="310"/>
      <c r="E871" s="307"/>
      <c r="F871" s="307"/>
      <c r="G871" s="307"/>
      <c r="H871" s="307"/>
      <c r="I871" s="307"/>
      <c r="J871" s="307"/>
      <c r="K871" s="307"/>
      <c r="L871" s="307"/>
      <c r="M871" s="307"/>
      <c r="N871" s="307"/>
      <c r="O871" s="307"/>
      <c r="P871" s="307"/>
      <c r="Q871" s="307"/>
      <c r="R871" s="307"/>
      <c r="S871" s="307"/>
      <c r="T871" s="307"/>
      <c r="U871" s="307"/>
      <c r="V871" s="307"/>
      <c r="W871" s="307"/>
      <c r="X871" s="307"/>
      <c r="Y871" s="307"/>
    </row>
  </sheetData>
  <autoFilter ref="$A$1:$F$28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" width="5.5"/>
    <col customWidth="1" min="3" max="3" width="5.88"/>
    <col customWidth="1" min="4" max="4" width="6.38"/>
    <col customWidth="1" min="5" max="5" width="7.38"/>
    <col customWidth="1" min="6" max="6" width="28.88"/>
    <col customWidth="1" min="7" max="7" width="7.88"/>
    <col customWidth="1" min="8" max="8" width="9.25"/>
    <col customWidth="1" min="9" max="10" width="7.0"/>
    <col customWidth="1" min="11" max="11" width="7.63"/>
    <col customWidth="1" min="12" max="12" width="7.25"/>
    <col customWidth="1" min="13" max="13" width="7.0"/>
    <col customWidth="1" min="14" max="14" width="7.63"/>
    <col customWidth="1" min="15" max="15" width="6.5"/>
    <col customWidth="1" min="16" max="16" width="8.75"/>
    <col customWidth="1" min="17" max="17" width="11.13"/>
    <col customWidth="1" min="18" max="18" width="7.88"/>
    <col customWidth="1" min="19" max="20" width="5.25"/>
  </cols>
  <sheetData>
    <row r="1">
      <c r="A1" s="313" t="s">
        <v>2902</v>
      </c>
      <c r="B1" s="314" t="s">
        <v>2903</v>
      </c>
      <c r="C1" s="315" t="s">
        <v>2904</v>
      </c>
      <c r="D1" s="315" t="s">
        <v>2905</v>
      </c>
      <c r="E1" s="316" t="s">
        <v>2906</v>
      </c>
      <c r="F1" s="317"/>
      <c r="G1" s="318"/>
      <c r="H1" s="319" t="s">
        <v>2907</v>
      </c>
      <c r="I1" s="319" t="s">
        <v>2908</v>
      </c>
      <c r="J1" s="320" t="s">
        <v>2909</v>
      </c>
      <c r="K1" s="319" t="s">
        <v>2910</v>
      </c>
      <c r="L1" s="321" t="s">
        <v>2911</v>
      </c>
      <c r="M1" s="320"/>
      <c r="N1" s="320" t="s">
        <v>2912</v>
      </c>
      <c r="O1" s="322" t="s">
        <v>2913</v>
      </c>
      <c r="P1" s="322" t="s">
        <v>2914</v>
      </c>
      <c r="Q1" s="323" t="s">
        <v>2915</v>
      </c>
      <c r="R1" s="320" t="s">
        <v>2916</v>
      </c>
      <c r="S1" s="324" t="s">
        <v>11</v>
      </c>
      <c r="T1" s="325"/>
    </row>
    <row r="2" hidden="1">
      <c r="A2" s="126"/>
      <c r="B2" s="126"/>
      <c r="C2" s="287"/>
      <c r="D2" s="326"/>
      <c r="E2" s="327">
        <v>0.0</v>
      </c>
      <c r="F2" s="328" t="s">
        <v>2917</v>
      </c>
      <c r="G2" s="329"/>
      <c r="H2" s="330">
        <f t="shared" ref="H2:H3" si="1">24000*0.88*1.19</f>
        <v>25132.8</v>
      </c>
      <c r="I2" s="331"/>
      <c r="J2" s="332"/>
      <c r="K2" s="319"/>
      <c r="L2" s="333" t="s">
        <v>2918</v>
      </c>
      <c r="M2" s="330">
        <f t="shared" ref="M2:M3" si="2">24000*0.88*1.19</f>
        <v>25132.8</v>
      </c>
      <c r="N2" s="332">
        <f t="shared" ref="N2:N3" si="3">E2*J2</f>
        <v>0</v>
      </c>
      <c r="O2" s="334"/>
      <c r="P2" s="335">
        <f t="shared" ref="P2:P3" si="4">H2*O2</f>
        <v>0</v>
      </c>
      <c r="Q2" s="336">
        <f t="shared" ref="Q2:Q6" si="5">R2*O2</f>
        <v>0</v>
      </c>
      <c r="R2" s="332">
        <v>45000.0</v>
      </c>
      <c r="S2" s="337">
        <f t="shared" ref="S2:S12" si="6">(R2/H2)-1</f>
        <v>0.7904889228</v>
      </c>
      <c r="T2" s="338"/>
    </row>
    <row r="3" hidden="1">
      <c r="A3" s="126"/>
      <c r="B3" s="126"/>
      <c r="C3" s="287"/>
      <c r="D3" s="326"/>
      <c r="E3" s="327">
        <v>0.0</v>
      </c>
      <c r="F3" s="328" t="s">
        <v>2919</v>
      </c>
      <c r="G3" s="329"/>
      <c r="H3" s="330">
        <f t="shared" si="1"/>
        <v>25132.8</v>
      </c>
      <c r="I3" s="331"/>
      <c r="J3" s="332"/>
      <c r="K3" s="319"/>
      <c r="L3" s="333" t="s">
        <v>2918</v>
      </c>
      <c r="M3" s="330">
        <f t="shared" si="2"/>
        <v>25132.8</v>
      </c>
      <c r="N3" s="332">
        <f t="shared" si="3"/>
        <v>0</v>
      </c>
      <c r="O3" s="334"/>
      <c r="P3" s="335">
        <f t="shared" si="4"/>
        <v>0</v>
      </c>
      <c r="Q3" s="336">
        <f t="shared" si="5"/>
        <v>0</v>
      </c>
      <c r="R3" s="332">
        <v>45000.0</v>
      </c>
      <c r="S3" s="337">
        <f t="shared" si="6"/>
        <v>0.7904889228</v>
      </c>
      <c r="T3" s="338"/>
    </row>
    <row r="4" hidden="1">
      <c r="A4" s="126"/>
      <c r="B4" s="126"/>
      <c r="C4" s="288"/>
      <c r="D4" s="326"/>
      <c r="E4" s="327">
        <v>0.0</v>
      </c>
      <c r="F4" s="339" t="s">
        <v>2920</v>
      </c>
      <c r="G4" s="340"/>
      <c r="H4" s="341">
        <f t="shared" ref="H4:H5" si="7">18700*0.88*1.19</f>
        <v>19582.64</v>
      </c>
      <c r="I4" s="342">
        <f t="shared" ref="I4:I5" si="8">+25227*0.85*1.19</f>
        <v>25517.1105</v>
      </c>
      <c r="J4" s="343"/>
      <c r="K4" s="344">
        <f t="shared" ref="K4:K5" si="9">18000*0.85*1.19</f>
        <v>18207</v>
      </c>
      <c r="L4" s="333" t="s">
        <v>1630</v>
      </c>
      <c r="M4" s="344">
        <f t="shared" ref="M4:M5" si="10">18000*0.85*1.19</f>
        <v>18207</v>
      </c>
      <c r="N4" s="332">
        <f t="shared" ref="N4:N5" si="11">K4*E4</f>
        <v>0</v>
      </c>
      <c r="O4" s="334">
        <v>30000.0</v>
      </c>
      <c r="P4" s="335">
        <f t="shared" ref="P4:P5" si="12">C4*K4</f>
        <v>0</v>
      </c>
      <c r="Q4" s="336">
        <f t="shared" si="5"/>
        <v>1020000000</v>
      </c>
      <c r="R4" s="332">
        <v>34000.0</v>
      </c>
      <c r="S4" s="337">
        <f t="shared" si="6"/>
        <v>0.7362316828</v>
      </c>
      <c r="T4" s="338"/>
    </row>
    <row r="5" hidden="1">
      <c r="A5" s="126"/>
      <c r="B5" s="126"/>
      <c r="C5" s="288"/>
      <c r="D5" s="326"/>
      <c r="E5" s="327">
        <v>0.0</v>
      </c>
      <c r="F5" s="339" t="s">
        <v>2921</v>
      </c>
      <c r="G5" s="340"/>
      <c r="H5" s="341">
        <f t="shared" si="7"/>
        <v>19582.64</v>
      </c>
      <c r="I5" s="342">
        <f t="shared" si="8"/>
        <v>25517.1105</v>
      </c>
      <c r="J5" s="343"/>
      <c r="K5" s="344">
        <f t="shared" si="9"/>
        <v>18207</v>
      </c>
      <c r="L5" s="333" t="s">
        <v>1630</v>
      </c>
      <c r="M5" s="344">
        <f t="shared" si="10"/>
        <v>18207</v>
      </c>
      <c r="N5" s="332">
        <f t="shared" si="11"/>
        <v>0</v>
      </c>
      <c r="O5" s="334"/>
      <c r="P5" s="335">
        <f t="shared" si="12"/>
        <v>0</v>
      </c>
      <c r="Q5" s="336">
        <f t="shared" si="5"/>
        <v>0</v>
      </c>
      <c r="R5" s="332">
        <v>34000.0</v>
      </c>
      <c r="S5" s="337">
        <f t="shared" si="6"/>
        <v>0.7362316828</v>
      </c>
      <c r="T5" s="338"/>
    </row>
    <row r="6" hidden="1">
      <c r="A6" s="126"/>
      <c r="B6" s="167"/>
      <c r="C6" s="287"/>
      <c r="D6" s="326"/>
      <c r="E6" s="327">
        <v>10.0</v>
      </c>
      <c r="F6" s="317" t="s">
        <v>2922</v>
      </c>
      <c r="G6" s="345" t="s">
        <v>2923</v>
      </c>
      <c r="H6" s="341">
        <f>19000*0.88*1.19</f>
        <v>19896.8</v>
      </c>
      <c r="I6" s="344">
        <f>25227*0.85*1.19</f>
        <v>25517.1105</v>
      </c>
      <c r="J6" s="343"/>
      <c r="K6" s="319"/>
      <c r="L6" s="333" t="s">
        <v>2918</v>
      </c>
      <c r="M6" s="341">
        <f>19000*0.88*1.19</f>
        <v>19896.8</v>
      </c>
      <c r="N6" s="332">
        <f>E6*H6</f>
        <v>198968</v>
      </c>
      <c r="O6" s="334"/>
      <c r="P6" s="335">
        <f>H6*O6</f>
        <v>0</v>
      </c>
      <c r="Q6" s="336">
        <f t="shared" si="5"/>
        <v>0</v>
      </c>
      <c r="R6" s="332">
        <v>34000.0</v>
      </c>
      <c r="S6" s="337">
        <f t="shared" si="6"/>
        <v>0.7088174983</v>
      </c>
      <c r="T6" s="338"/>
    </row>
    <row r="7" ht="36.0" hidden="1" customHeight="1">
      <c r="A7" s="126"/>
      <c r="B7" s="126"/>
      <c r="C7" s="287"/>
      <c r="D7" s="326"/>
      <c r="E7" s="327">
        <v>0.0</v>
      </c>
      <c r="F7" s="346" t="s">
        <v>2924</v>
      </c>
      <c r="G7" s="331"/>
      <c r="H7" s="344"/>
      <c r="I7" s="342"/>
      <c r="J7" s="347"/>
      <c r="K7" s="344"/>
      <c r="L7" s="333"/>
      <c r="M7" s="344"/>
      <c r="N7" s="332"/>
      <c r="O7" s="334"/>
      <c r="P7" s="335"/>
      <c r="Q7" s="336"/>
      <c r="R7" s="332">
        <v>28000.0</v>
      </c>
      <c r="S7" s="337" t="str">
        <f t="shared" si="6"/>
        <v>#DIV/0!</v>
      </c>
      <c r="T7" s="338"/>
    </row>
    <row r="8" hidden="1">
      <c r="A8" s="126"/>
      <c r="B8" s="126"/>
      <c r="C8" s="288"/>
      <c r="D8" s="326"/>
      <c r="E8" s="327">
        <v>5.0</v>
      </c>
      <c r="F8" s="328" t="s">
        <v>2925</v>
      </c>
      <c r="G8" s="329"/>
      <c r="H8" s="341">
        <f>3700*0.88*1.19</f>
        <v>3874.64</v>
      </c>
      <c r="I8" s="344">
        <f>3507*0.85*1.19</f>
        <v>3547.3305</v>
      </c>
      <c r="J8" s="332"/>
      <c r="K8" s="344">
        <f>3800*0.85*1.19</f>
        <v>3843.7</v>
      </c>
      <c r="L8" s="333" t="s">
        <v>1630</v>
      </c>
      <c r="M8" s="344">
        <f>3800*0.85*1.19</f>
        <v>3843.7</v>
      </c>
      <c r="N8" s="332">
        <f t="shared" ref="N8:N10" si="13">K8*E8</f>
        <v>19218.5</v>
      </c>
      <c r="O8" s="334"/>
      <c r="P8" s="335">
        <f t="shared" ref="P8:P10" si="14">C8*K8</f>
        <v>0</v>
      </c>
      <c r="Q8" s="336">
        <f t="shared" ref="Q8:Q12" si="15">R8*O8</f>
        <v>0</v>
      </c>
      <c r="R8" s="332">
        <v>7000.0</v>
      </c>
      <c r="S8" s="337">
        <f t="shared" si="6"/>
        <v>0.8066194537</v>
      </c>
      <c r="T8" s="338"/>
    </row>
    <row r="9" hidden="1">
      <c r="A9" s="126"/>
      <c r="B9" s="126"/>
      <c r="C9" s="288"/>
      <c r="D9" s="326"/>
      <c r="E9" s="327">
        <v>0.0</v>
      </c>
      <c r="F9" s="346" t="s">
        <v>2926</v>
      </c>
      <c r="G9" s="329"/>
      <c r="H9" s="344">
        <f t="shared" ref="H9:H10" si="16">7400*0.88*1.19</f>
        <v>7749.28</v>
      </c>
      <c r="I9" s="348" t="s">
        <v>2927</v>
      </c>
      <c r="J9" s="332"/>
      <c r="K9" s="344">
        <f t="shared" ref="K9:K10" si="17">5000*0.85*1.19</f>
        <v>5057.5</v>
      </c>
      <c r="L9" s="333" t="s">
        <v>1630</v>
      </c>
      <c r="M9" s="344">
        <f t="shared" ref="M9:M10" si="18">5000*0.85*1.19</f>
        <v>5057.5</v>
      </c>
      <c r="N9" s="332">
        <f t="shared" si="13"/>
        <v>0</v>
      </c>
      <c r="O9" s="334"/>
      <c r="P9" s="335">
        <f t="shared" si="14"/>
        <v>0</v>
      </c>
      <c r="Q9" s="336">
        <f t="shared" si="15"/>
        <v>0</v>
      </c>
      <c r="R9" s="332">
        <v>14000.0</v>
      </c>
      <c r="S9" s="337">
        <f t="shared" si="6"/>
        <v>0.8066194537</v>
      </c>
      <c r="T9" s="338"/>
    </row>
    <row r="10" hidden="1">
      <c r="A10" s="126"/>
      <c r="B10" s="167"/>
      <c r="C10" s="288"/>
      <c r="D10" s="326"/>
      <c r="E10" s="327">
        <v>0.0</v>
      </c>
      <c r="F10" s="346" t="s">
        <v>2928</v>
      </c>
      <c r="G10" s="340"/>
      <c r="H10" s="344">
        <f t="shared" si="16"/>
        <v>7749.28</v>
      </c>
      <c r="I10" s="348" t="s">
        <v>2927</v>
      </c>
      <c r="J10" s="349"/>
      <c r="K10" s="344">
        <f t="shared" si="17"/>
        <v>5057.5</v>
      </c>
      <c r="L10" s="333" t="s">
        <v>1630</v>
      </c>
      <c r="M10" s="344">
        <f t="shared" si="18"/>
        <v>5057.5</v>
      </c>
      <c r="N10" s="332">
        <f t="shared" si="13"/>
        <v>0</v>
      </c>
      <c r="O10" s="334"/>
      <c r="P10" s="335">
        <f t="shared" si="14"/>
        <v>0</v>
      </c>
      <c r="Q10" s="336">
        <f t="shared" si="15"/>
        <v>0</v>
      </c>
      <c r="R10" s="332">
        <v>14000.0</v>
      </c>
      <c r="S10" s="337">
        <f t="shared" si="6"/>
        <v>0.8066194537</v>
      </c>
      <c r="T10" s="338"/>
    </row>
    <row r="11" hidden="1">
      <c r="A11" s="126"/>
      <c r="B11" s="126"/>
      <c r="C11" s="288"/>
      <c r="D11" s="326"/>
      <c r="E11" s="327">
        <v>0.0</v>
      </c>
      <c r="F11" s="346" t="s">
        <v>2929</v>
      </c>
      <c r="G11" s="197"/>
      <c r="H11" s="350">
        <f>9000*0.88*1.19</f>
        <v>9424.8</v>
      </c>
      <c r="I11" s="319">
        <f>13740*0.85*1.19</f>
        <v>13898.01</v>
      </c>
      <c r="J11" s="351">
        <v>5000.0</v>
      </c>
      <c r="K11" s="319"/>
      <c r="L11" s="333" t="s">
        <v>2909</v>
      </c>
      <c r="M11" s="351">
        <v>5000.0</v>
      </c>
      <c r="N11" s="332">
        <f>E11*H11</f>
        <v>0</v>
      </c>
      <c r="O11" s="334"/>
      <c r="P11" s="335">
        <f>O11*H11</f>
        <v>0</v>
      </c>
      <c r="Q11" s="336">
        <f t="shared" si="15"/>
        <v>0</v>
      </c>
      <c r="R11" s="332">
        <v>30000.0</v>
      </c>
      <c r="S11" s="337">
        <f t="shared" si="6"/>
        <v>2.183091418</v>
      </c>
      <c r="T11" s="338"/>
    </row>
    <row r="12" hidden="1">
      <c r="A12" s="126"/>
      <c r="B12" s="126"/>
      <c r="C12" s="288"/>
      <c r="D12" s="326"/>
      <c r="E12" s="327">
        <v>10.0</v>
      </c>
      <c r="F12" s="328" t="s">
        <v>2930</v>
      </c>
      <c r="G12" s="197"/>
      <c r="H12" s="350">
        <f>5500*0.88*1.19</f>
        <v>5759.6</v>
      </c>
      <c r="I12" s="331"/>
      <c r="J12" s="332"/>
      <c r="K12" s="352"/>
      <c r="L12" s="333" t="s">
        <v>2918</v>
      </c>
      <c r="M12" s="344">
        <f>5500*0.88*1.19</f>
        <v>5759.6</v>
      </c>
      <c r="N12" s="332">
        <f>E12*J12</f>
        <v>0</v>
      </c>
      <c r="O12" s="334"/>
      <c r="P12" s="335">
        <f>H12*O12</f>
        <v>0</v>
      </c>
      <c r="Q12" s="336">
        <f t="shared" si="15"/>
        <v>0</v>
      </c>
      <c r="R12" s="332">
        <v>24000.0</v>
      </c>
      <c r="S12" s="337">
        <f t="shared" si="6"/>
        <v>3.166956039</v>
      </c>
      <c r="T12" s="338"/>
    </row>
    <row r="13" hidden="1">
      <c r="A13" s="126"/>
      <c r="B13" s="126"/>
      <c r="C13" s="287"/>
      <c r="D13" s="326"/>
      <c r="E13" s="327">
        <v>0.0</v>
      </c>
      <c r="F13" s="328" t="s">
        <v>2931</v>
      </c>
      <c r="G13" s="340"/>
      <c r="H13" s="331"/>
      <c r="I13" s="331"/>
      <c r="J13" s="332"/>
      <c r="K13" s="352"/>
      <c r="L13" s="353"/>
      <c r="M13" s="332"/>
      <c r="N13" s="332"/>
      <c r="O13" s="334"/>
      <c r="P13" s="335"/>
      <c r="Q13" s="336"/>
      <c r="R13" s="332">
        <v>32000.0</v>
      </c>
      <c r="S13" s="337"/>
      <c r="T13" s="338"/>
    </row>
    <row r="14" hidden="1">
      <c r="A14" s="126"/>
      <c r="B14" s="126"/>
      <c r="C14" s="287"/>
      <c r="D14" s="326"/>
      <c r="E14" s="327">
        <v>10.0</v>
      </c>
      <c r="F14" s="346" t="s">
        <v>2932</v>
      </c>
      <c r="G14" s="329"/>
      <c r="H14" s="344">
        <f>5000*0.88*1.19</f>
        <v>5236</v>
      </c>
      <c r="I14" s="354"/>
      <c r="J14" s="349"/>
      <c r="K14" s="319"/>
      <c r="L14" s="333" t="s">
        <v>2918</v>
      </c>
      <c r="M14" s="344">
        <f>5000*0.88*1.19</f>
        <v>5236</v>
      </c>
      <c r="N14" s="332">
        <f t="shared" ref="N14:N15" si="19">E14*H14</f>
        <v>52360</v>
      </c>
      <c r="O14" s="334">
        <v>8000.0</v>
      </c>
      <c r="P14" s="335">
        <f>O14*H14</f>
        <v>41888000</v>
      </c>
      <c r="Q14" s="336">
        <f t="shared" ref="Q14:Q20" si="20">R14*O14</f>
        <v>80000000</v>
      </c>
      <c r="R14" s="332">
        <v>10000.0</v>
      </c>
      <c r="S14" s="337">
        <f t="shared" ref="S14:S17" si="21">(R14/H14)-1</f>
        <v>0.909854851</v>
      </c>
      <c r="T14" s="338"/>
    </row>
    <row r="15" hidden="1">
      <c r="A15" s="126"/>
      <c r="B15" s="126"/>
      <c r="C15" s="287"/>
      <c r="D15" s="326"/>
      <c r="E15" s="327">
        <v>6.0</v>
      </c>
      <c r="F15" s="346" t="s">
        <v>2933</v>
      </c>
      <c r="G15" s="340"/>
      <c r="H15" s="344">
        <f>4800*0.88*1.19</f>
        <v>5026.56</v>
      </c>
      <c r="I15" s="319">
        <f>7139*0.85*1.19</f>
        <v>7221.0985</v>
      </c>
      <c r="J15" s="349"/>
      <c r="K15" s="319"/>
      <c r="L15" s="333" t="s">
        <v>2918</v>
      </c>
      <c r="M15" s="344">
        <f>4800*0.88*1.19</f>
        <v>5026.56</v>
      </c>
      <c r="N15" s="332">
        <f t="shared" si="19"/>
        <v>30159.36</v>
      </c>
      <c r="O15" s="334">
        <v>8000.0</v>
      </c>
      <c r="P15" s="335">
        <f>H15*O15</f>
        <v>40212480</v>
      </c>
      <c r="Q15" s="336">
        <f t="shared" si="20"/>
        <v>80000000</v>
      </c>
      <c r="R15" s="332">
        <v>10000.0</v>
      </c>
      <c r="S15" s="337">
        <f t="shared" si="21"/>
        <v>0.9894321365</v>
      </c>
      <c r="T15" s="338"/>
    </row>
    <row r="16" hidden="1">
      <c r="A16" s="126"/>
      <c r="B16" s="126"/>
      <c r="C16" s="287"/>
      <c r="D16" s="326"/>
      <c r="E16" s="327">
        <v>0.0</v>
      </c>
      <c r="F16" s="328" t="s">
        <v>2934</v>
      </c>
      <c r="G16" s="329"/>
      <c r="H16" s="330">
        <f t="shared" ref="H16:H17" si="22">5000*0.88*1.19</f>
        <v>5236</v>
      </c>
      <c r="I16" s="331"/>
      <c r="J16" s="332"/>
      <c r="K16" s="344">
        <f t="shared" ref="K16:K17" si="23">5000*0.85*1.19</f>
        <v>5057.5</v>
      </c>
      <c r="L16" s="333" t="s">
        <v>1630</v>
      </c>
      <c r="M16" s="344">
        <f t="shared" ref="M16:M17" si="24">5000*0.85*1.19</f>
        <v>5057.5</v>
      </c>
      <c r="N16" s="332">
        <f t="shared" ref="N16:N17" si="25">E16*J16</f>
        <v>0</v>
      </c>
      <c r="O16" s="334"/>
      <c r="P16" s="335">
        <f t="shared" ref="P16:P17" si="26">C16*K16</f>
        <v>0</v>
      </c>
      <c r="Q16" s="336">
        <f t="shared" si="20"/>
        <v>0</v>
      </c>
      <c r="R16" s="332">
        <v>8000.0</v>
      </c>
      <c r="S16" s="337">
        <f t="shared" si="21"/>
        <v>0.5278838808</v>
      </c>
      <c r="T16" s="338"/>
    </row>
    <row r="17" hidden="1">
      <c r="A17" s="126"/>
      <c r="B17" s="126"/>
      <c r="C17" s="288"/>
      <c r="D17" s="326"/>
      <c r="E17" s="327">
        <v>0.0</v>
      </c>
      <c r="F17" s="328" t="s">
        <v>2935</v>
      </c>
      <c r="G17" s="329"/>
      <c r="H17" s="330">
        <f t="shared" si="22"/>
        <v>5236</v>
      </c>
      <c r="I17" s="331"/>
      <c r="J17" s="332"/>
      <c r="K17" s="344">
        <f t="shared" si="23"/>
        <v>5057.5</v>
      </c>
      <c r="L17" s="333" t="s">
        <v>1630</v>
      </c>
      <c r="M17" s="344">
        <f t="shared" si="24"/>
        <v>5057.5</v>
      </c>
      <c r="N17" s="332">
        <f t="shared" si="25"/>
        <v>0</v>
      </c>
      <c r="O17" s="334"/>
      <c r="P17" s="335">
        <f t="shared" si="26"/>
        <v>0</v>
      </c>
      <c r="Q17" s="336">
        <f t="shared" si="20"/>
        <v>0</v>
      </c>
      <c r="R17" s="332">
        <v>8000.0</v>
      </c>
      <c r="S17" s="337">
        <f t="shared" si="21"/>
        <v>0.5278838808</v>
      </c>
      <c r="T17" s="338"/>
    </row>
    <row r="18" hidden="1">
      <c r="A18" s="126"/>
      <c r="B18" s="126"/>
      <c r="C18" s="287"/>
      <c r="D18" s="327">
        <v>20.0</v>
      </c>
      <c r="E18" s="327"/>
      <c r="F18" s="339" t="s">
        <v>2936</v>
      </c>
      <c r="G18" s="331"/>
      <c r="H18" s="331"/>
      <c r="I18" s="331"/>
      <c r="J18" s="344">
        <v>2500.0</v>
      </c>
      <c r="K18" s="319"/>
      <c r="L18" s="333" t="s">
        <v>2909</v>
      </c>
      <c r="M18" s="344">
        <v>2500.0</v>
      </c>
      <c r="N18" s="332"/>
      <c r="O18" s="334"/>
      <c r="P18" s="335">
        <f>K18*O18</f>
        <v>0</v>
      </c>
      <c r="Q18" s="336">
        <f t="shared" si="20"/>
        <v>0</v>
      </c>
      <c r="R18" s="332">
        <v>6000.0</v>
      </c>
      <c r="S18" s="337">
        <f>(R18/J18)-1</f>
        <v>1.4</v>
      </c>
      <c r="T18" s="338"/>
    </row>
    <row r="19" hidden="1">
      <c r="A19" s="126"/>
      <c r="B19" s="126"/>
      <c r="C19" s="288"/>
      <c r="D19" s="326"/>
      <c r="E19" s="327">
        <v>0.0</v>
      </c>
      <c r="F19" s="346" t="s">
        <v>2937</v>
      </c>
      <c r="G19" s="340" t="s">
        <v>2938</v>
      </c>
      <c r="H19" s="344">
        <f>10000*1.19*0.88</f>
        <v>10472</v>
      </c>
      <c r="I19" s="319">
        <f>16786*1.19*0.85</f>
        <v>16979.039</v>
      </c>
      <c r="J19" s="351">
        <v>8000.0</v>
      </c>
      <c r="K19" s="344">
        <f t="shared" ref="K19:K20" si="27">10000*0.85*1.19</f>
        <v>10115</v>
      </c>
      <c r="L19" s="333" t="s">
        <v>2909</v>
      </c>
      <c r="M19" s="351">
        <v>8000.0</v>
      </c>
      <c r="N19" s="332">
        <f t="shared" ref="N19:N20" si="28">E19*H19</f>
        <v>0</v>
      </c>
      <c r="O19" s="334"/>
      <c r="P19" s="335">
        <f t="shared" ref="P19:P20" si="29">C19*K19</f>
        <v>0</v>
      </c>
      <c r="Q19" s="336">
        <f t="shared" si="20"/>
        <v>0</v>
      </c>
      <c r="R19" s="332">
        <v>24000.0</v>
      </c>
      <c r="S19" s="337">
        <f t="shared" ref="S19:S20" si="30">(R19/H19)-1</f>
        <v>1.291825821</v>
      </c>
      <c r="T19" s="338"/>
    </row>
    <row r="20" hidden="1">
      <c r="A20" s="126"/>
      <c r="B20" s="126"/>
      <c r="C20" s="326"/>
      <c r="D20" s="326"/>
      <c r="E20" s="327">
        <v>0.0</v>
      </c>
      <c r="F20" s="346" t="s">
        <v>2939</v>
      </c>
      <c r="G20" s="340"/>
      <c r="H20" s="319">
        <f>11000*1.19*0.88</f>
        <v>11519.2</v>
      </c>
      <c r="I20" s="319">
        <f>16786*0.85*1.19</f>
        <v>16979.039</v>
      </c>
      <c r="J20" s="351">
        <v>8000.0</v>
      </c>
      <c r="K20" s="344">
        <f t="shared" si="27"/>
        <v>10115</v>
      </c>
      <c r="L20" s="333" t="s">
        <v>2909</v>
      </c>
      <c r="M20" s="351">
        <v>8000.0</v>
      </c>
      <c r="N20" s="332">
        <f t="shared" si="28"/>
        <v>0</v>
      </c>
      <c r="O20" s="334"/>
      <c r="P20" s="335">
        <f t="shared" si="29"/>
        <v>0</v>
      </c>
      <c r="Q20" s="336">
        <f t="shared" si="20"/>
        <v>0</v>
      </c>
      <c r="R20" s="332">
        <v>24000.0</v>
      </c>
      <c r="S20" s="337">
        <f t="shared" si="30"/>
        <v>1.083478019</v>
      </c>
      <c r="T20" s="338"/>
    </row>
    <row r="21" hidden="1">
      <c r="A21" s="126"/>
      <c r="B21" s="126"/>
      <c r="C21" s="326"/>
      <c r="D21" s="326"/>
      <c r="E21" s="327">
        <v>0.0</v>
      </c>
      <c r="F21" s="346" t="s">
        <v>2940</v>
      </c>
      <c r="G21" s="340"/>
      <c r="H21" s="319"/>
      <c r="I21" s="319"/>
      <c r="J21" s="351"/>
      <c r="K21" s="344"/>
      <c r="L21" s="333" t="s">
        <v>2909</v>
      </c>
      <c r="M21" s="351"/>
      <c r="N21" s="332"/>
      <c r="O21" s="334"/>
      <c r="P21" s="335"/>
      <c r="Q21" s="336"/>
      <c r="R21" s="332">
        <v>24000.0</v>
      </c>
      <c r="S21" s="337"/>
      <c r="T21" s="338"/>
    </row>
    <row r="22" hidden="1">
      <c r="A22" s="126"/>
      <c r="B22" s="126"/>
      <c r="C22" s="287"/>
      <c r="D22" s="326"/>
      <c r="E22" s="327">
        <v>0.0</v>
      </c>
      <c r="F22" s="346" t="s">
        <v>2941</v>
      </c>
      <c r="G22" s="329"/>
      <c r="H22" s="344">
        <f>24900*0.88*1.19</f>
        <v>26075.28</v>
      </c>
      <c r="I22" s="344">
        <f>30945*0.85*1.19</f>
        <v>31300.8675</v>
      </c>
      <c r="J22" s="347"/>
      <c r="K22" s="319"/>
      <c r="L22" s="333" t="s">
        <v>2909</v>
      </c>
      <c r="M22" s="347">
        <v>26071.0</v>
      </c>
      <c r="N22" s="332">
        <f t="shared" ref="N22:N23" si="31">E22*J22</f>
        <v>0</v>
      </c>
      <c r="O22" s="334">
        <v>35000.0</v>
      </c>
      <c r="P22" s="335">
        <f t="shared" ref="P22:P23" si="32">K22*O22</f>
        <v>0</v>
      </c>
      <c r="Q22" s="336">
        <f t="shared" ref="Q22:Q26" si="33">R22*O22</f>
        <v>1470000000</v>
      </c>
      <c r="R22" s="332">
        <v>42000.0</v>
      </c>
      <c r="S22" s="337">
        <f t="shared" ref="S22:S56" si="34">(R22/H22)-1</f>
        <v>0.6107209587</v>
      </c>
      <c r="T22" s="338"/>
    </row>
    <row r="23" hidden="1">
      <c r="A23" s="126"/>
      <c r="B23" s="126"/>
      <c r="C23" s="287"/>
      <c r="D23" s="326"/>
      <c r="E23" s="327">
        <v>0.0</v>
      </c>
      <c r="F23" s="346" t="s">
        <v>2942</v>
      </c>
      <c r="G23" s="340"/>
      <c r="H23" s="319">
        <f>18000*0.88*1.19</f>
        <v>18849.6</v>
      </c>
      <c r="I23" s="340">
        <v>25601.0</v>
      </c>
      <c r="J23" s="351">
        <v>19000.0</v>
      </c>
      <c r="K23" s="355"/>
      <c r="L23" s="333" t="s">
        <v>2909</v>
      </c>
      <c r="M23" s="351">
        <v>19000.0</v>
      </c>
      <c r="N23" s="332">
        <f t="shared" si="31"/>
        <v>0</v>
      </c>
      <c r="O23" s="334">
        <v>35000.0</v>
      </c>
      <c r="P23" s="335">
        <f t="shared" si="32"/>
        <v>0</v>
      </c>
      <c r="Q23" s="336">
        <f t="shared" si="33"/>
        <v>1470000000</v>
      </c>
      <c r="R23" s="332">
        <v>42000.0</v>
      </c>
      <c r="S23" s="337">
        <f t="shared" si="34"/>
        <v>1.228163993</v>
      </c>
      <c r="T23" s="338"/>
    </row>
    <row r="24" hidden="1">
      <c r="A24" s="126"/>
      <c r="B24" s="126"/>
      <c r="C24" s="287"/>
      <c r="D24" s="326"/>
      <c r="E24" s="327">
        <v>0.0</v>
      </c>
      <c r="F24" s="339" t="s">
        <v>2943</v>
      </c>
      <c r="G24" s="329"/>
      <c r="H24" s="344">
        <f t="shared" ref="H24:H25" si="35">5000*0.88*1.19</f>
        <v>5236</v>
      </c>
      <c r="I24" s="330">
        <f>6267*0.85*1.19</f>
        <v>6339.0705</v>
      </c>
      <c r="J24" s="343"/>
      <c r="K24" s="344">
        <f t="shared" ref="K24:K25" si="36">5000*0.85*1.19</f>
        <v>5057.5</v>
      </c>
      <c r="L24" s="333" t="s">
        <v>1630</v>
      </c>
      <c r="M24" s="344">
        <f>5000*0.85*1.19</f>
        <v>5057.5</v>
      </c>
      <c r="N24" s="332">
        <f>K24*E24</f>
        <v>0</v>
      </c>
      <c r="O24" s="334">
        <v>8000.0</v>
      </c>
      <c r="P24" s="335">
        <f t="shared" ref="P24:P25" si="37">C24*K24</f>
        <v>0</v>
      </c>
      <c r="Q24" s="336">
        <f t="shared" si="33"/>
        <v>80000000</v>
      </c>
      <c r="R24" s="332">
        <v>10000.0</v>
      </c>
      <c r="S24" s="337">
        <f t="shared" si="34"/>
        <v>0.909854851</v>
      </c>
      <c r="T24" s="338"/>
    </row>
    <row r="25" hidden="1">
      <c r="A25" s="126"/>
      <c r="B25" s="126"/>
      <c r="C25" s="287"/>
      <c r="D25" s="326"/>
      <c r="E25" s="327">
        <v>0.0</v>
      </c>
      <c r="F25" s="339" t="s">
        <v>2944</v>
      </c>
      <c r="G25" s="329"/>
      <c r="H25" s="344">
        <f t="shared" si="35"/>
        <v>5236</v>
      </c>
      <c r="I25" s="356"/>
      <c r="J25" s="344">
        <v>3000.0</v>
      </c>
      <c r="K25" s="344">
        <f t="shared" si="36"/>
        <v>5057.5</v>
      </c>
      <c r="L25" s="333" t="s">
        <v>2909</v>
      </c>
      <c r="M25" s="344">
        <v>3000.0</v>
      </c>
      <c r="N25" s="332">
        <f t="shared" ref="N25:N27" si="38">E25*J25</f>
        <v>0</v>
      </c>
      <c r="O25" s="334"/>
      <c r="P25" s="335">
        <f t="shared" si="37"/>
        <v>0</v>
      </c>
      <c r="Q25" s="336">
        <f t="shared" si="33"/>
        <v>0</v>
      </c>
      <c r="R25" s="332">
        <v>10000.0</v>
      </c>
      <c r="S25" s="337">
        <f t="shared" si="34"/>
        <v>0.909854851</v>
      </c>
      <c r="T25" s="338"/>
    </row>
    <row r="26" hidden="1">
      <c r="A26" s="126"/>
      <c r="B26" s="126"/>
      <c r="C26" s="287"/>
      <c r="D26" s="326"/>
      <c r="E26" s="327">
        <v>0.0</v>
      </c>
      <c r="F26" s="328" t="s">
        <v>2945</v>
      </c>
      <c r="G26" s="329"/>
      <c r="H26" s="350">
        <f>4800*0.88*1.19</f>
        <v>5026.56</v>
      </c>
      <c r="I26" s="331"/>
      <c r="J26" s="332"/>
      <c r="K26" s="319"/>
      <c r="L26" s="333" t="s">
        <v>2918</v>
      </c>
      <c r="M26" s="319">
        <f>5000*0.88*1.19</f>
        <v>5236</v>
      </c>
      <c r="N26" s="332">
        <f t="shared" si="38"/>
        <v>0</v>
      </c>
      <c r="O26" s="334"/>
      <c r="P26" s="335">
        <f>O26*H26</f>
        <v>0</v>
      </c>
      <c r="Q26" s="336">
        <f t="shared" si="33"/>
        <v>0</v>
      </c>
      <c r="R26" s="332">
        <v>10000.0</v>
      </c>
      <c r="S26" s="337">
        <f t="shared" si="34"/>
        <v>0.9894321365</v>
      </c>
      <c r="T26" s="338"/>
    </row>
    <row r="27" hidden="1">
      <c r="A27" s="126"/>
      <c r="B27" s="126"/>
      <c r="C27" s="287"/>
      <c r="D27" s="326"/>
      <c r="E27" s="327">
        <v>0.0</v>
      </c>
      <c r="F27" s="339" t="s">
        <v>2946</v>
      </c>
      <c r="G27" s="329"/>
      <c r="H27" s="344">
        <f>22000*0.88*1.19</f>
        <v>23038.4</v>
      </c>
      <c r="I27" s="344">
        <f>25227*0.85*1.19</f>
        <v>25517.1105</v>
      </c>
      <c r="J27" s="332"/>
      <c r="K27" s="319"/>
      <c r="L27" s="333" t="s">
        <v>2918</v>
      </c>
      <c r="M27" s="344">
        <f>22000*0.88*1.19</f>
        <v>23038.4</v>
      </c>
      <c r="N27" s="332">
        <f t="shared" si="38"/>
        <v>0</v>
      </c>
      <c r="O27" s="334">
        <v>35000.0</v>
      </c>
      <c r="P27" s="335"/>
      <c r="Q27" s="336"/>
      <c r="R27" s="332">
        <v>40000.0</v>
      </c>
      <c r="S27" s="337">
        <f t="shared" si="34"/>
        <v>0.7362316828</v>
      </c>
      <c r="T27" s="338"/>
    </row>
    <row r="28" hidden="1">
      <c r="A28" s="126"/>
      <c r="B28" s="126"/>
      <c r="C28" s="287"/>
      <c r="D28" s="326"/>
      <c r="E28" s="327">
        <v>0.0</v>
      </c>
      <c r="F28" s="339" t="s">
        <v>2947</v>
      </c>
      <c r="G28" s="340"/>
      <c r="H28" s="319"/>
      <c r="I28" s="357"/>
      <c r="J28" s="332"/>
      <c r="K28" s="319"/>
      <c r="L28" s="333"/>
      <c r="M28" s="332"/>
      <c r="N28" s="332"/>
      <c r="O28" s="334"/>
      <c r="P28" s="335"/>
      <c r="Q28" s="336"/>
      <c r="R28" s="332">
        <v>80000.0</v>
      </c>
      <c r="S28" s="337" t="str">
        <f t="shared" si="34"/>
        <v>#DIV/0!</v>
      </c>
      <c r="T28" s="338"/>
    </row>
    <row r="29" hidden="1">
      <c r="A29" s="126"/>
      <c r="B29" s="126"/>
      <c r="C29" s="288"/>
      <c r="D29" s="326"/>
      <c r="E29" s="327">
        <v>5.0</v>
      </c>
      <c r="F29" s="358" t="s">
        <v>2948</v>
      </c>
      <c r="G29" s="329"/>
      <c r="H29" s="344">
        <f>29700*0.88*1.19</f>
        <v>31101.84</v>
      </c>
      <c r="I29" s="331"/>
      <c r="J29" s="343"/>
      <c r="K29" s="319"/>
      <c r="L29" s="333" t="s">
        <v>2918</v>
      </c>
      <c r="M29" s="344">
        <f>29700*0.88*1.19</f>
        <v>31101.84</v>
      </c>
      <c r="N29" s="332">
        <f>E29*J29</f>
        <v>0</v>
      </c>
      <c r="O29" s="334">
        <v>42000.0</v>
      </c>
      <c r="P29" s="335"/>
      <c r="Q29" s="336"/>
      <c r="R29" s="332">
        <v>48000.0</v>
      </c>
      <c r="S29" s="337">
        <f t="shared" si="34"/>
        <v>0.5433170513</v>
      </c>
      <c r="T29" s="338"/>
    </row>
    <row r="30" hidden="1">
      <c r="A30" s="126"/>
      <c r="B30" s="126"/>
      <c r="C30" s="288"/>
      <c r="D30" s="326"/>
      <c r="E30" s="327">
        <v>10.0</v>
      </c>
      <c r="F30" s="339" t="s">
        <v>2949</v>
      </c>
      <c r="G30" s="340"/>
      <c r="H30" s="344">
        <f t="shared" ref="H30:H31" si="39">58500*0.88*1.19</f>
        <v>61261.2</v>
      </c>
      <c r="I30" s="319">
        <v>64867.0</v>
      </c>
      <c r="J30" s="343"/>
      <c r="K30" s="344">
        <f t="shared" ref="K30:K31" si="40">58000*0.85*1.19</f>
        <v>58667</v>
      </c>
      <c r="L30" s="333" t="s">
        <v>1630</v>
      </c>
      <c r="M30" s="344">
        <f t="shared" ref="M30:M31" si="41">58000*0.85*1.19</f>
        <v>58667</v>
      </c>
      <c r="N30" s="332">
        <f t="shared" ref="N30:N31" si="42">K30*E30</f>
        <v>586670</v>
      </c>
      <c r="O30" s="335">
        <v>74000.0</v>
      </c>
      <c r="P30" s="335">
        <f t="shared" ref="P30:P31" si="43">C30*K30</f>
        <v>0</v>
      </c>
      <c r="Q30" s="336"/>
      <c r="R30" s="332">
        <v>95000.0</v>
      </c>
      <c r="S30" s="337">
        <f t="shared" si="34"/>
        <v>0.5507368449</v>
      </c>
      <c r="T30" s="338"/>
    </row>
    <row r="31" hidden="1">
      <c r="A31" s="126"/>
      <c r="B31" s="126"/>
      <c r="C31" s="288"/>
      <c r="D31" s="326"/>
      <c r="E31" s="327">
        <v>0.0</v>
      </c>
      <c r="F31" s="339" t="s">
        <v>2950</v>
      </c>
      <c r="G31" s="340"/>
      <c r="H31" s="344">
        <f t="shared" si="39"/>
        <v>61261.2</v>
      </c>
      <c r="I31" s="319">
        <v>64867.0</v>
      </c>
      <c r="J31" s="343"/>
      <c r="K31" s="344">
        <f t="shared" si="40"/>
        <v>58667</v>
      </c>
      <c r="L31" s="333" t="s">
        <v>1630</v>
      </c>
      <c r="M31" s="344">
        <f t="shared" si="41"/>
        <v>58667</v>
      </c>
      <c r="N31" s="332">
        <f t="shared" si="42"/>
        <v>0</v>
      </c>
      <c r="O31" s="335"/>
      <c r="P31" s="335">
        <f t="shared" si="43"/>
        <v>0</v>
      </c>
      <c r="Q31" s="336">
        <f>R31*O31</f>
        <v>0</v>
      </c>
      <c r="R31" s="332">
        <v>95000.0</v>
      </c>
      <c r="S31" s="337">
        <f t="shared" si="34"/>
        <v>0.5507368449</v>
      </c>
      <c r="T31" s="338"/>
    </row>
    <row r="32" hidden="1">
      <c r="A32" s="126"/>
      <c r="B32" s="126"/>
      <c r="C32" s="288"/>
      <c r="D32" s="326"/>
      <c r="E32" s="327">
        <v>20.0</v>
      </c>
      <c r="F32" s="359" t="s">
        <v>2951</v>
      </c>
      <c r="G32" s="340"/>
      <c r="H32" s="360">
        <f t="shared" ref="H32:H33" si="44">4800*0.88*1.19</f>
        <v>5026.56</v>
      </c>
      <c r="I32" s="331"/>
      <c r="J32" s="332"/>
      <c r="K32" s="355"/>
      <c r="L32" s="333" t="s">
        <v>2918</v>
      </c>
      <c r="M32" s="341">
        <f>4800*0.88*1.19</f>
        <v>5026.56</v>
      </c>
      <c r="N32" s="332">
        <f>E32*J32</f>
        <v>0</v>
      </c>
      <c r="O32" s="334"/>
      <c r="P32" s="335"/>
      <c r="Q32" s="336"/>
      <c r="R32" s="332">
        <v>9000.0</v>
      </c>
      <c r="S32" s="337">
        <f t="shared" si="34"/>
        <v>0.7904889228</v>
      </c>
      <c r="T32" s="338"/>
    </row>
    <row r="33" hidden="1">
      <c r="A33" s="126"/>
      <c r="B33" s="126"/>
      <c r="C33" s="288"/>
      <c r="D33" s="326"/>
      <c r="E33" s="327">
        <v>0.0</v>
      </c>
      <c r="F33" s="359" t="s">
        <v>2952</v>
      </c>
      <c r="G33" s="326" t="s">
        <v>2953</v>
      </c>
      <c r="H33" s="350">
        <f t="shared" si="44"/>
        <v>5026.56</v>
      </c>
      <c r="I33" s="331">
        <f>5494*0.85*1.19</f>
        <v>5557.181</v>
      </c>
      <c r="J33" s="332"/>
      <c r="K33" s="344">
        <f>5000*0.85*1.19</f>
        <v>5057.5</v>
      </c>
      <c r="L33" s="333" t="s">
        <v>1630</v>
      </c>
      <c r="M33" s="344">
        <f>5000*0.85*1.19</f>
        <v>5057.5</v>
      </c>
      <c r="N33" s="332">
        <f>K33*E33</f>
        <v>0</v>
      </c>
      <c r="O33" s="334"/>
      <c r="P33" s="335">
        <f t="shared" ref="P33:P34" si="45">C33*K33</f>
        <v>0</v>
      </c>
      <c r="Q33" s="336">
        <f t="shared" ref="Q33:Q58" si="46">R33*O33</f>
        <v>0</v>
      </c>
      <c r="R33" s="332">
        <v>9000.0</v>
      </c>
      <c r="S33" s="337">
        <f t="shared" si="34"/>
        <v>0.7904889228</v>
      </c>
      <c r="T33" s="338"/>
    </row>
    <row r="34" hidden="1">
      <c r="A34" s="126"/>
      <c r="B34" s="126"/>
      <c r="C34" s="288"/>
      <c r="D34" s="326"/>
      <c r="E34" s="327">
        <v>0.0</v>
      </c>
      <c r="F34" s="339" t="s">
        <v>2954</v>
      </c>
      <c r="G34" s="329"/>
      <c r="H34" s="344">
        <f>7000*0.88*1.19</f>
        <v>7330.4</v>
      </c>
      <c r="I34" s="331">
        <v>3724.0</v>
      </c>
      <c r="J34" s="344">
        <v>4000.0</v>
      </c>
      <c r="K34" s="344">
        <f>6500*0.85*1.19</f>
        <v>6574.75</v>
      </c>
      <c r="L34" s="333" t="s">
        <v>2909</v>
      </c>
      <c r="M34" s="344">
        <v>4000.0</v>
      </c>
      <c r="N34" s="332">
        <f>E34*J34</f>
        <v>0</v>
      </c>
      <c r="O34" s="334">
        <v>10000.0</v>
      </c>
      <c r="P34" s="335">
        <f t="shared" si="45"/>
        <v>0</v>
      </c>
      <c r="Q34" s="336">
        <f t="shared" si="46"/>
        <v>130000000</v>
      </c>
      <c r="R34" s="332">
        <v>13000.0</v>
      </c>
      <c r="S34" s="337">
        <f t="shared" si="34"/>
        <v>0.7734366474</v>
      </c>
      <c r="T34" s="338"/>
    </row>
    <row r="35" hidden="1">
      <c r="A35" s="126"/>
      <c r="B35" s="126"/>
      <c r="C35" s="287"/>
      <c r="D35" s="326"/>
      <c r="E35" s="327">
        <v>0.0</v>
      </c>
      <c r="F35" s="361" t="s">
        <v>2955</v>
      </c>
      <c r="G35" s="340" t="s">
        <v>2956</v>
      </c>
      <c r="H35" s="330">
        <f t="shared" ref="H35:H38" si="47">5000*1.19*0.88</f>
        <v>5236</v>
      </c>
      <c r="I35" s="319">
        <f t="shared" ref="I35:I48" si="48">6043*0.85*1.19</f>
        <v>6112.4945</v>
      </c>
      <c r="J35" s="332"/>
      <c r="K35" s="319"/>
      <c r="L35" s="333" t="s">
        <v>2918</v>
      </c>
      <c r="M35" s="330">
        <f>5000*1.19*0.88</f>
        <v>5236</v>
      </c>
      <c r="N35" s="332">
        <f>E35*H35</f>
        <v>0</v>
      </c>
      <c r="O35" s="334"/>
      <c r="P35" s="335">
        <f>H35*O35</f>
        <v>0</v>
      </c>
      <c r="Q35" s="336">
        <f t="shared" si="46"/>
        <v>0</v>
      </c>
      <c r="R35" s="332">
        <v>9000.0</v>
      </c>
      <c r="S35" s="337">
        <f t="shared" si="34"/>
        <v>0.7188693659</v>
      </c>
      <c r="T35" s="338"/>
    </row>
    <row r="36" hidden="1">
      <c r="A36" s="126"/>
      <c r="B36" s="126"/>
      <c r="C36" s="288"/>
      <c r="D36" s="326"/>
      <c r="E36" s="327">
        <v>5.0</v>
      </c>
      <c r="F36" s="361" t="s">
        <v>2957</v>
      </c>
      <c r="G36" s="340"/>
      <c r="H36" s="330">
        <f t="shared" si="47"/>
        <v>5236</v>
      </c>
      <c r="I36" s="319">
        <f t="shared" si="48"/>
        <v>6112.4945</v>
      </c>
      <c r="J36" s="332"/>
      <c r="K36" s="344">
        <f>5000*0.85*1.19</f>
        <v>5057.5</v>
      </c>
      <c r="L36" s="333" t="s">
        <v>1630</v>
      </c>
      <c r="M36" s="344">
        <f>5000*0.85*1.19</f>
        <v>5057.5</v>
      </c>
      <c r="N36" s="332">
        <f>K36*E36</f>
        <v>25287.5</v>
      </c>
      <c r="O36" s="334"/>
      <c r="P36" s="335">
        <f>C36*K36</f>
        <v>0</v>
      </c>
      <c r="Q36" s="336">
        <f t="shared" si="46"/>
        <v>0</v>
      </c>
      <c r="R36" s="332">
        <v>9000.0</v>
      </c>
      <c r="S36" s="337">
        <f t="shared" si="34"/>
        <v>0.7188693659</v>
      </c>
      <c r="T36" s="338"/>
    </row>
    <row r="37" hidden="1">
      <c r="A37" s="126"/>
      <c r="B37" s="167"/>
      <c r="C37" s="287"/>
      <c r="D37" s="326"/>
      <c r="E37" s="327">
        <v>0.0</v>
      </c>
      <c r="F37" s="361" t="s">
        <v>2958</v>
      </c>
      <c r="G37" s="340"/>
      <c r="H37" s="330">
        <f t="shared" si="47"/>
        <v>5236</v>
      </c>
      <c r="I37" s="319">
        <f t="shared" si="48"/>
        <v>6112.4945</v>
      </c>
      <c r="J37" s="319"/>
      <c r="K37" s="319"/>
      <c r="L37" s="333" t="s">
        <v>2918</v>
      </c>
      <c r="M37" s="330">
        <f>5000*1.19*0.88</f>
        <v>5236</v>
      </c>
      <c r="N37" s="332">
        <f>E37*H37</f>
        <v>0</v>
      </c>
      <c r="O37" s="334"/>
      <c r="P37" s="335">
        <f>K37*O37</f>
        <v>0</v>
      </c>
      <c r="Q37" s="336">
        <f t="shared" si="46"/>
        <v>0</v>
      </c>
      <c r="R37" s="332">
        <v>9000.0</v>
      </c>
      <c r="S37" s="337">
        <f t="shared" si="34"/>
        <v>0.7188693659</v>
      </c>
      <c r="T37" s="338"/>
    </row>
    <row r="38" hidden="1">
      <c r="A38" s="126"/>
      <c r="B38" s="126"/>
      <c r="C38" s="288"/>
      <c r="D38" s="326"/>
      <c r="E38" s="327">
        <v>0.0</v>
      </c>
      <c r="F38" s="361" t="s">
        <v>2959</v>
      </c>
      <c r="G38" s="340"/>
      <c r="H38" s="330">
        <f t="shared" si="47"/>
        <v>5236</v>
      </c>
      <c r="I38" s="319">
        <f t="shared" si="48"/>
        <v>6112.4945</v>
      </c>
      <c r="J38" s="332"/>
      <c r="K38" s="344">
        <f t="shared" ref="K38:K39" si="49">5000*0.85*1.19</f>
        <v>5057.5</v>
      </c>
      <c r="L38" s="333" t="s">
        <v>1630</v>
      </c>
      <c r="M38" s="344">
        <f>5000*0.85*1.19</f>
        <v>5057.5</v>
      </c>
      <c r="N38" s="332">
        <f>K38*E38</f>
        <v>0</v>
      </c>
      <c r="O38" s="334"/>
      <c r="P38" s="335">
        <f t="shared" ref="P38:P39" si="50">C38*K38</f>
        <v>0</v>
      </c>
      <c r="Q38" s="336">
        <f t="shared" si="46"/>
        <v>0</v>
      </c>
      <c r="R38" s="332">
        <v>9000.0</v>
      </c>
      <c r="S38" s="337">
        <f t="shared" si="34"/>
        <v>0.7188693659</v>
      </c>
      <c r="T38" s="338"/>
    </row>
    <row r="39">
      <c r="A39" s="126"/>
      <c r="B39" s="126"/>
      <c r="C39" s="287"/>
      <c r="D39" s="327">
        <v>12.0</v>
      </c>
      <c r="E39" s="327">
        <v>1.0</v>
      </c>
      <c r="F39" s="359" t="s">
        <v>2960</v>
      </c>
      <c r="G39" s="347" t="s">
        <v>2961</v>
      </c>
      <c r="H39" s="330">
        <f>4800*1.19*0.88</f>
        <v>5026.56</v>
      </c>
      <c r="I39" s="319">
        <f t="shared" si="48"/>
        <v>6112.4945</v>
      </c>
      <c r="J39" s="344">
        <v>3300.0</v>
      </c>
      <c r="K39" s="344">
        <f t="shared" si="49"/>
        <v>5057.5</v>
      </c>
      <c r="L39" s="333" t="s">
        <v>2909</v>
      </c>
      <c r="M39" s="344">
        <v>3300.0</v>
      </c>
      <c r="N39" s="332">
        <f t="shared" ref="N39:N42" si="51">E39*J39</f>
        <v>3300</v>
      </c>
      <c r="O39" s="334"/>
      <c r="P39" s="335">
        <f t="shared" si="50"/>
        <v>0</v>
      </c>
      <c r="Q39" s="336">
        <f t="shared" si="46"/>
        <v>0</v>
      </c>
      <c r="R39" s="332">
        <v>9000.0</v>
      </c>
      <c r="S39" s="337">
        <f t="shared" si="34"/>
        <v>0.7904889228</v>
      </c>
      <c r="T39" s="338"/>
    </row>
    <row r="40" hidden="1">
      <c r="A40" s="126"/>
      <c r="B40" s="126"/>
      <c r="C40" s="288"/>
      <c r="D40" s="327">
        <v>4.0</v>
      </c>
      <c r="E40" s="327"/>
      <c r="F40" s="361" t="s">
        <v>2962</v>
      </c>
      <c r="G40" s="340"/>
      <c r="H40" s="341">
        <f t="shared" ref="H40:H48" si="52">5000*1.19*0.88</f>
        <v>5236</v>
      </c>
      <c r="I40" s="319">
        <f t="shared" si="48"/>
        <v>6112.4945</v>
      </c>
      <c r="J40" s="344">
        <v>3700.0</v>
      </c>
      <c r="K40" s="319"/>
      <c r="L40" s="333" t="s">
        <v>2909</v>
      </c>
      <c r="M40" s="344">
        <v>3700.0</v>
      </c>
      <c r="N40" s="332">
        <f t="shared" si="51"/>
        <v>0</v>
      </c>
      <c r="O40" s="334"/>
      <c r="P40" s="335">
        <f>K40*O40</f>
        <v>0</v>
      </c>
      <c r="Q40" s="336">
        <f t="shared" si="46"/>
        <v>0</v>
      </c>
      <c r="R40" s="332">
        <v>9000.0</v>
      </c>
      <c r="S40" s="337">
        <f t="shared" si="34"/>
        <v>0.7188693659</v>
      </c>
      <c r="T40" s="338"/>
    </row>
    <row r="41" hidden="1">
      <c r="A41" s="126"/>
      <c r="B41" s="126"/>
      <c r="C41" s="288"/>
      <c r="D41" s="326"/>
      <c r="E41" s="327">
        <v>0.0</v>
      </c>
      <c r="F41" s="361" t="s">
        <v>2963</v>
      </c>
      <c r="G41" s="340"/>
      <c r="H41" s="341">
        <f t="shared" si="52"/>
        <v>5236</v>
      </c>
      <c r="I41" s="319">
        <f t="shared" si="48"/>
        <v>6112.4945</v>
      </c>
      <c r="J41" s="344">
        <v>3700.0</v>
      </c>
      <c r="K41" s="344">
        <f t="shared" ref="K41:K42" si="53">5000*0.85*1.19</f>
        <v>5057.5</v>
      </c>
      <c r="L41" s="333" t="s">
        <v>2909</v>
      </c>
      <c r="M41" s="344">
        <v>3700.0</v>
      </c>
      <c r="N41" s="332">
        <f t="shared" si="51"/>
        <v>0</v>
      </c>
      <c r="O41" s="334"/>
      <c r="P41" s="335">
        <f t="shared" ref="P41:P42" si="54">C41*K41</f>
        <v>0</v>
      </c>
      <c r="Q41" s="336">
        <f t="shared" si="46"/>
        <v>0</v>
      </c>
      <c r="R41" s="332">
        <v>9000.0</v>
      </c>
      <c r="S41" s="337">
        <f t="shared" si="34"/>
        <v>0.7188693659</v>
      </c>
      <c r="T41" s="338"/>
    </row>
    <row r="42" hidden="1">
      <c r="A42" s="126"/>
      <c r="B42" s="126"/>
      <c r="C42" s="288"/>
      <c r="D42" s="326"/>
      <c r="E42" s="327">
        <v>0.0</v>
      </c>
      <c r="F42" s="361" t="s">
        <v>2964</v>
      </c>
      <c r="G42" s="340"/>
      <c r="H42" s="341">
        <f t="shared" si="52"/>
        <v>5236</v>
      </c>
      <c r="I42" s="319">
        <f t="shared" si="48"/>
        <v>6112.4945</v>
      </c>
      <c r="J42" s="344">
        <v>3700.0</v>
      </c>
      <c r="K42" s="344">
        <f t="shared" si="53"/>
        <v>5057.5</v>
      </c>
      <c r="L42" s="333" t="s">
        <v>2909</v>
      </c>
      <c r="M42" s="344">
        <v>3700.0</v>
      </c>
      <c r="N42" s="332">
        <f t="shared" si="51"/>
        <v>0</v>
      </c>
      <c r="O42" s="334"/>
      <c r="P42" s="335">
        <f t="shared" si="54"/>
        <v>0</v>
      </c>
      <c r="Q42" s="336">
        <f t="shared" si="46"/>
        <v>0</v>
      </c>
      <c r="R42" s="332">
        <v>9000.0</v>
      </c>
      <c r="S42" s="337">
        <f t="shared" si="34"/>
        <v>0.7188693659</v>
      </c>
      <c r="T42" s="338"/>
    </row>
    <row r="43" hidden="1">
      <c r="A43" s="126"/>
      <c r="B43" s="167"/>
      <c r="C43" s="287"/>
      <c r="D43" s="326"/>
      <c r="E43" s="327">
        <v>5.0</v>
      </c>
      <c r="F43" s="361" t="s">
        <v>2965</v>
      </c>
      <c r="G43" s="340"/>
      <c r="H43" s="341">
        <f t="shared" si="52"/>
        <v>5236</v>
      </c>
      <c r="I43" s="319">
        <f t="shared" si="48"/>
        <v>6112.4945</v>
      </c>
      <c r="J43" s="344"/>
      <c r="K43" s="319"/>
      <c r="L43" s="333" t="s">
        <v>2918</v>
      </c>
      <c r="M43" s="341">
        <f>5000*1.19*0.88</f>
        <v>5236</v>
      </c>
      <c r="N43" s="332">
        <f>E43*H43</f>
        <v>26180</v>
      </c>
      <c r="O43" s="334"/>
      <c r="P43" s="335">
        <f>H43*O43</f>
        <v>0</v>
      </c>
      <c r="Q43" s="336">
        <f t="shared" si="46"/>
        <v>0</v>
      </c>
      <c r="R43" s="332">
        <v>9000.0</v>
      </c>
      <c r="S43" s="337">
        <f t="shared" si="34"/>
        <v>0.7188693659</v>
      </c>
      <c r="T43" s="338"/>
    </row>
    <row r="44" hidden="1">
      <c r="A44" s="126"/>
      <c r="B44" s="126"/>
      <c r="C44" s="287"/>
      <c r="D44" s="326"/>
      <c r="E44" s="327">
        <v>0.0</v>
      </c>
      <c r="F44" s="361" t="s">
        <v>2966</v>
      </c>
      <c r="G44" s="340"/>
      <c r="H44" s="341">
        <f t="shared" si="52"/>
        <v>5236</v>
      </c>
      <c r="I44" s="319">
        <f t="shared" si="48"/>
        <v>6112.4945</v>
      </c>
      <c r="J44" s="344">
        <v>3700.0</v>
      </c>
      <c r="K44" s="344">
        <f t="shared" ref="K44:K48" si="55">5000*0.85*1.19</f>
        <v>5057.5</v>
      </c>
      <c r="L44" s="333" t="s">
        <v>2909</v>
      </c>
      <c r="M44" s="344">
        <v>3700.0</v>
      </c>
      <c r="N44" s="332">
        <f t="shared" ref="N44:N48" si="56">E44*J44</f>
        <v>0</v>
      </c>
      <c r="O44" s="334"/>
      <c r="P44" s="335">
        <f t="shared" ref="P44:P54" si="57">C44*K44</f>
        <v>0</v>
      </c>
      <c r="Q44" s="336">
        <f t="shared" si="46"/>
        <v>0</v>
      </c>
      <c r="R44" s="332">
        <v>9000.0</v>
      </c>
      <c r="S44" s="337">
        <f t="shared" si="34"/>
        <v>0.7188693659</v>
      </c>
      <c r="T44" s="338"/>
    </row>
    <row r="45" hidden="1">
      <c r="A45" s="126"/>
      <c r="B45" s="126"/>
      <c r="C45" s="326"/>
      <c r="D45" s="327">
        <v>5.0</v>
      </c>
      <c r="E45" s="327"/>
      <c r="F45" s="361" t="s">
        <v>2967</v>
      </c>
      <c r="G45" s="340"/>
      <c r="H45" s="341">
        <f t="shared" si="52"/>
        <v>5236</v>
      </c>
      <c r="I45" s="319">
        <f t="shared" si="48"/>
        <v>6112.4945</v>
      </c>
      <c r="J45" s="344">
        <v>3700.0</v>
      </c>
      <c r="K45" s="344">
        <f t="shared" si="55"/>
        <v>5057.5</v>
      </c>
      <c r="L45" s="333" t="s">
        <v>2909</v>
      </c>
      <c r="M45" s="344">
        <v>3700.0</v>
      </c>
      <c r="N45" s="332">
        <f t="shared" si="56"/>
        <v>0</v>
      </c>
      <c r="O45" s="334"/>
      <c r="P45" s="335">
        <f t="shared" si="57"/>
        <v>0</v>
      </c>
      <c r="Q45" s="336">
        <f t="shared" si="46"/>
        <v>0</v>
      </c>
      <c r="R45" s="332">
        <v>9000.0</v>
      </c>
      <c r="S45" s="337">
        <f t="shared" si="34"/>
        <v>0.7188693659</v>
      </c>
      <c r="T45" s="338"/>
    </row>
    <row r="46" hidden="1">
      <c r="A46" s="126"/>
      <c r="B46" s="126"/>
      <c r="C46" s="326"/>
      <c r="D46" s="327">
        <v>5.0</v>
      </c>
      <c r="E46" s="327"/>
      <c r="F46" s="361" t="s">
        <v>2968</v>
      </c>
      <c r="G46" s="340"/>
      <c r="H46" s="341">
        <f t="shared" si="52"/>
        <v>5236</v>
      </c>
      <c r="I46" s="319">
        <f t="shared" si="48"/>
        <v>6112.4945</v>
      </c>
      <c r="J46" s="344">
        <v>3700.0</v>
      </c>
      <c r="K46" s="344">
        <f t="shared" si="55"/>
        <v>5057.5</v>
      </c>
      <c r="L46" s="333" t="s">
        <v>2909</v>
      </c>
      <c r="M46" s="344">
        <v>3700.0</v>
      </c>
      <c r="N46" s="332">
        <f t="shared" si="56"/>
        <v>0</v>
      </c>
      <c r="O46" s="334"/>
      <c r="P46" s="335">
        <f t="shared" si="57"/>
        <v>0</v>
      </c>
      <c r="Q46" s="336">
        <f t="shared" si="46"/>
        <v>0</v>
      </c>
      <c r="R46" s="332">
        <v>9000.0</v>
      </c>
      <c r="S46" s="337">
        <f t="shared" si="34"/>
        <v>0.7188693659</v>
      </c>
      <c r="T46" s="338"/>
    </row>
    <row r="47" hidden="1">
      <c r="A47" s="126"/>
      <c r="B47" s="126"/>
      <c r="C47" s="288"/>
      <c r="D47" s="326"/>
      <c r="E47" s="327">
        <v>0.0</v>
      </c>
      <c r="F47" s="361" t="s">
        <v>2969</v>
      </c>
      <c r="G47" s="340"/>
      <c r="H47" s="341">
        <f t="shared" si="52"/>
        <v>5236</v>
      </c>
      <c r="I47" s="319">
        <f t="shared" si="48"/>
        <v>6112.4945</v>
      </c>
      <c r="J47" s="344">
        <v>3700.0</v>
      </c>
      <c r="K47" s="344">
        <f t="shared" si="55"/>
        <v>5057.5</v>
      </c>
      <c r="L47" s="333" t="s">
        <v>2909</v>
      </c>
      <c r="M47" s="344">
        <v>3700.0</v>
      </c>
      <c r="N47" s="332">
        <f t="shared" si="56"/>
        <v>0</v>
      </c>
      <c r="O47" s="334"/>
      <c r="P47" s="335">
        <f t="shared" si="57"/>
        <v>0</v>
      </c>
      <c r="Q47" s="336">
        <f t="shared" si="46"/>
        <v>0</v>
      </c>
      <c r="R47" s="332">
        <v>9000.0</v>
      </c>
      <c r="S47" s="337">
        <f t="shared" si="34"/>
        <v>0.7188693659</v>
      </c>
      <c r="T47" s="338"/>
    </row>
    <row r="48" hidden="1">
      <c r="A48" s="126"/>
      <c r="B48" s="126"/>
      <c r="C48" s="288"/>
      <c r="D48" s="326"/>
      <c r="E48" s="327">
        <v>0.0</v>
      </c>
      <c r="F48" s="361" t="s">
        <v>2970</v>
      </c>
      <c r="G48" s="340"/>
      <c r="H48" s="341">
        <f t="shared" si="52"/>
        <v>5236</v>
      </c>
      <c r="I48" s="319">
        <f t="shared" si="48"/>
        <v>6112.4945</v>
      </c>
      <c r="J48" s="344">
        <v>3700.0</v>
      </c>
      <c r="K48" s="344">
        <f t="shared" si="55"/>
        <v>5057.5</v>
      </c>
      <c r="L48" s="333" t="s">
        <v>2909</v>
      </c>
      <c r="M48" s="344">
        <v>3700.0</v>
      </c>
      <c r="N48" s="332">
        <f t="shared" si="56"/>
        <v>0</v>
      </c>
      <c r="O48" s="334"/>
      <c r="P48" s="335">
        <f t="shared" si="57"/>
        <v>0</v>
      </c>
      <c r="Q48" s="336">
        <f t="shared" si="46"/>
        <v>0</v>
      </c>
      <c r="R48" s="332">
        <v>9000.0</v>
      </c>
      <c r="S48" s="337">
        <f t="shared" si="34"/>
        <v>0.7188693659</v>
      </c>
      <c r="T48" s="338"/>
    </row>
    <row r="49">
      <c r="A49" s="126"/>
      <c r="B49" s="126"/>
      <c r="C49" s="287"/>
      <c r="D49" s="326"/>
      <c r="E49" s="327">
        <v>1.0</v>
      </c>
      <c r="F49" s="361" t="s">
        <v>2971</v>
      </c>
      <c r="G49" s="340"/>
      <c r="H49" s="341">
        <f t="shared" ref="H49:H55" si="58">12500*1.19*0.88</f>
        <v>13090</v>
      </c>
      <c r="I49" s="319">
        <f t="shared" ref="I49:I56" si="59">13740*0.85*1.19</f>
        <v>13898.01</v>
      </c>
      <c r="J49" s="332"/>
      <c r="K49" s="344">
        <f t="shared" ref="K49:K54" si="60">13000*0.85*1.19</f>
        <v>13149.5</v>
      </c>
      <c r="L49" s="333" t="s">
        <v>1630</v>
      </c>
      <c r="M49" s="344">
        <f t="shared" ref="M49:M54" si="61">13000*0.85*1.19</f>
        <v>13149.5</v>
      </c>
      <c r="N49" s="332">
        <f t="shared" ref="N49:N54" si="62">K49*E49</f>
        <v>13149.5</v>
      </c>
      <c r="O49" s="334">
        <v>18000.0</v>
      </c>
      <c r="P49" s="335">
        <f t="shared" si="57"/>
        <v>0</v>
      </c>
      <c r="Q49" s="336">
        <f t="shared" si="46"/>
        <v>432000000</v>
      </c>
      <c r="R49" s="332">
        <v>24000.0</v>
      </c>
      <c r="S49" s="337">
        <f t="shared" si="34"/>
        <v>0.833460657</v>
      </c>
      <c r="T49" s="338"/>
    </row>
    <row r="50">
      <c r="A50" s="126"/>
      <c r="B50" s="126"/>
      <c r="C50" s="287"/>
      <c r="D50" s="326"/>
      <c r="E50" s="327">
        <v>1.0</v>
      </c>
      <c r="F50" s="361" t="s">
        <v>2972</v>
      </c>
      <c r="G50" s="340"/>
      <c r="H50" s="341">
        <f t="shared" si="58"/>
        <v>13090</v>
      </c>
      <c r="I50" s="319">
        <f t="shared" si="59"/>
        <v>13898.01</v>
      </c>
      <c r="J50" s="332"/>
      <c r="K50" s="344">
        <f t="shared" si="60"/>
        <v>13149.5</v>
      </c>
      <c r="L50" s="333" t="s">
        <v>1630</v>
      </c>
      <c r="M50" s="344">
        <f t="shared" si="61"/>
        <v>13149.5</v>
      </c>
      <c r="N50" s="332">
        <f t="shared" si="62"/>
        <v>13149.5</v>
      </c>
      <c r="O50" s="334">
        <v>18000.0</v>
      </c>
      <c r="P50" s="335">
        <f t="shared" si="57"/>
        <v>0</v>
      </c>
      <c r="Q50" s="336">
        <f t="shared" si="46"/>
        <v>432000000</v>
      </c>
      <c r="R50" s="332">
        <v>24000.0</v>
      </c>
      <c r="S50" s="337">
        <f t="shared" si="34"/>
        <v>0.833460657</v>
      </c>
      <c r="T50" s="338"/>
    </row>
    <row r="51">
      <c r="A51" s="126"/>
      <c r="B51" s="126"/>
      <c r="C51" s="287"/>
      <c r="D51" s="326">
        <v>5.0</v>
      </c>
      <c r="E51" s="327">
        <v>1.0</v>
      </c>
      <c r="F51" s="361" t="s">
        <v>2973</v>
      </c>
      <c r="G51" s="347"/>
      <c r="H51" s="341">
        <f t="shared" si="58"/>
        <v>13090</v>
      </c>
      <c r="I51" s="319">
        <f t="shared" si="59"/>
        <v>13898.01</v>
      </c>
      <c r="J51" s="332"/>
      <c r="K51" s="344">
        <f t="shared" si="60"/>
        <v>13149.5</v>
      </c>
      <c r="L51" s="333" t="s">
        <v>1630</v>
      </c>
      <c r="M51" s="344">
        <f t="shared" si="61"/>
        <v>13149.5</v>
      </c>
      <c r="N51" s="332">
        <f t="shared" si="62"/>
        <v>13149.5</v>
      </c>
      <c r="O51" s="334">
        <v>18000.0</v>
      </c>
      <c r="P51" s="335">
        <f t="shared" si="57"/>
        <v>0</v>
      </c>
      <c r="Q51" s="336">
        <f t="shared" si="46"/>
        <v>432000000</v>
      </c>
      <c r="R51" s="332">
        <v>24000.0</v>
      </c>
      <c r="S51" s="337">
        <f t="shared" si="34"/>
        <v>0.833460657</v>
      </c>
      <c r="T51" s="338"/>
    </row>
    <row r="52">
      <c r="A52" s="126"/>
      <c r="B52" s="126"/>
      <c r="C52" s="287"/>
      <c r="D52" s="326"/>
      <c r="E52" s="327">
        <v>1.0</v>
      </c>
      <c r="F52" s="361" t="s">
        <v>2974</v>
      </c>
      <c r="G52" s="347"/>
      <c r="H52" s="341">
        <f t="shared" si="58"/>
        <v>13090</v>
      </c>
      <c r="I52" s="319">
        <f t="shared" si="59"/>
        <v>13898.01</v>
      </c>
      <c r="J52" s="332"/>
      <c r="K52" s="344">
        <f t="shared" si="60"/>
        <v>13149.5</v>
      </c>
      <c r="L52" s="333" t="s">
        <v>1630</v>
      </c>
      <c r="M52" s="344">
        <f t="shared" si="61"/>
        <v>13149.5</v>
      </c>
      <c r="N52" s="332">
        <f t="shared" si="62"/>
        <v>13149.5</v>
      </c>
      <c r="O52" s="334">
        <v>18000.0</v>
      </c>
      <c r="P52" s="335">
        <f t="shared" si="57"/>
        <v>0</v>
      </c>
      <c r="Q52" s="336">
        <f t="shared" si="46"/>
        <v>432000000</v>
      </c>
      <c r="R52" s="332">
        <v>24000.0</v>
      </c>
      <c r="S52" s="337">
        <f t="shared" si="34"/>
        <v>0.833460657</v>
      </c>
      <c r="T52" s="338"/>
    </row>
    <row r="53">
      <c r="A53" s="126"/>
      <c r="B53" s="126"/>
      <c r="C53" s="287"/>
      <c r="D53" s="326"/>
      <c r="E53" s="327">
        <v>1.0</v>
      </c>
      <c r="F53" s="361" t="s">
        <v>2975</v>
      </c>
      <c r="G53" s="347"/>
      <c r="H53" s="341">
        <f t="shared" si="58"/>
        <v>13090</v>
      </c>
      <c r="I53" s="319">
        <f t="shared" si="59"/>
        <v>13898.01</v>
      </c>
      <c r="J53" s="332"/>
      <c r="K53" s="344">
        <f t="shared" si="60"/>
        <v>13149.5</v>
      </c>
      <c r="L53" s="333" t="s">
        <v>1630</v>
      </c>
      <c r="M53" s="344">
        <f t="shared" si="61"/>
        <v>13149.5</v>
      </c>
      <c r="N53" s="332">
        <f t="shared" si="62"/>
        <v>13149.5</v>
      </c>
      <c r="O53" s="334">
        <v>18000.0</v>
      </c>
      <c r="P53" s="335">
        <f t="shared" si="57"/>
        <v>0</v>
      </c>
      <c r="Q53" s="336">
        <f t="shared" si="46"/>
        <v>432000000</v>
      </c>
      <c r="R53" s="332">
        <v>24000.0</v>
      </c>
      <c r="S53" s="337">
        <f t="shared" si="34"/>
        <v>0.833460657</v>
      </c>
      <c r="T53" s="338"/>
    </row>
    <row r="54">
      <c r="A54" s="126"/>
      <c r="B54" s="126"/>
      <c r="C54" s="287"/>
      <c r="D54" s="326"/>
      <c r="E54" s="327">
        <v>1.0</v>
      </c>
      <c r="F54" s="361" t="s">
        <v>2976</v>
      </c>
      <c r="G54" s="347"/>
      <c r="H54" s="341">
        <f t="shared" si="58"/>
        <v>13090</v>
      </c>
      <c r="I54" s="319">
        <f t="shared" si="59"/>
        <v>13898.01</v>
      </c>
      <c r="J54" s="332"/>
      <c r="K54" s="344">
        <f t="shared" si="60"/>
        <v>13149.5</v>
      </c>
      <c r="L54" s="333" t="s">
        <v>1630</v>
      </c>
      <c r="M54" s="344">
        <f t="shared" si="61"/>
        <v>13149.5</v>
      </c>
      <c r="N54" s="332">
        <f t="shared" si="62"/>
        <v>13149.5</v>
      </c>
      <c r="O54" s="334">
        <v>18000.0</v>
      </c>
      <c r="P54" s="335">
        <f t="shared" si="57"/>
        <v>0</v>
      </c>
      <c r="Q54" s="336">
        <f t="shared" si="46"/>
        <v>432000000</v>
      </c>
      <c r="R54" s="332">
        <v>24000.0</v>
      </c>
      <c r="S54" s="337">
        <f t="shared" si="34"/>
        <v>0.833460657</v>
      </c>
      <c r="T54" s="338"/>
    </row>
    <row r="55" hidden="1">
      <c r="A55" s="126"/>
      <c r="B55" s="126"/>
      <c r="C55" s="288"/>
      <c r="D55" s="326"/>
      <c r="E55" s="327">
        <v>0.0</v>
      </c>
      <c r="F55" s="361" t="s">
        <v>2977</v>
      </c>
      <c r="G55" s="340"/>
      <c r="H55" s="341">
        <f t="shared" si="58"/>
        <v>13090</v>
      </c>
      <c r="I55" s="319">
        <f t="shared" si="59"/>
        <v>13898.01</v>
      </c>
      <c r="J55" s="332"/>
      <c r="K55" s="319"/>
      <c r="L55" s="333" t="s">
        <v>2918</v>
      </c>
      <c r="M55" s="341">
        <f>12500*1.19*0.88</f>
        <v>13090</v>
      </c>
      <c r="N55" s="332">
        <f t="shared" ref="N55:N56" si="63">E55*J55</f>
        <v>0</v>
      </c>
      <c r="O55" s="334">
        <v>18000.0</v>
      </c>
      <c r="P55" s="335">
        <f>H55*O55</f>
        <v>235620000</v>
      </c>
      <c r="Q55" s="336">
        <f t="shared" si="46"/>
        <v>432000000</v>
      </c>
      <c r="R55" s="332">
        <v>24000.0</v>
      </c>
      <c r="S55" s="337">
        <f t="shared" si="34"/>
        <v>0.833460657</v>
      </c>
      <c r="T55" s="338"/>
    </row>
    <row r="56">
      <c r="A56" s="126"/>
      <c r="B56" s="126"/>
      <c r="C56" s="288"/>
      <c r="D56" s="326"/>
      <c r="E56" s="327">
        <v>1.0</v>
      </c>
      <c r="F56" s="176" t="s">
        <v>2978</v>
      </c>
      <c r="G56" s="340"/>
      <c r="H56" s="341">
        <f>11000*0.82*1.19</f>
        <v>10733.8</v>
      </c>
      <c r="I56" s="319">
        <f t="shared" si="59"/>
        <v>13898.01</v>
      </c>
      <c r="J56" s="344">
        <v>5000.0</v>
      </c>
      <c r="K56" s="362">
        <f>9000*0.85*1.19</f>
        <v>9103.5</v>
      </c>
      <c r="L56" s="333" t="s">
        <v>2909</v>
      </c>
      <c r="M56" s="344">
        <v>5000.0</v>
      </c>
      <c r="N56" s="332">
        <f t="shared" si="63"/>
        <v>5000</v>
      </c>
      <c r="O56" s="334">
        <v>18000.0</v>
      </c>
      <c r="P56" s="335">
        <f t="shared" ref="P56:P58" si="64">C56*K56</f>
        <v>0</v>
      </c>
      <c r="Q56" s="336">
        <f t="shared" si="46"/>
        <v>432000000</v>
      </c>
      <c r="R56" s="332">
        <v>24000.0</v>
      </c>
      <c r="S56" s="337">
        <f t="shared" si="34"/>
        <v>1.23592763</v>
      </c>
      <c r="T56" s="338"/>
    </row>
    <row r="57" hidden="1">
      <c r="A57" s="126"/>
      <c r="B57" s="126"/>
      <c r="C57" s="287"/>
      <c r="D57" s="326"/>
      <c r="E57" s="327">
        <v>0.0</v>
      </c>
      <c r="F57" s="359" t="s">
        <v>2979</v>
      </c>
      <c r="G57" s="340"/>
      <c r="H57" s="319" t="s">
        <v>611</v>
      </c>
      <c r="I57" s="344">
        <f>17921*0.85*1.19</f>
        <v>18127.0915</v>
      </c>
      <c r="J57" s="332"/>
      <c r="K57" s="344">
        <f t="shared" ref="K57:K58" si="65">5000*0.85*1.19</f>
        <v>5057.5</v>
      </c>
      <c r="L57" s="333" t="s">
        <v>1630</v>
      </c>
      <c r="M57" s="344">
        <f>5000*0.85*1.19</f>
        <v>5057.5</v>
      </c>
      <c r="N57" s="332">
        <f>K57*E57</f>
        <v>0</v>
      </c>
      <c r="O57" s="334"/>
      <c r="P57" s="335">
        <f t="shared" si="64"/>
        <v>0</v>
      </c>
      <c r="Q57" s="336">
        <f t="shared" si="46"/>
        <v>0</v>
      </c>
      <c r="R57" s="332">
        <v>28000.0</v>
      </c>
      <c r="S57" s="337">
        <f>(R57/I57)-1</f>
        <v>0.5446493443</v>
      </c>
      <c r="T57" s="338"/>
    </row>
    <row r="58" hidden="1">
      <c r="A58" s="126"/>
      <c r="B58" s="126"/>
      <c r="C58" s="326"/>
      <c r="D58" s="327">
        <v>50.0</v>
      </c>
      <c r="E58" s="327"/>
      <c r="F58" s="328" t="s">
        <v>2980</v>
      </c>
      <c r="G58" s="331" t="s">
        <v>2981</v>
      </c>
      <c r="H58" s="360">
        <f>4800*0.88*1.19</f>
        <v>5026.56</v>
      </c>
      <c r="I58" s="344">
        <f>6593*0.85*1.19</f>
        <v>6668.8195</v>
      </c>
      <c r="J58" s="344">
        <v>3000.0</v>
      </c>
      <c r="K58" s="344">
        <f t="shared" si="65"/>
        <v>5057.5</v>
      </c>
      <c r="L58" s="333" t="s">
        <v>2909</v>
      </c>
      <c r="M58" s="344">
        <v>3000.0</v>
      </c>
      <c r="N58" s="332">
        <f>E58*H58</f>
        <v>0</v>
      </c>
      <c r="O58" s="334">
        <v>7000.0</v>
      </c>
      <c r="P58" s="335">
        <f t="shared" si="64"/>
        <v>0</v>
      </c>
      <c r="Q58" s="336">
        <f t="shared" si="46"/>
        <v>63000000</v>
      </c>
      <c r="R58" s="332">
        <v>9000.0</v>
      </c>
      <c r="S58" s="337">
        <f>(R58/H58)-1</f>
        <v>0.7904889228</v>
      </c>
      <c r="T58" s="338"/>
    </row>
    <row r="59" hidden="1">
      <c r="A59" s="126"/>
      <c r="B59" s="126"/>
      <c r="C59" s="326"/>
      <c r="D59" s="326"/>
      <c r="E59" s="327">
        <v>0.0</v>
      </c>
      <c r="F59" s="328" t="s">
        <v>2982</v>
      </c>
      <c r="G59" s="331"/>
      <c r="H59" s="341"/>
      <c r="I59" s="344"/>
      <c r="J59" s="344"/>
      <c r="K59" s="344"/>
      <c r="L59" s="333"/>
      <c r="M59" s="344"/>
      <c r="N59" s="332"/>
      <c r="O59" s="334"/>
      <c r="P59" s="335"/>
      <c r="Q59" s="336"/>
      <c r="R59" s="332"/>
      <c r="S59" s="337"/>
      <c r="T59" s="338"/>
    </row>
    <row r="60" hidden="1">
      <c r="A60" s="126"/>
      <c r="B60" s="126"/>
      <c r="C60" s="288"/>
      <c r="D60" s="326"/>
      <c r="E60" s="327">
        <v>30.0</v>
      </c>
      <c r="F60" s="346" t="s">
        <v>2983</v>
      </c>
      <c r="G60" s="329"/>
      <c r="H60" s="344">
        <f>5000*0.88*1.19</f>
        <v>5236</v>
      </c>
      <c r="I60" s="344">
        <f>6043*0.85*1.19</f>
        <v>6112.4945</v>
      </c>
      <c r="J60" s="351">
        <v>5000.0</v>
      </c>
      <c r="K60" s="344">
        <f>5000*0.85*1.19</f>
        <v>5057.5</v>
      </c>
      <c r="L60" s="333" t="s">
        <v>2984</v>
      </c>
      <c r="M60" s="332">
        <v>5058.0</v>
      </c>
      <c r="N60" s="332">
        <f>K60*E60</f>
        <v>151725</v>
      </c>
      <c r="O60" s="334">
        <v>7000.0</v>
      </c>
      <c r="P60" s="335"/>
      <c r="Q60" s="336"/>
      <c r="R60" s="332">
        <v>9000.0</v>
      </c>
      <c r="S60" s="337">
        <f>(R60/H60)-1</f>
        <v>0.7188693659</v>
      </c>
      <c r="T60" s="338"/>
    </row>
    <row r="61" hidden="1">
      <c r="A61" s="126"/>
      <c r="B61" s="126"/>
      <c r="C61" s="287"/>
      <c r="D61" s="326"/>
      <c r="E61" s="327">
        <v>0.0</v>
      </c>
      <c r="F61" s="328" t="s">
        <v>2985</v>
      </c>
      <c r="G61" s="340"/>
      <c r="H61" s="331"/>
      <c r="I61" s="331"/>
      <c r="J61" s="332"/>
      <c r="K61" s="352"/>
      <c r="L61" s="353"/>
      <c r="M61" s="332"/>
      <c r="N61" s="332"/>
      <c r="O61" s="334"/>
      <c r="P61" s="335"/>
      <c r="Q61" s="336"/>
      <c r="R61" s="332">
        <v>4000.0</v>
      </c>
      <c r="S61" s="337"/>
      <c r="T61" s="338"/>
    </row>
    <row r="62" hidden="1">
      <c r="A62" s="126"/>
      <c r="B62" s="126"/>
      <c r="C62" s="288"/>
      <c r="D62" s="326">
        <v>15.0</v>
      </c>
      <c r="E62" s="327">
        <v>0.0</v>
      </c>
      <c r="F62" s="328" t="s">
        <v>2986</v>
      </c>
      <c r="G62" s="329"/>
      <c r="H62" s="319">
        <f>5000*0.88*1.19</f>
        <v>5236</v>
      </c>
      <c r="I62" s="331">
        <f>4696*0.85*1.19</f>
        <v>4750.004</v>
      </c>
      <c r="J62" s="344">
        <v>4800.0</v>
      </c>
      <c r="K62" s="344">
        <f>6000*0.85*1.19</f>
        <v>6069</v>
      </c>
      <c r="L62" s="333" t="s">
        <v>1630</v>
      </c>
      <c r="M62" s="344">
        <f>6000*0.85*1.19</f>
        <v>6069</v>
      </c>
      <c r="N62" s="332">
        <f t="shared" ref="N62:N63" si="66">K62*E62</f>
        <v>0</v>
      </c>
      <c r="O62" s="334"/>
      <c r="P62" s="335">
        <f t="shared" ref="P62:P63" si="67">C62*K62</f>
        <v>0</v>
      </c>
      <c r="Q62" s="336">
        <f t="shared" ref="Q62:Q63" si="68">R62*O62</f>
        <v>0</v>
      </c>
      <c r="R62" s="332">
        <v>9000.0</v>
      </c>
      <c r="S62" s="337">
        <f t="shared" ref="S62:S64" si="69">(R62/H62)-1</f>
        <v>0.7188693659</v>
      </c>
      <c r="T62" s="338"/>
    </row>
    <row r="63" hidden="1">
      <c r="A63" s="126"/>
      <c r="B63" s="126"/>
      <c r="C63" s="288"/>
      <c r="D63" s="326"/>
      <c r="E63" s="327">
        <v>20.0</v>
      </c>
      <c r="F63" s="346" t="s">
        <v>2987</v>
      </c>
      <c r="G63" s="340"/>
      <c r="H63" s="350">
        <f>5900*0.88*1.19</f>
        <v>6178.48</v>
      </c>
      <c r="I63" s="344">
        <f>6593*0.85*1.19</f>
        <v>6668.8195</v>
      </c>
      <c r="J63" s="349"/>
      <c r="K63" s="344">
        <f>5900*0.85*1.19</f>
        <v>5967.85</v>
      </c>
      <c r="L63" s="333" t="s">
        <v>1630</v>
      </c>
      <c r="M63" s="344">
        <f>5900*0.85*1.19</f>
        <v>5967.85</v>
      </c>
      <c r="N63" s="332">
        <f t="shared" si="66"/>
        <v>119357</v>
      </c>
      <c r="O63" s="334">
        <v>8000.0</v>
      </c>
      <c r="P63" s="335">
        <f t="shared" si="67"/>
        <v>0</v>
      </c>
      <c r="Q63" s="336">
        <f t="shared" si="68"/>
        <v>80000000</v>
      </c>
      <c r="R63" s="332">
        <v>10000.0</v>
      </c>
      <c r="S63" s="337">
        <f t="shared" si="69"/>
        <v>0.6185210602</v>
      </c>
      <c r="T63" s="338"/>
    </row>
    <row r="64" hidden="1">
      <c r="A64" s="126"/>
      <c r="B64" s="126"/>
      <c r="C64" s="287"/>
      <c r="D64" s="326"/>
      <c r="E64" s="327">
        <v>0.0</v>
      </c>
      <c r="F64" s="339" t="s">
        <v>2988</v>
      </c>
      <c r="G64" s="331"/>
      <c r="H64" s="354"/>
      <c r="I64" s="331"/>
      <c r="J64" s="343"/>
      <c r="K64" s="355"/>
      <c r="L64" s="321"/>
      <c r="M64" s="332"/>
      <c r="N64" s="332"/>
      <c r="O64" s="334"/>
      <c r="P64" s="335"/>
      <c r="Q64" s="336"/>
      <c r="R64" s="332">
        <v>12000.0</v>
      </c>
      <c r="S64" s="337" t="str">
        <f t="shared" si="69"/>
        <v>#DIV/0!</v>
      </c>
      <c r="T64" s="338"/>
    </row>
    <row r="65" hidden="1">
      <c r="A65" s="126"/>
      <c r="B65" s="126"/>
      <c r="C65" s="326"/>
      <c r="D65" s="326"/>
      <c r="E65" s="327">
        <v>0.0</v>
      </c>
      <c r="F65" s="52" t="s">
        <v>1080</v>
      </c>
      <c r="G65" s="331"/>
      <c r="H65" s="354"/>
      <c r="I65" s="331"/>
      <c r="J65" s="344">
        <v>30000.0</v>
      </c>
      <c r="K65" s="344">
        <f>40000*0.85*1.19</f>
        <v>40460</v>
      </c>
      <c r="L65" s="321" t="s">
        <v>2909</v>
      </c>
      <c r="M65" s="344">
        <v>30000.0</v>
      </c>
      <c r="N65" s="332"/>
      <c r="O65" s="334"/>
      <c r="P65" s="335">
        <f t="shared" ref="P65:P70" si="70">C65*K65</f>
        <v>0</v>
      </c>
      <c r="Q65" s="336"/>
      <c r="R65" s="332">
        <v>55000.0</v>
      </c>
      <c r="S65" s="337"/>
      <c r="T65" s="338"/>
    </row>
    <row r="66" hidden="1">
      <c r="A66" s="126"/>
      <c r="B66" s="126"/>
      <c r="C66" s="287"/>
      <c r="D66" s="326"/>
      <c r="E66" s="327">
        <v>0.0</v>
      </c>
      <c r="F66" s="339" t="s">
        <v>2989</v>
      </c>
      <c r="G66" s="331"/>
      <c r="H66" s="341">
        <f t="shared" ref="H66:H67" si="71">4800*0.88*1.19</f>
        <v>5026.56</v>
      </c>
      <c r="I66" s="319">
        <f>6593*0.85*1.19</f>
        <v>6668.8195</v>
      </c>
      <c r="J66" s="332"/>
      <c r="K66" s="344">
        <f>5000*0.85*1.19</f>
        <v>5057.5</v>
      </c>
      <c r="L66" s="333" t="s">
        <v>1630</v>
      </c>
      <c r="M66" s="344">
        <f>5000*0.85*1.19</f>
        <v>5057.5</v>
      </c>
      <c r="N66" s="332">
        <f>E66*J66</f>
        <v>0</v>
      </c>
      <c r="O66" s="334"/>
      <c r="P66" s="335">
        <f t="shared" si="70"/>
        <v>0</v>
      </c>
      <c r="Q66" s="336">
        <f t="shared" ref="Q66:Q70" si="72">R66*O66</f>
        <v>0</v>
      </c>
      <c r="R66" s="332">
        <v>9000.0</v>
      </c>
      <c r="S66" s="337">
        <f t="shared" ref="S66:S70" si="73">(R66/H66)-1</f>
        <v>0.7904889228</v>
      </c>
      <c r="T66" s="338"/>
    </row>
    <row r="67" hidden="1">
      <c r="A67" s="126"/>
      <c r="B67" s="126"/>
      <c r="C67" s="288"/>
      <c r="D67" s="326"/>
      <c r="E67" s="327">
        <v>0.0</v>
      </c>
      <c r="F67" s="328" t="s">
        <v>2990</v>
      </c>
      <c r="G67" s="326" t="s">
        <v>2953</v>
      </c>
      <c r="H67" s="350">
        <f t="shared" si="71"/>
        <v>5026.56</v>
      </c>
      <c r="I67" s="319">
        <f>6043*0.85*1.19</f>
        <v>6112.4945</v>
      </c>
      <c r="J67" s="332"/>
      <c r="K67" s="344">
        <f>4700*0.85*1.19</f>
        <v>4754.05</v>
      </c>
      <c r="L67" s="333" t="s">
        <v>1630</v>
      </c>
      <c r="M67" s="344">
        <f>4700*0.85*1.19</f>
        <v>4754.05</v>
      </c>
      <c r="N67" s="332">
        <f t="shared" ref="N67:N69" si="74">K67*E67</f>
        <v>0</v>
      </c>
      <c r="O67" s="334"/>
      <c r="P67" s="335">
        <f t="shared" si="70"/>
        <v>0</v>
      </c>
      <c r="Q67" s="336">
        <f t="shared" si="72"/>
        <v>0</v>
      </c>
      <c r="R67" s="332">
        <v>9000.0</v>
      </c>
      <c r="S67" s="337">
        <f t="shared" si="73"/>
        <v>0.7904889228</v>
      </c>
      <c r="T67" s="338"/>
    </row>
    <row r="68">
      <c r="A68" s="126"/>
      <c r="B68" s="126"/>
      <c r="C68" s="288"/>
      <c r="D68" s="326"/>
      <c r="E68" s="327">
        <v>1.0</v>
      </c>
      <c r="F68" s="361" t="s">
        <v>2991</v>
      </c>
      <c r="G68" s="326"/>
      <c r="H68" s="360">
        <f t="shared" ref="H68:H69" si="75">26400*0.88*1.19</f>
        <v>27646.08</v>
      </c>
      <c r="I68" s="319">
        <f t="shared" ref="I68:I70" si="76">30884*0.85*1.19</f>
        <v>31239.166</v>
      </c>
      <c r="J68" s="332"/>
      <c r="K68" s="344">
        <f t="shared" ref="K68:K70" si="77">29000*0.85*1.19</f>
        <v>29333.5</v>
      </c>
      <c r="L68" s="333" t="s">
        <v>1630</v>
      </c>
      <c r="M68" s="344">
        <f t="shared" ref="M68:M70" si="78">29000*0.85*1.19</f>
        <v>29333.5</v>
      </c>
      <c r="N68" s="332">
        <f t="shared" si="74"/>
        <v>29333.5</v>
      </c>
      <c r="O68" s="334">
        <v>35000.0</v>
      </c>
      <c r="P68" s="335">
        <f t="shared" si="70"/>
        <v>0</v>
      </c>
      <c r="Q68" s="336">
        <f t="shared" si="72"/>
        <v>1470000000</v>
      </c>
      <c r="R68" s="332">
        <v>42000.0</v>
      </c>
      <c r="S68" s="337">
        <f t="shared" si="73"/>
        <v>0.5192027224</v>
      </c>
      <c r="T68" s="338"/>
    </row>
    <row r="69">
      <c r="A69" s="126"/>
      <c r="B69" s="126"/>
      <c r="C69" s="288"/>
      <c r="D69" s="326"/>
      <c r="E69" s="327">
        <v>1.0</v>
      </c>
      <c r="F69" s="361" t="s">
        <v>2992</v>
      </c>
      <c r="G69" s="332"/>
      <c r="H69" s="360">
        <f t="shared" si="75"/>
        <v>27646.08</v>
      </c>
      <c r="I69" s="344">
        <f t="shared" si="76"/>
        <v>31239.166</v>
      </c>
      <c r="J69" s="344">
        <v>20000.0</v>
      </c>
      <c r="K69" s="344">
        <f t="shared" si="77"/>
        <v>29333.5</v>
      </c>
      <c r="L69" s="333" t="s">
        <v>1630</v>
      </c>
      <c r="M69" s="344">
        <f t="shared" si="78"/>
        <v>29333.5</v>
      </c>
      <c r="N69" s="332">
        <f t="shared" si="74"/>
        <v>29333.5</v>
      </c>
      <c r="O69" s="334">
        <v>35000.0</v>
      </c>
      <c r="P69" s="335">
        <f t="shared" si="70"/>
        <v>0</v>
      </c>
      <c r="Q69" s="336">
        <f t="shared" si="72"/>
        <v>1470000000</v>
      </c>
      <c r="R69" s="332">
        <v>42000.0</v>
      </c>
      <c r="S69" s="337">
        <f t="shared" si="73"/>
        <v>0.5192027224</v>
      </c>
      <c r="T69" s="338"/>
    </row>
    <row r="70">
      <c r="A70" s="126"/>
      <c r="B70" s="126"/>
      <c r="C70" s="288"/>
      <c r="D70" s="326"/>
      <c r="E70" s="327">
        <v>1.0</v>
      </c>
      <c r="F70" s="361" t="s">
        <v>2993</v>
      </c>
      <c r="G70" s="332"/>
      <c r="H70" s="341">
        <f>30000*0.88*1.19</f>
        <v>31416</v>
      </c>
      <c r="I70" s="319">
        <f t="shared" si="76"/>
        <v>31239.166</v>
      </c>
      <c r="J70" s="332"/>
      <c r="K70" s="344">
        <f t="shared" si="77"/>
        <v>29333.5</v>
      </c>
      <c r="L70" s="333" t="s">
        <v>1630</v>
      </c>
      <c r="M70" s="344">
        <f t="shared" si="78"/>
        <v>29333.5</v>
      </c>
      <c r="N70" s="332">
        <f>E70*K70</f>
        <v>29333.5</v>
      </c>
      <c r="O70" s="334">
        <v>35000.0</v>
      </c>
      <c r="P70" s="335">
        <f t="shared" si="70"/>
        <v>0</v>
      </c>
      <c r="Q70" s="336">
        <f t="shared" si="72"/>
        <v>1470000000</v>
      </c>
      <c r="R70" s="332">
        <v>42000.0</v>
      </c>
      <c r="S70" s="337">
        <f t="shared" si="73"/>
        <v>0.3368983957</v>
      </c>
      <c r="T70" s="338"/>
    </row>
    <row r="71" hidden="1">
      <c r="A71" s="126"/>
      <c r="B71" s="126"/>
      <c r="C71" s="288"/>
      <c r="D71" s="326"/>
      <c r="E71" s="327">
        <v>0.0</v>
      </c>
      <c r="F71" s="361" t="s">
        <v>2994</v>
      </c>
      <c r="G71" s="331"/>
      <c r="H71" s="341"/>
      <c r="I71" s="319"/>
      <c r="J71" s="332"/>
      <c r="K71" s="344"/>
      <c r="L71" s="333"/>
      <c r="M71" s="344"/>
      <c r="N71" s="332"/>
      <c r="O71" s="334"/>
      <c r="P71" s="335"/>
      <c r="Q71" s="336"/>
      <c r="R71" s="332">
        <v>42000.0</v>
      </c>
      <c r="S71" s="337"/>
      <c r="T71" s="338"/>
    </row>
    <row r="72" hidden="1">
      <c r="A72" s="126"/>
      <c r="B72" s="126"/>
      <c r="C72" s="288"/>
      <c r="D72" s="326"/>
      <c r="E72" s="327">
        <v>0.0</v>
      </c>
      <c r="F72" s="361" t="s">
        <v>2995</v>
      </c>
      <c r="G72" s="331"/>
      <c r="H72" s="341"/>
      <c r="I72" s="319"/>
      <c r="J72" s="332"/>
      <c r="K72" s="344"/>
      <c r="L72" s="333"/>
      <c r="M72" s="344"/>
      <c r="N72" s="332"/>
      <c r="O72" s="334"/>
      <c r="P72" s="335"/>
      <c r="Q72" s="336"/>
      <c r="R72" s="332">
        <v>42000.0</v>
      </c>
      <c r="S72" s="337"/>
      <c r="T72" s="338"/>
    </row>
    <row r="73" hidden="1">
      <c r="A73" s="126"/>
      <c r="B73" s="126"/>
      <c r="C73" s="288"/>
      <c r="D73" s="326"/>
      <c r="E73" s="327">
        <v>0.0</v>
      </c>
      <c r="F73" s="361" t="s">
        <v>2996</v>
      </c>
      <c r="G73" s="331"/>
      <c r="H73" s="341">
        <f t="shared" ref="H73:H76" si="79">30000*0.88*1.19</f>
        <v>31416</v>
      </c>
      <c r="I73" s="319">
        <f t="shared" ref="I73:I76" si="80">30884*0.85*1.19</f>
        <v>31239.166</v>
      </c>
      <c r="J73" s="332"/>
      <c r="K73" s="344">
        <f t="shared" ref="K73:K76" si="81">29000*0.85*1.19</f>
        <v>29333.5</v>
      </c>
      <c r="L73" s="333" t="s">
        <v>1630</v>
      </c>
      <c r="M73" s="344">
        <f t="shared" ref="M73:M76" si="82">29000*0.85*1.19</f>
        <v>29333.5</v>
      </c>
      <c r="N73" s="332">
        <f>E73*J73</f>
        <v>0</v>
      </c>
      <c r="O73" s="334">
        <v>35000.0</v>
      </c>
      <c r="P73" s="335">
        <f t="shared" ref="P73:P77" si="83">C73*K73</f>
        <v>0</v>
      </c>
      <c r="Q73" s="336">
        <f t="shared" ref="Q73:Q77" si="84">R73*O73</f>
        <v>1470000000</v>
      </c>
      <c r="R73" s="332">
        <v>42000.0</v>
      </c>
      <c r="S73" s="337">
        <f t="shared" ref="S73:S77" si="85">(R73/H73)-1</f>
        <v>0.3368983957</v>
      </c>
      <c r="T73" s="338"/>
    </row>
    <row r="74">
      <c r="A74" s="126"/>
      <c r="B74" s="126"/>
      <c r="C74" s="288"/>
      <c r="D74" s="326"/>
      <c r="E74" s="327">
        <v>1.0</v>
      </c>
      <c r="F74" s="361" t="s">
        <v>2997</v>
      </c>
      <c r="G74" s="331"/>
      <c r="H74" s="341">
        <f t="shared" si="79"/>
        <v>31416</v>
      </c>
      <c r="I74" s="319">
        <f t="shared" si="80"/>
        <v>31239.166</v>
      </c>
      <c r="J74" s="332"/>
      <c r="K74" s="344">
        <f t="shared" si="81"/>
        <v>29333.5</v>
      </c>
      <c r="L74" s="333" t="s">
        <v>1630</v>
      </c>
      <c r="M74" s="344">
        <f t="shared" si="82"/>
        <v>29333.5</v>
      </c>
      <c r="N74" s="332">
        <f>E74*K74</f>
        <v>29333.5</v>
      </c>
      <c r="O74" s="334">
        <v>35000.0</v>
      </c>
      <c r="P74" s="335">
        <f t="shared" si="83"/>
        <v>0</v>
      </c>
      <c r="Q74" s="336">
        <f t="shared" si="84"/>
        <v>1470000000</v>
      </c>
      <c r="R74" s="332">
        <v>42000.0</v>
      </c>
      <c r="S74" s="337">
        <f t="shared" si="85"/>
        <v>0.3368983957</v>
      </c>
      <c r="T74" s="338"/>
    </row>
    <row r="75" hidden="1">
      <c r="A75" s="126"/>
      <c r="B75" s="126"/>
      <c r="C75" s="288"/>
      <c r="D75" s="326"/>
      <c r="E75" s="327">
        <v>5.0</v>
      </c>
      <c r="F75" s="361" t="s">
        <v>2998</v>
      </c>
      <c r="G75" s="331"/>
      <c r="H75" s="341">
        <f t="shared" si="79"/>
        <v>31416</v>
      </c>
      <c r="I75" s="344">
        <f t="shared" si="80"/>
        <v>31239.166</v>
      </c>
      <c r="J75" s="332"/>
      <c r="K75" s="344">
        <f t="shared" si="81"/>
        <v>29333.5</v>
      </c>
      <c r="L75" s="333" t="s">
        <v>1630</v>
      </c>
      <c r="M75" s="344">
        <f t="shared" si="82"/>
        <v>29333.5</v>
      </c>
      <c r="N75" s="332">
        <f t="shared" ref="N75:N77" si="86">K75*E75</f>
        <v>146667.5</v>
      </c>
      <c r="O75" s="334">
        <v>35000.0</v>
      </c>
      <c r="P75" s="335">
        <f t="shared" si="83"/>
        <v>0</v>
      </c>
      <c r="Q75" s="336">
        <f t="shared" si="84"/>
        <v>1470000000</v>
      </c>
      <c r="R75" s="332">
        <v>42000.0</v>
      </c>
      <c r="S75" s="337">
        <f t="shared" si="85"/>
        <v>0.3368983957</v>
      </c>
      <c r="T75" s="338"/>
    </row>
    <row r="76" hidden="1">
      <c r="A76" s="126"/>
      <c r="B76" s="126"/>
      <c r="C76" s="287"/>
      <c r="D76" s="326"/>
      <c r="E76" s="327">
        <v>0.0</v>
      </c>
      <c r="F76" s="361" t="s">
        <v>2999</v>
      </c>
      <c r="G76" s="331"/>
      <c r="H76" s="341">
        <f t="shared" si="79"/>
        <v>31416</v>
      </c>
      <c r="I76" s="344">
        <f t="shared" si="80"/>
        <v>31239.166</v>
      </c>
      <c r="J76" s="332"/>
      <c r="K76" s="344">
        <f t="shared" si="81"/>
        <v>29333.5</v>
      </c>
      <c r="L76" s="333" t="s">
        <v>1630</v>
      </c>
      <c r="M76" s="344">
        <f t="shared" si="82"/>
        <v>29333.5</v>
      </c>
      <c r="N76" s="332">
        <f t="shared" si="86"/>
        <v>0</v>
      </c>
      <c r="O76" s="334">
        <v>35000.0</v>
      </c>
      <c r="P76" s="335">
        <f t="shared" si="83"/>
        <v>0</v>
      </c>
      <c r="Q76" s="336">
        <f t="shared" si="84"/>
        <v>1470000000</v>
      </c>
      <c r="R76" s="332">
        <v>42000.0</v>
      </c>
      <c r="S76" s="337">
        <f t="shared" si="85"/>
        <v>0.3368983957</v>
      </c>
      <c r="T76" s="338"/>
    </row>
    <row r="77" hidden="1">
      <c r="A77" s="126"/>
      <c r="B77" s="126"/>
      <c r="C77" s="288"/>
      <c r="D77" s="326"/>
      <c r="E77" s="327">
        <v>20.0</v>
      </c>
      <c r="F77" s="339" t="s">
        <v>3000</v>
      </c>
      <c r="G77" s="329"/>
      <c r="H77" s="360">
        <f>4800*0.88*1.19</f>
        <v>5026.56</v>
      </c>
      <c r="I77" s="319">
        <f>6043*0.85*1.19</f>
        <v>6112.4945</v>
      </c>
      <c r="J77" s="343"/>
      <c r="K77" s="344">
        <f>4600*0.85*1.19</f>
        <v>4652.9</v>
      </c>
      <c r="L77" s="333" t="s">
        <v>1630</v>
      </c>
      <c r="M77" s="344">
        <f>4600*0.85*1.19</f>
        <v>4652.9</v>
      </c>
      <c r="N77" s="332">
        <f t="shared" si="86"/>
        <v>93058</v>
      </c>
      <c r="O77" s="334">
        <v>8000.0</v>
      </c>
      <c r="P77" s="335">
        <f t="shared" si="83"/>
        <v>0</v>
      </c>
      <c r="Q77" s="336">
        <f t="shared" si="84"/>
        <v>80000000</v>
      </c>
      <c r="R77" s="332">
        <v>10000.0</v>
      </c>
      <c r="S77" s="337">
        <f t="shared" si="85"/>
        <v>0.9894321365</v>
      </c>
      <c r="T77" s="338"/>
    </row>
    <row r="78" hidden="1">
      <c r="A78" s="126"/>
      <c r="B78" s="126"/>
      <c r="C78" s="288"/>
      <c r="D78" s="326"/>
      <c r="E78" s="327">
        <v>0.0</v>
      </c>
      <c r="F78" s="339" t="s">
        <v>3001</v>
      </c>
      <c r="G78" s="329"/>
      <c r="H78" s="341"/>
      <c r="I78" s="319"/>
      <c r="J78" s="343"/>
      <c r="K78" s="344"/>
      <c r="L78" s="333"/>
      <c r="M78" s="344"/>
      <c r="N78" s="332"/>
      <c r="O78" s="334">
        <v>8000.0</v>
      </c>
      <c r="P78" s="335"/>
      <c r="Q78" s="336"/>
      <c r="R78" s="332"/>
      <c r="S78" s="337"/>
      <c r="T78" s="338"/>
    </row>
    <row r="79" hidden="1">
      <c r="A79" s="126"/>
      <c r="B79" s="126"/>
      <c r="C79" s="287"/>
      <c r="D79" s="326"/>
      <c r="E79" s="327">
        <v>0.0</v>
      </c>
      <c r="F79" s="339" t="s">
        <v>3002</v>
      </c>
      <c r="G79" s="331"/>
      <c r="H79" s="344">
        <f>4800*1.19*0.88</f>
        <v>5026.56</v>
      </c>
      <c r="I79" s="331">
        <v>5223.0</v>
      </c>
      <c r="J79" s="343"/>
      <c r="K79" s="319"/>
      <c r="L79" s="333" t="s">
        <v>2918</v>
      </c>
      <c r="M79" s="344">
        <f>4800*1.19*0.88</f>
        <v>5026.56</v>
      </c>
      <c r="N79" s="332">
        <f>E79*H79</f>
        <v>0</v>
      </c>
      <c r="O79" s="334"/>
      <c r="P79" s="335">
        <f>H79*O79</f>
        <v>0</v>
      </c>
      <c r="Q79" s="336">
        <f t="shared" ref="Q79:Q84" si="87">R79*O79</f>
        <v>0</v>
      </c>
      <c r="R79" s="332">
        <v>9000.0</v>
      </c>
      <c r="S79" s="337">
        <f t="shared" ref="S79:S83" si="88">(R79/H79)-1</f>
        <v>0.7904889228</v>
      </c>
      <c r="T79" s="338"/>
    </row>
    <row r="80" hidden="1">
      <c r="A80" s="126"/>
      <c r="B80" s="126"/>
      <c r="C80" s="288"/>
      <c r="D80" s="326"/>
      <c r="E80" s="327">
        <v>10.0</v>
      </c>
      <c r="F80" s="359" t="s">
        <v>3003</v>
      </c>
      <c r="G80" s="331"/>
      <c r="H80" s="360">
        <f>4800*0.88*1.19</f>
        <v>5026.56</v>
      </c>
      <c r="I80" s="331">
        <v>3266.0</v>
      </c>
      <c r="J80" s="332"/>
      <c r="K80" s="344">
        <f>4600*0.85*1.19</f>
        <v>4652.9</v>
      </c>
      <c r="L80" s="333" t="s">
        <v>1630</v>
      </c>
      <c r="M80" s="344">
        <f>4600*0.85*1.19</f>
        <v>4652.9</v>
      </c>
      <c r="N80" s="332">
        <f>I80*E80</f>
        <v>32660</v>
      </c>
      <c r="O80" s="334"/>
      <c r="P80" s="335">
        <f>C80*K80</f>
        <v>0</v>
      </c>
      <c r="Q80" s="336">
        <f t="shared" si="87"/>
        <v>0</v>
      </c>
      <c r="R80" s="332">
        <v>9000.0</v>
      </c>
      <c r="S80" s="337">
        <f t="shared" si="88"/>
        <v>0.7904889228</v>
      </c>
      <c r="T80" s="338"/>
    </row>
    <row r="81" hidden="1">
      <c r="A81" s="126"/>
      <c r="B81" s="126"/>
      <c r="C81" s="288"/>
      <c r="D81" s="327">
        <v>10.0</v>
      </c>
      <c r="E81" s="327"/>
      <c r="F81" s="346" t="s">
        <v>3004</v>
      </c>
      <c r="G81" s="331" t="s">
        <v>3005</v>
      </c>
      <c r="H81" s="357">
        <f t="shared" ref="H81:H83" si="89">4600*1.19*0.88</f>
        <v>4817.12</v>
      </c>
      <c r="I81" s="331"/>
      <c r="J81" s="351">
        <v>3740.0</v>
      </c>
      <c r="K81" s="355"/>
      <c r="L81" s="333" t="s">
        <v>2909</v>
      </c>
      <c r="M81" s="351">
        <v>3740.0</v>
      </c>
      <c r="N81" s="332">
        <f t="shared" ref="N81:N83" si="90">E81*J81</f>
        <v>0</v>
      </c>
      <c r="O81" s="334"/>
      <c r="P81" s="335">
        <f t="shared" ref="P81:P84" si="91">K81*O81</f>
        <v>0</v>
      </c>
      <c r="Q81" s="336">
        <f t="shared" si="87"/>
        <v>0</v>
      </c>
      <c r="R81" s="332">
        <v>9000.0</v>
      </c>
      <c r="S81" s="337">
        <f t="shared" si="88"/>
        <v>0.8683362673</v>
      </c>
      <c r="T81" s="338"/>
    </row>
    <row r="82" hidden="1">
      <c r="A82" s="126"/>
      <c r="B82" s="126"/>
      <c r="C82" s="288"/>
      <c r="D82" s="327">
        <v>10.0</v>
      </c>
      <c r="E82" s="327"/>
      <c r="F82" s="346" t="s">
        <v>3006</v>
      </c>
      <c r="G82" s="331" t="s">
        <v>3005</v>
      </c>
      <c r="H82" s="357">
        <f t="shared" si="89"/>
        <v>4817.12</v>
      </c>
      <c r="I82" s="331"/>
      <c r="J82" s="351">
        <v>3740.0</v>
      </c>
      <c r="K82" s="355"/>
      <c r="L82" s="333" t="s">
        <v>2909</v>
      </c>
      <c r="M82" s="351">
        <v>3740.0</v>
      </c>
      <c r="N82" s="332">
        <f t="shared" si="90"/>
        <v>0</v>
      </c>
      <c r="O82" s="334"/>
      <c r="P82" s="335">
        <f t="shared" si="91"/>
        <v>0</v>
      </c>
      <c r="Q82" s="336">
        <f t="shared" si="87"/>
        <v>0</v>
      </c>
      <c r="R82" s="332">
        <v>9000.0</v>
      </c>
      <c r="S82" s="337">
        <f t="shared" si="88"/>
        <v>0.8683362673</v>
      </c>
      <c r="T82" s="338"/>
    </row>
    <row r="83" hidden="1">
      <c r="A83" s="126"/>
      <c r="B83" s="126"/>
      <c r="C83" s="288"/>
      <c r="D83" s="326"/>
      <c r="E83" s="327">
        <v>0.0</v>
      </c>
      <c r="F83" s="346" t="s">
        <v>3007</v>
      </c>
      <c r="G83" s="331"/>
      <c r="H83" s="357">
        <f t="shared" si="89"/>
        <v>4817.12</v>
      </c>
      <c r="I83" s="331"/>
      <c r="J83" s="351">
        <v>3740.0</v>
      </c>
      <c r="K83" s="355"/>
      <c r="L83" s="333" t="s">
        <v>2909</v>
      </c>
      <c r="M83" s="351">
        <v>3740.0</v>
      </c>
      <c r="N83" s="332">
        <f t="shared" si="90"/>
        <v>0</v>
      </c>
      <c r="O83" s="334"/>
      <c r="P83" s="335">
        <f t="shared" si="91"/>
        <v>0</v>
      </c>
      <c r="Q83" s="336">
        <f t="shared" si="87"/>
        <v>0</v>
      </c>
      <c r="R83" s="332">
        <v>9000.0</v>
      </c>
      <c r="S83" s="337">
        <f t="shared" si="88"/>
        <v>0.8683362673</v>
      </c>
      <c r="T83" s="338"/>
    </row>
    <row r="84" hidden="1">
      <c r="A84" s="126"/>
      <c r="B84" s="167"/>
      <c r="C84" s="288"/>
      <c r="D84" s="326"/>
      <c r="E84" s="327">
        <v>20.0</v>
      </c>
      <c r="F84" s="346" t="s">
        <v>3008</v>
      </c>
      <c r="G84" s="331"/>
      <c r="H84" s="319" t="s">
        <v>611</v>
      </c>
      <c r="I84" s="363" t="s">
        <v>2927</v>
      </c>
      <c r="J84" s="347"/>
      <c r="K84" s="319"/>
      <c r="L84" s="333"/>
      <c r="M84" s="332"/>
      <c r="N84" s="332"/>
      <c r="O84" s="334"/>
      <c r="P84" s="335">
        <f t="shared" si="91"/>
        <v>0</v>
      </c>
      <c r="Q84" s="336">
        <f t="shared" si="87"/>
        <v>0</v>
      </c>
      <c r="R84" s="332">
        <v>9000.0</v>
      </c>
      <c r="S84" s="337"/>
      <c r="T84" s="338"/>
    </row>
    <row r="85" hidden="1">
      <c r="A85" s="126"/>
      <c r="B85" s="167"/>
      <c r="C85" s="288"/>
      <c r="D85" s="326"/>
      <c r="E85" s="327">
        <v>20.0</v>
      </c>
      <c r="F85" s="346" t="s">
        <v>3009</v>
      </c>
      <c r="G85" s="331"/>
      <c r="H85" s="319" t="s">
        <v>611</v>
      </c>
      <c r="I85" s="363" t="s">
        <v>2927</v>
      </c>
      <c r="J85" s="347"/>
      <c r="K85" s="319"/>
      <c r="L85" s="333"/>
      <c r="M85" s="332"/>
      <c r="N85" s="332"/>
      <c r="O85" s="334"/>
      <c r="P85" s="335"/>
      <c r="Q85" s="336"/>
      <c r="R85" s="332">
        <v>9000.0</v>
      </c>
      <c r="S85" s="337"/>
      <c r="T85" s="338"/>
    </row>
    <row r="86" hidden="1">
      <c r="A86" s="126"/>
      <c r="B86" s="126"/>
      <c r="C86" s="287"/>
      <c r="D86" s="326"/>
      <c r="E86" s="327">
        <v>0.0</v>
      </c>
      <c r="F86" s="346" t="s">
        <v>3010</v>
      </c>
      <c r="G86" s="329"/>
      <c r="H86" s="319">
        <f t="shared" ref="H86:H87" si="92">21500*0.88*1.19</f>
        <v>22514.8</v>
      </c>
      <c r="I86" s="319">
        <f>24071*0.85*1.19</f>
        <v>24347.8165</v>
      </c>
      <c r="J86" s="332"/>
      <c r="K86" s="344">
        <f>22000*0.85*1.19</f>
        <v>22253</v>
      </c>
      <c r="L86" s="333" t="s">
        <v>1630</v>
      </c>
      <c r="M86" s="344">
        <f>22000*0.85*1.19</f>
        <v>22253</v>
      </c>
      <c r="N86" s="332">
        <f>K86*E86</f>
        <v>0</v>
      </c>
      <c r="O86" s="334"/>
      <c r="P86" s="335">
        <f t="shared" ref="P86:P88" si="93">C86*K86</f>
        <v>0</v>
      </c>
      <c r="Q86" s="336">
        <f t="shared" ref="Q86:Q100" si="94">R86*O86</f>
        <v>0</v>
      </c>
      <c r="R86" s="332">
        <v>40000.0</v>
      </c>
      <c r="S86" s="337">
        <f t="shared" ref="S86:S88" si="95">(R86/H86)-1</f>
        <v>0.7766091638</v>
      </c>
      <c r="T86" s="338"/>
    </row>
    <row r="87">
      <c r="A87" s="126"/>
      <c r="B87" s="126"/>
      <c r="C87" s="326"/>
      <c r="D87" s="326">
        <v>20.0</v>
      </c>
      <c r="E87" s="327">
        <v>1.0</v>
      </c>
      <c r="F87" s="346" t="s">
        <v>3011</v>
      </c>
      <c r="G87" s="348"/>
      <c r="H87" s="344">
        <f t="shared" si="92"/>
        <v>22514.8</v>
      </c>
      <c r="I87" s="319">
        <f>26620*0.85*1.19</f>
        <v>26926.13</v>
      </c>
      <c r="J87" s="351">
        <v>17000.0</v>
      </c>
      <c r="K87" s="344">
        <f>21000*0.85*1.19</f>
        <v>21241.5</v>
      </c>
      <c r="L87" s="333" t="s">
        <v>2909</v>
      </c>
      <c r="M87" s="351">
        <v>17000.0</v>
      </c>
      <c r="N87" s="332">
        <f>E87*H87</f>
        <v>22514.8</v>
      </c>
      <c r="O87" s="334">
        <v>32000.0</v>
      </c>
      <c r="P87" s="335">
        <f t="shared" si="93"/>
        <v>0</v>
      </c>
      <c r="Q87" s="336">
        <f t="shared" si="94"/>
        <v>1152000000</v>
      </c>
      <c r="R87" s="332">
        <v>36000.0</v>
      </c>
      <c r="S87" s="337">
        <f t="shared" si="95"/>
        <v>0.5989482474</v>
      </c>
      <c r="T87" s="338"/>
    </row>
    <row r="88" hidden="1">
      <c r="A88" s="167"/>
      <c r="B88" s="126"/>
      <c r="C88" s="288"/>
      <c r="D88" s="326"/>
      <c r="E88" s="364">
        <v>20.0</v>
      </c>
      <c r="F88" s="346" t="s">
        <v>3012</v>
      </c>
      <c r="G88" s="326" t="s">
        <v>2953</v>
      </c>
      <c r="H88" s="350">
        <f>17700*1.19*0.88</f>
        <v>18535.44</v>
      </c>
      <c r="I88" s="344">
        <f t="shared" ref="I88:I89" si="96">22048*1.19*0.85</f>
        <v>22301.552</v>
      </c>
      <c r="J88" s="347"/>
      <c r="K88" s="344">
        <f>20000*0.85*1.19</f>
        <v>20230</v>
      </c>
      <c r="L88" s="333" t="s">
        <v>1630</v>
      </c>
      <c r="M88" s="344">
        <f>20000*0.85*1.19</f>
        <v>20230</v>
      </c>
      <c r="N88" s="332">
        <f>K88*E88</f>
        <v>404600</v>
      </c>
      <c r="O88" s="334">
        <v>30000.0</v>
      </c>
      <c r="P88" s="335">
        <f t="shared" si="93"/>
        <v>0</v>
      </c>
      <c r="Q88" s="336">
        <f t="shared" si="94"/>
        <v>1020000000</v>
      </c>
      <c r="R88" s="332">
        <v>34000.0</v>
      </c>
      <c r="S88" s="337">
        <f t="shared" si="95"/>
        <v>0.8343238682</v>
      </c>
      <c r="T88" s="338"/>
    </row>
    <row r="89" hidden="1">
      <c r="A89" s="126"/>
      <c r="B89" s="126"/>
      <c r="C89" s="287"/>
      <c r="D89" s="326"/>
      <c r="E89" s="327">
        <v>0.0</v>
      </c>
      <c r="F89" s="346" t="s">
        <v>3013</v>
      </c>
      <c r="G89" s="326" t="s">
        <v>3014</v>
      </c>
      <c r="H89" s="319" t="s">
        <v>611</v>
      </c>
      <c r="I89" s="344">
        <f t="shared" si="96"/>
        <v>22301.552</v>
      </c>
      <c r="J89" s="332"/>
      <c r="K89" s="319"/>
      <c r="L89" s="333" t="s">
        <v>3015</v>
      </c>
      <c r="M89" s="344">
        <f>22048*1.19*0.85</f>
        <v>22301.552</v>
      </c>
      <c r="N89" s="332">
        <f>E89*I89</f>
        <v>0</v>
      </c>
      <c r="O89" s="334"/>
      <c r="P89" s="335">
        <f>O89*I89</f>
        <v>0</v>
      </c>
      <c r="Q89" s="336">
        <f t="shared" si="94"/>
        <v>0</v>
      </c>
      <c r="R89" s="332">
        <v>32000.0</v>
      </c>
      <c r="S89" s="337">
        <f>(R89/I89)-1</f>
        <v>0.4348777161</v>
      </c>
      <c r="T89" s="338"/>
    </row>
    <row r="90">
      <c r="A90" s="126"/>
      <c r="B90" s="126"/>
      <c r="C90" s="288"/>
      <c r="D90" s="326"/>
      <c r="E90" s="327">
        <v>1.0</v>
      </c>
      <c r="F90" s="346" t="s">
        <v>3016</v>
      </c>
      <c r="G90" s="326"/>
      <c r="H90" s="319">
        <f>10000*0.88*1.19</f>
        <v>10472</v>
      </c>
      <c r="I90" s="351">
        <f>11527*0.85*1.19</f>
        <v>11659.5605</v>
      </c>
      <c r="J90" s="351">
        <v>4000.0</v>
      </c>
      <c r="K90" s="344">
        <f>8500*0.85*1.19</f>
        <v>8597.75</v>
      </c>
      <c r="L90" s="333" t="s">
        <v>2909</v>
      </c>
      <c r="M90" s="351">
        <v>4000.0</v>
      </c>
      <c r="N90" s="332">
        <f>E90*J90</f>
        <v>4000</v>
      </c>
      <c r="O90" s="334"/>
      <c r="P90" s="335">
        <f t="shared" ref="P90:P91" si="97">C90*K90</f>
        <v>0</v>
      </c>
      <c r="Q90" s="336">
        <f t="shared" si="94"/>
        <v>0</v>
      </c>
      <c r="R90" s="332">
        <v>13000.0</v>
      </c>
      <c r="S90" s="337">
        <f t="shared" ref="S90:S95" si="98">(R90/H90)-1</f>
        <v>0.2414056532</v>
      </c>
      <c r="T90" s="338"/>
    </row>
    <row r="91" hidden="1">
      <c r="A91" s="126"/>
      <c r="B91" s="126"/>
      <c r="C91" s="287"/>
      <c r="D91" s="326"/>
      <c r="E91" s="327">
        <v>0.0</v>
      </c>
      <c r="F91" s="346" t="s">
        <v>3017</v>
      </c>
      <c r="G91" s="326" t="s">
        <v>2953</v>
      </c>
      <c r="H91" s="365">
        <f t="shared" ref="H91:H92" si="99">1900*0.88*1.19</f>
        <v>1989.68</v>
      </c>
      <c r="I91" s="351">
        <v>2223.0</v>
      </c>
      <c r="J91" s="347"/>
      <c r="K91" s="344">
        <f>21600*0.85*1.19/12</f>
        <v>1820.7</v>
      </c>
      <c r="L91" s="333" t="s">
        <v>65</v>
      </c>
      <c r="M91" s="344">
        <f>21600*0.85*1.19/12</f>
        <v>1820.7</v>
      </c>
      <c r="N91" s="332">
        <f>K91*E91</f>
        <v>0</v>
      </c>
      <c r="O91" s="334"/>
      <c r="P91" s="335">
        <f t="shared" si="97"/>
        <v>0</v>
      </c>
      <c r="Q91" s="336">
        <f t="shared" si="94"/>
        <v>0</v>
      </c>
      <c r="R91" s="332">
        <v>5000.0</v>
      </c>
      <c r="S91" s="337">
        <f t="shared" si="98"/>
        <v>1.512966909</v>
      </c>
      <c r="T91" s="338"/>
    </row>
    <row r="92" hidden="1">
      <c r="A92" s="126"/>
      <c r="B92" s="126"/>
      <c r="C92" s="287"/>
      <c r="D92" s="326"/>
      <c r="E92" s="327">
        <v>0.0</v>
      </c>
      <c r="F92" s="346" t="s">
        <v>3018</v>
      </c>
      <c r="G92" s="331"/>
      <c r="H92" s="366">
        <f t="shared" si="99"/>
        <v>1989.68</v>
      </c>
      <c r="I92" s="354"/>
      <c r="J92" s="351"/>
      <c r="K92" s="319"/>
      <c r="L92" s="333"/>
      <c r="M92" s="332"/>
      <c r="N92" s="332">
        <f>E92*J92</f>
        <v>0</v>
      </c>
      <c r="O92" s="334"/>
      <c r="P92" s="335">
        <f>K92*O92</f>
        <v>0</v>
      </c>
      <c r="Q92" s="336">
        <f t="shared" si="94"/>
        <v>0</v>
      </c>
      <c r="R92" s="332">
        <v>5000.0</v>
      </c>
      <c r="S92" s="337">
        <f t="shared" si="98"/>
        <v>1.512966909</v>
      </c>
      <c r="T92" s="338"/>
    </row>
    <row r="93">
      <c r="A93" s="126"/>
      <c r="B93" s="126"/>
      <c r="C93" s="288"/>
      <c r="D93" s="326"/>
      <c r="E93" s="327">
        <v>1.0</v>
      </c>
      <c r="F93" s="346" t="s">
        <v>3019</v>
      </c>
      <c r="G93" s="332"/>
      <c r="H93" s="365">
        <f>3700*0.88*1.19</f>
        <v>3874.64</v>
      </c>
      <c r="I93" s="357">
        <f>2725*0.85*1.19</f>
        <v>2756.3375</v>
      </c>
      <c r="J93" s="332"/>
      <c r="K93" s="344">
        <f>3500*0.85*1.19</f>
        <v>3540.25</v>
      </c>
      <c r="L93" s="333" t="s">
        <v>1630</v>
      </c>
      <c r="M93" s="344">
        <f>3500*0.85*1.19</f>
        <v>3540.25</v>
      </c>
      <c r="N93" s="332">
        <f>K93*E93</f>
        <v>3540.25</v>
      </c>
      <c r="O93" s="334">
        <v>5000.0</v>
      </c>
      <c r="P93" s="335">
        <f t="shared" ref="P93:P95" si="100">C93*K93</f>
        <v>0</v>
      </c>
      <c r="Q93" s="336">
        <f t="shared" si="94"/>
        <v>35000000</v>
      </c>
      <c r="R93" s="332">
        <v>7000.0</v>
      </c>
      <c r="S93" s="337">
        <f t="shared" si="98"/>
        <v>0.8066194537</v>
      </c>
      <c r="T93" s="338"/>
    </row>
    <row r="94" hidden="1">
      <c r="A94" s="126"/>
      <c r="B94" s="126"/>
      <c r="C94" s="288"/>
      <c r="D94" s="327">
        <v>20.0</v>
      </c>
      <c r="E94" s="327"/>
      <c r="F94" s="346" t="s">
        <v>3020</v>
      </c>
      <c r="G94" s="326" t="s">
        <v>2953</v>
      </c>
      <c r="H94" s="319">
        <f>3900*0.88*1.19</f>
        <v>4084.08</v>
      </c>
      <c r="I94" s="319">
        <f>3507*1.19*0.85</f>
        <v>3547.3305</v>
      </c>
      <c r="J94" s="351">
        <v>2500.0</v>
      </c>
      <c r="K94" s="344">
        <f>3000*0.85*1.19</f>
        <v>3034.5</v>
      </c>
      <c r="L94" s="333" t="s">
        <v>2909</v>
      </c>
      <c r="M94" s="351">
        <v>2500.0</v>
      </c>
      <c r="N94" s="332">
        <f>E94*J94</f>
        <v>0</v>
      </c>
      <c r="O94" s="334"/>
      <c r="P94" s="335">
        <f t="shared" si="100"/>
        <v>0</v>
      </c>
      <c r="Q94" s="336">
        <f t="shared" si="94"/>
        <v>0</v>
      </c>
      <c r="R94" s="332">
        <v>7000.0</v>
      </c>
      <c r="S94" s="337">
        <f t="shared" si="98"/>
        <v>0.7139723022</v>
      </c>
      <c r="T94" s="338"/>
    </row>
    <row r="95" hidden="1">
      <c r="A95" s="126"/>
      <c r="B95" s="126"/>
      <c r="C95" s="287"/>
      <c r="D95" s="326"/>
      <c r="E95" s="327">
        <v>0.0</v>
      </c>
      <c r="F95" s="339" t="s">
        <v>3021</v>
      </c>
      <c r="G95" s="329"/>
      <c r="H95" s="344">
        <f>35000*0.88*1.19</f>
        <v>36652</v>
      </c>
      <c r="I95" s="319">
        <f>30474*0.85*1.19</f>
        <v>30824.451</v>
      </c>
      <c r="J95" s="332"/>
      <c r="K95" s="344">
        <f>32000*0.85*1.19</f>
        <v>32368</v>
      </c>
      <c r="L95" s="333" t="s">
        <v>1630</v>
      </c>
      <c r="M95" s="344">
        <f>32000*0.85*1.19</f>
        <v>32368</v>
      </c>
      <c r="N95" s="332">
        <f>K95*E95</f>
        <v>0</v>
      </c>
      <c r="O95" s="334"/>
      <c r="P95" s="335">
        <f t="shared" si="100"/>
        <v>0</v>
      </c>
      <c r="Q95" s="336">
        <f t="shared" si="94"/>
        <v>0</v>
      </c>
      <c r="R95" s="332">
        <v>48000.0</v>
      </c>
      <c r="S95" s="337">
        <f t="shared" si="98"/>
        <v>0.309614755</v>
      </c>
      <c r="T95" s="338"/>
    </row>
    <row r="96" hidden="1">
      <c r="A96" s="126"/>
      <c r="B96" s="126"/>
      <c r="C96" s="288"/>
      <c r="D96" s="326"/>
      <c r="E96" s="327">
        <v>0.0</v>
      </c>
      <c r="F96" s="339" t="s">
        <v>3022</v>
      </c>
      <c r="G96" s="331"/>
      <c r="H96" s="331"/>
      <c r="I96" s="331"/>
      <c r="J96" s="344">
        <v>4300.0</v>
      </c>
      <c r="K96" s="319"/>
      <c r="L96" s="333" t="s">
        <v>2909</v>
      </c>
      <c r="M96" s="344">
        <v>4300.0</v>
      </c>
      <c r="N96" s="332">
        <f>E96*J96</f>
        <v>0</v>
      </c>
      <c r="O96" s="334"/>
      <c r="P96" s="335">
        <f>K96*O96</f>
        <v>0</v>
      </c>
      <c r="Q96" s="336">
        <f t="shared" si="94"/>
        <v>0</v>
      </c>
      <c r="R96" s="332">
        <v>8000.0</v>
      </c>
      <c r="S96" s="337">
        <f>(R96/J96)-1</f>
        <v>0.8604651163</v>
      </c>
      <c r="T96" s="338"/>
    </row>
    <row r="97" hidden="1">
      <c r="A97" s="126"/>
      <c r="B97" s="126"/>
      <c r="C97" s="287"/>
      <c r="D97" s="326"/>
      <c r="E97" s="327">
        <v>5.0</v>
      </c>
      <c r="F97" s="359" t="s">
        <v>3023</v>
      </c>
      <c r="G97" s="329"/>
      <c r="H97" s="350">
        <f>32000*0.88*1.19</f>
        <v>33510.4</v>
      </c>
      <c r="I97" s="319">
        <f>37651*0.85*1.19</f>
        <v>38083.9865</v>
      </c>
      <c r="J97" s="343"/>
      <c r="K97" s="344">
        <f>34000*0.85*1.19</f>
        <v>34391</v>
      </c>
      <c r="L97" s="333" t="s">
        <v>1630</v>
      </c>
      <c r="M97" s="344">
        <f>34000*0.85*1.19</f>
        <v>34391</v>
      </c>
      <c r="N97" s="332">
        <f>K97*E97</f>
        <v>171955</v>
      </c>
      <c r="O97" s="334">
        <v>44000.0</v>
      </c>
      <c r="P97" s="335">
        <f t="shared" ref="P97:P99" si="101">C97*K97</f>
        <v>0</v>
      </c>
      <c r="Q97" s="336">
        <f t="shared" si="94"/>
        <v>2376000000</v>
      </c>
      <c r="R97" s="332">
        <v>54000.0</v>
      </c>
      <c r="S97" s="337">
        <f t="shared" ref="S97:S141" si="102">(R97/H97)-1</f>
        <v>0.6114400306</v>
      </c>
      <c r="T97" s="338"/>
    </row>
    <row r="98">
      <c r="A98" s="126"/>
      <c r="B98" s="126"/>
      <c r="C98" s="288"/>
      <c r="D98" s="326"/>
      <c r="E98" s="327">
        <v>1.0</v>
      </c>
      <c r="F98" s="339" t="s">
        <v>3024</v>
      </c>
      <c r="G98" s="326"/>
      <c r="H98" s="350">
        <f>9000*0.88*1.19</f>
        <v>9424.8</v>
      </c>
      <c r="I98" s="342">
        <f>13740*0.85*1.19</f>
        <v>13898.01</v>
      </c>
      <c r="J98" s="343"/>
      <c r="K98" s="344">
        <f>9500*0.85*1.19</f>
        <v>9609.25</v>
      </c>
      <c r="L98" s="333" t="s">
        <v>1630</v>
      </c>
      <c r="M98" s="344">
        <f>9500*0.85*1.19</f>
        <v>9609.25</v>
      </c>
      <c r="N98" s="332">
        <f>E98*K98</f>
        <v>9609.25</v>
      </c>
      <c r="O98" s="334">
        <v>15000.0</v>
      </c>
      <c r="P98" s="335">
        <f t="shared" si="101"/>
        <v>0</v>
      </c>
      <c r="Q98" s="336">
        <f t="shared" si="94"/>
        <v>300000000</v>
      </c>
      <c r="R98" s="332">
        <v>20000.0</v>
      </c>
      <c r="S98" s="337">
        <f t="shared" si="102"/>
        <v>1.122060946</v>
      </c>
      <c r="T98" s="338"/>
    </row>
    <row r="99" hidden="1">
      <c r="A99" s="126"/>
      <c r="B99" s="126"/>
      <c r="C99" s="288"/>
      <c r="D99" s="326">
        <v>15.0</v>
      </c>
      <c r="E99" s="327">
        <v>0.0</v>
      </c>
      <c r="F99" s="339" t="s">
        <v>3025</v>
      </c>
      <c r="G99" s="326" t="s">
        <v>2953</v>
      </c>
      <c r="H99" s="319">
        <f>5000*0.88*1.19</f>
        <v>5236</v>
      </c>
      <c r="I99" s="319">
        <f>5161*0.85*1.19</f>
        <v>5220.3515</v>
      </c>
      <c r="J99" s="344">
        <v>4300.0</v>
      </c>
      <c r="K99" s="344">
        <f>4600*0.85*1.19</f>
        <v>4652.9</v>
      </c>
      <c r="L99" s="333" t="s">
        <v>2909</v>
      </c>
      <c r="M99" s="344">
        <v>4300.0</v>
      </c>
      <c r="N99" s="332">
        <f t="shared" ref="N99:N100" si="103">E99*J99</f>
        <v>0</v>
      </c>
      <c r="O99" s="334">
        <v>7000.0</v>
      </c>
      <c r="P99" s="335">
        <f t="shared" si="101"/>
        <v>0</v>
      </c>
      <c r="Q99" s="336">
        <f t="shared" si="94"/>
        <v>63000000</v>
      </c>
      <c r="R99" s="332">
        <v>9000.0</v>
      </c>
      <c r="S99" s="337">
        <f t="shared" si="102"/>
        <v>0.7188693659</v>
      </c>
      <c r="T99" s="338"/>
    </row>
    <row r="100" hidden="1">
      <c r="A100" s="126"/>
      <c r="B100" s="167"/>
      <c r="C100" s="288"/>
      <c r="D100" s="326"/>
      <c r="E100" s="327">
        <v>5.0</v>
      </c>
      <c r="F100" s="339" t="s">
        <v>3026</v>
      </c>
      <c r="G100" s="326" t="s">
        <v>3014</v>
      </c>
      <c r="H100" s="344">
        <f>4800*0.88*1.19</f>
        <v>5026.56</v>
      </c>
      <c r="I100" s="331">
        <f>4343*0.85*1.19</f>
        <v>4392.9445</v>
      </c>
      <c r="J100" s="332"/>
      <c r="K100" s="319"/>
      <c r="L100" s="333" t="s">
        <v>3015</v>
      </c>
      <c r="M100" s="331">
        <f>4343*0.85*1.19</f>
        <v>4392.9445</v>
      </c>
      <c r="N100" s="332">
        <f t="shared" si="103"/>
        <v>0</v>
      </c>
      <c r="O100" s="334"/>
      <c r="P100" s="335">
        <f>H100*O100</f>
        <v>0</v>
      </c>
      <c r="Q100" s="336">
        <f t="shared" si="94"/>
        <v>0</v>
      </c>
      <c r="R100" s="332">
        <v>9000.0</v>
      </c>
      <c r="S100" s="337">
        <f t="shared" si="102"/>
        <v>0.7904889228</v>
      </c>
      <c r="T100" s="338"/>
    </row>
    <row r="101" hidden="1">
      <c r="A101" s="126"/>
      <c r="B101" s="126"/>
      <c r="C101" s="287"/>
      <c r="D101" s="326"/>
      <c r="E101" s="327">
        <v>0.0</v>
      </c>
      <c r="F101" s="346" t="s">
        <v>3027</v>
      </c>
      <c r="G101" s="331"/>
      <c r="H101" s="344"/>
      <c r="I101" s="319"/>
      <c r="J101" s="347"/>
      <c r="K101" s="344"/>
      <c r="L101" s="333"/>
      <c r="M101" s="332"/>
      <c r="N101" s="332"/>
      <c r="O101" s="334"/>
      <c r="P101" s="335"/>
      <c r="Q101" s="336"/>
      <c r="R101" s="332"/>
      <c r="S101" s="337" t="str">
        <f t="shared" si="102"/>
        <v>#DIV/0!</v>
      </c>
      <c r="T101" s="338"/>
    </row>
    <row r="102" hidden="1">
      <c r="A102" s="126"/>
      <c r="B102" s="167"/>
      <c r="C102" s="288"/>
      <c r="D102" s="326">
        <v>10.0</v>
      </c>
      <c r="E102" s="327">
        <v>0.0</v>
      </c>
      <c r="F102" s="346" t="s">
        <v>3028</v>
      </c>
      <c r="G102" s="331"/>
      <c r="H102" s="342">
        <f>18700*1.19*0.88</f>
        <v>19582.64</v>
      </c>
      <c r="I102" s="344">
        <f>25227*0.85*1.19</f>
        <v>25517.1105</v>
      </c>
      <c r="J102" s="351">
        <v>15000.0</v>
      </c>
      <c r="K102" s="344">
        <f>19000*0.85*1.19</f>
        <v>19218.5</v>
      </c>
      <c r="L102" s="333" t="s">
        <v>2909</v>
      </c>
      <c r="M102" s="351">
        <v>15000.0</v>
      </c>
      <c r="N102" s="332">
        <f>E102*H102</f>
        <v>0</v>
      </c>
      <c r="O102" s="334"/>
      <c r="P102" s="335">
        <f t="shared" ref="P102:P105" si="104">C102*K102</f>
        <v>0</v>
      </c>
      <c r="Q102" s="336">
        <f t="shared" ref="Q102:Q105" si="105">R102*O102</f>
        <v>0</v>
      </c>
      <c r="R102" s="332">
        <v>38000.0</v>
      </c>
      <c r="S102" s="337">
        <f t="shared" si="102"/>
        <v>0.9404942337</v>
      </c>
      <c r="T102" s="338"/>
    </row>
    <row r="103">
      <c r="A103" s="126"/>
      <c r="B103" s="126"/>
      <c r="C103" s="287"/>
      <c r="D103" s="326"/>
      <c r="E103" s="327">
        <v>1.0</v>
      </c>
      <c r="F103" s="339" t="s">
        <v>3029</v>
      </c>
      <c r="G103" s="326"/>
      <c r="H103" s="344">
        <f>5000*0.88*1.19</f>
        <v>5236</v>
      </c>
      <c r="I103" s="344">
        <f t="shared" ref="I103:I104" si="106">5260*0.85*1.19</f>
        <v>5320.49</v>
      </c>
      <c r="J103" s="343"/>
      <c r="K103" s="344">
        <f t="shared" ref="K103:K104" si="107">4600*0.85*1.19</f>
        <v>4652.9</v>
      </c>
      <c r="L103" s="333" t="s">
        <v>1630</v>
      </c>
      <c r="M103" s="344">
        <f t="shared" ref="M103:M104" si="108">4600*0.85*1.19</f>
        <v>4652.9</v>
      </c>
      <c r="N103" s="332">
        <f>E103*K103</f>
        <v>4652.9</v>
      </c>
      <c r="O103" s="334"/>
      <c r="P103" s="335">
        <f t="shared" si="104"/>
        <v>0</v>
      </c>
      <c r="Q103" s="336">
        <f t="shared" si="105"/>
        <v>0</v>
      </c>
      <c r="R103" s="332">
        <v>9000.0</v>
      </c>
      <c r="S103" s="337">
        <f t="shared" si="102"/>
        <v>0.7188693659</v>
      </c>
      <c r="T103" s="338"/>
    </row>
    <row r="104">
      <c r="A104" s="126"/>
      <c r="B104" s="126"/>
      <c r="C104" s="288"/>
      <c r="D104" s="326"/>
      <c r="E104" s="327">
        <v>1.0</v>
      </c>
      <c r="F104" s="339" t="s">
        <v>3030</v>
      </c>
      <c r="G104" s="332"/>
      <c r="H104" s="350">
        <f>4800*0.88*1.19</f>
        <v>5026.56</v>
      </c>
      <c r="I104" s="344">
        <f t="shared" si="106"/>
        <v>5320.49</v>
      </c>
      <c r="J104" s="332"/>
      <c r="K104" s="344">
        <f t="shared" si="107"/>
        <v>4652.9</v>
      </c>
      <c r="L104" s="333" t="s">
        <v>1630</v>
      </c>
      <c r="M104" s="344">
        <f t="shared" si="108"/>
        <v>4652.9</v>
      </c>
      <c r="N104" s="332">
        <f>K104*E104</f>
        <v>4652.9</v>
      </c>
      <c r="O104" s="334"/>
      <c r="P104" s="335">
        <f t="shared" si="104"/>
        <v>0</v>
      </c>
      <c r="Q104" s="336">
        <f t="shared" si="105"/>
        <v>0</v>
      </c>
      <c r="R104" s="332">
        <v>9000.0</v>
      </c>
      <c r="S104" s="337">
        <f t="shared" si="102"/>
        <v>0.7904889228</v>
      </c>
      <c r="T104" s="338"/>
    </row>
    <row r="105">
      <c r="A105" s="126"/>
      <c r="B105" s="126"/>
      <c r="C105" s="287"/>
      <c r="D105" s="327">
        <v>10.0</v>
      </c>
      <c r="E105" s="327">
        <v>1.0</v>
      </c>
      <c r="F105" s="346" t="s">
        <v>3031</v>
      </c>
      <c r="G105" s="332"/>
      <c r="H105" s="344">
        <f>26400*0.88*1.19</f>
        <v>27646.08</v>
      </c>
      <c r="I105" s="331">
        <f>29204*0.85*1.19</f>
        <v>29539.846</v>
      </c>
      <c r="J105" s="351">
        <v>20000.0</v>
      </c>
      <c r="K105" s="344">
        <f>25500*0.85*1.19</f>
        <v>25793.25</v>
      </c>
      <c r="L105" s="333" t="s">
        <v>2909</v>
      </c>
      <c r="M105" s="351">
        <v>20000.0</v>
      </c>
      <c r="N105" s="332">
        <f>E105*J105</f>
        <v>20000</v>
      </c>
      <c r="O105" s="334"/>
      <c r="P105" s="335">
        <f t="shared" si="104"/>
        <v>0</v>
      </c>
      <c r="Q105" s="336">
        <f t="shared" si="105"/>
        <v>0</v>
      </c>
      <c r="R105" s="332">
        <v>42000.0</v>
      </c>
      <c r="S105" s="337">
        <f t="shared" si="102"/>
        <v>0.5192027224</v>
      </c>
      <c r="T105" s="338"/>
    </row>
    <row r="106" hidden="1">
      <c r="A106" s="126"/>
      <c r="B106" s="126"/>
      <c r="C106" s="287"/>
      <c r="D106" s="326"/>
      <c r="E106" s="327">
        <v>0.0</v>
      </c>
      <c r="F106" s="339" t="s">
        <v>3032</v>
      </c>
      <c r="G106" s="329"/>
      <c r="H106" s="344"/>
      <c r="I106" s="356"/>
      <c r="J106" s="344"/>
      <c r="K106" s="344"/>
      <c r="L106" s="333"/>
      <c r="M106" s="344"/>
      <c r="N106" s="332"/>
      <c r="O106" s="334"/>
      <c r="P106" s="335"/>
      <c r="Q106" s="336"/>
      <c r="R106" s="332">
        <v>85000.0</v>
      </c>
      <c r="S106" s="337" t="str">
        <f t="shared" si="102"/>
        <v>#DIV/0!</v>
      </c>
      <c r="T106" s="338"/>
    </row>
    <row r="107">
      <c r="A107" s="126"/>
      <c r="B107" s="126"/>
      <c r="C107" s="288"/>
      <c r="D107" s="326"/>
      <c r="E107" s="327">
        <v>1.0</v>
      </c>
      <c r="F107" s="346" t="s">
        <v>3033</v>
      </c>
      <c r="G107" s="331"/>
      <c r="H107" s="350">
        <f t="shared" ref="H107:H108" si="109">7500*0.88*1.19</f>
        <v>7854</v>
      </c>
      <c r="I107" s="331">
        <v>8297.0</v>
      </c>
      <c r="J107" s="347"/>
      <c r="K107" s="344">
        <f t="shared" ref="K107:K108" si="110">8000*0.85*1.19</f>
        <v>8092</v>
      </c>
      <c r="L107" s="333" t="s">
        <v>2918</v>
      </c>
      <c r="M107" s="344">
        <f>7500*0.88*1.19</f>
        <v>7854</v>
      </c>
      <c r="N107" s="332">
        <f>E107*K107</f>
        <v>8092</v>
      </c>
      <c r="O107" s="334"/>
      <c r="P107" s="335">
        <f t="shared" ref="P107:P108" si="111">C107*K107</f>
        <v>0</v>
      </c>
      <c r="Q107" s="336">
        <f t="shared" ref="Q107:Q119" si="112">R107*O107</f>
        <v>0</v>
      </c>
      <c r="R107" s="332">
        <v>14000.0</v>
      </c>
      <c r="S107" s="337">
        <f t="shared" si="102"/>
        <v>0.7825311943</v>
      </c>
      <c r="T107" s="338"/>
    </row>
    <row r="108">
      <c r="A108" s="126"/>
      <c r="B108" s="126"/>
      <c r="C108" s="287"/>
      <c r="D108" s="326"/>
      <c r="E108" s="327">
        <v>1.0</v>
      </c>
      <c r="F108" s="346" t="s">
        <v>3034</v>
      </c>
      <c r="G108" s="331" t="s">
        <v>3035</v>
      </c>
      <c r="H108" s="344">
        <f t="shared" si="109"/>
        <v>7854</v>
      </c>
      <c r="I108" s="357">
        <f>8429*0.85*1.19</f>
        <v>8525.9335</v>
      </c>
      <c r="J108" s="351">
        <v>5800.0</v>
      </c>
      <c r="K108" s="344">
        <f t="shared" si="110"/>
        <v>8092</v>
      </c>
      <c r="L108" s="333" t="s">
        <v>2909</v>
      </c>
      <c r="M108" s="351">
        <v>5800.0</v>
      </c>
      <c r="N108" s="332">
        <f>E108*J108</f>
        <v>5800</v>
      </c>
      <c r="O108" s="334"/>
      <c r="P108" s="335">
        <f t="shared" si="111"/>
        <v>0</v>
      </c>
      <c r="Q108" s="336">
        <f t="shared" si="112"/>
        <v>0</v>
      </c>
      <c r="R108" s="332">
        <v>14000.0</v>
      </c>
      <c r="S108" s="337">
        <f t="shared" si="102"/>
        <v>0.7825311943</v>
      </c>
      <c r="T108" s="338"/>
    </row>
    <row r="109" hidden="1">
      <c r="A109" s="167"/>
      <c r="B109" s="126"/>
      <c r="C109" s="287"/>
      <c r="D109" s="326"/>
      <c r="E109" s="327">
        <v>0.0</v>
      </c>
      <c r="F109" s="339" t="s">
        <v>3036</v>
      </c>
      <c r="G109" s="331"/>
      <c r="H109" s="344">
        <f>17000*0.88*1.19</f>
        <v>17802.4</v>
      </c>
      <c r="I109" s="319">
        <f>18850*0.85*1.19</f>
        <v>19066.775</v>
      </c>
      <c r="J109" s="332"/>
      <c r="K109" s="319"/>
      <c r="L109" s="333" t="s">
        <v>2918</v>
      </c>
      <c r="M109" s="344">
        <f>17000*0.88*1.19</f>
        <v>17802.4</v>
      </c>
      <c r="N109" s="332">
        <f>E109*H109</f>
        <v>0</v>
      </c>
      <c r="O109" s="334">
        <v>28000.0</v>
      </c>
      <c r="P109" s="335">
        <f>H109*O109</f>
        <v>498467200</v>
      </c>
      <c r="Q109" s="336">
        <f t="shared" si="112"/>
        <v>952000000</v>
      </c>
      <c r="R109" s="332">
        <v>34000.0</v>
      </c>
      <c r="S109" s="337">
        <f t="shared" si="102"/>
        <v>0.909854851</v>
      </c>
      <c r="T109" s="338"/>
    </row>
    <row r="110">
      <c r="A110" s="126"/>
      <c r="B110" s="126"/>
      <c r="C110" s="288"/>
      <c r="D110" s="326"/>
      <c r="E110" s="327">
        <v>1.0</v>
      </c>
      <c r="F110" s="346" t="s">
        <v>3037</v>
      </c>
      <c r="G110" s="331"/>
      <c r="H110" s="350">
        <f t="shared" ref="H110:H111" si="113">6700*0.88*1.19</f>
        <v>7016.24</v>
      </c>
      <c r="I110" s="342">
        <f t="shared" ref="I110:I111" si="114">9023*0.85*1.19</f>
        <v>9126.7645</v>
      </c>
      <c r="J110" s="347"/>
      <c r="K110" s="344">
        <f t="shared" ref="K110:K111" si="115">7500*0.85*1.19</f>
        <v>7586.25</v>
      </c>
      <c r="L110" s="333" t="s">
        <v>2918</v>
      </c>
      <c r="M110" s="344">
        <f>6700*0.88*1.19</f>
        <v>7016.24</v>
      </c>
      <c r="N110" s="332">
        <f t="shared" ref="N110:N111" si="116">E110*K110</f>
        <v>7586.25</v>
      </c>
      <c r="O110" s="334">
        <v>11000.0</v>
      </c>
      <c r="P110" s="335">
        <f t="shared" ref="P110:P112" si="117">C110*K110</f>
        <v>0</v>
      </c>
      <c r="Q110" s="336">
        <f t="shared" si="112"/>
        <v>154000000</v>
      </c>
      <c r="R110" s="332">
        <v>14000.0</v>
      </c>
      <c r="S110" s="337">
        <f t="shared" si="102"/>
        <v>0.9953707399</v>
      </c>
      <c r="T110" s="338"/>
    </row>
    <row r="111">
      <c r="A111" s="126"/>
      <c r="B111" s="126"/>
      <c r="C111" s="287"/>
      <c r="D111" s="326"/>
      <c r="E111" s="327">
        <v>1.0</v>
      </c>
      <c r="F111" s="346" t="s">
        <v>3038</v>
      </c>
      <c r="G111" s="331"/>
      <c r="H111" s="350">
        <f t="shared" si="113"/>
        <v>7016.24</v>
      </c>
      <c r="I111" s="342">
        <f t="shared" si="114"/>
        <v>9126.7645</v>
      </c>
      <c r="J111" s="347"/>
      <c r="K111" s="344">
        <f t="shared" si="115"/>
        <v>7586.25</v>
      </c>
      <c r="L111" s="333" t="s">
        <v>1630</v>
      </c>
      <c r="M111" s="344">
        <f>7500*0.85*1.19</f>
        <v>7586.25</v>
      </c>
      <c r="N111" s="332">
        <f t="shared" si="116"/>
        <v>7586.25</v>
      </c>
      <c r="O111" s="334">
        <v>11000.0</v>
      </c>
      <c r="P111" s="335">
        <f t="shared" si="117"/>
        <v>0</v>
      </c>
      <c r="Q111" s="336">
        <f t="shared" si="112"/>
        <v>154000000</v>
      </c>
      <c r="R111" s="332">
        <v>14000.0</v>
      </c>
      <c r="S111" s="337">
        <f t="shared" si="102"/>
        <v>0.9953707399</v>
      </c>
      <c r="T111" s="338"/>
    </row>
    <row r="112" hidden="1">
      <c r="A112" s="126"/>
      <c r="B112" s="126"/>
      <c r="C112" s="287"/>
      <c r="D112" s="326"/>
      <c r="E112" s="327">
        <v>0.0</v>
      </c>
      <c r="F112" s="346" t="s">
        <v>3039</v>
      </c>
      <c r="G112" s="331"/>
      <c r="H112" s="350">
        <f>7600*1.19*0.88</f>
        <v>7958.72</v>
      </c>
      <c r="I112" s="319">
        <f>10524*1.19*0.85</f>
        <v>10645.026</v>
      </c>
      <c r="J112" s="347"/>
      <c r="K112" s="344">
        <f>8000*0.85*1.19</f>
        <v>8092</v>
      </c>
      <c r="L112" s="333" t="s">
        <v>2918</v>
      </c>
      <c r="M112" s="332">
        <v>7959.0</v>
      </c>
      <c r="N112" s="332">
        <f>K112*E112</f>
        <v>0</v>
      </c>
      <c r="O112" s="334">
        <v>14000.0</v>
      </c>
      <c r="P112" s="335">
        <f t="shared" si="117"/>
        <v>0</v>
      </c>
      <c r="Q112" s="336">
        <f t="shared" si="112"/>
        <v>252000000</v>
      </c>
      <c r="R112" s="332">
        <v>18000.0</v>
      </c>
      <c r="S112" s="337">
        <f t="shared" si="102"/>
        <v>1.261670218</v>
      </c>
      <c r="T112" s="338"/>
    </row>
    <row r="113" hidden="1">
      <c r="A113" s="126"/>
      <c r="B113" s="167"/>
      <c r="C113" s="287"/>
      <c r="D113" s="326"/>
      <c r="E113" s="327">
        <v>0.0</v>
      </c>
      <c r="F113" s="358" t="s">
        <v>3040</v>
      </c>
      <c r="G113" s="331" t="s">
        <v>3041</v>
      </c>
      <c r="H113" s="319">
        <f>10500*0.88*1.19</f>
        <v>10995.6</v>
      </c>
      <c r="I113" s="319">
        <f>18951*0.85*1.19</f>
        <v>19168.9365</v>
      </c>
      <c r="J113" s="343"/>
      <c r="K113" s="319"/>
      <c r="L113" s="333" t="s">
        <v>2918</v>
      </c>
      <c r="M113" s="319">
        <f>10500*0.88*1.19</f>
        <v>10995.6</v>
      </c>
      <c r="N113" s="332">
        <f>E113*H113</f>
        <v>0</v>
      </c>
      <c r="O113" s="334"/>
      <c r="P113" s="335">
        <f t="shared" ref="P113:P114" si="118">H113*O113</f>
        <v>0</v>
      </c>
      <c r="Q113" s="336">
        <f t="shared" si="112"/>
        <v>0</v>
      </c>
      <c r="R113" s="332">
        <v>34000.0</v>
      </c>
      <c r="S113" s="337">
        <f t="shared" si="102"/>
        <v>2.092145949</v>
      </c>
      <c r="T113" s="338"/>
    </row>
    <row r="114" hidden="1">
      <c r="A114" s="126"/>
      <c r="B114" s="126"/>
      <c r="C114" s="287"/>
      <c r="D114" s="326"/>
      <c r="E114" s="327">
        <v>0.0</v>
      </c>
      <c r="F114" s="339" t="s">
        <v>3042</v>
      </c>
      <c r="G114" s="331"/>
      <c r="H114" s="344">
        <f>22900*0.88*1.19</f>
        <v>23980.88</v>
      </c>
      <c r="I114" s="340">
        <f t="shared" ref="I114:I115" si="119">25227*0.85*1.19</f>
        <v>25517.1105</v>
      </c>
      <c r="J114" s="343"/>
      <c r="K114" s="319"/>
      <c r="L114" s="333" t="s">
        <v>2918</v>
      </c>
      <c r="M114" s="344">
        <f>22900*0.88*1.19</f>
        <v>23980.88</v>
      </c>
      <c r="N114" s="332">
        <f>E114*J114</f>
        <v>0</v>
      </c>
      <c r="O114" s="334">
        <v>32000.0</v>
      </c>
      <c r="P114" s="335">
        <f t="shared" si="118"/>
        <v>767388160</v>
      </c>
      <c r="Q114" s="336">
        <f t="shared" si="112"/>
        <v>1216000000</v>
      </c>
      <c r="R114" s="332">
        <v>38000.0</v>
      </c>
      <c r="S114" s="337">
        <f t="shared" si="102"/>
        <v>0.5845957279</v>
      </c>
      <c r="T114" s="338"/>
    </row>
    <row r="115" hidden="1">
      <c r="A115" s="126"/>
      <c r="B115" s="126"/>
      <c r="C115" s="287"/>
      <c r="D115" s="326"/>
      <c r="E115" s="327">
        <v>0.0</v>
      </c>
      <c r="F115" s="176" t="s">
        <v>3043</v>
      </c>
      <c r="G115" s="331"/>
      <c r="H115" s="344">
        <f>18700*0.88*1.19</f>
        <v>19582.64</v>
      </c>
      <c r="I115" s="340">
        <f t="shared" si="119"/>
        <v>25517.1105</v>
      </c>
      <c r="J115" s="349"/>
      <c r="K115" s="344">
        <f>18000*0.85*1.19</f>
        <v>18207</v>
      </c>
      <c r="L115" s="333" t="s">
        <v>1630</v>
      </c>
      <c r="M115" s="344">
        <f>18000*0.85*1.19</f>
        <v>18207</v>
      </c>
      <c r="N115" s="332">
        <f>K115*E115</f>
        <v>0</v>
      </c>
      <c r="O115" s="334"/>
      <c r="P115" s="335">
        <f>C115*K115</f>
        <v>0</v>
      </c>
      <c r="Q115" s="336">
        <f t="shared" si="112"/>
        <v>0</v>
      </c>
      <c r="R115" s="332">
        <v>38000.0</v>
      </c>
      <c r="S115" s="337">
        <f t="shared" si="102"/>
        <v>0.9404942337</v>
      </c>
      <c r="T115" s="338"/>
    </row>
    <row r="116" hidden="1">
      <c r="A116" s="126"/>
      <c r="B116" s="126"/>
      <c r="C116" s="288"/>
      <c r="D116" s="326"/>
      <c r="E116" s="327">
        <v>0.0</v>
      </c>
      <c r="F116" s="346" t="s">
        <v>3044</v>
      </c>
      <c r="G116" s="331"/>
      <c r="H116" s="319">
        <f>10500*1.19*0.88</f>
        <v>10995.6</v>
      </c>
      <c r="I116" s="319">
        <f>15784*1.19*0.85</f>
        <v>15965.516</v>
      </c>
      <c r="J116" s="351">
        <v>8500.0</v>
      </c>
      <c r="K116" s="319"/>
      <c r="L116" s="333" t="s">
        <v>2909</v>
      </c>
      <c r="M116" s="351">
        <v>8500.0</v>
      </c>
      <c r="N116" s="332">
        <f>E116*J116</f>
        <v>0</v>
      </c>
      <c r="O116" s="334"/>
      <c r="P116" s="335">
        <f>K116*O116</f>
        <v>0</v>
      </c>
      <c r="Q116" s="336">
        <f t="shared" si="112"/>
        <v>0</v>
      </c>
      <c r="R116" s="332">
        <v>16000.0</v>
      </c>
      <c r="S116" s="337">
        <f t="shared" si="102"/>
        <v>0.4551275055</v>
      </c>
      <c r="T116" s="367"/>
    </row>
    <row r="117">
      <c r="A117" s="126"/>
      <c r="B117" s="126"/>
      <c r="C117" s="288"/>
      <c r="D117" s="326"/>
      <c r="E117" s="327">
        <v>1.0</v>
      </c>
      <c r="F117" s="359" t="s">
        <v>3045</v>
      </c>
      <c r="G117" s="332"/>
      <c r="H117" s="319">
        <f>8800*1.19*0.88</f>
        <v>9215.36</v>
      </c>
      <c r="I117" s="319">
        <f>7168*1.19*0.85</f>
        <v>7250.432</v>
      </c>
      <c r="J117" s="332"/>
      <c r="K117" s="344">
        <f>8000*0.85*1.19</f>
        <v>8092</v>
      </c>
      <c r="L117" s="333" t="s">
        <v>1630</v>
      </c>
      <c r="M117" s="344">
        <f>8000*0.85*1.19</f>
        <v>8092</v>
      </c>
      <c r="N117" s="332">
        <f>K117*E117</f>
        <v>8092</v>
      </c>
      <c r="O117" s="334">
        <v>12000.0</v>
      </c>
      <c r="P117" s="335">
        <f t="shared" ref="P117:P119" si="120">C117*K117</f>
        <v>0</v>
      </c>
      <c r="Q117" s="336">
        <f t="shared" si="112"/>
        <v>192000000</v>
      </c>
      <c r="R117" s="332">
        <v>16000.0</v>
      </c>
      <c r="S117" s="337">
        <f t="shared" si="102"/>
        <v>0.7362316828</v>
      </c>
      <c r="T117" s="367"/>
    </row>
    <row r="118" hidden="1">
      <c r="A118" s="126"/>
      <c r="B118" s="126"/>
      <c r="C118" s="287"/>
      <c r="D118" s="326"/>
      <c r="E118" s="327">
        <v>5.0</v>
      </c>
      <c r="F118" s="328" t="s">
        <v>3046</v>
      </c>
      <c r="G118" s="331"/>
      <c r="H118" s="350">
        <f>9500*0.88*1.19</f>
        <v>9948.4</v>
      </c>
      <c r="I118" s="331">
        <f>9228*0.85*1.19</f>
        <v>9334.122</v>
      </c>
      <c r="J118" s="332"/>
      <c r="K118" s="344">
        <f>12000*0.85*1.19</f>
        <v>12138</v>
      </c>
      <c r="L118" s="333" t="s">
        <v>2918</v>
      </c>
      <c r="M118" s="344">
        <f>9500*0.88*1.19</f>
        <v>9948.4</v>
      </c>
      <c r="N118" s="332">
        <f>E118*J118</f>
        <v>0</v>
      </c>
      <c r="O118" s="334"/>
      <c r="P118" s="335">
        <f t="shared" si="120"/>
        <v>0</v>
      </c>
      <c r="Q118" s="336">
        <f t="shared" si="112"/>
        <v>0</v>
      </c>
      <c r="R118" s="332">
        <v>17000.0</v>
      </c>
      <c r="S118" s="337">
        <f t="shared" si="102"/>
        <v>0.7088174983</v>
      </c>
      <c r="T118" s="367"/>
    </row>
    <row r="119" hidden="1">
      <c r="A119" s="126"/>
      <c r="B119" s="126"/>
      <c r="C119" s="287"/>
      <c r="D119" s="326"/>
      <c r="E119" s="327">
        <v>0.0</v>
      </c>
      <c r="F119" s="339" t="s">
        <v>3047</v>
      </c>
      <c r="G119" s="331"/>
      <c r="H119" s="344">
        <f>10829*0.88</f>
        <v>9529.52</v>
      </c>
      <c r="I119" s="344">
        <f>9365*0.85*1.19</f>
        <v>9472.6975</v>
      </c>
      <c r="J119" s="332"/>
      <c r="K119" s="344">
        <f>8000*0.85*1.19</f>
        <v>8092</v>
      </c>
      <c r="L119" s="333" t="s">
        <v>1630</v>
      </c>
      <c r="M119" s="344">
        <f>8000*0.85*1.19</f>
        <v>8092</v>
      </c>
      <c r="N119" s="332">
        <f>K119*E119</f>
        <v>0</v>
      </c>
      <c r="O119" s="334"/>
      <c r="P119" s="335">
        <f t="shared" si="120"/>
        <v>0</v>
      </c>
      <c r="Q119" s="336">
        <f t="shared" si="112"/>
        <v>0</v>
      </c>
      <c r="R119" s="332">
        <v>14000.0</v>
      </c>
      <c r="S119" s="337">
        <f t="shared" si="102"/>
        <v>0.4691191162</v>
      </c>
      <c r="T119" s="367"/>
    </row>
    <row r="120" hidden="1">
      <c r="A120" s="126"/>
      <c r="B120" s="167"/>
      <c r="C120" s="287"/>
      <c r="D120" s="326"/>
      <c r="E120" s="327">
        <v>0.0</v>
      </c>
      <c r="F120" s="339" t="s">
        <v>3048</v>
      </c>
      <c r="G120" s="331"/>
      <c r="H120" s="319" t="s">
        <v>611</v>
      </c>
      <c r="I120" s="363" t="s">
        <v>2927</v>
      </c>
      <c r="J120" s="332"/>
      <c r="K120" s="319"/>
      <c r="L120" s="333"/>
      <c r="M120" s="332"/>
      <c r="N120" s="332"/>
      <c r="O120" s="334"/>
      <c r="P120" s="335"/>
      <c r="Q120" s="336"/>
      <c r="R120" s="332">
        <v>46000.0</v>
      </c>
      <c r="S120" s="337" t="str">
        <f t="shared" si="102"/>
        <v>#VALUE!</v>
      </c>
      <c r="T120" s="367"/>
    </row>
    <row r="121" hidden="1">
      <c r="A121" s="126"/>
      <c r="B121" s="126"/>
      <c r="C121" s="287"/>
      <c r="D121" s="327">
        <v>5.0</v>
      </c>
      <c r="E121" s="327"/>
      <c r="F121" s="346" t="s">
        <v>3049</v>
      </c>
      <c r="G121" s="331"/>
      <c r="H121" s="350">
        <f>26000*0.88*1.19</f>
        <v>27227.2</v>
      </c>
      <c r="I121" s="351">
        <f>27715*0.85*1.19</f>
        <v>28033.7225</v>
      </c>
      <c r="J121" s="344">
        <v>14000.0</v>
      </c>
      <c r="K121" s="344">
        <f>26000*0.85*1.19</f>
        <v>26299</v>
      </c>
      <c r="L121" s="333" t="s">
        <v>2909</v>
      </c>
      <c r="M121" s="344">
        <v>14000.0</v>
      </c>
      <c r="N121" s="332">
        <f>I121*E121</f>
        <v>0</v>
      </c>
      <c r="O121" s="334"/>
      <c r="P121" s="335">
        <f>C121*K121</f>
        <v>0</v>
      </c>
      <c r="Q121" s="336">
        <f>R121*O121</f>
        <v>0</v>
      </c>
      <c r="R121" s="332">
        <v>38000.0</v>
      </c>
      <c r="S121" s="337">
        <f t="shared" si="102"/>
        <v>0.3956631604</v>
      </c>
      <c r="T121" s="367"/>
    </row>
    <row r="122" hidden="1">
      <c r="A122" s="126"/>
      <c r="B122" s="126"/>
      <c r="C122" s="287"/>
      <c r="D122" s="326"/>
      <c r="E122" s="327">
        <v>0.0</v>
      </c>
      <c r="F122" s="339" t="s">
        <v>3050</v>
      </c>
      <c r="G122" s="331"/>
      <c r="H122" s="319" t="s">
        <v>611</v>
      </c>
      <c r="I122" s="363" t="s">
        <v>2927</v>
      </c>
      <c r="J122" s="343"/>
      <c r="K122" s="319"/>
      <c r="L122" s="333"/>
      <c r="M122" s="332"/>
      <c r="N122" s="332"/>
      <c r="O122" s="334"/>
      <c r="P122" s="335"/>
      <c r="Q122" s="336"/>
      <c r="R122" s="332">
        <v>10000.0</v>
      </c>
      <c r="S122" s="337" t="str">
        <f t="shared" si="102"/>
        <v>#VALUE!</v>
      </c>
      <c r="T122" s="367"/>
    </row>
    <row r="123">
      <c r="A123" s="126"/>
      <c r="B123" s="126"/>
      <c r="C123" s="287"/>
      <c r="D123" s="326"/>
      <c r="E123" s="327">
        <v>1.0</v>
      </c>
      <c r="F123" s="339" t="s">
        <v>3051</v>
      </c>
      <c r="G123" s="332"/>
      <c r="H123" s="344">
        <f>10500*0.88*1.19</f>
        <v>10995.6</v>
      </c>
      <c r="I123" s="319">
        <f>14256*0.85*1.19</f>
        <v>14419.944</v>
      </c>
      <c r="J123" s="343"/>
      <c r="K123" s="344">
        <f>6000*0.85*1.19</f>
        <v>6069</v>
      </c>
      <c r="L123" s="333" t="s">
        <v>1630</v>
      </c>
      <c r="M123" s="344">
        <f>6000*0.85*1.19</f>
        <v>6069</v>
      </c>
      <c r="N123" s="332">
        <f>K123*E123</f>
        <v>6069</v>
      </c>
      <c r="O123" s="334">
        <v>16000.0</v>
      </c>
      <c r="P123" s="335">
        <f>C123*K123</f>
        <v>0</v>
      </c>
      <c r="Q123" s="336"/>
      <c r="R123" s="332">
        <v>22000.0</v>
      </c>
      <c r="S123" s="337">
        <f t="shared" si="102"/>
        <v>1.00080032</v>
      </c>
      <c r="T123" s="367"/>
    </row>
    <row r="124" hidden="1">
      <c r="A124" s="126"/>
      <c r="B124" s="126"/>
      <c r="C124" s="287"/>
      <c r="D124" s="326"/>
      <c r="E124" s="327">
        <v>0.0</v>
      </c>
      <c r="F124" s="328" t="s">
        <v>3052</v>
      </c>
      <c r="G124" s="331"/>
      <c r="H124" s="319">
        <f>10115*0.88*1.19</f>
        <v>10592.428</v>
      </c>
      <c r="I124" s="331">
        <f>10849*0.85*1.19</f>
        <v>10973.7635</v>
      </c>
      <c r="J124" s="332"/>
      <c r="K124" s="319"/>
      <c r="L124" s="333" t="s">
        <v>2918</v>
      </c>
      <c r="M124" s="319">
        <f>10115*0.88*1.19</f>
        <v>10592.428</v>
      </c>
      <c r="N124" s="332">
        <f t="shared" ref="N124:N128" si="121">E124*J124</f>
        <v>0</v>
      </c>
      <c r="O124" s="334"/>
      <c r="P124" s="335">
        <f>H124*O124</f>
        <v>0</v>
      </c>
      <c r="Q124" s="336">
        <f t="shared" ref="Q124:Q141" si="122">R124*O124</f>
        <v>0</v>
      </c>
      <c r="R124" s="332">
        <v>16000.0</v>
      </c>
      <c r="S124" s="337">
        <f t="shared" si="102"/>
        <v>0.5105129815</v>
      </c>
      <c r="T124" s="367"/>
    </row>
    <row r="125" hidden="1">
      <c r="A125" s="126"/>
      <c r="B125" s="126"/>
      <c r="C125" s="288"/>
      <c r="D125" s="326"/>
      <c r="E125" s="327">
        <v>0.0</v>
      </c>
      <c r="F125" s="346" t="s">
        <v>3053</v>
      </c>
      <c r="G125" s="331"/>
      <c r="H125" s="344">
        <f t="shared" ref="H125:H129" si="123">5000*0.88*1.19</f>
        <v>5236</v>
      </c>
      <c r="I125" s="354"/>
      <c r="J125" s="347"/>
      <c r="K125" s="344">
        <f t="shared" ref="K125:K126" si="124">4600*0.85*1.19</f>
        <v>4652.9</v>
      </c>
      <c r="L125" s="333" t="s">
        <v>1630</v>
      </c>
      <c r="M125" s="344">
        <f>4600*0.85*1.19</f>
        <v>4652.9</v>
      </c>
      <c r="N125" s="332">
        <f t="shared" si="121"/>
        <v>0</v>
      </c>
      <c r="O125" s="334"/>
      <c r="P125" s="335">
        <f t="shared" ref="P125:P134" si="125">C125*K125</f>
        <v>0</v>
      </c>
      <c r="Q125" s="336">
        <f t="shared" si="122"/>
        <v>0</v>
      </c>
      <c r="R125" s="332">
        <v>9000.0</v>
      </c>
      <c r="S125" s="337">
        <f t="shared" si="102"/>
        <v>0.7188693659</v>
      </c>
      <c r="T125" s="367"/>
    </row>
    <row r="126" hidden="1">
      <c r="A126" s="126"/>
      <c r="B126" s="126"/>
      <c r="C126" s="288"/>
      <c r="D126" s="326"/>
      <c r="E126" s="327">
        <v>0.0</v>
      </c>
      <c r="F126" s="339" t="s">
        <v>3054</v>
      </c>
      <c r="G126" s="329"/>
      <c r="H126" s="319">
        <f t="shared" si="123"/>
        <v>5236</v>
      </c>
      <c r="I126" s="330">
        <f>6043*0.85*1.19</f>
        <v>6112.4945</v>
      </c>
      <c r="J126" s="344">
        <v>3300.0</v>
      </c>
      <c r="K126" s="344">
        <f t="shared" si="124"/>
        <v>4652.9</v>
      </c>
      <c r="L126" s="333" t="s">
        <v>2909</v>
      </c>
      <c r="M126" s="344">
        <v>3300.0</v>
      </c>
      <c r="N126" s="332">
        <f t="shared" si="121"/>
        <v>0</v>
      </c>
      <c r="O126" s="334"/>
      <c r="P126" s="335">
        <f t="shared" si="125"/>
        <v>0</v>
      </c>
      <c r="Q126" s="336">
        <f t="shared" si="122"/>
        <v>0</v>
      </c>
      <c r="R126" s="332">
        <v>10000.0</v>
      </c>
      <c r="S126" s="337">
        <f t="shared" si="102"/>
        <v>0.909854851</v>
      </c>
      <c r="T126" s="367"/>
    </row>
    <row r="127" hidden="1">
      <c r="A127" s="126"/>
      <c r="B127" s="126"/>
      <c r="C127" s="288"/>
      <c r="D127" s="326"/>
      <c r="E127" s="327">
        <v>0.0</v>
      </c>
      <c r="F127" s="328" t="s">
        <v>3055</v>
      </c>
      <c r="G127" s="331"/>
      <c r="H127" s="344">
        <f t="shared" si="123"/>
        <v>5236</v>
      </c>
      <c r="I127" s="331"/>
      <c r="J127" s="332"/>
      <c r="K127" s="344">
        <f t="shared" ref="K127:K129" si="126">5000*0.85*1.19</f>
        <v>5057.5</v>
      </c>
      <c r="L127" s="333" t="s">
        <v>1630</v>
      </c>
      <c r="M127" s="344">
        <f t="shared" ref="M127:M129" si="127">5000*0.85*1.19</f>
        <v>5057.5</v>
      </c>
      <c r="N127" s="332">
        <f t="shared" si="121"/>
        <v>0</v>
      </c>
      <c r="O127" s="334"/>
      <c r="P127" s="335">
        <f t="shared" si="125"/>
        <v>0</v>
      </c>
      <c r="Q127" s="336">
        <f t="shared" si="122"/>
        <v>0</v>
      </c>
      <c r="R127" s="332">
        <v>9000.0</v>
      </c>
      <c r="S127" s="337">
        <f t="shared" si="102"/>
        <v>0.7188693659</v>
      </c>
      <c r="T127" s="367"/>
    </row>
    <row r="128" hidden="1">
      <c r="A128" s="126"/>
      <c r="B128" s="126"/>
      <c r="C128" s="288"/>
      <c r="D128" s="326"/>
      <c r="E128" s="327">
        <v>0.0</v>
      </c>
      <c r="F128" s="328" t="s">
        <v>3056</v>
      </c>
      <c r="G128" s="368"/>
      <c r="H128" s="344">
        <f t="shared" si="123"/>
        <v>5236</v>
      </c>
      <c r="I128" s="331"/>
      <c r="J128" s="332"/>
      <c r="K128" s="344">
        <f t="shared" si="126"/>
        <v>5057.5</v>
      </c>
      <c r="L128" s="333" t="s">
        <v>1630</v>
      </c>
      <c r="M128" s="344">
        <f t="shared" si="127"/>
        <v>5057.5</v>
      </c>
      <c r="N128" s="332">
        <f t="shared" si="121"/>
        <v>0</v>
      </c>
      <c r="O128" s="334"/>
      <c r="P128" s="335">
        <f t="shared" si="125"/>
        <v>0</v>
      </c>
      <c r="Q128" s="336">
        <f t="shared" si="122"/>
        <v>0</v>
      </c>
      <c r="R128" s="332">
        <v>9000.0</v>
      </c>
      <c r="S128" s="337">
        <f t="shared" si="102"/>
        <v>0.7188693659</v>
      </c>
      <c r="T128" s="367"/>
    </row>
    <row r="129" hidden="1">
      <c r="A129" s="126"/>
      <c r="B129" s="126"/>
      <c r="C129" s="287"/>
      <c r="D129" s="326"/>
      <c r="E129" s="327">
        <v>0.0</v>
      </c>
      <c r="F129" s="339" t="s">
        <v>3057</v>
      </c>
      <c r="G129" s="368"/>
      <c r="H129" s="344">
        <f t="shared" si="123"/>
        <v>5236</v>
      </c>
      <c r="I129" s="331"/>
      <c r="J129" s="343"/>
      <c r="K129" s="344">
        <f t="shared" si="126"/>
        <v>5057.5</v>
      </c>
      <c r="L129" s="333" t="s">
        <v>1630</v>
      </c>
      <c r="M129" s="344">
        <f t="shared" si="127"/>
        <v>5057.5</v>
      </c>
      <c r="N129" s="332">
        <f>E129*H129</f>
        <v>0</v>
      </c>
      <c r="O129" s="334"/>
      <c r="P129" s="335">
        <f t="shared" si="125"/>
        <v>0</v>
      </c>
      <c r="Q129" s="336">
        <f t="shared" si="122"/>
        <v>0</v>
      </c>
      <c r="R129" s="332">
        <v>9000.0</v>
      </c>
      <c r="S129" s="337">
        <f t="shared" si="102"/>
        <v>0.7188693659</v>
      </c>
      <c r="T129" s="367"/>
    </row>
    <row r="130" hidden="1">
      <c r="A130" s="126"/>
      <c r="B130" s="126"/>
      <c r="C130" s="287"/>
      <c r="D130" s="326"/>
      <c r="E130" s="327">
        <v>0.0</v>
      </c>
      <c r="F130" s="339" t="s">
        <v>3058</v>
      </c>
      <c r="G130" s="331"/>
      <c r="H130" s="344">
        <f t="shared" ref="H130:H131" si="128">3970*0.88*1.19</f>
        <v>4157.384</v>
      </c>
      <c r="I130" s="331">
        <f>4672*0.85*1.19</f>
        <v>4725.728</v>
      </c>
      <c r="J130" s="332"/>
      <c r="K130" s="344">
        <f t="shared" ref="K130:K131" si="129">6000*0.85*1.19</f>
        <v>6069</v>
      </c>
      <c r="L130" s="333" t="s">
        <v>3059</v>
      </c>
      <c r="M130" s="344">
        <f t="shared" ref="M130:M131" si="130">3970*0.88*1.19</f>
        <v>4157.384</v>
      </c>
      <c r="N130" s="332">
        <f t="shared" ref="N130:N131" si="131">K130*E130</f>
        <v>0</v>
      </c>
      <c r="O130" s="334"/>
      <c r="P130" s="335">
        <f t="shared" si="125"/>
        <v>0</v>
      </c>
      <c r="Q130" s="336">
        <f t="shared" si="122"/>
        <v>0</v>
      </c>
      <c r="R130" s="332">
        <v>12000.0</v>
      </c>
      <c r="S130" s="337">
        <f t="shared" si="102"/>
        <v>1.886430505</v>
      </c>
      <c r="T130" s="367"/>
    </row>
    <row r="131" hidden="1">
      <c r="A131" s="326"/>
      <c r="B131" s="326"/>
      <c r="C131" s="326"/>
      <c r="D131" s="326"/>
      <c r="E131" s="327">
        <v>0.0</v>
      </c>
      <c r="F131" s="339" t="s">
        <v>3060</v>
      </c>
      <c r="G131" s="331"/>
      <c r="H131" s="344">
        <f t="shared" si="128"/>
        <v>4157.384</v>
      </c>
      <c r="I131" s="342">
        <f>6013*0.85*1.19</f>
        <v>6082.1495</v>
      </c>
      <c r="J131" s="343"/>
      <c r="K131" s="344">
        <f t="shared" si="129"/>
        <v>6069</v>
      </c>
      <c r="L131" s="333" t="s">
        <v>2918</v>
      </c>
      <c r="M131" s="344">
        <f t="shared" si="130"/>
        <v>4157.384</v>
      </c>
      <c r="N131" s="332">
        <f t="shared" si="131"/>
        <v>0</v>
      </c>
      <c r="O131" s="334"/>
      <c r="P131" s="335">
        <f t="shared" si="125"/>
        <v>0</v>
      </c>
      <c r="Q131" s="336">
        <f t="shared" si="122"/>
        <v>0</v>
      </c>
      <c r="R131" s="332">
        <v>12000.0</v>
      </c>
      <c r="S131" s="337">
        <f t="shared" si="102"/>
        <v>1.886430505</v>
      </c>
      <c r="T131" s="367"/>
    </row>
    <row r="132">
      <c r="A132" s="126"/>
      <c r="B132" s="126"/>
      <c r="C132" s="288"/>
      <c r="D132" s="326"/>
      <c r="E132" s="327">
        <v>1.0</v>
      </c>
      <c r="F132" s="346" t="s">
        <v>3061</v>
      </c>
      <c r="G132" s="332"/>
      <c r="H132" s="350">
        <f>6400*0.88*1.19</f>
        <v>6702.08</v>
      </c>
      <c r="I132" s="319">
        <f>7897*0.85*1.19</f>
        <v>7987.8155</v>
      </c>
      <c r="J132" s="347"/>
      <c r="K132" s="344">
        <f t="shared" ref="K132:K134" si="132">7000*0.85*1.19</f>
        <v>7080.5</v>
      </c>
      <c r="L132" s="333" t="s">
        <v>2918</v>
      </c>
      <c r="M132" s="332">
        <v>6702.0</v>
      </c>
      <c r="N132" s="332">
        <f>E132*K132</f>
        <v>7080.5</v>
      </c>
      <c r="O132" s="334">
        <v>10000.0</v>
      </c>
      <c r="P132" s="335">
        <f t="shared" si="125"/>
        <v>0</v>
      </c>
      <c r="Q132" s="336">
        <f t="shared" si="122"/>
        <v>120000000</v>
      </c>
      <c r="R132" s="332">
        <v>12000.0</v>
      </c>
      <c r="S132" s="337">
        <f t="shared" si="102"/>
        <v>0.7904889228</v>
      </c>
      <c r="T132" s="338"/>
    </row>
    <row r="133" hidden="1">
      <c r="A133" s="126"/>
      <c r="B133" s="126"/>
      <c r="C133" s="287"/>
      <c r="D133" s="326"/>
      <c r="E133" s="327">
        <v>0.0</v>
      </c>
      <c r="F133" s="346" t="s">
        <v>3062</v>
      </c>
      <c r="G133" s="331"/>
      <c r="H133" s="344">
        <f t="shared" ref="H133:H134" si="133">6300*0.88*1.19</f>
        <v>6597.36</v>
      </c>
      <c r="I133" s="319">
        <f t="shared" ref="I133:I134" si="134">8018*0.85*1.19</f>
        <v>8110.207</v>
      </c>
      <c r="J133" s="349"/>
      <c r="K133" s="344">
        <f t="shared" si="132"/>
        <v>7080.5</v>
      </c>
      <c r="L133" s="333" t="s">
        <v>2918</v>
      </c>
      <c r="M133" s="344">
        <f t="shared" ref="M133:M134" si="135">6300*0.88*1.19</f>
        <v>6597.36</v>
      </c>
      <c r="N133" s="332">
        <f t="shared" ref="N133:N136" si="136">E133*J133</f>
        <v>0</v>
      </c>
      <c r="O133" s="334">
        <v>10000.0</v>
      </c>
      <c r="P133" s="335">
        <f t="shared" si="125"/>
        <v>0</v>
      </c>
      <c r="Q133" s="336">
        <f t="shared" si="122"/>
        <v>120000000</v>
      </c>
      <c r="R133" s="332">
        <v>12000.0</v>
      </c>
      <c r="S133" s="337">
        <f t="shared" si="102"/>
        <v>0.8189093819</v>
      </c>
      <c r="T133" s="338"/>
    </row>
    <row r="134" hidden="1">
      <c r="A134" s="126"/>
      <c r="B134" s="126"/>
      <c r="C134" s="287"/>
      <c r="D134" s="326"/>
      <c r="E134" s="327">
        <v>0.0</v>
      </c>
      <c r="F134" s="346" t="s">
        <v>3063</v>
      </c>
      <c r="G134" s="331"/>
      <c r="H134" s="344">
        <f t="shared" si="133"/>
        <v>6597.36</v>
      </c>
      <c r="I134" s="319">
        <f t="shared" si="134"/>
        <v>8110.207</v>
      </c>
      <c r="J134" s="349"/>
      <c r="K134" s="344">
        <f t="shared" si="132"/>
        <v>7080.5</v>
      </c>
      <c r="L134" s="333" t="s">
        <v>2918</v>
      </c>
      <c r="M134" s="344">
        <f t="shared" si="135"/>
        <v>6597.36</v>
      </c>
      <c r="N134" s="332">
        <f t="shared" si="136"/>
        <v>0</v>
      </c>
      <c r="O134" s="334"/>
      <c r="P134" s="335">
        <f t="shared" si="125"/>
        <v>0</v>
      </c>
      <c r="Q134" s="336">
        <f t="shared" si="122"/>
        <v>0</v>
      </c>
      <c r="R134" s="332">
        <v>12000.0</v>
      </c>
      <c r="S134" s="337">
        <f t="shared" si="102"/>
        <v>0.8189093819</v>
      </c>
      <c r="T134" s="338"/>
    </row>
    <row r="135" hidden="1">
      <c r="A135" s="126"/>
      <c r="B135" s="126"/>
      <c r="C135" s="287"/>
      <c r="D135" s="326">
        <v>10.0</v>
      </c>
      <c r="E135" s="327">
        <v>0.0</v>
      </c>
      <c r="F135" s="359" t="s">
        <v>3064</v>
      </c>
      <c r="G135" s="331"/>
      <c r="H135" s="319">
        <f t="shared" ref="H135:H136" si="137">4800*0.88*1.19</f>
        <v>5026.56</v>
      </c>
      <c r="I135" s="356">
        <f t="shared" ref="I135:I136" si="138">4499*0.85*1.19</f>
        <v>4550.7385</v>
      </c>
      <c r="J135" s="344">
        <v>7500.0</v>
      </c>
      <c r="K135" s="319"/>
      <c r="L135" s="333" t="s">
        <v>3015</v>
      </c>
      <c r="M135" s="356">
        <f>4499*0.85*1.19</f>
        <v>4550.7385</v>
      </c>
      <c r="N135" s="332">
        <f t="shared" si="136"/>
        <v>0</v>
      </c>
      <c r="O135" s="334"/>
      <c r="P135" s="335">
        <f t="shared" ref="P135:P136" si="139">H135*O135</f>
        <v>0</v>
      </c>
      <c r="Q135" s="336">
        <f t="shared" si="122"/>
        <v>0</v>
      </c>
      <c r="R135" s="332">
        <v>12000.0</v>
      </c>
      <c r="S135" s="337">
        <f t="shared" si="102"/>
        <v>1.387318564</v>
      </c>
      <c r="T135" s="338"/>
    </row>
    <row r="136" hidden="1">
      <c r="A136" s="126"/>
      <c r="B136" s="126"/>
      <c r="C136" s="287"/>
      <c r="D136" s="327"/>
      <c r="E136" s="327"/>
      <c r="F136" s="359" t="s">
        <v>3065</v>
      </c>
      <c r="G136" s="331"/>
      <c r="H136" s="319">
        <f t="shared" si="137"/>
        <v>5026.56</v>
      </c>
      <c r="I136" s="356">
        <f t="shared" si="138"/>
        <v>4550.7385</v>
      </c>
      <c r="J136" s="344">
        <v>7500.0</v>
      </c>
      <c r="K136" s="319"/>
      <c r="L136" s="333" t="s">
        <v>2909</v>
      </c>
      <c r="M136" s="344">
        <v>7500.0</v>
      </c>
      <c r="N136" s="332">
        <f t="shared" si="136"/>
        <v>0</v>
      </c>
      <c r="O136" s="334"/>
      <c r="P136" s="335">
        <f t="shared" si="139"/>
        <v>0</v>
      </c>
      <c r="Q136" s="336">
        <f t="shared" si="122"/>
        <v>0</v>
      </c>
      <c r="R136" s="332">
        <v>12000.0</v>
      </c>
      <c r="S136" s="337">
        <f t="shared" si="102"/>
        <v>1.387318564</v>
      </c>
      <c r="T136" s="338"/>
    </row>
    <row r="137">
      <c r="A137" s="126"/>
      <c r="B137" s="126"/>
      <c r="C137" s="287"/>
      <c r="D137" s="326"/>
      <c r="E137" s="327">
        <v>1.0</v>
      </c>
      <c r="F137" s="328" t="s">
        <v>3066</v>
      </c>
      <c r="G137" s="331"/>
      <c r="H137" s="344">
        <f t="shared" ref="H137:H138" si="140">7500*0.88*1.19</f>
        <v>7854</v>
      </c>
      <c r="I137" s="340">
        <f>5544*0.85*1.19</f>
        <v>5607.756</v>
      </c>
      <c r="J137" s="332"/>
      <c r="K137" s="344">
        <f t="shared" ref="K137:K138" si="141">7500*0.85*1.19</f>
        <v>7586.25</v>
      </c>
      <c r="L137" s="333" t="s">
        <v>1630</v>
      </c>
      <c r="M137" s="344">
        <f t="shared" ref="M137:M138" si="142">7500*0.85*1.19</f>
        <v>7586.25</v>
      </c>
      <c r="N137" s="332">
        <f>E137*K137</f>
        <v>7586.25</v>
      </c>
      <c r="O137" s="334"/>
      <c r="P137" s="335">
        <f t="shared" ref="P137:P140" si="143">C137*K137</f>
        <v>0</v>
      </c>
      <c r="Q137" s="336">
        <f t="shared" si="122"/>
        <v>0</v>
      </c>
      <c r="R137" s="332">
        <v>12000.0</v>
      </c>
      <c r="S137" s="337">
        <f t="shared" si="102"/>
        <v>0.5278838808</v>
      </c>
      <c r="T137" s="338"/>
    </row>
    <row r="138" hidden="1">
      <c r="A138" s="126"/>
      <c r="B138" s="126"/>
      <c r="C138" s="287"/>
      <c r="D138" s="326"/>
      <c r="E138" s="327">
        <v>0.0</v>
      </c>
      <c r="F138" s="328" t="s">
        <v>3067</v>
      </c>
      <c r="G138" s="331"/>
      <c r="H138" s="344">
        <f t="shared" si="140"/>
        <v>7854</v>
      </c>
      <c r="I138" s="357">
        <f>6666*0.85*1.19</f>
        <v>6742.659</v>
      </c>
      <c r="J138" s="332"/>
      <c r="K138" s="344">
        <f t="shared" si="141"/>
        <v>7586.25</v>
      </c>
      <c r="L138" s="333" t="s">
        <v>1630</v>
      </c>
      <c r="M138" s="344">
        <f t="shared" si="142"/>
        <v>7586.25</v>
      </c>
      <c r="N138" s="332">
        <f t="shared" ref="N138:N139" si="144">E138*J138</f>
        <v>0</v>
      </c>
      <c r="O138" s="334"/>
      <c r="P138" s="335">
        <f t="shared" si="143"/>
        <v>0</v>
      </c>
      <c r="Q138" s="336">
        <f t="shared" si="122"/>
        <v>0</v>
      </c>
      <c r="R138" s="332">
        <v>12000.0</v>
      </c>
      <c r="S138" s="337">
        <f t="shared" si="102"/>
        <v>0.5278838808</v>
      </c>
      <c r="T138" s="338"/>
    </row>
    <row r="139" hidden="1">
      <c r="A139" s="126"/>
      <c r="B139" s="126"/>
      <c r="C139" s="287"/>
      <c r="D139" s="326">
        <v>5.0</v>
      </c>
      <c r="E139" s="327">
        <v>0.0</v>
      </c>
      <c r="F139" s="339" t="s">
        <v>3068</v>
      </c>
      <c r="G139" s="331"/>
      <c r="H139" s="344">
        <f t="shared" ref="H139:H140" si="145">3820*0.88*1.19</f>
        <v>4000.304</v>
      </c>
      <c r="I139" s="331"/>
      <c r="J139" s="344">
        <v>7500.0</v>
      </c>
      <c r="K139" s="344">
        <f t="shared" ref="K139:K140" si="146">6500*0.85*1.19</f>
        <v>6574.75</v>
      </c>
      <c r="L139" s="333" t="s">
        <v>2918</v>
      </c>
      <c r="M139" s="344">
        <f t="shared" ref="M139:M140" si="147">3820*0.88*1.19</f>
        <v>4000.304</v>
      </c>
      <c r="N139" s="332">
        <f t="shared" si="144"/>
        <v>0</v>
      </c>
      <c r="O139" s="334"/>
      <c r="P139" s="335">
        <f t="shared" si="143"/>
        <v>0</v>
      </c>
      <c r="Q139" s="336">
        <f t="shared" si="122"/>
        <v>0</v>
      </c>
      <c r="R139" s="332">
        <v>12000.0</v>
      </c>
      <c r="S139" s="337">
        <f t="shared" si="102"/>
        <v>1.999772017</v>
      </c>
      <c r="T139" s="338"/>
    </row>
    <row r="140" hidden="1">
      <c r="A140" s="126"/>
      <c r="B140" s="126"/>
      <c r="C140" s="287"/>
      <c r="D140" s="326">
        <v>5.0</v>
      </c>
      <c r="E140" s="327">
        <v>0.0</v>
      </c>
      <c r="F140" s="339" t="s">
        <v>3069</v>
      </c>
      <c r="G140" s="331"/>
      <c r="H140" s="344">
        <f t="shared" si="145"/>
        <v>4000.304</v>
      </c>
      <c r="I140" s="340">
        <f>6425*0.85*1.19</f>
        <v>6498.8875</v>
      </c>
      <c r="J140" s="332"/>
      <c r="K140" s="344">
        <f t="shared" si="146"/>
        <v>6574.75</v>
      </c>
      <c r="L140" s="333" t="s">
        <v>2918</v>
      </c>
      <c r="M140" s="344">
        <f t="shared" si="147"/>
        <v>4000.304</v>
      </c>
      <c r="N140" s="332">
        <f>E140*H140</f>
        <v>0</v>
      </c>
      <c r="O140" s="334"/>
      <c r="P140" s="335">
        <f t="shared" si="143"/>
        <v>0</v>
      </c>
      <c r="Q140" s="336">
        <f t="shared" si="122"/>
        <v>0</v>
      </c>
      <c r="R140" s="332">
        <v>12000.0</v>
      </c>
      <c r="S140" s="337">
        <f t="shared" si="102"/>
        <v>1.999772017</v>
      </c>
      <c r="T140" s="338"/>
    </row>
    <row r="141" hidden="1">
      <c r="A141" s="126"/>
      <c r="B141" s="126"/>
      <c r="C141" s="288"/>
      <c r="D141" s="326"/>
      <c r="E141" s="327">
        <v>0.0</v>
      </c>
      <c r="F141" s="339" t="s">
        <v>3070</v>
      </c>
      <c r="G141" s="331"/>
      <c r="H141" s="319">
        <f>5000*1.19*0.88</f>
        <v>5236</v>
      </c>
      <c r="I141" s="340">
        <f>4611*0.85*1.19</f>
        <v>4664.0265</v>
      </c>
      <c r="J141" s="332"/>
      <c r="K141" s="319"/>
      <c r="L141" s="333" t="s">
        <v>3015</v>
      </c>
      <c r="M141" s="340">
        <f>4611*0.85*1.19</f>
        <v>4664.0265</v>
      </c>
      <c r="N141" s="332">
        <f>E141*J141</f>
        <v>0</v>
      </c>
      <c r="O141" s="334"/>
      <c r="P141" s="335">
        <f>H141*O141</f>
        <v>0</v>
      </c>
      <c r="Q141" s="336">
        <f t="shared" si="122"/>
        <v>0</v>
      </c>
      <c r="R141" s="332">
        <v>18000.0</v>
      </c>
      <c r="S141" s="337">
        <f t="shared" si="102"/>
        <v>2.437738732</v>
      </c>
      <c r="T141" s="338"/>
    </row>
    <row r="142" hidden="1">
      <c r="A142" s="126"/>
      <c r="B142" s="126"/>
      <c r="C142" s="287"/>
      <c r="D142" s="326"/>
      <c r="E142" s="327"/>
      <c r="F142" s="339"/>
      <c r="G142" s="332"/>
      <c r="H142" s="331"/>
      <c r="I142" s="331"/>
      <c r="J142" s="332"/>
      <c r="K142" s="319"/>
      <c r="L142" s="320"/>
      <c r="M142" s="332"/>
      <c r="N142" s="332"/>
      <c r="O142" s="334"/>
      <c r="P142" s="335"/>
      <c r="Q142" s="336"/>
      <c r="R142" s="332"/>
      <c r="S142" s="337"/>
      <c r="T142" s="338"/>
    </row>
  </sheetData>
  <autoFilter ref="$A$1:$S$142">
    <filterColumn colId="5">
      <filters>
        <filter val="Elevador seldin 23 instrumental"/>
        <filter val="elevador Apical Izquierdo 302 instrumental"/>
        <filter val="forceps 151 instrumental"/>
        <filter val="pinza kely CURVA instrumental"/>
        <filter val="pinza kely RECTA instrumental"/>
        <filter val="elevador recto delgado 301 instrumental"/>
        <filter val="pinza Gubia instrumental"/>
        <filter val="cureta de Lucas #85"/>
        <filter val="elevador Apical derecho 303 instrumental"/>
        <filter val="Mango de bisturi instrumental"/>
        <filter val="PERIOSTOTOMO (elevador de molt)"/>
        <filter val="elevador bandera izquierdo 1L instrumental"/>
        <filter val="PINZA DE ADSON CON GARRA"/>
        <filter val="elevador recto ancho  304 instrumental"/>
        <filter val="forceps 150 instrumental"/>
        <filter val="TIJERA MATZENMBAUN CURVA"/>
        <filter val="pinza mosquito curva instrumental"/>
        <filter val="Jeringa carpule de rosca CON ALETA INSTRUMENTAL"/>
        <filter val="forceps 16  instrumental"/>
        <filter val="pinza mosquito recta instrumental"/>
        <filter val="Lima de Hueso instrumental"/>
        <filter val="tijera de sutura instrumental"/>
        <filter val="forceps 69 instrumental"/>
        <filter val="elevador bandera derecha 1R instrumental"/>
        <filter val="RETRACTOR DE MINESOTA separador"/>
        <filter val="PINZA DE ADSON SIN GARRA"/>
        <filter val="PORTA AGUJAS MAYO  14CM  tijera pinza instrumental"/>
      </filters>
    </filterColumn>
    <sortState ref="A1:S142">
      <sortCondition ref="F1:F142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0"/>
    <col customWidth="1" min="2" max="2" width="51.88"/>
  </cols>
  <sheetData>
    <row r="2">
      <c r="B2" s="278" t="s">
        <v>2843</v>
      </c>
      <c r="C2" s="2" t="s">
        <v>1</v>
      </c>
      <c r="D2" s="3"/>
      <c r="E2" s="4"/>
      <c r="F2" s="5" t="s">
        <v>2</v>
      </c>
      <c r="G2" s="5" t="s">
        <v>3</v>
      </c>
      <c r="H2" s="6"/>
      <c r="I2" s="7" t="s">
        <v>4</v>
      </c>
      <c r="J2" s="8" t="s">
        <v>5</v>
      </c>
      <c r="K2" s="9" t="s">
        <v>6</v>
      </c>
      <c r="L2" s="10" t="s">
        <v>7</v>
      </c>
      <c r="M2" s="11" t="s">
        <v>8</v>
      </c>
    </row>
    <row r="3">
      <c r="B3" s="52" t="s">
        <v>109</v>
      </c>
      <c r="C3" s="36" t="s">
        <v>110</v>
      </c>
      <c r="D3" s="18"/>
      <c r="E3" s="67"/>
      <c r="F3" s="19"/>
      <c r="G3" s="19">
        <v>5.0</v>
      </c>
      <c r="H3" s="16" t="s">
        <v>111</v>
      </c>
      <c r="I3" s="21"/>
      <c r="J3" s="22">
        <v>3.0</v>
      </c>
      <c r="K3" s="23"/>
      <c r="L3" s="55">
        <f>24667*1.19</f>
        <v>29353.73</v>
      </c>
      <c r="M3" s="55">
        <v>45000.0</v>
      </c>
      <c r="N3" s="369">
        <f t="shared" ref="N3:N4" si="1">G3*L3</f>
        <v>146768.65</v>
      </c>
    </row>
    <row r="4" hidden="1">
      <c r="B4" s="16" t="s">
        <v>371</v>
      </c>
      <c r="C4" s="36"/>
      <c r="D4" s="103"/>
      <c r="E4" s="67"/>
      <c r="F4" s="19"/>
      <c r="G4" s="19">
        <v>0.0</v>
      </c>
      <c r="H4" s="56" t="s">
        <v>372</v>
      </c>
      <c r="I4" s="21"/>
      <c r="J4" s="22">
        <v>0.0</v>
      </c>
      <c r="K4" s="29" t="s">
        <v>373</v>
      </c>
      <c r="L4" s="48">
        <v>48744.0</v>
      </c>
      <c r="M4" s="55">
        <v>62000.0</v>
      </c>
      <c r="N4" s="370">
        <f t="shared" si="1"/>
        <v>0</v>
      </c>
    </row>
    <row r="5" hidden="1">
      <c r="B5" s="52" t="s">
        <v>612</v>
      </c>
      <c r="C5" s="36"/>
      <c r="D5" s="18"/>
      <c r="E5" s="67"/>
      <c r="F5" s="19"/>
      <c r="G5" s="19">
        <v>0.0</v>
      </c>
      <c r="H5" s="56" t="s">
        <v>613</v>
      </c>
      <c r="I5" s="21"/>
      <c r="J5" s="22">
        <v>0.0</v>
      </c>
      <c r="K5" s="29"/>
      <c r="L5" s="48">
        <v>25935.0</v>
      </c>
      <c r="M5" s="55">
        <v>36000.0</v>
      </c>
    </row>
    <row r="6" hidden="1">
      <c r="B6" s="118" t="s">
        <v>887</v>
      </c>
      <c r="C6" s="36" t="s">
        <v>888</v>
      </c>
      <c r="D6" s="18"/>
      <c r="E6" s="67"/>
      <c r="F6" s="19"/>
      <c r="G6" s="19">
        <v>0.0</v>
      </c>
      <c r="H6" s="16" t="s">
        <v>889</v>
      </c>
      <c r="I6" s="21"/>
      <c r="J6" s="22">
        <v>3.0</v>
      </c>
      <c r="K6" s="29"/>
      <c r="L6" s="48">
        <v>21385.0</v>
      </c>
      <c r="M6" s="24">
        <v>28000.0</v>
      </c>
    </row>
    <row r="7">
      <c r="B7" s="52" t="s">
        <v>895</v>
      </c>
      <c r="C7" s="36"/>
      <c r="D7" s="18"/>
      <c r="E7" s="67"/>
      <c r="F7" s="19"/>
      <c r="G7" s="19">
        <v>10.0</v>
      </c>
      <c r="H7" s="20" t="s">
        <v>613</v>
      </c>
      <c r="I7" s="21"/>
      <c r="J7" s="22">
        <v>11.0</v>
      </c>
      <c r="K7" s="29"/>
      <c r="L7" s="32">
        <v>12285.0</v>
      </c>
      <c r="M7" s="32">
        <v>17000.0</v>
      </c>
      <c r="N7" s="370">
        <f>G7*L7</f>
        <v>122850</v>
      </c>
    </row>
    <row r="8" hidden="1">
      <c r="B8" s="122" t="s">
        <v>970</v>
      </c>
      <c r="C8" s="36" t="s">
        <v>971</v>
      </c>
      <c r="D8" s="18"/>
      <c r="E8" s="4"/>
      <c r="F8" s="19"/>
      <c r="G8" s="19">
        <v>0.0</v>
      </c>
      <c r="H8" s="16" t="s">
        <v>972</v>
      </c>
      <c r="I8" s="21"/>
      <c r="J8" s="22">
        <v>6.0</v>
      </c>
      <c r="K8" s="29"/>
      <c r="L8" s="48">
        <v>36985.0</v>
      </c>
      <c r="M8" s="24">
        <v>58000.0</v>
      </c>
    </row>
    <row r="9" hidden="1">
      <c r="B9" s="16" t="s">
        <v>1084</v>
      </c>
      <c r="C9" s="36"/>
      <c r="D9" s="18"/>
      <c r="E9" s="4"/>
      <c r="F9" s="19"/>
      <c r="G9" s="19">
        <v>0.0</v>
      </c>
      <c r="H9" s="20" t="s">
        <v>1085</v>
      </c>
      <c r="I9" s="21"/>
      <c r="J9" s="22">
        <v>13.0</v>
      </c>
      <c r="K9" s="47">
        <v>46569.0</v>
      </c>
      <c r="L9" s="48">
        <v>12285.0</v>
      </c>
      <c r="M9" s="55">
        <v>18000.0</v>
      </c>
    </row>
    <row r="10" hidden="1">
      <c r="B10" s="52" t="s">
        <v>1086</v>
      </c>
      <c r="C10" s="16"/>
      <c r="D10" s="18"/>
      <c r="E10" s="98"/>
      <c r="F10" s="19"/>
      <c r="G10" s="19">
        <v>0.0</v>
      </c>
      <c r="H10" s="16" t="s">
        <v>613</v>
      </c>
      <c r="I10" s="21"/>
      <c r="J10" s="22">
        <v>15.0</v>
      </c>
      <c r="K10" s="47"/>
      <c r="L10" s="48">
        <v>10985.0</v>
      </c>
      <c r="M10" s="48">
        <v>16000.0</v>
      </c>
    </row>
    <row r="11" hidden="1">
      <c r="B11" s="118" t="s">
        <v>1116</v>
      </c>
      <c r="C11" s="17" t="s">
        <v>1117</v>
      </c>
      <c r="D11" s="18"/>
      <c r="E11" s="4"/>
      <c r="F11" s="19"/>
      <c r="G11" s="19">
        <v>0.0</v>
      </c>
      <c r="H11" s="16" t="s">
        <v>1118</v>
      </c>
      <c r="I11" s="21"/>
      <c r="J11" s="22">
        <v>4.0</v>
      </c>
      <c r="K11" s="23"/>
      <c r="L11" s="24">
        <f>10335*1.19</f>
        <v>12298.65</v>
      </c>
      <c r="M11" s="24">
        <v>18000.0</v>
      </c>
    </row>
    <row r="12" hidden="1">
      <c r="B12" s="52" t="s">
        <v>1119</v>
      </c>
      <c r="C12" s="17" t="s">
        <v>1120</v>
      </c>
      <c r="D12" s="18"/>
      <c r="E12" s="67"/>
      <c r="F12" s="19"/>
      <c r="G12" s="19">
        <v>0.0</v>
      </c>
      <c r="H12" s="16" t="s">
        <v>1121</v>
      </c>
      <c r="I12" s="21"/>
      <c r="J12" s="22">
        <v>1.0</v>
      </c>
      <c r="K12" s="29"/>
      <c r="L12" s="32">
        <f>21385*1.19</f>
        <v>25448.15</v>
      </c>
      <c r="M12" s="32">
        <v>35000.0</v>
      </c>
    </row>
    <row r="13">
      <c r="B13" s="52" t="s">
        <v>1122</v>
      </c>
      <c r="C13" s="36" t="s">
        <v>1123</v>
      </c>
      <c r="D13" s="18"/>
      <c r="E13" s="67"/>
      <c r="F13" s="19"/>
      <c r="G13" s="19">
        <v>5.0</v>
      </c>
      <c r="H13" s="16" t="s">
        <v>1124</v>
      </c>
      <c r="I13" s="21"/>
      <c r="J13" s="22">
        <v>4.0</v>
      </c>
      <c r="K13" s="22" t="s">
        <v>1125</v>
      </c>
      <c r="L13" s="55">
        <f>9685*1.19</f>
        <v>11525.15</v>
      </c>
      <c r="M13" s="24">
        <v>15000.0</v>
      </c>
      <c r="N13" s="369">
        <f>G13*L13</f>
        <v>57625.75</v>
      </c>
    </row>
    <row r="14" hidden="1">
      <c r="B14" s="16" t="s">
        <v>1329</v>
      </c>
      <c r="C14" s="4" t="s">
        <v>1330</v>
      </c>
      <c r="D14" s="18"/>
      <c r="E14" s="4"/>
      <c r="F14" s="19"/>
      <c r="G14" s="19">
        <v>0.0</v>
      </c>
      <c r="H14" s="16" t="s">
        <v>1331</v>
      </c>
      <c r="I14" s="21"/>
      <c r="J14" s="22">
        <v>0.0</v>
      </c>
      <c r="K14" s="23"/>
      <c r="L14" s="24">
        <f>10367*1.19</f>
        <v>12336.73</v>
      </c>
      <c r="M14" s="24">
        <v>15000.0</v>
      </c>
    </row>
    <row r="15" hidden="1">
      <c r="B15" s="16" t="s">
        <v>1406</v>
      </c>
      <c r="C15" s="36"/>
      <c r="D15" s="18"/>
      <c r="E15" s="199"/>
      <c r="F15" s="19"/>
      <c r="G15" s="19">
        <v>0.0</v>
      </c>
      <c r="H15" s="16" t="s">
        <v>1407</v>
      </c>
      <c r="I15" s="21"/>
      <c r="J15" s="22">
        <v>3.0</v>
      </c>
      <c r="K15" s="47">
        <v>46447.0</v>
      </c>
      <c r="L15" s="55">
        <f>10985</f>
        <v>10985</v>
      </c>
      <c r="M15" s="24">
        <v>18000.0</v>
      </c>
    </row>
    <row r="16" hidden="1">
      <c r="B16" s="52" t="s">
        <v>1421</v>
      </c>
      <c r="C16" s="36"/>
      <c r="D16" s="18" t="s">
        <v>1422</v>
      </c>
      <c r="E16" s="4"/>
      <c r="F16" s="19"/>
      <c r="G16" s="19">
        <v>0.0</v>
      </c>
      <c r="H16" s="16" t="s">
        <v>1423</v>
      </c>
      <c r="I16" s="21"/>
      <c r="J16" s="22">
        <v>10.0</v>
      </c>
      <c r="K16" s="47">
        <v>46508.0</v>
      </c>
      <c r="L16" s="60">
        <v>7961.0</v>
      </c>
      <c r="M16" s="55">
        <v>8000.0</v>
      </c>
    </row>
    <row r="17" hidden="1">
      <c r="B17" s="52" t="s">
        <v>1424</v>
      </c>
      <c r="C17" s="36"/>
      <c r="D17" s="18"/>
      <c r="E17" s="4"/>
      <c r="F17" s="19"/>
      <c r="G17" s="19">
        <v>0.0</v>
      </c>
      <c r="H17" s="16" t="s">
        <v>1423</v>
      </c>
      <c r="I17" s="21"/>
      <c r="J17" s="22">
        <v>10.0</v>
      </c>
      <c r="K17" s="29"/>
      <c r="L17" s="43">
        <v>5114.0</v>
      </c>
      <c r="M17" s="24">
        <v>8000.0</v>
      </c>
    </row>
    <row r="18">
      <c r="B18" s="16" t="s">
        <v>1514</v>
      </c>
      <c r="C18" s="36"/>
      <c r="D18" s="18"/>
      <c r="E18" s="67"/>
      <c r="F18" s="19"/>
      <c r="G18" s="19">
        <v>5.0</v>
      </c>
      <c r="H18" s="16" t="s">
        <v>1331</v>
      </c>
      <c r="I18" s="21"/>
      <c r="J18" s="22">
        <v>12.0</v>
      </c>
      <c r="K18" s="47">
        <v>46539.0</v>
      </c>
      <c r="L18" s="48">
        <f>12935*1.19</f>
        <v>15392.65</v>
      </c>
      <c r="M18" s="55">
        <v>18000.0</v>
      </c>
      <c r="N18" s="370">
        <f t="shared" ref="N18:N19" si="2">G18*L18</f>
        <v>76963.25</v>
      </c>
    </row>
    <row r="19">
      <c r="B19" s="16" t="s">
        <v>1861</v>
      </c>
      <c r="C19" s="36"/>
      <c r="D19" s="18"/>
      <c r="E19" s="67"/>
      <c r="F19" s="19"/>
      <c r="G19" s="19">
        <v>10.0</v>
      </c>
      <c r="H19" s="16" t="s">
        <v>1862</v>
      </c>
      <c r="I19" s="21"/>
      <c r="J19" s="22">
        <v>6.0</v>
      </c>
      <c r="K19" s="47">
        <v>46388.0</v>
      </c>
      <c r="L19" s="48">
        <v>9620.0</v>
      </c>
      <c r="M19" s="24">
        <v>13000.0</v>
      </c>
      <c r="N19" s="370">
        <f t="shared" si="2"/>
        <v>96200</v>
      </c>
    </row>
    <row r="20" hidden="1">
      <c r="B20" s="40" t="s">
        <v>1863</v>
      </c>
      <c r="C20" s="36"/>
      <c r="D20" s="18"/>
      <c r="E20" s="4"/>
      <c r="F20" s="19"/>
      <c r="G20" s="19">
        <v>0.0</v>
      </c>
      <c r="H20" s="16" t="s">
        <v>1862</v>
      </c>
      <c r="I20" s="21"/>
      <c r="J20" s="22">
        <v>0.0</v>
      </c>
      <c r="K20" s="47">
        <v>46388.0</v>
      </c>
      <c r="L20" s="55">
        <v>9243.0</v>
      </c>
      <c r="M20" s="24">
        <v>12000.0</v>
      </c>
    </row>
    <row r="21">
      <c r="B21" s="16" t="s">
        <v>2001</v>
      </c>
      <c r="C21" s="36">
        <f>9685*1.19</f>
        <v>11525.15</v>
      </c>
      <c r="D21" s="18"/>
      <c r="E21" s="67"/>
      <c r="F21" s="19"/>
      <c r="G21" s="19">
        <v>10.0</v>
      </c>
      <c r="H21" s="16" t="s">
        <v>2002</v>
      </c>
      <c r="I21" s="21"/>
      <c r="J21" s="22">
        <v>3.0</v>
      </c>
      <c r="K21" s="47">
        <v>46844.0</v>
      </c>
      <c r="L21" s="48">
        <f>9685*1.19</f>
        <v>11525.15</v>
      </c>
      <c r="M21" s="55">
        <v>14000.0</v>
      </c>
      <c r="N21" s="370">
        <f t="shared" ref="N21:N23" si="3">G21*L21</f>
        <v>115251.5</v>
      </c>
    </row>
    <row r="22">
      <c r="B22" s="16" t="s">
        <v>2003</v>
      </c>
      <c r="C22" s="36"/>
      <c r="D22" s="18"/>
      <c r="E22" s="67"/>
      <c r="F22" s="19"/>
      <c r="G22" s="19">
        <v>1.0</v>
      </c>
      <c r="H22" s="16" t="s">
        <v>2002</v>
      </c>
      <c r="I22" s="21"/>
      <c r="J22" s="22">
        <v>0.0</v>
      </c>
      <c r="K22" s="47">
        <v>46843.0</v>
      </c>
      <c r="L22" s="48">
        <f>25945*1.19</f>
        <v>30874.55</v>
      </c>
      <c r="M22" s="55">
        <v>44000.0</v>
      </c>
      <c r="N22" s="370">
        <f t="shared" si="3"/>
        <v>30874.55</v>
      </c>
    </row>
    <row r="23">
      <c r="B23" s="269" t="s">
        <v>2467</v>
      </c>
      <c r="C23" s="17"/>
      <c r="D23" s="18"/>
      <c r="E23" s="67"/>
      <c r="F23" s="19"/>
      <c r="G23" s="19">
        <v>1.0</v>
      </c>
      <c r="H23" s="16" t="s">
        <v>2468</v>
      </c>
      <c r="I23" s="21"/>
      <c r="J23" s="22">
        <v>0.0</v>
      </c>
      <c r="K23" s="29"/>
      <c r="L23" s="48">
        <v>9685.0</v>
      </c>
      <c r="M23" s="24">
        <v>15000.0</v>
      </c>
      <c r="N23" s="370">
        <f t="shared" si="3"/>
        <v>9685</v>
      </c>
    </row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6">
      <filters>
        <filter val="1"/>
        <filter val="PEDIDO NORTE"/>
        <filter val="5"/>
        <filter val="10"/>
      </filters>
    </filterColumn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63"/>
    <col customWidth="1" min="2" max="2" width="36.38"/>
    <col customWidth="1" min="5" max="5" width="9.5"/>
  </cols>
  <sheetData>
    <row r="2">
      <c r="B2" s="278" t="s">
        <v>2843</v>
      </c>
      <c r="C2" s="2" t="s">
        <v>1</v>
      </c>
      <c r="D2" s="3"/>
      <c r="E2" s="4"/>
      <c r="F2" s="5" t="s">
        <v>2</v>
      </c>
      <c r="G2" s="5" t="s">
        <v>3</v>
      </c>
      <c r="H2" s="6"/>
      <c r="I2" s="7" t="s">
        <v>4</v>
      </c>
      <c r="J2" s="8" t="s">
        <v>5</v>
      </c>
    </row>
    <row r="3">
      <c r="B3" s="42" t="s">
        <v>103</v>
      </c>
      <c r="C3" s="36"/>
      <c r="D3" s="18"/>
      <c r="E3" s="4"/>
      <c r="F3" s="19"/>
      <c r="G3" s="19">
        <v>5.0</v>
      </c>
      <c r="H3" s="16" t="s">
        <v>104</v>
      </c>
      <c r="I3" s="21"/>
      <c r="J3" s="22">
        <v>4.0</v>
      </c>
    </row>
    <row r="4" hidden="1">
      <c r="B4" s="42" t="s">
        <v>108</v>
      </c>
      <c r="C4" s="36"/>
      <c r="D4" s="18"/>
      <c r="E4" s="4"/>
      <c r="F4" s="19"/>
      <c r="G4" s="19">
        <v>0.0</v>
      </c>
      <c r="H4" s="16" t="s">
        <v>104</v>
      </c>
      <c r="I4" s="21"/>
      <c r="J4" s="22">
        <v>9.0</v>
      </c>
    </row>
    <row r="5" hidden="1">
      <c r="B5" s="42" t="s">
        <v>645</v>
      </c>
      <c r="C5" s="17" t="s">
        <v>646</v>
      </c>
      <c r="D5" s="18"/>
      <c r="E5" s="4"/>
      <c r="F5" s="19"/>
      <c r="G5" s="19">
        <v>0.0</v>
      </c>
      <c r="H5" s="16" t="s">
        <v>104</v>
      </c>
      <c r="I5" s="21"/>
      <c r="J5" s="22">
        <v>0.0</v>
      </c>
    </row>
    <row r="6">
      <c r="B6" s="16" t="s">
        <v>1089</v>
      </c>
      <c r="C6" s="16" t="s">
        <v>1090</v>
      </c>
      <c r="D6" s="18"/>
      <c r="E6" s="4"/>
      <c r="F6" s="19"/>
      <c r="G6" s="19">
        <v>10.0</v>
      </c>
      <c r="H6" s="16" t="s">
        <v>1090</v>
      </c>
      <c r="I6" s="21"/>
      <c r="J6" s="22">
        <v>12.0</v>
      </c>
    </row>
    <row r="7" hidden="1">
      <c r="B7" s="52" t="s">
        <v>1297</v>
      </c>
      <c r="C7" s="17" t="s">
        <v>1298</v>
      </c>
      <c r="D7" s="18" t="s">
        <v>547</v>
      </c>
      <c r="E7" s="4"/>
      <c r="F7" s="19"/>
      <c r="G7" s="19">
        <v>0.0</v>
      </c>
      <c r="H7" s="16" t="s">
        <v>104</v>
      </c>
      <c r="I7" s="21"/>
      <c r="J7" s="22">
        <v>0.0</v>
      </c>
    </row>
    <row r="8">
      <c r="B8" s="16" t="s">
        <v>1411</v>
      </c>
      <c r="C8" s="49"/>
      <c r="D8" s="18"/>
      <c r="E8" s="4"/>
      <c r="F8" s="19"/>
      <c r="G8" s="19">
        <v>5.0</v>
      </c>
      <c r="H8" s="16" t="s">
        <v>1412</v>
      </c>
      <c r="I8" s="21"/>
      <c r="J8" s="22">
        <v>15.0</v>
      </c>
    </row>
    <row r="9" hidden="1">
      <c r="B9" s="52" t="s">
        <v>1421</v>
      </c>
      <c r="C9" s="36"/>
      <c r="D9" s="18" t="s">
        <v>1422</v>
      </c>
      <c r="E9" s="4"/>
      <c r="F9" s="19"/>
      <c r="G9" s="19">
        <v>0.0</v>
      </c>
      <c r="H9" s="16" t="s">
        <v>1423</v>
      </c>
      <c r="I9" s="21"/>
      <c r="J9" s="22">
        <v>10.0</v>
      </c>
    </row>
    <row r="10" hidden="1">
      <c r="B10" s="52" t="s">
        <v>1424</v>
      </c>
      <c r="C10" s="36"/>
      <c r="D10" s="18"/>
      <c r="E10" s="4"/>
      <c r="F10" s="19"/>
      <c r="G10" s="19">
        <v>0.0</v>
      </c>
      <c r="H10" s="16" t="s">
        <v>1423</v>
      </c>
      <c r="I10" s="21"/>
      <c r="J10" s="22">
        <v>10.0</v>
      </c>
    </row>
    <row r="11">
      <c r="B11" s="16" t="s">
        <v>1446</v>
      </c>
      <c r="C11" s="36"/>
      <c r="D11" s="18"/>
      <c r="E11" s="4"/>
      <c r="F11" s="19"/>
      <c r="G11" s="19">
        <v>1.0</v>
      </c>
      <c r="H11" s="16" t="s">
        <v>1412</v>
      </c>
      <c r="I11" s="21"/>
      <c r="J11" s="22">
        <v>1.0</v>
      </c>
    </row>
    <row r="12">
      <c r="B12" s="16" t="s">
        <v>1447</v>
      </c>
      <c r="C12" s="49" t="s">
        <v>1448</v>
      </c>
      <c r="D12" s="18"/>
      <c r="E12" s="4"/>
      <c r="F12" s="19"/>
      <c r="G12" s="19">
        <v>30.0</v>
      </c>
      <c r="H12" s="16" t="s">
        <v>1449</v>
      </c>
      <c r="I12" s="21"/>
      <c r="J12" s="22">
        <v>15.0</v>
      </c>
    </row>
    <row r="13">
      <c r="B13" s="52" t="s">
        <v>1518</v>
      </c>
      <c r="C13" s="36" t="s">
        <v>1517</v>
      </c>
      <c r="D13" s="18"/>
      <c r="E13" s="218"/>
      <c r="F13" s="19"/>
      <c r="G13" s="19">
        <v>10.0</v>
      </c>
      <c r="H13" s="16" t="s">
        <v>104</v>
      </c>
      <c r="I13" s="21"/>
      <c r="J13" s="22">
        <v>24.0</v>
      </c>
    </row>
    <row r="14" hidden="1">
      <c r="B14" s="52" t="s">
        <v>1526</v>
      </c>
      <c r="C14" s="49"/>
      <c r="D14" s="18" t="s">
        <v>547</v>
      </c>
      <c r="E14" s="4"/>
      <c r="F14" s="19"/>
      <c r="G14" s="19">
        <v>0.0</v>
      </c>
      <c r="H14" s="16" t="s">
        <v>104</v>
      </c>
      <c r="I14" s="21"/>
      <c r="J14" s="22">
        <v>0.0</v>
      </c>
    </row>
    <row r="15" hidden="1">
      <c r="B15" s="16" t="s">
        <v>1665</v>
      </c>
      <c r="C15" s="49"/>
      <c r="D15" s="18"/>
      <c r="E15" s="4"/>
      <c r="F15" s="19"/>
      <c r="G15" s="19">
        <v>0.0</v>
      </c>
      <c r="H15" s="16" t="s">
        <v>1449</v>
      </c>
      <c r="I15" s="21"/>
      <c r="J15" s="22">
        <v>5.0</v>
      </c>
    </row>
    <row r="16" hidden="1">
      <c r="B16" s="16" t="s">
        <v>1861</v>
      </c>
      <c r="C16" s="36"/>
      <c r="D16" s="18"/>
      <c r="E16" s="4"/>
      <c r="F16" s="19"/>
      <c r="G16" s="19">
        <v>0.0</v>
      </c>
      <c r="H16" s="16" t="s">
        <v>1862</v>
      </c>
      <c r="I16" s="21"/>
      <c r="J16" s="22">
        <v>30.0</v>
      </c>
    </row>
    <row r="17" hidden="1">
      <c r="B17" s="40" t="s">
        <v>1863</v>
      </c>
      <c r="C17" s="36"/>
      <c r="D17" s="18"/>
      <c r="E17" s="4"/>
      <c r="F17" s="19"/>
      <c r="G17" s="19">
        <v>0.0</v>
      </c>
      <c r="H17" s="16" t="s">
        <v>1862</v>
      </c>
      <c r="I17" s="21"/>
      <c r="J17" s="22"/>
    </row>
    <row r="18" hidden="1">
      <c r="B18" s="16" t="s">
        <v>1925</v>
      </c>
      <c r="C18" s="36"/>
      <c r="D18" s="18"/>
      <c r="E18" s="4"/>
      <c r="F18" s="19"/>
      <c r="G18" s="19">
        <v>0.0</v>
      </c>
      <c r="H18" s="16" t="s">
        <v>1926</v>
      </c>
      <c r="I18" s="21"/>
      <c r="J18" s="22">
        <v>10.0</v>
      </c>
    </row>
    <row r="19" hidden="1">
      <c r="B19" s="16" t="s">
        <v>3071</v>
      </c>
      <c r="C19" s="49" t="s">
        <v>2000</v>
      </c>
      <c r="D19" s="18"/>
      <c r="E19" s="4"/>
      <c r="F19" s="19"/>
      <c r="G19" s="19">
        <v>0.0</v>
      </c>
      <c r="H19" s="16" t="s">
        <v>104</v>
      </c>
      <c r="I19" s="21"/>
      <c r="J19" s="22">
        <v>20.0</v>
      </c>
    </row>
    <row r="20" hidden="1">
      <c r="B20" s="16" t="s">
        <v>2026</v>
      </c>
      <c r="C20" s="17"/>
      <c r="D20" s="18"/>
      <c r="E20" s="4"/>
      <c r="F20" s="19"/>
      <c r="G20" s="19">
        <v>0.0</v>
      </c>
      <c r="H20" s="16" t="s">
        <v>104</v>
      </c>
      <c r="I20" s="21"/>
      <c r="J20" s="22">
        <v>0.0</v>
      </c>
    </row>
    <row r="21">
      <c r="B21" s="269" t="s">
        <v>2467</v>
      </c>
      <c r="C21" s="17"/>
      <c r="D21" s="18"/>
      <c r="E21" s="4"/>
      <c r="F21" s="19"/>
      <c r="G21" s="19">
        <v>2.0</v>
      </c>
      <c r="H21" s="16" t="s">
        <v>2468</v>
      </c>
      <c r="I21" s="21"/>
      <c r="J21" s="22">
        <v>0.0</v>
      </c>
    </row>
    <row r="22" hidden="1">
      <c r="B22" s="42" t="s">
        <v>2717</v>
      </c>
      <c r="C22" s="17"/>
      <c r="D22" s="18"/>
      <c r="E22" s="4"/>
      <c r="F22" s="19"/>
      <c r="G22" s="19">
        <v>0.0</v>
      </c>
      <c r="H22" s="16" t="s">
        <v>2718</v>
      </c>
      <c r="I22" s="21"/>
      <c r="J22" s="22">
        <v>2.0</v>
      </c>
    </row>
    <row r="23">
      <c r="B23" s="16" t="s">
        <v>2791</v>
      </c>
      <c r="C23" s="49"/>
      <c r="D23" s="18"/>
      <c r="E23" s="4"/>
      <c r="F23" s="19"/>
      <c r="G23" s="19">
        <v>10.0</v>
      </c>
      <c r="H23" s="16" t="s">
        <v>1926</v>
      </c>
      <c r="I23" s="21"/>
      <c r="J23" s="22">
        <v>7.0</v>
      </c>
    </row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6">
      <filters>
        <filter val="1"/>
        <filter val="PEDIDO NORTE"/>
        <filter val="2"/>
        <filter val="5"/>
        <filter val="30"/>
        <filter val="10"/>
      </filters>
    </filterColumn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.13"/>
    <col customWidth="1" min="2" max="2" width="6.25"/>
    <col customWidth="1" min="3" max="4" width="8.75"/>
    <col customWidth="1" min="5" max="5" width="9.0"/>
    <col customWidth="1" min="6" max="6" width="9.63"/>
    <col customWidth="1" min="7" max="7" width="10.5"/>
    <col customWidth="1" min="8" max="10" width="10.0"/>
  </cols>
  <sheetData>
    <row r="1" ht="21.75" customHeight="1">
      <c r="A1" s="371"/>
      <c r="B1" s="307"/>
      <c r="C1" s="307"/>
      <c r="D1" s="307"/>
      <c r="E1" s="307"/>
      <c r="F1" s="307"/>
      <c r="G1" s="307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</row>
    <row r="2" ht="28.5" customHeight="1">
      <c r="A2" s="371"/>
      <c r="B2" s="372" t="s">
        <v>2828</v>
      </c>
      <c r="C2" s="373" t="s">
        <v>3072</v>
      </c>
      <c r="D2" s="374" t="s">
        <v>3073</v>
      </c>
      <c r="E2" s="375"/>
      <c r="F2" s="375"/>
      <c r="G2" s="376"/>
      <c r="H2" s="371"/>
      <c r="I2" s="371"/>
      <c r="J2" s="371"/>
      <c r="K2" s="377" t="s">
        <v>3074</v>
      </c>
      <c r="L2" s="373" t="s">
        <v>3072</v>
      </c>
      <c r="M2" s="374" t="s">
        <v>3073</v>
      </c>
      <c r="N2" s="375"/>
      <c r="O2" s="375"/>
      <c r="P2" s="376"/>
      <c r="Q2" s="371"/>
      <c r="R2" s="371"/>
      <c r="S2" s="371"/>
      <c r="T2" s="371"/>
      <c r="U2" s="371"/>
      <c r="V2" s="371"/>
      <c r="W2" s="371"/>
      <c r="X2" s="371"/>
      <c r="Y2" s="371"/>
    </row>
    <row r="3" ht="41.25" customHeight="1">
      <c r="A3" s="371"/>
      <c r="C3" s="378"/>
      <c r="D3" s="379" t="s">
        <v>3075</v>
      </c>
      <c r="E3" s="380" t="s">
        <v>3076</v>
      </c>
      <c r="F3" s="380" t="s">
        <v>3077</v>
      </c>
      <c r="G3" s="381" t="s">
        <v>3078</v>
      </c>
      <c r="H3" s="371"/>
      <c r="I3" s="371"/>
      <c r="J3" s="371"/>
      <c r="L3" s="378"/>
      <c r="M3" s="379" t="s">
        <v>3075</v>
      </c>
      <c r="N3" s="380" t="s">
        <v>3076</v>
      </c>
      <c r="O3" s="380" t="s">
        <v>3077</v>
      </c>
      <c r="P3" s="381" t="s">
        <v>3078</v>
      </c>
      <c r="Q3" s="371"/>
      <c r="R3" s="371"/>
      <c r="S3" s="371"/>
      <c r="T3" s="371"/>
      <c r="U3" s="371"/>
      <c r="V3" s="371"/>
      <c r="W3" s="371"/>
      <c r="X3" s="371"/>
      <c r="Y3" s="371"/>
    </row>
    <row r="4" ht="25.5" customHeight="1">
      <c r="A4" s="371"/>
      <c r="B4" s="382" t="s">
        <v>3079</v>
      </c>
      <c r="C4" s="383">
        <v>46.0</v>
      </c>
      <c r="D4" s="384">
        <v>39.0</v>
      </c>
      <c r="E4" s="385">
        <v>22.0</v>
      </c>
      <c r="F4" s="385">
        <v>10.0</v>
      </c>
      <c r="G4" s="386">
        <v>10.0</v>
      </c>
      <c r="H4" s="371"/>
      <c r="I4" s="371"/>
      <c r="J4" s="371"/>
      <c r="K4" s="382" t="s">
        <v>3079</v>
      </c>
      <c r="L4" s="383">
        <f t="shared" ref="L4:P4" si="1">C4+C10</f>
        <v>79</v>
      </c>
      <c r="M4" s="384">
        <f t="shared" si="1"/>
        <v>69</v>
      </c>
      <c r="N4" s="326">
        <f t="shared" si="1"/>
        <v>33</v>
      </c>
      <c r="O4" s="385">
        <f t="shared" si="1"/>
        <v>18</v>
      </c>
      <c r="P4" s="386">
        <f t="shared" si="1"/>
        <v>39</v>
      </c>
      <c r="Q4" s="371"/>
      <c r="R4" s="371"/>
      <c r="S4" s="371"/>
      <c r="T4" s="371"/>
      <c r="U4" s="371"/>
      <c r="V4" s="371"/>
      <c r="W4" s="371"/>
      <c r="X4" s="371"/>
      <c r="Y4" s="371"/>
    </row>
    <row r="5" ht="25.5" customHeight="1">
      <c r="A5" s="371"/>
      <c r="B5" s="382" t="s">
        <v>3080</v>
      </c>
      <c r="C5" s="383">
        <v>118.0</v>
      </c>
      <c r="D5" s="387">
        <v>37.0</v>
      </c>
      <c r="E5" s="385">
        <v>11.0</v>
      </c>
      <c r="F5" s="385">
        <v>13.0</v>
      </c>
      <c r="G5" s="386">
        <v>14.0</v>
      </c>
      <c r="H5" s="371"/>
      <c r="I5" s="371"/>
      <c r="J5" s="371"/>
      <c r="K5" s="382" t="s">
        <v>3080</v>
      </c>
      <c r="L5" s="383">
        <f t="shared" ref="L5:P5" si="2">C5+C11</f>
        <v>159</v>
      </c>
      <c r="M5" s="384">
        <f t="shared" si="2"/>
        <v>76</v>
      </c>
      <c r="N5" s="385">
        <f t="shared" si="2"/>
        <v>15</v>
      </c>
      <c r="O5" s="326">
        <f t="shared" si="2"/>
        <v>31</v>
      </c>
      <c r="P5" s="388">
        <f t="shared" si="2"/>
        <v>36</v>
      </c>
      <c r="Q5" s="371"/>
      <c r="R5" s="371"/>
      <c r="S5" s="371"/>
      <c r="T5" s="371"/>
      <c r="U5" s="371"/>
      <c r="V5" s="371"/>
      <c r="W5" s="371"/>
      <c r="X5" s="371"/>
      <c r="Y5" s="371"/>
    </row>
    <row r="6" ht="25.5" customHeight="1">
      <c r="A6" s="371"/>
      <c r="B6" s="382" t="s">
        <v>3081</v>
      </c>
      <c r="C6" s="389">
        <v>16.0</v>
      </c>
      <c r="D6" s="390">
        <v>12.0</v>
      </c>
      <c r="E6" s="391">
        <v>23.0</v>
      </c>
      <c r="F6" s="392" t="s">
        <v>3082</v>
      </c>
      <c r="G6" s="393" t="s">
        <v>3082</v>
      </c>
      <c r="H6" s="371"/>
      <c r="I6" s="371"/>
      <c r="J6" s="371"/>
      <c r="K6" s="382" t="s">
        <v>3081</v>
      </c>
      <c r="L6" s="394">
        <f t="shared" ref="L6:N6" si="3">C6+C12</f>
        <v>65</v>
      </c>
      <c r="M6" s="395">
        <f t="shared" si="3"/>
        <v>37</v>
      </c>
      <c r="N6" s="392">
        <f t="shared" si="3"/>
        <v>35</v>
      </c>
      <c r="O6" s="392"/>
      <c r="P6" s="393"/>
      <c r="Q6" s="371"/>
      <c r="R6" s="371"/>
      <c r="S6" s="371"/>
      <c r="T6" s="371"/>
      <c r="U6" s="371"/>
      <c r="V6" s="371"/>
      <c r="W6" s="371"/>
      <c r="X6" s="371"/>
      <c r="Y6" s="371"/>
    </row>
    <row r="7" ht="22.5" customHeight="1">
      <c r="A7" s="371"/>
      <c r="B7" s="307"/>
      <c r="C7" s="307"/>
      <c r="D7" s="307"/>
      <c r="E7" s="307"/>
      <c r="F7" s="307"/>
      <c r="G7" s="307"/>
      <c r="H7" s="371"/>
      <c r="I7" s="371"/>
      <c r="J7" s="371"/>
      <c r="Q7" s="371"/>
      <c r="R7" s="371"/>
      <c r="S7" s="371"/>
      <c r="T7" s="371"/>
      <c r="U7" s="371"/>
      <c r="V7" s="371"/>
      <c r="W7" s="371"/>
      <c r="X7" s="371"/>
      <c r="Y7" s="371"/>
    </row>
    <row r="8" ht="28.5" customHeight="1">
      <c r="A8" s="371"/>
      <c r="B8" s="396" t="s">
        <v>2830</v>
      </c>
      <c r="C8" s="373" t="s">
        <v>3072</v>
      </c>
      <c r="D8" s="374" t="s">
        <v>3073</v>
      </c>
      <c r="E8" s="375"/>
      <c r="F8" s="375"/>
      <c r="G8" s="376"/>
      <c r="H8" s="371"/>
      <c r="I8" s="371"/>
      <c r="J8" s="371"/>
      <c r="K8" s="397" t="s">
        <v>3083</v>
      </c>
      <c r="L8" s="398" t="s">
        <v>3072</v>
      </c>
      <c r="M8" s="398" t="s">
        <v>3073</v>
      </c>
      <c r="Q8" s="371"/>
      <c r="R8" s="371"/>
      <c r="S8" s="371"/>
      <c r="T8" s="371"/>
      <c r="U8" s="371"/>
      <c r="V8" s="371"/>
      <c r="W8" s="371"/>
      <c r="X8" s="371"/>
      <c r="Y8" s="371"/>
    </row>
    <row r="9" ht="28.5" customHeight="1">
      <c r="A9" s="371"/>
      <c r="C9" s="378"/>
      <c r="D9" s="379" t="s">
        <v>3075</v>
      </c>
      <c r="E9" s="380" t="s">
        <v>3076</v>
      </c>
      <c r="F9" s="380" t="s">
        <v>3077</v>
      </c>
      <c r="G9" s="381" t="s">
        <v>3078</v>
      </c>
      <c r="H9" s="371"/>
      <c r="I9" s="371"/>
      <c r="J9" s="371"/>
      <c r="K9" s="399"/>
      <c r="L9" s="399"/>
      <c r="M9" s="399"/>
      <c r="N9" s="371"/>
      <c r="O9" s="371"/>
      <c r="P9" s="371"/>
      <c r="Q9" s="371"/>
      <c r="R9" s="371"/>
      <c r="S9" s="371"/>
      <c r="T9" s="371"/>
      <c r="U9" s="371"/>
      <c r="V9" s="371"/>
      <c r="W9" s="371"/>
      <c r="X9" s="371"/>
      <c r="Y9" s="371"/>
    </row>
    <row r="10" ht="26.25" customHeight="1">
      <c r="A10" s="371"/>
      <c r="B10" s="382" t="s">
        <v>3079</v>
      </c>
      <c r="C10" s="383">
        <v>33.0</v>
      </c>
      <c r="D10" s="384">
        <v>30.0</v>
      </c>
      <c r="E10" s="326">
        <v>11.0</v>
      </c>
      <c r="F10" s="385">
        <v>8.0</v>
      </c>
      <c r="G10" s="388">
        <v>29.0</v>
      </c>
      <c r="H10" s="371"/>
      <c r="I10" s="371"/>
      <c r="J10" s="371"/>
      <c r="K10" s="380" t="s">
        <v>3079</v>
      </c>
      <c r="L10" s="326">
        <f t="shared" ref="L10:L12" si="4">L4</f>
        <v>79</v>
      </c>
      <c r="M10" s="329">
        <f t="shared" ref="M10:M12" si="5">M4+N4+O4+P4</f>
        <v>159</v>
      </c>
      <c r="N10" s="371"/>
      <c r="O10" s="371"/>
      <c r="P10" s="371"/>
      <c r="Q10" s="371"/>
      <c r="R10" s="371"/>
      <c r="S10" s="371"/>
      <c r="T10" s="371"/>
      <c r="U10" s="371"/>
      <c r="V10" s="371"/>
      <c r="W10" s="371"/>
      <c r="X10" s="371"/>
      <c r="Y10" s="371"/>
    </row>
    <row r="11" ht="26.25" customHeight="1">
      <c r="A11" s="371"/>
      <c r="B11" s="382" t="s">
        <v>3080</v>
      </c>
      <c r="C11" s="383">
        <v>41.0</v>
      </c>
      <c r="D11" s="384">
        <v>39.0</v>
      </c>
      <c r="E11" s="400">
        <v>4.0</v>
      </c>
      <c r="F11" s="326">
        <v>18.0</v>
      </c>
      <c r="G11" s="388">
        <v>22.0</v>
      </c>
      <c r="H11" s="371"/>
      <c r="I11" s="371"/>
      <c r="J11" s="371"/>
      <c r="K11" s="380" t="s">
        <v>3080</v>
      </c>
      <c r="L11" s="326">
        <f t="shared" si="4"/>
        <v>159</v>
      </c>
      <c r="M11" s="329">
        <f t="shared" si="5"/>
        <v>158</v>
      </c>
      <c r="N11" s="371"/>
      <c r="O11" s="371"/>
      <c r="P11" s="371"/>
      <c r="Q11" s="371"/>
      <c r="R11" s="371"/>
      <c r="S11" s="371"/>
      <c r="T11" s="371"/>
      <c r="U11" s="371"/>
      <c r="V11" s="371"/>
      <c r="W11" s="371"/>
      <c r="X11" s="371"/>
      <c r="Y11" s="371"/>
    </row>
    <row r="12" ht="26.25" customHeight="1">
      <c r="A12" s="371"/>
      <c r="B12" s="382" t="s">
        <v>3081</v>
      </c>
      <c r="C12" s="394">
        <v>49.0</v>
      </c>
      <c r="D12" s="395">
        <v>25.0</v>
      </c>
      <c r="E12" s="392">
        <v>12.0</v>
      </c>
      <c r="F12" s="392" t="s">
        <v>3082</v>
      </c>
      <c r="G12" s="393" t="s">
        <v>3082</v>
      </c>
      <c r="H12" s="371"/>
      <c r="I12" s="371"/>
      <c r="J12" s="371"/>
      <c r="K12" s="380" t="s">
        <v>3081</v>
      </c>
      <c r="L12" s="326">
        <f t="shared" si="4"/>
        <v>65</v>
      </c>
      <c r="M12" s="329">
        <f t="shared" si="5"/>
        <v>72</v>
      </c>
      <c r="N12" s="371"/>
      <c r="O12" s="371"/>
      <c r="P12" s="371"/>
      <c r="Q12" s="371"/>
      <c r="R12" s="371"/>
      <c r="S12" s="371"/>
      <c r="T12" s="371"/>
      <c r="U12" s="371"/>
      <c r="V12" s="371"/>
      <c r="W12" s="371"/>
      <c r="X12" s="371"/>
      <c r="Y12" s="371"/>
    </row>
    <row r="13" ht="28.5" customHeight="1">
      <c r="A13" s="371"/>
      <c r="B13" s="307"/>
      <c r="C13" s="307"/>
      <c r="D13" s="307"/>
      <c r="E13" s="307"/>
      <c r="F13" s="307"/>
      <c r="G13" s="307"/>
      <c r="H13" s="371"/>
      <c r="I13" s="371"/>
      <c r="J13" s="371"/>
      <c r="K13" s="371"/>
      <c r="L13" s="371"/>
      <c r="M13" s="371"/>
      <c r="N13" s="371"/>
      <c r="O13" s="371"/>
      <c r="P13" s="371"/>
      <c r="Q13" s="371"/>
      <c r="R13" s="371"/>
      <c r="S13" s="371"/>
      <c r="T13" s="371"/>
      <c r="U13" s="371"/>
      <c r="V13" s="371"/>
      <c r="W13" s="371"/>
      <c r="X13" s="371"/>
      <c r="Y13" s="371"/>
    </row>
    <row r="14" ht="28.5" customHeight="1">
      <c r="A14" s="371"/>
      <c r="B14" s="307"/>
      <c r="C14" s="307"/>
      <c r="D14" s="307"/>
      <c r="E14" s="307"/>
      <c r="F14" s="307"/>
      <c r="G14" s="307"/>
      <c r="H14" s="371"/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71"/>
      <c r="V14" s="371"/>
      <c r="W14" s="371"/>
      <c r="X14" s="371"/>
      <c r="Y14" s="371"/>
    </row>
    <row r="15" ht="28.5" customHeight="1">
      <c r="A15" s="371"/>
      <c r="B15" s="307"/>
      <c r="C15" s="307"/>
      <c r="D15" s="307"/>
      <c r="E15" s="307"/>
      <c r="F15" s="307"/>
      <c r="G15" s="307"/>
      <c r="H15" s="371"/>
      <c r="I15" s="371"/>
      <c r="J15" s="371"/>
      <c r="K15" s="371"/>
      <c r="L15" s="371"/>
      <c r="M15" s="371"/>
      <c r="N15" s="371"/>
      <c r="O15" s="371"/>
      <c r="P15" s="371"/>
      <c r="Q15" s="371"/>
      <c r="R15" s="371"/>
      <c r="S15" s="371"/>
      <c r="T15" s="371"/>
      <c r="U15" s="371"/>
      <c r="V15" s="371"/>
      <c r="W15" s="371"/>
      <c r="X15" s="371"/>
      <c r="Y15" s="371"/>
    </row>
    <row r="16" ht="28.5" customHeight="1">
      <c r="A16" s="371"/>
      <c r="B16" s="307"/>
      <c r="C16" s="307"/>
      <c r="D16" s="307"/>
      <c r="E16" s="307"/>
      <c r="F16" s="307"/>
      <c r="G16" s="307"/>
      <c r="H16" s="371"/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</row>
    <row r="17" ht="28.5" customHeight="1">
      <c r="A17" s="371"/>
      <c r="B17" s="307"/>
      <c r="C17" s="307"/>
      <c r="D17" s="307"/>
      <c r="E17" s="307"/>
      <c r="F17" s="307"/>
      <c r="G17" s="307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</row>
    <row r="18" ht="28.5" customHeight="1">
      <c r="A18" s="371"/>
      <c r="B18" s="307"/>
      <c r="C18" s="307"/>
      <c r="D18" s="307"/>
      <c r="E18" s="307"/>
      <c r="F18" s="307"/>
      <c r="G18" s="307"/>
      <c r="H18" s="371"/>
      <c r="I18" s="371"/>
      <c r="J18" s="371"/>
      <c r="K18" s="371"/>
      <c r="L18" s="371"/>
      <c r="M18" s="371"/>
      <c r="N18" s="371"/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</row>
    <row r="19" ht="28.5" customHeight="1">
      <c r="A19" s="371"/>
      <c r="B19" s="307"/>
      <c r="C19" s="307"/>
      <c r="D19" s="307"/>
      <c r="E19" s="307"/>
      <c r="F19" s="307"/>
      <c r="G19" s="307"/>
      <c r="H19" s="371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</row>
    <row r="20" ht="28.5" customHeight="1">
      <c r="A20" s="371"/>
      <c r="B20" s="307"/>
      <c r="C20" s="307"/>
      <c r="D20" s="307"/>
      <c r="E20" s="307"/>
      <c r="F20" s="307"/>
      <c r="G20" s="307"/>
      <c r="H20" s="371"/>
      <c r="I20" s="371"/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</row>
    <row r="21" ht="28.5" customHeight="1">
      <c r="A21" s="371"/>
      <c r="B21" s="307"/>
      <c r="C21" s="307"/>
      <c r="D21" s="307"/>
      <c r="E21" s="307"/>
      <c r="F21" s="307"/>
      <c r="G21" s="307"/>
      <c r="H21" s="371"/>
      <c r="I21" s="371"/>
      <c r="J21" s="371"/>
      <c r="K21" s="371"/>
      <c r="L21" s="371"/>
      <c r="M21" s="371"/>
      <c r="N21" s="371"/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</row>
    <row r="22" ht="28.5" customHeight="1">
      <c r="A22" s="371"/>
      <c r="B22" s="307"/>
      <c r="C22" s="307"/>
      <c r="D22" s="307"/>
      <c r="E22" s="307"/>
      <c r="F22" s="307"/>
      <c r="G22" s="307"/>
      <c r="H22" s="371"/>
      <c r="I22" s="371"/>
      <c r="J22" s="371"/>
      <c r="K22" s="371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</row>
    <row r="23" ht="28.5" customHeight="1">
      <c r="A23" s="371"/>
      <c r="B23" s="307"/>
      <c r="C23" s="307"/>
      <c r="D23" s="307"/>
      <c r="E23" s="307"/>
      <c r="F23" s="307"/>
      <c r="G23" s="307"/>
      <c r="H23" s="371"/>
      <c r="I23" s="371"/>
      <c r="J23" s="371"/>
      <c r="K23" s="371"/>
      <c r="L23" s="371"/>
      <c r="M23" s="371"/>
      <c r="N23" s="371"/>
      <c r="O23" s="371"/>
      <c r="P23" s="371"/>
      <c r="Q23" s="371"/>
      <c r="R23" s="371"/>
      <c r="S23" s="371"/>
      <c r="T23" s="371"/>
      <c r="U23" s="371"/>
      <c r="V23" s="371"/>
      <c r="W23" s="371"/>
      <c r="X23" s="371"/>
      <c r="Y23" s="371"/>
    </row>
    <row r="24" ht="28.5" customHeight="1">
      <c r="A24" s="371"/>
      <c r="B24" s="307"/>
      <c r="C24" s="307"/>
      <c r="D24" s="307"/>
      <c r="E24" s="307"/>
      <c r="F24" s="307"/>
      <c r="G24" s="307"/>
      <c r="H24" s="371"/>
      <c r="I24" s="371"/>
      <c r="J24" s="371"/>
      <c r="K24" s="371"/>
      <c r="L24" s="371"/>
      <c r="M24" s="371"/>
      <c r="N24" s="371"/>
      <c r="O24" s="371"/>
      <c r="P24" s="371"/>
      <c r="Q24" s="371"/>
      <c r="R24" s="371"/>
      <c r="S24" s="371"/>
      <c r="T24" s="371"/>
      <c r="U24" s="371"/>
      <c r="V24" s="371"/>
      <c r="W24" s="371"/>
      <c r="X24" s="371"/>
      <c r="Y24" s="371"/>
    </row>
    <row r="25" ht="28.5" customHeight="1">
      <c r="A25" s="371"/>
      <c r="B25" s="307"/>
      <c r="C25" s="307"/>
      <c r="D25" s="307"/>
      <c r="E25" s="307"/>
      <c r="F25" s="307"/>
      <c r="G25" s="307"/>
      <c r="H25" s="371"/>
      <c r="I25" s="371"/>
      <c r="J25" s="371"/>
      <c r="K25" s="371"/>
      <c r="L25" s="371"/>
      <c r="M25" s="371"/>
      <c r="N25" s="371"/>
      <c r="O25" s="371"/>
      <c r="P25" s="371"/>
      <c r="Q25" s="371"/>
      <c r="R25" s="371"/>
      <c r="S25" s="371"/>
      <c r="T25" s="371"/>
      <c r="U25" s="371"/>
      <c r="V25" s="371"/>
      <c r="W25" s="371"/>
      <c r="X25" s="371"/>
      <c r="Y25" s="371"/>
    </row>
    <row r="26" ht="28.5" customHeight="1">
      <c r="A26" s="371"/>
      <c r="B26" s="307"/>
      <c r="C26" s="307"/>
      <c r="D26" s="307"/>
      <c r="E26" s="307"/>
      <c r="F26" s="307"/>
      <c r="G26" s="307"/>
      <c r="H26" s="371"/>
      <c r="I26" s="371"/>
      <c r="J26" s="371"/>
      <c r="K26" s="371"/>
      <c r="L26" s="371"/>
      <c r="M26" s="371"/>
      <c r="N26" s="371"/>
      <c r="O26" s="371"/>
      <c r="P26" s="371"/>
      <c r="Q26" s="371"/>
      <c r="R26" s="371"/>
      <c r="S26" s="371"/>
      <c r="T26" s="371"/>
      <c r="U26" s="371"/>
      <c r="V26" s="371"/>
      <c r="W26" s="371"/>
      <c r="X26" s="371"/>
      <c r="Y26" s="371"/>
    </row>
    <row r="27" ht="28.5" customHeight="1">
      <c r="A27" s="371"/>
      <c r="B27" s="307"/>
      <c r="C27" s="307"/>
      <c r="D27" s="307"/>
      <c r="E27" s="307"/>
      <c r="F27" s="307"/>
      <c r="G27" s="307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371"/>
      <c r="V27" s="371"/>
      <c r="W27" s="371"/>
      <c r="X27" s="371"/>
      <c r="Y27" s="371"/>
    </row>
    <row r="28" ht="28.5" customHeight="1">
      <c r="A28" s="371"/>
      <c r="B28" s="307"/>
      <c r="C28" s="307"/>
      <c r="D28" s="307"/>
      <c r="E28" s="307"/>
      <c r="F28" s="307"/>
      <c r="G28" s="307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1"/>
      <c r="U28" s="371"/>
      <c r="V28" s="371"/>
      <c r="W28" s="371"/>
      <c r="X28" s="371"/>
      <c r="Y28" s="371"/>
    </row>
    <row r="29" ht="28.5" customHeight="1">
      <c r="A29" s="371"/>
      <c r="B29" s="307"/>
      <c r="C29" s="307"/>
      <c r="D29" s="307"/>
      <c r="E29" s="307"/>
      <c r="F29" s="307"/>
      <c r="G29" s="307"/>
      <c r="H29" s="371"/>
      <c r="I29" s="371"/>
      <c r="J29" s="371"/>
      <c r="K29" s="371"/>
      <c r="L29" s="371"/>
      <c r="M29" s="371"/>
      <c r="N29" s="371"/>
      <c r="O29" s="371"/>
      <c r="P29" s="371"/>
      <c r="Q29" s="371"/>
      <c r="R29" s="371"/>
      <c r="S29" s="371"/>
      <c r="T29" s="371"/>
      <c r="U29" s="371"/>
      <c r="V29" s="371"/>
      <c r="W29" s="371"/>
      <c r="X29" s="371"/>
      <c r="Y29" s="371"/>
    </row>
    <row r="30" ht="28.5" customHeight="1">
      <c r="A30" s="371"/>
      <c r="B30" s="307"/>
      <c r="C30" s="307"/>
      <c r="D30" s="307"/>
      <c r="E30" s="307"/>
      <c r="F30" s="307"/>
      <c r="G30" s="307"/>
      <c r="H30" s="371"/>
      <c r="I30" s="371"/>
      <c r="J30" s="371"/>
      <c r="K30" s="371"/>
      <c r="L30" s="371"/>
      <c r="M30" s="371"/>
      <c r="N30" s="371"/>
      <c r="O30" s="371"/>
      <c r="P30" s="371"/>
      <c r="Q30" s="371"/>
      <c r="R30" s="371"/>
      <c r="S30" s="371"/>
      <c r="T30" s="371"/>
      <c r="U30" s="371"/>
      <c r="V30" s="371"/>
      <c r="W30" s="371"/>
      <c r="X30" s="371"/>
      <c r="Y30" s="371"/>
    </row>
    <row r="31" ht="28.5" customHeight="1">
      <c r="A31" s="371"/>
      <c r="B31" s="307"/>
      <c r="C31" s="307"/>
      <c r="D31" s="307"/>
      <c r="E31" s="307"/>
      <c r="F31" s="307"/>
      <c r="G31" s="307"/>
      <c r="H31" s="371"/>
      <c r="I31" s="371"/>
      <c r="J31" s="371"/>
      <c r="K31" s="371"/>
      <c r="L31" s="371"/>
      <c r="M31" s="371"/>
      <c r="N31" s="371"/>
      <c r="O31" s="371"/>
      <c r="P31" s="371"/>
      <c r="Q31" s="371"/>
      <c r="R31" s="371"/>
      <c r="S31" s="371"/>
      <c r="T31" s="371"/>
      <c r="U31" s="371"/>
      <c r="V31" s="371"/>
      <c r="W31" s="371"/>
      <c r="X31" s="371"/>
      <c r="Y31" s="371"/>
    </row>
    <row r="32" ht="28.5" customHeight="1">
      <c r="A32" s="371"/>
      <c r="B32" s="307"/>
      <c r="C32" s="307"/>
      <c r="D32" s="307"/>
      <c r="E32" s="307"/>
      <c r="F32" s="307"/>
      <c r="G32" s="307"/>
      <c r="H32" s="371"/>
      <c r="I32" s="371"/>
      <c r="J32" s="371"/>
      <c r="K32" s="371"/>
      <c r="L32" s="371"/>
      <c r="M32" s="371"/>
      <c r="N32" s="371"/>
      <c r="O32" s="371"/>
      <c r="P32" s="371"/>
      <c r="Q32" s="371"/>
      <c r="R32" s="371"/>
      <c r="S32" s="371"/>
      <c r="T32" s="371"/>
      <c r="U32" s="371"/>
      <c r="V32" s="371"/>
      <c r="W32" s="371"/>
      <c r="X32" s="371"/>
      <c r="Y32" s="371"/>
    </row>
    <row r="33" ht="28.5" customHeight="1">
      <c r="A33" s="371"/>
      <c r="B33" s="307"/>
      <c r="C33" s="307"/>
      <c r="D33" s="307"/>
      <c r="E33" s="307"/>
      <c r="F33" s="307"/>
      <c r="G33" s="307"/>
      <c r="H33" s="371"/>
      <c r="I33" s="371"/>
      <c r="J33" s="371"/>
      <c r="K33" s="371"/>
      <c r="L33" s="371"/>
      <c r="M33" s="371"/>
      <c r="N33" s="371"/>
      <c r="O33" s="371"/>
      <c r="P33" s="371"/>
      <c r="Q33" s="371"/>
      <c r="R33" s="371"/>
      <c r="S33" s="371"/>
      <c r="T33" s="371"/>
      <c r="U33" s="371"/>
      <c r="V33" s="371"/>
      <c r="W33" s="371"/>
      <c r="X33" s="371"/>
      <c r="Y33" s="371"/>
    </row>
    <row r="34" ht="28.5" customHeight="1">
      <c r="A34" s="371"/>
      <c r="B34" s="307"/>
      <c r="C34" s="307"/>
      <c r="D34" s="307"/>
      <c r="E34" s="307"/>
      <c r="F34" s="307"/>
      <c r="G34" s="307"/>
      <c r="H34" s="371"/>
      <c r="I34" s="371"/>
      <c r="J34" s="371"/>
      <c r="K34" s="371"/>
      <c r="L34" s="371"/>
      <c r="M34" s="371"/>
      <c r="N34" s="371"/>
      <c r="O34" s="371"/>
      <c r="P34" s="371"/>
      <c r="Q34" s="371"/>
      <c r="R34" s="371"/>
      <c r="S34" s="371"/>
      <c r="T34" s="371"/>
      <c r="U34" s="371"/>
      <c r="V34" s="371"/>
      <c r="W34" s="371"/>
      <c r="X34" s="371"/>
      <c r="Y34" s="371"/>
    </row>
    <row r="35" ht="28.5" customHeight="1">
      <c r="A35" s="371"/>
      <c r="B35" s="307"/>
      <c r="C35" s="307"/>
      <c r="D35" s="307"/>
      <c r="E35" s="307"/>
      <c r="F35" s="307"/>
      <c r="G35" s="307"/>
      <c r="H35" s="371"/>
      <c r="I35" s="371"/>
      <c r="J35" s="371"/>
      <c r="K35" s="371"/>
      <c r="L35" s="371"/>
      <c r="M35" s="371"/>
      <c r="N35" s="371"/>
      <c r="O35" s="371"/>
      <c r="P35" s="371"/>
      <c r="Q35" s="371"/>
      <c r="R35" s="371"/>
      <c r="S35" s="371"/>
      <c r="T35" s="371"/>
      <c r="U35" s="371"/>
      <c r="V35" s="371"/>
      <c r="W35" s="371"/>
      <c r="X35" s="371"/>
      <c r="Y35" s="371"/>
    </row>
    <row r="36" ht="28.5" customHeight="1">
      <c r="A36" s="371"/>
      <c r="B36" s="307"/>
      <c r="C36" s="307"/>
      <c r="D36" s="307"/>
      <c r="E36" s="307"/>
      <c r="F36" s="307"/>
      <c r="G36" s="307"/>
      <c r="H36" s="371"/>
      <c r="I36" s="371"/>
      <c r="J36" s="371"/>
      <c r="K36" s="371"/>
      <c r="L36" s="371"/>
      <c r="M36" s="371"/>
      <c r="N36" s="371"/>
      <c r="O36" s="371"/>
      <c r="P36" s="371"/>
      <c r="Q36" s="371"/>
      <c r="R36" s="371"/>
      <c r="S36" s="371"/>
      <c r="T36" s="371"/>
      <c r="U36" s="371"/>
      <c r="V36" s="371"/>
      <c r="W36" s="371"/>
      <c r="X36" s="371"/>
      <c r="Y36" s="371"/>
    </row>
    <row r="37" ht="28.5" customHeight="1">
      <c r="A37" s="371"/>
      <c r="B37" s="307"/>
      <c r="C37" s="307"/>
      <c r="D37" s="307"/>
      <c r="E37" s="307"/>
      <c r="F37" s="307"/>
      <c r="G37" s="307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371"/>
      <c r="V37" s="371"/>
      <c r="W37" s="371"/>
      <c r="X37" s="371"/>
      <c r="Y37" s="371"/>
    </row>
    <row r="38" ht="28.5" customHeight="1">
      <c r="A38" s="371"/>
      <c r="B38" s="307"/>
      <c r="C38" s="307"/>
      <c r="D38" s="307"/>
      <c r="E38" s="307"/>
      <c r="F38" s="307"/>
      <c r="G38" s="307"/>
      <c r="H38" s="371"/>
      <c r="I38" s="371"/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</row>
    <row r="39" ht="28.5" customHeight="1">
      <c r="A39" s="371"/>
      <c r="B39" s="307"/>
      <c r="C39" s="307"/>
      <c r="D39" s="307"/>
      <c r="E39" s="307"/>
      <c r="F39" s="307"/>
      <c r="G39" s="307"/>
      <c r="H39" s="371"/>
      <c r="I39" s="371"/>
      <c r="J39" s="371"/>
      <c r="K39" s="371"/>
      <c r="L39" s="371"/>
      <c r="M39" s="371"/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</row>
    <row r="40" ht="28.5" customHeight="1">
      <c r="A40" s="371"/>
      <c r="B40" s="307"/>
      <c r="C40" s="307"/>
      <c r="D40" s="307"/>
      <c r="E40" s="307"/>
      <c r="F40" s="307"/>
      <c r="G40" s="307"/>
      <c r="H40" s="371"/>
      <c r="I40" s="371"/>
      <c r="J40" s="371"/>
      <c r="K40" s="371"/>
      <c r="L40" s="371"/>
      <c r="M40" s="371"/>
      <c r="N40" s="371"/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</row>
    <row r="41" ht="28.5" customHeight="1">
      <c r="A41" s="371"/>
      <c r="B41" s="307"/>
      <c r="C41" s="307"/>
      <c r="D41" s="307"/>
      <c r="E41" s="307"/>
      <c r="F41" s="307"/>
      <c r="G41" s="307"/>
      <c r="H41" s="371"/>
      <c r="I41" s="371"/>
      <c r="J41" s="371"/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71"/>
      <c r="V41" s="371"/>
      <c r="W41" s="371"/>
      <c r="X41" s="371"/>
      <c r="Y41" s="371"/>
    </row>
    <row r="42" ht="28.5" customHeight="1">
      <c r="A42" s="371"/>
      <c r="B42" s="307"/>
      <c r="C42" s="307"/>
      <c r="D42" s="307"/>
      <c r="E42" s="307"/>
      <c r="F42" s="307"/>
      <c r="G42" s="307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</row>
    <row r="43" ht="28.5" customHeight="1">
      <c r="A43" s="371"/>
      <c r="B43" s="307"/>
      <c r="C43" s="307"/>
      <c r="D43" s="307"/>
      <c r="E43" s="307"/>
      <c r="F43" s="307"/>
      <c r="G43" s="307"/>
      <c r="H43" s="371"/>
      <c r="I43" s="371"/>
      <c r="J43" s="371"/>
      <c r="K43" s="371"/>
      <c r="L43" s="371"/>
      <c r="M43" s="371"/>
      <c r="N43" s="371"/>
      <c r="O43" s="371"/>
      <c r="P43" s="371"/>
      <c r="Q43" s="371"/>
      <c r="R43" s="371"/>
      <c r="S43" s="371"/>
      <c r="T43" s="371"/>
      <c r="U43" s="371"/>
      <c r="V43" s="371"/>
      <c r="W43" s="371"/>
      <c r="X43" s="371"/>
      <c r="Y43" s="371"/>
    </row>
    <row r="44" ht="28.5" customHeight="1">
      <c r="A44" s="371"/>
      <c r="B44" s="307"/>
      <c r="C44" s="307"/>
      <c r="D44" s="307"/>
      <c r="E44" s="307"/>
      <c r="F44" s="307"/>
      <c r="G44" s="307"/>
      <c r="H44" s="371"/>
      <c r="I44" s="371"/>
      <c r="J44" s="371"/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</row>
    <row r="45" ht="28.5" customHeight="1">
      <c r="A45" s="371"/>
      <c r="B45" s="307"/>
      <c r="C45" s="307"/>
      <c r="D45" s="307"/>
      <c r="E45" s="307"/>
      <c r="F45" s="307"/>
      <c r="G45" s="307"/>
      <c r="H45" s="371"/>
      <c r="I45" s="371"/>
      <c r="J45" s="371"/>
      <c r="K45" s="371"/>
      <c r="L45" s="371"/>
      <c r="M45" s="371"/>
      <c r="N45" s="371"/>
      <c r="O45" s="371"/>
      <c r="P45" s="371"/>
      <c r="Q45" s="371"/>
      <c r="R45" s="371"/>
      <c r="S45" s="371"/>
      <c r="T45" s="371"/>
      <c r="U45" s="371"/>
      <c r="V45" s="371"/>
      <c r="W45" s="371"/>
      <c r="X45" s="371"/>
      <c r="Y45" s="371"/>
    </row>
    <row r="46" ht="28.5" customHeight="1">
      <c r="A46" s="371"/>
      <c r="B46" s="307"/>
      <c r="C46" s="307"/>
      <c r="D46" s="307"/>
      <c r="E46" s="307"/>
      <c r="F46" s="307"/>
      <c r="G46" s="307"/>
      <c r="H46" s="371"/>
      <c r="I46" s="371"/>
      <c r="J46" s="371"/>
      <c r="K46" s="371"/>
      <c r="L46" s="371"/>
      <c r="M46" s="371"/>
      <c r="N46" s="371"/>
      <c r="O46" s="371"/>
      <c r="P46" s="371"/>
      <c r="Q46" s="371"/>
      <c r="R46" s="371"/>
      <c r="S46" s="371"/>
      <c r="T46" s="371"/>
      <c r="U46" s="371"/>
      <c r="V46" s="371"/>
      <c r="W46" s="371"/>
      <c r="X46" s="371"/>
      <c r="Y46" s="371"/>
    </row>
    <row r="47" ht="28.5" customHeight="1">
      <c r="A47" s="371"/>
      <c r="B47" s="307"/>
      <c r="C47" s="307"/>
      <c r="D47" s="307"/>
      <c r="E47" s="307"/>
      <c r="F47" s="307"/>
      <c r="G47" s="307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371"/>
      <c r="V47" s="371"/>
      <c r="W47" s="371"/>
      <c r="X47" s="371"/>
      <c r="Y47" s="371"/>
    </row>
    <row r="48" ht="28.5" customHeight="1">
      <c r="A48" s="371"/>
      <c r="B48" s="307"/>
      <c r="C48" s="307"/>
      <c r="D48" s="307"/>
      <c r="E48" s="307"/>
      <c r="F48" s="307"/>
      <c r="G48" s="307"/>
      <c r="H48" s="371"/>
      <c r="I48" s="371"/>
      <c r="J48" s="371"/>
      <c r="K48" s="371"/>
      <c r="L48" s="371"/>
      <c r="M48" s="371"/>
      <c r="N48" s="371"/>
      <c r="O48" s="371"/>
      <c r="P48" s="371"/>
      <c r="Q48" s="371"/>
      <c r="R48" s="371"/>
      <c r="S48" s="371"/>
      <c r="T48" s="371"/>
      <c r="U48" s="371"/>
      <c r="V48" s="371"/>
      <c r="W48" s="371"/>
      <c r="X48" s="371"/>
      <c r="Y48" s="371"/>
    </row>
    <row r="49" ht="28.5" customHeight="1">
      <c r="A49" s="371"/>
      <c r="B49" s="307"/>
      <c r="C49" s="307"/>
      <c r="D49" s="307"/>
      <c r="E49" s="307"/>
      <c r="F49" s="307"/>
      <c r="G49" s="307"/>
      <c r="H49" s="371"/>
      <c r="I49" s="371"/>
      <c r="J49" s="371"/>
      <c r="K49" s="371"/>
      <c r="L49" s="371"/>
      <c r="M49" s="371"/>
      <c r="N49" s="371"/>
      <c r="O49" s="371"/>
      <c r="P49" s="371"/>
      <c r="Q49" s="371"/>
      <c r="R49" s="371"/>
      <c r="S49" s="371"/>
      <c r="T49" s="371"/>
      <c r="U49" s="371"/>
      <c r="V49" s="371"/>
      <c r="W49" s="371"/>
      <c r="X49" s="371"/>
      <c r="Y49" s="371"/>
    </row>
    <row r="50" ht="28.5" customHeight="1">
      <c r="A50" s="371"/>
      <c r="B50" s="307"/>
      <c r="C50" s="307"/>
      <c r="D50" s="307"/>
      <c r="E50" s="307"/>
      <c r="F50" s="307"/>
      <c r="G50" s="307"/>
      <c r="H50" s="371"/>
      <c r="I50" s="371"/>
      <c r="J50" s="371"/>
      <c r="K50" s="371"/>
      <c r="L50" s="371"/>
      <c r="M50" s="371"/>
      <c r="N50" s="371"/>
      <c r="O50" s="371"/>
      <c r="P50" s="371"/>
      <c r="Q50" s="371"/>
      <c r="R50" s="371"/>
      <c r="S50" s="371"/>
      <c r="T50" s="371"/>
      <c r="U50" s="371"/>
      <c r="V50" s="371"/>
      <c r="W50" s="371"/>
      <c r="X50" s="371"/>
      <c r="Y50" s="371"/>
    </row>
    <row r="51" ht="28.5" customHeight="1">
      <c r="A51" s="371"/>
      <c r="B51" s="307"/>
      <c r="C51" s="307"/>
      <c r="D51" s="307"/>
      <c r="E51" s="307"/>
      <c r="F51" s="307"/>
      <c r="G51" s="307"/>
      <c r="H51" s="371"/>
      <c r="I51" s="371"/>
      <c r="J51" s="371"/>
      <c r="K51" s="371"/>
      <c r="L51" s="371"/>
      <c r="M51" s="371"/>
      <c r="N51" s="371"/>
      <c r="O51" s="371"/>
      <c r="P51" s="371"/>
      <c r="Q51" s="371"/>
      <c r="R51" s="371"/>
      <c r="S51" s="371"/>
      <c r="T51" s="371"/>
      <c r="U51" s="371"/>
      <c r="V51" s="371"/>
      <c r="W51" s="371"/>
      <c r="X51" s="371"/>
      <c r="Y51" s="371"/>
    </row>
    <row r="52" ht="28.5" customHeight="1">
      <c r="A52" s="371"/>
      <c r="B52" s="307"/>
      <c r="C52" s="307"/>
      <c r="D52" s="307"/>
      <c r="E52" s="307"/>
      <c r="F52" s="307"/>
      <c r="G52" s="307"/>
      <c r="H52" s="371"/>
      <c r="I52" s="371"/>
      <c r="J52" s="371"/>
      <c r="K52" s="371"/>
      <c r="L52" s="371"/>
      <c r="M52" s="371"/>
      <c r="N52" s="371"/>
      <c r="O52" s="371"/>
      <c r="P52" s="371"/>
      <c r="Q52" s="371"/>
      <c r="R52" s="371"/>
      <c r="S52" s="371"/>
      <c r="T52" s="371"/>
      <c r="U52" s="371"/>
      <c r="V52" s="371"/>
      <c r="W52" s="371"/>
      <c r="X52" s="371"/>
      <c r="Y52" s="371"/>
    </row>
    <row r="53" ht="28.5" customHeight="1">
      <c r="A53" s="371"/>
      <c r="B53" s="307"/>
      <c r="C53" s="307"/>
      <c r="D53" s="307"/>
      <c r="E53" s="307"/>
      <c r="F53" s="307"/>
      <c r="G53" s="307"/>
      <c r="H53" s="371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371"/>
      <c r="T53" s="371"/>
      <c r="U53" s="371"/>
      <c r="V53" s="371"/>
      <c r="W53" s="371"/>
      <c r="X53" s="371"/>
      <c r="Y53" s="371"/>
    </row>
    <row r="54" ht="28.5" customHeight="1">
      <c r="A54" s="371"/>
      <c r="B54" s="307"/>
      <c r="C54" s="307"/>
      <c r="D54" s="307"/>
      <c r="E54" s="307"/>
      <c r="F54" s="307"/>
      <c r="G54" s="307"/>
      <c r="H54" s="371"/>
      <c r="I54" s="371"/>
      <c r="J54" s="371"/>
      <c r="K54" s="371"/>
      <c r="L54" s="371"/>
      <c r="M54" s="371"/>
      <c r="N54" s="371"/>
      <c r="O54" s="371"/>
      <c r="P54" s="371"/>
      <c r="Q54" s="371"/>
      <c r="R54" s="371"/>
      <c r="S54" s="371"/>
      <c r="T54" s="371"/>
      <c r="U54" s="371"/>
      <c r="V54" s="371"/>
      <c r="W54" s="371"/>
      <c r="X54" s="371"/>
      <c r="Y54" s="371"/>
    </row>
    <row r="55" ht="28.5" customHeight="1">
      <c r="A55" s="371"/>
      <c r="B55" s="307"/>
      <c r="C55" s="307"/>
      <c r="D55" s="307"/>
      <c r="E55" s="307"/>
      <c r="F55" s="307"/>
      <c r="G55" s="307"/>
      <c r="H55" s="371"/>
      <c r="I55" s="371"/>
      <c r="J55" s="371"/>
      <c r="K55" s="371"/>
      <c r="L55" s="371"/>
      <c r="M55" s="371"/>
      <c r="N55" s="371"/>
      <c r="O55" s="371"/>
      <c r="P55" s="371"/>
      <c r="Q55" s="371"/>
      <c r="R55" s="371"/>
      <c r="S55" s="371"/>
      <c r="T55" s="371"/>
      <c r="U55" s="371"/>
      <c r="V55" s="371"/>
      <c r="W55" s="371"/>
      <c r="X55" s="371"/>
      <c r="Y55" s="371"/>
    </row>
    <row r="56" ht="28.5" customHeight="1">
      <c r="A56" s="371"/>
      <c r="B56" s="307"/>
      <c r="C56" s="307"/>
      <c r="D56" s="307"/>
      <c r="E56" s="307"/>
      <c r="F56" s="307"/>
      <c r="G56" s="307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/>
    </row>
    <row r="57" ht="28.5" customHeight="1">
      <c r="A57" s="371"/>
      <c r="B57" s="307"/>
      <c r="C57" s="307"/>
      <c r="D57" s="307"/>
      <c r="E57" s="307"/>
      <c r="F57" s="307"/>
      <c r="G57" s="307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71"/>
      <c r="V57" s="371"/>
      <c r="W57" s="371"/>
      <c r="X57" s="371"/>
      <c r="Y57" s="371"/>
    </row>
    <row r="58" ht="28.5" customHeight="1">
      <c r="A58" s="371"/>
      <c r="B58" s="307"/>
      <c r="C58" s="307"/>
      <c r="D58" s="307"/>
      <c r="E58" s="307"/>
      <c r="F58" s="307"/>
      <c r="G58" s="307"/>
      <c r="H58" s="371"/>
      <c r="I58" s="371"/>
      <c r="J58" s="371"/>
      <c r="K58" s="371"/>
      <c r="L58" s="371"/>
      <c r="M58" s="371"/>
      <c r="N58" s="371"/>
      <c r="O58" s="371"/>
      <c r="P58" s="371"/>
      <c r="Q58" s="371"/>
      <c r="R58" s="371"/>
      <c r="S58" s="371"/>
      <c r="T58" s="371"/>
      <c r="U58" s="371"/>
      <c r="V58" s="371"/>
      <c r="W58" s="371"/>
      <c r="X58" s="371"/>
      <c r="Y58" s="371"/>
    </row>
    <row r="59" ht="28.5" customHeight="1">
      <c r="A59" s="371"/>
      <c r="B59" s="307"/>
      <c r="C59" s="307"/>
      <c r="D59" s="307"/>
      <c r="E59" s="307"/>
      <c r="F59" s="307"/>
      <c r="G59" s="307"/>
      <c r="H59" s="371"/>
      <c r="I59" s="371"/>
      <c r="J59" s="371"/>
      <c r="K59" s="371"/>
      <c r="L59" s="371"/>
      <c r="M59" s="371"/>
      <c r="N59" s="371"/>
      <c r="O59" s="371"/>
      <c r="P59" s="371"/>
      <c r="Q59" s="371"/>
      <c r="R59" s="371"/>
      <c r="S59" s="371"/>
      <c r="T59" s="371"/>
      <c r="U59" s="371"/>
      <c r="V59" s="371"/>
      <c r="W59" s="371"/>
      <c r="X59" s="371"/>
      <c r="Y59" s="371"/>
    </row>
    <row r="60" ht="28.5" customHeight="1">
      <c r="A60" s="371"/>
      <c r="B60" s="307"/>
      <c r="C60" s="307"/>
      <c r="D60" s="307"/>
      <c r="E60" s="307"/>
      <c r="F60" s="307"/>
      <c r="G60" s="307"/>
      <c r="H60" s="371"/>
      <c r="I60" s="371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  <c r="U60" s="371"/>
      <c r="V60" s="371"/>
      <c r="W60" s="371"/>
      <c r="X60" s="371"/>
      <c r="Y60" s="371"/>
    </row>
    <row r="61" ht="28.5" customHeight="1">
      <c r="A61" s="371"/>
      <c r="B61" s="307"/>
      <c r="C61" s="307"/>
      <c r="D61" s="307"/>
      <c r="E61" s="307"/>
      <c r="F61" s="307"/>
      <c r="G61" s="307"/>
      <c r="H61" s="371"/>
      <c r="I61" s="371"/>
      <c r="J61" s="371"/>
      <c r="K61" s="371"/>
      <c r="L61" s="371"/>
      <c r="M61" s="371"/>
      <c r="N61" s="371"/>
      <c r="O61" s="371"/>
      <c r="P61" s="371"/>
      <c r="Q61" s="371"/>
      <c r="R61" s="371"/>
      <c r="S61" s="371"/>
      <c r="T61" s="371"/>
      <c r="U61" s="371"/>
      <c r="V61" s="371"/>
      <c r="W61" s="371"/>
      <c r="X61" s="371"/>
      <c r="Y61" s="371"/>
    </row>
    <row r="62" ht="28.5" customHeight="1">
      <c r="A62" s="371"/>
      <c r="B62" s="307"/>
      <c r="C62" s="307"/>
      <c r="D62" s="307"/>
      <c r="E62" s="307"/>
      <c r="F62" s="307"/>
      <c r="G62" s="307"/>
      <c r="H62" s="371"/>
      <c r="I62" s="371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  <c r="U62" s="371"/>
      <c r="V62" s="371"/>
      <c r="W62" s="371"/>
      <c r="X62" s="371"/>
      <c r="Y62" s="371"/>
    </row>
    <row r="63" ht="28.5" customHeight="1">
      <c r="A63" s="371"/>
      <c r="B63" s="307"/>
      <c r="C63" s="307"/>
      <c r="D63" s="307"/>
      <c r="E63" s="307"/>
      <c r="F63" s="307"/>
      <c r="G63" s="307"/>
      <c r="H63" s="371"/>
      <c r="I63" s="371"/>
      <c r="J63" s="371"/>
      <c r="K63" s="371"/>
      <c r="L63" s="371"/>
      <c r="M63" s="371"/>
      <c r="N63" s="371"/>
      <c r="O63" s="371"/>
      <c r="P63" s="371"/>
      <c r="Q63" s="371"/>
      <c r="R63" s="371"/>
      <c r="S63" s="371"/>
      <c r="T63" s="371"/>
      <c r="U63" s="371"/>
      <c r="V63" s="371"/>
      <c r="W63" s="371"/>
      <c r="X63" s="371"/>
      <c r="Y63" s="371"/>
    </row>
    <row r="64" ht="28.5" customHeight="1">
      <c r="A64" s="371"/>
      <c r="B64" s="307"/>
      <c r="C64" s="307"/>
      <c r="D64" s="307"/>
      <c r="E64" s="307"/>
      <c r="F64" s="307"/>
      <c r="G64" s="307"/>
      <c r="H64" s="371"/>
      <c r="I64" s="371"/>
      <c r="J64" s="371"/>
      <c r="K64" s="371"/>
      <c r="L64" s="371"/>
      <c r="M64" s="371"/>
      <c r="N64" s="371"/>
      <c r="O64" s="371"/>
      <c r="P64" s="371"/>
      <c r="Q64" s="371"/>
      <c r="R64" s="371"/>
      <c r="S64" s="371"/>
      <c r="T64" s="371"/>
      <c r="U64" s="371"/>
      <c r="V64" s="371"/>
      <c r="W64" s="371"/>
      <c r="X64" s="371"/>
      <c r="Y64" s="371"/>
    </row>
    <row r="65" ht="28.5" customHeight="1">
      <c r="A65" s="371"/>
      <c r="B65" s="307"/>
      <c r="C65" s="307"/>
      <c r="D65" s="307"/>
      <c r="E65" s="307"/>
      <c r="F65" s="307"/>
      <c r="G65" s="307"/>
      <c r="H65" s="371"/>
      <c r="I65" s="371"/>
      <c r="J65" s="371"/>
      <c r="K65" s="371"/>
      <c r="L65" s="371"/>
      <c r="M65" s="371"/>
      <c r="N65" s="371"/>
      <c r="O65" s="371"/>
      <c r="P65" s="371"/>
      <c r="Q65" s="371"/>
      <c r="R65" s="371"/>
      <c r="S65" s="371"/>
      <c r="T65" s="371"/>
      <c r="U65" s="371"/>
      <c r="V65" s="371"/>
      <c r="W65" s="371"/>
      <c r="X65" s="371"/>
      <c r="Y65" s="371"/>
    </row>
    <row r="66" ht="28.5" customHeight="1">
      <c r="A66" s="371"/>
      <c r="B66" s="307"/>
      <c r="C66" s="307"/>
      <c r="D66" s="307"/>
      <c r="E66" s="307"/>
      <c r="F66" s="307"/>
      <c r="G66" s="307"/>
      <c r="H66" s="371"/>
      <c r="I66" s="371"/>
      <c r="J66" s="371"/>
      <c r="K66" s="371"/>
      <c r="L66" s="371"/>
      <c r="M66" s="371"/>
      <c r="N66" s="371"/>
      <c r="O66" s="371"/>
      <c r="P66" s="371"/>
      <c r="Q66" s="371"/>
      <c r="R66" s="371"/>
      <c r="S66" s="371"/>
      <c r="T66" s="371"/>
      <c r="U66" s="371"/>
      <c r="V66" s="371"/>
      <c r="W66" s="371"/>
      <c r="X66" s="371"/>
      <c r="Y66" s="371"/>
    </row>
    <row r="67" ht="28.5" customHeight="1">
      <c r="A67" s="371"/>
      <c r="B67" s="307"/>
      <c r="C67" s="307"/>
      <c r="D67" s="307"/>
      <c r="E67" s="307"/>
      <c r="F67" s="307"/>
      <c r="G67" s="307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71"/>
      <c r="V67" s="371"/>
      <c r="W67" s="371"/>
      <c r="X67" s="371"/>
      <c r="Y67" s="371"/>
    </row>
    <row r="68" ht="28.5" customHeight="1">
      <c r="A68" s="371"/>
      <c r="B68" s="307"/>
      <c r="C68" s="307"/>
      <c r="D68" s="307"/>
      <c r="E68" s="307"/>
      <c r="F68" s="307"/>
      <c r="G68" s="307"/>
      <c r="H68" s="371"/>
      <c r="I68" s="371"/>
      <c r="J68" s="371"/>
      <c r="K68" s="371"/>
      <c r="L68" s="371"/>
      <c r="M68" s="371"/>
      <c r="N68" s="371"/>
      <c r="O68" s="371"/>
      <c r="P68" s="371"/>
      <c r="Q68" s="371"/>
      <c r="R68" s="371"/>
      <c r="S68" s="371"/>
      <c r="T68" s="371"/>
      <c r="U68" s="371"/>
      <c r="V68" s="371"/>
      <c r="W68" s="371"/>
      <c r="X68" s="371"/>
      <c r="Y68" s="371"/>
    </row>
    <row r="69" ht="28.5" customHeight="1">
      <c r="A69" s="371"/>
      <c r="B69" s="307"/>
      <c r="C69" s="307"/>
      <c r="D69" s="307"/>
      <c r="E69" s="307"/>
      <c r="F69" s="307"/>
      <c r="G69" s="307"/>
      <c r="H69" s="371"/>
      <c r="I69" s="371"/>
      <c r="J69" s="371"/>
      <c r="K69" s="371"/>
      <c r="L69" s="371"/>
      <c r="M69" s="371"/>
      <c r="N69" s="371"/>
      <c r="O69" s="371"/>
      <c r="P69" s="371"/>
      <c r="Q69" s="371"/>
      <c r="R69" s="371"/>
      <c r="S69" s="371"/>
      <c r="T69" s="371"/>
      <c r="U69" s="371"/>
      <c r="V69" s="371"/>
      <c r="W69" s="371"/>
      <c r="X69" s="371"/>
      <c r="Y69" s="371"/>
    </row>
    <row r="70" ht="28.5" customHeight="1">
      <c r="A70" s="371"/>
      <c r="B70" s="307"/>
      <c r="C70" s="307"/>
      <c r="D70" s="307"/>
      <c r="E70" s="307"/>
      <c r="F70" s="307"/>
      <c r="G70" s="307"/>
      <c r="H70" s="371"/>
      <c r="I70" s="371"/>
      <c r="J70" s="371"/>
      <c r="K70" s="371"/>
      <c r="L70" s="371"/>
      <c r="M70" s="371"/>
      <c r="N70" s="371"/>
      <c r="O70" s="371"/>
      <c r="P70" s="371"/>
      <c r="Q70" s="371"/>
      <c r="R70" s="371"/>
      <c r="S70" s="371"/>
      <c r="T70" s="371"/>
      <c r="U70" s="371"/>
      <c r="V70" s="371"/>
      <c r="W70" s="371"/>
      <c r="X70" s="371"/>
      <c r="Y70" s="371"/>
    </row>
    <row r="71" ht="28.5" customHeight="1">
      <c r="A71" s="371"/>
      <c r="B71" s="307"/>
      <c r="C71" s="307"/>
      <c r="D71" s="307"/>
      <c r="E71" s="307"/>
      <c r="F71" s="307"/>
      <c r="G71" s="307"/>
      <c r="H71" s="371"/>
      <c r="I71" s="371"/>
      <c r="J71" s="371"/>
      <c r="K71" s="371"/>
      <c r="L71" s="371"/>
      <c r="M71" s="371"/>
      <c r="N71" s="371"/>
      <c r="O71" s="371"/>
      <c r="P71" s="371"/>
      <c r="Q71" s="371"/>
      <c r="R71" s="371"/>
      <c r="S71" s="371"/>
      <c r="T71" s="371"/>
      <c r="U71" s="371"/>
      <c r="V71" s="371"/>
      <c r="W71" s="371"/>
      <c r="X71" s="371"/>
      <c r="Y71" s="371"/>
    </row>
    <row r="72" ht="28.5" customHeight="1">
      <c r="A72" s="371"/>
      <c r="B72" s="307"/>
      <c r="C72" s="307"/>
      <c r="D72" s="307"/>
      <c r="E72" s="307"/>
      <c r="F72" s="307"/>
      <c r="G72" s="307"/>
      <c r="H72" s="371"/>
      <c r="I72" s="371"/>
      <c r="J72" s="371"/>
      <c r="K72" s="371"/>
      <c r="L72" s="371"/>
      <c r="M72" s="371"/>
      <c r="N72" s="371"/>
      <c r="O72" s="371"/>
      <c r="P72" s="371"/>
      <c r="Q72" s="371"/>
      <c r="R72" s="371"/>
      <c r="S72" s="371"/>
      <c r="T72" s="371"/>
      <c r="U72" s="371"/>
      <c r="V72" s="371"/>
      <c r="W72" s="371"/>
      <c r="X72" s="371"/>
      <c r="Y72" s="371"/>
    </row>
    <row r="73" ht="28.5" customHeight="1">
      <c r="A73" s="371"/>
      <c r="B73" s="307"/>
      <c r="C73" s="307"/>
      <c r="D73" s="307"/>
      <c r="E73" s="307"/>
      <c r="F73" s="307"/>
      <c r="G73" s="307"/>
      <c r="H73" s="371"/>
      <c r="I73" s="371"/>
      <c r="J73" s="371"/>
      <c r="K73" s="371"/>
      <c r="L73" s="371"/>
      <c r="M73" s="371"/>
      <c r="N73" s="371"/>
      <c r="O73" s="371"/>
      <c r="P73" s="371"/>
      <c r="Q73" s="371"/>
      <c r="R73" s="371"/>
      <c r="S73" s="371"/>
      <c r="T73" s="371"/>
      <c r="U73" s="371"/>
      <c r="V73" s="371"/>
      <c r="W73" s="371"/>
      <c r="X73" s="371"/>
      <c r="Y73" s="371"/>
    </row>
    <row r="74" ht="28.5" customHeight="1">
      <c r="A74" s="371"/>
      <c r="B74" s="307"/>
      <c r="C74" s="307"/>
      <c r="D74" s="307"/>
      <c r="E74" s="307"/>
      <c r="F74" s="307"/>
      <c r="G74" s="307"/>
      <c r="H74" s="371"/>
      <c r="I74" s="371"/>
      <c r="J74" s="371"/>
      <c r="K74" s="371"/>
      <c r="L74" s="371"/>
      <c r="M74" s="371"/>
      <c r="N74" s="371"/>
      <c r="O74" s="371"/>
      <c r="P74" s="371"/>
      <c r="Q74" s="371"/>
      <c r="R74" s="371"/>
      <c r="S74" s="371"/>
      <c r="T74" s="371"/>
      <c r="U74" s="371"/>
      <c r="V74" s="371"/>
      <c r="W74" s="371"/>
      <c r="X74" s="371"/>
      <c r="Y74" s="371"/>
    </row>
    <row r="75" ht="28.5" customHeight="1">
      <c r="A75" s="371"/>
      <c r="B75" s="307"/>
      <c r="C75" s="307"/>
      <c r="D75" s="307"/>
      <c r="E75" s="307"/>
      <c r="F75" s="307"/>
      <c r="G75" s="307"/>
      <c r="H75" s="371"/>
      <c r="I75" s="371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371"/>
      <c r="V75" s="371"/>
      <c r="W75" s="371"/>
      <c r="X75" s="371"/>
      <c r="Y75" s="371"/>
    </row>
    <row r="76" ht="28.5" customHeight="1">
      <c r="A76" s="371"/>
      <c r="B76" s="307"/>
      <c r="C76" s="307"/>
      <c r="D76" s="307"/>
      <c r="E76" s="307"/>
      <c r="F76" s="307"/>
      <c r="G76" s="307"/>
      <c r="H76" s="371"/>
      <c r="I76" s="371"/>
      <c r="J76" s="371"/>
      <c r="K76" s="371"/>
      <c r="L76" s="371"/>
      <c r="M76" s="371"/>
      <c r="N76" s="371"/>
      <c r="O76" s="371"/>
      <c r="P76" s="371"/>
      <c r="Q76" s="371"/>
      <c r="R76" s="371"/>
      <c r="S76" s="371"/>
      <c r="T76" s="371"/>
      <c r="U76" s="371"/>
      <c r="V76" s="371"/>
      <c r="W76" s="371"/>
      <c r="X76" s="371"/>
      <c r="Y76" s="371"/>
    </row>
    <row r="77" ht="28.5" customHeight="1">
      <c r="A77" s="371"/>
      <c r="B77" s="307"/>
      <c r="C77" s="307"/>
      <c r="D77" s="307"/>
      <c r="E77" s="307"/>
      <c r="F77" s="307"/>
      <c r="G77" s="307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71"/>
      <c r="V77" s="371"/>
      <c r="W77" s="371"/>
      <c r="X77" s="371"/>
      <c r="Y77" s="371"/>
    </row>
    <row r="78" ht="28.5" customHeight="1">
      <c r="A78" s="371"/>
      <c r="B78" s="307"/>
      <c r="C78" s="307"/>
      <c r="D78" s="307"/>
      <c r="E78" s="307"/>
      <c r="F78" s="307"/>
      <c r="G78" s="307"/>
      <c r="H78" s="371"/>
      <c r="I78" s="371"/>
      <c r="J78" s="371"/>
      <c r="K78" s="371"/>
      <c r="L78" s="371"/>
      <c r="M78" s="371"/>
      <c r="N78" s="371"/>
      <c r="O78" s="371"/>
      <c r="P78" s="371"/>
      <c r="Q78" s="371"/>
      <c r="R78" s="371"/>
      <c r="S78" s="371"/>
      <c r="T78" s="371"/>
      <c r="U78" s="371"/>
      <c r="V78" s="371"/>
      <c r="W78" s="371"/>
      <c r="X78" s="371"/>
      <c r="Y78" s="371"/>
    </row>
    <row r="79" ht="28.5" customHeight="1">
      <c r="A79" s="371"/>
      <c r="B79" s="307"/>
      <c r="C79" s="307"/>
      <c r="D79" s="307"/>
      <c r="E79" s="307"/>
      <c r="F79" s="307"/>
      <c r="G79" s="307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71"/>
      <c r="W79" s="371"/>
      <c r="X79" s="371"/>
      <c r="Y79" s="371"/>
    </row>
    <row r="80" ht="28.5" customHeight="1">
      <c r="A80" s="371"/>
      <c r="B80" s="307"/>
      <c r="C80" s="307"/>
      <c r="D80" s="307"/>
      <c r="E80" s="307"/>
      <c r="F80" s="307"/>
      <c r="G80" s="307"/>
      <c r="H80" s="371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71"/>
      <c r="V80" s="371"/>
      <c r="W80" s="371"/>
      <c r="X80" s="371"/>
      <c r="Y80" s="371"/>
    </row>
    <row r="81" ht="28.5" customHeight="1">
      <c r="A81" s="371"/>
      <c r="B81" s="307"/>
      <c r="C81" s="307"/>
      <c r="D81" s="307"/>
      <c r="E81" s="307"/>
      <c r="F81" s="307"/>
      <c r="G81" s="307"/>
      <c r="H81" s="371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V81" s="371"/>
      <c r="W81" s="371"/>
      <c r="X81" s="371"/>
      <c r="Y81" s="371"/>
    </row>
    <row r="82" ht="28.5" customHeight="1">
      <c r="A82" s="371"/>
      <c r="B82" s="307"/>
      <c r="C82" s="307"/>
      <c r="D82" s="307"/>
      <c r="E82" s="307"/>
      <c r="F82" s="307"/>
      <c r="G82" s="307"/>
      <c r="H82" s="371"/>
      <c r="I82" s="371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T82" s="371"/>
      <c r="U82" s="371"/>
      <c r="V82" s="371"/>
      <c r="W82" s="371"/>
      <c r="X82" s="371"/>
      <c r="Y82" s="371"/>
    </row>
    <row r="83" ht="28.5" customHeight="1">
      <c r="A83" s="371"/>
      <c r="B83" s="307"/>
      <c r="C83" s="307"/>
      <c r="D83" s="307"/>
      <c r="E83" s="307"/>
      <c r="F83" s="307"/>
      <c r="G83" s="307"/>
      <c r="H83" s="371"/>
      <c r="I83" s="371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T83" s="371"/>
      <c r="U83" s="371"/>
      <c r="V83" s="371"/>
      <c r="W83" s="371"/>
      <c r="X83" s="371"/>
      <c r="Y83" s="371"/>
    </row>
    <row r="84" ht="28.5" customHeight="1">
      <c r="A84" s="371"/>
      <c r="B84" s="307"/>
      <c r="C84" s="307"/>
      <c r="D84" s="307"/>
      <c r="E84" s="307"/>
      <c r="F84" s="307"/>
      <c r="G84" s="307"/>
      <c r="H84" s="371"/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71"/>
      <c r="V84" s="371"/>
      <c r="W84" s="371"/>
      <c r="X84" s="371"/>
      <c r="Y84" s="371"/>
    </row>
    <row r="85" ht="28.5" customHeight="1">
      <c r="A85" s="371"/>
      <c r="B85" s="307"/>
      <c r="C85" s="307"/>
      <c r="D85" s="307"/>
      <c r="E85" s="307"/>
      <c r="F85" s="307"/>
      <c r="G85" s="307"/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71"/>
      <c r="W85" s="371"/>
      <c r="X85" s="371"/>
      <c r="Y85" s="371"/>
    </row>
    <row r="86" ht="28.5" customHeight="1">
      <c r="A86" s="371"/>
      <c r="B86" s="307"/>
      <c r="C86" s="307"/>
      <c r="D86" s="307"/>
      <c r="E86" s="307"/>
      <c r="F86" s="307"/>
      <c r="G86" s="307"/>
      <c r="H86" s="371"/>
      <c r="I86" s="371"/>
      <c r="J86" s="371"/>
      <c r="K86" s="371"/>
      <c r="L86" s="371"/>
      <c r="M86" s="371"/>
      <c r="N86" s="371"/>
      <c r="O86" s="371"/>
      <c r="P86" s="371"/>
      <c r="Q86" s="371"/>
      <c r="R86" s="371"/>
      <c r="S86" s="371"/>
      <c r="T86" s="371"/>
      <c r="U86" s="371"/>
      <c r="V86" s="371"/>
      <c r="W86" s="371"/>
      <c r="X86" s="371"/>
      <c r="Y86" s="371"/>
    </row>
    <row r="87" ht="28.5" customHeight="1">
      <c r="A87" s="371"/>
      <c r="B87" s="307"/>
      <c r="C87" s="307"/>
      <c r="D87" s="307"/>
      <c r="E87" s="307"/>
      <c r="F87" s="307"/>
      <c r="G87" s="307"/>
      <c r="H87" s="371"/>
      <c r="I87" s="371"/>
      <c r="J87" s="371"/>
      <c r="K87" s="371"/>
      <c r="L87" s="371"/>
      <c r="M87" s="371"/>
      <c r="N87" s="371"/>
      <c r="O87" s="371"/>
      <c r="P87" s="371"/>
      <c r="Q87" s="371"/>
      <c r="R87" s="371"/>
      <c r="S87" s="371"/>
      <c r="T87" s="371"/>
      <c r="U87" s="371"/>
      <c r="V87" s="371"/>
      <c r="W87" s="371"/>
      <c r="X87" s="371"/>
      <c r="Y87" s="371"/>
    </row>
    <row r="88" ht="28.5" customHeight="1">
      <c r="A88" s="371"/>
      <c r="B88" s="307"/>
      <c r="C88" s="307"/>
      <c r="D88" s="307"/>
      <c r="E88" s="307"/>
      <c r="F88" s="307"/>
      <c r="G88" s="307"/>
      <c r="H88" s="371"/>
      <c r="I88" s="371"/>
      <c r="J88" s="371"/>
      <c r="K88" s="371"/>
      <c r="L88" s="371"/>
      <c r="M88" s="371"/>
      <c r="N88" s="371"/>
      <c r="O88" s="371"/>
      <c r="P88" s="371"/>
      <c r="Q88" s="371"/>
      <c r="R88" s="371"/>
      <c r="S88" s="371"/>
      <c r="T88" s="371"/>
      <c r="U88" s="371"/>
      <c r="V88" s="371"/>
      <c r="W88" s="371"/>
      <c r="X88" s="371"/>
      <c r="Y88" s="371"/>
    </row>
    <row r="89" ht="28.5" customHeight="1">
      <c r="A89" s="371"/>
      <c r="B89" s="307"/>
      <c r="C89" s="307"/>
      <c r="D89" s="307"/>
      <c r="E89" s="307"/>
      <c r="F89" s="307"/>
      <c r="G89" s="307"/>
      <c r="H89" s="371"/>
      <c r="I89" s="371"/>
      <c r="J89" s="371"/>
      <c r="K89" s="371"/>
      <c r="L89" s="371"/>
      <c r="M89" s="371"/>
      <c r="N89" s="371"/>
      <c r="O89" s="371"/>
      <c r="P89" s="371"/>
      <c r="Q89" s="371"/>
      <c r="R89" s="371"/>
      <c r="S89" s="371"/>
      <c r="T89" s="371"/>
      <c r="U89" s="371"/>
      <c r="V89" s="371"/>
      <c r="W89" s="371"/>
      <c r="X89" s="371"/>
      <c r="Y89" s="371"/>
    </row>
    <row r="90" ht="28.5" customHeight="1">
      <c r="A90" s="371"/>
      <c r="B90" s="307"/>
      <c r="C90" s="307"/>
      <c r="D90" s="307"/>
      <c r="E90" s="307"/>
      <c r="F90" s="307"/>
      <c r="G90" s="307"/>
      <c r="H90" s="371"/>
      <c r="I90" s="371"/>
      <c r="J90" s="371"/>
      <c r="K90" s="371"/>
      <c r="L90" s="371"/>
      <c r="M90" s="371"/>
      <c r="N90" s="371"/>
      <c r="O90" s="371"/>
      <c r="P90" s="371"/>
      <c r="Q90" s="371"/>
      <c r="R90" s="371"/>
      <c r="S90" s="371"/>
      <c r="T90" s="371"/>
      <c r="U90" s="371"/>
      <c r="V90" s="371"/>
      <c r="W90" s="371"/>
      <c r="X90" s="371"/>
      <c r="Y90" s="371"/>
    </row>
    <row r="91" ht="28.5" customHeight="1">
      <c r="A91" s="371"/>
      <c r="B91" s="307"/>
      <c r="C91" s="307"/>
      <c r="D91" s="307"/>
      <c r="E91" s="307"/>
      <c r="F91" s="307"/>
      <c r="G91" s="307"/>
      <c r="H91" s="371"/>
      <c r="I91" s="371"/>
      <c r="J91" s="371"/>
      <c r="K91" s="371"/>
      <c r="L91" s="371"/>
      <c r="M91" s="371"/>
      <c r="N91" s="371"/>
      <c r="O91" s="371"/>
      <c r="P91" s="371"/>
      <c r="Q91" s="371"/>
      <c r="R91" s="371"/>
      <c r="S91" s="371"/>
      <c r="T91" s="371"/>
      <c r="U91" s="371"/>
      <c r="V91" s="371"/>
      <c r="W91" s="371"/>
      <c r="X91" s="371"/>
      <c r="Y91" s="371"/>
    </row>
    <row r="92" ht="28.5" customHeight="1">
      <c r="A92" s="371"/>
      <c r="B92" s="307"/>
      <c r="C92" s="307"/>
      <c r="D92" s="307"/>
      <c r="E92" s="307"/>
      <c r="F92" s="307"/>
      <c r="G92" s="307"/>
      <c r="H92" s="371"/>
      <c r="I92" s="371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371"/>
      <c r="V92" s="371"/>
      <c r="W92" s="371"/>
      <c r="X92" s="371"/>
      <c r="Y92" s="371"/>
    </row>
    <row r="93" ht="28.5" customHeight="1">
      <c r="A93" s="371"/>
      <c r="B93" s="307"/>
      <c r="C93" s="307"/>
      <c r="D93" s="307"/>
      <c r="E93" s="307"/>
      <c r="F93" s="307"/>
      <c r="G93" s="307"/>
      <c r="H93" s="371"/>
      <c r="I93" s="371"/>
      <c r="J93" s="371"/>
      <c r="K93" s="371"/>
      <c r="L93" s="371"/>
      <c r="M93" s="371"/>
      <c r="N93" s="371"/>
      <c r="O93" s="371"/>
      <c r="P93" s="371"/>
      <c r="Q93" s="371"/>
      <c r="R93" s="371"/>
      <c r="S93" s="371"/>
      <c r="T93" s="371"/>
      <c r="U93" s="371"/>
      <c r="V93" s="371"/>
      <c r="W93" s="371"/>
      <c r="X93" s="371"/>
      <c r="Y93" s="371"/>
    </row>
    <row r="94" ht="28.5" customHeight="1">
      <c r="A94" s="371"/>
      <c r="B94" s="307"/>
      <c r="C94" s="307"/>
      <c r="D94" s="307"/>
      <c r="E94" s="307"/>
      <c r="F94" s="307"/>
      <c r="G94" s="307"/>
      <c r="H94" s="371"/>
      <c r="I94" s="371"/>
      <c r="J94" s="371"/>
      <c r="K94" s="371"/>
      <c r="L94" s="371"/>
      <c r="M94" s="371"/>
      <c r="N94" s="371"/>
      <c r="O94" s="371"/>
      <c r="P94" s="371"/>
      <c r="Q94" s="371"/>
      <c r="R94" s="371"/>
      <c r="S94" s="371"/>
      <c r="T94" s="371"/>
      <c r="U94" s="371"/>
      <c r="V94" s="371"/>
      <c r="W94" s="371"/>
      <c r="X94" s="371"/>
      <c r="Y94" s="371"/>
    </row>
    <row r="95" ht="28.5" customHeight="1">
      <c r="A95" s="371"/>
      <c r="B95" s="307"/>
      <c r="C95" s="307"/>
      <c r="D95" s="307"/>
      <c r="E95" s="307"/>
      <c r="F95" s="307"/>
      <c r="G95" s="307"/>
      <c r="H95" s="371"/>
      <c r="I95" s="371"/>
      <c r="J95" s="371"/>
      <c r="K95" s="371"/>
      <c r="L95" s="371"/>
      <c r="M95" s="371"/>
      <c r="N95" s="371"/>
      <c r="O95" s="371"/>
      <c r="P95" s="371"/>
      <c r="Q95" s="371"/>
      <c r="R95" s="371"/>
      <c r="S95" s="371"/>
      <c r="T95" s="371"/>
      <c r="U95" s="371"/>
      <c r="V95" s="371"/>
      <c r="W95" s="371"/>
      <c r="X95" s="371"/>
      <c r="Y95" s="371"/>
    </row>
    <row r="96" ht="28.5" customHeight="1">
      <c r="A96" s="371"/>
      <c r="B96" s="307"/>
      <c r="C96" s="307"/>
      <c r="D96" s="307"/>
      <c r="E96" s="307"/>
      <c r="F96" s="307"/>
      <c r="G96" s="307"/>
      <c r="H96" s="371"/>
      <c r="I96" s="371"/>
      <c r="J96" s="371"/>
      <c r="K96" s="371"/>
      <c r="L96" s="371"/>
      <c r="M96" s="371"/>
      <c r="N96" s="371"/>
      <c r="O96" s="371"/>
      <c r="P96" s="371"/>
      <c r="Q96" s="371"/>
      <c r="R96" s="371"/>
      <c r="S96" s="371"/>
      <c r="T96" s="371"/>
      <c r="U96" s="371"/>
      <c r="V96" s="371"/>
      <c r="W96" s="371"/>
      <c r="X96" s="371"/>
      <c r="Y96" s="371"/>
    </row>
    <row r="97" ht="28.5" customHeight="1">
      <c r="A97" s="371"/>
      <c r="B97" s="307"/>
      <c r="C97" s="307"/>
      <c r="D97" s="307"/>
      <c r="E97" s="307"/>
      <c r="F97" s="307"/>
      <c r="G97" s="307"/>
      <c r="H97" s="371"/>
      <c r="I97" s="371"/>
      <c r="J97" s="371"/>
      <c r="K97" s="371"/>
      <c r="L97" s="371"/>
      <c r="M97" s="371"/>
      <c r="N97" s="371"/>
      <c r="O97" s="371"/>
      <c r="P97" s="371"/>
      <c r="Q97" s="371"/>
      <c r="R97" s="371"/>
      <c r="S97" s="371"/>
      <c r="T97" s="371"/>
      <c r="U97" s="371"/>
      <c r="V97" s="371"/>
      <c r="W97" s="371"/>
      <c r="X97" s="371"/>
      <c r="Y97" s="371"/>
    </row>
    <row r="98" ht="28.5" customHeight="1">
      <c r="A98" s="371"/>
      <c r="B98" s="307"/>
      <c r="C98" s="307"/>
      <c r="D98" s="307"/>
      <c r="E98" s="307"/>
      <c r="F98" s="307"/>
      <c r="G98" s="307"/>
      <c r="H98" s="371"/>
      <c r="I98" s="371"/>
      <c r="J98" s="371"/>
      <c r="K98" s="371"/>
      <c r="L98" s="371"/>
      <c r="M98" s="371"/>
      <c r="N98" s="371"/>
      <c r="O98" s="371"/>
      <c r="P98" s="371"/>
      <c r="Q98" s="371"/>
      <c r="R98" s="371"/>
      <c r="S98" s="371"/>
      <c r="T98" s="371"/>
      <c r="U98" s="371"/>
      <c r="V98" s="371"/>
      <c r="W98" s="371"/>
      <c r="X98" s="371"/>
      <c r="Y98" s="371"/>
    </row>
    <row r="99" ht="28.5" customHeight="1">
      <c r="A99" s="371"/>
      <c r="B99" s="307"/>
      <c r="C99" s="307"/>
      <c r="D99" s="307"/>
      <c r="E99" s="307"/>
      <c r="F99" s="307"/>
      <c r="G99" s="307"/>
      <c r="H99" s="371"/>
      <c r="I99" s="371"/>
      <c r="J99" s="371"/>
      <c r="K99" s="371"/>
      <c r="L99" s="371"/>
      <c r="M99" s="371"/>
      <c r="N99" s="371"/>
      <c r="O99" s="371"/>
      <c r="P99" s="371"/>
      <c r="Q99" s="371"/>
      <c r="R99" s="371"/>
      <c r="S99" s="371"/>
      <c r="T99" s="371"/>
      <c r="U99" s="371"/>
      <c r="V99" s="371"/>
      <c r="W99" s="371"/>
      <c r="X99" s="371"/>
      <c r="Y99" s="371"/>
    </row>
    <row r="100" ht="28.5" customHeight="1">
      <c r="A100" s="371"/>
      <c r="B100" s="307"/>
      <c r="C100" s="307"/>
      <c r="D100" s="307"/>
      <c r="E100" s="307"/>
      <c r="F100" s="307"/>
      <c r="G100" s="307"/>
      <c r="H100" s="371"/>
      <c r="I100" s="371"/>
      <c r="J100" s="371"/>
      <c r="K100" s="371"/>
      <c r="L100" s="371"/>
      <c r="M100" s="371"/>
      <c r="N100" s="371"/>
      <c r="O100" s="371"/>
      <c r="P100" s="371"/>
      <c r="Q100" s="371"/>
      <c r="R100" s="371"/>
      <c r="S100" s="371"/>
      <c r="T100" s="371"/>
      <c r="U100" s="371"/>
      <c r="V100" s="371"/>
      <c r="W100" s="371"/>
      <c r="X100" s="371"/>
      <c r="Y100" s="371"/>
    </row>
    <row r="101" ht="28.5" customHeight="1">
      <c r="A101" s="371"/>
      <c r="B101" s="307"/>
      <c r="C101" s="307"/>
      <c r="D101" s="307"/>
      <c r="E101" s="307"/>
      <c r="F101" s="307"/>
      <c r="G101" s="307"/>
      <c r="H101" s="371"/>
      <c r="I101" s="371"/>
      <c r="J101" s="371"/>
      <c r="K101" s="371"/>
      <c r="L101" s="371"/>
      <c r="M101" s="371"/>
      <c r="N101" s="371"/>
      <c r="O101" s="371"/>
      <c r="P101" s="371"/>
      <c r="Q101" s="371"/>
      <c r="R101" s="371"/>
      <c r="S101" s="371"/>
      <c r="T101" s="371"/>
      <c r="U101" s="371"/>
      <c r="V101" s="371"/>
      <c r="W101" s="371"/>
      <c r="X101" s="371"/>
      <c r="Y101" s="371"/>
    </row>
    <row r="102" ht="28.5" customHeight="1">
      <c r="A102" s="371"/>
      <c r="B102" s="307"/>
      <c r="C102" s="307"/>
      <c r="D102" s="307"/>
      <c r="E102" s="307"/>
      <c r="F102" s="307"/>
      <c r="G102" s="307"/>
      <c r="H102" s="371"/>
      <c r="I102" s="371"/>
      <c r="J102" s="371"/>
      <c r="K102" s="371"/>
      <c r="L102" s="371"/>
      <c r="M102" s="371"/>
      <c r="N102" s="371"/>
      <c r="O102" s="371"/>
      <c r="P102" s="371"/>
      <c r="Q102" s="371"/>
      <c r="R102" s="371"/>
      <c r="S102" s="371"/>
      <c r="T102" s="371"/>
      <c r="U102" s="371"/>
      <c r="V102" s="371"/>
      <c r="W102" s="371"/>
      <c r="X102" s="371"/>
      <c r="Y102" s="371"/>
    </row>
    <row r="103" ht="28.5" customHeight="1">
      <c r="A103" s="371"/>
      <c r="B103" s="307"/>
      <c r="C103" s="307"/>
      <c r="D103" s="307"/>
      <c r="E103" s="307"/>
      <c r="F103" s="307"/>
      <c r="G103" s="307"/>
      <c r="H103" s="371"/>
      <c r="I103" s="371"/>
      <c r="J103" s="371"/>
      <c r="K103" s="371"/>
      <c r="L103" s="371"/>
      <c r="M103" s="371"/>
      <c r="N103" s="371"/>
      <c r="O103" s="371"/>
      <c r="P103" s="371"/>
      <c r="Q103" s="371"/>
      <c r="R103" s="371"/>
      <c r="S103" s="371"/>
      <c r="T103" s="371"/>
      <c r="U103" s="371"/>
      <c r="V103" s="371"/>
      <c r="W103" s="371"/>
      <c r="X103" s="371"/>
      <c r="Y103" s="371"/>
    </row>
    <row r="104" ht="28.5" customHeight="1">
      <c r="A104" s="371"/>
      <c r="B104" s="307"/>
      <c r="C104" s="307"/>
      <c r="D104" s="307"/>
      <c r="E104" s="307"/>
      <c r="F104" s="307"/>
      <c r="G104" s="307"/>
      <c r="H104" s="371"/>
      <c r="I104" s="371"/>
      <c r="J104" s="371"/>
      <c r="K104" s="371"/>
      <c r="L104" s="371"/>
      <c r="M104" s="371"/>
      <c r="N104" s="371"/>
      <c r="O104" s="371"/>
      <c r="P104" s="371"/>
      <c r="Q104" s="371"/>
      <c r="R104" s="371"/>
      <c r="S104" s="371"/>
      <c r="T104" s="371"/>
      <c r="U104" s="371"/>
      <c r="V104" s="371"/>
      <c r="W104" s="371"/>
      <c r="X104" s="371"/>
      <c r="Y104" s="371"/>
    </row>
    <row r="105" ht="28.5" customHeight="1">
      <c r="A105" s="371"/>
      <c r="B105" s="307"/>
      <c r="C105" s="307"/>
      <c r="D105" s="307"/>
      <c r="E105" s="307"/>
      <c r="F105" s="307"/>
      <c r="G105" s="307"/>
      <c r="H105" s="371"/>
      <c r="I105" s="371"/>
      <c r="J105" s="371"/>
      <c r="K105" s="371"/>
      <c r="L105" s="371"/>
      <c r="M105" s="371"/>
      <c r="N105" s="371"/>
      <c r="O105" s="371"/>
      <c r="P105" s="371"/>
      <c r="Q105" s="371"/>
      <c r="R105" s="371"/>
      <c r="S105" s="371"/>
      <c r="T105" s="371"/>
      <c r="U105" s="371"/>
      <c r="V105" s="371"/>
      <c r="W105" s="371"/>
      <c r="X105" s="371"/>
      <c r="Y105" s="371"/>
    </row>
    <row r="106" ht="28.5" customHeight="1">
      <c r="A106" s="371"/>
      <c r="B106" s="307"/>
      <c r="C106" s="307"/>
      <c r="D106" s="307"/>
      <c r="E106" s="307"/>
      <c r="F106" s="307"/>
      <c r="G106" s="307"/>
      <c r="H106" s="371"/>
      <c r="I106" s="371"/>
      <c r="J106" s="371"/>
      <c r="K106" s="371"/>
      <c r="L106" s="371"/>
      <c r="M106" s="371"/>
      <c r="N106" s="371"/>
      <c r="O106" s="371"/>
      <c r="P106" s="371"/>
      <c r="Q106" s="371"/>
      <c r="R106" s="371"/>
      <c r="S106" s="371"/>
      <c r="T106" s="371"/>
      <c r="U106" s="371"/>
      <c r="V106" s="371"/>
      <c r="W106" s="371"/>
      <c r="X106" s="371"/>
      <c r="Y106" s="371"/>
    </row>
    <row r="107" ht="28.5" customHeight="1">
      <c r="A107" s="371"/>
      <c r="B107" s="307"/>
      <c r="C107" s="307"/>
      <c r="D107" s="307"/>
      <c r="E107" s="307"/>
      <c r="F107" s="307"/>
      <c r="G107" s="307"/>
      <c r="H107" s="371"/>
      <c r="I107" s="371"/>
      <c r="J107" s="371"/>
      <c r="K107" s="371"/>
      <c r="L107" s="371"/>
      <c r="M107" s="371"/>
      <c r="N107" s="371"/>
      <c r="O107" s="371"/>
      <c r="P107" s="371"/>
      <c r="Q107" s="371"/>
      <c r="R107" s="371"/>
      <c r="S107" s="371"/>
      <c r="T107" s="371"/>
      <c r="U107" s="371"/>
      <c r="V107" s="371"/>
      <c r="W107" s="371"/>
      <c r="X107" s="371"/>
      <c r="Y107" s="371"/>
    </row>
    <row r="108" ht="28.5" customHeight="1">
      <c r="A108" s="371"/>
      <c r="B108" s="307"/>
      <c r="C108" s="307"/>
      <c r="D108" s="307"/>
      <c r="E108" s="307"/>
      <c r="F108" s="307"/>
      <c r="G108" s="307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  <c r="U108" s="371"/>
      <c r="V108" s="371"/>
      <c r="W108" s="371"/>
      <c r="X108" s="371"/>
      <c r="Y108" s="371"/>
    </row>
    <row r="109" ht="28.5" customHeight="1">
      <c r="A109" s="371"/>
      <c r="B109" s="307"/>
      <c r="C109" s="307"/>
      <c r="D109" s="307"/>
      <c r="E109" s="307"/>
      <c r="F109" s="307"/>
      <c r="G109" s="307"/>
      <c r="H109" s="371"/>
      <c r="I109" s="371"/>
      <c r="J109" s="371"/>
      <c r="K109" s="371"/>
      <c r="L109" s="371"/>
      <c r="M109" s="371"/>
      <c r="N109" s="371"/>
      <c r="O109" s="371"/>
      <c r="P109" s="371"/>
      <c r="Q109" s="371"/>
      <c r="R109" s="371"/>
      <c r="S109" s="371"/>
      <c r="T109" s="371"/>
      <c r="U109" s="371"/>
      <c r="V109" s="371"/>
      <c r="W109" s="371"/>
      <c r="X109" s="371"/>
      <c r="Y109" s="371"/>
    </row>
    <row r="110" ht="28.5" customHeight="1">
      <c r="A110" s="371"/>
      <c r="B110" s="307"/>
      <c r="C110" s="307"/>
      <c r="D110" s="307"/>
      <c r="E110" s="307"/>
      <c r="F110" s="307"/>
      <c r="G110" s="307"/>
      <c r="H110" s="371"/>
      <c r="I110" s="371"/>
      <c r="J110" s="371"/>
      <c r="K110" s="371"/>
      <c r="L110" s="371"/>
      <c r="M110" s="371"/>
      <c r="N110" s="371"/>
      <c r="O110" s="371"/>
      <c r="P110" s="371"/>
      <c r="Q110" s="371"/>
      <c r="R110" s="371"/>
      <c r="S110" s="371"/>
      <c r="T110" s="371"/>
      <c r="U110" s="371"/>
      <c r="V110" s="371"/>
      <c r="W110" s="371"/>
      <c r="X110" s="371"/>
      <c r="Y110" s="371"/>
    </row>
    <row r="111" ht="28.5" customHeight="1">
      <c r="A111" s="371"/>
      <c r="B111" s="307"/>
      <c r="C111" s="307"/>
      <c r="D111" s="307"/>
      <c r="E111" s="307"/>
      <c r="F111" s="307"/>
      <c r="G111" s="307"/>
      <c r="H111" s="371"/>
      <c r="I111" s="371"/>
      <c r="J111" s="371"/>
      <c r="K111" s="371"/>
      <c r="L111" s="371"/>
      <c r="M111" s="371"/>
      <c r="N111" s="371"/>
      <c r="O111" s="371"/>
      <c r="P111" s="371"/>
      <c r="Q111" s="371"/>
      <c r="R111" s="371"/>
      <c r="S111" s="371"/>
      <c r="T111" s="371"/>
      <c r="U111" s="371"/>
      <c r="V111" s="371"/>
      <c r="W111" s="371"/>
      <c r="X111" s="371"/>
      <c r="Y111" s="371"/>
    </row>
    <row r="112" ht="28.5" customHeight="1">
      <c r="A112" s="371"/>
      <c r="B112" s="307"/>
      <c r="C112" s="307"/>
      <c r="D112" s="307"/>
      <c r="E112" s="307"/>
      <c r="F112" s="307"/>
      <c r="G112" s="307"/>
      <c r="H112" s="371"/>
      <c r="I112" s="371"/>
      <c r="J112" s="371"/>
      <c r="K112" s="371"/>
      <c r="L112" s="371"/>
      <c r="M112" s="371"/>
      <c r="N112" s="371"/>
      <c r="O112" s="371"/>
      <c r="P112" s="371"/>
      <c r="Q112" s="371"/>
      <c r="R112" s="371"/>
      <c r="S112" s="371"/>
      <c r="T112" s="371"/>
      <c r="U112" s="371"/>
      <c r="V112" s="371"/>
      <c r="W112" s="371"/>
      <c r="X112" s="371"/>
      <c r="Y112" s="371"/>
    </row>
    <row r="113" ht="28.5" customHeight="1">
      <c r="A113" s="371"/>
      <c r="B113" s="307"/>
      <c r="C113" s="307"/>
      <c r="D113" s="307"/>
      <c r="E113" s="307"/>
      <c r="F113" s="307"/>
      <c r="G113" s="307"/>
      <c r="H113" s="371"/>
      <c r="I113" s="371"/>
      <c r="J113" s="371"/>
      <c r="K113" s="371"/>
      <c r="L113" s="371"/>
      <c r="M113" s="371"/>
      <c r="N113" s="371"/>
      <c r="O113" s="371"/>
      <c r="P113" s="371"/>
      <c r="Q113" s="371"/>
      <c r="R113" s="371"/>
      <c r="S113" s="371"/>
      <c r="T113" s="371"/>
      <c r="U113" s="371"/>
      <c r="V113" s="371"/>
      <c r="W113" s="371"/>
      <c r="X113" s="371"/>
      <c r="Y113" s="371"/>
    </row>
    <row r="114" ht="28.5" customHeight="1">
      <c r="A114" s="371"/>
      <c r="B114" s="307"/>
      <c r="C114" s="307"/>
      <c r="D114" s="307"/>
      <c r="E114" s="307"/>
      <c r="F114" s="307"/>
      <c r="G114" s="307"/>
      <c r="H114" s="371"/>
      <c r="I114" s="371"/>
      <c r="J114" s="371"/>
      <c r="K114" s="371"/>
      <c r="L114" s="371"/>
      <c r="M114" s="371"/>
      <c r="N114" s="371"/>
      <c r="O114" s="371"/>
      <c r="P114" s="371"/>
      <c r="Q114" s="371"/>
      <c r="R114" s="371"/>
      <c r="S114" s="371"/>
      <c r="T114" s="371"/>
      <c r="U114" s="371"/>
      <c r="V114" s="371"/>
      <c r="W114" s="371"/>
      <c r="X114" s="371"/>
      <c r="Y114" s="371"/>
    </row>
    <row r="115" ht="28.5" customHeight="1">
      <c r="A115" s="371"/>
      <c r="B115" s="307"/>
      <c r="C115" s="307"/>
      <c r="D115" s="307"/>
      <c r="E115" s="307"/>
      <c r="F115" s="307"/>
      <c r="G115" s="307"/>
      <c r="H115" s="371"/>
      <c r="I115" s="371"/>
      <c r="J115" s="371"/>
      <c r="K115" s="371"/>
      <c r="L115" s="371"/>
      <c r="M115" s="371"/>
      <c r="N115" s="371"/>
      <c r="O115" s="371"/>
      <c r="P115" s="371"/>
      <c r="Q115" s="371"/>
      <c r="R115" s="371"/>
      <c r="S115" s="371"/>
      <c r="T115" s="371"/>
      <c r="U115" s="371"/>
      <c r="V115" s="371"/>
      <c r="W115" s="371"/>
      <c r="X115" s="371"/>
      <c r="Y115" s="371"/>
    </row>
    <row r="116" ht="28.5" customHeight="1">
      <c r="A116" s="371"/>
      <c r="B116" s="307"/>
      <c r="C116" s="307"/>
      <c r="D116" s="307"/>
      <c r="E116" s="307"/>
      <c r="F116" s="307"/>
      <c r="G116" s="307"/>
      <c r="H116" s="371"/>
      <c r="I116" s="371"/>
      <c r="J116" s="371"/>
      <c r="K116" s="371"/>
      <c r="L116" s="371"/>
      <c r="M116" s="371"/>
      <c r="N116" s="371"/>
      <c r="O116" s="371"/>
      <c r="P116" s="371"/>
      <c r="Q116" s="371"/>
      <c r="R116" s="371"/>
      <c r="S116" s="371"/>
      <c r="T116" s="371"/>
      <c r="U116" s="371"/>
      <c r="V116" s="371"/>
      <c r="W116" s="371"/>
      <c r="X116" s="371"/>
      <c r="Y116" s="371"/>
    </row>
    <row r="117" ht="28.5" customHeight="1">
      <c r="A117" s="371"/>
      <c r="B117" s="307"/>
      <c r="C117" s="307"/>
      <c r="D117" s="307"/>
      <c r="E117" s="307"/>
      <c r="F117" s="307"/>
      <c r="G117" s="307"/>
      <c r="H117" s="371"/>
      <c r="I117" s="371"/>
      <c r="J117" s="371"/>
      <c r="K117" s="371"/>
      <c r="L117" s="371"/>
      <c r="M117" s="371"/>
      <c r="N117" s="371"/>
      <c r="O117" s="371"/>
      <c r="P117" s="371"/>
      <c r="Q117" s="371"/>
      <c r="R117" s="371"/>
      <c r="S117" s="371"/>
      <c r="T117" s="371"/>
      <c r="U117" s="371"/>
      <c r="V117" s="371"/>
      <c r="W117" s="371"/>
      <c r="X117" s="371"/>
      <c r="Y117" s="371"/>
    </row>
    <row r="118" ht="28.5" customHeight="1">
      <c r="A118" s="371"/>
      <c r="B118" s="307"/>
      <c r="C118" s="307"/>
      <c r="D118" s="307"/>
      <c r="E118" s="307"/>
      <c r="F118" s="307"/>
      <c r="G118" s="307"/>
      <c r="H118" s="371"/>
      <c r="I118" s="371"/>
      <c r="J118" s="371"/>
      <c r="K118" s="371"/>
      <c r="L118" s="371"/>
      <c r="M118" s="371"/>
      <c r="N118" s="371"/>
      <c r="O118" s="371"/>
      <c r="P118" s="371"/>
      <c r="Q118" s="371"/>
      <c r="R118" s="371"/>
      <c r="S118" s="371"/>
      <c r="T118" s="371"/>
      <c r="U118" s="371"/>
      <c r="V118" s="371"/>
      <c r="W118" s="371"/>
      <c r="X118" s="371"/>
      <c r="Y118" s="371"/>
    </row>
    <row r="119" ht="28.5" customHeight="1">
      <c r="A119" s="371"/>
      <c r="B119" s="307"/>
      <c r="C119" s="307"/>
      <c r="D119" s="307"/>
      <c r="E119" s="307"/>
      <c r="F119" s="307"/>
      <c r="G119" s="307"/>
      <c r="H119" s="371"/>
      <c r="I119" s="371"/>
      <c r="J119" s="371"/>
      <c r="K119" s="371"/>
      <c r="L119" s="371"/>
      <c r="M119" s="371"/>
      <c r="N119" s="371"/>
      <c r="O119" s="371"/>
      <c r="P119" s="371"/>
      <c r="Q119" s="371"/>
      <c r="R119" s="371"/>
      <c r="S119" s="371"/>
      <c r="T119" s="371"/>
      <c r="U119" s="371"/>
      <c r="V119" s="371"/>
      <c r="W119" s="371"/>
      <c r="X119" s="371"/>
      <c r="Y119" s="371"/>
    </row>
    <row r="120" ht="28.5" customHeight="1">
      <c r="A120" s="371"/>
      <c r="B120" s="307"/>
      <c r="C120" s="307"/>
      <c r="D120" s="307"/>
      <c r="E120" s="307"/>
      <c r="F120" s="307"/>
      <c r="G120" s="307"/>
      <c r="H120" s="371"/>
      <c r="I120" s="371"/>
      <c r="J120" s="371"/>
      <c r="K120" s="371"/>
      <c r="L120" s="371"/>
      <c r="M120" s="371"/>
      <c r="N120" s="371"/>
      <c r="O120" s="371"/>
      <c r="P120" s="371"/>
      <c r="Q120" s="371"/>
      <c r="R120" s="371"/>
      <c r="S120" s="371"/>
      <c r="T120" s="371"/>
      <c r="U120" s="371"/>
      <c r="V120" s="371"/>
      <c r="W120" s="371"/>
      <c r="X120" s="371"/>
      <c r="Y120" s="371"/>
    </row>
    <row r="121" ht="28.5" customHeight="1">
      <c r="A121" s="371"/>
      <c r="B121" s="307"/>
      <c r="C121" s="307"/>
      <c r="D121" s="307"/>
      <c r="E121" s="307"/>
      <c r="F121" s="307"/>
      <c r="G121" s="307"/>
      <c r="H121" s="371"/>
      <c r="I121" s="371"/>
      <c r="J121" s="371"/>
      <c r="K121" s="371"/>
      <c r="L121" s="371"/>
      <c r="M121" s="371"/>
      <c r="N121" s="371"/>
      <c r="O121" s="371"/>
      <c r="P121" s="371"/>
      <c r="Q121" s="371"/>
      <c r="R121" s="371"/>
      <c r="S121" s="371"/>
      <c r="T121" s="371"/>
      <c r="U121" s="371"/>
      <c r="V121" s="371"/>
      <c r="W121" s="371"/>
      <c r="X121" s="371"/>
      <c r="Y121" s="371"/>
    </row>
    <row r="122" ht="28.5" customHeight="1">
      <c r="A122" s="371"/>
      <c r="B122" s="307"/>
      <c r="C122" s="307"/>
      <c r="D122" s="307"/>
      <c r="E122" s="307"/>
      <c r="F122" s="307"/>
      <c r="G122" s="307"/>
      <c r="H122" s="371"/>
      <c r="I122" s="371"/>
      <c r="J122" s="371"/>
      <c r="K122" s="371"/>
      <c r="L122" s="371"/>
      <c r="M122" s="371"/>
      <c r="N122" s="371"/>
      <c r="O122" s="371"/>
      <c r="P122" s="371"/>
      <c r="Q122" s="371"/>
      <c r="R122" s="371"/>
      <c r="S122" s="371"/>
      <c r="T122" s="371"/>
      <c r="U122" s="371"/>
      <c r="V122" s="371"/>
      <c r="W122" s="371"/>
      <c r="X122" s="371"/>
      <c r="Y122" s="371"/>
    </row>
    <row r="123" ht="28.5" customHeight="1">
      <c r="A123" s="371"/>
      <c r="B123" s="307"/>
      <c r="C123" s="307"/>
      <c r="D123" s="307"/>
      <c r="E123" s="307"/>
      <c r="F123" s="307"/>
      <c r="G123" s="307"/>
      <c r="H123" s="371"/>
      <c r="I123" s="371"/>
      <c r="J123" s="371"/>
      <c r="K123" s="371"/>
      <c r="L123" s="371"/>
      <c r="M123" s="371"/>
      <c r="N123" s="371"/>
      <c r="O123" s="371"/>
      <c r="P123" s="371"/>
      <c r="Q123" s="371"/>
      <c r="R123" s="371"/>
      <c r="S123" s="371"/>
      <c r="T123" s="371"/>
      <c r="U123" s="371"/>
      <c r="V123" s="371"/>
      <c r="W123" s="371"/>
      <c r="X123" s="371"/>
      <c r="Y123" s="371"/>
    </row>
    <row r="124" ht="28.5" customHeight="1">
      <c r="A124" s="371"/>
      <c r="B124" s="307"/>
      <c r="C124" s="307"/>
      <c r="D124" s="307"/>
      <c r="E124" s="307"/>
      <c r="F124" s="307"/>
      <c r="G124" s="307"/>
      <c r="H124" s="371"/>
      <c r="I124" s="371"/>
      <c r="J124" s="371"/>
      <c r="K124" s="371"/>
      <c r="L124" s="371"/>
      <c r="M124" s="371"/>
      <c r="N124" s="371"/>
      <c r="O124" s="371"/>
      <c r="P124" s="371"/>
      <c r="Q124" s="371"/>
      <c r="R124" s="371"/>
      <c r="S124" s="371"/>
      <c r="T124" s="371"/>
      <c r="U124" s="371"/>
      <c r="V124" s="371"/>
      <c r="W124" s="371"/>
      <c r="X124" s="371"/>
      <c r="Y124" s="371"/>
    </row>
    <row r="125" ht="28.5" customHeight="1">
      <c r="A125" s="371"/>
      <c r="B125" s="307"/>
      <c r="C125" s="307"/>
      <c r="D125" s="307"/>
      <c r="E125" s="307"/>
      <c r="F125" s="307"/>
      <c r="G125" s="307"/>
      <c r="H125" s="371"/>
      <c r="I125" s="371"/>
      <c r="J125" s="371"/>
      <c r="K125" s="371"/>
      <c r="L125" s="371"/>
      <c r="M125" s="371"/>
      <c r="N125" s="371"/>
      <c r="O125" s="371"/>
      <c r="P125" s="371"/>
      <c r="Q125" s="371"/>
      <c r="R125" s="371"/>
      <c r="S125" s="371"/>
      <c r="T125" s="371"/>
      <c r="U125" s="371"/>
      <c r="V125" s="371"/>
      <c r="W125" s="371"/>
      <c r="X125" s="371"/>
      <c r="Y125" s="371"/>
    </row>
    <row r="126" ht="28.5" customHeight="1">
      <c r="A126" s="371"/>
      <c r="B126" s="307"/>
      <c r="C126" s="307"/>
      <c r="D126" s="307"/>
      <c r="E126" s="307"/>
      <c r="F126" s="307"/>
      <c r="G126" s="307"/>
      <c r="H126" s="371"/>
      <c r="I126" s="371"/>
      <c r="J126" s="371"/>
      <c r="K126" s="371"/>
      <c r="L126" s="371"/>
      <c r="M126" s="371"/>
      <c r="N126" s="371"/>
      <c r="O126" s="371"/>
      <c r="P126" s="371"/>
      <c r="Q126" s="371"/>
      <c r="R126" s="371"/>
      <c r="S126" s="371"/>
      <c r="T126" s="371"/>
      <c r="U126" s="371"/>
      <c r="V126" s="371"/>
      <c r="W126" s="371"/>
      <c r="X126" s="371"/>
      <c r="Y126" s="371"/>
    </row>
    <row r="127" ht="28.5" customHeight="1">
      <c r="A127" s="371"/>
      <c r="B127" s="307"/>
      <c r="C127" s="307"/>
      <c r="D127" s="307"/>
      <c r="E127" s="307"/>
      <c r="F127" s="307"/>
      <c r="G127" s="307"/>
      <c r="H127" s="371"/>
      <c r="I127" s="371"/>
      <c r="J127" s="371"/>
      <c r="K127" s="371"/>
      <c r="L127" s="371"/>
      <c r="M127" s="371"/>
      <c r="N127" s="371"/>
      <c r="O127" s="371"/>
      <c r="P127" s="371"/>
      <c r="Q127" s="371"/>
      <c r="R127" s="371"/>
      <c r="S127" s="371"/>
      <c r="T127" s="371"/>
      <c r="U127" s="371"/>
      <c r="V127" s="371"/>
      <c r="W127" s="371"/>
      <c r="X127" s="371"/>
      <c r="Y127" s="371"/>
    </row>
    <row r="128" ht="28.5" customHeight="1">
      <c r="A128" s="371"/>
      <c r="B128" s="307"/>
      <c r="C128" s="307"/>
      <c r="D128" s="307"/>
      <c r="E128" s="307"/>
      <c r="F128" s="307"/>
      <c r="G128" s="307"/>
      <c r="H128" s="371"/>
      <c r="I128" s="371"/>
      <c r="J128" s="371"/>
      <c r="K128" s="371"/>
      <c r="L128" s="371"/>
      <c r="M128" s="371"/>
      <c r="N128" s="371"/>
      <c r="O128" s="371"/>
      <c r="P128" s="371"/>
      <c r="Q128" s="371"/>
      <c r="R128" s="371"/>
      <c r="S128" s="371"/>
      <c r="T128" s="371"/>
      <c r="U128" s="371"/>
      <c r="V128" s="371"/>
      <c r="W128" s="371"/>
      <c r="X128" s="371"/>
      <c r="Y128" s="371"/>
    </row>
    <row r="129" ht="28.5" customHeight="1">
      <c r="A129" s="371"/>
      <c r="B129" s="307"/>
      <c r="C129" s="307"/>
      <c r="D129" s="307"/>
      <c r="E129" s="307"/>
      <c r="F129" s="307"/>
      <c r="G129" s="307"/>
      <c r="H129" s="371"/>
      <c r="I129" s="371"/>
      <c r="J129" s="371"/>
      <c r="K129" s="371"/>
      <c r="L129" s="371"/>
      <c r="M129" s="371"/>
      <c r="N129" s="371"/>
      <c r="O129" s="371"/>
      <c r="P129" s="371"/>
      <c r="Q129" s="371"/>
      <c r="R129" s="371"/>
      <c r="S129" s="371"/>
      <c r="T129" s="371"/>
      <c r="U129" s="371"/>
      <c r="V129" s="371"/>
      <c r="W129" s="371"/>
      <c r="X129" s="371"/>
      <c r="Y129" s="371"/>
    </row>
    <row r="130" ht="28.5" customHeight="1">
      <c r="A130" s="371"/>
      <c r="B130" s="307"/>
      <c r="C130" s="307"/>
      <c r="D130" s="307"/>
      <c r="E130" s="307"/>
      <c r="F130" s="307"/>
      <c r="G130" s="307"/>
      <c r="H130" s="371"/>
      <c r="I130" s="371"/>
      <c r="J130" s="371"/>
      <c r="K130" s="371"/>
      <c r="L130" s="371"/>
      <c r="M130" s="371"/>
      <c r="N130" s="371"/>
      <c r="O130" s="371"/>
      <c r="P130" s="371"/>
      <c r="Q130" s="371"/>
      <c r="R130" s="371"/>
      <c r="S130" s="371"/>
      <c r="T130" s="371"/>
      <c r="U130" s="371"/>
      <c r="V130" s="371"/>
      <c r="W130" s="371"/>
      <c r="X130" s="371"/>
      <c r="Y130" s="371"/>
    </row>
    <row r="131" ht="28.5" customHeight="1">
      <c r="A131" s="371"/>
      <c r="B131" s="307"/>
      <c r="C131" s="307"/>
      <c r="D131" s="307"/>
      <c r="E131" s="307"/>
      <c r="F131" s="307"/>
      <c r="G131" s="307"/>
      <c r="H131" s="371"/>
      <c r="I131" s="371"/>
      <c r="J131" s="371"/>
      <c r="K131" s="371"/>
      <c r="L131" s="371"/>
      <c r="M131" s="371"/>
      <c r="N131" s="371"/>
      <c r="O131" s="371"/>
      <c r="P131" s="371"/>
      <c r="Q131" s="371"/>
      <c r="R131" s="371"/>
      <c r="S131" s="371"/>
      <c r="T131" s="371"/>
      <c r="U131" s="371"/>
      <c r="V131" s="371"/>
      <c r="W131" s="371"/>
      <c r="X131" s="371"/>
      <c r="Y131" s="371"/>
    </row>
    <row r="132" ht="28.5" customHeight="1">
      <c r="A132" s="371"/>
      <c r="B132" s="307"/>
      <c r="C132" s="307"/>
      <c r="D132" s="307"/>
      <c r="E132" s="307"/>
      <c r="F132" s="307"/>
      <c r="G132" s="307"/>
      <c r="H132" s="371"/>
      <c r="I132" s="371"/>
      <c r="J132" s="371"/>
      <c r="K132" s="371"/>
      <c r="L132" s="371"/>
      <c r="M132" s="371"/>
      <c r="N132" s="371"/>
      <c r="O132" s="371"/>
      <c r="P132" s="371"/>
      <c r="Q132" s="371"/>
      <c r="R132" s="371"/>
      <c r="S132" s="371"/>
      <c r="T132" s="371"/>
      <c r="U132" s="371"/>
      <c r="V132" s="371"/>
      <c r="W132" s="371"/>
      <c r="X132" s="371"/>
      <c r="Y132" s="371"/>
    </row>
    <row r="133" ht="28.5" customHeight="1">
      <c r="A133" s="371"/>
      <c r="B133" s="307"/>
      <c r="C133" s="307"/>
      <c r="D133" s="307"/>
      <c r="E133" s="307"/>
      <c r="F133" s="307"/>
      <c r="G133" s="307"/>
      <c r="H133" s="371"/>
      <c r="I133" s="371"/>
      <c r="J133" s="371"/>
      <c r="K133" s="371"/>
      <c r="L133" s="371"/>
      <c r="M133" s="371"/>
      <c r="N133" s="371"/>
      <c r="O133" s="371"/>
      <c r="P133" s="371"/>
      <c r="Q133" s="371"/>
      <c r="R133" s="371"/>
      <c r="S133" s="371"/>
      <c r="T133" s="371"/>
      <c r="U133" s="371"/>
      <c r="V133" s="371"/>
      <c r="W133" s="371"/>
      <c r="X133" s="371"/>
      <c r="Y133" s="371"/>
    </row>
    <row r="134" ht="28.5" customHeight="1">
      <c r="A134" s="371"/>
      <c r="B134" s="307"/>
      <c r="C134" s="307"/>
      <c r="D134" s="307"/>
      <c r="E134" s="307"/>
      <c r="F134" s="307"/>
      <c r="G134" s="307"/>
      <c r="H134" s="371"/>
      <c r="I134" s="371"/>
      <c r="J134" s="371"/>
      <c r="K134" s="371"/>
      <c r="L134" s="371"/>
      <c r="M134" s="371"/>
      <c r="N134" s="371"/>
      <c r="O134" s="371"/>
      <c r="P134" s="371"/>
      <c r="Q134" s="371"/>
      <c r="R134" s="371"/>
      <c r="S134" s="371"/>
      <c r="T134" s="371"/>
      <c r="U134" s="371"/>
      <c r="V134" s="371"/>
      <c r="W134" s="371"/>
      <c r="X134" s="371"/>
      <c r="Y134" s="371"/>
    </row>
    <row r="135" ht="28.5" customHeight="1">
      <c r="A135" s="371"/>
      <c r="B135" s="307"/>
      <c r="C135" s="307"/>
      <c r="D135" s="307"/>
      <c r="E135" s="307"/>
      <c r="F135" s="307"/>
      <c r="G135" s="307"/>
      <c r="H135" s="371"/>
      <c r="I135" s="371"/>
      <c r="J135" s="371"/>
      <c r="K135" s="371"/>
      <c r="L135" s="371"/>
      <c r="M135" s="371"/>
      <c r="N135" s="371"/>
      <c r="O135" s="371"/>
      <c r="P135" s="371"/>
      <c r="Q135" s="371"/>
      <c r="R135" s="371"/>
      <c r="S135" s="371"/>
      <c r="T135" s="371"/>
      <c r="U135" s="371"/>
      <c r="V135" s="371"/>
      <c r="W135" s="371"/>
      <c r="X135" s="371"/>
      <c r="Y135" s="371"/>
    </row>
    <row r="136" ht="28.5" customHeight="1">
      <c r="A136" s="371"/>
      <c r="B136" s="307"/>
      <c r="C136" s="307"/>
      <c r="D136" s="307"/>
      <c r="E136" s="307"/>
      <c r="F136" s="307"/>
      <c r="G136" s="307"/>
      <c r="H136" s="371"/>
      <c r="I136" s="371"/>
      <c r="J136" s="371"/>
      <c r="K136" s="371"/>
      <c r="L136" s="371"/>
      <c r="M136" s="371"/>
      <c r="N136" s="371"/>
      <c r="O136" s="371"/>
      <c r="P136" s="371"/>
      <c r="Q136" s="371"/>
      <c r="R136" s="371"/>
      <c r="S136" s="371"/>
      <c r="T136" s="371"/>
      <c r="U136" s="371"/>
      <c r="V136" s="371"/>
      <c r="W136" s="371"/>
      <c r="X136" s="371"/>
      <c r="Y136" s="371"/>
    </row>
    <row r="137" ht="28.5" customHeight="1">
      <c r="A137" s="371"/>
      <c r="B137" s="307"/>
      <c r="C137" s="307"/>
      <c r="D137" s="307"/>
      <c r="E137" s="307"/>
      <c r="F137" s="307"/>
      <c r="G137" s="307"/>
      <c r="H137" s="371"/>
      <c r="I137" s="371"/>
      <c r="J137" s="371"/>
      <c r="K137" s="371"/>
      <c r="L137" s="371"/>
      <c r="M137" s="371"/>
      <c r="N137" s="371"/>
      <c r="O137" s="371"/>
      <c r="P137" s="371"/>
      <c r="Q137" s="371"/>
      <c r="R137" s="371"/>
      <c r="S137" s="371"/>
      <c r="T137" s="371"/>
      <c r="U137" s="371"/>
      <c r="V137" s="371"/>
      <c r="W137" s="371"/>
      <c r="X137" s="371"/>
      <c r="Y137" s="371"/>
    </row>
    <row r="138" ht="28.5" customHeight="1">
      <c r="A138" s="371"/>
      <c r="B138" s="307"/>
      <c r="C138" s="307"/>
      <c r="D138" s="307"/>
      <c r="E138" s="307"/>
      <c r="F138" s="307"/>
      <c r="G138" s="307"/>
      <c r="H138" s="371"/>
      <c r="I138" s="371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  <c r="U138" s="371"/>
      <c r="V138" s="371"/>
      <c r="W138" s="371"/>
      <c r="X138" s="371"/>
      <c r="Y138" s="371"/>
    </row>
    <row r="139" ht="28.5" customHeight="1">
      <c r="A139" s="371"/>
      <c r="B139" s="307"/>
      <c r="C139" s="307"/>
      <c r="D139" s="307"/>
      <c r="E139" s="307"/>
      <c r="F139" s="307"/>
      <c r="G139" s="307"/>
      <c r="H139" s="371"/>
      <c r="I139" s="371"/>
      <c r="J139" s="371"/>
      <c r="K139" s="371"/>
      <c r="L139" s="371"/>
      <c r="M139" s="371"/>
      <c r="N139" s="371"/>
      <c r="O139" s="371"/>
      <c r="P139" s="371"/>
      <c r="Q139" s="371"/>
      <c r="R139" s="371"/>
      <c r="S139" s="371"/>
      <c r="T139" s="371"/>
      <c r="U139" s="371"/>
      <c r="V139" s="371"/>
      <c r="W139" s="371"/>
      <c r="X139" s="371"/>
      <c r="Y139" s="371"/>
    </row>
    <row r="140" ht="28.5" customHeight="1">
      <c r="A140" s="371"/>
      <c r="B140" s="307"/>
      <c r="C140" s="307"/>
      <c r="D140" s="307"/>
      <c r="E140" s="307"/>
      <c r="F140" s="307"/>
      <c r="G140" s="307"/>
      <c r="H140" s="371"/>
      <c r="I140" s="371"/>
      <c r="J140" s="371"/>
      <c r="K140" s="371"/>
      <c r="L140" s="371"/>
      <c r="M140" s="371"/>
      <c r="N140" s="371"/>
      <c r="O140" s="371"/>
      <c r="P140" s="371"/>
      <c r="Q140" s="371"/>
      <c r="R140" s="371"/>
      <c r="S140" s="371"/>
      <c r="T140" s="371"/>
      <c r="U140" s="371"/>
      <c r="V140" s="371"/>
      <c r="W140" s="371"/>
      <c r="X140" s="371"/>
      <c r="Y140" s="371"/>
    </row>
    <row r="141" ht="28.5" customHeight="1">
      <c r="A141" s="371"/>
      <c r="B141" s="307"/>
      <c r="C141" s="307"/>
      <c r="D141" s="307"/>
      <c r="E141" s="307"/>
      <c r="F141" s="307"/>
      <c r="G141" s="307"/>
      <c r="H141" s="371"/>
      <c r="I141" s="371"/>
      <c r="J141" s="371"/>
      <c r="K141" s="371"/>
      <c r="L141" s="371"/>
      <c r="M141" s="371"/>
      <c r="N141" s="371"/>
      <c r="O141" s="371"/>
      <c r="P141" s="371"/>
      <c r="Q141" s="371"/>
      <c r="R141" s="371"/>
      <c r="S141" s="371"/>
      <c r="T141" s="371"/>
      <c r="U141" s="371"/>
      <c r="V141" s="371"/>
      <c r="W141" s="371"/>
      <c r="X141" s="371"/>
      <c r="Y141" s="371"/>
    </row>
    <row r="142" ht="28.5" customHeight="1">
      <c r="A142" s="371"/>
      <c r="B142" s="307"/>
      <c r="C142" s="307"/>
      <c r="D142" s="307"/>
      <c r="E142" s="307"/>
      <c r="F142" s="307"/>
      <c r="G142" s="307"/>
      <c r="H142" s="371"/>
      <c r="I142" s="371"/>
      <c r="J142" s="371"/>
      <c r="K142" s="371"/>
      <c r="L142" s="371"/>
      <c r="M142" s="371"/>
      <c r="N142" s="371"/>
      <c r="O142" s="371"/>
      <c r="P142" s="371"/>
      <c r="Q142" s="371"/>
      <c r="R142" s="371"/>
      <c r="S142" s="371"/>
      <c r="T142" s="371"/>
      <c r="U142" s="371"/>
      <c r="V142" s="371"/>
      <c r="W142" s="371"/>
      <c r="X142" s="371"/>
      <c r="Y142" s="371"/>
    </row>
    <row r="143" ht="28.5" customHeight="1">
      <c r="A143" s="371"/>
      <c r="B143" s="307"/>
      <c r="C143" s="307"/>
      <c r="D143" s="307"/>
      <c r="E143" s="307"/>
      <c r="F143" s="307"/>
      <c r="G143" s="307"/>
      <c r="H143" s="371"/>
      <c r="I143" s="371"/>
      <c r="J143" s="371"/>
      <c r="K143" s="371"/>
      <c r="L143" s="371"/>
      <c r="M143" s="371"/>
      <c r="N143" s="371"/>
      <c r="O143" s="371"/>
      <c r="P143" s="371"/>
      <c r="Q143" s="371"/>
      <c r="R143" s="371"/>
      <c r="S143" s="371"/>
      <c r="T143" s="371"/>
      <c r="U143" s="371"/>
      <c r="V143" s="371"/>
      <c r="W143" s="371"/>
      <c r="X143" s="371"/>
      <c r="Y143" s="371"/>
    </row>
    <row r="144" ht="28.5" customHeight="1">
      <c r="A144" s="371"/>
      <c r="B144" s="307"/>
      <c r="C144" s="307"/>
      <c r="D144" s="307"/>
      <c r="E144" s="307"/>
      <c r="F144" s="307"/>
      <c r="G144" s="307"/>
      <c r="H144" s="371"/>
      <c r="I144" s="371"/>
      <c r="J144" s="371"/>
      <c r="K144" s="371"/>
      <c r="L144" s="371"/>
      <c r="M144" s="371"/>
      <c r="N144" s="371"/>
      <c r="O144" s="371"/>
      <c r="P144" s="371"/>
      <c r="Q144" s="371"/>
      <c r="R144" s="371"/>
      <c r="S144" s="371"/>
      <c r="T144" s="371"/>
      <c r="U144" s="371"/>
      <c r="V144" s="371"/>
      <c r="W144" s="371"/>
      <c r="X144" s="371"/>
      <c r="Y144" s="371"/>
    </row>
    <row r="145" ht="28.5" customHeight="1">
      <c r="A145" s="371"/>
      <c r="B145" s="307"/>
      <c r="C145" s="307"/>
      <c r="D145" s="307"/>
      <c r="E145" s="307"/>
      <c r="F145" s="307"/>
      <c r="G145" s="307"/>
      <c r="H145" s="371"/>
      <c r="I145" s="371"/>
      <c r="J145" s="371"/>
      <c r="K145" s="371"/>
      <c r="L145" s="371"/>
      <c r="M145" s="371"/>
      <c r="N145" s="371"/>
      <c r="O145" s="371"/>
      <c r="P145" s="371"/>
      <c r="Q145" s="371"/>
      <c r="R145" s="371"/>
      <c r="S145" s="371"/>
      <c r="T145" s="371"/>
      <c r="U145" s="371"/>
      <c r="V145" s="371"/>
      <c r="W145" s="371"/>
      <c r="X145" s="371"/>
      <c r="Y145" s="371"/>
    </row>
    <row r="146" ht="28.5" customHeight="1">
      <c r="A146" s="371"/>
      <c r="B146" s="307"/>
      <c r="C146" s="307"/>
      <c r="D146" s="307"/>
      <c r="E146" s="307"/>
      <c r="F146" s="307"/>
      <c r="G146" s="307"/>
      <c r="H146" s="371"/>
      <c r="I146" s="371"/>
      <c r="J146" s="371"/>
      <c r="K146" s="371"/>
      <c r="L146" s="371"/>
      <c r="M146" s="371"/>
      <c r="N146" s="371"/>
      <c r="O146" s="371"/>
      <c r="P146" s="371"/>
      <c r="Q146" s="371"/>
      <c r="R146" s="371"/>
      <c r="S146" s="371"/>
      <c r="T146" s="371"/>
      <c r="U146" s="371"/>
      <c r="V146" s="371"/>
      <c r="W146" s="371"/>
      <c r="X146" s="371"/>
      <c r="Y146" s="371"/>
    </row>
    <row r="147" ht="28.5" customHeight="1">
      <c r="A147" s="371"/>
      <c r="B147" s="307"/>
      <c r="C147" s="307"/>
      <c r="D147" s="307"/>
      <c r="E147" s="307"/>
      <c r="F147" s="307"/>
      <c r="G147" s="307"/>
      <c r="H147" s="371"/>
      <c r="I147" s="371"/>
      <c r="J147" s="371"/>
      <c r="K147" s="371"/>
      <c r="L147" s="371"/>
      <c r="M147" s="371"/>
      <c r="N147" s="371"/>
      <c r="O147" s="371"/>
      <c r="P147" s="371"/>
      <c r="Q147" s="371"/>
      <c r="R147" s="371"/>
      <c r="S147" s="371"/>
      <c r="T147" s="371"/>
      <c r="U147" s="371"/>
      <c r="V147" s="371"/>
      <c r="W147" s="371"/>
      <c r="X147" s="371"/>
      <c r="Y147" s="371"/>
    </row>
    <row r="148" ht="28.5" customHeight="1">
      <c r="A148" s="371"/>
      <c r="B148" s="307"/>
      <c r="C148" s="307"/>
      <c r="D148" s="307"/>
      <c r="E148" s="307"/>
      <c r="F148" s="307"/>
      <c r="G148" s="307"/>
      <c r="H148" s="371"/>
      <c r="I148" s="371"/>
      <c r="J148" s="371"/>
      <c r="K148" s="371"/>
      <c r="L148" s="371"/>
      <c r="M148" s="371"/>
      <c r="N148" s="371"/>
      <c r="O148" s="371"/>
      <c r="P148" s="371"/>
      <c r="Q148" s="371"/>
      <c r="R148" s="371"/>
      <c r="S148" s="371"/>
      <c r="T148" s="371"/>
      <c r="U148" s="371"/>
      <c r="V148" s="371"/>
      <c r="W148" s="371"/>
      <c r="X148" s="371"/>
      <c r="Y148" s="371"/>
    </row>
    <row r="149" ht="28.5" customHeight="1">
      <c r="A149" s="371"/>
      <c r="B149" s="307"/>
      <c r="C149" s="307"/>
      <c r="D149" s="307"/>
      <c r="E149" s="307"/>
      <c r="F149" s="307"/>
      <c r="G149" s="307"/>
      <c r="H149" s="371"/>
      <c r="I149" s="371"/>
      <c r="J149" s="371"/>
      <c r="K149" s="371"/>
      <c r="L149" s="371"/>
      <c r="M149" s="371"/>
      <c r="N149" s="371"/>
      <c r="O149" s="371"/>
      <c r="P149" s="371"/>
      <c r="Q149" s="371"/>
      <c r="R149" s="371"/>
      <c r="S149" s="371"/>
      <c r="T149" s="371"/>
      <c r="U149" s="371"/>
      <c r="V149" s="371"/>
      <c r="W149" s="371"/>
      <c r="X149" s="371"/>
      <c r="Y149" s="371"/>
    </row>
    <row r="150" ht="28.5" customHeight="1">
      <c r="A150" s="371"/>
      <c r="B150" s="307"/>
      <c r="C150" s="307"/>
      <c r="D150" s="307"/>
      <c r="E150" s="307"/>
      <c r="F150" s="307"/>
      <c r="G150" s="307"/>
      <c r="H150" s="371"/>
      <c r="I150" s="371"/>
      <c r="J150" s="371"/>
      <c r="K150" s="371"/>
      <c r="L150" s="371"/>
      <c r="M150" s="371"/>
      <c r="N150" s="371"/>
      <c r="O150" s="371"/>
      <c r="P150" s="371"/>
      <c r="Q150" s="371"/>
      <c r="R150" s="371"/>
      <c r="S150" s="371"/>
      <c r="T150" s="371"/>
      <c r="U150" s="371"/>
      <c r="V150" s="371"/>
      <c r="W150" s="371"/>
      <c r="X150" s="371"/>
      <c r="Y150" s="371"/>
    </row>
    <row r="151" ht="28.5" customHeight="1">
      <c r="A151" s="371"/>
      <c r="B151" s="307"/>
      <c r="C151" s="307"/>
      <c r="D151" s="307"/>
      <c r="E151" s="307"/>
      <c r="F151" s="307"/>
      <c r="G151" s="307"/>
      <c r="H151" s="371"/>
      <c r="I151" s="371"/>
      <c r="J151" s="371"/>
      <c r="K151" s="371"/>
      <c r="L151" s="371"/>
      <c r="M151" s="371"/>
      <c r="N151" s="371"/>
      <c r="O151" s="371"/>
      <c r="P151" s="371"/>
      <c r="Q151" s="371"/>
      <c r="R151" s="371"/>
      <c r="S151" s="371"/>
      <c r="T151" s="371"/>
      <c r="U151" s="371"/>
      <c r="V151" s="371"/>
      <c r="W151" s="371"/>
      <c r="X151" s="371"/>
      <c r="Y151" s="371"/>
    </row>
    <row r="152" ht="28.5" customHeight="1">
      <c r="A152" s="371"/>
      <c r="B152" s="307"/>
      <c r="C152" s="307"/>
      <c r="D152" s="307"/>
      <c r="E152" s="307"/>
      <c r="F152" s="307"/>
      <c r="G152" s="307"/>
      <c r="H152" s="371"/>
      <c r="I152" s="371"/>
      <c r="J152" s="371"/>
      <c r="K152" s="371"/>
      <c r="L152" s="371"/>
      <c r="M152" s="371"/>
      <c r="N152" s="371"/>
      <c r="O152" s="371"/>
      <c r="P152" s="371"/>
      <c r="Q152" s="371"/>
      <c r="R152" s="371"/>
      <c r="S152" s="371"/>
      <c r="T152" s="371"/>
      <c r="U152" s="371"/>
      <c r="V152" s="371"/>
      <c r="W152" s="371"/>
      <c r="X152" s="371"/>
      <c r="Y152" s="371"/>
    </row>
    <row r="153" ht="28.5" customHeight="1">
      <c r="A153" s="371"/>
      <c r="B153" s="307"/>
      <c r="C153" s="307"/>
      <c r="D153" s="307"/>
      <c r="E153" s="307"/>
      <c r="F153" s="307"/>
      <c r="G153" s="307"/>
      <c r="H153" s="371"/>
      <c r="I153" s="371"/>
      <c r="J153" s="371"/>
      <c r="K153" s="371"/>
      <c r="L153" s="371"/>
      <c r="M153" s="371"/>
      <c r="N153" s="371"/>
      <c r="O153" s="371"/>
      <c r="P153" s="371"/>
      <c r="Q153" s="371"/>
      <c r="R153" s="371"/>
      <c r="S153" s="371"/>
      <c r="T153" s="371"/>
      <c r="U153" s="371"/>
      <c r="V153" s="371"/>
      <c r="W153" s="371"/>
      <c r="X153" s="371"/>
      <c r="Y153" s="371"/>
    </row>
    <row r="154" ht="28.5" customHeight="1">
      <c r="A154" s="371"/>
      <c r="B154" s="307"/>
      <c r="C154" s="307"/>
      <c r="D154" s="307"/>
      <c r="E154" s="307"/>
      <c r="F154" s="307"/>
      <c r="G154" s="307"/>
      <c r="H154" s="371"/>
      <c r="I154" s="371"/>
      <c r="J154" s="371"/>
      <c r="K154" s="371"/>
      <c r="L154" s="371"/>
      <c r="M154" s="371"/>
      <c r="N154" s="371"/>
      <c r="O154" s="371"/>
      <c r="P154" s="371"/>
      <c r="Q154" s="371"/>
      <c r="R154" s="371"/>
      <c r="S154" s="371"/>
      <c r="T154" s="371"/>
      <c r="U154" s="371"/>
      <c r="V154" s="371"/>
      <c r="W154" s="371"/>
      <c r="X154" s="371"/>
      <c r="Y154" s="371"/>
    </row>
    <row r="155" ht="28.5" customHeight="1">
      <c r="A155" s="371"/>
      <c r="B155" s="307"/>
      <c r="C155" s="307"/>
      <c r="D155" s="307"/>
      <c r="E155" s="307"/>
      <c r="F155" s="307"/>
      <c r="G155" s="307"/>
      <c r="H155" s="371"/>
      <c r="I155" s="371"/>
      <c r="J155" s="371"/>
      <c r="K155" s="371"/>
      <c r="L155" s="371"/>
      <c r="M155" s="371"/>
      <c r="N155" s="371"/>
      <c r="O155" s="371"/>
      <c r="P155" s="371"/>
      <c r="Q155" s="371"/>
      <c r="R155" s="371"/>
      <c r="S155" s="371"/>
      <c r="T155" s="371"/>
      <c r="U155" s="371"/>
      <c r="V155" s="371"/>
      <c r="W155" s="371"/>
      <c r="X155" s="371"/>
      <c r="Y155" s="371"/>
    </row>
    <row r="156" ht="28.5" customHeight="1">
      <c r="A156" s="371"/>
      <c r="B156" s="307"/>
      <c r="C156" s="307"/>
      <c r="D156" s="307"/>
      <c r="E156" s="307"/>
      <c r="F156" s="307"/>
      <c r="G156" s="307"/>
      <c r="H156" s="371"/>
      <c r="I156" s="371"/>
      <c r="J156" s="371"/>
      <c r="K156" s="371"/>
      <c r="L156" s="371"/>
      <c r="M156" s="371"/>
      <c r="N156" s="371"/>
      <c r="O156" s="371"/>
      <c r="P156" s="371"/>
      <c r="Q156" s="371"/>
      <c r="R156" s="371"/>
      <c r="S156" s="371"/>
      <c r="T156" s="371"/>
      <c r="U156" s="371"/>
      <c r="V156" s="371"/>
      <c r="W156" s="371"/>
      <c r="X156" s="371"/>
      <c r="Y156" s="371"/>
    </row>
    <row r="157" ht="28.5" customHeight="1">
      <c r="A157" s="371"/>
      <c r="B157" s="307"/>
      <c r="C157" s="307"/>
      <c r="D157" s="307"/>
      <c r="E157" s="307"/>
      <c r="F157" s="307"/>
      <c r="G157" s="307"/>
      <c r="H157" s="371"/>
      <c r="I157" s="371"/>
      <c r="J157" s="371"/>
      <c r="K157" s="371"/>
      <c r="L157" s="371"/>
      <c r="M157" s="371"/>
      <c r="N157" s="371"/>
      <c r="O157" s="371"/>
      <c r="P157" s="371"/>
      <c r="Q157" s="371"/>
      <c r="R157" s="371"/>
      <c r="S157" s="371"/>
      <c r="T157" s="371"/>
      <c r="U157" s="371"/>
      <c r="V157" s="371"/>
      <c r="W157" s="371"/>
      <c r="X157" s="371"/>
      <c r="Y157" s="371"/>
    </row>
    <row r="158" ht="28.5" customHeight="1">
      <c r="A158" s="371"/>
      <c r="B158" s="307"/>
      <c r="C158" s="307"/>
      <c r="D158" s="307"/>
      <c r="E158" s="307"/>
      <c r="F158" s="307"/>
      <c r="G158" s="307"/>
      <c r="H158" s="371"/>
      <c r="I158" s="371"/>
      <c r="J158" s="371"/>
      <c r="K158" s="371"/>
      <c r="L158" s="371"/>
      <c r="M158" s="371"/>
      <c r="N158" s="371"/>
      <c r="O158" s="371"/>
      <c r="P158" s="371"/>
      <c r="Q158" s="371"/>
      <c r="R158" s="371"/>
      <c r="S158" s="371"/>
      <c r="T158" s="371"/>
      <c r="U158" s="371"/>
      <c r="V158" s="371"/>
      <c r="W158" s="371"/>
      <c r="X158" s="371"/>
      <c r="Y158" s="371"/>
    </row>
    <row r="159" ht="28.5" customHeight="1">
      <c r="A159" s="371"/>
      <c r="B159" s="307"/>
      <c r="C159" s="307"/>
      <c r="D159" s="307"/>
      <c r="E159" s="307"/>
      <c r="F159" s="307"/>
      <c r="G159" s="307"/>
      <c r="H159" s="371"/>
      <c r="I159" s="371"/>
      <c r="J159" s="371"/>
      <c r="K159" s="371"/>
      <c r="L159" s="371"/>
      <c r="M159" s="371"/>
      <c r="N159" s="371"/>
      <c r="O159" s="371"/>
      <c r="P159" s="371"/>
      <c r="Q159" s="371"/>
      <c r="R159" s="371"/>
      <c r="S159" s="371"/>
      <c r="T159" s="371"/>
      <c r="U159" s="371"/>
      <c r="V159" s="371"/>
      <c r="W159" s="371"/>
      <c r="X159" s="371"/>
      <c r="Y159" s="371"/>
    </row>
    <row r="160" ht="28.5" customHeight="1">
      <c r="A160" s="371"/>
      <c r="B160" s="307"/>
      <c r="C160" s="307"/>
      <c r="D160" s="307"/>
      <c r="E160" s="307"/>
      <c r="F160" s="307"/>
      <c r="G160" s="307"/>
      <c r="H160" s="371"/>
      <c r="I160" s="371"/>
      <c r="J160" s="371"/>
      <c r="K160" s="371"/>
      <c r="L160" s="371"/>
      <c r="M160" s="371"/>
      <c r="N160" s="371"/>
      <c r="O160" s="371"/>
      <c r="P160" s="371"/>
      <c r="Q160" s="371"/>
      <c r="R160" s="371"/>
      <c r="S160" s="371"/>
      <c r="T160" s="371"/>
      <c r="U160" s="371"/>
      <c r="V160" s="371"/>
      <c r="W160" s="371"/>
      <c r="X160" s="371"/>
      <c r="Y160" s="371"/>
    </row>
    <row r="161" ht="28.5" customHeight="1">
      <c r="A161" s="371"/>
      <c r="B161" s="307"/>
      <c r="C161" s="307"/>
      <c r="D161" s="307"/>
      <c r="E161" s="307"/>
      <c r="F161" s="307"/>
      <c r="G161" s="307"/>
      <c r="H161" s="371"/>
      <c r="I161" s="371"/>
      <c r="J161" s="371"/>
      <c r="K161" s="371"/>
      <c r="L161" s="371"/>
      <c r="M161" s="371"/>
      <c r="N161" s="371"/>
      <c r="O161" s="371"/>
      <c r="P161" s="371"/>
      <c r="Q161" s="371"/>
      <c r="R161" s="371"/>
      <c r="S161" s="371"/>
      <c r="T161" s="371"/>
      <c r="U161" s="371"/>
      <c r="V161" s="371"/>
      <c r="W161" s="371"/>
      <c r="X161" s="371"/>
      <c r="Y161" s="371"/>
    </row>
    <row r="162" ht="28.5" customHeight="1">
      <c r="A162" s="371"/>
      <c r="B162" s="307"/>
      <c r="C162" s="307"/>
      <c r="D162" s="307"/>
      <c r="E162" s="307"/>
      <c r="F162" s="307"/>
      <c r="G162" s="307"/>
      <c r="H162" s="371"/>
      <c r="I162" s="371"/>
      <c r="J162" s="371"/>
      <c r="K162" s="371"/>
      <c r="L162" s="371"/>
      <c r="M162" s="371"/>
      <c r="N162" s="371"/>
      <c r="O162" s="371"/>
      <c r="P162" s="371"/>
      <c r="Q162" s="371"/>
      <c r="R162" s="371"/>
      <c r="S162" s="371"/>
      <c r="T162" s="371"/>
      <c r="U162" s="371"/>
      <c r="V162" s="371"/>
      <c r="W162" s="371"/>
      <c r="X162" s="371"/>
      <c r="Y162" s="371"/>
    </row>
    <row r="163" ht="28.5" customHeight="1">
      <c r="A163" s="371"/>
      <c r="B163" s="307"/>
      <c r="C163" s="307"/>
      <c r="D163" s="307"/>
      <c r="E163" s="307"/>
      <c r="F163" s="307"/>
      <c r="G163" s="307"/>
      <c r="H163" s="371"/>
      <c r="I163" s="371"/>
      <c r="J163" s="371"/>
      <c r="K163" s="371"/>
      <c r="L163" s="371"/>
      <c r="M163" s="371"/>
      <c r="N163" s="371"/>
      <c r="O163" s="371"/>
      <c r="P163" s="371"/>
      <c r="Q163" s="371"/>
      <c r="R163" s="371"/>
      <c r="S163" s="371"/>
      <c r="T163" s="371"/>
      <c r="U163" s="371"/>
      <c r="V163" s="371"/>
      <c r="W163" s="371"/>
      <c r="X163" s="371"/>
      <c r="Y163" s="371"/>
    </row>
    <row r="164" ht="28.5" customHeight="1">
      <c r="A164" s="371"/>
      <c r="B164" s="307"/>
      <c r="C164" s="307"/>
      <c r="D164" s="307"/>
      <c r="E164" s="307"/>
      <c r="F164" s="307"/>
      <c r="G164" s="307"/>
      <c r="H164" s="371"/>
      <c r="I164" s="371"/>
      <c r="J164" s="371"/>
      <c r="K164" s="371"/>
      <c r="L164" s="371"/>
      <c r="M164" s="371"/>
      <c r="N164" s="371"/>
      <c r="O164" s="371"/>
      <c r="P164" s="371"/>
      <c r="Q164" s="371"/>
      <c r="R164" s="371"/>
      <c r="S164" s="371"/>
      <c r="T164" s="371"/>
      <c r="U164" s="371"/>
      <c r="V164" s="371"/>
      <c r="W164" s="371"/>
      <c r="X164" s="371"/>
      <c r="Y164" s="371"/>
    </row>
    <row r="165" ht="28.5" customHeight="1">
      <c r="A165" s="371"/>
      <c r="B165" s="307"/>
      <c r="C165" s="307"/>
      <c r="D165" s="307"/>
      <c r="E165" s="307"/>
      <c r="F165" s="307"/>
      <c r="G165" s="307"/>
      <c r="H165" s="371"/>
      <c r="I165" s="371"/>
      <c r="J165" s="371"/>
      <c r="K165" s="371"/>
      <c r="L165" s="371"/>
      <c r="M165" s="371"/>
      <c r="N165" s="371"/>
      <c r="O165" s="371"/>
      <c r="P165" s="371"/>
      <c r="Q165" s="371"/>
      <c r="R165" s="371"/>
      <c r="S165" s="371"/>
      <c r="T165" s="371"/>
      <c r="U165" s="371"/>
      <c r="V165" s="371"/>
      <c r="W165" s="371"/>
      <c r="X165" s="371"/>
      <c r="Y165" s="371"/>
    </row>
    <row r="166" ht="28.5" customHeight="1">
      <c r="A166" s="371"/>
      <c r="B166" s="307"/>
      <c r="C166" s="307"/>
      <c r="D166" s="307"/>
      <c r="E166" s="307"/>
      <c r="F166" s="307"/>
      <c r="G166" s="307"/>
      <c r="H166" s="371"/>
      <c r="I166" s="371"/>
      <c r="J166" s="371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  <c r="U166" s="371"/>
      <c r="V166" s="371"/>
      <c r="W166" s="371"/>
      <c r="X166" s="371"/>
      <c r="Y166" s="371"/>
    </row>
    <row r="167" ht="28.5" customHeight="1">
      <c r="A167" s="371"/>
      <c r="B167" s="307"/>
      <c r="C167" s="307"/>
      <c r="D167" s="307"/>
      <c r="E167" s="307"/>
      <c r="F167" s="307"/>
      <c r="G167" s="307"/>
      <c r="H167" s="371"/>
      <c r="I167" s="371"/>
      <c r="J167" s="371"/>
      <c r="K167" s="371"/>
      <c r="L167" s="371"/>
      <c r="M167" s="371"/>
      <c r="N167" s="371"/>
      <c r="O167" s="371"/>
      <c r="P167" s="371"/>
      <c r="Q167" s="371"/>
      <c r="R167" s="371"/>
      <c r="S167" s="371"/>
      <c r="T167" s="371"/>
      <c r="U167" s="371"/>
      <c r="V167" s="371"/>
      <c r="W167" s="371"/>
      <c r="X167" s="371"/>
      <c r="Y167" s="371"/>
    </row>
    <row r="168" ht="28.5" customHeight="1">
      <c r="A168" s="371"/>
      <c r="B168" s="307"/>
      <c r="C168" s="307"/>
      <c r="D168" s="307"/>
      <c r="E168" s="307"/>
      <c r="F168" s="307"/>
      <c r="G168" s="307"/>
      <c r="H168" s="371"/>
      <c r="I168" s="371"/>
      <c r="J168" s="371"/>
      <c r="K168" s="371"/>
      <c r="L168" s="371"/>
      <c r="M168" s="371"/>
      <c r="N168" s="371"/>
      <c r="O168" s="371"/>
      <c r="P168" s="371"/>
      <c r="Q168" s="371"/>
      <c r="R168" s="371"/>
      <c r="S168" s="371"/>
      <c r="T168" s="371"/>
      <c r="U168" s="371"/>
      <c r="V168" s="371"/>
      <c r="W168" s="371"/>
      <c r="X168" s="371"/>
      <c r="Y168" s="371"/>
    </row>
    <row r="169" ht="28.5" customHeight="1">
      <c r="A169" s="371"/>
      <c r="B169" s="307"/>
      <c r="C169" s="307"/>
      <c r="D169" s="307"/>
      <c r="E169" s="307"/>
      <c r="F169" s="307"/>
      <c r="G169" s="307"/>
      <c r="H169" s="371"/>
      <c r="I169" s="371"/>
      <c r="J169" s="371"/>
      <c r="K169" s="371"/>
      <c r="L169" s="371"/>
      <c r="M169" s="371"/>
      <c r="N169" s="371"/>
      <c r="O169" s="371"/>
      <c r="P169" s="371"/>
      <c r="Q169" s="371"/>
      <c r="R169" s="371"/>
      <c r="S169" s="371"/>
      <c r="T169" s="371"/>
      <c r="U169" s="371"/>
      <c r="V169" s="371"/>
      <c r="W169" s="371"/>
      <c r="X169" s="371"/>
      <c r="Y169" s="371"/>
    </row>
    <row r="170" ht="28.5" customHeight="1">
      <c r="A170" s="371"/>
      <c r="B170" s="307"/>
      <c r="C170" s="307"/>
      <c r="D170" s="307"/>
      <c r="E170" s="307"/>
      <c r="F170" s="307"/>
      <c r="G170" s="307"/>
      <c r="H170" s="371"/>
      <c r="I170" s="371"/>
      <c r="J170" s="371"/>
      <c r="K170" s="371"/>
      <c r="L170" s="371"/>
      <c r="M170" s="371"/>
      <c r="N170" s="371"/>
      <c r="O170" s="371"/>
      <c r="P170" s="371"/>
      <c r="Q170" s="371"/>
      <c r="R170" s="371"/>
      <c r="S170" s="371"/>
      <c r="T170" s="371"/>
      <c r="U170" s="371"/>
      <c r="V170" s="371"/>
      <c r="W170" s="371"/>
      <c r="X170" s="371"/>
      <c r="Y170" s="371"/>
    </row>
    <row r="171" ht="28.5" customHeight="1">
      <c r="A171" s="371"/>
      <c r="B171" s="307"/>
      <c r="C171" s="307"/>
      <c r="D171" s="307"/>
      <c r="E171" s="307"/>
      <c r="F171" s="307"/>
      <c r="G171" s="307"/>
      <c r="H171" s="371"/>
      <c r="I171" s="371"/>
      <c r="J171" s="371"/>
      <c r="K171" s="371"/>
      <c r="L171" s="371"/>
      <c r="M171" s="371"/>
      <c r="N171" s="371"/>
      <c r="O171" s="371"/>
      <c r="P171" s="371"/>
      <c r="Q171" s="371"/>
      <c r="R171" s="371"/>
      <c r="S171" s="371"/>
      <c r="T171" s="371"/>
      <c r="U171" s="371"/>
      <c r="V171" s="371"/>
      <c r="W171" s="371"/>
      <c r="X171" s="371"/>
      <c r="Y171" s="371"/>
    </row>
    <row r="172" ht="28.5" customHeight="1">
      <c r="A172" s="371"/>
      <c r="B172" s="307"/>
      <c r="C172" s="307"/>
      <c r="D172" s="307"/>
      <c r="E172" s="307"/>
      <c r="F172" s="307"/>
      <c r="G172" s="307"/>
      <c r="H172" s="371"/>
      <c r="I172" s="371"/>
      <c r="J172" s="371"/>
      <c r="K172" s="371"/>
      <c r="L172" s="371"/>
      <c r="M172" s="371"/>
      <c r="N172" s="371"/>
      <c r="O172" s="371"/>
      <c r="P172" s="371"/>
      <c r="Q172" s="371"/>
      <c r="R172" s="371"/>
      <c r="S172" s="371"/>
      <c r="T172" s="371"/>
      <c r="U172" s="371"/>
      <c r="V172" s="371"/>
      <c r="W172" s="371"/>
      <c r="X172" s="371"/>
      <c r="Y172" s="371"/>
    </row>
    <row r="173" ht="28.5" customHeight="1">
      <c r="A173" s="371"/>
      <c r="B173" s="307"/>
      <c r="C173" s="307"/>
      <c r="D173" s="307"/>
      <c r="E173" s="307"/>
      <c r="F173" s="307"/>
      <c r="G173" s="307"/>
      <c r="H173" s="371"/>
      <c r="I173" s="371"/>
      <c r="J173" s="371"/>
      <c r="K173" s="371"/>
      <c r="L173" s="371"/>
      <c r="M173" s="371"/>
      <c r="N173" s="371"/>
      <c r="O173" s="371"/>
      <c r="P173" s="371"/>
      <c r="Q173" s="371"/>
      <c r="R173" s="371"/>
      <c r="S173" s="371"/>
      <c r="T173" s="371"/>
      <c r="U173" s="371"/>
      <c r="V173" s="371"/>
      <c r="W173" s="371"/>
      <c r="X173" s="371"/>
      <c r="Y173" s="371"/>
    </row>
    <row r="174" ht="28.5" customHeight="1">
      <c r="A174" s="371"/>
      <c r="B174" s="307"/>
      <c r="C174" s="307"/>
      <c r="D174" s="307"/>
      <c r="E174" s="307"/>
      <c r="F174" s="307"/>
      <c r="G174" s="307"/>
      <c r="H174" s="371"/>
      <c r="I174" s="371"/>
      <c r="J174" s="371"/>
      <c r="K174" s="371"/>
      <c r="L174" s="371"/>
      <c r="M174" s="371"/>
      <c r="N174" s="371"/>
      <c r="O174" s="371"/>
      <c r="P174" s="371"/>
      <c r="Q174" s="371"/>
      <c r="R174" s="371"/>
      <c r="S174" s="371"/>
      <c r="T174" s="371"/>
      <c r="U174" s="371"/>
      <c r="V174" s="371"/>
      <c r="W174" s="371"/>
      <c r="X174" s="371"/>
      <c r="Y174" s="371"/>
    </row>
    <row r="175" ht="28.5" customHeight="1">
      <c r="A175" s="371"/>
      <c r="B175" s="307"/>
      <c r="C175" s="307"/>
      <c r="D175" s="307"/>
      <c r="E175" s="307"/>
      <c r="F175" s="307"/>
      <c r="G175" s="307"/>
      <c r="H175" s="371"/>
      <c r="I175" s="371"/>
      <c r="J175" s="371"/>
      <c r="K175" s="371"/>
      <c r="L175" s="371"/>
      <c r="M175" s="371"/>
      <c r="N175" s="371"/>
      <c r="O175" s="371"/>
      <c r="P175" s="371"/>
      <c r="Q175" s="371"/>
      <c r="R175" s="371"/>
      <c r="S175" s="371"/>
      <c r="T175" s="371"/>
      <c r="U175" s="371"/>
      <c r="V175" s="371"/>
      <c r="W175" s="371"/>
      <c r="X175" s="371"/>
      <c r="Y175" s="371"/>
    </row>
    <row r="176" ht="28.5" customHeight="1">
      <c r="A176" s="371"/>
      <c r="B176" s="307"/>
      <c r="C176" s="307"/>
      <c r="D176" s="307"/>
      <c r="E176" s="307"/>
      <c r="F176" s="307"/>
      <c r="G176" s="307"/>
      <c r="H176" s="371"/>
      <c r="I176" s="371"/>
      <c r="J176" s="371"/>
      <c r="K176" s="371"/>
      <c r="L176" s="371"/>
      <c r="M176" s="371"/>
      <c r="N176" s="371"/>
      <c r="O176" s="371"/>
      <c r="P176" s="371"/>
      <c r="Q176" s="371"/>
      <c r="R176" s="371"/>
      <c r="S176" s="371"/>
      <c r="T176" s="371"/>
      <c r="U176" s="371"/>
      <c r="V176" s="371"/>
      <c r="W176" s="371"/>
      <c r="X176" s="371"/>
      <c r="Y176" s="371"/>
    </row>
    <row r="177" ht="28.5" customHeight="1">
      <c r="A177" s="371"/>
      <c r="B177" s="307"/>
      <c r="C177" s="307"/>
      <c r="D177" s="307"/>
      <c r="E177" s="307"/>
      <c r="F177" s="307"/>
      <c r="G177" s="307"/>
      <c r="H177" s="371"/>
      <c r="I177" s="371"/>
      <c r="J177" s="371"/>
      <c r="K177" s="371"/>
      <c r="L177" s="371"/>
      <c r="M177" s="371"/>
      <c r="N177" s="371"/>
      <c r="O177" s="371"/>
      <c r="P177" s="371"/>
      <c r="Q177" s="371"/>
      <c r="R177" s="371"/>
      <c r="S177" s="371"/>
      <c r="T177" s="371"/>
      <c r="U177" s="371"/>
      <c r="V177" s="371"/>
      <c r="W177" s="371"/>
      <c r="X177" s="371"/>
      <c r="Y177" s="371"/>
    </row>
    <row r="178" ht="28.5" customHeight="1">
      <c r="A178" s="371"/>
      <c r="B178" s="307"/>
      <c r="C178" s="307"/>
      <c r="D178" s="307"/>
      <c r="E178" s="307"/>
      <c r="F178" s="307"/>
      <c r="G178" s="307"/>
      <c r="H178" s="371"/>
      <c r="I178" s="371"/>
      <c r="J178" s="371"/>
      <c r="K178" s="371"/>
      <c r="L178" s="371"/>
      <c r="M178" s="371"/>
      <c r="N178" s="371"/>
      <c r="O178" s="371"/>
      <c r="P178" s="371"/>
      <c r="Q178" s="371"/>
      <c r="R178" s="371"/>
      <c r="S178" s="371"/>
      <c r="T178" s="371"/>
      <c r="U178" s="371"/>
      <c r="V178" s="371"/>
      <c r="W178" s="371"/>
      <c r="X178" s="371"/>
      <c r="Y178" s="371"/>
    </row>
    <row r="179" ht="28.5" customHeight="1">
      <c r="A179" s="371"/>
      <c r="B179" s="307"/>
      <c r="C179" s="307"/>
      <c r="D179" s="307"/>
      <c r="E179" s="307"/>
      <c r="F179" s="307"/>
      <c r="G179" s="307"/>
      <c r="H179" s="371"/>
      <c r="I179" s="371"/>
      <c r="J179" s="371"/>
      <c r="K179" s="371"/>
      <c r="L179" s="371"/>
      <c r="M179" s="371"/>
      <c r="N179" s="371"/>
      <c r="O179" s="371"/>
      <c r="P179" s="371"/>
      <c r="Q179" s="371"/>
      <c r="R179" s="371"/>
      <c r="S179" s="371"/>
      <c r="T179" s="371"/>
      <c r="U179" s="371"/>
      <c r="V179" s="371"/>
      <c r="W179" s="371"/>
      <c r="X179" s="371"/>
      <c r="Y179" s="371"/>
    </row>
    <row r="180" ht="28.5" customHeight="1">
      <c r="A180" s="371"/>
      <c r="B180" s="307"/>
      <c r="C180" s="307"/>
      <c r="D180" s="307"/>
      <c r="E180" s="307"/>
      <c r="F180" s="307"/>
      <c r="G180" s="307"/>
      <c r="H180" s="371"/>
      <c r="I180" s="371"/>
      <c r="J180" s="371"/>
      <c r="K180" s="371"/>
      <c r="L180" s="371"/>
      <c r="M180" s="371"/>
      <c r="N180" s="371"/>
      <c r="O180" s="371"/>
      <c r="P180" s="371"/>
      <c r="Q180" s="371"/>
      <c r="R180" s="371"/>
      <c r="S180" s="371"/>
      <c r="T180" s="371"/>
      <c r="U180" s="371"/>
      <c r="V180" s="371"/>
      <c r="W180" s="371"/>
      <c r="X180" s="371"/>
      <c r="Y180" s="371"/>
    </row>
    <row r="181" ht="28.5" customHeight="1">
      <c r="A181" s="371"/>
      <c r="B181" s="307"/>
      <c r="C181" s="307"/>
      <c r="D181" s="307"/>
      <c r="E181" s="307"/>
      <c r="F181" s="307"/>
      <c r="G181" s="307"/>
      <c r="H181" s="371"/>
      <c r="I181" s="371"/>
      <c r="J181" s="371"/>
      <c r="K181" s="371"/>
      <c r="L181" s="371"/>
      <c r="M181" s="371"/>
      <c r="N181" s="371"/>
      <c r="O181" s="371"/>
      <c r="P181" s="371"/>
      <c r="Q181" s="371"/>
      <c r="R181" s="371"/>
      <c r="S181" s="371"/>
      <c r="T181" s="371"/>
      <c r="U181" s="371"/>
      <c r="V181" s="371"/>
      <c r="W181" s="371"/>
      <c r="X181" s="371"/>
      <c r="Y181" s="371"/>
    </row>
    <row r="182" ht="28.5" customHeight="1">
      <c r="A182" s="371"/>
      <c r="B182" s="307"/>
      <c r="C182" s="307"/>
      <c r="D182" s="307"/>
      <c r="E182" s="307"/>
      <c r="F182" s="307"/>
      <c r="G182" s="307"/>
      <c r="H182" s="371"/>
      <c r="I182" s="371"/>
      <c r="J182" s="371"/>
      <c r="K182" s="371"/>
      <c r="L182" s="371"/>
      <c r="M182" s="371"/>
      <c r="N182" s="371"/>
      <c r="O182" s="371"/>
      <c r="P182" s="371"/>
      <c r="Q182" s="371"/>
      <c r="R182" s="371"/>
      <c r="S182" s="371"/>
      <c r="T182" s="371"/>
      <c r="U182" s="371"/>
      <c r="V182" s="371"/>
      <c r="W182" s="371"/>
      <c r="X182" s="371"/>
      <c r="Y182" s="371"/>
    </row>
    <row r="183" ht="28.5" customHeight="1">
      <c r="A183" s="371"/>
      <c r="B183" s="307"/>
      <c r="C183" s="307"/>
      <c r="D183" s="307"/>
      <c r="E183" s="307"/>
      <c r="F183" s="307"/>
      <c r="G183" s="307"/>
      <c r="H183" s="371"/>
      <c r="I183" s="371"/>
      <c r="J183" s="371"/>
      <c r="K183" s="371"/>
      <c r="L183" s="371"/>
      <c r="M183" s="371"/>
      <c r="N183" s="371"/>
      <c r="O183" s="371"/>
      <c r="P183" s="371"/>
      <c r="Q183" s="371"/>
      <c r="R183" s="371"/>
      <c r="S183" s="371"/>
      <c r="T183" s="371"/>
      <c r="U183" s="371"/>
      <c r="V183" s="371"/>
      <c r="W183" s="371"/>
      <c r="X183" s="371"/>
      <c r="Y183" s="371"/>
    </row>
    <row r="184" ht="28.5" customHeight="1">
      <c r="A184" s="371"/>
      <c r="B184" s="307"/>
      <c r="C184" s="307"/>
      <c r="D184" s="307"/>
      <c r="E184" s="307"/>
      <c r="F184" s="307"/>
      <c r="G184" s="307"/>
      <c r="H184" s="371"/>
      <c r="I184" s="371"/>
      <c r="J184" s="371"/>
      <c r="K184" s="371"/>
      <c r="L184" s="371"/>
      <c r="M184" s="371"/>
      <c r="N184" s="371"/>
      <c r="O184" s="371"/>
      <c r="P184" s="371"/>
      <c r="Q184" s="371"/>
      <c r="R184" s="371"/>
      <c r="S184" s="371"/>
      <c r="T184" s="371"/>
      <c r="U184" s="371"/>
      <c r="V184" s="371"/>
      <c r="W184" s="371"/>
      <c r="X184" s="371"/>
      <c r="Y184" s="371"/>
    </row>
    <row r="185" ht="28.5" customHeight="1">
      <c r="A185" s="371"/>
      <c r="B185" s="307"/>
      <c r="C185" s="307"/>
      <c r="D185" s="307"/>
      <c r="E185" s="307"/>
      <c r="F185" s="307"/>
      <c r="G185" s="307"/>
      <c r="H185" s="371"/>
      <c r="I185" s="371"/>
      <c r="J185" s="371"/>
      <c r="K185" s="371"/>
      <c r="L185" s="371"/>
      <c r="M185" s="371"/>
      <c r="N185" s="371"/>
      <c r="O185" s="371"/>
      <c r="P185" s="371"/>
      <c r="Q185" s="371"/>
      <c r="R185" s="371"/>
      <c r="S185" s="371"/>
      <c r="T185" s="371"/>
      <c r="U185" s="371"/>
      <c r="V185" s="371"/>
      <c r="W185" s="371"/>
      <c r="X185" s="371"/>
      <c r="Y185" s="371"/>
    </row>
    <row r="186" ht="28.5" customHeight="1">
      <c r="A186" s="371"/>
      <c r="B186" s="307"/>
      <c r="C186" s="307"/>
      <c r="D186" s="307"/>
      <c r="E186" s="307"/>
      <c r="F186" s="307"/>
      <c r="G186" s="307"/>
      <c r="H186" s="371"/>
      <c r="I186" s="371"/>
      <c r="J186" s="371"/>
      <c r="K186" s="371"/>
      <c r="L186" s="371"/>
      <c r="M186" s="371"/>
      <c r="N186" s="371"/>
      <c r="O186" s="371"/>
      <c r="P186" s="371"/>
      <c r="Q186" s="371"/>
      <c r="R186" s="371"/>
      <c r="S186" s="371"/>
      <c r="T186" s="371"/>
      <c r="U186" s="371"/>
      <c r="V186" s="371"/>
      <c r="W186" s="371"/>
      <c r="X186" s="371"/>
      <c r="Y186" s="371"/>
    </row>
    <row r="187" ht="28.5" customHeight="1">
      <c r="A187" s="371"/>
      <c r="B187" s="307"/>
      <c r="C187" s="307"/>
      <c r="D187" s="307"/>
      <c r="E187" s="307"/>
      <c r="F187" s="307"/>
      <c r="G187" s="307"/>
      <c r="H187" s="371"/>
      <c r="I187" s="371"/>
      <c r="J187" s="371"/>
      <c r="K187" s="371"/>
      <c r="L187" s="371"/>
      <c r="M187" s="371"/>
      <c r="N187" s="371"/>
      <c r="O187" s="371"/>
      <c r="P187" s="371"/>
      <c r="Q187" s="371"/>
      <c r="R187" s="371"/>
      <c r="S187" s="371"/>
      <c r="T187" s="371"/>
      <c r="U187" s="371"/>
      <c r="V187" s="371"/>
      <c r="W187" s="371"/>
      <c r="X187" s="371"/>
      <c r="Y187" s="371"/>
    </row>
    <row r="188" ht="28.5" customHeight="1">
      <c r="A188" s="371"/>
      <c r="B188" s="307"/>
      <c r="C188" s="307"/>
      <c r="D188" s="307"/>
      <c r="E188" s="307"/>
      <c r="F188" s="307"/>
      <c r="G188" s="307"/>
      <c r="H188" s="371"/>
      <c r="I188" s="371"/>
      <c r="J188" s="371"/>
      <c r="K188" s="371"/>
      <c r="L188" s="371"/>
      <c r="M188" s="371"/>
      <c r="N188" s="371"/>
      <c r="O188" s="371"/>
      <c r="P188" s="371"/>
      <c r="Q188" s="371"/>
      <c r="R188" s="371"/>
      <c r="S188" s="371"/>
      <c r="T188" s="371"/>
      <c r="U188" s="371"/>
      <c r="V188" s="371"/>
      <c r="W188" s="371"/>
      <c r="X188" s="371"/>
      <c r="Y188" s="371"/>
    </row>
    <row r="189" ht="28.5" customHeight="1">
      <c r="A189" s="371"/>
      <c r="B189" s="307"/>
      <c r="C189" s="307"/>
      <c r="D189" s="307"/>
      <c r="E189" s="307"/>
      <c r="F189" s="307"/>
      <c r="G189" s="307"/>
      <c r="H189" s="371"/>
      <c r="I189" s="371"/>
      <c r="J189" s="371"/>
      <c r="K189" s="371"/>
      <c r="L189" s="371"/>
      <c r="M189" s="371"/>
      <c r="N189" s="371"/>
      <c r="O189" s="371"/>
      <c r="P189" s="371"/>
      <c r="Q189" s="371"/>
      <c r="R189" s="371"/>
      <c r="S189" s="371"/>
      <c r="T189" s="371"/>
      <c r="U189" s="371"/>
      <c r="V189" s="371"/>
      <c r="W189" s="371"/>
      <c r="X189" s="371"/>
      <c r="Y189" s="371"/>
    </row>
    <row r="190" ht="28.5" customHeight="1">
      <c r="A190" s="371"/>
      <c r="B190" s="307"/>
      <c r="C190" s="307"/>
      <c r="D190" s="307"/>
      <c r="E190" s="307"/>
      <c r="F190" s="307"/>
      <c r="G190" s="307"/>
      <c r="H190" s="371"/>
      <c r="I190" s="371"/>
      <c r="J190" s="371"/>
      <c r="K190" s="371"/>
      <c r="L190" s="371"/>
      <c r="M190" s="371"/>
      <c r="N190" s="371"/>
      <c r="O190" s="371"/>
      <c r="P190" s="371"/>
      <c r="Q190" s="371"/>
      <c r="R190" s="371"/>
      <c r="S190" s="371"/>
      <c r="T190" s="371"/>
      <c r="U190" s="371"/>
      <c r="V190" s="371"/>
      <c r="W190" s="371"/>
      <c r="X190" s="371"/>
      <c r="Y190" s="371"/>
    </row>
    <row r="191" ht="28.5" customHeight="1">
      <c r="A191" s="371"/>
      <c r="B191" s="307"/>
      <c r="C191" s="307"/>
      <c r="D191" s="307"/>
      <c r="E191" s="307"/>
      <c r="F191" s="307"/>
      <c r="G191" s="307"/>
      <c r="H191" s="371"/>
      <c r="I191" s="371"/>
      <c r="J191" s="371"/>
      <c r="K191" s="371"/>
      <c r="L191" s="371"/>
      <c r="M191" s="371"/>
      <c r="N191" s="371"/>
      <c r="O191" s="371"/>
      <c r="P191" s="371"/>
      <c r="Q191" s="371"/>
      <c r="R191" s="371"/>
      <c r="S191" s="371"/>
      <c r="T191" s="371"/>
      <c r="U191" s="371"/>
      <c r="V191" s="371"/>
      <c r="W191" s="371"/>
      <c r="X191" s="371"/>
      <c r="Y191" s="371"/>
    </row>
    <row r="192" ht="28.5" customHeight="1">
      <c r="A192" s="371"/>
      <c r="B192" s="307"/>
      <c r="C192" s="307"/>
      <c r="D192" s="307"/>
      <c r="E192" s="307"/>
      <c r="F192" s="307"/>
      <c r="G192" s="307"/>
      <c r="H192" s="371"/>
      <c r="I192" s="371"/>
      <c r="J192" s="371"/>
      <c r="K192" s="371"/>
      <c r="L192" s="371"/>
      <c r="M192" s="371"/>
      <c r="N192" s="371"/>
      <c r="O192" s="371"/>
      <c r="P192" s="371"/>
      <c r="Q192" s="371"/>
      <c r="R192" s="371"/>
      <c r="S192" s="371"/>
      <c r="T192" s="371"/>
      <c r="U192" s="371"/>
      <c r="V192" s="371"/>
      <c r="W192" s="371"/>
      <c r="X192" s="371"/>
      <c r="Y192" s="371"/>
    </row>
    <row r="193" ht="28.5" customHeight="1">
      <c r="A193" s="371"/>
      <c r="B193" s="307"/>
      <c r="C193" s="307"/>
      <c r="D193" s="307"/>
      <c r="E193" s="307"/>
      <c r="F193" s="307"/>
      <c r="G193" s="307"/>
      <c r="H193" s="371"/>
      <c r="I193" s="371"/>
      <c r="J193" s="371"/>
      <c r="K193" s="371"/>
      <c r="L193" s="371"/>
      <c r="M193" s="371"/>
      <c r="N193" s="371"/>
      <c r="O193" s="371"/>
      <c r="P193" s="371"/>
      <c r="Q193" s="371"/>
      <c r="R193" s="371"/>
      <c r="S193" s="371"/>
      <c r="T193" s="371"/>
      <c r="U193" s="371"/>
      <c r="V193" s="371"/>
      <c r="W193" s="371"/>
      <c r="X193" s="371"/>
      <c r="Y193" s="371"/>
    </row>
    <row r="194" ht="28.5" customHeight="1">
      <c r="A194" s="371"/>
      <c r="B194" s="307"/>
      <c r="C194" s="307"/>
      <c r="D194" s="307"/>
      <c r="E194" s="307"/>
      <c r="F194" s="307"/>
      <c r="G194" s="307"/>
      <c r="H194" s="371"/>
      <c r="I194" s="371"/>
      <c r="J194" s="371"/>
      <c r="K194" s="371"/>
      <c r="L194" s="371"/>
      <c r="M194" s="371"/>
      <c r="N194" s="371"/>
      <c r="O194" s="371"/>
      <c r="P194" s="371"/>
      <c r="Q194" s="371"/>
      <c r="R194" s="371"/>
      <c r="S194" s="371"/>
      <c r="T194" s="371"/>
      <c r="U194" s="371"/>
      <c r="V194" s="371"/>
      <c r="W194" s="371"/>
      <c r="X194" s="371"/>
      <c r="Y194" s="371"/>
    </row>
    <row r="195" ht="28.5" customHeight="1">
      <c r="A195" s="371"/>
      <c r="B195" s="307"/>
      <c r="C195" s="307"/>
      <c r="D195" s="307"/>
      <c r="E195" s="307"/>
      <c r="F195" s="307"/>
      <c r="G195" s="307"/>
      <c r="H195" s="371"/>
      <c r="I195" s="371"/>
      <c r="J195" s="371"/>
      <c r="K195" s="371"/>
      <c r="L195" s="371"/>
      <c r="M195" s="371"/>
      <c r="N195" s="371"/>
      <c r="O195" s="371"/>
      <c r="P195" s="371"/>
      <c r="Q195" s="371"/>
      <c r="R195" s="371"/>
      <c r="S195" s="371"/>
      <c r="T195" s="371"/>
      <c r="U195" s="371"/>
      <c r="V195" s="371"/>
      <c r="W195" s="371"/>
      <c r="X195" s="371"/>
      <c r="Y195" s="371"/>
    </row>
    <row r="196" ht="28.5" customHeight="1">
      <c r="A196" s="371"/>
      <c r="B196" s="307"/>
      <c r="C196" s="307"/>
      <c r="D196" s="307"/>
      <c r="E196" s="307"/>
      <c r="F196" s="307"/>
      <c r="G196" s="307"/>
      <c r="H196" s="371"/>
      <c r="I196" s="371"/>
      <c r="J196" s="371"/>
      <c r="K196" s="371"/>
      <c r="L196" s="371"/>
      <c r="M196" s="371"/>
      <c r="N196" s="371"/>
      <c r="O196" s="371"/>
      <c r="P196" s="371"/>
      <c r="Q196" s="371"/>
      <c r="R196" s="371"/>
      <c r="S196" s="371"/>
      <c r="T196" s="371"/>
      <c r="U196" s="371"/>
      <c r="V196" s="371"/>
      <c r="W196" s="371"/>
      <c r="X196" s="371"/>
      <c r="Y196" s="371"/>
    </row>
    <row r="197" ht="28.5" customHeight="1">
      <c r="A197" s="371"/>
      <c r="B197" s="307"/>
      <c r="C197" s="307"/>
      <c r="D197" s="307"/>
      <c r="E197" s="307"/>
      <c r="F197" s="307"/>
      <c r="G197" s="307"/>
      <c r="H197" s="371"/>
      <c r="I197" s="371"/>
      <c r="J197" s="371"/>
      <c r="K197" s="371"/>
      <c r="L197" s="371"/>
      <c r="M197" s="371"/>
      <c r="N197" s="371"/>
      <c r="O197" s="371"/>
      <c r="P197" s="371"/>
      <c r="Q197" s="371"/>
      <c r="R197" s="371"/>
      <c r="S197" s="371"/>
      <c r="T197" s="371"/>
      <c r="U197" s="371"/>
      <c r="V197" s="371"/>
      <c r="W197" s="371"/>
      <c r="X197" s="371"/>
      <c r="Y197" s="371"/>
    </row>
    <row r="198" ht="28.5" customHeight="1">
      <c r="A198" s="371"/>
      <c r="B198" s="307"/>
      <c r="C198" s="307"/>
      <c r="D198" s="307"/>
      <c r="E198" s="307"/>
      <c r="F198" s="307"/>
      <c r="G198" s="307"/>
      <c r="H198" s="371"/>
      <c r="I198" s="371"/>
      <c r="J198" s="371"/>
      <c r="K198" s="371"/>
      <c r="L198" s="371"/>
      <c r="M198" s="371"/>
      <c r="N198" s="371"/>
      <c r="O198" s="371"/>
      <c r="P198" s="371"/>
      <c r="Q198" s="371"/>
      <c r="R198" s="371"/>
      <c r="S198" s="371"/>
      <c r="T198" s="371"/>
      <c r="U198" s="371"/>
      <c r="V198" s="371"/>
      <c r="W198" s="371"/>
      <c r="X198" s="371"/>
      <c r="Y198" s="371"/>
    </row>
    <row r="199" ht="28.5" customHeight="1">
      <c r="A199" s="371"/>
      <c r="B199" s="307"/>
      <c r="C199" s="307"/>
      <c r="D199" s="307"/>
      <c r="E199" s="307"/>
      <c r="F199" s="307"/>
      <c r="G199" s="307"/>
      <c r="H199" s="371"/>
      <c r="I199" s="371"/>
      <c r="J199" s="371"/>
      <c r="K199" s="371"/>
      <c r="L199" s="371"/>
      <c r="M199" s="371"/>
      <c r="N199" s="371"/>
      <c r="O199" s="371"/>
      <c r="P199" s="371"/>
      <c r="Q199" s="371"/>
      <c r="R199" s="371"/>
      <c r="S199" s="371"/>
      <c r="T199" s="371"/>
      <c r="U199" s="371"/>
      <c r="V199" s="371"/>
      <c r="W199" s="371"/>
      <c r="X199" s="371"/>
      <c r="Y199" s="371"/>
    </row>
    <row r="200" ht="28.5" customHeight="1">
      <c r="A200" s="371"/>
      <c r="B200" s="307"/>
      <c r="C200" s="307"/>
      <c r="D200" s="307"/>
      <c r="E200" s="307"/>
      <c r="F200" s="307"/>
      <c r="G200" s="307"/>
      <c r="H200" s="371"/>
      <c r="I200" s="371"/>
      <c r="J200" s="371"/>
      <c r="K200" s="371"/>
      <c r="L200" s="371"/>
      <c r="M200" s="371"/>
      <c r="N200" s="371"/>
      <c r="O200" s="371"/>
      <c r="P200" s="371"/>
      <c r="Q200" s="371"/>
      <c r="R200" s="371"/>
      <c r="S200" s="371"/>
      <c r="T200" s="371"/>
      <c r="U200" s="371"/>
      <c r="V200" s="371"/>
      <c r="W200" s="371"/>
      <c r="X200" s="371"/>
      <c r="Y200" s="371"/>
    </row>
    <row r="201" ht="28.5" customHeight="1">
      <c r="A201" s="371"/>
      <c r="B201" s="307"/>
      <c r="C201" s="307"/>
      <c r="D201" s="307"/>
      <c r="E201" s="307"/>
      <c r="F201" s="307"/>
      <c r="G201" s="307"/>
      <c r="H201" s="371"/>
      <c r="I201" s="371"/>
      <c r="J201" s="371"/>
      <c r="K201" s="371"/>
      <c r="L201" s="371"/>
      <c r="M201" s="371"/>
      <c r="N201" s="371"/>
      <c r="O201" s="371"/>
      <c r="P201" s="371"/>
      <c r="Q201" s="371"/>
      <c r="R201" s="371"/>
      <c r="S201" s="371"/>
      <c r="T201" s="371"/>
      <c r="U201" s="371"/>
      <c r="V201" s="371"/>
      <c r="W201" s="371"/>
      <c r="X201" s="371"/>
      <c r="Y201" s="371"/>
    </row>
    <row r="202" ht="28.5" customHeight="1">
      <c r="A202" s="371"/>
      <c r="B202" s="307"/>
      <c r="C202" s="307"/>
      <c r="D202" s="307"/>
      <c r="E202" s="307"/>
      <c r="F202" s="307"/>
      <c r="G202" s="307"/>
      <c r="H202" s="371"/>
      <c r="I202" s="371"/>
      <c r="J202" s="371"/>
      <c r="K202" s="371"/>
      <c r="L202" s="371"/>
      <c r="M202" s="371"/>
      <c r="N202" s="371"/>
      <c r="O202" s="371"/>
      <c r="P202" s="371"/>
      <c r="Q202" s="371"/>
      <c r="R202" s="371"/>
      <c r="S202" s="371"/>
      <c r="T202" s="371"/>
      <c r="U202" s="371"/>
      <c r="V202" s="371"/>
      <c r="W202" s="371"/>
      <c r="X202" s="371"/>
      <c r="Y202" s="371"/>
    </row>
    <row r="203" ht="28.5" customHeight="1">
      <c r="A203" s="371"/>
      <c r="B203" s="307"/>
      <c r="C203" s="307"/>
      <c r="D203" s="307"/>
      <c r="E203" s="307"/>
      <c r="F203" s="307"/>
      <c r="G203" s="307"/>
      <c r="H203" s="371"/>
      <c r="I203" s="371"/>
      <c r="J203" s="371"/>
      <c r="K203" s="371"/>
      <c r="L203" s="371"/>
      <c r="M203" s="371"/>
      <c r="N203" s="371"/>
      <c r="O203" s="371"/>
      <c r="P203" s="371"/>
      <c r="Q203" s="371"/>
      <c r="R203" s="371"/>
      <c r="S203" s="371"/>
      <c r="T203" s="371"/>
      <c r="U203" s="371"/>
      <c r="V203" s="371"/>
      <c r="W203" s="371"/>
      <c r="X203" s="371"/>
      <c r="Y203" s="371"/>
    </row>
    <row r="204" ht="28.5" customHeight="1">
      <c r="A204" s="371"/>
      <c r="B204" s="307"/>
      <c r="C204" s="307"/>
      <c r="D204" s="307"/>
      <c r="E204" s="307"/>
      <c r="F204" s="307"/>
      <c r="G204" s="307"/>
      <c r="H204" s="371"/>
      <c r="I204" s="371"/>
      <c r="J204" s="371"/>
      <c r="K204" s="371"/>
      <c r="L204" s="371"/>
      <c r="M204" s="371"/>
      <c r="N204" s="371"/>
      <c r="O204" s="371"/>
      <c r="P204" s="371"/>
      <c r="Q204" s="371"/>
      <c r="R204" s="371"/>
      <c r="S204" s="371"/>
      <c r="T204" s="371"/>
      <c r="U204" s="371"/>
      <c r="V204" s="371"/>
      <c r="W204" s="371"/>
      <c r="X204" s="371"/>
      <c r="Y204" s="371"/>
    </row>
    <row r="205" ht="28.5" customHeight="1">
      <c r="A205" s="371"/>
      <c r="B205" s="307"/>
      <c r="C205" s="307"/>
      <c r="D205" s="307"/>
      <c r="E205" s="307"/>
      <c r="F205" s="307"/>
      <c r="G205" s="307"/>
      <c r="H205" s="371"/>
      <c r="I205" s="371"/>
      <c r="J205" s="371"/>
      <c r="K205" s="371"/>
      <c r="L205" s="371"/>
      <c r="M205" s="371"/>
      <c r="N205" s="371"/>
      <c r="O205" s="371"/>
      <c r="P205" s="371"/>
      <c r="Q205" s="371"/>
      <c r="R205" s="371"/>
      <c r="S205" s="371"/>
      <c r="T205" s="371"/>
      <c r="U205" s="371"/>
      <c r="V205" s="371"/>
      <c r="W205" s="371"/>
      <c r="X205" s="371"/>
      <c r="Y205" s="371"/>
    </row>
    <row r="206" ht="28.5" customHeight="1">
      <c r="A206" s="371"/>
      <c r="B206" s="307"/>
      <c r="C206" s="307"/>
      <c r="D206" s="307"/>
      <c r="E206" s="307"/>
      <c r="F206" s="307"/>
      <c r="G206" s="307"/>
      <c r="H206" s="371"/>
      <c r="I206" s="371"/>
      <c r="J206" s="371"/>
      <c r="K206" s="371"/>
      <c r="L206" s="371"/>
      <c r="M206" s="371"/>
      <c r="N206" s="371"/>
      <c r="O206" s="371"/>
      <c r="P206" s="371"/>
      <c r="Q206" s="371"/>
      <c r="R206" s="371"/>
      <c r="S206" s="371"/>
      <c r="T206" s="371"/>
      <c r="U206" s="371"/>
      <c r="V206" s="371"/>
      <c r="W206" s="371"/>
      <c r="X206" s="371"/>
      <c r="Y206" s="371"/>
    </row>
    <row r="207" ht="28.5" customHeight="1">
      <c r="A207" s="371"/>
      <c r="B207" s="307"/>
      <c r="C207" s="307"/>
      <c r="D207" s="307"/>
      <c r="E207" s="307"/>
      <c r="F207" s="307"/>
      <c r="G207" s="307"/>
      <c r="H207" s="371"/>
      <c r="I207" s="371"/>
      <c r="J207" s="371"/>
      <c r="K207" s="371"/>
      <c r="L207" s="371"/>
      <c r="M207" s="371"/>
      <c r="N207" s="371"/>
      <c r="O207" s="371"/>
      <c r="P207" s="371"/>
      <c r="Q207" s="371"/>
      <c r="R207" s="371"/>
      <c r="S207" s="371"/>
      <c r="T207" s="371"/>
      <c r="U207" s="371"/>
      <c r="V207" s="371"/>
      <c r="W207" s="371"/>
      <c r="X207" s="371"/>
      <c r="Y207" s="371"/>
    </row>
    <row r="208" ht="28.5" customHeight="1">
      <c r="A208" s="371"/>
      <c r="B208" s="307"/>
      <c r="C208" s="307"/>
      <c r="D208" s="307"/>
      <c r="E208" s="307"/>
      <c r="F208" s="307"/>
      <c r="G208" s="307"/>
      <c r="H208" s="371"/>
      <c r="I208" s="371"/>
      <c r="J208" s="371"/>
      <c r="K208" s="371"/>
      <c r="L208" s="371"/>
      <c r="M208" s="371"/>
      <c r="N208" s="371"/>
      <c r="O208" s="371"/>
      <c r="P208" s="371"/>
      <c r="Q208" s="371"/>
      <c r="R208" s="371"/>
      <c r="S208" s="371"/>
      <c r="T208" s="371"/>
      <c r="U208" s="371"/>
      <c r="V208" s="371"/>
      <c r="W208" s="371"/>
      <c r="X208" s="371"/>
      <c r="Y208" s="371"/>
    </row>
    <row r="209" ht="28.5" customHeight="1">
      <c r="A209" s="371"/>
      <c r="B209" s="307"/>
      <c r="C209" s="307"/>
      <c r="D209" s="307"/>
      <c r="E209" s="307"/>
      <c r="F209" s="307"/>
      <c r="G209" s="307"/>
      <c r="H209" s="371"/>
      <c r="I209" s="371"/>
      <c r="J209" s="371"/>
      <c r="K209" s="371"/>
      <c r="L209" s="371"/>
      <c r="M209" s="371"/>
      <c r="N209" s="371"/>
      <c r="O209" s="371"/>
      <c r="P209" s="371"/>
      <c r="Q209" s="371"/>
      <c r="R209" s="371"/>
      <c r="S209" s="371"/>
      <c r="T209" s="371"/>
      <c r="U209" s="371"/>
      <c r="V209" s="371"/>
      <c r="W209" s="371"/>
      <c r="X209" s="371"/>
      <c r="Y209" s="371"/>
    </row>
    <row r="210" ht="28.5" customHeight="1">
      <c r="A210" s="371"/>
      <c r="B210" s="307"/>
      <c r="C210" s="307"/>
      <c r="D210" s="307"/>
      <c r="E210" s="307"/>
      <c r="F210" s="307"/>
      <c r="G210" s="307"/>
      <c r="H210" s="371"/>
      <c r="I210" s="371"/>
      <c r="J210" s="371"/>
      <c r="K210" s="371"/>
      <c r="L210" s="371"/>
      <c r="M210" s="371"/>
      <c r="N210" s="371"/>
      <c r="O210" s="371"/>
      <c r="P210" s="371"/>
      <c r="Q210" s="371"/>
      <c r="R210" s="371"/>
      <c r="S210" s="371"/>
      <c r="T210" s="371"/>
      <c r="U210" s="371"/>
      <c r="V210" s="371"/>
      <c r="W210" s="371"/>
      <c r="X210" s="371"/>
      <c r="Y210" s="371"/>
    </row>
    <row r="211" ht="28.5" customHeight="1">
      <c r="A211" s="371"/>
      <c r="B211" s="307"/>
      <c r="C211" s="307"/>
      <c r="D211" s="307"/>
      <c r="E211" s="307"/>
      <c r="F211" s="307"/>
      <c r="G211" s="307"/>
      <c r="H211" s="371"/>
      <c r="I211" s="371"/>
      <c r="J211" s="371"/>
      <c r="K211" s="371"/>
      <c r="L211" s="371"/>
      <c r="M211" s="371"/>
      <c r="N211" s="371"/>
      <c r="O211" s="371"/>
      <c r="P211" s="371"/>
      <c r="Q211" s="371"/>
      <c r="R211" s="371"/>
      <c r="S211" s="371"/>
      <c r="T211" s="371"/>
      <c r="U211" s="371"/>
      <c r="V211" s="371"/>
      <c r="W211" s="371"/>
      <c r="X211" s="371"/>
      <c r="Y211" s="371"/>
    </row>
    <row r="212" ht="28.5" customHeight="1">
      <c r="A212" s="371"/>
      <c r="B212" s="307"/>
      <c r="C212" s="307"/>
      <c r="D212" s="307"/>
      <c r="E212" s="307"/>
      <c r="F212" s="307"/>
      <c r="G212" s="307"/>
      <c r="H212" s="371"/>
      <c r="I212" s="371"/>
      <c r="J212" s="371"/>
      <c r="K212" s="371"/>
      <c r="L212" s="371"/>
      <c r="M212" s="371"/>
      <c r="N212" s="371"/>
      <c r="O212" s="371"/>
      <c r="P212" s="371"/>
      <c r="Q212" s="371"/>
      <c r="R212" s="371"/>
      <c r="S212" s="371"/>
      <c r="T212" s="371"/>
      <c r="U212" s="371"/>
      <c r="V212" s="371"/>
      <c r="W212" s="371"/>
      <c r="X212" s="371"/>
      <c r="Y212" s="371"/>
    </row>
    <row r="213" ht="28.5" customHeight="1">
      <c r="A213" s="371"/>
      <c r="B213" s="307"/>
      <c r="C213" s="307"/>
      <c r="D213" s="307"/>
      <c r="E213" s="307"/>
      <c r="F213" s="307"/>
      <c r="G213" s="307"/>
      <c r="H213" s="371"/>
      <c r="I213" s="371"/>
      <c r="J213" s="371"/>
      <c r="K213" s="371"/>
      <c r="L213" s="371"/>
      <c r="M213" s="371"/>
      <c r="N213" s="371"/>
      <c r="O213" s="371"/>
      <c r="P213" s="371"/>
      <c r="Q213" s="371"/>
      <c r="R213" s="371"/>
      <c r="S213" s="371"/>
      <c r="T213" s="371"/>
      <c r="U213" s="371"/>
      <c r="V213" s="371"/>
      <c r="W213" s="371"/>
      <c r="X213" s="371"/>
      <c r="Y213" s="371"/>
    </row>
    <row r="214" ht="28.5" customHeight="1">
      <c r="A214" s="371"/>
      <c r="B214" s="307"/>
      <c r="C214" s="307"/>
      <c r="D214" s="307"/>
      <c r="E214" s="307"/>
      <c r="F214" s="307"/>
      <c r="G214" s="307"/>
      <c r="H214" s="371"/>
      <c r="I214" s="371"/>
      <c r="J214" s="371"/>
      <c r="K214" s="371"/>
      <c r="L214" s="371"/>
      <c r="M214" s="371"/>
      <c r="N214" s="371"/>
      <c r="O214" s="371"/>
      <c r="P214" s="371"/>
      <c r="Q214" s="371"/>
      <c r="R214" s="371"/>
      <c r="S214" s="371"/>
      <c r="T214" s="371"/>
      <c r="U214" s="371"/>
      <c r="V214" s="371"/>
      <c r="W214" s="371"/>
      <c r="X214" s="371"/>
      <c r="Y214" s="371"/>
    </row>
    <row r="215" ht="28.5" customHeight="1">
      <c r="A215" s="371"/>
      <c r="B215" s="307"/>
      <c r="C215" s="307"/>
      <c r="D215" s="307"/>
      <c r="E215" s="307"/>
      <c r="F215" s="307"/>
      <c r="G215" s="307"/>
      <c r="H215" s="371"/>
      <c r="I215" s="371"/>
      <c r="J215" s="371"/>
      <c r="K215" s="371"/>
      <c r="L215" s="371"/>
      <c r="M215" s="371"/>
      <c r="N215" s="371"/>
      <c r="O215" s="371"/>
      <c r="P215" s="371"/>
      <c r="Q215" s="371"/>
      <c r="R215" s="371"/>
      <c r="S215" s="371"/>
      <c r="T215" s="371"/>
      <c r="U215" s="371"/>
      <c r="V215" s="371"/>
      <c r="W215" s="371"/>
      <c r="X215" s="371"/>
      <c r="Y215" s="371"/>
    </row>
    <row r="216" ht="28.5" customHeight="1">
      <c r="A216" s="371"/>
      <c r="B216" s="307"/>
      <c r="C216" s="307"/>
      <c r="D216" s="307"/>
      <c r="E216" s="307"/>
      <c r="F216" s="307"/>
      <c r="G216" s="307"/>
      <c r="H216" s="371"/>
      <c r="I216" s="371"/>
      <c r="J216" s="371"/>
      <c r="K216" s="371"/>
      <c r="L216" s="371"/>
      <c r="M216" s="371"/>
      <c r="N216" s="371"/>
      <c r="O216" s="371"/>
      <c r="P216" s="371"/>
      <c r="Q216" s="371"/>
      <c r="R216" s="371"/>
      <c r="S216" s="371"/>
      <c r="T216" s="371"/>
      <c r="U216" s="371"/>
      <c r="V216" s="371"/>
      <c r="W216" s="371"/>
      <c r="X216" s="371"/>
      <c r="Y216" s="371"/>
    </row>
    <row r="217" ht="28.5" customHeight="1">
      <c r="A217" s="371"/>
      <c r="B217" s="307"/>
      <c r="C217" s="307"/>
      <c r="D217" s="307"/>
      <c r="E217" s="307"/>
      <c r="F217" s="307"/>
      <c r="G217" s="307"/>
      <c r="H217" s="371"/>
      <c r="I217" s="371"/>
      <c r="J217" s="371"/>
      <c r="K217" s="371"/>
      <c r="L217" s="371"/>
      <c r="M217" s="371"/>
      <c r="N217" s="371"/>
      <c r="O217" s="371"/>
      <c r="P217" s="371"/>
      <c r="Q217" s="371"/>
      <c r="R217" s="371"/>
      <c r="S217" s="371"/>
      <c r="T217" s="371"/>
      <c r="U217" s="371"/>
      <c r="V217" s="371"/>
      <c r="W217" s="371"/>
      <c r="X217" s="371"/>
      <c r="Y217" s="371"/>
    </row>
    <row r="218" ht="28.5" customHeight="1">
      <c r="A218" s="371"/>
      <c r="B218" s="307"/>
      <c r="C218" s="307"/>
      <c r="D218" s="307"/>
      <c r="E218" s="307"/>
      <c r="F218" s="307"/>
      <c r="G218" s="307"/>
      <c r="H218" s="371"/>
      <c r="I218" s="371"/>
      <c r="J218" s="371"/>
      <c r="K218" s="371"/>
      <c r="L218" s="371"/>
      <c r="M218" s="371"/>
      <c r="N218" s="371"/>
      <c r="O218" s="371"/>
      <c r="P218" s="371"/>
      <c r="Q218" s="371"/>
      <c r="R218" s="371"/>
      <c r="S218" s="371"/>
      <c r="T218" s="371"/>
      <c r="U218" s="371"/>
      <c r="V218" s="371"/>
      <c r="W218" s="371"/>
      <c r="X218" s="371"/>
      <c r="Y218" s="371"/>
    </row>
    <row r="219" ht="28.5" customHeight="1">
      <c r="A219" s="371"/>
      <c r="B219" s="307"/>
      <c r="C219" s="307"/>
      <c r="D219" s="307"/>
      <c r="E219" s="307"/>
      <c r="F219" s="307"/>
      <c r="G219" s="307"/>
      <c r="H219" s="371"/>
      <c r="I219" s="371"/>
      <c r="J219" s="371"/>
      <c r="K219" s="371"/>
      <c r="L219" s="371"/>
      <c r="M219" s="371"/>
      <c r="N219" s="371"/>
      <c r="O219" s="371"/>
      <c r="P219" s="371"/>
      <c r="Q219" s="371"/>
      <c r="R219" s="371"/>
      <c r="S219" s="371"/>
      <c r="T219" s="371"/>
      <c r="U219" s="371"/>
      <c r="V219" s="371"/>
      <c r="W219" s="371"/>
      <c r="X219" s="371"/>
      <c r="Y219" s="371"/>
    </row>
    <row r="220" ht="28.5" customHeight="1">
      <c r="A220" s="371"/>
      <c r="B220" s="307"/>
      <c r="C220" s="307"/>
      <c r="D220" s="307"/>
      <c r="E220" s="307"/>
      <c r="F220" s="307"/>
      <c r="G220" s="307"/>
      <c r="H220" s="371"/>
      <c r="I220" s="371"/>
      <c r="J220" s="371"/>
      <c r="K220" s="371"/>
      <c r="L220" s="371"/>
      <c r="M220" s="371"/>
      <c r="N220" s="371"/>
      <c r="O220" s="371"/>
      <c r="P220" s="371"/>
      <c r="Q220" s="371"/>
      <c r="R220" s="371"/>
      <c r="S220" s="371"/>
      <c r="T220" s="371"/>
      <c r="U220" s="371"/>
      <c r="V220" s="371"/>
      <c r="W220" s="371"/>
      <c r="X220" s="371"/>
      <c r="Y220" s="371"/>
    </row>
    <row r="221" ht="28.5" customHeight="1">
      <c r="A221" s="371"/>
      <c r="B221" s="307"/>
      <c r="C221" s="307"/>
      <c r="D221" s="307"/>
      <c r="E221" s="307"/>
      <c r="F221" s="307"/>
      <c r="G221" s="307"/>
      <c r="H221" s="371"/>
      <c r="I221" s="371"/>
      <c r="J221" s="371"/>
      <c r="K221" s="371"/>
      <c r="L221" s="371"/>
      <c r="M221" s="371"/>
      <c r="N221" s="371"/>
      <c r="O221" s="371"/>
      <c r="P221" s="371"/>
      <c r="Q221" s="371"/>
      <c r="R221" s="371"/>
      <c r="S221" s="371"/>
      <c r="T221" s="371"/>
      <c r="U221" s="371"/>
      <c r="V221" s="371"/>
      <c r="W221" s="371"/>
      <c r="X221" s="371"/>
      <c r="Y221" s="371"/>
    </row>
    <row r="222" ht="28.5" customHeight="1">
      <c r="A222" s="371"/>
      <c r="B222" s="307"/>
      <c r="C222" s="307"/>
      <c r="D222" s="307"/>
      <c r="E222" s="307"/>
      <c r="F222" s="307"/>
      <c r="G222" s="307"/>
      <c r="H222" s="371"/>
      <c r="I222" s="371"/>
      <c r="J222" s="371"/>
      <c r="K222" s="371"/>
      <c r="L222" s="371"/>
      <c r="M222" s="371"/>
      <c r="N222" s="371"/>
      <c r="O222" s="371"/>
      <c r="P222" s="371"/>
      <c r="Q222" s="371"/>
      <c r="R222" s="371"/>
      <c r="S222" s="371"/>
      <c r="T222" s="371"/>
      <c r="U222" s="371"/>
      <c r="V222" s="371"/>
      <c r="W222" s="371"/>
      <c r="X222" s="371"/>
      <c r="Y222" s="371"/>
    </row>
    <row r="223" ht="28.5" customHeight="1">
      <c r="A223" s="371"/>
      <c r="B223" s="307"/>
      <c r="C223" s="307"/>
      <c r="D223" s="307"/>
      <c r="E223" s="307"/>
      <c r="F223" s="307"/>
      <c r="G223" s="307"/>
      <c r="H223" s="371"/>
      <c r="I223" s="371"/>
      <c r="J223" s="371"/>
      <c r="K223" s="371"/>
      <c r="L223" s="371"/>
      <c r="M223" s="371"/>
      <c r="N223" s="371"/>
      <c r="O223" s="371"/>
      <c r="P223" s="371"/>
      <c r="Q223" s="371"/>
      <c r="R223" s="371"/>
      <c r="S223" s="371"/>
      <c r="T223" s="371"/>
      <c r="U223" s="371"/>
      <c r="V223" s="371"/>
      <c r="W223" s="371"/>
      <c r="X223" s="371"/>
      <c r="Y223" s="371"/>
    </row>
    <row r="224" ht="28.5" customHeight="1">
      <c r="A224" s="371"/>
      <c r="B224" s="307"/>
      <c r="C224" s="307"/>
      <c r="D224" s="307"/>
      <c r="E224" s="307"/>
      <c r="F224" s="307"/>
      <c r="G224" s="307"/>
      <c r="H224" s="371"/>
      <c r="I224" s="371"/>
      <c r="J224" s="371"/>
      <c r="K224" s="371"/>
      <c r="L224" s="371"/>
      <c r="M224" s="371"/>
      <c r="N224" s="371"/>
      <c r="O224" s="371"/>
      <c r="P224" s="371"/>
      <c r="Q224" s="371"/>
      <c r="R224" s="371"/>
      <c r="S224" s="371"/>
      <c r="T224" s="371"/>
      <c r="U224" s="371"/>
      <c r="V224" s="371"/>
      <c r="W224" s="371"/>
      <c r="X224" s="371"/>
      <c r="Y224" s="371"/>
    </row>
    <row r="225" ht="28.5" customHeight="1">
      <c r="A225" s="371"/>
      <c r="B225" s="307"/>
      <c r="C225" s="307"/>
      <c r="D225" s="307"/>
      <c r="E225" s="307"/>
      <c r="F225" s="307"/>
      <c r="G225" s="307"/>
      <c r="H225" s="371"/>
      <c r="I225" s="371"/>
      <c r="J225" s="371"/>
      <c r="K225" s="371"/>
      <c r="L225" s="371"/>
      <c r="M225" s="371"/>
      <c r="N225" s="371"/>
      <c r="O225" s="371"/>
      <c r="P225" s="371"/>
      <c r="Q225" s="371"/>
      <c r="R225" s="371"/>
      <c r="S225" s="371"/>
      <c r="T225" s="371"/>
      <c r="U225" s="371"/>
      <c r="V225" s="371"/>
      <c r="W225" s="371"/>
      <c r="X225" s="371"/>
      <c r="Y225" s="371"/>
    </row>
    <row r="226" ht="28.5" customHeight="1">
      <c r="A226" s="371"/>
      <c r="B226" s="307"/>
      <c r="C226" s="307"/>
      <c r="D226" s="307"/>
      <c r="E226" s="307"/>
      <c r="F226" s="307"/>
      <c r="G226" s="307"/>
      <c r="H226" s="371"/>
      <c r="I226" s="371"/>
      <c r="J226" s="371"/>
      <c r="K226" s="371"/>
      <c r="L226" s="371"/>
      <c r="M226" s="371"/>
      <c r="N226" s="371"/>
      <c r="O226" s="371"/>
      <c r="P226" s="371"/>
      <c r="Q226" s="371"/>
      <c r="R226" s="371"/>
      <c r="S226" s="371"/>
      <c r="T226" s="371"/>
      <c r="U226" s="371"/>
      <c r="V226" s="371"/>
      <c r="W226" s="371"/>
      <c r="X226" s="371"/>
      <c r="Y226" s="371"/>
    </row>
    <row r="227" ht="28.5" customHeight="1">
      <c r="A227" s="371"/>
      <c r="B227" s="307"/>
      <c r="C227" s="307"/>
      <c r="D227" s="307"/>
      <c r="E227" s="307"/>
      <c r="F227" s="307"/>
      <c r="G227" s="307"/>
      <c r="H227" s="371"/>
      <c r="I227" s="371"/>
      <c r="J227" s="371"/>
      <c r="K227" s="371"/>
      <c r="L227" s="371"/>
      <c r="M227" s="371"/>
      <c r="N227" s="371"/>
      <c r="O227" s="371"/>
      <c r="P227" s="371"/>
      <c r="Q227" s="371"/>
      <c r="R227" s="371"/>
      <c r="S227" s="371"/>
      <c r="T227" s="371"/>
      <c r="U227" s="371"/>
      <c r="V227" s="371"/>
      <c r="W227" s="371"/>
      <c r="X227" s="371"/>
      <c r="Y227" s="371"/>
    </row>
    <row r="228" ht="28.5" customHeight="1">
      <c r="A228" s="371"/>
      <c r="B228" s="307"/>
      <c r="C228" s="307"/>
      <c r="D228" s="307"/>
      <c r="E228" s="307"/>
      <c r="F228" s="307"/>
      <c r="G228" s="307"/>
      <c r="H228" s="371"/>
      <c r="I228" s="371"/>
      <c r="J228" s="371"/>
      <c r="K228" s="371"/>
      <c r="L228" s="371"/>
      <c r="M228" s="371"/>
      <c r="N228" s="371"/>
      <c r="O228" s="371"/>
      <c r="P228" s="371"/>
      <c r="Q228" s="371"/>
      <c r="R228" s="371"/>
      <c r="S228" s="371"/>
      <c r="T228" s="371"/>
      <c r="U228" s="371"/>
      <c r="V228" s="371"/>
      <c r="W228" s="371"/>
      <c r="X228" s="371"/>
      <c r="Y228" s="371"/>
    </row>
    <row r="229" ht="28.5" customHeight="1">
      <c r="A229" s="371"/>
      <c r="B229" s="307"/>
      <c r="C229" s="307"/>
      <c r="D229" s="307"/>
      <c r="E229" s="307"/>
      <c r="F229" s="307"/>
      <c r="G229" s="307"/>
      <c r="H229" s="371"/>
      <c r="I229" s="371"/>
      <c r="J229" s="371"/>
      <c r="K229" s="371"/>
      <c r="L229" s="371"/>
      <c r="M229" s="371"/>
      <c r="N229" s="371"/>
      <c r="O229" s="371"/>
      <c r="P229" s="371"/>
      <c r="Q229" s="371"/>
      <c r="R229" s="371"/>
      <c r="S229" s="371"/>
      <c r="T229" s="371"/>
      <c r="U229" s="371"/>
      <c r="V229" s="371"/>
      <c r="W229" s="371"/>
      <c r="X229" s="371"/>
      <c r="Y229" s="371"/>
    </row>
    <row r="230" ht="28.5" customHeight="1">
      <c r="A230" s="371"/>
      <c r="B230" s="307"/>
      <c r="C230" s="307"/>
      <c r="D230" s="307"/>
      <c r="E230" s="307"/>
      <c r="F230" s="307"/>
      <c r="G230" s="307"/>
      <c r="H230" s="371"/>
      <c r="I230" s="371"/>
      <c r="J230" s="371"/>
      <c r="K230" s="371"/>
      <c r="L230" s="371"/>
      <c r="M230" s="371"/>
      <c r="N230" s="371"/>
      <c r="O230" s="371"/>
      <c r="P230" s="371"/>
      <c r="Q230" s="371"/>
      <c r="R230" s="371"/>
      <c r="S230" s="371"/>
      <c r="T230" s="371"/>
      <c r="U230" s="371"/>
      <c r="V230" s="371"/>
      <c r="W230" s="371"/>
      <c r="X230" s="371"/>
      <c r="Y230" s="371"/>
    </row>
    <row r="231" ht="28.5" customHeight="1">
      <c r="A231" s="371"/>
      <c r="B231" s="307"/>
      <c r="C231" s="307"/>
      <c r="D231" s="307"/>
      <c r="E231" s="307"/>
      <c r="F231" s="307"/>
      <c r="G231" s="307"/>
      <c r="H231" s="371"/>
      <c r="I231" s="371"/>
      <c r="J231" s="371"/>
      <c r="K231" s="371"/>
      <c r="L231" s="371"/>
      <c r="M231" s="371"/>
      <c r="N231" s="371"/>
      <c r="O231" s="371"/>
      <c r="P231" s="371"/>
      <c r="Q231" s="371"/>
      <c r="R231" s="371"/>
      <c r="S231" s="371"/>
      <c r="T231" s="371"/>
      <c r="U231" s="371"/>
      <c r="V231" s="371"/>
      <c r="W231" s="371"/>
      <c r="X231" s="371"/>
      <c r="Y231" s="371"/>
    </row>
    <row r="232" ht="28.5" customHeight="1">
      <c r="A232" s="371"/>
      <c r="B232" s="307"/>
      <c r="C232" s="307"/>
      <c r="D232" s="307"/>
      <c r="E232" s="307"/>
      <c r="F232" s="307"/>
      <c r="G232" s="307"/>
      <c r="H232" s="371"/>
      <c r="I232" s="371"/>
      <c r="J232" s="371"/>
      <c r="K232" s="371"/>
      <c r="L232" s="371"/>
      <c r="M232" s="371"/>
      <c r="N232" s="371"/>
      <c r="O232" s="371"/>
      <c r="P232" s="371"/>
      <c r="Q232" s="371"/>
      <c r="R232" s="371"/>
      <c r="S232" s="371"/>
      <c r="T232" s="371"/>
      <c r="U232" s="371"/>
      <c r="V232" s="371"/>
      <c r="W232" s="371"/>
      <c r="X232" s="371"/>
      <c r="Y232" s="371"/>
    </row>
    <row r="233" ht="28.5" customHeight="1">
      <c r="A233" s="371"/>
      <c r="B233" s="307"/>
      <c r="C233" s="307"/>
      <c r="D233" s="307"/>
      <c r="E233" s="307"/>
      <c r="F233" s="307"/>
      <c r="G233" s="307"/>
      <c r="H233" s="371"/>
      <c r="I233" s="371"/>
      <c r="J233" s="371"/>
      <c r="K233" s="371"/>
      <c r="L233" s="371"/>
      <c r="M233" s="371"/>
      <c r="N233" s="371"/>
      <c r="O233" s="371"/>
      <c r="P233" s="371"/>
      <c r="Q233" s="371"/>
      <c r="R233" s="371"/>
      <c r="S233" s="371"/>
      <c r="T233" s="371"/>
      <c r="U233" s="371"/>
      <c r="V233" s="371"/>
      <c r="W233" s="371"/>
      <c r="X233" s="371"/>
      <c r="Y233" s="371"/>
    </row>
    <row r="234" ht="28.5" customHeight="1">
      <c r="A234" s="371"/>
      <c r="B234" s="307"/>
      <c r="C234" s="307"/>
      <c r="D234" s="307"/>
      <c r="E234" s="307"/>
      <c r="F234" s="307"/>
      <c r="G234" s="307"/>
      <c r="H234" s="371"/>
      <c r="I234" s="371"/>
      <c r="J234" s="371"/>
      <c r="K234" s="371"/>
      <c r="L234" s="371"/>
      <c r="M234" s="371"/>
      <c r="N234" s="371"/>
      <c r="O234" s="371"/>
      <c r="P234" s="371"/>
      <c r="Q234" s="371"/>
      <c r="R234" s="371"/>
      <c r="S234" s="371"/>
      <c r="T234" s="371"/>
      <c r="U234" s="371"/>
      <c r="V234" s="371"/>
      <c r="W234" s="371"/>
      <c r="X234" s="371"/>
      <c r="Y234" s="371"/>
    </row>
    <row r="235" ht="28.5" customHeight="1">
      <c r="A235" s="371"/>
      <c r="B235" s="307"/>
      <c r="C235" s="307"/>
      <c r="D235" s="307"/>
      <c r="E235" s="307"/>
      <c r="F235" s="307"/>
      <c r="G235" s="307"/>
      <c r="H235" s="371"/>
      <c r="I235" s="371"/>
      <c r="J235" s="371"/>
      <c r="K235" s="371"/>
      <c r="L235" s="371"/>
      <c r="M235" s="371"/>
      <c r="N235" s="371"/>
      <c r="O235" s="371"/>
      <c r="P235" s="371"/>
      <c r="Q235" s="371"/>
      <c r="R235" s="371"/>
      <c r="S235" s="371"/>
      <c r="T235" s="371"/>
      <c r="U235" s="371"/>
      <c r="V235" s="371"/>
      <c r="W235" s="371"/>
      <c r="X235" s="371"/>
      <c r="Y235" s="371"/>
    </row>
    <row r="236" ht="28.5" customHeight="1">
      <c r="A236" s="371"/>
      <c r="B236" s="307"/>
      <c r="C236" s="307"/>
      <c r="D236" s="307"/>
      <c r="E236" s="307"/>
      <c r="F236" s="307"/>
      <c r="G236" s="307"/>
      <c r="H236" s="371"/>
      <c r="I236" s="371"/>
      <c r="J236" s="371"/>
      <c r="K236" s="371"/>
      <c r="L236" s="371"/>
      <c r="M236" s="371"/>
      <c r="N236" s="371"/>
      <c r="O236" s="371"/>
      <c r="P236" s="371"/>
      <c r="Q236" s="371"/>
      <c r="R236" s="371"/>
      <c r="S236" s="371"/>
      <c r="T236" s="371"/>
      <c r="U236" s="371"/>
      <c r="V236" s="371"/>
      <c r="W236" s="371"/>
      <c r="X236" s="371"/>
      <c r="Y236" s="371"/>
    </row>
    <row r="237" ht="28.5" customHeight="1">
      <c r="A237" s="371"/>
      <c r="B237" s="307"/>
      <c r="C237" s="307"/>
      <c r="D237" s="307"/>
      <c r="E237" s="307"/>
      <c r="F237" s="307"/>
      <c r="G237" s="307"/>
      <c r="H237" s="371"/>
      <c r="I237" s="371"/>
      <c r="J237" s="371"/>
      <c r="K237" s="371"/>
      <c r="L237" s="371"/>
      <c r="M237" s="371"/>
      <c r="N237" s="371"/>
      <c r="O237" s="371"/>
      <c r="P237" s="371"/>
      <c r="Q237" s="371"/>
      <c r="R237" s="371"/>
      <c r="S237" s="371"/>
      <c r="T237" s="371"/>
      <c r="U237" s="371"/>
      <c r="V237" s="371"/>
      <c r="W237" s="371"/>
      <c r="X237" s="371"/>
      <c r="Y237" s="371"/>
    </row>
    <row r="238" ht="28.5" customHeight="1">
      <c r="A238" s="371"/>
      <c r="B238" s="307"/>
      <c r="C238" s="307"/>
      <c r="D238" s="307"/>
      <c r="E238" s="307"/>
      <c r="F238" s="307"/>
      <c r="G238" s="307"/>
      <c r="H238" s="371"/>
      <c r="I238" s="371"/>
      <c r="J238" s="371"/>
      <c r="K238" s="371"/>
      <c r="L238" s="371"/>
      <c r="M238" s="371"/>
      <c r="N238" s="371"/>
      <c r="O238" s="371"/>
      <c r="P238" s="371"/>
      <c r="Q238" s="371"/>
      <c r="R238" s="371"/>
      <c r="S238" s="371"/>
      <c r="T238" s="371"/>
      <c r="U238" s="371"/>
      <c r="V238" s="371"/>
      <c r="W238" s="371"/>
      <c r="X238" s="371"/>
      <c r="Y238" s="371"/>
    </row>
    <row r="239" ht="28.5" customHeight="1">
      <c r="A239" s="371"/>
      <c r="B239" s="307"/>
      <c r="C239" s="307"/>
      <c r="D239" s="307"/>
      <c r="E239" s="307"/>
      <c r="F239" s="307"/>
      <c r="G239" s="307"/>
      <c r="H239" s="371"/>
      <c r="I239" s="371"/>
      <c r="J239" s="371"/>
      <c r="K239" s="371"/>
      <c r="L239" s="371"/>
      <c r="M239" s="371"/>
      <c r="N239" s="371"/>
      <c r="O239" s="371"/>
      <c r="P239" s="371"/>
      <c r="Q239" s="371"/>
      <c r="R239" s="371"/>
      <c r="S239" s="371"/>
      <c r="T239" s="371"/>
      <c r="U239" s="371"/>
      <c r="V239" s="371"/>
      <c r="W239" s="371"/>
      <c r="X239" s="371"/>
      <c r="Y239" s="371"/>
    </row>
    <row r="240" ht="28.5" customHeight="1">
      <c r="A240" s="371"/>
      <c r="B240" s="307"/>
      <c r="C240" s="307"/>
      <c r="D240" s="307"/>
      <c r="E240" s="307"/>
      <c r="F240" s="307"/>
      <c r="G240" s="307"/>
      <c r="H240" s="371"/>
      <c r="I240" s="371"/>
      <c r="J240" s="371"/>
      <c r="K240" s="371"/>
      <c r="L240" s="371"/>
      <c r="M240" s="371"/>
      <c r="N240" s="371"/>
      <c r="O240" s="371"/>
      <c r="P240" s="371"/>
      <c r="Q240" s="371"/>
      <c r="R240" s="371"/>
      <c r="S240" s="371"/>
      <c r="T240" s="371"/>
      <c r="U240" s="371"/>
      <c r="V240" s="371"/>
      <c r="W240" s="371"/>
      <c r="X240" s="371"/>
      <c r="Y240" s="371"/>
    </row>
    <row r="241" ht="28.5" customHeight="1">
      <c r="A241" s="371"/>
      <c r="B241" s="307"/>
      <c r="C241" s="307"/>
      <c r="D241" s="307"/>
      <c r="E241" s="307"/>
      <c r="F241" s="307"/>
      <c r="G241" s="307"/>
      <c r="H241" s="371"/>
      <c r="I241" s="371"/>
      <c r="J241" s="371"/>
      <c r="K241" s="371"/>
      <c r="L241" s="371"/>
      <c r="M241" s="371"/>
      <c r="N241" s="371"/>
      <c r="O241" s="371"/>
      <c r="P241" s="371"/>
      <c r="Q241" s="371"/>
      <c r="R241" s="371"/>
      <c r="S241" s="371"/>
      <c r="T241" s="371"/>
      <c r="U241" s="371"/>
      <c r="V241" s="371"/>
      <c r="W241" s="371"/>
      <c r="X241" s="371"/>
      <c r="Y241" s="371"/>
    </row>
    <row r="242" ht="28.5" customHeight="1">
      <c r="A242" s="371"/>
      <c r="B242" s="307"/>
      <c r="C242" s="307"/>
      <c r="D242" s="307"/>
      <c r="E242" s="307"/>
      <c r="F242" s="307"/>
      <c r="G242" s="307"/>
      <c r="H242" s="371"/>
      <c r="I242" s="371"/>
      <c r="J242" s="371"/>
      <c r="K242" s="371"/>
      <c r="L242" s="371"/>
      <c r="M242" s="371"/>
      <c r="N242" s="371"/>
      <c r="O242" s="371"/>
      <c r="P242" s="371"/>
      <c r="Q242" s="371"/>
      <c r="R242" s="371"/>
      <c r="S242" s="371"/>
      <c r="T242" s="371"/>
      <c r="U242" s="371"/>
      <c r="V242" s="371"/>
      <c r="W242" s="371"/>
      <c r="X242" s="371"/>
      <c r="Y242" s="371"/>
    </row>
    <row r="243" ht="28.5" customHeight="1">
      <c r="A243" s="371"/>
      <c r="B243" s="307"/>
      <c r="C243" s="307"/>
      <c r="D243" s="307"/>
      <c r="E243" s="307"/>
      <c r="F243" s="307"/>
      <c r="G243" s="307"/>
      <c r="H243" s="371"/>
      <c r="I243" s="371"/>
      <c r="J243" s="371"/>
      <c r="K243" s="371"/>
      <c r="L243" s="371"/>
      <c r="M243" s="371"/>
      <c r="N243" s="371"/>
      <c r="O243" s="371"/>
      <c r="P243" s="371"/>
      <c r="Q243" s="371"/>
      <c r="R243" s="371"/>
      <c r="S243" s="371"/>
      <c r="T243" s="371"/>
      <c r="U243" s="371"/>
      <c r="V243" s="371"/>
      <c r="W243" s="371"/>
      <c r="X243" s="371"/>
      <c r="Y243" s="371"/>
    </row>
    <row r="244" ht="28.5" customHeight="1">
      <c r="A244" s="371"/>
      <c r="B244" s="307"/>
      <c r="C244" s="307"/>
      <c r="D244" s="307"/>
      <c r="E244" s="307"/>
      <c r="F244" s="307"/>
      <c r="G244" s="307"/>
      <c r="H244" s="371"/>
      <c r="I244" s="371"/>
      <c r="J244" s="371"/>
      <c r="K244" s="371"/>
      <c r="L244" s="371"/>
      <c r="M244" s="371"/>
      <c r="N244" s="371"/>
      <c r="O244" s="371"/>
      <c r="P244" s="371"/>
      <c r="Q244" s="371"/>
      <c r="R244" s="371"/>
      <c r="S244" s="371"/>
      <c r="T244" s="371"/>
      <c r="U244" s="371"/>
      <c r="V244" s="371"/>
      <c r="W244" s="371"/>
      <c r="X244" s="371"/>
      <c r="Y244" s="371"/>
    </row>
    <row r="245" ht="28.5" customHeight="1">
      <c r="A245" s="371"/>
      <c r="B245" s="307"/>
      <c r="C245" s="307"/>
      <c r="D245" s="307"/>
      <c r="E245" s="307"/>
      <c r="F245" s="307"/>
      <c r="G245" s="307"/>
      <c r="H245" s="371"/>
      <c r="I245" s="371"/>
      <c r="J245" s="371"/>
      <c r="K245" s="371"/>
      <c r="L245" s="371"/>
      <c r="M245" s="371"/>
      <c r="N245" s="371"/>
      <c r="O245" s="371"/>
      <c r="P245" s="371"/>
      <c r="Q245" s="371"/>
      <c r="R245" s="371"/>
      <c r="S245" s="371"/>
      <c r="T245" s="371"/>
      <c r="U245" s="371"/>
      <c r="V245" s="371"/>
      <c r="W245" s="371"/>
      <c r="X245" s="371"/>
      <c r="Y245" s="371"/>
    </row>
    <row r="246" ht="28.5" customHeight="1">
      <c r="A246" s="371"/>
      <c r="B246" s="307"/>
      <c r="C246" s="307"/>
      <c r="D246" s="307"/>
      <c r="E246" s="307"/>
      <c r="F246" s="307"/>
      <c r="G246" s="307"/>
      <c r="H246" s="371"/>
      <c r="I246" s="371"/>
      <c r="J246" s="371"/>
      <c r="K246" s="371"/>
      <c r="L246" s="371"/>
      <c r="M246" s="371"/>
      <c r="N246" s="371"/>
      <c r="O246" s="371"/>
      <c r="P246" s="371"/>
      <c r="Q246" s="371"/>
      <c r="R246" s="371"/>
      <c r="S246" s="371"/>
      <c r="T246" s="371"/>
      <c r="U246" s="371"/>
      <c r="V246" s="371"/>
      <c r="W246" s="371"/>
      <c r="X246" s="371"/>
      <c r="Y246" s="371"/>
    </row>
    <row r="247" ht="28.5" customHeight="1">
      <c r="A247" s="371"/>
      <c r="B247" s="307"/>
      <c r="C247" s="307"/>
      <c r="D247" s="307"/>
      <c r="E247" s="307"/>
      <c r="F247" s="307"/>
      <c r="G247" s="307"/>
      <c r="H247" s="371"/>
      <c r="I247" s="371"/>
      <c r="J247" s="371"/>
      <c r="K247" s="371"/>
      <c r="L247" s="371"/>
      <c r="M247" s="371"/>
      <c r="N247" s="371"/>
      <c r="O247" s="371"/>
      <c r="P247" s="371"/>
      <c r="Q247" s="371"/>
      <c r="R247" s="371"/>
      <c r="S247" s="371"/>
      <c r="T247" s="371"/>
      <c r="U247" s="371"/>
      <c r="V247" s="371"/>
      <c r="W247" s="371"/>
      <c r="X247" s="371"/>
      <c r="Y247" s="371"/>
    </row>
    <row r="248" ht="28.5" customHeight="1">
      <c r="A248" s="371"/>
      <c r="B248" s="307"/>
      <c r="C248" s="307"/>
      <c r="D248" s="307"/>
      <c r="E248" s="307"/>
      <c r="F248" s="307"/>
      <c r="G248" s="307"/>
      <c r="H248" s="371"/>
      <c r="I248" s="371"/>
      <c r="J248" s="371"/>
      <c r="K248" s="371"/>
      <c r="L248" s="371"/>
      <c r="M248" s="371"/>
      <c r="N248" s="371"/>
      <c r="O248" s="371"/>
      <c r="P248" s="371"/>
      <c r="Q248" s="371"/>
      <c r="R248" s="371"/>
      <c r="S248" s="371"/>
      <c r="T248" s="371"/>
      <c r="U248" s="371"/>
      <c r="V248" s="371"/>
      <c r="W248" s="371"/>
      <c r="X248" s="371"/>
      <c r="Y248" s="371"/>
    </row>
    <row r="249" ht="28.5" customHeight="1">
      <c r="A249" s="371"/>
      <c r="B249" s="307"/>
      <c r="C249" s="307"/>
      <c r="D249" s="307"/>
      <c r="E249" s="307"/>
      <c r="F249" s="307"/>
      <c r="G249" s="307"/>
      <c r="H249" s="371"/>
      <c r="I249" s="371"/>
      <c r="J249" s="371"/>
      <c r="K249" s="371"/>
      <c r="L249" s="371"/>
      <c r="M249" s="371"/>
      <c r="N249" s="371"/>
      <c r="O249" s="371"/>
      <c r="P249" s="371"/>
      <c r="Q249" s="371"/>
      <c r="R249" s="371"/>
      <c r="S249" s="371"/>
      <c r="T249" s="371"/>
      <c r="U249" s="371"/>
      <c r="V249" s="371"/>
      <c r="W249" s="371"/>
      <c r="X249" s="371"/>
      <c r="Y249" s="371"/>
    </row>
    <row r="250" ht="28.5" customHeight="1">
      <c r="A250" s="371"/>
      <c r="B250" s="307"/>
      <c r="C250" s="307"/>
      <c r="D250" s="307"/>
      <c r="E250" s="307"/>
      <c r="F250" s="307"/>
      <c r="G250" s="307"/>
      <c r="H250" s="371"/>
      <c r="I250" s="371"/>
      <c r="J250" s="371"/>
      <c r="K250" s="371"/>
      <c r="L250" s="371"/>
      <c r="M250" s="371"/>
      <c r="N250" s="371"/>
      <c r="O250" s="371"/>
      <c r="P250" s="371"/>
      <c r="Q250" s="371"/>
      <c r="R250" s="371"/>
      <c r="S250" s="371"/>
      <c r="T250" s="371"/>
      <c r="U250" s="371"/>
      <c r="V250" s="371"/>
      <c r="W250" s="371"/>
      <c r="X250" s="371"/>
      <c r="Y250" s="371"/>
    </row>
    <row r="251" ht="28.5" customHeight="1">
      <c r="A251" s="371"/>
      <c r="B251" s="307"/>
      <c r="C251" s="307"/>
      <c r="D251" s="307"/>
      <c r="E251" s="307"/>
      <c r="F251" s="307"/>
      <c r="G251" s="307"/>
      <c r="H251" s="371"/>
      <c r="I251" s="371"/>
      <c r="J251" s="371"/>
      <c r="K251" s="371"/>
      <c r="L251" s="371"/>
      <c r="M251" s="371"/>
      <c r="N251" s="371"/>
      <c r="O251" s="371"/>
      <c r="P251" s="371"/>
      <c r="Q251" s="371"/>
      <c r="R251" s="371"/>
      <c r="S251" s="371"/>
      <c r="T251" s="371"/>
      <c r="U251" s="371"/>
      <c r="V251" s="371"/>
      <c r="W251" s="371"/>
      <c r="X251" s="371"/>
      <c r="Y251" s="371"/>
    </row>
    <row r="252" ht="28.5" customHeight="1">
      <c r="A252" s="371"/>
      <c r="B252" s="307"/>
      <c r="C252" s="307"/>
      <c r="D252" s="307"/>
      <c r="E252" s="307"/>
      <c r="F252" s="307"/>
      <c r="G252" s="307"/>
      <c r="H252" s="371"/>
      <c r="I252" s="371"/>
      <c r="J252" s="371"/>
      <c r="K252" s="371"/>
      <c r="L252" s="371"/>
      <c r="M252" s="371"/>
      <c r="N252" s="371"/>
      <c r="O252" s="371"/>
      <c r="P252" s="371"/>
      <c r="Q252" s="371"/>
      <c r="R252" s="371"/>
      <c r="S252" s="371"/>
      <c r="T252" s="371"/>
      <c r="U252" s="371"/>
      <c r="V252" s="371"/>
      <c r="W252" s="371"/>
      <c r="X252" s="371"/>
      <c r="Y252" s="371"/>
    </row>
    <row r="253" ht="28.5" customHeight="1">
      <c r="A253" s="371"/>
      <c r="B253" s="307"/>
      <c r="C253" s="307"/>
      <c r="D253" s="307"/>
      <c r="E253" s="307"/>
      <c r="F253" s="307"/>
      <c r="G253" s="307"/>
      <c r="H253" s="371"/>
      <c r="I253" s="371"/>
      <c r="J253" s="371"/>
      <c r="K253" s="371"/>
      <c r="L253" s="371"/>
      <c r="M253" s="371"/>
      <c r="N253" s="371"/>
      <c r="O253" s="371"/>
      <c r="P253" s="371"/>
      <c r="Q253" s="371"/>
      <c r="R253" s="371"/>
      <c r="S253" s="371"/>
      <c r="T253" s="371"/>
      <c r="U253" s="371"/>
      <c r="V253" s="371"/>
      <c r="W253" s="371"/>
      <c r="X253" s="371"/>
      <c r="Y253" s="371"/>
    </row>
    <row r="254" ht="28.5" customHeight="1">
      <c r="A254" s="371"/>
      <c r="B254" s="307"/>
      <c r="C254" s="307"/>
      <c r="D254" s="307"/>
      <c r="E254" s="307"/>
      <c r="F254" s="307"/>
      <c r="G254" s="307"/>
      <c r="H254" s="371"/>
      <c r="I254" s="371"/>
      <c r="J254" s="371"/>
      <c r="K254" s="371"/>
      <c r="L254" s="371"/>
      <c r="M254" s="371"/>
      <c r="N254" s="371"/>
      <c r="O254" s="371"/>
      <c r="P254" s="371"/>
      <c r="Q254" s="371"/>
      <c r="R254" s="371"/>
      <c r="S254" s="371"/>
      <c r="T254" s="371"/>
      <c r="U254" s="371"/>
      <c r="V254" s="371"/>
      <c r="W254" s="371"/>
      <c r="X254" s="371"/>
      <c r="Y254" s="371"/>
    </row>
    <row r="255" ht="28.5" customHeight="1">
      <c r="A255" s="371"/>
      <c r="B255" s="307"/>
      <c r="C255" s="307"/>
      <c r="D255" s="307"/>
      <c r="E255" s="307"/>
      <c r="F255" s="307"/>
      <c r="G255" s="307"/>
      <c r="H255" s="371"/>
      <c r="I255" s="371"/>
      <c r="J255" s="371"/>
      <c r="K255" s="371"/>
      <c r="L255" s="371"/>
      <c r="M255" s="371"/>
      <c r="N255" s="371"/>
      <c r="O255" s="371"/>
      <c r="P255" s="371"/>
      <c r="Q255" s="371"/>
      <c r="R255" s="371"/>
      <c r="S255" s="371"/>
      <c r="T255" s="371"/>
      <c r="U255" s="371"/>
      <c r="V255" s="371"/>
      <c r="W255" s="371"/>
      <c r="X255" s="371"/>
      <c r="Y255" s="371"/>
    </row>
    <row r="256" ht="28.5" customHeight="1">
      <c r="A256" s="371"/>
      <c r="B256" s="307"/>
      <c r="C256" s="307"/>
      <c r="D256" s="307"/>
      <c r="E256" s="307"/>
      <c r="F256" s="307"/>
      <c r="G256" s="307"/>
      <c r="H256" s="371"/>
      <c r="I256" s="371"/>
      <c r="J256" s="371"/>
      <c r="K256" s="371"/>
      <c r="L256" s="371"/>
      <c r="M256" s="371"/>
      <c r="N256" s="371"/>
      <c r="O256" s="371"/>
      <c r="P256" s="371"/>
      <c r="Q256" s="371"/>
      <c r="R256" s="371"/>
      <c r="S256" s="371"/>
      <c r="T256" s="371"/>
      <c r="U256" s="371"/>
      <c r="V256" s="371"/>
      <c r="W256" s="371"/>
      <c r="X256" s="371"/>
      <c r="Y256" s="371"/>
    </row>
    <row r="257" ht="28.5" customHeight="1">
      <c r="A257" s="371"/>
      <c r="B257" s="307"/>
      <c r="C257" s="307"/>
      <c r="D257" s="307"/>
      <c r="E257" s="307"/>
      <c r="F257" s="307"/>
      <c r="G257" s="307"/>
      <c r="H257" s="371"/>
      <c r="I257" s="371"/>
      <c r="J257" s="371"/>
      <c r="K257" s="371"/>
      <c r="L257" s="371"/>
      <c r="M257" s="371"/>
      <c r="N257" s="371"/>
      <c r="O257" s="371"/>
      <c r="P257" s="371"/>
      <c r="Q257" s="371"/>
      <c r="R257" s="371"/>
      <c r="S257" s="371"/>
      <c r="T257" s="371"/>
      <c r="U257" s="371"/>
      <c r="V257" s="371"/>
      <c r="W257" s="371"/>
      <c r="X257" s="371"/>
      <c r="Y257" s="371"/>
    </row>
    <row r="258" ht="28.5" customHeight="1">
      <c r="A258" s="371"/>
      <c r="B258" s="307"/>
      <c r="C258" s="307"/>
      <c r="D258" s="307"/>
      <c r="E258" s="307"/>
      <c r="F258" s="307"/>
      <c r="G258" s="307"/>
      <c r="H258" s="371"/>
      <c r="I258" s="371"/>
      <c r="J258" s="371"/>
      <c r="K258" s="371"/>
      <c r="L258" s="371"/>
      <c r="M258" s="371"/>
      <c r="N258" s="371"/>
      <c r="O258" s="371"/>
      <c r="P258" s="371"/>
      <c r="Q258" s="371"/>
      <c r="R258" s="371"/>
      <c r="S258" s="371"/>
      <c r="T258" s="371"/>
      <c r="U258" s="371"/>
      <c r="V258" s="371"/>
      <c r="W258" s="371"/>
      <c r="X258" s="371"/>
      <c r="Y258" s="371"/>
    </row>
    <row r="259" ht="28.5" customHeight="1">
      <c r="A259" s="371"/>
      <c r="B259" s="307"/>
      <c r="C259" s="307"/>
      <c r="D259" s="307"/>
      <c r="E259" s="307"/>
      <c r="F259" s="307"/>
      <c r="G259" s="307"/>
      <c r="H259" s="371"/>
      <c r="I259" s="371"/>
      <c r="J259" s="371"/>
      <c r="K259" s="371"/>
      <c r="L259" s="371"/>
      <c r="M259" s="371"/>
      <c r="N259" s="371"/>
      <c r="O259" s="371"/>
      <c r="P259" s="371"/>
      <c r="Q259" s="371"/>
      <c r="R259" s="371"/>
      <c r="S259" s="371"/>
      <c r="T259" s="371"/>
      <c r="U259" s="371"/>
      <c r="V259" s="371"/>
      <c r="W259" s="371"/>
      <c r="X259" s="371"/>
      <c r="Y259" s="371"/>
    </row>
    <row r="260" ht="28.5" customHeight="1">
      <c r="A260" s="371"/>
      <c r="B260" s="307"/>
      <c r="C260" s="307"/>
      <c r="D260" s="307"/>
      <c r="E260" s="307"/>
      <c r="F260" s="307"/>
      <c r="G260" s="307"/>
      <c r="H260" s="371"/>
      <c r="I260" s="371"/>
      <c r="J260" s="371"/>
      <c r="K260" s="371"/>
      <c r="L260" s="371"/>
      <c r="M260" s="371"/>
      <c r="N260" s="371"/>
      <c r="O260" s="371"/>
      <c r="P260" s="371"/>
      <c r="Q260" s="371"/>
      <c r="R260" s="371"/>
      <c r="S260" s="371"/>
      <c r="T260" s="371"/>
      <c r="U260" s="371"/>
      <c r="V260" s="371"/>
      <c r="W260" s="371"/>
      <c r="X260" s="371"/>
      <c r="Y260" s="371"/>
    </row>
    <row r="261" ht="28.5" customHeight="1">
      <c r="A261" s="371"/>
      <c r="B261" s="307"/>
      <c r="C261" s="307"/>
      <c r="D261" s="307"/>
      <c r="E261" s="307"/>
      <c r="F261" s="307"/>
      <c r="G261" s="307"/>
      <c r="H261" s="371"/>
      <c r="I261" s="371"/>
      <c r="J261" s="371"/>
      <c r="K261" s="371"/>
      <c r="L261" s="371"/>
      <c r="M261" s="371"/>
      <c r="N261" s="371"/>
      <c r="O261" s="371"/>
      <c r="P261" s="371"/>
      <c r="Q261" s="371"/>
      <c r="R261" s="371"/>
      <c r="S261" s="371"/>
      <c r="T261" s="371"/>
      <c r="U261" s="371"/>
      <c r="V261" s="371"/>
      <c r="W261" s="371"/>
      <c r="X261" s="371"/>
      <c r="Y261" s="371"/>
    </row>
    <row r="262" ht="28.5" customHeight="1">
      <c r="A262" s="371"/>
      <c r="B262" s="307"/>
      <c r="C262" s="307"/>
      <c r="D262" s="307"/>
      <c r="E262" s="307"/>
      <c r="F262" s="307"/>
      <c r="G262" s="307"/>
      <c r="H262" s="371"/>
      <c r="I262" s="371"/>
      <c r="J262" s="371"/>
      <c r="K262" s="371"/>
      <c r="L262" s="371"/>
      <c r="M262" s="371"/>
      <c r="N262" s="371"/>
      <c r="O262" s="371"/>
      <c r="P262" s="371"/>
      <c r="Q262" s="371"/>
      <c r="R262" s="371"/>
      <c r="S262" s="371"/>
      <c r="T262" s="371"/>
      <c r="U262" s="371"/>
      <c r="V262" s="371"/>
      <c r="W262" s="371"/>
      <c r="X262" s="371"/>
      <c r="Y262" s="371"/>
    </row>
    <row r="263" ht="28.5" customHeight="1">
      <c r="A263" s="371"/>
      <c r="B263" s="307"/>
      <c r="C263" s="307"/>
      <c r="D263" s="307"/>
      <c r="E263" s="307"/>
      <c r="F263" s="307"/>
      <c r="G263" s="307"/>
      <c r="H263" s="371"/>
      <c r="I263" s="371"/>
      <c r="J263" s="371"/>
      <c r="K263" s="371"/>
      <c r="L263" s="371"/>
      <c r="M263" s="371"/>
      <c r="N263" s="371"/>
      <c r="O263" s="371"/>
      <c r="P263" s="371"/>
      <c r="Q263" s="371"/>
      <c r="R263" s="371"/>
      <c r="S263" s="371"/>
      <c r="T263" s="371"/>
      <c r="U263" s="371"/>
      <c r="V263" s="371"/>
      <c r="W263" s="371"/>
      <c r="X263" s="371"/>
      <c r="Y263" s="371"/>
    </row>
    <row r="264" ht="28.5" customHeight="1">
      <c r="A264" s="371"/>
      <c r="B264" s="307"/>
      <c r="C264" s="307"/>
      <c r="D264" s="307"/>
      <c r="E264" s="307"/>
      <c r="F264" s="307"/>
      <c r="G264" s="307"/>
      <c r="H264" s="371"/>
      <c r="I264" s="371"/>
      <c r="J264" s="371"/>
      <c r="K264" s="371"/>
      <c r="L264" s="371"/>
      <c r="M264" s="371"/>
      <c r="N264" s="371"/>
      <c r="O264" s="371"/>
      <c r="P264" s="371"/>
      <c r="Q264" s="371"/>
      <c r="R264" s="371"/>
      <c r="S264" s="371"/>
      <c r="T264" s="371"/>
      <c r="U264" s="371"/>
      <c r="V264" s="371"/>
      <c r="W264" s="371"/>
      <c r="X264" s="371"/>
      <c r="Y264" s="371"/>
    </row>
    <row r="265" ht="28.5" customHeight="1">
      <c r="A265" s="371"/>
      <c r="B265" s="307"/>
      <c r="C265" s="307"/>
      <c r="D265" s="307"/>
      <c r="E265" s="307"/>
      <c r="F265" s="307"/>
      <c r="G265" s="307"/>
      <c r="H265" s="371"/>
      <c r="I265" s="371"/>
      <c r="J265" s="371"/>
      <c r="K265" s="371"/>
      <c r="L265" s="371"/>
      <c r="M265" s="371"/>
      <c r="N265" s="371"/>
      <c r="O265" s="371"/>
      <c r="P265" s="371"/>
      <c r="Q265" s="371"/>
      <c r="R265" s="371"/>
      <c r="S265" s="371"/>
      <c r="T265" s="371"/>
      <c r="U265" s="371"/>
      <c r="V265" s="371"/>
      <c r="W265" s="371"/>
      <c r="X265" s="371"/>
      <c r="Y265" s="371"/>
    </row>
    <row r="266" ht="28.5" customHeight="1">
      <c r="A266" s="371"/>
      <c r="B266" s="307"/>
      <c r="C266" s="307"/>
      <c r="D266" s="307"/>
      <c r="E266" s="307"/>
      <c r="F266" s="307"/>
      <c r="G266" s="307"/>
      <c r="H266" s="371"/>
      <c r="I266" s="371"/>
      <c r="J266" s="371"/>
      <c r="K266" s="371"/>
      <c r="L266" s="371"/>
      <c r="M266" s="371"/>
      <c r="N266" s="371"/>
      <c r="O266" s="371"/>
      <c r="P266" s="371"/>
      <c r="Q266" s="371"/>
      <c r="R266" s="371"/>
      <c r="S266" s="371"/>
      <c r="T266" s="371"/>
      <c r="U266" s="371"/>
      <c r="V266" s="371"/>
      <c r="W266" s="371"/>
      <c r="X266" s="371"/>
      <c r="Y266" s="371"/>
    </row>
    <row r="267" ht="28.5" customHeight="1">
      <c r="A267" s="371"/>
      <c r="B267" s="307"/>
      <c r="C267" s="307"/>
      <c r="D267" s="307"/>
      <c r="E267" s="307"/>
      <c r="F267" s="307"/>
      <c r="G267" s="307"/>
      <c r="H267" s="371"/>
      <c r="I267" s="371"/>
      <c r="J267" s="371"/>
      <c r="K267" s="371"/>
      <c r="L267" s="371"/>
      <c r="M267" s="371"/>
      <c r="N267" s="371"/>
      <c r="O267" s="371"/>
      <c r="P267" s="371"/>
      <c r="Q267" s="371"/>
      <c r="R267" s="371"/>
      <c r="S267" s="371"/>
      <c r="T267" s="371"/>
      <c r="U267" s="371"/>
      <c r="V267" s="371"/>
      <c r="W267" s="371"/>
      <c r="X267" s="371"/>
      <c r="Y267" s="371"/>
    </row>
    <row r="268" ht="28.5" customHeight="1">
      <c r="A268" s="371"/>
      <c r="B268" s="307"/>
      <c r="C268" s="307"/>
      <c r="D268" s="307"/>
      <c r="E268" s="307"/>
      <c r="F268" s="307"/>
      <c r="G268" s="307"/>
      <c r="H268" s="371"/>
      <c r="I268" s="371"/>
      <c r="J268" s="371"/>
      <c r="K268" s="371"/>
      <c r="L268" s="371"/>
      <c r="M268" s="371"/>
      <c r="N268" s="371"/>
      <c r="O268" s="371"/>
      <c r="P268" s="371"/>
      <c r="Q268" s="371"/>
      <c r="R268" s="371"/>
      <c r="S268" s="371"/>
      <c r="T268" s="371"/>
      <c r="U268" s="371"/>
      <c r="V268" s="371"/>
      <c r="W268" s="371"/>
      <c r="X268" s="371"/>
      <c r="Y268" s="371"/>
    </row>
    <row r="269" ht="28.5" customHeight="1">
      <c r="A269" s="371"/>
      <c r="B269" s="307"/>
      <c r="C269" s="307"/>
      <c r="D269" s="307"/>
      <c r="E269" s="307"/>
      <c r="F269" s="307"/>
      <c r="G269" s="307"/>
      <c r="H269" s="371"/>
      <c r="I269" s="371"/>
      <c r="J269" s="371"/>
      <c r="K269" s="371"/>
      <c r="L269" s="371"/>
      <c r="M269" s="371"/>
      <c r="N269" s="371"/>
      <c r="O269" s="371"/>
      <c r="P269" s="371"/>
      <c r="Q269" s="371"/>
      <c r="R269" s="371"/>
      <c r="S269" s="371"/>
      <c r="T269" s="371"/>
      <c r="U269" s="371"/>
      <c r="V269" s="371"/>
      <c r="W269" s="371"/>
      <c r="X269" s="371"/>
      <c r="Y269" s="371"/>
    </row>
    <row r="270" ht="28.5" customHeight="1">
      <c r="A270" s="371"/>
      <c r="B270" s="307"/>
      <c r="C270" s="307"/>
      <c r="D270" s="307"/>
      <c r="E270" s="307"/>
      <c r="F270" s="307"/>
      <c r="G270" s="307"/>
      <c r="H270" s="371"/>
      <c r="I270" s="371"/>
      <c r="J270" s="371"/>
      <c r="K270" s="371"/>
      <c r="L270" s="371"/>
      <c r="M270" s="371"/>
      <c r="N270" s="371"/>
      <c r="O270" s="371"/>
      <c r="P270" s="371"/>
      <c r="Q270" s="371"/>
      <c r="R270" s="371"/>
      <c r="S270" s="371"/>
      <c r="T270" s="371"/>
      <c r="U270" s="371"/>
      <c r="V270" s="371"/>
      <c r="W270" s="371"/>
      <c r="X270" s="371"/>
      <c r="Y270" s="371"/>
    </row>
    <row r="271" ht="28.5" customHeight="1">
      <c r="A271" s="371"/>
      <c r="B271" s="307"/>
      <c r="C271" s="307"/>
      <c r="D271" s="307"/>
      <c r="E271" s="307"/>
      <c r="F271" s="307"/>
      <c r="G271" s="307"/>
      <c r="H271" s="371"/>
      <c r="I271" s="371"/>
      <c r="J271" s="371"/>
      <c r="K271" s="371"/>
      <c r="L271" s="371"/>
      <c r="M271" s="371"/>
      <c r="N271" s="371"/>
      <c r="O271" s="371"/>
      <c r="P271" s="371"/>
      <c r="Q271" s="371"/>
      <c r="R271" s="371"/>
      <c r="S271" s="371"/>
      <c r="T271" s="371"/>
      <c r="U271" s="371"/>
      <c r="V271" s="371"/>
      <c r="W271" s="371"/>
      <c r="X271" s="371"/>
      <c r="Y271" s="371"/>
    </row>
    <row r="272" ht="28.5" customHeight="1">
      <c r="A272" s="371"/>
      <c r="B272" s="307"/>
      <c r="C272" s="307"/>
      <c r="D272" s="307"/>
      <c r="E272" s="307"/>
      <c r="F272" s="307"/>
      <c r="G272" s="307"/>
      <c r="H272" s="371"/>
      <c r="I272" s="371"/>
      <c r="J272" s="371"/>
      <c r="K272" s="371"/>
      <c r="L272" s="371"/>
      <c r="M272" s="371"/>
      <c r="N272" s="371"/>
      <c r="O272" s="371"/>
      <c r="P272" s="371"/>
      <c r="Q272" s="371"/>
      <c r="R272" s="371"/>
      <c r="S272" s="371"/>
      <c r="T272" s="371"/>
      <c r="U272" s="371"/>
      <c r="V272" s="371"/>
      <c r="W272" s="371"/>
      <c r="X272" s="371"/>
      <c r="Y272" s="371"/>
    </row>
    <row r="273" ht="28.5" customHeight="1">
      <c r="A273" s="371"/>
      <c r="B273" s="307"/>
      <c r="C273" s="307"/>
      <c r="D273" s="307"/>
      <c r="E273" s="307"/>
      <c r="F273" s="307"/>
      <c r="G273" s="307"/>
      <c r="H273" s="371"/>
      <c r="I273" s="371"/>
      <c r="J273" s="371"/>
      <c r="K273" s="371"/>
      <c r="L273" s="371"/>
      <c r="M273" s="371"/>
      <c r="N273" s="371"/>
      <c r="O273" s="371"/>
      <c r="P273" s="371"/>
      <c r="Q273" s="371"/>
      <c r="R273" s="371"/>
      <c r="S273" s="371"/>
      <c r="T273" s="371"/>
      <c r="U273" s="371"/>
      <c r="V273" s="371"/>
      <c r="W273" s="371"/>
      <c r="X273" s="371"/>
      <c r="Y273" s="371"/>
    </row>
    <row r="274" ht="28.5" customHeight="1">
      <c r="A274" s="371"/>
      <c r="B274" s="307"/>
      <c r="C274" s="307"/>
      <c r="D274" s="307"/>
      <c r="E274" s="307"/>
      <c r="F274" s="307"/>
      <c r="G274" s="307"/>
      <c r="H274" s="371"/>
      <c r="I274" s="371"/>
      <c r="J274" s="371"/>
      <c r="K274" s="371"/>
      <c r="L274" s="371"/>
      <c r="M274" s="371"/>
      <c r="N274" s="371"/>
      <c r="O274" s="371"/>
      <c r="P274" s="371"/>
      <c r="Q274" s="371"/>
      <c r="R274" s="371"/>
      <c r="S274" s="371"/>
      <c r="T274" s="371"/>
      <c r="U274" s="371"/>
      <c r="V274" s="371"/>
      <c r="W274" s="371"/>
      <c r="X274" s="371"/>
      <c r="Y274" s="371"/>
    </row>
    <row r="275" ht="28.5" customHeight="1">
      <c r="A275" s="371"/>
      <c r="B275" s="307"/>
      <c r="C275" s="307"/>
      <c r="D275" s="307"/>
      <c r="E275" s="307"/>
      <c r="F275" s="307"/>
      <c r="G275" s="307"/>
      <c r="H275" s="371"/>
      <c r="I275" s="371"/>
      <c r="J275" s="371"/>
      <c r="K275" s="371"/>
      <c r="L275" s="371"/>
      <c r="M275" s="371"/>
      <c r="N275" s="371"/>
      <c r="O275" s="371"/>
      <c r="P275" s="371"/>
      <c r="Q275" s="371"/>
      <c r="R275" s="371"/>
      <c r="S275" s="371"/>
      <c r="T275" s="371"/>
      <c r="U275" s="371"/>
      <c r="V275" s="371"/>
      <c r="W275" s="371"/>
      <c r="X275" s="371"/>
      <c r="Y275" s="371"/>
    </row>
    <row r="276" ht="28.5" customHeight="1">
      <c r="A276" s="371"/>
      <c r="B276" s="307"/>
      <c r="C276" s="307"/>
      <c r="D276" s="307"/>
      <c r="E276" s="307"/>
      <c r="F276" s="307"/>
      <c r="G276" s="307"/>
      <c r="H276" s="371"/>
      <c r="I276" s="371"/>
      <c r="J276" s="371"/>
      <c r="K276" s="371"/>
      <c r="L276" s="371"/>
      <c r="M276" s="371"/>
      <c r="N276" s="371"/>
      <c r="O276" s="371"/>
      <c r="P276" s="371"/>
      <c r="Q276" s="371"/>
      <c r="R276" s="371"/>
      <c r="S276" s="371"/>
      <c r="T276" s="371"/>
      <c r="U276" s="371"/>
      <c r="V276" s="371"/>
      <c r="W276" s="371"/>
      <c r="X276" s="371"/>
      <c r="Y276" s="371"/>
    </row>
    <row r="277" ht="28.5" customHeight="1">
      <c r="A277" s="371"/>
      <c r="B277" s="307"/>
      <c r="C277" s="307"/>
      <c r="D277" s="307"/>
      <c r="E277" s="307"/>
      <c r="F277" s="307"/>
      <c r="G277" s="307"/>
      <c r="H277" s="371"/>
      <c r="I277" s="371"/>
      <c r="J277" s="371"/>
      <c r="K277" s="371"/>
      <c r="L277" s="371"/>
      <c r="M277" s="371"/>
      <c r="N277" s="371"/>
      <c r="O277" s="371"/>
      <c r="P277" s="371"/>
      <c r="Q277" s="371"/>
      <c r="R277" s="371"/>
      <c r="S277" s="371"/>
      <c r="T277" s="371"/>
      <c r="U277" s="371"/>
      <c r="V277" s="371"/>
      <c r="W277" s="371"/>
      <c r="X277" s="371"/>
      <c r="Y277" s="371"/>
    </row>
    <row r="278" ht="28.5" customHeight="1">
      <c r="A278" s="371"/>
      <c r="B278" s="307"/>
      <c r="C278" s="307"/>
      <c r="D278" s="307"/>
      <c r="E278" s="307"/>
      <c r="F278" s="307"/>
      <c r="G278" s="307"/>
      <c r="H278" s="371"/>
      <c r="I278" s="371"/>
      <c r="J278" s="371"/>
      <c r="K278" s="371"/>
      <c r="L278" s="371"/>
      <c r="M278" s="371"/>
      <c r="N278" s="371"/>
      <c r="O278" s="371"/>
      <c r="P278" s="371"/>
      <c r="Q278" s="371"/>
      <c r="R278" s="371"/>
      <c r="S278" s="371"/>
      <c r="T278" s="371"/>
      <c r="U278" s="371"/>
      <c r="V278" s="371"/>
      <c r="W278" s="371"/>
      <c r="X278" s="371"/>
      <c r="Y278" s="371"/>
    </row>
    <row r="279" ht="28.5" customHeight="1">
      <c r="A279" s="371"/>
      <c r="B279" s="307"/>
      <c r="C279" s="307"/>
      <c r="D279" s="307"/>
      <c r="E279" s="307"/>
      <c r="F279" s="307"/>
      <c r="G279" s="307"/>
      <c r="H279" s="371"/>
      <c r="I279" s="371"/>
      <c r="J279" s="371"/>
      <c r="K279" s="371"/>
      <c r="L279" s="371"/>
      <c r="M279" s="371"/>
      <c r="N279" s="371"/>
      <c r="O279" s="371"/>
      <c r="P279" s="371"/>
      <c r="Q279" s="371"/>
      <c r="R279" s="371"/>
      <c r="S279" s="371"/>
      <c r="T279" s="371"/>
      <c r="U279" s="371"/>
      <c r="V279" s="371"/>
      <c r="W279" s="371"/>
      <c r="X279" s="371"/>
      <c r="Y279" s="371"/>
    </row>
    <row r="280" ht="28.5" customHeight="1">
      <c r="A280" s="371"/>
      <c r="B280" s="307"/>
      <c r="C280" s="307"/>
      <c r="D280" s="307"/>
      <c r="E280" s="307"/>
      <c r="F280" s="307"/>
      <c r="G280" s="307"/>
      <c r="H280" s="371"/>
      <c r="I280" s="371"/>
      <c r="J280" s="371"/>
      <c r="K280" s="371"/>
      <c r="L280" s="371"/>
      <c r="M280" s="371"/>
      <c r="N280" s="371"/>
      <c r="O280" s="371"/>
      <c r="P280" s="371"/>
      <c r="Q280" s="371"/>
      <c r="R280" s="371"/>
      <c r="S280" s="371"/>
      <c r="T280" s="371"/>
      <c r="U280" s="371"/>
      <c r="V280" s="371"/>
      <c r="W280" s="371"/>
      <c r="X280" s="371"/>
      <c r="Y280" s="371"/>
    </row>
    <row r="281" ht="28.5" customHeight="1">
      <c r="A281" s="371"/>
      <c r="B281" s="307"/>
      <c r="C281" s="307"/>
      <c r="D281" s="307"/>
      <c r="E281" s="307"/>
      <c r="F281" s="307"/>
      <c r="G281" s="307"/>
      <c r="H281" s="371"/>
      <c r="I281" s="371"/>
      <c r="J281" s="371"/>
      <c r="K281" s="371"/>
      <c r="L281" s="371"/>
      <c r="M281" s="371"/>
      <c r="N281" s="371"/>
      <c r="O281" s="371"/>
      <c r="P281" s="371"/>
      <c r="Q281" s="371"/>
      <c r="R281" s="371"/>
      <c r="S281" s="371"/>
      <c r="T281" s="371"/>
      <c r="U281" s="371"/>
      <c r="V281" s="371"/>
      <c r="W281" s="371"/>
      <c r="X281" s="371"/>
      <c r="Y281" s="371"/>
    </row>
    <row r="282" ht="28.5" customHeight="1">
      <c r="A282" s="371"/>
      <c r="B282" s="307"/>
      <c r="C282" s="307"/>
      <c r="D282" s="307"/>
      <c r="E282" s="307"/>
      <c r="F282" s="307"/>
      <c r="G282" s="307"/>
      <c r="H282" s="371"/>
      <c r="I282" s="371"/>
      <c r="J282" s="371"/>
      <c r="K282" s="371"/>
      <c r="L282" s="371"/>
      <c r="M282" s="371"/>
      <c r="N282" s="371"/>
      <c r="O282" s="371"/>
      <c r="P282" s="371"/>
      <c r="Q282" s="371"/>
      <c r="R282" s="371"/>
      <c r="S282" s="371"/>
      <c r="T282" s="371"/>
      <c r="U282" s="371"/>
      <c r="V282" s="371"/>
      <c r="W282" s="371"/>
      <c r="X282" s="371"/>
      <c r="Y282" s="371"/>
    </row>
    <row r="283" ht="28.5" customHeight="1">
      <c r="A283" s="371"/>
      <c r="B283" s="307"/>
      <c r="C283" s="307"/>
      <c r="D283" s="307"/>
      <c r="E283" s="307"/>
      <c r="F283" s="307"/>
      <c r="G283" s="307"/>
      <c r="H283" s="371"/>
      <c r="I283" s="371"/>
      <c r="J283" s="371"/>
      <c r="K283" s="371"/>
      <c r="L283" s="371"/>
      <c r="M283" s="371"/>
      <c r="N283" s="371"/>
      <c r="O283" s="371"/>
      <c r="P283" s="371"/>
      <c r="Q283" s="371"/>
      <c r="R283" s="371"/>
      <c r="S283" s="371"/>
      <c r="T283" s="371"/>
      <c r="U283" s="371"/>
      <c r="V283" s="371"/>
      <c r="W283" s="371"/>
      <c r="X283" s="371"/>
      <c r="Y283" s="371"/>
    </row>
    <row r="284" ht="28.5" customHeight="1">
      <c r="A284" s="371"/>
      <c r="B284" s="307"/>
      <c r="C284" s="307"/>
      <c r="D284" s="307"/>
      <c r="E284" s="307"/>
      <c r="F284" s="307"/>
      <c r="G284" s="307"/>
      <c r="H284" s="371"/>
      <c r="I284" s="371"/>
      <c r="J284" s="371"/>
      <c r="K284" s="371"/>
      <c r="L284" s="371"/>
      <c r="M284" s="371"/>
      <c r="N284" s="371"/>
      <c r="O284" s="371"/>
      <c r="P284" s="371"/>
      <c r="Q284" s="371"/>
      <c r="R284" s="371"/>
      <c r="S284" s="371"/>
      <c r="T284" s="371"/>
      <c r="U284" s="371"/>
      <c r="V284" s="371"/>
      <c r="W284" s="371"/>
      <c r="X284" s="371"/>
      <c r="Y284" s="371"/>
    </row>
    <row r="285" ht="28.5" customHeight="1">
      <c r="A285" s="371"/>
      <c r="B285" s="307"/>
      <c r="C285" s="307"/>
      <c r="D285" s="307"/>
      <c r="E285" s="307"/>
      <c r="F285" s="307"/>
      <c r="G285" s="307"/>
      <c r="H285" s="371"/>
      <c r="I285" s="371"/>
      <c r="J285" s="371"/>
      <c r="K285" s="371"/>
      <c r="L285" s="371"/>
      <c r="M285" s="371"/>
      <c r="N285" s="371"/>
      <c r="O285" s="371"/>
      <c r="P285" s="371"/>
      <c r="Q285" s="371"/>
      <c r="R285" s="371"/>
      <c r="S285" s="371"/>
      <c r="T285" s="371"/>
      <c r="U285" s="371"/>
      <c r="V285" s="371"/>
      <c r="W285" s="371"/>
      <c r="X285" s="371"/>
      <c r="Y285" s="371"/>
    </row>
    <row r="286" ht="28.5" customHeight="1">
      <c r="A286" s="371"/>
      <c r="B286" s="307"/>
      <c r="C286" s="307"/>
      <c r="D286" s="307"/>
      <c r="E286" s="307"/>
      <c r="F286" s="307"/>
      <c r="G286" s="307"/>
      <c r="H286" s="371"/>
      <c r="I286" s="371"/>
      <c r="J286" s="371"/>
      <c r="K286" s="371"/>
      <c r="L286" s="371"/>
      <c r="M286" s="371"/>
      <c r="N286" s="371"/>
      <c r="O286" s="371"/>
      <c r="P286" s="371"/>
      <c r="Q286" s="371"/>
      <c r="R286" s="371"/>
      <c r="S286" s="371"/>
      <c r="T286" s="371"/>
      <c r="U286" s="371"/>
      <c r="V286" s="371"/>
      <c r="W286" s="371"/>
      <c r="X286" s="371"/>
      <c r="Y286" s="371"/>
    </row>
    <row r="287" ht="28.5" customHeight="1">
      <c r="A287" s="371"/>
      <c r="B287" s="307"/>
      <c r="C287" s="307"/>
      <c r="D287" s="307"/>
      <c r="E287" s="307"/>
      <c r="F287" s="307"/>
      <c r="G287" s="307"/>
      <c r="H287" s="371"/>
      <c r="I287" s="371"/>
      <c r="J287" s="371"/>
      <c r="K287" s="371"/>
      <c r="L287" s="371"/>
      <c r="M287" s="371"/>
      <c r="N287" s="371"/>
      <c r="O287" s="371"/>
      <c r="P287" s="371"/>
      <c r="Q287" s="371"/>
      <c r="R287" s="371"/>
      <c r="S287" s="371"/>
      <c r="T287" s="371"/>
      <c r="U287" s="371"/>
      <c r="V287" s="371"/>
      <c r="W287" s="371"/>
      <c r="X287" s="371"/>
      <c r="Y287" s="371"/>
    </row>
    <row r="288" ht="28.5" customHeight="1">
      <c r="A288" s="371"/>
      <c r="B288" s="307"/>
      <c r="C288" s="307"/>
      <c r="D288" s="307"/>
      <c r="E288" s="307"/>
      <c r="F288" s="307"/>
      <c r="G288" s="307"/>
      <c r="H288" s="371"/>
      <c r="I288" s="371"/>
      <c r="J288" s="371"/>
      <c r="K288" s="371"/>
      <c r="L288" s="371"/>
      <c r="M288" s="371"/>
      <c r="N288" s="371"/>
      <c r="O288" s="371"/>
      <c r="P288" s="371"/>
      <c r="Q288" s="371"/>
      <c r="R288" s="371"/>
      <c r="S288" s="371"/>
      <c r="T288" s="371"/>
      <c r="U288" s="371"/>
      <c r="V288" s="371"/>
      <c r="W288" s="371"/>
      <c r="X288" s="371"/>
      <c r="Y288" s="371"/>
    </row>
    <row r="289" ht="28.5" customHeight="1">
      <c r="A289" s="371"/>
      <c r="B289" s="307"/>
      <c r="C289" s="307"/>
      <c r="D289" s="307"/>
      <c r="E289" s="307"/>
      <c r="F289" s="307"/>
      <c r="G289" s="307"/>
      <c r="H289" s="371"/>
      <c r="I289" s="371"/>
      <c r="J289" s="371"/>
      <c r="K289" s="371"/>
      <c r="L289" s="371"/>
      <c r="M289" s="371"/>
      <c r="N289" s="371"/>
      <c r="O289" s="371"/>
      <c r="P289" s="371"/>
      <c r="Q289" s="371"/>
      <c r="R289" s="371"/>
      <c r="S289" s="371"/>
      <c r="T289" s="371"/>
      <c r="U289" s="371"/>
      <c r="V289" s="371"/>
      <c r="W289" s="371"/>
      <c r="X289" s="371"/>
      <c r="Y289" s="371"/>
    </row>
    <row r="290" ht="28.5" customHeight="1">
      <c r="A290" s="371"/>
      <c r="B290" s="307"/>
      <c r="C290" s="307"/>
      <c r="D290" s="307"/>
      <c r="E290" s="307"/>
      <c r="F290" s="307"/>
      <c r="G290" s="307"/>
      <c r="H290" s="371"/>
      <c r="I290" s="371"/>
      <c r="J290" s="371"/>
      <c r="K290" s="371"/>
      <c r="L290" s="371"/>
      <c r="M290" s="371"/>
      <c r="N290" s="371"/>
      <c r="O290" s="371"/>
      <c r="P290" s="371"/>
      <c r="Q290" s="371"/>
      <c r="R290" s="371"/>
      <c r="S290" s="371"/>
      <c r="T290" s="371"/>
      <c r="U290" s="371"/>
      <c r="V290" s="371"/>
      <c r="W290" s="371"/>
      <c r="X290" s="371"/>
      <c r="Y290" s="371"/>
    </row>
    <row r="291" ht="28.5" customHeight="1">
      <c r="A291" s="371"/>
      <c r="B291" s="307"/>
      <c r="C291" s="307"/>
      <c r="D291" s="307"/>
      <c r="E291" s="307"/>
      <c r="F291" s="307"/>
      <c r="G291" s="307"/>
      <c r="H291" s="371"/>
      <c r="I291" s="371"/>
      <c r="J291" s="371"/>
      <c r="K291" s="371"/>
      <c r="L291" s="371"/>
      <c r="M291" s="371"/>
      <c r="N291" s="371"/>
      <c r="O291" s="371"/>
      <c r="P291" s="371"/>
      <c r="Q291" s="371"/>
      <c r="R291" s="371"/>
      <c r="S291" s="371"/>
      <c r="T291" s="371"/>
      <c r="U291" s="371"/>
      <c r="V291" s="371"/>
      <c r="W291" s="371"/>
      <c r="X291" s="371"/>
      <c r="Y291" s="371"/>
    </row>
    <row r="292" ht="28.5" customHeight="1">
      <c r="A292" s="371"/>
      <c r="B292" s="307"/>
      <c r="C292" s="307"/>
      <c r="D292" s="307"/>
      <c r="E292" s="307"/>
      <c r="F292" s="307"/>
      <c r="G292" s="307"/>
      <c r="H292" s="371"/>
      <c r="I292" s="371"/>
      <c r="J292" s="371"/>
      <c r="K292" s="371"/>
      <c r="L292" s="371"/>
      <c r="M292" s="371"/>
      <c r="N292" s="371"/>
      <c r="O292" s="371"/>
      <c r="P292" s="371"/>
      <c r="Q292" s="371"/>
      <c r="R292" s="371"/>
      <c r="S292" s="371"/>
      <c r="T292" s="371"/>
      <c r="U292" s="371"/>
      <c r="V292" s="371"/>
      <c r="W292" s="371"/>
      <c r="X292" s="371"/>
      <c r="Y292" s="371"/>
    </row>
    <row r="293" ht="28.5" customHeight="1">
      <c r="A293" s="371"/>
      <c r="B293" s="307"/>
      <c r="C293" s="307"/>
      <c r="D293" s="307"/>
      <c r="E293" s="307"/>
      <c r="F293" s="307"/>
      <c r="G293" s="307"/>
      <c r="H293" s="371"/>
      <c r="I293" s="371"/>
      <c r="J293" s="371"/>
      <c r="K293" s="371"/>
      <c r="L293" s="371"/>
      <c r="M293" s="371"/>
      <c r="N293" s="371"/>
      <c r="O293" s="371"/>
      <c r="P293" s="371"/>
      <c r="Q293" s="371"/>
      <c r="R293" s="371"/>
      <c r="S293" s="371"/>
      <c r="T293" s="371"/>
      <c r="U293" s="371"/>
      <c r="V293" s="371"/>
      <c r="W293" s="371"/>
      <c r="X293" s="371"/>
      <c r="Y293" s="371"/>
    </row>
    <row r="294" ht="28.5" customHeight="1">
      <c r="A294" s="371"/>
      <c r="B294" s="307"/>
      <c r="C294" s="307"/>
      <c r="D294" s="307"/>
      <c r="E294" s="307"/>
      <c r="F294" s="307"/>
      <c r="G294" s="307"/>
      <c r="H294" s="371"/>
      <c r="I294" s="371"/>
      <c r="J294" s="371"/>
      <c r="K294" s="371"/>
      <c r="L294" s="371"/>
      <c r="M294" s="371"/>
      <c r="N294" s="371"/>
      <c r="O294" s="371"/>
      <c r="P294" s="371"/>
      <c r="Q294" s="371"/>
      <c r="R294" s="371"/>
      <c r="S294" s="371"/>
      <c r="T294" s="371"/>
      <c r="U294" s="371"/>
      <c r="V294" s="371"/>
      <c r="W294" s="371"/>
      <c r="X294" s="371"/>
      <c r="Y294" s="371"/>
    </row>
    <row r="295" ht="28.5" customHeight="1">
      <c r="A295" s="371"/>
      <c r="B295" s="307"/>
      <c r="C295" s="307"/>
      <c r="D295" s="307"/>
      <c r="E295" s="307"/>
      <c r="F295" s="307"/>
      <c r="G295" s="307"/>
      <c r="H295" s="371"/>
      <c r="I295" s="371"/>
      <c r="J295" s="371"/>
      <c r="K295" s="371"/>
      <c r="L295" s="371"/>
      <c r="M295" s="371"/>
      <c r="N295" s="371"/>
      <c r="O295" s="371"/>
      <c r="P295" s="371"/>
      <c r="Q295" s="371"/>
      <c r="R295" s="371"/>
      <c r="S295" s="371"/>
      <c r="T295" s="371"/>
      <c r="U295" s="371"/>
      <c r="V295" s="371"/>
      <c r="W295" s="371"/>
      <c r="X295" s="371"/>
      <c r="Y295" s="371"/>
    </row>
    <row r="296" ht="28.5" customHeight="1">
      <c r="A296" s="371"/>
      <c r="B296" s="307"/>
      <c r="C296" s="307"/>
      <c r="D296" s="307"/>
      <c r="E296" s="307"/>
      <c r="F296" s="307"/>
      <c r="G296" s="307"/>
      <c r="H296" s="371"/>
      <c r="I296" s="371"/>
      <c r="J296" s="371"/>
      <c r="K296" s="371"/>
      <c r="L296" s="371"/>
      <c r="M296" s="371"/>
      <c r="N296" s="371"/>
      <c r="O296" s="371"/>
      <c r="P296" s="371"/>
      <c r="Q296" s="371"/>
      <c r="R296" s="371"/>
      <c r="S296" s="371"/>
      <c r="T296" s="371"/>
      <c r="U296" s="371"/>
      <c r="V296" s="371"/>
      <c r="W296" s="371"/>
      <c r="X296" s="371"/>
      <c r="Y296" s="371"/>
    </row>
    <row r="297" ht="28.5" customHeight="1">
      <c r="A297" s="371"/>
      <c r="B297" s="307"/>
      <c r="C297" s="307"/>
      <c r="D297" s="307"/>
      <c r="E297" s="307"/>
      <c r="F297" s="307"/>
      <c r="G297" s="307"/>
      <c r="H297" s="371"/>
      <c r="I297" s="371"/>
      <c r="J297" s="371"/>
      <c r="K297" s="371"/>
      <c r="L297" s="371"/>
      <c r="M297" s="371"/>
      <c r="N297" s="371"/>
      <c r="O297" s="371"/>
      <c r="P297" s="371"/>
      <c r="Q297" s="371"/>
      <c r="R297" s="371"/>
      <c r="S297" s="371"/>
      <c r="T297" s="371"/>
      <c r="U297" s="371"/>
      <c r="V297" s="371"/>
      <c r="W297" s="371"/>
      <c r="X297" s="371"/>
      <c r="Y297" s="371"/>
    </row>
    <row r="298" ht="28.5" customHeight="1">
      <c r="A298" s="371"/>
      <c r="B298" s="307"/>
      <c r="C298" s="307"/>
      <c r="D298" s="307"/>
      <c r="E298" s="307"/>
      <c r="F298" s="307"/>
      <c r="G298" s="307"/>
      <c r="H298" s="371"/>
      <c r="I298" s="371"/>
      <c r="J298" s="371"/>
      <c r="K298" s="371"/>
      <c r="L298" s="371"/>
      <c r="M298" s="371"/>
      <c r="N298" s="371"/>
      <c r="O298" s="371"/>
      <c r="P298" s="371"/>
      <c r="Q298" s="371"/>
      <c r="R298" s="371"/>
      <c r="S298" s="371"/>
      <c r="T298" s="371"/>
      <c r="U298" s="371"/>
      <c r="V298" s="371"/>
      <c r="W298" s="371"/>
      <c r="X298" s="371"/>
      <c r="Y298" s="371"/>
    </row>
    <row r="299" ht="28.5" customHeight="1">
      <c r="A299" s="371"/>
      <c r="B299" s="307"/>
      <c r="C299" s="307"/>
      <c r="D299" s="307"/>
      <c r="E299" s="307"/>
      <c r="F299" s="307"/>
      <c r="G299" s="307"/>
      <c r="H299" s="371"/>
      <c r="I299" s="371"/>
      <c r="J299" s="371"/>
      <c r="K299" s="371"/>
      <c r="L299" s="371"/>
      <c r="M299" s="371"/>
      <c r="N299" s="371"/>
      <c r="O299" s="371"/>
      <c r="P299" s="371"/>
      <c r="Q299" s="371"/>
      <c r="R299" s="371"/>
      <c r="S299" s="371"/>
      <c r="T299" s="371"/>
      <c r="U299" s="371"/>
      <c r="V299" s="371"/>
      <c r="W299" s="371"/>
      <c r="X299" s="371"/>
      <c r="Y299" s="371"/>
    </row>
    <row r="300" ht="28.5" customHeight="1">
      <c r="A300" s="371"/>
      <c r="B300" s="307"/>
      <c r="C300" s="307"/>
      <c r="D300" s="307"/>
      <c r="E300" s="307"/>
      <c r="F300" s="307"/>
      <c r="G300" s="307"/>
      <c r="H300" s="371"/>
      <c r="I300" s="371"/>
      <c r="J300" s="371"/>
      <c r="K300" s="371"/>
      <c r="L300" s="371"/>
      <c r="M300" s="371"/>
      <c r="N300" s="371"/>
      <c r="O300" s="371"/>
      <c r="P300" s="371"/>
      <c r="Q300" s="371"/>
      <c r="R300" s="371"/>
      <c r="S300" s="371"/>
      <c r="T300" s="371"/>
      <c r="U300" s="371"/>
      <c r="V300" s="371"/>
      <c r="W300" s="371"/>
      <c r="X300" s="371"/>
      <c r="Y300" s="371"/>
    </row>
    <row r="301" ht="28.5" customHeight="1">
      <c r="A301" s="371"/>
      <c r="B301" s="307"/>
      <c r="C301" s="307"/>
      <c r="D301" s="307"/>
      <c r="E301" s="307"/>
      <c r="F301" s="307"/>
      <c r="G301" s="307"/>
      <c r="H301" s="371"/>
      <c r="I301" s="371"/>
      <c r="J301" s="371"/>
      <c r="K301" s="371"/>
      <c r="L301" s="371"/>
      <c r="M301" s="371"/>
      <c r="N301" s="371"/>
      <c r="O301" s="371"/>
      <c r="P301" s="371"/>
      <c r="Q301" s="371"/>
      <c r="R301" s="371"/>
      <c r="S301" s="371"/>
      <c r="T301" s="371"/>
      <c r="U301" s="371"/>
      <c r="V301" s="371"/>
      <c r="W301" s="371"/>
      <c r="X301" s="371"/>
      <c r="Y301" s="371"/>
    </row>
    <row r="302" ht="28.5" customHeight="1">
      <c r="A302" s="371"/>
      <c r="B302" s="307"/>
      <c r="C302" s="307"/>
      <c r="D302" s="307"/>
      <c r="E302" s="307"/>
      <c r="F302" s="307"/>
      <c r="G302" s="307"/>
      <c r="H302" s="371"/>
      <c r="I302" s="371"/>
      <c r="J302" s="371"/>
      <c r="K302" s="371"/>
      <c r="L302" s="371"/>
      <c r="M302" s="371"/>
      <c r="N302" s="371"/>
      <c r="O302" s="371"/>
      <c r="P302" s="371"/>
      <c r="Q302" s="371"/>
      <c r="R302" s="371"/>
      <c r="S302" s="371"/>
      <c r="T302" s="371"/>
      <c r="U302" s="371"/>
      <c r="V302" s="371"/>
      <c r="W302" s="371"/>
      <c r="X302" s="371"/>
      <c r="Y302" s="371"/>
    </row>
    <row r="303" ht="28.5" customHeight="1">
      <c r="A303" s="371"/>
      <c r="B303" s="307"/>
      <c r="C303" s="307"/>
      <c r="D303" s="307"/>
      <c r="E303" s="307"/>
      <c r="F303" s="307"/>
      <c r="G303" s="307"/>
      <c r="H303" s="371"/>
      <c r="I303" s="371"/>
      <c r="J303" s="371"/>
      <c r="K303" s="371"/>
      <c r="L303" s="371"/>
      <c r="M303" s="371"/>
      <c r="N303" s="371"/>
      <c r="O303" s="371"/>
      <c r="P303" s="371"/>
      <c r="Q303" s="371"/>
      <c r="R303" s="371"/>
      <c r="S303" s="371"/>
      <c r="T303" s="371"/>
      <c r="U303" s="371"/>
      <c r="V303" s="371"/>
      <c r="W303" s="371"/>
      <c r="X303" s="371"/>
      <c r="Y303" s="371"/>
    </row>
    <row r="304" ht="28.5" customHeight="1">
      <c r="A304" s="371"/>
      <c r="B304" s="307"/>
      <c r="C304" s="307"/>
      <c r="D304" s="307"/>
      <c r="E304" s="307"/>
      <c r="F304" s="307"/>
      <c r="G304" s="307"/>
      <c r="H304" s="371"/>
      <c r="I304" s="371"/>
      <c r="J304" s="371"/>
      <c r="K304" s="371"/>
      <c r="L304" s="371"/>
      <c r="M304" s="371"/>
      <c r="N304" s="371"/>
      <c r="O304" s="371"/>
      <c r="P304" s="371"/>
      <c r="Q304" s="371"/>
      <c r="R304" s="371"/>
      <c r="S304" s="371"/>
      <c r="T304" s="371"/>
      <c r="U304" s="371"/>
      <c r="V304" s="371"/>
      <c r="W304" s="371"/>
      <c r="X304" s="371"/>
      <c r="Y304" s="371"/>
    </row>
    <row r="305" ht="28.5" customHeight="1">
      <c r="A305" s="371"/>
      <c r="B305" s="307"/>
      <c r="C305" s="307"/>
      <c r="D305" s="307"/>
      <c r="E305" s="307"/>
      <c r="F305" s="307"/>
      <c r="G305" s="307"/>
      <c r="H305" s="371"/>
      <c r="I305" s="371"/>
      <c r="J305" s="371"/>
      <c r="K305" s="371"/>
      <c r="L305" s="371"/>
      <c r="M305" s="371"/>
      <c r="N305" s="371"/>
      <c r="O305" s="371"/>
      <c r="P305" s="371"/>
      <c r="Q305" s="371"/>
      <c r="R305" s="371"/>
      <c r="S305" s="371"/>
      <c r="T305" s="371"/>
      <c r="U305" s="371"/>
      <c r="V305" s="371"/>
      <c r="W305" s="371"/>
      <c r="X305" s="371"/>
      <c r="Y305" s="371"/>
    </row>
    <row r="306" ht="28.5" customHeight="1">
      <c r="A306" s="371"/>
      <c r="B306" s="307"/>
      <c r="C306" s="307"/>
      <c r="D306" s="307"/>
      <c r="E306" s="307"/>
      <c r="F306" s="307"/>
      <c r="G306" s="307"/>
      <c r="H306" s="371"/>
      <c r="I306" s="371"/>
      <c r="J306" s="371"/>
      <c r="K306" s="371"/>
      <c r="L306" s="371"/>
      <c r="M306" s="371"/>
      <c r="N306" s="371"/>
      <c r="O306" s="371"/>
      <c r="P306" s="371"/>
      <c r="Q306" s="371"/>
      <c r="R306" s="371"/>
      <c r="S306" s="371"/>
      <c r="T306" s="371"/>
      <c r="U306" s="371"/>
      <c r="V306" s="371"/>
      <c r="W306" s="371"/>
      <c r="X306" s="371"/>
      <c r="Y306" s="371"/>
    </row>
    <row r="307" ht="28.5" customHeight="1">
      <c r="A307" s="371"/>
      <c r="B307" s="307"/>
      <c r="C307" s="307"/>
      <c r="D307" s="307"/>
      <c r="E307" s="307"/>
      <c r="F307" s="307"/>
      <c r="G307" s="307"/>
      <c r="H307" s="371"/>
      <c r="I307" s="371"/>
      <c r="J307" s="371"/>
      <c r="K307" s="371"/>
      <c r="L307" s="371"/>
      <c r="M307" s="371"/>
      <c r="N307" s="371"/>
      <c r="O307" s="371"/>
      <c r="P307" s="371"/>
      <c r="Q307" s="371"/>
      <c r="R307" s="371"/>
      <c r="S307" s="371"/>
      <c r="T307" s="371"/>
      <c r="U307" s="371"/>
      <c r="V307" s="371"/>
      <c r="W307" s="371"/>
      <c r="X307" s="371"/>
      <c r="Y307" s="371"/>
    </row>
    <row r="308" ht="28.5" customHeight="1">
      <c r="A308" s="371"/>
      <c r="B308" s="307"/>
      <c r="C308" s="307"/>
      <c r="D308" s="307"/>
      <c r="E308" s="307"/>
      <c r="F308" s="307"/>
      <c r="G308" s="307"/>
      <c r="H308" s="371"/>
      <c r="I308" s="371"/>
      <c r="J308" s="371"/>
      <c r="K308" s="371"/>
      <c r="L308" s="371"/>
      <c r="M308" s="371"/>
      <c r="N308" s="371"/>
      <c r="O308" s="371"/>
      <c r="P308" s="371"/>
      <c r="Q308" s="371"/>
      <c r="R308" s="371"/>
      <c r="S308" s="371"/>
      <c r="T308" s="371"/>
      <c r="U308" s="371"/>
      <c r="V308" s="371"/>
      <c r="W308" s="371"/>
      <c r="X308" s="371"/>
      <c r="Y308" s="371"/>
    </row>
    <row r="309" ht="28.5" customHeight="1">
      <c r="A309" s="371"/>
      <c r="B309" s="307"/>
      <c r="C309" s="307"/>
      <c r="D309" s="307"/>
      <c r="E309" s="307"/>
      <c r="F309" s="307"/>
      <c r="G309" s="307"/>
      <c r="H309" s="371"/>
      <c r="I309" s="371"/>
      <c r="J309" s="371"/>
      <c r="K309" s="371"/>
      <c r="L309" s="371"/>
      <c r="M309" s="371"/>
      <c r="N309" s="371"/>
      <c r="O309" s="371"/>
      <c r="P309" s="371"/>
      <c r="Q309" s="371"/>
      <c r="R309" s="371"/>
      <c r="S309" s="371"/>
      <c r="T309" s="371"/>
      <c r="U309" s="371"/>
      <c r="V309" s="371"/>
      <c r="W309" s="371"/>
      <c r="X309" s="371"/>
      <c r="Y309" s="371"/>
    </row>
    <row r="310" ht="28.5" customHeight="1">
      <c r="A310" s="371"/>
      <c r="B310" s="307"/>
      <c r="C310" s="307"/>
      <c r="D310" s="307"/>
      <c r="E310" s="307"/>
      <c r="F310" s="307"/>
      <c r="G310" s="307"/>
      <c r="H310" s="371"/>
      <c r="I310" s="371"/>
      <c r="J310" s="371"/>
      <c r="K310" s="371"/>
      <c r="L310" s="371"/>
      <c r="M310" s="371"/>
      <c r="N310" s="371"/>
      <c r="O310" s="371"/>
      <c r="P310" s="371"/>
      <c r="Q310" s="371"/>
      <c r="R310" s="371"/>
      <c r="S310" s="371"/>
      <c r="T310" s="371"/>
      <c r="U310" s="371"/>
      <c r="V310" s="371"/>
      <c r="W310" s="371"/>
      <c r="X310" s="371"/>
      <c r="Y310" s="371"/>
    </row>
    <row r="311" ht="28.5" customHeight="1">
      <c r="A311" s="371"/>
      <c r="B311" s="307"/>
      <c r="C311" s="307"/>
      <c r="D311" s="307"/>
      <c r="E311" s="307"/>
      <c r="F311" s="307"/>
      <c r="G311" s="307"/>
      <c r="H311" s="371"/>
      <c r="I311" s="371"/>
      <c r="J311" s="371"/>
      <c r="K311" s="371"/>
      <c r="L311" s="371"/>
      <c r="M311" s="371"/>
      <c r="N311" s="371"/>
      <c r="O311" s="371"/>
      <c r="P311" s="371"/>
      <c r="Q311" s="371"/>
      <c r="R311" s="371"/>
      <c r="S311" s="371"/>
      <c r="T311" s="371"/>
      <c r="U311" s="371"/>
      <c r="V311" s="371"/>
      <c r="W311" s="371"/>
      <c r="X311" s="371"/>
      <c r="Y311" s="371"/>
    </row>
    <row r="312" ht="28.5" customHeight="1">
      <c r="A312" s="371"/>
      <c r="B312" s="307"/>
      <c r="C312" s="307"/>
      <c r="D312" s="307"/>
      <c r="E312" s="307"/>
      <c r="F312" s="307"/>
      <c r="G312" s="307"/>
      <c r="H312" s="371"/>
      <c r="I312" s="371"/>
      <c r="J312" s="371"/>
      <c r="K312" s="371"/>
      <c r="L312" s="371"/>
      <c r="M312" s="371"/>
      <c r="N312" s="371"/>
      <c r="O312" s="371"/>
      <c r="P312" s="371"/>
      <c r="Q312" s="371"/>
      <c r="R312" s="371"/>
      <c r="S312" s="371"/>
      <c r="T312" s="371"/>
      <c r="U312" s="371"/>
      <c r="V312" s="371"/>
      <c r="W312" s="371"/>
      <c r="X312" s="371"/>
      <c r="Y312" s="371"/>
    </row>
    <row r="313" ht="28.5" customHeight="1">
      <c r="A313" s="371"/>
      <c r="B313" s="307"/>
      <c r="C313" s="307"/>
      <c r="D313" s="307"/>
      <c r="E313" s="307"/>
      <c r="F313" s="307"/>
      <c r="G313" s="307"/>
      <c r="H313" s="371"/>
      <c r="I313" s="371"/>
      <c r="J313" s="371"/>
      <c r="K313" s="371"/>
      <c r="L313" s="371"/>
      <c r="M313" s="371"/>
      <c r="N313" s="371"/>
      <c r="O313" s="371"/>
      <c r="P313" s="371"/>
      <c r="Q313" s="371"/>
      <c r="R313" s="371"/>
      <c r="S313" s="371"/>
      <c r="T313" s="371"/>
      <c r="U313" s="371"/>
      <c r="V313" s="371"/>
      <c r="W313" s="371"/>
      <c r="X313" s="371"/>
      <c r="Y313" s="371"/>
    </row>
    <row r="314" ht="28.5" customHeight="1">
      <c r="A314" s="371"/>
      <c r="B314" s="307"/>
      <c r="C314" s="307"/>
      <c r="D314" s="307"/>
      <c r="E314" s="307"/>
      <c r="F314" s="307"/>
      <c r="G314" s="307"/>
      <c r="H314" s="371"/>
      <c r="I314" s="371"/>
      <c r="J314" s="371"/>
      <c r="K314" s="371"/>
      <c r="L314" s="371"/>
      <c r="M314" s="371"/>
      <c r="N314" s="371"/>
      <c r="O314" s="371"/>
      <c r="P314" s="371"/>
      <c r="Q314" s="371"/>
      <c r="R314" s="371"/>
      <c r="S314" s="371"/>
      <c r="T314" s="371"/>
      <c r="U314" s="371"/>
      <c r="V314" s="371"/>
      <c r="W314" s="371"/>
      <c r="X314" s="371"/>
      <c r="Y314" s="371"/>
    </row>
    <row r="315" ht="28.5" customHeight="1">
      <c r="A315" s="371"/>
      <c r="B315" s="307"/>
      <c r="C315" s="307"/>
      <c r="D315" s="307"/>
      <c r="E315" s="307"/>
      <c r="F315" s="307"/>
      <c r="G315" s="307"/>
      <c r="H315" s="371"/>
      <c r="I315" s="371"/>
      <c r="J315" s="371"/>
      <c r="K315" s="371"/>
      <c r="L315" s="371"/>
      <c r="M315" s="371"/>
      <c r="N315" s="371"/>
      <c r="O315" s="371"/>
      <c r="P315" s="371"/>
      <c r="Q315" s="371"/>
      <c r="R315" s="371"/>
      <c r="S315" s="371"/>
      <c r="T315" s="371"/>
      <c r="U315" s="371"/>
      <c r="V315" s="371"/>
      <c r="W315" s="371"/>
      <c r="X315" s="371"/>
      <c r="Y315" s="371"/>
    </row>
    <row r="316" ht="28.5" customHeight="1">
      <c r="A316" s="371"/>
      <c r="B316" s="307"/>
      <c r="C316" s="307"/>
      <c r="D316" s="307"/>
      <c r="E316" s="307"/>
      <c r="F316" s="307"/>
      <c r="G316" s="307"/>
      <c r="H316" s="371"/>
      <c r="I316" s="371"/>
      <c r="J316" s="371"/>
      <c r="K316" s="371"/>
      <c r="L316" s="371"/>
      <c r="M316" s="371"/>
      <c r="N316" s="371"/>
      <c r="O316" s="371"/>
      <c r="P316" s="371"/>
      <c r="Q316" s="371"/>
      <c r="R316" s="371"/>
      <c r="S316" s="371"/>
      <c r="T316" s="371"/>
      <c r="U316" s="371"/>
      <c r="V316" s="371"/>
      <c r="W316" s="371"/>
      <c r="X316" s="371"/>
      <c r="Y316" s="371"/>
    </row>
    <row r="317" ht="28.5" customHeight="1">
      <c r="A317" s="371"/>
      <c r="B317" s="307"/>
      <c r="C317" s="307"/>
      <c r="D317" s="307"/>
      <c r="E317" s="307"/>
      <c r="F317" s="307"/>
      <c r="G317" s="307"/>
      <c r="H317" s="371"/>
      <c r="I317" s="371"/>
      <c r="J317" s="371"/>
      <c r="K317" s="371"/>
      <c r="L317" s="371"/>
      <c r="M317" s="371"/>
      <c r="N317" s="371"/>
      <c r="O317" s="371"/>
      <c r="P317" s="371"/>
      <c r="Q317" s="371"/>
      <c r="R317" s="371"/>
      <c r="S317" s="371"/>
      <c r="T317" s="371"/>
      <c r="U317" s="371"/>
      <c r="V317" s="371"/>
      <c r="W317" s="371"/>
      <c r="X317" s="371"/>
      <c r="Y317" s="371"/>
    </row>
    <row r="318" ht="28.5" customHeight="1">
      <c r="A318" s="371"/>
      <c r="B318" s="307"/>
      <c r="C318" s="307"/>
      <c r="D318" s="307"/>
      <c r="E318" s="307"/>
      <c r="F318" s="307"/>
      <c r="G318" s="307"/>
      <c r="H318" s="371"/>
      <c r="I318" s="371"/>
      <c r="J318" s="371"/>
      <c r="K318" s="371"/>
      <c r="L318" s="371"/>
      <c r="M318" s="371"/>
      <c r="N318" s="371"/>
      <c r="O318" s="371"/>
      <c r="P318" s="371"/>
      <c r="Q318" s="371"/>
      <c r="R318" s="371"/>
      <c r="S318" s="371"/>
      <c r="T318" s="371"/>
      <c r="U318" s="371"/>
      <c r="V318" s="371"/>
      <c r="W318" s="371"/>
      <c r="X318" s="371"/>
      <c r="Y318" s="371"/>
    </row>
    <row r="319" ht="28.5" customHeight="1">
      <c r="A319" s="371"/>
      <c r="B319" s="307"/>
      <c r="C319" s="307"/>
      <c r="D319" s="307"/>
      <c r="E319" s="307"/>
      <c r="F319" s="307"/>
      <c r="G319" s="307"/>
      <c r="H319" s="371"/>
      <c r="I319" s="371"/>
      <c r="J319" s="371"/>
      <c r="K319" s="371"/>
      <c r="L319" s="371"/>
      <c r="M319" s="371"/>
      <c r="N319" s="371"/>
      <c r="O319" s="371"/>
      <c r="P319" s="371"/>
      <c r="Q319" s="371"/>
      <c r="R319" s="371"/>
      <c r="S319" s="371"/>
      <c r="T319" s="371"/>
      <c r="U319" s="371"/>
      <c r="V319" s="371"/>
      <c r="W319" s="371"/>
      <c r="X319" s="371"/>
      <c r="Y319" s="371"/>
    </row>
    <row r="320" ht="28.5" customHeight="1">
      <c r="A320" s="371"/>
      <c r="B320" s="307"/>
      <c r="C320" s="307"/>
      <c r="D320" s="307"/>
      <c r="E320" s="307"/>
      <c r="F320" s="307"/>
      <c r="G320" s="307"/>
      <c r="H320" s="371"/>
      <c r="I320" s="371"/>
      <c r="J320" s="371"/>
      <c r="K320" s="371"/>
      <c r="L320" s="371"/>
      <c r="M320" s="371"/>
      <c r="N320" s="371"/>
      <c r="O320" s="371"/>
      <c r="P320" s="371"/>
      <c r="Q320" s="371"/>
      <c r="R320" s="371"/>
      <c r="S320" s="371"/>
      <c r="T320" s="371"/>
      <c r="U320" s="371"/>
      <c r="V320" s="371"/>
      <c r="W320" s="371"/>
      <c r="X320" s="371"/>
      <c r="Y320" s="371"/>
    </row>
    <row r="321" ht="28.5" customHeight="1">
      <c r="A321" s="371"/>
      <c r="B321" s="307"/>
      <c r="C321" s="307"/>
      <c r="D321" s="307"/>
      <c r="E321" s="307"/>
      <c r="F321" s="307"/>
      <c r="G321" s="307"/>
      <c r="H321" s="371"/>
      <c r="I321" s="371"/>
      <c r="J321" s="371"/>
      <c r="K321" s="371"/>
      <c r="L321" s="371"/>
      <c r="M321" s="371"/>
      <c r="N321" s="371"/>
      <c r="O321" s="371"/>
      <c r="P321" s="371"/>
      <c r="Q321" s="371"/>
      <c r="R321" s="371"/>
      <c r="S321" s="371"/>
      <c r="T321" s="371"/>
      <c r="U321" s="371"/>
      <c r="V321" s="371"/>
      <c r="W321" s="371"/>
      <c r="X321" s="371"/>
      <c r="Y321" s="371"/>
    </row>
    <row r="322" ht="28.5" customHeight="1">
      <c r="A322" s="371"/>
      <c r="B322" s="307"/>
      <c r="C322" s="307"/>
      <c r="D322" s="307"/>
      <c r="E322" s="307"/>
      <c r="F322" s="307"/>
      <c r="G322" s="307"/>
      <c r="H322" s="371"/>
      <c r="I322" s="371"/>
      <c r="J322" s="371"/>
      <c r="K322" s="371"/>
      <c r="L322" s="371"/>
      <c r="M322" s="371"/>
      <c r="N322" s="371"/>
      <c r="O322" s="371"/>
      <c r="P322" s="371"/>
      <c r="Q322" s="371"/>
      <c r="R322" s="371"/>
      <c r="S322" s="371"/>
      <c r="T322" s="371"/>
      <c r="U322" s="371"/>
      <c r="V322" s="371"/>
      <c r="W322" s="371"/>
      <c r="X322" s="371"/>
      <c r="Y322" s="371"/>
    </row>
    <row r="323" ht="28.5" customHeight="1">
      <c r="A323" s="371"/>
      <c r="B323" s="307"/>
      <c r="C323" s="307"/>
      <c r="D323" s="307"/>
      <c r="E323" s="307"/>
      <c r="F323" s="307"/>
      <c r="G323" s="307"/>
      <c r="H323" s="371"/>
      <c r="I323" s="371"/>
      <c r="J323" s="371"/>
      <c r="K323" s="371"/>
      <c r="L323" s="371"/>
      <c r="M323" s="371"/>
      <c r="N323" s="371"/>
      <c r="O323" s="371"/>
      <c r="P323" s="371"/>
      <c r="Q323" s="371"/>
      <c r="R323" s="371"/>
      <c r="S323" s="371"/>
      <c r="T323" s="371"/>
      <c r="U323" s="371"/>
      <c r="V323" s="371"/>
      <c r="W323" s="371"/>
      <c r="X323" s="371"/>
      <c r="Y323" s="371"/>
    </row>
    <row r="324" ht="28.5" customHeight="1">
      <c r="A324" s="371"/>
      <c r="B324" s="307"/>
      <c r="C324" s="307"/>
      <c r="D324" s="307"/>
      <c r="E324" s="307"/>
      <c r="F324" s="307"/>
      <c r="G324" s="307"/>
      <c r="H324" s="371"/>
      <c r="I324" s="371"/>
      <c r="J324" s="371"/>
      <c r="K324" s="371"/>
      <c r="L324" s="371"/>
      <c r="M324" s="371"/>
      <c r="N324" s="371"/>
      <c r="O324" s="371"/>
      <c r="P324" s="371"/>
      <c r="Q324" s="371"/>
      <c r="R324" s="371"/>
      <c r="S324" s="371"/>
      <c r="T324" s="371"/>
      <c r="U324" s="371"/>
      <c r="V324" s="371"/>
      <c r="W324" s="371"/>
      <c r="X324" s="371"/>
      <c r="Y324" s="371"/>
    </row>
    <row r="325" ht="28.5" customHeight="1">
      <c r="A325" s="371"/>
      <c r="B325" s="307"/>
      <c r="C325" s="307"/>
      <c r="D325" s="307"/>
      <c r="E325" s="307"/>
      <c r="F325" s="307"/>
      <c r="G325" s="307"/>
      <c r="H325" s="371"/>
      <c r="I325" s="371"/>
      <c r="J325" s="371"/>
      <c r="K325" s="371"/>
      <c r="L325" s="371"/>
      <c r="M325" s="371"/>
      <c r="N325" s="371"/>
      <c r="O325" s="371"/>
      <c r="P325" s="371"/>
      <c r="Q325" s="371"/>
      <c r="R325" s="371"/>
      <c r="S325" s="371"/>
      <c r="T325" s="371"/>
      <c r="U325" s="371"/>
      <c r="V325" s="371"/>
      <c r="W325" s="371"/>
      <c r="X325" s="371"/>
      <c r="Y325" s="371"/>
    </row>
    <row r="326" ht="28.5" customHeight="1">
      <c r="A326" s="371"/>
      <c r="B326" s="307"/>
      <c r="C326" s="307"/>
      <c r="D326" s="307"/>
      <c r="E326" s="307"/>
      <c r="F326" s="307"/>
      <c r="G326" s="307"/>
      <c r="H326" s="371"/>
      <c r="I326" s="371"/>
      <c r="J326" s="371"/>
      <c r="K326" s="371"/>
      <c r="L326" s="371"/>
      <c r="M326" s="371"/>
      <c r="N326" s="371"/>
      <c r="O326" s="371"/>
      <c r="P326" s="371"/>
      <c r="Q326" s="371"/>
      <c r="R326" s="371"/>
      <c r="S326" s="371"/>
      <c r="T326" s="371"/>
      <c r="U326" s="371"/>
      <c r="V326" s="371"/>
      <c r="W326" s="371"/>
      <c r="X326" s="371"/>
      <c r="Y326" s="371"/>
    </row>
    <row r="327" ht="28.5" customHeight="1">
      <c r="A327" s="371"/>
      <c r="B327" s="307"/>
      <c r="C327" s="307"/>
      <c r="D327" s="307"/>
      <c r="E327" s="307"/>
      <c r="F327" s="307"/>
      <c r="G327" s="307"/>
      <c r="H327" s="371"/>
      <c r="I327" s="371"/>
      <c r="J327" s="371"/>
      <c r="K327" s="371"/>
      <c r="L327" s="371"/>
      <c r="M327" s="371"/>
      <c r="N327" s="371"/>
      <c r="O327" s="371"/>
      <c r="P327" s="371"/>
      <c r="Q327" s="371"/>
      <c r="R327" s="371"/>
      <c r="S327" s="371"/>
      <c r="T327" s="371"/>
      <c r="U327" s="371"/>
      <c r="V327" s="371"/>
      <c r="W327" s="371"/>
      <c r="X327" s="371"/>
      <c r="Y327" s="371"/>
    </row>
    <row r="328" ht="28.5" customHeight="1">
      <c r="A328" s="371"/>
      <c r="B328" s="307"/>
      <c r="C328" s="307"/>
      <c r="D328" s="307"/>
      <c r="E328" s="307"/>
      <c r="F328" s="307"/>
      <c r="G328" s="307"/>
      <c r="H328" s="371"/>
      <c r="I328" s="371"/>
      <c r="J328" s="371"/>
      <c r="K328" s="371"/>
      <c r="L328" s="371"/>
      <c r="M328" s="371"/>
      <c r="N328" s="371"/>
      <c r="O328" s="371"/>
      <c r="P328" s="371"/>
      <c r="Q328" s="371"/>
      <c r="R328" s="371"/>
      <c r="S328" s="371"/>
      <c r="T328" s="371"/>
      <c r="U328" s="371"/>
      <c r="V328" s="371"/>
      <c r="W328" s="371"/>
      <c r="X328" s="371"/>
      <c r="Y328" s="371"/>
    </row>
    <row r="329" ht="28.5" customHeight="1">
      <c r="A329" s="371"/>
      <c r="B329" s="307"/>
      <c r="C329" s="307"/>
      <c r="D329" s="307"/>
      <c r="E329" s="307"/>
      <c r="F329" s="307"/>
      <c r="G329" s="307"/>
      <c r="H329" s="371"/>
      <c r="I329" s="371"/>
      <c r="J329" s="371"/>
      <c r="K329" s="371"/>
      <c r="L329" s="371"/>
      <c r="M329" s="371"/>
      <c r="N329" s="371"/>
      <c r="O329" s="371"/>
      <c r="P329" s="371"/>
      <c r="Q329" s="371"/>
      <c r="R329" s="371"/>
      <c r="S329" s="371"/>
      <c r="T329" s="371"/>
      <c r="U329" s="371"/>
      <c r="V329" s="371"/>
      <c r="W329" s="371"/>
      <c r="X329" s="371"/>
      <c r="Y329" s="371"/>
    </row>
    <row r="330" ht="28.5" customHeight="1">
      <c r="A330" s="371"/>
      <c r="B330" s="307"/>
      <c r="C330" s="307"/>
      <c r="D330" s="307"/>
      <c r="E330" s="307"/>
      <c r="F330" s="307"/>
      <c r="G330" s="307"/>
      <c r="H330" s="371"/>
      <c r="I330" s="371"/>
      <c r="J330" s="371"/>
      <c r="K330" s="371"/>
      <c r="L330" s="371"/>
      <c r="M330" s="371"/>
      <c r="N330" s="371"/>
      <c r="O330" s="371"/>
      <c r="P330" s="371"/>
      <c r="Q330" s="371"/>
      <c r="R330" s="371"/>
      <c r="S330" s="371"/>
      <c r="T330" s="371"/>
      <c r="U330" s="371"/>
      <c r="V330" s="371"/>
      <c r="W330" s="371"/>
      <c r="X330" s="371"/>
      <c r="Y330" s="371"/>
    </row>
    <row r="331" ht="28.5" customHeight="1">
      <c r="A331" s="371"/>
      <c r="B331" s="307"/>
      <c r="C331" s="307"/>
      <c r="D331" s="307"/>
      <c r="E331" s="307"/>
      <c r="F331" s="307"/>
      <c r="G331" s="307"/>
      <c r="H331" s="371"/>
      <c r="I331" s="371"/>
      <c r="J331" s="371"/>
      <c r="K331" s="371"/>
      <c r="L331" s="371"/>
      <c r="M331" s="371"/>
      <c r="N331" s="371"/>
      <c r="O331" s="371"/>
      <c r="P331" s="371"/>
      <c r="Q331" s="371"/>
      <c r="R331" s="371"/>
      <c r="S331" s="371"/>
      <c r="T331" s="371"/>
      <c r="U331" s="371"/>
      <c r="V331" s="371"/>
      <c r="W331" s="371"/>
      <c r="X331" s="371"/>
      <c r="Y331" s="371"/>
    </row>
    <row r="332" ht="28.5" customHeight="1">
      <c r="A332" s="371"/>
      <c r="B332" s="307"/>
      <c r="C332" s="307"/>
      <c r="D332" s="307"/>
      <c r="E332" s="307"/>
      <c r="F332" s="307"/>
      <c r="G332" s="307"/>
      <c r="H332" s="371"/>
      <c r="I332" s="371"/>
      <c r="J332" s="371"/>
      <c r="K332" s="371"/>
      <c r="L332" s="371"/>
      <c r="M332" s="371"/>
      <c r="N332" s="371"/>
      <c r="O332" s="371"/>
      <c r="P332" s="371"/>
      <c r="Q332" s="371"/>
      <c r="R332" s="371"/>
      <c r="S332" s="371"/>
      <c r="T332" s="371"/>
      <c r="U332" s="371"/>
      <c r="V332" s="371"/>
      <c r="W332" s="371"/>
      <c r="X332" s="371"/>
      <c r="Y332" s="371"/>
    </row>
    <row r="333" ht="28.5" customHeight="1">
      <c r="A333" s="371"/>
      <c r="B333" s="307"/>
      <c r="C333" s="307"/>
      <c r="D333" s="307"/>
      <c r="E333" s="307"/>
      <c r="F333" s="307"/>
      <c r="G333" s="307"/>
      <c r="H333" s="371"/>
      <c r="I333" s="371"/>
      <c r="J333" s="371"/>
      <c r="K333" s="371"/>
      <c r="L333" s="371"/>
      <c r="M333" s="371"/>
      <c r="N333" s="371"/>
      <c r="O333" s="371"/>
      <c r="P333" s="371"/>
      <c r="Q333" s="371"/>
      <c r="R333" s="371"/>
      <c r="S333" s="371"/>
      <c r="T333" s="371"/>
      <c r="U333" s="371"/>
      <c r="V333" s="371"/>
      <c r="W333" s="371"/>
      <c r="X333" s="371"/>
      <c r="Y333" s="371"/>
    </row>
    <row r="334" ht="28.5" customHeight="1">
      <c r="A334" s="371"/>
      <c r="B334" s="307"/>
      <c r="C334" s="307"/>
      <c r="D334" s="307"/>
      <c r="E334" s="307"/>
      <c r="F334" s="307"/>
      <c r="G334" s="307"/>
      <c r="H334" s="371"/>
      <c r="I334" s="371"/>
      <c r="J334" s="371"/>
      <c r="K334" s="371"/>
      <c r="L334" s="371"/>
      <c r="M334" s="371"/>
      <c r="N334" s="371"/>
      <c r="O334" s="371"/>
      <c r="P334" s="371"/>
      <c r="Q334" s="371"/>
      <c r="R334" s="371"/>
      <c r="S334" s="371"/>
      <c r="T334" s="371"/>
      <c r="U334" s="371"/>
      <c r="V334" s="371"/>
      <c r="W334" s="371"/>
      <c r="X334" s="371"/>
      <c r="Y334" s="371"/>
    </row>
    <row r="335" ht="28.5" customHeight="1">
      <c r="A335" s="371"/>
      <c r="B335" s="307"/>
      <c r="C335" s="307"/>
      <c r="D335" s="307"/>
      <c r="E335" s="307"/>
      <c r="F335" s="307"/>
      <c r="G335" s="307"/>
      <c r="H335" s="371"/>
      <c r="I335" s="371"/>
      <c r="J335" s="371"/>
      <c r="K335" s="371"/>
      <c r="L335" s="371"/>
      <c r="M335" s="371"/>
      <c r="N335" s="371"/>
      <c r="O335" s="371"/>
      <c r="P335" s="371"/>
      <c r="Q335" s="371"/>
      <c r="R335" s="371"/>
      <c r="S335" s="371"/>
      <c r="T335" s="371"/>
      <c r="U335" s="371"/>
      <c r="V335" s="371"/>
      <c r="W335" s="371"/>
      <c r="X335" s="371"/>
      <c r="Y335" s="371"/>
    </row>
    <row r="336" ht="28.5" customHeight="1">
      <c r="A336" s="371"/>
      <c r="B336" s="307"/>
      <c r="C336" s="307"/>
      <c r="D336" s="307"/>
      <c r="E336" s="307"/>
      <c r="F336" s="307"/>
      <c r="G336" s="307"/>
      <c r="H336" s="371"/>
      <c r="I336" s="371"/>
      <c r="J336" s="371"/>
      <c r="K336" s="371"/>
      <c r="L336" s="371"/>
      <c r="M336" s="371"/>
      <c r="N336" s="371"/>
      <c r="O336" s="371"/>
      <c r="P336" s="371"/>
      <c r="Q336" s="371"/>
      <c r="R336" s="371"/>
      <c r="S336" s="371"/>
      <c r="T336" s="371"/>
      <c r="U336" s="371"/>
      <c r="V336" s="371"/>
      <c r="W336" s="371"/>
      <c r="X336" s="371"/>
      <c r="Y336" s="371"/>
    </row>
    <row r="337" ht="28.5" customHeight="1">
      <c r="A337" s="371"/>
      <c r="B337" s="307"/>
      <c r="C337" s="307"/>
      <c r="D337" s="307"/>
      <c r="E337" s="307"/>
      <c r="F337" s="307"/>
      <c r="G337" s="307"/>
      <c r="H337" s="371"/>
      <c r="I337" s="371"/>
      <c r="J337" s="371"/>
      <c r="K337" s="371"/>
      <c r="L337" s="371"/>
      <c r="M337" s="371"/>
      <c r="N337" s="371"/>
      <c r="O337" s="371"/>
      <c r="P337" s="371"/>
      <c r="Q337" s="371"/>
      <c r="R337" s="371"/>
      <c r="S337" s="371"/>
      <c r="T337" s="371"/>
      <c r="U337" s="371"/>
      <c r="V337" s="371"/>
      <c r="W337" s="371"/>
      <c r="X337" s="371"/>
      <c r="Y337" s="371"/>
    </row>
    <row r="338" ht="28.5" customHeight="1">
      <c r="A338" s="371"/>
      <c r="B338" s="307"/>
      <c r="C338" s="307"/>
      <c r="D338" s="307"/>
      <c r="E338" s="307"/>
      <c r="F338" s="307"/>
      <c r="G338" s="307"/>
      <c r="H338" s="371"/>
      <c r="I338" s="371"/>
      <c r="J338" s="371"/>
      <c r="K338" s="371"/>
      <c r="L338" s="371"/>
      <c r="M338" s="371"/>
      <c r="N338" s="371"/>
      <c r="O338" s="371"/>
      <c r="P338" s="371"/>
      <c r="Q338" s="371"/>
      <c r="R338" s="371"/>
      <c r="S338" s="371"/>
      <c r="T338" s="371"/>
      <c r="U338" s="371"/>
      <c r="V338" s="371"/>
      <c r="W338" s="371"/>
      <c r="X338" s="371"/>
      <c r="Y338" s="371"/>
    </row>
    <row r="339" ht="28.5" customHeight="1">
      <c r="A339" s="371"/>
      <c r="B339" s="307"/>
      <c r="C339" s="307"/>
      <c r="D339" s="307"/>
      <c r="E339" s="307"/>
      <c r="F339" s="307"/>
      <c r="G339" s="307"/>
      <c r="H339" s="371"/>
      <c r="I339" s="371"/>
      <c r="J339" s="371"/>
      <c r="K339" s="371"/>
      <c r="L339" s="371"/>
      <c r="M339" s="371"/>
      <c r="N339" s="371"/>
      <c r="O339" s="371"/>
      <c r="P339" s="371"/>
      <c r="Q339" s="371"/>
      <c r="R339" s="371"/>
      <c r="S339" s="371"/>
      <c r="T339" s="371"/>
      <c r="U339" s="371"/>
      <c r="V339" s="371"/>
      <c r="W339" s="371"/>
      <c r="X339" s="371"/>
      <c r="Y339" s="371"/>
    </row>
    <row r="340" ht="28.5" customHeight="1">
      <c r="A340" s="371"/>
      <c r="B340" s="307"/>
      <c r="C340" s="307"/>
      <c r="D340" s="307"/>
      <c r="E340" s="307"/>
      <c r="F340" s="307"/>
      <c r="G340" s="307"/>
      <c r="H340" s="371"/>
      <c r="I340" s="371"/>
      <c r="J340" s="371"/>
      <c r="K340" s="371"/>
      <c r="L340" s="371"/>
      <c r="M340" s="371"/>
      <c r="N340" s="371"/>
      <c r="O340" s="371"/>
      <c r="P340" s="371"/>
      <c r="Q340" s="371"/>
      <c r="R340" s="371"/>
      <c r="S340" s="371"/>
      <c r="T340" s="371"/>
      <c r="U340" s="371"/>
      <c r="V340" s="371"/>
      <c r="W340" s="371"/>
      <c r="X340" s="371"/>
      <c r="Y340" s="371"/>
    </row>
    <row r="341" ht="28.5" customHeight="1">
      <c r="A341" s="371"/>
      <c r="B341" s="307"/>
      <c r="C341" s="307"/>
      <c r="D341" s="307"/>
      <c r="E341" s="307"/>
      <c r="F341" s="307"/>
      <c r="G341" s="307"/>
      <c r="H341" s="371"/>
      <c r="I341" s="371"/>
      <c r="J341" s="371"/>
      <c r="K341" s="371"/>
      <c r="L341" s="371"/>
      <c r="M341" s="371"/>
      <c r="N341" s="371"/>
      <c r="O341" s="371"/>
      <c r="P341" s="371"/>
      <c r="Q341" s="371"/>
      <c r="R341" s="371"/>
      <c r="S341" s="371"/>
      <c r="T341" s="371"/>
      <c r="U341" s="371"/>
      <c r="V341" s="371"/>
      <c r="W341" s="371"/>
      <c r="X341" s="371"/>
      <c r="Y341" s="371"/>
    </row>
    <row r="342" ht="28.5" customHeight="1">
      <c r="A342" s="371"/>
      <c r="B342" s="307"/>
      <c r="C342" s="307"/>
      <c r="D342" s="307"/>
      <c r="E342" s="307"/>
      <c r="F342" s="307"/>
      <c r="G342" s="307"/>
      <c r="H342" s="371"/>
      <c r="I342" s="371"/>
      <c r="J342" s="371"/>
      <c r="K342" s="371"/>
      <c r="L342" s="371"/>
      <c r="M342" s="371"/>
      <c r="N342" s="371"/>
      <c r="O342" s="371"/>
      <c r="P342" s="371"/>
      <c r="Q342" s="371"/>
      <c r="R342" s="371"/>
      <c r="S342" s="371"/>
      <c r="T342" s="371"/>
      <c r="U342" s="371"/>
      <c r="V342" s="371"/>
      <c r="W342" s="371"/>
      <c r="X342" s="371"/>
      <c r="Y342" s="371"/>
    </row>
    <row r="343" ht="28.5" customHeight="1">
      <c r="A343" s="371"/>
      <c r="B343" s="307"/>
      <c r="C343" s="307"/>
      <c r="D343" s="307"/>
      <c r="E343" s="307"/>
      <c r="F343" s="307"/>
      <c r="G343" s="307"/>
      <c r="H343" s="371"/>
      <c r="I343" s="371"/>
      <c r="J343" s="371"/>
      <c r="K343" s="371"/>
      <c r="L343" s="371"/>
      <c r="M343" s="371"/>
      <c r="N343" s="371"/>
      <c r="O343" s="371"/>
      <c r="P343" s="371"/>
      <c r="Q343" s="371"/>
      <c r="R343" s="371"/>
      <c r="S343" s="371"/>
      <c r="T343" s="371"/>
      <c r="U343" s="371"/>
      <c r="V343" s="371"/>
      <c r="W343" s="371"/>
      <c r="X343" s="371"/>
      <c r="Y343" s="371"/>
    </row>
    <row r="344" ht="28.5" customHeight="1">
      <c r="A344" s="371"/>
      <c r="B344" s="307"/>
      <c r="C344" s="307"/>
      <c r="D344" s="307"/>
      <c r="E344" s="307"/>
      <c r="F344" s="307"/>
      <c r="G344" s="307"/>
      <c r="H344" s="371"/>
      <c r="I344" s="371"/>
      <c r="J344" s="371"/>
      <c r="K344" s="371"/>
      <c r="L344" s="371"/>
      <c r="M344" s="371"/>
      <c r="N344" s="371"/>
      <c r="O344" s="371"/>
      <c r="P344" s="371"/>
      <c r="Q344" s="371"/>
      <c r="R344" s="371"/>
      <c r="S344" s="371"/>
      <c r="T344" s="371"/>
      <c r="U344" s="371"/>
      <c r="V344" s="371"/>
      <c r="W344" s="371"/>
      <c r="X344" s="371"/>
      <c r="Y344" s="371"/>
    </row>
    <row r="345" ht="28.5" customHeight="1">
      <c r="A345" s="371"/>
      <c r="B345" s="307"/>
      <c r="C345" s="307"/>
      <c r="D345" s="307"/>
      <c r="E345" s="307"/>
      <c r="F345" s="307"/>
      <c r="G345" s="307"/>
      <c r="H345" s="371"/>
      <c r="I345" s="371"/>
      <c r="J345" s="371"/>
      <c r="K345" s="371"/>
      <c r="L345" s="371"/>
      <c r="M345" s="371"/>
      <c r="N345" s="371"/>
      <c r="O345" s="371"/>
      <c r="P345" s="371"/>
      <c r="Q345" s="371"/>
      <c r="R345" s="371"/>
      <c r="S345" s="371"/>
      <c r="T345" s="371"/>
      <c r="U345" s="371"/>
      <c r="V345" s="371"/>
      <c r="W345" s="371"/>
      <c r="X345" s="371"/>
      <c r="Y345" s="371"/>
    </row>
    <row r="346" ht="28.5" customHeight="1">
      <c r="A346" s="371"/>
      <c r="B346" s="307"/>
      <c r="C346" s="307"/>
      <c r="D346" s="307"/>
      <c r="E346" s="307"/>
      <c r="F346" s="307"/>
      <c r="G346" s="307"/>
      <c r="H346" s="371"/>
      <c r="I346" s="371"/>
      <c r="J346" s="371"/>
      <c r="K346" s="371"/>
      <c r="L346" s="371"/>
      <c r="M346" s="371"/>
      <c r="N346" s="371"/>
      <c r="O346" s="371"/>
      <c r="P346" s="371"/>
      <c r="Q346" s="371"/>
      <c r="R346" s="371"/>
      <c r="S346" s="371"/>
      <c r="T346" s="371"/>
      <c r="U346" s="371"/>
      <c r="V346" s="371"/>
      <c r="W346" s="371"/>
      <c r="X346" s="371"/>
      <c r="Y346" s="371"/>
    </row>
    <row r="347" ht="28.5" customHeight="1">
      <c r="A347" s="371"/>
      <c r="B347" s="307"/>
      <c r="C347" s="307"/>
      <c r="D347" s="307"/>
      <c r="E347" s="307"/>
      <c r="F347" s="307"/>
      <c r="G347" s="307"/>
      <c r="H347" s="371"/>
      <c r="I347" s="371"/>
      <c r="J347" s="371"/>
      <c r="K347" s="371"/>
      <c r="L347" s="371"/>
      <c r="M347" s="371"/>
      <c r="N347" s="371"/>
      <c r="O347" s="371"/>
      <c r="P347" s="371"/>
      <c r="Q347" s="371"/>
      <c r="R347" s="371"/>
      <c r="S347" s="371"/>
      <c r="T347" s="371"/>
      <c r="U347" s="371"/>
      <c r="V347" s="371"/>
      <c r="W347" s="371"/>
      <c r="X347" s="371"/>
      <c r="Y347" s="371"/>
    </row>
    <row r="348" ht="28.5" customHeight="1">
      <c r="A348" s="371"/>
      <c r="B348" s="307"/>
      <c r="C348" s="307"/>
      <c r="D348" s="307"/>
      <c r="E348" s="307"/>
      <c r="F348" s="307"/>
      <c r="G348" s="307"/>
      <c r="H348" s="371"/>
      <c r="I348" s="371"/>
      <c r="J348" s="371"/>
      <c r="K348" s="371"/>
      <c r="L348" s="371"/>
      <c r="M348" s="371"/>
      <c r="N348" s="371"/>
      <c r="O348" s="371"/>
      <c r="P348" s="371"/>
      <c r="Q348" s="371"/>
      <c r="R348" s="371"/>
      <c r="S348" s="371"/>
      <c r="T348" s="371"/>
      <c r="U348" s="371"/>
      <c r="V348" s="371"/>
      <c r="W348" s="371"/>
      <c r="X348" s="371"/>
      <c r="Y348" s="371"/>
    </row>
    <row r="349" ht="28.5" customHeight="1">
      <c r="A349" s="371"/>
      <c r="B349" s="307"/>
      <c r="C349" s="307"/>
      <c r="D349" s="307"/>
      <c r="E349" s="307"/>
      <c r="F349" s="307"/>
      <c r="G349" s="307"/>
      <c r="H349" s="371"/>
      <c r="I349" s="371"/>
      <c r="J349" s="371"/>
      <c r="K349" s="371"/>
      <c r="L349" s="371"/>
      <c r="M349" s="371"/>
      <c r="N349" s="371"/>
      <c r="O349" s="371"/>
      <c r="P349" s="371"/>
      <c r="Q349" s="371"/>
      <c r="R349" s="371"/>
      <c r="S349" s="371"/>
      <c r="T349" s="371"/>
      <c r="U349" s="371"/>
      <c r="V349" s="371"/>
      <c r="W349" s="371"/>
      <c r="X349" s="371"/>
      <c r="Y349" s="371"/>
    </row>
    <row r="350" ht="28.5" customHeight="1">
      <c r="A350" s="371"/>
      <c r="B350" s="307"/>
      <c r="C350" s="307"/>
      <c r="D350" s="307"/>
      <c r="E350" s="307"/>
      <c r="F350" s="307"/>
      <c r="G350" s="307"/>
      <c r="H350" s="371"/>
      <c r="I350" s="371"/>
      <c r="J350" s="371"/>
      <c r="K350" s="371"/>
      <c r="L350" s="371"/>
      <c r="M350" s="371"/>
      <c r="N350" s="371"/>
      <c r="O350" s="371"/>
      <c r="P350" s="371"/>
      <c r="Q350" s="371"/>
      <c r="R350" s="371"/>
      <c r="S350" s="371"/>
      <c r="T350" s="371"/>
      <c r="U350" s="371"/>
      <c r="V350" s="371"/>
      <c r="W350" s="371"/>
      <c r="X350" s="371"/>
      <c r="Y350" s="371"/>
    </row>
    <row r="351" ht="28.5" customHeight="1">
      <c r="A351" s="371"/>
      <c r="B351" s="307"/>
      <c r="C351" s="307"/>
      <c r="D351" s="307"/>
      <c r="E351" s="307"/>
      <c r="F351" s="307"/>
      <c r="G351" s="307"/>
      <c r="H351" s="371"/>
      <c r="I351" s="371"/>
      <c r="J351" s="371"/>
      <c r="K351" s="371"/>
      <c r="L351" s="371"/>
      <c r="M351" s="371"/>
      <c r="N351" s="371"/>
      <c r="O351" s="371"/>
      <c r="P351" s="371"/>
      <c r="Q351" s="371"/>
      <c r="R351" s="371"/>
      <c r="S351" s="371"/>
      <c r="T351" s="371"/>
      <c r="U351" s="371"/>
      <c r="V351" s="371"/>
      <c r="W351" s="371"/>
      <c r="X351" s="371"/>
      <c r="Y351" s="371"/>
    </row>
    <row r="352" ht="28.5" customHeight="1">
      <c r="A352" s="371"/>
      <c r="B352" s="307"/>
      <c r="C352" s="307"/>
      <c r="D352" s="307"/>
      <c r="E352" s="307"/>
      <c r="F352" s="307"/>
      <c r="G352" s="307"/>
      <c r="H352" s="371"/>
      <c r="I352" s="371"/>
      <c r="J352" s="371"/>
      <c r="K352" s="371"/>
      <c r="L352" s="371"/>
      <c r="M352" s="371"/>
      <c r="N352" s="371"/>
      <c r="O352" s="371"/>
      <c r="P352" s="371"/>
      <c r="Q352" s="371"/>
      <c r="R352" s="371"/>
      <c r="S352" s="371"/>
      <c r="T352" s="371"/>
      <c r="U352" s="371"/>
      <c r="V352" s="371"/>
      <c r="W352" s="371"/>
      <c r="X352" s="371"/>
      <c r="Y352" s="371"/>
    </row>
    <row r="353" ht="28.5" customHeight="1">
      <c r="A353" s="371"/>
      <c r="B353" s="307"/>
      <c r="C353" s="307"/>
      <c r="D353" s="307"/>
      <c r="E353" s="307"/>
      <c r="F353" s="307"/>
      <c r="G353" s="307"/>
      <c r="H353" s="371"/>
      <c r="I353" s="371"/>
      <c r="J353" s="371"/>
      <c r="K353" s="371"/>
      <c r="L353" s="371"/>
      <c r="M353" s="371"/>
      <c r="N353" s="371"/>
      <c r="O353" s="371"/>
      <c r="P353" s="371"/>
      <c r="Q353" s="371"/>
      <c r="R353" s="371"/>
      <c r="S353" s="371"/>
      <c r="T353" s="371"/>
      <c r="U353" s="371"/>
      <c r="V353" s="371"/>
      <c r="W353" s="371"/>
      <c r="X353" s="371"/>
      <c r="Y353" s="371"/>
    </row>
    <row r="354" ht="28.5" customHeight="1">
      <c r="A354" s="371"/>
      <c r="B354" s="307"/>
      <c r="C354" s="307"/>
      <c r="D354" s="307"/>
      <c r="E354" s="307"/>
      <c r="F354" s="307"/>
      <c r="G354" s="307"/>
      <c r="H354" s="371"/>
      <c r="I354" s="371"/>
      <c r="J354" s="371"/>
      <c r="K354" s="371"/>
      <c r="L354" s="371"/>
      <c r="M354" s="371"/>
      <c r="N354" s="371"/>
      <c r="O354" s="371"/>
      <c r="P354" s="371"/>
      <c r="Q354" s="371"/>
      <c r="R354" s="371"/>
      <c r="S354" s="371"/>
      <c r="T354" s="371"/>
      <c r="U354" s="371"/>
      <c r="V354" s="371"/>
      <c r="W354" s="371"/>
      <c r="X354" s="371"/>
      <c r="Y354" s="371"/>
    </row>
    <row r="355" ht="28.5" customHeight="1">
      <c r="A355" s="371"/>
      <c r="B355" s="307"/>
      <c r="C355" s="307"/>
      <c r="D355" s="307"/>
      <c r="E355" s="307"/>
      <c r="F355" s="307"/>
      <c r="G355" s="307"/>
      <c r="H355" s="371"/>
      <c r="I355" s="371"/>
      <c r="J355" s="371"/>
      <c r="K355" s="371"/>
      <c r="L355" s="371"/>
      <c r="M355" s="371"/>
      <c r="N355" s="371"/>
      <c r="O355" s="371"/>
      <c r="P355" s="371"/>
      <c r="Q355" s="371"/>
      <c r="R355" s="371"/>
      <c r="S355" s="371"/>
      <c r="T355" s="371"/>
      <c r="U355" s="371"/>
      <c r="V355" s="371"/>
      <c r="W355" s="371"/>
      <c r="X355" s="371"/>
      <c r="Y355" s="371"/>
    </row>
    <row r="356" ht="28.5" customHeight="1">
      <c r="A356" s="371"/>
      <c r="B356" s="307"/>
      <c r="C356" s="307"/>
      <c r="D356" s="307"/>
      <c r="E356" s="307"/>
      <c r="F356" s="307"/>
      <c r="G356" s="307"/>
      <c r="H356" s="371"/>
      <c r="I356" s="371"/>
      <c r="J356" s="371"/>
      <c r="K356" s="371"/>
      <c r="L356" s="371"/>
      <c r="M356" s="371"/>
      <c r="N356" s="371"/>
      <c r="O356" s="371"/>
      <c r="P356" s="371"/>
      <c r="Q356" s="371"/>
      <c r="R356" s="371"/>
      <c r="S356" s="371"/>
      <c r="T356" s="371"/>
      <c r="U356" s="371"/>
      <c r="V356" s="371"/>
      <c r="W356" s="371"/>
      <c r="X356" s="371"/>
      <c r="Y356" s="371"/>
    </row>
    <row r="357" ht="28.5" customHeight="1">
      <c r="A357" s="371"/>
      <c r="B357" s="307"/>
      <c r="C357" s="307"/>
      <c r="D357" s="307"/>
      <c r="E357" s="307"/>
      <c r="F357" s="307"/>
      <c r="G357" s="307"/>
      <c r="H357" s="371"/>
      <c r="I357" s="371"/>
      <c r="J357" s="371"/>
      <c r="K357" s="371"/>
      <c r="L357" s="371"/>
      <c r="M357" s="371"/>
      <c r="N357" s="371"/>
      <c r="O357" s="371"/>
      <c r="P357" s="371"/>
      <c r="Q357" s="371"/>
      <c r="R357" s="371"/>
      <c r="S357" s="371"/>
      <c r="T357" s="371"/>
      <c r="U357" s="371"/>
      <c r="V357" s="371"/>
      <c r="W357" s="371"/>
      <c r="X357" s="371"/>
      <c r="Y357" s="371"/>
    </row>
    <row r="358" ht="28.5" customHeight="1">
      <c r="A358" s="371"/>
      <c r="B358" s="307"/>
      <c r="C358" s="307"/>
      <c r="D358" s="307"/>
      <c r="E358" s="307"/>
      <c r="F358" s="307"/>
      <c r="G358" s="307"/>
      <c r="H358" s="371"/>
      <c r="I358" s="371"/>
      <c r="J358" s="371"/>
      <c r="K358" s="371"/>
      <c r="L358" s="371"/>
      <c r="M358" s="371"/>
      <c r="N358" s="371"/>
      <c r="O358" s="371"/>
      <c r="P358" s="371"/>
      <c r="Q358" s="371"/>
      <c r="R358" s="371"/>
      <c r="S358" s="371"/>
      <c r="T358" s="371"/>
      <c r="U358" s="371"/>
      <c r="V358" s="371"/>
      <c r="W358" s="371"/>
      <c r="X358" s="371"/>
      <c r="Y358" s="371"/>
    </row>
    <row r="359" ht="28.5" customHeight="1">
      <c r="A359" s="371"/>
      <c r="B359" s="307"/>
      <c r="C359" s="307"/>
      <c r="D359" s="307"/>
      <c r="E359" s="307"/>
      <c r="F359" s="307"/>
      <c r="G359" s="307"/>
      <c r="H359" s="371"/>
      <c r="I359" s="371"/>
      <c r="J359" s="371"/>
      <c r="K359" s="371"/>
      <c r="L359" s="371"/>
      <c r="M359" s="371"/>
      <c r="N359" s="371"/>
      <c r="O359" s="371"/>
      <c r="P359" s="371"/>
      <c r="Q359" s="371"/>
      <c r="R359" s="371"/>
      <c r="S359" s="371"/>
      <c r="T359" s="371"/>
      <c r="U359" s="371"/>
      <c r="V359" s="371"/>
      <c r="W359" s="371"/>
      <c r="X359" s="371"/>
      <c r="Y359" s="371"/>
    </row>
    <row r="360" ht="28.5" customHeight="1">
      <c r="A360" s="371"/>
      <c r="B360" s="307"/>
      <c r="C360" s="307"/>
      <c r="D360" s="307"/>
      <c r="E360" s="307"/>
      <c r="F360" s="307"/>
      <c r="G360" s="307"/>
      <c r="H360" s="371"/>
      <c r="I360" s="371"/>
      <c r="J360" s="371"/>
      <c r="K360" s="371"/>
      <c r="L360" s="371"/>
      <c r="M360" s="371"/>
      <c r="N360" s="371"/>
      <c r="O360" s="371"/>
      <c r="P360" s="371"/>
      <c r="Q360" s="371"/>
      <c r="R360" s="371"/>
      <c r="S360" s="371"/>
      <c r="T360" s="371"/>
      <c r="U360" s="371"/>
      <c r="V360" s="371"/>
      <c r="W360" s="371"/>
      <c r="X360" s="371"/>
      <c r="Y360" s="371"/>
    </row>
    <row r="361" ht="28.5" customHeight="1">
      <c r="A361" s="371"/>
      <c r="B361" s="307"/>
      <c r="C361" s="307"/>
      <c r="D361" s="307"/>
      <c r="E361" s="307"/>
      <c r="F361" s="307"/>
      <c r="G361" s="307"/>
      <c r="H361" s="371"/>
      <c r="I361" s="371"/>
      <c r="J361" s="371"/>
      <c r="K361" s="371"/>
      <c r="L361" s="371"/>
      <c r="M361" s="371"/>
      <c r="N361" s="371"/>
      <c r="O361" s="371"/>
      <c r="P361" s="371"/>
      <c r="Q361" s="371"/>
      <c r="R361" s="371"/>
      <c r="S361" s="371"/>
      <c r="T361" s="371"/>
      <c r="U361" s="371"/>
      <c r="V361" s="371"/>
      <c r="W361" s="371"/>
      <c r="X361" s="371"/>
      <c r="Y361" s="371"/>
    </row>
    <row r="362" ht="28.5" customHeight="1">
      <c r="A362" s="371"/>
      <c r="B362" s="307"/>
      <c r="C362" s="307"/>
      <c r="D362" s="307"/>
      <c r="E362" s="307"/>
      <c r="F362" s="307"/>
      <c r="G362" s="307"/>
      <c r="H362" s="371"/>
      <c r="I362" s="371"/>
      <c r="J362" s="371"/>
      <c r="K362" s="371"/>
      <c r="L362" s="371"/>
      <c r="M362" s="371"/>
      <c r="N362" s="371"/>
      <c r="O362" s="371"/>
      <c r="P362" s="371"/>
      <c r="Q362" s="371"/>
      <c r="R362" s="371"/>
      <c r="S362" s="371"/>
      <c r="T362" s="371"/>
      <c r="U362" s="371"/>
      <c r="V362" s="371"/>
      <c r="W362" s="371"/>
      <c r="X362" s="371"/>
      <c r="Y362" s="371"/>
    </row>
    <row r="363" ht="28.5" customHeight="1">
      <c r="A363" s="371"/>
      <c r="B363" s="307"/>
      <c r="C363" s="307"/>
      <c r="D363" s="307"/>
      <c r="E363" s="307"/>
      <c r="F363" s="307"/>
      <c r="G363" s="307"/>
      <c r="H363" s="371"/>
      <c r="I363" s="371"/>
      <c r="J363" s="371"/>
      <c r="K363" s="371"/>
      <c r="L363" s="371"/>
      <c r="M363" s="371"/>
      <c r="N363" s="371"/>
      <c r="O363" s="371"/>
      <c r="P363" s="371"/>
      <c r="Q363" s="371"/>
      <c r="R363" s="371"/>
      <c r="S363" s="371"/>
      <c r="T363" s="371"/>
      <c r="U363" s="371"/>
      <c r="V363" s="371"/>
      <c r="W363" s="371"/>
      <c r="X363" s="371"/>
      <c r="Y363" s="371"/>
    </row>
    <row r="364" ht="28.5" customHeight="1">
      <c r="A364" s="371"/>
      <c r="B364" s="307"/>
      <c r="C364" s="307"/>
      <c r="D364" s="307"/>
      <c r="E364" s="307"/>
      <c r="F364" s="307"/>
      <c r="G364" s="307"/>
      <c r="H364" s="371"/>
      <c r="I364" s="371"/>
      <c r="J364" s="371"/>
      <c r="K364" s="371"/>
      <c r="L364" s="371"/>
      <c r="M364" s="371"/>
      <c r="N364" s="371"/>
      <c r="O364" s="371"/>
      <c r="P364" s="371"/>
      <c r="Q364" s="371"/>
      <c r="R364" s="371"/>
      <c r="S364" s="371"/>
      <c r="T364" s="371"/>
      <c r="U364" s="371"/>
      <c r="V364" s="371"/>
      <c r="W364" s="371"/>
      <c r="X364" s="371"/>
      <c r="Y364" s="371"/>
    </row>
    <row r="365" ht="28.5" customHeight="1">
      <c r="A365" s="371"/>
      <c r="B365" s="307"/>
      <c r="C365" s="307"/>
      <c r="D365" s="307"/>
      <c r="E365" s="307"/>
      <c r="F365" s="307"/>
      <c r="G365" s="307"/>
      <c r="H365" s="371"/>
      <c r="I365" s="371"/>
      <c r="J365" s="371"/>
      <c r="K365" s="371"/>
      <c r="L365" s="371"/>
      <c r="M365" s="371"/>
      <c r="N365" s="371"/>
      <c r="O365" s="371"/>
      <c r="P365" s="371"/>
      <c r="Q365" s="371"/>
      <c r="R365" s="371"/>
      <c r="S365" s="371"/>
      <c r="T365" s="371"/>
      <c r="U365" s="371"/>
      <c r="V365" s="371"/>
      <c r="W365" s="371"/>
      <c r="X365" s="371"/>
      <c r="Y365" s="371"/>
    </row>
    <row r="366" ht="28.5" customHeight="1">
      <c r="A366" s="371"/>
      <c r="B366" s="307"/>
      <c r="C366" s="307"/>
      <c r="D366" s="307"/>
      <c r="E366" s="307"/>
      <c r="F366" s="307"/>
      <c r="G366" s="307"/>
      <c r="H366" s="371"/>
      <c r="I366" s="371"/>
      <c r="J366" s="371"/>
      <c r="K366" s="371"/>
      <c r="L366" s="371"/>
      <c r="M366" s="371"/>
      <c r="N366" s="371"/>
      <c r="O366" s="371"/>
      <c r="P366" s="371"/>
      <c r="Q366" s="371"/>
      <c r="R366" s="371"/>
      <c r="S366" s="371"/>
      <c r="T366" s="371"/>
      <c r="U366" s="371"/>
      <c r="V366" s="371"/>
      <c r="W366" s="371"/>
      <c r="X366" s="371"/>
      <c r="Y366" s="371"/>
    </row>
    <row r="367" ht="28.5" customHeight="1">
      <c r="A367" s="371"/>
      <c r="B367" s="307"/>
      <c r="C367" s="307"/>
      <c r="D367" s="307"/>
      <c r="E367" s="307"/>
      <c r="F367" s="307"/>
      <c r="G367" s="307"/>
      <c r="H367" s="371"/>
      <c r="I367" s="371"/>
      <c r="J367" s="371"/>
      <c r="K367" s="371"/>
      <c r="L367" s="371"/>
      <c r="M367" s="371"/>
      <c r="N367" s="371"/>
      <c r="O367" s="371"/>
      <c r="P367" s="371"/>
      <c r="Q367" s="371"/>
      <c r="R367" s="371"/>
      <c r="S367" s="371"/>
      <c r="T367" s="371"/>
      <c r="U367" s="371"/>
      <c r="V367" s="371"/>
      <c r="W367" s="371"/>
      <c r="X367" s="371"/>
      <c r="Y367" s="371"/>
    </row>
    <row r="368" ht="28.5" customHeight="1">
      <c r="A368" s="371"/>
      <c r="B368" s="307"/>
      <c r="C368" s="307"/>
      <c r="D368" s="307"/>
      <c r="E368" s="307"/>
      <c r="F368" s="307"/>
      <c r="G368" s="307"/>
      <c r="H368" s="371"/>
      <c r="I368" s="371"/>
      <c r="J368" s="371"/>
      <c r="K368" s="371"/>
      <c r="L368" s="371"/>
      <c r="M368" s="371"/>
      <c r="N368" s="371"/>
      <c r="O368" s="371"/>
      <c r="P368" s="371"/>
      <c r="Q368" s="371"/>
      <c r="R368" s="371"/>
      <c r="S368" s="371"/>
      <c r="T368" s="371"/>
      <c r="U368" s="371"/>
      <c r="V368" s="371"/>
      <c r="W368" s="371"/>
      <c r="X368" s="371"/>
      <c r="Y368" s="371"/>
    </row>
    <row r="369" ht="28.5" customHeight="1">
      <c r="A369" s="371"/>
      <c r="B369" s="307"/>
      <c r="C369" s="307"/>
      <c r="D369" s="307"/>
      <c r="E369" s="307"/>
      <c r="F369" s="307"/>
      <c r="G369" s="307"/>
      <c r="H369" s="371"/>
      <c r="I369" s="371"/>
      <c r="J369" s="371"/>
      <c r="K369" s="371"/>
      <c r="L369" s="371"/>
      <c r="M369" s="371"/>
      <c r="N369" s="371"/>
      <c r="O369" s="371"/>
      <c r="P369" s="371"/>
      <c r="Q369" s="371"/>
      <c r="R369" s="371"/>
      <c r="S369" s="371"/>
      <c r="T369" s="371"/>
      <c r="U369" s="371"/>
      <c r="V369" s="371"/>
      <c r="W369" s="371"/>
      <c r="X369" s="371"/>
      <c r="Y369" s="371"/>
    </row>
    <row r="370" ht="28.5" customHeight="1">
      <c r="A370" s="371"/>
      <c r="B370" s="307"/>
      <c r="C370" s="307"/>
      <c r="D370" s="307"/>
      <c r="E370" s="307"/>
      <c r="F370" s="307"/>
      <c r="G370" s="307"/>
      <c r="H370" s="371"/>
      <c r="I370" s="371"/>
      <c r="J370" s="371"/>
      <c r="K370" s="371"/>
      <c r="L370" s="371"/>
      <c r="M370" s="371"/>
      <c r="N370" s="371"/>
      <c r="O370" s="371"/>
      <c r="P370" s="371"/>
      <c r="Q370" s="371"/>
      <c r="R370" s="371"/>
      <c r="S370" s="371"/>
      <c r="T370" s="371"/>
      <c r="U370" s="371"/>
      <c r="V370" s="371"/>
      <c r="W370" s="371"/>
      <c r="X370" s="371"/>
      <c r="Y370" s="371"/>
    </row>
    <row r="371" ht="28.5" customHeight="1">
      <c r="A371" s="371"/>
      <c r="B371" s="307"/>
      <c r="C371" s="307"/>
      <c r="D371" s="307"/>
      <c r="E371" s="307"/>
      <c r="F371" s="307"/>
      <c r="G371" s="307"/>
      <c r="H371" s="371"/>
      <c r="I371" s="371"/>
      <c r="J371" s="371"/>
      <c r="K371" s="371"/>
      <c r="L371" s="371"/>
      <c r="M371" s="371"/>
      <c r="N371" s="371"/>
      <c r="O371" s="371"/>
      <c r="P371" s="371"/>
      <c r="Q371" s="371"/>
      <c r="R371" s="371"/>
      <c r="S371" s="371"/>
      <c r="T371" s="371"/>
      <c r="U371" s="371"/>
      <c r="V371" s="371"/>
      <c r="W371" s="371"/>
      <c r="X371" s="371"/>
      <c r="Y371" s="371"/>
    </row>
    <row r="372" ht="28.5" customHeight="1">
      <c r="A372" s="371"/>
      <c r="B372" s="307"/>
      <c r="C372" s="307"/>
      <c r="D372" s="307"/>
      <c r="E372" s="307"/>
      <c r="F372" s="307"/>
      <c r="G372" s="307"/>
      <c r="H372" s="371"/>
      <c r="I372" s="371"/>
      <c r="J372" s="371"/>
      <c r="K372" s="371"/>
      <c r="L372" s="371"/>
      <c r="M372" s="371"/>
      <c r="N372" s="371"/>
      <c r="O372" s="371"/>
      <c r="P372" s="371"/>
      <c r="Q372" s="371"/>
      <c r="R372" s="371"/>
      <c r="S372" s="371"/>
      <c r="T372" s="371"/>
      <c r="U372" s="371"/>
      <c r="V372" s="371"/>
      <c r="W372" s="371"/>
      <c r="X372" s="371"/>
      <c r="Y372" s="371"/>
    </row>
    <row r="373" ht="28.5" customHeight="1">
      <c r="A373" s="371"/>
      <c r="B373" s="307"/>
      <c r="C373" s="307"/>
      <c r="D373" s="307"/>
      <c r="E373" s="307"/>
      <c r="F373" s="307"/>
      <c r="G373" s="307"/>
      <c r="H373" s="371"/>
      <c r="I373" s="371"/>
      <c r="J373" s="371"/>
      <c r="K373" s="371"/>
      <c r="L373" s="371"/>
      <c r="M373" s="371"/>
      <c r="N373" s="371"/>
      <c r="O373" s="371"/>
      <c r="P373" s="371"/>
      <c r="Q373" s="371"/>
      <c r="R373" s="371"/>
      <c r="S373" s="371"/>
      <c r="T373" s="371"/>
      <c r="U373" s="371"/>
      <c r="V373" s="371"/>
      <c r="W373" s="371"/>
      <c r="X373" s="371"/>
      <c r="Y373" s="371"/>
    </row>
    <row r="374" ht="28.5" customHeight="1">
      <c r="A374" s="371"/>
      <c r="B374" s="307"/>
      <c r="C374" s="307"/>
      <c r="D374" s="307"/>
      <c r="E374" s="307"/>
      <c r="F374" s="307"/>
      <c r="G374" s="307"/>
      <c r="H374" s="371"/>
      <c r="I374" s="371"/>
      <c r="J374" s="371"/>
      <c r="K374" s="371"/>
      <c r="L374" s="371"/>
      <c r="M374" s="371"/>
      <c r="N374" s="371"/>
      <c r="O374" s="371"/>
      <c r="P374" s="371"/>
      <c r="Q374" s="371"/>
      <c r="R374" s="371"/>
      <c r="S374" s="371"/>
      <c r="T374" s="371"/>
      <c r="U374" s="371"/>
      <c r="V374" s="371"/>
      <c r="W374" s="371"/>
      <c r="X374" s="371"/>
      <c r="Y374" s="371"/>
    </row>
    <row r="375" ht="28.5" customHeight="1">
      <c r="A375" s="371"/>
      <c r="B375" s="307"/>
      <c r="C375" s="307"/>
      <c r="D375" s="307"/>
      <c r="E375" s="307"/>
      <c r="F375" s="307"/>
      <c r="G375" s="307"/>
      <c r="H375" s="371"/>
      <c r="I375" s="371"/>
      <c r="J375" s="371"/>
      <c r="K375" s="371"/>
      <c r="L375" s="371"/>
      <c r="M375" s="371"/>
      <c r="N375" s="371"/>
      <c r="O375" s="371"/>
      <c r="P375" s="371"/>
      <c r="Q375" s="371"/>
      <c r="R375" s="371"/>
      <c r="S375" s="371"/>
      <c r="T375" s="371"/>
      <c r="U375" s="371"/>
      <c r="V375" s="371"/>
      <c r="W375" s="371"/>
      <c r="X375" s="371"/>
      <c r="Y375" s="371"/>
    </row>
    <row r="376" ht="28.5" customHeight="1">
      <c r="A376" s="371"/>
      <c r="B376" s="307"/>
      <c r="C376" s="307"/>
      <c r="D376" s="307"/>
      <c r="E376" s="307"/>
      <c r="F376" s="307"/>
      <c r="G376" s="307"/>
      <c r="H376" s="371"/>
      <c r="I376" s="371"/>
      <c r="J376" s="371"/>
      <c r="K376" s="371"/>
      <c r="L376" s="371"/>
      <c r="M376" s="371"/>
      <c r="N376" s="371"/>
      <c r="O376" s="371"/>
      <c r="P376" s="371"/>
      <c r="Q376" s="371"/>
      <c r="R376" s="371"/>
      <c r="S376" s="371"/>
      <c r="T376" s="371"/>
      <c r="U376" s="371"/>
      <c r="V376" s="371"/>
      <c r="W376" s="371"/>
      <c r="X376" s="371"/>
      <c r="Y376" s="371"/>
    </row>
    <row r="377" ht="28.5" customHeight="1">
      <c r="A377" s="371"/>
      <c r="B377" s="307"/>
      <c r="C377" s="307"/>
      <c r="D377" s="307"/>
      <c r="E377" s="307"/>
      <c r="F377" s="307"/>
      <c r="G377" s="307"/>
      <c r="H377" s="371"/>
      <c r="I377" s="371"/>
      <c r="J377" s="371"/>
      <c r="K377" s="371"/>
      <c r="L377" s="371"/>
      <c r="M377" s="371"/>
      <c r="N377" s="371"/>
      <c r="O377" s="371"/>
      <c r="P377" s="371"/>
      <c r="Q377" s="371"/>
      <c r="R377" s="371"/>
      <c r="S377" s="371"/>
      <c r="T377" s="371"/>
      <c r="U377" s="371"/>
      <c r="V377" s="371"/>
      <c r="W377" s="371"/>
      <c r="X377" s="371"/>
      <c r="Y377" s="371"/>
    </row>
    <row r="378" ht="28.5" customHeight="1">
      <c r="A378" s="371"/>
      <c r="B378" s="307"/>
      <c r="C378" s="307"/>
      <c r="D378" s="307"/>
      <c r="E378" s="307"/>
      <c r="F378" s="307"/>
      <c r="G378" s="307"/>
      <c r="H378" s="371"/>
      <c r="I378" s="371"/>
      <c r="J378" s="371"/>
      <c r="K378" s="371"/>
      <c r="L378" s="371"/>
      <c r="M378" s="371"/>
      <c r="N378" s="371"/>
      <c r="O378" s="371"/>
      <c r="P378" s="371"/>
      <c r="Q378" s="371"/>
      <c r="R378" s="371"/>
      <c r="S378" s="371"/>
      <c r="T378" s="371"/>
      <c r="U378" s="371"/>
      <c r="V378" s="371"/>
      <c r="W378" s="371"/>
      <c r="X378" s="371"/>
      <c r="Y378" s="371"/>
    </row>
    <row r="379" ht="28.5" customHeight="1">
      <c r="A379" s="371"/>
      <c r="B379" s="307"/>
      <c r="C379" s="307"/>
      <c r="D379" s="307"/>
      <c r="E379" s="307"/>
      <c r="F379" s="307"/>
      <c r="G379" s="307"/>
      <c r="H379" s="371"/>
      <c r="I379" s="371"/>
      <c r="J379" s="371"/>
      <c r="K379" s="371"/>
      <c r="L379" s="371"/>
      <c r="M379" s="371"/>
      <c r="N379" s="371"/>
      <c r="O379" s="371"/>
      <c r="P379" s="371"/>
      <c r="Q379" s="371"/>
      <c r="R379" s="371"/>
      <c r="S379" s="371"/>
      <c r="T379" s="371"/>
      <c r="U379" s="371"/>
      <c r="V379" s="371"/>
      <c r="W379" s="371"/>
      <c r="X379" s="371"/>
      <c r="Y379" s="371"/>
    </row>
    <row r="380" ht="28.5" customHeight="1">
      <c r="A380" s="371"/>
      <c r="B380" s="307"/>
      <c r="C380" s="307"/>
      <c r="D380" s="307"/>
      <c r="E380" s="307"/>
      <c r="F380" s="307"/>
      <c r="G380" s="307"/>
      <c r="H380" s="371"/>
      <c r="I380" s="371"/>
      <c r="J380" s="371"/>
      <c r="K380" s="371"/>
      <c r="L380" s="371"/>
      <c r="M380" s="371"/>
      <c r="N380" s="371"/>
      <c r="O380" s="371"/>
      <c r="P380" s="371"/>
      <c r="Q380" s="371"/>
      <c r="R380" s="371"/>
      <c r="S380" s="371"/>
      <c r="T380" s="371"/>
      <c r="U380" s="371"/>
      <c r="V380" s="371"/>
      <c r="W380" s="371"/>
      <c r="X380" s="371"/>
      <c r="Y380" s="371"/>
    </row>
    <row r="381" ht="28.5" customHeight="1">
      <c r="A381" s="371"/>
      <c r="B381" s="307"/>
      <c r="C381" s="307"/>
      <c r="D381" s="307"/>
      <c r="E381" s="307"/>
      <c r="F381" s="307"/>
      <c r="G381" s="307"/>
      <c r="H381" s="371"/>
      <c r="I381" s="371"/>
      <c r="J381" s="371"/>
      <c r="K381" s="371"/>
      <c r="L381" s="371"/>
      <c r="M381" s="371"/>
      <c r="N381" s="371"/>
      <c r="O381" s="371"/>
      <c r="P381" s="371"/>
      <c r="Q381" s="371"/>
      <c r="R381" s="371"/>
      <c r="S381" s="371"/>
      <c r="T381" s="371"/>
      <c r="U381" s="371"/>
      <c r="V381" s="371"/>
      <c r="W381" s="371"/>
      <c r="X381" s="371"/>
      <c r="Y381" s="371"/>
    </row>
    <row r="382" ht="28.5" customHeight="1">
      <c r="A382" s="371"/>
      <c r="B382" s="307"/>
      <c r="C382" s="307"/>
      <c r="D382" s="307"/>
      <c r="E382" s="307"/>
      <c r="F382" s="307"/>
      <c r="G382" s="307"/>
      <c r="H382" s="371"/>
      <c r="I382" s="371"/>
      <c r="J382" s="371"/>
      <c r="K382" s="371"/>
      <c r="L382" s="371"/>
      <c r="M382" s="371"/>
      <c r="N382" s="371"/>
      <c r="O382" s="371"/>
      <c r="P382" s="371"/>
      <c r="Q382" s="371"/>
      <c r="R382" s="371"/>
      <c r="S382" s="371"/>
      <c r="T382" s="371"/>
      <c r="U382" s="371"/>
      <c r="V382" s="371"/>
      <c r="W382" s="371"/>
      <c r="X382" s="371"/>
      <c r="Y382" s="371"/>
    </row>
    <row r="383" ht="28.5" customHeight="1">
      <c r="A383" s="371"/>
      <c r="B383" s="307"/>
      <c r="C383" s="307"/>
      <c r="D383" s="307"/>
      <c r="E383" s="307"/>
      <c r="F383" s="307"/>
      <c r="G383" s="307"/>
      <c r="H383" s="371"/>
      <c r="I383" s="371"/>
      <c r="J383" s="371"/>
      <c r="K383" s="371"/>
      <c r="L383" s="371"/>
      <c r="M383" s="371"/>
      <c r="N383" s="371"/>
      <c r="O383" s="371"/>
      <c r="P383" s="371"/>
      <c r="Q383" s="371"/>
      <c r="R383" s="371"/>
      <c r="S383" s="371"/>
      <c r="T383" s="371"/>
      <c r="U383" s="371"/>
      <c r="V383" s="371"/>
      <c r="W383" s="371"/>
      <c r="X383" s="371"/>
      <c r="Y383" s="371"/>
    </row>
    <row r="384" ht="28.5" customHeight="1">
      <c r="A384" s="371"/>
      <c r="B384" s="307"/>
      <c r="C384" s="307"/>
      <c r="D384" s="307"/>
      <c r="E384" s="307"/>
      <c r="F384" s="307"/>
      <c r="G384" s="307"/>
      <c r="H384" s="371"/>
      <c r="I384" s="371"/>
      <c r="J384" s="371"/>
      <c r="K384" s="371"/>
      <c r="L384" s="371"/>
      <c r="M384" s="371"/>
      <c r="N384" s="371"/>
      <c r="O384" s="371"/>
      <c r="P384" s="371"/>
      <c r="Q384" s="371"/>
      <c r="R384" s="371"/>
      <c r="S384" s="371"/>
      <c r="T384" s="371"/>
      <c r="U384" s="371"/>
      <c r="V384" s="371"/>
      <c r="W384" s="371"/>
      <c r="X384" s="371"/>
      <c r="Y384" s="371"/>
    </row>
    <row r="385" ht="28.5" customHeight="1">
      <c r="A385" s="371"/>
      <c r="B385" s="307"/>
      <c r="C385" s="307"/>
      <c r="D385" s="307"/>
      <c r="E385" s="307"/>
      <c r="F385" s="307"/>
      <c r="G385" s="307"/>
      <c r="H385" s="371"/>
      <c r="I385" s="371"/>
      <c r="J385" s="371"/>
      <c r="K385" s="371"/>
      <c r="L385" s="371"/>
      <c r="M385" s="371"/>
      <c r="N385" s="371"/>
      <c r="O385" s="371"/>
      <c r="P385" s="371"/>
      <c r="Q385" s="371"/>
      <c r="R385" s="371"/>
      <c r="S385" s="371"/>
      <c r="T385" s="371"/>
      <c r="U385" s="371"/>
      <c r="V385" s="371"/>
      <c r="W385" s="371"/>
      <c r="X385" s="371"/>
      <c r="Y385" s="371"/>
    </row>
    <row r="386" ht="28.5" customHeight="1">
      <c r="A386" s="371"/>
      <c r="B386" s="307"/>
      <c r="C386" s="307"/>
      <c r="D386" s="307"/>
      <c r="E386" s="307"/>
      <c r="F386" s="307"/>
      <c r="G386" s="307"/>
      <c r="H386" s="371"/>
      <c r="I386" s="371"/>
      <c r="J386" s="371"/>
      <c r="K386" s="371"/>
      <c r="L386" s="371"/>
      <c r="M386" s="371"/>
      <c r="N386" s="371"/>
      <c r="O386" s="371"/>
      <c r="P386" s="371"/>
      <c r="Q386" s="371"/>
      <c r="R386" s="371"/>
      <c r="S386" s="371"/>
      <c r="T386" s="371"/>
      <c r="U386" s="371"/>
      <c r="V386" s="371"/>
      <c r="W386" s="371"/>
      <c r="X386" s="371"/>
      <c r="Y386" s="371"/>
    </row>
    <row r="387" ht="28.5" customHeight="1">
      <c r="A387" s="371"/>
      <c r="B387" s="307"/>
      <c r="C387" s="307"/>
      <c r="D387" s="307"/>
      <c r="E387" s="307"/>
      <c r="F387" s="307"/>
      <c r="G387" s="307"/>
      <c r="H387" s="371"/>
      <c r="I387" s="371"/>
      <c r="J387" s="371"/>
      <c r="K387" s="371"/>
      <c r="L387" s="371"/>
      <c r="M387" s="371"/>
      <c r="N387" s="371"/>
      <c r="O387" s="371"/>
      <c r="P387" s="371"/>
      <c r="Q387" s="371"/>
      <c r="R387" s="371"/>
      <c r="S387" s="371"/>
      <c r="T387" s="371"/>
      <c r="U387" s="371"/>
      <c r="V387" s="371"/>
      <c r="W387" s="371"/>
      <c r="X387" s="371"/>
      <c r="Y387" s="371"/>
    </row>
    <row r="388" ht="28.5" customHeight="1">
      <c r="A388" s="371"/>
      <c r="B388" s="307"/>
      <c r="C388" s="307"/>
      <c r="D388" s="307"/>
      <c r="E388" s="307"/>
      <c r="F388" s="307"/>
      <c r="G388" s="307"/>
      <c r="H388" s="371"/>
      <c r="I388" s="371"/>
      <c r="J388" s="371"/>
      <c r="K388" s="371"/>
      <c r="L388" s="371"/>
      <c r="M388" s="371"/>
      <c r="N388" s="371"/>
      <c r="O388" s="371"/>
      <c r="P388" s="371"/>
      <c r="Q388" s="371"/>
      <c r="R388" s="371"/>
      <c r="S388" s="371"/>
      <c r="T388" s="371"/>
      <c r="U388" s="371"/>
      <c r="V388" s="371"/>
      <c r="W388" s="371"/>
      <c r="X388" s="371"/>
      <c r="Y388" s="371"/>
    </row>
    <row r="389" ht="28.5" customHeight="1">
      <c r="A389" s="371"/>
      <c r="B389" s="307"/>
      <c r="C389" s="307"/>
      <c r="D389" s="307"/>
      <c r="E389" s="307"/>
      <c r="F389" s="307"/>
      <c r="G389" s="307"/>
      <c r="H389" s="371"/>
      <c r="I389" s="371"/>
      <c r="J389" s="371"/>
      <c r="K389" s="371"/>
      <c r="L389" s="371"/>
      <c r="M389" s="371"/>
      <c r="N389" s="371"/>
      <c r="O389" s="371"/>
      <c r="P389" s="371"/>
      <c r="Q389" s="371"/>
      <c r="R389" s="371"/>
      <c r="S389" s="371"/>
      <c r="T389" s="371"/>
      <c r="U389" s="371"/>
      <c r="V389" s="371"/>
      <c r="W389" s="371"/>
      <c r="X389" s="371"/>
      <c r="Y389" s="371"/>
    </row>
    <row r="390" ht="28.5" customHeight="1">
      <c r="A390" s="371"/>
      <c r="B390" s="307"/>
      <c r="C390" s="307"/>
      <c r="D390" s="307"/>
      <c r="E390" s="307"/>
      <c r="F390" s="307"/>
      <c r="G390" s="307"/>
      <c r="H390" s="371"/>
      <c r="I390" s="371"/>
      <c r="J390" s="371"/>
      <c r="K390" s="371"/>
      <c r="L390" s="371"/>
      <c r="M390" s="371"/>
      <c r="N390" s="371"/>
      <c r="O390" s="371"/>
      <c r="P390" s="371"/>
      <c r="Q390" s="371"/>
      <c r="R390" s="371"/>
      <c r="S390" s="371"/>
      <c r="T390" s="371"/>
      <c r="U390" s="371"/>
      <c r="V390" s="371"/>
      <c r="W390" s="371"/>
      <c r="X390" s="371"/>
      <c r="Y390" s="371"/>
    </row>
    <row r="391" ht="28.5" customHeight="1">
      <c r="A391" s="371"/>
      <c r="B391" s="307"/>
      <c r="C391" s="307"/>
      <c r="D391" s="307"/>
      <c r="E391" s="307"/>
      <c r="F391" s="307"/>
      <c r="G391" s="307"/>
      <c r="H391" s="371"/>
      <c r="I391" s="371"/>
      <c r="J391" s="371"/>
      <c r="K391" s="371"/>
      <c r="L391" s="371"/>
      <c r="M391" s="371"/>
      <c r="N391" s="371"/>
      <c r="O391" s="371"/>
      <c r="P391" s="371"/>
      <c r="Q391" s="371"/>
      <c r="R391" s="371"/>
      <c r="S391" s="371"/>
      <c r="T391" s="371"/>
      <c r="U391" s="371"/>
      <c r="V391" s="371"/>
      <c r="W391" s="371"/>
      <c r="X391" s="371"/>
      <c r="Y391" s="371"/>
    </row>
    <row r="392" ht="28.5" customHeight="1">
      <c r="A392" s="371"/>
      <c r="B392" s="307"/>
      <c r="C392" s="307"/>
      <c r="D392" s="307"/>
      <c r="E392" s="307"/>
      <c r="F392" s="307"/>
      <c r="G392" s="307"/>
      <c r="H392" s="371"/>
      <c r="I392" s="371"/>
      <c r="J392" s="371"/>
      <c r="K392" s="371"/>
      <c r="L392" s="371"/>
      <c r="M392" s="371"/>
      <c r="N392" s="371"/>
      <c r="O392" s="371"/>
      <c r="P392" s="371"/>
      <c r="Q392" s="371"/>
      <c r="R392" s="371"/>
      <c r="S392" s="371"/>
      <c r="T392" s="371"/>
      <c r="U392" s="371"/>
      <c r="V392" s="371"/>
      <c r="W392" s="371"/>
      <c r="X392" s="371"/>
      <c r="Y392" s="371"/>
    </row>
    <row r="393" ht="28.5" customHeight="1">
      <c r="A393" s="371"/>
      <c r="B393" s="307"/>
      <c r="C393" s="307"/>
      <c r="D393" s="307"/>
      <c r="E393" s="307"/>
      <c r="F393" s="307"/>
      <c r="G393" s="307"/>
      <c r="H393" s="371"/>
      <c r="I393" s="371"/>
      <c r="J393" s="371"/>
      <c r="K393" s="371"/>
      <c r="L393" s="371"/>
      <c r="M393" s="371"/>
      <c r="N393" s="371"/>
      <c r="O393" s="371"/>
      <c r="P393" s="371"/>
      <c r="Q393" s="371"/>
      <c r="R393" s="371"/>
      <c r="S393" s="371"/>
      <c r="T393" s="371"/>
      <c r="U393" s="371"/>
      <c r="V393" s="371"/>
      <c r="W393" s="371"/>
      <c r="X393" s="371"/>
      <c r="Y393" s="371"/>
    </row>
    <row r="394" ht="28.5" customHeight="1">
      <c r="A394" s="371"/>
      <c r="B394" s="307"/>
      <c r="C394" s="307"/>
      <c r="D394" s="307"/>
      <c r="E394" s="307"/>
      <c r="F394" s="307"/>
      <c r="G394" s="307"/>
      <c r="H394" s="371"/>
      <c r="I394" s="371"/>
      <c r="J394" s="371"/>
      <c r="K394" s="371"/>
      <c r="L394" s="371"/>
      <c r="M394" s="371"/>
      <c r="N394" s="371"/>
      <c r="O394" s="371"/>
      <c r="P394" s="371"/>
      <c r="Q394" s="371"/>
      <c r="R394" s="371"/>
      <c r="S394" s="371"/>
      <c r="T394" s="371"/>
      <c r="U394" s="371"/>
      <c r="V394" s="371"/>
      <c r="W394" s="371"/>
      <c r="X394" s="371"/>
      <c r="Y394" s="371"/>
    </row>
    <row r="395" ht="28.5" customHeight="1">
      <c r="A395" s="371"/>
      <c r="B395" s="307"/>
      <c r="C395" s="307"/>
      <c r="D395" s="307"/>
      <c r="E395" s="307"/>
      <c r="F395" s="307"/>
      <c r="G395" s="307"/>
      <c r="H395" s="371"/>
      <c r="I395" s="371"/>
      <c r="J395" s="371"/>
      <c r="K395" s="371"/>
      <c r="L395" s="371"/>
      <c r="M395" s="371"/>
      <c r="N395" s="371"/>
      <c r="O395" s="371"/>
      <c r="P395" s="371"/>
      <c r="Q395" s="371"/>
      <c r="R395" s="371"/>
      <c r="S395" s="371"/>
      <c r="T395" s="371"/>
      <c r="U395" s="371"/>
      <c r="V395" s="371"/>
      <c r="W395" s="371"/>
      <c r="X395" s="371"/>
      <c r="Y395" s="371"/>
    </row>
    <row r="396" ht="28.5" customHeight="1">
      <c r="A396" s="371"/>
      <c r="B396" s="307"/>
      <c r="C396" s="307"/>
      <c r="D396" s="307"/>
      <c r="E396" s="307"/>
      <c r="F396" s="307"/>
      <c r="G396" s="307"/>
      <c r="H396" s="371"/>
      <c r="I396" s="371"/>
      <c r="J396" s="371"/>
      <c r="K396" s="371"/>
      <c r="L396" s="371"/>
      <c r="M396" s="371"/>
      <c r="N396" s="371"/>
      <c r="O396" s="371"/>
      <c r="P396" s="371"/>
      <c r="Q396" s="371"/>
      <c r="R396" s="371"/>
      <c r="S396" s="371"/>
      <c r="T396" s="371"/>
      <c r="U396" s="371"/>
      <c r="V396" s="371"/>
      <c r="W396" s="371"/>
      <c r="X396" s="371"/>
      <c r="Y396" s="371"/>
    </row>
    <row r="397" ht="28.5" customHeight="1">
      <c r="A397" s="371"/>
      <c r="B397" s="307"/>
      <c r="C397" s="307"/>
      <c r="D397" s="307"/>
      <c r="E397" s="307"/>
      <c r="F397" s="307"/>
      <c r="G397" s="307"/>
      <c r="H397" s="371"/>
      <c r="I397" s="371"/>
      <c r="J397" s="371"/>
      <c r="K397" s="371"/>
      <c r="L397" s="371"/>
      <c r="M397" s="371"/>
      <c r="N397" s="371"/>
      <c r="O397" s="371"/>
      <c r="P397" s="371"/>
      <c r="Q397" s="371"/>
      <c r="R397" s="371"/>
      <c r="S397" s="371"/>
      <c r="T397" s="371"/>
      <c r="U397" s="371"/>
      <c r="V397" s="371"/>
      <c r="W397" s="371"/>
      <c r="X397" s="371"/>
      <c r="Y397" s="371"/>
    </row>
    <row r="398" ht="28.5" customHeight="1">
      <c r="A398" s="371"/>
      <c r="B398" s="307"/>
      <c r="C398" s="307"/>
      <c r="D398" s="307"/>
      <c r="E398" s="307"/>
      <c r="F398" s="307"/>
      <c r="G398" s="307"/>
      <c r="H398" s="371"/>
      <c r="I398" s="371"/>
      <c r="J398" s="371"/>
      <c r="K398" s="371"/>
      <c r="L398" s="371"/>
      <c r="M398" s="371"/>
      <c r="N398" s="371"/>
      <c r="O398" s="371"/>
      <c r="P398" s="371"/>
      <c r="Q398" s="371"/>
      <c r="R398" s="371"/>
      <c r="S398" s="371"/>
      <c r="T398" s="371"/>
      <c r="U398" s="371"/>
      <c r="V398" s="371"/>
      <c r="W398" s="371"/>
      <c r="X398" s="371"/>
      <c r="Y398" s="371"/>
    </row>
    <row r="399" ht="28.5" customHeight="1">
      <c r="A399" s="371"/>
      <c r="B399" s="307"/>
      <c r="C399" s="307"/>
      <c r="D399" s="307"/>
      <c r="E399" s="307"/>
      <c r="F399" s="307"/>
      <c r="G399" s="307"/>
      <c r="H399" s="371"/>
      <c r="I399" s="371"/>
      <c r="J399" s="371"/>
      <c r="K399" s="371"/>
      <c r="L399" s="371"/>
      <c r="M399" s="371"/>
      <c r="N399" s="371"/>
      <c r="O399" s="371"/>
      <c r="P399" s="371"/>
      <c r="Q399" s="371"/>
      <c r="R399" s="371"/>
      <c r="S399" s="371"/>
      <c r="T399" s="371"/>
      <c r="U399" s="371"/>
      <c r="V399" s="371"/>
      <c r="W399" s="371"/>
      <c r="X399" s="371"/>
      <c r="Y399" s="371"/>
    </row>
    <row r="400" ht="28.5" customHeight="1">
      <c r="A400" s="371"/>
      <c r="B400" s="307"/>
      <c r="C400" s="307"/>
      <c r="D400" s="307"/>
      <c r="E400" s="307"/>
      <c r="F400" s="307"/>
      <c r="G400" s="307"/>
      <c r="H400" s="371"/>
      <c r="I400" s="371"/>
      <c r="J400" s="371"/>
      <c r="K400" s="371"/>
      <c r="L400" s="371"/>
      <c r="M400" s="371"/>
      <c r="N400" s="371"/>
      <c r="O400" s="371"/>
      <c r="P400" s="371"/>
      <c r="Q400" s="371"/>
      <c r="R400" s="371"/>
      <c r="S400" s="371"/>
      <c r="T400" s="371"/>
      <c r="U400" s="371"/>
      <c r="V400" s="371"/>
      <c r="W400" s="371"/>
      <c r="X400" s="371"/>
      <c r="Y400" s="371"/>
    </row>
    <row r="401" ht="28.5" customHeight="1">
      <c r="A401" s="371"/>
      <c r="B401" s="307"/>
      <c r="C401" s="307"/>
      <c r="D401" s="307"/>
      <c r="E401" s="307"/>
      <c r="F401" s="307"/>
      <c r="G401" s="307"/>
      <c r="H401" s="371"/>
      <c r="I401" s="371"/>
      <c r="J401" s="371"/>
      <c r="K401" s="371"/>
      <c r="L401" s="371"/>
      <c r="M401" s="371"/>
      <c r="N401" s="371"/>
      <c r="O401" s="371"/>
      <c r="P401" s="371"/>
      <c r="Q401" s="371"/>
      <c r="R401" s="371"/>
      <c r="S401" s="371"/>
      <c r="T401" s="371"/>
      <c r="U401" s="371"/>
      <c r="V401" s="371"/>
      <c r="W401" s="371"/>
      <c r="X401" s="371"/>
      <c r="Y401" s="371"/>
    </row>
    <row r="402" ht="28.5" customHeight="1">
      <c r="A402" s="371"/>
      <c r="B402" s="307"/>
      <c r="C402" s="307"/>
      <c r="D402" s="307"/>
      <c r="E402" s="307"/>
      <c r="F402" s="307"/>
      <c r="G402" s="307"/>
      <c r="H402" s="371"/>
      <c r="I402" s="371"/>
      <c r="J402" s="371"/>
      <c r="K402" s="371"/>
      <c r="L402" s="371"/>
      <c r="M402" s="371"/>
      <c r="N402" s="371"/>
      <c r="O402" s="371"/>
      <c r="P402" s="371"/>
      <c r="Q402" s="371"/>
      <c r="R402" s="371"/>
      <c r="S402" s="371"/>
      <c r="T402" s="371"/>
      <c r="U402" s="371"/>
      <c r="V402" s="371"/>
      <c r="W402" s="371"/>
      <c r="X402" s="371"/>
      <c r="Y402" s="371"/>
    </row>
    <row r="403" ht="28.5" customHeight="1">
      <c r="A403" s="371"/>
      <c r="B403" s="307"/>
      <c r="C403" s="307"/>
      <c r="D403" s="307"/>
      <c r="E403" s="307"/>
      <c r="F403" s="307"/>
      <c r="G403" s="307"/>
      <c r="H403" s="371"/>
      <c r="I403" s="371"/>
      <c r="J403" s="371"/>
      <c r="K403" s="371"/>
      <c r="L403" s="371"/>
      <c r="M403" s="371"/>
      <c r="N403" s="371"/>
      <c r="O403" s="371"/>
      <c r="P403" s="371"/>
      <c r="Q403" s="371"/>
      <c r="R403" s="371"/>
      <c r="S403" s="371"/>
      <c r="T403" s="371"/>
      <c r="U403" s="371"/>
      <c r="V403" s="371"/>
      <c r="W403" s="371"/>
      <c r="X403" s="371"/>
      <c r="Y403" s="371"/>
    </row>
    <row r="404" ht="28.5" customHeight="1">
      <c r="A404" s="371"/>
      <c r="B404" s="307"/>
      <c r="C404" s="307"/>
      <c r="D404" s="307"/>
      <c r="E404" s="307"/>
      <c r="F404" s="307"/>
      <c r="G404" s="307"/>
      <c r="H404" s="371"/>
      <c r="I404" s="371"/>
      <c r="J404" s="371"/>
      <c r="K404" s="371"/>
      <c r="L404" s="371"/>
      <c r="M404" s="371"/>
      <c r="N404" s="371"/>
      <c r="O404" s="371"/>
      <c r="P404" s="371"/>
      <c r="Q404" s="371"/>
      <c r="R404" s="371"/>
      <c r="S404" s="371"/>
      <c r="T404" s="371"/>
      <c r="U404" s="371"/>
      <c r="V404" s="371"/>
      <c r="W404" s="371"/>
      <c r="X404" s="371"/>
      <c r="Y404" s="371"/>
    </row>
    <row r="405" ht="28.5" customHeight="1">
      <c r="A405" s="371"/>
      <c r="B405" s="307"/>
      <c r="C405" s="307"/>
      <c r="D405" s="307"/>
      <c r="E405" s="307"/>
      <c r="F405" s="307"/>
      <c r="G405" s="307"/>
      <c r="H405" s="371"/>
      <c r="I405" s="371"/>
      <c r="J405" s="371"/>
      <c r="K405" s="371"/>
      <c r="L405" s="371"/>
      <c r="M405" s="371"/>
      <c r="N405" s="371"/>
      <c r="O405" s="371"/>
      <c r="P405" s="371"/>
      <c r="Q405" s="371"/>
      <c r="R405" s="371"/>
      <c r="S405" s="371"/>
      <c r="T405" s="371"/>
      <c r="U405" s="371"/>
      <c r="V405" s="371"/>
      <c r="W405" s="371"/>
      <c r="X405" s="371"/>
      <c r="Y405" s="371"/>
    </row>
    <row r="406" ht="28.5" customHeight="1">
      <c r="A406" s="371"/>
      <c r="B406" s="307"/>
      <c r="C406" s="307"/>
      <c r="D406" s="307"/>
      <c r="E406" s="307"/>
      <c r="F406" s="307"/>
      <c r="G406" s="307"/>
      <c r="H406" s="371"/>
      <c r="I406" s="371"/>
      <c r="J406" s="371"/>
      <c r="K406" s="371"/>
      <c r="L406" s="371"/>
      <c r="M406" s="371"/>
      <c r="N406" s="371"/>
      <c r="O406" s="371"/>
      <c r="P406" s="371"/>
      <c r="Q406" s="371"/>
      <c r="R406" s="371"/>
      <c r="S406" s="371"/>
      <c r="T406" s="371"/>
      <c r="U406" s="371"/>
      <c r="V406" s="371"/>
      <c r="W406" s="371"/>
      <c r="X406" s="371"/>
      <c r="Y406" s="371"/>
    </row>
    <row r="407" ht="28.5" customHeight="1">
      <c r="A407" s="371"/>
      <c r="B407" s="307"/>
      <c r="C407" s="307"/>
      <c r="D407" s="307"/>
      <c r="E407" s="307"/>
      <c r="F407" s="307"/>
      <c r="G407" s="307"/>
      <c r="H407" s="371"/>
      <c r="I407" s="371"/>
      <c r="J407" s="371"/>
      <c r="K407" s="371"/>
      <c r="L407" s="371"/>
      <c r="M407" s="371"/>
      <c r="N407" s="371"/>
      <c r="O407" s="371"/>
      <c r="P407" s="371"/>
      <c r="Q407" s="371"/>
      <c r="R407" s="371"/>
      <c r="S407" s="371"/>
      <c r="T407" s="371"/>
      <c r="U407" s="371"/>
      <c r="V407" s="371"/>
      <c r="W407" s="371"/>
      <c r="X407" s="371"/>
      <c r="Y407" s="371"/>
    </row>
    <row r="408" ht="28.5" customHeight="1">
      <c r="A408" s="371"/>
      <c r="B408" s="307"/>
      <c r="C408" s="307"/>
      <c r="D408" s="307"/>
      <c r="E408" s="307"/>
      <c r="F408" s="307"/>
      <c r="G408" s="307"/>
      <c r="H408" s="371"/>
      <c r="I408" s="371"/>
      <c r="J408" s="371"/>
      <c r="K408" s="371"/>
      <c r="L408" s="371"/>
      <c r="M408" s="371"/>
      <c r="N408" s="371"/>
      <c r="O408" s="371"/>
      <c r="P408" s="371"/>
      <c r="Q408" s="371"/>
      <c r="R408" s="371"/>
      <c r="S408" s="371"/>
      <c r="T408" s="371"/>
      <c r="U408" s="371"/>
      <c r="V408" s="371"/>
      <c r="W408" s="371"/>
      <c r="X408" s="371"/>
      <c r="Y408" s="371"/>
    </row>
    <row r="409" ht="28.5" customHeight="1">
      <c r="A409" s="371"/>
      <c r="B409" s="307"/>
      <c r="C409" s="307"/>
      <c r="D409" s="307"/>
      <c r="E409" s="307"/>
      <c r="F409" s="307"/>
      <c r="G409" s="307"/>
      <c r="H409" s="371"/>
      <c r="I409" s="371"/>
      <c r="J409" s="371"/>
      <c r="K409" s="371"/>
      <c r="L409" s="371"/>
      <c r="M409" s="371"/>
      <c r="N409" s="371"/>
      <c r="O409" s="371"/>
      <c r="P409" s="371"/>
      <c r="Q409" s="371"/>
      <c r="R409" s="371"/>
      <c r="S409" s="371"/>
      <c r="T409" s="371"/>
      <c r="U409" s="371"/>
      <c r="V409" s="371"/>
      <c r="W409" s="371"/>
      <c r="X409" s="371"/>
      <c r="Y409" s="371"/>
    </row>
    <row r="410" ht="28.5" customHeight="1">
      <c r="A410" s="371"/>
      <c r="B410" s="307"/>
      <c r="C410" s="307"/>
      <c r="D410" s="307"/>
      <c r="E410" s="307"/>
      <c r="F410" s="307"/>
      <c r="G410" s="307"/>
      <c r="H410" s="371"/>
      <c r="I410" s="371"/>
      <c r="J410" s="371"/>
      <c r="K410" s="371"/>
      <c r="L410" s="371"/>
      <c r="M410" s="371"/>
      <c r="N410" s="371"/>
      <c r="O410" s="371"/>
      <c r="P410" s="371"/>
      <c r="Q410" s="371"/>
      <c r="R410" s="371"/>
      <c r="S410" s="371"/>
      <c r="T410" s="371"/>
      <c r="U410" s="371"/>
      <c r="V410" s="371"/>
      <c r="W410" s="371"/>
      <c r="X410" s="371"/>
      <c r="Y410" s="371"/>
    </row>
    <row r="411" ht="28.5" customHeight="1">
      <c r="A411" s="371"/>
      <c r="B411" s="307"/>
      <c r="C411" s="307"/>
      <c r="D411" s="307"/>
      <c r="E411" s="307"/>
      <c r="F411" s="307"/>
      <c r="G411" s="307"/>
      <c r="H411" s="371"/>
      <c r="I411" s="371"/>
      <c r="J411" s="371"/>
      <c r="K411" s="371"/>
      <c r="L411" s="371"/>
      <c r="M411" s="371"/>
      <c r="N411" s="371"/>
      <c r="O411" s="371"/>
      <c r="P411" s="371"/>
      <c r="Q411" s="371"/>
      <c r="R411" s="371"/>
      <c r="S411" s="371"/>
      <c r="T411" s="371"/>
      <c r="U411" s="371"/>
      <c r="V411" s="371"/>
      <c r="W411" s="371"/>
      <c r="X411" s="371"/>
      <c r="Y411" s="371"/>
    </row>
    <row r="412" ht="28.5" customHeight="1">
      <c r="A412" s="371"/>
      <c r="B412" s="307"/>
      <c r="C412" s="307"/>
      <c r="D412" s="307"/>
      <c r="E412" s="307"/>
      <c r="F412" s="307"/>
      <c r="G412" s="307"/>
      <c r="H412" s="371"/>
      <c r="I412" s="371"/>
      <c r="J412" s="371"/>
      <c r="K412" s="371"/>
      <c r="L412" s="371"/>
      <c r="M412" s="371"/>
      <c r="N412" s="371"/>
      <c r="O412" s="371"/>
      <c r="P412" s="371"/>
      <c r="Q412" s="371"/>
      <c r="R412" s="371"/>
      <c r="S412" s="371"/>
      <c r="T412" s="371"/>
      <c r="U412" s="371"/>
      <c r="V412" s="371"/>
      <c r="W412" s="371"/>
      <c r="X412" s="371"/>
      <c r="Y412" s="371"/>
    </row>
    <row r="413" ht="28.5" customHeight="1">
      <c r="A413" s="371"/>
      <c r="B413" s="307"/>
      <c r="C413" s="307"/>
      <c r="D413" s="307"/>
      <c r="E413" s="307"/>
      <c r="F413" s="307"/>
      <c r="G413" s="307"/>
      <c r="H413" s="371"/>
      <c r="I413" s="371"/>
      <c r="J413" s="371"/>
      <c r="K413" s="371"/>
      <c r="L413" s="371"/>
      <c r="M413" s="371"/>
      <c r="N413" s="371"/>
      <c r="O413" s="371"/>
      <c r="P413" s="371"/>
      <c r="Q413" s="371"/>
      <c r="R413" s="371"/>
      <c r="S413" s="371"/>
      <c r="T413" s="371"/>
      <c r="U413" s="371"/>
      <c r="V413" s="371"/>
      <c r="W413" s="371"/>
      <c r="X413" s="371"/>
      <c r="Y413" s="371"/>
    </row>
    <row r="414" ht="28.5" customHeight="1">
      <c r="A414" s="371"/>
      <c r="B414" s="307"/>
      <c r="C414" s="307"/>
      <c r="D414" s="307"/>
      <c r="E414" s="307"/>
      <c r="F414" s="307"/>
      <c r="G414" s="307"/>
      <c r="H414" s="371"/>
      <c r="I414" s="371"/>
      <c r="J414" s="371"/>
      <c r="K414" s="371"/>
      <c r="L414" s="371"/>
      <c r="M414" s="371"/>
      <c r="N414" s="371"/>
      <c r="O414" s="371"/>
      <c r="P414" s="371"/>
      <c r="Q414" s="371"/>
      <c r="R414" s="371"/>
      <c r="S414" s="371"/>
      <c r="T414" s="371"/>
      <c r="U414" s="371"/>
      <c r="V414" s="371"/>
      <c r="W414" s="371"/>
      <c r="X414" s="371"/>
      <c r="Y414" s="371"/>
    </row>
    <row r="415" ht="28.5" customHeight="1">
      <c r="A415" s="371"/>
      <c r="B415" s="307"/>
      <c r="C415" s="307"/>
      <c r="D415" s="307"/>
      <c r="E415" s="307"/>
      <c r="F415" s="307"/>
      <c r="G415" s="307"/>
      <c r="H415" s="371"/>
      <c r="I415" s="371"/>
      <c r="J415" s="371"/>
      <c r="K415" s="371"/>
      <c r="L415" s="371"/>
      <c r="M415" s="371"/>
      <c r="N415" s="371"/>
      <c r="O415" s="371"/>
      <c r="P415" s="371"/>
      <c r="Q415" s="371"/>
      <c r="R415" s="371"/>
      <c r="S415" s="371"/>
      <c r="T415" s="371"/>
      <c r="U415" s="371"/>
      <c r="V415" s="371"/>
      <c r="W415" s="371"/>
      <c r="X415" s="371"/>
      <c r="Y415" s="371"/>
    </row>
    <row r="416" ht="28.5" customHeight="1">
      <c r="A416" s="371"/>
      <c r="B416" s="307"/>
      <c r="C416" s="307"/>
      <c r="D416" s="307"/>
      <c r="E416" s="307"/>
      <c r="F416" s="307"/>
      <c r="G416" s="307"/>
      <c r="H416" s="371"/>
      <c r="I416" s="371"/>
      <c r="J416" s="371"/>
      <c r="K416" s="371"/>
      <c r="L416" s="371"/>
      <c r="M416" s="371"/>
      <c r="N416" s="371"/>
      <c r="O416" s="371"/>
      <c r="P416" s="371"/>
      <c r="Q416" s="371"/>
      <c r="R416" s="371"/>
      <c r="S416" s="371"/>
      <c r="T416" s="371"/>
      <c r="U416" s="371"/>
      <c r="V416" s="371"/>
      <c r="W416" s="371"/>
      <c r="X416" s="371"/>
      <c r="Y416" s="371"/>
    </row>
    <row r="417" ht="28.5" customHeight="1">
      <c r="A417" s="371"/>
      <c r="B417" s="307"/>
      <c r="C417" s="307"/>
      <c r="D417" s="307"/>
      <c r="E417" s="307"/>
      <c r="F417" s="307"/>
      <c r="G417" s="307"/>
      <c r="H417" s="371"/>
      <c r="I417" s="371"/>
      <c r="J417" s="371"/>
      <c r="K417" s="371"/>
      <c r="L417" s="371"/>
      <c r="M417" s="371"/>
      <c r="N417" s="371"/>
      <c r="O417" s="371"/>
      <c r="P417" s="371"/>
      <c r="Q417" s="371"/>
      <c r="R417" s="371"/>
      <c r="S417" s="371"/>
      <c r="T417" s="371"/>
      <c r="U417" s="371"/>
      <c r="V417" s="371"/>
      <c r="W417" s="371"/>
      <c r="X417" s="371"/>
      <c r="Y417" s="371"/>
    </row>
    <row r="418" ht="28.5" customHeight="1">
      <c r="A418" s="371"/>
      <c r="B418" s="307"/>
      <c r="C418" s="307"/>
      <c r="D418" s="307"/>
      <c r="E418" s="307"/>
      <c r="F418" s="307"/>
      <c r="G418" s="307"/>
      <c r="H418" s="371"/>
      <c r="I418" s="371"/>
      <c r="J418" s="371"/>
      <c r="K418" s="371"/>
      <c r="L418" s="371"/>
      <c r="M418" s="371"/>
      <c r="N418" s="371"/>
      <c r="O418" s="371"/>
      <c r="P418" s="371"/>
      <c r="Q418" s="371"/>
      <c r="R418" s="371"/>
      <c r="S418" s="371"/>
      <c r="T418" s="371"/>
      <c r="U418" s="371"/>
      <c r="V418" s="371"/>
      <c r="W418" s="371"/>
      <c r="X418" s="371"/>
      <c r="Y418" s="371"/>
    </row>
    <row r="419" ht="28.5" customHeight="1">
      <c r="A419" s="371"/>
      <c r="B419" s="307"/>
      <c r="C419" s="307"/>
      <c r="D419" s="307"/>
      <c r="E419" s="307"/>
      <c r="F419" s="307"/>
      <c r="G419" s="307"/>
      <c r="H419" s="371"/>
      <c r="I419" s="371"/>
      <c r="J419" s="371"/>
      <c r="K419" s="371"/>
      <c r="L419" s="371"/>
      <c r="M419" s="371"/>
      <c r="N419" s="371"/>
      <c r="O419" s="371"/>
      <c r="P419" s="371"/>
      <c r="Q419" s="371"/>
      <c r="R419" s="371"/>
      <c r="S419" s="371"/>
      <c r="T419" s="371"/>
      <c r="U419" s="371"/>
      <c r="V419" s="371"/>
      <c r="W419" s="371"/>
      <c r="X419" s="371"/>
      <c r="Y419" s="371"/>
    </row>
    <row r="420" ht="28.5" customHeight="1">
      <c r="A420" s="371"/>
      <c r="B420" s="307"/>
      <c r="C420" s="307"/>
      <c r="D420" s="307"/>
      <c r="E420" s="307"/>
      <c r="F420" s="307"/>
      <c r="G420" s="307"/>
      <c r="H420" s="371"/>
      <c r="I420" s="371"/>
      <c r="J420" s="371"/>
      <c r="K420" s="371"/>
      <c r="L420" s="371"/>
      <c r="M420" s="371"/>
      <c r="N420" s="371"/>
      <c r="O420" s="371"/>
      <c r="P420" s="371"/>
      <c r="Q420" s="371"/>
      <c r="R420" s="371"/>
      <c r="S420" s="371"/>
      <c r="T420" s="371"/>
      <c r="U420" s="371"/>
      <c r="V420" s="371"/>
      <c r="W420" s="371"/>
      <c r="X420" s="371"/>
      <c r="Y420" s="371"/>
    </row>
    <row r="421" ht="28.5" customHeight="1">
      <c r="A421" s="371"/>
      <c r="B421" s="307"/>
      <c r="C421" s="307"/>
      <c r="D421" s="307"/>
      <c r="E421" s="307"/>
      <c r="F421" s="307"/>
      <c r="G421" s="307"/>
      <c r="H421" s="371"/>
      <c r="I421" s="371"/>
      <c r="J421" s="371"/>
      <c r="K421" s="371"/>
      <c r="L421" s="371"/>
      <c r="M421" s="371"/>
      <c r="N421" s="371"/>
      <c r="O421" s="371"/>
      <c r="P421" s="371"/>
      <c r="Q421" s="371"/>
      <c r="R421" s="371"/>
      <c r="S421" s="371"/>
      <c r="T421" s="371"/>
      <c r="U421" s="371"/>
      <c r="V421" s="371"/>
      <c r="W421" s="371"/>
      <c r="X421" s="371"/>
      <c r="Y421" s="371"/>
    </row>
    <row r="422" ht="28.5" customHeight="1">
      <c r="A422" s="371"/>
      <c r="B422" s="307"/>
      <c r="C422" s="307"/>
      <c r="D422" s="307"/>
      <c r="E422" s="307"/>
      <c r="F422" s="307"/>
      <c r="G422" s="307"/>
      <c r="H422" s="371"/>
      <c r="I422" s="371"/>
      <c r="J422" s="371"/>
      <c r="K422" s="371"/>
      <c r="L422" s="371"/>
      <c r="M422" s="371"/>
      <c r="N422" s="371"/>
      <c r="O422" s="371"/>
      <c r="P422" s="371"/>
      <c r="Q422" s="371"/>
      <c r="R422" s="371"/>
      <c r="S422" s="371"/>
      <c r="T422" s="371"/>
      <c r="U422" s="371"/>
      <c r="V422" s="371"/>
      <c r="W422" s="371"/>
      <c r="X422" s="371"/>
      <c r="Y422" s="371"/>
    </row>
    <row r="423" ht="28.5" customHeight="1">
      <c r="A423" s="371"/>
      <c r="B423" s="307"/>
      <c r="C423" s="307"/>
      <c r="D423" s="307"/>
      <c r="E423" s="307"/>
      <c r="F423" s="307"/>
      <c r="G423" s="307"/>
      <c r="H423" s="371"/>
      <c r="I423" s="371"/>
      <c r="J423" s="371"/>
      <c r="K423" s="371"/>
      <c r="L423" s="371"/>
      <c r="M423" s="371"/>
      <c r="N423" s="371"/>
      <c r="O423" s="371"/>
      <c r="P423" s="371"/>
      <c r="Q423" s="371"/>
      <c r="R423" s="371"/>
      <c r="S423" s="371"/>
      <c r="T423" s="371"/>
      <c r="U423" s="371"/>
      <c r="V423" s="371"/>
      <c r="W423" s="371"/>
      <c r="X423" s="371"/>
      <c r="Y423" s="371"/>
    </row>
    <row r="424" ht="28.5" customHeight="1">
      <c r="A424" s="371"/>
      <c r="B424" s="307"/>
      <c r="C424" s="307"/>
      <c r="D424" s="307"/>
      <c r="E424" s="307"/>
      <c r="F424" s="307"/>
      <c r="G424" s="307"/>
      <c r="H424" s="371"/>
      <c r="I424" s="371"/>
      <c r="J424" s="371"/>
      <c r="K424" s="371"/>
      <c r="L424" s="371"/>
      <c r="M424" s="371"/>
      <c r="N424" s="371"/>
      <c r="O424" s="371"/>
      <c r="P424" s="371"/>
      <c r="Q424" s="371"/>
      <c r="R424" s="371"/>
      <c r="S424" s="371"/>
      <c r="T424" s="371"/>
      <c r="U424" s="371"/>
      <c r="V424" s="371"/>
      <c r="W424" s="371"/>
      <c r="X424" s="371"/>
      <c r="Y424" s="371"/>
    </row>
    <row r="425" ht="28.5" customHeight="1">
      <c r="A425" s="371"/>
      <c r="B425" s="307"/>
      <c r="C425" s="307"/>
      <c r="D425" s="307"/>
      <c r="E425" s="307"/>
      <c r="F425" s="307"/>
      <c r="G425" s="307"/>
      <c r="H425" s="371"/>
      <c r="I425" s="371"/>
      <c r="J425" s="371"/>
      <c r="K425" s="371"/>
      <c r="L425" s="371"/>
      <c r="M425" s="371"/>
      <c r="N425" s="371"/>
      <c r="O425" s="371"/>
      <c r="P425" s="371"/>
      <c r="Q425" s="371"/>
      <c r="R425" s="371"/>
      <c r="S425" s="371"/>
      <c r="T425" s="371"/>
      <c r="U425" s="371"/>
      <c r="V425" s="371"/>
      <c r="W425" s="371"/>
      <c r="X425" s="371"/>
      <c r="Y425" s="371"/>
    </row>
    <row r="426" ht="28.5" customHeight="1">
      <c r="A426" s="371"/>
      <c r="B426" s="307"/>
      <c r="C426" s="307"/>
      <c r="D426" s="307"/>
      <c r="E426" s="307"/>
      <c r="F426" s="307"/>
      <c r="G426" s="307"/>
      <c r="H426" s="371"/>
      <c r="I426" s="371"/>
      <c r="J426" s="371"/>
      <c r="K426" s="371"/>
      <c r="L426" s="371"/>
      <c r="M426" s="371"/>
      <c r="N426" s="371"/>
      <c r="O426" s="371"/>
      <c r="P426" s="371"/>
      <c r="Q426" s="371"/>
      <c r="R426" s="371"/>
      <c r="S426" s="371"/>
      <c r="T426" s="371"/>
      <c r="U426" s="371"/>
      <c r="V426" s="371"/>
      <c r="W426" s="371"/>
      <c r="X426" s="371"/>
      <c r="Y426" s="371"/>
    </row>
    <row r="427" ht="28.5" customHeight="1">
      <c r="A427" s="371"/>
      <c r="B427" s="307"/>
      <c r="C427" s="307"/>
      <c r="D427" s="307"/>
      <c r="E427" s="307"/>
      <c r="F427" s="307"/>
      <c r="G427" s="307"/>
      <c r="H427" s="371"/>
      <c r="I427" s="371"/>
      <c r="J427" s="371"/>
      <c r="K427" s="371"/>
      <c r="L427" s="371"/>
      <c r="M427" s="371"/>
      <c r="N427" s="371"/>
      <c r="O427" s="371"/>
      <c r="P427" s="371"/>
      <c r="Q427" s="371"/>
      <c r="R427" s="371"/>
      <c r="S427" s="371"/>
      <c r="T427" s="371"/>
      <c r="U427" s="371"/>
      <c r="V427" s="371"/>
      <c r="W427" s="371"/>
      <c r="X427" s="371"/>
      <c r="Y427" s="371"/>
    </row>
    <row r="428" ht="28.5" customHeight="1">
      <c r="A428" s="371"/>
      <c r="B428" s="307"/>
      <c r="C428" s="307"/>
      <c r="D428" s="307"/>
      <c r="E428" s="307"/>
      <c r="F428" s="307"/>
      <c r="G428" s="307"/>
      <c r="H428" s="371"/>
      <c r="I428" s="371"/>
      <c r="J428" s="371"/>
      <c r="K428" s="371"/>
      <c r="L428" s="371"/>
      <c r="M428" s="371"/>
      <c r="N428" s="371"/>
      <c r="O428" s="371"/>
      <c r="P428" s="371"/>
      <c r="Q428" s="371"/>
      <c r="R428" s="371"/>
      <c r="S428" s="371"/>
      <c r="T428" s="371"/>
      <c r="U428" s="371"/>
      <c r="V428" s="371"/>
      <c r="W428" s="371"/>
      <c r="X428" s="371"/>
      <c r="Y428" s="371"/>
    </row>
    <row r="429" ht="28.5" customHeight="1">
      <c r="A429" s="371"/>
      <c r="B429" s="307"/>
      <c r="C429" s="307"/>
      <c r="D429" s="307"/>
      <c r="E429" s="307"/>
      <c r="F429" s="307"/>
      <c r="G429" s="307"/>
      <c r="H429" s="371"/>
      <c r="I429" s="371"/>
      <c r="J429" s="371"/>
      <c r="K429" s="371"/>
      <c r="L429" s="371"/>
      <c r="M429" s="371"/>
      <c r="N429" s="371"/>
      <c r="O429" s="371"/>
      <c r="P429" s="371"/>
      <c r="Q429" s="371"/>
      <c r="R429" s="371"/>
      <c r="S429" s="371"/>
      <c r="T429" s="371"/>
      <c r="U429" s="371"/>
      <c r="V429" s="371"/>
      <c r="W429" s="371"/>
      <c r="X429" s="371"/>
      <c r="Y429" s="371"/>
    </row>
    <row r="430" ht="28.5" customHeight="1">
      <c r="A430" s="371"/>
      <c r="B430" s="307"/>
      <c r="C430" s="307"/>
      <c r="D430" s="307"/>
      <c r="E430" s="307"/>
      <c r="F430" s="307"/>
      <c r="G430" s="307"/>
      <c r="H430" s="371"/>
      <c r="I430" s="371"/>
      <c r="J430" s="371"/>
      <c r="K430" s="371"/>
      <c r="L430" s="371"/>
      <c r="M430" s="371"/>
      <c r="N430" s="371"/>
      <c r="O430" s="371"/>
      <c r="P430" s="371"/>
      <c r="Q430" s="371"/>
      <c r="R430" s="371"/>
      <c r="S430" s="371"/>
      <c r="T430" s="371"/>
      <c r="U430" s="371"/>
      <c r="V430" s="371"/>
      <c r="W430" s="371"/>
      <c r="X430" s="371"/>
      <c r="Y430" s="371"/>
    </row>
    <row r="431" ht="28.5" customHeight="1">
      <c r="A431" s="371"/>
      <c r="B431" s="307"/>
      <c r="C431" s="307"/>
      <c r="D431" s="307"/>
      <c r="E431" s="307"/>
      <c r="F431" s="307"/>
      <c r="G431" s="307"/>
      <c r="H431" s="371"/>
      <c r="I431" s="371"/>
      <c r="J431" s="371"/>
      <c r="K431" s="371"/>
      <c r="L431" s="371"/>
      <c r="M431" s="371"/>
      <c r="N431" s="371"/>
      <c r="O431" s="371"/>
      <c r="P431" s="371"/>
      <c r="Q431" s="371"/>
      <c r="R431" s="371"/>
      <c r="S431" s="371"/>
      <c r="T431" s="371"/>
      <c r="U431" s="371"/>
      <c r="V431" s="371"/>
      <c r="W431" s="371"/>
      <c r="X431" s="371"/>
      <c r="Y431" s="371"/>
    </row>
    <row r="432" ht="28.5" customHeight="1">
      <c r="A432" s="371"/>
      <c r="B432" s="307"/>
      <c r="C432" s="307"/>
      <c r="D432" s="307"/>
      <c r="E432" s="307"/>
      <c r="F432" s="307"/>
      <c r="G432" s="307"/>
      <c r="H432" s="371"/>
      <c r="I432" s="371"/>
      <c r="J432" s="371"/>
      <c r="K432" s="371"/>
      <c r="L432" s="371"/>
      <c r="M432" s="371"/>
      <c r="N432" s="371"/>
      <c r="O432" s="371"/>
      <c r="P432" s="371"/>
      <c r="Q432" s="371"/>
      <c r="R432" s="371"/>
      <c r="S432" s="371"/>
      <c r="T432" s="371"/>
      <c r="U432" s="371"/>
      <c r="V432" s="371"/>
      <c r="W432" s="371"/>
      <c r="X432" s="371"/>
      <c r="Y432" s="371"/>
    </row>
    <row r="433" ht="28.5" customHeight="1">
      <c r="A433" s="371"/>
      <c r="B433" s="307"/>
      <c r="C433" s="307"/>
      <c r="D433" s="307"/>
      <c r="E433" s="307"/>
      <c r="F433" s="307"/>
      <c r="G433" s="307"/>
      <c r="H433" s="371"/>
      <c r="I433" s="371"/>
      <c r="J433" s="371"/>
      <c r="K433" s="371"/>
      <c r="L433" s="371"/>
      <c r="M433" s="371"/>
      <c r="N433" s="371"/>
      <c r="O433" s="371"/>
      <c r="P433" s="371"/>
      <c r="Q433" s="371"/>
      <c r="R433" s="371"/>
      <c r="S433" s="371"/>
      <c r="T433" s="371"/>
      <c r="U433" s="371"/>
      <c r="V433" s="371"/>
      <c r="W433" s="371"/>
      <c r="X433" s="371"/>
      <c r="Y433" s="371"/>
    </row>
    <row r="434" ht="28.5" customHeight="1">
      <c r="A434" s="371"/>
      <c r="B434" s="307"/>
      <c r="C434" s="307"/>
      <c r="D434" s="307"/>
      <c r="E434" s="307"/>
      <c r="F434" s="307"/>
      <c r="G434" s="307"/>
      <c r="H434" s="371"/>
      <c r="I434" s="371"/>
      <c r="J434" s="371"/>
      <c r="K434" s="371"/>
      <c r="L434" s="371"/>
      <c r="M434" s="371"/>
      <c r="N434" s="371"/>
      <c r="O434" s="371"/>
      <c r="P434" s="371"/>
      <c r="Q434" s="371"/>
      <c r="R434" s="371"/>
      <c r="S434" s="371"/>
      <c r="T434" s="371"/>
      <c r="U434" s="371"/>
      <c r="V434" s="371"/>
      <c r="W434" s="371"/>
      <c r="X434" s="371"/>
      <c r="Y434" s="371"/>
    </row>
    <row r="435" ht="28.5" customHeight="1">
      <c r="A435" s="371"/>
      <c r="B435" s="307"/>
      <c r="C435" s="307"/>
      <c r="D435" s="307"/>
      <c r="E435" s="307"/>
      <c r="F435" s="307"/>
      <c r="G435" s="307"/>
      <c r="H435" s="371"/>
      <c r="I435" s="371"/>
      <c r="J435" s="371"/>
      <c r="K435" s="371"/>
      <c r="L435" s="371"/>
      <c r="M435" s="371"/>
      <c r="N435" s="371"/>
      <c r="O435" s="371"/>
      <c r="P435" s="371"/>
      <c r="Q435" s="371"/>
      <c r="R435" s="371"/>
      <c r="S435" s="371"/>
      <c r="T435" s="371"/>
      <c r="U435" s="371"/>
      <c r="V435" s="371"/>
      <c r="W435" s="371"/>
      <c r="X435" s="371"/>
      <c r="Y435" s="371"/>
    </row>
    <row r="436" ht="28.5" customHeight="1">
      <c r="A436" s="371"/>
      <c r="B436" s="307"/>
      <c r="C436" s="307"/>
      <c r="D436" s="307"/>
      <c r="E436" s="307"/>
      <c r="F436" s="307"/>
      <c r="G436" s="307"/>
      <c r="H436" s="371"/>
      <c r="I436" s="371"/>
      <c r="J436" s="371"/>
      <c r="K436" s="371"/>
      <c r="L436" s="371"/>
      <c r="M436" s="371"/>
      <c r="N436" s="371"/>
      <c r="O436" s="371"/>
      <c r="P436" s="371"/>
      <c r="Q436" s="371"/>
      <c r="R436" s="371"/>
      <c r="S436" s="371"/>
      <c r="T436" s="371"/>
      <c r="U436" s="371"/>
      <c r="V436" s="371"/>
      <c r="W436" s="371"/>
      <c r="X436" s="371"/>
      <c r="Y436" s="371"/>
    </row>
    <row r="437" ht="28.5" customHeight="1">
      <c r="A437" s="371"/>
      <c r="B437" s="307"/>
      <c r="C437" s="307"/>
      <c r="D437" s="307"/>
      <c r="E437" s="307"/>
      <c r="F437" s="307"/>
      <c r="G437" s="307"/>
      <c r="H437" s="371"/>
      <c r="I437" s="371"/>
      <c r="J437" s="371"/>
      <c r="K437" s="371"/>
      <c r="L437" s="371"/>
      <c r="M437" s="371"/>
      <c r="N437" s="371"/>
      <c r="O437" s="371"/>
      <c r="P437" s="371"/>
      <c r="Q437" s="371"/>
      <c r="R437" s="371"/>
      <c r="S437" s="371"/>
      <c r="T437" s="371"/>
      <c r="U437" s="371"/>
      <c r="V437" s="371"/>
      <c r="W437" s="371"/>
      <c r="X437" s="371"/>
      <c r="Y437" s="371"/>
    </row>
    <row r="438" ht="28.5" customHeight="1">
      <c r="A438" s="371"/>
      <c r="B438" s="307"/>
      <c r="C438" s="307"/>
      <c r="D438" s="307"/>
      <c r="E438" s="307"/>
      <c r="F438" s="307"/>
      <c r="G438" s="307"/>
      <c r="H438" s="371"/>
      <c r="I438" s="371"/>
      <c r="J438" s="371"/>
      <c r="K438" s="371"/>
      <c r="L438" s="371"/>
      <c r="M438" s="371"/>
      <c r="N438" s="371"/>
      <c r="O438" s="371"/>
      <c r="P438" s="371"/>
      <c r="Q438" s="371"/>
      <c r="R438" s="371"/>
      <c r="S438" s="371"/>
      <c r="T438" s="371"/>
      <c r="U438" s="371"/>
      <c r="V438" s="371"/>
      <c r="W438" s="371"/>
      <c r="X438" s="371"/>
      <c r="Y438" s="371"/>
    </row>
    <row r="439" ht="28.5" customHeight="1">
      <c r="A439" s="371"/>
      <c r="B439" s="307"/>
      <c r="C439" s="307"/>
      <c r="D439" s="307"/>
      <c r="E439" s="307"/>
      <c r="F439" s="307"/>
      <c r="G439" s="307"/>
      <c r="H439" s="371"/>
      <c r="I439" s="371"/>
      <c r="J439" s="371"/>
      <c r="K439" s="371"/>
      <c r="L439" s="371"/>
      <c r="M439" s="371"/>
      <c r="N439" s="371"/>
      <c r="O439" s="371"/>
      <c r="P439" s="371"/>
      <c r="Q439" s="371"/>
      <c r="R439" s="371"/>
      <c r="S439" s="371"/>
      <c r="T439" s="371"/>
      <c r="U439" s="371"/>
      <c r="V439" s="371"/>
      <c r="W439" s="371"/>
      <c r="X439" s="371"/>
      <c r="Y439" s="371"/>
    </row>
    <row r="440" ht="28.5" customHeight="1">
      <c r="A440" s="371"/>
      <c r="B440" s="307"/>
      <c r="C440" s="307"/>
      <c r="D440" s="307"/>
      <c r="E440" s="307"/>
      <c r="F440" s="307"/>
      <c r="G440" s="307"/>
      <c r="H440" s="371"/>
      <c r="I440" s="371"/>
      <c r="J440" s="371"/>
      <c r="K440" s="371"/>
      <c r="L440" s="371"/>
      <c r="M440" s="371"/>
      <c r="N440" s="371"/>
      <c r="O440" s="371"/>
      <c r="P440" s="371"/>
      <c r="Q440" s="371"/>
      <c r="R440" s="371"/>
      <c r="S440" s="371"/>
      <c r="T440" s="371"/>
      <c r="U440" s="371"/>
      <c r="V440" s="371"/>
      <c r="W440" s="371"/>
      <c r="X440" s="371"/>
      <c r="Y440" s="371"/>
    </row>
    <row r="441" ht="28.5" customHeight="1">
      <c r="A441" s="371"/>
      <c r="B441" s="307"/>
      <c r="C441" s="307"/>
      <c r="D441" s="307"/>
      <c r="E441" s="307"/>
      <c r="F441" s="307"/>
      <c r="G441" s="307"/>
      <c r="H441" s="371"/>
      <c r="I441" s="371"/>
      <c r="J441" s="371"/>
      <c r="K441" s="371"/>
      <c r="L441" s="371"/>
      <c r="M441" s="371"/>
      <c r="N441" s="371"/>
      <c r="O441" s="371"/>
      <c r="P441" s="371"/>
      <c r="Q441" s="371"/>
      <c r="R441" s="371"/>
      <c r="S441" s="371"/>
      <c r="T441" s="371"/>
      <c r="U441" s="371"/>
      <c r="V441" s="371"/>
      <c r="W441" s="371"/>
      <c r="X441" s="371"/>
      <c r="Y441" s="371"/>
    </row>
    <row r="442" ht="28.5" customHeight="1">
      <c r="A442" s="371"/>
      <c r="B442" s="307"/>
      <c r="C442" s="307"/>
      <c r="D442" s="307"/>
      <c r="E442" s="307"/>
      <c r="F442" s="307"/>
      <c r="G442" s="307"/>
      <c r="H442" s="371"/>
      <c r="I442" s="371"/>
      <c r="J442" s="371"/>
      <c r="K442" s="371"/>
      <c r="L442" s="371"/>
      <c r="M442" s="371"/>
      <c r="N442" s="371"/>
      <c r="O442" s="371"/>
      <c r="P442" s="371"/>
      <c r="Q442" s="371"/>
      <c r="R442" s="371"/>
      <c r="S442" s="371"/>
      <c r="T442" s="371"/>
      <c r="U442" s="371"/>
      <c r="V442" s="371"/>
      <c r="W442" s="371"/>
      <c r="X442" s="371"/>
      <c r="Y442" s="371"/>
    </row>
    <row r="443" ht="28.5" customHeight="1">
      <c r="A443" s="371"/>
      <c r="B443" s="307"/>
      <c r="C443" s="307"/>
      <c r="D443" s="307"/>
      <c r="E443" s="307"/>
      <c r="F443" s="307"/>
      <c r="G443" s="307"/>
      <c r="H443" s="371"/>
      <c r="I443" s="371"/>
      <c r="J443" s="371"/>
      <c r="K443" s="371"/>
      <c r="L443" s="371"/>
      <c r="M443" s="371"/>
      <c r="N443" s="371"/>
      <c r="O443" s="371"/>
      <c r="P443" s="371"/>
      <c r="Q443" s="371"/>
      <c r="R443" s="371"/>
      <c r="S443" s="371"/>
      <c r="T443" s="371"/>
      <c r="U443" s="371"/>
      <c r="V443" s="371"/>
      <c r="W443" s="371"/>
      <c r="X443" s="371"/>
      <c r="Y443" s="371"/>
    </row>
    <row r="444" ht="28.5" customHeight="1">
      <c r="A444" s="371"/>
      <c r="B444" s="307"/>
      <c r="C444" s="307"/>
      <c r="D444" s="307"/>
      <c r="E444" s="307"/>
      <c r="F444" s="307"/>
      <c r="G444" s="307"/>
      <c r="H444" s="371"/>
      <c r="I444" s="371"/>
      <c r="J444" s="371"/>
      <c r="K444" s="371"/>
      <c r="L444" s="371"/>
      <c r="M444" s="371"/>
      <c r="N444" s="371"/>
      <c r="O444" s="371"/>
      <c r="P444" s="371"/>
      <c r="Q444" s="371"/>
      <c r="R444" s="371"/>
      <c r="S444" s="371"/>
      <c r="T444" s="371"/>
      <c r="U444" s="371"/>
      <c r="V444" s="371"/>
      <c r="W444" s="371"/>
      <c r="X444" s="371"/>
      <c r="Y444" s="371"/>
    </row>
    <row r="445" ht="28.5" customHeight="1">
      <c r="A445" s="371"/>
      <c r="B445" s="307"/>
      <c r="C445" s="307"/>
      <c r="D445" s="307"/>
      <c r="E445" s="307"/>
      <c r="F445" s="307"/>
      <c r="G445" s="307"/>
      <c r="H445" s="371"/>
      <c r="I445" s="371"/>
      <c r="J445" s="371"/>
      <c r="K445" s="371"/>
      <c r="L445" s="371"/>
      <c r="M445" s="371"/>
      <c r="N445" s="371"/>
      <c r="O445" s="371"/>
      <c r="P445" s="371"/>
      <c r="Q445" s="371"/>
      <c r="R445" s="371"/>
      <c r="S445" s="371"/>
      <c r="T445" s="371"/>
      <c r="U445" s="371"/>
      <c r="V445" s="371"/>
      <c r="W445" s="371"/>
      <c r="X445" s="371"/>
      <c r="Y445" s="371"/>
    </row>
    <row r="446" ht="28.5" customHeight="1">
      <c r="A446" s="371"/>
      <c r="B446" s="307"/>
      <c r="C446" s="307"/>
      <c r="D446" s="307"/>
      <c r="E446" s="307"/>
      <c r="F446" s="307"/>
      <c r="G446" s="307"/>
      <c r="H446" s="371"/>
      <c r="I446" s="371"/>
      <c r="J446" s="371"/>
      <c r="K446" s="371"/>
      <c r="L446" s="371"/>
      <c r="M446" s="371"/>
      <c r="N446" s="371"/>
      <c r="O446" s="371"/>
      <c r="P446" s="371"/>
      <c r="Q446" s="371"/>
      <c r="R446" s="371"/>
      <c r="S446" s="371"/>
      <c r="T446" s="371"/>
      <c r="U446" s="371"/>
      <c r="V446" s="371"/>
      <c r="W446" s="371"/>
      <c r="X446" s="371"/>
      <c r="Y446" s="371"/>
    </row>
    <row r="447" ht="28.5" customHeight="1">
      <c r="A447" s="371"/>
      <c r="B447" s="307"/>
      <c r="C447" s="307"/>
      <c r="D447" s="307"/>
      <c r="E447" s="307"/>
      <c r="F447" s="307"/>
      <c r="G447" s="307"/>
      <c r="H447" s="371"/>
      <c r="I447" s="371"/>
      <c r="J447" s="371"/>
      <c r="K447" s="371"/>
      <c r="L447" s="371"/>
      <c r="M447" s="371"/>
      <c r="N447" s="371"/>
      <c r="O447" s="371"/>
      <c r="P447" s="371"/>
      <c r="Q447" s="371"/>
      <c r="R447" s="371"/>
      <c r="S447" s="371"/>
      <c r="T447" s="371"/>
      <c r="U447" s="371"/>
      <c r="V447" s="371"/>
      <c r="W447" s="371"/>
      <c r="X447" s="371"/>
      <c r="Y447" s="371"/>
    </row>
    <row r="448" ht="28.5" customHeight="1">
      <c r="A448" s="371"/>
      <c r="B448" s="307"/>
      <c r="C448" s="307"/>
      <c r="D448" s="307"/>
      <c r="E448" s="307"/>
      <c r="F448" s="307"/>
      <c r="G448" s="307"/>
      <c r="H448" s="371"/>
      <c r="I448" s="371"/>
      <c r="J448" s="371"/>
      <c r="K448" s="371"/>
      <c r="L448" s="371"/>
      <c r="M448" s="371"/>
      <c r="N448" s="371"/>
      <c r="O448" s="371"/>
      <c r="P448" s="371"/>
      <c r="Q448" s="371"/>
      <c r="R448" s="371"/>
      <c r="S448" s="371"/>
      <c r="T448" s="371"/>
      <c r="U448" s="371"/>
      <c r="V448" s="371"/>
      <c r="W448" s="371"/>
      <c r="X448" s="371"/>
      <c r="Y448" s="371"/>
    </row>
    <row r="449" ht="28.5" customHeight="1">
      <c r="A449" s="371"/>
      <c r="B449" s="307"/>
      <c r="C449" s="307"/>
      <c r="D449" s="307"/>
      <c r="E449" s="307"/>
      <c r="F449" s="307"/>
      <c r="G449" s="307"/>
      <c r="H449" s="371"/>
      <c r="I449" s="371"/>
      <c r="J449" s="371"/>
      <c r="K449" s="371"/>
      <c r="L449" s="371"/>
      <c r="M449" s="371"/>
      <c r="N449" s="371"/>
      <c r="O449" s="371"/>
      <c r="P449" s="371"/>
      <c r="Q449" s="371"/>
      <c r="R449" s="371"/>
      <c r="S449" s="371"/>
      <c r="T449" s="371"/>
      <c r="U449" s="371"/>
      <c r="V449" s="371"/>
      <c r="W449" s="371"/>
      <c r="X449" s="371"/>
      <c r="Y449" s="371"/>
    </row>
    <row r="450" ht="28.5" customHeight="1">
      <c r="A450" s="371"/>
      <c r="B450" s="307"/>
      <c r="C450" s="307"/>
      <c r="D450" s="307"/>
      <c r="E450" s="307"/>
      <c r="F450" s="307"/>
      <c r="G450" s="307"/>
      <c r="H450" s="371"/>
      <c r="I450" s="371"/>
      <c r="J450" s="371"/>
      <c r="K450" s="371"/>
      <c r="L450" s="371"/>
      <c r="M450" s="371"/>
      <c r="N450" s="371"/>
      <c r="O450" s="371"/>
      <c r="P450" s="371"/>
      <c r="Q450" s="371"/>
      <c r="R450" s="371"/>
      <c r="S450" s="371"/>
      <c r="T450" s="371"/>
      <c r="U450" s="371"/>
      <c r="V450" s="371"/>
      <c r="W450" s="371"/>
      <c r="X450" s="371"/>
      <c r="Y450" s="371"/>
    </row>
    <row r="451" ht="28.5" customHeight="1">
      <c r="A451" s="371"/>
      <c r="B451" s="307"/>
      <c r="C451" s="307"/>
      <c r="D451" s="307"/>
      <c r="E451" s="307"/>
      <c r="F451" s="307"/>
      <c r="G451" s="307"/>
      <c r="H451" s="371"/>
      <c r="I451" s="371"/>
      <c r="J451" s="371"/>
      <c r="K451" s="371"/>
      <c r="L451" s="371"/>
      <c r="M451" s="371"/>
      <c r="N451" s="371"/>
      <c r="O451" s="371"/>
      <c r="P451" s="371"/>
      <c r="Q451" s="371"/>
      <c r="R451" s="371"/>
      <c r="S451" s="371"/>
      <c r="T451" s="371"/>
      <c r="U451" s="371"/>
      <c r="V451" s="371"/>
      <c r="W451" s="371"/>
      <c r="X451" s="371"/>
      <c r="Y451" s="371"/>
    </row>
    <row r="452" ht="28.5" customHeight="1">
      <c r="A452" s="371"/>
      <c r="B452" s="307"/>
      <c r="C452" s="307"/>
      <c r="D452" s="307"/>
      <c r="E452" s="307"/>
      <c r="F452" s="307"/>
      <c r="G452" s="307"/>
      <c r="H452" s="371"/>
      <c r="I452" s="371"/>
      <c r="J452" s="371"/>
      <c r="K452" s="371"/>
      <c r="L452" s="371"/>
      <c r="M452" s="371"/>
      <c r="N452" s="371"/>
      <c r="O452" s="371"/>
      <c r="P452" s="371"/>
      <c r="Q452" s="371"/>
      <c r="R452" s="371"/>
      <c r="S452" s="371"/>
      <c r="T452" s="371"/>
      <c r="U452" s="371"/>
      <c r="V452" s="371"/>
      <c r="W452" s="371"/>
      <c r="X452" s="371"/>
      <c r="Y452" s="371"/>
    </row>
    <row r="453" ht="28.5" customHeight="1">
      <c r="A453" s="371"/>
      <c r="B453" s="307"/>
      <c r="C453" s="307"/>
      <c r="D453" s="307"/>
      <c r="E453" s="307"/>
      <c r="F453" s="307"/>
      <c r="G453" s="307"/>
      <c r="H453" s="371"/>
      <c r="I453" s="371"/>
      <c r="J453" s="371"/>
      <c r="K453" s="371"/>
      <c r="L453" s="371"/>
      <c r="M453" s="371"/>
      <c r="N453" s="371"/>
      <c r="O453" s="371"/>
      <c r="P453" s="371"/>
      <c r="Q453" s="371"/>
      <c r="R453" s="371"/>
      <c r="S453" s="371"/>
      <c r="T453" s="371"/>
      <c r="U453" s="371"/>
      <c r="V453" s="371"/>
      <c r="W453" s="371"/>
      <c r="X453" s="371"/>
      <c r="Y453" s="371"/>
    </row>
    <row r="454" ht="28.5" customHeight="1">
      <c r="A454" s="371"/>
      <c r="B454" s="307"/>
      <c r="C454" s="307"/>
      <c r="D454" s="307"/>
      <c r="E454" s="307"/>
      <c r="F454" s="307"/>
      <c r="G454" s="307"/>
      <c r="H454" s="371"/>
      <c r="I454" s="371"/>
      <c r="J454" s="371"/>
      <c r="K454" s="371"/>
      <c r="L454" s="371"/>
      <c r="M454" s="371"/>
      <c r="N454" s="371"/>
      <c r="O454" s="371"/>
      <c r="P454" s="371"/>
      <c r="Q454" s="371"/>
      <c r="R454" s="371"/>
      <c r="S454" s="371"/>
      <c r="T454" s="371"/>
      <c r="U454" s="371"/>
      <c r="V454" s="371"/>
      <c r="W454" s="371"/>
      <c r="X454" s="371"/>
      <c r="Y454" s="371"/>
    </row>
    <row r="455" ht="28.5" customHeight="1">
      <c r="A455" s="371"/>
      <c r="B455" s="307"/>
      <c r="C455" s="307"/>
      <c r="D455" s="307"/>
      <c r="E455" s="307"/>
      <c r="F455" s="307"/>
      <c r="G455" s="307"/>
      <c r="H455" s="371"/>
      <c r="I455" s="371"/>
      <c r="J455" s="371"/>
      <c r="K455" s="371"/>
      <c r="L455" s="371"/>
      <c r="M455" s="371"/>
      <c r="N455" s="371"/>
      <c r="O455" s="371"/>
      <c r="P455" s="371"/>
      <c r="Q455" s="371"/>
      <c r="R455" s="371"/>
      <c r="S455" s="371"/>
      <c r="T455" s="371"/>
      <c r="U455" s="371"/>
      <c r="V455" s="371"/>
      <c r="W455" s="371"/>
      <c r="X455" s="371"/>
      <c r="Y455" s="371"/>
    </row>
    <row r="456" ht="28.5" customHeight="1">
      <c r="A456" s="371"/>
      <c r="B456" s="307"/>
      <c r="C456" s="307"/>
      <c r="D456" s="307"/>
      <c r="E456" s="307"/>
      <c r="F456" s="307"/>
      <c r="G456" s="307"/>
      <c r="H456" s="371"/>
      <c r="I456" s="371"/>
      <c r="J456" s="371"/>
      <c r="K456" s="371"/>
      <c r="L456" s="371"/>
      <c r="M456" s="371"/>
      <c r="N456" s="371"/>
      <c r="O456" s="371"/>
      <c r="P456" s="371"/>
      <c r="Q456" s="371"/>
      <c r="R456" s="371"/>
      <c r="S456" s="371"/>
      <c r="T456" s="371"/>
      <c r="U456" s="371"/>
      <c r="V456" s="371"/>
      <c r="W456" s="371"/>
      <c r="X456" s="371"/>
      <c r="Y456" s="371"/>
    </row>
    <row r="457" ht="28.5" customHeight="1">
      <c r="A457" s="371"/>
      <c r="B457" s="307"/>
      <c r="C457" s="307"/>
      <c r="D457" s="307"/>
      <c r="E457" s="307"/>
      <c r="F457" s="307"/>
      <c r="G457" s="307"/>
      <c r="H457" s="371"/>
      <c r="I457" s="371"/>
      <c r="J457" s="371"/>
      <c r="K457" s="371"/>
      <c r="L457" s="371"/>
      <c r="M457" s="371"/>
      <c r="N457" s="371"/>
      <c r="O457" s="371"/>
      <c r="P457" s="371"/>
      <c r="Q457" s="371"/>
      <c r="R457" s="371"/>
      <c r="S457" s="371"/>
      <c r="T457" s="371"/>
      <c r="U457" s="371"/>
      <c r="V457" s="371"/>
      <c r="W457" s="371"/>
      <c r="X457" s="371"/>
      <c r="Y457" s="371"/>
    </row>
    <row r="458" ht="28.5" customHeight="1">
      <c r="A458" s="371"/>
      <c r="B458" s="307"/>
      <c r="C458" s="307"/>
      <c r="D458" s="307"/>
      <c r="E458" s="307"/>
      <c r="F458" s="307"/>
      <c r="G458" s="307"/>
      <c r="H458" s="371"/>
      <c r="I458" s="371"/>
      <c r="J458" s="371"/>
      <c r="K458" s="371"/>
      <c r="L458" s="371"/>
      <c r="M458" s="371"/>
      <c r="N458" s="371"/>
      <c r="O458" s="371"/>
      <c r="P458" s="371"/>
      <c r="Q458" s="371"/>
      <c r="R458" s="371"/>
      <c r="S458" s="371"/>
      <c r="T458" s="371"/>
      <c r="U458" s="371"/>
      <c r="V458" s="371"/>
      <c r="W458" s="371"/>
      <c r="X458" s="371"/>
      <c r="Y458" s="371"/>
    </row>
    <row r="459" ht="28.5" customHeight="1">
      <c r="A459" s="371"/>
      <c r="B459" s="307"/>
      <c r="C459" s="307"/>
      <c r="D459" s="307"/>
      <c r="E459" s="307"/>
      <c r="F459" s="307"/>
      <c r="G459" s="307"/>
      <c r="H459" s="371"/>
      <c r="I459" s="371"/>
      <c r="J459" s="371"/>
      <c r="K459" s="371"/>
      <c r="L459" s="371"/>
      <c r="M459" s="371"/>
      <c r="N459" s="371"/>
      <c r="O459" s="371"/>
      <c r="P459" s="371"/>
      <c r="Q459" s="371"/>
      <c r="R459" s="371"/>
      <c r="S459" s="371"/>
      <c r="T459" s="371"/>
      <c r="U459" s="371"/>
      <c r="V459" s="371"/>
      <c r="W459" s="371"/>
      <c r="X459" s="371"/>
      <c r="Y459" s="371"/>
    </row>
    <row r="460" ht="28.5" customHeight="1">
      <c r="A460" s="371"/>
      <c r="B460" s="307"/>
      <c r="C460" s="307"/>
      <c r="D460" s="307"/>
      <c r="E460" s="307"/>
      <c r="F460" s="307"/>
      <c r="G460" s="307"/>
      <c r="H460" s="371"/>
      <c r="I460" s="371"/>
      <c r="J460" s="371"/>
      <c r="K460" s="371"/>
      <c r="L460" s="371"/>
      <c r="M460" s="371"/>
      <c r="N460" s="371"/>
      <c r="O460" s="371"/>
      <c r="P460" s="371"/>
      <c r="Q460" s="371"/>
      <c r="R460" s="371"/>
      <c r="S460" s="371"/>
      <c r="T460" s="371"/>
      <c r="U460" s="371"/>
      <c r="V460" s="371"/>
      <c r="W460" s="371"/>
      <c r="X460" s="371"/>
      <c r="Y460" s="371"/>
    </row>
    <row r="461" ht="28.5" customHeight="1">
      <c r="A461" s="371"/>
      <c r="B461" s="307"/>
      <c r="C461" s="307"/>
      <c r="D461" s="307"/>
      <c r="E461" s="307"/>
      <c r="F461" s="307"/>
      <c r="G461" s="307"/>
      <c r="H461" s="371"/>
      <c r="I461" s="371"/>
      <c r="J461" s="371"/>
      <c r="K461" s="371"/>
      <c r="L461" s="371"/>
      <c r="M461" s="371"/>
      <c r="N461" s="371"/>
      <c r="O461" s="371"/>
      <c r="P461" s="371"/>
      <c r="Q461" s="371"/>
      <c r="R461" s="371"/>
      <c r="S461" s="371"/>
      <c r="T461" s="371"/>
      <c r="U461" s="371"/>
      <c r="V461" s="371"/>
      <c r="W461" s="371"/>
      <c r="X461" s="371"/>
      <c r="Y461" s="371"/>
    </row>
    <row r="462" ht="28.5" customHeight="1">
      <c r="A462" s="371"/>
      <c r="B462" s="307"/>
      <c r="C462" s="307"/>
      <c r="D462" s="307"/>
      <c r="E462" s="307"/>
      <c r="F462" s="307"/>
      <c r="G462" s="307"/>
      <c r="H462" s="371"/>
      <c r="I462" s="371"/>
      <c r="J462" s="371"/>
      <c r="K462" s="371"/>
      <c r="L462" s="371"/>
      <c r="M462" s="371"/>
      <c r="N462" s="371"/>
      <c r="O462" s="371"/>
      <c r="P462" s="371"/>
      <c r="Q462" s="371"/>
      <c r="R462" s="371"/>
      <c r="S462" s="371"/>
      <c r="T462" s="371"/>
      <c r="U462" s="371"/>
      <c r="V462" s="371"/>
      <c r="W462" s="371"/>
      <c r="X462" s="371"/>
      <c r="Y462" s="371"/>
    </row>
    <row r="463" ht="28.5" customHeight="1">
      <c r="A463" s="371"/>
      <c r="B463" s="307"/>
      <c r="C463" s="307"/>
      <c r="D463" s="307"/>
      <c r="E463" s="307"/>
      <c r="F463" s="307"/>
      <c r="G463" s="307"/>
      <c r="H463" s="371"/>
      <c r="I463" s="371"/>
      <c r="J463" s="371"/>
      <c r="K463" s="371"/>
      <c r="L463" s="371"/>
      <c r="M463" s="371"/>
      <c r="N463" s="371"/>
      <c r="O463" s="371"/>
      <c r="P463" s="371"/>
      <c r="Q463" s="371"/>
      <c r="R463" s="371"/>
      <c r="S463" s="371"/>
      <c r="T463" s="371"/>
      <c r="U463" s="371"/>
      <c r="V463" s="371"/>
      <c r="W463" s="371"/>
      <c r="X463" s="371"/>
      <c r="Y463" s="371"/>
    </row>
    <row r="464" ht="28.5" customHeight="1">
      <c r="A464" s="371"/>
      <c r="B464" s="307"/>
      <c r="C464" s="307"/>
      <c r="D464" s="307"/>
      <c r="E464" s="307"/>
      <c r="F464" s="307"/>
      <c r="G464" s="307"/>
      <c r="H464" s="371"/>
      <c r="I464" s="371"/>
      <c r="J464" s="371"/>
      <c r="K464" s="371"/>
      <c r="L464" s="371"/>
      <c r="M464" s="371"/>
      <c r="N464" s="371"/>
      <c r="O464" s="371"/>
      <c r="P464" s="371"/>
      <c r="Q464" s="371"/>
      <c r="R464" s="371"/>
      <c r="S464" s="371"/>
      <c r="T464" s="371"/>
      <c r="U464" s="371"/>
      <c r="V464" s="371"/>
      <c r="W464" s="371"/>
      <c r="X464" s="371"/>
      <c r="Y464" s="371"/>
    </row>
    <row r="465" ht="28.5" customHeight="1">
      <c r="A465" s="371"/>
      <c r="B465" s="307"/>
      <c r="C465" s="307"/>
      <c r="D465" s="307"/>
      <c r="E465" s="307"/>
      <c r="F465" s="307"/>
      <c r="G465" s="307"/>
      <c r="H465" s="371"/>
      <c r="I465" s="371"/>
      <c r="J465" s="371"/>
      <c r="K465" s="371"/>
      <c r="L465" s="371"/>
      <c r="M465" s="371"/>
      <c r="N465" s="371"/>
      <c r="O465" s="371"/>
      <c r="P465" s="371"/>
      <c r="Q465" s="371"/>
      <c r="R465" s="371"/>
      <c r="S465" s="371"/>
      <c r="T465" s="371"/>
      <c r="U465" s="371"/>
      <c r="V465" s="371"/>
      <c r="W465" s="371"/>
      <c r="X465" s="371"/>
      <c r="Y465" s="371"/>
    </row>
    <row r="466" ht="28.5" customHeight="1">
      <c r="A466" s="371"/>
      <c r="B466" s="307"/>
      <c r="C466" s="307"/>
      <c r="D466" s="307"/>
      <c r="E466" s="307"/>
      <c r="F466" s="307"/>
      <c r="G466" s="307"/>
      <c r="H466" s="371"/>
      <c r="I466" s="371"/>
      <c r="J466" s="371"/>
      <c r="K466" s="371"/>
      <c r="L466" s="371"/>
      <c r="M466" s="371"/>
      <c r="N466" s="371"/>
      <c r="O466" s="371"/>
      <c r="P466" s="371"/>
      <c r="Q466" s="371"/>
      <c r="R466" s="371"/>
      <c r="S466" s="371"/>
      <c r="T466" s="371"/>
      <c r="U466" s="371"/>
      <c r="V466" s="371"/>
      <c r="W466" s="371"/>
      <c r="X466" s="371"/>
      <c r="Y466" s="371"/>
    </row>
    <row r="467" ht="28.5" customHeight="1">
      <c r="A467" s="371"/>
      <c r="B467" s="307"/>
      <c r="C467" s="307"/>
      <c r="D467" s="307"/>
      <c r="E467" s="307"/>
      <c r="F467" s="307"/>
      <c r="G467" s="307"/>
      <c r="H467" s="371"/>
      <c r="I467" s="371"/>
      <c r="J467" s="371"/>
      <c r="K467" s="371"/>
      <c r="L467" s="371"/>
      <c r="M467" s="371"/>
      <c r="N467" s="371"/>
      <c r="O467" s="371"/>
      <c r="P467" s="371"/>
      <c r="Q467" s="371"/>
      <c r="R467" s="371"/>
      <c r="S467" s="371"/>
      <c r="T467" s="371"/>
      <c r="U467" s="371"/>
      <c r="V467" s="371"/>
      <c r="W467" s="371"/>
      <c r="X467" s="371"/>
      <c r="Y467" s="371"/>
    </row>
    <row r="468" ht="28.5" customHeight="1">
      <c r="A468" s="371"/>
      <c r="B468" s="307"/>
      <c r="C468" s="307"/>
      <c r="D468" s="307"/>
      <c r="E468" s="307"/>
      <c r="F468" s="307"/>
      <c r="G468" s="307"/>
      <c r="H468" s="371"/>
      <c r="I468" s="371"/>
      <c r="J468" s="371"/>
      <c r="K468" s="371"/>
      <c r="L468" s="371"/>
      <c r="M468" s="371"/>
      <c r="N468" s="371"/>
      <c r="O468" s="371"/>
      <c r="P468" s="371"/>
      <c r="Q468" s="371"/>
      <c r="R468" s="371"/>
      <c r="S468" s="371"/>
      <c r="T468" s="371"/>
      <c r="U468" s="371"/>
      <c r="V468" s="371"/>
      <c r="W468" s="371"/>
      <c r="X468" s="371"/>
      <c r="Y468" s="371"/>
    </row>
    <row r="469" ht="28.5" customHeight="1">
      <c r="A469" s="371"/>
      <c r="B469" s="307"/>
      <c r="C469" s="307"/>
      <c r="D469" s="307"/>
      <c r="E469" s="307"/>
      <c r="F469" s="307"/>
      <c r="G469" s="307"/>
      <c r="H469" s="371"/>
      <c r="I469" s="371"/>
      <c r="J469" s="371"/>
      <c r="K469" s="371"/>
      <c r="L469" s="371"/>
      <c r="M469" s="371"/>
      <c r="N469" s="371"/>
      <c r="O469" s="371"/>
      <c r="P469" s="371"/>
      <c r="Q469" s="371"/>
      <c r="R469" s="371"/>
      <c r="S469" s="371"/>
      <c r="T469" s="371"/>
      <c r="U469" s="371"/>
      <c r="V469" s="371"/>
      <c r="W469" s="371"/>
      <c r="X469" s="371"/>
      <c r="Y469" s="371"/>
    </row>
    <row r="470" ht="28.5" customHeight="1">
      <c r="A470" s="371"/>
      <c r="B470" s="307"/>
      <c r="C470" s="307"/>
      <c r="D470" s="307"/>
      <c r="E470" s="307"/>
      <c r="F470" s="307"/>
      <c r="G470" s="307"/>
      <c r="H470" s="371"/>
      <c r="I470" s="371"/>
      <c r="J470" s="371"/>
      <c r="K470" s="371"/>
      <c r="L470" s="371"/>
      <c r="M470" s="371"/>
      <c r="N470" s="371"/>
      <c r="O470" s="371"/>
      <c r="P470" s="371"/>
      <c r="Q470" s="371"/>
      <c r="R470" s="371"/>
      <c r="S470" s="371"/>
      <c r="T470" s="371"/>
      <c r="U470" s="371"/>
      <c r="V470" s="371"/>
      <c r="W470" s="371"/>
      <c r="X470" s="371"/>
      <c r="Y470" s="371"/>
    </row>
    <row r="471" ht="28.5" customHeight="1">
      <c r="A471" s="371"/>
      <c r="B471" s="307"/>
      <c r="C471" s="307"/>
      <c r="D471" s="307"/>
      <c r="E471" s="307"/>
      <c r="F471" s="307"/>
      <c r="G471" s="307"/>
      <c r="H471" s="371"/>
      <c r="I471" s="371"/>
      <c r="J471" s="371"/>
      <c r="K471" s="371"/>
      <c r="L471" s="371"/>
      <c r="M471" s="371"/>
      <c r="N471" s="371"/>
      <c r="O471" s="371"/>
      <c r="P471" s="371"/>
      <c r="Q471" s="371"/>
      <c r="R471" s="371"/>
      <c r="S471" s="371"/>
      <c r="T471" s="371"/>
      <c r="U471" s="371"/>
      <c r="V471" s="371"/>
      <c r="W471" s="371"/>
      <c r="X471" s="371"/>
      <c r="Y471" s="371"/>
    </row>
    <row r="472" ht="28.5" customHeight="1">
      <c r="A472" s="371"/>
      <c r="B472" s="307"/>
      <c r="C472" s="307"/>
      <c r="D472" s="307"/>
      <c r="E472" s="307"/>
      <c r="F472" s="307"/>
      <c r="G472" s="307"/>
      <c r="H472" s="371"/>
      <c r="I472" s="371"/>
      <c r="J472" s="371"/>
      <c r="K472" s="371"/>
      <c r="L472" s="371"/>
      <c r="M472" s="371"/>
      <c r="N472" s="371"/>
      <c r="O472" s="371"/>
      <c r="P472" s="371"/>
      <c r="Q472" s="371"/>
      <c r="R472" s="371"/>
      <c r="S472" s="371"/>
      <c r="T472" s="371"/>
      <c r="U472" s="371"/>
      <c r="V472" s="371"/>
      <c r="W472" s="371"/>
      <c r="X472" s="371"/>
      <c r="Y472" s="371"/>
    </row>
    <row r="473" ht="28.5" customHeight="1">
      <c r="A473" s="371"/>
      <c r="B473" s="307"/>
      <c r="C473" s="307"/>
      <c r="D473" s="307"/>
      <c r="E473" s="307"/>
      <c r="F473" s="307"/>
      <c r="G473" s="307"/>
      <c r="H473" s="371"/>
      <c r="I473" s="371"/>
      <c r="J473" s="371"/>
      <c r="K473" s="371"/>
      <c r="L473" s="371"/>
      <c r="M473" s="371"/>
      <c r="N473" s="371"/>
      <c r="O473" s="371"/>
      <c r="P473" s="371"/>
      <c r="Q473" s="371"/>
      <c r="R473" s="371"/>
      <c r="S473" s="371"/>
      <c r="T473" s="371"/>
      <c r="U473" s="371"/>
      <c r="V473" s="371"/>
      <c r="W473" s="371"/>
      <c r="X473" s="371"/>
      <c r="Y473" s="371"/>
    </row>
    <row r="474" ht="28.5" customHeight="1">
      <c r="A474" s="371"/>
      <c r="B474" s="307"/>
      <c r="C474" s="307"/>
      <c r="D474" s="307"/>
      <c r="E474" s="307"/>
      <c r="F474" s="307"/>
      <c r="G474" s="307"/>
      <c r="H474" s="371"/>
      <c r="I474" s="371"/>
      <c r="J474" s="371"/>
      <c r="K474" s="371"/>
      <c r="L474" s="371"/>
      <c r="M474" s="371"/>
      <c r="N474" s="371"/>
      <c r="O474" s="371"/>
      <c r="P474" s="371"/>
      <c r="Q474" s="371"/>
      <c r="R474" s="371"/>
      <c r="S474" s="371"/>
      <c r="T474" s="371"/>
      <c r="U474" s="371"/>
      <c r="V474" s="371"/>
      <c r="W474" s="371"/>
      <c r="X474" s="371"/>
      <c r="Y474" s="371"/>
    </row>
    <row r="475" ht="28.5" customHeight="1">
      <c r="A475" s="371"/>
      <c r="B475" s="307"/>
      <c r="C475" s="307"/>
      <c r="D475" s="307"/>
      <c r="E475" s="307"/>
      <c r="F475" s="307"/>
      <c r="G475" s="307"/>
      <c r="H475" s="371"/>
      <c r="I475" s="371"/>
      <c r="J475" s="371"/>
      <c r="K475" s="371"/>
      <c r="L475" s="371"/>
      <c r="M475" s="371"/>
      <c r="N475" s="371"/>
      <c r="O475" s="371"/>
      <c r="P475" s="371"/>
      <c r="Q475" s="371"/>
      <c r="R475" s="371"/>
      <c r="S475" s="371"/>
      <c r="T475" s="371"/>
      <c r="U475" s="371"/>
      <c r="V475" s="371"/>
      <c r="W475" s="371"/>
      <c r="X475" s="371"/>
      <c r="Y475" s="371"/>
    </row>
    <row r="476" ht="28.5" customHeight="1">
      <c r="A476" s="371"/>
      <c r="B476" s="307"/>
      <c r="C476" s="307"/>
      <c r="D476" s="307"/>
      <c r="E476" s="307"/>
      <c r="F476" s="307"/>
      <c r="G476" s="307"/>
      <c r="H476" s="371"/>
      <c r="I476" s="371"/>
      <c r="J476" s="371"/>
      <c r="K476" s="371"/>
      <c r="L476" s="371"/>
      <c r="M476" s="371"/>
      <c r="N476" s="371"/>
      <c r="O476" s="371"/>
      <c r="P476" s="371"/>
      <c r="Q476" s="371"/>
      <c r="R476" s="371"/>
      <c r="S476" s="371"/>
      <c r="T476" s="371"/>
      <c r="U476" s="371"/>
      <c r="V476" s="371"/>
      <c r="W476" s="371"/>
      <c r="X476" s="371"/>
      <c r="Y476" s="371"/>
    </row>
    <row r="477" ht="28.5" customHeight="1">
      <c r="A477" s="371"/>
      <c r="B477" s="307"/>
      <c r="C477" s="307"/>
      <c r="D477" s="307"/>
      <c r="E477" s="307"/>
      <c r="F477" s="307"/>
      <c r="G477" s="307"/>
      <c r="H477" s="371"/>
      <c r="I477" s="371"/>
      <c r="J477" s="371"/>
      <c r="K477" s="371"/>
      <c r="L477" s="371"/>
      <c r="M477" s="371"/>
      <c r="N477" s="371"/>
      <c r="O477" s="371"/>
      <c r="P477" s="371"/>
      <c r="Q477" s="371"/>
      <c r="R477" s="371"/>
      <c r="S477" s="371"/>
      <c r="T477" s="371"/>
      <c r="U477" s="371"/>
      <c r="V477" s="371"/>
      <c r="W477" s="371"/>
      <c r="X477" s="371"/>
      <c r="Y477" s="371"/>
    </row>
    <row r="478" ht="28.5" customHeight="1">
      <c r="A478" s="371"/>
      <c r="B478" s="307"/>
      <c r="C478" s="307"/>
      <c r="D478" s="307"/>
      <c r="E478" s="307"/>
      <c r="F478" s="307"/>
      <c r="G478" s="307"/>
      <c r="H478" s="371"/>
      <c r="I478" s="371"/>
      <c r="J478" s="371"/>
      <c r="K478" s="371"/>
      <c r="L478" s="371"/>
      <c r="M478" s="371"/>
      <c r="N478" s="371"/>
      <c r="O478" s="371"/>
      <c r="P478" s="371"/>
      <c r="Q478" s="371"/>
      <c r="R478" s="371"/>
      <c r="S478" s="371"/>
      <c r="T478" s="371"/>
      <c r="U478" s="371"/>
      <c r="V478" s="371"/>
      <c r="W478" s="371"/>
      <c r="X478" s="371"/>
      <c r="Y478" s="371"/>
    </row>
    <row r="479" ht="28.5" customHeight="1">
      <c r="A479" s="371"/>
      <c r="B479" s="307"/>
      <c r="C479" s="307"/>
      <c r="D479" s="307"/>
      <c r="E479" s="307"/>
      <c r="F479" s="307"/>
      <c r="G479" s="307"/>
      <c r="H479" s="371"/>
      <c r="I479" s="371"/>
      <c r="J479" s="371"/>
      <c r="K479" s="371"/>
      <c r="L479" s="371"/>
      <c r="M479" s="371"/>
      <c r="N479" s="371"/>
      <c r="O479" s="371"/>
      <c r="P479" s="371"/>
      <c r="Q479" s="371"/>
      <c r="R479" s="371"/>
      <c r="S479" s="371"/>
      <c r="T479" s="371"/>
      <c r="U479" s="371"/>
      <c r="V479" s="371"/>
      <c r="W479" s="371"/>
      <c r="X479" s="371"/>
      <c r="Y479" s="371"/>
    </row>
    <row r="480" ht="28.5" customHeight="1">
      <c r="A480" s="371"/>
      <c r="B480" s="307"/>
      <c r="C480" s="307"/>
      <c r="D480" s="307"/>
      <c r="E480" s="307"/>
      <c r="F480" s="307"/>
      <c r="G480" s="307"/>
      <c r="H480" s="371"/>
      <c r="I480" s="371"/>
      <c r="J480" s="371"/>
      <c r="K480" s="371"/>
      <c r="L480" s="371"/>
      <c r="M480" s="371"/>
      <c r="N480" s="371"/>
      <c r="O480" s="371"/>
      <c r="P480" s="371"/>
      <c r="Q480" s="371"/>
      <c r="R480" s="371"/>
      <c r="S480" s="371"/>
      <c r="T480" s="371"/>
      <c r="U480" s="371"/>
      <c r="V480" s="371"/>
      <c r="W480" s="371"/>
      <c r="X480" s="371"/>
      <c r="Y480" s="371"/>
    </row>
    <row r="481" ht="28.5" customHeight="1">
      <c r="A481" s="371"/>
      <c r="B481" s="307"/>
      <c r="C481" s="307"/>
      <c r="D481" s="307"/>
      <c r="E481" s="307"/>
      <c r="F481" s="307"/>
      <c r="G481" s="307"/>
      <c r="H481" s="371"/>
      <c r="I481" s="371"/>
      <c r="J481" s="371"/>
      <c r="K481" s="371"/>
      <c r="L481" s="371"/>
      <c r="M481" s="371"/>
      <c r="N481" s="371"/>
      <c r="O481" s="371"/>
      <c r="P481" s="371"/>
      <c r="Q481" s="371"/>
      <c r="R481" s="371"/>
      <c r="S481" s="371"/>
      <c r="T481" s="371"/>
      <c r="U481" s="371"/>
      <c r="V481" s="371"/>
      <c r="W481" s="371"/>
      <c r="X481" s="371"/>
      <c r="Y481" s="371"/>
    </row>
    <row r="482" ht="28.5" customHeight="1">
      <c r="A482" s="371"/>
      <c r="B482" s="307"/>
      <c r="C482" s="307"/>
      <c r="D482" s="307"/>
      <c r="E482" s="307"/>
      <c r="F482" s="307"/>
      <c r="G482" s="307"/>
      <c r="H482" s="371"/>
      <c r="I482" s="371"/>
      <c r="J482" s="371"/>
      <c r="K482" s="371"/>
      <c r="L482" s="371"/>
      <c r="M482" s="371"/>
      <c r="N482" s="371"/>
      <c r="O482" s="371"/>
      <c r="P482" s="371"/>
      <c r="Q482" s="371"/>
      <c r="R482" s="371"/>
      <c r="S482" s="371"/>
      <c r="T482" s="371"/>
      <c r="U482" s="371"/>
      <c r="V482" s="371"/>
      <c r="W482" s="371"/>
      <c r="X482" s="371"/>
      <c r="Y482" s="371"/>
    </row>
    <row r="483" ht="28.5" customHeight="1">
      <c r="A483" s="371"/>
      <c r="B483" s="307"/>
      <c r="C483" s="307"/>
      <c r="D483" s="307"/>
      <c r="E483" s="307"/>
      <c r="F483" s="307"/>
      <c r="G483" s="307"/>
      <c r="H483" s="371"/>
      <c r="I483" s="371"/>
      <c r="J483" s="371"/>
      <c r="K483" s="371"/>
      <c r="L483" s="371"/>
      <c r="M483" s="371"/>
      <c r="N483" s="371"/>
      <c r="O483" s="371"/>
      <c r="P483" s="371"/>
      <c r="Q483" s="371"/>
      <c r="R483" s="371"/>
      <c r="S483" s="371"/>
      <c r="T483" s="371"/>
      <c r="U483" s="371"/>
      <c r="V483" s="371"/>
      <c r="W483" s="371"/>
      <c r="X483" s="371"/>
      <c r="Y483" s="371"/>
    </row>
    <row r="484" ht="28.5" customHeight="1">
      <c r="A484" s="371"/>
      <c r="B484" s="307"/>
      <c r="C484" s="307"/>
      <c r="D484" s="307"/>
      <c r="E484" s="307"/>
      <c r="F484" s="307"/>
      <c r="G484" s="307"/>
      <c r="H484" s="371"/>
      <c r="I484" s="371"/>
      <c r="J484" s="371"/>
      <c r="K484" s="371"/>
      <c r="L484" s="371"/>
      <c r="M484" s="371"/>
      <c r="N484" s="371"/>
      <c r="O484" s="371"/>
      <c r="P484" s="371"/>
      <c r="Q484" s="371"/>
      <c r="R484" s="371"/>
      <c r="S484" s="371"/>
      <c r="T484" s="371"/>
      <c r="U484" s="371"/>
      <c r="V484" s="371"/>
      <c r="W484" s="371"/>
      <c r="X484" s="371"/>
      <c r="Y484" s="371"/>
    </row>
    <row r="485" ht="28.5" customHeight="1">
      <c r="A485" s="371"/>
      <c r="B485" s="307"/>
      <c r="C485" s="307"/>
      <c r="D485" s="307"/>
      <c r="E485" s="307"/>
      <c r="F485" s="307"/>
      <c r="G485" s="307"/>
      <c r="H485" s="371"/>
      <c r="I485" s="371"/>
      <c r="J485" s="371"/>
      <c r="K485" s="371"/>
      <c r="L485" s="371"/>
      <c r="M485" s="371"/>
      <c r="N485" s="371"/>
      <c r="O485" s="371"/>
      <c r="P485" s="371"/>
      <c r="Q485" s="371"/>
      <c r="R485" s="371"/>
      <c r="S485" s="371"/>
      <c r="T485" s="371"/>
      <c r="U485" s="371"/>
      <c r="V485" s="371"/>
      <c r="W485" s="371"/>
      <c r="X485" s="371"/>
      <c r="Y485" s="371"/>
    </row>
    <row r="486" ht="28.5" customHeight="1">
      <c r="A486" s="371"/>
      <c r="B486" s="307"/>
      <c r="C486" s="307"/>
      <c r="D486" s="307"/>
      <c r="E486" s="307"/>
      <c r="F486" s="307"/>
      <c r="G486" s="307"/>
      <c r="H486" s="371"/>
      <c r="I486" s="371"/>
      <c r="J486" s="371"/>
      <c r="K486" s="371"/>
      <c r="L486" s="371"/>
      <c r="M486" s="371"/>
      <c r="N486" s="371"/>
      <c r="O486" s="371"/>
      <c r="P486" s="371"/>
      <c r="Q486" s="371"/>
      <c r="R486" s="371"/>
      <c r="S486" s="371"/>
      <c r="T486" s="371"/>
      <c r="U486" s="371"/>
      <c r="V486" s="371"/>
      <c r="W486" s="371"/>
      <c r="X486" s="371"/>
      <c r="Y486" s="371"/>
    </row>
    <row r="487" ht="28.5" customHeight="1">
      <c r="A487" s="371"/>
      <c r="B487" s="307"/>
      <c r="C487" s="307"/>
      <c r="D487" s="307"/>
      <c r="E487" s="307"/>
      <c r="F487" s="307"/>
      <c r="G487" s="307"/>
      <c r="H487" s="371"/>
      <c r="I487" s="371"/>
      <c r="J487" s="371"/>
      <c r="K487" s="371"/>
      <c r="L487" s="371"/>
      <c r="M487" s="371"/>
      <c r="N487" s="371"/>
      <c r="O487" s="371"/>
      <c r="P487" s="371"/>
      <c r="Q487" s="371"/>
      <c r="R487" s="371"/>
      <c r="S487" s="371"/>
      <c r="T487" s="371"/>
      <c r="U487" s="371"/>
      <c r="V487" s="371"/>
      <c r="W487" s="371"/>
      <c r="X487" s="371"/>
      <c r="Y487" s="371"/>
    </row>
    <row r="488" ht="28.5" customHeight="1">
      <c r="A488" s="371"/>
      <c r="B488" s="307"/>
      <c r="C488" s="307"/>
      <c r="D488" s="307"/>
      <c r="E488" s="307"/>
      <c r="F488" s="307"/>
      <c r="G488" s="307"/>
      <c r="H488" s="371"/>
      <c r="I488" s="371"/>
      <c r="J488" s="371"/>
      <c r="K488" s="371"/>
      <c r="L488" s="371"/>
      <c r="M488" s="371"/>
      <c r="N488" s="371"/>
      <c r="O488" s="371"/>
      <c r="P488" s="371"/>
      <c r="Q488" s="371"/>
      <c r="R488" s="371"/>
      <c r="S488" s="371"/>
      <c r="T488" s="371"/>
      <c r="U488" s="371"/>
      <c r="V488" s="371"/>
      <c r="W488" s="371"/>
      <c r="X488" s="371"/>
      <c r="Y488" s="371"/>
    </row>
    <row r="489" ht="28.5" customHeight="1">
      <c r="A489" s="371"/>
      <c r="B489" s="307"/>
      <c r="C489" s="307"/>
      <c r="D489" s="307"/>
      <c r="E489" s="307"/>
      <c r="F489" s="307"/>
      <c r="G489" s="307"/>
      <c r="H489" s="371"/>
      <c r="I489" s="371"/>
      <c r="J489" s="371"/>
      <c r="K489" s="371"/>
      <c r="L489" s="371"/>
      <c r="M489" s="371"/>
      <c r="N489" s="371"/>
      <c r="O489" s="371"/>
      <c r="P489" s="371"/>
      <c r="Q489" s="371"/>
      <c r="R489" s="371"/>
      <c r="S489" s="371"/>
      <c r="T489" s="371"/>
      <c r="U489" s="371"/>
      <c r="V489" s="371"/>
      <c r="W489" s="371"/>
      <c r="X489" s="371"/>
      <c r="Y489" s="371"/>
    </row>
    <row r="490" ht="28.5" customHeight="1">
      <c r="A490" s="371"/>
      <c r="B490" s="307"/>
      <c r="C490" s="307"/>
      <c r="D490" s="307"/>
      <c r="E490" s="307"/>
      <c r="F490" s="307"/>
      <c r="G490" s="307"/>
      <c r="H490" s="371"/>
      <c r="I490" s="371"/>
      <c r="J490" s="371"/>
      <c r="K490" s="371"/>
      <c r="L490" s="371"/>
      <c r="M490" s="371"/>
      <c r="N490" s="371"/>
      <c r="O490" s="371"/>
      <c r="P490" s="371"/>
      <c r="Q490" s="371"/>
      <c r="R490" s="371"/>
      <c r="S490" s="371"/>
      <c r="T490" s="371"/>
      <c r="U490" s="371"/>
      <c r="V490" s="371"/>
      <c r="W490" s="371"/>
      <c r="X490" s="371"/>
      <c r="Y490" s="371"/>
    </row>
    <row r="491" ht="28.5" customHeight="1">
      <c r="A491" s="371"/>
      <c r="B491" s="307"/>
      <c r="C491" s="307"/>
      <c r="D491" s="307"/>
      <c r="E491" s="307"/>
      <c r="F491" s="307"/>
      <c r="G491" s="307"/>
      <c r="H491" s="371"/>
      <c r="I491" s="371"/>
      <c r="J491" s="371"/>
      <c r="K491" s="371"/>
      <c r="L491" s="371"/>
      <c r="M491" s="371"/>
      <c r="N491" s="371"/>
      <c r="O491" s="371"/>
      <c r="P491" s="371"/>
      <c r="Q491" s="371"/>
      <c r="R491" s="371"/>
      <c r="S491" s="371"/>
      <c r="T491" s="371"/>
      <c r="U491" s="371"/>
      <c r="V491" s="371"/>
      <c r="W491" s="371"/>
      <c r="X491" s="371"/>
      <c r="Y491" s="371"/>
    </row>
    <row r="492" ht="28.5" customHeight="1">
      <c r="A492" s="371"/>
      <c r="B492" s="307"/>
      <c r="C492" s="307"/>
      <c r="D492" s="307"/>
      <c r="E492" s="307"/>
      <c r="F492" s="307"/>
      <c r="G492" s="307"/>
      <c r="H492" s="371"/>
      <c r="I492" s="371"/>
      <c r="J492" s="371"/>
      <c r="K492" s="371"/>
      <c r="L492" s="371"/>
      <c r="M492" s="371"/>
      <c r="N492" s="371"/>
      <c r="O492" s="371"/>
      <c r="P492" s="371"/>
      <c r="Q492" s="371"/>
      <c r="R492" s="371"/>
      <c r="S492" s="371"/>
      <c r="T492" s="371"/>
      <c r="U492" s="371"/>
      <c r="V492" s="371"/>
      <c r="W492" s="371"/>
      <c r="X492" s="371"/>
      <c r="Y492" s="371"/>
    </row>
    <row r="493" ht="28.5" customHeight="1">
      <c r="A493" s="371"/>
      <c r="B493" s="307"/>
      <c r="C493" s="307"/>
      <c r="D493" s="307"/>
      <c r="E493" s="307"/>
      <c r="F493" s="307"/>
      <c r="G493" s="307"/>
      <c r="H493" s="371"/>
      <c r="I493" s="371"/>
      <c r="J493" s="371"/>
      <c r="K493" s="371"/>
      <c r="L493" s="371"/>
      <c r="M493" s="371"/>
      <c r="N493" s="371"/>
      <c r="O493" s="371"/>
      <c r="P493" s="371"/>
      <c r="Q493" s="371"/>
      <c r="R493" s="371"/>
      <c r="S493" s="371"/>
      <c r="T493" s="371"/>
      <c r="U493" s="371"/>
      <c r="V493" s="371"/>
      <c r="W493" s="371"/>
      <c r="X493" s="371"/>
      <c r="Y493" s="371"/>
    </row>
    <row r="494" ht="28.5" customHeight="1">
      <c r="A494" s="371"/>
      <c r="B494" s="307"/>
      <c r="C494" s="307"/>
      <c r="D494" s="307"/>
      <c r="E494" s="307"/>
      <c r="F494" s="307"/>
      <c r="G494" s="307"/>
      <c r="H494" s="371"/>
      <c r="I494" s="371"/>
      <c r="J494" s="371"/>
      <c r="K494" s="371"/>
      <c r="L494" s="371"/>
      <c r="M494" s="371"/>
      <c r="N494" s="371"/>
      <c r="O494" s="371"/>
      <c r="P494" s="371"/>
      <c r="Q494" s="371"/>
      <c r="R494" s="371"/>
      <c r="S494" s="371"/>
      <c r="T494" s="371"/>
      <c r="U494" s="371"/>
      <c r="V494" s="371"/>
      <c r="W494" s="371"/>
      <c r="X494" s="371"/>
      <c r="Y494" s="371"/>
    </row>
    <row r="495" ht="28.5" customHeight="1">
      <c r="A495" s="371"/>
      <c r="B495" s="307"/>
      <c r="C495" s="307"/>
      <c r="D495" s="307"/>
      <c r="E495" s="307"/>
      <c r="F495" s="307"/>
      <c r="G495" s="307"/>
      <c r="H495" s="371"/>
      <c r="I495" s="371"/>
      <c r="J495" s="371"/>
      <c r="K495" s="371"/>
      <c r="L495" s="371"/>
      <c r="M495" s="371"/>
      <c r="N495" s="371"/>
      <c r="O495" s="371"/>
      <c r="P495" s="371"/>
      <c r="Q495" s="371"/>
      <c r="R495" s="371"/>
      <c r="S495" s="371"/>
      <c r="T495" s="371"/>
      <c r="U495" s="371"/>
      <c r="V495" s="371"/>
      <c r="W495" s="371"/>
      <c r="X495" s="371"/>
      <c r="Y495" s="371"/>
    </row>
    <row r="496" ht="28.5" customHeight="1">
      <c r="A496" s="371"/>
      <c r="B496" s="307"/>
      <c r="C496" s="307"/>
      <c r="D496" s="307"/>
      <c r="E496" s="307"/>
      <c r="F496" s="307"/>
      <c r="G496" s="307"/>
      <c r="H496" s="371"/>
      <c r="I496" s="371"/>
      <c r="J496" s="371"/>
      <c r="K496" s="371"/>
      <c r="L496" s="371"/>
      <c r="M496" s="371"/>
      <c r="N496" s="371"/>
      <c r="O496" s="371"/>
      <c r="P496" s="371"/>
      <c r="Q496" s="371"/>
      <c r="R496" s="371"/>
      <c r="S496" s="371"/>
      <c r="T496" s="371"/>
      <c r="U496" s="371"/>
      <c r="V496" s="371"/>
      <c r="W496" s="371"/>
      <c r="X496" s="371"/>
      <c r="Y496" s="371"/>
    </row>
    <row r="497" ht="28.5" customHeight="1">
      <c r="A497" s="371"/>
      <c r="B497" s="307"/>
      <c r="C497" s="307"/>
      <c r="D497" s="307"/>
      <c r="E497" s="307"/>
      <c r="F497" s="307"/>
      <c r="G497" s="307"/>
      <c r="H497" s="371"/>
      <c r="I497" s="371"/>
      <c r="J497" s="371"/>
      <c r="K497" s="371"/>
      <c r="L497" s="371"/>
      <c r="M497" s="371"/>
      <c r="N497" s="371"/>
      <c r="O497" s="371"/>
      <c r="P497" s="371"/>
      <c r="Q497" s="371"/>
      <c r="R497" s="371"/>
      <c r="S497" s="371"/>
      <c r="T497" s="371"/>
      <c r="U497" s="371"/>
      <c r="V497" s="371"/>
      <c r="W497" s="371"/>
      <c r="X497" s="371"/>
      <c r="Y497" s="371"/>
    </row>
    <row r="498" ht="28.5" customHeight="1">
      <c r="A498" s="371"/>
      <c r="B498" s="307"/>
      <c r="C498" s="307"/>
      <c r="D498" s="307"/>
      <c r="E498" s="307"/>
      <c r="F498" s="307"/>
      <c r="G498" s="307"/>
      <c r="H498" s="371"/>
      <c r="I498" s="371"/>
      <c r="J498" s="371"/>
      <c r="K498" s="371"/>
      <c r="L498" s="371"/>
      <c r="M498" s="371"/>
      <c r="N498" s="371"/>
      <c r="O498" s="371"/>
      <c r="P498" s="371"/>
      <c r="Q498" s="371"/>
      <c r="R498" s="371"/>
      <c r="S498" s="371"/>
      <c r="T498" s="371"/>
      <c r="U498" s="371"/>
      <c r="V498" s="371"/>
      <c r="W498" s="371"/>
      <c r="X498" s="371"/>
      <c r="Y498" s="371"/>
    </row>
    <row r="499" ht="28.5" customHeight="1">
      <c r="A499" s="371"/>
      <c r="B499" s="307"/>
      <c r="C499" s="307"/>
      <c r="D499" s="307"/>
      <c r="E499" s="307"/>
      <c r="F499" s="307"/>
      <c r="G499" s="307"/>
      <c r="H499" s="371"/>
      <c r="I499" s="371"/>
      <c r="J499" s="371"/>
      <c r="K499" s="371"/>
      <c r="L499" s="371"/>
      <c r="M499" s="371"/>
      <c r="N499" s="371"/>
      <c r="O499" s="371"/>
      <c r="P499" s="371"/>
      <c r="Q499" s="371"/>
      <c r="R499" s="371"/>
      <c r="S499" s="371"/>
      <c r="T499" s="371"/>
      <c r="U499" s="371"/>
      <c r="V499" s="371"/>
      <c r="W499" s="371"/>
      <c r="X499" s="371"/>
      <c r="Y499" s="371"/>
    </row>
    <row r="500" ht="28.5" customHeight="1">
      <c r="A500" s="371"/>
      <c r="B500" s="307"/>
      <c r="C500" s="307"/>
      <c r="D500" s="307"/>
      <c r="E500" s="307"/>
      <c r="F500" s="307"/>
      <c r="G500" s="307"/>
      <c r="H500" s="371"/>
      <c r="I500" s="371"/>
      <c r="J500" s="371"/>
      <c r="K500" s="371"/>
      <c r="L500" s="371"/>
      <c r="M500" s="371"/>
      <c r="N500" s="371"/>
      <c r="O500" s="371"/>
      <c r="P500" s="371"/>
      <c r="Q500" s="371"/>
      <c r="R500" s="371"/>
      <c r="S500" s="371"/>
      <c r="T500" s="371"/>
      <c r="U500" s="371"/>
      <c r="V500" s="371"/>
      <c r="W500" s="371"/>
      <c r="X500" s="371"/>
      <c r="Y500" s="371"/>
    </row>
    <row r="501" ht="28.5" customHeight="1">
      <c r="A501" s="371"/>
      <c r="B501" s="307"/>
      <c r="C501" s="307"/>
      <c r="D501" s="307"/>
      <c r="E501" s="307"/>
      <c r="F501" s="307"/>
      <c r="G501" s="307"/>
      <c r="H501" s="371"/>
      <c r="I501" s="371"/>
      <c r="J501" s="371"/>
      <c r="K501" s="371"/>
      <c r="L501" s="371"/>
      <c r="M501" s="371"/>
      <c r="N501" s="371"/>
      <c r="O501" s="371"/>
      <c r="P501" s="371"/>
      <c r="Q501" s="371"/>
      <c r="R501" s="371"/>
      <c r="S501" s="371"/>
      <c r="T501" s="371"/>
      <c r="U501" s="371"/>
      <c r="V501" s="371"/>
      <c r="W501" s="371"/>
      <c r="X501" s="371"/>
      <c r="Y501" s="371"/>
    </row>
    <row r="502" ht="28.5" customHeight="1">
      <c r="A502" s="371"/>
      <c r="B502" s="307"/>
      <c r="C502" s="307"/>
      <c r="D502" s="307"/>
      <c r="E502" s="307"/>
      <c r="F502" s="307"/>
      <c r="G502" s="307"/>
      <c r="H502" s="371"/>
      <c r="I502" s="371"/>
      <c r="J502" s="371"/>
      <c r="K502" s="371"/>
      <c r="L502" s="371"/>
      <c r="M502" s="371"/>
      <c r="N502" s="371"/>
      <c r="O502" s="371"/>
      <c r="P502" s="371"/>
      <c r="Q502" s="371"/>
      <c r="R502" s="371"/>
      <c r="S502" s="371"/>
      <c r="T502" s="371"/>
      <c r="U502" s="371"/>
      <c r="V502" s="371"/>
      <c r="W502" s="371"/>
      <c r="X502" s="371"/>
      <c r="Y502" s="371"/>
    </row>
    <row r="503" ht="28.5" customHeight="1">
      <c r="A503" s="371"/>
      <c r="B503" s="307"/>
      <c r="C503" s="307"/>
      <c r="D503" s="307"/>
      <c r="E503" s="307"/>
      <c r="F503" s="307"/>
      <c r="G503" s="307"/>
      <c r="H503" s="371"/>
      <c r="I503" s="371"/>
      <c r="J503" s="371"/>
      <c r="K503" s="371"/>
      <c r="L503" s="371"/>
      <c r="M503" s="371"/>
      <c r="N503" s="371"/>
      <c r="O503" s="371"/>
      <c r="P503" s="371"/>
      <c r="Q503" s="371"/>
      <c r="R503" s="371"/>
      <c r="S503" s="371"/>
      <c r="T503" s="371"/>
      <c r="U503" s="371"/>
      <c r="V503" s="371"/>
      <c r="W503" s="371"/>
      <c r="X503" s="371"/>
      <c r="Y503" s="371"/>
    </row>
    <row r="504" ht="28.5" customHeight="1">
      <c r="A504" s="371"/>
      <c r="B504" s="307"/>
      <c r="C504" s="307"/>
      <c r="D504" s="307"/>
      <c r="E504" s="307"/>
      <c r="F504" s="307"/>
      <c r="G504" s="307"/>
      <c r="H504" s="371"/>
      <c r="I504" s="371"/>
      <c r="J504" s="371"/>
      <c r="K504" s="371"/>
      <c r="L504" s="371"/>
      <c r="M504" s="371"/>
      <c r="N504" s="371"/>
      <c r="O504" s="371"/>
      <c r="P504" s="371"/>
      <c r="Q504" s="371"/>
      <c r="R504" s="371"/>
      <c r="S504" s="371"/>
      <c r="T504" s="371"/>
      <c r="U504" s="371"/>
      <c r="V504" s="371"/>
      <c r="W504" s="371"/>
      <c r="X504" s="371"/>
      <c r="Y504" s="371"/>
    </row>
    <row r="505" ht="28.5" customHeight="1">
      <c r="A505" s="371"/>
      <c r="B505" s="307"/>
      <c r="C505" s="307"/>
      <c r="D505" s="307"/>
      <c r="E505" s="307"/>
      <c r="F505" s="307"/>
      <c r="G505" s="307"/>
      <c r="H505" s="371"/>
      <c r="I505" s="371"/>
      <c r="J505" s="371"/>
      <c r="K505" s="371"/>
      <c r="L505" s="371"/>
      <c r="M505" s="371"/>
      <c r="N505" s="371"/>
      <c r="O505" s="371"/>
      <c r="P505" s="371"/>
      <c r="Q505" s="371"/>
      <c r="R505" s="371"/>
      <c r="S505" s="371"/>
      <c r="T505" s="371"/>
      <c r="U505" s="371"/>
      <c r="V505" s="371"/>
      <c r="W505" s="371"/>
      <c r="X505" s="371"/>
      <c r="Y505" s="371"/>
    </row>
    <row r="506" ht="28.5" customHeight="1">
      <c r="A506" s="371"/>
      <c r="B506" s="307"/>
      <c r="C506" s="307"/>
      <c r="D506" s="307"/>
      <c r="E506" s="307"/>
      <c r="F506" s="307"/>
      <c r="G506" s="307"/>
      <c r="H506" s="371"/>
      <c r="I506" s="371"/>
      <c r="J506" s="371"/>
      <c r="K506" s="371"/>
      <c r="L506" s="371"/>
      <c r="M506" s="371"/>
      <c r="N506" s="371"/>
      <c r="O506" s="371"/>
      <c r="P506" s="371"/>
      <c r="Q506" s="371"/>
      <c r="R506" s="371"/>
      <c r="S506" s="371"/>
      <c r="T506" s="371"/>
      <c r="U506" s="371"/>
      <c r="V506" s="371"/>
      <c r="W506" s="371"/>
      <c r="X506" s="371"/>
      <c r="Y506" s="371"/>
    </row>
    <row r="507" ht="28.5" customHeight="1">
      <c r="A507" s="371"/>
      <c r="B507" s="307"/>
      <c r="C507" s="307"/>
      <c r="D507" s="307"/>
      <c r="E507" s="307"/>
      <c r="F507" s="307"/>
      <c r="G507" s="307"/>
      <c r="H507" s="371"/>
      <c r="I507" s="371"/>
      <c r="J507" s="371"/>
      <c r="K507" s="371"/>
      <c r="L507" s="371"/>
      <c r="M507" s="371"/>
      <c r="N507" s="371"/>
      <c r="O507" s="371"/>
      <c r="P507" s="371"/>
      <c r="Q507" s="371"/>
      <c r="R507" s="371"/>
      <c r="S507" s="371"/>
      <c r="T507" s="371"/>
      <c r="U507" s="371"/>
      <c r="V507" s="371"/>
      <c r="W507" s="371"/>
      <c r="X507" s="371"/>
      <c r="Y507" s="371"/>
    </row>
    <row r="508" ht="28.5" customHeight="1">
      <c r="A508" s="371"/>
      <c r="B508" s="307"/>
      <c r="C508" s="307"/>
      <c r="D508" s="307"/>
      <c r="E508" s="307"/>
      <c r="F508" s="307"/>
      <c r="G508" s="307"/>
      <c r="H508" s="371"/>
      <c r="I508" s="371"/>
      <c r="J508" s="371"/>
      <c r="K508" s="371"/>
      <c r="L508" s="371"/>
      <c r="M508" s="371"/>
      <c r="N508" s="371"/>
      <c r="O508" s="371"/>
      <c r="P508" s="371"/>
      <c r="Q508" s="371"/>
      <c r="R508" s="371"/>
      <c r="S508" s="371"/>
      <c r="T508" s="371"/>
      <c r="U508" s="371"/>
      <c r="V508" s="371"/>
      <c r="W508" s="371"/>
      <c r="X508" s="371"/>
      <c r="Y508" s="371"/>
    </row>
    <row r="509" ht="28.5" customHeight="1">
      <c r="A509" s="371"/>
      <c r="B509" s="307"/>
      <c r="C509" s="307"/>
      <c r="D509" s="307"/>
      <c r="E509" s="307"/>
      <c r="F509" s="307"/>
      <c r="G509" s="307"/>
      <c r="H509" s="371"/>
      <c r="I509" s="371"/>
      <c r="J509" s="371"/>
      <c r="K509" s="371"/>
      <c r="L509" s="371"/>
      <c r="M509" s="371"/>
      <c r="N509" s="371"/>
      <c r="O509" s="371"/>
      <c r="P509" s="371"/>
      <c r="Q509" s="371"/>
      <c r="R509" s="371"/>
      <c r="S509" s="371"/>
      <c r="T509" s="371"/>
      <c r="U509" s="371"/>
      <c r="V509" s="371"/>
      <c r="W509" s="371"/>
      <c r="X509" s="371"/>
      <c r="Y509" s="371"/>
    </row>
    <row r="510" ht="28.5" customHeight="1">
      <c r="A510" s="371"/>
      <c r="B510" s="307"/>
      <c r="C510" s="307"/>
      <c r="D510" s="307"/>
      <c r="E510" s="307"/>
      <c r="F510" s="307"/>
      <c r="G510" s="307"/>
      <c r="H510" s="371"/>
      <c r="I510" s="371"/>
      <c r="J510" s="371"/>
      <c r="K510" s="371"/>
      <c r="L510" s="371"/>
      <c r="M510" s="371"/>
      <c r="N510" s="371"/>
      <c r="O510" s="371"/>
      <c r="P510" s="371"/>
      <c r="Q510" s="371"/>
      <c r="R510" s="371"/>
      <c r="S510" s="371"/>
      <c r="T510" s="371"/>
      <c r="U510" s="371"/>
      <c r="V510" s="371"/>
      <c r="W510" s="371"/>
      <c r="X510" s="371"/>
      <c r="Y510" s="371"/>
    </row>
    <row r="511" ht="28.5" customHeight="1">
      <c r="A511" s="371"/>
      <c r="B511" s="307"/>
      <c r="C511" s="307"/>
      <c r="D511" s="307"/>
      <c r="E511" s="307"/>
      <c r="F511" s="307"/>
      <c r="G511" s="307"/>
      <c r="H511" s="371"/>
      <c r="I511" s="371"/>
      <c r="J511" s="371"/>
      <c r="K511" s="371"/>
      <c r="L511" s="371"/>
      <c r="M511" s="371"/>
      <c r="N511" s="371"/>
      <c r="O511" s="371"/>
      <c r="P511" s="371"/>
      <c r="Q511" s="371"/>
      <c r="R511" s="371"/>
      <c r="S511" s="371"/>
      <c r="T511" s="371"/>
      <c r="U511" s="371"/>
      <c r="V511" s="371"/>
      <c r="W511" s="371"/>
      <c r="X511" s="371"/>
      <c r="Y511" s="371"/>
    </row>
    <row r="512" ht="28.5" customHeight="1">
      <c r="A512" s="371"/>
      <c r="B512" s="307"/>
      <c r="C512" s="307"/>
      <c r="D512" s="307"/>
      <c r="E512" s="307"/>
      <c r="F512" s="307"/>
      <c r="G512" s="307"/>
      <c r="H512" s="371"/>
      <c r="I512" s="371"/>
      <c r="J512" s="371"/>
      <c r="K512" s="371"/>
      <c r="L512" s="371"/>
      <c r="M512" s="371"/>
      <c r="N512" s="371"/>
      <c r="O512" s="371"/>
      <c r="P512" s="371"/>
      <c r="Q512" s="371"/>
      <c r="R512" s="371"/>
      <c r="S512" s="371"/>
      <c r="T512" s="371"/>
      <c r="U512" s="371"/>
      <c r="V512" s="371"/>
      <c r="W512" s="371"/>
      <c r="X512" s="371"/>
      <c r="Y512" s="371"/>
    </row>
    <row r="513" ht="28.5" customHeight="1">
      <c r="A513" s="371"/>
      <c r="B513" s="307"/>
      <c r="C513" s="307"/>
      <c r="D513" s="307"/>
      <c r="E513" s="307"/>
      <c r="F513" s="307"/>
      <c r="G513" s="307"/>
      <c r="H513" s="371"/>
      <c r="I513" s="371"/>
      <c r="J513" s="371"/>
      <c r="K513" s="371"/>
      <c r="L513" s="371"/>
      <c r="M513" s="371"/>
      <c r="N513" s="371"/>
      <c r="O513" s="371"/>
      <c r="P513" s="371"/>
      <c r="Q513" s="371"/>
      <c r="R513" s="371"/>
      <c r="S513" s="371"/>
      <c r="T513" s="371"/>
      <c r="U513" s="371"/>
      <c r="V513" s="371"/>
      <c r="W513" s="371"/>
      <c r="X513" s="371"/>
      <c r="Y513" s="371"/>
    </row>
    <row r="514" ht="28.5" customHeight="1">
      <c r="A514" s="371"/>
      <c r="B514" s="307"/>
      <c r="C514" s="307"/>
      <c r="D514" s="307"/>
      <c r="E514" s="307"/>
      <c r="F514" s="307"/>
      <c r="G514" s="307"/>
      <c r="H514" s="371"/>
      <c r="I514" s="371"/>
      <c r="J514" s="371"/>
      <c r="K514" s="371"/>
      <c r="L514" s="371"/>
      <c r="M514" s="371"/>
      <c r="N514" s="371"/>
      <c r="O514" s="371"/>
      <c r="P514" s="371"/>
      <c r="Q514" s="371"/>
      <c r="R514" s="371"/>
      <c r="S514" s="371"/>
      <c r="T514" s="371"/>
      <c r="U514" s="371"/>
      <c r="V514" s="371"/>
      <c r="W514" s="371"/>
      <c r="X514" s="371"/>
      <c r="Y514" s="371"/>
    </row>
    <row r="515" ht="28.5" customHeight="1">
      <c r="A515" s="371"/>
      <c r="B515" s="307"/>
      <c r="C515" s="307"/>
      <c r="D515" s="307"/>
      <c r="E515" s="307"/>
      <c r="F515" s="307"/>
      <c r="G515" s="307"/>
      <c r="H515" s="371"/>
      <c r="I515" s="371"/>
      <c r="J515" s="371"/>
      <c r="K515" s="371"/>
      <c r="L515" s="371"/>
      <c r="M515" s="371"/>
      <c r="N515" s="371"/>
      <c r="O515" s="371"/>
      <c r="P515" s="371"/>
      <c r="Q515" s="371"/>
      <c r="R515" s="371"/>
      <c r="S515" s="371"/>
      <c r="T515" s="371"/>
      <c r="U515" s="371"/>
      <c r="V515" s="371"/>
      <c r="W515" s="371"/>
      <c r="X515" s="371"/>
      <c r="Y515" s="371"/>
    </row>
    <row r="516" ht="28.5" customHeight="1">
      <c r="A516" s="371"/>
      <c r="B516" s="307"/>
      <c r="C516" s="307"/>
      <c r="D516" s="307"/>
      <c r="E516" s="307"/>
      <c r="F516" s="307"/>
      <c r="G516" s="307"/>
      <c r="H516" s="371"/>
      <c r="I516" s="371"/>
      <c r="J516" s="371"/>
      <c r="K516" s="371"/>
      <c r="L516" s="371"/>
      <c r="M516" s="371"/>
      <c r="N516" s="371"/>
      <c r="O516" s="371"/>
      <c r="P516" s="371"/>
      <c r="Q516" s="371"/>
      <c r="R516" s="371"/>
      <c r="S516" s="371"/>
      <c r="T516" s="371"/>
      <c r="U516" s="371"/>
      <c r="V516" s="371"/>
      <c r="W516" s="371"/>
      <c r="X516" s="371"/>
      <c r="Y516" s="371"/>
    </row>
    <row r="517" ht="28.5" customHeight="1">
      <c r="A517" s="371"/>
      <c r="B517" s="307"/>
      <c r="C517" s="307"/>
      <c r="D517" s="307"/>
      <c r="E517" s="307"/>
      <c r="F517" s="307"/>
      <c r="G517" s="307"/>
      <c r="H517" s="371"/>
      <c r="I517" s="371"/>
      <c r="J517" s="371"/>
      <c r="K517" s="371"/>
      <c r="L517" s="371"/>
      <c r="M517" s="371"/>
      <c r="N517" s="371"/>
      <c r="O517" s="371"/>
      <c r="P517" s="371"/>
      <c r="Q517" s="371"/>
      <c r="R517" s="371"/>
      <c r="S517" s="371"/>
      <c r="T517" s="371"/>
      <c r="U517" s="371"/>
      <c r="V517" s="371"/>
      <c r="W517" s="371"/>
      <c r="X517" s="371"/>
      <c r="Y517" s="371"/>
    </row>
    <row r="518" ht="28.5" customHeight="1">
      <c r="A518" s="371"/>
      <c r="B518" s="307"/>
      <c r="C518" s="307"/>
      <c r="D518" s="307"/>
      <c r="E518" s="307"/>
      <c r="F518" s="307"/>
      <c r="G518" s="307"/>
      <c r="H518" s="371"/>
      <c r="I518" s="371"/>
      <c r="J518" s="371"/>
      <c r="K518" s="371"/>
      <c r="L518" s="371"/>
      <c r="M518" s="371"/>
      <c r="N518" s="371"/>
      <c r="O518" s="371"/>
      <c r="P518" s="371"/>
      <c r="Q518" s="371"/>
      <c r="R518" s="371"/>
      <c r="S518" s="371"/>
      <c r="T518" s="371"/>
      <c r="U518" s="371"/>
      <c r="V518" s="371"/>
      <c r="W518" s="371"/>
      <c r="X518" s="371"/>
      <c r="Y518" s="371"/>
    </row>
    <row r="519" ht="28.5" customHeight="1">
      <c r="A519" s="371"/>
      <c r="B519" s="307"/>
      <c r="C519" s="307"/>
      <c r="D519" s="307"/>
      <c r="E519" s="307"/>
      <c r="F519" s="307"/>
      <c r="G519" s="307"/>
      <c r="H519" s="371"/>
      <c r="I519" s="371"/>
      <c r="J519" s="371"/>
      <c r="K519" s="371"/>
      <c r="L519" s="371"/>
      <c r="M519" s="371"/>
      <c r="N519" s="371"/>
      <c r="O519" s="371"/>
      <c r="P519" s="371"/>
      <c r="Q519" s="371"/>
      <c r="R519" s="371"/>
      <c r="S519" s="371"/>
      <c r="T519" s="371"/>
      <c r="U519" s="371"/>
      <c r="V519" s="371"/>
      <c r="W519" s="371"/>
      <c r="X519" s="371"/>
      <c r="Y519" s="371"/>
    </row>
    <row r="520" ht="28.5" customHeight="1">
      <c r="A520" s="371"/>
      <c r="B520" s="307"/>
      <c r="C520" s="307"/>
      <c r="D520" s="307"/>
      <c r="E520" s="307"/>
      <c r="F520" s="307"/>
      <c r="G520" s="307"/>
      <c r="H520" s="371"/>
      <c r="I520" s="371"/>
      <c r="J520" s="371"/>
      <c r="K520" s="371"/>
      <c r="L520" s="371"/>
      <c r="M520" s="371"/>
      <c r="N520" s="371"/>
      <c r="O520" s="371"/>
      <c r="P520" s="371"/>
      <c r="Q520" s="371"/>
      <c r="R520" s="371"/>
      <c r="S520" s="371"/>
      <c r="T520" s="371"/>
      <c r="U520" s="371"/>
      <c r="V520" s="371"/>
      <c r="W520" s="371"/>
      <c r="X520" s="371"/>
      <c r="Y520" s="371"/>
    </row>
    <row r="521" ht="28.5" customHeight="1">
      <c r="A521" s="371"/>
      <c r="B521" s="307"/>
      <c r="C521" s="307"/>
      <c r="D521" s="307"/>
      <c r="E521" s="307"/>
      <c r="F521" s="307"/>
      <c r="G521" s="307"/>
      <c r="H521" s="371"/>
      <c r="I521" s="371"/>
      <c r="J521" s="371"/>
      <c r="K521" s="371"/>
      <c r="L521" s="371"/>
      <c r="M521" s="371"/>
      <c r="N521" s="371"/>
      <c r="O521" s="371"/>
      <c r="P521" s="371"/>
      <c r="Q521" s="371"/>
      <c r="R521" s="371"/>
      <c r="S521" s="371"/>
      <c r="T521" s="371"/>
      <c r="U521" s="371"/>
      <c r="V521" s="371"/>
      <c r="W521" s="371"/>
      <c r="X521" s="371"/>
      <c r="Y521" s="371"/>
    </row>
    <row r="522" ht="28.5" customHeight="1">
      <c r="A522" s="371"/>
      <c r="B522" s="307"/>
      <c r="C522" s="307"/>
      <c r="D522" s="307"/>
      <c r="E522" s="307"/>
      <c r="F522" s="307"/>
      <c r="G522" s="307"/>
      <c r="H522" s="371"/>
      <c r="I522" s="371"/>
      <c r="J522" s="371"/>
      <c r="K522" s="371"/>
      <c r="L522" s="371"/>
      <c r="M522" s="371"/>
      <c r="N522" s="371"/>
      <c r="O522" s="371"/>
      <c r="P522" s="371"/>
      <c r="Q522" s="371"/>
      <c r="R522" s="371"/>
      <c r="S522" s="371"/>
      <c r="T522" s="371"/>
      <c r="U522" s="371"/>
      <c r="V522" s="371"/>
      <c r="W522" s="371"/>
      <c r="X522" s="371"/>
      <c r="Y522" s="371"/>
    </row>
    <row r="523" ht="28.5" customHeight="1">
      <c r="A523" s="371"/>
      <c r="B523" s="307"/>
      <c r="C523" s="307"/>
      <c r="D523" s="307"/>
      <c r="E523" s="307"/>
      <c r="F523" s="307"/>
      <c r="G523" s="307"/>
      <c r="H523" s="371"/>
      <c r="I523" s="371"/>
      <c r="J523" s="371"/>
      <c r="K523" s="371"/>
      <c r="L523" s="371"/>
      <c r="M523" s="371"/>
      <c r="N523" s="371"/>
      <c r="O523" s="371"/>
      <c r="P523" s="371"/>
      <c r="Q523" s="371"/>
      <c r="R523" s="371"/>
      <c r="S523" s="371"/>
      <c r="T523" s="371"/>
      <c r="U523" s="371"/>
      <c r="V523" s="371"/>
      <c r="W523" s="371"/>
      <c r="X523" s="371"/>
      <c r="Y523" s="371"/>
    </row>
    <row r="524" ht="28.5" customHeight="1">
      <c r="A524" s="371"/>
      <c r="B524" s="307"/>
      <c r="C524" s="307"/>
      <c r="D524" s="307"/>
      <c r="E524" s="307"/>
      <c r="F524" s="307"/>
      <c r="G524" s="307"/>
      <c r="H524" s="371"/>
      <c r="I524" s="371"/>
      <c r="J524" s="371"/>
      <c r="K524" s="371"/>
      <c r="L524" s="371"/>
      <c r="M524" s="371"/>
      <c r="N524" s="371"/>
      <c r="O524" s="371"/>
      <c r="P524" s="371"/>
      <c r="Q524" s="371"/>
      <c r="R524" s="371"/>
      <c r="S524" s="371"/>
      <c r="T524" s="371"/>
      <c r="U524" s="371"/>
      <c r="V524" s="371"/>
      <c r="W524" s="371"/>
      <c r="X524" s="371"/>
      <c r="Y524" s="371"/>
    </row>
    <row r="525" ht="28.5" customHeight="1">
      <c r="A525" s="371"/>
      <c r="B525" s="307"/>
      <c r="C525" s="307"/>
      <c r="D525" s="307"/>
      <c r="E525" s="307"/>
      <c r="F525" s="307"/>
      <c r="G525" s="307"/>
      <c r="H525" s="371"/>
      <c r="I525" s="371"/>
      <c r="J525" s="371"/>
      <c r="K525" s="371"/>
      <c r="L525" s="371"/>
      <c r="M525" s="371"/>
      <c r="N525" s="371"/>
      <c r="O525" s="371"/>
      <c r="P525" s="371"/>
      <c r="Q525" s="371"/>
      <c r="R525" s="371"/>
      <c r="S525" s="371"/>
      <c r="T525" s="371"/>
      <c r="U525" s="371"/>
      <c r="V525" s="371"/>
      <c r="W525" s="371"/>
      <c r="X525" s="371"/>
      <c r="Y525" s="371"/>
    </row>
    <row r="526" ht="28.5" customHeight="1">
      <c r="A526" s="371"/>
      <c r="B526" s="307"/>
      <c r="C526" s="307"/>
      <c r="D526" s="307"/>
      <c r="E526" s="307"/>
      <c r="F526" s="307"/>
      <c r="G526" s="307"/>
      <c r="H526" s="371"/>
      <c r="I526" s="371"/>
      <c r="J526" s="371"/>
      <c r="K526" s="371"/>
      <c r="L526" s="371"/>
      <c r="M526" s="371"/>
      <c r="N526" s="371"/>
      <c r="O526" s="371"/>
      <c r="P526" s="371"/>
      <c r="Q526" s="371"/>
      <c r="R526" s="371"/>
      <c r="S526" s="371"/>
      <c r="T526" s="371"/>
      <c r="U526" s="371"/>
      <c r="V526" s="371"/>
      <c r="W526" s="371"/>
      <c r="X526" s="371"/>
      <c r="Y526" s="371"/>
    </row>
    <row r="527" ht="28.5" customHeight="1">
      <c r="A527" s="371"/>
      <c r="B527" s="307"/>
      <c r="C527" s="307"/>
      <c r="D527" s="307"/>
      <c r="E527" s="307"/>
      <c r="F527" s="307"/>
      <c r="G527" s="307"/>
      <c r="H527" s="371"/>
      <c r="I527" s="371"/>
      <c r="J527" s="371"/>
      <c r="K527" s="371"/>
      <c r="L527" s="371"/>
      <c r="M527" s="371"/>
      <c r="N527" s="371"/>
      <c r="O527" s="371"/>
      <c r="P527" s="371"/>
      <c r="Q527" s="371"/>
      <c r="R527" s="371"/>
      <c r="S527" s="371"/>
      <c r="T527" s="371"/>
      <c r="U527" s="371"/>
      <c r="V527" s="371"/>
      <c r="W527" s="371"/>
      <c r="X527" s="371"/>
      <c r="Y527" s="371"/>
    </row>
    <row r="528" ht="28.5" customHeight="1">
      <c r="A528" s="371"/>
      <c r="B528" s="307"/>
      <c r="C528" s="307"/>
      <c r="D528" s="307"/>
      <c r="E528" s="307"/>
      <c r="F528" s="307"/>
      <c r="G528" s="307"/>
      <c r="H528" s="371"/>
      <c r="I528" s="371"/>
      <c r="J528" s="371"/>
      <c r="K528" s="371"/>
      <c r="L528" s="371"/>
      <c r="M528" s="371"/>
      <c r="N528" s="371"/>
      <c r="O528" s="371"/>
      <c r="P528" s="371"/>
      <c r="Q528" s="371"/>
      <c r="R528" s="371"/>
      <c r="S528" s="371"/>
      <c r="T528" s="371"/>
      <c r="U528" s="371"/>
      <c r="V528" s="371"/>
      <c r="W528" s="371"/>
      <c r="X528" s="371"/>
      <c r="Y528" s="371"/>
    </row>
    <row r="529" ht="28.5" customHeight="1">
      <c r="A529" s="371"/>
      <c r="B529" s="307"/>
      <c r="C529" s="307"/>
      <c r="D529" s="307"/>
      <c r="E529" s="307"/>
      <c r="F529" s="307"/>
      <c r="G529" s="307"/>
      <c r="H529" s="371"/>
      <c r="I529" s="371"/>
      <c r="J529" s="371"/>
      <c r="K529" s="371"/>
      <c r="L529" s="371"/>
      <c r="M529" s="371"/>
      <c r="N529" s="371"/>
      <c r="O529" s="371"/>
      <c r="P529" s="371"/>
      <c r="Q529" s="371"/>
      <c r="R529" s="371"/>
      <c r="S529" s="371"/>
      <c r="T529" s="371"/>
      <c r="U529" s="371"/>
      <c r="V529" s="371"/>
      <c r="W529" s="371"/>
      <c r="X529" s="371"/>
      <c r="Y529" s="371"/>
    </row>
    <row r="530" ht="28.5" customHeight="1">
      <c r="A530" s="371"/>
      <c r="B530" s="307"/>
      <c r="C530" s="307"/>
      <c r="D530" s="307"/>
      <c r="E530" s="307"/>
      <c r="F530" s="307"/>
      <c r="G530" s="307"/>
      <c r="H530" s="371"/>
      <c r="I530" s="371"/>
      <c r="J530" s="371"/>
      <c r="K530" s="371"/>
      <c r="L530" s="371"/>
      <c r="M530" s="371"/>
      <c r="N530" s="371"/>
      <c r="O530" s="371"/>
      <c r="P530" s="371"/>
      <c r="Q530" s="371"/>
      <c r="R530" s="371"/>
      <c r="S530" s="371"/>
      <c r="T530" s="371"/>
      <c r="U530" s="371"/>
      <c r="V530" s="371"/>
      <c r="W530" s="371"/>
      <c r="X530" s="371"/>
      <c r="Y530" s="371"/>
    </row>
    <row r="531" ht="28.5" customHeight="1">
      <c r="A531" s="371"/>
      <c r="B531" s="307"/>
      <c r="C531" s="307"/>
      <c r="D531" s="307"/>
      <c r="E531" s="307"/>
      <c r="F531" s="307"/>
      <c r="G531" s="307"/>
      <c r="H531" s="371"/>
      <c r="I531" s="371"/>
      <c r="J531" s="371"/>
      <c r="K531" s="371"/>
      <c r="L531" s="371"/>
      <c r="M531" s="371"/>
      <c r="N531" s="371"/>
      <c r="O531" s="371"/>
      <c r="P531" s="371"/>
      <c r="Q531" s="371"/>
      <c r="R531" s="371"/>
      <c r="S531" s="371"/>
      <c r="T531" s="371"/>
      <c r="U531" s="371"/>
      <c r="V531" s="371"/>
      <c r="W531" s="371"/>
      <c r="X531" s="371"/>
      <c r="Y531" s="371"/>
    </row>
    <row r="532" ht="28.5" customHeight="1">
      <c r="A532" s="371"/>
      <c r="B532" s="307"/>
      <c r="C532" s="307"/>
      <c r="D532" s="307"/>
      <c r="E532" s="307"/>
      <c r="F532" s="307"/>
      <c r="G532" s="307"/>
      <c r="H532" s="371"/>
      <c r="I532" s="371"/>
      <c r="J532" s="371"/>
      <c r="K532" s="371"/>
      <c r="L532" s="371"/>
      <c r="M532" s="371"/>
      <c r="N532" s="371"/>
      <c r="O532" s="371"/>
      <c r="P532" s="371"/>
      <c r="Q532" s="371"/>
      <c r="R532" s="371"/>
      <c r="S532" s="371"/>
      <c r="T532" s="371"/>
      <c r="U532" s="371"/>
      <c r="V532" s="371"/>
      <c r="W532" s="371"/>
      <c r="X532" s="371"/>
      <c r="Y532" s="371"/>
    </row>
    <row r="533" ht="28.5" customHeight="1">
      <c r="A533" s="371"/>
      <c r="B533" s="307"/>
      <c r="C533" s="307"/>
      <c r="D533" s="307"/>
      <c r="E533" s="307"/>
      <c r="F533" s="307"/>
      <c r="G533" s="307"/>
      <c r="H533" s="371"/>
      <c r="I533" s="371"/>
      <c r="J533" s="371"/>
      <c r="K533" s="371"/>
      <c r="L533" s="371"/>
      <c r="M533" s="371"/>
      <c r="N533" s="371"/>
      <c r="O533" s="371"/>
      <c r="P533" s="371"/>
      <c r="Q533" s="371"/>
      <c r="R533" s="371"/>
      <c r="S533" s="371"/>
      <c r="T533" s="371"/>
      <c r="U533" s="371"/>
      <c r="V533" s="371"/>
      <c r="W533" s="371"/>
      <c r="X533" s="371"/>
      <c r="Y533" s="371"/>
    </row>
    <row r="534" ht="28.5" customHeight="1">
      <c r="A534" s="371"/>
      <c r="B534" s="307"/>
      <c r="C534" s="307"/>
      <c r="D534" s="307"/>
      <c r="E534" s="307"/>
      <c r="F534" s="307"/>
      <c r="G534" s="307"/>
      <c r="H534" s="371"/>
      <c r="I534" s="371"/>
      <c r="J534" s="371"/>
      <c r="K534" s="371"/>
      <c r="L534" s="371"/>
      <c r="M534" s="371"/>
      <c r="N534" s="371"/>
      <c r="O534" s="371"/>
      <c r="P534" s="371"/>
      <c r="Q534" s="371"/>
      <c r="R534" s="371"/>
      <c r="S534" s="371"/>
      <c r="T534" s="371"/>
      <c r="U534" s="371"/>
      <c r="V534" s="371"/>
      <c r="W534" s="371"/>
      <c r="X534" s="371"/>
      <c r="Y534" s="371"/>
    </row>
    <row r="535" ht="28.5" customHeight="1">
      <c r="A535" s="371"/>
      <c r="B535" s="307"/>
      <c r="C535" s="307"/>
      <c r="D535" s="307"/>
      <c r="E535" s="307"/>
      <c r="F535" s="307"/>
      <c r="G535" s="307"/>
      <c r="H535" s="371"/>
      <c r="I535" s="371"/>
      <c r="J535" s="371"/>
      <c r="K535" s="371"/>
      <c r="L535" s="371"/>
      <c r="M535" s="371"/>
      <c r="N535" s="371"/>
      <c r="O535" s="371"/>
      <c r="P535" s="371"/>
      <c r="Q535" s="371"/>
      <c r="R535" s="371"/>
      <c r="S535" s="371"/>
      <c r="T535" s="371"/>
      <c r="U535" s="371"/>
      <c r="V535" s="371"/>
      <c r="W535" s="371"/>
      <c r="X535" s="371"/>
      <c r="Y535" s="371"/>
    </row>
    <row r="536" ht="28.5" customHeight="1">
      <c r="A536" s="371"/>
      <c r="B536" s="307"/>
      <c r="C536" s="307"/>
      <c r="D536" s="307"/>
      <c r="E536" s="307"/>
      <c r="F536" s="307"/>
      <c r="G536" s="307"/>
      <c r="H536" s="371"/>
      <c r="I536" s="371"/>
      <c r="J536" s="371"/>
      <c r="K536" s="371"/>
      <c r="L536" s="371"/>
      <c r="M536" s="371"/>
      <c r="N536" s="371"/>
      <c r="O536" s="371"/>
      <c r="P536" s="371"/>
      <c r="Q536" s="371"/>
      <c r="R536" s="371"/>
      <c r="S536" s="371"/>
      <c r="T536" s="371"/>
      <c r="U536" s="371"/>
      <c r="V536" s="371"/>
      <c r="W536" s="371"/>
      <c r="X536" s="371"/>
      <c r="Y536" s="371"/>
    </row>
    <row r="537" ht="28.5" customHeight="1">
      <c r="A537" s="371"/>
      <c r="B537" s="307"/>
      <c r="C537" s="307"/>
      <c r="D537" s="307"/>
      <c r="E537" s="307"/>
      <c r="F537" s="307"/>
      <c r="G537" s="307"/>
      <c r="H537" s="371"/>
      <c r="I537" s="371"/>
      <c r="J537" s="371"/>
      <c r="K537" s="371"/>
      <c r="L537" s="371"/>
      <c r="M537" s="371"/>
      <c r="N537" s="371"/>
      <c r="O537" s="371"/>
      <c r="P537" s="371"/>
      <c r="Q537" s="371"/>
      <c r="R537" s="371"/>
      <c r="S537" s="371"/>
      <c r="T537" s="371"/>
      <c r="U537" s="371"/>
      <c r="V537" s="371"/>
      <c r="W537" s="371"/>
      <c r="X537" s="371"/>
      <c r="Y537" s="371"/>
    </row>
    <row r="538" ht="28.5" customHeight="1">
      <c r="A538" s="371"/>
      <c r="B538" s="307"/>
      <c r="C538" s="307"/>
      <c r="D538" s="307"/>
      <c r="E538" s="307"/>
      <c r="F538" s="307"/>
      <c r="G538" s="307"/>
      <c r="H538" s="371"/>
      <c r="I538" s="371"/>
      <c r="J538" s="371"/>
      <c r="K538" s="371"/>
      <c r="L538" s="371"/>
      <c r="M538" s="371"/>
      <c r="N538" s="371"/>
      <c r="O538" s="371"/>
      <c r="P538" s="371"/>
      <c r="Q538" s="371"/>
      <c r="R538" s="371"/>
      <c r="S538" s="371"/>
      <c r="T538" s="371"/>
      <c r="U538" s="371"/>
      <c r="V538" s="371"/>
      <c r="W538" s="371"/>
      <c r="X538" s="371"/>
      <c r="Y538" s="371"/>
    </row>
    <row r="539" ht="28.5" customHeight="1">
      <c r="A539" s="371"/>
      <c r="B539" s="307"/>
      <c r="C539" s="307"/>
      <c r="D539" s="307"/>
      <c r="E539" s="307"/>
      <c r="F539" s="307"/>
      <c r="G539" s="307"/>
      <c r="H539" s="371"/>
      <c r="I539" s="371"/>
      <c r="J539" s="371"/>
      <c r="K539" s="371"/>
      <c r="L539" s="371"/>
      <c r="M539" s="371"/>
      <c r="N539" s="371"/>
      <c r="O539" s="371"/>
      <c r="P539" s="371"/>
      <c r="Q539" s="371"/>
      <c r="R539" s="371"/>
      <c r="S539" s="371"/>
      <c r="T539" s="371"/>
      <c r="U539" s="371"/>
      <c r="V539" s="371"/>
      <c r="W539" s="371"/>
      <c r="X539" s="371"/>
      <c r="Y539" s="371"/>
    </row>
    <row r="540" ht="28.5" customHeight="1">
      <c r="A540" s="371"/>
      <c r="B540" s="307"/>
      <c r="C540" s="307"/>
      <c r="D540" s="307"/>
      <c r="E540" s="307"/>
      <c r="F540" s="307"/>
      <c r="G540" s="307"/>
      <c r="H540" s="371"/>
      <c r="I540" s="371"/>
      <c r="J540" s="371"/>
      <c r="K540" s="371"/>
      <c r="L540" s="371"/>
      <c r="M540" s="371"/>
      <c r="N540" s="371"/>
      <c r="O540" s="371"/>
      <c r="P540" s="371"/>
      <c r="Q540" s="371"/>
      <c r="R540" s="371"/>
      <c r="S540" s="371"/>
      <c r="T540" s="371"/>
      <c r="U540" s="371"/>
      <c r="V540" s="371"/>
      <c r="W540" s="371"/>
      <c r="X540" s="371"/>
      <c r="Y540" s="371"/>
    </row>
    <row r="541" ht="28.5" customHeight="1">
      <c r="A541" s="371"/>
      <c r="B541" s="307"/>
      <c r="C541" s="307"/>
      <c r="D541" s="307"/>
      <c r="E541" s="307"/>
      <c r="F541" s="307"/>
      <c r="G541" s="307"/>
      <c r="H541" s="371"/>
      <c r="I541" s="371"/>
      <c r="J541" s="371"/>
      <c r="K541" s="371"/>
      <c r="L541" s="371"/>
      <c r="M541" s="371"/>
      <c r="N541" s="371"/>
      <c r="O541" s="371"/>
      <c r="P541" s="371"/>
      <c r="Q541" s="371"/>
      <c r="R541" s="371"/>
      <c r="S541" s="371"/>
      <c r="T541" s="371"/>
      <c r="U541" s="371"/>
      <c r="V541" s="371"/>
      <c r="W541" s="371"/>
      <c r="X541" s="371"/>
      <c r="Y541" s="371"/>
    </row>
    <row r="542" ht="28.5" customHeight="1">
      <c r="A542" s="371"/>
      <c r="B542" s="307"/>
      <c r="C542" s="307"/>
      <c r="D542" s="307"/>
      <c r="E542" s="307"/>
      <c r="F542" s="307"/>
      <c r="G542" s="307"/>
      <c r="H542" s="371"/>
      <c r="I542" s="371"/>
      <c r="J542" s="371"/>
      <c r="K542" s="371"/>
      <c r="L542" s="371"/>
      <c r="M542" s="371"/>
      <c r="N542" s="371"/>
      <c r="O542" s="371"/>
      <c r="P542" s="371"/>
      <c r="Q542" s="371"/>
      <c r="R542" s="371"/>
      <c r="S542" s="371"/>
      <c r="T542" s="371"/>
      <c r="U542" s="371"/>
      <c r="V542" s="371"/>
      <c r="W542" s="371"/>
      <c r="X542" s="371"/>
      <c r="Y542" s="371"/>
    </row>
    <row r="543" ht="28.5" customHeight="1">
      <c r="A543" s="371"/>
      <c r="B543" s="307"/>
      <c r="C543" s="307"/>
      <c r="D543" s="307"/>
      <c r="E543" s="307"/>
      <c r="F543" s="307"/>
      <c r="G543" s="307"/>
      <c r="H543" s="371"/>
      <c r="I543" s="371"/>
      <c r="J543" s="371"/>
      <c r="K543" s="371"/>
      <c r="L543" s="371"/>
      <c r="M543" s="371"/>
      <c r="N543" s="371"/>
      <c r="O543" s="371"/>
      <c r="P543" s="371"/>
      <c r="Q543" s="371"/>
      <c r="R543" s="371"/>
      <c r="S543" s="371"/>
      <c r="T543" s="371"/>
      <c r="U543" s="371"/>
      <c r="V543" s="371"/>
      <c r="W543" s="371"/>
      <c r="X543" s="371"/>
      <c r="Y543" s="371"/>
    </row>
    <row r="544" ht="28.5" customHeight="1">
      <c r="A544" s="371"/>
      <c r="B544" s="307"/>
      <c r="C544" s="307"/>
      <c r="D544" s="307"/>
      <c r="E544" s="307"/>
      <c r="F544" s="307"/>
      <c r="G544" s="307"/>
      <c r="H544" s="371"/>
      <c r="I544" s="371"/>
      <c r="J544" s="371"/>
      <c r="K544" s="371"/>
      <c r="L544" s="371"/>
      <c r="M544" s="371"/>
      <c r="N544" s="371"/>
      <c r="O544" s="371"/>
      <c r="P544" s="371"/>
      <c r="Q544" s="371"/>
      <c r="R544" s="371"/>
      <c r="S544" s="371"/>
      <c r="T544" s="371"/>
      <c r="U544" s="371"/>
      <c r="V544" s="371"/>
      <c r="W544" s="371"/>
      <c r="X544" s="371"/>
      <c r="Y544" s="371"/>
    </row>
    <row r="545" ht="28.5" customHeight="1">
      <c r="A545" s="371"/>
      <c r="B545" s="307"/>
      <c r="C545" s="307"/>
      <c r="D545" s="307"/>
      <c r="E545" s="307"/>
      <c r="F545" s="307"/>
      <c r="G545" s="307"/>
      <c r="H545" s="371"/>
      <c r="I545" s="371"/>
      <c r="J545" s="371"/>
      <c r="K545" s="371"/>
      <c r="L545" s="371"/>
      <c r="M545" s="371"/>
      <c r="N545" s="371"/>
      <c r="O545" s="371"/>
      <c r="P545" s="371"/>
      <c r="Q545" s="371"/>
      <c r="R545" s="371"/>
      <c r="S545" s="371"/>
      <c r="T545" s="371"/>
      <c r="U545" s="371"/>
      <c r="V545" s="371"/>
      <c r="W545" s="371"/>
      <c r="X545" s="371"/>
      <c r="Y545" s="371"/>
    </row>
    <row r="546" ht="28.5" customHeight="1">
      <c r="A546" s="371"/>
      <c r="B546" s="307"/>
      <c r="C546" s="307"/>
      <c r="D546" s="307"/>
      <c r="E546" s="307"/>
      <c r="F546" s="307"/>
      <c r="G546" s="307"/>
      <c r="H546" s="371"/>
      <c r="I546" s="371"/>
      <c r="J546" s="371"/>
      <c r="K546" s="371"/>
      <c r="L546" s="371"/>
      <c r="M546" s="371"/>
      <c r="N546" s="371"/>
      <c r="O546" s="371"/>
      <c r="P546" s="371"/>
      <c r="Q546" s="371"/>
      <c r="R546" s="371"/>
      <c r="S546" s="371"/>
      <c r="T546" s="371"/>
      <c r="U546" s="371"/>
      <c r="V546" s="371"/>
      <c r="W546" s="371"/>
      <c r="X546" s="371"/>
      <c r="Y546" s="371"/>
    </row>
    <row r="547" ht="28.5" customHeight="1">
      <c r="A547" s="371"/>
      <c r="B547" s="307"/>
      <c r="C547" s="307"/>
      <c r="D547" s="307"/>
      <c r="E547" s="307"/>
      <c r="F547" s="307"/>
      <c r="G547" s="307"/>
      <c r="H547" s="371"/>
      <c r="I547" s="371"/>
      <c r="J547" s="371"/>
      <c r="K547" s="371"/>
      <c r="L547" s="371"/>
      <c r="M547" s="371"/>
      <c r="N547" s="371"/>
      <c r="O547" s="371"/>
      <c r="P547" s="371"/>
      <c r="Q547" s="371"/>
      <c r="R547" s="371"/>
      <c r="S547" s="371"/>
      <c r="T547" s="371"/>
      <c r="U547" s="371"/>
      <c r="V547" s="371"/>
      <c r="W547" s="371"/>
      <c r="X547" s="371"/>
      <c r="Y547" s="371"/>
    </row>
    <row r="548" ht="28.5" customHeight="1">
      <c r="A548" s="371"/>
      <c r="B548" s="307"/>
      <c r="C548" s="307"/>
      <c r="D548" s="307"/>
      <c r="E548" s="307"/>
      <c r="F548" s="307"/>
      <c r="G548" s="307"/>
      <c r="H548" s="371"/>
      <c r="I548" s="371"/>
      <c r="J548" s="371"/>
      <c r="K548" s="371"/>
      <c r="L548" s="371"/>
      <c r="M548" s="371"/>
      <c r="N548" s="371"/>
      <c r="O548" s="371"/>
      <c r="P548" s="371"/>
      <c r="Q548" s="371"/>
      <c r="R548" s="371"/>
      <c r="S548" s="371"/>
      <c r="T548" s="371"/>
      <c r="U548" s="371"/>
      <c r="V548" s="371"/>
      <c r="W548" s="371"/>
      <c r="X548" s="371"/>
      <c r="Y548" s="371"/>
    </row>
    <row r="549" ht="28.5" customHeight="1">
      <c r="A549" s="371"/>
      <c r="B549" s="307"/>
      <c r="C549" s="307"/>
      <c r="D549" s="307"/>
      <c r="E549" s="307"/>
      <c r="F549" s="307"/>
      <c r="G549" s="307"/>
      <c r="H549" s="371"/>
      <c r="I549" s="371"/>
      <c r="J549" s="371"/>
      <c r="K549" s="371"/>
      <c r="L549" s="371"/>
      <c r="M549" s="371"/>
      <c r="N549" s="371"/>
      <c r="O549" s="371"/>
      <c r="P549" s="371"/>
      <c r="Q549" s="371"/>
      <c r="R549" s="371"/>
      <c r="S549" s="371"/>
      <c r="T549" s="371"/>
      <c r="U549" s="371"/>
      <c r="V549" s="371"/>
      <c r="W549" s="371"/>
      <c r="X549" s="371"/>
      <c r="Y549" s="371"/>
    </row>
    <row r="550" ht="28.5" customHeight="1">
      <c r="A550" s="371"/>
      <c r="B550" s="307"/>
      <c r="C550" s="307"/>
      <c r="D550" s="307"/>
      <c r="E550" s="307"/>
      <c r="F550" s="307"/>
      <c r="G550" s="307"/>
      <c r="H550" s="371"/>
      <c r="I550" s="371"/>
      <c r="J550" s="371"/>
      <c r="K550" s="371"/>
      <c r="L550" s="371"/>
      <c r="M550" s="371"/>
      <c r="N550" s="371"/>
      <c r="O550" s="371"/>
      <c r="P550" s="371"/>
      <c r="Q550" s="371"/>
      <c r="R550" s="371"/>
      <c r="S550" s="371"/>
      <c r="T550" s="371"/>
      <c r="U550" s="371"/>
      <c r="V550" s="371"/>
      <c r="W550" s="371"/>
      <c r="X550" s="371"/>
      <c r="Y550" s="371"/>
    </row>
    <row r="551" ht="28.5" customHeight="1">
      <c r="A551" s="371"/>
      <c r="B551" s="307"/>
      <c r="C551" s="307"/>
      <c r="D551" s="307"/>
      <c r="E551" s="307"/>
      <c r="F551" s="307"/>
      <c r="G551" s="307"/>
      <c r="H551" s="371"/>
      <c r="I551" s="371"/>
      <c r="J551" s="371"/>
      <c r="K551" s="371"/>
      <c r="L551" s="371"/>
      <c r="M551" s="371"/>
      <c r="N551" s="371"/>
      <c r="O551" s="371"/>
      <c r="P551" s="371"/>
      <c r="Q551" s="371"/>
      <c r="R551" s="371"/>
      <c r="S551" s="371"/>
      <c r="T551" s="371"/>
      <c r="U551" s="371"/>
      <c r="V551" s="371"/>
      <c r="W551" s="371"/>
      <c r="X551" s="371"/>
      <c r="Y551" s="371"/>
    </row>
    <row r="552" ht="28.5" customHeight="1">
      <c r="A552" s="371"/>
      <c r="B552" s="307"/>
      <c r="C552" s="307"/>
      <c r="D552" s="307"/>
      <c r="E552" s="307"/>
      <c r="F552" s="307"/>
      <c r="G552" s="307"/>
      <c r="H552" s="371"/>
      <c r="I552" s="371"/>
      <c r="J552" s="371"/>
      <c r="K552" s="371"/>
      <c r="L552" s="371"/>
      <c r="M552" s="371"/>
      <c r="N552" s="371"/>
      <c r="O552" s="371"/>
      <c r="P552" s="371"/>
      <c r="Q552" s="371"/>
      <c r="R552" s="371"/>
      <c r="S552" s="371"/>
      <c r="T552" s="371"/>
      <c r="U552" s="371"/>
      <c r="V552" s="371"/>
      <c r="W552" s="371"/>
      <c r="X552" s="371"/>
      <c r="Y552" s="371"/>
    </row>
    <row r="553" ht="28.5" customHeight="1">
      <c r="A553" s="371"/>
      <c r="B553" s="307"/>
      <c r="C553" s="307"/>
      <c r="D553" s="307"/>
      <c r="E553" s="307"/>
      <c r="F553" s="307"/>
      <c r="G553" s="307"/>
      <c r="H553" s="371"/>
      <c r="I553" s="371"/>
      <c r="J553" s="371"/>
      <c r="K553" s="371"/>
      <c r="L553" s="371"/>
      <c r="M553" s="371"/>
      <c r="N553" s="371"/>
      <c r="O553" s="371"/>
      <c r="P553" s="371"/>
      <c r="Q553" s="371"/>
      <c r="R553" s="371"/>
      <c r="S553" s="371"/>
      <c r="T553" s="371"/>
      <c r="U553" s="371"/>
      <c r="V553" s="371"/>
      <c r="W553" s="371"/>
      <c r="X553" s="371"/>
      <c r="Y553" s="371"/>
    </row>
    <row r="554" ht="28.5" customHeight="1">
      <c r="A554" s="371"/>
      <c r="B554" s="307"/>
      <c r="C554" s="307"/>
      <c r="D554" s="307"/>
      <c r="E554" s="307"/>
      <c r="F554" s="307"/>
      <c r="G554" s="307"/>
      <c r="H554" s="371"/>
      <c r="I554" s="371"/>
      <c r="J554" s="371"/>
      <c r="K554" s="371"/>
      <c r="L554" s="371"/>
      <c r="M554" s="371"/>
      <c r="N554" s="371"/>
      <c r="O554" s="371"/>
      <c r="P554" s="371"/>
      <c r="Q554" s="371"/>
      <c r="R554" s="371"/>
      <c r="S554" s="371"/>
      <c r="T554" s="371"/>
      <c r="U554" s="371"/>
      <c r="V554" s="371"/>
      <c r="W554" s="371"/>
      <c r="X554" s="371"/>
      <c r="Y554" s="371"/>
    </row>
    <row r="555" ht="28.5" customHeight="1">
      <c r="A555" s="371"/>
      <c r="B555" s="307"/>
      <c r="C555" s="307"/>
      <c r="D555" s="307"/>
      <c r="E555" s="307"/>
      <c r="F555" s="307"/>
      <c r="G555" s="307"/>
      <c r="H555" s="371"/>
      <c r="I555" s="371"/>
      <c r="J555" s="371"/>
      <c r="K555" s="371"/>
      <c r="L555" s="371"/>
      <c r="M555" s="371"/>
      <c r="N555" s="371"/>
      <c r="O555" s="371"/>
      <c r="P555" s="371"/>
      <c r="Q555" s="371"/>
      <c r="R555" s="371"/>
      <c r="S555" s="371"/>
      <c r="T555" s="371"/>
      <c r="U555" s="371"/>
      <c r="V555" s="371"/>
      <c r="W555" s="371"/>
      <c r="X555" s="371"/>
      <c r="Y555" s="371"/>
    </row>
    <row r="556" ht="28.5" customHeight="1">
      <c r="A556" s="371"/>
      <c r="B556" s="307"/>
      <c r="C556" s="307"/>
      <c r="D556" s="307"/>
      <c r="E556" s="307"/>
      <c r="F556" s="307"/>
      <c r="G556" s="307"/>
      <c r="H556" s="371"/>
      <c r="I556" s="371"/>
      <c r="J556" s="371"/>
      <c r="K556" s="371"/>
      <c r="L556" s="371"/>
      <c r="M556" s="371"/>
      <c r="N556" s="371"/>
      <c r="O556" s="371"/>
      <c r="P556" s="371"/>
      <c r="Q556" s="371"/>
      <c r="R556" s="371"/>
      <c r="S556" s="371"/>
      <c r="T556" s="371"/>
      <c r="U556" s="371"/>
      <c r="V556" s="371"/>
      <c r="W556" s="371"/>
      <c r="X556" s="371"/>
      <c r="Y556" s="371"/>
    </row>
    <row r="557" ht="28.5" customHeight="1">
      <c r="A557" s="371"/>
      <c r="B557" s="307"/>
      <c r="C557" s="307"/>
      <c r="D557" s="307"/>
      <c r="E557" s="307"/>
      <c r="F557" s="307"/>
      <c r="G557" s="307"/>
      <c r="H557" s="371"/>
      <c r="I557" s="371"/>
      <c r="J557" s="371"/>
      <c r="K557" s="371"/>
      <c r="L557" s="371"/>
      <c r="M557" s="371"/>
      <c r="N557" s="371"/>
      <c r="O557" s="371"/>
      <c r="P557" s="371"/>
      <c r="Q557" s="371"/>
      <c r="R557" s="371"/>
      <c r="S557" s="371"/>
      <c r="T557" s="371"/>
      <c r="U557" s="371"/>
      <c r="V557" s="371"/>
      <c r="W557" s="371"/>
      <c r="X557" s="371"/>
      <c r="Y557" s="371"/>
    </row>
    <row r="558" ht="28.5" customHeight="1">
      <c r="A558" s="371"/>
      <c r="B558" s="307"/>
      <c r="C558" s="307"/>
      <c r="D558" s="307"/>
      <c r="E558" s="307"/>
      <c r="F558" s="307"/>
      <c r="G558" s="307"/>
      <c r="H558" s="371"/>
      <c r="I558" s="371"/>
      <c r="J558" s="371"/>
      <c r="K558" s="371"/>
      <c r="L558" s="371"/>
      <c r="M558" s="371"/>
      <c r="N558" s="371"/>
      <c r="O558" s="371"/>
      <c r="P558" s="371"/>
      <c r="Q558" s="371"/>
      <c r="R558" s="371"/>
      <c r="S558" s="371"/>
      <c r="T558" s="371"/>
      <c r="U558" s="371"/>
      <c r="V558" s="371"/>
      <c r="W558" s="371"/>
      <c r="X558" s="371"/>
      <c r="Y558" s="371"/>
    </row>
    <row r="559" ht="28.5" customHeight="1">
      <c r="A559" s="371"/>
      <c r="B559" s="307"/>
      <c r="C559" s="307"/>
      <c r="D559" s="307"/>
      <c r="E559" s="307"/>
      <c r="F559" s="307"/>
      <c r="G559" s="307"/>
      <c r="H559" s="371"/>
      <c r="I559" s="371"/>
      <c r="J559" s="371"/>
      <c r="K559" s="371"/>
      <c r="L559" s="371"/>
      <c r="M559" s="371"/>
      <c r="N559" s="371"/>
      <c r="O559" s="371"/>
      <c r="P559" s="371"/>
      <c r="Q559" s="371"/>
      <c r="R559" s="371"/>
      <c r="S559" s="371"/>
      <c r="T559" s="371"/>
      <c r="U559" s="371"/>
      <c r="V559" s="371"/>
      <c r="W559" s="371"/>
      <c r="X559" s="371"/>
      <c r="Y559" s="371"/>
    </row>
    <row r="560" ht="28.5" customHeight="1">
      <c r="A560" s="371"/>
      <c r="B560" s="307"/>
      <c r="C560" s="307"/>
      <c r="D560" s="307"/>
      <c r="E560" s="307"/>
      <c r="F560" s="307"/>
      <c r="G560" s="307"/>
      <c r="H560" s="371"/>
      <c r="I560" s="371"/>
      <c r="J560" s="371"/>
      <c r="K560" s="371"/>
      <c r="L560" s="371"/>
      <c r="M560" s="371"/>
      <c r="N560" s="371"/>
      <c r="O560" s="371"/>
      <c r="P560" s="371"/>
      <c r="Q560" s="371"/>
      <c r="R560" s="371"/>
      <c r="S560" s="371"/>
      <c r="T560" s="371"/>
      <c r="U560" s="371"/>
      <c r="V560" s="371"/>
      <c r="W560" s="371"/>
      <c r="X560" s="371"/>
      <c r="Y560" s="371"/>
    </row>
    <row r="561" ht="28.5" customHeight="1">
      <c r="A561" s="371"/>
      <c r="B561" s="307"/>
      <c r="C561" s="307"/>
      <c r="D561" s="307"/>
      <c r="E561" s="307"/>
      <c r="F561" s="307"/>
      <c r="G561" s="307"/>
      <c r="H561" s="371"/>
      <c r="I561" s="371"/>
      <c r="J561" s="371"/>
      <c r="K561" s="371"/>
      <c r="L561" s="371"/>
      <c r="M561" s="371"/>
      <c r="N561" s="371"/>
      <c r="O561" s="371"/>
      <c r="P561" s="371"/>
      <c r="Q561" s="371"/>
      <c r="R561" s="371"/>
      <c r="S561" s="371"/>
      <c r="T561" s="371"/>
      <c r="U561" s="371"/>
      <c r="V561" s="371"/>
      <c r="W561" s="371"/>
      <c r="X561" s="371"/>
      <c r="Y561" s="371"/>
    </row>
    <row r="562" ht="28.5" customHeight="1">
      <c r="A562" s="371"/>
      <c r="B562" s="307"/>
      <c r="C562" s="307"/>
      <c r="D562" s="307"/>
      <c r="E562" s="307"/>
      <c r="F562" s="307"/>
      <c r="G562" s="307"/>
      <c r="H562" s="371"/>
      <c r="I562" s="371"/>
      <c r="J562" s="371"/>
      <c r="K562" s="371"/>
      <c r="L562" s="371"/>
      <c r="M562" s="371"/>
      <c r="N562" s="371"/>
      <c r="O562" s="371"/>
      <c r="P562" s="371"/>
      <c r="Q562" s="371"/>
      <c r="R562" s="371"/>
      <c r="S562" s="371"/>
      <c r="T562" s="371"/>
      <c r="U562" s="371"/>
      <c r="V562" s="371"/>
      <c r="W562" s="371"/>
      <c r="X562" s="371"/>
      <c r="Y562" s="371"/>
    </row>
    <row r="563" ht="28.5" customHeight="1">
      <c r="A563" s="371"/>
      <c r="B563" s="307"/>
      <c r="C563" s="307"/>
      <c r="D563" s="307"/>
      <c r="E563" s="307"/>
      <c r="F563" s="307"/>
      <c r="G563" s="307"/>
      <c r="H563" s="371"/>
      <c r="I563" s="371"/>
      <c r="J563" s="371"/>
      <c r="K563" s="371"/>
      <c r="L563" s="371"/>
      <c r="M563" s="371"/>
      <c r="N563" s="371"/>
      <c r="O563" s="371"/>
      <c r="P563" s="371"/>
      <c r="Q563" s="371"/>
      <c r="R563" s="371"/>
      <c r="S563" s="371"/>
      <c r="T563" s="371"/>
      <c r="U563" s="371"/>
      <c r="V563" s="371"/>
      <c r="W563" s="371"/>
      <c r="X563" s="371"/>
      <c r="Y563" s="371"/>
    </row>
    <row r="564" ht="28.5" customHeight="1">
      <c r="A564" s="371"/>
      <c r="B564" s="307"/>
      <c r="C564" s="307"/>
      <c r="D564" s="307"/>
      <c r="E564" s="307"/>
      <c r="F564" s="307"/>
      <c r="G564" s="307"/>
      <c r="H564" s="371"/>
      <c r="I564" s="371"/>
      <c r="J564" s="371"/>
      <c r="K564" s="371"/>
      <c r="L564" s="371"/>
      <c r="M564" s="371"/>
      <c r="N564" s="371"/>
      <c r="O564" s="371"/>
      <c r="P564" s="371"/>
      <c r="Q564" s="371"/>
      <c r="R564" s="371"/>
      <c r="S564" s="371"/>
      <c r="T564" s="371"/>
      <c r="U564" s="371"/>
      <c r="V564" s="371"/>
      <c r="W564" s="371"/>
      <c r="X564" s="371"/>
      <c r="Y564" s="371"/>
    </row>
    <row r="565" ht="28.5" customHeight="1">
      <c r="A565" s="371"/>
      <c r="B565" s="307"/>
      <c r="C565" s="307"/>
      <c r="D565" s="307"/>
      <c r="E565" s="307"/>
      <c r="F565" s="307"/>
      <c r="G565" s="307"/>
      <c r="H565" s="371"/>
      <c r="I565" s="371"/>
      <c r="J565" s="371"/>
      <c r="K565" s="371"/>
      <c r="L565" s="371"/>
      <c r="M565" s="371"/>
      <c r="N565" s="371"/>
      <c r="O565" s="371"/>
      <c r="P565" s="371"/>
      <c r="Q565" s="371"/>
      <c r="R565" s="371"/>
      <c r="S565" s="371"/>
      <c r="T565" s="371"/>
      <c r="U565" s="371"/>
      <c r="V565" s="371"/>
      <c r="W565" s="371"/>
      <c r="X565" s="371"/>
      <c r="Y565" s="371"/>
    </row>
    <row r="566" ht="28.5" customHeight="1">
      <c r="A566" s="371"/>
      <c r="B566" s="307"/>
      <c r="C566" s="307"/>
      <c r="D566" s="307"/>
      <c r="E566" s="307"/>
      <c r="F566" s="307"/>
      <c r="G566" s="307"/>
      <c r="H566" s="371"/>
      <c r="I566" s="371"/>
      <c r="J566" s="371"/>
      <c r="K566" s="371"/>
      <c r="L566" s="371"/>
      <c r="M566" s="371"/>
      <c r="N566" s="371"/>
      <c r="O566" s="371"/>
      <c r="P566" s="371"/>
      <c r="Q566" s="371"/>
      <c r="R566" s="371"/>
      <c r="S566" s="371"/>
      <c r="T566" s="371"/>
      <c r="U566" s="371"/>
      <c r="V566" s="371"/>
      <c r="W566" s="371"/>
      <c r="X566" s="371"/>
      <c r="Y566" s="371"/>
    </row>
    <row r="567" ht="28.5" customHeight="1">
      <c r="A567" s="371"/>
      <c r="B567" s="307"/>
      <c r="C567" s="307"/>
      <c r="D567" s="307"/>
      <c r="E567" s="307"/>
      <c r="F567" s="307"/>
      <c r="G567" s="307"/>
      <c r="H567" s="371"/>
      <c r="I567" s="371"/>
      <c r="J567" s="371"/>
      <c r="K567" s="371"/>
      <c r="L567" s="371"/>
      <c r="M567" s="371"/>
      <c r="N567" s="371"/>
      <c r="O567" s="371"/>
      <c r="P567" s="371"/>
      <c r="Q567" s="371"/>
      <c r="R567" s="371"/>
      <c r="S567" s="371"/>
      <c r="T567" s="371"/>
      <c r="U567" s="371"/>
      <c r="V567" s="371"/>
      <c r="W567" s="371"/>
      <c r="X567" s="371"/>
      <c r="Y567" s="371"/>
    </row>
    <row r="568" ht="28.5" customHeight="1">
      <c r="A568" s="371"/>
      <c r="B568" s="307"/>
      <c r="C568" s="307"/>
      <c r="D568" s="307"/>
      <c r="E568" s="307"/>
      <c r="F568" s="307"/>
      <c r="G568" s="307"/>
      <c r="H568" s="371"/>
      <c r="I568" s="371"/>
      <c r="J568" s="371"/>
      <c r="K568" s="371"/>
      <c r="L568" s="371"/>
      <c r="M568" s="371"/>
      <c r="N568" s="371"/>
      <c r="O568" s="371"/>
      <c r="P568" s="371"/>
      <c r="Q568" s="371"/>
      <c r="R568" s="371"/>
      <c r="S568" s="371"/>
      <c r="T568" s="371"/>
      <c r="U568" s="371"/>
      <c r="V568" s="371"/>
      <c r="W568" s="371"/>
      <c r="X568" s="371"/>
      <c r="Y568" s="371"/>
    </row>
    <row r="569" ht="28.5" customHeight="1">
      <c r="A569" s="371"/>
      <c r="B569" s="307"/>
      <c r="C569" s="307"/>
      <c r="D569" s="307"/>
      <c r="E569" s="307"/>
      <c r="F569" s="307"/>
      <c r="G569" s="307"/>
      <c r="H569" s="371"/>
      <c r="I569" s="371"/>
      <c r="J569" s="371"/>
      <c r="K569" s="371"/>
      <c r="L569" s="371"/>
      <c r="M569" s="371"/>
      <c r="N569" s="371"/>
      <c r="O569" s="371"/>
      <c r="P569" s="371"/>
      <c r="Q569" s="371"/>
      <c r="R569" s="371"/>
      <c r="S569" s="371"/>
      <c r="T569" s="371"/>
      <c r="U569" s="371"/>
      <c r="V569" s="371"/>
      <c r="W569" s="371"/>
      <c r="X569" s="371"/>
      <c r="Y569" s="371"/>
    </row>
    <row r="570" ht="28.5" customHeight="1">
      <c r="A570" s="371"/>
      <c r="B570" s="307"/>
      <c r="C570" s="307"/>
      <c r="D570" s="307"/>
      <c r="E570" s="307"/>
      <c r="F570" s="307"/>
      <c r="G570" s="307"/>
      <c r="H570" s="371"/>
      <c r="I570" s="371"/>
      <c r="J570" s="371"/>
      <c r="K570" s="371"/>
      <c r="L570" s="371"/>
      <c r="M570" s="371"/>
      <c r="N570" s="371"/>
      <c r="O570" s="371"/>
      <c r="P570" s="371"/>
      <c r="Q570" s="371"/>
      <c r="R570" s="371"/>
      <c r="S570" s="371"/>
      <c r="T570" s="371"/>
      <c r="U570" s="371"/>
      <c r="V570" s="371"/>
      <c r="W570" s="371"/>
      <c r="X570" s="371"/>
      <c r="Y570" s="371"/>
    </row>
    <row r="571" ht="28.5" customHeight="1">
      <c r="A571" s="371"/>
      <c r="B571" s="307"/>
      <c r="C571" s="307"/>
      <c r="D571" s="307"/>
      <c r="E571" s="307"/>
      <c r="F571" s="307"/>
      <c r="G571" s="307"/>
      <c r="H571" s="371"/>
      <c r="I571" s="371"/>
      <c r="J571" s="371"/>
      <c r="K571" s="371"/>
      <c r="L571" s="371"/>
      <c r="M571" s="371"/>
      <c r="N571" s="371"/>
      <c r="O571" s="371"/>
      <c r="P571" s="371"/>
      <c r="Q571" s="371"/>
      <c r="R571" s="371"/>
      <c r="S571" s="371"/>
      <c r="T571" s="371"/>
      <c r="U571" s="371"/>
      <c r="V571" s="371"/>
      <c r="W571" s="371"/>
      <c r="X571" s="371"/>
      <c r="Y571" s="371"/>
    </row>
    <row r="572" ht="28.5" customHeight="1">
      <c r="A572" s="371"/>
      <c r="B572" s="307"/>
      <c r="C572" s="307"/>
      <c r="D572" s="307"/>
      <c r="E572" s="307"/>
      <c r="F572" s="307"/>
      <c r="G572" s="307"/>
      <c r="H572" s="371"/>
      <c r="I572" s="371"/>
      <c r="J572" s="371"/>
      <c r="K572" s="371"/>
      <c r="L572" s="371"/>
      <c r="M572" s="371"/>
      <c r="N572" s="371"/>
      <c r="O572" s="371"/>
      <c r="P572" s="371"/>
      <c r="Q572" s="371"/>
      <c r="R572" s="371"/>
      <c r="S572" s="371"/>
      <c r="T572" s="371"/>
      <c r="U572" s="371"/>
      <c r="V572" s="371"/>
      <c r="W572" s="371"/>
      <c r="X572" s="371"/>
      <c r="Y572" s="371"/>
    </row>
    <row r="573" ht="28.5" customHeight="1">
      <c r="A573" s="371"/>
      <c r="B573" s="307"/>
      <c r="C573" s="307"/>
      <c r="D573" s="307"/>
      <c r="E573" s="307"/>
      <c r="F573" s="307"/>
      <c r="G573" s="307"/>
      <c r="H573" s="371"/>
      <c r="I573" s="371"/>
      <c r="J573" s="371"/>
      <c r="K573" s="371"/>
      <c r="L573" s="371"/>
      <c r="M573" s="371"/>
      <c r="N573" s="371"/>
      <c r="O573" s="371"/>
      <c r="P573" s="371"/>
      <c r="Q573" s="371"/>
      <c r="R573" s="371"/>
      <c r="S573" s="371"/>
      <c r="T573" s="371"/>
      <c r="U573" s="371"/>
      <c r="V573" s="371"/>
      <c r="W573" s="371"/>
      <c r="X573" s="371"/>
      <c r="Y573" s="371"/>
    </row>
    <row r="574" ht="28.5" customHeight="1">
      <c r="A574" s="371"/>
      <c r="B574" s="307"/>
      <c r="C574" s="307"/>
      <c r="D574" s="307"/>
      <c r="E574" s="307"/>
      <c r="F574" s="307"/>
      <c r="G574" s="307"/>
      <c r="H574" s="371"/>
      <c r="I574" s="371"/>
      <c r="J574" s="371"/>
      <c r="K574" s="371"/>
      <c r="L574" s="371"/>
      <c r="M574" s="371"/>
      <c r="N574" s="371"/>
      <c r="O574" s="371"/>
      <c r="P574" s="371"/>
      <c r="Q574" s="371"/>
      <c r="R574" s="371"/>
      <c r="S574" s="371"/>
      <c r="T574" s="371"/>
      <c r="U574" s="371"/>
      <c r="V574" s="371"/>
      <c r="W574" s="371"/>
      <c r="X574" s="371"/>
      <c r="Y574" s="371"/>
    </row>
    <row r="575" ht="28.5" customHeight="1">
      <c r="A575" s="371"/>
      <c r="B575" s="307"/>
      <c r="C575" s="307"/>
      <c r="D575" s="307"/>
      <c r="E575" s="307"/>
      <c r="F575" s="307"/>
      <c r="G575" s="307"/>
      <c r="H575" s="371"/>
      <c r="I575" s="371"/>
      <c r="J575" s="371"/>
      <c r="K575" s="371"/>
      <c r="L575" s="371"/>
      <c r="M575" s="371"/>
      <c r="N575" s="371"/>
      <c r="O575" s="371"/>
      <c r="P575" s="371"/>
      <c r="Q575" s="371"/>
      <c r="R575" s="371"/>
      <c r="S575" s="371"/>
      <c r="T575" s="371"/>
      <c r="U575" s="371"/>
      <c r="V575" s="371"/>
      <c r="W575" s="371"/>
      <c r="X575" s="371"/>
      <c r="Y575" s="371"/>
    </row>
    <row r="576" ht="28.5" customHeight="1">
      <c r="A576" s="371"/>
      <c r="B576" s="307"/>
      <c r="C576" s="307"/>
      <c r="D576" s="307"/>
      <c r="E576" s="307"/>
      <c r="F576" s="307"/>
      <c r="G576" s="307"/>
      <c r="H576" s="371"/>
      <c r="I576" s="371"/>
      <c r="J576" s="371"/>
      <c r="K576" s="371"/>
      <c r="L576" s="371"/>
      <c r="M576" s="371"/>
      <c r="N576" s="371"/>
      <c r="O576" s="371"/>
      <c r="P576" s="371"/>
      <c r="Q576" s="371"/>
      <c r="R576" s="371"/>
      <c r="S576" s="371"/>
      <c r="T576" s="371"/>
      <c r="U576" s="371"/>
      <c r="V576" s="371"/>
      <c r="W576" s="371"/>
      <c r="X576" s="371"/>
      <c r="Y576" s="371"/>
    </row>
    <row r="577" ht="28.5" customHeight="1">
      <c r="A577" s="371"/>
      <c r="B577" s="307"/>
      <c r="C577" s="307"/>
      <c r="D577" s="307"/>
      <c r="E577" s="307"/>
      <c r="F577" s="307"/>
      <c r="G577" s="307"/>
      <c r="H577" s="371"/>
      <c r="I577" s="371"/>
      <c r="J577" s="371"/>
      <c r="K577" s="371"/>
      <c r="L577" s="371"/>
      <c r="M577" s="371"/>
      <c r="N577" s="371"/>
      <c r="O577" s="371"/>
      <c r="P577" s="371"/>
      <c r="Q577" s="371"/>
      <c r="R577" s="371"/>
      <c r="S577" s="371"/>
      <c r="T577" s="371"/>
      <c r="U577" s="371"/>
      <c r="V577" s="371"/>
      <c r="W577" s="371"/>
      <c r="X577" s="371"/>
      <c r="Y577" s="371"/>
    </row>
    <row r="578" ht="28.5" customHeight="1">
      <c r="A578" s="371"/>
      <c r="B578" s="307"/>
      <c r="C578" s="307"/>
      <c r="D578" s="307"/>
      <c r="E578" s="307"/>
      <c r="F578" s="307"/>
      <c r="G578" s="307"/>
      <c r="H578" s="371"/>
      <c r="I578" s="371"/>
      <c r="J578" s="371"/>
      <c r="K578" s="371"/>
      <c r="L578" s="371"/>
      <c r="M578" s="371"/>
      <c r="N578" s="371"/>
      <c r="O578" s="371"/>
      <c r="P578" s="371"/>
      <c r="Q578" s="371"/>
      <c r="R578" s="371"/>
      <c r="S578" s="371"/>
      <c r="T578" s="371"/>
      <c r="U578" s="371"/>
      <c r="V578" s="371"/>
      <c r="W578" s="371"/>
      <c r="X578" s="371"/>
      <c r="Y578" s="371"/>
    </row>
    <row r="579" ht="28.5" customHeight="1">
      <c r="A579" s="371"/>
      <c r="B579" s="307"/>
      <c r="C579" s="307"/>
      <c r="D579" s="307"/>
      <c r="E579" s="307"/>
      <c r="F579" s="307"/>
      <c r="G579" s="307"/>
      <c r="H579" s="371"/>
      <c r="I579" s="371"/>
      <c r="J579" s="371"/>
      <c r="K579" s="371"/>
      <c r="L579" s="371"/>
      <c r="M579" s="371"/>
      <c r="N579" s="371"/>
      <c r="O579" s="371"/>
      <c r="P579" s="371"/>
      <c r="Q579" s="371"/>
      <c r="R579" s="371"/>
      <c r="S579" s="371"/>
      <c r="T579" s="371"/>
      <c r="U579" s="371"/>
      <c r="V579" s="371"/>
      <c r="W579" s="371"/>
      <c r="X579" s="371"/>
      <c r="Y579" s="371"/>
    </row>
    <row r="580" ht="28.5" customHeight="1">
      <c r="A580" s="371"/>
      <c r="B580" s="307"/>
      <c r="C580" s="307"/>
      <c r="D580" s="307"/>
      <c r="E580" s="307"/>
      <c r="F580" s="307"/>
      <c r="G580" s="307"/>
      <c r="H580" s="371"/>
      <c r="I580" s="371"/>
      <c r="J580" s="371"/>
      <c r="K580" s="371"/>
      <c r="L580" s="371"/>
      <c r="M580" s="371"/>
      <c r="N580" s="371"/>
      <c r="O580" s="371"/>
      <c r="P580" s="371"/>
      <c r="Q580" s="371"/>
      <c r="R580" s="371"/>
      <c r="S580" s="371"/>
      <c r="T580" s="371"/>
      <c r="U580" s="371"/>
      <c r="V580" s="371"/>
      <c r="W580" s="371"/>
      <c r="X580" s="371"/>
      <c r="Y580" s="371"/>
    </row>
    <row r="581" ht="28.5" customHeight="1">
      <c r="A581" s="371"/>
      <c r="B581" s="307"/>
      <c r="C581" s="307"/>
      <c r="D581" s="307"/>
      <c r="E581" s="307"/>
      <c r="F581" s="307"/>
      <c r="G581" s="307"/>
      <c r="H581" s="371"/>
      <c r="I581" s="371"/>
      <c r="J581" s="371"/>
      <c r="K581" s="371"/>
      <c r="L581" s="371"/>
      <c r="M581" s="371"/>
      <c r="N581" s="371"/>
      <c r="O581" s="371"/>
      <c r="P581" s="371"/>
      <c r="Q581" s="371"/>
      <c r="R581" s="371"/>
      <c r="S581" s="371"/>
      <c r="T581" s="371"/>
      <c r="U581" s="371"/>
      <c r="V581" s="371"/>
      <c r="W581" s="371"/>
      <c r="X581" s="371"/>
      <c r="Y581" s="371"/>
    </row>
    <row r="582" ht="28.5" customHeight="1">
      <c r="A582" s="371"/>
      <c r="B582" s="307"/>
      <c r="C582" s="307"/>
      <c r="D582" s="307"/>
      <c r="E582" s="307"/>
      <c r="F582" s="307"/>
      <c r="G582" s="307"/>
      <c r="H582" s="371"/>
      <c r="I582" s="371"/>
      <c r="J582" s="371"/>
      <c r="K582" s="371"/>
      <c r="L582" s="371"/>
      <c r="M582" s="371"/>
      <c r="N582" s="371"/>
      <c r="O582" s="371"/>
      <c r="P582" s="371"/>
      <c r="Q582" s="371"/>
      <c r="R582" s="371"/>
      <c r="S582" s="371"/>
      <c r="T582" s="371"/>
      <c r="U582" s="371"/>
      <c r="V582" s="371"/>
      <c r="W582" s="371"/>
      <c r="X582" s="371"/>
      <c r="Y582" s="371"/>
    </row>
    <row r="583" ht="28.5" customHeight="1">
      <c r="A583" s="371"/>
      <c r="B583" s="307"/>
      <c r="C583" s="307"/>
      <c r="D583" s="307"/>
      <c r="E583" s="307"/>
      <c r="F583" s="307"/>
      <c r="G583" s="307"/>
      <c r="H583" s="371"/>
      <c r="I583" s="371"/>
      <c r="J583" s="371"/>
      <c r="K583" s="371"/>
      <c r="L583" s="371"/>
      <c r="M583" s="371"/>
      <c r="N583" s="371"/>
      <c r="O583" s="371"/>
      <c r="P583" s="371"/>
      <c r="Q583" s="371"/>
      <c r="R583" s="371"/>
      <c r="S583" s="371"/>
      <c r="T583" s="371"/>
      <c r="U583" s="371"/>
      <c r="V583" s="371"/>
      <c r="W583" s="371"/>
      <c r="X583" s="371"/>
      <c r="Y583" s="371"/>
    </row>
    <row r="584" ht="28.5" customHeight="1">
      <c r="A584" s="371"/>
      <c r="B584" s="307"/>
      <c r="C584" s="307"/>
      <c r="D584" s="307"/>
      <c r="E584" s="307"/>
      <c r="F584" s="307"/>
      <c r="G584" s="307"/>
      <c r="H584" s="371"/>
      <c r="I584" s="371"/>
      <c r="J584" s="371"/>
      <c r="K584" s="371"/>
      <c r="L584" s="371"/>
      <c r="M584" s="371"/>
      <c r="N584" s="371"/>
      <c r="O584" s="371"/>
      <c r="P584" s="371"/>
      <c r="Q584" s="371"/>
      <c r="R584" s="371"/>
      <c r="S584" s="371"/>
      <c r="T584" s="371"/>
      <c r="U584" s="371"/>
      <c r="V584" s="371"/>
      <c r="W584" s="371"/>
      <c r="X584" s="371"/>
      <c r="Y584" s="371"/>
    </row>
    <row r="585" ht="28.5" customHeight="1">
      <c r="A585" s="371"/>
      <c r="B585" s="307"/>
      <c r="C585" s="307"/>
      <c r="D585" s="307"/>
      <c r="E585" s="307"/>
      <c r="F585" s="307"/>
      <c r="G585" s="307"/>
      <c r="H585" s="371"/>
      <c r="I585" s="371"/>
      <c r="J585" s="371"/>
      <c r="K585" s="371"/>
      <c r="L585" s="371"/>
      <c r="M585" s="371"/>
      <c r="N585" s="371"/>
      <c r="O585" s="371"/>
      <c r="P585" s="371"/>
      <c r="Q585" s="371"/>
      <c r="R585" s="371"/>
      <c r="S585" s="371"/>
      <c r="T585" s="371"/>
      <c r="U585" s="371"/>
      <c r="V585" s="371"/>
      <c r="W585" s="371"/>
      <c r="X585" s="371"/>
      <c r="Y585" s="371"/>
    </row>
    <row r="586" ht="28.5" customHeight="1">
      <c r="A586" s="371"/>
      <c r="B586" s="307"/>
      <c r="C586" s="307"/>
      <c r="D586" s="307"/>
      <c r="E586" s="307"/>
      <c r="F586" s="307"/>
      <c r="G586" s="307"/>
      <c r="H586" s="371"/>
      <c r="I586" s="371"/>
      <c r="J586" s="371"/>
      <c r="K586" s="371"/>
      <c r="L586" s="371"/>
      <c r="M586" s="371"/>
      <c r="N586" s="371"/>
      <c r="O586" s="371"/>
      <c r="P586" s="371"/>
      <c r="Q586" s="371"/>
      <c r="R586" s="371"/>
      <c r="S586" s="371"/>
      <c r="T586" s="371"/>
      <c r="U586" s="371"/>
      <c r="V586" s="371"/>
      <c r="W586" s="371"/>
      <c r="X586" s="371"/>
      <c r="Y586" s="371"/>
    </row>
    <row r="587" ht="28.5" customHeight="1">
      <c r="A587" s="371"/>
      <c r="B587" s="307"/>
      <c r="C587" s="307"/>
      <c r="D587" s="307"/>
      <c r="E587" s="307"/>
      <c r="F587" s="307"/>
      <c r="G587" s="307"/>
      <c r="H587" s="371"/>
      <c r="I587" s="371"/>
      <c r="J587" s="371"/>
      <c r="K587" s="371"/>
      <c r="L587" s="371"/>
      <c r="M587" s="371"/>
      <c r="N587" s="371"/>
      <c r="O587" s="371"/>
      <c r="P587" s="371"/>
      <c r="Q587" s="371"/>
      <c r="R587" s="371"/>
      <c r="S587" s="371"/>
      <c r="T587" s="371"/>
      <c r="U587" s="371"/>
      <c r="V587" s="371"/>
      <c r="W587" s="371"/>
      <c r="X587" s="371"/>
      <c r="Y587" s="371"/>
    </row>
    <row r="588" ht="28.5" customHeight="1">
      <c r="A588" s="371"/>
      <c r="B588" s="307"/>
      <c r="C588" s="307"/>
      <c r="D588" s="307"/>
      <c r="E588" s="307"/>
      <c r="F588" s="307"/>
      <c r="G588" s="307"/>
      <c r="H588" s="371"/>
      <c r="I588" s="371"/>
      <c r="J588" s="371"/>
      <c r="K588" s="371"/>
      <c r="L588" s="371"/>
      <c r="M588" s="371"/>
      <c r="N588" s="371"/>
      <c r="O588" s="371"/>
      <c r="P588" s="371"/>
      <c r="Q588" s="371"/>
      <c r="R588" s="371"/>
      <c r="S588" s="371"/>
      <c r="T588" s="371"/>
      <c r="U588" s="371"/>
      <c r="V588" s="371"/>
      <c r="W588" s="371"/>
      <c r="X588" s="371"/>
      <c r="Y588" s="371"/>
    </row>
    <row r="589" ht="28.5" customHeight="1">
      <c r="A589" s="371"/>
      <c r="B589" s="307"/>
      <c r="C589" s="307"/>
      <c r="D589" s="307"/>
      <c r="E589" s="307"/>
      <c r="F589" s="307"/>
      <c r="G589" s="307"/>
      <c r="H589" s="371"/>
      <c r="I589" s="371"/>
      <c r="J589" s="371"/>
      <c r="K589" s="371"/>
      <c r="L589" s="371"/>
      <c r="M589" s="371"/>
      <c r="N589" s="371"/>
      <c r="O589" s="371"/>
      <c r="P589" s="371"/>
      <c r="Q589" s="371"/>
      <c r="R589" s="371"/>
      <c r="S589" s="371"/>
      <c r="T589" s="371"/>
      <c r="U589" s="371"/>
      <c r="V589" s="371"/>
      <c r="W589" s="371"/>
      <c r="X589" s="371"/>
      <c r="Y589" s="371"/>
    </row>
    <row r="590" ht="28.5" customHeight="1">
      <c r="A590" s="371"/>
      <c r="B590" s="307"/>
      <c r="C590" s="307"/>
      <c r="D590" s="307"/>
      <c r="E590" s="307"/>
      <c r="F590" s="307"/>
      <c r="G590" s="307"/>
      <c r="H590" s="371"/>
      <c r="I590" s="371"/>
      <c r="J590" s="371"/>
      <c r="K590" s="371"/>
      <c r="L590" s="371"/>
      <c r="M590" s="371"/>
      <c r="N590" s="371"/>
      <c r="O590" s="371"/>
      <c r="P590" s="371"/>
      <c r="Q590" s="371"/>
      <c r="R590" s="371"/>
      <c r="S590" s="371"/>
      <c r="T590" s="371"/>
      <c r="U590" s="371"/>
      <c r="V590" s="371"/>
      <c r="W590" s="371"/>
      <c r="X590" s="371"/>
      <c r="Y590" s="371"/>
    </row>
    <row r="591" ht="28.5" customHeight="1">
      <c r="A591" s="371"/>
      <c r="B591" s="307"/>
      <c r="C591" s="307"/>
      <c r="D591" s="307"/>
      <c r="E591" s="307"/>
      <c r="F591" s="307"/>
      <c r="G591" s="307"/>
      <c r="H591" s="371"/>
      <c r="I591" s="371"/>
      <c r="J591" s="371"/>
      <c r="K591" s="371"/>
      <c r="L591" s="371"/>
      <c r="M591" s="371"/>
      <c r="N591" s="371"/>
      <c r="O591" s="371"/>
      <c r="P591" s="371"/>
      <c r="Q591" s="371"/>
      <c r="R591" s="371"/>
      <c r="S591" s="371"/>
      <c r="T591" s="371"/>
      <c r="U591" s="371"/>
      <c r="V591" s="371"/>
      <c r="W591" s="371"/>
      <c r="X591" s="371"/>
      <c r="Y591" s="371"/>
    </row>
    <row r="592" ht="28.5" customHeight="1">
      <c r="A592" s="371"/>
      <c r="B592" s="307"/>
      <c r="C592" s="307"/>
      <c r="D592" s="307"/>
      <c r="E592" s="307"/>
      <c r="F592" s="307"/>
      <c r="G592" s="307"/>
      <c r="H592" s="371"/>
      <c r="I592" s="371"/>
      <c r="J592" s="371"/>
      <c r="K592" s="371"/>
      <c r="L592" s="371"/>
      <c r="M592" s="371"/>
      <c r="N592" s="371"/>
      <c r="O592" s="371"/>
      <c r="P592" s="371"/>
      <c r="Q592" s="371"/>
      <c r="R592" s="371"/>
      <c r="S592" s="371"/>
      <c r="T592" s="371"/>
      <c r="U592" s="371"/>
      <c r="V592" s="371"/>
      <c r="W592" s="371"/>
      <c r="X592" s="371"/>
      <c r="Y592" s="371"/>
    </row>
    <row r="593" ht="28.5" customHeight="1">
      <c r="A593" s="371"/>
      <c r="B593" s="307"/>
      <c r="C593" s="307"/>
      <c r="D593" s="307"/>
      <c r="E593" s="307"/>
      <c r="F593" s="307"/>
      <c r="G593" s="307"/>
      <c r="H593" s="371"/>
      <c r="I593" s="371"/>
      <c r="J593" s="371"/>
      <c r="K593" s="371"/>
      <c r="L593" s="371"/>
      <c r="M593" s="371"/>
      <c r="N593" s="371"/>
      <c r="O593" s="371"/>
      <c r="P593" s="371"/>
      <c r="Q593" s="371"/>
      <c r="R593" s="371"/>
      <c r="S593" s="371"/>
      <c r="T593" s="371"/>
      <c r="U593" s="371"/>
      <c r="V593" s="371"/>
      <c r="W593" s="371"/>
      <c r="X593" s="371"/>
      <c r="Y593" s="371"/>
    </row>
    <row r="594" ht="28.5" customHeight="1">
      <c r="A594" s="371"/>
      <c r="B594" s="307"/>
      <c r="C594" s="307"/>
      <c r="D594" s="307"/>
      <c r="E594" s="307"/>
      <c r="F594" s="307"/>
      <c r="G594" s="307"/>
      <c r="H594" s="371"/>
      <c r="I594" s="371"/>
      <c r="J594" s="371"/>
      <c r="K594" s="371"/>
      <c r="L594" s="371"/>
      <c r="M594" s="371"/>
      <c r="N594" s="371"/>
      <c r="O594" s="371"/>
      <c r="P594" s="371"/>
      <c r="Q594" s="371"/>
      <c r="R594" s="371"/>
      <c r="S594" s="371"/>
      <c r="T594" s="371"/>
      <c r="U594" s="371"/>
      <c r="V594" s="371"/>
      <c r="W594" s="371"/>
      <c r="X594" s="371"/>
      <c r="Y594" s="371"/>
    </row>
    <row r="595" ht="28.5" customHeight="1">
      <c r="A595" s="371"/>
      <c r="B595" s="307"/>
      <c r="C595" s="307"/>
      <c r="D595" s="307"/>
      <c r="E595" s="307"/>
      <c r="F595" s="307"/>
      <c r="G595" s="307"/>
      <c r="H595" s="371"/>
      <c r="I595" s="371"/>
      <c r="J595" s="371"/>
      <c r="K595" s="371"/>
      <c r="L595" s="371"/>
      <c r="M595" s="371"/>
      <c r="N595" s="371"/>
      <c r="O595" s="371"/>
      <c r="P595" s="371"/>
      <c r="Q595" s="371"/>
      <c r="R595" s="371"/>
      <c r="S595" s="371"/>
      <c r="T595" s="371"/>
      <c r="U595" s="371"/>
      <c r="V595" s="371"/>
      <c r="W595" s="371"/>
      <c r="X595" s="371"/>
      <c r="Y595" s="371"/>
    </row>
    <row r="596" ht="28.5" customHeight="1">
      <c r="A596" s="371"/>
      <c r="B596" s="307"/>
      <c r="C596" s="307"/>
      <c r="D596" s="307"/>
      <c r="E596" s="307"/>
      <c r="F596" s="307"/>
      <c r="G596" s="307"/>
      <c r="H596" s="371"/>
      <c r="I596" s="371"/>
      <c r="J596" s="371"/>
      <c r="K596" s="371"/>
      <c r="L596" s="371"/>
      <c r="M596" s="371"/>
      <c r="N596" s="371"/>
      <c r="O596" s="371"/>
      <c r="P596" s="371"/>
      <c r="Q596" s="371"/>
      <c r="R596" s="371"/>
      <c r="S596" s="371"/>
      <c r="T596" s="371"/>
      <c r="U596" s="371"/>
      <c r="V596" s="371"/>
      <c r="W596" s="371"/>
      <c r="X596" s="371"/>
      <c r="Y596" s="371"/>
    </row>
    <row r="597" ht="28.5" customHeight="1">
      <c r="A597" s="371"/>
      <c r="B597" s="307"/>
      <c r="C597" s="307"/>
      <c r="D597" s="307"/>
      <c r="E597" s="307"/>
      <c r="F597" s="307"/>
      <c r="G597" s="307"/>
      <c r="H597" s="371"/>
      <c r="I597" s="371"/>
      <c r="J597" s="371"/>
      <c r="K597" s="371"/>
      <c r="L597" s="371"/>
      <c r="M597" s="371"/>
      <c r="N597" s="371"/>
      <c r="O597" s="371"/>
      <c r="P597" s="371"/>
      <c r="Q597" s="371"/>
      <c r="R597" s="371"/>
      <c r="S597" s="371"/>
      <c r="T597" s="371"/>
      <c r="U597" s="371"/>
      <c r="V597" s="371"/>
      <c r="W597" s="371"/>
      <c r="X597" s="371"/>
      <c r="Y597" s="371"/>
    </row>
    <row r="598" ht="28.5" customHeight="1">
      <c r="A598" s="371"/>
      <c r="B598" s="307"/>
      <c r="C598" s="307"/>
      <c r="D598" s="307"/>
      <c r="E598" s="307"/>
      <c r="F598" s="307"/>
      <c r="G598" s="307"/>
      <c r="H598" s="371"/>
      <c r="I598" s="371"/>
      <c r="J598" s="371"/>
      <c r="K598" s="371"/>
      <c r="L598" s="371"/>
      <c r="M598" s="371"/>
      <c r="N598" s="371"/>
      <c r="O598" s="371"/>
      <c r="P598" s="371"/>
      <c r="Q598" s="371"/>
      <c r="R598" s="371"/>
      <c r="S598" s="371"/>
      <c r="T598" s="371"/>
      <c r="U598" s="371"/>
      <c r="V598" s="371"/>
      <c r="W598" s="371"/>
      <c r="X598" s="371"/>
      <c r="Y598" s="371"/>
    </row>
    <row r="599" ht="28.5" customHeight="1">
      <c r="A599" s="371"/>
      <c r="B599" s="307"/>
      <c r="C599" s="307"/>
      <c r="D599" s="307"/>
      <c r="E599" s="307"/>
      <c r="F599" s="307"/>
      <c r="G599" s="307"/>
      <c r="H599" s="371"/>
      <c r="I599" s="371"/>
      <c r="J599" s="371"/>
      <c r="K599" s="371"/>
      <c r="L599" s="371"/>
      <c r="M599" s="371"/>
      <c r="N599" s="371"/>
      <c r="O599" s="371"/>
      <c r="P599" s="371"/>
      <c r="Q599" s="371"/>
      <c r="R599" s="371"/>
      <c r="S599" s="371"/>
      <c r="T599" s="371"/>
      <c r="U599" s="371"/>
      <c r="V599" s="371"/>
      <c r="W599" s="371"/>
      <c r="X599" s="371"/>
      <c r="Y599" s="371"/>
    </row>
    <row r="600" ht="28.5" customHeight="1">
      <c r="A600" s="371"/>
      <c r="B600" s="307"/>
      <c r="C600" s="307"/>
      <c r="D600" s="307"/>
      <c r="E600" s="307"/>
      <c r="F600" s="307"/>
      <c r="G600" s="307"/>
      <c r="H600" s="371"/>
      <c r="I600" s="371"/>
      <c r="J600" s="371"/>
      <c r="K600" s="371"/>
      <c r="L600" s="371"/>
      <c r="M600" s="371"/>
      <c r="N600" s="371"/>
      <c r="O600" s="371"/>
      <c r="P600" s="371"/>
      <c r="Q600" s="371"/>
      <c r="R600" s="371"/>
      <c r="S600" s="371"/>
      <c r="T600" s="371"/>
      <c r="U600" s="371"/>
      <c r="V600" s="371"/>
      <c r="W600" s="371"/>
      <c r="X600" s="371"/>
      <c r="Y600" s="371"/>
    </row>
    <row r="601" ht="28.5" customHeight="1">
      <c r="A601" s="371"/>
      <c r="B601" s="307"/>
      <c r="C601" s="307"/>
      <c r="D601" s="307"/>
      <c r="E601" s="307"/>
      <c r="F601" s="307"/>
      <c r="G601" s="307"/>
      <c r="H601" s="371"/>
      <c r="I601" s="371"/>
      <c r="J601" s="371"/>
      <c r="K601" s="371"/>
      <c r="L601" s="371"/>
      <c r="M601" s="371"/>
      <c r="N601" s="371"/>
      <c r="O601" s="371"/>
      <c r="P601" s="371"/>
      <c r="Q601" s="371"/>
      <c r="R601" s="371"/>
      <c r="S601" s="371"/>
      <c r="T601" s="371"/>
      <c r="U601" s="371"/>
      <c r="V601" s="371"/>
      <c r="W601" s="371"/>
      <c r="X601" s="371"/>
      <c r="Y601" s="371"/>
    </row>
    <row r="602" ht="28.5" customHeight="1">
      <c r="A602" s="371"/>
      <c r="B602" s="307"/>
      <c r="C602" s="307"/>
      <c r="D602" s="307"/>
      <c r="E602" s="307"/>
      <c r="F602" s="307"/>
      <c r="G602" s="307"/>
      <c r="H602" s="371"/>
      <c r="I602" s="371"/>
      <c r="J602" s="371"/>
      <c r="K602" s="371"/>
      <c r="L602" s="371"/>
      <c r="M602" s="371"/>
      <c r="N602" s="371"/>
      <c r="O602" s="371"/>
      <c r="P602" s="371"/>
      <c r="Q602" s="371"/>
      <c r="R602" s="371"/>
      <c r="S602" s="371"/>
      <c r="T602" s="371"/>
      <c r="U602" s="371"/>
      <c r="V602" s="371"/>
      <c r="W602" s="371"/>
      <c r="X602" s="371"/>
      <c r="Y602" s="371"/>
    </row>
    <row r="603" ht="28.5" customHeight="1">
      <c r="A603" s="371"/>
      <c r="B603" s="307"/>
      <c r="C603" s="307"/>
      <c r="D603" s="307"/>
      <c r="E603" s="307"/>
      <c r="F603" s="307"/>
      <c r="G603" s="307"/>
      <c r="H603" s="371"/>
      <c r="I603" s="371"/>
      <c r="J603" s="371"/>
      <c r="K603" s="371"/>
      <c r="L603" s="371"/>
      <c r="M603" s="371"/>
      <c r="N603" s="371"/>
      <c r="O603" s="371"/>
      <c r="P603" s="371"/>
      <c r="Q603" s="371"/>
      <c r="R603" s="371"/>
      <c r="S603" s="371"/>
      <c r="T603" s="371"/>
      <c r="U603" s="371"/>
      <c r="V603" s="371"/>
      <c r="W603" s="371"/>
      <c r="X603" s="371"/>
      <c r="Y603" s="371"/>
    </row>
    <row r="604" ht="28.5" customHeight="1">
      <c r="A604" s="371"/>
      <c r="B604" s="307"/>
      <c r="C604" s="307"/>
      <c r="D604" s="307"/>
      <c r="E604" s="307"/>
      <c r="F604" s="307"/>
      <c r="G604" s="307"/>
      <c r="H604" s="371"/>
      <c r="I604" s="371"/>
      <c r="J604" s="371"/>
      <c r="K604" s="371"/>
      <c r="L604" s="371"/>
      <c r="M604" s="371"/>
      <c r="N604" s="371"/>
      <c r="O604" s="371"/>
      <c r="P604" s="371"/>
      <c r="Q604" s="371"/>
      <c r="R604" s="371"/>
      <c r="S604" s="371"/>
      <c r="T604" s="371"/>
      <c r="U604" s="371"/>
      <c r="V604" s="371"/>
      <c r="W604" s="371"/>
      <c r="X604" s="371"/>
      <c r="Y604" s="371"/>
    </row>
    <row r="605" ht="28.5" customHeight="1">
      <c r="A605" s="371"/>
      <c r="B605" s="307"/>
      <c r="C605" s="307"/>
      <c r="D605" s="307"/>
      <c r="E605" s="307"/>
      <c r="F605" s="307"/>
      <c r="G605" s="307"/>
      <c r="H605" s="371"/>
      <c r="I605" s="371"/>
      <c r="J605" s="371"/>
      <c r="K605" s="371"/>
      <c r="L605" s="371"/>
      <c r="M605" s="371"/>
      <c r="N605" s="371"/>
      <c r="O605" s="371"/>
      <c r="P605" s="371"/>
      <c r="Q605" s="371"/>
      <c r="R605" s="371"/>
      <c r="S605" s="371"/>
      <c r="T605" s="371"/>
      <c r="U605" s="371"/>
      <c r="V605" s="371"/>
      <c r="W605" s="371"/>
      <c r="X605" s="371"/>
      <c r="Y605" s="371"/>
    </row>
    <row r="606" ht="28.5" customHeight="1">
      <c r="A606" s="371"/>
      <c r="B606" s="307"/>
      <c r="C606" s="307"/>
      <c r="D606" s="307"/>
      <c r="E606" s="307"/>
      <c r="F606" s="307"/>
      <c r="G606" s="307"/>
      <c r="H606" s="371"/>
      <c r="I606" s="371"/>
      <c r="J606" s="371"/>
      <c r="K606" s="371"/>
      <c r="L606" s="371"/>
      <c r="M606" s="371"/>
      <c r="N606" s="371"/>
      <c r="O606" s="371"/>
      <c r="P606" s="371"/>
      <c r="Q606" s="371"/>
      <c r="R606" s="371"/>
      <c r="S606" s="371"/>
      <c r="T606" s="371"/>
      <c r="U606" s="371"/>
      <c r="V606" s="371"/>
      <c r="W606" s="371"/>
      <c r="X606" s="371"/>
      <c r="Y606" s="371"/>
    </row>
    <row r="607" ht="28.5" customHeight="1">
      <c r="A607" s="371"/>
      <c r="B607" s="307"/>
      <c r="C607" s="307"/>
      <c r="D607" s="307"/>
      <c r="E607" s="307"/>
      <c r="F607" s="307"/>
      <c r="G607" s="307"/>
      <c r="H607" s="371"/>
      <c r="I607" s="371"/>
      <c r="J607" s="371"/>
      <c r="K607" s="371"/>
      <c r="L607" s="371"/>
      <c r="M607" s="371"/>
      <c r="N607" s="371"/>
      <c r="O607" s="371"/>
      <c r="P607" s="371"/>
      <c r="Q607" s="371"/>
      <c r="R607" s="371"/>
      <c r="S607" s="371"/>
      <c r="T607" s="371"/>
      <c r="U607" s="371"/>
      <c r="V607" s="371"/>
      <c r="W607" s="371"/>
      <c r="X607" s="371"/>
      <c r="Y607" s="371"/>
    </row>
    <row r="608" ht="28.5" customHeight="1">
      <c r="A608" s="371"/>
      <c r="B608" s="307"/>
      <c r="C608" s="307"/>
      <c r="D608" s="307"/>
      <c r="E608" s="307"/>
      <c r="F608" s="307"/>
      <c r="G608" s="307"/>
      <c r="H608" s="371"/>
      <c r="I608" s="371"/>
      <c r="J608" s="371"/>
      <c r="K608" s="371"/>
      <c r="L608" s="371"/>
      <c r="M608" s="371"/>
      <c r="N608" s="371"/>
      <c r="O608" s="371"/>
      <c r="P608" s="371"/>
      <c r="Q608" s="371"/>
      <c r="R608" s="371"/>
      <c r="S608" s="371"/>
      <c r="T608" s="371"/>
      <c r="U608" s="371"/>
      <c r="V608" s="371"/>
      <c r="W608" s="371"/>
      <c r="X608" s="371"/>
      <c r="Y608" s="371"/>
    </row>
    <row r="609" ht="28.5" customHeight="1">
      <c r="A609" s="371"/>
      <c r="B609" s="307"/>
      <c r="C609" s="307"/>
      <c r="D609" s="307"/>
      <c r="E609" s="307"/>
      <c r="F609" s="307"/>
      <c r="G609" s="307"/>
      <c r="H609" s="371"/>
      <c r="I609" s="371"/>
      <c r="J609" s="371"/>
      <c r="K609" s="371"/>
      <c r="L609" s="371"/>
      <c r="M609" s="371"/>
      <c r="N609" s="371"/>
      <c r="O609" s="371"/>
      <c r="P609" s="371"/>
      <c r="Q609" s="371"/>
      <c r="R609" s="371"/>
      <c r="S609" s="371"/>
      <c r="T609" s="371"/>
      <c r="U609" s="371"/>
      <c r="V609" s="371"/>
      <c r="W609" s="371"/>
      <c r="X609" s="371"/>
      <c r="Y609" s="371"/>
    </row>
    <row r="610" ht="28.5" customHeight="1">
      <c r="A610" s="371"/>
      <c r="B610" s="307"/>
      <c r="C610" s="307"/>
      <c r="D610" s="307"/>
      <c r="E610" s="307"/>
      <c r="F610" s="307"/>
      <c r="G610" s="307"/>
      <c r="H610" s="371"/>
      <c r="I610" s="371"/>
      <c r="J610" s="371"/>
      <c r="K610" s="371"/>
      <c r="L610" s="371"/>
      <c r="M610" s="371"/>
      <c r="N610" s="371"/>
      <c r="O610" s="371"/>
      <c r="P610" s="371"/>
      <c r="Q610" s="371"/>
      <c r="R610" s="371"/>
      <c r="S610" s="371"/>
      <c r="T610" s="371"/>
      <c r="U610" s="371"/>
      <c r="V610" s="371"/>
      <c r="W610" s="371"/>
      <c r="X610" s="371"/>
      <c r="Y610" s="371"/>
    </row>
    <row r="611" ht="28.5" customHeight="1">
      <c r="A611" s="371"/>
      <c r="B611" s="307"/>
      <c r="C611" s="307"/>
      <c r="D611" s="307"/>
      <c r="E611" s="307"/>
      <c r="F611" s="307"/>
      <c r="G611" s="307"/>
      <c r="H611" s="371"/>
      <c r="I611" s="371"/>
      <c r="J611" s="371"/>
      <c r="K611" s="371"/>
      <c r="L611" s="371"/>
      <c r="M611" s="371"/>
      <c r="N611" s="371"/>
      <c r="O611" s="371"/>
      <c r="P611" s="371"/>
      <c r="Q611" s="371"/>
      <c r="R611" s="371"/>
      <c r="S611" s="371"/>
      <c r="T611" s="371"/>
      <c r="U611" s="371"/>
      <c r="V611" s="371"/>
      <c r="W611" s="371"/>
      <c r="X611" s="371"/>
      <c r="Y611" s="371"/>
    </row>
    <row r="612" ht="28.5" customHeight="1">
      <c r="A612" s="371"/>
      <c r="B612" s="307"/>
      <c r="C612" s="307"/>
      <c r="D612" s="307"/>
      <c r="E612" s="307"/>
      <c r="F612" s="307"/>
      <c r="G612" s="307"/>
      <c r="H612" s="371"/>
      <c r="I612" s="371"/>
      <c r="J612" s="371"/>
      <c r="K612" s="371"/>
      <c r="L612" s="371"/>
      <c r="M612" s="371"/>
      <c r="N612" s="371"/>
      <c r="O612" s="371"/>
      <c r="P612" s="371"/>
      <c r="Q612" s="371"/>
      <c r="R612" s="371"/>
      <c r="S612" s="371"/>
      <c r="T612" s="371"/>
      <c r="U612" s="371"/>
      <c r="V612" s="371"/>
      <c r="W612" s="371"/>
      <c r="X612" s="371"/>
      <c r="Y612" s="371"/>
    </row>
    <row r="613" ht="28.5" customHeight="1">
      <c r="A613" s="371"/>
      <c r="B613" s="307"/>
      <c r="C613" s="307"/>
      <c r="D613" s="307"/>
      <c r="E613" s="307"/>
      <c r="F613" s="307"/>
      <c r="G613" s="307"/>
      <c r="H613" s="371"/>
      <c r="I613" s="371"/>
      <c r="J613" s="371"/>
      <c r="K613" s="371"/>
      <c r="L613" s="371"/>
      <c r="M613" s="371"/>
      <c r="N613" s="371"/>
      <c r="O613" s="371"/>
      <c r="P613" s="371"/>
      <c r="Q613" s="371"/>
      <c r="R613" s="371"/>
      <c r="S613" s="371"/>
      <c r="T613" s="371"/>
      <c r="U613" s="371"/>
      <c r="V613" s="371"/>
      <c r="W613" s="371"/>
      <c r="X613" s="371"/>
      <c r="Y613" s="371"/>
    </row>
    <row r="614" ht="28.5" customHeight="1">
      <c r="A614" s="371"/>
      <c r="B614" s="307"/>
      <c r="C614" s="307"/>
      <c r="D614" s="307"/>
      <c r="E614" s="307"/>
      <c r="F614" s="307"/>
      <c r="G614" s="307"/>
      <c r="H614" s="371"/>
      <c r="I614" s="371"/>
      <c r="J614" s="371"/>
      <c r="K614" s="371"/>
      <c r="L614" s="371"/>
      <c r="M614" s="371"/>
      <c r="N614" s="371"/>
      <c r="O614" s="371"/>
      <c r="P614" s="371"/>
      <c r="Q614" s="371"/>
      <c r="R614" s="371"/>
      <c r="S614" s="371"/>
      <c r="T614" s="371"/>
      <c r="U614" s="371"/>
      <c r="V614" s="371"/>
      <c r="W614" s="371"/>
      <c r="X614" s="371"/>
      <c r="Y614" s="371"/>
    </row>
    <row r="615" ht="28.5" customHeight="1">
      <c r="A615" s="371"/>
      <c r="B615" s="307"/>
      <c r="C615" s="307"/>
      <c r="D615" s="307"/>
      <c r="E615" s="307"/>
      <c r="F615" s="307"/>
      <c r="G615" s="307"/>
      <c r="H615" s="371"/>
      <c r="I615" s="371"/>
      <c r="J615" s="371"/>
      <c r="K615" s="371"/>
      <c r="L615" s="371"/>
      <c r="M615" s="371"/>
      <c r="N615" s="371"/>
      <c r="O615" s="371"/>
      <c r="P615" s="371"/>
      <c r="Q615" s="371"/>
      <c r="R615" s="371"/>
      <c r="S615" s="371"/>
      <c r="T615" s="371"/>
      <c r="U615" s="371"/>
      <c r="V615" s="371"/>
      <c r="W615" s="371"/>
      <c r="X615" s="371"/>
      <c r="Y615" s="371"/>
    </row>
    <row r="616" ht="28.5" customHeight="1">
      <c r="A616" s="371"/>
      <c r="B616" s="307"/>
      <c r="C616" s="307"/>
      <c r="D616" s="307"/>
      <c r="E616" s="307"/>
      <c r="F616" s="307"/>
      <c r="G616" s="307"/>
      <c r="H616" s="371"/>
      <c r="I616" s="371"/>
      <c r="J616" s="371"/>
      <c r="K616" s="371"/>
      <c r="L616" s="371"/>
      <c r="M616" s="371"/>
      <c r="N616" s="371"/>
      <c r="O616" s="371"/>
      <c r="P616" s="371"/>
      <c r="Q616" s="371"/>
      <c r="R616" s="371"/>
      <c r="S616" s="371"/>
      <c r="T616" s="371"/>
      <c r="U616" s="371"/>
      <c r="V616" s="371"/>
      <c r="W616" s="371"/>
      <c r="X616" s="371"/>
      <c r="Y616" s="371"/>
    </row>
    <row r="617" ht="28.5" customHeight="1">
      <c r="A617" s="371"/>
      <c r="B617" s="307"/>
      <c r="C617" s="307"/>
      <c r="D617" s="307"/>
      <c r="E617" s="307"/>
      <c r="F617" s="307"/>
      <c r="G617" s="307"/>
      <c r="H617" s="371"/>
      <c r="I617" s="371"/>
      <c r="J617" s="371"/>
      <c r="K617" s="371"/>
      <c r="L617" s="371"/>
      <c r="M617" s="371"/>
      <c r="N617" s="371"/>
      <c r="O617" s="371"/>
      <c r="P617" s="371"/>
      <c r="Q617" s="371"/>
      <c r="R617" s="371"/>
      <c r="S617" s="371"/>
      <c r="T617" s="371"/>
      <c r="U617" s="371"/>
      <c r="V617" s="371"/>
      <c r="W617" s="371"/>
      <c r="X617" s="371"/>
      <c r="Y617" s="371"/>
    </row>
    <row r="618" ht="28.5" customHeight="1">
      <c r="A618" s="371"/>
      <c r="B618" s="307"/>
      <c r="C618" s="307"/>
      <c r="D618" s="307"/>
      <c r="E618" s="307"/>
      <c r="F618" s="307"/>
      <c r="G618" s="307"/>
      <c r="H618" s="371"/>
      <c r="I618" s="371"/>
      <c r="J618" s="371"/>
      <c r="K618" s="371"/>
      <c r="L618" s="371"/>
      <c r="M618" s="371"/>
      <c r="N618" s="371"/>
      <c r="O618" s="371"/>
      <c r="P618" s="371"/>
      <c r="Q618" s="371"/>
      <c r="R618" s="371"/>
      <c r="S618" s="371"/>
      <c r="T618" s="371"/>
      <c r="U618" s="371"/>
      <c r="V618" s="371"/>
      <c r="W618" s="371"/>
      <c r="X618" s="371"/>
      <c r="Y618" s="371"/>
    </row>
    <row r="619" ht="28.5" customHeight="1">
      <c r="A619" s="371"/>
      <c r="B619" s="307"/>
      <c r="C619" s="307"/>
      <c r="D619" s="307"/>
      <c r="E619" s="307"/>
      <c r="F619" s="307"/>
      <c r="G619" s="307"/>
      <c r="H619" s="371"/>
      <c r="I619" s="371"/>
      <c r="J619" s="371"/>
      <c r="K619" s="371"/>
      <c r="L619" s="371"/>
      <c r="M619" s="371"/>
      <c r="N619" s="371"/>
      <c r="O619" s="371"/>
      <c r="P619" s="371"/>
      <c r="Q619" s="371"/>
      <c r="R619" s="371"/>
      <c r="S619" s="371"/>
      <c r="T619" s="371"/>
      <c r="U619" s="371"/>
      <c r="V619" s="371"/>
      <c r="W619" s="371"/>
      <c r="X619" s="371"/>
      <c r="Y619" s="371"/>
    </row>
    <row r="620" ht="28.5" customHeight="1">
      <c r="A620" s="371"/>
      <c r="B620" s="307"/>
      <c r="C620" s="307"/>
      <c r="D620" s="307"/>
      <c r="E620" s="307"/>
      <c r="F620" s="307"/>
      <c r="G620" s="307"/>
      <c r="H620" s="371"/>
      <c r="I620" s="371"/>
      <c r="J620" s="371"/>
      <c r="K620" s="371"/>
      <c r="L620" s="371"/>
      <c r="M620" s="371"/>
      <c r="N620" s="371"/>
      <c r="O620" s="371"/>
      <c r="P620" s="371"/>
      <c r="Q620" s="371"/>
      <c r="R620" s="371"/>
      <c r="S620" s="371"/>
      <c r="T620" s="371"/>
      <c r="U620" s="371"/>
      <c r="V620" s="371"/>
      <c r="W620" s="371"/>
      <c r="X620" s="371"/>
      <c r="Y620" s="371"/>
    </row>
    <row r="621" ht="28.5" customHeight="1">
      <c r="A621" s="371"/>
      <c r="B621" s="307"/>
      <c r="C621" s="307"/>
      <c r="D621" s="307"/>
      <c r="E621" s="307"/>
      <c r="F621" s="307"/>
      <c r="G621" s="307"/>
      <c r="H621" s="371"/>
      <c r="I621" s="371"/>
      <c r="J621" s="371"/>
      <c r="K621" s="371"/>
      <c r="L621" s="371"/>
      <c r="M621" s="371"/>
      <c r="N621" s="371"/>
      <c r="O621" s="371"/>
      <c r="P621" s="371"/>
      <c r="Q621" s="371"/>
      <c r="R621" s="371"/>
      <c r="S621" s="371"/>
      <c r="T621" s="371"/>
      <c r="U621" s="371"/>
      <c r="V621" s="371"/>
      <c r="W621" s="371"/>
      <c r="X621" s="371"/>
      <c r="Y621" s="371"/>
    </row>
    <row r="622" ht="28.5" customHeight="1">
      <c r="A622" s="371"/>
      <c r="B622" s="307"/>
      <c r="C622" s="307"/>
      <c r="D622" s="307"/>
      <c r="E622" s="307"/>
      <c r="F622" s="307"/>
      <c r="G622" s="307"/>
      <c r="H622" s="371"/>
      <c r="I622" s="371"/>
      <c r="J622" s="371"/>
      <c r="K622" s="371"/>
      <c r="L622" s="371"/>
      <c r="M622" s="371"/>
      <c r="N622" s="371"/>
      <c r="O622" s="371"/>
      <c r="P622" s="371"/>
      <c r="Q622" s="371"/>
      <c r="R622" s="371"/>
      <c r="S622" s="371"/>
      <c r="T622" s="371"/>
      <c r="U622" s="371"/>
      <c r="V622" s="371"/>
      <c r="W622" s="371"/>
      <c r="X622" s="371"/>
      <c r="Y622" s="371"/>
    </row>
    <row r="623" ht="28.5" customHeight="1">
      <c r="A623" s="371"/>
      <c r="B623" s="307"/>
      <c r="C623" s="307"/>
      <c r="D623" s="307"/>
      <c r="E623" s="307"/>
      <c r="F623" s="307"/>
      <c r="G623" s="307"/>
      <c r="H623" s="371"/>
      <c r="I623" s="371"/>
      <c r="J623" s="371"/>
      <c r="K623" s="371"/>
      <c r="L623" s="371"/>
      <c r="M623" s="371"/>
      <c r="N623" s="371"/>
      <c r="O623" s="371"/>
      <c r="P623" s="371"/>
      <c r="Q623" s="371"/>
      <c r="R623" s="371"/>
      <c r="S623" s="371"/>
      <c r="T623" s="371"/>
      <c r="U623" s="371"/>
      <c r="V623" s="371"/>
      <c r="W623" s="371"/>
      <c r="X623" s="371"/>
      <c r="Y623" s="371"/>
    </row>
    <row r="624" ht="28.5" customHeight="1">
      <c r="A624" s="371"/>
      <c r="B624" s="307"/>
      <c r="C624" s="307"/>
      <c r="D624" s="307"/>
      <c r="E624" s="307"/>
      <c r="F624" s="307"/>
      <c r="G624" s="307"/>
      <c r="H624" s="371"/>
      <c r="I624" s="371"/>
      <c r="J624" s="371"/>
      <c r="K624" s="371"/>
      <c r="L624" s="371"/>
      <c r="M624" s="371"/>
      <c r="N624" s="371"/>
      <c r="O624" s="371"/>
      <c r="P624" s="371"/>
      <c r="Q624" s="371"/>
      <c r="R624" s="371"/>
      <c r="S624" s="371"/>
      <c r="T624" s="371"/>
      <c r="U624" s="371"/>
      <c r="V624" s="371"/>
      <c r="W624" s="371"/>
      <c r="X624" s="371"/>
      <c r="Y624" s="371"/>
    </row>
    <row r="625" ht="28.5" customHeight="1">
      <c r="A625" s="371"/>
      <c r="B625" s="307"/>
      <c r="C625" s="307"/>
      <c r="D625" s="307"/>
      <c r="E625" s="307"/>
      <c r="F625" s="307"/>
      <c r="G625" s="307"/>
      <c r="H625" s="371"/>
      <c r="I625" s="371"/>
      <c r="J625" s="371"/>
      <c r="K625" s="371"/>
      <c r="L625" s="371"/>
      <c r="M625" s="371"/>
      <c r="N625" s="371"/>
      <c r="O625" s="371"/>
      <c r="P625" s="371"/>
      <c r="Q625" s="371"/>
      <c r="R625" s="371"/>
      <c r="S625" s="371"/>
      <c r="T625" s="371"/>
      <c r="U625" s="371"/>
      <c r="V625" s="371"/>
      <c r="W625" s="371"/>
      <c r="X625" s="371"/>
      <c r="Y625" s="371"/>
    </row>
    <row r="626" ht="28.5" customHeight="1">
      <c r="A626" s="371"/>
      <c r="B626" s="307"/>
      <c r="C626" s="307"/>
      <c r="D626" s="307"/>
      <c r="E626" s="307"/>
      <c r="F626" s="307"/>
      <c r="G626" s="307"/>
      <c r="H626" s="371"/>
      <c r="I626" s="371"/>
      <c r="J626" s="371"/>
      <c r="K626" s="371"/>
      <c r="L626" s="371"/>
      <c r="M626" s="371"/>
      <c r="N626" s="371"/>
      <c r="O626" s="371"/>
      <c r="P626" s="371"/>
      <c r="Q626" s="371"/>
      <c r="R626" s="371"/>
      <c r="S626" s="371"/>
      <c r="T626" s="371"/>
      <c r="U626" s="371"/>
      <c r="V626" s="371"/>
      <c r="W626" s="371"/>
      <c r="X626" s="371"/>
      <c r="Y626" s="371"/>
    </row>
    <row r="627" ht="28.5" customHeight="1">
      <c r="A627" s="371"/>
      <c r="B627" s="307"/>
      <c r="C627" s="307"/>
      <c r="D627" s="307"/>
      <c r="E627" s="307"/>
      <c r="F627" s="307"/>
      <c r="G627" s="307"/>
      <c r="H627" s="371"/>
      <c r="I627" s="371"/>
      <c r="J627" s="371"/>
      <c r="K627" s="371"/>
      <c r="L627" s="371"/>
      <c r="M627" s="371"/>
      <c r="N627" s="371"/>
      <c r="O627" s="371"/>
      <c r="P627" s="371"/>
      <c r="Q627" s="371"/>
      <c r="R627" s="371"/>
      <c r="S627" s="371"/>
      <c r="T627" s="371"/>
      <c r="U627" s="371"/>
      <c r="V627" s="371"/>
      <c r="W627" s="371"/>
      <c r="X627" s="371"/>
      <c r="Y627" s="371"/>
    </row>
    <row r="628" ht="28.5" customHeight="1">
      <c r="A628" s="371"/>
      <c r="B628" s="307"/>
      <c r="C628" s="307"/>
      <c r="D628" s="307"/>
      <c r="E628" s="307"/>
      <c r="F628" s="307"/>
      <c r="G628" s="307"/>
      <c r="H628" s="371"/>
      <c r="I628" s="371"/>
      <c r="J628" s="371"/>
      <c r="K628" s="371"/>
      <c r="L628" s="371"/>
      <c r="M628" s="371"/>
      <c r="N628" s="371"/>
      <c r="O628" s="371"/>
      <c r="P628" s="371"/>
      <c r="Q628" s="371"/>
      <c r="R628" s="371"/>
      <c r="S628" s="371"/>
      <c r="T628" s="371"/>
      <c r="U628" s="371"/>
      <c r="V628" s="371"/>
      <c r="W628" s="371"/>
      <c r="X628" s="371"/>
      <c r="Y628" s="371"/>
    </row>
    <row r="629" ht="28.5" customHeight="1">
      <c r="A629" s="371"/>
      <c r="B629" s="307"/>
      <c r="C629" s="307"/>
      <c r="D629" s="307"/>
      <c r="E629" s="307"/>
      <c r="F629" s="307"/>
      <c r="G629" s="307"/>
      <c r="H629" s="371"/>
      <c r="I629" s="371"/>
      <c r="J629" s="371"/>
      <c r="K629" s="371"/>
      <c r="L629" s="371"/>
      <c r="M629" s="371"/>
      <c r="N629" s="371"/>
      <c r="O629" s="371"/>
      <c r="P629" s="371"/>
      <c r="Q629" s="371"/>
      <c r="R629" s="371"/>
      <c r="S629" s="371"/>
      <c r="T629" s="371"/>
      <c r="U629" s="371"/>
      <c r="V629" s="371"/>
      <c r="W629" s="371"/>
      <c r="X629" s="371"/>
      <c r="Y629" s="371"/>
    </row>
    <row r="630" ht="28.5" customHeight="1">
      <c r="A630" s="371"/>
      <c r="B630" s="307"/>
      <c r="C630" s="307"/>
      <c r="D630" s="307"/>
      <c r="E630" s="307"/>
      <c r="F630" s="307"/>
      <c r="G630" s="307"/>
      <c r="H630" s="371"/>
      <c r="I630" s="371"/>
      <c r="J630" s="371"/>
      <c r="K630" s="371"/>
      <c r="L630" s="371"/>
      <c r="M630" s="371"/>
      <c r="N630" s="371"/>
      <c r="O630" s="371"/>
      <c r="P630" s="371"/>
      <c r="Q630" s="371"/>
      <c r="R630" s="371"/>
      <c r="S630" s="371"/>
      <c r="T630" s="371"/>
      <c r="U630" s="371"/>
      <c r="V630" s="371"/>
      <c r="W630" s="371"/>
      <c r="X630" s="371"/>
      <c r="Y630" s="371"/>
    </row>
    <row r="631" ht="28.5" customHeight="1">
      <c r="A631" s="371"/>
      <c r="B631" s="307"/>
      <c r="C631" s="307"/>
      <c r="D631" s="307"/>
      <c r="E631" s="307"/>
      <c r="F631" s="307"/>
      <c r="G631" s="307"/>
      <c r="H631" s="371"/>
      <c r="I631" s="371"/>
      <c r="J631" s="371"/>
      <c r="K631" s="371"/>
      <c r="L631" s="371"/>
      <c r="M631" s="371"/>
      <c r="N631" s="371"/>
      <c r="O631" s="371"/>
      <c r="P631" s="371"/>
      <c r="Q631" s="371"/>
      <c r="R631" s="371"/>
      <c r="S631" s="371"/>
      <c r="T631" s="371"/>
      <c r="U631" s="371"/>
      <c r="V631" s="371"/>
      <c r="W631" s="371"/>
      <c r="X631" s="371"/>
      <c r="Y631" s="371"/>
    </row>
    <row r="632" ht="28.5" customHeight="1">
      <c r="A632" s="371"/>
      <c r="B632" s="307"/>
      <c r="C632" s="307"/>
      <c r="D632" s="307"/>
      <c r="E632" s="307"/>
      <c r="F632" s="307"/>
      <c r="G632" s="307"/>
      <c r="H632" s="371"/>
      <c r="I632" s="371"/>
      <c r="J632" s="371"/>
      <c r="K632" s="371"/>
      <c r="L632" s="371"/>
      <c r="M632" s="371"/>
      <c r="N632" s="371"/>
      <c r="O632" s="371"/>
      <c r="P632" s="371"/>
      <c r="Q632" s="371"/>
      <c r="R632" s="371"/>
      <c r="S632" s="371"/>
      <c r="T632" s="371"/>
      <c r="U632" s="371"/>
      <c r="V632" s="371"/>
      <c r="W632" s="371"/>
      <c r="X632" s="371"/>
      <c r="Y632" s="371"/>
    </row>
    <row r="633" ht="28.5" customHeight="1">
      <c r="A633" s="371"/>
      <c r="B633" s="307"/>
      <c r="C633" s="307"/>
      <c r="D633" s="307"/>
      <c r="E633" s="307"/>
      <c r="F633" s="307"/>
      <c r="G633" s="307"/>
      <c r="H633" s="371"/>
      <c r="I633" s="371"/>
      <c r="J633" s="371"/>
      <c r="K633" s="371"/>
      <c r="L633" s="371"/>
      <c r="M633" s="371"/>
      <c r="N633" s="371"/>
      <c r="O633" s="371"/>
      <c r="P633" s="371"/>
      <c r="Q633" s="371"/>
      <c r="R633" s="371"/>
      <c r="S633" s="371"/>
      <c r="T633" s="371"/>
      <c r="U633" s="371"/>
      <c r="V633" s="371"/>
      <c r="W633" s="371"/>
      <c r="X633" s="371"/>
      <c r="Y633" s="371"/>
    </row>
    <row r="634" ht="28.5" customHeight="1">
      <c r="A634" s="371"/>
      <c r="B634" s="307"/>
      <c r="C634" s="307"/>
      <c r="D634" s="307"/>
      <c r="E634" s="307"/>
      <c r="F634" s="307"/>
      <c r="G634" s="307"/>
      <c r="H634" s="371"/>
      <c r="I634" s="371"/>
      <c r="J634" s="371"/>
      <c r="K634" s="371"/>
      <c r="L634" s="371"/>
      <c r="M634" s="371"/>
      <c r="N634" s="371"/>
      <c r="O634" s="371"/>
      <c r="P634" s="371"/>
      <c r="Q634" s="371"/>
      <c r="R634" s="371"/>
      <c r="S634" s="371"/>
      <c r="T634" s="371"/>
      <c r="U634" s="371"/>
      <c r="V634" s="371"/>
      <c r="W634" s="371"/>
      <c r="X634" s="371"/>
      <c r="Y634" s="371"/>
    </row>
    <row r="635" ht="28.5" customHeight="1">
      <c r="A635" s="371"/>
      <c r="B635" s="307"/>
      <c r="C635" s="307"/>
      <c r="D635" s="307"/>
      <c r="E635" s="307"/>
      <c r="F635" s="307"/>
      <c r="G635" s="307"/>
      <c r="H635" s="371"/>
      <c r="I635" s="371"/>
      <c r="J635" s="371"/>
      <c r="K635" s="371"/>
      <c r="L635" s="371"/>
      <c r="M635" s="371"/>
      <c r="N635" s="371"/>
      <c r="O635" s="371"/>
      <c r="P635" s="371"/>
      <c r="Q635" s="371"/>
      <c r="R635" s="371"/>
      <c r="S635" s="371"/>
      <c r="T635" s="371"/>
      <c r="U635" s="371"/>
      <c r="V635" s="371"/>
      <c r="W635" s="371"/>
      <c r="X635" s="371"/>
      <c r="Y635" s="371"/>
    </row>
    <row r="636" ht="28.5" customHeight="1">
      <c r="A636" s="371"/>
      <c r="B636" s="307"/>
      <c r="C636" s="307"/>
      <c r="D636" s="307"/>
      <c r="E636" s="307"/>
      <c r="F636" s="307"/>
      <c r="G636" s="307"/>
      <c r="H636" s="371"/>
      <c r="I636" s="371"/>
      <c r="J636" s="371"/>
      <c r="K636" s="371"/>
      <c r="L636" s="371"/>
      <c r="M636" s="371"/>
      <c r="N636" s="371"/>
      <c r="O636" s="371"/>
      <c r="P636" s="371"/>
      <c r="Q636" s="371"/>
      <c r="R636" s="371"/>
      <c r="S636" s="371"/>
      <c r="T636" s="371"/>
      <c r="U636" s="371"/>
      <c r="V636" s="371"/>
      <c r="W636" s="371"/>
      <c r="X636" s="371"/>
      <c r="Y636" s="371"/>
    </row>
    <row r="637" ht="28.5" customHeight="1">
      <c r="A637" s="371"/>
      <c r="B637" s="307"/>
      <c r="C637" s="307"/>
      <c r="D637" s="307"/>
      <c r="E637" s="307"/>
      <c r="F637" s="307"/>
      <c r="G637" s="307"/>
      <c r="H637" s="371"/>
      <c r="I637" s="371"/>
      <c r="J637" s="371"/>
      <c r="K637" s="371"/>
      <c r="L637" s="371"/>
      <c r="M637" s="371"/>
      <c r="N637" s="371"/>
      <c r="O637" s="371"/>
      <c r="P637" s="371"/>
      <c r="Q637" s="371"/>
      <c r="R637" s="371"/>
      <c r="S637" s="371"/>
      <c r="T637" s="371"/>
      <c r="U637" s="371"/>
      <c r="V637" s="371"/>
      <c r="W637" s="371"/>
      <c r="X637" s="371"/>
      <c r="Y637" s="371"/>
    </row>
    <row r="638" ht="28.5" customHeight="1">
      <c r="A638" s="371"/>
      <c r="B638" s="307"/>
      <c r="C638" s="307"/>
      <c r="D638" s="307"/>
      <c r="E638" s="307"/>
      <c r="F638" s="307"/>
      <c r="G638" s="307"/>
      <c r="H638" s="371"/>
      <c r="I638" s="371"/>
      <c r="J638" s="371"/>
      <c r="K638" s="371"/>
      <c r="L638" s="371"/>
      <c r="M638" s="371"/>
      <c r="N638" s="371"/>
      <c r="O638" s="371"/>
      <c r="P638" s="371"/>
      <c r="Q638" s="371"/>
      <c r="R638" s="371"/>
      <c r="S638" s="371"/>
      <c r="T638" s="371"/>
      <c r="U638" s="371"/>
      <c r="V638" s="371"/>
      <c r="W638" s="371"/>
      <c r="X638" s="371"/>
      <c r="Y638" s="371"/>
    </row>
    <row r="639" ht="28.5" customHeight="1">
      <c r="A639" s="371"/>
      <c r="B639" s="307"/>
      <c r="C639" s="307"/>
      <c r="D639" s="307"/>
      <c r="E639" s="307"/>
      <c r="F639" s="307"/>
      <c r="G639" s="307"/>
      <c r="H639" s="371"/>
      <c r="I639" s="371"/>
      <c r="J639" s="371"/>
      <c r="K639" s="371"/>
      <c r="L639" s="371"/>
      <c r="M639" s="371"/>
      <c r="N639" s="371"/>
      <c r="O639" s="371"/>
      <c r="P639" s="371"/>
      <c r="Q639" s="371"/>
      <c r="R639" s="371"/>
      <c r="S639" s="371"/>
      <c r="T639" s="371"/>
      <c r="U639" s="371"/>
      <c r="V639" s="371"/>
      <c r="W639" s="371"/>
      <c r="X639" s="371"/>
      <c r="Y639" s="371"/>
    </row>
    <row r="640" ht="28.5" customHeight="1">
      <c r="A640" s="371"/>
      <c r="B640" s="307"/>
      <c r="C640" s="307"/>
      <c r="D640" s="307"/>
      <c r="E640" s="307"/>
      <c r="F640" s="307"/>
      <c r="G640" s="307"/>
      <c r="H640" s="371"/>
      <c r="I640" s="371"/>
      <c r="J640" s="371"/>
      <c r="K640" s="371"/>
      <c r="L640" s="371"/>
      <c r="M640" s="371"/>
      <c r="N640" s="371"/>
      <c r="O640" s="371"/>
      <c r="P640" s="371"/>
      <c r="Q640" s="371"/>
      <c r="R640" s="371"/>
      <c r="S640" s="371"/>
      <c r="T640" s="371"/>
      <c r="U640" s="371"/>
      <c r="V640" s="371"/>
      <c r="W640" s="371"/>
      <c r="X640" s="371"/>
      <c r="Y640" s="371"/>
    </row>
    <row r="641" ht="28.5" customHeight="1">
      <c r="A641" s="371"/>
      <c r="B641" s="307"/>
      <c r="C641" s="307"/>
      <c r="D641" s="307"/>
      <c r="E641" s="307"/>
      <c r="F641" s="307"/>
      <c r="G641" s="307"/>
      <c r="H641" s="371"/>
      <c r="I641" s="371"/>
      <c r="J641" s="371"/>
      <c r="K641" s="371"/>
      <c r="L641" s="371"/>
      <c r="M641" s="371"/>
      <c r="N641" s="371"/>
      <c r="O641" s="371"/>
      <c r="P641" s="371"/>
      <c r="Q641" s="371"/>
      <c r="R641" s="371"/>
      <c r="S641" s="371"/>
      <c r="T641" s="371"/>
      <c r="U641" s="371"/>
      <c r="V641" s="371"/>
      <c r="W641" s="371"/>
      <c r="X641" s="371"/>
      <c r="Y641" s="371"/>
    </row>
    <row r="642" ht="28.5" customHeight="1">
      <c r="A642" s="371"/>
      <c r="B642" s="307"/>
      <c r="C642" s="307"/>
      <c r="D642" s="307"/>
      <c r="E642" s="307"/>
      <c r="F642" s="307"/>
      <c r="G642" s="307"/>
      <c r="H642" s="371"/>
      <c r="I642" s="371"/>
      <c r="J642" s="371"/>
      <c r="K642" s="371"/>
      <c r="L642" s="371"/>
      <c r="M642" s="371"/>
      <c r="N642" s="371"/>
      <c r="O642" s="371"/>
      <c r="P642" s="371"/>
      <c r="Q642" s="371"/>
      <c r="R642" s="371"/>
      <c r="S642" s="371"/>
      <c r="T642" s="371"/>
      <c r="U642" s="371"/>
      <c r="V642" s="371"/>
      <c r="W642" s="371"/>
      <c r="X642" s="371"/>
      <c r="Y642" s="371"/>
    </row>
    <row r="643" ht="28.5" customHeight="1">
      <c r="A643" s="371"/>
      <c r="B643" s="307"/>
      <c r="C643" s="307"/>
      <c r="D643" s="307"/>
      <c r="E643" s="307"/>
      <c r="F643" s="307"/>
      <c r="G643" s="307"/>
      <c r="H643" s="371"/>
      <c r="I643" s="371"/>
      <c r="J643" s="371"/>
      <c r="K643" s="371"/>
      <c r="L643" s="371"/>
      <c r="M643" s="371"/>
      <c r="N643" s="371"/>
      <c r="O643" s="371"/>
      <c r="P643" s="371"/>
      <c r="Q643" s="371"/>
      <c r="R643" s="371"/>
      <c r="S643" s="371"/>
      <c r="T643" s="371"/>
      <c r="U643" s="371"/>
      <c r="V643" s="371"/>
      <c r="W643" s="371"/>
      <c r="X643" s="371"/>
      <c r="Y643" s="371"/>
    </row>
    <row r="644" ht="28.5" customHeight="1">
      <c r="A644" s="371"/>
      <c r="B644" s="307"/>
      <c r="C644" s="307"/>
      <c r="D644" s="307"/>
      <c r="E644" s="307"/>
      <c r="F644" s="307"/>
      <c r="G644" s="307"/>
      <c r="H644" s="371"/>
      <c r="I644" s="371"/>
      <c r="J644" s="371"/>
      <c r="K644" s="371"/>
      <c r="L644" s="371"/>
      <c r="M644" s="371"/>
      <c r="N644" s="371"/>
      <c r="O644" s="371"/>
      <c r="P644" s="371"/>
      <c r="Q644" s="371"/>
      <c r="R644" s="371"/>
      <c r="S644" s="371"/>
      <c r="T644" s="371"/>
      <c r="U644" s="371"/>
      <c r="V644" s="371"/>
      <c r="W644" s="371"/>
      <c r="X644" s="371"/>
      <c r="Y644" s="371"/>
    </row>
    <row r="645" ht="28.5" customHeight="1">
      <c r="A645" s="371"/>
      <c r="B645" s="307"/>
      <c r="C645" s="307"/>
      <c r="D645" s="307"/>
      <c r="E645" s="307"/>
      <c r="F645" s="307"/>
      <c r="G645" s="307"/>
      <c r="H645" s="371"/>
      <c r="I645" s="371"/>
      <c r="J645" s="371"/>
      <c r="K645" s="371"/>
      <c r="L645" s="371"/>
      <c r="M645" s="371"/>
      <c r="N645" s="371"/>
      <c r="O645" s="371"/>
      <c r="P645" s="371"/>
      <c r="Q645" s="371"/>
      <c r="R645" s="371"/>
      <c r="S645" s="371"/>
      <c r="T645" s="371"/>
      <c r="U645" s="371"/>
      <c r="V645" s="371"/>
      <c r="W645" s="371"/>
      <c r="X645" s="371"/>
      <c r="Y645" s="371"/>
    </row>
    <row r="646" ht="28.5" customHeight="1">
      <c r="A646" s="371"/>
      <c r="B646" s="307"/>
      <c r="C646" s="307"/>
      <c r="D646" s="307"/>
      <c r="E646" s="307"/>
      <c r="F646" s="307"/>
      <c r="G646" s="307"/>
      <c r="H646" s="371"/>
      <c r="I646" s="371"/>
      <c r="J646" s="371"/>
      <c r="K646" s="371"/>
      <c r="L646" s="371"/>
      <c r="M646" s="371"/>
      <c r="N646" s="371"/>
      <c r="O646" s="371"/>
      <c r="P646" s="371"/>
      <c r="Q646" s="371"/>
      <c r="R646" s="371"/>
      <c r="S646" s="371"/>
      <c r="T646" s="371"/>
      <c r="U646" s="371"/>
      <c r="V646" s="371"/>
      <c r="W646" s="371"/>
      <c r="X646" s="371"/>
      <c r="Y646" s="371"/>
    </row>
    <row r="647" ht="28.5" customHeight="1">
      <c r="A647" s="371"/>
      <c r="B647" s="307"/>
      <c r="C647" s="307"/>
      <c r="D647" s="307"/>
      <c r="E647" s="307"/>
      <c r="F647" s="307"/>
      <c r="G647" s="307"/>
      <c r="H647" s="371"/>
      <c r="I647" s="371"/>
      <c r="J647" s="371"/>
      <c r="K647" s="371"/>
      <c r="L647" s="371"/>
      <c r="M647" s="371"/>
      <c r="N647" s="371"/>
      <c r="O647" s="371"/>
      <c r="P647" s="371"/>
      <c r="Q647" s="371"/>
      <c r="R647" s="371"/>
      <c r="S647" s="371"/>
      <c r="T647" s="371"/>
      <c r="U647" s="371"/>
      <c r="V647" s="371"/>
      <c r="W647" s="371"/>
      <c r="X647" s="371"/>
      <c r="Y647" s="371"/>
    </row>
    <row r="648" ht="28.5" customHeight="1">
      <c r="A648" s="371"/>
      <c r="B648" s="307"/>
      <c r="C648" s="307"/>
      <c r="D648" s="307"/>
      <c r="E648" s="307"/>
      <c r="F648" s="307"/>
      <c r="G648" s="307"/>
      <c r="H648" s="371"/>
      <c r="I648" s="371"/>
      <c r="J648" s="371"/>
      <c r="K648" s="371"/>
      <c r="L648" s="371"/>
      <c r="M648" s="371"/>
      <c r="N648" s="371"/>
      <c r="O648" s="371"/>
      <c r="P648" s="371"/>
      <c r="Q648" s="371"/>
      <c r="R648" s="371"/>
      <c r="S648" s="371"/>
      <c r="T648" s="371"/>
      <c r="U648" s="371"/>
      <c r="V648" s="371"/>
      <c r="W648" s="371"/>
      <c r="X648" s="371"/>
      <c r="Y648" s="371"/>
    </row>
    <row r="649" ht="28.5" customHeight="1">
      <c r="A649" s="371"/>
      <c r="B649" s="307"/>
      <c r="C649" s="307"/>
      <c r="D649" s="307"/>
      <c r="E649" s="307"/>
      <c r="F649" s="307"/>
      <c r="G649" s="307"/>
      <c r="H649" s="371"/>
      <c r="I649" s="371"/>
      <c r="J649" s="371"/>
      <c r="K649" s="371"/>
      <c r="L649" s="371"/>
      <c r="M649" s="371"/>
      <c r="N649" s="371"/>
      <c r="O649" s="371"/>
      <c r="P649" s="371"/>
      <c r="Q649" s="371"/>
      <c r="R649" s="371"/>
      <c r="S649" s="371"/>
      <c r="T649" s="371"/>
      <c r="U649" s="371"/>
      <c r="V649" s="371"/>
      <c r="W649" s="371"/>
      <c r="X649" s="371"/>
      <c r="Y649" s="371"/>
    </row>
    <row r="650" ht="28.5" customHeight="1">
      <c r="A650" s="371"/>
      <c r="B650" s="307"/>
      <c r="C650" s="307"/>
      <c r="D650" s="307"/>
      <c r="E650" s="307"/>
      <c r="F650" s="307"/>
      <c r="G650" s="307"/>
      <c r="H650" s="371"/>
      <c r="I650" s="371"/>
      <c r="J650" s="371"/>
      <c r="K650" s="371"/>
      <c r="L650" s="371"/>
      <c r="M650" s="371"/>
      <c r="N650" s="371"/>
      <c r="O650" s="371"/>
      <c r="P650" s="371"/>
      <c r="Q650" s="371"/>
      <c r="R650" s="371"/>
      <c r="S650" s="371"/>
      <c r="T650" s="371"/>
      <c r="U650" s="371"/>
      <c r="V650" s="371"/>
      <c r="W650" s="371"/>
      <c r="X650" s="371"/>
      <c r="Y650" s="371"/>
    </row>
    <row r="651" ht="28.5" customHeight="1">
      <c r="A651" s="371"/>
      <c r="B651" s="307"/>
      <c r="C651" s="307"/>
      <c r="D651" s="307"/>
      <c r="E651" s="307"/>
      <c r="F651" s="307"/>
      <c r="G651" s="307"/>
      <c r="H651" s="371"/>
      <c r="I651" s="371"/>
      <c r="J651" s="371"/>
      <c r="K651" s="371"/>
      <c r="L651" s="371"/>
      <c r="M651" s="371"/>
      <c r="N651" s="371"/>
      <c r="O651" s="371"/>
      <c r="P651" s="371"/>
      <c r="Q651" s="371"/>
      <c r="R651" s="371"/>
      <c r="S651" s="371"/>
      <c r="T651" s="371"/>
      <c r="U651" s="371"/>
      <c r="V651" s="371"/>
      <c r="W651" s="371"/>
      <c r="X651" s="371"/>
      <c r="Y651" s="371"/>
    </row>
    <row r="652" ht="28.5" customHeight="1">
      <c r="A652" s="371"/>
      <c r="B652" s="307"/>
      <c r="C652" s="307"/>
      <c r="D652" s="307"/>
      <c r="E652" s="307"/>
      <c r="F652" s="307"/>
      <c r="G652" s="307"/>
      <c r="H652" s="371"/>
      <c r="I652" s="371"/>
      <c r="J652" s="371"/>
      <c r="K652" s="371"/>
      <c r="L652" s="371"/>
      <c r="M652" s="371"/>
      <c r="N652" s="371"/>
      <c r="O652" s="371"/>
      <c r="P652" s="371"/>
      <c r="Q652" s="371"/>
      <c r="R652" s="371"/>
      <c r="S652" s="371"/>
      <c r="T652" s="371"/>
      <c r="U652" s="371"/>
      <c r="V652" s="371"/>
      <c r="W652" s="371"/>
      <c r="X652" s="371"/>
      <c r="Y652" s="371"/>
    </row>
    <row r="653" ht="28.5" customHeight="1">
      <c r="A653" s="371"/>
      <c r="B653" s="307"/>
      <c r="C653" s="307"/>
      <c r="D653" s="307"/>
      <c r="E653" s="307"/>
      <c r="F653" s="307"/>
      <c r="G653" s="307"/>
      <c r="H653" s="371"/>
      <c r="I653" s="371"/>
      <c r="J653" s="371"/>
      <c r="K653" s="371"/>
      <c r="L653" s="371"/>
      <c r="M653" s="371"/>
      <c r="N653" s="371"/>
      <c r="O653" s="371"/>
      <c r="P653" s="371"/>
      <c r="Q653" s="371"/>
      <c r="R653" s="371"/>
      <c r="S653" s="371"/>
      <c r="T653" s="371"/>
      <c r="U653" s="371"/>
      <c r="V653" s="371"/>
      <c r="W653" s="371"/>
      <c r="X653" s="371"/>
      <c r="Y653" s="371"/>
    </row>
    <row r="654" ht="28.5" customHeight="1">
      <c r="A654" s="371"/>
      <c r="B654" s="307"/>
      <c r="C654" s="307"/>
      <c r="D654" s="307"/>
      <c r="E654" s="307"/>
      <c r="F654" s="307"/>
      <c r="G654" s="307"/>
      <c r="H654" s="371"/>
      <c r="I654" s="371"/>
      <c r="J654" s="371"/>
      <c r="K654" s="371"/>
      <c r="L654" s="371"/>
      <c r="M654" s="371"/>
      <c r="N654" s="371"/>
      <c r="O654" s="371"/>
      <c r="P654" s="371"/>
      <c r="Q654" s="371"/>
      <c r="R654" s="371"/>
      <c r="S654" s="371"/>
      <c r="T654" s="371"/>
      <c r="U654" s="371"/>
      <c r="V654" s="371"/>
      <c r="W654" s="371"/>
      <c r="X654" s="371"/>
      <c r="Y654" s="371"/>
    </row>
    <row r="655" ht="28.5" customHeight="1">
      <c r="A655" s="371"/>
      <c r="B655" s="307"/>
      <c r="C655" s="307"/>
      <c r="D655" s="307"/>
      <c r="E655" s="307"/>
      <c r="F655" s="307"/>
      <c r="G655" s="307"/>
      <c r="H655" s="371"/>
      <c r="I655" s="371"/>
      <c r="J655" s="371"/>
      <c r="K655" s="371"/>
      <c r="L655" s="371"/>
      <c r="M655" s="371"/>
      <c r="N655" s="371"/>
      <c r="O655" s="371"/>
      <c r="P655" s="371"/>
      <c r="Q655" s="371"/>
      <c r="R655" s="371"/>
      <c r="S655" s="371"/>
      <c r="T655" s="371"/>
      <c r="U655" s="371"/>
      <c r="V655" s="371"/>
      <c r="W655" s="371"/>
      <c r="X655" s="371"/>
      <c r="Y655" s="371"/>
    </row>
    <row r="656" ht="28.5" customHeight="1">
      <c r="A656" s="371"/>
      <c r="B656" s="307"/>
      <c r="C656" s="307"/>
      <c r="D656" s="307"/>
      <c r="E656" s="307"/>
      <c r="F656" s="307"/>
      <c r="G656" s="307"/>
      <c r="H656" s="371"/>
      <c r="I656" s="371"/>
      <c r="J656" s="371"/>
      <c r="K656" s="371"/>
      <c r="L656" s="371"/>
      <c r="M656" s="371"/>
      <c r="N656" s="371"/>
      <c r="O656" s="371"/>
      <c r="P656" s="371"/>
      <c r="Q656" s="371"/>
      <c r="R656" s="371"/>
      <c r="S656" s="371"/>
      <c r="T656" s="371"/>
      <c r="U656" s="371"/>
      <c r="V656" s="371"/>
      <c r="W656" s="371"/>
      <c r="X656" s="371"/>
      <c r="Y656" s="371"/>
    </row>
    <row r="657" ht="28.5" customHeight="1">
      <c r="A657" s="371"/>
      <c r="B657" s="307"/>
      <c r="C657" s="307"/>
      <c r="D657" s="307"/>
      <c r="E657" s="307"/>
      <c r="F657" s="307"/>
      <c r="G657" s="307"/>
      <c r="H657" s="371"/>
      <c r="I657" s="371"/>
      <c r="J657" s="371"/>
      <c r="K657" s="371"/>
      <c r="L657" s="371"/>
      <c r="M657" s="371"/>
      <c r="N657" s="371"/>
      <c r="O657" s="371"/>
      <c r="P657" s="371"/>
      <c r="Q657" s="371"/>
      <c r="R657" s="371"/>
      <c r="S657" s="371"/>
      <c r="T657" s="371"/>
      <c r="U657" s="371"/>
      <c r="V657" s="371"/>
      <c r="W657" s="371"/>
      <c r="X657" s="371"/>
      <c r="Y657" s="371"/>
    </row>
    <row r="658" ht="28.5" customHeight="1">
      <c r="A658" s="371"/>
      <c r="B658" s="307"/>
      <c r="C658" s="307"/>
      <c r="D658" s="307"/>
      <c r="E658" s="307"/>
      <c r="F658" s="307"/>
      <c r="G658" s="307"/>
      <c r="H658" s="371"/>
      <c r="I658" s="371"/>
      <c r="J658" s="371"/>
      <c r="K658" s="371"/>
      <c r="L658" s="371"/>
      <c r="M658" s="371"/>
      <c r="N658" s="371"/>
      <c r="O658" s="371"/>
      <c r="P658" s="371"/>
      <c r="Q658" s="371"/>
      <c r="R658" s="371"/>
      <c r="S658" s="371"/>
      <c r="T658" s="371"/>
      <c r="U658" s="371"/>
      <c r="V658" s="371"/>
      <c r="W658" s="371"/>
      <c r="X658" s="371"/>
      <c r="Y658" s="371"/>
    </row>
    <row r="659" ht="28.5" customHeight="1">
      <c r="A659" s="371"/>
      <c r="B659" s="307"/>
      <c r="C659" s="307"/>
      <c r="D659" s="307"/>
      <c r="E659" s="307"/>
      <c r="F659" s="307"/>
      <c r="G659" s="307"/>
      <c r="H659" s="371"/>
      <c r="I659" s="371"/>
      <c r="J659" s="371"/>
      <c r="K659" s="371"/>
      <c r="L659" s="371"/>
      <c r="M659" s="371"/>
      <c r="N659" s="371"/>
      <c r="O659" s="371"/>
      <c r="P659" s="371"/>
      <c r="Q659" s="371"/>
      <c r="R659" s="371"/>
      <c r="S659" s="371"/>
      <c r="T659" s="371"/>
      <c r="U659" s="371"/>
      <c r="V659" s="371"/>
      <c r="W659" s="371"/>
      <c r="X659" s="371"/>
      <c r="Y659" s="371"/>
    </row>
    <row r="660" ht="28.5" customHeight="1">
      <c r="A660" s="371"/>
      <c r="B660" s="307"/>
      <c r="C660" s="307"/>
      <c r="D660" s="307"/>
      <c r="E660" s="307"/>
      <c r="F660" s="307"/>
      <c r="G660" s="307"/>
      <c r="H660" s="371"/>
      <c r="I660" s="371"/>
      <c r="J660" s="371"/>
      <c r="K660" s="371"/>
      <c r="L660" s="371"/>
      <c r="M660" s="371"/>
      <c r="N660" s="371"/>
      <c r="O660" s="371"/>
      <c r="P660" s="371"/>
      <c r="Q660" s="371"/>
      <c r="R660" s="371"/>
      <c r="S660" s="371"/>
      <c r="T660" s="371"/>
      <c r="U660" s="371"/>
      <c r="V660" s="371"/>
      <c r="W660" s="371"/>
      <c r="X660" s="371"/>
      <c r="Y660" s="371"/>
    </row>
    <row r="661" ht="28.5" customHeight="1">
      <c r="A661" s="371"/>
      <c r="B661" s="307"/>
      <c r="C661" s="307"/>
      <c r="D661" s="307"/>
      <c r="E661" s="307"/>
      <c r="F661" s="307"/>
      <c r="G661" s="307"/>
      <c r="H661" s="371"/>
      <c r="I661" s="371"/>
      <c r="J661" s="371"/>
      <c r="K661" s="371"/>
      <c r="L661" s="371"/>
      <c r="M661" s="371"/>
      <c r="N661" s="371"/>
      <c r="O661" s="371"/>
      <c r="P661" s="371"/>
      <c r="Q661" s="371"/>
      <c r="R661" s="371"/>
      <c r="S661" s="371"/>
      <c r="T661" s="371"/>
      <c r="U661" s="371"/>
      <c r="V661" s="371"/>
      <c r="W661" s="371"/>
      <c r="X661" s="371"/>
      <c r="Y661" s="371"/>
    </row>
    <row r="662" ht="28.5" customHeight="1">
      <c r="A662" s="371"/>
      <c r="B662" s="307"/>
      <c r="C662" s="307"/>
      <c r="D662" s="307"/>
      <c r="E662" s="307"/>
      <c r="F662" s="307"/>
      <c r="G662" s="307"/>
      <c r="H662" s="371"/>
      <c r="I662" s="371"/>
      <c r="J662" s="371"/>
      <c r="K662" s="371"/>
      <c r="L662" s="371"/>
      <c r="M662" s="371"/>
      <c r="N662" s="371"/>
      <c r="O662" s="371"/>
      <c r="P662" s="371"/>
      <c r="Q662" s="371"/>
      <c r="R662" s="371"/>
      <c r="S662" s="371"/>
      <c r="T662" s="371"/>
      <c r="U662" s="371"/>
      <c r="V662" s="371"/>
      <c r="W662" s="371"/>
      <c r="X662" s="371"/>
      <c r="Y662" s="371"/>
    </row>
    <row r="663" ht="28.5" customHeight="1">
      <c r="A663" s="371"/>
      <c r="B663" s="307"/>
      <c r="C663" s="307"/>
      <c r="D663" s="307"/>
      <c r="E663" s="307"/>
      <c r="F663" s="307"/>
      <c r="G663" s="307"/>
      <c r="H663" s="371"/>
      <c r="I663" s="371"/>
      <c r="J663" s="371"/>
      <c r="K663" s="371"/>
      <c r="L663" s="371"/>
      <c r="M663" s="371"/>
      <c r="N663" s="371"/>
      <c r="O663" s="371"/>
      <c r="P663" s="371"/>
      <c r="Q663" s="371"/>
      <c r="R663" s="371"/>
      <c r="S663" s="371"/>
      <c r="T663" s="371"/>
      <c r="U663" s="371"/>
      <c r="V663" s="371"/>
      <c r="W663" s="371"/>
      <c r="X663" s="371"/>
      <c r="Y663" s="371"/>
    </row>
    <row r="664" ht="28.5" customHeight="1">
      <c r="A664" s="371"/>
      <c r="B664" s="307"/>
      <c r="C664" s="307"/>
      <c r="D664" s="307"/>
      <c r="E664" s="307"/>
      <c r="F664" s="307"/>
      <c r="G664" s="307"/>
      <c r="H664" s="371"/>
      <c r="I664" s="371"/>
      <c r="J664" s="371"/>
      <c r="K664" s="371"/>
      <c r="L664" s="371"/>
      <c r="M664" s="371"/>
      <c r="N664" s="371"/>
      <c r="O664" s="371"/>
      <c r="P664" s="371"/>
      <c r="Q664" s="371"/>
      <c r="R664" s="371"/>
      <c r="S664" s="371"/>
      <c r="T664" s="371"/>
      <c r="U664" s="371"/>
      <c r="V664" s="371"/>
      <c r="W664" s="371"/>
      <c r="X664" s="371"/>
      <c r="Y664" s="371"/>
    </row>
    <row r="665" ht="28.5" customHeight="1">
      <c r="A665" s="371"/>
      <c r="B665" s="307"/>
      <c r="C665" s="307"/>
      <c r="D665" s="307"/>
      <c r="E665" s="307"/>
      <c r="F665" s="307"/>
      <c r="G665" s="307"/>
      <c r="H665" s="371"/>
      <c r="I665" s="371"/>
      <c r="J665" s="371"/>
      <c r="K665" s="371"/>
      <c r="L665" s="371"/>
      <c r="M665" s="371"/>
      <c r="N665" s="371"/>
      <c r="O665" s="371"/>
      <c r="P665" s="371"/>
      <c r="Q665" s="371"/>
      <c r="R665" s="371"/>
      <c r="S665" s="371"/>
      <c r="T665" s="371"/>
      <c r="U665" s="371"/>
      <c r="V665" s="371"/>
      <c r="W665" s="371"/>
      <c r="X665" s="371"/>
      <c r="Y665" s="371"/>
    </row>
    <row r="666" ht="28.5" customHeight="1">
      <c r="A666" s="371"/>
      <c r="B666" s="307"/>
      <c r="C666" s="307"/>
      <c r="D666" s="307"/>
      <c r="E666" s="307"/>
      <c r="F666" s="307"/>
      <c r="G666" s="307"/>
      <c r="H666" s="371"/>
      <c r="I666" s="371"/>
      <c r="J666" s="371"/>
      <c r="K666" s="371"/>
      <c r="L666" s="371"/>
      <c r="M666" s="371"/>
      <c r="N666" s="371"/>
      <c r="O666" s="371"/>
      <c r="P666" s="371"/>
      <c r="Q666" s="371"/>
      <c r="R666" s="371"/>
      <c r="S666" s="371"/>
      <c r="T666" s="371"/>
      <c r="U666" s="371"/>
      <c r="V666" s="371"/>
      <c r="W666" s="371"/>
      <c r="X666" s="371"/>
      <c r="Y666" s="371"/>
    </row>
    <row r="667" ht="28.5" customHeight="1">
      <c r="A667" s="371"/>
      <c r="B667" s="307"/>
      <c r="C667" s="307"/>
      <c r="D667" s="307"/>
      <c r="E667" s="307"/>
      <c r="F667" s="307"/>
      <c r="G667" s="307"/>
      <c r="H667" s="371"/>
      <c r="I667" s="371"/>
      <c r="J667" s="371"/>
      <c r="K667" s="371"/>
      <c r="L667" s="371"/>
      <c r="M667" s="371"/>
      <c r="N667" s="371"/>
      <c r="O667" s="371"/>
      <c r="P667" s="371"/>
      <c r="Q667" s="371"/>
      <c r="R667" s="371"/>
      <c r="S667" s="371"/>
      <c r="T667" s="371"/>
      <c r="U667" s="371"/>
      <c r="V667" s="371"/>
      <c r="W667" s="371"/>
      <c r="X667" s="371"/>
      <c r="Y667" s="371"/>
    </row>
    <row r="668" ht="28.5" customHeight="1">
      <c r="A668" s="371"/>
      <c r="B668" s="307"/>
      <c r="C668" s="307"/>
      <c r="D668" s="307"/>
      <c r="E668" s="307"/>
      <c r="F668" s="307"/>
      <c r="G668" s="307"/>
      <c r="H668" s="371"/>
      <c r="I668" s="371"/>
      <c r="J668" s="371"/>
      <c r="K668" s="371"/>
      <c r="L668" s="371"/>
      <c r="M668" s="371"/>
      <c r="N668" s="371"/>
      <c r="O668" s="371"/>
      <c r="P668" s="371"/>
      <c r="Q668" s="371"/>
      <c r="R668" s="371"/>
      <c r="S668" s="371"/>
      <c r="T668" s="371"/>
      <c r="U668" s="371"/>
      <c r="V668" s="371"/>
      <c r="W668" s="371"/>
      <c r="X668" s="371"/>
      <c r="Y668" s="371"/>
    </row>
    <row r="669" ht="28.5" customHeight="1">
      <c r="A669" s="371"/>
      <c r="B669" s="307"/>
      <c r="C669" s="307"/>
      <c r="D669" s="307"/>
      <c r="E669" s="307"/>
      <c r="F669" s="307"/>
      <c r="G669" s="307"/>
      <c r="H669" s="371"/>
      <c r="I669" s="371"/>
      <c r="J669" s="371"/>
      <c r="K669" s="371"/>
      <c r="L669" s="371"/>
      <c r="M669" s="371"/>
      <c r="N669" s="371"/>
      <c r="O669" s="371"/>
      <c r="P669" s="371"/>
      <c r="Q669" s="371"/>
      <c r="R669" s="371"/>
      <c r="S669" s="371"/>
      <c r="T669" s="371"/>
      <c r="U669" s="371"/>
      <c r="V669" s="371"/>
      <c r="W669" s="371"/>
      <c r="X669" s="371"/>
      <c r="Y669" s="371"/>
    </row>
    <row r="670" ht="28.5" customHeight="1">
      <c r="A670" s="371"/>
      <c r="B670" s="307"/>
      <c r="C670" s="307"/>
      <c r="D670" s="307"/>
      <c r="E670" s="307"/>
      <c r="F670" s="307"/>
      <c r="G670" s="307"/>
      <c r="H670" s="371"/>
      <c r="I670" s="371"/>
      <c r="J670" s="371"/>
      <c r="K670" s="371"/>
      <c r="L670" s="371"/>
      <c r="M670" s="371"/>
      <c r="N670" s="371"/>
      <c r="O670" s="371"/>
      <c r="P670" s="371"/>
      <c r="Q670" s="371"/>
      <c r="R670" s="371"/>
      <c r="S670" s="371"/>
      <c r="T670" s="371"/>
      <c r="U670" s="371"/>
      <c r="V670" s="371"/>
      <c r="W670" s="371"/>
      <c r="X670" s="371"/>
      <c r="Y670" s="371"/>
    </row>
    <row r="671" ht="28.5" customHeight="1">
      <c r="A671" s="371"/>
      <c r="B671" s="307"/>
      <c r="C671" s="307"/>
      <c r="D671" s="307"/>
      <c r="E671" s="307"/>
      <c r="F671" s="307"/>
      <c r="G671" s="307"/>
      <c r="H671" s="371"/>
      <c r="I671" s="371"/>
      <c r="J671" s="371"/>
      <c r="K671" s="371"/>
      <c r="L671" s="371"/>
      <c r="M671" s="371"/>
      <c r="N671" s="371"/>
      <c r="O671" s="371"/>
      <c r="P671" s="371"/>
      <c r="Q671" s="371"/>
      <c r="R671" s="371"/>
      <c r="S671" s="371"/>
      <c r="T671" s="371"/>
      <c r="U671" s="371"/>
      <c r="V671" s="371"/>
      <c r="W671" s="371"/>
      <c r="X671" s="371"/>
      <c r="Y671" s="371"/>
    </row>
    <row r="672" ht="28.5" customHeight="1">
      <c r="A672" s="371"/>
      <c r="B672" s="307"/>
      <c r="C672" s="307"/>
      <c r="D672" s="307"/>
      <c r="E672" s="307"/>
      <c r="F672" s="307"/>
      <c r="G672" s="307"/>
      <c r="H672" s="371"/>
      <c r="I672" s="371"/>
      <c r="J672" s="371"/>
      <c r="K672" s="371"/>
      <c r="L672" s="371"/>
      <c r="M672" s="371"/>
      <c r="N672" s="371"/>
      <c r="O672" s="371"/>
      <c r="P672" s="371"/>
      <c r="Q672" s="371"/>
      <c r="R672" s="371"/>
      <c r="S672" s="371"/>
      <c r="T672" s="371"/>
      <c r="U672" s="371"/>
      <c r="V672" s="371"/>
      <c r="W672" s="371"/>
      <c r="X672" s="371"/>
      <c r="Y672" s="371"/>
    </row>
    <row r="673" ht="28.5" customHeight="1">
      <c r="A673" s="371"/>
      <c r="B673" s="307"/>
      <c r="C673" s="307"/>
      <c r="D673" s="307"/>
      <c r="E673" s="307"/>
      <c r="F673" s="307"/>
      <c r="G673" s="307"/>
      <c r="H673" s="371"/>
      <c r="I673" s="371"/>
      <c r="J673" s="371"/>
      <c r="K673" s="371"/>
      <c r="L673" s="371"/>
      <c r="M673" s="371"/>
      <c r="N673" s="371"/>
      <c r="O673" s="371"/>
      <c r="P673" s="371"/>
      <c r="Q673" s="371"/>
      <c r="R673" s="371"/>
      <c r="S673" s="371"/>
      <c r="T673" s="371"/>
      <c r="U673" s="371"/>
      <c r="V673" s="371"/>
      <c r="W673" s="371"/>
      <c r="X673" s="371"/>
      <c r="Y673" s="371"/>
    </row>
    <row r="674" ht="28.5" customHeight="1">
      <c r="A674" s="371"/>
      <c r="B674" s="307"/>
      <c r="C674" s="307"/>
      <c r="D674" s="307"/>
      <c r="E674" s="307"/>
      <c r="F674" s="307"/>
      <c r="G674" s="307"/>
      <c r="H674" s="371"/>
      <c r="I674" s="371"/>
      <c r="J674" s="371"/>
      <c r="K674" s="371"/>
      <c r="L674" s="371"/>
      <c r="M674" s="371"/>
      <c r="N674" s="371"/>
      <c r="O674" s="371"/>
      <c r="P674" s="371"/>
      <c r="Q674" s="371"/>
      <c r="R674" s="371"/>
      <c r="S674" s="371"/>
      <c r="T674" s="371"/>
      <c r="U674" s="371"/>
      <c r="V674" s="371"/>
      <c r="W674" s="371"/>
      <c r="X674" s="371"/>
      <c r="Y674" s="371"/>
    </row>
    <row r="675" ht="28.5" customHeight="1">
      <c r="A675" s="371"/>
      <c r="B675" s="307"/>
      <c r="C675" s="307"/>
      <c r="D675" s="307"/>
      <c r="E675" s="307"/>
      <c r="F675" s="307"/>
      <c r="G675" s="307"/>
      <c r="H675" s="371"/>
      <c r="I675" s="371"/>
      <c r="J675" s="371"/>
      <c r="K675" s="371"/>
      <c r="L675" s="371"/>
      <c r="M675" s="371"/>
      <c r="N675" s="371"/>
      <c r="O675" s="371"/>
      <c r="P675" s="371"/>
      <c r="Q675" s="371"/>
      <c r="R675" s="371"/>
      <c r="S675" s="371"/>
      <c r="T675" s="371"/>
      <c r="U675" s="371"/>
      <c r="V675" s="371"/>
      <c r="W675" s="371"/>
      <c r="X675" s="371"/>
      <c r="Y675" s="371"/>
    </row>
    <row r="676" ht="28.5" customHeight="1">
      <c r="A676" s="371"/>
      <c r="B676" s="307"/>
      <c r="C676" s="307"/>
      <c r="D676" s="307"/>
      <c r="E676" s="307"/>
      <c r="F676" s="307"/>
      <c r="G676" s="307"/>
      <c r="H676" s="371"/>
      <c r="I676" s="371"/>
      <c r="J676" s="371"/>
      <c r="K676" s="371"/>
      <c r="L676" s="371"/>
      <c r="M676" s="371"/>
      <c r="N676" s="371"/>
      <c r="O676" s="371"/>
      <c r="P676" s="371"/>
      <c r="Q676" s="371"/>
      <c r="R676" s="371"/>
      <c r="S676" s="371"/>
      <c r="T676" s="371"/>
      <c r="U676" s="371"/>
      <c r="V676" s="371"/>
      <c r="W676" s="371"/>
      <c r="X676" s="371"/>
      <c r="Y676" s="371"/>
    </row>
    <row r="677" ht="28.5" customHeight="1">
      <c r="A677" s="371"/>
      <c r="B677" s="307"/>
      <c r="C677" s="307"/>
      <c r="D677" s="307"/>
      <c r="E677" s="307"/>
      <c r="F677" s="307"/>
      <c r="G677" s="307"/>
      <c r="H677" s="371"/>
      <c r="I677" s="371"/>
      <c r="J677" s="371"/>
      <c r="K677" s="371"/>
      <c r="L677" s="371"/>
      <c r="M677" s="371"/>
      <c r="N677" s="371"/>
      <c r="O677" s="371"/>
      <c r="P677" s="371"/>
      <c r="Q677" s="371"/>
      <c r="R677" s="371"/>
      <c r="S677" s="371"/>
      <c r="T677" s="371"/>
      <c r="U677" s="371"/>
      <c r="V677" s="371"/>
      <c r="W677" s="371"/>
      <c r="X677" s="371"/>
      <c r="Y677" s="371"/>
    </row>
    <row r="678" ht="28.5" customHeight="1">
      <c r="A678" s="371"/>
      <c r="B678" s="307"/>
      <c r="C678" s="307"/>
      <c r="D678" s="307"/>
      <c r="E678" s="307"/>
      <c r="F678" s="307"/>
      <c r="G678" s="307"/>
      <c r="H678" s="371"/>
      <c r="I678" s="371"/>
      <c r="J678" s="371"/>
      <c r="K678" s="371"/>
      <c r="L678" s="371"/>
      <c r="M678" s="371"/>
      <c r="N678" s="371"/>
      <c r="O678" s="371"/>
      <c r="P678" s="371"/>
      <c r="Q678" s="371"/>
      <c r="R678" s="371"/>
      <c r="S678" s="371"/>
      <c r="T678" s="371"/>
      <c r="U678" s="371"/>
      <c r="V678" s="371"/>
      <c r="W678" s="371"/>
      <c r="X678" s="371"/>
      <c r="Y678" s="371"/>
    </row>
    <row r="679" ht="28.5" customHeight="1">
      <c r="A679" s="371"/>
      <c r="B679" s="307"/>
      <c r="C679" s="307"/>
      <c r="D679" s="307"/>
      <c r="E679" s="307"/>
      <c r="F679" s="307"/>
      <c r="G679" s="307"/>
      <c r="H679" s="371"/>
      <c r="I679" s="371"/>
      <c r="J679" s="371"/>
      <c r="K679" s="371"/>
      <c r="L679" s="371"/>
      <c r="M679" s="371"/>
      <c r="N679" s="371"/>
      <c r="O679" s="371"/>
      <c r="P679" s="371"/>
      <c r="Q679" s="371"/>
      <c r="R679" s="371"/>
      <c r="S679" s="371"/>
      <c r="T679" s="371"/>
      <c r="U679" s="371"/>
      <c r="V679" s="371"/>
      <c r="W679" s="371"/>
      <c r="X679" s="371"/>
      <c r="Y679" s="371"/>
    </row>
    <row r="680" ht="28.5" customHeight="1">
      <c r="A680" s="371"/>
      <c r="B680" s="307"/>
      <c r="C680" s="307"/>
      <c r="D680" s="307"/>
      <c r="E680" s="307"/>
      <c r="F680" s="307"/>
      <c r="G680" s="307"/>
      <c r="H680" s="371"/>
      <c r="I680" s="371"/>
      <c r="J680" s="371"/>
      <c r="K680" s="371"/>
      <c r="L680" s="371"/>
      <c r="M680" s="371"/>
      <c r="N680" s="371"/>
      <c r="O680" s="371"/>
      <c r="P680" s="371"/>
      <c r="Q680" s="371"/>
      <c r="R680" s="371"/>
      <c r="S680" s="371"/>
      <c r="T680" s="371"/>
      <c r="U680" s="371"/>
      <c r="V680" s="371"/>
      <c r="W680" s="371"/>
      <c r="X680" s="371"/>
      <c r="Y680" s="371"/>
    </row>
    <row r="681" ht="28.5" customHeight="1">
      <c r="A681" s="371"/>
      <c r="B681" s="307"/>
      <c r="C681" s="307"/>
      <c r="D681" s="307"/>
      <c r="E681" s="307"/>
      <c r="F681" s="307"/>
      <c r="G681" s="307"/>
      <c r="H681" s="371"/>
      <c r="I681" s="371"/>
      <c r="J681" s="371"/>
      <c r="K681" s="371"/>
      <c r="L681" s="371"/>
      <c r="M681" s="371"/>
      <c r="N681" s="371"/>
      <c r="O681" s="371"/>
      <c r="P681" s="371"/>
      <c r="Q681" s="371"/>
      <c r="R681" s="371"/>
      <c r="S681" s="371"/>
      <c r="T681" s="371"/>
      <c r="U681" s="371"/>
      <c r="V681" s="371"/>
      <c r="W681" s="371"/>
      <c r="X681" s="371"/>
      <c r="Y681" s="371"/>
    </row>
    <row r="682" ht="28.5" customHeight="1">
      <c r="A682" s="371"/>
      <c r="B682" s="307"/>
      <c r="C682" s="307"/>
      <c r="D682" s="307"/>
      <c r="E682" s="307"/>
      <c r="F682" s="307"/>
      <c r="G682" s="307"/>
      <c r="H682" s="371"/>
      <c r="I682" s="371"/>
      <c r="J682" s="371"/>
      <c r="K682" s="371"/>
      <c r="L682" s="371"/>
      <c r="M682" s="371"/>
      <c r="N682" s="371"/>
      <c r="O682" s="371"/>
      <c r="P682" s="371"/>
      <c r="Q682" s="371"/>
      <c r="R682" s="371"/>
      <c r="S682" s="371"/>
      <c r="T682" s="371"/>
      <c r="U682" s="371"/>
      <c r="V682" s="371"/>
      <c r="W682" s="371"/>
      <c r="X682" s="371"/>
      <c r="Y682" s="371"/>
    </row>
    <row r="683" ht="28.5" customHeight="1">
      <c r="A683" s="371"/>
      <c r="B683" s="307"/>
      <c r="C683" s="307"/>
      <c r="D683" s="307"/>
      <c r="E683" s="307"/>
      <c r="F683" s="307"/>
      <c r="G683" s="307"/>
      <c r="H683" s="371"/>
      <c r="I683" s="371"/>
      <c r="J683" s="371"/>
      <c r="K683" s="371"/>
      <c r="L683" s="371"/>
      <c r="M683" s="371"/>
      <c r="N683" s="371"/>
      <c r="O683" s="371"/>
      <c r="P683" s="371"/>
      <c r="Q683" s="371"/>
      <c r="R683" s="371"/>
      <c r="S683" s="371"/>
      <c r="T683" s="371"/>
      <c r="U683" s="371"/>
      <c r="V683" s="371"/>
      <c r="W683" s="371"/>
      <c r="X683" s="371"/>
      <c r="Y683" s="371"/>
    </row>
    <row r="684" ht="28.5" customHeight="1">
      <c r="A684" s="371"/>
      <c r="B684" s="307"/>
      <c r="C684" s="307"/>
      <c r="D684" s="307"/>
      <c r="E684" s="307"/>
      <c r="F684" s="307"/>
      <c r="G684" s="307"/>
      <c r="H684" s="371"/>
      <c r="I684" s="371"/>
      <c r="J684" s="371"/>
      <c r="K684" s="371"/>
      <c r="L684" s="371"/>
      <c r="M684" s="371"/>
      <c r="N684" s="371"/>
      <c r="O684" s="371"/>
      <c r="P684" s="371"/>
      <c r="Q684" s="371"/>
      <c r="R684" s="371"/>
      <c r="S684" s="371"/>
      <c r="T684" s="371"/>
      <c r="U684" s="371"/>
      <c r="V684" s="371"/>
      <c r="W684" s="371"/>
      <c r="X684" s="371"/>
      <c r="Y684" s="371"/>
    </row>
    <row r="685" ht="28.5" customHeight="1">
      <c r="A685" s="371"/>
      <c r="B685" s="307"/>
      <c r="C685" s="307"/>
      <c r="D685" s="307"/>
      <c r="E685" s="307"/>
      <c r="F685" s="307"/>
      <c r="G685" s="307"/>
      <c r="H685" s="371"/>
      <c r="I685" s="371"/>
      <c r="J685" s="371"/>
      <c r="K685" s="371"/>
      <c r="L685" s="371"/>
      <c r="M685" s="371"/>
      <c r="N685" s="371"/>
      <c r="O685" s="371"/>
      <c r="P685" s="371"/>
      <c r="Q685" s="371"/>
      <c r="R685" s="371"/>
      <c r="S685" s="371"/>
      <c r="T685" s="371"/>
      <c r="U685" s="371"/>
      <c r="V685" s="371"/>
      <c r="W685" s="371"/>
      <c r="X685" s="371"/>
      <c r="Y685" s="371"/>
    </row>
    <row r="686" ht="28.5" customHeight="1">
      <c r="A686" s="371"/>
      <c r="B686" s="307"/>
      <c r="C686" s="307"/>
      <c r="D686" s="307"/>
      <c r="E686" s="307"/>
      <c r="F686" s="307"/>
      <c r="G686" s="307"/>
      <c r="H686" s="371"/>
      <c r="I686" s="371"/>
      <c r="J686" s="371"/>
      <c r="K686" s="371"/>
      <c r="L686" s="371"/>
      <c r="M686" s="371"/>
      <c r="N686" s="371"/>
      <c r="O686" s="371"/>
      <c r="P686" s="371"/>
      <c r="Q686" s="371"/>
      <c r="R686" s="371"/>
      <c r="S686" s="371"/>
      <c r="T686" s="371"/>
      <c r="U686" s="371"/>
      <c r="V686" s="371"/>
      <c r="W686" s="371"/>
      <c r="X686" s="371"/>
      <c r="Y686" s="371"/>
    </row>
    <row r="687" ht="28.5" customHeight="1">
      <c r="A687" s="371"/>
      <c r="B687" s="307"/>
      <c r="C687" s="307"/>
      <c r="D687" s="307"/>
      <c r="E687" s="307"/>
      <c r="F687" s="307"/>
      <c r="G687" s="307"/>
      <c r="H687" s="371"/>
      <c r="I687" s="371"/>
      <c r="J687" s="371"/>
      <c r="K687" s="371"/>
      <c r="L687" s="371"/>
      <c r="M687" s="371"/>
      <c r="N687" s="371"/>
      <c r="O687" s="371"/>
      <c r="P687" s="371"/>
      <c r="Q687" s="371"/>
      <c r="R687" s="371"/>
      <c r="S687" s="371"/>
      <c r="T687" s="371"/>
      <c r="U687" s="371"/>
      <c r="V687" s="371"/>
      <c r="W687" s="371"/>
      <c r="X687" s="371"/>
      <c r="Y687" s="371"/>
    </row>
    <row r="688" ht="28.5" customHeight="1">
      <c r="A688" s="371"/>
      <c r="B688" s="307"/>
      <c r="C688" s="307"/>
      <c r="D688" s="307"/>
      <c r="E688" s="307"/>
      <c r="F688" s="307"/>
      <c r="G688" s="307"/>
      <c r="H688" s="371"/>
      <c r="I688" s="371"/>
      <c r="J688" s="371"/>
      <c r="K688" s="371"/>
      <c r="L688" s="371"/>
      <c r="M688" s="371"/>
      <c r="N688" s="371"/>
      <c r="O688" s="371"/>
      <c r="P688" s="371"/>
      <c r="Q688" s="371"/>
      <c r="R688" s="371"/>
      <c r="S688" s="371"/>
      <c r="T688" s="371"/>
      <c r="U688" s="371"/>
      <c r="V688" s="371"/>
      <c r="W688" s="371"/>
      <c r="X688" s="371"/>
      <c r="Y688" s="371"/>
    </row>
    <row r="689" ht="28.5" customHeight="1">
      <c r="A689" s="371"/>
      <c r="B689" s="307"/>
      <c r="C689" s="307"/>
      <c r="D689" s="307"/>
      <c r="E689" s="307"/>
      <c r="F689" s="307"/>
      <c r="G689" s="307"/>
      <c r="H689" s="371"/>
      <c r="I689" s="371"/>
      <c r="J689" s="371"/>
      <c r="K689" s="371"/>
      <c r="L689" s="371"/>
      <c r="M689" s="371"/>
      <c r="N689" s="371"/>
      <c r="O689" s="371"/>
      <c r="P689" s="371"/>
      <c r="Q689" s="371"/>
      <c r="R689" s="371"/>
      <c r="S689" s="371"/>
      <c r="T689" s="371"/>
      <c r="U689" s="371"/>
      <c r="V689" s="371"/>
      <c r="W689" s="371"/>
      <c r="X689" s="371"/>
      <c r="Y689" s="371"/>
    </row>
    <row r="690" ht="28.5" customHeight="1">
      <c r="A690" s="371"/>
      <c r="B690" s="307"/>
      <c r="C690" s="307"/>
      <c r="D690" s="307"/>
      <c r="E690" s="307"/>
      <c r="F690" s="307"/>
      <c r="G690" s="307"/>
      <c r="H690" s="371"/>
      <c r="I690" s="371"/>
      <c r="J690" s="371"/>
      <c r="K690" s="371"/>
      <c r="L690" s="371"/>
      <c r="M690" s="371"/>
      <c r="N690" s="371"/>
      <c r="O690" s="371"/>
      <c r="P690" s="371"/>
      <c r="Q690" s="371"/>
      <c r="R690" s="371"/>
      <c r="S690" s="371"/>
      <c r="T690" s="371"/>
      <c r="U690" s="371"/>
      <c r="V690" s="371"/>
      <c r="W690" s="371"/>
      <c r="X690" s="371"/>
      <c r="Y690" s="371"/>
    </row>
    <row r="691" ht="28.5" customHeight="1">
      <c r="A691" s="371"/>
      <c r="B691" s="307"/>
      <c r="C691" s="307"/>
      <c r="D691" s="307"/>
      <c r="E691" s="307"/>
      <c r="F691" s="307"/>
      <c r="G691" s="307"/>
      <c r="H691" s="371"/>
      <c r="I691" s="371"/>
      <c r="J691" s="371"/>
      <c r="K691" s="371"/>
      <c r="L691" s="371"/>
      <c r="M691" s="371"/>
      <c r="N691" s="371"/>
      <c r="O691" s="371"/>
      <c r="P691" s="371"/>
      <c r="Q691" s="371"/>
      <c r="R691" s="371"/>
      <c r="S691" s="371"/>
      <c r="T691" s="371"/>
      <c r="U691" s="371"/>
      <c r="V691" s="371"/>
      <c r="W691" s="371"/>
      <c r="X691" s="371"/>
      <c r="Y691" s="371"/>
    </row>
    <row r="692" ht="28.5" customHeight="1">
      <c r="A692" s="371"/>
      <c r="B692" s="307"/>
      <c r="C692" s="307"/>
      <c r="D692" s="307"/>
      <c r="E692" s="307"/>
      <c r="F692" s="307"/>
      <c r="G692" s="307"/>
      <c r="H692" s="371"/>
      <c r="I692" s="371"/>
      <c r="J692" s="371"/>
      <c r="K692" s="371"/>
      <c r="L692" s="371"/>
      <c r="M692" s="371"/>
      <c r="N692" s="371"/>
      <c r="O692" s="371"/>
      <c r="P692" s="371"/>
      <c r="Q692" s="371"/>
      <c r="R692" s="371"/>
      <c r="S692" s="371"/>
      <c r="T692" s="371"/>
      <c r="U692" s="371"/>
      <c r="V692" s="371"/>
      <c r="W692" s="371"/>
      <c r="X692" s="371"/>
      <c r="Y692" s="371"/>
    </row>
    <row r="693" ht="28.5" customHeight="1">
      <c r="A693" s="371"/>
      <c r="B693" s="307"/>
      <c r="C693" s="307"/>
      <c r="D693" s="307"/>
      <c r="E693" s="307"/>
      <c r="F693" s="307"/>
      <c r="G693" s="307"/>
      <c r="H693" s="371"/>
      <c r="I693" s="371"/>
      <c r="J693" s="371"/>
      <c r="K693" s="371"/>
      <c r="L693" s="371"/>
      <c r="M693" s="371"/>
      <c r="N693" s="371"/>
      <c r="O693" s="371"/>
      <c r="P693" s="371"/>
      <c r="Q693" s="371"/>
      <c r="R693" s="371"/>
      <c r="S693" s="371"/>
      <c r="T693" s="371"/>
      <c r="U693" s="371"/>
      <c r="V693" s="371"/>
      <c r="W693" s="371"/>
      <c r="X693" s="371"/>
      <c r="Y693" s="371"/>
    </row>
    <row r="694" ht="28.5" customHeight="1">
      <c r="A694" s="371"/>
      <c r="B694" s="307"/>
      <c r="C694" s="307"/>
      <c r="D694" s="307"/>
      <c r="E694" s="307"/>
      <c r="F694" s="307"/>
      <c r="G694" s="307"/>
      <c r="H694" s="371"/>
      <c r="I694" s="371"/>
      <c r="J694" s="371"/>
      <c r="K694" s="371"/>
      <c r="L694" s="371"/>
      <c r="M694" s="371"/>
      <c r="N694" s="371"/>
      <c r="O694" s="371"/>
      <c r="P694" s="371"/>
      <c r="Q694" s="371"/>
      <c r="R694" s="371"/>
      <c r="S694" s="371"/>
      <c r="T694" s="371"/>
      <c r="U694" s="371"/>
      <c r="V694" s="371"/>
      <c r="W694" s="371"/>
      <c r="X694" s="371"/>
      <c r="Y694" s="371"/>
    </row>
    <row r="695" ht="28.5" customHeight="1">
      <c r="A695" s="371"/>
      <c r="B695" s="307"/>
      <c r="C695" s="307"/>
      <c r="D695" s="307"/>
      <c r="E695" s="307"/>
      <c r="F695" s="307"/>
      <c r="G695" s="307"/>
      <c r="H695" s="371"/>
      <c r="I695" s="371"/>
      <c r="J695" s="371"/>
      <c r="K695" s="371"/>
      <c r="L695" s="371"/>
      <c r="M695" s="371"/>
      <c r="N695" s="371"/>
      <c r="O695" s="371"/>
      <c r="P695" s="371"/>
      <c r="Q695" s="371"/>
      <c r="R695" s="371"/>
      <c r="S695" s="371"/>
      <c r="T695" s="371"/>
      <c r="U695" s="371"/>
      <c r="V695" s="371"/>
      <c r="W695" s="371"/>
      <c r="X695" s="371"/>
      <c r="Y695" s="371"/>
    </row>
    <row r="696" ht="28.5" customHeight="1">
      <c r="A696" s="371"/>
      <c r="B696" s="307"/>
      <c r="C696" s="307"/>
      <c r="D696" s="307"/>
      <c r="E696" s="307"/>
      <c r="F696" s="307"/>
      <c r="G696" s="307"/>
      <c r="H696" s="371"/>
      <c r="I696" s="371"/>
      <c r="J696" s="371"/>
      <c r="K696" s="371"/>
      <c r="L696" s="371"/>
      <c r="M696" s="371"/>
      <c r="N696" s="371"/>
      <c r="O696" s="371"/>
      <c r="P696" s="371"/>
      <c r="Q696" s="371"/>
      <c r="R696" s="371"/>
      <c r="S696" s="371"/>
      <c r="T696" s="371"/>
      <c r="U696" s="371"/>
      <c r="V696" s="371"/>
      <c r="W696" s="371"/>
      <c r="X696" s="371"/>
      <c r="Y696" s="371"/>
    </row>
    <row r="697" ht="28.5" customHeight="1">
      <c r="A697" s="371"/>
      <c r="B697" s="307"/>
      <c r="C697" s="307"/>
      <c r="D697" s="307"/>
      <c r="E697" s="307"/>
      <c r="F697" s="307"/>
      <c r="G697" s="307"/>
      <c r="H697" s="371"/>
      <c r="I697" s="371"/>
      <c r="J697" s="371"/>
      <c r="K697" s="371"/>
      <c r="L697" s="371"/>
      <c r="M697" s="371"/>
      <c r="N697" s="371"/>
      <c r="O697" s="371"/>
      <c r="P697" s="371"/>
      <c r="Q697" s="371"/>
      <c r="R697" s="371"/>
      <c r="S697" s="371"/>
      <c r="T697" s="371"/>
      <c r="U697" s="371"/>
      <c r="V697" s="371"/>
      <c r="W697" s="371"/>
      <c r="X697" s="371"/>
      <c r="Y697" s="371"/>
    </row>
    <row r="698" ht="28.5" customHeight="1">
      <c r="A698" s="371"/>
      <c r="B698" s="307"/>
      <c r="C698" s="307"/>
      <c r="D698" s="307"/>
      <c r="E698" s="307"/>
      <c r="F698" s="307"/>
      <c r="G698" s="307"/>
      <c r="H698" s="371"/>
      <c r="I698" s="371"/>
      <c r="J698" s="371"/>
      <c r="K698" s="371"/>
      <c r="L698" s="371"/>
      <c r="M698" s="371"/>
      <c r="N698" s="371"/>
      <c r="O698" s="371"/>
      <c r="P698" s="371"/>
      <c r="Q698" s="371"/>
      <c r="R698" s="371"/>
      <c r="S698" s="371"/>
      <c r="T698" s="371"/>
      <c r="U698" s="371"/>
      <c r="V698" s="371"/>
      <c r="W698" s="371"/>
      <c r="X698" s="371"/>
      <c r="Y698" s="371"/>
    </row>
    <row r="699" ht="28.5" customHeight="1">
      <c r="A699" s="371"/>
      <c r="B699" s="307"/>
      <c r="C699" s="307"/>
      <c r="D699" s="307"/>
      <c r="E699" s="307"/>
      <c r="F699" s="307"/>
      <c r="G699" s="307"/>
      <c r="H699" s="371"/>
      <c r="I699" s="371"/>
      <c r="J699" s="371"/>
      <c r="K699" s="371"/>
      <c r="L699" s="371"/>
      <c r="M699" s="371"/>
      <c r="N699" s="371"/>
      <c r="O699" s="371"/>
      <c r="P699" s="371"/>
      <c r="Q699" s="371"/>
      <c r="R699" s="371"/>
      <c r="S699" s="371"/>
      <c r="T699" s="371"/>
      <c r="U699" s="371"/>
      <c r="V699" s="371"/>
      <c r="W699" s="371"/>
      <c r="X699" s="371"/>
      <c r="Y699" s="371"/>
    </row>
    <row r="700" ht="28.5" customHeight="1">
      <c r="A700" s="371"/>
      <c r="B700" s="307"/>
      <c r="C700" s="307"/>
      <c r="D700" s="307"/>
      <c r="E700" s="307"/>
      <c r="F700" s="307"/>
      <c r="G700" s="307"/>
      <c r="H700" s="371"/>
      <c r="I700" s="371"/>
      <c r="J700" s="371"/>
      <c r="K700" s="371"/>
      <c r="L700" s="371"/>
      <c r="M700" s="371"/>
      <c r="N700" s="371"/>
      <c r="O700" s="371"/>
      <c r="P700" s="371"/>
      <c r="Q700" s="371"/>
      <c r="R700" s="371"/>
      <c r="S700" s="371"/>
      <c r="T700" s="371"/>
      <c r="U700" s="371"/>
      <c r="V700" s="371"/>
      <c r="W700" s="371"/>
      <c r="X700" s="371"/>
      <c r="Y700" s="371"/>
    </row>
    <row r="701" ht="28.5" customHeight="1">
      <c r="A701" s="371"/>
      <c r="B701" s="307"/>
      <c r="C701" s="307"/>
      <c r="D701" s="307"/>
      <c r="E701" s="307"/>
      <c r="F701" s="307"/>
      <c r="G701" s="307"/>
      <c r="H701" s="371"/>
      <c r="I701" s="371"/>
      <c r="J701" s="371"/>
      <c r="K701" s="371"/>
      <c r="L701" s="371"/>
      <c r="M701" s="371"/>
      <c r="N701" s="371"/>
      <c r="O701" s="371"/>
      <c r="P701" s="371"/>
      <c r="Q701" s="371"/>
      <c r="R701" s="371"/>
      <c r="S701" s="371"/>
      <c r="T701" s="371"/>
      <c r="U701" s="371"/>
      <c r="V701" s="371"/>
      <c r="W701" s="371"/>
      <c r="X701" s="371"/>
      <c r="Y701" s="371"/>
    </row>
    <row r="702" ht="28.5" customHeight="1">
      <c r="A702" s="371"/>
      <c r="B702" s="307"/>
      <c r="C702" s="307"/>
      <c r="D702" s="307"/>
      <c r="E702" s="307"/>
      <c r="F702" s="307"/>
      <c r="G702" s="307"/>
      <c r="H702" s="371"/>
      <c r="I702" s="371"/>
      <c r="J702" s="371"/>
      <c r="K702" s="371"/>
      <c r="L702" s="371"/>
      <c r="M702" s="371"/>
      <c r="N702" s="371"/>
      <c r="O702" s="371"/>
      <c r="P702" s="371"/>
      <c r="Q702" s="371"/>
      <c r="R702" s="371"/>
      <c r="S702" s="371"/>
      <c r="T702" s="371"/>
      <c r="U702" s="371"/>
      <c r="V702" s="371"/>
      <c r="W702" s="371"/>
      <c r="X702" s="371"/>
      <c r="Y702" s="371"/>
    </row>
    <row r="703" ht="28.5" customHeight="1">
      <c r="A703" s="371"/>
      <c r="B703" s="307"/>
      <c r="C703" s="307"/>
      <c r="D703" s="307"/>
      <c r="E703" s="307"/>
      <c r="F703" s="307"/>
      <c r="G703" s="307"/>
      <c r="H703" s="371"/>
      <c r="I703" s="371"/>
      <c r="J703" s="371"/>
      <c r="K703" s="371"/>
      <c r="L703" s="371"/>
      <c r="M703" s="371"/>
      <c r="N703" s="371"/>
      <c r="O703" s="371"/>
      <c r="P703" s="371"/>
      <c r="Q703" s="371"/>
      <c r="R703" s="371"/>
      <c r="S703" s="371"/>
      <c r="T703" s="371"/>
      <c r="U703" s="371"/>
      <c r="V703" s="371"/>
      <c r="W703" s="371"/>
      <c r="X703" s="371"/>
      <c r="Y703" s="371"/>
    </row>
    <row r="704" ht="28.5" customHeight="1">
      <c r="A704" s="371"/>
      <c r="B704" s="307"/>
      <c r="C704" s="307"/>
      <c r="D704" s="307"/>
      <c r="E704" s="307"/>
      <c r="F704" s="307"/>
      <c r="G704" s="307"/>
      <c r="H704" s="371"/>
      <c r="I704" s="371"/>
      <c r="J704" s="371"/>
      <c r="K704" s="371"/>
      <c r="L704" s="371"/>
      <c r="M704" s="371"/>
      <c r="N704" s="371"/>
      <c r="O704" s="371"/>
      <c r="P704" s="371"/>
      <c r="Q704" s="371"/>
      <c r="R704" s="371"/>
      <c r="S704" s="371"/>
      <c r="T704" s="371"/>
      <c r="U704" s="371"/>
      <c r="V704" s="371"/>
      <c r="W704" s="371"/>
      <c r="X704" s="371"/>
      <c r="Y704" s="371"/>
    </row>
    <row r="705" ht="28.5" customHeight="1">
      <c r="A705" s="371"/>
      <c r="B705" s="307"/>
      <c r="C705" s="307"/>
      <c r="D705" s="307"/>
      <c r="E705" s="307"/>
      <c r="F705" s="307"/>
      <c r="G705" s="307"/>
      <c r="H705" s="371"/>
      <c r="I705" s="371"/>
      <c r="J705" s="371"/>
      <c r="K705" s="371"/>
      <c r="L705" s="371"/>
      <c r="M705" s="371"/>
      <c r="N705" s="371"/>
      <c r="O705" s="371"/>
      <c r="P705" s="371"/>
      <c r="Q705" s="371"/>
      <c r="R705" s="371"/>
      <c r="S705" s="371"/>
      <c r="T705" s="371"/>
      <c r="U705" s="371"/>
      <c r="V705" s="371"/>
      <c r="W705" s="371"/>
      <c r="X705" s="371"/>
      <c r="Y705" s="371"/>
    </row>
    <row r="706" ht="28.5" customHeight="1">
      <c r="A706" s="371"/>
      <c r="B706" s="307"/>
      <c r="C706" s="307"/>
      <c r="D706" s="307"/>
      <c r="E706" s="307"/>
      <c r="F706" s="307"/>
      <c r="G706" s="307"/>
      <c r="H706" s="371"/>
      <c r="I706" s="371"/>
      <c r="J706" s="371"/>
      <c r="K706" s="371"/>
      <c r="L706" s="371"/>
      <c r="M706" s="371"/>
      <c r="N706" s="371"/>
      <c r="O706" s="371"/>
      <c r="P706" s="371"/>
      <c r="Q706" s="371"/>
      <c r="R706" s="371"/>
      <c r="S706" s="371"/>
      <c r="T706" s="371"/>
      <c r="U706" s="371"/>
      <c r="V706" s="371"/>
      <c r="W706" s="371"/>
      <c r="X706" s="371"/>
      <c r="Y706" s="371"/>
    </row>
    <row r="707" ht="28.5" customHeight="1">
      <c r="A707" s="371"/>
      <c r="B707" s="307"/>
      <c r="C707" s="307"/>
      <c r="D707" s="307"/>
      <c r="E707" s="307"/>
      <c r="F707" s="307"/>
      <c r="G707" s="307"/>
      <c r="H707" s="371"/>
      <c r="I707" s="371"/>
      <c r="J707" s="371"/>
      <c r="K707" s="371"/>
      <c r="L707" s="371"/>
      <c r="M707" s="371"/>
      <c r="N707" s="371"/>
      <c r="O707" s="371"/>
      <c r="P707" s="371"/>
      <c r="Q707" s="371"/>
      <c r="R707" s="371"/>
      <c r="S707" s="371"/>
      <c r="T707" s="371"/>
      <c r="U707" s="371"/>
      <c r="V707" s="371"/>
      <c r="W707" s="371"/>
      <c r="X707" s="371"/>
      <c r="Y707" s="371"/>
    </row>
    <row r="708" ht="28.5" customHeight="1">
      <c r="A708" s="371"/>
      <c r="B708" s="307"/>
      <c r="C708" s="307"/>
      <c r="D708" s="307"/>
      <c r="E708" s="307"/>
      <c r="F708" s="307"/>
      <c r="G708" s="307"/>
      <c r="H708" s="371"/>
      <c r="I708" s="371"/>
      <c r="J708" s="371"/>
      <c r="K708" s="371"/>
      <c r="L708" s="371"/>
      <c r="M708" s="371"/>
      <c r="N708" s="371"/>
      <c r="O708" s="371"/>
      <c r="P708" s="371"/>
      <c r="Q708" s="371"/>
      <c r="R708" s="371"/>
      <c r="S708" s="371"/>
      <c r="T708" s="371"/>
      <c r="U708" s="371"/>
      <c r="V708" s="371"/>
      <c r="W708" s="371"/>
      <c r="X708" s="371"/>
      <c r="Y708" s="371"/>
    </row>
    <row r="709" ht="28.5" customHeight="1">
      <c r="A709" s="371"/>
      <c r="B709" s="307"/>
      <c r="C709" s="307"/>
      <c r="D709" s="307"/>
      <c r="E709" s="307"/>
      <c r="F709" s="307"/>
      <c r="G709" s="307"/>
      <c r="H709" s="371"/>
      <c r="I709" s="371"/>
      <c r="J709" s="371"/>
      <c r="K709" s="371"/>
      <c r="L709" s="371"/>
      <c r="M709" s="371"/>
      <c r="N709" s="371"/>
      <c r="O709" s="371"/>
      <c r="P709" s="371"/>
      <c r="Q709" s="371"/>
      <c r="R709" s="371"/>
      <c r="S709" s="371"/>
      <c r="T709" s="371"/>
      <c r="U709" s="371"/>
      <c r="V709" s="371"/>
      <c r="W709" s="371"/>
      <c r="X709" s="371"/>
      <c r="Y709" s="371"/>
    </row>
    <row r="710" ht="28.5" customHeight="1">
      <c r="A710" s="371"/>
      <c r="B710" s="307"/>
      <c r="C710" s="307"/>
      <c r="D710" s="307"/>
      <c r="E710" s="307"/>
      <c r="F710" s="307"/>
      <c r="G710" s="307"/>
      <c r="H710" s="371"/>
      <c r="I710" s="371"/>
      <c r="J710" s="371"/>
      <c r="K710" s="371"/>
      <c r="L710" s="371"/>
      <c r="M710" s="371"/>
      <c r="N710" s="371"/>
      <c r="O710" s="371"/>
      <c r="P710" s="371"/>
      <c r="Q710" s="371"/>
      <c r="R710" s="371"/>
      <c r="S710" s="371"/>
      <c r="T710" s="371"/>
      <c r="U710" s="371"/>
      <c r="V710" s="371"/>
      <c r="W710" s="371"/>
      <c r="X710" s="371"/>
      <c r="Y710" s="371"/>
    </row>
    <row r="711" ht="28.5" customHeight="1">
      <c r="A711" s="371"/>
      <c r="B711" s="307"/>
      <c r="C711" s="307"/>
      <c r="D711" s="307"/>
      <c r="E711" s="307"/>
      <c r="F711" s="307"/>
      <c r="G711" s="307"/>
      <c r="H711" s="371"/>
      <c r="I711" s="371"/>
      <c r="J711" s="371"/>
      <c r="K711" s="371"/>
      <c r="L711" s="371"/>
      <c r="M711" s="371"/>
      <c r="N711" s="371"/>
      <c r="O711" s="371"/>
      <c r="P711" s="371"/>
      <c r="Q711" s="371"/>
      <c r="R711" s="371"/>
      <c r="S711" s="371"/>
      <c r="T711" s="371"/>
      <c r="U711" s="371"/>
      <c r="V711" s="371"/>
      <c r="W711" s="371"/>
      <c r="X711" s="371"/>
      <c r="Y711" s="371"/>
    </row>
    <row r="712" ht="28.5" customHeight="1">
      <c r="A712" s="371"/>
      <c r="B712" s="307"/>
      <c r="C712" s="307"/>
      <c r="D712" s="307"/>
      <c r="E712" s="307"/>
      <c r="F712" s="307"/>
      <c r="G712" s="307"/>
      <c r="H712" s="371"/>
      <c r="I712" s="371"/>
      <c r="J712" s="371"/>
      <c r="K712" s="371"/>
      <c r="L712" s="371"/>
      <c r="M712" s="371"/>
      <c r="N712" s="371"/>
      <c r="O712" s="371"/>
      <c r="P712" s="371"/>
      <c r="Q712" s="371"/>
      <c r="R712" s="371"/>
      <c r="S712" s="371"/>
      <c r="T712" s="371"/>
      <c r="U712" s="371"/>
      <c r="V712" s="371"/>
      <c r="W712" s="371"/>
      <c r="X712" s="371"/>
      <c r="Y712" s="371"/>
    </row>
    <row r="713" ht="28.5" customHeight="1">
      <c r="A713" s="371"/>
      <c r="B713" s="307"/>
      <c r="C713" s="307"/>
      <c r="D713" s="307"/>
      <c r="E713" s="307"/>
      <c r="F713" s="307"/>
      <c r="G713" s="307"/>
      <c r="H713" s="371"/>
      <c r="I713" s="371"/>
      <c r="J713" s="371"/>
      <c r="K713" s="371"/>
      <c r="L713" s="371"/>
      <c r="M713" s="371"/>
      <c r="N713" s="371"/>
      <c r="O713" s="371"/>
      <c r="P713" s="371"/>
      <c r="Q713" s="371"/>
      <c r="R713" s="371"/>
      <c r="S713" s="371"/>
      <c r="T713" s="371"/>
      <c r="U713" s="371"/>
      <c r="V713" s="371"/>
      <c r="W713" s="371"/>
      <c r="X713" s="371"/>
      <c r="Y713" s="371"/>
    </row>
    <row r="714" ht="28.5" customHeight="1">
      <c r="A714" s="371"/>
      <c r="B714" s="307"/>
      <c r="C714" s="307"/>
      <c r="D714" s="307"/>
      <c r="E714" s="307"/>
      <c r="F714" s="307"/>
      <c r="G714" s="307"/>
      <c r="H714" s="371"/>
      <c r="I714" s="371"/>
      <c r="J714" s="371"/>
      <c r="K714" s="371"/>
      <c r="L714" s="371"/>
      <c r="M714" s="371"/>
      <c r="N714" s="371"/>
      <c r="O714" s="371"/>
      <c r="P714" s="371"/>
      <c r="Q714" s="371"/>
      <c r="R714" s="371"/>
      <c r="S714" s="371"/>
      <c r="T714" s="371"/>
      <c r="U714" s="371"/>
      <c r="V714" s="371"/>
      <c r="W714" s="371"/>
      <c r="X714" s="371"/>
      <c r="Y714" s="371"/>
    </row>
    <row r="715" ht="28.5" customHeight="1">
      <c r="A715" s="371"/>
      <c r="B715" s="307"/>
      <c r="C715" s="307"/>
      <c r="D715" s="307"/>
      <c r="E715" s="307"/>
      <c r="F715" s="307"/>
      <c r="G715" s="307"/>
      <c r="H715" s="371"/>
      <c r="I715" s="371"/>
      <c r="J715" s="371"/>
      <c r="K715" s="371"/>
      <c r="L715" s="371"/>
      <c r="M715" s="371"/>
      <c r="N715" s="371"/>
      <c r="O715" s="371"/>
      <c r="P715" s="371"/>
      <c r="Q715" s="371"/>
      <c r="R715" s="371"/>
      <c r="S715" s="371"/>
      <c r="T715" s="371"/>
      <c r="U715" s="371"/>
      <c r="V715" s="371"/>
      <c r="W715" s="371"/>
      <c r="X715" s="371"/>
      <c r="Y715" s="371"/>
    </row>
    <row r="716" ht="28.5" customHeight="1">
      <c r="A716" s="371"/>
      <c r="B716" s="307"/>
      <c r="C716" s="307"/>
      <c r="D716" s="307"/>
      <c r="E716" s="307"/>
      <c r="F716" s="307"/>
      <c r="G716" s="307"/>
      <c r="H716" s="371"/>
      <c r="I716" s="371"/>
      <c r="J716" s="371"/>
      <c r="K716" s="371"/>
      <c r="L716" s="371"/>
      <c r="M716" s="371"/>
      <c r="N716" s="371"/>
      <c r="O716" s="371"/>
      <c r="P716" s="371"/>
      <c r="Q716" s="371"/>
      <c r="R716" s="371"/>
      <c r="S716" s="371"/>
      <c r="T716" s="371"/>
      <c r="U716" s="371"/>
      <c r="V716" s="371"/>
      <c r="W716" s="371"/>
      <c r="X716" s="371"/>
      <c r="Y716" s="371"/>
    </row>
    <row r="717" ht="28.5" customHeight="1">
      <c r="A717" s="371"/>
      <c r="B717" s="307"/>
      <c r="C717" s="307"/>
      <c r="D717" s="307"/>
      <c r="E717" s="307"/>
      <c r="F717" s="307"/>
      <c r="G717" s="307"/>
      <c r="H717" s="371"/>
      <c r="I717" s="371"/>
      <c r="J717" s="371"/>
      <c r="K717" s="371"/>
      <c r="L717" s="371"/>
      <c r="M717" s="371"/>
      <c r="N717" s="371"/>
      <c r="O717" s="371"/>
      <c r="P717" s="371"/>
      <c r="Q717" s="371"/>
      <c r="R717" s="371"/>
      <c r="S717" s="371"/>
      <c r="T717" s="371"/>
      <c r="U717" s="371"/>
      <c r="V717" s="371"/>
      <c r="W717" s="371"/>
      <c r="X717" s="371"/>
      <c r="Y717" s="371"/>
    </row>
    <row r="718" ht="28.5" customHeight="1">
      <c r="A718" s="371"/>
      <c r="B718" s="307"/>
      <c r="C718" s="307"/>
      <c r="D718" s="307"/>
      <c r="E718" s="307"/>
      <c r="F718" s="307"/>
      <c r="G718" s="307"/>
      <c r="H718" s="371"/>
      <c r="I718" s="371"/>
      <c r="J718" s="371"/>
      <c r="K718" s="371"/>
      <c r="L718" s="371"/>
      <c r="M718" s="371"/>
      <c r="N718" s="371"/>
      <c r="O718" s="371"/>
      <c r="P718" s="371"/>
      <c r="Q718" s="371"/>
      <c r="R718" s="371"/>
      <c r="S718" s="371"/>
      <c r="T718" s="371"/>
      <c r="U718" s="371"/>
      <c r="V718" s="371"/>
      <c r="W718" s="371"/>
      <c r="X718" s="371"/>
      <c r="Y718" s="371"/>
    </row>
    <row r="719" ht="28.5" customHeight="1">
      <c r="A719" s="371"/>
      <c r="B719" s="307"/>
      <c r="C719" s="307"/>
      <c r="D719" s="307"/>
      <c r="E719" s="307"/>
      <c r="F719" s="307"/>
      <c r="G719" s="307"/>
      <c r="H719" s="371"/>
      <c r="I719" s="371"/>
      <c r="J719" s="371"/>
      <c r="K719" s="371"/>
      <c r="L719" s="371"/>
      <c r="M719" s="371"/>
      <c r="N719" s="371"/>
      <c r="O719" s="371"/>
      <c r="P719" s="371"/>
      <c r="Q719" s="371"/>
      <c r="R719" s="371"/>
      <c r="S719" s="371"/>
      <c r="T719" s="371"/>
      <c r="U719" s="371"/>
      <c r="V719" s="371"/>
      <c r="W719" s="371"/>
      <c r="X719" s="371"/>
      <c r="Y719" s="371"/>
    </row>
    <row r="720" ht="28.5" customHeight="1">
      <c r="A720" s="371"/>
      <c r="B720" s="307"/>
      <c r="C720" s="307"/>
      <c r="D720" s="307"/>
      <c r="E720" s="307"/>
      <c r="F720" s="307"/>
      <c r="G720" s="307"/>
      <c r="H720" s="371"/>
      <c r="I720" s="371"/>
      <c r="J720" s="371"/>
      <c r="K720" s="371"/>
      <c r="L720" s="371"/>
      <c r="M720" s="371"/>
      <c r="N720" s="371"/>
      <c r="O720" s="371"/>
      <c r="P720" s="371"/>
      <c r="Q720" s="371"/>
      <c r="R720" s="371"/>
      <c r="S720" s="371"/>
      <c r="T720" s="371"/>
      <c r="U720" s="371"/>
      <c r="V720" s="371"/>
      <c r="W720" s="371"/>
      <c r="X720" s="371"/>
      <c r="Y720" s="371"/>
    </row>
    <row r="721" ht="28.5" customHeight="1">
      <c r="A721" s="371"/>
      <c r="B721" s="307"/>
      <c r="C721" s="307"/>
      <c r="D721" s="307"/>
      <c r="E721" s="307"/>
      <c r="F721" s="307"/>
      <c r="G721" s="307"/>
      <c r="H721" s="371"/>
      <c r="I721" s="371"/>
      <c r="J721" s="371"/>
      <c r="K721" s="371"/>
      <c r="L721" s="371"/>
      <c r="M721" s="371"/>
      <c r="N721" s="371"/>
      <c r="O721" s="371"/>
      <c r="P721" s="371"/>
      <c r="Q721" s="371"/>
      <c r="R721" s="371"/>
      <c r="S721" s="371"/>
      <c r="T721" s="371"/>
      <c r="U721" s="371"/>
      <c r="V721" s="371"/>
      <c r="W721" s="371"/>
      <c r="X721" s="371"/>
      <c r="Y721" s="371"/>
    </row>
    <row r="722" ht="28.5" customHeight="1">
      <c r="A722" s="371"/>
      <c r="B722" s="307"/>
      <c r="C722" s="307"/>
      <c r="D722" s="307"/>
      <c r="E722" s="307"/>
      <c r="F722" s="307"/>
      <c r="G722" s="307"/>
      <c r="H722" s="371"/>
      <c r="I722" s="371"/>
      <c r="J722" s="371"/>
      <c r="K722" s="371"/>
      <c r="L722" s="371"/>
      <c r="M722" s="371"/>
      <c r="N722" s="371"/>
      <c r="O722" s="371"/>
      <c r="P722" s="371"/>
      <c r="Q722" s="371"/>
      <c r="R722" s="371"/>
      <c r="S722" s="371"/>
      <c r="T722" s="371"/>
      <c r="U722" s="371"/>
      <c r="V722" s="371"/>
      <c r="W722" s="371"/>
      <c r="X722" s="371"/>
      <c r="Y722" s="371"/>
    </row>
    <row r="723" ht="28.5" customHeight="1">
      <c r="A723" s="371"/>
      <c r="B723" s="307"/>
      <c r="C723" s="307"/>
      <c r="D723" s="307"/>
      <c r="E723" s="307"/>
      <c r="F723" s="307"/>
      <c r="G723" s="307"/>
      <c r="H723" s="371"/>
      <c r="I723" s="371"/>
      <c r="J723" s="371"/>
      <c r="K723" s="371"/>
      <c r="L723" s="371"/>
      <c r="M723" s="371"/>
      <c r="N723" s="371"/>
      <c r="O723" s="371"/>
      <c r="P723" s="371"/>
      <c r="Q723" s="371"/>
      <c r="R723" s="371"/>
      <c r="S723" s="371"/>
      <c r="T723" s="371"/>
      <c r="U723" s="371"/>
      <c r="V723" s="371"/>
      <c r="W723" s="371"/>
      <c r="X723" s="371"/>
      <c r="Y723" s="371"/>
    </row>
    <row r="724" ht="28.5" customHeight="1">
      <c r="A724" s="371"/>
      <c r="B724" s="307"/>
      <c r="C724" s="307"/>
      <c r="D724" s="307"/>
      <c r="E724" s="307"/>
      <c r="F724" s="307"/>
      <c r="G724" s="307"/>
      <c r="H724" s="371"/>
      <c r="I724" s="371"/>
      <c r="J724" s="371"/>
      <c r="K724" s="371"/>
      <c r="L724" s="371"/>
      <c r="M724" s="371"/>
      <c r="N724" s="371"/>
      <c r="O724" s="371"/>
      <c r="P724" s="371"/>
      <c r="Q724" s="371"/>
      <c r="R724" s="371"/>
      <c r="S724" s="371"/>
      <c r="T724" s="371"/>
      <c r="U724" s="371"/>
      <c r="V724" s="371"/>
      <c r="W724" s="371"/>
      <c r="X724" s="371"/>
      <c r="Y724" s="371"/>
    </row>
    <row r="725" ht="28.5" customHeight="1">
      <c r="A725" s="371"/>
      <c r="B725" s="307"/>
      <c r="C725" s="307"/>
      <c r="D725" s="307"/>
      <c r="E725" s="307"/>
      <c r="F725" s="307"/>
      <c r="G725" s="307"/>
      <c r="H725" s="371"/>
      <c r="I725" s="371"/>
      <c r="J725" s="371"/>
      <c r="K725" s="371"/>
      <c r="L725" s="371"/>
      <c r="M725" s="371"/>
      <c r="N725" s="371"/>
      <c r="O725" s="371"/>
      <c r="P725" s="371"/>
      <c r="Q725" s="371"/>
      <c r="R725" s="371"/>
      <c r="S725" s="371"/>
      <c r="T725" s="371"/>
      <c r="U725" s="371"/>
      <c r="V725" s="371"/>
      <c r="W725" s="371"/>
      <c r="X725" s="371"/>
      <c r="Y725" s="371"/>
    </row>
    <row r="726" ht="28.5" customHeight="1">
      <c r="A726" s="371"/>
      <c r="B726" s="307"/>
      <c r="C726" s="307"/>
      <c r="D726" s="307"/>
      <c r="E726" s="307"/>
      <c r="F726" s="307"/>
      <c r="G726" s="307"/>
      <c r="H726" s="371"/>
      <c r="I726" s="371"/>
      <c r="J726" s="371"/>
      <c r="K726" s="371"/>
      <c r="L726" s="371"/>
      <c r="M726" s="371"/>
      <c r="N726" s="371"/>
      <c r="O726" s="371"/>
      <c r="P726" s="371"/>
      <c r="Q726" s="371"/>
      <c r="R726" s="371"/>
      <c r="S726" s="371"/>
      <c r="T726" s="371"/>
      <c r="U726" s="371"/>
      <c r="V726" s="371"/>
      <c r="W726" s="371"/>
      <c r="X726" s="371"/>
      <c r="Y726" s="371"/>
    </row>
    <row r="727" ht="28.5" customHeight="1">
      <c r="A727" s="371"/>
      <c r="B727" s="307"/>
      <c r="C727" s="307"/>
      <c r="D727" s="307"/>
      <c r="E727" s="307"/>
      <c r="F727" s="307"/>
      <c r="G727" s="307"/>
      <c r="H727" s="371"/>
      <c r="I727" s="371"/>
      <c r="J727" s="371"/>
      <c r="K727" s="371"/>
      <c r="L727" s="371"/>
      <c r="M727" s="371"/>
      <c r="N727" s="371"/>
      <c r="O727" s="371"/>
      <c r="P727" s="371"/>
      <c r="Q727" s="371"/>
      <c r="R727" s="371"/>
      <c r="S727" s="371"/>
      <c r="T727" s="371"/>
      <c r="U727" s="371"/>
      <c r="V727" s="371"/>
      <c r="W727" s="371"/>
      <c r="X727" s="371"/>
      <c r="Y727" s="371"/>
    </row>
    <row r="728" ht="28.5" customHeight="1">
      <c r="A728" s="371"/>
      <c r="B728" s="307"/>
      <c r="C728" s="307"/>
      <c r="D728" s="307"/>
      <c r="E728" s="307"/>
      <c r="F728" s="307"/>
      <c r="G728" s="307"/>
      <c r="H728" s="371"/>
      <c r="I728" s="371"/>
      <c r="J728" s="371"/>
      <c r="K728" s="371"/>
      <c r="L728" s="371"/>
      <c r="M728" s="371"/>
      <c r="N728" s="371"/>
      <c r="O728" s="371"/>
      <c r="P728" s="371"/>
      <c r="Q728" s="371"/>
      <c r="R728" s="371"/>
      <c r="S728" s="371"/>
      <c r="T728" s="371"/>
      <c r="U728" s="371"/>
      <c r="V728" s="371"/>
      <c r="W728" s="371"/>
      <c r="X728" s="371"/>
      <c r="Y728" s="371"/>
    </row>
    <row r="729" ht="28.5" customHeight="1">
      <c r="A729" s="371"/>
      <c r="B729" s="307"/>
      <c r="C729" s="307"/>
      <c r="D729" s="307"/>
      <c r="E729" s="307"/>
      <c r="F729" s="307"/>
      <c r="G729" s="307"/>
      <c r="H729" s="371"/>
      <c r="I729" s="371"/>
      <c r="J729" s="371"/>
      <c r="K729" s="371"/>
      <c r="L729" s="371"/>
      <c r="M729" s="371"/>
      <c r="N729" s="371"/>
      <c r="O729" s="371"/>
      <c r="P729" s="371"/>
      <c r="Q729" s="371"/>
      <c r="R729" s="371"/>
      <c r="S729" s="371"/>
      <c r="T729" s="371"/>
      <c r="U729" s="371"/>
      <c r="V729" s="371"/>
      <c r="W729" s="371"/>
      <c r="X729" s="371"/>
      <c r="Y729" s="371"/>
    </row>
    <row r="730" ht="28.5" customHeight="1">
      <c r="A730" s="371"/>
      <c r="B730" s="307"/>
      <c r="C730" s="307"/>
      <c r="D730" s="307"/>
      <c r="E730" s="307"/>
      <c r="F730" s="307"/>
      <c r="G730" s="307"/>
      <c r="H730" s="371"/>
      <c r="I730" s="371"/>
      <c r="J730" s="371"/>
      <c r="K730" s="371"/>
      <c r="L730" s="371"/>
      <c r="M730" s="371"/>
      <c r="N730" s="371"/>
      <c r="O730" s="371"/>
      <c r="P730" s="371"/>
      <c r="Q730" s="371"/>
      <c r="R730" s="371"/>
      <c r="S730" s="371"/>
      <c r="T730" s="371"/>
      <c r="U730" s="371"/>
      <c r="V730" s="371"/>
      <c r="W730" s="371"/>
      <c r="X730" s="371"/>
      <c r="Y730" s="371"/>
    </row>
    <row r="731" ht="28.5" customHeight="1">
      <c r="A731" s="371"/>
      <c r="B731" s="307"/>
      <c r="C731" s="307"/>
      <c r="D731" s="307"/>
      <c r="E731" s="307"/>
      <c r="F731" s="307"/>
      <c r="G731" s="307"/>
      <c r="H731" s="371"/>
      <c r="I731" s="371"/>
      <c r="J731" s="371"/>
      <c r="K731" s="371"/>
      <c r="L731" s="371"/>
      <c r="M731" s="371"/>
      <c r="N731" s="371"/>
      <c r="O731" s="371"/>
      <c r="P731" s="371"/>
      <c r="Q731" s="371"/>
      <c r="R731" s="371"/>
      <c r="S731" s="371"/>
      <c r="T731" s="371"/>
      <c r="U731" s="371"/>
      <c r="V731" s="371"/>
      <c r="W731" s="371"/>
      <c r="X731" s="371"/>
      <c r="Y731" s="371"/>
    </row>
    <row r="732" ht="28.5" customHeight="1">
      <c r="A732" s="371"/>
      <c r="B732" s="307"/>
      <c r="C732" s="307"/>
      <c r="D732" s="307"/>
      <c r="E732" s="307"/>
      <c r="F732" s="307"/>
      <c r="G732" s="307"/>
      <c r="H732" s="371"/>
      <c r="I732" s="371"/>
      <c r="J732" s="371"/>
      <c r="K732" s="371"/>
      <c r="L732" s="371"/>
      <c r="M732" s="371"/>
      <c r="N732" s="371"/>
      <c r="O732" s="371"/>
      <c r="P732" s="371"/>
      <c r="Q732" s="371"/>
      <c r="R732" s="371"/>
      <c r="S732" s="371"/>
      <c r="T732" s="371"/>
      <c r="U732" s="371"/>
      <c r="V732" s="371"/>
      <c r="W732" s="371"/>
      <c r="X732" s="371"/>
      <c r="Y732" s="371"/>
    </row>
    <row r="733" ht="28.5" customHeight="1">
      <c r="A733" s="371"/>
      <c r="B733" s="307"/>
      <c r="C733" s="307"/>
      <c r="D733" s="307"/>
      <c r="E733" s="307"/>
      <c r="F733" s="307"/>
      <c r="G733" s="307"/>
      <c r="H733" s="371"/>
      <c r="I733" s="371"/>
      <c r="J733" s="371"/>
      <c r="K733" s="371"/>
      <c r="L733" s="371"/>
      <c r="M733" s="371"/>
      <c r="N733" s="371"/>
      <c r="O733" s="371"/>
      <c r="P733" s="371"/>
      <c r="Q733" s="371"/>
      <c r="R733" s="371"/>
      <c r="S733" s="371"/>
      <c r="T733" s="371"/>
      <c r="U733" s="371"/>
      <c r="V733" s="371"/>
      <c r="W733" s="371"/>
      <c r="X733" s="371"/>
      <c r="Y733" s="371"/>
    </row>
    <row r="734" ht="28.5" customHeight="1">
      <c r="A734" s="371"/>
      <c r="B734" s="307"/>
      <c r="C734" s="307"/>
      <c r="D734" s="307"/>
      <c r="E734" s="307"/>
      <c r="F734" s="307"/>
      <c r="G734" s="307"/>
      <c r="H734" s="371"/>
      <c r="I734" s="371"/>
      <c r="J734" s="371"/>
      <c r="K734" s="371"/>
      <c r="L734" s="371"/>
      <c r="M734" s="371"/>
      <c r="N734" s="371"/>
      <c r="O734" s="371"/>
      <c r="P734" s="371"/>
      <c r="Q734" s="371"/>
      <c r="R734" s="371"/>
      <c r="S734" s="371"/>
      <c r="T734" s="371"/>
      <c r="U734" s="371"/>
      <c r="V734" s="371"/>
      <c r="W734" s="371"/>
      <c r="X734" s="371"/>
      <c r="Y734" s="371"/>
    </row>
    <row r="735" ht="28.5" customHeight="1">
      <c r="A735" s="371"/>
      <c r="B735" s="307"/>
      <c r="C735" s="307"/>
      <c r="D735" s="307"/>
      <c r="E735" s="307"/>
      <c r="F735" s="307"/>
      <c r="G735" s="307"/>
      <c r="H735" s="371"/>
      <c r="I735" s="371"/>
      <c r="J735" s="371"/>
      <c r="K735" s="371"/>
      <c r="L735" s="371"/>
      <c r="M735" s="371"/>
      <c r="N735" s="371"/>
      <c r="O735" s="371"/>
      <c r="P735" s="371"/>
      <c r="Q735" s="371"/>
      <c r="R735" s="371"/>
      <c r="S735" s="371"/>
      <c r="T735" s="371"/>
      <c r="U735" s="371"/>
      <c r="V735" s="371"/>
      <c r="W735" s="371"/>
      <c r="X735" s="371"/>
      <c r="Y735" s="371"/>
    </row>
    <row r="736" ht="28.5" customHeight="1">
      <c r="A736" s="371"/>
      <c r="B736" s="307"/>
      <c r="C736" s="307"/>
      <c r="D736" s="307"/>
      <c r="E736" s="307"/>
      <c r="F736" s="307"/>
      <c r="G736" s="307"/>
      <c r="H736" s="371"/>
      <c r="I736" s="371"/>
      <c r="J736" s="371"/>
      <c r="K736" s="371"/>
      <c r="L736" s="371"/>
      <c r="M736" s="371"/>
      <c r="N736" s="371"/>
      <c r="O736" s="371"/>
      <c r="P736" s="371"/>
      <c r="Q736" s="371"/>
      <c r="R736" s="371"/>
      <c r="S736" s="371"/>
      <c r="T736" s="371"/>
      <c r="U736" s="371"/>
      <c r="V736" s="371"/>
      <c r="W736" s="371"/>
      <c r="X736" s="371"/>
      <c r="Y736" s="371"/>
    </row>
    <row r="737" ht="28.5" customHeight="1">
      <c r="A737" s="371"/>
      <c r="B737" s="307"/>
      <c r="C737" s="307"/>
      <c r="D737" s="307"/>
      <c r="E737" s="307"/>
      <c r="F737" s="307"/>
      <c r="G737" s="307"/>
      <c r="H737" s="371"/>
      <c r="I737" s="371"/>
      <c r="J737" s="371"/>
      <c r="K737" s="371"/>
      <c r="L737" s="371"/>
      <c r="M737" s="371"/>
      <c r="N737" s="371"/>
      <c r="O737" s="371"/>
      <c r="P737" s="371"/>
      <c r="Q737" s="371"/>
      <c r="R737" s="371"/>
      <c r="S737" s="371"/>
      <c r="T737" s="371"/>
      <c r="U737" s="371"/>
      <c r="V737" s="371"/>
      <c r="W737" s="371"/>
      <c r="X737" s="371"/>
      <c r="Y737" s="371"/>
    </row>
    <row r="738" ht="28.5" customHeight="1">
      <c r="A738" s="371"/>
      <c r="B738" s="307"/>
      <c r="C738" s="307"/>
      <c r="D738" s="307"/>
      <c r="E738" s="307"/>
      <c r="F738" s="307"/>
      <c r="G738" s="307"/>
      <c r="H738" s="371"/>
      <c r="I738" s="371"/>
      <c r="J738" s="371"/>
      <c r="K738" s="371"/>
      <c r="L738" s="371"/>
      <c r="M738" s="371"/>
      <c r="N738" s="371"/>
      <c r="O738" s="371"/>
      <c r="P738" s="371"/>
      <c r="Q738" s="371"/>
      <c r="R738" s="371"/>
      <c r="S738" s="371"/>
      <c r="T738" s="371"/>
      <c r="U738" s="371"/>
      <c r="V738" s="371"/>
      <c r="W738" s="371"/>
      <c r="X738" s="371"/>
      <c r="Y738" s="371"/>
    </row>
    <row r="739" ht="28.5" customHeight="1">
      <c r="A739" s="371"/>
      <c r="B739" s="307"/>
      <c r="C739" s="307"/>
      <c r="D739" s="307"/>
      <c r="E739" s="307"/>
      <c r="F739" s="307"/>
      <c r="G739" s="307"/>
      <c r="H739" s="371"/>
      <c r="I739" s="371"/>
      <c r="J739" s="371"/>
      <c r="K739" s="371"/>
      <c r="L739" s="371"/>
      <c r="M739" s="371"/>
      <c r="N739" s="371"/>
      <c r="O739" s="371"/>
      <c r="P739" s="371"/>
      <c r="Q739" s="371"/>
      <c r="R739" s="371"/>
      <c r="S739" s="371"/>
      <c r="T739" s="371"/>
      <c r="U739" s="371"/>
      <c r="V739" s="371"/>
      <c r="W739" s="371"/>
      <c r="X739" s="371"/>
      <c r="Y739" s="371"/>
    </row>
    <row r="740" ht="28.5" customHeight="1">
      <c r="A740" s="371"/>
      <c r="B740" s="307"/>
      <c r="C740" s="307"/>
      <c r="D740" s="307"/>
      <c r="E740" s="307"/>
      <c r="F740" s="307"/>
      <c r="G740" s="307"/>
      <c r="H740" s="371"/>
      <c r="I740" s="371"/>
      <c r="J740" s="371"/>
      <c r="K740" s="371"/>
      <c r="L740" s="371"/>
      <c r="M740" s="371"/>
      <c r="N740" s="371"/>
      <c r="O740" s="371"/>
      <c r="P740" s="371"/>
      <c r="Q740" s="371"/>
      <c r="R740" s="371"/>
      <c r="S740" s="371"/>
      <c r="T740" s="371"/>
      <c r="U740" s="371"/>
      <c r="V740" s="371"/>
      <c r="W740" s="371"/>
      <c r="X740" s="371"/>
      <c r="Y740" s="371"/>
    </row>
    <row r="741" ht="28.5" customHeight="1">
      <c r="A741" s="371"/>
      <c r="B741" s="307"/>
      <c r="C741" s="307"/>
      <c r="D741" s="307"/>
      <c r="E741" s="307"/>
      <c r="F741" s="307"/>
      <c r="G741" s="307"/>
      <c r="H741" s="371"/>
      <c r="I741" s="371"/>
      <c r="J741" s="371"/>
      <c r="K741" s="371"/>
      <c r="L741" s="371"/>
      <c r="M741" s="371"/>
      <c r="N741" s="371"/>
      <c r="O741" s="371"/>
      <c r="P741" s="371"/>
      <c r="Q741" s="371"/>
      <c r="R741" s="371"/>
      <c r="S741" s="371"/>
      <c r="T741" s="371"/>
      <c r="U741" s="371"/>
      <c r="V741" s="371"/>
      <c r="W741" s="371"/>
      <c r="X741" s="371"/>
      <c r="Y741" s="371"/>
    </row>
    <row r="742" ht="28.5" customHeight="1">
      <c r="A742" s="371"/>
      <c r="B742" s="307"/>
      <c r="C742" s="307"/>
      <c r="D742" s="307"/>
      <c r="E742" s="307"/>
      <c r="F742" s="307"/>
      <c r="G742" s="307"/>
      <c r="H742" s="371"/>
      <c r="I742" s="371"/>
      <c r="J742" s="371"/>
      <c r="K742" s="371"/>
      <c r="L742" s="371"/>
      <c r="M742" s="371"/>
      <c r="N742" s="371"/>
      <c r="O742" s="371"/>
      <c r="P742" s="371"/>
      <c r="Q742" s="371"/>
      <c r="R742" s="371"/>
      <c r="S742" s="371"/>
      <c r="T742" s="371"/>
      <c r="U742" s="371"/>
      <c r="V742" s="371"/>
      <c r="W742" s="371"/>
      <c r="X742" s="371"/>
      <c r="Y742" s="371"/>
    </row>
    <row r="743" ht="28.5" customHeight="1">
      <c r="A743" s="371"/>
      <c r="B743" s="307"/>
      <c r="C743" s="307"/>
      <c r="D743" s="307"/>
      <c r="E743" s="307"/>
      <c r="F743" s="307"/>
      <c r="G743" s="307"/>
      <c r="H743" s="371"/>
      <c r="I743" s="371"/>
      <c r="J743" s="371"/>
      <c r="K743" s="371"/>
      <c r="L743" s="371"/>
      <c r="M743" s="371"/>
      <c r="N743" s="371"/>
      <c r="O743" s="371"/>
      <c r="P743" s="371"/>
      <c r="Q743" s="371"/>
      <c r="R743" s="371"/>
      <c r="S743" s="371"/>
      <c r="T743" s="371"/>
      <c r="U743" s="371"/>
      <c r="V743" s="371"/>
      <c r="W743" s="371"/>
      <c r="X743" s="371"/>
      <c r="Y743" s="371"/>
    </row>
    <row r="744" ht="28.5" customHeight="1">
      <c r="A744" s="371"/>
      <c r="B744" s="307"/>
      <c r="C744" s="307"/>
      <c r="D744" s="307"/>
      <c r="E744" s="307"/>
      <c r="F744" s="307"/>
      <c r="G744" s="307"/>
      <c r="H744" s="371"/>
      <c r="I744" s="371"/>
      <c r="J744" s="371"/>
      <c r="K744" s="371"/>
      <c r="L744" s="371"/>
      <c r="M744" s="371"/>
      <c r="N744" s="371"/>
      <c r="O744" s="371"/>
      <c r="P744" s="371"/>
      <c r="Q744" s="371"/>
      <c r="R744" s="371"/>
      <c r="S744" s="371"/>
      <c r="T744" s="371"/>
      <c r="U744" s="371"/>
      <c r="V744" s="371"/>
      <c r="W744" s="371"/>
      <c r="X744" s="371"/>
      <c r="Y744" s="371"/>
    </row>
    <row r="745" ht="28.5" customHeight="1">
      <c r="A745" s="371"/>
      <c r="B745" s="307"/>
      <c r="C745" s="307"/>
      <c r="D745" s="307"/>
      <c r="E745" s="307"/>
      <c r="F745" s="307"/>
      <c r="G745" s="307"/>
      <c r="H745" s="371"/>
      <c r="I745" s="371"/>
      <c r="J745" s="371"/>
      <c r="K745" s="371"/>
      <c r="L745" s="371"/>
      <c r="M745" s="371"/>
      <c r="N745" s="371"/>
      <c r="O745" s="371"/>
      <c r="P745" s="371"/>
      <c r="Q745" s="371"/>
      <c r="R745" s="371"/>
      <c r="S745" s="371"/>
      <c r="T745" s="371"/>
      <c r="U745" s="371"/>
      <c r="V745" s="371"/>
      <c r="W745" s="371"/>
      <c r="X745" s="371"/>
      <c r="Y745" s="371"/>
    </row>
    <row r="746" ht="28.5" customHeight="1">
      <c r="A746" s="371"/>
      <c r="B746" s="307"/>
      <c r="C746" s="307"/>
      <c r="D746" s="307"/>
      <c r="E746" s="307"/>
      <c r="F746" s="307"/>
      <c r="G746" s="307"/>
      <c r="H746" s="371"/>
      <c r="I746" s="371"/>
      <c r="J746" s="371"/>
      <c r="K746" s="371"/>
      <c r="L746" s="371"/>
      <c r="M746" s="371"/>
      <c r="N746" s="371"/>
      <c r="O746" s="371"/>
      <c r="P746" s="371"/>
      <c r="Q746" s="371"/>
      <c r="R746" s="371"/>
      <c r="S746" s="371"/>
      <c r="T746" s="371"/>
      <c r="U746" s="371"/>
      <c r="V746" s="371"/>
      <c r="W746" s="371"/>
      <c r="X746" s="371"/>
      <c r="Y746" s="371"/>
    </row>
    <row r="747" ht="28.5" customHeight="1">
      <c r="A747" s="371"/>
      <c r="B747" s="307"/>
      <c r="C747" s="307"/>
      <c r="D747" s="307"/>
      <c r="E747" s="307"/>
      <c r="F747" s="307"/>
      <c r="G747" s="307"/>
      <c r="H747" s="371"/>
      <c r="I747" s="371"/>
      <c r="J747" s="371"/>
      <c r="K747" s="371"/>
      <c r="L747" s="371"/>
      <c r="M747" s="371"/>
      <c r="N747" s="371"/>
      <c r="O747" s="371"/>
      <c r="P747" s="371"/>
      <c r="Q747" s="371"/>
      <c r="R747" s="371"/>
      <c r="S747" s="371"/>
      <c r="T747" s="371"/>
      <c r="U747" s="371"/>
      <c r="V747" s="371"/>
      <c r="W747" s="371"/>
      <c r="X747" s="371"/>
      <c r="Y747" s="371"/>
    </row>
    <row r="748" ht="28.5" customHeight="1">
      <c r="A748" s="371"/>
      <c r="B748" s="307"/>
      <c r="C748" s="307"/>
      <c r="D748" s="307"/>
      <c r="E748" s="307"/>
      <c r="F748" s="307"/>
      <c r="G748" s="307"/>
      <c r="H748" s="371"/>
      <c r="I748" s="371"/>
      <c r="J748" s="371"/>
      <c r="K748" s="371"/>
      <c r="L748" s="371"/>
      <c r="M748" s="371"/>
      <c r="N748" s="371"/>
      <c r="O748" s="371"/>
      <c r="P748" s="371"/>
      <c r="Q748" s="371"/>
      <c r="R748" s="371"/>
      <c r="S748" s="371"/>
      <c r="T748" s="371"/>
      <c r="U748" s="371"/>
      <c r="V748" s="371"/>
      <c r="W748" s="371"/>
      <c r="X748" s="371"/>
      <c r="Y748" s="371"/>
    </row>
    <row r="749" ht="28.5" customHeight="1">
      <c r="A749" s="371"/>
      <c r="B749" s="307"/>
      <c r="C749" s="307"/>
      <c r="D749" s="307"/>
      <c r="E749" s="307"/>
      <c r="F749" s="307"/>
      <c r="G749" s="307"/>
      <c r="H749" s="371"/>
      <c r="I749" s="371"/>
      <c r="J749" s="371"/>
      <c r="K749" s="371"/>
      <c r="L749" s="371"/>
      <c r="M749" s="371"/>
      <c r="N749" s="371"/>
      <c r="O749" s="371"/>
      <c r="P749" s="371"/>
      <c r="Q749" s="371"/>
      <c r="R749" s="371"/>
      <c r="S749" s="371"/>
      <c r="T749" s="371"/>
      <c r="U749" s="371"/>
      <c r="V749" s="371"/>
      <c r="W749" s="371"/>
      <c r="X749" s="371"/>
      <c r="Y749" s="371"/>
    </row>
    <row r="750" ht="28.5" customHeight="1">
      <c r="A750" s="371"/>
      <c r="B750" s="307"/>
      <c r="C750" s="307"/>
      <c r="D750" s="307"/>
      <c r="E750" s="307"/>
      <c r="F750" s="307"/>
      <c r="G750" s="307"/>
      <c r="H750" s="371"/>
      <c r="I750" s="371"/>
      <c r="J750" s="371"/>
      <c r="K750" s="371"/>
      <c r="L750" s="371"/>
      <c r="M750" s="371"/>
      <c r="N750" s="371"/>
      <c r="O750" s="371"/>
      <c r="P750" s="371"/>
      <c r="Q750" s="371"/>
      <c r="R750" s="371"/>
      <c r="S750" s="371"/>
      <c r="T750" s="371"/>
      <c r="U750" s="371"/>
      <c r="V750" s="371"/>
      <c r="W750" s="371"/>
      <c r="X750" s="371"/>
      <c r="Y750" s="371"/>
    </row>
    <row r="751" ht="28.5" customHeight="1">
      <c r="A751" s="371"/>
      <c r="B751" s="307"/>
      <c r="C751" s="307"/>
      <c r="D751" s="307"/>
      <c r="E751" s="307"/>
      <c r="F751" s="307"/>
      <c r="G751" s="307"/>
      <c r="H751" s="371"/>
      <c r="I751" s="371"/>
      <c r="J751" s="371"/>
      <c r="K751" s="371"/>
      <c r="L751" s="371"/>
      <c r="M751" s="371"/>
      <c r="N751" s="371"/>
      <c r="O751" s="371"/>
      <c r="P751" s="371"/>
      <c r="Q751" s="371"/>
      <c r="R751" s="371"/>
      <c r="S751" s="371"/>
      <c r="T751" s="371"/>
      <c r="U751" s="371"/>
      <c r="V751" s="371"/>
      <c r="W751" s="371"/>
      <c r="X751" s="371"/>
      <c r="Y751" s="371"/>
    </row>
    <row r="752" ht="28.5" customHeight="1">
      <c r="A752" s="371"/>
      <c r="B752" s="307"/>
      <c r="C752" s="307"/>
      <c r="D752" s="307"/>
      <c r="E752" s="307"/>
      <c r="F752" s="307"/>
      <c r="G752" s="307"/>
      <c r="H752" s="371"/>
      <c r="I752" s="371"/>
      <c r="J752" s="371"/>
      <c r="K752" s="371"/>
      <c r="L752" s="371"/>
      <c r="M752" s="371"/>
      <c r="N752" s="371"/>
      <c r="O752" s="371"/>
      <c r="P752" s="371"/>
      <c r="Q752" s="371"/>
      <c r="R752" s="371"/>
      <c r="S752" s="371"/>
      <c r="T752" s="371"/>
      <c r="U752" s="371"/>
      <c r="V752" s="371"/>
      <c r="W752" s="371"/>
      <c r="X752" s="371"/>
      <c r="Y752" s="371"/>
    </row>
    <row r="753" ht="28.5" customHeight="1">
      <c r="A753" s="371"/>
      <c r="B753" s="307"/>
      <c r="C753" s="307"/>
      <c r="D753" s="307"/>
      <c r="E753" s="307"/>
      <c r="F753" s="307"/>
      <c r="G753" s="307"/>
      <c r="H753" s="371"/>
      <c r="I753" s="371"/>
      <c r="J753" s="371"/>
      <c r="K753" s="371"/>
      <c r="L753" s="371"/>
      <c r="M753" s="371"/>
      <c r="N753" s="371"/>
      <c r="O753" s="371"/>
      <c r="P753" s="371"/>
      <c r="Q753" s="371"/>
      <c r="R753" s="371"/>
      <c r="S753" s="371"/>
      <c r="T753" s="371"/>
      <c r="U753" s="371"/>
      <c r="V753" s="371"/>
      <c r="W753" s="371"/>
      <c r="X753" s="371"/>
      <c r="Y753" s="371"/>
    </row>
    <row r="754" ht="28.5" customHeight="1">
      <c r="A754" s="371"/>
      <c r="B754" s="307"/>
      <c r="C754" s="307"/>
      <c r="D754" s="307"/>
      <c r="E754" s="307"/>
      <c r="F754" s="307"/>
      <c r="G754" s="307"/>
      <c r="H754" s="371"/>
      <c r="I754" s="371"/>
      <c r="J754" s="371"/>
      <c r="K754" s="371"/>
      <c r="L754" s="371"/>
      <c r="M754" s="371"/>
      <c r="N754" s="371"/>
      <c r="O754" s="371"/>
      <c r="P754" s="371"/>
      <c r="Q754" s="371"/>
      <c r="R754" s="371"/>
      <c r="S754" s="371"/>
      <c r="T754" s="371"/>
      <c r="U754" s="371"/>
      <c r="V754" s="371"/>
      <c r="W754" s="371"/>
      <c r="X754" s="371"/>
      <c r="Y754" s="371"/>
    </row>
    <row r="755" ht="28.5" customHeight="1">
      <c r="A755" s="371"/>
      <c r="B755" s="307"/>
      <c r="C755" s="307"/>
      <c r="D755" s="307"/>
      <c r="E755" s="307"/>
      <c r="F755" s="307"/>
      <c r="G755" s="307"/>
      <c r="H755" s="371"/>
      <c r="I755" s="371"/>
      <c r="J755" s="371"/>
      <c r="K755" s="371"/>
      <c r="L755" s="371"/>
      <c r="M755" s="371"/>
      <c r="N755" s="371"/>
      <c r="O755" s="371"/>
      <c r="P755" s="371"/>
      <c r="Q755" s="371"/>
      <c r="R755" s="371"/>
      <c r="S755" s="371"/>
      <c r="T755" s="371"/>
      <c r="U755" s="371"/>
      <c r="V755" s="371"/>
      <c r="W755" s="371"/>
      <c r="X755" s="371"/>
      <c r="Y755" s="371"/>
    </row>
    <row r="756" ht="28.5" customHeight="1">
      <c r="A756" s="371"/>
      <c r="B756" s="307"/>
      <c r="C756" s="307"/>
      <c r="D756" s="307"/>
      <c r="E756" s="307"/>
      <c r="F756" s="307"/>
      <c r="G756" s="307"/>
      <c r="H756" s="371"/>
      <c r="I756" s="371"/>
      <c r="J756" s="371"/>
      <c r="K756" s="371"/>
      <c r="L756" s="371"/>
      <c r="M756" s="371"/>
      <c r="N756" s="371"/>
      <c r="O756" s="371"/>
      <c r="P756" s="371"/>
      <c r="Q756" s="371"/>
      <c r="R756" s="371"/>
      <c r="S756" s="371"/>
      <c r="T756" s="371"/>
      <c r="U756" s="371"/>
      <c r="V756" s="371"/>
      <c r="W756" s="371"/>
      <c r="X756" s="371"/>
      <c r="Y756" s="371"/>
    </row>
    <row r="757" ht="28.5" customHeight="1">
      <c r="A757" s="371"/>
      <c r="B757" s="307"/>
      <c r="C757" s="307"/>
      <c r="D757" s="307"/>
      <c r="E757" s="307"/>
      <c r="F757" s="307"/>
      <c r="G757" s="307"/>
      <c r="H757" s="371"/>
      <c r="I757" s="371"/>
      <c r="J757" s="371"/>
      <c r="K757" s="371"/>
      <c r="L757" s="371"/>
      <c r="M757" s="371"/>
      <c r="N757" s="371"/>
      <c r="O757" s="371"/>
      <c r="P757" s="371"/>
      <c r="Q757" s="371"/>
      <c r="R757" s="371"/>
      <c r="S757" s="371"/>
      <c r="T757" s="371"/>
      <c r="U757" s="371"/>
      <c r="V757" s="371"/>
      <c r="W757" s="371"/>
      <c r="X757" s="371"/>
      <c r="Y757" s="371"/>
    </row>
    <row r="758" ht="28.5" customHeight="1">
      <c r="A758" s="371"/>
      <c r="B758" s="307"/>
      <c r="C758" s="307"/>
      <c r="D758" s="307"/>
      <c r="E758" s="307"/>
      <c r="F758" s="307"/>
      <c r="G758" s="307"/>
      <c r="H758" s="371"/>
      <c r="I758" s="371"/>
      <c r="J758" s="371"/>
      <c r="K758" s="371"/>
      <c r="L758" s="371"/>
      <c r="M758" s="371"/>
      <c r="N758" s="371"/>
      <c r="O758" s="371"/>
      <c r="P758" s="371"/>
      <c r="Q758" s="371"/>
      <c r="R758" s="371"/>
      <c r="S758" s="371"/>
      <c r="T758" s="371"/>
      <c r="U758" s="371"/>
      <c r="V758" s="371"/>
      <c r="W758" s="371"/>
      <c r="X758" s="371"/>
      <c r="Y758" s="371"/>
    </row>
    <row r="759" ht="28.5" customHeight="1">
      <c r="A759" s="371"/>
      <c r="B759" s="307"/>
      <c r="C759" s="307"/>
      <c r="D759" s="307"/>
      <c r="E759" s="307"/>
      <c r="F759" s="307"/>
      <c r="G759" s="307"/>
      <c r="H759" s="371"/>
      <c r="I759" s="371"/>
      <c r="J759" s="371"/>
      <c r="K759" s="371"/>
      <c r="L759" s="371"/>
      <c r="M759" s="371"/>
      <c r="N759" s="371"/>
      <c r="O759" s="371"/>
      <c r="P759" s="371"/>
      <c r="Q759" s="371"/>
      <c r="R759" s="371"/>
      <c r="S759" s="371"/>
      <c r="T759" s="371"/>
      <c r="U759" s="371"/>
      <c r="V759" s="371"/>
      <c r="W759" s="371"/>
      <c r="X759" s="371"/>
      <c r="Y759" s="371"/>
    </row>
    <row r="760" ht="28.5" customHeight="1">
      <c r="A760" s="371"/>
      <c r="B760" s="307"/>
      <c r="C760" s="307"/>
      <c r="D760" s="307"/>
      <c r="E760" s="307"/>
      <c r="F760" s="307"/>
      <c r="G760" s="307"/>
      <c r="H760" s="371"/>
      <c r="I760" s="371"/>
      <c r="J760" s="371"/>
      <c r="K760" s="371"/>
      <c r="L760" s="371"/>
      <c r="M760" s="371"/>
      <c r="N760" s="371"/>
      <c r="O760" s="371"/>
      <c r="P760" s="371"/>
      <c r="Q760" s="371"/>
      <c r="R760" s="371"/>
      <c r="S760" s="371"/>
      <c r="T760" s="371"/>
      <c r="U760" s="371"/>
      <c r="V760" s="371"/>
      <c r="W760" s="371"/>
      <c r="X760" s="371"/>
      <c r="Y760" s="371"/>
    </row>
    <row r="761" ht="28.5" customHeight="1">
      <c r="A761" s="371"/>
      <c r="B761" s="307"/>
      <c r="C761" s="307"/>
      <c r="D761" s="307"/>
      <c r="E761" s="307"/>
      <c r="F761" s="307"/>
      <c r="G761" s="307"/>
      <c r="H761" s="371"/>
      <c r="I761" s="371"/>
      <c r="J761" s="371"/>
      <c r="K761" s="371"/>
      <c r="L761" s="371"/>
      <c r="M761" s="371"/>
      <c r="N761" s="371"/>
      <c r="O761" s="371"/>
      <c r="P761" s="371"/>
      <c r="Q761" s="371"/>
      <c r="R761" s="371"/>
      <c r="S761" s="371"/>
      <c r="T761" s="371"/>
      <c r="U761" s="371"/>
      <c r="V761" s="371"/>
      <c r="W761" s="371"/>
      <c r="X761" s="371"/>
      <c r="Y761" s="371"/>
    </row>
    <row r="762" ht="28.5" customHeight="1">
      <c r="A762" s="371"/>
      <c r="B762" s="307"/>
      <c r="C762" s="307"/>
      <c r="D762" s="307"/>
      <c r="E762" s="307"/>
      <c r="F762" s="307"/>
      <c r="G762" s="307"/>
      <c r="H762" s="371"/>
      <c r="I762" s="371"/>
      <c r="J762" s="371"/>
      <c r="K762" s="371"/>
      <c r="L762" s="371"/>
      <c r="M762" s="371"/>
      <c r="N762" s="371"/>
      <c r="O762" s="371"/>
      <c r="P762" s="371"/>
      <c r="Q762" s="371"/>
      <c r="R762" s="371"/>
      <c r="S762" s="371"/>
      <c r="T762" s="371"/>
      <c r="U762" s="371"/>
      <c r="V762" s="371"/>
      <c r="W762" s="371"/>
      <c r="X762" s="371"/>
      <c r="Y762" s="371"/>
    </row>
    <row r="763" ht="28.5" customHeight="1">
      <c r="A763" s="371"/>
      <c r="B763" s="307"/>
      <c r="C763" s="307"/>
      <c r="D763" s="307"/>
      <c r="E763" s="307"/>
      <c r="F763" s="307"/>
      <c r="G763" s="307"/>
      <c r="H763" s="371"/>
      <c r="I763" s="371"/>
      <c r="J763" s="371"/>
      <c r="K763" s="371"/>
      <c r="L763" s="371"/>
      <c r="M763" s="371"/>
      <c r="N763" s="371"/>
      <c r="O763" s="371"/>
      <c r="P763" s="371"/>
      <c r="Q763" s="371"/>
      <c r="R763" s="371"/>
      <c r="S763" s="371"/>
      <c r="T763" s="371"/>
      <c r="U763" s="371"/>
      <c r="V763" s="371"/>
      <c r="W763" s="371"/>
      <c r="X763" s="371"/>
      <c r="Y763" s="371"/>
    </row>
    <row r="764" ht="28.5" customHeight="1">
      <c r="A764" s="371"/>
      <c r="B764" s="307"/>
      <c r="C764" s="307"/>
      <c r="D764" s="307"/>
      <c r="E764" s="307"/>
      <c r="F764" s="307"/>
      <c r="G764" s="307"/>
      <c r="H764" s="371"/>
      <c r="I764" s="371"/>
      <c r="J764" s="371"/>
      <c r="K764" s="371"/>
      <c r="L764" s="371"/>
      <c r="M764" s="371"/>
      <c r="N764" s="371"/>
      <c r="O764" s="371"/>
      <c r="P764" s="371"/>
      <c r="Q764" s="371"/>
      <c r="R764" s="371"/>
      <c r="S764" s="371"/>
      <c r="T764" s="371"/>
      <c r="U764" s="371"/>
      <c r="V764" s="371"/>
      <c r="W764" s="371"/>
      <c r="X764" s="371"/>
      <c r="Y764" s="371"/>
    </row>
    <row r="765" ht="28.5" customHeight="1">
      <c r="A765" s="371"/>
      <c r="B765" s="307"/>
      <c r="C765" s="307"/>
      <c r="D765" s="307"/>
      <c r="E765" s="307"/>
      <c r="F765" s="307"/>
      <c r="G765" s="307"/>
      <c r="H765" s="371"/>
      <c r="I765" s="371"/>
      <c r="J765" s="371"/>
      <c r="K765" s="371"/>
      <c r="L765" s="371"/>
      <c r="M765" s="371"/>
      <c r="N765" s="371"/>
      <c r="O765" s="371"/>
      <c r="P765" s="371"/>
      <c r="Q765" s="371"/>
      <c r="R765" s="371"/>
      <c r="S765" s="371"/>
      <c r="T765" s="371"/>
      <c r="U765" s="371"/>
      <c r="V765" s="371"/>
      <c r="W765" s="371"/>
      <c r="X765" s="371"/>
      <c r="Y765" s="371"/>
    </row>
    <row r="766" ht="28.5" customHeight="1">
      <c r="A766" s="371"/>
      <c r="B766" s="307"/>
      <c r="C766" s="307"/>
      <c r="D766" s="307"/>
      <c r="E766" s="307"/>
      <c r="F766" s="307"/>
      <c r="G766" s="307"/>
      <c r="H766" s="371"/>
      <c r="I766" s="371"/>
      <c r="J766" s="371"/>
      <c r="K766" s="371"/>
      <c r="L766" s="371"/>
      <c r="M766" s="371"/>
      <c r="N766" s="371"/>
      <c r="O766" s="371"/>
      <c r="P766" s="371"/>
      <c r="Q766" s="371"/>
      <c r="R766" s="371"/>
      <c r="S766" s="371"/>
      <c r="T766" s="371"/>
      <c r="U766" s="371"/>
      <c r="V766" s="371"/>
      <c r="W766" s="371"/>
      <c r="X766" s="371"/>
      <c r="Y766" s="371"/>
    </row>
    <row r="767" ht="28.5" customHeight="1">
      <c r="A767" s="371"/>
      <c r="B767" s="307"/>
      <c r="C767" s="307"/>
      <c r="D767" s="307"/>
      <c r="E767" s="307"/>
      <c r="F767" s="307"/>
      <c r="G767" s="307"/>
      <c r="H767" s="371"/>
      <c r="I767" s="371"/>
      <c r="J767" s="371"/>
      <c r="K767" s="371"/>
      <c r="L767" s="371"/>
      <c r="M767" s="371"/>
      <c r="N767" s="371"/>
      <c r="O767" s="371"/>
      <c r="P767" s="371"/>
      <c r="Q767" s="371"/>
      <c r="R767" s="371"/>
      <c r="S767" s="371"/>
      <c r="T767" s="371"/>
      <c r="U767" s="371"/>
      <c r="V767" s="371"/>
      <c r="W767" s="371"/>
      <c r="X767" s="371"/>
      <c r="Y767" s="371"/>
    </row>
    <row r="768" ht="28.5" customHeight="1">
      <c r="A768" s="371"/>
      <c r="B768" s="307"/>
      <c r="C768" s="307"/>
      <c r="D768" s="307"/>
      <c r="E768" s="307"/>
      <c r="F768" s="307"/>
      <c r="G768" s="307"/>
      <c r="H768" s="371"/>
      <c r="I768" s="371"/>
      <c r="J768" s="371"/>
      <c r="K768" s="371"/>
      <c r="L768" s="371"/>
      <c r="M768" s="371"/>
      <c r="N768" s="371"/>
      <c r="O768" s="371"/>
      <c r="P768" s="371"/>
      <c r="Q768" s="371"/>
      <c r="R768" s="371"/>
      <c r="S768" s="371"/>
      <c r="T768" s="371"/>
      <c r="U768" s="371"/>
      <c r="V768" s="371"/>
      <c r="W768" s="371"/>
      <c r="X768" s="371"/>
      <c r="Y768" s="371"/>
    </row>
    <row r="769" ht="28.5" customHeight="1">
      <c r="A769" s="371"/>
      <c r="B769" s="307"/>
      <c r="C769" s="307"/>
      <c r="D769" s="307"/>
      <c r="E769" s="307"/>
      <c r="F769" s="307"/>
      <c r="G769" s="307"/>
      <c r="H769" s="371"/>
      <c r="I769" s="371"/>
      <c r="J769" s="371"/>
      <c r="K769" s="371"/>
      <c r="L769" s="371"/>
      <c r="M769" s="371"/>
      <c r="N769" s="371"/>
      <c r="O769" s="371"/>
      <c r="P769" s="371"/>
      <c r="Q769" s="371"/>
      <c r="R769" s="371"/>
      <c r="S769" s="371"/>
      <c r="T769" s="371"/>
      <c r="U769" s="371"/>
      <c r="V769" s="371"/>
      <c r="W769" s="371"/>
      <c r="X769" s="371"/>
      <c r="Y769" s="371"/>
    </row>
    <row r="770" ht="28.5" customHeight="1">
      <c r="A770" s="371"/>
      <c r="B770" s="307"/>
      <c r="C770" s="307"/>
      <c r="D770" s="307"/>
      <c r="E770" s="307"/>
      <c r="F770" s="307"/>
      <c r="G770" s="307"/>
      <c r="H770" s="371"/>
      <c r="I770" s="371"/>
      <c r="J770" s="371"/>
      <c r="K770" s="371"/>
      <c r="L770" s="371"/>
      <c r="M770" s="371"/>
      <c r="N770" s="371"/>
      <c r="O770" s="371"/>
      <c r="P770" s="371"/>
      <c r="Q770" s="371"/>
      <c r="R770" s="371"/>
      <c r="S770" s="371"/>
      <c r="T770" s="371"/>
      <c r="U770" s="371"/>
      <c r="V770" s="371"/>
      <c r="W770" s="371"/>
      <c r="X770" s="371"/>
      <c r="Y770" s="371"/>
    </row>
    <row r="771" ht="28.5" customHeight="1">
      <c r="A771" s="371"/>
      <c r="B771" s="307"/>
      <c r="C771" s="307"/>
      <c r="D771" s="307"/>
      <c r="E771" s="307"/>
      <c r="F771" s="307"/>
      <c r="G771" s="307"/>
      <c r="H771" s="371"/>
      <c r="I771" s="371"/>
      <c r="J771" s="371"/>
      <c r="K771" s="371"/>
      <c r="L771" s="371"/>
      <c r="M771" s="371"/>
      <c r="N771" s="371"/>
      <c r="O771" s="371"/>
      <c r="P771" s="371"/>
      <c r="Q771" s="371"/>
      <c r="R771" s="371"/>
      <c r="S771" s="371"/>
      <c r="T771" s="371"/>
      <c r="U771" s="371"/>
      <c r="V771" s="371"/>
      <c r="W771" s="371"/>
      <c r="X771" s="371"/>
      <c r="Y771" s="371"/>
    </row>
    <row r="772" ht="28.5" customHeight="1">
      <c r="A772" s="371"/>
      <c r="B772" s="307"/>
      <c r="C772" s="307"/>
      <c r="D772" s="307"/>
      <c r="E772" s="307"/>
      <c r="F772" s="307"/>
      <c r="G772" s="307"/>
      <c r="H772" s="371"/>
      <c r="I772" s="371"/>
      <c r="J772" s="371"/>
      <c r="K772" s="371"/>
      <c r="L772" s="371"/>
      <c r="M772" s="371"/>
      <c r="N772" s="371"/>
      <c r="O772" s="371"/>
      <c r="P772" s="371"/>
      <c r="Q772" s="371"/>
      <c r="R772" s="371"/>
      <c r="S772" s="371"/>
      <c r="T772" s="371"/>
      <c r="U772" s="371"/>
      <c r="V772" s="371"/>
      <c r="W772" s="371"/>
      <c r="X772" s="371"/>
      <c r="Y772" s="371"/>
    </row>
    <row r="773" ht="28.5" customHeight="1">
      <c r="A773" s="371"/>
      <c r="B773" s="307"/>
      <c r="C773" s="307"/>
      <c r="D773" s="307"/>
      <c r="E773" s="307"/>
      <c r="F773" s="307"/>
      <c r="G773" s="307"/>
      <c r="H773" s="371"/>
      <c r="I773" s="371"/>
      <c r="J773" s="371"/>
      <c r="K773" s="371"/>
      <c r="L773" s="371"/>
      <c r="M773" s="371"/>
      <c r="N773" s="371"/>
      <c r="O773" s="371"/>
      <c r="P773" s="371"/>
      <c r="Q773" s="371"/>
      <c r="R773" s="371"/>
      <c r="S773" s="371"/>
      <c r="T773" s="371"/>
      <c r="U773" s="371"/>
      <c r="V773" s="371"/>
      <c r="W773" s="371"/>
      <c r="X773" s="371"/>
      <c r="Y773" s="371"/>
    </row>
    <row r="774" ht="28.5" customHeight="1">
      <c r="A774" s="371"/>
      <c r="B774" s="307"/>
      <c r="C774" s="307"/>
      <c r="D774" s="307"/>
      <c r="E774" s="307"/>
      <c r="F774" s="307"/>
      <c r="G774" s="307"/>
      <c r="H774" s="371"/>
      <c r="I774" s="371"/>
      <c r="J774" s="371"/>
      <c r="K774" s="371"/>
      <c r="L774" s="371"/>
      <c r="M774" s="371"/>
      <c r="N774" s="371"/>
      <c r="O774" s="371"/>
      <c r="P774" s="371"/>
      <c r="Q774" s="371"/>
      <c r="R774" s="371"/>
      <c r="S774" s="371"/>
      <c r="T774" s="371"/>
      <c r="U774" s="371"/>
      <c r="V774" s="371"/>
      <c r="W774" s="371"/>
      <c r="X774" s="371"/>
      <c r="Y774" s="371"/>
    </row>
    <row r="775" ht="28.5" customHeight="1">
      <c r="A775" s="371"/>
      <c r="B775" s="307"/>
      <c r="C775" s="307"/>
      <c r="D775" s="307"/>
      <c r="E775" s="307"/>
      <c r="F775" s="307"/>
      <c r="G775" s="307"/>
      <c r="H775" s="371"/>
      <c r="I775" s="371"/>
      <c r="J775" s="371"/>
      <c r="K775" s="371"/>
      <c r="L775" s="371"/>
      <c r="M775" s="371"/>
      <c r="N775" s="371"/>
      <c r="O775" s="371"/>
      <c r="P775" s="371"/>
      <c r="Q775" s="371"/>
      <c r="R775" s="371"/>
      <c r="S775" s="371"/>
      <c r="T775" s="371"/>
      <c r="U775" s="371"/>
      <c r="V775" s="371"/>
      <c r="W775" s="371"/>
      <c r="X775" s="371"/>
      <c r="Y775" s="371"/>
    </row>
    <row r="776" ht="28.5" customHeight="1">
      <c r="A776" s="371"/>
      <c r="B776" s="307"/>
      <c r="C776" s="307"/>
      <c r="D776" s="307"/>
      <c r="E776" s="307"/>
      <c r="F776" s="307"/>
      <c r="G776" s="307"/>
      <c r="H776" s="371"/>
      <c r="I776" s="371"/>
      <c r="J776" s="371"/>
      <c r="K776" s="371"/>
      <c r="L776" s="371"/>
      <c r="M776" s="371"/>
      <c r="N776" s="371"/>
      <c r="O776" s="371"/>
      <c r="P776" s="371"/>
      <c r="Q776" s="371"/>
      <c r="R776" s="371"/>
      <c r="S776" s="371"/>
      <c r="T776" s="371"/>
      <c r="U776" s="371"/>
      <c r="V776" s="371"/>
      <c r="W776" s="371"/>
      <c r="X776" s="371"/>
      <c r="Y776" s="371"/>
    </row>
    <row r="777" ht="28.5" customHeight="1">
      <c r="A777" s="371"/>
      <c r="B777" s="307"/>
      <c r="C777" s="307"/>
      <c r="D777" s="307"/>
      <c r="E777" s="307"/>
      <c r="F777" s="307"/>
      <c r="G777" s="307"/>
      <c r="H777" s="371"/>
      <c r="I777" s="371"/>
      <c r="J777" s="371"/>
      <c r="K777" s="371"/>
      <c r="L777" s="371"/>
      <c r="M777" s="371"/>
      <c r="N777" s="371"/>
      <c r="O777" s="371"/>
      <c r="P777" s="371"/>
      <c r="Q777" s="371"/>
      <c r="R777" s="371"/>
      <c r="S777" s="371"/>
      <c r="T777" s="371"/>
      <c r="U777" s="371"/>
      <c r="V777" s="371"/>
      <c r="W777" s="371"/>
      <c r="X777" s="371"/>
      <c r="Y777" s="371"/>
    </row>
    <row r="778" ht="28.5" customHeight="1">
      <c r="A778" s="371"/>
      <c r="B778" s="307"/>
      <c r="C778" s="307"/>
      <c r="D778" s="307"/>
      <c r="E778" s="307"/>
      <c r="F778" s="307"/>
      <c r="G778" s="307"/>
      <c r="H778" s="371"/>
      <c r="I778" s="371"/>
      <c r="J778" s="371"/>
      <c r="K778" s="371"/>
      <c r="L778" s="371"/>
      <c r="M778" s="371"/>
      <c r="N778" s="371"/>
      <c r="O778" s="371"/>
      <c r="P778" s="371"/>
      <c r="Q778" s="371"/>
      <c r="R778" s="371"/>
      <c r="S778" s="371"/>
      <c r="T778" s="371"/>
      <c r="U778" s="371"/>
      <c r="V778" s="371"/>
      <c r="W778" s="371"/>
      <c r="X778" s="371"/>
      <c r="Y778" s="371"/>
    </row>
    <row r="779" ht="28.5" customHeight="1">
      <c r="A779" s="371"/>
      <c r="B779" s="307"/>
      <c r="C779" s="307"/>
      <c r="D779" s="307"/>
      <c r="E779" s="307"/>
      <c r="F779" s="307"/>
      <c r="G779" s="307"/>
      <c r="H779" s="371"/>
      <c r="I779" s="371"/>
      <c r="J779" s="371"/>
      <c r="K779" s="371"/>
      <c r="L779" s="371"/>
      <c r="M779" s="371"/>
      <c r="N779" s="371"/>
      <c r="O779" s="371"/>
      <c r="P779" s="371"/>
      <c r="Q779" s="371"/>
      <c r="R779" s="371"/>
      <c r="S779" s="371"/>
      <c r="T779" s="371"/>
      <c r="U779" s="371"/>
      <c r="V779" s="371"/>
      <c r="W779" s="371"/>
      <c r="X779" s="371"/>
      <c r="Y779" s="371"/>
    </row>
    <row r="780" ht="28.5" customHeight="1">
      <c r="A780" s="371"/>
      <c r="B780" s="307"/>
      <c r="C780" s="307"/>
      <c r="D780" s="307"/>
      <c r="E780" s="307"/>
      <c r="F780" s="307"/>
      <c r="G780" s="307"/>
      <c r="H780" s="371"/>
      <c r="I780" s="371"/>
      <c r="J780" s="371"/>
      <c r="K780" s="371"/>
      <c r="L780" s="371"/>
      <c r="M780" s="371"/>
      <c r="N780" s="371"/>
      <c r="O780" s="371"/>
      <c r="P780" s="371"/>
      <c r="Q780" s="371"/>
      <c r="R780" s="371"/>
      <c r="S780" s="371"/>
      <c r="T780" s="371"/>
      <c r="U780" s="371"/>
      <c r="V780" s="371"/>
      <c r="W780" s="371"/>
      <c r="X780" s="371"/>
      <c r="Y780" s="371"/>
    </row>
    <row r="781" ht="28.5" customHeight="1">
      <c r="A781" s="371"/>
      <c r="B781" s="307"/>
      <c r="C781" s="307"/>
      <c r="D781" s="307"/>
      <c r="E781" s="307"/>
      <c r="F781" s="307"/>
      <c r="G781" s="307"/>
      <c r="H781" s="371"/>
      <c r="I781" s="371"/>
      <c r="J781" s="371"/>
      <c r="K781" s="371"/>
      <c r="L781" s="371"/>
      <c r="M781" s="371"/>
      <c r="N781" s="371"/>
      <c r="O781" s="371"/>
      <c r="P781" s="371"/>
      <c r="Q781" s="371"/>
      <c r="R781" s="371"/>
      <c r="S781" s="371"/>
      <c r="T781" s="371"/>
      <c r="U781" s="371"/>
      <c r="V781" s="371"/>
      <c r="W781" s="371"/>
      <c r="X781" s="371"/>
      <c r="Y781" s="371"/>
    </row>
    <row r="782" ht="28.5" customHeight="1">
      <c r="A782" s="371"/>
      <c r="B782" s="307"/>
      <c r="C782" s="307"/>
      <c r="D782" s="307"/>
      <c r="E782" s="307"/>
      <c r="F782" s="307"/>
      <c r="G782" s="307"/>
      <c r="H782" s="371"/>
      <c r="I782" s="371"/>
      <c r="J782" s="371"/>
      <c r="K782" s="371"/>
      <c r="L782" s="371"/>
      <c r="M782" s="371"/>
      <c r="N782" s="371"/>
      <c r="O782" s="371"/>
      <c r="P782" s="371"/>
      <c r="Q782" s="371"/>
      <c r="R782" s="371"/>
      <c r="S782" s="371"/>
      <c r="T782" s="371"/>
      <c r="U782" s="371"/>
      <c r="V782" s="371"/>
      <c r="W782" s="371"/>
      <c r="X782" s="371"/>
      <c r="Y782" s="371"/>
    </row>
    <row r="783" ht="28.5" customHeight="1">
      <c r="A783" s="371"/>
      <c r="B783" s="307"/>
      <c r="C783" s="307"/>
      <c r="D783" s="307"/>
      <c r="E783" s="307"/>
      <c r="F783" s="307"/>
      <c r="G783" s="307"/>
      <c r="H783" s="371"/>
      <c r="I783" s="371"/>
      <c r="J783" s="371"/>
      <c r="K783" s="371"/>
      <c r="L783" s="371"/>
      <c r="M783" s="371"/>
      <c r="N783" s="371"/>
      <c r="O783" s="371"/>
      <c r="P783" s="371"/>
      <c r="Q783" s="371"/>
      <c r="R783" s="371"/>
      <c r="S783" s="371"/>
      <c r="T783" s="371"/>
      <c r="U783" s="371"/>
      <c r="V783" s="371"/>
      <c r="W783" s="371"/>
      <c r="X783" s="371"/>
      <c r="Y783" s="371"/>
    </row>
    <row r="784" ht="28.5" customHeight="1">
      <c r="A784" s="371"/>
      <c r="B784" s="307"/>
      <c r="C784" s="307"/>
      <c r="D784" s="307"/>
      <c r="E784" s="307"/>
      <c r="F784" s="307"/>
      <c r="G784" s="307"/>
      <c r="H784" s="371"/>
      <c r="I784" s="371"/>
      <c r="J784" s="371"/>
      <c r="K784" s="371"/>
      <c r="L784" s="371"/>
      <c r="M784" s="371"/>
      <c r="N784" s="371"/>
      <c r="O784" s="371"/>
      <c r="P784" s="371"/>
      <c r="Q784" s="371"/>
      <c r="R784" s="371"/>
      <c r="S784" s="371"/>
      <c r="T784" s="371"/>
      <c r="U784" s="371"/>
      <c r="V784" s="371"/>
      <c r="W784" s="371"/>
      <c r="X784" s="371"/>
      <c r="Y784" s="371"/>
    </row>
    <row r="785" ht="28.5" customHeight="1">
      <c r="A785" s="371"/>
      <c r="B785" s="307"/>
      <c r="C785" s="307"/>
      <c r="D785" s="307"/>
      <c r="E785" s="307"/>
      <c r="F785" s="307"/>
      <c r="G785" s="307"/>
      <c r="H785" s="371"/>
      <c r="I785" s="371"/>
      <c r="J785" s="371"/>
      <c r="K785" s="371"/>
      <c r="L785" s="371"/>
      <c r="M785" s="371"/>
      <c r="N785" s="371"/>
      <c r="O785" s="371"/>
      <c r="P785" s="371"/>
      <c r="Q785" s="371"/>
      <c r="R785" s="371"/>
      <c r="S785" s="371"/>
      <c r="T785" s="371"/>
      <c r="U785" s="371"/>
      <c r="V785" s="371"/>
      <c r="W785" s="371"/>
      <c r="X785" s="371"/>
      <c r="Y785" s="371"/>
    </row>
    <row r="786" ht="28.5" customHeight="1">
      <c r="A786" s="371"/>
      <c r="B786" s="307"/>
      <c r="C786" s="307"/>
      <c r="D786" s="307"/>
      <c r="E786" s="307"/>
      <c r="F786" s="307"/>
      <c r="G786" s="307"/>
      <c r="H786" s="371"/>
      <c r="I786" s="371"/>
      <c r="J786" s="371"/>
      <c r="K786" s="371"/>
      <c r="L786" s="371"/>
      <c r="M786" s="371"/>
      <c r="N786" s="371"/>
      <c r="O786" s="371"/>
      <c r="P786" s="371"/>
      <c r="Q786" s="371"/>
      <c r="R786" s="371"/>
      <c r="S786" s="371"/>
      <c r="T786" s="371"/>
      <c r="U786" s="371"/>
      <c r="V786" s="371"/>
      <c r="W786" s="371"/>
      <c r="X786" s="371"/>
      <c r="Y786" s="371"/>
    </row>
    <row r="787" ht="28.5" customHeight="1">
      <c r="A787" s="371"/>
      <c r="B787" s="307"/>
      <c r="C787" s="307"/>
      <c r="D787" s="307"/>
      <c r="E787" s="307"/>
      <c r="F787" s="307"/>
      <c r="G787" s="307"/>
      <c r="H787" s="371"/>
      <c r="I787" s="371"/>
      <c r="J787" s="371"/>
      <c r="K787" s="371"/>
      <c r="L787" s="371"/>
      <c r="M787" s="371"/>
      <c r="N787" s="371"/>
      <c r="O787" s="371"/>
      <c r="P787" s="371"/>
      <c r="Q787" s="371"/>
      <c r="R787" s="371"/>
      <c r="S787" s="371"/>
      <c r="T787" s="371"/>
      <c r="U787" s="371"/>
      <c r="V787" s="371"/>
      <c r="W787" s="371"/>
      <c r="X787" s="371"/>
      <c r="Y787" s="371"/>
    </row>
    <row r="788" ht="28.5" customHeight="1">
      <c r="A788" s="371"/>
      <c r="B788" s="307"/>
      <c r="C788" s="307"/>
      <c r="D788" s="307"/>
      <c r="E788" s="307"/>
      <c r="F788" s="307"/>
      <c r="G788" s="307"/>
      <c r="H788" s="371"/>
      <c r="I788" s="371"/>
      <c r="J788" s="371"/>
      <c r="K788" s="371"/>
      <c r="L788" s="371"/>
      <c r="M788" s="371"/>
      <c r="N788" s="371"/>
      <c r="O788" s="371"/>
      <c r="P788" s="371"/>
      <c r="Q788" s="371"/>
      <c r="R788" s="371"/>
      <c r="S788" s="371"/>
      <c r="T788" s="371"/>
      <c r="U788" s="371"/>
      <c r="V788" s="371"/>
      <c r="W788" s="371"/>
      <c r="X788" s="371"/>
      <c r="Y788" s="371"/>
    </row>
    <row r="789" ht="28.5" customHeight="1">
      <c r="A789" s="371"/>
      <c r="B789" s="307"/>
      <c r="C789" s="307"/>
      <c r="D789" s="307"/>
      <c r="E789" s="307"/>
      <c r="F789" s="307"/>
      <c r="G789" s="307"/>
      <c r="H789" s="371"/>
      <c r="I789" s="371"/>
      <c r="J789" s="371"/>
      <c r="K789" s="371"/>
      <c r="L789" s="371"/>
      <c r="M789" s="371"/>
      <c r="N789" s="371"/>
      <c r="O789" s="371"/>
      <c r="P789" s="371"/>
      <c r="Q789" s="371"/>
      <c r="R789" s="371"/>
      <c r="S789" s="371"/>
      <c r="T789" s="371"/>
      <c r="U789" s="371"/>
      <c r="V789" s="371"/>
      <c r="W789" s="371"/>
      <c r="X789" s="371"/>
      <c r="Y789" s="371"/>
    </row>
    <row r="790" ht="28.5" customHeight="1">
      <c r="A790" s="371"/>
      <c r="B790" s="307"/>
      <c r="C790" s="307"/>
      <c r="D790" s="307"/>
      <c r="E790" s="307"/>
      <c r="F790" s="307"/>
      <c r="G790" s="307"/>
      <c r="H790" s="371"/>
      <c r="I790" s="371"/>
      <c r="J790" s="371"/>
      <c r="K790" s="371"/>
      <c r="L790" s="371"/>
      <c r="M790" s="371"/>
      <c r="N790" s="371"/>
      <c r="O790" s="371"/>
      <c r="P790" s="371"/>
      <c r="Q790" s="371"/>
      <c r="R790" s="371"/>
      <c r="S790" s="371"/>
      <c r="T790" s="371"/>
      <c r="U790" s="371"/>
      <c r="V790" s="371"/>
      <c r="W790" s="371"/>
      <c r="X790" s="371"/>
      <c r="Y790" s="371"/>
    </row>
    <row r="791" ht="28.5" customHeight="1">
      <c r="A791" s="371"/>
      <c r="B791" s="307"/>
      <c r="C791" s="307"/>
      <c r="D791" s="307"/>
      <c r="E791" s="307"/>
      <c r="F791" s="307"/>
      <c r="G791" s="307"/>
      <c r="H791" s="371"/>
      <c r="I791" s="371"/>
      <c r="J791" s="371"/>
      <c r="K791" s="371"/>
      <c r="L791" s="371"/>
      <c r="M791" s="371"/>
      <c r="N791" s="371"/>
      <c r="O791" s="371"/>
      <c r="P791" s="371"/>
      <c r="Q791" s="371"/>
      <c r="R791" s="371"/>
      <c r="S791" s="371"/>
      <c r="T791" s="371"/>
      <c r="U791" s="371"/>
      <c r="V791" s="371"/>
      <c r="W791" s="371"/>
      <c r="X791" s="371"/>
      <c r="Y791" s="371"/>
    </row>
    <row r="792" ht="28.5" customHeight="1">
      <c r="A792" s="371"/>
      <c r="B792" s="307"/>
      <c r="C792" s="307"/>
      <c r="D792" s="307"/>
      <c r="E792" s="307"/>
      <c r="F792" s="307"/>
      <c r="G792" s="307"/>
      <c r="H792" s="371"/>
      <c r="I792" s="371"/>
      <c r="J792" s="371"/>
      <c r="K792" s="371"/>
      <c r="L792" s="371"/>
      <c r="M792" s="371"/>
      <c r="N792" s="371"/>
      <c r="O792" s="371"/>
      <c r="P792" s="371"/>
      <c r="Q792" s="371"/>
      <c r="R792" s="371"/>
      <c r="S792" s="371"/>
      <c r="T792" s="371"/>
      <c r="U792" s="371"/>
      <c r="V792" s="371"/>
      <c r="W792" s="371"/>
      <c r="X792" s="371"/>
      <c r="Y792" s="371"/>
    </row>
    <row r="793" ht="28.5" customHeight="1">
      <c r="A793" s="371"/>
      <c r="B793" s="307"/>
      <c r="C793" s="307"/>
      <c r="D793" s="307"/>
      <c r="E793" s="307"/>
      <c r="F793" s="307"/>
      <c r="G793" s="307"/>
      <c r="H793" s="371"/>
      <c r="I793" s="371"/>
      <c r="J793" s="371"/>
      <c r="K793" s="371"/>
      <c r="L793" s="371"/>
      <c r="M793" s="371"/>
      <c r="N793" s="371"/>
      <c r="O793" s="371"/>
      <c r="P793" s="371"/>
      <c r="Q793" s="371"/>
      <c r="R793" s="371"/>
      <c r="S793" s="371"/>
      <c r="T793" s="371"/>
      <c r="U793" s="371"/>
      <c r="V793" s="371"/>
      <c r="W793" s="371"/>
      <c r="X793" s="371"/>
      <c r="Y793" s="371"/>
    </row>
    <row r="794" ht="28.5" customHeight="1">
      <c r="A794" s="371"/>
      <c r="B794" s="307"/>
      <c r="C794" s="307"/>
      <c r="D794" s="307"/>
      <c r="E794" s="307"/>
      <c r="F794" s="307"/>
      <c r="G794" s="307"/>
      <c r="H794" s="371"/>
      <c r="I794" s="371"/>
      <c r="J794" s="371"/>
      <c r="K794" s="371"/>
      <c r="L794" s="371"/>
      <c r="M794" s="371"/>
      <c r="N794" s="371"/>
      <c r="O794" s="371"/>
      <c r="P794" s="371"/>
      <c r="Q794" s="371"/>
      <c r="R794" s="371"/>
      <c r="S794" s="371"/>
      <c r="T794" s="371"/>
      <c r="U794" s="371"/>
      <c r="V794" s="371"/>
      <c r="W794" s="371"/>
      <c r="X794" s="371"/>
      <c r="Y794" s="371"/>
    </row>
    <row r="795" ht="28.5" customHeight="1">
      <c r="A795" s="371"/>
      <c r="B795" s="307"/>
      <c r="C795" s="307"/>
      <c r="D795" s="307"/>
      <c r="E795" s="307"/>
      <c r="F795" s="307"/>
      <c r="G795" s="307"/>
      <c r="H795" s="371"/>
      <c r="I795" s="371"/>
      <c r="J795" s="371"/>
      <c r="K795" s="371"/>
      <c r="L795" s="371"/>
      <c r="M795" s="371"/>
      <c r="N795" s="371"/>
      <c r="O795" s="371"/>
      <c r="P795" s="371"/>
      <c r="Q795" s="371"/>
      <c r="R795" s="371"/>
      <c r="S795" s="371"/>
      <c r="T795" s="371"/>
      <c r="U795" s="371"/>
      <c r="V795" s="371"/>
      <c r="W795" s="371"/>
      <c r="X795" s="371"/>
      <c r="Y795" s="371"/>
    </row>
    <row r="796" ht="28.5" customHeight="1">
      <c r="A796" s="371"/>
      <c r="B796" s="307"/>
      <c r="C796" s="307"/>
      <c r="D796" s="307"/>
      <c r="E796" s="307"/>
      <c r="F796" s="307"/>
      <c r="G796" s="307"/>
      <c r="H796" s="371"/>
      <c r="I796" s="371"/>
      <c r="J796" s="371"/>
      <c r="K796" s="371"/>
      <c r="L796" s="371"/>
      <c r="M796" s="371"/>
      <c r="N796" s="371"/>
      <c r="O796" s="371"/>
      <c r="P796" s="371"/>
      <c r="Q796" s="371"/>
      <c r="R796" s="371"/>
      <c r="S796" s="371"/>
      <c r="T796" s="371"/>
      <c r="U796" s="371"/>
      <c r="V796" s="371"/>
      <c r="W796" s="371"/>
      <c r="X796" s="371"/>
      <c r="Y796" s="371"/>
    </row>
    <row r="797" ht="28.5" customHeight="1">
      <c r="A797" s="371"/>
      <c r="B797" s="307"/>
      <c r="C797" s="307"/>
      <c r="D797" s="307"/>
      <c r="E797" s="307"/>
      <c r="F797" s="307"/>
      <c r="G797" s="307"/>
      <c r="H797" s="371"/>
      <c r="I797" s="371"/>
      <c r="J797" s="371"/>
      <c r="K797" s="371"/>
      <c r="L797" s="371"/>
      <c r="M797" s="371"/>
      <c r="N797" s="371"/>
      <c r="O797" s="371"/>
      <c r="P797" s="371"/>
      <c r="Q797" s="371"/>
      <c r="R797" s="371"/>
      <c r="S797" s="371"/>
      <c r="T797" s="371"/>
      <c r="U797" s="371"/>
      <c r="V797" s="371"/>
      <c r="W797" s="371"/>
      <c r="X797" s="371"/>
      <c r="Y797" s="371"/>
    </row>
    <row r="798" ht="28.5" customHeight="1">
      <c r="A798" s="371"/>
      <c r="B798" s="307"/>
      <c r="C798" s="307"/>
      <c r="D798" s="307"/>
      <c r="E798" s="307"/>
      <c r="F798" s="307"/>
      <c r="G798" s="307"/>
      <c r="H798" s="371"/>
      <c r="I798" s="371"/>
      <c r="J798" s="371"/>
      <c r="K798" s="371"/>
      <c r="L798" s="371"/>
      <c r="M798" s="371"/>
      <c r="N798" s="371"/>
      <c r="O798" s="371"/>
      <c r="P798" s="371"/>
      <c r="Q798" s="371"/>
      <c r="R798" s="371"/>
      <c r="S798" s="371"/>
      <c r="T798" s="371"/>
      <c r="U798" s="371"/>
      <c r="V798" s="371"/>
      <c r="W798" s="371"/>
      <c r="X798" s="371"/>
      <c r="Y798" s="371"/>
    </row>
    <row r="799" ht="28.5" customHeight="1">
      <c r="A799" s="371"/>
      <c r="B799" s="307"/>
      <c r="C799" s="307"/>
      <c r="D799" s="307"/>
      <c r="E799" s="307"/>
      <c r="F799" s="307"/>
      <c r="G799" s="307"/>
      <c r="H799" s="371"/>
      <c r="I799" s="371"/>
      <c r="J799" s="371"/>
      <c r="K799" s="371"/>
      <c r="L799" s="371"/>
      <c r="M799" s="371"/>
      <c r="N799" s="371"/>
      <c r="O799" s="371"/>
      <c r="P799" s="371"/>
      <c r="Q799" s="371"/>
      <c r="R799" s="371"/>
      <c r="S799" s="371"/>
      <c r="T799" s="371"/>
      <c r="U799" s="371"/>
      <c r="V799" s="371"/>
      <c r="W799" s="371"/>
      <c r="X799" s="371"/>
      <c r="Y799" s="371"/>
    </row>
    <row r="800" ht="28.5" customHeight="1">
      <c r="A800" s="371"/>
      <c r="B800" s="307"/>
      <c r="C800" s="307"/>
      <c r="D800" s="307"/>
      <c r="E800" s="307"/>
      <c r="F800" s="307"/>
      <c r="G800" s="307"/>
      <c r="H800" s="371"/>
      <c r="I800" s="371"/>
      <c r="J800" s="371"/>
      <c r="K800" s="371"/>
      <c r="L800" s="371"/>
      <c r="M800" s="371"/>
      <c r="N800" s="371"/>
      <c r="O800" s="371"/>
      <c r="P800" s="371"/>
      <c r="Q800" s="371"/>
      <c r="R800" s="371"/>
      <c r="S800" s="371"/>
      <c r="T800" s="371"/>
      <c r="U800" s="371"/>
      <c r="V800" s="371"/>
      <c r="W800" s="371"/>
      <c r="X800" s="371"/>
      <c r="Y800" s="371"/>
    </row>
    <row r="801" ht="28.5" customHeight="1">
      <c r="A801" s="371"/>
      <c r="B801" s="307"/>
      <c r="C801" s="307"/>
      <c r="D801" s="307"/>
      <c r="E801" s="307"/>
      <c r="F801" s="307"/>
      <c r="G801" s="307"/>
      <c r="H801" s="371"/>
      <c r="I801" s="371"/>
      <c r="J801" s="371"/>
      <c r="K801" s="371"/>
      <c r="L801" s="371"/>
      <c r="M801" s="371"/>
      <c r="N801" s="371"/>
      <c r="O801" s="371"/>
      <c r="P801" s="371"/>
      <c r="Q801" s="371"/>
      <c r="R801" s="371"/>
      <c r="S801" s="371"/>
      <c r="T801" s="371"/>
      <c r="U801" s="371"/>
      <c r="V801" s="371"/>
      <c r="W801" s="371"/>
      <c r="X801" s="371"/>
      <c r="Y801" s="371"/>
    </row>
    <row r="802" ht="28.5" customHeight="1">
      <c r="A802" s="371"/>
      <c r="B802" s="307"/>
      <c r="C802" s="307"/>
      <c r="D802" s="307"/>
      <c r="E802" s="307"/>
      <c r="F802" s="307"/>
      <c r="G802" s="307"/>
      <c r="H802" s="371"/>
      <c r="I802" s="371"/>
      <c r="J802" s="371"/>
      <c r="K802" s="371"/>
      <c r="L802" s="371"/>
      <c r="M802" s="371"/>
      <c r="N802" s="371"/>
      <c r="O802" s="371"/>
      <c r="P802" s="371"/>
      <c r="Q802" s="371"/>
      <c r="R802" s="371"/>
      <c r="S802" s="371"/>
      <c r="T802" s="371"/>
      <c r="U802" s="371"/>
      <c r="V802" s="371"/>
      <c r="W802" s="371"/>
      <c r="X802" s="371"/>
      <c r="Y802" s="371"/>
    </row>
    <row r="803" ht="28.5" customHeight="1">
      <c r="A803" s="371"/>
      <c r="B803" s="307"/>
      <c r="C803" s="307"/>
      <c r="D803" s="307"/>
      <c r="E803" s="307"/>
      <c r="F803" s="307"/>
      <c r="G803" s="307"/>
      <c r="H803" s="371"/>
      <c r="I803" s="371"/>
      <c r="J803" s="371"/>
      <c r="K803" s="371"/>
      <c r="L803" s="371"/>
      <c r="M803" s="371"/>
      <c r="N803" s="371"/>
      <c r="O803" s="371"/>
      <c r="P803" s="371"/>
      <c r="Q803" s="371"/>
      <c r="R803" s="371"/>
      <c r="S803" s="371"/>
      <c r="T803" s="371"/>
      <c r="U803" s="371"/>
      <c r="V803" s="371"/>
      <c r="W803" s="371"/>
      <c r="X803" s="371"/>
      <c r="Y803" s="371"/>
    </row>
    <row r="804" ht="28.5" customHeight="1">
      <c r="A804" s="371"/>
      <c r="B804" s="307"/>
      <c r="C804" s="307"/>
      <c r="D804" s="307"/>
      <c r="E804" s="307"/>
      <c r="F804" s="307"/>
      <c r="G804" s="307"/>
      <c r="H804" s="371"/>
      <c r="I804" s="371"/>
      <c r="J804" s="371"/>
      <c r="K804" s="371"/>
      <c r="L804" s="371"/>
      <c r="M804" s="371"/>
      <c r="N804" s="371"/>
      <c r="O804" s="371"/>
      <c r="P804" s="371"/>
      <c r="Q804" s="371"/>
      <c r="R804" s="371"/>
      <c r="S804" s="371"/>
      <c r="T804" s="371"/>
      <c r="U804" s="371"/>
      <c r="V804" s="371"/>
      <c r="W804" s="371"/>
      <c r="X804" s="371"/>
      <c r="Y804" s="371"/>
    </row>
    <row r="805" ht="28.5" customHeight="1">
      <c r="A805" s="371"/>
      <c r="B805" s="307"/>
      <c r="C805" s="307"/>
      <c r="D805" s="307"/>
      <c r="E805" s="307"/>
      <c r="F805" s="307"/>
      <c r="G805" s="307"/>
      <c r="H805" s="371"/>
      <c r="I805" s="371"/>
      <c r="J805" s="371"/>
      <c r="K805" s="371"/>
      <c r="L805" s="371"/>
      <c r="M805" s="371"/>
      <c r="N805" s="371"/>
      <c r="O805" s="371"/>
      <c r="P805" s="371"/>
      <c r="Q805" s="371"/>
      <c r="R805" s="371"/>
      <c r="S805" s="371"/>
      <c r="T805" s="371"/>
      <c r="U805" s="371"/>
      <c r="V805" s="371"/>
      <c r="W805" s="371"/>
      <c r="X805" s="371"/>
      <c r="Y805" s="371"/>
    </row>
    <row r="806" ht="28.5" customHeight="1">
      <c r="A806" s="371"/>
      <c r="B806" s="307"/>
      <c r="C806" s="307"/>
      <c r="D806" s="307"/>
      <c r="E806" s="307"/>
      <c r="F806" s="307"/>
      <c r="G806" s="307"/>
      <c r="H806" s="371"/>
      <c r="I806" s="371"/>
      <c r="J806" s="371"/>
      <c r="K806" s="371"/>
      <c r="L806" s="371"/>
      <c r="M806" s="371"/>
      <c r="N806" s="371"/>
      <c r="O806" s="371"/>
      <c r="P806" s="371"/>
      <c r="Q806" s="371"/>
      <c r="R806" s="371"/>
      <c r="S806" s="371"/>
      <c r="T806" s="371"/>
      <c r="U806" s="371"/>
      <c r="V806" s="371"/>
      <c r="W806" s="371"/>
      <c r="X806" s="371"/>
      <c r="Y806" s="371"/>
    </row>
    <row r="807" ht="28.5" customHeight="1">
      <c r="A807" s="371"/>
      <c r="B807" s="307"/>
      <c r="C807" s="307"/>
      <c r="D807" s="307"/>
      <c r="E807" s="307"/>
      <c r="F807" s="307"/>
      <c r="G807" s="307"/>
      <c r="H807" s="371"/>
      <c r="I807" s="371"/>
      <c r="J807" s="371"/>
      <c r="K807" s="371"/>
      <c r="L807" s="371"/>
      <c r="M807" s="371"/>
      <c r="N807" s="371"/>
      <c r="O807" s="371"/>
      <c r="P807" s="371"/>
      <c r="Q807" s="371"/>
      <c r="R807" s="371"/>
      <c r="S807" s="371"/>
      <c r="T807" s="371"/>
      <c r="U807" s="371"/>
      <c r="V807" s="371"/>
      <c r="W807" s="371"/>
      <c r="X807" s="371"/>
      <c r="Y807" s="371"/>
    </row>
    <row r="808" ht="28.5" customHeight="1">
      <c r="A808" s="371"/>
      <c r="B808" s="307"/>
      <c r="C808" s="307"/>
      <c r="D808" s="307"/>
      <c r="E808" s="307"/>
      <c r="F808" s="307"/>
      <c r="G808" s="307"/>
      <c r="H808" s="371"/>
      <c r="I808" s="371"/>
      <c r="J808" s="371"/>
      <c r="K808" s="371"/>
      <c r="L808" s="371"/>
      <c r="M808" s="371"/>
      <c r="N808" s="371"/>
      <c r="O808" s="371"/>
      <c r="P808" s="371"/>
      <c r="Q808" s="371"/>
      <c r="R808" s="371"/>
      <c r="S808" s="371"/>
      <c r="T808" s="371"/>
      <c r="U808" s="371"/>
      <c r="V808" s="371"/>
      <c r="W808" s="371"/>
      <c r="X808" s="371"/>
      <c r="Y808" s="371"/>
    </row>
    <row r="809" ht="28.5" customHeight="1">
      <c r="A809" s="371"/>
      <c r="B809" s="307"/>
      <c r="C809" s="307"/>
      <c r="D809" s="307"/>
      <c r="E809" s="307"/>
      <c r="F809" s="307"/>
      <c r="G809" s="307"/>
      <c r="H809" s="371"/>
      <c r="I809" s="371"/>
      <c r="J809" s="371"/>
      <c r="K809" s="371"/>
      <c r="L809" s="371"/>
      <c r="M809" s="371"/>
      <c r="N809" s="371"/>
      <c r="O809" s="371"/>
      <c r="P809" s="371"/>
      <c r="Q809" s="371"/>
      <c r="R809" s="371"/>
      <c r="S809" s="371"/>
      <c r="T809" s="371"/>
      <c r="U809" s="371"/>
      <c r="V809" s="371"/>
      <c r="W809" s="371"/>
      <c r="X809" s="371"/>
      <c r="Y809" s="371"/>
    </row>
    <row r="810" ht="28.5" customHeight="1">
      <c r="A810" s="371"/>
      <c r="B810" s="307"/>
      <c r="C810" s="307"/>
      <c r="D810" s="307"/>
      <c r="E810" s="307"/>
      <c r="F810" s="307"/>
      <c r="G810" s="307"/>
      <c r="H810" s="371"/>
      <c r="I810" s="371"/>
      <c r="J810" s="371"/>
      <c r="K810" s="371"/>
      <c r="L810" s="371"/>
      <c r="M810" s="371"/>
      <c r="N810" s="371"/>
      <c r="O810" s="371"/>
      <c r="P810" s="371"/>
      <c r="Q810" s="371"/>
      <c r="R810" s="371"/>
      <c r="S810" s="371"/>
      <c r="T810" s="371"/>
      <c r="U810" s="371"/>
      <c r="V810" s="371"/>
      <c r="W810" s="371"/>
      <c r="X810" s="371"/>
      <c r="Y810" s="371"/>
    </row>
    <row r="811" ht="28.5" customHeight="1">
      <c r="A811" s="371"/>
      <c r="B811" s="307"/>
      <c r="C811" s="307"/>
      <c r="D811" s="307"/>
      <c r="E811" s="307"/>
      <c r="F811" s="307"/>
      <c r="G811" s="307"/>
      <c r="H811" s="371"/>
      <c r="I811" s="371"/>
      <c r="J811" s="371"/>
      <c r="K811" s="371"/>
      <c r="L811" s="371"/>
      <c r="M811" s="371"/>
      <c r="N811" s="371"/>
      <c r="O811" s="371"/>
      <c r="P811" s="371"/>
      <c r="Q811" s="371"/>
      <c r="R811" s="371"/>
      <c r="S811" s="371"/>
      <c r="T811" s="371"/>
      <c r="U811" s="371"/>
      <c r="V811" s="371"/>
      <c r="W811" s="371"/>
      <c r="X811" s="371"/>
      <c r="Y811" s="371"/>
    </row>
    <row r="812" ht="28.5" customHeight="1">
      <c r="A812" s="371"/>
      <c r="B812" s="307"/>
      <c r="C812" s="307"/>
      <c r="D812" s="307"/>
      <c r="E812" s="307"/>
      <c r="F812" s="307"/>
      <c r="G812" s="307"/>
      <c r="H812" s="371"/>
      <c r="I812" s="371"/>
      <c r="J812" s="371"/>
      <c r="K812" s="371"/>
      <c r="L812" s="371"/>
      <c r="M812" s="371"/>
      <c r="N812" s="371"/>
      <c r="O812" s="371"/>
      <c r="P812" s="371"/>
      <c r="Q812" s="371"/>
      <c r="R812" s="371"/>
      <c r="S812" s="371"/>
      <c r="T812" s="371"/>
      <c r="U812" s="371"/>
      <c r="V812" s="371"/>
      <c r="W812" s="371"/>
      <c r="X812" s="371"/>
      <c r="Y812" s="371"/>
    </row>
    <row r="813" ht="28.5" customHeight="1">
      <c r="A813" s="371"/>
      <c r="B813" s="307"/>
      <c r="C813" s="307"/>
      <c r="D813" s="307"/>
      <c r="E813" s="307"/>
      <c r="F813" s="307"/>
      <c r="G813" s="307"/>
      <c r="H813" s="371"/>
      <c r="I813" s="371"/>
      <c r="J813" s="371"/>
      <c r="K813" s="371"/>
      <c r="L813" s="371"/>
      <c r="M813" s="371"/>
      <c r="N813" s="371"/>
      <c r="O813" s="371"/>
      <c r="P813" s="371"/>
      <c r="Q813" s="371"/>
      <c r="R813" s="371"/>
      <c r="S813" s="371"/>
      <c r="T813" s="371"/>
      <c r="U813" s="371"/>
      <c r="V813" s="371"/>
      <c r="W813" s="371"/>
      <c r="X813" s="371"/>
      <c r="Y813" s="371"/>
    </row>
    <row r="814" ht="28.5" customHeight="1">
      <c r="A814" s="371"/>
      <c r="B814" s="307"/>
      <c r="C814" s="307"/>
      <c r="D814" s="307"/>
      <c r="E814" s="307"/>
      <c r="F814" s="307"/>
      <c r="G814" s="307"/>
      <c r="H814" s="371"/>
      <c r="I814" s="371"/>
      <c r="J814" s="371"/>
      <c r="K814" s="371"/>
      <c r="L814" s="371"/>
      <c r="M814" s="371"/>
      <c r="N814" s="371"/>
      <c r="O814" s="371"/>
      <c r="P814" s="371"/>
      <c r="Q814" s="371"/>
      <c r="R814" s="371"/>
      <c r="S814" s="371"/>
      <c r="T814" s="371"/>
      <c r="U814" s="371"/>
      <c r="V814" s="371"/>
      <c r="W814" s="371"/>
      <c r="X814" s="371"/>
      <c r="Y814" s="371"/>
    </row>
    <row r="815" ht="28.5" customHeight="1">
      <c r="A815" s="371"/>
      <c r="B815" s="307"/>
      <c r="C815" s="307"/>
      <c r="D815" s="307"/>
      <c r="E815" s="307"/>
      <c r="F815" s="307"/>
      <c r="G815" s="307"/>
      <c r="H815" s="371"/>
      <c r="I815" s="371"/>
      <c r="J815" s="371"/>
      <c r="K815" s="371"/>
      <c r="L815" s="371"/>
      <c r="M815" s="371"/>
      <c r="N815" s="371"/>
      <c r="O815" s="371"/>
      <c r="P815" s="371"/>
      <c r="Q815" s="371"/>
      <c r="R815" s="371"/>
      <c r="S815" s="371"/>
      <c r="T815" s="371"/>
      <c r="U815" s="371"/>
      <c r="V815" s="371"/>
      <c r="W815" s="371"/>
      <c r="X815" s="371"/>
      <c r="Y815" s="371"/>
    </row>
    <row r="816" ht="28.5" customHeight="1">
      <c r="A816" s="371"/>
      <c r="B816" s="307"/>
      <c r="C816" s="307"/>
      <c r="D816" s="307"/>
      <c r="E816" s="307"/>
      <c r="F816" s="307"/>
      <c r="G816" s="307"/>
      <c r="H816" s="371"/>
      <c r="I816" s="371"/>
      <c r="J816" s="371"/>
      <c r="K816" s="371"/>
      <c r="L816" s="371"/>
      <c r="M816" s="371"/>
      <c r="N816" s="371"/>
      <c r="O816" s="371"/>
      <c r="P816" s="371"/>
      <c r="Q816" s="371"/>
      <c r="R816" s="371"/>
      <c r="S816" s="371"/>
      <c r="T816" s="371"/>
      <c r="U816" s="371"/>
      <c r="V816" s="371"/>
      <c r="W816" s="371"/>
      <c r="X816" s="371"/>
      <c r="Y816" s="371"/>
    </row>
    <row r="817" ht="28.5" customHeight="1">
      <c r="A817" s="371"/>
      <c r="B817" s="307"/>
      <c r="C817" s="307"/>
      <c r="D817" s="307"/>
      <c r="E817" s="307"/>
      <c r="F817" s="307"/>
      <c r="G817" s="307"/>
      <c r="H817" s="371"/>
      <c r="I817" s="371"/>
      <c r="J817" s="371"/>
      <c r="K817" s="371"/>
      <c r="L817" s="371"/>
      <c r="M817" s="371"/>
      <c r="N817" s="371"/>
      <c r="O817" s="371"/>
      <c r="P817" s="371"/>
      <c r="Q817" s="371"/>
      <c r="R817" s="371"/>
      <c r="S817" s="371"/>
      <c r="T817" s="371"/>
      <c r="U817" s="371"/>
      <c r="V817" s="371"/>
      <c r="W817" s="371"/>
      <c r="X817" s="371"/>
      <c r="Y817" s="371"/>
    </row>
    <row r="818" ht="28.5" customHeight="1">
      <c r="A818" s="371"/>
      <c r="B818" s="307"/>
      <c r="C818" s="307"/>
      <c r="D818" s="307"/>
      <c r="E818" s="307"/>
      <c r="F818" s="307"/>
      <c r="G818" s="307"/>
      <c r="H818" s="371"/>
      <c r="I818" s="371"/>
      <c r="J818" s="371"/>
      <c r="K818" s="371"/>
      <c r="L818" s="371"/>
      <c r="M818" s="371"/>
      <c r="N818" s="371"/>
      <c r="O818" s="371"/>
      <c r="P818" s="371"/>
      <c r="Q818" s="371"/>
      <c r="R818" s="371"/>
      <c r="S818" s="371"/>
      <c r="T818" s="371"/>
      <c r="U818" s="371"/>
      <c r="V818" s="371"/>
      <c r="W818" s="371"/>
      <c r="X818" s="371"/>
      <c r="Y818" s="371"/>
    </row>
    <row r="819" ht="28.5" customHeight="1">
      <c r="A819" s="371"/>
      <c r="B819" s="307"/>
      <c r="C819" s="307"/>
      <c r="D819" s="307"/>
      <c r="E819" s="307"/>
      <c r="F819" s="307"/>
      <c r="G819" s="307"/>
      <c r="H819" s="371"/>
      <c r="I819" s="371"/>
      <c r="J819" s="371"/>
      <c r="K819" s="371"/>
      <c r="L819" s="371"/>
      <c r="M819" s="371"/>
      <c r="N819" s="371"/>
      <c r="O819" s="371"/>
      <c r="P819" s="371"/>
      <c r="Q819" s="371"/>
      <c r="R819" s="371"/>
      <c r="S819" s="371"/>
      <c r="T819" s="371"/>
      <c r="U819" s="371"/>
      <c r="V819" s="371"/>
      <c r="W819" s="371"/>
      <c r="X819" s="371"/>
      <c r="Y819" s="371"/>
    </row>
    <row r="820" ht="28.5" customHeight="1">
      <c r="A820" s="371"/>
      <c r="B820" s="307"/>
      <c r="C820" s="307"/>
      <c r="D820" s="307"/>
      <c r="E820" s="307"/>
      <c r="F820" s="307"/>
      <c r="G820" s="307"/>
      <c r="H820" s="371"/>
      <c r="I820" s="371"/>
      <c r="J820" s="371"/>
      <c r="K820" s="371"/>
      <c r="L820" s="371"/>
      <c r="M820" s="371"/>
      <c r="N820" s="371"/>
      <c r="O820" s="371"/>
      <c r="P820" s="371"/>
      <c r="Q820" s="371"/>
      <c r="R820" s="371"/>
      <c r="S820" s="371"/>
      <c r="T820" s="371"/>
      <c r="U820" s="371"/>
      <c r="V820" s="371"/>
      <c r="W820" s="371"/>
      <c r="X820" s="371"/>
      <c r="Y820" s="371"/>
    </row>
    <row r="821" ht="28.5" customHeight="1">
      <c r="A821" s="371"/>
      <c r="B821" s="307"/>
      <c r="C821" s="307"/>
      <c r="D821" s="307"/>
      <c r="E821" s="307"/>
      <c r="F821" s="307"/>
      <c r="G821" s="307"/>
      <c r="H821" s="371"/>
      <c r="I821" s="371"/>
      <c r="J821" s="371"/>
      <c r="K821" s="371"/>
      <c r="L821" s="371"/>
      <c r="M821" s="371"/>
      <c r="N821" s="371"/>
      <c r="O821" s="371"/>
      <c r="P821" s="371"/>
      <c r="Q821" s="371"/>
      <c r="R821" s="371"/>
      <c r="S821" s="371"/>
      <c r="T821" s="371"/>
      <c r="U821" s="371"/>
      <c r="V821" s="371"/>
      <c r="W821" s="371"/>
      <c r="X821" s="371"/>
      <c r="Y821" s="371"/>
    </row>
    <row r="822" ht="28.5" customHeight="1">
      <c r="A822" s="371"/>
      <c r="B822" s="307"/>
      <c r="C822" s="307"/>
      <c r="D822" s="307"/>
      <c r="E822" s="307"/>
      <c r="F822" s="307"/>
      <c r="G822" s="307"/>
      <c r="H822" s="371"/>
      <c r="I822" s="371"/>
      <c r="J822" s="371"/>
      <c r="K822" s="371"/>
      <c r="L822" s="371"/>
      <c r="M822" s="371"/>
      <c r="N822" s="371"/>
      <c r="O822" s="371"/>
      <c r="P822" s="371"/>
      <c r="Q822" s="371"/>
      <c r="R822" s="371"/>
      <c r="S822" s="371"/>
      <c r="T822" s="371"/>
      <c r="U822" s="371"/>
      <c r="V822" s="371"/>
      <c r="W822" s="371"/>
      <c r="X822" s="371"/>
      <c r="Y822" s="371"/>
    </row>
    <row r="823" ht="28.5" customHeight="1">
      <c r="A823" s="371"/>
      <c r="B823" s="307"/>
      <c r="C823" s="307"/>
      <c r="D823" s="307"/>
      <c r="E823" s="307"/>
      <c r="F823" s="307"/>
      <c r="G823" s="307"/>
      <c r="H823" s="371"/>
      <c r="I823" s="371"/>
      <c r="J823" s="371"/>
      <c r="K823" s="371"/>
      <c r="L823" s="371"/>
      <c r="M823" s="371"/>
      <c r="N823" s="371"/>
      <c r="O823" s="371"/>
      <c r="P823" s="371"/>
      <c r="Q823" s="371"/>
      <c r="R823" s="371"/>
      <c r="S823" s="371"/>
      <c r="T823" s="371"/>
      <c r="U823" s="371"/>
      <c r="V823" s="371"/>
      <c r="W823" s="371"/>
      <c r="X823" s="371"/>
      <c r="Y823" s="371"/>
    </row>
    <row r="824" ht="28.5" customHeight="1">
      <c r="A824" s="371"/>
      <c r="B824" s="307"/>
      <c r="C824" s="307"/>
      <c r="D824" s="307"/>
      <c r="E824" s="307"/>
      <c r="F824" s="307"/>
      <c r="G824" s="307"/>
      <c r="H824" s="371"/>
      <c r="I824" s="371"/>
      <c r="J824" s="371"/>
      <c r="K824" s="371"/>
      <c r="L824" s="371"/>
      <c r="M824" s="371"/>
      <c r="N824" s="371"/>
      <c r="O824" s="371"/>
      <c r="P824" s="371"/>
      <c r="Q824" s="371"/>
      <c r="R824" s="371"/>
      <c r="S824" s="371"/>
      <c r="T824" s="371"/>
      <c r="U824" s="371"/>
      <c r="V824" s="371"/>
      <c r="W824" s="371"/>
      <c r="X824" s="371"/>
      <c r="Y824" s="371"/>
    </row>
    <row r="825" ht="28.5" customHeight="1">
      <c r="A825" s="371"/>
      <c r="B825" s="307"/>
      <c r="C825" s="307"/>
      <c r="D825" s="307"/>
      <c r="E825" s="307"/>
      <c r="F825" s="307"/>
      <c r="G825" s="307"/>
      <c r="H825" s="371"/>
      <c r="I825" s="371"/>
      <c r="J825" s="371"/>
      <c r="K825" s="371"/>
      <c r="L825" s="371"/>
      <c r="M825" s="371"/>
      <c r="N825" s="371"/>
      <c r="O825" s="371"/>
      <c r="P825" s="371"/>
      <c r="Q825" s="371"/>
      <c r="R825" s="371"/>
      <c r="S825" s="371"/>
      <c r="T825" s="371"/>
      <c r="U825" s="371"/>
      <c r="V825" s="371"/>
      <c r="W825" s="371"/>
      <c r="X825" s="371"/>
      <c r="Y825" s="371"/>
    </row>
    <row r="826" ht="28.5" customHeight="1">
      <c r="A826" s="371"/>
      <c r="B826" s="307"/>
      <c r="C826" s="307"/>
      <c r="D826" s="307"/>
      <c r="E826" s="307"/>
      <c r="F826" s="307"/>
      <c r="G826" s="307"/>
      <c r="H826" s="371"/>
      <c r="I826" s="371"/>
      <c r="J826" s="371"/>
      <c r="K826" s="371"/>
      <c r="L826" s="371"/>
      <c r="M826" s="371"/>
      <c r="N826" s="371"/>
      <c r="O826" s="371"/>
      <c r="P826" s="371"/>
      <c r="Q826" s="371"/>
      <c r="R826" s="371"/>
      <c r="S826" s="371"/>
      <c r="T826" s="371"/>
      <c r="U826" s="371"/>
      <c r="V826" s="371"/>
      <c r="W826" s="371"/>
      <c r="X826" s="371"/>
      <c r="Y826" s="371"/>
    </row>
    <row r="827" ht="28.5" customHeight="1">
      <c r="A827" s="371"/>
      <c r="B827" s="307"/>
      <c r="C827" s="307"/>
      <c r="D827" s="307"/>
      <c r="E827" s="307"/>
      <c r="F827" s="307"/>
      <c r="G827" s="307"/>
      <c r="H827" s="371"/>
      <c r="I827" s="371"/>
      <c r="J827" s="371"/>
      <c r="K827" s="371"/>
      <c r="L827" s="371"/>
      <c r="M827" s="371"/>
      <c r="N827" s="371"/>
      <c r="O827" s="371"/>
      <c r="P827" s="371"/>
      <c r="Q827" s="371"/>
      <c r="R827" s="371"/>
      <c r="S827" s="371"/>
      <c r="T827" s="371"/>
      <c r="U827" s="371"/>
      <c r="V827" s="371"/>
      <c r="W827" s="371"/>
      <c r="X827" s="371"/>
      <c r="Y827" s="371"/>
    </row>
    <row r="828" ht="28.5" customHeight="1">
      <c r="A828" s="371"/>
      <c r="B828" s="307"/>
      <c r="C828" s="307"/>
      <c r="D828" s="307"/>
      <c r="E828" s="307"/>
      <c r="F828" s="307"/>
      <c r="G828" s="307"/>
      <c r="H828" s="371"/>
      <c r="I828" s="371"/>
      <c r="J828" s="371"/>
      <c r="K828" s="371"/>
      <c r="L828" s="371"/>
      <c r="M828" s="371"/>
      <c r="N828" s="371"/>
      <c r="O828" s="371"/>
      <c r="P828" s="371"/>
      <c r="Q828" s="371"/>
      <c r="R828" s="371"/>
      <c r="S828" s="371"/>
      <c r="T828" s="371"/>
      <c r="U828" s="371"/>
      <c r="V828" s="371"/>
      <c r="W828" s="371"/>
      <c r="X828" s="371"/>
      <c r="Y828" s="371"/>
    </row>
    <row r="829" ht="28.5" customHeight="1">
      <c r="A829" s="371"/>
      <c r="B829" s="307"/>
      <c r="C829" s="307"/>
      <c r="D829" s="307"/>
      <c r="E829" s="307"/>
      <c r="F829" s="307"/>
      <c r="G829" s="307"/>
      <c r="H829" s="371"/>
      <c r="I829" s="371"/>
      <c r="J829" s="371"/>
      <c r="K829" s="371"/>
      <c r="L829" s="371"/>
      <c r="M829" s="371"/>
      <c r="N829" s="371"/>
      <c r="O829" s="371"/>
      <c r="P829" s="371"/>
      <c r="Q829" s="371"/>
      <c r="R829" s="371"/>
      <c r="S829" s="371"/>
      <c r="T829" s="371"/>
      <c r="U829" s="371"/>
      <c r="V829" s="371"/>
      <c r="W829" s="371"/>
      <c r="X829" s="371"/>
      <c r="Y829" s="371"/>
    </row>
    <row r="830" ht="28.5" customHeight="1">
      <c r="A830" s="371"/>
      <c r="B830" s="307"/>
      <c r="C830" s="307"/>
      <c r="D830" s="307"/>
      <c r="E830" s="307"/>
      <c r="F830" s="307"/>
      <c r="G830" s="307"/>
      <c r="H830" s="371"/>
      <c r="I830" s="371"/>
      <c r="J830" s="371"/>
      <c r="K830" s="371"/>
      <c r="L830" s="371"/>
      <c r="M830" s="371"/>
      <c r="N830" s="371"/>
      <c r="O830" s="371"/>
      <c r="P830" s="371"/>
      <c r="Q830" s="371"/>
      <c r="R830" s="371"/>
      <c r="S830" s="371"/>
      <c r="T830" s="371"/>
      <c r="U830" s="371"/>
      <c r="V830" s="371"/>
      <c r="W830" s="371"/>
      <c r="X830" s="371"/>
      <c r="Y830" s="371"/>
    </row>
    <row r="831" ht="28.5" customHeight="1">
      <c r="A831" s="371"/>
      <c r="B831" s="307"/>
      <c r="C831" s="307"/>
      <c r="D831" s="307"/>
      <c r="E831" s="307"/>
      <c r="F831" s="307"/>
      <c r="G831" s="307"/>
      <c r="H831" s="371"/>
      <c r="I831" s="371"/>
      <c r="J831" s="371"/>
      <c r="K831" s="371"/>
      <c r="L831" s="371"/>
      <c r="M831" s="371"/>
      <c r="N831" s="371"/>
      <c r="O831" s="371"/>
      <c r="P831" s="371"/>
      <c r="Q831" s="371"/>
      <c r="R831" s="371"/>
      <c r="S831" s="371"/>
      <c r="T831" s="371"/>
      <c r="U831" s="371"/>
      <c r="V831" s="371"/>
      <c r="W831" s="371"/>
      <c r="X831" s="371"/>
      <c r="Y831" s="371"/>
    </row>
    <row r="832" ht="28.5" customHeight="1">
      <c r="A832" s="371"/>
      <c r="B832" s="307"/>
      <c r="C832" s="307"/>
      <c r="D832" s="307"/>
      <c r="E832" s="307"/>
      <c r="F832" s="307"/>
      <c r="G832" s="307"/>
      <c r="H832" s="371"/>
      <c r="I832" s="371"/>
      <c r="J832" s="371"/>
      <c r="K832" s="371"/>
      <c r="L832" s="371"/>
      <c r="M832" s="371"/>
      <c r="N832" s="371"/>
      <c r="O832" s="371"/>
      <c r="P832" s="371"/>
      <c r="Q832" s="371"/>
      <c r="R832" s="371"/>
      <c r="S832" s="371"/>
      <c r="T832" s="371"/>
      <c r="U832" s="371"/>
      <c r="V832" s="371"/>
      <c r="W832" s="371"/>
      <c r="X832" s="371"/>
      <c r="Y832" s="371"/>
    </row>
    <row r="833" ht="28.5" customHeight="1">
      <c r="A833" s="371"/>
      <c r="B833" s="307"/>
      <c r="C833" s="307"/>
      <c r="D833" s="307"/>
      <c r="E833" s="307"/>
      <c r="F833" s="307"/>
      <c r="G833" s="307"/>
      <c r="H833" s="371"/>
      <c r="I833" s="371"/>
      <c r="J833" s="371"/>
      <c r="K833" s="371"/>
      <c r="L833" s="371"/>
      <c r="M833" s="371"/>
      <c r="N833" s="371"/>
      <c r="O833" s="371"/>
      <c r="P833" s="371"/>
      <c r="Q833" s="371"/>
      <c r="R833" s="371"/>
      <c r="S833" s="371"/>
      <c r="T833" s="371"/>
      <c r="U833" s="371"/>
      <c r="V833" s="371"/>
      <c r="W833" s="371"/>
      <c r="X833" s="371"/>
      <c r="Y833" s="371"/>
    </row>
    <row r="834" ht="28.5" customHeight="1">
      <c r="A834" s="371"/>
      <c r="B834" s="307"/>
      <c r="C834" s="307"/>
      <c r="D834" s="307"/>
      <c r="E834" s="307"/>
      <c r="F834" s="307"/>
      <c r="G834" s="307"/>
      <c r="H834" s="371"/>
      <c r="I834" s="371"/>
      <c r="J834" s="371"/>
      <c r="K834" s="371"/>
      <c r="L834" s="371"/>
      <c r="M834" s="371"/>
      <c r="N834" s="371"/>
      <c r="O834" s="371"/>
      <c r="P834" s="371"/>
      <c r="Q834" s="371"/>
      <c r="R834" s="371"/>
      <c r="S834" s="371"/>
      <c r="T834" s="371"/>
      <c r="U834" s="371"/>
      <c r="V834" s="371"/>
      <c r="W834" s="371"/>
      <c r="X834" s="371"/>
      <c r="Y834" s="371"/>
    </row>
    <row r="835" ht="28.5" customHeight="1">
      <c r="A835" s="371"/>
      <c r="B835" s="307"/>
      <c r="C835" s="307"/>
      <c r="D835" s="307"/>
      <c r="E835" s="307"/>
      <c r="F835" s="307"/>
      <c r="G835" s="307"/>
      <c r="H835" s="371"/>
      <c r="I835" s="371"/>
      <c r="J835" s="371"/>
      <c r="K835" s="371"/>
      <c r="L835" s="371"/>
      <c r="M835" s="371"/>
      <c r="N835" s="371"/>
      <c r="O835" s="371"/>
      <c r="P835" s="371"/>
      <c r="Q835" s="371"/>
      <c r="R835" s="371"/>
      <c r="S835" s="371"/>
      <c r="T835" s="371"/>
      <c r="U835" s="371"/>
      <c r="V835" s="371"/>
      <c r="W835" s="371"/>
      <c r="X835" s="371"/>
      <c r="Y835" s="371"/>
    </row>
    <row r="836" ht="28.5" customHeight="1">
      <c r="A836" s="371"/>
      <c r="B836" s="307"/>
      <c r="C836" s="307"/>
      <c r="D836" s="307"/>
      <c r="E836" s="307"/>
      <c r="F836" s="307"/>
      <c r="G836" s="307"/>
      <c r="H836" s="371"/>
      <c r="I836" s="371"/>
      <c r="J836" s="371"/>
      <c r="K836" s="371"/>
      <c r="L836" s="371"/>
      <c r="M836" s="371"/>
      <c r="N836" s="371"/>
      <c r="O836" s="371"/>
      <c r="P836" s="371"/>
      <c r="Q836" s="371"/>
      <c r="R836" s="371"/>
      <c r="S836" s="371"/>
      <c r="T836" s="371"/>
      <c r="U836" s="371"/>
      <c r="V836" s="371"/>
      <c r="W836" s="371"/>
      <c r="X836" s="371"/>
      <c r="Y836" s="371"/>
    </row>
    <row r="837" ht="28.5" customHeight="1">
      <c r="A837" s="371"/>
      <c r="B837" s="307"/>
      <c r="C837" s="307"/>
      <c r="D837" s="307"/>
      <c r="E837" s="307"/>
      <c r="F837" s="307"/>
      <c r="G837" s="307"/>
      <c r="H837" s="371"/>
      <c r="I837" s="371"/>
      <c r="J837" s="371"/>
      <c r="K837" s="371"/>
      <c r="L837" s="371"/>
      <c r="M837" s="371"/>
      <c r="N837" s="371"/>
      <c r="O837" s="371"/>
      <c r="P837" s="371"/>
      <c r="Q837" s="371"/>
      <c r="R837" s="371"/>
      <c r="S837" s="371"/>
      <c r="T837" s="371"/>
      <c r="U837" s="371"/>
      <c r="V837" s="371"/>
      <c r="W837" s="371"/>
      <c r="X837" s="371"/>
      <c r="Y837" s="371"/>
    </row>
    <row r="838" ht="28.5" customHeight="1">
      <c r="A838" s="371"/>
      <c r="B838" s="307"/>
      <c r="C838" s="307"/>
      <c r="D838" s="307"/>
      <c r="E838" s="307"/>
      <c r="F838" s="307"/>
      <c r="G838" s="307"/>
      <c r="H838" s="371"/>
      <c r="I838" s="371"/>
      <c r="J838" s="371"/>
      <c r="K838" s="371"/>
      <c r="L838" s="371"/>
      <c r="M838" s="371"/>
      <c r="N838" s="371"/>
      <c r="O838" s="371"/>
      <c r="P838" s="371"/>
      <c r="Q838" s="371"/>
      <c r="R838" s="371"/>
      <c r="S838" s="371"/>
      <c r="T838" s="371"/>
      <c r="U838" s="371"/>
      <c r="V838" s="371"/>
      <c r="W838" s="371"/>
      <c r="X838" s="371"/>
      <c r="Y838" s="371"/>
    </row>
    <row r="839" ht="28.5" customHeight="1">
      <c r="A839" s="371"/>
      <c r="B839" s="307"/>
      <c r="C839" s="307"/>
      <c r="D839" s="307"/>
      <c r="E839" s="307"/>
      <c r="F839" s="307"/>
      <c r="G839" s="307"/>
      <c r="H839" s="371"/>
      <c r="I839" s="371"/>
      <c r="J839" s="371"/>
      <c r="K839" s="371"/>
      <c r="L839" s="371"/>
      <c r="M839" s="371"/>
      <c r="N839" s="371"/>
      <c r="O839" s="371"/>
      <c r="P839" s="371"/>
      <c r="Q839" s="371"/>
      <c r="R839" s="371"/>
      <c r="S839" s="371"/>
      <c r="T839" s="371"/>
      <c r="U839" s="371"/>
      <c r="V839" s="371"/>
      <c r="W839" s="371"/>
      <c r="X839" s="371"/>
      <c r="Y839" s="371"/>
    </row>
    <row r="840" ht="28.5" customHeight="1">
      <c r="A840" s="371"/>
      <c r="B840" s="307"/>
      <c r="C840" s="307"/>
      <c r="D840" s="307"/>
      <c r="E840" s="307"/>
      <c r="F840" s="307"/>
      <c r="G840" s="307"/>
      <c r="H840" s="371"/>
      <c r="I840" s="371"/>
      <c r="J840" s="371"/>
      <c r="K840" s="371"/>
      <c r="L840" s="371"/>
      <c r="M840" s="371"/>
      <c r="N840" s="371"/>
      <c r="O840" s="371"/>
      <c r="P840" s="371"/>
      <c r="Q840" s="371"/>
      <c r="R840" s="371"/>
      <c r="S840" s="371"/>
      <c r="T840" s="371"/>
      <c r="U840" s="371"/>
      <c r="V840" s="371"/>
      <c r="W840" s="371"/>
      <c r="X840" s="371"/>
      <c r="Y840" s="371"/>
    </row>
    <row r="841" ht="28.5" customHeight="1">
      <c r="A841" s="371"/>
      <c r="B841" s="307"/>
      <c r="C841" s="307"/>
      <c r="D841" s="307"/>
      <c r="E841" s="307"/>
      <c r="F841" s="307"/>
      <c r="G841" s="307"/>
      <c r="H841" s="371"/>
      <c r="I841" s="371"/>
      <c r="J841" s="371"/>
      <c r="K841" s="371"/>
      <c r="L841" s="371"/>
      <c r="M841" s="371"/>
      <c r="N841" s="371"/>
      <c r="O841" s="371"/>
      <c r="P841" s="371"/>
      <c r="Q841" s="371"/>
      <c r="R841" s="371"/>
      <c r="S841" s="371"/>
      <c r="T841" s="371"/>
      <c r="U841" s="371"/>
      <c r="V841" s="371"/>
      <c r="W841" s="371"/>
      <c r="X841" s="371"/>
      <c r="Y841" s="371"/>
    </row>
    <row r="842" ht="28.5" customHeight="1">
      <c r="A842" s="371"/>
      <c r="B842" s="307"/>
      <c r="C842" s="307"/>
      <c r="D842" s="307"/>
      <c r="E842" s="307"/>
      <c r="F842" s="307"/>
      <c r="G842" s="307"/>
      <c r="H842" s="371"/>
      <c r="I842" s="371"/>
      <c r="J842" s="371"/>
      <c r="K842" s="371"/>
      <c r="L842" s="371"/>
      <c r="M842" s="371"/>
      <c r="N842" s="371"/>
      <c r="O842" s="371"/>
      <c r="P842" s="371"/>
      <c r="Q842" s="371"/>
      <c r="R842" s="371"/>
      <c r="S842" s="371"/>
      <c r="T842" s="371"/>
      <c r="U842" s="371"/>
      <c r="V842" s="371"/>
      <c r="W842" s="371"/>
      <c r="X842" s="371"/>
      <c r="Y842" s="371"/>
    </row>
    <row r="843" ht="28.5" customHeight="1">
      <c r="A843" s="371"/>
      <c r="B843" s="307"/>
      <c r="C843" s="307"/>
      <c r="D843" s="307"/>
      <c r="E843" s="307"/>
      <c r="F843" s="307"/>
      <c r="G843" s="307"/>
      <c r="H843" s="371"/>
      <c r="I843" s="371"/>
      <c r="J843" s="371"/>
      <c r="K843" s="371"/>
      <c r="L843" s="371"/>
      <c r="M843" s="371"/>
      <c r="N843" s="371"/>
      <c r="O843" s="371"/>
      <c r="P843" s="371"/>
      <c r="Q843" s="371"/>
      <c r="R843" s="371"/>
      <c r="S843" s="371"/>
      <c r="T843" s="371"/>
      <c r="U843" s="371"/>
      <c r="V843" s="371"/>
      <c r="W843" s="371"/>
      <c r="X843" s="371"/>
      <c r="Y843" s="371"/>
    </row>
    <row r="844" ht="28.5" customHeight="1">
      <c r="A844" s="371"/>
      <c r="B844" s="307"/>
      <c r="C844" s="307"/>
      <c r="D844" s="307"/>
      <c r="E844" s="307"/>
      <c r="F844" s="307"/>
      <c r="G844" s="307"/>
      <c r="H844" s="371"/>
      <c r="I844" s="371"/>
      <c r="J844" s="371"/>
      <c r="K844" s="371"/>
      <c r="L844" s="371"/>
      <c r="M844" s="371"/>
      <c r="N844" s="371"/>
      <c r="O844" s="371"/>
      <c r="P844" s="371"/>
      <c r="Q844" s="371"/>
      <c r="R844" s="371"/>
      <c r="S844" s="371"/>
      <c r="T844" s="371"/>
      <c r="U844" s="371"/>
      <c r="V844" s="371"/>
      <c r="W844" s="371"/>
      <c r="X844" s="371"/>
      <c r="Y844" s="371"/>
    </row>
    <row r="845" ht="28.5" customHeight="1">
      <c r="A845" s="371"/>
      <c r="B845" s="307"/>
      <c r="C845" s="307"/>
      <c r="D845" s="307"/>
      <c r="E845" s="307"/>
      <c r="F845" s="307"/>
      <c r="G845" s="307"/>
      <c r="H845" s="371"/>
      <c r="I845" s="371"/>
      <c r="J845" s="371"/>
      <c r="K845" s="371"/>
      <c r="L845" s="371"/>
      <c r="M845" s="371"/>
      <c r="N845" s="371"/>
      <c r="O845" s="371"/>
      <c r="P845" s="371"/>
      <c r="Q845" s="371"/>
      <c r="R845" s="371"/>
      <c r="S845" s="371"/>
      <c r="T845" s="371"/>
      <c r="U845" s="371"/>
      <c r="V845" s="371"/>
      <c r="W845" s="371"/>
      <c r="X845" s="371"/>
      <c r="Y845" s="371"/>
    </row>
    <row r="846" ht="28.5" customHeight="1">
      <c r="A846" s="371"/>
      <c r="B846" s="307"/>
      <c r="C846" s="307"/>
      <c r="D846" s="307"/>
      <c r="E846" s="307"/>
      <c r="F846" s="307"/>
      <c r="G846" s="307"/>
      <c r="H846" s="371"/>
      <c r="I846" s="371"/>
      <c r="J846" s="371"/>
      <c r="K846" s="371"/>
      <c r="L846" s="371"/>
      <c r="M846" s="371"/>
      <c r="N846" s="371"/>
      <c r="O846" s="371"/>
      <c r="P846" s="371"/>
      <c r="Q846" s="371"/>
      <c r="R846" s="371"/>
      <c r="S846" s="371"/>
      <c r="T846" s="371"/>
      <c r="U846" s="371"/>
      <c r="V846" s="371"/>
      <c r="W846" s="371"/>
      <c r="X846" s="371"/>
      <c r="Y846" s="371"/>
    </row>
    <row r="847" ht="28.5" customHeight="1">
      <c r="A847" s="371"/>
      <c r="B847" s="307"/>
      <c r="C847" s="307"/>
      <c r="D847" s="307"/>
      <c r="E847" s="307"/>
      <c r="F847" s="307"/>
      <c r="G847" s="307"/>
      <c r="H847" s="371"/>
      <c r="I847" s="371"/>
      <c r="J847" s="371"/>
      <c r="K847" s="371"/>
      <c r="L847" s="371"/>
      <c r="M847" s="371"/>
      <c r="N847" s="371"/>
      <c r="O847" s="371"/>
      <c r="P847" s="371"/>
      <c r="Q847" s="371"/>
      <c r="R847" s="371"/>
      <c r="S847" s="371"/>
      <c r="T847" s="371"/>
      <c r="U847" s="371"/>
      <c r="V847" s="371"/>
      <c r="W847" s="371"/>
      <c r="X847" s="371"/>
      <c r="Y847" s="371"/>
    </row>
    <row r="848" ht="28.5" customHeight="1">
      <c r="A848" s="371"/>
      <c r="B848" s="307"/>
      <c r="C848" s="307"/>
      <c r="D848" s="307"/>
      <c r="E848" s="307"/>
      <c r="F848" s="307"/>
      <c r="G848" s="307"/>
      <c r="H848" s="371"/>
      <c r="I848" s="371"/>
      <c r="J848" s="371"/>
      <c r="K848" s="371"/>
      <c r="L848" s="371"/>
      <c r="M848" s="371"/>
      <c r="N848" s="371"/>
      <c r="O848" s="371"/>
      <c r="P848" s="371"/>
      <c r="Q848" s="371"/>
      <c r="R848" s="371"/>
      <c r="S848" s="371"/>
      <c r="T848" s="371"/>
      <c r="U848" s="371"/>
      <c r="V848" s="371"/>
      <c r="W848" s="371"/>
      <c r="X848" s="371"/>
      <c r="Y848" s="371"/>
    </row>
    <row r="849" ht="28.5" customHeight="1">
      <c r="A849" s="371"/>
      <c r="B849" s="307"/>
      <c r="C849" s="307"/>
      <c r="D849" s="307"/>
      <c r="E849" s="307"/>
      <c r="F849" s="307"/>
      <c r="G849" s="307"/>
      <c r="H849" s="371"/>
      <c r="I849" s="371"/>
      <c r="J849" s="371"/>
      <c r="K849" s="371"/>
      <c r="L849" s="371"/>
      <c r="M849" s="371"/>
      <c r="N849" s="371"/>
      <c r="O849" s="371"/>
      <c r="P849" s="371"/>
      <c r="Q849" s="371"/>
      <c r="R849" s="371"/>
      <c r="S849" s="371"/>
      <c r="T849" s="371"/>
      <c r="U849" s="371"/>
      <c r="V849" s="371"/>
      <c r="W849" s="371"/>
      <c r="X849" s="371"/>
      <c r="Y849" s="371"/>
    </row>
    <row r="850" ht="28.5" customHeight="1">
      <c r="A850" s="371"/>
      <c r="B850" s="307"/>
      <c r="C850" s="307"/>
      <c r="D850" s="307"/>
      <c r="E850" s="307"/>
      <c r="F850" s="307"/>
      <c r="G850" s="307"/>
      <c r="H850" s="371"/>
      <c r="I850" s="371"/>
      <c r="J850" s="371"/>
      <c r="K850" s="371"/>
      <c r="L850" s="371"/>
      <c r="M850" s="371"/>
      <c r="N850" s="371"/>
      <c r="O850" s="371"/>
      <c r="P850" s="371"/>
      <c r="Q850" s="371"/>
      <c r="R850" s="371"/>
      <c r="S850" s="371"/>
      <c r="T850" s="371"/>
      <c r="U850" s="371"/>
      <c r="V850" s="371"/>
      <c r="W850" s="371"/>
      <c r="X850" s="371"/>
      <c r="Y850" s="371"/>
    </row>
    <row r="851" ht="28.5" customHeight="1">
      <c r="A851" s="371"/>
      <c r="B851" s="307"/>
      <c r="C851" s="307"/>
      <c r="D851" s="307"/>
      <c r="E851" s="307"/>
      <c r="F851" s="307"/>
      <c r="G851" s="307"/>
      <c r="H851" s="371"/>
      <c r="I851" s="371"/>
      <c r="J851" s="371"/>
      <c r="K851" s="371"/>
      <c r="L851" s="371"/>
      <c r="M851" s="371"/>
      <c r="N851" s="371"/>
      <c r="O851" s="371"/>
      <c r="P851" s="371"/>
      <c r="Q851" s="371"/>
      <c r="R851" s="371"/>
      <c r="S851" s="371"/>
      <c r="T851" s="371"/>
      <c r="U851" s="371"/>
      <c r="V851" s="371"/>
      <c r="W851" s="371"/>
      <c r="X851" s="371"/>
      <c r="Y851" s="371"/>
    </row>
    <row r="852" ht="28.5" customHeight="1">
      <c r="A852" s="371"/>
      <c r="B852" s="307"/>
      <c r="C852" s="307"/>
      <c r="D852" s="307"/>
      <c r="E852" s="307"/>
      <c r="F852" s="307"/>
      <c r="G852" s="307"/>
      <c r="H852" s="371"/>
      <c r="I852" s="371"/>
      <c r="J852" s="371"/>
      <c r="K852" s="371"/>
      <c r="L852" s="371"/>
      <c r="M852" s="371"/>
      <c r="N852" s="371"/>
      <c r="O852" s="371"/>
      <c r="P852" s="371"/>
      <c r="Q852" s="371"/>
      <c r="R852" s="371"/>
      <c r="S852" s="371"/>
      <c r="T852" s="371"/>
      <c r="U852" s="371"/>
      <c r="V852" s="371"/>
      <c r="W852" s="371"/>
      <c r="X852" s="371"/>
      <c r="Y852" s="371"/>
    </row>
    <row r="853" ht="28.5" customHeight="1">
      <c r="A853" s="371"/>
      <c r="B853" s="307"/>
      <c r="C853" s="307"/>
      <c r="D853" s="307"/>
      <c r="E853" s="307"/>
      <c r="F853" s="307"/>
      <c r="G853" s="307"/>
      <c r="H853" s="371"/>
      <c r="I853" s="371"/>
      <c r="J853" s="371"/>
      <c r="K853" s="371"/>
      <c r="L853" s="371"/>
      <c r="M853" s="371"/>
      <c r="N853" s="371"/>
      <c r="O853" s="371"/>
      <c r="P853" s="371"/>
      <c r="Q853" s="371"/>
      <c r="R853" s="371"/>
      <c r="S853" s="371"/>
      <c r="T853" s="371"/>
      <c r="U853" s="371"/>
      <c r="V853" s="371"/>
      <c r="W853" s="371"/>
      <c r="X853" s="371"/>
      <c r="Y853" s="371"/>
    </row>
    <row r="854" ht="28.5" customHeight="1">
      <c r="A854" s="371"/>
      <c r="B854" s="307"/>
      <c r="C854" s="307"/>
      <c r="D854" s="307"/>
      <c r="E854" s="307"/>
      <c r="F854" s="307"/>
      <c r="G854" s="307"/>
      <c r="H854" s="371"/>
      <c r="I854" s="371"/>
      <c r="J854" s="371"/>
      <c r="K854" s="371"/>
      <c r="L854" s="371"/>
      <c r="M854" s="371"/>
      <c r="N854" s="371"/>
      <c r="O854" s="371"/>
      <c r="P854" s="371"/>
      <c r="Q854" s="371"/>
      <c r="R854" s="371"/>
      <c r="S854" s="371"/>
      <c r="T854" s="371"/>
      <c r="U854" s="371"/>
      <c r="V854" s="371"/>
      <c r="W854" s="371"/>
      <c r="X854" s="371"/>
      <c r="Y854" s="371"/>
    </row>
    <row r="855" ht="28.5" customHeight="1">
      <c r="A855" s="371"/>
      <c r="B855" s="307"/>
      <c r="C855" s="307"/>
      <c r="D855" s="307"/>
      <c r="E855" s="307"/>
      <c r="F855" s="307"/>
      <c r="G855" s="307"/>
      <c r="H855" s="371"/>
      <c r="I855" s="371"/>
      <c r="J855" s="371"/>
      <c r="K855" s="371"/>
      <c r="L855" s="371"/>
      <c r="M855" s="371"/>
      <c r="N855" s="371"/>
      <c r="O855" s="371"/>
      <c r="P855" s="371"/>
      <c r="Q855" s="371"/>
      <c r="R855" s="371"/>
      <c r="S855" s="371"/>
      <c r="T855" s="371"/>
      <c r="U855" s="371"/>
      <c r="V855" s="371"/>
      <c r="W855" s="371"/>
      <c r="X855" s="371"/>
      <c r="Y855" s="371"/>
    </row>
    <row r="856" ht="28.5" customHeight="1">
      <c r="A856" s="371"/>
      <c r="B856" s="307"/>
      <c r="C856" s="307"/>
      <c r="D856" s="307"/>
      <c r="E856" s="307"/>
      <c r="F856" s="307"/>
      <c r="G856" s="307"/>
      <c r="H856" s="371"/>
      <c r="I856" s="371"/>
      <c r="J856" s="371"/>
      <c r="K856" s="371"/>
      <c r="L856" s="371"/>
      <c r="M856" s="371"/>
      <c r="N856" s="371"/>
      <c r="O856" s="371"/>
      <c r="P856" s="371"/>
      <c r="Q856" s="371"/>
      <c r="R856" s="371"/>
      <c r="S856" s="371"/>
      <c r="T856" s="371"/>
      <c r="U856" s="371"/>
      <c r="V856" s="371"/>
      <c r="W856" s="371"/>
      <c r="X856" s="371"/>
      <c r="Y856" s="371"/>
    </row>
    <row r="857" ht="28.5" customHeight="1">
      <c r="A857" s="371"/>
      <c r="B857" s="307"/>
      <c r="C857" s="307"/>
      <c r="D857" s="307"/>
      <c r="E857" s="307"/>
      <c r="F857" s="307"/>
      <c r="G857" s="307"/>
      <c r="H857" s="371"/>
      <c r="I857" s="371"/>
      <c r="J857" s="371"/>
      <c r="K857" s="371"/>
      <c r="L857" s="371"/>
      <c r="M857" s="371"/>
      <c r="N857" s="371"/>
      <c r="O857" s="371"/>
      <c r="P857" s="371"/>
      <c r="Q857" s="371"/>
      <c r="R857" s="371"/>
      <c r="S857" s="371"/>
      <c r="T857" s="371"/>
      <c r="U857" s="371"/>
      <c r="V857" s="371"/>
      <c r="W857" s="371"/>
      <c r="X857" s="371"/>
      <c r="Y857" s="371"/>
    </row>
    <row r="858" ht="28.5" customHeight="1">
      <c r="A858" s="371"/>
      <c r="B858" s="307"/>
      <c r="C858" s="307"/>
      <c r="D858" s="307"/>
      <c r="E858" s="307"/>
      <c r="F858" s="307"/>
      <c r="G858" s="307"/>
      <c r="H858" s="371"/>
      <c r="I858" s="371"/>
      <c r="J858" s="371"/>
      <c r="K858" s="371"/>
      <c r="L858" s="371"/>
      <c r="M858" s="371"/>
      <c r="N858" s="371"/>
      <c r="O858" s="371"/>
      <c r="P858" s="371"/>
      <c r="Q858" s="371"/>
      <c r="R858" s="371"/>
      <c r="S858" s="371"/>
      <c r="T858" s="371"/>
      <c r="U858" s="371"/>
      <c r="V858" s="371"/>
      <c r="W858" s="371"/>
      <c r="X858" s="371"/>
      <c r="Y858" s="371"/>
    </row>
    <row r="859" ht="28.5" customHeight="1">
      <c r="A859" s="371"/>
      <c r="B859" s="307"/>
      <c r="C859" s="307"/>
      <c r="D859" s="307"/>
      <c r="E859" s="307"/>
      <c r="F859" s="307"/>
      <c r="G859" s="307"/>
      <c r="H859" s="371"/>
      <c r="I859" s="371"/>
      <c r="J859" s="371"/>
      <c r="K859" s="371"/>
      <c r="L859" s="371"/>
      <c r="M859" s="371"/>
      <c r="N859" s="371"/>
      <c r="O859" s="371"/>
      <c r="P859" s="371"/>
      <c r="Q859" s="371"/>
      <c r="R859" s="371"/>
      <c r="S859" s="371"/>
      <c r="T859" s="371"/>
      <c r="U859" s="371"/>
      <c r="V859" s="371"/>
      <c r="W859" s="371"/>
      <c r="X859" s="371"/>
      <c r="Y859" s="371"/>
    </row>
    <row r="860" ht="28.5" customHeight="1">
      <c r="A860" s="371"/>
      <c r="B860" s="307"/>
      <c r="C860" s="307"/>
      <c r="D860" s="307"/>
      <c r="E860" s="307"/>
      <c r="F860" s="307"/>
      <c r="G860" s="307"/>
      <c r="H860" s="371"/>
      <c r="I860" s="371"/>
      <c r="J860" s="371"/>
      <c r="K860" s="371"/>
      <c r="L860" s="371"/>
      <c r="M860" s="371"/>
      <c r="N860" s="371"/>
      <c r="O860" s="371"/>
      <c r="P860" s="371"/>
      <c r="Q860" s="371"/>
      <c r="R860" s="371"/>
      <c r="S860" s="371"/>
      <c r="T860" s="371"/>
      <c r="U860" s="371"/>
      <c r="V860" s="371"/>
      <c r="W860" s="371"/>
      <c r="X860" s="371"/>
      <c r="Y860" s="371"/>
    </row>
    <row r="861" ht="28.5" customHeight="1">
      <c r="A861" s="371"/>
      <c r="B861" s="307"/>
      <c r="C861" s="307"/>
      <c r="D861" s="307"/>
      <c r="E861" s="307"/>
      <c r="F861" s="307"/>
      <c r="G861" s="307"/>
      <c r="H861" s="371"/>
      <c r="I861" s="371"/>
      <c r="J861" s="371"/>
      <c r="K861" s="371"/>
      <c r="L861" s="371"/>
      <c r="M861" s="371"/>
      <c r="N861" s="371"/>
      <c r="O861" s="371"/>
      <c r="P861" s="371"/>
      <c r="Q861" s="371"/>
      <c r="R861" s="371"/>
      <c r="S861" s="371"/>
      <c r="T861" s="371"/>
      <c r="U861" s="371"/>
      <c r="V861" s="371"/>
      <c r="W861" s="371"/>
      <c r="X861" s="371"/>
      <c r="Y861" s="371"/>
    </row>
    <row r="862" ht="28.5" customHeight="1">
      <c r="A862" s="371"/>
      <c r="B862" s="307"/>
      <c r="C862" s="307"/>
      <c r="D862" s="307"/>
      <c r="E862" s="307"/>
      <c r="F862" s="307"/>
      <c r="G862" s="307"/>
      <c r="H862" s="371"/>
      <c r="I862" s="371"/>
      <c r="J862" s="371"/>
      <c r="K862" s="371"/>
      <c r="L862" s="371"/>
      <c r="M862" s="371"/>
      <c r="N862" s="371"/>
      <c r="O862" s="371"/>
      <c r="P862" s="371"/>
      <c r="Q862" s="371"/>
      <c r="R862" s="371"/>
      <c r="S862" s="371"/>
      <c r="T862" s="371"/>
      <c r="U862" s="371"/>
      <c r="V862" s="371"/>
      <c r="W862" s="371"/>
      <c r="X862" s="371"/>
      <c r="Y862" s="371"/>
    </row>
    <row r="863" ht="28.5" customHeight="1">
      <c r="A863" s="371"/>
      <c r="B863" s="307"/>
      <c r="C863" s="307"/>
      <c r="D863" s="307"/>
      <c r="E863" s="307"/>
      <c r="F863" s="307"/>
      <c r="G863" s="307"/>
      <c r="H863" s="371"/>
      <c r="I863" s="371"/>
      <c r="J863" s="371"/>
      <c r="K863" s="371"/>
      <c r="L863" s="371"/>
      <c r="M863" s="371"/>
      <c r="N863" s="371"/>
      <c r="O863" s="371"/>
      <c r="P863" s="371"/>
      <c r="Q863" s="371"/>
      <c r="R863" s="371"/>
      <c r="S863" s="371"/>
      <c r="T863" s="371"/>
      <c r="U863" s="371"/>
      <c r="V863" s="371"/>
      <c r="W863" s="371"/>
      <c r="X863" s="371"/>
      <c r="Y863" s="371"/>
    </row>
    <row r="864" ht="28.5" customHeight="1">
      <c r="A864" s="371"/>
      <c r="B864" s="307"/>
      <c r="C864" s="307"/>
      <c r="D864" s="307"/>
      <c r="E864" s="307"/>
      <c r="F864" s="307"/>
      <c r="G864" s="307"/>
      <c r="H864" s="371"/>
      <c r="I864" s="371"/>
      <c r="J864" s="371"/>
      <c r="K864" s="371"/>
      <c r="L864" s="371"/>
      <c r="M864" s="371"/>
      <c r="N864" s="371"/>
      <c r="O864" s="371"/>
      <c r="P864" s="371"/>
      <c r="Q864" s="371"/>
      <c r="R864" s="371"/>
      <c r="S864" s="371"/>
      <c r="T864" s="371"/>
      <c r="U864" s="371"/>
      <c r="V864" s="371"/>
      <c r="W864" s="371"/>
      <c r="X864" s="371"/>
      <c r="Y864" s="371"/>
    </row>
    <row r="865" ht="28.5" customHeight="1">
      <c r="A865" s="371"/>
      <c r="B865" s="307"/>
      <c r="C865" s="307"/>
      <c r="D865" s="307"/>
      <c r="E865" s="307"/>
      <c r="F865" s="307"/>
      <c r="G865" s="307"/>
      <c r="H865" s="371"/>
      <c r="I865" s="371"/>
      <c r="J865" s="371"/>
      <c r="K865" s="371"/>
      <c r="L865" s="371"/>
      <c r="M865" s="371"/>
      <c r="N865" s="371"/>
      <c r="O865" s="371"/>
      <c r="P865" s="371"/>
      <c r="Q865" s="371"/>
      <c r="R865" s="371"/>
      <c r="S865" s="371"/>
      <c r="T865" s="371"/>
      <c r="U865" s="371"/>
      <c r="V865" s="371"/>
      <c r="W865" s="371"/>
      <c r="X865" s="371"/>
      <c r="Y865" s="371"/>
    </row>
    <row r="866" ht="28.5" customHeight="1">
      <c r="A866" s="371"/>
      <c r="B866" s="307"/>
      <c r="C866" s="307"/>
      <c r="D866" s="307"/>
      <c r="E866" s="307"/>
      <c r="F866" s="307"/>
      <c r="G866" s="307"/>
      <c r="H866" s="371"/>
      <c r="I866" s="371"/>
      <c r="J866" s="371"/>
      <c r="K866" s="371"/>
      <c r="L866" s="371"/>
      <c r="M866" s="371"/>
      <c r="N866" s="371"/>
      <c r="O866" s="371"/>
      <c r="P866" s="371"/>
      <c r="Q866" s="371"/>
      <c r="R866" s="371"/>
      <c r="S866" s="371"/>
      <c r="T866" s="371"/>
      <c r="U866" s="371"/>
      <c r="V866" s="371"/>
      <c r="W866" s="371"/>
      <c r="X866" s="371"/>
      <c r="Y866" s="371"/>
    </row>
    <row r="867" ht="28.5" customHeight="1">
      <c r="A867" s="371"/>
      <c r="B867" s="307"/>
      <c r="C867" s="307"/>
      <c r="D867" s="307"/>
      <c r="E867" s="307"/>
      <c r="F867" s="307"/>
      <c r="G867" s="307"/>
      <c r="H867" s="371"/>
      <c r="I867" s="371"/>
      <c r="J867" s="371"/>
      <c r="K867" s="371"/>
      <c r="L867" s="371"/>
      <c r="M867" s="371"/>
      <c r="N867" s="371"/>
      <c r="O867" s="371"/>
      <c r="P867" s="371"/>
      <c r="Q867" s="371"/>
      <c r="R867" s="371"/>
      <c r="S867" s="371"/>
      <c r="T867" s="371"/>
      <c r="U867" s="371"/>
      <c r="V867" s="371"/>
      <c r="W867" s="371"/>
      <c r="X867" s="371"/>
      <c r="Y867" s="371"/>
    </row>
    <row r="868" ht="28.5" customHeight="1">
      <c r="A868" s="371"/>
      <c r="B868" s="307"/>
      <c r="C868" s="307"/>
      <c r="D868" s="307"/>
      <c r="E868" s="307"/>
      <c r="F868" s="307"/>
      <c r="G868" s="307"/>
      <c r="H868" s="371"/>
      <c r="I868" s="371"/>
      <c r="J868" s="371"/>
      <c r="K868" s="371"/>
      <c r="L868" s="371"/>
      <c r="M868" s="371"/>
      <c r="N868" s="371"/>
      <c r="O868" s="371"/>
      <c r="P868" s="371"/>
      <c r="Q868" s="371"/>
      <c r="R868" s="371"/>
      <c r="S868" s="371"/>
      <c r="T868" s="371"/>
      <c r="U868" s="371"/>
      <c r="V868" s="371"/>
      <c r="W868" s="371"/>
      <c r="X868" s="371"/>
      <c r="Y868" s="371"/>
    </row>
    <row r="869" ht="28.5" customHeight="1">
      <c r="A869" s="371"/>
      <c r="B869" s="307"/>
      <c r="C869" s="307"/>
      <c r="D869" s="307"/>
      <c r="E869" s="307"/>
      <c r="F869" s="307"/>
      <c r="G869" s="307"/>
      <c r="H869" s="371"/>
      <c r="I869" s="371"/>
      <c r="J869" s="371"/>
      <c r="K869" s="371"/>
      <c r="L869" s="371"/>
      <c r="M869" s="371"/>
      <c r="N869" s="371"/>
      <c r="O869" s="371"/>
      <c r="P869" s="371"/>
      <c r="Q869" s="371"/>
      <c r="R869" s="371"/>
      <c r="S869" s="371"/>
      <c r="T869" s="371"/>
      <c r="U869" s="371"/>
      <c r="V869" s="371"/>
      <c r="W869" s="371"/>
      <c r="X869" s="371"/>
      <c r="Y869" s="371"/>
    </row>
    <row r="870" ht="28.5" customHeight="1">
      <c r="A870" s="371"/>
      <c r="B870" s="307"/>
      <c r="C870" s="307"/>
      <c r="D870" s="307"/>
      <c r="E870" s="307"/>
      <c r="F870" s="307"/>
      <c r="G870" s="307"/>
      <c r="H870" s="371"/>
      <c r="I870" s="371"/>
      <c r="J870" s="371"/>
      <c r="K870" s="371"/>
      <c r="L870" s="371"/>
      <c r="M870" s="371"/>
      <c r="N870" s="371"/>
      <c r="O870" s="371"/>
      <c r="P870" s="371"/>
      <c r="Q870" s="371"/>
      <c r="R870" s="371"/>
      <c r="S870" s="371"/>
      <c r="T870" s="371"/>
      <c r="U870" s="371"/>
      <c r="V870" s="371"/>
      <c r="W870" s="371"/>
      <c r="X870" s="371"/>
      <c r="Y870" s="371"/>
    </row>
    <row r="871" ht="28.5" customHeight="1">
      <c r="A871" s="371"/>
      <c r="B871" s="307"/>
      <c r="C871" s="307"/>
      <c r="D871" s="307"/>
      <c r="E871" s="307"/>
      <c r="F871" s="307"/>
      <c r="G871" s="307"/>
      <c r="H871" s="371"/>
      <c r="I871" s="371"/>
      <c r="J871" s="371"/>
      <c r="K871" s="371"/>
      <c r="L871" s="371"/>
      <c r="M871" s="371"/>
      <c r="N871" s="371"/>
      <c r="O871" s="371"/>
      <c r="P871" s="371"/>
      <c r="Q871" s="371"/>
      <c r="R871" s="371"/>
      <c r="S871" s="371"/>
      <c r="T871" s="371"/>
      <c r="U871" s="371"/>
      <c r="V871" s="371"/>
      <c r="W871" s="371"/>
      <c r="X871" s="371"/>
      <c r="Y871" s="371"/>
    </row>
    <row r="872" ht="28.5" customHeight="1">
      <c r="A872" s="371"/>
      <c r="B872" s="307"/>
      <c r="C872" s="307"/>
      <c r="D872" s="307"/>
      <c r="E872" s="307"/>
      <c r="F872" s="307"/>
      <c r="G872" s="307"/>
      <c r="H872" s="371"/>
      <c r="I872" s="371"/>
      <c r="J872" s="371"/>
      <c r="K872" s="371"/>
      <c r="L872" s="371"/>
      <c r="M872" s="371"/>
      <c r="N872" s="371"/>
      <c r="O872" s="371"/>
      <c r="P872" s="371"/>
      <c r="Q872" s="371"/>
      <c r="R872" s="371"/>
      <c r="S872" s="371"/>
      <c r="T872" s="371"/>
      <c r="U872" s="371"/>
      <c r="V872" s="371"/>
      <c r="W872" s="371"/>
      <c r="X872" s="371"/>
      <c r="Y872" s="371"/>
    </row>
    <row r="873" ht="28.5" customHeight="1">
      <c r="A873" s="371"/>
      <c r="B873" s="307"/>
      <c r="C873" s="307"/>
      <c r="D873" s="307"/>
      <c r="E873" s="307"/>
      <c r="F873" s="307"/>
      <c r="G873" s="307"/>
      <c r="H873" s="371"/>
      <c r="I873" s="371"/>
      <c r="J873" s="371"/>
      <c r="K873" s="371"/>
      <c r="L873" s="371"/>
      <c r="M873" s="371"/>
      <c r="N873" s="371"/>
      <c r="O873" s="371"/>
      <c r="P873" s="371"/>
      <c r="Q873" s="371"/>
      <c r="R873" s="371"/>
      <c r="S873" s="371"/>
      <c r="T873" s="371"/>
      <c r="U873" s="371"/>
      <c r="V873" s="371"/>
      <c r="W873" s="371"/>
      <c r="X873" s="371"/>
      <c r="Y873" s="371"/>
    </row>
    <row r="874" ht="28.5" customHeight="1">
      <c r="A874" s="371"/>
      <c r="B874" s="307"/>
      <c r="C874" s="307"/>
      <c r="D874" s="307"/>
      <c r="E874" s="307"/>
      <c r="F874" s="307"/>
      <c r="G874" s="307"/>
      <c r="H874" s="371"/>
      <c r="I874" s="371"/>
      <c r="J874" s="371"/>
      <c r="K874" s="371"/>
      <c r="L874" s="371"/>
      <c r="M874" s="371"/>
      <c r="N874" s="371"/>
      <c r="O874" s="371"/>
      <c r="P874" s="371"/>
      <c r="Q874" s="371"/>
      <c r="R874" s="371"/>
      <c r="S874" s="371"/>
      <c r="T874" s="371"/>
      <c r="U874" s="371"/>
      <c r="V874" s="371"/>
      <c r="W874" s="371"/>
      <c r="X874" s="371"/>
      <c r="Y874" s="371"/>
    </row>
    <row r="875" ht="28.5" customHeight="1">
      <c r="A875" s="371"/>
      <c r="B875" s="307"/>
      <c r="C875" s="307"/>
      <c r="D875" s="307"/>
      <c r="E875" s="307"/>
      <c r="F875" s="307"/>
      <c r="G875" s="307"/>
      <c r="H875" s="371"/>
      <c r="I875" s="371"/>
      <c r="J875" s="371"/>
      <c r="K875" s="371"/>
      <c r="L875" s="371"/>
      <c r="M875" s="371"/>
      <c r="N875" s="371"/>
      <c r="O875" s="371"/>
      <c r="P875" s="371"/>
      <c r="Q875" s="371"/>
      <c r="R875" s="371"/>
      <c r="S875" s="371"/>
      <c r="T875" s="371"/>
      <c r="U875" s="371"/>
      <c r="V875" s="371"/>
      <c r="W875" s="371"/>
      <c r="X875" s="371"/>
      <c r="Y875" s="371"/>
    </row>
    <row r="876" ht="28.5" customHeight="1">
      <c r="A876" s="371"/>
      <c r="B876" s="307"/>
      <c r="C876" s="307"/>
      <c r="D876" s="307"/>
      <c r="E876" s="307"/>
      <c r="F876" s="307"/>
      <c r="G876" s="307"/>
      <c r="H876" s="371"/>
      <c r="I876" s="371"/>
      <c r="J876" s="371"/>
      <c r="K876" s="371"/>
      <c r="L876" s="371"/>
      <c r="M876" s="371"/>
      <c r="N876" s="371"/>
      <c r="O876" s="371"/>
      <c r="P876" s="371"/>
      <c r="Q876" s="371"/>
      <c r="R876" s="371"/>
      <c r="S876" s="371"/>
      <c r="T876" s="371"/>
      <c r="U876" s="371"/>
      <c r="V876" s="371"/>
      <c r="W876" s="371"/>
      <c r="X876" s="371"/>
      <c r="Y876" s="371"/>
    </row>
    <row r="877" ht="28.5" customHeight="1">
      <c r="A877" s="371"/>
      <c r="B877" s="307"/>
      <c r="C877" s="307"/>
      <c r="D877" s="307"/>
      <c r="E877" s="307"/>
      <c r="F877" s="307"/>
      <c r="G877" s="307"/>
      <c r="H877" s="371"/>
      <c r="I877" s="371"/>
      <c r="J877" s="371"/>
      <c r="K877" s="371"/>
      <c r="L877" s="371"/>
      <c r="M877" s="371"/>
      <c r="N877" s="371"/>
      <c r="O877" s="371"/>
      <c r="P877" s="371"/>
      <c r="Q877" s="371"/>
      <c r="R877" s="371"/>
      <c r="S877" s="371"/>
      <c r="T877" s="371"/>
      <c r="U877" s="371"/>
      <c r="V877" s="371"/>
      <c r="W877" s="371"/>
      <c r="X877" s="371"/>
      <c r="Y877" s="371"/>
    </row>
    <row r="878" ht="28.5" customHeight="1">
      <c r="A878" s="371"/>
      <c r="B878" s="307"/>
      <c r="C878" s="307"/>
      <c r="D878" s="307"/>
      <c r="E878" s="307"/>
      <c r="F878" s="307"/>
      <c r="G878" s="307"/>
      <c r="H878" s="371"/>
      <c r="I878" s="371"/>
      <c r="J878" s="371"/>
      <c r="K878" s="371"/>
      <c r="L878" s="371"/>
      <c r="M878" s="371"/>
      <c r="N878" s="371"/>
      <c r="O878" s="371"/>
      <c r="P878" s="371"/>
      <c r="Q878" s="371"/>
      <c r="R878" s="371"/>
      <c r="S878" s="371"/>
      <c r="T878" s="371"/>
      <c r="U878" s="371"/>
      <c r="V878" s="371"/>
      <c r="W878" s="371"/>
      <c r="X878" s="371"/>
      <c r="Y878" s="371"/>
    </row>
    <row r="879" ht="28.5" customHeight="1">
      <c r="A879" s="371"/>
      <c r="B879" s="307"/>
      <c r="C879" s="307"/>
      <c r="D879" s="307"/>
      <c r="E879" s="307"/>
      <c r="F879" s="307"/>
      <c r="G879" s="307"/>
      <c r="H879" s="371"/>
      <c r="I879" s="371"/>
      <c r="J879" s="371"/>
      <c r="K879" s="371"/>
      <c r="L879" s="371"/>
      <c r="M879" s="371"/>
      <c r="N879" s="371"/>
      <c r="O879" s="371"/>
      <c r="P879" s="371"/>
      <c r="Q879" s="371"/>
      <c r="R879" s="371"/>
      <c r="S879" s="371"/>
      <c r="T879" s="371"/>
      <c r="U879" s="371"/>
      <c r="V879" s="371"/>
      <c r="W879" s="371"/>
      <c r="X879" s="371"/>
      <c r="Y879" s="371"/>
    </row>
    <row r="880" ht="28.5" customHeight="1">
      <c r="A880" s="371"/>
      <c r="B880" s="307"/>
      <c r="C880" s="307"/>
      <c r="D880" s="307"/>
      <c r="E880" s="307"/>
      <c r="F880" s="307"/>
      <c r="G880" s="307"/>
      <c r="H880" s="371"/>
      <c r="I880" s="371"/>
      <c r="J880" s="371"/>
      <c r="K880" s="371"/>
      <c r="L880" s="371"/>
      <c r="M880" s="371"/>
      <c r="N880" s="371"/>
      <c r="O880" s="371"/>
      <c r="P880" s="371"/>
      <c r="Q880" s="371"/>
      <c r="R880" s="371"/>
      <c r="S880" s="371"/>
      <c r="T880" s="371"/>
      <c r="U880" s="371"/>
      <c r="V880" s="371"/>
      <c r="W880" s="371"/>
      <c r="X880" s="371"/>
      <c r="Y880" s="371"/>
    </row>
    <row r="881" ht="28.5" customHeight="1">
      <c r="A881" s="371"/>
      <c r="B881" s="307"/>
      <c r="C881" s="307"/>
      <c r="D881" s="307"/>
      <c r="E881" s="307"/>
      <c r="F881" s="307"/>
      <c r="G881" s="307"/>
      <c r="H881" s="371"/>
      <c r="I881" s="371"/>
      <c r="J881" s="371"/>
      <c r="K881" s="371"/>
      <c r="L881" s="371"/>
      <c r="M881" s="371"/>
      <c r="N881" s="371"/>
      <c r="O881" s="371"/>
      <c r="P881" s="371"/>
      <c r="Q881" s="371"/>
      <c r="R881" s="371"/>
      <c r="S881" s="371"/>
      <c r="T881" s="371"/>
      <c r="U881" s="371"/>
      <c r="V881" s="371"/>
      <c r="W881" s="371"/>
      <c r="X881" s="371"/>
      <c r="Y881" s="371"/>
    </row>
    <row r="882" ht="28.5" customHeight="1">
      <c r="A882" s="371"/>
      <c r="B882" s="307"/>
      <c r="C882" s="307"/>
      <c r="D882" s="307"/>
      <c r="E882" s="307"/>
      <c r="F882" s="307"/>
      <c r="G882" s="307"/>
      <c r="H882" s="371"/>
      <c r="I882" s="371"/>
      <c r="J882" s="371"/>
      <c r="K882" s="371"/>
      <c r="L882" s="371"/>
      <c r="M882" s="371"/>
      <c r="N882" s="371"/>
      <c r="O882" s="371"/>
      <c r="P882" s="371"/>
      <c r="Q882" s="371"/>
      <c r="R882" s="371"/>
      <c r="S882" s="371"/>
      <c r="T882" s="371"/>
      <c r="U882" s="371"/>
      <c r="V882" s="371"/>
      <c r="W882" s="371"/>
      <c r="X882" s="371"/>
      <c r="Y882" s="371"/>
    </row>
    <row r="883" ht="28.5" customHeight="1">
      <c r="A883" s="371"/>
      <c r="B883" s="307"/>
      <c r="C883" s="307"/>
      <c r="D883" s="307"/>
      <c r="E883" s="307"/>
      <c r="F883" s="307"/>
      <c r="G883" s="307"/>
      <c r="H883" s="371"/>
      <c r="I883" s="371"/>
      <c r="J883" s="371"/>
      <c r="K883" s="371"/>
      <c r="L883" s="371"/>
      <c r="M883" s="371"/>
      <c r="N883" s="371"/>
      <c r="O883" s="371"/>
      <c r="P883" s="371"/>
      <c r="Q883" s="371"/>
      <c r="R883" s="371"/>
      <c r="S883" s="371"/>
      <c r="T883" s="371"/>
      <c r="U883" s="371"/>
      <c r="V883" s="371"/>
      <c r="W883" s="371"/>
      <c r="X883" s="371"/>
      <c r="Y883" s="371"/>
    </row>
    <row r="884" ht="28.5" customHeight="1">
      <c r="A884" s="371"/>
      <c r="B884" s="307"/>
      <c r="C884" s="307"/>
      <c r="D884" s="307"/>
      <c r="E884" s="307"/>
      <c r="F884" s="307"/>
      <c r="G884" s="307"/>
      <c r="H884" s="371"/>
      <c r="I884" s="371"/>
      <c r="J884" s="371"/>
      <c r="K884" s="371"/>
      <c r="L884" s="371"/>
      <c r="M884" s="371"/>
      <c r="N884" s="371"/>
      <c r="O884" s="371"/>
      <c r="P884" s="371"/>
      <c r="Q884" s="371"/>
      <c r="R884" s="371"/>
      <c r="S884" s="371"/>
      <c r="T884" s="371"/>
      <c r="U884" s="371"/>
      <c r="V884" s="371"/>
      <c r="W884" s="371"/>
      <c r="X884" s="371"/>
      <c r="Y884" s="371"/>
    </row>
    <row r="885" ht="28.5" customHeight="1">
      <c r="A885" s="371"/>
      <c r="B885" s="307"/>
      <c r="C885" s="307"/>
      <c r="D885" s="307"/>
      <c r="E885" s="307"/>
      <c r="F885" s="307"/>
      <c r="G885" s="307"/>
      <c r="H885" s="371"/>
      <c r="I885" s="371"/>
      <c r="J885" s="371"/>
      <c r="K885" s="371"/>
      <c r="L885" s="371"/>
      <c r="M885" s="371"/>
      <c r="N885" s="371"/>
      <c r="O885" s="371"/>
      <c r="P885" s="371"/>
      <c r="Q885" s="371"/>
      <c r="R885" s="371"/>
      <c r="S885" s="371"/>
      <c r="T885" s="371"/>
      <c r="U885" s="371"/>
      <c r="V885" s="371"/>
      <c r="W885" s="371"/>
      <c r="X885" s="371"/>
      <c r="Y885" s="371"/>
    </row>
    <row r="886" ht="28.5" customHeight="1">
      <c r="A886" s="371"/>
      <c r="B886" s="307"/>
      <c r="C886" s="307"/>
      <c r="D886" s="307"/>
      <c r="E886" s="307"/>
      <c r="F886" s="307"/>
      <c r="G886" s="307"/>
      <c r="H886" s="371"/>
      <c r="I886" s="371"/>
      <c r="J886" s="371"/>
      <c r="K886" s="371"/>
      <c r="L886" s="371"/>
      <c r="M886" s="371"/>
      <c r="N886" s="371"/>
      <c r="O886" s="371"/>
      <c r="P886" s="371"/>
      <c r="Q886" s="371"/>
      <c r="R886" s="371"/>
      <c r="S886" s="371"/>
      <c r="T886" s="371"/>
      <c r="U886" s="371"/>
      <c r="V886" s="371"/>
      <c r="W886" s="371"/>
      <c r="X886" s="371"/>
      <c r="Y886" s="371"/>
    </row>
    <row r="887" ht="28.5" customHeight="1">
      <c r="A887" s="371"/>
      <c r="B887" s="307"/>
      <c r="C887" s="307"/>
      <c r="D887" s="307"/>
      <c r="E887" s="307"/>
      <c r="F887" s="307"/>
      <c r="G887" s="307"/>
      <c r="H887" s="371"/>
      <c r="I887" s="371"/>
      <c r="J887" s="371"/>
      <c r="K887" s="371"/>
      <c r="L887" s="371"/>
      <c r="M887" s="371"/>
      <c r="N887" s="371"/>
      <c r="O887" s="371"/>
      <c r="P887" s="371"/>
      <c r="Q887" s="371"/>
      <c r="R887" s="371"/>
      <c r="S887" s="371"/>
      <c r="T887" s="371"/>
      <c r="U887" s="371"/>
      <c r="V887" s="371"/>
      <c r="W887" s="371"/>
      <c r="X887" s="371"/>
      <c r="Y887" s="371"/>
    </row>
    <row r="888" ht="28.5" customHeight="1">
      <c r="A888" s="371"/>
      <c r="B888" s="307"/>
      <c r="C888" s="307"/>
      <c r="D888" s="307"/>
      <c r="E888" s="307"/>
      <c r="F888" s="307"/>
      <c r="G888" s="307"/>
      <c r="H888" s="371"/>
      <c r="I888" s="371"/>
      <c r="J888" s="371"/>
      <c r="K888" s="371"/>
      <c r="L888" s="371"/>
      <c r="M888" s="371"/>
      <c r="N888" s="371"/>
      <c r="O888" s="371"/>
      <c r="P888" s="371"/>
      <c r="Q888" s="371"/>
      <c r="R888" s="371"/>
      <c r="S888" s="371"/>
      <c r="T888" s="371"/>
      <c r="U888" s="371"/>
      <c r="V888" s="371"/>
      <c r="W888" s="371"/>
      <c r="X888" s="371"/>
      <c r="Y888" s="371"/>
    </row>
    <row r="889" ht="28.5" customHeight="1">
      <c r="A889" s="371"/>
      <c r="B889" s="307"/>
      <c r="C889" s="307"/>
      <c r="D889" s="307"/>
      <c r="E889" s="307"/>
      <c r="F889" s="307"/>
      <c r="G889" s="307"/>
      <c r="H889" s="371"/>
      <c r="I889" s="371"/>
      <c r="J889" s="371"/>
      <c r="K889" s="371"/>
      <c r="L889" s="371"/>
      <c r="M889" s="371"/>
      <c r="N889" s="371"/>
      <c r="O889" s="371"/>
      <c r="P889" s="371"/>
      <c r="Q889" s="371"/>
      <c r="R889" s="371"/>
      <c r="S889" s="371"/>
      <c r="T889" s="371"/>
      <c r="U889" s="371"/>
      <c r="V889" s="371"/>
      <c r="W889" s="371"/>
      <c r="X889" s="371"/>
      <c r="Y889" s="371"/>
    </row>
    <row r="890" ht="28.5" customHeight="1">
      <c r="A890" s="371"/>
      <c r="B890" s="307"/>
      <c r="C890" s="307"/>
      <c r="D890" s="307"/>
      <c r="E890" s="307"/>
      <c r="F890" s="307"/>
      <c r="G890" s="307"/>
      <c r="H890" s="371"/>
      <c r="I890" s="371"/>
      <c r="J890" s="371"/>
      <c r="K890" s="371"/>
      <c r="L890" s="371"/>
      <c r="M890" s="371"/>
      <c r="N890" s="371"/>
      <c r="O890" s="371"/>
      <c r="P890" s="371"/>
      <c r="Q890" s="371"/>
      <c r="R890" s="371"/>
      <c r="S890" s="371"/>
      <c r="T890" s="371"/>
      <c r="U890" s="371"/>
      <c r="V890" s="371"/>
      <c r="W890" s="371"/>
      <c r="X890" s="371"/>
      <c r="Y890" s="371"/>
    </row>
    <row r="891" ht="28.5" customHeight="1">
      <c r="A891" s="371"/>
      <c r="B891" s="307"/>
      <c r="C891" s="307"/>
      <c r="D891" s="307"/>
      <c r="E891" s="307"/>
      <c r="F891" s="307"/>
      <c r="G891" s="307"/>
      <c r="H891" s="371"/>
      <c r="I891" s="371"/>
      <c r="J891" s="371"/>
      <c r="K891" s="371"/>
      <c r="L891" s="371"/>
      <c r="M891" s="371"/>
      <c r="N891" s="371"/>
      <c r="O891" s="371"/>
      <c r="P891" s="371"/>
      <c r="Q891" s="371"/>
      <c r="R891" s="371"/>
      <c r="S891" s="371"/>
      <c r="T891" s="371"/>
      <c r="U891" s="371"/>
      <c r="V891" s="371"/>
      <c r="W891" s="371"/>
      <c r="X891" s="371"/>
      <c r="Y891" s="371"/>
    </row>
    <row r="892" ht="28.5" customHeight="1">
      <c r="A892" s="371"/>
      <c r="B892" s="307"/>
      <c r="C892" s="307"/>
      <c r="D892" s="307"/>
      <c r="E892" s="307"/>
      <c r="F892" s="307"/>
      <c r="G892" s="307"/>
      <c r="H892" s="371"/>
      <c r="I892" s="371"/>
      <c r="J892" s="371"/>
      <c r="K892" s="371"/>
      <c r="L892" s="371"/>
      <c r="M892" s="371"/>
      <c r="N892" s="371"/>
      <c r="O892" s="371"/>
      <c r="P892" s="371"/>
      <c r="Q892" s="371"/>
      <c r="R892" s="371"/>
      <c r="S892" s="371"/>
      <c r="T892" s="371"/>
      <c r="U892" s="371"/>
      <c r="V892" s="371"/>
      <c r="W892" s="371"/>
      <c r="X892" s="371"/>
      <c r="Y892" s="371"/>
    </row>
    <row r="893" ht="28.5" customHeight="1">
      <c r="A893" s="371"/>
      <c r="B893" s="307"/>
      <c r="C893" s="307"/>
      <c r="D893" s="307"/>
      <c r="E893" s="307"/>
      <c r="F893" s="307"/>
      <c r="G893" s="307"/>
      <c r="H893" s="371"/>
      <c r="I893" s="371"/>
      <c r="J893" s="371"/>
      <c r="K893" s="371"/>
      <c r="L893" s="371"/>
      <c r="M893" s="371"/>
      <c r="N893" s="371"/>
      <c r="O893" s="371"/>
      <c r="P893" s="371"/>
      <c r="Q893" s="371"/>
      <c r="R893" s="371"/>
      <c r="S893" s="371"/>
      <c r="T893" s="371"/>
      <c r="U893" s="371"/>
      <c r="V893" s="371"/>
      <c r="W893" s="371"/>
      <c r="X893" s="371"/>
      <c r="Y893" s="371"/>
    </row>
    <row r="894" ht="28.5" customHeight="1">
      <c r="A894" s="371"/>
      <c r="B894" s="307"/>
      <c r="C894" s="307"/>
      <c r="D894" s="307"/>
      <c r="E894" s="307"/>
      <c r="F894" s="307"/>
      <c r="G894" s="307"/>
      <c r="H894" s="371"/>
      <c r="I894" s="371"/>
      <c r="J894" s="371"/>
      <c r="K894" s="371"/>
      <c r="L894" s="371"/>
      <c r="M894" s="371"/>
      <c r="N894" s="371"/>
      <c r="O894" s="371"/>
      <c r="P894" s="371"/>
      <c r="Q894" s="371"/>
      <c r="R894" s="371"/>
      <c r="S894" s="371"/>
      <c r="T894" s="371"/>
      <c r="U894" s="371"/>
      <c r="V894" s="371"/>
      <c r="W894" s="371"/>
      <c r="X894" s="371"/>
      <c r="Y894" s="371"/>
    </row>
    <row r="895" ht="28.5" customHeight="1">
      <c r="A895" s="371"/>
      <c r="B895" s="307"/>
      <c r="C895" s="307"/>
      <c r="D895" s="307"/>
      <c r="E895" s="307"/>
      <c r="F895" s="307"/>
      <c r="G895" s="307"/>
      <c r="H895" s="371"/>
      <c r="I895" s="371"/>
      <c r="J895" s="371"/>
      <c r="K895" s="371"/>
      <c r="L895" s="371"/>
      <c r="M895" s="371"/>
      <c r="N895" s="371"/>
      <c r="O895" s="371"/>
      <c r="P895" s="371"/>
      <c r="Q895" s="371"/>
      <c r="R895" s="371"/>
      <c r="S895" s="371"/>
      <c r="T895" s="371"/>
      <c r="U895" s="371"/>
      <c r="V895" s="371"/>
      <c r="W895" s="371"/>
      <c r="X895" s="371"/>
      <c r="Y895" s="371"/>
    </row>
    <row r="896" ht="28.5" customHeight="1">
      <c r="A896" s="371"/>
      <c r="B896" s="307"/>
      <c r="C896" s="307"/>
      <c r="D896" s="307"/>
      <c r="E896" s="307"/>
      <c r="F896" s="307"/>
      <c r="G896" s="307"/>
      <c r="H896" s="371"/>
      <c r="I896" s="371"/>
      <c r="J896" s="371"/>
      <c r="K896" s="371"/>
      <c r="L896" s="371"/>
      <c r="M896" s="371"/>
      <c r="N896" s="371"/>
      <c r="O896" s="371"/>
      <c r="P896" s="371"/>
      <c r="Q896" s="371"/>
      <c r="R896" s="371"/>
      <c r="S896" s="371"/>
      <c r="T896" s="371"/>
      <c r="U896" s="371"/>
      <c r="V896" s="371"/>
      <c r="W896" s="371"/>
      <c r="X896" s="371"/>
      <c r="Y896" s="371"/>
    </row>
    <row r="897" ht="28.5" customHeight="1">
      <c r="A897" s="371"/>
      <c r="B897" s="307"/>
      <c r="C897" s="307"/>
      <c r="D897" s="307"/>
      <c r="E897" s="307"/>
      <c r="F897" s="307"/>
      <c r="G897" s="307"/>
      <c r="H897" s="371"/>
      <c r="I897" s="371"/>
      <c r="J897" s="371"/>
      <c r="K897" s="371"/>
      <c r="L897" s="371"/>
      <c r="M897" s="371"/>
      <c r="N897" s="371"/>
      <c r="O897" s="371"/>
      <c r="P897" s="371"/>
      <c r="Q897" s="371"/>
      <c r="R897" s="371"/>
      <c r="S897" s="371"/>
      <c r="T897" s="371"/>
      <c r="U897" s="371"/>
      <c r="V897" s="371"/>
      <c r="W897" s="371"/>
      <c r="X897" s="371"/>
      <c r="Y897" s="371"/>
    </row>
    <row r="898" ht="28.5" customHeight="1">
      <c r="A898" s="371"/>
      <c r="B898" s="307"/>
      <c r="C898" s="307"/>
      <c r="D898" s="307"/>
      <c r="E898" s="307"/>
      <c r="F898" s="307"/>
      <c r="G898" s="307"/>
      <c r="H898" s="371"/>
      <c r="I898" s="371"/>
      <c r="J898" s="371"/>
      <c r="K898" s="371"/>
      <c r="L898" s="371"/>
      <c r="M898" s="371"/>
      <c r="N898" s="371"/>
      <c r="O898" s="371"/>
      <c r="P898" s="371"/>
      <c r="Q898" s="371"/>
      <c r="R898" s="371"/>
      <c r="S898" s="371"/>
      <c r="T898" s="371"/>
      <c r="U898" s="371"/>
      <c r="V898" s="371"/>
      <c r="W898" s="371"/>
      <c r="X898" s="371"/>
      <c r="Y898" s="371"/>
    </row>
    <row r="899" ht="28.5" customHeight="1">
      <c r="A899" s="371"/>
      <c r="B899" s="307"/>
      <c r="C899" s="307"/>
      <c r="D899" s="307"/>
      <c r="E899" s="307"/>
      <c r="F899" s="307"/>
      <c r="G899" s="307"/>
      <c r="H899" s="371"/>
      <c r="I899" s="371"/>
      <c r="J899" s="371"/>
      <c r="K899" s="371"/>
      <c r="L899" s="371"/>
      <c r="M899" s="371"/>
      <c r="N899" s="371"/>
      <c r="O899" s="371"/>
      <c r="P899" s="371"/>
      <c r="Q899" s="371"/>
      <c r="R899" s="371"/>
      <c r="S899" s="371"/>
      <c r="T899" s="371"/>
      <c r="U899" s="371"/>
      <c r="V899" s="371"/>
      <c r="W899" s="371"/>
      <c r="X899" s="371"/>
      <c r="Y899" s="371"/>
    </row>
    <row r="900" ht="28.5" customHeight="1">
      <c r="A900" s="371"/>
      <c r="B900" s="307"/>
      <c r="C900" s="307"/>
      <c r="D900" s="307"/>
      <c r="E900" s="307"/>
      <c r="F900" s="307"/>
      <c r="G900" s="307"/>
      <c r="H900" s="371"/>
      <c r="I900" s="371"/>
      <c r="J900" s="371"/>
      <c r="K900" s="371"/>
      <c r="L900" s="371"/>
      <c r="M900" s="371"/>
      <c r="N900" s="371"/>
      <c r="O900" s="371"/>
      <c r="P900" s="371"/>
      <c r="Q900" s="371"/>
      <c r="R900" s="371"/>
      <c r="S900" s="371"/>
      <c r="T900" s="371"/>
      <c r="U900" s="371"/>
      <c r="V900" s="371"/>
      <c r="W900" s="371"/>
      <c r="X900" s="371"/>
      <c r="Y900" s="371"/>
    </row>
    <row r="901" ht="28.5" customHeight="1">
      <c r="A901" s="371"/>
      <c r="B901" s="307"/>
      <c r="C901" s="307"/>
      <c r="D901" s="307"/>
      <c r="E901" s="307"/>
      <c r="F901" s="307"/>
      <c r="G901" s="307"/>
      <c r="H901" s="371"/>
      <c r="I901" s="371"/>
      <c r="J901" s="371"/>
      <c r="K901" s="371"/>
      <c r="L901" s="371"/>
      <c r="M901" s="371"/>
      <c r="N901" s="371"/>
      <c r="O901" s="371"/>
      <c r="P901" s="371"/>
      <c r="Q901" s="371"/>
      <c r="R901" s="371"/>
      <c r="S901" s="371"/>
      <c r="T901" s="371"/>
      <c r="U901" s="371"/>
      <c r="V901" s="371"/>
      <c r="W901" s="371"/>
      <c r="X901" s="371"/>
      <c r="Y901" s="371"/>
    </row>
    <row r="902" ht="28.5" customHeight="1">
      <c r="A902" s="371"/>
      <c r="B902" s="307"/>
      <c r="C902" s="307"/>
      <c r="D902" s="307"/>
      <c r="E902" s="307"/>
      <c r="F902" s="307"/>
      <c r="G902" s="307"/>
      <c r="H902" s="371"/>
      <c r="I902" s="371"/>
      <c r="J902" s="371"/>
      <c r="K902" s="371"/>
      <c r="L902" s="371"/>
      <c r="M902" s="371"/>
      <c r="N902" s="371"/>
      <c r="O902" s="371"/>
      <c r="P902" s="371"/>
      <c r="Q902" s="371"/>
      <c r="R902" s="371"/>
      <c r="S902" s="371"/>
      <c r="T902" s="371"/>
      <c r="U902" s="371"/>
      <c r="V902" s="371"/>
      <c r="W902" s="371"/>
      <c r="X902" s="371"/>
      <c r="Y902" s="371"/>
    </row>
    <row r="903" ht="28.5" customHeight="1">
      <c r="A903" s="371"/>
      <c r="B903" s="307"/>
      <c r="C903" s="307"/>
      <c r="D903" s="307"/>
      <c r="E903" s="307"/>
      <c r="F903" s="307"/>
      <c r="G903" s="307"/>
      <c r="H903" s="371"/>
      <c r="I903" s="371"/>
      <c r="J903" s="371"/>
      <c r="K903" s="371"/>
      <c r="L903" s="371"/>
      <c r="M903" s="371"/>
      <c r="N903" s="371"/>
      <c r="O903" s="371"/>
      <c r="P903" s="371"/>
      <c r="Q903" s="371"/>
      <c r="R903" s="371"/>
      <c r="S903" s="371"/>
      <c r="T903" s="371"/>
      <c r="U903" s="371"/>
      <c r="V903" s="371"/>
      <c r="W903" s="371"/>
      <c r="X903" s="371"/>
      <c r="Y903" s="371"/>
    </row>
    <row r="904" ht="28.5" customHeight="1">
      <c r="A904" s="371"/>
      <c r="B904" s="307"/>
      <c r="C904" s="307"/>
      <c r="D904" s="307"/>
      <c r="E904" s="307"/>
      <c r="F904" s="307"/>
      <c r="G904" s="307"/>
      <c r="H904" s="371"/>
      <c r="I904" s="371"/>
      <c r="J904" s="371"/>
      <c r="K904" s="371"/>
      <c r="L904" s="371"/>
      <c r="M904" s="371"/>
      <c r="N904" s="371"/>
      <c r="O904" s="371"/>
      <c r="P904" s="371"/>
      <c r="Q904" s="371"/>
      <c r="R904" s="371"/>
      <c r="S904" s="371"/>
      <c r="T904" s="371"/>
      <c r="U904" s="371"/>
      <c r="V904" s="371"/>
      <c r="W904" s="371"/>
      <c r="X904" s="371"/>
      <c r="Y904" s="371"/>
    </row>
    <row r="905" ht="28.5" customHeight="1">
      <c r="A905" s="371"/>
      <c r="B905" s="307"/>
      <c r="C905" s="307"/>
      <c r="D905" s="307"/>
      <c r="E905" s="307"/>
      <c r="F905" s="307"/>
      <c r="G905" s="307"/>
      <c r="H905" s="371"/>
      <c r="I905" s="371"/>
      <c r="J905" s="371"/>
      <c r="K905" s="371"/>
      <c r="L905" s="371"/>
      <c r="M905" s="371"/>
      <c r="N905" s="371"/>
      <c r="O905" s="371"/>
      <c r="P905" s="371"/>
      <c r="Q905" s="371"/>
      <c r="R905" s="371"/>
      <c r="S905" s="371"/>
      <c r="T905" s="371"/>
      <c r="U905" s="371"/>
      <c r="V905" s="371"/>
      <c r="W905" s="371"/>
      <c r="X905" s="371"/>
      <c r="Y905" s="371"/>
    </row>
    <row r="906" ht="28.5" customHeight="1">
      <c r="A906" s="371"/>
      <c r="B906" s="307"/>
      <c r="C906" s="307"/>
      <c r="D906" s="307"/>
      <c r="E906" s="307"/>
      <c r="F906" s="307"/>
      <c r="G906" s="307"/>
      <c r="H906" s="371"/>
      <c r="I906" s="371"/>
      <c r="J906" s="371"/>
      <c r="K906" s="371"/>
      <c r="L906" s="371"/>
      <c r="M906" s="371"/>
      <c r="N906" s="371"/>
      <c r="O906" s="371"/>
      <c r="P906" s="371"/>
      <c r="Q906" s="371"/>
      <c r="R906" s="371"/>
      <c r="S906" s="371"/>
      <c r="T906" s="371"/>
      <c r="U906" s="371"/>
      <c r="V906" s="371"/>
      <c r="W906" s="371"/>
      <c r="X906" s="371"/>
      <c r="Y906" s="371"/>
    </row>
    <row r="907" ht="28.5" customHeight="1">
      <c r="A907" s="371"/>
      <c r="B907" s="307"/>
      <c r="C907" s="307"/>
      <c r="D907" s="307"/>
      <c r="E907" s="307"/>
      <c r="F907" s="307"/>
      <c r="G907" s="307"/>
      <c r="H907" s="371"/>
      <c r="I907" s="371"/>
      <c r="J907" s="371"/>
      <c r="K907" s="371"/>
      <c r="L907" s="371"/>
      <c r="M907" s="371"/>
      <c r="N907" s="371"/>
      <c r="O907" s="371"/>
      <c r="P907" s="371"/>
      <c r="Q907" s="371"/>
      <c r="R907" s="371"/>
      <c r="S907" s="371"/>
      <c r="T907" s="371"/>
      <c r="U907" s="371"/>
      <c r="V907" s="371"/>
      <c r="W907" s="371"/>
      <c r="X907" s="371"/>
      <c r="Y907" s="371"/>
    </row>
    <row r="908" ht="28.5" customHeight="1">
      <c r="A908" s="371"/>
      <c r="B908" s="307"/>
      <c r="C908" s="307"/>
      <c r="D908" s="307"/>
      <c r="E908" s="307"/>
      <c r="F908" s="307"/>
      <c r="G908" s="307"/>
      <c r="H908" s="371"/>
      <c r="I908" s="371"/>
      <c r="J908" s="371"/>
      <c r="K908" s="371"/>
      <c r="L908" s="371"/>
      <c r="M908" s="371"/>
      <c r="N908" s="371"/>
      <c r="O908" s="371"/>
      <c r="P908" s="371"/>
      <c r="Q908" s="371"/>
      <c r="R908" s="371"/>
      <c r="S908" s="371"/>
      <c r="T908" s="371"/>
      <c r="U908" s="371"/>
      <c r="V908" s="371"/>
      <c r="W908" s="371"/>
      <c r="X908" s="371"/>
      <c r="Y908" s="371"/>
    </row>
    <row r="909" ht="28.5" customHeight="1">
      <c r="A909" s="371"/>
      <c r="B909" s="307"/>
      <c r="C909" s="307"/>
      <c r="D909" s="307"/>
      <c r="E909" s="307"/>
      <c r="F909" s="307"/>
      <c r="G909" s="307"/>
      <c r="H909" s="371"/>
      <c r="I909" s="371"/>
      <c r="J909" s="371"/>
      <c r="K909" s="371"/>
      <c r="L909" s="371"/>
      <c r="M909" s="371"/>
      <c r="N909" s="371"/>
      <c r="O909" s="371"/>
      <c r="P909" s="371"/>
      <c r="Q909" s="371"/>
      <c r="R909" s="371"/>
      <c r="S909" s="371"/>
      <c r="T909" s="371"/>
      <c r="U909" s="371"/>
      <c r="V909" s="371"/>
      <c r="W909" s="371"/>
      <c r="X909" s="371"/>
      <c r="Y909" s="371"/>
    </row>
    <row r="910" ht="28.5" customHeight="1">
      <c r="A910" s="371"/>
      <c r="B910" s="307"/>
      <c r="C910" s="307"/>
      <c r="D910" s="307"/>
      <c r="E910" s="307"/>
      <c r="F910" s="307"/>
      <c r="G910" s="307"/>
      <c r="H910" s="371"/>
      <c r="I910" s="371"/>
      <c r="J910" s="371"/>
      <c r="K910" s="371"/>
      <c r="L910" s="371"/>
      <c r="M910" s="371"/>
      <c r="N910" s="371"/>
      <c r="O910" s="371"/>
      <c r="P910" s="371"/>
      <c r="Q910" s="371"/>
      <c r="R910" s="371"/>
      <c r="S910" s="371"/>
      <c r="T910" s="371"/>
      <c r="U910" s="371"/>
      <c r="V910" s="371"/>
      <c r="W910" s="371"/>
      <c r="X910" s="371"/>
      <c r="Y910" s="371"/>
    </row>
    <row r="911" ht="28.5" customHeight="1">
      <c r="A911" s="371"/>
      <c r="B911" s="307"/>
      <c r="C911" s="307"/>
      <c r="D911" s="307"/>
      <c r="E911" s="307"/>
      <c r="F911" s="307"/>
      <c r="G911" s="307"/>
      <c r="H911" s="371"/>
      <c r="I911" s="371"/>
      <c r="J911" s="371"/>
      <c r="K911" s="371"/>
      <c r="L911" s="371"/>
      <c r="M911" s="371"/>
      <c r="N911" s="371"/>
      <c r="O911" s="371"/>
      <c r="P911" s="371"/>
      <c r="Q911" s="371"/>
      <c r="R911" s="371"/>
      <c r="S911" s="371"/>
      <c r="T911" s="371"/>
      <c r="U911" s="371"/>
      <c r="V911" s="371"/>
      <c r="W911" s="371"/>
      <c r="X911" s="371"/>
      <c r="Y911" s="371"/>
    </row>
    <row r="912" ht="28.5" customHeight="1">
      <c r="A912" s="371"/>
      <c r="B912" s="307"/>
      <c r="C912" s="307"/>
      <c r="D912" s="307"/>
      <c r="E912" s="307"/>
      <c r="F912" s="307"/>
      <c r="G912" s="307"/>
      <c r="H912" s="371"/>
      <c r="I912" s="371"/>
      <c r="J912" s="371"/>
      <c r="K912" s="371"/>
      <c r="L912" s="371"/>
      <c r="M912" s="371"/>
      <c r="N912" s="371"/>
      <c r="O912" s="371"/>
      <c r="P912" s="371"/>
      <c r="Q912" s="371"/>
      <c r="R912" s="371"/>
      <c r="S912" s="371"/>
      <c r="T912" s="371"/>
      <c r="U912" s="371"/>
      <c r="V912" s="371"/>
      <c r="W912" s="371"/>
      <c r="X912" s="371"/>
      <c r="Y912" s="371"/>
    </row>
    <row r="913" ht="28.5" customHeight="1">
      <c r="A913" s="371"/>
      <c r="B913" s="307"/>
      <c r="C913" s="307"/>
      <c r="D913" s="307"/>
      <c r="E913" s="307"/>
      <c r="F913" s="307"/>
      <c r="G913" s="307"/>
      <c r="H913" s="371"/>
      <c r="I913" s="371"/>
      <c r="J913" s="371"/>
      <c r="K913" s="371"/>
      <c r="L913" s="371"/>
      <c r="M913" s="371"/>
      <c r="N913" s="371"/>
      <c r="O913" s="371"/>
      <c r="P913" s="371"/>
      <c r="Q913" s="371"/>
      <c r="R913" s="371"/>
      <c r="S913" s="371"/>
      <c r="T913" s="371"/>
      <c r="U913" s="371"/>
      <c r="V913" s="371"/>
      <c r="W913" s="371"/>
      <c r="X913" s="371"/>
      <c r="Y913" s="371"/>
    </row>
    <row r="914" ht="28.5" customHeight="1">
      <c r="A914" s="371"/>
      <c r="B914" s="307"/>
      <c r="C914" s="307"/>
      <c r="D914" s="307"/>
      <c r="E914" s="307"/>
      <c r="F914" s="307"/>
      <c r="G914" s="307"/>
      <c r="H914" s="371"/>
      <c r="I914" s="371"/>
      <c r="J914" s="371"/>
      <c r="K914" s="371"/>
      <c r="L914" s="371"/>
      <c r="M914" s="371"/>
      <c r="N914" s="371"/>
      <c r="O914" s="371"/>
      <c r="P914" s="371"/>
      <c r="Q914" s="371"/>
      <c r="R914" s="371"/>
      <c r="S914" s="371"/>
      <c r="T914" s="371"/>
      <c r="U914" s="371"/>
      <c r="V914" s="371"/>
      <c r="W914" s="371"/>
      <c r="X914" s="371"/>
      <c r="Y914" s="371"/>
    </row>
    <row r="915" ht="28.5" customHeight="1">
      <c r="A915" s="371"/>
      <c r="B915" s="307"/>
      <c r="C915" s="307"/>
      <c r="D915" s="307"/>
      <c r="E915" s="307"/>
      <c r="F915" s="307"/>
      <c r="G915" s="307"/>
      <c r="H915" s="371"/>
      <c r="I915" s="371"/>
      <c r="J915" s="371"/>
      <c r="K915" s="371"/>
      <c r="L915" s="371"/>
      <c r="M915" s="371"/>
      <c r="N915" s="371"/>
      <c r="O915" s="371"/>
      <c r="P915" s="371"/>
      <c r="Q915" s="371"/>
      <c r="R915" s="371"/>
      <c r="S915" s="371"/>
      <c r="T915" s="371"/>
      <c r="U915" s="371"/>
      <c r="V915" s="371"/>
      <c r="W915" s="371"/>
      <c r="X915" s="371"/>
      <c r="Y915" s="371"/>
    </row>
    <row r="916" ht="28.5" customHeight="1">
      <c r="A916" s="371"/>
      <c r="B916" s="307"/>
      <c r="C916" s="307"/>
      <c r="D916" s="307"/>
      <c r="E916" s="307"/>
      <c r="F916" s="307"/>
      <c r="G916" s="307"/>
      <c r="H916" s="371"/>
      <c r="I916" s="371"/>
      <c r="J916" s="371"/>
      <c r="K916" s="371"/>
      <c r="L916" s="371"/>
      <c r="M916" s="371"/>
      <c r="N916" s="371"/>
      <c r="O916" s="371"/>
      <c r="P916" s="371"/>
      <c r="Q916" s="371"/>
      <c r="R916" s="371"/>
      <c r="S916" s="371"/>
      <c r="T916" s="371"/>
      <c r="U916" s="371"/>
      <c r="V916" s="371"/>
      <c r="W916" s="371"/>
      <c r="X916" s="371"/>
      <c r="Y916" s="371"/>
    </row>
    <row r="917" ht="28.5" customHeight="1">
      <c r="A917" s="371"/>
      <c r="B917" s="307"/>
      <c r="C917" s="307"/>
      <c r="D917" s="307"/>
      <c r="E917" s="307"/>
      <c r="F917" s="307"/>
      <c r="G917" s="307"/>
      <c r="H917" s="371"/>
      <c r="I917" s="371"/>
      <c r="J917" s="371"/>
      <c r="K917" s="371"/>
      <c r="L917" s="371"/>
      <c r="M917" s="371"/>
      <c r="N917" s="371"/>
      <c r="O917" s="371"/>
      <c r="P917" s="371"/>
      <c r="Q917" s="371"/>
      <c r="R917" s="371"/>
      <c r="S917" s="371"/>
      <c r="T917" s="371"/>
      <c r="U917" s="371"/>
      <c r="V917" s="371"/>
      <c r="W917" s="371"/>
      <c r="X917" s="371"/>
      <c r="Y917" s="371"/>
    </row>
    <row r="918" ht="28.5" customHeight="1">
      <c r="A918" s="371"/>
      <c r="B918" s="307"/>
      <c r="C918" s="307"/>
      <c r="D918" s="307"/>
      <c r="E918" s="307"/>
      <c r="F918" s="307"/>
      <c r="G918" s="307"/>
      <c r="H918" s="371"/>
      <c r="I918" s="371"/>
      <c r="J918" s="371"/>
      <c r="K918" s="371"/>
      <c r="L918" s="371"/>
      <c r="M918" s="371"/>
      <c r="N918" s="371"/>
      <c r="O918" s="371"/>
      <c r="P918" s="371"/>
      <c r="Q918" s="371"/>
      <c r="R918" s="371"/>
      <c r="S918" s="371"/>
      <c r="T918" s="371"/>
      <c r="U918" s="371"/>
      <c r="V918" s="371"/>
      <c r="W918" s="371"/>
      <c r="X918" s="371"/>
      <c r="Y918" s="371"/>
    </row>
    <row r="919" ht="28.5" customHeight="1">
      <c r="A919" s="371"/>
      <c r="B919" s="307"/>
      <c r="C919" s="307"/>
      <c r="D919" s="307"/>
      <c r="E919" s="307"/>
      <c r="F919" s="307"/>
      <c r="G919" s="307"/>
      <c r="H919" s="371"/>
      <c r="I919" s="371"/>
      <c r="J919" s="371"/>
      <c r="K919" s="371"/>
      <c r="L919" s="371"/>
      <c r="M919" s="371"/>
      <c r="N919" s="371"/>
      <c r="O919" s="371"/>
      <c r="P919" s="371"/>
      <c r="Q919" s="371"/>
      <c r="R919" s="371"/>
      <c r="S919" s="371"/>
      <c r="T919" s="371"/>
      <c r="U919" s="371"/>
      <c r="V919" s="371"/>
      <c r="W919" s="371"/>
      <c r="X919" s="371"/>
      <c r="Y919" s="371"/>
    </row>
    <row r="920" ht="28.5" customHeight="1">
      <c r="A920" s="371"/>
      <c r="B920" s="307"/>
      <c r="C920" s="307"/>
      <c r="D920" s="307"/>
      <c r="E920" s="307"/>
      <c r="F920" s="307"/>
      <c r="G920" s="307"/>
      <c r="H920" s="371"/>
      <c r="I920" s="371"/>
      <c r="J920" s="371"/>
      <c r="K920" s="371"/>
      <c r="L920" s="371"/>
      <c r="M920" s="371"/>
      <c r="N920" s="371"/>
      <c r="O920" s="371"/>
      <c r="P920" s="371"/>
      <c r="Q920" s="371"/>
      <c r="R920" s="371"/>
      <c r="S920" s="371"/>
      <c r="T920" s="371"/>
      <c r="U920" s="371"/>
      <c r="V920" s="371"/>
      <c r="W920" s="371"/>
      <c r="X920" s="371"/>
      <c r="Y920" s="371"/>
    </row>
    <row r="921" ht="28.5" customHeight="1">
      <c r="A921" s="371"/>
      <c r="B921" s="307"/>
      <c r="C921" s="307"/>
      <c r="D921" s="307"/>
      <c r="E921" s="307"/>
      <c r="F921" s="307"/>
      <c r="G921" s="307"/>
      <c r="H921" s="371"/>
      <c r="I921" s="371"/>
      <c r="J921" s="371"/>
      <c r="K921" s="371"/>
      <c r="L921" s="371"/>
      <c r="M921" s="371"/>
      <c r="N921" s="371"/>
      <c r="O921" s="371"/>
      <c r="P921" s="371"/>
      <c r="Q921" s="371"/>
      <c r="R921" s="371"/>
      <c r="S921" s="371"/>
      <c r="T921" s="371"/>
      <c r="U921" s="371"/>
      <c r="V921" s="371"/>
      <c r="W921" s="371"/>
      <c r="X921" s="371"/>
      <c r="Y921" s="371"/>
    </row>
    <row r="922" ht="28.5" customHeight="1">
      <c r="A922" s="371"/>
      <c r="B922" s="307"/>
      <c r="C922" s="307"/>
      <c r="D922" s="307"/>
      <c r="E922" s="307"/>
      <c r="F922" s="307"/>
      <c r="G922" s="307"/>
      <c r="H922" s="371"/>
      <c r="I922" s="371"/>
      <c r="J922" s="371"/>
      <c r="K922" s="371"/>
      <c r="L922" s="371"/>
      <c r="M922" s="371"/>
      <c r="N922" s="371"/>
      <c r="O922" s="371"/>
      <c r="P922" s="371"/>
      <c r="Q922" s="371"/>
      <c r="R922" s="371"/>
      <c r="S922" s="371"/>
      <c r="T922" s="371"/>
      <c r="U922" s="371"/>
      <c r="V922" s="371"/>
      <c r="W922" s="371"/>
      <c r="X922" s="371"/>
      <c r="Y922" s="371"/>
    </row>
    <row r="923" ht="28.5" customHeight="1">
      <c r="A923" s="371"/>
      <c r="B923" s="307"/>
      <c r="C923" s="307"/>
      <c r="D923" s="307"/>
      <c r="E923" s="307"/>
      <c r="F923" s="307"/>
      <c r="G923" s="307"/>
      <c r="H923" s="371"/>
      <c r="I923" s="371"/>
      <c r="J923" s="371"/>
      <c r="K923" s="371"/>
      <c r="L923" s="371"/>
      <c r="M923" s="371"/>
      <c r="N923" s="371"/>
      <c r="O923" s="371"/>
      <c r="P923" s="371"/>
      <c r="Q923" s="371"/>
      <c r="R923" s="371"/>
      <c r="S923" s="371"/>
      <c r="T923" s="371"/>
      <c r="U923" s="371"/>
      <c r="V923" s="371"/>
      <c r="W923" s="371"/>
      <c r="X923" s="371"/>
      <c r="Y923" s="371"/>
    </row>
    <row r="924" ht="28.5" customHeight="1">
      <c r="A924" s="371"/>
      <c r="B924" s="307"/>
      <c r="C924" s="307"/>
      <c r="D924" s="307"/>
      <c r="E924" s="307"/>
      <c r="F924" s="307"/>
      <c r="G924" s="307"/>
      <c r="H924" s="371"/>
      <c r="I924" s="371"/>
      <c r="J924" s="371"/>
      <c r="K924" s="371"/>
      <c r="L924" s="371"/>
      <c r="M924" s="371"/>
      <c r="N924" s="371"/>
      <c r="O924" s="371"/>
      <c r="P924" s="371"/>
      <c r="Q924" s="371"/>
      <c r="R924" s="371"/>
      <c r="S924" s="371"/>
      <c r="T924" s="371"/>
      <c r="U924" s="371"/>
      <c r="V924" s="371"/>
      <c r="W924" s="371"/>
      <c r="X924" s="371"/>
      <c r="Y924" s="371"/>
    </row>
    <row r="925" ht="28.5" customHeight="1">
      <c r="A925" s="371"/>
      <c r="B925" s="307"/>
      <c r="C925" s="307"/>
      <c r="D925" s="307"/>
      <c r="E925" s="307"/>
      <c r="F925" s="307"/>
      <c r="G925" s="307"/>
      <c r="H925" s="371"/>
      <c r="I925" s="371"/>
      <c r="J925" s="371"/>
      <c r="K925" s="371"/>
      <c r="L925" s="371"/>
      <c r="M925" s="371"/>
      <c r="N925" s="371"/>
      <c r="O925" s="371"/>
      <c r="P925" s="371"/>
      <c r="Q925" s="371"/>
      <c r="R925" s="371"/>
      <c r="S925" s="371"/>
      <c r="T925" s="371"/>
      <c r="U925" s="371"/>
      <c r="V925" s="371"/>
      <c r="W925" s="371"/>
      <c r="X925" s="371"/>
      <c r="Y925" s="371"/>
    </row>
    <row r="926" ht="28.5" customHeight="1">
      <c r="A926" s="371"/>
      <c r="B926" s="307"/>
      <c r="C926" s="307"/>
      <c r="D926" s="307"/>
      <c r="E926" s="307"/>
      <c r="F926" s="307"/>
      <c r="G926" s="307"/>
      <c r="H926" s="371"/>
      <c r="I926" s="371"/>
      <c r="J926" s="371"/>
      <c r="K926" s="371"/>
      <c r="L926" s="371"/>
      <c r="M926" s="371"/>
      <c r="N926" s="371"/>
      <c r="O926" s="371"/>
      <c r="P926" s="371"/>
      <c r="Q926" s="371"/>
      <c r="R926" s="371"/>
      <c r="S926" s="371"/>
      <c r="T926" s="371"/>
      <c r="U926" s="371"/>
      <c r="V926" s="371"/>
      <c r="W926" s="371"/>
      <c r="X926" s="371"/>
      <c r="Y926" s="371"/>
    </row>
    <row r="927" ht="28.5" customHeight="1">
      <c r="A927" s="371"/>
      <c r="B927" s="307"/>
      <c r="C927" s="307"/>
      <c r="D927" s="307"/>
      <c r="E927" s="307"/>
      <c r="F927" s="307"/>
      <c r="G927" s="307"/>
      <c r="H927" s="371"/>
      <c r="I927" s="371"/>
      <c r="J927" s="371"/>
      <c r="K927" s="371"/>
      <c r="L927" s="371"/>
      <c r="M927" s="371"/>
      <c r="N927" s="371"/>
      <c r="O927" s="371"/>
      <c r="P927" s="371"/>
      <c r="Q927" s="371"/>
      <c r="R927" s="371"/>
      <c r="S927" s="371"/>
      <c r="T927" s="371"/>
      <c r="U927" s="371"/>
      <c r="V927" s="371"/>
      <c r="W927" s="371"/>
      <c r="X927" s="371"/>
      <c r="Y927" s="371"/>
    </row>
    <row r="928" ht="28.5" customHeight="1">
      <c r="A928" s="371"/>
      <c r="B928" s="307"/>
      <c r="C928" s="307"/>
      <c r="D928" s="307"/>
      <c r="E928" s="307"/>
      <c r="F928" s="307"/>
      <c r="G928" s="307"/>
      <c r="H928" s="371"/>
      <c r="I928" s="371"/>
      <c r="J928" s="371"/>
      <c r="K928" s="371"/>
      <c r="L928" s="371"/>
      <c r="M928" s="371"/>
      <c r="N928" s="371"/>
      <c r="O928" s="371"/>
      <c r="P928" s="371"/>
      <c r="Q928" s="371"/>
      <c r="R928" s="371"/>
      <c r="S928" s="371"/>
      <c r="T928" s="371"/>
      <c r="U928" s="371"/>
      <c r="V928" s="371"/>
      <c r="W928" s="371"/>
      <c r="X928" s="371"/>
      <c r="Y928" s="371"/>
    </row>
    <row r="929" ht="28.5" customHeight="1">
      <c r="A929" s="371"/>
      <c r="B929" s="307"/>
      <c r="C929" s="307"/>
      <c r="D929" s="307"/>
      <c r="E929" s="307"/>
      <c r="F929" s="307"/>
      <c r="G929" s="307"/>
      <c r="H929" s="371"/>
      <c r="I929" s="371"/>
      <c r="J929" s="371"/>
      <c r="K929" s="371"/>
      <c r="L929" s="371"/>
      <c r="M929" s="371"/>
      <c r="N929" s="371"/>
      <c r="O929" s="371"/>
      <c r="P929" s="371"/>
      <c r="Q929" s="371"/>
      <c r="R929" s="371"/>
      <c r="S929" s="371"/>
      <c r="T929" s="371"/>
      <c r="U929" s="371"/>
      <c r="V929" s="371"/>
      <c r="W929" s="371"/>
      <c r="X929" s="371"/>
      <c r="Y929" s="371"/>
    </row>
    <row r="930" ht="28.5" customHeight="1">
      <c r="A930" s="371"/>
      <c r="B930" s="307"/>
      <c r="C930" s="307"/>
      <c r="D930" s="307"/>
      <c r="E930" s="307"/>
      <c r="F930" s="307"/>
      <c r="G930" s="307"/>
      <c r="H930" s="371"/>
      <c r="I930" s="371"/>
      <c r="J930" s="371"/>
      <c r="K930" s="371"/>
      <c r="L930" s="371"/>
      <c r="M930" s="371"/>
      <c r="N930" s="371"/>
      <c r="O930" s="371"/>
      <c r="P930" s="371"/>
      <c r="Q930" s="371"/>
      <c r="R930" s="371"/>
      <c r="S930" s="371"/>
      <c r="T930" s="371"/>
      <c r="U930" s="371"/>
      <c r="V930" s="371"/>
      <c r="W930" s="371"/>
      <c r="X930" s="371"/>
      <c r="Y930" s="371"/>
    </row>
    <row r="931" ht="28.5" customHeight="1">
      <c r="A931" s="371"/>
      <c r="B931" s="307"/>
      <c r="C931" s="307"/>
      <c r="D931" s="307"/>
      <c r="E931" s="307"/>
      <c r="F931" s="307"/>
      <c r="G931" s="307"/>
      <c r="H931" s="371"/>
      <c r="I931" s="371"/>
      <c r="J931" s="371"/>
      <c r="K931" s="371"/>
      <c r="L931" s="371"/>
      <c r="M931" s="371"/>
      <c r="N931" s="371"/>
      <c r="O931" s="371"/>
      <c r="P931" s="371"/>
      <c r="Q931" s="371"/>
      <c r="R931" s="371"/>
      <c r="S931" s="371"/>
      <c r="T931" s="371"/>
      <c r="U931" s="371"/>
      <c r="V931" s="371"/>
      <c r="W931" s="371"/>
      <c r="X931" s="371"/>
      <c r="Y931" s="371"/>
    </row>
    <row r="932" ht="28.5" customHeight="1">
      <c r="A932" s="371"/>
      <c r="B932" s="307"/>
      <c r="C932" s="307"/>
      <c r="D932" s="307"/>
      <c r="E932" s="307"/>
      <c r="F932" s="307"/>
      <c r="G932" s="307"/>
      <c r="H932" s="371"/>
      <c r="I932" s="371"/>
      <c r="J932" s="371"/>
      <c r="K932" s="371"/>
      <c r="L932" s="371"/>
      <c r="M932" s="371"/>
      <c r="N932" s="371"/>
      <c r="O932" s="371"/>
      <c r="P932" s="371"/>
      <c r="Q932" s="371"/>
      <c r="R932" s="371"/>
      <c r="S932" s="371"/>
      <c r="T932" s="371"/>
      <c r="U932" s="371"/>
      <c r="V932" s="371"/>
      <c r="W932" s="371"/>
      <c r="X932" s="371"/>
      <c r="Y932" s="371"/>
    </row>
    <row r="933" ht="28.5" customHeight="1">
      <c r="A933" s="371"/>
      <c r="B933" s="307"/>
      <c r="C933" s="307"/>
      <c r="D933" s="307"/>
      <c r="E933" s="307"/>
      <c r="F933" s="307"/>
      <c r="G933" s="307"/>
      <c r="H933" s="371"/>
      <c r="I933" s="371"/>
      <c r="J933" s="371"/>
      <c r="K933" s="371"/>
      <c r="L933" s="371"/>
      <c r="M933" s="371"/>
      <c r="N933" s="371"/>
      <c r="O933" s="371"/>
      <c r="P933" s="371"/>
      <c r="Q933" s="371"/>
      <c r="R933" s="371"/>
      <c r="S933" s="371"/>
      <c r="T933" s="371"/>
      <c r="U933" s="371"/>
      <c r="V933" s="371"/>
      <c r="W933" s="371"/>
      <c r="X933" s="371"/>
      <c r="Y933" s="371"/>
    </row>
    <row r="934" ht="28.5" customHeight="1">
      <c r="A934" s="371"/>
      <c r="B934" s="307"/>
      <c r="C934" s="307"/>
      <c r="D934" s="307"/>
      <c r="E934" s="307"/>
      <c r="F934" s="307"/>
      <c r="G934" s="307"/>
      <c r="H934" s="371"/>
      <c r="I934" s="371"/>
      <c r="J934" s="371"/>
      <c r="K934" s="371"/>
      <c r="L934" s="371"/>
      <c r="M934" s="371"/>
      <c r="N934" s="371"/>
      <c r="O934" s="371"/>
      <c r="P934" s="371"/>
      <c r="Q934" s="371"/>
      <c r="R934" s="371"/>
      <c r="S934" s="371"/>
      <c r="T934" s="371"/>
      <c r="U934" s="371"/>
      <c r="V934" s="371"/>
      <c r="W934" s="371"/>
      <c r="X934" s="371"/>
      <c r="Y934" s="371"/>
    </row>
    <row r="935" ht="28.5" customHeight="1">
      <c r="A935" s="371"/>
      <c r="B935" s="307"/>
      <c r="C935" s="307"/>
      <c r="D935" s="307"/>
      <c r="E935" s="307"/>
      <c r="F935" s="307"/>
      <c r="G935" s="307"/>
      <c r="H935" s="371"/>
      <c r="I935" s="371"/>
      <c r="J935" s="371"/>
      <c r="K935" s="371"/>
      <c r="L935" s="371"/>
      <c r="M935" s="371"/>
      <c r="N935" s="371"/>
      <c r="O935" s="371"/>
      <c r="P935" s="371"/>
      <c r="Q935" s="371"/>
      <c r="R935" s="371"/>
      <c r="S935" s="371"/>
      <c r="T935" s="371"/>
      <c r="U935" s="371"/>
      <c r="V935" s="371"/>
      <c r="W935" s="371"/>
      <c r="X935" s="371"/>
      <c r="Y935" s="371"/>
    </row>
    <row r="936" ht="28.5" customHeight="1">
      <c r="A936" s="371"/>
      <c r="B936" s="307"/>
      <c r="C936" s="307"/>
      <c r="D936" s="307"/>
      <c r="E936" s="307"/>
      <c r="F936" s="307"/>
      <c r="G936" s="307"/>
      <c r="H936" s="371"/>
      <c r="I936" s="371"/>
      <c r="J936" s="371"/>
      <c r="K936" s="371"/>
      <c r="L936" s="371"/>
      <c r="M936" s="371"/>
      <c r="N936" s="371"/>
      <c r="O936" s="371"/>
      <c r="P936" s="371"/>
      <c r="Q936" s="371"/>
      <c r="R936" s="371"/>
      <c r="S936" s="371"/>
      <c r="T936" s="371"/>
      <c r="U936" s="371"/>
      <c r="V936" s="371"/>
      <c r="W936" s="371"/>
      <c r="X936" s="371"/>
      <c r="Y936" s="371"/>
    </row>
    <row r="937" ht="28.5" customHeight="1">
      <c r="A937" s="371"/>
      <c r="B937" s="307"/>
      <c r="C937" s="307"/>
      <c r="D937" s="307"/>
      <c r="E937" s="307"/>
      <c r="F937" s="307"/>
      <c r="G937" s="307"/>
      <c r="H937" s="371"/>
      <c r="I937" s="371"/>
      <c r="J937" s="371"/>
      <c r="K937" s="371"/>
      <c r="L937" s="371"/>
      <c r="M937" s="371"/>
      <c r="N937" s="371"/>
      <c r="O937" s="371"/>
      <c r="P937" s="371"/>
      <c r="Q937" s="371"/>
      <c r="R937" s="371"/>
      <c r="S937" s="371"/>
      <c r="T937" s="371"/>
      <c r="U937" s="371"/>
      <c r="V937" s="371"/>
      <c r="W937" s="371"/>
      <c r="X937" s="371"/>
      <c r="Y937" s="371"/>
    </row>
    <row r="938" ht="28.5" customHeight="1">
      <c r="A938" s="371"/>
      <c r="B938" s="307"/>
      <c r="C938" s="307"/>
      <c r="D938" s="307"/>
      <c r="E938" s="307"/>
      <c r="F938" s="307"/>
      <c r="G938" s="307"/>
      <c r="H938" s="371"/>
      <c r="I938" s="371"/>
      <c r="J938" s="371"/>
      <c r="K938" s="371"/>
      <c r="L938" s="371"/>
      <c r="M938" s="371"/>
      <c r="N938" s="371"/>
      <c r="O938" s="371"/>
      <c r="P938" s="371"/>
      <c r="Q938" s="371"/>
      <c r="R938" s="371"/>
      <c r="S938" s="371"/>
      <c r="T938" s="371"/>
      <c r="U938" s="371"/>
      <c r="V938" s="371"/>
      <c r="W938" s="371"/>
      <c r="X938" s="371"/>
      <c r="Y938" s="371"/>
    </row>
    <row r="939" ht="28.5" customHeight="1">
      <c r="A939" s="371"/>
      <c r="B939" s="307"/>
      <c r="C939" s="307"/>
      <c r="D939" s="307"/>
      <c r="E939" s="307"/>
      <c r="F939" s="307"/>
      <c r="G939" s="307"/>
      <c r="H939" s="371"/>
      <c r="I939" s="371"/>
      <c r="J939" s="371"/>
      <c r="K939" s="371"/>
      <c r="L939" s="371"/>
      <c r="M939" s="371"/>
      <c r="N939" s="371"/>
      <c r="O939" s="371"/>
      <c r="P939" s="371"/>
      <c r="Q939" s="371"/>
      <c r="R939" s="371"/>
      <c r="S939" s="371"/>
      <c r="T939" s="371"/>
      <c r="U939" s="371"/>
      <c r="V939" s="371"/>
      <c r="W939" s="371"/>
      <c r="X939" s="371"/>
      <c r="Y939" s="371"/>
    </row>
    <row r="940" ht="28.5" customHeight="1">
      <c r="A940" s="371"/>
      <c r="B940" s="307"/>
      <c r="C940" s="307"/>
      <c r="D940" s="307"/>
      <c r="E940" s="307"/>
      <c r="F940" s="307"/>
      <c r="G940" s="307"/>
      <c r="H940" s="371"/>
      <c r="I940" s="371"/>
      <c r="J940" s="371"/>
      <c r="K940" s="371"/>
      <c r="L940" s="371"/>
      <c r="M940" s="371"/>
      <c r="N940" s="371"/>
      <c r="O940" s="371"/>
      <c r="P940" s="371"/>
      <c r="Q940" s="371"/>
      <c r="R940" s="371"/>
      <c r="S940" s="371"/>
      <c r="T940" s="371"/>
      <c r="U940" s="371"/>
      <c r="V940" s="371"/>
      <c r="W940" s="371"/>
      <c r="X940" s="371"/>
      <c r="Y940" s="371"/>
    </row>
    <row r="941" ht="28.5" customHeight="1">
      <c r="A941" s="371"/>
      <c r="B941" s="307"/>
      <c r="C941" s="307"/>
      <c r="D941" s="307"/>
      <c r="E941" s="307"/>
      <c r="F941" s="307"/>
      <c r="G941" s="307"/>
      <c r="H941" s="371"/>
      <c r="I941" s="371"/>
      <c r="J941" s="371"/>
      <c r="K941" s="371"/>
      <c r="L941" s="371"/>
      <c r="M941" s="371"/>
      <c r="N941" s="371"/>
      <c r="O941" s="371"/>
      <c r="P941" s="371"/>
      <c r="Q941" s="371"/>
      <c r="R941" s="371"/>
      <c r="S941" s="371"/>
      <c r="T941" s="371"/>
      <c r="U941" s="371"/>
      <c r="V941" s="371"/>
      <c r="W941" s="371"/>
      <c r="X941" s="371"/>
      <c r="Y941" s="371"/>
    </row>
    <row r="942" ht="28.5" customHeight="1">
      <c r="A942" s="371"/>
      <c r="B942" s="307"/>
      <c r="C942" s="307"/>
      <c r="D942" s="307"/>
      <c r="E942" s="307"/>
      <c r="F942" s="307"/>
      <c r="G942" s="307"/>
      <c r="H942" s="371"/>
      <c r="I942" s="371"/>
      <c r="J942" s="371"/>
      <c r="K942" s="371"/>
      <c r="L942" s="371"/>
      <c r="M942" s="371"/>
      <c r="N942" s="371"/>
      <c r="O942" s="371"/>
      <c r="P942" s="371"/>
      <c r="Q942" s="371"/>
      <c r="R942" s="371"/>
      <c r="S942" s="371"/>
      <c r="T942" s="371"/>
      <c r="U942" s="371"/>
      <c r="V942" s="371"/>
      <c r="W942" s="371"/>
      <c r="X942" s="371"/>
      <c r="Y942" s="371"/>
    </row>
    <row r="943" ht="28.5" customHeight="1">
      <c r="A943" s="371"/>
      <c r="B943" s="307"/>
      <c r="C943" s="307"/>
      <c r="D943" s="307"/>
      <c r="E943" s="307"/>
      <c r="F943" s="307"/>
      <c r="G943" s="307"/>
      <c r="H943" s="371"/>
      <c r="I943" s="371"/>
      <c r="J943" s="371"/>
      <c r="K943" s="371"/>
      <c r="L943" s="371"/>
      <c r="M943" s="371"/>
      <c r="N943" s="371"/>
      <c r="O943" s="371"/>
      <c r="P943" s="371"/>
      <c r="Q943" s="371"/>
      <c r="R943" s="371"/>
      <c r="S943" s="371"/>
      <c r="T943" s="371"/>
      <c r="U943" s="371"/>
      <c r="V943" s="371"/>
      <c r="W943" s="371"/>
      <c r="X943" s="371"/>
      <c r="Y943" s="371"/>
    </row>
    <row r="944" ht="28.5" customHeight="1">
      <c r="A944" s="371"/>
      <c r="B944" s="307"/>
      <c r="C944" s="307"/>
      <c r="D944" s="307"/>
      <c r="E944" s="307"/>
      <c r="F944" s="307"/>
      <c r="G944" s="307"/>
      <c r="H944" s="371"/>
      <c r="I944" s="371"/>
      <c r="J944" s="371"/>
      <c r="K944" s="371"/>
      <c r="L944" s="371"/>
      <c r="M944" s="371"/>
      <c r="N944" s="371"/>
      <c r="O944" s="371"/>
      <c r="P944" s="371"/>
      <c r="Q944" s="371"/>
      <c r="R944" s="371"/>
      <c r="S944" s="371"/>
      <c r="T944" s="371"/>
      <c r="U944" s="371"/>
      <c r="V944" s="371"/>
      <c r="W944" s="371"/>
      <c r="X944" s="371"/>
      <c r="Y944" s="371"/>
    </row>
    <row r="945" ht="28.5" customHeight="1">
      <c r="A945" s="371"/>
      <c r="B945" s="307"/>
      <c r="C945" s="307"/>
      <c r="D945" s="307"/>
      <c r="E945" s="307"/>
      <c r="F945" s="307"/>
      <c r="G945" s="307"/>
      <c r="H945" s="371"/>
      <c r="I945" s="371"/>
      <c r="J945" s="371"/>
      <c r="K945" s="371"/>
      <c r="L945" s="371"/>
      <c r="M945" s="371"/>
      <c r="N945" s="371"/>
      <c r="O945" s="371"/>
      <c r="P945" s="371"/>
      <c r="Q945" s="371"/>
      <c r="R945" s="371"/>
      <c r="S945" s="371"/>
      <c r="T945" s="371"/>
      <c r="U945" s="371"/>
      <c r="V945" s="371"/>
      <c r="W945" s="371"/>
      <c r="X945" s="371"/>
      <c r="Y945" s="371"/>
    </row>
    <row r="946" ht="28.5" customHeight="1">
      <c r="A946" s="371"/>
      <c r="B946" s="307"/>
      <c r="C946" s="307"/>
      <c r="D946" s="307"/>
      <c r="E946" s="307"/>
      <c r="F946" s="307"/>
      <c r="G946" s="307"/>
      <c r="H946" s="371"/>
      <c r="I946" s="371"/>
      <c r="J946" s="371"/>
      <c r="K946" s="371"/>
      <c r="L946" s="371"/>
      <c r="M946" s="371"/>
      <c r="N946" s="371"/>
      <c r="O946" s="371"/>
      <c r="P946" s="371"/>
      <c r="Q946" s="371"/>
      <c r="R946" s="371"/>
      <c r="S946" s="371"/>
      <c r="T946" s="371"/>
      <c r="U946" s="371"/>
      <c r="V946" s="371"/>
      <c r="W946" s="371"/>
      <c r="X946" s="371"/>
      <c r="Y946" s="371"/>
    </row>
    <row r="947" ht="28.5" customHeight="1">
      <c r="A947" s="371"/>
      <c r="B947" s="307"/>
      <c r="C947" s="307"/>
      <c r="D947" s="307"/>
      <c r="E947" s="307"/>
      <c r="F947" s="307"/>
      <c r="G947" s="307"/>
      <c r="H947" s="371"/>
      <c r="I947" s="371"/>
      <c r="J947" s="371"/>
      <c r="K947" s="371"/>
      <c r="L947" s="371"/>
      <c r="M947" s="371"/>
      <c r="N947" s="371"/>
      <c r="O947" s="371"/>
      <c r="P947" s="371"/>
      <c r="Q947" s="371"/>
      <c r="R947" s="371"/>
      <c r="S947" s="371"/>
      <c r="T947" s="371"/>
      <c r="U947" s="371"/>
      <c r="V947" s="371"/>
      <c r="W947" s="371"/>
      <c r="X947" s="371"/>
      <c r="Y947" s="371"/>
    </row>
    <row r="948" ht="28.5" customHeight="1">
      <c r="A948" s="371"/>
      <c r="B948" s="307"/>
      <c r="C948" s="307"/>
      <c r="D948" s="307"/>
      <c r="E948" s="307"/>
      <c r="F948" s="307"/>
      <c r="G948" s="307"/>
      <c r="H948" s="371"/>
      <c r="I948" s="371"/>
      <c r="J948" s="371"/>
      <c r="K948" s="371"/>
      <c r="L948" s="371"/>
      <c r="M948" s="371"/>
      <c r="N948" s="371"/>
      <c r="O948" s="371"/>
      <c r="P948" s="371"/>
      <c r="Q948" s="371"/>
      <c r="R948" s="371"/>
      <c r="S948" s="371"/>
      <c r="T948" s="371"/>
      <c r="U948" s="371"/>
      <c r="V948" s="371"/>
      <c r="W948" s="371"/>
      <c r="X948" s="371"/>
      <c r="Y948" s="371"/>
    </row>
    <row r="949" ht="28.5" customHeight="1">
      <c r="A949" s="371"/>
      <c r="B949" s="307"/>
      <c r="C949" s="307"/>
      <c r="D949" s="307"/>
      <c r="E949" s="307"/>
      <c r="F949" s="307"/>
      <c r="G949" s="307"/>
      <c r="H949" s="371"/>
      <c r="I949" s="371"/>
      <c r="J949" s="371"/>
      <c r="K949" s="371"/>
      <c r="L949" s="371"/>
      <c r="M949" s="371"/>
      <c r="N949" s="371"/>
      <c r="O949" s="371"/>
      <c r="P949" s="371"/>
      <c r="Q949" s="371"/>
      <c r="R949" s="371"/>
      <c r="S949" s="371"/>
      <c r="T949" s="371"/>
      <c r="U949" s="371"/>
      <c r="V949" s="371"/>
      <c r="W949" s="371"/>
      <c r="X949" s="371"/>
      <c r="Y949" s="371"/>
    </row>
    <row r="950" ht="28.5" customHeight="1">
      <c r="A950" s="371"/>
      <c r="B950" s="307"/>
      <c r="C950" s="307"/>
      <c r="D950" s="307"/>
      <c r="E950" s="307"/>
      <c r="F950" s="307"/>
      <c r="G950" s="307"/>
      <c r="H950" s="371"/>
      <c r="I950" s="371"/>
      <c r="J950" s="371"/>
      <c r="K950" s="371"/>
      <c r="L950" s="371"/>
      <c r="M950" s="371"/>
      <c r="N950" s="371"/>
      <c r="O950" s="371"/>
      <c r="P950" s="371"/>
      <c r="Q950" s="371"/>
      <c r="R950" s="371"/>
      <c r="S950" s="371"/>
      <c r="T950" s="371"/>
      <c r="U950" s="371"/>
      <c r="V950" s="371"/>
      <c r="W950" s="371"/>
      <c r="X950" s="371"/>
      <c r="Y950" s="371"/>
    </row>
    <row r="951" ht="28.5" customHeight="1">
      <c r="A951" s="371"/>
      <c r="B951" s="307"/>
      <c r="C951" s="307"/>
      <c r="D951" s="307"/>
      <c r="E951" s="307"/>
      <c r="F951" s="307"/>
      <c r="G951" s="307"/>
      <c r="H951" s="371"/>
      <c r="I951" s="371"/>
      <c r="J951" s="371"/>
      <c r="K951" s="371"/>
      <c r="L951" s="371"/>
      <c r="M951" s="371"/>
      <c r="N951" s="371"/>
      <c r="O951" s="371"/>
      <c r="P951" s="371"/>
      <c r="Q951" s="371"/>
      <c r="R951" s="371"/>
      <c r="S951" s="371"/>
      <c r="T951" s="371"/>
      <c r="U951" s="371"/>
      <c r="V951" s="371"/>
      <c r="W951" s="371"/>
      <c r="X951" s="371"/>
      <c r="Y951" s="371"/>
    </row>
    <row r="952" ht="28.5" customHeight="1">
      <c r="A952" s="371"/>
      <c r="B952" s="307"/>
      <c r="C952" s="307"/>
      <c r="D952" s="307"/>
      <c r="E952" s="307"/>
      <c r="F952" s="307"/>
      <c r="G952" s="307"/>
      <c r="H952" s="371"/>
      <c r="I952" s="371"/>
      <c r="J952" s="371"/>
      <c r="K952" s="371"/>
      <c r="L952" s="371"/>
      <c r="M952" s="371"/>
      <c r="N952" s="371"/>
      <c r="O952" s="371"/>
      <c r="P952" s="371"/>
      <c r="Q952" s="371"/>
      <c r="R952" s="371"/>
      <c r="S952" s="371"/>
      <c r="T952" s="371"/>
      <c r="U952" s="371"/>
      <c r="V952" s="371"/>
      <c r="W952" s="371"/>
      <c r="X952" s="371"/>
      <c r="Y952" s="371"/>
    </row>
    <row r="953" ht="28.5" customHeight="1">
      <c r="A953" s="371"/>
      <c r="B953" s="307"/>
      <c r="C953" s="307"/>
      <c r="D953" s="307"/>
      <c r="E953" s="307"/>
      <c r="F953" s="307"/>
      <c r="G953" s="307"/>
      <c r="H953" s="371"/>
      <c r="I953" s="371"/>
      <c r="J953" s="371"/>
      <c r="K953" s="371"/>
      <c r="L953" s="371"/>
      <c r="M953" s="371"/>
      <c r="N953" s="371"/>
      <c r="O953" s="371"/>
      <c r="P953" s="371"/>
      <c r="Q953" s="371"/>
      <c r="R953" s="371"/>
      <c r="S953" s="371"/>
      <c r="T953" s="371"/>
      <c r="U953" s="371"/>
      <c r="V953" s="371"/>
      <c r="W953" s="371"/>
      <c r="X953" s="371"/>
      <c r="Y953" s="371"/>
    </row>
    <row r="954" ht="28.5" customHeight="1">
      <c r="A954" s="371"/>
      <c r="B954" s="307"/>
      <c r="C954" s="307"/>
      <c r="D954" s="307"/>
      <c r="E954" s="307"/>
      <c r="F954" s="307"/>
      <c r="G954" s="307"/>
      <c r="H954" s="371"/>
      <c r="I954" s="371"/>
      <c r="J954" s="371"/>
      <c r="K954" s="371"/>
      <c r="L954" s="371"/>
      <c r="M954" s="371"/>
      <c r="N954" s="371"/>
      <c r="O954" s="371"/>
      <c r="P954" s="371"/>
      <c r="Q954" s="371"/>
      <c r="R954" s="371"/>
      <c r="S954" s="371"/>
      <c r="T954" s="371"/>
      <c r="U954" s="371"/>
      <c r="V954" s="371"/>
      <c r="W954" s="371"/>
      <c r="X954" s="371"/>
      <c r="Y954" s="371"/>
    </row>
    <row r="955" ht="28.5" customHeight="1">
      <c r="A955" s="371"/>
      <c r="B955" s="307"/>
      <c r="C955" s="307"/>
      <c r="D955" s="307"/>
      <c r="E955" s="307"/>
      <c r="F955" s="307"/>
      <c r="G955" s="307"/>
      <c r="H955" s="371"/>
      <c r="I955" s="371"/>
      <c r="J955" s="371"/>
      <c r="K955" s="371"/>
      <c r="L955" s="371"/>
      <c r="M955" s="371"/>
      <c r="N955" s="371"/>
      <c r="O955" s="371"/>
      <c r="P955" s="371"/>
      <c r="Q955" s="371"/>
      <c r="R955" s="371"/>
      <c r="S955" s="371"/>
      <c r="T955" s="371"/>
      <c r="U955" s="371"/>
      <c r="V955" s="371"/>
      <c r="W955" s="371"/>
      <c r="X955" s="371"/>
      <c r="Y955" s="371"/>
    </row>
    <row r="956" ht="28.5" customHeight="1">
      <c r="A956" s="371"/>
      <c r="B956" s="307"/>
      <c r="C956" s="307"/>
      <c r="D956" s="307"/>
      <c r="E956" s="307"/>
      <c r="F956" s="307"/>
      <c r="G956" s="307"/>
      <c r="H956" s="371"/>
      <c r="I956" s="371"/>
      <c r="J956" s="371"/>
      <c r="K956" s="371"/>
      <c r="L956" s="371"/>
      <c r="M956" s="371"/>
      <c r="N956" s="371"/>
      <c r="O956" s="371"/>
      <c r="P956" s="371"/>
      <c r="Q956" s="371"/>
      <c r="R956" s="371"/>
      <c r="S956" s="371"/>
      <c r="T956" s="371"/>
      <c r="U956" s="371"/>
      <c r="V956" s="371"/>
      <c r="W956" s="371"/>
      <c r="X956" s="371"/>
      <c r="Y956" s="371"/>
    </row>
    <row r="957" ht="28.5" customHeight="1">
      <c r="A957" s="371"/>
      <c r="B957" s="307"/>
      <c r="C957" s="307"/>
      <c r="D957" s="307"/>
      <c r="E957" s="307"/>
      <c r="F957" s="307"/>
      <c r="G957" s="307"/>
      <c r="H957" s="371"/>
      <c r="I957" s="371"/>
      <c r="J957" s="371"/>
      <c r="K957" s="371"/>
      <c r="L957" s="371"/>
      <c r="M957" s="371"/>
      <c r="N957" s="371"/>
      <c r="O957" s="371"/>
      <c r="P957" s="371"/>
      <c r="Q957" s="371"/>
      <c r="R957" s="371"/>
      <c r="S957" s="371"/>
      <c r="T957" s="371"/>
      <c r="U957" s="371"/>
      <c r="V957" s="371"/>
      <c r="W957" s="371"/>
      <c r="X957" s="371"/>
      <c r="Y957" s="371"/>
    </row>
    <row r="958" ht="28.5" customHeight="1">
      <c r="A958" s="371"/>
      <c r="B958" s="307"/>
      <c r="C958" s="307"/>
      <c r="D958" s="307"/>
      <c r="E958" s="307"/>
      <c r="F958" s="307"/>
      <c r="G958" s="307"/>
      <c r="H958" s="371"/>
      <c r="I958" s="371"/>
      <c r="J958" s="371"/>
      <c r="K958" s="371"/>
      <c r="L958" s="371"/>
      <c r="M958" s="371"/>
      <c r="N958" s="371"/>
      <c r="O958" s="371"/>
      <c r="P958" s="371"/>
      <c r="Q958" s="371"/>
      <c r="R958" s="371"/>
      <c r="S958" s="371"/>
      <c r="T958" s="371"/>
      <c r="U958" s="371"/>
      <c r="V958" s="371"/>
      <c r="W958" s="371"/>
      <c r="X958" s="371"/>
      <c r="Y958" s="371"/>
    </row>
    <row r="959" ht="28.5" customHeight="1">
      <c r="A959" s="371"/>
      <c r="B959" s="307"/>
      <c r="C959" s="307"/>
      <c r="D959" s="307"/>
      <c r="E959" s="307"/>
      <c r="F959" s="307"/>
      <c r="G959" s="307"/>
      <c r="H959" s="371"/>
      <c r="I959" s="371"/>
      <c r="J959" s="371"/>
      <c r="K959" s="371"/>
      <c r="L959" s="371"/>
      <c r="M959" s="371"/>
      <c r="N959" s="371"/>
      <c r="O959" s="371"/>
      <c r="P959" s="371"/>
      <c r="Q959" s="371"/>
      <c r="R959" s="371"/>
      <c r="S959" s="371"/>
      <c r="T959" s="371"/>
      <c r="U959" s="371"/>
      <c r="V959" s="371"/>
      <c r="W959" s="371"/>
      <c r="X959" s="371"/>
      <c r="Y959" s="371"/>
    </row>
    <row r="960" ht="28.5" customHeight="1">
      <c r="A960" s="371"/>
      <c r="B960" s="307"/>
      <c r="C960" s="307"/>
      <c r="D960" s="307"/>
      <c r="E960" s="307"/>
      <c r="F960" s="307"/>
      <c r="G960" s="307"/>
      <c r="H960" s="371"/>
      <c r="I960" s="371"/>
      <c r="J960" s="371"/>
      <c r="K960" s="371"/>
      <c r="L960" s="371"/>
      <c r="M960" s="371"/>
      <c r="N960" s="371"/>
      <c r="O960" s="371"/>
      <c r="P960" s="371"/>
      <c r="Q960" s="371"/>
      <c r="R960" s="371"/>
      <c r="S960" s="371"/>
      <c r="T960" s="371"/>
      <c r="U960" s="371"/>
      <c r="V960" s="371"/>
      <c r="W960" s="371"/>
      <c r="X960" s="371"/>
      <c r="Y960" s="371"/>
    </row>
    <row r="961" ht="28.5" customHeight="1">
      <c r="A961" s="371"/>
      <c r="B961" s="307"/>
      <c r="C961" s="307"/>
      <c r="D961" s="307"/>
      <c r="E961" s="307"/>
      <c r="F961" s="307"/>
      <c r="G961" s="307"/>
      <c r="H961" s="371"/>
      <c r="I961" s="371"/>
      <c r="J961" s="371"/>
      <c r="K961" s="371"/>
      <c r="L961" s="371"/>
      <c r="M961" s="371"/>
      <c r="N961" s="371"/>
      <c r="O961" s="371"/>
      <c r="P961" s="371"/>
      <c r="Q961" s="371"/>
      <c r="R961" s="371"/>
      <c r="S961" s="371"/>
      <c r="T961" s="371"/>
      <c r="U961" s="371"/>
      <c r="V961" s="371"/>
      <c r="W961" s="371"/>
      <c r="X961" s="371"/>
      <c r="Y961" s="371"/>
    </row>
    <row r="962" ht="28.5" customHeight="1">
      <c r="A962" s="371"/>
      <c r="B962" s="307"/>
      <c r="C962" s="307"/>
      <c r="D962" s="307"/>
      <c r="E962" s="307"/>
      <c r="F962" s="307"/>
      <c r="G962" s="307"/>
      <c r="H962" s="371"/>
      <c r="I962" s="371"/>
      <c r="J962" s="371"/>
      <c r="K962" s="371"/>
      <c r="L962" s="371"/>
      <c r="M962" s="371"/>
      <c r="N962" s="371"/>
      <c r="O962" s="371"/>
      <c r="P962" s="371"/>
      <c r="Q962" s="371"/>
      <c r="R962" s="371"/>
      <c r="S962" s="371"/>
      <c r="T962" s="371"/>
      <c r="U962" s="371"/>
      <c r="V962" s="371"/>
      <c r="W962" s="371"/>
      <c r="X962" s="371"/>
      <c r="Y962" s="371"/>
    </row>
    <row r="963" ht="28.5" customHeight="1">
      <c r="A963" s="371"/>
      <c r="B963" s="307"/>
      <c r="C963" s="307"/>
      <c r="D963" s="307"/>
      <c r="E963" s="307"/>
      <c r="F963" s="307"/>
      <c r="G963" s="307"/>
      <c r="H963" s="371"/>
      <c r="I963" s="371"/>
      <c r="J963" s="371"/>
      <c r="K963" s="371"/>
      <c r="L963" s="371"/>
      <c r="M963" s="371"/>
      <c r="N963" s="371"/>
      <c r="O963" s="371"/>
      <c r="P963" s="371"/>
      <c r="Q963" s="371"/>
      <c r="R963" s="371"/>
      <c r="S963" s="371"/>
      <c r="T963" s="371"/>
      <c r="U963" s="371"/>
      <c r="V963" s="371"/>
      <c r="W963" s="371"/>
      <c r="X963" s="371"/>
      <c r="Y963" s="371"/>
    </row>
    <row r="964" ht="28.5" customHeight="1">
      <c r="A964" s="371"/>
      <c r="B964" s="307"/>
      <c r="C964" s="307"/>
      <c r="D964" s="307"/>
      <c r="E964" s="307"/>
      <c r="F964" s="307"/>
      <c r="G964" s="307"/>
      <c r="H964" s="371"/>
      <c r="I964" s="371"/>
      <c r="J964" s="371"/>
      <c r="K964" s="371"/>
      <c r="L964" s="371"/>
      <c r="M964" s="371"/>
      <c r="N964" s="371"/>
      <c r="O964" s="371"/>
      <c r="P964" s="371"/>
      <c r="Q964" s="371"/>
      <c r="R964" s="371"/>
      <c r="S964" s="371"/>
      <c r="T964" s="371"/>
      <c r="U964" s="371"/>
      <c r="V964" s="371"/>
      <c r="W964" s="371"/>
      <c r="X964" s="371"/>
      <c r="Y964" s="371"/>
    </row>
    <row r="965" ht="28.5" customHeight="1">
      <c r="A965" s="371"/>
      <c r="B965" s="307"/>
      <c r="C965" s="307"/>
      <c r="D965" s="307"/>
      <c r="E965" s="307"/>
      <c r="F965" s="307"/>
      <c r="G965" s="307"/>
      <c r="H965" s="371"/>
      <c r="I965" s="371"/>
      <c r="J965" s="371"/>
      <c r="K965" s="371"/>
      <c r="L965" s="371"/>
      <c r="M965" s="371"/>
      <c r="N965" s="371"/>
      <c r="O965" s="371"/>
      <c r="P965" s="371"/>
      <c r="Q965" s="371"/>
      <c r="R965" s="371"/>
      <c r="S965" s="371"/>
      <c r="T965" s="371"/>
      <c r="U965" s="371"/>
      <c r="V965" s="371"/>
      <c r="W965" s="371"/>
      <c r="X965" s="371"/>
      <c r="Y965" s="371"/>
    </row>
    <row r="966" ht="28.5" customHeight="1">
      <c r="A966" s="371"/>
      <c r="B966" s="307"/>
      <c r="C966" s="307"/>
      <c r="D966" s="307"/>
      <c r="E966" s="307"/>
      <c r="F966" s="307"/>
      <c r="G966" s="307"/>
      <c r="H966" s="371"/>
      <c r="I966" s="371"/>
      <c r="J966" s="371"/>
      <c r="K966" s="371"/>
      <c r="L966" s="371"/>
      <c r="M966" s="371"/>
      <c r="N966" s="371"/>
      <c r="O966" s="371"/>
      <c r="P966" s="371"/>
      <c r="Q966" s="371"/>
      <c r="R966" s="371"/>
      <c r="S966" s="371"/>
      <c r="T966" s="371"/>
      <c r="U966" s="371"/>
      <c r="V966" s="371"/>
      <c r="W966" s="371"/>
      <c r="X966" s="371"/>
      <c r="Y966" s="371"/>
    </row>
    <row r="967" ht="28.5" customHeight="1">
      <c r="A967" s="371"/>
      <c r="B967" s="307"/>
      <c r="C967" s="307"/>
      <c r="D967" s="307"/>
      <c r="E967" s="307"/>
      <c r="F967" s="307"/>
      <c r="G967" s="307"/>
      <c r="H967" s="371"/>
      <c r="I967" s="371"/>
      <c r="J967" s="371"/>
      <c r="K967" s="371"/>
      <c r="L967" s="371"/>
      <c r="M967" s="371"/>
      <c r="N967" s="371"/>
      <c r="O967" s="371"/>
      <c r="P967" s="371"/>
      <c r="Q967" s="371"/>
      <c r="R967" s="371"/>
      <c r="S967" s="371"/>
      <c r="T967" s="371"/>
      <c r="U967" s="371"/>
      <c r="V967" s="371"/>
      <c r="W967" s="371"/>
      <c r="X967" s="371"/>
      <c r="Y967" s="371"/>
    </row>
    <row r="968" ht="28.5" customHeight="1">
      <c r="A968" s="371"/>
      <c r="B968" s="307"/>
      <c r="C968" s="307"/>
      <c r="D968" s="307"/>
      <c r="E968" s="307"/>
      <c r="F968" s="307"/>
      <c r="G968" s="307"/>
      <c r="H968" s="371"/>
      <c r="I968" s="371"/>
      <c r="J968" s="371"/>
      <c r="K968" s="371"/>
      <c r="L968" s="371"/>
      <c r="M968" s="371"/>
      <c r="N968" s="371"/>
      <c r="O968" s="371"/>
      <c r="P968" s="371"/>
      <c r="Q968" s="371"/>
      <c r="R968" s="371"/>
      <c r="S968" s="371"/>
      <c r="T968" s="371"/>
      <c r="U968" s="371"/>
      <c r="V968" s="371"/>
      <c r="W968" s="371"/>
      <c r="X968" s="371"/>
      <c r="Y968" s="371"/>
    </row>
    <row r="969" ht="28.5" customHeight="1">
      <c r="A969" s="371"/>
      <c r="B969" s="307"/>
      <c r="C969" s="307"/>
      <c r="D969" s="307"/>
      <c r="E969" s="307"/>
      <c r="F969" s="307"/>
      <c r="G969" s="307"/>
      <c r="H969" s="371"/>
      <c r="I969" s="371"/>
      <c r="J969" s="371"/>
      <c r="K969" s="371"/>
      <c r="L969" s="371"/>
      <c r="M969" s="371"/>
      <c r="N969" s="371"/>
      <c r="O969" s="371"/>
      <c r="P969" s="371"/>
      <c r="Q969" s="371"/>
      <c r="R969" s="371"/>
      <c r="S969" s="371"/>
      <c r="T969" s="371"/>
      <c r="U969" s="371"/>
      <c r="V969" s="371"/>
      <c r="W969" s="371"/>
      <c r="X969" s="371"/>
      <c r="Y969" s="371"/>
    </row>
    <row r="970" ht="28.5" customHeight="1">
      <c r="A970" s="371"/>
      <c r="B970" s="307"/>
      <c r="C970" s="307"/>
      <c r="D970" s="307"/>
      <c r="E970" s="307"/>
      <c r="F970" s="307"/>
      <c r="G970" s="307"/>
      <c r="H970" s="371"/>
      <c r="I970" s="371"/>
      <c r="J970" s="371"/>
      <c r="K970" s="371"/>
      <c r="L970" s="371"/>
      <c r="M970" s="371"/>
      <c r="N970" s="371"/>
      <c r="O970" s="371"/>
      <c r="P970" s="371"/>
      <c r="Q970" s="371"/>
      <c r="R970" s="371"/>
      <c r="S970" s="371"/>
      <c r="T970" s="371"/>
      <c r="U970" s="371"/>
      <c r="V970" s="371"/>
      <c r="W970" s="371"/>
      <c r="X970" s="371"/>
      <c r="Y970" s="371"/>
    </row>
    <row r="971" ht="28.5" customHeight="1">
      <c r="A971" s="371"/>
      <c r="B971" s="307"/>
      <c r="C971" s="307"/>
      <c r="D971" s="307"/>
      <c r="E971" s="307"/>
      <c r="F971" s="307"/>
      <c r="G971" s="307"/>
      <c r="H971" s="371"/>
      <c r="I971" s="371"/>
      <c r="J971" s="371"/>
      <c r="K971" s="371"/>
      <c r="L971" s="371"/>
      <c r="M971" s="371"/>
      <c r="N971" s="371"/>
      <c r="O971" s="371"/>
      <c r="P971" s="371"/>
      <c r="Q971" s="371"/>
      <c r="R971" s="371"/>
      <c r="S971" s="371"/>
      <c r="T971" s="371"/>
      <c r="U971" s="371"/>
      <c r="V971" s="371"/>
      <c r="W971" s="371"/>
      <c r="X971" s="371"/>
      <c r="Y971" s="371"/>
    </row>
    <row r="972" ht="28.5" customHeight="1">
      <c r="A972" s="371"/>
      <c r="B972" s="307"/>
      <c r="C972" s="307"/>
      <c r="D972" s="307"/>
      <c r="E972" s="307"/>
      <c r="F972" s="307"/>
      <c r="G972" s="307"/>
      <c r="H972" s="371"/>
      <c r="I972" s="371"/>
      <c r="J972" s="371"/>
      <c r="K972" s="371"/>
      <c r="L972" s="371"/>
      <c r="M972" s="371"/>
      <c r="N972" s="371"/>
      <c r="O972" s="371"/>
      <c r="P972" s="371"/>
      <c r="Q972" s="371"/>
      <c r="R972" s="371"/>
      <c r="S972" s="371"/>
      <c r="T972" s="371"/>
      <c r="U972" s="371"/>
      <c r="V972" s="371"/>
      <c r="W972" s="371"/>
      <c r="X972" s="371"/>
      <c r="Y972" s="371"/>
    </row>
    <row r="973" ht="28.5" customHeight="1">
      <c r="A973" s="371"/>
      <c r="B973" s="307"/>
      <c r="C973" s="307"/>
      <c r="D973" s="307"/>
      <c r="E973" s="307"/>
      <c r="F973" s="307"/>
      <c r="G973" s="307"/>
      <c r="H973" s="371"/>
      <c r="I973" s="371"/>
      <c r="J973" s="371"/>
      <c r="K973" s="371"/>
      <c r="L973" s="371"/>
      <c r="M973" s="371"/>
      <c r="N973" s="371"/>
      <c r="O973" s="371"/>
      <c r="P973" s="371"/>
      <c r="Q973" s="371"/>
      <c r="R973" s="371"/>
      <c r="S973" s="371"/>
      <c r="T973" s="371"/>
      <c r="U973" s="371"/>
      <c r="V973" s="371"/>
      <c r="W973" s="371"/>
      <c r="X973" s="371"/>
      <c r="Y973" s="371"/>
    </row>
    <row r="974" ht="28.5" customHeight="1">
      <c r="A974" s="371"/>
      <c r="B974" s="307"/>
      <c r="C974" s="307"/>
      <c r="D974" s="307"/>
      <c r="E974" s="307"/>
      <c r="F974" s="307"/>
      <c r="G974" s="307"/>
      <c r="H974" s="371"/>
      <c r="I974" s="371"/>
      <c r="J974" s="371"/>
      <c r="K974" s="371"/>
      <c r="L974" s="371"/>
      <c r="M974" s="371"/>
      <c r="N974" s="371"/>
      <c r="O974" s="371"/>
      <c r="P974" s="371"/>
      <c r="Q974" s="371"/>
      <c r="R974" s="371"/>
      <c r="S974" s="371"/>
      <c r="T974" s="371"/>
      <c r="U974" s="371"/>
      <c r="V974" s="371"/>
      <c r="W974" s="371"/>
      <c r="X974" s="371"/>
      <c r="Y974" s="371"/>
    </row>
    <row r="975" ht="28.5" customHeight="1">
      <c r="A975" s="371"/>
      <c r="B975" s="307"/>
      <c r="C975" s="307"/>
      <c r="D975" s="307"/>
      <c r="E975" s="307"/>
      <c r="F975" s="307"/>
      <c r="G975" s="307"/>
      <c r="H975" s="371"/>
      <c r="I975" s="371"/>
      <c r="J975" s="371"/>
      <c r="K975" s="371"/>
      <c r="L975" s="371"/>
      <c r="M975" s="371"/>
      <c r="N975" s="371"/>
      <c r="O975" s="371"/>
      <c r="P975" s="371"/>
      <c r="Q975" s="371"/>
      <c r="R975" s="371"/>
      <c r="S975" s="371"/>
      <c r="T975" s="371"/>
      <c r="U975" s="371"/>
      <c r="V975" s="371"/>
      <c r="W975" s="371"/>
      <c r="X975" s="371"/>
      <c r="Y975" s="371"/>
    </row>
    <row r="976" ht="28.5" customHeight="1">
      <c r="A976" s="371"/>
      <c r="B976" s="307"/>
      <c r="C976" s="307"/>
      <c r="D976" s="307"/>
      <c r="E976" s="307"/>
      <c r="F976" s="307"/>
      <c r="G976" s="307"/>
      <c r="H976" s="371"/>
      <c r="I976" s="371"/>
      <c r="J976" s="371"/>
      <c r="K976" s="371"/>
      <c r="L976" s="371"/>
      <c r="M976" s="371"/>
      <c r="N976" s="371"/>
      <c r="O976" s="371"/>
      <c r="P976" s="371"/>
      <c r="Q976" s="371"/>
      <c r="R976" s="371"/>
      <c r="S976" s="371"/>
      <c r="T976" s="371"/>
      <c r="U976" s="371"/>
      <c r="V976" s="371"/>
      <c r="W976" s="371"/>
      <c r="X976" s="371"/>
      <c r="Y976" s="371"/>
    </row>
    <row r="977" ht="28.5" customHeight="1">
      <c r="A977" s="371"/>
      <c r="B977" s="307"/>
      <c r="C977" s="307"/>
      <c r="D977" s="307"/>
      <c r="E977" s="307"/>
      <c r="F977" s="307"/>
      <c r="G977" s="307"/>
      <c r="H977" s="371"/>
      <c r="I977" s="371"/>
      <c r="J977" s="371"/>
      <c r="K977" s="371"/>
      <c r="L977" s="371"/>
      <c r="M977" s="371"/>
      <c r="N977" s="371"/>
      <c r="O977" s="371"/>
      <c r="P977" s="371"/>
      <c r="Q977" s="371"/>
      <c r="R977" s="371"/>
      <c r="S977" s="371"/>
      <c r="T977" s="371"/>
      <c r="U977" s="371"/>
      <c r="V977" s="371"/>
      <c r="W977" s="371"/>
      <c r="X977" s="371"/>
      <c r="Y977" s="371"/>
    </row>
    <row r="978" ht="28.5" customHeight="1">
      <c r="A978" s="371"/>
      <c r="B978" s="307"/>
      <c r="C978" s="307"/>
      <c r="D978" s="307"/>
      <c r="E978" s="307"/>
      <c r="F978" s="307"/>
      <c r="G978" s="307"/>
      <c r="H978" s="371"/>
      <c r="I978" s="371"/>
      <c r="J978" s="371"/>
      <c r="K978" s="371"/>
      <c r="L978" s="371"/>
      <c r="M978" s="371"/>
      <c r="N978" s="371"/>
      <c r="O978" s="371"/>
      <c r="P978" s="371"/>
      <c r="Q978" s="371"/>
      <c r="R978" s="371"/>
      <c r="S978" s="371"/>
      <c r="T978" s="371"/>
      <c r="U978" s="371"/>
      <c r="V978" s="371"/>
      <c r="W978" s="371"/>
      <c r="X978" s="371"/>
      <c r="Y978" s="371"/>
    </row>
    <row r="979" ht="28.5" customHeight="1">
      <c r="A979" s="371"/>
      <c r="B979" s="307"/>
      <c r="C979" s="307"/>
      <c r="D979" s="307"/>
      <c r="E979" s="307"/>
      <c r="F979" s="307"/>
      <c r="G979" s="307"/>
      <c r="H979" s="371"/>
      <c r="I979" s="371"/>
      <c r="J979" s="371"/>
      <c r="K979" s="371"/>
      <c r="L979" s="371"/>
      <c r="M979" s="371"/>
      <c r="N979" s="371"/>
      <c r="O979" s="371"/>
      <c r="P979" s="371"/>
      <c r="Q979" s="371"/>
      <c r="R979" s="371"/>
      <c r="S979" s="371"/>
      <c r="T979" s="371"/>
      <c r="U979" s="371"/>
      <c r="V979" s="371"/>
      <c r="W979" s="371"/>
      <c r="X979" s="371"/>
      <c r="Y979" s="371"/>
    </row>
    <row r="980" ht="28.5" customHeight="1">
      <c r="A980" s="371"/>
      <c r="B980" s="307"/>
      <c r="C980" s="307"/>
      <c r="D980" s="307"/>
      <c r="E980" s="307"/>
      <c r="F980" s="307"/>
      <c r="G980" s="307"/>
      <c r="H980" s="371"/>
      <c r="I980" s="371"/>
      <c r="J980" s="371"/>
      <c r="K980" s="371"/>
      <c r="L980" s="371"/>
      <c r="M980" s="371"/>
      <c r="N980" s="371"/>
      <c r="O980" s="371"/>
      <c r="P980" s="371"/>
      <c r="Q980" s="371"/>
      <c r="R980" s="371"/>
      <c r="S980" s="371"/>
      <c r="T980" s="371"/>
      <c r="U980" s="371"/>
      <c r="V980" s="371"/>
      <c r="W980" s="371"/>
      <c r="X980" s="371"/>
      <c r="Y980" s="371"/>
    </row>
    <row r="981" ht="28.5" customHeight="1">
      <c r="A981" s="371"/>
      <c r="B981" s="307"/>
      <c r="C981" s="307"/>
      <c r="D981" s="307"/>
      <c r="E981" s="307"/>
      <c r="F981" s="307"/>
      <c r="G981" s="307"/>
      <c r="H981" s="371"/>
      <c r="I981" s="371"/>
      <c r="J981" s="371"/>
      <c r="K981" s="371"/>
      <c r="L981" s="371"/>
      <c r="M981" s="371"/>
      <c r="N981" s="371"/>
      <c r="O981" s="371"/>
      <c r="P981" s="371"/>
      <c r="Q981" s="371"/>
      <c r="R981" s="371"/>
      <c r="S981" s="371"/>
      <c r="T981" s="371"/>
      <c r="U981" s="371"/>
      <c r="V981" s="371"/>
      <c r="W981" s="371"/>
      <c r="X981" s="371"/>
      <c r="Y981" s="371"/>
    </row>
    <row r="982" ht="28.5" customHeight="1">
      <c r="A982" s="371"/>
      <c r="B982" s="307"/>
      <c r="C982" s="307"/>
      <c r="D982" s="307"/>
      <c r="E982" s="307"/>
      <c r="F982" s="307"/>
      <c r="G982" s="307"/>
      <c r="H982" s="371"/>
      <c r="I982" s="371"/>
      <c r="J982" s="371"/>
      <c r="K982" s="371"/>
      <c r="L982" s="371"/>
      <c r="M982" s="371"/>
      <c r="N982" s="371"/>
      <c r="O982" s="371"/>
      <c r="P982" s="371"/>
      <c r="Q982" s="371"/>
      <c r="R982" s="371"/>
      <c r="S982" s="371"/>
      <c r="T982" s="371"/>
      <c r="U982" s="371"/>
      <c r="V982" s="371"/>
      <c r="W982" s="371"/>
      <c r="X982" s="371"/>
      <c r="Y982" s="371"/>
    </row>
    <row r="983" ht="28.5" customHeight="1">
      <c r="A983" s="371"/>
      <c r="B983" s="307"/>
      <c r="C983" s="307"/>
      <c r="D983" s="307"/>
      <c r="E983" s="307"/>
      <c r="F983" s="307"/>
      <c r="G983" s="307"/>
      <c r="H983" s="371"/>
      <c r="I983" s="371"/>
      <c r="J983" s="371"/>
      <c r="K983" s="371"/>
      <c r="L983" s="371"/>
      <c r="M983" s="371"/>
      <c r="N983" s="371"/>
      <c r="O983" s="371"/>
      <c r="P983" s="371"/>
      <c r="Q983" s="371"/>
      <c r="R983" s="371"/>
      <c r="S983" s="371"/>
      <c r="T983" s="371"/>
      <c r="U983" s="371"/>
      <c r="V983" s="371"/>
      <c r="W983" s="371"/>
      <c r="X983" s="371"/>
      <c r="Y983" s="371"/>
    </row>
    <row r="984" ht="28.5" customHeight="1">
      <c r="A984" s="371"/>
      <c r="B984" s="307"/>
      <c r="C984" s="307"/>
      <c r="D984" s="307"/>
      <c r="E984" s="307"/>
      <c r="F984" s="307"/>
      <c r="G984" s="307"/>
      <c r="H984" s="371"/>
      <c r="I984" s="371"/>
      <c r="J984" s="371"/>
      <c r="K984" s="371"/>
      <c r="L984" s="371"/>
      <c r="M984" s="371"/>
      <c r="N984" s="371"/>
      <c r="O984" s="371"/>
      <c r="P984" s="371"/>
      <c r="Q984" s="371"/>
      <c r="R984" s="371"/>
      <c r="S984" s="371"/>
      <c r="T984" s="371"/>
      <c r="U984" s="371"/>
      <c r="V984" s="371"/>
      <c r="W984" s="371"/>
      <c r="X984" s="371"/>
      <c r="Y984" s="371"/>
    </row>
    <row r="985" ht="28.5" customHeight="1">
      <c r="A985" s="371"/>
      <c r="B985" s="307"/>
      <c r="C985" s="307"/>
      <c r="D985" s="307"/>
      <c r="E985" s="307"/>
      <c r="F985" s="307"/>
      <c r="G985" s="307"/>
      <c r="H985" s="371"/>
      <c r="I985" s="371"/>
      <c r="J985" s="371"/>
      <c r="K985" s="371"/>
      <c r="L985" s="371"/>
      <c r="M985" s="371"/>
      <c r="N985" s="371"/>
      <c r="O985" s="371"/>
      <c r="P985" s="371"/>
      <c r="Q985" s="371"/>
      <c r="R985" s="371"/>
      <c r="S985" s="371"/>
      <c r="T985" s="371"/>
      <c r="U985" s="371"/>
      <c r="V985" s="371"/>
      <c r="W985" s="371"/>
      <c r="X985" s="371"/>
      <c r="Y985" s="371"/>
    </row>
    <row r="986" ht="28.5" customHeight="1">
      <c r="A986" s="371"/>
      <c r="B986" s="307"/>
      <c r="C986" s="307"/>
      <c r="D986" s="307"/>
      <c r="E986" s="307"/>
      <c r="F986" s="307"/>
      <c r="G986" s="307"/>
      <c r="H986" s="371"/>
      <c r="I986" s="371"/>
      <c r="J986" s="371"/>
      <c r="K986" s="371"/>
      <c r="L986" s="371"/>
      <c r="M986" s="371"/>
      <c r="N986" s="371"/>
      <c r="O986" s="371"/>
      <c r="P986" s="371"/>
      <c r="Q986" s="371"/>
      <c r="R986" s="371"/>
      <c r="S986" s="371"/>
      <c r="T986" s="371"/>
      <c r="U986" s="371"/>
      <c r="V986" s="371"/>
      <c r="W986" s="371"/>
      <c r="X986" s="371"/>
      <c r="Y986" s="371"/>
    </row>
    <row r="987" ht="28.5" customHeight="1">
      <c r="A987" s="371"/>
      <c r="B987" s="307"/>
      <c r="C987" s="307"/>
      <c r="D987" s="307"/>
      <c r="E987" s="307"/>
      <c r="F987" s="307"/>
      <c r="G987" s="307"/>
      <c r="H987" s="371"/>
      <c r="I987" s="371"/>
      <c r="J987" s="371"/>
      <c r="K987" s="371"/>
      <c r="L987" s="371"/>
      <c r="M987" s="371"/>
      <c r="N987" s="371"/>
      <c r="O987" s="371"/>
      <c r="P987" s="371"/>
      <c r="Q987" s="371"/>
      <c r="R987" s="371"/>
      <c r="S987" s="371"/>
      <c r="T987" s="371"/>
      <c r="U987" s="371"/>
      <c r="V987" s="371"/>
      <c r="W987" s="371"/>
      <c r="X987" s="371"/>
      <c r="Y987" s="371"/>
    </row>
    <row r="988" ht="28.5" customHeight="1">
      <c r="A988" s="371"/>
      <c r="B988" s="307"/>
      <c r="C988" s="307"/>
      <c r="D988" s="307"/>
      <c r="E988" s="307"/>
      <c r="F988" s="307"/>
      <c r="G988" s="307"/>
      <c r="H988" s="371"/>
      <c r="I988" s="371"/>
      <c r="J988" s="371"/>
      <c r="K988" s="371"/>
      <c r="L988" s="371"/>
      <c r="M988" s="371"/>
      <c r="N988" s="371"/>
      <c r="O988" s="371"/>
      <c r="P988" s="371"/>
      <c r="Q988" s="371"/>
      <c r="R988" s="371"/>
      <c r="S988" s="371"/>
      <c r="T988" s="371"/>
      <c r="U988" s="371"/>
      <c r="V988" s="371"/>
      <c r="W988" s="371"/>
      <c r="X988" s="371"/>
      <c r="Y988" s="371"/>
    </row>
    <row r="989" ht="28.5" customHeight="1">
      <c r="A989" s="371"/>
      <c r="B989" s="307"/>
      <c r="C989" s="307"/>
      <c r="D989" s="307"/>
      <c r="E989" s="307"/>
      <c r="F989" s="307"/>
      <c r="G989" s="307"/>
      <c r="H989" s="371"/>
      <c r="I989" s="371"/>
      <c r="J989" s="371"/>
      <c r="K989" s="371"/>
      <c r="L989" s="371"/>
      <c r="M989" s="371"/>
      <c r="N989" s="371"/>
      <c r="O989" s="371"/>
      <c r="P989" s="371"/>
      <c r="Q989" s="371"/>
      <c r="R989" s="371"/>
      <c r="S989" s="371"/>
      <c r="T989" s="371"/>
      <c r="U989" s="371"/>
      <c r="V989" s="371"/>
      <c r="W989" s="371"/>
      <c r="X989" s="371"/>
      <c r="Y989" s="371"/>
    </row>
    <row r="990" ht="28.5" customHeight="1">
      <c r="A990" s="371"/>
      <c r="B990" s="307"/>
      <c r="C990" s="307"/>
      <c r="D990" s="307"/>
      <c r="E990" s="307"/>
      <c r="F990" s="307"/>
      <c r="G990" s="307"/>
      <c r="H990" s="371"/>
      <c r="I990" s="371"/>
      <c r="J990" s="371"/>
      <c r="K990" s="371"/>
      <c r="L990" s="371"/>
      <c r="M990" s="371"/>
      <c r="N990" s="371"/>
      <c r="O990" s="371"/>
      <c r="P990" s="371"/>
      <c r="Q990" s="371"/>
      <c r="R990" s="371"/>
      <c r="S990" s="371"/>
      <c r="T990" s="371"/>
      <c r="U990" s="371"/>
      <c r="V990" s="371"/>
      <c r="W990" s="371"/>
      <c r="X990" s="371"/>
      <c r="Y990" s="371"/>
    </row>
    <row r="991" ht="28.5" customHeight="1">
      <c r="A991" s="371"/>
      <c r="B991" s="307"/>
      <c r="C991" s="307"/>
      <c r="D991" s="307"/>
      <c r="E991" s="307"/>
      <c r="F991" s="307"/>
      <c r="G991" s="307"/>
      <c r="H991" s="371"/>
      <c r="I991" s="371"/>
      <c r="J991" s="371"/>
      <c r="K991" s="371"/>
      <c r="L991" s="371"/>
      <c r="M991" s="371"/>
      <c r="N991" s="371"/>
      <c r="O991" s="371"/>
      <c r="P991" s="371"/>
      <c r="Q991" s="371"/>
      <c r="R991" s="371"/>
      <c r="S991" s="371"/>
      <c r="T991" s="371"/>
      <c r="U991" s="371"/>
      <c r="V991" s="371"/>
      <c r="W991" s="371"/>
      <c r="X991" s="371"/>
      <c r="Y991" s="371"/>
    </row>
    <row r="992" ht="28.5" customHeight="1">
      <c r="A992" s="371"/>
      <c r="B992" s="307"/>
      <c r="C992" s="307"/>
      <c r="D992" s="307"/>
      <c r="E992" s="307"/>
      <c r="F992" s="307"/>
      <c r="G992" s="307"/>
      <c r="H992" s="371"/>
      <c r="I992" s="371"/>
      <c r="J992" s="371"/>
      <c r="K992" s="371"/>
      <c r="L992" s="371"/>
      <c r="M992" s="371"/>
      <c r="N992" s="371"/>
      <c r="O992" s="371"/>
      <c r="P992" s="371"/>
      <c r="Q992" s="371"/>
      <c r="R992" s="371"/>
      <c r="S992" s="371"/>
      <c r="T992" s="371"/>
      <c r="U992" s="371"/>
      <c r="V992" s="371"/>
      <c r="W992" s="371"/>
      <c r="X992" s="371"/>
      <c r="Y992" s="371"/>
    </row>
    <row r="993" ht="28.5" customHeight="1">
      <c r="A993" s="371"/>
      <c r="B993" s="307"/>
      <c r="C993" s="307"/>
      <c r="D993" s="307"/>
      <c r="E993" s="307"/>
      <c r="F993" s="307"/>
      <c r="G993" s="307"/>
      <c r="H993" s="371"/>
      <c r="I993" s="371"/>
      <c r="J993" s="371"/>
      <c r="K993" s="371"/>
      <c r="L993" s="371"/>
      <c r="M993" s="371"/>
      <c r="N993" s="371"/>
      <c r="O993" s="371"/>
      <c r="P993" s="371"/>
      <c r="Q993" s="371"/>
      <c r="R993" s="371"/>
      <c r="S993" s="371"/>
      <c r="T993" s="371"/>
      <c r="U993" s="371"/>
      <c r="V993" s="371"/>
      <c r="W993" s="371"/>
      <c r="X993" s="371"/>
      <c r="Y993" s="371"/>
    </row>
    <row r="994" ht="28.5" customHeight="1">
      <c r="A994" s="371"/>
      <c r="B994" s="307"/>
      <c r="C994" s="307"/>
      <c r="D994" s="307"/>
      <c r="E994" s="307"/>
      <c r="F994" s="307"/>
      <c r="G994" s="307"/>
      <c r="H994" s="371"/>
      <c r="I994" s="371"/>
      <c r="J994" s="371"/>
      <c r="K994" s="371"/>
      <c r="L994" s="371"/>
      <c r="M994" s="371"/>
      <c r="N994" s="371"/>
      <c r="O994" s="371"/>
      <c r="P994" s="371"/>
      <c r="Q994" s="371"/>
      <c r="R994" s="371"/>
      <c r="S994" s="371"/>
      <c r="T994" s="371"/>
      <c r="U994" s="371"/>
      <c r="V994" s="371"/>
      <c r="W994" s="371"/>
      <c r="X994" s="371"/>
      <c r="Y994" s="371"/>
    </row>
    <row r="995" ht="28.5" customHeight="1">
      <c r="A995" s="371"/>
      <c r="B995" s="307"/>
      <c r="C995" s="307"/>
      <c r="D995" s="307"/>
      <c r="E995" s="307"/>
      <c r="F995" s="307"/>
      <c r="G995" s="307"/>
      <c r="H995" s="371"/>
      <c r="I995" s="371"/>
      <c r="J995" s="371"/>
      <c r="K995" s="371"/>
      <c r="L995" s="371"/>
      <c r="M995" s="371"/>
      <c r="N995" s="371"/>
      <c r="O995" s="371"/>
      <c r="P995" s="371"/>
      <c r="Q995" s="371"/>
      <c r="R995" s="371"/>
      <c r="S995" s="371"/>
      <c r="T995" s="371"/>
      <c r="U995" s="371"/>
      <c r="V995" s="371"/>
      <c r="W995" s="371"/>
      <c r="X995" s="371"/>
      <c r="Y995" s="371"/>
    </row>
    <row r="996" ht="28.5" customHeight="1">
      <c r="A996" s="371"/>
      <c r="B996" s="307"/>
      <c r="C996" s="307"/>
      <c r="D996" s="307"/>
      <c r="E996" s="307"/>
      <c r="F996" s="307"/>
      <c r="G996" s="307"/>
      <c r="H996" s="371"/>
      <c r="I996" s="371"/>
      <c r="J996" s="371"/>
      <c r="K996" s="371"/>
      <c r="L996" s="371"/>
      <c r="M996" s="371"/>
      <c r="N996" s="371"/>
      <c r="O996" s="371"/>
      <c r="P996" s="371"/>
      <c r="Q996" s="371"/>
      <c r="R996" s="371"/>
      <c r="S996" s="371"/>
      <c r="T996" s="371"/>
      <c r="U996" s="371"/>
      <c r="V996" s="371"/>
      <c r="W996" s="371"/>
      <c r="X996" s="371"/>
      <c r="Y996" s="371"/>
    </row>
    <row r="997" ht="28.5" customHeight="1">
      <c r="A997" s="371"/>
      <c r="B997" s="307"/>
      <c r="C997" s="307"/>
      <c r="D997" s="307"/>
      <c r="E997" s="307"/>
      <c r="F997" s="307"/>
      <c r="G997" s="307"/>
      <c r="H997" s="371"/>
      <c r="I997" s="371"/>
      <c r="J997" s="371"/>
      <c r="K997" s="371"/>
      <c r="L997" s="371"/>
      <c r="M997" s="371"/>
      <c r="N997" s="371"/>
      <c r="O997" s="371"/>
      <c r="P997" s="371"/>
      <c r="Q997" s="371"/>
      <c r="R997" s="371"/>
      <c r="S997" s="371"/>
      <c r="T997" s="371"/>
      <c r="U997" s="371"/>
      <c r="V997" s="371"/>
      <c r="W997" s="371"/>
      <c r="X997" s="371"/>
      <c r="Y997" s="371"/>
    </row>
    <row r="998" ht="28.5" customHeight="1">
      <c r="A998" s="371"/>
      <c r="B998" s="307"/>
      <c r="C998" s="307"/>
      <c r="D998" s="307"/>
      <c r="E998" s="307"/>
      <c r="F998" s="307"/>
      <c r="G998" s="307"/>
      <c r="H998" s="371"/>
      <c r="I998" s="371"/>
      <c r="J998" s="371"/>
      <c r="K998" s="371"/>
      <c r="L998" s="371"/>
      <c r="M998" s="371"/>
      <c r="N998" s="371"/>
      <c r="O998" s="371"/>
      <c r="P998" s="371"/>
      <c r="Q998" s="371"/>
      <c r="R998" s="371"/>
      <c r="S998" s="371"/>
      <c r="T998" s="371"/>
      <c r="U998" s="371"/>
      <c r="V998" s="371"/>
      <c r="W998" s="371"/>
      <c r="X998" s="371"/>
      <c r="Y998" s="371"/>
    </row>
    <row r="999" ht="28.5" customHeight="1">
      <c r="A999" s="371"/>
      <c r="B999" s="307"/>
      <c r="C999" s="307"/>
      <c r="D999" s="307"/>
      <c r="E999" s="307"/>
      <c r="F999" s="307"/>
      <c r="G999" s="307"/>
      <c r="H999" s="371"/>
      <c r="I999" s="371"/>
      <c r="J999" s="371"/>
      <c r="K999" s="371"/>
      <c r="L999" s="371"/>
      <c r="M999" s="371"/>
      <c r="N999" s="371"/>
      <c r="O999" s="371"/>
      <c r="P999" s="371"/>
      <c r="Q999" s="371"/>
      <c r="R999" s="371"/>
      <c r="S999" s="371"/>
      <c r="T999" s="371"/>
      <c r="U999" s="371"/>
      <c r="V999" s="371"/>
      <c r="W999" s="371"/>
      <c r="X999" s="371"/>
      <c r="Y999" s="371"/>
    </row>
  </sheetData>
  <mergeCells count="12">
    <mergeCell ref="C8:C9"/>
    <mergeCell ref="D8:G8"/>
    <mergeCell ref="K8:K9"/>
    <mergeCell ref="L8:L9"/>
    <mergeCell ref="B2:B3"/>
    <mergeCell ref="C2:C3"/>
    <mergeCell ref="D2:G2"/>
    <mergeCell ref="K2:K3"/>
    <mergeCell ref="L2:L3"/>
    <mergeCell ref="M2:P2"/>
    <mergeCell ref="B8:B9"/>
    <mergeCell ref="M8:M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6.13"/>
  </cols>
  <sheetData>
    <row r="1">
      <c r="A1" s="278" t="s">
        <v>2843</v>
      </c>
      <c r="B1" s="2" t="s">
        <v>1</v>
      </c>
      <c r="C1" s="3"/>
      <c r="D1" s="4"/>
      <c r="E1" s="5" t="s">
        <v>2</v>
      </c>
      <c r="F1" s="5" t="s">
        <v>3</v>
      </c>
      <c r="G1" s="6"/>
      <c r="H1" s="7" t="s">
        <v>4</v>
      </c>
      <c r="I1" s="8" t="s">
        <v>5</v>
      </c>
    </row>
    <row r="2" hidden="1">
      <c r="A2" s="16" t="s">
        <v>376</v>
      </c>
      <c r="B2" s="17"/>
      <c r="C2" s="18"/>
      <c r="D2" s="4"/>
      <c r="E2" s="19"/>
      <c r="F2" s="19">
        <v>0.0</v>
      </c>
      <c r="G2" s="20" t="s">
        <v>377</v>
      </c>
      <c r="H2" s="21"/>
      <c r="I2" s="22">
        <v>0.0</v>
      </c>
    </row>
    <row r="3">
      <c r="A3" s="52" t="s">
        <v>758</v>
      </c>
      <c r="B3" s="36"/>
      <c r="C3" s="18"/>
      <c r="D3" s="4"/>
      <c r="E3" s="19"/>
      <c r="F3" s="19">
        <v>15.0</v>
      </c>
      <c r="G3" s="20" t="s">
        <v>377</v>
      </c>
      <c r="H3" s="21"/>
      <c r="I3" s="22">
        <v>6.0</v>
      </c>
    </row>
    <row r="4" hidden="1">
      <c r="A4" s="52" t="s">
        <v>896</v>
      </c>
      <c r="B4" s="36"/>
      <c r="C4" s="18"/>
      <c r="D4" s="4"/>
      <c r="E4" s="19"/>
      <c r="F4" s="19">
        <v>0.0</v>
      </c>
      <c r="G4" s="20" t="s">
        <v>377</v>
      </c>
      <c r="H4" s="21"/>
      <c r="I4" s="22">
        <v>8.0</v>
      </c>
    </row>
    <row r="5" hidden="1">
      <c r="A5" s="52" t="s">
        <v>897</v>
      </c>
      <c r="B5" s="36"/>
      <c r="C5" s="18"/>
      <c r="D5" s="4"/>
      <c r="E5" s="19"/>
      <c r="F5" s="19">
        <v>0.0</v>
      </c>
      <c r="G5" s="20" t="s">
        <v>377</v>
      </c>
      <c r="H5" s="21"/>
      <c r="I5" s="22">
        <v>18.0</v>
      </c>
    </row>
    <row r="6" hidden="1">
      <c r="A6" s="52" t="s">
        <v>1261</v>
      </c>
      <c r="B6" s="36"/>
      <c r="C6" s="18"/>
      <c r="D6" s="4"/>
      <c r="E6" s="19"/>
      <c r="F6" s="19">
        <v>0.0</v>
      </c>
      <c r="G6" s="20" t="s">
        <v>377</v>
      </c>
      <c r="H6" s="21"/>
      <c r="I6" s="22">
        <v>1.0</v>
      </c>
    </row>
    <row r="7" hidden="1">
      <c r="A7" s="52" t="s">
        <v>1299</v>
      </c>
      <c r="B7" s="17" t="s">
        <v>1298</v>
      </c>
      <c r="C7" s="18"/>
      <c r="D7" s="4"/>
      <c r="E7" s="19"/>
      <c r="F7" s="19">
        <v>0.0</v>
      </c>
      <c r="G7" s="20" t="s">
        <v>377</v>
      </c>
      <c r="H7" s="21"/>
      <c r="I7" s="22">
        <v>15.0</v>
      </c>
    </row>
    <row r="8">
      <c r="A8" s="52" t="s">
        <v>1300</v>
      </c>
      <c r="B8" s="51" t="s">
        <v>1296</v>
      </c>
      <c r="C8" s="18" t="s">
        <v>55</v>
      </c>
      <c r="D8" s="4"/>
      <c r="E8" s="19"/>
      <c r="F8" s="19">
        <v>5.0</v>
      </c>
      <c r="G8" s="20" t="s">
        <v>377</v>
      </c>
      <c r="H8" s="21"/>
      <c r="I8" s="22">
        <v>0.0</v>
      </c>
    </row>
    <row r="9">
      <c r="A9" s="52" t="s">
        <v>1418</v>
      </c>
      <c r="B9" s="36"/>
      <c r="C9" s="18"/>
      <c r="D9" s="4"/>
      <c r="E9" s="19"/>
      <c r="F9" s="19">
        <v>15.0</v>
      </c>
      <c r="G9" s="20" t="s">
        <v>377</v>
      </c>
      <c r="H9" s="21"/>
      <c r="I9" s="22">
        <v>6.0</v>
      </c>
    </row>
    <row r="10" hidden="1">
      <c r="A10" s="52" t="s">
        <v>1519</v>
      </c>
      <c r="B10" s="36" t="s">
        <v>1520</v>
      </c>
      <c r="C10" s="18"/>
      <c r="D10" s="4"/>
      <c r="E10" s="19"/>
      <c r="F10" s="19">
        <v>0.0</v>
      </c>
      <c r="G10" s="20" t="s">
        <v>1521</v>
      </c>
      <c r="H10" s="21"/>
      <c r="I10" s="22">
        <v>23.0</v>
      </c>
    </row>
    <row r="11" hidden="1">
      <c r="A11" s="52" t="s">
        <v>1522</v>
      </c>
      <c r="B11" s="36"/>
      <c r="C11" s="18"/>
      <c r="D11" s="4"/>
      <c r="E11" s="19"/>
      <c r="F11" s="19">
        <v>0.0</v>
      </c>
      <c r="G11" s="20" t="s">
        <v>377</v>
      </c>
      <c r="H11" s="21"/>
      <c r="I11" s="22">
        <v>16.0</v>
      </c>
    </row>
    <row r="12">
      <c r="A12" s="52" t="s">
        <v>1524</v>
      </c>
      <c r="B12" s="36"/>
      <c r="C12" s="18"/>
      <c r="D12" s="4"/>
      <c r="E12" s="19"/>
      <c r="F12" s="19">
        <v>1.0</v>
      </c>
      <c r="G12" s="20" t="s">
        <v>377</v>
      </c>
      <c r="H12" s="21"/>
      <c r="I12" s="22">
        <v>0.0</v>
      </c>
    </row>
  </sheetData>
  <autoFilter ref="$A$1:$Z$1000">
    <filterColumn colId="5">
      <filters blank="1">
        <filter val="1"/>
        <filter val="15"/>
        <filter val="5"/>
      </filters>
    </filterColumn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2.13"/>
    <col customWidth="1" min="2" max="2" width="23.5"/>
  </cols>
  <sheetData>
    <row r="1">
      <c r="A1" s="278" t="s">
        <v>2843</v>
      </c>
      <c r="B1" s="2" t="s">
        <v>1</v>
      </c>
      <c r="C1" s="3"/>
      <c r="D1" s="4"/>
      <c r="E1" s="5" t="s">
        <v>2</v>
      </c>
      <c r="F1" s="5" t="s">
        <v>3</v>
      </c>
      <c r="G1" s="6"/>
      <c r="H1" s="7" t="s">
        <v>4</v>
      </c>
      <c r="I1" s="8" t="s">
        <v>5</v>
      </c>
    </row>
    <row r="2">
      <c r="A2" s="42" t="s">
        <v>62</v>
      </c>
      <c r="B2" s="17"/>
      <c r="C2" s="18"/>
      <c r="D2" s="4"/>
      <c r="E2" s="19"/>
      <c r="F2" s="19">
        <v>0.0</v>
      </c>
      <c r="G2" s="54" t="s">
        <v>63</v>
      </c>
      <c r="H2" s="21"/>
      <c r="I2" s="22">
        <v>0.0</v>
      </c>
    </row>
    <row r="3">
      <c r="A3" s="16" t="s">
        <v>79</v>
      </c>
      <c r="B3" s="51" t="s">
        <v>72</v>
      </c>
      <c r="C3" s="18" t="s">
        <v>80</v>
      </c>
      <c r="D3" s="4"/>
      <c r="E3" s="19"/>
      <c r="F3" s="19">
        <v>0.0</v>
      </c>
      <c r="G3" s="54" t="s">
        <v>81</v>
      </c>
      <c r="H3" s="21"/>
      <c r="I3" s="22">
        <v>30.0</v>
      </c>
    </row>
    <row r="4">
      <c r="A4" s="16" t="s">
        <v>101</v>
      </c>
      <c r="B4" s="17"/>
      <c r="C4" s="18"/>
      <c r="D4" s="66"/>
      <c r="E4" s="19"/>
      <c r="F4" s="19">
        <v>6.0</v>
      </c>
      <c r="G4" s="54" t="s">
        <v>102</v>
      </c>
      <c r="H4" s="21"/>
      <c r="I4" s="22">
        <v>4.0</v>
      </c>
    </row>
    <row r="5">
      <c r="A5" s="42" t="s">
        <v>130</v>
      </c>
      <c r="B5" s="71"/>
      <c r="C5" s="18"/>
      <c r="D5" s="4"/>
      <c r="E5" s="19"/>
      <c r="F5" s="19">
        <v>0.0</v>
      </c>
      <c r="G5" s="54" t="s">
        <v>63</v>
      </c>
      <c r="H5" s="21"/>
      <c r="I5" s="22">
        <v>10.0</v>
      </c>
    </row>
    <row r="6">
      <c r="A6" s="42" t="s">
        <v>131</v>
      </c>
      <c r="B6" s="71"/>
      <c r="C6" s="18"/>
      <c r="D6" s="4"/>
      <c r="E6" s="19"/>
      <c r="F6" s="19">
        <v>0.0</v>
      </c>
      <c r="G6" s="54" t="s">
        <v>63</v>
      </c>
      <c r="H6" s="21"/>
      <c r="I6" s="22">
        <v>0.0</v>
      </c>
    </row>
    <row r="7">
      <c r="A7" s="16" t="s">
        <v>247</v>
      </c>
      <c r="B7" s="17" t="s">
        <v>248</v>
      </c>
      <c r="C7" s="18"/>
      <c r="D7" s="4"/>
      <c r="E7" s="19"/>
      <c r="F7" s="19">
        <v>0.0</v>
      </c>
      <c r="G7" s="54" t="s">
        <v>102</v>
      </c>
      <c r="H7" s="21"/>
      <c r="I7" s="22">
        <v>6.0</v>
      </c>
    </row>
    <row r="8">
      <c r="A8" s="16" t="s">
        <v>249</v>
      </c>
      <c r="B8" s="17"/>
      <c r="C8" s="106"/>
      <c r="D8" s="4"/>
      <c r="E8" s="19"/>
      <c r="F8" s="19">
        <v>0.0</v>
      </c>
      <c r="G8" s="54" t="s">
        <v>102</v>
      </c>
      <c r="H8" s="21"/>
      <c r="I8" s="22">
        <v>0.0</v>
      </c>
    </row>
    <row r="9">
      <c r="A9" s="16" t="s">
        <v>250</v>
      </c>
      <c r="B9" s="17"/>
      <c r="C9" s="106"/>
      <c r="D9" s="107"/>
      <c r="E9" s="108"/>
      <c r="F9" s="19">
        <v>0.0</v>
      </c>
      <c r="G9" s="54" t="s">
        <v>102</v>
      </c>
      <c r="H9" s="21"/>
      <c r="I9" s="22">
        <v>0.0</v>
      </c>
    </row>
    <row r="10">
      <c r="A10" s="16" t="s">
        <v>401</v>
      </c>
      <c r="B10" s="17"/>
      <c r="C10" s="109"/>
      <c r="D10" s="4"/>
      <c r="E10" s="19"/>
      <c r="F10" s="19">
        <v>0.0</v>
      </c>
      <c r="G10" s="54" t="s">
        <v>63</v>
      </c>
      <c r="H10" s="21"/>
      <c r="I10" s="22">
        <v>0.0</v>
      </c>
    </row>
    <row r="11">
      <c r="A11" s="16" t="s">
        <v>471</v>
      </c>
      <c r="B11" s="36" t="s">
        <v>472</v>
      </c>
      <c r="C11" s="18" t="s">
        <v>144</v>
      </c>
      <c r="D11" s="4"/>
      <c r="E11" s="19"/>
      <c r="F11" s="19">
        <v>0.0</v>
      </c>
      <c r="G11" s="54" t="s">
        <v>473</v>
      </c>
      <c r="H11" s="21"/>
      <c r="I11" s="22">
        <v>7.0</v>
      </c>
    </row>
    <row r="12">
      <c r="A12" s="16" t="s">
        <v>479</v>
      </c>
      <c r="B12" s="17"/>
      <c r="C12" s="92"/>
      <c r="D12" s="4"/>
      <c r="E12" s="19"/>
      <c r="F12" s="19">
        <v>3.0</v>
      </c>
      <c r="G12" s="54" t="s">
        <v>63</v>
      </c>
      <c r="H12" s="21"/>
      <c r="I12" s="22">
        <v>2.0</v>
      </c>
    </row>
    <row r="13">
      <c r="A13" s="42" t="s">
        <v>647</v>
      </c>
      <c r="B13" s="17"/>
      <c r="C13" s="18"/>
      <c r="D13" s="4"/>
      <c r="E13" s="19"/>
      <c r="F13" s="19">
        <v>0.0</v>
      </c>
      <c r="G13" s="54" t="s">
        <v>102</v>
      </c>
      <c r="H13" s="21"/>
      <c r="I13" s="22">
        <v>0.0</v>
      </c>
    </row>
    <row r="14">
      <c r="A14" s="42" t="s">
        <v>649</v>
      </c>
      <c r="B14" s="17" t="s">
        <v>650</v>
      </c>
      <c r="C14" s="18"/>
      <c r="D14" s="4"/>
      <c r="E14" s="19"/>
      <c r="F14" s="19">
        <v>0.0</v>
      </c>
      <c r="G14" s="54" t="s">
        <v>473</v>
      </c>
      <c r="H14" s="21"/>
      <c r="I14" s="22">
        <v>0.0</v>
      </c>
    </row>
    <row r="15">
      <c r="A15" s="42" t="s">
        <v>651</v>
      </c>
      <c r="B15" s="17"/>
      <c r="C15" s="18"/>
      <c r="D15" s="4"/>
      <c r="E15" s="19"/>
      <c r="F15" s="19">
        <v>0.0</v>
      </c>
      <c r="G15" s="54" t="s">
        <v>473</v>
      </c>
      <c r="H15" s="21"/>
      <c r="I15" s="22">
        <v>2.0</v>
      </c>
    </row>
    <row r="16">
      <c r="A16" s="42" t="s">
        <v>652</v>
      </c>
      <c r="B16" s="17"/>
      <c r="C16" s="18"/>
      <c r="D16" s="4"/>
      <c r="E16" s="19"/>
      <c r="F16" s="19">
        <v>0.0</v>
      </c>
      <c r="G16" s="54" t="s">
        <v>473</v>
      </c>
      <c r="H16" s="21"/>
      <c r="I16" s="22">
        <v>0.0</v>
      </c>
    </row>
    <row r="17">
      <c r="A17" s="42" t="s">
        <v>653</v>
      </c>
      <c r="B17" s="17"/>
      <c r="C17" s="18"/>
      <c r="D17" s="4"/>
      <c r="E17" s="19"/>
      <c r="F17" s="19">
        <v>0.0</v>
      </c>
      <c r="G17" s="54" t="s">
        <v>473</v>
      </c>
      <c r="H17" s="21"/>
      <c r="I17" s="22">
        <v>8.0</v>
      </c>
    </row>
    <row r="18">
      <c r="A18" s="16" t="s">
        <v>654</v>
      </c>
      <c r="B18" s="17"/>
      <c r="C18" s="18"/>
      <c r="D18" s="4"/>
      <c r="E18" s="19"/>
      <c r="F18" s="19">
        <v>10.0</v>
      </c>
      <c r="G18" s="120" t="s">
        <v>655</v>
      </c>
      <c r="H18" s="21"/>
      <c r="I18" s="22">
        <v>5.0</v>
      </c>
    </row>
    <row r="19">
      <c r="A19" s="16" t="s">
        <v>657</v>
      </c>
      <c r="B19" s="17"/>
      <c r="C19" s="18"/>
      <c r="D19" s="4"/>
      <c r="E19" s="19"/>
      <c r="F19" s="19">
        <v>0.0</v>
      </c>
      <c r="G19" s="120" t="s">
        <v>655</v>
      </c>
      <c r="H19" s="21"/>
      <c r="I19" s="22">
        <v>0.0</v>
      </c>
    </row>
    <row r="20">
      <c r="A20" s="16" t="s">
        <v>781</v>
      </c>
      <c r="B20" s="54" t="s">
        <v>782</v>
      </c>
      <c r="C20" s="18"/>
      <c r="D20" s="4"/>
      <c r="E20" s="19"/>
      <c r="F20" s="19">
        <v>0.0</v>
      </c>
      <c r="G20" s="16" t="s">
        <v>783</v>
      </c>
      <c r="H20" s="21"/>
      <c r="I20" s="19">
        <v>15.0</v>
      </c>
    </row>
    <row r="21">
      <c r="A21" s="16" t="s">
        <v>784</v>
      </c>
      <c r="B21" s="54" t="s">
        <v>782</v>
      </c>
      <c r="C21" s="18"/>
      <c r="D21" s="107"/>
      <c r="E21" s="19"/>
      <c r="F21" s="19">
        <v>0.0</v>
      </c>
      <c r="G21" s="16" t="s">
        <v>783</v>
      </c>
      <c r="H21" s="21"/>
      <c r="I21" s="19">
        <v>12.0</v>
      </c>
    </row>
    <row r="22">
      <c r="A22" s="16" t="s">
        <v>785</v>
      </c>
      <c r="B22" s="54" t="s">
        <v>782</v>
      </c>
      <c r="C22" s="18"/>
      <c r="D22" s="4"/>
      <c r="E22" s="19"/>
      <c r="F22" s="19">
        <v>3.0</v>
      </c>
      <c r="G22" s="16" t="s">
        <v>783</v>
      </c>
      <c r="H22" s="21"/>
      <c r="I22" s="19">
        <v>1.0</v>
      </c>
    </row>
    <row r="23">
      <c r="A23" s="16" t="s">
        <v>786</v>
      </c>
      <c r="B23" s="54" t="s">
        <v>782</v>
      </c>
      <c r="C23" s="18"/>
      <c r="D23" s="4"/>
      <c r="E23" s="19"/>
      <c r="F23" s="19">
        <v>0.0</v>
      </c>
      <c r="G23" s="16" t="s">
        <v>783</v>
      </c>
      <c r="H23" s="21"/>
      <c r="I23" s="19">
        <v>4.0</v>
      </c>
    </row>
    <row r="24">
      <c r="A24" s="16" t="s">
        <v>787</v>
      </c>
      <c r="B24" s="54" t="s">
        <v>782</v>
      </c>
      <c r="C24" s="18"/>
      <c r="D24" s="4"/>
      <c r="E24" s="19"/>
      <c r="F24" s="19">
        <v>0.0</v>
      </c>
      <c r="G24" s="16" t="s">
        <v>783</v>
      </c>
      <c r="H24" s="21"/>
      <c r="I24" s="19">
        <v>5.0</v>
      </c>
    </row>
    <row r="25">
      <c r="A25" s="16" t="s">
        <v>788</v>
      </c>
      <c r="B25" s="54" t="s">
        <v>782</v>
      </c>
      <c r="C25" s="18"/>
      <c r="D25" s="4"/>
      <c r="E25" s="19"/>
      <c r="F25" s="19">
        <v>0.0</v>
      </c>
      <c r="G25" s="16" t="s">
        <v>783</v>
      </c>
      <c r="H25" s="21"/>
      <c r="I25" s="19">
        <v>8.0</v>
      </c>
    </row>
    <row r="26">
      <c r="A26" s="16" t="s">
        <v>789</v>
      </c>
      <c r="B26" s="54" t="s">
        <v>782</v>
      </c>
      <c r="C26" s="18"/>
      <c r="D26" s="4"/>
      <c r="E26" s="19"/>
      <c r="F26" s="19">
        <v>0.0</v>
      </c>
      <c r="G26" s="16" t="s">
        <v>783</v>
      </c>
      <c r="H26" s="21"/>
      <c r="I26" s="19">
        <v>12.0</v>
      </c>
    </row>
    <row r="27">
      <c r="A27" s="16" t="s">
        <v>790</v>
      </c>
      <c r="B27" s="54" t="s">
        <v>782</v>
      </c>
      <c r="C27" s="18"/>
      <c r="D27" s="107"/>
      <c r="E27" s="19"/>
      <c r="F27" s="19">
        <v>0.0</v>
      </c>
      <c r="G27" s="16" t="s">
        <v>783</v>
      </c>
      <c r="H27" s="21"/>
      <c r="I27" s="19">
        <v>9.0</v>
      </c>
    </row>
    <row r="28">
      <c r="A28" s="16" t="s">
        <v>1000</v>
      </c>
      <c r="B28" s="17"/>
      <c r="C28" s="18"/>
      <c r="D28" s="19"/>
      <c r="E28" s="19"/>
      <c r="F28" s="19">
        <v>0.0</v>
      </c>
      <c r="G28" s="120" t="s">
        <v>1001</v>
      </c>
      <c r="H28" s="21"/>
      <c r="I28" s="22">
        <v>7.0</v>
      </c>
    </row>
    <row r="29">
      <c r="A29" s="16" t="s">
        <v>1078</v>
      </c>
      <c r="B29" s="36"/>
      <c r="C29" s="18"/>
      <c r="D29" s="4"/>
      <c r="E29" s="19"/>
      <c r="F29" s="19">
        <v>0.0</v>
      </c>
      <c r="G29" s="54" t="s">
        <v>63</v>
      </c>
      <c r="H29" s="21"/>
      <c r="I29" s="22">
        <v>0.0</v>
      </c>
    </row>
    <row r="30">
      <c r="A30" s="42" t="s">
        <v>1110</v>
      </c>
      <c r="B30" s="17" t="s">
        <v>1111</v>
      </c>
      <c r="C30" s="18"/>
      <c r="D30" s="19"/>
      <c r="E30" s="19"/>
      <c r="F30" s="19">
        <v>0.0</v>
      </c>
      <c r="G30" s="54" t="s">
        <v>1112</v>
      </c>
      <c r="H30" s="21"/>
      <c r="I30" s="22">
        <v>12.0</v>
      </c>
    </row>
    <row r="31">
      <c r="A31" s="16" t="s">
        <v>1284</v>
      </c>
      <c r="B31" s="17"/>
      <c r="C31" s="18"/>
      <c r="D31" s="4"/>
      <c r="E31" s="19"/>
      <c r="F31" s="19">
        <v>0.0</v>
      </c>
      <c r="G31" s="120" t="s">
        <v>1285</v>
      </c>
      <c r="H31" s="21"/>
      <c r="I31" s="22">
        <v>4.0</v>
      </c>
    </row>
    <row r="32">
      <c r="A32" s="16" t="s">
        <v>1286</v>
      </c>
      <c r="B32" s="17"/>
      <c r="C32" s="18"/>
      <c r="D32" s="4"/>
      <c r="E32" s="19"/>
      <c r="F32" s="19">
        <v>0.0</v>
      </c>
      <c r="G32" s="120" t="s">
        <v>1285</v>
      </c>
      <c r="H32" s="21"/>
      <c r="I32" s="22">
        <v>0.0</v>
      </c>
    </row>
    <row r="33">
      <c r="A33" s="16" t="s">
        <v>1287</v>
      </c>
      <c r="B33" s="17"/>
      <c r="C33" s="18"/>
      <c r="D33" s="4"/>
      <c r="E33" s="19"/>
      <c r="F33" s="19">
        <v>0.0</v>
      </c>
      <c r="G33" s="120" t="s">
        <v>1285</v>
      </c>
      <c r="H33" s="21"/>
      <c r="I33" s="22">
        <v>0.0</v>
      </c>
    </row>
    <row r="34">
      <c r="A34" s="42" t="s">
        <v>1419</v>
      </c>
      <c r="B34" s="17"/>
      <c r="C34" s="18"/>
      <c r="D34" s="4"/>
      <c r="E34" s="19"/>
      <c r="F34" s="19">
        <v>0.0</v>
      </c>
      <c r="G34" s="54" t="s">
        <v>102</v>
      </c>
      <c r="H34" s="21"/>
      <c r="I34" s="22">
        <v>0.0</v>
      </c>
    </row>
    <row r="35">
      <c r="A35" s="16" t="s">
        <v>1432</v>
      </c>
      <c r="B35" s="17"/>
      <c r="C35" s="18"/>
      <c r="D35" s="4"/>
      <c r="E35" s="19"/>
      <c r="F35" s="19">
        <v>0.0</v>
      </c>
      <c r="G35" s="54" t="s">
        <v>102</v>
      </c>
      <c r="H35" s="21"/>
      <c r="I35" s="22">
        <v>0.0</v>
      </c>
    </row>
    <row r="36">
      <c r="A36" s="16" t="s">
        <v>1433</v>
      </c>
      <c r="B36" s="17"/>
      <c r="C36" s="18"/>
      <c r="D36" s="4"/>
      <c r="E36" s="19"/>
      <c r="F36" s="19">
        <v>0.0</v>
      </c>
      <c r="G36" s="54" t="s">
        <v>102</v>
      </c>
      <c r="H36" s="21"/>
      <c r="I36" s="22">
        <v>0.0</v>
      </c>
    </row>
    <row r="37">
      <c r="A37" s="16" t="s">
        <v>1498</v>
      </c>
      <c r="B37" s="36"/>
      <c r="C37" s="18"/>
      <c r="D37" s="19"/>
      <c r="E37" s="19"/>
      <c r="F37" s="19">
        <v>0.0</v>
      </c>
      <c r="G37" s="54" t="s">
        <v>63</v>
      </c>
      <c r="H37" s="213"/>
      <c r="I37" s="22">
        <v>4.0</v>
      </c>
    </row>
    <row r="38">
      <c r="A38" s="42" t="s">
        <v>1502</v>
      </c>
      <c r="B38" s="114" t="s">
        <v>1503</v>
      </c>
      <c r="C38" s="18"/>
      <c r="D38" s="107"/>
      <c r="E38" s="19"/>
      <c r="F38" s="19">
        <v>0.0</v>
      </c>
      <c r="G38" s="54" t="s">
        <v>63</v>
      </c>
      <c r="H38" s="21"/>
      <c r="I38" s="22">
        <v>0.0</v>
      </c>
    </row>
    <row r="39">
      <c r="A39" s="16" t="s">
        <v>1792</v>
      </c>
      <c r="B39" s="51" t="s">
        <v>1793</v>
      </c>
      <c r="C39" s="18"/>
      <c r="D39" s="230"/>
      <c r="E39" s="19"/>
      <c r="F39" s="19">
        <v>0.0</v>
      </c>
      <c r="G39" s="54" t="s">
        <v>102</v>
      </c>
      <c r="H39" s="21"/>
      <c r="I39" s="22">
        <v>0.0</v>
      </c>
    </row>
    <row r="40">
      <c r="A40" s="119" t="s">
        <v>1794</v>
      </c>
      <c r="B40" s="51"/>
      <c r="C40" s="18"/>
      <c r="D40" s="4"/>
      <c r="E40" s="19"/>
      <c r="F40" s="19">
        <v>0.0</v>
      </c>
      <c r="G40" s="120" t="s">
        <v>1795</v>
      </c>
      <c r="H40" s="21"/>
      <c r="I40" s="22">
        <v>0.0</v>
      </c>
    </row>
    <row r="41">
      <c r="A41" s="119" t="s">
        <v>1796</v>
      </c>
      <c r="B41" s="51"/>
      <c r="C41" s="18"/>
      <c r="D41" s="4"/>
      <c r="E41" s="19"/>
      <c r="F41" s="19">
        <v>0.0</v>
      </c>
      <c r="G41" s="120" t="s">
        <v>1795</v>
      </c>
      <c r="H41" s="21"/>
      <c r="I41" s="22">
        <v>0.0</v>
      </c>
    </row>
    <row r="42">
      <c r="A42" s="16" t="s">
        <v>1898</v>
      </c>
      <c r="B42" s="17"/>
      <c r="C42" s="18"/>
      <c r="D42" s="19"/>
      <c r="E42" s="19"/>
      <c r="F42" s="19">
        <v>1.0</v>
      </c>
      <c r="G42" s="16" t="s">
        <v>63</v>
      </c>
      <c r="H42" s="21"/>
      <c r="I42" s="22">
        <v>0.0</v>
      </c>
    </row>
    <row r="43">
      <c r="A43" s="16" t="s">
        <v>1899</v>
      </c>
      <c r="B43" s="17"/>
      <c r="C43" s="18"/>
      <c r="D43" s="107"/>
      <c r="E43" s="19"/>
      <c r="F43" s="19">
        <v>1.0</v>
      </c>
      <c r="G43" s="16" t="s">
        <v>63</v>
      </c>
      <c r="H43" s="21"/>
      <c r="I43" s="22">
        <v>0.0</v>
      </c>
    </row>
    <row r="44">
      <c r="A44" s="16" t="s">
        <v>1998</v>
      </c>
      <c r="B44" s="148"/>
      <c r="C44" s="18"/>
      <c r="D44" s="4"/>
      <c r="E44" s="19"/>
      <c r="F44" s="19">
        <v>0.0</v>
      </c>
      <c r="G44" s="16" t="s">
        <v>102</v>
      </c>
      <c r="H44" s="99"/>
      <c r="I44" s="22">
        <v>6.0</v>
      </c>
    </row>
    <row r="45">
      <c r="A45" s="16" t="s">
        <v>2004</v>
      </c>
      <c r="B45" s="36"/>
      <c r="C45" s="18"/>
      <c r="D45" s="4"/>
      <c r="E45" s="19"/>
      <c r="F45" s="19">
        <v>0.0</v>
      </c>
      <c r="G45" s="16" t="s">
        <v>63</v>
      </c>
      <c r="H45" s="21"/>
      <c r="I45" s="22">
        <v>0.0</v>
      </c>
    </row>
    <row r="46">
      <c r="A46" s="16" t="s">
        <v>2118</v>
      </c>
      <c r="B46" s="17" t="s">
        <v>1285</v>
      </c>
      <c r="C46" s="38"/>
      <c r="D46" s="61"/>
      <c r="E46" s="19"/>
      <c r="F46" s="19">
        <v>0.0</v>
      </c>
      <c r="G46" s="16" t="s">
        <v>2119</v>
      </c>
      <c r="H46" s="21"/>
      <c r="I46" s="22">
        <v>2.0</v>
      </c>
    </row>
    <row r="47">
      <c r="A47" s="16" t="s">
        <v>2122</v>
      </c>
      <c r="B47" s="17"/>
      <c r="C47" s="38"/>
      <c r="D47" s="61"/>
      <c r="E47" s="19"/>
      <c r="F47" s="19">
        <v>0.0</v>
      </c>
      <c r="G47" s="16" t="s">
        <v>2123</v>
      </c>
      <c r="H47" s="21"/>
      <c r="I47" s="22"/>
    </row>
    <row r="48">
      <c r="A48" s="16" t="s">
        <v>2245</v>
      </c>
      <c r="B48" s="49" t="s">
        <v>2246</v>
      </c>
      <c r="C48" s="18"/>
      <c r="D48" s="4"/>
      <c r="E48" s="19"/>
      <c r="F48" s="19">
        <v>4.0</v>
      </c>
      <c r="G48" s="16" t="s">
        <v>2247</v>
      </c>
      <c r="H48" s="21"/>
      <c r="I48" s="19">
        <v>9.0</v>
      </c>
    </row>
    <row r="49">
      <c r="A49" s="16" t="s">
        <v>2248</v>
      </c>
      <c r="B49" s="49" t="s">
        <v>2246</v>
      </c>
      <c r="C49" s="18"/>
      <c r="D49" s="4"/>
      <c r="E49" s="19"/>
      <c r="F49" s="19">
        <v>0.0</v>
      </c>
      <c r="G49" s="16" t="s">
        <v>2247</v>
      </c>
      <c r="H49" s="21"/>
      <c r="I49" s="19">
        <v>12.0</v>
      </c>
    </row>
    <row r="50">
      <c r="A50" s="16" t="s">
        <v>2336</v>
      </c>
      <c r="B50" s="17"/>
      <c r="C50" s="18"/>
      <c r="D50" s="4"/>
      <c r="E50" s="19"/>
      <c r="F50" s="19"/>
      <c r="G50" s="16" t="s">
        <v>63</v>
      </c>
      <c r="H50" s="21"/>
      <c r="I50" s="22">
        <v>0.0</v>
      </c>
    </row>
    <row r="51">
      <c r="A51" s="16" t="s">
        <v>2337</v>
      </c>
      <c r="B51" s="17"/>
      <c r="C51" s="18"/>
      <c r="D51" s="4"/>
      <c r="E51" s="19"/>
      <c r="F51" s="19"/>
      <c r="G51" s="16" t="s">
        <v>63</v>
      </c>
      <c r="H51" s="21"/>
      <c r="I51" s="22">
        <v>0.0</v>
      </c>
    </row>
    <row r="52">
      <c r="A52" s="16" t="s">
        <v>2338</v>
      </c>
      <c r="B52" s="17"/>
      <c r="C52" s="18"/>
      <c r="D52" s="4"/>
      <c r="E52" s="19"/>
      <c r="F52" s="19"/>
      <c r="G52" s="16" t="s">
        <v>63</v>
      </c>
      <c r="H52" s="21"/>
      <c r="I52" s="22">
        <v>0.0</v>
      </c>
    </row>
    <row r="53">
      <c r="A53" s="16" t="s">
        <v>2339</v>
      </c>
      <c r="B53" s="17"/>
      <c r="C53" s="18"/>
      <c r="D53" s="4"/>
      <c r="E53" s="19"/>
      <c r="F53" s="19"/>
      <c r="G53" s="16" t="s">
        <v>63</v>
      </c>
      <c r="H53" s="21"/>
      <c r="I53" s="22">
        <v>0.0</v>
      </c>
    </row>
    <row r="54">
      <c r="A54" s="16" t="s">
        <v>2340</v>
      </c>
      <c r="B54" s="17"/>
      <c r="C54" s="18"/>
      <c r="D54" s="4"/>
      <c r="E54" s="19"/>
      <c r="F54" s="19"/>
      <c r="G54" s="16" t="s">
        <v>63</v>
      </c>
      <c r="H54" s="21"/>
      <c r="I54" s="22">
        <v>0.0</v>
      </c>
    </row>
    <row r="55">
      <c r="A55" s="16" t="s">
        <v>2341</v>
      </c>
      <c r="B55" s="17"/>
      <c r="C55" s="18"/>
      <c r="D55" s="4"/>
      <c r="E55" s="19"/>
      <c r="F55" s="19"/>
      <c r="G55" s="16" t="s">
        <v>63</v>
      </c>
      <c r="H55" s="21"/>
      <c r="I55" s="22">
        <v>0.0</v>
      </c>
    </row>
    <row r="56">
      <c r="A56" s="16" t="s">
        <v>2342</v>
      </c>
      <c r="B56" s="17"/>
      <c r="C56" s="18"/>
      <c r="D56" s="4"/>
      <c r="E56" s="19"/>
      <c r="F56" s="19"/>
      <c r="G56" s="16" t="s">
        <v>63</v>
      </c>
      <c r="H56" s="21"/>
      <c r="I56" s="22">
        <v>0.0</v>
      </c>
    </row>
    <row r="57">
      <c r="A57" s="16" t="s">
        <v>2343</v>
      </c>
      <c r="B57" s="17"/>
      <c r="C57" s="18"/>
      <c r="D57" s="4"/>
      <c r="E57" s="19"/>
      <c r="F57" s="19"/>
      <c r="G57" s="16" t="s">
        <v>63</v>
      </c>
      <c r="H57" s="21"/>
      <c r="I57" s="22">
        <v>0.0</v>
      </c>
    </row>
    <row r="58">
      <c r="A58" s="16" t="s">
        <v>2370</v>
      </c>
      <c r="B58" s="42" t="s">
        <v>2371</v>
      </c>
      <c r="C58" s="18"/>
      <c r="D58" s="4"/>
      <c r="E58" s="19"/>
      <c r="F58" s="19">
        <v>0.0</v>
      </c>
      <c r="G58" s="16" t="s">
        <v>473</v>
      </c>
      <c r="H58" s="21"/>
      <c r="I58" s="22">
        <v>3.0</v>
      </c>
    </row>
    <row r="59">
      <c r="A59" s="16" t="s">
        <v>2372</v>
      </c>
      <c r="B59" s="42" t="s">
        <v>2371</v>
      </c>
      <c r="C59" s="18"/>
      <c r="D59" s="4"/>
      <c r="E59" s="19"/>
      <c r="F59" s="19">
        <v>0.0</v>
      </c>
      <c r="G59" s="16" t="s">
        <v>473</v>
      </c>
      <c r="H59" s="21"/>
      <c r="I59" s="22">
        <v>25.0</v>
      </c>
    </row>
    <row r="60">
      <c r="A60" s="16" t="s">
        <v>2373</v>
      </c>
      <c r="B60" s="42" t="s">
        <v>2371</v>
      </c>
      <c r="C60" s="18" t="s">
        <v>144</v>
      </c>
      <c r="D60" s="4"/>
      <c r="E60" s="19"/>
      <c r="F60" s="19">
        <v>5.0</v>
      </c>
      <c r="G60" s="16" t="s">
        <v>473</v>
      </c>
      <c r="H60" s="21"/>
      <c r="I60" s="22">
        <v>2.0</v>
      </c>
    </row>
    <row r="61">
      <c r="A61" s="16" t="s">
        <v>2409</v>
      </c>
      <c r="B61" s="36" t="s">
        <v>2410</v>
      </c>
      <c r="C61" s="18"/>
      <c r="D61" s="4"/>
      <c r="E61" s="19"/>
      <c r="F61" s="19">
        <v>0.0</v>
      </c>
      <c r="G61" s="16" t="s">
        <v>2411</v>
      </c>
      <c r="H61" s="21"/>
      <c r="I61" s="22"/>
    </row>
    <row r="62">
      <c r="A62" s="16" t="s">
        <v>2412</v>
      </c>
      <c r="B62" s="36" t="s">
        <v>2410</v>
      </c>
      <c r="C62" s="18"/>
      <c r="D62" s="4"/>
      <c r="E62" s="19"/>
      <c r="F62" s="19"/>
      <c r="G62" s="16" t="s">
        <v>2411</v>
      </c>
      <c r="H62" s="21"/>
      <c r="I62" s="22"/>
    </row>
    <row r="63">
      <c r="A63" s="16" t="s">
        <v>2413</v>
      </c>
      <c r="B63" s="36" t="s">
        <v>2414</v>
      </c>
      <c r="C63" s="18"/>
      <c r="D63" s="4"/>
      <c r="E63" s="19"/>
      <c r="F63" s="19"/>
      <c r="G63" s="16" t="s">
        <v>2415</v>
      </c>
      <c r="H63" s="21"/>
      <c r="I63" s="22"/>
    </row>
    <row r="64">
      <c r="A64" s="16" t="s">
        <v>2416</v>
      </c>
      <c r="B64" s="36" t="s">
        <v>2417</v>
      </c>
      <c r="C64" s="18" t="s">
        <v>144</v>
      </c>
      <c r="D64" s="4"/>
      <c r="E64" s="19"/>
      <c r="F64" s="19"/>
      <c r="G64" s="16" t="s">
        <v>2415</v>
      </c>
      <c r="H64" s="21"/>
      <c r="I64" s="22"/>
    </row>
    <row r="65">
      <c r="A65" s="42" t="s">
        <v>2506</v>
      </c>
      <c r="B65" s="273"/>
      <c r="C65" s="18"/>
      <c r="D65" s="107"/>
      <c r="E65" s="19"/>
      <c r="F65" s="19"/>
      <c r="G65" s="16" t="s">
        <v>102</v>
      </c>
      <c r="H65" s="21"/>
      <c r="I65" s="22">
        <v>0.0</v>
      </c>
    </row>
    <row r="66">
      <c r="A66" s="16" t="s">
        <v>2518</v>
      </c>
      <c r="B66" s="17"/>
      <c r="C66" s="18"/>
      <c r="D66" s="4"/>
      <c r="E66" s="19"/>
      <c r="F66" s="19">
        <v>8.0</v>
      </c>
      <c r="G66" s="16" t="s">
        <v>473</v>
      </c>
      <c r="H66" s="21"/>
      <c r="I66" s="22">
        <v>0.0</v>
      </c>
    </row>
    <row r="67">
      <c r="A67" s="16" t="s">
        <v>2774</v>
      </c>
      <c r="B67" s="36"/>
      <c r="C67" s="18" t="s">
        <v>328</v>
      </c>
      <c r="D67" s="4"/>
      <c r="E67" s="19"/>
      <c r="F67" s="19">
        <v>1.0</v>
      </c>
      <c r="G67" s="54" t="s">
        <v>63</v>
      </c>
      <c r="H67" s="21"/>
      <c r="I67" s="22">
        <v>0.0</v>
      </c>
    </row>
  </sheetData>
  <autoFilter ref="$A$1:$Z$67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2.75"/>
  <cols>
    <col customWidth="1" min="1" max="1" width="6.88"/>
    <col customWidth="1" min="2" max="2" width="21.13"/>
    <col customWidth="1" min="3" max="3" width="11.63"/>
    <col customWidth="1" min="4" max="4" width="11.0"/>
    <col customWidth="1" min="5" max="5" width="12.13"/>
    <col customWidth="1" min="6" max="6" width="14.75"/>
    <col customWidth="1" min="7" max="7" width="13.88"/>
    <col customWidth="1" min="8" max="11" width="15.38"/>
    <col customWidth="1" min="12" max="28" width="13.75"/>
  </cols>
  <sheetData>
    <row r="1" ht="30.75" customHeight="1">
      <c r="A1" s="401" t="s">
        <v>3084</v>
      </c>
      <c r="B1" s="402" t="s">
        <v>3085</v>
      </c>
      <c r="C1" s="403" t="s">
        <v>3086</v>
      </c>
      <c r="D1" s="404" t="s">
        <v>3087</v>
      </c>
      <c r="E1" s="405" t="s">
        <v>3088</v>
      </c>
      <c r="F1" s="406" t="s">
        <v>3089</v>
      </c>
      <c r="G1" s="407" t="s">
        <v>3090</v>
      </c>
      <c r="H1" s="408">
        <v>45566.0</v>
      </c>
      <c r="I1" s="408">
        <v>45597.0</v>
      </c>
      <c r="J1" s="409">
        <v>45627.0</v>
      </c>
      <c r="K1" s="410">
        <v>45658.0</v>
      </c>
      <c r="L1" s="410">
        <v>45690.0</v>
      </c>
      <c r="M1" s="410">
        <v>45719.0</v>
      </c>
      <c r="N1" s="410">
        <v>45751.0</v>
      </c>
      <c r="O1" s="410">
        <v>45782.0</v>
      </c>
      <c r="P1" s="410">
        <v>45814.0</v>
      </c>
      <c r="Q1" s="410">
        <v>45845.0</v>
      </c>
      <c r="R1" s="410">
        <v>45877.0</v>
      </c>
      <c r="S1" s="410">
        <v>45909.0</v>
      </c>
      <c r="T1" s="410">
        <v>45940.0</v>
      </c>
      <c r="U1" s="410">
        <v>45962.0</v>
      </c>
      <c r="V1" s="410">
        <v>45993.0</v>
      </c>
      <c r="W1" s="411"/>
      <c r="X1" s="411"/>
      <c r="Y1" s="411"/>
      <c r="Z1" s="411"/>
      <c r="AA1" s="411"/>
      <c r="AB1" s="411"/>
    </row>
    <row r="2" ht="30.75" customHeight="1">
      <c r="A2" s="412">
        <v>1.0</v>
      </c>
      <c r="B2" s="413" t="s">
        <v>3091</v>
      </c>
      <c r="C2" s="414" t="s">
        <v>3092</v>
      </c>
      <c r="D2" s="415">
        <v>2000000.0</v>
      </c>
      <c r="E2" s="416"/>
      <c r="F2" s="417"/>
      <c r="G2" s="418" t="s">
        <v>3093</v>
      </c>
      <c r="H2" s="419" t="s">
        <v>3094</v>
      </c>
      <c r="I2" s="419" t="s">
        <v>3095</v>
      </c>
      <c r="J2" s="420" t="s">
        <v>3096</v>
      </c>
      <c r="K2" s="420" t="s">
        <v>3097</v>
      </c>
      <c r="L2" s="421" t="s">
        <v>3098</v>
      </c>
      <c r="M2" s="421" t="s">
        <v>3099</v>
      </c>
      <c r="N2" s="421" t="s">
        <v>3100</v>
      </c>
      <c r="O2" s="421" t="s">
        <v>3101</v>
      </c>
      <c r="P2" s="326" t="s">
        <v>3102</v>
      </c>
      <c r="Q2" s="422"/>
      <c r="R2" s="422"/>
      <c r="S2" s="422"/>
      <c r="T2" s="422"/>
      <c r="U2" s="422"/>
      <c r="V2" s="422"/>
      <c r="W2" s="371"/>
      <c r="X2" s="371"/>
      <c r="Y2" s="371"/>
      <c r="Z2" s="371"/>
      <c r="AA2" s="371"/>
      <c r="AB2" s="371"/>
    </row>
    <row r="3" ht="36.75" customHeight="1">
      <c r="A3" s="423">
        <v>1.0</v>
      </c>
      <c r="B3" s="424" t="s">
        <v>3103</v>
      </c>
      <c r="C3" s="425" t="s">
        <v>3104</v>
      </c>
      <c r="D3" s="426">
        <v>4000000.0</v>
      </c>
      <c r="E3" s="427"/>
      <c r="F3" s="428" t="s">
        <v>3105</v>
      </c>
      <c r="G3" s="429" t="s">
        <v>3106</v>
      </c>
      <c r="H3" s="430" t="s">
        <v>3107</v>
      </c>
      <c r="I3" s="430" t="s">
        <v>3108</v>
      </c>
      <c r="J3" s="431" t="s">
        <v>3109</v>
      </c>
      <c r="K3" s="431" t="s">
        <v>3110</v>
      </c>
      <c r="L3" s="421" t="s">
        <v>3111</v>
      </c>
      <c r="M3" s="421" t="s">
        <v>3112</v>
      </c>
      <c r="N3" s="421" t="s">
        <v>3113</v>
      </c>
      <c r="O3" s="421" t="s">
        <v>3114</v>
      </c>
      <c r="P3" s="326" t="s">
        <v>3115</v>
      </c>
      <c r="Q3" s="422"/>
      <c r="R3" s="422"/>
      <c r="S3" s="422"/>
      <c r="T3" s="422"/>
      <c r="U3" s="422"/>
      <c r="V3" s="422"/>
      <c r="W3" s="371"/>
      <c r="X3" s="371"/>
      <c r="Y3" s="371"/>
      <c r="Z3" s="371"/>
      <c r="AA3" s="371"/>
      <c r="AB3" s="371"/>
    </row>
    <row r="4" ht="30.75" customHeight="1">
      <c r="A4" s="412">
        <v>2.0</v>
      </c>
      <c r="B4" s="432" t="s">
        <v>3116</v>
      </c>
      <c r="C4" s="433"/>
      <c r="D4" s="415">
        <v>600000.0</v>
      </c>
      <c r="E4" s="416"/>
      <c r="F4" s="428">
        <v>300000.0</v>
      </c>
      <c r="G4" s="429">
        <v>800000.0</v>
      </c>
      <c r="H4" s="434">
        <v>700.0</v>
      </c>
      <c r="I4" s="430"/>
      <c r="J4" s="435"/>
      <c r="K4" s="436"/>
      <c r="L4" s="437"/>
      <c r="M4" s="437"/>
      <c r="N4" s="437"/>
      <c r="O4" s="437"/>
      <c r="P4" s="329"/>
      <c r="Q4" s="422"/>
      <c r="R4" s="422"/>
      <c r="S4" s="422"/>
      <c r="T4" s="422"/>
      <c r="U4" s="422"/>
      <c r="V4" s="422"/>
      <c r="W4" s="371"/>
      <c r="X4" s="371"/>
      <c r="Y4" s="371"/>
      <c r="Z4" s="371"/>
      <c r="AA4" s="371"/>
      <c r="AB4" s="371"/>
    </row>
    <row r="5" ht="30.75" customHeight="1">
      <c r="A5" s="412">
        <v>2.0</v>
      </c>
      <c r="B5" s="432" t="s">
        <v>3117</v>
      </c>
      <c r="C5" s="433"/>
      <c r="D5" s="415">
        <v>250000.0</v>
      </c>
      <c r="E5" s="416"/>
      <c r="F5" s="428">
        <v>200000.0</v>
      </c>
      <c r="G5" s="429">
        <v>400000.0</v>
      </c>
      <c r="H5" s="434">
        <v>500.0</v>
      </c>
      <c r="I5" s="430"/>
      <c r="J5" s="435"/>
      <c r="K5" s="435"/>
      <c r="L5" s="437"/>
      <c r="M5" s="437"/>
      <c r="N5" s="437"/>
      <c r="O5" s="437"/>
      <c r="P5" s="329"/>
      <c r="Q5" s="422"/>
      <c r="R5" s="422"/>
      <c r="S5" s="422"/>
      <c r="T5" s="422"/>
      <c r="U5" s="422"/>
      <c r="V5" s="422"/>
      <c r="W5" s="371"/>
      <c r="X5" s="371"/>
      <c r="Y5" s="371"/>
      <c r="Z5" s="371"/>
      <c r="AA5" s="371"/>
      <c r="AB5" s="371"/>
    </row>
    <row r="6" ht="30.75" customHeight="1">
      <c r="A6" s="423">
        <v>3.0</v>
      </c>
      <c r="B6" s="424" t="s">
        <v>3118</v>
      </c>
      <c r="C6" s="425" t="s">
        <v>3119</v>
      </c>
      <c r="D6" s="426">
        <v>45000.0</v>
      </c>
      <c r="E6" s="438"/>
      <c r="F6" s="428" t="s">
        <v>3120</v>
      </c>
      <c r="G6" s="439" t="s">
        <v>3121</v>
      </c>
      <c r="H6" s="430" t="s">
        <v>3122</v>
      </c>
      <c r="I6" s="430" t="s">
        <v>3123</v>
      </c>
      <c r="J6" s="431" t="s">
        <v>3124</v>
      </c>
      <c r="K6" s="431" t="s">
        <v>3125</v>
      </c>
      <c r="L6" s="421" t="s">
        <v>3126</v>
      </c>
      <c r="M6" s="421" t="s">
        <v>3127</v>
      </c>
      <c r="N6" s="421" t="s">
        <v>3128</v>
      </c>
      <c r="O6" s="421" t="s">
        <v>3129</v>
      </c>
      <c r="P6" s="326" t="s">
        <v>3130</v>
      </c>
      <c r="Q6" s="422"/>
      <c r="R6" s="422"/>
      <c r="S6" s="422"/>
      <c r="T6" s="422"/>
      <c r="U6" s="422"/>
      <c r="V6" s="422"/>
      <c r="W6" s="371"/>
      <c r="X6" s="371"/>
      <c r="Y6" s="371"/>
      <c r="Z6" s="371"/>
      <c r="AA6" s="371"/>
      <c r="AB6" s="371"/>
    </row>
    <row r="7" ht="30.75" customHeight="1">
      <c r="A7" s="423">
        <v>4.0</v>
      </c>
      <c r="B7" s="424" t="s">
        <v>3131</v>
      </c>
      <c r="C7" s="425" t="s">
        <v>3132</v>
      </c>
      <c r="D7" s="426">
        <v>300000.0</v>
      </c>
      <c r="E7" s="438">
        <v>1610503.0</v>
      </c>
      <c r="F7" s="428" t="s">
        <v>3133</v>
      </c>
      <c r="G7" s="429" t="s">
        <v>3134</v>
      </c>
      <c r="H7" s="430" t="s">
        <v>3135</v>
      </c>
      <c r="I7" s="430" t="s">
        <v>3136</v>
      </c>
      <c r="J7" s="431" t="s">
        <v>3137</v>
      </c>
      <c r="K7" s="431" t="s">
        <v>3138</v>
      </c>
      <c r="L7" s="421" t="s">
        <v>3139</v>
      </c>
      <c r="M7" s="421" t="s">
        <v>3140</v>
      </c>
      <c r="N7" s="421" t="s">
        <v>3141</v>
      </c>
      <c r="O7" s="421" t="s">
        <v>3142</v>
      </c>
      <c r="P7" s="326" t="s">
        <v>3143</v>
      </c>
      <c r="Q7" s="422"/>
      <c r="R7" s="422"/>
      <c r="S7" s="422"/>
      <c r="T7" s="422"/>
      <c r="U7" s="422"/>
      <c r="V7" s="422"/>
      <c r="W7" s="371"/>
      <c r="X7" s="371"/>
      <c r="Y7" s="371"/>
      <c r="Z7" s="371"/>
      <c r="AA7" s="371"/>
      <c r="AB7" s="371"/>
    </row>
    <row r="8" ht="30.75" customHeight="1">
      <c r="A8" s="423">
        <v>4.0</v>
      </c>
      <c r="B8" s="424" t="s">
        <v>3144</v>
      </c>
      <c r="C8" s="425" t="s">
        <v>3145</v>
      </c>
      <c r="D8" s="426">
        <v>90000.0</v>
      </c>
      <c r="E8" s="438" t="s">
        <v>3146</v>
      </c>
      <c r="F8" s="428" t="s">
        <v>3147</v>
      </c>
      <c r="G8" s="429" t="s">
        <v>3148</v>
      </c>
      <c r="H8" s="430" t="s">
        <v>3149</v>
      </c>
      <c r="I8" s="430" t="s">
        <v>3150</v>
      </c>
      <c r="J8" s="431" t="s">
        <v>3151</v>
      </c>
      <c r="K8" s="431" t="s">
        <v>3152</v>
      </c>
      <c r="L8" s="440" t="s">
        <v>3153</v>
      </c>
      <c r="M8" s="421" t="s">
        <v>3154</v>
      </c>
      <c r="N8" s="440" t="s">
        <v>3155</v>
      </c>
      <c r="O8" s="421" t="s">
        <v>3156</v>
      </c>
      <c r="P8" s="441" t="s">
        <v>3157</v>
      </c>
      <c r="Q8" s="422"/>
      <c r="R8" s="422"/>
      <c r="S8" s="422"/>
      <c r="T8" s="422"/>
      <c r="U8" s="422"/>
      <c r="V8" s="422"/>
      <c r="W8" s="371"/>
      <c r="X8" s="371"/>
      <c r="Y8" s="371"/>
      <c r="Z8" s="371"/>
      <c r="AA8" s="371"/>
      <c r="AB8" s="371"/>
    </row>
    <row r="9" ht="34.5" customHeight="1">
      <c r="A9" s="423">
        <v>5.0</v>
      </c>
      <c r="B9" s="424" t="s">
        <v>3158</v>
      </c>
      <c r="C9" s="425" t="s">
        <v>3159</v>
      </c>
      <c r="D9" s="426">
        <v>401300.0</v>
      </c>
      <c r="E9" s="438"/>
      <c r="F9" s="428" t="s">
        <v>3082</v>
      </c>
      <c r="G9" s="429" t="s">
        <v>3082</v>
      </c>
      <c r="H9" s="430" t="s">
        <v>3082</v>
      </c>
      <c r="I9" s="430" t="s">
        <v>3082</v>
      </c>
      <c r="J9" s="431" t="s">
        <v>3160</v>
      </c>
      <c r="K9" s="431" t="s">
        <v>3161</v>
      </c>
      <c r="L9" s="421" t="s">
        <v>3162</v>
      </c>
      <c r="M9" s="421" t="s">
        <v>3163</v>
      </c>
      <c r="N9" s="421" t="s">
        <v>3164</v>
      </c>
      <c r="O9" s="421" t="s">
        <v>3165</v>
      </c>
      <c r="P9" s="326" t="s">
        <v>3166</v>
      </c>
      <c r="Q9" s="422"/>
      <c r="R9" s="422"/>
      <c r="S9" s="422"/>
      <c r="T9" s="422"/>
      <c r="U9" s="422"/>
      <c r="V9" s="422"/>
      <c r="W9" s="371"/>
      <c r="X9" s="371"/>
      <c r="Y9" s="371"/>
      <c r="Z9" s="371"/>
      <c r="AA9" s="371"/>
      <c r="AB9" s="371"/>
    </row>
    <row r="10" ht="34.5" customHeight="1">
      <c r="A10" s="423">
        <v>6.0</v>
      </c>
      <c r="B10" s="424" t="s">
        <v>3167</v>
      </c>
      <c r="C10" s="425" t="s">
        <v>3159</v>
      </c>
      <c r="D10" s="426">
        <v>381300.0</v>
      </c>
      <c r="E10" s="438" t="s">
        <v>3168</v>
      </c>
      <c r="F10" s="428" t="s">
        <v>3169</v>
      </c>
      <c r="G10" s="429" t="s">
        <v>3170</v>
      </c>
      <c r="H10" s="430" t="s">
        <v>3171</v>
      </c>
      <c r="I10" s="430" t="s">
        <v>3172</v>
      </c>
      <c r="J10" s="431" t="s">
        <v>3173</v>
      </c>
      <c r="K10" s="431" t="s">
        <v>3174</v>
      </c>
      <c r="L10" s="421" t="s">
        <v>3175</v>
      </c>
      <c r="M10" s="421" t="s">
        <v>3176</v>
      </c>
      <c r="N10" s="421" t="s">
        <v>3177</v>
      </c>
      <c r="O10" s="421" t="s">
        <v>3178</v>
      </c>
      <c r="P10" s="326" t="s">
        <v>3179</v>
      </c>
      <c r="Q10" s="422"/>
      <c r="R10" s="422"/>
      <c r="S10" s="422"/>
      <c r="T10" s="422"/>
      <c r="U10" s="422"/>
      <c r="V10" s="422"/>
      <c r="W10" s="371"/>
      <c r="X10" s="371"/>
      <c r="Y10" s="371"/>
      <c r="Z10" s="371"/>
      <c r="AA10" s="371"/>
      <c r="AB10" s="371"/>
    </row>
    <row r="11" ht="30.75" customHeight="1">
      <c r="A11" s="423">
        <v>7.0</v>
      </c>
      <c r="B11" s="424" t="s">
        <v>3180</v>
      </c>
      <c r="C11" s="425" t="s">
        <v>3181</v>
      </c>
      <c r="D11" s="426">
        <v>172000.0</v>
      </c>
      <c r="E11" s="438">
        <v>2.13002942E8</v>
      </c>
      <c r="F11" s="428" t="s">
        <v>3182</v>
      </c>
      <c r="G11" s="429" t="s">
        <v>3183</v>
      </c>
      <c r="H11" s="430" t="s">
        <v>3184</v>
      </c>
      <c r="I11" s="430" t="s">
        <v>3185</v>
      </c>
      <c r="J11" s="431" t="s">
        <v>3186</v>
      </c>
      <c r="K11" s="431" t="s">
        <v>3187</v>
      </c>
      <c r="L11" s="421" t="s">
        <v>3188</v>
      </c>
      <c r="M11" s="421" t="s">
        <v>3189</v>
      </c>
      <c r="N11" s="442" t="s">
        <v>3190</v>
      </c>
      <c r="O11" s="421" t="s">
        <v>3191</v>
      </c>
      <c r="P11" s="326" t="s">
        <v>3192</v>
      </c>
      <c r="Q11" s="422"/>
      <c r="R11" s="422"/>
      <c r="S11" s="422"/>
      <c r="T11" s="422"/>
      <c r="U11" s="422"/>
      <c r="V11" s="422"/>
      <c r="W11" s="371"/>
      <c r="X11" s="371"/>
      <c r="Y11" s="371"/>
      <c r="Z11" s="371"/>
      <c r="AA11" s="371"/>
      <c r="AB11" s="371"/>
    </row>
    <row r="12" ht="30.75" customHeight="1">
      <c r="A12" s="423">
        <v>7.0</v>
      </c>
      <c r="B12" s="424" t="s">
        <v>3193</v>
      </c>
      <c r="C12" s="425" t="s">
        <v>3194</v>
      </c>
      <c r="D12" s="426">
        <v>530100.0</v>
      </c>
      <c r="E12" s="427"/>
      <c r="F12" s="428" t="s">
        <v>3195</v>
      </c>
      <c r="G12" s="429" t="s">
        <v>3196</v>
      </c>
      <c r="H12" s="430" t="s">
        <v>3197</v>
      </c>
      <c r="I12" s="430" t="s">
        <v>3198</v>
      </c>
      <c r="J12" s="431" t="s">
        <v>3199</v>
      </c>
      <c r="K12" s="431" t="s">
        <v>3200</v>
      </c>
      <c r="L12" s="421" t="s">
        <v>3201</v>
      </c>
      <c r="M12" s="421" t="s">
        <v>3202</v>
      </c>
      <c r="N12" s="421" t="s">
        <v>3203</v>
      </c>
      <c r="O12" s="421" t="s">
        <v>3204</v>
      </c>
      <c r="P12" s="326" t="s">
        <v>3205</v>
      </c>
      <c r="Q12" s="422"/>
      <c r="R12" s="422"/>
      <c r="S12" s="422"/>
      <c r="T12" s="422"/>
      <c r="U12" s="422"/>
      <c r="V12" s="422"/>
      <c r="W12" s="371"/>
      <c r="X12" s="371"/>
      <c r="Y12" s="371"/>
      <c r="Z12" s="371"/>
      <c r="AA12" s="371"/>
      <c r="AB12" s="371"/>
    </row>
    <row r="13" ht="30.75" customHeight="1">
      <c r="A13" s="423">
        <v>10.0</v>
      </c>
      <c r="B13" s="424" t="s">
        <v>3206</v>
      </c>
      <c r="C13" s="425" t="s">
        <v>3207</v>
      </c>
      <c r="D13" s="426">
        <v>405800.0</v>
      </c>
      <c r="E13" s="438" t="s">
        <v>3208</v>
      </c>
      <c r="F13" s="428" t="s">
        <v>3209</v>
      </c>
      <c r="G13" s="429" t="s">
        <v>3210</v>
      </c>
      <c r="H13" s="430" t="s">
        <v>3211</v>
      </c>
      <c r="I13" s="430" t="s">
        <v>3212</v>
      </c>
      <c r="J13" s="431" t="s">
        <v>3213</v>
      </c>
      <c r="K13" s="431" t="s">
        <v>3214</v>
      </c>
      <c r="L13" s="421" t="s">
        <v>3215</v>
      </c>
      <c r="M13" s="421" t="s">
        <v>3216</v>
      </c>
      <c r="N13" s="421" t="s">
        <v>3217</v>
      </c>
      <c r="O13" s="421" t="s">
        <v>3218</v>
      </c>
      <c r="P13" s="326" t="s">
        <v>3219</v>
      </c>
      <c r="Q13" s="422"/>
      <c r="R13" s="422"/>
      <c r="S13" s="422"/>
      <c r="T13" s="422"/>
      <c r="U13" s="422"/>
      <c r="V13" s="422"/>
      <c r="W13" s="371"/>
      <c r="X13" s="371"/>
      <c r="Y13" s="371"/>
      <c r="Z13" s="371"/>
      <c r="AA13" s="371"/>
      <c r="AB13" s="371"/>
    </row>
    <row r="14" ht="30.75" customHeight="1">
      <c r="A14" s="423">
        <v>15.0</v>
      </c>
      <c r="B14" s="424" t="s">
        <v>3220</v>
      </c>
      <c r="C14" s="425" t="s">
        <v>3221</v>
      </c>
      <c r="D14" s="426">
        <v>25000.0</v>
      </c>
      <c r="E14" s="438">
        <v>1719297.0</v>
      </c>
      <c r="F14" s="443" t="s">
        <v>3082</v>
      </c>
      <c r="G14" s="444" t="s">
        <v>3082</v>
      </c>
      <c r="H14" s="445" t="s">
        <v>3082</v>
      </c>
      <c r="I14" s="445" t="s">
        <v>3082</v>
      </c>
      <c r="J14" s="446" t="s">
        <v>3082</v>
      </c>
      <c r="K14" s="446" t="s">
        <v>3082</v>
      </c>
      <c r="L14" s="446" t="s">
        <v>3082</v>
      </c>
      <c r="M14" s="446" t="s">
        <v>3082</v>
      </c>
      <c r="N14" s="446" t="s">
        <v>3082</v>
      </c>
      <c r="O14" s="446" t="s">
        <v>3082</v>
      </c>
      <c r="P14" s="446" t="s">
        <v>3082</v>
      </c>
      <c r="Q14" s="446" t="s">
        <v>3082</v>
      </c>
      <c r="R14" s="446" t="s">
        <v>3082</v>
      </c>
      <c r="S14" s="446" t="s">
        <v>3082</v>
      </c>
      <c r="T14" s="446" t="s">
        <v>3082</v>
      </c>
      <c r="U14" s="446" t="s">
        <v>3082</v>
      </c>
      <c r="V14" s="446" t="s">
        <v>3082</v>
      </c>
      <c r="W14" s="371"/>
      <c r="X14" s="371"/>
      <c r="Y14" s="371"/>
      <c r="Z14" s="371"/>
      <c r="AA14" s="371"/>
      <c r="AB14" s="371"/>
    </row>
    <row r="15" ht="30.75" customHeight="1">
      <c r="A15" s="423">
        <v>15.0</v>
      </c>
      <c r="B15" s="424" t="s">
        <v>3220</v>
      </c>
      <c r="C15" s="425" t="s">
        <v>3222</v>
      </c>
      <c r="D15" s="426">
        <v>30000.0</v>
      </c>
      <c r="E15" s="438">
        <v>641483.0</v>
      </c>
      <c r="F15" s="428" t="s">
        <v>3223</v>
      </c>
      <c r="G15" s="429" t="s">
        <v>3224</v>
      </c>
      <c r="H15" s="430" t="s">
        <v>3225</v>
      </c>
      <c r="I15" s="430" t="s">
        <v>3226</v>
      </c>
      <c r="J15" s="431" t="s">
        <v>3227</v>
      </c>
      <c r="K15" s="431" t="s">
        <v>3228</v>
      </c>
      <c r="L15" s="421" t="s">
        <v>3229</v>
      </c>
      <c r="M15" s="421" t="s">
        <v>3230</v>
      </c>
      <c r="N15" s="421" t="s">
        <v>3231</v>
      </c>
      <c r="O15" s="421" t="s">
        <v>3232</v>
      </c>
      <c r="P15" s="326" t="s">
        <v>3233</v>
      </c>
      <c r="Q15" s="422"/>
      <c r="R15" s="422"/>
      <c r="S15" s="422"/>
      <c r="T15" s="422"/>
      <c r="U15" s="422"/>
      <c r="V15" s="422"/>
      <c r="W15" s="371"/>
      <c r="X15" s="371"/>
      <c r="Y15" s="371"/>
      <c r="Z15" s="371"/>
      <c r="AA15" s="371"/>
      <c r="AB15" s="371"/>
    </row>
    <row r="16" ht="39.75" customHeight="1">
      <c r="A16" s="412">
        <v>17.0</v>
      </c>
      <c r="B16" s="424" t="s">
        <v>3234</v>
      </c>
      <c r="C16" s="425" t="s">
        <v>3222</v>
      </c>
      <c r="D16" s="415">
        <v>120000.0</v>
      </c>
      <c r="E16" s="447">
        <v>7328582.0</v>
      </c>
      <c r="F16" s="428" t="s">
        <v>3235</v>
      </c>
      <c r="G16" s="429" t="s">
        <v>3236</v>
      </c>
      <c r="H16" s="430" t="s">
        <v>3237</v>
      </c>
      <c r="I16" s="430" t="s">
        <v>3238</v>
      </c>
      <c r="J16" s="431" t="s">
        <v>3239</v>
      </c>
      <c r="K16" s="431" t="s">
        <v>3240</v>
      </c>
      <c r="L16" s="421" t="s">
        <v>3241</v>
      </c>
      <c r="M16" s="421" t="s">
        <v>3242</v>
      </c>
      <c r="N16" s="421" t="s">
        <v>3243</v>
      </c>
      <c r="O16" s="440" t="s">
        <v>3244</v>
      </c>
      <c r="P16" s="385" t="s">
        <v>3245</v>
      </c>
      <c r="Q16" s="422"/>
      <c r="R16" s="422"/>
      <c r="S16" s="422"/>
      <c r="T16" s="422"/>
      <c r="U16" s="422"/>
      <c r="V16" s="422"/>
      <c r="W16" s="371"/>
      <c r="X16" s="371"/>
      <c r="Y16" s="371"/>
      <c r="Z16" s="371"/>
      <c r="AA16" s="371"/>
      <c r="AB16" s="371"/>
    </row>
    <row r="17" ht="30.75" customHeight="1">
      <c r="A17" s="6">
        <v>17.0</v>
      </c>
      <c r="B17" s="176" t="s">
        <v>3119</v>
      </c>
      <c r="C17" s="448" t="s">
        <v>3092</v>
      </c>
      <c r="D17" s="197">
        <v>100000.0</v>
      </c>
      <c r="E17" s="449">
        <v>6.074357576E9</v>
      </c>
      <c r="F17" s="450" t="s">
        <v>3246</v>
      </c>
      <c r="G17" s="451" t="s">
        <v>3247</v>
      </c>
      <c r="H17" s="430" t="s">
        <v>3248</v>
      </c>
      <c r="I17" s="430" t="s">
        <v>3249</v>
      </c>
      <c r="J17" s="431" t="s">
        <v>3250</v>
      </c>
      <c r="K17" s="431" t="s">
        <v>3251</v>
      </c>
      <c r="L17" s="421" t="s">
        <v>3252</v>
      </c>
      <c r="M17" s="421" t="s">
        <v>3253</v>
      </c>
      <c r="N17" s="421" t="s">
        <v>3254</v>
      </c>
      <c r="O17" s="421" t="s">
        <v>3255</v>
      </c>
      <c r="P17" s="441" t="s">
        <v>3256</v>
      </c>
      <c r="Q17" s="422"/>
      <c r="R17" s="422"/>
      <c r="S17" s="422"/>
      <c r="T17" s="422"/>
      <c r="U17" s="422"/>
      <c r="V17" s="422"/>
      <c r="W17" s="371"/>
      <c r="X17" s="371"/>
      <c r="Y17" s="371"/>
      <c r="Z17" s="371"/>
      <c r="AA17" s="371"/>
      <c r="AB17" s="371"/>
    </row>
    <row r="18" ht="30.75" customHeight="1">
      <c r="A18" s="423">
        <v>18.0</v>
      </c>
      <c r="B18" s="424" t="s">
        <v>3257</v>
      </c>
      <c r="C18" s="425" t="s">
        <v>3258</v>
      </c>
      <c r="D18" s="426" t="s">
        <v>3259</v>
      </c>
      <c r="E18" s="438">
        <v>4.07419259669E11</v>
      </c>
      <c r="F18" s="428" t="s">
        <v>3082</v>
      </c>
      <c r="G18" s="429" t="s">
        <v>3082</v>
      </c>
      <c r="H18" s="430" t="s">
        <v>3082</v>
      </c>
      <c r="I18" s="430" t="s">
        <v>3260</v>
      </c>
      <c r="J18" s="431" t="s">
        <v>3261</v>
      </c>
      <c r="K18" s="431" t="s">
        <v>3262</v>
      </c>
      <c r="L18" s="421" t="s">
        <v>3263</v>
      </c>
      <c r="M18" s="421" t="s">
        <v>3264</v>
      </c>
      <c r="N18" s="437"/>
      <c r="O18" s="437"/>
      <c r="P18" s="329"/>
      <c r="Q18" s="422"/>
      <c r="R18" s="422"/>
      <c r="S18" s="422"/>
      <c r="T18" s="422"/>
      <c r="U18" s="422"/>
      <c r="V18" s="422"/>
      <c r="W18" s="371"/>
      <c r="X18" s="371"/>
      <c r="Y18" s="371"/>
      <c r="Z18" s="371"/>
      <c r="AA18" s="371"/>
      <c r="AB18" s="371"/>
    </row>
    <row r="19" ht="30.75" customHeight="1">
      <c r="A19" s="423">
        <v>20.0</v>
      </c>
      <c r="B19" s="424" t="s">
        <v>3131</v>
      </c>
      <c r="C19" s="425" t="s">
        <v>3145</v>
      </c>
      <c r="D19" s="426">
        <v>400000.0</v>
      </c>
      <c r="E19" s="438">
        <v>121686.0</v>
      </c>
      <c r="F19" s="428" t="s">
        <v>3265</v>
      </c>
      <c r="G19" s="429" t="s">
        <v>3266</v>
      </c>
      <c r="H19" s="430" t="s">
        <v>3267</v>
      </c>
      <c r="I19" s="430" t="s">
        <v>3268</v>
      </c>
      <c r="J19" s="431" t="s">
        <v>3269</v>
      </c>
      <c r="K19" s="431" t="s">
        <v>3270</v>
      </c>
      <c r="L19" s="421" t="s">
        <v>3271</v>
      </c>
      <c r="M19" s="421" t="s">
        <v>3272</v>
      </c>
      <c r="N19" s="421" t="s">
        <v>3273</v>
      </c>
      <c r="O19" s="421" t="s">
        <v>3274</v>
      </c>
      <c r="P19" s="326" t="s">
        <v>3275</v>
      </c>
      <c r="Q19" s="422"/>
      <c r="R19" s="422"/>
      <c r="S19" s="422"/>
      <c r="T19" s="422"/>
      <c r="U19" s="422"/>
      <c r="V19" s="422"/>
      <c r="W19" s="371"/>
      <c r="X19" s="371"/>
      <c r="Y19" s="371"/>
      <c r="Z19" s="371"/>
      <c r="AA19" s="371"/>
      <c r="AB19" s="371"/>
    </row>
    <row r="20" ht="30.75" customHeight="1">
      <c r="A20" s="452">
        <v>24.0</v>
      </c>
      <c r="B20" s="424" t="s">
        <v>3131</v>
      </c>
      <c r="C20" s="425" t="s">
        <v>3222</v>
      </c>
      <c r="D20" s="453">
        <v>350000.0</v>
      </c>
      <c r="E20" s="454">
        <v>920903.0</v>
      </c>
      <c r="F20" s="455" t="s">
        <v>3276</v>
      </c>
      <c r="G20" s="456" t="s">
        <v>3277</v>
      </c>
      <c r="H20" s="450" t="s">
        <v>3278</v>
      </c>
      <c r="I20" s="455" t="s">
        <v>3279</v>
      </c>
      <c r="J20" s="457" t="s">
        <v>3280</v>
      </c>
      <c r="K20" s="457" t="s">
        <v>3281</v>
      </c>
      <c r="L20" s="421" t="s">
        <v>3282</v>
      </c>
      <c r="M20" s="421" t="s">
        <v>3283</v>
      </c>
      <c r="N20" s="421" t="s">
        <v>3284</v>
      </c>
      <c r="O20" s="421" t="s">
        <v>3285</v>
      </c>
      <c r="P20" s="326" t="s">
        <v>3286</v>
      </c>
      <c r="Q20" s="422"/>
      <c r="R20" s="422"/>
      <c r="S20" s="422"/>
      <c r="T20" s="422"/>
      <c r="U20" s="422"/>
      <c r="V20" s="422"/>
      <c r="W20" s="371"/>
      <c r="X20" s="371"/>
      <c r="Y20" s="371"/>
      <c r="Z20" s="371"/>
      <c r="AA20" s="371"/>
      <c r="AB20" s="371"/>
    </row>
    <row r="21" ht="30.75" customHeight="1">
      <c r="A21" s="6">
        <v>24.0</v>
      </c>
      <c r="B21" s="176" t="s">
        <v>3287</v>
      </c>
      <c r="C21" s="448" t="s">
        <v>3092</v>
      </c>
      <c r="D21" s="197">
        <v>178000.0</v>
      </c>
      <c r="E21" s="449">
        <v>913397.0</v>
      </c>
      <c r="F21" s="450" t="s">
        <v>3288</v>
      </c>
      <c r="G21" s="458" t="s">
        <v>3289</v>
      </c>
      <c r="H21" s="450" t="s">
        <v>3290</v>
      </c>
      <c r="I21" s="450" t="s">
        <v>3291</v>
      </c>
      <c r="J21" s="421" t="s">
        <v>3292</v>
      </c>
      <c r="K21" s="421" t="s">
        <v>3293</v>
      </c>
      <c r="L21" s="421" t="s">
        <v>3294</v>
      </c>
      <c r="M21" s="421" t="s">
        <v>3295</v>
      </c>
      <c r="N21" s="421" t="s">
        <v>3296</v>
      </c>
      <c r="O21" s="421" t="s">
        <v>3297</v>
      </c>
      <c r="P21" s="326" t="s">
        <v>3298</v>
      </c>
      <c r="Q21" s="422"/>
      <c r="R21" s="422"/>
      <c r="S21" s="422"/>
      <c r="T21" s="422"/>
      <c r="U21" s="422"/>
      <c r="V21" s="422"/>
      <c r="W21" s="371"/>
      <c r="X21" s="371"/>
      <c r="Y21" s="371"/>
      <c r="Z21" s="371"/>
      <c r="AA21" s="371"/>
      <c r="AB21" s="371"/>
    </row>
    <row r="22" ht="55.5" customHeight="1">
      <c r="A22" s="452">
        <v>25.0</v>
      </c>
      <c r="B22" s="424" t="s">
        <v>3220</v>
      </c>
      <c r="C22" s="459" t="s">
        <v>3132</v>
      </c>
      <c r="D22" s="453">
        <v>25000.0</v>
      </c>
      <c r="E22" s="454">
        <v>280280.0</v>
      </c>
      <c r="F22" s="460" t="s">
        <v>3299</v>
      </c>
      <c r="G22" s="458" t="s">
        <v>3300</v>
      </c>
      <c r="H22" s="450" t="s">
        <v>3301</v>
      </c>
      <c r="I22" s="450" t="s">
        <v>3302</v>
      </c>
      <c r="J22" s="421" t="s">
        <v>3303</v>
      </c>
      <c r="K22" s="461" t="s">
        <v>3304</v>
      </c>
      <c r="L22" s="421" t="s">
        <v>3305</v>
      </c>
      <c r="M22" s="421" t="s">
        <v>3306</v>
      </c>
      <c r="N22" s="421" t="s">
        <v>3307</v>
      </c>
      <c r="O22" s="421" t="s">
        <v>3308</v>
      </c>
      <c r="P22" s="326" t="s">
        <v>3309</v>
      </c>
      <c r="Q22" s="422"/>
      <c r="R22" s="422"/>
      <c r="S22" s="422"/>
      <c r="T22" s="422"/>
      <c r="U22" s="422"/>
      <c r="V22" s="422"/>
      <c r="W22" s="371"/>
      <c r="X22" s="371"/>
      <c r="Y22" s="371"/>
      <c r="Z22" s="371"/>
      <c r="AA22" s="371"/>
      <c r="AB22" s="371"/>
    </row>
    <row r="23" ht="30.75" customHeight="1">
      <c r="A23" s="452">
        <v>25.0</v>
      </c>
      <c r="B23" s="424" t="s">
        <v>3131</v>
      </c>
      <c r="C23" s="459" t="s">
        <v>3221</v>
      </c>
      <c r="D23" s="453">
        <v>400000.0</v>
      </c>
      <c r="E23" s="454">
        <v>4.6729024E7</v>
      </c>
      <c r="F23" s="462" t="s">
        <v>3082</v>
      </c>
      <c r="G23" s="463" t="s">
        <v>3082</v>
      </c>
      <c r="H23" s="464" t="s">
        <v>3082</v>
      </c>
      <c r="I23" s="464" t="s">
        <v>3082</v>
      </c>
      <c r="J23" s="465" t="s">
        <v>3082</v>
      </c>
      <c r="K23" s="465" t="s">
        <v>3082</v>
      </c>
      <c r="L23" s="465" t="s">
        <v>3082</v>
      </c>
      <c r="M23" s="465" t="s">
        <v>3082</v>
      </c>
      <c r="N23" s="465" t="s">
        <v>3082</v>
      </c>
      <c r="O23" s="465" t="s">
        <v>3082</v>
      </c>
      <c r="P23" s="465" t="s">
        <v>3082</v>
      </c>
      <c r="Q23" s="465" t="s">
        <v>3082</v>
      </c>
      <c r="R23" s="465" t="s">
        <v>3082</v>
      </c>
      <c r="S23" s="465" t="s">
        <v>3082</v>
      </c>
      <c r="T23" s="465" t="s">
        <v>3082</v>
      </c>
      <c r="U23" s="465" t="s">
        <v>3082</v>
      </c>
      <c r="V23" s="465" t="s">
        <v>3082</v>
      </c>
      <c r="W23" s="371"/>
      <c r="X23" s="371"/>
      <c r="Y23" s="371"/>
      <c r="Z23" s="371"/>
      <c r="AA23" s="371"/>
      <c r="AB23" s="371"/>
    </row>
    <row r="24" ht="30.75" customHeight="1">
      <c r="A24" s="452">
        <v>30.0</v>
      </c>
      <c r="B24" s="424" t="s">
        <v>3220</v>
      </c>
      <c r="C24" s="459" t="s">
        <v>3145</v>
      </c>
      <c r="D24" s="453">
        <v>50000.0</v>
      </c>
      <c r="E24" s="454">
        <v>2024805.0</v>
      </c>
      <c r="F24" s="466"/>
      <c r="G24" s="458" t="s">
        <v>3310</v>
      </c>
      <c r="H24" s="450" t="s">
        <v>3311</v>
      </c>
      <c r="I24" s="450" t="s">
        <v>3312</v>
      </c>
      <c r="J24" s="421" t="s">
        <v>3313</v>
      </c>
      <c r="K24" s="421" t="s">
        <v>3314</v>
      </c>
      <c r="L24" s="421" t="s">
        <v>3315</v>
      </c>
      <c r="M24" s="421" t="s">
        <v>3316</v>
      </c>
      <c r="N24" s="421" t="s">
        <v>3317</v>
      </c>
      <c r="O24" s="421" t="s">
        <v>3318</v>
      </c>
      <c r="P24" s="326" t="s">
        <v>3319</v>
      </c>
      <c r="Q24" s="422"/>
      <c r="R24" s="422"/>
      <c r="S24" s="422"/>
      <c r="T24" s="422"/>
      <c r="U24" s="422"/>
      <c r="V24" s="422"/>
      <c r="W24" s="371"/>
      <c r="X24" s="371"/>
      <c r="Y24" s="371"/>
      <c r="Z24" s="371"/>
      <c r="AA24" s="371"/>
      <c r="AB24" s="371"/>
    </row>
    <row r="25" ht="30.75" customHeight="1">
      <c r="A25" s="6"/>
      <c r="B25" s="176"/>
      <c r="C25" s="448"/>
      <c r="D25" s="197"/>
      <c r="E25" s="467"/>
      <c r="F25" s="450"/>
      <c r="G25" s="458"/>
      <c r="H25" s="468"/>
      <c r="I25" s="326"/>
      <c r="J25" s="437"/>
      <c r="K25" s="437"/>
      <c r="L25" s="437"/>
      <c r="M25" s="469"/>
      <c r="N25" s="437"/>
      <c r="O25" s="437"/>
      <c r="P25" s="329"/>
      <c r="Q25" s="422"/>
      <c r="R25" s="422"/>
      <c r="S25" s="422"/>
      <c r="T25" s="422"/>
      <c r="U25" s="422"/>
      <c r="V25" s="422"/>
      <c r="W25" s="371"/>
      <c r="X25" s="371"/>
      <c r="Y25" s="371"/>
      <c r="Z25" s="371"/>
      <c r="AA25" s="371"/>
      <c r="AB25" s="371"/>
    </row>
    <row r="26" ht="30.75" customHeight="1">
      <c r="A26" s="470"/>
      <c r="B26" s="176"/>
      <c r="C26" s="448"/>
      <c r="D26" s="197"/>
      <c r="E26" s="467" t="s">
        <v>3320</v>
      </c>
      <c r="F26" s="421"/>
      <c r="G26" s="421"/>
      <c r="H26" s="421"/>
      <c r="I26" s="421"/>
      <c r="J26" s="421"/>
      <c r="K26" s="471">
        <v>1.3341552E7</v>
      </c>
      <c r="L26" s="471">
        <v>1.5339697E7</v>
      </c>
      <c r="M26" s="472">
        <v>1.2922371E7</v>
      </c>
      <c r="N26" s="472">
        <v>1.048364E7</v>
      </c>
      <c r="O26" s="473">
        <f t="shared" ref="O26:P26" si="1">SUM(O2:O24)</f>
        <v>0</v>
      </c>
      <c r="P26" s="473">
        <f t="shared" si="1"/>
        <v>0</v>
      </c>
      <c r="Q26" s="422"/>
      <c r="R26" s="422"/>
      <c r="S26" s="422"/>
      <c r="T26" s="422"/>
      <c r="U26" s="422"/>
      <c r="V26" s="422"/>
      <c r="W26" s="371"/>
      <c r="X26" s="371"/>
      <c r="Y26" s="371"/>
      <c r="Z26" s="371"/>
      <c r="AA26" s="371"/>
      <c r="AB26" s="371"/>
    </row>
    <row r="27" ht="30.75" customHeight="1">
      <c r="A27" s="470"/>
      <c r="B27" s="474"/>
      <c r="C27" s="422"/>
      <c r="D27" s="475"/>
      <c r="E27" s="476"/>
      <c r="F27" s="468"/>
      <c r="G27" s="349"/>
      <c r="H27" s="329"/>
      <c r="I27" s="329"/>
      <c r="J27" s="437"/>
      <c r="K27" s="437"/>
      <c r="L27" s="421"/>
      <c r="M27" s="469"/>
      <c r="N27" s="422"/>
      <c r="O27" s="437"/>
      <c r="P27" s="329"/>
      <c r="Q27" s="422"/>
      <c r="R27" s="422"/>
      <c r="S27" s="422"/>
      <c r="T27" s="422"/>
      <c r="U27" s="422"/>
      <c r="V27" s="422"/>
      <c r="W27" s="371"/>
      <c r="X27" s="371"/>
      <c r="Y27" s="371"/>
      <c r="Z27" s="371"/>
      <c r="AA27" s="371"/>
      <c r="AB27" s="371"/>
    </row>
    <row r="28" ht="30.75" customHeight="1">
      <c r="A28" s="411"/>
      <c r="B28" s="310"/>
      <c r="C28" s="371"/>
      <c r="D28" s="477"/>
      <c r="E28" s="478"/>
      <c r="F28" s="479"/>
      <c r="G28" s="480"/>
      <c r="H28" s="307"/>
      <c r="I28" s="307"/>
      <c r="J28" s="481"/>
      <c r="K28" s="481"/>
      <c r="L28" s="481"/>
      <c r="M28" s="482"/>
      <c r="N28" s="371"/>
      <c r="O28" s="371"/>
      <c r="P28" s="307"/>
      <c r="Q28" s="371"/>
      <c r="R28" s="371"/>
      <c r="S28" s="371"/>
      <c r="T28" s="371"/>
      <c r="U28" s="371"/>
      <c r="V28" s="371"/>
      <c r="W28" s="371"/>
      <c r="X28" s="371"/>
      <c r="Y28" s="371"/>
      <c r="Z28" s="371"/>
      <c r="AA28" s="371"/>
      <c r="AB28" s="371"/>
    </row>
    <row r="29" ht="30.75" customHeight="1">
      <c r="A29" s="411"/>
      <c r="B29" s="310"/>
      <c r="C29" s="371"/>
      <c r="D29" s="477"/>
      <c r="E29" s="478"/>
      <c r="F29" s="479"/>
      <c r="G29" s="480"/>
      <c r="H29" s="307"/>
      <c r="I29" s="307"/>
      <c r="J29" s="481"/>
      <c r="K29" s="481"/>
      <c r="L29" s="481"/>
      <c r="M29" s="482"/>
      <c r="N29" s="371"/>
      <c r="O29" s="371"/>
      <c r="P29" s="307"/>
      <c r="Q29" s="371"/>
      <c r="R29" s="371"/>
      <c r="S29" s="371"/>
      <c r="T29" s="371"/>
      <c r="U29" s="371"/>
      <c r="V29" s="371"/>
      <c r="W29" s="371"/>
      <c r="X29" s="371"/>
      <c r="Y29" s="371"/>
      <c r="Z29" s="371"/>
      <c r="AA29" s="371"/>
      <c r="AB29" s="371"/>
    </row>
  </sheetData>
  <autoFilter ref="$A$1:$AB$29">
    <sortState ref="A1:AB29">
      <sortCondition ref="A1:A29"/>
    </sortState>
  </autoFilter>
  <printOptions gridLines="1" horizontalCentered="1"/>
  <pageMargins bottom="0.75" footer="0.0" header="0.0" left="0.25" right="0.25" top="0.75"/>
  <pageSetup cellComments="atEnd" orientation="landscape" pageOrder="overThenDown" paperHeight="9.842519685039369in" paperWidth="11.692913385826772i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4.5"/>
    <col customWidth="1" min="3" max="3" width="9.25"/>
    <col customWidth="1" min="4" max="4" width="10.13"/>
    <col customWidth="1" min="5" max="5" width="6.75"/>
    <col customWidth="1" min="6" max="6" width="30.13"/>
    <col customWidth="1" min="7" max="7" width="24.5"/>
    <col customWidth="1" min="8" max="8" width="11.13"/>
    <col customWidth="1" min="9" max="9" width="18.5"/>
  </cols>
  <sheetData>
    <row r="1">
      <c r="A1" s="483" t="s">
        <v>2832</v>
      </c>
      <c r="B1" s="484" t="s">
        <v>3321</v>
      </c>
      <c r="C1" s="421" t="s">
        <v>3322</v>
      </c>
      <c r="D1" s="421" t="s">
        <v>3323</v>
      </c>
      <c r="E1" s="437"/>
      <c r="F1" s="421" t="s">
        <v>2870</v>
      </c>
      <c r="G1" s="485"/>
      <c r="H1" s="485"/>
      <c r="I1" s="486" t="s">
        <v>3324</v>
      </c>
      <c r="J1" s="486" t="s">
        <v>3325</v>
      </c>
    </row>
    <row r="2" hidden="1">
      <c r="A2" s="448" t="s">
        <v>437</v>
      </c>
      <c r="B2" s="197">
        <v>992800.0</v>
      </c>
      <c r="C2" s="487">
        <v>45764.0</v>
      </c>
      <c r="D2" s="488" t="s">
        <v>3326</v>
      </c>
      <c r="E2" s="326" t="s">
        <v>2828</v>
      </c>
      <c r="F2" s="329"/>
      <c r="G2" s="489" t="s">
        <v>3327</v>
      </c>
      <c r="H2" s="490"/>
      <c r="I2" s="307"/>
      <c r="J2" s="307"/>
    </row>
    <row r="3" hidden="1">
      <c r="A3" s="491" t="s">
        <v>3328</v>
      </c>
      <c r="B3" s="492">
        <v>1540857.0</v>
      </c>
      <c r="C3" s="493">
        <v>45793.0</v>
      </c>
      <c r="D3" s="316">
        <v>29904.0</v>
      </c>
      <c r="E3" s="316" t="s">
        <v>2828</v>
      </c>
      <c r="F3" s="492" t="s">
        <v>3329</v>
      </c>
      <c r="G3" s="494" t="s">
        <v>3330</v>
      </c>
      <c r="H3" s="495"/>
      <c r="I3" s="496"/>
      <c r="J3" s="496"/>
    </row>
    <row r="4">
      <c r="A4" s="497" t="s">
        <v>3331</v>
      </c>
      <c r="B4" s="197">
        <f>2736649-1766700</f>
        <v>969949</v>
      </c>
      <c r="C4" s="487">
        <v>45799.0</v>
      </c>
      <c r="D4" s="326" t="s">
        <v>3332</v>
      </c>
      <c r="E4" s="498" t="s">
        <v>2830</v>
      </c>
      <c r="F4" s="326" t="s">
        <v>3333</v>
      </c>
      <c r="G4" s="499" t="s">
        <v>3334</v>
      </c>
      <c r="H4" s="477"/>
      <c r="I4" s="496"/>
      <c r="J4" s="496"/>
    </row>
    <row r="5">
      <c r="A5" s="497" t="s">
        <v>3335</v>
      </c>
      <c r="B5" s="197">
        <v>1708280.0</v>
      </c>
      <c r="C5" s="487">
        <v>45862.0</v>
      </c>
      <c r="D5" s="326">
        <v>44673.0</v>
      </c>
      <c r="E5" s="498" t="s">
        <v>3336</v>
      </c>
      <c r="F5" s="197"/>
      <c r="G5" s="305"/>
      <c r="H5" s="490"/>
      <c r="I5" s="305" t="s">
        <v>3337</v>
      </c>
      <c r="J5" s="307"/>
    </row>
    <row r="6" hidden="1">
      <c r="A6" s="500" t="s">
        <v>3338</v>
      </c>
      <c r="B6" s="501">
        <v>2085000.0</v>
      </c>
      <c r="C6" s="502">
        <v>45802.0</v>
      </c>
      <c r="D6" s="503">
        <v>5273.0</v>
      </c>
      <c r="E6" s="503" t="s">
        <v>2828</v>
      </c>
      <c r="F6" s="501"/>
      <c r="G6" s="499" t="s">
        <v>3339</v>
      </c>
      <c r="H6" s="495"/>
      <c r="I6" s="307"/>
      <c r="J6" s="307"/>
    </row>
    <row r="7" hidden="1">
      <c r="A7" s="497" t="s">
        <v>3340</v>
      </c>
      <c r="B7" s="504">
        <f>866300-16000</f>
        <v>850300</v>
      </c>
      <c r="C7" s="505">
        <v>45807.0</v>
      </c>
      <c r="D7" s="488" t="s">
        <v>3341</v>
      </c>
      <c r="E7" s="326" t="s">
        <v>2828</v>
      </c>
      <c r="F7" s="504" t="s">
        <v>3342</v>
      </c>
      <c r="G7" s="489" t="s">
        <v>3327</v>
      </c>
      <c r="H7" s="495"/>
      <c r="I7" s="305" t="s">
        <v>3343</v>
      </c>
      <c r="J7" s="307"/>
    </row>
    <row r="8" hidden="1">
      <c r="A8" s="500" t="s">
        <v>2918</v>
      </c>
      <c r="B8" s="501">
        <v>2845986.0</v>
      </c>
      <c r="C8" s="502">
        <v>45811.0</v>
      </c>
      <c r="D8" s="503">
        <v>141992.0</v>
      </c>
      <c r="E8" s="503" t="s">
        <v>2828</v>
      </c>
      <c r="F8" s="501"/>
      <c r="G8" s="499" t="s">
        <v>3344</v>
      </c>
      <c r="H8" s="495"/>
      <c r="I8" s="307"/>
      <c r="J8" s="307"/>
    </row>
    <row r="9">
      <c r="A9" s="448" t="s">
        <v>3340</v>
      </c>
      <c r="B9" s="197">
        <v>1067000.0</v>
      </c>
      <c r="C9" s="506">
        <v>45813.0</v>
      </c>
      <c r="D9" s="326" t="s">
        <v>3341</v>
      </c>
      <c r="E9" s="498" t="s">
        <v>3336</v>
      </c>
      <c r="F9" s="326"/>
      <c r="G9" s="494" t="s">
        <v>3345</v>
      </c>
      <c r="H9" s="307"/>
      <c r="I9" s="305" t="s">
        <v>3343</v>
      </c>
      <c r="J9" s="305"/>
    </row>
    <row r="10" hidden="1">
      <c r="A10" s="500" t="s">
        <v>3346</v>
      </c>
      <c r="B10" s="501">
        <v>2125340.0</v>
      </c>
      <c r="C10" s="502">
        <v>45814.0</v>
      </c>
      <c r="D10" s="503">
        <v>4108.0</v>
      </c>
      <c r="E10" s="503" t="s">
        <v>2828</v>
      </c>
      <c r="F10" s="501"/>
      <c r="G10" s="499" t="s">
        <v>3344</v>
      </c>
      <c r="H10" s="495"/>
      <c r="I10" s="496"/>
      <c r="J10" s="496"/>
    </row>
    <row r="11">
      <c r="A11" s="497" t="s">
        <v>2918</v>
      </c>
      <c r="B11" s="197">
        <v>4981230.0</v>
      </c>
      <c r="C11" s="487">
        <v>45817.0</v>
      </c>
      <c r="D11" s="326">
        <v>142063.0</v>
      </c>
      <c r="E11" s="498" t="s">
        <v>3336</v>
      </c>
      <c r="F11" s="503" t="s">
        <v>3347</v>
      </c>
      <c r="G11" s="494" t="s">
        <v>3348</v>
      </c>
      <c r="H11" s="477"/>
      <c r="I11" s="305"/>
      <c r="J11" s="307"/>
    </row>
    <row r="12">
      <c r="A12" s="497" t="s">
        <v>3349</v>
      </c>
      <c r="B12" s="197">
        <v>517200.0</v>
      </c>
      <c r="C12" s="487">
        <v>45817.0</v>
      </c>
      <c r="D12" s="326" t="s">
        <v>3326</v>
      </c>
      <c r="E12" s="498" t="s">
        <v>3336</v>
      </c>
      <c r="F12" s="326"/>
      <c r="G12" s="494" t="s">
        <v>3350</v>
      </c>
      <c r="H12" s="477"/>
      <c r="I12" s="305"/>
      <c r="J12" s="307"/>
    </row>
    <row r="13" hidden="1">
      <c r="A13" s="500" t="s">
        <v>1630</v>
      </c>
      <c r="B13" s="501">
        <v>758381.0</v>
      </c>
      <c r="C13" s="502">
        <v>45819.0</v>
      </c>
      <c r="D13" s="503">
        <v>2953.0</v>
      </c>
      <c r="E13" s="503" t="s">
        <v>2828</v>
      </c>
      <c r="F13" s="501"/>
      <c r="G13" s="499" t="s">
        <v>3351</v>
      </c>
      <c r="H13" s="495"/>
      <c r="I13" s="496"/>
      <c r="J13" s="496"/>
    </row>
    <row r="14" hidden="1">
      <c r="A14" s="448" t="s">
        <v>1108</v>
      </c>
      <c r="B14" s="504">
        <v>3950000.0</v>
      </c>
      <c r="C14" s="505">
        <v>45821.0</v>
      </c>
      <c r="D14" s="488">
        <v>110960.0</v>
      </c>
      <c r="E14" s="326" t="s">
        <v>2828</v>
      </c>
      <c r="F14" s="504"/>
      <c r="G14" s="489" t="s">
        <v>3352</v>
      </c>
      <c r="H14" s="495"/>
      <c r="I14" s="305" t="s">
        <v>3337</v>
      </c>
      <c r="J14" s="307"/>
    </row>
    <row r="15" hidden="1">
      <c r="A15" s="448" t="s">
        <v>1108</v>
      </c>
      <c r="B15" s="504">
        <v>199920.0</v>
      </c>
      <c r="C15" s="505">
        <v>45822.0</v>
      </c>
      <c r="D15" s="488">
        <v>110970.0</v>
      </c>
      <c r="E15" s="326" t="s">
        <v>2828</v>
      </c>
      <c r="F15" s="504"/>
      <c r="G15" s="507"/>
      <c r="H15" s="495"/>
      <c r="I15" s="305" t="s">
        <v>3337</v>
      </c>
      <c r="J15" s="307"/>
    </row>
    <row r="16" hidden="1">
      <c r="A16" s="508" t="s">
        <v>104</v>
      </c>
      <c r="B16" s="501">
        <v>1172169.0</v>
      </c>
      <c r="C16" s="502">
        <v>45824.0</v>
      </c>
      <c r="D16" s="503">
        <v>7166.0</v>
      </c>
      <c r="E16" s="503" t="s">
        <v>2828</v>
      </c>
      <c r="F16" s="501"/>
      <c r="G16" s="499" t="s">
        <v>3344</v>
      </c>
      <c r="H16" s="495"/>
      <c r="I16" s="307"/>
      <c r="J16" s="307"/>
    </row>
    <row r="17" hidden="1">
      <c r="A17" s="509" t="s">
        <v>3335</v>
      </c>
      <c r="B17" s="504">
        <v>578000.0</v>
      </c>
      <c r="C17" s="505">
        <v>45827.0</v>
      </c>
      <c r="D17" s="326">
        <v>43721.0</v>
      </c>
      <c r="E17" s="488" t="s">
        <v>2828</v>
      </c>
      <c r="F17" s="326"/>
      <c r="G17" s="489" t="s">
        <v>3352</v>
      </c>
      <c r="H17" s="477"/>
      <c r="I17" s="307"/>
      <c r="J17" s="307"/>
    </row>
    <row r="18" hidden="1">
      <c r="A18" s="509" t="s">
        <v>3335</v>
      </c>
      <c r="B18" s="504">
        <v>1985941.0</v>
      </c>
      <c r="C18" s="505">
        <v>45827.0</v>
      </c>
      <c r="D18" s="326">
        <v>43733.0</v>
      </c>
      <c r="E18" s="488" t="s">
        <v>2828</v>
      </c>
      <c r="F18" s="326"/>
      <c r="G18" s="489" t="s">
        <v>3352</v>
      </c>
      <c r="H18" s="477"/>
      <c r="I18" s="307"/>
      <c r="J18" s="307"/>
    </row>
    <row r="19" hidden="1">
      <c r="A19" s="500" t="s">
        <v>3353</v>
      </c>
      <c r="B19" s="501">
        <v>1200000.0</v>
      </c>
      <c r="C19" s="502">
        <v>45828.0</v>
      </c>
      <c r="D19" s="503"/>
      <c r="E19" s="503" t="s">
        <v>2828</v>
      </c>
      <c r="F19" s="501"/>
      <c r="G19" s="499" t="s">
        <v>3354</v>
      </c>
      <c r="H19" s="495"/>
      <c r="I19" s="305"/>
      <c r="J19" s="307"/>
    </row>
    <row r="20">
      <c r="A20" s="509" t="s">
        <v>3340</v>
      </c>
      <c r="B20" s="504">
        <v>375000.0</v>
      </c>
      <c r="C20" s="505">
        <v>45828.0</v>
      </c>
      <c r="D20" s="326" t="s">
        <v>3326</v>
      </c>
      <c r="E20" s="498" t="s">
        <v>3336</v>
      </c>
      <c r="F20" s="326" t="s">
        <v>3355</v>
      </c>
      <c r="G20" s="496"/>
      <c r="H20" s="477"/>
      <c r="I20" s="307"/>
      <c r="J20" s="307"/>
    </row>
    <row r="21" hidden="1">
      <c r="A21" s="448" t="s">
        <v>1521</v>
      </c>
      <c r="B21" s="504">
        <v>720392.0</v>
      </c>
      <c r="C21" s="505">
        <v>45830.0</v>
      </c>
      <c r="D21" s="488" t="s">
        <v>3326</v>
      </c>
      <c r="E21" s="326" t="s">
        <v>2828</v>
      </c>
      <c r="F21" s="504"/>
      <c r="G21" s="489" t="s">
        <v>3356</v>
      </c>
      <c r="H21" s="495"/>
      <c r="I21" s="307"/>
      <c r="J21" s="307"/>
    </row>
    <row r="22" hidden="1">
      <c r="A22" s="448" t="s">
        <v>45</v>
      </c>
      <c r="B22" s="504">
        <v>519374.0</v>
      </c>
      <c r="C22" s="505">
        <v>45834.0</v>
      </c>
      <c r="D22" s="488">
        <v>88363.0</v>
      </c>
      <c r="E22" s="326" t="s">
        <v>2828</v>
      </c>
      <c r="F22" s="504"/>
      <c r="G22" s="507"/>
      <c r="H22" s="495"/>
      <c r="I22" s="307"/>
      <c r="J22" s="307"/>
    </row>
    <row r="23" hidden="1">
      <c r="A23" s="448" t="s">
        <v>437</v>
      </c>
      <c r="B23" s="197">
        <v>494900.0</v>
      </c>
      <c r="C23" s="487">
        <v>45835.0</v>
      </c>
      <c r="D23" s="488" t="s">
        <v>3326</v>
      </c>
      <c r="E23" s="326" t="s">
        <v>2828</v>
      </c>
      <c r="F23" s="329"/>
      <c r="G23" s="307"/>
      <c r="H23" s="490"/>
      <c r="I23" s="307"/>
      <c r="J23" s="307"/>
    </row>
    <row r="24" hidden="1">
      <c r="A24" s="510" t="s">
        <v>3357</v>
      </c>
      <c r="B24" s="511">
        <v>2579977.0</v>
      </c>
      <c r="C24" s="512">
        <v>45835.0</v>
      </c>
      <c r="D24" s="385">
        <v>798471.0</v>
      </c>
      <c r="E24" s="385" t="s">
        <v>2828</v>
      </c>
      <c r="F24" s="504"/>
      <c r="G24" s="507"/>
      <c r="H24" s="495"/>
      <c r="I24" s="307"/>
      <c r="J24" s="307"/>
    </row>
    <row r="25" hidden="1">
      <c r="A25" s="509" t="s">
        <v>3335</v>
      </c>
      <c r="B25" s="504">
        <v>1333000.0</v>
      </c>
      <c r="C25" s="505">
        <v>45835.0</v>
      </c>
      <c r="D25" s="326">
        <v>43991.0</v>
      </c>
      <c r="E25" s="488" t="s">
        <v>2828</v>
      </c>
      <c r="F25" s="326"/>
      <c r="G25" s="496"/>
      <c r="H25" s="477"/>
      <c r="I25" s="307"/>
      <c r="J25" s="307"/>
    </row>
    <row r="26">
      <c r="A26" s="448" t="s">
        <v>45</v>
      </c>
      <c r="B26" s="504">
        <v>529275.0</v>
      </c>
      <c r="C26" s="505">
        <v>45835.0</v>
      </c>
      <c r="D26" s="488">
        <v>88426.0</v>
      </c>
      <c r="E26" s="498" t="s">
        <v>3336</v>
      </c>
      <c r="F26" s="504"/>
      <c r="G26" s="507"/>
      <c r="H26" s="495"/>
      <c r="I26" s="307"/>
      <c r="J26" s="307"/>
    </row>
    <row r="27">
      <c r="A27" s="497" t="s">
        <v>3357</v>
      </c>
      <c r="B27" s="197">
        <v>77969.0</v>
      </c>
      <c r="C27" s="487">
        <v>45837.0</v>
      </c>
      <c r="D27" s="326">
        <v>198570.0</v>
      </c>
      <c r="E27" s="498" t="s">
        <v>3336</v>
      </c>
      <c r="F27" s="326"/>
      <c r="G27" s="477"/>
      <c r="H27" s="477"/>
      <c r="I27" s="305"/>
      <c r="J27" s="307"/>
    </row>
    <row r="28" hidden="1">
      <c r="A28" s="448" t="s">
        <v>3357</v>
      </c>
      <c r="B28" s="504">
        <v>540689.0</v>
      </c>
      <c r="C28" s="505">
        <v>45838.0</v>
      </c>
      <c r="D28" s="488">
        <v>198605.0</v>
      </c>
      <c r="E28" s="488" t="s">
        <v>2828</v>
      </c>
      <c r="F28" s="504"/>
      <c r="G28" s="507"/>
      <c r="H28" s="495"/>
      <c r="I28" s="307"/>
      <c r="J28" s="307"/>
    </row>
    <row r="29" hidden="1">
      <c r="A29" s="509" t="s">
        <v>3335</v>
      </c>
      <c r="B29" s="504">
        <v>5000000.0</v>
      </c>
      <c r="C29" s="505">
        <v>45838.0</v>
      </c>
      <c r="D29" s="326">
        <v>44091.0</v>
      </c>
      <c r="E29" s="488" t="s">
        <v>2828</v>
      </c>
      <c r="F29" s="326"/>
      <c r="G29" s="496"/>
      <c r="H29" s="477"/>
      <c r="I29" s="307"/>
      <c r="J29" s="307"/>
    </row>
    <row r="30" hidden="1">
      <c r="A30" s="448" t="s">
        <v>57</v>
      </c>
      <c r="B30" s="504">
        <v>955454.0</v>
      </c>
      <c r="C30" s="505">
        <v>45838.0</v>
      </c>
      <c r="D30" s="488">
        <v>3961.0</v>
      </c>
      <c r="E30" s="326" t="s">
        <v>2828</v>
      </c>
      <c r="F30" s="504"/>
      <c r="G30" s="507"/>
      <c r="H30" s="495"/>
      <c r="I30" s="307"/>
      <c r="J30" s="307"/>
    </row>
    <row r="31" hidden="1">
      <c r="A31" s="448" t="s">
        <v>45</v>
      </c>
      <c r="B31" s="197">
        <v>760200.0</v>
      </c>
      <c r="C31" s="487">
        <v>45841.0</v>
      </c>
      <c r="D31" s="326">
        <v>88700.0</v>
      </c>
      <c r="E31" s="326" t="s">
        <v>2828</v>
      </c>
      <c r="F31" s="197"/>
      <c r="G31" s="305"/>
      <c r="H31" s="490"/>
      <c r="I31" s="307"/>
      <c r="J31" s="307"/>
    </row>
    <row r="32" hidden="1">
      <c r="A32" s="448" t="s">
        <v>45</v>
      </c>
      <c r="B32" s="504">
        <v>380100.0</v>
      </c>
      <c r="C32" s="505">
        <v>45841.0</v>
      </c>
      <c r="D32" s="488">
        <v>88712.0</v>
      </c>
      <c r="E32" s="488" t="s">
        <v>2828</v>
      </c>
      <c r="F32" s="504"/>
      <c r="G32" s="507"/>
      <c r="H32" s="495"/>
      <c r="I32" s="307"/>
      <c r="J32" s="307"/>
    </row>
    <row r="33" hidden="1">
      <c r="A33" s="448" t="s">
        <v>45</v>
      </c>
      <c r="B33" s="504">
        <v>380100.0</v>
      </c>
      <c r="C33" s="505">
        <v>45841.0</v>
      </c>
      <c r="D33" s="488">
        <v>88713.0</v>
      </c>
      <c r="E33" s="488" t="s">
        <v>2828</v>
      </c>
      <c r="F33" s="504"/>
      <c r="G33" s="507"/>
      <c r="H33" s="495"/>
      <c r="I33" s="307"/>
      <c r="J33" s="307"/>
    </row>
    <row r="34" hidden="1">
      <c r="A34" s="448" t="s">
        <v>437</v>
      </c>
      <c r="B34" s="197">
        <v>270000.0</v>
      </c>
      <c r="C34" s="487">
        <v>45842.0</v>
      </c>
      <c r="D34" s="488" t="s">
        <v>3326</v>
      </c>
      <c r="E34" s="326" t="s">
        <v>2828</v>
      </c>
      <c r="F34" s="329"/>
      <c r="G34" s="307"/>
      <c r="H34" s="490"/>
      <c r="I34" s="307"/>
      <c r="J34" s="307"/>
    </row>
    <row r="35" hidden="1">
      <c r="A35" s="509" t="s">
        <v>3335</v>
      </c>
      <c r="B35" s="504">
        <v>169200.0</v>
      </c>
      <c r="C35" s="505">
        <v>45842.0</v>
      </c>
      <c r="D35" s="326">
        <v>44171.0</v>
      </c>
      <c r="E35" s="488" t="s">
        <v>2828</v>
      </c>
      <c r="F35" s="326"/>
      <c r="G35" s="496"/>
      <c r="H35" s="477"/>
      <c r="I35" s="307"/>
      <c r="J35" s="307"/>
    </row>
    <row r="36" hidden="1">
      <c r="A36" s="509" t="s">
        <v>3335</v>
      </c>
      <c r="B36" s="504">
        <v>169200.0</v>
      </c>
      <c r="C36" s="505">
        <v>45842.0</v>
      </c>
      <c r="D36" s="326">
        <v>44168.0</v>
      </c>
      <c r="E36" s="488" t="s">
        <v>2828</v>
      </c>
      <c r="F36" s="326"/>
      <c r="G36" s="496"/>
      <c r="H36" s="477"/>
      <c r="I36" s="307"/>
      <c r="J36" s="307"/>
    </row>
    <row r="37" hidden="1">
      <c r="A37" s="509" t="s">
        <v>3335</v>
      </c>
      <c r="B37" s="504">
        <v>169200.0</v>
      </c>
      <c r="C37" s="505">
        <v>45842.0</v>
      </c>
      <c r="D37" s="326">
        <v>44161.0</v>
      </c>
      <c r="E37" s="488" t="s">
        <v>2828</v>
      </c>
      <c r="F37" s="326"/>
      <c r="G37" s="496"/>
      <c r="H37" s="477"/>
      <c r="I37" s="307"/>
      <c r="J37" s="307"/>
    </row>
    <row r="38" hidden="1">
      <c r="A38" s="509" t="s">
        <v>3335</v>
      </c>
      <c r="B38" s="504">
        <v>376040.0</v>
      </c>
      <c r="C38" s="505">
        <v>45844.0</v>
      </c>
      <c r="D38" s="326">
        <v>44259.0</v>
      </c>
      <c r="E38" s="488" t="s">
        <v>2828</v>
      </c>
      <c r="F38" s="326"/>
      <c r="G38" s="496"/>
      <c r="H38" s="477"/>
      <c r="I38" s="307"/>
      <c r="J38" s="307"/>
    </row>
    <row r="39" hidden="1">
      <c r="A39" s="448" t="s">
        <v>57</v>
      </c>
      <c r="B39" s="504">
        <v>609200.0</v>
      </c>
      <c r="C39" s="505">
        <v>45845.0</v>
      </c>
      <c r="D39" s="488">
        <v>4087.0</v>
      </c>
      <c r="E39" s="326" t="s">
        <v>2828</v>
      </c>
      <c r="F39" s="504"/>
      <c r="G39" s="507"/>
      <c r="H39" s="495"/>
      <c r="I39" s="307"/>
      <c r="J39" s="307"/>
    </row>
    <row r="40" hidden="1">
      <c r="A40" s="509" t="s">
        <v>3335</v>
      </c>
      <c r="B40" s="504">
        <v>5271600.0</v>
      </c>
      <c r="C40" s="505">
        <v>45847.0</v>
      </c>
      <c r="D40" s="326">
        <v>44297.0</v>
      </c>
      <c r="E40" s="488" t="s">
        <v>2828</v>
      </c>
      <c r="F40" s="326"/>
      <c r="G40" s="496"/>
      <c r="H40" s="477"/>
      <c r="I40" s="307"/>
      <c r="J40" s="307"/>
    </row>
    <row r="41" hidden="1">
      <c r="A41" s="448" t="s">
        <v>1108</v>
      </c>
      <c r="B41" s="504">
        <v>487480.0</v>
      </c>
      <c r="C41" s="505">
        <v>45854.0</v>
      </c>
      <c r="D41" s="488">
        <v>111264.0</v>
      </c>
      <c r="E41" s="326" t="s">
        <v>2828</v>
      </c>
      <c r="F41" s="504"/>
      <c r="G41" s="507"/>
      <c r="H41" s="495"/>
      <c r="I41" s="305"/>
      <c r="J41" s="307"/>
    </row>
    <row r="42" hidden="1">
      <c r="A42" s="448" t="s">
        <v>3357</v>
      </c>
      <c r="B42" s="504">
        <v>134004.0</v>
      </c>
      <c r="C42" s="505">
        <v>45856.0</v>
      </c>
      <c r="D42" s="488">
        <v>199408.0</v>
      </c>
      <c r="E42" s="488" t="s">
        <v>2828</v>
      </c>
      <c r="F42" s="504"/>
      <c r="G42" s="507"/>
      <c r="H42" s="495"/>
      <c r="I42" s="307"/>
      <c r="J42" s="307"/>
    </row>
    <row r="43" hidden="1">
      <c r="A43" s="509" t="s">
        <v>3335</v>
      </c>
      <c r="B43" s="504">
        <v>1393219.0</v>
      </c>
      <c r="C43" s="505">
        <v>45856.0</v>
      </c>
      <c r="D43" s="326">
        <v>44547.0</v>
      </c>
      <c r="E43" s="488" t="s">
        <v>2828</v>
      </c>
      <c r="F43" s="326"/>
      <c r="G43" s="496"/>
      <c r="H43" s="477"/>
      <c r="I43" s="307"/>
      <c r="J43" s="307"/>
    </row>
    <row r="44" hidden="1">
      <c r="A44" s="448" t="s">
        <v>45</v>
      </c>
      <c r="B44" s="504">
        <v>7939471.0</v>
      </c>
      <c r="C44" s="505">
        <v>45857.0</v>
      </c>
      <c r="D44" s="488">
        <v>90053.0</v>
      </c>
      <c r="E44" s="488" t="s">
        <v>2828</v>
      </c>
      <c r="F44" s="504"/>
      <c r="G44" s="507"/>
      <c r="H44" s="495"/>
      <c r="I44" s="307"/>
      <c r="J44" s="307"/>
    </row>
    <row r="45" hidden="1">
      <c r="A45" s="491" t="s">
        <v>3328</v>
      </c>
      <c r="B45" s="492">
        <v>-1540857.0</v>
      </c>
      <c r="C45" s="316" t="s">
        <v>3358</v>
      </c>
      <c r="D45" s="316"/>
      <c r="E45" s="316"/>
      <c r="F45" s="492" t="s">
        <v>3359</v>
      </c>
      <c r="G45" s="305" t="s">
        <v>3330</v>
      </c>
      <c r="H45" s="490"/>
      <c r="I45" s="305"/>
      <c r="J45" s="307"/>
    </row>
    <row r="46" ht="13.5" hidden="1" customHeight="1">
      <c r="A46" s="513"/>
      <c r="B46" s="504"/>
      <c r="C46" s="505"/>
      <c r="D46" s="488"/>
      <c r="E46" s="488"/>
      <c r="F46" s="504"/>
      <c r="G46" s="507"/>
      <c r="H46" s="495"/>
      <c r="I46" s="496"/>
      <c r="J46" s="496"/>
    </row>
    <row r="47" hidden="1">
      <c r="A47" s="509"/>
      <c r="B47" s="504"/>
      <c r="C47" s="505"/>
      <c r="D47" s="488"/>
      <c r="E47" s="488"/>
      <c r="F47" s="504"/>
      <c r="G47" s="507"/>
      <c r="H47" s="495"/>
      <c r="I47" s="496"/>
      <c r="J47" s="496"/>
    </row>
    <row r="48" hidden="1">
      <c r="A48" s="513"/>
      <c r="B48" s="504"/>
      <c r="C48" s="505"/>
      <c r="D48" s="488"/>
      <c r="E48" s="488"/>
      <c r="F48" s="504"/>
      <c r="G48" s="507"/>
      <c r="H48" s="495"/>
      <c r="I48" s="507"/>
      <c r="J48" s="496"/>
    </row>
    <row r="49" hidden="1">
      <c r="A49" s="497"/>
      <c r="B49" s="197"/>
      <c r="C49" s="506"/>
      <c r="D49" s="326"/>
      <c r="E49" s="326"/>
      <c r="F49" s="326"/>
      <c r="G49" s="305"/>
      <c r="H49" s="490"/>
      <c r="I49" s="305"/>
      <c r="J49" s="307"/>
    </row>
    <row r="50" hidden="1">
      <c r="A50" s="497"/>
      <c r="B50" s="197"/>
      <c r="C50" s="487"/>
      <c r="D50" s="326"/>
      <c r="E50" s="326"/>
      <c r="F50" s="326"/>
      <c r="G50" s="477"/>
      <c r="H50" s="477"/>
      <c r="I50" s="305"/>
      <c r="J50" s="307"/>
    </row>
    <row r="51" hidden="1">
      <c r="A51" s="448"/>
      <c r="B51" s="504"/>
      <c r="C51" s="505"/>
      <c r="D51" s="488"/>
      <c r="E51" s="326"/>
      <c r="F51" s="504"/>
      <c r="G51" s="507"/>
      <c r="H51" s="495"/>
      <c r="I51" s="307"/>
      <c r="J51" s="307"/>
    </row>
    <row r="52" hidden="1">
      <c r="A52" s="448"/>
      <c r="B52" s="197"/>
      <c r="C52" s="487"/>
      <c r="D52" s="326"/>
      <c r="E52" s="326"/>
      <c r="F52" s="197"/>
      <c r="G52" s="307"/>
      <c r="H52" s="477"/>
      <c r="I52" s="307"/>
      <c r="J52" s="307"/>
    </row>
    <row r="53" hidden="1">
      <c r="A53" s="448"/>
      <c r="B53" s="197"/>
      <c r="C53" s="487"/>
      <c r="D53" s="326"/>
      <c r="E53" s="326"/>
      <c r="F53" s="197"/>
      <c r="G53" s="307"/>
      <c r="H53" s="477"/>
      <c r="I53" s="307"/>
      <c r="J53" s="307"/>
    </row>
    <row r="54" hidden="1">
      <c r="A54" s="448"/>
      <c r="B54" s="197"/>
      <c r="C54" s="487"/>
      <c r="D54" s="326"/>
      <c r="E54" s="326"/>
      <c r="F54" s="197"/>
      <c r="G54" s="307"/>
      <c r="H54" s="477"/>
      <c r="I54" s="307"/>
      <c r="J54" s="307"/>
    </row>
    <row r="55" hidden="1">
      <c r="A55" s="448"/>
      <c r="B55" s="197"/>
      <c r="C55" s="487"/>
      <c r="D55" s="326"/>
      <c r="E55" s="326"/>
      <c r="F55" s="197"/>
      <c r="G55" s="514"/>
      <c r="H55" s="477"/>
      <c r="I55" s="305"/>
      <c r="J55" s="307"/>
    </row>
    <row r="56" hidden="1">
      <c r="A56" s="448"/>
      <c r="B56" s="197"/>
      <c r="C56" s="506"/>
      <c r="D56" s="326"/>
      <c r="E56" s="326"/>
      <c r="F56" s="326"/>
      <c r="G56" s="307"/>
      <c r="H56" s="477"/>
      <c r="I56" s="307"/>
      <c r="J56" s="307"/>
    </row>
    <row r="57" hidden="1">
      <c r="A57" s="497"/>
      <c r="B57" s="197"/>
      <c r="C57" s="487"/>
      <c r="D57" s="326"/>
      <c r="E57" s="326"/>
      <c r="F57" s="326"/>
      <c r="G57" s="305"/>
      <c r="H57" s="490"/>
      <c r="I57" s="307"/>
      <c r="J57" s="305"/>
    </row>
    <row r="58" hidden="1">
      <c r="A58" s="497"/>
      <c r="B58" s="197"/>
      <c r="C58" s="487"/>
      <c r="D58" s="326"/>
      <c r="E58" s="326"/>
      <c r="F58" s="197"/>
      <c r="G58" s="305"/>
      <c r="H58" s="490"/>
      <c r="I58" s="307"/>
      <c r="J58" s="307"/>
    </row>
    <row r="59" hidden="1">
      <c r="A59" s="497"/>
      <c r="B59" s="197"/>
      <c r="C59" s="487"/>
      <c r="D59" s="326"/>
      <c r="E59" s="326"/>
      <c r="F59" s="197"/>
      <c r="G59" s="305"/>
      <c r="H59" s="490"/>
      <c r="I59" s="307"/>
      <c r="J59" s="307"/>
    </row>
    <row r="60" hidden="1">
      <c r="A60" s="448"/>
      <c r="B60" s="197"/>
      <c r="C60" s="487"/>
      <c r="D60" s="326"/>
      <c r="E60" s="326"/>
      <c r="F60" s="197"/>
      <c r="G60" s="305"/>
      <c r="H60" s="490"/>
      <c r="I60" s="307"/>
      <c r="J60" s="307"/>
    </row>
    <row r="61" hidden="1">
      <c r="A61" s="509"/>
      <c r="B61" s="504"/>
      <c r="C61" s="505"/>
      <c r="D61" s="488"/>
      <c r="E61" s="326"/>
      <c r="F61" s="504"/>
      <c r="G61" s="507"/>
      <c r="H61" s="495"/>
      <c r="I61" s="307"/>
      <c r="J61" s="307"/>
    </row>
    <row r="62" hidden="1">
      <c r="A62" s="16"/>
      <c r="B62" s="197"/>
      <c r="C62" s="487"/>
      <c r="D62" s="488"/>
      <c r="E62" s="326"/>
      <c r="F62" s="326"/>
      <c r="G62" s="307"/>
      <c r="H62" s="477"/>
      <c r="I62" s="307"/>
      <c r="J62" s="307"/>
    </row>
    <row r="63" hidden="1">
      <c r="A63" s="509"/>
      <c r="B63" s="504"/>
      <c r="C63" s="505"/>
      <c r="D63" s="488"/>
      <c r="E63" s="326"/>
      <c r="F63" s="504"/>
      <c r="G63" s="507"/>
      <c r="H63" s="495"/>
      <c r="I63" s="496"/>
      <c r="J63" s="496"/>
    </row>
    <row r="64" hidden="1">
      <c r="A64" s="515"/>
      <c r="B64" s="495"/>
      <c r="C64" s="516"/>
      <c r="D64" s="507"/>
      <c r="E64" s="507"/>
      <c r="F64" s="495"/>
      <c r="G64" s="507"/>
      <c r="H64" s="495"/>
      <c r="I64" s="307"/>
      <c r="J64" s="307"/>
    </row>
    <row r="65" hidden="1">
      <c r="A65" s="515"/>
      <c r="B65" s="495"/>
      <c r="C65" s="516"/>
      <c r="D65" s="507"/>
      <c r="E65" s="507"/>
      <c r="F65" s="495"/>
      <c r="G65" s="507"/>
      <c r="H65" s="495"/>
      <c r="I65" s="307"/>
      <c r="J65" s="307"/>
    </row>
  </sheetData>
  <autoFilter ref="$A$1:$J$65">
    <filterColumn colId="4">
      <filters>
        <filter val="SUR"/>
      </filters>
    </filterColumn>
    <sortState ref="A1:J65">
      <sortCondition ref="C1:C65"/>
      <sortCondition ref="A1:A65"/>
    </sortState>
  </autoFil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1.38"/>
    <col customWidth="1" min="2" max="2" width="18.38"/>
    <col customWidth="1" min="3" max="3" width="18.25"/>
    <col customWidth="1" min="4" max="4" width="11.25"/>
    <col customWidth="1" min="5" max="6" width="16.75"/>
  </cols>
  <sheetData>
    <row r="1">
      <c r="A1" s="517"/>
      <c r="B1" s="2" t="s">
        <v>1</v>
      </c>
      <c r="C1" s="6" t="s">
        <v>3360</v>
      </c>
      <c r="D1" s="9" t="s">
        <v>7</v>
      </c>
      <c r="E1" s="9"/>
      <c r="F1" s="9" t="s">
        <v>3361</v>
      </c>
    </row>
    <row r="2">
      <c r="A2" s="16" t="s">
        <v>13</v>
      </c>
      <c r="B2" s="51"/>
      <c r="C2" s="20" t="s">
        <v>14</v>
      </c>
      <c r="D2" s="79">
        <f>9288*1.19</f>
        <v>11052.72</v>
      </c>
      <c r="E2" s="79"/>
      <c r="F2" s="79"/>
    </row>
    <row r="3">
      <c r="A3" s="16" t="s">
        <v>15</v>
      </c>
      <c r="B3" s="51"/>
      <c r="C3" s="16" t="s">
        <v>16</v>
      </c>
      <c r="D3" s="518">
        <v>8746.0</v>
      </c>
      <c r="E3" s="518"/>
      <c r="F3" s="518"/>
    </row>
    <row r="4">
      <c r="A4" s="16" t="s">
        <v>17</v>
      </c>
      <c r="B4" s="51"/>
      <c r="C4" s="16" t="s">
        <v>16</v>
      </c>
      <c r="D4" s="26">
        <f>1962*2</f>
        <v>3924</v>
      </c>
      <c r="E4" s="26"/>
      <c r="F4" s="26"/>
    </row>
    <row r="5">
      <c r="A5" s="16" t="s">
        <v>394</v>
      </c>
      <c r="B5" s="51"/>
      <c r="C5" s="16" t="s">
        <v>393</v>
      </c>
      <c r="D5" s="26">
        <v>68000.0</v>
      </c>
      <c r="E5" s="26"/>
      <c r="F5" s="26"/>
    </row>
    <row r="6">
      <c r="A6" s="16" t="s">
        <v>392</v>
      </c>
      <c r="B6" s="51"/>
      <c r="C6" s="16" t="s">
        <v>393</v>
      </c>
      <c r="D6" s="26">
        <v>23000.0</v>
      </c>
      <c r="E6" s="26"/>
      <c r="F6" s="26"/>
    </row>
    <row r="7">
      <c r="A7" s="16" t="s">
        <v>18</v>
      </c>
      <c r="B7" s="51"/>
      <c r="C7" s="16" t="s">
        <v>16</v>
      </c>
      <c r="D7" s="519">
        <v>1712.0</v>
      </c>
      <c r="E7" s="519"/>
      <c r="F7" s="519"/>
    </row>
    <row r="8">
      <c r="A8" s="16" t="s">
        <v>19</v>
      </c>
      <c r="B8" s="51"/>
      <c r="C8" s="16" t="s">
        <v>20</v>
      </c>
      <c r="D8" s="26">
        <v>4500.0</v>
      </c>
      <c r="E8" s="26"/>
      <c r="F8" s="26"/>
    </row>
    <row r="9">
      <c r="A9" s="16" t="s">
        <v>22</v>
      </c>
      <c r="B9" s="49"/>
      <c r="C9" s="16" t="s">
        <v>23</v>
      </c>
      <c r="D9" s="26">
        <v>16900.0</v>
      </c>
      <c r="E9" s="26"/>
      <c r="F9" s="26"/>
    </row>
    <row r="10">
      <c r="A10" s="16" t="s">
        <v>25</v>
      </c>
      <c r="B10" s="49"/>
      <c r="C10" s="16" t="s">
        <v>26</v>
      </c>
      <c r="D10" s="26">
        <v>16900.0</v>
      </c>
      <c r="E10" s="26"/>
      <c r="F10" s="26"/>
    </row>
    <row r="11">
      <c r="A11" s="16" t="s">
        <v>27</v>
      </c>
      <c r="B11" s="51"/>
      <c r="C11" s="16" t="s">
        <v>16</v>
      </c>
      <c r="D11" s="518">
        <v>1426.9789473684211</v>
      </c>
      <c r="E11" s="518"/>
      <c r="F11" s="518"/>
    </row>
    <row r="12">
      <c r="A12" s="40" t="s">
        <v>28</v>
      </c>
      <c r="B12" s="51" t="s">
        <v>29</v>
      </c>
      <c r="C12" s="20" t="s">
        <v>30</v>
      </c>
      <c r="D12" s="26">
        <f t="shared" ref="D12:D13" si="1">9300*1.19/5</f>
        <v>2213.4</v>
      </c>
      <c r="E12" s="26"/>
      <c r="F12" s="26"/>
    </row>
    <row r="13">
      <c r="A13" s="16" t="s">
        <v>31</v>
      </c>
      <c r="B13" s="51" t="s">
        <v>32</v>
      </c>
      <c r="C13" s="20" t="s">
        <v>30</v>
      </c>
      <c r="D13" s="26">
        <f t="shared" si="1"/>
        <v>2213.4</v>
      </c>
      <c r="E13" s="26"/>
      <c r="F13" s="26"/>
    </row>
    <row r="14">
      <c r="A14" s="40" t="s">
        <v>33</v>
      </c>
      <c r="B14" s="49"/>
      <c r="C14" s="16" t="s">
        <v>26</v>
      </c>
      <c r="D14" s="26">
        <v>16900.0</v>
      </c>
      <c r="E14" s="26"/>
      <c r="F14" s="26"/>
    </row>
    <row r="15">
      <c r="A15" s="16" t="s">
        <v>34</v>
      </c>
      <c r="B15" s="51"/>
      <c r="C15" s="16" t="s">
        <v>16</v>
      </c>
      <c r="D15" s="79">
        <v>4602.0</v>
      </c>
      <c r="E15" s="79"/>
      <c r="F15" s="79"/>
    </row>
    <row r="16">
      <c r="A16" s="16" t="s">
        <v>35</v>
      </c>
      <c r="B16" s="51"/>
      <c r="C16" s="16" t="s">
        <v>36</v>
      </c>
      <c r="D16" s="79">
        <f>65000/200</f>
        <v>325</v>
      </c>
      <c r="E16" s="79"/>
      <c r="F16" s="79"/>
    </row>
    <row r="17">
      <c r="A17" s="16" t="s">
        <v>37</v>
      </c>
      <c r="B17" s="51"/>
      <c r="C17" s="16" t="s">
        <v>36</v>
      </c>
      <c r="D17" s="79">
        <v>65000.0</v>
      </c>
      <c r="E17" s="79"/>
      <c r="F17" s="79"/>
    </row>
    <row r="18">
      <c r="A18" s="42" t="s">
        <v>38</v>
      </c>
      <c r="B18" s="51"/>
      <c r="C18" s="16" t="s">
        <v>39</v>
      </c>
      <c r="D18" s="26">
        <f>3200*1.19</f>
        <v>3808</v>
      </c>
      <c r="E18" s="26"/>
      <c r="F18" s="26"/>
    </row>
    <row r="19">
      <c r="A19" s="16" t="s">
        <v>40</v>
      </c>
      <c r="B19" s="51"/>
      <c r="C19" s="20" t="s">
        <v>3362</v>
      </c>
      <c r="D19" s="520">
        <v>28000.0</v>
      </c>
      <c r="E19" s="520"/>
      <c r="F19" s="520"/>
    </row>
    <row r="20">
      <c r="A20" s="16" t="s">
        <v>42</v>
      </c>
      <c r="B20" s="51"/>
      <c r="C20" s="20" t="s">
        <v>3362</v>
      </c>
      <c r="D20" s="520">
        <v>35000.0</v>
      </c>
      <c r="E20" s="520"/>
      <c r="F20" s="520"/>
    </row>
    <row r="21">
      <c r="A21" s="16" t="s">
        <v>43</v>
      </c>
      <c r="B21" s="51" t="s">
        <v>44</v>
      </c>
      <c r="C21" s="20" t="s">
        <v>45</v>
      </c>
      <c r="D21" s="520">
        <f>121849*1.19</f>
        <v>145000.31</v>
      </c>
      <c r="E21" s="520"/>
      <c r="F21" s="520"/>
    </row>
    <row r="22">
      <c r="A22" s="16" t="s">
        <v>46</v>
      </c>
      <c r="B22" s="51" t="s">
        <v>47</v>
      </c>
      <c r="C22" s="20" t="s">
        <v>48</v>
      </c>
      <c r="D22" s="26">
        <v>116000.0</v>
      </c>
      <c r="E22" s="26"/>
      <c r="F22" s="26"/>
    </row>
    <row r="23">
      <c r="A23" s="16" t="s">
        <v>49</v>
      </c>
      <c r="B23" s="49"/>
      <c r="C23" s="16" t="s">
        <v>3363</v>
      </c>
      <c r="D23" s="26">
        <v>35000.0</v>
      </c>
      <c r="E23" s="26"/>
      <c r="F23" s="26"/>
    </row>
    <row r="24">
      <c r="A24" s="16" t="s">
        <v>51</v>
      </c>
      <c r="B24" s="49"/>
      <c r="C24" s="16" t="s">
        <v>52</v>
      </c>
      <c r="D24" s="26">
        <v>24850.0</v>
      </c>
      <c r="E24" s="26"/>
      <c r="F24" s="26"/>
    </row>
    <row r="25">
      <c r="A25" s="16" t="s">
        <v>54</v>
      </c>
      <c r="B25" s="51"/>
      <c r="C25" s="20" t="s">
        <v>14</v>
      </c>
      <c r="D25" s="26">
        <v>49504.0</v>
      </c>
      <c r="E25" s="26"/>
      <c r="F25" s="26"/>
    </row>
    <row r="26">
      <c r="A26" s="16" t="s">
        <v>56</v>
      </c>
      <c r="B26" s="51"/>
      <c r="C26" s="20" t="s">
        <v>57</v>
      </c>
      <c r="D26" s="26">
        <v>7400.0</v>
      </c>
      <c r="E26" s="26"/>
      <c r="F26" s="26"/>
    </row>
    <row r="27">
      <c r="A27" s="52" t="s">
        <v>58</v>
      </c>
      <c r="B27" s="49" t="s">
        <v>59</v>
      </c>
      <c r="C27" s="20" t="s">
        <v>60</v>
      </c>
      <c r="D27" s="26">
        <f>24789.92*1.19</f>
        <v>29500.0048</v>
      </c>
      <c r="E27" s="26"/>
      <c r="F27" s="26"/>
    </row>
    <row r="28">
      <c r="A28" s="16" t="s">
        <v>61</v>
      </c>
      <c r="B28" s="51"/>
      <c r="C28" s="20" t="s">
        <v>14</v>
      </c>
      <c r="D28" s="79">
        <f>50500*1.19</f>
        <v>60095</v>
      </c>
      <c r="E28" s="79"/>
      <c r="F28" s="79"/>
    </row>
    <row r="29">
      <c r="A29" s="42" t="s">
        <v>62</v>
      </c>
      <c r="B29" s="51"/>
      <c r="C29" s="54" t="s">
        <v>63</v>
      </c>
      <c r="D29" s="26">
        <f>26000*1.19</f>
        <v>30940</v>
      </c>
      <c r="E29" s="26"/>
      <c r="F29" s="26"/>
    </row>
    <row r="30">
      <c r="A30" s="52" t="s">
        <v>64</v>
      </c>
      <c r="B30" s="51"/>
      <c r="C30" s="20" t="s">
        <v>65</v>
      </c>
      <c r="D30" s="26">
        <v>7500.0</v>
      </c>
      <c r="E30" s="26"/>
      <c r="F30" s="26"/>
    </row>
    <row r="31">
      <c r="A31" s="16" t="s">
        <v>66</v>
      </c>
      <c r="B31" s="51"/>
      <c r="C31" s="20" t="s">
        <v>57</v>
      </c>
      <c r="D31" s="26">
        <v>1800.0</v>
      </c>
      <c r="E31" s="26"/>
      <c r="F31" s="26"/>
    </row>
    <row r="32">
      <c r="A32" s="16" t="s">
        <v>67</v>
      </c>
      <c r="B32" s="51"/>
      <c r="C32" s="20" t="s">
        <v>57</v>
      </c>
      <c r="D32" s="26">
        <v>6400.0</v>
      </c>
      <c r="E32" s="26"/>
      <c r="F32" s="26"/>
    </row>
    <row r="33">
      <c r="A33" s="16" t="s">
        <v>68</v>
      </c>
      <c r="B33" s="49" t="s">
        <v>69</v>
      </c>
      <c r="C33" s="16" t="s">
        <v>70</v>
      </c>
      <c r="D33" s="26">
        <f>100000*0.8*1.19</f>
        <v>95200</v>
      </c>
      <c r="E33" s="26"/>
      <c r="F33" s="26"/>
    </row>
    <row r="34">
      <c r="A34" s="16" t="s">
        <v>3364</v>
      </c>
      <c r="B34" s="51" t="s">
        <v>72</v>
      </c>
      <c r="C34" s="54" t="s">
        <v>81</v>
      </c>
      <c r="D34" s="79">
        <f>(11654*1.19)/3</f>
        <v>4622.753333</v>
      </c>
      <c r="E34" s="79"/>
      <c r="F34" s="79"/>
    </row>
    <row r="35">
      <c r="A35" s="16" t="s">
        <v>71</v>
      </c>
      <c r="B35" s="51" t="s">
        <v>72</v>
      </c>
      <c r="C35" s="20" t="s">
        <v>73</v>
      </c>
      <c r="D35" s="26">
        <v>10868.0</v>
      </c>
      <c r="E35" s="26"/>
      <c r="F35" s="26"/>
    </row>
    <row r="36">
      <c r="A36" s="16" t="s">
        <v>74</v>
      </c>
      <c r="B36" s="51" t="s">
        <v>72</v>
      </c>
      <c r="C36" s="16" t="s">
        <v>75</v>
      </c>
      <c r="D36" s="79">
        <v>12000.0</v>
      </c>
      <c r="E36" s="79"/>
      <c r="F36" s="79"/>
    </row>
    <row r="37">
      <c r="A37" s="16" t="s">
        <v>77</v>
      </c>
      <c r="B37" s="51" t="s">
        <v>72</v>
      </c>
      <c r="C37" s="20" t="s">
        <v>78</v>
      </c>
      <c r="D37" s="26">
        <v>13272.0</v>
      </c>
      <c r="E37" s="26"/>
      <c r="F37" s="26"/>
    </row>
    <row r="38">
      <c r="A38" s="16" t="s">
        <v>83</v>
      </c>
      <c r="B38" s="51" t="s">
        <v>72</v>
      </c>
      <c r="C38" s="16" t="s">
        <v>84</v>
      </c>
      <c r="D38" s="26">
        <v>2000.0</v>
      </c>
      <c r="E38" s="26"/>
      <c r="F38" s="26"/>
    </row>
    <row r="39">
      <c r="A39" s="16" t="s">
        <v>85</v>
      </c>
      <c r="B39" s="51" t="s">
        <v>86</v>
      </c>
      <c r="C39" s="16" t="s">
        <v>70</v>
      </c>
      <c r="D39" s="79">
        <f>32500*0.8</f>
        <v>26000</v>
      </c>
      <c r="E39" s="79"/>
      <c r="F39" s="79"/>
    </row>
    <row r="40">
      <c r="A40" s="59" t="s">
        <v>87</v>
      </c>
      <c r="B40" s="51" t="s">
        <v>72</v>
      </c>
      <c r="C40" s="16" t="s">
        <v>88</v>
      </c>
      <c r="D40" s="520">
        <v>14173.0</v>
      </c>
      <c r="E40" s="520"/>
      <c r="F40" s="520"/>
    </row>
    <row r="41">
      <c r="A41" s="16" t="s">
        <v>89</v>
      </c>
      <c r="B41" s="51" t="s">
        <v>3365</v>
      </c>
      <c r="C41" s="16" t="s">
        <v>91</v>
      </c>
      <c r="D41" s="520">
        <v>54000.0</v>
      </c>
      <c r="E41" s="520"/>
      <c r="F41" s="520"/>
    </row>
    <row r="42">
      <c r="A42" s="16" t="s">
        <v>92</v>
      </c>
      <c r="B42" s="51" t="s">
        <v>72</v>
      </c>
      <c r="C42" s="20" t="s">
        <v>93</v>
      </c>
      <c r="D42" s="26">
        <v>33800.0</v>
      </c>
      <c r="E42" s="26"/>
      <c r="F42" s="26"/>
    </row>
    <row r="43">
      <c r="A43" s="16" t="s">
        <v>94</v>
      </c>
      <c r="B43" s="51" t="s">
        <v>72</v>
      </c>
      <c r="C43" s="20" t="s">
        <v>78</v>
      </c>
      <c r="D43" s="26">
        <v>150579.0</v>
      </c>
      <c r="E43" s="26"/>
      <c r="F43" s="26"/>
    </row>
    <row r="44">
      <c r="A44" s="16" t="s">
        <v>96</v>
      </c>
      <c r="B44" s="51" t="s">
        <v>72</v>
      </c>
      <c r="C44" s="16" t="s">
        <v>98</v>
      </c>
      <c r="D44" s="26">
        <v>12400.0</v>
      </c>
      <c r="E44" s="26"/>
      <c r="F44" s="26"/>
    </row>
    <row r="45">
      <c r="A45" s="16" t="s">
        <v>100</v>
      </c>
      <c r="B45" s="51"/>
      <c r="C45" s="16" t="s">
        <v>84</v>
      </c>
      <c r="D45" s="26">
        <v>37140.0</v>
      </c>
      <c r="E45" s="26"/>
      <c r="F45" s="26"/>
    </row>
    <row r="46">
      <c r="A46" s="16" t="s">
        <v>101</v>
      </c>
      <c r="B46" s="51"/>
      <c r="C46" s="54" t="s">
        <v>102</v>
      </c>
      <c r="D46" s="26">
        <f>21315*1.19</f>
        <v>25364.85</v>
      </c>
      <c r="E46" s="26"/>
      <c r="F46" s="26"/>
    </row>
    <row r="47">
      <c r="A47" s="42" t="s">
        <v>103</v>
      </c>
      <c r="B47" s="49"/>
      <c r="C47" s="16" t="s">
        <v>104</v>
      </c>
      <c r="D47" s="26">
        <f>23294*1.19</f>
        <v>27719.86</v>
      </c>
      <c r="E47" s="26"/>
      <c r="F47" s="26"/>
    </row>
    <row r="48">
      <c r="A48" s="16" t="s">
        <v>105</v>
      </c>
      <c r="B48" s="51"/>
      <c r="C48" s="16" t="s">
        <v>84</v>
      </c>
      <c r="D48" s="26">
        <v>10320.0</v>
      </c>
      <c r="E48" s="26"/>
      <c r="F48" s="26"/>
    </row>
    <row r="49">
      <c r="A49" s="16" t="s">
        <v>106</v>
      </c>
      <c r="B49" s="49" t="s">
        <v>107</v>
      </c>
      <c r="C49" s="16" t="s">
        <v>70</v>
      </c>
      <c r="D49" s="26">
        <f>40000*0.8*1.19</f>
        <v>38080</v>
      </c>
      <c r="E49" s="26"/>
      <c r="F49" s="26"/>
    </row>
    <row r="50">
      <c r="A50" s="42" t="s">
        <v>108</v>
      </c>
      <c r="B50" s="49"/>
      <c r="C50" s="16" t="s">
        <v>104</v>
      </c>
      <c r="D50" s="79">
        <f>25757*1.19</f>
        <v>30650.83</v>
      </c>
      <c r="E50" s="79"/>
      <c r="F50" s="79"/>
    </row>
    <row r="51">
      <c r="A51" s="52" t="s">
        <v>109</v>
      </c>
      <c r="B51" s="49" t="s">
        <v>110</v>
      </c>
      <c r="C51" s="16" t="s">
        <v>111</v>
      </c>
      <c r="D51" s="79">
        <f>24667*1.19</f>
        <v>29353.73</v>
      </c>
      <c r="E51" s="79"/>
      <c r="F51" s="79"/>
    </row>
    <row r="52">
      <c r="A52" s="16" t="s">
        <v>112</v>
      </c>
      <c r="B52" s="51" t="s">
        <v>113</v>
      </c>
      <c r="C52" s="20" t="s">
        <v>78</v>
      </c>
      <c r="D52" s="79">
        <v>30257.0</v>
      </c>
      <c r="E52" s="79"/>
      <c r="F52" s="79"/>
    </row>
    <row r="53">
      <c r="A53" s="16" t="s">
        <v>114</v>
      </c>
      <c r="B53" s="51" t="s">
        <v>3366</v>
      </c>
      <c r="C53" s="16" t="s">
        <v>91</v>
      </c>
      <c r="D53" s="520">
        <v>118000.0</v>
      </c>
      <c r="E53" s="520"/>
      <c r="F53" s="520"/>
    </row>
    <row r="54">
      <c r="A54" s="16" t="s">
        <v>116</v>
      </c>
      <c r="B54" s="49"/>
      <c r="C54" s="40" t="s">
        <v>93</v>
      </c>
      <c r="D54" s="26">
        <v>19710.0</v>
      </c>
      <c r="E54" s="26"/>
      <c r="F54" s="26"/>
    </row>
    <row r="55">
      <c r="A55" s="16" t="s">
        <v>117</v>
      </c>
      <c r="B55" s="51"/>
      <c r="C55" s="16" t="s">
        <v>119</v>
      </c>
      <c r="D55" s="520">
        <v>45031.0</v>
      </c>
      <c r="E55" s="520"/>
      <c r="F55" s="520"/>
    </row>
    <row r="56">
      <c r="A56" s="16" t="s">
        <v>121</v>
      </c>
      <c r="B56" s="51" t="s">
        <v>122</v>
      </c>
      <c r="C56" s="16" t="s">
        <v>124</v>
      </c>
      <c r="D56" s="79">
        <v>211194.0</v>
      </c>
      <c r="E56" s="79"/>
      <c r="F56" s="79"/>
    </row>
    <row r="57">
      <c r="A57" s="16" t="s">
        <v>125</v>
      </c>
      <c r="B57" s="51"/>
      <c r="C57" s="16" t="s">
        <v>119</v>
      </c>
      <c r="D57" s="79">
        <v>25000.0</v>
      </c>
      <c r="E57" s="79"/>
      <c r="F57" s="79"/>
    </row>
    <row r="58">
      <c r="A58" s="16" t="s">
        <v>126</v>
      </c>
      <c r="B58" s="51"/>
      <c r="C58" s="16" t="s">
        <v>127</v>
      </c>
      <c r="D58" s="26">
        <v>26900.0</v>
      </c>
      <c r="E58" s="26"/>
      <c r="F58" s="26"/>
    </row>
    <row r="59">
      <c r="A59" s="16" t="s">
        <v>128</v>
      </c>
      <c r="B59" s="49"/>
      <c r="C59" s="16" t="s">
        <v>98</v>
      </c>
      <c r="D59" s="79">
        <v>13953.0</v>
      </c>
      <c r="E59" s="79"/>
      <c r="F59" s="79"/>
    </row>
    <row r="60">
      <c r="A60" s="16" t="s">
        <v>129</v>
      </c>
      <c r="B60" s="49"/>
      <c r="C60" s="16" t="s">
        <v>98</v>
      </c>
      <c r="D60" s="26">
        <v>15153.0</v>
      </c>
      <c r="E60" s="26"/>
      <c r="F60" s="26"/>
    </row>
    <row r="61">
      <c r="A61" s="42" t="s">
        <v>130</v>
      </c>
      <c r="B61" s="149"/>
      <c r="C61" s="54" t="s">
        <v>63</v>
      </c>
      <c r="D61" s="26">
        <f t="shared" ref="D61:D62" si="2">8070*1.19</f>
        <v>9603.3</v>
      </c>
      <c r="E61" s="26"/>
      <c r="F61" s="26"/>
    </row>
    <row r="62">
      <c r="A62" s="42" t="s">
        <v>131</v>
      </c>
      <c r="B62" s="149"/>
      <c r="C62" s="54" t="s">
        <v>63</v>
      </c>
      <c r="D62" s="26">
        <f t="shared" si="2"/>
        <v>9603.3</v>
      </c>
      <c r="E62" s="26"/>
      <c r="F62" s="26"/>
    </row>
    <row r="63">
      <c r="A63" s="16" t="s">
        <v>132</v>
      </c>
      <c r="B63" s="49" t="s">
        <v>133</v>
      </c>
      <c r="C63" s="16" t="s">
        <v>70</v>
      </c>
      <c r="D63" s="26">
        <v>16800.0</v>
      </c>
      <c r="E63" s="26"/>
      <c r="F63" s="26"/>
    </row>
    <row r="64">
      <c r="A64" s="16" t="s">
        <v>135</v>
      </c>
      <c r="B64" s="49" t="s">
        <v>133</v>
      </c>
      <c r="C64" s="16" t="s">
        <v>70</v>
      </c>
      <c r="D64" s="26">
        <v>16800.0</v>
      </c>
      <c r="E64" s="26"/>
      <c r="F64" s="26"/>
    </row>
    <row r="65">
      <c r="A65" s="16" t="s">
        <v>136</v>
      </c>
      <c r="B65" s="51"/>
      <c r="C65" s="16" t="s">
        <v>137</v>
      </c>
      <c r="D65" s="521">
        <v>11700.0</v>
      </c>
      <c r="E65" s="521"/>
      <c r="F65" s="521"/>
    </row>
    <row r="66">
      <c r="A66" s="16" t="s">
        <v>138</v>
      </c>
      <c r="B66" s="49" t="s">
        <v>139</v>
      </c>
      <c r="C66" s="16" t="s">
        <v>70</v>
      </c>
      <c r="D66" s="26">
        <f>245000*0.8*1.19/6</f>
        <v>38873.33333</v>
      </c>
      <c r="E66" s="26"/>
      <c r="F66" s="26"/>
    </row>
    <row r="67">
      <c r="A67" s="16" t="s">
        <v>140</v>
      </c>
      <c r="B67" s="49" t="s">
        <v>141</v>
      </c>
      <c r="C67" s="16" t="s">
        <v>70</v>
      </c>
      <c r="D67" s="26">
        <f>80000*0.8*1.19</f>
        <v>76160</v>
      </c>
      <c r="E67" s="26"/>
      <c r="F67" s="26"/>
    </row>
    <row r="68">
      <c r="A68" s="16" t="s">
        <v>143</v>
      </c>
      <c r="B68" s="49"/>
      <c r="C68" s="40" t="s">
        <v>93</v>
      </c>
      <c r="D68" s="79">
        <v>36130.0</v>
      </c>
      <c r="E68" s="79"/>
      <c r="F68" s="79"/>
    </row>
    <row r="69">
      <c r="A69" s="16" t="s">
        <v>145</v>
      </c>
      <c r="B69" s="49" t="s">
        <v>146</v>
      </c>
      <c r="C69" s="16" t="s">
        <v>70</v>
      </c>
      <c r="D69" s="79">
        <f>250000*0.8</f>
        <v>200000</v>
      </c>
      <c r="E69" s="79"/>
      <c r="F69" s="79"/>
    </row>
    <row r="70">
      <c r="A70" s="16" t="s">
        <v>148</v>
      </c>
      <c r="B70" s="49"/>
      <c r="C70" s="16" t="s">
        <v>70</v>
      </c>
      <c r="D70" s="26">
        <v>89000.0</v>
      </c>
      <c r="E70" s="26"/>
      <c r="F70" s="26"/>
    </row>
    <row r="71">
      <c r="A71" s="16" t="s">
        <v>149</v>
      </c>
      <c r="B71" s="49"/>
      <c r="C71" s="16" t="s">
        <v>70</v>
      </c>
      <c r="D71" s="79">
        <v>190000.0</v>
      </c>
      <c r="E71" s="79"/>
      <c r="F71" s="79"/>
    </row>
    <row r="72">
      <c r="A72" s="16" t="s">
        <v>150</v>
      </c>
      <c r="B72" s="49" t="s">
        <v>151</v>
      </c>
      <c r="C72" s="16" t="s">
        <v>70</v>
      </c>
      <c r="D72" s="79">
        <v>200000.0</v>
      </c>
      <c r="E72" s="79"/>
      <c r="F72" s="79"/>
    </row>
    <row r="73">
      <c r="A73" s="16" t="s">
        <v>152</v>
      </c>
      <c r="B73" s="49" t="s">
        <v>153</v>
      </c>
      <c r="C73" s="16" t="s">
        <v>70</v>
      </c>
      <c r="D73" s="26">
        <f>123000*0.8*1.19</f>
        <v>117096</v>
      </c>
      <c r="E73" s="26"/>
      <c r="F73" s="26"/>
    </row>
    <row r="74">
      <c r="A74" s="16" t="s">
        <v>155</v>
      </c>
      <c r="B74" s="51"/>
      <c r="C74" s="16" t="s">
        <v>119</v>
      </c>
      <c r="D74" s="79">
        <v>115250.0</v>
      </c>
      <c r="E74" s="79"/>
      <c r="F74" s="79"/>
    </row>
    <row r="75">
      <c r="A75" s="16" t="s">
        <v>156</v>
      </c>
      <c r="B75" s="51" t="s">
        <v>157</v>
      </c>
      <c r="C75" s="16" t="s">
        <v>119</v>
      </c>
      <c r="D75" s="79">
        <v>97429.0</v>
      </c>
      <c r="E75" s="79"/>
      <c r="F75" s="79"/>
    </row>
    <row r="76">
      <c r="A76" s="16" t="s">
        <v>158</v>
      </c>
      <c r="B76" s="49"/>
      <c r="C76" s="20" t="s">
        <v>159</v>
      </c>
      <c r="D76" s="26">
        <v>141000.0</v>
      </c>
      <c r="E76" s="26"/>
      <c r="F76" s="26"/>
    </row>
    <row r="77">
      <c r="A77" s="16" t="s">
        <v>160</v>
      </c>
      <c r="B77" s="49"/>
      <c r="C77" s="20" t="s">
        <v>159</v>
      </c>
      <c r="D77" s="26">
        <v>292000.0</v>
      </c>
      <c r="E77" s="26"/>
      <c r="F77" s="26"/>
    </row>
    <row r="78">
      <c r="A78" s="16" t="s">
        <v>161</v>
      </c>
      <c r="B78" s="49"/>
      <c r="C78" s="20" t="s">
        <v>159</v>
      </c>
      <c r="D78" s="79">
        <v>287900.0</v>
      </c>
      <c r="E78" s="79"/>
      <c r="F78" s="79"/>
    </row>
    <row r="79">
      <c r="A79" s="16" t="s">
        <v>162</v>
      </c>
      <c r="B79" s="49"/>
      <c r="C79" s="20" t="s">
        <v>163</v>
      </c>
      <c r="D79" s="79">
        <v>42000.0</v>
      </c>
      <c r="E79" s="79"/>
      <c r="F79" s="79"/>
    </row>
    <row r="80">
      <c r="A80" s="16" t="s">
        <v>164</v>
      </c>
      <c r="B80" s="49"/>
      <c r="C80" s="20" t="s">
        <v>163</v>
      </c>
      <c r="D80" s="79">
        <v>65450.0</v>
      </c>
      <c r="E80" s="79"/>
      <c r="F80" s="79"/>
    </row>
    <row r="81">
      <c r="A81" s="80" t="s">
        <v>165</v>
      </c>
      <c r="B81" s="522"/>
      <c r="C81" s="80"/>
      <c r="D81" s="89"/>
      <c r="E81" s="89"/>
      <c r="F81" s="89"/>
    </row>
    <row r="82">
      <c r="A82" s="16" t="s">
        <v>166</v>
      </c>
      <c r="B82" s="49" t="s">
        <v>167</v>
      </c>
      <c r="C82" s="16" t="s">
        <v>169</v>
      </c>
      <c r="D82" s="79">
        <v>80808.0</v>
      </c>
      <c r="E82" s="79"/>
      <c r="F82" s="79"/>
    </row>
    <row r="83">
      <c r="A83" s="16" t="s">
        <v>170</v>
      </c>
      <c r="B83" s="49" t="s">
        <v>167</v>
      </c>
      <c r="C83" s="16" t="s">
        <v>169</v>
      </c>
      <c r="D83" s="79">
        <v>97275.0</v>
      </c>
      <c r="E83" s="79"/>
      <c r="F83" s="79"/>
    </row>
    <row r="84">
      <c r="A84" s="16" t="s">
        <v>171</v>
      </c>
      <c r="B84" s="49" t="s">
        <v>167</v>
      </c>
      <c r="C84" s="16" t="s">
        <v>172</v>
      </c>
      <c r="D84" s="26">
        <f>130000/15</f>
        <v>8666.666667</v>
      </c>
      <c r="E84" s="26"/>
      <c r="F84" s="26"/>
    </row>
    <row r="85">
      <c r="A85" s="16" t="s">
        <v>173</v>
      </c>
      <c r="B85" s="49" t="s">
        <v>167</v>
      </c>
      <c r="C85" s="16" t="s">
        <v>169</v>
      </c>
      <c r="D85" s="79">
        <v>80808.0</v>
      </c>
      <c r="E85" s="79"/>
      <c r="F85" s="79"/>
    </row>
    <row r="86">
      <c r="A86" s="16" t="s">
        <v>174</v>
      </c>
      <c r="B86" s="49" t="s">
        <v>167</v>
      </c>
      <c r="C86" s="16" t="s">
        <v>169</v>
      </c>
      <c r="D86" s="79">
        <v>87241.0</v>
      </c>
      <c r="E86" s="79"/>
      <c r="F86" s="79"/>
    </row>
    <row r="87">
      <c r="A87" s="16" t="s">
        <v>175</v>
      </c>
      <c r="B87" s="51"/>
      <c r="C87" s="20" t="s">
        <v>176</v>
      </c>
      <c r="D87" s="26">
        <v>25000.0</v>
      </c>
      <c r="E87" s="26"/>
      <c r="F87" s="26"/>
    </row>
    <row r="88">
      <c r="A88" s="40" t="s">
        <v>177</v>
      </c>
      <c r="B88" s="49"/>
      <c r="C88" s="40" t="s">
        <v>98</v>
      </c>
      <c r="D88" s="26">
        <v>18683.0</v>
      </c>
      <c r="E88" s="26"/>
      <c r="F88" s="26"/>
    </row>
    <row r="89">
      <c r="A89" s="16" t="s">
        <v>178</v>
      </c>
      <c r="B89" s="49"/>
      <c r="C89" s="40" t="s">
        <v>98</v>
      </c>
      <c r="D89" s="26">
        <v>18683.0</v>
      </c>
      <c r="E89" s="26"/>
      <c r="F89" s="26"/>
    </row>
    <row r="90">
      <c r="A90" s="16" t="s">
        <v>179</v>
      </c>
      <c r="B90" s="49"/>
      <c r="C90" s="40" t="s">
        <v>98</v>
      </c>
      <c r="D90" s="26">
        <v>18683.0</v>
      </c>
      <c r="E90" s="26"/>
      <c r="F90" s="26"/>
    </row>
    <row r="91">
      <c r="A91" s="16" t="s">
        <v>180</v>
      </c>
      <c r="B91" s="49"/>
      <c r="C91" s="40" t="s">
        <v>98</v>
      </c>
      <c r="D91" s="79">
        <v>18683.0</v>
      </c>
      <c r="E91" s="79"/>
      <c r="F91" s="79"/>
    </row>
    <row r="92">
      <c r="A92" s="16" t="s">
        <v>181</v>
      </c>
      <c r="B92" s="49"/>
      <c r="C92" s="40" t="s">
        <v>98</v>
      </c>
      <c r="D92" s="79">
        <v>18683.0</v>
      </c>
      <c r="E92" s="79"/>
      <c r="F92" s="79"/>
    </row>
    <row r="93">
      <c r="A93" s="16" t="s">
        <v>182</v>
      </c>
      <c r="B93" s="49"/>
      <c r="C93" s="40" t="s">
        <v>98</v>
      </c>
      <c r="D93" s="79">
        <v>18683.0</v>
      </c>
      <c r="E93" s="79"/>
      <c r="F93" s="79"/>
    </row>
    <row r="94">
      <c r="A94" s="40" t="s">
        <v>183</v>
      </c>
      <c r="B94" s="49"/>
      <c r="C94" s="40" t="s">
        <v>98</v>
      </c>
      <c r="D94" s="79">
        <v>18683.0</v>
      </c>
      <c r="E94" s="79" t="s">
        <v>55</v>
      </c>
      <c r="F94" s="79" t="s">
        <v>2828</v>
      </c>
    </row>
    <row r="95">
      <c r="A95" s="16" t="s">
        <v>184</v>
      </c>
      <c r="B95" s="49"/>
      <c r="C95" s="40" t="s">
        <v>98</v>
      </c>
      <c r="D95" s="79">
        <v>18683.0</v>
      </c>
      <c r="E95" s="79"/>
      <c r="F95" s="79"/>
    </row>
    <row r="96">
      <c r="A96" s="16" t="s">
        <v>185</v>
      </c>
      <c r="B96" s="49"/>
      <c r="C96" s="40" t="s">
        <v>98</v>
      </c>
      <c r="D96" s="79">
        <v>18683.0</v>
      </c>
      <c r="E96" s="79"/>
      <c r="F96" s="79"/>
    </row>
    <row r="97">
      <c r="A97" s="40" t="s">
        <v>186</v>
      </c>
      <c r="B97" s="49"/>
      <c r="C97" s="40" t="s">
        <v>98</v>
      </c>
      <c r="D97" s="26">
        <v>9639.0</v>
      </c>
      <c r="E97" s="26"/>
      <c r="F97" s="26"/>
    </row>
    <row r="98">
      <c r="A98" s="16" t="s">
        <v>187</v>
      </c>
      <c r="B98" s="49"/>
      <c r="C98" s="40" t="s">
        <v>98</v>
      </c>
      <c r="D98" s="26">
        <v>9639.0</v>
      </c>
      <c r="E98" s="26"/>
      <c r="F98" s="26"/>
    </row>
    <row r="99">
      <c r="A99" s="40" t="s">
        <v>188</v>
      </c>
      <c r="B99" s="49"/>
      <c r="C99" s="40" t="s">
        <v>98</v>
      </c>
      <c r="D99" s="26">
        <v>9639.0</v>
      </c>
      <c r="E99" s="26"/>
      <c r="F99" s="26"/>
    </row>
    <row r="100">
      <c r="A100" s="16" t="s">
        <v>189</v>
      </c>
      <c r="B100" s="49"/>
      <c r="C100" s="40" t="s">
        <v>98</v>
      </c>
      <c r="D100" s="26">
        <v>9639.0</v>
      </c>
      <c r="E100" s="26"/>
      <c r="F100" s="26"/>
    </row>
    <row r="101">
      <c r="A101" s="16" t="s">
        <v>190</v>
      </c>
      <c r="B101" s="49"/>
      <c r="C101" s="40" t="s">
        <v>98</v>
      </c>
      <c r="D101" s="79">
        <f>45200*1.19</f>
        <v>53788</v>
      </c>
      <c r="E101" s="79"/>
      <c r="F101" s="79"/>
    </row>
    <row r="102">
      <c r="A102" s="16" t="s">
        <v>192</v>
      </c>
      <c r="B102" s="49"/>
      <c r="C102" s="20" t="s">
        <v>98</v>
      </c>
      <c r="D102" s="273">
        <f>54400*1.19</f>
        <v>64736</v>
      </c>
      <c r="E102" s="273"/>
      <c r="F102" s="273"/>
    </row>
    <row r="103">
      <c r="A103" s="40" t="s">
        <v>193</v>
      </c>
      <c r="B103" s="49"/>
      <c r="C103" s="20" t="s">
        <v>194</v>
      </c>
      <c r="D103" s="79">
        <v>10948.0</v>
      </c>
      <c r="E103" s="79"/>
      <c r="F103" s="79"/>
    </row>
    <row r="104">
      <c r="A104" s="40" t="s">
        <v>195</v>
      </c>
      <c r="B104" s="49"/>
      <c r="C104" s="40" t="s">
        <v>98</v>
      </c>
      <c r="D104" s="79">
        <v>18564.0</v>
      </c>
      <c r="E104" s="79"/>
      <c r="F104" s="79"/>
    </row>
    <row r="105">
      <c r="A105" s="40" t="s">
        <v>196</v>
      </c>
      <c r="B105" s="49"/>
      <c r="C105" s="20" t="s">
        <v>98</v>
      </c>
      <c r="D105" s="79">
        <v>34391.0</v>
      </c>
      <c r="E105" s="79"/>
      <c r="F105" s="79"/>
    </row>
    <row r="106">
      <c r="A106" s="16" t="s">
        <v>197</v>
      </c>
      <c r="B106" s="49"/>
      <c r="C106" s="40" t="s">
        <v>98</v>
      </c>
      <c r="D106" s="79">
        <f>5400*1.19</f>
        <v>6426</v>
      </c>
      <c r="E106" s="79"/>
      <c r="F106" s="79"/>
    </row>
    <row r="107">
      <c r="A107" s="16" t="s">
        <v>198</v>
      </c>
      <c r="B107" s="49"/>
      <c r="C107" s="40" t="s">
        <v>98</v>
      </c>
      <c r="D107" s="26" t="str">
        <f>#REF!/8</f>
        <v>#REF!</v>
      </c>
      <c r="E107" s="26"/>
      <c r="F107" s="26"/>
    </row>
    <row r="108">
      <c r="A108" s="16" t="s">
        <v>199</v>
      </c>
      <c r="B108" s="49"/>
      <c r="C108" s="20" t="s">
        <v>200</v>
      </c>
      <c r="D108" s="79">
        <f>45200*1.19</f>
        <v>53788</v>
      </c>
      <c r="E108" s="79"/>
      <c r="F108" s="79"/>
    </row>
    <row r="109">
      <c r="A109" s="16" t="s">
        <v>201</v>
      </c>
      <c r="B109" s="49"/>
      <c r="C109" s="40" t="s">
        <v>98</v>
      </c>
      <c r="D109" s="79">
        <v>101745.0</v>
      </c>
      <c r="E109" s="79"/>
      <c r="F109" s="79"/>
    </row>
    <row r="110">
      <c r="A110" s="16" t="s">
        <v>202</v>
      </c>
      <c r="B110" s="49"/>
      <c r="C110" s="40" t="s">
        <v>98</v>
      </c>
      <c r="D110" s="79">
        <f>45200*1.19</f>
        <v>53788</v>
      </c>
      <c r="E110" s="79"/>
      <c r="F110" s="79"/>
    </row>
    <row r="111">
      <c r="A111" s="16" t="s">
        <v>203</v>
      </c>
      <c r="B111" s="49"/>
      <c r="C111" s="40" t="s">
        <v>98</v>
      </c>
      <c r="D111" s="79">
        <f t="shared" ref="D111:D112" si="3">47300*1.19</f>
        <v>56287</v>
      </c>
      <c r="E111" s="79"/>
      <c r="F111" s="79"/>
    </row>
    <row r="112">
      <c r="A112" s="16" t="s">
        <v>204</v>
      </c>
      <c r="B112" s="49"/>
      <c r="C112" s="40" t="s">
        <v>98</v>
      </c>
      <c r="D112" s="79">
        <f t="shared" si="3"/>
        <v>56287</v>
      </c>
      <c r="E112" s="79"/>
      <c r="F112" s="79"/>
    </row>
    <row r="113">
      <c r="A113" s="40" t="s">
        <v>205</v>
      </c>
      <c r="B113" s="49"/>
      <c r="C113" s="40" t="s">
        <v>98</v>
      </c>
      <c r="D113" s="26">
        <v>18683.0</v>
      </c>
      <c r="E113" s="26"/>
      <c r="F113" s="26"/>
    </row>
    <row r="114">
      <c r="A114" s="16" t="s">
        <v>206</v>
      </c>
      <c r="B114" s="49"/>
      <c r="C114" s="40" t="s">
        <v>98</v>
      </c>
      <c r="D114" s="26">
        <v>18683.0</v>
      </c>
      <c r="E114" s="26"/>
      <c r="F114" s="26"/>
    </row>
    <row r="115">
      <c r="A115" s="40" t="s">
        <v>207</v>
      </c>
      <c r="B115" s="49"/>
      <c r="C115" s="40" t="s">
        <v>98</v>
      </c>
      <c r="D115" s="26">
        <v>18683.0</v>
      </c>
      <c r="E115" s="26"/>
      <c r="F115" s="26"/>
    </row>
    <row r="116">
      <c r="A116" s="16" t="s">
        <v>208</v>
      </c>
      <c r="B116" s="49"/>
      <c r="C116" s="40" t="s">
        <v>98</v>
      </c>
      <c r="D116" s="79">
        <v>18683.0</v>
      </c>
      <c r="E116" s="79"/>
      <c r="F116" s="79"/>
    </row>
    <row r="117">
      <c r="A117" s="40" t="s">
        <v>210</v>
      </c>
      <c r="B117" s="49"/>
      <c r="C117" s="40" t="s">
        <v>98</v>
      </c>
      <c r="D117" s="79">
        <v>18683.0</v>
      </c>
      <c r="E117" s="79"/>
      <c r="F117" s="79"/>
    </row>
    <row r="118">
      <c r="A118" s="40" t="s">
        <v>211</v>
      </c>
      <c r="B118" s="49"/>
      <c r="C118" s="40" t="s">
        <v>98</v>
      </c>
      <c r="D118" s="79">
        <v>18683.0</v>
      </c>
      <c r="E118" s="79"/>
      <c r="F118" s="79"/>
    </row>
    <row r="119">
      <c r="A119" s="40" t="s">
        <v>212</v>
      </c>
      <c r="B119" s="49"/>
      <c r="C119" s="40" t="s">
        <v>98</v>
      </c>
      <c r="D119" s="79">
        <v>18683.0</v>
      </c>
      <c r="E119" s="79"/>
      <c r="F119" s="79"/>
    </row>
    <row r="120">
      <c r="A120" s="40" t="s">
        <v>213</v>
      </c>
      <c r="B120" s="49"/>
      <c r="C120" s="40" t="s">
        <v>98</v>
      </c>
      <c r="D120" s="79">
        <v>18683.0</v>
      </c>
      <c r="E120" s="79"/>
      <c r="F120" s="79"/>
    </row>
    <row r="121">
      <c r="A121" s="40" t="s">
        <v>214</v>
      </c>
      <c r="B121" s="49"/>
      <c r="C121" s="40" t="s">
        <v>98</v>
      </c>
      <c r="D121" s="79">
        <v>18683.0</v>
      </c>
      <c r="E121" s="79"/>
      <c r="F121" s="79"/>
    </row>
    <row r="122">
      <c r="A122" s="40" t="s">
        <v>215</v>
      </c>
      <c r="B122" s="49"/>
      <c r="C122" s="40" t="s">
        <v>98</v>
      </c>
      <c r="D122" s="26">
        <v>9639.0</v>
      </c>
      <c r="E122" s="26"/>
      <c r="F122" s="26"/>
    </row>
    <row r="123">
      <c r="A123" s="16" t="s">
        <v>216</v>
      </c>
      <c r="B123" s="49"/>
      <c r="C123" s="40" t="s">
        <v>98</v>
      </c>
      <c r="D123" s="26">
        <v>9639.0</v>
      </c>
      <c r="E123" s="26"/>
      <c r="F123" s="26"/>
    </row>
    <row r="124">
      <c r="A124" s="40" t="s">
        <v>217</v>
      </c>
      <c r="B124" s="49"/>
      <c r="C124" s="40" t="s">
        <v>98</v>
      </c>
      <c r="D124" s="26">
        <v>9639.0</v>
      </c>
      <c r="E124" s="26"/>
      <c r="F124" s="26"/>
    </row>
    <row r="125">
      <c r="A125" s="40" t="s">
        <v>220</v>
      </c>
      <c r="B125" s="49"/>
      <c r="C125" s="40" t="s">
        <v>98</v>
      </c>
      <c r="D125" s="79">
        <f t="shared" ref="D125:D126" si="4">45200*1.19</f>
        <v>53788</v>
      </c>
      <c r="E125" s="79"/>
      <c r="F125" s="79"/>
    </row>
    <row r="126">
      <c r="A126" s="40" t="s">
        <v>221</v>
      </c>
      <c r="B126" s="49"/>
      <c r="C126" s="20" t="s">
        <v>98</v>
      </c>
      <c r="D126" s="79">
        <f t="shared" si="4"/>
        <v>53788</v>
      </c>
      <c r="E126" s="79"/>
      <c r="F126" s="79"/>
    </row>
    <row r="127">
      <c r="A127" s="40" t="s">
        <v>222</v>
      </c>
      <c r="B127" s="49"/>
      <c r="C127" s="40" t="s">
        <v>98</v>
      </c>
      <c r="D127" s="79">
        <v>10948.0</v>
      </c>
      <c r="E127" s="79"/>
      <c r="F127" s="79"/>
    </row>
    <row r="128">
      <c r="A128" s="40" t="s">
        <v>223</v>
      </c>
      <c r="B128" s="49"/>
      <c r="C128" s="40" t="s">
        <v>98</v>
      </c>
      <c r="D128" s="79">
        <v>18564.0</v>
      </c>
      <c r="E128" s="79"/>
      <c r="F128" s="79"/>
    </row>
    <row r="129">
      <c r="A129" s="16" t="s">
        <v>224</v>
      </c>
      <c r="B129" s="49"/>
      <c r="C129" s="20" t="s">
        <v>98</v>
      </c>
      <c r="D129" s="79">
        <v>34391.0</v>
      </c>
      <c r="E129" s="79"/>
      <c r="F129" s="79"/>
    </row>
    <row r="130">
      <c r="A130" s="16" t="s">
        <v>225</v>
      </c>
      <c r="B130" s="49"/>
      <c r="C130" s="40" t="s">
        <v>98</v>
      </c>
      <c r="D130" s="79">
        <f>5400*1.19</f>
        <v>6426</v>
      </c>
      <c r="E130" s="79"/>
      <c r="F130" s="79"/>
    </row>
    <row r="131">
      <c r="A131" s="16" t="s">
        <v>226</v>
      </c>
      <c r="B131" s="49"/>
      <c r="C131" s="16" t="s">
        <v>200</v>
      </c>
      <c r="D131" s="79">
        <v>15470.0</v>
      </c>
      <c r="E131" s="79"/>
      <c r="F131" s="79"/>
    </row>
    <row r="132">
      <c r="A132" s="16" t="s">
        <v>227</v>
      </c>
      <c r="B132" s="49"/>
      <c r="C132" s="16" t="s">
        <v>200</v>
      </c>
      <c r="D132" s="79">
        <v>29750.0</v>
      </c>
      <c r="E132" s="79"/>
      <c r="F132" s="79"/>
    </row>
    <row r="133">
      <c r="A133" s="16" t="s">
        <v>228</v>
      </c>
      <c r="B133" s="51"/>
      <c r="C133" s="16" t="s">
        <v>229</v>
      </c>
      <c r="D133" s="26"/>
      <c r="E133" s="26"/>
      <c r="F133" s="26"/>
    </row>
    <row r="134">
      <c r="A134" s="59" t="s">
        <v>230</v>
      </c>
      <c r="B134" s="97"/>
      <c r="C134" s="20" t="s">
        <v>231</v>
      </c>
      <c r="D134" s="523">
        <v>25000.0</v>
      </c>
      <c r="E134" s="523"/>
      <c r="F134" s="523"/>
    </row>
    <row r="135">
      <c r="A135" s="16" t="s">
        <v>232</v>
      </c>
      <c r="B135" s="16" t="s">
        <v>233</v>
      </c>
      <c r="C135" s="16" t="s">
        <v>234</v>
      </c>
      <c r="D135" s="26">
        <f>72750*1.19</f>
        <v>86572.5</v>
      </c>
      <c r="E135" s="26"/>
      <c r="F135" s="26"/>
    </row>
    <row r="136">
      <c r="A136" s="16" t="s">
        <v>235</v>
      </c>
      <c r="B136" s="51" t="s">
        <v>236</v>
      </c>
      <c r="C136" s="16" t="s">
        <v>238</v>
      </c>
      <c r="D136" s="26">
        <v>124000.0</v>
      </c>
      <c r="E136" s="26"/>
      <c r="F136" s="26"/>
    </row>
    <row r="137">
      <c r="A137" s="16" t="s">
        <v>239</v>
      </c>
      <c r="B137" s="51"/>
      <c r="C137" s="16" t="s">
        <v>238</v>
      </c>
      <c r="D137" s="26">
        <v>140000.0</v>
      </c>
      <c r="E137" s="26"/>
      <c r="F137" s="26"/>
    </row>
    <row r="138">
      <c r="A138" s="16" t="s">
        <v>241</v>
      </c>
      <c r="B138" s="49" t="s">
        <v>242</v>
      </c>
      <c r="C138" s="16" t="s">
        <v>70</v>
      </c>
      <c r="D138" s="26">
        <v>58000.0</v>
      </c>
      <c r="E138" s="26"/>
      <c r="F138" s="26"/>
    </row>
    <row r="139">
      <c r="A139" s="16" t="s">
        <v>243</v>
      </c>
      <c r="B139" s="49" t="s">
        <v>244</v>
      </c>
      <c r="C139" s="16" t="s">
        <v>70</v>
      </c>
      <c r="D139" s="79">
        <f>95000*0.8</f>
        <v>76000</v>
      </c>
      <c r="E139" s="79"/>
      <c r="F139" s="79"/>
    </row>
    <row r="140">
      <c r="A140" s="16" t="s">
        <v>245</v>
      </c>
      <c r="B140" s="49" t="s">
        <v>246</v>
      </c>
      <c r="C140" s="16" t="s">
        <v>70</v>
      </c>
      <c r="D140" s="26">
        <f>125000*0.8</f>
        <v>100000</v>
      </c>
      <c r="E140" s="26"/>
      <c r="F140" s="26"/>
    </row>
    <row r="141">
      <c r="A141" s="16" t="s">
        <v>247</v>
      </c>
      <c r="B141" s="51" t="s">
        <v>248</v>
      </c>
      <c r="C141" s="54" t="s">
        <v>102</v>
      </c>
      <c r="D141" s="26">
        <v>28000.0</v>
      </c>
      <c r="E141" s="26"/>
      <c r="F141" s="26"/>
    </row>
    <row r="142">
      <c r="A142" s="16" t="s">
        <v>249</v>
      </c>
      <c r="B142" s="51"/>
      <c r="C142" s="54" t="s">
        <v>102</v>
      </c>
      <c r="D142" s="26">
        <v>37840.0</v>
      </c>
      <c r="E142" s="26"/>
      <c r="F142" s="26"/>
    </row>
    <row r="143">
      <c r="A143" s="16" t="s">
        <v>250</v>
      </c>
      <c r="B143" s="51"/>
      <c r="C143" s="54" t="s">
        <v>102</v>
      </c>
      <c r="D143" s="26">
        <v>39732.0</v>
      </c>
      <c r="E143" s="26"/>
      <c r="F143" s="26"/>
    </row>
    <row r="144">
      <c r="A144" s="16" t="s">
        <v>252</v>
      </c>
      <c r="B144" s="51" t="s">
        <v>253</v>
      </c>
      <c r="C144" s="20" t="s">
        <v>254</v>
      </c>
      <c r="D144" s="26">
        <v>87000.0</v>
      </c>
      <c r="E144" s="26"/>
      <c r="F144" s="26"/>
    </row>
    <row r="145">
      <c r="A145" s="16" t="s">
        <v>256</v>
      </c>
      <c r="B145" s="51" t="s">
        <v>257</v>
      </c>
      <c r="C145" s="20" t="s">
        <v>57</v>
      </c>
      <c r="D145" s="79">
        <v>28000.0</v>
      </c>
      <c r="E145" s="79"/>
      <c r="F145" s="79"/>
    </row>
    <row r="146">
      <c r="A146" s="16" t="s">
        <v>258</v>
      </c>
      <c r="B146" s="51"/>
      <c r="C146" s="16" t="s">
        <v>259</v>
      </c>
      <c r="D146" s="26">
        <v>171100.0</v>
      </c>
      <c r="E146" s="26"/>
      <c r="F146" s="26"/>
    </row>
    <row r="147">
      <c r="A147" s="16" t="s">
        <v>260</v>
      </c>
      <c r="B147" s="51"/>
      <c r="C147" s="20" t="s">
        <v>14</v>
      </c>
      <c r="D147" s="26">
        <v>144700.0</v>
      </c>
      <c r="E147" s="26"/>
      <c r="F147" s="26"/>
    </row>
    <row r="148">
      <c r="A148" s="16" t="s">
        <v>261</v>
      </c>
      <c r="B148" s="51"/>
      <c r="C148" s="20" t="s">
        <v>14</v>
      </c>
      <c r="D148" s="26">
        <v>280000.0</v>
      </c>
      <c r="E148" s="26"/>
      <c r="F148" s="26"/>
    </row>
    <row r="149">
      <c r="A149" s="16" t="s">
        <v>262</v>
      </c>
      <c r="B149" s="51"/>
      <c r="C149" s="16" t="s">
        <v>259</v>
      </c>
      <c r="D149" s="26">
        <v>103000.0</v>
      </c>
      <c r="E149" s="26"/>
      <c r="F149" s="26"/>
    </row>
    <row r="150">
      <c r="A150" s="16" t="s">
        <v>262</v>
      </c>
      <c r="B150" s="51"/>
      <c r="C150" s="16" t="s">
        <v>259</v>
      </c>
      <c r="D150" s="26">
        <v>103400.0</v>
      </c>
      <c r="E150" s="26"/>
      <c r="F150" s="26"/>
    </row>
    <row r="151">
      <c r="A151" s="16" t="s">
        <v>263</v>
      </c>
      <c r="B151" s="49"/>
      <c r="C151" s="20" t="s">
        <v>264</v>
      </c>
      <c r="D151" s="26"/>
      <c r="E151" s="26"/>
      <c r="F151" s="26"/>
    </row>
    <row r="152">
      <c r="A152" s="16" t="s">
        <v>3367</v>
      </c>
      <c r="B152" s="49" t="s">
        <v>266</v>
      </c>
      <c r="C152" s="20" t="s">
        <v>267</v>
      </c>
      <c r="D152" s="26">
        <v>48897.0</v>
      </c>
      <c r="E152" s="26"/>
      <c r="F152" s="26"/>
    </row>
    <row r="153">
      <c r="A153" s="16" t="s">
        <v>268</v>
      </c>
      <c r="B153" s="49"/>
      <c r="C153" s="20" t="s">
        <v>267</v>
      </c>
      <c r="D153" s="26" t="str">
        <f>#REF!/20</f>
        <v>#REF!</v>
      </c>
      <c r="E153" s="26"/>
      <c r="F153" s="26"/>
    </row>
    <row r="154">
      <c r="A154" s="16" t="s">
        <v>269</v>
      </c>
      <c r="B154" s="49"/>
      <c r="C154" s="16" t="s">
        <v>270</v>
      </c>
      <c r="D154" s="26">
        <v>102401.0</v>
      </c>
      <c r="E154" s="26"/>
      <c r="F154" s="26"/>
    </row>
    <row r="155">
      <c r="A155" s="40" t="s">
        <v>271</v>
      </c>
      <c r="B155" s="51"/>
      <c r="C155" s="40" t="s">
        <v>93</v>
      </c>
      <c r="D155" s="26">
        <v>5100.0</v>
      </c>
      <c r="E155" s="26"/>
      <c r="F155" s="26"/>
    </row>
    <row r="156">
      <c r="A156" s="16" t="s">
        <v>272</v>
      </c>
      <c r="B156" s="51"/>
      <c r="C156" s="16" t="s">
        <v>273</v>
      </c>
      <c r="D156" s="26">
        <v>119000.0</v>
      </c>
      <c r="E156" s="26"/>
      <c r="F156" s="26"/>
    </row>
    <row r="157">
      <c r="A157" s="16" t="s">
        <v>274</v>
      </c>
      <c r="B157" s="51"/>
      <c r="C157" s="16" t="s">
        <v>275</v>
      </c>
      <c r="D157" s="26">
        <v>236500.0</v>
      </c>
      <c r="E157" s="26"/>
      <c r="F157" s="26"/>
    </row>
    <row r="158">
      <c r="A158" s="16" t="s">
        <v>276</v>
      </c>
      <c r="B158" s="51"/>
      <c r="C158" s="16" t="s">
        <v>277</v>
      </c>
      <c r="D158" s="26">
        <f>176000*0.8</f>
        <v>140800</v>
      </c>
      <c r="E158" s="26"/>
      <c r="F158" s="26"/>
    </row>
    <row r="159">
      <c r="A159" s="16" t="s">
        <v>278</v>
      </c>
      <c r="B159" s="49"/>
      <c r="C159" s="16" t="s">
        <v>98</v>
      </c>
      <c r="D159" s="26">
        <v>110000.0</v>
      </c>
      <c r="E159" s="26"/>
      <c r="F159" s="26"/>
    </row>
    <row r="160">
      <c r="A160" s="16" t="s">
        <v>280</v>
      </c>
      <c r="B160" s="49"/>
      <c r="C160" s="16" t="s">
        <v>281</v>
      </c>
      <c r="D160" s="79">
        <v>120000.0</v>
      </c>
      <c r="E160" s="79"/>
      <c r="F160" s="79"/>
    </row>
    <row r="161">
      <c r="A161" s="16" t="s">
        <v>282</v>
      </c>
      <c r="B161" s="49"/>
      <c r="C161" s="20" t="s">
        <v>283</v>
      </c>
      <c r="D161" s="26">
        <v>2915.0</v>
      </c>
      <c r="E161" s="26"/>
      <c r="F161" s="26"/>
    </row>
    <row r="162">
      <c r="A162" s="59" t="s">
        <v>284</v>
      </c>
      <c r="B162" s="49"/>
      <c r="C162" s="16" t="s">
        <v>88</v>
      </c>
      <c r="D162" s="79">
        <f>10610*1.19</f>
        <v>12625.9</v>
      </c>
      <c r="E162" s="79"/>
      <c r="F162" s="79"/>
    </row>
    <row r="163">
      <c r="A163" s="16" t="s">
        <v>285</v>
      </c>
      <c r="B163" s="51"/>
      <c r="C163" s="20" t="s">
        <v>286</v>
      </c>
      <c r="D163" s="79">
        <v>669.0</v>
      </c>
      <c r="E163" s="79"/>
      <c r="F163" s="79"/>
    </row>
    <row r="164">
      <c r="A164" s="40" t="s">
        <v>287</v>
      </c>
      <c r="B164" s="51" t="s">
        <v>288</v>
      </c>
      <c r="C164" s="20" t="s">
        <v>289</v>
      </c>
      <c r="D164" s="26">
        <v>2859.0</v>
      </c>
      <c r="E164" s="26"/>
      <c r="F164" s="26"/>
    </row>
    <row r="165">
      <c r="A165" s="42" t="s">
        <v>290</v>
      </c>
      <c r="B165" s="49"/>
      <c r="C165" s="20" t="s">
        <v>291</v>
      </c>
      <c r="D165" s="26">
        <v>2000.0</v>
      </c>
      <c r="E165" s="26"/>
      <c r="F165" s="26"/>
    </row>
    <row r="166">
      <c r="A166" s="16" t="s">
        <v>292</v>
      </c>
      <c r="B166" s="49"/>
      <c r="C166" s="40" t="s">
        <v>93</v>
      </c>
      <c r="D166" s="26">
        <f>113848*1.19</f>
        <v>135479.12</v>
      </c>
      <c r="E166" s="26"/>
      <c r="F166" s="26"/>
    </row>
    <row r="167">
      <c r="A167" s="16" t="s">
        <v>293</v>
      </c>
      <c r="B167" s="49"/>
      <c r="C167" s="40" t="s">
        <v>93</v>
      </c>
      <c r="D167" s="79">
        <f>135500/100+600</f>
        <v>1955</v>
      </c>
      <c r="E167" s="79"/>
      <c r="F167" s="79"/>
    </row>
    <row r="168">
      <c r="A168" s="16" t="s">
        <v>294</v>
      </c>
      <c r="B168" s="51" t="s">
        <v>295</v>
      </c>
      <c r="C168" s="16" t="s">
        <v>296</v>
      </c>
      <c r="D168" s="26">
        <f>101800/100</f>
        <v>1018</v>
      </c>
      <c r="E168" s="26"/>
      <c r="F168" s="26"/>
    </row>
    <row r="169">
      <c r="A169" s="52" t="s">
        <v>297</v>
      </c>
      <c r="B169" s="51" t="s">
        <v>298</v>
      </c>
      <c r="C169" s="20" t="s">
        <v>60</v>
      </c>
      <c r="D169" s="26">
        <f t="shared" ref="D169:D171" si="5">9400*1.19/12</f>
        <v>932.1666667</v>
      </c>
      <c r="E169" s="26"/>
      <c r="F169" s="26"/>
    </row>
    <row r="170">
      <c r="A170" s="52" t="s">
        <v>299</v>
      </c>
      <c r="B170" s="51" t="s">
        <v>300</v>
      </c>
      <c r="C170" s="20" t="s">
        <v>60</v>
      </c>
      <c r="D170" s="26">
        <f t="shared" si="5"/>
        <v>932.1666667</v>
      </c>
      <c r="E170" s="26"/>
      <c r="F170" s="26"/>
    </row>
    <row r="171">
      <c r="A171" s="52" t="s">
        <v>301</v>
      </c>
      <c r="B171" s="51" t="s">
        <v>298</v>
      </c>
      <c r="C171" s="20" t="s">
        <v>60</v>
      </c>
      <c r="D171" s="26">
        <f t="shared" si="5"/>
        <v>932.1666667</v>
      </c>
      <c r="E171" s="26"/>
      <c r="F171" s="26"/>
    </row>
    <row r="172">
      <c r="A172" s="16" t="s">
        <v>302</v>
      </c>
      <c r="B172" s="51" t="s">
        <v>303</v>
      </c>
      <c r="C172" s="20" t="s">
        <v>304</v>
      </c>
      <c r="D172" s="26">
        <v>21539.0</v>
      </c>
      <c r="E172" s="26"/>
      <c r="F172" s="26"/>
    </row>
    <row r="173">
      <c r="A173" s="16" t="s">
        <v>305</v>
      </c>
      <c r="B173" s="51" t="s">
        <v>306</v>
      </c>
      <c r="C173" s="20" t="s">
        <v>304</v>
      </c>
      <c r="D173" s="26">
        <v>21539.0</v>
      </c>
      <c r="E173" s="26"/>
      <c r="F173" s="26"/>
    </row>
    <row r="174">
      <c r="A174" s="16" t="s">
        <v>308</v>
      </c>
      <c r="B174" s="49"/>
      <c r="C174" s="40" t="s">
        <v>93</v>
      </c>
      <c r="D174" s="26">
        <v>21600.0</v>
      </c>
      <c r="E174" s="26"/>
      <c r="F174" s="26"/>
    </row>
    <row r="175">
      <c r="A175" s="16" t="s">
        <v>309</v>
      </c>
      <c r="B175" s="49"/>
      <c r="C175" s="40" t="s">
        <v>93</v>
      </c>
      <c r="D175" s="26">
        <v>33180.0</v>
      </c>
      <c r="E175" s="26"/>
      <c r="F175" s="26"/>
    </row>
    <row r="176">
      <c r="A176" s="16" t="s">
        <v>310</v>
      </c>
      <c r="B176" s="51"/>
      <c r="C176" s="16" t="s">
        <v>311</v>
      </c>
      <c r="D176" s="26">
        <v>15920.0</v>
      </c>
      <c r="E176" s="26"/>
      <c r="F176" s="26"/>
    </row>
    <row r="177">
      <c r="A177" s="16" t="s">
        <v>312</v>
      </c>
      <c r="B177" s="51"/>
      <c r="C177" s="16" t="s">
        <v>84</v>
      </c>
      <c r="D177" s="26">
        <f>16*800</f>
        <v>12800</v>
      </c>
      <c r="E177" s="26"/>
      <c r="F177" s="26"/>
    </row>
    <row r="178">
      <c r="A178" s="16" t="s">
        <v>313</v>
      </c>
      <c r="B178" s="51"/>
      <c r="C178" s="16" t="s">
        <v>311</v>
      </c>
      <c r="D178" s="26">
        <v>15920.0</v>
      </c>
      <c r="E178" s="26"/>
      <c r="F178" s="26"/>
    </row>
    <row r="179">
      <c r="A179" s="16" t="s">
        <v>314</v>
      </c>
      <c r="B179" s="51"/>
      <c r="C179" s="16" t="s">
        <v>84</v>
      </c>
      <c r="D179" s="26">
        <f t="shared" ref="D179:D181" si="6">16*800</f>
        <v>12800</v>
      </c>
      <c r="E179" s="26"/>
      <c r="F179" s="26"/>
    </row>
    <row r="180">
      <c r="A180" s="16" t="s">
        <v>315</v>
      </c>
      <c r="B180" s="51"/>
      <c r="C180" s="16" t="s">
        <v>84</v>
      </c>
      <c r="D180" s="26">
        <f t="shared" si="6"/>
        <v>12800</v>
      </c>
      <c r="E180" s="26"/>
      <c r="F180" s="26"/>
    </row>
    <row r="181">
      <c r="A181" s="16" t="s">
        <v>316</v>
      </c>
      <c r="B181" s="51"/>
      <c r="C181" s="16" t="s">
        <v>84</v>
      </c>
      <c r="D181" s="26">
        <f t="shared" si="6"/>
        <v>12800</v>
      </c>
      <c r="E181" s="26"/>
      <c r="F181" s="26"/>
    </row>
    <row r="182">
      <c r="A182" s="16" t="s">
        <v>317</v>
      </c>
      <c r="B182" s="49"/>
      <c r="C182" s="16" t="s">
        <v>318</v>
      </c>
      <c r="D182" s="26">
        <f t="shared" ref="D182:D185" si="7">9600/10</f>
        <v>960</v>
      </c>
      <c r="E182" s="26"/>
      <c r="F182" s="26"/>
    </row>
    <row r="183">
      <c r="A183" s="16" t="s">
        <v>319</v>
      </c>
      <c r="B183" s="49"/>
      <c r="C183" s="16" t="s">
        <v>318</v>
      </c>
      <c r="D183" s="26">
        <f t="shared" si="7"/>
        <v>960</v>
      </c>
      <c r="E183" s="26"/>
      <c r="F183" s="26"/>
    </row>
    <row r="184">
      <c r="A184" s="16" t="s">
        <v>320</v>
      </c>
      <c r="B184" s="49"/>
      <c r="C184" s="16" t="s">
        <v>318</v>
      </c>
      <c r="D184" s="26">
        <f t="shared" si="7"/>
        <v>960</v>
      </c>
      <c r="E184" s="26"/>
      <c r="F184" s="26"/>
    </row>
    <row r="185">
      <c r="A185" s="16" t="s">
        <v>321</v>
      </c>
      <c r="B185" s="49"/>
      <c r="C185" s="16" t="s">
        <v>318</v>
      </c>
      <c r="D185" s="26">
        <f t="shared" si="7"/>
        <v>960</v>
      </c>
      <c r="E185" s="26"/>
      <c r="F185" s="26"/>
    </row>
    <row r="186">
      <c r="A186" s="16" t="s">
        <v>322</v>
      </c>
      <c r="B186" s="51"/>
      <c r="C186" s="16" t="s">
        <v>318</v>
      </c>
      <c r="D186" s="37">
        <f>9800/10</f>
        <v>980</v>
      </c>
      <c r="E186" s="37"/>
      <c r="F186" s="37"/>
    </row>
    <row r="187">
      <c r="A187" s="16" t="s">
        <v>323</v>
      </c>
      <c r="B187" s="51"/>
      <c r="C187" s="16" t="s">
        <v>324</v>
      </c>
      <c r="D187" s="26">
        <v>20800.0</v>
      </c>
      <c r="E187" s="26"/>
      <c r="F187" s="26"/>
    </row>
    <row r="188">
      <c r="A188" s="16" t="s">
        <v>325</v>
      </c>
      <c r="B188" s="51"/>
      <c r="C188" s="16" t="s">
        <v>84</v>
      </c>
      <c r="D188" s="26">
        <v>18000.0</v>
      </c>
      <c r="E188" s="26"/>
      <c r="F188" s="26"/>
    </row>
    <row r="189">
      <c r="A189" s="42" t="s">
        <v>326</v>
      </c>
      <c r="B189" s="149"/>
      <c r="C189" s="20" t="s">
        <v>291</v>
      </c>
      <c r="D189" s="26">
        <v>1900.0</v>
      </c>
      <c r="E189" s="26"/>
      <c r="F189" s="26"/>
    </row>
    <row r="190">
      <c r="A190" s="42" t="s">
        <v>327</v>
      </c>
      <c r="B190" s="42" t="s">
        <v>328</v>
      </c>
      <c r="C190" s="20" t="s">
        <v>291</v>
      </c>
      <c r="D190" s="26">
        <v>3100.0</v>
      </c>
      <c r="E190" s="26"/>
      <c r="F190" s="26"/>
    </row>
    <row r="191">
      <c r="A191" s="42" t="s">
        <v>329</v>
      </c>
      <c r="B191" s="49"/>
      <c r="C191" s="20" t="s">
        <v>291</v>
      </c>
      <c r="D191" s="26">
        <v>27500.0</v>
      </c>
      <c r="E191" s="26"/>
      <c r="F191" s="26"/>
    </row>
    <row r="192">
      <c r="A192" s="16" t="s">
        <v>330</v>
      </c>
      <c r="B192" s="49"/>
      <c r="C192" s="16" t="s">
        <v>331</v>
      </c>
      <c r="D192" s="26">
        <v>5350.0</v>
      </c>
      <c r="E192" s="26"/>
      <c r="F192" s="26"/>
    </row>
    <row r="193" ht="17.25" customHeight="1">
      <c r="A193" s="40" t="s">
        <v>332</v>
      </c>
      <c r="B193" s="49"/>
      <c r="C193" s="16" t="s">
        <v>331</v>
      </c>
      <c r="D193" s="26">
        <v>3050.0</v>
      </c>
      <c r="E193" s="26"/>
      <c r="F193" s="26"/>
    </row>
    <row r="194">
      <c r="A194" s="16" t="s">
        <v>333</v>
      </c>
      <c r="B194" s="49"/>
      <c r="C194" s="20" t="s">
        <v>254</v>
      </c>
      <c r="D194" s="26">
        <f>19203*1.19</f>
        <v>22851.57</v>
      </c>
      <c r="E194" s="26"/>
      <c r="F194" s="26"/>
    </row>
    <row r="195">
      <c r="A195" s="16" t="s">
        <v>334</v>
      </c>
      <c r="B195" s="115" t="s">
        <v>335</v>
      </c>
      <c r="C195" s="20" t="s">
        <v>337</v>
      </c>
      <c r="D195" s="26">
        <v>52000.0</v>
      </c>
      <c r="E195" s="26"/>
      <c r="F195" s="26"/>
    </row>
    <row r="196">
      <c r="A196" s="16" t="s">
        <v>339</v>
      </c>
      <c r="B196" s="51"/>
      <c r="C196" s="20" t="s">
        <v>341</v>
      </c>
      <c r="D196" s="26">
        <f>1639*1.19</f>
        <v>1950.41</v>
      </c>
      <c r="E196" s="26"/>
      <c r="F196" s="26"/>
    </row>
    <row r="197">
      <c r="A197" s="16" t="s">
        <v>342</v>
      </c>
      <c r="B197" s="51"/>
      <c r="C197" s="20" t="s">
        <v>343</v>
      </c>
      <c r="D197" s="26">
        <v>10500.0</v>
      </c>
      <c r="E197" s="26"/>
      <c r="F197" s="26"/>
    </row>
    <row r="198">
      <c r="A198" s="16" t="s">
        <v>344</v>
      </c>
      <c r="B198" s="51"/>
      <c r="C198" s="20" t="s">
        <v>345</v>
      </c>
      <c r="D198" s="26">
        <v>1000.0</v>
      </c>
      <c r="E198" s="26"/>
      <c r="F198" s="26"/>
    </row>
    <row r="199">
      <c r="A199" s="16" t="s">
        <v>346</v>
      </c>
      <c r="B199" s="51"/>
      <c r="C199" s="20" t="s">
        <v>345</v>
      </c>
      <c r="D199" s="26">
        <v>13000.0</v>
      </c>
      <c r="E199" s="26"/>
      <c r="F199" s="26"/>
    </row>
    <row r="200">
      <c r="A200" s="16" t="s">
        <v>347</v>
      </c>
      <c r="B200" s="49"/>
      <c r="C200" s="40" t="s">
        <v>98</v>
      </c>
      <c r="D200" s="79">
        <f>22500*1.19</f>
        <v>26775</v>
      </c>
      <c r="E200" s="79"/>
      <c r="F200" s="79"/>
    </row>
    <row r="201">
      <c r="A201" s="16" t="s">
        <v>348</v>
      </c>
      <c r="B201" s="49"/>
      <c r="C201" s="40" t="s">
        <v>98</v>
      </c>
      <c r="D201" s="26">
        <f>1500*1.19</f>
        <v>1785</v>
      </c>
      <c r="E201" s="26"/>
      <c r="F201" s="26"/>
    </row>
    <row r="202">
      <c r="A202" s="40" t="s">
        <v>349</v>
      </c>
      <c r="B202" s="51"/>
      <c r="C202" s="20" t="s">
        <v>350</v>
      </c>
      <c r="D202" s="26">
        <v>1950.0</v>
      </c>
      <c r="E202" s="26"/>
      <c r="F202" s="26"/>
    </row>
    <row r="203">
      <c r="A203" s="40" t="s">
        <v>351</v>
      </c>
      <c r="B203" s="51"/>
      <c r="C203" s="20" t="s">
        <v>352</v>
      </c>
      <c r="D203" s="26">
        <f>36135*1.19</f>
        <v>43000.65</v>
      </c>
      <c r="E203" s="26"/>
      <c r="F203" s="26"/>
    </row>
    <row r="204">
      <c r="A204" s="16" t="s">
        <v>354</v>
      </c>
      <c r="B204" s="51"/>
      <c r="C204" s="16" t="s">
        <v>355</v>
      </c>
      <c r="D204" s="26">
        <v>2000.0</v>
      </c>
      <c r="E204" s="26"/>
      <c r="F204" s="26"/>
    </row>
    <row r="205">
      <c r="A205" s="16" t="s">
        <v>356</v>
      </c>
      <c r="B205" s="51" t="s">
        <v>357</v>
      </c>
      <c r="C205" s="20" t="s">
        <v>358</v>
      </c>
      <c r="D205" s="26">
        <v>34800.0</v>
      </c>
      <c r="E205" s="26"/>
      <c r="F205" s="26"/>
    </row>
    <row r="206">
      <c r="A206" s="16" t="s">
        <v>359</v>
      </c>
      <c r="B206" s="49" t="s">
        <v>360</v>
      </c>
      <c r="C206" s="16" t="s">
        <v>98</v>
      </c>
      <c r="D206" s="26">
        <v>23000.0</v>
      </c>
      <c r="E206" s="26"/>
      <c r="F206" s="26"/>
    </row>
    <row r="207">
      <c r="A207" s="16" t="s">
        <v>361</v>
      </c>
      <c r="B207" s="49"/>
      <c r="C207" s="16" t="s">
        <v>200</v>
      </c>
      <c r="D207" s="26">
        <v>25850.0</v>
      </c>
      <c r="E207" s="26"/>
      <c r="F207" s="26"/>
    </row>
    <row r="208">
      <c r="A208" s="16" t="s">
        <v>362</v>
      </c>
      <c r="B208" s="51" t="s">
        <v>3368</v>
      </c>
      <c r="C208" s="16" t="s">
        <v>91</v>
      </c>
      <c r="D208" s="520">
        <v>318000.0</v>
      </c>
      <c r="E208" s="520"/>
      <c r="F208" s="520"/>
    </row>
    <row r="209">
      <c r="A209" s="16" t="s">
        <v>364</v>
      </c>
      <c r="B209" s="51"/>
      <c r="C209" s="16" t="s">
        <v>91</v>
      </c>
      <c r="D209" s="26">
        <f>906000/100</f>
        <v>9060</v>
      </c>
      <c r="E209" s="26"/>
      <c r="F209" s="26"/>
    </row>
    <row r="210">
      <c r="A210" s="16" t="s">
        <v>365</v>
      </c>
      <c r="B210" s="49" t="s">
        <v>366</v>
      </c>
      <c r="C210" s="16" t="s">
        <v>70</v>
      </c>
      <c r="D210" s="26">
        <f t="shared" ref="D210:D211" si="8">100000</f>
        <v>100000</v>
      </c>
      <c r="E210" s="26"/>
      <c r="F210" s="26"/>
    </row>
    <row r="211">
      <c r="A211" s="16" t="s">
        <v>367</v>
      </c>
      <c r="B211" s="49" t="s">
        <v>368</v>
      </c>
      <c r="C211" s="16" t="s">
        <v>70</v>
      </c>
      <c r="D211" s="26">
        <f t="shared" si="8"/>
        <v>100000</v>
      </c>
      <c r="E211" s="26"/>
      <c r="F211" s="26"/>
    </row>
    <row r="212">
      <c r="A212" s="16" t="s">
        <v>369</v>
      </c>
      <c r="B212" s="49"/>
      <c r="C212" s="16" t="s">
        <v>70</v>
      </c>
      <c r="D212" s="26">
        <f t="shared" ref="D212:D213" si="9">200000*0.8</f>
        <v>160000</v>
      </c>
      <c r="E212" s="26"/>
      <c r="F212" s="26"/>
    </row>
    <row r="213">
      <c r="A213" s="16" t="s">
        <v>370</v>
      </c>
      <c r="B213" s="49"/>
      <c r="C213" s="16" t="s">
        <v>70</v>
      </c>
      <c r="D213" s="26">
        <f t="shared" si="9"/>
        <v>160000</v>
      </c>
      <c r="E213" s="26"/>
      <c r="F213" s="26"/>
    </row>
    <row r="214">
      <c r="A214" s="16" t="s">
        <v>371</v>
      </c>
      <c r="B214" s="49"/>
      <c r="C214" s="16" t="s">
        <v>372</v>
      </c>
      <c r="D214" s="26">
        <v>48744.0</v>
      </c>
      <c r="E214" s="26"/>
      <c r="F214" s="26"/>
    </row>
    <row r="215">
      <c r="A215" s="16" t="s">
        <v>374</v>
      </c>
      <c r="B215" s="49"/>
      <c r="C215" s="40" t="s">
        <v>375</v>
      </c>
      <c r="D215" s="26">
        <f>90000/50</f>
        <v>1800</v>
      </c>
      <c r="E215" s="26"/>
      <c r="F215" s="26"/>
    </row>
    <row r="216">
      <c r="A216" s="16" t="s">
        <v>376</v>
      </c>
      <c r="B216" s="51"/>
      <c r="C216" s="20" t="s">
        <v>377</v>
      </c>
      <c r="D216" s="26">
        <v>8900.0</v>
      </c>
      <c r="E216" s="26"/>
      <c r="F216" s="26"/>
    </row>
    <row r="217">
      <c r="A217" s="16" t="s">
        <v>378</v>
      </c>
      <c r="B217" s="49" t="s">
        <v>379</v>
      </c>
      <c r="C217" s="40" t="s">
        <v>98</v>
      </c>
      <c r="D217" s="26">
        <f>82000/5</f>
        <v>16400</v>
      </c>
      <c r="E217" s="26"/>
      <c r="F217" s="26"/>
    </row>
    <row r="218">
      <c r="A218" s="16" t="s">
        <v>380</v>
      </c>
      <c r="B218" s="49" t="s">
        <v>381</v>
      </c>
      <c r="C218" s="40" t="s">
        <v>98</v>
      </c>
      <c r="D218" s="26">
        <v>68300.0</v>
      </c>
      <c r="E218" s="26"/>
      <c r="F218" s="26"/>
    </row>
    <row r="219">
      <c r="A219" s="16" t="s">
        <v>382</v>
      </c>
      <c r="B219" s="49" t="s">
        <v>381</v>
      </c>
      <c r="C219" s="16" t="s">
        <v>98</v>
      </c>
      <c r="D219" s="26">
        <v>52100.0</v>
      </c>
      <c r="E219" s="26"/>
      <c r="F219" s="26"/>
    </row>
    <row r="220">
      <c r="A220" s="16" t="s">
        <v>385</v>
      </c>
      <c r="B220" s="49" t="s">
        <v>379</v>
      </c>
      <c r="C220" s="16" t="s">
        <v>98</v>
      </c>
      <c r="D220" s="26">
        <v>61300.0</v>
      </c>
      <c r="E220" s="26"/>
      <c r="F220" s="26"/>
    </row>
    <row r="221">
      <c r="A221" s="54" t="s">
        <v>386</v>
      </c>
      <c r="B221" s="49" t="s">
        <v>381</v>
      </c>
      <c r="C221" s="16" t="s">
        <v>98</v>
      </c>
      <c r="D221" s="26">
        <f>72000/5</f>
        <v>14400</v>
      </c>
      <c r="E221" s="26"/>
      <c r="F221" s="26"/>
    </row>
    <row r="222">
      <c r="A222" s="16" t="s">
        <v>3369</v>
      </c>
      <c r="B222" s="49" t="s">
        <v>379</v>
      </c>
      <c r="C222" s="16" t="s">
        <v>98</v>
      </c>
      <c r="D222" s="26">
        <f>63000/5</f>
        <v>12600</v>
      </c>
      <c r="E222" s="26"/>
      <c r="F222" s="26"/>
    </row>
    <row r="223">
      <c r="A223" s="16" t="s">
        <v>383</v>
      </c>
      <c r="B223" s="49" t="s">
        <v>381</v>
      </c>
      <c r="C223" s="16" t="s">
        <v>98</v>
      </c>
      <c r="D223" s="26">
        <v>56600.0</v>
      </c>
      <c r="E223" s="26"/>
      <c r="F223" s="26"/>
    </row>
    <row r="224">
      <c r="A224" s="16" t="s">
        <v>387</v>
      </c>
      <c r="B224" s="49" t="s">
        <v>381</v>
      </c>
      <c r="C224" s="16" t="s">
        <v>98</v>
      </c>
      <c r="D224" s="520">
        <v>58500.0</v>
      </c>
      <c r="E224" s="520"/>
      <c r="F224" s="520"/>
    </row>
    <row r="225">
      <c r="A225" s="16" t="s">
        <v>388</v>
      </c>
      <c r="B225" s="49" t="s">
        <v>379</v>
      </c>
      <c r="C225" s="16" t="s">
        <v>98</v>
      </c>
      <c r="D225" s="520">
        <f>76000/5</f>
        <v>15200</v>
      </c>
      <c r="E225" s="520"/>
      <c r="F225" s="520"/>
    </row>
    <row r="226">
      <c r="A226" s="16" t="s">
        <v>389</v>
      </c>
      <c r="B226" s="49"/>
      <c r="C226" s="40" t="s">
        <v>93</v>
      </c>
      <c r="D226" s="26">
        <v>74900.0</v>
      </c>
      <c r="E226" s="26"/>
      <c r="F226" s="26"/>
    </row>
    <row r="227">
      <c r="A227" s="16" t="s">
        <v>390</v>
      </c>
      <c r="B227" s="49"/>
      <c r="C227" s="40" t="s">
        <v>93</v>
      </c>
      <c r="D227" s="26">
        <v>74900.0</v>
      </c>
      <c r="E227" s="26"/>
      <c r="F227" s="26"/>
    </row>
    <row r="228">
      <c r="A228" s="16" t="s">
        <v>391</v>
      </c>
      <c r="B228" s="49"/>
      <c r="C228" s="40" t="s">
        <v>93</v>
      </c>
      <c r="D228" s="26">
        <f>85000/5</f>
        <v>17000</v>
      </c>
      <c r="E228" s="26"/>
      <c r="F228" s="26"/>
    </row>
    <row r="229">
      <c r="A229" s="52" t="s">
        <v>395</v>
      </c>
      <c r="B229" s="51"/>
      <c r="C229" s="20" t="s">
        <v>396</v>
      </c>
      <c r="D229" s="26">
        <v>10710.0</v>
      </c>
      <c r="E229" s="26"/>
      <c r="F229" s="26"/>
    </row>
    <row r="230">
      <c r="A230" s="52" t="s">
        <v>397</v>
      </c>
      <c r="B230" s="51"/>
      <c r="C230" s="20" t="s">
        <v>396</v>
      </c>
      <c r="D230" s="26">
        <v>8330.0</v>
      </c>
      <c r="E230" s="26"/>
      <c r="F230" s="26"/>
    </row>
    <row r="231">
      <c r="A231" s="118" t="s">
        <v>398</v>
      </c>
      <c r="B231" s="51"/>
      <c r="C231" s="20" t="s">
        <v>396</v>
      </c>
      <c r="D231" s="26">
        <v>9520.0</v>
      </c>
      <c r="E231" s="26"/>
      <c r="F231" s="26"/>
    </row>
    <row r="232">
      <c r="A232" s="119" t="s">
        <v>399</v>
      </c>
      <c r="B232" s="51"/>
      <c r="C232" s="120" t="s">
        <v>400</v>
      </c>
      <c r="D232" s="26"/>
      <c r="E232" s="26"/>
      <c r="F232" s="26"/>
    </row>
    <row r="233">
      <c r="A233" s="16" t="s">
        <v>401</v>
      </c>
      <c r="B233" s="51"/>
      <c r="C233" s="54" t="s">
        <v>63</v>
      </c>
      <c r="D233" s="26">
        <f>90640/2</f>
        <v>45320</v>
      </c>
      <c r="E233" s="26"/>
      <c r="F233" s="26"/>
    </row>
    <row r="234">
      <c r="A234" s="16" t="s">
        <v>402</v>
      </c>
      <c r="B234" s="51"/>
      <c r="C234" s="16" t="s">
        <v>16</v>
      </c>
      <c r="D234" s="26">
        <v>20000.0</v>
      </c>
      <c r="E234" s="26"/>
      <c r="F234" s="26"/>
    </row>
    <row r="235">
      <c r="A235" s="42" t="s">
        <v>403</v>
      </c>
      <c r="B235" s="134"/>
      <c r="C235" s="20" t="s">
        <v>84</v>
      </c>
      <c r="D235" s="26">
        <v>17600.0</v>
      </c>
      <c r="E235" s="26"/>
      <c r="F235" s="26"/>
    </row>
    <row r="236">
      <c r="A236" s="16" t="s">
        <v>404</v>
      </c>
      <c r="B236" s="51"/>
      <c r="C236" s="16" t="s">
        <v>405</v>
      </c>
      <c r="D236" s="26">
        <v>4300.0</v>
      </c>
      <c r="E236" s="26"/>
      <c r="F236" s="26"/>
    </row>
    <row r="237">
      <c r="A237" s="16" t="s">
        <v>406</v>
      </c>
      <c r="B237" s="51" t="s">
        <v>407</v>
      </c>
      <c r="C237" s="16" t="s">
        <v>405</v>
      </c>
      <c r="D237" s="26">
        <v>4900.0</v>
      </c>
      <c r="E237" s="26"/>
      <c r="F237" s="26"/>
    </row>
    <row r="238">
      <c r="A238" s="16" t="s">
        <v>408</v>
      </c>
      <c r="B238" s="51" t="s">
        <v>409</v>
      </c>
      <c r="C238" s="16" t="s">
        <v>405</v>
      </c>
      <c r="D238" s="26">
        <v>3360.0</v>
      </c>
      <c r="E238" s="26"/>
      <c r="F238" s="26"/>
    </row>
    <row r="239">
      <c r="A239" s="16" t="s">
        <v>410</v>
      </c>
      <c r="B239" s="51"/>
      <c r="C239" s="16" t="s">
        <v>411</v>
      </c>
      <c r="D239" s="26">
        <f>84000/10</f>
        <v>8400</v>
      </c>
      <c r="E239" s="26"/>
      <c r="F239" s="26"/>
    </row>
    <row r="240">
      <c r="A240" s="16" t="s">
        <v>412</v>
      </c>
      <c r="B240" s="51" t="s">
        <v>413</v>
      </c>
      <c r="C240" s="16" t="s">
        <v>405</v>
      </c>
      <c r="D240" s="26">
        <v>6500.0</v>
      </c>
      <c r="E240" s="26"/>
      <c r="F240" s="26"/>
    </row>
    <row r="241">
      <c r="A241" s="16" t="s">
        <v>414</v>
      </c>
      <c r="B241" s="51" t="s">
        <v>415</v>
      </c>
      <c r="C241" s="16" t="s">
        <v>405</v>
      </c>
      <c r="D241" s="26">
        <v>3900.0</v>
      </c>
      <c r="E241" s="26"/>
      <c r="F241" s="26"/>
    </row>
    <row r="242">
      <c r="A242" s="16" t="s">
        <v>416</v>
      </c>
      <c r="B242" s="51"/>
      <c r="C242" s="16" t="s">
        <v>286</v>
      </c>
      <c r="D242" s="26">
        <v>8847.0</v>
      </c>
      <c r="E242" s="26"/>
      <c r="F242" s="26"/>
    </row>
    <row r="243">
      <c r="A243" s="16" t="s">
        <v>417</v>
      </c>
      <c r="B243" s="51"/>
      <c r="C243" s="16" t="s">
        <v>419</v>
      </c>
      <c r="D243" s="26">
        <f>714286*1.19</f>
        <v>850000.34</v>
      </c>
      <c r="E243" s="26"/>
      <c r="F243" s="26"/>
    </row>
    <row r="244">
      <c r="A244" s="52" t="s">
        <v>420</v>
      </c>
      <c r="B244" s="51"/>
      <c r="C244" s="16" t="s">
        <v>421</v>
      </c>
      <c r="D244" s="79">
        <f>33000*1.19</f>
        <v>39270</v>
      </c>
      <c r="E244" s="79"/>
      <c r="F244" s="79"/>
    </row>
    <row r="245">
      <c r="A245" s="52" t="s">
        <v>422</v>
      </c>
      <c r="B245" s="51">
        <v>245021.0</v>
      </c>
      <c r="C245" s="16" t="s">
        <v>423</v>
      </c>
      <c r="D245" s="26">
        <f>16000*1.19</f>
        <v>19040</v>
      </c>
      <c r="E245" s="26"/>
      <c r="F245" s="26"/>
    </row>
    <row r="246">
      <c r="A246" s="122" t="s">
        <v>424</v>
      </c>
      <c r="B246" s="51">
        <v>245022.0</v>
      </c>
      <c r="C246" s="16" t="s">
        <v>425</v>
      </c>
      <c r="D246" s="26">
        <f>52500*1.19</f>
        <v>62475</v>
      </c>
      <c r="E246" s="26"/>
      <c r="F246" s="26"/>
    </row>
    <row r="247">
      <c r="A247" s="52" t="s">
        <v>426</v>
      </c>
      <c r="B247" s="51"/>
      <c r="C247" s="16" t="s">
        <v>427</v>
      </c>
      <c r="D247" s="26">
        <v>3374.0</v>
      </c>
      <c r="E247" s="26"/>
      <c r="F247" s="26"/>
    </row>
    <row r="248">
      <c r="A248" s="16" t="s">
        <v>428</v>
      </c>
      <c r="B248" s="51"/>
      <c r="C248" s="16" t="s">
        <v>16</v>
      </c>
      <c r="D248" s="519">
        <v>1712.0</v>
      </c>
      <c r="E248" s="519"/>
      <c r="F248" s="519"/>
    </row>
    <row r="249">
      <c r="A249" s="16" t="s">
        <v>429</v>
      </c>
      <c r="B249" s="524" t="s">
        <v>430</v>
      </c>
      <c r="C249" s="16" t="s">
        <v>431</v>
      </c>
      <c r="D249" s="26">
        <v>12500.0</v>
      </c>
      <c r="E249" s="26"/>
      <c r="F249" s="26"/>
    </row>
    <row r="250">
      <c r="A250" s="16" t="s">
        <v>432</v>
      </c>
      <c r="B250" s="51"/>
      <c r="C250" s="16" t="s">
        <v>57</v>
      </c>
      <c r="D250" s="26">
        <v>1550000.0</v>
      </c>
      <c r="E250" s="26"/>
      <c r="F250" s="26"/>
    </row>
    <row r="251">
      <c r="A251" s="16" t="s">
        <v>433</v>
      </c>
      <c r="B251" s="49"/>
      <c r="C251" s="16" t="s">
        <v>434</v>
      </c>
      <c r="D251" s="26">
        <v>6400.0</v>
      </c>
      <c r="E251" s="26"/>
      <c r="F251" s="26"/>
    </row>
    <row r="252">
      <c r="A252" s="16" t="s">
        <v>435</v>
      </c>
      <c r="B252" s="51"/>
      <c r="C252" s="20" t="s">
        <v>286</v>
      </c>
      <c r="D252" s="26">
        <v>1145.0</v>
      </c>
      <c r="E252" s="26"/>
      <c r="F252" s="26"/>
    </row>
    <row r="253">
      <c r="A253" s="52" t="s">
        <v>436</v>
      </c>
      <c r="B253" s="49"/>
      <c r="C253" s="16" t="s">
        <v>437</v>
      </c>
      <c r="D253" s="26">
        <v>400.0</v>
      </c>
      <c r="E253" s="26"/>
      <c r="F253" s="26"/>
    </row>
    <row r="254">
      <c r="A254" s="52" t="s">
        <v>3370</v>
      </c>
      <c r="B254" s="49"/>
      <c r="C254" s="16" t="s">
        <v>439</v>
      </c>
      <c r="D254" s="26">
        <v>430.0</v>
      </c>
      <c r="E254" s="26"/>
      <c r="F254" s="26"/>
    </row>
    <row r="255">
      <c r="A255" s="52" t="s">
        <v>440</v>
      </c>
      <c r="B255" s="126"/>
      <c r="C255" s="16" t="s">
        <v>437</v>
      </c>
      <c r="D255" s="26">
        <v>2500.0</v>
      </c>
      <c r="E255" s="26"/>
      <c r="F255" s="26"/>
    </row>
    <row r="256">
      <c r="A256" s="52" t="s">
        <v>442</v>
      </c>
      <c r="B256" s="49"/>
      <c r="C256" s="16" t="s">
        <v>443</v>
      </c>
      <c r="D256" s="79" t="s">
        <v>328</v>
      </c>
      <c r="E256" s="79"/>
      <c r="F256" s="79"/>
    </row>
    <row r="257">
      <c r="A257" s="52" t="s">
        <v>444</v>
      </c>
      <c r="B257" s="49" t="s">
        <v>445</v>
      </c>
      <c r="C257" s="16" t="s">
        <v>443</v>
      </c>
      <c r="D257" s="79">
        <v>10115.0</v>
      </c>
      <c r="E257" s="79"/>
      <c r="F257" s="79"/>
    </row>
    <row r="258">
      <c r="A258" s="16" t="s">
        <v>447</v>
      </c>
      <c r="B258" s="51"/>
      <c r="C258" s="20" t="s">
        <v>286</v>
      </c>
      <c r="D258" s="26">
        <f>34986/25</f>
        <v>1399.44</v>
      </c>
      <c r="E258" s="26"/>
      <c r="F258" s="26"/>
    </row>
    <row r="259">
      <c r="A259" s="16" t="s">
        <v>448</v>
      </c>
      <c r="B259" s="49"/>
      <c r="C259" s="20" t="s">
        <v>449</v>
      </c>
      <c r="D259" s="26">
        <f>9500*1.19</f>
        <v>11305</v>
      </c>
      <c r="E259" s="26"/>
      <c r="F259" s="26"/>
    </row>
    <row r="260">
      <c r="A260" s="16" t="s">
        <v>450</v>
      </c>
      <c r="B260" s="49"/>
      <c r="C260" s="20" t="s">
        <v>449</v>
      </c>
      <c r="D260" s="26">
        <f>10700*1.19</f>
        <v>12733</v>
      </c>
      <c r="E260" s="26"/>
      <c r="F260" s="26"/>
    </row>
    <row r="261">
      <c r="A261" s="16" t="s">
        <v>451</v>
      </c>
      <c r="B261" s="51"/>
      <c r="C261" s="20" t="s">
        <v>16</v>
      </c>
      <c r="D261" s="518">
        <v>5422.5199999999995</v>
      </c>
      <c r="E261" s="518"/>
      <c r="F261" s="518"/>
    </row>
    <row r="262">
      <c r="A262" s="16" t="s">
        <v>452</v>
      </c>
      <c r="B262" s="51"/>
      <c r="C262" s="20" t="s">
        <v>14</v>
      </c>
      <c r="D262" s="79">
        <f>42000*1.19</f>
        <v>49980</v>
      </c>
      <c r="E262" s="79"/>
      <c r="F262" s="79"/>
    </row>
    <row r="263">
      <c r="A263" s="16" t="s">
        <v>453</v>
      </c>
      <c r="B263" s="51"/>
      <c r="C263" s="16" t="s">
        <v>84</v>
      </c>
      <c r="D263" s="26">
        <v>900.0</v>
      </c>
      <c r="E263" s="26"/>
      <c r="F263" s="26"/>
    </row>
    <row r="264">
      <c r="A264" s="16" t="s">
        <v>454</v>
      </c>
      <c r="B264" s="51"/>
      <c r="C264" s="16" t="s">
        <v>16</v>
      </c>
      <c r="D264" s="26">
        <v>6400.0</v>
      </c>
      <c r="E264" s="26"/>
      <c r="F264" s="26"/>
    </row>
    <row r="265">
      <c r="A265" s="16" t="s">
        <v>455</v>
      </c>
      <c r="B265" s="51"/>
      <c r="C265" s="20" t="s">
        <v>57</v>
      </c>
      <c r="D265" s="26">
        <f>232*4</f>
        <v>928</v>
      </c>
      <c r="E265" s="26"/>
      <c r="F265" s="26"/>
    </row>
    <row r="266">
      <c r="A266" s="52" t="s">
        <v>456</v>
      </c>
      <c r="B266" s="49"/>
      <c r="C266" s="20" t="s">
        <v>457</v>
      </c>
      <c r="D266" s="26">
        <f>9900*1.19</f>
        <v>11781</v>
      </c>
      <c r="E266" s="26"/>
      <c r="F266" s="26"/>
    </row>
    <row r="267">
      <c r="A267" s="16" t="s">
        <v>458</v>
      </c>
      <c r="B267" s="126"/>
      <c r="C267" s="20" t="s">
        <v>78</v>
      </c>
      <c r="D267" s="79">
        <v>5159.0</v>
      </c>
      <c r="E267" s="79"/>
      <c r="F267" s="79"/>
    </row>
    <row r="268">
      <c r="A268" s="16" t="s">
        <v>459</v>
      </c>
      <c r="B268" s="51" t="s">
        <v>460</v>
      </c>
      <c r="C268" s="20" t="s">
        <v>78</v>
      </c>
      <c r="D268" s="79">
        <v>14703.0</v>
      </c>
      <c r="E268" s="79"/>
      <c r="F268" s="79"/>
    </row>
    <row r="269">
      <c r="A269" s="52" t="s">
        <v>461</v>
      </c>
      <c r="B269" s="51"/>
      <c r="C269" s="16" t="s">
        <v>462</v>
      </c>
      <c r="D269" s="26">
        <v>116323.0</v>
      </c>
      <c r="E269" s="26"/>
      <c r="F269" s="26"/>
    </row>
    <row r="270">
      <c r="A270" s="16" t="s">
        <v>463</v>
      </c>
      <c r="B270" s="51"/>
      <c r="C270" s="16" t="s">
        <v>462</v>
      </c>
      <c r="D270" s="26">
        <v>86500.0</v>
      </c>
      <c r="E270" s="26"/>
      <c r="F270" s="26"/>
    </row>
    <row r="271">
      <c r="A271" s="16" t="s">
        <v>464</v>
      </c>
      <c r="B271" s="49"/>
      <c r="C271" s="16" t="s">
        <v>465</v>
      </c>
      <c r="D271" s="26">
        <v>5800.0</v>
      </c>
      <c r="E271" s="26"/>
      <c r="F271" s="26"/>
    </row>
    <row r="272">
      <c r="A272" s="16" t="s">
        <v>466</v>
      </c>
      <c r="B272" s="51"/>
      <c r="C272" s="20" t="s">
        <v>468</v>
      </c>
      <c r="D272" s="79">
        <v>26891.0</v>
      </c>
      <c r="E272" s="79"/>
      <c r="F272" s="79"/>
    </row>
    <row r="273">
      <c r="A273" s="16" t="s">
        <v>469</v>
      </c>
      <c r="B273" s="49"/>
      <c r="C273" s="16" t="s">
        <v>470</v>
      </c>
      <c r="D273" s="26">
        <v>34990.0</v>
      </c>
      <c r="E273" s="26"/>
      <c r="F273" s="26"/>
    </row>
    <row r="274">
      <c r="A274" s="16" t="s">
        <v>471</v>
      </c>
      <c r="B274" s="49" t="s">
        <v>472</v>
      </c>
      <c r="C274" s="54" t="s">
        <v>473</v>
      </c>
      <c r="D274" s="26">
        <v>21120.0</v>
      </c>
      <c r="E274" s="26"/>
      <c r="F274" s="26"/>
    </row>
    <row r="275">
      <c r="A275" s="16" t="s">
        <v>474</v>
      </c>
      <c r="B275" s="49"/>
      <c r="C275" s="20" t="s">
        <v>163</v>
      </c>
      <c r="D275" s="273">
        <f>23100*1.19</f>
        <v>27489</v>
      </c>
      <c r="E275" s="273"/>
      <c r="F275" s="273"/>
    </row>
    <row r="276">
      <c r="A276" s="16" t="s">
        <v>475</v>
      </c>
      <c r="B276" s="49"/>
      <c r="C276" s="16" t="s">
        <v>476</v>
      </c>
      <c r="D276" s="26">
        <v>50800.0</v>
      </c>
      <c r="E276" s="26"/>
      <c r="F276" s="26"/>
    </row>
    <row r="277">
      <c r="A277" s="16" t="s">
        <v>477</v>
      </c>
      <c r="B277" s="49" t="s">
        <v>478</v>
      </c>
      <c r="C277" s="16" t="s">
        <v>70</v>
      </c>
      <c r="D277" s="79">
        <v>19200.0</v>
      </c>
      <c r="E277" s="79"/>
      <c r="F277" s="79"/>
    </row>
    <row r="278">
      <c r="A278" s="16" t="s">
        <v>479</v>
      </c>
      <c r="B278" s="51"/>
      <c r="C278" s="54" t="s">
        <v>63</v>
      </c>
      <c r="D278" s="79">
        <f>70148/2</f>
        <v>35074</v>
      </c>
      <c r="E278" s="79"/>
      <c r="F278" s="79"/>
    </row>
    <row r="279">
      <c r="A279" s="16" t="s">
        <v>480</v>
      </c>
      <c r="B279" s="51"/>
      <c r="C279" s="16" t="s">
        <v>57</v>
      </c>
      <c r="D279" s="26">
        <v>59200.0</v>
      </c>
      <c r="E279" s="26"/>
      <c r="F279" s="26"/>
    </row>
    <row r="280">
      <c r="A280" s="52" t="s">
        <v>481</v>
      </c>
      <c r="B280" s="51"/>
      <c r="C280" s="20" t="s">
        <v>482</v>
      </c>
      <c r="D280" s="26">
        <f>3100*0.95*1.19</f>
        <v>3504.55</v>
      </c>
      <c r="E280" s="26"/>
      <c r="F280" s="26"/>
    </row>
    <row r="281">
      <c r="A281" s="59" t="s">
        <v>483</v>
      </c>
      <c r="B281" s="97" t="s">
        <v>484</v>
      </c>
      <c r="C281" s="20" t="s">
        <v>485</v>
      </c>
      <c r="D281" s="26">
        <v>1.0</v>
      </c>
      <c r="E281" s="26"/>
      <c r="F281" s="26"/>
    </row>
    <row r="282">
      <c r="A282" s="59" t="s">
        <v>486</v>
      </c>
      <c r="B282" s="97" t="s">
        <v>484</v>
      </c>
      <c r="C282" s="20" t="s">
        <v>485</v>
      </c>
      <c r="D282" s="251">
        <v>210000.0</v>
      </c>
      <c r="E282" s="251"/>
      <c r="F282" s="251"/>
    </row>
    <row r="283">
      <c r="A283" s="59" t="s">
        <v>487</v>
      </c>
      <c r="B283" s="97" t="s">
        <v>484</v>
      </c>
      <c r="C283" s="20" t="s">
        <v>485</v>
      </c>
      <c r="D283" s="26">
        <v>1.0</v>
      </c>
      <c r="E283" s="26"/>
      <c r="F283" s="26"/>
    </row>
    <row r="284">
      <c r="A284" s="122" t="s">
        <v>488</v>
      </c>
      <c r="B284" s="51"/>
      <c r="C284" s="16" t="s">
        <v>437</v>
      </c>
      <c r="D284" s="26">
        <v>2900.0</v>
      </c>
      <c r="E284" s="26"/>
      <c r="F284" s="26"/>
    </row>
    <row r="285">
      <c r="A285" s="122" t="s">
        <v>489</v>
      </c>
      <c r="B285" s="51"/>
      <c r="C285" s="16" t="s">
        <v>437</v>
      </c>
      <c r="D285" s="26">
        <v>2900.0</v>
      </c>
      <c r="E285" s="26"/>
      <c r="F285" s="26"/>
    </row>
    <row r="286">
      <c r="A286" s="122" t="s">
        <v>490</v>
      </c>
      <c r="B286" s="51"/>
      <c r="C286" s="16" t="s">
        <v>437</v>
      </c>
      <c r="D286" s="26">
        <v>2900.0</v>
      </c>
      <c r="E286" s="26"/>
      <c r="F286" s="26"/>
    </row>
    <row r="287">
      <c r="A287" s="122" t="s">
        <v>491</v>
      </c>
      <c r="B287" s="51" t="s">
        <v>492</v>
      </c>
      <c r="C287" s="16" t="s">
        <v>493</v>
      </c>
      <c r="D287" s="26">
        <v>2900.0</v>
      </c>
      <c r="E287" s="26"/>
      <c r="F287" s="26"/>
    </row>
    <row r="288">
      <c r="A288" s="122" t="s">
        <v>494</v>
      </c>
      <c r="B288" s="51"/>
      <c r="C288" s="16" t="s">
        <v>437</v>
      </c>
      <c r="D288" s="26">
        <v>3500.0</v>
      </c>
      <c r="E288" s="26"/>
      <c r="F288" s="26"/>
    </row>
    <row r="289">
      <c r="A289" s="122" t="s">
        <v>495</v>
      </c>
      <c r="B289" s="51"/>
      <c r="C289" s="16" t="s">
        <v>437</v>
      </c>
      <c r="D289" s="26">
        <v>3500.0</v>
      </c>
      <c r="E289" s="26"/>
      <c r="F289" s="26"/>
    </row>
    <row r="290">
      <c r="A290" s="133" t="s">
        <v>496</v>
      </c>
      <c r="B290" s="134"/>
      <c r="C290" s="20" t="s">
        <v>497</v>
      </c>
      <c r="D290" s="79">
        <f>26436/10</f>
        <v>2643.6</v>
      </c>
      <c r="E290" s="79"/>
      <c r="F290" s="79"/>
    </row>
    <row r="291">
      <c r="A291" s="122" t="s">
        <v>498</v>
      </c>
      <c r="B291" s="51"/>
      <c r="C291" s="16" t="s">
        <v>437</v>
      </c>
      <c r="D291" s="26">
        <v>5000.0</v>
      </c>
      <c r="E291" s="26"/>
      <c r="F291" s="26"/>
    </row>
    <row r="292">
      <c r="A292" s="122" t="s">
        <v>499</v>
      </c>
      <c r="B292" s="51"/>
      <c r="C292" s="16" t="s">
        <v>437</v>
      </c>
      <c r="D292" s="26">
        <v>5000.0</v>
      </c>
      <c r="E292" s="26"/>
      <c r="F292" s="26"/>
    </row>
    <row r="293">
      <c r="A293" s="16" t="s">
        <v>500</v>
      </c>
      <c r="B293" s="49"/>
      <c r="C293" s="40" t="s">
        <v>98</v>
      </c>
      <c r="D293" s="26">
        <v>120.0</v>
      </c>
      <c r="E293" s="26"/>
      <c r="F293" s="26"/>
    </row>
    <row r="294">
      <c r="A294" s="16" t="s">
        <v>501</v>
      </c>
      <c r="B294" s="51"/>
      <c r="C294" s="16" t="s">
        <v>229</v>
      </c>
      <c r="D294" s="26">
        <f>785085/144</f>
        <v>5451.979167</v>
      </c>
      <c r="E294" s="26"/>
      <c r="F294" s="26"/>
    </row>
    <row r="295">
      <c r="A295" s="42" t="s">
        <v>502</v>
      </c>
      <c r="B295" s="149"/>
      <c r="C295" s="16" t="s">
        <v>503</v>
      </c>
      <c r="D295" s="26">
        <v>3200.0</v>
      </c>
      <c r="E295" s="26"/>
      <c r="F295" s="26"/>
    </row>
    <row r="296">
      <c r="A296" s="42" t="s">
        <v>504</v>
      </c>
      <c r="B296" s="149"/>
      <c r="C296" s="16" t="s">
        <v>341</v>
      </c>
      <c r="D296" s="26">
        <f>3200/25</f>
        <v>128</v>
      </c>
      <c r="E296" s="26"/>
      <c r="F296" s="26"/>
    </row>
    <row r="297">
      <c r="A297" s="16" t="s">
        <v>505</v>
      </c>
      <c r="B297" s="49"/>
      <c r="C297" s="16" t="s">
        <v>93</v>
      </c>
      <c r="D297" s="26">
        <v>300380.0</v>
      </c>
      <c r="E297" s="26"/>
      <c r="F297" s="26"/>
    </row>
    <row r="298">
      <c r="A298" s="16" t="s">
        <v>506</v>
      </c>
      <c r="B298" s="49"/>
      <c r="C298" s="16" t="s">
        <v>281</v>
      </c>
      <c r="D298" s="26">
        <v>91700.0</v>
      </c>
      <c r="E298" s="26"/>
      <c r="F298" s="26"/>
    </row>
    <row r="299">
      <c r="A299" s="16" t="s">
        <v>507</v>
      </c>
      <c r="B299" s="49"/>
      <c r="C299" s="16" t="s">
        <v>281</v>
      </c>
      <c r="D299" s="26">
        <v>79000.0</v>
      </c>
      <c r="E299" s="26"/>
      <c r="F299" s="26"/>
    </row>
    <row r="300">
      <c r="A300" s="42" t="s">
        <v>508</v>
      </c>
      <c r="B300" s="149"/>
      <c r="C300" s="40" t="s">
        <v>93</v>
      </c>
      <c r="D300" s="79">
        <v>57410.0</v>
      </c>
      <c r="E300" s="79"/>
      <c r="F300" s="79"/>
    </row>
    <row r="301">
      <c r="A301" s="16" t="s">
        <v>510</v>
      </c>
      <c r="B301" s="51" t="s">
        <v>3371</v>
      </c>
      <c r="C301" s="16" t="s">
        <v>91</v>
      </c>
      <c r="D301" s="26">
        <v>224000.0</v>
      </c>
      <c r="E301" s="26"/>
      <c r="F301" s="26"/>
    </row>
    <row r="302">
      <c r="A302" s="52" t="s">
        <v>512</v>
      </c>
      <c r="B302" s="51"/>
      <c r="C302" s="20" t="s">
        <v>513</v>
      </c>
      <c r="D302" s="26">
        <v>2400.0</v>
      </c>
      <c r="E302" s="26"/>
      <c r="F302" s="26"/>
    </row>
    <row r="303">
      <c r="A303" s="119" t="s">
        <v>514</v>
      </c>
      <c r="B303" s="49" t="s">
        <v>515</v>
      </c>
      <c r="C303" s="16" t="s">
        <v>516</v>
      </c>
      <c r="D303" s="26">
        <f>26700/1000</f>
        <v>26.7</v>
      </c>
      <c r="E303" s="26"/>
      <c r="F303" s="26"/>
    </row>
    <row r="304">
      <c r="A304" s="119" t="s">
        <v>517</v>
      </c>
      <c r="B304" s="49" t="s">
        <v>515</v>
      </c>
      <c r="C304" s="16" t="s">
        <v>516</v>
      </c>
      <c r="D304" s="26">
        <f>5700/100</f>
        <v>57</v>
      </c>
      <c r="E304" s="26"/>
      <c r="F304" s="26"/>
    </row>
    <row r="305">
      <c r="A305" s="119" t="s">
        <v>518</v>
      </c>
      <c r="B305" s="49" t="s">
        <v>515</v>
      </c>
      <c r="C305" s="16" t="s">
        <v>516</v>
      </c>
      <c r="D305" s="26">
        <f>7200/100</f>
        <v>72</v>
      </c>
      <c r="E305" s="26"/>
      <c r="F305" s="26"/>
    </row>
    <row r="306">
      <c r="A306" s="119" t="s">
        <v>519</v>
      </c>
      <c r="B306" s="49" t="s">
        <v>515</v>
      </c>
      <c r="C306" s="16" t="s">
        <v>516</v>
      </c>
      <c r="D306" s="26">
        <f>11200/100</f>
        <v>112</v>
      </c>
      <c r="E306" s="26"/>
      <c r="F306" s="26"/>
    </row>
    <row r="307">
      <c r="A307" s="16" t="s">
        <v>520</v>
      </c>
      <c r="B307" s="49" t="s">
        <v>521</v>
      </c>
      <c r="C307" s="16" t="s">
        <v>516</v>
      </c>
      <c r="D307" s="26">
        <f>8000/100</f>
        <v>80</v>
      </c>
      <c r="E307" s="26"/>
      <c r="F307" s="26"/>
    </row>
    <row r="308">
      <c r="A308" s="16" t="s">
        <v>522</v>
      </c>
      <c r="B308" s="49" t="s">
        <v>515</v>
      </c>
      <c r="C308" s="16" t="s">
        <v>516</v>
      </c>
      <c r="D308" s="26">
        <f>9600/100</f>
        <v>96</v>
      </c>
      <c r="E308" s="26"/>
      <c r="F308" s="26"/>
    </row>
    <row r="309">
      <c r="A309" s="54" t="s">
        <v>523</v>
      </c>
      <c r="B309" s="49" t="s">
        <v>515</v>
      </c>
      <c r="C309" s="16" t="s">
        <v>516</v>
      </c>
      <c r="D309" s="26">
        <f>5800/100</f>
        <v>58</v>
      </c>
      <c r="E309" s="26"/>
      <c r="F309" s="26"/>
    </row>
    <row r="310">
      <c r="A310" s="16" t="s">
        <v>525</v>
      </c>
      <c r="B310" s="49" t="s">
        <v>515</v>
      </c>
      <c r="C310" s="16" t="s">
        <v>516</v>
      </c>
      <c r="D310" s="26">
        <f>7500/100</f>
        <v>75</v>
      </c>
      <c r="E310" s="26"/>
      <c r="F310" s="26"/>
    </row>
    <row r="311">
      <c r="A311" s="16" t="s">
        <v>526</v>
      </c>
      <c r="B311" s="49"/>
      <c r="C311" s="16" t="s">
        <v>516</v>
      </c>
      <c r="D311" s="26">
        <f>9000/100</f>
        <v>90</v>
      </c>
      <c r="E311" s="26"/>
      <c r="F311" s="26"/>
    </row>
    <row r="312">
      <c r="A312" s="16" t="s">
        <v>528</v>
      </c>
      <c r="B312" s="49"/>
      <c r="C312" s="16" t="s">
        <v>516</v>
      </c>
      <c r="D312" s="26">
        <f>10000/100</f>
        <v>100</v>
      </c>
      <c r="E312" s="26"/>
      <c r="F312" s="26"/>
    </row>
    <row r="313">
      <c r="A313" s="16" t="s">
        <v>529</v>
      </c>
      <c r="B313" s="49" t="s">
        <v>515</v>
      </c>
      <c r="C313" s="16" t="s">
        <v>516</v>
      </c>
      <c r="D313" s="26">
        <f>2800/100</f>
        <v>28</v>
      </c>
      <c r="E313" s="26"/>
      <c r="F313" s="26"/>
    </row>
    <row r="314">
      <c r="A314" s="16" t="s">
        <v>530</v>
      </c>
      <c r="B314" s="49" t="s">
        <v>515</v>
      </c>
      <c r="C314" s="16" t="s">
        <v>516</v>
      </c>
      <c r="D314" s="26">
        <f>3900/100</f>
        <v>39</v>
      </c>
      <c r="E314" s="26"/>
      <c r="F314" s="26"/>
    </row>
    <row r="315">
      <c r="A315" s="16" t="s">
        <v>531</v>
      </c>
      <c r="B315" s="51" t="s">
        <v>532</v>
      </c>
      <c r="C315" s="16" t="s">
        <v>3372</v>
      </c>
      <c r="D315" s="26">
        <v>6500.0</v>
      </c>
      <c r="E315" s="26"/>
      <c r="F315" s="26"/>
    </row>
    <row r="316">
      <c r="A316" s="16" t="s">
        <v>534</v>
      </c>
      <c r="B316" s="51"/>
      <c r="C316" s="16" t="s">
        <v>535</v>
      </c>
      <c r="D316" s="26">
        <v>10500.0</v>
      </c>
      <c r="E316" s="26"/>
      <c r="F316" s="26"/>
    </row>
    <row r="317">
      <c r="A317" s="16" t="s">
        <v>536</v>
      </c>
      <c r="B317" s="51" t="s">
        <v>537</v>
      </c>
      <c r="C317" s="16" t="s">
        <v>535</v>
      </c>
      <c r="D317" s="26">
        <v>16000.0</v>
      </c>
      <c r="E317" s="26"/>
      <c r="F317" s="26"/>
    </row>
    <row r="318">
      <c r="A318" s="16" t="s">
        <v>538</v>
      </c>
      <c r="B318" s="51" t="s">
        <v>539</v>
      </c>
      <c r="C318" s="16" t="s">
        <v>535</v>
      </c>
      <c r="D318" s="26">
        <v>32000.0</v>
      </c>
      <c r="E318" s="26"/>
      <c r="F318" s="26"/>
    </row>
    <row r="319">
      <c r="A319" s="16" t="s">
        <v>540</v>
      </c>
      <c r="B319" s="49" t="s">
        <v>541</v>
      </c>
      <c r="C319" s="16" t="s">
        <v>535</v>
      </c>
      <c r="D319" s="26">
        <v>45000.0</v>
      </c>
      <c r="E319" s="26"/>
      <c r="F319" s="26"/>
    </row>
    <row r="320">
      <c r="A320" s="16" t="s">
        <v>542</v>
      </c>
      <c r="B320" s="49" t="s">
        <v>543</v>
      </c>
      <c r="C320" s="16" t="s">
        <v>535</v>
      </c>
      <c r="D320" s="26">
        <v>80000.0</v>
      </c>
      <c r="E320" s="26"/>
      <c r="F320" s="26"/>
    </row>
    <row r="321">
      <c r="A321" s="16" t="s">
        <v>544</v>
      </c>
      <c r="B321" s="49"/>
      <c r="C321" s="16" t="s">
        <v>516</v>
      </c>
      <c r="D321" s="26">
        <f t="shared" ref="D321:D322" si="10">16500/100</f>
        <v>165</v>
      </c>
      <c r="E321" s="26"/>
      <c r="F321" s="26"/>
    </row>
    <row r="322">
      <c r="A322" s="16" t="s">
        <v>545</v>
      </c>
      <c r="B322" s="49"/>
      <c r="C322" s="16" t="s">
        <v>516</v>
      </c>
      <c r="D322" s="26">
        <f t="shared" si="10"/>
        <v>165</v>
      </c>
      <c r="E322" s="26"/>
      <c r="F322" s="26"/>
    </row>
    <row r="323">
      <c r="A323" s="16" t="s">
        <v>546</v>
      </c>
      <c r="B323" s="49"/>
      <c r="C323" s="16" t="s">
        <v>516</v>
      </c>
      <c r="D323" s="26">
        <f>2000/100</f>
        <v>20</v>
      </c>
      <c r="E323" s="26"/>
      <c r="F323" s="26"/>
    </row>
    <row r="324">
      <c r="A324" s="119" t="s">
        <v>548</v>
      </c>
      <c r="B324" s="49"/>
      <c r="C324" s="16" t="s">
        <v>516</v>
      </c>
      <c r="D324" s="26">
        <f>1500/100</f>
        <v>15</v>
      </c>
      <c r="E324" s="26"/>
      <c r="F324" s="26"/>
    </row>
    <row r="325">
      <c r="A325" s="16" t="s">
        <v>549</v>
      </c>
      <c r="B325" s="49" t="s">
        <v>515</v>
      </c>
      <c r="C325" s="16" t="s">
        <v>516</v>
      </c>
      <c r="D325" s="26">
        <f t="shared" ref="D325:D326" si="11">9600/100</f>
        <v>96</v>
      </c>
      <c r="E325" s="26"/>
      <c r="F325" s="26"/>
    </row>
    <row r="326">
      <c r="A326" s="16" t="s">
        <v>550</v>
      </c>
      <c r="B326" s="49" t="s">
        <v>515</v>
      </c>
      <c r="C326" s="16" t="s">
        <v>516</v>
      </c>
      <c r="D326" s="26">
        <f t="shared" si="11"/>
        <v>96</v>
      </c>
      <c r="E326" s="26"/>
      <c r="F326" s="26"/>
    </row>
    <row r="327">
      <c r="A327" s="52" t="s">
        <v>551</v>
      </c>
      <c r="B327" s="51"/>
      <c r="C327" s="20" t="s">
        <v>437</v>
      </c>
      <c r="D327" s="26">
        <v>2500.0</v>
      </c>
      <c r="E327" s="26"/>
      <c r="F327" s="26"/>
    </row>
    <row r="328">
      <c r="A328" s="16" t="s">
        <v>552</v>
      </c>
      <c r="B328" s="49"/>
      <c r="C328" s="16" t="s">
        <v>553</v>
      </c>
      <c r="D328" s="26">
        <v>500.0</v>
      </c>
      <c r="E328" s="26"/>
      <c r="F328" s="26"/>
    </row>
    <row r="329">
      <c r="A329" s="16" t="s">
        <v>554</v>
      </c>
      <c r="B329" s="49"/>
      <c r="C329" s="16" t="s">
        <v>555</v>
      </c>
      <c r="D329" s="26">
        <v>900.0</v>
      </c>
      <c r="E329" s="26"/>
      <c r="F329" s="26"/>
    </row>
    <row r="330">
      <c r="A330" s="59" t="s">
        <v>556</v>
      </c>
      <c r="B330" s="97" t="s">
        <v>557</v>
      </c>
      <c r="C330" s="20" t="s">
        <v>485</v>
      </c>
      <c r="D330" s="26">
        <v>75000.0</v>
      </c>
      <c r="E330" s="26"/>
      <c r="F330" s="26"/>
    </row>
    <row r="331">
      <c r="A331" s="16" t="s">
        <v>559</v>
      </c>
      <c r="B331" s="51" t="s">
        <v>560</v>
      </c>
      <c r="C331" s="16" t="s">
        <v>561</v>
      </c>
      <c r="D331" s="26">
        <v>14800.0</v>
      </c>
      <c r="E331" s="26"/>
      <c r="F331" s="26"/>
    </row>
    <row r="332">
      <c r="A332" s="52" t="s">
        <v>562</v>
      </c>
      <c r="B332" s="51"/>
      <c r="C332" s="20" t="s">
        <v>563</v>
      </c>
      <c r="D332" s="79">
        <f>32000*0.9*1.19</f>
        <v>34272</v>
      </c>
      <c r="E332" s="79"/>
      <c r="F332" s="79"/>
    </row>
    <row r="333">
      <c r="A333" s="52" t="s">
        <v>564</v>
      </c>
      <c r="B333" s="136" t="s">
        <v>565</v>
      </c>
      <c r="C333" s="20" t="s">
        <v>563</v>
      </c>
      <c r="D333" s="79">
        <f>38000*0.9*1.19</f>
        <v>40698</v>
      </c>
      <c r="E333" s="79"/>
      <c r="F333" s="79"/>
    </row>
    <row r="334">
      <c r="A334" s="40" t="s">
        <v>566</v>
      </c>
      <c r="B334" s="51"/>
      <c r="C334" s="16" t="s">
        <v>26</v>
      </c>
      <c r="D334" s="26">
        <v>3500.0</v>
      </c>
      <c r="E334" s="26"/>
      <c r="F334" s="26"/>
    </row>
    <row r="335">
      <c r="A335" s="52" t="s">
        <v>567</v>
      </c>
      <c r="B335" s="51"/>
      <c r="C335" s="16" t="s">
        <v>563</v>
      </c>
      <c r="D335" s="26">
        <f>5500*1.19</f>
        <v>6545</v>
      </c>
      <c r="E335" s="26"/>
      <c r="F335" s="26"/>
    </row>
    <row r="336">
      <c r="A336" s="52" t="s">
        <v>568</v>
      </c>
      <c r="B336" s="51"/>
      <c r="C336" s="16" t="s">
        <v>569</v>
      </c>
      <c r="D336" s="26">
        <f>5400*1.19</f>
        <v>6426</v>
      </c>
      <c r="E336" s="26"/>
      <c r="F336" s="26"/>
    </row>
    <row r="337">
      <c r="A337" s="52" t="s">
        <v>570</v>
      </c>
      <c r="B337" s="51"/>
      <c r="C337" s="20"/>
      <c r="D337" s="79"/>
      <c r="E337" s="79"/>
      <c r="F337" s="79"/>
    </row>
    <row r="338">
      <c r="A338" s="16" t="s">
        <v>571</v>
      </c>
      <c r="B338" s="49"/>
      <c r="C338" s="16" t="s">
        <v>572</v>
      </c>
      <c r="D338" s="26">
        <v>3500.0</v>
      </c>
      <c r="E338" s="26"/>
      <c r="F338" s="26"/>
    </row>
    <row r="339">
      <c r="A339" s="16" t="s">
        <v>573</v>
      </c>
      <c r="B339" s="49"/>
      <c r="C339" s="16" t="s">
        <v>572</v>
      </c>
      <c r="D339" s="26">
        <v>4900.0</v>
      </c>
      <c r="E339" s="26"/>
      <c r="F339" s="26"/>
    </row>
    <row r="340">
      <c r="A340" s="16" t="s">
        <v>574</v>
      </c>
      <c r="B340" s="49"/>
      <c r="C340" s="16" t="s">
        <v>575</v>
      </c>
      <c r="D340" s="26">
        <v>14400.0</v>
      </c>
      <c r="E340" s="26"/>
      <c r="F340" s="26"/>
    </row>
    <row r="341">
      <c r="A341" s="16" t="s">
        <v>576</v>
      </c>
      <c r="B341" s="49"/>
      <c r="C341" s="16" t="s">
        <v>577</v>
      </c>
      <c r="D341" s="26">
        <f>56280*1.19</f>
        <v>66973.2</v>
      </c>
      <c r="E341" s="26"/>
      <c r="F341" s="26"/>
    </row>
    <row r="342">
      <c r="A342" s="16" t="s">
        <v>578</v>
      </c>
      <c r="B342" s="49"/>
      <c r="C342" s="16" t="s">
        <v>575</v>
      </c>
      <c r="D342" s="26">
        <v>2500.0</v>
      </c>
      <c r="E342" s="26"/>
      <c r="F342" s="26"/>
    </row>
    <row r="343">
      <c r="A343" s="16" t="s">
        <v>579</v>
      </c>
      <c r="B343" s="49"/>
      <c r="C343" s="16" t="s">
        <v>580</v>
      </c>
      <c r="D343" s="518">
        <v>30173.699999999997</v>
      </c>
      <c r="E343" s="518"/>
      <c r="F343" s="518"/>
    </row>
    <row r="344">
      <c r="A344" s="16" t="s">
        <v>581</v>
      </c>
      <c r="B344" s="51" t="s">
        <v>582</v>
      </c>
      <c r="C344" s="20" t="s">
        <v>485</v>
      </c>
      <c r="D344" s="26">
        <f>31953*1.19</f>
        <v>38024.07</v>
      </c>
      <c r="E344" s="26"/>
      <c r="F344" s="26"/>
    </row>
    <row r="345">
      <c r="A345" s="16" t="s">
        <v>583</v>
      </c>
      <c r="B345" s="49"/>
      <c r="C345" s="16" t="s">
        <v>572</v>
      </c>
      <c r="D345" s="26">
        <v>3300.0</v>
      </c>
      <c r="E345" s="26"/>
      <c r="F345" s="26"/>
    </row>
    <row r="346">
      <c r="A346" s="16" t="s">
        <v>584</v>
      </c>
      <c r="B346" s="51"/>
      <c r="C346" s="16" t="s">
        <v>585</v>
      </c>
      <c r="D346" s="26">
        <f>68000/100</f>
        <v>680</v>
      </c>
      <c r="E346" s="26"/>
      <c r="F346" s="26"/>
    </row>
    <row r="347">
      <c r="A347" s="16" t="s">
        <v>586</v>
      </c>
      <c r="B347" s="51"/>
      <c r="C347" s="16" t="s">
        <v>588</v>
      </c>
      <c r="D347" s="26">
        <v>762.0</v>
      </c>
      <c r="E347" s="26"/>
      <c r="F347" s="26"/>
    </row>
    <row r="348">
      <c r="A348" s="16" t="s">
        <v>589</v>
      </c>
      <c r="B348" s="49"/>
      <c r="C348" s="16" t="s">
        <v>590</v>
      </c>
      <c r="D348" s="26">
        <f>4900*1.19</f>
        <v>5831</v>
      </c>
      <c r="E348" s="26"/>
      <c r="F348" s="26"/>
    </row>
    <row r="349">
      <c r="A349" s="16" t="s">
        <v>591</v>
      </c>
      <c r="B349" s="49"/>
      <c r="C349" s="16" t="s">
        <v>590</v>
      </c>
      <c r="D349" s="26">
        <f>8571*0.85*1.19</f>
        <v>8669.5665</v>
      </c>
      <c r="E349" s="26"/>
      <c r="F349" s="26"/>
    </row>
    <row r="350">
      <c r="A350" s="16" t="s">
        <v>592</v>
      </c>
      <c r="B350" s="49"/>
      <c r="C350" s="16" t="s">
        <v>590</v>
      </c>
      <c r="D350" s="26">
        <f>9000*1.19</f>
        <v>10710</v>
      </c>
      <c r="E350" s="26"/>
      <c r="F350" s="26"/>
    </row>
    <row r="351">
      <c r="A351" s="16" t="s">
        <v>593</v>
      </c>
      <c r="B351" s="49"/>
      <c r="C351" s="16" t="s">
        <v>590</v>
      </c>
      <c r="D351" s="26">
        <f>10700*1.19</f>
        <v>12733</v>
      </c>
      <c r="E351" s="26"/>
      <c r="F351" s="26"/>
    </row>
    <row r="352">
      <c r="A352" s="16" t="s">
        <v>594</v>
      </c>
      <c r="B352" s="51" t="s">
        <v>595</v>
      </c>
      <c r="C352" s="138" t="s">
        <v>596</v>
      </c>
      <c r="D352" s="525">
        <f>910*1.19</f>
        <v>1082.9</v>
      </c>
      <c r="E352" s="525"/>
      <c r="F352" s="525"/>
    </row>
    <row r="353">
      <c r="A353" s="16" t="s">
        <v>598</v>
      </c>
      <c r="B353" s="51" t="s">
        <v>599</v>
      </c>
      <c r="C353" s="138" t="s">
        <v>600</v>
      </c>
      <c r="D353" s="26">
        <v>1285.0</v>
      </c>
      <c r="E353" s="26"/>
      <c r="F353" s="26"/>
    </row>
    <row r="354">
      <c r="A354" s="16" t="s">
        <v>2859</v>
      </c>
      <c r="B354" s="51" t="s">
        <v>602</v>
      </c>
      <c r="C354" s="20" t="s">
        <v>600</v>
      </c>
      <c r="D354" s="26">
        <v>1071.0</v>
      </c>
      <c r="E354" s="26"/>
      <c r="F354" s="26"/>
    </row>
    <row r="355">
      <c r="A355" s="16" t="s">
        <v>604</v>
      </c>
      <c r="B355" s="97" t="s">
        <v>605</v>
      </c>
      <c r="C355" s="16" t="s">
        <v>572</v>
      </c>
      <c r="D355" s="79">
        <v>9782.0</v>
      </c>
      <c r="E355" s="79"/>
      <c r="F355" s="79"/>
    </row>
    <row r="356">
      <c r="A356" s="16" t="s">
        <v>606</v>
      </c>
      <c r="B356" s="97"/>
      <c r="C356" s="16" t="s">
        <v>572</v>
      </c>
      <c r="D356" s="526">
        <v>12515.0</v>
      </c>
      <c r="E356" s="526"/>
      <c r="F356" s="526"/>
    </row>
    <row r="357">
      <c r="A357" s="16" t="s">
        <v>607</v>
      </c>
      <c r="B357" s="97" t="s">
        <v>608</v>
      </c>
      <c r="C357" s="16" t="s">
        <v>572</v>
      </c>
      <c r="D357" s="26">
        <v>17118.0</v>
      </c>
      <c r="E357" s="26"/>
      <c r="F357" s="26"/>
    </row>
    <row r="358">
      <c r="A358" s="16" t="s">
        <v>609</v>
      </c>
      <c r="B358" s="51"/>
      <c r="C358" s="16" t="s">
        <v>610</v>
      </c>
      <c r="D358" s="26">
        <v>1.0</v>
      </c>
      <c r="E358" s="26"/>
      <c r="F358" s="26"/>
    </row>
    <row r="359">
      <c r="A359" s="52" t="s">
        <v>3373</v>
      </c>
      <c r="B359" s="49"/>
      <c r="C359" s="16" t="s">
        <v>613</v>
      </c>
      <c r="D359" s="26">
        <v>25935.0</v>
      </c>
      <c r="E359" s="26"/>
      <c r="F359" s="26"/>
    </row>
    <row r="360">
      <c r="A360" s="16" t="s">
        <v>614</v>
      </c>
      <c r="B360" s="51"/>
      <c r="C360" s="20" t="s">
        <v>615</v>
      </c>
      <c r="D360" s="26">
        <f>345000/15</f>
        <v>23000</v>
      </c>
      <c r="E360" s="26"/>
      <c r="F360" s="26"/>
    </row>
    <row r="361">
      <c r="A361" s="16" t="s">
        <v>616</v>
      </c>
      <c r="B361" s="31" t="s">
        <v>617</v>
      </c>
      <c r="C361" s="20" t="s">
        <v>618</v>
      </c>
      <c r="D361" s="26">
        <v>15000.0</v>
      </c>
      <c r="E361" s="26"/>
      <c r="F361" s="26"/>
    </row>
    <row r="362">
      <c r="A362" s="52" t="s">
        <v>619</v>
      </c>
      <c r="B362" s="51"/>
      <c r="C362" s="16" t="s">
        <v>437</v>
      </c>
      <c r="D362" s="26">
        <v>4000.0</v>
      </c>
      <c r="E362" s="26"/>
      <c r="F362" s="26"/>
    </row>
    <row r="363">
      <c r="A363" s="52" t="s">
        <v>620</v>
      </c>
      <c r="B363" s="51"/>
      <c r="C363" s="16" t="s">
        <v>437</v>
      </c>
      <c r="D363" s="26">
        <v>4000.0</v>
      </c>
      <c r="E363" s="26"/>
      <c r="F363" s="26"/>
    </row>
    <row r="364">
      <c r="A364" s="52" t="s">
        <v>621</v>
      </c>
      <c r="B364" s="51"/>
      <c r="C364" s="16" t="s">
        <v>437</v>
      </c>
      <c r="D364" s="26">
        <v>3800.0</v>
      </c>
      <c r="E364" s="26"/>
      <c r="F364" s="26"/>
    </row>
    <row r="365">
      <c r="A365" s="52" t="s">
        <v>622</v>
      </c>
      <c r="B365" s="51"/>
      <c r="C365" s="16" t="s">
        <v>437</v>
      </c>
      <c r="D365" s="26">
        <v>3800.0</v>
      </c>
      <c r="E365" s="26"/>
      <c r="F365" s="26"/>
    </row>
    <row r="366">
      <c r="A366" s="52" t="s">
        <v>623</v>
      </c>
      <c r="B366" s="51"/>
      <c r="C366" s="16" t="s">
        <v>437</v>
      </c>
      <c r="D366" s="26">
        <v>3800.0</v>
      </c>
      <c r="E366" s="26"/>
      <c r="F366" s="26"/>
    </row>
    <row r="367">
      <c r="A367" s="149" t="s">
        <v>624</v>
      </c>
      <c r="B367" s="149"/>
      <c r="C367" s="16" t="s">
        <v>625</v>
      </c>
      <c r="D367" s="26">
        <v>183.0</v>
      </c>
      <c r="E367" s="26"/>
      <c r="F367" s="26"/>
    </row>
    <row r="368">
      <c r="A368" s="52" t="s">
        <v>626</v>
      </c>
      <c r="B368" s="51"/>
      <c r="C368" s="16" t="s">
        <v>437</v>
      </c>
      <c r="D368" s="26">
        <f>420000/200/14</f>
        <v>150</v>
      </c>
      <c r="E368" s="26"/>
      <c r="F368" s="26"/>
    </row>
    <row r="369">
      <c r="A369" s="52" t="s">
        <v>627</v>
      </c>
      <c r="B369" s="49"/>
      <c r="C369" s="16" t="s">
        <v>437</v>
      </c>
      <c r="D369" s="26">
        <f>70000/100</f>
        <v>700</v>
      </c>
      <c r="E369" s="26"/>
      <c r="F369" s="26"/>
    </row>
    <row r="370">
      <c r="A370" s="52" t="s">
        <v>3374</v>
      </c>
      <c r="B370" s="51"/>
      <c r="C370" s="16" t="s">
        <v>437</v>
      </c>
      <c r="D370" s="26">
        <f>420000/200/14</f>
        <v>150</v>
      </c>
      <c r="E370" s="26"/>
      <c r="F370" s="26"/>
    </row>
    <row r="371">
      <c r="A371" s="16" t="s">
        <v>629</v>
      </c>
      <c r="B371" s="49"/>
      <c r="C371" s="16" t="s">
        <v>630</v>
      </c>
      <c r="D371" s="26">
        <v>22000.0</v>
      </c>
      <c r="E371" s="26"/>
      <c r="F371" s="26"/>
    </row>
    <row r="372">
      <c r="A372" s="16" t="s">
        <v>631</v>
      </c>
      <c r="B372" s="49"/>
      <c r="C372" s="16" t="s">
        <v>630</v>
      </c>
      <c r="D372" s="26">
        <f>22000/2.5</f>
        <v>8800</v>
      </c>
      <c r="E372" s="26"/>
      <c r="F372" s="26"/>
    </row>
    <row r="373">
      <c r="A373" s="150" t="s">
        <v>632</v>
      </c>
      <c r="B373" s="49"/>
      <c r="C373" s="16" t="s">
        <v>39</v>
      </c>
      <c r="D373" s="26">
        <v>2000.0</v>
      </c>
      <c r="E373" s="26"/>
      <c r="F373" s="26"/>
    </row>
    <row r="374">
      <c r="A374" s="42" t="s">
        <v>633</v>
      </c>
      <c r="B374" s="42"/>
      <c r="C374" s="20" t="s">
        <v>291</v>
      </c>
      <c r="D374" s="26">
        <f>11000/25</f>
        <v>440</v>
      </c>
      <c r="E374" s="26"/>
      <c r="F374" s="26"/>
    </row>
    <row r="375">
      <c r="A375" s="16" t="s">
        <v>634</v>
      </c>
      <c r="B375" s="49"/>
      <c r="C375" s="20" t="s">
        <v>400</v>
      </c>
      <c r="D375" s="26">
        <v>22479.0</v>
      </c>
      <c r="E375" s="26"/>
      <c r="F375" s="26"/>
    </row>
    <row r="376">
      <c r="A376" s="16" t="s">
        <v>635</v>
      </c>
      <c r="B376" s="49"/>
      <c r="C376" s="20" t="s">
        <v>57</v>
      </c>
      <c r="D376" s="26">
        <v>800.0</v>
      </c>
      <c r="E376" s="26"/>
      <c r="F376" s="26"/>
    </row>
    <row r="377">
      <c r="A377" s="16" t="s">
        <v>636</v>
      </c>
      <c r="B377" s="49"/>
      <c r="C377" s="20" t="s">
        <v>57</v>
      </c>
      <c r="D377" s="26">
        <f>14706*1.19/25</f>
        <v>700.0056</v>
      </c>
      <c r="E377" s="26"/>
      <c r="F377" s="26"/>
    </row>
    <row r="378">
      <c r="A378" s="16" t="s">
        <v>637</v>
      </c>
      <c r="B378" s="51"/>
      <c r="C378" s="20" t="s">
        <v>93</v>
      </c>
      <c r="D378" s="26">
        <v>85060.0</v>
      </c>
      <c r="E378" s="26"/>
      <c r="F378" s="26"/>
    </row>
    <row r="379">
      <c r="A379" s="122" t="s">
        <v>638</v>
      </c>
      <c r="B379" s="51"/>
      <c r="C379" s="16" t="s">
        <v>553</v>
      </c>
      <c r="D379" s="26">
        <v>1.0</v>
      </c>
      <c r="E379" s="26"/>
      <c r="F379" s="26"/>
    </row>
    <row r="380">
      <c r="A380" s="16" t="s">
        <v>639</v>
      </c>
      <c r="B380" s="49"/>
      <c r="C380" s="20" t="s">
        <v>640</v>
      </c>
      <c r="D380" s="26">
        <v>1.0</v>
      </c>
      <c r="E380" s="26"/>
      <c r="F380" s="26"/>
    </row>
    <row r="381">
      <c r="A381" s="42" t="s">
        <v>641</v>
      </c>
      <c r="B381" s="49"/>
      <c r="C381" s="151" t="s">
        <v>625</v>
      </c>
      <c r="D381" s="26">
        <v>1.0</v>
      </c>
      <c r="E381" s="26"/>
      <c r="F381" s="26"/>
    </row>
    <row r="382">
      <c r="A382" s="42" t="s">
        <v>642</v>
      </c>
      <c r="B382" s="149"/>
      <c r="C382" s="20" t="s">
        <v>643</v>
      </c>
      <c r="D382" s="26">
        <f>17200/25</f>
        <v>688</v>
      </c>
      <c r="E382" s="26"/>
      <c r="F382" s="26"/>
    </row>
    <row r="383">
      <c r="A383" s="42" t="s">
        <v>644</v>
      </c>
      <c r="B383" s="149"/>
      <c r="C383" s="20" t="s">
        <v>553</v>
      </c>
      <c r="D383" s="26">
        <f>17200/100</f>
        <v>172</v>
      </c>
      <c r="E383" s="26"/>
      <c r="F383" s="26"/>
    </row>
    <row r="384">
      <c r="A384" s="42" t="s">
        <v>645</v>
      </c>
      <c r="B384" s="51" t="s">
        <v>646</v>
      </c>
      <c r="C384" s="16" t="s">
        <v>104</v>
      </c>
      <c r="D384" s="26">
        <v>8190.0</v>
      </c>
      <c r="E384" s="26"/>
      <c r="F384" s="26"/>
    </row>
    <row r="385">
      <c r="A385" s="42" t="s">
        <v>647</v>
      </c>
      <c r="B385" s="51"/>
      <c r="C385" s="54" t="s">
        <v>102</v>
      </c>
      <c r="D385" s="26">
        <v>8000.0</v>
      </c>
      <c r="E385" s="26"/>
      <c r="F385" s="26"/>
    </row>
    <row r="386">
      <c r="A386" s="16" t="s">
        <v>648</v>
      </c>
      <c r="B386" s="51"/>
      <c r="C386" s="16" t="s">
        <v>88</v>
      </c>
      <c r="D386" s="26">
        <v>8350.0</v>
      </c>
      <c r="E386" s="26"/>
      <c r="F386" s="26"/>
    </row>
    <row r="387">
      <c r="A387" s="42" t="s">
        <v>649</v>
      </c>
      <c r="B387" s="51" t="s">
        <v>650</v>
      </c>
      <c r="C387" s="54" t="s">
        <v>473</v>
      </c>
      <c r="D387" s="26">
        <v>99000.0</v>
      </c>
      <c r="E387" s="26"/>
      <c r="F387" s="26"/>
    </row>
    <row r="388">
      <c r="A388" s="42" t="s">
        <v>651</v>
      </c>
      <c r="B388" s="51"/>
      <c r="C388" s="54" t="s">
        <v>473</v>
      </c>
      <c r="D388" s="26">
        <f>100000/4</f>
        <v>25000</v>
      </c>
      <c r="E388" s="26"/>
      <c r="F388" s="26"/>
    </row>
    <row r="389">
      <c r="A389" s="42" t="s">
        <v>652</v>
      </c>
      <c r="B389" s="51"/>
      <c r="C389" s="54" t="s">
        <v>473</v>
      </c>
      <c r="D389" s="26">
        <f>100000/3</f>
        <v>33333.33333</v>
      </c>
      <c r="E389" s="26"/>
      <c r="F389" s="26"/>
    </row>
    <row r="390">
      <c r="A390" s="42" t="s">
        <v>653</v>
      </c>
      <c r="B390" s="51"/>
      <c r="C390" s="54" t="s">
        <v>473</v>
      </c>
      <c r="D390" s="26">
        <f>38104/2</f>
        <v>19052</v>
      </c>
      <c r="E390" s="26"/>
      <c r="F390" s="26"/>
    </row>
    <row r="391">
      <c r="A391" s="16" t="s">
        <v>654</v>
      </c>
      <c r="B391" s="51"/>
      <c r="C391" s="120" t="s">
        <v>655</v>
      </c>
      <c r="D391" s="26">
        <v>18172.0</v>
      </c>
      <c r="E391" s="26"/>
      <c r="F391" s="26"/>
    </row>
    <row r="392">
      <c r="A392" s="16" t="s">
        <v>656</v>
      </c>
      <c r="B392" s="51"/>
      <c r="C392" s="40" t="s">
        <v>93</v>
      </c>
      <c r="D392" s="26">
        <v>32130.0</v>
      </c>
      <c r="E392" s="26"/>
      <c r="F392" s="26"/>
    </row>
    <row r="393">
      <c r="A393" s="16" t="s">
        <v>657</v>
      </c>
      <c r="B393" s="51"/>
      <c r="C393" s="120" t="s">
        <v>655</v>
      </c>
      <c r="D393" s="26">
        <v>19360.0</v>
      </c>
      <c r="E393" s="26"/>
      <c r="F393" s="26"/>
    </row>
    <row r="394">
      <c r="A394" s="122" t="s">
        <v>658</v>
      </c>
      <c r="B394" s="51">
        <v>248002.0</v>
      </c>
      <c r="C394" s="16" t="s">
        <v>659</v>
      </c>
      <c r="D394" s="79">
        <f>3347*1.19</f>
        <v>3982.93</v>
      </c>
      <c r="E394" s="79"/>
      <c r="F394" s="79"/>
    </row>
    <row r="395">
      <c r="A395" s="122" t="s">
        <v>660</v>
      </c>
      <c r="B395" s="51">
        <v>241027.0</v>
      </c>
      <c r="C395" s="16" t="s">
        <v>425</v>
      </c>
      <c r="D395" s="26">
        <f>1416*1.19</f>
        <v>1685.04</v>
      </c>
      <c r="E395" s="26"/>
      <c r="F395" s="26"/>
    </row>
    <row r="396">
      <c r="A396" s="16" t="s">
        <v>661</v>
      </c>
      <c r="B396" s="49"/>
      <c r="C396" s="16" t="s">
        <v>39</v>
      </c>
      <c r="D396" s="26">
        <f>21795*1.19/10</f>
        <v>2593.605</v>
      </c>
      <c r="E396" s="26"/>
      <c r="F396" s="26"/>
    </row>
    <row r="397">
      <c r="A397" s="16" t="s">
        <v>662</v>
      </c>
      <c r="B397" s="49"/>
      <c r="C397" s="16" t="s">
        <v>39</v>
      </c>
      <c r="D397" s="26">
        <f>2180.22*1.19/3</f>
        <v>864.8206</v>
      </c>
      <c r="E397" s="26"/>
      <c r="F397" s="26"/>
    </row>
    <row r="398">
      <c r="A398" s="42" t="s">
        <v>663</v>
      </c>
      <c r="B398" s="42"/>
      <c r="C398" s="20" t="s">
        <v>664</v>
      </c>
      <c r="D398" s="26">
        <f>8067*1.19/12</f>
        <v>799.9775</v>
      </c>
      <c r="E398" s="26"/>
      <c r="F398" s="26"/>
    </row>
    <row r="399">
      <c r="A399" s="156" t="s">
        <v>665</v>
      </c>
      <c r="B399" s="149"/>
      <c r="C399" s="20" t="s">
        <v>666</v>
      </c>
      <c r="D399" s="519">
        <f>7142*1.19/12</f>
        <v>708.2483333</v>
      </c>
      <c r="E399" s="519"/>
      <c r="F399" s="519"/>
    </row>
    <row r="400">
      <c r="A400" s="52" t="s">
        <v>667</v>
      </c>
      <c r="B400" s="126"/>
      <c r="C400" s="20" t="s">
        <v>668</v>
      </c>
      <c r="D400" s="26"/>
      <c r="E400" s="26"/>
      <c r="F400" s="26"/>
    </row>
    <row r="401">
      <c r="A401" s="16" t="s">
        <v>669</v>
      </c>
      <c r="B401" s="51"/>
      <c r="C401" s="16" t="s">
        <v>670</v>
      </c>
      <c r="D401" s="26">
        <f>1800*1.19</f>
        <v>2142</v>
      </c>
      <c r="E401" s="26"/>
      <c r="F401" s="26"/>
    </row>
    <row r="402">
      <c r="A402" s="16" t="s">
        <v>669</v>
      </c>
      <c r="B402" s="51"/>
      <c r="C402" s="16" t="s">
        <v>671</v>
      </c>
      <c r="D402" s="26">
        <v>2815.0</v>
      </c>
      <c r="E402" s="26"/>
      <c r="F402" s="26"/>
    </row>
    <row r="403">
      <c r="A403" s="16" t="s">
        <v>672</v>
      </c>
      <c r="B403" s="51"/>
      <c r="C403" s="16" t="s">
        <v>670</v>
      </c>
      <c r="D403" s="26">
        <f>9621/5</f>
        <v>1924.2</v>
      </c>
      <c r="E403" s="26"/>
      <c r="F403" s="26"/>
    </row>
    <row r="404">
      <c r="A404" s="16" t="s">
        <v>673</v>
      </c>
      <c r="B404" s="51"/>
      <c r="C404" s="16" t="s">
        <v>674</v>
      </c>
      <c r="D404" s="79">
        <f>9621</f>
        <v>9621</v>
      </c>
      <c r="E404" s="79"/>
      <c r="F404" s="79"/>
    </row>
    <row r="405">
      <c r="A405" s="122" t="s">
        <v>675</v>
      </c>
      <c r="B405" s="51">
        <v>242007.0</v>
      </c>
      <c r="C405" s="16" t="s">
        <v>425</v>
      </c>
      <c r="D405" s="26">
        <f t="shared" ref="D405:D406" si="12">6290*1.19</f>
        <v>7485.1</v>
      </c>
      <c r="E405" s="26"/>
      <c r="F405" s="26"/>
    </row>
    <row r="406">
      <c r="A406" s="122" t="s">
        <v>677</v>
      </c>
      <c r="B406" s="51">
        <v>242006.0</v>
      </c>
      <c r="C406" s="16" t="s">
        <v>425</v>
      </c>
      <c r="D406" s="26">
        <f t="shared" si="12"/>
        <v>7485.1</v>
      </c>
      <c r="E406" s="26"/>
      <c r="F406" s="26"/>
    </row>
    <row r="407">
      <c r="A407" s="16" t="s">
        <v>678</v>
      </c>
      <c r="B407" s="51"/>
      <c r="C407" s="16" t="s">
        <v>588</v>
      </c>
      <c r="D407" s="26">
        <v>1700.0</v>
      </c>
      <c r="E407" s="26"/>
      <c r="F407" s="26"/>
    </row>
    <row r="408">
      <c r="A408" s="119" t="s">
        <v>679</v>
      </c>
      <c r="B408" s="51" t="s">
        <v>680</v>
      </c>
      <c r="C408" s="16" t="s">
        <v>671</v>
      </c>
      <c r="D408" s="521">
        <v>3000.0</v>
      </c>
      <c r="E408" s="521"/>
      <c r="F408" s="521"/>
    </row>
    <row r="409">
      <c r="A409" s="122" t="s">
        <v>681</v>
      </c>
      <c r="B409" s="51">
        <v>241025.0</v>
      </c>
      <c r="C409" s="16" t="s">
        <v>425</v>
      </c>
      <c r="D409" s="26">
        <f>1416*1.19</f>
        <v>1685.04</v>
      </c>
      <c r="E409" s="26"/>
      <c r="F409" s="26"/>
    </row>
    <row r="410">
      <c r="A410" s="16" t="s">
        <v>682</v>
      </c>
      <c r="B410" s="49"/>
      <c r="C410" s="20" t="s">
        <v>683</v>
      </c>
      <c r="D410" s="79">
        <v>3958.0</v>
      </c>
      <c r="E410" s="79"/>
      <c r="F410" s="79"/>
    </row>
    <row r="411">
      <c r="A411" s="16" t="s">
        <v>684</v>
      </c>
      <c r="B411" s="49"/>
      <c r="C411" s="20" t="s">
        <v>683</v>
      </c>
      <c r="D411" s="79">
        <v>22372.0</v>
      </c>
      <c r="E411" s="79"/>
      <c r="F411" s="79"/>
    </row>
    <row r="412">
      <c r="A412" s="52" t="s">
        <v>685</v>
      </c>
      <c r="B412" s="51"/>
      <c r="C412" s="20" t="s">
        <v>563</v>
      </c>
      <c r="D412" s="26">
        <v>2000.0</v>
      </c>
      <c r="E412" s="26"/>
      <c r="F412" s="26"/>
    </row>
    <row r="413">
      <c r="A413" s="122" t="s">
        <v>686</v>
      </c>
      <c r="B413" s="51">
        <v>241026.0</v>
      </c>
      <c r="C413" s="16" t="s">
        <v>425</v>
      </c>
      <c r="D413" s="26">
        <f>1416*1.19</f>
        <v>1685.04</v>
      </c>
      <c r="E413" s="26"/>
      <c r="F413" s="26"/>
    </row>
    <row r="414">
      <c r="A414" s="16" t="s">
        <v>688</v>
      </c>
      <c r="B414" s="49" t="s">
        <v>689</v>
      </c>
      <c r="C414" s="16" t="s">
        <v>690</v>
      </c>
      <c r="D414" s="26">
        <v>11213.0</v>
      </c>
      <c r="E414" s="26"/>
      <c r="F414" s="26"/>
    </row>
    <row r="415">
      <c r="A415" s="52" t="s">
        <v>691</v>
      </c>
      <c r="B415" s="51"/>
      <c r="C415" s="20" t="s">
        <v>692</v>
      </c>
      <c r="D415" s="26">
        <v>3900.0</v>
      </c>
      <c r="E415" s="26"/>
      <c r="F415" s="26"/>
    </row>
    <row r="416">
      <c r="A416" s="122" t="s">
        <v>693</v>
      </c>
      <c r="B416" s="51"/>
      <c r="C416" s="16" t="s">
        <v>425</v>
      </c>
      <c r="D416" s="26">
        <f>6290*1.19</f>
        <v>7485.1</v>
      </c>
      <c r="E416" s="26"/>
      <c r="F416" s="26"/>
    </row>
    <row r="417">
      <c r="A417" s="16" t="s">
        <v>694</v>
      </c>
      <c r="B417" s="51" t="s">
        <v>3375</v>
      </c>
      <c r="C417" s="20" t="s">
        <v>3376</v>
      </c>
      <c r="D417" s="26">
        <v>42000.0</v>
      </c>
      <c r="E417" s="26"/>
      <c r="F417" s="26"/>
    </row>
    <row r="418">
      <c r="A418" s="52" t="s">
        <v>697</v>
      </c>
      <c r="B418" s="126"/>
      <c r="C418" s="20" t="s">
        <v>3376</v>
      </c>
      <c r="D418" s="26">
        <f>36900/144</f>
        <v>256.25</v>
      </c>
      <c r="E418" s="26"/>
      <c r="F418" s="26"/>
    </row>
    <row r="419">
      <c r="A419" s="16" t="s">
        <v>698</v>
      </c>
      <c r="B419" s="51"/>
      <c r="C419" s="16" t="s">
        <v>699</v>
      </c>
      <c r="D419" s="26">
        <f>22950*1.19/20</f>
        <v>1365.525</v>
      </c>
      <c r="E419" s="26"/>
      <c r="F419" s="26"/>
    </row>
    <row r="420">
      <c r="A420" s="16" t="s">
        <v>700</v>
      </c>
      <c r="B420" s="178"/>
      <c r="C420" s="16" t="s">
        <v>585</v>
      </c>
      <c r="D420" s="26">
        <f>9200/18</f>
        <v>511.1111111</v>
      </c>
      <c r="E420" s="26"/>
      <c r="F420" s="26"/>
    </row>
    <row r="421">
      <c r="A421" s="16" t="s">
        <v>701</v>
      </c>
      <c r="B421" s="178"/>
      <c r="C421" s="16" t="s">
        <v>585</v>
      </c>
      <c r="D421" s="26">
        <v>9200.0</v>
      </c>
      <c r="E421" s="26"/>
      <c r="F421" s="26"/>
    </row>
    <row r="422">
      <c r="A422" s="16" t="s">
        <v>702</v>
      </c>
      <c r="B422" s="51"/>
      <c r="C422" s="16" t="s">
        <v>585</v>
      </c>
      <c r="D422" s="26">
        <f>15000/18</f>
        <v>833.3333333</v>
      </c>
      <c r="E422" s="26"/>
      <c r="F422" s="26"/>
    </row>
    <row r="423">
      <c r="A423" s="16" t="s">
        <v>703</v>
      </c>
      <c r="B423" s="51" t="s">
        <v>704</v>
      </c>
      <c r="C423" s="16" t="s">
        <v>699</v>
      </c>
      <c r="D423" s="26">
        <f>(81855*1.19)/120</f>
        <v>811.72875</v>
      </c>
      <c r="E423" s="26"/>
      <c r="F423" s="26"/>
    </row>
    <row r="424">
      <c r="A424" s="16" t="s">
        <v>705</v>
      </c>
      <c r="B424" s="51"/>
      <c r="C424" s="16" t="s">
        <v>699</v>
      </c>
      <c r="D424" s="26">
        <f>22950*1.19/20</f>
        <v>1365.525</v>
      </c>
      <c r="E424" s="26"/>
      <c r="F424" s="26"/>
    </row>
    <row r="425">
      <c r="A425" s="16" t="s">
        <v>706</v>
      </c>
      <c r="B425" s="178"/>
      <c r="C425" s="16" t="s">
        <v>585</v>
      </c>
      <c r="D425" s="26">
        <v>990.0</v>
      </c>
      <c r="E425" s="26"/>
      <c r="F425" s="26"/>
    </row>
    <row r="426">
      <c r="A426" s="16" t="s">
        <v>707</v>
      </c>
      <c r="B426" s="178"/>
      <c r="C426" s="16" t="s">
        <v>585</v>
      </c>
      <c r="D426" s="26">
        <f t="shared" ref="D426:D429" si="13">54600/60</f>
        <v>910</v>
      </c>
      <c r="E426" s="26"/>
      <c r="F426" s="26"/>
    </row>
    <row r="427">
      <c r="A427" s="16" t="s">
        <v>708</v>
      </c>
      <c r="B427" s="178"/>
      <c r="C427" s="16" t="s">
        <v>585</v>
      </c>
      <c r="D427" s="26">
        <f t="shared" si="13"/>
        <v>910</v>
      </c>
      <c r="E427" s="26"/>
      <c r="F427" s="26"/>
    </row>
    <row r="428">
      <c r="A428" s="16" t="s">
        <v>709</v>
      </c>
      <c r="B428" s="178"/>
      <c r="C428" s="16" t="s">
        <v>585</v>
      </c>
      <c r="D428" s="26">
        <f t="shared" si="13"/>
        <v>910</v>
      </c>
      <c r="E428" s="26"/>
      <c r="F428" s="26"/>
    </row>
    <row r="429">
      <c r="A429" s="16" t="s">
        <v>710</v>
      </c>
      <c r="B429" s="178"/>
      <c r="C429" s="16" t="s">
        <v>585</v>
      </c>
      <c r="D429" s="26">
        <f t="shared" si="13"/>
        <v>910</v>
      </c>
      <c r="E429" s="26"/>
      <c r="F429" s="26"/>
    </row>
    <row r="430">
      <c r="A430" s="16" t="s">
        <v>711</v>
      </c>
      <c r="B430" s="178"/>
      <c r="C430" s="16" t="s">
        <v>585</v>
      </c>
      <c r="D430" s="26">
        <v>15900.0</v>
      </c>
      <c r="E430" s="26"/>
      <c r="F430" s="26"/>
    </row>
    <row r="431">
      <c r="A431" s="16" t="s">
        <v>712</v>
      </c>
      <c r="B431" s="178"/>
      <c r="C431" s="16" t="s">
        <v>585</v>
      </c>
      <c r="D431" s="26">
        <v>15900.0</v>
      </c>
      <c r="E431" s="26"/>
      <c r="F431" s="26"/>
    </row>
    <row r="432">
      <c r="A432" s="16" t="s">
        <v>713</v>
      </c>
      <c r="B432" s="51"/>
      <c r="C432" s="16" t="s">
        <v>585</v>
      </c>
      <c r="D432" s="26">
        <f>22000/18</f>
        <v>1222.222222</v>
      </c>
      <c r="E432" s="26"/>
      <c r="F432" s="26"/>
    </row>
    <row r="433">
      <c r="A433" s="16" t="s">
        <v>714</v>
      </c>
      <c r="B433" s="178"/>
      <c r="C433" s="16" t="s">
        <v>585</v>
      </c>
      <c r="D433" s="26">
        <v>14800.0</v>
      </c>
      <c r="E433" s="26"/>
      <c r="F433" s="26"/>
    </row>
    <row r="434">
      <c r="A434" s="16" t="s">
        <v>715</v>
      </c>
      <c r="B434" s="178"/>
      <c r="C434" s="16" t="s">
        <v>585</v>
      </c>
      <c r="D434" s="26">
        <v>883.0</v>
      </c>
      <c r="E434" s="26"/>
      <c r="F434" s="26"/>
    </row>
    <row r="435">
      <c r="A435" s="16" t="s">
        <v>716</v>
      </c>
      <c r="B435" s="178"/>
      <c r="C435" s="16" t="s">
        <v>585</v>
      </c>
      <c r="D435" s="26">
        <f>108000/120</f>
        <v>900</v>
      </c>
      <c r="E435" s="26"/>
      <c r="F435" s="26"/>
    </row>
    <row r="436">
      <c r="A436" s="16" t="s">
        <v>720</v>
      </c>
      <c r="B436" s="51"/>
      <c r="C436" s="16" t="s">
        <v>585</v>
      </c>
      <c r="D436" s="26">
        <f>26800/30</f>
        <v>893.3333333</v>
      </c>
      <c r="E436" s="26"/>
      <c r="F436" s="26"/>
    </row>
    <row r="437">
      <c r="A437" s="16" t="s">
        <v>721</v>
      </c>
      <c r="B437" s="51"/>
      <c r="C437" s="16" t="s">
        <v>699</v>
      </c>
      <c r="D437" s="26">
        <f>22950*1.19/20</f>
        <v>1365.525</v>
      </c>
      <c r="E437" s="26"/>
      <c r="F437" s="26"/>
    </row>
    <row r="438">
      <c r="A438" s="16" t="s">
        <v>722</v>
      </c>
      <c r="B438" s="178"/>
      <c r="C438" s="16" t="s">
        <v>585</v>
      </c>
      <c r="D438" s="26">
        <v>24100.0</v>
      </c>
      <c r="E438" s="26"/>
      <c r="F438" s="26"/>
    </row>
    <row r="439">
      <c r="A439" s="16" t="s">
        <v>723</v>
      </c>
      <c r="B439" s="51"/>
      <c r="C439" s="16" t="s">
        <v>585</v>
      </c>
      <c r="D439" s="26">
        <f>36000/75</f>
        <v>480</v>
      </c>
      <c r="E439" s="26"/>
      <c r="F439" s="26"/>
    </row>
    <row r="440">
      <c r="A440" s="16" t="s">
        <v>724</v>
      </c>
      <c r="B440" s="51"/>
      <c r="C440" s="16" t="s">
        <v>699</v>
      </c>
      <c r="D440" s="26">
        <f>22950*1.19/20</f>
        <v>1365.525</v>
      </c>
      <c r="E440" s="26"/>
      <c r="F440" s="26"/>
    </row>
    <row r="441">
      <c r="A441" s="16" t="s">
        <v>725</v>
      </c>
      <c r="B441" s="51"/>
      <c r="C441" s="16" t="s">
        <v>726</v>
      </c>
      <c r="D441" s="26">
        <f>4563*1.19</f>
        <v>5429.97</v>
      </c>
      <c r="E441" s="26"/>
      <c r="F441" s="26"/>
    </row>
    <row r="442">
      <c r="A442" s="16" t="s">
        <v>727</v>
      </c>
      <c r="B442" s="51"/>
      <c r="C442" s="16" t="s">
        <v>726</v>
      </c>
      <c r="D442" s="26">
        <f>7677*1.19</f>
        <v>9135.63</v>
      </c>
      <c r="E442" s="26"/>
      <c r="F442" s="26"/>
    </row>
    <row r="443">
      <c r="A443" s="16" t="s">
        <v>728</v>
      </c>
      <c r="B443" s="51" t="s">
        <v>3377</v>
      </c>
      <c r="C443" s="16" t="s">
        <v>731</v>
      </c>
      <c r="D443" s="26">
        <v>160000.0</v>
      </c>
      <c r="E443" s="26"/>
      <c r="F443" s="26"/>
    </row>
    <row r="444">
      <c r="A444" s="16" t="s">
        <v>732</v>
      </c>
      <c r="B444" s="51" t="s">
        <v>3377</v>
      </c>
      <c r="C444" s="16" t="s">
        <v>731</v>
      </c>
      <c r="D444" s="26">
        <v>160000.0</v>
      </c>
      <c r="E444" s="26"/>
      <c r="F444" s="26"/>
    </row>
    <row r="445">
      <c r="A445" s="16" t="s">
        <v>733</v>
      </c>
      <c r="B445" s="51" t="s">
        <v>3377</v>
      </c>
      <c r="C445" s="16" t="s">
        <v>731</v>
      </c>
      <c r="D445" s="79">
        <v>160000.0</v>
      </c>
      <c r="E445" s="79"/>
      <c r="F445" s="79"/>
    </row>
    <row r="446">
      <c r="A446" s="16" t="s">
        <v>734</v>
      </c>
      <c r="B446" s="51" t="s">
        <v>3377</v>
      </c>
      <c r="C446" s="16" t="s">
        <v>731</v>
      </c>
      <c r="D446" s="79">
        <v>160000.0</v>
      </c>
      <c r="E446" s="79"/>
      <c r="F446" s="79"/>
    </row>
    <row r="447">
      <c r="A447" s="16" t="s">
        <v>735</v>
      </c>
      <c r="B447" s="51"/>
      <c r="C447" s="16" t="s">
        <v>731</v>
      </c>
      <c r="D447" s="79">
        <f t="shared" ref="D447:D450" si="14">86000</f>
        <v>86000</v>
      </c>
      <c r="E447" s="79"/>
      <c r="F447" s="79"/>
    </row>
    <row r="448">
      <c r="A448" s="16" t="s">
        <v>736</v>
      </c>
      <c r="B448" s="51"/>
      <c r="C448" s="16" t="s">
        <v>731</v>
      </c>
      <c r="D448" s="79">
        <f t="shared" si="14"/>
        <v>86000</v>
      </c>
      <c r="E448" s="79"/>
      <c r="F448" s="79"/>
    </row>
    <row r="449">
      <c r="A449" s="16" t="s">
        <v>738</v>
      </c>
      <c r="B449" s="51"/>
      <c r="C449" s="16" t="s">
        <v>731</v>
      </c>
      <c r="D449" s="79">
        <f t="shared" si="14"/>
        <v>86000</v>
      </c>
      <c r="E449" s="79"/>
      <c r="F449" s="79"/>
    </row>
    <row r="450">
      <c r="A450" s="16" t="s">
        <v>739</v>
      </c>
      <c r="B450" s="51"/>
      <c r="C450" s="16" t="s">
        <v>731</v>
      </c>
      <c r="D450" s="79">
        <f t="shared" si="14"/>
        <v>86000</v>
      </c>
      <c r="E450" s="79"/>
      <c r="F450" s="79"/>
    </row>
    <row r="451">
      <c r="A451" s="16" t="s">
        <v>740</v>
      </c>
      <c r="B451" s="51"/>
      <c r="C451" s="16" t="s">
        <v>470</v>
      </c>
      <c r="D451" s="26">
        <v>46320.0</v>
      </c>
      <c r="E451" s="26"/>
      <c r="F451" s="26"/>
    </row>
    <row r="452">
      <c r="A452" s="16" t="s">
        <v>741</v>
      </c>
      <c r="B452" s="51"/>
      <c r="C452" s="16" t="s">
        <v>470</v>
      </c>
      <c r="D452" s="26">
        <f>41690/10</f>
        <v>4169</v>
      </c>
      <c r="E452" s="26"/>
      <c r="F452" s="26"/>
    </row>
    <row r="453">
      <c r="A453" s="16" t="s">
        <v>742</v>
      </c>
      <c r="B453" s="51"/>
      <c r="C453" s="16" t="s">
        <v>630</v>
      </c>
      <c r="D453" s="26">
        <v>41000.0</v>
      </c>
      <c r="E453" s="26"/>
      <c r="F453" s="26"/>
    </row>
    <row r="454">
      <c r="A454" s="16" t="s">
        <v>743</v>
      </c>
      <c r="B454" s="49"/>
      <c r="C454" s="16" t="s">
        <v>744</v>
      </c>
      <c r="D454" s="79">
        <f>38000*1.19</f>
        <v>45220</v>
      </c>
      <c r="E454" s="79"/>
      <c r="F454" s="79"/>
    </row>
    <row r="455">
      <c r="A455" s="16" t="s">
        <v>745</v>
      </c>
      <c r="B455" s="49"/>
      <c r="C455" s="16" t="s">
        <v>16</v>
      </c>
      <c r="D455" s="26">
        <v>22000.0</v>
      </c>
      <c r="E455" s="26"/>
      <c r="F455" s="26"/>
    </row>
    <row r="456">
      <c r="A456" s="59" t="s">
        <v>746</v>
      </c>
      <c r="B456" s="134"/>
      <c r="C456" s="20" t="s">
        <v>747</v>
      </c>
      <c r="D456" s="79">
        <f>360000/54</f>
        <v>6666.666667</v>
      </c>
      <c r="E456" s="79"/>
      <c r="F456" s="79"/>
    </row>
    <row r="457">
      <c r="A457" s="122" t="s">
        <v>748</v>
      </c>
      <c r="B457" s="49"/>
      <c r="C457" s="16" t="s">
        <v>39</v>
      </c>
      <c r="D457" s="26">
        <f>10000/10</f>
        <v>1000</v>
      </c>
      <c r="E457" s="26"/>
      <c r="F457" s="26"/>
    </row>
    <row r="458">
      <c r="A458" s="122" t="s">
        <v>749</v>
      </c>
      <c r="B458" s="49"/>
      <c r="C458" s="16" t="s">
        <v>39</v>
      </c>
      <c r="D458" s="26">
        <f>5000/10</f>
        <v>500</v>
      </c>
      <c r="E458" s="26"/>
      <c r="F458" s="26"/>
    </row>
    <row r="459">
      <c r="A459" s="16" t="s">
        <v>750</v>
      </c>
      <c r="B459" s="51" t="s">
        <v>751</v>
      </c>
      <c r="C459" s="16" t="s">
        <v>752</v>
      </c>
      <c r="D459" s="26">
        <v>10500.0</v>
      </c>
      <c r="E459" s="26"/>
      <c r="F459" s="26"/>
    </row>
    <row r="460">
      <c r="A460" s="16" t="s">
        <v>753</v>
      </c>
      <c r="B460" s="51"/>
      <c r="C460" s="20" t="s">
        <v>610</v>
      </c>
      <c r="D460" s="26">
        <v>67200.0</v>
      </c>
      <c r="E460" s="26"/>
      <c r="F460" s="26"/>
    </row>
    <row r="461">
      <c r="A461" s="52" t="s">
        <v>754</v>
      </c>
      <c r="B461" s="49"/>
      <c r="C461" s="20" t="s">
        <v>755</v>
      </c>
      <c r="D461" s="26">
        <v>3700.0</v>
      </c>
      <c r="E461" s="26"/>
      <c r="F461" s="26"/>
    </row>
    <row r="462">
      <c r="A462" s="16" t="s">
        <v>756</v>
      </c>
      <c r="B462" s="49"/>
      <c r="C462" s="20" t="s">
        <v>84</v>
      </c>
      <c r="D462" s="26">
        <v>9150.0</v>
      </c>
      <c r="E462" s="26"/>
      <c r="F462" s="26"/>
    </row>
    <row r="463">
      <c r="A463" s="16" t="s">
        <v>757</v>
      </c>
      <c r="B463" s="49"/>
      <c r="C463" s="16" t="s">
        <v>16</v>
      </c>
      <c r="D463" s="26">
        <v>6641.0</v>
      </c>
      <c r="E463" s="26"/>
      <c r="F463" s="26"/>
    </row>
    <row r="464">
      <c r="A464" s="52" t="s">
        <v>758</v>
      </c>
      <c r="B464" s="49"/>
      <c r="C464" s="20" t="s">
        <v>377</v>
      </c>
      <c r="D464" s="26">
        <f>26900*1.19</f>
        <v>32011</v>
      </c>
      <c r="E464" s="26"/>
      <c r="F464" s="26"/>
    </row>
    <row r="465">
      <c r="A465" s="42" t="s">
        <v>759</v>
      </c>
      <c r="B465" s="51"/>
      <c r="C465" s="20" t="s">
        <v>760</v>
      </c>
      <c r="D465" s="26"/>
      <c r="E465" s="26"/>
      <c r="F465" s="26"/>
    </row>
    <row r="466">
      <c r="A466" s="59" t="s">
        <v>761</v>
      </c>
      <c r="B466" s="97" t="s">
        <v>762</v>
      </c>
      <c r="C466" s="20" t="s">
        <v>485</v>
      </c>
      <c r="D466" s="523">
        <f>51658*1.19</f>
        <v>61473.02</v>
      </c>
      <c r="E466" s="523"/>
      <c r="F466" s="523"/>
    </row>
    <row r="467">
      <c r="A467" s="16" t="s">
        <v>763</v>
      </c>
      <c r="B467" s="49"/>
      <c r="C467" s="20" t="s">
        <v>254</v>
      </c>
      <c r="D467" s="26">
        <v>47100.0</v>
      </c>
      <c r="E467" s="26"/>
      <c r="F467" s="26"/>
    </row>
    <row r="468">
      <c r="A468" s="16" t="s">
        <v>764</v>
      </c>
      <c r="B468" s="166"/>
      <c r="C468" s="20" t="s">
        <v>254</v>
      </c>
      <c r="D468" s="79">
        <v>39276.0</v>
      </c>
      <c r="E468" s="79"/>
      <c r="F468" s="79"/>
    </row>
    <row r="469">
      <c r="A469" s="16" t="s">
        <v>765</v>
      </c>
      <c r="B469" s="51"/>
      <c r="C469" s="20" t="s">
        <v>78</v>
      </c>
      <c r="D469" s="79">
        <v>72817.0</v>
      </c>
      <c r="E469" s="79"/>
      <c r="F469" s="79"/>
    </row>
    <row r="470">
      <c r="A470" s="16" t="s">
        <v>766</v>
      </c>
      <c r="B470" s="51"/>
      <c r="C470" s="16" t="s">
        <v>767</v>
      </c>
      <c r="D470" s="26">
        <v>1500000.0</v>
      </c>
      <c r="E470" s="26"/>
      <c r="F470" s="26"/>
    </row>
    <row r="471">
      <c r="A471" s="52" t="s">
        <v>768</v>
      </c>
      <c r="B471" s="167"/>
      <c r="C471" s="20" t="s">
        <v>14</v>
      </c>
      <c r="D471" s="79">
        <v>13351.0</v>
      </c>
      <c r="E471" s="79"/>
      <c r="F471" s="79"/>
    </row>
    <row r="472">
      <c r="A472" s="52" t="s">
        <v>769</v>
      </c>
      <c r="B472" s="51"/>
      <c r="C472" s="20" t="s">
        <v>14</v>
      </c>
      <c r="D472" s="79">
        <v>171200.0</v>
      </c>
      <c r="E472" s="79"/>
      <c r="F472" s="79"/>
    </row>
    <row r="473">
      <c r="A473" s="52" t="s">
        <v>770</v>
      </c>
      <c r="B473" s="51" t="s">
        <v>771</v>
      </c>
      <c r="C473" s="16" t="s">
        <v>772</v>
      </c>
      <c r="D473" s="26">
        <f>9000*1.19</f>
        <v>10710</v>
      </c>
      <c r="E473" s="26"/>
      <c r="F473" s="26"/>
    </row>
    <row r="474">
      <c r="A474" s="16" t="s">
        <v>773</v>
      </c>
      <c r="B474" s="49"/>
      <c r="C474" s="20" t="s">
        <v>610</v>
      </c>
      <c r="D474" s="26">
        <v>33000.0</v>
      </c>
      <c r="E474" s="26"/>
      <c r="F474" s="26"/>
    </row>
    <row r="475">
      <c r="A475" s="16" t="s">
        <v>774</v>
      </c>
      <c r="B475" s="49"/>
      <c r="C475" s="20" t="s">
        <v>610</v>
      </c>
      <c r="D475" s="26">
        <v>33000.0</v>
      </c>
      <c r="E475" s="26"/>
      <c r="F475" s="26"/>
    </row>
    <row r="476">
      <c r="A476" s="16" t="s">
        <v>775</v>
      </c>
      <c r="B476" s="49"/>
      <c r="C476" s="20" t="s">
        <v>610</v>
      </c>
      <c r="D476" s="26">
        <v>33000.0</v>
      </c>
      <c r="E476" s="26"/>
      <c r="F476" s="26"/>
    </row>
    <row r="477">
      <c r="A477" s="40" t="s">
        <v>776</v>
      </c>
      <c r="B477" s="49"/>
      <c r="C477" s="20" t="s">
        <v>610</v>
      </c>
      <c r="D477" s="26">
        <v>33000.0</v>
      </c>
      <c r="E477" s="26"/>
      <c r="F477" s="26"/>
    </row>
    <row r="478">
      <c r="A478" s="40" t="s">
        <v>777</v>
      </c>
      <c r="B478" s="49"/>
      <c r="C478" s="20" t="s">
        <v>610</v>
      </c>
      <c r="D478" s="26">
        <v>33000.0</v>
      </c>
      <c r="E478" s="26"/>
      <c r="F478" s="26"/>
    </row>
    <row r="479">
      <c r="A479" s="16" t="s">
        <v>778</v>
      </c>
      <c r="B479" s="49"/>
      <c r="C479" s="20" t="s">
        <v>610</v>
      </c>
      <c r="D479" s="26">
        <v>33000.0</v>
      </c>
      <c r="E479" s="26"/>
      <c r="F479" s="26"/>
    </row>
    <row r="480">
      <c r="A480" s="40" t="s">
        <v>779</v>
      </c>
      <c r="B480" s="49"/>
      <c r="C480" s="20" t="s">
        <v>610</v>
      </c>
      <c r="D480" s="26">
        <v>33000.0</v>
      </c>
      <c r="E480" s="26"/>
      <c r="F480" s="26"/>
    </row>
    <row r="481">
      <c r="A481" s="16" t="s">
        <v>780</v>
      </c>
      <c r="B481" s="49"/>
      <c r="C481" s="20" t="s">
        <v>610</v>
      </c>
      <c r="D481" s="26">
        <v>33000.0</v>
      </c>
      <c r="E481" s="26"/>
      <c r="F481" s="26"/>
    </row>
    <row r="482">
      <c r="A482" s="16" t="s">
        <v>781</v>
      </c>
      <c r="B482" s="54" t="s">
        <v>782</v>
      </c>
      <c r="C482" s="16" t="s">
        <v>783</v>
      </c>
      <c r="D482" s="26">
        <v>15500.0</v>
      </c>
      <c r="E482" s="26"/>
      <c r="F482" s="26"/>
    </row>
    <row r="483">
      <c r="A483" s="16" t="s">
        <v>784</v>
      </c>
      <c r="B483" s="54" t="s">
        <v>782</v>
      </c>
      <c r="C483" s="16" t="s">
        <v>783</v>
      </c>
      <c r="D483" s="26">
        <v>15500.0</v>
      </c>
      <c r="E483" s="26"/>
      <c r="F483" s="26"/>
    </row>
    <row r="484">
      <c r="A484" s="16" t="s">
        <v>785</v>
      </c>
      <c r="B484" s="54" t="s">
        <v>782</v>
      </c>
      <c r="C484" s="16" t="s">
        <v>783</v>
      </c>
      <c r="D484" s="26">
        <v>15500.0</v>
      </c>
      <c r="E484" s="26"/>
      <c r="F484" s="26"/>
    </row>
    <row r="485">
      <c r="A485" s="16" t="s">
        <v>786</v>
      </c>
      <c r="B485" s="54" t="s">
        <v>782</v>
      </c>
      <c r="C485" s="16" t="s">
        <v>783</v>
      </c>
      <c r="D485" s="26">
        <v>15500.0</v>
      </c>
      <c r="E485" s="26"/>
      <c r="F485" s="26"/>
    </row>
    <row r="486">
      <c r="A486" s="16" t="s">
        <v>787</v>
      </c>
      <c r="B486" s="54" t="s">
        <v>782</v>
      </c>
      <c r="C486" s="16" t="s">
        <v>783</v>
      </c>
      <c r="D486" s="26">
        <v>15500.0</v>
      </c>
      <c r="E486" s="26"/>
      <c r="F486" s="26"/>
    </row>
    <row r="487">
      <c r="A487" s="16" t="s">
        <v>788</v>
      </c>
      <c r="B487" s="54" t="s">
        <v>782</v>
      </c>
      <c r="C487" s="16" t="s">
        <v>783</v>
      </c>
      <c r="D487" s="26">
        <v>15500.0</v>
      </c>
      <c r="E487" s="26"/>
      <c r="F487" s="26"/>
    </row>
    <row r="488">
      <c r="A488" s="16" t="s">
        <v>789</v>
      </c>
      <c r="B488" s="54" t="s">
        <v>782</v>
      </c>
      <c r="C488" s="16" t="s">
        <v>783</v>
      </c>
      <c r="D488" s="26">
        <v>15500.0</v>
      </c>
      <c r="E488" s="26"/>
      <c r="F488" s="26"/>
    </row>
    <row r="489">
      <c r="A489" s="16" t="s">
        <v>790</v>
      </c>
      <c r="B489" s="54" t="s">
        <v>782</v>
      </c>
      <c r="C489" s="16" t="s">
        <v>783</v>
      </c>
      <c r="D489" s="26">
        <v>15500.0</v>
      </c>
      <c r="E489" s="26"/>
      <c r="F489" s="26"/>
    </row>
    <row r="490">
      <c r="A490" s="16" t="s">
        <v>791</v>
      </c>
      <c r="B490" s="51"/>
      <c r="C490" s="16" t="s">
        <v>792</v>
      </c>
      <c r="D490" s="26">
        <v>190000.0</v>
      </c>
      <c r="E490" s="26"/>
      <c r="F490" s="26"/>
    </row>
    <row r="491">
      <c r="A491" s="122" t="s">
        <v>793</v>
      </c>
      <c r="B491" s="51"/>
      <c r="C491" s="16" t="s">
        <v>16</v>
      </c>
      <c r="D491" s="521">
        <v>289000.0</v>
      </c>
      <c r="E491" s="521"/>
      <c r="F491" s="521"/>
    </row>
    <row r="492">
      <c r="A492" s="122" t="s">
        <v>794</v>
      </c>
      <c r="B492" s="134"/>
      <c r="C492" s="16" t="s">
        <v>16</v>
      </c>
      <c r="D492" s="527">
        <v>10277.0</v>
      </c>
      <c r="E492" s="527"/>
      <c r="F492" s="527"/>
    </row>
    <row r="493">
      <c r="A493" s="122" t="s">
        <v>795</v>
      </c>
      <c r="B493" s="51">
        <v>241099.0</v>
      </c>
      <c r="C493" s="16" t="s">
        <v>425</v>
      </c>
      <c r="D493" s="26">
        <f>14156*1.19</f>
        <v>16845.64</v>
      </c>
      <c r="E493" s="26"/>
      <c r="F493" s="26"/>
    </row>
    <row r="494">
      <c r="A494" s="42" t="s">
        <v>797</v>
      </c>
      <c r="B494" s="149"/>
      <c r="C494" s="16" t="s">
        <v>798</v>
      </c>
      <c r="D494" s="26">
        <v>1416.0</v>
      </c>
      <c r="E494" s="26"/>
      <c r="F494" s="26"/>
    </row>
    <row r="495">
      <c r="A495" s="42" t="s">
        <v>799</v>
      </c>
      <c r="B495" s="42" t="s">
        <v>328</v>
      </c>
      <c r="C495" s="16" t="s">
        <v>798</v>
      </c>
      <c r="D495" s="26">
        <v>1443.0</v>
      </c>
      <c r="E495" s="26"/>
      <c r="F495" s="26"/>
    </row>
    <row r="496">
      <c r="A496" s="16" t="s">
        <v>800</v>
      </c>
      <c r="B496" s="49"/>
      <c r="C496" s="20" t="s">
        <v>57</v>
      </c>
      <c r="D496" s="26">
        <v>48000.0</v>
      </c>
      <c r="E496" s="26"/>
      <c r="F496" s="26"/>
    </row>
    <row r="497">
      <c r="A497" s="16" t="s">
        <v>801</v>
      </c>
      <c r="B497" s="51"/>
      <c r="C497" s="20" t="s">
        <v>57</v>
      </c>
      <c r="D497" s="26">
        <f>325*3</f>
        <v>975</v>
      </c>
      <c r="E497" s="26"/>
      <c r="F497" s="26"/>
    </row>
    <row r="498">
      <c r="A498" s="16" t="s">
        <v>802</v>
      </c>
      <c r="B498" s="51"/>
      <c r="C498" s="16" t="s">
        <v>580</v>
      </c>
      <c r="D498" s="518">
        <v>4904.4</v>
      </c>
      <c r="E498" s="518"/>
      <c r="F498" s="518"/>
    </row>
    <row r="499">
      <c r="A499" s="16" t="s">
        <v>803</v>
      </c>
      <c r="B499" s="51"/>
      <c r="C499" s="16" t="s">
        <v>16</v>
      </c>
      <c r="D499" s="26">
        <v>1500.0</v>
      </c>
      <c r="E499" s="26"/>
      <c r="F499" s="26"/>
    </row>
    <row r="500">
      <c r="A500" s="16" t="s">
        <v>804</v>
      </c>
      <c r="B500" s="49"/>
      <c r="C500" s="16" t="s">
        <v>580</v>
      </c>
      <c r="D500" s="520">
        <v>75000.0</v>
      </c>
      <c r="E500" s="520"/>
      <c r="F500" s="520"/>
    </row>
    <row r="501">
      <c r="A501" s="16" t="s">
        <v>805</v>
      </c>
      <c r="B501" s="49"/>
      <c r="C501" s="16" t="s">
        <v>39</v>
      </c>
      <c r="D501" s="26">
        <v>5420.0</v>
      </c>
      <c r="E501" s="26"/>
      <c r="F501" s="26"/>
    </row>
    <row r="502">
      <c r="A502" s="16" t="s">
        <v>806</v>
      </c>
      <c r="B502" s="49"/>
      <c r="C502" s="16" t="s">
        <v>39</v>
      </c>
      <c r="D502" s="520">
        <v>5500.0</v>
      </c>
      <c r="E502" s="520"/>
      <c r="F502" s="520"/>
    </row>
    <row r="503">
      <c r="A503" s="16" t="s">
        <v>807</v>
      </c>
      <c r="B503" s="49"/>
      <c r="C503" s="16" t="s">
        <v>88</v>
      </c>
      <c r="D503" s="520">
        <v>26616.0</v>
      </c>
      <c r="E503" s="520"/>
      <c r="F503" s="520"/>
    </row>
    <row r="504">
      <c r="A504" s="156" t="s">
        <v>808</v>
      </c>
      <c r="B504" s="42" t="s">
        <v>809</v>
      </c>
      <c r="C504" s="20" t="s">
        <v>810</v>
      </c>
      <c r="D504" s="26">
        <v>2050.0</v>
      </c>
      <c r="E504" s="26"/>
      <c r="F504" s="26"/>
    </row>
    <row r="505">
      <c r="A505" s="52" t="s">
        <v>812</v>
      </c>
      <c r="B505" s="51"/>
      <c r="C505" s="16" t="s">
        <v>813</v>
      </c>
      <c r="D505" s="26">
        <v>3500.0</v>
      </c>
      <c r="E505" s="26"/>
      <c r="F505" s="26"/>
    </row>
    <row r="506">
      <c r="A506" s="40" t="s">
        <v>814</v>
      </c>
      <c r="B506" s="51"/>
      <c r="C506" s="16" t="s">
        <v>815</v>
      </c>
      <c r="D506" s="520">
        <f>4076*1.19</f>
        <v>4850.44</v>
      </c>
      <c r="E506" s="520"/>
      <c r="F506" s="520"/>
    </row>
    <row r="507">
      <c r="A507" s="16" t="s">
        <v>816</v>
      </c>
      <c r="B507" s="51"/>
      <c r="C507" s="20" t="s">
        <v>84</v>
      </c>
      <c r="D507" s="26"/>
      <c r="E507" s="26"/>
      <c r="F507" s="26"/>
    </row>
    <row r="508">
      <c r="A508" s="16" t="s">
        <v>817</v>
      </c>
      <c r="B508" s="51"/>
      <c r="C508" s="16"/>
      <c r="D508" s="26"/>
      <c r="E508" s="26"/>
      <c r="F508" s="26"/>
    </row>
    <row r="509">
      <c r="A509" s="52" t="s">
        <v>818</v>
      </c>
      <c r="B509" s="51"/>
      <c r="C509" s="20" t="s">
        <v>813</v>
      </c>
      <c r="D509" s="79">
        <v>5000.0</v>
      </c>
      <c r="E509" s="79"/>
      <c r="F509" s="79"/>
    </row>
    <row r="510">
      <c r="A510" s="16" t="s">
        <v>819</v>
      </c>
      <c r="B510" s="51"/>
      <c r="C510" s="16" t="s">
        <v>16</v>
      </c>
      <c r="D510" s="26">
        <v>13119.0</v>
      </c>
      <c r="E510" s="26"/>
      <c r="F510" s="26"/>
    </row>
    <row r="511">
      <c r="A511" s="16" t="s">
        <v>820</v>
      </c>
      <c r="B511" s="51"/>
      <c r="C511" s="16" t="s">
        <v>821</v>
      </c>
      <c r="D511" s="26">
        <f>11640*1.19</f>
        <v>13851.6</v>
      </c>
      <c r="E511" s="26"/>
      <c r="F511" s="26"/>
    </row>
    <row r="512">
      <c r="A512" s="16" t="s">
        <v>822</v>
      </c>
      <c r="B512" s="49"/>
      <c r="C512" s="20" t="s">
        <v>400</v>
      </c>
      <c r="D512" s="79"/>
      <c r="E512" s="79"/>
      <c r="F512" s="79"/>
    </row>
    <row r="513">
      <c r="A513" s="16" t="s">
        <v>823</v>
      </c>
      <c r="B513" s="51"/>
      <c r="C513" s="16" t="s">
        <v>84</v>
      </c>
      <c r="D513" s="26">
        <v>30000.0</v>
      </c>
      <c r="E513" s="26"/>
      <c r="F513" s="26"/>
    </row>
    <row r="514">
      <c r="A514" s="16" t="s">
        <v>824</v>
      </c>
      <c r="B514" s="51" t="s">
        <v>328</v>
      </c>
      <c r="C514" s="20" t="s">
        <v>318</v>
      </c>
      <c r="D514" s="26">
        <f t="shared" ref="D514:D516" si="15">13600*1.19</f>
        <v>16184</v>
      </c>
      <c r="E514" s="26"/>
      <c r="F514" s="26"/>
    </row>
    <row r="515">
      <c r="A515" s="16" t="s">
        <v>825</v>
      </c>
      <c r="B515" s="51" t="s">
        <v>328</v>
      </c>
      <c r="C515" s="20" t="s">
        <v>318</v>
      </c>
      <c r="D515" s="26">
        <f t="shared" si="15"/>
        <v>16184</v>
      </c>
      <c r="E515" s="26"/>
      <c r="F515" s="26"/>
    </row>
    <row r="516">
      <c r="A516" s="16" t="s">
        <v>826</v>
      </c>
      <c r="B516" s="528" t="s">
        <v>827</v>
      </c>
      <c r="C516" s="20" t="s">
        <v>318</v>
      </c>
      <c r="D516" s="26">
        <f t="shared" si="15"/>
        <v>16184</v>
      </c>
      <c r="E516" s="26"/>
      <c r="F516" s="26"/>
    </row>
    <row r="517">
      <c r="A517" s="16" t="s">
        <v>828</v>
      </c>
      <c r="B517" s="49"/>
      <c r="C517" s="20" t="s">
        <v>829</v>
      </c>
      <c r="D517" s="79">
        <f t="shared" ref="D517:D518" si="16">27731/25</f>
        <v>1109.24</v>
      </c>
      <c r="E517" s="79"/>
      <c r="F517" s="79"/>
    </row>
    <row r="518">
      <c r="A518" s="16" t="s">
        <v>830</v>
      </c>
      <c r="B518" s="49"/>
      <c r="C518" s="20" t="s">
        <v>829</v>
      </c>
      <c r="D518" s="79">
        <f t="shared" si="16"/>
        <v>1109.24</v>
      </c>
      <c r="E518" s="79"/>
      <c r="F518" s="79"/>
    </row>
    <row r="519">
      <c r="A519" s="16" t="s">
        <v>831</v>
      </c>
      <c r="B519" s="49"/>
      <c r="C519" s="20" t="s">
        <v>829</v>
      </c>
      <c r="D519" s="79">
        <f>23530*1.19</f>
        <v>28000.7</v>
      </c>
      <c r="E519" s="79"/>
      <c r="F519" s="79"/>
    </row>
    <row r="520">
      <c r="A520" s="52" t="s">
        <v>832</v>
      </c>
      <c r="B520" s="51" t="s">
        <v>833</v>
      </c>
      <c r="C520" s="20" t="s">
        <v>563</v>
      </c>
      <c r="D520" s="26">
        <f>7600*1.19</f>
        <v>9044</v>
      </c>
      <c r="E520" s="26"/>
      <c r="F520" s="26"/>
    </row>
    <row r="521">
      <c r="A521" s="16" t="s">
        <v>834</v>
      </c>
      <c r="B521" s="51" t="s">
        <v>835</v>
      </c>
      <c r="C521" s="20" t="s">
        <v>30</v>
      </c>
      <c r="D521" s="520">
        <v>8800.0</v>
      </c>
      <c r="E521" s="520"/>
      <c r="F521" s="520"/>
    </row>
    <row r="522">
      <c r="A522" s="16" t="s">
        <v>836</v>
      </c>
      <c r="B522" s="51" t="s">
        <v>835</v>
      </c>
      <c r="C522" s="20" t="s">
        <v>30</v>
      </c>
      <c r="D522" s="520">
        <v>8800.0</v>
      </c>
      <c r="E522" s="520"/>
      <c r="F522" s="520"/>
    </row>
    <row r="523">
      <c r="A523" s="16" t="s">
        <v>837</v>
      </c>
      <c r="B523" s="51" t="s">
        <v>835</v>
      </c>
      <c r="C523" s="20" t="s">
        <v>30</v>
      </c>
      <c r="D523" s="520">
        <v>8800.0</v>
      </c>
      <c r="E523" s="520"/>
      <c r="F523" s="520"/>
    </row>
    <row r="524">
      <c r="A524" s="16" t="s">
        <v>838</v>
      </c>
      <c r="B524" s="51" t="s">
        <v>839</v>
      </c>
      <c r="C524" s="16" t="s">
        <v>840</v>
      </c>
      <c r="D524" s="520">
        <v>8000.0</v>
      </c>
      <c r="E524" s="520"/>
      <c r="F524" s="520"/>
    </row>
    <row r="525">
      <c r="A525" s="59" t="s">
        <v>841</v>
      </c>
      <c r="B525" s="97" t="s">
        <v>842</v>
      </c>
      <c r="C525" s="20" t="s">
        <v>485</v>
      </c>
      <c r="D525" s="523">
        <f>58360*1.19</f>
        <v>69448.4</v>
      </c>
      <c r="E525" s="523"/>
      <c r="F525" s="523"/>
    </row>
    <row r="526">
      <c r="A526" s="59" t="s">
        <v>843</v>
      </c>
      <c r="B526" s="97" t="s">
        <v>844</v>
      </c>
      <c r="C526" s="20" t="s">
        <v>485</v>
      </c>
      <c r="D526" s="31">
        <f>48840*1.19</f>
        <v>58119.6</v>
      </c>
      <c r="E526" s="31"/>
      <c r="F526" s="31"/>
    </row>
    <row r="527">
      <c r="A527" s="52" t="s">
        <v>846</v>
      </c>
      <c r="B527" s="51" t="s">
        <v>847</v>
      </c>
      <c r="C527" s="16" t="s">
        <v>848</v>
      </c>
      <c r="D527" s="26">
        <f>D528/5</f>
        <v>2142.77</v>
      </c>
      <c r="E527" s="26"/>
      <c r="F527" s="26"/>
    </row>
    <row r="528">
      <c r="A528" s="52" t="s">
        <v>849</v>
      </c>
      <c r="B528" s="49"/>
      <c r="C528" s="16" t="s">
        <v>580</v>
      </c>
      <c r="D528" s="518">
        <v>10713.85</v>
      </c>
      <c r="E528" s="518"/>
      <c r="F528" s="518"/>
    </row>
    <row r="529">
      <c r="A529" s="52" t="s">
        <v>850</v>
      </c>
      <c r="B529" s="49" t="s">
        <v>851</v>
      </c>
      <c r="C529" s="16" t="s">
        <v>848</v>
      </c>
      <c r="D529" s="26">
        <f>14200*1.19</f>
        <v>16898</v>
      </c>
      <c r="E529" s="26"/>
      <c r="F529" s="26"/>
    </row>
    <row r="530">
      <c r="A530" s="16" t="s">
        <v>852</v>
      </c>
      <c r="B530" s="49"/>
      <c r="C530" s="16" t="s">
        <v>853</v>
      </c>
      <c r="D530" s="26">
        <v>6800.0</v>
      </c>
      <c r="E530" s="26"/>
      <c r="F530" s="26"/>
    </row>
    <row r="531">
      <c r="A531" s="16" t="s">
        <v>854</v>
      </c>
      <c r="B531" s="51"/>
      <c r="C531" s="16" t="s">
        <v>577</v>
      </c>
      <c r="D531" s="26">
        <f>104000*1.19</f>
        <v>123760</v>
      </c>
      <c r="E531" s="26"/>
      <c r="F531" s="26"/>
    </row>
    <row r="532">
      <c r="A532" s="16" t="s">
        <v>855</v>
      </c>
      <c r="B532" s="51" t="s">
        <v>856</v>
      </c>
      <c r="C532" s="20" t="s">
        <v>93</v>
      </c>
      <c r="D532" s="26">
        <v>87160.0</v>
      </c>
      <c r="E532" s="26"/>
      <c r="F532" s="26"/>
    </row>
    <row r="533">
      <c r="A533" s="59" t="s">
        <v>857</v>
      </c>
      <c r="B533" s="97" t="s">
        <v>858</v>
      </c>
      <c r="C533" s="20" t="s">
        <v>485</v>
      </c>
      <c r="D533" s="520">
        <v>77469.0</v>
      </c>
      <c r="E533" s="520"/>
      <c r="F533" s="520"/>
    </row>
    <row r="534">
      <c r="A534" s="59" t="s">
        <v>860</v>
      </c>
      <c r="B534" s="97" t="s">
        <v>861</v>
      </c>
      <c r="C534" s="16" t="s">
        <v>485</v>
      </c>
      <c r="D534" s="520">
        <v>77469.0</v>
      </c>
      <c r="E534" s="520"/>
      <c r="F534" s="520"/>
    </row>
    <row r="535" ht="27.0" customHeight="1">
      <c r="A535" s="59" t="s">
        <v>863</v>
      </c>
      <c r="B535" s="97" t="s">
        <v>864</v>
      </c>
      <c r="C535" s="16" t="s">
        <v>485</v>
      </c>
      <c r="D535" s="520">
        <v>77469.0</v>
      </c>
      <c r="E535" s="520"/>
      <c r="F535" s="520"/>
    </row>
    <row r="536" ht="27.0" customHeight="1">
      <c r="A536" s="59" t="s">
        <v>865</v>
      </c>
      <c r="B536" s="97" t="s">
        <v>866</v>
      </c>
      <c r="C536" s="16" t="s">
        <v>485</v>
      </c>
      <c r="D536" s="520">
        <v>77469.0</v>
      </c>
      <c r="E536" s="520"/>
      <c r="F536" s="520"/>
    </row>
    <row r="537" ht="27.0" customHeight="1">
      <c r="A537" s="59" t="s">
        <v>868</v>
      </c>
      <c r="B537" s="97" t="s">
        <v>869</v>
      </c>
      <c r="C537" s="16" t="s">
        <v>485</v>
      </c>
      <c r="D537" s="520">
        <v>77469.0</v>
      </c>
      <c r="E537" s="520"/>
      <c r="F537" s="520"/>
    </row>
    <row r="538" ht="27.0" customHeight="1">
      <c r="A538" s="59" t="s">
        <v>870</v>
      </c>
      <c r="B538" s="97" t="s">
        <v>871</v>
      </c>
      <c r="C538" s="16" t="s">
        <v>485</v>
      </c>
      <c r="D538" s="520">
        <v>77469.0</v>
      </c>
      <c r="E538" s="520"/>
      <c r="F538" s="520"/>
    </row>
    <row r="539" ht="27.0" customHeight="1">
      <c r="A539" s="59" t="s">
        <v>872</v>
      </c>
      <c r="B539" s="97" t="s">
        <v>873</v>
      </c>
      <c r="C539" s="16" t="s">
        <v>485</v>
      </c>
      <c r="D539" s="520">
        <v>77469.0</v>
      </c>
      <c r="E539" s="520"/>
      <c r="F539" s="520"/>
    </row>
    <row r="540" ht="27.0" customHeight="1">
      <c r="A540" s="59" t="s">
        <v>875</v>
      </c>
      <c r="B540" s="97" t="s">
        <v>876</v>
      </c>
      <c r="C540" s="20" t="s">
        <v>485</v>
      </c>
      <c r="D540" s="520">
        <v>77469.0</v>
      </c>
      <c r="E540" s="520"/>
      <c r="F540" s="520"/>
    </row>
    <row r="541" ht="27.0" customHeight="1">
      <c r="A541" s="59" t="s">
        <v>877</v>
      </c>
      <c r="B541" s="97" t="s">
        <v>878</v>
      </c>
      <c r="C541" s="16" t="s">
        <v>485</v>
      </c>
      <c r="D541" s="520">
        <v>77469.0</v>
      </c>
      <c r="E541" s="520"/>
      <c r="F541" s="520"/>
    </row>
    <row r="542" ht="27.0" customHeight="1">
      <c r="A542" s="59" t="s">
        <v>880</v>
      </c>
      <c r="B542" s="97" t="s">
        <v>881</v>
      </c>
      <c r="C542" s="20" t="s">
        <v>485</v>
      </c>
      <c r="D542" s="520">
        <v>77469.0</v>
      </c>
      <c r="E542" s="520"/>
      <c r="F542" s="520"/>
    </row>
    <row r="543" ht="27.0" customHeight="1">
      <c r="A543" s="52" t="s">
        <v>882</v>
      </c>
      <c r="B543" s="51"/>
      <c r="C543" s="16" t="s">
        <v>883</v>
      </c>
      <c r="D543" s="26">
        <v>2950.0</v>
      </c>
      <c r="E543" s="26"/>
      <c r="F543" s="26"/>
    </row>
    <row r="544">
      <c r="A544" s="40" t="s">
        <v>884</v>
      </c>
      <c r="B544" s="49"/>
      <c r="C544" s="40" t="s">
        <v>375</v>
      </c>
      <c r="D544" s="26">
        <v>100.0</v>
      </c>
      <c r="E544" s="26"/>
      <c r="F544" s="26"/>
    </row>
    <row r="545">
      <c r="A545" s="118" t="s">
        <v>885</v>
      </c>
      <c r="B545" s="51"/>
      <c r="C545" s="20" t="s">
        <v>886</v>
      </c>
      <c r="D545" s="26">
        <v>2400.0</v>
      </c>
      <c r="E545" s="26"/>
      <c r="F545" s="26"/>
    </row>
    <row r="546">
      <c r="A546" s="118" t="s">
        <v>887</v>
      </c>
      <c r="B546" s="49" t="s">
        <v>888</v>
      </c>
      <c r="C546" s="16" t="s">
        <v>889</v>
      </c>
      <c r="D546" s="26">
        <v>21385.0</v>
      </c>
      <c r="E546" s="26"/>
      <c r="F546" s="26"/>
    </row>
    <row r="547">
      <c r="A547" s="176" t="s">
        <v>890</v>
      </c>
      <c r="B547" s="49" t="s">
        <v>891</v>
      </c>
      <c r="C547" s="16" t="s">
        <v>70</v>
      </c>
      <c r="D547" s="26">
        <f>29000*0.8*1.19</f>
        <v>27608</v>
      </c>
      <c r="E547" s="26"/>
      <c r="F547" s="26"/>
    </row>
    <row r="548">
      <c r="A548" s="16" t="s">
        <v>892</v>
      </c>
      <c r="B548" s="49"/>
      <c r="C548" s="20" t="s">
        <v>78</v>
      </c>
      <c r="D548" s="520">
        <v>11455.0</v>
      </c>
      <c r="E548" s="520"/>
      <c r="F548" s="520"/>
    </row>
    <row r="549">
      <c r="A549" s="52" t="s">
        <v>893</v>
      </c>
      <c r="B549" s="49"/>
      <c r="C549" s="16" t="s">
        <v>88</v>
      </c>
      <c r="D549" s="26">
        <v>9063.0</v>
      </c>
      <c r="E549" s="26"/>
      <c r="F549" s="26"/>
    </row>
    <row r="550">
      <c r="A550" s="52" t="s">
        <v>894</v>
      </c>
      <c r="B550" s="49"/>
      <c r="C550" s="16" t="s">
        <v>88</v>
      </c>
      <c r="D550" s="26">
        <v>19585.0</v>
      </c>
      <c r="E550" s="26"/>
      <c r="F550" s="26"/>
    </row>
    <row r="551">
      <c r="A551" s="52" t="s">
        <v>895</v>
      </c>
      <c r="B551" s="49"/>
      <c r="C551" s="20" t="s">
        <v>613</v>
      </c>
      <c r="D551" s="26">
        <v>12285.0</v>
      </c>
      <c r="E551" s="26"/>
      <c r="F551" s="26"/>
    </row>
    <row r="552">
      <c r="A552" s="52" t="s">
        <v>896</v>
      </c>
      <c r="B552" s="49"/>
      <c r="C552" s="20" t="s">
        <v>377</v>
      </c>
      <c r="D552" s="79">
        <v>16000.0</v>
      </c>
      <c r="E552" s="79"/>
      <c r="F552" s="79"/>
    </row>
    <row r="553">
      <c r="A553" s="52" t="s">
        <v>897</v>
      </c>
      <c r="B553" s="49"/>
      <c r="C553" s="20" t="s">
        <v>377</v>
      </c>
      <c r="D553" s="26">
        <v>6000.0</v>
      </c>
      <c r="E553" s="26"/>
      <c r="F553" s="26"/>
    </row>
    <row r="554">
      <c r="A554" s="16" t="s">
        <v>898</v>
      </c>
      <c r="B554" s="49"/>
      <c r="C554" s="16" t="s">
        <v>88</v>
      </c>
      <c r="D554" s="26">
        <f>17786*1.19</f>
        <v>21165.34</v>
      </c>
      <c r="E554" s="26"/>
      <c r="F554" s="26"/>
    </row>
    <row r="555">
      <c r="A555" s="16" t="s">
        <v>900</v>
      </c>
      <c r="B555" s="49"/>
      <c r="C555" s="16" t="s">
        <v>39</v>
      </c>
      <c r="D555" s="26">
        <v>4000.0</v>
      </c>
      <c r="E555" s="26"/>
      <c r="F555" s="26"/>
    </row>
    <row r="556">
      <c r="A556" s="52" t="s">
        <v>901</v>
      </c>
      <c r="B556" s="49" t="s">
        <v>3378</v>
      </c>
      <c r="C556" s="20" t="s">
        <v>60</v>
      </c>
      <c r="D556" s="26">
        <v>24800.0</v>
      </c>
      <c r="E556" s="26"/>
      <c r="F556" s="26"/>
    </row>
    <row r="557">
      <c r="A557" s="529" t="s">
        <v>904</v>
      </c>
      <c r="B557" s="49" t="s">
        <v>905</v>
      </c>
      <c r="C557" s="20" t="s">
        <v>78</v>
      </c>
      <c r="D557" s="79">
        <v>21488.0</v>
      </c>
      <c r="E557" s="79"/>
      <c r="F557" s="79"/>
    </row>
    <row r="558">
      <c r="A558" s="16" t="s">
        <v>906</v>
      </c>
      <c r="B558" s="49"/>
      <c r="C558" s="16" t="s">
        <v>375</v>
      </c>
      <c r="D558" s="26">
        <v>6700.0</v>
      </c>
      <c r="E558" s="26"/>
      <c r="F558" s="26"/>
    </row>
    <row r="559">
      <c r="A559" s="16" t="s">
        <v>907</v>
      </c>
      <c r="B559" s="51" t="s">
        <v>908</v>
      </c>
      <c r="C559" s="16" t="s">
        <v>909</v>
      </c>
      <c r="D559" s="26">
        <v>14280.0</v>
      </c>
      <c r="E559" s="26"/>
      <c r="F559" s="26"/>
    </row>
    <row r="560">
      <c r="A560" s="16" t="s">
        <v>910</v>
      </c>
      <c r="B560" s="51"/>
      <c r="C560" s="20" t="s">
        <v>911</v>
      </c>
      <c r="D560" s="26">
        <v>1200.0</v>
      </c>
      <c r="E560" s="26"/>
      <c r="F560" s="26"/>
    </row>
    <row r="561">
      <c r="A561" s="16" t="s">
        <v>912</v>
      </c>
      <c r="B561" s="51"/>
      <c r="C561" s="20" t="s">
        <v>911</v>
      </c>
      <c r="D561" s="26">
        <v>1200.0</v>
      </c>
      <c r="E561" s="26"/>
      <c r="F561" s="26"/>
    </row>
    <row r="562">
      <c r="A562" s="122" t="s">
        <v>913</v>
      </c>
      <c r="B562" s="51">
        <v>242014.0</v>
      </c>
      <c r="C562" s="16" t="s">
        <v>914</v>
      </c>
      <c r="D562" s="521">
        <v>600.0</v>
      </c>
      <c r="E562" s="521"/>
      <c r="F562" s="521"/>
    </row>
    <row r="563">
      <c r="A563" s="52" t="s">
        <v>915</v>
      </c>
      <c r="B563" s="51"/>
      <c r="C563" s="16" t="s">
        <v>400</v>
      </c>
      <c r="D563" s="26">
        <v>21850.0</v>
      </c>
      <c r="E563" s="26"/>
      <c r="F563" s="26"/>
    </row>
    <row r="564">
      <c r="A564" s="122" t="s">
        <v>916</v>
      </c>
      <c r="B564" s="51">
        <v>241052.0</v>
      </c>
      <c r="C564" s="16" t="s">
        <v>425</v>
      </c>
      <c r="D564" s="26">
        <f>8401*1.19</f>
        <v>9997.19</v>
      </c>
      <c r="E564" s="26"/>
      <c r="F564" s="26"/>
    </row>
    <row r="565">
      <c r="A565" s="52" t="s">
        <v>917</v>
      </c>
      <c r="B565" s="51"/>
      <c r="C565" s="16" t="s">
        <v>918</v>
      </c>
      <c r="D565" s="26">
        <v>3000.0</v>
      </c>
      <c r="E565" s="26"/>
      <c r="F565" s="26"/>
    </row>
    <row r="566">
      <c r="A566" s="122" t="s">
        <v>919</v>
      </c>
      <c r="B566" s="51">
        <v>241051.0</v>
      </c>
      <c r="C566" s="16" t="s">
        <v>425</v>
      </c>
      <c r="D566" s="26">
        <f t="shared" ref="D566:D568" si="17">8401*1.19</f>
        <v>9997.19</v>
      </c>
      <c r="E566" s="26"/>
      <c r="F566" s="26"/>
    </row>
    <row r="567">
      <c r="A567" s="122" t="s">
        <v>920</v>
      </c>
      <c r="B567" s="51">
        <v>241050.0</v>
      </c>
      <c r="C567" s="16" t="s">
        <v>425</v>
      </c>
      <c r="D567" s="26">
        <f t="shared" si="17"/>
        <v>9997.19</v>
      </c>
      <c r="E567" s="26"/>
      <c r="F567" s="26"/>
    </row>
    <row r="568">
      <c r="A568" s="122" t="s">
        <v>921</v>
      </c>
      <c r="B568" s="51">
        <v>241053.0</v>
      </c>
      <c r="C568" s="16" t="s">
        <v>425</v>
      </c>
      <c r="D568" s="26">
        <f t="shared" si="17"/>
        <v>9997.19</v>
      </c>
      <c r="E568" s="26"/>
      <c r="F568" s="26"/>
    </row>
    <row r="569">
      <c r="A569" s="176" t="s">
        <v>922</v>
      </c>
      <c r="B569" s="49" t="s">
        <v>923</v>
      </c>
      <c r="C569" s="16" t="s">
        <v>924</v>
      </c>
      <c r="D569" s="26">
        <f>65000*0.8*1.19</f>
        <v>61880</v>
      </c>
      <c r="E569" s="26"/>
      <c r="F569" s="26"/>
    </row>
    <row r="570">
      <c r="A570" s="122" t="s">
        <v>925</v>
      </c>
      <c r="B570" s="51">
        <v>242012.0</v>
      </c>
      <c r="C570" s="16" t="s">
        <v>425</v>
      </c>
      <c r="D570" s="521">
        <v>900.0</v>
      </c>
      <c r="E570" s="521"/>
      <c r="F570" s="521"/>
    </row>
    <row r="571">
      <c r="A571" s="122" t="s">
        <v>926</v>
      </c>
      <c r="B571" s="51">
        <v>242013.0</v>
      </c>
      <c r="C571" s="16" t="s">
        <v>425</v>
      </c>
      <c r="D571" s="26">
        <f>1517*1.19</f>
        <v>1805.23</v>
      </c>
      <c r="E571" s="26"/>
      <c r="F571" s="26"/>
    </row>
    <row r="572">
      <c r="A572" s="122" t="s">
        <v>927</v>
      </c>
      <c r="B572" s="51">
        <v>241054.0</v>
      </c>
      <c r="C572" s="16" t="s">
        <v>425</v>
      </c>
      <c r="D572" s="521">
        <f>7478*1.19</f>
        <v>8898.82</v>
      </c>
      <c r="E572" s="521"/>
      <c r="F572" s="521"/>
    </row>
    <row r="573">
      <c r="A573" s="122" t="s">
        <v>928</v>
      </c>
      <c r="B573" s="51">
        <v>242014.0</v>
      </c>
      <c r="C573" s="16" t="s">
        <v>425</v>
      </c>
      <c r="D573" s="521">
        <v>500.0</v>
      </c>
      <c r="E573" s="521"/>
      <c r="F573" s="521"/>
    </row>
    <row r="574">
      <c r="A574" s="122" t="s">
        <v>930</v>
      </c>
      <c r="B574" s="51">
        <v>241055.0</v>
      </c>
      <c r="C574" s="16" t="s">
        <v>425</v>
      </c>
      <c r="D574" s="521">
        <v>4000.0</v>
      </c>
      <c r="E574" s="521"/>
      <c r="F574" s="521"/>
    </row>
    <row r="575">
      <c r="A575" s="16" t="s">
        <v>931</v>
      </c>
      <c r="B575" s="51"/>
      <c r="C575" s="16" t="s">
        <v>932</v>
      </c>
      <c r="D575" s="26">
        <f>27311*1.19/50</f>
        <v>650.0018</v>
      </c>
      <c r="E575" s="26"/>
      <c r="F575" s="26"/>
    </row>
    <row r="576">
      <c r="A576" s="16" t="s">
        <v>933</v>
      </c>
      <c r="B576" s="51"/>
      <c r="C576" s="20" t="s">
        <v>78</v>
      </c>
      <c r="D576" s="26">
        <f t="shared" ref="D576:D584" si="18">10231*1.19</f>
        <v>12174.89</v>
      </c>
      <c r="E576" s="26"/>
      <c r="F576" s="26"/>
    </row>
    <row r="577">
      <c r="A577" s="16" t="s">
        <v>934</v>
      </c>
      <c r="B577" s="51"/>
      <c r="C577" s="20" t="s">
        <v>78</v>
      </c>
      <c r="D577" s="26">
        <f t="shared" si="18"/>
        <v>12174.89</v>
      </c>
      <c r="E577" s="26"/>
      <c r="F577" s="26"/>
    </row>
    <row r="578">
      <c r="A578" s="16" t="s">
        <v>935</v>
      </c>
      <c r="B578" s="51"/>
      <c r="C578" s="20" t="s">
        <v>78</v>
      </c>
      <c r="D578" s="26">
        <f t="shared" si="18"/>
        <v>12174.89</v>
      </c>
      <c r="E578" s="26"/>
      <c r="F578" s="26"/>
    </row>
    <row r="579">
      <c r="A579" s="16" t="s">
        <v>936</v>
      </c>
      <c r="B579" s="51"/>
      <c r="C579" s="20" t="s">
        <v>78</v>
      </c>
      <c r="D579" s="26">
        <f t="shared" si="18"/>
        <v>12174.89</v>
      </c>
      <c r="E579" s="26"/>
      <c r="F579" s="26"/>
    </row>
    <row r="580">
      <c r="A580" s="16" t="s">
        <v>937</v>
      </c>
      <c r="B580" s="51"/>
      <c r="C580" s="20" t="s">
        <v>78</v>
      </c>
      <c r="D580" s="26">
        <f t="shared" si="18"/>
        <v>12174.89</v>
      </c>
      <c r="E580" s="26"/>
      <c r="F580" s="26"/>
    </row>
    <row r="581">
      <c r="A581" s="16" t="s">
        <v>938</v>
      </c>
      <c r="B581" s="51"/>
      <c r="C581" s="20" t="s">
        <v>78</v>
      </c>
      <c r="D581" s="26">
        <f t="shared" si="18"/>
        <v>12174.89</v>
      </c>
      <c r="E581" s="26"/>
      <c r="F581" s="26"/>
    </row>
    <row r="582">
      <c r="A582" s="16" t="s">
        <v>939</v>
      </c>
      <c r="B582" s="51"/>
      <c r="C582" s="20" t="s">
        <v>78</v>
      </c>
      <c r="D582" s="26">
        <f t="shared" si="18"/>
        <v>12174.89</v>
      </c>
      <c r="E582" s="26"/>
      <c r="F582" s="26"/>
    </row>
    <row r="583">
      <c r="A583" s="16" t="s">
        <v>940</v>
      </c>
      <c r="B583" s="51"/>
      <c r="C583" s="20" t="s">
        <v>78</v>
      </c>
      <c r="D583" s="26">
        <f t="shared" si="18"/>
        <v>12174.89</v>
      </c>
      <c r="E583" s="26"/>
      <c r="F583" s="26"/>
    </row>
    <row r="584">
      <c r="A584" s="16" t="s">
        <v>941</v>
      </c>
      <c r="B584" s="51"/>
      <c r="C584" s="20" t="s">
        <v>78</v>
      </c>
      <c r="D584" s="26">
        <f t="shared" si="18"/>
        <v>12174.89</v>
      </c>
      <c r="E584" s="26"/>
      <c r="F584" s="26"/>
    </row>
    <row r="585">
      <c r="A585" s="16" t="s">
        <v>942</v>
      </c>
      <c r="B585" s="51"/>
      <c r="C585" s="16" t="s">
        <v>943</v>
      </c>
      <c r="D585" s="26">
        <f>D588/15</f>
        <v>840.9333333</v>
      </c>
      <c r="E585" s="26"/>
      <c r="F585" s="26"/>
    </row>
    <row r="586">
      <c r="A586" s="16" t="s">
        <v>944</v>
      </c>
      <c r="B586" s="51"/>
      <c r="C586" s="16" t="s">
        <v>943</v>
      </c>
      <c r="D586" s="26">
        <v>71400.0</v>
      </c>
      <c r="E586" s="26"/>
      <c r="F586" s="26"/>
    </row>
    <row r="587">
      <c r="A587" s="16" t="s">
        <v>945</v>
      </c>
      <c r="B587" s="49"/>
      <c r="C587" s="16" t="s">
        <v>93</v>
      </c>
      <c r="D587" s="26">
        <v>39730.0</v>
      </c>
      <c r="E587" s="26"/>
      <c r="F587" s="26"/>
    </row>
    <row r="588">
      <c r="A588" s="16" t="s">
        <v>946</v>
      </c>
      <c r="B588" s="49" t="s">
        <v>947</v>
      </c>
      <c r="C588" s="16" t="s">
        <v>949</v>
      </c>
      <c r="D588" s="26">
        <v>12614.0</v>
      </c>
      <c r="E588" s="26"/>
      <c r="F588" s="26"/>
    </row>
    <row r="589">
      <c r="A589" s="16" t="s">
        <v>950</v>
      </c>
      <c r="B589" s="49"/>
      <c r="C589" s="16" t="s">
        <v>952</v>
      </c>
      <c r="D589" s="26">
        <f>62800*1.19</f>
        <v>74732</v>
      </c>
      <c r="E589" s="26"/>
      <c r="F589" s="26"/>
    </row>
    <row r="590">
      <c r="A590" s="16" t="s">
        <v>953</v>
      </c>
      <c r="B590" s="49" t="s">
        <v>954</v>
      </c>
      <c r="C590" s="16" t="s">
        <v>949</v>
      </c>
      <c r="D590" s="26">
        <f>12614*48</f>
        <v>605472</v>
      </c>
      <c r="E590" s="26"/>
      <c r="F590" s="26"/>
    </row>
    <row r="591">
      <c r="A591" s="122" t="s">
        <v>955</v>
      </c>
      <c r="B591" s="51">
        <v>242010.0</v>
      </c>
      <c r="C591" s="16" t="s">
        <v>659</v>
      </c>
      <c r="D591" s="521">
        <v>1000.0</v>
      </c>
      <c r="E591" s="521"/>
      <c r="F591" s="521"/>
    </row>
    <row r="592">
      <c r="A592" s="59" t="s">
        <v>956</v>
      </c>
      <c r="B592" s="134"/>
      <c r="C592" s="16" t="s">
        <v>84</v>
      </c>
      <c r="D592" s="26">
        <v>18000.0</v>
      </c>
      <c r="E592" s="26"/>
      <c r="F592" s="26"/>
    </row>
    <row r="593">
      <c r="A593" s="16" t="s">
        <v>957</v>
      </c>
      <c r="B593" s="51"/>
      <c r="C593" s="16" t="s">
        <v>91</v>
      </c>
      <c r="D593" s="26">
        <v>267000.0</v>
      </c>
      <c r="E593" s="26"/>
      <c r="F593" s="26"/>
    </row>
    <row r="594">
      <c r="A594" s="40" t="s">
        <v>960</v>
      </c>
      <c r="B594" s="51"/>
      <c r="C594" s="16" t="s">
        <v>961</v>
      </c>
      <c r="D594" s="26">
        <v>13000.0</v>
      </c>
      <c r="E594" s="26"/>
      <c r="F594" s="26"/>
    </row>
    <row r="595">
      <c r="A595" s="16" t="s">
        <v>962</v>
      </c>
      <c r="B595" s="49"/>
      <c r="C595" s="16" t="s">
        <v>200</v>
      </c>
      <c r="D595" s="26">
        <v>141253.0</v>
      </c>
      <c r="E595" s="26"/>
      <c r="F595" s="26"/>
    </row>
    <row r="596">
      <c r="A596" s="16" t="s">
        <v>963</v>
      </c>
      <c r="B596" s="49"/>
      <c r="C596" s="16" t="s">
        <v>341</v>
      </c>
      <c r="D596" s="26">
        <f>170000/6</f>
        <v>28333.33333</v>
      </c>
      <c r="E596" s="26"/>
      <c r="F596" s="26"/>
    </row>
    <row r="597">
      <c r="A597" s="16" t="s">
        <v>964</v>
      </c>
      <c r="B597" s="49" t="s">
        <v>965</v>
      </c>
      <c r="C597" s="20" t="s">
        <v>966</v>
      </c>
      <c r="D597" s="26">
        <v>30000.0</v>
      </c>
      <c r="E597" s="26"/>
      <c r="F597" s="26"/>
    </row>
    <row r="598">
      <c r="A598" s="42" t="s">
        <v>967</v>
      </c>
      <c r="B598" s="49"/>
      <c r="C598" s="20" t="s">
        <v>610</v>
      </c>
      <c r="D598" s="26">
        <v>46500.0</v>
      </c>
      <c r="E598" s="26"/>
      <c r="F598" s="26"/>
    </row>
    <row r="599">
      <c r="A599" s="42" t="s">
        <v>969</v>
      </c>
      <c r="B599" s="149"/>
      <c r="C599" s="20" t="s">
        <v>291</v>
      </c>
      <c r="D599" s="26">
        <f>21008*1.19</f>
        <v>24999.52</v>
      </c>
      <c r="E599" s="26"/>
      <c r="F599" s="26"/>
    </row>
    <row r="600">
      <c r="A600" s="122" t="s">
        <v>970</v>
      </c>
      <c r="B600" s="49" t="s">
        <v>971</v>
      </c>
      <c r="C600" s="16" t="s">
        <v>972</v>
      </c>
      <c r="D600" s="26">
        <v>36985.0</v>
      </c>
      <c r="E600" s="26"/>
      <c r="F600" s="26"/>
    </row>
    <row r="601">
      <c r="A601" s="16" t="s">
        <v>973</v>
      </c>
      <c r="B601" s="51" t="s">
        <v>974</v>
      </c>
      <c r="C601" s="20" t="s">
        <v>975</v>
      </c>
      <c r="D601" s="26">
        <v>1200.0</v>
      </c>
      <c r="E601" s="26"/>
      <c r="F601" s="26"/>
    </row>
    <row r="602">
      <c r="A602" s="52" t="s">
        <v>977</v>
      </c>
      <c r="B602" s="51" t="s">
        <v>978</v>
      </c>
      <c r="C602" s="16" t="s">
        <v>979</v>
      </c>
      <c r="D602" s="519">
        <f>9063/40</f>
        <v>226.575</v>
      </c>
      <c r="E602" s="519"/>
      <c r="F602" s="519"/>
    </row>
    <row r="603">
      <c r="A603" s="59" t="s">
        <v>980</v>
      </c>
      <c r="B603" s="134"/>
      <c r="C603" s="20" t="s">
        <v>485</v>
      </c>
      <c r="D603" s="31">
        <v>60000.0</v>
      </c>
      <c r="E603" s="31"/>
      <c r="F603" s="31"/>
    </row>
    <row r="604">
      <c r="A604" s="149" t="s">
        <v>981</v>
      </c>
      <c r="B604" s="149"/>
      <c r="C604" s="16" t="s">
        <v>982</v>
      </c>
      <c r="D604" s="26">
        <v>750.0</v>
      </c>
      <c r="E604" s="26"/>
      <c r="F604" s="26"/>
    </row>
    <row r="605">
      <c r="A605" s="16" t="s">
        <v>983</v>
      </c>
      <c r="B605" s="51" t="s">
        <v>984</v>
      </c>
      <c r="C605" s="16" t="s">
        <v>986</v>
      </c>
      <c r="D605" s="26">
        <v>199000.0</v>
      </c>
      <c r="E605" s="26"/>
      <c r="F605" s="26"/>
    </row>
    <row r="606">
      <c r="A606" s="16" t="s">
        <v>987</v>
      </c>
      <c r="B606" s="51" t="s">
        <v>984</v>
      </c>
      <c r="C606" s="16" t="s">
        <v>986</v>
      </c>
      <c r="D606" s="26">
        <v>199000.0</v>
      </c>
      <c r="E606" s="26"/>
      <c r="F606" s="26"/>
    </row>
    <row r="607">
      <c r="A607" s="16" t="s">
        <v>988</v>
      </c>
      <c r="B607" s="49"/>
      <c r="C607" s="16" t="s">
        <v>989</v>
      </c>
      <c r="D607" s="26">
        <v>225000.0</v>
      </c>
      <c r="E607" s="26"/>
      <c r="F607" s="26"/>
    </row>
    <row r="608">
      <c r="A608" s="16" t="s">
        <v>990</v>
      </c>
      <c r="B608" s="49"/>
      <c r="C608" s="16" t="s">
        <v>643</v>
      </c>
      <c r="D608" s="26">
        <f>82000/4</f>
        <v>20500</v>
      </c>
      <c r="E608" s="26"/>
      <c r="F608" s="26"/>
    </row>
    <row r="609">
      <c r="A609" s="16" t="s">
        <v>991</v>
      </c>
      <c r="B609" s="49"/>
      <c r="C609" s="16" t="s">
        <v>375</v>
      </c>
      <c r="D609" s="79">
        <f>55500*1.19</f>
        <v>66045</v>
      </c>
      <c r="E609" s="79"/>
      <c r="F609" s="79"/>
    </row>
    <row r="610">
      <c r="A610" s="16" t="s">
        <v>992</v>
      </c>
      <c r="B610" s="178"/>
      <c r="C610" s="16" t="s">
        <v>400</v>
      </c>
      <c r="D610" s="26">
        <v>138000.0</v>
      </c>
      <c r="E610" s="26"/>
      <c r="F610" s="26"/>
    </row>
    <row r="611">
      <c r="A611" s="16" t="s">
        <v>993</v>
      </c>
      <c r="B611" s="51"/>
      <c r="C611" s="16" t="s">
        <v>767</v>
      </c>
      <c r="D611" s="26">
        <v>298000.0</v>
      </c>
      <c r="E611" s="26"/>
      <c r="F611" s="26"/>
    </row>
    <row r="612">
      <c r="A612" s="16" t="s">
        <v>994</v>
      </c>
      <c r="B612" s="97" t="s">
        <v>995</v>
      </c>
      <c r="C612" s="20" t="s">
        <v>485</v>
      </c>
      <c r="D612" s="523">
        <f>55092*1.19</f>
        <v>65559.48</v>
      </c>
      <c r="E612" s="523"/>
      <c r="F612" s="523"/>
    </row>
    <row r="613">
      <c r="A613" s="16" t="s">
        <v>996</v>
      </c>
      <c r="B613" s="51" t="s">
        <v>997</v>
      </c>
      <c r="C613" s="20" t="s">
        <v>999</v>
      </c>
      <c r="D613" s="26">
        <f>47601*1.19</f>
        <v>56645.19</v>
      </c>
      <c r="E613" s="26"/>
      <c r="F613" s="26"/>
    </row>
    <row r="614">
      <c r="A614" s="16" t="s">
        <v>1000</v>
      </c>
      <c r="B614" s="51"/>
      <c r="C614" s="120" t="s">
        <v>1001</v>
      </c>
      <c r="D614" s="26">
        <f>44880*1.19</f>
        <v>53407.2</v>
      </c>
      <c r="E614" s="26"/>
      <c r="F614" s="26"/>
    </row>
    <row r="615">
      <c r="A615" s="16" t="s">
        <v>1002</v>
      </c>
      <c r="B615" s="51"/>
      <c r="C615" s="16" t="s">
        <v>16</v>
      </c>
      <c r="D615" s="530">
        <v>74341.0</v>
      </c>
      <c r="E615" s="530"/>
      <c r="F615" s="530"/>
    </row>
    <row r="616">
      <c r="A616" s="16" t="s">
        <v>1003</v>
      </c>
      <c r="B616" s="51"/>
      <c r="C616" s="20" t="s">
        <v>610</v>
      </c>
      <c r="D616" s="31">
        <v>105000.0</v>
      </c>
      <c r="E616" s="31"/>
      <c r="F616" s="31"/>
    </row>
    <row r="617">
      <c r="A617" s="52" t="s">
        <v>1004</v>
      </c>
      <c r="B617" s="51"/>
      <c r="C617" s="20" t="s">
        <v>1005</v>
      </c>
      <c r="D617" s="26">
        <v>10000.0</v>
      </c>
      <c r="E617" s="26"/>
      <c r="F617" s="26"/>
    </row>
    <row r="618">
      <c r="A618" s="59" t="s">
        <v>1006</v>
      </c>
      <c r="B618" s="134"/>
      <c r="C618" s="16" t="s">
        <v>16</v>
      </c>
      <c r="D618" s="26">
        <v>15449.0</v>
      </c>
      <c r="E618" s="26"/>
      <c r="F618" s="26"/>
    </row>
    <row r="619">
      <c r="A619" s="59" t="s">
        <v>1008</v>
      </c>
      <c r="B619" s="134"/>
      <c r="C619" s="16" t="s">
        <v>16</v>
      </c>
      <c r="D619" s="518">
        <v>73566.0</v>
      </c>
      <c r="E619" s="518"/>
      <c r="F619" s="518"/>
    </row>
    <row r="620">
      <c r="A620" s="52" t="s">
        <v>1009</v>
      </c>
      <c r="B620" s="51"/>
      <c r="C620" s="16" t="s">
        <v>1010</v>
      </c>
      <c r="D620" s="26">
        <v>20200.0</v>
      </c>
      <c r="E620" s="26"/>
      <c r="F620" s="26"/>
    </row>
    <row r="621">
      <c r="A621" s="16" t="s">
        <v>1011</v>
      </c>
      <c r="B621" s="51"/>
      <c r="C621" s="16" t="s">
        <v>1012</v>
      </c>
      <c r="D621" s="26">
        <v>4499.0</v>
      </c>
      <c r="E621" s="26"/>
      <c r="F621" s="26"/>
    </row>
    <row r="622">
      <c r="A622" s="16" t="s">
        <v>1013</v>
      </c>
      <c r="B622" s="531"/>
      <c r="C622" s="16" t="s">
        <v>1012</v>
      </c>
      <c r="D622" s="26">
        <v>4499.0</v>
      </c>
      <c r="E622" s="26"/>
      <c r="F622" s="26"/>
    </row>
    <row r="623">
      <c r="A623" s="16" t="s">
        <v>1014</v>
      </c>
      <c r="B623" s="49"/>
      <c r="C623" s="16" t="s">
        <v>1015</v>
      </c>
      <c r="D623" s="26">
        <v>4499.0</v>
      </c>
      <c r="E623" s="26"/>
      <c r="F623" s="26"/>
    </row>
    <row r="624">
      <c r="A624" s="16" t="s">
        <v>1016</v>
      </c>
      <c r="B624" s="51"/>
      <c r="C624" s="16" t="s">
        <v>588</v>
      </c>
      <c r="D624" s="26">
        <f>122*25</f>
        <v>3050</v>
      </c>
      <c r="E624" s="26"/>
      <c r="F624" s="26"/>
    </row>
    <row r="625">
      <c r="A625" s="16" t="s">
        <v>1017</v>
      </c>
      <c r="B625" s="49"/>
      <c r="C625" s="16" t="s">
        <v>93</v>
      </c>
      <c r="D625" s="26">
        <v>11400.0</v>
      </c>
      <c r="E625" s="26"/>
      <c r="F625" s="26"/>
    </row>
    <row r="626">
      <c r="A626" s="16" t="s">
        <v>1018</v>
      </c>
      <c r="B626" s="178"/>
      <c r="C626" s="40" t="s">
        <v>93</v>
      </c>
      <c r="D626" s="26">
        <v>50300.0</v>
      </c>
      <c r="E626" s="26"/>
      <c r="F626" s="26"/>
    </row>
    <row r="627">
      <c r="A627" s="16" t="s">
        <v>1019</v>
      </c>
      <c r="B627" s="51"/>
      <c r="C627" s="20" t="s">
        <v>610</v>
      </c>
      <c r="D627" s="26">
        <f t="shared" ref="D627:D629" si="19">50420*1.19/4</f>
        <v>14999.95</v>
      </c>
      <c r="E627" s="26"/>
      <c r="F627" s="26"/>
    </row>
    <row r="628">
      <c r="A628" s="16" t="s">
        <v>1021</v>
      </c>
      <c r="B628" s="49"/>
      <c r="C628" s="20" t="s">
        <v>610</v>
      </c>
      <c r="D628" s="26">
        <f t="shared" si="19"/>
        <v>14999.95</v>
      </c>
      <c r="E628" s="26"/>
      <c r="F628" s="26"/>
    </row>
    <row r="629">
      <c r="A629" s="16" t="s">
        <v>1022</v>
      </c>
      <c r="B629" s="49"/>
      <c r="C629" s="20" t="s">
        <v>610</v>
      </c>
      <c r="D629" s="26">
        <f t="shared" si="19"/>
        <v>14999.95</v>
      </c>
      <c r="E629" s="26"/>
      <c r="F629" s="26"/>
    </row>
    <row r="630">
      <c r="A630" s="40" t="s">
        <v>1023</v>
      </c>
      <c r="B630" s="51"/>
      <c r="C630" s="20" t="s">
        <v>57</v>
      </c>
      <c r="D630" s="26">
        <v>2600.0</v>
      </c>
      <c r="E630" s="26"/>
      <c r="F630" s="26"/>
    </row>
    <row r="631">
      <c r="A631" s="59" t="s">
        <v>1024</v>
      </c>
      <c r="B631" s="134"/>
      <c r="C631" s="20" t="s">
        <v>26</v>
      </c>
      <c r="D631" s="26">
        <v>1900.0</v>
      </c>
      <c r="E631" s="26"/>
      <c r="F631" s="26"/>
    </row>
    <row r="632">
      <c r="A632" s="122" t="s">
        <v>1025</v>
      </c>
      <c r="B632" s="51"/>
      <c r="C632" s="16" t="s">
        <v>425</v>
      </c>
      <c r="D632" s="521">
        <v>250000.0</v>
      </c>
      <c r="E632" s="521"/>
      <c r="F632" s="521"/>
    </row>
    <row r="633">
      <c r="A633" s="122" t="s">
        <v>1026</v>
      </c>
      <c r="B633" s="51"/>
      <c r="C633" s="16" t="s">
        <v>425</v>
      </c>
      <c r="D633" s="521">
        <v>41000.0</v>
      </c>
      <c r="E633" s="521"/>
      <c r="F633" s="521"/>
    </row>
    <row r="634">
      <c r="A634" s="122" t="s">
        <v>1027</v>
      </c>
      <c r="B634" s="51"/>
      <c r="C634" s="16" t="s">
        <v>425</v>
      </c>
      <c r="D634" s="521">
        <v>62000.0</v>
      </c>
      <c r="E634" s="521"/>
      <c r="F634" s="521"/>
    </row>
    <row r="635">
      <c r="A635" s="16" t="s">
        <v>1028</v>
      </c>
      <c r="B635" s="49"/>
      <c r="C635" s="16" t="s">
        <v>39</v>
      </c>
      <c r="D635" s="26">
        <v>2300.0</v>
      </c>
      <c r="E635" s="26"/>
      <c r="F635" s="26"/>
    </row>
    <row r="636">
      <c r="A636" s="16" t="s">
        <v>1029</v>
      </c>
      <c r="B636" s="49"/>
      <c r="C636" s="16" t="s">
        <v>39</v>
      </c>
      <c r="D636" s="26">
        <v>1986.0</v>
      </c>
      <c r="E636" s="26"/>
      <c r="F636" s="26"/>
    </row>
    <row r="637">
      <c r="A637" s="16" t="s">
        <v>1030</v>
      </c>
      <c r="B637" s="51"/>
      <c r="C637" s="16" t="s">
        <v>1031</v>
      </c>
      <c r="D637" s="26">
        <v>1200.0</v>
      </c>
      <c r="E637" s="26"/>
      <c r="F637" s="26"/>
    </row>
    <row r="638">
      <c r="A638" s="52" t="s">
        <v>1032</v>
      </c>
      <c r="B638" s="51" t="s">
        <v>1033</v>
      </c>
      <c r="C638" s="16" t="s">
        <v>1034</v>
      </c>
      <c r="D638" s="523">
        <v>1131.0</v>
      </c>
      <c r="E638" s="523"/>
      <c r="F638" s="523"/>
    </row>
    <row r="639">
      <c r="A639" s="16" t="s">
        <v>1035</v>
      </c>
      <c r="B639" s="97" t="s">
        <v>1036</v>
      </c>
      <c r="C639" s="20" t="s">
        <v>485</v>
      </c>
      <c r="D639" s="523">
        <f t="shared" ref="D639:D649" si="20">74900*1.19</f>
        <v>89131</v>
      </c>
      <c r="E639" s="523"/>
      <c r="F639" s="523"/>
    </row>
    <row r="640">
      <c r="A640" s="16" t="s">
        <v>1037</v>
      </c>
      <c r="B640" s="97" t="s">
        <v>1038</v>
      </c>
      <c r="C640" s="20" t="s">
        <v>485</v>
      </c>
      <c r="D640" s="523">
        <f t="shared" si="20"/>
        <v>89131</v>
      </c>
      <c r="E640" s="523"/>
      <c r="F640" s="523"/>
    </row>
    <row r="641">
      <c r="A641" s="16" t="s">
        <v>1039</v>
      </c>
      <c r="B641" s="97" t="s">
        <v>1040</v>
      </c>
      <c r="C641" s="20" t="s">
        <v>485</v>
      </c>
      <c r="D641" s="523">
        <f t="shared" si="20"/>
        <v>89131</v>
      </c>
      <c r="E641" s="523"/>
      <c r="F641" s="523"/>
    </row>
    <row r="642">
      <c r="A642" s="16" t="s">
        <v>1042</v>
      </c>
      <c r="B642" s="97" t="s">
        <v>1043</v>
      </c>
      <c r="C642" s="20" t="s">
        <v>485</v>
      </c>
      <c r="D642" s="523">
        <f t="shared" si="20"/>
        <v>89131</v>
      </c>
      <c r="E642" s="523"/>
      <c r="F642" s="523"/>
    </row>
    <row r="643">
      <c r="A643" s="16" t="s">
        <v>1045</v>
      </c>
      <c r="B643" s="97" t="s">
        <v>1046</v>
      </c>
      <c r="C643" s="20" t="s">
        <v>485</v>
      </c>
      <c r="D643" s="523">
        <f t="shared" si="20"/>
        <v>89131</v>
      </c>
      <c r="E643" s="523"/>
      <c r="F643" s="523"/>
    </row>
    <row r="644">
      <c r="A644" s="16" t="s">
        <v>1047</v>
      </c>
      <c r="B644" s="97" t="s">
        <v>1048</v>
      </c>
      <c r="C644" s="20" t="s">
        <v>1049</v>
      </c>
      <c r="D644" s="523">
        <f t="shared" si="20"/>
        <v>89131</v>
      </c>
      <c r="E644" s="523"/>
      <c r="F644" s="523"/>
    </row>
    <row r="645">
      <c r="A645" s="16" t="s">
        <v>1050</v>
      </c>
      <c r="B645" s="97" t="s">
        <v>1051</v>
      </c>
      <c r="C645" s="20" t="s">
        <v>485</v>
      </c>
      <c r="D645" s="523">
        <f t="shared" si="20"/>
        <v>89131</v>
      </c>
      <c r="E645" s="523"/>
      <c r="F645" s="523"/>
    </row>
    <row r="646">
      <c r="A646" s="16" t="s">
        <v>1052</v>
      </c>
      <c r="B646" s="97" t="s">
        <v>1053</v>
      </c>
      <c r="C646" s="20" t="s">
        <v>485</v>
      </c>
      <c r="D646" s="523">
        <f t="shared" si="20"/>
        <v>89131</v>
      </c>
      <c r="E646" s="523"/>
      <c r="F646" s="523"/>
    </row>
    <row r="647">
      <c r="A647" s="16" t="s">
        <v>1054</v>
      </c>
      <c r="B647" s="97" t="s">
        <v>1055</v>
      </c>
      <c r="C647" s="20" t="s">
        <v>485</v>
      </c>
      <c r="D647" s="523">
        <f t="shared" si="20"/>
        <v>89131</v>
      </c>
      <c r="E647" s="523"/>
      <c r="F647" s="523"/>
    </row>
    <row r="648">
      <c r="A648" s="16" t="s">
        <v>1056</v>
      </c>
      <c r="B648" s="97" t="s">
        <v>1057</v>
      </c>
      <c r="C648" s="20" t="s">
        <v>485</v>
      </c>
      <c r="D648" s="523">
        <f t="shared" si="20"/>
        <v>89131</v>
      </c>
      <c r="E648" s="523"/>
      <c r="F648" s="523"/>
    </row>
    <row r="649">
      <c r="A649" s="16" t="s">
        <v>1058</v>
      </c>
      <c r="B649" s="97" t="s">
        <v>1059</v>
      </c>
      <c r="C649" s="20" t="s">
        <v>485</v>
      </c>
      <c r="D649" s="523">
        <f t="shared" si="20"/>
        <v>89131</v>
      </c>
      <c r="E649" s="523"/>
      <c r="F649" s="523"/>
    </row>
    <row r="650">
      <c r="A650" s="16" t="s">
        <v>1060</v>
      </c>
      <c r="B650" s="49"/>
      <c r="C650" s="16" t="s">
        <v>16</v>
      </c>
      <c r="D650" s="79">
        <v>25830.0</v>
      </c>
      <c r="E650" s="79"/>
      <c r="F650" s="79"/>
    </row>
    <row r="651">
      <c r="A651" s="59" t="s">
        <v>1061</v>
      </c>
      <c r="B651" s="134" t="s">
        <v>1062</v>
      </c>
      <c r="C651" s="16" t="s">
        <v>485</v>
      </c>
      <c r="D651" s="31">
        <f>37187*1.19</f>
        <v>44252.53</v>
      </c>
      <c r="E651" s="31"/>
      <c r="F651" s="31"/>
    </row>
    <row r="652">
      <c r="A652" s="42" t="s">
        <v>1063</v>
      </c>
      <c r="B652" s="149"/>
      <c r="C652" s="16" t="s">
        <v>291</v>
      </c>
      <c r="D652" s="79">
        <v>6000.0</v>
      </c>
      <c r="E652" s="79"/>
      <c r="F652" s="79"/>
    </row>
    <row r="653">
      <c r="A653" s="42" t="s">
        <v>1064</v>
      </c>
      <c r="B653" s="149"/>
      <c r="C653" s="20" t="s">
        <v>291</v>
      </c>
      <c r="D653" s="26">
        <v>4000.0</v>
      </c>
      <c r="E653" s="26"/>
      <c r="F653" s="26"/>
    </row>
    <row r="654">
      <c r="A654" s="42" t="s">
        <v>1065</v>
      </c>
      <c r="B654" s="149"/>
      <c r="C654" s="151" t="s">
        <v>625</v>
      </c>
      <c r="D654" s="26">
        <v>2000.0</v>
      </c>
      <c r="E654" s="26"/>
      <c r="F654" s="26"/>
    </row>
    <row r="655">
      <c r="A655" s="42" t="s">
        <v>1066</v>
      </c>
      <c r="B655" s="149"/>
      <c r="C655" s="16" t="s">
        <v>513</v>
      </c>
      <c r="D655" s="26">
        <f>10000*1.19</f>
        <v>11900</v>
      </c>
      <c r="E655" s="26"/>
      <c r="F655" s="26"/>
    </row>
    <row r="656">
      <c r="A656" s="16" t="s">
        <v>1067</v>
      </c>
      <c r="B656" s="49"/>
      <c r="C656" s="16" t="s">
        <v>16</v>
      </c>
      <c r="D656" s="26">
        <v>51618.0</v>
      </c>
      <c r="E656" s="26"/>
      <c r="F656" s="26"/>
    </row>
    <row r="657">
      <c r="A657" s="16" t="s">
        <v>1068</v>
      </c>
      <c r="B657" s="49"/>
      <c r="C657" s="16" t="s">
        <v>16</v>
      </c>
      <c r="D657" s="26">
        <v>42210.0</v>
      </c>
      <c r="E657" s="26"/>
      <c r="F657" s="26"/>
    </row>
    <row r="658">
      <c r="A658" s="16" t="s">
        <v>1069</v>
      </c>
      <c r="B658" s="49"/>
      <c r="C658" s="20" t="s">
        <v>1070</v>
      </c>
      <c r="D658" s="26">
        <v>2200.0</v>
      </c>
      <c r="E658" s="26"/>
      <c r="F658" s="26"/>
    </row>
    <row r="659">
      <c r="A659" s="16" t="s">
        <v>1071</v>
      </c>
      <c r="B659" s="49"/>
      <c r="C659" s="20" t="s">
        <v>1070</v>
      </c>
      <c r="D659" s="26">
        <v>2200.0</v>
      </c>
      <c r="E659" s="26"/>
      <c r="F659" s="26"/>
    </row>
    <row r="660">
      <c r="A660" s="16" t="s">
        <v>1072</v>
      </c>
      <c r="B660" s="49"/>
      <c r="C660" s="20" t="s">
        <v>1070</v>
      </c>
      <c r="D660" s="26">
        <v>2200.0</v>
      </c>
      <c r="E660" s="26"/>
      <c r="F660" s="26"/>
    </row>
    <row r="661">
      <c r="A661" s="16" t="s">
        <v>1073</v>
      </c>
      <c r="B661" s="49"/>
      <c r="C661" s="20" t="s">
        <v>1070</v>
      </c>
      <c r="D661" s="26">
        <v>2200.0</v>
      </c>
      <c r="E661" s="26"/>
      <c r="F661" s="26"/>
    </row>
    <row r="662">
      <c r="A662" s="59" t="s">
        <v>1074</v>
      </c>
      <c r="B662" s="134" t="s">
        <v>1075</v>
      </c>
      <c r="C662" s="16" t="s">
        <v>485</v>
      </c>
      <c r="D662" s="26">
        <f>18950*1.19</f>
        <v>22550.5</v>
      </c>
      <c r="E662" s="26"/>
      <c r="F662" s="26"/>
    </row>
    <row r="663">
      <c r="A663" s="149" t="s">
        <v>1076</v>
      </c>
      <c r="B663" s="149"/>
      <c r="C663" s="16" t="s">
        <v>1077</v>
      </c>
      <c r="D663" s="26">
        <v>400.0</v>
      </c>
      <c r="E663" s="26"/>
      <c r="F663" s="26"/>
    </row>
    <row r="664">
      <c r="A664" s="16" t="s">
        <v>1078</v>
      </c>
      <c r="B664" s="49"/>
      <c r="C664" s="54" t="s">
        <v>63</v>
      </c>
      <c r="D664" s="26">
        <f>112640/2</f>
        <v>56320</v>
      </c>
      <c r="E664" s="26"/>
      <c r="F664" s="26"/>
    </row>
    <row r="665">
      <c r="A665" s="16" t="s">
        <v>1079</v>
      </c>
      <c r="B665" s="51"/>
      <c r="C665" s="16" t="s">
        <v>760</v>
      </c>
      <c r="D665" s="26">
        <v>2000.0</v>
      </c>
      <c r="E665" s="26"/>
      <c r="F665" s="26"/>
    </row>
    <row r="666">
      <c r="A666" s="52" t="s">
        <v>1080</v>
      </c>
      <c r="B666" s="51"/>
      <c r="C666" s="16" t="s">
        <v>462</v>
      </c>
      <c r="D666" s="26">
        <f>23400*1.19</f>
        <v>27846</v>
      </c>
      <c r="E666" s="26"/>
      <c r="F666" s="26"/>
    </row>
    <row r="667">
      <c r="A667" s="59" t="s">
        <v>1081</v>
      </c>
      <c r="B667" s="49"/>
      <c r="C667" s="16" t="s">
        <v>93</v>
      </c>
      <c r="D667" s="26">
        <v>22480.0</v>
      </c>
      <c r="E667" s="26"/>
      <c r="F667" s="26"/>
    </row>
    <row r="668">
      <c r="A668" s="52" t="s">
        <v>1082</v>
      </c>
      <c r="B668" s="51"/>
      <c r="C668" s="20" t="s">
        <v>60</v>
      </c>
      <c r="D668" s="26">
        <v>500.0</v>
      </c>
      <c r="E668" s="26"/>
      <c r="F668" s="26"/>
    </row>
    <row r="669">
      <c r="A669" s="16" t="s">
        <v>1083</v>
      </c>
      <c r="B669" s="51"/>
      <c r="C669" s="20" t="s">
        <v>485</v>
      </c>
      <c r="D669" s="79">
        <v>273819.0</v>
      </c>
      <c r="E669" s="79"/>
      <c r="F669" s="79"/>
    </row>
    <row r="670">
      <c r="A670" s="16" t="s">
        <v>1084</v>
      </c>
      <c r="B670" s="49"/>
      <c r="C670" s="20" t="s">
        <v>1085</v>
      </c>
      <c r="D670" s="26">
        <v>12285.0</v>
      </c>
      <c r="E670" s="26"/>
      <c r="F670" s="26"/>
    </row>
    <row r="671">
      <c r="A671" s="52" t="s">
        <v>1086</v>
      </c>
      <c r="B671" s="16"/>
      <c r="C671" s="16" t="s">
        <v>613</v>
      </c>
      <c r="D671" s="26">
        <v>10985.0</v>
      </c>
      <c r="E671" s="26"/>
      <c r="F671" s="26"/>
    </row>
    <row r="672">
      <c r="A672" s="52" t="s">
        <v>1087</v>
      </c>
      <c r="B672" s="16" t="s">
        <v>1088</v>
      </c>
      <c r="C672" s="16" t="s">
        <v>88</v>
      </c>
      <c r="D672" s="26">
        <v>13101.0</v>
      </c>
      <c r="E672" s="26"/>
      <c r="F672" s="26"/>
    </row>
    <row r="673">
      <c r="A673" s="16" t="s">
        <v>1089</v>
      </c>
      <c r="B673" s="16" t="s">
        <v>1090</v>
      </c>
      <c r="C673" s="16" t="s">
        <v>1090</v>
      </c>
      <c r="D673" s="26">
        <v>8970.0</v>
      </c>
      <c r="E673" s="26"/>
      <c r="F673" s="26"/>
    </row>
    <row r="674">
      <c r="A674" s="59" t="s">
        <v>1091</v>
      </c>
      <c r="B674" s="97" t="s">
        <v>1092</v>
      </c>
      <c r="C674" s="20" t="s">
        <v>485</v>
      </c>
      <c r="D674" s="79">
        <f>47617*1.19</f>
        <v>56664.23</v>
      </c>
      <c r="E674" s="79"/>
      <c r="F674" s="79"/>
    </row>
    <row r="675">
      <c r="A675" s="40" t="s">
        <v>1093</v>
      </c>
      <c r="B675" s="49" t="s">
        <v>1094</v>
      </c>
      <c r="C675" s="20" t="s">
        <v>1095</v>
      </c>
      <c r="D675" s="26">
        <v>6000.0</v>
      </c>
      <c r="E675" s="26"/>
      <c r="F675" s="26"/>
    </row>
    <row r="676">
      <c r="A676" s="16" t="s">
        <v>1096</v>
      </c>
      <c r="B676" s="51" t="s">
        <v>1097</v>
      </c>
      <c r="C676" s="16" t="s">
        <v>1099</v>
      </c>
      <c r="D676" s="26">
        <v>17017.0</v>
      </c>
      <c r="E676" s="26"/>
      <c r="F676" s="26"/>
    </row>
    <row r="677">
      <c r="A677" s="42" t="s">
        <v>1101</v>
      </c>
      <c r="B677" s="149"/>
      <c r="C677" s="16" t="s">
        <v>553</v>
      </c>
      <c r="D677" s="26">
        <f>590*1.19</f>
        <v>702.1</v>
      </c>
      <c r="E677" s="26"/>
      <c r="F677" s="26"/>
    </row>
    <row r="678">
      <c r="A678" s="122" t="s">
        <v>1102</v>
      </c>
      <c r="B678" s="51">
        <v>242001.0</v>
      </c>
      <c r="C678" s="16" t="s">
        <v>659</v>
      </c>
      <c r="D678" s="521">
        <v>4500.0</v>
      </c>
      <c r="E678" s="521"/>
      <c r="F678" s="521"/>
    </row>
    <row r="679">
      <c r="A679" s="122" t="s">
        <v>1103</v>
      </c>
      <c r="B679" s="51">
        <v>242002.0</v>
      </c>
      <c r="C679" s="16" t="s">
        <v>659</v>
      </c>
      <c r="D679" s="521">
        <f>5796*1.19</f>
        <v>6897.24</v>
      </c>
      <c r="E679" s="521"/>
      <c r="F679" s="521"/>
    </row>
    <row r="680">
      <c r="A680" s="122" t="s">
        <v>1104</v>
      </c>
      <c r="B680" s="51">
        <v>242003.0</v>
      </c>
      <c r="C680" s="16" t="s">
        <v>659</v>
      </c>
      <c r="D680" s="521">
        <v>5300.0</v>
      </c>
      <c r="E680" s="521"/>
      <c r="F680" s="521"/>
    </row>
    <row r="681">
      <c r="A681" s="16" t="s">
        <v>1105</v>
      </c>
      <c r="B681" s="49" t="s">
        <v>689</v>
      </c>
      <c r="C681" s="16" t="s">
        <v>16</v>
      </c>
      <c r="D681" s="26">
        <v>1433.0</v>
      </c>
      <c r="E681" s="26"/>
      <c r="F681" s="26"/>
    </row>
    <row r="682">
      <c r="A682" s="122" t="s">
        <v>1106</v>
      </c>
      <c r="B682" s="51">
        <v>241017.0</v>
      </c>
      <c r="C682" s="16" t="s">
        <v>659</v>
      </c>
      <c r="D682" s="521">
        <f>697*1.19</f>
        <v>829.43</v>
      </c>
      <c r="E682" s="521"/>
      <c r="F682" s="521"/>
    </row>
    <row r="683">
      <c r="A683" s="122" t="s">
        <v>1109</v>
      </c>
      <c r="B683" s="51"/>
      <c r="C683" s="16" t="s">
        <v>16</v>
      </c>
      <c r="D683" s="79">
        <v>90000.0</v>
      </c>
      <c r="E683" s="79"/>
      <c r="F683" s="79"/>
    </row>
    <row r="684">
      <c r="A684" s="42" t="s">
        <v>1110</v>
      </c>
      <c r="B684" s="51" t="s">
        <v>1111</v>
      </c>
      <c r="C684" s="54" t="s">
        <v>1112</v>
      </c>
      <c r="D684" s="26">
        <v>47430.0</v>
      </c>
      <c r="E684" s="26"/>
      <c r="F684" s="26"/>
    </row>
    <row r="685">
      <c r="A685" s="118" t="s">
        <v>1113</v>
      </c>
      <c r="B685" s="51" t="s">
        <v>1114</v>
      </c>
      <c r="C685" s="16" t="s">
        <v>1115</v>
      </c>
      <c r="D685" s="26">
        <v>7800.0</v>
      </c>
      <c r="E685" s="26"/>
      <c r="F685" s="26"/>
    </row>
    <row r="686">
      <c r="A686" s="118" t="s">
        <v>1116</v>
      </c>
      <c r="B686" s="51" t="s">
        <v>1117</v>
      </c>
      <c r="C686" s="16" t="s">
        <v>1118</v>
      </c>
      <c r="D686" s="79">
        <f>10335*1.19</f>
        <v>12298.65</v>
      </c>
      <c r="E686" s="79"/>
      <c r="F686" s="79"/>
    </row>
    <row r="687">
      <c r="A687" s="52" t="s">
        <v>1119</v>
      </c>
      <c r="B687" s="51" t="s">
        <v>1120</v>
      </c>
      <c r="C687" s="16" t="s">
        <v>1121</v>
      </c>
      <c r="D687" s="26">
        <f>21385*1.19</f>
        <v>25448.15</v>
      </c>
      <c r="E687" s="26"/>
      <c r="F687" s="26"/>
    </row>
    <row r="688">
      <c r="A688" s="52" t="s">
        <v>1122</v>
      </c>
      <c r="B688" s="49" t="s">
        <v>1123</v>
      </c>
      <c r="C688" s="16" t="s">
        <v>1124</v>
      </c>
      <c r="D688" s="79">
        <f>9685*1.19</f>
        <v>11525.15</v>
      </c>
      <c r="E688" s="79"/>
      <c r="F688" s="79"/>
    </row>
    <row r="689">
      <c r="A689" s="185" t="s">
        <v>1126</v>
      </c>
      <c r="B689" s="49" t="s">
        <v>1127</v>
      </c>
      <c r="C689" s="20" t="s">
        <v>1128</v>
      </c>
      <c r="D689" s="26">
        <f t="shared" ref="D689:D691" si="21">6100*1.19</f>
        <v>7259</v>
      </c>
      <c r="E689" s="26"/>
      <c r="F689" s="26"/>
    </row>
    <row r="690">
      <c r="A690" s="52" t="s">
        <v>1129</v>
      </c>
      <c r="B690" s="49" t="s">
        <v>1127</v>
      </c>
      <c r="C690" s="20" t="s">
        <v>1128</v>
      </c>
      <c r="D690" s="26">
        <f t="shared" si="21"/>
        <v>7259</v>
      </c>
      <c r="E690" s="26"/>
      <c r="F690" s="26"/>
    </row>
    <row r="691">
      <c r="A691" s="52" t="s">
        <v>1131</v>
      </c>
      <c r="B691" s="49" t="s">
        <v>1127</v>
      </c>
      <c r="C691" s="20" t="s">
        <v>1128</v>
      </c>
      <c r="D691" s="26">
        <f t="shared" si="21"/>
        <v>7259</v>
      </c>
      <c r="E691" s="26"/>
      <c r="F691" s="26"/>
    </row>
    <row r="692">
      <c r="A692" s="52" t="s">
        <v>1132</v>
      </c>
      <c r="B692" s="51">
        <v>249014.0</v>
      </c>
      <c r="C692" s="16" t="s">
        <v>425</v>
      </c>
      <c r="D692" s="26">
        <f>18721/6</f>
        <v>3120.166667</v>
      </c>
      <c r="E692" s="26"/>
      <c r="F692" s="26"/>
    </row>
    <row r="693">
      <c r="A693" s="16" t="s">
        <v>1133</v>
      </c>
      <c r="B693" s="49"/>
      <c r="C693" s="16" t="s">
        <v>16</v>
      </c>
      <c r="D693" s="26">
        <v>43730.0</v>
      </c>
      <c r="E693" s="26"/>
      <c r="F693" s="26"/>
    </row>
    <row r="694">
      <c r="A694" s="16" t="s">
        <v>1134</v>
      </c>
      <c r="B694" s="49"/>
      <c r="C694" s="16" t="s">
        <v>16</v>
      </c>
      <c r="D694" s="26">
        <f>43730/120</f>
        <v>364.4166667</v>
      </c>
      <c r="E694" s="26"/>
      <c r="F694" s="26"/>
    </row>
    <row r="695">
      <c r="A695" s="16" t="s">
        <v>1135</v>
      </c>
      <c r="B695" s="49"/>
      <c r="C695" s="16" t="s">
        <v>16</v>
      </c>
      <c r="D695" s="26">
        <f>55406/50</f>
        <v>1108.12</v>
      </c>
      <c r="E695" s="26"/>
      <c r="F695" s="26"/>
    </row>
    <row r="696">
      <c r="A696" s="16" t="s">
        <v>1136</v>
      </c>
      <c r="B696" s="49"/>
      <c r="C696" s="16" t="s">
        <v>16</v>
      </c>
      <c r="D696" s="26">
        <v>4656.0</v>
      </c>
      <c r="E696" s="26"/>
      <c r="F696" s="26"/>
    </row>
    <row r="697">
      <c r="A697" s="16" t="s">
        <v>1137</v>
      </c>
      <c r="B697" s="49"/>
      <c r="C697" s="16" t="s">
        <v>16</v>
      </c>
      <c r="D697" s="26">
        <v>4656.0</v>
      </c>
      <c r="E697" s="26"/>
      <c r="F697" s="26"/>
    </row>
    <row r="698">
      <c r="A698" s="16" t="s">
        <v>1138</v>
      </c>
      <c r="B698" s="49"/>
      <c r="C698" s="16" t="s">
        <v>16</v>
      </c>
      <c r="D698" s="26">
        <v>4656.0</v>
      </c>
      <c r="E698" s="26"/>
      <c r="F698" s="26"/>
    </row>
    <row r="699" ht="27.75" customHeight="1">
      <c r="A699" s="16" t="s">
        <v>1139</v>
      </c>
      <c r="B699" s="49"/>
      <c r="C699" s="16" t="s">
        <v>16</v>
      </c>
      <c r="D699" s="26">
        <v>4656.0</v>
      </c>
      <c r="E699" s="26"/>
      <c r="F699" s="26"/>
    </row>
    <row r="700" ht="27.75" customHeight="1">
      <c r="A700" s="16" t="s">
        <v>1140</v>
      </c>
      <c r="B700" s="49"/>
      <c r="C700" s="16" t="s">
        <v>16</v>
      </c>
      <c r="D700" s="26">
        <v>4656.0</v>
      </c>
      <c r="E700" s="26"/>
      <c r="F700" s="26"/>
    </row>
    <row r="701" ht="27.75" customHeight="1">
      <c r="A701" s="16" t="s">
        <v>1141</v>
      </c>
      <c r="B701" s="49"/>
      <c r="C701" s="16" t="s">
        <v>16</v>
      </c>
      <c r="D701" s="26">
        <v>4656.0</v>
      </c>
      <c r="E701" s="26"/>
      <c r="F701" s="26"/>
    </row>
    <row r="702" ht="27.75" customHeight="1">
      <c r="A702" s="16" t="s">
        <v>1142</v>
      </c>
      <c r="B702" s="49"/>
      <c r="C702" s="16" t="s">
        <v>16</v>
      </c>
      <c r="D702" s="26">
        <v>4656.0</v>
      </c>
      <c r="E702" s="26"/>
      <c r="F702" s="26"/>
    </row>
    <row r="703">
      <c r="A703" s="16" t="s">
        <v>1143</v>
      </c>
      <c r="B703" s="49"/>
      <c r="C703" s="16" t="s">
        <v>16</v>
      </c>
      <c r="D703" s="26">
        <v>4656.0</v>
      </c>
      <c r="E703" s="26"/>
      <c r="F703" s="26"/>
    </row>
    <row r="704">
      <c r="A704" s="16" t="s">
        <v>1144</v>
      </c>
      <c r="B704" s="49"/>
      <c r="C704" s="16" t="s">
        <v>16</v>
      </c>
      <c r="D704" s="26">
        <v>4656.0</v>
      </c>
      <c r="E704" s="26"/>
      <c r="F704" s="26"/>
    </row>
    <row r="705">
      <c r="A705" s="16" t="s">
        <v>1145</v>
      </c>
      <c r="B705" s="51"/>
      <c r="C705" s="16" t="s">
        <v>625</v>
      </c>
      <c r="D705" s="26">
        <v>1500.0</v>
      </c>
      <c r="E705" s="26"/>
      <c r="F705" s="26"/>
    </row>
    <row r="706">
      <c r="A706" s="52" t="s">
        <v>1146</v>
      </c>
      <c r="B706" s="51" t="s">
        <v>1147</v>
      </c>
      <c r="C706" s="16" t="s">
        <v>1149</v>
      </c>
      <c r="D706" s="26">
        <v>28000.0</v>
      </c>
      <c r="E706" s="26"/>
      <c r="F706" s="26"/>
    </row>
    <row r="707">
      <c r="A707" s="16" t="s">
        <v>1150</v>
      </c>
      <c r="B707" s="49"/>
      <c r="C707" s="16" t="s">
        <v>577</v>
      </c>
      <c r="D707" s="26">
        <v>10500.0</v>
      </c>
      <c r="E707" s="26"/>
      <c r="F707" s="26"/>
    </row>
    <row r="708">
      <c r="A708" s="59" t="s">
        <v>1151</v>
      </c>
      <c r="B708" s="97" t="s">
        <v>1152</v>
      </c>
      <c r="C708" s="20" t="s">
        <v>1153</v>
      </c>
      <c r="D708" s="26">
        <v>1390.0</v>
      </c>
      <c r="E708" s="26"/>
      <c r="F708" s="26"/>
    </row>
    <row r="709">
      <c r="A709" s="59" t="s">
        <v>1154</v>
      </c>
      <c r="B709" s="97" t="s">
        <v>1155</v>
      </c>
      <c r="C709" s="20" t="s">
        <v>485</v>
      </c>
      <c r="D709" s="523">
        <f>74900*1.19</f>
        <v>89131</v>
      </c>
      <c r="E709" s="523"/>
      <c r="F709" s="523"/>
    </row>
    <row r="710">
      <c r="A710" s="40" t="s">
        <v>1156</v>
      </c>
      <c r="B710" s="49"/>
      <c r="C710" s="16" t="s">
        <v>1158</v>
      </c>
      <c r="D710" s="26">
        <f>10900*1.19</f>
        <v>12971</v>
      </c>
      <c r="E710" s="26"/>
      <c r="F710" s="26"/>
    </row>
    <row r="711">
      <c r="A711" s="16" t="s">
        <v>1159</v>
      </c>
      <c r="B711" s="49"/>
      <c r="C711" s="16" t="s">
        <v>16</v>
      </c>
      <c r="D711" s="518">
        <v>402.316</v>
      </c>
      <c r="E711" s="518"/>
      <c r="F711" s="518"/>
    </row>
    <row r="712">
      <c r="A712" s="16" t="s">
        <v>1160</v>
      </c>
      <c r="B712" s="49"/>
      <c r="C712" s="16" t="s">
        <v>1161</v>
      </c>
      <c r="D712" s="79">
        <f t="shared" ref="D712:D721" si="22">34290*1.19/5</f>
        <v>8161.02</v>
      </c>
      <c r="E712" s="79"/>
      <c r="F712" s="79"/>
    </row>
    <row r="713">
      <c r="A713" s="16" t="s">
        <v>1162</v>
      </c>
      <c r="B713" s="51"/>
      <c r="C713" s="16" t="s">
        <v>16</v>
      </c>
      <c r="D713" s="79">
        <f t="shared" si="22"/>
        <v>8161.02</v>
      </c>
      <c r="E713" s="79"/>
      <c r="F713" s="79"/>
    </row>
    <row r="714">
      <c r="A714" s="16" t="s">
        <v>1163</v>
      </c>
      <c r="B714" s="49"/>
      <c r="C714" s="16" t="s">
        <v>1164</v>
      </c>
      <c r="D714" s="79">
        <f t="shared" si="22"/>
        <v>8161.02</v>
      </c>
      <c r="E714" s="79"/>
      <c r="F714" s="79"/>
    </row>
    <row r="715">
      <c r="A715" s="16" t="s">
        <v>1165</v>
      </c>
      <c r="B715" s="49"/>
      <c r="C715" s="16" t="s">
        <v>1164</v>
      </c>
      <c r="D715" s="79">
        <f t="shared" si="22"/>
        <v>8161.02</v>
      </c>
      <c r="E715" s="79"/>
      <c r="F715" s="79"/>
    </row>
    <row r="716">
      <c r="A716" s="16" t="s">
        <v>1166</v>
      </c>
      <c r="B716" s="49"/>
      <c r="C716" s="16" t="s">
        <v>1164</v>
      </c>
      <c r="D716" s="79">
        <f t="shared" si="22"/>
        <v>8161.02</v>
      </c>
      <c r="E716" s="79"/>
      <c r="F716" s="79"/>
    </row>
    <row r="717">
      <c r="A717" s="16" t="s">
        <v>1167</v>
      </c>
      <c r="B717" s="49"/>
      <c r="C717" s="16" t="s">
        <v>1164</v>
      </c>
      <c r="D717" s="79">
        <f t="shared" si="22"/>
        <v>8161.02</v>
      </c>
      <c r="E717" s="79"/>
      <c r="F717" s="79"/>
    </row>
    <row r="718">
      <c r="A718" s="187" t="s">
        <v>1168</v>
      </c>
      <c r="B718" s="49"/>
      <c r="C718" s="16" t="s">
        <v>1164</v>
      </c>
      <c r="D718" s="79">
        <f t="shared" si="22"/>
        <v>8161.02</v>
      </c>
      <c r="E718" s="79"/>
      <c r="F718" s="79"/>
    </row>
    <row r="719">
      <c r="A719" s="187" t="s">
        <v>1169</v>
      </c>
      <c r="B719" s="49"/>
      <c r="C719" s="16" t="s">
        <v>1164</v>
      </c>
      <c r="D719" s="79">
        <f t="shared" si="22"/>
        <v>8161.02</v>
      </c>
      <c r="E719" s="79"/>
      <c r="F719" s="79"/>
    </row>
    <row r="720">
      <c r="A720" s="187" t="s">
        <v>1170</v>
      </c>
      <c r="B720" s="49">
        <v>245034.0</v>
      </c>
      <c r="C720" s="16" t="s">
        <v>1164</v>
      </c>
      <c r="D720" s="79">
        <f t="shared" si="22"/>
        <v>8161.02</v>
      </c>
      <c r="E720" s="79"/>
      <c r="F720" s="79"/>
    </row>
    <row r="721">
      <c r="A721" s="187" t="s">
        <v>1171</v>
      </c>
      <c r="B721" s="49">
        <v>245035.0</v>
      </c>
      <c r="C721" s="16" t="s">
        <v>1164</v>
      </c>
      <c r="D721" s="79">
        <f t="shared" si="22"/>
        <v>8161.02</v>
      </c>
      <c r="E721" s="79"/>
      <c r="F721" s="79"/>
    </row>
    <row r="722">
      <c r="A722" s="187" t="s">
        <v>1172</v>
      </c>
      <c r="B722" s="49">
        <v>245032.0</v>
      </c>
      <c r="C722" s="16" t="s">
        <v>1161</v>
      </c>
      <c r="D722" s="79">
        <v>6378.0</v>
      </c>
      <c r="E722" s="79"/>
      <c r="F722" s="79"/>
    </row>
    <row r="723">
      <c r="A723" s="187" t="s">
        <v>1173</v>
      </c>
      <c r="B723" s="49">
        <v>245033.0</v>
      </c>
      <c r="C723" s="16" t="s">
        <v>1161</v>
      </c>
      <c r="D723" s="79">
        <v>6378.0</v>
      </c>
      <c r="E723" s="79"/>
      <c r="F723" s="79"/>
    </row>
    <row r="724">
      <c r="A724" s="187" t="s">
        <v>1174</v>
      </c>
      <c r="B724" s="49">
        <v>245034.0</v>
      </c>
      <c r="C724" s="16" t="s">
        <v>1161</v>
      </c>
      <c r="D724" s="79">
        <v>6378.0</v>
      </c>
      <c r="E724" s="79"/>
      <c r="F724" s="79"/>
    </row>
    <row r="725">
      <c r="A725" s="187" t="s">
        <v>1175</v>
      </c>
      <c r="B725" s="49">
        <v>245035.0</v>
      </c>
      <c r="C725" s="16" t="s">
        <v>1161</v>
      </c>
      <c r="D725" s="79">
        <v>6378.0</v>
      </c>
      <c r="E725" s="79"/>
      <c r="F725" s="79"/>
    </row>
    <row r="726">
      <c r="A726" s="16" t="s">
        <v>1176</v>
      </c>
      <c r="B726" s="49"/>
      <c r="C726" s="16" t="s">
        <v>1164</v>
      </c>
      <c r="D726" s="79">
        <f t="shared" ref="D726:D731" si="23">34290*1.19/5</f>
        <v>8161.02</v>
      </c>
      <c r="E726" s="79"/>
      <c r="F726" s="79"/>
    </row>
    <row r="727">
      <c r="A727" s="16" t="s">
        <v>1177</v>
      </c>
      <c r="B727" s="49"/>
      <c r="C727" s="16" t="s">
        <v>1161</v>
      </c>
      <c r="D727" s="79">
        <f t="shared" si="23"/>
        <v>8161.02</v>
      </c>
      <c r="E727" s="79"/>
      <c r="F727" s="79"/>
    </row>
    <row r="728">
      <c r="A728" s="16" t="s">
        <v>1178</v>
      </c>
      <c r="B728" s="49"/>
      <c r="C728" s="16" t="s">
        <v>1164</v>
      </c>
      <c r="D728" s="79">
        <f t="shared" si="23"/>
        <v>8161.02</v>
      </c>
      <c r="E728" s="79"/>
      <c r="F728" s="79"/>
    </row>
    <row r="729">
      <c r="A729" s="16" t="s">
        <v>1179</v>
      </c>
      <c r="B729" s="49"/>
      <c r="C729" s="16" t="s">
        <v>1164</v>
      </c>
      <c r="D729" s="79">
        <f t="shared" si="23"/>
        <v>8161.02</v>
      </c>
      <c r="E729" s="79"/>
      <c r="F729" s="79"/>
    </row>
    <row r="730">
      <c r="A730" s="16" t="s">
        <v>1180</v>
      </c>
      <c r="B730" s="49"/>
      <c r="C730" s="16" t="s">
        <v>1164</v>
      </c>
      <c r="D730" s="79">
        <f t="shared" si="23"/>
        <v>8161.02</v>
      </c>
      <c r="E730" s="79"/>
      <c r="F730" s="79"/>
    </row>
    <row r="731">
      <c r="A731" s="16" t="s">
        <v>1181</v>
      </c>
      <c r="B731" s="49"/>
      <c r="C731" s="16" t="s">
        <v>1164</v>
      </c>
      <c r="D731" s="79">
        <f t="shared" si="23"/>
        <v>8161.02</v>
      </c>
      <c r="E731" s="79"/>
      <c r="F731" s="79"/>
    </row>
    <row r="732">
      <c r="A732" s="16" t="s">
        <v>1182</v>
      </c>
      <c r="B732" s="49">
        <v>245037.0</v>
      </c>
      <c r="C732" s="16" t="s">
        <v>914</v>
      </c>
      <c r="D732" s="79">
        <v>6378.0</v>
      </c>
      <c r="E732" s="79"/>
      <c r="F732" s="79"/>
    </row>
    <row r="733">
      <c r="A733" s="16" t="s">
        <v>1183</v>
      </c>
      <c r="B733" s="49"/>
      <c r="C733" s="16" t="s">
        <v>1164</v>
      </c>
      <c r="D733" s="79">
        <f t="shared" ref="D733:D737" si="24">34290*1.19/5</f>
        <v>8161.02</v>
      </c>
      <c r="E733" s="79"/>
      <c r="F733" s="79"/>
    </row>
    <row r="734">
      <c r="A734" s="16" t="s">
        <v>1184</v>
      </c>
      <c r="B734" s="49"/>
      <c r="C734" s="16" t="s">
        <v>1164</v>
      </c>
      <c r="D734" s="79">
        <f t="shared" si="24"/>
        <v>8161.02</v>
      </c>
      <c r="E734" s="79"/>
      <c r="F734" s="79"/>
    </row>
    <row r="735">
      <c r="A735" s="16" t="s">
        <v>1185</v>
      </c>
      <c r="B735" s="49"/>
      <c r="C735" s="16" t="s">
        <v>1161</v>
      </c>
      <c r="D735" s="79">
        <f t="shared" si="24"/>
        <v>8161.02</v>
      </c>
      <c r="E735" s="79"/>
      <c r="F735" s="79"/>
    </row>
    <row r="736">
      <c r="A736" s="16" t="s">
        <v>1186</v>
      </c>
      <c r="B736" s="49"/>
      <c r="C736" s="16" t="s">
        <v>1164</v>
      </c>
      <c r="D736" s="79">
        <f t="shared" si="24"/>
        <v>8161.02</v>
      </c>
      <c r="E736" s="79"/>
      <c r="F736" s="79"/>
    </row>
    <row r="737">
      <c r="A737" s="16" t="s">
        <v>1187</v>
      </c>
      <c r="B737" s="49"/>
      <c r="C737" s="16" t="s">
        <v>1164</v>
      </c>
      <c r="D737" s="79">
        <f t="shared" si="24"/>
        <v>8161.02</v>
      </c>
      <c r="E737" s="79"/>
      <c r="F737" s="79"/>
    </row>
    <row r="738">
      <c r="A738" s="16" t="s">
        <v>1188</v>
      </c>
      <c r="B738" s="49">
        <v>245039.0</v>
      </c>
      <c r="C738" s="16" t="s">
        <v>1161</v>
      </c>
      <c r="D738" s="79">
        <v>6378.0</v>
      </c>
      <c r="E738" s="79"/>
      <c r="F738" s="79"/>
    </row>
    <row r="739">
      <c r="A739" s="16" t="s">
        <v>1189</v>
      </c>
      <c r="B739" s="49"/>
      <c r="C739" s="16" t="s">
        <v>1164</v>
      </c>
      <c r="D739" s="79">
        <f t="shared" ref="D739:D741" si="25">34290*1.19/5</f>
        <v>8161.02</v>
      </c>
      <c r="E739" s="79"/>
      <c r="F739" s="79"/>
    </row>
    <row r="740">
      <c r="A740" s="16" t="s">
        <v>1190</v>
      </c>
      <c r="B740" s="49"/>
      <c r="C740" s="16" t="s">
        <v>1161</v>
      </c>
      <c r="D740" s="79">
        <f t="shared" si="25"/>
        <v>8161.02</v>
      </c>
      <c r="E740" s="79"/>
      <c r="F740" s="79"/>
    </row>
    <row r="741">
      <c r="A741" s="16" t="s">
        <v>1191</v>
      </c>
      <c r="B741" s="49"/>
      <c r="C741" s="16" t="s">
        <v>1164</v>
      </c>
      <c r="D741" s="79">
        <f t="shared" si="25"/>
        <v>8161.02</v>
      </c>
      <c r="E741" s="79"/>
      <c r="F741" s="79"/>
    </row>
    <row r="742">
      <c r="A742" s="16" t="s">
        <v>1192</v>
      </c>
      <c r="B742" s="49">
        <v>245041.0</v>
      </c>
      <c r="C742" s="16" t="s">
        <v>1161</v>
      </c>
      <c r="D742" s="79">
        <v>6378.0</v>
      </c>
      <c r="E742" s="79"/>
      <c r="F742" s="79"/>
    </row>
    <row r="743">
      <c r="A743" s="16" t="s">
        <v>1193</v>
      </c>
      <c r="B743" s="49"/>
      <c r="C743" s="16" t="s">
        <v>1164</v>
      </c>
      <c r="D743" s="79">
        <f t="shared" ref="D743:D745" si="26">34290*1.19/5</f>
        <v>8161.02</v>
      </c>
      <c r="E743" s="79"/>
      <c r="F743" s="79"/>
    </row>
    <row r="744">
      <c r="A744" s="16" t="s">
        <v>1194</v>
      </c>
      <c r="B744" s="49"/>
      <c r="C744" s="16" t="s">
        <v>1161</v>
      </c>
      <c r="D744" s="79">
        <f t="shared" si="26"/>
        <v>8161.02</v>
      </c>
      <c r="E744" s="79"/>
      <c r="F744" s="79"/>
    </row>
    <row r="745">
      <c r="A745" s="16" t="s">
        <v>1195</v>
      </c>
      <c r="B745" s="49"/>
      <c r="C745" s="16" t="s">
        <v>1164</v>
      </c>
      <c r="D745" s="79">
        <f t="shared" si="26"/>
        <v>8161.02</v>
      </c>
      <c r="E745" s="79"/>
      <c r="F745" s="79"/>
    </row>
    <row r="746">
      <c r="A746" s="16" t="s">
        <v>1196</v>
      </c>
      <c r="B746" s="49">
        <v>245043.0</v>
      </c>
      <c r="C746" s="16" t="s">
        <v>1161</v>
      </c>
      <c r="D746" s="79">
        <v>6378.0</v>
      </c>
      <c r="E746" s="79"/>
      <c r="F746" s="79"/>
    </row>
    <row r="747">
      <c r="A747" s="16" t="s">
        <v>1197</v>
      </c>
      <c r="B747" s="49"/>
      <c r="C747" s="16" t="s">
        <v>1198</v>
      </c>
      <c r="D747" s="26">
        <v>2800.0</v>
      </c>
      <c r="E747" s="26"/>
      <c r="F747" s="26"/>
    </row>
    <row r="748">
      <c r="A748" s="16" t="s">
        <v>1199</v>
      </c>
      <c r="B748" s="49"/>
      <c r="C748" s="16" t="s">
        <v>1201</v>
      </c>
      <c r="D748" s="79">
        <f>9500*1.19</f>
        <v>11305</v>
      </c>
      <c r="E748" s="79"/>
      <c r="F748" s="79"/>
    </row>
    <row r="749">
      <c r="A749" s="16" t="s">
        <v>1202</v>
      </c>
      <c r="B749" s="49" t="str">
        <f>#REF!*4</f>
        <v>#REF!</v>
      </c>
      <c r="C749" s="20" t="s">
        <v>375</v>
      </c>
      <c r="D749" s="26">
        <f>9000*1.19</f>
        <v>10710</v>
      </c>
      <c r="E749" s="26"/>
      <c r="F749" s="26"/>
    </row>
    <row r="750">
      <c r="A750" s="16" t="s">
        <v>1203</v>
      </c>
      <c r="B750" s="49"/>
      <c r="C750" s="16" t="s">
        <v>1201</v>
      </c>
      <c r="D750" s="79">
        <f>9500*1.19</f>
        <v>11305</v>
      </c>
      <c r="E750" s="79"/>
      <c r="F750" s="79"/>
    </row>
    <row r="751">
      <c r="A751" s="16" t="s">
        <v>1204</v>
      </c>
      <c r="B751" s="49"/>
      <c r="C751" s="16" t="s">
        <v>1205</v>
      </c>
      <c r="D751" s="26">
        <f>11452*1.19</f>
        <v>13627.88</v>
      </c>
      <c r="E751" s="26"/>
      <c r="F751" s="26"/>
    </row>
    <row r="752">
      <c r="A752" s="16" t="s">
        <v>1206</v>
      </c>
      <c r="B752" s="51"/>
      <c r="C752" s="40" t="s">
        <v>93</v>
      </c>
      <c r="D752" s="26">
        <v>10670.0</v>
      </c>
      <c r="E752" s="26"/>
      <c r="F752" s="26"/>
    </row>
    <row r="753">
      <c r="A753" s="16" t="s">
        <v>1207</v>
      </c>
      <c r="B753" s="51"/>
      <c r="C753" s="40" t="s">
        <v>93</v>
      </c>
      <c r="D753" s="26">
        <v>10670.0</v>
      </c>
      <c r="E753" s="26"/>
      <c r="F753" s="26"/>
    </row>
    <row r="754">
      <c r="A754" s="16" t="s">
        <v>1208</v>
      </c>
      <c r="B754" s="51"/>
      <c r="C754" s="40" t="s">
        <v>93</v>
      </c>
      <c r="D754" s="26">
        <v>10670.0</v>
      </c>
      <c r="E754" s="26"/>
      <c r="F754" s="26"/>
    </row>
    <row r="755">
      <c r="A755" s="16" t="s">
        <v>1209</v>
      </c>
      <c r="B755" s="49"/>
      <c r="C755" s="16" t="s">
        <v>1210</v>
      </c>
      <c r="D755" s="79">
        <v>10710.0</v>
      </c>
      <c r="E755" s="79"/>
      <c r="F755" s="79"/>
    </row>
    <row r="756">
      <c r="A756" s="16" t="s">
        <v>1211</v>
      </c>
      <c r="B756" s="49"/>
      <c r="C756" s="20" t="s">
        <v>159</v>
      </c>
      <c r="D756" s="26">
        <v>22230.0</v>
      </c>
      <c r="E756" s="26"/>
      <c r="F756" s="26"/>
    </row>
    <row r="757">
      <c r="A757" s="16" t="s">
        <v>1212</v>
      </c>
      <c r="B757" s="51"/>
      <c r="C757" s="16" t="s">
        <v>1158</v>
      </c>
      <c r="D757" s="26">
        <f>11000*1.19</f>
        <v>13090</v>
      </c>
      <c r="E757" s="26"/>
      <c r="F757" s="26"/>
    </row>
    <row r="758">
      <c r="A758" s="16" t="s">
        <v>1213</v>
      </c>
      <c r="B758" s="49"/>
      <c r="C758" s="20" t="s">
        <v>375</v>
      </c>
      <c r="D758" s="26">
        <f>24500*1.19</f>
        <v>29155</v>
      </c>
      <c r="E758" s="26"/>
      <c r="F758" s="26"/>
    </row>
    <row r="759">
      <c r="A759" s="16" t="s">
        <v>1214</v>
      </c>
      <c r="B759" s="51"/>
      <c r="C759" s="16" t="s">
        <v>1215</v>
      </c>
      <c r="D759" s="26">
        <v>45339.0</v>
      </c>
      <c r="E759" s="26"/>
      <c r="F759" s="26"/>
    </row>
    <row r="760">
      <c r="A760" s="16" t="s">
        <v>1216</v>
      </c>
      <c r="B760" s="49"/>
      <c r="C760" s="16" t="s">
        <v>1201</v>
      </c>
      <c r="D760" s="79">
        <f t="shared" ref="D760:D763" si="27">9000*1.19</f>
        <v>10710</v>
      </c>
      <c r="E760" s="79"/>
      <c r="F760" s="79"/>
    </row>
    <row r="761">
      <c r="A761" s="16" t="s">
        <v>1217</v>
      </c>
      <c r="B761" s="49"/>
      <c r="C761" s="16" t="s">
        <v>1201</v>
      </c>
      <c r="D761" s="79">
        <f t="shared" si="27"/>
        <v>10710</v>
      </c>
      <c r="E761" s="79"/>
      <c r="F761" s="79"/>
    </row>
    <row r="762">
      <c r="A762" s="16" t="s">
        <v>1218</v>
      </c>
      <c r="B762" s="49"/>
      <c r="C762" s="16" t="s">
        <v>1201</v>
      </c>
      <c r="D762" s="79">
        <f t="shared" si="27"/>
        <v>10710</v>
      </c>
      <c r="E762" s="79"/>
      <c r="F762" s="79"/>
    </row>
    <row r="763">
      <c r="A763" s="16" t="s">
        <v>1219</v>
      </c>
      <c r="B763" s="49"/>
      <c r="C763" s="16" t="s">
        <v>1201</v>
      </c>
      <c r="D763" s="79">
        <f t="shared" si="27"/>
        <v>10710</v>
      </c>
      <c r="E763" s="79"/>
      <c r="F763" s="79"/>
    </row>
    <row r="764">
      <c r="A764" s="16" t="s">
        <v>1220</v>
      </c>
      <c r="B764" s="49"/>
      <c r="C764" s="16" t="s">
        <v>1012</v>
      </c>
      <c r="D764" s="26">
        <v>86430.0</v>
      </c>
      <c r="E764" s="26"/>
      <c r="F764" s="26"/>
    </row>
    <row r="765">
      <c r="A765" s="16" t="s">
        <v>1221</v>
      </c>
      <c r="B765" s="49"/>
      <c r="C765" s="16" t="s">
        <v>16</v>
      </c>
      <c r="D765" s="26">
        <v>674.0</v>
      </c>
      <c r="E765" s="26"/>
      <c r="F765" s="26"/>
    </row>
    <row r="766">
      <c r="A766" s="16" t="s">
        <v>1222</v>
      </c>
      <c r="B766" s="49" t="str">
        <f>#REF!</f>
        <v>#REF!</v>
      </c>
      <c r="C766" s="16" t="s">
        <v>1201</v>
      </c>
      <c r="D766" s="79">
        <f>24500*1.19</f>
        <v>29155</v>
      </c>
      <c r="E766" s="79"/>
      <c r="F766" s="79"/>
    </row>
    <row r="767">
      <c r="A767" s="118" t="s">
        <v>1223</v>
      </c>
      <c r="B767" s="51"/>
      <c r="C767" s="40" t="s">
        <v>563</v>
      </c>
      <c r="D767" s="26">
        <v>2500.0</v>
      </c>
      <c r="E767" s="26"/>
      <c r="F767" s="26"/>
    </row>
    <row r="768">
      <c r="A768" s="118" t="s">
        <v>1223</v>
      </c>
      <c r="B768" s="51"/>
      <c r="C768" s="16" t="s">
        <v>425</v>
      </c>
      <c r="D768" s="26">
        <v>2500.0</v>
      </c>
      <c r="E768" s="26"/>
      <c r="F768" s="26"/>
    </row>
    <row r="769">
      <c r="A769" s="16" t="s">
        <v>1224</v>
      </c>
      <c r="B769" s="49"/>
      <c r="C769" s="20" t="s">
        <v>1225</v>
      </c>
      <c r="D769" s="26">
        <v>10670.0</v>
      </c>
      <c r="E769" s="26"/>
      <c r="F769" s="26"/>
    </row>
    <row r="770">
      <c r="A770" s="16" t="s">
        <v>1226</v>
      </c>
      <c r="B770" s="51"/>
      <c r="C770" s="16" t="s">
        <v>1227</v>
      </c>
      <c r="D770" s="26">
        <v>1800.0</v>
      </c>
      <c r="E770" s="26"/>
      <c r="F770" s="26"/>
    </row>
    <row r="771">
      <c r="A771" s="16" t="s">
        <v>1228</v>
      </c>
      <c r="B771" s="49"/>
      <c r="C771" s="16" t="s">
        <v>1229</v>
      </c>
      <c r="D771" s="26">
        <f>10677*1.19</f>
        <v>12705.63</v>
      </c>
      <c r="E771" s="26"/>
      <c r="F771" s="26"/>
    </row>
    <row r="772">
      <c r="A772" s="16" t="s">
        <v>1230</v>
      </c>
      <c r="B772" s="51"/>
      <c r="C772" s="20" t="s">
        <v>1231</v>
      </c>
      <c r="D772" s="26">
        <v>21000.0</v>
      </c>
      <c r="E772" s="26"/>
      <c r="F772" s="26"/>
    </row>
    <row r="773">
      <c r="A773" s="16" t="s">
        <v>1232</v>
      </c>
      <c r="B773" s="51" t="s">
        <v>1233</v>
      </c>
      <c r="C773" s="20" t="s">
        <v>1234</v>
      </c>
      <c r="D773" s="26">
        <v>14700.0</v>
      </c>
      <c r="E773" s="26"/>
      <c r="F773" s="26"/>
    </row>
    <row r="774">
      <c r="A774" s="16" t="s">
        <v>1235</v>
      </c>
      <c r="B774" s="51"/>
      <c r="C774" s="20" t="s">
        <v>1231</v>
      </c>
      <c r="D774" s="26">
        <v>9400.0</v>
      </c>
      <c r="E774" s="26"/>
      <c r="F774" s="26"/>
    </row>
    <row r="775">
      <c r="A775" s="16" t="s">
        <v>1236</v>
      </c>
      <c r="B775" s="49"/>
      <c r="C775" s="20" t="s">
        <v>375</v>
      </c>
      <c r="D775" s="26">
        <f>46400*1.19</f>
        <v>55216</v>
      </c>
      <c r="E775" s="26"/>
      <c r="F775" s="26"/>
    </row>
    <row r="776">
      <c r="A776" s="52" t="s">
        <v>1237</v>
      </c>
      <c r="B776" s="51"/>
      <c r="C776" s="20" t="s">
        <v>457</v>
      </c>
      <c r="D776" s="26">
        <f>8500*1.19</f>
        <v>10115</v>
      </c>
      <c r="E776" s="26"/>
      <c r="F776" s="26"/>
    </row>
    <row r="777">
      <c r="A777" s="16" t="s">
        <v>1238</v>
      </c>
      <c r="B777" s="51"/>
      <c r="C777" s="20" t="s">
        <v>1231</v>
      </c>
      <c r="D777" s="26">
        <v>7200.0</v>
      </c>
      <c r="E777" s="26"/>
      <c r="F777" s="26"/>
    </row>
    <row r="778">
      <c r="A778" s="16" t="s">
        <v>1239</v>
      </c>
      <c r="B778" s="51" t="s">
        <v>1240</v>
      </c>
      <c r="C778" s="16" t="s">
        <v>1241</v>
      </c>
      <c r="D778" s="26">
        <v>121500.0</v>
      </c>
      <c r="E778" s="26"/>
      <c r="F778" s="26"/>
    </row>
    <row r="779">
      <c r="A779" s="16" t="s">
        <v>1242</v>
      </c>
      <c r="B779" s="51" t="s">
        <v>1243</v>
      </c>
      <c r="C779" s="16" t="s">
        <v>1241</v>
      </c>
      <c r="D779" s="26">
        <v>121500.0</v>
      </c>
      <c r="E779" s="26"/>
      <c r="F779" s="26"/>
    </row>
    <row r="780">
      <c r="A780" s="16" t="s">
        <v>1244</v>
      </c>
      <c r="B780" s="51" t="s">
        <v>1243</v>
      </c>
      <c r="C780" s="16" t="s">
        <v>1241</v>
      </c>
      <c r="D780" s="26">
        <v>121500.0</v>
      </c>
      <c r="E780" s="26"/>
      <c r="F780" s="26"/>
    </row>
    <row r="781">
      <c r="A781" s="16" t="s">
        <v>1245</v>
      </c>
      <c r="B781" s="51" t="s">
        <v>1243</v>
      </c>
      <c r="C781" s="16" t="s">
        <v>1241</v>
      </c>
      <c r="D781" s="26">
        <v>121500.0</v>
      </c>
      <c r="E781" s="26"/>
      <c r="F781" s="26"/>
    </row>
    <row r="782">
      <c r="A782" s="16" t="s">
        <v>1246</v>
      </c>
      <c r="B782" s="51" t="s">
        <v>1247</v>
      </c>
      <c r="C782" s="16" t="s">
        <v>1241</v>
      </c>
      <c r="D782" s="79">
        <v>150462.0</v>
      </c>
      <c r="E782" s="79"/>
      <c r="F782" s="79"/>
    </row>
    <row r="783">
      <c r="A783" s="16" t="s">
        <v>1248</v>
      </c>
      <c r="B783" s="51" t="s">
        <v>1249</v>
      </c>
      <c r="C783" s="16" t="s">
        <v>1251</v>
      </c>
      <c r="D783" s="26">
        <v>161250.0</v>
      </c>
      <c r="E783" s="26"/>
      <c r="F783" s="26"/>
    </row>
    <row r="784">
      <c r="A784" s="52" t="s">
        <v>1252</v>
      </c>
      <c r="B784" s="51" t="s">
        <v>1253</v>
      </c>
      <c r="C784" s="16" t="s">
        <v>1254</v>
      </c>
      <c r="D784" s="26">
        <v>11900.0</v>
      </c>
      <c r="E784" s="26"/>
      <c r="F784" s="26"/>
    </row>
    <row r="785">
      <c r="A785" s="16" t="s">
        <v>1255</v>
      </c>
      <c r="B785" s="531"/>
      <c r="C785" s="16" t="s">
        <v>580</v>
      </c>
      <c r="D785" s="26">
        <v>381000.0</v>
      </c>
      <c r="E785" s="26"/>
      <c r="F785" s="26"/>
    </row>
    <row r="786">
      <c r="A786" s="16" t="s">
        <v>1256</v>
      </c>
      <c r="B786" s="531" t="s">
        <v>1257</v>
      </c>
      <c r="C786" s="16" t="s">
        <v>39</v>
      </c>
      <c r="D786" s="26">
        <v>3203.0</v>
      </c>
      <c r="E786" s="26"/>
      <c r="F786" s="26"/>
    </row>
    <row r="787">
      <c r="A787" s="40" t="s">
        <v>1258</v>
      </c>
      <c r="B787" s="49"/>
      <c r="C787" s="20" t="s">
        <v>1259</v>
      </c>
      <c r="D787" s="26">
        <v>2500.0</v>
      </c>
      <c r="E787" s="26"/>
      <c r="F787" s="26"/>
    </row>
    <row r="788">
      <c r="A788" s="40" t="s">
        <v>1260</v>
      </c>
      <c r="B788" s="51"/>
      <c r="C788" s="20" t="s">
        <v>57</v>
      </c>
      <c r="D788" s="26">
        <v>3500.0</v>
      </c>
      <c r="E788" s="26"/>
      <c r="F788" s="26"/>
    </row>
    <row r="789">
      <c r="A789" s="52" t="s">
        <v>1261</v>
      </c>
      <c r="B789" s="49"/>
      <c r="C789" s="20" t="s">
        <v>377</v>
      </c>
      <c r="D789" s="26">
        <v>35000.0</v>
      </c>
      <c r="E789" s="26"/>
      <c r="F789" s="26"/>
    </row>
    <row r="790">
      <c r="A790" s="119" t="s">
        <v>1262</v>
      </c>
      <c r="B790" s="51"/>
      <c r="C790" s="20" t="s">
        <v>497</v>
      </c>
      <c r="D790" s="532">
        <f>6274/10</f>
        <v>627.4</v>
      </c>
      <c r="E790" s="532"/>
      <c r="F790" s="532"/>
    </row>
    <row r="791">
      <c r="A791" s="119" t="s">
        <v>1263</v>
      </c>
      <c r="B791" s="51"/>
      <c r="C791" s="20" t="s">
        <v>497</v>
      </c>
      <c r="D791" s="532">
        <f>8248/20</f>
        <v>412.4</v>
      </c>
      <c r="E791" s="532"/>
      <c r="F791" s="532"/>
    </row>
    <row r="792">
      <c r="A792" s="119" t="s">
        <v>1264</v>
      </c>
      <c r="B792" s="51" t="s">
        <v>1265</v>
      </c>
      <c r="C792" s="20" t="s">
        <v>1266</v>
      </c>
      <c r="D792" s="521">
        <f>8000/20</f>
        <v>400</v>
      </c>
      <c r="E792" s="521"/>
      <c r="F792" s="521"/>
    </row>
    <row r="793">
      <c r="A793" s="16" t="s">
        <v>1267</v>
      </c>
      <c r="B793" s="51"/>
      <c r="C793" s="16" t="s">
        <v>1268</v>
      </c>
      <c r="D793" s="26">
        <v>3000.0</v>
      </c>
      <c r="E793" s="26"/>
      <c r="F793" s="26"/>
    </row>
    <row r="794">
      <c r="A794" s="16" t="s">
        <v>1269</v>
      </c>
      <c r="B794" s="51" t="s">
        <v>1270</v>
      </c>
      <c r="C794" s="20" t="s">
        <v>286</v>
      </c>
      <c r="D794" s="26">
        <f>197</f>
        <v>197</v>
      </c>
      <c r="E794" s="26"/>
      <c r="F794" s="26"/>
    </row>
    <row r="795">
      <c r="A795" s="16" t="s">
        <v>1271</v>
      </c>
      <c r="B795" s="51"/>
      <c r="C795" s="16" t="s">
        <v>1272</v>
      </c>
      <c r="D795" s="26">
        <v>7950.0</v>
      </c>
      <c r="E795" s="26"/>
      <c r="F795" s="26"/>
    </row>
    <row r="796">
      <c r="A796" s="16" t="s">
        <v>1273</v>
      </c>
      <c r="B796" s="51"/>
      <c r="C796" s="16" t="s">
        <v>1272</v>
      </c>
      <c r="D796" s="26">
        <v>7950.0</v>
      </c>
      <c r="E796" s="26"/>
      <c r="F796" s="26"/>
    </row>
    <row r="797">
      <c r="A797" s="16" t="s">
        <v>1274</v>
      </c>
      <c r="B797" s="51"/>
      <c r="C797" s="16" t="s">
        <v>1272</v>
      </c>
      <c r="D797" s="26">
        <v>7950.0</v>
      </c>
      <c r="E797" s="26"/>
      <c r="F797" s="26"/>
    </row>
    <row r="798">
      <c r="A798" s="16" t="s">
        <v>1275</v>
      </c>
      <c r="B798" s="51"/>
      <c r="C798" s="16" t="s">
        <v>1272</v>
      </c>
      <c r="D798" s="26">
        <v>7950.0</v>
      </c>
      <c r="E798" s="26"/>
      <c r="F798" s="26"/>
    </row>
    <row r="799">
      <c r="A799" s="16" t="s">
        <v>1276</v>
      </c>
      <c r="B799" s="51"/>
      <c r="C799" s="16" t="s">
        <v>1272</v>
      </c>
      <c r="D799" s="26">
        <v>7950.0</v>
      </c>
      <c r="E799" s="26"/>
      <c r="F799" s="26"/>
    </row>
    <row r="800">
      <c r="A800" s="16" t="s">
        <v>1277</v>
      </c>
      <c r="B800" s="51"/>
      <c r="C800" s="16" t="s">
        <v>1272</v>
      </c>
      <c r="D800" s="26">
        <v>7950.0</v>
      </c>
      <c r="E800" s="26"/>
      <c r="F800" s="26"/>
    </row>
    <row r="801">
      <c r="A801" s="40" t="s">
        <v>1278</v>
      </c>
      <c r="B801" s="49"/>
      <c r="C801" s="16" t="s">
        <v>1279</v>
      </c>
      <c r="D801" s="26">
        <v>3800.0</v>
      </c>
      <c r="E801" s="26"/>
      <c r="F801" s="26"/>
    </row>
    <row r="802">
      <c r="A802" s="16" t="s">
        <v>1280</v>
      </c>
      <c r="B802" s="49"/>
      <c r="C802" s="16" t="s">
        <v>88</v>
      </c>
      <c r="D802" s="26">
        <v>6078.0</v>
      </c>
      <c r="E802" s="26"/>
      <c r="F802" s="26"/>
    </row>
    <row r="803">
      <c r="A803" s="16" t="s">
        <v>1281</v>
      </c>
      <c r="B803" s="51"/>
      <c r="C803" s="16" t="s">
        <v>88</v>
      </c>
      <c r="D803" s="26">
        <f>4673*1.19</f>
        <v>5560.87</v>
      </c>
      <c r="E803" s="26"/>
      <c r="F803" s="26"/>
    </row>
    <row r="804">
      <c r="A804" s="16" t="s">
        <v>1282</v>
      </c>
      <c r="B804" s="49"/>
      <c r="C804" s="16" t="s">
        <v>88</v>
      </c>
      <c r="D804" s="26">
        <v>2125.0</v>
      </c>
      <c r="E804" s="26"/>
      <c r="F804" s="26"/>
    </row>
    <row r="805">
      <c r="A805" s="16" t="s">
        <v>1283</v>
      </c>
      <c r="B805" s="49"/>
      <c r="C805" s="16" t="s">
        <v>88</v>
      </c>
      <c r="D805" s="26">
        <v>6078.0</v>
      </c>
      <c r="E805" s="26"/>
      <c r="F805" s="26"/>
    </row>
    <row r="806">
      <c r="A806" s="16" t="s">
        <v>1284</v>
      </c>
      <c r="B806" s="51">
        <f>75440/40</f>
        <v>1886</v>
      </c>
      <c r="C806" s="120" t="s">
        <v>3379</v>
      </c>
      <c r="D806" s="26">
        <v>75440.0</v>
      </c>
      <c r="E806" s="26"/>
      <c r="F806" s="26"/>
    </row>
    <row r="807">
      <c r="A807" s="16" t="s">
        <v>1286</v>
      </c>
      <c r="B807" s="51"/>
      <c r="C807" s="120" t="s">
        <v>3379</v>
      </c>
      <c r="D807" s="26">
        <f>D808/4</f>
        <v>475</v>
      </c>
      <c r="E807" s="26"/>
      <c r="F807" s="26"/>
    </row>
    <row r="808">
      <c r="A808" s="16" t="s">
        <v>1287</v>
      </c>
      <c r="B808" s="51"/>
      <c r="C808" s="120" t="s">
        <v>3379</v>
      </c>
      <c r="D808" s="26">
        <f>76000/40</f>
        <v>1900</v>
      </c>
      <c r="E808" s="26"/>
      <c r="F808" s="26"/>
    </row>
    <row r="809">
      <c r="A809" s="16" t="s">
        <v>1288</v>
      </c>
      <c r="B809" s="49"/>
      <c r="C809" s="20" t="s">
        <v>254</v>
      </c>
      <c r="D809" s="26">
        <f>65800/20</f>
        <v>3290</v>
      </c>
      <c r="E809" s="26"/>
      <c r="F809" s="26"/>
    </row>
    <row r="810">
      <c r="A810" s="16" t="s">
        <v>1289</v>
      </c>
      <c r="B810" s="49" t="s">
        <v>1290</v>
      </c>
      <c r="C810" s="16" t="s">
        <v>1292</v>
      </c>
      <c r="D810" s="26">
        <f>5000/10</f>
        <v>500</v>
      </c>
      <c r="E810" s="26"/>
      <c r="F810" s="26"/>
    </row>
    <row r="811">
      <c r="A811" s="16" t="s">
        <v>1293</v>
      </c>
      <c r="B811" s="49" t="s">
        <v>1294</v>
      </c>
      <c r="C811" s="16" t="s">
        <v>88</v>
      </c>
      <c r="D811" s="26">
        <v>13059.0</v>
      </c>
      <c r="E811" s="26"/>
      <c r="F811" s="26"/>
    </row>
    <row r="812">
      <c r="A812" s="16" t="s">
        <v>1295</v>
      </c>
      <c r="B812" s="51" t="s">
        <v>1296</v>
      </c>
      <c r="C812" s="16" t="s">
        <v>88</v>
      </c>
      <c r="D812" s="26">
        <v>29178.0</v>
      </c>
      <c r="E812" s="26"/>
      <c r="F812" s="26"/>
    </row>
    <row r="813">
      <c r="A813" s="52" t="s">
        <v>1297</v>
      </c>
      <c r="B813" s="51" t="s">
        <v>1298</v>
      </c>
      <c r="C813" s="16" t="s">
        <v>104</v>
      </c>
      <c r="D813" s="26">
        <v>1.0</v>
      </c>
      <c r="E813" s="26"/>
      <c r="F813" s="26"/>
    </row>
    <row r="814">
      <c r="A814" s="52" t="s">
        <v>1299</v>
      </c>
      <c r="B814" s="51" t="s">
        <v>1298</v>
      </c>
      <c r="C814" s="20" t="s">
        <v>377</v>
      </c>
      <c r="D814" s="26">
        <v>10500.0</v>
      </c>
      <c r="E814" s="26"/>
      <c r="F814" s="26"/>
    </row>
    <row r="815">
      <c r="A815" s="52" t="s">
        <v>1300</v>
      </c>
      <c r="B815" s="51" t="s">
        <v>1296</v>
      </c>
      <c r="C815" s="20" t="s">
        <v>377</v>
      </c>
      <c r="D815" s="79">
        <v>25000.0</v>
      </c>
      <c r="E815" s="79"/>
      <c r="F815" s="79"/>
    </row>
    <row r="816">
      <c r="A816" s="16" t="s">
        <v>1301</v>
      </c>
      <c r="B816" s="51" t="s">
        <v>1302</v>
      </c>
      <c r="C816" s="16" t="s">
        <v>1304</v>
      </c>
      <c r="D816" s="26">
        <f>231059*1.19/15</f>
        <v>18330.68067</v>
      </c>
      <c r="E816" s="26"/>
      <c r="F816" s="26"/>
    </row>
    <row r="817">
      <c r="A817" s="16" t="s">
        <v>1305</v>
      </c>
      <c r="B817" s="51"/>
      <c r="C817" s="16" t="s">
        <v>1306</v>
      </c>
      <c r="D817" s="26">
        <f>60800/8</f>
        <v>7600</v>
      </c>
      <c r="E817" s="26"/>
      <c r="F817" s="26"/>
    </row>
    <row r="818">
      <c r="A818" s="16" t="s">
        <v>1307</v>
      </c>
      <c r="B818" s="51" t="s">
        <v>1308</v>
      </c>
      <c r="C818" s="20" t="s">
        <v>1309</v>
      </c>
      <c r="D818" s="26">
        <f>61642/15</f>
        <v>4109.466667</v>
      </c>
      <c r="E818" s="26"/>
      <c r="F818" s="26"/>
    </row>
    <row r="819">
      <c r="A819" s="52" t="s">
        <v>1310</v>
      </c>
      <c r="B819" s="49"/>
      <c r="C819" s="16" t="s">
        <v>437</v>
      </c>
      <c r="D819" s="26">
        <v>6000.0</v>
      </c>
      <c r="E819" s="26"/>
      <c r="F819" s="26"/>
    </row>
    <row r="820">
      <c r="A820" s="52" t="s">
        <v>1311</v>
      </c>
      <c r="B820" s="49"/>
      <c r="C820" s="16" t="s">
        <v>437</v>
      </c>
      <c r="D820" s="26">
        <v>5000.0</v>
      </c>
      <c r="E820" s="26"/>
      <c r="F820" s="26"/>
    </row>
    <row r="821">
      <c r="A821" s="52" t="s">
        <v>1312</v>
      </c>
      <c r="B821" s="49"/>
      <c r="C821" s="16" t="s">
        <v>437</v>
      </c>
      <c r="D821" s="26">
        <v>8000.0</v>
      </c>
      <c r="E821" s="26"/>
      <c r="F821" s="26"/>
    </row>
    <row r="822">
      <c r="A822" s="52" t="s">
        <v>1313</v>
      </c>
      <c r="B822" s="49"/>
      <c r="C822" s="16" t="s">
        <v>437</v>
      </c>
      <c r="D822" s="26">
        <v>9000.0</v>
      </c>
      <c r="E822" s="26"/>
      <c r="F822" s="26"/>
    </row>
    <row r="823">
      <c r="A823" s="52" t="s">
        <v>1314</v>
      </c>
      <c r="B823" s="49"/>
      <c r="C823" s="16" t="s">
        <v>437</v>
      </c>
      <c r="D823" s="79">
        <v>7000.0</v>
      </c>
      <c r="E823" s="79"/>
      <c r="F823" s="79"/>
    </row>
    <row r="824">
      <c r="A824" s="52" t="s">
        <v>1315</v>
      </c>
      <c r="B824" s="51"/>
      <c r="C824" s="16" t="s">
        <v>437</v>
      </c>
      <c r="D824" s="26">
        <v>6000.0</v>
      </c>
      <c r="E824" s="26"/>
      <c r="F824" s="26"/>
    </row>
    <row r="825">
      <c r="A825" s="52" t="s">
        <v>1316</v>
      </c>
      <c r="B825" s="49" t="s">
        <v>680</v>
      </c>
      <c r="C825" s="16" t="s">
        <v>437</v>
      </c>
      <c r="D825" s="26">
        <v>2000.0</v>
      </c>
      <c r="E825" s="26"/>
      <c r="F825" s="26"/>
    </row>
    <row r="826">
      <c r="A826" s="119" t="s">
        <v>1317</v>
      </c>
      <c r="B826" s="51"/>
      <c r="C826" s="20" t="s">
        <v>497</v>
      </c>
      <c r="D826" s="532">
        <f>8125/25</f>
        <v>325</v>
      </c>
      <c r="E826" s="532"/>
      <c r="F826" s="532"/>
    </row>
    <row r="827">
      <c r="A827" s="52" t="s">
        <v>1318</v>
      </c>
      <c r="B827" s="49" t="s">
        <v>680</v>
      </c>
      <c r="C827" s="16" t="s">
        <v>437</v>
      </c>
      <c r="D827" s="26">
        <v>350.0</v>
      </c>
      <c r="E827" s="26"/>
      <c r="F827" s="26"/>
    </row>
    <row r="828">
      <c r="A828" s="122" t="s">
        <v>1319</v>
      </c>
      <c r="B828" s="49"/>
      <c r="C828" s="16" t="s">
        <v>437</v>
      </c>
      <c r="D828" s="26">
        <v>350.0</v>
      </c>
      <c r="E828" s="26"/>
      <c r="F828" s="26"/>
    </row>
    <row r="829">
      <c r="A829" s="52" t="s">
        <v>1320</v>
      </c>
      <c r="B829" s="51"/>
      <c r="C829" s="16" t="s">
        <v>437</v>
      </c>
      <c r="D829" s="26">
        <v>1000.0</v>
      </c>
      <c r="E829" s="26"/>
      <c r="F829" s="26"/>
    </row>
    <row r="830">
      <c r="A830" s="52" t="s">
        <v>1321</v>
      </c>
      <c r="B830" s="51"/>
      <c r="C830" s="16" t="s">
        <v>437</v>
      </c>
      <c r="D830" s="26">
        <v>1000.0</v>
      </c>
      <c r="E830" s="26"/>
      <c r="F830" s="26"/>
    </row>
    <row r="831">
      <c r="A831" s="52" t="s">
        <v>1322</v>
      </c>
      <c r="B831" s="49"/>
      <c r="C831" s="16" t="s">
        <v>439</v>
      </c>
      <c r="D831" s="26">
        <v>350.0</v>
      </c>
      <c r="E831" s="26"/>
      <c r="F831" s="26"/>
    </row>
    <row r="832">
      <c r="A832" s="52" t="s">
        <v>1323</v>
      </c>
      <c r="B832" s="49"/>
      <c r="C832" s="16" t="s">
        <v>439</v>
      </c>
      <c r="D832" s="26">
        <v>350.0</v>
      </c>
      <c r="E832" s="26"/>
      <c r="F832" s="26"/>
    </row>
    <row r="833">
      <c r="A833" s="119" t="s">
        <v>1324</v>
      </c>
      <c r="B833" s="49" t="s">
        <v>1325</v>
      </c>
      <c r="C833" s="20" t="s">
        <v>1326</v>
      </c>
      <c r="D833" s="521">
        <f>13685/100</f>
        <v>136.85</v>
      </c>
      <c r="E833" s="521"/>
      <c r="F833" s="521"/>
    </row>
    <row r="834">
      <c r="A834" s="16" t="s">
        <v>1327</v>
      </c>
      <c r="B834" s="49"/>
      <c r="C834" s="20" t="s">
        <v>1328</v>
      </c>
      <c r="D834" s="26">
        <v>6188.0</v>
      </c>
      <c r="E834" s="26"/>
      <c r="F834" s="26"/>
    </row>
    <row r="835">
      <c r="A835" s="16" t="s">
        <v>1329</v>
      </c>
      <c r="B835" s="136" t="s">
        <v>1330</v>
      </c>
      <c r="C835" s="16" t="s">
        <v>1331</v>
      </c>
      <c r="D835" s="79">
        <f>10367*1.19</f>
        <v>12336.73</v>
      </c>
      <c r="E835" s="79"/>
      <c r="F835" s="79"/>
    </row>
    <row r="836">
      <c r="A836" s="42" t="s">
        <v>1332</v>
      </c>
      <c r="B836" s="149"/>
      <c r="C836" s="20" t="s">
        <v>1333</v>
      </c>
      <c r="D836" s="26">
        <v>240.0</v>
      </c>
      <c r="E836" s="26"/>
      <c r="F836" s="26"/>
    </row>
    <row r="837">
      <c r="A837" s="16" t="s">
        <v>3380</v>
      </c>
      <c r="B837" s="51"/>
      <c r="C837" s="20" t="s">
        <v>3381</v>
      </c>
      <c r="D837" s="26"/>
      <c r="E837" s="26"/>
      <c r="F837" s="26"/>
    </row>
    <row r="838">
      <c r="A838" s="16" t="s">
        <v>1336</v>
      </c>
      <c r="B838" s="49"/>
      <c r="C838" s="20" t="s">
        <v>1205</v>
      </c>
      <c r="D838" s="26">
        <f>45000*1.19</f>
        <v>53550</v>
      </c>
      <c r="E838" s="26"/>
      <c r="F838" s="26"/>
    </row>
    <row r="839">
      <c r="A839" s="40" t="s">
        <v>1337</v>
      </c>
      <c r="B839" s="51"/>
      <c r="C839" s="16" t="s">
        <v>1338</v>
      </c>
      <c r="D839" s="26">
        <v>100000.0</v>
      </c>
      <c r="E839" s="26"/>
      <c r="F839" s="26"/>
    </row>
    <row r="840">
      <c r="A840" s="16" t="s">
        <v>1339</v>
      </c>
      <c r="B840" s="195"/>
      <c r="C840" s="16" t="s">
        <v>1340</v>
      </c>
      <c r="D840" s="26">
        <v>3016.0</v>
      </c>
      <c r="E840" s="26"/>
      <c r="F840" s="26"/>
    </row>
    <row r="841">
      <c r="A841" s="16" t="s">
        <v>1341</v>
      </c>
      <c r="B841" s="196"/>
      <c r="C841" s="16" t="s">
        <v>1340</v>
      </c>
      <c r="D841" s="26">
        <v>2936.0</v>
      </c>
      <c r="E841" s="26"/>
      <c r="F841" s="26"/>
    </row>
    <row r="842">
      <c r="A842" s="16" t="s">
        <v>1342</v>
      </c>
      <c r="B842" s="195"/>
      <c r="C842" s="16" t="s">
        <v>1340</v>
      </c>
      <c r="D842" s="26">
        <v>3016.0</v>
      </c>
      <c r="E842" s="26"/>
      <c r="F842" s="26"/>
    </row>
    <row r="843">
      <c r="A843" s="16" t="s">
        <v>1343</v>
      </c>
      <c r="B843" s="195"/>
      <c r="C843" s="16" t="s">
        <v>1340</v>
      </c>
      <c r="D843" s="26">
        <v>3016.0</v>
      </c>
      <c r="E843" s="26"/>
      <c r="F843" s="26"/>
    </row>
    <row r="844">
      <c r="A844" s="16" t="s">
        <v>1344</v>
      </c>
      <c r="B844" s="195"/>
      <c r="C844" s="16" t="s">
        <v>1340</v>
      </c>
      <c r="D844" s="26">
        <v>3016.0</v>
      </c>
      <c r="E844" s="26"/>
      <c r="F844" s="26"/>
    </row>
    <row r="845">
      <c r="A845" s="16" t="s">
        <v>1345</v>
      </c>
      <c r="B845" s="195"/>
      <c r="C845" s="16" t="s">
        <v>1340</v>
      </c>
      <c r="D845" s="26">
        <v>3016.0</v>
      </c>
      <c r="E845" s="26"/>
      <c r="F845" s="26"/>
    </row>
    <row r="846">
      <c r="A846" s="16" t="s">
        <v>1346</v>
      </c>
      <c r="B846" s="195"/>
      <c r="C846" s="16" t="s">
        <v>1340</v>
      </c>
      <c r="D846" s="26">
        <v>3016.0</v>
      </c>
      <c r="E846" s="26"/>
      <c r="F846" s="26"/>
    </row>
    <row r="847">
      <c r="A847" s="16" t="s">
        <v>1347</v>
      </c>
      <c r="B847" s="195"/>
      <c r="C847" s="16" t="s">
        <v>1340</v>
      </c>
      <c r="D847" s="26">
        <v>3016.0</v>
      </c>
      <c r="E847" s="26"/>
      <c r="F847" s="26"/>
    </row>
    <row r="848">
      <c r="A848" s="42" t="s">
        <v>1348</v>
      </c>
      <c r="B848" s="195"/>
      <c r="C848" s="16" t="s">
        <v>1340</v>
      </c>
      <c r="D848" s="26">
        <v>3016.0</v>
      </c>
      <c r="E848" s="26"/>
      <c r="F848" s="26"/>
    </row>
    <row r="849">
      <c r="A849" s="42" t="s">
        <v>1349</v>
      </c>
      <c r="B849" s="195"/>
      <c r="C849" s="16" t="s">
        <v>1340</v>
      </c>
      <c r="D849" s="26">
        <v>4000.0</v>
      </c>
      <c r="E849" s="26"/>
      <c r="F849" s="26"/>
    </row>
    <row r="850">
      <c r="A850" s="42" t="s">
        <v>1350</v>
      </c>
      <c r="B850" s="195"/>
      <c r="C850" s="16" t="s">
        <v>1340</v>
      </c>
      <c r="D850" s="26">
        <v>3016.0</v>
      </c>
      <c r="E850" s="26"/>
      <c r="F850" s="26"/>
    </row>
    <row r="851">
      <c r="A851" s="42" t="s">
        <v>1351</v>
      </c>
      <c r="B851" s="195"/>
      <c r="C851" s="16" t="s">
        <v>1340</v>
      </c>
      <c r="D851" s="26">
        <v>3016.0</v>
      </c>
      <c r="E851" s="26"/>
      <c r="F851" s="26"/>
    </row>
    <row r="852">
      <c r="A852" s="42" t="s">
        <v>1352</v>
      </c>
      <c r="B852" s="195"/>
      <c r="C852" s="16" t="s">
        <v>1340</v>
      </c>
      <c r="D852" s="26">
        <v>3016.0</v>
      </c>
      <c r="E852" s="26"/>
      <c r="F852" s="26"/>
    </row>
    <row r="853">
      <c r="A853" s="42" t="s">
        <v>1353</v>
      </c>
      <c r="B853" s="195"/>
      <c r="C853" s="16" t="s">
        <v>1340</v>
      </c>
      <c r="D853" s="26">
        <v>3016.0</v>
      </c>
      <c r="E853" s="26"/>
      <c r="F853" s="26"/>
    </row>
    <row r="854">
      <c r="A854" s="42" t="s">
        <v>1354</v>
      </c>
      <c r="B854" s="195"/>
      <c r="C854" s="16" t="s">
        <v>1340</v>
      </c>
      <c r="D854" s="26">
        <v>3016.0</v>
      </c>
      <c r="E854" s="26"/>
      <c r="F854" s="26"/>
    </row>
    <row r="855">
      <c r="A855" s="42" t="s">
        <v>1355</v>
      </c>
      <c r="B855" s="195"/>
      <c r="C855" s="16" t="s">
        <v>1340</v>
      </c>
      <c r="D855" s="26">
        <v>3016.0</v>
      </c>
      <c r="E855" s="26"/>
      <c r="F855" s="26"/>
    </row>
    <row r="856">
      <c r="A856" s="42" t="s">
        <v>1356</v>
      </c>
      <c r="B856" s="195"/>
      <c r="C856" s="16" t="s">
        <v>1340</v>
      </c>
      <c r="D856" s="26">
        <v>3016.0</v>
      </c>
      <c r="E856" s="26"/>
      <c r="F856" s="26"/>
    </row>
    <row r="857">
      <c r="A857" s="42" t="s">
        <v>1357</v>
      </c>
      <c r="B857" s="195"/>
      <c r="C857" s="16" t="s">
        <v>1340</v>
      </c>
      <c r="D857" s="26">
        <v>3016.0</v>
      </c>
      <c r="E857" s="26"/>
      <c r="F857" s="26"/>
    </row>
    <row r="858">
      <c r="A858" s="42" t="s">
        <v>1358</v>
      </c>
      <c r="B858" s="195"/>
      <c r="C858" s="16" t="s">
        <v>1340</v>
      </c>
      <c r="D858" s="26">
        <v>3016.0</v>
      </c>
      <c r="E858" s="26"/>
      <c r="F858" s="26"/>
    </row>
    <row r="859">
      <c r="A859" s="42" t="s">
        <v>1359</v>
      </c>
      <c r="B859" s="195"/>
      <c r="C859" s="16" t="s">
        <v>1340</v>
      </c>
      <c r="D859" s="26">
        <v>3016.0</v>
      </c>
      <c r="E859" s="26"/>
      <c r="F859" s="26"/>
    </row>
    <row r="860">
      <c r="A860" s="42" t="s">
        <v>1360</v>
      </c>
      <c r="B860" s="195"/>
      <c r="C860" s="16" t="s">
        <v>1340</v>
      </c>
      <c r="D860" s="26">
        <v>3016.0</v>
      </c>
      <c r="E860" s="26"/>
      <c r="F860" s="26"/>
    </row>
    <row r="861">
      <c r="A861" s="16" t="s">
        <v>1361</v>
      </c>
      <c r="B861" s="195"/>
      <c r="C861" s="16" t="s">
        <v>1340</v>
      </c>
      <c r="D861" s="26">
        <v>3016.0</v>
      </c>
      <c r="E861" s="26"/>
      <c r="F861" s="26"/>
    </row>
    <row r="862">
      <c r="A862" s="16" t="s">
        <v>1362</v>
      </c>
      <c r="B862" s="195"/>
      <c r="C862" s="16" t="s">
        <v>1340</v>
      </c>
      <c r="D862" s="26">
        <v>2936.0</v>
      </c>
      <c r="E862" s="26"/>
      <c r="F862" s="26"/>
    </row>
    <row r="863">
      <c r="A863" s="40" t="s">
        <v>1363</v>
      </c>
      <c r="B863" s="195"/>
      <c r="C863" s="16" t="s">
        <v>1340</v>
      </c>
      <c r="D863" s="26">
        <v>4000.0</v>
      </c>
      <c r="E863" s="26"/>
      <c r="F863" s="26"/>
    </row>
    <row r="864">
      <c r="A864" s="40" t="s">
        <v>1364</v>
      </c>
      <c r="B864" s="195"/>
      <c r="C864" s="16" t="s">
        <v>1340</v>
      </c>
      <c r="D864" s="26">
        <v>3016.0</v>
      </c>
      <c r="E864" s="26"/>
      <c r="F864" s="26"/>
    </row>
    <row r="865">
      <c r="A865" s="40" t="s">
        <v>1365</v>
      </c>
      <c r="B865" s="195"/>
      <c r="C865" s="16" t="s">
        <v>1340</v>
      </c>
      <c r="D865" s="26">
        <v>3016.0</v>
      </c>
      <c r="E865" s="26"/>
      <c r="F865" s="26"/>
    </row>
    <row r="866">
      <c r="A866" s="40" t="s">
        <v>1366</v>
      </c>
      <c r="B866" s="195"/>
      <c r="C866" s="16" t="s">
        <v>1340</v>
      </c>
      <c r="D866" s="26">
        <v>3016.0</v>
      </c>
      <c r="E866" s="26"/>
      <c r="F866" s="26"/>
    </row>
    <row r="867">
      <c r="A867" s="40" t="s">
        <v>1367</v>
      </c>
      <c r="B867" s="49"/>
      <c r="C867" s="16" t="s">
        <v>1340</v>
      </c>
      <c r="D867" s="26">
        <v>2936.0</v>
      </c>
      <c r="E867" s="26"/>
      <c r="F867" s="26"/>
    </row>
    <row r="868">
      <c r="A868" s="16" t="s">
        <v>1368</v>
      </c>
      <c r="B868" s="195"/>
      <c r="C868" s="16" t="s">
        <v>1340</v>
      </c>
      <c r="D868" s="26">
        <v>3016.0</v>
      </c>
      <c r="E868" s="26"/>
      <c r="F868" s="26"/>
    </row>
    <row r="869">
      <c r="A869" s="16" t="s">
        <v>1369</v>
      </c>
      <c r="B869" s="195"/>
      <c r="C869" s="16" t="s">
        <v>1340</v>
      </c>
      <c r="D869" s="26">
        <v>3016.0</v>
      </c>
      <c r="E869" s="26"/>
      <c r="F869" s="26"/>
    </row>
    <row r="870">
      <c r="A870" s="16" t="s">
        <v>1370</v>
      </c>
      <c r="B870" s="195"/>
      <c r="C870" s="16" t="s">
        <v>1340</v>
      </c>
      <c r="D870" s="26">
        <v>3016.0</v>
      </c>
      <c r="E870" s="26"/>
      <c r="F870" s="26"/>
    </row>
    <row r="871">
      <c r="A871" s="16" t="s">
        <v>1371</v>
      </c>
      <c r="B871" s="51"/>
      <c r="C871" s="16" t="s">
        <v>1340</v>
      </c>
      <c r="D871" s="26">
        <v>3016.0</v>
      </c>
      <c r="E871" s="26"/>
      <c r="F871" s="26"/>
    </row>
    <row r="872">
      <c r="A872" s="16" t="s">
        <v>1372</v>
      </c>
      <c r="B872" s="51"/>
      <c r="C872" s="16"/>
      <c r="D872" s="26"/>
      <c r="E872" s="26"/>
      <c r="F872" s="26"/>
    </row>
    <row r="873">
      <c r="A873" s="16" t="s">
        <v>1373</v>
      </c>
      <c r="B873" s="51" t="s">
        <v>3382</v>
      </c>
      <c r="C873" s="20" t="s">
        <v>1375</v>
      </c>
      <c r="D873" s="26">
        <f t="shared" ref="D873:D876" si="28">1583*1.19</f>
        <v>1883.77</v>
      </c>
      <c r="E873" s="26"/>
      <c r="F873" s="26"/>
    </row>
    <row r="874">
      <c r="A874" s="16" t="s">
        <v>1376</v>
      </c>
      <c r="B874" s="51" t="s">
        <v>1377</v>
      </c>
      <c r="C874" s="20" t="s">
        <v>1375</v>
      </c>
      <c r="D874" s="26">
        <f t="shared" si="28"/>
        <v>1883.77</v>
      </c>
      <c r="E874" s="26"/>
      <c r="F874" s="26"/>
    </row>
    <row r="875">
      <c r="A875" s="16" t="s">
        <v>1378</v>
      </c>
      <c r="B875" s="51" t="s">
        <v>1379</v>
      </c>
      <c r="C875" s="20" t="s">
        <v>1375</v>
      </c>
      <c r="D875" s="26">
        <f t="shared" si="28"/>
        <v>1883.77</v>
      </c>
      <c r="E875" s="26"/>
      <c r="F875" s="26"/>
    </row>
    <row r="876">
      <c r="A876" s="16" t="s">
        <v>1380</v>
      </c>
      <c r="B876" s="51" t="s">
        <v>1377</v>
      </c>
      <c r="C876" s="20" t="s">
        <v>1375</v>
      </c>
      <c r="D876" s="26">
        <f t="shared" si="28"/>
        <v>1883.77</v>
      </c>
      <c r="E876" s="26"/>
      <c r="F876" s="26"/>
    </row>
    <row r="877">
      <c r="A877" s="119" t="s">
        <v>1381</v>
      </c>
      <c r="B877" s="51"/>
      <c r="C877" s="20" t="s">
        <v>1382</v>
      </c>
      <c r="D877" s="521">
        <v>1133.0</v>
      </c>
      <c r="E877" s="521"/>
      <c r="F877" s="521"/>
    </row>
    <row r="878">
      <c r="A878" s="119" t="s">
        <v>1381</v>
      </c>
      <c r="B878" s="51"/>
      <c r="C878" s="20" t="s">
        <v>1383</v>
      </c>
      <c r="D878" s="31">
        <f>188655/100</f>
        <v>1886.55</v>
      </c>
      <c r="E878" s="31"/>
      <c r="F878" s="31"/>
    </row>
    <row r="879">
      <c r="A879" s="16" t="s">
        <v>1384</v>
      </c>
      <c r="B879" s="49" t="s">
        <v>1385</v>
      </c>
      <c r="C879" s="16" t="s">
        <v>1386</v>
      </c>
      <c r="D879" s="26">
        <v>14280.0</v>
      </c>
      <c r="E879" s="26"/>
      <c r="F879" s="26"/>
    </row>
    <row r="880">
      <c r="A880" s="16" t="s">
        <v>1387</v>
      </c>
      <c r="B880" s="49" t="s">
        <v>1385</v>
      </c>
      <c r="C880" s="16" t="s">
        <v>1386</v>
      </c>
      <c r="D880" s="26">
        <v>14280.0</v>
      </c>
      <c r="E880" s="26"/>
      <c r="F880" s="26"/>
    </row>
    <row r="881">
      <c r="A881" s="16" t="s">
        <v>1388</v>
      </c>
      <c r="B881" s="49" t="s">
        <v>1385</v>
      </c>
      <c r="C881" s="16" t="s">
        <v>1386</v>
      </c>
      <c r="D881" s="26">
        <v>14280.0</v>
      </c>
      <c r="E881" s="26"/>
      <c r="F881" s="26"/>
    </row>
    <row r="882">
      <c r="A882" s="16" t="s">
        <v>1389</v>
      </c>
      <c r="B882" s="49" t="s">
        <v>1390</v>
      </c>
      <c r="C882" s="16" t="s">
        <v>1386</v>
      </c>
      <c r="D882" s="26">
        <v>21250.0</v>
      </c>
      <c r="E882" s="26"/>
      <c r="F882" s="26"/>
    </row>
    <row r="883">
      <c r="A883" s="16" t="s">
        <v>1391</v>
      </c>
      <c r="B883" s="49" t="s">
        <v>1390</v>
      </c>
      <c r="C883" s="16" t="s">
        <v>1386</v>
      </c>
      <c r="D883" s="26">
        <v>21250.0</v>
      </c>
      <c r="E883" s="26"/>
      <c r="F883" s="26"/>
    </row>
    <row r="884">
      <c r="A884" s="16" t="s">
        <v>1392</v>
      </c>
      <c r="B884" s="49" t="s">
        <v>1390</v>
      </c>
      <c r="C884" s="16" t="s">
        <v>1386</v>
      </c>
      <c r="D884" s="26">
        <v>21250.0</v>
      </c>
      <c r="E884" s="26"/>
      <c r="F884" s="26"/>
    </row>
    <row r="885">
      <c r="A885" s="119" t="s">
        <v>1393</v>
      </c>
      <c r="B885" s="51"/>
      <c r="C885" s="20" t="s">
        <v>1394</v>
      </c>
      <c r="D885" s="521">
        <v>3300.0</v>
      </c>
      <c r="E885" s="521"/>
      <c r="F885" s="521"/>
    </row>
    <row r="886">
      <c r="A886" s="40" t="s">
        <v>1396</v>
      </c>
      <c r="B886" s="49"/>
      <c r="C886" s="16" t="s">
        <v>1397</v>
      </c>
      <c r="D886" s="26">
        <v>50.0</v>
      </c>
      <c r="E886" s="26"/>
      <c r="F886" s="26"/>
    </row>
    <row r="887">
      <c r="A887" s="16" t="s">
        <v>1398</v>
      </c>
      <c r="B887" s="49"/>
      <c r="C887" s="20" t="s">
        <v>98</v>
      </c>
      <c r="D887" s="26">
        <f>3300*1.19</f>
        <v>3927</v>
      </c>
      <c r="E887" s="26"/>
      <c r="F887" s="26"/>
    </row>
    <row r="888">
      <c r="A888" s="16" t="s">
        <v>1399</v>
      </c>
      <c r="B888" s="51"/>
      <c r="C888" s="16" t="s">
        <v>1400</v>
      </c>
      <c r="D888" s="26">
        <v>380000.0</v>
      </c>
      <c r="E888" s="26"/>
      <c r="F888" s="26"/>
    </row>
    <row r="889">
      <c r="A889" s="16" t="s">
        <v>1401</v>
      </c>
      <c r="B889" s="51"/>
      <c r="C889" s="16" t="s">
        <v>1402</v>
      </c>
      <c r="D889" s="26">
        <v>235000.0</v>
      </c>
      <c r="E889" s="26"/>
      <c r="F889" s="26"/>
    </row>
    <row r="890">
      <c r="A890" s="16" t="s">
        <v>1403</v>
      </c>
      <c r="B890" s="51"/>
      <c r="C890" s="16" t="s">
        <v>16</v>
      </c>
      <c r="D890" s="26">
        <v>380000.0</v>
      </c>
      <c r="E890" s="26"/>
      <c r="F890" s="26"/>
    </row>
    <row r="891">
      <c r="A891" s="52" t="s">
        <v>1404</v>
      </c>
      <c r="B891" s="49"/>
      <c r="C891" s="20" t="s">
        <v>563</v>
      </c>
      <c r="D891" s="26">
        <f>35000*1.19</f>
        <v>41650</v>
      </c>
      <c r="E891" s="26"/>
      <c r="F891" s="26"/>
    </row>
    <row r="892">
      <c r="A892" s="52" t="s">
        <v>1405</v>
      </c>
      <c r="B892" s="49"/>
      <c r="C892" s="20" t="s">
        <v>563</v>
      </c>
      <c r="D892" s="26">
        <v>1319.0</v>
      </c>
      <c r="E892" s="26"/>
      <c r="F892" s="26"/>
    </row>
    <row r="893">
      <c r="A893" s="16" t="s">
        <v>1406</v>
      </c>
      <c r="B893" s="49"/>
      <c r="C893" s="16" t="s">
        <v>1407</v>
      </c>
      <c r="D893" s="79">
        <f>10985</f>
        <v>10985</v>
      </c>
      <c r="E893" s="79"/>
      <c r="F893" s="79"/>
    </row>
    <row r="894">
      <c r="A894" s="16" t="s">
        <v>1408</v>
      </c>
      <c r="B894" s="49"/>
      <c r="C894" s="16" t="s">
        <v>1410</v>
      </c>
      <c r="D894" s="79">
        <v>12757.0</v>
      </c>
      <c r="E894" s="79"/>
      <c r="F894" s="79"/>
    </row>
    <row r="895">
      <c r="A895" s="16" t="s">
        <v>1411</v>
      </c>
      <c r="B895" s="49"/>
      <c r="C895" s="16" t="s">
        <v>1412</v>
      </c>
      <c r="D895" s="79">
        <v>9638.0</v>
      </c>
      <c r="E895" s="79"/>
      <c r="F895" s="79"/>
    </row>
    <row r="896">
      <c r="A896" s="16" t="s">
        <v>1414</v>
      </c>
      <c r="B896" s="51" t="s">
        <v>1415</v>
      </c>
      <c r="C896" s="16" t="s">
        <v>1416</v>
      </c>
      <c r="D896" s="79">
        <v>16995.0</v>
      </c>
      <c r="E896" s="79"/>
      <c r="F896" s="79"/>
    </row>
    <row r="897">
      <c r="A897" s="16" t="s">
        <v>1417</v>
      </c>
      <c r="B897" s="51"/>
      <c r="C897" s="20" t="s">
        <v>78</v>
      </c>
      <c r="D897" s="79">
        <v>14500.0</v>
      </c>
      <c r="E897" s="79"/>
      <c r="F897" s="79"/>
    </row>
    <row r="898">
      <c r="A898" s="52" t="s">
        <v>1418</v>
      </c>
      <c r="B898" s="49"/>
      <c r="C898" s="20" t="s">
        <v>377</v>
      </c>
      <c r="D898" s="26">
        <f>19000*1.19</f>
        <v>22610</v>
      </c>
      <c r="E898" s="26"/>
      <c r="F898" s="26"/>
    </row>
    <row r="899">
      <c r="A899" s="42" t="s">
        <v>3383</v>
      </c>
      <c r="B899" s="51"/>
      <c r="C899" s="54" t="s">
        <v>102</v>
      </c>
      <c r="D899" s="26">
        <v>33478.0</v>
      </c>
      <c r="E899" s="26"/>
      <c r="F899" s="26"/>
    </row>
    <row r="900">
      <c r="A900" s="42" t="s">
        <v>1420</v>
      </c>
      <c r="B900" s="149"/>
      <c r="C900" s="20" t="s">
        <v>14</v>
      </c>
      <c r="D900" s="26">
        <v>69900.0</v>
      </c>
      <c r="E900" s="26"/>
      <c r="F900" s="26"/>
    </row>
    <row r="901">
      <c r="A901" s="52" t="s">
        <v>1421</v>
      </c>
      <c r="B901" s="49"/>
      <c r="C901" s="16" t="s">
        <v>1423</v>
      </c>
      <c r="D901" s="520">
        <v>7961.0</v>
      </c>
      <c r="E901" s="520"/>
      <c r="F901" s="520"/>
    </row>
    <row r="902">
      <c r="A902" s="52" t="s">
        <v>1424</v>
      </c>
      <c r="B902" s="49"/>
      <c r="C902" s="16" t="s">
        <v>1423</v>
      </c>
      <c r="D902" s="26">
        <v>5114.0</v>
      </c>
      <c r="E902" s="26"/>
      <c r="F902" s="26"/>
    </row>
    <row r="903">
      <c r="A903" s="16" t="s">
        <v>1425</v>
      </c>
      <c r="B903" s="51"/>
      <c r="C903" s="20" t="s">
        <v>286</v>
      </c>
      <c r="D903" s="26">
        <v>17136.0</v>
      </c>
      <c r="E903" s="26"/>
      <c r="F903" s="26"/>
    </row>
    <row r="904">
      <c r="A904" s="16" t="s">
        <v>1426</v>
      </c>
      <c r="B904" s="51"/>
      <c r="C904" s="20" t="s">
        <v>286</v>
      </c>
      <c r="D904" s="26">
        <v>18445.0</v>
      </c>
      <c r="E904" s="26"/>
      <c r="F904" s="26"/>
    </row>
    <row r="905">
      <c r="A905" s="52" t="s">
        <v>3384</v>
      </c>
      <c r="B905" s="49" t="s">
        <v>1428</v>
      </c>
      <c r="C905" s="20" t="s">
        <v>1429</v>
      </c>
      <c r="D905" s="26">
        <v>4500.0</v>
      </c>
      <c r="E905" s="26"/>
      <c r="F905" s="26"/>
    </row>
    <row r="906">
      <c r="A906" s="52" t="s">
        <v>3385</v>
      </c>
      <c r="B906" s="49" t="s">
        <v>1428</v>
      </c>
      <c r="C906" s="20" t="s">
        <v>1429</v>
      </c>
      <c r="D906" s="26">
        <v>4500.0</v>
      </c>
      <c r="E906" s="26"/>
      <c r="F906" s="26"/>
    </row>
    <row r="907">
      <c r="A907" s="16" t="s">
        <v>1431</v>
      </c>
      <c r="B907" s="49"/>
      <c r="C907" s="16" t="s">
        <v>88</v>
      </c>
      <c r="D907" s="26">
        <f>9244*1.19</f>
        <v>11000.36</v>
      </c>
      <c r="E907" s="26"/>
      <c r="F907" s="26"/>
    </row>
    <row r="908">
      <c r="A908" s="16" t="s">
        <v>1432</v>
      </c>
      <c r="B908" s="51"/>
      <c r="C908" s="54" t="s">
        <v>102</v>
      </c>
      <c r="D908" s="26">
        <v>32500.0</v>
      </c>
      <c r="E908" s="26"/>
      <c r="F908" s="26"/>
    </row>
    <row r="909">
      <c r="A909" s="16" t="s">
        <v>1433</v>
      </c>
      <c r="B909" s="51"/>
      <c r="C909" s="54" t="s">
        <v>102</v>
      </c>
      <c r="D909" s="26">
        <v>32500.0</v>
      </c>
      <c r="E909" s="26"/>
      <c r="F909" s="26"/>
    </row>
    <row r="910">
      <c r="A910" s="16" t="s">
        <v>1434</v>
      </c>
      <c r="B910" s="51"/>
      <c r="C910" s="40" t="s">
        <v>1435</v>
      </c>
      <c r="D910" s="79">
        <v>48000.0</v>
      </c>
      <c r="E910" s="79"/>
      <c r="F910" s="79"/>
    </row>
    <row r="911">
      <c r="A911" s="16" t="s">
        <v>1436</v>
      </c>
      <c r="B911" s="51"/>
      <c r="C911" s="40" t="s">
        <v>1435</v>
      </c>
      <c r="D911" s="79">
        <v>48000.0</v>
      </c>
      <c r="E911" s="79"/>
      <c r="F911" s="79"/>
    </row>
    <row r="912">
      <c r="A912" s="16" t="s">
        <v>1437</v>
      </c>
      <c r="B912" s="51"/>
      <c r="C912" s="40" t="s">
        <v>1435</v>
      </c>
      <c r="D912" s="79">
        <v>48000.0</v>
      </c>
      <c r="E912" s="79"/>
      <c r="F912" s="79"/>
    </row>
    <row r="913">
      <c r="A913" s="16" t="s">
        <v>1438</v>
      </c>
      <c r="B913" s="51"/>
      <c r="C913" s="40" t="s">
        <v>1435</v>
      </c>
      <c r="D913" s="79">
        <v>48000.0</v>
      </c>
      <c r="E913" s="79"/>
      <c r="F913" s="79"/>
    </row>
    <row r="914">
      <c r="A914" s="16" t="s">
        <v>1439</v>
      </c>
      <c r="B914" s="51"/>
      <c r="C914" s="40" t="s">
        <v>1435</v>
      </c>
      <c r="D914" s="79">
        <v>48000.0</v>
      </c>
      <c r="E914" s="79"/>
      <c r="F914" s="79"/>
    </row>
    <row r="915">
      <c r="A915" s="16" t="s">
        <v>1441</v>
      </c>
      <c r="B915" s="51"/>
      <c r="C915" s="20" t="s">
        <v>468</v>
      </c>
      <c r="D915" s="26">
        <f t="shared" ref="D915:D917" si="29">54613</f>
        <v>54613</v>
      </c>
      <c r="E915" s="26"/>
      <c r="F915" s="26"/>
    </row>
    <row r="916">
      <c r="A916" s="16" t="s">
        <v>1442</v>
      </c>
      <c r="B916" s="51"/>
      <c r="C916" s="20" t="s">
        <v>468</v>
      </c>
      <c r="D916" s="26">
        <f t="shared" si="29"/>
        <v>54613</v>
      </c>
      <c r="E916" s="26"/>
      <c r="F916" s="26"/>
    </row>
    <row r="917">
      <c r="A917" s="16" t="s">
        <v>1443</v>
      </c>
      <c r="B917" s="51"/>
      <c r="C917" s="20" t="s">
        <v>468</v>
      </c>
      <c r="D917" s="26">
        <f t="shared" si="29"/>
        <v>54613</v>
      </c>
      <c r="E917" s="26"/>
      <c r="F917" s="26"/>
    </row>
    <row r="918">
      <c r="A918" s="16" t="s">
        <v>1444</v>
      </c>
      <c r="B918" s="51"/>
      <c r="C918" s="20" t="s">
        <v>468</v>
      </c>
      <c r="D918" s="520">
        <v>54613.0</v>
      </c>
      <c r="E918" s="520"/>
      <c r="F918" s="520"/>
    </row>
    <row r="919">
      <c r="A919" s="16" t="s">
        <v>1445</v>
      </c>
      <c r="B919" s="51"/>
      <c r="C919" s="20" t="s">
        <v>286</v>
      </c>
      <c r="D919" s="26">
        <v>4600.0</v>
      </c>
      <c r="E919" s="26"/>
      <c r="F919" s="26"/>
    </row>
    <row r="920">
      <c r="A920" s="16" t="s">
        <v>1446</v>
      </c>
      <c r="B920" s="49"/>
      <c r="C920" s="16" t="s">
        <v>1412</v>
      </c>
      <c r="D920" s="26">
        <v>4935.0</v>
      </c>
      <c r="E920" s="26"/>
      <c r="F920" s="26"/>
    </row>
    <row r="921">
      <c r="A921" s="16" t="s">
        <v>1447</v>
      </c>
      <c r="B921" s="49" t="s">
        <v>1448</v>
      </c>
      <c r="C921" s="16" t="s">
        <v>1449</v>
      </c>
      <c r="D921" s="26">
        <f>5095</f>
        <v>5095</v>
      </c>
      <c r="E921" s="26"/>
      <c r="F921" s="26"/>
    </row>
    <row r="922">
      <c r="A922" s="16" t="s">
        <v>1450</v>
      </c>
      <c r="B922" s="49" t="s">
        <v>1451</v>
      </c>
      <c r="C922" s="16" t="s">
        <v>88</v>
      </c>
      <c r="D922" s="26">
        <v>4040.0</v>
      </c>
      <c r="E922" s="26"/>
      <c r="F922" s="26"/>
    </row>
    <row r="923">
      <c r="A923" s="16" t="s">
        <v>1452</v>
      </c>
      <c r="B923" s="51"/>
      <c r="C923" s="20" t="s">
        <v>286</v>
      </c>
      <c r="D923" s="26">
        <f>77469/100</f>
        <v>774.69</v>
      </c>
      <c r="E923" s="26"/>
      <c r="F923" s="26"/>
    </row>
    <row r="924">
      <c r="A924" s="122" t="s">
        <v>1453</v>
      </c>
      <c r="B924" s="51"/>
      <c r="C924" s="16" t="s">
        <v>659</v>
      </c>
      <c r="D924" s="79">
        <f>(20000*1.19)/10</f>
        <v>2380</v>
      </c>
      <c r="E924" s="79"/>
      <c r="F924" s="79"/>
    </row>
    <row r="925">
      <c r="A925" s="16" t="s">
        <v>1454</v>
      </c>
      <c r="B925" s="51"/>
      <c r="C925" s="16" t="s">
        <v>3386</v>
      </c>
      <c r="D925" s="26">
        <v>25000.0</v>
      </c>
      <c r="E925" s="26"/>
      <c r="F925" s="26"/>
    </row>
    <row r="926">
      <c r="A926" s="16" t="s">
        <v>1456</v>
      </c>
      <c r="B926" s="51"/>
      <c r="C926" s="16" t="s">
        <v>3386</v>
      </c>
      <c r="D926" s="26">
        <v>25000.0</v>
      </c>
      <c r="E926" s="26"/>
      <c r="F926" s="26"/>
    </row>
    <row r="927">
      <c r="A927" s="16" t="s">
        <v>1457</v>
      </c>
      <c r="B927" s="51"/>
      <c r="C927" s="16" t="s">
        <v>3386</v>
      </c>
      <c r="D927" s="26">
        <v>25000.0</v>
      </c>
      <c r="E927" s="26"/>
      <c r="F927" s="26"/>
    </row>
    <row r="928">
      <c r="A928" s="16" t="s">
        <v>1458</v>
      </c>
      <c r="B928" s="51"/>
      <c r="C928" s="16" t="s">
        <v>3386</v>
      </c>
      <c r="D928" s="26">
        <v>25000.0</v>
      </c>
      <c r="E928" s="26"/>
      <c r="F928" s="26"/>
    </row>
    <row r="929">
      <c r="A929" s="59" t="s">
        <v>1459</v>
      </c>
      <c r="B929" s="134" t="s">
        <v>1460</v>
      </c>
      <c r="C929" s="20" t="s">
        <v>1461</v>
      </c>
      <c r="D929" s="79">
        <v>257000.0</v>
      </c>
      <c r="E929" s="79"/>
      <c r="F929" s="79"/>
    </row>
    <row r="930">
      <c r="A930" s="59" t="s">
        <v>1462</v>
      </c>
      <c r="B930" s="134" t="s">
        <v>1463</v>
      </c>
      <c r="C930" s="20" t="s">
        <v>1461</v>
      </c>
      <c r="D930" s="26">
        <v>55000.0</v>
      </c>
      <c r="E930" s="26"/>
      <c r="F930" s="26"/>
    </row>
    <row r="931">
      <c r="A931" s="59" t="s">
        <v>1465</v>
      </c>
      <c r="B931" s="134" t="s">
        <v>1460</v>
      </c>
      <c r="C931" s="20" t="s">
        <v>1461</v>
      </c>
      <c r="D931" s="26">
        <f t="shared" ref="D931:D937" si="30">58823.5*1.19</f>
        <v>69999.965</v>
      </c>
      <c r="E931" s="26"/>
      <c r="F931" s="26"/>
    </row>
    <row r="932">
      <c r="A932" s="59" t="s">
        <v>1467</v>
      </c>
      <c r="B932" s="134" t="s">
        <v>1460</v>
      </c>
      <c r="C932" s="20" t="s">
        <v>1461</v>
      </c>
      <c r="D932" s="26">
        <f t="shared" si="30"/>
        <v>69999.965</v>
      </c>
      <c r="E932" s="26"/>
      <c r="F932" s="26"/>
    </row>
    <row r="933">
      <c r="A933" s="59" t="s">
        <v>1468</v>
      </c>
      <c r="B933" s="134" t="s">
        <v>1460</v>
      </c>
      <c r="C933" s="20" t="s">
        <v>1461</v>
      </c>
      <c r="D933" s="26">
        <f t="shared" si="30"/>
        <v>69999.965</v>
      </c>
      <c r="E933" s="26"/>
      <c r="F933" s="26"/>
    </row>
    <row r="934">
      <c r="A934" s="59" t="s">
        <v>1469</v>
      </c>
      <c r="B934" s="134" t="s">
        <v>1460</v>
      </c>
      <c r="C934" s="20" t="s">
        <v>1461</v>
      </c>
      <c r="D934" s="26">
        <f t="shared" si="30"/>
        <v>69999.965</v>
      </c>
      <c r="E934" s="26"/>
      <c r="F934" s="26"/>
    </row>
    <row r="935">
      <c r="A935" s="59" t="s">
        <v>1470</v>
      </c>
      <c r="B935" s="134" t="s">
        <v>1460</v>
      </c>
      <c r="C935" s="20" t="s">
        <v>1461</v>
      </c>
      <c r="D935" s="26">
        <f t="shared" si="30"/>
        <v>69999.965</v>
      </c>
      <c r="E935" s="26"/>
      <c r="F935" s="26"/>
    </row>
    <row r="936">
      <c r="A936" s="59" t="s">
        <v>1471</v>
      </c>
      <c r="B936" s="134" t="s">
        <v>1460</v>
      </c>
      <c r="C936" s="20" t="s">
        <v>1461</v>
      </c>
      <c r="D936" s="26">
        <f t="shared" si="30"/>
        <v>69999.965</v>
      </c>
      <c r="E936" s="26"/>
      <c r="F936" s="26"/>
    </row>
    <row r="937">
      <c r="A937" s="59" t="s">
        <v>1472</v>
      </c>
      <c r="B937" s="134" t="s">
        <v>1460</v>
      </c>
      <c r="C937" s="20" t="s">
        <v>1461</v>
      </c>
      <c r="D937" s="26">
        <f t="shared" si="30"/>
        <v>69999.965</v>
      </c>
      <c r="E937" s="26"/>
      <c r="F937" s="26"/>
    </row>
    <row r="938">
      <c r="A938" s="59" t="s">
        <v>1473</v>
      </c>
      <c r="B938" s="134" t="s">
        <v>1460</v>
      </c>
      <c r="C938" s="20" t="s">
        <v>1461</v>
      </c>
      <c r="D938" s="26">
        <v>112000.0</v>
      </c>
      <c r="E938" s="26"/>
      <c r="F938" s="26"/>
    </row>
    <row r="939">
      <c r="A939" s="59" t="s">
        <v>1475</v>
      </c>
      <c r="B939" s="134" t="s">
        <v>1460</v>
      </c>
      <c r="C939" s="20" t="s">
        <v>1461</v>
      </c>
      <c r="D939" s="26">
        <v>112000.0</v>
      </c>
      <c r="E939" s="26"/>
      <c r="F939" s="26"/>
    </row>
    <row r="940">
      <c r="A940" s="59" t="s">
        <v>1476</v>
      </c>
      <c r="B940" s="134" t="s">
        <v>1477</v>
      </c>
      <c r="C940" s="20" t="s">
        <v>1461</v>
      </c>
      <c r="D940" s="533">
        <v>93296.0</v>
      </c>
      <c r="E940" s="533"/>
      <c r="F940" s="533"/>
    </row>
    <row r="941">
      <c r="A941" s="16" t="s">
        <v>1478</v>
      </c>
      <c r="B941" s="134" t="s">
        <v>1460</v>
      </c>
      <c r="C941" s="20" t="s">
        <v>1461</v>
      </c>
      <c r="D941" s="26">
        <f>108319*1.19</f>
        <v>128899.61</v>
      </c>
      <c r="E941" s="26"/>
      <c r="F941" s="26"/>
    </row>
    <row r="942">
      <c r="A942" s="59" t="s">
        <v>1479</v>
      </c>
      <c r="B942" s="134" t="s">
        <v>1460</v>
      </c>
      <c r="C942" s="20" t="s">
        <v>1461</v>
      </c>
      <c r="D942" s="26">
        <f>D951+D952</f>
        <v>162028.02</v>
      </c>
      <c r="E942" s="26"/>
      <c r="F942" s="26"/>
    </row>
    <row r="943">
      <c r="A943" s="59" t="s">
        <v>1481</v>
      </c>
      <c r="B943" s="134" t="s">
        <v>1460</v>
      </c>
      <c r="C943" s="20" t="s">
        <v>1461</v>
      </c>
      <c r="D943" s="26">
        <f>108319*1.19</f>
        <v>128899.61</v>
      </c>
      <c r="E943" s="26"/>
      <c r="F943" s="26"/>
    </row>
    <row r="944">
      <c r="A944" s="16" t="s">
        <v>1482</v>
      </c>
      <c r="B944" s="134" t="s">
        <v>1460</v>
      </c>
      <c r="C944" s="20" t="s">
        <v>1461</v>
      </c>
      <c r="D944" s="26">
        <v>31500.0</v>
      </c>
      <c r="E944" s="26"/>
      <c r="F944" s="26"/>
    </row>
    <row r="945">
      <c r="A945" s="59" t="s">
        <v>1483</v>
      </c>
      <c r="B945" s="134" t="s">
        <v>1460</v>
      </c>
      <c r="C945" s="20" t="s">
        <v>1461</v>
      </c>
      <c r="D945" s="26">
        <v>158000.0</v>
      </c>
      <c r="E945" s="26"/>
      <c r="F945" s="26"/>
    </row>
    <row r="946">
      <c r="A946" s="59" t="s">
        <v>1484</v>
      </c>
      <c r="B946" s="134" t="s">
        <v>1460</v>
      </c>
      <c r="C946" s="20" t="s">
        <v>1461</v>
      </c>
      <c r="D946" s="26">
        <v>266000.0</v>
      </c>
      <c r="E946" s="26"/>
      <c r="F946" s="26"/>
    </row>
    <row r="947">
      <c r="A947" s="59" t="s">
        <v>1485</v>
      </c>
      <c r="B947" s="134" t="s">
        <v>1460</v>
      </c>
      <c r="C947" s="20" t="s">
        <v>1461</v>
      </c>
      <c r="D947" s="26">
        <v>210000.0</v>
      </c>
      <c r="E947" s="26"/>
      <c r="F947" s="26"/>
    </row>
    <row r="948">
      <c r="A948" s="59" t="s">
        <v>1486</v>
      </c>
      <c r="B948" s="134" t="s">
        <v>1460</v>
      </c>
      <c r="C948" s="20" t="s">
        <v>1461</v>
      </c>
      <c r="D948" s="26">
        <f>280000*1.19</f>
        <v>333200</v>
      </c>
      <c r="E948" s="26"/>
      <c r="F948" s="26"/>
    </row>
    <row r="949">
      <c r="A949" s="59" t="s">
        <v>1487</v>
      </c>
      <c r="B949" s="203" t="s">
        <v>1488</v>
      </c>
      <c r="C949" s="20" t="s">
        <v>1461</v>
      </c>
      <c r="D949" s="534">
        <v>44982.0</v>
      </c>
      <c r="E949" s="534"/>
      <c r="F949" s="534"/>
    </row>
    <row r="950">
      <c r="A950" s="210" t="s">
        <v>1489</v>
      </c>
      <c r="B950" s="203" t="s">
        <v>1490</v>
      </c>
      <c r="C950" s="20" t="s">
        <v>1461</v>
      </c>
      <c r="D950" s="534">
        <v>20680.0</v>
      </c>
      <c r="E950" s="534"/>
      <c r="F950" s="534"/>
    </row>
    <row r="951">
      <c r="A951" s="59" t="s">
        <v>1491</v>
      </c>
      <c r="B951" s="134" t="s">
        <v>1492</v>
      </c>
      <c r="C951" s="20" t="s">
        <v>1461</v>
      </c>
      <c r="D951" s="26">
        <f>64958*1.19</f>
        <v>77300.02</v>
      </c>
      <c r="E951" s="26"/>
      <c r="F951" s="26"/>
    </row>
    <row r="952">
      <c r="A952" s="59" t="s">
        <v>1493</v>
      </c>
      <c r="B952" s="203" t="s">
        <v>1494</v>
      </c>
      <c r="C952" s="20" t="s">
        <v>1461</v>
      </c>
      <c r="D952" s="533">
        <v>84728.0</v>
      </c>
      <c r="E952" s="533"/>
      <c r="F952" s="533"/>
    </row>
    <row r="953">
      <c r="A953" s="59" t="s">
        <v>1495</v>
      </c>
      <c r="B953" s="134" t="s">
        <v>1460</v>
      </c>
      <c r="C953" s="20" t="s">
        <v>1461</v>
      </c>
      <c r="D953" s="26">
        <f>90672*1.19</f>
        <v>107899.68</v>
      </c>
      <c r="E953" s="26"/>
      <c r="F953" s="26"/>
    </row>
    <row r="954">
      <c r="A954" s="59" t="s">
        <v>1496</v>
      </c>
      <c r="B954" s="134" t="s">
        <v>1460</v>
      </c>
      <c r="C954" s="20" t="s">
        <v>1461</v>
      </c>
      <c r="D954" s="26">
        <v>89000.0</v>
      </c>
      <c r="E954" s="26"/>
      <c r="F954" s="26"/>
    </row>
    <row r="955">
      <c r="A955" s="16" t="s">
        <v>1497</v>
      </c>
      <c r="B955" s="134" t="s">
        <v>1460</v>
      </c>
      <c r="C955" s="20" t="s">
        <v>1461</v>
      </c>
      <c r="D955" s="26">
        <v>54000.0</v>
      </c>
      <c r="E955" s="26"/>
      <c r="F955" s="26"/>
    </row>
    <row r="956">
      <c r="A956" s="16" t="s">
        <v>3387</v>
      </c>
      <c r="B956" s="49"/>
      <c r="C956" s="54" t="s">
        <v>63</v>
      </c>
      <c r="D956" s="26">
        <v>33440.0</v>
      </c>
      <c r="E956" s="26"/>
      <c r="F956" s="26"/>
    </row>
    <row r="957">
      <c r="A957" s="16" t="s">
        <v>1499</v>
      </c>
      <c r="B957" s="49"/>
      <c r="C957" s="16" t="s">
        <v>744</v>
      </c>
      <c r="D957" s="535">
        <v>6367.0</v>
      </c>
      <c r="E957" s="535"/>
      <c r="F957" s="535"/>
    </row>
    <row r="958">
      <c r="A958" s="16" t="s">
        <v>1500</v>
      </c>
      <c r="B958" s="51"/>
      <c r="C958" s="16" t="s">
        <v>159</v>
      </c>
      <c r="D958" s="26">
        <f>186000/3</f>
        <v>62000</v>
      </c>
      <c r="E958" s="26"/>
      <c r="F958" s="26"/>
    </row>
    <row r="959">
      <c r="A959" s="42" t="s">
        <v>1501</v>
      </c>
      <c r="B959" s="149"/>
      <c r="C959" s="16" t="s">
        <v>465</v>
      </c>
      <c r="D959" s="26">
        <v>45800.0</v>
      </c>
      <c r="E959" s="26"/>
      <c r="F959" s="26"/>
    </row>
    <row r="960">
      <c r="A960" s="42" t="s">
        <v>1502</v>
      </c>
      <c r="B960" s="42" t="s">
        <v>1503</v>
      </c>
      <c r="C960" s="54" t="s">
        <v>63</v>
      </c>
      <c r="D960" s="26">
        <f>52712</f>
        <v>52712</v>
      </c>
      <c r="E960" s="26"/>
      <c r="F960" s="26"/>
    </row>
    <row r="961">
      <c r="A961" s="16" t="s">
        <v>1504</v>
      </c>
      <c r="B961" s="51"/>
      <c r="C961" s="20" t="s">
        <v>1225</v>
      </c>
      <c r="D961" s="26">
        <v>90320.0</v>
      </c>
      <c r="E961" s="26"/>
      <c r="F961" s="26"/>
    </row>
    <row r="962">
      <c r="A962" s="16" t="s">
        <v>1505</v>
      </c>
      <c r="B962" s="51"/>
      <c r="C962" s="20" t="s">
        <v>1225</v>
      </c>
      <c r="D962" s="26">
        <v>15400.0</v>
      </c>
      <c r="E962" s="26"/>
      <c r="F962" s="26"/>
    </row>
    <row r="963">
      <c r="A963" s="16" t="s">
        <v>1507</v>
      </c>
      <c r="B963" s="49"/>
      <c r="C963" s="16" t="s">
        <v>1400</v>
      </c>
      <c r="D963" s="26">
        <f>319328*1.19</f>
        <v>380000.32</v>
      </c>
      <c r="E963" s="26"/>
      <c r="F963" s="26"/>
    </row>
    <row r="964">
      <c r="A964" s="16" t="s">
        <v>1508</v>
      </c>
      <c r="B964" s="49"/>
      <c r="C964" s="20" t="s">
        <v>88</v>
      </c>
      <c r="D964" s="26">
        <f>5591*1.19</f>
        <v>6653.29</v>
      </c>
      <c r="E964" s="26"/>
      <c r="F964" s="26"/>
    </row>
    <row r="965">
      <c r="A965" s="16" t="s">
        <v>1509</v>
      </c>
      <c r="B965" s="49"/>
      <c r="C965" s="20" t="s">
        <v>1510</v>
      </c>
      <c r="D965" s="26">
        <v>6678.0</v>
      </c>
      <c r="E965" s="26"/>
      <c r="F965" s="26"/>
    </row>
    <row r="966">
      <c r="A966" s="119" t="s">
        <v>1511</v>
      </c>
      <c r="B966" s="51"/>
      <c r="C966" s="20" t="s">
        <v>497</v>
      </c>
      <c r="D966" s="532">
        <v>11182.0</v>
      </c>
      <c r="E966" s="532"/>
      <c r="F966" s="532"/>
    </row>
    <row r="967">
      <c r="A967" s="16" t="s">
        <v>1512</v>
      </c>
      <c r="B967" s="49"/>
      <c r="C967" s="20" t="s">
        <v>1513</v>
      </c>
      <c r="D967" s="26">
        <v>3000.0</v>
      </c>
      <c r="E967" s="26"/>
      <c r="F967" s="26"/>
    </row>
    <row r="968">
      <c r="A968" s="16" t="s">
        <v>1514</v>
      </c>
      <c r="B968" s="49"/>
      <c r="C968" s="16" t="s">
        <v>1331</v>
      </c>
      <c r="D968" s="26">
        <f>12935*1.19</f>
        <v>15392.65</v>
      </c>
      <c r="E968" s="26"/>
      <c r="F968" s="26"/>
    </row>
    <row r="969">
      <c r="A969" s="52" t="s">
        <v>1515</v>
      </c>
      <c r="B969" s="49"/>
      <c r="C969" s="20" t="s">
        <v>1513</v>
      </c>
      <c r="D969" s="26">
        <v>3000.0</v>
      </c>
      <c r="E969" s="26"/>
      <c r="F969" s="26"/>
    </row>
    <row r="970">
      <c r="A970" s="16" t="s">
        <v>1516</v>
      </c>
      <c r="B970" s="49" t="s">
        <v>1517</v>
      </c>
      <c r="C970" s="16" t="s">
        <v>88</v>
      </c>
      <c r="D970" s="26">
        <v>5280.0</v>
      </c>
      <c r="E970" s="26"/>
      <c r="F970" s="26"/>
    </row>
    <row r="971">
      <c r="A971" s="52" t="s">
        <v>1518</v>
      </c>
      <c r="B971" s="49" t="s">
        <v>1517</v>
      </c>
      <c r="C971" s="16" t="s">
        <v>104</v>
      </c>
      <c r="D971" s="79">
        <v>9001.0</v>
      </c>
      <c r="E971" s="79"/>
      <c r="F971" s="79"/>
    </row>
    <row r="972">
      <c r="A972" s="52" t="s">
        <v>1519</v>
      </c>
      <c r="B972" s="49" t="s">
        <v>1520</v>
      </c>
      <c r="C972" s="20" t="s">
        <v>1521</v>
      </c>
      <c r="D972" s="26">
        <v>7000.0</v>
      </c>
      <c r="E972" s="26"/>
      <c r="F972" s="26"/>
    </row>
    <row r="973">
      <c r="A973" s="52" t="s">
        <v>1522</v>
      </c>
      <c r="B973" s="49"/>
      <c r="C973" s="20" t="s">
        <v>377</v>
      </c>
      <c r="D973" s="26">
        <v>18500.0</v>
      </c>
      <c r="E973" s="26"/>
      <c r="F973" s="26"/>
    </row>
    <row r="974">
      <c r="A974" s="16" t="s">
        <v>1523</v>
      </c>
      <c r="B974" s="51"/>
      <c r="C974" s="16" t="s">
        <v>88</v>
      </c>
      <c r="D974" s="26">
        <v>19182.0</v>
      </c>
      <c r="E974" s="26"/>
      <c r="F974" s="26"/>
    </row>
    <row r="975">
      <c r="A975" s="52" t="s">
        <v>1524</v>
      </c>
      <c r="B975" s="49"/>
      <c r="C975" s="20" t="s">
        <v>377</v>
      </c>
      <c r="D975" s="26">
        <v>58000.0</v>
      </c>
      <c r="E975" s="26"/>
      <c r="F975" s="26"/>
    </row>
    <row r="976">
      <c r="A976" s="16" t="s">
        <v>1525</v>
      </c>
      <c r="B976" s="51"/>
      <c r="C976" s="20" t="s">
        <v>57</v>
      </c>
      <c r="D976" s="26">
        <v>6500.0</v>
      </c>
      <c r="E976" s="26"/>
      <c r="F976" s="26"/>
    </row>
    <row r="977">
      <c r="A977" s="52" t="s">
        <v>1526</v>
      </c>
      <c r="B977" s="49"/>
      <c r="C977" s="16" t="s">
        <v>104</v>
      </c>
      <c r="D977" s="26"/>
      <c r="E977" s="26"/>
      <c r="F977" s="26"/>
    </row>
    <row r="978">
      <c r="A978" s="119" t="s">
        <v>1527</v>
      </c>
      <c r="B978" s="51"/>
      <c r="C978" s="20" t="s">
        <v>497</v>
      </c>
      <c r="D978" s="532">
        <v>7597.0</v>
      </c>
      <c r="E978" s="532"/>
      <c r="F978" s="532"/>
    </row>
    <row r="979">
      <c r="A979" s="59" t="s">
        <v>1528</v>
      </c>
      <c r="B979" s="97" t="s">
        <v>1529</v>
      </c>
      <c r="C979" s="16" t="s">
        <v>485</v>
      </c>
      <c r="D979" s="26">
        <f>91603*1.19</f>
        <v>109007.57</v>
      </c>
      <c r="E979" s="26"/>
      <c r="F979" s="26"/>
    </row>
    <row r="980">
      <c r="A980" s="16" t="s">
        <v>1530</v>
      </c>
      <c r="B980" s="51" t="s">
        <v>1531</v>
      </c>
      <c r="C980" s="20" t="s">
        <v>286</v>
      </c>
      <c r="D980" s="26">
        <f>304*1.19</f>
        <v>361.76</v>
      </c>
      <c r="E980" s="26"/>
      <c r="F980" s="26"/>
    </row>
    <row r="981">
      <c r="A981" s="40" t="s">
        <v>1532</v>
      </c>
      <c r="B981" s="51" t="s">
        <v>1533</v>
      </c>
      <c r="C981" s="20" t="s">
        <v>286</v>
      </c>
      <c r="D981" s="26">
        <f>208*1.19</f>
        <v>247.52</v>
      </c>
      <c r="E981" s="26"/>
      <c r="F981" s="26"/>
    </row>
    <row r="982">
      <c r="A982" s="40" t="s">
        <v>1534</v>
      </c>
      <c r="B982" s="51" t="s">
        <v>1535</v>
      </c>
      <c r="C982" s="20" t="s">
        <v>286</v>
      </c>
      <c r="D982" s="26">
        <f>376*1.19</f>
        <v>447.44</v>
      </c>
      <c r="E982" s="26"/>
      <c r="F982" s="26"/>
    </row>
    <row r="983">
      <c r="A983" s="40" t="s">
        <v>1536</v>
      </c>
      <c r="B983" s="51" t="s">
        <v>1537</v>
      </c>
      <c r="C983" s="20" t="s">
        <v>286</v>
      </c>
      <c r="D983" s="26">
        <f>189*1.19</f>
        <v>224.91</v>
      </c>
      <c r="E983" s="26"/>
      <c r="F983" s="26"/>
    </row>
    <row r="984">
      <c r="A984" s="16" t="s">
        <v>1538</v>
      </c>
      <c r="B984" s="51" t="s">
        <v>1539</v>
      </c>
      <c r="C984" s="20" t="s">
        <v>1540</v>
      </c>
      <c r="D984" s="26">
        <v>40000.0</v>
      </c>
      <c r="E984" s="26"/>
      <c r="F984" s="26"/>
    </row>
    <row r="985">
      <c r="A985" s="16" t="s">
        <v>1541</v>
      </c>
      <c r="B985" s="49" t="s">
        <v>1542</v>
      </c>
      <c r="C985" s="16" t="s">
        <v>16</v>
      </c>
      <c r="D985" s="26">
        <v>33000.0</v>
      </c>
      <c r="E985" s="26"/>
      <c r="F985" s="26"/>
    </row>
    <row r="986">
      <c r="A986" s="16" t="s">
        <v>1543</v>
      </c>
      <c r="B986" s="51" t="s">
        <v>44</v>
      </c>
      <c r="C986" s="20" t="s">
        <v>45</v>
      </c>
      <c r="D986" s="520">
        <f>2488400+2063100</f>
        <v>4551500</v>
      </c>
      <c r="E986" s="520"/>
      <c r="F986" s="520"/>
    </row>
    <row r="987">
      <c r="A987" s="16" t="s">
        <v>1544</v>
      </c>
      <c r="B987" s="51"/>
      <c r="C987" s="16" t="s">
        <v>16</v>
      </c>
      <c r="D987" s="518">
        <v>16398.75</v>
      </c>
      <c r="E987" s="518"/>
      <c r="F987" s="518"/>
    </row>
    <row r="988">
      <c r="A988" s="52" t="s">
        <v>1545</v>
      </c>
      <c r="B988" s="51"/>
      <c r="C988" s="16" t="s">
        <v>437</v>
      </c>
      <c r="D988" s="26">
        <v>4900.0</v>
      </c>
      <c r="E988" s="26"/>
      <c r="F988" s="26"/>
    </row>
    <row r="989">
      <c r="A989" s="52" t="s">
        <v>1546</v>
      </c>
      <c r="B989" s="51"/>
      <c r="C989" s="16" t="s">
        <v>437</v>
      </c>
      <c r="D989" s="26">
        <v>6900.0</v>
      </c>
      <c r="E989" s="26"/>
      <c r="F989" s="26"/>
    </row>
    <row r="990">
      <c r="A990" s="52" t="s">
        <v>1547</v>
      </c>
      <c r="B990" s="51"/>
      <c r="C990" s="16" t="s">
        <v>437</v>
      </c>
      <c r="D990" s="26">
        <v>4900.0</v>
      </c>
      <c r="E990" s="26"/>
      <c r="F990" s="26"/>
    </row>
    <row r="991">
      <c r="A991" s="122" t="s">
        <v>1548</v>
      </c>
      <c r="B991" s="134"/>
      <c r="C991" s="16" t="s">
        <v>16</v>
      </c>
      <c r="D991" s="519">
        <v>101737.0</v>
      </c>
      <c r="E991" s="519"/>
      <c r="F991" s="519"/>
    </row>
    <row r="992">
      <c r="A992" s="16" t="s">
        <v>1549</v>
      </c>
      <c r="B992" s="51"/>
      <c r="C992" s="16" t="s">
        <v>1205</v>
      </c>
      <c r="D992" s="26"/>
      <c r="E992" s="26"/>
      <c r="F992" s="26"/>
    </row>
    <row r="993">
      <c r="A993" s="16" t="s">
        <v>1550</v>
      </c>
      <c r="B993" s="51"/>
      <c r="C993" s="20" t="s">
        <v>1551</v>
      </c>
      <c r="D993" s="26">
        <v>260000.0</v>
      </c>
      <c r="E993" s="26"/>
      <c r="F993" s="26"/>
    </row>
    <row r="994">
      <c r="A994" s="16" t="s">
        <v>1552</v>
      </c>
      <c r="B994" s="51" t="s">
        <v>44</v>
      </c>
      <c r="C994" s="16" t="s">
        <v>45</v>
      </c>
      <c r="D994" s="520">
        <v>2452400.0</v>
      </c>
      <c r="E994" s="520"/>
      <c r="F994" s="520"/>
    </row>
    <row r="995">
      <c r="A995" s="16" t="s">
        <v>1553</v>
      </c>
      <c r="B995" s="51" t="s">
        <v>44</v>
      </c>
      <c r="C995" s="16" t="s">
        <v>45</v>
      </c>
      <c r="D995" s="520">
        <v>2452400.0</v>
      </c>
      <c r="E995" s="520"/>
      <c r="F995" s="520"/>
    </row>
    <row r="996">
      <c r="A996" s="16" t="s">
        <v>1554</v>
      </c>
      <c r="B996" s="49"/>
      <c r="C996" s="16" t="s">
        <v>1201</v>
      </c>
      <c r="D996" s="26">
        <f>29750*1.19</f>
        <v>35402.5</v>
      </c>
      <c r="E996" s="26"/>
      <c r="F996" s="26"/>
    </row>
    <row r="997">
      <c r="A997" s="119" t="s">
        <v>1555</v>
      </c>
      <c r="B997" s="51"/>
      <c r="C997" s="16" t="s">
        <v>16</v>
      </c>
      <c r="D997" s="521">
        <v>17000.0</v>
      </c>
      <c r="E997" s="521"/>
      <c r="F997" s="521"/>
    </row>
    <row r="998">
      <c r="A998" s="16" t="s">
        <v>1556</v>
      </c>
      <c r="B998" s="49"/>
      <c r="C998" s="16" t="s">
        <v>400</v>
      </c>
      <c r="D998" s="26"/>
      <c r="E998" s="26"/>
      <c r="F998" s="26"/>
    </row>
    <row r="999">
      <c r="A999" s="122" t="s">
        <v>1557</v>
      </c>
      <c r="B999" s="51">
        <v>240041.0</v>
      </c>
      <c r="C999" s="16" t="s">
        <v>659</v>
      </c>
      <c r="D999" s="26">
        <f t="shared" ref="D999:D1000" si="31">38637*1.19</f>
        <v>45978.03</v>
      </c>
      <c r="E999" s="26"/>
      <c r="F999" s="26"/>
    </row>
    <row r="1000">
      <c r="A1000" s="122" t="s">
        <v>1558</v>
      </c>
      <c r="B1000" s="51">
        <v>240043.0</v>
      </c>
      <c r="C1000" s="16" t="s">
        <v>425</v>
      </c>
      <c r="D1000" s="26">
        <f t="shared" si="31"/>
        <v>45978.03</v>
      </c>
      <c r="E1000" s="26"/>
      <c r="F1000" s="26"/>
    </row>
    <row r="1001">
      <c r="A1001" s="16" t="s">
        <v>1559</v>
      </c>
      <c r="B1001" s="51"/>
      <c r="C1001" s="40" t="s">
        <v>93</v>
      </c>
      <c r="D1001" s="26">
        <v>112000.0</v>
      </c>
      <c r="E1001" s="26"/>
      <c r="F1001" s="26"/>
    </row>
    <row r="1002">
      <c r="A1002" s="16" t="s">
        <v>1560</v>
      </c>
      <c r="B1002" s="49"/>
      <c r="C1002" s="16" t="s">
        <v>70</v>
      </c>
      <c r="D1002" s="37">
        <v>202000.0</v>
      </c>
      <c r="E1002" s="37"/>
      <c r="F1002" s="37"/>
    </row>
    <row r="1003">
      <c r="A1003" s="16" t="s">
        <v>1561</v>
      </c>
      <c r="B1003" s="49"/>
      <c r="C1003" s="16" t="s">
        <v>70</v>
      </c>
      <c r="D1003" s="37">
        <v>190000.0</v>
      </c>
      <c r="E1003" s="37"/>
      <c r="F1003" s="37"/>
    </row>
    <row r="1004">
      <c r="A1004" s="16" t="s">
        <v>1562</v>
      </c>
      <c r="B1004" s="51"/>
      <c r="C1004" s="16" t="s">
        <v>400</v>
      </c>
      <c r="D1004" s="518">
        <v>21865.0</v>
      </c>
      <c r="E1004" s="518"/>
      <c r="F1004" s="518"/>
    </row>
    <row r="1005">
      <c r="A1005" s="16" t="s">
        <v>1563</v>
      </c>
      <c r="B1005" s="51"/>
      <c r="C1005" s="16" t="s">
        <v>1564</v>
      </c>
      <c r="D1005" s="26">
        <v>364000.0</v>
      </c>
      <c r="E1005" s="26"/>
      <c r="F1005" s="26"/>
    </row>
    <row r="1006">
      <c r="A1006" s="122" t="s">
        <v>1565</v>
      </c>
      <c r="B1006" s="134"/>
      <c r="C1006" s="16" t="s">
        <v>16</v>
      </c>
      <c r="D1006" s="26">
        <v>87500.0</v>
      </c>
      <c r="E1006" s="26"/>
      <c r="F1006" s="26"/>
    </row>
    <row r="1007">
      <c r="A1007" s="16" t="s">
        <v>1567</v>
      </c>
      <c r="B1007" s="49" t="s">
        <v>328</v>
      </c>
      <c r="C1007" s="16" t="s">
        <v>93</v>
      </c>
      <c r="D1007" s="26">
        <v>292300.0</v>
      </c>
      <c r="E1007" s="26"/>
      <c r="F1007" s="26"/>
    </row>
    <row r="1008">
      <c r="A1008" s="16" t="s">
        <v>1568</v>
      </c>
      <c r="B1008" s="51" t="s">
        <v>44</v>
      </c>
      <c r="C1008" s="16" t="s">
        <v>1569</v>
      </c>
      <c r="D1008" s="520">
        <v>2782560.0</v>
      </c>
      <c r="E1008" s="520"/>
      <c r="F1008" s="520"/>
    </row>
    <row r="1009">
      <c r="A1009" s="16" t="s">
        <v>1570</v>
      </c>
      <c r="B1009" s="49" t="s">
        <v>1571</v>
      </c>
      <c r="C1009" s="16" t="s">
        <v>1573</v>
      </c>
      <c r="D1009" s="79">
        <v>142000.0</v>
      </c>
      <c r="E1009" s="79"/>
      <c r="F1009" s="79"/>
    </row>
    <row r="1010">
      <c r="A1010" s="16" t="s">
        <v>1574</v>
      </c>
      <c r="B1010" s="222" t="s">
        <v>1575</v>
      </c>
      <c r="C1010" s="16" t="s">
        <v>1573</v>
      </c>
      <c r="D1010" s="520">
        <v>223000.0</v>
      </c>
      <c r="E1010" s="520"/>
      <c r="F1010" s="520"/>
    </row>
    <row r="1011">
      <c r="A1011" s="16" t="s">
        <v>1576</v>
      </c>
      <c r="B1011" s="49" t="s">
        <v>1577</v>
      </c>
      <c r="C1011" s="16" t="s">
        <v>1210</v>
      </c>
      <c r="D1011" s="79">
        <f>102419*1.19</f>
        <v>121878.61</v>
      </c>
      <c r="E1011" s="79"/>
      <c r="F1011" s="79"/>
    </row>
    <row r="1012">
      <c r="A1012" s="59" t="s">
        <v>1578</v>
      </c>
      <c r="B1012" s="51"/>
      <c r="C1012" s="16" t="s">
        <v>16</v>
      </c>
      <c r="D1012" s="518">
        <v>4023.1600000000003</v>
      </c>
      <c r="E1012" s="518"/>
      <c r="F1012" s="518"/>
    </row>
    <row r="1013">
      <c r="A1013" s="59" t="s">
        <v>1579</v>
      </c>
      <c r="B1013" s="134"/>
      <c r="C1013" s="16" t="s">
        <v>16</v>
      </c>
      <c r="D1013" s="26">
        <v>4498.0</v>
      </c>
      <c r="E1013" s="26"/>
      <c r="F1013" s="26"/>
    </row>
    <row r="1014">
      <c r="A1014" s="59" t="s">
        <v>1580</v>
      </c>
      <c r="B1014" s="134"/>
      <c r="C1014" s="20" t="s">
        <v>57</v>
      </c>
      <c r="D1014" s="26">
        <v>4498.0</v>
      </c>
      <c r="E1014" s="26"/>
      <c r="F1014" s="26"/>
    </row>
    <row r="1015">
      <c r="A1015" s="16" t="s">
        <v>2861</v>
      </c>
      <c r="B1015" s="49" t="s">
        <v>1582</v>
      </c>
      <c r="C1015" s="16" t="s">
        <v>1583</v>
      </c>
      <c r="D1015" s="79">
        <v>520000.0</v>
      </c>
      <c r="E1015" s="79"/>
      <c r="F1015" s="79"/>
    </row>
    <row r="1016">
      <c r="A1016" s="16" t="s">
        <v>1584</v>
      </c>
      <c r="B1016" s="49" t="s">
        <v>1585</v>
      </c>
      <c r="C1016" s="16" t="s">
        <v>1583</v>
      </c>
      <c r="D1016" s="79">
        <f>574770*1.19</f>
        <v>683976.3</v>
      </c>
      <c r="E1016" s="79"/>
      <c r="F1016" s="79"/>
    </row>
    <row r="1017">
      <c r="A1017" s="16" t="s">
        <v>1586</v>
      </c>
      <c r="B1017" s="49"/>
      <c r="C1017" s="20" t="s">
        <v>254</v>
      </c>
      <c r="D1017" s="79">
        <f>235000*1.19</f>
        <v>279650</v>
      </c>
      <c r="E1017" s="79"/>
      <c r="F1017" s="79"/>
    </row>
    <row r="1018">
      <c r="A1018" s="16" t="s">
        <v>1587</v>
      </c>
      <c r="B1018" s="49"/>
      <c r="C1018" s="20" t="s">
        <v>254</v>
      </c>
      <c r="D1018" s="79">
        <f t="shared" ref="D1018:D1019" si="32">245000*1.19</f>
        <v>291550</v>
      </c>
      <c r="E1018" s="79"/>
      <c r="F1018" s="79"/>
    </row>
    <row r="1019">
      <c r="A1019" s="16" t="s">
        <v>1588</v>
      </c>
      <c r="B1019" s="49"/>
      <c r="C1019" s="20" t="s">
        <v>254</v>
      </c>
      <c r="D1019" s="79">
        <f t="shared" si="32"/>
        <v>291550</v>
      </c>
      <c r="E1019" s="79"/>
      <c r="F1019" s="79"/>
    </row>
    <row r="1020">
      <c r="A1020" s="16" t="s">
        <v>1590</v>
      </c>
      <c r="B1020" s="51"/>
      <c r="C1020" s="16" t="s">
        <v>588</v>
      </c>
      <c r="D1020" s="26">
        <v>5435.0</v>
      </c>
      <c r="E1020" s="26"/>
      <c r="F1020" s="26"/>
    </row>
    <row r="1021">
      <c r="A1021" s="16" t="s">
        <v>1591</v>
      </c>
      <c r="B1021" s="16" t="s">
        <v>1592</v>
      </c>
      <c r="C1021" s="16" t="s">
        <v>588</v>
      </c>
      <c r="D1021" s="26">
        <v>9089.0</v>
      </c>
      <c r="E1021" s="26"/>
      <c r="F1021" s="26"/>
    </row>
    <row r="1022">
      <c r="A1022" s="16" t="s">
        <v>1594</v>
      </c>
      <c r="B1022" s="16" t="s">
        <v>1595</v>
      </c>
      <c r="C1022" s="16" t="s">
        <v>588</v>
      </c>
      <c r="D1022" s="26">
        <v>7429.0</v>
      </c>
      <c r="E1022" s="26"/>
      <c r="F1022" s="26"/>
    </row>
    <row r="1023">
      <c r="A1023" s="16" t="s">
        <v>1596</v>
      </c>
      <c r="B1023" s="49"/>
      <c r="C1023" s="16" t="s">
        <v>57</v>
      </c>
      <c r="D1023" s="520">
        <v>1.0</v>
      </c>
      <c r="E1023" s="520"/>
      <c r="F1023" s="520"/>
    </row>
    <row r="1024">
      <c r="A1024" s="16" t="s">
        <v>1597</v>
      </c>
      <c r="B1024" s="178"/>
      <c r="C1024" s="16" t="s">
        <v>585</v>
      </c>
      <c r="D1024" s="26">
        <v>33700.0</v>
      </c>
      <c r="E1024" s="26"/>
      <c r="F1024" s="26"/>
    </row>
    <row r="1025">
      <c r="A1025" s="16" t="s">
        <v>1598</v>
      </c>
      <c r="B1025" s="178"/>
      <c r="C1025" s="16" t="s">
        <v>585</v>
      </c>
      <c r="D1025" s="26">
        <v>33700.0</v>
      </c>
      <c r="E1025" s="26"/>
      <c r="F1025" s="26"/>
    </row>
    <row r="1026">
      <c r="A1026" s="16" t="s">
        <v>1599</v>
      </c>
      <c r="B1026" s="178"/>
      <c r="C1026" s="16" t="s">
        <v>585</v>
      </c>
      <c r="D1026" s="26">
        <v>33700.0</v>
      </c>
      <c r="E1026" s="26"/>
      <c r="F1026" s="26"/>
    </row>
    <row r="1027">
      <c r="A1027" s="16" t="s">
        <v>1600</v>
      </c>
      <c r="B1027" s="51"/>
      <c r="C1027" s="16" t="s">
        <v>1551</v>
      </c>
      <c r="D1027" s="79">
        <v>220000.0</v>
      </c>
      <c r="E1027" s="79"/>
      <c r="F1027" s="79"/>
    </row>
    <row r="1028">
      <c r="A1028" s="16" t="s">
        <v>1602</v>
      </c>
      <c r="B1028" s="51"/>
      <c r="C1028" s="16" t="s">
        <v>16</v>
      </c>
      <c r="D1028" s="26">
        <v>38000.0</v>
      </c>
      <c r="E1028" s="26"/>
      <c r="F1028" s="26"/>
    </row>
    <row r="1029">
      <c r="A1029" s="59" t="s">
        <v>1604</v>
      </c>
      <c r="B1029" s="134"/>
      <c r="C1029" s="20" t="s">
        <v>57</v>
      </c>
      <c r="D1029" s="26"/>
      <c r="E1029" s="26"/>
      <c r="F1029" s="26"/>
    </row>
    <row r="1030">
      <c r="A1030" s="59" t="s">
        <v>1605</v>
      </c>
      <c r="B1030" s="134"/>
      <c r="C1030" s="20" t="s">
        <v>57</v>
      </c>
      <c r="D1030" s="26"/>
      <c r="E1030" s="26"/>
      <c r="F1030" s="26"/>
    </row>
    <row r="1031">
      <c r="A1031" s="16" t="s">
        <v>1606</v>
      </c>
      <c r="B1031" s="51"/>
      <c r="C1031" s="16" t="s">
        <v>1608</v>
      </c>
      <c r="D1031" s="26">
        <f>180672*1.19*0.85</f>
        <v>182749.728</v>
      </c>
      <c r="E1031" s="26"/>
      <c r="F1031" s="26"/>
    </row>
    <row r="1032">
      <c r="A1032" s="42" t="s">
        <v>1609</v>
      </c>
      <c r="B1032" s="49"/>
      <c r="C1032" s="16" t="s">
        <v>84</v>
      </c>
      <c r="D1032" s="79">
        <v>60000.0</v>
      </c>
      <c r="E1032" s="79"/>
      <c r="F1032" s="79"/>
    </row>
    <row r="1033">
      <c r="A1033" s="16" t="s">
        <v>1610</v>
      </c>
      <c r="B1033" s="51"/>
      <c r="C1033" s="16" t="s">
        <v>580</v>
      </c>
      <c r="D1033" s="26">
        <v>60000.0</v>
      </c>
      <c r="E1033" s="26"/>
      <c r="F1033" s="26"/>
    </row>
    <row r="1034">
      <c r="A1034" s="16" t="s">
        <v>1611</v>
      </c>
      <c r="B1034" s="51"/>
      <c r="C1034" s="16" t="s">
        <v>16</v>
      </c>
      <c r="D1034" s="26">
        <v>13438.0</v>
      </c>
      <c r="E1034" s="26"/>
      <c r="F1034" s="26"/>
    </row>
    <row r="1035">
      <c r="A1035" s="16" t="s">
        <v>1612</v>
      </c>
      <c r="B1035" s="49" t="s">
        <v>1613</v>
      </c>
      <c r="C1035" s="16" t="s">
        <v>1614</v>
      </c>
      <c r="D1035" s="26">
        <f>86900*1.19</f>
        <v>103411</v>
      </c>
      <c r="E1035" s="26"/>
      <c r="F1035" s="26"/>
    </row>
    <row r="1036">
      <c r="A1036" s="16" t="s">
        <v>1615</v>
      </c>
      <c r="B1036" s="49" t="s">
        <v>1616</v>
      </c>
      <c r="C1036" s="16" t="s">
        <v>1614</v>
      </c>
      <c r="D1036" s="26">
        <v>84500.0</v>
      </c>
      <c r="E1036" s="26"/>
      <c r="F1036" s="26"/>
    </row>
    <row r="1037">
      <c r="A1037" s="16" t="s">
        <v>1617</v>
      </c>
      <c r="B1037" s="51"/>
      <c r="C1037" s="16" t="s">
        <v>580</v>
      </c>
      <c r="D1037" s="26">
        <v>60000.0</v>
      </c>
      <c r="E1037" s="26"/>
      <c r="F1037" s="26"/>
    </row>
    <row r="1038">
      <c r="A1038" s="16" t="s">
        <v>1618</v>
      </c>
      <c r="B1038" s="51"/>
      <c r="C1038" s="16" t="s">
        <v>1619</v>
      </c>
      <c r="D1038" s="26">
        <f>205882*1.19*0.85</f>
        <v>208249.643</v>
      </c>
      <c r="E1038" s="26"/>
      <c r="F1038" s="26"/>
    </row>
    <row r="1039">
      <c r="A1039" s="16" t="s">
        <v>1620</v>
      </c>
      <c r="B1039" s="51"/>
      <c r="C1039" s="16" t="s">
        <v>580</v>
      </c>
      <c r="D1039" s="26">
        <v>110000.0</v>
      </c>
      <c r="E1039" s="26"/>
      <c r="F1039" s="26"/>
    </row>
    <row r="1040">
      <c r="A1040" s="16" t="s">
        <v>1621</v>
      </c>
      <c r="B1040" s="51"/>
      <c r="C1040" s="16" t="s">
        <v>580</v>
      </c>
      <c r="D1040" s="26">
        <v>21000.0</v>
      </c>
      <c r="E1040" s="26"/>
      <c r="F1040" s="26"/>
    </row>
    <row r="1041">
      <c r="A1041" s="16" t="s">
        <v>1622</v>
      </c>
      <c r="B1041" s="49"/>
      <c r="C1041" s="20" t="s">
        <v>98</v>
      </c>
      <c r="D1041" s="26"/>
      <c r="E1041" s="26"/>
      <c r="F1041" s="26"/>
    </row>
    <row r="1042">
      <c r="A1042" s="16" t="s">
        <v>1623</v>
      </c>
      <c r="B1042" s="49"/>
      <c r="C1042" s="20" t="s">
        <v>98</v>
      </c>
      <c r="D1042" s="26">
        <v>400000.0</v>
      </c>
      <c r="E1042" s="26"/>
      <c r="F1042" s="26"/>
    </row>
    <row r="1043">
      <c r="A1043" s="16" t="s">
        <v>1624</v>
      </c>
      <c r="B1043" s="49"/>
      <c r="C1043" s="16" t="s">
        <v>1210</v>
      </c>
      <c r="D1043" s="26">
        <v>226900.0</v>
      </c>
      <c r="E1043" s="26"/>
      <c r="F1043" s="26"/>
    </row>
    <row r="1044">
      <c r="A1044" s="16" t="s">
        <v>1625</v>
      </c>
      <c r="B1044" s="49"/>
      <c r="C1044" s="16" t="s">
        <v>1626</v>
      </c>
      <c r="D1044" s="26">
        <f>75000+87120</f>
        <v>162120</v>
      </c>
      <c r="E1044" s="26"/>
      <c r="F1044" s="26"/>
    </row>
    <row r="1045">
      <c r="A1045" s="16" t="s">
        <v>1627</v>
      </c>
      <c r="B1045" s="49"/>
      <c r="C1045" s="16" t="s">
        <v>1626</v>
      </c>
      <c r="D1045" s="26">
        <f>348480+87120+87120</f>
        <v>522720</v>
      </c>
      <c r="E1045" s="26"/>
      <c r="F1045" s="26"/>
    </row>
    <row r="1046">
      <c r="A1046" s="16" t="s">
        <v>1628</v>
      </c>
      <c r="B1046" s="49"/>
      <c r="C1046" s="16" t="s">
        <v>1400</v>
      </c>
      <c r="D1046" s="26">
        <v>178000.0</v>
      </c>
      <c r="E1046" s="26"/>
      <c r="F1046" s="26"/>
    </row>
    <row r="1047">
      <c r="A1047" s="52" t="s">
        <v>1629</v>
      </c>
      <c r="B1047" s="51"/>
      <c r="C1047" s="16" t="s">
        <v>1630</v>
      </c>
      <c r="D1047" s="26">
        <v>60690.0</v>
      </c>
      <c r="E1047" s="26"/>
      <c r="F1047" s="26"/>
    </row>
    <row r="1048">
      <c r="A1048" s="16" t="s">
        <v>1631</v>
      </c>
      <c r="B1048" s="49"/>
      <c r="C1048" s="16" t="s">
        <v>1400</v>
      </c>
      <c r="D1048" s="26">
        <v>417000.0</v>
      </c>
      <c r="E1048" s="26"/>
      <c r="F1048" s="26"/>
    </row>
    <row r="1049">
      <c r="A1049" s="118" t="s">
        <v>1632</v>
      </c>
      <c r="B1049" s="51"/>
      <c r="C1049" s="16" t="s">
        <v>437</v>
      </c>
      <c r="D1049" s="26">
        <v>4900.0</v>
      </c>
      <c r="E1049" s="26"/>
      <c r="F1049" s="26"/>
    </row>
    <row r="1050">
      <c r="A1050" s="16" t="s">
        <v>1633</v>
      </c>
      <c r="B1050" s="51"/>
      <c r="C1050" s="16" t="s">
        <v>57</v>
      </c>
      <c r="D1050" s="26">
        <v>214000.0</v>
      </c>
      <c r="E1050" s="26"/>
      <c r="F1050" s="26"/>
    </row>
    <row r="1051">
      <c r="A1051" s="16" t="s">
        <v>1634</v>
      </c>
      <c r="B1051" s="49"/>
      <c r="C1051" s="16" t="s">
        <v>1635</v>
      </c>
      <c r="D1051" s="79">
        <f>91616*1.19</f>
        <v>109023.04</v>
      </c>
      <c r="E1051" s="79"/>
      <c r="F1051" s="79"/>
    </row>
    <row r="1052">
      <c r="A1052" s="16" t="s">
        <v>1636</v>
      </c>
      <c r="B1052" s="49"/>
      <c r="C1052" s="16" t="s">
        <v>1635</v>
      </c>
      <c r="D1052" s="79">
        <f t="shared" ref="D1052:D1053" si="33">13628*8</f>
        <v>109024</v>
      </c>
      <c r="E1052" s="79"/>
      <c r="F1052" s="79"/>
    </row>
    <row r="1053">
      <c r="A1053" s="16" t="s">
        <v>1637</v>
      </c>
      <c r="B1053" s="49"/>
      <c r="C1053" s="16" t="s">
        <v>1635</v>
      </c>
      <c r="D1053" s="79">
        <f t="shared" si="33"/>
        <v>109024</v>
      </c>
      <c r="E1053" s="79"/>
      <c r="F1053" s="79"/>
    </row>
    <row r="1054">
      <c r="A1054" s="16" t="s">
        <v>1638</v>
      </c>
      <c r="B1054" s="51"/>
      <c r="C1054" s="16" t="s">
        <v>1639</v>
      </c>
      <c r="D1054" s="26">
        <v>110000.0</v>
      </c>
      <c r="E1054" s="26"/>
      <c r="F1054" s="26"/>
    </row>
    <row r="1055">
      <c r="A1055" s="536" t="s">
        <v>1640</v>
      </c>
      <c r="B1055" s="51"/>
      <c r="C1055" s="16" t="s">
        <v>580</v>
      </c>
      <c r="D1055" s="518">
        <v>18497.79</v>
      </c>
      <c r="E1055" s="518"/>
      <c r="F1055" s="518"/>
    </row>
    <row r="1056">
      <c r="A1056" s="16" t="s">
        <v>1641</v>
      </c>
      <c r="B1056" s="126"/>
      <c r="C1056" s="16" t="s">
        <v>1642</v>
      </c>
      <c r="D1056" s="26">
        <f t="shared" ref="D1056:D1057" si="34">900</f>
        <v>900</v>
      </c>
      <c r="E1056" s="26"/>
      <c r="F1056" s="26"/>
    </row>
    <row r="1057">
      <c r="A1057" s="16" t="s">
        <v>1643</v>
      </c>
      <c r="B1057" s="167" t="s">
        <v>1644</v>
      </c>
      <c r="C1057" s="16" t="s">
        <v>1645</v>
      </c>
      <c r="D1057" s="26">
        <f t="shared" si="34"/>
        <v>900</v>
      </c>
      <c r="E1057" s="26"/>
      <c r="F1057" s="26"/>
    </row>
    <row r="1058">
      <c r="A1058" s="16" t="s">
        <v>1646</v>
      </c>
      <c r="B1058" s="178" t="s">
        <v>1647</v>
      </c>
      <c r="C1058" s="16" t="s">
        <v>1642</v>
      </c>
      <c r="D1058" s="26">
        <f>9000/10</f>
        <v>900</v>
      </c>
      <c r="E1058" s="26"/>
      <c r="F1058" s="26"/>
    </row>
    <row r="1059">
      <c r="A1059" s="16" t="s">
        <v>1648</v>
      </c>
      <c r="B1059" s="51" t="s">
        <v>1649</v>
      </c>
      <c r="C1059" s="16" t="s">
        <v>1650</v>
      </c>
      <c r="D1059" s="26">
        <v>395304.0</v>
      </c>
      <c r="E1059" s="26"/>
      <c r="F1059" s="26"/>
    </row>
    <row r="1060">
      <c r="A1060" s="16" t="s">
        <v>1651</v>
      </c>
      <c r="B1060" s="51"/>
      <c r="C1060" s="16" t="s">
        <v>1650</v>
      </c>
      <c r="D1060" s="26">
        <f>495000/8</f>
        <v>61875</v>
      </c>
      <c r="E1060" s="26"/>
      <c r="F1060" s="26"/>
    </row>
    <row r="1061">
      <c r="A1061" s="16" t="s">
        <v>1652</v>
      </c>
      <c r="B1061" s="51"/>
      <c r="C1061" s="16" t="s">
        <v>400</v>
      </c>
      <c r="D1061" s="26">
        <v>136000.0</v>
      </c>
      <c r="E1061" s="26"/>
      <c r="F1061" s="26"/>
    </row>
    <row r="1062">
      <c r="A1062" s="16" t="s">
        <v>1653</v>
      </c>
      <c r="B1062" s="51"/>
      <c r="C1062" s="16" t="s">
        <v>154</v>
      </c>
      <c r="D1062" s="26">
        <v>743000.0</v>
      </c>
      <c r="E1062" s="26"/>
      <c r="F1062" s="26"/>
    </row>
    <row r="1063">
      <c r="A1063" s="16" t="s">
        <v>1654</v>
      </c>
      <c r="B1063" s="51"/>
      <c r="C1063" s="16" t="s">
        <v>154</v>
      </c>
      <c r="D1063" s="26">
        <v>384000.0</v>
      </c>
      <c r="E1063" s="26"/>
      <c r="F1063" s="26"/>
    </row>
    <row r="1064">
      <c r="A1064" s="122" t="s">
        <v>1655</v>
      </c>
      <c r="B1064" s="51"/>
      <c r="C1064" s="16" t="s">
        <v>1108</v>
      </c>
      <c r="D1064" s="26">
        <v>250000.0</v>
      </c>
      <c r="E1064" s="26"/>
      <c r="F1064" s="26"/>
    </row>
    <row r="1065">
      <c r="A1065" s="122" t="s">
        <v>1656</v>
      </c>
      <c r="B1065" s="51"/>
      <c r="C1065" s="16" t="s">
        <v>1108</v>
      </c>
      <c r="D1065" s="521">
        <v>380000.0</v>
      </c>
      <c r="E1065" s="521"/>
      <c r="F1065" s="521"/>
    </row>
    <row r="1066">
      <c r="A1066" s="16" t="s">
        <v>1657</v>
      </c>
      <c r="B1066" s="51" t="s">
        <v>1658</v>
      </c>
      <c r="C1066" s="16" t="s">
        <v>1659</v>
      </c>
      <c r="D1066" s="26">
        <v>5000000.0</v>
      </c>
      <c r="E1066" s="26"/>
      <c r="F1066" s="26"/>
    </row>
    <row r="1067">
      <c r="A1067" s="16" t="s">
        <v>1660</v>
      </c>
      <c r="B1067" s="51"/>
      <c r="C1067" s="16" t="s">
        <v>1661</v>
      </c>
      <c r="D1067" s="26">
        <v>150000.0</v>
      </c>
      <c r="E1067" s="26"/>
      <c r="F1067" s="26"/>
    </row>
    <row r="1068">
      <c r="A1068" s="16" t="s">
        <v>1662</v>
      </c>
      <c r="B1068" s="51"/>
      <c r="C1068" s="16" t="s">
        <v>400</v>
      </c>
      <c r="D1068" s="26">
        <v>130000.0</v>
      </c>
      <c r="E1068" s="26"/>
      <c r="F1068" s="26"/>
    </row>
    <row r="1069">
      <c r="A1069" s="122" t="s">
        <v>1663</v>
      </c>
      <c r="B1069" s="51"/>
      <c r="C1069" s="16" t="s">
        <v>16</v>
      </c>
      <c r="D1069" s="521"/>
      <c r="E1069" s="521"/>
      <c r="F1069" s="521"/>
    </row>
    <row r="1070">
      <c r="A1070" s="16" t="s">
        <v>1664</v>
      </c>
      <c r="B1070" s="51"/>
      <c r="C1070" s="20" t="s">
        <v>78</v>
      </c>
      <c r="D1070" s="26">
        <v>18300.0</v>
      </c>
      <c r="E1070" s="26"/>
      <c r="F1070" s="26"/>
    </row>
    <row r="1071">
      <c r="A1071" s="16" t="s">
        <v>1665</v>
      </c>
      <c r="B1071" s="49"/>
      <c r="C1071" s="16" t="s">
        <v>1449</v>
      </c>
      <c r="D1071" s="26">
        <v>9427.0</v>
      </c>
      <c r="E1071" s="26"/>
      <c r="F1071" s="26"/>
    </row>
    <row r="1072">
      <c r="A1072" s="16" t="s">
        <v>1666</v>
      </c>
      <c r="B1072" s="51"/>
      <c r="C1072" s="16" t="s">
        <v>1015</v>
      </c>
      <c r="D1072" s="26">
        <v>7000.0</v>
      </c>
      <c r="E1072" s="26"/>
      <c r="F1072" s="26"/>
    </row>
    <row r="1073">
      <c r="A1073" s="16" t="s">
        <v>1667</v>
      </c>
      <c r="B1073" s="51"/>
      <c r="C1073" s="16" t="s">
        <v>1015</v>
      </c>
      <c r="D1073" s="26">
        <v>7000.0</v>
      </c>
      <c r="E1073" s="26"/>
      <c r="F1073" s="26"/>
    </row>
    <row r="1074">
      <c r="A1074" s="16" t="s">
        <v>1668</v>
      </c>
      <c r="B1074" s="51"/>
      <c r="C1074" s="16" t="s">
        <v>1015</v>
      </c>
      <c r="D1074" s="26">
        <v>7000.0</v>
      </c>
      <c r="E1074" s="26"/>
      <c r="F1074" s="26"/>
    </row>
    <row r="1075">
      <c r="A1075" s="16" t="s">
        <v>1669</v>
      </c>
      <c r="B1075" s="49"/>
      <c r="C1075" s="16" t="s">
        <v>39</v>
      </c>
      <c r="D1075" s="26">
        <f t="shared" ref="D1075:D1076" si="35">24500/200</f>
        <v>122.5</v>
      </c>
      <c r="E1075" s="26"/>
      <c r="F1075" s="26"/>
    </row>
    <row r="1076">
      <c r="A1076" s="16" t="s">
        <v>1670</v>
      </c>
      <c r="B1076" s="49"/>
      <c r="C1076" s="16" t="s">
        <v>39</v>
      </c>
      <c r="D1076" s="26">
        <f t="shared" si="35"/>
        <v>122.5</v>
      </c>
      <c r="E1076" s="26"/>
      <c r="F1076" s="26"/>
    </row>
    <row r="1077">
      <c r="A1077" s="52" t="s">
        <v>1671</v>
      </c>
      <c r="B1077" s="51"/>
      <c r="C1077" s="16" t="s">
        <v>580</v>
      </c>
      <c r="D1077" s="537">
        <v>10058.0</v>
      </c>
      <c r="E1077" s="537"/>
      <c r="F1077" s="537"/>
    </row>
    <row r="1078">
      <c r="A1078" s="16" t="s">
        <v>1675</v>
      </c>
      <c r="B1078" s="51"/>
      <c r="C1078" s="16" t="s">
        <v>1225</v>
      </c>
      <c r="D1078" s="26">
        <f t="shared" ref="D1078:D1083" si="36">12940</f>
        <v>12940</v>
      </c>
      <c r="E1078" s="26"/>
      <c r="F1078" s="26"/>
    </row>
    <row r="1079">
      <c r="A1079" s="16" t="s">
        <v>1676</v>
      </c>
      <c r="B1079" s="51"/>
      <c r="C1079" s="16" t="s">
        <v>1225</v>
      </c>
      <c r="D1079" s="26">
        <f t="shared" si="36"/>
        <v>12940</v>
      </c>
      <c r="E1079" s="26"/>
      <c r="F1079" s="26"/>
    </row>
    <row r="1080">
      <c r="A1080" s="16" t="s">
        <v>1677</v>
      </c>
      <c r="B1080" s="51"/>
      <c r="C1080" s="16" t="s">
        <v>1225</v>
      </c>
      <c r="D1080" s="26">
        <f t="shared" si="36"/>
        <v>12940</v>
      </c>
      <c r="E1080" s="26"/>
      <c r="F1080" s="26"/>
    </row>
    <row r="1081">
      <c r="A1081" s="16" t="s">
        <v>1678</v>
      </c>
      <c r="B1081" s="51"/>
      <c r="C1081" s="16" t="s">
        <v>1225</v>
      </c>
      <c r="D1081" s="26">
        <f t="shared" si="36"/>
        <v>12940</v>
      </c>
      <c r="E1081" s="26"/>
      <c r="F1081" s="26"/>
    </row>
    <row r="1082">
      <c r="A1082" s="16" t="s">
        <v>1679</v>
      </c>
      <c r="B1082" s="51"/>
      <c r="C1082" s="16" t="s">
        <v>1225</v>
      </c>
      <c r="D1082" s="26">
        <f t="shared" si="36"/>
        <v>12940</v>
      </c>
      <c r="E1082" s="26"/>
      <c r="F1082" s="26"/>
    </row>
    <row r="1083">
      <c r="A1083" s="16" t="s">
        <v>1680</v>
      </c>
      <c r="B1083" s="51"/>
      <c r="C1083" s="16" t="s">
        <v>1225</v>
      </c>
      <c r="D1083" s="26">
        <f t="shared" si="36"/>
        <v>12940</v>
      </c>
      <c r="E1083" s="26"/>
      <c r="F1083" s="26"/>
    </row>
    <row r="1084">
      <c r="A1084" s="16" t="s">
        <v>1681</v>
      </c>
      <c r="B1084" s="51"/>
      <c r="C1084" s="16" t="s">
        <v>1225</v>
      </c>
      <c r="D1084" s="26">
        <v>14340.0</v>
      </c>
      <c r="E1084" s="26"/>
      <c r="F1084" s="26"/>
    </row>
    <row r="1085">
      <c r="A1085" s="16" t="s">
        <v>1682</v>
      </c>
      <c r="B1085" s="51"/>
      <c r="C1085" s="16" t="s">
        <v>1225</v>
      </c>
      <c r="D1085" s="26">
        <f t="shared" ref="D1085:D1087" si="37">12940</f>
        <v>12940</v>
      </c>
      <c r="E1085" s="26"/>
      <c r="F1085" s="26"/>
    </row>
    <row r="1086">
      <c r="A1086" s="16" t="s">
        <v>1683</v>
      </c>
      <c r="B1086" s="51"/>
      <c r="C1086" s="16" t="s">
        <v>1225</v>
      </c>
      <c r="D1086" s="26">
        <f t="shared" si="37"/>
        <v>12940</v>
      </c>
      <c r="E1086" s="26"/>
      <c r="F1086" s="26"/>
    </row>
    <row r="1087">
      <c r="A1087" s="16" t="s">
        <v>1684</v>
      </c>
      <c r="B1087" s="51"/>
      <c r="C1087" s="16" t="s">
        <v>1225</v>
      </c>
      <c r="D1087" s="26">
        <f t="shared" si="37"/>
        <v>12940</v>
      </c>
      <c r="E1087" s="26"/>
      <c r="F1087" s="26"/>
    </row>
    <row r="1088">
      <c r="A1088" s="16" t="s">
        <v>1685</v>
      </c>
      <c r="B1088" s="49"/>
      <c r="C1088" s="20" t="s">
        <v>610</v>
      </c>
      <c r="D1088" s="79">
        <v>39270.0</v>
      </c>
      <c r="E1088" s="79"/>
      <c r="F1088" s="79"/>
    </row>
    <row r="1089">
      <c r="A1089" s="16" t="s">
        <v>1686</v>
      </c>
      <c r="B1089" s="49"/>
      <c r="C1089" s="20" t="s">
        <v>610</v>
      </c>
      <c r="D1089" s="79">
        <v>39270.0</v>
      </c>
      <c r="E1089" s="79"/>
      <c r="F1089" s="79"/>
    </row>
    <row r="1090">
      <c r="A1090" s="16" t="s">
        <v>1687</v>
      </c>
      <c r="B1090" s="49"/>
      <c r="C1090" s="20" t="s">
        <v>610</v>
      </c>
      <c r="D1090" s="79">
        <v>39270.0</v>
      </c>
      <c r="E1090" s="79"/>
      <c r="F1090" s="79"/>
    </row>
    <row r="1091">
      <c r="A1091" s="16" t="s">
        <v>1688</v>
      </c>
      <c r="B1091" s="49"/>
      <c r="C1091" s="20" t="s">
        <v>610</v>
      </c>
      <c r="D1091" s="79">
        <v>39270.0</v>
      </c>
      <c r="E1091" s="79"/>
      <c r="F1091" s="79"/>
    </row>
    <row r="1092">
      <c r="A1092" s="16" t="s">
        <v>1689</v>
      </c>
      <c r="B1092" s="49"/>
      <c r="C1092" s="20" t="s">
        <v>610</v>
      </c>
      <c r="D1092" s="79">
        <v>39270.0</v>
      </c>
      <c r="E1092" s="79"/>
      <c r="F1092" s="79"/>
    </row>
    <row r="1093">
      <c r="A1093" s="16" t="s">
        <v>1690</v>
      </c>
      <c r="B1093" s="49"/>
      <c r="C1093" s="20" t="s">
        <v>610</v>
      </c>
      <c r="D1093" s="79">
        <v>39270.0</v>
      </c>
      <c r="E1093" s="79"/>
      <c r="F1093" s="79"/>
    </row>
    <row r="1094">
      <c r="A1094" s="16" t="s">
        <v>1691</v>
      </c>
      <c r="B1094" s="49"/>
      <c r="C1094" s="20" t="s">
        <v>610</v>
      </c>
      <c r="D1094" s="79">
        <v>39270.0</v>
      </c>
      <c r="E1094" s="79"/>
      <c r="F1094" s="79"/>
    </row>
    <row r="1095">
      <c r="A1095" s="40" t="s">
        <v>1692</v>
      </c>
      <c r="B1095" s="49"/>
      <c r="C1095" s="20" t="s">
        <v>610</v>
      </c>
      <c r="D1095" s="79">
        <v>39270.0</v>
      </c>
      <c r="E1095" s="79"/>
      <c r="F1095" s="79"/>
    </row>
    <row r="1096">
      <c r="A1096" s="16" t="s">
        <v>1693</v>
      </c>
      <c r="B1096" s="49"/>
      <c r="C1096" s="20" t="s">
        <v>610</v>
      </c>
      <c r="D1096" s="79">
        <v>39270.0</v>
      </c>
      <c r="E1096" s="79"/>
      <c r="F1096" s="79"/>
    </row>
    <row r="1097">
      <c r="A1097" s="16" t="s">
        <v>1694</v>
      </c>
      <c r="B1097" s="49"/>
      <c r="C1097" s="20" t="s">
        <v>610</v>
      </c>
      <c r="D1097" s="79">
        <v>39270.0</v>
      </c>
      <c r="E1097" s="79"/>
      <c r="F1097" s="79"/>
    </row>
    <row r="1098">
      <c r="A1098" s="16" t="s">
        <v>1695</v>
      </c>
      <c r="B1098" s="49"/>
      <c r="C1098" s="20" t="s">
        <v>610</v>
      </c>
      <c r="D1098" s="79">
        <v>39270.0</v>
      </c>
      <c r="E1098" s="79"/>
      <c r="F1098" s="79"/>
    </row>
    <row r="1099">
      <c r="A1099" s="16" t="s">
        <v>1696</v>
      </c>
      <c r="B1099" s="49"/>
      <c r="C1099" s="20" t="s">
        <v>610</v>
      </c>
      <c r="D1099" s="79">
        <v>39270.0</v>
      </c>
      <c r="E1099" s="79"/>
      <c r="F1099" s="79"/>
    </row>
    <row r="1100">
      <c r="A1100" s="16" t="s">
        <v>1697</v>
      </c>
      <c r="B1100" s="49"/>
      <c r="C1100" s="20" t="s">
        <v>610</v>
      </c>
      <c r="D1100" s="79">
        <v>39270.0</v>
      </c>
      <c r="E1100" s="79"/>
      <c r="F1100" s="79"/>
    </row>
    <row r="1101">
      <c r="A1101" s="16" t="s">
        <v>1698</v>
      </c>
      <c r="B1101" s="49"/>
      <c r="C1101" s="20" t="s">
        <v>610</v>
      </c>
      <c r="D1101" s="79">
        <v>39270.0</v>
      </c>
      <c r="E1101" s="79"/>
      <c r="F1101" s="79"/>
    </row>
    <row r="1102">
      <c r="A1102" s="40" t="s">
        <v>1699</v>
      </c>
      <c r="B1102" s="49"/>
      <c r="C1102" s="20" t="s">
        <v>610</v>
      </c>
      <c r="D1102" s="79">
        <v>39270.0</v>
      </c>
      <c r="E1102" s="79"/>
      <c r="F1102" s="79"/>
    </row>
    <row r="1103">
      <c r="A1103" s="16" t="s">
        <v>1700</v>
      </c>
      <c r="B1103" s="49"/>
      <c r="C1103" s="20" t="s">
        <v>610</v>
      </c>
      <c r="D1103" s="79">
        <v>55335.0</v>
      </c>
      <c r="E1103" s="79"/>
      <c r="F1103" s="79"/>
    </row>
    <row r="1104">
      <c r="A1104" s="16" t="s">
        <v>1701</v>
      </c>
      <c r="B1104" s="49"/>
      <c r="C1104" s="20" t="s">
        <v>610</v>
      </c>
      <c r="D1104" s="79">
        <v>55335.0</v>
      </c>
      <c r="E1104" s="79"/>
      <c r="F1104" s="79"/>
    </row>
    <row r="1105">
      <c r="A1105" s="16" t="s">
        <v>1702</v>
      </c>
      <c r="B1105" s="49"/>
      <c r="C1105" s="20" t="s">
        <v>610</v>
      </c>
      <c r="D1105" s="79">
        <v>55335.0</v>
      </c>
      <c r="E1105" s="79"/>
      <c r="F1105" s="79"/>
    </row>
    <row r="1106">
      <c r="A1106" s="119" t="s">
        <v>1703</v>
      </c>
      <c r="B1106" s="49"/>
      <c r="C1106" s="16" t="s">
        <v>1205</v>
      </c>
      <c r="D1106" s="79">
        <f t="shared" ref="D1106:D1110" si="38">16336*1.19</f>
        <v>19439.84</v>
      </c>
      <c r="E1106" s="79"/>
      <c r="F1106" s="79"/>
    </row>
    <row r="1107">
      <c r="A1107" s="119" t="s">
        <v>1704</v>
      </c>
      <c r="B1107" s="49"/>
      <c r="C1107" s="16" t="s">
        <v>1635</v>
      </c>
      <c r="D1107" s="79">
        <f t="shared" si="38"/>
        <v>19439.84</v>
      </c>
      <c r="E1107" s="79"/>
      <c r="F1107" s="79"/>
    </row>
    <row r="1108">
      <c r="A1108" s="119" t="s">
        <v>1705</v>
      </c>
      <c r="B1108" s="49"/>
      <c r="C1108" s="16" t="s">
        <v>1635</v>
      </c>
      <c r="D1108" s="79">
        <f t="shared" si="38"/>
        <v>19439.84</v>
      </c>
      <c r="E1108" s="79"/>
      <c r="F1108" s="79"/>
    </row>
    <row r="1109">
      <c r="A1109" s="119" t="s">
        <v>1706</v>
      </c>
      <c r="B1109" s="49"/>
      <c r="C1109" s="16" t="s">
        <v>1635</v>
      </c>
      <c r="D1109" s="79">
        <f t="shared" si="38"/>
        <v>19439.84</v>
      </c>
      <c r="E1109" s="79"/>
      <c r="F1109" s="79"/>
    </row>
    <row r="1110">
      <c r="A1110" s="119" t="s">
        <v>1707</v>
      </c>
      <c r="B1110" s="49"/>
      <c r="C1110" s="16" t="s">
        <v>1635</v>
      </c>
      <c r="D1110" s="79">
        <f t="shared" si="38"/>
        <v>19439.84</v>
      </c>
      <c r="E1110" s="79"/>
      <c r="F1110" s="79"/>
    </row>
    <row r="1111">
      <c r="A1111" s="16" t="s">
        <v>1708</v>
      </c>
      <c r="B1111" s="49"/>
      <c r="C1111" s="20" t="s">
        <v>610</v>
      </c>
      <c r="D1111" s="538">
        <v>23145.0</v>
      </c>
      <c r="E1111" s="538"/>
      <c r="F1111" s="538"/>
    </row>
    <row r="1112">
      <c r="A1112" s="16" t="s">
        <v>1709</v>
      </c>
      <c r="B1112" s="49"/>
      <c r="C1112" s="20" t="s">
        <v>610</v>
      </c>
      <c r="D1112" s="538">
        <v>23145.0</v>
      </c>
      <c r="E1112" s="538"/>
      <c r="F1112" s="538"/>
    </row>
    <row r="1113">
      <c r="A1113" s="16" t="s">
        <v>1710</v>
      </c>
      <c r="B1113" s="49"/>
      <c r="C1113" s="20" t="s">
        <v>610</v>
      </c>
      <c r="D1113" s="538">
        <v>23145.0</v>
      </c>
      <c r="E1113" s="538"/>
      <c r="F1113" s="538"/>
    </row>
    <row r="1114">
      <c r="A1114" s="16" t="s">
        <v>1711</v>
      </c>
      <c r="B1114" s="49"/>
      <c r="C1114" s="20" t="s">
        <v>610</v>
      </c>
      <c r="D1114" s="538">
        <v>23145.0</v>
      </c>
      <c r="E1114" s="538"/>
      <c r="F1114" s="538"/>
    </row>
    <row r="1115">
      <c r="A1115" s="16" t="s">
        <v>1712</v>
      </c>
      <c r="B1115" s="49"/>
      <c r="C1115" s="20" t="s">
        <v>610</v>
      </c>
      <c r="D1115" s="538">
        <v>23145.0</v>
      </c>
      <c r="E1115" s="538"/>
      <c r="F1115" s="538"/>
    </row>
    <row r="1116">
      <c r="A1116" s="16" t="s">
        <v>1713</v>
      </c>
      <c r="B1116" s="49"/>
      <c r="C1116" s="20" t="s">
        <v>610</v>
      </c>
      <c r="D1116" s="538">
        <v>23145.0</v>
      </c>
      <c r="E1116" s="538"/>
      <c r="F1116" s="538"/>
    </row>
    <row r="1117">
      <c r="A1117" s="16" t="s">
        <v>1714</v>
      </c>
      <c r="B1117" s="49"/>
      <c r="C1117" s="20" t="s">
        <v>610</v>
      </c>
      <c r="D1117" s="538">
        <v>23145.0</v>
      </c>
      <c r="E1117" s="538"/>
      <c r="F1117" s="538"/>
    </row>
    <row r="1118">
      <c r="A1118" s="16" t="s">
        <v>1715</v>
      </c>
      <c r="B1118" s="49"/>
      <c r="C1118" s="20" t="s">
        <v>610</v>
      </c>
      <c r="D1118" s="538">
        <v>23145.0</v>
      </c>
      <c r="E1118" s="538"/>
      <c r="F1118" s="538"/>
    </row>
    <row r="1119">
      <c r="A1119" s="16" t="s">
        <v>1716</v>
      </c>
      <c r="B1119" s="49"/>
      <c r="C1119" s="138" t="s">
        <v>610</v>
      </c>
      <c r="D1119" s="538">
        <v>23145.0</v>
      </c>
      <c r="E1119" s="538"/>
      <c r="F1119" s="538"/>
    </row>
    <row r="1120">
      <c r="A1120" s="16" t="s">
        <v>1717</v>
      </c>
      <c r="B1120" s="49"/>
      <c r="C1120" s="20" t="s">
        <v>610</v>
      </c>
      <c r="D1120" s="31">
        <v>44625.0</v>
      </c>
      <c r="E1120" s="31"/>
      <c r="F1120" s="31"/>
    </row>
    <row r="1121">
      <c r="A1121" s="16" t="s">
        <v>1718</v>
      </c>
      <c r="B1121" s="49"/>
      <c r="C1121" s="20" t="s">
        <v>610</v>
      </c>
      <c r="D1121" s="31">
        <v>44625.0</v>
      </c>
      <c r="E1121" s="31"/>
      <c r="F1121" s="31"/>
    </row>
    <row r="1122">
      <c r="A1122" s="16" t="s">
        <v>1719</v>
      </c>
      <c r="B1122" s="49"/>
      <c r="C1122" s="20" t="s">
        <v>610</v>
      </c>
      <c r="D1122" s="31">
        <v>44625.0</v>
      </c>
      <c r="E1122" s="31"/>
      <c r="F1122" s="31"/>
    </row>
    <row r="1123">
      <c r="A1123" s="16" t="s">
        <v>1720</v>
      </c>
      <c r="B1123" s="49"/>
      <c r="C1123" s="20" t="s">
        <v>610</v>
      </c>
      <c r="D1123" s="31">
        <v>44625.0</v>
      </c>
      <c r="E1123" s="31"/>
      <c r="F1123" s="31"/>
    </row>
    <row r="1124">
      <c r="A1124" s="16" t="s">
        <v>1721</v>
      </c>
      <c r="B1124" s="49"/>
      <c r="C1124" s="20" t="s">
        <v>610</v>
      </c>
      <c r="D1124" s="31">
        <v>44625.0</v>
      </c>
      <c r="E1124" s="31"/>
      <c r="F1124" s="31"/>
    </row>
    <row r="1125">
      <c r="A1125" s="16" t="s">
        <v>1722</v>
      </c>
      <c r="B1125" s="49"/>
      <c r="C1125" s="20" t="s">
        <v>610</v>
      </c>
      <c r="D1125" s="31">
        <v>44625.0</v>
      </c>
      <c r="E1125" s="31"/>
      <c r="F1125" s="31"/>
    </row>
    <row r="1126">
      <c r="A1126" s="16" t="s">
        <v>1723</v>
      </c>
      <c r="B1126" s="49"/>
      <c r="C1126" s="20" t="s">
        <v>610</v>
      </c>
      <c r="D1126" s="31">
        <v>44625.0</v>
      </c>
      <c r="E1126" s="31"/>
      <c r="F1126" s="31"/>
    </row>
    <row r="1127">
      <c r="A1127" s="16" t="s">
        <v>1724</v>
      </c>
      <c r="B1127" s="49"/>
      <c r="C1127" s="20" t="s">
        <v>610</v>
      </c>
      <c r="D1127" s="31">
        <v>44625.0</v>
      </c>
      <c r="E1127" s="31"/>
      <c r="F1127" s="31"/>
    </row>
    <row r="1128">
      <c r="A1128" s="16" t="s">
        <v>1725</v>
      </c>
      <c r="B1128" s="49"/>
      <c r="C1128" s="20" t="s">
        <v>610</v>
      </c>
      <c r="D1128" s="31">
        <v>44625.0</v>
      </c>
      <c r="E1128" s="31"/>
      <c r="F1128" s="31"/>
    </row>
    <row r="1129">
      <c r="A1129" s="16" t="s">
        <v>1726</v>
      </c>
      <c r="B1129" s="49"/>
      <c r="C1129" s="20" t="s">
        <v>610</v>
      </c>
      <c r="D1129" s="31">
        <v>44625.0</v>
      </c>
      <c r="E1129" s="31"/>
      <c r="F1129" s="31"/>
    </row>
    <row r="1130">
      <c r="A1130" s="16" t="s">
        <v>1727</v>
      </c>
      <c r="B1130" s="49"/>
      <c r="C1130" s="20" t="s">
        <v>610</v>
      </c>
      <c r="D1130" s="31">
        <v>44625.0</v>
      </c>
      <c r="E1130" s="31"/>
      <c r="F1130" s="31"/>
    </row>
    <row r="1131">
      <c r="A1131" s="16" t="s">
        <v>1728</v>
      </c>
      <c r="B1131" s="49"/>
      <c r="C1131" s="20" t="s">
        <v>610</v>
      </c>
      <c r="D1131" s="31">
        <v>44625.0</v>
      </c>
      <c r="E1131" s="31"/>
      <c r="F1131" s="31"/>
    </row>
    <row r="1132">
      <c r="A1132" s="16" t="s">
        <v>1729</v>
      </c>
      <c r="B1132" s="49"/>
      <c r="C1132" s="20" t="s">
        <v>610</v>
      </c>
      <c r="D1132" s="538">
        <v>23145.0</v>
      </c>
      <c r="E1132" s="538"/>
      <c r="F1132" s="538"/>
    </row>
    <row r="1133">
      <c r="A1133" s="16" t="s">
        <v>1730</v>
      </c>
      <c r="B1133" s="49"/>
      <c r="C1133" s="20" t="s">
        <v>610</v>
      </c>
      <c r="D1133" s="538">
        <v>23145.0</v>
      </c>
      <c r="E1133" s="538"/>
      <c r="F1133" s="538"/>
    </row>
    <row r="1134">
      <c r="A1134" s="16" t="s">
        <v>1731</v>
      </c>
      <c r="B1134" s="49"/>
      <c r="C1134" s="20" t="s">
        <v>610</v>
      </c>
      <c r="D1134" s="538">
        <v>23145.0</v>
      </c>
      <c r="E1134" s="538"/>
      <c r="F1134" s="538"/>
    </row>
    <row r="1135">
      <c r="A1135" s="16" t="s">
        <v>1732</v>
      </c>
      <c r="B1135" s="49"/>
      <c r="C1135" s="20" t="s">
        <v>610</v>
      </c>
      <c r="D1135" s="538">
        <v>23145.0</v>
      </c>
      <c r="E1135" s="538"/>
      <c r="F1135" s="538"/>
    </row>
    <row r="1136">
      <c r="A1136" s="16" t="s">
        <v>1733</v>
      </c>
      <c r="B1136" s="49"/>
      <c r="C1136" s="20" t="s">
        <v>610</v>
      </c>
      <c r="D1136" s="538">
        <v>23145.0</v>
      </c>
      <c r="E1136" s="538"/>
      <c r="F1136" s="538"/>
    </row>
    <row r="1137">
      <c r="A1137" s="16" t="s">
        <v>1734</v>
      </c>
      <c r="B1137" s="49"/>
      <c r="C1137" s="20" t="s">
        <v>610</v>
      </c>
      <c r="D1137" s="538">
        <v>23145.0</v>
      </c>
      <c r="E1137" s="538"/>
      <c r="F1137" s="538"/>
    </row>
    <row r="1138">
      <c r="A1138" s="16" t="s">
        <v>1735</v>
      </c>
      <c r="B1138" s="49"/>
      <c r="C1138" s="20" t="s">
        <v>610</v>
      </c>
      <c r="D1138" s="538">
        <v>23145.0</v>
      </c>
      <c r="E1138" s="538"/>
      <c r="F1138" s="538"/>
    </row>
    <row r="1139">
      <c r="A1139" s="16" t="s">
        <v>1736</v>
      </c>
      <c r="B1139" s="49"/>
      <c r="C1139" s="20" t="s">
        <v>610</v>
      </c>
      <c r="D1139" s="538">
        <v>23145.0</v>
      </c>
      <c r="E1139" s="538"/>
      <c r="F1139" s="538"/>
    </row>
    <row r="1140">
      <c r="A1140" s="16" t="s">
        <v>1737</v>
      </c>
      <c r="B1140" s="49"/>
      <c r="C1140" s="20" t="s">
        <v>610</v>
      </c>
      <c r="D1140" s="538">
        <v>23145.0</v>
      </c>
      <c r="E1140" s="538"/>
      <c r="F1140" s="538"/>
    </row>
    <row r="1141">
      <c r="A1141" s="16" t="s">
        <v>1738</v>
      </c>
      <c r="B1141" s="49"/>
      <c r="C1141" s="20" t="s">
        <v>610</v>
      </c>
      <c r="D1141" s="538">
        <v>23145.0</v>
      </c>
      <c r="E1141" s="538"/>
      <c r="F1141" s="538"/>
    </row>
    <row r="1142">
      <c r="A1142" s="16" t="s">
        <v>1739</v>
      </c>
      <c r="B1142" s="49"/>
      <c r="C1142" s="20" t="s">
        <v>610</v>
      </c>
      <c r="D1142" s="538">
        <v>23145.0</v>
      </c>
      <c r="E1142" s="538"/>
      <c r="F1142" s="538"/>
    </row>
    <row r="1143">
      <c r="A1143" s="16" t="s">
        <v>1740</v>
      </c>
      <c r="B1143" s="49"/>
      <c r="C1143" s="20" t="s">
        <v>610</v>
      </c>
      <c r="D1143" s="538">
        <v>23145.0</v>
      </c>
      <c r="E1143" s="538"/>
      <c r="F1143" s="538"/>
    </row>
    <row r="1144">
      <c r="A1144" s="119" t="s">
        <v>1741</v>
      </c>
      <c r="B1144" s="49"/>
      <c r="C1144" s="20" t="s">
        <v>610</v>
      </c>
      <c r="D1144" s="26">
        <f>80750*1.16</f>
        <v>93670</v>
      </c>
      <c r="E1144" s="26"/>
      <c r="F1144" s="26"/>
    </row>
    <row r="1145">
      <c r="A1145" s="119" t="s">
        <v>1742</v>
      </c>
      <c r="B1145" s="49" t="s">
        <v>680</v>
      </c>
      <c r="C1145" s="20" t="s">
        <v>610</v>
      </c>
      <c r="D1145" s="521">
        <f>145900*1.16</f>
        <v>169244</v>
      </c>
      <c r="E1145" s="521"/>
      <c r="F1145" s="521"/>
    </row>
    <row r="1146">
      <c r="A1146" s="16" t="s">
        <v>1743</v>
      </c>
      <c r="B1146" s="49"/>
      <c r="C1146" s="16" t="s">
        <v>88</v>
      </c>
      <c r="D1146" s="26">
        <v>6418.0</v>
      </c>
      <c r="E1146" s="26"/>
      <c r="F1146" s="26"/>
    </row>
    <row r="1147">
      <c r="A1147" s="16" t="s">
        <v>1744</v>
      </c>
      <c r="B1147" s="49"/>
      <c r="C1147" s="16" t="s">
        <v>1513</v>
      </c>
      <c r="D1147" s="26">
        <v>2000.0</v>
      </c>
      <c r="E1147" s="26"/>
      <c r="F1147" s="26"/>
    </row>
    <row r="1148">
      <c r="A1148" s="16" t="s">
        <v>1745</v>
      </c>
      <c r="B1148" s="166"/>
      <c r="C1148" s="16" t="s">
        <v>999</v>
      </c>
      <c r="D1148" s="26">
        <v>35822.0</v>
      </c>
      <c r="E1148" s="26"/>
      <c r="F1148" s="26"/>
    </row>
    <row r="1149">
      <c r="A1149" s="52" t="s">
        <v>1746</v>
      </c>
      <c r="B1149" s="51"/>
      <c r="C1149" s="16" t="s">
        <v>1747</v>
      </c>
      <c r="D1149" s="26">
        <f>8600*2</f>
        <v>17200</v>
      </c>
      <c r="E1149" s="26"/>
      <c r="F1149" s="26"/>
    </row>
    <row r="1150">
      <c r="A1150" s="40" t="s">
        <v>1748</v>
      </c>
      <c r="B1150" s="51" t="s">
        <v>1749</v>
      </c>
      <c r="C1150" s="16" t="s">
        <v>561</v>
      </c>
      <c r="D1150" s="26">
        <v>9200.0</v>
      </c>
      <c r="E1150" s="26"/>
      <c r="F1150" s="26"/>
    </row>
    <row r="1151">
      <c r="A1151" s="40" t="s">
        <v>1750</v>
      </c>
      <c r="B1151" s="51"/>
      <c r="C1151" s="40" t="s">
        <v>93</v>
      </c>
      <c r="D1151" s="26">
        <f>D1150/40</f>
        <v>230</v>
      </c>
      <c r="E1151" s="26"/>
      <c r="F1151" s="26"/>
    </row>
    <row r="1152">
      <c r="A1152" s="16" t="s">
        <v>1751</v>
      </c>
      <c r="B1152" s="51"/>
      <c r="C1152" s="20" t="s">
        <v>1752</v>
      </c>
      <c r="D1152" s="79">
        <v>295000.0</v>
      </c>
      <c r="E1152" s="79"/>
      <c r="F1152" s="79"/>
    </row>
    <row r="1153">
      <c r="A1153" s="52" t="s">
        <v>1753</v>
      </c>
      <c r="B1153" s="49" t="s">
        <v>1754</v>
      </c>
      <c r="C1153" s="16" t="s">
        <v>1755</v>
      </c>
      <c r="D1153" s="26">
        <v>2200.0</v>
      </c>
      <c r="E1153" s="26"/>
      <c r="F1153" s="26"/>
    </row>
    <row r="1154">
      <c r="A1154" s="16" t="s">
        <v>1756</v>
      </c>
      <c r="B1154" s="51"/>
      <c r="C1154" s="16" t="s">
        <v>1435</v>
      </c>
      <c r="D1154" s="79">
        <v>208000.0</v>
      </c>
      <c r="E1154" s="79"/>
      <c r="F1154" s="79"/>
    </row>
    <row r="1155">
      <c r="A1155" s="16" t="s">
        <v>1758</v>
      </c>
      <c r="B1155" s="51"/>
      <c r="C1155" s="16" t="s">
        <v>400</v>
      </c>
      <c r="D1155" s="518">
        <v>192089.0</v>
      </c>
      <c r="E1155" s="518"/>
      <c r="F1155" s="518"/>
    </row>
    <row r="1156">
      <c r="A1156" s="42" t="s">
        <v>1759</v>
      </c>
      <c r="B1156" s="149"/>
      <c r="C1156" s="16" t="s">
        <v>1760</v>
      </c>
      <c r="D1156" s="26">
        <v>65000.0</v>
      </c>
      <c r="E1156" s="26"/>
      <c r="F1156" s="26"/>
    </row>
    <row r="1157">
      <c r="A1157" s="16" t="s">
        <v>1761</v>
      </c>
      <c r="B1157" s="51"/>
      <c r="C1157" s="16" t="s">
        <v>470</v>
      </c>
      <c r="D1157" s="26"/>
      <c r="E1157" s="26"/>
      <c r="F1157" s="26"/>
    </row>
    <row r="1158">
      <c r="A1158" s="16" t="s">
        <v>1762</v>
      </c>
      <c r="B1158" s="51"/>
      <c r="C1158" s="20" t="s">
        <v>93</v>
      </c>
      <c r="D1158" s="26">
        <v>191600.0</v>
      </c>
      <c r="E1158" s="26"/>
      <c r="F1158" s="26"/>
    </row>
    <row r="1159">
      <c r="A1159" s="52" t="s">
        <v>1763</v>
      </c>
      <c r="B1159" s="51" t="s">
        <v>1764</v>
      </c>
      <c r="C1159" s="16" t="s">
        <v>1766</v>
      </c>
      <c r="D1159" s="26">
        <f>19400*0.95*1.19</f>
        <v>21931.7</v>
      </c>
      <c r="E1159" s="26"/>
      <c r="F1159" s="26"/>
    </row>
    <row r="1160">
      <c r="A1160" s="149" t="s">
        <v>1767</v>
      </c>
      <c r="B1160" s="149"/>
      <c r="C1160" s="16" t="s">
        <v>1077</v>
      </c>
      <c r="D1160" s="26">
        <v>400.0</v>
      </c>
      <c r="E1160" s="26"/>
      <c r="F1160" s="26"/>
    </row>
    <row r="1161">
      <c r="A1161" s="122" t="s">
        <v>1768</v>
      </c>
      <c r="B1161" s="51"/>
      <c r="C1161" s="16" t="s">
        <v>1769</v>
      </c>
      <c r="D1161" s="521">
        <v>10000.0</v>
      </c>
      <c r="E1161" s="521"/>
      <c r="F1161" s="521"/>
    </row>
    <row r="1162">
      <c r="A1162" s="122" t="s">
        <v>1770</v>
      </c>
      <c r="B1162" s="51">
        <v>241019.0</v>
      </c>
      <c r="C1162" s="16" t="s">
        <v>659</v>
      </c>
      <c r="D1162" s="79">
        <f>2264*1.19</f>
        <v>2694.16</v>
      </c>
      <c r="E1162" s="79"/>
      <c r="F1162" s="79"/>
    </row>
    <row r="1163">
      <c r="A1163" s="122" t="s">
        <v>1772</v>
      </c>
      <c r="B1163" s="51">
        <v>241018.0</v>
      </c>
      <c r="C1163" s="16" t="s">
        <v>659</v>
      </c>
      <c r="D1163" s="79">
        <f t="shared" ref="D1163:D1164" si="39">2103*1.19</f>
        <v>2502.57</v>
      </c>
      <c r="E1163" s="79"/>
      <c r="F1163" s="79"/>
    </row>
    <row r="1164">
      <c r="A1164" s="122" t="s">
        <v>1773</v>
      </c>
      <c r="B1164" s="51">
        <v>241018.0</v>
      </c>
      <c r="C1164" s="16" t="s">
        <v>659</v>
      </c>
      <c r="D1164" s="79">
        <f t="shared" si="39"/>
        <v>2502.57</v>
      </c>
      <c r="E1164" s="79"/>
      <c r="F1164" s="79"/>
    </row>
    <row r="1165">
      <c r="A1165" s="122" t="s">
        <v>1774</v>
      </c>
      <c r="B1165" s="51"/>
      <c r="C1165" s="16" t="s">
        <v>1775</v>
      </c>
      <c r="D1165" s="521">
        <f t="shared" ref="D1165:D1166" si="40">99000/6</f>
        <v>16500</v>
      </c>
      <c r="E1165" s="521"/>
      <c r="F1165" s="521"/>
    </row>
    <row r="1166">
      <c r="A1166" s="122" t="s">
        <v>1776</v>
      </c>
      <c r="B1166" s="51"/>
      <c r="C1166" s="16" t="s">
        <v>1775</v>
      </c>
      <c r="D1166" s="521">
        <f t="shared" si="40"/>
        <v>16500</v>
      </c>
      <c r="E1166" s="521"/>
      <c r="F1166" s="521"/>
    </row>
    <row r="1167">
      <c r="A1167" s="52" t="s">
        <v>1777</v>
      </c>
      <c r="B1167" s="49"/>
      <c r="C1167" s="16" t="s">
        <v>932</v>
      </c>
      <c r="D1167" s="26">
        <f>5126*1.19</f>
        <v>6099.94</v>
      </c>
      <c r="E1167" s="26"/>
      <c r="F1167" s="26"/>
    </row>
    <row r="1168">
      <c r="A1168" s="122" t="s">
        <v>1778</v>
      </c>
      <c r="B1168" s="51">
        <v>241021.0</v>
      </c>
      <c r="C1168" s="16" t="s">
        <v>1780</v>
      </c>
      <c r="D1168" s="79">
        <f>1846*1.19</f>
        <v>2196.74</v>
      </c>
      <c r="E1168" s="79"/>
      <c r="F1168" s="79"/>
    </row>
    <row r="1169">
      <c r="A1169" s="122" t="s">
        <v>1781</v>
      </c>
      <c r="B1169" s="51">
        <v>241022.0</v>
      </c>
      <c r="C1169" s="16" t="s">
        <v>1780</v>
      </c>
      <c r="D1169" s="79">
        <f>1385*1.19</f>
        <v>1648.15</v>
      </c>
      <c r="E1169" s="79"/>
      <c r="F1169" s="79"/>
    </row>
    <row r="1170">
      <c r="A1170" s="59" t="s">
        <v>1783</v>
      </c>
      <c r="B1170" s="134" t="s">
        <v>1784</v>
      </c>
      <c r="C1170" s="20" t="s">
        <v>485</v>
      </c>
      <c r="D1170" s="31">
        <f>18764*1.19</f>
        <v>22329.16</v>
      </c>
      <c r="E1170" s="31"/>
      <c r="F1170" s="31"/>
    </row>
    <row r="1171">
      <c r="A1171" s="59" t="s">
        <v>1785</v>
      </c>
      <c r="B1171" s="134" t="s">
        <v>1786</v>
      </c>
      <c r="C1171" s="16" t="s">
        <v>485</v>
      </c>
      <c r="D1171" s="26">
        <f t="shared" ref="D1171:D1172" si="41">26432*1.19</f>
        <v>31454.08</v>
      </c>
      <c r="E1171" s="26"/>
      <c r="F1171" s="26"/>
    </row>
    <row r="1172">
      <c r="A1172" s="59" t="s">
        <v>1787</v>
      </c>
      <c r="B1172" s="134" t="s">
        <v>1788</v>
      </c>
      <c r="C1172" s="16" t="s">
        <v>485</v>
      </c>
      <c r="D1172" s="26">
        <f t="shared" si="41"/>
        <v>31454.08</v>
      </c>
      <c r="E1172" s="26"/>
      <c r="F1172" s="26"/>
    </row>
    <row r="1173">
      <c r="A1173" s="59" t="s">
        <v>1789</v>
      </c>
      <c r="B1173" s="134"/>
      <c r="C1173" s="16" t="s">
        <v>84</v>
      </c>
      <c r="D1173" s="26">
        <v>4000.0</v>
      </c>
      <c r="E1173" s="26"/>
      <c r="F1173" s="26"/>
    </row>
    <row r="1174">
      <c r="A1174" s="59" t="s">
        <v>1790</v>
      </c>
      <c r="B1174" s="134"/>
      <c r="C1174" s="16" t="s">
        <v>84</v>
      </c>
      <c r="D1174" s="26">
        <v>4000.0</v>
      </c>
      <c r="E1174" s="26"/>
      <c r="F1174" s="26"/>
    </row>
    <row r="1175">
      <c r="A1175" s="40" t="s">
        <v>1791</v>
      </c>
      <c r="B1175" s="51"/>
      <c r="C1175" s="16" t="s">
        <v>286</v>
      </c>
      <c r="D1175" s="26">
        <v>7687.0</v>
      </c>
      <c r="E1175" s="26"/>
      <c r="F1175" s="26"/>
    </row>
    <row r="1176">
      <c r="A1176" s="16" t="s">
        <v>1792</v>
      </c>
      <c r="B1176" s="51" t="s">
        <v>1793</v>
      </c>
      <c r="C1176" s="54" t="s">
        <v>102</v>
      </c>
      <c r="D1176" s="26">
        <f>15423*1.19</f>
        <v>18353.37</v>
      </c>
      <c r="E1176" s="26"/>
      <c r="F1176" s="26"/>
    </row>
    <row r="1177">
      <c r="A1177" s="119" t="s">
        <v>1794</v>
      </c>
      <c r="B1177" s="51"/>
      <c r="C1177" s="120" t="s">
        <v>1795</v>
      </c>
      <c r="D1177" s="26">
        <f>63050*1.19</f>
        <v>75029.5</v>
      </c>
      <c r="E1177" s="26"/>
      <c r="F1177" s="26"/>
    </row>
    <row r="1178">
      <c r="A1178" s="119" t="s">
        <v>1796</v>
      </c>
      <c r="B1178" s="51"/>
      <c r="C1178" s="120" t="s">
        <v>1795</v>
      </c>
      <c r="D1178" s="26">
        <f>99910*1.19</f>
        <v>118892.9</v>
      </c>
      <c r="E1178" s="26"/>
      <c r="F1178" s="26"/>
    </row>
    <row r="1179">
      <c r="A1179" s="42" t="s">
        <v>1797</v>
      </c>
      <c r="B1179" s="51"/>
      <c r="C1179" s="20" t="s">
        <v>1798</v>
      </c>
      <c r="D1179" s="26">
        <v>153800.0</v>
      </c>
      <c r="E1179" s="26"/>
      <c r="F1179" s="26"/>
    </row>
    <row r="1180">
      <c r="A1180" s="118" t="s">
        <v>1799</v>
      </c>
      <c r="B1180" s="51" t="s">
        <v>340</v>
      </c>
      <c r="C1180" s="16" t="s">
        <v>1800</v>
      </c>
      <c r="D1180" s="26">
        <v>252.0</v>
      </c>
      <c r="E1180" s="26"/>
      <c r="F1180" s="26"/>
    </row>
    <row r="1181">
      <c r="A1181" s="118" t="s">
        <v>1801</v>
      </c>
      <c r="B1181" s="49" t="s">
        <v>1802</v>
      </c>
      <c r="C1181" s="20" t="s">
        <v>1804</v>
      </c>
      <c r="D1181" s="26">
        <v>3500.0</v>
      </c>
      <c r="E1181" s="26"/>
      <c r="F1181" s="26"/>
    </row>
    <row r="1182">
      <c r="A1182" s="52" t="s">
        <v>1805</v>
      </c>
      <c r="B1182" s="51" t="s">
        <v>1806</v>
      </c>
      <c r="C1182" s="20" t="s">
        <v>1807</v>
      </c>
      <c r="D1182" s="26">
        <f>5400*1.19</f>
        <v>6426</v>
      </c>
      <c r="E1182" s="26"/>
      <c r="F1182" s="26"/>
    </row>
    <row r="1183">
      <c r="A1183" s="16" t="s">
        <v>1808</v>
      </c>
      <c r="B1183" s="51" t="s">
        <v>1809</v>
      </c>
      <c r="C1183" s="16" t="s">
        <v>1811</v>
      </c>
      <c r="D1183" s="26">
        <v>1260.0</v>
      </c>
      <c r="E1183" s="26"/>
      <c r="F1183" s="26"/>
    </row>
    <row r="1184">
      <c r="A1184" s="16" t="s">
        <v>1812</v>
      </c>
      <c r="B1184" s="49"/>
      <c r="C1184" s="16" t="s">
        <v>57</v>
      </c>
      <c r="D1184" s="26">
        <v>1.0</v>
      </c>
      <c r="E1184" s="26"/>
      <c r="F1184" s="26"/>
    </row>
    <row r="1185">
      <c r="A1185" s="231" t="s">
        <v>1813</v>
      </c>
      <c r="B1185" s="49"/>
      <c r="C1185" s="16" t="s">
        <v>1814</v>
      </c>
      <c r="D1185" s="26">
        <f>56471*1.19</f>
        <v>67200.49</v>
      </c>
      <c r="E1185" s="26"/>
      <c r="F1185" s="26"/>
    </row>
    <row r="1186">
      <c r="A1186" s="52" t="s">
        <v>1815</v>
      </c>
      <c r="B1186" s="16"/>
      <c r="C1186" s="16" t="s">
        <v>563</v>
      </c>
      <c r="D1186" s="26">
        <f t="shared" ref="D1186:D1187" si="42">28000*1.19/2</f>
        <v>16660</v>
      </c>
      <c r="E1186" s="26"/>
      <c r="F1186" s="26"/>
    </row>
    <row r="1187">
      <c r="A1187" s="231" t="s">
        <v>1816</v>
      </c>
      <c r="B1187" s="49"/>
      <c r="C1187" s="16" t="s">
        <v>65</v>
      </c>
      <c r="D1187" s="26">
        <f t="shared" si="42"/>
        <v>16660</v>
      </c>
      <c r="E1187" s="26"/>
      <c r="F1187" s="26"/>
    </row>
    <row r="1188">
      <c r="A1188" s="16" t="s">
        <v>2771</v>
      </c>
      <c r="B1188" s="51" t="s">
        <v>1818</v>
      </c>
      <c r="C1188" s="16" t="s">
        <v>1811</v>
      </c>
      <c r="D1188" s="26">
        <f>212500*1.19/40</f>
        <v>6321.875</v>
      </c>
      <c r="E1188" s="26"/>
      <c r="F1188" s="26"/>
    </row>
    <row r="1189">
      <c r="A1189" s="16" t="s">
        <v>1817</v>
      </c>
      <c r="B1189" s="51" t="s">
        <v>1818</v>
      </c>
      <c r="C1189" s="16" t="s">
        <v>1811</v>
      </c>
      <c r="D1189" s="26">
        <f>162000*1.19/35</f>
        <v>5508</v>
      </c>
      <c r="E1189" s="26"/>
      <c r="F1189" s="26"/>
    </row>
    <row r="1190">
      <c r="A1190" s="16" t="s">
        <v>1819</v>
      </c>
      <c r="B1190" s="49"/>
      <c r="C1190" s="20" t="s">
        <v>1820</v>
      </c>
      <c r="D1190" s="26">
        <v>48900.0</v>
      </c>
      <c r="E1190" s="26"/>
      <c r="F1190" s="26"/>
    </row>
    <row r="1191">
      <c r="A1191" s="16" t="s">
        <v>1821</v>
      </c>
      <c r="B1191" s="49"/>
      <c r="C1191" s="20" t="s">
        <v>45</v>
      </c>
      <c r="D1191" s="26">
        <v>90375.0</v>
      </c>
      <c r="E1191" s="26"/>
      <c r="F1191" s="26"/>
    </row>
    <row r="1192">
      <c r="A1192" s="16" t="s">
        <v>1822</v>
      </c>
      <c r="B1192" s="51"/>
      <c r="C1192" s="16" t="s">
        <v>1435</v>
      </c>
      <c r="D1192" s="539">
        <v>595000.0</v>
      </c>
      <c r="E1192" s="539"/>
      <c r="F1192" s="539"/>
    </row>
    <row r="1193">
      <c r="A1193" s="234" t="s">
        <v>1824</v>
      </c>
      <c r="B1193" s="51" t="s">
        <v>1825</v>
      </c>
      <c r="C1193" s="16" t="s">
        <v>3388</v>
      </c>
      <c r="D1193" s="26">
        <f>6400*1.19</f>
        <v>7616</v>
      </c>
      <c r="E1193" s="26"/>
      <c r="F1193" s="26"/>
    </row>
    <row r="1194">
      <c r="A1194" s="16" t="s">
        <v>1829</v>
      </c>
      <c r="B1194" s="51"/>
      <c r="C1194" s="16" t="s">
        <v>425</v>
      </c>
      <c r="D1194" s="538">
        <f>410851*1.19</f>
        <v>488912.69</v>
      </c>
      <c r="E1194" s="538"/>
      <c r="F1194" s="538"/>
    </row>
    <row r="1195">
      <c r="A1195" s="122" t="s">
        <v>1830</v>
      </c>
      <c r="B1195" s="51"/>
      <c r="C1195" s="16" t="s">
        <v>16</v>
      </c>
      <c r="D1195" s="521">
        <v>239400.0</v>
      </c>
      <c r="E1195" s="521"/>
      <c r="F1195" s="521"/>
    </row>
    <row r="1196">
      <c r="A1196" s="122" t="s">
        <v>1831</v>
      </c>
      <c r="B1196" s="51"/>
      <c r="C1196" s="16" t="s">
        <v>16</v>
      </c>
      <c r="D1196" s="521">
        <v>291000.0</v>
      </c>
      <c r="E1196" s="521"/>
      <c r="F1196" s="521"/>
    </row>
    <row r="1197">
      <c r="A1197" s="122" t="s">
        <v>1832</v>
      </c>
      <c r="B1197" s="51">
        <v>243002.0</v>
      </c>
      <c r="C1197" s="16" t="s">
        <v>425</v>
      </c>
      <c r="D1197" s="79">
        <v>500000.0</v>
      </c>
      <c r="E1197" s="79"/>
      <c r="F1197" s="79"/>
    </row>
    <row r="1198">
      <c r="A1198" s="122" t="s">
        <v>1833</v>
      </c>
      <c r="B1198" s="51"/>
      <c r="C1198" s="16" t="s">
        <v>400</v>
      </c>
      <c r="D1198" s="521"/>
      <c r="E1198" s="521"/>
      <c r="F1198" s="521"/>
    </row>
    <row r="1199">
      <c r="A1199" s="122" t="s">
        <v>1834</v>
      </c>
      <c r="B1199" s="51"/>
      <c r="C1199" s="16" t="s">
        <v>553</v>
      </c>
      <c r="D1199" s="26">
        <v>1.0</v>
      </c>
      <c r="E1199" s="26"/>
      <c r="F1199" s="26"/>
    </row>
    <row r="1200">
      <c r="A1200" s="40" t="s">
        <v>1835</v>
      </c>
      <c r="B1200" s="49"/>
      <c r="C1200" s="16" t="s">
        <v>610</v>
      </c>
      <c r="D1200" s="79">
        <f>73949*1.19</f>
        <v>87999.31</v>
      </c>
      <c r="E1200" s="79"/>
      <c r="F1200" s="79"/>
    </row>
    <row r="1201">
      <c r="A1201" s="118" t="s">
        <v>1836</v>
      </c>
      <c r="B1201" s="51"/>
      <c r="C1201" s="16" t="s">
        <v>513</v>
      </c>
      <c r="D1201" s="26">
        <v>7000.0</v>
      </c>
      <c r="E1201" s="26"/>
      <c r="F1201" s="26"/>
    </row>
    <row r="1202">
      <c r="A1202" s="122" t="s">
        <v>1837</v>
      </c>
      <c r="B1202" s="51">
        <v>248003.0</v>
      </c>
      <c r="C1202" s="16" t="s">
        <v>659</v>
      </c>
      <c r="D1202" s="521">
        <f>9596*1.19/12</f>
        <v>951.6033333</v>
      </c>
      <c r="E1202" s="521"/>
      <c r="F1202" s="521"/>
    </row>
    <row r="1203">
      <c r="A1203" s="16" t="s">
        <v>1838</v>
      </c>
      <c r="B1203" s="178"/>
      <c r="C1203" s="40" t="s">
        <v>93</v>
      </c>
      <c r="D1203" s="26">
        <v>206700.0</v>
      </c>
      <c r="E1203" s="26"/>
      <c r="F1203" s="26"/>
    </row>
    <row r="1204">
      <c r="A1204" s="16" t="s">
        <v>1839</v>
      </c>
      <c r="B1204" s="51" t="s">
        <v>3389</v>
      </c>
      <c r="C1204" s="16" t="s">
        <v>91</v>
      </c>
      <c r="D1204" s="79">
        <f>174000/2</f>
        <v>87000</v>
      </c>
      <c r="E1204" s="79"/>
      <c r="F1204" s="79"/>
    </row>
    <row r="1205">
      <c r="A1205" s="16" t="s">
        <v>1841</v>
      </c>
      <c r="B1205" s="51" t="s">
        <v>1842</v>
      </c>
      <c r="C1205" s="20" t="s">
        <v>911</v>
      </c>
      <c r="D1205" s="26">
        <v>96000.0</v>
      </c>
      <c r="E1205" s="26"/>
      <c r="F1205" s="26"/>
    </row>
    <row r="1206">
      <c r="A1206" s="16" t="s">
        <v>1843</v>
      </c>
      <c r="B1206" s="51" t="s">
        <v>1842</v>
      </c>
      <c r="C1206" s="20" t="s">
        <v>911</v>
      </c>
      <c r="D1206" s="26">
        <v>96000.0</v>
      </c>
      <c r="E1206" s="26"/>
      <c r="F1206" s="26"/>
    </row>
    <row r="1207">
      <c r="A1207" s="52" t="s">
        <v>1844</v>
      </c>
      <c r="B1207" s="51" t="s">
        <v>1845</v>
      </c>
      <c r="C1207" s="16" t="s">
        <v>1846</v>
      </c>
      <c r="D1207" s="26">
        <v>45000.0</v>
      </c>
      <c r="E1207" s="26"/>
      <c r="F1207" s="26"/>
    </row>
    <row r="1208">
      <c r="A1208" s="16" t="s">
        <v>1847</v>
      </c>
      <c r="B1208" s="51"/>
      <c r="C1208" s="16" t="s">
        <v>1846</v>
      </c>
      <c r="D1208" s="540"/>
      <c r="E1208" s="540"/>
      <c r="F1208" s="540"/>
    </row>
    <row r="1209">
      <c r="A1209" s="52" t="s">
        <v>1848</v>
      </c>
      <c r="B1209" s="51" t="s">
        <v>1845</v>
      </c>
      <c r="C1209" s="16" t="s">
        <v>1846</v>
      </c>
      <c r="D1209" s="26">
        <v>45000.0</v>
      </c>
      <c r="E1209" s="26"/>
      <c r="F1209" s="26"/>
    </row>
    <row r="1210">
      <c r="A1210" s="52" t="s">
        <v>1849</v>
      </c>
      <c r="B1210" s="51"/>
      <c r="C1210" s="16" t="s">
        <v>692</v>
      </c>
      <c r="D1210" s="26">
        <f t="shared" ref="D1210:D1211" si="43">82000*1.19</f>
        <v>97580</v>
      </c>
      <c r="E1210" s="26"/>
      <c r="F1210" s="26"/>
    </row>
    <row r="1211">
      <c r="A1211" s="52" t="s">
        <v>1850</v>
      </c>
      <c r="B1211" s="51"/>
      <c r="C1211" s="16" t="s">
        <v>692</v>
      </c>
      <c r="D1211" s="26">
        <f t="shared" si="43"/>
        <v>97580</v>
      </c>
      <c r="E1211" s="26"/>
      <c r="F1211" s="26"/>
    </row>
    <row r="1212">
      <c r="A1212" s="16" t="s">
        <v>1851</v>
      </c>
      <c r="B1212" s="51"/>
      <c r="C1212" s="20" t="s">
        <v>911</v>
      </c>
      <c r="D1212" s="26">
        <f>170000*1.19</f>
        <v>202300</v>
      </c>
      <c r="E1212" s="26"/>
      <c r="F1212" s="26"/>
    </row>
    <row r="1213">
      <c r="A1213" s="16" t="s">
        <v>1852</v>
      </c>
      <c r="B1213" s="51"/>
      <c r="C1213" s="20" t="s">
        <v>911</v>
      </c>
      <c r="D1213" s="26">
        <f>90000*1.19</f>
        <v>107100</v>
      </c>
      <c r="E1213" s="26"/>
      <c r="F1213" s="26"/>
    </row>
    <row r="1214">
      <c r="A1214" s="16" t="s">
        <v>1853</v>
      </c>
      <c r="B1214" s="51" t="s">
        <v>1854</v>
      </c>
      <c r="C1214" s="16" t="s">
        <v>1855</v>
      </c>
      <c r="D1214" s="79">
        <v>3000.0</v>
      </c>
      <c r="E1214" s="79"/>
      <c r="F1214" s="79"/>
    </row>
    <row r="1215">
      <c r="A1215" s="16" t="s">
        <v>1856</v>
      </c>
      <c r="B1215" s="51" t="s">
        <v>1857</v>
      </c>
      <c r="C1215" s="16" t="s">
        <v>1855</v>
      </c>
      <c r="D1215" s="26">
        <v>3500.0</v>
      </c>
      <c r="E1215" s="26"/>
      <c r="F1215" s="26"/>
    </row>
    <row r="1216">
      <c r="A1216" s="16" t="s">
        <v>1858</v>
      </c>
      <c r="B1216" s="51" t="s">
        <v>1857</v>
      </c>
      <c r="C1216" s="16" t="s">
        <v>1855</v>
      </c>
      <c r="D1216" s="26">
        <v>3500.0</v>
      </c>
      <c r="E1216" s="26"/>
      <c r="F1216" s="26"/>
    </row>
    <row r="1217">
      <c r="A1217" s="16" t="s">
        <v>1859</v>
      </c>
      <c r="B1217" s="51" t="s">
        <v>1857</v>
      </c>
      <c r="C1217" s="16" t="s">
        <v>1855</v>
      </c>
      <c r="D1217" s="26">
        <v>3500.0</v>
      </c>
      <c r="E1217" s="26"/>
      <c r="F1217" s="26"/>
    </row>
    <row r="1218">
      <c r="A1218" s="16" t="s">
        <v>1860</v>
      </c>
      <c r="B1218" s="51"/>
      <c r="C1218" s="16" t="s">
        <v>1855</v>
      </c>
      <c r="D1218" s="26">
        <v>3500.0</v>
      </c>
      <c r="E1218" s="26"/>
      <c r="F1218" s="26"/>
    </row>
    <row r="1219">
      <c r="A1219" s="16" t="s">
        <v>1861</v>
      </c>
      <c r="B1219" s="49"/>
      <c r="C1219" s="16" t="s">
        <v>1862</v>
      </c>
      <c r="D1219" s="26">
        <v>9620.0</v>
      </c>
      <c r="E1219" s="26"/>
      <c r="F1219" s="26"/>
    </row>
    <row r="1220">
      <c r="A1220" s="40" t="s">
        <v>1863</v>
      </c>
      <c r="B1220" s="49"/>
      <c r="C1220" s="16" t="s">
        <v>1862</v>
      </c>
      <c r="D1220" s="79">
        <v>9243.0</v>
      </c>
      <c r="E1220" s="79"/>
      <c r="F1220" s="79"/>
    </row>
    <row r="1221">
      <c r="A1221" s="122" t="s">
        <v>1864</v>
      </c>
      <c r="B1221" s="51"/>
      <c r="C1221" s="16" t="s">
        <v>400</v>
      </c>
      <c r="D1221" s="518">
        <v>1279200.0</v>
      </c>
      <c r="E1221" s="518"/>
      <c r="F1221" s="518"/>
    </row>
    <row r="1222">
      <c r="A1222" s="16" t="s">
        <v>1865</v>
      </c>
      <c r="B1222" s="49"/>
      <c r="C1222" s="16" t="s">
        <v>470</v>
      </c>
      <c r="D1222" s="26">
        <f>167900/2</f>
        <v>83950</v>
      </c>
      <c r="E1222" s="26"/>
      <c r="F1222" s="26"/>
    </row>
    <row r="1223">
      <c r="A1223" s="16" t="s">
        <v>1866</v>
      </c>
      <c r="B1223" s="49"/>
      <c r="C1223" s="16" t="s">
        <v>470</v>
      </c>
      <c r="D1223" s="26">
        <v>116100.0</v>
      </c>
      <c r="E1223" s="26"/>
      <c r="F1223" s="26"/>
    </row>
    <row r="1224">
      <c r="A1224" s="52" t="s">
        <v>1867</v>
      </c>
      <c r="B1224" s="51"/>
      <c r="C1224" s="16" t="s">
        <v>1868</v>
      </c>
      <c r="D1224" s="26">
        <f>67000*1.19</f>
        <v>79730</v>
      </c>
      <c r="E1224" s="26"/>
      <c r="F1224" s="26"/>
    </row>
    <row r="1225">
      <c r="A1225" s="52" t="s">
        <v>1869</v>
      </c>
      <c r="B1225" s="49"/>
      <c r="C1225" s="16" t="s">
        <v>1868</v>
      </c>
      <c r="D1225" s="26">
        <v>75000.0</v>
      </c>
      <c r="E1225" s="26"/>
      <c r="F1225" s="26"/>
    </row>
    <row r="1226">
      <c r="A1226" s="52" t="s">
        <v>1870</v>
      </c>
      <c r="B1226" s="541"/>
      <c r="C1226" s="16" t="s">
        <v>1868</v>
      </c>
      <c r="D1226" s="26">
        <f>58000*1.19</f>
        <v>69020</v>
      </c>
      <c r="E1226" s="26"/>
      <c r="F1226" s="26"/>
    </row>
    <row r="1227">
      <c r="A1227" s="52" t="s">
        <v>1871</v>
      </c>
      <c r="B1227" s="51"/>
      <c r="C1227" s="16" t="s">
        <v>1868</v>
      </c>
      <c r="D1227" s="26">
        <f>48000*1.19</f>
        <v>57120</v>
      </c>
      <c r="E1227" s="26"/>
      <c r="F1227" s="26"/>
    </row>
    <row r="1228">
      <c r="A1228" s="52" t="s">
        <v>1872</v>
      </c>
      <c r="B1228" s="51"/>
      <c r="C1228" s="16" t="s">
        <v>1868</v>
      </c>
      <c r="D1228" s="519">
        <f>55000*1.19</f>
        <v>65450</v>
      </c>
      <c r="E1228" s="519"/>
      <c r="F1228" s="519"/>
    </row>
    <row r="1229">
      <c r="A1229" s="42" t="s">
        <v>1873</v>
      </c>
      <c r="B1229" s="51"/>
      <c r="C1229" s="16" t="s">
        <v>1874</v>
      </c>
      <c r="D1229" s="79">
        <v>70000.0</v>
      </c>
      <c r="E1229" s="79"/>
      <c r="F1229" s="79"/>
    </row>
    <row r="1230">
      <c r="A1230" s="42" t="s">
        <v>1875</v>
      </c>
      <c r="B1230" s="51"/>
      <c r="C1230" s="16" t="s">
        <v>1876</v>
      </c>
      <c r="D1230" s="79">
        <v>244200.0</v>
      </c>
      <c r="E1230" s="79"/>
      <c r="F1230" s="79"/>
    </row>
    <row r="1231">
      <c r="A1231" s="16" t="s">
        <v>1877</v>
      </c>
      <c r="B1231" s="542"/>
      <c r="C1231" s="16" t="s">
        <v>640</v>
      </c>
      <c r="D1231" s="79">
        <f>73800*1.19</f>
        <v>87822</v>
      </c>
      <c r="E1231" s="79"/>
      <c r="F1231" s="79"/>
    </row>
    <row r="1232">
      <c r="A1232" s="16" t="s">
        <v>1878</v>
      </c>
      <c r="B1232" s="178"/>
      <c r="C1232" s="16" t="s">
        <v>640</v>
      </c>
      <c r="D1232" s="26">
        <v>23300.0</v>
      </c>
      <c r="E1232" s="26"/>
      <c r="F1232" s="26"/>
    </row>
    <row r="1233">
      <c r="A1233" s="16" t="s">
        <v>1879</v>
      </c>
      <c r="B1233" s="542"/>
      <c r="C1233" s="16" t="s">
        <v>341</v>
      </c>
      <c r="D1233" s="26" t="str">
        <f>#REF!/50</f>
        <v>#REF!</v>
      </c>
      <c r="E1233" s="26"/>
      <c r="F1233" s="26"/>
    </row>
    <row r="1234">
      <c r="A1234" s="16" t="s">
        <v>1880</v>
      </c>
      <c r="B1234" s="49" t="s">
        <v>1881</v>
      </c>
      <c r="C1234" s="16" t="s">
        <v>610</v>
      </c>
      <c r="D1234" s="79">
        <f>101260*1.19</f>
        <v>120499.4</v>
      </c>
      <c r="E1234" s="79"/>
      <c r="F1234" s="79"/>
    </row>
    <row r="1235">
      <c r="A1235" s="42" t="s">
        <v>1882</v>
      </c>
      <c r="B1235" s="51"/>
      <c r="C1235" s="16" t="s">
        <v>98</v>
      </c>
      <c r="D1235" s="79">
        <f t="shared" ref="D1235:D1236" si="44">19800*1.19</f>
        <v>23562</v>
      </c>
      <c r="E1235" s="79"/>
      <c r="F1235" s="79"/>
    </row>
    <row r="1236">
      <c r="A1236" s="42" t="s">
        <v>1883</v>
      </c>
      <c r="B1236" s="51"/>
      <c r="C1236" s="16" t="s">
        <v>98</v>
      </c>
      <c r="D1236" s="79">
        <f t="shared" si="44"/>
        <v>23562</v>
      </c>
      <c r="E1236" s="79"/>
      <c r="F1236" s="79"/>
    </row>
    <row r="1237">
      <c r="A1237" s="40" t="s">
        <v>1884</v>
      </c>
      <c r="B1237" s="51"/>
      <c r="C1237" s="16" t="s">
        <v>93</v>
      </c>
      <c r="D1237" s="26">
        <v>25000.0</v>
      </c>
      <c r="E1237" s="26"/>
      <c r="F1237" s="26"/>
    </row>
    <row r="1238">
      <c r="A1238" s="40" t="s">
        <v>1885</v>
      </c>
      <c r="B1238" s="51"/>
      <c r="C1238" s="16" t="s">
        <v>93</v>
      </c>
      <c r="D1238" s="26">
        <v>24000.0</v>
      </c>
      <c r="E1238" s="26"/>
      <c r="F1238" s="26"/>
    </row>
    <row r="1239">
      <c r="A1239" s="16" t="s">
        <v>1886</v>
      </c>
      <c r="B1239" s="51"/>
      <c r="C1239" s="16" t="s">
        <v>1259</v>
      </c>
      <c r="D1239" s="26">
        <v>55000.0</v>
      </c>
      <c r="E1239" s="26"/>
      <c r="F1239" s="26"/>
    </row>
    <row r="1240">
      <c r="A1240" s="16" t="s">
        <v>1887</v>
      </c>
      <c r="B1240" s="51" t="s">
        <v>1888</v>
      </c>
      <c r="C1240" s="16" t="s">
        <v>119</v>
      </c>
      <c r="D1240" s="26">
        <v>87100.0</v>
      </c>
      <c r="E1240" s="26"/>
      <c r="F1240" s="26"/>
    </row>
    <row r="1241">
      <c r="A1241" s="16" t="s">
        <v>1889</v>
      </c>
      <c r="B1241" s="51" t="s">
        <v>1890</v>
      </c>
      <c r="C1241" s="20" t="s">
        <v>468</v>
      </c>
      <c r="D1241" s="520">
        <v>112867.0</v>
      </c>
      <c r="E1241" s="520"/>
      <c r="F1241" s="520"/>
    </row>
    <row r="1242">
      <c r="A1242" s="42" t="s">
        <v>1892</v>
      </c>
      <c r="B1242" s="149"/>
      <c r="C1242" s="16" t="s">
        <v>1400</v>
      </c>
      <c r="D1242" s="79">
        <v>224999.0</v>
      </c>
      <c r="E1242" s="79"/>
      <c r="F1242" s="79"/>
    </row>
    <row r="1243">
      <c r="A1243" s="42" t="s">
        <v>1891</v>
      </c>
      <c r="B1243" s="149"/>
      <c r="C1243" s="16" t="s">
        <v>1400</v>
      </c>
      <c r="D1243" s="79">
        <v>93000.0</v>
      </c>
      <c r="E1243" s="79"/>
      <c r="F1243" s="79"/>
    </row>
    <row r="1244">
      <c r="A1244" s="16" t="s">
        <v>1893</v>
      </c>
      <c r="B1244" s="51"/>
      <c r="C1244" s="16" t="s">
        <v>1400</v>
      </c>
      <c r="D1244" s="79">
        <f>621743/50*1.19</f>
        <v>14797.4834</v>
      </c>
      <c r="E1244" s="79"/>
      <c r="F1244" s="79"/>
    </row>
    <row r="1245">
      <c r="A1245" s="16" t="s">
        <v>1894</v>
      </c>
      <c r="B1245" s="51" t="s">
        <v>1895</v>
      </c>
      <c r="C1245" s="16" t="s">
        <v>1400</v>
      </c>
      <c r="D1245" s="26">
        <f t="shared" ref="D1245:D1246" si="45">9244*1.19</f>
        <v>11000.36</v>
      </c>
      <c r="E1245" s="26"/>
      <c r="F1245" s="26"/>
    </row>
    <row r="1246">
      <c r="A1246" s="16" t="s">
        <v>1896</v>
      </c>
      <c r="B1246" s="51" t="s">
        <v>1895</v>
      </c>
      <c r="C1246" s="16" t="s">
        <v>1400</v>
      </c>
      <c r="D1246" s="26">
        <f t="shared" si="45"/>
        <v>11000.36</v>
      </c>
      <c r="E1246" s="26"/>
      <c r="F1246" s="26"/>
    </row>
    <row r="1247">
      <c r="A1247" s="16" t="s">
        <v>1897</v>
      </c>
      <c r="B1247" s="51"/>
      <c r="C1247" s="16" t="s">
        <v>580</v>
      </c>
      <c r="D1247" s="79">
        <v>19459.850000000002</v>
      </c>
      <c r="E1247" s="79"/>
      <c r="F1247" s="79"/>
    </row>
    <row r="1248">
      <c r="A1248" s="16" t="s">
        <v>1898</v>
      </c>
      <c r="B1248" s="51"/>
      <c r="C1248" s="16" t="s">
        <v>63</v>
      </c>
      <c r="D1248" s="26">
        <v>201520.0</v>
      </c>
      <c r="E1248" s="26"/>
      <c r="F1248" s="26"/>
    </row>
    <row r="1249">
      <c r="A1249" s="16" t="s">
        <v>1899</v>
      </c>
      <c r="B1249" s="51"/>
      <c r="C1249" s="16" t="s">
        <v>63</v>
      </c>
      <c r="D1249" s="26">
        <v>201520.0</v>
      </c>
      <c r="E1249" s="26"/>
      <c r="F1249" s="26"/>
    </row>
    <row r="1250">
      <c r="A1250" s="16" t="s">
        <v>1900</v>
      </c>
      <c r="B1250" s="51"/>
      <c r="C1250" s="16" t="s">
        <v>16</v>
      </c>
      <c r="D1250" s="26">
        <v>25000.0</v>
      </c>
      <c r="E1250" s="26"/>
      <c r="F1250" s="26"/>
    </row>
    <row r="1251">
      <c r="A1251" s="52" t="s">
        <v>1901</v>
      </c>
      <c r="B1251" s="51" t="s">
        <v>1902</v>
      </c>
      <c r="C1251" s="16" t="s">
        <v>1903</v>
      </c>
      <c r="D1251" s="26">
        <f>12500*1.19</f>
        <v>14875</v>
      </c>
      <c r="E1251" s="26"/>
      <c r="F1251" s="26"/>
    </row>
    <row r="1252">
      <c r="A1252" s="16" t="s">
        <v>1904</v>
      </c>
      <c r="B1252" s="49"/>
      <c r="C1252" s="16" t="s">
        <v>643</v>
      </c>
      <c r="D1252" s="26">
        <v>120000.0</v>
      </c>
      <c r="E1252" s="26"/>
      <c r="F1252" s="26"/>
    </row>
    <row r="1253">
      <c r="A1253" s="16" t="s">
        <v>1905</v>
      </c>
      <c r="B1253" s="49"/>
      <c r="C1253" s="16" t="s">
        <v>1818</v>
      </c>
      <c r="D1253" s="26">
        <v>293000.0</v>
      </c>
      <c r="E1253" s="26"/>
      <c r="F1253" s="26"/>
    </row>
    <row r="1254">
      <c r="A1254" s="16" t="s">
        <v>1906</v>
      </c>
      <c r="B1254" s="49"/>
      <c r="C1254" s="16" t="s">
        <v>1907</v>
      </c>
      <c r="D1254" s="26">
        <f>293400*2</f>
        <v>586800</v>
      </c>
      <c r="E1254" s="26"/>
      <c r="F1254" s="26"/>
    </row>
    <row r="1255">
      <c r="A1255" s="40" t="s">
        <v>1908</v>
      </c>
      <c r="B1255" s="51"/>
      <c r="C1255" s="16" t="s">
        <v>1909</v>
      </c>
      <c r="D1255" s="26">
        <v>15000.0</v>
      </c>
      <c r="E1255" s="26"/>
      <c r="F1255" s="26"/>
    </row>
    <row r="1256">
      <c r="A1256" s="16" t="s">
        <v>1910</v>
      </c>
      <c r="B1256" s="49" t="s">
        <v>1911</v>
      </c>
      <c r="C1256" s="16" t="s">
        <v>70</v>
      </c>
      <c r="D1256" s="26">
        <f>85000*0.8</f>
        <v>68000</v>
      </c>
      <c r="E1256" s="26"/>
      <c r="F1256" s="26"/>
    </row>
    <row r="1257">
      <c r="A1257" s="16" t="s">
        <v>1912</v>
      </c>
      <c r="B1257" s="49"/>
      <c r="C1257" s="16" t="s">
        <v>57</v>
      </c>
      <c r="D1257" s="26">
        <v>5800.0</v>
      </c>
      <c r="E1257" s="26"/>
      <c r="F1257" s="26"/>
    </row>
    <row r="1258">
      <c r="A1258" s="16" t="s">
        <v>1913</v>
      </c>
      <c r="B1258" s="49" t="s">
        <v>1914</v>
      </c>
      <c r="C1258" s="16" t="s">
        <v>1915</v>
      </c>
      <c r="D1258" s="26">
        <v>4600.0</v>
      </c>
      <c r="E1258" s="26"/>
      <c r="F1258" s="26"/>
    </row>
    <row r="1259">
      <c r="A1259" s="16" t="s">
        <v>1916</v>
      </c>
      <c r="B1259" s="49"/>
      <c r="C1259" s="16" t="s">
        <v>1917</v>
      </c>
      <c r="D1259" s="26">
        <v>750.0</v>
      </c>
      <c r="E1259" s="26"/>
      <c r="F1259" s="26"/>
    </row>
    <row r="1260">
      <c r="A1260" s="16" t="s">
        <v>1918</v>
      </c>
      <c r="B1260" s="49"/>
      <c r="C1260" s="16" t="s">
        <v>1108</v>
      </c>
      <c r="D1260" s="79">
        <v>10000.0</v>
      </c>
      <c r="E1260" s="79"/>
      <c r="F1260" s="79"/>
    </row>
    <row r="1261">
      <c r="A1261" s="52" t="s">
        <v>1919</v>
      </c>
      <c r="B1261" s="51"/>
      <c r="C1261" s="16" t="s">
        <v>437</v>
      </c>
      <c r="D1261" s="26"/>
      <c r="E1261" s="26"/>
      <c r="F1261" s="26"/>
    </row>
    <row r="1262">
      <c r="A1262" s="16" t="s">
        <v>1920</v>
      </c>
      <c r="B1262" s="16" t="s">
        <v>1921</v>
      </c>
      <c r="C1262" s="16" t="s">
        <v>1922</v>
      </c>
      <c r="D1262" s="26">
        <v>16900.0</v>
      </c>
      <c r="E1262" s="26"/>
      <c r="F1262" s="26"/>
    </row>
    <row r="1263">
      <c r="A1263" s="16" t="s">
        <v>1923</v>
      </c>
      <c r="B1263" s="16" t="s">
        <v>1924</v>
      </c>
      <c r="C1263" s="16" t="s">
        <v>1922</v>
      </c>
      <c r="D1263" s="26">
        <v>20000.0</v>
      </c>
      <c r="E1263" s="26"/>
      <c r="F1263" s="26"/>
    </row>
    <row r="1264">
      <c r="A1264" s="16" t="s">
        <v>1925</v>
      </c>
      <c r="B1264" s="49"/>
      <c r="C1264" s="16" t="s">
        <v>1926</v>
      </c>
      <c r="D1264" s="26">
        <v>3124.0</v>
      </c>
      <c r="E1264" s="26"/>
      <c r="F1264" s="26"/>
    </row>
    <row r="1265">
      <c r="A1265" s="16" t="s">
        <v>1928</v>
      </c>
      <c r="B1265" s="51"/>
      <c r="C1265" s="20" t="s">
        <v>1929</v>
      </c>
      <c r="D1265" s="79">
        <v>29000.0</v>
      </c>
      <c r="E1265" s="79"/>
      <c r="F1265" s="79"/>
    </row>
    <row r="1266">
      <c r="A1266" s="16" t="s">
        <v>1930</v>
      </c>
      <c r="B1266" s="51" t="s">
        <v>680</v>
      </c>
      <c r="C1266" s="16" t="s">
        <v>671</v>
      </c>
      <c r="D1266" s="26">
        <v>5543.0</v>
      </c>
      <c r="E1266" s="26"/>
      <c r="F1266" s="26"/>
    </row>
    <row r="1267">
      <c r="A1267" s="16" t="s">
        <v>1931</v>
      </c>
      <c r="B1267" s="51" t="s">
        <v>680</v>
      </c>
      <c r="C1267" s="16" t="s">
        <v>671</v>
      </c>
      <c r="D1267" s="26">
        <v>5543.0</v>
      </c>
      <c r="E1267" s="26"/>
      <c r="F1267" s="26"/>
    </row>
    <row r="1268">
      <c r="A1268" s="16" t="s">
        <v>1934</v>
      </c>
      <c r="B1268" s="49"/>
      <c r="C1268" s="16" t="s">
        <v>1935</v>
      </c>
      <c r="D1268" s="26">
        <v>6000.0</v>
      </c>
      <c r="E1268" s="26"/>
      <c r="F1268" s="26"/>
    </row>
    <row r="1269">
      <c r="A1269" s="16" t="s">
        <v>1936</v>
      </c>
      <c r="B1269" s="49"/>
      <c r="C1269" s="16" t="s">
        <v>57</v>
      </c>
      <c r="D1269" s="26">
        <v>850.0</v>
      </c>
      <c r="E1269" s="26"/>
      <c r="F1269" s="26"/>
    </row>
    <row r="1270">
      <c r="A1270" s="40" t="s">
        <v>1937</v>
      </c>
      <c r="B1270" s="51"/>
      <c r="C1270" s="16" t="s">
        <v>1938</v>
      </c>
      <c r="D1270" s="519">
        <f>10500*0.8</f>
        <v>8400</v>
      </c>
      <c r="E1270" s="519"/>
      <c r="F1270" s="519"/>
    </row>
    <row r="1271">
      <c r="A1271" s="16" t="s">
        <v>1939</v>
      </c>
      <c r="B1271" s="51"/>
      <c r="C1271" s="16" t="s">
        <v>93</v>
      </c>
      <c r="D1271" s="26">
        <v>3769.0</v>
      </c>
      <c r="E1271" s="26"/>
      <c r="F1271" s="26"/>
    </row>
    <row r="1272">
      <c r="A1272" s="52" t="s">
        <v>1940</v>
      </c>
      <c r="B1272" s="49" t="s">
        <v>1941</v>
      </c>
      <c r="C1272" s="20" t="s">
        <v>1942</v>
      </c>
      <c r="D1272" s="26">
        <f>(34000*0.95*1.19)/12</f>
        <v>3203.083333</v>
      </c>
      <c r="E1272" s="26"/>
      <c r="F1272" s="26"/>
    </row>
    <row r="1273">
      <c r="A1273" s="16" t="s">
        <v>1943</v>
      </c>
      <c r="B1273" s="49"/>
      <c r="C1273" s="16" t="s">
        <v>1513</v>
      </c>
      <c r="D1273" s="26">
        <v>1000.0</v>
      </c>
      <c r="E1273" s="26"/>
      <c r="F1273" s="26"/>
    </row>
    <row r="1274">
      <c r="A1274" s="16" t="s">
        <v>1944</v>
      </c>
      <c r="B1274" s="51"/>
      <c r="C1274" s="16" t="s">
        <v>1945</v>
      </c>
      <c r="D1274" s="26">
        <v>500.0</v>
      </c>
      <c r="E1274" s="26"/>
      <c r="F1274" s="26"/>
    </row>
    <row r="1275">
      <c r="A1275" s="16" t="s">
        <v>1946</v>
      </c>
      <c r="B1275" s="51"/>
      <c r="C1275" s="16" t="s">
        <v>1947</v>
      </c>
      <c r="D1275" s="26">
        <f>74223*1.19/50</f>
        <v>1766.5074</v>
      </c>
      <c r="E1275" s="26"/>
      <c r="F1275" s="26"/>
    </row>
    <row r="1276">
      <c r="A1276" s="16" t="s">
        <v>1948</v>
      </c>
      <c r="B1276" s="51"/>
      <c r="C1276" s="16" t="s">
        <v>1947</v>
      </c>
      <c r="D1276" s="26">
        <f>74223*1.19</f>
        <v>88325.37</v>
      </c>
      <c r="E1276" s="26"/>
      <c r="F1276" s="26"/>
    </row>
    <row r="1277">
      <c r="A1277" s="42" t="s">
        <v>1949</v>
      </c>
      <c r="B1277" s="51"/>
      <c r="C1277" s="20" t="s">
        <v>291</v>
      </c>
      <c r="D1277" s="70">
        <v>6722.0</v>
      </c>
      <c r="E1277" s="70"/>
      <c r="F1277" s="70"/>
    </row>
    <row r="1278">
      <c r="A1278" s="42" t="s">
        <v>1950</v>
      </c>
      <c r="B1278" s="51"/>
      <c r="C1278" s="16" t="s">
        <v>553</v>
      </c>
      <c r="D1278" s="252">
        <f>4000/12</f>
        <v>333.3333333</v>
      </c>
      <c r="E1278" s="252"/>
      <c r="F1278" s="252"/>
    </row>
    <row r="1279">
      <c r="A1279" s="42" t="s">
        <v>1951</v>
      </c>
      <c r="B1279" s="51"/>
      <c r="C1279" s="16" t="s">
        <v>553</v>
      </c>
      <c r="D1279" s="26">
        <v>3900.0</v>
      </c>
      <c r="E1279" s="26"/>
      <c r="F1279" s="26"/>
    </row>
    <row r="1280">
      <c r="A1280" s="42" t="s">
        <v>1952</v>
      </c>
      <c r="B1280" s="51"/>
      <c r="C1280" s="16" t="s">
        <v>553</v>
      </c>
      <c r="D1280" s="26">
        <v>3900.0</v>
      </c>
      <c r="E1280" s="26"/>
      <c r="F1280" s="26"/>
    </row>
    <row r="1281">
      <c r="A1281" s="42" t="s">
        <v>1953</v>
      </c>
      <c r="B1281" s="51"/>
      <c r="C1281" s="16" t="s">
        <v>553</v>
      </c>
      <c r="D1281" s="26">
        <v>3900.0</v>
      </c>
      <c r="E1281" s="26"/>
      <c r="F1281" s="26"/>
    </row>
    <row r="1282">
      <c r="A1282" s="42" t="s">
        <v>1954</v>
      </c>
      <c r="B1282" s="51"/>
      <c r="C1282" s="16" t="s">
        <v>553</v>
      </c>
      <c r="D1282" s="26">
        <v>8000.0</v>
      </c>
      <c r="E1282" s="26"/>
      <c r="F1282" s="26"/>
    </row>
    <row r="1283">
      <c r="A1283" s="42" t="s">
        <v>1955</v>
      </c>
      <c r="B1283" s="51"/>
      <c r="C1283" s="16" t="s">
        <v>553</v>
      </c>
      <c r="D1283" s="26">
        <v>1200.0</v>
      </c>
      <c r="E1283" s="26"/>
      <c r="F1283" s="26"/>
    </row>
    <row r="1284">
      <c r="A1284" s="42" t="s">
        <v>1956</v>
      </c>
      <c r="B1284" s="51"/>
      <c r="C1284" s="16" t="s">
        <v>553</v>
      </c>
      <c r="D1284" s="26">
        <f>7000/12</f>
        <v>583.3333333</v>
      </c>
      <c r="E1284" s="26"/>
      <c r="F1284" s="26"/>
    </row>
    <row r="1285">
      <c r="A1285" s="42" t="s">
        <v>1957</v>
      </c>
      <c r="B1285" s="51"/>
      <c r="C1285" s="16" t="s">
        <v>1958</v>
      </c>
      <c r="D1285" s="26">
        <v>2300.0</v>
      </c>
      <c r="E1285" s="26"/>
      <c r="F1285" s="26"/>
    </row>
    <row r="1286">
      <c r="A1286" s="42" t="s">
        <v>1959</v>
      </c>
      <c r="B1286" s="51"/>
      <c r="C1286" s="16" t="s">
        <v>553</v>
      </c>
      <c r="D1286" s="26">
        <f>1850*1.19</f>
        <v>2201.5</v>
      </c>
      <c r="E1286" s="26"/>
      <c r="F1286" s="26"/>
    </row>
    <row r="1287">
      <c r="A1287" s="42" t="s">
        <v>1960</v>
      </c>
      <c r="B1287" s="51"/>
      <c r="C1287" s="16" t="s">
        <v>553</v>
      </c>
      <c r="D1287" s="252">
        <f>2600*1.19</f>
        <v>3094</v>
      </c>
      <c r="E1287" s="252"/>
      <c r="F1287" s="252"/>
    </row>
    <row r="1288">
      <c r="A1288" s="42" t="s">
        <v>1961</v>
      </c>
      <c r="B1288" s="51"/>
      <c r="C1288" s="16" t="s">
        <v>553</v>
      </c>
      <c r="D1288" s="26">
        <v>1000.0</v>
      </c>
      <c r="E1288" s="26"/>
      <c r="F1288" s="26"/>
    </row>
    <row r="1289">
      <c r="A1289" s="42" t="s">
        <v>1962</v>
      </c>
      <c r="B1289" s="51"/>
      <c r="C1289" s="16" t="s">
        <v>553</v>
      </c>
      <c r="D1289" s="26">
        <v>1000.0</v>
      </c>
      <c r="E1289" s="26"/>
      <c r="F1289" s="26"/>
    </row>
    <row r="1290">
      <c r="A1290" s="42" t="s">
        <v>1963</v>
      </c>
      <c r="B1290" s="51"/>
      <c r="C1290" s="16" t="s">
        <v>553</v>
      </c>
      <c r="D1290" s="26">
        <v>1000.0</v>
      </c>
      <c r="E1290" s="26"/>
      <c r="F1290" s="26"/>
    </row>
    <row r="1291">
      <c r="A1291" s="42" t="s">
        <v>1964</v>
      </c>
      <c r="B1291" s="149"/>
      <c r="C1291" s="16" t="s">
        <v>1958</v>
      </c>
      <c r="D1291" s="26">
        <v>1000.0</v>
      </c>
      <c r="E1291" s="26"/>
      <c r="F1291" s="26"/>
    </row>
    <row r="1292">
      <c r="A1292" s="16" t="s">
        <v>1965</v>
      </c>
      <c r="B1292" s="49"/>
      <c r="C1292" s="16" t="s">
        <v>553</v>
      </c>
      <c r="D1292" s="26">
        <v>2269.0</v>
      </c>
      <c r="E1292" s="26"/>
      <c r="F1292" s="26"/>
    </row>
    <row r="1293">
      <c r="A1293" s="16" t="s">
        <v>1966</v>
      </c>
      <c r="B1293" s="49"/>
      <c r="C1293" s="16" t="s">
        <v>553</v>
      </c>
      <c r="D1293" s="26">
        <f t="shared" ref="D1293:D1294" si="46">3000*1.19</f>
        <v>3570</v>
      </c>
      <c r="E1293" s="26"/>
      <c r="F1293" s="26"/>
    </row>
    <row r="1294">
      <c r="A1294" s="16" t="s">
        <v>1967</v>
      </c>
      <c r="B1294" s="49"/>
      <c r="C1294" s="16" t="s">
        <v>553</v>
      </c>
      <c r="D1294" s="26">
        <f t="shared" si="46"/>
        <v>3570</v>
      </c>
      <c r="E1294" s="26"/>
      <c r="F1294" s="26"/>
    </row>
    <row r="1295">
      <c r="A1295" s="16" t="s">
        <v>1968</v>
      </c>
      <c r="B1295" s="49"/>
      <c r="C1295" s="16" t="s">
        <v>553</v>
      </c>
      <c r="D1295" s="26">
        <v>2700.0</v>
      </c>
      <c r="E1295" s="26"/>
      <c r="F1295" s="26"/>
    </row>
    <row r="1296">
      <c r="A1296" s="42" t="s">
        <v>1969</v>
      </c>
      <c r="B1296" s="51"/>
      <c r="C1296" s="16" t="s">
        <v>553</v>
      </c>
      <c r="D1296" s="26">
        <v>1000.0</v>
      </c>
      <c r="E1296" s="26"/>
      <c r="F1296" s="26"/>
    </row>
    <row r="1297">
      <c r="A1297" s="42" t="s">
        <v>1970</v>
      </c>
      <c r="B1297" s="149"/>
      <c r="C1297" s="16" t="s">
        <v>553</v>
      </c>
      <c r="D1297" s="26">
        <v>1000.0</v>
      </c>
      <c r="E1297" s="26"/>
      <c r="F1297" s="26"/>
    </row>
    <row r="1298">
      <c r="A1298" s="42" t="s">
        <v>1971</v>
      </c>
      <c r="B1298" s="149"/>
      <c r="C1298" s="16" t="s">
        <v>553</v>
      </c>
      <c r="D1298" s="26">
        <v>1000.0</v>
      </c>
      <c r="E1298" s="26"/>
      <c r="F1298" s="26"/>
    </row>
    <row r="1299">
      <c r="A1299" s="42" t="s">
        <v>1972</v>
      </c>
      <c r="B1299" s="149"/>
      <c r="C1299" s="16" t="s">
        <v>553</v>
      </c>
      <c r="D1299" s="26">
        <v>2300.0</v>
      </c>
      <c r="E1299" s="26"/>
      <c r="F1299" s="26"/>
    </row>
    <row r="1300">
      <c r="A1300" s="42" t="s">
        <v>1973</v>
      </c>
      <c r="B1300" s="49"/>
      <c r="C1300" s="16" t="s">
        <v>553</v>
      </c>
      <c r="D1300" s="26">
        <v>1300.0</v>
      </c>
      <c r="E1300" s="26"/>
      <c r="F1300" s="26"/>
    </row>
    <row r="1301">
      <c r="A1301" s="42" t="s">
        <v>1974</v>
      </c>
      <c r="B1301" s="149"/>
      <c r="C1301" s="16" t="s">
        <v>553</v>
      </c>
      <c r="D1301" s="26">
        <v>1000.0</v>
      </c>
      <c r="E1301" s="26"/>
      <c r="F1301" s="26"/>
    </row>
    <row r="1302">
      <c r="A1302" s="42" t="s">
        <v>1975</v>
      </c>
      <c r="B1302" s="149"/>
      <c r="C1302" s="16" t="s">
        <v>553</v>
      </c>
      <c r="D1302" s="26">
        <v>1000.0</v>
      </c>
      <c r="E1302" s="26"/>
      <c r="F1302" s="26"/>
    </row>
    <row r="1303">
      <c r="A1303" s="42" t="s">
        <v>1976</v>
      </c>
      <c r="B1303" s="49"/>
      <c r="C1303" s="16"/>
      <c r="D1303" s="26"/>
      <c r="E1303" s="26"/>
      <c r="F1303" s="26"/>
    </row>
    <row r="1304">
      <c r="A1304" s="16" t="s">
        <v>1977</v>
      </c>
      <c r="B1304" s="49"/>
      <c r="C1304" s="16" t="s">
        <v>553</v>
      </c>
      <c r="D1304" s="26">
        <v>1000.0</v>
      </c>
      <c r="E1304" s="26"/>
      <c r="F1304" s="26"/>
    </row>
    <row r="1305">
      <c r="A1305" s="42" t="s">
        <v>1978</v>
      </c>
      <c r="B1305" s="149"/>
      <c r="C1305" s="16" t="s">
        <v>553</v>
      </c>
      <c r="D1305" s="26">
        <v>1000.0</v>
      </c>
      <c r="E1305" s="26"/>
      <c r="F1305" s="26"/>
    </row>
    <row r="1306">
      <c r="A1306" s="42" t="s">
        <v>1979</v>
      </c>
      <c r="B1306" s="149"/>
      <c r="C1306" s="16" t="s">
        <v>553</v>
      </c>
      <c r="D1306" s="26">
        <f>2000*1.19</f>
        <v>2380</v>
      </c>
      <c r="E1306" s="26"/>
      <c r="F1306" s="26"/>
    </row>
    <row r="1307">
      <c r="A1307" s="42" t="s">
        <v>1980</v>
      </c>
      <c r="B1307" s="149"/>
      <c r="C1307" s="16" t="s">
        <v>553</v>
      </c>
      <c r="D1307" s="26">
        <f>4500*1.19</f>
        <v>5355</v>
      </c>
      <c r="E1307" s="26"/>
      <c r="F1307" s="26"/>
    </row>
    <row r="1308">
      <c r="A1308" s="149" t="s">
        <v>1981</v>
      </c>
      <c r="B1308" s="149"/>
      <c r="C1308" s="16" t="s">
        <v>1982</v>
      </c>
      <c r="D1308" s="26">
        <v>17500.0</v>
      </c>
      <c r="E1308" s="26"/>
      <c r="F1308" s="26"/>
    </row>
    <row r="1309">
      <c r="A1309" s="16" t="s">
        <v>1983</v>
      </c>
      <c r="B1309" s="51"/>
      <c r="C1309" s="16" t="s">
        <v>39</v>
      </c>
      <c r="D1309" s="252">
        <v>1000.0</v>
      </c>
      <c r="E1309" s="252"/>
      <c r="F1309" s="252"/>
    </row>
    <row r="1310">
      <c r="A1310" s="16" t="s">
        <v>1984</v>
      </c>
      <c r="B1310" s="49"/>
      <c r="C1310" s="16" t="s">
        <v>73</v>
      </c>
      <c r="D1310" s="26">
        <v>350000.0</v>
      </c>
      <c r="E1310" s="26"/>
      <c r="F1310" s="26"/>
    </row>
    <row r="1311">
      <c r="A1311" s="16" t="s">
        <v>1986</v>
      </c>
      <c r="B1311" s="49"/>
      <c r="C1311" s="16" t="s">
        <v>73</v>
      </c>
      <c r="D1311" s="26">
        <v>330000.0</v>
      </c>
      <c r="E1311" s="26"/>
      <c r="F1311" s="26"/>
    </row>
    <row r="1312">
      <c r="A1312" s="122" t="s">
        <v>1987</v>
      </c>
      <c r="B1312" s="51"/>
      <c r="C1312" s="16" t="s">
        <v>425</v>
      </c>
      <c r="D1312" s="521">
        <v>928000.0</v>
      </c>
      <c r="E1312" s="521"/>
      <c r="F1312" s="521"/>
    </row>
    <row r="1313">
      <c r="A1313" s="40" t="s">
        <v>1988</v>
      </c>
      <c r="B1313" s="51"/>
      <c r="C1313" s="16" t="s">
        <v>93</v>
      </c>
      <c r="D1313" s="26">
        <v>6500.0</v>
      </c>
      <c r="E1313" s="26"/>
      <c r="F1313" s="26"/>
    </row>
    <row r="1314">
      <c r="A1314" s="16" t="s">
        <v>1989</v>
      </c>
      <c r="B1314" s="51"/>
      <c r="C1314" s="20" t="s">
        <v>1990</v>
      </c>
      <c r="D1314" s="520">
        <f>39433*1.19</f>
        <v>46925.27</v>
      </c>
      <c r="E1314" s="520"/>
      <c r="F1314" s="520"/>
    </row>
    <row r="1315">
      <c r="A1315" s="16" t="s">
        <v>1991</v>
      </c>
      <c r="B1315" s="51"/>
      <c r="C1315" s="20" t="s">
        <v>14</v>
      </c>
      <c r="D1315" s="520">
        <v>15366.0</v>
      </c>
      <c r="E1315" s="520"/>
      <c r="F1315" s="520"/>
    </row>
    <row r="1316">
      <c r="A1316" s="16" t="s">
        <v>1992</v>
      </c>
      <c r="B1316" s="51"/>
      <c r="C1316" s="20" t="s">
        <v>1993</v>
      </c>
      <c r="D1316" s="79">
        <v>23300.0</v>
      </c>
      <c r="E1316" s="79"/>
      <c r="F1316" s="79"/>
    </row>
    <row r="1317">
      <c r="A1317" s="16" t="s">
        <v>1994</v>
      </c>
      <c r="B1317" s="51"/>
      <c r="C1317" s="16" t="s">
        <v>1995</v>
      </c>
      <c r="D1317" s="79">
        <v>63780.0</v>
      </c>
      <c r="E1317" s="79"/>
      <c r="F1317" s="79"/>
    </row>
    <row r="1318">
      <c r="A1318" s="16" t="s">
        <v>1996</v>
      </c>
      <c r="B1318" s="49" t="s">
        <v>1997</v>
      </c>
      <c r="C1318" s="16" t="s">
        <v>70</v>
      </c>
      <c r="D1318" s="26">
        <f>32000*0.8*1.19</f>
        <v>30464</v>
      </c>
      <c r="E1318" s="26"/>
      <c r="F1318" s="26"/>
    </row>
    <row r="1319">
      <c r="A1319" s="16" t="s">
        <v>1998</v>
      </c>
      <c r="B1319" s="31"/>
      <c r="C1319" s="16" t="s">
        <v>102</v>
      </c>
      <c r="D1319" s="31">
        <v>28644.0</v>
      </c>
      <c r="E1319" s="31"/>
      <c r="F1319" s="31"/>
    </row>
    <row r="1320">
      <c r="A1320" s="16" t="s">
        <v>3390</v>
      </c>
      <c r="B1320" s="49" t="s">
        <v>2000</v>
      </c>
      <c r="C1320" s="16" t="s">
        <v>104</v>
      </c>
      <c r="D1320" s="26">
        <f>9376*1.19</f>
        <v>11157.44</v>
      </c>
      <c r="E1320" s="26"/>
      <c r="F1320" s="26"/>
    </row>
    <row r="1321">
      <c r="A1321" s="16" t="s">
        <v>2003</v>
      </c>
      <c r="B1321" s="49"/>
      <c r="C1321" s="16" t="s">
        <v>2002</v>
      </c>
      <c r="D1321" s="26">
        <f>25945*1.19</f>
        <v>30874.55</v>
      </c>
      <c r="E1321" s="26"/>
      <c r="F1321" s="26"/>
    </row>
    <row r="1322">
      <c r="A1322" s="16" t="s">
        <v>2001</v>
      </c>
      <c r="B1322" s="49">
        <f>9685*1.19</f>
        <v>11525.15</v>
      </c>
      <c r="C1322" s="16" t="s">
        <v>2002</v>
      </c>
      <c r="D1322" s="26">
        <f>9685*1.19</f>
        <v>11525.15</v>
      </c>
      <c r="E1322" s="26"/>
      <c r="F1322" s="26"/>
    </row>
    <row r="1323">
      <c r="A1323" s="16" t="s">
        <v>2004</v>
      </c>
      <c r="B1323" s="49"/>
      <c r="C1323" s="16" t="s">
        <v>63</v>
      </c>
      <c r="D1323" s="26">
        <v>8000.0</v>
      </c>
      <c r="E1323" s="26"/>
      <c r="F1323" s="26"/>
    </row>
    <row r="1324">
      <c r="A1324" s="52" t="s">
        <v>2005</v>
      </c>
      <c r="B1324" s="49"/>
      <c r="C1324" s="16" t="s">
        <v>88</v>
      </c>
      <c r="D1324" s="79">
        <v>10534.0</v>
      </c>
      <c r="E1324" s="79"/>
      <c r="F1324" s="79"/>
    </row>
    <row r="1325">
      <c r="A1325" s="52" t="s">
        <v>2007</v>
      </c>
      <c r="B1325" s="178"/>
      <c r="C1325" s="16" t="s">
        <v>2008</v>
      </c>
      <c r="D1325" s="26">
        <v>52400.0</v>
      </c>
      <c r="E1325" s="26"/>
      <c r="F1325" s="26"/>
    </row>
    <row r="1326">
      <c r="A1326" s="16" t="s">
        <v>3391</v>
      </c>
      <c r="B1326" s="178"/>
      <c r="C1326" s="20" t="s">
        <v>1820</v>
      </c>
      <c r="D1326" s="26">
        <v>40000.0</v>
      </c>
      <c r="E1326" s="26"/>
      <c r="F1326" s="26"/>
    </row>
    <row r="1327">
      <c r="A1327" s="52" t="s">
        <v>3392</v>
      </c>
      <c r="B1327" s="178"/>
      <c r="C1327" s="16" t="s">
        <v>65</v>
      </c>
      <c r="D1327" s="79">
        <f>40000*1.19</f>
        <v>47600</v>
      </c>
      <c r="E1327" s="79"/>
      <c r="F1327" s="79"/>
    </row>
    <row r="1328">
      <c r="A1328" s="52" t="s">
        <v>2011</v>
      </c>
      <c r="B1328" s="178"/>
      <c r="C1328" s="16" t="s">
        <v>2008</v>
      </c>
      <c r="D1328" s="79">
        <v>16200.0</v>
      </c>
      <c r="E1328" s="79"/>
      <c r="F1328" s="79"/>
    </row>
    <row r="1329">
      <c r="A1329" s="59" t="s">
        <v>2013</v>
      </c>
      <c r="B1329" s="49" t="s">
        <v>2014</v>
      </c>
      <c r="C1329" s="16" t="s">
        <v>1251</v>
      </c>
      <c r="D1329" s="26">
        <v>149900.0</v>
      </c>
      <c r="E1329" s="26"/>
      <c r="F1329" s="26"/>
    </row>
    <row r="1330">
      <c r="A1330" s="16" t="s">
        <v>2015</v>
      </c>
      <c r="B1330" s="51" t="s">
        <v>2016</v>
      </c>
      <c r="C1330" s="16" t="s">
        <v>2017</v>
      </c>
      <c r="D1330" s="79">
        <v>8400.0</v>
      </c>
      <c r="E1330" s="79"/>
      <c r="F1330" s="79"/>
    </row>
    <row r="1331">
      <c r="A1331" s="16" t="s">
        <v>2018</v>
      </c>
      <c r="B1331" s="51" t="s">
        <v>2016</v>
      </c>
      <c r="C1331" s="16" t="s">
        <v>2017</v>
      </c>
      <c r="D1331" s="79">
        <v>8400.0</v>
      </c>
      <c r="E1331" s="79"/>
      <c r="F1331" s="79"/>
    </row>
    <row r="1332">
      <c r="A1332" s="16" t="s">
        <v>2019</v>
      </c>
      <c r="B1332" s="51" t="s">
        <v>2016</v>
      </c>
      <c r="C1332" s="16" t="s">
        <v>2017</v>
      </c>
      <c r="D1332" s="79">
        <v>8400.0</v>
      </c>
      <c r="E1332" s="79"/>
      <c r="F1332" s="79"/>
    </row>
    <row r="1333">
      <c r="A1333" s="42" t="s">
        <v>2020</v>
      </c>
      <c r="B1333" s="51"/>
      <c r="C1333" s="16" t="s">
        <v>2021</v>
      </c>
      <c r="D1333" s="26"/>
      <c r="E1333" s="26"/>
      <c r="F1333" s="26"/>
    </row>
    <row r="1334">
      <c r="A1334" s="42" t="s">
        <v>2022</v>
      </c>
      <c r="B1334" s="42"/>
      <c r="C1334" s="16" t="s">
        <v>2023</v>
      </c>
      <c r="D1334" s="26">
        <f>3800/12</f>
        <v>316.6666667</v>
      </c>
      <c r="E1334" s="26"/>
      <c r="F1334" s="26"/>
    </row>
    <row r="1335">
      <c r="A1335" s="42" t="s">
        <v>2024</v>
      </c>
      <c r="B1335" s="42"/>
      <c r="C1335" s="16" t="s">
        <v>2023</v>
      </c>
      <c r="D1335" s="26"/>
      <c r="E1335" s="26"/>
      <c r="F1335" s="26"/>
    </row>
    <row r="1336">
      <c r="A1336" s="40" t="s">
        <v>2025</v>
      </c>
      <c r="B1336" s="51"/>
      <c r="C1336" s="16" t="s">
        <v>57</v>
      </c>
      <c r="D1336" s="26">
        <v>6000.0</v>
      </c>
      <c r="E1336" s="26"/>
      <c r="F1336" s="26"/>
    </row>
    <row r="1337">
      <c r="A1337" s="16" t="s">
        <v>2026</v>
      </c>
      <c r="B1337" s="51"/>
      <c r="C1337" s="16" t="s">
        <v>104</v>
      </c>
      <c r="D1337" s="26">
        <v>12176.0</v>
      </c>
      <c r="E1337" s="26"/>
      <c r="F1337" s="26"/>
    </row>
    <row r="1338">
      <c r="A1338" s="59" t="s">
        <v>2027</v>
      </c>
      <c r="B1338" s="97" t="s">
        <v>2028</v>
      </c>
      <c r="C1338" s="16" t="s">
        <v>485</v>
      </c>
      <c r="D1338" s="538">
        <f>104363*1.19</f>
        <v>124191.97</v>
      </c>
      <c r="E1338" s="538"/>
      <c r="F1338" s="538"/>
    </row>
    <row r="1339">
      <c r="A1339" s="59" t="s">
        <v>2029</v>
      </c>
      <c r="B1339" s="97" t="s">
        <v>2030</v>
      </c>
      <c r="C1339" s="16" t="s">
        <v>485</v>
      </c>
      <c r="D1339" s="538">
        <f>94875*1.19</f>
        <v>112901.25</v>
      </c>
      <c r="E1339" s="538"/>
      <c r="F1339" s="538"/>
    </row>
    <row r="1340">
      <c r="A1340" s="59" t="s">
        <v>2031</v>
      </c>
      <c r="B1340" s="97" t="s">
        <v>2032</v>
      </c>
      <c r="C1340" s="16" t="s">
        <v>485</v>
      </c>
      <c r="D1340" s="538">
        <v>136612.0</v>
      </c>
      <c r="E1340" s="538"/>
      <c r="F1340" s="538"/>
    </row>
    <row r="1341">
      <c r="A1341" s="122" t="s">
        <v>2033</v>
      </c>
      <c r="B1341" s="51">
        <v>241003.0</v>
      </c>
      <c r="C1341" s="16" t="s">
        <v>425</v>
      </c>
      <c r="D1341" s="521">
        <v>400.0</v>
      </c>
      <c r="E1341" s="521"/>
      <c r="F1341" s="521"/>
    </row>
    <row r="1342">
      <c r="A1342" s="122" t="s">
        <v>2034</v>
      </c>
      <c r="B1342" s="51">
        <v>241007.0</v>
      </c>
      <c r="C1342" s="16" t="s">
        <v>425</v>
      </c>
      <c r="D1342" s="521">
        <v>400.0</v>
      </c>
      <c r="E1342" s="521"/>
      <c r="F1342" s="521"/>
    </row>
    <row r="1343">
      <c r="A1343" s="122" t="s">
        <v>2035</v>
      </c>
      <c r="B1343" s="51">
        <v>241012.0</v>
      </c>
      <c r="C1343" s="16" t="s">
        <v>425</v>
      </c>
      <c r="D1343" s="521">
        <v>400.0</v>
      </c>
      <c r="E1343" s="521"/>
      <c r="F1343" s="521"/>
    </row>
    <row r="1344">
      <c r="A1344" s="122" t="s">
        <v>2036</v>
      </c>
      <c r="B1344" s="51">
        <v>241004.0</v>
      </c>
      <c r="C1344" s="16" t="s">
        <v>425</v>
      </c>
      <c r="D1344" s="521">
        <f>62726*1.19/100</f>
        <v>746.4394</v>
      </c>
      <c r="E1344" s="521"/>
      <c r="F1344" s="521"/>
    </row>
    <row r="1345">
      <c r="A1345" s="122" t="s">
        <v>2037</v>
      </c>
      <c r="B1345" s="51">
        <v>241008.0</v>
      </c>
      <c r="C1345" s="16" t="s">
        <v>425</v>
      </c>
      <c r="D1345" s="521">
        <v>400.0</v>
      </c>
      <c r="E1345" s="521"/>
      <c r="F1345" s="521"/>
    </row>
    <row r="1346">
      <c r="A1346" s="122" t="s">
        <v>2038</v>
      </c>
      <c r="B1346" s="51">
        <v>241016.0</v>
      </c>
      <c r="C1346" s="16" t="s">
        <v>425</v>
      </c>
      <c r="D1346" s="26">
        <f>627*1.19</f>
        <v>746.13</v>
      </c>
      <c r="E1346" s="26"/>
      <c r="F1346" s="26"/>
    </row>
    <row r="1347">
      <c r="A1347" s="122" t="s">
        <v>2039</v>
      </c>
      <c r="B1347" s="51">
        <v>241013.0</v>
      </c>
      <c r="C1347" s="16" t="s">
        <v>425</v>
      </c>
      <c r="D1347" s="521">
        <v>400.0</v>
      </c>
      <c r="E1347" s="521"/>
      <c r="F1347" s="521"/>
    </row>
    <row r="1348">
      <c r="A1348" s="122" t="s">
        <v>2040</v>
      </c>
      <c r="B1348" s="51">
        <v>241009.0</v>
      </c>
      <c r="C1348" s="16" t="s">
        <v>425</v>
      </c>
      <c r="D1348" s="521">
        <v>400.0</v>
      </c>
      <c r="E1348" s="521"/>
      <c r="F1348" s="521"/>
    </row>
    <row r="1349">
      <c r="A1349" s="122" t="s">
        <v>2041</v>
      </c>
      <c r="B1349" s="51">
        <v>241061.0</v>
      </c>
      <c r="C1349" s="16" t="s">
        <v>425</v>
      </c>
      <c r="D1349" s="521">
        <v>400.0</v>
      </c>
      <c r="E1349" s="521"/>
      <c r="F1349" s="521"/>
    </row>
    <row r="1350">
      <c r="A1350" s="52" t="s">
        <v>2042</v>
      </c>
      <c r="B1350" s="49">
        <f>12800*1.19</f>
        <v>15232</v>
      </c>
      <c r="C1350" s="16" t="s">
        <v>513</v>
      </c>
      <c r="D1350" s="26">
        <f>17500*1.19</f>
        <v>20825</v>
      </c>
      <c r="E1350" s="26"/>
      <c r="F1350" s="26"/>
    </row>
    <row r="1351">
      <c r="A1351" s="52" t="s">
        <v>2043</v>
      </c>
      <c r="B1351" s="134" t="s">
        <v>1460</v>
      </c>
      <c r="C1351" s="16" t="s">
        <v>1108</v>
      </c>
      <c r="D1351" s="26">
        <f>128000*1.19</f>
        <v>152320</v>
      </c>
      <c r="E1351" s="26"/>
      <c r="F1351" s="26"/>
    </row>
    <row r="1352">
      <c r="A1352" s="122" t="s">
        <v>2044</v>
      </c>
      <c r="B1352" s="49" t="s">
        <v>2045</v>
      </c>
      <c r="C1352" s="16" t="s">
        <v>2046</v>
      </c>
      <c r="D1352" s="79">
        <v>4165.0</v>
      </c>
      <c r="E1352" s="79"/>
      <c r="F1352" s="79"/>
    </row>
    <row r="1353">
      <c r="A1353" s="122" t="s">
        <v>2047</v>
      </c>
      <c r="B1353" s="51">
        <v>241001.0</v>
      </c>
      <c r="C1353" s="16" t="s">
        <v>425</v>
      </c>
      <c r="D1353" s="521">
        <f>62726*1.19/100</f>
        <v>746.4394</v>
      </c>
      <c r="E1353" s="521"/>
      <c r="F1353" s="521"/>
    </row>
    <row r="1354">
      <c r="A1354" s="122" t="s">
        <v>2048</v>
      </c>
      <c r="B1354" s="51">
        <v>241005.0</v>
      </c>
      <c r="C1354" s="16" t="s">
        <v>425</v>
      </c>
      <c r="D1354" s="521">
        <v>400.0</v>
      </c>
      <c r="E1354" s="521"/>
      <c r="F1354" s="521"/>
    </row>
    <row r="1355">
      <c r="A1355" s="122" t="s">
        <v>2049</v>
      </c>
      <c r="B1355" s="51">
        <v>241014.0</v>
      </c>
      <c r="C1355" s="16" t="s">
        <v>425</v>
      </c>
      <c r="D1355" s="521">
        <v>400.0</v>
      </c>
      <c r="E1355" s="521"/>
      <c r="F1355" s="521"/>
    </row>
    <row r="1356">
      <c r="A1356" s="122" t="s">
        <v>2050</v>
      </c>
      <c r="B1356" s="51">
        <v>241010.0</v>
      </c>
      <c r="C1356" s="16" t="s">
        <v>425</v>
      </c>
      <c r="D1356" s="521">
        <f>62726*1.19/100</f>
        <v>746.4394</v>
      </c>
      <c r="E1356" s="521"/>
      <c r="F1356" s="521"/>
    </row>
    <row r="1357">
      <c r="A1357" s="122" t="s">
        <v>2051</v>
      </c>
      <c r="B1357" s="51">
        <v>241002.0</v>
      </c>
      <c r="C1357" s="16" t="s">
        <v>425</v>
      </c>
      <c r="D1357" s="521">
        <v>400.0</v>
      </c>
      <c r="E1357" s="521"/>
      <c r="F1357" s="521"/>
    </row>
    <row r="1358">
      <c r="A1358" s="122" t="s">
        <v>2052</v>
      </c>
      <c r="B1358" s="51">
        <v>241006.0</v>
      </c>
      <c r="C1358" s="16" t="s">
        <v>425</v>
      </c>
      <c r="D1358" s="521">
        <v>400.0</v>
      </c>
      <c r="E1358" s="521"/>
      <c r="F1358" s="521"/>
    </row>
    <row r="1359">
      <c r="A1359" s="122" t="s">
        <v>2053</v>
      </c>
      <c r="B1359" s="51">
        <v>241015.0</v>
      </c>
      <c r="C1359" s="16" t="s">
        <v>425</v>
      </c>
      <c r="D1359" s="521"/>
      <c r="E1359" s="521"/>
      <c r="F1359" s="521"/>
    </row>
    <row r="1360">
      <c r="A1360" s="122" t="s">
        <v>2054</v>
      </c>
      <c r="B1360" s="51">
        <v>241011.0</v>
      </c>
      <c r="C1360" s="16" t="s">
        <v>425</v>
      </c>
      <c r="D1360" s="521">
        <v>400.0</v>
      </c>
      <c r="E1360" s="521"/>
      <c r="F1360" s="521"/>
    </row>
    <row r="1361">
      <c r="A1361" s="52" t="s">
        <v>2055</v>
      </c>
      <c r="B1361" s="51"/>
      <c r="C1361" s="16" t="s">
        <v>2056</v>
      </c>
      <c r="D1361" s="26">
        <v>2080.0</v>
      </c>
      <c r="E1361" s="26"/>
      <c r="F1361" s="26"/>
    </row>
    <row r="1362">
      <c r="A1362" s="52" t="s">
        <v>2057</v>
      </c>
      <c r="B1362" s="51"/>
      <c r="C1362" s="16" t="s">
        <v>2056</v>
      </c>
      <c r="D1362" s="26">
        <v>2080.0</v>
      </c>
      <c r="E1362" s="26"/>
      <c r="F1362" s="26"/>
    </row>
    <row r="1363">
      <c r="A1363" s="52" t="s">
        <v>2058</v>
      </c>
      <c r="B1363" s="49"/>
      <c r="C1363" s="16" t="s">
        <v>2056</v>
      </c>
      <c r="D1363" s="26">
        <v>2479.0</v>
      </c>
      <c r="E1363" s="26"/>
      <c r="F1363" s="26"/>
    </row>
    <row r="1364">
      <c r="A1364" s="52" t="s">
        <v>2059</v>
      </c>
      <c r="B1364" s="134"/>
      <c r="C1364" s="16" t="s">
        <v>2056</v>
      </c>
      <c r="D1364" s="26">
        <f t="shared" ref="D1364:D1365" si="47">25000*1.19/12</f>
        <v>2479.166667</v>
      </c>
      <c r="E1364" s="26"/>
      <c r="F1364" s="26"/>
    </row>
    <row r="1365">
      <c r="A1365" s="52" t="s">
        <v>2060</v>
      </c>
      <c r="B1365" s="49"/>
      <c r="C1365" s="16" t="s">
        <v>2056</v>
      </c>
      <c r="D1365" s="26">
        <f t="shared" si="47"/>
        <v>2479.166667</v>
      </c>
      <c r="E1365" s="26"/>
      <c r="F1365" s="26"/>
    </row>
    <row r="1366">
      <c r="A1366" s="52" t="s">
        <v>2061</v>
      </c>
      <c r="B1366" s="51"/>
      <c r="C1366" s="16" t="s">
        <v>2056</v>
      </c>
      <c r="D1366" s="26">
        <v>2080.0</v>
      </c>
      <c r="E1366" s="26"/>
      <c r="F1366" s="26"/>
    </row>
    <row r="1367">
      <c r="A1367" s="52" t="s">
        <v>2062</v>
      </c>
      <c r="B1367" s="51"/>
      <c r="C1367" s="16" t="s">
        <v>2056</v>
      </c>
      <c r="D1367" s="26">
        <v>2080.0</v>
      </c>
      <c r="E1367" s="26"/>
      <c r="F1367" s="26"/>
    </row>
    <row r="1368">
      <c r="A1368" s="16" t="s">
        <v>2063</v>
      </c>
      <c r="B1368" s="51" t="s">
        <v>44</v>
      </c>
      <c r="C1368" s="16" t="s">
        <v>45</v>
      </c>
      <c r="D1368" s="520">
        <v>2488400.0</v>
      </c>
      <c r="E1368" s="520"/>
      <c r="F1368" s="520"/>
    </row>
    <row r="1369">
      <c r="A1369" s="16" t="s">
        <v>2064</v>
      </c>
      <c r="B1369" s="51" t="s">
        <v>44</v>
      </c>
      <c r="C1369" s="16" t="s">
        <v>1569</v>
      </c>
      <c r="D1369" s="520">
        <v>1079000.0</v>
      </c>
      <c r="E1369" s="520"/>
      <c r="F1369" s="520"/>
    </row>
    <row r="1370">
      <c r="A1370" s="156" t="s">
        <v>2065</v>
      </c>
      <c r="B1370" s="149"/>
      <c r="C1370" s="16" t="s">
        <v>291</v>
      </c>
      <c r="D1370" s="26">
        <f>13026*1.19/20</f>
        <v>775.047</v>
      </c>
      <c r="E1370" s="26"/>
      <c r="F1370" s="26"/>
    </row>
    <row r="1371">
      <c r="A1371" s="122" t="s">
        <v>2066</v>
      </c>
      <c r="B1371" s="51"/>
      <c r="C1371" s="16" t="s">
        <v>580</v>
      </c>
      <c r="D1371" s="79">
        <f t="shared" ref="D1371:D1373" si="48">8962*1.19</f>
        <v>10664.78</v>
      </c>
      <c r="E1371" s="79"/>
      <c r="F1371" s="79"/>
    </row>
    <row r="1372">
      <c r="A1372" s="122" t="s">
        <v>2067</v>
      </c>
      <c r="B1372" s="51">
        <v>241035.0</v>
      </c>
      <c r="C1372" s="16" t="s">
        <v>425</v>
      </c>
      <c r="D1372" s="79">
        <f t="shared" si="48"/>
        <v>10664.78</v>
      </c>
      <c r="E1372" s="79"/>
      <c r="F1372" s="79"/>
    </row>
    <row r="1373">
      <c r="A1373" s="122" t="s">
        <v>2068</v>
      </c>
      <c r="B1373" s="51">
        <v>241034.0</v>
      </c>
      <c r="C1373" s="16" t="s">
        <v>425</v>
      </c>
      <c r="D1373" s="79">
        <f t="shared" si="48"/>
        <v>10664.78</v>
      </c>
      <c r="E1373" s="79"/>
      <c r="F1373" s="79"/>
    </row>
    <row r="1374">
      <c r="A1374" s="122" t="s">
        <v>2069</v>
      </c>
      <c r="B1374" s="51">
        <v>241032.0</v>
      </c>
      <c r="C1374" s="16" t="s">
        <v>2070</v>
      </c>
      <c r="D1374" s="79">
        <v>8532.0</v>
      </c>
      <c r="E1374" s="79"/>
      <c r="F1374" s="79"/>
    </row>
    <row r="1375">
      <c r="A1375" s="122" t="s">
        <v>2071</v>
      </c>
      <c r="B1375" s="51"/>
      <c r="C1375" s="16" t="s">
        <v>425</v>
      </c>
      <c r="D1375" s="79">
        <f t="shared" ref="D1375:D1377" si="49">8962*1.19</f>
        <v>10664.78</v>
      </c>
      <c r="E1375" s="79"/>
      <c r="F1375" s="79"/>
    </row>
    <row r="1376">
      <c r="A1376" s="122" t="s">
        <v>2072</v>
      </c>
      <c r="B1376" s="51">
        <v>241033.0</v>
      </c>
      <c r="C1376" s="16" t="s">
        <v>425</v>
      </c>
      <c r="D1376" s="79">
        <f t="shared" si="49"/>
        <v>10664.78</v>
      </c>
      <c r="E1376" s="79"/>
      <c r="F1376" s="79"/>
    </row>
    <row r="1377">
      <c r="A1377" s="122" t="s">
        <v>2073</v>
      </c>
      <c r="B1377" s="51">
        <v>241037.0</v>
      </c>
      <c r="C1377" s="16" t="s">
        <v>425</v>
      </c>
      <c r="D1377" s="79">
        <f t="shared" si="49"/>
        <v>10664.78</v>
      </c>
      <c r="E1377" s="79"/>
      <c r="F1377" s="79"/>
    </row>
    <row r="1378">
      <c r="A1378" s="122" t="s">
        <v>2074</v>
      </c>
      <c r="B1378" s="51">
        <v>241036.0</v>
      </c>
      <c r="C1378" s="16" t="s">
        <v>425</v>
      </c>
      <c r="D1378" s="79">
        <v>8532.0</v>
      </c>
      <c r="E1378" s="79"/>
      <c r="F1378" s="79"/>
    </row>
    <row r="1379">
      <c r="A1379" s="122" t="s">
        <v>2075</v>
      </c>
      <c r="B1379" s="51">
        <v>241030.0</v>
      </c>
      <c r="C1379" s="16" t="s">
        <v>2070</v>
      </c>
      <c r="D1379" s="79">
        <v>8532.0</v>
      </c>
      <c r="E1379" s="79"/>
      <c r="F1379" s="79"/>
    </row>
    <row r="1380">
      <c r="A1380" s="122" t="s">
        <v>2076</v>
      </c>
      <c r="B1380" s="51">
        <v>241029.0</v>
      </c>
      <c r="C1380" s="16" t="s">
        <v>2070</v>
      </c>
      <c r="D1380" s="79">
        <v>8532.0</v>
      </c>
      <c r="E1380" s="79"/>
      <c r="F1380" s="79"/>
    </row>
    <row r="1381">
      <c r="A1381" s="122" t="s">
        <v>2077</v>
      </c>
      <c r="B1381" s="51">
        <v>241028.0</v>
      </c>
      <c r="C1381" s="16" t="s">
        <v>2070</v>
      </c>
      <c r="D1381" s="79">
        <v>8532.0</v>
      </c>
      <c r="E1381" s="79"/>
      <c r="F1381" s="79"/>
    </row>
    <row r="1382">
      <c r="A1382" s="122" t="s">
        <v>2078</v>
      </c>
      <c r="B1382" s="51">
        <v>241031.0</v>
      </c>
      <c r="C1382" s="16" t="s">
        <v>2079</v>
      </c>
      <c r="D1382" s="79">
        <f>8962*1.19</f>
        <v>10664.78</v>
      </c>
      <c r="E1382" s="79"/>
      <c r="F1382" s="79"/>
    </row>
    <row r="1383">
      <c r="A1383" s="122" t="s">
        <v>2080</v>
      </c>
      <c r="B1383" s="51"/>
      <c r="C1383" s="16" t="s">
        <v>1630</v>
      </c>
      <c r="D1383" s="79">
        <v>16958.0</v>
      </c>
      <c r="E1383" s="79"/>
      <c r="F1383" s="79"/>
    </row>
    <row r="1384">
      <c r="A1384" s="122" t="s">
        <v>2081</v>
      </c>
      <c r="B1384" s="51"/>
      <c r="C1384" s="16" t="s">
        <v>1630</v>
      </c>
      <c r="D1384" s="79">
        <f t="shared" ref="D1384:D1394" si="50">41961*1.19</f>
        <v>49933.59</v>
      </c>
      <c r="E1384" s="79"/>
      <c r="F1384" s="79"/>
    </row>
    <row r="1385">
      <c r="A1385" s="122" t="s">
        <v>2082</v>
      </c>
      <c r="B1385" s="51">
        <v>244015.0</v>
      </c>
      <c r="C1385" s="16" t="s">
        <v>2083</v>
      </c>
      <c r="D1385" s="79">
        <f t="shared" si="50"/>
        <v>49933.59</v>
      </c>
      <c r="E1385" s="79"/>
      <c r="F1385" s="79"/>
    </row>
    <row r="1386">
      <c r="A1386" s="122" t="s">
        <v>2084</v>
      </c>
      <c r="B1386" s="51">
        <v>244004.0</v>
      </c>
      <c r="C1386" s="16" t="s">
        <v>2083</v>
      </c>
      <c r="D1386" s="79">
        <f t="shared" si="50"/>
        <v>49933.59</v>
      </c>
      <c r="E1386" s="79"/>
      <c r="F1386" s="79"/>
    </row>
    <row r="1387">
      <c r="A1387" s="16" t="s">
        <v>2085</v>
      </c>
      <c r="B1387" s="51">
        <v>244010.0</v>
      </c>
      <c r="C1387" s="16" t="s">
        <v>2083</v>
      </c>
      <c r="D1387" s="79">
        <f t="shared" si="50"/>
        <v>49933.59</v>
      </c>
      <c r="E1387" s="79"/>
      <c r="F1387" s="79"/>
    </row>
    <row r="1388">
      <c r="A1388" s="122" t="s">
        <v>2086</v>
      </c>
      <c r="B1388" s="51">
        <v>244005.0</v>
      </c>
      <c r="C1388" s="16" t="s">
        <v>2083</v>
      </c>
      <c r="D1388" s="79">
        <f t="shared" si="50"/>
        <v>49933.59</v>
      </c>
      <c r="E1388" s="79"/>
      <c r="F1388" s="79"/>
    </row>
    <row r="1389">
      <c r="A1389" s="122" t="s">
        <v>2087</v>
      </c>
      <c r="B1389" s="51">
        <v>244008.0</v>
      </c>
      <c r="C1389" s="16" t="s">
        <v>2083</v>
      </c>
      <c r="D1389" s="79">
        <f t="shared" si="50"/>
        <v>49933.59</v>
      </c>
      <c r="E1389" s="79"/>
      <c r="F1389" s="79"/>
    </row>
    <row r="1390">
      <c r="A1390" s="122" t="s">
        <v>2088</v>
      </c>
      <c r="B1390" s="51">
        <v>244016.0</v>
      </c>
      <c r="C1390" s="16" t="s">
        <v>2083</v>
      </c>
      <c r="D1390" s="79">
        <f t="shared" si="50"/>
        <v>49933.59</v>
      </c>
      <c r="E1390" s="79"/>
      <c r="F1390" s="79"/>
    </row>
    <row r="1391">
      <c r="A1391" s="122" t="s">
        <v>2089</v>
      </c>
      <c r="B1391" s="51">
        <v>244006.0</v>
      </c>
      <c r="C1391" s="16" t="s">
        <v>2083</v>
      </c>
      <c r="D1391" s="79">
        <f t="shared" si="50"/>
        <v>49933.59</v>
      </c>
      <c r="E1391" s="79"/>
      <c r="F1391" s="79"/>
    </row>
    <row r="1392">
      <c r="A1392" s="122" t="s">
        <v>2090</v>
      </c>
      <c r="B1392" s="51">
        <v>244003.0</v>
      </c>
      <c r="C1392" s="16" t="s">
        <v>2083</v>
      </c>
      <c r="D1392" s="79">
        <f t="shared" si="50"/>
        <v>49933.59</v>
      </c>
      <c r="E1392" s="79"/>
      <c r="F1392" s="79"/>
    </row>
    <row r="1393">
      <c r="A1393" s="122" t="s">
        <v>2091</v>
      </c>
      <c r="B1393" s="51">
        <v>244007.0</v>
      </c>
      <c r="C1393" s="16" t="s">
        <v>2083</v>
      </c>
      <c r="D1393" s="79">
        <f t="shared" si="50"/>
        <v>49933.59</v>
      </c>
      <c r="E1393" s="79"/>
      <c r="F1393" s="79"/>
    </row>
    <row r="1394">
      <c r="A1394" s="122" t="s">
        <v>2092</v>
      </c>
      <c r="B1394" s="51">
        <v>244012.0</v>
      </c>
      <c r="C1394" s="16" t="s">
        <v>2083</v>
      </c>
      <c r="D1394" s="79">
        <f t="shared" si="50"/>
        <v>49933.59</v>
      </c>
      <c r="E1394" s="79"/>
      <c r="F1394" s="79"/>
    </row>
    <row r="1395">
      <c r="A1395" s="16" t="s">
        <v>2093</v>
      </c>
      <c r="B1395" s="51"/>
      <c r="C1395" s="16" t="s">
        <v>65</v>
      </c>
      <c r="D1395" s="26">
        <f>600*1.19</f>
        <v>714</v>
      </c>
      <c r="E1395" s="26"/>
      <c r="F1395" s="26"/>
    </row>
    <row r="1396">
      <c r="A1396" s="42" t="s">
        <v>2094</v>
      </c>
      <c r="B1396" s="51"/>
      <c r="C1396" s="16" t="s">
        <v>553</v>
      </c>
      <c r="D1396" s="26">
        <v>450.0</v>
      </c>
      <c r="E1396" s="26"/>
      <c r="F1396" s="26"/>
    </row>
    <row r="1397">
      <c r="A1397" s="42" t="s">
        <v>2095</v>
      </c>
      <c r="B1397" s="149"/>
      <c r="C1397" s="16" t="s">
        <v>553</v>
      </c>
      <c r="D1397" s="26">
        <f>2500/6</f>
        <v>416.6666667</v>
      </c>
      <c r="E1397" s="26"/>
      <c r="F1397" s="26"/>
    </row>
    <row r="1398">
      <c r="A1398" s="52" t="s">
        <v>2096</v>
      </c>
      <c r="B1398" s="49"/>
      <c r="C1398" s="16" t="s">
        <v>2097</v>
      </c>
      <c r="D1398" s="79">
        <f t="shared" ref="D1398:D1403" si="51">22300*1.19</f>
        <v>26537</v>
      </c>
      <c r="E1398" s="79"/>
      <c r="F1398" s="79"/>
    </row>
    <row r="1399">
      <c r="A1399" s="52" t="s">
        <v>2098</v>
      </c>
      <c r="B1399" s="49"/>
      <c r="C1399" s="16" t="s">
        <v>2097</v>
      </c>
      <c r="D1399" s="79">
        <f t="shared" si="51"/>
        <v>26537</v>
      </c>
      <c r="E1399" s="79"/>
      <c r="F1399" s="79"/>
    </row>
    <row r="1400">
      <c r="A1400" s="52" t="s">
        <v>2099</v>
      </c>
      <c r="B1400" s="49"/>
      <c r="C1400" s="16" t="s">
        <v>2097</v>
      </c>
      <c r="D1400" s="79">
        <f t="shared" si="51"/>
        <v>26537</v>
      </c>
      <c r="E1400" s="79"/>
      <c r="F1400" s="79"/>
    </row>
    <row r="1401">
      <c r="A1401" s="52" t="s">
        <v>2100</v>
      </c>
      <c r="B1401" s="49">
        <v>245012.0</v>
      </c>
      <c r="C1401" s="16" t="s">
        <v>2097</v>
      </c>
      <c r="D1401" s="79">
        <f t="shared" si="51"/>
        <v>26537</v>
      </c>
      <c r="E1401" s="79"/>
      <c r="F1401" s="79"/>
    </row>
    <row r="1402">
      <c r="A1402" s="52" t="s">
        <v>2101</v>
      </c>
      <c r="B1402" s="49">
        <v>245018.0</v>
      </c>
      <c r="C1402" s="16" t="s">
        <v>659</v>
      </c>
      <c r="D1402" s="79">
        <f t="shared" si="51"/>
        <v>26537</v>
      </c>
      <c r="E1402" s="79"/>
      <c r="F1402" s="79"/>
    </row>
    <row r="1403">
      <c r="A1403" s="52" t="s">
        <v>2102</v>
      </c>
      <c r="B1403" s="49">
        <v>245014.0</v>
      </c>
      <c r="C1403" s="16" t="s">
        <v>2097</v>
      </c>
      <c r="D1403" s="79">
        <f t="shared" si="51"/>
        <v>26537</v>
      </c>
      <c r="E1403" s="79"/>
      <c r="F1403" s="79"/>
    </row>
    <row r="1404">
      <c r="A1404" s="52" t="s">
        <v>2103</v>
      </c>
      <c r="B1404" s="51"/>
      <c r="C1404" s="16" t="s">
        <v>65</v>
      </c>
      <c r="D1404" s="79">
        <f>2000*1.19</f>
        <v>2380</v>
      </c>
      <c r="E1404" s="79"/>
      <c r="F1404" s="79"/>
    </row>
    <row r="1405">
      <c r="A1405" s="42" t="s">
        <v>2104</v>
      </c>
      <c r="B1405" s="149"/>
      <c r="C1405" s="16" t="s">
        <v>553</v>
      </c>
      <c r="D1405" s="26">
        <f t="shared" ref="D1405:D1406" si="52">6500/6</f>
        <v>1083.333333</v>
      </c>
      <c r="E1405" s="26"/>
      <c r="F1405" s="26"/>
    </row>
    <row r="1406">
      <c r="A1406" s="42" t="s">
        <v>2105</v>
      </c>
      <c r="B1406" s="149"/>
      <c r="C1406" s="16" t="s">
        <v>553</v>
      </c>
      <c r="D1406" s="26">
        <f t="shared" si="52"/>
        <v>1083.333333</v>
      </c>
      <c r="E1406" s="26"/>
      <c r="F1406" s="26"/>
    </row>
    <row r="1407">
      <c r="A1407" s="40" t="s">
        <v>2106</v>
      </c>
      <c r="B1407" s="51"/>
      <c r="C1407" s="16" t="s">
        <v>2107</v>
      </c>
      <c r="D1407" s="26">
        <v>3500.0</v>
      </c>
      <c r="E1407" s="26"/>
      <c r="F1407" s="26"/>
    </row>
    <row r="1408">
      <c r="A1408" s="42" t="s">
        <v>2108</v>
      </c>
      <c r="B1408" s="149"/>
      <c r="C1408" s="16" t="s">
        <v>2109</v>
      </c>
      <c r="D1408" s="26">
        <v>1000.0</v>
      </c>
      <c r="E1408" s="26"/>
      <c r="F1408" s="26"/>
    </row>
    <row r="1409">
      <c r="A1409" s="59" t="s">
        <v>2110</v>
      </c>
      <c r="B1409" s="134" t="s">
        <v>2111</v>
      </c>
      <c r="C1409" s="16" t="s">
        <v>485</v>
      </c>
      <c r="D1409" s="31">
        <f t="shared" ref="D1409:D1410" si="53">45491*1.19</f>
        <v>54134.29</v>
      </c>
      <c r="E1409" s="31"/>
      <c r="F1409" s="31"/>
    </row>
    <row r="1410">
      <c r="A1410" s="59" t="s">
        <v>2113</v>
      </c>
      <c r="B1410" s="97" t="s">
        <v>2114</v>
      </c>
      <c r="C1410" s="16" t="s">
        <v>485</v>
      </c>
      <c r="D1410" s="31">
        <f t="shared" si="53"/>
        <v>54134.29</v>
      </c>
      <c r="E1410" s="31"/>
      <c r="F1410" s="31"/>
    </row>
    <row r="1411">
      <c r="A1411" s="253" t="s">
        <v>2115</v>
      </c>
      <c r="B1411" s="97" t="s">
        <v>2116</v>
      </c>
      <c r="C1411" s="16" t="s">
        <v>485</v>
      </c>
      <c r="D1411" s="31">
        <f>36739*1.19</f>
        <v>43719.41</v>
      </c>
      <c r="E1411" s="31"/>
      <c r="F1411" s="31"/>
    </row>
    <row r="1412">
      <c r="A1412" s="59" t="s">
        <v>2117</v>
      </c>
      <c r="B1412" s="134"/>
      <c r="C1412" s="16" t="s">
        <v>84</v>
      </c>
      <c r="D1412" s="26">
        <v>38800.0</v>
      </c>
      <c r="E1412" s="26"/>
      <c r="F1412" s="26"/>
    </row>
    <row r="1413">
      <c r="A1413" s="16" t="s">
        <v>2118</v>
      </c>
      <c r="B1413" s="51" t="s">
        <v>1285</v>
      </c>
      <c r="C1413" s="16" t="s">
        <v>2119</v>
      </c>
      <c r="D1413" s="26">
        <v>75000.0</v>
      </c>
      <c r="E1413" s="26"/>
      <c r="F1413" s="26"/>
    </row>
    <row r="1414">
      <c r="A1414" s="40" t="s">
        <v>2120</v>
      </c>
      <c r="B1414" s="51"/>
      <c r="C1414" s="16" t="s">
        <v>2121</v>
      </c>
      <c r="D1414" s="26">
        <v>15000.0</v>
      </c>
      <c r="E1414" s="26"/>
      <c r="F1414" s="26"/>
    </row>
    <row r="1415">
      <c r="A1415" s="16" t="s">
        <v>2122</v>
      </c>
      <c r="B1415" s="51"/>
      <c r="C1415" s="16" t="s">
        <v>2123</v>
      </c>
      <c r="D1415" s="26">
        <v>75000.0</v>
      </c>
      <c r="E1415" s="26"/>
      <c r="F1415" s="26"/>
    </row>
    <row r="1416">
      <c r="A1416" s="16" t="s">
        <v>2124</v>
      </c>
      <c r="B1416" s="51"/>
      <c r="C1416" s="20" t="s">
        <v>909</v>
      </c>
      <c r="D1416" s="26"/>
      <c r="E1416" s="26"/>
      <c r="F1416" s="26"/>
    </row>
    <row r="1417">
      <c r="A1417" s="16" t="s">
        <v>2126</v>
      </c>
      <c r="B1417" s="49"/>
      <c r="C1417" s="20" t="s">
        <v>909</v>
      </c>
      <c r="D1417" s="79"/>
      <c r="E1417" s="79"/>
      <c r="F1417" s="79"/>
    </row>
    <row r="1418">
      <c r="A1418" s="16" t="s">
        <v>2127</v>
      </c>
      <c r="B1418" s="42" t="s">
        <v>2128</v>
      </c>
      <c r="C1418" s="20" t="s">
        <v>3393</v>
      </c>
      <c r="D1418" s="26">
        <v>2000.0</v>
      </c>
      <c r="E1418" s="26"/>
      <c r="F1418" s="26"/>
    </row>
    <row r="1419">
      <c r="A1419" s="16" t="s">
        <v>2131</v>
      </c>
      <c r="B1419" s="42" t="s">
        <v>2132</v>
      </c>
      <c r="C1419" s="20" t="s">
        <v>3393</v>
      </c>
      <c r="D1419" s="26">
        <v>2000.0</v>
      </c>
      <c r="E1419" s="26"/>
      <c r="F1419" s="26"/>
    </row>
    <row r="1420">
      <c r="A1420" s="16" t="s">
        <v>2135</v>
      </c>
      <c r="B1420" s="42" t="s">
        <v>2136</v>
      </c>
      <c r="C1420" s="20" t="s">
        <v>3393</v>
      </c>
      <c r="D1420" s="26">
        <v>2500.0</v>
      </c>
      <c r="E1420" s="26"/>
      <c r="F1420" s="26"/>
    </row>
    <row r="1421">
      <c r="A1421" s="16" t="s">
        <v>2137</v>
      </c>
      <c r="B1421" s="42" t="s">
        <v>3394</v>
      </c>
      <c r="C1421" s="20" t="s">
        <v>2139</v>
      </c>
      <c r="D1421" s="26">
        <v>2300.0</v>
      </c>
      <c r="E1421" s="26"/>
      <c r="F1421" s="26"/>
    </row>
    <row r="1422">
      <c r="A1422" s="16" t="s">
        <v>2140</v>
      </c>
      <c r="B1422" s="42" t="s">
        <v>3395</v>
      </c>
      <c r="C1422" s="20" t="s">
        <v>2139</v>
      </c>
      <c r="D1422" s="26">
        <v>2300.0</v>
      </c>
      <c r="E1422" s="26"/>
      <c r="F1422" s="26"/>
    </row>
    <row r="1423">
      <c r="A1423" s="16" t="s">
        <v>2142</v>
      </c>
      <c r="B1423" s="42" t="s">
        <v>3396</v>
      </c>
      <c r="C1423" s="20" t="s">
        <v>2139</v>
      </c>
      <c r="D1423" s="26">
        <v>2500.0</v>
      </c>
      <c r="E1423" s="26"/>
      <c r="F1423" s="26"/>
    </row>
    <row r="1424">
      <c r="A1424" s="16" t="s">
        <v>2145</v>
      </c>
      <c r="B1424" s="42"/>
      <c r="C1424" s="20" t="s">
        <v>580</v>
      </c>
      <c r="D1424" s="79">
        <v>96206.0</v>
      </c>
      <c r="E1424" s="79"/>
      <c r="F1424" s="79"/>
    </row>
    <row r="1425">
      <c r="A1425" s="16" t="s">
        <v>2146</v>
      </c>
      <c r="B1425" s="49"/>
      <c r="C1425" s="16" t="s">
        <v>643</v>
      </c>
      <c r="D1425" s="26">
        <v>80000.0</v>
      </c>
      <c r="E1425" s="26"/>
      <c r="F1425" s="26"/>
    </row>
    <row r="1426">
      <c r="A1426" s="16" t="s">
        <v>2147</v>
      </c>
      <c r="B1426" s="49"/>
      <c r="C1426" s="16" t="s">
        <v>1907</v>
      </c>
      <c r="D1426" s="26">
        <v>120000.0</v>
      </c>
      <c r="E1426" s="26"/>
      <c r="F1426" s="26"/>
    </row>
    <row r="1427">
      <c r="A1427" s="16" t="s">
        <v>2148</v>
      </c>
      <c r="B1427" s="51" t="s">
        <v>2149</v>
      </c>
      <c r="C1427" s="16" t="s">
        <v>396</v>
      </c>
      <c r="D1427" s="26">
        <v>10710.0</v>
      </c>
      <c r="E1427" s="26"/>
      <c r="F1427" s="26"/>
    </row>
    <row r="1428">
      <c r="A1428" s="16" t="s">
        <v>2150</v>
      </c>
      <c r="B1428" s="51"/>
      <c r="C1428" s="20" t="s">
        <v>966</v>
      </c>
      <c r="D1428" s="26">
        <v>3000.0</v>
      </c>
      <c r="E1428" s="26"/>
      <c r="F1428" s="26"/>
    </row>
    <row r="1429">
      <c r="A1429" s="122" t="s">
        <v>2151</v>
      </c>
      <c r="B1429" s="51"/>
      <c r="C1429" s="16" t="s">
        <v>425</v>
      </c>
      <c r="D1429" s="521">
        <v>11000.0</v>
      </c>
      <c r="E1429" s="521"/>
      <c r="F1429" s="521"/>
    </row>
    <row r="1430">
      <c r="A1430" s="52" t="s">
        <v>3397</v>
      </c>
      <c r="B1430" s="51" t="s">
        <v>2153</v>
      </c>
      <c r="C1430" s="16" t="s">
        <v>2155</v>
      </c>
      <c r="D1430" s="26">
        <f>22100*1.19/10</f>
        <v>2629.9</v>
      </c>
      <c r="E1430" s="26"/>
      <c r="F1430" s="26"/>
    </row>
    <row r="1431">
      <c r="A1431" s="52" t="s">
        <v>2156</v>
      </c>
      <c r="B1431" s="51" t="s">
        <v>2157</v>
      </c>
      <c r="C1431" s="16" t="s">
        <v>2158</v>
      </c>
      <c r="D1431" s="26">
        <v>450.0</v>
      </c>
      <c r="E1431" s="26"/>
      <c r="F1431" s="26"/>
    </row>
    <row r="1432">
      <c r="A1432" s="16" t="s">
        <v>2159</v>
      </c>
      <c r="B1432" s="51"/>
      <c r="C1432" s="16" t="s">
        <v>88</v>
      </c>
      <c r="D1432" s="79">
        <v>15008.0</v>
      </c>
      <c r="E1432" s="79"/>
      <c r="F1432" s="79"/>
    </row>
    <row r="1433">
      <c r="A1433" s="16" t="s">
        <v>2160</v>
      </c>
      <c r="B1433" s="51"/>
      <c r="C1433" s="16" t="s">
        <v>26</v>
      </c>
      <c r="D1433" s="26">
        <v>4500.0</v>
      </c>
      <c r="E1433" s="26"/>
      <c r="F1433" s="26"/>
    </row>
    <row r="1434">
      <c r="A1434" s="59" t="s">
        <v>2161</v>
      </c>
      <c r="B1434" s="51"/>
      <c r="C1434" s="16" t="s">
        <v>2162</v>
      </c>
      <c r="D1434" s="26">
        <v>1341.0</v>
      </c>
      <c r="E1434" s="26"/>
      <c r="F1434" s="26"/>
    </row>
    <row r="1435">
      <c r="A1435" s="52" t="s">
        <v>2163</v>
      </c>
      <c r="B1435" s="51"/>
      <c r="C1435" s="16" t="s">
        <v>2164</v>
      </c>
      <c r="D1435" s="26">
        <v>2900.0</v>
      </c>
      <c r="E1435" s="26"/>
      <c r="F1435" s="26"/>
    </row>
    <row r="1436">
      <c r="A1436" s="122" t="s">
        <v>2165</v>
      </c>
      <c r="B1436" s="51">
        <v>241024.0</v>
      </c>
      <c r="C1436" s="16" t="s">
        <v>425</v>
      </c>
      <c r="D1436" s="26">
        <f>1643*1.19</f>
        <v>1955.17</v>
      </c>
      <c r="E1436" s="26"/>
      <c r="F1436" s="26"/>
    </row>
    <row r="1437">
      <c r="A1437" s="52" t="s">
        <v>2166</v>
      </c>
      <c r="B1437" s="51"/>
      <c r="C1437" s="16" t="s">
        <v>563</v>
      </c>
      <c r="D1437" s="26">
        <f>6300*1.19</f>
        <v>7497</v>
      </c>
      <c r="E1437" s="26"/>
      <c r="F1437" s="26"/>
    </row>
    <row r="1438">
      <c r="A1438" s="52" t="s">
        <v>2167</v>
      </c>
      <c r="B1438" s="51"/>
      <c r="C1438" s="16" t="s">
        <v>2168</v>
      </c>
      <c r="D1438" s="26">
        <v>7000.0</v>
      </c>
      <c r="E1438" s="26"/>
      <c r="F1438" s="26"/>
    </row>
    <row r="1439">
      <c r="A1439" s="59" t="s">
        <v>2169</v>
      </c>
      <c r="B1439" s="51" t="s">
        <v>680</v>
      </c>
      <c r="C1439" s="16" t="s">
        <v>2170</v>
      </c>
      <c r="D1439" s="26">
        <v>2200.0</v>
      </c>
      <c r="E1439" s="26"/>
      <c r="F1439" s="26"/>
    </row>
    <row r="1440">
      <c r="A1440" s="118" t="s">
        <v>2171</v>
      </c>
      <c r="B1440" s="51">
        <v>241023.0</v>
      </c>
      <c r="C1440" s="16" t="s">
        <v>425</v>
      </c>
      <c r="D1440" s="79">
        <f>1846*1.19</f>
        <v>2196.74</v>
      </c>
      <c r="E1440" s="79"/>
      <c r="F1440" s="79"/>
    </row>
    <row r="1441">
      <c r="A1441" s="59" t="s">
        <v>2172</v>
      </c>
      <c r="B1441" s="134"/>
      <c r="C1441" s="16" t="s">
        <v>485</v>
      </c>
      <c r="D1441" s="26">
        <v>20000.0</v>
      </c>
      <c r="E1441" s="26"/>
      <c r="F1441" s="26"/>
    </row>
    <row r="1442">
      <c r="A1442" s="59" t="s">
        <v>2173</v>
      </c>
      <c r="B1442" s="134"/>
      <c r="C1442" s="16" t="s">
        <v>16</v>
      </c>
      <c r="D1442" s="26">
        <f>180000/100</f>
        <v>1800</v>
      </c>
      <c r="E1442" s="26"/>
      <c r="F1442" s="26"/>
    </row>
    <row r="1443">
      <c r="A1443" s="59" t="s">
        <v>2174</v>
      </c>
      <c r="B1443" s="134"/>
      <c r="C1443" s="16" t="s">
        <v>93</v>
      </c>
      <c r="D1443" s="26">
        <v>27970.0</v>
      </c>
      <c r="E1443" s="26"/>
      <c r="F1443" s="26"/>
    </row>
    <row r="1444">
      <c r="A1444" s="59" t="s">
        <v>2175</v>
      </c>
      <c r="B1444" s="134"/>
      <c r="C1444" s="16"/>
      <c r="D1444" s="26"/>
      <c r="E1444" s="26"/>
      <c r="F1444" s="26"/>
    </row>
    <row r="1445">
      <c r="A1445" s="59" t="s">
        <v>2176</v>
      </c>
      <c r="B1445" s="134"/>
      <c r="C1445" s="16" t="s">
        <v>93</v>
      </c>
      <c r="D1445" s="26">
        <v>16160.0</v>
      </c>
      <c r="E1445" s="26"/>
      <c r="F1445" s="26"/>
    </row>
    <row r="1446">
      <c r="A1446" s="59" t="s">
        <v>2177</v>
      </c>
      <c r="B1446" s="134"/>
      <c r="C1446" s="16" t="s">
        <v>16</v>
      </c>
      <c r="D1446" s="26">
        <f t="shared" ref="D1446:D1448" si="54">180000/100</f>
        <v>1800</v>
      </c>
      <c r="E1446" s="26"/>
      <c r="F1446" s="26"/>
    </row>
    <row r="1447">
      <c r="A1447" s="59" t="s">
        <v>2178</v>
      </c>
      <c r="B1447" s="134"/>
      <c r="C1447" s="16" t="s">
        <v>16</v>
      </c>
      <c r="D1447" s="26">
        <f t="shared" si="54"/>
        <v>1800</v>
      </c>
      <c r="E1447" s="26"/>
      <c r="F1447" s="26"/>
    </row>
    <row r="1448">
      <c r="A1448" s="59" t="s">
        <v>2179</v>
      </c>
      <c r="B1448" s="134"/>
      <c r="C1448" s="16" t="s">
        <v>16</v>
      </c>
      <c r="D1448" s="26">
        <f t="shared" si="54"/>
        <v>1800</v>
      </c>
      <c r="E1448" s="26"/>
      <c r="F1448" s="26"/>
    </row>
    <row r="1449">
      <c r="A1449" s="16" t="s">
        <v>2180</v>
      </c>
      <c r="B1449" s="49"/>
      <c r="C1449" s="16" t="s">
        <v>73</v>
      </c>
      <c r="D1449" s="26">
        <f>(255000/10)</f>
        <v>25500</v>
      </c>
      <c r="E1449" s="26"/>
      <c r="F1449" s="26"/>
    </row>
    <row r="1450">
      <c r="A1450" s="16" t="s">
        <v>2181</v>
      </c>
      <c r="B1450" s="49"/>
      <c r="C1450" s="16" t="s">
        <v>73</v>
      </c>
      <c r="D1450" s="26">
        <f>(270000/15)*1.19</f>
        <v>21420</v>
      </c>
      <c r="E1450" s="26"/>
      <c r="F1450" s="26"/>
    </row>
    <row r="1451">
      <c r="A1451" s="256" t="s">
        <v>2183</v>
      </c>
      <c r="B1451" s="134"/>
      <c r="C1451" s="16" t="s">
        <v>2184</v>
      </c>
      <c r="D1451" s="26">
        <v>48000.0</v>
      </c>
      <c r="E1451" s="26"/>
      <c r="F1451" s="26"/>
    </row>
    <row r="1452">
      <c r="A1452" s="256" t="s">
        <v>2185</v>
      </c>
      <c r="B1452" s="134"/>
      <c r="C1452" s="16" t="s">
        <v>2184</v>
      </c>
      <c r="D1452" s="26">
        <v>94500.0</v>
      </c>
      <c r="E1452" s="26"/>
      <c r="F1452" s="26"/>
    </row>
    <row r="1453">
      <c r="A1453" s="16" t="s">
        <v>2186</v>
      </c>
      <c r="B1453" s="49" t="s">
        <v>2187</v>
      </c>
      <c r="C1453" s="16" t="s">
        <v>70</v>
      </c>
      <c r="D1453" s="26">
        <f t="shared" ref="D1453:D1454" si="55">90000*0.8</f>
        <v>72000</v>
      </c>
      <c r="E1453" s="26"/>
      <c r="F1453" s="26"/>
    </row>
    <row r="1454">
      <c r="A1454" s="16" t="s">
        <v>2188</v>
      </c>
      <c r="B1454" s="49" t="s">
        <v>2187</v>
      </c>
      <c r="C1454" s="16" t="s">
        <v>70</v>
      </c>
      <c r="D1454" s="26">
        <f t="shared" si="55"/>
        <v>72000</v>
      </c>
      <c r="E1454" s="26"/>
      <c r="F1454" s="26"/>
    </row>
    <row r="1455">
      <c r="A1455" s="16" t="s">
        <v>2190</v>
      </c>
      <c r="B1455" s="49" t="s">
        <v>2187</v>
      </c>
      <c r="C1455" s="16" t="s">
        <v>70</v>
      </c>
      <c r="D1455" s="26">
        <v>72000.0</v>
      </c>
      <c r="E1455" s="26"/>
      <c r="F1455" s="26"/>
    </row>
    <row r="1456">
      <c r="A1456" s="16" t="s">
        <v>2191</v>
      </c>
      <c r="B1456" s="49" t="s">
        <v>2192</v>
      </c>
      <c r="C1456" s="16" t="s">
        <v>70</v>
      </c>
      <c r="D1456" s="26">
        <f>229500*0.8</f>
        <v>183600</v>
      </c>
      <c r="E1456" s="26"/>
      <c r="F1456" s="26"/>
    </row>
    <row r="1457">
      <c r="A1457" s="52" t="s">
        <v>3398</v>
      </c>
      <c r="B1457" s="51"/>
      <c r="C1457" s="16" t="s">
        <v>563</v>
      </c>
      <c r="D1457" s="26">
        <v>4000.0</v>
      </c>
      <c r="E1457" s="26"/>
      <c r="F1457" s="26"/>
    </row>
    <row r="1458">
      <c r="A1458" s="52" t="s">
        <v>3399</v>
      </c>
      <c r="B1458" s="51"/>
      <c r="C1458" s="16" t="s">
        <v>563</v>
      </c>
      <c r="D1458" s="79">
        <f>(33000*1.19)/10</f>
        <v>3927</v>
      </c>
      <c r="E1458" s="79"/>
      <c r="F1458" s="79"/>
    </row>
    <row r="1459">
      <c r="A1459" s="16" t="s">
        <v>2195</v>
      </c>
      <c r="B1459" s="51" t="s">
        <v>2196</v>
      </c>
      <c r="C1459" s="16" t="s">
        <v>1661</v>
      </c>
      <c r="D1459" s="26">
        <v>115000.0</v>
      </c>
      <c r="E1459" s="26"/>
      <c r="F1459" s="26"/>
    </row>
    <row r="1460">
      <c r="A1460" s="59" t="s">
        <v>2197</v>
      </c>
      <c r="B1460" s="51"/>
      <c r="C1460" s="16" t="s">
        <v>2162</v>
      </c>
      <c r="D1460" s="26">
        <v>141.0</v>
      </c>
      <c r="E1460" s="26"/>
      <c r="F1460" s="26"/>
    </row>
    <row r="1461">
      <c r="A1461" s="40" t="s">
        <v>2198</v>
      </c>
      <c r="B1461" s="51"/>
      <c r="C1461" s="16" t="s">
        <v>2199</v>
      </c>
      <c r="D1461" s="26">
        <v>12000.0</v>
      </c>
      <c r="E1461" s="26"/>
      <c r="F1461" s="26"/>
    </row>
    <row r="1462">
      <c r="A1462" s="16" t="s">
        <v>2200</v>
      </c>
      <c r="B1462" s="51"/>
      <c r="C1462" s="16" t="s">
        <v>400</v>
      </c>
      <c r="D1462" s="26"/>
      <c r="E1462" s="26"/>
      <c r="F1462" s="26"/>
    </row>
    <row r="1463">
      <c r="A1463" s="122" t="s">
        <v>2201</v>
      </c>
      <c r="B1463" s="156"/>
      <c r="C1463" s="16" t="s">
        <v>580</v>
      </c>
      <c r="D1463" s="26">
        <f>55000/2</f>
        <v>27500</v>
      </c>
      <c r="E1463" s="26"/>
      <c r="F1463" s="26"/>
    </row>
    <row r="1464">
      <c r="A1464" s="122" t="s">
        <v>2202</v>
      </c>
      <c r="B1464" s="156"/>
      <c r="C1464" s="16" t="s">
        <v>580</v>
      </c>
      <c r="D1464" s="26">
        <v>55000.0</v>
      </c>
      <c r="E1464" s="26"/>
      <c r="F1464" s="26"/>
    </row>
    <row r="1465">
      <c r="A1465" s="122" t="s">
        <v>3400</v>
      </c>
      <c r="B1465" s="51">
        <v>240033.0</v>
      </c>
      <c r="C1465" s="16" t="s">
        <v>2204</v>
      </c>
      <c r="D1465" s="79">
        <f t="shared" ref="D1465:D1467" si="56">3029*1.19</f>
        <v>3604.51</v>
      </c>
      <c r="E1465" s="79"/>
      <c r="F1465" s="79"/>
    </row>
    <row r="1466">
      <c r="A1466" s="122" t="s">
        <v>2205</v>
      </c>
      <c r="B1466" s="51">
        <v>240031.0</v>
      </c>
      <c r="C1466" s="16" t="s">
        <v>2204</v>
      </c>
      <c r="D1466" s="79">
        <f t="shared" si="56"/>
        <v>3604.51</v>
      </c>
      <c r="E1466" s="79"/>
      <c r="F1466" s="79"/>
    </row>
    <row r="1467">
      <c r="A1467" s="122" t="s">
        <v>2206</v>
      </c>
      <c r="B1467" s="51">
        <v>240032.0</v>
      </c>
      <c r="C1467" s="16" t="s">
        <v>2204</v>
      </c>
      <c r="D1467" s="79">
        <f t="shared" si="56"/>
        <v>3604.51</v>
      </c>
      <c r="E1467" s="79"/>
      <c r="F1467" s="79"/>
    </row>
    <row r="1468">
      <c r="A1468" s="122" t="s">
        <v>2207</v>
      </c>
      <c r="B1468" s="258">
        <f>120137</f>
        <v>120137</v>
      </c>
      <c r="C1468" s="16" t="s">
        <v>1205</v>
      </c>
      <c r="D1468" s="26">
        <f>108000*1.19</f>
        <v>128520</v>
      </c>
      <c r="E1468" s="26"/>
      <c r="F1468" s="26"/>
    </row>
    <row r="1469">
      <c r="A1469" s="122" t="s">
        <v>2209</v>
      </c>
      <c r="B1469" s="51">
        <v>240037.0</v>
      </c>
      <c r="C1469" s="16" t="s">
        <v>659</v>
      </c>
      <c r="D1469" s="273">
        <f t="shared" ref="D1469:D1472" si="57">3029*1.19</f>
        <v>3604.51</v>
      </c>
      <c r="E1469" s="273"/>
      <c r="F1469" s="273"/>
    </row>
    <row r="1470">
      <c r="A1470" s="122" t="s">
        <v>2210</v>
      </c>
      <c r="B1470" s="51">
        <v>240040.0</v>
      </c>
      <c r="C1470" s="16" t="s">
        <v>659</v>
      </c>
      <c r="D1470" s="273">
        <f t="shared" si="57"/>
        <v>3604.51</v>
      </c>
      <c r="E1470" s="273"/>
      <c r="F1470" s="273"/>
    </row>
    <row r="1471">
      <c r="A1471" s="122" t="s">
        <v>2211</v>
      </c>
      <c r="B1471" s="51">
        <v>240038.0</v>
      </c>
      <c r="C1471" s="16" t="s">
        <v>659</v>
      </c>
      <c r="D1471" s="273">
        <f t="shared" si="57"/>
        <v>3604.51</v>
      </c>
      <c r="E1471" s="273"/>
      <c r="F1471" s="273"/>
    </row>
    <row r="1472">
      <c r="A1472" s="122" t="s">
        <v>2212</v>
      </c>
      <c r="B1472" s="51">
        <v>240039.0</v>
      </c>
      <c r="C1472" s="16" t="s">
        <v>659</v>
      </c>
      <c r="D1472" s="273">
        <f t="shared" si="57"/>
        <v>3604.51</v>
      </c>
      <c r="E1472" s="273"/>
      <c r="F1472" s="273"/>
    </row>
    <row r="1473">
      <c r="A1473" s="122" t="s">
        <v>2213</v>
      </c>
      <c r="B1473" s="51">
        <v>240030.0</v>
      </c>
      <c r="C1473" s="16" t="s">
        <v>659</v>
      </c>
      <c r="D1473" s="79">
        <f t="shared" ref="D1473:D1478" si="58">5251*1.19</f>
        <v>6248.69</v>
      </c>
      <c r="E1473" s="79"/>
      <c r="F1473" s="79"/>
    </row>
    <row r="1474">
      <c r="A1474" s="122" t="s">
        <v>2214</v>
      </c>
      <c r="B1474" s="51">
        <v>240028.0</v>
      </c>
      <c r="C1474" s="16" t="s">
        <v>659</v>
      </c>
      <c r="D1474" s="79">
        <f t="shared" si="58"/>
        <v>6248.69</v>
      </c>
      <c r="E1474" s="79"/>
      <c r="F1474" s="79"/>
    </row>
    <row r="1475">
      <c r="A1475" s="122" t="s">
        <v>2215</v>
      </c>
      <c r="B1475" s="51">
        <v>240029.0</v>
      </c>
      <c r="C1475" s="16" t="s">
        <v>659</v>
      </c>
      <c r="D1475" s="79">
        <f t="shared" si="58"/>
        <v>6248.69</v>
      </c>
      <c r="E1475" s="79"/>
      <c r="F1475" s="79"/>
    </row>
    <row r="1476">
      <c r="A1476" s="122" t="s">
        <v>2216</v>
      </c>
      <c r="B1476" s="51">
        <v>240025.0</v>
      </c>
      <c r="C1476" s="16" t="s">
        <v>659</v>
      </c>
      <c r="D1476" s="79">
        <f t="shared" si="58"/>
        <v>6248.69</v>
      </c>
      <c r="E1476" s="79"/>
      <c r="F1476" s="79"/>
    </row>
    <row r="1477">
      <c r="A1477" s="122" t="s">
        <v>2217</v>
      </c>
      <c r="B1477" s="51">
        <v>240027.0</v>
      </c>
      <c r="C1477" s="16" t="s">
        <v>659</v>
      </c>
      <c r="D1477" s="79">
        <f t="shared" si="58"/>
        <v>6248.69</v>
      </c>
      <c r="E1477" s="79"/>
      <c r="F1477" s="79"/>
    </row>
    <row r="1478">
      <c r="A1478" s="122" t="s">
        <v>2218</v>
      </c>
      <c r="B1478" s="51">
        <v>240026.0</v>
      </c>
      <c r="C1478" s="16" t="s">
        <v>659</v>
      </c>
      <c r="D1478" s="79">
        <f t="shared" si="58"/>
        <v>6248.69</v>
      </c>
      <c r="E1478" s="79"/>
      <c r="F1478" s="79"/>
    </row>
    <row r="1479">
      <c r="A1479" s="16" t="s">
        <v>2219</v>
      </c>
      <c r="B1479" s="49"/>
      <c r="C1479" s="16" t="s">
        <v>932</v>
      </c>
      <c r="D1479" s="26">
        <f t="shared" ref="D1479:D1480" si="59">2269*1.19</f>
        <v>2700.11</v>
      </c>
      <c r="E1479" s="26"/>
      <c r="F1479" s="26"/>
    </row>
    <row r="1480">
      <c r="A1480" s="16" t="s">
        <v>2220</v>
      </c>
      <c r="B1480" s="49"/>
      <c r="C1480" s="16" t="s">
        <v>932</v>
      </c>
      <c r="D1480" s="26">
        <f t="shared" si="59"/>
        <v>2700.11</v>
      </c>
      <c r="E1480" s="26"/>
      <c r="F1480" s="26"/>
    </row>
    <row r="1481">
      <c r="A1481" s="122" t="s">
        <v>2221</v>
      </c>
      <c r="B1481" s="51">
        <v>241060.0</v>
      </c>
      <c r="C1481" s="16" t="s">
        <v>659</v>
      </c>
      <c r="D1481" s="79">
        <f t="shared" ref="D1481:D1483" si="60">3786*1.19</f>
        <v>4505.34</v>
      </c>
      <c r="E1481" s="79"/>
      <c r="F1481" s="79"/>
    </row>
    <row r="1482">
      <c r="A1482" s="122" t="s">
        <v>2222</v>
      </c>
      <c r="B1482" s="51">
        <v>241058.0</v>
      </c>
      <c r="C1482" s="16" t="s">
        <v>659</v>
      </c>
      <c r="D1482" s="79">
        <f t="shared" si="60"/>
        <v>4505.34</v>
      </c>
      <c r="E1482" s="79"/>
      <c r="F1482" s="79"/>
    </row>
    <row r="1483">
      <c r="A1483" s="122" t="s">
        <v>2223</v>
      </c>
      <c r="B1483" s="51">
        <v>241059.0</v>
      </c>
      <c r="C1483" s="16" t="s">
        <v>659</v>
      </c>
      <c r="D1483" s="79">
        <f t="shared" si="60"/>
        <v>4505.34</v>
      </c>
      <c r="E1483" s="79"/>
      <c r="F1483" s="79"/>
    </row>
    <row r="1484">
      <c r="A1484" s="40" t="s">
        <v>2224</v>
      </c>
      <c r="B1484" s="51"/>
      <c r="C1484" s="16" t="s">
        <v>57</v>
      </c>
      <c r="D1484" s="26">
        <v>80000.0</v>
      </c>
      <c r="E1484" s="26"/>
      <c r="F1484" s="26"/>
    </row>
    <row r="1485">
      <c r="A1485" s="16" t="s">
        <v>2225</v>
      </c>
      <c r="B1485" s="49"/>
      <c r="C1485" s="20" t="s">
        <v>98</v>
      </c>
      <c r="D1485" s="26">
        <v>6600.0</v>
      </c>
      <c r="E1485" s="26"/>
      <c r="F1485" s="26"/>
    </row>
    <row r="1486">
      <c r="A1486" s="16" t="s">
        <v>2226</v>
      </c>
      <c r="B1486" s="49"/>
      <c r="C1486" s="20" t="s">
        <v>98</v>
      </c>
      <c r="D1486" s="26">
        <v>6600.0</v>
      </c>
      <c r="E1486" s="26"/>
      <c r="F1486" s="26"/>
    </row>
    <row r="1487">
      <c r="A1487" s="16" t="s">
        <v>2227</v>
      </c>
      <c r="B1487" s="49"/>
      <c r="C1487" s="20" t="s">
        <v>98</v>
      </c>
      <c r="D1487" s="26">
        <v>6600.0</v>
      </c>
      <c r="E1487" s="26"/>
      <c r="F1487" s="26"/>
    </row>
    <row r="1488">
      <c r="A1488" s="40" t="s">
        <v>2228</v>
      </c>
      <c r="B1488" s="51"/>
      <c r="C1488" s="16" t="s">
        <v>57</v>
      </c>
      <c r="D1488" s="26">
        <v>250.0</v>
      </c>
      <c r="E1488" s="26"/>
      <c r="F1488" s="26"/>
    </row>
    <row r="1489">
      <c r="A1489" s="52" t="s">
        <v>2229</v>
      </c>
      <c r="B1489" s="51"/>
      <c r="C1489" s="16" t="s">
        <v>2230</v>
      </c>
      <c r="D1489" s="26">
        <f>60518/200</f>
        <v>302.59</v>
      </c>
      <c r="E1489" s="26"/>
      <c r="F1489" s="26"/>
    </row>
    <row r="1490">
      <c r="A1490" s="52" t="s">
        <v>2231</v>
      </c>
      <c r="B1490" s="51" t="s">
        <v>2232</v>
      </c>
      <c r="C1490" s="16" t="s">
        <v>2230</v>
      </c>
      <c r="D1490" s="26">
        <v>60518.0</v>
      </c>
      <c r="E1490" s="26"/>
      <c r="F1490" s="26"/>
    </row>
    <row r="1491">
      <c r="A1491" s="52" t="s">
        <v>2233</v>
      </c>
      <c r="B1491" s="51" t="s">
        <v>2234</v>
      </c>
      <c r="C1491" s="16" t="s">
        <v>2235</v>
      </c>
      <c r="D1491" s="26">
        <v>4760.0</v>
      </c>
      <c r="E1491" s="26"/>
      <c r="F1491" s="26"/>
    </row>
    <row r="1492">
      <c r="A1492" s="16" t="s">
        <v>2236</v>
      </c>
      <c r="B1492" s="51"/>
      <c r="C1492" s="16" t="s">
        <v>1435</v>
      </c>
      <c r="D1492" s="520">
        <f>27000/15</f>
        <v>1800</v>
      </c>
      <c r="E1492" s="520"/>
      <c r="F1492" s="520"/>
    </row>
    <row r="1493">
      <c r="A1493" s="16" t="s">
        <v>2237</v>
      </c>
      <c r="B1493" s="51"/>
      <c r="C1493" s="16" t="s">
        <v>2238</v>
      </c>
      <c r="D1493" s="79">
        <v>960.0</v>
      </c>
      <c r="E1493" s="79"/>
      <c r="F1493" s="79"/>
    </row>
    <row r="1494">
      <c r="A1494" s="16" t="s">
        <v>2239</v>
      </c>
      <c r="B1494" s="51"/>
      <c r="C1494" s="16" t="s">
        <v>1435</v>
      </c>
      <c r="D1494" s="26">
        <f>48807/50</f>
        <v>976.14</v>
      </c>
      <c r="E1494" s="26"/>
      <c r="F1494" s="26"/>
    </row>
    <row r="1495">
      <c r="A1495" s="16" t="s">
        <v>2240</v>
      </c>
      <c r="B1495" s="51"/>
      <c r="C1495" s="16"/>
      <c r="D1495" s="520"/>
      <c r="E1495" s="520"/>
      <c r="F1495" s="520"/>
    </row>
    <row r="1496">
      <c r="A1496" s="16" t="s">
        <v>2241</v>
      </c>
      <c r="B1496" s="51"/>
      <c r="C1496" s="16" t="s">
        <v>1435</v>
      </c>
      <c r="D1496" s="520">
        <f>15000/8</f>
        <v>1875</v>
      </c>
      <c r="E1496" s="520"/>
      <c r="F1496" s="520"/>
    </row>
    <row r="1497">
      <c r="A1497" s="16" t="s">
        <v>3401</v>
      </c>
      <c r="B1497" s="51"/>
      <c r="C1497" s="16" t="s">
        <v>1435</v>
      </c>
      <c r="D1497" s="26">
        <v>800.0</v>
      </c>
      <c r="E1497" s="26"/>
      <c r="F1497" s="26"/>
    </row>
    <row r="1498">
      <c r="A1498" s="16" t="s">
        <v>2244</v>
      </c>
      <c r="B1498" s="51"/>
      <c r="C1498" s="16" t="s">
        <v>1435</v>
      </c>
      <c r="D1498" s="520">
        <f>58080/50</f>
        <v>1161.6</v>
      </c>
      <c r="E1498" s="520"/>
      <c r="F1498" s="520"/>
    </row>
    <row r="1499">
      <c r="A1499" s="16" t="s">
        <v>2245</v>
      </c>
      <c r="B1499" s="49" t="s">
        <v>2246</v>
      </c>
      <c r="C1499" s="16" t="s">
        <v>2247</v>
      </c>
      <c r="D1499" s="79">
        <v>14900.0</v>
      </c>
      <c r="E1499" s="79"/>
      <c r="F1499" s="79"/>
    </row>
    <row r="1500">
      <c r="A1500" s="16" t="s">
        <v>2248</v>
      </c>
      <c r="B1500" s="49" t="s">
        <v>2246</v>
      </c>
      <c r="C1500" s="16" t="s">
        <v>2247</v>
      </c>
      <c r="D1500" s="79">
        <v>14530.0</v>
      </c>
      <c r="E1500" s="79"/>
      <c r="F1500" s="79"/>
    </row>
    <row r="1501">
      <c r="A1501" s="16" t="s">
        <v>2249</v>
      </c>
      <c r="B1501" s="49"/>
      <c r="C1501" s="16" t="s">
        <v>93</v>
      </c>
      <c r="D1501" s="26">
        <f>50000/24</f>
        <v>2083.333333</v>
      </c>
      <c r="E1501" s="26"/>
      <c r="F1501" s="26"/>
    </row>
    <row r="1502">
      <c r="A1502" s="187" t="s">
        <v>2250</v>
      </c>
      <c r="B1502" s="51"/>
      <c r="C1502" s="16" t="s">
        <v>154</v>
      </c>
      <c r="D1502" s="26">
        <v>3000.0</v>
      </c>
      <c r="E1502" s="26"/>
      <c r="F1502" s="26"/>
    </row>
    <row r="1503">
      <c r="A1503" s="187" t="s">
        <v>2251</v>
      </c>
      <c r="B1503" s="49"/>
      <c r="C1503" s="16" t="s">
        <v>154</v>
      </c>
      <c r="D1503" s="79">
        <v>47600.0</v>
      </c>
      <c r="E1503" s="79"/>
      <c r="F1503" s="79"/>
    </row>
    <row r="1504">
      <c r="A1504" s="16" t="s">
        <v>2252</v>
      </c>
      <c r="B1504" s="51"/>
      <c r="C1504" s="16" t="s">
        <v>792</v>
      </c>
      <c r="D1504" s="26">
        <v>90000.0</v>
      </c>
      <c r="E1504" s="26"/>
      <c r="F1504" s="26"/>
    </row>
    <row r="1505">
      <c r="A1505" s="16" t="s">
        <v>2253</v>
      </c>
      <c r="B1505" s="51"/>
      <c r="C1505" s="16" t="s">
        <v>792</v>
      </c>
      <c r="D1505" s="26">
        <f>90000/5</f>
        <v>18000</v>
      </c>
      <c r="E1505" s="26"/>
      <c r="F1505" s="26"/>
    </row>
    <row r="1506">
      <c r="A1506" s="42" t="s">
        <v>2254</v>
      </c>
      <c r="B1506" s="149"/>
      <c r="C1506" s="20" t="s">
        <v>2255</v>
      </c>
      <c r="D1506" s="26">
        <v>36000.0</v>
      </c>
      <c r="E1506" s="26"/>
      <c r="F1506" s="26"/>
    </row>
    <row r="1507">
      <c r="A1507" s="16" t="s">
        <v>2256</v>
      </c>
      <c r="B1507" s="51"/>
      <c r="C1507" s="16" t="s">
        <v>16</v>
      </c>
      <c r="D1507" s="26">
        <v>140000.0</v>
      </c>
      <c r="E1507" s="26"/>
      <c r="F1507" s="26"/>
    </row>
    <row r="1508">
      <c r="A1508" s="16" t="s">
        <v>2257</v>
      </c>
      <c r="B1508" s="51"/>
      <c r="C1508" s="16" t="s">
        <v>400</v>
      </c>
      <c r="D1508" s="518">
        <v>170210.0</v>
      </c>
      <c r="E1508" s="518"/>
      <c r="F1508" s="518"/>
    </row>
    <row r="1509">
      <c r="A1509" s="16" t="s">
        <v>2258</v>
      </c>
      <c r="B1509" s="51"/>
      <c r="C1509" s="16" t="s">
        <v>2259</v>
      </c>
      <c r="D1509" s="26">
        <f>157857*1.19</f>
        <v>187849.83</v>
      </c>
      <c r="E1509" s="26"/>
      <c r="F1509" s="26"/>
    </row>
    <row r="1510">
      <c r="A1510" s="16" t="s">
        <v>2260</v>
      </c>
      <c r="B1510" s="51"/>
      <c r="C1510" s="16" t="s">
        <v>16</v>
      </c>
      <c r="D1510" s="26">
        <v>122670.0</v>
      </c>
      <c r="E1510" s="26"/>
      <c r="F1510" s="26"/>
    </row>
    <row r="1511">
      <c r="A1511" s="40" t="s">
        <v>2261</v>
      </c>
      <c r="B1511" s="51"/>
      <c r="C1511" s="16" t="s">
        <v>57</v>
      </c>
      <c r="D1511" s="26">
        <v>800.0</v>
      </c>
      <c r="E1511" s="26"/>
      <c r="F1511" s="26"/>
    </row>
    <row r="1512">
      <c r="A1512" s="59" t="s">
        <v>2262</v>
      </c>
      <c r="B1512" s="97"/>
      <c r="C1512" s="16" t="s">
        <v>670</v>
      </c>
      <c r="D1512" s="26">
        <f>43000*1.19</f>
        <v>51170</v>
      </c>
      <c r="E1512" s="26"/>
      <c r="F1512" s="26"/>
    </row>
    <row r="1513">
      <c r="A1513" s="59" t="s">
        <v>2262</v>
      </c>
      <c r="B1513" s="97" t="s">
        <v>2263</v>
      </c>
      <c r="C1513" s="16" t="s">
        <v>2264</v>
      </c>
      <c r="D1513" s="26">
        <v>41650.0</v>
      </c>
      <c r="E1513" s="26"/>
      <c r="F1513" s="26"/>
    </row>
    <row r="1514">
      <c r="A1514" s="59" t="s">
        <v>2265</v>
      </c>
      <c r="B1514" s="97"/>
      <c r="C1514" s="16" t="s">
        <v>671</v>
      </c>
      <c r="D1514" s="26">
        <f>41650/72</f>
        <v>578.4722222</v>
      </c>
      <c r="E1514" s="26"/>
      <c r="F1514" s="26"/>
    </row>
    <row r="1515">
      <c r="A1515" s="16" t="s">
        <v>2266</v>
      </c>
      <c r="B1515" s="51"/>
      <c r="C1515" s="16" t="s">
        <v>767</v>
      </c>
      <c r="D1515" s="26">
        <v>4690000.0</v>
      </c>
      <c r="E1515" s="26"/>
      <c r="F1515" s="26"/>
    </row>
    <row r="1516">
      <c r="A1516" s="16" t="s">
        <v>2267</v>
      </c>
      <c r="B1516" s="51"/>
      <c r="C1516" s="16" t="s">
        <v>767</v>
      </c>
      <c r="D1516" s="26">
        <v>3960000.0</v>
      </c>
      <c r="E1516" s="26"/>
      <c r="F1516" s="26"/>
    </row>
    <row r="1517">
      <c r="A1517" s="16" t="s">
        <v>2268</v>
      </c>
      <c r="B1517" s="49"/>
      <c r="C1517" s="16" t="s">
        <v>2269</v>
      </c>
      <c r="D1517" s="26">
        <v>34270.0</v>
      </c>
      <c r="E1517" s="26"/>
      <c r="F1517" s="26"/>
    </row>
    <row r="1518">
      <c r="A1518" s="16" t="s">
        <v>2270</v>
      </c>
      <c r="B1518" s="49"/>
      <c r="C1518" s="16" t="s">
        <v>575</v>
      </c>
      <c r="D1518" s="26">
        <v>3400.0</v>
      </c>
      <c r="E1518" s="26"/>
      <c r="F1518" s="26"/>
    </row>
    <row r="1519">
      <c r="A1519" s="16" t="s">
        <v>2271</v>
      </c>
      <c r="B1519" s="49"/>
      <c r="C1519" s="16" t="s">
        <v>590</v>
      </c>
      <c r="D1519" s="79">
        <v>3995.0</v>
      </c>
      <c r="E1519" s="79"/>
      <c r="F1519" s="79"/>
    </row>
    <row r="1520">
      <c r="A1520" s="16" t="s">
        <v>2272</v>
      </c>
      <c r="B1520" s="49"/>
      <c r="C1520" s="16" t="s">
        <v>1626</v>
      </c>
      <c r="D1520" s="520">
        <v>87120.0</v>
      </c>
      <c r="E1520" s="520"/>
      <c r="F1520" s="520"/>
    </row>
    <row r="1521">
      <c r="A1521" s="16" t="s">
        <v>2275</v>
      </c>
      <c r="B1521" s="49"/>
      <c r="C1521" s="16" t="s">
        <v>1626</v>
      </c>
      <c r="D1521" s="520">
        <v>87120.0</v>
      </c>
      <c r="E1521" s="520"/>
      <c r="F1521" s="520"/>
    </row>
    <row r="1522">
      <c r="A1522" s="16" t="s">
        <v>2277</v>
      </c>
      <c r="B1522" s="49"/>
      <c r="C1522" s="16" t="s">
        <v>93</v>
      </c>
      <c r="D1522" s="26">
        <v>96500.0</v>
      </c>
      <c r="E1522" s="26"/>
      <c r="F1522" s="26"/>
    </row>
    <row r="1523">
      <c r="A1523" s="16" t="s">
        <v>2278</v>
      </c>
      <c r="B1523" s="49"/>
      <c r="C1523" s="16" t="s">
        <v>1210</v>
      </c>
      <c r="D1523" s="26">
        <f>164800/2</f>
        <v>82400</v>
      </c>
      <c r="E1523" s="26"/>
      <c r="F1523" s="26"/>
    </row>
    <row r="1524">
      <c r="A1524" s="16" t="s">
        <v>2280</v>
      </c>
      <c r="B1524" s="49"/>
      <c r="C1524" s="16" t="s">
        <v>93</v>
      </c>
      <c r="D1524" s="26">
        <v>92600.0</v>
      </c>
      <c r="E1524" s="26"/>
      <c r="F1524" s="26"/>
    </row>
    <row r="1525">
      <c r="A1525" s="16" t="s">
        <v>2281</v>
      </c>
      <c r="B1525" s="49"/>
      <c r="C1525" s="16" t="s">
        <v>1626</v>
      </c>
      <c r="D1525" s="520">
        <v>87120.0</v>
      </c>
      <c r="E1525" s="520"/>
      <c r="F1525" s="520"/>
    </row>
    <row r="1526">
      <c r="A1526" s="16" t="s">
        <v>2283</v>
      </c>
      <c r="B1526" s="49" t="s">
        <v>2284</v>
      </c>
      <c r="C1526" s="20" t="s">
        <v>48</v>
      </c>
      <c r="D1526" s="26">
        <v>114500.0</v>
      </c>
      <c r="E1526" s="26"/>
      <c r="F1526" s="26"/>
    </row>
    <row r="1527">
      <c r="A1527" s="16" t="s">
        <v>2285</v>
      </c>
      <c r="B1527" s="51" t="s">
        <v>2286</v>
      </c>
      <c r="C1527" s="16" t="s">
        <v>513</v>
      </c>
      <c r="D1527" s="26">
        <f>6664/12</f>
        <v>555.3333333</v>
      </c>
      <c r="E1527" s="26"/>
      <c r="F1527" s="26"/>
    </row>
    <row r="1528">
      <c r="A1528" s="16" t="s">
        <v>2287</v>
      </c>
      <c r="B1528" s="222" t="s">
        <v>2288</v>
      </c>
      <c r="C1528" s="134" t="s">
        <v>2289</v>
      </c>
      <c r="D1528" s="26">
        <v>415000.0</v>
      </c>
      <c r="E1528" s="26"/>
      <c r="F1528" s="26"/>
    </row>
    <row r="1529">
      <c r="A1529" s="16" t="s">
        <v>2290</v>
      </c>
      <c r="B1529" s="51"/>
      <c r="C1529" s="16" t="s">
        <v>2291</v>
      </c>
      <c r="D1529" s="26">
        <v>331000.0</v>
      </c>
      <c r="E1529" s="26"/>
      <c r="F1529" s="26"/>
    </row>
    <row r="1530">
      <c r="A1530" s="16" t="s">
        <v>2292</v>
      </c>
      <c r="B1530" s="51" t="s">
        <v>2293</v>
      </c>
      <c r="C1530" s="16" t="s">
        <v>485</v>
      </c>
      <c r="D1530" s="26">
        <f>64782*1.19</f>
        <v>77090.58</v>
      </c>
      <c r="E1530" s="26"/>
      <c r="F1530" s="26"/>
    </row>
    <row r="1531">
      <c r="A1531" s="16" t="s">
        <v>2294</v>
      </c>
      <c r="B1531" s="51" t="s">
        <v>2295</v>
      </c>
      <c r="C1531" s="16" t="s">
        <v>485</v>
      </c>
      <c r="D1531" s="538">
        <v>153153.0</v>
      </c>
      <c r="E1531" s="538"/>
      <c r="F1531" s="538"/>
    </row>
    <row r="1532">
      <c r="A1532" s="16" t="s">
        <v>2296</v>
      </c>
      <c r="B1532" s="51"/>
      <c r="C1532" s="16" t="s">
        <v>670</v>
      </c>
      <c r="D1532" s="26">
        <f>500*1.19</f>
        <v>595</v>
      </c>
      <c r="E1532" s="26"/>
      <c r="F1532" s="26"/>
    </row>
    <row r="1533">
      <c r="A1533" s="16" t="s">
        <v>2296</v>
      </c>
      <c r="B1533" s="51"/>
      <c r="C1533" s="16" t="s">
        <v>671</v>
      </c>
      <c r="D1533" s="26">
        <v>609.0</v>
      </c>
      <c r="E1533" s="26"/>
      <c r="F1533" s="26"/>
    </row>
    <row r="1534">
      <c r="A1534" s="16" t="s">
        <v>2297</v>
      </c>
      <c r="B1534" s="51"/>
      <c r="C1534" s="16" t="s">
        <v>93</v>
      </c>
      <c r="D1534" s="31">
        <v>64700.0</v>
      </c>
      <c r="E1534" s="31"/>
      <c r="F1534" s="31"/>
    </row>
    <row r="1535">
      <c r="A1535" s="52" t="s">
        <v>2299</v>
      </c>
      <c r="B1535" s="51"/>
      <c r="C1535" s="16" t="s">
        <v>513</v>
      </c>
      <c r="D1535" s="273">
        <f>(7200*0.95*1.19)</f>
        <v>8139.6</v>
      </c>
      <c r="E1535" s="273"/>
      <c r="F1535" s="273"/>
    </row>
    <row r="1536">
      <c r="A1536" s="52" t="s">
        <v>2300</v>
      </c>
      <c r="B1536" s="51"/>
      <c r="C1536" s="16" t="s">
        <v>513</v>
      </c>
      <c r="D1536" s="26">
        <f>D1535/50</f>
        <v>162.792</v>
      </c>
      <c r="E1536" s="26"/>
      <c r="F1536" s="26"/>
    </row>
    <row r="1537">
      <c r="A1537" s="40" t="s">
        <v>2301</v>
      </c>
      <c r="B1537" s="51"/>
      <c r="C1537" s="16" t="s">
        <v>93</v>
      </c>
      <c r="D1537" s="26">
        <v>7110.0</v>
      </c>
      <c r="E1537" s="26"/>
      <c r="F1537" s="26"/>
    </row>
    <row r="1538">
      <c r="A1538" s="40" t="s">
        <v>2302</v>
      </c>
      <c r="B1538" s="51"/>
      <c r="C1538" s="16" t="s">
        <v>93</v>
      </c>
      <c r="D1538" s="26">
        <v>7110.0</v>
      </c>
      <c r="E1538" s="26"/>
      <c r="F1538" s="26"/>
    </row>
    <row r="1539">
      <c r="A1539" s="40" t="s">
        <v>2303</v>
      </c>
      <c r="B1539" s="51"/>
      <c r="C1539" s="16" t="s">
        <v>93</v>
      </c>
      <c r="D1539" s="26">
        <v>7110.0</v>
      </c>
      <c r="E1539" s="26"/>
      <c r="F1539" s="26"/>
    </row>
    <row r="1540">
      <c r="A1540" s="16" t="s">
        <v>2304</v>
      </c>
      <c r="B1540" s="51"/>
      <c r="C1540" s="16" t="s">
        <v>93</v>
      </c>
      <c r="D1540" s="31">
        <v>64700.0</v>
      </c>
      <c r="E1540" s="31"/>
      <c r="F1540" s="31"/>
    </row>
    <row r="1541">
      <c r="A1541" s="16" t="s">
        <v>2305</v>
      </c>
      <c r="B1541" s="51"/>
      <c r="C1541" s="16" t="s">
        <v>2306</v>
      </c>
      <c r="D1541" s="26">
        <v>6000.0</v>
      </c>
      <c r="E1541" s="26"/>
      <c r="F1541" s="26"/>
    </row>
    <row r="1542">
      <c r="A1542" s="16" t="s">
        <v>2307</v>
      </c>
      <c r="B1542" s="49"/>
      <c r="C1542" s="16" t="s">
        <v>2306</v>
      </c>
      <c r="D1542" s="26">
        <v>10000.0</v>
      </c>
      <c r="E1542" s="26"/>
      <c r="F1542" s="26"/>
    </row>
    <row r="1543">
      <c r="A1543" s="16" t="s">
        <v>2308</v>
      </c>
      <c r="B1543" s="49"/>
      <c r="C1543" s="16" t="s">
        <v>57</v>
      </c>
      <c r="D1543" s="26">
        <v>48500.0</v>
      </c>
      <c r="E1543" s="26"/>
      <c r="F1543" s="26"/>
    </row>
    <row r="1544">
      <c r="A1544" s="16" t="s">
        <v>2309</v>
      </c>
      <c r="B1544" s="49"/>
      <c r="C1544" s="16" t="s">
        <v>57</v>
      </c>
      <c r="D1544" s="26">
        <v>29800.0</v>
      </c>
      <c r="E1544" s="26"/>
      <c r="F1544" s="26"/>
    </row>
    <row r="1545">
      <c r="A1545" s="16" t="s">
        <v>2310</v>
      </c>
      <c r="B1545" s="167" t="s">
        <v>2311</v>
      </c>
      <c r="C1545" s="16" t="s">
        <v>2312</v>
      </c>
      <c r="D1545" s="26">
        <v>42000.0</v>
      </c>
      <c r="E1545" s="26"/>
      <c r="F1545" s="26"/>
    </row>
    <row r="1546">
      <c r="A1546" s="16" t="s">
        <v>2313</v>
      </c>
      <c r="B1546" s="51" t="s">
        <v>2427</v>
      </c>
      <c r="C1546" s="16" t="s">
        <v>2315</v>
      </c>
      <c r="D1546" s="26">
        <v>120000.0</v>
      </c>
      <c r="E1546" s="26"/>
      <c r="F1546" s="26"/>
    </row>
    <row r="1547">
      <c r="A1547" s="16" t="s">
        <v>2316</v>
      </c>
      <c r="B1547" s="51" t="s">
        <v>2427</v>
      </c>
      <c r="C1547" s="16" t="s">
        <v>2315</v>
      </c>
      <c r="D1547" s="26">
        <v>120000.0</v>
      </c>
      <c r="E1547" s="26"/>
      <c r="F1547" s="26"/>
    </row>
    <row r="1548">
      <c r="A1548" s="16" t="s">
        <v>2317</v>
      </c>
      <c r="B1548" s="126"/>
      <c r="C1548" s="16" t="s">
        <v>57</v>
      </c>
      <c r="D1548" s="26">
        <v>29800.0</v>
      </c>
      <c r="E1548" s="26"/>
      <c r="F1548" s="26"/>
    </row>
    <row r="1549">
      <c r="A1549" s="16" t="s">
        <v>2318</v>
      </c>
      <c r="B1549" s="126"/>
      <c r="C1549" s="16" t="s">
        <v>57</v>
      </c>
      <c r="D1549" s="26">
        <v>29800.0</v>
      </c>
      <c r="E1549" s="26"/>
      <c r="F1549" s="26"/>
    </row>
    <row r="1550">
      <c r="A1550" s="16" t="s">
        <v>2319</v>
      </c>
      <c r="B1550" s="126"/>
      <c r="C1550" s="16" t="s">
        <v>57</v>
      </c>
      <c r="D1550" s="26">
        <v>30800.0</v>
      </c>
      <c r="E1550" s="26"/>
      <c r="F1550" s="26"/>
    </row>
    <row r="1551">
      <c r="A1551" s="16" t="s">
        <v>2320</v>
      </c>
      <c r="B1551" s="49"/>
      <c r="C1551" s="16" t="s">
        <v>57</v>
      </c>
      <c r="D1551" s="26">
        <v>29800.0</v>
      </c>
      <c r="E1551" s="26"/>
      <c r="F1551" s="26"/>
    </row>
    <row r="1552">
      <c r="A1552" s="16" t="s">
        <v>2321</v>
      </c>
      <c r="B1552" s="167" t="s">
        <v>2322</v>
      </c>
      <c r="C1552" s="16" t="s">
        <v>2312</v>
      </c>
      <c r="D1552" s="26">
        <v>42000.0</v>
      </c>
      <c r="E1552" s="26"/>
      <c r="F1552" s="26"/>
    </row>
    <row r="1553">
      <c r="A1553" s="16" t="s">
        <v>2323</v>
      </c>
      <c r="B1553" s="167" t="s">
        <v>2324</v>
      </c>
      <c r="C1553" s="16" t="s">
        <v>2312</v>
      </c>
      <c r="D1553" s="26">
        <v>42000.0</v>
      </c>
      <c r="E1553" s="26"/>
      <c r="F1553" s="26"/>
    </row>
    <row r="1554">
      <c r="A1554" s="16" t="s">
        <v>2325</v>
      </c>
      <c r="B1554" s="167" t="s">
        <v>2326</v>
      </c>
      <c r="C1554" s="16" t="s">
        <v>2312</v>
      </c>
      <c r="D1554" s="26">
        <v>42000.0</v>
      </c>
      <c r="E1554" s="26"/>
      <c r="F1554" s="26"/>
    </row>
    <row r="1555">
      <c r="A1555" s="16" t="s">
        <v>2327</v>
      </c>
      <c r="B1555" s="51"/>
      <c r="C1555" s="16" t="s">
        <v>2315</v>
      </c>
      <c r="D1555" s="26">
        <v>32000.0</v>
      </c>
      <c r="E1555" s="26"/>
      <c r="F1555" s="26"/>
    </row>
    <row r="1556">
      <c r="A1556" s="16" t="s">
        <v>2328</v>
      </c>
      <c r="B1556" s="167" t="s">
        <v>2329</v>
      </c>
      <c r="C1556" s="16" t="s">
        <v>2315</v>
      </c>
      <c r="D1556" s="26">
        <v>155000.0</v>
      </c>
      <c r="E1556" s="26"/>
      <c r="F1556" s="26"/>
    </row>
    <row r="1557">
      <c r="A1557" s="16" t="s">
        <v>2330</v>
      </c>
      <c r="B1557" s="167"/>
      <c r="C1557" s="16" t="s">
        <v>2315</v>
      </c>
      <c r="D1557" s="26">
        <v>32000.0</v>
      </c>
      <c r="E1557" s="26"/>
      <c r="F1557" s="26"/>
    </row>
    <row r="1558">
      <c r="A1558" s="16" t="s">
        <v>2331</v>
      </c>
      <c r="B1558" s="167" t="s">
        <v>2332</v>
      </c>
      <c r="C1558" s="16" t="s">
        <v>2315</v>
      </c>
      <c r="D1558" s="26">
        <v>155000.0</v>
      </c>
      <c r="E1558" s="26"/>
      <c r="F1558" s="26"/>
    </row>
    <row r="1559">
      <c r="A1559" s="16" t="s">
        <v>2333</v>
      </c>
      <c r="B1559" s="167"/>
      <c r="C1559" s="16" t="s">
        <v>2315</v>
      </c>
      <c r="D1559" s="26">
        <v>32000.0</v>
      </c>
      <c r="E1559" s="26"/>
      <c r="F1559" s="26"/>
    </row>
    <row r="1560">
      <c r="A1560" s="16" t="s">
        <v>2334</v>
      </c>
      <c r="B1560" s="167" t="s">
        <v>2332</v>
      </c>
      <c r="C1560" s="16" t="s">
        <v>2315</v>
      </c>
      <c r="D1560" s="26">
        <v>155000.0</v>
      </c>
      <c r="E1560" s="26"/>
      <c r="F1560" s="26"/>
    </row>
    <row r="1561">
      <c r="A1561" s="16" t="s">
        <v>2335</v>
      </c>
      <c r="B1561" s="167" t="s">
        <v>2332</v>
      </c>
      <c r="C1561" s="16" t="s">
        <v>2315</v>
      </c>
      <c r="D1561" s="26">
        <v>155000.0</v>
      </c>
      <c r="E1561" s="26"/>
      <c r="F1561" s="26"/>
    </row>
    <row r="1562">
      <c r="A1562" s="16" t="s">
        <v>2336</v>
      </c>
      <c r="B1562" s="51"/>
      <c r="C1562" s="16" t="s">
        <v>63</v>
      </c>
      <c r="D1562" s="26">
        <v>28644.0</v>
      </c>
      <c r="E1562" s="26"/>
      <c r="F1562" s="26"/>
    </row>
    <row r="1563">
      <c r="A1563" s="16" t="s">
        <v>2337</v>
      </c>
      <c r="B1563" s="51"/>
      <c r="C1563" s="16" t="s">
        <v>63</v>
      </c>
      <c r="D1563" s="26">
        <v>28644.0</v>
      </c>
      <c r="E1563" s="26"/>
      <c r="F1563" s="26"/>
    </row>
    <row r="1564">
      <c r="A1564" s="16" t="s">
        <v>2338</v>
      </c>
      <c r="B1564" s="51"/>
      <c r="C1564" s="16" t="s">
        <v>63</v>
      </c>
      <c r="D1564" s="26">
        <v>28644.0</v>
      </c>
      <c r="E1564" s="26"/>
      <c r="F1564" s="26"/>
    </row>
    <row r="1565">
      <c r="A1565" s="16" t="s">
        <v>2339</v>
      </c>
      <c r="B1565" s="51"/>
      <c r="C1565" s="16" t="s">
        <v>63</v>
      </c>
      <c r="D1565" s="26">
        <v>28644.0</v>
      </c>
      <c r="E1565" s="26"/>
      <c r="F1565" s="26"/>
    </row>
    <row r="1566">
      <c r="A1566" s="16" t="s">
        <v>2340</v>
      </c>
      <c r="B1566" s="51"/>
      <c r="C1566" s="16" t="s">
        <v>63</v>
      </c>
      <c r="D1566" s="26">
        <v>28644.0</v>
      </c>
      <c r="E1566" s="26"/>
      <c r="F1566" s="26"/>
    </row>
    <row r="1567">
      <c r="A1567" s="16" t="s">
        <v>2341</v>
      </c>
      <c r="B1567" s="51"/>
      <c r="C1567" s="16" t="s">
        <v>63</v>
      </c>
      <c r="D1567" s="26">
        <v>28644.0</v>
      </c>
      <c r="E1567" s="26"/>
      <c r="F1567" s="26"/>
    </row>
    <row r="1568">
      <c r="A1568" s="16" t="s">
        <v>2342</v>
      </c>
      <c r="B1568" s="51"/>
      <c r="C1568" s="16" t="s">
        <v>63</v>
      </c>
      <c r="D1568" s="26">
        <v>28644.0</v>
      </c>
      <c r="E1568" s="26"/>
      <c r="F1568" s="26"/>
    </row>
    <row r="1569">
      <c r="A1569" s="16" t="s">
        <v>2343</v>
      </c>
      <c r="B1569" s="51"/>
      <c r="C1569" s="16" t="s">
        <v>63</v>
      </c>
      <c r="D1569" s="26">
        <v>28644.0</v>
      </c>
      <c r="E1569" s="26"/>
      <c r="F1569" s="26"/>
    </row>
    <row r="1570">
      <c r="A1570" s="16" t="s">
        <v>2344</v>
      </c>
      <c r="B1570" s="51"/>
      <c r="C1570" s="16" t="s">
        <v>93</v>
      </c>
      <c r="D1570" s="26">
        <v>389000.0</v>
      </c>
      <c r="E1570" s="26"/>
      <c r="F1570" s="26"/>
    </row>
    <row r="1571">
      <c r="A1571" s="16" t="s">
        <v>2345</v>
      </c>
      <c r="B1571" s="26">
        <v>33000.0</v>
      </c>
      <c r="C1571" s="16" t="s">
        <v>1205</v>
      </c>
      <c r="D1571" s="26">
        <v>46297.0</v>
      </c>
      <c r="E1571" s="26"/>
      <c r="F1571" s="26"/>
    </row>
    <row r="1572">
      <c r="A1572" s="16" t="s">
        <v>2346</v>
      </c>
      <c r="B1572" s="26">
        <v>33000.0</v>
      </c>
      <c r="C1572" s="16" t="s">
        <v>1205</v>
      </c>
      <c r="D1572" s="26">
        <v>46297.0</v>
      </c>
      <c r="E1572" s="26"/>
      <c r="F1572" s="26"/>
    </row>
    <row r="1573">
      <c r="A1573" s="16" t="s">
        <v>2347</v>
      </c>
      <c r="B1573" s="26">
        <v>33000.0</v>
      </c>
      <c r="C1573" s="16" t="s">
        <v>1205</v>
      </c>
      <c r="D1573" s="26">
        <v>46297.0</v>
      </c>
      <c r="E1573" s="26"/>
      <c r="F1573" s="26"/>
    </row>
    <row r="1574">
      <c r="A1574" s="16" t="s">
        <v>2348</v>
      </c>
      <c r="B1574" s="26">
        <v>33000.0</v>
      </c>
      <c r="C1574" s="16" t="s">
        <v>1205</v>
      </c>
      <c r="D1574" s="26">
        <v>46297.0</v>
      </c>
      <c r="E1574" s="26"/>
      <c r="F1574" s="26"/>
    </row>
    <row r="1575">
      <c r="A1575" s="16" t="s">
        <v>2349</v>
      </c>
      <c r="B1575" s="26">
        <v>33000.0</v>
      </c>
      <c r="C1575" s="16" t="s">
        <v>1205</v>
      </c>
      <c r="D1575" s="26">
        <v>46297.0</v>
      </c>
      <c r="E1575" s="26"/>
      <c r="F1575" s="26"/>
    </row>
    <row r="1576">
      <c r="A1576" s="16" t="s">
        <v>2350</v>
      </c>
      <c r="B1576" s="26">
        <v>33000.0</v>
      </c>
      <c r="C1576" s="16" t="s">
        <v>1205</v>
      </c>
      <c r="D1576" s="26">
        <v>46297.0</v>
      </c>
      <c r="E1576" s="26"/>
      <c r="F1576" s="26"/>
    </row>
    <row r="1577">
      <c r="A1577" s="16" t="s">
        <v>2351</v>
      </c>
      <c r="B1577" s="26">
        <v>33000.0</v>
      </c>
      <c r="C1577" s="16" t="s">
        <v>1205</v>
      </c>
      <c r="D1577" s="26">
        <v>46297.0</v>
      </c>
      <c r="E1577" s="26"/>
      <c r="F1577" s="26"/>
    </row>
    <row r="1578">
      <c r="A1578" s="16" t="s">
        <v>2352</v>
      </c>
      <c r="B1578" s="26">
        <v>33000.0</v>
      </c>
      <c r="C1578" s="16" t="s">
        <v>1205</v>
      </c>
      <c r="D1578" s="26">
        <v>46297.0</v>
      </c>
      <c r="E1578" s="26"/>
      <c r="F1578" s="26"/>
    </row>
    <row r="1579">
      <c r="A1579" s="16" t="s">
        <v>2353</v>
      </c>
      <c r="B1579" s="49"/>
      <c r="C1579" s="20" t="s">
        <v>1820</v>
      </c>
      <c r="D1579" s="26">
        <v>180000.0</v>
      </c>
      <c r="E1579" s="26"/>
      <c r="F1579" s="26"/>
    </row>
    <row r="1580">
      <c r="A1580" s="16" t="s">
        <v>2355</v>
      </c>
      <c r="B1580" s="49"/>
      <c r="C1580" s="20" t="s">
        <v>1820</v>
      </c>
      <c r="D1580" s="26">
        <v>180000.0</v>
      </c>
      <c r="E1580" s="26"/>
      <c r="F1580" s="26"/>
    </row>
    <row r="1581">
      <c r="A1581" s="16" t="s">
        <v>2356</v>
      </c>
      <c r="B1581" s="49"/>
      <c r="C1581" s="20" t="s">
        <v>1820</v>
      </c>
      <c r="D1581" s="26">
        <v>180000.0</v>
      </c>
      <c r="E1581" s="26"/>
      <c r="F1581" s="26"/>
    </row>
    <row r="1582">
      <c r="A1582" s="40" t="s">
        <v>2357</v>
      </c>
      <c r="B1582" s="49"/>
      <c r="C1582" s="16" t="s">
        <v>2269</v>
      </c>
      <c r="D1582" s="26">
        <v>3000.0</v>
      </c>
      <c r="E1582" s="26"/>
      <c r="F1582" s="26"/>
    </row>
    <row r="1583">
      <c r="A1583" s="16" t="s">
        <v>2358</v>
      </c>
      <c r="B1583" s="51"/>
      <c r="C1583" s="16" t="s">
        <v>57</v>
      </c>
      <c r="D1583" s="26">
        <v>16000.0</v>
      </c>
      <c r="E1583" s="26"/>
      <c r="F1583" s="26"/>
    </row>
    <row r="1584">
      <c r="A1584" s="16" t="s">
        <v>2359</v>
      </c>
      <c r="B1584" s="51"/>
      <c r="C1584" s="16" t="s">
        <v>57</v>
      </c>
      <c r="D1584" s="26">
        <v>16000.0</v>
      </c>
      <c r="E1584" s="26"/>
      <c r="F1584" s="26"/>
    </row>
    <row r="1585">
      <c r="A1585" s="16" t="s">
        <v>2360</v>
      </c>
      <c r="B1585" s="49"/>
      <c r="C1585" s="16" t="s">
        <v>57</v>
      </c>
      <c r="D1585" s="26">
        <v>16000.0</v>
      </c>
      <c r="E1585" s="26"/>
      <c r="F1585" s="26"/>
    </row>
    <row r="1586">
      <c r="A1586" s="16" t="s">
        <v>2361</v>
      </c>
      <c r="B1586" s="51" t="s">
        <v>2362</v>
      </c>
      <c r="C1586" s="16" t="s">
        <v>277</v>
      </c>
      <c r="D1586" s="26">
        <f>360000/15</f>
        <v>24000</v>
      </c>
      <c r="E1586" s="26"/>
      <c r="F1586" s="26"/>
    </row>
    <row r="1587">
      <c r="A1587" s="16" t="s">
        <v>2363</v>
      </c>
      <c r="B1587" s="51"/>
      <c r="C1587" s="16" t="s">
        <v>277</v>
      </c>
      <c r="D1587" s="26">
        <f>360000</f>
        <v>360000</v>
      </c>
      <c r="E1587" s="26"/>
      <c r="F1587" s="26"/>
    </row>
    <row r="1588">
      <c r="A1588" s="16" t="s">
        <v>2364</v>
      </c>
      <c r="B1588" s="26">
        <v>33000.0</v>
      </c>
      <c r="C1588" s="16" t="s">
        <v>1205</v>
      </c>
      <c r="D1588" s="26">
        <v>33000.0</v>
      </c>
      <c r="E1588" s="26"/>
      <c r="F1588" s="26"/>
    </row>
    <row r="1589">
      <c r="A1589" s="16" t="s">
        <v>2365</v>
      </c>
      <c r="B1589" s="26">
        <v>33000.0</v>
      </c>
      <c r="C1589" s="16" t="s">
        <v>1205</v>
      </c>
      <c r="D1589" s="26">
        <v>33000.0</v>
      </c>
      <c r="E1589" s="26"/>
      <c r="F1589" s="26"/>
    </row>
    <row r="1590">
      <c r="A1590" s="16" t="s">
        <v>2366</v>
      </c>
      <c r="B1590" s="26">
        <v>33000.0</v>
      </c>
      <c r="C1590" s="16" t="s">
        <v>1205</v>
      </c>
      <c r="D1590" s="26">
        <v>33000.0</v>
      </c>
      <c r="E1590" s="26"/>
      <c r="F1590" s="26"/>
    </row>
    <row r="1591">
      <c r="A1591" s="16" t="s">
        <v>2367</v>
      </c>
      <c r="B1591" s="49"/>
      <c r="C1591" s="16" t="s">
        <v>84</v>
      </c>
      <c r="D1591" s="26">
        <v>27000.0</v>
      </c>
      <c r="E1591" s="26"/>
      <c r="F1591" s="26"/>
    </row>
    <row r="1592">
      <c r="A1592" s="42" t="s">
        <v>2368</v>
      </c>
      <c r="B1592" s="51"/>
      <c r="C1592" s="16" t="s">
        <v>767</v>
      </c>
      <c r="D1592" s="26">
        <v>88000.0</v>
      </c>
      <c r="E1592" s="26"/>
      <c r="F1592" s="26"/>
    </row>
    <row r="1593">
      <c r="A1593" s="42" t="s">
        <v>2369</v>
      </c>
      <c r="B1593" s="51"/>
      <c r="C1593" s="16" t="s">
        <v>767</v>
      </c>
      <c r="D1593" s="26">
        <v>93000.0</v>
      </c>
      <c r="E1593" s="26"/>
      <c r="F1593" s="26"/>
    </row>
    <row r="1594">
      <c r="A1594" s="16" t="s">
        <v>2370</v>
      </c>
      <c r="B1594" s="42" t="s">
        <v>2371</v>
      </c>
      <c r="C1594" s="16" t="s">
        <v>473</v>
      </c>
      <c r="D1594" s="26">
        <v>22880.0</v>
      </c>
      <c r="E1594" s="26"/>
      <c r="F1594" s="26"/>
    </row>
    <row r="1595">
      <c r="A1595" s="16" t="s">
        <v>2372</v>
      </c>
      <c r="B1595" s="42" t="s">
        <v>2371</v>
      </c>
      <c r="C1595" s="16" t="s">
        <v>473</v>
      </c>
      <c r="D1595" s="26">
        <v>22880.0</v>
      </c>
      <c r="E1595" s="26"/>
      <c r="F1595" s="26"/>
    </row>
    <row r="1596">
      <c r="A1596" s="16" t="s">
        <v>2373</v>
      </c>
      <c r="B1596" s="42" t="s">
        <v>2371</v>
      </c>
      <c r="C1596" s="16" t="s">
        <v>473</v>
      </c>
      <c r="D1596" s="26">
        <v>22880.0</v>
      </c>
      <c r="E1596" s="26"/>
      <c r="F1596" s="26"/>
    </row>
    <row r="1597">
      <c r="A1597" s="16" t="s">
        <v>2374</v>
      </c>
      <c r="B1597" s="156"/>
      <c r="C1597" s="16" t="s">
        <v>2375</v>
      </c>
      <c r="D1597" s="26">
        <v>25000.0</v>
      </c>
      <c r="E1597" s="26"/>
      <c r="F1597" s="26"/>
    </row>
    <row r="1598">
      <c r="A1598" s="16" t="s">
        <v>2376</v>
      </c>
      <c r="B1598" s="156"/>
      <c r="C1598" s="16" t="s">
        <v>2375</v>
      </c>
      <c r="D1598" s="26">
        <v>25000.0</v>
      </c>
      <c r="E1598" s="26"/>
      <c r="F1598" s="26"/>
    </row>
    <row r="1599">
      <c r="A1599" s="42" t="s">
        <v>2377</v>
      </c>
      <c r="B1599" s="51"/>
      <c r="C1599" s="16" t="s">
        <v>84</v>
      </c>
      <c r="D1599" s="26">
        <v>31600.0</v>
      </c>
      <c r="E1599" s="26"/>
      <c r="F1599" s="26"/>
    </row>
    <row r="1600">
      <c r="A1600" s="42" t="s">
        <v>2378</v>
      </c>
      <c r="B1600" s="51"/>
      <c r="C1600" s="16" t="s">
        <v>84</v>
      </c>
      <c r="D1600" s="26">
        <v>31600.0</v>
      </c>
      <c r="E1600" s="26"/>
      <c r="F1600" s="26"/>
    </row>
    <row r="1601">
      <c r="A1601" s="16" t="s">
        <v>3402</v>
      </c>
      <c r="B1601" s="51" t="s">
        <v>2380</v>
      </c>
      <c r="C1601" s="20" t="s">
        <v>78</v>
      </c>
      <c r="D1601" s="79">
        <v>76458.0</v>
      </c>
      <c r="E1601" s="79"/>
      <c r="F1601" s="79"/>
    </row>
    <row r="1602">
      <c r="A1602" s="16" t="s">
        <v>2381</v>
      </c>
      <c r="B1602" s="51"/>
      <c r="C1602" s="20" t="s">
        <v>78</v>
      </c>
      <c r="D1602" s="79">
        <v>76458.0</v>
      </c>
      <c r="E1602" s="79"/>
      <c r="F1602" s="79"/>
    </row>
    <row r="1603">
      <c r="A1603" s="16" t="s">
        <v>2382</v>
      </c>
      <c r="B1603" s="51"/>
      <c r="C1603" s="20" t="s">
        <v>78</v>
      </c>
      <c r="D1603" s="79">
        <v>76458.0</v>
      </c>
      <c r="E1603" s="79"/>
      <c r="F1603" s="79"/>
    </row>
    <row r="1604">
      <c r="A1604" s="16" t="s">
        <v>2383</v>
      </c>
      <c r="B1604" s="51"/>
      <c r="C1604" s="20" t="s">
        <v>78</v>
      </c>
      <c r="D1604" s="79">
        <v>76458.0</v>
      </c>
      <c r="E1604" s="79"/>
      <c r="F1604" s="79"/>
    </row>
    <row r="1605">
      <c r="A1605" s="16" t="s">
        <v>2384</v>
      </c>
      <c r="B1605" s="51"/>
      <c r="C1605" s="20" t="s">
        <v>78</v>
      </c>
      <c r="D1605" s="79">
        <v>76458.0</v>
      </c>
      <c r="E1605" s="79"/>
      <c r="F1605" s="79"/>
    </row>
    <row r="1606">
      <c r="A1606" s="16" t="s">
        <v>2385</v>
      </c>
      <c r="B1606" s="51"/>
      <c r="C1606" s="20" t="s">
        <v>78</v>
      </c>
      <c r="D1606" s="79">
        <v>76458.0</v>
      </c>
      <c r="E1606" s="79"/>
      <c r="F1606" s="79"/>
    </row>
    <row r="1607">
      <c r="A1607" s="16" t="s">
        <v>2386</v>
      </c>
      <c r="B1607" s="51"/>
      <c r="C1607" s="20" t="s">
        <v>78</v>
      </c>
      <c r="D1607" s="79">
        <v>76458.0</v>
      </c>
      <c r="E1607" s="79"/>
      <c r="F1607" s="79"/>
    </row>
    <row r="1608">
      <c r="A1608" s="16" t="s">
        <v>2387</v>
      </c>
      <c r="B1608" s="51"/>
      <c r="C1608" s="20" t="s">
        <v>78</v>
      </c>
      <c r="D1608" s="79">
        <v>76458.0</v>
      </c>
      <c r="E1608" s="79"/>
      <c r="F1608" s="79"/>
    </row>
    <row r="1609">
      <c r="A1609" s="16" t="s">
        <v>3403</v>
      </c>
      <c r="B1609" s="51"/>
      <c r="C1609" s="20" t="s">
        <v>78</v>
      </c>
      <c r="D1609" s="79">
        <v>76458.0</v>
      </c>
      <c r="E1609" s="79"/>
      <c r="F1609" s="79"/>
    </row>
    <row r="1610">
      <c r="A1610" s="16" t="s">
        <v>2389</v>
      </c>
      <c r="B1610" s="51"/>
      <c r="C1610" s="20" t="s">
        <v>78</v>
      </c>
      <c r="D1610" s="79">
        <v>76458.0</v>
      </c>
      <c r="E1610" s="79"/>
      <c r="F1610" s="79"/>
    </row>
    <row r="1611">
      <c r="A1611" s="16" t="s">
        <v>2390</v>
      </c>
      <c r="B1611" s="51"/>
      <c r="C1611" s="20" t="s">
        <v>78</v>
      </c>
      <c r="D1611" s="79">
        <v>76458.0</v>
      </c>
      <c r="E1611" s="79"/>
      <c r="F1611" s="79"/>
    </row>
    <row r="1612">
      <c r="A1612" s="16" t="s">
        <v>2391</v>
      </c>
      <c r="B1612" s="51"/>
      <c r="C1612" s="20" t="s">
        <v>78</v>
      </c>
      <c r="D1612" s="79">
        <v>76458.0</v>
      </c>
      <c r="E1612" s="79"/>
      <c r="F1612" s="79"/>
    </row>
    <row r="1613">
      <c r="A1613" s="16" t="s">
        <v>2392</v>
      </c>
      <c r="B1613" s="49"/>
      <c r="C1613" s="20" t="s">
        <v>14</v>
      </c>
      <c r="D1613" s="79">
        <v>97600.0</v>
      </c>
      <c r="E1613" s="79"/>
      <c r="F1613" s="79"/>
    </row>
    <row r="1614">
      <c r="A1614" s="16" t="s">
        <v>2393</v>
      </c>
      <c r="B1614" s="49"/>
      <c r="C1614" s="20" t="s">
        <v>14</v>
      </c>
      <c r="D1614" s="79">
        <v>97600.0</v>
      </c>
      <c r="E1614" s="79"/>
      <c r="F1614" s="79"/>
    </row>
    <row r="1615">
      <c r="A1615" s="16" t="s">
        <v>2394</v>
      </c>
      <c r="B1615" s="49"/>
      <c r="C1615" s="20" t="s">
        <v>14</v>
      </c>
      <c r="D1615" s="79">
        <v>97600.0</v>
      </c>
      <c r="E1615" s="79"/>
      <c r="F1615" s="79"/>
    </row>
    <row r="1616">
      <c r="A1616" s="16" t="s">
        <v>2396</v>
      </c>
      <c r="B1616" s="49"/>
      <c r="C1616" s="20" t="s">
        <v>14</v>
      </c>
      <c r="D1616" s="79">
        <v>97600.0</v>
      </c>
      <c r="E1616" s="79"/>
      <c r="F1616" s="79"/>
    </row>
    <row r="1617">
      <c r="A1617" s="16" t="s">
        <v>2397</v>
      </c>
      <c r="B1617" s="49"/>
      <c r="C1617" s="20" t="s">
        <v>14</v>
      </c>
      <c r="D1617" s="26">
        <v>26700.0</v>
      </c>
      <c r="E1617" s="26"/>
      <c r="F1617" s="26"/>
    </row>
    <row r="1618">
      <c r="A1618" s="16" t="s">
        <v>2398</v>
      </c>
      <c r="B1618" s="49"/>
      <c r="C1618" s="20" t="s">
        <v>14</v>
      </c>
      <c r="D1618" s="26">
        <v>26700.0</v>
      </c>
      <c r="E1618" s="26"/>
      <c r="F1618" s="26"/>
    </row>
    <row r="1619">
      <c r="A1619" s="16" t="s">
        <v>2399</v>
      </c>
      <c r="B1619" s="49"/>
      <c r="C1619" s="20" t="s">
        <v>14</v>
      </c>
      <c r="D1619" s="26">
        <v>26700.0</v>
      </c>
      <c r="E1619" s="26"/>
      <c r="F1619" s="26"/>
    </row>
    <row r="1620">
      <c r="A1620" s="16" t="s">
        <v>2400</v>
      </c>
      <c r="B1620" s="49" t="s">
        <v>2401</v>
      </c>
      <c r="C1620" s="16" t="s">
        <v>70</v>
      </c>
      <c r="D1620" s="79">
        <v>28800.0</v>
      </c>
      <c r="E1620" s="79"/>
      <c r="F1620" s="79"/>
    </row>
    <row r="1621">
      <c r="A1621" s="16" t="s">
        <v>2402</v>
      </c>
      <c r="B1621" s="49" t="s">
        <v>2401</v>
      </c>
      <c r="C1621" s="16" t="s">
        <v>70</v>
      </c>
      <c r="D1621" s="79">
        <v>28800.0</v>
      </c>
      <c r="E1621" s="79"/>
      <c r="F1621" s="79"/>
    </row>
    <row r="1622">
      <c r="A1622" s="16" t="s">
        <v>2403</v>
      </c>
      <c r="B1622" s="49"/>
      <c r="C1622" s="16" t="s">
        <v>70</v>
      </c>
      <c r="D1622" s="79">
        <v>28800.0</v>
      </c>
      <c r="E1622" s="79"/>
      <c r="F1622" s="79"/>
    </row>
    <row r="1623">
      <c r="A1623" s="16" t="s">
        <v>2404</v>
      </c>
      <c r="B1623" s="51"/>
      <c r="C1623" s="16" t="s">
        <v>70</v>
      </c>
      <c r="D1623" s="79">
        <v>28800.0</v>
      </c>
      <c r="E1623" s="79"/>
      <c r="F1623" s="79"/>
    </row>
    <row r="1624">
      <c r="A1624" s="16" t="s">
        <v>2405</v>
      </c>
      <c r="B1624" s="49"/>
      <c r="C1624" s="16" t="s">
        <v>70</v>
      </c>
      <c r="D1624" s="79">
        <v>28800.0</v>
      </c>
      <c r="E1624" s="79"/>
      <c r="F1624" s="79"/>
    </row>
    <row r="1625">
      <c r="A1625" s="16" t="s">
        <v>2406</v>
      </c>
      <c r="B1625" s="49"/>
      <c r="C1625" s="16" t="s">
        <v>70</v>
      </c>
      <c r="D1625" s="79">
        <v>28800.0</v>
      </c>
      <c r="E1625" s="79"/>
      <c r="F1625" s="79"/>
    </row>
    <row r="1626">
      <c r="A1626" s="16" t="s">
        <v>2407</v>
      </c>
      <c r="B1626" s="49"/>
      <c r="C1626" s="16" t="s">
        <v>70</v>
      </c>
      <c r="D1626" s="79">
        <v>28800.0</v>
      </c>
      <c r="E1626" s="79"/>
      <c r="F1626" s="79"/>
    </row>
    <row r="1627">
      <c r="A1627" s="16" t="s">
        <v>2408</v>
      </c>
      <c r="B1627" s="49"/>
      <c r="C1627" s="16" t="s">
        <v>70</v>
      </c>
      <c r="D1627" s="79">
        <v>28800.0</v>
      </c>
      <c r="E1627" s="79"/>
      <c r="F1627" s="79"/>
    </row>
    <row r="1628">
      <c r="A1628" s="16" t="s">
        <v>2409</v>
      </c>
      <c r="B1628" s="49" t="s">
        <v>2410</v>
      </c>
      <c r="C1628" s="16" t="s">
        <v>2411</v>
      </c>
      <c r="D1628" s="26">
        <f t="shared" ref="D1628:D1629" si="61">38000*0.8</f>
        <v>30400</v>
      </c>
      <c r="E1628" s="26"/>
      <c r="F1628" s="26"/>
    </row>
    <row r="1629">
      <c r="A1629" s="16" t="s">
        <v>2412</v>
      </c>
      <c r="B1629" s="49" t="s">
        <v>2410</v>
      </c>
      <c r="C1629" s="16" t="s">
        <v>2411</v>
      </c>
      <c r="D1629" s="26">
        <f t="shared" si="61"/>
        <v>30400</v>
      </c>
      <c r="E1629" s="26"/>
      <c r="F1629" s="26"/>
    </row>
    <row r="1630">
      <c r="A1630" s="16" t="s">
        <v>2413</v>
      </c>
      <c r="B1630" s="49" t="s">
        <v>2414</v>
      </c>
      <c r="C1630" s="16" t="s">
        <v>2442</v>
      </c>
      <c r="D1630" s="26">
        <f t="shared" ref="D1630:D1631" si="62">90000*0.8</f>
        <v>72000</v>
      </c>
      <c r="E1630" s="26"/>
      <c r="F1630" s="26"/>
    </row>
    <row r="1631">
      <c r="A1631" s="16" t="s">
        <v>2416</v>
      </c>
      <c r="B1631" s="49" t="s">
        <v>2417</v>
      </c>
      <c r="C1631" s="16" t="s">
        <v>2442</v>
      </c>
      <c r="D1631" s="26">
        <f t="shared" si="62"/>
        <v>72000</v>
      </c>
      <c r="E1631" s="26"/>
      <c r="F1631" s="26"/>
    </row>
    <row r="1632">
      <c r="A1632" s="40" t="s">
        <v>2418</v>
      </c>
      <c r="B1632" s="51"/>
      <c r="C1632" s="16" t="s">
        <v>2419</v>
      </c>
      <c r="D1632" s="26">
        <v>23000.0</v>
      </c>
      <c r="E1632" s="26"/>
      <c r="F1632" s="26"/>
    </row>
    <row r="1633">
      <c r="A1633" s="16" t="s">
        <v>2420</v>
      </c>
      <c r="B1633" s="51"/>
      <c r="C1633" s="16" t="s">
        <v>2422</v>
      </c>
      <c r="D1633" s="79">
        <v>213000.0</v>
      </c>
      <c r="E1633" s="79"/>
      <c r="F1633" s="79"/>
    </row>
    <row r="1634">
      <c r="A1634" s="16" t="s">
        <v>2423</v>
      </c>
      <c r="B1634" s="51"/>
      <c r="C1634" s="16" t="s">
        <v>2422</v>
      </c>
      <c r="D1634" s="79">
        <v>213000.0</v>
      </c>
      <c r="E1634" s="79"/>
      <c r="F1634" s="79"/>
    </row>
    <row r="1635">
      <c r="A1635" s="16" t="s">
        <v>2424</v>
      </c>
      <c r="B1635" s="51" t="s">
        <v>3404</v>
      </c>
      <c r="C1635" s="16" t="s">
        <v>2422</v>
      </c>
      <c r="D1635" s="26">
        <v>213000.0</v>
      </c>
      <c r="E1635" s="26"/>
      <c r="F1635" s="26"/>
    </row>
    <row r="1636">
      <c r="A1636" s="16" t="s">
        <v>2425</v>
      </c>
      <c r="B1636" s="51" t="s">
        <v>3404</v>
      </c>
      <c r="C1636" s="16" t="s">
        <v>2422</v>
      </c>
      <c r="D1636" s="26">
        <v>213000.0</v>
      </c>
      <c r="E1636" s="26"/>
      <c r="F1636" s="26"/>
    </row>
    <row r="1637">
      <c r="A1637" s="42" t="s">
        <v>2426</v>
      </c>
      <c r="B1637" s="51" t="s">
        <v>2427</v>
      </c>
      <c r="C1637" s="16" t="s">
        <v>767</v>
      </c>
      <c r="D1637" s="26">
        <v>88000.0</v>
      </c>
      <c r="E1637" s="26"/>
      <c r="F1637" s="26"/>
    </row>
    <row r="1638">
      <c r="A1638" s="16" t="s">
        <v>2428</v>
      </c>
      <c r="B1638" s="49"/>
      <c r="C1638" s="16" t="s">
        <v>93</v>
      </c>
      <c r="D1638" s="79">
        <v>40000.0</v>
      </c>
      <c r="E1638" s="79"/>
      <c r="F1638" s="79"/>
    </row>
    <row r="1639">
      <c r="A1639" s="16" t="s">
        <v>2429</v>
      </c>
      <c r="B1639" s="51"/>
      <c r="C1639" s="16" t="s">
        <v>277</v>
      </c>
      <c r="D1639" s="26">
        <v>87250.0</v>
      </c>
      <c r="E1639" s="26"/>
      <c r="F1639" s="26"/>
    </row>
    <row r="1640">
      <c r="A1640" s="16" t="s">
        <v>2430</v>
      </c>
      <c r="B1640" s="51"/>
      <c r="C1640" s="16" t="s">
        <v>277</v>
      </c>
      <c r="D1640" s="26">
        <v>87250.0</v>
      </c>
      <c r="E1640" s="26"/>
      <c r="F1640" s="26"/>
    </row>
    <row r="1641">
      <c r="A1641" s="150" t="s">
        <v>2431</v>
      </c>
      <c r="B1641" s="51" t="s">
        <v>2432</v>
      </c>
      <c r="C1641" s="16" t="s">
        <v>277</v>
      </c>
      <c r="D1641" s="26">
        <f>79476</f>
        <v>79476</v>
      </c>
      <c r="E1641" s="26"/>
      <c r="F1641" s="26"/>
    </row>
    <row r="1642">
      <c r="A1642" s="16" t="s">
        <v>2433</v>
      </c>
      <c r="B1642" s="51"/>
      <c r="C1642" s="16" t="s">
        <v>277</v>
      </c>
      <c r="D1642" s="26">
        <v>79476.0</v>
      </c>
      <c r="E1642" s="26"/>
      <c r="F1642" s="26"/>
    </row>
    <row r="1643">
      <c r="A1643" s="16" t="s">
        <v>2434</v>
      </c>
      <c r="B1643" s="51"/>
      <c r="C1643" s="16" t="s">
        <v>277</v>
      </c>
      <c r="D1643" s="26">
        <v>83600.0</v>
      </c>
      <c r="E1643" s="26"/>
      <c r="F1643" s="26"/>
    </row>
    <row r="1644">
      <c r="A1644" s="16" t="s">
        <v>2435</v>
      </c>
      <c r="B1644" s="51"/>
      <c r="C1644" s="16" t="s">
        <v>277</v>
      </c>
      <c r="D1644" s="26">
        <v>83600.0</v>
      </c>
      <c r="E1644" s="26"/>
      <c r="F1644" s="26"/>
    </row>
    <row r="1645">
      <c r="A1645" s="16" t="s">
        <v>2436</v>
      </c>
      <c r="B1645" s="51"/>
      <c r="C1645" s="16" t="s">
        <v>277</v>
      </c>
      <c r="D1645" s="26">
        <v>83600.0</v>
      </c>
      <c r="E1645" s="26"/>
      <c r="F1645" s="26"/>
    </row>
    <row r="1646">
      <c r="A1646" s="16" t="s">
        <v>2437</v>
      </c>
      <c r="B1646" s="51"/>
      <c r="C1646" s="16" t="s">
        <v>277</v>
      </c>
      <c r="D1646" s="26">
        <v>83600.0</v>
      </c>
      <c r="E1646" s="26"/>
      <c r="F1646" s="26"/>
    </row>
    <row r="1647">
      <c r="A1647" s="16" t="s">
        <v>2438</v>
      </c>
      <c r="B1647" s="51"/>
      <c r="C1647" s="16" t="s">
        <v>277</v>
      </c>
      <c r="D1647" s="26">
        <v>83600.0</v>
      </c>
      <c r="E1647" s="26"/>
      <c r="F1647" s="26"/>
    </row>
    <row r="1648">
      <c r="A1648" s="16" t="s">
        <v>2439</v>
      </c>
      <c r="B1648" s="51"/>
      <c r="C1648" s="16" t="s">
        <v>277</v>
      </c>
      <c r="D1648" s="26">
        <v>83600.0</v>
      </c>
      <c r="E1648" s="26"/>
      <c r="F1648" s="26"/>
    </row>
    <row r="1649">
      <c r="A1649" s="16" t="s">
        <v>3405</v>
      </c>
      <c r="B1649" s="49" t="s">
        <v>2441</v>
      </c>
      <c r="C1649" s="16" t="s">
        <v>2442</v>
      </c>
      <c r="D1649" s="26">
        <f>90000*0.8</f>
        <v>72000</v>
      </c>
      <c r="E1649" s="26"/>
      <c r="F1649" s="26"/>
    </row>
    <row r="1650">
      <c r="A1650" s="16" t="s">
        <v>2443</v>
      </c>
      <c r="B1650" s="49" t="s">
        <v>2444</v>
      </c>
      <c r="C1650" s="16" t="s">
        <v>2442</v>
      </c>
      <c r="D1650" s="26">
        <v>116000.0</v>
      </c>
      <c r="E1650" s="26"/>
      <c r="F1650" s="26"/>
    </row>
    <row r="1651">
      <c r="A1651" s="16" t="s">
        <v>2445</v>
      </c>
      <c r="B1651" s="49"/>
      <c r="C1651" s="16" t="s">
        <v>98</v>
      </c>
      <c r="D1651" s="26">
        <v>72300.0</v>
      </c>
      <c r="E1651" s="26"/>
      <c r="F1651" s="26"/>
    </row>
    <row r="1652">
      <c r="A1652" s="16" t="s">
        <v>2446</v>
      </c>
      <c r="B1652" s="49"/>
      <c r="C1652" s="16" t="s">
        <v>98</v>
      </c>
      <c r="D1652" s="26">
        <v>72300.0</v>
      </c>
      <c r="E1652" s="26"/>
      <c r="F1652" s="26"/>
    </row>
    <row r="1653">
      <c r="A1653" s="16" t="s">
        <v>2447</v>
      </c>
      <c r="B1653" s="49"/>
      <c r="C1653" s="16" t="s">
        <v>98</v>
      </c>
      <c r="D1653" s="26">
        <v>72300.0</v>
      </c>
      <c r="E1653" s="26"/>
      <c r="F1653" s="26"/>
    </row>
    <row r="1654">
      <c r="A1654" s="16" t="s">
        <v>2448</v>
      </c>
      <c r="B1654" s="49"/>
      <c r="C1654" s="16" t="s">
        <v>98</v>
      </c>
      <c r="D1654" s="26">
        <v>72300.0</v>
      </c>
      <c r="E1654" s="26"/>
      <c r="F1654" s="26"/>
    </row>
    <row r="1655">
      <c r="A1655" s="16" t="s">
        <v>2450</v>
      </c>
      <c r="B1655" s="49"/>
      <c r="C1655" s="16" t="s">
        <v>98</v>
      </c>
      <c r="D1655" s="26">
        <v>72300.0</v>
      </c>
      <c r="E1655" s="26"/>
      <c r="F1655" s="26"/>
    </row>
    <row r="1656">
      <c r="A1656" s="16" t="s">
        <v>2450</v>
      </c>
      <c r="B1656" s="49"/>
      <c r="C1656" s="16"/>
      <c r="D1656" s="26">
        <v>72300.0</v>
      </c>
      <c r="E1656" s="26"/>
      <c r="F1656" s="26"/>
    </row>
    <row r="1657">
      <c r="A1657" s="16" t="s">
        <v>2451</v>
      </c>
      <c r="B1657" s="49">
        <f>75*5</f>
        <v>375</v>
      </c>
      <c r="C1657" s="16" t="s">
        <v>98</v>
      </c>
      <c r="D1657" s="26">
        <v>72300.0</v>
      </c>
      <c r="E1657" s="26"/>
      <c r="F1657" s="26"/>
    </row>
    <row r="1658">
      <c r="A1658" s="16" t="s">
        <v>2452</v>
      </c>
      <c r="B1658" s="49"/>
      <c r="C1658" s="16" t="s">
        <v>98</v>
      </c>
      <c r="D1658" s="26">
        <v>72300.0</v>
      </c>
      <c r="E1658" s="26"/>
      <c r="F1658" s="26"/>
    </row>
    <row r="1659">
      <c r="A1659" s="16" t="s">
        <v>2453</v>
      </c>
      <c r="B1659" s="49">
        <v>140.0</v>
      </c>
      <c r="C1659" s="16" t="s">
        <v>98</v>
      </c>
      <c r="D1659" s="26">
        <v>72300.0</v>
      </c>
      <c r="E1659" s="26"/>
      <c r="F1659" s="26"/>
    </row>
    <row r="1660">
      <c r="A1660" s="16" t="s">
        <v>2454</v>
      </c>
      <c r="B1660" s="49">
        <v>10.0</v>
      </c>
      <c r="C1660" s="16" t="s">
        <v>98</v>
      </c>
      <c r="D1660" s="26">
        <v>72300.0</v>
      </c>
      <c r="E1660" s="26"/>
      <c r="F1660" s="26"/>
    </row>
    <row r="1661">
      <c r="A1661" s="16" t="s">
        <v>2455</v>
      </c>
      <c r="B1661" s="49"/>
      <c r="C1661" s="16" t="s">
        <v>98</v>
      </c>
      <c r="D1661" s="26">
        <v>72300.0</v>
      </c>
      <c r="E1661" s="26"/>
      <c r="F1661" s="26"/>
    </row>
    <row r="1662">
      <c r="A1662" s="16" t="s">
        <v>2456</v>
      </c>
      <c r="B1662" s="49"/>
      <c r="C1662" s="16" t="s">
        <v>98</v>
      </c>
      <c r="D1662" s="26">
        <v>72300.0</v>
      </c>
      <c r="E1662" s="26"/>
      <c r="F1662" s="26"/>
    </row>
    <row r="1663">
      <c r="A1663" s="16" t="s">
        <v>2457</v>
      </c>
      <c r="B1663" s="49"/>
      <c r="C1663" s="16" t="s">
        <v>98</v>
      </c>
      <c r="D1663" s="26">
        <v>72300.0</v>
      </c>
      <c r="E1663" s="26"/>
      <c r="F1663" s="26"/>
    </row>
    <row r="1664">
      <c r="A1664" s="16" t="s">
        <v>2458</v>
      </c>
      <c r="B1664" s="49"/>
      <c r="C1664" s="16" t="s">
        <v>98</v>
      </c>
      <c r="D1664" s="26">
        <v>72300.0</v>
      </c>
      <c r="E1664" s="26"/>
      <c r="F1664" s="26"/>
    </row>
    <row r="1665">
      <c r="A1665" s="16" t="s">
        <v>2459</v>
      </c>
      <c r="B1665" s="49"/>
      <c r="C1665" s="16" t="s">
        <v>98</v>
      </c>
      <c r="D1665" s="26">
        <v>72300.0</v>
      </c>
      <c r="E1665" s="26"/>
      <c r="F1665" s="26"/>
    </row>
    <row r="1666">
      <c r="A1666" s="16" t="s">
        <v>2460</v>
      </c>
      <c r="B1666" s="49"/>
      <c r="C1666" s="16" t="s">
        <v>98</v>
      </c>
      <c r="D1666" s="26">
        <v>72300.0</v>
      </c>
      <c r="E1666" s="26"/>
      <c r="F1666" s="26"/>
    </row>
    <row r="1667">
      <c r="A1667" s="16" t="s">
        <v>2461</v>
      </c>
      <c r="B1667" s="51"/>
      <c r="C1667" s="16" t="s">
        <v>57</v>
      </c>
      <c r="D1667" s="26">
        <v>22000.0</v>
      </c>
      <c r="E1667" s="26"/>
      <c r="F1667" s="26"/>
    </row>
    <row r="1668">
      <c r="A1668" s="16" t="s">
        <v>2462</v>
      </c>
      <c r="B1668" s="51"/>
      <c r="C1668" s="16" t="s">
        <v>57</v>
      </c>
      <c r="D1668" s="26">
        <v>22000.0</v>
      </c>
      <c r="E1668" s="26"/>
      <c r="F1668" s="26"/>
    </row>
    <row r="1669">
      <c r="A1669" s="16" t="s">
        <v>2463</v>
      </c>
      <c r="B1669" s="49"/>
      <c r="C1669" s="16" t="s">
        <v>57</v>
      </c>
      <c r="D1669" s="26">
        <v>22000.0</v>
      </c>
      <c r="E1669" s="26"/>
      <c r="F1669" s="26"/>
    </row>
    <row r="1670">
      <c r="A1670" s="16" t="s">
        <v>2464</v>
      </c>
      <c r="B1670" s="51"/>
      <c r="C1670" s="16" t="s">
        <v>57</v>
      </c>
      <c r="D1670" s="26">
        <v>22000.0</v>
      </c>
      <c r="E1670" s="26"/>
      <c r="F1670" s="26"/>
    </row>
    <row r="1671" ht="24.0" customHeight="1">
      <c r="A1671" s="16" t="s">
        <v>2465</v>
      </c>
      <c r="B1671" s="49"/>
      <c r="C1671" s="16" t="s">
        <v>2466</v>
      </c>
      <c r="D1671" s="26">
        <v>2500.0</v>
      </c>
      <c r="E1671" s="26"/>
      <c r="F1671" s="26"/>
    </row>
    <row r="1672">
      <c r="A1672" s="269" t="s">
        <v>2467</v>
      </c>
      <c r="B1672" s="51"/>
      <c r="C1672" s="16" t="s">
        <v>2468</v>
      </c>
      <c r="D1672" s="26">
        <v>9685.0</v>
      </c>
      <c r="E1672" s="26"/>
      <c r="F1672" s="26"/>
    </row>
    <row r="1673">
      <c r="A1673" s="42" t="s">
        <v>2469</v>
      </c>
      <c r="B1673" s="51"/>
      <c r="C1673" s="16" t="s">
        <v>760</v>
      </c>
      <c r="D1673" s="26">
        <v>1.0</v>
      </c>
      <c r="E1673" s="26"/>
      <c r="F1673" s="26"/>
    </row>
    <row r="1674">
      <c r="A1674" s="118" t="s">
        <v>2470</v>
      </c>
      <c r="B1674" s="49" t="s">
        <v>2471</v>
      </c>
      <c r="C1674" s="16" t="s">
        <v>2472</v>
      </c>
      <c r="D1674" s="26">
        <f>4490*1.19</f>
        <v>5343.1</v>
      </c>
      <c r="E1674" s="26"/>
      <c r="F1674" s="26"/>
    </row>
    <row r="1675">
      <c r="A1675" s="16" t="s">
        <v>2473</v>
      </c>
      <c r="B1675" s="49" t="s">
        <v>2474</v>
      </c>
      <c r="C1675" s="16" t="s">
        <v>2475</v>
      </c>
      <c r="D1675" s="26">
        <f>5382*1.19</f>
        <v>6404.58</v>
      </c>
      <c r="E1675" s="26"/>
      <c r="F1675" s="26"/>
    </row>
    <row r="1676">
      <c r="A1676" s="52" t="s">
        <v>2476</v>
      </c>
      <c r="B1676" s="51"/>
      <c r="C1676" s="16" t="s">
        <v>2477</v>
      </c>
      <c r="D1676" s="26">
        <f>18500*1.19-925</f>
        <v>21090</v>
      </c>
      <c r="E1676" s="26"/>
      <c r="F1676" s="26"/>
    </row>
    <row r="1677">
      <c r="A1677" s="42" t="s">
        <v>2478</v>
      </c>
      <c r="B1677" s="49"/>
      <c r="C1677" s="16" t="s">
        <v>2479</v>
      </c>
      <c r="D1677" s="26">
        <v>1.0</v>
      </c>
      <c r="E1677" s="26"/>
      <c r="F1677" s="26"/>
    </row>
    <row r="1678">
      <c r="A1678" s="122" t="s">
        <v>2480</v>
      </c>
      <c r="B1678" s="51">
        <v>240001.0</v>
      </c>
      <c r="C1678" s="16" t="s">
        <v>425</v>
      </c>
      <c r="D1678" s="26">
        <f>320*1.19</f>
        <v>380.8</v>
      </c>
      <c r="E1678" s="26"/>
      <c r="F1678" s="26"/>
    </row>
    <row r="1679">
      <c r="A1679" s="122" t="s">
        <v>2481</v>
      </c>
      <c r="B1679" s="51">
        <v>240003.0</v>
      </c>
      <c r="C1679" s="16" t="s">
        <v>425</v>
      </c>
      <c r="D1679" s="521">
        <v>427.0</v>
      </c>
      <c r="E1679" s="521"/>
      <c r="F1679" s="521"/>
    </row>
    <row r="1680">
      <c r="A1680" s="122" t="s">
        <v>2482</v>
      </c>
      <c r="B1680" s="51">
        <v>240015.0</v>
      </c>
      <c r="C1680" s="16" t="s">
        <v>425</v>
      </c>
      <c r="D1680" s="521">
        <f>703*1.19</f>
        <v>836.57</v>
      </c>
      <c r="E1680" s="521"/>
      <c r="F1680" s="521"/>
    </row>
    <row r="1681">
      <c r="A1681" s="122" t="s">
        <v>2483</v>
      </c>
      <c r="B1681" s="51">
        <v>240009.0</v>
      </c>
      <c r="C1681" s="16" t="s">
        <v>425</v>
      </c>
      <c r="D1681" s="520">
        <f>790*1.19</f>
        <v>940.1</v>
      </c>
      <c r="E1681" s="520"/>
      <c r="F1681" s="520"/>
    </row>
    <row r="1682">
      <c r="A1682" s="122" t="s">
        <v>2484</v>
      </c>
      <c r="B1682" s="51">
        <v>240011.0</v>
      </c>
      <c r="C1682" s="16" t="s">
        <v>425</v>
      </c>
      <c r="D1682" s="521">
        <f t="shared" ref="D1682:D1685" si="63">703*1.19</f>
        <v>836.57</v>
      </c>
      <c r="E1682" s="521"/>
      <c r="F1682" s="521"/>
    </row>
    <row r="1683">
      <c r="A1683" s="122" t="s">
        <v>2485</v>
      </c>
      <c r="B1683" s="51">
        <v>240005.0</v>
      </c>
      <c r="C1683" s="16" t="s">
        <v>425</v>
      </c>
      <c r="D1683" s="521">
        <f t="shared" si="63"/>
        <v>836.57</v>
      </c>
      <c r="E1683" s="521"/>
      <c r="F1683" s="521"/>
    </row>
    <row r="1684">
      <c r="A1684" s="122" t="s">
        <v>2486</v>
      </c>
      <c r="B1684" s="51">
        <v>240013.0</v>
      </c>
      <c r="C1684" s="16" t="s">
        <v>425</v>
      </c>
      <c r="D1684" s="521">
        <f t="shared" si="63"/>
        <v>836.57</v>
      </c>
      <c r="E1684" s="521"/>
      <c r="F1684" s="521"/>
    </row>
    <row r="1685">
      <c r="A1685" s="122" t="s">
        <v>2487</v>
      </c>
      <c r="B1685" s="51">
        <v>240007.0</v>
      </c>
      <c r="C1685" s="16" t="s">
        <v>425</v>
      </c>
      <c r="D1685" s="521">
        <f t="shared" si="63"/>
        <v>836.57</v>
      </c>
      <c r="E1685" s="521"/>
      <c r="F1685" s="521"/>
    </row>
    <row r="1686">
      <c r="A1686" s="122" t="s">
        <v>2488</v>
      </c>
      <c r="B1686" s="51">
        <v>240002.0</v>
      </c>
      <c r="C1686" s="16" t="s">
        <v>425</v>
      </c>
      <c r="D1686" s="521">
        <v>300.0</v>
      </c>
      <c r="E1686" s="521"/>
      <c r="F1686" s="521"/>
    </row>
    <row r="1687">
      <c r="A1687" s="16" t="s">
        <v>2489</v>
      </c>
      <c r="B1687" s="51">
        <v>1.0</v>
      </c>
      <c r="C1687" s="16" t="s">
        <v>93</v>
      </c>
      <c r="D1687" s="26">
        <v>706000.0</v>
      </c>
      <c r="E1687" s="26"/>
      <c r="F1687" s="26"/>
    </row>
    <row r="1688">
      <c r="A1688" s="16" t="s">
        <v>2490</v>
      </c>
      <c r="B1688" s="49"/>
      <c r="C1688" s="16" t="s">
        <v>93</v>
      </c>
      <c r="D1688" s="79">
        <v>1154000.0</v>
      </c>
      <c r="E1688" s="79"/>
      <c r="F1688" s="79"/>
    </row>
    <row r="1689">
      <c r="A1689" s="16" t="s">
        <v>2491</v>
      </c>
      <c r="B1689" s="49">
        <v>1.0</v>
      </c>
      <c r="C1689" s="16" t="s">
        <v>93</v>
      </c>
      <c r="D1689" s="26">
        <v>1005000.0</v>
      </c>
      <c r="E1689" s="26"/>
      <c r="F1689" s="26"/>
    </row>
    <row r="1690">
      <c r="A1690" s="16" t="s">
        <v>2492</v>
      </c>
      <c r="B1690" s="51"/>
      <c r="C1690" s="16" t="s">
        <v>792</v>
      </c>
      <c r="D1690" s="26"/>
      <c r="E1690" s="26"/>
      <c r="F1690" s="26"/>
    </row>
    <row r="1691">
      <c r="A1691" s="40" t="s">
        <v>2493</v>
      </c>
      <c r="B1691" s="51"/>
      <c r="C1691" s="16" t="s">
        <v>2494</v>
      </c>
      <c r="D1691" s="520">
        <v>185600.0</v>
      </c>
      <c r="E1691" s="520"/>
      <c r="F1691" s="520"/>
    </row>
    <row r="1692">
      <c r="A1692" s="52" t="s">
        <v>2495</v>
      </c>
      <c r="B1692" s="49"/>
      <c r="C1692" s="16" t="s">
        <v>88</v>
      </c>
      <c r="D1692" s="26">
        <f>11235*1.19</f>
        <v>13369.65</v>
      </c>
      <c r="E1692" s="26"/>
      <c r="F1692" s="26"/>
    </row>
    <row r="1693">
      <c r="A1693" s="16" t="s">
        <v>2496</v>
      </c>
      <c r="B1693" s="51"/>
      <c r="C1693" s="16" t="s">
        <v>588</v>
      </c>
      <c r="D1693" s="26">
        <v>4282.0</v>
      </c>
      <c r="E1693" s="26"/>
      <c r="F1693" s="26"/>
    </row>
    <row r="1694">
      <c r="A1694" s="16" t="s">
        <v>2497</v>
      </c>
      <c r="B1694" s="51"/>
      <c r="C1694" s="16" t="s">
        <v>588</v>
      </c>
      <c r="D1694" s="26">
        <v>2975.0</v>
      </c>
      <c r="E1694" s="26"/>
      <c r="F1694" s="26"/>
    </row>
    <row r="1695">
      <c r="A1695" s="16" t="s">
        <v>2498</v>
      </c>
      <c r="B1695" s="51"/>
      <c r="C1695" s="16" t="s">
        <v>670</v>
      </c>
      <c r="D1695" s="26">
        <f>2178*1.19</f>
        <v>2591.82</v>
      </c>
      <c r="E1695" s="26"/>
      <c r="F1695" s="26"/>
    </row>
    <row r="1696">
      <c r="A1696" s="16" t="s">
        <v>2499</v>
      </c>
      <c r="B1696" s="51"/>
      <c r="C1696" s="16" t="s">
        <v>670</v>
      </c>
      <c r="D1696" s="26">
        <f>910*1.19</f>
        <v>1082.9</v>
      </c>
      <c r="E1696" s="26"/>
      <c r="F1696" s="26"/>
    </row>
    <row r="1697">
      <c r="A1697" s="16" t="s">
        <v>2500</v>
      </c>
      <c r="B1697" s="51"/>
      <c r="C1697" s="16" t="s">
        <v>670</v>
      </c>
      <c r="D1697" s="26">
        <f>4202*1.19</f>
        <v>5000.38</v>
      </c>
      <c r="E1697" s="26"/>
      <c r="F1697" s="26"/>
    </row>
    <row r="1698">
      <c r="A1698" s="16" t="s">
        <v>2501</v>
      </c>
      <c r="B1698" s="51"/>
      <c r="C1698" s="16" t="s">
        <v>2502</v>
      </c>
      <c r="D1698" s="26">
        <v>6288.0</v>
      </c>
      <c r="E1698" s="26"/>
      <c r="F1698" s="26"/>
    </row>
    <row r="1699">
      <c r="A1699" s="16" t="s">
        <v>2503</v>
      </c>
      <c r="B1699" s="51"/>
      <c r="C1699" s="16" t="s">
        <v>93</v>
      </c>
      <c r="D1699" s="26">
        <v>188200.0</v>
      </c>
      <c r="E1699" s="26"/>
      <c r="F1699" s="26"/>
    </row>
    <row r="1700">
      <c r="A1700" s="52" t="s">
        <v>2504</v>
      </c>
      <c r="B1700" s="51"/>
      <c r="C1700" s="16" t="s">
        <v>2505</v>
      </c>
      <c r="D1700" s="26">
        <f>6100*1.19</f>
        <v>7259</v>
      </c>
      <c r="E1700" s="26"/>
      <c r="F1700" s="26"/>
    </row>
    <row r="1701">
      <c r="A1701" s="42" t="s">
        <v>2506</v>
      </c>
      <c r="B1701" s="273"/>
      <c r="C1701" s="16" t="s">
        <v>102</v>
      </c>
      <c r="D1701" s="26">
        <v>29040.0</v>
      </c>
      <c r="E1701" s="26"/>
      <c r="F1701" s="26"/>
    </row>
    <row r="1702">
      <c r="A1702" s="16" t="s">
        <v>2507</v>
      </c>
      <c r="B1702" s="51"/>
      <c r="C1702" s="16" t="s">
        <v>1328</v>
      </c>
      <c r="D1702" s="26">
        <v>29500.0</v>
      </c>
      <c r="E1702" s="26"/>
      <c r="F1702" s="26"/>
    </row>
    <row r="1703">
      <c r="A1703" s="16" t="s">
        <v>2508</v>
      </c>
      <c r="B1703" s="51"/>
      <c r="C1703" s="16" t="s">
        <v>476</v>
      </c>
      <c r="D1703" s="26">
        <v>37000.0</v>
      </c>
      <c r="E1703" s="26"/>
      <c r="F1703" s="26"/>
    </row>
    <row r="1704">
      <c r="A1704" s="16" t="s">
        <v>2509</v>
      </c>
      <c r="B1704" s="51"/>
      <c r="C1704" s="16" t="s">
        <v>57</v>
      </c>
      <c r="D1704" s="26">
        <v>10000.0</v>
      </c>
      <c r="E1704" s="26"/>
      <c r="F1704" s="26"/>
    </row>
    <row r="1705">
      <c r="A1705" s="16" t="s">
        <v>2510</v>
      </c>
      <c r="B1705" s="51"/>
      <c r="C1705" s="16" t="s">
        <v>57</v>
      </c>
      <c r="D1705" s="26">
        <f>130900/5</f>
        <v>26180</v>
      </c>
      <c r="E1705" s="26"/>
      <c r="F1705" s="26"/>
    </row>
    <row r="1706">
      <c r="A1706" s="16" t="s">
        <v>2511</v>
      </c>
      <c r="B1706" s="51"/>
      <c r="C1706" s="16" t="s">
        <v>2512</v>
      </c>
      <c r="D1706" s="26">
        <v>2200.0</v>
      </c>
      <c r="E1706" s="26"/>
      <c r="F1706" s="26"/>
    </row>
    <row r="1707">
      <c r="A1707" s="52" t="s">
        <v>2513</v>
      </c>
      <c r="B1707" s="51"/>
      <c r="C1707" s="16" t="s">
        <v>2199</v>
      </c>
      <c r="D1707" s="79">
        <v>22000.0</v>
      </c>
      <c r="E1707" s="79"/>
      <c r="F1707" s="79"/>
    </row>
    <row r="1708">
      <c r="A1708" s="16" t="s">
        <v>2514</v>
      </c>
      <c r="B1708" s="51"/>
      <c r="C1708" s="16" t="s">
        <v>1935</v>
      </c>
      <c r="D1708" s="26">
        <v>1462.0</v>
      </c>
      <c r="E1708" s="26"/>
      <c r="F1708" s="26"/>
    </row>
    <row r="1709">
      <c r="A1709" s="16" t="s">
        <v>2515</v>
      </c>
      <c r="B1709" s="49"/>
      <c r="C1709" s="16" t="s">
        <v>93</v>
      </c>
      <c r="D1709" s="26">
        <f>137590/10</f>
        <v>13759</v>
      </c>
      <c r="E1709" s="26"/>
      <c r="F1709" s="26"/>
    </row>
    <row r="1710">
      <c r="A1710" s="16" t="s">
        <v>2516</v>
      </c>
      <c r="B1710" s="49"/>
      <c r="C1710" s="16" t="s">
        <v>93</v>
      </c>
      <c r="D1710" s="26">
        <v>144800.0</v>
      </c>
      <c r="E1710" s="26"/>
      <c r="F1710" s="26"/>
    </row>
    <row r="1711">
      <c r="A1711" s="16" t="s">
        <v>2517</v>
      </c>
      <c r="B1711" s="51"/>
      <c r="C1711" s="16" t="s">
        <v>93</v>
      </c>
      <c r="D1711" s="79">
        <v>32590.0</v>
      </c>
      <c r="E1711" s="79"/>
      <c r="F1711" s="79"/>
    </row>
    <row r="1712">
      <c r="A1712" s="16" t="s">
        <v>2518</v>
      </c>
      <c r="B1712" s="51"/>
      <c r="C1712" s="16" t="s">
        <v>473</v>
      </c>
      <c r="D1712" s="26">
        <v>28000.0</v>
      </c>
      <c r="E1712" s="26"/>
      <c r="F1712" s="26"/>
    </row>
    <row r="1713">
      <c r="A1713" s="16" t="s">
        <v>2519</v>
      </c>
      <c r="B1713" s="49" t="s">
        <v>2520</v>
      </c>
      <c r="C1713" s="16" t="s">
        <v>70</v>
      </c>
      <c r="D1713" s="26">
        <f>40000*0.8</f>
        <v>32000</v>
      </c>
      <c r="E1713" s="26"/>
      <c r="F1713" s="26"/>
    </row>
    <row r="1714">
      <c r="A1714" s="16" t="s">
        <v>2521</v>
      </c>
      <c r="B1714" s="51" t="s">
        <v>2522</v>
      </c>
      <c r="C1714" s="20" t="s">
        <v>78</v>
      </c>
      <c r="D1714" s="26">
        <v>26760.0</v>
      </c>
      <c r="E1714" s="26"/>
      <c r="F1714" s="26"/>
    </row>
    <row r="1715">
      <c r="A1715" s="16" t="s">
        <v>2523</v>
      </c>
      <c r="B1715" s="49"/>
      <c r="C1715" s="16" t="s">
        <v>93</v>
      </c>
      <c r="D1715" s="26">
        <v>266300.0</v>
      </c>
      <c r="E1715" s="26"/>
      <c r="F1715" s="26"/>
    </row>
    <row r="1716">
      <c r="A1716" s="16" t="s">
        <v>2524</v>
      </c>
      <c r="B1716" s="49"/>
      <c r="C1716" s="16" t="s">
        <v>93</v>
      </c>
      <c r="D1716" s="26">
        <v>290000.0</v>
      </c>
      <c r="E1716" s="26"/>
      <c r="F1716" s="26"/>
    </row>
    <row r="1717">
      <c r="A1717" s="16" t="s">
        <v>2525</v>
      </c>
      <c r="B1717" s="49"/>
      <c r="C1717" s="16" t="s">
        <v>93</v>
      </c>
      <c r="D1717" s="26">
        <v>82900.0</v>
      </c>
      <c r="E1717" s="26"/>
      <c r="F1717" s="26"/>
    </row>
    <row r="1718">
      <c r="A1718" s="16" t="s">
        <v>2527</v>
      </c>
      <c r="B1718" s="49"/>
      <c r="C1718" s="16" t="s">
        <v>1573</v>
      </c>
      <c r="D1718" s="26">
        <v>110000.0</v>
      </c>
      <c r="E1718" s="26"/>
      <c r="F1718" s="26"/>
    </row>
    <row r="1719">
      <c r="A1719" s="16" t="s">
        <v>2528</v>
      </c>
      <c r="B1719" s="49" t="s">
        <v>2529</v>
      </c>
      <c r="C1719" s="16" t="s">
        <v>1573</v>
      </c>
      <c r="D1719" s="26"/>
      <c r="E1719" s="26"/>
      <c r="F1719" s="26"/>
    </row>
    <row r="1720">
      <c r="A1720" s="16" t="s">
        <v>2531</v>
      </c>
      <c r="B1720" s="49" t="s">
        <v>2529</v>
      </c>
      <c r="C1720" s="16" t="s">
        <v>93</v>
      </c>
      <c r="D1720" s="79">
        <v>213000.0</v>
      </c>
      <c r="E1720" s="79"/>
      <c r="F1720" s="79"/>
    </row>
    <row r="1721">
      <c r="A1721" s="16" t="s">
        <v>2532</v>
      </c>
      <c r="B1721" s="51"/>
      <c r="C1721" s="16" t="s">
        <v>2533</v>
      </c>
      <c r="D1721" s="26">
        <f>30478*1.19+7500</f>
        <v>43768.82</v>
      </c>
      <c r="E1721" s="26"/>
      <c r="F1721" s="26"/>
    </row>
    <row r="1722">
      <c r="A1722" s="16" t="s">
        <v>2534</v>
      </c>
      <c r="B1722" s="49"/>
      <c r="C1722" s="16" t="s">
        <v>1210</v>
      </c>
      <c r="D1722" s="26">
        <f>164800/2</f>
        <v>82400</v>
      </c>
      <c r="E1722" s="26"/>
      <c r="F1722" s="26"/>
    </row>
    <row r="1723">
      <c r="A1723" s="16" t="s">
        <v>2535</v>
      </c>
      <c r="B1723" s="49"/>
      <c r="C1723" s="16" t="s">
        <v>1626</v>
      </c>
      <c r="D1723" s="520">
        <v>87120.0</v>
      </c>
      <c r="E1723" s="520"/>
      <c r="F1723" s="520"/>
    </row>
    <row r="1724">
      <c r="A1724" s="16" t="s">
        <v>2536</v>
      </c>
      <c r="B1724" s="49"/>
      <c r="C1724" s="16" t="s">
        <v>1626</v>
      </c>
      <c r="D1724" s="520">
        <v>75000.0</v>
      </c>
      <c r="E1724" s="520"/>
      <c r="F1724" s="520"/>
    </row>
    <row r="1725">
      <c r="A1725" s="16" t="s">
        <v>2537</v>
      </c>
      <c r="B1725" s="49"/>
      <c r="C1725" s="16" t="s">
        <v>1626</v>
      </c>
      <c r="D1725" s="520">
        <v>348480.0</v>
      </c>
      <c r="E1725" s="520"/>
      <c r="F1725" s="520"/>
    </row>
    <row r="1726">
      <c r="A1726" s="16" t="s">
        <v>2541</v>
      </c>
      <c r="B1726" s="49"/>
      <c r="C1726" s="16" t="s">
        <v>643</v>
      </c>
      <c r="D1726" s="26">
        <f>450000/56</f>
        <v>8035.714286</v>
      </c>
      <c r="E1726" s="26"/>
      <c r="F1726" s="26"/>
    </row>
    <row r="1727">
      <c r="A1727" s="16" t="s">
        <v>2539</v>
      </c>
      <c r="B1727" s="49"/>
      <c r="C1727" s="16" t="s">
        <v>2540</v>
      </c>
      <c r="D1727" s="26">
        <f>145900/2*1.19</f>
        <v>86810.5</v>
      </c>
      <c r="E1727" s="26"/>
      <c r="F1727" s="26"/>
    </row>
    <row r="1728">
      <c r="A1728" s="16" t="s">
        <v>2543</v>
      </c>
      <c r="B1728" s="49" t="s">
        <v>2529</v>
      </c>
      <c r="C1728" s="16" t="s">
        <v>1210</v>
      </c>
      <c r="D1728" s="26">
        <v>144500.0</v>
      </c>
      <c r="E1728" s="26"/>
      <c r="F1728" s="26"/>
    </row>
    <row r="1729">
      <c r="A1729" s="16" t="s">
        <v>2544</v>
      </c>
      <c r="B1729" s="49" t="s">
        <v>2545</v>
      </c>
      <c r="C1729" s="16" t="s">
        <v>2546</v>
      </c>
      <c r="D1729" s="520">
        <v>101800.0</v>
      </c>
      <c r="E1729" s="520"/>
      <c r="F1729" s="520"/>
    </row>
    <row r="1730">
      <c r="A1730" s="16" t="s">
        <v>2547</v>
      </c>
      <c r="B1730" s="51"/>
      <c r="C1730" s="16" t="s">
        <v>2533</v>
      </c>
      <c r="D1730" s="26">
        <v>84141.0</v>
      </c>
      <c r="E1730" s="26"/>
      <c r="F1730" s="26"/>
    </row>
    <row r="1731">
      <c r="A1731" s="16" t="s">
        <v>2548</v>
      </c>
      <c r="B1731" s="51"/>
      <c r="C1731" s="16" t="s">
        <v>580</v>
      </c>
      <c r="D1731" s="26">
        <v>3280.0</v>
      </c>
      <c r="E1731" s="26"/>
      <c r="F1731" s="26"/>
    </row>
    <row r="1732">
      <c r="A1732" s="16" t="s">
        <v>2549</v>
      </c>
      <c r="B1732" s="51" t="s">
        <v>2550</v>
      </c>
      <c r="C1732" s="16" t="s">
        <v>286</v>
      </c>
      <c r="D1732" s="26">
        <v>2455.0</v>
      </c>
      <c r="E1732" s="26"/>
      <c r="F1732" s="26"/>
    </row>
    <row r="1733">
      <c r="A1733" s="16" t="s">
        <v>2551</v>
      </c>
      <c r="B1733" s="51" t="s">
        <v>2552</v>
      </c>
      <c r="C1733" s="16" t="s">
        <v>286</v>
      </c>
      <c r="D1733" s="26">
        <v>3169.0</v>
      </c>
      <c r="E1733" s="26"/>
      <c r="F1733" s="26"/>
    </row>
    <row r="1734">
      <c r="A1734" s="16" t="s">
        <v>2553</v>
      </c>
      <c r="B1734" s="51" t="s">
        <v>2554</v>
      </c>
      <c r="C1734" s="16" t="s">
        <v>286</v>
      </c>
      <c r="D1734" s="26">
        <v>2882.0</v>
      </c>
      <c r="E1734" s="26"/>
      <c r="F1734" s="26"/>
    </row>
    <row r="1735">
      <c r="A1735" s="16" t="s">
        <v>2555</v>
      </c>
      <c r="B1735" s="97"/>
      <c r="C1735" s="16" t="s">
        <v>93</v>
      </c>
      <c r="D1735" s="538">
        <v>85100.0</v>
      </c>
      <c r="E1735" s="538"/>
      <c r="F1735" s="538"/>
    </row>
    <row r="1736">
      <c r="A1736" s="16" t="s">
        <v>2556</v>
      </c>
      <c r="B1736" s="97" t="s">
        <v>2557</v>
      </c>
      <c r="C1736" s="16" t="s">
        <v>485</v>
      </c>
      <c r="D1736" s="538">
        <f>67000*1.19</f>
        <v>79730</v>
      </c>
      <c r="E1736" s="538"/>
      <c r="F1736" s="538"/>
    </row>
    <row r="1737">
      <c r="A1737" s="16" t="s">
        <v>2558</v>
      </c>
      <c r="B1737" s="97" t="s">
        <v>2559</v>
      </c>
      <c r="C1737" s="16" t="s">
        <v>485</v>
      </c>
      <c r="D1737" s="31">
        <f t="shared" ref="D1737:D1738" si="64">49867*1.19</f>
        <v>59341.73</v>
      </c>
      <c r="E1737" s="31"/>
      <c r="F1737" s="31"/>
    </row>
    <row r="1738">
      <c r="A1738" s="16" t="s">
        <v>2558</v>
      </c>
      <c r="B1738" s="97" t="s">
        <v>2560</v>
      </c>
      <c r="C1738" s="16" t="s">
        <v>485</v>
      </c>
      <c r="D1738" s="31">
        <f t="shared" si="64"/>
        <v>59341.73</v>
      </c>
      <c r="E1738" s="31"/>
      <c r="F1738" s="31"/>
    </row>
    <row r="1739">
      <c r="A1739" s="16" t="s">
        <v>2561</v>
      </c>
      <c r="B1739" s="134" t="s">
        <v>1460</v>
      </c>
      <c r="C1739" s="16" t="s">
        <v>577</v>
      </c>
      <c r="D1739" s="26">
        <v>176400.0</v>
      </c>
      <c r="E1739" s="26"/>
      <c r="F1739" s="26"/>
    </row>
    <row r="1740">
      <c r="A1740" s="16" t="s">
        <v>2562</v>
      </c>
      <c r="B1740" s="97" t="s">
        <v>2563</v>
      </c>
      <c r="C1740" s="16" t="s">
        <v>485</v>
      </c>
      <c r="D1740" s="26">
        <f>103600*1.19</f>
        <v>123284</v>
      </c>
      <c r="E1740" s="26"/>
      <c r="F1740" s="26"/>
    </row>
    <row r="1741">
      <c r="A1741" s="16" t="s">
        <v>2564</v>
      </c>
      <c r="B1741" s="51"/>
      <c r="C1741" s="20" t="s">
        <v>93</v>
      </c>
      <c r="D1741" s="26">
        <v>135980.0</v>
      </c>
      <c r="E1741" s="26"/>
      <c r="F1741" s="26"/>
    </row>
    <row r="1742">
      <c r="A1742" s="16" t="s">
        <v>2565</v>
      </c>
      <c r="B1742" s="51"/>
      <c r="C1742" s="20" t="s">
        <v>2566</v>
      </c>
      <c r="D1742" s="26"/>
      <c r="E1742" s="26"/>
      <c r="F1742" s="26"/>
    </row>
    <row r="1743">
      <c r="A1743" s="16" t="s">
        <v>2567</v>
      </c>
      <c r="B1743" s="97" t="s">
        <v>2568</v>
      </c>
      <c r="C1743" s="16" t="s">
        <v>485</v>
      </c>
      <c r="D1743" s="31">
        <f>36924*1.19</f>
        <v>43939.56</v>
      </c>
      <c r="E1743" s="31"/>
      <c r="F1743" s="31"/>
    </row>
    <row r="1744">
      <c r="A1744" s="16" t="s">
        <v>2569</v>
      </c>
      <c r="B1744" s="134" t="s">
        <v>1460</v>
      </c>
      <c r="C1744" s="20" t="s">
        <v>93</v>
      </c>
      <c r="D1744" s="26">
        <v>165000.0</v>
      </c>
      <c r="E1744" s="26"/>
      <c r="F1744" s="26"/>
    </row>
    <row r="1745">
      <c r="A1745" s="16" t="s">
        <v>2570</v>
      </c>
      <c r="B1745" s="51"/>
      <c r="C1745" s="16" t="s">
        <v>16</v>
      </c>
      <c r="D1745" s="26">
        <v>42000.0</v>
      </c>
      <c r="E1745" s="26"/>
      <c r="F1745" s="26"/>
    </row>
    <row r="1746">
      <c r="A1746" s="16" t="s">
        <v>2571</v>
      </c>
      <c r="B1746" s="51"/>
      <c r="C1746" s="16" t="s">
        <v>630</v>
      </c>
      <c r="D1746" s="26">
        <v>46560.0</v>
      </c>
      <c r="E1746" s="26"/>
      <c r="F1746" s="26"/>
    </row>
    <row r="1747">
      <c r="A1747" s="16" t="s">
        <v>2572</v>
      </c>
      <c r="B1747" s="51"/>
      <c r="C1747" s="16" t="s">
        <v>16</v>
      </c>
      <c r="D1747" s="26">
        <v>319.0</v>
      </c>
      <c r="E1747" s="26"/>
      <c r="F1747" s="26"/>
    </row>
    <row r="1748">
      <c r="A1748" s="16" t="s">
        <v>2573</v>
      </c>
      <c r="B1748" s="51"/>
      <c r="C1748" s="16" t="s">
        <v>57</v>
      </c>
      <c r="D1748" s="26">
        <v>10000.0</v>
      </c>
      <c r="E1748" s="26"/>
      <c r="F1748" s="26"/>
    </row>
    <row r="1749">
      <c r="A1749" s="16" t="s">
        <v>2574</v>
      </c>
      <c r="B1749" s="51" t="s">
        <v>2575</v>
      </c>
      <c r="C1749" s="16" t="s">
        <v>286</v>
      </c>
      <c r="D1749" s="79">
        <v>7318.0</v>
      </c>
      <c r="E1749" s="79"/>
      <c r="F1749" s="79"/>
    </row>
    <row r="1750">
      <c r="A1750" s="16" t="s">
        <v>2576</v>
      </c>
      <c r="B1750" s="51" t="s">
        <v>2577</v>
      </c>
      <c r="C1750" s="16" t="s">
        <v>286</v>
      </c>
      <c r="D1750" s="79">
        <v>7741.0</v>
      </c>
      <c r="E1750" s="79"/>
      <c r="F1750" s="79"/>
    </row>
    <row r="1751">
      <c r="A1751" s="16" t="s">
        <v>2578</v>
      </c>
      <c r="B1751" s="51"/>
      <c r="C1751" s="16" t="s">
        <v>286</v>
      </c>
      <c r="D1751" s="26">
        <v>7233.0</v>
      </c>
      <c r="E1751" s="26"/>
      <c r="F1751" s="26"/>
    </row>
    <row r="1752">
      <c r="A1752" s="16" t="s">
        <v>2579</v>
      </c>
      <c r="B1752" s="51" t="s">
        <v>2580</v>
      </c>
      <c r="C1752" s="16" t="s">
        <v>286</v>
      </c>
      <c r="D1752" s="26">
        <v>7625.0</v>
      </c>
      <c r="E1752" s="26"/>
      <c r="F1752" s="26"/>
    </row>
    <row r="1753">
      <c r="A1753" s="16" t="s">
        <v>2581</v>
      </c>
      <c r="B1753" s="51"/>
      <c r="C1753" s="16" t="s">
        <v>286</v>
      </c>
      <c r="D1753" s="26">
        <v>7233.0</v>
      </c>
      <c r="E1753" s="26"/>
      <c r="F1753" s="26"/>
    </row>
    <row r="1754">
      <c r="A1754" s="16" t="s">
        <v>2582</v>
      </c>
      <c r="B1754" s="51" t="s">
        <v>2583</v>
      </c>
      <c r="C1754" s="16" t="s">
        <v>286</v>
      </c>
      <c r="D1754" s="26">
        <v>7354.0</v>
      </c>
      <c r="E1754" s="26"/>
      <c r="F1754" s="26"/>
    </row>
    <row r="1755">
      <c r="A1755" s="16" t="s">
        <v>2584</v>
      </c>
      <c r="B1755" s="51" t="s">
        <v>2585</v>
      </c>
      <c r="C1755" s="16" t="s">
        <v>286</v>
      </c>
      <c r="D1755" s="26">
        <v>9181.0</v>
      </c>
      <c r="E1755" s="26"/>
      <c r="F1755" s="26"/>
    </row>
    <row r="1756">
      <c r="A1756" s="16" t="s">
        <v>2586</v>
      </c>
      <c r="B1756" s="51"/>
      <c r="C1756" s="16" t="s">
        <v>286</v>
      </c>
      <c r="D1756" s="26">
        <v>7233.0</v>
      </c>
      <c r="E1756" s="26"/>
      <c r="F1756" s="26"/>
    </row>
    <row r="1757">
      <c r="A1757" s="16" t="s">
        <v>2587</v>
      </c>
      <c r="B1757" s="51" t="s">
        <v>2588</v>
      </c>
      <c r="C1757" s="16" t="s">
        <v>630</v>
      </c>
      <c r="D1757" s="26">
        <v>14000.0</v>
      </c>
      <c r="E1757" s="26"/>
      <c r="F1757" s="26"/>
    </row>
    <row r="1758">
      <c r="A1758" s="16" t="s">
        <v>2590</v>
      </c>
      <c r="B1758" s="51" t="s">
        <v>2588</v>
      </c>
      <c r="C1758" s="16" t="s">
        <v>630</v>
      </c>
      <c r="D1758" s="26">
        <v>14000.0</v>
      </c>
      <c r="E1758" s="26"/>
      <c r="F1758" s="26"/>
    </row>
    <row r="1759">
      <c r="A1759" s="16" t="s">
        <v>2591</v>
      </c>
      <c r="B1759" s="51" t="s">
        <v>2588</v>
      </c>
      <c r="C1759" s="16" t="s">
        <v>630</v>
      </c>
      <c r="D1759" s="26">
        <v>14000.0</v>
      </c>
      <c r="E1759" s="26"/>
      <c r="F1759" s="26"/>
    </row>
    <row r="1760">
      <c r="A1760" s="16" t="s">
        <v>2592</v>
      </c>
      <c r="B1760" s="51" t="s">
        <v>2588</v>
      </c>
      <c r="C1760" s="16" t="s">
        <v>630</v>
      </c>
      <c r="D1760" s="26">
        <v>14000.0</v>
      </c>
      <c r="E1760" s="26"/>
      <c r="F1760" s="26"/>
    </row>
    <row r="1761">
      <c r="A1761" s="16" t="s">
        <v>2593</v>
      </c>
      <c r="B1761" s="51" t="s">
        <v>2594</v>
      </c>
      <c r="C1761" s="16" t="s">
        <v>286</v>
      </c>
      <c r="D1761" s="26">
        <v>5303.0</v>
      </c>
      <c r="E1761" s="26"/>
      <c r="F1761" s="26"/>
    </row>
    <row r="1762">
      <c r="A1762" s="16" t="s">
        <v>2595</v>
      </c>
      <c r="B1762" s="51" t="s">
        <v>2596</v>
      </c>
      <c r="C1762" s="16" t="s">
        <v>286</v>
      </c>
      <c r="D1762" s="26">
        <v>5303.0</v>
      </c>
      <c r="E1762" s="26"/>
      <c r="F1762" s="26"/>
    </row>
    <row r="1763">
      <c r="A1763" s="16" t="s">
        <v>2597</v>
      </c>
      <c r="B1763" s="51" t="s">
        <v>2598</v>
      </c>
      <c r="C1763" s="16" t="s">
        <v>286</v>
      </c>
      <c r="D1763" s="26">
        <v>5303.0</v>
      </c>
      <c r="E1763" s="26"/>
      <c r="F1763" s="26"/>
    </row>
    <row r="1764">
      <c r="A1764" s="16" t="s">
        <v>2599</v>
      </c>
      <c r="B1764" s="51" t="s">
        <v>2600</v>
      </c>
      <c r="C1764" s="16" t="s">
        <v>630</v>
      </c>
      <c r="D1764" s="26">
        <v>13000.0</v>
      </c>
      <c r="E1764" s="26"/>
      <c r="F1764" s="26"/>
    </row>
    <row r="1765">
      <c r="A1765" s="16" t="s">
        <v>2601</v>
      </c>
      <c r="B1765" s="51" t="s">
        <v>2600</v>
      </c>
      <c r="C1765" s="16" t="s">
        <v>630</v>
      </c>
      <c r="D1765" s="26">
        <v>13000.0</v>
      </c>
      <c r="E1765" s="26"/>
      <c r="F1765" s="26"/>
    </row>
    <row r="1766">
      <c r="A1766" s="16" t="s">
        <v>2602</v>
      </c>
      <c r="B1766" s="51" t="s">
        <v>2600</v>
      </c>
      <c r="C1766" s="16" t="s">
        <v>630</v>
      </c>
      <c r="D1766" s="26">
        <v>13000.0</v>
      </c>
      <c r="E1766" s="26"/>
      <c r="F1766" s="26"/>
    </row>
    <row r="1767">
      <c r="A1767" s="16" t="s">
        <v>2603</v>
      </c>
      <c r="B1767" s="51" t="s">
        <v>2600</v>
      </c>
      <c r="C1767" s="16" t="s">
        <v>630</v>
      </c>
      <c r="D1767" s="26">
        <v>13000.0</v>
      </c>
      <c r="E1767" s="26"/>
      <c r="F1767" s="26"/>
    </row>
    <row r="1768">
      <c r="A1768" s="16" t="s">
        <v>2604</v>
      </c>
      <c r="B1768" s="51" t="s">
        <v>2605</v>
      </c>
      <c r="C1768" s="20" t="s">
        <v>2606</v>
      </c>
      <c r="D1768" s="26">
        <v>55000.0</v>
      </c>
      <c r="E1768" s="26"/>
      <c r="F1768" s="26"/>
    </row>
    <row r="1769">
      <c r="A1769" s="16" t="s">
        <v>2607</v>
      </c>
      <c r="B1769" s="51" t="s">
        <v>2608</v>
      </c>
      <c r="C1769" s="20" t="s">
        <v>2606</v>
      </c>
      <c r="D1769" s="26">
        <v>6600.0</v>
      </c>
      <c r="E1769" s="26"/>
      <c r="F1769" s="26"/>
    </row>
    <row r="1770">
      <c r="A1770" s="16" t="s">
        <v>2609</v>
      </c>
      <c r="B1770" s="51"/>
      <c r="C1770" s="20" t="s">
        <v>2606</v>
      </c>
      <c r="D1770" s="26">
        <v>55000.0</v>
      </c>
      <c r="E1770" s="26"/>
      <c r="F1770" s="26"/>
    </row>
    <row r="1771">
      <c r="A1771" s="16" t="s">
        <v>2610</v>
      </c>
      <c r="B1771" s="51" t="s">
        <v>2611</v>
      </c>
      <c r="C1771" s="20" t="s">
        <v>2606</v>
      </c>
      <c r="D1771" s="26">
        <v>55000.0</v>
      </c>
      <c r="E1771" s="26"/>
      <c r="F1771" s="26"/>
    </row>
    <row r="1772">
      <c r="A1772" s="42" t="s">
        <v>2612</v>
      </c>
      <c r="B1772" s="42" t="s">
        <v>2613</v>
      </c>
      <c r="C1772" s="16" t="s">
        <v>1400</v>
      </c>
      <c r="D1772" s="26">
        <f t="shared" ref="D1772:D1773" si="65">283255/3</f>
        <v>94418.33333</v>
      </c>
      <c r="E1772" s="26"/>
      <c r="F1772" s="26"/>
    </row>
    <row r="1773">
      <c r="A1773" s="42" t="s">
        <v>2615</v>
      </c>
      <c r="B1773" s="42" t="s">
        <v>2613</v>
      </c>
      <c r="C1773" s="16" t="s">
        <v>1400</v>
      </c>
      <c r="D1773" s="26">
        <f t="shared" si="65"/>
        <v>94418.33333</v>
      </c>
      <c r="E1773" s="26"/>
      <c r="F1773" s="26"/>
    </row>
    <row r="1774">
      <c r="A1774" s="52" t="s">
        <v>2616</v>
      </c>
      <c r="B1774" s="51"/>
      <c r="C1774" s="16" t="s">
        <v>2617</v>
      </c>
      <c r="D1774" s="26">
        <f>3500*0.95*1.19</f>
        <v>3956.75</v>
      </c>
      <c r="E1774" s="26"/>
      <c r="F1774" s="26"/>
    </row>
    <row r="1775">
      <c r="A1775" s="52" t="s">
        <v>2618</v>
      </c>
      <c r="B1775" s="51"/>
      <c r="C1775" s="16" t="s">
        <v>2617</v>
      </c>
      <c r="D1775" s="26">
        <f t="shared" ref="D1775:D1776" si="66">7700*1.19/3</f>
        <v>3054.333333</v>
      </c>
      <c r="E1775" s="26"/>
      <c r="F1775" s="26"/>
    </row>
    <row r="1776">
      <c r="A1776" s="52" t="s">
        <v>2619</v>
      </c>
      <c r="B1776" s="51"/>
      <c r="C1776" s="16" t="s">
        <v>2617</v>
      </c>
      <c r="D1776" s="26">
        <f t="shared" si="66"/>
        <v>3054.333333</v>
      </c>
      <c r="E1776" s="26"/>
      <c r="F1776" s="26"/>
    </row>
    <row r="1777">
      <c r="A1777" s="16" t="s">
        <v>2620</v>
      </c>
      <c r="B1777" s="51"/>
      <c r="C1777" s="16" t="s">
        <v>2621</v>
      </c>
      <c r="D1777" s="26">
        <v>2800.0</v>
      </c>
      <c r="E1777" s="26"/>
      <c r="F1777" s="26"/>
    </row>
    <row r="1778">
      <c r="A1778" s="52" t="s">
        <v>2622</v>
      </c>
      <c r="B1778" s="51"/>
      <c r="C1778" s="16" t="s">
        <v>2617</v>
      </c>
      <c r="D1778" s="26">
        <f>7700*1.19/3</f>
        <v>3054.333333</v>
      </c>
      <c r="E1778" s="26"/>
      <c r="F1778" s="26"/>
    </row>
    <row r="1779">
      <c r="A1779" s="16" t="s">
        <v>2623</v>
      </c>
      <c r="B1779" s="51"/>
      <c r="C1779" s="16" t="s">
        <v>2624</v>
      </c>
      <c r="D1779" s="26"/>
      <c r="E1779" s="26"/>
      <c r="F1779" s="26"/>
    </row>
    <row r="1780">
      <c r="A1780" s="16" t="s">
        <v>2625</v>
      </c>
      <c r="B1780" s="51" t="s">
        <v>2626</v>
      </c>
      <c r="C1780" s="16" t="s">
        <v>2627</v>
      </c>
      <c r="D1780" s="26">
        <v>11000.0</v>
      </c>
      <c r="E1780" s="26"/>
      <c r="F1780" s="26"/>
    </row>
    <row r="1781">
      <c r="A1781" s="16" t="s">
        <v>2628</v>
      </c>
      <c r="B1781" s="49" t="s">
        <v>2629</v>
      </c>
      <c r="C1781" s="16" t="s">
        <v>2627</v>
      </c>
      <c r="D1781" s="26">
        <v>10000.0</v>
      </c>
      <c r="E1781" s="26"/>
      <c r="F1781" s="26"/>
    </row>
    <row r="1782">
      <c r="A1782" s="16" t="s">
        <v>2630</v>
      </c>
      <c r="B1782" s="49" t="s">
        <v>2631</v>
      </c>
      <c r="C1782" s="16" t="s">
        <v>2632</v>
      </c>
      <c r="D1782" s="26">
        <v>6600.0</v>
      </c>
      <c r="E1782" s="26"/>
      <c r="F1782" s="26"/>
    </row>
    <row r="1783">
      <c r="A1783" s="16" t="s">
        <v>2633</v>
      </c>
      <c r="B1783" s="49"/>
      <c r="C1783" s="16" t="s">
        <v>625</v>
      </c>
      <c r="D1783" s="26">
        <v>6500.0</v>
      </c>
      <c r="E1783" s="26"/>
      <c r="F1783" s="26"/>
    </row>
    <row r="1784">
      <c r="A1784" s="16" t="s">
        <v>2634</v>
      </c>
      <c r="B1784" s="49"/>
      <c r="C1784" s="16" t="s">
        <v>2635</v>
      </c>
      <c r="D1784" s="26"/>
      <c r="E1784" s="26"/>
      <c r="F1784" s="26"/>
    </row>
    <row r="1785">
      <c r="A1785" s="16" t="s">
        <v>2636</v>
      </c>
      <c r="B1785" s="49"/>
      <c r="C1785" s="16" t="s">
        <v>1333</v>
      </c>
      <c r="D1785" s="26"/>
      <c r="E1785" s="26"/>
      <c r="F1785" s="26"/>
    </row>
    <row r="1786">
      <c r="A1786" s="16" t="s">
        <v>2637</v>
      </c>
      <c r="B1786" s="49"/>
      <c r="C1786" s="16" t="s">
        <v>1333</v>
      </c>
      <c r="D1786" s="26">
        <f>140+19</f>
        <v>159</v>
      </c>
      <c r="E1786" s="26"/>
      <c r="F1786" s="26"/>
    </row>
    <row r="1787">
      <c r="A1787" s="52" t="s">
        <v>2638</v>
      </c>
      <c r="B1787" s="51" t="s">
        <v>2639</v>
      </c>
      <c r="C1787" s="16" t="s">
        <v>2640</v>
      </c>
      <c r="D1787" s="26">
        <f>2845*1.19</f>
        <v>3385.55</v>
      </c>
      <c r="E1787" s="26"/>
      <c r="F1787" s="26"/>
    </row>
    <row r="1788">
      <c r="A1788" s="52" t="s">
        <v>2641</v>
      </c>
      <c r="B1788" s="51" t="s">
        <v>2642</v>
      </c>
      <c r="C1788" s="16" t="s">
        <v>2640</v>
      </c>
      <c r="D1788" s="26">
        <f t="shared" ref="D1788:D1789" si="67">3170*1.19</f>
        <v>3772.3</v>
      </c>
      <c r="E1788" s="26"/>
      <c r="F1788" s="26"/>
    </row>
    <row r="1789">
      <c r="A1789" s="52" t="s">
        <v>2643</v>
      </c>
      <c r="B1789" s="51"/>
      <c r="C1789" s="16" t="s">
        <v>2640</v>
      </c>
      <c r="D1789" s="26">
        <f t="shared" si="67"/>
        <v>3772.3</v>
      </c>
      <c r="E1789" s="26"/>
      <c r="F1789" s="26"/>
    </row>
    <row r="1790">
      <c r="A1790" s="16" t="s">
        <v>2644</v>
      </c>
      <c r="B1790" s="51" t="s">
        <v>2645</v>
      </c>
      <c r="C1790" s="16" t="s">
        <v>286</v>
      </c>
      <c r="D1790" s="520">
        <f>1923*1.19</f>
        <v>2288.37</v>
      </c>
      <c r="E1790" s="520"/>
      <c r="F1790" s="520"/>
    </row>
    <row r="1791">
      <c r="A1791" s="16" t="s">
        <v>2646</v>
      </c>
      <c r="B1791" s="49"/>
      <c r="C1791" s="16" t="s">
        <v>1333</v>
      </c>
      <c r="D1791" s="26">
        <f>406+208</f>
        <v>614</v>
      </c>
      <c r="E1791" s="26"/>
      <c r="F1791" s="26"/>
    </row>
    <row r="1792">
      <c r="A1792" s="16" t="s">
        <v>2647</v>
      </c>
      <c r="B1792" s="49"/>
      <c r="C1792" s="16" t="s">
        <v>1333</v>
      </c>
      <c r="D1792" s="26">
        <f>208+74</f>
        <v>282</v>
      </c>
      <c r="E1792" s="26"/>
      <c r="F1792" s="26"/>
    </row>
    <row r="1793">
      <c r="A1793" s="122" t="s">
        <v>2648</v>
      </c>
      <c r="B1793" s="51">
        <v>249008.0</v>
      </c>
      <c r="C1793" s="16" t="s">
        <v>2649</v>
      </c>
      <c r="D1793" s="520">
        <f>6629*1.19</f>
        <v>7888.51</v>
      </c>
      <c r="E1793" s="520"/>
      <c r="F1793" s="520"/>
    </row>
    <row r="1794">
      <c r="A1794" s="122" t="s">
        <v>2650</v>
      </c>
      <c r="B1794" s="273" t="s">
        <v>2651</v>
      </c>
      <c r="C1794" s="16" t="s">
        <v>2652</v>
      </c>
      <c r="D1794" s="520">
        <v>3451.0</v>
      </c>
      <c r="E1794" s="520"/>
      <c r="F1794" s="520"/>
    </row>
    <row r="1795">
      <c r="A1795" s="122" t="s">
        <v>2654</v>
      </c>
      <c r="B1795" s="51">
        <v>249002.0</v>
      </c>
      <c r="C1795" s="16" t="s">
        <v>2649</v>
      </c>
      <c r="D1795" s="520">
        <f>6201*1.19</f>
        <v>7379.19</v>
      </c>
      <c r="E1795" s="520"/>
      <c r="F1795" s="520"/>
    </row>
    <row r="1796">
      <c r="A1796" s="122" t="s">
        <v>2655</v>
      </c>
      <c r="B1796" s="51" t="s">
        <v>2656</v>
      </c>
      <c r="C1796" s="16" t="s">
        <v>2652</v>
      </c>
      <c r="D1796" s="520">
        <v>3094.0</v>
      </c>
      <c r="E1796" s="520"/>
      <c r="F1796" s="520"/>
    </row>
    <row r="1797">
      <c r="A1797" s="122" t="s">
        <v>2658</v>
      </c>
      <c r="B1797" s="51">
        <v>249001.0</v>
      </c>
      <c r="C1797" s="16" t="s">
        <v>2649</v>
      </c>
      <c r="D1797" s="26">
        <f>3754*1.19</f>
        <v>4467.26</v>
      </c>
      <c r="E1797" s="26"/>
      <c r="F1797" s="26"/>
    </row>
    <row r="1798">
      <c r="A1798" s="122" t="s">
        <v>2659</v>
      </c>
      <c r="B1798" s="51">
        <v>249001.0</v>
      </c>
      <c r="C1798" s="16" t="s">
        <v>2660</v>
      </c>
      <c r="D1798" s="520">
        <f>4876*1.19</f>
        <v>5802.44</v>
      </c>
      <c r="E1798" s="520"/>
      <c r="F1798" s="520"/>
    </row>
    <row r="1799">
      <c r="A1799" s="16" t="s">
        <v>2661</v>
      </c>
      <c r="B1799" s="51"/>
      <c r="C1799" s="16" t="s">
        <v>1108</v>
      </c>
      <c r="D1799" s="26">
        <f>26000*1.19</f>
        <v>30940</v>
      </c>
      <c r="E1799" s="26"/>
      <c r="F1799" s="26"/>
    </row>
    <row r="1800">
      <c r="A1800" s="16" t="s">
        <v>2662</v>
      </c>
      <c r="B1800" s="49"/>
      <c r="C1800" s="16" t="s">
        <v>254</v>
      </c>
      <c r="D1800" s="79">
        <v>270000.0</v>
      </c>
      <c r="E1800" s="79"/>
      <c r="F1800" s="79"/>
    </row>
    <row r="1801">
      <c r="A1801" s="16" t="s">
        <v>2663</v>
      </c>
      <c r="B1801" s="49"/>
      <c r="C1801" s="16" t="s">
        <v>84</v>
      </c>
      <c r="D1801" s="26">
        <f>28*800</f>
        <v>22400</v>
      </c>
      <c r="E1801" s="26"/>
      <c r="F1801" s="26"/>
    </row>
    <row r="1802">
      <c r="A1802" s="16" t="s">
        <v>2664</v>
      </c>
      <c r="B1802" s="51"/>
      <c r="C1802" s="16" t="s">
        <v>1108</v>
      </c>
      <c r="D1802" s="520">
        <v>70210.0</v>
      </c>
      <c r="E1802" s="520"/>
      <c r="F1802" s="520"/>
    </row>
    <row r="1803">
      <c r="A1803" s="40" t="s">
        <v>2665</v>
      </c>
      <c r="B1803" s="51"/>
      <c r="C1803" s="16" t="s">
        <v>1108</v>
      </c>
      <c r="D1803" s="520">
        <v>70210.0</v>
      </c>
      <c r="E1803" s="520"/>
      <c r="F1803" s="520"/>
    </row>
    <row r="1804">
      <c r="A1804" s="16" t="s">
        <v>2666</v>
      </c>
      <c r="B1804" s="51"/>
      <c r="C1804" s="16" t="s">
        <v>2667</v>
      </c>
      <c r="D1804" s="520">
        <f>34000*1.19</f>
        <v>40460</v>
      </c>
      <c r="E1804" s="520"/>
      <c r="F1804" s="520"/>
    </row>
    <row r="1805">
      <c r="A1805" s="16" t="s">
        <v>2668</v>
      </c>
      <c r="B1805" s="51"/>
      <c r="C1805" s="16" t="s">
        <v>2669</v>
      </c>
      <c r="D1805" s="520">
        <v>185000.0</v>
      </c>
      <c r="E1805" s="520"/>
      <c r="F1805" s="520"/>
    </row>
    <row r="1806">
      <c r="A1806" s="16" t="s">
        <v>2670</v>
      </c>
      <c r="B1806" s="51"/>
      <c r="C1806" s="16" t="s">
        <v>2669</v>
      </c>
      <c r="D1806" s="520">
        <v>3700.0</v>
      </c>
      <c r="E1806" s="520"/>
      <c r="F1806" s="520"/>
    </row>
    <row r="1807">
      <c r="A1807" s="16" t="s">
        <v>2671</v>
      </c>
      <c r="B1807" s="51"/>
      <c r="C1807" s="16" t="s">
        <v>2669</v>
      </c>
      <c r="D1807" s="26">
        <v>106000.0</v>
      </c>
      <c r="E1807" s="26"/>
      <c r="F1807" s="26"/>
    </row>
    <row r="1808">
      <c r="A1808" s="122" t="s">
        <v>2672</v>
      </c>
      <c r="B1808" s="51"/>
      <c r="C1808" s="16" t="s">
        <v>254</v>
      </c>
      <c r="D1808" s="26">
        <v>122000.0</v>
      </c>
      <c r="E1808" s="26"/>
      <c r="F1808" s="26"/>
    </row>
    <row r="1809">
      <c r="A1809" s="256" t="s">
        <v>2673</v>
      </c>
      <c r="B1809" s="97" t="s">
        <v>2674</v>
      </c>
      <c r="C1809" s="16" t="s">
        <v>2675</v>
      </c>
      <c r="D1809" s="26">
        <v>480000.0</v>
      </c>
      <c r="E1809" s="26"/>
      <c r="F1809" s="26"/>
    </row>
    <row r="1810">
      <c r="A1810" s="16" t="s">
        <v>2676</v>
      </c>
      <c r="B1810" s="167" t="s">
        <v>2677</v>
      </c>
      <c r="C1810" s="16" t="s">
        <v>1400</v>
      </c>
      <c r="D1810" s="79">
        <v>109081.0</v>
      </c>
      <c r="E1810" s="79"/>
      <c r="F1810" s="79"/>
    </row>
    <row r="1811">
      <c r="A1811" s="16" t="s">
        <v>2678</v>
      </c>
      <c r="B1811" s="49" t="s">
        <v>2679</v>
      </c>
      <c r="C1811" s="16" t="s">
        <v>1400</v>
      </c>
      <c r="D1811" s="79">
        <v>113000.0</v>
      </c>
      <c r="E1811" s="79"/>
      <c r="F1811" s="79"/>
    </row>
    <row r="1812">
      <c r="A1812" s="16" t="s">
        <v>2680</v>
      </c>
      <c r="B1812" s="49" t="s">
        <v>2681</v>
      </c>
      <c r="C1812" s="16" t="s">
        <v>1400</v>
      </c>
      <c r="D1812" s="79">
        <v>71470.0</v>
      </c>
      <c r="E1812" s="79"/>
      <c r="F1812" s="79"/>
    </row>
    <row r="1813">
      <c r="A1813" s="16" t="s">
        <v>2682</v>
      </c>
      <c r="B1813" s="49" t="s">
        <v>2683</v>
      </c>
      <c r="C1813" s="16" t="s">
        <v>1400</v>
      </c>
      <c r="D1813" s="79">
        <v>71470.0</v>
      </c>
      <c r="E1813" s="79"/>
      <c r="F1813" s="79"/>
    </row>
    <row r="1814">
      <c r="A1814" s="16" t="s">
        <v>2684</v>
      </c>
      <c r="B1814" s="49" t="s">
        <v>2685</v>
      </c>
      <c r="C1814" s="16" t="s">
        <v>1400</v>
      </c>
      <c r="D1814" s="79">
        <v>71470.0</v>
      </c>
      <c r="E1814" s="79"/>
      <c r="F1814" s="79"/>
    </row>
    <row r="1815">
      <c r="A1815" s="16" t="s">
        <v>2686</v>
      </c>
      <c r="B1815" s="49"/>
      <c r="C1815" s="16" t="s">
        <v>1400</v>
      </c>
      <c r="D1815" s="79">
        <v>71470.0</v>
      </c>
      <c r="E1815" s="79"/>
      <c r="F1815" s="79"/>
    </row>
    <row r="1816">
      <c r="A1816" s="42" t="s">
        <v>2687</v>
      </c>
      <c r="B1816" s="51"/>
      <c r="C1816" s="16" t="s">
        <v>91</v>
      </c>
      <c r="D1816" s="26">
        <v>300000.0</v>
      </c>
      <c r="E1816" s="26"/>
      <c r="F1816" s="26"/>
    </row>
    <row r="1817">
      <c r="A1817" s="42" t="s">
        <v>2688</v>
      </c>
      <c r="B1817" s="51" t="s">
        <v>3406</v>
      </c>
      <c r="C1817" s="16" t="s">
        <v>91</v>
      </c>
      <c r="D1817" s="520">
        <f>384000/4</f>
        <v>96000</v>
      </c>
      <c r="E1817" s="520"/>
      <c r="F1817" s="520"/>
    </row>
    <row r="1818">
      <c r="A1818" s="42" t="s">
        <v>2690</v>
      </c>
      <c r="B1818" s="51" t="s">
        <v>2839</v>
      </c>
      <c r="C1818" s="16" t="s">
        <v>91</v>
      </c>
      <c r="D1818" s="26">
        <v>315455.0</v>
      </c>
      <c r="E1818" s="26"/>
      <c r="F1818" s="26"/>
    </row>
    <row r="1819">
      <c r="A1819" s="16" t="s">
        <v>2692</v>
      </c>
      <c r="B1819" s="97" t="s">
        <v>2693</v>
      </c>
      <c r="C1819" s="16" t="s">
        <v>485</v>
      </c>
      <c r="D1819" s="31">
        <v>49210.0</v>
      </c>
      <c r="E1819" s="31"/>
      <c r="F1819" s="31"/>
    </row>
    <row r="1820">
      <c r="A1820" s="16" t="s">
        <v>2694</v>
      </c>
      <c r="B1820" s="49"/>
      <c r="C1820" s="16" t="s">
        <v>1400</v>
      </c>
      <c r="D1820" s="79">
        <v>90300.0</v>
      </c>
      <c r="E1820" s="79"/>
      <c r="F1820" s="79"/>
    </row>
    <row r="1821">
      <c r="A1821" s="16" t="s">
        <v>2695</v>
      </c>
      <c r="B1821" s="49" t="s">
        <v>2696</v>
      </c>
      <c r="C1821" s="16" t="s">
        <v>1400</v>
      </c>
      <c r="D1821" s="79">
        <v>90300.0</v>
      </c>
      <c r="E1821" s="79"/>
      <c r="F1821" s="79"/>
    </row>
    <row r="1822">
      <c r="A1822" s="16" t="s">
        <v>2697</v>
      </c>
      <c r="B1822" s="49" t="s">
        <v>2696</v>
      </c>
      <c r="C1822" s="16" t="s">
        <v>1400</v>
      </c>
      <c r="D1822" s="79">
        <v>90300.0</v>
      </c>
      <c r="E1822" s="79"/>
      <c r="F1822" s="79"/>
    </row>
    <row r="1823">
      <c r="A1823" s="52" t="s">
        <v>2698</v>
      </c>
      <c r="B1823" s="49" t="s">
        <v>328</v>
      </c>
      <c r="C1823" s="16" t="s">
        <v>513</v>
      </c>
      <c r="D1823" s="26">
        <f>16000*0.95*1.19</f>
        <v>18088</v>
      </c>
      <c r="E1823" s="26"/>
      <c r="F1823" s="26"/>
    </row>
    <row r="1824">
      <c r="A1824" s="16" t="s">
        <v>2699</v>
      </c>
      <c r="B1824" s="49" t="s">
        <v>2700</v>
      </c>
      <c r="C1824" s="16" t="s">
        <v>2701</v>
      </c>
      <c r="D1824" s="26">
        <f>11429*1.19</f>
        <v>13600.51</v>
      </c>
      <c r="E1824" s="26"/>
      <c r="F1824" s="26"/>
    </row>
    <row r="1825">
      <c r="A1825" s="52" t="s">
        <v>2702</v>
      </c>
      <c r="B1825" s="49" t="s">
        <v>328</v>
      </c>
      <c r="C1825" s="16" t="s">
        <v>375</v>
      </c>
      <c r="D1825" s="26">
        <f>12400*1.19</f>
        <v>14756</v>
      </c>
      <c r="E1825" s="26"/>
      <c r="F1825" s="26"/>
    </row>
    <row r="1826">
      <c r="A1826" s="16" t="s">
        <v>2703</v>
      </c>
      <c r="B1826" s="49" t="s">
        <v>328</v>
      </c>
      <c r="C1826" s="16" t="s">
        <v>93</v>
      </c>
      <c r="D1826" s="26">
        <v>23000.0</v>
      </c>
      <c r="E1826" s="26"/>
      <c r="F1826" s="26"/>
    </row>
    <row r="1827">
      <c r="A1827" s="52" t="s">
        <v>2704</v>
      </c>
      <c r="B1827" s="49"/>
      <c r="C1827" s="16" t="s">
        <v>2705</v>
      </c>
      <c r="D1827" s="79">
        <v>20825.0</v>
      </c>
      <c r="E1827" s="79"/>
      <c r="F1827" s="79"/>
    </row>
    <row r="1828">
      <c r="A1828" s="52" t="s">
        <v>2706</v>
      </c>
      <c r="B1828" s="49"/>
      <c r="C1828" s="16" t="s">
        <v>88</v>
      </c>
      <c r="D1828" s="26">
        <v>8706.0</v>
      </c>
      <c r="E1828" s="26"/>
      <c r="F1828" s="26"/>
    </row>
    <row r="1829">
      <c r="A1829" s="16" t="s">
        <v>2707</v>
      </c>
      <c r="B1829" s="178"/>
      <c r="C1829" s="16" t="s">
        <v>2708</v>
      </c>
      <c r="D1829" s="79">
        <v>3700.0</v>
      </c>
      <c r="E1829" s="79"/>
      <c r="F1829" s="79"/>
    </row>
    <row r="1830">
      <c r="A1830" s="16" t="s">
        <v>2709</v>
      </c>
      <c r="B1830" s="178"/>
      <c r="C1830" s="16" t="s">
        <v>2710</v>
      </c>
      <c r="D1830" s="79">
        <v>23300.0</v>
      </c>
      <c r="E1830" s="79"/>
      <c r="F1830" s="79"/>
    </row>
    <row r="1831">
      <c r="A1831" s="52" t="s">
        <v>2711</v>
      </c>
      <c r="B1831" s="49"/>
      <c r="C1831" s="16" t="s">
        <v>437</v>
      </c>
      <c r="D1831" s="26">
        <v>1100.0</v>
      </c>
      <c r="E1831" s="26"/>
      <c r="F1831" s="26"/>
    </row>
    <row r="1832">
      <c r="A1832" s="16" t="s">
        <v>2712</v>
      </c>
      <c r="B1832" s="51"/>
      <c r="C1832" s="16" t="s">
        <v>1935</v>
      </c>
      <c r="D1832" s="79">
        <f>2014*0.91*1.19</f>
        <v>2180.9606</v>
      </c>
      <c r="E1832" s="79"/>
      <c r="F1832" s="79"/>
    </row>
    <row r="1833">
      <c r="A1833" s="119" t="s">
        <v>2713</v>
      </c>
      <c r="B1833" s="51"/>
      <c r="C1833" s="16" t="s">
        <v>57</v>
      </c>
      <c r="D1833" s="521">
        <v>170000.0</v>
      </c>
      <c r="E1833" s="521"/>
      <c r="F1833" s="521"/>
    </row>
    <row r="1834">
      <c r="A1834" s="52" t="s">
        <v>2714</v>
      </c>
      <c r="B1834" s="51" t="s">
        <v>2715</v>
      </c>
      <c r="C1834" s="16" t="s">
        <v>2716</v>
      </c>
      <c r="D1834" s="79">
        <f>18000*1.19/6</f>
        <v>3570</v>
      </c>
      <c r="E1834" s="79"/>
      <c r="F1834" s="79"/>
    </row>
    <row r="1835">
      <c r="A1835" s="42" t="s">
        <v>2717</v>
      </c>
      <c r="B1835" s="51"/>
      <c r="C1835" s="16" t="s">
        <v>2718</v>
      </c>
      <c r="D1835" s="79">
        <v>22688.0</v>
      </c>
      <c r="E1835" s="79"/>
      <c r="F1835" s="79"/>
    </row>
    <row r="1836">
      <c r="A1836" s="122" t="s">
        <v>2719</v>
      </c>
      <c r="B1836" s="51"/>
      <c r="C1836" s="20" t="s">
        <v>911</v>
      </c>
      <c r="D1836" s="521">
        <v>119.0</v>
      </c>
      <c r="E1836" s="521"/>
      <c r="F1836" s="521"/>
    </row>
    <row r="1837">
      <c r="A1837" s="42" t="s">
        <v>2720</v>
      </c>
      <c r="B1837" s="149"/>
      <c r="C1837" s="16" t="s">
        <v>2721</v>
      </c>
      <c r="D1837" s="26">
        <f>83.61+83.61+143+143</f>
        <v>453.22</v>
      </c>
      <c r="E1837" s="26"/>
      <c r="F1837" s="26"/>
    </row>
    <row r="1838">
      <c r="A1838" s="16" t="s">
        <v>2722</v>
      </c>
      <c r="B1838" s="51" t="s">
        <v>2723</v>
      </c>
      <c r="C1838" s="16" t="s">
        <v>2724</v>
      </c>
      <c r="D1838" s="26">
        <v>900.0</v>
      </c>
      <c r="E1838" s="26"/>
      <c r="F1838" s="26"/>
    </row>
    <row r="1839">
      <c r="A1839" s="16" t="s">
        <v>2725</v>
      </c>
      <c r="B1839" s="51" t="s">
        <v>2723</v>
      </c>
      <c r="C1839" s="16" t="s">
        <v>2726</v>
      </c>
      <c r="D1839" s="26">
        <v>900.0</v>
      </c>
      <c r="E1839" s="26"/>
      <c r="F1839" s="26"/>
    </row>
    <row r="1840">
      <c r="A1840" s="16" t="s">
        <v>2727</v>
      </c>
      <c r="B1840" s="51" t="s">
        <v>2723</v>
      </c>
      <c r="C1840" s="16" t="s">
        <v>2726</v>
      </c>
      <c r="D1840" s="26">
        <v>900.0</v>
      </c>
      <c r="E1840" s="26"/>
      <c r="F1840" s="26"/>
    </row>
    <row r="1841">
      <c r="A1841" s="16" t="s">
        <v>2728</v>
      </c>
      <c r="B1841" s="51" t="s">
        <v>2723</v>
      </c>
      <c r="C1841" s="16" t="s">
        <v>2726</v>
      </c>
      <c r="D1841" s="26">
        <v>900.0</v>
      </c>
      <c r="E1841" s="26"/>
      <c r="F1841" s="26"/>
    </row>
    <row r="1842">
      <c r="A1842" s="16" t="s">
        <v>2729</v>
      </c>
      <c r="B1842" s="51" t="s">
        <v>2723</v>
      </c>
      <c r="C1842" s="16" t="s">
        <v>2726</v>
      </c>
      <c r="D1842" s="26">
        <v>900.0</v>
      </c>
      <c r="E1842" s="26"/>
      <c r="F1842" s="26"/>
    </row>
    <row r="1843">
      <c r="A1843" s="16" t="s">
        <v>2730</v>
      </c>
      <c r="B1843" s="51" t="s">
        <v>2723</v>
      </c>
      <c r="C1843" s="16" t="s">
        <v>2726</v>
      </c>
      <c r="D1843" s="26">
        <v>900.0</v>
      </c>
      <c r="E1843" s="26"/>
      <c r="F1843" s="26"/>
    </row>
    <row r="1844">
      <c r="A1844" s="16" t="s">
        <v>2731</v>
      </c>
      <c r="B1844" s="51" t="s">
        <v>2723</v>
      </c>
      <c r="C1844" s="16" t="s">
        <v>2726</v>
      </c>
      <c r="D1844" s="26">
        <v>900.0</v>
      </c>
      <c r="E1844" s="26"/>
      <c r="F1844" s="26"/>
    </row>
    <row r="1845">
      <c r="A1845" s="16" t="s">
        <v>2732</v>
      </c>
      <c r="B1845" s="51" t="s">
        <v>2723</v>
      </c>
      <c r="C1845" s="16" t="s">
        <v>2726</v>
      </c>
      <c r="D1845" s="26">
        <v>900.0</v>
      </c>
      <c r="E1845" s="26"/>
      <c r="F1845" s="26"/>
    </row>
    <row r="1846">
      <c r="A1846" s="59" t="s">
        <v>2733</v>
      </c>
      <c r="B1846" s="51"/>
      <c r="C1846" s="16" t="s">
        <v>57</v>
      </c>
      <c r="D1846" s="26">
        <v>5000.0</v>
      </c>
      <c r="E1846" s="26"/>
      <c r="F1846" s="26"/>
    </row>
    <row r="1847">
      <c r="A1847" s="16" t="s">
        <v>2734</v>
      </c>
      <c r="B1847" s="134"/>
      <c r="C1847" s="16" t="s">
        <v>2735</v>
      </c>
      <c r="D1847" s="26">
        <f>83720/10/6</f>
        <v>1395.333333</v>
      </c>
      <c r="E1847" s="26"/>
      <c r="F1847" s="26"/>
    </row>
    <row r="1848">
      <c r="A1848" s="16" t="s">
        <v>2737</v>
      </c>
      <c r="B1848" s="51"/>
      <c r="C1848" s="16" t="s">
        <v>767</v>
      </c>
      <c r="D1848" s="26">
        <v>1.0</v>
      </c>
      <c r="E1848" s="26"/>
      <c r="F1848" s="26"/>
    </row>
    <row r="1849">
      <c r="A1849" s="42" t="s">
        <v>2738</v>
      </c>
      <c r="B1849" s="42" t="s">
        <v>2739</v>
      </c>
      <c r="C1849" s="16" t="s">
        <v>1400</v>
      </c>
      <c r="D1849" s="79">
        <v>221900.0</v>
      </c>
      <c r="E1849" s="79"/>
      <c r="F1849" s="79"/>
    </row>
    <row r="1850">
      <c r="A1850" s="42" t="s">
        <v>2740</v>
      </c>
      <c r="B1850" s="42" t="s">
        <v>2739</v>
      </c>
      <c r="C1850" s="16" t="s">
        <v>1400</v>
      </c>
      <c r="D1850" s="79">
        <v>221900.0</v>
      </c>
      <c r="E1850" s="79"/>
      <c r="F1850" s="79"/>
    </row>
    <row r="1851">
      <c r="A1851" s="42" t="s">
        <v>2741</v>
      </c>
      <c r="B1851" s="42" t="s">
        <v>2739</v>
      </c>
      <c r="C1851" s="16" t="s">
        <v>1400</v>
      </c>
      <c r="D1851" s="79">
        <v>221900.0</v>
      </c>
      <c r="E1851" s="79"/>
      <c r="F1851" s="79"/>
    </row>
    <row r="1852">
      <c r="A1852" s="42" t="s">
        <v>2742</v>
      </c>
      <c r="B1852" s="42" t="s">
        <v>2743</v>
      </c>
      <c r="C1852" s="16" t="s">
        <v>1400</v>
      </c>
      <c r="D1852" s="79">
        <v>162500.0</v>
      </c>
      <c r="E1852" s="79"/>
      <c r="F1852" s="79"/>
    </row>
    <row r="1853">
      <c r="A1853" s="42" t="s">
        <v>2744</v>
      </c>
      <c r="B1853" s="149"/>
      <c r="C1853" s="16" t="s">
        <v>1400</v>
      </c>
      <c r="D1853" s="79">
        <v>162500.0</v>
      </c>
      <c r="E1853" s="79"/>
      <c r="F1853" s="79"/>
    </row>
    <row r="1854">
      <c r="A1854" s="42" t="s">
        <v>2745</v>
      </c>
      <c r="B1854" s="149"/>
      <c r="C1854" s="16" t="s">
        <v>1400</v>
      </c>
      <c r="D1854" s="79">
        <v>162500.0</v>
      </c>
      <c r="E1854" s="79"/>
      <c r="F1854" s="79"/>
    </row>
    <row r="1855">
      <c r="A1855" s="42" t="s">
        <v>2746</v>
      </c>
      <c r="B1855" s="49"/>
      <c r="C1855" s="16" t="s">
        <v>625</v>
      </c>
      <c r="D1855" s="26">
        <v>1.0</v>
      </c>
      <c r="E1855" s="26"/>
      <c r="F1855" s="26"/>
    </row>
    <row r="1856">
      <c r="A1856" s="42" t="s">
        <v>2746</v>
      </c>
      <c r="B1856" s="49"/>
      <c r="C1856" s="16" t="s">
        <v>39</v>
      </c>
      <c r="D1856" s="26">
        <v>1.0</v>
      </c>
      <c r="E1856" s="26"/>
      <c r="F1856" s="26"/>
    </row>
    <row r="1857">
      <c r="A1857" s="42" t="s">
        <v>2747</v>
      </c>
      <c r="B1857" s="49"/>
      <c r="C1857" s="16" t="s">
        <v>39</v>
      </c>
      <c r="D1857" s="26">
        <v>6000.0</v>
      </c>
      <c r="E1857" s="26"/>
      <c r="F1857" s="26"/>
    </row>
    <row r="1858">
      <c r="A1858" s="122" t="s">
        <v>2748</v>
      </c>
      <c r="B1858" s="49"/>
      <c r="C1858" s="16" t="s">
        <v>2749</v>
      </c>
      <c r="D1858" s="26">
        <f>24370*1.19</f>
        <v>29000.3</v>
      </c>
      <c r="E1858" s="26"/>
      <c r="F1858" s="26"/>
    </row>
    <row r="1859">
      <c r="A1859" s="42" t="s">
        <v>2750</v>
      </c>
      <c r="B1859" s="49"/>
      <c r="C1859" s="16" t="s">
        <v>2749</v>
      </c>
      <c r="D1859" s="26">
        <v>1250.0</v>
      </c>
      <c r="E1859" s="26"/>
      <c r="F1859" s="26"/>
    </row>
    <row r="1860">
      <c r="A1860" s="42" t="s">
        <v>2751</v>
      </c>
      <c r="B1860" s="149"/>
      <c r="C1860" s="20" t="s">
        <v>291</v>
      </c>
      <c r="D1860" s="26">
        <v>900.0</v>
      </c>
      <c r="E1860" s="26"/>
      <c r="F1860" s="26"/>
    </row>
    <row r="1861">
      <c r="A1861" s="52" t="s">
        <v>2752</v>
      </c>
      <c r="B1861" s="51" t="s">
        <v>2753</v>
      </c>
      <c r="C1861" s="16" t="s">
        <v>2755</v>
      </c>
      <c r="D1861" s="79">
        <v>2501.0</v>
      </c>
      <c r="E1861" s="79"/>
      <c r="F1861" s="79"/>
    </row>
    <row r="1862">
      <c r="A1862" s="122" t="s">
        <v>2756</v>
      </c>
      <c r="B1862" s="51"/>
      <c r="C1862" s="16" t="s">
        <v>2757</v>
      </c>
      <c r="D1862" s="79">
        <v>1550.0</v>
      </c>
      <c r="E1862" s="79"/>
      <c r="F1862" s="79"/>
    </row>
    <row r="1863">
      <c r="A1863" s="52" t="s">
        <v>2758</v>
      </c>
      <c r="B1863" s="51" t="s">
        <v>2759</v>
      </c>
      <c r="C1863" s="16" t="s">
        <v>2755</v>
      </c>
      <c r="D1863" s="79">
        <v>2261.0</v>
      </c>
      <c r="E1863" s="79"/>
      <c r="F1863" s="79"/>
    </row>
    <row r="1864">
      <c r="A1864" s="40" t="s">
        <v>2760</v>
      </c>
      <c r="B1864" s="51"/>
      <c r="C1864" s="16" t="s">
        <v>1935</v>
      </c>
      <c r="D1864" s="26">
        <v>1359.0</v>
      </c>
      <c r="E1864" s="26"/>
      <c r="F1864" s="26"/>
    </row>
    <row r="1865">
      <c r="A1865" s="16" t="s">
        <v>2761</v>
      </c>
      <c r="B1865" s="49"/>
      <c r="C1865" s="16" t="s">
        <v>2762</v>
      </c>
      <c r="D1865" s="26">
        <f>(208000/80)/50*20</f>
        <v>1040</v>
      </c>
      <c r="E1865" s="26"/>
      <c r="F1865" s="26"/>
    </row>
    <row r="1866">
      <c r="A1866" s="16" t="s">
        <v>2763</v>
      </c>
      <c r="B1866" s="49"/>
      <c r="C1866" s="16" t="s">
        <v>590</v>
      </c>
      <c r="D1866" s="26">
        <v>4000.0</v>
      </c>
      <c r="E1866" s="26"/>
      <c r="F1866" s="26"/>
    </row>
    <row r="1867">
      <c r="A1867" s="59" t="s">
        <v>2764</v>
      </c>
      <c r="B1867" s="49"/>
      <c r="C1867" s="16" t="s">
        <v>2765</v>
      </c>
      <c r="D1867" s="26">
        <v>5000.0</v>
      </c>
      <c r="E1867" s="26"/>
      <c r="F1867" s="26"/>
    </row>
    <row r="1868">
      <c r="A1868" s="59" t="s">
        <v>2766</v>
      </c>
      <c r="B1868" s="49"/>
      <c r="C1868" s="16" t="s">
        <v>2765</v>
      </c>
      <c r="D1868" s="26">
        <v>5000.0</v>
      </c>
      <c r="E1868" s="26"/>
      <c r="F1868" s="26"/>
    </row>
    <row r="1869">
      <c r="A1869" s="16" t="s">
        <v>2767</v>
      </c>
      <c r="B1869" s="49"/>
      <c r="C1869" s="16" t="s">
        <v>84</v>
      </c>
      <c r="D1869" s="26">
        <v>11520.0</v>
      </c>
      <c r="E1869" s="26"/>
      <c r="F1869" s="26"/>
    </row>
    <row r="1870">
      <c r="A1870" s="122" t="s">
        <v>2768</v>
      </c>
      <c r="B1870" s="51">
        <v>249003.0</v>
      </c>
      <c r="C1870" s="16" t="s">
        <v>3407</v>
      </c>
      <c r="D1870" s="26">
        <v>3484.0</v>
      </c>
      <c r="E1870" s="26"/>
      <c r="F1870" s="26"/>
    </row>
    <row r="1871">
      <c r="A1871" s="122" t="s">
        <v>2772</v>
      </c>
      <c r="B1871" s="51">
        <v>247006.0</v>
      </c>
      <c r="C1871" s="16" t="s">
        <v>425</v>
      </c>
      <c r="D1871" s="521">
        <v>230000.0</v>
      </c>
      <c r="E1871" s="521"/>
      <c r="F1871" s="521"/>
    </row>
    <row r="1872">
      <c r="A1872" s="122" t="s">
        <v>2773</v>
      </c>
      <c r="B1872" s="51">
        <v>247005.0</v>
      </c>
      <c r="C1872" s="16" t="s">
        <v>425</v>
      </c>
      <c r="D1872" s="521">
        <v>130000.0</v>
      </c>
      <c r="E1872" s="521"/>
      <c r="F1872" s="521"/>
    </row>
    <row r="1873">
      <c r="A1873" s="16" t="s">
        <v>2774</v>
      </c>
      <c r="B1873" s="49"/>
      <c r="C1873" s="54" t="s">
        <v>63</v>
      </c>
      <c r="D1873" s="79">
        <v>106480.0</v>
      </c>
      <c r="E1873" s="79"/>
      <c r="F1873" s="79"/>
    </row>
    <row r="1874">
      <c r="A1874" s="16" t="s">
        <v>2775</v>
      </c>
      <c r="B1874" s="51"/>
      <c r="C1874" s="16" t="s">
        <v>1626</v>
      </c>
      <c r="D1874" s="520">
        <v>445280.0</v>
      </c>
      <c r="E1874" s="520"/>
      <c r="F1874" s="520"/>
    </row>
    <row r="1875">
      <c r="A1875" s="16" t="s">
        <v>2776</v>
      </c>
      <c r="B1875" s="49"/>
      <c r="C1875" s="20" t="s">
        <v>580</v>
      </c>
      <c r="D1875" s="26"/>
      <c r="E1875" s="26"/>
      <c r="F1875" s="26"/>
    </row>
    <row r="1876">
      <c r="A1876" s="16" t="s">
        <v>2777</v>
      </c>
      <c r="B1876" s="49"/>
      <c r="C1876" s="20" t="s">
        <v>2778</v>
      </c>
      <c r="D1876" s="26">
        <v>18000.0</v>
      </c>
      <c r="E1876" s="26"/>
      <c r="F1876" s="26"/>
    </row>
    <row r="1877">
      <c r="A1877" s="16" t="s">
        <v>2779</v>
      </c>
      <c r="B1877" s="49"/>
      <c r="C1877" s="20" t="s">
        <v>2780</v>
      </c>
      <c r="D1877" s="26">
        <v>7500.0</v>
      </c>
      <c r="E1877" s="26"/>
      <c r="F1877" s="26"/>
    </row>
    <row r="1878">
      <c r="A1878" s="16" t="s">
        <v>2781</v>
      </c>
      <c r="B1878" s="51"/>
      <c r="C1878" s="16"/>
      <c r="D1878" s="26"/>
      <c r="E1878" s="26"/>
      <c r="F1878" s="26"/>
    </row>
    <row r="1879">
      <c r="A1879" s="40" t="s">
        <v>2782</v>
      </c>
      <c r="B1879" s="51"/>
      <c r="C1879" s="16" t="s">
        <v>57</v>
      </c>
      <c r="D1879" s="26">
        <v>200000.0</v>
      </c>
      <c r="E1879" s="26"/>
      <c r="F1879" s="26"/>
    </row>
    <row r="1880">
      <c r="A1880" s="42" t="s">
        <v>2783</v>
      </c>
      <c r="B1880" s="51"/>
      <c r="C1880" s="16" t="s">
        <v>2784</v>
      </c>
      <c r="D1880" s="26"/>
      <c r="E1880" s="26"/>
      <c r="F1880" s="26"/>
    </row>
    <row r="1881">
      <c r="A1881" s="40" t="s">
        <v>2785</v>
      </c>
      <c r="B1881" s="49"/>
      <c r="C1881" s="20" t="s">
        <v>2786</v>
      </c>
      <c r="D1881" s="26">
        <v>68300.0</v>
      </c>
      <c r="E1881" s="26"/>
      <c r="F1881" s="26"/>
    </row>
    <row r="1882">
      <c r="A1882" s="16" t="s">
        <v>2787</v>
      </c>
      <c r="B1882" s="49" t="s">
        <v>2788</v>
      </c>
      <c r="C1882" s="16" t="s">
        <v>70</v>
      </c>
      <c r="D1882" s="26">
        <f>100000*0.8*1.19</f>
        <v>95200</v>
      </c>
      <c r="E1882" s="26"/>
      <c r="F1882" s="26"/>
    </row>
    <row r="1883">
      <c r="A1883" s="42" t="s">
        <v>2789</v>
      </c>
      <c r="B1883" s="149"/>
      <c r="C1883" s="20" t="s">
        <v>291</v>
      </c>
      <c r="D1883" s="26">
        <f>23529.41*1.19</f>
        <v>27999.9979</v>
      </c>
      <c r="E1883" s="26"/>
      <c r="F1883" s="26"/>
    </row>
    <row r="1884">
      <c r="A1884" s="16" t="s">
        <v>2791</v>
      </c>
      <c r="B1884" s="49"/>
      <c r="C1884" s="16" t="s">
        <v>1926</v>
      </c>
      <c r="D1884" s="79">
        <f>6650*1.19</f>
        <v>7913.5</v>
      </c>
      <c r="E1884" s="79"/>
      <c r="F1884" s="79"/>
    </row>
    <row r="1885">
      <c r="A1885" s="16" t="s">
        <v>2792</v>
      </c>
      <c r="B1885" s="49"/>
      <c r="C1885" s="16" t="s">
        <v>88</v>
      </c>
      <c r="D1885" s="79">
        <f>5311*1.19</f>
        <v>6320.09</v>
      </c>
      <c r="E1885" s="79"/>
      <c r="F1885" s="79"/>
    </row>
    <row r="1886">
      <c r="A1886" s="16" t="s">
        <v>2793</v>
      </c>
      <c r="B1886" s="51"/>
      <c r="C1886" s="16" t="s">
        <v>2794</v>
      </c>
      <c r="D1886" s="26">
        <v>2400.0</v>
      </c>
      <c r="E1886" s="26"/>
      <c r="F1886" s="26"/>
    </row>
    <row r="1887">
      <c r="A1887" s="16" t="s">
        <v>2795</v>
      </c>
      <c r="B1887" s="51"/>
      <c r="C1887" s="16" t="s">
        <v>2794</v>
      </c>
      <c r="D1887" s="26">
        <v>4900.0</v>
      </c>
      <c r="E1887" s="26"/>
      <c r="F1887" s="26"/>
    </row>
    <row r="1888">
      <c r="A1888" s="40" t="s">
        <v>2796</v>
      </c>
      <c r="B1888" s="51"/>
      <c r="C1888" s="16" t="s">
        <v>2794</v>
      </c>
      <c r="D1888" s="26">
        <v>5200.0</v>
      </c>
      <c r="E1888" s="26"/>
      <c r="F1888" s="26"/>
    </row>
    <row r="1889">
      <c r="A1889" s="16" t="s">
        <v>2797</v>
      </c>
      <c r="B1889" s="51"/>
      <c r="C1889" s="16" t="s">
        <v>2794</v>
      </c>
      <c r="D1889" s="26">
        <v>7900.0</v>
      </c>
      <c r="E1889" s="26"/>
      <c r="F1889" s="26"/>
    </row>
    <row r="1890">
      <c r="A1890" s="16" t="s">
        <v>2798</v>
      </c>
      <c r="B1890" s="51" t="s">
        <v>2799</v>
      </c>
      <c r="C1890" s="16" t="s">
        <v>1876</v>
      </c>
      <c r="D1890" s="26">
        <f>494050/214</f>
        <v>2308.64486</v>
      </c>
      <c r="E1890" s="26"/>
      <c r="F1890" s="26"/>
    </row>
    <row r="1891">
      <c r="A1891" s="16" t="s">
        <v>2800</v>
      </c>
      <c r="B1891" s="51"/>
      <c r="C1891" s="16" t="s">
        <v>1876</v>
      </c>
      <c r="D1891" s="79">
        <f>492980/33</f>
        <v>14938.78788</v>
      </c>
      <c r="E1891" s="79"/>
      <c r="F1891" s="79"/>
    </row>
    <row r="1892">
      <c r="A1892" s="16" t="s">
        <v>2801</v>
      </c>
      <c r="B1892" s="51" t="s">
        <v>2799</v>
      </c>
      <c r="C1892" s="16" t="s">
        <v>1876</v>
      </c>
      <c r="D1892" s="26">
        <f>323440/150</f>
        <v>2156.266667</v>
      </c>
      <c r="E1892" s="26"/>
      <c r="F1892" s="26"/>
    </row>
    <row r="1893">
      <c r="A1893" s="16" t="s">
        <v>2802</v>
      </c>
      <c r="B1893" s="51"/>
      <c r="C1893" s="16" t="s">
        <v>1876</v>
      </c>
      <c r="D1893" s="79">
        <f>322260/33</f>
        <v>9765.454545</v>
      </c>
      <c r="E1893" s="79"/>
      <c r="F1893" s="79"/>
    </row>
    <row r="1894">
      <c r="A1894" s="40" t="s">
        <v>2803</v>
      </c>
      <c r="B1894" s="51" t="s">
        <v>2799</v>
      </c>
      <c r="C1894" s="16" t="s">
        <v>1876</v>
      </c>
      <c r="D1894" s="79">
        <f>384270/150</f>
        <v>2561.8</v>
      </c>
      <c r="E1894" s="79"/>
      <c r="F1894" s="79"/>
    </row>
    <row r="1895">
      <c r="A1895" s="16" t="s">
        <v>2804</v>
      </c>
      <c r="B1895" s="51"/>
      <c r="C1895" s="16" t="s">
        <v>1876</v>
      </c>
      <c r="D1895" s="79">
        <f>382880/33</f>
        <v>11602.42424</v>
      </c>
      <c r="E1895" s="79"/>
      <c r="F1895" s="79"/>
    </row>
    <row r="1896">
      <c r="A1896" s="16" t="s">
        <v>2805</v>
      </c>
      <c r="B1896" s="51"/>
      <c r="C1896" s="16" t="s">
        <v>1876</v>
      </c>
      <c r="D1896" s="79">
        <f>412440/33</f>
        <v>12498.18182</v>
      </c>
      <c r="E1896" s="79"/>
      <c r="F1896" s="79"/>
    </row>
    <row r="1897">
      <c r="A1897" s="16" t="s">
        <v>2806</v>
      </c>
      <c r="B1897" s="51" t="s">
        <v>2799</v>
      </c>
      <c r="C1897" s="16" t="s">
        <v>1876</v>
      </c>
      <c r="D1897" s="79">
        <f>413830/150</f>
        <v>2758.866667</v>
      </c>
      <c r="E1897" s="79"/>
      <c r="F1897" s="79"/>
    </row>
    <row r="1898">
      <c r="A1898" s="16" t="s">
        <v>2807</v>
      </c>
      <c r="B1898" s="51"/>
      <c r="C1898" s="16" t="s">
        <v>1876</v>
      </c>
      <c r="D1898" s="79">
        <f>446500/33</f>
        <v>13530.30303</v>
      </c>
      <c r="E1898" s="79"/>
      <c r="F1898" s="79"/>
    </row>
    <row r="1899">
      <c r="A1899" s="16" t="s">
        <v>2808</v>
      </c>
      <c r="B1899" s="51" t="s">
        <v>2799</v>
      </c>
      <c r="C1899" s="16" t="s">
        <v>1876</v>
      </c>
      <c r="D1899" s="26">
        <f>448110/150</f>
        <v>2987.4</v>
      </c>
      <c r="E1899" s="26"/>
      <c r="F1899" s="26"/>
    </row>
    <row r="1900">
      <c r="A1900" s="42" t="s">
        <v>2809</v>
      </c>
      <c r="B1900" s="49"/>
      <c r="C1900" s="20" t="s">
        <v>2810</v>
      </c>
      <c r="D1900" s="26">
        <v>9600.0</v>
      </c>
      <c r="E1900" s="26"/>
      <c r="F1900" s="26"/>
    </row>
    <row r="1901">
      <c r="A1901" s="42" t="s">
        <v>2811</v>
      </c>
      <c r="B1901" s="149"/>
      <c r="C1901" s="20" t="s">
        <v>2810</v>
      </c>
      <c r="D1901" s="26">
        <v>10250.0</v>
      </c>
      <c r="E1901" s="26"/>
      <c r="F1901" s="26"/>
    </row>
    <row r="1902">
      <c r="A1902" s="16" t="s">
        <v>2812</v>
      </c>
      <c r="B1902" s="49"/>
      <c r="C1902" s="20" t="s">
        <v>2813</v>
      </c>
      <c r="D1902" s="26">
        <v>9600.0</v>
      </c>
      <c r="E1902" s="26"/>
      <c r="F1902" s="26"/>
    </row>
    <row r="1903">
      <c r="A1903" s="16" t="s">
        <v>2814</v>
      </c>
      <c r="B1903" s="51" t="s">
        <v>3408</v>
      </c>
      <c r="C1903" s="16" t="s">
        <v>91</v>
      </c>
      <c r="D1903" s="26">
        <v>160000.0</v>
      </c>
      <c r="E1903" s="26"/>
      <c r="F1903" s="26"/>
    </row>
    <row r="1904">
      <c r="A1904" s="16" t="s">
        <v>2818</v>
      </c>
      <c r="B1904" s="51" t="s">
        <v>3406</v>
      </c>
      <c r="C1904" s="16" t="s">
        <v>91</v>
      </c>
      <c r="D1904" s="26">
        <v>96000.0</v>
      </c>
      <c r="E1904" s="26"/>
      <c r="F1904" s="26"/>
    </row>
  </sheetData>
  <autoFilter ref="$A$1:$F$1904"/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9.88"/>
  </cols>
  <sheetData>
    <row r="1">
      <c r="A1" s="543" t="s">
        <v>3409</v>
      </c>
      <c r="B1" s="5" t="s">
        <v>2</v>
      </c>
      <c r="C1" s="5" t="s">
        <v>3410</v>
      </c>
    </row>
    <row r="2">
      <c r="A2" s="42" t="s">
        <v>103</v>
      </c>
      <c r="B2" s="19">
        <v>2.0</v>
      </c>
      <c r="C2" s="19">
        <v>5.0</v>
      </c>
    </row>
    <row r="3">
      <c r="A3" s="42" t="s">
        <v>108</v>
      </c>
      <c r="B3" s="19">
        <v>4.0</v>
      </c>
      <c r="C3" s="19">
        <v>1.0</v>
      </c>
    </row>
    <row r="4" hidden="1">
      <c r="A4" s="42" t="s">
        <v>645</v>
      </c>
      <c r="B4" s="19">
        <v>0.0</v>
      </c>
      <c r="C4" s="19">
        <v>0.0</v>
      </c>
    </row>
    <row r="5" hidden="1">
      <c r="A5" s="16" t="s">
        <v>1089</v>
      </c>
      <c r="B5" s="19">
        <v>0.0</v>
      </c>
      <c r="C5" s="19">
        <v>9.0</v>
      </c>
    </row>
    <row r="6" hidden="1">
      <c r="A6" s="52" t="s">
        <v>1297</v>
      </c>
      <c r="B6" s="19">
        <v>0.0</v>
      </c>
      <c r="C6" s="19">
        <v>0.0</v>
      </c>
    </row>
    <row r="7">
      <c r="A7" s="16" t="s">
        <v>1411</v>
      </c>
      <c r="B7" s="19">
        <v>10.0</v>
      </c>
      <c r="C7" s="19">
        <v>7.0</v>
      </c>
    </row>
    <row r="8" hidden="1">
      <c r="A8" s="52" t="s">
        <v>1421</v>
      </c>
      <c r="B8" s="19">
        <v>0.0</v>
      </c>
      <c r="C8" s="19">
        <v>22.0</v>
      </c>
    </row>
    <row r="9" hidden="1">
      <c r="A9" s="52" t="s">
        <v>1424</v>
      </c>
      <c r="B9" s="19">
        <v>0.0</v>
      </c>
      <c r="C9" s="19">
        <v>9.0</v>
      </c>
    </row>
    <row r="10">
      <c r="A10" s="16" t="s">
        <v>1446</v>
      </c>
      <c r="B10" s="19">
        <v>6.0</v>
      </c>
      <c r="C10" s="19">
        <v>1.0</v>
      </c>
    </row>
    <row r="11">
      <c r="A11" s="16" t="s">
        <v>1447</v>
      </c>
      <c r="B11" s="19">
        <v>20.0</v>
      </c>
      <c r="C11" s="19">
        <v>6.0</v>
      </c>
    </row>
    <row r="12">
      <c r="A12" s="52" t="s">
        <v>1518</v>
      </c>
      <c r="B12" s="19">
        <v>15.0</v>
      </c>
      <c r="C12" s="19">
        <v>5.0</v>
      </c>
    </row>
    <row r="13" hidden="1">
      <c r="A13" s="52" t="s">
        <v>1526</v>
      </c>
      <c r="B13" s="19">
        <v>0.0</v>
      </c>
      <c r="C13" s="19">
        <v>15.0</v>
      </c>
    </row>
    <row r="14" hidden="1">
      <c r="A14" s="16" t="s">
        <v>1665</v>
      </c>
      <c r="B14" s="19">
        <v>0.0</v>
      </c>
      <c r="C14" s="19">
        <v>2.0</v>
      </c>
    </row>
    <row r="15" hidden="1">
      <c r="A15" s="16" t="s">
        <v>1861</v>
      </c>
      <c r="B15" s="19">
        <v>0.0</v>
      </c>
      <c r="C15" s="19">
        <v>0.0</v>
      </c>
    </row>
    <row r="16" hidden="1">
      <c r="A16" s="40" t="s">
        <v>1863</v>
      </c>
      <c r="B16" s="19">
        <v>0.0</v>
      </c>
      <c r="C16" s="19">
        <v>15.0</v>
      </c>
    </row>
    <row r="17" hidden="1">
      <c r="A17" s="16" t="s">
        <v>1925</v>
      </c>
      <c r="B17" s="19">
        <v>0.0</v>
      </c>
      <c r="C17" s="19">
        <v>23.0</v>
      </c>
    </row>
    <row r="18" hidden="1">
      <c r="A18" s="16" t="s">
        <v>3411</v>
      </c>
      <c r="B18" s="19">
        <v>0.0</v>
      </c>
      <c r="C18" s="19">
        <v>13.0</v>
      </c>
    </row>
    <row r="19" hidden="1">
      <c r="A19" s="16" t="s">
        <v>2026</v>
      </c>
      <c r="B19" s="19">
        <v>0.0</v>
      </c>
      <c r="C19" s="19">
        <v>0.0</v>
      </c>
    </row>
    <row r="20" hidden="1">
      <c r="A20" s="269" t="s">
        <v>2467</v>
      </c>
      <c r="B20" s="19">
        <v>0.0</v>
      </c>
      <c r="C20" s="19">
        <v>0.0</v>
      </c>
    </row>
    <row r="21" hidden="1">
      <c r="A21" s="42" t="s">
        <v>2717</v>
      </c>
      <c r="B21" s="19">
        <v>0.0</v>
      </c>
      <c r="C21" s="19">
        <v>2.0</v>
      </c>
    </row>
    <row r="22">
      <c r="A22" s="16" t="s">
        <v>2791</v>
      </c>
      <c r="B22" s="19">
        <v>10.0</v>
      </c>
      <c r="C22" s="19">
        <v>7.0</v>
      </c>
    </row>
  </sheetData>
  <autoFilter ref="$A$1:$C$22">
    <filterColumn colId="1">
      <filters>
        <filter val="2"/>
        <filter val="4"/>
        <filter val="15"/>
        <filter val="6"/>
        <filter val="20"/>
        <filter val="10"/>
      </filters>
    </filterColumn>
  </autoFil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61.13"/>
    <col customWidth="1" min="2" max="5" width="8.25"/>
    <col customWidth="1" min="6" max="6" width="12.75"/>
    <col customWidth="1" min="7" max="8" width="8.25"/>
    <col customWidth="1" min="9" max="9" width="10.0"/>
  </cols>
  <sheetData>
    <row r="1">
      <c r="A1" s="544" t="s">
        <v>3412</v>
      </c>
      <c r="B1" s="545" t="s">
        <v>2</v>
      </c>
      <c r="C1" s="545" t="s">
        <v>3</v>
      </c>
      <c r="D1" s="546" t="s">
        <v>3413</v>
      </c>
      <c r="E1" s="547" t="s">
        <v>5</v>
      </c>
      <c r="F1" s="9" t="s">
        <v>7</v>
      </c>
      <c r="G1" s="494"/>
      <c r="H1" s="548" t="s">
        <v>3414</v>
      </c>
      <c r="I1" s="549" t="s">
        <v>3415</v>
      </c>
      <c r="J1" s="312" t="s">
        <v>3416</v>
      </c>
      <c r="K1" s="312" t="s">
        <v>3417</v>
      </c>
    </row>
    <row r="2" hidden="1">
      <c r="A2" s="16" t="s">
        <v>68</v>
      </c>
      <c r="B2" s="273">
        <v>0.0</v>
      </c>
      <c r="C2" s="273">
        <v>0.0</v>
      </c>
      <c r="D2" s="271">
        <v>1.0</v>
      </c>
      <c r="E2" s="49">
        <v>1.0</v>
      </c>
      <c r="F2" s="26">
        <f>100000*0.8*1.19</f>
        <v>95200</v>
      </c>
      <c r="G2" s="550">
        <f t="shared" ref="G2:G49" si="1">B2+C2</f>
        <v>0</v>
      </c>
      <c r="H2" s="280"/>
      <c r="I2" s="280"/>
    </row>
    <row r="3" hidden="1">
      <c r="A3" s="16" t="s">
        <v>85</v>
      </c>
      <c r="B3" s="273">
        <v>0.0</v>
      </c>
      <c r="C3" s="273">
        <v>0.0</v>
      </c>
      <c r="D3" s="271">
        <v>21.0</v>
      </c>
      <c r="E3" s="49">
        <v>9.0</v>
      </c>
      <c r="F3" s="79">
        <f>32500*0.8</f>
        <v>26000</v>
      </c>
      <c r="G3" s="550">
        <f t="shared" si="1"/>
        <v>0</v>
      </c>
      <c r="H3" s="280"/>
      <c r="I3" s="280"/>
    </row>
    <row r="4" hidden="1">
      <c r="A4" s="16" t="s">
        <v>106</v>
      </c>
      <c r="B4" s="273">
        <v>0.0</v>
      </c>
      <c r="C4" s="273">
        <v>0.0</v>
      </c>
      <c r="D4" s="220">
        <v>2.0</v>
      </c>
      <c r="E4" s="551">
        <v>13.0</v>
      </c>
      <c r="F4" s="26">
        <f>40000*0.8*1.19</f>
        <v>38080</v>
      </c>
      <c r="G4" s="550">
        <f t="shared" si="1"/>
        <v>0</v>
      </c>
      <c r="H4" s="280"/>
      <c r="I4" s="280"/>
    </row>
    <row r="5" hidden="1">
      <c r="A5" s="16" t="s">
        <v>132</v>
      </c>
      <c r="B5" s="273">
        <v>0.0</v>
      </c>
      <c r="C5" s="273">
        <v>0.0</v>
      </c>
      <c r="D5" s="271">
        <v>15.0</v>
      </c>
      <c r="E5" s="49">
        <v>20.0</v>
      </c>
      <c r="F5" s="26">
        <v>16800.0</v>
      </c>
      <c r="G5" s="550">
        <f t="shared" si="1"/>
        <v>0</v>
      </c>
      <c r="H5" s="280"/>
      <c r="I5" s="280"/>
    </row>
    <row r="6" hidden="1">
      <c r="A6" s="16" t="s">
        <v>135</v>
      </c>
      <c r="B6" s="273">
        <v>0.0</v>
      </c>
      <c r="C6" s="273">
        <v>0.0</v>
      </c>
      <c r="D6" s="220">
        <v>59.0</v>
      </c>
      <c r="E6" s="551">
        <v>18.0</v>
      </c>
      <c r="F6" s="26">
        <v>16800.0</v>
      </c>
      <c r="G6" s="550">
        <f t="shared" si="1"/>
        <v>0</v>
      </c>
      <c r="H6" s="280"/>
      <c r="I6" s="280"/>
    </row>
    <row r="7">
      <c r="A7" s="16" t="s">
        <v>138</v>
      </c>
      <c r="B7" s="273">
        <v>0.0</v>
      </c>
      <c r="C7" s="273">
        <v>1.0</v>
      </c>
      <c r="D7" s="271">
        <v>5.0</v>
      </c>
      <c r="E7" s="49">
        <v>1.0</v>
      </c>
      <c r="F7" s="26">
        <f>245000*0.8*1.19/6</f>
        <v>38873.33333</v>
      </c>
      <c r="G7" s="550">
        <f t="shared" si="1"/>
        <v>1</v>
      </c>
      <c r="H7" s="280"/>
      <c r="I7" s="280"/>
      <c r="J7" s="312" t="s">
        <v>2799</v>
      </c>
    </row>
    <row r="8" hidden="1">
      <c r="A8" s="16" t="s">
        <v>140</v>
      </c>
      <c r="B8" s="273">
        <v>0.0</v>
      </c>
      <c r="C8" s="273">
        <v>0.0</v>
      </c>
      <c r="D8" s="271">
        <v>0.0</v>
      </c>
      <c r="E8" s="49">
        <v>0.0</v>
      </c>
      <c r="F8" s="26">
        <f>80000*0.8*1.19</f>
        <v>76160</v>
      </c>
      <c r="G8" s="550">
        <f t="shared" si="1"/>
        <v>0</v>
      </c>
      <c r="H8" s="280"/>
      <c r="I8" s="280"/>
    </row>
    <row r="9" hidden="1">
      <c r="A9" s="16" t="s">
        <v>145</v>
      </c>
      <c r="B9" s="273">
        <v>0.0</v>
      </c>
      <c r="C9" s="273">
        <v>0.0</v>
      </c>
      <c r="D9" s="271">
        <v>5.0</v>
      </c>
      <c r="E9" s="49">
        <v>18.0</v>
      </c>
      <c r="F9" s="79">
        <f>250000*0.8</f>
        <v>200000</v>
      </c>
      <c r="G9" s="550">
        <f t="shared" si="1"/>
        <v>0</v>
      </c>
      <c r="H9" s="280"/>
      <c r="I9" s="280"/>
    </row>
    <row r="10" hidden="1">
      <c r="A10" s="16" t="s">
        <v>148</v>
      </c>
      <c r="B10" s="273">
        <v>0.0</v>
      </c>
      <c r="C10" s="273">
        <v>0.0</v>
      </c>
      <c r="D10" s="271">
        <v>0.0</v>
      </c>
      <c r="E10" s="49">
        <v>1.0</v>
      </c>
      <c r="F10" s="26">
        <v>89000.0</v>
      </c>
      <c r="G10" s="550">
        <f t="shared" si="1"/>
        <v>0</v>
      </c>
      <c r="H10" s="280"/>
      <c r="I10" s="280"/>
    </row>
    <row r="11" hidden="1">
      <c r="A11" s="16" t="s">
        <v>149</v>
      </c>
      <c r="B11" s="273">
        <v>0.0</v>
      </c>
      <c r="C11" s="273">
        <v>0.0</v>
      </c>
      <c r="D11" s="271">
        <v>0.0</v>
      </c>
      <c r="E11" s="49">
        <v>0.0</v>
      </c>
      <c r="F11" s="79">
        <v>190000.0</v>
      </c>
      <c r="G11" s="550">
        <f t="shared" si="1"/>
        <v>0</v>
      </c>
      <c r="H11" s="280"/>
      <c r="I11" s="280"/>
    </row>
    <row r="12" hidden="1">
      <c r="A12" s="16" t="s">
        <v>150</v>
      </c>
      <c r="B12" s="273">
        <v>0.0</v>
      </c>
      <c r="C12" s="273">
        <v>0.0</v>
      </c>
      <c r="D12" s="271">
        <v>4.0</v>
      </c>
      <c r="E12" s="49">
        <v>9.0</v>
      </c>
      <c r="F12" s="79">
        <v>200000.0</v>
      </c>
      <c r="G12" s="550">
        <f t="shared" si="1"/>
        <v>0</v>
      </c>
      <c r="H12" s="280"/>
      <c r="I12" s="280"/>
    </row>
    <row r="13" hidden="1">
      <c r="A13" s="16" t="s">
        <v>152</v>
      </c>
      <c r="B13" s="273">
        <v>0.0</v>
      </c>
      <c r="C13" s="273">
        <v>0.0</v>
      </c>
      <c r="D13" s="271">
        <v>2.0</v>
      </c>
      <c r="E13" s="49">
        <v>0.0</v>
      </c>
      <c r="F13" s="26">
        <f>123000*0.8*1.19</f>
        <v>117096</v>
      </c>
      <c r="G13" s="550">
        <f t="shared" si="1"/>
        <v>0</v>
      </c>
      <c r="H13" s="280"/>
      <c r="I13" s="280"/>
    </row>
    <row r="14" hidden="1">
      <c r="A14" s="16" t="s">
        <v>241</v>
      </c>
      <c r="B14" s="273">
        <v>0.0</v>
      </c>
      <c r="C14" s="273">
        <v>0.0</v>
      </c>
      <c r="D14" s="271">
        <v>0.0</v>
      </c>
      <c r="E14" s="49">
        <v>0.0</v>
      </c>
      <c r="F14" s="26">
        <v>58000.0</v>
      </c>
      <c r="G14" s="550">
        <f t="shared" si="1"/>
        <v>0</v>
      </c>
      <c r="H14" s="280"/>
      <c r="I14" s="280"/>
    </row>
    <row r="15" hidden="1">
      <c r="A15" s="16" t="s">
        <v>243</v>
      </c>
      <c r="B15" s="273">
        <v>0.0</v>
      </c>
      <c r="C15" s="273">
        <v>0.0</v>
      </c>
      <c r="D15" s="271">
        <v>4.0</v>
      </c>
      <c r="E15" s="49">
        <v>14.0</v>
      </c>
      <c r="F15" s="79">
        <f>95000*0.8</f>
        <v>76000</v>
      </c>
      <c r="G15" s="550">
        <f t="shared" si="1"/>
        <v>0</v>
      </c>
      <c r="H15" s="280"/>
      <c r="I15" s="280"/>
    </row>
    <row r="16">
      <c r="A16" s="16" t="s">
        <v>245</v>
      </c>
      <c r="B16" s="273">
        <v>5.0</v>
      </c>
      <c r="C16" s="273">
        <v>5.0</v>
      </c>
      <c r="D16" s="271">
        <v>0.0</v>
      </c>
      <c r="E16" s="49">
        <v>0.0</v>
      </c>
      <c r="F16" s="26">
        <f>125000*0.8</f>
        <v>100000</v>
      </c>
      <c r="G16" s="550">
        <f t="shared" si="1"/>
        <v>10</v>
      </c>
      <c r="H16" s="280"/>
      <c r="I16" s="280"/>
      <c r="J16" s="312" t="s">
        <v>2799</v>
      </c>
      <c r="K16" s="312" t="s">
        <v>3082</v>
      </c>
    </row>
    <row r="17">
      <c r="A17" s="16" t="s">
        <v>365</v>
      </c>
      <c r="B17" s="273">
        <v>5.0</v>
      </c>
      <c r="C17" s="273">
        <v>5.0</v>
      </c>
      <c r="D17" s="271">
        <v>0.0</v>
      </c>
      <c r="E17" s="49">
        <v>1.0</v>
      </c>
      <c r="F17" s="26">
        <f t="shared" ref="F17:F18" si="2">100000</f>
        <v>100000</v>
      </c>
      <c r="G17" s="550">
        <f t="shared" si="1"/>
        <v>10</v>
      </c>
      <c r="H17" s="280"/>
      <c r="I17" s="280"/>
      <c r="J17" s="312" t="s">
        <v>3418</v>
      </c>
      <c r="K17" s="312" t="s">
        <v>3082</v>
      </c>
    </row>
    <row r="18">
      <c r="A18" s="16" t="s">
        <v>367</v>
      </c>
      <c r="B18" s="273">
        <v>5.0</v>
      </c>
      <c r="C18" s="273">
        <v>5.0</v>
      </c>
      <c r="D18" s="271">
        <v>0.0</v>
      </c>
      <c r="E18" s="49">
        <v>2.0</v>
      </c>
      <c r="F18" s="26">
        <f t="shared" si="2"/>
        <v>100000</v>
      </c>
      <c r="G18" s="550">
        <f t="shared" si="1"/>
        <v>10</v>
      </c>
      <c r="H18" s="280"/>
      <c r="I18" s="280"/>
      <c r="J18" s="312" t="s">
        <v>3418</v>
      </c>
      <c r="K18" s="312" t="s">
        <v>3082</v>
      </c>
    </row>
    <row r="19" hidden="1">
      <c r="A19" s="16" t="s">
        <v>369</v>
      </c>
      <c r="B19" s="273">
        <v>0.0</v>
      </c>
      <c r="C19" s="273">
        <v>0.0</v>
      </c>
      <c r="D19" s="271">
        <v>0.0</v>
      </c>
      <c r="E19" s="49">
        <v>0.0</v>
      </c>
      <c r="F19" s="26">
        <f t="shared" ref="F19:F20" si="3">200000*0.8</f>
        <v>160000</v>
      </c>
      <c r="G19" s="550">
        <f t="shared" si="1"/>
        <v>0</v>
      </c>
      <c r="H19" s="280"/>
      <c r="I19" s="280"/>
    </row>
    <row r="20" hidden="1">
      <c r="A20" s="16" t="s">
        <v>370</v>
      </c>
      <c r="B20" s="273">
        <v>0.0</v>
      </c>
      <c r="C20" s="273">
        <v>0.0</v>
      </c>
      <c r="D20" s="271">
        <v>0.0</v>
      </c>
      <c r="E20" s="49">
        <v>0.0</v>
      </c>
      <c r="F20" s="26">
        <f t="shared" si="3"/>
        <v>160000</v>
      </c>
      <c r="G20" s="550">
        <f t="shared" si="1"/>
        <v>0</v>
      </c>
      <c r="H20" s="280"/>
      <c r="I20" s="280"/>
    </row>
    <row r="21" hidden="1">
      <c r="A21" s="16" t="s">
        <v>477</v>
      </c>
      <c r="B21" s="273">
        <v>0.0</v>
      </c>
      <c r="C21" s="273">
        <v>0.0</v>
      </c>
      <c r="D21" s="271">
        <v>4.0</v>
      </c>
      <c r="E21" s="49">
        <v>22.0</v>
      </c>
      <c r="F21" s="79">
        <v>19200.0</v>
      </c>
      <c r="G21" s="550">
        <f t="shared" si="1"/>
        <v>0</v>
      </c>
      <c r="H21" s="280"/>
      <c r="I21" s="280"/>
    </row>
    <row r="22" hidden="1">
      <c r="A22" s="176" t="s">
        <v>890</v>
      </c>
      <c r="B22" s="273">
        <v>0.0</v>
      </c>
      <c r="C22" s="273">
        <v>0.0</v>
      </c>
      <c r="D22" s="271">
        <v>2.0</v>
      </c>
      <c r="E22" s="49">
        <v>2.0</v>
      </c>
      <c r="F22" s="26">
        <f>29000*0.8*1.19</f>
        <v>27608</v>
      </c>
      <c r="G22" s="550">
        <f t="shared" si="1"/>
        <v>0</v>
      </c>
      <c r="H22" s="280"/>
      <c r="I22" s="280"/>
    </row>
    <row r="23" hidden="1">
      <c r="A23" s="176" t="s">
        <v>922</v>
      </c>
      <c r="B23" s="273">
        <v>0.0</v>
      </c>
      <c r="C23" s="273">
        <v>0.0</v>
      </c>
      <c r="D23" s="271">
        <v>1.0</v>
      </c>
      <c r="E23" s="49">
        <v>1.0</v>
      </c>
      <c r="F23" s="26">
        <f>65000*0.8*1.19</f>
        <v>61880</v>
      </c>
      <c r="G23" s="550">
        <f t="shared" si="1"/>
        <v>0</v>
      </c>
      <c r="H23" s="280"/>
      <c r="I23" s="280"/>
    </row>
    <row r="24">
      <c r="A24" s="16" t="s">
        <v>1653</v>
      </c>
      <c r="B24" s="273">
        <v>1.0</v>
      </c>
      <c r="C24" s="273">
        <v>1.0</v>
      </c>
      <c r="D24" s="271">
        <v>0.0</v>
      </c>
      <c r="E24" s="49">
        <v>0.0</v>
      </c>
      <c r="F24" s="26">
        <v>743000.0</v>
      </c>
      <c r="G24" s="550">
        <f t="shared" si="1"/>
        <v>2</v>
      </c>
      <c r="H24" s="280"/>
      <c r="I24" s="280"/>
      <c r="J24" s="312" t="s">
        <v>3419</v>
      </c>
      <c r="K24" s="312" t="s">
        <v>3082</v>
      </c>
    </row>
    <row r="25" hidden="1">
      <c r="A25" s="16" t="s">
        <v>1654</v>
      </c>
      <c r="B25" s="273">
        <v>0.0</v>
      </c>
      <c r="C25" s="273">
        <v>0.0</v>
      </c>
      <c r="D25" s="271">
        <v>1.0</v>
      </c>
      <c r="E25" s="49">
        <v>1.0</v>
      </c>
      <c r="F25" s="26">
        <v>384000.0</v>
      </c>
      <c r="G25" s="550">
        <f t="shared" si="1"/>
        <v>0</v>
      </c>
      <c r="H25" s="280"/>
      <c r="I25" s="280"/>
    </row>
    <row r="26" hidden="1">
      <c r="A26" s="16" t="s">
        <v>1910</v>
      </c>
      <c r="B26" s="273">
        <v>0.0</v>
      </c>
      <c r="C26" s="273">
        <v>0.0</v>
      </c>
      <c r="D26" s="271">
        <v>2.0</v>
      </c>
      <c r="E26" s="49">
        <v>5.0</v>
      </c>
      <c r="F26" s="26">
        <f>85000*0.8</f>
        <v>68000</v>
      </c>
      <c r="G26" s="550">
        <f t="shared" si="1"/>
        <v>0</v>
      </c>
      <c r="H26" s="280"/>
      <c r="I26" s="280"/>
    </row>
    <row r="27" hidden="1">
      <c r="A27" s="16" t="s">
        <v>1996</v>
      </c>
      <c r="B27" s="273">
        <v>0.0</v>
      </c>
      <c r="C27" s="273">
        <v>0.0</v>
      </c>
      <c r="D27" s="271">
        <v>3.0</v>
      </c>
      <c r="E27" s="49">
        <v>5.0</v>
      </c>
      <c r="F27" s="26">
        <f>32000*0.8*1.19</f>
        <v>30464</v>
      </c>
      <c r="G27" s="550">
        <f t="shared" si="1"/>
        <v>0</v>
      </c>
      <c r="H27" s="280"/>
      <c r="I27" s="280"/>
    </row>
    <row r="28">
      <c r="A28" s="16" t="s">
        <v>2186</v>
      </c>
      <c r="B28" s="273">
        <v>2.0</v>
      </c>
      <c r="C28" s="273">
        <v>3.0</v>
      </c>
      <c r="D28" s="271">
        <v>2.0</v>
      </c>
      <c r="E28" s="49">
        <v>2.0</v>
      </c>
      <c r="F28" s="26">
        <f t="shared" ref="F28:F29" si="4">90000*0.8</f>
        <v>72000</v>
      </c>
      <c r="G28" s="550">
        <f t="shared" si="1"/>
        <v>5</v>
      </c>
      <c r="H28" s="280"/>
      <c r="I28" s="280"/>
      <c r="J28" s="312" t="s">
        <v>2799</v>
      </c>
      <c r="K28" s="312" t="s">
        <v>3420</v>
      </c>
    </row>
    <row r="29">
      <c r="A29" s="16" t="s">
        <v>2188</v>
      </c>
      <c r="B29" s="273">
        <v>2.0</v>
      </c>
      <c r="C29" s="273">
        <v>5.0</v>
      </c>
      <c r="D29" s="271">
        <v>0.0</v>
      </c>
      <c r="E29" s="49">
        <v>0.0</v>
      </c>
      <c r="F29" s="26">
        <f t="shared" si="4"/>
        <v>72000</v>
      </c>
      <c r="G29" s="550">
        <f t="shared" si="1"/>
        <v>7</v>
      </c>
      <c r="H29" s="280"/>
      <c r="I29" s="280"/>
      <c r="J29" s="312" t="s">
        <v>3420</v>
      </c>
      <c r="K29" s="312" t="s">
        <v>3420</v>
      </c>
    </row>
    <row r="30">
      <c r="A30" s="16" t="s">
        <v>2190</v>
      </c>
      <c r="B30" s="273">
        <v>3.0</v>
      </c>
      <c r="C30" s="273">
        <v>5.0</v>
      </c>
      <c r="D30" s="271">
        <v>0.0</v>
      </c>
      <c r="E30" s="49">
        <v>0.0</v>
      </c>
      <c r="F30" s="26">
        <v>72000.0</v>
      </c>
      <c r="G30" s="550">
        <f t="shared" si="1"/>
        <v>8</v>
      </c>
      <c r="H30" s="280"/>
      <c r="I30" s="280"/>
      <c r="J30" s="312" t="s">
        <v>3418</v>
      </c>
      <c r="K30" s="312" t="s">
        <v>3418</v>
      </c>
    </row>
    <row r="31">
      <c r="A31" s="16" t="s">
        <v>2191</v>
      </c>
      <c r="B31" s="273">
        <v>1.0</v>
      </c>
      <c r="C31" s="273">
        <v>1.0</v>
      </c>
      <c r="D31" s="271">
        <v>0.0</v>
      </c>
      <c r="E31" s="49">
        <v>0.0</v>
      </c>
      <c r="F31" s="26">
        <f>229500*0.8</f>
        <v>183600</v>
      </c>
      <c r="G31" s="550">
        <f t="shared" si="1"/>
        <v>2</v>
      </c>
      <c r="H31" s="280"/>
      <c r="I31" s="280"/>
      <c r="J31" s="312" t="s">
        <v>3421</v>
      </c>
    </row>
    <row r="32" hidden="1">
      <c r="A32" s="187" t="s">
        <v>2250</v>
      </c>
      <c r="B32" s="273">
        <v>0.0</v>
      </c>
      <c r="C32" s="273">
        <v>0.0</v>
      </c>
      <c r="D32" s="271">
        <v>0.0</v>
      </c>
      <c r="E32" s="49">
        <v>0.0</v>
      </c>
      <c r="F32" s="26">
        <v>3000.0</v>
      </c>
      <c r="G32" s="550">
        <f t="shared" si="1"/>
        <v>0</v>
      </c>
      <c r="H32" s="280"/>
      <c r="I32" s="280"/>
    </row>
    <row r="33" hidden="1">
      <c r="A33" s="187" t="s">
        <v>2251</v>
      </c>
      <c r="B33" s="273"/>
      <c r="C33" s="273">
        <v>0.0</v>
      </c>
      <c r="D33" s="271">
        <v>0.0</v>
      </c>
      <c r="E33" s="49">
        <v>0.0</v>
      </c>
      <c r="F33" s="79">
        <v>47600.0</v>
      </c>
      <c r="G33" s="550">
        <f t="shared" si="1"/>
        <v>0</v>
      </c>
      <c r="H33" s="280"/>
      <c r="I33" s="280"/>
    </row>
    <row r="34" hidden="1">
      <c r="A34" s="16" t="s">
        <v>2400</v>
      </c>
      <c r="B34" s="273">
        <v>0.0</v>
      </c>
      <c r="C34" s="273">
        <v>0.0</v>
      </c>
      <c r="D34" s="271">
        <v>0.0</v>
      </c>
      <c r="E34" s="49"/>
      <c r="F34" s="79">
        <v>28800.0</v>
      </c>
      <c r="G34" s="550">
        <f t="shared" si="1"/>
        <v>0</v>
      </c>
      <c r="H34" s="280"/>
      <c r="I34" s="280"/>
    </row>
    <row r="35" hidden="1">
      <c r="A35" s="16" t="s">
        <v>2402</v>
      </c>
      <c r="B35" s="273">
        <v>0.0</v>
      </c>
      <c r="C35" s="273">
        <v>0.0</v>
      </c>
      <c r="D35" s="271">
        <v>3.0</v>
      </c>
      <c r="E35" s="49"/>
      <c r="F35" s="79">
        <v>28800.0</v>
      </c>
      <c r="G35" s="550">
        <f t="shared" si="1"/>
        <v>0</v>
      </c>
      <c r="H35" s="280"/>
      <c r="I35" s="280"/>
    </row>
    <row r="36" hidden="1">
      <c r="A36" s="16" t="s">
        <v>2403</v>
      </c>
      <c r="B36" s="273">
        <v>0.0</v>
      </c>
      <c r="C36" s="273">
        <v>0.0</v>
      </c>
      <c r="D36" s="271">
        <v>2.0</v>
      </c>
      <c r="E36" s="49"/>
      <c r="F36" s="79">
        <v>28800.0</v>
      </c>
      <c r="G36" s="550">
        <f t="shared" si="1"/>
        <v>0</v>
      </c>
      <c r="H36" s="280"/>
      <c r="I36" s="280"/>
    </row>
    <row r="37" hidden="1">
      <c r="A37" s="16" t="s">
        <v>2404</v>
      </c>
      <c r="B37" s="273">
        <v>0.0</v>
      </c>
      <c r="C37" s="273">
        <v>0.0</v>
      </c>
      <c r="D37" s="271">
        <v>3.0</v>
      </c>
      <c r="E37" s="49"/>
      <c r="F37" s="79">
        <v>28800.0</v>
      </c>
      <c r="G37" s="550">
        <f t="shared" si="1"/>
        <v>0</v>
      </c>
      <c r="H37" s="280"/>
      <c r="I37" s="280"/>
    </row>
    <row r="38" hidden="1">
      <c r="A38" s="16" t="s">
        <v>2405</v>
      </c>
      <c r="B38" s="273">
        <v>0.0</v>
      </c>
      <c r="C38" s="273">
        <v>0.0</v>
      </c>
      <c r="D38" s="271">
        <v>2.0</v>
      </c>
      <c r="E38" s="49"/>
      <c r="F38" s="79">
        <v>28800.0</v>
      </c>
      <c r="G38" s="550">
        <f t="shared" si="1"/>
        <v>0</v>
      </c>
      <c r="H38" s="280"/>
      <c r="I38" s="280"/>
    </row>
    <row r="39" hidden="1">
      <c r="A39" s="16" t="s">
        <v>2406</v>
      </c>
      <c r="B39" s="273">
        <v>0.0</v>
      </c>
      <c r="C39" s="273">
        <v>0.0</v>
      </c>
      <c r="D39" s="271">
        <v>3.0</v>
      </c>
      <c r="E39" s="49"/>
      <c r="F39" s="79">
        <v>28800.0</v>
      </c>
      <c r="G39" s="550">
        <f t="shared" si="1"/>
        <v>0</v>
      </c>
      <c r="H39" s="280"/>
      <c r="I39" s="280"/>
    </row>
    <row r="40" hidden="1">
      <c r="A40" s="16" t="s">
        <v>2407</v>
      </c>
      <c r="B40" s="273">
        <v>0.0</v>
      </c>
      <c r="C40" s="273">
        <v>0.0</v>
      </c>
      <c r="D40" s="271">
        <v>2.0</v>
      </c>
      <c r="E40" s="49"/>
      <c r="F40" s="79">
        <v>28800.0</v>
      </c>
      <c r="G40" s="550">
        <f t="shared" si="1"/>
        <v>0</v>
      </c>
      <c r="H40" s="280"/>
      <c r="I40" s="280"/>
    </row>
    <row r="41" hidden="1">
      <c r="A41" s="16" t="s">
        <v>2408</v>
      </c>
      <c r="B41" s="273">
        <v>0.0</v>
      </c>
      <c r="C41" s="273">
        <v>0.0</v>
      </c>
      <c r="D41" s="271">
        <v>0.0</v>
      </c>
      <c r="E41" s="49"/>
      <c r="F41" s="79">
        <v>28800.0</v>
      </c>
      <c r="G41" s="550">
        <f t="shared" si="1"/>
        <v>0</v>
      </c>
      <c r="H41" s="280"/>
      <c r="I41" s="280"/>
    </row>
    <row r="42" hidden="1">
      <c r="A42" s="16" t="s">
        <v>2409</v>
      </c>
      <c r="B42" s="273">
        <v>0.0</v>
      </c>
      <c r="C42" s="273">
        <v>0.0</v>
      </c>
      <c r="D42" s="271">
        <v>5.0</v>
      </c>
      <c r="E42" s="49">
        <v>5.0</v>
      </c>
      <c r="F42" s="26">
        <f t="shared" ref="F42:F43" si="5">38000*0.8</f>
        <v>30400</v>
      </c>
      <c r="G42" s="550">
        <f t="shared" si="1"/>
        <v>0</v>
      </c>
      <c r="H42" s="280"/>
      <c r="I42" s="280"/>
    </row>
    <row r="43" hidden="1">
      <c r="A43" s="16" t="s">
        <v>2412</v>
      </c>
      <c r="B43" s="273">
        <v>0.0</v>
      </c>
      <c r="C43" s="273">
        <v>0.0</v>
      </c>
      <c r="D43" s="220">
        <v>1.0</v>
      </c>
      <c r="E43" s="551">
        <v>6.0</v>
      </c>
      <c r="F43" s="26">
        <f t="shared" si="5"/>
        <v>30400</v>
      </c>
      <c r="G43" s="550">
        <f t="shared" si="1"/>
        <v>0</v>
      </c>
      <c r="H43" s="280"/>
      <c r="I43" s="280"/>
    </row>
    <row r="44" hidden="1">
      <c r="A44" s="16" t="s">
        <v>2413</v>
      </c>
      <c r="B44" s="273">
        <v>0.0</v>
      </c>
      <c r="C44" s="273">
        <v>0.0</v>
      </c>
      <c r="D44" s="271">
        <v>1.0</v>
      </c>
      <c r="E44" s="49">
        <v>1.0</v>
      </c>
      <c r="F44" s="26">
        <f t="shared" ref="F44:F46" si="6">90000*0.8</f>
        <v>72000</v>
      </c>
      <c r="G44" s="550">
        <f t="shared" si="1"/>
        <v>0</v>
      </c>
      <c r="H44" s="280"/>
      <c r="I44" s="280"/>
    </row>
    <row r="45">
      <c r="A45" s="16" t="s">
        <v>2416</v>
      </c>
      <c r="B45" s="273">
        <v>0.0</v>
      </c>
      <c r="C45" s="273">
        <v>1.0</v>
      </c>
      <c r="D45" s="271">
        <v>1.0</v>
      </c>
      <c r="E45" s="49">
        <v>0.0</v>
      </c>
      <c r="F45" s="26">
        <f t="shared" si="6"/>
        <v>72000</v>
      </c>
      <c r="G45" s="550">
        <f t="shared" si="1"/>
        <v>1</v>
      </c>
      <c r="H45" s="280"/>
      <c r="I45" s="280"/>
      <c r="J45" s="312" t="s">
        <v>2799</v>
      </c>
    </row>
    <row r="46">
      <c r="A46" s="16" t="s">
        <v>3405</v>
      </c>
      <c r="B46" s="273">
        <v>2.0</v>
      </c>
      <c r="C46" s="273">
        <v>3.0</v>
      </c>
      <c r="D46" s="271">
        <v>2.0</v>
      </c>
      <c r="E46" s="49">
        <v>1.0</v>
      </c>
      <c r="F46" s="26">
        <f t="shared" si="6"/>
        <v>72000</v>
      </c>
      <c r="G46" s="550">
        <f t="shared" si="1"/>
        <v>5</v>
      </c>
      <c r="H46" s="280"/>
      <c r="I46" s="280"/>
      <c r="J46" s="312" t="s">
        <v>2799</v>
      </c>
    </row>
    <row r="47" hidden="1">
      <c r="A47" s="16" t="s">
        <v>2443</v>
      </c>
      <c r="B47" s="273">
        <v>0.0</v>
      </c>
      <c r="C47" s="273">
        <v>0.0</v>
      </c>
      <c r="D47" s="271">
        <v>1.0</v>
      </c>
      <c r="E47" s="49">
        <v>1.0</v>
      </c>
      <c r="F47" s="26">
        <v>116000.0</v>
      </c>
      <c r="G47" s="550">
        <f t="shared" si="1"/>
        <v>0</v>
      </c>
      <c r="H47" s="280"/>
      <c r="I47" s="280"/>
    </row>
    <row r="48">
      <c r="A48" s="16" t="s">
        <v>2519</v>
      </c>
      <c r="B48" s="273">
        <v>0.0</v>
      </c>
      <c r="C48" s="273">
        <v>6.0</v>
      </c>
      <c r="D48" s="271">
        <v>0.0</v>
      </c>
      <c r="E48" s="49">
        <v>0.0</v>
      </c>
      <c r="F48" s="26">
        <f>40000*0.8</f>
        <v>32000</v>
      </c>
      <c r="G48" s="550">
        <f t="shared" si="1"/>
        <v>6</v>
      </c>
      <c r="H48" s="280"/>
      <c r="I48" s="280"/>
      <c r="J48" s="312" t="s">
        <v>2799</v>
      </c>
    </row>
    <row r="49" hidden="1">
      <c r="A49" s="16" t="s">
        <v>2787</v>
      </c>
      <c r="B49" s="273">
        <v>0.0</v>
      </c>
      <c r="C49" s="273">
        <v>0.0</v>
      </c>
      <c r="D49" s="271">
        <v>1.0</v>
      </c>
      <c r="E49" s="49">
        <v>1.0</v>
      </c>
      <c r="F49" s="26">
        <f>100000*0.8*1.19</f>
        <v>95200</v>
      </c>
      <c r="G49" s="550">
        <f t="shared" si="1"/>
        <v>0</v>
      </c>
      <c r="H49" s="280"/>
      <c r="I49" s="280"/>
    </row>
    <row r="50" hidden="1">
      <c r="G50" s="307"/>
      <c r="H50" s="280"/>
      <c r="I50" s="280"/>
    </row>
    <row r="51" hidden="1">
      <c r="G51" s="307"/>
      <c r="H51" s="280"/>
      <c r="I51" s="280"/>
    </row>
    <row r="52" hidden="1">
      <c r="G52" s="307"/>
      <c r="H52" s="280"/>
      <c r="I52" s="280"/>
    </row>
    <row r="53" hidden="1">
      <c r="G53" s="307"/>
      <c r="H53" s="280"/>
      <c r="I53" s="280"/>
    </row>
    <row r="54" hidden="1">
      <c r="G54" s="307"/>
      <c r="H54" s="280"/>
      <c r="I54" s="280"/>
    </row>
    <row r="55" hidden="1">
      <c r="G55" s="307"/>
      <c r="H55" s="280"/>
      <c r="I55" s="280"/>
    </row>
    <row r="56" hidden="1">
      <c r="G56" s="307"/>
      <c r="H56" s="280"/>
      <c r="I56" s="280"/>
    </row>
    <row r="57" hidden="1">
      <c r="G57" s="307"/>
      <c r="H57" s="280"/>
      <c r="I57" s="280"/>
    </row>
    <row r="58" hidden="1">
      <c r="G58" s="307"/>
      <c r="H58" s="280"/>
      <c r="I58" s="280"/>
    </row>
    <row r="59" hidden="1">
      <c r="G59" s="307"/>
      <c r="H59" s="280"/>
      <c r="I59" s="280"/>
    </row>
    <row r="60" hidden="1">
      <c r="G60" s="307"/>
      <c r="H60" s="280"/>
      <c r="I60" s="280"/>
    </row>
    <row r="61" hidden="1">
      <c r="G61" s="307"/>
      <c r="H61" s="280"/>
      <c r="I61" s="280"/>
    </row>
    <row r="62" hidden="1">
      <c r="G62" s="307"/>
      <c r="H62" s="280"/>
      <c r="I62" s="280"/>
    </row>
    <row r="63" hidden="1">
      <c r="G63" s="307"/>
      <c r="H63" s="280"/>
      <c r="I63" s="280"/>
    </row>
    <row r="64" hidden="1">
      <c r="G64" s="307"/>
      <c r="H64" s="280"/>
      <c r="I64" s="280"/>
    </row>
    <row r="65" hidden="1">
      <c r="G65" s="307"/>
      <c r="H65" s="280"/>
      <c r="I65" s="280"/>
    </row>
    <row r="66" hidden="1">
      <c r="G66" s="307"/>
      <c r="H66" s="280"/>
      <c r="I66" s="280"/>
    </row>
    <row r="67" hidden="1">
      <c r="G67" s="307"/>
      <c r="H67" s="280"/>
      <c r="I67" s="280"/>
    </row>
    <row r="68" hidden="1">
      <c r="G68" s="307"/>
      <c r="H68" s="280"/>
      <c r="I68" s="280"/>
    </row>
    <row r="69" hidden="1">
      <c r="G69" s="307"/>
      <c r="H69" s="280"/>
      <c r="I69" s="280"/>
    </row>
    <row r="70" hidden="1">
      <c r="G70" s="307"/>
      <c r="H70" s="280"/>
      <c r="I70" s="280"/>
    </row>
    <row r="71" hidden="1">
      <c r="G71" s="307"/>
      <c r="H71" s="280"/>
      <c r="I71" s="280"/>
    </row>
    <row r="72" hidden="1">
      <c r="G72" s="307"/>
      <c r="H72" s="280"/>
      <c r="I72" s="280"/>
    </row>
    <row r="73" hidden="1">
      <c r="G73" s="307"/>
      <c r="H73" s="280"/>
      <c r="I73" s="280"/>
    </row>
    <row r="74" hidden="1">
      <c r="G74" s="307"/>
      <c r="H74" s="280"/>
      <c r="I74" s="280"/>
    </row>
    <row r="75" hidden="1">
      <c r="G75" s="307"/>
      <c r="H75" s="280"/>
      <c r="I75" s="280"/>
    </row>
    <row r="76" hidden="1">
      <c r="G76" s="307"/>
      <c r="H76" s="280"/>
      <c r="I76" s="280"/>
    </row>
    <row r="77" hidden="1">
      <c r="G77" s="307"/>
      <c r="H77" s="280"/>
      <c r="I77" s="280"/>
    </row>
    <row r="78" hidden="1">
      <c r="G78" s="307"/>
      <c r="H78" s="280"/>
      <c r="I78" s="280"/>
    </row>
    <row r="79" hidden="1">
      <c r="G79" s="307"/>
      <c r="H79" s="280"/>
      <c r="I79" s="280"/>
    </row>
    <row r="80" hidden="1">
      <c r="G80" s="307"/>
      <c r="H80" s="280"/>
      <c r="I80" s="280"/>
    </row>
    <row r="81" hidden="1">
      <c r="G81" s="307"/>
      <c r="H81" s="280"/>
      <c r="I81" s="280"/>
    </row>
    <row r="82" hidden="1">
      <c r="G82" s="307"/>
      <c r="H82" s="280"/>
      <c r="I82" s="280"/>
    </row>
    <row r="83" hidden="1">
      <c r="G83" s="307"/>
      <c r="H83" s="280"/>
      <c r="I83" s="280"/>
    </row>
    <row r="84" hidden="1">
      <c r="G84" s="307"/>
      <c r="H84" s="280"/>
      <c r="I84" s="280"/>
    </row>
    <row r="85" hidden="1">
      <c r="G85" s="307"/>
      <c r="H85" s="280"/>
      <c r="I85" s="280"/>
    </row>
    <row r="86" hidden="1">
      <c r="G86" s="307"/>
      <c r="H86" s="280"/>
      <c r="I86" s="280"/>
    </row>
    <row r="87" hidden="1">
      <c r="G87" s="307"/>
      <c r="H87" s="280"/>
      <c r="I87" s="280"/>
    </row>
    <row r="88" hidden="1">
      <c r="G88" s="307"/>
      <c r="H88" s="280"/>
      <c r="I88" s="280"/>
    </row>
    <row r="89" hidden="1">
      <c r="G89" s="307"/>
      <c r="H89" s="280"/>
      <c r="I89" s="280"/>
    </row>
    <row r="90" hidden="1">
      <c r="G90" s="307"/>
      <c r="H90" s="280"/>
      <c r="I90" s="280"/>
    </row>
    <row r="91" hidden="1">
      <c r="G91" s="307"/>
      <c r="H91" s="280"/>
      <c r="I91" s="280"/>
    </row>
    <row r="92" hidden="1">
      <c r="G92" s="307"/>
      <c r="H92" s="280"/>
      <c r="I92" s="280"/>
    </row>
    <row r="93" hidden="1">
      <c r="G93" s="307"/>
      <c r="H93" s="280"/>
      <c r="I93" s="280"/>
    </row>
    <row r="94" hidden="1">
      <c r="G94" s="307"/>
      <c r="H94" s="280"/>
      <c r="I94" s="280"/>
    </row>
    <row r="95" hidden="1">
      <c r="G95" s="307"/>
      <c r="H95" s="280"/>
      <c r="I95" s="280"/>
    </row>
    <row r="96" hidden="1">
      <c r="G96" s="307"/>
      <c r="H96" s="280"/>
      <c r="I96" s="280"/>
    </row>
    <row r="97" hidden="1">
      <c r="G97" s="307"/>
      <c r="H97" s="280"/>
      <c r="I97" s="280"/>
    </row>
    <row r="98" hidden="1">
      <c r="G98" s="307"/>
      <c r="H98" s="280"/>
      <c r="I98" s="280"/>
    </row>
    <row r="99" hidden="1">
      <c r="G99" s="307"/>
      <c r="H99" s="280"/>
      <c r="I99" s="280"/>
    </row>
    <row r="100" hidden="1">
      <c r="G100" s="307"/>
      <c r="H100" s="280"/>
      <c r="I100" s="280"/>
    </row>
    <row r="101" hidden="1">
      <c r="G101" s="307"/>
      <c r="H101" s="280"/>
      <c r="I101" s="280"/>
    </row>
    <row r="102" hidden="1">
      <c r="G102" s="307"/>
      <c r="H102" s="280"/>
      <c r="I102" s="280"/>
    </row>
    <row r="103" hidden="1">
      <c r="G103" s="307"/>
      <c r="H103" s="280"/>
      <c r="I103" s="280"/>
    </row>
    <row r="104" hidden="1">
      <c r="G104" s="307"/>
      <c r="H104" s="280"/>
      <c r="I104" s="280"/>
    </row>
    <row r="105" hidden="1">
      <c r="G105" s="307"/>
      <c r="H105" s="280"/>
      <c r="I105" s="280"/>
    </row>
    <row r="106" hidden="1">
      <c r="G106" s="307"/>
      <c r="H106" s="280"/>
      <c r="I106" s="280"/>
    </row>
    <row r="107" hidden="1">
      <c r="G107" s="307"/>
      <c r="H107" s="280"/>
      <c r="I107" s="280"/>
    </row>
    <row r="108" hidden="1">
      <c r="G108" s="307"/>
      <c r="H108" s="280"/>
      <c r="I108" s="280"/>
    </row>
    <row r="109" hidden="1">
      <c r="G109" s="307"/>
      <c r="H109" s="280"/>
      <c r="I109" s="280"/>
    </row>
    <row r="110" hidden="1">
      <c r="G110" s="307"/>
      <c r="H110" s="280"/>
      <c r="I110" s="280"/>
    </row>
    <row r="111" hidden="1">
      <c r="G111" s="307"/>
      <c r="H111" s="280"/>
      <c r="I111" s="280"/>
    </row>
    <row r="112" hidden="1">
      <c r="G112" s="307"/>
      <c r="H112" s="280"/>
      <c r="I112" s="280"/>
    </row>
    <row r="113" hidden="1">
      <c r="G113" s="307"/>
      <c r="H113" s="280"/>
      <c r="I113" s="280"/>
    </row>
    <row r="114" hidden="1">
      <c r="G114" s="307"/>
      <c r="H114" s="280"/>
      <c r="I114" s="280"/>
    </row>
    <row r="115" hidden="1">
      <c r="G115" s="307"/>
      <c r="H115" s="280"/>
      <c r="I115" s="280"/>
    </row>
    <row r="116" hidden="1">
      <c r="G116" s="307"/>
      <c r="H116" s="280"/>
      <c r="I116" s="280"/>
    </row>
    <row r="117" hidden="1">
      <c r="G117" s="307"/>
      <c r="H117" s="280"/>
      <c r="I117" s="280"/>
    </row>
    <row r="118" hidden="1">
      <c r="G118" s="307"/>
      <c r="H118" s="280"/>
      <c r="I118" s="280"/>
    </row>
    <row r="119" hidden="1">
      <c r="G119" s="307"/>
      <c r="H119" s="280"/>
      <c r="I119" s="280"/>
    </row>
    <row r="120" hidden="1">
      <c r="G120" s="307"/>
      <c r="H120" s="280"/>
      <c r="I120" s="280"/>
    </row>
    <row r="121" hidden="1">
      <c r="G121" s="307"/>
      <c r="H121" s="280"/>
      <c r="I121" s="280"/>
    </row>
    <row r="122" hidden="1">
      <c r="G122" s="307"/>
      <c r="H122" s="280"/>
      <c r="I122" s="280"/>
    </row>
    <row r="123" hidden="1">
      <c r="G123" s="307"/>
      <c r="H123" s="280"/>
      <c r="I123" s="280"/>
    </row>
    <row r="124" hidden="1">
      <c r="G124" s="307"/>
      <c r="H124" s="280"/>
      <c r="I124" s="280"/>
    </row>
    <row r="125" hidden="1">
      <c r="G125" s="307"/>
      <c r="H125" s="280"/>
      <c r="I125" s="280"/>
    </row>
    <row r="126" hidden="1">
      <c r="G126" s="307"/>
      <c r="H126" s="280"/>
      <c r="I126" s="280"/>
    </row>
    <row r="127" hidden="1">
      <c r="G127" s="307"/>
      <c r="H127" s="280"/>
      <c r="I127" s="280"/>
    </row>
    <row r="128" hidden="1">
      <c r="G128" s="307"/>
      <c r="H128" s="280"/>
      <c r="I128" s="280"/>
    </row>
    <row r="129" hidden="1">
      <c r="G129" s="307"/>
      <c r="H129" s="280"/>
      <c r="I129" s="280"/>
    </row>
    <row r="130" hidden="1">
      <c r="G130" s="307"/>
      <c r="H130" s="280"/>
      <c r="I130" s="280"/>
    </row>
    <row r="131" hidden="1">
      <c r="G131" s="307"/>
      <c r="H131" s="280"/>
      <c r="I131" s="280"/>
    </row>
    <row r="132" hidden="1">
      <c r="G132" s="307"/>
      <c r="H132" s="280"/>
      <c r="I132" s="280"/>
    </row>
    <row r="133" hidden="1">
      <c r="G133" s="307"/>
      <c r="H133" s="280"/>
      <c r="I133" s="280"/>
    </row>
    <row r="134" hidden="1">
      <c r="G134" s="307"/>
      <c r="H134" s="280"/>
      <c r="I134" s="280"/>
    </row>
    <row r="135" hidden="1">
      <c r="G135" s="307"/>
      <c r="H135" s="280"/>
      <c r="I135" s="280"/>
    </row>
    <row r="136" hidden="1">
      <c r="G136" s="307"/>
      <c r="H136" s="280"/>
      <c r="I136" s="280"/>
    </row>
    <row r="137" hidden="1">
      <c r="G137" s="307"/>
      <c r="H137" s="280"/>
      <c r="I137" s="280"/>
    </row>
    <row r="138" hidden="1">
      <c r="G138" s="307"/>
      <c r="H138" s="280"/>
      <c r="I138" s="280"/>
    </row>
    <row r="139" hidden="1">
      <c r="G139" s="307"/>
      <c r="H139" s="280"/>
      <c r="I139" s="280"/>
    </row>
    <row r="140" hidden="1">
      <c r="G140" s="307"/>
      <c r="H140" s="280"/>
      <c r="I140" s="280"/>
    </row>
    <row r="141" hidden="1">
      <c r="G141" s="307"/>
      <c r="H141" s="280"/>
      <c r="I141" s="280"/>
    </row>
    <row r="142" hidden="1">
      <c r="G142" s="307"/>
      <c r="H142" s="280"/>
      <c r="I142" s="280"/>
    </row>
    <row r="143" hidden="1">
      <c r="G143" s="307"/>
      <c r="H143" s="280"/>
      <c r="I143" s="280"/>
    </row>
    <row r="144" hidden="1">
      <c r="G144" s="307"/>
      <c r="H144" s="280"/>
      <c r="I144" s="280"/>
    </row>
    <row r="145" hidden="1">
      <c r="G145" s="307"/>
      <c r="H145" s="280"/>
      <c r="I145" s="280"/>
    </row>
    <row r="146" hidden="1">
      <c r="G146" s="307"/>
      <c r="H146" s="280"/>
      <c r="I146" s="280"/>
    </row>
    <row r="147" hidden="1">
      <c r="G147" s="307"/>
      <c r="H147" s="280"/>
      <c r="I147" s="280"/>
    </row>
    <row r="148" hidden="1">
      <c r="G148" s="307"/>
      <c r="H148" s="280"/>
      <c r="I148" s="280"/>
    </row>
    <row r="149" hidden="1">
      <c r="G149" s="307"/>
      <c r="H149" s="280"/>
      <c r="I149" s="280"/>
    </row>
    <row r="150" hidden="1">
      <c r="G150" s="307"/>
      <c r="H150" s="280"/>
      <c r="I150" s="280"/>
    </row>
    <row r="151" hidden="1">
      <c r="G151" s="307"/>
      <c r="H151" s="280"/>
      <c r="I151" s="280"/>
    </row>
    <row r="152" hidden="1">
      <c r="G152" s="307"/>
      <c r="H152" s="280"/>
      <c r="I152" s="280"/>
    </row>
    <row r="153" hidden="1">
      <c r="G153" s="307"/>
      <c r="H153" s="280"/>
      <c r="I153" s="280"/>
    </row>
    <row r="154" hidden="1">
      <c r="G154" s="307"/>
      <c r="H154" s="280"/>
      <c r="I154" s="280"/>
    </row>
    <row r="155" hidden="1">
      <c r="G155" s="307"/>
      <c r="H155" s="280"/>
      <c r="I155" s="280"/>
    </row>
    <row r="156" hidden="1">
      <c r="G156" s="307"/>
      <c r="H156" s="280"/>
      <c r="I156" s="280"/>
    </row>
    <row r="157" hidden="1">
      <c r="G157" s="307"/>
      <c r="H157" s="280"/>
      <c r="I157" s="280"/>
    </row>
    <row r="158" hidden="1">
      <c r="G158" s="307"/>
      <c r="H158" s="280"/>
      <c r="I158" s="280"/>
    </row>
    <row r="159" hidden="1">
      <c r="G159" s="307"/>
      <c r="H159" s="280"/>
      <c r="I159" s="280"/>
    </row>
    <row r="160" hidden="1">
      <c r="G160" s="307"/>
      <c r="H160" s="280"/>
      <c r="I160" s="280"/>
    </row>
    <row r="161" hidden="1">
      <c r="G161" s="307"/>
      <c r="H161" s="280"/>
      <c r="I161" s="280"/>
    </row>
    <row r="162" hidden="1">
      <c r="G162" s="307"/>
      <c r="H162" s="280"/>
      <c r="I162" s="280"/>
    </row>
    <row r="163" hidden="1">
      <c r="G163" s="307"/>
      <c r="H163" s="280"/>
      <c r="I163" s="280"/>
    </row>
    <row r="164" hidden="1">
      <c r="G164" s="307"/>
      <c r="H164" s="280"/>
      <c r="I164" s="280"/>
    </row>
    <row r="165" hidden="1">
      <c r="G165" s="307"/>
      <c r="H165" s="280"/>
      <c r="I165" s="280"/>
    </row>
    <row r="166" hidden="1">
      <c r="G166" s="307"/>
      <c r="H166" s="280"/>
      <c r="I166" s="280"/>
    </row>
    <row r="167" hidden="1">
      <c r="G167" s="307"/>
      <c r="H167" s="280"/>
      <c r="I167" s="280"/>
    </row>
    <row r="168" hidden="1">
      <c r="G168" s="307"/>
      <c r="H168" s="280"/>
      <c r="I168" s="280"/>
    </row>
    <row r="169" hidden="1">
      <c r="G169" s="307"/>
      <c r="H169" s="280"/>
      <c r="I169" s="280"/>
    </row>
    <row r="170" hidden="1">
      <c r="G170" s="307"/>
      <c r="H170" s="280"/>
      <c r="I170" s="280"/>
    </row>
    <row r="171" hidden="1">
      <c r="G171" s="307"/>
      <c r="H171" s="280"/>
      <c r="I171" s="280"/>
    </row>
    <row r="172" hidden="1">
      <c r="G172" s="307"/>
      <c r="H172" s="280"/>
      <c r="I172" s="280"/>
    </row>
    <row r="173" hidden="1">
      <c r="G173" s="307"/>
      <c r="H173" s="280"/>
      <c r="I173" s="280"/>
    </row>
    <row r="174" hidden="1">
      <c r="G174" s="307"/>
      <c r="H174" s="280"/>
      <c r="I174" s="280"/>
    </row>
    <row r="175" hidden="1">
      <c r="G175" s="307"/>
      <c r="H175" s="280"/>
      <c r="I175" s="280"/>
    </row>
    <row r="176" hidden="1">
      <c r="G176" s="307"/>
      <c r="H176" s="280"/>
      <c r="I176" s="280"/>
    </row>
    <row r="177" hidden="1">
      <c r="G177" s="307"/>
      <c r="H177" s="280"/>
      <c r="I177" s="280"/>
    </row>
    <row r="178" hidden="1">
      <c r="G178" s="307"/>
      <c r="H178" s="280"/>
      <c r="I178" s="280"/>
    </row>
    <row r="179" hidden="1">
      <c r="G179" s="307"/>
      <c r="H179" s="280"/>
      <c r="I179" s="280"/>
    </row>
    <row r="180" hidden="1">
      <c r="G180" s="307"/>
      <c r="H180" s="280"/>
      <c r="I180" s="280"/>
    </row>
    <row r="181" hidden="1">
      <c r="G181" s="307"/>
      <c r="H181" s="280"/>
      <c r="I181" s="280"/>
    </row>
    <row r="182" hidden="1">
      <c r="G182" s="307"/>
      <c r="H182" s="280"/>
      <c r="I182" s="280"/>
    </row>
    <row r="183" hidden="1">
      <c r="G183" s="307"/>
      <c r="H183" s="280"/>
      <c r="I183" s="280"/>
    </row>
    <row r="184" hidden="1">
      <c r="G184" s="307"/>
      <c r="H184" s="280"/>
      <c r="I184" s="280"/>
    </row>
    <row r="185" hidden="1">
      <c r="G185" s="307"/>
      <c r="H185" s="280"/>
      <c r="I185" s="280"/>
    </row>
    <row r="186" hidden="1">
      <c r="G186" s="307"/>
      <c r="H186" s="280"/>
      <c r="I186" s="280"/>
    </row>
    <row r="187" hidden="1">
      <c r="G187" s="307"/>
      <c r="H187" s="280"/>
      <c r="I187" s="280"/>
    </row>
    <row r="188" hidden="1">
      <c r="G188" s="307"/>
      <c r="H188" s="280"/>
      <c r="I188" s="280"/>
    </row>
    <row r="189" hidden="1">
      <c r="G189" s="307"/>
      <c r="H189" s="280"/>
      <c r="I189" s="280"/>
    </row>
    <row r="190" hidden="1">
      <c r="G190" s="307"/>
      <c r="H190" s="280"/>
      <c r="I190" s="280"/>
    </row>
    <row r="191" hidden="1">
      <c r="G191" s="307"/>
      <c r="H191" s="280"/>
      <c r="I191" s="280"/>
    </row>
    <row r="192" hidden="1">
      <c r="G192" s="307"/>
      <c r="H192" s="280"/>
      <c r="I192" s="280"/>
    </row>
    <row r="193" hidden="1">
      <c r="G193" s="307"/>
      <c r="H193" s="280"/>
      <c r="I193" s="280"/>
    </row>
    <row r="194" hidden="1">
      <c r="G194" s="307"/>
      <c r="H194" s="280"/>
      <c r="I194" s="280"/>
    </row>
    <row r="195" hidden="1">
      <c r="G195" s="307"/>
      <c r="H195" s="280"/>
      <c r="I195" s="280"/>
    </row>
    <row r="196" hidden="1">
      <c r="G196" s="307"/>
      <c r="H196" s="280"/>
      <c r="I196" s="280"/>
    </row>
    <row r="197" hidden="1">
      <c r="G197" s="307"/>
      <c r="H197" s="280"/>
      <c r="I197" s="280"/>
    </row>
    <row r="198" hidden="1">
      <c r="G198" s="307"/>
      <c r="H198" s="280"/>
      <c r="I198" s="280"/>
    </row>
    <row r="199" hidden="1">
      <c r="G199" s="307"/>
      <c r="H199" s="280"/>
      <c r="I199" s="280"/>
    </row>
    <row r="200" hidden="1">
      <c r="G200" s="307"/>
      <c r="H200" s="280"/>
      <c r="I200" s="280"/>
    </row>
    <row r="201" hidden="1">
      <c r="G201" s="307"/>
      <c r="H201" s="280"/>
      <c r="I201" s="280"/>
    </row>
    <row r="202" hidden="1">
      <c r="G202" s="307"/>
      <c r="H202" s="280"/>
      <c r="I202" s="280"/>
    </row>
    <row r="203" hidden="1">
      <c r="G203" s="307"/>
      <c r="H203" s="280"/>
      <c r="I203" s="280"/>
    </row>
    <row r="204" hidden="1">
      <c r="G204" s="307"/>
      <c r="H204" s="280"/>
      <c r="I204" s="280"/>
    </row>
    <row r="205" hidden="1">
      <c r="G205" s="307"/>
      <c r="H205" s="280"/>
      <c r="I205" s="280"/>
    </row>
    <row r="206" hidden="1">
      <c r="G206" s="307"/>
      <c r="H206" s="280"/>
      <c r="I206" s="280"/>
    </row>
    <row r="207" hidden="1">
      <c r="G207" s="307"/>
      <c r="H207" s="280"/>
      <c r="I207" s="280"/>
    </row>
    <row r="208" hidden="1">
      <c r="G208" s="307"/>
      <c r="H208" s="280"/>
      <c r="I208" s="280"/>
    </row>
    <row r="209" hidden="1">
      <c r="G209" s="307"/>
      <c r="H209" s="280"/>
      <c r="I209" s="280"/>
    </row>
    <row r="210" hidden="1">
      <c r="G210" s="307"/>
      <c r="H210" s="280"/>
      <c r="I210" s="280"/>
    </row>
    <row r="211" hidden="1">
      <c r="G211" s="307"/>
      <c r="H211" s="280"/>
      <c r="I211" s="280"/>
    </row>
    <row r="212" hidden="1">
      <c r="G212" s="307"/>
      <c r="H212" s="280"/>
      <c r="I212" s="280"/>
    </row>
    <row r="213" hidden="1">
      <c r="G213" s="307"/>
      <c r="H213" s="280"/>
      <c r="I213" s="280"/>
    </row>
    <row r="214" hidden="1">
      <c r="G214" s="307"/>
      <c r="H214" s="280"/>
      <c r="I214" s="280"/>
    </row>
    <row r="215" hidden="1">
      <c r="G215" s="307"/>
      <c r="H215" s="280"/>
      <c r="I215" s="280"/>
    </row>
    <row r="216" hidden="1">
      <c r="G216" s="307"/>
      <c r="H216" s="280"/>
      <c r="I216" s="280"/>
    </row>
    <row r="217" hidden="1">
      <c r="G217" s="307"/>
      <c r="H217" s="280"/>
      <c r="I217" s="280"/>
    </row>
    <row r="218" hidden="1">
      <c r="G218" s="307"/>
      <c r="H218" s="280"/>
      <c r="I218" s="280"/>
    </row>
    <row r="219" hidden="1">
      <c r="G219" s="307"/>
      <c r="H219" s="280"/>
      <c r="I219" s="280"/>
    </row>
    <row r="220" hidden="1">
      <c r="G220" s="307"/>
      <c r="H220" s="280"/>
      <c r="I220" s="280"/>
    </row>
    <row r="221" hidden="1">
      <c r="G221" s="307"/>
      <c r="H221" s="280"/>
      <c r="I221" s="280"/>
    </row>
    <row r="222" hidden="1">
      <c r="G222" s="307"/>
      <c r="H222" s="280"/>
      <c r="I222" s="280"/>
    </row>
    <row r="223" hidden="1">
      <c r="G223" s="307"/>
      <c r="H223" s="280"/>
      <c r="I223" s="280"/>
    </row>
    <row r="224" hidden="1">
      <c r="G224" s="307"/>
      <c r="H224" s="280"/>
      <c r="I224" s="280"/>
    </row>
    <row r="225" hidden="1">
      <c r="G225" s="307"/>
      <c r="H225" s="280"/>
      <c r="I225" s="280"/>
    </row>
    <row r="226" hidden="1">
      <c r="G226" s="307"/>
      <c r="H226" s="280"/>
      <c r="I226" s="280"/>
    </row>
    <row r="227" hidden="1">
      <c r="G227" s="307"/>
      <c r="H227" s="280"/>
      <c r="I227" s="280"/>
    </row>
    <row r="228" hidden="1">
      <c r="G228" s="307"/>
      <c r="H228" s="280"/>
      <c r="I228" s="280"/>
    </row>
    <row r="229" hidden="1">
      <c r="G229" s="307"/>
      <c r="H229" s="280"/>
      <c r="I229" s="280"/>
    </row>
    <row r="230" hidden="1">
      <c r="G230" s="307"/>
      <c r="H230" s="280"/>
      <c r="I230" s="280"/>
    </row>
    <row r="231" hidden="1">
      <c r="G231" s="307"/>
      <c r="H231" s="280"/>
      <c r="I231" s="280"/>
    </row>
    <row r="232" hidden="1">
      <c r="G232" s="307"/>
      <c r="H232" s="280"/>
      <c r="I232" s="280"/>
    </row>
    <row r="233" hidden="1">
      <c r="G233" s="307"/>
      <c r="H233" s="280"/>
      <c r="I233" s="280"/>
    </row>
    <row r="234" hidden="1">
      <c r="G234" s="307"/>
      <c r="H234" s="280"/>
      <c r="I234" s="280"/>
    </row>
    <row r="235" hidden="1">
      <c r="G235" s="307"/>
      <c r="H235" s="280"/>
      <c r="I235" s="280"/>
    </row>
    <row r="236" hidden="1">
      <c r="G236" s="307"/>
      <c r="H236" s="280"/>
      <c r="I236" s="280"/>
    </row>
    <row r="237" hidden="1">
      <c r="G237" s="307"/>
      <c r="H237" s="280"/>
      <c r="I237" s="280"/>
    </row>
    <row r="238" hidden="1">
      <c r="G238" s="307"/>
      <c r="H238" s="280"/>
      <c r="I238" s="280"/>
    </row>
    <row r="239" hidden="1">
      <c r="G239" s="307"/>
      <c r="H239" s="280"/>
      <c r="I239" s="280"/>
    </row>
    <row r="240" hidden="1">
      <c r="G240" s="307"/>
      <c r="H240" s="280"/>
      <c r="I240" s="280"/>
    </row>
    <row r="241" hidden="1">
      <c r="G241" s="307"/>
      <c r="H241" s="280"/>
      <c r="I241" s="280"/>
    </row>
    <row r="242" hidden="1">
      <c r="G242" s="307"/>
      <c r="H242" s="280"/>
      <c r="I242" s="280"/>
    </row>
    <row r="243" hidden="1">
      <c r="G243" s="307"/>
      <c r="H243" s="280"/>
      <c r="I243" s="280"/>
    </row>
    <row r="244" hidden="1">
      <c r="G244" s="307"/>
      <c r="H244" s="280"/>
      <c r="I244" s="280"/>
    </row>
    <row r="245" hidden="1">
      <c r="G245" s="307"/>
      <c r="H245" s="280"/>
      <c r="I245" s="280"/>
    </row>
    <row r="246" hidden="1">
      <c r="G246" s="307"/>
      <c r="H246" s="280"/>
      <c r="I246" s="280"/>
    </row>
    <row r="247" hidden="1">
      <c r="G247" s="307"/>
      <c r="H247" s="280"/>
      <c r="I247" s="280"/>
    </row>
    <row r="248" hidden="1">
      <c r="G248" s="307"/>
      <c r="H248" s="280"/>
      <c r="I248" s="280"/>
    </row>
    <row r="249" hidden="1">
      <c r="G249" s="307"/>
      <c r="H249" s="280"/>
      <c r="I249" s="280"/>
    </row>
    <row r="250" hidden="1">
      <c r="G250" s="307"/>
      <c r="H250" s="280"/>
      <c r="I250" s="280"/>
    </row>
    <row r="251" hidden="1">
      <c r="G251" s="307"/>
      <c r="H251" s="280"/>
      <c r="I251" s="280"/>
    </row>
    <row r="252" hidden="1">
      <c r="G252" s="307"/>
      <c r="H252" s="280"/>
      <c r="I252" s="280"/>
    </row>
    <row r="253" hidden="1">
      <c r="G253" s="307"/>
      <c r="H253" s="280"/>
      <c r="I253" s="280"/>
    </row>
    <row r="254" hidden="1">
      <c r="G254" s="307"/>
      <c r="H254" s="280"/>
      <c r="I254" s="280"/>
    </row>
    <row r="255" hidden="1">
      <c r="G255" s="307"/>
      <c r="H255" s="280"/>
      <c r="I255" s="280"/>
    </row>
    <row r="256" hidden="1">
      <c r="G256" s="307"/>
      <c r="H256" s="280"/>
      <c r="I256" s="280"/>
    </row>
    <row r="257" hidden="1">
      <c r="G257" s="307"/>
      <c r="H257" s="280"/>
      <c r="I257" s="280"/>
    </row>
    <row r="258" hidden="1">
      <c r="G258" s="307"/>
      <c r="H258" s="280"/>
      <c r="I258" s="280"/>
    </row>
    <row r="259" hidden="1">
      <c r="G259" s="307"/>
      <c r="H259" s="280"/>
      <c r="I259" s="280"/>
    </row>
    <row r="260" hidden="1">
      <c r="G260" s="307"/>
      <c r="H260" s="280"/>
      <c r="I260" s="280"/>
    </row>
    <row r="261" hidden="1">
      <c r="G261" s="307"/>
      <c r="H261" s="280"/>
      <c r="I261" s="280"/>
    </row>
    <row r="262" hidden="1">
      <c r="G262" s="307"/>
      <c r="H262" s="280"/>
      <c r="I262" s="280"/>
    </row>
    <row r="263" hidden="1">
      <c r="G263" s="307"/>
      <c r="H263" s="280"/>
      <c r="I263" s="280"/>
    </row>
    <row r="264" hidden="1">
      <c r="G264" s="307"/>
      <c r="H264" s="280"/>
      <c r="I264" s="280"/>
    </row>
    <row r="265" hidden="1">
      <c r="G265" s="307"/>
      <c r="H265" s="280"/>
      <c r="I265" s="280"/>
    </row>
    <row r="266" hidden="1">
      <c r="G266" s="307"/>
      <c r="H266" s="280"/>
      <c r="I266" s="280"/>
    </row>
    <row r="267" hidden="1">
      <c r="G267" s="307"/>
      <c r="H267" s="280"/>
      <c r="I267" s="280"/>
    </row>
    <row r="268" hidden="1">
      <c r="G268" s="307"/>
      <c r="H268" s="280"/>
      <c r="I268" s="280"/>
    </row>
    <row r="269" hidden="1">
      <c r="G269" s="307"/>
      <c r="H269" s="280"/>
      <c r="I269" s="280"/>
    </row>
    <row r="270" hidden="1">
      <c r="G270" s="307"/>
      <c r="H270" s="280"/>
      <c r="I270" s="280"/>
    </row>
    <row r="271" hidden="1">
      <c r="G271" s="307"/>
      <c r="H271" s="280"/>
      <c r="I271" s="280"/>
    </row>
    <row r="272" hidden="1">
      <c r="G272" s="307"/>
      <c r="H272" s="280"/>
      <c r="I272" s="280"/>
    </row>
    <row r="273" hidden="1">
      <c r="G273" s="307"/>
      <c r="H273" s="280"/>
      <c r="I273" s="280"/>
    </row>
    <row r="274" hidden="1">
      <c r="G274" s="307"/>
      <c r="H274" s="280"/>
      <c r="I274" s="280"/>
    </row>
    <row r="275" hidden="1">
      <c r="G275" s="307"/>
      <c r="H275" s="280"/>
      <c r="I275" s="280"/>
    </row>
    <row r="276" hidden="1">
      <c r="G276" s="307"/>
      <c r="H276" s="280"/>
      <c r="I276" s="280"/>
    </row>
    <row r="277" hidden="1">
      <c r="G277" s="307"/>
      <c r="H277" s="280"/>
      <c r="I277" s="280"/>
    </row>
    <row r="278" hidden="1">
      <c r="G278" s="307"/>
      <c r="H278" s="280"/>
      <c r="I278" s="280"/>
    </row>
    <row r="279" hidden="1">
      <c r="G279" s="307"/>
      <c r="H279" s="280"/>
      <c r="I279" s="280"/>
    </row>
    <row r="280" hidden="1">
      <c r="G280" s="307"/>
      <c r="H280" s="280"/>
      <c r="I280" s="280"/>
    </row>
    <row r="281" hidden="1">
      <c r="G281" s="307"/>
      <c r="H281" s="280"/>
      <c r="I281" s="280"/>
    </row>
    <row r="282" hidden="1">
      <c r="G282" s="307"/>
      <c r="H282" s="280"/>
      <c r="I282" s="280"/>
    </row>
    <row r="283" hidden="1">
      <c r="G283" s="307"/>
      <c r="H283" s="280"/>
      <c r="I283" s="280"/>
    </row>
    <row r="284" hidden="1">
      <c r="G284" s="307"/>
      <c r="H284" s="280"/>
      <c r="I284" s="280"/>
    </row>
    <row r="285" hidden="1">
      <c r="G285" s="307"/>
      <c r="H285" s="280"/>
      <c r="I285" s="280"/>
    </row>
    <row r="286" hidden="1">
      <c r="G286" s="307"/>
      <c r="H286" s="280"/>
      <c r="I286" s="280"/>
    </row>
    <row r="287" hidden="1">
      <c r="G287" s="307"/>
      <c r="H287" s="280"/>
      <c r="I287" s="280"/>
    </row>
    <row r="288" hidden="1">
      <c r="G288" s="307"/>
      <c r="H288" s="280"/>
      <c r="I288" s="280"/>
    </row>
    <row r="289" hidden="1">
      <c r="G289" s="307"/>
      <c r="H289" s="280"/>
      <c r="I289" s="280"/>
    </row>
    <row r="290" hidden="1">
      <c r="G290" s="307"/>
      <c r="H290" s="280"/>
      <c r="I290" s="280"/>
    </row>
    <row r="291" hidden="1">
      <c r="G291" s="307"/>
      <c r="H291" s="280"/>
      <c r="I291" s="280"/>
    </row>
    <row r="292" hidden="1">
      <c r="G292" s="307"/>
      <c r="H292" s="280"/>
      <c r="I292" s="280"/>
    </row>
    <row r="293" hidden="1">
      <c r="G293" s="307"/>
      <c r="H293" s="280"/>
      <c r="I293" s="280"/>
    </row>
    <row r="294" hidden="1">
      <c r="G294" s="307"/>
      <c r="H294" s="280"/>
      <c r="I294" s="280"/>
    </row>
    <row r="295" hidden="1">
      <c r="G295" s="307"/>
      <c r="H295" s="280"/>
      <c r="I295" s="280"/>
    </row>
    <row r="296" hidden="1">
      <c r="G296" s="307"/>
      <c r="H296" s="280"/>
      <c r="I296" s="280"/>
    </row>
    <row r="297" hidden="1">
      <c r="G297" s="307"/>
      <c r="H297" s="280"/>
      <c r="I297" s="280"/>
    </row>
    <row r="298" hidden="1">
      <c r="G298" s="307"/>
      <c r="H298" s="280"/>
      <c r="I298" s="280"/>
    </row>
    <row r="299" hidden="1">
      <c r="G299" s="307"/>
      <c r="H299" s="280"/>
      <c r="I299" s="280"/>
    </row>
    <row r="300" hidden="1">
      <c r="G300" s="307"/>
      <c r="H300" s="280"/>
      <c r="I300" s="280"/>
    </row>
    <row r="301" hidden="1">
      <c r="G301" s="307"/>
      <c r="H301" s="280"/>
      <c r="I301" s="280"/>
    </row>
    <row r="302" hidden="1">
      <c r="G302" s="307"/>
      <c r="H302" s="280"/>
      <c r="I302" s="280"/>
    </row>
    <row r="303" hidden="1">
      <c r="G303" s="307"/>
      <c r="H303" s="280"/>
      <c r="I303" s="280"/>
    </row>
    <row r="304" hidden="1">
      <c r="G304" s="307"/>
      <c r="H304" s="280"/>
      <c r="I304" s="280"/>
    </row>
    <row r="305" hidden="1">
      <c r="G305" s="307"/>
      <c r="H305" s="280"/>
      <c r="I305" s="280"/>
    </row>
    <row r="306" hidden="1">
      <c r="G306" s="307"/>
      <c r="H306" s="280"/>
      <c r="I306" s="280"/>
    </row>
    <row r="307" hidden="1">
      <c r="G307" s="307"/>
      <c r="H307" s="280"/>
      <c r="I307" s="280"/>
    </row>
    <row r="308" hidden="1">
      <c r="G308" s="307"/>
      <c r="H308" s="280"/>
      <c r="I308" s="280"/>
    </row>
    <row r="309" hidden="1">
      <c r="G309" s="307"/>
      <c r="H309" s="280"/>
      <c r="I309" s="280"/>
    </row>
    <row r="310" hidden="1">
      <c r="G310" s="307"/>
      <c r="H310" s="280"/>
      <c r="I310" s="280"/>
    </row>
    <row r="311" hidden="1">
      <c r="G311" s="307"/>
      <c r="H311" s="280"/>
      <c r="I311" s="280"/>
    </row>
    <row r="312" hidden="1">
      <c r="G312" s="307"/>
      <c r="H312" s="280"/>
      <c r="I312" s="280"/>
    </row>
    <row r="313" hidden="1">
      <c r="G313" s="307"/>
      <c r="H313" s="280"/>
      <c r="I313" s="280"/>
    </row>
    <row r="314" hidden="1">
      <c r="G314" s="307"/>
      <c r="H314" s="280"/>
      <c r="I314" s="280"/>
    </row>
    <row r="315" hidden="1">
      <c r="G315" s="307"/>
      <c r="H315" s="280"/>
      <c r="I315" s="280"/>
    </row>
    <row r="316" hidden="1">
      <c r="G316" s="307"/>
      <c r="H316" s="280"/>
      <c r="I316" s="280"/>
    </row>
    <row r="317" hidden="1">
      <c r="G317" s="307"/>
      <c r="H317" s="280"/>
      <c r="I317" s="280"/>
    </row>
    <row r="318" hidden="1">
      <c r="G318" s="307"/>
      <c r="H318" s="280"/>
      <c r="I318" s="280"/>
    </row>
    <row r="319" hidden="1">
      <c r="G319" s="307"/>
      <c r="H319" s="280"/>
      <c r="I319" s="280"/>
    </row>
    <row r="320" hidden="1">
      <c r="G320" s="307"/>
      <c r="H320" s="280"/>
      <c r="I320" s="280"/>
    </row>
    <row r="321" hidden="1">
      <c r="G321" s="307"/>
      <c r="H321" s="280"/>
      <c r="I321" s="280"/>
    </row>
    <row r="322" hidden="1">
      <c r="G322" s="307"/>
      <c r="H322" s="280"/>
      <c r="I322" s="280"/>
    </row>
    <row r="323" hidden="1">
      <c r="G323" s="307"/>
      <c r="H323" s="280"/>
      <c r="I323" s="280"/>
    </row>
    <row r="324" hidden="1">
      <c r="G324" s="307"/>
      <c r="H324" s="280"/>
      <c r="I324" s="280"/>
    </row>
    <row r="325" hidden="1">
      <c r="G325" s="307"/>
      <c r="H325" s="280"/>
      <c r="I325" s="280"/>
    </row>
    <row r="326" hidden="1">
      <c r="G326" s="307"/>
      <c r="H326" s="280"/>
      <c r="I326" s="280"/>
    </row>
    <row r="327" hidden="1">
      <c r="G327" s="307"/>
      <c r="H327" s="280"/>
      <c r="I327" s="280"/>
    </row>
    <row r="328" hidden="1">
      <c r="G328" s="307"/>
      <c r="H328" s="280"/>
      <c r="I328" s="280"/>
    </row>
    <row r="329" hidden="1">
      <c r="G329" s="307"/>
      <c r="H329" s="280"/>
      <c r="I329" s="280"/>
    </row>
    <row r="330" hidden="1">
      <c r="G330" s="307"/>
      <c r="H330" s="280"/>
      <c r="I330" s="280"/>
    </row>
    <row r="331" hidden="1">
      <c r="G331" s="307"/>
      <c r="H331" s="280"/>
      <c r="I331" s="280"/>
    </row>
    <row r="332" hidden="1">
      <c r="G332" s="307"/>
      <c r="H332" s="280"/>
      <c r="I332" s="280"/>
    </row>
    <row r="333" hidden="1">
      <c r="G333" s="307"/>
      <c r="H333" s="280"/>
      <c r="I333" s="280"/>
    </row>
    <row r="334" hidden="1">
      <c r="G334" s="307"/>
      <c r="H334" s="280"/>
      <c r="I334" s="280"/>
    </row>
    <row r="335" hidden="1">
      <c r="G335" s="307"/>
      <c r="H335" s="280"/>
      <c r="I335" s="280"/>
    </row>
    <row r="336" hidden="1">
      <c r="G336" s="307"/>
      <c r="H336" s="280"/>
      <c r="I336" s="280"/>
    </row>
    <row r="337" hidden="1">
      <c r="G337" s="307"/>
      <c r="H337" s="280"/>
      <c r="I337" s="280"/>
    </row>
    <row r="338" hidden="1">
      <c r="G338" s="307"/>
      <c r="H338" s="280"/>
      <c r="I338" s="280"/>
    </row>
    <row r="339" hidden="1">
      <c r="G339" s="307"/>
      <c r="H339" s="280"/>
      <c r="I339" s="280"/>
    </row>
    <row r="340" hidden="1">
      <c r="G340" s="307"/>
      <c r="H340" s="280"/>
      <c r="I340" s="280"/>
    </row>
    <row r="341" hidden="1">
      <c r="G341" s="307"/>
      <c r="H341" s="280"/>
      <c r="I341" s="280"/>
    </row>
    <row r="342" hidden="1">
      <c r="G342" s="307"/>
      <c r="H342" s="280"/>
      <c r="I342" s="280"/>
    </row>
    <row r="343" hidden="1">
      <c r="G343" s="307"/>
      <c r="H343" s="280"/>
      <c r="I343" s="280"/>
    </row>
    <row r="344" hidden="1">
      <c r="G344" s="307"/>
      <c r="H344" s="280"/>
      <c r="I344" s="280"/>
    </row>
    <row r="345" hidden="1">
      <c r="G345" s="307"/>
      <c r="H345" s="280"/>
      <c r="I345" s="280"/>
    </row>
    <row r="346" hidden="1">
      <c r="G346" s="307"/>
      <c r="H346" s="280"/>
      <c r="I346" s="280"/>
    </row>
    <row r="347" hidden="1">
      <c r="G347" s="307"/>
      <c r="H347" s="280"/>
      <c r="I347" s="280"/>
    </row>
    <row r="348" hidden="1">
      <c r="G348" s="307"/>
      <c r="H348" s="280"/>
      <c r="I348" s="280"/>
    </row>
    <row r="349" hidden="1">
      <c r="G349" s="307"/>
      <c r="H349" s="280"/>
      <c r="I349" s="280"/>
    </row>
    <row r="350" hidden="1">
      <c r="G350" s="307"/>
      <c r="H350" s="280"/>
      <c r="I350" s="280"/>
    </row>
    <row r="351" hidden="1">
      <c r="G351" s="307"/>
      <c r="H351" s="280"/>
      <c r="I351" s="280"/>
    </row>
    <row r="352" hidden="1">
      <c r="G352" s="307"/>
      <c r="H352" s="280"/>
      <c r="I352" s="280"/>
    </row>
    <row r="353" hidden="1">
      <c r="G353" s="307"/>
      <c r="H353" s="280"/>
      <c r="I353" s="280"/>
    </row>
    <row r="354" hidden="1">
      <c r="G354" s="307"/>
      <c r="H354" s="280"/>
      <c r="I354" s="280"/>
    </row>
    <row r="355" hidden="1">
      <c r="G355" s="307"/>
      <c r="H355" s="280"/>
      <c r="I355" s="280"/>
    </row>
    <row r="356" hidden="1">
      <c r="G356" s="307"/>
      <c r="H356" s="280"/>
      <c r="I356" s="280"/>
    </row>
    <row r="357" hidden="1">
      <c r="G357" s="307"/>
      <c r="H357" s="280"/>
      <c r="I357" s="280"/>
    </row>
    <row r="358" hidden="1">
      <c r="G358" s="307"/>
      <c r="H358" s="280"/>
      <c r="I358" s="280"/>
    </row>
    <row r="359" hidden="1">
      <c r="G359" s="307"/>
      <c r="H359" s="280"/>
      <c r="I359" s="280"/>
    </row>
    <row r="360" hidden="1">
      <c r="G360" s="307"/>
      <c r="H360" s="280"/>
      <c r="I360" s="280"/>
    </row>
    <row r="361" hidden="1">
      <c r="G361" s="307"/>
      <c r="H361" s="280"/>
      <c r="I361" s="280"/>
    </row>
    <row r="362" hidden="1">
      <c r="G362" s="307"/>
      <c r="H362" s="280"/>
      <c r="I362" s="280"/>
    </row>
    <row r="363" hidden="1">
      <c r="G363" s="307"/>
      <c r="H363" s="280"/>
      <c r="I363" s="280"/>
    </row>
    <row r="364" hidden="1">
      <c r="G364" s="307"/>
      <c r="H364" s="280"/>
      <c r="I364" s="280"/>
    </row>
    <row r="365" hidden="1">
      <c r="G365" s="307"/>
      <c r="H365" s="280"/>
      <c r="I365" s="280"/>
    </row>
    <row r="366" hidden="1">
      <c r="G366" s="307"/>
      <c r="H366" s="280"/>
      <c r="I366" s="280"/>
    </row>
    <row r="367" hidden="1">
      <c r="G367" s="307"/>
      <c r="H367" s="280"/>
      <c r="I367" s="280"/>
    </row>
    <row r="368" hidden="1">
      <c r="G368" s="307"/>
      <c r="H368" s="280"/>
      <c r="I368" s="280"/>
    </row>
    <row r="369" hidden="1">
      <c r="G369" s="307"/>
      <c r="H369" s="280"/>
      <c r="I369" s="280"/>
    </row>
    <row r="370" hidden="1">
      <c r="G370" s="307"/>
      <c r="H370" s="280"/>
      <c r="I370" s="280"/>
    </row>
    <row r="371" hidden="1">
      <c r="G371" s="307"/>
      <c r="H371" s="280"/>
      <c r="I371" s="280"/>
    </row>
    <row r="372" hidden="1">
      <c r="G372" s="307"/>
      <c r="H372" s="280"/>
      <c r="I372" s="280"/>
    </row>
    <row r="373" hidden="1">
      <c r="G373" s="307"/>
      <c r="H373" s="280"/>
      <c r="I373" s="280"/>
    </row>
    <row r="374" hidden="1">
      <c r="G374" s="307"/>
      <c r="H374" s="280"/>
      <c r="I374" s="280"/>
    </row>
    <row r="375" hidden="1">
      <c r="G375" s="307"/>
      <c r="H375" s="280"/>
      <c r="I375" s="280"/>
    </row>
    <row r="376" hidden="1">
      <c r="G376" s="307"/>
      <c r="H376" s="280"/>
      <c r="I376" s="280"/>
    </row>
    <row r="377" hidden="1">
      <c r="G377" s="307"/>
      <c r="H377" s="280"/>
      <c r="I377" s="280"/>
    </row>
    <row r="378" hidden="1">
      <c r="G378" s="307"/>
      <c r="H378" s="280"/>
      <c r="I378" s="280"/>
    </row>
    <row r="379" hidden="1">
      <c r="G379" s="307"/>
      <c r="H379" s="280"/>
      <c r="I379" s="280"/>
    </row>
    <row r="380" hidden="1">
      <c r="G380" s="307"/>
      <c r="H380" s="280"/>
      <c r="I380" s="280"/>
    </row>
    <row r="381" hidden="1">
      <c r="G381" s="307"/>
      <c r="H381" s="280"/>
      <c r="I381" s="280"/>
    </row>
    <row r="382" hidden="1">
      <c r="G382" s="307"/>
      <c r="H382" s="280"/>
      <c r="I382" s="280"/>
    </row>
    <row r="383" hidden="1">
      <c r="G383" s="307"/>
      <c r="H383" s="280"/>
      <c r="I383" s="280"/>
    </row>
    <row r="384" hidden="1">
      <c r="G384" s="307"/>
      <c r="H384" s="280"/>
      <c r="I384" s="280"/>
    </row>
    <row r="385" hidden="1">
      <c r="G385" s="307"/>
      <c r="H385" s="280"/>
      <c r="I385" s="280"/>
    </row>
    <row r="386" hidden="1">
      <c r="G386" s="307"/>
      <c r="H386" s="280"/>
      <c r="I386" s="280"/>
    </row>
    <row r="387" hidden="1">
      <c r="G387" s="307"/>
      <c r="H387" s="280"/>
      <c r="I387" s="280"/>
    </row>
    <row r="388" hidden="1">
      <c r="G388" s="307"/>
      <c r="H388" s="280"/>
      <c r="I388" s="280"/>
    </row>
    <row r="389" hidden="1">
      <c r="G389" s="307"/>
      <c r="H389" s="280"/>
      <c r="I389" s="280"/>
    </row>
    <row r="390" hidden="1">
      <c r="G390" s="307"/>
      <c r="H390" s="280"/>
      <c r="I390" s="280"/>
    </row>
    <row r="391" hidden="1">
      <c r="G391" s="307"/>
      <c r="H391" s="280"/>
      <c r="I391" s="280"/>
    </row>
    <row r="392" hidden="1">
      <c r="G392" s="307"/>
      <c r="H392" s="280"/>
      <c r="I392" s="280"/>
    </row>
    <row r="393" hidden="1">
      <c r="G393" s="307"/>
      <c r="H393" s="280"/>
      <c r="I393" s="280"/>
    </row>
    <row r="394" hidden="1">
      <c r="G394" s="307"/>
      <c r="H394" s="280"/>
      <c r="I394" s="280"/>
    </row>
    <row r="395" hidden="1">
      <c r="G395" s="307"/>
      <c r="H395" s="280"/>
      <c r="I395" s="280"/>
    </row>
    <row r="396" hidden="1">
      <c r="G396" s="307"/>
      <c r="H396" s="280"/>
      <c r="I396" s="280"/>
    </row>
    <row r="397" hidden="1">
      <c r="G397" s="307"/>
      <c r="H397" s="280"/>
      <c r="I397" s="280"/>
    </row>
    <row r="398" hidden="1">
      <c r="G398" s="307"/>
      <c r="H398" s="280"/>
      <c r="I398" s="280"/>
    </row>
    <row r="399" hidden="1">
      <c r="G399" s="307"/>
      <c r="H399" s="280"/>
      <c r="I399" s="280"/>
    </row>
    <row r="400" hidden="1">
      <c r="G400" s="307"/>
      <c r="H400" s="280"/>
      <c r="I400" s="280"/>
    </row>
    <row r="401" hidden="1">
      <c r="G401" s="307"/>
      <c r="H401" s="280"/>
      <c r="I401" s="280"/>
    </row>
    <row r="402" hidden="1">
      <c r="G402" s="307"/>
      <c r="H402" s="280"/>
      <c r="I402" s="280"/>
    </row>
    <row r="403" hidden="1">
      <c r="G403" s="307"/>
      <c r="H403" s="280"/>
      <c r="I403" s="280"/>
    </row>
    <row r="404" hidden="1">
      <c r="G404" s="307"/>
      <c r="H404" s="280"/>
      <c r="I404" s="280"/>
    </row>
    <row r="405" hidden="1">
      <c r="G405" s="307"/>
      <c r="H405" s="280"/>
      <c r="I405" s="280"/>
    </row>
    <row r="406" hidden="1">
      <c r="G406" s="307"/>
      <c r="H406" s="280"/>
      <c r="I406" s="280"/>
    </row>
    <row r="407" hidden="1">
      <c r="G407" s="307"/>
      <c r="H407" s="280"/>
      <c r="I407" s="280"/>
    </row>
    <row r="408" hidden="1">
      <c r="G408" s="307"/>
      <c r="H408" s="280"/>
      <c r="I408" s="280"/>
    </row>
    <row r="409" hidden="1">
      <c r="G409" s="307"/>
      <c r="H409" s="280"/>
      <c r="I409" s="280"/>
    </row>
    <row r="410" hidden="1">
      <c r="G410" s="307"/>
      <c r="H410" s="280"/>
      <c r="I410" s="280"/>
    </row>
    <row r="411" hidden="1">
      <c r="G411" s="307"/>
      <c r="H411" s="280"/>
      <c r="I411" s="280"/>
    </row>
    <row r="412" hidden="1">
      <c r="G412" s="307"/>
      <c r="H412" s="280"/>
      <c r="I412" s="280"/>
    </row>
    <row r="413" hidden="1">
      <c r="G413" s="307"/>
      <c r="H413" s="280"/>
      <c r="I413" s="280"/>
    </row>
    <row r="414" hidden="1">
      <c r="G414" s="307"/>
      <c r="H414" s="280"/>
      <c r="I414" s="280"/>
    </row>
    <row r="415" hidden="1">
      <c r="G415" s="307"/>
      <c r="H415" s="280"/>
      <c r="I415" s="280"/>
    </row>
    <row r="416" hidden="1">
      <c r="G416" s="307"/>
      <c r="H416" s="280"/>
      <c r="I416" s="280"/>
    </row>
    <row r="417" hidden="1">
      <c r="G417" s="307"/>
      <c r="H417" s="280"/>
      <c r="I417" s="280"/>
    </row>
    <row r="418" hidden="1">
      <c r="G418" s="307"/>
      <c r="H418" s="280"/>
      <c r="I418" s="280"/>
    </row>
    <row r="419" hidden="1">
      <c r="G419" s="307"/>
      <c r="H419" s="280"/>
      <c r="I419" s="280"/>
    </row>
    <row r="420" hidden="1">
      <c r="G420" s="307"/>
      <c r="H420" s="280"/>
      <c r="I420" s="280"/>
    </row>
    <row r="421" hidden="1">
      <c r="G421" s="307"/>
      <c r="H421" s="280"/>
      <c r="I421" s="280"/>
    </row>
    <row r="422" hidden="1">
      <c r="G422" s="307"/>
      <c r="H422" s="280"/>
      <c r="I422" s="280"/>
    </row>
    <row r="423" hidden="1">
      <c r="G423" s="307"/>
      <c r="H423" s="280"/>
      <c r="I423" s="280"/>
    </row>
    <row r="424" hidden="1">
      <c r="G424" s="307"/>
      <c r="H424" s="280"/>
      <c r="I424" s="280"/>
    </row>
    <row r="425" hidden="1">
      <c r="G425" s="307"/>
      <c r="H425" s="280"/>
      <c r="I425" s="280"/>
    </row>
    <row r="426" hidden="1">
      <c r="G426" s="307"/>
      <c r="H426" s="280"/>
      <c r="I426" s="280"/>
    </row>
    <row r="427" hidden="1">
      <c r="G427" s="307"/>
      <c r="H427" s="280"/>
      <c r="I427" s="280"/>
    </row>
    <row r="428" hidden="1">
      <c r="G428" s="307"/>
      <c r="H428" s="280"/>
      <c r="I428" s="280"/>
    </row>
    <row r="429" hidden="1">
      <c r="G429" s="307"/>
      <c r="H429" s="280"/>
      <c r="I429" s="280"/>
    </row>
    <row r="430" hidden="1">
      <c r="G430" s="307"/>
      <c r="H430" s="280"/>
      <c r="I430" s="280"/>
    </row>
    <row r="431" hidden="1">
      <c r="G431" s="307"/>
      <c r="H431" s="280"/>
      <c r="I431" s="280"/>
    </row>
    <row r="432" hidden="1">
      <c r="G432" s="307"/>
      <c r="H432" s="280"/>
      <c r="I432" s="280"/>
    </row>
    <row r="433" hidden="1">
      <c r="G433" s="307"/>
      <c r="H433" s="280"/>
      <c r="I433" s="280"/>
    </row>
    <row r="434" hidden="1">
      <c r="G434" s="307"/>
      <c r="H434" s="280"/>
      <c r="I434" s="280"/>
    </row>
    <row r="435" hidden="1">
      <c r="G435" s="307"/>
      <c r="H435" s="280"/>
      <c r="I435" s="280"/>
    </row>
    <row r="436" hidden="1">
      <c r="G436" s="307"/>
      <c r="H436" s="280"/>
      <c r="I436" s="280"/>
    </row>
    <row r="437" hidden="1">
      <c r="G437" s="307"/>
      <c r="H437" s="280"/>
      <c r="I437" s="280"/>
    </row>
    <row r="438" hidden="1">
      <c r="G438" s="307"/>
      <c r="H438" s="280"/>
      <c r="I438" s="280"/>
    </row>
    <row r="439" hidden="1">
      <c r="G439" s="307"/>
      <c r="H439" s="280"/>
      <c r="I439" s="280"/>
    </row>
    <row r="440" hidden="1">
      <c r="G440" s="307"/>
      <c r="H440" s="280"/>
      <c r="I440" s="280"/>
    </row>
    <row r="441" hidden="1">
      <c r="G441" s="307"/>
      <c r="H441" s="280"/>
      <c r="I441" s="280"/>
    </row>
    <row r="442" hidden="1">
      <c r="G442" s="307"/>
      <c r="H442" s="280"/>
      <c r="I442" s="280"/>
    </row>
    <row r="443" hidden="1">
      <c r="G443" s="307"/>
      <c r="H443" s="280"/>
      <c r="I443" s="280"/>
    </row>
    <row r="444" hidden="1">
      <c r="G444" s="307"/>
      <c r="H444" s="280"/>
      <c r="I444" s="280"/>
    </row>
    <row r="445" hidden="1">
      <c r="G445" s="307"/>
      <c r="H445" s="280"/>
      <c r="I445" s="280"/>
    </row>
    <row r="446" hidden="1">
      <c r="G446" s="307"/>
      <c r="H446" s="280"/>
      <c r="I446" s="280"/>
    </row>
    <row r="447" hidden="1">
      <c r="G447" s="307"/>
      <c r="H447" s="280"/>
      <c r="I447" s="280"/>
    </row>
    <row r="448" hidden="1">
      <c r="G448" s="307"/>
      <c r="H448" s="280"/>
      <c r="I448" s="280"/>
    </row>
    <row r="449" hidden="1">
      <c r="G449" s="307"/>
      <c r="H449" s="280"/>
      <c r="I449" s="280"/>
    </row>
    <row r="450" hidden="1">
      <c r="G450" s="307"/>
      <c r="H450" s="280"/>
      <c r="I450" s="280"/>
    </row>
    <row r="451" hidden="1">
      <c r="G451" s="307"/>
      <c r="H451" s="280"/>
      <c r="I451" s="280"/>
    </row>
    <row r="452" hidden="1">
      <c r="G452" s="307"/>
      <c r="H452" s="280"/>
      <c r="I452" s="280"/>
    </row>
    <row r="453" hidden="1">
      <c r="G453" s="307"/>
      <c r="H453" s="280"/>
      <c r="I453" s="280"/>
    </row>
    <row r="454" hidden="1">
      <c r="G454" s="307"/>
      <c r="H454" s="280"/>
      <c r="I454" s="280"/>
    </row>
    <row r="455" hidden="1">
      <c r="G455" s="307"/>
      <c r="H455" s="280"/>
      <c r="I455" s="280"/>
    </row>
    <row r="456" hidden="1">
      <c r="G456" s="307"/>
      <c r="H456" s="280"/>
      <c r="I456" s="280"/>
    </row>
    <row r="457" hidden="1">
      <c r="G457" s="307"/>
      <c r="H457" s="280"/>
      <c r="I457" s="280"/>
    </row>
    <row r="458" hidden="1">
      <c r="G458" s="307"/>
      <c r="H458" s="280"/>
      <c r="I458" s="280"/>
    </row>
    <row r="459" hidden="1">
      <c r="G459" s="307"/>
      <c r="H459" s="280"/>
      <c r="I459" s="280"/>
    </row>
    <row r="460" hidden="1">
      <c r="G460" s="307"/>
      <c r="H460" s="280"/>
      <c r="I460" s="280"/>
    </row>
    <row r="461" hidden="1">
      <c r="G461" s="307"/>
      <c r="H461" s="280"/>
      <c r="I461" s="280"/>
    </row>
    <row r="462" hidden="1">
      <c r="G462" s="307"/>
      <c r="H462" s="280"/>
      <c r="I462" s="280"/>
    </row>
    <row r="463" hidden="1">
      <c r="G463" s="307"/>
      <c r="H463" s="280"/>
      <c r="I463" s="280"/>
    </row>
    <row r="464" hidden="1">
      <c r="G464" s="307"/>
      <c r="H464" s="280"/>
      <c r="I464" s="280"/>
    </row>
    <row r="465" hidden="1">
      <c r="G465" s="307"/>
      <c r="H465" s="280"/>
      <c r="I465" s="280"/>
    </row>
    <row r="466" hidden="1">
      <c r="G466" s="307"/>
      <c r="H466" s="280"/>
      <c r="I466" s="280"/>
    </row>
    <row r="467" hidden="1">
      <c r="G467" s="307"/>
      <c r="H467" s="280"/>
      <c r="I467" s="280"/>
    </row>
    <row r="468" hidden="1">
      <c r="G468" s="307"/>
      <c r="H468" s="280"/>
      <c r="I468" s="280"/>
    </row>
    <row r="469" hidden="1">
      <c r="G469" s="307"/>
      <c r="H469" s="280"/>
      <c r="I469" s="280"/>
    </row>
    <row r="470" hidden="1">
      <c r="G470" s="307"/>
      <c r="H470" s="280"/>
      <c r="I470" s="280"/>
    </row>
    <row r="471" hidden="1">
      <c r="G471" s="307"/>
      <c r="H471" s="280"/>
      <c r="I471" s="280"/>
    </row>
    <row r="472" hidden="1">
      <c r="G472" s="307"/>
      <c r="H472" s="280"/>
      <c r="I472" s="280"/>
    </row>
    <row r="473" hidden="1">
      <c r="G473" s="307"/>
      <c r="H473" s="280"/>
      <c r="I473" s="280"/>
    </row>
    <row r="474" hidden="1">
      <c r="G474" s="307"/>
      <c r="H474" s="280"/>
      <c r="I474" s="280"/>
    </row>
    <row r="475" hidden="1">
      <c r="G475" s="307"/>
      <c r="H475" s="280"/>
      <c r="I475" s="280"/>
    </row>
    <row r="476" hidden="1">
      <c r="G476" s="307"/>
      <c r="H476" s="280"/>
      <c r="I476" s="280"/>
    </row>
    <row r="477" hidden="1">
      <c r="G477" s="307"/>
      <c r="H477" s="280"/>
      <c r="I477" s="280"/>
    </row>
    <row r="478" hidden="1">
      <c r="G478" s="307"/>
      <c r="H478" s="280"/>
      <c r="I478" s="280"/>
    </row>
    <row r="479" hidden="1">
      <c r="G479" s="307"/>
      <c r="H479" s="280"/>
      <c r="I479" s="280"/>
    </row>
    <row r="480" hidden="1">
      <c r="G480" s="307"/>
      <c r="H480" s="280"/>
      <c r="I480" s="280"/>
    </row>
    <row r="481" hidden="1">
      <c r="G481" s="307"/>
      <c r="H481" s="280"/>
      <c r="I481" s="280"/>
    </row>
    <row r="482" hidden="1">
      <c r="G482" s="307"/>
      <c r="H482" s="280"/>
      <c r="I482" s="280"/>
    </row>
    <row r="483" hidden="1">
      <c r="G483" s="307"/>
      <c r="H483" s="280"/>
      <c r="I483" s="280"/>
    </row>
    <row r="484" hidden="1">
      <c r="G484" s="307"/>
      <c r="H484" s="280"/>
      <c r="I484" s="280"/>
    </row>
    <row r="485" hidden="1">
      <c r="G485" s="307"/>
      <c r="H485" s="280"/>
      <c r="I485" s="280"/>
    </row>
    <row r="486" hidden="1">
      <c r="G486" s="307"/>
      <c r="H486" s="280"/>
      <c r="I486" s="280"/>
    </row>
    <row r="487" hidden="1">
      <c r="G487" s="307"/>
      <c r="H487" s="280"/>
      <c r="I487" s="280"/>
    </row>
    <row r="488" hidden="1">
      <c r="G488" s="307"/>
      <c r="H488" s="280"/>
      <c r="I488" s="280"/>
    </row>
    <row r="489" hidden="1">
      <c r="G489" s="307"/>
      <c r="H489" s="280"/>
      <c r="I489" s="280"/>
    </row>
    <row r="490" hidden="1">
      <c r="G490" s="307"/>
      <c r="H490" s="280"/>
      <c r="I490" s="280"/>
    </row>
    <row r="491" hidden="1">
      <c r="G491" s="307"/>
      <c r="H491" s="280"/>
      <c r="I491" s="280"/>
    </row>
    <row r="492" hidden="1">
      <c r="G492" s="307"/>
      <c r="H492" s="280"/>
      <c r="I492" s="280"/>
    </row>
    <row r="493" hidden="1">
      <c r="G493" s="307"/>
      <c r="H493" s="280"/>
      <c r="I493" s="280"/>
    </row>
    <row r="494" hidden="1">
      <c r="G494" s="307"/>
      <c r="H494" s="280"/>
      <c r="I494" s="280"/>
    </row>
    <row r="495" hidden="1">
      <c r="G495" s="307"/>
      <c r="H495" s="280"/>
      <c r="I495" s="280"/>
    </row>
    <row r="496" hidden="1">
      <c r="G496" s="307"/>
      <c r="H496" s="280"/>
      <c r="I496" s="280"/>
    </row>
    <row r="497" hidden="1">
      <c r="G497" s="307"/>
      <c r="H497" s="280"/>
      <c r="I497" s="280"/>
    </row>
    <row r="498" hidden="1">
      <c r="G498" s="307"/>
      <c r="H498" s="280"/>
      <c r="I498" s="280"/>
    </row>
    <row r="499" hidden="1">
      <c r="G499" s="307"/>
      <c r="H499" s="280"/>
      <c r="I499" s="280"/>
    </row>
    <row r="500" hidden="1">
      <c r="G500" s="307"/>
      <c r="H500" s="280"/>
      <c r="I500" s="280"/>
    </row>
    <row r="501" hidden="1">
      <c r="G501" s="307"/>
      <c r="H501" s="280"/>
      <c r="I501" s="280"/>
    </row>
    <row r="502" hidden="1">
      <c r="G502" s="307"/>
      <c r="H502" s="280"/>
      <c r="I502" s="280"/>
    </row>
    <row r="503" hidden="1">
      <c r="G503" s="307"/>
      <c r="H503" s="280"/>
      <c r="I503" s="280"/>
    </row>
    <row r="504" hidden="1">
      <c r="G504" s="307"/>
      <c r="H504" s="280"/>
      <c r="I504" s="280"/>
    </row>
    <row r="505" hidden="1">
      <c r="G505" s="307"/>
      <c r="H505" s="280"/>
      <c r="I505" s="280"/>
    </row>
    <row r="506" hidden="1">
      <c r="G506" s="307"/>
      <c r="H506" s="280"/>
      <c r="I506" s="280"/>
    </row>
    <row r="507" hidden="1">
      <c r="G507" s="307"/>
      <c r="H507" s="280"/>
      <c r="I507" s="280"/>
    </row>
    <row r="508" hidden="1">
      <c r="G508" s="307"/>
      <c r="H508" s="280"/>
      <c r="I508" s="280"/>
    </row>
    <row r="509" hidden="1">
      <c r="G509" s="307"/>
      <c r="H509" s="280"/>
      <c r="I509" s="280"/>
    </row>
    <row r="510" hidden="1">
      <c r="G510" s="307"/>
      <c r="H510" s="280"/>
      <c r="I510" s="280"/>
    </row>
    <row r="511" hidden="1">
      <c r="G511" s="307"/>
      <c r="H511" s="280"/>
      <c r="I511" s="280"/>
    </row>
    <row r="512" hidden="1">
      <c r="G512" s="307"/>
      <c r="H512" s="280"/>
      <c r="I512" s="280"/>
    </row>
    <row r="513" hidden="1">
      <c r="G513" s="307"/>
      <c r="H513" s="280"/>
      <c r="I513" s="280"/>
    </row>
    <row r="514" hidden="1">
      <c r="G514" s="307"/>
      <c r="H514" s="280"/>
      <c r="I514" s="280"/>
    </row>
    <row r="515" hidden="1">
      <c r="G515" s="307"/>
      <c r="H515" s="280"/>
      <c r="I515" s="280"/>
    </row>
    <row r="516" hidden="1">
      <c r="G516" s="307"/>
      <c r="H516" s="280"/>
      <c r="I516" s="280"/>
    </row>
    <row r="517" hidden="1">
      <c r="G517" s="307"/>
      <c r="H517" s="280"/>
      <c r="I517" s="280"/>
    </row>
    <row r="518" hidden="1">
      <c r="G518" s="307"/>
      <c r="H518" s="280"/>
      <c r="I518" s="280"/>
    </row>
    <row r="519" hidden="1">
      <c r="G519" s="307"/>
      <c r="H519" s="280"/>
      <c r="I519" s="280"/>
    </row>
    <row r="520" hidden="1">
      <c r="G520" s="307"/>
      <c r="H520" s="280"/>
      <c r="I520" s="280"/>
    </row>
    <row r="521" hidden="1">
      <c r="G521" s="307"/>
      <c r="H521" s="280"/>
      <c r="I521" s="280"/>
    </row>
    <row r="522" hidden="1">
      <c r="G522" s="307"/>
      <c r="H522" s="280"/>
      <c r="I522" s="280"/>
    </row>
    <row r="523" hidden="1">
      <c r="G523" s="307"/>
      <c r="H523" s="280"/>
      <c r="I523" s="280"/>
    </row>
    <row r="524" hidden="1">
      <c r="G524" s="307"/>
      <c r="H524" s="280"/>
      <c r="I524" s="280"/>
    </row>
    <row r="525" hidden="1">
      <c r="G525" s="307"/>
      <c r="H525" s="280"/>
      <c r="I525" s="280"/>
    </row>
    <row r="526" hidden="1">
      <c r="G526" s="307"/>
      <c r="H526" s="280"/>
      <c r="I526" s="280"/>
    </row>
    <row r="527" hidden="1">
      <c r="G527" s="307"/>
      <c r="H527" s="280"/>
      <c r="I527" s="280"/>
    </row>
    <row r="528" hidden="1">
      <c r="G528" s="307"/>
      <c r="H528" s="280"/>
      <c r="I528" s="280"/>
    </row>
    <row r="529" hidden="1">
      <c r="G529" s="307"/>
      <c r="H529" s="280"/>
      <c r="I529" s="280"/>
    </row>
    <row r="530" hidden="1">
      <c r="G530" s="307"/>
      <c r="H530" s="280"/>
      <c r="I530" s="280"/>
    </row>
    <row r="531" hidden="1">
      <c r="G531" s="307"/>
      <c r="H531" s="280"/>
      <c r="I531" s="280"/>
    </row>
    <row r="532" hidden="1">
      <c r="G532" s="307"/>
      <c r="H532" s="280"/>
      <c r="I532" s="280"/>
    </row>
    <row r="533" hidden="1">
      <c r="G533" s="307"/>
      <c r="H533" s="280"/>
      <c r="I533" s="280"/>
    </row>
    <row r="534" hidden="1">
      <c r="G534" s="307"/>
      <c r="H534" s="280"/>
      <c r="I534" s="280"/>
    </row>
    <row r="535" hidden="1">
      <c r="G535" s="307"/>
      <c r="H535" s="280"/>
      <c r="I535" s="280"/>
    </row>
    <row r="536" hidden="1">
      <c r="G536" s="307"/>
      <c r="H536" s="280"/>
      <c r="I536" s="280"/>
    </row>
    <row r="537" hidden="1">
      <c r="G537" s="307"/>
      <c r="H537" s="280"/>
      <c r="I537" s="280"/>
    </row>
    <row r="538" hidden="1">
      <c r="G538" s="307"/>
      <c r="H538" s="280"/>
      <c r="I538" s="280"/>
    </row>
    <row r="539" hidden="1">
      <c r="G539" s="307"/>
      <c r="H539" s="280"/>
      <c r="I539" s="280"/>
    </row>
    <row r="540" hidden="1">
      <c r="G540" s="307"/>
      <c r="H540" s="280"/>
      <c r="I540" s="280"/>
    </row>
    <row r="541" hidden="1">
      <c r="G541" s="307"/>
      <c r="H541" s="280"/>
      <c r="I541" s="280"/>
    </row>
    <row r="542" hidden="1">
      <c r="G542" s="307"/>
      <c r="H542" s="280"/>
      <c r="I542" s="280"/>
    </row>
    <row r="543" hidden="1">
      <c r="G543" s="307"/>
      <c r="H543" s="280"/>
      <c r="I543" s="280"/>
    </row>
    <row r="544" hidden="1">
      <c r="G544" s="307"/>
      <c r="H544" s="280"/>
      <c r="I544" s="280"/>
    </row>
    <row r="545" hidden="1">
      <c r="G545" s="307"/>
      <c r="H545" s="280"/>
      <c r="I545" s="280"/>
    </row>
    <row r="546" hidden="1">
      <c r="G546" s="307"/>
      <c r="H546" s="280"/>
      <c r="I546" s="280"/>
    </row>
    <row r="547" hidden="1">
      <c r="G547" s="307"/>
      <c r="H547" s="280"/>
      <c r="I547" s="280"/>
    </row>
    <row r="548" hidden="1">
      <c r="G548" s="307"/>
      <c r="H548" s="280"/>
      <c r="I548" s="280"/>
    </row>
    <row r="549" hidden="1">
      <c r="G549" s="307"/>
      <c r="H549" s="280"/>
      <c r="I549" s="280"/>
    </row>
    <row r="550" hidden="1">
      <c r="G550" s="307"/>
      <c r="H550" s="280"/>
      <c r="I550" s="280"/>
    </row>
    <row r="551" hidden="1">
      <c r="G551" s="307"/>
      <c r="H551" s="280"/>
      <c r="I551" s="280"/>
    </row>
    <row r="552" hidden="1">
      <c r="G552" s="307"/>
      <c r="H552" s="280"/>
      <c r="I552" s="280"/>
    </row>
    <row r="553" hidden="1">
      <c r="G553" s="307"/>
      <c r="H553" s="280"/>
      <c r="I553" s="280"/>
    </row>
    <row r="554" hidden="1">
      <c r="G554" s="307"/>
      <c r="H554" s="280"/>
      <c r="I554" s="280"/>
    </row>
    <row r="555" hidden="1">
      <c r="G555" s="307"/>
      <c r="H555" s="280"/>
      <c r="I555" s="280"/>
    </row>
    <row r="556" hidden="1">
      <c r="G556" s="307"/>
      <c r="H556" s="280"/>
      <c r="I556" s="280"/>
    </row>
    <row r="557" hidden="1">
      <c r="G557" s="307"/>
      <c r="H557" s="280"/>
      <c r="I557" s="280"/>
    </row>
    <row r="558" hidden="1">
      <c r="G558" s="307"/>
      <c r="H558" s="280"/>
      <c r="I558" s="280"/>
    </row>
    <row r="559" hidden="1">
      <c r="G559" s="307"/>
      <c r="H559" s="280"/>
      <c r="I559" s="280"/>
    </row>
    <row r="560" hidden="1">
      <c r="G560" s="307"/>
      <c r="H560" s="280"/>
      <c r="I560" s="280"/>
    </row>
    <row r="561" hidden="1">
      <c r="G561" s="307"/>
      <c r="H561" s="280"/>
      <c r="I561" s="280"/>
    </row>
    <row r="562" hidden="1">
      <c r="G562" s="307"/>
      <c r="H562" s="280"/>
      <c r="I562" s="280"/>
    </row>
    <row r="563" hidden="1">
      <c r="G563" s="307"/>
      <c r="H563" s="280"/>
      <c r="I563" s="280"/>
    </row>
    <row r="564" hidden="1">
      <c r="G564" s="307"/>
      <c r="H564" s="280"/>
      <c r="I564" s="280"/>
    </row>
    <row r="565" hidden="1">
      <c r="G565" s="307"/>
      <c r="H565" s="280"/>
      <c r="I565" s="280"/>
    </row>
    <row r="566" hidden="1">
      <c r="G566" s="307"/>
      <c r="H566" s="280"/>
      <c r="I566" s="280"/>
    </row>
    <row r="567" hidden="1">
      <c r="G567" s="307"/>
      <c r="H567" s="280"/>
      <c r="I567" s="280"/>
    </row>
    <row r="568" hidden="1">
      <c r="G568" s="307"/>
      <c r="H568" s="280"/>
      <c r="I568" s="280"/>
    </row>
    <row r="569" hidden="1">
      <c r="G569" s="307"/>
      <c r="H569" s="280"/>
      <c r="I569" s="280"/>
    </row>
    <row r="570" hidden="1">
      <c r="G570" s="307"/>
      <c r="H570" s="280"/>
      <c r="I570" s="280"/>
    </row>
    <row r="571" hidden="1">
      <c r="G571" s="307"/>
      <c r="H571" s="280"/>
      <c r="I571" s="280"/>
    </row>
    <row r="572" hidden="1">
      <c r="G572" s="307"/>
      <c r="H572" s="280"/>
      <c r="I572" s="280"/>
    </row>
    <row r="573" hidden="1">
      <c r="G573" s="307"/>
      <c r="H573" s="280"/>
      <c r="I573" s="280"/>
    </row>
    <row r="574" hidden="1">
      <c r="G574" s="307"/>
      <c r="H574" s="280"/>
      <c r="I574" s="280"/>
    </row>
    <row r="575" hidden="1">
      <c r="G575" s="307"/>
      <c r="H575" s="280"/>
      <c r="I575" s="280"/>
    </row>
    <row r="576" hidden="1">
      <c r="G576" s="307"/>
      <c r="H576" s="280"/>
      <c r="I576" s="280"/>
    </row>
    <row r="577" hidden="1">
      <c r="G577" s="307"/>
      <c r="H577" s="280"/>
      <c r="I577" s="280"/>
    </row>
    <row r="578" hidden="1">
      <c r="G578" s="307"/>
      <c r="H578" s="280"/>
      <c r="I578" s="280"/>
    </row>
    <row r="579" hidden="1">
      <c r="G579" s="307"/>
      <c r="H579" s="280"/>
      <c r="I579" s="280"/>
    </row>
    <row r="580" hidden="1">
      <c r="G580" s="307"/>
      <c r="H580" s="280"/>
      <c r="I580" s="280"/>
    </row>
    <row r="581" hidden="1">
      <c r="G581" s="307"/>
      <c r="H581" s="280"/>
      <c r="I581" s="280"/>
    </row>
    <row r="582" hidden="1">
      <c r="G582" s="307"/>
      <c r="H582" s="280"/>
      <c r="I582" s="280"/>
    </row>
    <row r="583" hidden="1">
      <c r="G583" s="307"/>
      <c r="H583" s="280"/>
      <c r="I583" s="280"/>
    </row>
    <row r="584" hidden="1">
      <c r="G584" s="307"/>
      <c r="H584" s="280"/>
      <c r="I584" s="280"/>
    </row>
    <row r="585" hidden="1">
      <c r="G585" s="307"/>
      <c r="H585" s="280"/>
      <c r="I585" s="280"/>
    </row>
    <row r="586" hidden="1">
      <c r="G586" s="307"/>
      <c r="H586" s="280"/>
      <c r="I586" s="280"/>
    </row>
    <row r="587" hidden="1">
      <c r="G587" s="307"/>
      <c r="H587" s="280"/>
      <c r="I587" s="280"/>
    </row>
    <row r="588" hidden="1">
      <c r="G588" s="307"/>
      <c r="H588" s="280"/>
      <c r="I588" s="280"/>
    </row>
    <row r="589" hidden="1">
      <c r="G589" s="307"/>
      <c r="H589" s="280"/>
      <c r="I589" s="280"/>
    </row>
    <row r="590" hidden="1">
      <c r="G590" s="307"/>
      <c r="H590" s="280"/>
      <c r="I590" s="280"/>
    </row>
    <row r="591" hidden="1">
      <c r="G591" s="307"/>
      <c r="H591" s="280"/>
      <c r="I591" s="280"/>
    </row>
    <row r="592" hidden="1">
      <c r="G592" s="307"/>
      <c r="H592" s="280"/>
      <c r="I592" s="280"/>
    </row>
    <row r="593" hidden="1">
      <c r="G593" s="307"/>
      <c r="H593" s="280"/>
      <c r="I593" s="280"/>
    </row>
    <row r="594" hidden="1">
      <c r="G594" s="307"/>
      <c r="H594" s="280"/>
      <c r="I594" s="280"/>
    </row>
    <row r="595" hidden="1">
      <c r="G595" s="307"/>
      <c r="H595" s="280"/>
      <c r="I595" s="280"/>
    </row>
    <row r="596" hidden="1">
      <c r="G596" s="307"/>
      <c r="H596" s="280"/>
      <c r="I596" s="280"/>
    </row>
    <row r="597" hidden="1">
      <c r="G597" s="307"/>
      <c r="H597" s="280"/>
      <c r="I597" s="280"/>
    </row>
    <row r="598" hidden="1">
      <c r="G598" s="307"/>
      <c r="H598" s="280"/>
      <c r="I598" s="280"/>
    </row>
    <row r="599" hidden="1">
      <c r="G599" s="307"/>
      <c r="H599" s="280"/>
      <c r="I599" s="280"/>
    </row>
    <row r="600" hidden="1">
      <c r="G600" s="307"/>
      <c r="H600" s="280"/>
      <c r="I600" s="280"/>
    </row>
    <row r="601" hidden="1">
      <c r="G601" s="307"/>
      <c r="H601" s="280"/>
      <c r="I601" s="280"/>
    </row>
    <row r="602" hidden="1">
      <c r="G602" s="307"/>
      <c r="H602" s="280"/>
      <c r="I602" s="280"/>
    </row>
    <row r="603" hidden="1">
      <c r="G603" s="307"/>
      <c r="H603" s="280"/>
      <c r="I603" s="280"/>
    </row>
    <row r="604" hidden="1">
      <c r="G604" s="307"/>
      <c r="H604" s="280"/>
      <c r="I604" s="280"/>
    </row>
    <row r="605" hidden="1">
      <c r="G605" s="307"/>
      <c r="H605" s="280"/>
      <c r="I605" s="280"/>
    </row>
    <row r="606" hidden="1">
      <c r="G606" s="307"/>
      <c r="H606" s="280"/>
      <c r="I606" s="280"/>
    </row>
    <row r="607" hidden="1">
      <c r="G607" s="307"/>
      <c r="H607" s="280"/>
      <c r="I607" s="280"/>
    </row>
    <row r="608" hidden="1">
      <c r="G608" s="307"/>
      <c r="H608" s="280"/>
      <c r="I608" s="280"/>
    </row>
    <row r="609" hidden="1">
      <c r="G609" s="307"/>
      <c r="H609" s="280"/>
      <c r="I609" s="280"/>
    </row>
    <row r="610" hidden="1">
      <c r="G610" s="307"/>
      <c r="H610" s="280"/>
      <c r="I610" s="280"/>
    </row>
    <row r="611" hidden="1">
      <c r="G611" s="307"/>
      <c r="H611" s="280"/>
      <c r="I611" s="280"/>
    </row>
    <row r="612" hidden="1">
      <c r="G612" s="307"/>
      <c r="H612" s="280"/>
      <c r="I612" s="280"/>
    </row>
    <row r="613" hidden="1">
      <c r="G613" s="307"/>
      <c r="H613" s="280"/>
      <c r="I613" s="280"/>
    </row>
    <row r="614" hidden="1">
      <c r="G614" s="307"/>
      <c r="H614" s="280"/>
      <c r="I614" s="280"/>
    </row>
    <row r="615" hidden="1">
      <c r="G615" s="307"/>
      <c r="H615" s="280"/>
      <c r="I615" s="280"/>
    </row>
    <row r="616" hidden="1">
      <c r="G616" s="307"/>
      <c r="H616" s="280"/>
      <c r="I616" s="280"/>
    </row>
    <row r="617" hidden="1">
      <c r="G617" s="307"/>
      <c r="H617" s="280"/>
      <c r="I617" s="280"/>
    </row>
    <row r="618" hidden="1">
      <c r="G618" s="307"/>
      <c r="H618" s="280"/>
      <c r="I618" s="280"/>
    </row>
    <row r="619" hidden="1">
      <c r="G619" s="307"/>
      <c r="H619" s="280"/>
      <c r="I619" s="280"/>
    </row>
    <row r="620" hidden="1">
      <c r="G620" s="307"/>
      <c r="H620" s="280"/>
      <c r="I620" s="280"/>
    </row>
    <row r="621" hidden="1">
      <c r="G621" s="307"/>
      <c r="H621" s="280"/>
      <c r="I621" s="280"/>
    </row>
    <row r="622" hidden="1">
      <c r="G622" s="307"/>
      <c r="H622" s="280"/>
      <c r="I622" s="280"/>
    </row>
    <row r="623" hidden="1">
      <c r="G623" s="307"/>
      <c r="H623" s="280"/>
      <c r="I623" s="280"/>
    </row>
    <row r="624" hidden="1">
      <c r="G624" s="307"/>
      <c r="H624" s="280"/>
      <c r="I624" s="280"/>
    </row>
    <row r="625" hidden="1">
      <c r="G625" s="307"/>
      <c r="H625" s="280"/>
      <c r="I625" s="280"/>
    </row>
    <row r="626" hidden="1">
      <c r="G626" s="307"/>
      <c r="H626" s="280"/>
      <c r="I626" s="280"/>
    </row>
    <row r="627" hidden="1">
      <c r="G627" s="307"/>
      <c r="H627" s="280"/>
      <c r="I627" s="280"/>
    </row>
    <row r="628" hidden="1">
      <c r="G628" s="307"/>
      <c r="H628" s="280"/>
      <c r="I628" s="280"/>
    </row>
    <row r="629" hidden="1">
      <c r="G629" s="307"/>
      <c r="H629" s="280"/>
      <c r="I629" s="280"/>
    </row>
    <row r="630" hidden="1">
      <c r="G630" s="307"/>
      <c r="H630" s="280"/>
      <c r="I630" s="280"/>
    </row>
    <row r="631" hidden="1">
      <c r="G631" s="307"/>
      <c r="H631" s="280"/>
      <c r="I631" s="280"/>
    </row>
    <row r="632" hidden="1">
      <c r="G632" s="307"/>
      <c r="H632" s="280"/>
      <c r="I632" s="280"/>
    </row>
    <row r="633" hidden="1">
      <c r="G633" s="307"/>
      <c r="H633" s="280"/>
      <c r="I633" s="280"/>
    </row>
    <row r="634" hidden="1">
      <c r="G634" s="307"/>
      <c r="H634" s="280"/>
      <c r="I634" s="280"/>
    </row>
    <row r="635" hidden="1">
      <c r="G635" s="307"/>
      <c r="H635" s="280"/>
      <c r="I635" s="280"/>
    </row>
    <row r="636" hidden="1">
      <c r="G636" s="307"/>
      <c r="H636" s="280"/>
      <c r="I636" s="280"/>
    </row>
    <row r="637" hidden="1">
      <c r="G637" s="307"/>
      <c r="H637" s="280"/>
      <c r="I637" s="280"/>
    </row>
    <row r="638" hidden="1">
      <c r="G638" s="307"/>
      <c r="H638" s="280"/>
      <c r="I638" s="280"/>
    </row>
    <row r="639" hidden="1">
      <c r="G639" s="307"/>
      <c r="H639" s="280"/>
      <c r="I639" s="280"/>
    </row>
    <row r="640" hidden="1">
      <c r="G640" s="307"/>
      <c r="H640" s="280"/>
      <c r="I640" s="280"/>
    </row>
    <row r="641" hidden="1">
      <c r="G641" s="307"/>
      <c r="H641" s="280"/>
      <c r="I641" s="280"/>
    </row>
    <row r="642" hidden="1">
      <c r="G642" s="307"/>
      <c r="H642" s="280"/>
      <c r="I642" s="280"/>
    </row>
    <row r="643" hidden="1">
      <c r="G643" s="307"/>
      <c r="H643" s="280"/>
      <c r="I643" s="280"/>
    </row>
    <row r="644" hidden="1">
      <c r="G644" s="307"/>
      <c r="H644" s="280"/>
      <c r="I644" s="280"/>
    </row>
    <row r="645" hidden="1">
      <c r="G645" s="307"/>
      <c r="H645" s="280"/>
      <c r="I645" s="280"/>
    </row>
    <row r="646" hidden="1">
      <c r="G646" s="307"/>
      <c r="H646" s="280"/>
      <c r="I646" s="280"/>
    </row>
    <row r="647" hidden="1">
      <c r="G647" s="307"/>
      <c r="H647" s="280"/>
      <c r="I647" s="280"/>
    </row>
    <row r="648" hidden="1">
      <c r="G648" s="307"/>
      <c r="H648" s="280"/>
      <c r="I648" s="280"/>
    </row>
    <row r="649" hidden="1">
      <c r="G649" s="307"/>
      <c r="H649" s="280"/>
      <c r="I649" s="280"/>
    </row>
    <row r="650" hidden="1">
      <c r="G650" s="307"/>
      <c r="H650" s="280"/>
      <c r="I650" s="280"/>
    </row>
    <row r="651" hidden="1">
      <c r="G651" s="307"/>
      <c r="H651" s="280"/>
      <c r="I651" s="280"/>
    </row>
    <row r="652" hidden="1">
      <c r="G652" s="307"/>
      <c r="H652" s="280"/>
      <c r="I652" s="280"/>
    </row>
    <row r="653" hidden="1">
      <c r="G653" s="307"/>
      <c r="H653" s="280"/>
      <c r="I653" s="280"/>
    </row>
    <row r="654" hidden="1">
      <c r="G654" s="307"/>
      <c r="H654" s="280"/>
      <c r="I654" s="280"/>
    </row>
    <row r="655" hidden="1">
      <c r="G655" s="307"/>
      <c r="H655" s="280"/>
      <c r="I655" s="280"/>
    </row>
    <row r="656" hidden="1">
      <c r="G656" s="307"/>
      <c r="H656" s="280"/>
      <c r="I656" s="280"/>
    </row>
    <row r="657" hidden="1">
      <c r="G657" s="307"/>
      <c r="H657" s="280"/>
      <c r="I657" s="280"/>
    </row>
    <row r="658" hidden="1">
      <c r="G658" s="307"/>
      <c r="H658" s="280"/>
      <c r="I658" s="280"/>
    </row>
    <row r="659" hidden="1">
      <c r="G659" s="307"/>
      <c r="H659" s="280"/>
      <c r="I659" s="280"/>
    </row>
    <row r="660" hidden="1">
      <c r="G660" s="307"/>
      <c r="H660" s="280"/>
      <c r="I660" s="280"/>
    </row>
    <row r="661" hidden="1">
      <c r="G661" s="307"/>
      <c r="H661" s="280"/>
      <c r="I661" s="280"/>
    </row>
    <row r="662" hidden="1">
      <c r="G662" s="307"/>
      <c r="H662" s="280"/>
      <c r="I662" s="280"/>
    </row>
    <row r="663" hidden="1">
      <c r="G663" s="307"/>
      <c r="H663" s="280"/>
      <c r="I663" s="280"/>
    </row>
    <row r="664" hidden="1">
      <c r="G664" s="307"/>
      <c r="H664" s="280"/>
      <c r="I664" s="280"/>
    </row>
    <row r="665" hidden="1">
      <c r="G665" s="307"/>
      <c r="H665" s="280"/>
      <c r="I665" s="280"/>
    </row>
    <row r="666" hidden="1">
      <c r="G666" s="307"/>
      <c r="H666" s="280"/>
      <c r="I666" s="280"/>
    </row>
    <row r="667" hidden="1">
      <c r="G667" s="307"/>
      <c r="H667" s="280"/>
      <c r="I667" s="280"/>
    </row>
    <row r="668" hidden="1">
      <c r="G668" s="307"/>
      <c r="H668" s="280"/>
      <c r="I668" s="280"/>
    </row>
    <row r="669" hidden="1">
      <c r="G669" s="307"/>
      <c r="H669" s="280"/>
      <c r="I669" s="280"/>
    </row>
    <row r="670" hidden="1">
      <c r="G670" s="307"/>
      <c r="H670" s="280"/>
      <c r="I670" s="280"/>
    </row>
    <row r="671" hidden="1">
      <c r="G671" s="307"/>
      <c r="H671" s="280"/>
      <c r="I671" s="280"/>
    </row>
    <row r="672" hidden="1">
      <c r="G672" s="307"/>
      <c r="H672" s="280"/>
      <c r="I672" s="280"/>
    </row>
    <row r="673" hidden="1">
      <c r="G673" s="307"/>
      <c r="H673" s="280"/>
      <c r="I673" s="280"/>
    </row>
    <row r="674" hidden="1">
      <c r="G674" s="307"/>
      <c r="H674" s="280"/>
      <c r="I674" s="280"/>
    </row>
    <row r="675" hidden="1">
      <c r="G675" s="307"/>
      <c r="H675" s="280"/>
      <c r="I675" s="280"/>
    </row>
    <row r="676" hidden="1">
      <c r="G676" s="307"/>
      <c r="H676" s="280"/>
      <c r="I676" s="280"/>
    </row>
    <row r="677" hidden="1">
      <c r="G677" s="307"/>
      <c r="H677" s="280"/>
      <c r="I677" s="280"/>
    </row>
    <row r="678" hidden="1">
      <c r="G678" s="307"/>
      <c r="H678" s="280"/>
      <c r="I678" s="280"/>
    </row>
    <row r="679" hidden="1">
      <c r="G679" s="307"/>
      <c r="H679" s="280"/>
      <c r="I679" s="280"/>
    </row>
    <row r="680" hidden="1">
      <c r="G680" s="307"/>
      <c r="H680" s="280"/>
      <c r="I680" s="280"/>
    </row>
    <row r="681" hidden="1">
      <c r="G681" s="307"/>
      <c r="H681" s="280"/>
      <c r="I681" s="280"/>
    </row>
    <row r="682" hidden="1">
      <c r="G682" s="307"/>
      <c r="H682" s="280"/>
      <c r="I682" s="280"/>
    </row>
    <row r="683" hidden="1">
      <c r="G683" s="307"/>
      <c r="H683" s="280"/>
      <c r="I683" s="280"/>
    </row>
    <row r="684" hidden="1">
      <c r="G684" s="307"/>
      <c r="H684" s="280"/>
      <c r="I684" s="280"/>
    </row>
    <row r="685" hidden="1">
      <c r="G685" s="307"/>
      <c r="H685" s="280"/>
      <c r="I685" s="280"/>
    </row>
    <row r="686" hidden="1">
      <c r="G686" s="307"/>
      <c r="H686" s="280"/>
      <c r="I686" s="280"/>
    </row>
    <row r="687" hidden="1">
      <c r="G687" s="307"/>
      <c r="H687" s="280"/>
      <c r="I687" s="280"/>
    </row>
    <row r="688" hidden="1">
      <c r="G688" s="307"/>
      <c r="H688" s="280"/>
      <c r="I688" s="280"/>
    </row>
    <row r="689" hidden="1">
      <c r="G689" s="307"/>
      <c r="H689" s="280"/>
      <c r="I689" s="280"/>
    </row>
    <row r="690" hidden="1">
      <c r="G690" s="307"/>
      <c r="H690" s="280"/>
      <c r="I690" s="280"/>
    </row>
    <row r="691" hidden="1">
      <c r="G691" s="307"/>
      <c r="H691" s="280"/>
      <c r="I691" s="280"/>
    </row>
    <row r="692" hidden="1">
      <c r="G692" s="307"/>
      <c r="H692" s="280"/>
      <c r="I692" s="280"/>
    </row>
    <row r="693" hidden="1">
      <c r="G693" s="307"/>
      <c r="H693" s="280"/>
      <c r="I693" s="280"/>
    </row>
    <row r="694" hidden="1">
      <c r="G694" s="307"/>
      <c r="H694" s="280"/>
      <c r="I694" s="280"/>
    </row>
    <row r="695" hidden="1">
      <c r="G695" s="307"/>
      <c r="H695" s="280"/>
      <c r="I695" s="280"/>
    </row>
    <row r="696" hidden="1">
      <c r="G696" s="307"/>
      <c r="H696" s="280"/>
      <c r="I696" s="280"/>
    </row>
    <row r="697" hidden="1">
      <c r="G697" s="307"/>
      <c r="H697" s="280"/>
      <c r="I697" s="280"/>
    </row>
    <row r="698" hidden="1">
      <c r="G698" s="307"/>
      <c r="H698" s="280"/>
      <c r="I698" s="280"/>
    </row>
    <row r="699" hidden="1">
      <c r="G699" s="307"/>
      <c r="H699" s="280"/>
      <c r="I699" s="280"/>
    </row>
    <row r="700" hidden="1">
      <c r="G700" s="307"/>
      <c r="H700" s="280"/>
      <c r="I700" s="280"/>
    </row>
    <row r="701" hidden="1">
      <c r="G701" s="307"/>
      <c r="H701" s="280"/>
      <c r="I701" s="280"/>
    </row>
    <row r="702" hidden="1">
      <c r="G702" s="307"/>
      <c r="H702" s="280"/>
      <c r="I702" s="280"/>
    </row>
    <row r="703" hidden="1">
      <c r="G703" s="307"/>
      <c r="H703" s="280"/>
      <c r="I703" s="280"/>
    </row>
    <row r="704" hidden="1">
      <c r="G704" s="307"/>
      <c r="H704" s="280"/>
      <c r="I704" s="280"/>
    </row>
    <row r="705" hidden="1">
      <c r="G705" s="307"/>
      <c r="H705" s="280"/>
      <c r="I705" s="280"/>
    </row>
    <row r="706" hidden="1">
      <c r="G706" s="307"/>
      <c r="H706" s="280"/>
      <c r="I706" s="280"/>
    </row>
    <row r="707" hidden="1">
      <c r="G707" s="307"/>
      <c r="H707" s="280"/>
      <c r="I707" s="280"/>
    </row>
    <row r="708" hidden="1">
      <c r="G708" s="307"/>
      <c r="H708" s="280"/>
      <c r="I708" s="280"/>
    </row>
    <row r="709" hidden="1">
      <c r="G709" s="307"/>
      <c r="H709" s="280"/>
      <c r="I709" s="280"/>
    </row>
    <row r="710" hidden="1">
      <c r="G710" s="307"/>
      <c r="H710" s="280"/>
      <c r="I710" s="280"/>
    </row>
    <row r="711" hidden="1">
      <c r="G711" s="307"/>
      <c r="H711" s="280"/>
      <c r="I711" s="280"/>
    </row>
    <row r="712" hidden="1">
      <c r="G712" s="307"/>
      <c r="H712" s="280"/>
      <c r="I712" s="280"/>
    </row>
    <row r="713" hidden="1">
      <c r="G713" s="307"/>
      <c r="H713" s="280"/>
      <c r="I713" s="280"/>
    </row>
    <row r="714" hidden="1">
      <c r="G714" s="307"/>
      <c r="H714" s="280"/>
      <c r="I714" s="280"/>
    </row>
    <row r="715" hidden="1">
      <c r="G715" s="307"/>
      <c r="H715" s="280"/>
      <c r="I715" s="280"/>
    </row>
    <row r="716" hidden="1">
      <c r="G716" s="307"/>
      <c r="H716" s="280"/>
      <c r="I716" s="280"/>
    </row>
    <row r="717" hidden="1">
      <c r="G717" s="307"/>
      <c r="H717" s="280"/>
      <c r="I717" s="280"/>
    </row>
    <row r="718" hidden="1">
      <c r="G718" s="307"/>
      <c r="H718" s="280"/>
      <c r="I718" s="280"/>
    </row>
    <row r="719" hidden="1">
      <c r="G719" s="307"/>
      <c r="H719" s="280"/>
      <c r="I719" s="280"/>
    </row>
    <row r="720" hidden="1">
      <c r="G720" s="307"/>
      <c r="H720" s="280"/>
      <c r="I720" s="280"/>
    </row>
    <row r="721" hidden="1">
      <c r="G721" s="307"/>
      <c r="H721" s="280"/>
      <c r="I721" s="280"/>
    </row>
    <row r="722" hidden="1">
      <c r="G722" s="307"/>
      <c r="H722" s="280"/>
      <c r="I722" s="280"/>
    </row>
    <row r="723" hidden="1">
      <c r="G723" s="307"/>
      <c r="H723" s="280"/>
      <c r="I723" s="280"/>
    </row>
    <row r="724" hidden="1">
      <c r="G724" s="307"/>
      <c r="H724" s="280"/>
      <c r="I724" s="280"/>
    </row>
    <row r="725" hidden="1">
      <c r="G725" s="307"/>
      <c r="H725" s="280"/>
      <c r="I725" s="280"/>
    </row>
    <row r="726" hidden="1">
      <c r="G726" s="307"/>
      <c r="H726" s="280"/>
      <c r="I726" s="280"/>
    </row>
    <row r="727" hidden="1">
      <c r="G727" s="307"/>
      <c r="H727" s="280"/>
      <c r="I727" s="280"/>
    </row>
    <row r="728" hidden="1">
      <c r="G728" s="307"/>
      <c r="H728" s="280"/>
      <c r="I728" s="280"/>
    </row>
    <row r="729" hidden="1">
      <c r="G729" s="307"/>
      <c r="H729" s="280"/>
      <c r="I729" s="280"/>
    </row>
    <row r="730" hidden="1">
      <c r="G730" s="307"/>
      <c r="H730" s="280"/>
      <c r="I730" s="280"/>
    </row>
    <row r="731" hidden="1">
      <c r="G731" s="307"/>
      <c r="H731" s="280"/>
      <c r="I731" s="280"/>
    </row>
    <row r="732" hidden="1">
      <c r="G732" s="307"/>
      <c r="H732" s="280"/>
      <c r="I732" s="280"/>
    </row>
    <row r="733" hidden="1">
      <c r="G733" s="307"/>
      <c r="H733" s="280"/>
      <c r="I733" s="280"/>
    </row>
    <row r="734" hidden="1">
      <c r="G734" s="307"/>
      <c r="H734" s="280"/>
      <c r="I734" s="280"/>
    </row>
    <row r="735" hidden="1">
      <c r="G735" s="307"/>
      <c r="H735" s="280"/>
      <c r="I735" s="280"/>
    </row>
    <row r="736" hidden="1">
      <c r="G736" s="307"/>
      <c r="H736" s="280"/>
      <c r="I736" s="280"/>
    </row>
    <row r="737" hidden="1">
      <c r="G737" s="307"/>
      <c r="H737" s="280"/>
      <c r="I737" s="280"/>
    </row>
    <row r="738" hidden="1">
      <c r="G738" s="307"/>
      <c r="H738" s="280"/>
      <c r="I738" s="280"/>
    </row>
    <row r="739" hidden="1">
      <c r="G739" s="307"/>
      <c r="H739" s="280"/>
      <c r="I739" s="280"/>
    </row>
    <row r="740" hidden="1">
      <c r="G740" s="307"/>
      <c r="H740" s="280"/>
      <c r="I740" s="280"/>
    </row>
    <row r="741" hidden="1">
      <c r="G741" s="307"/>
      <c r="H741" s="280"/>
      <c r="I741" s="280"/>
    </row>
    <row r="742" hidden="1">
      <c r="G742" s="307"/>
      <c r="H742" s="280"/>
      <c r="I742" s="280"/>
    </row>
    <row r="743" hidden="1">
      <c r="G743" s="307"/>
      <c r="H743" s="280"/>
      <c r="I743" s="280"/>
    </row>
    <row r="744" hidden="1">
      <c r="G744" s="307"/>
      <c r="H744" s="280"/>
      <c r="I744" s="280"/>
    </row>
    <row r="745" hidden="1">
      <c r="G745" s="307"/>
      <c r="H745" s="280"/>
      <c r="I745" s="280"/>
    </row>
    <row r="746" hidden="1">
      <c r="G746" s="307"/>
      <c r="H746" s="280"/>
      <c r="I746" s="280"/>
    </row>
    <row r="747" hidden="1">
      <c r="G747" s="307"/>
      <c r="H747" s="280"/>
      <c r="I747" s="280"/>
    </row>
    <row r="748" hidden="1">
      <c r="G748" s="307"/>
      <c r="H748" s="280"/>
      <c r="I748" s="280"/>
    </row>
    <row r="749" hidden="1">
      <c r="G749" s="307"/>
      <c r="H749" s="280"/>
      <c r="I749" s="280"/>
    </row>
    <row r="750" hidden="1">
      <c r="G750" s="307"/>
      <c r="H750" s="280"/>
      <c r="I750" s="280"/>
    </row>
    <row r="751" hidden="1">
      <c r="G751" s="307"/>
      <c r="H751" s="280"/>
      <c r="I751" s="280"/>
    </row>
    <row r="752" hidden="1">
      <c r="G752" s="307"/>
      <c r="H752" s="280"/>
      <c r="I752" s="280"/>
    </row>
    <row r="753" hidden="1">
      <c r="G753" s="307"/>
      <c r="H753" s="280"/>
      <c r="I753" s="280"/>
    </row>
    <row r="754" hidden="1">
      <c r="G754" s="307"/>
      <c r="H754" s="280"/>
      <c r="I754" s="280"/>
    </row>
    <row r="755" hidden="1">
      <c r="G755" s="307"/>
      <c r="H755" s="280"/>
      <c r="I755" s="280"/>
    </row>
    <row r="756" hidden="1">
      <c r="G756" s="307"/>
      <c r="H756" s="280"/>
      <c r="I756" s="280"/>
    </row>
    <row r="757" hidden="1">
      <c r="G757" s="307"/>
      <c r="H757" s="280"/>
      <c r="I757" s="280"/>
    </row>
    <row r="758" hidden="1">
      <c r="G758" s="307"/>
      <c r="H758" s="280"/>
      <c r="I758" s="280"/>
    </row>
    <row r="759" hidden="1">
      <c r="G759" s="307"/>
      <c r="H759" s="280"/>
      <c r="I759" s="280"/>
    </row>
    <row r="760" hidden="1">
      <c r="G760" s="307"/>
      <c r="H760" s="280"/>
      <c r="I760" s="280"/>
    </row>
    <row r="761" hidden="1">
      <c r="G761" s="307"/>
      <c r="H761" s="280"/>
      <c r="I761" s="280"/>
    </row>
    <row r="762" hidden="1">
      <c r="G762" s="307"/>
      <c r="H762" s="280"/>
      <c r="I762" s="280"/>
    </row>
    <row r="763" hidden="1">
      <c r="G763" s="307"/>
      <c r="H763" s="280"/>
      <c r="I763" s="280"/>
    </row>
    <row r="764" hidden="1">
      <c r="G764" s="307"/>
      <c r="H764" s="280"/>
      <c r="I764" s="280"/>
    </row>
    <row r="765" hidden="1">
      <c r="G765" s="307"/>
      <c r="H765" s="280"/>
      <c r="I765" s="280"/>
    </row>
    <row r="766" hidden="1">
      <c r="G766" s="307"/>
      <c r="H766" s="280"/>
      <c r="I766" s="280"/>
    </row>
    <row r="767" hidden="1">
      <c r="G767" s="307"/>
      <c r="H767" s="280"/>
      <c r="I767" s="280"/>
    </row>
    <row r="768" hidden="1">
      <c r="G768" s="307"/>
      <c r="H768" s="280"/>
      <c r="I768" s="280"/>
    </row>
    <row r="769" hidden="1">
      <c r="G769" s="307"/>
      <c r="H769" s="280"/>
      <c r="I769" s="280"/>
    </row>
    <row r="770" hidden="1">
      <c r="G770" s="307"/>
      <c r="H770" s="280"/>
      <c r="I770" s="280"/>
    </row>
    <row r="771" hidden="1">
      <c r="G771" s="307"/>
      <c r="H771" s="280"/>
      <c r="I771" s="280"/>
    </row>
    <row r="772" hidden="1">
      <c r="G772" s="307"/>
      <c r="H772" s="280"/>
      <c r="I772" s="280"/>
    </row>
    <row r="773" hidden="1">
      <c r="G773" s="307"/>
      <c r="H773" s="280"/>
      <c r="I773" s="280"/>
    </row>
    <row r="774" hidden="1">
      <c r="G774" s="307"/>
      <c r="H774" s="280"/>
      <c r="I774" s="280"/>
    </row>
    <row r="775" hidden="1">
      <c r="G775" s="307"/>
      <c r="H775" s="280"/>
      <c r="I775" s="280"/>
    </row>
    <row r="776" hidden="1">
      <c r="G776" s="307"/>
      <c r="H776" s="280"/>
      <c r="I776" s="280"/>
    </row>
    <row r="777" hidden="1">
      <c r="G777" s="307"/>
      <c r="H777" s="280"/>
      <c r="I777" s="280"/>
    </row>
    <row r="778" hidden="1">
      <c r="G778" s="307"/>
      <c r="H778" s="280"/>
      <c r="I778" s="280"/>
    </row>
    <row r="779" hidden="1">
      <c r="G779" s="307"/>
      <c r="H779" s="280"/>
      <c r="I779" s="280"/>
    </row>
    <row r="780" hidden="1">
      <c r="G780" s="307"/>
      <c r="H780" s="280"/>
      <c r="I780" s="280"/>
    </row>
    <row r="781" hidden="1">
      <c r="G781" s="307"/>
      <c r="H781" s="280"/>
      <c r="I781" s="280"/>
    </row>
    <row r="782" hidden="1">
      <c r="G782" s="307"/>
      <c r="H782" s="280"/>
      <c r="I782" s="280"/>
    </row>
    <row r="783" hidden="1">
      <c r="G783" s="307"/>
      <c r="H783" s="280"/>
      <c r="I783" s="280"/>
    </row>
    <row r="784" hidden="1">
      <c r="G784" s="307"/>
      <c r="H784" s="280"/>
      <c r="I784" s="280"/>
    </row>
    <row r="785" hidden="1">
      <c r="G785" s="307"/>
      <c r="H785" s="280"/>
      <c r="I785" s="280"/>
    </row>
    <row r="786" hidden="1">
      <c r="G786" s="307"/>
      <c r="H786" s="280"/>
      <c r="I786" s="280"/>
    </row>
    <row r="787" hidden="1">
      <c r="G787" s="307"/>
      <c r="H787" s="280"/>
      <c r="I787" s="280"/>
    </row>
    <row r="788" hidden="1">
      <c r="G788" s="307"/>
      <c r="H788" s="280"/>
      <c r="I788" s="280"/>
    </row>
    <row r="789" hidden="1">
      <c r="G789" s="307"/>
      <c r="H789" s="280"/>
      <c r="I789" s="280"/>
    </row>
    <row r="790" hidden="1">
      <c r="G790" s="307"/>
      <c r="H790" s="280"/>
      <c r="I790" s="280"/>
    </row>
    <row r="791" hidden="1">
      <c r="G791" s="307"/>
      <c r="H791" s="280"/>
      <c r="I791" s="280"/>
    </row>
    <row r="792" hidden="1">
      <c r="G792" s="307"/>
      <c r="H792" s="280"/>
      <c r="I792" s="280"/>
    </row>
    <row r="793" hidden="1">
      <c r="G793" s="307"/>
      <c r="H793" s="280"/>
      <c r="I793" s="280"/>
    </row>
    <row r="794" hidden="1">
      <c r="G794" s="307"/>
      <c r="H794" s="280"/>
      <c r="I794" s="280"/>
    </row>
    <row r="795" hidden="1">
      <c r="G795" s="307"/>
      <c r="H795" s="280"/>
      <c r="I795" s="280"/>
    </row>
    <row r="796" hidden="1">
      <c r="G796" s="307"/>
      <c r="H796" s="280"/>
      <c r="I796" s="280"/>
    </row>
    <row r="797" hidden="1">
      <c r="G797" s="307"/>
      <c r="H797" s="280"/>
      <c r="I797" s="280"/>
    </row>
    <row r="798" hidden="1">
      <c r="G798" s="307"/>
      <c r="H798" s="280"/>
      <c r="I798" s="280"/>
    </row>
    <row r="799" hidden="1">
      <c r="G799" s="307"/>
      <c r="H799" s="280"/>
      <c r="I799" s="280"/>
    </row>
    <row r="800" hidden="1">
      <c r="G800" s="307"/>
      <c r="H800" s="280"/>
      <c r="I800" s="280"/>
    </row>
    <row r="801" hidden="1">
      <c r="G801" s="307"/>
      <c r="H801" s="280"/>
      <c r="I801" s="280"/>
    </row>
    <row r="802" hidden="1">
      <c r="G802" s="307"/>
      <c r="H802" s="280"/>
      <c r="I802" s="280"/>
    </row>
    <row r="803" hidden="1">
      <c r="G803" s="307"/>
      <c r="H803" s="280"/>
      <c r="I803" s="280"/>
    </row>
    <row r="804" hidden="1">
      <c r="G804" s="307"/>
      <c r="H804" s="280"/>
      <c r="I804" s="280"/>
    </row>
    <row r="805" hidden="1">
      <c r="G805" s="307"/>
      <c r="H805" s="280"/>
      <c r="I805" s="280"/>
    </row>
    <row r="806" hidden="1">
      <c r="G806" s="307"/>
      <c r="H806" s="280"/>
      <c r="I806" s="280"/>
    </row>
    <row r="807" hidden="1">
      <c r="G807" s="307"/>
      <c r="H807" s="280"/>
      <c r="I807" s="280"/>
    </row>
    <row r="808" hidden="1">
      <c r="G808" s="307"/>
      <c r="H808" s="280"/>
      <c r="I808" s="280"/>
    </row>
    <row r="809" hidden="1">
      <c r="G809" s="307"/>
      <c r="H809" s="280"/>
      <c r="I809" s="280"/>
    </row>
    <row r="810" hidden="1">
      <c r="G810" s="307"/>
      <c r="H810" s="280"/>
      <c r="I810" s="280"/>
    </row>
    <row r="811" hidden="1">
      <c r="G811" s="307"/>
      <c r="H811" s="280"/>
      <c r="I811" s="280"/>
    </row>
    <row r="812" hidden="1">
      <c r="G812" s="307"/>
      <c r="H812" s="280"/>
      <c r="I812" s="280"/>
    </row>
    <row r="813" hidden="1">
      <c r="G813" s="307"/>
      <c r="H813" s="280"/>
      <c r="I813" s="280"/>
    </row>
    <row r="814" hidden="1">
      <c r="G814" s="307"/>
      <c r="H814" s="280"/>
      <c r="I814" s="280"/>
    </row>
    <row r="815" hidden="1">
      <c r="G815" s="307"/>
      <c r="H815" s="280"/>
      <c r="I815" s="280"/>
    </row>
    <row r="816" hidden="1">
      <c r="G816" s="307"/>
      <c r="H816" s="280"/>
      <c r="I816" s="280"/>
    </row>
    <row r="817" hidden="1">
      <c r="G817" s="307"/>
      <c r="H817" s="280"/>
      <c r="I817" s="280"/>
    </row>
    <row r="818" hidden="1">
      <c r="G818" s="307"/>
      <c r="H818" s="280"/>
      <c r="I818" s="280"/>
    </row>
    <row r="819" hidden="1">
      <c r="G819" s="307"/>
      <c r="H819" s="280"/>
      <c r="I819" s="280"/>
    </row>
    <row r="820" hidden="1">
      <c r="G820" s="307"/>
      <c r="H820" s="280"/>
      <c r="I820" s="280"/>
    </row>
    <row r="821" hidden="1">
      <c r="G821" s="307"/>
      <c r="H821" s="280"/>
      <c r="I821" s="280"/>
    </row>
    <row r="822" hidden="1">
      <c r="G822" s="307"/>
      <c r="H822" s="280"/>
      <c r="I822" s="280"/>
    </row>
    <row r="823" hidden="1">
      <c r="G823" s="307"/>
      <c r="H823" s="280"/>
      <c r="I823" s="280"/>
    </row>
    <row r="824" hidden="1">
      <c r="G824" s="307"/>
      <c r="H824" s="280"/>
      <c r="I824" s="280"/>
    </row>
    <row r="825" hidden="1">
      <c r="G825" s="307"/>
      <c r="H825" s="280"/>
      <c r="I825" s="280"/>
    </row>
    <row r="826" hidden="1">
      <c r="G826" s="307"/>
      <c r="H826" s="280"/>
      <c r="I826" s="280"/>
    </row>
    <row r="827" hidden="1">
      <c r="G827" s="307"/>
      <c r="H827" s="280"/>
      <c r="I827" s="280"/>
    </row>
    <row r="828" hidden="1">
      <c r="G828" s="307"/>
      <c r="H828" s="280"/>
      <c r="I828" s="280"/>
    </row>
    <row r="829" hidden="1">
      <c r="G829" s="307"/>
      <c r="H829" s="280"/>
      <c r="I829" s="280"/>
    </row>
    <row r="830" hidden="1">
      <c r="G830" s="307"/>
      <c r="H830" s="280"/>
      <c r="I830" s="280"/>
    </row>
    <row r="831" hidden="1">
      <c r="G831" s="307"/>
      <c r="H831" s="280"/>
      <c r="I831" s="280"/>
    </row>
    <row r="832" hidden="1">
      <c r="G832" s="307"/>
      <c r="H832" s="280"/>
      <c r="I832" s="280"/>
    </row>
    <row r="833" hidden="1">
      <c r="G833" s="307"/>
      <c r="H833" s="280"/>
      <c r="I833" s="280"/>
    </row>
    <row r="834" hidden="1">
      <c r="G834" s="307"/>
      <c r="H834" s="280"/>
      <c r="I834" s="280"/>
    </row>
    <row r="835" hidden="1">
      <c r="G835" s="307"/>
      <c r="H835" s="280"/>
      <c r="I835" s="280"/>
    </row>
    <row r="836" hidden="1">
      <c r="G836" s="307"/>
      <c r="H836" s="280"/>
      <c r="I836" s="280"/>
    </row>
    <row r="837" hidden="1">
      <c r="G837" s="307"/>
      <c r="H837" s="280"/>
      <c r="I837" s="280"/>
    </row>
    <row r="838" hidden="1">
      <c r="G838" s="307"/>
      <c r="H838" s="280"/>
      <c r="I838" s="280"/>
    </row>
    <row r="839" hidden="1">
      <c r="G839" s="307"/>
      <c r="H839" s="280"/>
      <c r="I839" s="280"/>
    </row>
    <row r="840" hidden="1">
      <c r="G840" s="307"/>
      <c r="H840" s="280"/>
      <c r="I840" s="280"/>
    </row>
    <row r="841" hidden="1">
      <c r="G841" s="307"/>
      <c r="H841" s="280"/>
      <c r="I841" s="280"/>
    </row>
    <row r="842" hidden="1">
      <c r="G842" s="307"/>
      <c r="H842" s="280"/>
      <c r="I842" s="280"/>
    </row>
    <row r="843" hidden="1">
      <c r="G843" s="307"/>
      <c r="H843" s="280"/>
      <c r="I843" s="280"/>
    </row>
    <row r="844" hidden="1">
      <c r="G844" s="307"/>
      <c r="H844" s="280"/>
      <c r="I844" s="280"/>
    </row>
    <row r="845" hidden="1">
      <c r="G845" s="307"/>
      <c r="H845" s="280"/>
      <c r="I845" s="280"/>
    </row>
    <row r="846" hidden="1">
      <c r="G846" s="307"/>
      <c r="H846" s="280"/>
      <c r="I846" s="280"/>
    </row>
    <row r="847" hidden="1">
      <c r="G847" s="307"/>
      <c r="H847" s="280"/>
      <c r="I847" s="280"/>
    </row>
    <row r="848" hidden="1">
      <c r="G848" s="307"/>
      <c r="H848" s="280"/>
      <c r="I848" s="280"/>
    </row>
    <row r="849" hidden="1">
      <c r="G849" s="307"/>
      <c r="H849" s="280"/>
      <c r="I849" s="280"/>
    </row>
    <row r="850" hidden="1">
      <c r="G850" s="307"/>
      <c r="H850" s="280"/>
      <c r="I850" s="280"/>
    </row>
    <row r="851" hidden="1">
      <c r="G851" s="307"/>
      <c r="H851" s="280"/>
      <c r="I851" s="280"/>
    </row>
    <row r="852" hidden="1">
      <c r="G852" s="307"/>
      <c r="H852" s="280"/>
      <c r="I852" s="280"/>
    </row>
    <row r="853" hidden="1">
      <c r="G853" s="307"/>
      <c r="H853" s="280"/>
      <c r="I853" s="280"/>
    </row>
    <row r="854" hidden="1">
      <c r="G854" s="307"/>
      <c r="H854" s="280"/>
      <c r="I854" s="280"/>
    </row>
    <row r="855" hidden="1">
      <c r="G855" s="307"/>
      <c r="H855" s="280"/>
      <c r="I855" s="280"/>
    </row>
    <row r="856" hidden="1">
      <c r="G856" s="307"/>
      <c r="H856" s="280"/>
      <c r="I856" s="280"/>
    </row>
    <row r="857" hidden="1">
      <c r="G857" s="307"/>
      <c r="H857" s="280"/>
      <c r="I857" s="280"/>
    </row>
    <row r="858" hidden="1">
      <c r="G858" s="307"/>
      <c r="H858" s="280"/>
      <c r="I858" s="280"/>
    </row>
    <row r="859" hidden="1">
      <c r="G859" s="307"/>
      <c r="H859" s="280"/>
      <c r="I859" s="280"/>
    </row>
    <row r="860" hidden="1">
      <c r="G860" s="307"/>
      <c r="H860" s="280"/>
      <c r="I860" s="280"/>
    </row>
    <row r="861" hidden="1">
      <c r="G861" s="307"/>
      <c r="H861" s="280"/>
      <c r="I861" s="280"/>
    </row>
    <row r="862" hidden="1">
      <c r="G862" s="307"/>
      <c r="H862" s="280"/>
      <c r="I862" s="280"/>
    </row>
    <row r="863" hidden="1">
      <c r="G863" s="307"/>
      <c r="H863" s="280"/>
      <c r="I863" s="280"/>
    </row>
    <row r="864" hidden="1">
      <c r="G864" s="307"/>
      <c r="H864" s="280"/>
      <c r="I864" s="280"/>
    </row>
    <row r="865" hidden="1">
      <c r="G865" s="307"/>
      <c r="H865" s="280"/>
      <c r="I865" s="280"/>
    </row>
    <row r="866" hidden="1">
      <c r="G866" s="307"/>
      <c r="H866" s="280"/>
      <c r="I866" s="280"/>
    </row>
    <row r="867" hidden="1">
      <c r="G867" s="307"/>
      <c r="H867" s="280"/>
      <c r="I867" s="280"/>
    </row>
    <row r="868" hidden="1">
      <c r="G868" s="307"/>
      <c r="H868" s="280"/>
      <c r="I868" s="280"/>
    </row>
    <row r="869" hidden="1">
      <c r="G869" s="307"/>
      <c r="H869" s="280"/>
      <c r="I869" s="280"/>
    </row>
    <row r="870" hidden="1">
      <c r="G870" s="307"/>
      <c r="H870" s="280"/>
      <c r="I870" s="280"/>
    </row>
    <row r="871" hidden="1">
      <c r="G871" s="307"/>
      <c r="H871" s="280"/>
      <c r="I871" s="280"/>
    </row>
    <row r="872" hidden="1">
      <c r="G872" s="307"/>
      <c r="H872" s="280"/>
      <c r="I872" s="280"/>
    </row>
    <row r="873" hidden="1">
      <c r="G873" s="307"/>
      <c r="H873" s="280"/>
      <c r="I873" s="280"/>
    </row>
    <row r="874" hidden="1">
      <c r="G874" s="307"/>
      <c r="H874" s="280"/>
      <c r="I874" s="280"/>
    </row>
    <row r="875" hidden="1">
      <c r="G875" s="307"/>
      <c r="H875" s="280"/>
      <c r="I875" s="280"/>
    </row>
    <row r="876" hidden="1">
      <c r="G876" s="307"/>
      <c r="H876" s="280"/>
      <c r="I876" s="280"/>
    </row>
    <row r="877" hidden="1">
      <c r="G877" s="307"/>
      <c r="H877" s="280"/>
      <c r="I877" s="280"/>
    </row>
    <row r="878" hidden="1">
      <c r="G878" s="307"/>
      <c r="H878" s="280"/>
      <c r="I878" s="280"/>
    </row>
    <row r="879" hidden="1">
      <c r="G879" s="307"/>
      <c r="H879" s="280"/>
      <c r="I879" s="280"/>
    </row>
    <row r="880" hidden="1">
      <c r="G880" s="307"/>
      <c r="H880" s="280"/>
      <c r="I880" s="280"/>
    </row>
    <row r="881" hidden="1">
      <c r="G881" s="307"/>
      <c r="H881" s="280"/>
      <c r="I881" s="280"/>
    </row>
    <row r="882" hidden="1">
      <c r="G882" s="307"/>
      <c r="H882" s="280"/>
      <c r="I882" s="280"/>
    </row>
    <row r="883" hidden="1">
      <c r="G883" s="307"/>
      <c r="H883" s="280"/>
      <c r="I883" s="280"/>
    </row>
    <row r="884" hidden="1">
      <c r="G884" s="307"/>
      <c r="H884" s="280"/>
      <c r="I884" s="280"/>
    </row>
    <row r="885" hidden="1">
      <c r="G885" s="307"/>
      <c r="H885" s="280"/>
      <c r="I885" s="280"/>
    </row>
    <row r="886" hidden="1">
      <c r="G886" s="307"/>
      <c r="H886" s="280"/>
      <c r="I886" s="280"/>
    </row>
    <row r="887" hidden="1">
      <c r="G887" s="307"/>
      <c r="H887" s="280"/>
      <c r="I887" s="280"/>
    </row>
    <row r="888" hidden="1">
      <c r="G888" s="307"/>
      <c r="H888" s="280"/>
      <c r="I888" s="280"/>
    </row>
    <row r="889" hidden="1">
      <c r="G889" s="307"/>
      <c r="H889" s="280"/>
      <c r="I889" s="280"/>
    </row>
    <row r="890" hidden="1">
      <c r="G890" s="307"/>
      <c r="H890" s="280"/>
      <c r="I890" s="280"/>
    </row>
    <row r="891" hidden="1">
      <c r="G891" s="307"/>
      <c r="H891" s="280"/>
      <c r="I891" s="280"/>
    </row>
    <row r="892" hidden="1">
      <c r="G892" s="307"/>
      <c r="H892" s="280"/>
      <c r="I892" s="280"/>
    </row>
    <row r="893" hidden="1">
      <c r="G893" s="307"/>
      <c r="H893" s="280"/>
      <c r="I893" s="280"/>
    </row>
    <row r="894" hidden="1">
      <c r="G894" s="307"/>
      <c r="H894" s="280"/>
      <c r="I894" s="280"/>
    </row>
    <row r="895" hidden="1">
      <c r="G895" s="307"/>
      <c r="H895" s="280"/>
      <c r="I895" s="280"/>
    </row>
    <row r="896" hidden="1">
      <c r="G896" s="307"/>
      <c r="H896" s="280"/>
      <c r="I896" s="280"/>
    </row>
    <row r="897" hidden="1">
      <c r="G897" s="307"/>
      <c r="H897" s="280"/>
      <c r="I897" s="280"/>
    </row>
    <row r="898" hidden="1">
      <c r="G898" s="307"/>
      <c r="H898" s="280"/>
      <c r="I898" s="280"/>
    </row>
    <row r="899" hidden="1">
      <c r="G899" s="307"/>
      <c r="H899" s="280"/>
      <c r="I899" s="280"/>
    </row>
    <row r="900" hidden="1">
      <c r="G900" s="307"/>
      <c r="H900" s="280"/>
      <c r="I900" s="280"/>
    </row>
    <row r="901" hidden="1">
      <c r="G901" s="307"/>
      <c r="H901" s="280"/>
      <c r="I901" s="280"/>
    </row>
    <row r="902" hidden="1">
      <c r="G902" s="307"/>
      <c r="H902" s="280"/>
      <c r="I902" s="280"/>
    </row>
    <row r="903" hidden="1">
      <c r="G903" s="307"/>
      <c r="H903" s="280"/>
      <c r="I903" s="280"/>
    </row>
    <row r="904" hidden="1">
      <c r="G904" s="307"/>
      <c r="H904" s="280"/>
      <c r="I904" s="280"/>
    </row>
    <row r="905" hidden="1">
      <c r="G905" s="307"/>
      <c r="H905" s="280"/>
      <c r="I905" s="280"/>
    </row>
    <row r="906" hidden="1">
      <c r="G906" s="307"/>
      <c r="H906" s="280"/>
      <c r="I906" s="280"/>
    </row>
    <row r="907" hidden="1">
      <c r="G907" s="307"/>
      <c r="H907" s="280"/>
      <c r="I907" s="280"/>
    </row>
    <row r="908" hidden="1">
      <c r="G908" s="307"/>
      <c r="H908" s="280"/>
      <c r="I908" s="280"/>
    </row>
    <row r="909" hidden="1">
      <c r="G909" s="307"/>
      <c r="H909" s="280"/>
      <c r="I909" s="280"/>
    </row>
    <row r="910" hidden="1">
      <c r="G910" s="307"/>
      <c r="H910" s="280"/>
      <c r="I910" s="280"/>
    </row>
    <row r="911" hidden="1">
      <c r="G911" s="307"/>
      <c r="H911" s="280"/>
      <c r="I911" s="280"/>
    </row>
    <row r="912" hidden="1">
      <c r="G912" s="307"/>
      <c r="H912" s="280"/>
      <c r="I912" s="280"/>
    </row>
    <row r="913" hidden="1">
      <c r="G913" s="307"/>
      <c r="H913" s="280"/>
      <c r="I913" s="280"/>
    </row>
    <row r="914" hidden="1">
      <c r="G914" s="307"/>
      <c r="H914" s="280"/>
      <c r="I914" s="280"/>
    </row>
    <row r="915" hidden="1">
      <c r="G915" s="307"/>
      <c r="H915" s="280"/>
      <c r="I915" s="280"/>
    </row>
    <row r="916" hidden="1">
      <c r="G916" s="307"/>
      <c r="H916" s="280"/>
      <c r="I916" s="280"/>
    </row>
    <row r="917" hidden="1">
      <c r="G917" s="307"/>
      <c r="H917" s="280"/>
      <c r="I917" s="280"/>
    </row>
    <row r="918" hidden="1">
      <c r="G918" s="307"/>
      <c r="H918" s="280"/>
      <c r="I918" s="280"/>
    </row>
    <row r="919" hidden="1">
      <c r="G919" s="307"/>
      <c r="H919" s="280"/>
      <c r="I919" s="280"/>
    </row>
    <row r="920" hidden="1">
      <c r="G920" s="307"/>
      <c r="H920" s="280"/>
      <c r="I920" s="280"/>
    </row>
    <row r="921" hidden="1">
      <c r="G921" s="307"/>
      <c r="H921" s="280"/>
      <c r="I921" s="280"/>
    </row>
    <row r="922" hidden="1">
      <c r="G922" s="307"/>
      <c r="H922" s="280"/>
      <c r="I922" s="280"/>
    </row>
    <row r="923" hidden="1">
      <c r="G923" s="307"/>
      <c r="H923" s="280"/>
      <c r="I923" s="280"/>
    </row>
    <row r="924" hidden="1">
      <c r="G924" s="307"/>
      <c r="H924" s="280"/>
      <c r="I924" s="280"/>
    </row>
    <row r="925" hidden="1">
      <c r="G925" s="307"/>
      <c r="H925" s="280"/>
      <c r="I925" s="280"/>
    </row>
    <row r="926" hidden="1">
      <c r="G926" s="307"/>
      <c r="H926" s="280"/>
      <c r="I926" s="280"/>
    </row>
    <row r="927" hidden="1">
      <c r="G927" s="307"/>
      <c r="H927" s="280"/>
      <c r="I927" s="280"/>
    </row>
    <row r="928" hidden="1">
      <c r="G928" s="307"/>
      <c r="H928" s="280"/>
      <c r="I928" s="280"/>
    </row>
    <row r="929" hidden="1">
      <c r="G929" s="307"/>
      <c r="H929" s="280"/>
      <c r="I929" s="280"/>
    </row>
    <row r="930" hidden="1">
      <c r="G930" s="307"/>
      <c r="H930" s="280"/>
      <c r="I930" s="280"/>
    </row>
    <row r="931" hidden="1">
      <c r="G931" s="307"/>
      <c r="H931" s="280"/>
      <c r="I931" s="280"/>
    </row>
    <row r="932" hidden="1">
      <c r="G932" s="307"/>
      <c r="H932" s="280"/>
      <c r="I932" s="280"/>
    </row>
    <row r="933" hidden="1">
      <c r="G933" s="307"/>
      <c r="H933" s="280"/>
      <c r="I933" s="280"/>
    </row>
    <row r="934" hidden="1">
      <c r="G934" s="307"/>
      <c r="H934" s="280"/>
      <c r="I934" s="280"/>
    </row>
    <row r="935" hidden="1">
      <c r="G935" s="307"/>
      <c r="H935" s="280"/>
      <c r="I935" s="280"/>
    </row>
    <row r="936" hidden="1">
      <c r="G936" s="307"/>
      <c r="H936" s="280"/>
      <c r="I936" s="280"/>
    </row>
    <row r="937" hidden="1">
      <c r="G937" s="307"/>
      <c r="H937" s="280"/>
      <c r="I937" s="280"/>
    </row>
    <row r="938" hidden="1">
      <c r="G938" s="307"/>
      <c r="H938" s="280"/>
      <c r="I938" s="280"/>
    </row>
    <row r="939" hidden="1">
      <c r="G939" s="307"/>
      <c r="H939" s="280"/>
      <c r="I939" s="280"/>
    </row>
    <row r="940" hidden="1">
      <c r="G940" s="307"/>
      <c r="H940" s="280"/>
      <c r="I940" s="280"/>
    </row>
    <row r="941" hidden="1">
      <c r="G941" s="307"/>
      <c r="H941" s="280"/>
      <c r="I941" s="280"/>
    </row>
    <row r="942" hidden="1">
      <c r="G942" s="307"/>
      <c r="H942" s="280"/>
      <c r="I942" s="280"/>
    </row>
    <row r="943" hidden="1">
      <c r="G943" s="307"/>
      <c r="H943" s="280"/>
      <c r="I943" s="280"/>
    </row>
    <row r="944" hidden="1">
      <c r="G944" s="307"/>
      <c r="H944" s="280"/>
      <c r="I944" s="280"/>
    </row>
    <row r="945" hidden="1">
      <c r="G945" s="307"/>
      <c r="H945" s="280"/>
      <c r="I945" s="280"/>
    </row>
    <row r="946" hidden="1">
      <c r="G946" s="307"/>
      <c r="H946" s="280"/>
      <c r="I946" s="280"/>
    </row>
    <row r="947" hidden="1">
      <c r="G947" s="307"/>
      <c r="H947" s="280"/>
      <c r="I947" s="280"/>
    </row>
    <row r="948" hidden="1">
      <c r="G948" s="307"/>
      <c r="H948" s="280"/>
      <c r="I948" s="280"/>
    </row>
    <row r="949" hidden="1">
      <c r="G949" s="307"/>
      <c r="H949" s="280"/>
      <c r="I949" s="280"/>
    </row>
    <row r="950" hidden="1">
      <c r="G950" s="307"/>
      <c r="H950" s="280"/>
      <c r="I950" s="280"/>
    </row>
    <row r="951" hidden="1">
      <c r="G951" s="307"/>
      <c r="H951" s="280"/>
      <c r="I951" s="280"/>
    </row>
    <row r="952" hidden="1">
      <c r="G952" s="307"/>
      <c r="H952" s="280"/>
      <c r="I952" s="280"/>
    </row>
    <row r="953" hidden="1">
      <c r="G953" s="307"/>
      <c r="H953" s="280"/>
      <c r="I953" s="280"/>
    </row>
    <row r="954" hidden="1">
      <c r="G954" s="307"/>
      <c r="H954" s="280"/>
      <c r="I954" s="280"/>
    </row>
    <row r="955" hidden="1">
      <c r="G955" s="307"/>
      <c r="H955" s="280"/>
      <c r="I955" s="280"/>
    </row>
    <row r="956" hidden="1">
      <c r="G956" s="307"/>
      <c r="H956" s="280"/>
      <c r="I956" s="280"/>
    </row>
    <row r="957" hidden="1">
      <c r="G957" s="307"/>
      <c r="H957" s="280"/>
      <c r="I957" s="280"/>
    </row>
    <row r="958" hidden="1">
      <c r="G958" s="307"/>
      <c r="H958" s="280"/>
      <c r="I958" s="280"/>
    </row>
    <row r="959" hidden="1">
      <c r="G959" s="307"/>
      <c r="H959" s="280"/>
      <c r="I959" s="280"/>
    </row>
    <row r="960" hidden="1">
      <c r="G960" s="307"/>
      <c r="H960" s="280"/>
      <c r="I960" s="280"/>
    </row>
    <row r="961" hidden="1">
      <c r="G961" s="307"/>
      <c r="H961" s="280"/>
      <c r="I961" s="280"/>
    </row>
    <row r="962" hidden="1">
      <c r="G962" s="307"/>
      <c r="H962" s="280"/>
      <c r="I962" s="280"/>
    </row>
    <row r="963" hidden="1">
      <c r="G963" s="307"/>
      <c r="H963" s="280"/>
      <c r="I963" s="280"/>
    </row>
    <row r="964" hidden="1">
      <c r="G964" s="307"/>
      <c r="H964" s="280"/>
      <c r="I964" s="280"/>
    </row>
    <row r="965" hidden="1">
      <c r="G965" s="307"/>
      <c r="H965" s="280"/>
      <c r="I965" s="280"/>
    </row>
    <row r="966" hidden="1">
      <c r="G966" s="307"/>
      <c r="H966" s="280"/>
      <c r="I966" s="280"/>
    </row>
    <row r="967" hidden="1">
      <c r="G967" s="307"/>
      <c r="H967" s="280"/>
      <c r="I967" s="280"/>
    </row>
    <row r="968" hidden="1">
      <c r="G968" s="307"/>
      <c r="H968" s="280"/>
      <c r="I968" s="280"/>
    </row>
    <row r="969" hidden="1">
      <c r="G969" s="307"/>
      <c r="H969" s="280"/>
      <c r="I969" s="280"/>
    </row>
    <row r="970" hidden="1">
      <c r="G970" s="307"/>
      <c r="H970" s="280"/>
      <c r="I970" s="280"/>
    </row>
    <row r="971" hidden="1">
      <c r="G971" s="307"/>
      <c r="H971" s="280"/>
      <c r="I971" s="280"/>
    </row>
    <row r="972" hidden="1">
      <c r="G972" s="307"/>
      <c r="H972" s="280"/>
      <c r="I972" s="280"/>
    </row>
    <row r="973" hidden="1">
      <c r="G973" s="307"/>
      <c r="H973" s="280"/>
      <c r="I973" s="280"/>
    </row>
    <row r="974" hidden="1">
      <c r="G974" s="307"/>
      <c r="H974" s="280"/>
      <c r="I974" s="280"/>
    </row>
    <row r="975" hidden="1">
      <c r="G975" s="307"/>
      <c r="H975" s="280"/>
      <c r="I975" s="280"/>
    </row>
    <row r="976" hidden="1">
      <c r="G976" s="307"/>
      <c r="H976" s="280"/>
      <c r="I976" s="280"/>
    </row>
    <row r="977" hidden="1">
      <c r="G977" s="307"/>
      <c r="H977" s="280"/>
      <c r="I977" s="280"/>
    </row>
    <row r="978" hidden="1">
      <c r="G978" s="307"/>
      <c r="H978" s="280"/>
      <c r="I978" s="280"/>
    </row>
    <row r="979" hidden="1">
      <c r="G979" s="307"/>
      <c r="H979" s="280"/>
      <c r="I979" s="280"/>
    </row>
    <row r="980" hidden="1">
      <c r="G980" s="307"/>
      <c r="H980" s="280"/>
      <c r="I980" s="280"/>
    </row>
    <row r="981" hidden="1">
      <c r="G981" s="307"/>
      <c r="H981" s="280"/>
      <c r="I981" s="280"/>
    </row>
    <row r="982" hidden="1">
      <c r="G982" s="307"/>
      <c r="H982" s="280"/>
      <c r="I982" s="280"/>
    </row>
    <row r="983" hidden="1">
      <c r="G983" s="307"/>
      <c r="H983" s="280"/>
      <c r="I983" s="280"/>
    </row>
    <row r="984" hidden="1">
      <c r="G984" s="307"/>
      <c r="H984" s="280"/>
      <c r="I984" s="280"/>
    </row>
    <row r="985" hidden="1">
      <c r="G985" s="307"/>
      <c r="H985" s="280"/>
      <c r="I985" s="280"/>
    </row>
    <row r="986" hidden="1">
      <c r="G986" s="307"/>
      <c r="H986" s="280"/>
      <c r="I986" s="280"/>
    </row>
    <row r="987" hidden="1">
      <c r="G987" s="307"/>
      <c r="H987" s="280"/>
      <c r="I987" s="280"/>
    </row>
    <row r="988" hidden="1">
      <c r="G988" s="307"/>
      <c r="H988" s="280"/>
      <c r="I988" s="280"/>
    </row>
    <row r="989" hidden="1">
      <c r="G989" s="307"/>
      <c r="H989" s="280"/>
      <c r="I989" s="280"/>
    </row>
    <row r="990" hidden="1">
      <c r="G990" s="307"/>
      <c r="H990" s="280"/>
      <c r="I990" s="280"/>
    </row>
    <row r="991" hidden="1">
      <c r="G991" s="307"/>
      <c r="H991" s="280"/>
      <c r="I991" s="280"/>
    </row>
    <row r="992" hidden="1">
      <c r="G992" s="307"/>
      <c r="H992" s="280"/>
      <c r="I992" s="280"/>
    </row>
    <row r="993" hidden="1">
      <c r="G993" s="307"/>
      <c r="H993" s="280"/>
      <c r="I993" s="280"/>
    </row>
    <row r="994" hidden="1">
      <c r="G994" s="307"/>
      <c r="H994" s="280"/>
      <c r="I994" s="280"/>
    </row>
    <row r="995" hidden="1">
      <c r="G995" s="307"/>
      <c r="H995" s="280"/>
      <c r="I995" s="280"/>
    </row>
    <row r="996" hidden="1">
      <c r="G996" s="307"/>
      <c r="H996" s="280"/>
      <c r="I996" s="280"/>
    </row>
    <row r="997" hidden="1">
      <c r="G997" s="307"/>
      <c r="H997" s="280"/>
      <c r="I997" s="280"/>
    </row>
    <row r="998" hidden="1">
      <c r="G998" s="307"/>
      <c r="H998" s="280"/>
      <c r="I998" s="280"/>
    </row>
  </sheetData>
  <autoFilter ref="$A$1:$U$998">
    <filterColumn colId="6">
      <filters>
        <filter val="1"/>
        <filter val="2"/>
        <filter val="5"/>
        <filter val="6"/>
        <filter val="7"/>
        <filter val="8"/>
        <filter val="10"/>
      </filters>
    </filterColumn>
  </autoFil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2.75"/>
  <cols>
    <col customWidth="1" min="1" max="2" width="5.5"/>
    <col customWidth="1" min="3" max="3" width="5.88"/>
    <col customWidth="1" min="4" max="5" width="6.38"/>
    <col customWidth="1" min="6" max="6" width="7.38"/>
    <col customWidth="1" min="7" max="7" width="28.88"/>
    <col customWidth="1" min="8" max="8" width="5.25"/>
    <col customWidth="1" min="9" max="9" width="7.88"/>
    <col customWidth="1" min="10" max="10" width="5.5"/>
    <col customWidth="1" min="11" max="12" width="9.5"/>
    <col customWidth="1" min="13" max="13" width="9.25"/>
    <col customWidth="1" min="14" max="15" width="7.0"/>
    <col customWidth="1" min="16" max="16" width="7.63"/>
    <col customWidth="1" min="17" max="17" width="7.25"/>
    <col customWidth="1" min="18" max="18" width="7.0"/>
    <col customWidth="1" min="19" max="19" width="7.63"/>
    <col customWidth="1" min="20" max="20" width="6.5"/>
    <col customWidth="1" min="21" max="21" width="8.75"/>
    <col customWidth="1" min="22" max="22" width="11.13"/>
    <col customWidth="1" min="23" max="23" width="7.88"/>
    <col customWidth="1" min="24" max="25" width="5.25"/>
  </cols>
  <sheetData>
    <row r="1">
      <c r="A1" s="313" t="s">
        <v>2902</v>
      </c>
      <c r="B1" s="314" t="s">
        <v>2903</v>
      </c>
      <c r="C1" s="315" t="s">
        <v>2904</v>
      </c>
      <c r="D1" s="315" t="s">
        <v>2905</v>
      </c>
      <c r="E1" s="552" t="s">
        <v>2</v>
      </c>
      <c r="F1" s="316" t="s">
        <v>2906</v>
      </c>
      <c r="G1" s="317"/>
      <c r="H1" s="553" t="s">
        <v>3422</v>
      </c>
      <c r="I1" s="318"/>
      <c r="J1" s="554" t="s">
        <v>3423</v>
      </c>
      <c r="K1" s="555" t="s">
        <v>3424</v>
      </c>
      <c r="L1" s="556" t="s">
        <v>3425</v>
      </c>
      <c r="M1" s="319" t="s">
        <v>2907</v>
      </c>
      <c r="N1" s="319" t="s">
        <v>2908</v>
      </c>
      <c r="O1" s="320" t="s">
        <v>2909</v>
      </c>
      <c r="P1" s="319" t="s">
        <v>2910</v>
      </c>
      <c r="Q1" s="321" t="s">
        <v>2911</v>
      </c>
      <c r="R1" s="320"/>
      <c r="S1" s="320" t="s">
        <v>2912</v>
      </c>
      <c r="T1" s="322" t="s">
        <v>2913</v>
      </c>
      <c r="U1" s="322" t="s">
        <v>2914</v>
      </c>
      <c r="V1" s="323" t="s">
        <v>2915</v>
      </c>
      <c r="W1" s="320" t="s">
        <v>2916</v>
      </c>
      <c r="X1" s="324" t="s">
        <v>11</v>
      </c>
      <c r="Y1" s="325"/>
    </row>
    <row r="2" hidden="1">
      <c r="A2" s="126"/>
      <c r="B2" s="126"/>
      <c r="C2" s="287"/>
      <c r="D2" s="326"/>
      <c r="E2" s="326">
        <v>0.0</v>
      </c>
      <c r="F2" s="327">
        <v>0.0</v>
      </c>
      <c r="G2" s="328" t="s">
        <v>2917</v>
      </c>
      <c r="H2" s="364">
        <v>1.0</v>
      </c>
      <c r="I2" s="329"/>
      <c r="J2" s="557"/>
      <c r="K2" s="558">
        <v>0.0</v>
      </c>
      <c r="L2" s="559">
        <v>0.0</v>
      </c>
      <c r="M2" s="330">
        <f t="shared" ref="M2:M3" si="1">24000*0.88*1.19</f>
        <v>25132.8</v>
      </c>
      <c r="N2" s="331"/>
      <c r="O2" s="332"/>
      <c r="P2" s="319"/>
      <c r="Q2" s="333" t="s">
        <v>2918</v>
      </c>
      <c r="R2" s="330">
        <f t="shared" ref="R2:R3" si="2">24000*0.88*1.19</f>
        <v>25132.8</v>
      </c>
      <c r="S2" s="332">
        <f t="shared" ref="S2:S3" si="3">F2*O2</f>
        <v>0</v>
      </c>
      <c r="T2" s="334"/>
      <c r="U2" s="335">
        <f t="shared" ref="U2:U3" si="4">M2*T2</f>
        <v>0</v>
      </c>
      <c r="V2" s="336">
        <f t="shared" ref="V2:V6" si="5">W2*T2</f>
        <v>0</v>
      </c>
      <c r="W2" s="332">
        <v>45000.0</v>
      </c>
      <c r="X2" s="337">
        <f t="shared" ref="X2:X12" si="6">(W2/M2)-1</f>
        <v>0.7904889228</v>
      </c>
      <c r="Y2" s="338"/>
    </row>
    <row r="3" hidden="1">
      <c r="A3" s="126"/>
      <c r="B3" s="126"/>
      <c r="C3" s="287"/>
      <c r="D3" s="326"/>
      <c r="E3" s="326">
        <v>0.0</v>
      </c>
      <c r="F3" s="327">
        <v>0.0</v>
      </c>
      <c r="G3" s="328" t="s">
        <v>2919</v>
      </c>
      <c r="H3" s="364">
        <v>1.0</v>
      </c>
      <c r="I3" s="329"/>
      <c r="J3" s="557"/>
      <c r="K3" s="558">
        <v>0.0</v>
      </c>
      <c r="L3" s="559">
        <v>0.0</v>
      </c>
      <c r="M3" s="330">
        <f t="shared" si="1"/>
        <v>25132.8</v>
      </c>
      <c r="N3" s="331"/>
      <c r="O3" s="332"/>
      <c r="P3" s="319"/>
      <c r="Q3" s="333" t="s">
        <v>2918</v>
      </c>
      <c r="R3" s="330">
        <f t="shared" si="2"/>
        <v>25132.8</v>
      </c>
      <c r="S3" s="332">
        <f t="shared" si="3"/>
        <v>0</v>
      </c>
      <c r="T3" s="334"/>
      <c r="U3" s="335">
        <f t="shared" si="4"/>
        <v>0</v>
      </c>
      <c r="V3" s="336">
        <f t="shared" si="5"/>
        <v>0</v>
      </c>
      <c r="W3" s="332">
        <v>45000.0</v>
      </c>
      <c r="X3" s="337">
        <f t="shared" si="6"/>
        <v>0.7904889228</v>
      </c>
      <c r="Y3" s="338"/>
    </row>
    <row r="4" hidden="1">
      <c r="A4" s="126"/>
      <c r="B4" s="126"/>
      <c r="C4" s="288"/>
      <c r="D4" s="326"/>
      <c r="E4" s="326">
        <v>6.0</v>
      </c>
      <c r="F4" s="327">
        <v>0.0</v>
      </c>
      <c r="G4" s="339" t="s">
        <v>2920</v>
      </c>
      <c r="H4" s="364">
        <v>33.0</v>
      </c>
      <c r="I4" s="340"/>
      <c r="J4" s="557"/>
      <c r="K4" s="558">
        <v>8.0</v>
      </c>
      <c r="L4" s="559">
        <v>35.0</v>
      </c>
      <c r="M4" s="341">
        <f t="shared" ref="M4:M5" si="7">18700*0.88*1.19</f>
        <v>19582.64</v>
      </c>
      <c r="N4" s="342">
        <f t="shared" ref="N4:N5" si="8">+25227*0.85*1.19</f>
        <v>25517.1105</v>
      </c>
      <c r="O4" s="343"/>
      <c r="P4" s="344">
        <f t="shared" ref="P4:P5" si="9">18000*0.85*1.19</f>
        <v>18207</v>
      </c>
      <c r="Q4" s="333" t="s">
        <v>1630</v>
      </c>
      <c r="R4" s="344">
        <f t="shared" ref="R4:R5" si="10">18000*0.85*1.19</f>
        <v>18207</v>
      </c>
      <c r="S4" s="332">
        <f t="shared" ref="S4:S5" si="11">P4*F4</f>
        <v>0</v>
      </c>
      <c r="T4" s="334">
        <v>30000.0</v>
      </c>
      <c r="U4" s="335">
        <f t="shared" ref="U4:U5" si="12">C4*P4</f>
        <v>0</v>
      </c>
      <c r="V4" s="336">
        <f t="shared" si="5"/>
        <v>1020000000</v>
      </c>
      <c r="W4" s="332">
        <v>34000.0</v>
      </c>
      <c r="X4" s="337">
        <f t="shared" si="6"/>
        <v>0.7362316828</v>
      </c>
      <c r="Y4" s="338"/>
    </row>
    <row r="5" hidden="1">
      <c r="A5" s="126"/>
      <c r="B5" s="126"/>
      <c r="C5" s="288"/>
      <c r="D5" s="326"/>
      <c r="E5" s="326">
        <v>0.0</v>
      </c>
      <c r="F5" s="327">
        <v>0.0</v>
      </c>
      <c r="G5" s="339" t="s">
        <v>2921</v>
      </c>
      <c r="H5" s="364">
        <v>33.0</v>
      </c>
      <c r="I5" s="340"/>
      <c r="J5" s="557"/>
      <c r="K5" s="558">
        <v>11.0</v>
      </c>
      <c r="L5" s="559">
        <v>19.0</v>
      </c>
      <c r="M5" s="341">
        <f t="shared" si="7"/>
        <v>19582.64</v>
      </c>
      <c r="N5" s="342">
        <f t="shared" si="8"/>
        <v>25517.1105</v>
      </c>
      <c r="O5" s="343"/>
      <c r="P5" s="344">
        <f t="shared" si="9"/>
        <v>18207</v>
      </c>
      <c r="Q5" s="333" t="s">
        <v>1630</v>
      </c>
      <c r="R5" s="344">
        <f t="shared" si="10"/>
        <v>18207</v>
      </c>
      <c r="S5" s="332">
        <f t="shared" si="11"/>
        <v>0</v>
      </c>
      <c r="T5" s="334"/>
      <c r="U5" s="335">
        <f t="shared" si="12"/>
        <v>0</v>
      </c>
      <c r="V5" s="336">
        <f t="shared" si="5"/>
        <v>0</v>
      </c>
      <c r="W5" s="332">
        <v>34000.0</v>
      </c>
      <c r="X5" s="337">
        <f t="shared" si="6"/>
        <v>0.7362316828</v>
      </c>
      <c r="Y5" s="338"/>
    </row>
    <row r="6" hidden="1">
      <c r="A6" s="126"/>
      <c r="B6" s="167"/>
      <c r="C6" s="287"/>
      <c r="D6" s="326"/>
      <c r="E6" s="326">
        <v>6.0</v>
      </c>
      <c r="F6" s="327">
        <v>10.0</v>
      </c>
      <c r="G6" s="317" t="s">
        <v>2922</v>
      </c>
      <c r="H6" s="560">
        <v>32.0</v>
      </c>
      <c r="I6" s="345" t="s">
        <v>2923</v>
      </c>
      <c r="J6" s="557"/>
      <c r="K6" s="558">
        <v>9.0</v>
      </c>
      <c r="L6" s="559">
        <v>16.0</v>
      </c>
      <c r="M6" s="341">
        <f>19000*0.88*1.19</f>
        <v>19896.8</v>
      </c>
      <c r="N6" s="344">
        <f>25227*0.85*1.19</f>
        <v>25517.1105</v>
      </c>
      <c r="O6" s="343"/>
      <c r="P6" s="319"/>
      <c r="Q6" s="333" t="s">
        <v>2918</v>
      </c>
      <c r="R6" s="341">
        <f>19000*0.88*1.19</f>
        <v>19896.8</v>
      </c>
      <c r="S6" s="332">
        <f>F6*M6</f>
        <v>198968</v>
      </c>
      <c r="T6" s="334"/>
      <c r="U6" s="335">
        <f>M6*T6</f>
        <v>0</v>
      </c>
      <c r="V6" s="336">
        <f t="shared" si="5"/>
        <v>0</v>
      </c>
      <c r="W6" s="332">
        <v>34000.0</v>
      </c>
      <c r="X6" s="337">
        <f t="shared" si="6"/>
        <v>0.7088174983</v>
      </c>
      <c r="Y6" s="338"/>
    </row>
    <row r="7" ht="36.0" hidden="1" customHeight="1">
      <c r="A7" s="126"/>
      <c r="B7" s="126"/>
      <c r="C7" s="287"/>
      <c r="D7" s="326"/>
      <c r="E7" s="326">
        <v>0.0</v>
      </c>
      <c r="F7" s="327">
        <v>0.0</v>
      </c>
      <c r="G7" s="346" t="s">
        <v>2924</v>
      </c>
      <c r="H7" s="561">
        <v>49.0</v>
      </c>
      <c r="I7" s="331"/>
      <c r="J7" s="557"/>
      <c r="K7" s="558">
        <v>0.0</v>
      </c>
      <c r="L7" s="559">
        <v>4.0</v>
      </c>
      <c r="M7" s="344"/>
      <c r="N7" s="342"/>
      <c r="O7" s="347"/>
      <c r="P7" s="344"/>
      <c r="Q7" s="333"/>
      <c r="R7" s="344"/>
      <c r="S7" s="332"/>
      <c r="T7" s="334"/>
      <c r="U7" s="335"/>
      <c r="V7" s="336"/>
      <c r="W7" s="332">
        <v>28000.0</v>
      </c>
      <c r="X7" s="337" t="str">
        <f t="shared" si="6"/>
        <v>#DIV/0!</v>
      </c>
      <c r="Y7" s="338"/>
    </row>
    <row r="8" hidden="1">
      <c r="A8" s="126"/>
      <c r="B8" s="126"/>
      <c r="C8" s="288"/>
      <c r="D8" s="326"/>
      <c r="E8" s="326">
        <v>10.0</v>
      </c>
      <c r="F8" s="327">
        <v>5.0</v>
      </c>
      <c r="G8" s="328" t="s">
        <v>2925</v>
      </c>
      <c r="H8" s="364">
        <v>1.0</v>
      </c>
      <c r="I8" s="329"/>
      <c r="J8" s="557"/>
      <c r="K8" s="558">
        <v>3.0</v>
      </c>
      <c r="L8" s="559">
        <v>4.0</v>
      </c>
      <c r="M8" s="341">
        <f>3700*0.88*1.19</f>
        <v>3874.64</v>
      </c>
      <c r="N8" s="344">
        <f>3507*0.85*1.19</f>
        <v>3547.3305</v>
      </c>
      <c r="O8" s="332"/>
      <c r="P8" s="344">
        <f>3800*0.85*1.19</f>
        <v>3843.7</v>
      </c>
      <c r="Q8" s="333" t="s">
        <v>1630</v>
      </c>
      <c r="R8" s="344">
        <f>3800*0.85*1.19</f>
        <v>3843.7</v>
      </c>
      <c r="S8" s="332">
        <f t="shared" ref="S8:S10" si="13">P8*F8</f>
        <v>19218.5</v>
      </c>
      <c r="T8" s="334"/>
      <c r="U8" s="335">
        <f t="shared" ref="U8:U10" si="14">C8*P8</f>
        <v>0</v>
      </c>
      <c r="V8" s="336">
        <f t="shared" ref="V8:V12" si="15">W8*T8</f>
        <v>0</v>
      </c>
      <c r="W8" s="332">
        <v>7000.0</v>
      </c>
      <c r="X8" s="337">
        <f t="shared" si="6"/>
        <v>0.8066194537</v>
      </c>
      <c r="Y8" s="338"/>
    </row>
    <row r="9" hidden="1">
      <c r="A9" s="126"/>
      <c r="B9" s="126"/>
      <c r="C9" s="288"/>
      <c r="D9" s="326"/>
      <c r="E9" s="326">
        <v>0.0</v>
      </c>
      <c r="F9" s="327">
        <v>0.0</v>
      </c>
      <c r="G9" s="346" t="s">
        <v>2926</v>
      </c>
      <c r="H9" s="561">
        <v>2.0</v>
      </c>
      <c r="I9" s="329"/>
      <c r="J9" s="557"/>
      <c r="K9" s="558">
        <v>17.0</v>
      </c>
      <c r="L9" s="559">
        <v>32.0</v>
      </c>
      <c r="M9" s="344">
        <f t="shared" ref="M9:M10" si="16">7400*0.88*1.19</f>
        <v>7749.28</v>
      </c>
      <c r="N9" s="348" t="s">
        <v>2927</v>
      </c>
      <c r="O9" s="332"/>
      <c r="P9" s="344">
        <f t="shared" ref="P9:P10" si="17">5000*0.85*1.19</f>
        <v>5057.5</v>
      </c>
      <c r="Q9" s="333" t="s">
        <v>1630</v>
      </c>
      <c r="R9" s="344">
        <f t="shared" ref="R9:R10" si="18">5000*0.85*1.19</f>
        <v>5057.5</v>
      </c>
      <c r="S9" s="332">
        <f t="shared" si="13"/>
        <v>0</v>
      </c>
      <c r="T9" s="334"/>
      <c r="U9" s="335">
        <f t="shared" si="14"/>
        <v>0</v>
      </c>
      <c r="V9" s="336">
        <f t="shared" si="15"/>
        <v>0</v>
      </c>
      <c r="W9" s="332">
        <v>14000.0</v>
      </c>
      <c r="X9" s="337">
        <f t="shared" si="6"/>
        <v>0.8066194537</v>
      </c>
      <c r="Y9" s="338"/>
    </row>
    <row r="10" hidden="1">
      <c r="A10" s="126"/>
      <c r="B10" s="167"/>
      <c r="C10" s="288"/>
      <c r="D10" s="326"/>
      <c r="E10" s="326">
        <v>0.0</v>
      </c>
      <c r="F10" s="327">
        <v>0.0</v>
      </c>
      <c r="G10" s="346" t="s">
        <v>2928</v>
      </c>
      <c r="H10" s="561">
        <v>2.0</v>
      </c>
      <c r="I10" s="340"/>
      <c r="J10" s="557"/>
      <c r="K10" s="558">
        <v>16.0</v>
      </c>
      <c r="L10" s="559">
        <v>17.0</v>
      </c>
      <c r="M10" s="344">
        <f t="shared" si="16"/>
        <v>7749.28</v>
      </c>
      <c r="N10" s="348" t="s">
        <v>2927</v>
      </c>
      <c r="O10" s="349"/>
      <c r="P10" s="344">
        <f t="shared" si="17"/>
        <v>5057.5</v>
      </c>
      <c r="Q10" s="333" t="s">
        <v>1630</v>
      </c>
      <c r="R10" s="344">
        <f t="shared" si="18"/>
        <v>5057.5</v>
      </c>
      <c r="S10" s="332">
        <f t="shared" si="13"/>
        <v>0</v>
      </c>
      <c r="T10" s="334"/>
      <c r="U10" s="335">
        <f t="shared" si="14"/>
        <v>0</v>
      </c>
      <c r="V10" s="336">
        <f t="shared" si="15"/>
        <v>0</v>
      </c>
      <c r="W10" s="332">
        <v>14000.0</v>
      </c>
      <c r="X10" s="337">
        <f t="shared" si="6"/>
        <v>0.8066194537</v>
      </c>
      <c r="Y10" s="338"/>
    </row>
    <row r="11" hidden="1">
      <c r="A11" s="126"/>
      <c r="B11" s="126"/>
      <c r="C11" s="288"/>
      <c r="D11" s="326"/>
      <c r="E11" s="326">
        <v>0.0</v>
      </c>
      <c r="F11" s="327">
        <v>0.0</v>
      </c>
      <c r="G11" s="346" t="s">
        <v>2929</v>
      </c>
      <c r="H11" s="561">
        <v>3.0</v>
      </c>
      <c r="I11" s="197"/>
      <c r="J11" s="557"/>
      <c r="K11" s="558">
        <v>31.0</v>
      </c>
      <c r="L11" s="559">
        <v>36.0</v>
      </c>
      <c r="M11" s="350">
        <f>9000*0.88*1.19</f>
        <v>9424.8</v>
      </c>
      <c r="N11" s="319">
        <f>13740*0.85*1.19</f>
        <v>13898.01</v>
      </c>
      <c r="O11" s="351">
        <v>5000.0</v>
      </c>
      <c r="P11" s="319"/>
      <c r="Q11" s="333" t="s">
        <v>2909</v>
      </c>
      <c r="R11" s="351">
        <v>5000.0</v>
      </c>
      <c r="S11" s="332">
        <f>F11*M11</f>
        <v>0</v>
      </c>
      <c r="T11" s="334"/>
      <c r="U11" s="335">
        <f>T11*M11</f>
        <v>0</v>
      </c>
      <c r="V11" s="336">
        <f t="shared" si="15"/>
        <v>0</v>
      </c>
      <c r="W11" s="332">
        <v>30000.0</v>
      </c>
      <c r="X11" s="337">
        <f t="shared" si="6"/>
        <v>2.183091418</v>
      </c>
      <c r="Y11" s="338"/>
    </row>
    <row r="12" hidden="1">
      <c r="A12" s="126"/>
      <c r="B12" s="126"/>
      <c r="C12" s="288"/>
      <c r="D12" s="326"/>
      <c r="E12" s="326">
        <v>0.0</v>
      </c>
      <c r="F12" s="327">
        <v>10.0</v>
      </c>
      <c r="G12" s="328" t="s">
        <v>2930</v>
      </c>
      <c r="H12" s="364">
        <v>3.0</v>
      </c>
      <c r="I12" s="197"/>
      <c r="J12" s="557"/>
      <c r="K12" s="558">
        <v>18.0</v>
      </c>
      <c r="L12" s="559">
        <v>27.0</v>
      </c>
      <c r="M12" s="350">
        <f>5500*0.88*1.19</f>
        <v>5759.6</v>
      </c>
      <c r="N12" s="331"/>
      <c r="O12" s="332"/>
      <c r="P12" s="352"/>
      <c r="Q12" s="333" t="s">
        <v>2918</v>
      </c>
      <c r="R12" s="344">
        <f>5500*0.88*1.19</f>
        <v>5759.6</v>
      </c>
      <c r="S12" s="332">
        <f>F12*O12</f>
        <v>0</v>
      </c>
      <c r="T12" s="334"/>
      <c r="U12" s="335">
        <f>M12*T12</f>
        <v>0</v>
      </c>
      <c r="V12" s="336">
        <f t="shared" si="15"/>
        <v>0</v>
      </c>
      <c r="W12" s="332">
        <v>24000.0</v>
      </c>
      <c r="X12" s="337">
        <f t="shared" si="6"/>
        <v>3.166956039</v>
      </c>
      <c r="Y12" s="338"/>
    </row>
    <row r="13" hidden="1">
      <c r="A13" s="126"/>
      <c r="B13" s="126"/>
      <c r="C13" s="287"/>
      <c r="D13" s="326"/>
      <c r="E13" s="326">
        <v>0.0</v>
      </c>
      <c r="F13" s="327">
        <v>0.0</v>
      </c>
      <c r="G13" s="328" t="s">
        <v>2931</v>
      </c>
      <c r="H13" s="364">
        <v>3.0</v>
      </c>
      <c r="I13" s="340"/>
      <c r="J13" s="557"/>
      <c r="K13" s="558">
        <v>1.0</v>
      </c>
      <c r="L13" s="559">
        <v>2.0</v>
      </c>
      <c r="M13" s="331"/>
      <c r="N13" s="331"/>
      <c r="O13" s="332"/>
      <c r="P13" s="352"/>
      <c r="Q13" s="353"/>
      <c r="R13" s="332"/>
      <c r="S13" s="332"/>
      <c r="T13" s="334"/>
      <c r="U13" s="335"/>
      <c r="V13" s="336"/>
      <c r="W13" s="332">
        <v>32000.0</v>
      </c>
      <c r="X13" s="337"/>
      <c r="Y13" s="338"/>
    </row>
    <row r="14" hidden="1">
      <c r="A14" s="126"/>
      <c r="B14" s="126"/>
      <c r="C14" s="287"/>
      <c r="D14" s="326"/>
      <c r="E14" s="326">
        <v>0.0</v>
      </c>
      <c r="F14" s="327">
        <v>10.0</v>
      </c>
      <c r="G14" s="346" t="s">
        <v>2932</v>
      </c>
      <c r="H14" s="561">
        <v>4.0</v>
      </c>
      <c r="I14" s="329"/>
      <c r="J14" s="557"/>
      <c r="K14" s="558">
        <v>7.0</v>
      </c>
      <c r="L14" s="559">
        <v>12.0</v>
      </c>
      <c r="M14" s="344">
        <f>5000*0.88*1.19</f>
        <v>5236</v>
      </c>
      <c r="N14" s="354"/>
      <c r="O14" s="349"/>
      <c r="P14" s="319"/>
      <c r="Q14" s="333" t="s">
        <v>2918</v>
      </c>
      <c r="R14" s="344">
        <f>5000*0.88*1.19</f>
        <v>5236</v>
      </c>
      <c r="S14" s="332">
        <f t="shared" ref="S14:S15" si="19">F14*M14</f>
        <v>52360</v>
      </c>
      <c r="T14" s="334">
        <v>8000.0</v>
      </c>
      <c r="U14" s="335">
        <f>T14*M14</f>
        <v>41888000</v>
      </c>
      <c r="V14" s="336">
        <f t="shared" ref="V14:V20" si="20">W14*T14</f>
        <v>80000000</v>
      </c>
      <c r="W14" s="332">
        <v>10000.0</v>
      </c>
      <c r="X14" s="337">
        <f t="shared" ref="X14:X17" si="21">(W14/M14)-1</f>
        <v>0.909854851</v>
      </c>
      <c r="Y14" s="338"/>
    </row>
    <row r="15" hidden="1">
      <c r="A15" s="126"/>
      <c r="B15" s="126"/>
      <c r="C15" s="287"/>
      <c r="D15" s="326"/>
      <c r="E15" s="326">
        <v>0.0</v>
      </c>
      <c r="F15" s="327">
        <v>6.0</v>
      </c>
      <c r="G15" s="346" t="s">
        <v>2933</v>
      </c>
      <c r="H15" s="561">
        <v>4.0</v>
      </c>
      <c r="I15" s="340"/>
      <c r="J15" s="557"/>
      <c r="K15" s="558">
        <v>8.0</v>
      </c>
      <c r="L15" s="559">
        <v>14.0</v>
      </c>
      <c r="M15" s="344">
        <f>4800*0.88*1.19</f>
        <v>5026.56</v>
      </c>
      <c r="N15" s="319">
        <f>7139*0.85*1.19</f>
        <v>7221.0985</v>
      </c>
      <c r="O15" s="349"/>
      <c r="P15" s="319"/>
      <c r="Q15" s="333" t="s">
        <v>2918</v>
      </c>
      <c r="R15" s="344">
        <f>4800*0.88*1.19</f>
        <v>5026.56</v>
      </c>
      <c r="S15" s="332">
        <f t="shared" si="19"/>
        <v>30159.36</v>
      </c>
      <c r="T15" s="334">
        <v>8000.0</v>
      </c>
      <c r="U15" s="335">
        <f>M15*T15</f>
        <v>40212480</v>
      </c>
      <c r="V15" s="336">
        <f t="shared" si="20"/>
        <v>80000000</v>
      </c>
      <c r="W15" s="332">
        <v>10000.0</v>
      </c>
      <c r="X15" s="337">
        <f t="shared" si="21"/>
        <v>0.9894321365</v>
      </c>
      <c r="Y15" s="338"/>
    </row>
    <row r="16" hidden="1">
      <c r="A16" s="126"/>
      <c r="B16" s="126"/>
      <c r="C16" s="287"/>
      <c r="D16" s="326"/>
      <c r="E16" s="326">
        <v>7.0</v>
      </c>
      <c r="F16" s="327">
        <v>0.0</v>
      </c>
      <c r="G16" s="328" t="s">
        <v>2934</v>
      </c>
      <c r="H16" s="364">
        <v>44.0</v>
      </c>
      <c r="I16" s="329"/>
      <c r="J16" s="557"/>
      <c r="K16" s="558">
        <v>7.0</v>
      </c>
      <c r="L16" s="559">
        <v>29.0</v>
      </c>
      <c r="M16" s="330">
        <f t="shared" ref="M16:M17" si="22">5000*0.88*1.19</f>
        <v>5236</v>
      </c>
      <c r="N16" s="331"/>
      <c r="O16" s="332"/>
      <c r="P16" s="344">
        <f t="shared" ref="P16:P17" si="23">5000*0.85*1.19</f>
        <v>5057.5</v>
      </c>
      <c r="Q16" s="333" t="s">
        <v>1630</v>
      </c>
      <c r="R16" s="344">
        <f t="shared" ref="R16:R17" si="24">5000*0.85*1.19</f>
        <v>5057.5</v>
      </c>
      <c r="S16" s="332">
        <f t="shared" ref="S16:S17" si="25">F16*O16</f>
        <v>0</v>
      </c>
      <c r="T16" s="334"/>
      <c r="U16" s="335">
        <f t="shared" ref="U16:U17" si="26">C16*P16</f>
        <v>0</v>
      </c>
      <c r="V16" s="336">
        <f t="shared" si="20"/>
        <v>0</v>
      </c>
      <c r="W16" s="332">
        <v>8000.0</v>
      </c>
      <c r="X16" s="337">
        <f t="shared" si="21"/>
        <v>0.5278838808</v>
      </c>
      <c r="Y16" s="338"/>
    </row>
    <row r="17" hidden="1">
      <c r="A17" s="126"/>
      <c r="B17" s="126"/>
      <c r="C17" s="288"/>
      <c r="D17" s="326"/>
      <c r="E17" s="326">
        <v>0.0</v>
      </c>
      <c r="F17" s="327">
        <v>0.0</v>
      </c>
      <c r="G17" s="328" t="s">
        <v>2935</v>
      </c>
      <c r="H17" s="364">
        <v>44.0</v>
      </c>
      <c r="I17" s="329"/>
      <c r="J17" s="557"/>
      <c r="K17" s="558">
        <v>10.0</v>
      </c>
      <c r="L17" s="559">
        <v>15.0</v>
      </c>
      <c r="M17" s="330">
        <f t="shared" si="22"/>
        <v>5236</v>
      </c>
      <c r="N17" s="331"/>
      <c r="O17" s="332"/>
      <c r="P17" s="344">
        <f t="shared" si="23"/>
        <v>5057.5</v>
      </c>
      <c r="Q17" s="333" t="s">
        <v>1630</v>
      </c>
      <c r="R17" s="344">
        <f t="shared" si="24"/>
        <v>5057.5</v>
      </c>
      <c r="S17" s="332">
        <f t="shared" si="25"/>
        <v>0</v>
      </c>
      <c r="T17" s="334"/>
      <c r="U17" s="335">
        <f t="shared" si="26"/>
        <v>0</v>
      </c>
      <c r="V17" s="336">
        <f t="shared" si="20"/>
        <v>0</v>
      </c>
      <c r="W17" s="332">
        <v>8000.0</v>
      </c>
      <c r="X17" s="337">
        <f t="shared" si="21"/>
        <v>0.5278838808</v>
      </c>
      <c r="Y17" s="338"/>
    </row>
    <row r="18" hidden="1">
      <c r="A18" s="126"/>
      <c r="B18" s="126"/>
      <c r="C18" s="287"/>
      <c r="D18" s="327">
        <v>20.0</v>
      </c>
      <c r="E18" s="326">
        <v>0.0</v>
      </c>
      <c r="F18" s="327"/>
      <c r="G18" s="339" t="s">
        <v>2936</v>
      </c>
      <c r="H18" s="364" t="s">
        <v>3082</v>
      </c>
      <c r="I18" s="331"/>
      <c r="J18" s="557"/>
      <c r="K18" s="558">
        <v>6.0</v>
      </c>
      <c r="L18" s="559"/>
      <c r="M18" s="331"/>
      <c r="N18" s="331"/>
      <c r="O18" s="344">
        <v>2500.0</v>
      </c>
      <c r="P18" s="319"/>
      <c r="Q18" s="333" t="s">
        <v>2909</v>
      </c>
      <c r="R18" s="344">
        <v>2500.0</v>
      </c>
      <c r="S18" s="332"/>
      <c r="T18" s="334"/>
      <c r="U18" s="335">
        <f>P18*T18</f>
        <v>0</v>
      </c>
      <c r="V18" s="336">
        <f t="shared" si="20"/>
        <v>0</v>
      </c>
      <c r="W18" s="332">
        <v>6000.0</v>
      </c>
      <c r="X18" s="337">
        <f>(W18/O18)-1</f>
        <v>1.4</v>
      </c>
      <c r="Y18" s="338"/>
    </row>
    <row r="19" hidden="1">
      <c r="A19" s="126"/>
      <c r="B19" s="126"/>
      <c r="C19" s="288"/>
      <c r="D19" s="326"/>
      <c r="E19" s="326">
        <v>15.0</v>
      </c>
      <c r="F19" s="327">
        <v>0.0</v>
      </c>
      <c r="G19" s="346" t="s">
        <v>2937</v>
      </c>
      <c r="H19" s="561">
        <v>5.0</v>
      </c>
      <c r="I19" s="340" t="s">
        <v>2938</v>
      </c>
      <c r="J19" s="557"/>
      <c r="K19" s="558">
        <v>7.0</v>
      </c>
      <c r="L19" s="559">
        <v>22.0</v>
      </c>
      <c r="M19" s="344">
        <f>10000*1.19*0.88</f>
        <v>10472</v>
      </c>
      <c r="N19" s="319">
        <f>16786*1.19*0.85</f>
        <v>16979.039</v>
      </c>
      <c r="O19" s="351">
        <v>8000.0</v>
      </c>
      <c r="P19" s="344">
        <f t="shared" ref="P19:P20" si="27">10000*0.85*1.19</f>
        <v>10115</v>
      </c>
      <c r="Q19" s="333" t="s">
        <v>2909</v>
      </c>
      <c r="R19" s="351">
        <v>8000.0</v>
      </c>
      <c r="S19" s="332">
        <f t="shared" ref="S19:S20" si="28">F19*M19</f>
        <v>0</v>
      </c>
      <c r="T19" s="334"/>
      <c r="U19" s="335">
        <f t="shared" ref="U19:U20" si="29">C19*P19</f>
        <v>0</v>
      </c>
      <c r="V19" s="336">
        <f t="shared" si="20"/>
        <v>0</v>
      </c>
      <c r="W19" s="332">
        <v>24000.0</v>
      </c>
      <c r="X19" s="337">
        <f t="shared" ref="X19:X20" si="30">(W19/M19)-1</f>
        <v>1.291825821</v>
      </c>
      <c r="Y19" s="338"/>
    </row>
    <row r="20" hidden="1">
      <c r="A20" s="126"/>
      <c r="B20" s="126"/>
      <c r="C20" s="326"/>
      <c r="D20" s="326"/>
      <c r="E20" s="326">
        <v>0.0</v>
      </c>
      <c r="F20" s="327">
        <v>0.0</v>
      </c>
      <c r="G20" s="346" t="s">
        <v>2939</v>
      </c>
      <c r="H20" s="561">
        <v>5.0</v>
      </c>
      <c r="I20" s="340"/>
      <c r="J20" s="557"/>
      <c r="K20" s="558">
        <v>25.0</v>
      </c>
      <c r="L20" s="559">
        <v>31.0</v>
      </c>
      <c r="M20" s="319">
        <f>11000*1.19*0.88</f>
        <v>11519.2</v>
      </c>
      <c r="N20" s="319">
        <f>16786*0.85*1.19</f>
        <v>16979.039</v>
      </c>
      <c r="O20" s="351">
        <v>8000.0</v>
      </c>
      <c r="P20" s="344">
        <f t="shared" si="27"/>
        <v>10115</v>
      </c>
      <c r="Q20" s="333" t="s">
        <v>2909</v>
      </c>
      <c r="R20" s="351">
        <v>8000.0</v>
      </c>
      <c r="S20" s="332">
        <f t="shared" si="28"/>
        <v>0</v>
      </c>
      <c r="T20" s="334"/>
      <c r="U20" s="335">
        <f t="shared" si="29"/>
        <v>0</v>
      </c>
      <c r="V20" s="336">
        <f t="shared" si="20"/>
        <v>0</v>
      </c>
      <c r="W20" s="332">
        <v>24000.0</v>
      </c>
      <c r="X20" s="337">
        <f t="shared" si="30"/>
        <v>1.083478019</v>
      </c>
      <c r="Y20" s="338"/>
    </row>
    <row r="21" hidden="1">
      <c r="A21" s="126"/>
      <c r="B21" s="126"/>
      <c r="C21" s="326"/>
      <c r="D21" s="326"/>
      <c r="E21" s="326">
        <v>0.0</v>
      </c>
      <c r="F21" s="327">
        <v>0.0</v>
      </c>
      <c r="G21" s="346" t="s">
        <v>2940</v>
      </c>
      <c r="H21" s="561">
        <v>5.0</v>
      </c>
      <c r="I21" s="340"/>
      <c r="J21" s="557"/>
      <c r="K21" s="558">
        <v>3.0</v>
      </c>
      <c r="L21" s="559">
        <v>8.0</v>
      </c>
      <c r="M21" s="319"/>
      <c r="N21" s="319"/>
      <c r="O21" s="351"/>
      <c r="P21" s="344"/>
      <c r="Q21" s="333" t="s">
        <v>2909</v>
      </c>
      <c r="R21" s="351"/>
      <c r="S21" s="332"/>
      <c r="T21" s="334"/>
      <c r="U21" s="335"/>
      <c r="V21" s="336"/>
      <c r="W21" s="332">
        <v>24000.0</v>
      </c>
      <c r="X21" s="337"/>
      <c r="Y21" s="338"/>
    </row>
    <row r="22" hidden="1">
      <c r="A22" s="126"/>
      <c r="B22" s="126"/>
      <c r="C22" s="287"/>
      <c r="D22" s="326"/>
      <c r="E22" s="326">
        <v>20.0</v>
      </c>
      <c r="F22" s="327">
        <v>0.0</v>
      </c>
      <c r="G22" s="346" t="s">
        <v>2941</v>
      </c>
      <c r="H22" s="561">
        <v>6.0</v>
      </c>
      <c r="I22" s="329"/>
      <c r="J22" s="557"/>
      <c r="K22" s="558">
        <v>0.0</v>
      </c>
      <c r="L22" s="559">
        <v>10.0</v>
      </c>
      <c r="M22" s="344">
        <f>24900*0.88*1.19</f>
        <v>26075.28</v>
      </c>
      <c r="N22" s="344">
        <f>30945*0.85*1.19</f>
        <v>31300.8675</v>
      </c>
      <c r="O22" s="347"/>
      <c r="P22" s="319"/>
      <c r="Q22" s="333" t="s">
        <v>2909</v>
      </c>
      <c r="R22" s="347">
        <v>26071.0</v>
      </c>
      <c r="S22" s="332">
        <f t="shared" ref="S22:S23" si="31">F22*O22</f>
        <v>0</v>
      </c>
      <c r="T22" s="334">
        <v>35000.0</v>
      </c>
      <c r="U22" s="335">
        <f t="shared" ref="U22:U23" si="32">P22*T22</f>
        <v>0</v>
      </c>
      <c r="V22" s="336">
        <f t="shared" ref="V22:V26" si="33">W22*T22</f>
        <v>1470000000</v>
      </c>
      <c r="W22" s="332">
        <v>42000.0</v>
      </c>
      <c r="X22" s="337">
        <f t="shared" ref="X22:X56" si="34">(W22/M22)-1</f>
        <v>0.6107209587</v>
      </c>
      <c r="Y22" s="338"/>
    </row>
    <row r="23" hidden="1">
      <c r="A23" s="126"/>
      <c r="B23" s="126"/>
      <c r="C23" s="287"/>
      <c r="D23" s="326"/>
      <c r="E23" s="326">
        <v>0.0</v>
      </c>
      <c r="F23" s="327">
        <v>0.0</v>
      </c>
      <c r="G23" s="346" t="s">
        <v>2942</v>
      </c>
      <c r="H23" s="561">
        <v>6.0</v>
      </c>
      <c r="I23" s="340"/>
      <c r="J23" s="557"/>
      <c r="K23" s="558">
        <v>3.0</v>
      </c>
      <c r="L23" s="559">
        <v>4.0</v>
      </c>
      <c r="M23" s="319">
        <f>18000*0.88*1.19</f>
        <v>18849.6</v>
      </c>
      <c r="N23" s="340">
        <v>25601.0</v>
      </c>
      <c r="O23" s="351">
        <v>19000.0</v>
      </c>
      <c r="P23" s="355"/>
      <c r="Q23" s="333" t="s">
        <v>2909</v>
      </c>
      <c r="R23" s="351">
        <v>19000.0</v>
      </c>
      <c r="S23" s="332">
        <f t="shared" si="31"/>
        <v>0</v>
      </c>
      <c r="T23" s="334">
        <v>35000.0</v>
      </c>
      <c r="U23" s="335">
        <f t="shared" si="32"/>
        <v>0</v>
      </c>
      <c r="V23" s="336">
        <f t="shared" si="33"/>
        <v>1470000000</v>
      </c>
      <c r="W23" s="332">
        <v>42000.0</v>
      </c>
      <c r="X23" s="337">
        <f t="shared" si="34"/>
        <v>1.228163993</v>
      </c>
      <c r="Y23" s="338"/>
    </row>
    <row r="24" hidden="1">
      <c r="A24" s="126"/>
      <c r="B24" s="126"/>
      <c r="C24" s="287"/>
      <c r="D24" s="326"/>
      <c r="E24" s="326">
        <v>0.0</v>
      </c>
      <c r="F24" s="327">
        <v>0.0</v>
      </c>
      <c r="G24" s="339" t="s">
        <v>2943</v>
      </c>
      <c r="H24" s="364">
        <v>6.0</v>
      </c>
      <c r="I24" s="329"/>
      <c r="J24" s="557"/>
      <c r="K24" s="558">
        <v>11.0</v>
      </c>
      <c r="L24" s="559">
        <v>22.0</v>
      </c>
      <c r="M24" s="344">
        <f t="shared" ref="M24:M25" si="35">5000*0.88*1.19</f>
        <v>5236</v>
      </c>
      <c r="N24" s="330">
        <f>6267*0.85*1.19</f>
        <v>6339.0705</v>
      </c>
      <c r="O24" s="343"/>
      <c r="P24" s="344">
        <f t="shared" ref="P24:P25" si="36">5000*0.85*1.19</f>
        <v>5057.5</v>
      </c>
      <c r="Q24" s="333" t="s">
        <v>1630</v>
      </c>
      <c r="R24" s="344">
        <f>5000*0.85*1.19</f>
        <v>5057.5</v>
      </c>
      <c r="S24" s="332">
        <f>P24*F24</f>
        <v>0</v>
      </c>
      <c r="T24" s="334">
        <v>8000.0</v>
      </c>
      <c r="U24" s="335">
        <f t="shared" ref="U24:U25" si="37">C24*P24</f>
        <v>0</v>
      </c>
      <c r="V24" s="336">
        <f t="shared" si="33"/>
        <v>80000000</v>
      </c>
      <c r="W24" s="332">
        <v>10000.0</v>
      </c>
      <c r="X24" s="337">
        <f t="shared" si="34"/>
        <v>0.909854851</v>
      </c>
      <c r="Y24" s="338"/>
    </row>
    <row r="25" hidden="1">
      <c r="A25" s="126"/>
      <c r="B25" s="126"/>
      <c r="C25" s="287"/>
      <c r="D25" s="326"/>
      <c r="E25" s="326">
        <v>0.0</v>
      </c>
      <c r="F25" s="327">
        <v>0.0</v>
      </c>
      <c r="G25" s="339" t="s">
        <v>2944</v>
      </c>
      <c r="H25" s="364">
        <v>6.0</v>
      </c>
      <c r="I25" s="329"/>
      <c r="J25" s="557"/>
      <c r="K25" s="558">
        <v>10.0</v>
      </c>
      <c r="L25" s="559">
        <v>11.0</v>
      </c>
      <c r="M25" s="344">
        <f t="shared" si="35"/>
        <v>5236</v>
      </c>
      <c r="N25" s="356"/>
      <c r="O25" s="344">
        <v>3000.0</v>
      </c>
      <c r="P25" s="344">
        <f t="shared" si="36"/>
        <v>5057.5</v>
      </c>
      <c r="Q25" s="333" t="s">
        <v>2909</v>
      </c>
      <c r="R25" s="344">
        <v>3000.0</v>
      </c>
      <c r="S25" s="332">
        <f t="shared" ref="S25:S27" si="38">F25*O25</f>
        <v>0</v>
      </c>
      <c r="T25" s="334"/>
      <c r="U25" s="335">
        <f t="shared" si="37"/>
        <v>0</v>
      </c>
      <c r="V25" s="336">
        <f t="shared" si="33"/>
        <v>0</v>
      </c>
      <c r="W25" s="332">
        <v>10000.0</v>
      </c>
      <c r="X25" s="337">
        <f t="shared" si="34"/>
        <v>0.909854851</v>
      </c>
      <c r="Y25" s="338"/>
    </row>
    <row r="26" hidden="1">
      <c r="A26" s="126"/>
      <c r="B26" s="126"/>
      <c r="C26" s="287"/>
      <c r="D26" s="326"/>
      <c r="E26" s="326">
        <v>0.0</v>
      </c>
      <c r="F26" s="327">
        <v>0.0</v>
      </c>
      <c r="G26" s="328" t="s">
        <v>2945</v>
      </c>
      <c r="H26" s="364">
        <v>45.0</v>
      </c>
      <c r="I26" s="329"/>
      <c r="J26" s="557"/>
      <c r="K26" s="558">
        <v>13.0</v>
      </c>
      <c r="L26" s="559">
        <v>20.0</v>
      </c>
      <c r="M26" s="350">
        <f>4800*0.88*1.19</f>
        <v>5026.56</v>
      </c>
      <c r="N26" s="331"/>
      <c r="O26" s="332"/>
      <c r="P26" s="319"/>
      <c r="Q26" s="333" t="s">
        <v>2918</v>
      </c>
      <c r="R26" s="319">
        <f>5000*0.88*1.19</f>
        <v>5236</v>
      </c>
      <c r="S26" s="332">
        <f t="shared" si="38"/>
        <v>0</v>
      </c>
      <c r="T26" s="334"/>
      <c r="U26" s="335">
        <f>T26*M26</f>
        <v>0</v>
      </c>
      <c r="V26" s="336">
        <f t="shared" si="33"/>
        <v>0</v>
      </c>
      <c r="W26" s="332">
        <v>10000.0</v>
      </c>
      <c r="X26" s="337">
        <f t="shared" si="34"/>
        <v>0.9894321365</v>
      </c>
      <c r="Y26" s="338"/>
    </row>
    <row r="27" hidden="1">
      <c r="A27" s="126"/>
      <c r="B27" s="126"/>
      <c r="C27" s="287"/>
      <c r="D27" s="326"/>
      <c r="E27" s="326">
        <v>4.0</v>
      </c>
      <c r="F27" s="327">
        <v>0.0</v>
      </c>
      <c r="G27" s="339" t="s">
        <v>2946</v>
      </c>
      <c r="H27" s="364">
        <v>47.0</v>
      </c>
      <c r="I27" s="329"/>
      <c r="J27" s="557"/>
      <c r="K27" s="558">
        <v>2.0</v>
      </c>
      <c r="L27" s="559">
        <v>39.0</v>
      </c>
      <c r="M27" s="344">
        <f>22000*0.88*1.19</f>
        <v>23038.4</v>
      </c>
      <c r="N27" s="344">
        <f>25227*0.85*1.19</f>
        <v>25517.1105</v>
      </c>
      <c r="O27" s="332"/>
      <c r="P27" s="319"/>
      <c r="Q27" s="333" t="s">
        <v>2918</v>
      </c>
      <c r="R27" s="344">
        <f>22000*0.88*1.19</f>
        <v>23038.4</v>
      </c>
      <c r="S27" s="332">
        <f t="shared" si="38"/>
        <v>0</v>
      </c>
      <c r="T27" s="334">
        <v>35000.0</v>
      </c>
      <c r="U27" s="335"/>
      <c r="V27" s="336"/>
      <c r="W27" s="332">
        <v>40000.0</v>
      </c>
      <c r="X27" s="337">
        <f t="shared" si="34"/>
        <v>0.7362316828</v>
      </c>
      <c r="Y27" s="338"/>
    </row>
    <row r="28" hidden="1">
      <c r="A28" s="126"/>
      <c r="B28" s="126"/>
      <c r="C28" s="287"/>
      <c r="D28" s="326"/>
      <c r="E28" s="326">
        <v>0.0</v>
      </c>
      <c r="F28" s="327">
        <v>0.0</v>
      </c>
      <c r="G28" s="339" t="s">
        <v>2947</v>
      </c>
      <c r="H28" s="364">
        <v>47.0</v>
      </c>
      <c r="I28" s="340"/>
      <c r="J28" s="557"/>
      <c r="K28" s="558">
        <v>8.0</v>
      </c>
      <c r="L28" s="559">
        <v>7.0</v>
      </c>
      <c r="M28" s="319"/>
      <c r="N28" s="357"/>
      <c r="O28" s="332"/>
      <c r="P28" s="319"/>
      <c r="Q28" s="333"/>
      <c r="R28" s="332"/>
      <c r="S28" s="332"/>
      <c r="T28" s="334"/>
      <c r="U28" s="335"/>
      <c r="V28" s="336"/>
      <c r="W28" s="332">
        <v>80000.0</v>
      </c>
      <c r="X28" s="337" t="str">
        <f t="shared" si="34"/>
        <v>#DIV/0!</v>
      </c>
      <c r="Y28" s="338"/>
    </row>
    <row r="29" hidden="1">
      <c r="A29" s="126"/>
      <c r="B29" s="126"/>
      <c r="C29" s="288"/>
      <c r="D29" s="326"/>
      <c r="E29" s="326">
        <v>4.0</v>
      </c>
      <c r="F29" s="327">
        <v>5.0</v>
      </c>
      <c r="G29" s="358" t="s">
        <v>2948</v>
      </c>
      <c r="H29" s="364">
        <v>47.0</v>
      </c>
      <c r="I29" s="329"/>
      <c r="J29" s="557"/>
      <c r="K29" s="558">
        <v>3.0</v>
      </c>
      <c r="L29" s="559">
        <v>10.0</v>
      </c>
      <c r="M29" s="344">
        <f>29700*0.88*1.19</f>
        <v>31101.84</v>
      </c>
      <c r="N29" s="331"/>
      <c r="O29" s="343"/>
      <c r="P29" s="319"/>
      <c r="Q29" s="333" t="s">
        <v>2918</v>
      </c>
      <c r="R29" s="344">
        <f>29700*0.88*1.19</f>
        <v>31101.84</v>
      </c>
      <c r="S29" s="332">
        <f>F29*O29</f>
        <v>0</v>
      </c>
      <c r="T29" s="334">
        <v>42000.0</v>
      </c>
      <c r="U29" s="335"/>
      <c r="V29" s="336"/>
      <c r="W29" s="332">
        <v>48000.0</v>
      </c>
      <c r="X29" s="337">
        <f t="shared" si="34"/>
        <v>0.5433170513</v>
      </c>
      <c r="Y29" s="338"/>
    </row>
    <row r="30" hidden="1">
      <c r="A30" s="126"/>
      <c r="B30" s="126"/>
      <c r="C30" s="288"/>
      <c r="D30" s="326"/>
      <c r="E30" s="326">
        <v>10.0</v>
      </c>
      <c r="F30" s="327">
        <v>10.0</v>
      </c>
      <c r="G30" s="339" t="s">
        <v>2949</v>
      </c>
      <c r="H30" s="364" t="s">
        <v>3082</v>
      </c>
      <c r="I30" s="340"/>
      <c r="J30" s="557"/>
      <c r="K30" s="558">
        <v>7.0</v>
      </c>
      <c r="L30" s="559">
        <v>12.0</v>
      </c>
      <c r="M30" s="344">
        <f t="shared" ref="M30:M31" si="39">58500*0.88*1.19</f>
        <v>61261.2</v>
      </c>
      <c r="N30" s="319">
        <v>64867.0</v>
      </c>
      <c r="O30" s="343"/>
      <c r="P30" s="344">
        <f t="shared" ref="P30:P31" si="40">58000*0.85*1.19</f>
        <v>58667</v>
      </c>
      <c r="Q30" s="333" t="s">
        <v>1630</v>
      </c>
      <c r="R30" s="344">
        <f t="shared" ref="R30:R31" si="41">58000*0.85*1.19</f>
        <v>58667</v>
      </c>
      <c r="S30" s="332">
        <f t="shared" ref="S30:S31" si="42">P30*F30</f>
        <v>586670</v>
      </c>
      <c r="T30" s="335">
        <v>74000.0</v>
      </c>
      <c r="U30" s="335">
        <f t="shared" ref="U30:U31" si="43">C30*P30</f>
        <v>0</v>
      </c>
      <c r="V30" s="336"/>
      <c r="W30" s="332">
        <v>95000.0</v>
      </c>
      <c r="X30" s="337">
        <f t="shared" si="34"/>
        <v>0.5507368449</v>
      </c>
      <c r="Y30" s="338"/>
    </row>
    <row r="31" hidden="1">
      <c r="A31" s="126"/>
      <c r="B31" s="126"/>
      <c r="C31" s="288"/>
      <c r="D31" s="326"/>
      <c r="E31" s="326">
        <v>0.0</v>
      </c>
      <c r="F31" s="327">
        <v>0.0</v>
      </c>
      <c r="G31" s="339" t="s">
        <v>2950</v>
      </c>
      <c r="H31" s="364" t="s">
        <v>3082</v>
      </c>
      <c r="I31" s="340"/>
      <c r="J31" s="557"/>
      <c r="K31" s="558">
        <v>17.0</v>
      </c>
      <c r="L31" s="559">
        <v>20.0</v>
      </c>
      <c r="M31" s="344">
        <f t="shared" si="39"/>
        <v>61261.2</v>
      </c>
      <c r="N31" s="319">
        <v>64867.0</v>
      </c>
      <c r="O31" s="343"/>
      <c r="P31" s="344">
        <f t="shared" si="40"/>
        <v>58667</v>
      </c>
      <c r="Q31" s="333" t="s">
        <v>1630</v>
      </c>
      <c r="R31" s="344">
        <f t="shared" si="41"/>
        <v>58667</v>
      </c>
      <c r="S31" s="332">
        <f t="shared" si="42"/>
        <v>0</v>
      </c>
      <c r="T31" s="335"/>
      <c r="U31" s="335">
        <f t="shared" si="43"/>
        <v>0</v>
      </c>
      <c r="V31" s="336">
        <f>W31*T31</f>
        <v>0</v>
      </c>
      <c r="W31" s="332">
        <v>95000.0</v>
      </c>
      <c r="X31" s="337">
        <f t="shared" si="34"/>
        <v>0.5507368449</v>
      </c>
      <c r="Y31" s="338"/>
    </row>
    <row r="32" hidden="1">
      <c r="A32" s="126"/>
      <c r="B32" s="126"/>
      <c r="C32" s="288"/>
      <c r="D32" s="326"/>
      <c r="E32" s="326">
        <v>0.0</v>
      </c>
      <c r="F32" s="327">
        <v>20.0</v>
      </c>
      <c r="G32" s="359" t="s">
        <v>2951</v>
      </c>
      <c r="H32" s="562">
        <v>7.0</v>
      </c>
      <c r="I32" s="340"/>
      <c r="J32" s="557"/>
      <c r="K32" s="558">
        <v>21.0</v>
      </c>
      <c r="L32" s="559">
        <v>2.0</v>
      </c>
      <c r="M32" s="360">
        <f t="shared" ref="M32:M33" si="44">4800*0.88*1.19</f>
        <v>5026.56</v>
      </c>
      <c r="N32" s="331"/>
      <c r="O32" s="332"/>
      <c r="P32" s="355"/>
      <c r="Q32" s="333" t="s">
        <v>2918</v>
      </c>
      <c r="R32" s="341">
        <f>4800*0.88*1.19</f>
        <v>5026.56</v>
      </c>
      <c r="S32" s="332">
        <f>F32*O32</f>
        <v>0</v>
      </c>
      <c r="T32" s="334"/>
      <c r="U32" s="335"/>
      <c r="V32" s="336"/>
      <c r="W32" s="332">
        <v>9000.0</v>
      </c>
      <c r="X32" s="337">
        <f t="shared" si="34"/>
        <v>0.7904889228</v>
      </c>
      <c r="Y32" s="338"/>
    </row>
    <row r="33" hidden="1">
      <c r="A33" s="126"/>
      <c r="B33" s="126"/>
      <c r="C33" s="288"/>
      <c r="D33" s="326"/>
      <c r="E33" s="326">
        <v>0.0</v>
      </c>
      <c r="F33" s="327">
        <v>0.0</v>
      </c>
      <c r="G33" s="359" t="s">
        <v>2952</v>
      </c>
      <c r="H33" s="562">
        <v>26.0</v>
      </c>
      <c r="I33" s="326" t="s">
        <v>2953</v>
      </c>
      <c r="J33" s="557">
        <v>98.0</v>
      </c>
      <c r="K33" s="558">
        <v>22.0</v>
      </c>
      <c r="L33" s="559">
        <v>98.0</v>
      </c>
      <c r="M33" s="350">
        <f t="shared" si="44"/>
        <v>5026.56</v>
      </c>
      <c r="N33" s="331">
        <f>5494*0.85*1.19</f>
        <v>5557.181</v>
      </c>
      <c r="O33" s="332"/>
      <c r="P33" s="344">
        <f>5000*0.85*1.19</f>
        <v>5057.5</v>
      </c>
      <c r="Q33" s="333" t="s">
        <v>1630</v>
      </c>
      <c r="R33" s="344">
        <f>5000*0.85*1.19</f>
        <v>5057.5</v>
      </c>
      <c r="S33" s="332">
        <f>P33*F33</f>
        <v>0</v>
      </c>
      <c r="T33" s="334"/>
      <c r="U33" s="335">
        <f t="shared" ref="U33:U34" si="45">C33*P33</f>
        <v>0</v>
      </c>
      <c r="V33" s="336">
        <f t="shared" ref="V33:V58" si="46">W33*T33</f>
        <v>0</v>
      </c>
      <c r="W33" s="332">
        <v>9000.0</v>
      </c>
      <c r="X33" s="337">
        <f t="shared" si="34"/>
        <v>0.7904889228</v>
      </c>
      <c r="Y33" s="338"/>
    </row>
    <row r="34" hidden="1">
      <c r="A34" s="126"/>
      <c r="B34" s="126"/>
      <c r="C34" s="288"/>
      <c r="D34" s="326"/>
      <c r="E34" s="326">
        <v>0.0</v>
      </c>
      <c r="F34" s="327">
        <v>0.0</v>
      </c>
      <c r="G34" s="339" t="s">
        <v>2954</v>
      </c>
      <c r="H34" s="364">
        <v>7.0</v>
      </c>
      <c r="I34" s="329"/>
      <c r="J34" s="557"/>
      <c r="K34" s="558">
        <v>20.0</v>
      </c>
      <c r="L34" s="563">
        <v>98.0</v>
      </c>
      <c r="M34" s="344">
        <f>7000*0.88*1.19</f>
        <v>7330.4</v>
      </c>
      <c r="N34" s="331">
        <v>3724.0</v>
      </c>
      <c r="O34" s="344">
        <v>4000.0</v>
      </c>
      <c r="P34" s="344">
        <f>6500*0.85*1.19</f>
        <v>6574.75</v>
      </c>
      <c r="Q34" s="333" t="s">
        <v>2909</v>
      </c>
      <c r="R34" s="344">
        <v>4000.0</v>
      </c>
      <c r="S34" s="332">
        <f>F34*O34</f>
        <v>0</v>
      </c>
      <c r="T34" s="334">
        <v>10000.0</v>
      </c>
      <c r="U34" s="335">
        <f t="shared" si="45"/>
        <v>0</v>
      </c>
      <c r="V34" s="336">
        <f t="shared" si="46"/>
        <v>130000000</v>
      </c>
      <c r="W34" s="332">
        <v>13000.0</v>
      </c>
      <c r="X34" s="337">
        <f t="shared" si="34"/>
        <v>0.7734366474</v>
      </c>
      <c r="Y34" s="338"/>
    </row>
    <row r="35" hidden="1">
      <c r="A35" s="126"/>
      <c r="B35" s="126"/>
      <c r="C35" s="287"/>
      <c r="D35" s="326"/>
      <c r="E35" s="326">
        <v>0.0</v>
      </c>
      <c r="F35" s="327">
        <v>0.0</v>
      </c>
      <c r="G35" s="361" t="s">
        <v>2955</v>
      </c>
      <c r="H35" s="564">
        <v>9.0</v>
      </c>
      <c r="I35" s="340" t="s">
        <v>2956</v>
      </c>
      <c r="J35" s="557"/>
      <c r="K35" s="558">
        <v>0.0</v>
      </c>
      <c r="L35" s="559">
        <v>0.0</v>
      </c>
      <c r="M35" s="330">
        <f t="shared" ref="M35:M38" si="47">5000*1.19*0.88</f>
        <v>5236</v>
      </c>
      <c r="N35" s="319">
        <f t="shared" ref="N35:N48" si="48">6043*0.85*1.19</f>
        <v>6112.4945</v>
      </c>
      <c r="O35" s="332"/>
      <c r="P35" s="319"/>
      <c r="Q35" s="333" t="s">
        <v>2918</v>
      </c>
      <c r="R35" s="330">
        <f>5000*1.19*0.88</f>
        <v>5236</v>
      </c>
      <c r="S35" s="332">
        <f>F35*M35</f>
        <v>0</v>
      </c>
      <c r="T35" s="334"/>
      <c r="U35" s="335">
        <f>M35*T35</f>
        <v>0</v>
      </c>
      <c r="V35" s="336">
        <f t="shared" si="46"/>
        <v>0</v>
      </c>
      <c r="W35" s="332">
        <v>9000.0</v>
      </c>
      <c r="X35" s="337">
        <f t="shared" si="34"/>
        <v>0.7188693659</v>
      </c>
      <c r="Y35" s="338"/>
    </row>
    <row r="36" hidden="1">
      <c r="A36" s="126"/>
      <c r="B36" s="126"/>
      <c r="C36" s="288"/>
      <c r="D36" s="326"/>
      <c r="E36" s="326">
        <v>2.0</v>
      </c>
      <c r="F36" s="327">
        <v>5.0</v>
      </c>
      <c r="G36" s="361" t="s">
        <v>2957</v>
      </c>
      <c r="H36" s="564">
        <v>9.0</v>
      </c>
      <c r="I36" s="340"/>
      <c r="J36" s="557"/>
      <c r="K36" s="558">
        <v>3.0</v>
      </c>
      <c r="L36" s="559">
        <v>0.0</v>
      </c>
      <c r="M36" s="330">
        <f t="shared" si="47"/>
        <v>5236</v>
      </c>
      <c r="N36" s="319">
        <f t="shared" si="48"/>
        <v>6112.4945</v>
      </c>
      <c r="O36" s="332"/>
      <c r="P36" s="344">
        <f>5000*0.85*1.19</f>
        <v>5057.5</v>
      </c>
      <c r="Q36" s="333" t="s">
        <v>1630</v>
      </c>
      <c r="R36" s="344">
        <f>5000*0.85*1.19</f>
        <v>5057.5</v>
      </c>
      <c r="S36" s="332">
        <f>P36*F36</f>
        <v>25287.5</v>
      </c>
      <c r="T36" s="334"/>
      <c r="U36" s="335">
        <f>C36*P36</f>
        <v>0</v>
      </c>
      <c r="V36" s="336">
        <f t="shared" si="46"/>
        <v>0</v>
      </c>
      <c r="W36" s="332">
        <v>9000.0</v>
      </c>
      <c r="X36" s="337">
        <f t="shared" si="34"/>
        <v>0.7188693659</v>
      </c>
      <c r="Y36" s="338"/>
    </row>
    <row r="37" hidden="1">
      <c r="A37" s="126"/>
      <c r="B37" s="167"/>
      <c r="C37" s="287"/>
      <c r="D37" s="326"/>
      <c r="E37" s="326">
        <v>0.0</v>
      </c>
      <c r="F37" s="327">
        <v>0.0</v>
      </c>
      <c r="G37" s="361" t="s">
        <v>2958</v>
      </c>
      <c r="H37" s="564">
        <v>9.0</v>
      </c>
      <c r="I37" s="340"/>
      <c r="J37" s="557"/>
      <c r="K37" s="558">
        <v>2.0</v>
      </c>
      <c r="L37" s="559">
        <v>5.0</v>
      </c>
      <c r="M37" s="330">
        <f t="shared" si="47"/>
        <v>5236</v>
      </c>
      <c r="N37" s="319">
        <f t="shared" si="48"/>
        <v>6112.4945</v>
      </c>
      <c r="O37" s="319"/>
      <c r="P37" s="319"/>
      <c r="Q37" s="333" t="s">
        <v>2918</v>
      </c>
      <c r="R37" s="330">
        <f>5000*1.19*0.88</f>
        <v>5236</v>
      </c>
      <c r="S37" s="332">
        <f>F37*M37</f>
        <v>0</v>
      </c>
      <c r="T37" s="334"/>
      <c r="U37" s="335">
        <f>P37*T37</f>
        <v>0</v>
      </c>
      <c r="V37" s="336">
        <f t="shared" si="46"/>
        <v>0</v>
      </c>
      <c r="W37" s="332">
        <v>9000.0</v>
      </c>
      <c r="X37" s="337">
        <f t="shared" si="34"/>
        <v>0.7188693659</v>
      </c>
      <c r="Y37" s="338"/>
    </row>
    <row r="38" hidden="1">
      <c r="A38" s="126"/>
      <c r="B38" s="126"/>
      <c r="C38" s="288"/>
      <c r="D38" s="326"/>
      <c r="E38" s="326">
        <v>2.0</v>
      </c>
      <c r="F38" s="327">
        <v>0.0</v>
      </c>
      <c r="G38" s="361" t="s">
        <v>2959</v>
      </c>
      <c r="H38" s="564">
        <v>9.0</v>
      </c>
      <c r="I38" s="340"/>
      <c r="J38" s="557"/>
      <c r="K38" s="558">
        <v>3.0</v>
      </c>
      <c r="L38" s="559">
        <v>11.0</v>
      </c>
      <c r="M38" s="330">
        <f t="shared" si="47"/>
        <v>5236</v>
      </c>
      <c r="N38" s="319">
        <f t="shared" si="48"/>
        <v>6112.4945</v>
      </c>
      <c r="O38" s="332"/>
      <c r="P38" s="344">
        <f t="shared" ref="P38:P39" si="49">5000*0.85*1.19</f>
        <v>5057.5</v>
      </c>
      <c r="Q38" s="333" t="s">
        <v>1630</v>
      </c>
      <c r="R38" s="344">
        <f>5000*0.85*1.19</f>
        <v>5057.5</v>
      </c>
      <c r="S38" s="332">
        <f>P38*F38</f>
        <v>0</v>
      </c>
      <c r="T38" s="334"/>
      <c r="U38" s="335">
        <f t="shared" ref="U38:U39" si="50">C38*P38</f>
        <v>0</v>
      </c>
      <c r="V38" s="336">
        <f t="shared" si="46"/>
        <v>0</v>
      </c>
      <c r="W38" s="332">
        <v>9000.0</v>
      </c>
      <c r="X38" s="337">
        <f t="shared" si="34"/>
        <v>0.7188693659</v>
      </c>
      <c r="Y38" s="338"/>
    </row>
    <row r="39" hidden="1">
      <c r="A39" s="126"/>
      <c r="B39" s="126"/>
      <c r="C39" s="287"/>
      <c r="D39" s="327">
        <v>12.0</v>
      </c>
      <c r="E39" s="326">
        <v>12.0</v>
      </c>
      <c r="F39" s="327"/>
      <c r="G39" s="359" t="s">
        <v>2960</v>
      </c>
      <c r="H39" s="562">
        <v>7.0</v>
      </c>
      <c r="I39" s="347" t="s">
        <v>2961</v>
      </c>
      <c r="J39" s="557" t="s">
        <v>3426</v>
      </c>
      <c r="K39" s="558">
        <v>13.0</v>
      </c>
      <c r="L39" s="559">
        <v>10.0</v>
      </c>
      <c r="M39" s="330">
        <f>4800*1.19*0.88</f>
        <v>5026.56</v>
      </c>
      <c r="N39" s="319">
        <f t="shared" si="48"/>
        <v>6112.4945</v>
      </c>
      <c r="O39" s="344">
        <v>3300.0</v>
      </c>
      <c r="P39" s="344">
        <f t="shared" si="49"/>
        <v>5057.5</v>
      </c>
      <c r="Q39" s="333" t="s">
        <v>2909</v>
      </c>
      <c r="R39" s="344">
        <v>3300.0</v>
      </c>
      <c r="S39" s="332">
        <f t="shared" ref="S39:S42" si="51">F39*O39</f>
        <v>0</v>
      </c>
      <c r="T39" s="334"/>
      <c r="U39" s="335">
        <f t="shared" si="50"/>
        <v>0</v>
      </c>
      <c r="V39" s="336">
        <f t="shared" si="46"/>
        <v>0</v>
      </c>
      <c r="W39" s="332">
        <v>9000.0</v>
      </c>
      <c r="X39" s="337">
        <f t="shared" si="34"/>
        <v>0.7904889228</v>
      </c>
      <c r="Y39" s="338"/>
    </row>
    <row r="40" hidden="1">
      <c r="A40" s="126"/>
      <c r="B40" s="126"/>
      <c r="C40" s="288"/>
      <c r="D40" s="327">
        <v>4.0</v>
      </c>
      <c r="E40" s="326">
        <v>0.0</v>
      </c>
      <c r="F40" s="327"/>
      <c r="G40" s="361" t="s">
        <v>2962</v>
      </c>
      <c r="H40" s="564">
        <v>8.0</v>
      </c>
      <c r="I40" s="340"/>
      <c r="J40" s="557"/>
      <c r="K40" s="558">
        <v>4.0</v>
      </c>
      <c r="L40" s="559">
        <v>4.0</v>
      </c>
      <c r="M40" s="341">
        <f t="shared" ref="M40:M48" si="52">5000*1.19*0.88</f>
        <v>5236</v>
      </c>
      <c r="N40" s="319">
        <f t="shared" si="48"/>
        <v>6112.4945</v>
      </c>
      <c r="O40" s="344">
        <v>3700.0</v>
      </c>
      <c r="P40" s="319"/>
      <c r="Q40" s="333" t="s">
        <v>2909</v>
      </c>
      <c r="R40" s="344">
        <v>3700.0</v>
      </c>
      <c r="S40" s="332">
        <f t="shared" si="51"/>
        <v>0</v>
      </c>
      <c r="T40" s="334"/>
      <c r="U40" s="335">
        <f>P40*T40</f>
        <v>0</v>
      </c>
      <c r="V40" s="336">
        <f t="shared" si="46"/>
        <v>0</v>
      </c>
      <c r="W40" s="332">
        <v>9000.0</v>
      </c>
      <c r="X40" s="337">
        <f t="shared" si="34"/>
        <v>0.7188693659</v>
      </c>
      <c r="Y40" s="338"/>
    </row>
    <row r="41" hidden="1">
      <c r="A41" s="126"/>
      <c r="B41" s="126"/>
      <c r="C41" s="288"/>
      <c r="D41" s="326"/>
      <c r="E41" s="326">
        <v>2.0</v>
      </c>
      <c r="F41" s="327">
        <v>0.0</v>
      </c>
      <c r="G41" s="361" t="s">
        <v>2963</v>
      </c>
      <c r="H41" s="564">
        <v>8.0</v>
      </c>
      <c r="I41" s="340"/>
      <c r="J41" s="557"/>
      <c r="K41" s="558">
        <v>3.0</v>
      </c>
      <c r="L41" s="559">
        <v>49.0</v>
      </c>
      <c r="M41" s="341">
        <f t="shared" si="52"/>
        <v>5236</v>
      </c>
      <c r="N41" s="319">
        <f t="shared" si="48"/>
        <v>6112.4945</v>
      </c>
      <c r="O41" s="344">
        <v>3700.0</v>
      </c>
      <c r="P41" s="344">
        <f t="shared" ref="P41:P42" si="53">5000*0.85*1.19</f>
        <v>5057.5</v>
      </c>
      <c r="Q41" s="333" t="s">
        <v>2909</v>
      </c>
      <c r="R41" s="344">
        <v>3700.0</v>
      </c>
      <c r="S41" s="332">
        <f t="shared" si="51"/>
        <v>0</v>
      </c>
      <c r="T41" s="334"/>
      <c r="U41" s="335">
        <f t="shared" ref="U41:U42" si="54">C41*P41</f>
        <v>0</v>
      </c>
      <c r="V41" s="336">
        <f t="shared" si="46"/>
        <v>0</v>
      </c>
      <c r="W41" s="332">
        <v>9000.0</v>
      </c>
      <c r="X41" s="337">
        <f t="shared" si="34"/>
        <v>0.7188693659</v>
      </c>
      <c r="Y41" s="338"/>
    </row>
    <row r="42" hidden="1">
      <c r="A42" s="126"/>
      <c r="B42" s="126"/>
      <c r="C42" s="288"/>
      <c r="D42" s="326"/>
      <c r="E42" s="326">
        <v>0.0</v>
      </c>
      <c r="F42" s="327">
        <v>0.0</v>
      </c>
      <c r="G42" s="361" t="s">
        <v>2964</v>
      </c>
      <c r="H42" s="564">
        <v>8.0</v>
      </c>
      <c r="I42" s="340"/>
      <c r="J42" s="557"/>
      <c r="K42" s="558">
        <v>4.0</v>
      </c>
      <c r="L42" s="559">
        <v>7.0</v>
      </c>
      <c r="M42" s="341">
        <f t="shared" si="52"/>
        <v>5236</v>
      </c>
      <c r="N42" s="319">
        <f t="shared" si="48"/>
        <v>6112.4945</v>
      </c>
      <c r="O42" s="344">
        <v>3700.0</v>
      </c>
      <c r="P42" s="344">
        <f t="shared" si="53"/>
        <v>5057.5</v>
      </c>
      <c r="Q42" s="333" t="s">
        <v>2909</v>
      </c>
      <c r="R42" s="344">
        <v>3700.0</v>
      </c>
      <c r="S42" s="332">
        <f t="shared" si="51"/>
        <v>0</v>
      </c>
      <c r="T42" s="334"/>
      <c r="U42" s="335">
        <f t="shared" si="54"/>
        <v>0</v>
      </c>
      <c r="V42" s="336">
        <f t="shared" si="46"/>
        <v>0</v>
      </c>
      <c r="W42" s="332">
        <v>9000.0</v>
      </c>
      <c r="X42" s="337">
        <f t="shared" si="34"/>
        <v>0.7188693659</v>
      </c>
      <c r="Y42" s="338"/>
    </row>
    <row r="43" hidden="1">
      <c r="A43" s="126"/>
      <c r="B43" s="167"/>
      <c r="C43" s="287"/>
      <c r="D43" s="326"/>
      <c r="E43" s="326">
        <v>0.0</v>
      </c>
      <c r="F43" s="327">
        <v>5.0</v>
      </c>
      <c r="G43" s="361" t="s">
        <v>2965</v>
      </c>
      <c r="H43" s="564">
        <v>8.0</v>
      </c>
      <c r="I43" s="340"/>
      <c r="J43" s="557"/>
      <c r="K43" s="558">
        <v>0.0</v>
      </c>
      <c r="L43" s="559">
        <v>0.0</v>
      </c>
      <c r="M43" s="341">
        <f t="shared" si="52"/>
        <v>5236</v>
      </c>
      <c r="N43" s="319">
        <f t="shared" si="48"/>
        <v>6112.4945</v>
      </c>
      <c r="O43" s="344"/>
      <c r="P43" s="319"/>
      <c r="Q43" s="333" t="s">
        <v>2918</v>
      </c>
      <c r="R43" s="341">
        <f>5000*1.19*0.88</f>
        <v>5236</v>
      </c>
      <c r="S43" s="332">
        <f>F43*M43</f>
        <v>26180</v>
      </c>
      <c r="T43" s="334"/>
      <c r="U43" s="335">
        <f>M43*T43</f>
        <v>0</v>
      </c>
      <c r="V43" s="336">
        <f t="shared" si="46"/>
        <v>0</v>
      </c>
      <c r="W43" s="332">
        <v>9000.0</v>
      </c>
      <c r="X43" s="337">
        <f t="shared" si="34"/>
        <v>0.7188693659</v>
      </c>
      <c r="Y43" s="338"/>
    </row>
    <row r="44" hidden="1">
      <c r="A44" s="126"/>
      <c r="B44" s="126"/>
      <c r="C44" s="287"/>
      <c r="D44" s="326"/>
      <c r="E44" s="326">
        <v>0.0</v>
      </c>
      <c r="F44" s="327">
        <v>0.0</v>
      </c>
      <c r="G44" s="361" t="s">
        <v>2966</v>
      </c>
      <c r="H44" s="564">
        <v>8.0</v>
      </c>
      <c r="I44" s="340"/>
      <c r="J44" s="557"/>
      <c r="K44" s="558">
        <v>2.0</v>
      </c>
      <c r="L44" s="559">
        <v>6.0</v>
      </c>
      <c r="M44" s="341">
        <f t="shared" si="52"/>
        <v>5236</v>
      </c>
      <c r="N44" s="319">
        <f t="shared" si="48"/>
        <v>6112.4945</v>
      </c>
      <c r="O44" s="344">
        <v>3700.0</v>
      </c>
      <c r="P44" s="344">
        <f t="shared" ref="P44:P48" si="55">5000*0.85*1.19</f>
        <v>5057.5</v>
      </c>
      <c r="Q44" s="333" t="s">
        <v>2909</v>
      </c>
      <c r="R44" s="344">
        <v>3700.0</v>
      </c>
      <c r="S44" s="332">
        <f t="shared" ref="S44:S48" si="56">F44*O44</f>
        <v>0</v>
      </c>
      <c r="T44" s="334"/>
      <c r="U44" s="335">
        <f t="shared" ref="U44:U54" si="57">C44*P44</f>
        <v>0</v>
      </c>
      <c r="V44" s="336">
        <f t="shared" si="46"/>
        <v>0</v>
      </c>
      <c r="W44" s="332">
        <v>9000.0</v>
      </c>
      <c r="X44" s="337">
        <f t="shared" si="34"/>
        <v>0.7188693659</v>
      </c>
      <c r="Y44" s="338"/>
    </row>
    <row r="45" hidden="1">
      <c r="A45" s="126"/>
      <c r="B45" s="126"/>
      <c r="C45" s="326"/>
      <c r="D45" s="327">
        <v>5.0</v>
      </c>
      <c r="E45" s="326">
        <v>0.0</v>
      </c>
      <c r="F45" s="327"/>
      <c r="G45" s="361" t="s">
        <v>2967</v>
      </c>
      <c r="H45" s="564">
        <v>8.0</v>
      </c>
      <c r="I45" s="340"/>
      <c r="J45" s="557"/>
      <c r="K45" s="558">
        <v>4.0</v>
      </c>
      <c r="L45" s="559">
        <v>0.0</v>
      </c>
      <c r="M45" s="341">
        <f t="shared" si="52"/>
        <v>5236</v>
      </c>
      <c r="N45" s="319">
        <f t="shared" si="48"/>
        <v>6112.4945</v>
      </c>
      <c r="O45" s="344">
        <v>3700.0</v>
      </c>
      <c r="P45" s="344">
        <f t="shared" si="55"/>
        <v>5057.5</v>
      </c>
      <c r="Q45" s="333" t="s">
        <v>2909</v>
      </c>
      <c r="R45" s="344">
        <v>3700.0</v>
      </c>
      <c r="S45" s="332">
        <f t="shared" si="56"/>
        <v>0</v>
      </c>
      <c r="T45" s="334"/>
      <c r="U45" s="335">
        <f t="shared" si="57"/>
        <v>0</v>
      </c>
      <c r="V45" s="336">
        <f t="shared" si="46"/>
        <v>0</v>
      </c>
      <c r="W45" s="332">
        <v>9000.0</v>
      </c>
      <c r="X45" s="337">
        <f t="shared" si="34"/>
        <v>0.7188693659</v>
      </c>
      <c r="Y45" s="338"/>
    </row>
    <row r="46" hidden="1">
      <c r="A46" s="126"/>
      <c r="B46" s="126"/>
      <c r="C46" s="326"/>
      <c r="D46" s="327">
        <v>5.0</v>
      </c>
      <c r="E46" s="326">
        <v>0.0</v>
      </c>
      <c r="F46" s="327"/>
      <c r="G46" s="361" t="s">
        <v>2968</v>
      </c>
      <c r="H46" s="564">
        <v>8.0</v>
      </c>
      <c r="I46" s="340"/>
      <c r="J46" s="557"/>
      <c r="K46" s="558">
        <v>5.0</v>
      </c>
      <c r="L46" s="559">
        <v>0.0</v>
      </c>
      <c r="M46" s="341">
        <f t="shared" si="52"/>
        <v>5236</v>
      </c>
      <c r="N46" s="319">
        <f t="shared" si="48"/>
        <v>6112.4945</v>
      </c>
      <c r="O46" s="344">
        <v>3700.0</v>
      </c>
      <c r="P46" s="344">
        <f t="shared" si="55"/>
        <v>5057.5</v>
      </c>
      <c r="Q46" s="333" t="s">
        <v>2909</v>
      </c>
      <c r="R46" s="344">
        <v>3700.0</v>
      </c>
      <c r="S46" s="332">
        <f t="shared" si="56"/>
        <v>0</v>
      </c>
      <c r="T46" s="334"/>
      <c r="U46" s="335">
        <f t="shared" si="57"/>
        <v>0</v>
      </c>
      <c r="V46" s="336">
        <f t="shared" si="46"/>
        <v>0</v>
      </c>
      <c r="W46" s="332">
        <v>9000.0</v>
      </c>
      <c r="X46" s="337">
        <f t="shared" si="34"/>
        <v>0.7188693659</v>
      </c>
      <c r="Y46" s="338"/>
    </row>
    <row r="47" hidden="1">
      <c r="A47" s="126"/>
      <c r="B47" s="126"/>
      <c r="C47" s="288"/>
      <c r="D47" s="326"/>
      <c r="E47" s="326">
        <v>2.0</v>
      </c>
      <c r="F47" s="327">
        <v>0.0</v>
      </c>
      <c r="G47" s="361" t="s">
        <v>2969</v>
      </c>
      <c r="H47" s="564">
        <v>8.0</v>
      </c>
      <c r="I47" s="340"/>
      <c r="J47" s="557"/>
      <c r="K47" s="558">
        <v>3.0</v>
      </c>
      <c r="L47" s="559">
        <v>10.0</v>
      </c>
      <c r="M47" s="341">
        <f t="shared" si="52"/>
        <v>5236</v>
      </c>
      <c r="N47" s="319">
        <f t="shared" si="48"/>
        <v>6112.4945</v>
      </c>
      <c r="O47" s="344">
        <v>3700.0</v>
      </c>
      <c r="P47" s="344">
        <f t="shared" si="55"/>
        <v>5057.5</v>
      </c>
      <c r="Q47" s="333" t="s">
        <v>2909</v>
      </c>
      <c r="R47" s="344">
        <v>3700.0</v>
      </c>
      <c r="S47" s="332">
        <f t="shared" si="56"/>
        <v>0</v>
      </c>
      <c r="T47" s="334"/>
      <c r="U47" s="335">
        <f t="shared" si="57"/>
        <v>0</v>
      </c>
      <c r="V47" s="336">
        <f t="shared" si="46"/>
        <v>0</v>
      </c>
      <c r="W47" s="332">
        <v>9000.0</v>
      </c>
      <c r="X47" s="337">
        <f t="shared" si="34"/>
        <v>0.7188693659</v>
      </c>
      <c r="Y47" s="338"/>
    </row>
    <row r="48" hidden="1">
      <c r="A48" s="126"/>
      <c r="B48" s="126"/>
      <c r="C48" s="288"/>
      <c r="D48" s="326"/>
      <c r="E48" s="326">
        <v>0.0</v>
      </c>
      <c r="F48" s="327">
        <v>0.0</v>
      </c>
      <c r="G48" s="361" t="s">
        <v>2970</v>
      </c>
      <c r="H48" s="564">
        <v>8.0</v>
      </c>
      <c r="I48" s="340"/>
      <c r="J48" s="557"/>
      <c r="K48" s="558">
        <v>5.0</v>
      </c>
      <c r="L48" s="559">
        <v>8.0</v>
      </c>
      <c r="M48" s="341">
        <f t="shared" si="52"/>
        <v>5236</v>
      </c>
      <c r="N48" s="319">
        <f t="shared" si="48"/>
        <v>6112.4945</v>
      </c>
      <c r="O48" s="344">
        <v>3700.0</v>
      </c>
      <c r="P48" s="344">
        <f t="shared" si="55"/>
        <v>5057.5</v>
      </c>
      <c r="Q48" s="333" t="s">
        <v>2909</v>
      </c>
      <c r="R48" s="344">
        <v>3700.0</v>
      </c>
      <c r="S48" s="332">
        <f t="shared" si="56"/>
        <v>0</v>
      </c>
      <c r="T48" s="334"/>
      <c r="U48" s="335">
        <f t="shared" si="57"/>
        <v>0</v>
      </c>
      <c r="V48" s="336">
        <f t="shared" si="46"/>
        <v>0</v>
      </c>
      <c r="W48" s="332">
        <v>9000.0</v>
      </c>
      <c r="X48" s="337">
        <f t="shared" si="34"/>
        <v>0.7188693659</v>
      </c>
      <c r="Y48" s="338"/>
    </row>
    <row r="49" hidden="1">
      <c r="A49" s="126"/>
      <c r="B49" s="126"/>
      <c r="C49" s="287"/>
      <c r="D49" s="326"/>
      <c r="E49" s="326">
        <v>0.0</v>
      </c>
      <c r="F49" s="327">
        <v>0.0</v>
      </c>
      <c r="G49" s="361" t="s">
        <v>2971</v>
      </c>
      <c r="H49" s="564">
        <v>11.0</v>
      </c>
      <c r="I49" s="340"/>
      <c r="J49" s="557" t="s">
        <v>3426</v>
      </c>
      <c r="K49" s="558">
        <v>24.0</v>
      </c>
      <c r="L49" s="559">
        <v>55.0</v>
      </c>
      <c r="M49" s="341">
        <f t="shared" ref="M49:M55" si="58">12500*1.19*0.88</f>
        <v>13090</v>
      </c>
      <c r="N49" s="319">
        <f t="shared" ref="N49:N56" si="59">13740*0.85*1.19</f>
        <v>13898.01</v>
      </c>
      <c r="O49" s="332"/>
      <c r="P49" s="344">
        <f t="shared" ref="P49:P54" si="60">13000*0.85*1.19</f>
        <v>13149.5</v>
      </c>
      <c r="Q49" s="333" t="s">
        <v>1630</v>
      </c>
      <c r="R49" s="344">
        <f t="shared" ref="R49:R54" si="61">13000*0.85*1.19</f>
        <v>13149.5</v>
      </c>
      <c r="S49" s="332">
        <f t="shared" ref="S49:S50" si="62">P49*F49</f>
        <v>0</v>
      </c>
      <c r="T49" s="334">
        <v>18000.0</v>
      </c>
      <c r="U49" s="335">
        <f t="shared" si="57"/>
        <v>0</v>
      </c>
      <c r="V49" s="336">
        <f t="shared" si="46"/>
        <v>432000000</v>
      </c>
      <c r="W49" s="332">
        <v>24000.0</v>
      </c>
      <c r="X49" s="337">
        <f t="shared" si="34"/>
        <v>0.833460657</v>
      </c>
      <c r="Y49" s="338"/>
    </row>
    <row r="50" hidden="1">
      <c r="A50" s="126"/>
      <c r="B50" s="126"/>
      <c r="C50" s="287"/>
      <c r="D50" s="326"/>
      <c r="E50" s="326">
        <v>6.0</v>
      </c>
      <c r="F50" s="327">
        <v>0.0</v>
      </c>
      <c r="G50" s="361" t="s">
        <v>2972</v>
      </c>
      <c r="H50" s="564">
        <v>11.0</v>
      </c>
      <c r="I50" s="340"/>
      <c r="J50" s="557" t="s">
        <v>3426</v>
      </c>
      <c r="K50" s="558">
        <v>18.0</v>
      </c>
      <c r="L50" s="559">
        <v>25.0</v>
      </c>
      <c r="M50" s="341">
        <f t="shared" si="58"/>
        <v>13090</v>
      </c>
      <c r="N50" s="319">
        <f t="shared" si="59"/>
        <v>13898.01</v>
      </c>
      <c r="O50" s="332"/>
      <c r="P50" s="344">
        <f t="shared" si="60"/>
        <v>13149.5</v>
      </c>
      <c r="Q50" s="333" t="s">
        <v>1630</v>
      </c>
      <c r="R50" s="344">
        <f t="shared" si="61"/>
        <v>13149.5</v>
      </c>
      <c r="S50" s="332">
        <f t="shared" si="62"/>
        <v>0</v>
      </c>
      <c r="T50" s="334">
        <v>18000.0</v>
      </c>
      <c r="U50" s="335">
        <f t="shared" si="57"/>
        <v>0</v>
      </c>
      <c r="V50" s="336">
        <f t="shared" si="46"/>
        <v>432000000</v>
      </c>
      <c r="W50" s="332">
        <v>24000.0</v>
      </c>
      <c r="X50" s="337">
        <f t="shared" si="34"/>
        <v>0.833460657</v>
      </c>
      <c r="Y50" s="338"/>
    </row>
    <row r="51" hidden="1">
      <c r="A51" s="126"/>
      <c r="B51" s="126"/>
      <c r="C51" s="287"/>
      <c r="D51" s="326">
        <v>5.0</v>
      </c>
      <c r="E51" s="326">
        <v>5.0</v>
      </c>
      <c r="F51" s="327">
        <v>0.0</v>
      </c>
      <c r="G51" s="361" t="s">
        <v>2973</v>
      </c>
      <c r="H51" s="564">
        <v>10.0</v>
      </c>
      <c r="I51" s="347"/>
      <c r="J51" s="557" t="s">
        <v>3426</v>
      </c>
      <c r="K51" s="558">
        <v>16.0</v>
      </c>
      <c r="L51" s="559">
        <v>26.0</v>
      </c>
      <c r="M51" s="341">
        <f t="shared" si="58"/>
        <v>13090</v>
      </c>
      <c r="N51" s="319">
        <f t="shared" si="59"/>
        <v>13898.01</v>
      </c>
      <c r="O51" s="332"/>
      <c r="P51" s="344">
        <f t="shared" si="60"/>
        <v>13149.5</v>
      </c>
      <c r="Q51" s="333" t="s">
        <v>1630</v>
      </c>
      <c r="R51" s="344">
        <f t="shared" si="61"/>
        <v>13149.5</v>
      </c>
      <c r="S51" s="332">
        <f t="shared" ref="S51:S52" si="63">F51*O51</f>
        <v>0</v>
      </c>
      <c r="T51" s="334">
        <v>18000.0</v>
      </c>
      <c r="U51" s="335">
        <f t="shared" si="57"/>
        <v>0</v>
      </c>
      <c r="V51" s="336">
        <f t="shared" si="46"/>
        <v>432000000</v>
      </c>
      <c r="W51" s="332">
        <v>24000.0</v>
      </c>
      <c r="X51" s="337">
        <f t="shared" si="34"/>
        <v>0.833460657</v>
      </c>
      <c r="Y51" s="338"/>
    </row>
    <row r="52" hidden="1">
      <c r="A52" s="126"/>
      <c r="B52" s="126"/>
      <c r="C52" s="287"/>
      <c r="D52" s="326"/>
      <c r="E52" s="326">
        <v>0.0</v>
      </c>
      <c r="F52" s="327">
        <v>0.0</v>
      </c>
      <c r="G52" s="361" t="s">
        <v>2974</v>
      </c>
      <c r="H52" s="564">
        <v>10.0</v>
      </c>
      <c r="I52" s="347"/>
      <c r="J52" s="557" t="s">
        <v>3426</v>
      </c>
      <c r="K52" s="558">
        <v>22.0</v>
      </c>
      <c r="L52" s="559">
        <v>35.0</v>
      </c>
      <c r="M52" s="341">
        <f t="shared" si="58"/>
        <v>13090</v>
      </c>
      <c r="N52" s="319">
        <f t="shared" si="59"/>
        <v>13898.01</v>
      </c>
      <c r="O52" s="332"/>
      <c r="P52" s="344">
        <f t="shared" si="60"/>
        <v>13149.5</v>
      </c>
      <c r="Q52" s="333" t="s">
        <v>1630</v>
      </c>
      <c r="R52" s="344">
        <f t="shared" si="61"/>
        <v>13149.5</v>
      </c>
      <c r="S52" s="332">
        <f t="shared" si="63"/>
        <v>0</v>
      </c>
      <c r="T52" s="334">
        <v>18000.0</v>
      </c>
      <c r="U52" s="335">
        <f t="shared" si="57"/>
        <v>0</v>
      </c>
      <c r="V52" s="336">
        <f t="shared" si="46"/>
        <v>432000000</v>
      </c>
      <c r="W52" s="332">
        <v>24000.0</v>
      </c>
      <c r="X52" s="337">
        <f t="shared" si="34"/>
        <v>0.833460657</v>
      </c>
      <c r="Y52" s="338"/>
    </row>
    <row r="53" hidden="1">
      <c r="A53" s="126"/>
      <c r="B53" s="126"/>
      <c r="C53" s="287"/>
      <c r="D53" s="326"/>
      <c r="E53" s="326">
        <v>0.0</v>
      </c>
      <c r="F53" s="327">
        <v>5.0</v>
      </c>
      <c r="G53" s="361" t="s">
        <v>2975</v>
      </c>
      <c r="H53" s="564">
        <v>12.0</v>
      </c>
      <c r="I53" s="347"/>
      <c r="J53" s="557" t="s">
        <v>3426</v>
      </c>
      <c r="K53" s="558">
        <v>22.0</v>
      </c>
      <c r="L53" s="559">
        <v>14.0</v>
      </c>
      <c r="M53" s="341">
        <f t="shared" si="58"/>
        <v>13090</v>
      </c>
      <c r="N53" s="319">
        <f t="shared" si="59"/>
        <v>13898.01</v>
      </c>
      <c r="O53" s="332"/>
      <c r="P53" s="344">
        <f t="shared" si="60"/>
        <v>13149.5</v>
      </c>
      <c r="Q53" s="333" t="s">
        <v>1630</v>
      </c>
      <c r="R53" s="344">
        <f t="shared" si="61"/>
        <v>13149.5</v>
      </c>
      <c r="S53" s="332">
        <f t="shared" ref="S53:S54" si="64">P53*F53</f>
        <v>65747.5</v>
      </c>
      <c r="T53" s="334">
        <v>18000.0</v>
      </c>
      <c r="U53" s="335">
        <f t="shared" si="57"/>
        <v>0</v>
      </c>
      <c r="V53" s="336">
        <f t="shared" si="46"/>
        <v>432000000</v>
      </c>
      <c r="W53" s="332">
        <v>24000.0</v>
      </c>
      <c r="X53" s="337">
        <f t="shared" si="34"/>
        <v>0.833460657</v>
      </c>
      <c r="Y53" s="338"/>
    </row>
    <row r="54" hidden="1">
      <c r="A54" s="126"/>
      <c r="B54" s="126"/>
      <c r="C54" s="287"/>
      <c r="D54" s="326"/>
      <c r="E54" s="326">
        <v>10.0</v>
      </c>
      <c r="F54" s="565">
        <v>0.0</v>
      </c>
      <c r="G54" s="361" t="s">
        <v>2976</v>
      </c>
      <c r="H54" s="564">
        <v>12.0</v>
      </c>
      <c r="I54" s="347"/>
      <c r="J54" s="557" t="s">
        <v>3426</v>
      </c>
      <c r="K54" s="558">
        <v>10.0</v>
      </c>
      <c r="L54" s="559">
        <v>19.0</v>
      </c>
      <c r="M54" s="341">
        <f t="shared" si="58"/>
        <v>13090</v>
      </c>
      <c r="N54" s="319">
        <f t="shared" si="59"/>
        <v>13898.01</v>
      </c>
      <c r="O54" s="332"/>
      <c r="P54" s="344">
        <f t="shared" si="60"/>
        <v>13149.5</v>
      </c>
      <c r="Q54" s="333" t="s">
        <v>1630</v>
      </c>
      <c r="R54" s="344">
        <f t="shared" si="61"/>
        <v>13149.5</v>
      </c>
      <c r="S54" s="332">
        <f t="shared" si="64"/>
        <v>0</v>
      </c>
      <c r="T54" s="334">
        <v>18000.0</v>
      </c>
      <c r="U54" s="335">
        <f t="shared" si="57"/>
        <v>0</v>
      </c>
      <c r="V54" s="336">
        <f t="shared" si="46"/>
        <v>432000000</v>
      </c>
      <c r="W54" s="332">
        <v>24000.0</v>
      </c>
      <c r="X54" s="337">
        <f t="shared" si="34"/>
        <v>0.833460657</v>
      </c>
      <c r="Y54" s="338"/>
    </row>
    <row r="55" hidden="1">
      <c r="A55" s="126"/>
      <c r="B55" s="126"/>
      <c r="C55" s="288"/>
      <c r="D55" s="326"/>
      <c r="E55" s="326">
        <v>0.0</v>
      </c>
      <c r="F55" s="327">
        <v>0.0</v>
      </c>
      <c r="G55" s="361" t="s">
        <v>2977</v>
      </c>
      <c r="H55" s="564">
        <v>12.0</v>
      </c>
      <c r="I55" s="340"/>
      <c r="J55" s="557"/>
      <c r="K55" s="558">
        <v>5.0</v>
      </c>
      <c r="L55" s="559">
        <v>0.0</v>
      </c>
      <c r="M55" s="341">
        <f t="shared" si="58"/>
        <v>13090</v>
      </c>
      <c r="N55" s="319">
        <f t="shared" si="59"/>
        <v>13898.01</v>
      </c>
      <c r="O55" s="332"/>
      <c r="P55" s="319"/>
      <c r="Q55" s="333" t="s">
        <v>2918</v>
      </c>
      <c r="R55" s="341">
        <f>12500*1.19*0.88</f>
        <v>13090</v>
      </c>
      <c r="S55" s="332">
        <f t="shared" ref="S55:S56" si="65">F55*O55</f>
        <v>0</v>
      </c>
      <c r="T55" s="334">
        <v>18000.0</v>
      </c>
      <c r="U55" s="335">
        <f>M55*T55</f>
        <v>235620000</v>
      </c>
      <c r="V55" s="336">
        <f t="shared" si="46"/>
        <v>432000000</v>
      </c>
      <c r="W55" s="332">
        <v>24000.0</v>
      </c>
      <c r="X55" s="337">
        <f t="shared" si="34"/>
        <v>0.833460657</v>
      </c>
      <c r="Y55" s="338"/>
    </row>
    <row r="56" hidden="1">
      <c r="A56" s="126"/>
      <c r="B56" s="126"/>
      <c r="C56" s="288"/>
      <c r="D56" s="326"/>
      <c r="E56" s="326">
        <v>0.0</v>
      </c>
      <c r="F56" s="327">
        <v>0.0</v>
      </c>
      <c r="G56" s="176" t="s">
        <v>2978</v>
      </c>
      <c r="H56" s="326">
        <v>13.0</v>
      </c>
      <c r="I56" s="340"/>
      <c r="J56" s="557" t="s">
        <v>3426</v>
      </c>
      <c r="K56" s="558">
        <v>9.0</v>
      </c>
      <c r="L56" s="559">
        <v>33.0</v>
      </c>
      <c r="M56" s="341">
        <f>11000*0.82*1.19</f>
        <v>10733.8</v>
      </c>
      <c r="N56" s="319">
        <f t="shared" si="59"/>
        <v>13898.01</v>
      </c>
      <c r="O56" s="344">
        <v>5000.0</v>
      </c>
      <c r="P56" s="362">
        <f>9000*0.85*1.19</f>
        <v>9103.5</v>
      </c>
      <c r="Q56" s="333" t="s">
        <v>2909</v>
      </c>
      <c r="R56" s="344">
        <v>5000.0</v>
      </c>
      <c r="S56" s="332">
        <f t="shared" si="65"/>
        <v>0</v>
      </c>
      <c r="T56" s="334">
        <v>18000.0</v>
      </c>
      <c r="U56" s="335">
        <f t="shared" ref="U56:U58" si="66">C56*P56</f>
        <v>0</v>
      </c>
      <c r="V56" s="336">
        <f t="shared" si="46"/>
        <v>432000000</v>
      </c>
      <c r="W56" s="332">
        <v>24000.0</v>
      </c>
      <c r="X56" s="337">
        <f t="shared" si="34"/>
        <v>1.23592763</v>
      </c>
      <c r="Y56" s="338"/>
    </row>
    <row r="57" hidden="1">
      <c r="A57" s="126"/>
      <c r="B57" s="126"/>
      <c r="C57" s="287"/>
      <c r="D57" s="326"/>
      <c r="E57" s="326">
        <v>0.0</v>
      </c>
      <c r="F57" s="327">
        <v>0.0</v>
      </c>
      <c r="G57" s="359" t="s">
        <v>2979</v>
      </c>
      <c r="H57" s="562">
        <v>14.0</v>
      </c>
      <c r="I57" s="340"/>
      <c r="J57" s="557"/>
      <c r="K57" s="558">
        <v>24.0</v>
      </c>
      <c r="L57" s="559">
        <v>49.0</v>
      </c>
      <c r="M57" s="319" t="s">
        <v>611</v>
      </c>
      <c r="N57" s="344">
        <f>17921*0.85*1.19</f>
        <v>18127.0915</v>
      </c>
      <c r="O57" s="332"/>
      <c r="P57" s="344">
        <f t="shared" ref="P57:P58" si="67">5000*0.85*1.19</f>
        <v>5057.5</v>
      </c>
      <c r="Q57" s="333" t="s">
        <v>1630</v>
      </c>
      <c r="R57" s="344">
        <f>5000*0.85*1.19</f>
        <v>5057.5</v>
      </c>
      <c r="S57" s="332">
        <f>P57*F57</f>
        <v>0</v>
      </c>
      <c r="T57" s="334"/>
      <c r="U57" s="335">
        <f t="shared" si="66"/>
        <v>0</v>
      </c>
      <c r="V57" s="336">
        <f t="shared" si="46"/>
        <v>0</v>
      </c>
      <c r="W57" s="332">
        <v>28000.0</v>
      </c>
      <c r="X57" s="337">
        <f>(W57/N57)-1</f>
        <v>0.5446493443</v>
      </c>
      <c r="Y57" s="338"/>
    </row>
    <row r="58" hidden="1">
      <c r="A58" s="126"/>
      <c r="B58" s="126"/>
      <c r="C58" s="326"/>
      <c r="D58" s="327">
        <v>50.0</v>
      </c>
      <c r="E58" s="326">
        <v>0.0</v>
      </c>
      <c r="F58" s="327"/>
      <c r="G58" s="328" t="s">
        <v>2980</v>
      </c>
      <c r="H58" s="364">
        <v>15.0</v>
      </c>
      <c r="I58" s="331" t="s">
        <v>2981</v>
      </c>
      <c r="J58" s="557"/>
      <c r="K58" s="558">
        <v>69.0</v>
      </c>
      <c r="L58" s="559">
        <v>6.0</v>
      </c>
      <c r="M58" s="360">
        <f>4800*0.88*1.19</f>
        <v>5026.56</v>
      </c>
      <c r="N58" s="344">
        <f>6593*0.85*1.19</f>
        <v>6668.8195</v>
      </c>
      <c r="O58" s="344">
        <v>3000.0</v>
      </c>
      <c r="P58" s="344">
        <f t="shared" si="67"/>
        <v>5057.5</v>
      </c>
      <c r="Q58" s="333" t="s">
        <v>2909</v>
      </c>
      <c r="R58" s="344">
        <v>3000.0</v>
      </c>
      <c r="S58" s="332">
        <f>F58*M58</f>
        <v>0</v>
      </c>
      <c r="T58" s="334">
        <v>7000.0</v>
      </c>
      <c r="U58" s="335">
        <f t="shared" si="66"/>
        <v>0</v>
      </c>
      <c r="V58" s="336">
        <f t="shared" si="46"/>
        <v>63000000</v>
      </c>
      <c r="W58" s="332">
        <v>9000.0</v>
      </c>
      <c r="X58" s="337">
        <f>(W58/M58)-1</f>
        <v>0.7904889228</v>
      </c>
      <c r="Y58" s="338"/>
    </row>
    <row r="59" hidden="1">
      <c r="A59" s="126"/>
      <c r="B59" s="126"/>
      <c r="C59" s="326"/>
      <c r="D59" s="326"/>
      <c r="E59" s="326">
        <v>0.0</v>
      </c>
      <c r="F59" s="327">
        <v>0.0</v>
      </c>
      <c r="G59" s="328" t="s">
        <v>2982</v>
      </c>
      <c r="H59" s="364">
        <v>15.0</v>
      </c>
      <c r="I59" s="331"/>
      <c r="J59" s="557"/>
      <c r="K59" s="558">
        <v>0.0</v>
      </c>
      <c r="L59" s="559">
        <v>50.0</v>
      </c>
      <c r="M59" s="341"/>
      <c r="N59" s="344"/>
      <c r="O59" s="344"/>
      <c r="P59" s="344"/>
      <c r="Q59" s="333"/>
      <c r="R59" s="344"/>
      <c r="S59" s="332"/>
      <c r="T59" s="334"/>
      <c r="U59" s="335"/>
      <c r="V59" s="336"/>
      <c r="W59" s="332"/>
      <c r="X59" s="337"/>
      <c r="Y59" s="338"/>
    </row>
    <row r="60">
      <c r="A60" s="126"/>
      <c r="B60" s="126"/>
      <c r="C60" s="288"/>
      <c r="D60" s="326"/>
      <c r="E60" s="326">
        <v>0.0</v>
      </c>
      <c r="F60" s="327">
        <v>30.0</v>
      </c>
      <c r="G60" s="346" t="s">
        <v>2983</v>
      </c>
      <c r="H60" s="561">
        <v>16.0</v>
      </c>
      <c r="I60" s="329"/>
      <c r="J60" s="557"/>
      <c r="K60" s="558">
        <v>49.0</v>
      </c>
      <c r="L60" s="559">
        <v>18.0</v>
      </c>
      <c r="M60" s="344">
        <f>5000*0.88*1.19</f>
        <v>5236</v>
      </c>
      <c r="N60" s="344">
        <f>6043*0.85*1.19</f>
        <v>6112.4945</v>
      </c>
      <c r="O60" s="351">
        <v>5000.0</v>
      </c>
      <c r="P60" s="344">
        <f>5000*0.85*1.19</f>
        <v>5057.5</v>
      </c>
      <c r="Q60" s="333" t="s">
        <v>2984</v>
      </c>
      <c r="R60" s="332">
        <v>5058.0</v>
      </c>
      <c r="S60" s="332">
        <f>P60*F60</f>
        <v>151725</v>
      </c>
      <c r="T60" s="334">
        <v>7000.0</v>
      </c>
      <c r="U60" s="335"/>
      <c r="V60" s="336"/>
      <c r="W60" s="332">
        <v>9000.0</v>
      </c>
      <c r="X60" s="337">
        <f>(W60/M60)-1</f>
        <v>0.7188693659</v>
      </c>
      <c r="Y60" s="338"/>
    </row>
    <row r="61">
      <c r="A61" s="126"/>
      <c r="B61" s="126"/>
      <c r="C61" s="287"/>
      <c r="D61" s="326"/>
      <c r="E61" s="326">
        <v>0.0</v>
      </c>
      <c r="F61" s="327">
        <v>0.0</v>
      </c>
      <c r="G61" s="328" t="s">
        <v>2985</v>
      </c>
      <c r="H61" s="364">
        <v>16.0</v>
      </c>
      <c r="I61" s="340"/>
      <c r="J61" s="557"/>
      <c r="K61" s="558">
        <v>50.0</v>
      </c>
      <c r="L61" s="559">
        <v>50.0</v>
      </c>
      <c r="M61" s="331"/>
      <c r="N61" s="331"/>
      <c r="O61" s="332"/>
      <c r="P61" s="352"/>
      <c r="Q61" s="353"/>
      <c r="R61" s="332"/>
      <c r="S61" s="332"/>
      <c r="T61" s="334"/>
      <c r="U61" s="335"/>
      <c r="V61" s="336"/>
      <c r="W61" s="332">
        <v>4000.0</v>
      </c>
      <c r="X61" s="337"/>
      <c r="Y61" s="338"/>
    </row>
    <row r="62" hidden="1">
      <c r="A62" s="126"/>
      <c r="B62" s="126"/>
      <c r="C62" s="288"/>
      <c r="D62" s="326">
        <v>15.0</v>
      </c>
      <c r="E62" s="326">
        <v>15.0</v>
      </c>
      <c r="F62" s="327">
        <v>0.0</v>
      </c>
      <c r="G62" s="328" t="s">
        <v>2986</v>
      </c>
      <c r="H62" s="364">
        <v>16.0</v>
      </c>
      <c r="I62" s="329"/>
      <c r="J62" s="557"/>
      <c r="K62" s="558">
        <v>12.0</v>
      </c>
      <c r="L62" s="559">
        <v>24.0</v>
      </c>
      <c r="M62" s="319">
        <f>5000*0.88*1.19</f>
        <v>5236</v>
      </c>
      <c r="N62" s="331">
        <f>4696*0.85*1.19</f>
        <v>4750.004</v>
      </c>
      <c r="O62" s="344">
        <v>4800.0</v>
      </c>
      <c r="P62" s="344">
        <f>6000*0.85*1.19</f>
        <v>6069</v>
      </c>
      <c r="Q62" s="333" t="s">
        <v>1630</v>
      </c>
      <c r="R62" s="344">
        <f>6000*0.85*1.19</f>
        <v>6069</v>
      </c>
      <c r="S62" s="332">
        <f t="shared" ref="S62:S63" si="68">P62*F62</f>
        <v>0</v>
      </c>
      <c r="T62" s="334"/>
      <c r="U62" s="335">
        <f t="shared" ref="U62:U63" si="69">C62*P62</f>
        <v>0</v>
      </c>
      <c r="V62" s="336">
        <f t="shared" ref="V62:V63" si="70">W62*T62</f>
        <v>0</v>
      </c>
      <c r="W62" s="332">
        <v>9000.0</v>
      </c>
      <c r="X62" s="337">
        <f t="shared" ref="X62:X64" si="71">(W62/M62)-1</f>
        <v>0.7188693659</v>
      </c>
      <c r="Y62" s="338"/>
    </row>
    <row r="63" hidden="1">
      <c r="A63" s="126"/>
      <c r="B63" s="126"/>
      <c r="C63" s="288"/>
      <c r="D63" s="326"/>
      <c r="E63" s="326">
        <v>20.0</v>
      </c>
      <c r="F63" s="327">
        <v>20.0</v>
      </c>
      <c r="G63" s="346" t="s">
        <v>2987</v>
      </c>
      <c r="H63" s="561" t="s">
        <v>3082</v>
      </c>
      <c r="I63" s="340"/>
      <c r="J63" s="557"/>
      <c r="K63" s="558">
        <v>20.0</v>
      </c>
      <c r="L63" s="559">
        <v>25.0</v>
      </c>
      <c r="M63" s="350">
        <f>5900*0.88*1.19</f>
        <v>6178.48</v>
      </c>
      <c r="N63" s="344">
        <f>6593*0.85*1.19</f>
        <v>6668.8195</v>
      </c>
      <c r="O63" s="349"/>
      <c r="P63" s="344">
        <f>5900*0.85*1.19</f>
        <v>5967.85</v>
      </c>
      <c r="Q63" s="333" t="s">
        <v>1630</v>
      </c>
      <c r="R63" s="344">
        <f>5900*0.85*1.19</f>
        <v>5967.85</v>
      </c>
      <c r="S63" s="332">
        <f t="shared" si="68"/>
        <v>119357</v>
      </c>
      <c r="T63" s="334">
        <v>8000.0</v>
      </c>
      <c r="U63" s="335">
        <f t="shared" si="69"/>
        <v>0</v>
      </c>
      <c r="V63" s="336">
        <f t="shared" si="70"/>
        <v>80000000</v>
      </c>
      <c r="W63" s="332">
        <v>10000.0</v>
      </c>
      <c r="X63" s="337">
        <f t="shared" si="71"/>
        <v>0.6185210602</v>
      </c>
      <c r="Y63" s="338"/>
    </row>
    <row r="64" hidden="1">
      <c r="A64" s="126"/>
      <c r="B64" s="126"/>
      <c r="C64" s="287"/>
      <c r="D64" s="326"/>
      <c r="E64" s="326">
        <v>0.0</v>
      </c>
      <c r="F64" s="327">
        <v>0.0</v>
      </c>
      <c r="G64" s="339" t="s">
        <v>2988</v>
      </c>
      <c r="H64" s="364">
        <v>48.0</v>
      </c>
      <c r="I64" s="331"/>
      <c r="J64" s="557"/>
      <c r="K64" s="558">
        <v>0.0</v>
      </c>
      <c r="L64" s="559"/>
      <c r="M64" s="354"/>
      <c r="N64" s="331"/>
      <c r="O64" s="343"/>
      <c r="P64" s="355"/>
      <c r="Q64" s="321"/>
      <c r="R64" s="332"/>
      <c r="S64" s="332"/>
      <c r="T64" s="334"/>
      <c r="U64" s="335"/>
      <c r="V64" s="336"/>
      <c r="W64" s="332">
        <v>12000.0</v>
      </c>
      <c r="X64" s="337" t="str">
        <f t="shared" si="71"/>
        <v>#DIV/0!</v>
      </c>
      <c r="Y64" s="338"/>
    </row>
    <row r="65" hidden="1">
      <c r="A65" s="126"/>
      <c r="B65" s="126"/>
      <c r="C65" s="326"/>
      <c r="D65" s="326"/>
      <c r="E65" s="326">
        <v>0.0</v>
      </c>
      <c r="F65" s="327">
        <v>0.0</v>
      </c>
      <c r="G65" s="52" t="s">
        <v>1080</v>
      </c>
      <c r="H65" s="566" t="s">
        <v>3082</v>
      </c>
      <c r="I65" s="331"/>
      <c r="J65" s="557"/>
      <c r="K65" s="558">
        <v>9.0</v>
      </c>
      <c r="L65" s="559">
        <v>0.0</v>
      </c>
      <c r="M65" s="354"/>
      <c r="N65" s="331"/>
      <c r="O65" s="344">
        <v>30000.0</v>
      </c>
      <c r="P65" s="344">
        <f>40000*0.85*1.19</f>
        <v>40460</v>
      </c>
      <c r="Q65" s="321" t="s">
        <v>2909</v>
      </c>
      <c r="R65" s="344">
        <v>30000.0</v>
      </c>
      <c r="S65" s="332"/>
      <c r="T65" s="334"/>
      <c r="U65" s="335">
        <f t="shared" ref="U65:U70" si="72">C65*P65</f>
        <v>0</v>
      </c>
      <c r="V65" s="336"/>
      <c r="W65" s="332">
        <v>55000.0</v>
      </c>
      <c r="X65" s="337"/>
      <c r="Y65" s="338"/>
    </row>
    <row r="66" hidden="1">
      <c r="A66" s="126"/>
      <c r="B66" s="126"/>
      <c r="C66" s="287"/>
      <c r="D66" s="326"/>
      <c r="E66" s="326">
        <v>15.0</v>
      </c>
      <c r="F66" s="327">
        <v>0.0</v>
      </c>
      <c r="G66" s="339" t="s">
        <v>2989</v>
      </c>
      <c r="H66" s="364">
        <v>14.0</v>
      </c>
      <c r="I66" s="331"/>
      <c r="J66" s="557"/>
      <c r="K66" s="558">
        <v>6.0</v>
      </c>
      <c r="L66" s="559">
        <v>10.0</v>
      </c>
      <c r="M66" s="341">
        <f t="shared" ref="M66:M67" si="73">4800*0.88*1.19</f>
        <v>5026.56</v>
      </c>
      <c r="N66" s="319">
        <f>6593*0.85*1.19</f>
        <v>6668.8195</v>
      </c>
      <c r="O66" s="332"/>
      <c r="P66" s="344">
        <f>5000*0.85*1.19</f>
        <v>5057.5</v>
      </c>
      <c r="Q66" s="333" t="s">
        <v>1630</v>
      </c>
      <c r="R66" s="344">
        <f>5000*0.85*1.19</f>
        <v>5057.5</v>
      </c>
      <c r="S66" s="332">
        <f>F66*O66</f>
        <v>0</v>
      </c>
      <c r="T66" s="334"/>
      <c r="U66" s="335">
        <f t="shared" si="72"/>
        <v>0</v>
      </c>
      <c r="V66" s="336">
        <f t="shared" ref="V66:V70" si="74">W66*T66</f>
        <v>0</v>
      </c>
      <c r="W66" s="332">
        <v>9000.0</v>
      </c>
      <c r="X66" s="337">
        <f t="shared" ref="X66:X70" si="75">(W66/M66)-1</f>
        <v>0.7904889228</v>
      </c>
      <c r="Y66" s="338"/>
    </row>
    <row r="67" hidden="1">
      <c r="A67" s="126"/>
      <c r="B67" s="126"/>
      <c r="C67" s="288"/>
      <c r="D67" s="326"/>
      <c r="E67" s="326">
        <v>0.0</v>
      </c>
      <c r="F67" s="327">
        <v>0.0</v>
      </c>
      <c r="G67" s="328" t="s">
        <v>2990</v>
      </c>
      <c r="H67" s="364">
        <v>26.0</v>
      </c>
      <c r="I67" s="326" t="s">
        <v>2953</v>
      </c>
      <c r="J67" s="557">
        <v>86.0</v>
      </c>
      <c r="K67" s="558">
        <v>36.0</v>
      </c>
      <c r="L67" s="559">
        <f>69+17</f>
        <v>86</v>
      </c>
      <c r="M67" s="350">
        <f t="shared" si="73"/>
        <v>5026.56</v>
      </c>
      <c r="N67" s="319">
        <f>6043*0.85*1.19</f>
        <v>6112.4945</v>
      </c>
      <c r="O67" s="332"/>
      <c r="P67" s="344">
        <f>4700*0.85*1.19</f>
        <v>4754.05</v>
      </c>
      <c r="Q67" s="333" t="s">
        <v>1630</v>
      </c>
      <c r="R67" s="344">
        <f>4700*0.85*1.19</f>
        <v>4754.05</v>
      </c>
      <c r="S67" s="332">
        <f t="shared" ref="S67:S69" si="76">P67*F67</f>
        <v>0</v>
      </c>
      <c r="T67" s="334"/>
      <c r="U67" s="335">
        <f t="shared" si="72"/>
        <v>0</v>
      </c>
      <c r="V67" s="336">
        <f t="shared" si="74"/>
        <v>0</v>
      </c>
      <c r="W67" s="332">
        <v>9000.0</v>
      </c>
      <c r="X67" s="337">
        <f t="shared" si="75"/>
        <v>0.7904889228</v>
      </c>
      <c r="Y67" s="338"/>
    </row>
    <row r="68" hidden="1">
      <c r="A68" s="126"/>
      <c r="B68" s="126"/>
      <c r="C68" s="288"/>
      <c r="D68" s="326"/>
      <c r="E68" s="326">
        <v>5.0</v>
      </c>
      <c r="F68" s="327">
        <v>0.0</v>
      </c>
      <c r="G68" s="361" t="s">
        <v>2991</v>
      </c>
      <c r="H68" s="564">
        <v>17.0</v>
      </c>
      <c r="I68" s="326"/>
      <c r="J68" s="557" t="s">
        <v>3426</v>
      </c>
      <c r="K68" s="558">
        <v>16.0</v>
      </c>
      <c r="L68" s="559">
        <v>24.0</v>
      </c>
      <c r="M68" s="360">
        <f t="shared" ref="M68:M69" si="77">26400*0.88*1.19</f>
        <v>27646.08</v>
      </c>
      <c r="N68" s="319">
        <f t="shared" ref="N68:N70" si="78">30884*0.85*1.19</f>
        <v>31239.166</v>
      </c>
      <c r="O68" s="332"/>
      <c r="P68" s="344">
        <f t="shared" ref="P68:P70" si="79">29000*0.85*1.19</f>
        <v>29333.5</v>
      </c>
      <c r="Q68" s="333" t="s">
        <v>1630</v>
      </c>
      <c r="R68" s="344">
        <f t="shared" ref="R68:R70" si="80">29000*0.85*1.19</f>
        <v>29333.5</v>
      </c>
      <c r="S68" s="332">
        <f t="shared" si="76"/>
        <v>0</v>
      </c>
      <c r="T68" s="334">
        <v>35000.0</v>
      </c>
      <c r="U68" s="335">
        <f t="shared" si="72"/>
        <v>0</v>
      </c>
      <c r="V68" s="336">
        <f t="shared" si="74"/>
        <v>1470000000</v>
      </c>
      <c r="W68" s="332">
        <v>42000.0</v>
      </c>
      <c r="X68" s="337">
        <f t="shared" si="75"/>
        <v>0.5192027224</v>
      </c>
      <c r="Y68" s="338"/>
    </row>
    <row r="69" hidden="1">
      <c r="A69" s="126"/>
      <c r="B69" s="126"/>
      <c r="C69" s="288"/>
      <c r="D69" s="326"/>
      <c r="E69" s="326">
        <v>0.0</v>
      </c>
      <c r="F69" s="327">
        <v>0.0</v>
      </c>
      <c r="G69" s="361" t="s">
        <v>2992</v>
      </c>
      <c r="H69" s="564">
        <v>18.0</v>
      </c>
      <c r="I69" s="332"/>
      <c r="J69" s="557" t="s">
        <v>3426</v>
      </c>
      <c r="K69" s="558">
        <v>21.0</v>
      </c>
      <c r="L69" s="559">
        <v>33.0</v>
      </c>
      <c r="M69" s="360">
        <f t="shared" si="77"/>
        <v>27646.08</v>
      </c>
      <c r="N69" s="344">
        <f t="shared" si="78"/>
        <v>31239.166</v>
      </c>
      <c r="O69" s="344">
        <v>20000.0</v>
      </c>
      <c r="P69" s="344">
        <f t="shared" si="79"/>
        <v>29333.5</v>
      </c>
      <c r="Q69" s="333" t="s">
        <v>1630</v>
      </c>
      <c r="R69" s="344">
        <f t="shared" si="80"/>
        <v>29333.5</v>
      </c>
      <c r="S69" s="332">
        <f t="shared" si="76"/>
        <v>0</v>
      </c>
      <c r="T69" s="334">
        <v>35000.0</v>
      </c>
      <c r="U69" s="335">
        <f t="shared" si="72"/>
        <v>0</v>
      </c>
      <c r="V69" s="336">
        <f t="shared" si="74"/>
        <v>1470000000</v>
      </c>
      <c r="W69" s="332">
        <v>42000.0</v>
      </c>
      <c r="X69" s="337">
        <f t="shared" si="75"/>
        <v>0.5192027224</v>
      </c>
      <c r="Y69" s="338"/>
    </row>
    <row r="70" hidden="1">
      <c r="A70" s="126"/>
      <c r="B70" s="126"/>
      <c r="C70" s="288"/>
      <c r="D70" s="326"/>
      <c r="E70" s="326">
        <v>0.0</v>
      </c>
      <c r="F70" s="327">
        <v>0.0</v>
      </c>
      <c r="G70" s="361" t="s">
        <v>2993</v>
      </c>
      <c r="H70" s="564">
        <v>21.0</v>
      </c>
      <c r="I70" s="332"/>
      <c r="J70" s="557" t="s">
        <v>3426</v>
      </c>
      <c r="K70" s="558">
        <v>16.0</v>
      </c>
      <c r="L70" s="559">
        <v>28.0</v>
      </c>
      <c r="M70" s="341">
        <f>30000*0.88*1.19</f>
        <v>31416</v>
      </c>
      <c r="N70" s="319">
        <f t="shared" si="78"/>
        <v>31239.166</v>
      </c>
      <c r="O70" s="332"/>
      <c r="P70" s="344">
        <f t="shared" si="79"/>
        <v>29333.5</v>
      </c>
      <c r="Q70" s="333" t="s">
        <v>1630</v>
      </c>
      <c r="R70" s="344">
        <f t="shared" si="80"/>
        <v>29333.5</v>
      </c>
      <c r="S70" s="332">
        <f>F70*O70</f>
        <v>0</v>
      </c>
      <c r="T70" s="334">
        <v>35000.0</v>
      </c>
      <c r="U70" s="335">
        <f t="shared" si="72"/>
        <v>0</v>
      </c>
      <c r="V70" s="336">
        <f t="shared" si="74"/>
        <v>1470000000</v>
      </c>
      <c r="W70" s="332">
        <v>42000.0</v>
      </c>
      <c r="X70" s="337">
        <f t="shared" si="75"/>
        <v>0.3368983957</v>
      </c>
      <c r="Y70" s="338"/>
    </row>
    <row r="71" hidden="1">
      <c r="A71" s="126"/>
      <c r="B71" s="126"/>
      <c r="C71" s="288"/>
      <c r="D71" s="326"/>
      <c r="E71" s="326">
        <v>0.0</v>
      </c>
      <c r="F71" s="327">
        <v>0.0</v>
      </c>
      <c r="G71" s="361" t="s">
        <v>2994</v>
      </c>
      <c r="H71" s="564">
        <v>22.0</v>
      </c>
      <c r="I71" s="331"/>
      <c r="J71" s="557"/>
      <c r="K71" s="558">
        <v>0.0</v>
      </c>
      <c r="L71" s="559">
        <v>1.0</v>
      </c>
      <c r="M71" s="341"/>
      <c r="N71" s="319"/>
      <c r="O71" s="332"/>
      <c r="P71" s="344"/>
      <c r="Q71" s="333"/>
      <c r="R71" s="344"/>
      <c r="S71" s="332"/>
      <c r="T71" s="334"/>
      <c r="U71" s="335"/>
      <c r="V71" s="336"/>
      <c r="W71" s="332">
        <v>42000.0</v>
      </c>
      <c r="X71" s="337"/>
      <c r="Y71" s="338"/>
    </row>
    <row r="72" hidden="1">
      <c r="A72" s="126"/>
      <c r="B72" s="126"/>
      <c r="C72" s="288"/>
      <c r="D72" s="326"/>
      <c r="E72" s="326">
        <v>0.0</v>
      </c>
      <c r="F72" s="327">
        <v>0.0</v>
      </c>
      <c r="G72" s="361" t="s">
        <v>2995</v>
      </c>
      <c r="H72" s="564">
        <v>22.0</v>
      </c>
      <c r="I72" s="331"/>
      <c r="J72" s="557"/>
      <c r="K72" s="558">
        <v>0.0</v>
      </c>
      <c r="L72" s="559">
        <v>1.0</v>
      </c>
      <c r="M72" s="341"/>
      <c r="N72" s="319"/>
      <c r="O72" s="332"/>
      <c r="P72" s="344"/>
      <c r="Q72" s="333"/>
      <c r="R72" s="344"/>
      <c r="S72" s="332"/>
      <c r="T72" s="334"/>
      <c r="U72" s="335"/>
      <c r="V72" s="336"/>
      <c r="W72" s="332">
        <v>42000.0</v>
      </c>
      <c r="X72" s="337"/>
      <c r="Y72" s="338"/>
    </row>
    <row r="73" hidden="1">
      <c r="A73" s="126"/>
      <c r="B73" s="126"/>
      <c r="C73" s="288"/>
      <c r="D73" s="326"/>
      <c r="E73" s="326">
        <v>0.0</v>
      </c>
      <c r="F73" s="327">
        <v>0.0</v>
      </c>
      <c r="G73" s="361" t="s">
        <v>2996</v>
      </c>
      <c r="H73" s="564">
        <v>21.0</v>
      </c>
      <c r="I73" s="331"/>
      <c r="J73" s="557"/>
      <c r="K73" s="558">
        <v>18.0</v>
      </c>
      <c r="L73" s="559">
        <v>19.0</v>
      </c>
      <c r="M73" s="341">
        <f t="shared" ref="M73:M76" si="81">30000*0.88*1.19</f>
        <v>31416</v>
      </c>
      <c r="N73" s="319">
        <f t="shared" ref="N73:N76" si="82">30884*0.85*1.19</f>
        <v>31239.166</v>
      </c>
      <c r="O73" s="332"/>
      <c r="P73" s="344">
        <f t="shared" ref="P73:P76" si="83">29000*0.85*1.19</f>
        <v>29333.5</v>
      </c>
      <c r="Q73" s="333" t="s">
        <v>1630</v>
      </c>
      <c r="R73" s="344">
        <f t="shared" ref="R73:R76" si="84">29000*0.85*1.19</f>
        <v>29333.5</v>
      </c>
      <c r="S73" s="332">
        <f t="shared" ref="S73:S74" si="85">F73*O73</f>
        <v>0</v>
      </c>
      <c r="T73" s="334">
        <v>35000.0</v>
      </c>
      <c r="U73" s="335">
        <f t="shared" ref="U73:U77" si="86">C73*P73</f>
        <v>0</v>
      </c>
      <c r="V73" s="336">
        <f t="shared" ref="V73:V77" si="87">W73*T73</f>
        <v>1470000000</v>
      </c>
      <c r="W73" s="332">
        <v>42000.0</v>
      </c>
      <c r="X73" s="337">
        <f t="shared" ref="X73:X77" si="88">(W73/M73)-1</f>
        <v>0.3368983957</v>
      </c>
      <c r="Y73" s="338"/>
    </row>
    <row r="74" hidden="1">
      <c r="A74" s="126"/>
      <c r="B74" s="126"/>
      <c r="C74" s="288"/>
      <c r="D74" s="326"/>
      <c r="E74" s="326">
        <v>0.0</v>
      </c>
      <c r="F74" s="327">
        <v>0.0</v>
      </c>
      <c r="G74" s="361" t="s">
        <v>2997</v>
      </c>
      <c r="H74" s="564">
        <v>19.0</v>
      </c>
      <c r="I74" s="331"/>
      <c r="J74" s="557" t="s">
        <v>3426</v>
      </c>
      <c r="K74" s="558">
        <v>10.0</v>
      </c>
      <c r="L74" s="559">
        <v>19.0</v>
      </c>
      <c r="M74" s="341">
        <f t="shared" si="81"/>
        <v>31416</v>
      </c>
      <c r="N74" s="319">
        <f t="shared" si="82"/>
        <v>31239.166</v>
      </c>
      <c r="O74" s="332"/>
      <c r="P74" s="344">
        <f t="shared" si="83"/>
        <v>29333.5</v>
      </c>
      <c r="Q74" s="333" t="s">
        <v>1630</v>
      </c>
      <c r="R74" s="344">
        <f t="shared" si="84"/>
        <v>29333.5</v>
      </c>
      <c r="S74" s="332">
        <f t="shared" si="85"/>
        <v>0</v>
      </c>
      <c r="T74" s="334">
        <v>35000.0</v>
      </c>
      <c r="U74" s="335">
        <f t="shared" si="86"/>
        <v>0</v>
      </c>
      <c r="V74" s="336">
        <f t="shared" si="87"/>
        <v>1470000000</v>
      </c>
      <c r="W74" s="332">
        <v>42000.0</v>
      </c>
      <c r="X74" s="337">
        <f t="shared" si="88"/>
        <v>0.3368983957</v>
      </c>
      <c r="Y74" s="338"/>
    </row>
    <row r="75" hidden="1">
      <c r="A75" s="126"/>
      <c r="B75" s="126"/>
      <c r="C75" s="288"/>
      <c r="D75" s="326"/>
      <c r="E75" s="326">
        <v>20.0</v>
      </c>
      <c r="F75" s="327">
        <v>5.0</v>
      </c>
      <c r="G75" s="361" t="s">
        <v>2998</v>
      </c>
      <c r="H75" s="564">
        <v>20.0</v>
      </c>
      <c r="I75" s="331"/>
      <c r="J75" s="557"/>
      <c r="K75" s="558">
        <v>3.0</v>
      </c>
      <c r="L75" s="559">
        <v>7.0</v>
      </c>
      <c r="M75" s="341">
        <f t="shared" si="81"/>
        <v>31416</v>
      </c>
      <c r="N75" s="344">
        <f t="shared" si="82"/>
        <v>31239.166</v>
      </c>
      <c r="O75" s="332"/>
      <c r="P75" s="344">
        <f t="shared" si="83"/>
        <v>29333.5</v>
      </c>
      <c r="Q75" s="333" t="s">
        <v>1630</v>
      </c>
      <c r="R75" s="344">
        <f t="shared" si="84"/>
        <v>29333.5</v>
      </c>
      <c r="S75" s="332">
        <f t="shared" ref="S75:S77" si="89">P75*F75</f>
        <v>146667.5</v>
      </c>
      <c r="T75" s="334">
        <v>35000.0</v>
      </c>
      <c r="U75" s="335">
        <f t="shared" si="86"/>
        <v>0</v>
      </c>
      <c r="V75" s="336">
        <f t="shared" si="87"/>
        <v>1470000000</v>
      </c>
      <c r="W75" s="332">
        <v>42000.0</v>
      </c>
      <c r="X75" s="337">
        <f t="shared" si="88"/>
        <v>0.3368983957</v>
      </c>
      <c r="Y75" s="338"/>
    </row>
    <row r="76" hidden="1">
      <c r="A76" s="126"/>
      <c r="B76" s="126"/>
      <c r="C76" s="287"/>
      <c r="D76" s="326"/>
      <c r="E76" s="326">
        <v>6.0</v>
      </c>
      <c r="F76" s="327">
        <v>0.0</v>
      </c>
      <c r="G76" s="361" t="s">
        <v>2999</v>
      </c>
      <c r="H76" s="564">
        <v>20.0</v>
      </c>
      <c r="I76" s="331"/>
      <c r="J76" s="557"/>
      <c r="K76" s="558">
        <v>7.0</v>
      </c>
      <c r="L76" s="559">
        <v>10.0</v>
      </c>
      <c r="M76" s="341">
        <f t="shared" si="81"/>
        <v>31416</v>
      </c>
      <c r="N76" s="344">
        <f t="shared" si="82"/>
        <v>31239.166</v>
      </c>
      <c r="O76" s="332"/>
      <c r="P76" s="344">
        <f t="shared" si="83"/>
        <v>29333.5</v>
      </c>
      <c r="Q76" s="333" t="s">
        <v>1630</v>
      </c>
      <c r="R76" s="344">
        <f t="shared" si="84"/>
        <v>29333.5</v>
      </c>
      <c r="S76" s="332">
        <f t="shared" si="89"/>
        <v>0</v>
      </c>
      <c r="T76" s="334">
        <v>35000.0</v>
      </c>
      <c r="U76" s="335">
        <f t="shared" si="86"/>
        <v>0</v>
      </c>
      <c r="V76" s="336">
        <f t="shared" si="87"/>
        <v>1470000000</v>
      </c>
      <c r="W76" s="332">
        <v>42000.0</v>
      </c>
      <c r="X76" s="337">
        <f t="shared" si="88"/>
        <v>0.3368983957</v>
      </c>
      <c r="Y76" s="338"/>
    </row>
    <row r="77" hidden="1">
      <c r="A77" s="126"/>
      <c r="B77" s="126"/>
      <c r="C77" s="288"/>
      <c r="D77" s="326"/>
      <c r="E77" s="326">
        <v>0.0</v>
      </c>
      <c r="F77" s="327">
        <v>20.0</v>
      </c>
      <c r="G77" s="339" t="s">
        <v>3000</v>
      </c>
      <c r="H77" s="364">
        <v>53.0</v>
      </c>
      <c r="I77" s="329"/>
      <c r="J77" s="557"/>
      <c r="K77" s="558">
        <v>30.0</v>
      </c>
      <c r="L77" s="559">
        <v>60.0</v>
      </c>
      <c r="M77" s="360">
        <f>4800*0.88*1.19</f>
        <v>5026.56</v>
      </c>
      <c r="N77" s="319">
        <f>6043*0.85*1.19</f>
        <v>6112.4945</v>
      </c>
      <c r="O77" s="343"/>
      <c r="P77" s="344">
        <f>4600*0.85*1.19</f>
        <v>4652.9</v>
      </c>
      <c r="Q77" s="333" t="s">
        <v>1630</v>
      </c>
      <c r="R77" s="344">
        <f>4600*0.85*1.19</f>
        <v>4652.9</v>
      </c>
      <c r="S77" s="332">
        <f t="shared" si="89"/>
        <v>93058</v>
      </c>
      <c r="T77" s="334">
        <v>8000.0</v>
      </c>
      <c r="U77" s="335">
        <f t="shared" si="86"/>
        <v>0</v>
      </c>
      <c r="V77" s="336">
        <f t="shared" si="87"/>
        <v>80000000</v>
      </c>
      <c r="W77" s="332">
        <v>10000.0</v>
      </c>
      <c r="X77" s="337">
        <f t="shared" si="88"/>
        <v>0.9894321365</v>
      </c>
      <c r="Y77" s="338"/>
    </row>
    <row r="78" hidden="1">
      <c r="A78" s="126"/>
      <c r="B78" s="126"/>
      <c r="C78" s="288"/>
      <c r="D78" s="326"/>
      <c r="E78" s="326">
        <v>0.0</v>
      </c>
      <c r="F78" s="327">
        <v>0.0</v>
      </c>
      <c r="G78" s="339" t="s">
        <v>3001</v>
      </c>
      <c r="H78" s="364">
        <v>53.0</v>
      </c>
      <c r="I78" s="329"/>
      <c r="J78" s="557"/>
      <c r="K78" s="558">
        <v>42.0</v>
      </c>
      <c r="L78" s="559">
        <v>100.0</v>
      </c>
      <c r="M78" s="341"/>
      <c r="N78" s="319"/>
      <c r="O78" s="343"/>
      <c r="P78" s="344"/>
      <c r="Q78" s="333"/>
      <c r="R78" s="344"/>
      <c r="S78" s="332"/>
      <c r="T78" s="334">
        <v>8000.0</v>
      </c>
      <c r="U78" s="335"/>
      <c r="V78" s="336"/>
      <c r="W78" s="332"/>
      <c r="X78" s="337"/>
      <c r="Y78" s="338"/>
    </row>
    <row r="79" hidden="1">
      <c r="A79" s="126"/>
      <c r="B79" s="126"/>
      <c r="C79" s="287"/>
      <c r="D79" s="326"/>
      <c r="E79" s="326">
        <v>6.0</v>
      </c>
      <c r="F79" s="327">
        <v>0.0</v>
      </c>
      <c r="G79" s="339" t="s">
        <v>3002</v>
      </c>
      <c r="H79" s="364">
        <v>45.0</v>
      </c>
      <c r="I79" s="331"/>
      <c r="J79" s="557"/>
      <c r="K79" s="558">
        <v>6.0</v>
      </c>
      <c r="L79" s="559">
        <v>13.0</v>
      </c>
      <c r="M79" s="344">
        <f>4800*1.19*0.88</f>
        <v>5026.56</v>
      </c>
      <c r="N79" s="331">
        <v>5223.0</v>
      </c>
      <c r="O79" s="343"/>
      <c r="P79" s="319"/>
      <c r="Q79" s="333" t="s">
        <v>2918</v>
      </c>
      <c r="R79" s="344">
        <f>4800*1.19*0.88</f>
        <v>5026.56</v>
      </c>
      <c r="S79" s="332">
        <f>F79*M79</f>
        <v>0</v>
      </c>
      <c r="T79" s="334"/>
      <c r="U79" s="335">
        <f>M79*T79</f>
        <v>0</v>
      </c>
      <c r="V79" s="336">
        <f t="shared" ref="V79:V84" si="90">W79*T79</f>
        <v>0</v>
      </c>
      <c r="W79" s="332">
        <v>9000.0</v>
      </c>
      <c r="X79" s="337">
        <f t="shared" ref="X79:X83" si="91">(W79/M79)-1</f>
        <v>0.7904889228</v>
      </c>
      <c r="Y79" s="338"/>
    </row>
    <row r="80" hidden="1">
      <c r="A80" s="126"/>
      <c r="B80" s="126"/>
      <c r="C80" s="288"/>
      <c r="D80" s="326"/>
      <c r="E80" s="326">
        <v>0.0</v>
      </c>
      <c r="F80" s="327">
        <v>10.0</v>
      </c>
      <c r="G80" s="359" t="s">
        <v>3003</v>
      </c>
      <c r="H80" s="562">
        <v>52.0</v>
      </c>
      <c r="I80" s="331"/>
      <c r="J80" s="557"/>
      <c r="K80" s="558">
        <v>16.0</v>
      </c>
      <c r="L80" s="559">
        <v>10.0</v>
      </c>
      <c r="M80" s="360">
        <f>4800*0.88*1.19</f>
        <v>5026.56</v>
      </c>
      <c r="N80" s="331">
        <v>3266.0</v>
      </c>
      <c r="O80" s="332"/>
      <c r="P80" s="344">
        <f>4600*0.85*1.19</f>
        <v>4652.9</v>
      </c>
      <c r="Q80" s="333" t="s">
        <v>1630</v>
      </c>
      <c r="R80" s="344">
        <f>4600*0.85*1.19</f>
        <v>4652.9</v>
      </c>
      <c r="S80" s="332">
        <f>N80*F80</f>
        <v>32660</v>
      </c>
      <c r="T80" s="334"/>
      <c r="U80" s="335">
        <f>C80*P80</f>
        <v>0</v>
      </c>
      <c r="V80" s="336">
        <f t="shared" si="90"/>
        <v>0</v>
      </c>
      <c r="W80" s="332">
        <v>9000.0</v>
      </c>
      <c r="X80" s="337">
        <f t="shared" si="91"/>
        <v>0.7904889228</v>
      </c>
      <c r="Y80" s="338"/>
    </row>
    <row r="81" hidden="1">
      <c r="A81" s="126"/>
      <c r="B81" s="126"/>
      <c r="C81" s="288"/>
      <c r="D81" s="327">
        <v>10.0</v>
      </c>
      <c r="E81" s="326">
        <v>10.0</v>
      </c>
      <c r="F81" s="327"/>
      <c r="G81" s="346" t="s">
        <v>3004</v>
      </c>
      <c r="H81" s="561">
        <v>24.0</v>
      </c>
      <c r="I81" s="331" t="s">
        <v>3005</v>
      </c>
      <c r="J81" s="557"/>
      <c r="K81" s="558">
        <v>5.0</v>
      </c>
      <c r="L81" s="559">
        <v>7.0</v>
      </c>
      <c r="M81" s="357">
        <f t="shared" ref="M81:M83" si="92">4600*1.19*0.88</f>
        <v>4817.12</v>
      </c>
      <c r="N81" s="331"/>
      <c r="O81" s="351">
        <v>3740.0</v>
      </c>
      <c r="P81" s="355"/>
      <c r="Q81" s="333" t="s">
        <v>2909</v>
      </c>
      <c r="R81" s="351">
        <v>3740.0</v>
      </c>
      <c r="S81" s="332">
        <f t="shared" ref="S81:S83" si="93">F81*O81</f>
        <v>0</v>
      </c>
      <c r="T81" s="334"/>
      <c r="U81" s="335">
        <f t="shared" ref="U81:U84" si="94">P81*T81</f>
        <v>0</v>
      </c>
      <c r="V81" s="336">
        <f t="shared" si="90"/>
        <v>0</v>
      </c>
      <c r="W81" s="332">
        <v>9000.0</v>
      </c>
      <c r="X81" s="337">
        <f t="shared" si="91"/>
        <v>0.8683362673</v>
      </c>
      <c r="Y81" s="338"/>
    </row>
    <row r="82" hidden="1">
      <c r="A82" s="126"/>
      <c r="B82" s="126"/>
      <c r="C82" s="288"/>
      <c r="D82" s="327">
        <v>10.0</v>
      </c>
      <c r="E82" s="326">
        <v>10.0</v>
      </c>
      <c r="F82" s="327"/>
      <c r="G82" s="346" t="s">
        <v>3006</v>
      </c>
      <c r="H82" s="561">
        <v>24.0</v>
      </c>
      <c r="I82" s="331" t="s">
        <v>3005</v>
      </c>
      <c r="J82" s="557"/>
      <c r="K82" s="558">
        <v>0.0</v>
      </c>
      <c r="L82" s="559">
        <v>4.0</v>
      </c>
      <c r="M82" s="357">
        <f t="shared" si="92"/>
        <v>4817.12</v>
      </c>
      <c r="N82" s="331"/>
      <c r="O82" s="351">
        <v>3740.0</v>
      </c>
      <c r="P82" s="355"/>
      <c r="Q82" s="333" t="s">
        <v>2909</v>
      </c>
      <c r="R82" s="351">
        <v>3740.0</v>
      </c>
      <c r="S82" s="332">
        <f t="shared" si="93"/>
        <v>0</v>
      </c>
      <c r="T82" s="334"/>
      <c r="U82" s="335">
        <f t="shared" si="94"/>
        <v>0</v>
      </c>
      <c r="V82" s="336">
        <f t="shared" si="90"/>
        <v>0</v>
      </c>
      <c r="W82" s="332">
        <v>9000.0</v>
      </c>
      <c r="X82" s="337">
        <f t="shared" si="91"/>
        <v>0.8683362673</v>
      </c>
      <c r="Y82" s="338"/>
    </row>
    <row r="83" hidden="1">
      <c r="A83" s="126"/>
      <c r="B83" s="126"/>
      <c r="C83" s="288"/>
      <c r="D83" s="326"/>
      <c r="E83" s="326">
        <v>0.0</v>
      </c>
      <c r="F83" s="327">
        <v>0.0</v>
      </c>
      <c r="G83" s="346" t="s">
        <v>3007</v>
      </c>
      <c r="H83" s="561">
        <v>24.0</v>
      </c>
      <c r="I83" s="331"/>
      <c r="J83" s="557"/>
      <c r="K83" s="558">
        <v>8.0</v>
      </c>
      <c r="L83" s="559">
        <v>38.0</v>
      </c>
      <c r="M83" s="357">
        <f t="shared" si="92"/>
        <v>4817.12</v>
      </c>
      <c r="N83" s="331"/>
      <c r="O83" s="351">
        <v>3740.0</v>
      </c>
      <c r="P83" s="355"/>
      <c r="Q83" s="333" t="s">
        <v>2909</v>
      </c>
      <c r="R83" s="351">
        <v>3740.0</v>
      </c>
      <c r="S83" s="332">
        <f t="shared" si="93"/>
        <v>0</v>
      </c>
      <c r="T83" s="334"/>
      <c r="U83" s="335">
        <f t="shared" si="94"/>
        <v>0</v>
      </c>
      <c r="V83" s="336">
        <f t="shared" si="90"/>
        <v>0</v>
      </c>
      <c r="W83" s="332">
        <v>9000.0</v>
      </c>
      <c r="X83" s="337">
        <f t="shared" si="91"/>
        <v>0.8683362673</v>
      </c>
      <c r="Y83" s="338"/>
    </row>
    <row r="84" hidden="1">
      <c r="A84" s="126"/>
      <c r="B84" s="167"/>
      <c r="C84" s="288"/>
      <c r="D84" s="326"/>
      <c r="E84" s="326">
        <v>10.0</v>
      </c>
      <c r="F84" s="327">
        <v>20.0</v>
      </c>
      <c r="G84" s="346" t="s">
        <v>3008</v>
      </c>
      <c r="H84" s="561">
        <v>24.0</v>
      </c>
      <c r="I84" s="331"/>
      <c r="J84" s="557"/>
      <c r="K84" s="558">
        <v>0.0</v>
      </c>
      <c r="L84" s="559">
        <v>0.0</v>
      </c>
      <c r="M84" s="319" t="s">
        <v>611</v>
      </c>
      <c r="N84" s="363" t="s">
        <v>2927</v>
      </c>
      <c r="O84" s="347"/>
      <c r="P84" s="319"/>
      <c r="Q84" s="333"/>
      <c r="R84" s="332"/>
      <c r="S84" s="332"/>
      <c r="T84" s="334"/>
      <c r="U84" s="335">
        <f t="shared" si="94"/>
        <v>0</v>
      </c>
      <c r="V84" s="336">
        <f t="shared" si="90"/>
        <v>0</v>
      </c>
      <c r="W84" s="332">
        <v>9000.0</v>
      </c>
      <c r="X84" s="337"/>
      <c r="Y84" s="338"/>
    </row>
    <row r="85" hidden="1">
      <c r="A85" s="126"/>
      <c r="B85" s="167"/>
      <c r="C85" s="288"/>
      <c r="D85" s="326"/>
      <c r="E85" s="326">
        <v>8.0</v>
      </c>
      <c r="F85" s="327">
        <v>20.0</v>
      </c>
      <c r="G85" s="346" t="s">
        <v>3009</v>
      </c>
      <c r="H85" s="561">
        <v>24.0</v>
      </c>
      <c r="I85" s="331"/>
      <c r="J85" s="557"/>
      <c r="K85" s="558">
        <v>2.0</v>
      </c>
      <c r="L85" s="559">
        <v>0.0</v>
      </c>
      <c r="M85" s="319" t="s">
        <v>611</v>
      </c>
      <c r="N85" s="363" t="s">
        <v>2927</v>
      </c>
      <c r="O85" s="347"/>
      <c r="P85" s="319"/>
      <c r="Q85" s="333"/>
      <c r="R85" s="332"/>
      <c r="S85" s="332"/>
      <c r="T85" s="334"/>
      <c r="U85" s="335"/>
      <c r="V85" s="336"/>
      <c r="W85" s="332">
        <v>9000.0</v>
      </c>
      <c r="X85" s="337"/>
      <c r="Y85" s="338"/>
    </row>
    <row r="86" hidden="1">
      <c r="A86" s="126"/>
      <c r="B86" s="126"/>
      <c r="C86" s="287"/>
      <c r="D86" s="326"/>
      <c r="E86" s="326">
        <v>6.0</v>
      </c>
      <c r="F86" s="327">
        <v>0.0</v>
      </c>
      <c r="G86" s="346" t="s">
        <v>3010</v>
      </c>
      <c r="H86" s="561">
        <v>23.0</v>
      </c>
      <c r="I86" s="329"/>
      <c r="J86" s="557"/>
      <c r="K86" s="558">
        <v>14.0</v>
      </c>
      <c r="L86" s="559">
        <v>29.0</v>
      </c>
      <c r="M86" s="319">
        <f t="shared" ref="M86:M87" si="95">21500*0.88*1.19</f>
        <v>22514.8</v>
      </c>
      <c r="N86" s="319">
        <f>24071*0.85*1.19</f>
        <v>24347.8165</v>
      </c>
      <c r="O86" s="332"/>
      <c r="P86" s="344">
        <f>22000*0.85*1.19</f>
        <v>22253</v>
      </c>
      <c r="Q86" s="333" t="s">
        <v>1630</v>
      </c>
      <c r="R86" s="344">
        <f>22000*0.85*1.19</f>
        <v>22253</v>
      </c>
      <c r="S86" s="332">
        <f>P86*F86</f>
        <v>0</v>
      </c>
      <c r="T86" s="334"/>
      <c r="U86" s="335">
        <f t="shared" ref="U86:U88" si="96">C86*P86</f>
        <v>0</v>
      </c>
      <c r="V86" s="336">
        <f t="shared" ref="V86:V100" si="97">W86*T86</f>
        <v>0</v>
      </c>
      <c r="W86" s="332">
        <v>40000.0</v>
      </c>
      <c r="X86" s="337">
        <f t="shared" ref="X86:X88" si="98">(W86/M86)-1</f>
        <v>0.7766091638</v>
      </c>
      <c r="Y86" s="338"/>
    </row>
    <row r="87" hidden="1">
      <c r="A87" s="126"/>
      <c r="B87" s="126"/>
      <c r="C87" s="326"/>
      <c r="D87" s="326">
        <v>20.0</v>
      </c>
      <c r="E87" s="326">
        <v>20.0</v>
      </c>
      <c r="F87" s="327">
        <v>0.0</v>
      </c>
      <c r="G87" s="346" t="s">
        <v>3011</v>
      </c>
      <c r="H87" s="561">
        <v>30.0</v>
      </c>
      <c r="I87" s="348"/>
      <c r="J87" s="557" t="s">
        <v>3426</v>
      </c>
      <c r="K87" s="558">
        <v>19.0</v>
      </c>
      <c r="L87" s="559">
        <v>48.0</v>
      </c>
      <c r="M87" s="344">
        <f t="shared" si="95"/>
        <v>22514.8</v>
      </c>
      <c r="N87" s="319">
        <f>26620*0.85*1.19</f>
        <v>26926.13</v>
      </c>
      <c r="O87" s="351">
        <v>17000.0</v>
      </c>
      <c r="P87" s="344">
        <f>21000*0.85*1.19</f>
        <v>21241.5</v>
      </c>
      <c r="Q87" s="333" t="s">
        <v>2909</v>
      </c>
      <c r="R87" s="351">
        <v>17000.0</v>
      </c>
      <c r="S87" s="332">
        <f>F87*M87</f>
        <v>0</v>
      </c>
      <c r="T87" s="334">
        <v>32000.0</v>
      </c>
      <c r="U87" s="335">
        <f t="shared" si="96"/>
        <v>0</v>
      </c>
      <c r="V87" s="336">
        <f t="shared" si="97"/>
        <v>1152000000</v>
      </c>
      <c r="W87" s="332">
        <v>36000.0</v>
      </c>
      <c r="X87" s="337">
        <f t="shared" si="98"/>
        <v>0.5989482474</v>
      </c>
      <c r="Y87" s="338"/>
    </row>
    <row r="88" hidden="1">
      <c r="A88" s="167"/>
      <c r="B88" s="126"/>
      <c r="C88" s="288"/>
      <c r="D88" s="326"/>
      <c r="E88" s="326">
        <v>0.0</v>
      </c>
      <c r="F88" s="364">
        <v>20.0</v>
      </c>
      <c r="G88" s="346" t="s">
        <v>3012</v>
      </c>
      <c r="H88" s="561">
        <v>25.0</v>
      </c>
      <c r="I88" s="326" t="s">
        <v>2953</v>
      </c>
      <c r="J88" s="557"/>
      <c r="K88" s="558">
        <v>58.0</v>
      </c>
      <c r="L88" s="559">
        <v>21.0</v>
      </c>
      <c r="M88" s="350">
        <f>17700*1.19*0.88</f>
        <v>18535.44</v>
      </c>
      <c r="N88" s="344">
        <f t="shared" ref="N88:N89" si="99">22048*1.19*0.85</f>
        <v>22301.552</v>
      </c>
      <c r="O88" s="347"/>
      <c r="P88" s="344">
        <f>20000*0.85*1.19</f>
        <v>20230</v>
      </c>
      <c r="Q88" s="333" t="s">
        <v>1630</v>
      </c>
      <c r="R88" s="344">
        <f>20000*0.85*1.19</f>
        <v>20230</v>
      </c>
      <c r="S88" s="332">
        <f>P88*F88</f>
        <v>404600</v>
      </c>
      <c r="T88" s="334">
        <v>30000.0</v>
      </c>
      <c r="U88" s="335">
        <f t="shared" si="96"/>
        <v>0</v>
      </c>
      <c r="V88" s="336">
        <f t="shared" si="97"/>
        <v>1020000000</v>
      </c>
      <c r="W88" s="332">
        <v>34000.0</v>
      </c>
      <c r="X88" s="337">
        <f t="shared" si="98"/>
        <v>0.8343238682</v>
      </c>
      <c r="Y88" s="338"/>
    </row>
    <row r="89" hidden="1">
      <c r="A89" s="126"/>
      <c r="B89" s="126"/>
      <c r="C89" s="287"/>
      <c r="D89" s="326"/>
      <c r="E89" s="326">
        <v>0.0</v>
      </c>
      <c r="F89" s="327">
        <v>0.0</v>
      </c>
      <c r="G89" s="346" t="s">
        <v>3013</v>
      </c>
      <c r="H89" s="561" t="s">
        <v>3082</v>
      </c>
      <c r="I89" s="326" t="s">
        <v>3014</v>
      </c>
      <c r="J89" s="557"/>
      <c r="K89" s="558">
        <v>15.0</v>
      </c>
      <c r="L89" s="559">
        <v>13.0</v>
      </c>
      <c r="M89" s="319" t="s">
        <v>611</v>
      </c>
      <c r="N89" s="344">
        <f t="shared" si="99"/>
        <v>22301.552</v>
      </c>
      <c r="O89" s="332"/>
      <c r="P89" s="319"/>
      <c r="Q89" s="333" t="s">
        <v>3015</v>
      </c>
      <c r="R89" s="344">
        <f>22048*1.19*0.85</f>
        <v>22301.552</v>
      </c>
      <c r="S89" s="332">
        <f>F89*N89</f>
        <v>0</v>
      </c>
      <c r="T89" s="334"/>
      <c r="U89" s="335">
        <f>T89*N89</f>
        <v>0</v>
      </c>
      <c r="V89" s="336">
        <f t="shared" si="97"/>
        <v>0</v>
      </c>
      <c r="W89" s="332">
        <v>32000.0</v>
      </c>
      <c r="X89" s="337">
        <f>(W89/N89)-1</f>
        <v>0.4348777161</v>
      </c>
      <c r="Y89" s="338"/>
    </row>
    <row r="90" hidden="1">
      <c r="A90" s="126"/>
      <c r="B90" s="126"/>
      <c r="C90" s="288"/>
      <c r="D90" s="326"/>
      <c r="E90" s="326">
        <v>0.0</v>
      </c>
      <c r="F90" s="327">
        <v>0.0</v>
      </c>
      <c r="G90" s="346" t="s">
        <v>3016</v>
      </c>
      <c r="H90" s="561">
        <v>15.0</v>
      </c>
      <c r="I90" s="326"/>
      <c r="J90" s="557" t="s">
        <v>3426</v>
      </c>
      <c r="K90" s="558">
        <v>16.0</v>
      </c>
      <c r="L90" s="559">
        <v>50.0</v>
      </c>
      <c r="M90" s="319">
        <f>10000*0.88*1.19</f>
        <v>10472</v>
      </c>
      <c r="N90" s="351">
        <f>11527*0.85*1.19</f>
        <v>11659.5605</v>
      </c>
      <c r="O90" s="351">
        <v>4000.0</v>
      </c>
      <c r="P90" s="344">
        <f>8500*0.85*1.19</f>
        <v>8597.75</v>
      </c>
      <c r="Q90" s="333" t="s">
        <v>2909</v>
      </c>
      <c r="R90" s="351">
        <v>4000.0</v>
      </c>
      <c r="S90" s="332">
        <f>F90*O90</f>
        <v>0</v>
      </c>
      <c r="T90" s="334"/>
      <c r="U90" s="335">
        <f t="shared" ref="U90:U91" si="100">C90*P90</f>
        <v>0</v>
      </c>
      <c r="V90" s="336">
        <f t="shared" si="97"/>
        <v>0</v>
      </c>
      <c r="W90" s="332">
        <v>13000.0</v>
      </c>
      <c r="X90" s="337">
        <f t="shared" ref="X90:X95" si="101">(W90/M90)-1</f>
        <v>0.2414056532</v>
      </c>
      <c r="Y90" s="338"/>
    </row>
    <row r="91" hidden="1">
      <c r="A91" s="126"/>
      <c r="B91" s="126"/>
      <c r="C91" s="287"/>
      <c r="D91" s="326"/>
      <c r="E91" s="326">
        <v>0.0</v>
      </c>
      <c r="F91" s="327">
        <v>0.0</v>
      </c>
      <c r="G91" s="346" t="s">
        <v>3017</v>
      </c>
      <c r="H91" s="561">
        <v>28.0</v>
      </c>
      <c r="I91" s="326" t="s">
        <v>2953</v>
      </c>
      <c r="J91" s="557">
        <v>360.0</v>
      </c>
      <c r="K91" s="558">
        <v>12.0</v>
      </c>
      <c r="L91" s="563">
        <f>12*30</f>
        <v>360</v>
      </c>
      <c r="M91" s="365">
        <f t="shared" ref="M91:M92" si="102">1900*0.88*1.19</f>
        <v>1989.68</v>
      </c>
      <c r="N91" s="351">
        <v>2223.0</v>
      </c>
      <c r="O91" s="347"/>
      <c r="P91" s="344">
        <f>21600*0.85*1.19/12</f>
        <v>1820.7</v>
      </c>
      <c r="Q91" s="333" t="s">
        <v>65</v>
      </c>
      <c r="R91" s="344">
        <f>21600*0.85*1.19/12</f>
        <v>1820.7</v>
      </c>
      <c r="S91" s="332">
        <f>P91*F91</f>
        <v>0</v>
      </c>
      <c r="T91" s="334"/>
      <c r="U91" s="335">
        <f t="shared" si="100"/>
        <v>0</v>
      </c>
      <c r="V91" s="336">
        <f t="shared" si="97"/>
        <v>0</v>
      </c>
      <c r="W91" s="332">
        <v>5000.0</v>
      </c>
      <c r="X91" s="337">
        <f t="shared" si="101"/>
        <v>1.512966909</v>
      </c>
      <c r="Y91" s="338"/>
    </row>
    <row r="92" hidden="1">
      <c r="A92" s="126"/>
      <c r="B92" s="126"/>
      <c r="C92" s="287"/>
      <c r="D92" s="326"/>
      <c r="E92" s="326">
        <v>0.0</v>
      </c>
      <c r="F92" s="327">
        <v>0.0</v>
      </c>
      <c r="G92" s="346" t="s">
        <v>3018</v>
      </c>
      <c r="H92" s="561">
        <v>28.0</v>
      </c>
      <c r="I92" s="331"/>
      <c r="J92" s="557"/>
      <c r="K92" s="558">
        <v>0.0</v>
      </c>
      <c r="L92" s="559">
        <v>12.0</v>
      </c>
      <c r="M92" s="366">
        <f t="shared" si="102"/>
        <v>1989.68</v>
      </c>
      <c r="N92" s="354"/>
      <c r="O92" s="351"/>
      <c r="P92" s="319"/>
      <c r="Q92" s="333"/>
      <c r="R92" s="332"/>
      <c r="S92" s="332">
        <f>F92*O92</f>
        <v>0</v>
      </c>
      <c r="T92" s="334"/>
      <c r="U92" s="335">
        <f>P92*T92</f>
        <v>0</v>
      </c>
      <c r="V92" s="336">
        <f t="shared" si="97"/>
        <v>0</v>
      </c>
      <c r="W92" s="332">
        <v>5000.0</v>
      </c>
      <c r="X92" s="337">
        <f t="shared" si="101"/>
        <v>1.512966909</v>
      </c>
      <c r="Y92" s="338"/>
    </row>
    <row r="93" hidden="1">
      <c r="A93" s="126"/>
      <c r="B93" s="126"/>
      <c r="C93" s="288"/>
      <c r="D93" s="326"/>
      <c r="E93" s="326">
        <v>0.0</v>
      </c>
      <c r="F93" s="327">
        <v>10.0</v>
      </c>
      <c r="G93" s="346" t="s">
        <v>3019</v>
      </c>
      <c r="H93" s="561">
        <v>4.0</v>
      </c>
      <c r="I93" s="332"/>
      <c r="J93" s="557" t="s">
        <v>3426</v>
      </c>
      <c r="K93" s="558">
        <v>59.0</v>
      </c>
      <c r="L93" s="559">
        <v>27.0</v>
      </c>
      <c r="M93" s="365">
        <f>3700*0.88*1.19</f>
        <v>3874.64</v>
      </c>
      <c r="N93" s="357">
        <f>2725*0.85*1.19</f>
        <v>2756.3375</v>
      </c>
      <c r="O93" s="332"/>
      <c r="P93" s="344">
        <f>3500*0.85*1.19</f>
        <v>3540.25</v>
      </c>
      <c r="Q93" s="333" t="s">
        <v>1630</v>
      </c>
      <c r="R93" s="344">
        <f>3500*0.85*1.19</f>
        <v>3540.25</v>
      </c>
      <c r="S93" s="332">
        <f>P93*F93</f>
        <v>35402.5</v>
      </c>
      <c r="T93" s="334">
        <v>5000.0</v>
      </c>
      <c r="U93" s="335">
        <f t="shared" ref="U93:U95" si="103">C93*P93</f>
        <v>0</v>
      </c>
      <c r="V93" s="336">
        <f t="shared" si="97"/>
        <v>35000000</v>
      </c>
      <c r="W93" s="332">
        <v>7000.0</v>
      </c>
      <c r="X93" s="337">
        <f t="shared" si="101"/>
        <v>0.8066194537</v>
      </c>
      <c r="Y93" s="338"/>
    </row>
    <row r="94" hidden="1">
      <c r="A94" s="126"/>
      <c r="B94" s="126"/>
      <c r="C94" s="288"/>
      <c r="D94" s="327">
        <v>20.0</v>
      </c>
      <c r="E94" s="326">
        <v>20.0</v>
      </c>
      <c r="F94" s="327"/>
      <c r="G94" s="346" t="s">
        <v>3020</v>
      </c>
      <c r="H94" s="561">
        <v>28.0</v>
      </c>
      <c r="I94" s="326" t="s">
        <v>2953</v>
      </c>
      <c r="J94" s="557">
        <v>39.0</v>
      </c>
      <c r="K94" s="558">
        <v>9.0</v>
      </c>
      <c r="L94" s="559">
        <v>39.0</v>
      </c>
      <c r="M94" s="319">
        <f>3900*0.88*1.19</f>
        <v>4084.08</v>
      </c>
      <c r="N94" s="319">
        <f>3507*1.19*0.85</f>
        <v>3547.3305</v>
      </c>
      <c r="O94" s="351">
        <v>2500.0</v>
      </c>
      <c r="P94" s="344">
        <f>3000*0.85*1.19</f>
        <v>3034.5</v>
      </c>
      <c r="Q94" s="333" t="s">
        <v>2909</v>
      </c>
      <c r="R94" s="351">
        <v>2500.0</v>
      </c>
      <c r="S94" s="332">
        <f>F94*O94</f>
        <v>0</v>
      </c>
      <c r="T94" s="334"/>
      <c r="U94" s="335">
        <f t="shared" si="103"/>
        <v>0</v>
      </c>
      <c r="V94" s="336">
        <f t="shared" si="97"/>
        <v>0</v>
      </c>
      <c r="W94" s="332">
        <v>7000.0</v>
      </c>
      <c r="X94" s="337">
        <f t="shared" si="101"/>
        <v>0.7139723022</v>
      </c>
      <c r="Y94" s="338"/>
    </row>
    <row r="95" hidden="1">
      <c r="A95" s="126"/>
      <c r="B95" s="126"/>
      <c r="C95" s="287"/>
      <c r="D95" s="326"/>
      <c r="E95" s="326">
        <v>0.0</v>
      </c>
      <c r="F95" s="327">
        <v>0.0</v>
      </c>
      <c r="G95" s="339" t="s">
        <v>3021</v>
      </c>
      <c r="H95" s="364">
        <v>29.0</v>
      </c>
      <c r="I95" s="329"/>
      <c r="J95" s="557"/>
      <c r="K95" s="558">
        <v>2.0</v>
      </c>
      <c r="L95" s="559">
        <v>7.0</v>
      </c>
      <c r="M95" s="344">
        <f>35000*0.88*1.19</f>
        <v>36652</v>
      </c>
      <c r="N95" s="319">
        <f>30474*0.85*1.19</f>
        <v>30824.451</v>
      </c>
      <c r="O95" s="332"/>
      <c r="P95" s="344">
        <f>32000*0.85*1.19</f>
        <v>32368</v>
      </c>
      <c r="Q95" s="333" t="s">
        <v>1630</v>
      </c>
      <c r="R95" s="344">
        <f>32000*0.85*1.19</f>
        <v>32368</v>
      </c>
      <c r="S95" s="332">
        <f>P95*F95</f>
        <v>0</v>
      </c>
      <c r="T95" s="334">
        <v>44000.0</v>
      </c>
      <c r="U95" s="335">
        <f t="shared" si="103"/>
        <v>0</v>
      </c>
      <c r="V95" s="336">
        <f t="shared" si="97"/>
        <v>2112000000</v>
      </c>
      <c r="W95" s="332">
        <v>48000.0</v>
      </c>
      <c r="X95" s="337">
        <f t="shared" si="101"/>
        <v>0.309614755</v>
      </c>
      <c r="Y95" s="338"/>
    </row>
    <row r="96" hidden="1">
      <c r="A96" s="126"/>
      <c r="B96" s="126"/>
      <c r="C96" s="288"/>
      <c r="D96" s="326"/>
      <c r="E96" s="326">
        <v>0.0</v>
      </c>
      <c r="F96" s="327">
        <v>0.0</v>
      </c>
      <c r="G96" s="339" t="s">
        <v>3022</v>
      </c>
      <c r="H96" s="364" t="s">
        <v>3082</v>
      </c>
      <c r="I96" s="331"/>
      <c r="J96" s="557"/>
      <c r="K96" s="558">
        <v>36.0</v>
      </c>
      <c r="L96" s="559"/>
      <c r="M96" s="331"/>
      <c r="N96" s="331"/>
      <c r="O96" s="344">
        <v>4300.0</v>
      </c>
      <c r="P96" s="319"/>
      <c r="Q96" s="333" t="s">
        <v>2909</v>
      </c>
      <c r="R96" s="344">
        <v>4300.0</v>
      </c>
      <c r="S96" s="332">
        <f>F96*O96</f>
        <v>0</v>
      </c>
      <c r="T96" s="334"/>
      <c r="U96" s="335">
        <f>P96*T96</f>
        <v>0</v>
      </c>
      <c r="V96" s="336">
        <f t="shared" si="97"/>
        <v>0</v>
      </c>
      <c r="W96" s="332">
        <v>8000.0</v>
      </c>
      <c r="X96" s="337">
        <f>(W96/O96)-1</f>
        <v>0.8604651163</v>
      </c>
      <c r="Y96" s="338"/>
    </row>
    <row r="97" hidden="1">
      <c r="A97" s="126"/>
      <c r="B97" s="126"/>
      <c r="C97" s="287"/>
      <c r="D97" s="326"/>
      <c r="E97" s="326">
        <v>0.0</v>
      </c>
      <c r="F97" s="327">
        <v>5.0</v>
      </c>
      <c r="G97" s="359" t="s">
        <v>3023</v>
      </c>
      <c r="H97" s="562">
        <v>51.0</v>
      </c>
      <c r="I97" s="329"/>
      <c r="J97" s="557"/>
      <c r="K97" s="558">
        <v>20.0</v>
      </c>
      <c r="L97" s="559">
        <v>15.0</v>
      </c>
      <c r="M97" s="350">
        <f>32000*0.88*1.19</f>
        <v>33510.4</v>
      </c>
      <c r="N97" s="319">
        <f>37651*0.85*1.19</f>
        <v>38083.9865</v>
      </c>
      <c r="O97" s="343"/>
      <c r="P97" s="344">
        <f>34000*0.85*1.19</f>
        <v>34391</v>
      </c>
      <c r="Q97" s="333" t="s">
        <v>1630</v>
      </c>
      <c r="R97" s="344">
        <f>34000*0.85*1.19</f>
        <v>34391</v>
      </c>
      <c r="S97" s="332">
        <f>P97*F97</f>
        <v>171955</v>
      </c>
      <c r="T97" s="334">
        <v>44000.0</v>
      </c>
      <c r="U97" s="335">
        <f t="shared" ref="U97:U99" si="104">C97*P97</f>
        <v>0</v>
      </c>
      <c r="V97" s="336">
        <f t="shared" si="97"/>
        <v>2376000000</v>
      </c>
      <c r="W97" s="332">
        <v>54000.0</v>
      </c>
      <c r="X97" s="337">
        <f t="shared" ref="X97:X141" si="105">(W97/M97)-1</f>
        <v>0.6114400306</v>
      </c>
      <c r="Y97" s="338"/>
    </row>
    <row r="98" hidden="1">
      <c r="A98" s="126"/>
      <c r="B98" s="126"/>
      <c r="C98" s="288"/>
      <c r="D98" s="326"/>
      <c r="E98" s="326">
        <v>15.0</v>
      </c>
      <c r="F98" s="327">
        <v>0.0</v>
      </c>
      <c r="G98" s="339" t="s">
        <v>3024</v>
      </c>
      <c r="H98" s="364">
        <v>52.0</v>
      </c>
      <c r="I98" s="326"/>
      <c r="J98" s="557" t="s">
        <v>3426</v>
      </c>
      <c r="K98" s="558">
        <v>13.0</v>
      </c>
      <c r="L98" s="559">
        <v>49.0</v>
      </c>
      <c r="M98" s="350">
        <f>9000*0.88*1.19</f>
        <v>9424.8</v>
      </c>
      <c r="N98" s="342">
        <f>13740*0.85*1.19</f>
        <v>13898.01</v>
      </c>
      <c r="O98" s="343"/>
      <c r="P98" s="344">
        <f>9500*0.85*1.19</f>
        <v>9609.25</v>
      </c>
      <c r="Q98" s="333" t="s">
        <v>1630</v>
      </c>
      <c r="R98" s="344">
        <f>9500*0.85*1.19</f>
        <v>9609.25</v>
      </c>
      <c r="S98" s="332">
        <f t="shared" ref="S98:S100" si="106">F98*O98</f>
        <v>0</v>
      </c>
      <c r="T98" s="334">
        <v>15000.0</v>
      </c>
      <c r="U98" s="335">
        <f t="shared" si="104"/>
        <v>0</v>
      </c>
      <c r="V98" s="336">
        <f t="shared" si="97"/>
        <v>300000000</v>
      </c>
      <c r="W98" s="332">
        <v>20000.0</v>
      </c>
      <c r="X98" s="337">
        <f t="shared" si="105"/>
        <v>1.122060946</v>
      </c>
      <c r="Y98" s="338"/>
    </row>
    <row r="99" hidden="1">
      <c r="A99" s="126"/>
      <c r="B99" s="126"/>
      <c r="C99" s="288"/>
      <c r="D99" s="326">
        <v>15.0</v>
      </c>
      <c r="E99" s="326">
        <v>15.0</v>
      </c>
      <c r="F99" s="327">
        <v>0.0</v>
      </c>
      <c r="G99" s="339" t="s">
        <v>3025</v>
      </c>
      <c r="H99" s="364">
        <v>27.0</v>
      </c>
      <c r="I99" s="326" t="s">
        <v>2953</v>
      </c>
      <c r="J99" s="557">
        <v>110.0</v>
      </c>
      <c r="K99" s="558">
        <v>11.0</v>
      </c>
      <c r="L99" s="559">
        <v>118.0</v>
      </c>
      <c r="M99" s="319">
        <f>5000*0.88*1.19</f>
        <v>5236</v>
      </c>
      <c r="N99" s="319">
        <f>5161*0.85*1.19</f>
        <v>5220.3515</v>
      </c>
      <c r="O99" s="344">
        <v>4300.0</v>
      </c>
      <c r="P99" s="344">
        <f>4600*0.85*1.19</f>
        <v>4652.9</v>
      </c>
      <c r="Q99" s="333" t="s">
        <v>2909</v>
      </c>
      <c r="R99" s="344">
        <v>4300.0</v>
      </c>
      <c r="S99" s="332">
        <f t="shared" si="106"/>
        <v>0</v>
      </c>
      <c r="T99" s="334">
        <v>7000.0</v>
      </c>
      <c r="U99" s="335">
        <f t="shared" si="104"/>
        <v>0</v>
      </c>
      <c r="V99" s="336">
        <f t="shared" si="97"/>
        <v>63000000</v>
      </c>
      <c r="W99" s="332">
        <v>9000.0</v>
      </c>
      <c r="X99" s="337">
        <f t="shared" si="105"/>
        <v>0.7188693659</v>
      </c>
      <c r="Y99" s="338"/>
    </row>
    <row r="100" hidden="1">
      <c r="A100" s="126"/>
      <c r="B100" s="167"/>
      <c r="C100" s="288"/>
      <c r="D100" s="326"/>
      <c r="E100" s="326">
        <v>6.0</v>
      </c>
      <c r="F100" s="327">
        <v>5.0</v>
      </c>
      <c r="G100" s="339" t="s">
        <v>3026</v>
      </c>
      <c r="H100" s="364">
        <v>27.0</v>
      </c>
      <c r="I100" s="326" t="s">
        <v>3014</v>
      </c>
      <c r="J100" s="557"/>
      <c r="K100" s="558">
        <v>3.0</v>
      </c>
      <c r="L100" s="559">
        <v>2.0</v>
      </c>
      <c r="M100" s="344">
        <f>4800*0.88*1.19</f>
        <v>5026.56</v>
      </c>
      <c r="N100" s="331">
        <f>4343*0.85*1.19</f>
        <v>4392.9445</v>
      </c>
      <c r="O100" s="332"/>
      <c r="P100" s="319"/>
      <c r="Q100" s="333" t="s">
        <v>3015</v>
      </c>
      <c r="R100" s="331">
        <f>4343*0.85*1.19</f>
        <v>4392.9445</v>
      </c>
      <c r="S100" s="332">
        <f t="shared" si="106"/>
        <v>0</v>
      </c>
      <c r="T100" s="334"/>
      <c r="U100" s="335">
        <f>M100*T100</f>
        <v>0</v>
      </c>
      <c r="V100" s="336">
        <f t="shared" si="97"/>
        <v>0</v>
      </c>
      <c r="W100" s="332">
        <v>9000.0</v>
      </c>
      <c r="X100" s="337">
        <f t="shared" si="105"/>
        <v>0.7904889228</v>
      </c>
      <c r="Y100" s="338"/>
    </row>
    <row r="101" hidden="1">
      <c r="A101" s="126"/>
      <c r="B101" s="126"/>
      <c r="C101" s="287"/>
      <c r="D101" s="326"/>
      <c r="E101" s="326">
        <v>0.0</v>
      </c>
      <c r="F101" s="327">
        <v>0.0</v>
      </c>
      <c r="G101" s="346" t="s">
        <v>3027</v>
      </c>
      <c r="H101" s="561">
        <v>49.0</v>
      </c>
      <c r="I101" s="331"/>
      <c r="J101" s="557"/>
      <c r="K101" s="558">
        <v>0.0</v>
      </c>
      <c r="L101" s="559"/>
      <c r="M101" s="344"/>
      <c r="N101" s="319"/>
      <c r="O101" s="347"/>
      <c r="P101" s="344"/>
      <c r="Q101" s="333"/>
      <c r="R101" s="332"/>
      <c r="S101" s="332"/>
      <c r="T101" s="334"/>
      <c r="U101" s="335"/>
      <c r="V101" s="336"/>
      <c r="W101" s="332"/>
      <c r="X101" s="337" t="str">
        <f t="shared" si="105"/>
        <v>#DIV/0!</v>
      </c>
      <c r="Y101" s="338"/>
    </row>
    <row r="102" hidden="1">
      <c r="A102" s="126"/>
      <c r="B102" s="167"/>
      <c r="C102" s="288"/>
      <c r="D102" s="326">
        <v>10.0</v>
      </c>
      <c r="E102" s="326">
        <v>10.0</v>
      </c>
      <c r="F102" s="327">
        <v>0.0</v>
      </c>
      <c r="G102" s="346" t="s">
        <v>3028</v>
      </c>
      <c r="H102" s="561">
        <v>31.0</v>
      </c>
      <c r="I102" s="331"/>
      <c r="J102" s="557"/>
      <c r="K102" s="558">
        <v>8.0</v>
      </c>
      <c r="L102" s="559">
        <v>27.0</v>
      </c>
      <c r="M102" s="342">
        <f>18700*1.19*0.88</f>
        <v>19582.64</v>
      </c>
      <c r="N102" s="344">
        <f>25227*0.85*1.19</f>
        <v>25517.1105</v>
      </c>
      <c r="O102" s="351">
        <v>15000.0</v>
      </c>
      <c r="P102" s="344">
        <f>19000*0.85*1.19</f>
        <v>19218.5</v>
      </c>
      <c r="Q102" s="333" t="s">
        <v>2909</v>
      </c>
      <c r="R102" s="351">
        <v>15000.0</v>
      </c>
      <c r="S102" s="332">
        <f>F102*M102</f>
        <v>0</v>
      </c>
      <c r="T102" s="334"/>
      <c r="U102" s="335">
        <f t="shared" ref="U102:U105" si="107">C102*P102</f>
        <v>0</v>
      </c>
      <c r="V102" s="336">
        <f t="shared" ref="V102:V105" si="108">W102*T102</f>
        <v>0</v>
      </c>
      <c r="W102" s="332">
        <v>38000.0</v>
      </c>
      <c r="X102" s="337">
        <f t="shared" si="105"/>
        <v>0.9404942337</v>
      </c>
      <c r="Y102" s="338"/>
    </row>
    <row r="103" hidden="1">
      <c r="A103" s="126"/>
      <c r="B103" s="126"/>
      <c r="C103" s="287"/>
      <c r="D103" s="326"/>
      <c r="E103" s="326">
        <v>10.0</v>
      </c>
      <c r="F103" s="327">
        <v>0.0</v>
      </c>
      <c r="G103" s="339" t="s">
        <v>3029</v>
      </c>
      <c r="H103" s="364">
        <v>34.0</v>
      </c>
      <c r="I103" s="326"/>
      <c r="J103" s="557" t="s">
        <v>3426</v>
      </c>
      <c r="K103" s="558">
        <v>18.0</v>
      </c>
      <c r="L103" s="559">
        <f>13+28</f>
        <v>41</v>
      </c>
      <c r="M103" s="344">
        <f>5000*0.88*1.19</f>
        <v>5236</v>
      </c>
      <c r="N103" s="344">
        <f t="shared" ref="N103:N104" si="109">5260*0.85*1.19</f>
        <v>5320.49</v>
      </c>
      <c r="O103" s="343"/>
      <c r="P103" s="344">
        <f t="shared" ref="P103:P104" si="110">4600*0.85*1.19</f>
        <v>4652.9</v>
      </c>
      <c r="Q103" s="333" t="s">
        <v>1630</v>
      </c>
      <c r="R103" s="344">
        <f t="shared" ref="R103:R104" si="111">4600*0.85*1.19</f>
        <v>4652.9</v>
      </c>
      <c r="S103" s="332">
        <f t="shared" ref="S103:S104" si="112">P103*F103</f>
        <v>0</v>
      </c>
      <c r="T103" s="334"/>
      <c r="U103" s="335">
        <f t="shared" si="107"/>
        <v>0</v>
      </c>
      <c r="V103" s="336">
        <f t="shared" si="108"/>
        <v>0</v>
      </c>
      <c r="W103" s="332">
        <v>9000.0</v>
      </c>
      <c r="X103" s="337">
        <f t="shared" si="105"/>
        <v>0.7188693659</v>
      </c>
      <c r="Y103" s="338"/>
    </row>
    <row r="104" hidden="1">
      <c r="A104" s="126"/>
      <c r="B104" s="126"/>
      <c r="C104" s="288"/>
      <c r="D104" s="326"/>
      <c r="E104" s="326">
        <v>20.0</v>
      </c>
      <c r="F104" s="327">
        <v>0.0</v>
      </c>
      <c r="G104" s="339" t="s">
        <v>3030</v>
      </c>
      <c r="H104" s="364">
        <v>34.0</v>
      </c>
      <c r="I104" s="332"/>
      <c r="J104" s="557" t="s">
        <v>3426</v>
      </c>
      <c r="K104" s="558">
        <v>2.0</v>
      </c>
      <c r="L104" s="559">
        <v>27.0</v>
      </c>
      <c r="M104" s="350">
        <f>4800*0.88*1.19</f>
        <v>5026.56</v>
      </c>
      <c r="N104" s="344">
        <f t="shared" si="109"/>
        <v>5320.49</v>
      </c>
      <c r="O104" s="332"/>
      <c r="P104" s="344">
        <f t="shared" si="110"/>
        <v>4652.9</v>
      </c>
      <c r="Q104" s="333" t="s">
        <v>1630</v>
      </c>
      <c r="R104" s="344">
        <f t="shared" si="111"/>
        <v>4652.9</v>
      </c>
      <c r="S104" s="332">
        <f t="shared" si="112"/>
        <v>0</v>
      </c>
      <c r="T104" s="334"/>
      <c r="U104" s="335">
        <f t="shared" si="107"/>
        <v>0</v>
      </c>
      <c r="V104" s="336">
        <f t="shared" si="108"/>
        <v>0</v>
      </c>
      <c r="W104" s="332">
        <v>9000.0</v>
      </c>
      <c r="X104" s="337">
        <f t="shared" si="105"/>
        <v>0.7904889228</v>
      </c>
      <c r="Y104" s="338"/>
    </row>
    <row r="105" hidden="1">
      <c r="A105" s="126"/>
      <c r="B105" s="126"/>
      <c r="C105" s="287"/>
      <c r="D105" s="327">
        <v>10.0</v>
      </c>
      <c r="E105" s="326">
        <v>0.0</v>
      </c>
      <c r="F105" s="327"/>
      <c r="G105" s="346" t="s">
        <v>3031</v>
      </c>
      <c r="H105" s="561">
        <v>50.0</v>
      </c>
      <c r="I105" s="332"/>
      <c r="J105" s="557" t="s">
        <v>3426</v>
      </c>
      <c r="K105" s="558">
        <v>23.0</v>
      </c>
      <c r="L105" s="559">
        <v>8.0</v>
      </c>
      <c r="M105" s="344">
        <f>26400*0.88*1.19</f>
        <v>27646.08</v>
      </c>
      <c r="N105" s="331">
        <f>29204*0.85*1.19</f>
        <v>29539.846</v>
      </c>
      <c r="O105" s="351">
        <v>20000.0</v>
      </c>
      <c r="P105" s="344">
        <f>25500*0.85*1.19</f>
        <v>25793.25</v>
      </c>
      <c r="Q105" s="333" t="s">
        <v>2909</v>
      </c>
      <c r="R105" s="351">
        <v>20000.0</v>
      </c>
      <c r="S105" s="332">
        <f>F105*O105</f>
        <v>0</v>
      </c>
      <c r="T105" s="334"/>
      <c r="U105" s="335">
        <f t="shared" si="107"/>
        <v>0</v>
      </c>
      <c r="V105" s="336">
        <f t="shared" si="108"/>
        <v>0</v>
      </c>
      <c r="W105" s="332">
        <v>42000.0</v>
      </c>
      <c r="X105" s="337">
        <f t="shared" si="105"/>
        <v>0.5192027224</v>
      </c>
      <c r="Y105" s="338"/>
    </row>
    <row r="106" hidden="1">
      <c r="A106" s="126"/>
      <c r="B106" s="126"/>
      <c r="C106" s="287"/>
      <c r="D106" s="326"/>
      <c r="E106" s="326" t="s">
        <v>340</v>
      </c>
      <c r="F106" s="327">
        <v>0.0</v>
      </c>
      <c r="G106" s="339" t="s">
        <v>3032</v>
      </c>
      <c r="H106" s="364">
        <v>48.0</v>
      </c>
      <c r="I106" s="329"/>
      <c r="J106" s="557"/>
      <c r="K106" s="558">
        <v>0.0</v>
      </c>
      <c r="L106" s="559">
        <v>10.0</v>
      </c>
      <c r="M106" s="344"/>
      <c r="N106" s="356"/>
      <c r="O106" s="344"/>
      <c r="P106" s="344"/>
      <c r="Q106" s="333"/>
      <c r="R106" s="344"/>
      <c r="S106" s="332"/>
      <c r="T106" s="334"/>
      <c r="U106" s="335"/>
      <c r="V106" s="336"/>
      <c r="W106" s="332">
        <v>85000.0</v>
      </c>
      <c r="X106" s="337" t="str">
        <f t="shared" si="105"/>
        <v>#DIV/0!</v>
      </c>
      <c r="Y106" s="338"/>
    </row>
    <row r="107" hidden="1">
      <c r="A107" s="126"/>
      <c r="B107" s="126"/>
      <c r="C107" s="288"/>
      <c r="D107" s="326"/>
      <c r="E107" s="326">
        <v>0.0</v>
      </c>
      <c r="F107" s="327">
        <v>0.0</v>
      </c>
      <c r="G107" s="346" t="s">
        <v>3033</v>
      </c>
      <c r="H107" s="561">
        <v>36.0</v>
      </c>
      <c r="I107" s="331"/>
      <c r="J107" s="557" t="s">
        <v>3427</v>
      </c>
      <c r="K107" s="558">
        <v>23.0</v>
      </c>
      <c r="L107" s="559">
        <v>29.0</v>
      </c>
      <c r="M107" s="350">
        <f t="shared" ref="M107:M108" si="113">7500*0.88*1.19</f>
        <v>7854</v>
      </c>
      <c r="N107" s="331">
        <v>8297.0</v>
      </c>
      <c r="O107" s="347"/>
      <c r="P107" s="344">
        <f t="shared" ref="P107:P108" si="114">8000*0.85*1.19</f>
        <v>8092</v>
      </c>
      <c r="Q107" s="333" t="s">
        <v>2918</v>
      </c>
      <c r="R107" s="344">
        <f>7500*0.88*1.19</f>
        <v>7854</v>
      </c>
      <c r="S107" s="332">
        <f t="shared" ref="S107:S108" si="115">F107*O107</f>
        <v>0</v>
      </c>
      <c r="T107" s="334"/>
      <c r="U107" s="335">
        <f t="shared" ref="U107:U108" si="116">C107*P107</f>
        <v>0</v>
      </c>
      <c r="V107" s="336">
        <f t="shared" ref="V107:V119" si="117">W107*T107</f>
        <v>0</v>
      </c>
      <c r="W107" s="332">
        <v>14000.0</v>
      </c>
      <c r="X107" s="337">
        <f t="shared" si="105"/>
        <v>0.7825311943</v>
      </c>
      <c r="Y107" s="338"/>
    </row>
    <row r="108" hidden="1">
      <c r="A108" s="126"/>
      <c r="B108" s="126"/>
      <c r="C108" s="287"/>
      <c r="D108" s="326"/>
      <c r="E108" s="326">
        <v>15.0</v>
      </c>
      <c r="F108" s="327">
        <v>0.0</v>
      </c>
      <c r="G108" s="346" t="s">
        <v>3034</v>
      </c>
      <c r="H108" s="561">
        <v>36.0</v>
      </c>
      <c r="I108" s="331" t="s">
        <v>3035</v>
      </c>
      <c r="J108" s="557"/>
      <c r="K108" s="558">
        <v>14.0</v>
      </c>
      <c r="L108" s="559">
        <v>26.0</v>
      </c>
      <c r="M108" s="344">
        <f t="shared" si="113"/>
        <v>7854</v>
      </c>
      <c r="N108" s="357">
        <f>8429*0.85*1.19</f>
        <v>8525.9335</v>
      </c>
      <c r="O108" s="351">
        <v>5800.0</v>
      </c>
      <c r="P108" s="344">
        <f t="shared" si="114"/>
        <v>8092</v>
      </c>
      <c r="Q108" s="333" t="s">
        <v>2909</v>
      </c>
      <c r="R108" s="351">
        <v>5800.0</v>
      </c>
      <c r="S108" s="332">
        <f t="shared" si="115"/>
        <v>0</v>
      </c>
      <c r="T108" s="334"/>
      <c r="U108" s="335">
        <f t="shared" si="116"/>
        <v>0</v>
      </c>
      <c r="V108" s="336">
        <f t="shared" si="117"/>
        <v>0</v>
      </c>
      <c r="W108" s="332">
        <v>14000.0</v>
      </c>
      <c r="X108" s="337">
        <f t="shared" si="105"/>
        <v>0.7825311943</v>
      </c>
      <c r="Y108" s="338"/>
    </row>
    <row r="109" hidden="1">
      <c r="A109" s="167"/>
      <c r="B109" s="126"/>
      <c r="C109" s="287"/>
      <c r="D109" s="326"/>
      <c r="E109" s="326">
        <v>0.0</v>
      </c>
      <c r="F109" s="327">
        <v>0.0</v>
      </c>
      <c r="G109" s="339" t="s">
        <v>3036</v>
      </c>
      <c r="H109" s="560">
        <v>46.0</v>
      </c>
      <c r="I109" s="331"/>
      <c r="J109" s="557"/>
      <c r="K109" s="558">
        <v>16.0</v>
      </c>
      <c r="L109" s="559">
        <v>15.0</v>
      </c>
      <c r="M109" s="344">
        <f>17000*0.88*1.19</f>
        <v>17802.4</v>
      </c>
      <c r="N109" s="319">
        <f>18850*0.85*1.19</f>
        <v>19066.775</v>
      </c>
      <c r="O109" s="332"/>
      <c r="P109" s="319"/>
      <c r="Q109" s="333" t="s">
        <v>2918</v>
      </c>
      <c r="R109" s="344">
        <f>17000*0.88*1.19</f>
        <v>17802.4</v>
      </c>
      <c r="S109" s="332">
        <f>F109*M109</f>
        <v>0</v>
      </c>
      <c r="T109" s="334">
        <v>28000.0</v>
      </c>
      <c r="U109" s="335">
        <f>M109*T109</f>
        <v>498467200</v>
      </c>
      <c r="V109" s="336">
        <f t="shared" si="117"/>
        <v>952000000</v>
      </c>
      <c r="W109" s="332">
        <v>34000.0</v>
      </c>
      <c r="X109" s="337">
        <f t="shared" si="105"/>
        <v>0.909854851</v>
      </c>
      <c r="Y109" s="338"/>
    </row>
    <row r="110" hidden="1">
      <c r="A110" s="126"/>
      <c r="B110" s="126"/>
      <c r="C110" s="288"/>
      <c r="D110" s="326"/>
      <c r="E110" s="326">
        <v>0.0</v>
      </c>
      <c r="F110" s="327">
        <v>10.0</v>
      </c>
      <c r="G110" s="346" t="s">
        <v>3037</v>
      </c>
      <c r="H110" s="561">
        <v>37.0</v>
      </c>
      <c r="I110" s="331"/>
      <c r="J110" s="557" t="s">
        <v>3426</v>
      </c>
      <c r="K110" s="558">
        <v>16.0</v>
      </c>
      <c r="L110" s="559">
        <v>13.0</v>
      </c>
      <c r="M110" s="350">
        <f t="shared" ref="M110:M111" si="118">6700*0.88*1.19</f>
        <v>7016.24</v>
      </c>
      <c r="N110" s="342">
        <f t="shared" ref="N110:N111" si="119">9023*0.85*1.19</f>
        <v>9126.7645</v>
      </c>
      <c r="O110" s="347"/>
      <c r="P110" s="344">
        <f t="shared" ref="P110:P111" si="120">7500*0.85*1.19</f>
        <v>7586.25</v>
      </c>
      <c r="Q110" s="333" t="s">
        <v>2918</v>
      </c>
      <c r="R110" s="344">
        <f>6700*0.88*1.19</f>
        <v>7016.24</v>
      </c>
      <c r="S110" s="332">
        <f t="shared" ref="S110:S111" si="121">F110*O110</f>
        <v>0</v>
      </c>
      <c r="T110" s="334">
        <v>11000.0</v>
      </c>
      <c r="U110" s="335">
        <f t="shared" ref="U110:U112" si="122">C110*P110</f>
        <v>0</v>
      </c>
      <c r="V110" s="336">
        <f t="shared" si="117"/>
        <v>154000000</v>
      </c>
      <c r="W110" s="332">
        <v>14000.0</v>
      </c>
      <c r="X110" s="337">
        <f t="shared" si="105"/>
        <v>0.9953707399</v>
      </c>
      <c r="Y110" s="338"/>
    </row>
    <row r="111" hidden="1">
      <c r="A111" s="126"/>
      <c r="B111" s="126"/>
      <c r="C111" s="287"/>
      <c r="D111" s="326"/>
      <c r="E111" s="326">
        <v>0.0</v>
      </c>
      <c r="F111" s="327">
        <v>10.0</v>
      </c>
      <c r="G111" s="346" t="s">
        <v>3038</v>
      </c>
      <c r="H111" s="561">
        <v>37.0</v>
      </c>
      <c r="I111" s="331"/>
      <c r="J111" s="557" t="s">
        <v>3426</v>
      </c>
      <c r="K111" s="558">
        <v>13.0</v>
      </c>
      <c r="L111" s="559">
        <v>15.0</v>
      </c>
      <c r="M111" s="350">
        <f t="shared" si="118"/>
        <v>7016.24</v>
      </c>
      <c r="N111" s="342">
        <f t="shared" si="119"/>
        <v>9126.7645</v>
      </c>
      <c r="O111" s="347"/>
      <c r="P111" s="344">
        <f t="shared" si="120"/>
        <v>7586.25</v>
      </c>
      <c r="Q111" s="333" t="s">
        <v>1630</v>
      </c>
      <c r="R111" s="344">
        <f>7500*0.85*1.19</f>
        <v>7586.25</v>
      </c>
      <c r="S111" s="332">
        <f t="shared" si="121"/>
        <v>0</v>
      </c>
      <c r="T111" s="334">
        <v>11000.0</v>
      </c>
      <c r="U111" s="335">
        <f t="shared" si="122"/>
        <v>0</v>
      </c>
      <c r="V111" s="336">
        <f t="shared" si="117"/>
        <v>154000000</v>
      </c>
      <c r="W111" s="332">
        <v>14000.0</v>
      </c>
      <c r="X111" s="337">
        <f t="shared" si="105"/>
        <v>0.9953707399</v>
      </c>
      <c r="Y111" s="338"/>
    </row>
    <row r="112" hidden="1">
      <c r="A112" s="126"/>
      <c r="B112" s="126"/>
      <c r="C112" s="287"/>
      <c r="D112" s="326"/>
      <c r="E112" s="326">
        <v>0.0</v>
      </c>
      <c r="F112" s="327">
        <v>0.0</v>
      </c>
      <c r="G112" s="346" t="s">
        <v>3039</v>
      </c>
      <c r="H112" s="561">
        <v>4.0</v>
      </c>
      <c r="I112" s="331"/>
      <c r="J112" s="557"/>
      <c r="K112" s="558">
        <v>17.0</v>
      </c>
      <c r="L112" s="559">
        <v>25.0</v>
      </c>
      <c r="M112" s="350">
        <f>7600*1.19*0.88</f>
        <v>7958.72</v>
      </c>
      <c r="N112" s="319">
        <f>10524*1.19*0.85</f>
        <v>10645.026</v>
      </c>
      <c r="O112" s="347"/>
      <c r="P112" s="344">
        <f>8000*0.85*1.19</f>
        <v>8092</v>
      </c>
      <c r="Q112" s="333" t="s">
        <v>2918</v>
      </c>
      <c r="R112" s="332">
        <v>7959.0</v>
      </c>
      <c r="S112" s="332">
        <f>P112*F112</f>
        <v>0</v>
      </c>
      <c r="T112" s="334">
        <v>14000.0</v>
      </c>
      <c r="U112" s="335">
        <f t="shared" si="122"/>
        <v>0</v>
      </c>
      <c r="V112" s="336">
        <f t="shared" si="117"/>
        <v>252000000</v>
      </c>
      <c r="W112" s="332">
        <v>18000.0</v>
      </c>
      <c r="X112" s="337">
        <f t="shared" si="105"/>
        <v>1.261670218</v>
      </c>
      <c r="Y112" s="338"/>
    </row>
    <row r="113" hidden="1">
      <c r="A113" s="126"/>
      <c r="B113" s="167"/>
      <c r="C113" s="287"/>
      <c r="D113" s="326"/>
      <c r="E113" s="326">
        <v>2.0</v>
      </c>
      <c r="F113" s="327">
        <v>0.0</v>
      </c>
      <c r="G113" s="358" t="s">
        <v>3040</v>
      </c>
      <c r="H113" s="567">
        <v>46.0</v>
      </c>
      <c r="I113" s="331" t="s">
        <v>3041</v>
      </c>
      <c r="J113" s="557"/>
      <c r="K113" s="558">
        <v>2.0</v>
      </c>
      <c r="L113" s="559">
        <v>15.0</v>
      </c>
      <c r="M113" s="319">
        <f>10500*0.88*1.19</f>
        <v>10995.6</v>
      </c>
      <c r="N113" s="319">
        <f>18951*0.85*1.19</f>
        <v>19168.9365</v>
      </c>
      <c r="O113" s="343"/>
      <c r="P113" s="319"/>
      <c r="Q113" s="333" t="s">
        <v>2918</v>
      </c>
      <c r="R113" s="319">
        <f>10500*0.88*1.19</f>
        <v>10995.6</v>
      </c>
      <c r="S113" s="332">
        <f>F113*M113</f>
        <v>0</v>
      </c>
      <c r="T113" s="334"/>
      <c r="U113" s="335">
        <f t="shared" ref="U113:U114" si="123">M113*T113</f>
        <v>0</v>
      </c>
      <c r="V113" s="336">
        <f t="shared" si="117"/>
        <v>0</v>
      </c>
      <c r="W113" s="332">
        <v>34000.0</v>
      </c>
      <c r="X113" s="337">
        <f t="shared" si="105"/>
        <v>2.092145949</v>
      </c>
      <c r="Y113" s="338"/>
    </row>
    <row r="114" hidden="1">
      <c r="A114" s="126"/>
      <c r="B114" s="126"/>
      <c r="C114" s="287"/>
      <c r="D114" s="326"/>
      <c r="E114" s="326">
        <v>0.0</v>
      </c>
      <c r="F114" s="327">
        <v>0.0</v>
      </c>
      <c r="G114" s="339" t="s">
        <v>3042</v>
      </c>
      <c r="H114" s="364">
        <v>46.0</v>
      </c>
      <c r="I114" s="331"/>
      <c r="J114" s="557"/>
      <c r="K114" s="558">
        <v>18.0</v>
      </c>
      <c r="L114" s="559">
        <v>9.0</v>
      </c>
      <c r="M114" s="344">
        <f>22900*0.88*1.19</f>
        <v>23980.88</v>
      </c>
      <c r="N114" s="340">
        <f t="shared" ref="N114:N115" si="124">25227*0.85*1.19</f>
        <v>25517.1105</v>
      </c>
      <c r="O114" s="343"/>
      <c r="P114" s="319"/>
      <c r="Q114" s="333" t="s">
        <v>2918</v>
      </c>
      <c r="R114" s="344">
        <f>22900*0.88*1.19</f>
        <v>23980.88</v>
      </c>
      <c r="S114" s="332">
        <f>F114*O114</f>
        <v>0</v>
      </c>
      <c r="T114" s="334">
        <v>32000.0</v>
      </c>
      <c r="U114" s="335">
        <f t="shared" si="123"/>
        <v>767388160</v>
      </c>
      <c r="V114" s="336">
        <f t="shared" si="117"/>
        <v>1216000000</v>
      </c>
      <c r="W114" s="332">
        <v>38000.0</v>
      </c>
      <c r="X114" s="337">
        <f t="shared" si="105"/>
        <v>0.5845957279</v>
      </c>
      <c r="Y114" s="338"/>
    </row>
    <row r="115" hidden="1">
      <c r="A115" s="126"/>
      <c r="B115" s="126"/>
      <c r="C115" s="287"/>
      <c r="D115" s="326"/>
      <c r="E115" s="326">
        <v>0.0</v>
      </c>
      <c r="F115" s="327">
        <v>0.0</v>
      </c>
      <c r="G115" s="176" t="s">
        <v>3043</v>
      </c>
      <c r="H115" s="364">
        <v>48.0</v>
      </c>
      <c r="I115" s="331"/>
      <c r="J115" s="557"/>
      <c r="K115" s="558">
        <v>19.0</v>
      </c>
      <c r="L115" s="559">
        <v>24.0</v>
      </c>
      <c r="M115" s="344">
        <f>18700*0.88*1.19</f>
        <v>19582.64</v>
      </c>
      <c r="N115" s="340">
        <f t="shared" si="124"/>
        <v>25517.1105</v>
      </c>
      <c r="O115" s="349"/>
      <c r="P115" s="344">
        <f>18000*0.85*1.19</f>
        <v>18207</v>
      </c>
      <c r="Q115" s="333" t="s">
        <v>1630</v>
      </c>
      <c r="R115" s="344">
        <f>18000*0.85*1.19</f>
        <v>18207</v>
      </c>
      <c r="S115" s="332">
        <f>P115*F115</f>
        <v>0</v>
      </c>
      <c r="T115" s="334"/>
      <c r="U115" s="335">
        <f>C115*P115</f>
        <v>0</v>
      </c>
      <c r="V115" s="336">
        <f t="shared" si="117"/>
        <v>0</v>
      </c>
      <c r="W115" s="332">
        <v>38000.0</v>
      </c>
      <c r="X115" s="337">
        <f t="shared" si="105"/>
        <v>0.9404942337</v>
      </c>
      <c r="Y115" s="338"/>
    </row>
    <row r="116" hidden="1">
      <c r="A116" s="126"/>
      <c r="B116" s="126"/>
      <c r="C116" s="288"/>
      <c r="D116" s="326"/>
      <c r="E116" s="326">
        <v>0.0</v>
      </c>
      <c r="F116" s="327">
        <v>0.0</v>
      </c>
      <c r="G116" s="346" t="s">
        <v>3044</v>
      </c>
      <c r="H116" s="561">
        <v>38.0</v>
      </c>
      <c r="I116" s="331"/>
      <c r="J116" s="557"/>
      <c r="K116" s="558">
        <v>14.0</v>
      </c>
      <c r="L116" s="559"/>
      <c r="M116" s="319">
        <f>10500*1.19*0.88</f>
        <v>10995.6</v>
      </c>
      <c r="N116" s="319">
        <f>15784*1.19*0.85</f>
        <v>15965.516</v>
      </c>
      <c r="O116" s="351">
        <v>8500.0</v>
      </c>
      <c r="P116" s="319"/>
      <c r="Q116" s="333" t="s">
        <v>2909</v>
      </c>
      <c r="R116" s="351">
        <v>8500.0</v>
      </c>
      <c r="S116" s="332">
        <f>F116*O116</f>
        <v>0</v>
      </c>
      <c r="T116" s="334"/>
      <c r="U116" s="335">
        <f>P116*T116</f>
        <v>0</v>
      </c>
      <c r="V116" s="336">
        <f t="shared" si="117"/>
        <v>0</v>
      </c>
      <c r="W116" s="332">
        <v>16000.0</v>
      </c>
      <c r="X116" s="337">
        <f t="shared" si="105"/>
        <v>0.4551275055</v>
      </c>
      <c r="Y116" s="367"/>
    </row>
    <row r="117" hidden="1">
      <c r="A117" s="126"/>
      <c r="B117" s="126"/>
      <c r="C117" s="288"/>
      <c r="D117" s="326"/>
      <c r="E117" s="326">
        <v>15.0</v>
      </c>
      <c r="F117" s="327">
        <v>0.0</v>
      </c>
      <c r="G117" s="359" t="s">
        <v>3045</v>
      </c>
      <c r="H117" s="562">
        <v>38.0</v>
      </c>
      <c r="I117" s="332"/>
      <c r="J117" s="557" t="s">
        <v>3426</v>
      </c>
      <c r="K117" s="558">
        <v>5.0</v>
      </c>
      <c r="L117" s="559">
        <f>12+19</f>
        <v>31</v>
      </c>
      <c r="M117" s="319">
        <f>8800*1.19*0.88</f>
        <v>9215.36</v>
      </c>
      <c r="N117" s="319">
        <f>7168*1.19*0.85</f>
        <v>7250.432</v>
      </c>
      <c r="O117" s="332"/>
      <c r="P117" s="344">
        <f>8000*0.85*1.19</f>
        <v>8092</v>
      </c>
      <c r="Q117" s="333" t="s">
        <v>1630</v>
      </c>
      <c r="R117" s="344">
        <f>8000*0.85*1.19</f>
        <v>8092</v>
      </c>
      <c r="S117" s="332">
        <f>P117*F117</f>
        <v>0</v>
      </c>
      <c r="T117" s="334">
        <v>12000.0</v>
      </c>
      <c r="U117" s="335">
        <f t="shared" ref="U117:U119" si="125">C117*P117</f>
        <v>0</v>
      </c>
      <c r="V117" s="336">
        <f t="shared" si="117"/>
        <v>192000000</v>
      </c>
      <c r="W117" s="332">
        <v>16000.0</v>
      </c>
      <c r="X117" s="337">
        <f t="shared" si="105"/>
        <v>0.7362316828</v>
      </c>
      <c r="Y117" s="367"/>
    </row>
    <row r="118" hidden="1">
      <c r="A118" s="126"/>
      <c r="B118" s="126"/>
      <c r="C118" s="287"/>
      <c r="D118" s="326"/>
      <c r="E118" s="326">
        <v>0.0</v>
      </c>
      <c r="F118" s="327">
        <v>5.0</v>
      </c>
      <c r="G118" s="328" t="s">
        <v>3046</v>
      </c>
      <c r="H118" s="364">
        <v>45.0</v>
      </c>
      <c r="I118" s="331"/>
      <c r="J118" s="557"/>
      <c r="K118" s="558">
        <v>10.0</v>
      </c>
      <c r="L118" s="559">
        <v>2.0</v>
      </c>
      <c r="M118" s="350">
        <f>9500*0.88*1.19</f>
        <v>9948.4</v>
      </c>
      <c r="N118" s="331">
        <f>9228*0.85*1.19</f>
        <v>9334.122</v>
      </c>
      <c r="O118" s="332"/>
      <c r="P118" s="344">
        <f>12000*0.85*1.19</f>
        <v>12138</v>
      </c>
      <c r="Q118" s="333" t="s">
        <v>2918</v>
      </c>
      <c r="R118" s="344">
        <f>9500*0.88*1.19</f>
        <v>9948.4</v>
      </c>
      <c r="S118" s="332">
        <f>F118*O118</f>
        <v>0</v>
      </c>
      <c r="T118" s="334"/>
      <c r="U118" s="335">
        <f t="shared" si="125"/>
        <v>0</v>
      </c>
      <c r="V118" s="336">
        <f t="shared" si="117"/>
        <v>0</v>
      </c>
      <c r="W118" s="332">
        <v>17000.0</v>
      </c>
      <c r="X118" s="337">
        <f t="shared" si="105"/>
        <v>0.7088174983</v>
      </c>
      <c r="Y118" s="367"/>
    </row>
    <row r="119" hidden="1">
      <c r="A119" s="126"/>
      <c r="B119" s="126"/>
      <c r="C119" s="287"/>
      <c r="D119" s="326"/>
      <c r="E119" s="326">
        <v>0.0</v>
      </c>
      <c r="F119" s="327">
        <v>0.0</v>
      </c>
      <c r="G119" s="339" t="s">
        <v>3047</v>
      </c>
      <c r="H119" s="364">
        <v>34.0</v>
      </c>
      <c r="I119" s="331"/>
      <c r="J119" s="557"/>
      <c r="K119" s="558">
        <v>10.0</v>
      </c>
      <c r="L119" s="559">
        <v>16.0</v>
      </c>
      <c r="M119" s="344">
        <f>10829*0.88</f>
        <v>9529.52</v>
      </c>
      <c r="N119" s="344">
        <f>9365*0.85*1.19</f>
        <v>9472.6975</v>
      </c>
      <c r="O119" s="332"/>
      <c r="P119" s="344">
        <f>8000*0.85*1.19</f>
        <v>8092</v>
      </c>
      <c r="Q119" s="333" t="s">
        <v>1630</v>
      </c>
      <c r="R119" s="344">
        <f>8000*0.85*1.19</f>
        <v>8092</v>
      </c>
      <c r="S119" s="332">
        <f>P119*F119</f>
        <v>0</v>
      </c>
      <c r="T119" s="334"/>
      <c r="U119" s="335">
        <f t="shared" si="125"/>
        <v>0</v>
      </c>
      <c r="V119" s="336">
        <f t="shared" si="117"/>
        <v>0</v>
      </c>
      <c r="W119" s="332">
        <v>14000.0</v>
      </c>
      <c r="X119" s="337">
        <f t="shared" si="105"/>
        <v>0.4691191162</v>
      </c>
      <c r="Y119" s="367"/>
    </row>
    <row r="120" hidden="1">
      <c r="A120" s="126"/>
      <c r="B120" s="167"/>
      <c r="C120" s="287"/>
      <c r="D120" s="326"/>
      <c r="E120" s="326">
        <v>4.0</v>
      </c>
      <c r="F120" s="327">
        <v>0.0</v>
      </c>
      <c r="G120" s="339" t="s">
        <v>3048</v>
      </c>
      <c r="H120" s="364">
        <v>48.0</v>
      </c>
      <c r="I120" s="331"/>
      <c r="J120" s="557"/>
      <c r="K120" s="558">
        <v>0.0</v>
      </c>
      <c r="L120" s="559">
        <v>0.0</v>
      </c>
      <c r="M120" s="319" t="s">
        <v>611</v>
      </c>
      <c r="N120" s="363" t="s">
        <v>2927</v>
      </c>
      <c r="O120" s="332"/>
      <c r="P120" s="319"/>
      <c r="Q120" s="333"/>
      <c r="R120" s="332"/>
      <c r="S120" s="332"/>
      <c r="T120" s="334"/>
      <c r="U120" s="335"/>
      <c r="V120" s="336"/>
      <c r="W120" s="332">
        <v>46000.0</v>
      </c>
      <c r="X120" s="337" t="str">
        <f t="shared" si="105"/>
        <v>#VALUE!</v>
      </c>
      <c r="Y120" s="367"/>
    </row>
    <row r="121" hidden="1">
      <c r="A121" s="126"/>
      <c r="B121" s="126"/>
      <c r="C121" s="287"/>
      <c r="D121" s="327">
        <v>5.0</v>
      </c>
      <c r="E121" s="326">
        <v>0.0</v>
      </c>
      <c r="F121" s="327"/>
      <c r="G121" s="346" t="s">
        <v>3049</v>
      </c>
      <c r="H121" s="561">
        <v>35.0</v>
      </c>
      <c r="I121" s="331"/>
      <c r="J121" s="557"/>
      <c r="K121" s="558">
        <v>27.0</v>
      </c>
      <c r="L121" s="559">
        <v>16.0</v>
      </c>
      <c r="M121" s="350">
        <f>26000*0.88*1.19</f>
        <v>27227.2</v>
      </c>
      <c r="N121" s="351">
        <f>27715*0.85*1.19</f>
        <v>28033.7225</v>
      </c>
      <c r="O121" s="344">
        <v>14000.0</v>
      </c>
      <c r="P121" s="344">
        <f>26000*0.85*1.19</f>
        <v>26299</v>
      </c>
      <c r="Q121" s="333" t="s">
        <v>2909</v>
      </c>
      <c r="R121" s="344">
        <v>14000.0</v>
      </c>
      <c r="S121" s="332">
        <f>N121*F121</f>
        <v>0</v>
      </c>
      <c r="T121" s="334"/>
      <c r="U121" s="335">
        <f>C121*P121</f>
        <v>0</v>
      </c>
      <c r="V121" s="336">
        <f>W121*T121</f>
        <v>0</v>
      </c>
      <c r="W121" s="332">
        <v>38000.0</v>
      </c>
      <c r="X121" s="337">
        <f t="shared" si="105"/>
        <v>0.3956631604</v>
      </c>
      <c r="Y121" s="367"/>
    </row>
    <row r="122" hidden="1">
      <c r="A122" s="126"/>
      <c r="B122" s="126"/>
      <c r="C122" s="287"/>
      <c r="D122" s="326"/>
      <c r="E122" s="326">
        <v>0.0</v>
      </c>
      <c r="F122" s="327">
        <v>0.0</v>
      </c>
      <c r="G122" s="339" t="s">
        <v>3050</v>
      </c>
      <c r="H122" s="364">
        <v>48.0</v>
      </c>
      <c r="I122" s="331"/>
      <c r="J122" s="557"/>
      <c r="K122" s="558">
        <v>0.0</v>
      </c>
      <c r="L122" s="559">
        <v>4.0</v>
      </c>
      <c r="M122" s="319" t="s">
        <v>611</v>
      </c>
      <c r="N122" s="363" t="s">
        <v>2927</v>
      </c>
      <c r="O122" s="343"/>
      <c r="P122" s="319"/>
      <c r="Q122" s="333"/>
      <c r="R122" s="332"/>
      <c r="S122" s="332"/>
      <c r="T122" s="334"/>
      <c r="U122" s="335"/>
      <c r="V122" s="336"/>
      <c r="W122" s="332">
        <v>10000.0</v>
      </c>
      <c r="X122" s="337" t="str">
        <f t="shared" si="105"/>
        <v>#VALUE!</v>
      </c>
      <c r="Y122" s="367"/>
    </row>
    <row r="123" hidden="1">
      <c r="A123" s="126"/>
      <c r="B123" s="126"/>
      <c r="C123" s="287"/>
      <c r="D123" s="326"/>
      <c r="E123" s="326">
        <v>0.0</v>
      </c>
      <c r="F123" s="327">
        <v>0.0</v>
      </c>
      <c r="G123" s="339" t="s">
        <v>3051</v>
      </c>
      <c r="H123" s="364">
        <v>13.0</v>
      </c>
      <c r="I123" s="332"/>
      <c r="J123" s="557" t="s">
        <v>3426</v>
      </c>
      <c r="K123" s="558">
        <v>12.0</v>
      </c>
      <c r="L123" s="559">
        <v>22.0</v>
      </c>
      <c r="M123" s="344">
        <f>10500*0.88*1.19</f>
        <v>10995.6</v>
      </c>
      <c r="N123" s="319">
        <f>14256*0.85*1.19</f>
        <v>14419.944</v>
      </c>
      <c r="O123" s="343"/>
      <c r="P123" s="344">
        <f>6000*0.85*1.19</f>
        <v>6069</v>
      </c>
      <c r="Q123" s="333" t="s">
        <v>1630</v>
      </c>
      <c r="R123" s="344">
        <f>6000*0.85*1.19</f>
        <v>6069</v>
      </c>
      <c r="S123" s="332">
        <f>P123*F123</f>
        <v>0</v>
      </c>
      <c r="T123" s="334">
        <v>16000.0</v>
      </c>
      <c r="U123" s="335">
        <f>C123*P123</f>
        <v>0</v>
      </c>
      <c r="V123" s="336"/>
      <c r="W123" s="332">
        <v>22000.0</v>
      </c>
      <c r="X123" s="337">
        <f t="shared" si="105"/>
        <v>1.00080032</v>
      </c>
      <c r="Y123" s="367"/>
    </row>
    <row r="124" hidden="1">
      <c r="A124" s="126"/>
      <c r="B124" s="126"/>
      <c r="C124" s="287"/>
      <c r="D124" s="326"/>
      <c r="E124" s="326">
        <v>0.0</v>
      </c>
      <c r="F124" s="327">
        <v>0.0</v>
      </c>
      <c r="G124" s="328" t="s">
        <v>3052</v>
      </c>
      <c r="H124" s="364">
        <v>29.0</v>
      </c>
      <c r="I124" s="331"/>
      <c r="J124" s="557"/>
      <c r="K124" s="558">
        <v>3.0</v>
      </c>
      <c r="L124" s="559">
        <v>10.0</v>
      </c>
      <c r="M124" s="319">
        <f>10115*0.88*1.19</f>
        <v>10592.428</v>
      </c>
      <c r="N124" s="331">
        <f>10849*0.85*1.19</f>
        <v>10973.7635</v>
      </c>
      <c r="O124" s="332"/>
      <c r="P124" s="319"/>
      <c r="Q124" s="333" t="s">
        <v>2918</v>
      </c>
      <c r="R124" s="319">
        <f>10115*0.88*1.19</f>
        <v>10592.428</v>
      </c>
      <c r="S124" s="332">
        <f t="shared" ref="S124:S128" si="126">F124*O124</f>
        <v>0</v>
      </c>
      <c r="T124" s="334"/>
      <c r="U124" s="335">
        <f>M124*T124</f>
        <v>0</v>
      </c>
      <c r="V124" s="336">
        <f t="shared" ref="V124:V141" si="127">W124*T124</f>
        <v>0</v>
      </c>
      <c r="W124" s="332">
        <v>16000.0</v>
      </c>
      <c r="X124" s="337">
        <f t="shared" si="105"/>
        <v>0.5105129815</v>
      </c>
      <c r="Y124" s="367"/>
    </row>
    <row r="125" hidden="1">
      <c r="A125" s="126"/>
      <c r="B125" s="126"/>
      <c r="C125" s="288"/>
      <c r="D125" s="326"/>
      <c r="E125" s="326">
        <v>0.0</v>
      </c>
      <c r="F125" s="327">
        <v>0.0</v>
      </c>
      <c r="G125" s="346" t="s">
        <v>3053</v>
      </c>
      <c r="H125" s="561" t="s">
        <v>3082</v>
      </c>
      <c r="I125" s="331"/>
      <c r="J125" s="557"/>
      <c r="K125" s="558">
        <v>19.0</v>
      </c>
      <c r="L125" s="559">
        <v>0.0</v>
      </c>
      <c r="M125" s="344">
        <f t="shared" ref="M125:M129" si="128">5000*0.88*1.19</f>
        <v>5236</v>
      </c>
      <c r="N125" s="354"/>
      <c r="O125" s="347"/>
      <c r="P125" s="344">
        <f t="shared" ref="P125:P126" si="129">4600*0.85*1.19</f>
        <v>4652.9</v>
      </c>
      <c r="Q125" s="333" t="s">
        <v>1630</v>
      </c>
      <c r="R125" s="344">
        <f>4600*0.85*1.19</f>
        <v>4652.9</v>
      </c>
      <c r="S125" s="332">
        <f t="shared" si="126"/>
        <v>0</v>
      </c>
      <c r="T125" s="334"/>
      <c r="U125" s="335">
        <f t="shared" ref="U125:U134" si="130">C125*P125</f>
        <v>0</v>
      </c>
      <c r="V125" s="336">
        <f t="shared" si="127"/>
        <v>0</v>
      </c>
      <c r="W125" s="332">
        <v>9000.0</v>
      </c>
      <c r="X125" s="337">
        <f t="shared" si="105"/>
        <v>0.7188693659</v>
      </c>
      <c r="Y125" s="367"/>
    </row>
    <row r="126" hidden="1">
      <c r="A126" s="126"/>
      <c r="B126" s="126"/>
      <c r="C126" s="288"/>
      <c r="D126" s="326"/>
      <c r="E126" s="326">
        <v>0.0</v>
      </c>
      <c r="F126" s="327">
        <v>0.0</v>
      </c>
      <c r="G126" s="339" t="s">
        <v>3054</v>
      </c>
      <c r="H126" s="364">
        <v>43.0</v>
      </c>
      <c r="I126" s="329"/>
      <c r="J126" s="557"/>
      <c r="K126" s="558">
        <v>11.0</v>
      </c>
      <c r="L126" s="559">
        <v>13.0</v>
      </c>
      <c r="M126" s="319">
        <f t="shared" si="128"/>
        <v>5236</v>
      </c>
      <c r="N126" s="330">
        <f>6043*0.85*1.19</f>
        <v>6112.4945</v>
      </c>
      <c r="O126" s="344">
        <v>3300.0</v>
      </c>
      <c r="P126" s="344">
        <f t="shared" si="129"/>
        <v>4652.9</v>
      </c>
      <c r="Q126" s="333" t="s">
        <v>2909</v>
      </c>
      <c r="R126" s="344">
        <v>3300.0</v>
      </c>
      <c r="S126" s="332">
        <f t="shared" si="126"/>
        <v>0</v>
      </c>
      <c r="T126" s="334"/>
      <c r="U126" s="335">
        <f t="shared" si="130"/>
        <v>0</v>
      </c>
      <c r="V126" s="336">
        <f t="shared" si="127"/>
        <v>0</v>
      </c>
      <c r="W126" s="332">
        <v>10000.0</v>
      </c>
      <c r="X126" s="337">
        <f t="shared" si="105"/>
        <v>0.909854851</v>
      </c>
      <c r="Y126" s="367"/>
    </row>
    <row r="127" hidden="1">
      <c r="A127" s="126"/>
      <c r="B127" s="126"/>
      <c r="C127" s="288"/>
      <c r="D127" s="326"/>
      <c r="E127" s="326">
        <v>8.0</v>
      </c>
      <c r="F127" s="327">
        <v>0.0</v>
      </c>
      <c r="G127" s="328" t="s">
        <v>3055</v>
      </c>
      <c r="H127" s="364">
        <v>43.0</v>
      </c>
      <c r="I127" s="331"/>
      <c r="J127" s="557"/>
      <c r="K127" s="558">
        <v>9.0</v>
      </c>
      <c r="L127" s="559">
        <v>23.0</v>
      </c>
      <c r="M127" s="344">
        <f t="shared" si="128"/>
        <v>5236</v>
      </c>
      <c r="N127" s="331"/>
      <c r="O127" s="332"/>
      <c r="P127" s="344">
        <f t="shared" ref="P127:P129" si="131">5000*0.85*1.19</f>
        <v>5057.5</v>
      </c>
      <c r="Q127" s="333" t="s">
        <v>1630</v>
      </c>
      <c r="R127" s="344">
        <f t="shared" ref="R127:R129" si="132">5000*0.85*1.19</f>
        <v>5057.5</v>
      </c>
      <c r="S127" s="332">
        <f t="shared" si="126"/>
        <v>0</v>
      </c>
      <c r="T127" s="334"/>
      <c r="U127" s="335">
        <f t="shared" si="130"/>
        <v>0</v>
      </c>
      <c r="V127" s="336">
        <f t="shared" si="127"/>
        <v>0</v>
      </c>
      <c r="W127" s="332">
        <v>9000.0</v>
      </c>
      <c r="X127" s="337">
        <f t="shared" si="105"/>
        <v>0.7188693659</v>
      </c>
      <c r="Y127" s="367"/>
    </row>
    <row r="128" hidden="1">
      <c r="A128" s="126"/>
      <c r="B128" s="126"/>
      <c r="C128" s="288"/>
      <c r="D128" s="326"/>
      <c r="E128" s="326">
        <v>6.0</v>
      </c>
      <c r="F128" s="327">
        <v>0.0</v>
      </c>
      <c r="G128" s="328" t="s">
        <v>3056</v>
      </c>
      <c r="H128" s="364">
        <v>43.0</v>
      </c>
      <c r="I128" s="368"/>
      <c r="J128" s="557"/>
      <c r="K128" s="558">
        <v>11.0</v>
      </c>
      <c r="L128" s="559">
        <v>19.0</v>
      </c>
      <c r="M128" s="344">
        <f t="shared" si="128"/>
        <v>5236</v>
      </c>
      <c r="N128" s="331"/>
      <c r="O128" s="332"/>
      <c r="P128" s="344">
        <f t="shared" si="131"/>
        <v>5057.5</v>
      </c>
      <c r="Q128" s="333" t="s">
        <v>1630</v>
      </c>
      <c r="R128" s="344">
        <f t="shared" si="132"/>
        <v>5057.5</v>
      </c>
      <c r="S128" s="332">
        <f t="shared" si="126"/>
        <v>0</v>
      </c>
      <c r="T128" s="334"/>
      <c r="U128" s="335">
        <f t="shared" si="130"/>
        <v>0</v>
      </c>
      <c r="V128" s="336">
        <f t="shared" si="127"/>
        <v>0</v>
      </c>
      <c r="W128" s="332">
        <v>9000.0</v>
      </c>
      <c r="X128" s="337">
        <f t="shared" si="105"/>
        <v>0.7188693659</v>
      </c>
      <c r="Y128" s="367"/>
    </row>
    <row r="129" hidden="1">
      <c r="A129" s="126"/>
      <c r="B129" s="126"/>
      <c r="C129" s="287"/>
      <c r="D129" s="326"/>
      <c r="E129" s="326">
        <v>10.0</v>
      </c>
      <c r="F129" s="327">
        <v>0.0</v>
      </c>
      <c r="G129" s="339" t="s">
        <v>3057</v>
      </c>
      <c r="H129" s="364">
        <v>43.0</v>
      </c>
      <c r="I129" s="368"/>
      <c r="J129" s="557"/>
      <c r="K129" s="558">
        <v>7.0</v>
      </c>
      <c r="L129" s="559">
        <v>19.0</v>
      </c>
      <c r="M129" s="344">
        <f t="shared" si="128"/>
        <v>5236</v>
      </c>
      <c r="N129" s="331"/>
      <c r="O129" s="343"/>
      <c r="P129" s="344">
        <f t="shared" si="131"/>
        <v>5057.5</v>
      </c>
      <c r="Q129" s="333" t="s">
        <v>1630</v>
      </c>
      <c r="R129" s="344">
        <f t="shared" si="132"/>
        <v>5057.5</v>
      </c>
      <c r="S129" s="332">
        <f>F129*M129</f>
        <v>0</v>
      </c>
      <c r="T129" s="334"/>
      <c r="U129" s="335">
        <f t="shared" si="130"/>
        <v>0</v>
      </c>
      <c r="V129" s="336">
        <f t="shared" si="127"/>
        <v>0</v>
      </c>
      <c r="W129" s="332">
        <v>9000.0</v>
      </c>
      <c r="X129" s="337">
        <f t="shared" si="105"/>
        <v>0.7188693659</v>
      </c>
      <c r="Y129" s="367"/>
    </row>
    <row r="130" hidden="1">
      <c r="A130" s="126"/>
      <c r="B130" s="126"/>
      <c r="C130" s="287"/>
      <c r="D130" s="326"/>
      <c r="E130" s="326">
        <v>0.0</v>
      </c>
      <c r="F130" s="327">
        <v>0.0</v>
      </c>
      <c r="G130" s="339" t="s">
        <v>3058</v>
      </c>
      <c r="H130" s="364">
        <v>39.0</v>
      </c>
      <c r="I130" s="331"/>
      <c r="J130" s="557"/>
      <c r="K130" s="558">
        <v>15.0</v>
      </c>
      <c r="L130" s="559">
        <v>24.0</v>
      </c>
      <c r="M130" s="344">
        <f t="shared" ref="M130:M131" si="133">3970*0.88*1.19</f>
        <v>4157.384</v>
      </c>
      <c r="N130" s="331">
        <f>4672*0.85*1.19</f>
        <v>4725.728</v>
      </c>
      <c r="O130" s="332"/>
      <c r="P130" s="344">
        <f t="shared" ref="P130:P131" si="134">6000*0.85*1.19</f>
        <v>6069</v>
      </c>
      <c r="Q130" s="333" t="s">
        <v>3059</v>
      </c>
      <c r="R130" s="344">
        <f t="shared" ref="R130:R131" si="135">3970*0.88*1.19</f>
        <v>4157.384</v>
      </c>
      <c r="S130" s="332">
        <f t="shared" ref="S130:S131" si="136">P130*F130</f>
        <v>0</v>
      </c>
      <c r="T130" s="334"/>
      <c r="U130" s="335">
        <f t="shared" si="130"/>
        <v>0</v>
      </c>
      <c r="V130" s="336">
        <f t="shared" si="127"/>
        <v>0</v>
      </c>
      <c r="W130" s="332">
        <v>12000.0</v>
      </c>
      <c r="X130" s="337">
        <f t="shared" si="105"/>
        <v>1.886430505</v>
      </c>
      <c r="Y130" s="367"/>
    </row>
    <row r="131" hidden="1">
      <c r="A131" s="326"/>
      <c r="B131" s="326"/>
      <c r="C131" s="326"/>
      <c r="D131" s="326"/>
      <c r="E131" s="326">
        <v>10.0</v>
      </c>
      <c r="F131" s="327">
        <v>0.0</v>
      </c>
      <c r="G131" s="339" t="s">
        <v>3060</v>
      </c>
      <c r="H131" s="364">
        <v>39.0</v>
      </c>
      <c r="I131" s="331"/>
      <c r="J131" s="557"/>
      <c r="K131" s="558">
        <v>7.0</v>
      </c>
      <c r="L131" s="559">
        <v>24.0</v>
      </c>
      <c r="M131" s="344">
        <f t="shared" si="133"/>
        <v>4157.384</v>
      </c>
      <c r="N131" s="342">
        <f>6013*0.85*1.19</f>
        <v>6082.1495</v>
      </c>
      <c r="O131" s="343"/>
      <c r="P131" s="344">
        <f t="shared" si="134"/>
        <v>6069</v>
      </c>
      <c r="Q131" s="333" t="s">
        <v>2918</v>
      </c>
      <c r="R131" s="344">
        <f t="shared" si="135"/>
        <v>4157.384</v>
      </c>
      <c r="S131" s="332">
        <f t="shared" si="136"/>
        <v>0</v>
      </c>
      <c r="T131" s="334"/>
      <c r="U131" s="335">
        <f t="shared" si="130"/>
        <v>0</v>
      </c>
      <c r="V131" s="336">
        <f t="shared" si="127"/>
        <v>0</v>
      </c>
      <c r="W131" s="332">
        <v>12000.0</v>
      </c>
      <c r="X131" s="337">
        <f t="shared" si="105"/>
        <v>1.886430505</v>
      </c>
      <c r="Y131" s="367"/>
    </row>
    <row r="132" hidden="1">
      <c r="A132" s="126"/>
      <c r="B132" s="126"/>
      <c r="C132" s="288"/>
      <c r="D132" s="326"/>
      <c r="E132" s="326">
        <v>30.0</v>
      </c>
      <c r="F132" s="327">
        <v>0.0</v>
      </c>
      <c r="G132" s="346" t="s">
        <v>3061</v>
      </c>
      <c r="H132" s="561">
        <v>41.0</v>
      </c>
      <c r="I132" s="332"/>
      <c r="J132" s="557" t="s">
        <v>3426</v>
      </c>
      <c r="K132" s="558">
        <v>0.0</v>
      </c>
      <c r="L132" s="559">
        <v>51.0</v>
      </c>
      <c r="M132" s="350">
        <f>6400*0.88*1.19</f>
        <v>6702.08</v>
      </c>
      <c r="N132" s="319">
        <f>7897*0.85*1.19</f>
        <v>7987.8155</v>
      </c>
      <c r="O132" s="347"/>
      <c r="P132" s="344">
        <f t="shared" ref="P132:P134" si="137">7000*0.85*1.19</f>
        <v>7080.5</v>
      </c>
      <c r="Q132" s="333" t="s">
        <v>2918</v>
      </c>
      <c r="R132" s="332">
        <v>6702.0</v>
      </c>
      <c r="S132" s="332">
        <f t="shared" ref="S132:S139" si="138">F132*O132</f>
        <v>0</v>
      </c>
      <c r="T132" s="334">
        <v>10000.0</v>
      </c>
      <c r="U132" s="335">
        <f t="shared" si="130"/>
        <v>0</v>
      </c>
      <c r="V132" s="336">
        <f t="shared" si="127"/>
        <v>120000000</v>
      </c>
      <c r="W132" s="332">
        <v>12000.0</v>
      </c>
      <c r="X132" s="337">
        <f t="shared" si="105"/>
        <v>0.7904889228</v>
      </c>
      <c r="Y132" s="338"/>
    </row>
    <row r="133" hidden="1">
      <c r="A133" s="126"/>
      <c r="B133" s="126"/>
      <c r="C133" s="287"/>
      <c r="D133" s="326"/>
      <c r="E133" s="326">
        <v>8.0</v>
      </c>
      <c r="F133" s="327">
        <v>0.0</v>
      </c>
      <c r="G133" s="346" t="s">
        <v>3062</v>
      </c>
      <c r="H133" s="561">
        <v>40.0</v>
      </c>
      <c r="I133" s="331"/>
      <c r="J133" s="557"/>
      <c r="K133" s="558">
        <v>8.0</v>
      </c>
      <c r="L133" s="559">
        <v>19.0</v>
      </c>
      <c r="M133" s="344">
        <f t="shared" ref="M133:M134" si="139">6300*0.88*1.19</f>
        <v>6597.36</v>
      </c>
      <c r="N133" s="319">
        <f t="shared" ref="N133:N134" si="140">8018*0.85*1.19</f>
        <v>8110.207</v>
      </c>
      <c r="O133" s="349"/>
      <c r="P133" s="344">
        <f t="shared" si="137"/>
        <v>7080.5</v>
      </c>
      <c r="Q133" s="333" t="s">
        <v>2918</v>
      </c>
      <c r="R133" s="344">
        <f t="shared" ref="R133:R134" si="141">6300*0.88*1.19</f>
        <v>6597.36</v>
      </c>
      <c r="S133" s="332">
        <f t="shared" si="138"/>
        <v>0</v>
      </c>
      <c r="T133" s="334">
        <v>10000.0</v>
      </c>
      <c r="U133" s="335">
        <f t="shared" si="130"/>
        <v>0</v>
      </c>
      <c r="V133" s="336">
        <f t="shared" si="127"/>
        <v>120000000</v>
      </c>
      <c r="W133" s="332">
        <v>12000.0</v>
      </c>
      <c r="X133" s="337">
        <f t="shared" si="105"/>
        <v>0.8189093819</v>
      </c>
      <c r="Y133" s="338"/>
    </row>
    <row r="134" hidden="1">
      <c r="A134" s="126"/>
      <c r="B134" s="126"/>
      <c r="C134" s="287"/>
      <c r="D134" s="326"/>
      <c r="E134" s="326">
        <v>8.0</v>
      </c>
      <c r="F134" s="327">
        <v>0.0</v>
      </c>
      <c r="G134" s="346" t="s">
        <v>3063</v>
      </c>
      <c r="H134" s="561">
        <v>40.0</v>
      </c>
      <c r="I134" s="331"/>
      <c r="J134" s="557"/>
      <c r="K134" s="558">
        <v>8.0</v>
      </c>
      <c r="L134" s="559">
        <v>27.0</v>
      </c>
      <c r="M134" s="344">
        <f t="shared" si="139"/>
        <v>6597.36</v>
      </c>
      <c r="N134" s="319">
        <f t="shared" si="140"/>
        <v>8110.207</v>
      </c>
      <c r="O134" s="349"/>
      <c r="P134" s="344">
        <f t="shared" si="137"/>
        <v>7080.5</v>
      </c>
      <c r="Q134" s="333" t="s">
        <v>2918</v>
      </c>
      <c r="R134" s="344">
        <f t="shared" si="141"/>
        <v>6597.36</v>
      </c>
      <c r="S134" s="332">
        <f t="shared" si="138"/>
        <v>0</v>
      </c>
      <c r="T134" s="334"/>
      <c r="U134" s="335">
        <f t="shared" si="130"/>
        <v>0</v>
      </c>
      <c r="V134" s="336">
        <f t="shared" si="127"/>
        <v>0</v>
      </c>
      <c r="W134" s="332">
        <v>12000.0</v>
      </c>
      <c r="X134" s="337">
        <f t="shared" si="105"/>
        <v>0.8189093819</v>
      </c>
      <c r="Y134" s="338"/>
    </row>
    <row r="135" hidden="1">
      <c r="A135" s="126"/>
      <c r="B135" s="126"/>
      <c r="C135" s="287"/>
      <c r="D135" s="326">
        <v>10.0</v>
      </c>
      <c r="E135" s="326">
        <v>10.0</v>
      </c>
      <c r="F135" s="327">
        <v>0.0</v>
      </c>
      <c r="G135" s="359" t="s">
        <v>3064</v>
      </c>
      <c r="H135" s="561">
        <v>42.0</v>
      </c>
      <c r="I135" s="331"/>
      <c r="J135" s="557"/>
      <c r="K135" s="558">
        <v>11.0</v>
      </c>
      <c r="L135" s="559">
        <v>58.0</v>
      </c>
      <c r="M135" s="319">
        <f t="shared" ref="M135:M136" si="142">4800*0.88*1.19</f>
        <v>5026.56</v>
      </c>
      <c r="N135" s="356">
        <f t="shared" ref="N135:N136" si="143">4499*0.85*1.19</f>
        <v>4550.7385</v>
      </c>
      <c r="O135" s="344">
        <v>7500.0</v>
      </c>
      <c r="P135" s="319"/>
      <c r="Q135" s="333" t="s">
        <v>3015</v>
      </c>
      <c r="R135" s="356">
        <f>4499*0.85*1.19</f>
        <v>4550.7385</v>
      </c>
      <c r="S135" s="332">
        <f t="shared" si="138"/>
        <v>0</v>
      </c>
      <c r="T135" s="334"/>
      <c r="U135" s="335">
        <f t="shared" ref="U135:U136" si="144">M135*T135</f>
        <v>0</v>
      </c>
      <c r="V135" s="336">
        <f t="shared" si="127"/>
        <v>0</v>
      </c>
      <c r="W135" s="332">
        <v>12000.0</v>
      </c>
      <c r="X135" s="337">
        <f t="shared" si="105"/>
        <v>1.387318564</v>
      </c>
      <c r="Y135" s="338"/>
    </row>
    <row r="136" hidden="1">
      <c r="A136" s="126"/>
      <c r="B136" s="126"/>
      <c r="C136" s="287"/>
      <c r="D136" s="327"/>
      <c r="E136" s="326">
        <v>12.0</v>
      </c>
      <c r="F136" s="327"/>
      <c r="G136" s="359" t="s">
        <v>3065</v>
      </c>
      <c r="H136" s="561">
        <v>42.0</v>
      </c>
      <c r="I136" s="331"/>
      <c r="J136" s="557"/>
      <c r="K136" s="558">
        <v>4.0</v>
      </c>
      <c r="L136" s="559">
        <v>1.0</v>
      </c>
      <c r="M136" s="319">
        <f t="shared" si="142"/>
        <v>5026.56</v>
      </c>
      <c r="N136" s="356">
        <f t="shared" si="143"/>
        <v>4550.7385</v>
      </c>
      <c r="O136" s="344">
        <v>7500.0</v>
      </c>
      <c r="P136" s="319"/>
      <c r="Q136" s="333" t="s">
        <v>2909</v>
      </c>
      <c r="R136" s="344">
        <v>7500.0</v>
      </c>
      <c r="S136" s="332">
        <f t="shared" si="138"/>
        <v>0</v>
      </c>
      <c r="T136" s="334"/>
      <c r="U136" s="335">
        <f t="shared" si="144"/>
        <v>0</v>
      </c>
      <c r="V136" s="336">
        <f t="shared" si="127"/>
        <v>0</v>
      </c>
      <c r="W136" s="332">
        <v>12000.0</v>
      </c>
      <c r="X136" s="337">
        <f t="shared" si="105"/>
        <v>1.387318564</v>
      </c>
      <c r="Y136" s="338"/>
    </row>
    <row r="137" hidden="1">
      <c r="A137" s="126"/>
      <c r="B137" s="126"/>
      <c r="C137" s="287"/>
      <c r="D137" s="326"/>
      <c r="E137" s="326">
        <v>8.0</v>
      </c>
      <c r="F137" s="327">
        <v>0.0</v>
      </c>
      <c r="G137" s="328" t="s">
        <v>3066</v>
      </c>
      <c r="H137" s="561">
        <v>42.0</v>
      </c>
      <c r="I137" s="331"/>
      <c r="J137" s="557"/>
      <c r="K137" s="558">
        <v>4.0</v>
      </c>
      <c r="L137" s="559">
        <v>17.0</v>
      </c>
      <c r="M137" s="344">
        <f t="shared" ref="M137:M138" si="145">7500*0.88*1.19</f>
        <v>7854</v>
      </c>
      <c r="N137" s="340">
        <f>5544*0.85*1.19</f>
        <v>5607.756</v>
      </c>
      <c r="O137" s="332"/>
      <c r="P137" s="344">
        <f t="shared" ref="P137:P138" si="146">7500*0.85*1.19</f>
        <v>7586.25</v>
      </c>
      <c r="Q137" s="333" t="s">
        <v>1630</v>
      </c>
      <c r="R137" s="344">
        <f t="shared" ref="R137:R138" si="147">7500*0.85*1.19</f>
        <v>7586.25</v>
      </c>
      <c r="S137" s="332">
        <f t="shared" si="138"/>
        <v>0</v>
      </c>
      <c r="T137" s="334"/>
      <c r="U137" s="335">
        <f t="shared" ref="U137:U140" si="148">C137*P137</f>
        <v>0</v>
      </c>
      <c r="V137" s="336">
        <f t="shared" si="127"/>
        <v>0</v>
      </c>
      <c r="W137" s="332">
        <v>12000.0</v>
      </c>
      <c r="X137" s="337">
        <f t="shared" si="105"/>
        <v>0.5278838808</v>
      </c>
      <c r="Y137" s="338"/>
    </row>
    <row r="138" hidden="1">
      <c r="A138" s="126"/>
      <c r="B138" s="126"/>
      <c r="C138" s="287"/>
      <c r="D138" s="326"/>
      <c r="E138" s="326">
        <v>10.0</v>
      </c>
      <c r="F138" s="327">
        <v>0.0</v>
      </c>
      <c r="G138" s="328" t="s">
        <v>3067</v>
      </c>
      <c r="H138" s="561">
        <v>42.0</v>
      </c>
      <c r="I138" s="331"/>
      <c r="J138" s="557" t="s">
        <v>3426</v>
      </c>
      <c r="K138" s="558">
        <v>2.0</v>
      </c>
      <c r="L138" s="559">
        <v>15.0</v>
      </c>
      <c r="M138" s="344">
        <f t="shared" si="145"/>
        <v>7854</v>
      </c>
      <c r="N138" s="357">
        <f>6666*0.85*1.19</f>
        <v>6742.659</v>
      </c>
      <c r="O138" s="332"/>
      <c r="P138" s="344">
        <f t="shared" si="146"/>
        <v>7586.25</v>
      </c>
      <c r="Q138" s="333" t="s">
        <v>1630</v>
      </c>
      <c r="R138" s="344">
        <f t="shared" si="147"/>
        <v>7586.25</v>
      </c>
      <c r="S138" s="332">
        <f t="shared" si="138"/>
        <v>0</v>
      </c>
      <c r="T138" s="334"/>
      <c r="U138" s="335">
        <f t="shared" si="148"/>
        <v>0</v>
      </c>
      <c r="V138" s="336">
        <f t="shared" si="127"/>
        <v>0</v>
      </c>
      <c r="W138" s="332">
        <v>12000.0</v>
      </c>
      <c r="X138" s="337">
        <f t="shared" si="105"/>
        <v>0.5278838808</v>
      </c>
      <c r="Y138" s="338"/>
    </row>
    <row r="139" hidden="1">
      <c r="A139" s="126"/>
      <c r="B139" s="126"/>
      <c r="C139" s="287"/>
      <c r="D139" s="326">
        <v>5.0</v>
      </c>
      <c r="E139" s="326">
        <v>5.0</v>
      </c>
      <c r="F139" s="327">
        <v>0.0</v>
      </c>
      <c r="G139" s="339" t="s">
        <v>3068</v>
      </c>
      <c r="H139" s="364">
        <v>41.0</v>
      </c>
      <c r="I139" s="331"/>
      <c r="J139" s="557"/>
      <c r="K139" s="558">
        <v>7.0</v>
      </c>
      <c r="L139" s="559">
        <v>15.0</v>
      </c>
      <c r="M139" s="344">
        <f t="shared" ref="M139:M140" si="149">3820*0.88*1.19</f>
        <v>4000.304</v>
      </c>
      <c r="N139" s="331"/>
      <c r="O139" s="344">
        <v>7500.0</v>
      </c>
      <c r="P139" s="344">
        <f t="shared" ref="P139:P140" si="150">6500*0.85*1.19</f>
        <v>6574.75</v>
      </c>
      <c r="Q139" s="333" t="s">
        <v>2918</v>
      </c>
      <c r="R139" s="344">
        <f t="shared" ref="R139:R140" si="151">3820*0.88*1.19</f>
        <v>4000.304</v>
      </c>
      <c r="S139" s="332">
        <f t="shared" si="138"/>
        <v>0</v>
      </c>
      <c r="T139" s="334"/>
      <c r="U139" s="335">
        <f t="shared" si="148"/>
        <v>0</v>
      </c>
      <c r="V139" s="336">
        <f t="shared" si="127"/>
        <v>0</v>
      </c>
      <c r="W139" s="332">
        <v>12000.0</v>
      </c>
      <c r="X139" s="337">
        <f t="shared" si="105"/>
        <v>1.999772017</v>
      </c>
      <c r="Y139" s="338"/>
    </row>
    <row r="140" hidden="1">
      <c r="A140" s="126"/>
      <c r="B140" s="126"/>
      <c r="C140" s="287"/>
      <c r="D140" s="326">
        <v>5.0</v>
      </c>
      <c r="E140" s="326">
        <v>5.0</v>
      </c>
      <c r="F140" s="327">
        <v>0.0</v>
      </c>
      <c r="G140" s="339" t="s">
        <v>3069</v>
      </c>
      <c r="H140" s="364">
        <v>41.0</v>
      </c>
      <c r="I140" s="331"/>
      <c r="J140" s="557"/>
      <c r="K140" s="558">
        <v>7.0</v>
      </c>
      <c r="L140" s="559">
        <v>87.0</v>
      </c>
      <c r="M140" s="344">
        <f t="shared" si="149"/>
        <v>4000.304</v>
      </c>
      <c r="N140" s="340">
        <f>6425*0.85*1.19</f>
        <v>6498.8875</v>
      </c>
      <c r="O140" s="332"/>
      <c r="P140" s="344">
        <f t="shared" si="150"/>
        <v>6574.75</v>
      </c>
      <c r="Q140" s="333" t="s">
        <v>2918</v>
      </c>
      <c r="R140" s="344">
        <f t="shared" si="151"/>
        <v>4000.304</v>
      </c>
      <c r="S140" s="332">
        <f>F140*M140</f>
        <v>0</v>
      </c>
      <c r="T140" s="334"/>
      <c r="U140" s="335">
        <f t="shared" si="148"/>
        <v>0</v>
      </c>
      <c r="V140" s="336">
        <f t="shared" si="127"/>
        <v>0</v>
      </c>
      <c r="W140" s="332">
        <v>12000.0</v>
      </c>
      <c r="X140" s="337">
        <f t="shared" si="105"/>
        <v>1.999772017</v>
      </c>
      <c r="Y140" s="338"/>
    </row>
    <row r="141" hidden="1">
      <c r="A141" s="126"/>
      <c r="B141" s="126"/>
      <c r="C141" s="288"/>
      <c r="D141" s="326"/>
      <c r="E141" s="326">
        <v>0.0</v>
      </c>
      <c r="F141" s="327">
        <v>0.0</v>
      </c>
      <c r="G141" s="339" t="s">
        <v>3070</v>
      </c>
      <c r="H141" s="364" t="s">
        <v>3428</v>
      </c>
      <c r="I141" s="331"/>
      <c r="J141" s="557"/>
      <c r="K141" s="558">
        <v>0.0</v>
      </c>
      <c r="L141" s="559"/>
      <c r="M141" s="319">
        <f>5000*1.19*0.88</f>
        <v>5236</v>
      </c>
      <c r="N141" s="340">
        <f>4611*0.85*1.19</f>
        <v>4664.0265</v>
      </c>
      <c r="O141" s="332"/>
      <c r="P141" s="319"/>
      <c r="Q141" s="333" t="s">
        <v>3015</v>
      </c>
      <c r="R141" s="340">
        <f>4611*0.85*1.19</f>
        <v>4664.0265</v>
      </c>
      <c r="S141" s="332">
        <f>F141*O141</f>
        <v>0</v>
      </c>
      <c r="T141" s="334"/>
      <c r="U141" s="335">
        <f>M141*T141</f>
        <v>0</v>
      </c>
      <c r="V141" s="336">
        <f t="shared" si="127"/>
        <v>0</v>
      </c>
      <c r="W141" s="332">
        <v>18000.0</v>
      </c>
      <c r="X141" s="337">
        <f t="shared" si="105"/>
        <v>2.437738732</v>
      </c>
      <c r="Y141" s="338"/>
    </row>
    <row r="142" hidden="1">
      <c r="A142" s="126"/>
      <c r="B142" s="126"/>
      <c r="C142" s="287"/>
      <c r="D142" s="326"/>
      <c r="E142" s="326">
        <v>0.0</v>
      </c>
      <c r="F142" s="327"/>
      <c r="G142" s="339"/>
      <c r="H142" s="364"/>
      <c r="I142" s="332"/>
      <c r="J142" s="557"/>
      <c r="K142" s="558">
        <v>0.0</v>
      </c>
      <c r="L142" s="559"/>
      <c r="M142" s="331"/>
      <c r="N142" s="331"/>
      <c r="O142" s="332"/>
      <c r="P142" s="319"/>
      <c r="Q142" s="320"/>
      <c r="R142" s="332"/>
      <c r="S142" s="332"/>
      <c r="T142" s="334"/>
      <c r="U142" s="335"/>
      <c r="V142" s="336"/>
      <c r="W142" s="332"/>
      <c r="X142" s="337"/>
      <c r="Y142" s="338"/>
    </row>
  </sheetData>
  <autoFilter ref="$A$1:$X$142">
    <filterColumn colId="6">
      <filters>
        <filter val="Espatula de CEMENTO PLASTICA"/>
        <filter val="Espatula de cemento metalica CORTA DOBLE instrumental 20/23"/>
      </filters>
    </filterColumn>
    <sortState ref="A1:X142">
      <sortCondition ref="G1:G142"/>
      <sortCondition ref="H1:H142"/>
    </sortState>
  </autoFil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0.0"/>
    <col customWidth="1" min="2" max="2" width="17.38"/>
    <col customWidth="1" min="3" max="3" width="17.75"/>
  </cols>
  <sheetData>
    <row r="1">
      <c r="A1" s="422"/>
      <c r="B1" s="450" t="s">
        <v>3429</v>
      </c>
      <c r="C1" s="450" t="s">
        <v>521</v>
      </c>
      <c r="D1" s="450" t="s">
        <v>3430</v>
      </c>
      <c r="E1" s="422"/>
      <c r="F1" s="326" t="s">
        <v>3431</v>
      </c>
      <c r="G1" s="477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</row>
    <row r="2">
      <c r="A2" s="568" t="s">
        <v>534</v>
      </c>
      <c r="B2" s="569">
        <v>30.0</v>
      </c>
      <c r="C2" s="570">
        <v>10.0</v>
      </c>
      <c r="D2" s="570">
        <v>20.0</v>
      </c>
      <c r="E2" s="571"/>
      <c r="F2" s="385" t="s">
        <v>3432</v>
      </c>
      <c r="G2" s="477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</row>
    <row r="3">
      <c r="A3" s="568" t="s">
        <v>536</v>
      </c>
      <c r="B3" s="569">
        <v>60.0</v>
      </c>
      <c r="C3" s="570">
        <v>10.0</v>
      </c>
      <c r="D3" s="570">
        <v>50.0</v>
      </c>
      <c r="E3" s="571"/>
      <c r="F3" s="385" t="s">
        <v>3432</v>
      </c>
      <c r="G3" s="477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</row>
    <row r="4">
      <c r="A4" s="568" t="s">
        <v>742</v>
      </c>
      <c r="B4" s="569">
        <v>20.0</v>
      </c>
      <c r="C4" s="570">
        <v>15.0</v>
      </c>
      <c r="D4" s="570">
        <v>3.0</v>
      </c>
      <c r="E4" s="571"/>
      <c r="F4" s="385" t="s">
        <v>3432</v>
      </c>
      <c r="G4" s="477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</row>
    <row r="5">
      <c r="A5" s="568" t="s">
        <v>1457</v>
      </c>
      <c r="B5" s="569">
        <v>5.0</v>
      </c>
      <c r="C5" s="570">
        <v>0.0</v>
      </c>
      <c r="D5" s="570">
        <v>3.0</v>
      </c>
      <c r="E5" s="571"/>
      <c r="F5" s="385" t="s">
        <v>3432</v>
      </c>
      <c r="G5" s="477"/>
      <c r="H5" s="371"/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</row>
    <row r="6">
      <c r="A6" s="572" t="s">
        <v>531</v>
      </c>
      <c r="B6" s="573">
        <f t="shared" ref="B6:B7" si="1">C6+D6</f>
        <v>40</v>
      </c>
      <c r="C6" s="573">
        <v>20.0</v>
      </c>
      <c r="D6" s="573">
        <v>20.0</v>
      </c>
      <c r="E6" s="574" t="s">
        <v>532</v>
      </c>
      <c r="F6" s="575" t="s">
        <v>3433</v>
      </c>
      <c r="G6" s="477"/>
      <c r="H6" s="371"/>
      <c r="I6" s="371"/>
      <c r="J6" s="371"/>
      <c r="K6" s="371"/>
      <c r="L6" s="371"/>
      <c r="M6" s="371"/>
      <c r="N6" s="371"/>
      <c r="O6" s="371"/>
      <c r="P6" s="371"/>
      <c r="Q6" s="371"/>
      <c r="R6" s="371"/>
      <c r="S6" s="371"/>
      <c r="T6" s="371"/>
      <c r="U6" s="371"/>
      <c r="V6" s="371"/>
    </row>
    <row r="7">
      <c r="A7" s="572" t="s">
        <v>540</v>
      </c>
      <c r="B7" s="573">
        <f t="shared" si="1"/>
        <v>2</v>
      </c>
      <c r="C7" s="573">
        <v>0.0</v>
      </c>
      <c r="D7" s="573">
        <v>2.0</v>
      </c>
      <c r="E7" s="198" t="s">
        <v>541</v>
      </c>
      <c r="F7" s="575" t="s">
        <v>3433</v>
      </c>
      <c r="G7" s="477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</row>
    <row r="8">
      <c r="A8" s="576" t="s">
        <v>3434</v>
      </c>
      <c r="B8" s="577" t="s">
        <v>3435</v>
      </c>
      <c r="C8" s="573" t="s">
        <v>3436</v>
      </c>
      <c r="D8" s="573">
        <v>0.0</v>
      </c>
      <c r="E8" s="578"/>
      <c r="F8" s="575" t="s">
        <v>3433</v>
      </c>
      <c r="G8" s="477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</row>
    <row r="9">
      <c r="A9" s="572" t="s">
        <v>2599</v>
      </c>
      <c r="B9" s="573">
        <f t="shared" ref="B9:B11" si="2">C9+D9</f>
        <v>20</v>
      </c>
      <c r="C9" s="573">
        <v>0.0</v>
      </c>
      <c r="D9" s="573">
        <v>20.0</v>
      </c>
      <c r="E9" s="574" t="s">
        <v>3437</v>
      </c>
      <c r="F9" s="575" t="s">
        <v>3433</v>
      </c>
      <c r="G9" s="477"/>
      <c r="H9" s="371"/>
      <c r="I9" s="371"/>
      <c r="J9" s="371"/>
      <c r="K9" s="371"/>
      <c r="L9" s="371"/>
      <c r="M9" s="371"/>
      <c r="N9" s="371"/>
      <c r="O9" s="371"/>
      <c r="P9" s="371"/>
      <c r="Q9" s="371"/>
      <c r="R9" s="371"/>
      <c r="S9" s="371"/>
      <c r="T9" s="371"/>
      <c r="U9" s="371"/>
      <c r="V9" s="371"/>
    </row>
    <row r="10">
      <c r="A10" s="572" t="s">
        <v>2601</v>
      </c>
      <c r="B10" s="573">
        <f t="shared" si="2"/>
        <v>20</v>
      </c>
      <c r="C10" s="573">
        <v>0.0</v>
      </c>
      <c r="D10" s="577">
        <v>20.0</v>
      </c>
      <c r="E10" s="574" t="s">
        <v>3437</v>
      </c>
      <c r="F10" s="575" t="s">
        <v>3433</v>
      </c>
      <c r="G10" s="477"/>
      <c r="H10" s="371"/>
      <c r="I10" s="371"/>
      <c r="J10" s="371"/>
      <c r="K10" s="371"/>
      <c r="L10" s="371"/>
      <c r="M10" s="371"/>
      <c r="N10" s="371"/>
      <c r="O10" s="371"/>
      <c r="P10" s="371"/>
      <c r="Q10" s="371"/>
      <c r="R10" s="371"/>
      <c r="S10" s="371"/>
      <c r="T10" s="371"/>
      <c r="U10" s="371"/>
      <c r="V10" s="371"/>
    </row>
    <row r="11">
      <c r="A11" s="572" t="s">
        <v>2607</v>
      </c>
      <c r="B11" s="573">
        <f t="shared" si="2"/>
        <v>5</v>
      </c>
      <c r="C11" s="573">
        <v>0.0</v>
      </c>
      <c r="D11" s="573">
        <v>5.0</v>
      </c>
      <c r="E11" s="578"/>
      <c r="F11" s="575" t="s">
        <v>3433</v>
      </c>
      <c r="G11" s="477"/>
      <c r="H11" s="371"/>
      <c r="I11" s="371"/>
      <c r="J11" s="371"/>
      <c r="K11" s="371"/>
      <c r="L11" s="371"/>
      <c r="M11" s="371"/>
      <c r="N11" s="371"/>
      <c r="O11" s="371"/>
      <c r="P11" s="371"/>
      <c r="Q11" s="371"/>
      <c r="R11" s="371"/>
      <c r="S11" s="371"/>
      <c r="T11" s="371"/>
      <c r="U11" s="371"/>
      <c r="V11" s="371"/>
    </row>
    <row r="12">
      <c r="A12" s="579" t="s">
        <v>750</v>
      </c>
      <c r="B12" s="580">
        <v>20.0</v>
      </c>
      <c r="C12" s="581">
        <v>30.0</v>
      </c>
      <c r="D12" s="581">
        <v>2.0</v>
      </c>
      <c r="E12" s="17" t="s">
        <v>751</v>
      </c>
      <c r="F12" s="326" t="s">
        <v>3438</v>
      </c>
      <c r="G12" s="490">
        <v>12000.0</v>
      </c>
      <c r="H12" s="515" t="s">
        <v>3439</v>
      </c>
      <c r="I12" s="371"/>
      <c r="J12" s="371"/>
      <c r="K12" s="371"/>
      <c r="L12" s="371"/>
      <c r="M12" s="371"/>
      <c r="N12" s="371"/>
      <c r="O12" s="371"/>
      <c r="P12" s="371"/>
      <c r="Q12" s="371"/>
      <c r="R12" s="371"/>
      <c r="S12" s="371"/>
      <c r="T12" s="371"/>
      <c r="U12" s="371"/>
      <c r="V12" s="371"/>
    </row>
    <row r="13">
      <c r="A13" s="579" t="s">
        <v>2587</v>
      </c>
      <c r="B13" s="581">
        <f t="shared" ref="B13:B16" si="3">C13+D13</f>
        <v>20</v>
      </c>
      <c r="C13" s="581">
        <v>10.0</v>
      </c>
      <c r="D13" s="581">
        <v>10.0</v>
      </c>
      <c r="E13" s="17" t="s">
        <v>2588</v>
      </c>
      <c r="F13" s="326" t="s">
        <v>3438</v>
      </c>
      <c r="G13" s="490">
        <v>13000.0</v>
      </c>
      <c r="H13" s="515" t="s">
        <v>3439</v>
      </c>
      <c r="I13" s="371"/>
      <c r="J13" s="371"/>
      <c r="K13" s="371"/>
      <c r="L13" s="371"/>
      <c r="M13" s="371"/>
      <c r="N13" s="371"/>
      <c r="O13" s="371"/>
      <c r="P13" s="371"/>
      <c r="Q13" s="371"/>
      <c r="R13" s="371"/>
      <c r="S13" s="371"/>
      <c r="T13" s="371"/>
      <c r="U13" s="371"/>
      <c r="V13" s="371"/>
    </row>
    <row r="14">
      <c r="A14" s="579" t="s">
        <v>2590</v>
      </c>
      <c r="B14" s="581">
        <f t="shared" si="3"/>
        <v>20</v>
      </c>
      <c r="C14" s="581">
        <v>10.0</v>
      </c>
      <c r="D14" s="580">
        <v>10.0</v>
      </c>
      <c r="E14" s="17" t="s">
        <v>2588</v>
      </c>
      <c r="F14" s="326" t="s">
        <v>3438</v>
      </c>
      <c r="G14" s="490">
        <v>13000.0</v>
      </c>
      <c r="H14" s="515" t="s">
        <v>3439</v>
      </c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71"/>
      <c r="V14" s="371"/>
    </row>
    <row r="15">
      <c r="A15" s="579" t="s">
        <v>2591</v>
      </c>
      <c r="B15" s="581">
        <f t="shared" si="3"/>
        <v>20</v>
      </c>
      <c r="C15" s="581">
        <v>0.0</v>
      </c>
      <c r="D15" s="580">
        <v>20.0</v>
      </c>
      <c r="E15" s="17" t="s">
        <v>2588</v>
      </c>
      <c r="F15" s="326" t="s">
        <v>3438</v>
      </c>
      <c r="G15" s="490">
        <v>13000.0</v>
      </c>
      <c r="H15" s="515" t="s">
        <v>3439</v>
      </c>
      <c r="I15" s="371"/>
      <c r="J15" s="371"/>
      <c r="K15" s="371"/>
      <c r="L15" s="371"/>
      <c r="M15" s="371"/>
      <c r="N15" s="371"/>
      <c r="O15" s="371"/>
      <c r="P15" s="371"/>
      <c r="Q15" s="371"/>
      <c r="R15" s="371"/>
      <c r="S15" s="371"/>
      <c r="T15" s="371"/>
      <c r="U15" s="371"/>
      <c r="V15" s="371"/>
    </row>
    <row r="16">
      <c r="A16" s="579" t="s">
        <v>2602</v>
      </c>
      <c r="B16" s="581">
        <f t="shared" si="3"/>
        <v>15</v>
      </c>
      <c r="C16" s="581">
        <v>0.0</v>
      </c>
      <c r="D16" s="581">
        <v>15.0</v>
      </c>
      <c r="E16" s="422"/>
      <c r="F16" s="326" t="s">
        <v>3438</v>
      </c>
      <c r="G16" s="490">
        <v>13000.0</v>
      </c>
      <c r="H16" s="515" t="s">
        <v>3439</v>
      </c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</row>
    <row r="17">
      <c r="A17" s="371"/>
      <c r="B17" s="307"/>
      <c r="C17" s="307"/>
      <c r="D17" s="307"/>
      <c r="E17" s="371"/>
      <c r="F17" s="307"/>
      <c r="G17" s="477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</row>
    <row r="18">
      <c r="A18" s="371"/>
      <c r="B18" s="307"/>
      <c r="C18" s="307"/>
      <c r="D18" s="307"/>
      <c r="E18" s="371"/>
      <c r="F18" s="307"/>
      <c r="G18" s="477"/>
      <c r="H18" s="371"/>
      <c r="I18" s="371"/>
      <c r="J18" s="371"/>
      <c r="K18" s="371"/>
      <c r="L18" s="371"/>
      <c r="M18" s="371"/>
      <c r="N18" s="371"/>
      <c r="O18" s="371"/>
      <c r="P18" s="371"/>
      <c r="Q18" s="371"/>
      <c r="R18" s="371"/>
      <c r="S18" s="371"/>
      <c r="T18" s="371"/>
      <c r="U18" s="371"/>
      <c r="V18" s="371"/>
    </row>
    <row r="19">
      <c r="A19" s="371"/>
      <c r="B19" s="307"/>
      <c r="C19" s="307"/>
      <c r="D19" s="307"/>
      <c r="E19" s="371"/>
      <c r="F19" s="307"/>
      <c r="G19" s="477"/>
      <c r="H19" s="371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</row>
    <row r="20">
      <c r="A20" s="371"/>
      <c r="B20" s="307"/>
      <c r="C20" s="307"/>
      <c r="D20" s="307"/>
      <c r="E20" s="371"/>
      <c r="F20" s="307"/>
      <c r="G20" s="477"/>
      <c r="H20" s="371"/>
      <c r="I20" s="371"/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</row>
    <row r="21">
      <c r="A21" s="371"/>
      <c r="B21" s="307"/>
      <c r="C21" s="307"/>
      <c r="D21" s="307"/>
      <c r="E21" s="371"/>
      <c r="F21" s="307"/>
      <c r="G21" s="477"/>
      <c r="H21" s="371"/>
      <c r="I21" s="371"/>
      <c r="J21" s="371"/>
      <c r="K21" s="371"/>
      <c r="L21" s="371"/>
      <c r="M21" s="371"/>
      <c r="N21" s="371"/>
      <c r="O21" s="371"/>
      <c r="P21" s="371"/>
      <c r="Q21" s="371"/>
      <c r="R21" s="371"/>
      <c r="S21" s="371"/>
      <c r="T21" s="371"/>
      <c r="U21" s="371"/>
      <c r="V21" s="371"/>
    </row>
    <row r="22">
      <c r="A22" s="371"/>
      <c r="B22" s="307"/>
      <c r="C22" s="307"/>
      <c r="D22" s="307"/>
      <c r="E22" s="371"/>
      <c r="F22" s="307"/>
      <c r="G22" s="477"/>
      <c r="H22" s="371"/>
      <c r="I22" s="371"/>
      <c r="J22" s="371"/>
      <c r="K22" s="371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</row>
    <row r="23">
      <c r="A23" s="371"/>
      <c r="B23" s="307"/>
      <c r="C23" s="307"/>
      <c r="D23" s="307"/>
      <c r="E23" s="371"/>
      <c r="F23" s="307"/>
      <c r="G23" s="477"/>
      <c r="H23" s="371"/>
      <c r="I23" s="371"/>
      <c r="J23" s="371"/>
      <c r="K23" s="371"/>
      <c r="L23" s="371"/>
      <c r="M23" s="371"/>
      <c r="N23" s="371"/>
      <c r="O23" s="371"/>
      <c r="P23" s="371"/>
      <c r="Q23" s="371"/>
      <c r="R23" s="371"/>
      <c r="S23" s="371"/>
      <c r="T23" s="371"/>
      <c r="U23" s="371"/>
      <c r="V23" s="371"/>
    </row>
    <row r="24">
      <c r="A24" s="371"/>
      <c r="B24" s="307"/>
      <c r="C24" s="307"/>
      <c r="D24" s="307"/>
      <c r="E24" s="371"/>
      <c r="F24" s="307"/>
      <c r="G24" s="477"/>
      <c r="H24" s="371"/>
      <c r="I24" s="371"/>
      <c r="J24" s="371"/>
      <c r="K24" s="371"/>
      <c r="L24" s="371"/>
      <c r="M24" s="371"/>
      <c r="N24" s="371"/>
      <c r="O24" s="371"/>
      <c r="P24" s="371"/>
      <c r="Q24" s="371"/>
      <c r="R24" s="371"/>
      <c r="S24" s="371"/>
      <c r="T24" s="371"/>
      <c r="U24" s="371"/>
      <c r="V24" s="371"/>
    </row>
    <row r="25">
      <c r="A25" s="371"/>
      <c r="B25" s="307"/>
      <c r="C25" s="307"/>
      <c r="D25" s="307"/>
      <c r="E25" s="371"/>
      <c r="F25" s="307"/>
      <c r="G25" s="477"/>
      <c r="H25" s="371"/>
      <c r="I25" s="371"/>
      <c r="J25" s="371"/>
      <c r="K25" s="371"/>
      <c r="L25" s="371"/>
      <c r="M25" s="371"/>
      <c r="N25" s="371"/>
      <c r="O25" s="371"/>
      <c r="P25" s="371"/>
      <c r="Q25" s="371"/>
      <c r="R25" s="371"/>
      <c r="S25" s="371"/>
      <c r="T25" s="371"/>
      <c r="U25" s="371"/>
      <c r="V25" s="371"/>
    </row>
    <row r="26">
      <c r="A26" s="371"/>
      <c r="B26" s="307"/>
      <c r="C26" s="307"/>
      <c r="D26" s="307"/>
      <c r="E26" s="371"/>
      <c r="F26" s="307"/>
      <c r="G26" s="477"/>
      <c r="H26" s="371"/>
      <c r="I26" s="371"/>
      <c r="J26" s="371"/>
      <c r="K26" s="371"/>
      <c r="L26" s="371"/>
      <c r="M26" s="371"/>
      <c r="N26" s="371"/>
      <c r="O26" s="371"/>
      <c r="P26" s="371"/>
      <c r="Q26" s="371"/>
      <c r="R26" s="371"/>
      <c r="S26" s="371"/>
      <c r="T26" s="371"/>
      <c r="U26" s="371"/>
      <c r="V26" s="371"/>
    </row>
    <row r="27">
      <c r="A27" s="371"/>
      <c r="B27" s="307"/>
      <c r="C27" s="307"/>
      <c r="D27" s="307"/>
      <c r="E27" s="371"/>
      <c r="F27" s="307"/>
      <c r="G27" s="477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371"/>
      <c r="V27" s="371"/>
    </row>
    <row r="28">
      <c r="A28" s="371"/>
      <c r="B28" s="307"/>
      <c r="C28" s="307"/>
      <c r="D28" s="307"/>
      <c r="E28" s="371"/>
      <c r="F28" s="307"/>
      <c r="G28" s="477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1"/>
      <c r="U28" s="371"/>
      <c r="V28" s="371"/>
    </row>
    <row r="29">
      <c r="A29" s="371"/>
      <c r="B29" s="307"/>
      <c r="C29" s="307"/>
      <c r="D29" s="307"/>
      <c r="E29" s="371"/>
      <c r="F29" s="307"/>
      <c r="G29" s="477"/>
      <c r="H29" s="371"/>
      <c r="I29" s="371"/>
      <c r="J29" s="371"/>
      <c r="K29" s="371"/>
      <c r="L29" s="371"/>
      <c r="M29" s="371"/>
      <c r="N29" s="371"/>
      <c r="O29" s="371"/>
      <c r="P29" s="371"/>
      <c r="Q29" s="371"/>
      <c r="R29" s="371"/>
      <c r="S29" s="371"/>
      <c r="T29" s="371"/>
      <c r="U29" s="371"/>
      <c r="V29" s="371"/>
    </row>
    <row r="30">
      <c r="A30" s="371"/>
      <c r="B30" s="307"/>
      <c r="C30" s="307"/>
      <c r="D30" s="307"/>
      <c r="E30" s="371"/>
      <c r="F30" s="307"/>
      <c r="G30" s="477"/>
      <c r="H30" s="371"/>
      <c r="I30" s="371"/>
      <c r="J30" s="371"/>
      <c r="K30" s="371"/>
      <c r="L30" s="371"/>
      <c r="M30" s="371"/>
      <c r="N30" s="371"/>
      <c r="O30" s="371"/>
      <c r="P30" s="371"/>
      <c r="Q30" s="371"/>
      <c r="R30" s="371"/>
      <c r="S30" s="371"/>
      <c r="T30" s="371"/>
      <c r="U30" s="371"/>
      <c r="V30" s="371"/>
    </row>
    <row r="31">
      <c r="A31" s="371"/>
      <c r="B31" s="307"/>
      <c r="C31" s="307"/>
      <c r="D31" s="307"/>
      <c r="E31" s="371"/>
      <c r="F31" s="307"/>
      <c r="G31" s="477"/>
      <c r="H31" s="371"/>
      <c r="I31" s="371"/>
      <c r="J31" s="371"/>
      <c r="K31" s="371"/>
      <c r="L31" s="371"/>
      <c r="M31" s="371"/>
      <c r="N31" s="371"/>
      <c r="O31" s="371"/>
      <c r="P31" s="371"/>
      <c r="Q31" s="371"/>
      <c r="R31" s="371"/>
      <c r="S31" s="371"/>
      <c r="T31" s="371"/>
      <c r="U31" s="371"/>
      <c r="V31" s="371"/>
    </row>
    <row r="32">
      <c r="A32" s="371"/>
      <c r="B32" s="307"/>
      <c r="C32" s="307"/>
      <c r="D32" s="307"/>
      <c r="E32" s="371"/>
      <c r="F32" s="307"/>
      <c r="G32" s="477"/>
      <c r="H32" s="371"/>
      <c r="I32" s="371"/>
      <c r="J32" s="371"/>
      <c r="K32" s="371"/>
      <c r="L32" s="371"/>
      <c r="M32" s="371"/>
      <c r="N32" s="371"/>
      <c r="O32" s="371"/>
      <c r="P32" s="371"/>
      <c r="Q32" s="371"/>
      <c r="R32" s="371"/>
      <c r="S32" s="371"/>
      <c r="T32" s="371"/>
      <c r="U32" s="371"/>
      <c r="V32" s="371"/>
    </row>
    <row r="33">
      <c r="A33" s="371"/>
      <c r="B33" s="307"/>
      <c r="C33" s="307"/>
      <c r="D33" s="307"/>
      <c r="E33" s="371"/>
      <c r="F33" s="307"/>
      <c r="G33" s="477"/>
      <c r="H33" s="371"/>
      <c r="I33" s="371"/>
      <c r="J33" s="371"/>
      <c r="K33" s="371"/>
      <c r="L33" s="371"/>
      <c r="M33" s="371"/>
      <c r="N33" s="371"/>
      <c r="O33" s="371"/>
      <c r="P33" s="371"/>
      <c r="Q33" s="371"/>
      <c r="R33" s="371"/>
      <c r="S33" s="371"/>
      <c r="T33" s="371"/>
      <c r="U33" s="371"/>
      <c r="V33" s="371"/>
    </row>
    <row r="34">
      <c r="A34" s="371"/>
      <c r="B34" s="307"/>
      <c r="C34" s="307"/>
      <c r="D34" s="307"/>
      <c r="E34" s="371"/>
      <c r="F34" s="307"/>
      <c r="G34" s="477"/>
      <c r="H34" s="371"/>
      <c r="I34" s="371"/>
      <c r="J34" s="371"/>
      <c r="K34" s="371"/>
      <c r="L34" s="371"/>
      <c r="M34" s="371"/>
      <c r="N34" s="371"/>
      <c r="O34" s="371"/>
      <c r="P34" s="371"/>
      <c r="Q34" s="371"/>
      <c r="R34" s="371"/>
      <c r="S34" s="371"/>
      <c r="T34" s="371"/>
      <c r="U34" s="371"/>
      <c r="V34" s="371"/>
    </row>
    <row r="35">
      <c r="A35" s="371"/>
      <c r="B35" s="307"/>
      <c r="C35" s="307"/>
      <c r="D35" s="307"/>
      <c r="E35" s="371"/>
      <c r="F35" s="307"/>
      <c r="G35" s="477"/>
      <c r="H35" s="371"/>
      <c r="I35" s="371"/>
      <c r="J35" s="371"/>
      <c r="K35" s="371"/>
      <c r="L35" s="371"/>
      <c r="M35" s="371"/>
      <c r="N35" s="371"/>
      <c r="O35" s="371"/>
      <c r="P35" s="371"/>
      <c r="Q35" s="371"/>
      <c r="R35" s="371"/>
      <c r="S35" s="371"/>
      <c r="T35" s="371"/>
      <c r="U35" s="371"/>
      <c r="V35" s="371"/>
    </row>
    <row r="36">
      <c r="A36" s="371"/>
      <c r="B36" s="307"/>
      <c r="C36" s="307"/>
      <c r="D36" s="307"/>
      <c r="E36" s="371"/>
      <c r="F36" s="307"/>
      <c r="G36" s="477"/>
      <c r="H36" s="371"/>
      <c r="I36" s="371"/>
      <c r="J36" s="371"/>
      <c r="K36" s="371"/>
      <c r="L36" s="371"/>
      <c r="M36" s="371"/>
      <c r="N36" s="371"/>
      <c r="O36" s="371"/>
      <c r="P36" s="371"/>
      <c r="Q36" s="371"/>
      <c r="R36" s="371"/>
      <c r="S36" s="371"/>
      <c r="T36" s="371"/>
      <c r="U36" s="371"/>
      <c r="V36" s="371"/>
    </row>
    <row r="37">
      <c r="A37" s="371"/>
      <c r="B37" s="307"/>
      <c r="C37" s="307"/>
      <c r="D37" s="307"/>
      <c r="E37" s="371"/>
      <c r="F37" s="307"/>
      <c r="G37" s="477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371"/>
      <c r="V37" s="371"/>
    </row>
    <row r="38">
      <c r="A38" s="371"/>
      <c r="B38" s="307"/>
      <c r="C38" s="307"/>
      <c r="D38" s="307"/>
      <c r="E38" s="371"/>
      <c r="F38" s="307"/>
      <c r="G38" s="477"/>
      <c r="H38" s="371"/>
      <c r="I38" s="371"/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</row>
    <row r="39">
      <c r="A39" s="371"/>
      <c r="B39" s="307"/>
      <c r="C39" s="307"/>
      <c r="D39" s="307"/>
      <c r="E39" s="371"/>
      <c r="F39" s="307"/>
      <c r="G39" s="477"/>
      <c r="H39" s="371"/>
      <c r="I39" s="371"/>
      <c r="J39" s="371"/>
      <c r="K39" s="371"/>
      <c r="L39" s="371"/>
      <c r="M39" s="371"/>
      <c r="N39" s="371"/>
      <c r="O39" s="371"/>
      <c r="P39" s="371"/>
      <c r="Q39" s="371"/>
      <c r="R39" s="371"/>
      <c r="S39" s="371"/>
      <c r="T39" s="371"/>
      <c r="U39" s="371"/>
      <c r="V39" s="371"/>
    </row>
    <row r="40">
      <c r="A40" s="371"/>
      <c r="B40" s="307"/>
      <c r="C40" s="307"/>
      <c r="D40" s="307"/>
      <c r="E40" s="371"/>
      <c r="F40" s="307"/>
      <c r="G40" s="477"/>
      <c r="H40" s="371"/>
      <c r="I40" s="371"/>
      <c r="J40" s="371"/>
      <c r="K40" s="371"/>
      <c r="L40" s="371"/>
      <c r="M40" s="371"/>
      <c r="N40" s="371"/>
      <c r="O40" s="371"/>
      <c r="P40" s="371"/>
      <c r="Q40" s="371"/>
      <c r="R40" s="371"/>
      <c r="S40" s="371"/>
      <c r="T40" s="371"/>
      <c r="U40" s="371"/>
      <c r="V40" s="371"/>
    </row>
    <row r="41">
      <c r="A41" s="371"/>
      <c r="B41" s="307"/>
      <c r="C41" s="307"/>
      <c r="D41" s="307"/>
      <c r="E41" s="371"/>
      <c r="F41" s="307"/>
      <c r="G41" s="477"/>
      <c r="H41" s="371"/>
      <c r="I41" s="371"/>
      <c r="J41" s="371"/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71"/>
      <c r="V41" s="371"/>
    </row>
    <row r="42">
      <c r="A42" s="371"/>
      <c r="B42" s="307"/>
      <c r="C42" s="307"/>
      <c r="D42" s="307"/>
      <c r="E42" s="371"/>
      <c r="F42" s="307"/>
      <c r="G42" s="477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</row>
    <row r="43">
      <c r="A43" s="371"/>
      <c r="B43" s="307"/>
      <c r="C43" s="307"/>
      <c r="D43" s="307"/>
      <c r="E43" s="371"/>
      <c r="F43" s="307"/>
      <c r="G43" s="477"/>
      <c r="H43" s="371"/>
      <c r="I43" s="371"/>
      <c r="J43" s="371"/>
      <c r="K43" s="371"/>
      <c r="L43" s="371"/>
      <c r="M43" s="371"/>
      <c r="N43" s="371"/>
      <c r="O43" s="371"/>
      <c r="P43" s="371"/>
      <c r="Q43" s="371"/>
      <c r="R43" s="371"/>
      <c r="S43" s="371"/>
      <c r="T43" s="371"/>
      <c r="U43" s="371"/>
      <c r="V43" s="371"/>
    </row>
    <row r="44">
      <c r="A44" s="371"/>
      <c r="B44" s="307"/>
      <c r="C44" s="307"/>
      <c r="D44" s="307"/>
      <c r="E44" s="371"/>
      <c r="F44" s="307"/>
      <c r="G44" s="477"/>
      <c r="H44" s="371"/>
      <c r="I44" s="371"/>
      <c r="J44" s="371"/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</row>
    <row r="45">
      <c r="A45" s="371"/>
      <c r="B45" s="307"/>
      <c r="C45" s="307"/>
      <c r="D45" s="307"/>
      <c r="E45" s="371"/>
      <c r="F45" s="307"/>
      <c r="G45" s="477"/>
      <c r="H45" s="371"/>
      <c r="I45" s="371"/>
      <c r="J45" s="371"/>
      <c r="K45" s="371"/>
      <c r="L45" s="371"/>
      <c r="M45" s="371"/>
      <c r="N45" s="371"/>
      <c r="O45" s="371"/>
      <c r="P45" s="371"/>
      <c r="Q45" s="371"/>
      <c r="R45" s="371"/>
      <c r="S45" s="371"/>
      <c r="T45" s="371"/>
      <c r="U45" s="371"/>
      <c r="V45" s="371"/>
    </row>
    <row r="46">
      <c r="A46" s="371"/>
      <c r="B46" s="307"/>
      <c r="C46" s="307"/>
      <c r="D46" s="307"/>
      <c r="E46" s="371"/>
      <c r="F46" s="307"/>
      <c r="G46" s="477"/>
      <c r="H46" s="371"/>
      <c r="I46" s="371"/>
      <c r="J46" s="371"/>
      <c r="K46" s="371"/>
      <c r="L46" s="371"/>
      <c r="M46" s="371"/>
      <c r="N46" s="371"/>
      <c r="O46" s="371"/>
      <c r="P46" s="371"/>
      <c r="Q46" s="371"/>
      <c r="R46" s="371"/>
      <c r="S46" s="371"/>
      <c r="T46" s="371"/>
      <c r="U46" s="371"/>
      <c r="V46" s="371"/>
    </row>
    <row r="47">
      <c r="A47" s="371"/>
      <c r="B47" s="307"/>
      <c r="C47" s="307"/>
      <c r="D47" s="307"/>
      <c r="E47" s="371"/>
      <c r="F47" s="307"/>
      <c r="G47" s="477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371"/>
      <c r="V47" s="371"/>
    </row>
    <row r="48">
      <c r="A48" s="371"/>
      <c r="B48" s="307"/>
      <c r="C48" s="307"/>
      <c r="D48" s="307"/>
      <c r="E48" s="371"/>
      <c r="F48" s="307"/>
      <c r="G48" s="477"/>
      <c r="H48" s="371"/>
      <c r="I48" s="371"/>
      <c r="J48" s="371"/>
      <c r="K48" s="371"/>
      <c r="L48" s="371"/>
      <c r="M48" s="371"/>
      <c r="N48" s="371"/>
      <c r="O48" s="371"/>
      <c r="P48" s="371"/>
      <c r="Q48" s="371"/>
      <c r="R48" s="371"/>
      <c r="S48" s="371"/>
      <c r="T48" s="371"/>
      <c r="U48" s="371"/>
      <c r="V48" s="371"/>
    </row>
    <row r="49">
      <c r="A49" s="371"/>
      <c r="B49" s="307"/>
      <c r="C49" s="307"/>
      <c r="D49" s="307"/>
      <c r="E49" s="371"/>
      <c r="F49" s="307"/>
      <c r="G49" s="477"/>
      <c r="H49" s="371"/>
      <c r="I49" s="371"/>
      <c r="J49" s="371"/>
      <c r="K49" s="371"/>
      <c r="L49" s="371"/>
      <c r="M49" s="371"/>
      <c r="N49" s="371"/>
      <c r="O49" s="371"/>
      <c r="P49" s="371"/>
      <c r="Q49" s="371"/>
      <c r="R49" s="371"/>
      <c r="S49" s="371"/>
      <c r="T49" s="371"/>
      <c r="U49" s="371"/>
      <c r="V49" s="371"/>
    </row>
    <row r="50">
      <c r="A50" s="371"/>
      <c r="B50" s="307"/>
      <c r="C50" s="307"/>
      <c r="D50" s="307"/>
      <c r="E50" s="371"/>
      <c r="F50" s="307"/>
      <c r="G50" s="477"/>
      <c r="H50" s="371"/>
      <c r="I50" s="371"/>
      <c r="J50" s="371"/>
      <c r="K50" s="371"/>
      <c r="L50" s="371"/>
      <c r="M50" s="371"/>
      <c r="N50" s="371"/>
      <c r="O50" s="371"/>
      <c r="P50" s="371"/>
      <c r="Q50" s="371"/>
      <c r="R50" s="371"/>
      <c r="S50" s="371"/>
      <c r="T50" s="371"/>
      <c r="U50" s="371"/>
      <c r="V50" s="371"/>
    </row>
    <row r="51">
      <c r="A51" s="371"/>
      <c r="B51" s="307"/>
      <c r="C51" s="307"/>
      <c r="D51" s="307"/>
      <c r="E51" s="371"/>
      <c r="F51" s="307"/>
      <c r="G51" s="477"/>
      <c r="H51" s="371"/>
      <c r="I51" s="371"/>
      <c r="J51" s="371"/>
      <c r="K51" s="371"/>
      <c r="L51" s="371"/>
      <c r="M51" s="371"/>
      <c r="N51" s="371"/>
      <c r="O51" s="371"/>
      <c r="P51" s="371"/>
      <c r="Q51" s="371"/>
      <c r="R51" s="371"/>
      <c r="S51" s="371"/>
      <c r="T51" s="371"/>
      <c r="U51" s="371"/>
      <c r="V51" s="371"/>
    </row>
    <row r="52">
      <c r="A52" s="371"/>
      <c r="B52" s="307"/>
      <c r="C52" s="307"/>
      <c r="D52" s="307"/>
      <c r="E52" s="371"/>
      <c r="F52" s="307"/>
      <c r="G52" s="477"/>
      <c r="H52" s="371"/>
      <c r="I52" s="371"/>
      <c r="J52" s="371"/>
      <c r="K52" s="371"/>
      <c r="L52" s="371"/>
      <c r="M52" s="371"/>
      <c r="N52" s="371"/>
      <c r="O52" s="371"/>
      <c r="P52" s="371"/>
      <c r="Q52" s="371"/>
      <c r="R52" s="371"/>
      <c r="S52" s="371"/>
      <c r="T52" s="371"/>
      <c r="U52" s="371"/>
      <c r="V52" s="371"/>
    </row>
    <row r="53">
      <c r="A53" s="371"/>
      <c r="B53" s="307"/>
      <c r="C53" s="307"/>
      <c r="D53" s="307"/>
      <c r="E53" s="371"/>
      <c r="F53" s="307"/>
      <c r="G53" s="477"/>
      <c r="H53" s="371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371"/>
      <c r="T53" s="371"/>
      <c r="U53" s="371"/>
      <c r="V53" s="371"/>
    </row>
    <row r="54">
      <c r="A54" s="371"/>
      <c r="B54" s="307"/>
      <c r="C54" s="307"/>
      <c r="D54" s="307"/>
      <c r="E54" s="371"/>
      <c r="F54" s="307"/>
      <c r="G54" s="477"/>
      <c r="H54" s="371"/>
      <c r="I54" s="371"/>
      <c r="J54" s="371"/>
      <c r="K54" s="371"/>
      <c r="L54" s="371"/>
      <c r="M54" s="371"/>
      <c r="N54" s="371"/>
      <c r="O54" s="371"/>
      <c r="P54" s="371"/>
      <c r="Q54" s="371"/>
      <c r="R54" s="371"/>
      <c r="S54" s="371"/>
      <c r="T54" s="371"/>
      <c r="U54" s="371"/>
      <c r="V54" s="371"/>
    </row>
    <row r="55">
      <c r="A55" s="371"/>
      <c r="B55" s="307"/>
      <c r="C55" s="307"/>
      <c r="D55" s="307"/>
      <c r="E55" s="371"/>
      <c r="F55" s="307"/>
      <c r="G55" s="477"/>
      <c r="H55" s="371"/>
      <c r="I55" s="371"/>
      <c r="J55" s="371"/>
      <c r="K55" s="371"/>
      <c r="L55" s="371"/>
      <c r="M55" s="371"/>
      <c r="N55" s="371"/>
      <c r="O55" s="371"/>
      <c r="P55" s="371"/>
      <c r="Q55" s="371"/>
      <c r="R55" s="371"/>
      <c r="S55" s="371"/>
      <c r="T55" s="371"/>
      <c r="U55" s="371"/>
      <c r="V55" s="371"/>
    </row>
    <row r="56">
      <c r="A56" s="371"/>
      <c r="B56" s="307"/>
      <c r="C56" s="307"/>
      <c r="D56" s="307"/>
      <c r="E56" s="371"/>
      <c r="F56" s="307"/>
      <c r="G56" s="477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371"/>
      <c r="V56" s="371"/>
    </row>
    <row r="57">
      <c r="A57" s="371"/>
      <c r="B57" s="307"/>
      <c r="C57" s="307"/>
      <c r="D57" s="307"/>
      <c r="E57" s="371"/>
      <c r="F57" s="307"/>
      <c r="G57" s="477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71"/>
      <c r="V57" s="371"/>
    </row>
    <row r="58">
      <c r="A58" s="371"/>
      <c r="B58" s="307"/>
      <c r="C58" s="307"/>
      <c r="D58" s="307"/>
      <c r="E58" s="371"/>
      <c r="F58" s="307"/>
      <c r="G58" s="477"/>
      <c r="H58" s="371"/>
      <c r="I58" s="371"/>
      <c r="J58" s="371"/>
      <c r="K58" s="371"/>
      <c r="L58" s="371"/>
      <c r="M58" s="371"/>
      <c r="N58" s="371"/>
      <c r="O58" s="371"/>
      <c r="P58" s="371"/>
      <c r="Q58" s="371"/>
      <c r="R58" s="371"/>
      <c r="S58" s="371"/>
      <c r="T58" s="371"/>
      <c r="U58" s="371"/>
      <c r="V58" s="371"/>
    </row>
    <row r="59">
      <c r="A59" s="371"/>
      <c r="B59" s="307"/>
      <c r="C59" s="307"/>
      <c r="D59" s="307"/>
      <c r="E59" s="371"/>
      <c r="F59" s="307"/>
      <c r="G59" s="477"/>
      <c r="H59" s="371"/>
      <c r="I59" s="371"/>
      <c r="J59" s="371"/>
      <c r="K59" s="371"/>
      <c r="L59" s="371"/>
      <c r="M59" s="371"/>
      <c r="N59" s="371"/>
      <c r="O59" s="371"/>
      <c r="P59" s="371"/>
      <c r="Q59" s="371"/>
      <c r="R59" s="371"/>
      <c r="S59" s="371"/>
      <c r="T59" s="371"/>
      <c r="U59" s="371"/>
      <c r="V59" s="371"/>
    </row>
    <row r="60">
      <c r="A60" s="371"/>
      <c r="B60" s="307"/>
      <c r="C60" s="307"/>
      <c r="D60" s="307"/>
      <c r="E60" s="371"/>
      <c r="F60" s="307"/>
      <c r="G60" s="477"/>
      <c r="H60" s="371"/>
      <c r="I60" s="371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  <c r="U60" s="371"/>
      <c r="V60" s="371"/>
    </row>
    <row r="61">
      <c r="A61" s="371"/>
      <c r="B61" s="307"/>
      <c r="C61" s="307"/>
      <c r="D61" s="307"/>
      <c r="E61" s="371"/>
      <c r="F61" s="307"/>
      <c r="G61" s="477"/>
      <c r="H61" s="371"/>
      <c r="I61" s="371"/>
      <c r="J61" s="371"/>
      <c r="K61" s="371"/>
      <c r="L61" s="371"/>
      <c r="M61" s="371"/>
      <c r="N61" s="371"/>
      <c r="O61" s="371"/>
      <c r="P61" s="371"/>
      <c r="Q61" s="371"/>
      <c r="R61" s="371"/>
      <c r="S61" s="371"/>
      <c r="T61" s="371"/>
      <c r="U61" s="371"/>
      <c r="V61" s="371"/>
    </row>
    <row r="62">
      <c r="A62" s="371"/>
      <c r="B62" s="307"/>
      <c r="C62" s="307"/>
      <c r="D62" s="307"/>
      <c r="E62" s="371"/>
      <c r="F62" s="307"/>
      <c r="G62" s="477"/>
      <c r="H62" s="371"/>
      <c r="I62" s="371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  <c r="U62" s="371"/>
      <c r="V62" s="371"/>
    </row>
    <row r="63">
      <c r="A63" s="371"/>
      <c r="B63" s="307"/>
      <c r="C63" s="307"/>
      <c r="D63" s="307"/>
      <c r="E63" s="371"/>
      <c r="F63" s="307"/>
      <c r="G63" s="477"/>
      <c r="H63" s="371"/>
      <c r="I63" s="371"/>
      <c r="J63" s="371"/>
      <c r="K63" s="371"/>
      <c r="L63" s="371"/>
      <c r="M63" s="371"/>
      <c r="N63" s="371"/>
      <c r="O63" s="371"/>
      <c r="P63" s="371"/>
      <c r="Q63" s="371"/>
      <c r="R63" s="371"/>
      <c r="S63" s="371"/>
      <c r="T63" s="371"/>
      <c r="U63" s="371"/>
      <c r="V63" s="371"/>
    </row>
    <row r="64">
      <c r="A64" s="371"/>
      <c r="B64" s="307"/>
      <c r="C64" s="307"/>
      <c r="D64" s="307"/>
      <c r="E64" s="371"/>
      <c r="F64" s="307"/>
      <c r="G64" s="477"/>
      <c r="H64" s="371"/>
      <c r="I64" s="371"/>
      <c r="J64" s="371"/>
      <c r="K64" s="371"/>
      <c r="L64" s="371"/>
      <c r="M64" s="371"/>
      <c r="N64" s="371"/>
      <c r="O64" s="371"/>
      <c r="P64" s="371"/>
      <c r="Q64" s="371"/>
      <c r="R64" s="371"/>
      <c r="S64" s="371"/>
      <c r="T64" s="371"/>
      <c r="U64" s="371"/>
      <c r="V64" s="371"/>
    </row>
    <row r="65">
      <c r="A65" s="371"/>
      <c r="B65" s="307"/>
      <c r="C65" s="307"/>
      <c r="D65" s="307"/>
      <c r="E65" s="371"/>
      <c r="F65" s="307"/>
      <c r="G65" s="477"/>
      <c r="H65" s="371"/>
      <c r="I65" s="371"/>
      <c r="J65" s="371"/>
      <c r="K65" s="371"/>
      <c r="L65" s="371"/>
      <c r="M65" s="371"/>
      <c r="N65" s="371"/>
      <c r="O65" s="371"/>
      <c r="P65" s="371"/>
      <c r="Q65" s="371"/>
      <c r="R65" s="371"/>
      <c r="S65" s="371"/>
      <c r="T65" s="371"/>
      <c r="U65" s="371"/>
      <c r="V65" s="371"/>
    </row>
    <row r="66">
      <c r="A66" s="371"/>
      <c r="B66" s="307"/>
      <c r="C66" s="307"/>
      <c r="D66" s="307"/>
      <c r="E66" s="371"/>
      <c r="F66" s="307"/>
      <c r="G66" s="477"/>
      <c r="H66" s="371"/>
      <c r="I66" s="371"/>
      <c r="J66" s="371"/>
      <c r="K66" s="371"/>
      <c r="L66" s="371"/>
      <c r="M66" s="371"/>
      <c r="N66" s="371"/>
      <c r="O66" s="371"/>
      <c r="P66" s="371"/>
      <c r="Q66" s="371"/>
      <c r="R66" s="371"/>
      <c r="S66" s="371"/>
      <c r="T66" s="371"/>
      <c r="U66" s="371"/>
      <c r="V66" s="371"/>
    </row>
    <row r="67">
      <c r="A67" s="371"/>
      <c r="B67" s="307"/>
      <c r="C67" s="307"/>
      <c r="D67" s="307"/>
      <c r="E67" s="371"/>
      <c r="F67" s="307"/>
      <c r="G67" s="477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71"/>
      <c r="V67" s="371"/>
    </row>
    <row r="68">
      <c r="A68" s="371"/>
      <c r="B68" s="307"/>
      <c r="C68" s="307"/>
      <c r="D68" s="307"/>
      <c r="E68" s="371"/>
      <c r="F68" s="307"/>
      <c r="G68" s="477"/>
      <c r="H68" s="371"/>
      <c r="I68" s="371"/>
      <c r="J68" s="371"/>
      <c r="K68" s="371"/>
      <c r="L68" s="371"/>
      <c r="M68" s="371"/>
      <c r="N68" s="371"/>
      <c r="O68" s="371"/>
      <c r="P68" s="371"/>
      <c r="Q68" s="371"/>
      <c r="R68" s="371"/>
      <c r="S68" s="371"/>
      <c r="T68" s="371"/>
      <c r="U68" s="371"/>
      <c r="V68" s="371"/>
    </row>
    <row r="69">
      <c r="A69" s="371"/>
      <c r="B69" s="307"/>
      <c r="C69" s="307"/>
      <c r="D69" s="307"/>
      <c r="E69" s="371"/>
      <c r="F69" s="307"/>
      <c r="G69" s="477"/>
      <c r="H69" s="371"/>
      <c r="I69" s="371"/>
      <c r="J69" s="371"/>
      <c r="K69" s="371"/>
      <c r="L69" s="371"/>
      <c r="M69" s="371"/>
      <c r="N69" s="371"/>
      <c r="O69" s="371"/>
      <c r="P69" s="371"/>
      <c r="Q69" s="371"/>
      <c r="R69" s="371"/>
      <c r="S69" s="371"/>
      <c r="T69" s="371"/>
      <c r="U69" s="371"/>
      <c r="V69" s="371"/>
    </row>
    <row r="70">
      <c r="A70" s="371"/>
      <c r="B70" s="307"/>
      <c r="C70" s="307"/>
      <c r="D70" s="307"/>
      <c r="E70" s="371"/>
      <c r="F70" s="307"/>
      <c r="G70" s="477"/>
      <c r="H70" s="371"/>
      <c r="I70" s="371"/>
      <c r="J70" s="371"/>
      <c r="K70" s="371"/>
      <c r="L70" s="371"/>
      <c r="M70" s="371"/>
      <c r="N70" s="371"/>
      <c r="O70" s="371"/>
      <c r="P70" s="371"/>
      <c r="Q70" s="371"/>
      <c r="R70" s="371"/>
      <c r="S70" s="371"/>
      <c r="T70" s="371"/>
      <c r="U70" s="371"/>
      <c r="V70" s="371"/>
    </row>
    <row r="71">
      <c r="A71" s="371"/>
      <c r="B71" s="307"/>
      <c r="C71" s="307"/>
      <c r="D71" s="307"/>
      <c r="E71" s="371"/>
      <c r="F71" s="307"/>
      <c r="G71" s="477"/>
      <c r="H71" s="371"/>
      <c r="I71" s="371"/>
      <c r="J71" s="371"/>
      <c r="K71" s="371"/>
      <c r="L71" s="371"/>
      <c r="M71" s="371"/>
      <c r="N71" s="371"/>
      <c r="O71" s="371"/>
      <c r="P71" s="371"/>
      <c r="Q71" s="371"/>
      <c r="R71" s="371"/>
      <c r="S71" s="371"/>
      <c r="T71" s="371"/>
      <c r="U71" s="371"/>
      <c r="V71" s="371"/>
    </row>
    <row r="72">
      <c r="A72" s="371"/>
      <c r="B72" s="307"/>
      <c r="C72" s="307"/>
      <c r="D72" s="307"/>
      <c r="E72" s="371"/>
      <c r="F72" s="307"/>
      <c r="G72" s="477"/>
      <c r="H72" s="371"/>
      <c r="I72" s="371"/>
      <c r="J72" s="371"/>
      <c r="K72" s="371"/>
      <c r="L72" s="371"/>
      <c r="M72" s="371"/>
      <c r="N72" s="371"/>
      <c r="O72" s="371"/>
      <c r="P72" s="371"/>
      <c r="Q72" s="371"/>
      <c r="R72" s="371"/>
      <c r="S72" s="371"/>
      <c r="T72" s="371"/>
      <c r="U72" s="371"/>
      <c r="V72" s="371"/>
    </row>
    <row r="73">
      <c r="A73" s="371"/>
      <c r="B73" s="307"/>
      <c r="C73" s="307"/>
      <c r="D73" s="307"/>
      <c r="E73" s="371"/>
      <c r="F73" s="307"/>
      <c r="G73" s="477"/>
      <c r="H73" s="371"/>
      <c r="I73" s="371"/>
      <c r="J73" s="371"/>
      <c r="K73" s="371"/>
      <c r="L73" s="371"/>
      <c r="M73" s="371"/>
      <c r="N73" s="371"/>
      <c r="O73" s="371"/>
      <c r="P73" s="371"/>
      <c r="Q73" s="371"/>
      <c r="R73" s="371"/>
      <c r="S73" s="371"/>
      <c r="T73" s="371"/>
      <c r="U73" s="371"/>
      <c r="V73" s="371"/>
    </row>
    <row r="74">
      <c r="A74" s="371"/>
      <c r="B74" s="307"/>
      <c r="C74" s="307"/>
      <c r="D74" s="307"/>
      <c r="E74" s="371"/>
      <c r="F74" s="307"/>
      <c r="G74" s="477"/>
      <c r="H74" s="371"/>
      <c r="I74" s="371"/>
      <c r="J74" s="371"/>
      <c r="K74" s="371"/>
      <c r="L74" s="371"/>
      <c r="M74" s="371"/>
      <c r="N74" s="371"/>
      <c r="O74" s="371"/>
      <c r="P74" s="371"/>
      <c r="Q74" s="371"/>
      <c r="R74" s="371"/>
      <c r="S74" s="371"/>
      <c r="T74" s="371"/>
      <c r="U74" s="371"/>
      <c r="V74" s="371"/>
    </row>
    <row r="75">
      <c r="A75" s="371"/>
      <c r="B75" s="307"/>
      <c r="C75" s="307"/>
      <c r="D75" s="307"/>
      <c r="E75" s="371"/>
      <c r="F75" s="307"/>
      <c r="G75" s="477"/>
      <c r="H75" s="371"/>
      <c r="I75" s="371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371"/>
      <c r="V75" s="371"/>
    </row>
    <row r="76">
      <c r="A76" s="371"/>
      <c r="B76" s="307"/>
      <c r="C76" s="307"/>
      <c r="D76" s="307"/>
      <c r="E76" s="371"/>
      <c r="F76" s="307"/>
      <c r="G76" s="477"/>
      <c r="H76" s="371"/>
      <c r="I76" s="371"/>
      <c r="J76" s="371"/>
      <c r="K76" s="371"/>
      <c r="L76" s="371"/>
      <c r="M76" s="371"/>
      <c r="N76" s="371"/>
      <c r="O76" s="371"/>
      <c r="P76" s="371"/>
      <c r="Q76" s="371"/>
      <c r="R76" s="371"/>
      <c r="S76" s="371"/>
      <c r="T76" s="371"/>
      <c r="U76" s="371"/>
      <c r="V76" s="371"/>
    </row>
    <row r="77">
      <c r="A77" s="371"/>
      <c r="B77" s="307"/>
      <c r="C77" s="307"/>
      <c r="D77" s="307"/>
      <c r="E77" s="371"/>
      <c r="F77" s="307"/>
      <c r="G77" s="477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71"/>
      <c r="V77" s="371"/>
    </row>
    <row r="78">
      <c r="A78" s="371"/>
      <c r="B78" s="307"/>
      <c r="C78" s="307"/>
      <c r="D78" s="307"/>
      <c r="E78" s="371"/>
      <c r="F78" s="307"/>
      <c r="G78" s="477"/>
      <c r="H78" s="371"/>
      <c r="I78" s="371"/>
      <c r="J78" s="371"/>
      <c r="K78" s="371"/>
      <c r="L78" s="371"/>
      <c r="M78" s="371"/>
      <c r="N78" s="371"/>
      <c r="O78" s="371"/>
      <c r="P78" s="371"/>
      <c r="Q78" s="371"/>
      <c r="R78" s="371"/>
      <c r="S78" s="371"/>
      <c r="T78" s="371"/>
      <c r="U78" s="371"/>
      <c r="V78" s="371"/>
    </row>
    <row r="79">
      <c r="A79" s="371"/>
      <c r="B79" s="307"/>
      <c r="C79" s="307"/>
      <c r="D79" s="307"/>
      <c r="E79" s="371"/>
      <c r="F79" s="307"/>
      <c r="G79" s="477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71"/>
    </row>
    <row r="80">
      <c r="A80" s="371"/>
      <c r="B80" s="307"/>
      <c r="C80" s="307"/>
      <c r="D80" s="307"/>
      <c r="E80" s="371"/>
      <c r="F80" s="307"/>
      <c r="G80" s="477"/>
      <c r="H80" s="371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71"/>
      <c r="V80" s="371"/>
    </row>
    <row r="81">
      <c r="A81" s="371"/>
      <c r="B81" s="307"/>
      <c r="C81" s="307"/>
      <c r="D81" s="307"/>
      <c r="E81" s="371"/>
      <c r="F81" s="307"/>
      <c r="G81" s="477"/>
      <c r="H81" s="371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V81" s="371"/>
    </row>
    <row r="82">
      <c r="A82" s="371"/>
      <c r="B82" s="307"/>
      <c r="C82" s="307"/>
      <c r="D82" s="307"/>
      <c r="E82" s="371"/>
      <c r="F82" s="307"/>
      <c r="G82" s="477"/>
      <c r="H82" s="371"/>
      <c r="I82" s="371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T82" s="371"/>
      <c r="U82" s="371"/>
      <c r="V82" s="371"/>
    </row>
    <row r="83">
      <c r="A83" s="371"/>
      <c r="B83" s="307"/>
      <c r="C83" s="307"/>
      <c r="D83" s="307"/>
      <c r="E83" s="371"/>
      <c r="F83" s="307"/>
      <c r="G83" s="477"/>
      <c r="H83" s="371"/>
      <c r="I83" s="371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T83" s="371"/>
      <c r="U83" s="371"/>
      <c r="V83" s="371"/>
    </row>
    <row r="84">
      <c r="A84" s="371"/>
      <c r="B84" s="307"/>
      <c r="C84" s="307"/>
      <c r="D84" s="307"/>
      <c r="E84" s="371"/>
      <c r="F84" s="307"/>
      <c r="G84" s="477"/>
      <c r="H84" s="371"/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71"/>
      <c r="V84" s="371"/>
    </row>
    <row r="85">
      <c r="A85" s="371"/>
      <c r="B85" s="307"/>
      <c r="C85" s="307"/>
      <c r="D85" s="307"/>
      <c r="E85" s="371"/>
      <c r="F85" s="307"/>
      <c r="G85" s="477"/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71"/>
    </row>
    <row r="86">
      <c r="A86" s="371"/>
      <c r="B86" s="307"/>
      <c r="C86" s="307"/>
      <c r="D86" s="307"/>
      <c r="E86" s="371"/>
      <c r="F86" s="307"/>
      <c r="G86" s="477"/>
      <c r="H86" s="371"/>
      <c r="I86" s="371"/>
      <c r="J86" s="371"/>
      <c r="K86" s="371"/>
      <c r="L86" s="371"/>
      <c r="M86" s="371"/>
      <c r="N86" s="371"/>
      <c r="O86" s="371"/>
      <c r="P86" s="371"/>
      <c r="Q86" s="371"/>
      <c r="R86" s="371"/>
      <c r="S86" s="371"/>
      <c r="T86" s="371"/>
      <c r="U86" s="371"/>
      <c r="V86" s="371"/>
    </row>
    <row r="87">
      <c r="A87" s="371"/>
      <c r="B87" s="307"/>
      <c r="C87" s="307"/>
      <c r="D87" s="307"/>
      <c r="E87" s="371"/>
      <c r="F87" s="307"/>
      <c r="G87" s="477"/>
      <c r="H87" s="371"/>
      <c r="I87" s="371"/>
      <c r="J87" s="371"/>
      <c r="K87" s="371"/>
      <c r="L87" s="371"/>
      <c r="M87" s="371"/>
      <c r="N87" s="371"/>
      <c r="O87" s="371"/>
      <c r="P87" s="371"/>
      <c r="Q87" s="371"/>
      <c r="R87" s="371"/>
      <c r="S87" s="371"/>
      <c r="T87" s="371"/>
      <c r="U87" s="371"/>
      <c r="V87" s="371"/>
    </row>
    <row r="88">
      <c r="A88" s="371"/>
      <c r="B88" s="307"/>
      <c r="C88" s="307"/>
      <c r="D88" s="307"/>
      <c r="E88" s="371"/>
      <c r="F88" s="307"/>
      <c r="G88" s="477"/>
      <c r="H88" s="371"/>
      <c r="I88" s="371"/>
      <c r="J88" s="371"/>
      <c r="K88" s="371"/>
      <c r="L88" s="371"/>
      <c r="M88" s="371"/>
      <c r="N88" s="371"/>
      <c r="O88" s="371"/>
      <c r="P88" s="371"/>
      <c r="Q88" s="371"/>
      <c r="R88" s="371"/>
      <c r="S88" s="371"/>
      <c r="T88" s="371"/>
      <c r="U88" s="371"/>
      <c r="V88" s="371"/>
    </row>
    <row r="89">
      <c r="A89" s="371"/>
      <c r="B89" s="307"/>
      <c r="C89" s="307"/>
      <c r="D89" s="307"/>
      <c r="E89" s="371"/>
      <c r="F89" s="307"/>
      <c r="G89" s="477"/>
      <c r="H89" s="371"/>
      <c r="I89" s="371"/>
      <c r="J89" s="371"/>
      <c r="K89" s="371"/>
      <c r="L89" s="371"/>
      <c r="M89" s="371"/>
      <c r="N89" s="371"/>
      <c r="O89" s="371"/>
      <c r="P89" s="371"/>
      <c r="Q89" s="371"/>
      <c r="R89" s="371"/>
      <c r="S89" s="371"/>
      <c r="T89" s="371"/>
      <c r="U89" s="371"/>
      <c r="V89" s="371"/>
    </row>
    <row r="90">
      <c r="A90" s="371"/>
      <c r="B90" s="307"/>
      <c r="C90" s="307"/>
      <c r="D90" s="307"/>
      <c r="E90" s="371"/>
      <c r="F90" s="307"/>
      <c r="G90" s="477"/>
      <c r="H90" s="371"/>
      <c r="I90" s="371"/>
      <c r="J90" s="371"/>
      <c r="K90" s="371"/>
      <c r="L90" s="371"/>
      <c r="M90" s="371"/>
      <c r="N90" s="371"/>
      <c r="O90" s="371"/>
      <c r="P90" s="371"/>
      <c r="Q90" s="371"/>
      <c r="R90" s="371"/>
      <c r="S90" s="371"/>
      <c r="T90" s="371"/>
      <c r="U90" s="371"/>
      <c r="V90" s="371"/>
    </row>
    <row r="91">
      <c r="A91" s="371"/>
      <c r="B91" s="307"/>
      <c r="C91" s="307"/>
      <c r="D91" s="307"/>
      <c r="E91" s="371"/>
      <c r="F91" s="307"/>
      <c r="G91" s="477"/>
      <c r="H91" s="371"/>
      <c r="I91" s="371"/>
      <c r="J91" s="371"/>
      <c r="K91" s="371"/>
      <c r="L91" s="371"/>
      <c r="M91" s="371"/>
      <c r="N91" s="371"/>
      <c r="O91" s="371"/>
      <c r="P91" s="371"/>
      <c r="Q91" s="371"/>
      <c r="R91" s="371"/>
      <c r="S91" s="371"/>
      <c r="T91" s="371"/>
      <c r="U91" s="371"/>
      <c r="V91" s="371"/>
    </row>
    <row r="92">
      <c r="A92" s="371"/>
      <c r="B92" s="307"/>
      <c r="C92" s="307"/>
      <c r="D92" s="307"/>
      <c r="E92" s="371"/>
      <c r="F92" s="307"/>
      <c r="G92" s="477"/>
      <c r="H92" s="371"/>
      <c r="I92" s="371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371"/>
      <c r="V92" s="371"/>
    </row>
    <row r="93">
      <c r="A93" s="371"/>
      <c r="B93" s="307"/>
      <c r="C93" s="307"/>
      <c r="D93" s="307"/>
      <c r="E93" s="371"/>
      <c r="F93" s="307"/>
      <c r="G93" s="477"/>
      <c r="H93" s="371"/>
      <c r="I93" s="371"/>
      <c r="J93" s="371"/>
      <c r="K93" s="371"/>
      <c r="L93" s="371"/>
      <c r="M93" s="371"/>
      <c r="N93" s="371"/>
      <c r="O93" s="371"/>
      <c r="P93" s="371"/>
      <c r="Q93" s="371"/>
      <c r="R93" s="371"/>
      <c r="S93" s="371"/>
      <c r="T93" s="371"/>
      <c r="U93" s="371"/>
      <c r="V93" s="371"/>
    </row>
    <row r="94">
      <c r="A94" s="371"/>
      <c r="B94" s="307"/>
      <c r="C94" s="307"/>
      <c r="D94" s="307"/>
      <c r="E94" s="371"/>
      <c r="F94" s="307"/>
      <c r="G94" s="477"/>
      <c r="H94" s="371"/>
      <c r="I94" s="371"/>
      <c r="J94" s="371"/>
      <c r="K94" s="371"/>
      <c r="L94" s="371"/>
      <c r="M94" s="371"/>
      <c r="N94" s="371"/>
      <c r="O94" s="371"/>
      <c r="P94" s="371"/>
      <c r="Q94" s="371"/>
      <c r="R94" s="371"/>
      <c r="S94" s="371"/>
      <c r="T94" s="371"/>
      <c r="U94" s="371"/>
      <c r="V94" s="371"/>
    </row>
    <row r="95">
      <c r="A95" s="371"/>
      <c r="B95" s="307"/>
      <c r="C95" s="307"/>
      <c r="D95" s="307"/>
      <c r="E95" s="371"/>
      <c r="F95" s="307"/>
      <c r="G95" s="477"/>
      <c r="H95" s="371"/>
      <c r="I95" s="371"/>
      <c r="J95" s="371"/>
      <c r="K95" s="371"/>
      <c r="L95" s="371"/>
      <c r="M95" s="371"/>
      <c r="N95" s="371"/>
      <c r="O95" s="371"/>
      <c r="P95" s="371"/>
      <c r="Q95" s="371"/>
      <c r="R95" s="371"/>
      <c r="S95" s="371"/>
      <c r="T95" s="371"/>
      <c r="U95" s="371"/>
      <c r="V95" s="371"/>
    </row>
    <row r="96">
      <c r="A96" s="371"/>
      <c r="B96" s="307"/>
      <c r="C96" s="307"/>
      <c r="D96" s="307"/>
      <c r="E96" s="371"/>
      <c r="F96" s="307"/>
      <c r="G96" s="477"/>
      <c r="H96" s="371"/>
      <c r="I96" s="371"/>
      <c r="J96" s="371"/>
      <c r="K96" s="371"/>
      <c r="L96" s="371"/>
      <c r="M96" s="371"/>
      <c r="N96" s="371"/>
      <c r="O96" s="371"/>
      <c r="P96" s="371"/>
      <c r="Q96" s="371"/>
      <c r="R96" s="371"/>
      <c r="S96" s="371"/>
      <c r="T96" s="371"/>
      <c r="U96" s="371"/>
      <c r="V96" s="371"/>
    </row>
    <row r="97">
      <c r="A97" s="371"/>
      <c r="B97" s="307"/>
      <c r="C97" s="307"/>
      <c r="D97" s="307"/>
      <c r="E97" s="371"/>
      <c r="F97" s="307"/>
      <c r="G97" s="477"/>
      <c r="H97" s="371"/>
      <c r="I97" s="371"/>
      <c r="J97" s="371"/>
      <c r="K97" s="371"/>
      <c r="L97" s="371"/>
      <c r="M97" s="371"/>
      <c r="N97" s="371"/>
      <c r="O97" s="371"/>
      <c r="P97" s="371"/>
      <c r="Q97" s="371"/>
      <c r="R97" s="371"/>
      <c r="S97" s="371"/>
      <c r="T97" s="371"/>
      <c r="U97" s="371"/>
      <c r="V97" s="371"/>
    </row>
    <row r="98">
      <c r="A98" s="371"/>
      <c r="B98" s="307"/>
      <c r="C98" s="307"/>
      <c r="D98" s="307"/>
      <c r="E98" s="371"/>
      <c r="F98" s="307"/>
      <c r="G98" s="477"/>
      <c r="H98" s="371"/>
      <c r="I98" s="371"/>
      <c r="J98" s="371"/>
      <c r="K98" s="371"/>
      <c r="L98" s="371"/>
      <c r="M98" s="371"/>
      <c r="N98" s="371"/>
      <c r="O98" s="371"/>
      <c r="P98" s="371"/>
      <c r="Q98" s="371"/>
      <c r="R98" s="371"/>
      <c r="S98" s="371"/>
      <c r="T98" s="371"/>
      <c r="U98" s="371"/>
      <c r="V98" s="371"/>
    </row>
    <row r="99">
      <c r="A99" s="371"/>
      <c r="B99" s="307"/>
      <c r="C99" s="307"/>
      <c r="D99" s="307"/>
      <c r="E99" s="371"/>
      <c r="F99" s="307"/>
      <c r="G99" s="477"/>
      <c r="H99" s="371"/>
      <c r="I99" s="371"/>
      <c r="J99" s="371"/>
      <c r="K99" s="371"/>
      <c r="L99" s="371"/>
      <c r="M99" s="371"/>
      <c r="N99" s="371"/>
      <c r="O99" s="371"/>
      <c r="P99" s="371"/>
      <c r="Q99" s="371"/>
      <c r="R99" s="371"/>
      <c r="S99" s="371"/>
      <c r="T99" s="371"/>
      <c r="U99" s="371"/>
      <c r="V99" s="371"/>
    </row>
    <row r="100">
      <c r="A100" s="371"/>
      <c r="B100" s="307"/>
      <c r="C100" s="307"/>
      <c r="D100" s="307"/>
      <c r="E100" s="371"/>
      <c r="F100" s="307"/>
      <c r="G100" s="477"/>
      <c r="H100" s="371"/>
      <c r="I100" s="371"/>
      <c r="J100" s="371"/>
      <c r="K100" s="371"/>
      <c r="L100" s="371"/>
      <c r="M100" s="371"/>
      <c r="N100" s="371"/>
      <c r="O100" s="371"/>
      <c r="P100" s="371"/>
      <c r="Q100" s="371"/>
      <c r="R100" s="371"/>
      <c r="S100" s="371"/>
      <c r="T100" s="371"/>
      <c r="U100" s="371"/>
      <c r="V100" s="371"/>
    </row>
    <row r="101">
      <c r="A101" s="371"/>
      <c r="B101" s="307"/>
      <c r="C101" s="307"/>
      <c r="D101" s="307"/>
      <c r="E101" s="371"/>
      <c r="F101" s="307"/>
      <c r="G101" s="477"/>
      <c r="H101" s="371"/>
      <c r="I101" s="371"/>
      <c r="J101" s="371"/>
      <c r="K101" s="371"/>
      <c r="L101" s="371"/>
      <c r="M101" s="371"/>
      <c r="N101" s="371"/>
      <c r="O101" s="371"/>
      <c r="P101" s="371"/>
      <c r="Q101" s="371"/>
      <c r="R101" s="371"/>
      <c r="S101" s="371"/>
      <c r="T101" s="371"/>
      <c r="U101" s="371"/>
      <c r="V101" s="371"/>
    </row>
    <row r="102">
      <c r="A102" s="371"/>
      <c r="B102" s="307"/>
      <c r="C102" s="307"/>
      <c r="D102" s="307"/>
      <c r="E102" s="371"/>
      <c r="F102" s="307"/>
      <c r="G102" s="477"/>
      <c r="H102" s="371"/>
      <c r="I102" s="371"/>
      <c r="J102" s="371"/>
      <c r="K102" s="371"/>
      <c r="L102" s="371"/>
      <c r="M102" s="371"/>
      <c r="N102" s="371"/>
      <c r="O102" s="371"/>
      <c r="P102" s="371"/>
      <c r="Q102" s="371"/>
      <c r="R102" s="371"/>
      <c r="S102" s="371"/>
      <c r="T102" s="371"/>
      <c r="U102" s="371"/>
      <c r="V102" s="371"/>
    </row>
    <row r="103">
      <c r="A103" s="371"/>
      <c r="B103" s="307"/>
      <c r="C103" s="307"/>
      <c r="D103" s="307"/>
      <c r="E103" s="371"/>
      <c r="F103" s="307"/>
      <c r="G103" s="477"/>
      <c r="H103" s="371"/>
      <c r="I103" s="371"/>
      <c r="J103" s="371"/>
      <c r="K103" s="371"/>
      <c r="L103" s="371"/>
      <c r="M103" s="371"/>
      <c r="N103" s="371"/>
      <c r="O103" s="371"/>
      <c r="P103" s="371"/>
      <c r="Q103" s="371"/>
      <c r="R103" s="371"/>
      <c r="S103" s="371"/>
      <c r="T103" s="371"/>
      <c r="U103" s="371"/>
      <c r="V103" s="371"/>
    </row>
    <row r="104">
      <c r="A104" s="371"/>
      <c r="B104" s="307"/>
      <c r="C104" s="307"/>
      <c r="D104" s="307"/>
      <c r="E104" s="371"/>
      <c r="F104" s="307"/>
      <c r="G104" s="477"/>
      <c r="H104" s="371"/>
      <c r="I104" s="371"/>
      <c r="J104" s="371"/>
      <c r="K104" s="371"/>
      <c r="L104" s="371"/>
      <c r="M104" s="371"/>
      <c r="N104" s="371"/>
      <c r="O104" s="371"/>
      <c r="P104" s="371"/>
      <c r="Q104" s="371"/>
      <c r="R104" s="371"/>
      <c r="S104" s="371"/>
      <c r="T104" s="371"/>
      <c r="U104" s="371"/>
      <c r="V104" s="371"/>
    </row>
    <row r="105">
      <c r="A105" s="371"/>
      <c r="B105" s="307"/>
      <c r="C105" s="307"/>
      <c r="D105" s="307"/>
      <c r="E105" s="371"/>
      <c r="F105" s="307"/>
      <c r="G105" s="477"/>
      <c r="H105" s="371"/>
      <c r="I105" s="371"/>
      <c r="J105" s="371"/>
      <c r="K105" s="371"/>
      <c r="L105" s="371"/>
      <c r="M105" s="371"/>
      <c r="N105" s="371"/>
      <c r="O105" s="371"/>
      <c r="P105" s="371"/>
      <c r="Q105" s="371"/>
      <c r="R105" s="371"/>
      <c r="S105" s="371"/>
      <c r="T105" s="371"/>
      <c r="U105" s="371"/>
      <c r="V105" s="371"/>
    </row>
    <row r="106">
      <c r="A106" s="371"/>
      <c r="B106" s="307"/>
      <c r="C106" s="307"/>
      <c r="D106" s="307"/>
      <c r="E106" s="371"/>
      <c r="F106" s="307"/>
      <c r="G106" s="477"/>
      <c r="H106" s="371"/>
      <c r="I106" s="371"/>
      <c r="J106" s="371"/>
      <c r="K106" s="371"/>
      <c r="L106" s="371"/>
      <c r="M106" s="371"/>
      <c r="N106" s="371"/>
      <c r="O106" s="371"/>
      <c r="P106" s="371"/>
      <c r="Q106" s="371"/>
      <c r="R106" s="371"/>
      <c r="S106" s="371"/>
      <c r="T106" s="371"/>
      <c r="U106" s="371"/>
      <c r="V106" s="371"/>
    </row>
    <row r="107">
      <c r="A107" s="371"/>
      <c r="B107" s="307"/>
      <c r="C107" s="307"/>
      <c r="D107" s="307"/>
      <c r="E107" s="371"/>
      <c r="F107" s="307"/>
      <c r="G107" s="477"/>
      <c r="H107" s="371"/>
      <c r="I107" s="371"/>
      <c r="J107" s="371"/>
      <c r="K107" s="371"/>
      <c r="L107" s="371"/>
      <c r="M107" s="371"/>
      <c r="N107" s="371"/>
      <c r="O107" s="371"/>
      <c r="P107" s="371"/>
      <c r="Q107" s="371"/>
      <c r="R107" s="371"/>
      <c r="S107" s="371"/>
      <c r="T107" s="371"/>
      <c r="U107" s="371"/>
      <c r="V107" s="371"/>
    </row>
    <row r="108">
      <c r="A108" s="371"/>
      <c r="B108" s="307"/>
      <c r="C108" s="307"/>
      <c r="D108" s="307"/>
      <c r="E108" s="371"/>
      <c r="F108" s="307"/>
      <c r="G108" s="477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  <c r="U108" s="371"/>
      <c r="V108" s="371"/>
    </row>
    <row r="109">
      <c r="A109" s="371"/>
      <c r="B109" s="307"/>
      <c r="C109" s="307"/>
      <c r="D109" s="307"/>
      <c r="E109" s="371"/>
      <c r="F109" s="307"/>
      <c r="G109" s="477"/>
      <c r="H109" s="371"/>
      <c r="I109" s="371"/>
      <c r="J109" s="371"/>
      <c r="K109" s="371"/>
      <c r="L109" s="371"/>
      <c r="M109" s="371"/>
      <c r="N109" s="371"/>
      <c r="O109" s="371"/>
      <c r="P109" s="371"/>
      <c r="Q109" s="371"/>
      <c r="R109" s="371"/>
      <c r="S109" s="371"/>
      <c r="T109" s="371"/>
      <c r="U109" s="371"/>
      <c r="V109" s="371"/>
    </row>
    <row r="110">
      <c r="A110" s="371"/>
      <c r="B110" s="307"/>
      <c r="C110" s="307"/>
      <c r="D110" s="307"/>
      <c r="E110" s="371"/>
      <c r="F110" s="307"/>
      <c r="G110" s="477"/>
      <c r="H110" s="371"/>
      <c r="I110" s="371"/>
      <c r="J110" s="371"/>
      <c r="K110" s="371"/>
      <c r="L110" s="371"/>
      <c r="M110" s="371"/>
      <c r="N110" s="371"/>
      <c r="O110" s="371"/>
      <c r="P110" s="371"/>
      <c r="Q110" s="371"/>
      <c r="R110" s="371"/>
      <c r="S110" s="371"/>
      <c r="T110" s="371"/>
      <c r="U110" s="371"/>
      <c r="V110" s="371"/>
    </row>
    <row r="111">
      <c r="A111" s="371"/>
      <c r="B111" s="307"/>
      <c r="C111" s="307"/>
      <c r="D111" s="307"/>
      <c r="E111" s="371"/>
      <c r="F111" s="307"/>
      <c r="G111" s="477"/>
      <c r="H111" s="371"/>
      <c r="I111" s="371"/>
      <c r="J111" s="371"/>
      <c r="K111" s="371"/>
      <c r="L111" s="371"/>
      <c r="M111" s="371"/>
      <c r="N111" s="371"/>
      <c r="O111" s="371"/>
      <c r="P111" s="371"/>
      <c r="Q111" s="371"/>
      <c r="R111" s="371"/>
      <c r="S111" s="371"/>
      <c r="T111" s="371"/>
      <c r="U111" s="371"/>
      <c r="V111" s="371"/>
    </row>
    <row r="112">
      <c r="A112" s="371"/>
      <c r="B112" s="307"/>
      <c r="C112" s="307"/>
      <c r="D112" s="307"/>
      <c r="E112" s="371"/>
      <c r="F112" s="307"/>
      <c r="G112" s="477"/>
      <c r="H112" s="371"/>
      <c r="I112" s="371"/>
      <c r="J112" s="371"/>
      <c r="K112" s="371"/>
      <c r="L112" s="371"/>
      <c r="M112" s="371"/>
      <c r="N112" s="371"/>
      <c r="O112" s="371"/>
      <c r="P112" s="371"/>
      <c r="Q112" s="371"/>
      <c r="R112" s="371"/>
      <c r="S112" s="371"/>
      <c r="T112" s="371"/>
      <c r="U112" s="371"/>
      <c r="V112" s="371"/>
    </row>
    <row r="113">
      <c r="A113" s="371"/>
      <c r="B113" s="307"/>
      <c r="C113" s="307"/>
      <c r="D113" s="307"/>
      <c r="E113" s="371"/>
      <c r="F113" s="307"/>
      <c r="G113" s="477"/>
      <c r="H113" s="371"/>
      <c r="I113" s="371"/>
      <c r="J113" s="371"/>
      <c r="K113" s="371"/>
      <c r="L113" s="371"/>
      <c r="M113" s="371"/>
      <c r="N113" s="371"/>
      <c r="O113" s="371"/>
      <c r="P113" s="371"/>
      <c r="Q113" s="371"/>
      <c r="R113" s="371"/>
      <c r="S113" s="371"/>
      <c r="T113" s="371"/>
      <c r="U113" s="371"/>
      <c r="V113" s="371"/>
    </row>
    <row r="114">
      <c r="A114" s="371"/>
      <c r="B114" s="307"/>
      <c r="C114" s="307"/>
      <c r="D114" s="307"/>
      <c r="E114" s="371"/>
      <c r="F114" s="307"/>
      <c r="G114" s="477"/>
      <c r="H114" s="371"/>
      <c r="I114" s="371"/>
      <c r="J114" s="371"/>
      <c r="K114" s="371"/>
      <c r="L114" s="371"/>
      <c r="M114" s="371"/>
      <c r="N114" s="371"/>
      <c r="O114" s="371"/>
      <c r="P114" s="371"/>
      <c r="Q114" s="371"/>
      <c r="R114" s="371"/>
      <c r="S114" s="371"/>
      <c r="T114" s="371"/>
      <c r="U114" s="371"/>
      <c r="V114" s="371"/>
    </row>
    <row r="115">
      <c r="A115" s="371"/>
      <c r="B115" s="307"/>
      <c r="C115" s="307"/>
      <c r="D115" s="307"/>
      <c r="E115" s="371"/>
      <c r="F115" s="307"/>
      <c r="G115" s="477"/>
      <c r="H115" s="371"/>
      <c r="I115" s="371"/>
      <c r="J115" s="371"/>
      <c r="K115" s="371"/>
      <c r="L115" s="371"/>
      <c r="M115" s="371"/>
      <c r="N115" s="371"/>
      <c r="O115" s="371"/>
      <c r="P115" s="371"/>
      <c r="Q115" s="371"/>
      <c r="R115" s="371"/>
      <c r="S115" s="371"/>
      <c r="T115" s="371"/>
      <c r="U115" s="371"/>
      <c r="V115" s="371"/>
    </row>
    <row r="116">
      <c r="A116" s="371"/>
      <c r="B116" s="307"/>
      <c r="C116" s="307"/>
      <c r="D116" s="307"/>
      <c r="E116" s="371"/>
      <c r="F116" s="307"/>
      <c r="G116" s="477"/>
      <c r="H116" s="371"/>
      <c r="I116" s="371"/>
      <c r="J116" s="371"/>
      <c r="K116" s="371"/>
      <c r="L116" s="371"/>
      <c r="M116" s="371"/>
      <c r="N116" s="371"/>
      <c r="O116" s="371"/>
      <c r="P116" s="371"/>
      <c r="Q116" s="371"/>
      <c r="R116" s="371"/>
      <c r="S116" s="371"/>
      <c r="T116" s="371"/>
      <c r="U116" s="371"/>
      <c r="V116" s="371"/>
    </row>
    <row r="117">
      <c r="A117" s="371"/>
      <c r="B117" s="307"/>
      <c r="C117" s="307"/>
      <c r="D117" s="307"/>
      <c r="E117" s="371"/>
      <c r="F117" s="307"/>
      <c r="G117" s="477"/>
      <c r="H117" s="371"/>
      <c r="I117" s="371"/>
      <c r="J117" s="371"/>
      <c r="K117" s="371"/>
      <c r="L117" s="371"/>
      <c r="M117" s="371"/>
      <c r="N117" s="371"/>
      <c r="O117" s="371"/>
      <c r="P117" s="371"/>
      <c r="Q117" s="371"/>
      <c r="R117" s="371"/>
      <c r="S117" s="371"/>
      <c r="T117" s="371"/>
      <c r="U117" s="371"/>
      <c r="V117" s="371"/>
    </row>
    <row r="118">
      <c r="A118" s="371"/>
      <c r="B118" s="307"/>
      <c r="C118" s="307"/>
      <c r="D118" s="307"/>
      <c r="E118" s="371"/>
      <c r="F118" s="307"/>
      <c r="G118" s="477"/>
      <c r="H118" s="371"/>
      <c r="I118" s="371"/>
      <c r="J118" s="371"/>
      <c r="K118" s="371"/>
      <c r="L118" s="371"/>
      <c r="M118" s="371"/>
      <c r="N118" s="371"/>
      <c r="O118" s="371"/>
      <c r="P118" s="371"/>
      <c r="Q118" s="371"/>
      <c r="R118" s="371"/>
      <c r="S118" s="371"/>
      <c r="T118" s="371"/>
      <c r="U118" s="371"/>
      <c r="V118" s="371"/>
    </row>
    <row r="119">
      <c r="A119" s="371"/>
      <c r="B119" s="307"/>
      <c r="C119" s="307"/>
      <c r="D119" s="307"/>
      <c r="E119" s="371"/>
      <c r="F119" s="307"/>
      <c r="G119" s="477"/>
      <c r="H119" s="371"/>
      <c r="I119" s="371"/>
      <c r="J119" s="371"/>
      <c r="K119" s="371"/>
      <c r="L119" s="371"/>
      <c r="M119" s="371"/>
      <c r="N119" s="371"/>
      <c r="O119" s="371"/>
      <c r="P119" s="371"/>
      <c r="Q119" s="371"/>
      <c r="R119" s="371"/>
      <c r="S119" s="371"/>
      <c r="T119" s="371"/>
      <c r="U119" s="371"/>
      <c r="V119" s="371"/>
    </row>
    <row r="120">
      <c r="A120" s="371"/>
      <c r="B120" s="307"/>
      <c r="C120" s="307"/>
      <c r="D120" s="307"/>
      <c r="E120" s="371"/>
      <c r="F120" s="307"/>
      <c r="G120" s="477"/>
      <c r="H120" s="371"/>
      <c r="I120" s="371"/>
      <c r="J120" s="371"/>
      <c r="K120" s="371"/>
      <c r="L120" s="371"/>
      <c r="M120" s="371"/>
      <c r="N120" s="371"/>
      <c r="O120" s="371"/>
      <c r="P120" s="371"/>
      <c r="Q120" s="371"/>
      <c r="R120" s="371"/>
      <c r="S120" s="371"/>
      <c r="T120" s="371"/>
      <c r="U120" s="371"/>
      <c r="V120" s="371"/>
    </row>
    <row r="121">
      <c r="A121" s="371"/>
      <c r="B121" s="307"/>
      <c r="C121" s="307"/>
      <c r="D121" s="307"/>
      <c r="E121" s="371"/>
      <c r="F121" s="307"/>
      <c r="G121" s="477"/>
      <c r="H121" s="371"/>
      <c r="I121" s="371"/>
      <c r="J121" s="371"/>
      <c r="K121" s="371"/>
      <c r="L121" s="371"/>
      <c r="M121" s="371"/>
      <c r="N121" s="371"/>
      <c r="O121" s="371"/>
      <c r="P121" s="371"/>
      <c r="Q121" s="371"/>
      <c r="R121" s="371"/>
      <c r="S121" s="371"/>
      <c r="T121" s="371"/>
      <c r="U121" s="371"/>
      <c r="V121" s="371"/>
    </row>
    <row r="122">
      <c r="A122" s="371"/>
      <c r="B122" s="307"/>
      <c r="C122" s="307"/>
      <c r="D122" s="307"/>
      <c r="E122" s="371"/>
      <c r="F122" s="307"/>
      <c r="G122" s="477"/>
      <c r="H122" s="371"/>
      <c r="I122" s="371"/>
      <c r="J122" s="371"/>
      <c r="K122" s="371"/>
      <c r="L122" s="371"/>
      <c r="M122" s="371"/>
      <c r="N122" s="371"/>
      <c r="O122" s="371"/>
      <c r="P122" s="371"/>
      <c r="Q122" s="371"/>
      <c r="R122" s="371"/>
      <c r="S122" s="371"/>
      <c r="T122" s="371"/>
      <c r="U122" s="371"/>
      <c r="V122" s="371"/>
    </row>
    <row r="123">
      <c r="A123" s="371"/>
      <c r="B123" s="307"/>
      <c r="C123" s="307"/>
      <c r="D123" s="307"/>
      <c r="E123" s="371"/>
      <c r="F123" s="307"/>
      <c r="G123" s="477"/>
      <c r="H123" s="371"/>
      <c r="I123" s="371"/>
      <c r="J123" s="371"/>
      <c r="K123" s="371"/>
      <c r="L123" s="371"/>
      <c r="M123" s="371"/>
      <c r="N123" s="371"/>
      <c r="O123" s="371"/>
      <c r="P123" s="371"/>
      <c r="Q123" s="371"/>
      <c r="R123" s="371"/>
      <c r="S123" s="371"/>
      <c r="T123" s="371"/>
      <c r="U123" s="371"/>
      <c r="V123" s="371"/>
    </row>
    <row r="124">
      <c r="A124" s="371"/>
      <c r="B124" s="307"/>
      <c r="C124" s="307"/>
      <c r="D124" s="307"/>
      <c r="E124" s="371"/>
      <c r="F124" s="307"/>
      <c r="G124" s="477"/>
      <c r="H124" s="371"/>
      <c r="I124" s="371"/>
      <c r="J124" s="371"/>
      <c r="K124" s="371"/>
      <c r="L124" s="371"/>
      <c r="M124" s="371"/>
      <c r="N124" s="371"/>
      <c r="O124" s="371"/>
      <c r="P124" s="371"/>
      <c r="Q124" s="371"/>
      <c r="R124" s="371"/>
      <c r="S124" s="371"/>
      <c r="T124" s="371"/>
      <c r="U124" s="371"/>
      <c r="V124" s="371"/>
    </row>
    <row r="125">
      <c r="A125" s="371"/>
      <c r="B125" s="307"/>
      <c r="C125" s="307"/>
      <c r="D125" s="307"/>
      <c r="E125" s="371"/>
      <c r="F125" s="307"/>
      <c r="G125" s="477"/>
      <c r="H125" s="371"/>
      <c r="I125" s="371"/>
      <c r="J125" s="371"/>
      <c r="K125" s="371"/>
      <c r="L125" s="371"/>
      <c r="M125" s="371"/>
      <c r="N125" s="371"/>
      <c r="O125" s="371"/>
      <c r="P125" s="371"/>
      <c r="Q125" s="371"/>
      <c r="R125" s="371"/>
      <c r="S125" s="371"/>
      <c r="T125" s="371"/>
      <c r="U125" s="371"/>
      <c r="V125" s="371"/>
    </row>
    <row r="126">
      <c r="A126" s="371"/>
      <c r="B126" s="307"/>
      <c r="C126" s="307"/>
      <c r="D126" s="307"/>
      <c r="E126" s="371"/>
      <c r="F126" s="307"/>
      <c r="G126" s="477"/>
      <c r="H126" s="371"/>
      <c r="I126" s="371"/>
      <c r="J126" s="371"/>
      <c r="K126" s="371"/>
      <c r="L126" s="371"/>
      <c r="M126" s="371"/>
      <c r="N126" s="371"/>
      <c r="O126" s="371"/>
      <c r="P126" s="371"/>
      <c r="Q126" s="371"/>
      <c r="R126" s="371"/>
      <c r="S126" s="371"/>
      <c r="T126" s="371"/>
      <c r="U126" s="371"/>
      <c r="V126" s="371"/>
    </row>
    <row r="127">
      <c r="A127" s="371"/>
      <c r="B127" s="307"/>
      <c r="C127" s="307"/>
      <c r="D127" s="307"/>
      <c r="E127" s="371"/>
      <c r="F127" s="307"/>
      <c r="G127" s="477"/>
      <c r="H127" s="371"/>
      <c r="I127" s="371"/>
      <c r="J127" s="371"/>
      <c r="K127" s="371"/>
      <c r="L127" s="371"/>
      <c r="M127" s="371"/>
      <c r="N127" s="371"/>
      <c r="O127" s="371"/>
      <c r="P127" s="371"/>
      <c r="Q127" s="371"/>
      <c r="R127" s="371"/>
      <c r="S127" s="371"/>
      <c r="T127" s="371"/>
      <c r="U127" s="371"/>
      <c r="V127" s="371"/>
    </row>
    <row r="128">
      <c r="A128" s="371"/>
      <c r="B128" s="307"/>
      <c r="C128" s="307"/>
      <c r="D128" s="307"/>
      <c r="E128" s="371"/>
      <c r="F128" s="307"/>
      <c r="G128" s="477"/>
      <c r="H128" s="371"/>
      <c r="I128" s="371"/>
      <c r="J128" s="371"/>
      <c r="K128" s="371"/>
      <c r="L128" s="371"/>
      <c r="M128" s="371"/>
      <c r="N128" s="371"/>
      <c r="O128" s="371"/>
      <c r="P128" s="371"/>
      <c r="Q128" s="371"/>
      <c r="R128" s="371"/>
      <c r="S128" s="371"/>
      <c r="T128" s="371"/>
      <c r="U128" s="371"/>
      <c r="V128" s="371"/>
    </row>
    <row r="129">
      <c r="A129" s="371"/>
      <c r="B129" s="307"/>
      <c r="C129" s="307"/>
      <c r="D129" s="307"/>
      <c r="E129" s="371"/>
      <c r="F129" s="307"/>
      <c r="G129" s="477"/>
      <c r="H129" s="371"/>
      <c r="I129" s="371"/>
      <c r="J129" s="371"/>
      <c r="K129" s="371"/>
      <c r="L129" s="371"/>
      <c r="M129" s="371"/>
      <c r="N129" s="371"/>
      <c r="O129" s="371"/>
      <c r="P129" s="371"/>
      <c r="Q129" s="371"/>
      <c r="R129" s="371"/>
      <c r="S129" s="371"/>
      <c r="T129" s="371"/>
      <c r="U129" s="371"/>
      <c r="V129" s="371"/>
    </row>
    <row r="130">
      <c r="A130" s="371"/>
      <c r="B130" s="307"/>
      <c r="C130" s="307"/>
      <c r="D130" s="307"/>
      <c r="E130" s="371"/>
      <c r="F130" s="307"/>
      <c r="G130" s="477"/>
      <c r="H130" s="371"/>
      <c r="I130" s="371"/>
      <c r="J130" s="371"/>
      <c r="K130" s="371"/>
      <c r="L130" s="371"/>
      <c r="M130" s="371"/>
      <c r="N130" s="371"/>
      <c r="O130" s="371"/>
      <c r="P130" s="371"/>
      <c r="Q130" s="371"/>
      <c r="R130" s="371"/>
      <c r="S130" s="371"/>
      <c r="T130" s="371"/>
      <c r="U130" s="371"/>
      <c r="V130" s="371"/>
    </row>
    <row r="131">
      <c r="A131" s="371"/>
      <c r="B131" s="307"/>
      <c r="C131" s="307"/>
      <c r="D131" s="307"/>
      <c r="E131" s="371"/>
      <c r="F131" s="307"/>
      <c r="G131" s="477"/>
      <c r="H131" s="371"/>
      <c r="I131" s="371"/>
      <c r="J131" s="371"/>
      <c r="K131" s="371"/>
      <c r="L131" s="371"/>
      <c r="M131" s="371"/>
      <c r="N131" s="371"/>
      <c r="O131" s="371"/>
      <c r="P131" s="371"/>
      <c r="Q131" s="371"/>
      <c r="R131" s="371"/>
      <c r="S131" s="371"/>
      <c r="T131" s="371"/>
      <c r="U131" s="371"/>
      <c r="V131" s="371"/>
    </row>
    <row r="132">
      <c r="A132" s="371"/>
      <c r="B132" s="307"/>
      <c r="C132" s="307"/>
      <c r="D132" s="307"/>
      <c r="E132" s="371"/>
      <c r="F132" s="307"/>
      <c r="G132" s="477"/>
      <c r="H132" s="371"/>
      <c r="I132" s="371"/>
      <c r="J132" s="371"/>
      <c r="K132" s="371"/>
      <c r="L132" s="371"/>
      <c r="M132" s="371"/>
      <c r="N132" s="371"/>
      <c r="O132" s="371"/>
      <c r="P132" s="371"/>
      <c r="Q132" s="371"/>
      <c r="R132" s="371"/>
      <c r="S132" s="371"/>
      <c r="T132" s="371"/>
      <c r="U132" s="371"/>
      <c r="V132" s="371"/>
    </row>
    <row r="133">
      <c r="A133" s="371"/>
      <c r="B133" s="307"/>
      <c r="C133" s="307"/>
      <c r="D133" s="307"/>
      <c r="E133" s="371"/>
      <c r="F133" s="307"/>
      <c r="G133" s="477"/>
      <c r="H133" s="371"/>
      <c r="I133" s="371"/>
      <c r="J133" s="371"/>
      <c r="K133" s="371"/>
      <c r="L133" s="371"/>
      <c r="M133" s="371"/>
      <c r="N133" s="371"/>
      <c r="O133" s="371"/>
      <c r="P133" s="371"/>
      <c r="Q133" s="371"/>
      <c r="R133" s="371"/>
      <c r="S133" s="371"/>
      <c r="T133" s="371"/>
      <c r="U133" s="371"/>
      <c r="V133" s="371"/>
    </row>
    <row r="134">
      <c r="A134" s="371"/>
      <c r="B134" s="307"/>
      <c r="C134" s="307"/>
      <c r="D134" s="307"/>
      <c r="E134" s="371"/>
      <c r="F134" s="307"/>
      <c r="G134" s="477"/>
      <c r="H134" s="371"/>
      <c r="I134" s="371"/>
      <c r="J134" s="371"/>
      <c r="K134" s="371"/>
      <c r="L134" s="371"/>
      <c r="M134" s="371"/>
      <c r="N134" s="371"/>
      <c r="O134" s="371"/>
      <c r="P134" s="371"/>
      <c r="Q134" s="371"/>
      <c r="R134" s="371"/>
      <c r="S134" s="371"/>
      <c r="T134" s="371"/>
      <c r="U134" s="371"/>
      <c r="V134" s="371"/>
    </row>
    <row r="135">
      <c r="A135" s="371"/>
      <c r="B135" s="307"/>
      <c r="C135" s="307"/>
      <c r="D135" s="307"/>
      <c r="E135" s="371"/>
      <c r="F135" s="307"/>
      <c r="G135" s="477"/>
      <c r="H135" s="371"/>
      <c r="I135" s="371"/>
      <c r="J135" s="371"/>
      <c r="K135" s="371"/>
      <c r="L135" s="371"/>
      <c r="M135" s="371"/>
      <c r="N135" s="371"/>
      <c r="O135" s="371"/>
      <c r="P135" s="371"/>
      <c r="Q135" s="371"/>
      <c r="R135" s="371"/>
      <c r="S135" s="371"/>
      <c r="T135" s="371"/>
      <c r="U135" s="371"/>
      <c r="V135" s="371"/>
    </row>
    <row r="136">
      <c r="A136" s="371"/>
      <c r="B136" s="307"/>
      <c r="C136" s="307"/>
      <c r="D136" s="307"/>
      <c r="E136" s="371"/>
      <c r="F136" s="307"/>
      <c r="G136" s="477"/>
      <c r="H136" s="371"/>
      <c r="I136" s="371"/>
      <c r="J136" s="371"/>
      <c r="K136" s="371"/>
      <c r="L136" s="371"/>
      <c r="M136" s="371"/>
      <c r="N136" s="371"/>
      <c r="O136" s="371"/>
      <c r="P136" s="371"/>
      <c r="Q136" s="371"/>
      <c r="R136" s="371"/>
      <c r="S136" s="371"/>
      <c r="T136" s="371"/>
      <c r="U136" s="371"/>
      <c r="V136" s="371"/>
    </row>
    <row r="137">
      <c r="A137" s="371"/>
      <c r="B137" s="307"/>
      <c r="C137" s="307"/>
      <c r="D137" s="307"/>
      <c r="E137" s="371"/>
      <c r="F137" s="307"/>
      <c r="G137" s="477"/>
      <c r="H137" s="371"/>
      <c r="I137" s="371"/>
      <c r="J137" s="371"/>
      <c r="K137" s="371"/>
      <c r="L137" s="371"/>
      <c r="M137" s="371"/>
      <c r="N137" s="371"/>
      <c r="O137" s="371"/>
      <c r="P137" s="371"/>
      <c r="Q137" s="371"/>
      <c r="R137" s="371"/>
      <c r="S137" s="371"/>
      <c r="T137" s="371"/>
      <c r="U137" s="371"/>
      <c r="V137" s="371"/>
    </row>
    <row r="138">
      <c r="A138" s="371"/>
      <c r="B138" s="307"/>
      <c r="C138" s="307"/>
      <c r="D138" s="307"/>
      <c r="E138" s="371"/>
      <c r="F138" s="307"/>
      <c r="G138" s="477"/>
      <c r="H138" s="371"/>
      <c r="I138" s="371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  <c r="U138" s="371"/>
      <c r="V138" s="371"/>
    </row>
    <row r="139">
      <c r="A139" s="371"/>
      <c r="B139" s="307"/>
      <c r="C139" s="307"/>
      <c r="D139" s="307"/>
      <c r="E139" s="371"/>
      <c r="F139" s="307"/>
      <c r="G139" s="477"/>
      <c r="H139" s="371"/>
      <c r="I139" s="371"/>
      <c r="J139" s="371"/>
      <c r="K139" s="371"/>
      <c r="L139" s="371"/>
      <c r="M139" s="371"/>
      <c r="N139" s="371"/>
      <c r="O139" s="371"/>
      <c r="P139" s="371"/>
      <c r="Q139" s="371"/>
      <c r="R139" s="371"/>
      <c r="S139" s="371"/>
      <c r="T139" s="371"/>
      <c r="U139" s="371"/>
      <c r="V139" s="371"/>
    </row>
    <row r="140">
      <c r="A140" s="371"/>
      <c r="B140" s="307"/>
      <c r="C140" s="307"/>
      <c r="D140" s="307"/>
      <c r="E140" s="371"/>
      <c r="F140" s="307"/>
      <c r="G140" s="477"/>
      <c r="H140" s="371"/>
      <c r="I140" s="371"/>
      <c r="J140" s="371"/>
      <c r="K140" s="371"/>
      <c r="L140" s="371"/>
      <c r="M140" s="371"/>
      <c r="N140" s="371"/>
      <c r="O140" s="371"/>
      <c r="P140" s="371"/>
      <c r="Q140" s="371"/>
      <c r="R140" s="371"/>
      <c r="S140" s="371"/>
      <c r="T140" s="371"/>
      <c r="U140" s="371"/>
      <c r="V140" s="371"/>
    </row>
    <row r="141">
      <c r="A141" s="371"/>
      <c r="B141" s="307"/>
      <c r="C141" s="307"/>
      <c r="D141" s="307"/>
      <c r="E141" s="371"/>
      <c r="F141" s="307"/>
      <c r="G141" s="477"/>
      <c r="H141" s="371"/>
      <c r="I141" s="371"/>
      <c r="J141" s="371"/>
      <c r="K141" s="371"/>
      <c r="L141" s="371"/>
      <c r="M141" s="371"/>
      <c r="N141" s="371"/>
      <c r="O141" s="371"/>
      <c r="P141" s="371"/>
      <c r="Q141" s="371"/>
      <c r="R141" s="371"/>
      <c r="S141" s="371"/>
      <c r="T141" s="371"/>
      <c r="U141" s="371"/>
      <c r="V141" s="371"/>
    </row>
    <row r="142">
      <c r="A142" s="371"/>
      <c r="B142" s="307"/>
      <c r="C142" s="307"/>
      <c r="D142" s="307"/>
      <c r="E142" s="371"/>
      <c r="F142" s="307"/>
      <c r="G142" s="477"/>
      <c r="H142" s="371"/>
      <c r="I142" s="371"/>
      <c r="J142" s="371"/>
      <c r="K142" s="371"/>
      <c r="L142" s="371"/>
      <c r="M142" s="371"/>
      <c r="N142" s="371"/>
      <c r="O142" s="371"/>
      <c r="P142" s="371"/>
      <c r="Q142" s="371"/>
      <c r="R142" s="371"/>
      <c r="S142" s="371"/>
      <c r="T142" s="371"/>
      <c r="U142" s="371"/>
      <c r="V142" s="371"/>
    </row>
    <row r="143">
      <c r="A143" s="371"/>
      <c r="B143" s="307"/>
      <c r="C143" s="307"/>
      <c r="D143" s="307"/>
      <c r="E143" s="371"/>
      <c r="F143" s="307"/>
      <c r="G143" s="477"/>
      <c r="H143" s="371"/>
      <c r="I143" s="371"/>
      <c r="J143" s="371"/>
      <c r="K143" s="371"/>
      <c r="L143" s="371"/>
      <c r="M143" s="371"/>
      <c r="N143" s="371"/>
      <c r="O143" s="371"/>
      <c r="P143" s="371"/>
      <c r="Q143" s="371"/>
      <c r="R143" s="371"/>
      <c r="S143" s="371"/>
      <c r="T143" s="371"/>
      <c r="U143" s="371"/>
      <c r="V143" s="371"/>
    </row>
    <row r="144">
      <c r="A144" s="371"/>
      <c r="B144" s="307"/>
      <c r="C144" s="307"/>
      <c r="D144" s="307"/>
      <c r="E144" s="371"/>
      <c r="F144" s="307"/>
      <c r="G144" s="477"/>
      <c r="H144" s="371"/>
      <c r="I144" s="371"/>
      <c r="J144" s="371"/>
      <c r="K144" s="371"/>
      <c r="L144" s="371"/>
      <c r="M144" s="371"/>
      <c r="N144" s="371"/>
      <c r="O144" s="371"/>
      <c r="P144" s="371"/>
      <c r="Q144" s="371"/>
      <c r="R144" s="371"/>
      <c r="S144" s="371"/>
      <c r="T144" s="371"/>
      <c r="U144" s="371"/>
      <c r="V144" s="371"/>
    </row>
    <row r="145">
      <c r="A145" s="371"/>
      <c r="B145" s="307"/>
      <c r="C145" s="307"/>
      <c r="D145" s="307"/>
      <c r="E145" s="371"/>
      <c r="F145" s="307"/>
      <c r="G145" s="477"/>
      <c r="H145" s="371"/>
      <c r="I145" s="371"/>
      <c r="J145" s="371"/>
      <c r="K145" s="371"/>
      <c r="L145" s="371"/>
      <c r="M145" s="371"/>
      <c r="N145" s="371"/>
      <c r="O145" s="371"/>
      <c r="P145" s="371"/>
      <c r="Q145" s="371"/>
      <c r="R145" s="371"/>
      <c r="S145" s="371"/>
      <c r="T145" s="371"/>
      <c r="U145" s="371"/>
      <c r="V145" s="371"/>
    </row>
    <row r="146">
      <c r="A146" s="371"/>
      <c r="B146" s="307"/>
      <c r="C146" s="307"/>
      <c r="D146" s="307"/>
      <c r="E146" s="371"/>
      <c r="F146" s="307"/>
      <c r="G146" s="477"/>
      <c r="H146" s="371"/>
      <c r="I146" s="371"/>
      <c r="J146" s="371"/>
      <c r="K146" s="371"/>
      <c r="L146" s="371"/>
      <c r="M146" s="371"/>
      <c r="N146" s="371"/>
      <c r="O146" s="371"/>
      <c r="P146" s="371"/>
      <c r="Q146" s="371"/>
      <c r="R146" s="371"/>
      <c r="S146" s="371"/>
      <c r="T146" s="371"/>
      <c r="U146" s="371"/>
      <c r="V146" s="371"/>
    </row>
    <row r="147">
      <c r="A147" s="371"/>
      <c r="B147" s="307"/>
      <c r="C147" s="307"/>
      <c r="D147" s="307"/>
      <c r="E147" s="371"/>
      <c r="F147" s="307"/>
      <c r="G147" s="477"/>
      <c r="H147" s="371"/>
      <c r="I147" s="371"/>
      <c r="J147" s="371"/>
      <c r="K147" s="371"/>
      <c r="L147" s="371"/>
      <c r="M147" s="371"/>
      <c r="N147" s="371"/>
      <c r="O147" s="371"/>
      <c r="P147" s="371"/>
      <c r="Q147" s="371"/>
      <c r="R147" s="371"/>
      <c r="S147" s="371"/>
      <c r="T147" s="371"/>
      <c r="U147" s="371"/>
      <c r="V147" s="371"/>
    </row>
    <row r="148">
      <c r="A148" s="371"/>
      <c r="B148" s="307"/>
      <c r="C148" s="307"/>
      <c r="D148" s="307"/>
      <c r="E148" s="371"/>
      <c r="F148" s="307"/>
      <c r="G148" s="477"/>
      <c r="H148" s="371"/>
      <c r="I148" s="371"/>
      <c r="J148" s="371"/>
      <c r="K148" s="371"/>
      <c r="L148" s="371"/>
      <c r="M148" s="371"/>
      <c r="N148" s="371"/>
      <c r="O148" s="371"/>
      <c r="P148" s="371"/>
      <c r="Q148" s="371"/>
      <c r="R148" s="371"/>
      <c r="S148" s="371"/>
      <c r="T148" s="371"/>
      <c r="U148" s="371"/>
      <c r="V148" s="371"/>
    </row>
    <row r="149">
      <c r="A149" s="371"/>
      <c r="B149" s="307"/>
      <c r="C149" s="307"/>
      <c r="D149" s="307"/>
      <c r="E149" s="371"/>
      <c r="F149" s="307"/>
      <c r="G149" s="477"/>
      <c r="H149" s="371"/>
      <c r="I149" s="371"/>
      <c r="J149" s="371"/>
      <c r="K149" s="371"/>
      <c r="L149" s="371"/>
      <c r="M149" s="371"/>
      <c r="N149" s="371"/>
      <c r="O149" s="371"/>
      <c r="P149" s="371"/>
      <c r="Q149" s="371"/>
      <c r="R149" s="371"/>
      <c r="S149" s="371"/>
      <c r="T149" s="371"/>
      <c r="U149" s="371"/>
      <c r="V149" s="371"/>
    </row>
    <row r="150">
      <c r="A150" s="371"/>
      <c r="B150" s="307"/>
      <c r="C150" s="307"/>
      <c r="D150" s="307"/>
      <c r="E150" s="371"/>
      <c r="F150" s="307"/>
      <c r="G150" s="477"/>
      <c r="H150" s="371"/>
      <c r="I150" s="371"/>
      <c r="J150" s="371"/>
      <c r="K150" s="371"/>
      <c r="L150" s="371"/>
      <c r="M150" s="371"/>
      <c r="N150" s="371"/>
      <c r="O150" s="371"/>
      <c r="P150" s="371"/>
      <c r="Q150" s="371"/>
      <c r="R150" s="371"/>
      <c r="S150" s="371"/>
      <c r="T150" s="371"/>
      <c r="U150" s="371"/>
      <c r="V150" s="371"/>
    </row>
    <row r="151">
      <c r="A151" s="371"/>
      <c r="B151" s="307"/>
      <c r="C151" s="307"/>
      <c r="D151" s="307"/>
      <c r="E151" s="371"/>
      <c r="F151" s="307"/>
      <c r="G151" s="477"/>
      <c r="H151" s="371"/>
      <c r="I151" s="371"/>
      <c r="J151" s="371"/>
      <c r="K151" s="371"/>
      <c r="L151" s="371"/>
      <c r="M151" s="371"/>
      <c r="N151" s="371"/>
      <c r="O151" s="371"/>
      <c r="P151" s="371"/>
      <c r="Q151" s="371"/>
      <c r="R151" s="371"/>
      <c r="S151" s="371"/>
      <c r="T151" s="371"/>
      <c r="U151" s="371"/>
      <c r="V151" s="371"/>
    </row>
    <row r="152">
      <c r="A152" s="371"/>
      <c r="B152" s="307"/>
      <c r="C152" s="307"/>
      <c r="D152" s="307"/>
      <c r="E152" s="371"/>
      <c r="F152" s="307"/>
      <c r="G152" s="477"/>
      <c r="H152" s="371"/>
      <c r="I152" s="371"/>
      <c r="J152" s="371"/>
      <c r="K152" s="371"/>
      <c r="L152" s="371"/>
      <c r="M152" s="371"/>
      <c r="N152" s="371"/>
      <c r="O152" s="371"/>
      <c r="P152" s="371"/>
      <c r="Q152" s="371"/>
      <c r="R152" s="371"/>
      <c r="S152" s="371"/>
      <c r="T152" s="371"/>
      <c r="U152" s="371"/>
      <c r="V152" s="371"/>
    </row>
    <row r="153">
      <c r="A153" s="371"/>
      <c r="B153" s="307"/>
      <c r="C153" s="307"/>
      <c r="D153" s="307"/>
      <c r="E153" s="371"/>
      <c r="F153" s="307"/>
      <c r="G153" s="477"/>
      <c r="H153" s="371"/>
      <c r="I153" s="371"/>
      <c r="J153" s="371"/>
      <c r="K153" s="371"/>
      <c r="L153" s="371"/>
      <c r="M153" s="371"/>
      <c r="N153" s="371"/>
      <c r="O153" s="371"/>
      <c r="P153" s="371"/>
      <c r="Q153" s="371"/>
      <c r="R153" s="371"/>
      <c r="S153" s="371"/>
      <c r="T153" s="371"/>
      <c r="U153" s="371"/>
      <c r="V153" s="371"/>
    </row>
    <row r="154">
      <c r="A154" s="371"/>
      <c r="B154" s="307"/>
      <c r="C154" s="307"/>
      <c r="D154" s="307"/>
      <c r="E154" s="371"/>
      <c r="F154" s="307"/>
      <c r="G154" s="477"/>
      <c r="H154" s="371"/>
      <c r="I154" s="371"/>
      <c r="J154" s="371"/>
      <c r="K154" s="371"/>
      <c r="L154" s="371"/>
      <c r="M154" s="371"/>
      <c r="N154" s="371"/>
      <c r="O154" s="371"/>
      <c r="P154" s="371"/>
      <c r="Q154" s="371"/>
      <c r="R154" s="371"/>
      <c r="S154" s="371"/>
      <c r="T154" s="371"/>
      <c r="U154" s="371"/>
      <c r="V154" s="371"/>
    </row>
    <row r="155">
      <c r="A155" s="371"/>
      <c r="B155" s="307"/>
      <c r="C155" s="307"/>
      <c r="D155" s="307"/>
      <c r="E155" s="371"/>
      <c r="F155" s="307"/>
      <c r="G155" s="477"/>
      <c r="H155" s="371"/>
      <c r="I155" s="371"/>
      <c r="J155" s="371"/>
      <c r="K155" s="371"/>
      <c r="L155" s="371"/>
      <c r="M155" s="371"/>
      <c r="N155" s="371"/>
      <c r="O155" s="371"/>
      <c r="P155" s="371"/>
      <c r="Q155" s="371"/>
      <c r="R155" s="371"/>
      <c r="S155" s="371"/>
      <c r="T155" s="371"/>
      <c r="U155" s="371"/>
      <c r="V155" s="371"/>
    </row>
    <row r="156">
      <c r="A156" s="371"/>
      <c r="B156" s="307"/>
      <c r="C156" s="307"/>
      <c r="D156" s="307"/>
      <c r="E156" s="371"/>
      <c r="F156" s="307"/>
      <c r="G156" s="477"/>
      <c r="H156" s="371"/>
      <c r="I156" s="371"/>
      <c r="J156" s="371"/>
      <c r="K156" s="371"/>
      <c r="L156" s="371"/>
      <c r="M156" s="371"/>
      <c r="N156" s="371"/>
      <c r="O156" s="371"/>
      <c r="P156" s="371"/>
      <c r="Q156" s="371"/>
      <c r="R156" s="371"/>
      <c r="S156" s="371"/>
      <c r="T156" s="371"/>
      <c r="U156" s="371"/>
      <c r="V156" s="371"/>
    </row>
    <row r="157">
      <c r="A157" s="371"/>
      <c r="B157" s="307"/>
      <c r="C157" s="307"/>
      <c r="D157" s="307"/>
      <c r="E157" s="371"/>
      <c r="F157" s="307"/>
      <c r="G157" s="477"/>
      <c r="H157" s="371"/>
      <c r="I157" s="371"/>
      <c r="J157" s="371"/>
      <c r="K157" s="371"/>
      <c r="L157" s="371"/>
      <c r="M157" s="371"/>
      <c r="N157" s="371"/>
      <c r="O157" s="371"/>
      <c r="P157" s="371"/>
      <c r="Q157" s="371"/>
      <c r="R157" s="371"/>
      <c r="S157" s="371"/>
      <c r="T157" s="371"/>
      <c r="U157" s="371"/>
      <c r="V157" s="371"/>
    </row>
    <row r="158">
      <c r="A158" s="371"/>
      <c r="B158" s="307"/>
      <c r="C158" s="307"/>
      <c r="D158" s="307"/>
      <c r="E158" s="371"/>
      <c r="F158" s="307"/>
      <c r="G158" s="477"/>
      <c r="H158" s="371"/>
      <c r="I158" s="371"/>
      <c r="J158" s="371"/>
      <c r="K158" s="371"/>
      <c r="L158" s="371"/>
      <c r="M158" s="371"/>
      <c r="N158" s="371"/>
      <c r="O158" s="371"/>
      <c r="P158" s="371"/>
      <c r="Q158" s="371"/>
      <c r="R158" s="371"/>
      <c r="S158" s="371"/>
      <c r="T158" s="371"/>
      <c r="U158" s="371"/>
      <c r="V158" s="371"/>
    </row>
    <row r="159">
      <c r="A159" s="371"/>
      <c r="B159" s="307"/>
      <c r="C159" s="307"/>
      <c r="D159" s="307"/>
      <c r="E159" s="371"/>
      <c r="F159" s="307"/>
      <c r="G159" s="477"/>
      <c r="H159" s="371"/>
      <c r="I159" s="371"/>
      <c r="J159" s="371"/>
      <c r="K159" s="371"/>
      <c r="L159" s="371"/>
      <c r="M159" s="371"/>
      <c r="N159" s="371"/>
      <c r="O159" s="371"/>
      <c r="P159" s="371"/>
      <c r="Q159" s="371"/>
      <c r="R159" s="371"/>
      <c r="S159" s="371"/>
      <c r="T159" s="371"/>
      <c r="U159" s="371"/>
      <c r="V159" s="371"/>
    </row>
    <row r="160">
      <c r="A160" s="371"/>
      <c r="B160" s="307"/>
      <c r="C160" s="307"/>
      <c r="D160" s="307"/>
      <c r="E160" s="371"/>
      <c r="F160" s="307"/>
      <c r="G160" s="477"/>
      <c r="H160" s="371"/>
      <c r="I160" s="371"/>
      <c r="J160" s="371"/>
      <c r="K160" s="371"/>
      <c r="L160" s="371"/>
      <c r="M160" s="371"/>
      <c r="N160" s="371"/>
      <c r="O160" s="371"/>
      <c r="P160" s="371"/>
      <c r="Q160" s="371"/>
      <c r="R160" s="371"/>
      <c r="S160" s="371"/>
      <c r="T160" s="371"/>
      <c r="U160" s="371"/>
      <c r="V160" s="371"/>
    </row>
    <row r="161">
      <c r="A161" s="371"/>
      <c r="B161" s="307"/>
      <c r="C161" s="307"/>
      <c r="D161" s="307"/>
      <c r="E161" s="371"/>
      <c r="F161" s="307"/>
      <c r="G161" s="477"/>
      <c r="H161" s="371"/>
      <c r="I161" s="371"/>
      <c r="J161" s="371"/>
      <c r="K161" s="371"/>
      <c r="L161" s="371"/>
      <c r="M161" s="371"/>
      <c r="N161" s="371"/>
      <c r="O161" s="371"/>
      <c r="P161" s="371"/>
      <c r="Q161" s="371"/>
      <c r="R161" s="371"/>
      <c r="S161" s="371"/>
      <c r="T161" s="371"/>
      <c r="U161" s="371"/>
      <c r="V161" s="371"/>
    </row>
    <row r="162">
      <c r="A162" s="371"/>
      <c r="B162" s="307"/>
      <c r="C162" s="307"/>
      <c r="D162" s="307"/>
      <c r="E162" s="371"/>
      <c r="F162" s="307"/>
      <c r="G162" s="477"/>
      <c r="H162" s="371"/>
      <c r="I162" s="371"/>
      <c r="J162" s="371"/>
      <c r="K162" s="371"/>
      <c r="L162" s="371"/>
      <c r="M162" s="371"/>
      <c r="N162" s="371"/>
      <c r="O162" s="371"/>
      <c r="P162" s="371"/>
      <c r="Q162" s="371"/>
      <c r="R162" s="371"/>
      <c r="S162" s="371"/>
      <c r="T162" s="371"/>
      <c r="U162" s="371"/>
      <c r="V162" s="371"/>
    </row>
    <row r="163">
      <c r="A163" s="371"/>
      <c r="B163" s="307"/>
      <c r="C163" s="307"/>
      <c r="D163" s="307"/>
      <c r="E163" s="371"/>
      <c r="F163" s="307"/>
      <c r="G163" s="477"/>
      <c r="H163" s="371"/>
      <c r="I163" s="371"/>
      <c r="J163" s="371"/>
      <c r="K163" s="371"/>
      <c r="L163" s="371"/>
      <c r="M163" s="371"/>
      <c r="N163" s="371"/>
      <c r="O163" s="371"/>
      <c r="P163" s="371"/>
      <c r="Q163" s="371"/>
      <c r="R163" s="371"/>
      <c r="S163" s="371"/>
      <c r="T163" s="371"/>
      <c r="U163" s="371"/>
      <c r="V163" s="371"/>
    </row>
    <row r="164">
      <c r="A164" s="371"/>
      <c r="B164" s="307"/>
      <c r="C164" s="307"/>
      <c r="D164" s="307"/>
      <c r="E164" s="371"/>
      <c r="F164" s="307"/>
      <c r="G164" s="477"/>
      <c r="H164" s="371"/>
      <c r="I164" s="371"/>
      <c r="J164" s="371"/>
      <c r="K164" s="371"/>
      <c r="L164" s="371"/>
      <c r="M164" s="371"/>
      <c r="N164" s="371"/>
      <c r="O164" s="371"/>
      <c r="P164" s="371"/>
      <c r="Q164" s="371"/>
      <c r="R164" s="371"/>
      <c r="S164" s="371"/>
      <c r="T164" s="371"/>
      <c r="U164" s="371"/>
      <c r="V164" s="371"/>
    </row>
    <row r="165">
      <c r="A165" s="371"/>
      <c r="B165" s="307"/>
      <c r="C165" s="307"/>
      <c r="D165" s="307"/>
      <c r="E165" s="371"/>
      <c r="F165" s="307"/>
      <c r="G165" s="477"/>
      <c r="H165" s="371"/>
      <c r="I165" s="371"/>
      <c r="J165" s="371"/>
      <c r="K165" s="371"/>
      <c r="L165" s="371"/>
      <c r="M165" s="371"/>
      <c r="N165" s="371"/>
      <c r="O165" s="371"/>
      <c r="P165" s="371"/>
      <c r="Q165" s="371"/>
      <c r="R165" s="371"/>
      <c r="S165" s="371"/>
      <c r="T165" s="371"/>
      <c r="U165" s="371"/>
      <c r="V165" s="371"/>
    </row>
    <row r="166">
      <c r="A166" s="371"/>
      <c r="B166" s="307"/>
      <c r="C166" s="307"/>
      <c r="D166" s="307"/>
      <c r="E166" s="371"/>
      <c r="F166" s="307"/>
      <c r="G166" s="477"/>
      <c r="H166" s="371"/>
      <c r="I166" s="371"/>
      <c r="J166" s="371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  <c r="U166" s="371"/>
      <c r="V166" s="371"/>
    </row>
    <row r="167">
      <c r="A167" s="371"/>
      <c r="B167" s="307"/>
      <c r="C167" s="307"/>
      <c r="D167" s="307"/>
      <c r="E167" s="371"/>
      <c r="F167" s="307"/>
      <c r="G167" s="477"/>
      <c r="H167" s="371"/>
      <c r="I167" s="371"/>
      <c r="J167" s="371"/>
      <c r="K167" s="371"/>
      <c r="L167" s="371"/>
      <c r="M167" s="371"/>
      <c r="N167" s="371"/>
      <c r="O167" s="371"/>
      <c r="P167" s="371"/>
      <c r="Q167" s="371"/>
      <c r="R167" s="371"/>
      <c r="S167" s="371"/>
      <c r="T167" s="371"/>
      <c r="U167" s="371"/>
      <c r="V167" s="371"/>
    </row>
    <row r="168">
      <c r="A168" s="371"/>
      <c r="B168" s="307"/>
      <c r="C168" s="307"/>
      <c r="D168" s="307"/>
      <c r="E168" s="371"/>
      <c r="F168" s="307"/>
      <c r="G168" s="477"/>
      <c r="H168" s="371"/>
      <c r="I168" s="371"/>
      <c r="J168" s="371"/>
      <c r="K168" s="371"/>
      <c r="L168" s="371"/>
      <c r="M168" s="371"/>
      <c r="N168" s="371"/>
      <c r="O168" s="371"/>
      <c r="P168" s="371"/>
      <c r="Q168" s="371"/>
      <c r="R168" s="371"/>
      <c r="S168" s="371"/>
      <c r="T168" s="371"/>
      <c r="U168" s="371"/>
      <c r="V168" s="371"/>
    </row>
    <row r="169">
      <c r="A169" s="371"/>
      <c r="B169" s="307"/>
      <c r="C169" s="307"/>
      <c r="D169" s="307"/>
      <c r="E169" s="371"/>
      <c r="F169" s="307"/>
      <c r="G169" s="477"/>
      <c r="H169" s="371"/>
      <c r="I169" s="371"/>
      <c r="J169" s="371"/>
      <c r="K169" s="371"/>
      <c r="L169" s="371"/>
      <c r="M169" s="371"/>
      <c r="N169" s="371"/>
      <c r="O169" s="371"/>
      <c r="P169" s="371"/>
      <c r="Q169" s="371"/>
      <c r="R169" s="371"/>
      <c r="S169" s="371"/>
      <c r="T169" s="371"/>
      <c r="U169" s="371"/>
      <c r="V169" s="371"/>
    </row>
    <row r="170">
      <c r="A170" s="371"/>
      <c r="B170" s="307"/>
      <c r="C170" s="307"/>
      <c r="D170" s="307"/>
      <c r="E170" s="371"/>
      <c r="F170" s="307"/>
      <c r="G170" s="477"/>
      <c r="H170" s="371"/>
      <c r="I170" s="371"/>
      <c r="J170" s="371"/>
      <c r="K170" s="371"/>
      <c r="L170" s="371"/>
      <c r="M170" s="371"/>
      <c r="N170" s="371"/>
      <c r="O170" s="371"/>
      <c r="P170" s="371"/>
      <c r="Q170" s="371"/>
      <c r="R170" s="371"/>
      <c r="S170" s="371"/>
      <c r="T170" s="371"/>
      <c r="U170" s="371"/>
      <c r="V170" s="371"/>
    </row>
    <row r="171">
      <c r="A171" s="371"/>
      <c r="B171" s="307"/>
      <c r="C171" s="307"/>
      <c r="D171" s="307"/>
      <c r="E171" s="371"/>
      <c r="F171" s="307"/>
      <c r="G171" s="477"/>
      <c r="H171" s="371"/>
      <c r="I171" s="371"/>
      <c r="J171" s="371"/>
      <c r="K171" s="371"/>
      <c r="L171" s="371"/>
      <c r="M171" s="371"/>
      <c r="N171" s="371"/>
      <c r="O171" s="371"/>
      <c r="P171" s="371"/>
      <c r="Q171" s="371"/>
      <c r="R171" s="371"/>
      <c r="S171" s="371"/>
      <c r="T171" s="371"/>
      <c r="U171" s="371"/>
      <c r="V171" s="371"/>
    </row>
    <row r="172">
      <c r="A172" s="371"/>
      <c r="B172" s="307"/>
      <c r="C172" s="307"/>
      <c r="D172" s="307"/>
      <c r="E172" s="371"/>
      <c r="F172" s="307"/>
      <c r="G172" s="477"/>
      <c r="H172" s="371"/>
      <c r="I172" s="371"/>
      <c r="J172" s="371"/>
      <c r="K172" s="371"/>
      <c r="L172" s="371"/>
      <c r="M172" s="371"/>
      <c r="N172" s="371"/>
      <c r="O172" s="371"/>
      <c r="P172" s="371"/>
      <c r="Q172" s="371"/>
      <c r="R172" s="371"/>
      <c r="S172" s="371"/>
      <c r="T172" s="371"/>
      <c r="U172" s="371"/>
      <c r="V172" s="371"/>
    </row>
    <row r="173">
      <c r="A173" s="371"/>
      <c r="B173" s="307"/>
      <c r="C173" s="307"/>
      <c r="D173" s="307"/>
      <c r="E173" s="371"/>
      <c r="F173" s="307"/>
      <c r="G173" s="477"/>
      <c r="H173" s="371"/>
      <c r="I173" s="371"/>
      <c r="J173" s="371"/>
      <c r="K173" s="371"/>
      <c r="L173" s="371"/>
      <c r="M173" s="371"/>
      <c r="N173" s="371"/>
      <c r="O173" s="371"/>
      <c r="P173" s="371"/>
      <c r="Q173" s="371"/>
      <c r="R173" s="371"/>
      <c r="S173" s="371"/>
      <c r="T173" s="371"/>
      <c r="U173" s="371"/>
      <c r="V173" s="371"/>
    </row>
    <row r="174">
      <c r="A174" s="371"/>
      <c r="B174" s="307"/>
      <c r="C174" s="307"/>
      <c r="D174" s="307"/>
      <c r="E174" s="371"/>
      <c r="F174" s="307"/>
      <c r="G174" s="477"/>
      <c r="H174" s="371"/>
      <c r="I174" s="371"/>
      <c r="J174" s="371"/>
      <c r="K174" s="371"/>
      <c r="L174" s="371"/>
      <c r="M174" s="371"/>
      <c r="N174" s="371"/>
      <c r="O174" s="371"/>
      <c r="P174" s="371"/>
      <c r="Q174" s="371"/>
      <c r="R174" s="371"/>
      <c r="S174" s="371"/>
      <c r="T174" s="371"/>
      <c r="U174" s="371"/>
      <c r="V174" s="371"/>
    </row>
    <row r="175">
      <c r="A175" s="371"/>
      <c r="B175" s="307"/>
      <c r="C175" s="307"/>
      <c r="D175" s="307"/>
      <c r="E175" s="371"/>
      <c r="F175" s="307"/>
      <c r="G175" s="477"/>
      <c r="H175" s="371"/>
      <c r="I175" s="371"/>
      <c r="J175" s="371"/>
      <c r="K175" s="371"/>
      <c r="L175" s="371"/>
      <c r="M175" s="371"/>
      <c r="N175" s="371"/>
      <c r="O175" s="371"/>
      <c r="P175" s="371"/>
      <c r="Q175" s="371"/>
      <c r="R175" s="371"/>
      <c r="S175" s="371"/>
      <c r="T175" s="371"/>
      <c r="U175" s="371"/>
      <c r="V175" s="371"/>
    </row>
    <row r="176">
      <c r="A176" s="371"/>
      <c r="B176" s="307"/>
      <c r="C176" s="307"/>
      <c r="D176" s="307"/>
      <c r="E176" s="371"/>
      <c r="F176" s="307"/>
      <c r="G176" s="477"/>
      <c r="H176" s="371"/>
      <c r="I176" s="371"/>
      <c r="J176" s="371"/>
      <c r="K176" s="371"/>
      <c r="L176" s="371"/>
      <c r="M176" s="371"/>
      <c r="N176" s="371"/>
      <c r="O176" s="371"/>
      <c r="P176" s="371"/>
      <c r="Q176" s="371"/>
      <c r="R176" s="371"/>
      <c r="S176" s="371"/>
      <c r="T176" s="371"/>
      <c r="U176" s="371"/>
      <c r="V176" s="371"/>
    </row>
    <row r="177">
      <c r="A177" s="371"/>
      <c r="B177" s="307"/>
      <c r="C177" s="307"/>
      <c r="D177" s="307"/>
      <c r="E177" s="371"/>
      <c r="F177" s="307"/>
      <c r="G177" s="477"/>
      <c r="H177" s="371"/>
      <c r="I177" s="371"/>
      <c r="J177" s="371"/>
      <c r="K177" s="371"/>
      <c r="L177" s="371"/>
      <c r="M177" s="371"/>
      <c r="N177" s="371"/>
      <c r="O177" s="371"/>
      <c r="P177" s="371"/>
      <c r="Q177" s="371"/>
      <c r="R177" s="371"/>
      <c r="S177" s="371"/>
      <c r="T177" s="371"/>
      <c r="U177" s="371"/>
      <c r="V177" s="371"/>
    </row>
    <row r="178">
      <c r="A178" s="371"/>
      <c r="B178" s="307"/>
      <c r="C178" s="307"/>
      <c r="D178" s="307"/>
      <c r="E178" s="371"/>
      <c r="F178" s="307"/>
      <c r="G178" s="477"/>
      <c r="H178" s="371"/>
      <c r="I178" s="371"/>
      <c r="J178" s="371"/>
      <c r="K178" s="371"/>
      <c r="L178" s="371"/>
      <c r="M178" s="371"/>
      <c r="N178" s="371"/>
      <c r="O178" s="371"/>
      <c r="P178" s="371"/>
      <c r="Q178" s="371"/>
      <c r="R178" s="371"/>
      <c r="S178" s="371"/>
      <c r="T178" s="371"/>
      <c r="U178" s="371"/>
      <c r="V178" s="371"/>
    </row>
    <row r="179">
      <c r="A179" s="371"/>
      <c r="B179" s="307"/>
      <c r="C179" s="307"/>
      <c r="D179" s="307"/>
      <c r="E179" s="371"/>
      <c r="F179" s="307"/>
      <c r="G179" s="477"/>
      <c r="H179" s="371"/>
      <c r="I179" s="371"/>
      <c r="J179" s="371"/>
      <c r="K179" s="371"/>
      <c r="L179" s="371"/>
      <c r="M179" s="371"/>
      <c r="N179" s="371"/>
      <c r="O179" s="371"/>
      <c r="P179" s="371"/>
      <c r="Q179" s="371"/>
      <c r="R179" s="371"/>
      <c r="S179" s="371"/>
      <c r="T179" s="371"/>
      <c r="U179" s="371"/>
      <c r="V179" s="371"/>
    </row>
    <row r="180">
      <c r="A180" s="371"/>
      <c r="B180" s="307"/>
      <c r="C180" s="307"/>
      <c r="D180" s="307"/>
      <c r="E180" s="371"/>
      <c r="F180" s="307"/>
      <c r="G180" s="477"/>
      <c r="H180" s="371"/>
      <c r="I180" s="371"/>
      <c r="J180" s="371"/>
      <c r="K180" s="371"/>
      <c r="L180" s="371"/>
      <c r="M180" s="371"/>
      <c r="N180" s="371"/>
      <c r="O180" s="371"/>
      <c r="P180" s="371"/>
      <c r="Q180" s="371"/>
      <c r="R180" s="371"/>
      <c r="S180" s="371"/>
      <c r="T180" s="371"/>
      <c r="U180" s="371"/>
      <c r="V180" s="371"/>
    </row>
    <row r="181">
      <c r="A181" s="371"/>
      <c r="B181" s="307"/>
      <c r="C181" s="307"/>
      <c r="D181" s="307"/>
      <c r="E181" s="371"/>
      <c r="F181" s="307"/>
      <c r="G181" s="477"/>
      <c r="H181" s="371"/>
      <c r="I181" s="371"/>
      <c r="J181" s="371"/>
      <c r="K181" s="371"/>
      <c r="L181" s="371"/>
      <c r="M181" s="371"/>
      <c r="N181" s="371"/>
      <c r="O181" s="371"/>
      <c r="P181" s="371"/>
      <c r="Q181" s="371"/>
      <c r="R181" s="371"/>
      <c r="S181" s="371"/>
      <c r="T181" s="371"/>
      <c r="U181" s="371"/>
      <c r="V181" s="371"/>
    </row>
    <row r="182">
      <c r="A182" s="371"/>
      <c r="B182" s="307"/>
      <c r="C182" s="307"/>
      <c r="D182" s="307"/>
      <c r="E182" s="371"/>
      <c r="F182" s="307"/>
      <c r="G182" s="477"/>
      <c r="H182" s="371"/>
      <c r="I182" s="371"/>
      <c r="J182" s="371"/>
      <c r="K182" s="371"/>
      <c r="L182" s="371"/>
      <c r="M182" s="371"/>
      <c r="N182" s="371"/>
      <c r="O182" s="371"/>
      <c r="P182" s="371"/>
      <c r="Q182" s="371"/>
      <c r="R182" s="371"/>
      <c r="S182" s="371"/>
      <c r="T182" s="371"/>
      <c r="U182" s="371"/>
      <c r="V182" s="371"/>
    </row>
    <row r="183">
      <c r="A183" s="371"/>
      <c r="B183" s="307"/>
      <c r="C183" s="307"/>
      <c r="D183" s="307"/>
      <c r="E183" s="371"/>
      <c r="F183" s="307"/>
      <c r="G183" s="477"/>
      <c r="H183" s="371"/>
      <c r="I183" s="371"/>
      <c r="J183" s="371"/>
      <c r="K183" s="371"/>
      <c r="L183" s="371"/>
      <c r="M183" s="371"/>
      <c r="N183" s="371"/>
      <c r="O183" s="371"/>
      <c r="P183" s="371"/>
      <c r="Q183" s="371"/>
      <c r="R183" s="371"/>
      <c r="S183" s="371"/>
      <c r="T183" s="371"/>
      <c r="U183" s="371"/>
      <c r="V183" s="371"/>
    </row>
    <row r="184">
      <c r="A184" s="371"/>
      <c r="B184" s="307"/>
      <c r="C184" s="307"/>
      <c r="D184" s="307"/>
      <c r="E184" s="371"/>
      <c r="F184" s="307"/>
      <c r="G184" s="477"/>
      <c r="H184" s="371"/>
      <c r="I184" s="371"/>
      <c r="J184" s="371"/>
      <c r="K184" s="371"/>
      <c r="L184" s="371"/>
      <c r="M184" s="371"/>
      <c r="N184" s="371"/>
      <c r="O184" s="371"/>
      <c r="P184" s="371"/>
      <c r="Q184" s="371"/>
      <c r="R184" s="371"/>
      <c r="S184" s="371"/>
      <c r="T184" s="371"/>
      <c r="U184" s="371"/>
      <c r="V184" s="371"/>
    </row>
    <row r="185">
      <c r="A185" s="371"/>
      <c r="B185" s="307"/>
      <c r="C185" s="307"/>
      <c r="D185" s="307"/>
      <c r="E185" s="371"/>
      <c r="F185" s="307"/>
      <c r="G185" s="477"/>
      <c r="H185" s="371"/>
      <c r="I185" s="371"/>
      <c r="J185" s="371"/>
      <c r="K185" s="371"/>
      <c r="L185" s="371"/>
      <c r="M185" s="371"/>
      <c r="N185" s="371"/>
      <c r="O185" s="371"/>
      <c r="P185" s="371"/>
      <c r="Q185" s="371"/>
      <c r="R185" s="371"/>
      <c r="S185" s="371"/>
      <c r="T185" s="371"/>
      <c r="U185" s="371"/>
      <c r="V185" s="371"/>
    </row>
    <row r="186">
      <c r="A186" s="371"/>
      <c r="B186" s="307"/>
      <c r="C186" s="307"/>
      <c r="D186" s="307"/>
      <c r="E186" s="371"/>
      <c r="F186" s="307"/>
      <c r="G186" s="477"/>
      <c r="H186" s="371"/>
      <c r="I186" s="371"/>
      <c r="J186" s="371"/>
      <c r="K186" s="371"/>
      <c r="L186" s="371"/>
      <c r="M186" s="371"/>
      <c r="N186" s="371"/>
      <c r="O186" s="371"/>
      <c r="P186" s="371"/>
      <c r="Q186" s="371"/>
      <c r="R186" s="371"/>
      <c r="S186" s="371"/>
      <c r="T186" s="371"/>
      <c r="U186" s="371"/>
      <c r="V186" s="371"/>
    </row>
    <row r="187">
      <c r="A187" s="371"/>
      <c r="B187" s="307"/>
      <c r="C187" s="307"/>
      <c r="D187" s="307"/>
      <c r="E187" s="371"/>
      <c r="F187" s="307"/>
      <c r="G187" s="477"/>
      <c r="H187" s="371"/>
      <c r="I187" s="371"/>
      <c r="J187" s="371"/>
      <c r="K187" s="371"/>
      <c r="L187" s="371"/>
      <c r="M187" s="371"/>
      <c r="N187" s="371"/>
      <c r="O187" s="371"/>
      <c r="P187" s="371"/>
      <c r="Q187" s="371"/>
      <c r="R187" s="371"/>
      <c r="S187" s="371"/>
      <c r="T187" s="371"/>
      <c r="U187" s="371"/>
      <c r="V187" s="371"/>
    </row>
    <row r="188">
      <c r="A188" s="371"/>
      <c r="B188" s="307"/>
      <c r="C188" s="307"/>
      <c r="D188" s="307"/>
      <c r="E188" s="371"/>
      <c r="F188" s="307"/>
      <c r="G188" s="477"/>
      <c r="H188" s="371"/>
      <c r="I188" s="371"/>
      <c r="J188" s="371"/>
      <c r="K188" s="371"/>
      <c r="L188" s="371"/>
      <c r="M188" s="371"/>
      <c r="N188" s="371"/>
      <c r="O188" s="371"/>
      <c r="P188" s="371"/>
      <c r="Q188" s="371"/>
      <c r="R188" s="371"/>
      <c r="S188" s="371"/>
      <c r="T188" s="371"/>
      <c r="U188" s="371"/>
      <c r="V188" s="371"/>
    </row>
    <row r="189">
      <c r="A189" s="371"/>
      <c r="B189" s="307"/>
      <c r="C189" s="307"/>
      <c r="D189" s="307"/>
      <c r="E189" s="371"/>
      <c r="F189" s="307"/>
      <c r="G189" s="477"/>
      <c r="H189" s="371"/>
      <c r="I189" s="371"/>
      <c r="J189" s="371"/>
      <c r="K189" s="371"/>
      <c r="L189" s="371"/>
      <c r="M189" s="371"/>
      <c r="N189" s="371"/>
      <c r="O189" s="371"/>
      <c r="P189" s="371"/>
      <c r="Q189" s="371"/>
      <c r="R189" s="371"/>
      <c r="S189" s="371"/>
      <c r="T189" s="371"/>
      <c r="U189" s="371"/>
      <c r="V189" s="371"/>
    </row>
    <row r="190">
      <c r="A190" s="371"/>
      <c r="B190" s="307"/>
      <c r="C190" s="307"/>
      <c r="D190" s="307"/>
      <c r="E190" s="371"/>
      <c r="F190" s="307"/>
      <c r="G190" s="477"/>
      <c r="H190" s="371"/>
      <c r="I190" s="371"/>
      <c r="J190" s="371"/>
      <c r="K190" s="371"/>
      <c r="L190" s="371"/>
      <c r="M190" s="371"/>
      <c r="N190" s="371"/>
      <c r="O190" s="371"/>
      <c r="P190" s="371"/>
      <c r="Q190" s="371"/>
      <c r="R190" s="371"/>
      <c r="S190" s="371"/>
      <c r="T190" s="371"/>
      <c r="U190" s="371"/>
      <c r="V190" s="371"/>
    </row>
    <row r="191">
      <c r="A191" s="371"/>
      <c r="B191" s="307"/>
      <c r="C191" s="307"/>
      <c r="D191" s="307"/>
      <c r="E191" s="371"/>
      <c r="F191" s="307"/>
      <c r="G191" s="477"/>
      <c r="H191" s="371"/>
      <c r="I191" s="371"/>
      <c r="J191" s="371"/>
      <c r="K191" s="371"/>
      <c r="L191" s="371"/>
      <c r="M191" s="371"/>
      <c r="N191" s="371"/>
      <c r="O191" s="371"/>
      <c r="P191" s="371"/>
      <c r="Q191" s="371"/>
      <c r="R191" s="371"/>
      <c r="S191" s="371"/>
      <c r="T191" s="371"/>
      <c r="U191" s="371"/>
      <c r="V191" s="371"/>
    </row>
    <row r="192">
      <c r="A192" s="371"/>
      <c r="B192" s="307"/>
      <c r="C192" s="307"/>
      <c r="D192" s="307"/>
      <c r="E192" s="371"/>
      <c r="F192" s="307"/>
      <c r="G192" s="477"/>
      <c r="H192" s="371"/>
      <c r="I192" s="371"/>
      <c r="J192" s="371"/>
      <c r="K192" s="371"/>
      <c r="L192" s="371"/>
      <c r="M192" s="371"/>
      <c r="N192" s="371"/>
      <c r="O192" s="371"/>
      <c r="P192" s="371"/>
      <c r="Q192" s="371"/>
      <c r="R192" s="371"/>
      <c r="S192" s="371"/>
      <c r="T192" s="371"/>
      <c r="U192" s="371"/>
      <c r="V192" s="371"/>
    </row>
    <row r="193">
      <c r="A193" s="371"/>
      <c r="B193" s="307"/>
      <c r="C193" s="307"/>
      <c r="D193" s="307"/>
      <c r="E193" s="371"/>
      <c r="F193" s="307"/>
      <c r="G193" s="477"/>
      <c r="H193" s="371"/>
      <c r="I193" s="371"/>
      <c r="J193" s="371"/>
      <c r="K193" s="371"/>
      <c r="L193" s="371"/>
      <c r="M193" s="371"/>
      <c r="N193" s="371"/>
      <c r="O193" s="371"/>
      <c r="P193" s="371"/>
      <c r="Q193" s="371"/>
      <c r="R193" s="371"/>
      <c r="S193" s="371"/>
      <c r="T193" s="371"/>
      <c r="U193" s="371"/>
      <c r="V193" s="371"/>
    </row>
    <row r="194">
      <c r="A194" s="371"/>
      <c r="B194" s="307"/>
      <c r="C194" s="307"/>
      <c r="D194" s="307"/>
      <c r="E194" s="371"/>
      <c r="F194" s="307"/>
      <c r="G194" s="477"/>
      <c r="H194" s="371"/>
      <c r="I194" s="371"/>
      <c r="J194" s="371"/>
      <c r="K194" s="371"/>
      <c r="L194" s="371"/>
      <c r="M194" s="371"/>
      <c r="N194" s="371"/>
      <c r="O194" s="371"/>
      <c r="P194" s="371"/>
      <c r="Q194" s="371"/>
      <c r="R194" s="371"/>
      <c r="S194" s="371"/>
      <c r="T194" s="371"/>
      <c r="U194" s="371"/>
      <c r="V194" s="371"/>
    </row>
    <row r="195">
      <c r="A195" s="371"/>
      <c r="B195" s="307"/>
      <c r="C195" s="307"/>
      <c r="D195" s="307"/>
      <c r="E195" s="371"/>
      <c r="F195" s="307"/>
      <c r="G195" s="477"/>
      <c r="H195" s="371"/>
      <c r="I195" s="371"/>
      <c r="J195" s="371"/>
      <c r="K195" s="371"/>
      <c r="L195" s="371"/>
      <c r="M195" s="371"/>
      <c r="N195" s="371"/>
      <c r="O195" s="371"/>
      <c r="P195" s="371"/>
      <c r="Q195" s="371"/>
      <c r="R195" s="371"/>
      <c r="S195" s="371"/>
      <c r="T195" s="371"/>
      <c r="U195" s="371"/>
      <c r="V195" s="371"/>
    </row>
    <row r="196">
      <c r="A196" s="371"/>
      <c r="B196" s="307"/>
      <c r="C196" s="307"/>
      <c r="D196" s="307"/>
      <c r="E196" s="371"/>
      <c r="F196" s="307"/>
      <c r="G196" s="477"/>
      <c r="H196" s="371"/>
      <c r="I196" s="371"/>
      <c r="J196" s="371"/>
      <c r="K196" s="371"/>
      <c r="L196" s="371"/>
      <c r="M196" s="371"/>
      <c r="N196" s="371"/>
      <c r="O196" s="371"/>
      <c r="P196" s="371"/>
      <c r="Q196" s="371"/>
      <c r="R196" s="371"/>
      <c r="S196" s="371"/>
      <c r="T196" s="371"/>
      <c r="U196" s="371"/>
      <c r="V196" s="371"/>
    </row>
    <row r="197">
      <c r="A197" s="371"/>
      <c r="B197" s="307"/>
      <c r="C197" s="307"/>
      <c r="D197" s="307"/>
      <c r="E197" s="371"/>
      <c r="F197" s="307"/>
      <c r="G197" s="477"/>
      <c r="H197" s="371"/>
      <c r="I197" s="371"/>
      <c r="J197" s="371"/>
      <c r="K197" s="371"/>
      <c r="L197" s="371"/>
      <c r="M197" s="371"/>
      <c r="N197" s="371"/>
      <c r="O197" s="371"/>
      <c r="P197" s="371"/>
      <c r="Q197" s="371"/>
      <c r="R197" s="371"/>
      <c r="S197" s="371"/>
      <c r="T197" s="371"/>
      <c r="U197" s="371"/>
      <c r="V197" s="371"/>
    </row>
    <row r="198">
      <c r="A198" s="371"/>
      <c r="B198" s="307"/>
      <c r="C198" s="307"/>
      <c r="D198" s="307"/>
      <c r="E198" s="371"/>
      <c r="F198" s="307"/>
      <c r="G198" s="477"/>
      <c r="H198" s="371"/>
      <c r="I198" s="371"/>
      <c r="J198" s="371"/>
      <c r="K198" s="371"/>
      <c r="L198" s="371"/>
      <c r="M198" s="371"/>
      <c r="N198" s="371"/>
      <c r="O198" s="371"/>
      <c r="P198" s="371"/>
      <c r="Q198" s="371"/>
      <c r="R198" s="371"/>
      <c r="S198" s="371"/>
      <c r="T198" s="371"/>
      <c r="U198" s="371"/>
      <c r="V198" s="371"/>
    </row>
    <row r="199">
      <c r="A199" s="371"/>
      <c r="B199" s="307"/>
      <c r="C199" s="307"/>
      <c r="D199" s="307"/>
      <c r="E199" s="371"/>
      <c r="F199" s="307"/>
      <c r="G199" s="477"/>
      <c r="H199" s="371"/>
      <c r="I199" s="371"/>
      <c r="J199" s="371"/>
      <c r="K199" s="371"/>
      <c r="L199" s="371"/>
      <c r="M199" s="371"/>
      <c r="N199" s="371"/>
      <c r="O199" s="371"/>
      <c r="P199" s="371"/>
      <c r="Q199" s="371"/>
      <c r="R199" s="371"/>
      <c r="S199" s="371"/>
      <c r="T199" s="371"/>
      <c r="U199" s="371"/>
      <c r="V199" s="371"/>
    </row>
    <row r="200">
      <c r="A200" s="371"/>
      <c r="B200" s="307"/>
      <c r="C200" s="307"/>
      <c r="D200" s="307"/>
      <c r="E200" s="371"/>
      <c r="F200" s="307"/>
      <c r="G200" s="477"/>
      <c r="H200" s="371"/>
      <c r="I200" s="371"/>
      <c r="J200" s="371"/>
      <c r="K200" s="371"/>
      <c r="L200" s="371"/>
      <c r="M200" s="371"/>
      <c r="N200" s="371"/>
      <c r="O200" s="371"/>
      <c r="P200" s="371"/>
      <c r="Q200" s="371"/>
      <c r="R200" s="371"/>
      <c r="S200" s="371"/>
      <c r="T200" s="371"/>
      <c r="U200" s="371"/>
      <c r="V200" s="371"/>
    </row>
    <row r="201">
      <c r="A201" s="371"/>
      <c r="B201" s="307"/>
      <c r="C201" s="307"/>
      <c r="D201" s="307"/>
      <c r="E201" s="371"/>
      <c r="F201" s="307"/>
      <c r="G201" s="477"/>
      <c r="H201" s="371"/>
      <c r="I201" s="371"/>
      <c r="J201" s="371"/>
      <c r="K201" s="371"/>
      <c r="L201" s="371"/>
      <c r="M201" s="371"/>
      <c r="N201" s="371"/>
      <c r="O201" s="371"/>
      <c r="P201" s="371"/>
      <c r="Q201" s="371"/>
      <c r="R201" s="371"/>
      <c r="S201" s="371"/>
      <c r="T201" s="371"/>
      <c r="U201" s="371"/>
      <c r="V201" s="371"/>
    </row>
    <row r="202">
      <c r="A202" s="371"/>
      <c r="B202" s="307"/>
      <c r="C202" s="307"/>
      <c r="D202" s="307"/>
      <c r="E202" s="371"/>
      <c r="F202" s="307"/>
      <c r="G202" s="477"/>
      <c r="H202" s="371"/>
      <c r="I202" s="371"/>
      <c r="J202" s="371"/>
      <c r="K202" s="371"/>
      <c r="L202" s="371"/>
      <c r="M202" s="371"/>
      <c r="N202" s="371"/>
      <c r="O202" s="371"/>
      <c r="P202" s="371"/>
      <c r="Q202" s="371"/>
      <c r="R202" s="371"/>
      <c r="S202" s="371"/>
      <c r="T202" s="371"/>
      <c r="U202" s="371"/>
      <c r="V202" s="371"/>
    </row>
    <row r="203">
      <c r="A203" s="371"/>
      <c r="B203" s="307"/>
      <c r="C203" s="307"/>
      <c r="D203" s="307"/>
      <c r="E203" s="371"/>
      <c r="F203" s="307"/>
      <c r="G203" s="477"/>
      <c r="H203" s="371"/>
      <c r="I203" s="371"/>
      <c r="J203" s="371"/>
      <c r="K203" s="371"/>
      <c r="L203" s="371"/>
      <c r="M203" s="371"/>
      <c r="N203" s="371"/>
      <c r="O203" s="371"/>
      <c r="P203" s="371"/>
      <c r="Q203" s="371"/>
      <c r="R203" s="371"/>
      <c r="S203" s="371"/>
      <c r="T203" s="371"/>
      <c r="U203" s="371"/>
      <c r="V203" s="371"/>
    </row>
    <row r="204">
      <c r="A204" s="371"/>
      <c r="B204" s="307"/>
      <c r="C204" s="307"/>
      <c r="D204" s="307"/>
      <c r="E204" s="371"/>
      <c r="F204" s="307"/>
      <c r="G204" s="477"/>
      <c r="H204" s="371"/>
      <c r="I204" s="371"/>
      <c r="J204" s="371"/>
      <c r="K204" s="371"/>
      <c r="L204" s="371"/>
      <c r="M204" s="371"/>
      <c r="N204" s="371"/>
      <c r="O204" s="371"/>
      <c r="P204" s="371"/>
      <c r="Q204" s="371"/>
      <c r="R204" s="371"/>
      <c r="S204" s="371"/>
      <c r="T204" s="371"/>
      <c r="U204" s="371"/>
      <c r="V204" s="371"/>
    </row>
    <row r="205">
      <c r="A205" s="371"/>
      <c r="B205" s="307"/>
      <c r="C205" s="307"/>
      <c r="D205" s="307"/>
      <c r="E205" s="371"/>
      <c r="F205" s="307"/>
      <c r="G205" s="477"/>
      <c r="H205" s="371"/>
      <c r="I205" s="371"/>
      <c r="J205" s="371"/>
      <c r="K205" s="371"/>
      <c r="L205" s="371"/>
      <c r="M205" s="371"/>
      <c r="N205" s="371"/>
      <c r="O205" s="371"/>
      <c r="P205" s="371"/>
      <c r="Q205" s="371"/>
      <c r="R205" s="371"/>
      <c r="S205" s="371"/>
      <c r="T205" s="371"/>
      <c r="U205" s="371"/>
      <c r="V205" s="371"/>
    </row>
    <row r="206">
      <c r="A206" s="371"/>
      <c r="B206" s="307"/>
      <c r="C206" s="307"/>
      <c r="D206" s="307"/>
      <c r="E206" s="371"/>
      <c r="F206" s="307"/>
      <c r="G206" s="477"/>
      <c r="H206" s="371"/>
      <c r="I206" s="371"/>
      <c r="J206" s="371"/>
      <c r="K206" s="371"/>
      <c r="L206" s="371"/>
      <c r="M206" s="371"/>
      <c r="N206" s="371"/>
      <c r="O206" s="371"/>
      <c r="P206" s="371"/>
      <c r="Q206" s="371"/>
      <c r="R206" s="371"/>
      <c r="S206" s="371"/>
      <c r="T206" s="371"/>
      <c r="U206" s="371"/>
      <c r="V206" s="371"/>
    </row>
    <row r="207">
      <c r="A207" s="371"/>
      <c r="B207" s="307"/>
      <c r="C207" s="307"/>
      <c r="D207" s="307"/>
      <c r="E207" s="371"/>
      <c r="F207" s="307"/>
      <c r="G207" s="477"/>
      <c r="H207" s="371"/>
      <c r="I207" s="371"/>
      <c r="J207" s="371"/>
      <c r="K207" s="371"/>
      <c r="L207" s="371"/>
      <c r="M207" s="371"/>
      <c r="N207" s="371"/>
      <c r="O207" s="371"/>
      <c r="P207" s="371"/>
      <c r="Q207" s="371"/>
      <c r="R207" s="371"/>
      <c r="S207" s="371"/>
      <c r="T207" s="371"/>
      <c r="U207" s="371"/>
      <c r="V207" s="371"/>
    </row>
    <row r="208">
      <c r="A208" s="371"/>
      <c r="B208" s="307"/>
      <c r="C208" s="307"/>
      <c r="D208" s="307"/>
      <c r="E208" s="371"/>
      <c r="F208" s="307"/>
      <c r="G208" s="477"/>
      <c r="H208" s="371"/>
      <c r="I208" s="371"/>
      <c r="J208" s="371"/>
      <c r="K208" s="371"/>
      <c r="L208" s="371"/>
      <c r="M208" s="371"/>
      <c r="N208" s="371"/>
      <c r="O208" s="371"/>
      <c r="P208" s="371"/>
      <c r="Q208" s="371"/>
      <c r="R208" s="371"/>
      <c r="S208" s="371"/>
      <c r="T208" s="371"/>
      <c r="U208" s="371"/>
      <c r="V208" s="371"/>
    </row>
    <row r="209">
      <c r="A209" s="371"/>
      <c r="B209" s="307"/>
      <c r="C209" s="307"/>
      <c r="D209" s="307"/>
      <c r="E209" s="371"/>
      <c r="F209" s="307"/>
      <c r="G209" s="477"/>
      <c r="H209" s="371"/>
      <c r="I209" s="371"/>
      <c r="J209" s="371"/>
      <c r="K209" s="371"/>
      <c r="L209" s="371"/>
      <c r="M209" s="371"/>
      <c r="N209" s="371"/>
      <c r="O209" s="371"/>
      <c r="P209" s="371"/>
      <c r="Q209" s="371"/>
      <c r="R209" s="371"/>
      <c r="S209" s="371"/>
      <c r="T209" s="371"/>
      <c r="U209" s="371"/>
      <c r="V209" s="371"/>
    </row>
    <row r="210">
      <c r="A210" s="371"/>
      <c r="B210" s="307"/>
      <c r="C210" s="307"/>
      <c r="D210" s="307"/>
      <c r="E210" s="371"/>
      <c r="F210" s="307"/>
      <c r="G210" s="477"/>
      <c r="H210" s="371"/>
      <c r="I210" s="371"/>
      <c r="J210" s="371"/>
      <c r="K210" s="371"/>
      <c r="L210" s="371"/>
      <c r="M210" s="371"/>
      <c r="N210" s="371"/>
      <c r="O210" s="371"/>
      <c r="P210" s="371"/>
      <c r="Q210" s="371"/>
      <c r="R210" s="371"/>
      <c r="S210" s="371"/>
      <c r="T210" s="371"/>
      <c r="U210" s="371"/>
      <c r="V210" s="371"/>
    </row>
    <row r="211">
      <c r="A211" s="371"/>
      <c r="B211" s="307"/>
      <c r="C211" s="307"/>
      <c r="D211" s="307"/>
      <c r="E211" s="371"/>
      <c r="F211" s="307"/>
      <c r="G211" s="477"/>
      <c r="H211" s="371"/>
      <c r="I211" s="371"/>
      <c r="J211" s="371"/>
      <c r="K211" s="371"/>
      <c r="L211" s="371"/>
      <c r="M211" s="371"/>
      <c r="N211" s="371"/>
      <c r="O211" s="371"/>
      <c r="P211" s="371"/>
      <c r="Q211" s="371"/>
      <c r="R211" s="371"/>
      <c r="S211" s="371"/>
      <c r="T211" s="371"/>
      <c r="U211" s="371"/>
      <c r="V211" s="371"/>
    </row>
    <row r="212">
      <c r="A212" s="371"/>
      <c r="B212" s="307"/>
      <c r="C212" s="307"/>
      <c r="D212" s="307"/>
      <c r="E212" s="371"/>
      <c r="F212" s="307"/>
      <c r="G212" s="477"/>
      <c r="H212" s="371"/>
      <c r="I212" s="371"/>
      <c r="J212" s="371"/>
      <c r="K212" s="371"/>
      <c r="L212" s="371"/>
      <c r="M212" s="371"/>
      <c r="N212" s="371"/>
      <c r="O212" s="371"/>
      <c r="P212" s="371"/>
      <c r="Q212" s="371"/>
      <c r="R212" s="371"/>
      <c r="S212" s="371"/>
      <c r="T212" s="371"/>
      <c r="U212" s="371"/>
      <c r="V212" s="371"/>
    </row>
    <row r="213">
      <c r="A213" s="371"/>
      <c r="B213" s="307"/>
      <c r="C213" s="307"/>
      <c r="D213" s="307"/>
      <c r="E213" s="371"/>
      <c r="F213" s="307"/>
      <c r="G213" s="477"/>
      <c r="H213" s="371"/>
      <c r="I213" s="371"/>
      <c r="J213" s="371"/>
      <c r="K213" s="371"/>
      <c r="L213" s="371"/>
      <c r="M213" s="371"/>
      <c r="N213" s="371"/>
      <c r="O213" s="371"/>
      <c r="P213" s="371"/>
      <c r="Q213" s="371"/>
      <c r="R213" s="371"/>
      <c r="S213" s="371"/>
      <c r="T213" s="371"/>
      <c r="U213" s="371"/>
      <c r="V213" s="371"/>
    </row>
    <row r="214">
      <c r="A214" s="371"/>
      <c r="B214" s="307"/>
      <c r="C214" s="307"/>
      <c r="D214" s="307"/>
      <c r="E214" s="371"/>
      <c r="F214" s="307"/>
      <c r="G214" s="477"/>
      <c r="H214" s="371"/>
      <c r="I214" s="371"/>
      <c r="J214" s="371"/>
      <c r="K214" s="371"/>
      <c r="L214" s="371"/>
      <c r="M214" s="371"/>
      <c r="N214" s="371"/>
      <c r="O214" s="371"/>
      <c r="P214" s="371"/>
      <c r="Q214" s="371"/>
      <c r="R214" s="371"/>
      <c r="S214" s="371"/>
      <c r="T214" s="371"/>
      <c r="U214" s="371"/>
      <c r="V214" s="371"/>
    </row>
    <row r="215">
      <c r="A215" s="371"/>
      <c r="B215" s="307"/>
      <c r="C215" s="307"/>
      <c r="D215" s="307"/>
      <c r="E215" s="371"/>
      <c r="F215" s="307"/>
      <c r="G215" s="477"/>
      <c r="H215" s="371"/>
      <c r="I215" s="371"/>
      <c r="J215" s="371"/>
      <c r="K215" s="371"/>
      <c r="L215" s="371"/>
      <c r="M215" s="371"/>
      <c r="N215" s="371"/>
      <c r="O215" s="371"/>
      <c r="P215" s="371"/>
      <c r="Q215" s="371"/>
      <c r="R215" s="371"/>
      <c r="S215" s="371"/>
      <c r="T215" s="371"/>
      <c r="U215" s="371"/>
      <c r="V215" s="371"/>
    </row>
    <row r="216">
      <c r="A216" s="371"/>
      <c r="B216" s="307"/>
      <c r="C216" s="307"/>
      <c r="D216" s="307"/>
      <c r="E216" s="371"/>
      <c r="F216" s="307"/>
      <c r="G216" s="477"/>
      <c r="H216" s="371"/>
      <c r="I216" s="371"/>
      <c r="J216" s="371"/>
      <c r="K216" s="371"/>
      <c r="L216" s="371"/>
      <c r="M216" s="371"/>
      <c r="N216" s="371"/>
      <c r="O216" s="371"/>
      <c r="P216" s="371"/>
      <c r="Q216" s="371"/>
      <c r="R216" s="371"/>
      <c r="S216" s="371"/>
      <c r="T216" s="371"/>
      <c r="U216" s="371"/>
      <c r="V216" s="371"/>
    </row>
    <row r="217">
      <c r="A217" s="371"/>
      <c r="B217" s="307"/>
      <c r="C217" s="307"/>
      <c r="D217" s="307"/>
      <c r="E217" s="371"/>
      <c r="F217" s="307"/>
      <c r="G217" s="477"/>
      <c r="H217" s="371"/>
      <c r="I217" s="371"/>
      <c r="J217" s="371"/>
      <c r="K217" s="371"/>
      <c r="L217" s="371"/>
      <c r="M217" s="371"/>
      <c r="N217" s="371"/>
      <c r="O217" s="371"/>
      <c r="P217" s="371"/>
      <c r="Q217" s="371"/>
      <c r="R217" s="371"/>
      <c r="S217" s="371"/>
      <c r="T217" s="371"/>
      <c r="U217" s="371"/>
      <c r="V217" s="371"/>
    </row>
    <row r="218">
      <c r="A218" s="371"/>
      <c r="B218" s="307"/>
      <c r="C218" s="307"/>
      <c r="D218" s="307"/>
      <c r="E218" s="371"/>
      <c r="F218" s="307"/>
      <c r="G218" s="477"/>
      <c r="H218" s="371"/>
      <c r="I218" s="371"/>
      <c r="J218" s="371"/>
      <c r="K218" s="371"/>
      <c r="L218" s="371"/>
      <c r="M218" s="371"/>
      <c r="N218" s="371"/>
      <c r="O218" s="371"/>
      <c r="P218" s="371"/>
      <c r="Q218" s="371"/>
      <c r="R218" s="371"/>
      <c r="S218" s="371"/>
      <c r="T218" s="371"/>
      <c r="U218" s="371"/>
      <c r="V218" s="371"/>
    </row>
    <row r="219">
      <c r="A219" s="371"/>
      <c r="B219" s="307"/>
      <c r="C219" s="307"/>
      <c r="D219" s="307"/>
      <c r="E219" s="371"/>
      <c r="F219" s="307"/>
      <c r="G219" s="477"/>
      <c r="H219" s="371"/>
      <c r="I219" s="371"/>
      <c r="J219" s="371"/>
      <c r="K219" s="371"/>
      <c r="L219" s="371"/>
      <c r="M219" s="371"/>
      <c r="N219" s="371"/>
      <c r="O219" s="371"/>
      <c r="P219" s="371"/>
      <c r="Q219" s="371"/>
      <c r="R219" s="371"/>
      <c r="S219" s="371"/>
      <c r="T219" s="371"/>
      <c r="U219" s="371"/>
      <c r="V219" s="371"/>
    </row>
    <row r="220">
      <c r="A220" s="371"/>
      <c r="B220" s="307"/>
      <c r="C220" s="307"/>
      <c r="D220" s="307"/>
      <c r="E220" s="371"/>
      <c r="F220" s="307"/>
      <c r="G220" s="477"/>
      <c r="H220" s="371"/>
      <c r="I220" s="371"/>
      <c r="J220" s="371"/>
      <c r="K220" s="371"/>
      <c r="L220" s="371"/>
      <c r="M220" s="371"/>
      <c r="N220" s="371"/>
      <c r="O220" s="371"/>
      <c r="P220" s="371"/>
      <c r="Q220" s="371"/>
      <c r="R220" s="371"/>
      <c r="S220" s="371"/>
      <c r="T220" s="371"/>
      <c r="U220" s="371"/>
      <c r="V220" s="371"/>
    </row>
    <row r="221">
      <c r="A221" s="371"/>
      <c r="B221" s="307"/>
      <c r="C221" s="307"/>
      <c r="D221" s="307"/>
      <c r="E221" s="371"/>
      <c r="F221" s="307"/>
      <c r="G221" s="477"/>
      <c r="H221" s="371"/>
      <c r="I221" s="371"/>
      <c r="J221" s="371"/>
      <c r="K221" s="371"/>
      <c r="L221" s="371"/>
      <c r="M221" s="371"/>
      <c r="N221" s="371"/>
      <c r="O221" s="371"/>
      <c r="P221" s="371"/>
      <c r="Q221" s="371"/>
      <c r="R221" s="371"/>
      <c r="S221" s="371"/>
      <c r="T221" s="371"/>
      <c r="U221" s="371"/>
      <c r="V221" s="371"/>
    </row>
    <row r="222">
      <c r="A222" s="371"/>
      <c r="B222" s="307"/>
      <c r="C222" s="307"/>
      <c r="D222" s="307"/>
      <c r="E222" s="371"/>
      <c r="F222" s="307"/>
      <c r="G222" s="477"/>
      <c r="H222" s="371"/>
      <c r="I222" s="371"/>
      <c r="J222" s="371"/>
      <c r="K222" s="371"/>
      <c r="L222" s="371"/>
      <c r="M222" s="371"/>
      <c r="N222" s="371"/>
      <c r="O222" s="371"/>
      <c r="P222" s="371"/>
      <c r="Q222" s="371"/>
      <c r="R222" s="371"/>
      <c r="S222" s="371"/>
      <c r="T222" s="371"/>
      <c r="U222" s="371"/>
      <c r="V222" s="371"/>
    </row>
    <row r="223">
      <c r="A223" s="371"/>
      <c r="B223" s="307"/>
      <c r="C223" s="307"/>
      <c r="D223" s="307"/>
      <c r="E223" s="371"/>
      <c r="F223" s="307"/>
      <c r="G223" s="477"/>
      <c r="H223" s="371"/>
      <c r="I223" s="371"/>
      <c r="J223" s="371"/>
      <c r="K223" s="371"/>
      <c r="L223" s="371"/>
      <c r="M223" s="371"/>
      <c r="N223" s="371"/>
      <c r="O223" s="371"/>
      <c r="P223" s="371"/>
      <c r="Q223" s="371"/>
      <c r="R223" s="371"/>
      <c r="S223" s="371"/>
      <c r="T223" s="371"/>
      <c r="U223" s="371"/>
      <c r="V223" s="371"/>
    </row>
    <row r="224">
      <c r="A224" s="371"/>
      <c r="B224" s="307"/>
      <c r="C224" s="307"/>
      <c r="D224" s="307"/>
      <c r="E224" s="371"/>
      <c r="F224" s="307"/>
      <c r="G224" s="477"/>
      <c r="H224" s="371"/>
      <c r="I224" s="371"/>
      <c r="J224" s="371"/>
      <c r="K224" s="371"/>
      <c r="L224" s="371"/>
      <c r="M224" s="371"/>
      <c r="N224" s="371"/>
      <c r="O224" s="371"/>
      <c r="P224" s="371"/>
      <c r="Q224" s="371"/>
      <c r="R224" s="371"/>
      <c r="S224" s="371"/>
      <c r="T224" s="371"/>
      <c r="U224" s="371"/>
      <c r="V224" s="371"/>
    </row>
    <row r="225">
      <c r="A225" s="371"/>
      <c r="B225" s="307"/>
      <c r="C225" s="307"/>
      <c r="D225" s="307"/>
      <c r="E225" s="371"/>
      <c r="F225" s="307"/>
      <c r="G225" s="477"/>
      <c r="H225" s="371"/>
      <c r="I225" s="371"/>
      <c r="J225" s="371"/>
      <c r="K225" s="371"/>
      <c r="L225" s="371"/>
      <c r="M225" s="371"/>
      <c r="N225" s="371"/>
      <c r="O225" s="371"/>
      <c r="P225" s="371"/>
      <c r="Q225" s="371"/>
      <c r="R225" s="371"/>
      <c r="S225" s="371"/>
      <c r="T225" s="371"/>
      <c r="U225" s="371"/>
      <c r="V225" s="371"/>
    </row>
    <row r="226">
      <c r="A226" s="371"/>
      <c r="B226" s="307"/>
      <c r="C226" s="307"/>
      <c r="D226" s="307"/>
      <c r="E226" s="371"/>
      <c r="F226" s="307"/>
      <c r="G226" s="477"/>
      <c r="H226" s="371"/>
      <c r="I226" s="371"/>
      <c r="J226" s="371"/>
      <c r="K226" s="371"/>
      <c r="L226" s="371"/>
      <c r="M226" s="371"/>
      <c r="N226" s="371"/>
      <c r="O226" s="371"/>
      <c r="P226" s="371"/>
      <c r="Q226" s="371"/>
      <c r="R226" s="371"/>
      <c r="S226" s="371"/>
      <c r="T226" s="371"/>
      <c r="U226" s="371"/>
      <c r="V226" s="371"/>
    </row>
    <row r="227">
      <c r="A227" s="371"/>
      <c r="B227" s="307"/>
      <c r="C227" s="307"/>
      <c r="D227" s="307"/>
      <c r="E227" s="371"/>
      <c r="F227" s="307"/>
      <c r="G227" s="477"/>
      <c r="H227" s="371"/>
      <c r="I227" s="371"/>
      <c r="J227" s="371"/>
      <c r="K227" s="371"/>
      <c r="L227" s="371"/>
      <c r="M227" s="371"/>
      <c r="N227" s="371"/>
      <c r="O227" s="371"/>
      <c r="P227" s="371"/>
      <c r="Q227" s="371"/>
      <c r="R227" s="371"/>
      <c r="S227" s="371"/>
      <c r="T227" s="371"/>
      <c r="U227" s="371"/>
      <c r="V227" s="371"/>
    </row>
    <row r="228">
      <c r="A228" s="371"/>
      <c r="B228" s="307"/>
      <c r="C228" s="307"/>
      <c r="D228" s="307"/>
      <c r="E228" s="371"/>
      <c r="F228" s="307"/>
      <c r="G228" s="477"/>
      <c r="H228" s="371"/>
      <c r="I228" s="371"/>
      <c r="J228" s="371"/>
      <c r="K228" s="371"/>
      <c r="L228" s="371"/>
      <c r="M228" s="371"/>
      <c r="N228" s="371"/>
      <c r="O228" s="371"/>
      <c r="P228" s="371"/>
      <c r="Q228" s="371"/>
      <c r="R228" s="371"/>
      <c r="S228" s="371"/>
      <c r="T228" s="371"/>
      <c r="U228" s="371"/>
      <c r="V228" s="371"/>
    </row>
    <row r="229">
      <c r="A229" s="371"/>
      <c r="B229" s="307"/>
      <c r="C229" s="307"/>
      <c r="D229" s="307"/>
      <c r="E229" s="371"/>
      <c r="F229" s="307"/>
      <c r="G229" s="477"/>
      <c r="H229" s="371"/>
      <c r="I229" s="371"/>
      <c r="J229" s="371"/>
      <c r="K229" s="371"/>
      <c r="L229" s="371"/>
      <c r="M229" s="371"/>
      <c r="N229" s="371"/>
      <c r="O229" s="371"/>
      <c r="P229" s="371"/>
      <c r="Q229" s="371"/>
      <c r="R229" s="371"/>
      <c r="S229" s="371"/>
      <c r="T229" s="371"/>
      <c r="U229" s="371"/>
      <c r="V229" s="371"/>
    </row>
    <row r="230">
      <c r="A230" s="371"/>
      <c r="B230" s="307"/>
      <c r="C230" s="307"/>
      <c r="D230" s="307"/>
      <c r="E230" s="371"/>
      <c r="F230" s="307"/>
      <c r="G230" s="477"/>
      <c r="H230" s="371"/>
      <c r="I230" s="371"/>
      <c r="J230" s="371"/>
      <c r="K230" s="371"/>
      <c r="L230" s="371"/>
      <c r="M230" s="371"/>
      <c r="N230" s="371"/>
      <c r="O230" s="371"/>
      <c r="P230" s="371"/>
      <c r="Q230" s="371"/>
      <c r="R230" s="371"/>
      <c r="S230" s="371"/>
      <c r="T230" s="371"/>
      <c r="U230" s="371"/>
      <c r="V230" s="371"/>
    </row>
    <row r="231">
      <c r="A231" s="371"/>
      <c r="B231" s="307"/>
      <c r="C231" s="307"/>
      <c r="D231" s="307"/>
      <c r="E231" s="371"/>
      <c r="F231" s="307"/>
      <c r="G231" s="477"/>
      <c r="H231" s="371"/>
      <c r="I231" s="371"/>
      <c r="J231" s="371"/>
      <c r="K231" s="371"/>
      <c r="L231" s="371"/>
      <c r="M231" s="371"/>
      <c r="N231" s="371"/>
      <c r="O231" s="371"/>
      <c r="P231" s="371"/>
      <c r="Q231" s="371"/>
      <c r="R231" s="371"/>
      <c r="S231" s="371"/>
      <c r="T231" s="371"/>
      <c r="U231" s="371"/>
      <c r="V231" s="371"/>
    </row>
    <row r="232">
      <c r="A232" s="371"/>
      <c r="B232" s="307"/>
      <c r="C232" s="307"/>
      <c r="D232" s="307"/>
      <c r="E232" s="371"/>
      <c r="F232" s="307"/>
      <c r="G232" s="477"/>
      <c r="H232" s="371"/>
      <c r="I232" s="371"/>
      <c r="J232" s="371"/>
      <c r="K232" s="371"/>
      <c r="L232" s="371"/>
      <c r="M232" s="371"/>
      <c r="N232" s="371"/>
      <c r="O232" s="371"/>
      <c r="P232" s="371"/>
      <c r="Q232" s="371"/>
      <c r="R232" s="371"/>
      <c r="S232" s="371"/>
      <c r="T232" s="371"/>
      <c r="U232" s="371"/>
      <c r="V232" s="371"/>
    </row>
    <row r="233">
      <c r="A233" s="371"/>
      <c r="B233" s="307"/>
      <c r="C233" s="307"/>
      <c r="D233" s="307"/>
      <c r="E233" s="371"/>
      <c r="F233" s="307"/>
      <c r="G233" s="477"/>
      <c r="H233" s="371"/>
      <c r="I233" s="371"/>
      <c r="J233" s="371"/>
      <c r="K233" s="371"/>
      <c r="L233" s="371"/>
      <c r="M233" s="371"/>
      <c r="N233" s="371"/>
      <c r="O233" s="371"/>
      <c r="P233" s="371"/>
      <c r="Q233" s="371"/>
      <c r="R233" s="371"/>
      <c r="S233" s="371"/>
      <c r="T233" s="371"/>
      <c r="U233" s="371"/>
      <c r="V233" s="371"/>
    </row>
    <row r="234">
      <c r="A234" s="371"/>
      <c r="B234" s="307"/>
      <c r="C234" s="307"/>
      <c r="D234" s="307"/>
      <c r="E234" s="371"/>
      <c r="F234" s="307"/>
      <c r="G234" s="477"/>
      <c r="H234" s="371"/>
      <c r="I234" s="371"/>
      <c r="J234" s="371"/>
      <c r="K234" s="371"/>
      <c r="L234" s="371"/>
      <c r="M234" s="371"/>
      <c r="N234" s="371"/>
      <c r="O234" s="371"/>
      <c r="P234" s="371"/>
      <c r="Q234" s="371"/>
      <c r="R234" s="371"/>
      <c r="S234" s="371"/>
      <c r="T234" s="371"/>
      <c r="U234" s="371"/>
      <c r="V234" s="371"/>
    </row>
    <row r="235">
      <c r="A235" s="371"/>
      <c r="B235" s="307"/>
      <c r="C235" s="307"/>
      <c r="D235" s="307"/>
      <c r="E235" s="371"/>
      <c r="F235" s="307"/>
      <c r="G235" s="477"/>
      <c r="H235" s="371"/>
      <c r="I235" s="371"/>
      <c r="J235" s="371"/>
      <c r="K235" s="371"/>
      <c r="L235" s="371"/>
      <c r="M235" s="371"/>
      <c r="N235" s="371"/>
      <c r="O235" s="371"/>
      <c r="P235" s="371"/>
      <c r="Q235" s="371"/>
      <c r="R235" s="371"/>
      <c r="S235" s="371"/>
      <c r="T235" s="371"/>
      <c r="U235" s="371"/>
      <c r="V235" s="371"/>
    </row>
    <row r="236">
      <c r="A236" s="371"/>
      <c r="B236" s="307"/>
      <c r="C236" s="307"/>
      <c r="D236" s="307"/>
      <c r="E236" s="371"/>
      <c r="F236" s="307"/>
      <c r="G236" s="477"/>
      <c r="H236" s="371"/>
      <c r="I236" s="371"/>
      <c r="J236" s="371"/>
      <c r="K236" s="371"/>
      <c r="L236" s="371"/>
      <c r="M236" s="371"/>
      <c r="N236" s="371"/>
      <c r="O236" s="371"/>
      <c r="P236" s="371"/>
      <c r="Q236" s="371"/>
      <c r="R236" s="371"/>
      <c r="S236" s="371"/>
      <c r="T236" s="371"/>
      <c r="U236" s="371"/>
      <c r="V236" s="371"/>
    </row>
    <row r="237">
      <c r="A237" s="371"/>
      <c r="B237" s="307"/>
      <c r="C237" s="307"/>
      <c r="D237" s="307"/>
      <c r="E237" s="371"/>
      <c r="F237" s="307"/>
      <c r="G237" s="477"/>
      <c r="H237" s="371"/>
      <c r="I237" s="371"/>
      <c r="J237" s="371"/>
      <c r="K237" s="371"/>
      <c r="L237" s="371"/>
      <c r="M237" s="371"/>
      <c r="N237" s="371"/>
      <c r="O237" s="371"/>
      <c r="P237" s="371"/>
      <c r="Q237" s="371"/>
      <c r="R237" s="371"/>
      <c r="S237" s="371"/>
      <c r="T237" s="371"/>
      <c r="U237" s="371"/>
      <c r="V237" s="371"/>
    </row>
    <row r="238">
      <c r="A238" s="371"/>
      <c r="B238" s="307"/>
      <c r="C238" s="307"/>
      <c r="D238" s="307"/>
      <c r="E238" s="371"/>
      <c r="F238" s="307"/>
      <c r="G238" s="477"/>
      <c r="H238" s="371"/>
      <c r="I238" s="371"/>
      <c r="J238" s="371"/>
      <c r="K238" s="371"/>
      <c r="L238" s="371"/>
      <c r="M238" s="371"/>
      <c r="N238" s="371"/>
      <c r="O238" s="371"/>
      <c r="P238" s="371"/>
      <c r="Q238" s="371"/>
      <c r="R238" s="371"/>
      <c r="S238" s="371"/>
      <c r="T238" s="371"/>
      <c r="U238" s="371"/>
      <c r="V238" s="371"/>
    </row>
    <row r="239">
      <c r="A239" s="371"/>
      <c r="B239" s="307"/>
      <c r="C239" s="307"/>
      <c r="D239" s="307"/>
      <c r="E239" s="371"/>
      <c r="F239" s="307"/>
      <c r="G239" s="477"/>
      <c r="H239" s="371"/>
      <c r="I239" s="371"/>
      <c r="J239" s="371"/>
      <c r="K239" s="371"/>
      <c r="L239" s="371"/>
      <c r="M239" s="371"/>
      <c r="N239" s="371"/>
      <c r="O239" s="371"/>
      <c r="P239" s="371"/>
      <c r="Q239" s="371"/>
      <c r="R239" s="371"/>
      <c r="S239" s="371"/>
      <c r="T239" s="371"/>
      <c r="U239" s="371"/>
      <c r="V239" s="371"/>
    </row>
    <row r="240">
      <c r="A240" s="371"/>
      <c r="B240" s="307"/>
      <c r="C240" s="307"/>
      <c r="D240" s="307"/>
      <c r="E240" s="371"/>
      <c r="F240" s="307"/>
      <c r="G240" s="477"/>
      <c r="H240" s="371"/>
      <c r="I240" s="371"/>
      <c r="J240" s="371"/>
      <c r="K240" s="371"/>
      <c r="L240" s="371"/>
      <c r="M240" s="371"/>
      <c r="N240" s="371"/>
      <c r="O240" s="371"/>
      <c r="P240" s="371"/>
      <c r="Q240" s="371"/>
      <c r="R240" s="371"/>
      <c r="S240" s="371"/>
      <c r="T240" s="371"/>
      <c r="U240" s="371"/>
      <c r="V240" s="371"/>
    </row>
    <row r="241">
      <c r="A241" s="371"/>
      <c r="B241" s="307"/>
      <c r="C241" s="307"/>
      <c r="D241" s="307"/>
      <c r="E241" s="371"/>
      <c r="F241" s="307"/>
      <c r="G241" s="477"/>
      <c r="H241" s="371"/>
      <c r="I241" s="371"/>
      <c r="J241" s="371"/>
      <c r="K241" s="371"/>
      <c r="L241" s="371"/>
      <c r="M241" s="371"/>
      <c r="N241" s="371"/>
      <c r="O241" s="371"/>
      <c r="P241" s="371"/>
      <c r="Q241" s="371"/>
      <c r="R241" s="371"/>
      <c r="S241" s="371"/>
      <c r="T241" s="371"/>
      <c r="U241" s="371"/>
      <c r="V241" s="371"/>
    </row>
    <row r="242">
      <c r="A242" s="371"/>
      <c r="B242" s="307"/>
      <c r="C242" s="307"/>
      <c r="D242" s="307"/>
      <c r="E242" s="371"/>
      <c r="F242" s="307"/>
      <c r="G242" s="477"/>
      <c r="H242" s="371"/>
      <c r="I242" s="371"/>
      <c r="J242" s="371"/>
      <c r="K242" s="371"/>
      <c r="L242" s="371"/>
      <c r="M242" s="371"/>
      <c r="N242" s="371"/>
      <c r="O242" s="371"/>
      <c r="P242" s="371"/>
      <c r="Q242" s="371"/>
      <c r="R242" s="371"/>
      <c r="S242" s="371"/>
      <c r="T242" s="371"/>
      <c r="U242" s="371"/>
      <c r="V242" s="371"/>
    </row>
    <row r="243">
      <c r="A243" s="371"/>
      <c r="B243" s="307"/>
      <c r="C243" s="307"/>
      <c r="D243" s="307"/>
      <c r="E243" s="371"/>
      <c r="F243" s="307"/>
      <c r="G243" s="477"/>
      <c r="H243" s="371"/>
      <c r="I243" s="371"/>
      <c r="J243" s="371"/>
      <c r="K243" s="371"/>
      <c r="L243" s="371"/>
      <c r="M243" s="371"/>
      <c r="N243" s="371"/>
      <c r="O243" s="371"/>
      <c r="P243" s="371"/>
      <c r="Q243" s="371"/>
      <c r="R243" s="371"/>
      <c r="S243" s="371"/>
      <c r="T243" s="371"/>
      <c r="U243" s="371"/>
      <c r="V243" s="371"/>
    </row>
    <row r="244">
      <c r="A244" s="371"/>
      <c r="B244" s="307"/>
      <c r="C244" s="307"/>
      <c r="D244" s="307"/>
      <c r="E244" s="371"/>
      <c r="F244" s="307"/>
      <c r="G244" s="477"/>
      <c r="H244" s="371"/>
      <c r="I244" s="371"/>
      <c r="J244" s="371"/>
      <c r="K244" s="371"/>
      <c r="L244" s="371"/>
      <c r="M244" s="371"/>
      <c r="N244" s="371"/>
      <c r="O244" s="371"/>
      <c r="P244" s="371"/>
      <c r="Q244" s="371"/>
      <c r="R244" s="371"/>
      <c r="S244" s="371"/>
      <c r="T244" s="371"/>
      <c r="U244" s="371"/>
      <c r="V244" s="371"/>
    </row>
    <row r="245">
      <c r="A245" s="371"/>
      <c r="B245" s="307"/>
      <c r="C245" s="307"/>
      <c r="D245" s="307"/>
      <c r="E245" s="371"/>
      <c r="F245" s="307"/>
      <c r="G245" s="477"/>
      <c r="H245" s="371"/>
      <c r="I245" s="371"/>
      <c r="J245" s="371"/>
      <c r="K245" s="371"/>
      <c r="L245" s="371"/>
      <c r="M245" s="371"/>
      <c r="N245" s="371"/>
      <c r="O245" s="371"/>
      <c r="P245" s="371"/>
      <c r="Q245" s="371"/>
      <c r="R245" s="371"/>
      <c r="S245" s="371"/>
      <c r="T245" s="371"/>
      <c r="U245" s="371"/>
      <c r="V245" s="371"/>
    </row>
    <row r="246">
      <c r="A246" s="371"/>
      <c r="B246" s="307"/>
      <c r="C246" s="307"/>
      <c r="D246" s="307"/>
      <c r="E246" s="371"/>
      <c r="F246" s="307"/>
      <c r="G246" s="477"/>
      <c r="H246" s="371"/>
      <c r="I246" s="371"/>
      <c r="J246" s="371"/>
      <c r="K246" s="371"/>
      <c r="L246" s="371"/>
      <c r="M246" s="371"/>
      <c r="N246" s="371"/>
      <c r="O246" s="371"/>
      <c r="P246" s="371"/>
      <c r="Q246" s="371"/>
      <c r="R246" s="371"/>
      <c r="S246" s="371"/>
      <c r="T246" s="371"/>
      <c r="U246" s="371"/>
      <c r="V246" s="371"/>
    </row>
    <row r="247">
      <c r="A247" s="371"/>
      <c r="B247" s="307"/>
      <c r="C247" s="307"/>
      <c r="D247" s="307"/>
      <c r="E247" s="371"/>
      <c r="F247" s="307"/>
      <c r="G247" s="477"/>
      <c r="H247" s="371"/>
      <c r="I247" s="371"/>
      <c r="J247" s="371"/>
      <c r="K247" s="371"/>
      <c r="L247" s="371"/>
      <c r="M247" s="371"/>
      <c r="N247" s="371"/>
      <c r="O247" s="371"/>
      <c r="P247" s="371"/>
      <c r="Q247" s="371"/>
      <c r="R247" s="371"/>
      <c r="S247" s="371"/>
      <c r="T247" s="371"/>
      <c r="U247" s="371"/>
      <c r="V247" s="371"/>
    </row>
    <row r="248">
      <c r="A248" s="371"/>
      <c r="B248" s="307"/>
      <c r="C248" s="307"/>
      <c r="D248" s="307"/>
      <c r="E248" s="371"/>
      <c r="F248" s="307"/>
      <c r="G248" s="477"/>
      <c r="H248" s="371"/>
      <c r="I248" s="371"/>
      <c r="J248" s="371"/>
      <c r="K248" s="371"/>
      <c r="L248" s="371"/>
      <c r="M248" s="371"/>
      <c r="N248" s="371"/>
      <c r="O248" s="371"/>
      <c r="P248" s="371"/>
      <c r="Q248" s="371"/>
      <c r="R248" s="371"/>
      <c r="S248" s="371"/>
      <c r="T248" s="371"/>
      <c r="U248" s="371"/>
      <c r="V248" s="371"/>
    </row>
    <row r="249">
      <c r="A249" s="371"/>
      <c r="B249" s="307"/>
      <c r="C249" s="307"/>
      <c r="D249" s="307"/>
      <c r="E249" s="371"/>
      <c r="F249" s="307"/>
      <c r="G249" s="477"/>
      <c r="H249" s="371"/>
      <c r="I249" s="371"/>
      <c r="J249" s="371"/>
      <c r="K249" s="371"/>
      <c r="L249" s="371"/>
      <c r="M249" s="371"/>
      <c r="N249" s="371"/>
      <c r="O249" s="371"/>
      <c r="P249" s="371"/>
      <c r="Q249" s="371"/>
      <c r="R249" s="371"/>
      <c r="S249" s="371"/>
      <c r="T249" s="371"/>
      <c r="U249" s="371"/>
      <c r="V249" s="371"/>
    </row>
    <row r="250">
      <c r="A250" s="371"/>
      <c r="B250" s="307"/>
      <c r="C250" s="307"/>
      <c r="D250" s="307"/>
      <c r="E250" s="371"/>
      <c r="F250" s="307"/>
      <c r="G250" s="477"/>
      <c r="H250" s="371"/>
      <c r="I250" s="371"/>
      <c r="J250" s="371"/>
      <c r="K250" s="371"/>
      <c r="L250" s="371"/>
      <c r="M250" s="371"/>
      <c r="N250" s="371"/>
      <c r="O250" s="371"/>
      <c r="P250" s="371"/>
      <c r="Q250" s="371"/>
      <c r="R250" s="371"/>
      <c r="S250" s="371"/>
      <c r="T250" s="371"/>
      <c r="U250" s="371"/>
      <c r="V250" s="371"/>
    </row>
    <row r="251">
      <c r="A251" s="371"/>
      <c r="B251" s="307"/>
      <c r="C251" s="307"/>
      <c r="D251" s="307"/>
      <c r="E251" s="371"/>
      <c r="F251" s="307"/>
      <c r="G251" s="477"/>
      <c r="H251" s="371"/>
      <c r="I251" s="371"/>
      <c r="J251" s="371"/>
      <c r="K251" s="371"/>
      <c r="L251" s="371"/>
      <c r="M251" s="371"/>
      <c r="N251" s="371"/>
      <c r="O251" s="371"/>
      <c r="P251" s="371"/>
      <c r="Q251" s="371"/>
      <c r="R251" s="371"/>
      <c r="S251" s="371"/>
      <c r="T251" s="371"/>
      <c r="U251" s="371"/>
      <c r="V251" s="371"/>
    </row>
    <row r="252">
      <c r="A252" s="371"/>
      <c r="B252" s="307"/>
      <c r="C252" s="307"/>
      <c r="D252" s="307"/>
      <c r="E252" s="371"/>
      <c r="F252" s="307"/>
      <c r="G252" s="477"/>
      <c r="H252" s="371"/>
      <c r="I252" s="371"/>
      <c r="J252" s="371"/>
      <c r="K252" s="371"/>
      <c r="L252" s="371"/>
      <c r="M252" s="371"/>
      <c r="N252" s="371"/>
      <c r="O252" s="371"/>
      <c r="P252" s="371"/>
      <c r="Q252" s="371"/>
      <c r="R252" s="371"/>
      <c r="S252" s="371"/>
      <c r="T252" s="371"/>
      <c r="U252" s="371"/>
      <c r="V252" s="371"/>
    </row>
    <row r="253">
      <c r="A253" s="371"/>
      <c r="B253" s="307"/>
      <c r="C253" s="307"/>
      <c r="D253" s="307"/>
      <c r="E253" s="371"/>
      <c r="F253" s="307"/>
      <c r="G253" s="477"/>
      <c r="H253" s="371"/>
      <c r="I253" s="371"/>
      <c r="J253" s="371"/>
      <c r="K253" s="371"/>
      <c r="L253" s="371"/>
      <c r="M253" s="371"/>
      <c r="N253" s="371"/>
      <c r="O253" s="371"/>
      <c r="P253" s="371"/>
      <c r="Q253" s="371"/>
      <c r="R253" s="371"/>
      <c r="S253" s="371"/>
      <c r="T253" s="371"/>
      <c r="U253" s="371"/>
      <c r="V253" s="371"/>
    </row>
    <row r="254">
      <c r="A254" s="371"/>
      <c r="B254" s="307"/>
      <c r="C254" s="307"/>
      <c r="D254" s="307"/>
      <c r="E254" s="371"/>
      <c r="F254" s="307"/>
      <c r="G254" s="477"/>
      <c r="H254" s="371"/>
      <c r="I254" s="371"/>
      <c r="J254" s="371"/>
      <c r="K254" s="371"/>
      <c r="L254" s="371"/>
      <c r="M254" s="371"/>
      <c r="N254" s="371"/>
      <c r="O254" s="371"/>
      <c r="P254" s="371"/>
      <c r="Q254" s="371"/>
      <c r="R254" s="371"/>
      <c r="S254" s="371"/>
      <c r="T254" s="371"/>
      <c r="U254" s="371"/>
      <c r="V254" s="371"/>
    </row>
    <row r="255">
      <c r="A255" s="371"/>
      <c r="B255" s="307"/>
      <c r="C255" s="307"/>
      <c r="D255" s="307"/>
      <c r="E255" s="371"/>
      <c r="F255" s="307"/>
      <c r="G255" s="477"/>
      <c r="H255" s="371"/>
      <c r="I255" s="371"/>
      <c r="J255" s="371"/>
      <c r="K255" s="371"/>
      <c r="L255" s="371"/>
      <c r="M255" s="371"/>
      <c r="N255" s="371"/>
      <c r="O255" s="371"/>
      <c r="P255" s="371"/>
      <c r="Q255" s="371"/>
      <c r="R255" s="371"/>
      <c r="S255" s="371"/>
      <c r="T255" s="371"/>
      <c r="U255" s="371"/>
      <c r="V255" s="371"/>
    </row>
    <row r="256">
      <c r="A256" s="371"/>
      <c r="B256" s="307"/>
      <c r="C256" s="307"/>
      <c r="D256" s="307"/>
      <c r="E256" s="371"/>
      <c r="F256" s="307"/>
      <c r="G256" s="477"/>
      <c r="H256" s="371"/>
      <c r="I256" s="371"/>
      <c r="J256" s="371"/>
      <c r="K256" s="371"/>
      <c r="L256" s="371"/>
      <c r="M256" s="371"/>
      <c r="N256" s="371"/>
      <c r="O256" s="371"/>
      <c r="P256" s="371"/>
      <c r="Q256" s="371"/>
      <c r="R256" s="371"/>
      <c r="S256" s="371"/>
      <c r="T256" s="371"/>
      <c r="U256" s="371"/>
      <c r="V256" s="371"/>
    </row>
    <row r="257">
      <c r="A257" s="371"/>
      <c r="B257" s="307"/>
      <c r="C257" s="307"/>
      <c r="D257" s="307"/>
      <c r="E257" s="371"/>
      <c r="F257" s="307"/>
      <c r="G257" s="477"/>
      <c r="H257" s="371"/>
      <c r="I257" s="371"/>
      <c r="J257" s="371"/>
      <c r="K257" s="371"/>
      <c r="L257" s="371"/>
      <c r="M257" s="371"/>
      <c r="N257" s="371"/>
      <c r="O257" s="371"/>
      <c r="P257" s="371"/>
      <c r="Q257" s="371"/>
      <c r="R257" s="371"/>
      <c r="S257" s="371"/>
      <c r="T257" s="371"/>
      <c r="U257" s="371"/>
      <c r="V257" s="371"/>
    </row>
    <row r="258">
      <c r="A258" s="371"/>
      <c r="B258" s="307"/>
      <c r="C258" s="307"/>
      <c r="D258" s="307"/>
      <c r="E258" s="371"/>
      <c r="F258" s="307"/>
      <c r="G258" s="477"/>
      <c r="H258" s="371"/>
      <c r="I258" s="371"/>
      <c r="J258" s="371"/>
      <c r="K258" s="371"/>
      <c r="L258" s="371"/>
      <c r="M258" s="371"/>
      <c r="N258" s="371"/>
      <c r="O258" s="371"/>
      <c r="P258" s="371"/>
      <c r="Q258" s="371"/>
      <c r="R258" s="371"/>
      <c r="S258" s="371"/>
      <c r="T258" s="371"/>
      <c r="U258" s="371"/>
      <c r="V258" s="371"/>
    </row>
    <row r="259">
      <c r="A259" s="371"/>
      <c r="B259" s="307"/>
      <c r="C259" s="307"/>
      <c r="D259" s="307"/>
      <c r="E259" s="371"/>
      <c r="F259" s="307"/>
      <c r="G259" s="477"/>
      <c r="H259" s="371"/>
      <c r="I259" s="371"/>
      <c r="J259" s="371"/>
      <c r="K259" s="371"/>
      <c r="L259" s="371"/>
      <c r="M259" s="371"/>
      <c r="N259" s="371"/>
      <c r="O259" s="371"/>
      <c r="P259" s="371"/>
      <c r="Q259" s="371"/>
      <c r="R259" s="371"/>
      <c r="S259" s="371"/>
      <c r="T259" s="371"/>
      <c r="U259" s="371"/>
      <c r="V259" s="371"/>
    </row>
    <row r="260">
      <c r="A260" s="371"/>
      <c r="B260" s="307"/>
      <c r="C260" s="307"/>
      <c r="D260" s="307"/>
      <c r="E260" s="371"/>
      <c r="F260" s="307"/>
      <c r="G260" s="477"/>
      <c r="H260" s="371"/>
      <c r="I260" s="371"/>
      <c r="J260" s="371"/>
      <c r="K260" s="371"/>
      <c r="L260" s="371"/>
      <c r="M260" s="371"/>
      <c r="N260" s="371"/>
      <c r="O260" s="371"/>
      <c r="P260" s="371"/>
      <c r="Q260" s="371"/>
      <c r="R260" s="371"/>
      <c r="S260" s="371"/>
      <c r="T260" s="371"/>
      <c r="U260" s="371"/>
      <c r="V260" s="371"/>
    </row>
    <row r="261">
      <c r="A261" s="371"/>
      <c r="B261" s="307"/>
      <c r="C261" s="307"/>
      <c r="D261" s="307"/>
      <c r="E261" s="371"/>
      <c r="F261" s="307"/>
      <c r="G261" s="477"/>
      <c r="H261" s="371"/>
      <c r="I261" s="371"/>
      <c r="J261" s="371"/>
      <c r="K261" s="371"/>
      <c r="L261" s="371"/>
      <c r="M261" s="371"/>
      <c r="N261" s="371"/>
      <c r="O261" s="371"/>
      <c r="P261" s="371"/>
      <c r="Q261" s="371"/>
      <c r="R261" s="371"/>
      <c r="S261" s="371"/>
      <c r="T261" s="371"/>
      <c r="U261" s="371"/>
      <c r="V261" s="371"/>
    </row>
    <row r="262">
      <c r="A262" s="371"/>
      <c r="B262" s="307"/>
      <c r="C262" s="307"/>
      <c r="D262" s="307"/>
      <c r="E262" s="371"/>
      <c r="F262" s="307"/>
      <c r="G262" s="477"/>
      <c r="H262" s="371"/>
      <c r="I262" s="371"/>
      <c r="J262" s="371"/>
      <c r="K262" s="371"/>
      <c r="L262" s="371"/>
      <c r="M262" s="371"/>
      <c r="N262" s="371"/>
      <c r="O262" s="371"/>
      <c r="P262" s="371"/>
      <c r="Q262" s="371"/>
      <c r="R262" s="371"/>
      <c r="S262" s="371"/>
      <c r="T262" s="371"/>
      <c r="U262" s="371"/>
      <c r="V262" s="371"/>
    </row>
    <row r="263">
      <c r="A263" s="371"/>
      <c r="B263" s="307"/>
      <c r="C263" s="307"/>
      <c r="D263" s="307"/>
      <c r="E263" s="371"/>
      <c r="F263" s="307"/>
      <c r="G263" s="477"/>
      <c r="H263" s="371"/>
      <c r="I263" s="371"/>
      <c r="J263" s="371"/>
      <c r="K263" s="371"/>
      <c r="L263" s="371"/>
      <c r="M263" s="371"/>
      <c r="N263" s="371"/>
      <c r="O263" s="371"/>
      <c r="P263" s="371"/>
      <c r="Q263" s="371"/>
      <c r="R263" s="371"/>
      <c r="S263" s="371"/>
      <c r="T263" s="371"/>
      <c r="U263" s="371"/>
      <c r="V263" s="371"/>
    </row>
    <row r="264">
      <c r="A264" s="371"/>
      <c r="B264" s="307"/>
      <c r="C264" s="307"/>
      <c r="D264" s="307"/>
      <c r="E264" s="371"/>
      <c r="F264" s="307"/>
      <c r="G264" s="477"/>
      <c r="H264" s="371"/>
      <c r="I264" s="371"/>
      <c r="J264" s="371"/>
      <c r="K264" s="371"/>
      <c r="L264" s="371"/>
      <c r="M264" s="371"/>
      <c r="N264" s="371"/>
      <c r="O264" s="371"/>
      <c r="P264" s="371"/>
      <c r="Q264" s="371"/>
      <c r="R264" s="371"/>
      <c r="S264" s="371"/>
      <c r="T264" s="371"/>
      <c r="U264" s="371"/>
      <c r="V264" s="371"/>
    </row>
    <row r="265">
      <c r="A265" s="371"/>
      <c r="B265" s="307"/>
      <c r="C265" s="307"/>
      <c r="D265" s="307"/>
      <c r="E265" s="371"/>
      <c r="F265" s="307"/>
      <c r="G265" s="477"/>
      <c r="H265" s="371"/>
      <c r="I265" s="371"/>
      <c r="J265" s="371"/>
      <c r="K265" s="371"/>
      <c r="L265" s="371"/>
      <c r="M265" s="371"/>
      <c r="N265" s="371"/>
      <c r="O265" s="371"/>
      <c r="P265" s="371"/>
      <c r="Q265" s="371"/>
      <c r="R265" s="371"/>
      <c r="S265" s="371"/>
      <c r="T265" s="371"/>
      <c r="U265" s="371"/>
      <c r="V265" s="371"/>
    </row>
    <row r="266">
      <c r="A266" s="371"/>
      <c r="B266" s="307"/>
      <c r="C266" s="307"/>
      <c r="D266" s="307"/>
      <c r="E266" s="371"/>
      <c r="F266" s="307"/>
      <c r="G266" s="477"/>
      <c r="H266" s="371"/>
      <c r="I266" s="371"/>
      <c r="J266" s="371"/>
      <c r="K266" s="371"/>
      <c r="L266" s="371"/>
      <c r="M266" s="371"/>
      <c r="N266" s="371"/>
      <c r="O266" s="371"/>
      <c r="P266" s="371"/>
      <c r="Q266" s="371"/>
      <c r="R266" s="371"/>
      <c r="S266" s="371"/>
      <c r="T266" s="371"/>
      <c r="U266" s="371"/>
      <c r="V266" s="371"/>
    </row>
    <row r="267">
      <c r="A267" s="371"/>
      <c r="B267" s="307"/>
      <c r="C267" s="307"/>
      <c r="D267" s="307"/>
      <c r="E267" s="371"/>
      <c r="F267" s="307"/>
      <c r="G267" s="477"/>
      <c r="H267" s="371"/>
      <c r="I267" s="371"/>
      <c r="J267" s="371"/>
      <c r="K267" s="371"/>
      <c r="L267" s="371"/>
      <c r="M267" s="371"/>
      <c r="N267" s="371"/>
      <c r="O267" s="371"/>
      <c r="P267" s="371"/>
      <c r="Q267" s="371"/>
      <c r="R267" s="371"/>
      <c r="S267" s="371"/>
      <c r="T267" s="371"/>
      <c r="U267" s="371"/>
      <c r="V267" s="371"/>
    </row>
    <row r="268">
      <c r="A268" s="371"/>
      <c r="B268" s="307"/>
      <c r="C268" s="307"/>
      <c r="D268" s="307"/>
      <c r="E268" s="371"/>
      <c r="F268" s="307"/>
      <c r="G268" s="477"/>
      <c r="H268" s="371"/>
      <c r="I268" s="371"/>
      <c r="J268" s="371"/>
      <c r="K268" s="371"/>
      <c r="L268" s="371"/>
      <c r="M268" s="371"/>
      <c r="N268" s="371"/>
      <c r="O268" s="371"/>
      <c r="P268" s="371"/>
      <c r="Q268" s="371"/>
      <c r="R268" s="371"/>
      <c r="S268" s="371"/>
      <c r="T268" s="371"/>
      <c r="U268" s="371"/>
      <c r="V268" s="371"/>
    </row>
    <row r="269">
      <c r="A269" s="371"/>
      <c r="B269" s="307"/>
      <c r="C269" s="307"/>
      <c r="D269" s="307"/>
      <c r="E269" s="371"/>
      <c r="F269" s="307"/>
      <c r="G269" s="477"/>
      <c r="H269" s="371"/>
      <c r="I269" s="371"/>
      <c r="J269" s="371"/>
      <c r="K269" s="371"/>
      <c r="L269" s="371"/>
      <c r="M269" s="371"/>
      <c r="N269" s="371"/>
      <c r="O269" s="371"/>
      <c r="P269" s="371"/>
      <c r="Q269" s="371"/>
      <c r="R269" s="371"/>
      <c r="S269" s="371"/>
      <c r="T269" s="371"/>
      <c r="U269" s="371"/>
      <c r="V269" s="371"/>
    </row>
    <row r="270">
      <c r="A270" s="371"/>
      <c r="B270" s="307"/>
      <c r="C270" s="307"/>
      <c r="D270" s="307"/>
      <c r="E270" s="371"/>
      <c r="F270" s="307"/>
      <c r="G270" s="477"/>
      <c r="H270" s="371"/>
      <c r="I270" s="371"/>
      <c r="J270" s="371"/>
      <c r="K270" s="371"/>
      <c r="L270" s="371"/>
      <c r="M270" s="371"/>
      <c r="N270" s="371"/>
      <c r="O270" s="371"/>
      <c r="P270" s="371"/>
      <c r="Q270" s="371"/>
      <c r="R270" s="371"/>
      <c r="S270" s="371"/>
      <c r="T270" s="371"/>
      <c r="U270" s="371"/>
      <c r="V270" s="371"/>
    </row>
    <row r="271">
      <c r="A271" s="371"/>
      <c r="B271" s="307"/>
      <c r="C271" s="307"/>
      <c r="D271" s="307"/>
      <c r="E271" s="371"/>
      <c r="F271" s="307"/>
      <c r="G271" s="477"/>
      <c r="H271" s="371"/>
      <c r="I271" s="371"/>
      <c r="J271" s="371"/>
      <c r="K271" s="371"/>
      <c r="L271" s="371"/>
      <c r="M271" s="371"/>
      <c r="N271" s="371"/>
      <c r="O271" s="371"/>
      <c r="P271" s="371"/>
      <c r="Q271" s="371"/>
      <c r="R271" s="371"/>
      <c r="S271" s="371"/>
      <c r="T271" s="371"/>
      <c r="U271" s="371"/>
      <c r="V271" s="371"/>
    </row>
    <row r="272">
      <c r="A272" s="371"/>
      <c r="B272" s="307"/>
      <c r="C272" s="307"/>
      <c r="D272" s="307"/>
      <c r="E272" s="371"/>
      <c r="F272" s="307"/>
      <c r="G272" s="477"/>
      <c r="H272" s="371"/>
      <c r="I272" s="371"/>
      <c r="J272" s="371"/>
      <c r="K272" s="371"/>
      <c r="L272" s="371"/>
      <c r="M272" s="371"/>
      <c r="N272" s="371"/>
      <c r="O272" s="371"/>
      <c r="P272" s="371"/>
      <c r="Q272" s="371"/>
      <c r="R272" s="371"/>
      <c r="S272" s="371"/>
      <c r="T272" s="371"/>
      <c r="U272" s="371"/>
      <c r="V272" s="371"/>
    </row>
    <row r="273">
      <c r="A273" s="371"/>
      <c r="B273" s="307"/>
      <c r="C273" s="307"/>
      <c r="D273" s="307"/>
      <c r="E273" s="371"/>
      <c r="F273" s="307"/>
      <c r="G273" s="477"/>
      <c r="H273" s="371"/>
      <c r="I273" s="371"/>
      <c r="J273" s="371"/>
      <c r="K273" s="371"/>
      <c r="L273" s="371"/>
      <c r="M273" s="371"/>
      <c r="N273" s="371"/>
      <c r="O273" s="371"/>
      <c r="P273" s="371"/>
      <c r="Q273" s="371"/>
      <c r="R273" s="371"/>
      <c r="S273" s="371"/>
      <c r="T273" s="371"/>
      <c r="U273" s="371"/>
      <c r="V273" s="371"/>
    </row>
    <row r="274">
      <c r="A274" s="371"/>
      <c r="B274" s="307"/>
      <c r="C274" s="307"/>
      <c r="D274" s="307"/>
      <c r="E274" s="371"/>
      <c r="F274" s="307"/>
      <c r="G274" s="477"/>
      <c r="H274" s="371"/>
      <c r="I274" s="371"/>
      <c r="J274" s="371"/>
      <c r="K274" s="371"/>
      <c r="L274" s="371"/>
      <c r="M274" s="371"/>
      <c r="N274" s="371"/>
      <c r="O274" s="371"/>
      <c r="P274" s="371"/>
      <c r="Q274" s="371"/>
      <c r="R274" s="371"/>
      <c r="S274" s="371"/>
      <c r="T274" s="371"/>
      <c r="U274" s="371"/>
      <c r="V274" s="371"/>
    </row>
    <row r="275">
      <c r="A275" s="371"/>
      <c r="B275" s="307"/>
      <c r="C275" s="307"/>
      <c r="D275" s="307"/>
      <c r="E275" s="371"/>
      <c r="F275" s="307"/>
      <c r="G275" s="477"/>
      <c r="H275" s="371"/>
      <c r="I275" s="371"/>
      <c r="J275" s="371"/>
      <c r="K275" s="371"/>
      <c r="L275" s="371"/>
      <c r="M275" s="371"/>
      <c r="N275" s="371"/>
      <c r="O275" s="371"/>
      <c r="P275" s="371"/>
      <c r="Q275" s="371"/>
      <c r="R275" s="371"/>
      <c r="S275" s="371"/>
      <c r="T275" s="371"/>
      <c r="U275" s="371"/>
      <c r="V275" s="371"/>
    </row>
    <row r="276">
      <c r="A276" s="371"/>
      <c r="B276" s="307"/>
      <c r="C276" s="307"/>
      <c r="D276" s="307"/>
      <c r="E276" s="371"/>
      <c r="F276" s="307"/>
      <c r="G276" s="477"/>
      <c r="H276" s="371"/>
      <c r="I276" s="371"/>
      <c r="J276" s="371"/>
      <c r="K276" s="371"/>
      <c r="L276" s="371"/>
      <c r="M276" s="371"/>
      <c r="N276" s="371"/>
      <c r="O276" s="371"/>
      <c r="P276" s="371"/>
      <c r="Q276" s="371"/>
      <c r="R276" s="371"/>
      <c r="S276" s="371"/>
      <c r="T276" s="371"/>
      <c r="U276" s="371"/>
      <c r="V276" s="371"/>
    </row>
    <row r="277">
      <c r="A277" s="371"/>
      <c r="B277" s="307"/>
      <c r="C277" s="307"/>
      <c r="D277" s="307"/>
      <c r="E277" s="371"/>
      <c r="F277" s="307"/>
      <c r="G277" s="477"/>
      <c r="H277" s="371"/>
      <c r="I277" s="371"/>
      <c r="J277" s="371"/>
      <c r="K277" s="371"/>
      <c r="L277" s="371"/>
      <c r="M277" s="371"/>
      <c r="N277" s="371"/>
      <c r="O277" s="371"/>
      <c r="P277" s="371"/>
      <c r="Q277" s="371"/>
      <c r="R277" s="371"/>
      <c r="S277" s="371"/>
      <c r="T277" s="371"/>
      <c r="U277" s="371"/>
      <c r="V277" s="371"/>
    </row>
    <row r="278">
      <c r="A278" s="371"/>
      <c r="B278" s="307"/>
      <c r="C278" s="307"/>
      <c r="D278" s="307"/>
      <c r="E278" s="371"/>
      <c r="F278" s="307"/>
      <c r="G278" s="477"/>
      <c r="H278" s="371"/>
      <c r="I278" s="371"/>
      <c r="J278" s="371"/>
      <c r="K278" s="371"/>
      <c r="L278" s="371"/>
      <c r="M278" s="371"/>
      <c r="N278" s="371"/>
      <c r="O278" s="371"/>
      <c r="P278" s="371"/>
      <c r="Q278" s="371"/>
      <c r="R278" s="371"/>
      <c r="S278" s="371"/>
      <c r="T278" s="371"/>
      <c r="U278" s="371"/>
      <c r="V278" s="371"/>
    </row>
    <row r="279">
      <c r="A279" s="371"/>
      <c r="B279" s="307"/>
      <c r="C279" s="307"/>
      <c r="D279" s="307"/>
      <c r="E279" s="371"/>
      <c r="F279" s="307"/>
      <c r="G279" s="477"/>
      <c r="H279" s="371"/>
      <c r="I279" s="371"/>
      <c r="J279" s="371"/>
      <c r="K279" s="371"/>
      <c r="L279" s="371"/>
      <c r="M279" s="371"/>
      <c r="N279" s="371"/>
      <c r="O279" s="371"/>
      <c r="P279" s="371"/>
      <c r="Q279" s="371"/>
      <c r="R279" s="371"/>
      <c r="S279" s="371"/>
      <c r="T279" s="371"/>
      <c r="U279" s="371"/>
      <c r="V279" s="371"/>
    </row>
    <row r="280">
      <c r="A280" s="371"/>
      <c r="B280" s="307"/>
      <c r="C280" s="307"/>
      <c r="D280" s="307"/>
      <c r="E280" s="371"/>
      <c r="F280" s="307"/>
      <c r="G280" s="477"/>
      <c r="H280" s="371"/>
      <c r="I280" s="371"/>
      <c r="J280" s="371"/>
      <c r="K280" s="371"/>
      <c r="L280" s="371"/>
      <c r="M280" s="371"/>
      <c r="N280" s="371"/>
      <c r="O280" s="371"/>
      <c r="P280" s="371"/>
      <c r="Q280" s="371"/>
      <c r="R280" s="371"/>
      <c r="S280" s="371"/>
      <c r="T280" s="371"/>
      <c r="U280" s="371"/>
      <c r="V280" s="371"/>
    </row>
    <row r="281">
      <c r="A281" s="371"/>
      <c r="B281" s="307"/>
      <c r="C281" s="307"/>
      <c r="D281" s="307"/>
      <c r="E281" s="371"/>
      <c r="F281" s="307"/>
      <c r="G281" s="477"/>
      <c r="H281" s="371"/>
      <c r="I281" s="371"/>
      <c r="J281" s="371"/>
      <c r="K281" s="371"/>
      <c r="L281" s="371"/>
      <c r="M281" s="371"/>
      <c r="N281" s="371"/>
      <c r="O281" s="371"/>
      <c r="P281" s="371"/>
      <c r="Q281" s="371"/>
      <c r="R281" s="371"/>
      <c r="S281" s="371"/>
      <c r="T281" s="371"/>
      <c r="U281" s="371"/>
      <c r="V281" s="371"/>
    </row>
    <row r="282">
      <c r="A282" s="371"/>
      <c r="B282" s="307"/>
      <c r="C282" s="307"/>
      <c r="D282" s="307"/>
      <c r="E282" s="371"/>
      <c r="F282" s="307"/>
      <c r="G282" s="477"/>
      <c r="H282" s="371"/>
      <c r="I282" s="371"/>
      <c r="J282" s="371"/>
      <c r="K282" s="371"/>
      <c r="L282" s="371"/>
      <c r="M282" s="371"/>
      <c r="N282" s="371"/>
      <c r="O282" s="371"/>
      <c r="P282" s="371"/>
      <c r="Q282" s="371"/>
      <c r="R282" s="371"/>
      <c r="S282" s="371"/>
      <c r="T282" s="371"/>
      <c r="U282" s="371"/>
      <c r="V282" s="371"/>
    </row>
    <row r="283">
      <c r="A283" s="371"/>
      <c r="B283" s="307"/>
      <c r="C283" s="307"/>
      <c r="D283" s="307"/>
      <c r="E283" s="371"/>
      <c r="F283" s="307"/>
      <c r="G283" s="477"/>
      <c r="H283" s="371"/>
      <c r="I283" s="371"/>
      <c r="J283" s="371"/>
      <c r="K283" s="371"/>
      <c r="L283" s="371"/>
      <c r="M283" s="371"/>
      <c r="N283" s="371"/>
      <c r="O283" s="371"/>
      <c r="P283" s="371"/>
      <c r="Q283" s="371"/>
      <c r="R283" s="371"/>
      <c r="S283" s="371"/>
      <c r="T283" s="371"/>
      <c r="U283" s="371"/>
      <c r="V283" s="371"/>
    </row>
    <row r="284">
      <c r="A284" s="371"/>
      <c r="B284" s="307"/>
      <c r="C284" s="307"/>
      <c r="D284" s="307"/>
      <c r="E284" s="371"/>
      <c r="F284" s="307"/>
      <c r="G284" s="477"/>
      <c r="H284" s="371"/>
      <c r="I284" s="371"/>
      <c r="J284" s="371"/>
      <c r="K284" s="371"/>
      <c r="L284" s="371"/>
      <c r="M284" s="371"/>
      <c r="N284" s="371"/>
      <c r="O284" s="371"/>
      <c r="P284" s="371"/>
      <c r="Q284" s="371"/>
      <c r="R284" s="371"/>
      <c r="S284" s="371"/>
      <c r="T284" s="371"/>
      <c r="U284" s="371"/>
      <c r="V284" s="371"/>
    </row>
    <row r="285">
      <c r="A285" s="371"/>
      <c r="B285" s="307"/>
      <c r="C285" s="307"/>
      <c r="D285" s="307"/>
      <c r="E285" s="371"/>
      <c r="F285" s="307"/>
      <c r="G285" s="477"/>
      <c r="H285" s="371"/>
      <c r="I285" s="371"/>
      <c r="J285" s="371"/>
      <c r="K285" s="371"/>
      <c r="L285" s="371"/>
      <c r="M285" s="371"/>
      <c r="N285" s="371"/>
      <c r="O285" s="371"/>
      <c r="P285" s="371"/>
      <c r="Q285" s="371"/>
      <c r="R285" s="371"/>
      <c r="S285" s="371"/>
      <c r="T285" s="371"/>
      <c r="U285" s="371"/>
      <c r="V285" s="371"/>
    </row>
    <row r="286">
      <c r="A286" s="371"/>
      <c r="B286" s="307"/>
      <c r="C286" s="307"/>
      <c r="D286" s="307"/>
      <c r="E286" s="371"/>
      <c r="F286" s="307"/>
      <c r="G286" s="477"/>
      <c r="H286" s="371"/>
      <c r="I286" s="371"/>
      <c r="J286" s="371"/>
      <c r="K286" s="371"/>
      <c r="L286" s="371"/>
      <c r="M286" s="371"/>
      <c r="N286" s="371"/>
      <c r="O286" s="371"/>
      <c r="P286" s="371"/>
      <c r="Q286" s="371"/>
      <c r="R286" s="371"/>
      <c r="S286" s="371"/>
      <c r="T286" s="371"/>
      <c r="U286" s="371"/>
      <c r="V286" s="371"/>
    </row>
    <row r="287">
      <c r="A287" s="371"/>
      <c r="B287" s="307"/>
      <c r="C287" s="307"/>
      <c r="D287" s="307"/>
      <c r="E287" s="371"/>
      <c r="F287" s="307"/>
      <c r="G287" s="477"/>
      <c r="H287" s="371"/>
      <c r="I287" s="371"/>
      <c r="J287" s="371"/>
      <c r="K287" s="371"/>
      <c r="L287" s="371"/>
      <c r="M287" s="371"/>
      <c r="N287" s="371"/>
      <c r="O287" s="371"/>
      <c r="P287" s="371"/>
      <c r="Q287" s="371"/>
      <c r="R287" s="371"/>
      <c r="S287" s="371"/>
      <c r="T287" s="371"/>
      <c r="U287" s="371"/>
      <c r="V287" s="371"/>
    </row>
    <row r="288">
      <c r="A288" s="371"/>
      <c r="B288" s="307"/>
      <c r="C288" s="307"/>
      <c r="D288" s="307"/>
      <c r="E288" s="371"/>
      <c r="F288" s="307"/>
      <c r="G288" s="477"/>
      <c r="H288" s="371"/>
      <c r="I288" s="371"/>
      <c r="J288" s="371"/>
      <c r="K288" s="371"/>
      <c r="L288" s="371"/>
      <c r="M288" s="371"/>
      <c r="N288" s="371"/>
      <c r="O288" s="371"/>
      <c r="P288" s="371"/>
      <c r="Q288" s="371"/>
      <c r="R288" s="371"/>
      <c r="S288" s="371"/>
      <c r="T288" s="371"/>
      <c r="U288" s="371"/>
      <c r="V288" s="371"/>
    </row>
    <row r="289">
      <c r="A289" s="371"/>
      <c r="B289" s="307"/>
      <c r="C289" s="307"/>
      <c r="D289" s="307"/>
      <c r="E289" s="371"/>
      <c r="F289" s="307"/>
      <c r="G289" s="477"/>
      <c r="H289" s="371"/>
      <c r="I289" s="371"/>
      <c r="J289" s="371"/>
      <c r="K289" s="371"/>
      <c r="L289" s="371"/>
      <c r="M289" s="371"/>
      <c r="N289" s="371"/>
      <c r="O289" s="371"/>
      <c r="P289" s="371"/>
      <c r="Q289" s="371"/>
      <c r="R289" s="371"/>
      <c r="S289" s="371"/>
      <c r="T289" s="371"/>
      <c r="U289" s="371"/>
      <c r="V289" s="371"/>
    </row>
    <row r="290">
      <c r="A290" s="371"/>
      <c r="B290" s="307"/>
      <c r="C290" s="307"/>
      <c r="D290" s="307"/>
      <c r="E290" s="371"/>
      <c r="F290" s="307"/>
      <c r="G290" s="477"/>
      <c r="H290" s="371"/>
      <c r="I290" s="371"/>
      <c r="J290" s="371"/>
      <c r="K290" s="371"/>
      <c r="L290" s="371"/>
      <c r="M290" s="371"/>
      <c r="N290" s="371"/>
      <c r="O290" s="371"/>
      <c r="P290" s="371"/>
      <c r="Q290" s="371"/>
      <c r="R290" s="371"/>
      <c r="S290" s="371"/>
      <c r="T290" s="371"/>
      <c r="U290" s="371"/>
      <c r="V290" s="371"/>
    </row>
    <row r="291">
      <c r="A291" s="371"/>
      <c r="B291" s="307"/>
      <c r="C291" s="307"/>
      <c r="D291" s="307"/>
      <c r="E291" s="371"/>
      <c r="F291" s="307"/>
      <c r="G291" s="477"/>
      <c r="H291" s="371"/>
      <c r="I291" s="371"/>
      <c r="J291" s="371"/>
      <c r="K291" s="371"/>
      <c r="L291" s="371"/>
      <c r="M291" s="371"/>
      <c r="N291" s="371"/>
      <c r="O291" s="371"/>
      <c r="P291" s="371"/>
      <c r="Q291" s="371"/>
      <c r="R291" s="371"/>
      <c r="S291" s="371"/>
      <c r="T291" s="371"/>
      <c r="U291" s="371"/>
      <c r="V291" s="371"/>
    </row>
    <row r="292">
      <c r="A292" s="371"/>
      <c r="B292" s="307"/>
      <c r="C292" s="307"/>
      <c r="D292" s="307"/>
      <c r="E292" s="371"/>
      <c r="F292" s="307"/>
      <c r="G292" s="477"/>
      <c r="H292" s="371"/>
      <c r="I292" s="371"/>
      <c r="J292" s="371"/>
      <c r="K292" s="371"/>
      <c r="L292" s="371"/>
      <c r="M292" s="371"/>
      <c r="N292" s="371"/>
      <c r="O292" s="371"/>
      <c r="P292" s="371"/>
      <c r="Q292" s="371"/>
      <c r="R292" s="371"/>
      <c r="S292" s="371"/>
      <c r="T292" s="371"/>
      <c r="U292" s="371"/>
      <c r="V292" s="371"/>
    </row>
    <row r="293">
      <c r="A293" s="371"/>
      <c r="B293" s="307"/>
      <c r="C293" s="307"/>
      <c r="D293" s="307"/>
      <c r="E293" s="371"/>
      <c r="F293" s="307"/>
      <c r="G293" s="477"/>
      <c r="H293" s="371"/>
      <c r="I293" s="371"/>
      <c r="J293" s="371"/>
      <c r="K293" s="371"/>
      <c r="L293" s="371"/>
      <c r="M293" s="371"/>
      <c r="N293" s="371"/>
      <c r="O293" s="371"/>
      <c r="P293" s="371"/>
      <c r="Q293" s="371"/>
      <c r="R293" s="371"/>
      <c r="S293" s="371"/>
      <c r="T293" s="371"/>
      <c r="U293" s="371"/>
      <c r="V293" s="371"/>
    </row>
    <row r="294">
      <c r="A294" s="371"/>
      <c r="B294" s="307"/>
      <c r="C294" s="307"/>
      <c r="D294" s="307"/>
      <c r="E294" s="371"/>
      <c r="F294" s="307"/>
      <c r="G294" s="477"/>
      <c r="H294" s="371"/>
      <c r="I294" s="371"/>
      <c r="J294" s="371"/>
      <c r="K294" s="371"/>
      <c r="L294" s="371"/>
      <c r="M294" s="371"/>
      <c r="N294" s="371"/>
      <c r="O294" s="371"/>
      <c r="P294" s="371"/>
      <c r="Q294" s="371"/>
      <c r="R294" s="371"/>
      <c r="S294" s="371"/>
      <c r="T294" s="371"/>
      <c r="U294" s="371"/>
      <c r="V294" s="371"/>
    </row>
    <row r="295">
      <c r="A295" s="371"/>
      <c r="B295" s="307"/>
      <c r="C295" s="307"/>
      <c r="D295" s="307"/>
      <c r="E295" s="371"/>
      <c r="F295" s="307"/>
      <c r="G295" s="477"/>
      <c r="H295" s="371"/>
      <c r="I295" s="371"/>
      <c r="J295" s="371"/>
      <c r="K295" s="371"/>
      <c r="L295" s="371"/>
      <c r="M295" s="371"/>
      <c r="N295" s="371"/>
      <c r="O295" s="371"/>
      <c r="P295" s="371"/>
      <c r="Q295" s="371"/>
      <c r="R295" s="371"/>
      <c r="S295" s="371"/>
      <c r="T295" s="371"/>
      <c r="U295" s="371"/>
      <c r="V295" s="371"/>
    </row>
    <row r="296">
      <c r="A296" s="371"/>
      <c r="B296" s="307"/>
      <c r="C296" s="307"/>
      <c r="D296" s="307"/>
      <c r="E296" s="371"/>
      <c r="F296" s="307"/>
      <c r="G296" s="477"/>
      <c r="H296" s="371"/>
      <c r="I296" s="371"/>
      <c r="J296" s="371"/>
      <c r="K296" s="371"/>
      <c r="L296" s="371"/>
      <c r="M296" s="371"/>
      <c r="N296" s="371"/>
      <c r="O296" s="371"/>
      <c r="P296" s="371"/>
      <c r="Q296" s="371"/>
      <c r="R296" s="371"/>
      <c r="S296" s="371"/>
      <c r="T296" s="371"/>
      <c r="U296" s="371"/>
      <c r="V296" s="371"/>
    </row>
    <row r="297">
      <c r="A297" s="371"/>
      <c r="B297" s="307"/>
      <c r="C297" s="307"/>
      <c r="D297" s="307"/>
      <c r="E297" s="371"/>
      <c r="F297" s="307"/>
      <c r="G297" s="477"/>
      <c r="H297" s="371"/>
      <c r="I297" s="371"/>
      <c r="J297" s="371"/>
      <c r="K297" s="371"/>
      <c r="L297" s="371"/>
      <c r="M297" s="371"/>
      <c r="N297" s="371"/>
      <c r="O297" s="371"/>
      <c r="P297" s="371"/>
      <c r="Q297" s="371"/>
      <c r="R297" s="371"/>
      <c r="S297" s="371"/>
      <c r="T297" s="371"/>
      <c r="U297" s="371"/>
      <c r="V297" s="371"/>
    </row>
    <row r="298">
      <c r="A298" s="371"/>
      <c r="B298" s="307"/>
      <c r="C298" s="307"/>
      <c r="D298" s="307"/>
      <c r="E298" s="371"/>
      <c r="F298" s="307"/>
      <c r="G298" s="477"/>
      <c r="H298" s="371"/>
      <c r="I298" s="371"/>
      <c r="J298" s="371"/>
      <c r="K298" s="371"/>
      <c r="L298" s="371"/>
      <c r="M298" s="371"/>
      <c r="N298" s="371"/>
      <c r="O298" s="371"/>
      <c r="P298" s="371"/>
      <c r="Q298" s="371"/>
      <c r="R298" s="371"/>
      <c r="S298" s="371"/>
      <c r="T298" s="371"/>
      <c r="U298" s="371"/>
      <c r="V298" s="371"/>
    </row>
    <row r="299">
      <c r="A299" s="371"/>
      <c r="B299" s="307"/>
      <c r="C299" s="307"/>
      <c r="D299" s="307"/>
      <c r="E299" s="371"/>
      <c r="F299" s="307"/>
      <c r="G299" s="477"/>
      <c r="H299" s="371"/>
      <c r="I299" s="371"/>
      <c r="J299" s="371"/>
      <c r="K299" s="371"/>
      <c r="L299" s="371"/>
      <c r="M299" s="371"/>
      <c r="N299" s="371"/>
      <c r="O299" s="371"/>
      <c r="P299" s="371"/>
      <c r="Q299" s="371"/>
      <c r="R299" s="371"/>
      <c r="S299" s="371"/>
      <c r="T299" s="371"/>
      <c r="U299" s="371"/>
      <c r="V299" s="371"/>
    </row>
    <row r="300">
      <c r="A300" s="371"/>
      <c r="B300" s="307"/>
      <c r="C300" s="307"/>
      <c r="D300" s="307"/>
      <c r="E300" s="371"/>
      <c r="F300" s="307"/>
      <c r="G300" s="477"/>
      <c r="H300" s="371"/>
      <c r="I300" s="371"/>
      <c r="J300" s="371"/>
      <c r="K300" s="371"/>
      <c r="L300" s="371"/>
      <c r="M300" s="371"/>
      <c r="N300" s="371"/>
      <c r="O300" s="371"/>
      <c r="P300" s="371"/>
      <c r="Q300" s="371"/>
      <c r="R300" s="371"/>
      <c r="S300" s="371"/>
      <c r="T300" s="371"/>
      <c r="U300" s="371"/>
      <c r="V300" s="371"/>
    </row>
    <row r="301">
      <c r="A301" s="371"/>
      <c r="B301" s="307"/>
      <c r="C301" s="307"/>
      <c r="D301" s="307"/>
      <c r="E301" s="371"/>
      <c r="F301" s="307"/>
      <c r="G301" s="477"/>
      <c r="H301" s="371"/>
      <c r="I301" s="371"/>
      <c r="J301" s="371"/>
      <c r="K301" s="371"/>
      <c r="L301" s="371"/>
      <c r="M301" s="371"/>
      <c r="N301" s="371"/>
      <c r="O301" s="371"/>
      <c r="P301" s="371"/>
      <c r="Q301" s="371"/>
      <c r="R301" s="371"/>
      <c r="S301" s="371"/>
      <c r="T301" s="371"/>
      <c r="U301" s="371"/>
      <c r="V301" s="371"/>
    </row>
    <row r="302">
      <c r="A302" s="371"/>
      <c r="B302" s="307"/>
      <c r="C302" s="307"/>
      <c r="D302" s="307"/>
      <c r="E302" s="371"/>
      <c r="F302" s="307"/>
      <c r="G302" s="477"/>
      <c r="H302" s="371"/>
      <c r="I302" s="371"/>
      <c r="J302" s="371"/>
      <c r="K302" s="371"/>
      <c r="L302" s="371"/>
      <c r="M302" s="371"/>
      <c r="N302" s="371"/>
      <c r="O302" s="371"/>
      <c r="P302" s="371"/>
      <c r="Q302" s="371"/>
      <c r="R302" s="371"/>
      <c r="S302" s="371"/>
      <c r="T302" s="371"/>
      <c r="U302" s="371"/>
      <c r="V302" s="371"/>
    </row>
    <row r="303">
      <c r="A303" s="371"/>
      <c r="B303" s="307"/>
      <c r="C303" s="307"/>
      <c r="D303" s="307"/>
      <c r="E303" s="371"/>
      <c r="F303" s="307"/>
      <c r="G303" s="477"/>
      <c r="H303" s="371"/>
      <c r="I303" s="371"/>
      <c r="J303" s="371"/>
      <c r="K303" s="371"/>
      <c r="L303" s="371"/>
      <c r="M303" s="371"/>
      <c r="N303" s="371"/>
      <c r="O303" s="371"/>
      <c r="P303" s="371"/>
      <c r="Q303" s="371"/>
      <c r="R303" s="371"/>
      <c r="S303" s="371"/>
      <c r="T303" s="371"/>
      <c r="U303" s="371"/>
      <c r="V303" s="371"/>
    </row>
    <row r="304">
      <c r="A304" s="371"/>
      <c r="B304" s="307"/>
      <c r="C304" s="307"/>
      <c r="D304" s="307"/>
      <c r="E304" s="371"/>
      <c r="F304" s="307"/>
      <c r="G304" s="477"/>
      <c r="H304" s="371"/>
      <c r="I304" s="371"/>
      <c r="J304" s="371"/>
      <c r="K304" s="371"/>
      <c r="L304" s="371"/>
      <c r="M304" s="371"/>
      <c r="N304" s="371"/>
      <c r="O304" s="371"/>
      <c r="P304" s="371"/>
      <c r="Q304" s="371"/>
      <c r="R304" s="371"/>
      <c r="S304" s="371"/>
      <c r="T304" s="371"/>
      <c r="U304" s="371"/>
      <c r="V304" s="371"/>
    </row>
    <row r="305">
      <c r="A305" s="371"/>
      <c r="B305" s="307"/>
      <c r="C305" s="307"/>
      <c r="D305" s="307"/>
      <c r="E305" s="371"/>
      <c r="F305" s="307"/>
      <c r="G305" s="477"/>
      <c r="H305" s="371"/>
      <c r="I305" s="371"/>
      <c r="J305" s="371"/>
      <c r="K305" s="371"/>
      <c r="L305" s="371"/>
      <c r="M305" s="371"/>
      <c r="N305" s="371"/>
      <c r="O305" s="371"/>
      <c r="P305" s="371"/>
      <c r="Q305" s="371"/>
      <c r="R305" s="371"/>
      <c r="S305" s="371"/>
      <c r="T305" s="371"/>
      <c r="U305" s="371"/>
      <c r="V305" s="371"/>
    </row>
    <row r="306">
      <c r="A306" s="371"/>
      <c r="B306" s="307"/>
      <c r="C306" s="307"/>
      <c r="D306" s="307"/>
      <c r="E306" s="371"/>
      <c r="F306" s="307"/>
      <c r="G306" s="477"/>
      <c r="H306" s="371"/>
      <c r="I306" s="371"/>
      <c r="J306" s="371"/>
      <c r="K306" s="371"/>
      <c r="L306" s="371"/>
      <c r="M306" s="371"/>
      <c r="N306" s="371"/>
      <c r="O306" s="371"/>
      <c r="P306" s="371"/>
      <c r="Q306" s="371"/>
      <c r="R306" s="371"/>
      <c r="S306" s="371"/>
      <c r="T306" s="371"/>
      <c r="U306" s="371"/>
      <c r="V306" s="371"/>
    </row>
    <row r="307">
      <c r="A307" s="371"/>
      <c r="B307" s="307"/>
      <c r="C307" s="307"/>
      <c r="D307" s="307"/>
      <c r="E307" s="371"/>
      <c r="F307" s="307"/>
      <c r="G307" s="477"/>
      <c r="H307" s="371"/>
      <c r="I307" s="371"/>
      <c r="J307" s="371"/>
      <c r="K307" s="371"/>
      <c r="L307" s="371"/>
      <c r="M307" s="371"/>
      <c r="N307" s="371"/>
      <c r="O307" s="371"/>
      <c r="P307" s="371"/>
      <c r="Q307" s="371"/>
      <c r="R307" s="371"/>
      <c r="S307" s="371"/>
      <c r="T307" s="371"/>
      <c r="U307" s="371"/>
      <c r="V307" s="371"/>
    </row>
    <row r="308">
      <c r="A308" s="371"/>
      <c r="B308" s="307"/>
      <c r="C308" s="307"/>
      <c r="D308" s="307"/>
      <c r="E308" s="371"/>
      <c r="F308" s="307"/>
      <c r="G308" s="477"/>
      <c r="H308" s="371"/>
      <c r="I308" s="371"/>
      <c r="J308" s="371"/>
      <c r="K308" s="371"/>
      <c r="L308" s="371"/>
      <c r="M308" s="371"/>
      <c r="N308" s="371"/>
      <c r="O308" s="371"/>
      <c r="P308" s="371"/>
      <c r="Q308" s="371"/>
      <c r="R308" s="371"/>
      <c r="S308" s="371"/>
      <c r="T308" s="371"/>
      <c r="U308" s="371"/>
      <c r="V308" s="371"/>
    </row>
    <row r="309">
      <c r="A309" s="371"/>
      <c r="B309" s="307"/>
      <c r="C309" s="307"/>
      <c r="D309" s="307"/>
      <c r="E309" s="371"/>
      <c r="F309" s="307"/>
      <c r="G309" s="477"/>
      <c r="H309" s="371"/>
      <c r="I309" s="371"/>
      <c r="J309" s="371"/>
      <c r="K309" s="371"/>
      <c r="L309" s="371"/>
      <c r="M309" s="371"/>
      <c r="N309" s="371"/>
      <c r="O309" s="371"/>
      <c r="P309" s="371"/>
      <c r="Q309" s="371"/>
      <c r="R309" s="371"/>
      <c r="S309" s="371"/>
      <c r="T309" s="371"/>
      <c r="U309" s="371"/>
      <c r="V309" s="371"/>
    </row>
    <row r="310">
      <c r="A310" s="371"/>
      <c r="B310" s="307"/>
      <c r="C310" s="307"/>
      <c r="D310" s="307"/>
      <c r="E310" s="371"/>
      <c r="F310" s="307"/>
      <c r="G310" s="477"/>
      <c r="H310" s="371"/>
      <c r="I310" s="371"/>
      <c r="J310" s="371"/>
      <c r="K310" s="371"/>
      <c r="L310" s="371"/>
      <c r="M310" s="371"/>
      <c r="N310" s="371"/>
      <c r="O310" s="371"/>
      <c r="P310" s="371"/>
      <c r="Q310" s="371"/>
      <c r="R310" s="371"/>
      <c r="S310" s="371"/>
      <c r="T310" s="371"/>
      <c r="U310" s="371"/>
      <c r="V310" s="371"/>
    </row>
    <row r="311">
      <c r="A311" s="371"/>
      <c r="B311" s="307"/>
      <c r="C311" s="307"/>
      <c r="D311" s="307"/>
      <c r="E311" s="371"/>
      <c r="F311" s="307"/>
      <c r="G311" s="477"/>
      <c r="H311" s="371"/>
      <c r="I311" s="371"/>
      <c r="J311" s="371"/>
      <c r="K311" s="371"/>
      <c r="L311" s="371"/>
      <c r="M311" s="371"/>
      <c r="N311" s="371"/>
      <c r="O311" s="371"/>
      <c r="P311" s="371"/>
      <c r="Q311" s="371"/>
      <c r="R311" s="371"/>
      <c r="S311" s="371"/>
      <c r="T311" s="371"/>
      <c r="U311" s="371"/>
      <c r="V311" s="371"/>
    </row>
    <row r="312">
      <c r="A312" s="371"/>
      <c r="B312" s="307"/>
      <c r="C312" s="307"/>
      <c r="D312" s="307"/>
      <c r="E312" s="371"/>
      <c r="F312" s="307"/>
      <c r="G312" s="477"/>
      <c r="H312" s="371"/>
      <c r="I312" s="371"/>
      <c r="J312" s="371"/>
      <c r="K312" s="371"/>
      <c r="L312" s="371"/>
      <c r="M312" s="371"/>
      <c r="N312" s="371"/>
      <c r="O312" s="371"/>
      <c r="P312" s="371"/>
      <c r="Q312" s="371"/>
      <c r="R312" s="371"/>
      <c r="S312" s="371"/>
      <c r="T312" s="371"/>
      <c r="U312" s="371"/>
      <c r="V312" s="371"/>
    </row>
    <row r="313">
      <c r="A313" s="371"/>
      <c r="B313" s="307"/>
      <c r="C313" s="307"/>
      <c r="D313" s="307"/>
      <c r="E313" s="371"/>
      <c r="F313" s="307"/>
      <c r="G313" s="477"/>
      <c r="H313" s="371"/>
      <c r="I313" s="371"/>
      <c r="J313" s="371"/>
      <c r="K313" s="371"/>
      <c r="L313" s="371"/>
      <c r="M313" s="371"/>
      <c r="N313" s="371"/>
      <c r="O313" s="371"/>
      <c r="P313" s="371"/>
      <c r="Q313" s="371"/>
      <c r="R313" s="371"/>
      <c r="S313" s="371"/>
      <c r="T313" s="371"/>
      <c r="U313" s="371"/>
      <c r="V313" s="371"/>
    </row>
    <row r="314">
      <c r="A314" s="371"/>
      <c r="B314" s="307"/>
      <c r="C314" s="307"/>
      <c r="D314" s="307"/>
      <c r="E314" s="371"/>
      <c r="F314" s="307"/>
      <c r="G314" s="477"/>
      <c r="H314" s="371"/>
      <c r="I314" s="371"/>
      <c r="J314" s="371"/>
      <c r="K314" s="371"/>
      <c r="L314" s="371"/>
      <c r="M314" s="371"/>
      <c r="N314" s="371"/>
      <c r="O314" s="371"/>
      <c r="P314" s="371"/>
      <c r="Q314" s="371"/>
      <c r="R314" s="371"/>
      <c r="S314" s="371"/>
      <c r="T314" s="371"/>
      <c r="U314" s="371"/>
      <c r="V314" s="371"/>
    </row>
    <row r="315">
      <c r="A315" s="371"/>
      <c r="B315" s="307"/>
      <c r="C315" s="307"/>
      <c r="D315" s="307"/>
      <c r="E315" s="371"/>
      <c r="F315" s="307"/>
      <c r="G315" s="477"/>
      <c r="H315" s="371"/>
      <c r="I315" s="371"/>
      <c r="J315" s="371"/>
      <c r="K315" s="371"/>
      <c r="L315" s="371"/>
      <c r="M315" s="371"/>
      <c r="N315" s="371"/>
      <c r="O315" s="371"/>
      <c r="P315" s="371"/>
      <c r="Q315" s="371"/>
      <c r="R315" s="371"/>
      <c r="S315" s="371"/>
      <c r="T315" s="371"/>
      <c r="U315" s="371"/>
      <c r="V315" s="371"/>
    </row>
    <row r="316">
      <c r="A316" s="371"/>
      <c r="B316" s="307"/>
      <c r="C316" s="307"/>
      <c r="D316" s="307"/>
      <c r="E316" s="371"/>
      <c r="F316" s="307"/>
      <c r="G316" s="477"/>
      <c r="H316" s="371"/>
      <c r="I316" s="371"/>
      <c r="J316" s="371"/>
      <c r="K316" s="371"/>
      <c r="L316" s="371"/>
      <c r="M316" s="371"/>
      <c r="N316" s="371"/>
      <c r="O316" s="371"/>
      <c r="P316" s="371"/>
      <c r="Q316" s="371"/>
      <c r="R316" s="371"/>
      <c r="S316" s="371"/>
      <c r="T316" s="371"/>
      <c r="U316" s="371"/>
      <c r="V316" s="371"/>
    </row>
    <row r="317">
      <c r="A317" s="371"/>
      <c r="B317" s="307"/>
      <c r="C317" s="307"/>
      <c r="D317" s="307"/>
      <c r="E317" s="371"/>
      <c r="F317" s="307"/>
      <c r="G317" s="477"/>
      <c r="H317" s="371"/>
      <c r="I317" s="371"/>
      <c r="J317" s="371"/>
      <c r="K317" s="371"/>
      <c r="L317" s="371"/>
      <c r="M317" s="371"/>
      <c r="N317" s="371"/>
      <c r="O317" s="371"/>
      <c r="P317" s="371"/>
      <c r="Q317" s="371"/>
      <c r="R317" s="371"/>
      <c r="S317" s="371"/>
      <c r="T317" s="371"/>
      <c r="U317" s="371"/>
      <c r="V317" s="371"/>
    </row>
    <row r="318">
      <c r="A318" s="371"/>
      <c r="B318" s="307"/>
      <c r="C318" s="307"/>
      <c r="D318" s="307"/>
      <c r="E318" s="371"/>
      <c r="F318" s="307"/>
      <c r="G318" s="477"/>
      <c r="H318" s="371"/>
      <c r="I318" s="371"/>
      <c r="J318" s="371"/>
      <c r="K318" s="371"/>
      <c r="L318" s="371"/>
      <c r="M318" s="371"/>
      <c r="N318" s="371"/>
      <c r="O318" s="371"/>
      <c r="P318" s="371"/>
      <c r="Q318" s="371"/>
      <c r="R318" s="371"/>
      <c r="S318" s="371"/>
      <c r="T318" s="371"/>
      <c r="U318" s="371"/>
      <c r="V318" s="371"/>
    </row>
    <row r="319">
      <c r="A319" s="371"/>
      <c r="B319" s="307"/>
      <c r="C319" s="307"/>
      <c r="D319" s="307"/>
      <c r="E319" s="371"/>
      <c r="F319" s="307"/>
      <c r="G319" s="477"/>
      <c r="H319" s="371"/>
      <c r="I319" s="371"/>
      <c r="J319" s="371"/>
      <c r="K319" s="371"/>
      <c r="L319" s="371"/>
      <c r="M319" s="371"/>
      <c r="N319" s="371"/>
      <c r="O319" s="371"/>
      <c r="P319" s="371"/>
      <c r="Q319" s="371"/>
      <c r="R319" s="371"/>
      <c r="S319" s="371"/>
      <c r="T319" s="371"/>
      <c r="U319" s="371"/>
      <c r="V319" s="371"/>
    </row>
    <row r="320">
      <c r="A320" s="371"/>
      <c r="B320" s="307"/>
      <c r="C320" s="307"/>
      <c r="D320" s="307"/>
      <c r="E320" s="371"/>
      <c r="F320" s="307"/>
      <c r="G320" s="477"/>
      <c r="H320" s="371"/>
      <c r="I320" s="371"/>
      <c r="J320" s="371"/>
      <c r="K320" s="371"/>
      <c r="L320" s="371"/>
      <c r="M320" s="371"/>
      <c r="N320" s="371"/>
      <c r="O320" s="371"/>
      <c r="P320" s="371"/>
      <c r="Q320" s="371"/>
      <c r="R320" s="371"/>
      <c r="S320" s="371"/>
      <c r="T320" s="371"/>
      <c r="U320" s="371"/>
      <c r="V320" s="371"/>
    </row>
    <row r="321">
      <c r="A321" s="371"/>
      <c r="B321" s="307"/>
      <c r="C321" s="307"/>
      <c r="D321" s="307"/>
      <c r="E321" s="371"/>
      <c r="F321" s="307"/>
      <c r="G321" s="477"/>
      <c r="H321" s="371"/>
      <c r="I321" s="371"/>
      <c r="J321" s="371"/>
      <c r="K321" s="371"/>
      <c r="L321" s="371"/>
      <c r="M321" s="371"/>
      <c r="N321" s="371"/>
      <c r="O321" s="371"/>
      <c r="P321" s="371"/>
      <c r="Q321" s="371"/>
      <c r="R321" s="371"/>
      <c r="S321" s="371"/>
      <c r="T321" s="371"/>
      <c r="U321" s="371"/>
      <c r="V321" s="371"/>
    </row>
    <row r="322">
      <c r="A322" s="371"/>
      <c r="B322" s="307"/>
      <c r="C322" s="307"/>
      <c r="D322" s="307"/>
      <c r="E322" s="371"/>
      <c r="F322" s="307"/>
      <c r="G322" s="477"/>
      <c r="H322" s="371"/>
      <c r="I322" s="371"/>
      <c r="J322" s="371"/>
      <c r="K322" s="371"/>
      <c r="L322" s="371"/>
      <c r="M322" s="371"/>
      <c r="N322" s="371"/>
      <c r="O322" s="371"/>
      <c r="P322" s="371"/>
      <c r="Q322" s="371"/>
      <c r="R322" s="371"/>
      <c r="S322" s="371"/>
      <c r="T322" s="371"/>
      <c r="U322" s="371"/>
      <c r="V322" s="371"/>
    </row>
    <row r="323">
      <c r="A323" s="371"/>
      <c r="B323" s="307"/>
      <c r="C323" s="307"/>
      <c r="D323" s="307"/>
      <c r="E323" s="371"/>
      <c r="F323" s="307"/>
      <c r="G323" s="477"/>
      <c r="H323" s="371"/>
      <c r="I323" s="371"/>
      <c r="J323" s="371"/>
      <c r="K323" s="371"/>
      <c r="L323" s="371"/>
      <c r="M323" s="371"/>
      <c r="N323" s="371"/>
      <c r="O323" s="371"/>
      <c r="P323" s="371"/>
      <c r="Q323" s="371"/>
      <c r="R323" s="371"/>
      <c r="S323" s="371"/>
      <c r="T323" s="371"/>
      <c r="U323" s="371"/>
      <c r="V323" s="371"/>
    </row>
    <row r="324">
      <c r="A324" s="371"/>
      <c r="B324" s="307"/>
      <c r="C324" s="307"/>
      <c r="D324" s="307"/>
      <c r="E324" s="371"/>
      <c r="F324" s="307"/>
      <c r="G324" s="477"/>
      <c r="H324" s="371"/>
      <c r="I324" s="371"/>
      <c r="J324" s="371"/>
      <c r="K324" s="371"/>
      <c r="L324" s="371"/>
      <c r="M324" s="371"/>
      <c r="N324" s="371"/>
      <c r="O324" s="371"/>
      <c r="P324" s="371"/>
      <c r="Q324" s="371"/>
      <c r="R324" s="371"/>
      <c r="S324" s="371"/>
      <c r="T324" s="371"/>
      <c r="U324" s="371"/>
      <c r="V324" s="371"/>
    </row>
    <row r="325">
      <c r="A325" s="371"/>
      <c r="B325" s="307"/>
      <c r="C325" s="307"/>
      <c r="D325" s="307"/>
      <c r="E325" s="371"/>
      <c r="F325" s="307"/>
      <c r="G325" s="477"/>
      <c r="H325" s="371"/>
      <c r="I325" s="371"/>
      <c r="J325" s="371"/>
      <c r="K325" s="371"/>
      <c r="L325" s="371"/>
      <c r="M325" s="371"/>
      <c r="N325" s="371"/>
      <c r="O325" s="371"/>
      <c r="P325" s="371"/>
      <c r="Q325" s="371"/>
      <c r="R325" s="371"/>
      <c r="S325" s="371"/>
      <c r="T325" s="371"/>
      <c r="U325" s="371"/>
      <c r="V325" s="371"/>
    </row>
    <row r="326">
      <c r="A326" s="371"/>
      <c r="B326" s="307"/>
      <c r="C326" s="307"/>
      <c r="D326" s="307"/>
      <c r="E326" s="371"/>
      <c r="F326" s="307"/>
      <c r="G326" s="477"/>
      <c r="H326" s="371"/>
      <c r="I326" s="371"/>
      <c r="J326" s="371"/>
      <c r="K326" s="371"/>
      <c r="L326" s="371"/>
      <c r="M326" s="371"/>
      <c r="N326" s="371"/>
      <c r="O326" s="371"/>
      <c r="P326" s="371"/>
      <c r="Q326" s="371"/>
      <c r="R326" s="371"/>
      <c r="S326" s="371"/>
      <c r="T326" s="371"/>
      <c r="U326" s="371"/>
      <c r="V326" s="371"/>
    </row>
    <row r="327">
      <c r="A327" s="371"/>
      <c r="B327" s="307"/>
      <c r="C327" s="307"/>
      <c r="D327" s="307"/>
      <c r="E327" s="371"/>
      <c r="F327" s="307"/>
      <c r="G327" s="477"/>
      <c r="H327" s="371"/>
      <c r="I327" s="371"/>
      <c r="J327" s="371"/>
      <c r="K327" s="371"/>
      <c r="L327" s="371"/>
      <c r="M327" s="371"/>
      <c r="N327" s="371"/>
      <c r="O327" s="371"/>
      <c r="P327" s="371"/>
      <c r="Q327" s="371"/>
      <c r="R327" s="371"/>
      <c r="S327" s="371"/>
      <c r="T327" s="371"/>
      <c r="U327" s="371"/>
      <c r="V327" s="371"/>
    </row>
    <row r="328">
      <c r="A328" s="371"/>
      <c r="B328" s="307"/>
      <c r="C328" s="307"/>
      <c r="D328" s="307"/>
      <c r="E328" s="371"/>
      <c r="F328" s="307"/>
      <c r="G328" s="477"/>
      <c r="H328" s="371"/>
      <c r="I328" s="371"/>
      <c r="J328" s="371"/>
      <c r="K328" s="371"/>
      <c r="L328" s="371"/>
      <c r="M328" s="371"/>
      <c r="N328" s="371"/>
      <c r="O328" s="371"/>
      <c r="P328" s="371"/>
      <c r="Q328" s="371"/>
      <c r="R328" s="371"/>
      <c r="S328" s="371"/>
      <c r="T328" s="371"/>
      <c r="U328" s="371"/>
      <c r="V328" s="371"/>
    </row>
    <row r="329">
      <c r="A329" s="371"/>
      <c r="B329" s="307"/>
      <c r="C329" s="307"/>
      <c r="D329" s="307"/>
      <c r="E329" s="371"/>
      <c r="F329" s="307"/>
      <c r="G329" s="477"/>
      <c r="H329" s="371"/>
      <c r="I329" s="371"/>
      <c r="J329" s="371"/>
      <c r="K329" s="371"/>
      <c r="L329" s="371"/>
      <c r="M329" s="371"/>
      <c r="N329" s="371"/>
      <c r="O329" s="371"/>
      <c r="P329" s="371"/>
      <c r="Q329" s="371"/>
      <c r="R329" s="371"/>
      <c r="S329" s="371"/>
      <c r="T329" s="371"/>
      <c r="U329" s="371"/>
      <c r="V329" s="371"/>
    </row>
    <row r="330">
      <c r="A330" s="371"/>
      <c r="B330" s="307"/>
      <c r="C330" s="307"/>
      <c r="D330" s="307"/>
      <c r="E330" s="371"/>
      <c r="F330" s="307"/>
      <c r="G330" s="477"/>
      <c r="H330" s="371"/>
      <c r="I330" s="371"/>
      <c r="J330" s="371"/>
      <c r="K330" s="371"/>
      <c r="L330" s="371"/>
      <c r="M330" s="371"/>
      <c r="N330" s="371"/>
      <c r="O330" s="371"/>
      <c r="P330" s="371"/>
      <c r="Q330" s="371"/>
      <c r="R330" s="371"/>
      <c r="S330" s="371"/>
      <c r="T330" s="371"/>
      <c r="U330" s="371"/>
      <c r="V330" s="371"/>
    </row>
    <row r="331">
      <c r="A331" s="371"/>
      <c r="B331" s="307"/>
      <c r="C331" s="307"/>
      <c r="D331" s="307"/>
      <c r="E331" s="371"/>
      <c r="F331" s="307"/>
      <c r="G331" s="477"/>
      <c r="H331" s="371"/>
      <c r="I331" s="371"/>
      <c r="J331" s="371"/>
      <c r="K331" s="371"/>
      <c r="L331" s="371"/>
      <c r="M331" s="371"/>
      <c r="N331" s="371"/>
      <c r="O331" s="371"/>
      <c r="P331" s="371"/>
      <c r="Q331" s="371"/>
      <c r="R331" s="371"/>
      <c r="S331" s="371"/>
      <c r="T331" s="371"/>
      <c r="U331" s="371"/>
      <c r="V331" s="371"/>
    </row>
    <row r="332">
      <c r="A332" s="371"/>
      <c r="B332" s="307"/>
      <c r="C332" s="307"/>
      <c r="D332" s="307"/>
      <c r="E332" s="371"/>
      <c r="F332" s="307"/>
      <c r="G332" s="477"/>
      <c r="H332" s="371"/>
      <c r="I332" s="371"/>
      <c r="J332" s="371"/>
      <c r="K332" s="371"/>
      <c r="L332" s="371"/>
      <c r="M332" s="371"/>
      <c r="N332" s="371"/>
      <c r="O332" s="371"/>
      <c r="P332" s="371"/>
      <c r="Q332" s="371"/>
      <c r="R332" s="371"/>
      <c r="S332" s="371"/>
      <c r="T332" s="371"/>
      <c r="U332" s="371"/>
      <c r="V332" s="371"/>
    </row>
    <row r="333">
      <c r="A333" s="371"/>
      <c r="B333" s="307"/>
      <c r="C333" s="307"/>
      <c r="D333" s="307"/>
      <c r="E333" s="371"/>
      <c r="F333" s="307"/>
      <c r="G333" s="477"/>
      <c r="H333" s="371"/>
      <c r="I333" s="371"/>
      <c r="J333" s="371"/>
      <c r="K333" s="371"/>
      <c r="L333" s="371"/>
      <c r="M333" s="371"/>
      <c r="N333" s="371"/>
      <c r="O333" s="371"/>
      <c r="P333" s="371"/>
      <c r="Q333" s="371"/>
      <c r="R333" s="371"/>
      <c r="S333" s="371"/>
      <c r="T333" s="371"/>
      <c r="U333" s="371"/>
      <c r="V333" s="371"/>
    </row>
    <row r="334">
      <c r="A334" s="371"/>
      <c r="B334" s="307"/>
      <c r="C334" s="307"/>
      <c r="D334" s="307"/>
      <c r="E334" s="371"/>
      <c r="F334" s="307"/>
      <c r="G334" s="477"/>
      <c r="H334" s="371"/>
      <c r="I334" s="371"/>
      <c r="J334" s="371"/>
      <c r="K334" s="371"/>
      <c r="L334" s="371"/>
      <c r="M334" s="371"/>
      <c r="N334" s="371"/>
      <c r="O334" s="371"/>
      <c r="P334" s="371"/>
      <c r="Q334" s="371"/>
      <c r="R334" s="371"/>
      <c r="S334" s="371"/>
      <c r="T334" s="371"/>
      <c r="U334" s="371"/>
      <c r="V334" s="371"/>
    </row>
    <row r="335">
      <c r="A335" s="371"/>
      <c r="B335" s="307"/>
      <c r="C335" s="307"/>
      <c r="D335" s="307"/>
      <c r="E335" s="371"/>
      <c r="F335" s="307"/>
      <c r="G335" s="477"/>
      <c r="H335" s="371"/>
      <c r="I335" s="371"/>
      <c r="J335" s="371"/>
      <c r="K335" s="371"/>
      <c r="L335" s="371"/>
      <c r="M335" s="371"/>
      <c r="N335" s="371"/>
      <c r="O335" s="371"/>
      <c r="P335" s="371"/>
      <c r="Q335" s="371"/>
      <c r="R335" s="371"/>
      <c r="S335" s="371"/>
      <c r="T335" s="371"/>
      <c r="U335" s="371"/>
      <c r="V335" s="371"/>
    </row>
    <row r="336">
      <c r="A336" s="371"/>
      <c r="B336" s="307"/>
      <c r="C336" s="307"/>
      <c r="D336" s="307"/>
      <c r="E336" s="371"/>
      <c r="F336" s="307"/>
      <c r="G336" s="477"/>
      <c r="H336" s="371"/>
      <c r="I336" s="371"/>
      <c r="J336" s="371"/>
      <c r="K336" s="371"/>
      <c r="L336" s="371"/>
      <c r="M336" s="371"/>
      <c r="N336" s="371"/>
      <c r="O336" s="371"/>
      <c r="P336" s="371"/>
      <c r="Q336" s="371"/>
      <c r="R336" s="371"/>
      <c r="S336" s="371"/>
      <c r="T336" s="371"/>
      <c r="U336" s="371"/>
      <c r="V336" s="371"/>
    </row>
    <row r="337">
      <c r="A337" s="371"/>
      <c r="B337" s="307"/>
      <c r="C337" s="307"/>
      <c r="D337" s="307"/>
      <c r="E337" s="371"/>
      <c r="F337" s="307"/>
      <c r="G337" s="477"/>
      <c r="H337" s="371"/>
      <c r="I337" s="371"/>
      <c r="J337" s="371"/>
      <c r="K337" s="371"/>
      <c r="L337" s="371"/>
      <c r="M337" s="371"/>
      <c r="N337" s="371"/>
      <c r="O337" s="371"/>
      <c r="P337" s="371"/>
      <c r="Q337" s="371"/>
      <c r="R337" s="371"/>
      <c r="S337" s="371"/>
      <c r="T337" s="371"/>
      <c r="U337" s="371"/>
      <c r="V337" s="371"/>
    </row>
    <row r="338">
      <c r="A338" s="371"/>
      <c r="B338" s="307"/>
      <c r="C338" s="307"/>
      <c r="D338" s="307"/>
      <c r="E338" s="371"/>
      <c r="F338" s="307"/>
      <c r="G338" s="477"/>
      <c r="H338" s="371"/>
      <c r="I338" s="371"/>
      <c r="J338" s="371"/>
      <c r="K338" s="371"/>
      <c r="L338" s="371"/>
      <c r="M338" s="371"/>
      <c r="N338" s="371"/>
      <c r="O338" s="371"/>
      <c r="P338" s="371"/>
      <c r="Q338" s="371"/>
      <c r="R338" s="371"/>
      <c r="S338" s="371"/>
      <c r="T338" s="371"/>
      <c r="U338" s="371"/>
      <c r="V338" s="371"/>
    </row>
    <row r="339">
      <c r="A339" s="371"/>
      <c r="B339" s="307"/>
      <c r="C339" s="307"/>
      <c r="D339" s="307"/>
      <c r="E339" s="371"/>
      <c r="F339" s="307"/>
      <c r="G339" s="477"/>
      <c r="H339" s="371"/>
      <c r="I339" s="371"/>
      <c r="J339" s="371"/>
      <c r="K339" s="371"/>
      <c r="L339" s="371"/>
      <c r="M339" s="371"/>
      <c r="N339" s="371"/>
      <c r="O339" s="371"/>
      <c r="P339" s="371"/>
      <c r="Q339" s="371"/>
      <c r="R339" s="371"/>
      <c r="S339" s="371"/>
      <c r="T339" s="371"/>
      <c r="U339" s="371"/>
      <c r="V339" s="371"/>
    </row>
    <row r="340">
      <c r="A340" s="371"/>
      <c r="B340" s="307"/>
      <c r="C340" s="307"/>
      <c r="D340" s="307"/>
      <c r="E340" s="371"/>
      <c r="F340" s="307"/>
      <c r="G340" s="477"/>
      <c r="H340" s="371"/>
      <c r="I340" s="371"/>
      <c r="J340" s="371"/>
      <c r="K340" s="371"/>
      <c r="L340" s="371"/>
      <c r="M340" s="371"/>
      <c r="N340" s="371"/>
      <c r="O340" s="371"/>
      <c r="P340" s="371"/>
      <c r="Q340" s="371"/>
      <c r="R340" s="371"/>
      <c r="S340" s="371"/>
      <c r="T340" s="371"/>
      <c r="U340" s="371"/>
      <c r="V340" s="371"/>
    </row>
    <row r="341">
      <c r="A341" s="371"/>
      <c r="B341" s="307"/>
      <c r="C341" s="307"/>
      <c r="D341" s="307"/>
      <c r="E341" s="371"/>
      <c r="F341" s="307"/>
      <c r="G341" s="477"/>
      <c r="H341" s="371"/>
      <c r="I341" s="371"/>
      <c r="J341" s="371"/>
      <c r="K341" s="371"/>
      <c r="L341" s="371"/>
      <c r="M341" s="371"/>
      <c r="N341" s="371"/>
      <c r="O341" s="371"/>
      <c r="P341" s="371"/>
      <c r="Q341" s="371"/>
      <c r="R341" s="371"/>
      <c r="S341" s="371"/>
      <c r="T341" s="371"/>
      <c r="U341" s="371"/>
      <c r="V341" s="371"/>
    </row>
    <row r="342">
      <c r="A342" s="371"/>
      <c r="B342" s="307"/>
      <c r="C342" s="307"/>
      <c r="D342" s="307"/>
      <c r="E342" s="371"/>
      <c r="F342" s="307"/>
      <c r="G342" s="477"/>
      <c r="H342" s="371"/>
      <c r="I342" s="371"/>
      <c r="J342" s="371"/>
      <c r="K342" s="371"/>
      <c r="L342" s="371"/>
      <c r="M342" s="371"/>
      <c r="N342" s="371"/>
      <c r="O342" s="371"/>
      <c r="P342" s="371"/>
      <c r="Q342" s="371"/>
      <c r="R342" s="371"/>
      <c r="S342" s="371"/>
      <c r="T342" s="371"/>
      <c r="U342" s="371"/>
      <c r="V342" s="371"/>
    </row>
    <row r="343">
      <c r="A343" s="371"/>
      <c r="B343" s="307"/>
      <c r="C343" s="307"/>
      <c r="D343" s="307"/>
      <c r="E343" s="371"/>
      <c r="F343" s="307"/>
      <c r="G343" s="477"/>
      <c r="H343" s="371"/>
      <c r="I343" s="371"/>
      <c r="J343" s="371"/>
      <c r="K343" s="371"/>
      <c r="L343" s="371"/>
      <c r="M343" s="371"/>
      <c r="N343" s="371"/>
      <c r="O343" s="371"/>
      <c r="P343" s="371"/>
      <c r="Q343" s="371"/>
      <c r="R343" s="371"/>
      <c r="S343" s="371"/>
      <c r="T343" s="371"/>
      <c r="U343" s="371"/>
      <c r="V343" s="371"/>
    </row>
    <row r="344">
      <c r="A344" s="371"/>
      <c r="B344" s="307"/>
      <c r="C344" s="307"/>
      <c r="D344" s="307"/>
      <c r="E344" s="371"/>
      <c r="F344" s="307"/>
      <c r="G344" s="477"/>
      <c r="H344" s="371"/>
      <c r="I344" s="371"/>
      <c r="J344" s="371"/>
      <c r="K344" s="371"/>
      <c r="L344" s="371"/>
      <c r="M344" s="371"/>
      <c r="N344" s="371"/>
      <c r="O344" s="371"/>
      <c r="P344" s="371"/>
      <c r="Q344" s="371"/>
      <c r="R344" s="371"/>
      <c r="S344" s="371"/>
      <c r="T344" s="371"/>
      <c r="U344" s="371"/>
      <c r="V344" s="371"/>
    </row>
    <row r="345">
      <c r="A345" s="371"/>
      <c r="B345" s="307"/>
      <c r="C345" s="307"/>
      <c r="D345" s="307"/>
      <c r="E345" s="371"/>
      <c r="F345" s="307"/>
      <c r="G345" s="477"/>
      <c r="H345" s="371"/>
      <c r="I345" s="371"/>
      <c r="J345" s="371"/>
      <c r="K345" s="371"/>
      <c r="L345" s="371"/>
      <c r="M345" s="371"/>
      <c r="N345" s="371"/>
      <c r="O345" s="371"/>
      <c r="P345" s="371"/>
      <c r="Q345" s="371"/>
      <c r="R345" s="371"/>
      <c r="S345" s="371"/>
      <c r="T345" s="371"/>
      <c r="U345" s="371"/>
      <c r="V345" s="371"/>
    </row>
    <row r="346">
      <c r="A346" s="371"/>
      <c r="B346" s="307"/>
      <c r="C346" s="307"/>
      <c r="D346" s="307"/>
      <c r="E346" s="371"/>
      <c r="F346" s="307"/>
      <c r="G346" s="477"/>
      <c r="H346" s="371"/>
      <c r="I346" s="371"/>
      <c r="J346" s="371"/>
      <c r="K346" s="371"/>
      <c r="L346" s="371"/>
      <c r="M346" s="371"/>
      <c r="N346" s="371"/>
      <c r="O346" s="371"/>
      <c r="P346" s="371"/>
      <c r="Q346" s="371"/>
      <c r="R346" s="371"/>
      <c r="S346" s="371"/>
      <c r="T346" s="371"/>
      <c r="U346" s="371"/>
      <c r="V346" s="371"/>
    </row>
    <row r="347">
      <c r="A347" s="371"/>
      <c r="B347" s="307"/>
      <c r="C347" s="307"/>
      <c r="D347" s="307"/>
      <c r="E347" s="371"/>
      <c r="F347" s="307"/>
      <c r="G347" s="477"/>
      <c r="H347" s="371"/>
      <c r="I347" s="371"/>
      <c r="J347" s="371"/>
      <c r="K347" s="371"/>
      <c r="L347" s="371"/>
      <c r="M347" s="371"/>
      <c r="N347" s="371"/>
      <c r="O347" s="371"/>
      <c r="P347" s="371"/>
      <c r="Q347" s="371"/>
      <c r="R347" s="371"/>
      <c r="S347" s="371"/>
      <c r="T347" s="371"/>
      <c r="U347" s="371"/>
      <c r="V347" s="371"/>
    </row>
    <row r="348">
      <c r="A348" s="371"/>
      <c r="B348" s="307"/>
      <c r="C348" s="307"/>
      <c r="D348" s="307"/>
      <c r="E348" s="371"/>
      <c r="F348" s="307"/>
      <c r="G348" s="477"/>
      <c r="H348" s="371"/>
      <c r="I348" s="371"/>
      <c r="J348" s="371"/>
      <c r="K348" s="371"/>
      <c r="L348" s="371"/>
      <c r="M348" s="371"/>
      <c r="N348" s="371"/>
      <c r="O348" s="371"/>
      <c r="P348" s="371"/>
      <c r="Q348" s="371"/>
      <c r="R348" s="371"/>
      <c r="S348" s="371"/>
      <c r="T348" s="371"/>
      <c r="U348" s="371"/>
      <c r="V348" s="371"/>
    </row>
    <row r="349">
      <c r="A349" s="371"/>
      <c r="B349" s="307"/>
      <c r="C349" s="307"/>
      <c r="D349" s="307"/>
      <c r="E349" s="371"/>
      <c r="F349" s="307"/>
      <c r="G349" s="477"/>
      <c r="H349" s="371"/>
      <c r="I349" s="371"/>
      <c r="J349" s="371"/>
      <c r="K349" s="371"/>
      <c r="L349" s="371"/>
      <c r="M349" s="371"/>
      <c r="N349" s="371"/>
      <c r="O349" s="371"/>
      <c r="P349" s="371"/>
      <c r="Q349" s="371"/>
      <c r="R349" s="371"/>
      <c r="S349" s="371"/>
      <c r="T349" s="371"/>
      <c r="U349" s="371"/>
      <c r="V349" s="371"/>
    </row>
    <row r="350">
      <c r="A350" s="371"/>
      <c r="B350" s="307"/>
      <c r="C350" s="307"/>
      <c r="D350" s="307"/>
      <c r="E350" s="371"/>
      <c r="F350" s="307"/>
      <c r="G350" s="477"/>
      <c r="H350" s="371"/>
      <c r="I350" s="371"/>
      <c r="J350" s="371"/>
      <c r="K350" s="371"/>
      <c r="L350" s="371"/>
      <c r="M350" s="371"/>
      <c r="N350" s="371"/>
      <c r="O350" s="371"/>
      <c r="P350" s="371"/>
      <c r="Q350" s="371"/>
      <c r="R350" s="371"/>
      <c r="S350" s="371"/>
      <c r="T350" s="371"/>
      <c r="U350" s="371"/>
      <c r="V350" s="371"/>
    </row>
    <row r="351">
      <c r="A351" s="371"/>
      <c r="B351" s="307"/>
      <c r="C351" s="307"/>
      <c r="D351" s="307"/>
      <c r="E351" s="371"/>
      <c r="F351" s="307"/>
      <c r="G351" s="477"/>
      <c r="H351" s="371"/>
      <c r="I351" s="371"/>
      <c r="J351" s="371"/>
      <c r="K351" s="371"/>
      <c r="L351" s="371"/>
      <c r="M351" s="371"/>
      <c r="N351" s="371"/>
      <c r="O351" s="371"/>
      <c r="P351" s="371"/>
      <c r="Q351" s="371"/>
      <c r="R351" s="371"/>
      <c r="S351" s="371"/>
      <c r="T351" s="371"/>
      <c r="U351" s="371"/>
      <c r="V351" s="371"/>
    </row>
    <row r="352">
      <c r="A352" s="371"/>
      <c r="B352" s="307"/>
      <c r="C352" s="307"/>
      <c r="D352" s="307"/>
      <c r="E352" s="371"/>
      <c r="F352" s="307"/>
      <c r="G352" s="477"/>
      <c r="H352" s="371"/>
      <c r="I352" s="371"/>
      <c r="J352" s="371"/>
      <c r="K352" s="371"/>
      <c r="L352" s="371"/>
      <c r="M352" s="371"/>
      <c r="N352" s="371"/>
      <c r="O352" s="371"/>
      <c r="P352" s="371"/>
      <c r="Q352" s="371"/>
      <c r="R352" s="371"/>
      <c r="S352" s="371"/>
      <c r="T352" s="371"/>
      <c r="U352" s="371"/>
      <c r="V352" s="371"/>
    </row>
    <row r="353">
      <c r="A353" s="371"/>
      <c r="B353" s="307"/>
      <c r="C353" s="307"/>
      <c r="D353" s="307"/>
      <c r="E353" s="371"/>
      <c r="F353" s="307"/>
      <c r="G353" s="477"/>
      <c r="H353" s="371"/>
      <c r="I353" s="371"/>
      <c r="J353" s="371"/>
      <c r="K353" s="371"/>
      <c r="L353" s="371"/>
      <c r="M353" s="371"/>
      <c r="N353" s="371"/>
      <c r="O353" s="371"/>
      <c r="P353" s="371"/>
      <c r="Q353" s="371"/>
      <c r="R353" s="371"/>
      <c r="S353" s="371"/>
      <c r="T353" s="371"/>
      <c r="U353" s="371"/>
      <c r="V353" s="371"/>
    </row>
    <row r="354">
      <c r="A354" s="371"/>
      <c r="B354" s="307"/>
      <c r="C354" s="307"/>
      <c r="D354" s="307"/>
      <c r="E354" s="371"/>
      <c r="F354" s="307"/>
      <c r="G354" s="477"/>
      <c r="H354" s="371"/>
      <c r="I354" s="371"/>
      <c r="J354" s="371"/>
      <c r="K354" s="371"/>
      <c r="L354" s="371"/>
      <c r="M354" s="371"/>
      <c r="N354" s="371"/>
      <c r="O354" s="371"/>
      <c r="P354" s="371"/>
      <c r="Q354" s="371"/>
      <c r="R354" s="371"/>
      <c r="S354" s="371"/>
      <c r="T354" s="371"/>
      <c r="U354" s="371"/>
      <c r="V354" s="371"/>
    </row>
    <row r="355">
      <c r="A355" s="371"/>
      <c r="B355" s="307"/>
      <c r="C355" s="307"/>
      <c r="D355" s="307"/>
      <c r="E355" s="371"/>
      <c r="F355" s="307"/>
      <c r="G355" s="477"/>
      <c r="H355" s="371"/>
      <c r="I355" s="371"/>
      <c r="J355" s="371"/>
      <c r="K355" s="371"/>
      <c r="L355" s="371"/>
      <c r="M355" s="371"/>
      <c r="N355" s="371"/>
      <c r="O355" s="371"/>
      <c r="P355" s="371"/>
      <c r="Q355" s="371"/>
      <c r="R355" s="371"/>
      <c r="S355" s="371"/>
      <c r="T355" s="371"/>
      <c r="U355" s="371"/>
      <c r="V355" s="371"/>
    </row>
    <row r="356">
      <c r="A356" s="371"/>
      <c r="B356" s="307"/>
      <c r="C356" s="307"/>
      <c r="D356" s="307"/>
      <c r="E356" s="371"/>
      <c r="F356" s="307"/>
      <c r="G356" s="477"/>
      <c r="H356" s="371"/>
      <c r="I356" s="371"/>
      <c r="J356" s="371"/>
      <c r="K356" s="371"/>
      <c r="L356" s="371"/>
      <c r="M356" s="371"/>
      <c r="N356" s="371"/>
      <c r="O356" s="371"/>
      <c r="P356" s="371"/>
      <c r="Q356" s="371"/>
      <c r="R356" s="371"/>
      <c r="S356" s="371"/>
      <c r="T356" s="371"/>
      <c r="U356" s="371"/>
      <c r="V356" s="371"/>
    </row>
    <row r="357">
      <c r="A357" s="371"/>
      <c r="B357" s="307"/>
      <c r="C357" s="307"/>
      <c r="D357" s="307"/>
      <c r="E357" s="371"/>
      <c r="F357" s="307"/>
      <c r="G357" s="477"/>
      <c r="H357" s="371"/>
      <c r="I357" s="371"/>
      <c r="J357" s="371"/>
      <c r="K357" s="371"/>
      <c r="L357" s="371"/>
      <c r="M357" s="371"/>
      <c r="N357" s="371"/>
      <c r="O357" s="371"/>
      <c r="P357" s="371"/>
      <c r="Q357" s="371"/>
      <c r="R357" s="371"/>
      <c r="S357" s="371"/>
      <c r="T357" s="371"/>
      <c r="U357" s="371"/>
      <c r="V357" s="371"/>
    </row>
    <row r="358">
      <c r="A358" s="371"/>
      <c r="B358" s="307"/>
      <c r="C358" s="307"/>
      <c r="D358" s="307"/>
      <c r="E358" s="371"/>
      <c r="F358" s="307"/>
      <c r="G358" s="477"/>
      <c r="H358" s="371"/>
      <c r="I358" s="371"/>
      <c r="J358" s="371"/>
      <c r="K358" s="371"/>
      <c r="L358" s="371"/>
      <c r="M358" s="371"/>
      <c r="N358" s="371"/>
      <c r="O358" s="371"/>
      <c r="P358" s="371"/>
      <c r="Q358" s="371"/>
      <c r="R358" s="371"/>
      <c r="S358" s="371"/>
      <c r="T358" s="371"/>
      <c r="U358" s="371"/>
      <c r="V358" s="371"/>
    </row>
    <row r="359">
      <c r="A359" s="371"/>
      <c r="B359" s="307"/>
      <c r="C359" s="307"/>
      <c r="D359" s="307"/>
      <c r="E359" s="371"/>
      <c r="F359" s="307"/>
      <c r="G359" s="477"/>
      <c r="H359" s="371"/>
      <c r="I359" s="371"/>
      <c r="J359" s="371"/>
      <c r="K359" s="371"/>
      <c r="L359" s="371"/>
      <c r="M359" s="371"/>
      <c r="N359" s="371"/>
      <c r="O359" s="371"/>
      <c r="P359" s="371"/>
      <c r="Q359" s="371"/>
      <c r="R359" s="371"/>
      <c r="S359" s="371"/>
      <c r="T359" s="371"/>
      <c r="U359" s="371"/>
      <c r="V359" s="371"/>
    </row>
    <row r="360">
      <c r="A360" s="371"/>
      <c r="B360" s="307"/>
      <c r="C360" s="307"/>
      <c r="D360" s="307"/>
      <c r="E360" s="371"/>
      <c r="F360" s="307"/>
      <c r="G360" s="477"/>
      <c r="H360" s="371"/>
      <c r="I360" s="371"/>
      <c r="J360" s="371"/>
      <c r="K360" s="371"/>
      <c r="L360" s="371"/>
      <c r="M360" s="371"/>
      <c r="N360" s="371"/>
      <c r="O360" s="371"/>
      <c r="P360" s="371"/>
      <c r="Q360" s="371"/>
      <c r="R360" s="371"/>
      <c r="S360" s="371"/>
      <c r="T360" s="371"/>
      <c r="U360" s="371"/>
      <c r="V360" s="371"/>
    </row>
    <row r="361">
      <c r="A361" s="371"/>
      <c r="B361" s="307"/>
      <c r="C361" s="307"/>
      <c r="D361" s="307"/>
      <c r="E361" s="371"/>
      <c r="F361" s="307"/>
      <c r="G361" s="477"/>
      <c r="H361" s="371"/>
      <c r="I361" s="371"/>
      <c r="J361" s="371"/>
      <c r="K361" s="371"/>
      <c r="L361" s="371"/>
      <c r="M361" s="371"/>
      <c r="N361" s="371"/>
      <c r="O361" s="371"/>
      <c r="P361" s="371"/>
      <c r="Q361" s="371"/>
      <c r="R361" s="371"/>
      <c r="S361" s="371"/>
      <c r="T361" s="371"/>
      <c r="U361" s="371"/>
      <c r="V361" s="371"/>
    </row>
    <row r="362">
      <c r="A362" s="371"/>
      <c r="B362" s="307"/>
      <c r="C362" s="307"/>
      <c r="D362" s="307"/>
      <c r="E362" s="371"/>
      <c r="F362" s="307"/>
      <c r="G362" s="477"/>
      <c r="H362" s="371"/>
      <c r="I362" s="371"/>
      <c r="J362" s="371"/>
      <c r="K362" s="371"/>
      <c r="L362" s="371"/>
      <c r="M362" s="371"/>
      <c r="N362" s="371"/>
      <c r="O362" s="371"/>
      <c r="P362" s="371"/>
      <c r="Q362" s="371"/>
      <c r="R362" s="371"/>
      <c r="S362" s="371"/>
      <c r="T362" s="371"/>
      <c r="U362" s="371"/>
      <c r="V362" s="371"/>
    </row>
    <row r="363">
      <c r="A363" s="371"/>
      <c r="B363" s="307"/>
      <c r="C363" s="307"/>
      <c r="D363" s="307"/>
      <c r="E363" s="371"/>
      <c r="F363" s="307"/>
      <c r="G363" s="477"/>
      <c r="H363" s="371"/>
      <c r="I363" s="371"/>
      <c r="J363" s="371"/>
      <c r="K363" s="371"/>
      <c r="L363" s="371"/>
      <c r="M363" s="371"/>
      <c r="N363" s="371"/>
      <c r="O363" s="371"/>
      <c r="P363" s="371"/>
      <c r="Q363" s="371"/>
      <c r="R363" s="371"/>
      <c r="S363" s="371"/>
      <c r="T363" s="371"/>
      <c r="U363" s="371"/>
      <c r="V363" s="371"/>
    </row>
    <row r="364">
      <c r="A364" s="371"/>
      <c r="B364" s="307"/>
      <c r="C364" s="307"/>
      <c r="D364" s="307"/>
      <c r="E364" s="371"/>
      <c r="F364" s="307"/>
      <c r="G364" s="477"/>
      <c r="H364" s="371"/>
      <c r="I364" s="371"/>
      <c r="J364" s="371"/>
      <c r="K364" s="371"/>
      <c r="L364" s="371"/>
      <c r="M364" s="371"/>
      <c r="N364" s="371"/>
      <c r="O364" s="371"/>
      <c r="P364" s="371"/>
      <c r="Q364" s="371"/>
      <c r="R364" s="371"/>
      <c r="S364" s="371"/>
      <c r="T364" s="371"/>
      <c r="U364" s="371"/>
      <c r="V364" s="371"/>
    </row>
    <row r="365">
      <c r="A365" s="371"/>
      <c r="B365" s="307"/>
      <c r="C365" s="307"/>
      <c r="D365" s="307"/>
      <c r="E365" s="371"/>
      <c r="F365" s="307"/>
      <c r="G365" s="477"/>
      <c r="H365" s="371"/>
      <c r="I365" s="371"/>
      <c r="J365" s="371"/>
      <c r="K365" s="371"/>
      <c r="L365" s="371"/>
      <c r="M365" s="371"/>
      <c r="N365" s="371"/>
      <c r="O365" s="371"/>
      <c r="P365" s="371"/>
      <c r="Q365" s="371"/>
      <c r="R365" s="371"/>
      <c r="S365" s="371"/>
      <c r="T365" s="371"/>
      <c r="U365" s="371"/>
      <c r="V365" s="371"/>
    </row>
    <row r="366">
      <c r="A366" s="371"/>
      <c r="B366" s="307"/>
      <c r="C366" s="307"/>
      <c r="D366" s="307"/>
      <c r="E366" s="371"/>
      <c r="F366" s="307"/>
      <c r="G366" s="477"/>
      <c r="H366" s="371"/>
      <c r="I366" s="371"/>
      <c r="J366" s="371"/>
      <c r="K366" s="371"/>
      <c r="L366" s="371"/>
      <c r="M366" s="371"/>
      <c r="N366" s="371"/>
      <c r="O366" s="371"/>
      <c r="P366" s="371"/>
      <c r="Q366" s="371"/>
      <c r="R366" s="371"/>
      <c r="S366" s="371"/>
      <c r="T366" s="371"/>
      <c r="U366" s="371"/>
      <c r="V366" s="371"/>
    </row>
    <row r="367">
      <c r="A367" s="371"/>
      <c r="B367" s="307"/>
      <c r="C367" s="307"/>
      <c r="D367" s="307"/>
      <c r="E367" s="371"/>
      <c r="F367" s="307"/>
      <c r="G367" s="477"/>
      <c r="H367" s="371"/>
      <c r="I367" s="371"/>
      <c r="J367" s="371"/>
      <c r="K367" s="371"/>
      <c r="L367" s="371"/>
      <c r="M367" s="371"/>
      <c r="N367" s="371"/>
      <c r="O367" s="371"/>
      <c r="P367" s="371"/>
      <c r="Q367" s="371"/>
      <c r="R367" s="371"/>
      <c r="S367" s="371"/>
      <c r="T367" s="371"/>
      <c r="U367" s="371"/>
      <c r="V367" s="371"/>
    </row>
    <row r="368">
      <c r="A368" s="371"/>
      <c r="B368" s="307"/>
      <c r="C368" s="307"/>
      <c r="D368" s="307"/>
      <c r="E368" s="371"/>
      <c r="F368" s="307"/>
      <c r="G368" s="477"/>
      <c r="H368" s="371"/>
      <c r="I368" s="371"/>
      <c r="J368" s="371"/>
      <c r="K368" s="371"/>
      <c r="L368" s="371"/>
      <c r="M368" s="371"/>
      <c r="N368" s="371"/>
      <c r="O368" s="371"/>
      <c r="P368" s="371"/>
      <c r="Q368" s="371"/>
      <c r="R368" s="371"/>
      <c r="S368" s="371"/>
      <c r="T368" s="371"/>
      <c r="U368" s="371"/>
      <c r="V368" s="371"/>
    </row>
    <row r="369">
      <c r="A369" s="371"/>
      <c r="B369" s="307"/>
      <c r="C369" s="307"/>
      <c r="D369" s="307"/>
      <c r="E369" s="371"/>
      <c r="F369" s="307"/>
      <c r="G369" s="477"/>
      <c r="H369" s="371"/>
      <c r="I369" s="371"/>
      <c r="J369" s="371"/>
      <c r="K369" s="371"/>
      <c r="L369" s="371"/>
      <c r="M369" s="371"/>
      <c r="N369" s="371"/>
      <c r="O369" s="371"/>
      <c r="P369" s="371"/>
      <c r="Q369" s="371"/>
      <c r="R369" s="371"/>
      <c r="S369" s="371"/>
      <c r="T369" s="371"/>
      <c r="U369" s="371"/>
      <c r="V369" s="371"/>
    </row>
    <row r="370">
      <c r="A370" s="371"/>
      <c r="B370" s="307"/>
      <c r="C370" s="307"/>
      <c r="D370" s="307"/>
      <c r="E370" s="371"/>
      <c r="F370" s="307"/>
      <c r="G370" s="477"/>
      <c r="H370" s="371"/>
      <c r="I370" s="371"/>
      <c r="J370" s="371"/>
      <c r="K370" s="371"/>
      <c r="L370" s="371"/>
      <c r="M370" s="371"/>
      <c r="N370" s="371"/>
      <c r="O370" s="371"/>
      <c r="P370" s="371"/>
      <c r="Q370" s="371"/>
      <c r="R370" s="371"/>
      <c r="S370" s="371"/>
      <c r="T370" s="371"/>
      <c r="U370" s="371"/>
      <c r="V370" s="371"/>
    </row>
    <row r="371">
      <c r="A371" s="371"/>
      <c r="B371" s="307"/>
      <c r="C371" s="307"/>
      <c r="D371" s="307"/>
      <c r="E371" s="371"/>
      <c r="F371" s="307"/>
      <c r="G371" s="477"/>
      <c r="H371" s="371"/>
      <c r="I371" s="371"/>
      <c r="J371" s="371"/>
      <c r="K371" s="371"/>
      <c r="L371" s="371"/>
      <c r="M371" s="371"/>
      <c r="N371" s="371"/>
      <c r="O371" s="371"/>
      <c r="P371" s="371"/>
      <c r="Q371" s="371"/>
      <c r="R371" s="371"/>
      <c r="S371" s="371"/>
      <c r="T371" s="371"/>
      <c r="U371" s="371"/>
      <c r="V371" s="371"/>
    </row>
    <row r="372">
      <c r="A372" s="371"/>
      <c r="B372" s="307"/>
      <c r="C372" s="307"/>
      <c r="D372" s="307"/>
      <c r="E372" s="371"/>
      <c r="F372" s="307"/>
      <c r="G372" s="477"/>
      <c r="H372" s="371"/>
      <c r="I372" s="371"/>
      <c r="J372" s="371"/>
      <c r="K372" s="371"/>
      <c r="L372" s="371"/>
      <c r="M372" s="371"/>
      <c r="N372" s="371"/>
      <c r="O372" s="371"/>
      <c r="P372" s="371"/>
      <c r="Q372" s="371"/>
      <c r="R372" s="371"/>
      <c r="S372" s="371"/>
      <c r="T372" s="371"/>
      <c r="U372" s="371"/>
      <c r="V372" s="371"/>
    </row>
    <row r="373">
      <c r="A373" s="371"/>
      <c r="B373" s="307"/>
      <c r="C373" s="307"/>
      <c r="D373" s="307"/>
      <c r="E373" s="371"/>
      <c r="F373" s="307"/>
      <c r="G373" s="477"/>
      <c r="H373" s="371"/>
      <c r="I373" s="371"/>
      <c r="J373" s="371"/>
      <c r="K373" s="371"/>
      <c r="L373" s="371"/>
      <c r="M373" s="371"/>
      <c r="N373" s="371"/>
      <c r="O373" s="371"/>
      <c r="P373" s="371"/>
      <c r="Q373" s="371"/>
      <c r="R373" s="371"/>
      <c r="S373" s="371"/>
      <c r="T373" s="371"/>
      <c r="U373" s="371"/>
      <c r="V373" s="371"/>
    </row>
    <row r="374">
      <c r="A374" s="371"/>
      <c r="B374" s="307"/>
      <c r="C374" s="307"/>
      <c r="D374" s="307"/>
      <c r="E374" s="371"/>
      <c r="F374" s="307"/>
      <c r="G374" s="477"/>
      <c r="H374" s="371"/>
      <c r="I374" s="371"/>
      <c r="J374" s="371"/>
      <c r="K374" s="371"/>
      <c r="L374" s="371"/>
      <c r="M374" s="371"/>
      <c r="N374" s="371"/>
      <c r="O374" s="371"/>
      <c r="P374" s="371"/>
      <c r="Q374" s="371"/>
      <c r="R374" s="371"/>
      <c r="S374" s="371"/>
      <c r="T374" s="371"/>
      <c r="U374" s="371"/>
      <c r="V374" s="371"/>
    </row>
    <row r="375">
      <c r="A375" s="371"/>
      <c r="B375" s="307"/>
      <c r="C375" s="307"/>
      <c r="D375" s="307"/>
      <c r="E375" s="371"/>
      <c r="F375" s="307"/>
      <c r="G375" s="477"/>
      <c r="H375" s="371"/>
      <c r="I375" s="371"/>
      <c r="J375" s="371"/>
      <c r="K375" s="371"/>
      <c r="L375" s="371"/>
      <c r="M375" s="371"/>
      <c r="N375" s="371"/>
      <c r="O375" s="371"/>
      <c r="P375" s="371"/>
      <c r="Q375" s="371"/>
      <c r="R375" s="371"/>
      <c r="S375" s="371"/>
      <c r="T375" s="371"/>
      <c r="U375" s="371"/>
      <c r="V375" s="371"/>
    </row>
    <row r="376">
      <c r="A376" s="371"/>
      <c r="B376" s="307"/>
      <c r="C376" s="307"/>
      <c r="D376" s="307"/>
      <c r="E376" s="371"/>
      <c r="F376" s="307"/>
      <c r="G376" s="477"/>
      <c r="H376" s="371"/>
      <c r="I376" s="371"/>
      <c r="J376" s="371"/>
      <c r="K376" s="371"/>
      <c r="L376" s="371"/>
      <c r="M376" s="371"/>
      <c r="N376" s="371"/>
      <c r="O376" s="371"/>
      <c r="P376" s="371"/>
      <c r="Q376" s="371"/>
      <c r="R376" s="371"/>
      <c r="S376" s="371"/>
      <c r="T376" s="371"/>
      <c r="U376" s="371"/>
      <c r="V376" s="371"/>
    </row>
    <row r="377">
      <c r="A377" s="371"/>
      <c r="B377" s="307"/>
      <c r="C377" s="307"/>
      <c r="D377" s="307"/>
      <c r="E377" s="371"/>
      <c r="F377" s="307"/>
      <c r="G377" s="477"/>
      <c r="H377" s="371"/>
      <c r="I377" s="371"/>
      <c r="J377" s="371"/>
      <c r="K377" s="371"/>
      <c r="L377" s="371"/>
      <c r="M377" s="371"/>
      <c r="N377" s="371"/>
      <c r="O377" s="371"/>
      <c r="P377" s="371"/>
      <c r="Q377" s="371"/>
      <c r="R377" s="371"/>
      <c r="S377" s="371"/>
      <c r="T377" s="371"/>
      <c r="U377" s="371"/>
      <c r="V377" s="371"/>
    </row>
    <row r="378">
      <c r="A378" s="371"/>
      <c r="B378" s="307"/>
      <c r="C378" s="307"/>
      <c r="D378" s="307"/>
      <c r="E378" s="371"/>
      <c r="F378" s="307"/>
      <c r="G378" s="477"/>
      <c r="H378" s="371"/>
      <c r="I378" s="371"/>
      <c r="J378" s="371"/>
      <c r="K378" s="371"/>
      <c r="L378" s="371"/>
      <c r="M378" s="371"/>
      <c r="N378" s="371"/>
      <c r="O378" s="371"/>
      <c r="P378" s="371"/>
      <c r="Q378" s="371"/>
      <c r="R378" s="371"/>
      <c r="S378" s="371"/>
      <c r="T378" s="371"/>
      <c r="U378" s="371"/>
      <c r="V378" s="371"/>
    </row>
    <row r="379">
      <c r="A379" s="371"/>
      <c r="B379" s="307"/>
      <c r="C379" s="307"/>
      <c r="D379" s="307"/>
      <c r="E379" s="371"/>
      <c r="F379" s="307"/>
      <c r="G379" s="477"/>
      <c r="H379" s="371"/>
      <c r="I379" s="371"/>
      <c r="J379" s="371"/>
      <c r="K379" s="371"/>
      <c r="L379" s="371"/>
      <c r="M379" s="371"/>
      <c r="N379" s="371"/>
      <c r="O379" s="371"/>
      <c r="P379" s="371"/>
      <c r="Q379" s="371"/>
      <c r="R379" s="371"/>
      <c r="S379" s="371"/>
      <c r="T379" s="371"/>
      <c r="U379" s="371"/>
      <c r="V379" s="371"/>
    </row>
    <row r="380">
      <c r="A380" s="371"/>
      <c r="B380" s="307"/>
      <c r="C380" s="307"/>
      <c r="D380" s="307"/>
      <c r="E380" s="371"/>
      <c r="F380" s="307"/>
      <c r="G380" s="477"/>
      <c r="H380" s="371"/>
      <c r="I380" s="371"/>
      <c r="J380" s="371"/>
      <c r="K380" s="371"/>
      <c r="L380" s="371"/>
      <c r="M380" s="371"/>
      <c r="N380" s="371"/>
      <c r="O380" s="371"/>
      <c r="P380" s="371"/>
      <c r="Q380" s="371"/>
      <c r="R380" s="371"/>
      <c r="S380" s="371"/>
      <c r="T380" s="371"/>
      <c r="U380" s="371"/>
      <c r="V380" s="371"/>
    </row>
    <row r="381">
      <c r="A381" s="371"/>
      <c r="B381" s="307"/>
      <c r="C381" s="307"/>
      <c r="D381" s="307"/>
      <c r="E381" s="371"/>
      <c r="F381" s="307"/>
      <c r="G381" s="477"/>
      <c r="H381" s="371"/>
      <c r="I381" s="371"/>
      <c r="J381" s="371"/>
      <c r="K381" s="371"/>
      <c r="L381" s="371"/>
      <c r="M381" s="371"/>
      <c r="N381" s="371"/>
      <c r="O381" s="371"/>
      <c r="P381" s="371"/>
      <c r="Q381" s="371"/>
      <c r="R381" s="371"/>
      <c r="S381" s="371"/>
      <c r="T381" s="371"/>
      <c r="U381" s="371"/>
      <c r="V381" s="371"/>
    </row>
    <row r="382">
      <c r="A382" s="371"/>
      <c r="B382" s="307"/>
      <c r="C382" s="307"/>
      <c r="D382" s="307"/>
      <c r="E382" s="371"/>
      <c r="F382" s="307"/>
      <c r="G382" s="477"/>
      <c r="H382" s="371"/>
      <c r="I382" s="371"/>
      <c r="J382" s="371"/>
      <c r="K382" s="371"/>
      <c r="L382" s="371"/>
      <c r="M382" s="371"/>
      <c r="N382" s="371"/>
      <c r="O382" s="371"/>
      <c r="P382" s="371"/>
      <c r="Q382" s="371"/>
      <c r="R382" s="371"/>
      <c r="S382" s="371"/>
      <c r="T382" s="371"/>
      <c r="U382" s="371"/>
      <c r="V382" s="371"/>
    </row>
    <row r="383">
      <c r="A383" s="371"/>
      <c r="B383" s="307"/>
      <c r="C383" s="307"/>
      <c r="D383" s="307"/>
      <c r="E383" s="371"/>
      <c r="F383" s="307"/>
      <c r="G383" s="477"/>
      <c r="H383" s="371"/>
      <c r="I383" s="371"/>
      <c r="J383" s="371"/>
      <c r="K383" s="371"/>
      <c r="L383" s="371"/>
      <c r="M383" s="371"/>
      <c r="N383" s="371"/>
      <c r="O383" s="371"/>
      <c r="P383" s="371"/>
      <c r="Q383" s="371"/>
      <c r="R383" s="371"/>
      <c r="S383" s="371"/>
      <c r="T383" s="371"/>
      <c r="U383" s="371"/>
      <c r="V383" s="371"/>
    </row>
    <row r="384">
      <c r="A384" s="371"/>
      <c r="B384" s="307"/>
      <c r="C384" s="307"/>
      <c r="D384" s="307"/>
      <c r="E384" s="371"/>
      <c r="F384" s="307"/>
      <c r="G384" s="477"/>
      <c r="H384" s="371"/>
      <c r="I384" s="371"/>
      <c r="J384" s="371"/>
      <c r="K384" s="371"/>
      <c r="L384" s="371"/>
      <c r="M384" s="371"/>
      <c r="N384" s="371"/>
      <c r="O384" s="371"/>
      <c r="P384" s="371"/>
      <c r="Q384" s="371"/>
      <c r="R384" s="371"/>
      <c r="S384" s="371"/>
      <c r="T384" s="371"/>
      <c r="U384" s="371"/>
      <c r="V384" s="371"/>
    </row>
    <row r="385">
      <c r="A385" s="371"/>
      <c r="B385" s="307"/>
      <c r="C385" s="307"/>
      <c r="D385" s="307"/>
      <c r="E385" s="371"/>
      <c r="F385" s="307"/>
      <c r="G385" s="477"/>
      <c r="H385" s="371"/>
      <c r="I385" s="371"/>
      <c r="J385" s="371"/>
      <c r="K385" s="371"/>
      <c r="L385" s="371"/>
      <c r="M385" s="371"/>
      <c r="N385" s="371"/>
      <c r="O385" s="371"/>
      <c r="P385" s="371"/>
      <c r="Q385" s="371"/>
      <c r="R385" s="371"/>
      <c r="S385" s="371"/>
      <c r="T385" s="371"/>
      <c r="U385" s="371"/>
      <c r="V385" s="371"/>
    </row>
    <row r="386">
      <c r="A386" s="371"/>
      <c r="B386" s="307"/>
      <c r="C386" s="307"/>
      <c r="D386" s="307"/>
      <c r="E386" s="371"/>
      <c r="F386" s="307"/>
      <c r="G386" s="477"/>
      <c r="H386" s="371"/>
      <c r="I386" s="371"/>
      <c r="J386" s="371"/>
      <c r="K386" s="371"/>
      <c r="L386" s="371"/>
      <c r="M386" s="371"/>
      <c r="N386" s="371"/>
      <c r="O386" s="371"/>
      <c r="P386" s="371"/>
      <c r="Q386" s="371"/>
      <c r="R386" s="371"/>
      <c r="S386" s="371"/>
      <c r="T386" s="371"/>
      <c r="U386" s="371"/>
      <c r="V386" s="371"/>
    </row>
    <row r="387">
      <c r="A387" s="371"/>
      <c r="B387" s="307"/>
      <c r="C387" s="307"/>
      <c r="D387" s="307"/>
      <c r="E387" s="371"/>
      <c r="F387" s="307"/>
      <c r="G387" s="477"/>
      <c r="H387" s="371"/>
      <c r="I387" s="371"/>
      <c r="J387" s="371"/>
      <c r="K387" s="371"/>
      <c r="L387" s="371"/>
      <c r="M387" s="371"/>
      <c r="N387" s="371"/>
      <c r="O387" s="371"/>
      <c r="P387" s="371"/>
      <c r="Q387" s="371"/>
      <c r="R387" s="371"/>
      <c r="S387" s="371"/>
      <c r="T387" s="371"/>
      <c r="U387" s="371"/>
      <c r="V387" s="371"/>
    </row>
    <row r="388">
      <c r="A388" s="371"/>
      <c r="B388" s="307"/>
      <c r="C388" s="307"/>
      <c r="D388" s="307"/>
      <c r="E388" s="371"/>
      <c r="F388" s="307"/>
      <c r="G388" s="477"/>
      <c r="H388" s="371"/>
      <c r="I388" s="371"/>
      <c r="J388" s="371"/>
      <c r="K388" s="371"/>
      <c r="L388" s="371"/>
      <c r="M388" s="371"/>
      <c r="N388" s="371"/>
      <c r="O388" s="371"/>
      <c r="P388" s="371"/>
      <c r="Q388" s="371"/>
      <c r="R388" s="371"/>
      <c r="S388" s="371"/>
      <c r="T388" s="371"/>
      <c r="U388" s="371"/>
      <c r="V388" s="371"/>
    </row>
    <row r="389">
      <c r="A389" s="371"/>
      <c r="B389" s="307"/>
      <c r="C389" s="307"/>
      <c r="D389" s="307"/>
      <c r="E389" s="371"/>
      <c r="F389" s="307"/>
      <c r="G389" s="477"/>
      <c r="H389" s="371"/>
      <c r="I389" s="371"/>
      <c r="J389" s="371"/>
      <c r="K389" s="371"/>
      <c r="L389" s="371"/>
      <c r="M389" s="371"/>
      <c r="N389" s="371"/>
      <c r="O389" s="371"/>
      <c r="P389" s="371"/>
      <c r="Q389" s="371"/>
      <c r="R389" s="371"/>
      <c r="S389" s="371"/>
      <c r="T389" s="371"/>
      <c r="U389" s="371"/>
      <c r="V389" s="371"/>
    </row>
    <row r="390">
      <c r="A390" s="371"/>
      <c r="B390" s="307"/>
      <c r="C390" s="307"/>
      <c r="D390" s="307"/>
      <c r="E390" s="371"/>
      <c r="F390" s="307"/>
      <c r="G390" s="477"/>
      <c r="H390" s="371"/>
      <c r="I390" s="371"/>
      <c r="J390" s="371"/>
      <c r="K390" s="371"/>
      <c r="L390" s="371"/>
      <c r="M390" s="371"/>
      <c r="N390" s="371"/>
      <c r="O390" s="371"/>
      <c r="P390" s="371"/>
      <c r="Q390" s="371"/>
      <c r="R390" s="371"/>
      <c r="S390" s="371"/>
      <c r="T390" s="371"/>
      <c r="U390" s="371"/>
      <c r="V390" s="371"/>
    </row>
    <row r="391">
      <c r="A391" s="371"/>
      <c r="B391" s="307"/>
      <c r="C391" s="307"/>
      <c r="D391" s="307"/>
      <c r="E391" s="371"/>
      <c r="F391" s="307"/>
      <c r="G391" s="477"/>
      <c r="H391" s="371"/>
      <c r="I391" s="371"/>
      <c r="J391" s="371"/>
      <c r="K391" s="371"/>
      <c r="L391" s="371"/>
      <c r="M391" s="371"/>
      <c r="N391" s="371"/>
      <c r="O391" s="371"/>
      <c r="P391" s="371"/>
      <c r="Q391" s="371"/>
      <c r="R391" s="371"/>
      <c r="S391" s="371"/>
      <c r="T391" s="371"/>
      <c r="U391" s="371"/>
      <c r="V391" s="371"/>
    </row>
    <row r="392">
      <c r="A392" s="371"/>
      <c r="B392" s="307"/>
      <c r="C392" s="307"/>
      <c r="D392" s="307"/>
      <c r="E392" s="371"/>
      <c r="F392" s="307"/>
      <c r="G392" s="477"/>
      <c r="H392" s="371"/>
      <c r="I392" s="371"/>
      <c r="J392" s="371"/>
      <c r="K392" s="371"/>
      <c r="L392" s="371"/>
      <c r="M392" s="371"/>
      <c r="N392" s="371"/>
      <c r="O392" s="371"/>
      <c r="P392" s="371"/>
      <c r="Q392" s="371"/>
      <c r="R392" s="371"/>
      <c r="S392" s="371"/>
      <c r="T392" s="371"/>
      <c r="U392" s="371"/>
      <c r="V392" s="371"/>
    </row>
    <row r="393">
      <c r="A393" s="371"/>
      <c r="B393" s="307"/>
      <c r="C393" s="307"/>
      <c r="D393" s="307"/>
      <c r="E393" s="371"/>
      <c r="F393" s="307"/>
      <c r="G393" s="477"/>
      <c r="H393" s="371"/>
      <c r="I393" s="371"/>
      <c r="J393" s="371"/>
      <c r="K393" s="371"/>
      <c r="L393" s="371"/>
      <c r="M393" s="371"/>
      <c r="N393" s="371"/>
      <c r="O393" s="371"/>
      <c r="P393" s="371"/>
      <c r="Q393" s="371"/>
      <c r="R393" s="371"/>
      <c r="S393" s="371"/>
      <c r="T393" s="371"/>
      <c r="U393" s="371"/>
      <c r="V393" s="371"/>
    </row>
    <row r="394">
      <c r="A394" s="371"/>
      <c r="B394" s="307"/>
      <c r="C394" s="307"/>
      <c r="D394" s="307"/>
      <c r="E394" s="371"/>
      <c r="F394" s="307"/>
      <c r="G394" s="477"/>
      <c r="H394" s="371"/>
      <c r="I394" s="371"/>
      <c r="J394" s="371"/>
      <c r="K394" s="371"/>
      <c r="L394" s="371"/>
      <c r="M394" s="371"/>
      <c r="N394" s="371"/>
      <c r="O394" s="371"/>
      <c r="P394" s="371"/>
      <c r="Q394" s="371"/>
      <c r="R394" s="371"/>
      <c r="S394" s="371"/>
      <c r="T394" s="371"/>
      <c r="U394" s="371"/>
      <c r="V394" s="371"/>
    </row>
    <row r="395">
      <c r="A395" s="371"/>
      <c r="B395" s="307"/>
      <c r="C395" s="307"/>
      <c r="D395" s="307"/>
      <c r="E395" s="371"/>
      <c r="F395" s="307"/>
      <c r="G395" s="477"/>
      <c r="H395" s="371"/>
      <c r="I395" s="371"/>
      <c r="J395" s="371"/>
      <c r="K395" s="371"/>
      <c r="L395" s="371"/>
      <c r="M395" s="371"/>
      <c r="N395" s="371"/>
      <c r="O395" s="371"/>
      <c r="P395" s="371"/>
      <c r="Q395" s="371"/>
      <c r="R395" s="371"/>
      <c r="S395" s="371"/>
      <c r="T395" s="371"/>
      <c r="U395" s="371"/>
      <c r="V395" s="371"/>
    </row>
    <row r="396">
      <c r="A396" s="371"/>
      <c r="B396" s="307"/>
      <c r="C396" s="307"/>
      <c r="D396" s="307"/>
      <c r="E396" s="371"/>
      <c r="F396" s="307"/>
      <c r="G396" s="477"/>
      <c r="H396" s="371"/>
      <c r="I396" s="371"/>
      <c r="J396" s="371"/>
      <c r="K396" s="371"/>
      <c r="L396" s="371"/>
      <c r="M396" s="371"/>
      <c r="N396" s="371"/>
      <c r="O396" s="371"/>
      <c r="P396" s="371"/>
      <c r="Q396" s="371"/>
      <c r="R396" s="371"/>
      <c r="S396" s="371"/>
      <c r="T396" s="371"/>
      <c r="U396" s="371"/>
      <c r="V396" s="371"/>
    </row>
    <row r="397">
      <c r="A397" s="371"/>
      <c r="B397" s="307"/>
      <c r="C397" s="307"/>
      <c r="D397" s="307"/>
      <c r="E397" s="371"/>
      <c r="F397" s="307"/>
      <c r="G397" s="477"/>
      <c r="H397" s="371"/>
      <c r="I397" s="371"/>
      <c r="J397" s="371"/>
      <c r="K397" s="371"/>
      <c r="L397" s="371"/>
      <c r="M397" s="371"/>
      <c r="N397" s="371"/>
      <c r="O397" s="371"/>
      <c r="P397" s="371"/>
      <c r="Q397" s="371"/>
      <c r="R397" s="371"/>
      <c r="S397" s="371"/>
      <c r="T397" s="371"/>
      <c r="U397" s="371"/>
      <c r="V397" s="371"/>
    </row>
    <row r="398">
      <c r="A398" s="371"/>
      <c r="B398" s="307"/>
      <c r="C398" s="307"/>
      <c r="D398" s="307"/>
      <c r="E398" s="371"/>
      <c r="F398" s="307"/>
      <c r="G398" s="477"/>
      <c r="H398" s="371"/>
      <c r="I398" s="371"/>
      <c r="J398" s="371"/>
      <c r="K398" s="371"/>
      <c r="L398" s="371"/>
      <c r="M398" s="371"/>
      <c r="N398" s="371"/>
      <c r="O398" s="371"/>
      <c r="P398" s="371"/>
      <c r="Q398" s="371"/>
      <c r="R398" s="371"/>
      <c r="S398" s="371"/>
      <c r="T398" s="371"/>
      <c r="U398" s="371"/>
      <c r="V398" s="371"/>
    </row>
    <row r="399">
      <c r="A399" s="371"/>
      <c r="B399" s="307"/>
      <c r="C399" s="307"/>
      <c r="D399" s="307"/>
      <c r="E399" s="371"/>
      <c r="F399" s="307"/>
      <c r="G399" s="477"/>
      <c r="H399" s="371"/>
      <c r="I399" s="371"/>
      <c r="J399" s="371"/>
      <c r="K399" s="371"/>
      <c r="L399" s="371"/>
      <c r="M399" s="371"/>
      <c r="N399" s="371"/>
      <c r="O399" s="371"/>
      <c r="P399" s="371"/>
      <c r="Q399" s="371"/>
      <c r="R399" s="371"/>
      <c r="S399" s="371"/>
      <c r="T399" s="371"/>
      <c r="U399" s="371"/>
      <c r="V399" s="371"/>
    </row>
    <row r="400">
      <c r="A400" s="371"/>
      <c r="B400" s="307"/>
      <c r="C400" s="307"/>
      <c r="D400" s="307"/>
      <c r="E400" s="371"/>
      <c r="F400" s="307"/>
      <c r="G400" s="477"/>
      <c r="H400" s="371"/>
      <c r="I400" s="371"/>
      <c r="J400" s="371"/>
      <c r="K400" s="371"/>
      <c r="L400" s="371"/>
      <c r="M400" s="371"/>
      <c r="N400" s="371"/>
      <c r="O400" s="371"/>
      <c r="P400" s="371"/>
      <c r="Q400" s="371"/>
      <c r="R400" s="371"/>
      <c r="S400" s="371"/>
      <c r="T400" s="371"/>
      <c r="U400" s="371"/>
      <c r="V400" s="371"/>
    </row>
    <row r="401">
      <c r="A401" s="371"/>
      <c r="B401" s="307"/>
      <c r="C401" s="307"/>
      <c r="D401" s="307"/>
      <c r="E401" s="371"/>
      <c r="F401" s="307"/>
      <c r="G401" s="477"/>
      <c r="H401" s="371"/>
      <c r="I401" s="371"/>
      <c r="J401" s="371"/>
      <c r="K401" s="371"/>
      <c r="L401" s="371"/>
      <c r="M401" s="371"/>
      <c r="N401" s="371"/>
      <c r="O401" s="371"/>
      <c r="P401" s="371"/>
      <c r="Q401" s="371"/>
      <c r="R401" s="371"/>
      <c r="S401" s="371"/>
      <c r="T401" s="371"/>
      <c r="U401" s="371"/>
      <c r="V401" s="371"/>
    </row>
    <row r="402">
      <c r="A402" s="371"/>
      <c r="B402" s="307"/>
      <c r="C402" s="307"/>
      <c r="D402" s="307"/>
      <c r="E402" s="371"/>
      <c r="F402" s="307"/>
      <c r="G402" s="477"/>
      <c r="H402" s="371"/>
      <c r="I402" s="371"/>
      <c r="J402" s="371"/>
      <c r="K402" s="371"/>
      <c r="L402" s="371"/>
      <c r="M402" s="371"/>
      <c r="N402" s="371"/>
      <c r="O402" s="371"/>
      <c r="P402" s="371"/>
      <c r="Q402" s="371"/>
      <c r="R402" s="371"/>
      <c r="S402" s="371"/>
      <c r="T402" s="371"/>
      <c r="U402" s="371"/>
      <c r="V402" s="371"/>
    </row>
    <row r="403">
      <c r="A403" s="371"/>
      <c r="B403" s="307"/>
      <c r="C403" s="307"/>
      <c r="D403" s="307"/>
      <c r="E403" s="371"/>
      <c r="F403" s="307"/>
      <c r="G403" s="477"/>
      <c r="H403" s="371"/>
      <c r="I403" s="371"/>
      <c r="J403" s="371"/>
      <c r="K403" s="371"/>
      <c r="L403" s="371"/>
      <c r="M403" s="371"/>
      <c r="N403" s="371"/>
      <c r="O403" s="371"/>
      <c r="P403" s="371"/>
      <c r="Q403" s="371"/>
      <c r="R403" s="371"/>
      <c r="S403" s="371"/>
      <c r="T403" s="371"/>
      <c r="U403" s="371"/>
      <c r="V403" s="371"/>
    </row>
    <row r="404">
      <c r="A404" s="371"/>
      <c r="B404" s="307"/>
      <c r="C404" s="307"/>
      <c r="D404" s="307"/>
      <c r="E404" s="371"/>
      <c r="F404" s="307"/>
      <c r="G404" s="477"/>
      <c r="H404" s="371"/>
      <c r="I404" s="371"/>
      <c r="J404" s="371"/>
      <c r="K404" s="371"/>
      <c r="L404" s="371"/>
      <c r="M404" s="371"/>
      <c r="N404" s="371"/>
      <c r="O404" s="371"/>
      <c r="P404" s="371"/>
      <c r="Q404" s="371"/>
      <c r="R404" s="371"/>
      <c r="S404" s="371"/>
      <c r="T404" s="371"/>
      <c r="U404" s="371"/>
      <c r="V404" s="371"/>
    </row>
    <row r="405">
      <c r="A405" s="371"/>
      <c r="B405" s="307"/>
      <c r="C405" s="307"/>
      <c r="D405" s="307"/>
      <c r="E405" s="371"/>
      <c r="F405" s="307"/>
      <c r="G405" s="477"/>
      <c r="H405" s="371"/>
      <c r="I405" s="371"/>
      <c r="J405" s="371"/>
      <c r="K405" s="371"/>
      <c r="L405" s="371"/>
      <c r="M405" s="371"/>
      <c r="N405" s="371"/>
      <c r="O405" s="371"/>
      <c r="P405" s="371"/>
      <c r="Q405" s="371"/>
      <c r="R405" s="371"/>
      <c r="S405" s="371"/>
      <c r="T405" s="371"/>
      <c r="U405" s="371"/>
      <c r="V405" s="371"/>
    </row>
    <row r="406">
      <c r="A406" s="371"/>
      <c r="B406" s="307"/>
      <c r="C406" s="307"/>
      <c r="D406" s="307"/>
      <c r="E406" s="371"/>
      <c r="F406" s="307"/>
      <c r="G406" s="477"/>
      <c r="H406" s="371"/>
      <c r="I406" s="371"/>
      <c r="J406" s="371"/>
      <c r="K406" s="371"/>
      <c r="L406" s="371"/>
      <c r="M406" s="371"/>
      <c r="N406" s="371"/>
      <c r="O406" s="371"/>
      <c r="P406" s="371"/>
      <c r="Q406" s="371"/>
      <c r="R406" s="371"/>
      <c r="S406" s="371"/>
      <c r="T406" s="371"/>
      <c r="U406" s="371"/>
      <c r="V406" s="371"/>
    </row>
    <row r="407">
      <c r="A407" s="371"/>
      <c r="B407" s="307"/>
      <c r="C407" s="307"/>
      <c r="D407" s="307"/>
      <c r="E407" s="371"/>
      <c r="F407" s="307"/>
      <c r="G407" s="477"/>
      <c r="H407" s="371"/>
      <c r="I407" s="371"/>
      <c r="J407" s="371"/>
      <c r="K407" s="371"/>
      <c r="L407" s="371"/>
      <c r="M407" s="371"/>
      <c r="N407" s="371"/>
      <c r="O407" s="371"/>
      <c r="P407" s="371"/>
      <c r="Q407" s="371"/>
      <c r="R407" s="371"/>
      <c r="S407" s="371"/>
      <c r="T407" s="371"/>
      <c r="U407" s="371"/>
      <c r="V407" s="371"/>
    </row>
    <row r="408">
      <c r="A408" s="371"/>
      <c r="B408" s="307"/>
      <c r="C408" s="307"/>
      <c r="D408" s="307"/>
      <c r="E408" s="371"/>
      <c r="F408" s="307"/>
      <c r="G408" s="477"/>
      <c r="H408" s="371"/>
      <c r="I408" s="371"/>
      <c r="J408" s="371"/>
      <c r="K408" s="371"/>
      <c r="L408" s="371"/>
      <c r="M408" s="371"/>
      <c r="N408" s="371"/>
      <c r="O408" s="371"/>
      <c r="P408" s="371"/>
      <c r="Q408" s="371"/>
      <c r="R408" s="371"/>
      <c r="S408" s="371"/>
      <c r="T408" s="371"/>
      <c r="U408" s="371"/>
      <c r="V408" s="371"/>
    </row>
    <row r="409">
      <c r="A409" s="371"/>
      <c r="B409" s="307"/>
      <c r="C409" s="307"/>
      <c r="D409" s="307"/>
      <c r="E409" s="371"/>
      <c r="F409" s="307"/>
      <c r="G409" s="477"/>
      <c r="H409" s="371"/>
      <c r="I409" s="371"/>
      <c r="J409" s="371"/>
      <c r="K409" s="371"/>
      <c r="L409" s="371"/>
      <c r="M409" s="371"/>
      <c r="N409" s="371"/>
      <c r="O409" s="371"/>
      <c r="P409" s="371"/>
      <c r="Q409" s="371"/>
      <c r="R409" s="371"/>
      <c r="S409" s="371"/>
      <c r="T409" s="371"/>
      <c r="U409" s="371"/>
      <c r="V409" s="371"/>
    </row>
    <row r="410">
      <c r="A410" s="371"/>
      <c r="B410" s="307"/>
      <c r="C410" s="307"/>
      <c r="D410" s="307"/>
      <c r="E410" s="371"/>
      <c r="F410" s="307"/>
      <c r="G410" s="477"/>
      <c r="H410" s="371"/>
      <c r="I410" s="371"/>
      <c r="J410" s="371"/>
      <c r="K410" s="371"/>
      <c r="L410" s="371"/>
      <c r="M410" s="371"/>
      <c r="N410" s="371"/>
      <c r="O410" s="371"/>
      <c r="P410" s="371"/>
      <c r="Q410" s="371"/>
      <c r="R410" s="371"/>
      <c r="S410" s="371"/>
      <c r="T410" s="371"/>
      <c r="U410" s="371"/>
      <c r="V410" s="371"/>
    </row>
    <row r="411">
      <c r="A411" s="371"/>
      <c r="B411" s="307"/>
      <c r="C411" s="307"/>
      <c r="D411" s="307"/>
      <c r="E411" s="371"/>
      <c r="F411" s="307"/>
      <c r="G411" s="477"/>
      <c r="H411" s="371"/>
      <c r="I411" s="371"/>
      <c r="J411" s="371"/>
      <c r="K411" s="371"/>
      <c r="L411" s="371"/>
      <c r="M411" s="371"/>
      <c r="N411" s="371"/>
      <c r="O411" s="371"/>
      <c r="P411" s="371"/>
      <c r="Q411" s="371"/>
      <c r="R411" s="371"/>
      <c r="S411" s="371"/>
      <c r="T411" s="371"/>
      <c r="U411" s="371"/>
      <c r="V411" s="371"/>
    </row>
    <row r="412">
      <c r="A412" s="371"/>
      <c r="B412" s="307"/>
      <c r="C412" s="307"/>
      <c r="D412" s="307"/>
      <c r="E412" s="371"/>
      <c r="F412" s="307"/>
      <c r="G412" s="477"/>
      <c r="H412" s="371"/>
      <c r="I412" s="371"/>
      <c r="J412" s="371"/>
      <c r="K412" s="371"/>
      <c r="L412" s="371"/>
      <c r="M412" s="371"/>
      <c r="N412" s="371"/>
      <c r="O412" s="371"/>
      <c r="P412" s="371"/>
      <c r="Q412" s="371"/>
      <c r="R412" s="371"/>
      <c r="S412" s="371"/>
      <c r="T412" s="371"/>
      <c r="U412" s="371"/>
      <c r="V412" s="371"/>
    </row>
    <row r="413">
      <c r="A413" s="371"/>
      <c r="B413" s="307"/>
      <c r="C413" s="307"/>
      <c r="D413" s="307"/>
      <c r="E413" s="371"/>
      <c r="F413" s="307"/>
      <c r="G413" s="477"/>
      <c r="H413" s="371"/>
      <c r="I413" s="371"/>
      <c r="J413" s="371"/>
      <c r="K413" s="371"/>
      <c r="L413" s="371"/>
      <c r="M413" s="371"/>
      <c r="N413" s="371"/>
      <c r="O413" s="371"/>
      <c r="P413" s="371"/>
      <c r="Q413" s="371"/>
      <c r="R413" s="371"/>
      <c r="S413" s="371"/>
      <c r="T413" s="371"/>
      <c r="U413" s="371"/>
      <c r="V413" s="371"/>
    </row>
    <row r="414">
      <c r="A414" s="371"/>
      <c r="B414" s="307"/>
      <c r="C414" s="307"/>
      <c r="D414" s="307"/>
      <c r="E414" s="371"/>
      <c r="F414" s="307"/>
      <c r="G414" s="477"/>
      <c r="H414" s="371"/>
      <c r="I414" s="371"/>
      <c r="J414" s="371"/>
      <c r="K414" s="371"/>
      <c r="L414" s="371"/>
      <c r="M414" s="371"/>
      <c r="N414" s="371"/>
      <c r="O414" s="371"/>
      <c r="P414" s="371"/>
      <c r="Q414" s="371"/>
      <c r="R414" s="371"/>
      <c r="S414" s="371"/>
      <c r="T414" s="371"/>
      <c r="U414" s="371"/>
      <c r="V414" s="371"/>
    </row>
    <row r="415">
      <c r="A415" s="371"/>
      <c r="B415" s="307"/>
      <c r="C415" s="307"/>
      <c r="D415" s="307"/>
      <c r="E415" s="371"/>
      <c r="F415" s="307"/>
      <c r="G415" s="477"/>
      <c r="H415" s="371"/>
      <c r="I415" s="371"/>
      <c r="J415" s="371"/>
      <c r="K415" s="371"/>
      <c r="L415" s="371"/>
      <c r="M415" s="371"/>
      <c r="N415" s="371"/>
      <c r="O415" s="371"/>
      <c r="P415" s="371"/>
      <c r="Q415" s="371"/>
      <c r="R415" s="371"/>
      <c r="S415" s="371"/>
      <c r="T415" s="371"/>
      <c r="U415" s="371"/>
      <c r="V415" s="371"/>
    </row>
    <row r="416">
      <c r="A416" s="371"/>
      <c r="B416" s="307"/>
      <c r="C416" s="307"/>
      <c r="D416" s="307"/>
      <c r="E416" s="371"/>
      <c r="F416" s="307"/>
      <c r="G416" s="477"/>
      <c r="H416" s="371"/>
      <c r="I416" s="371"/>
      <c r="J416" s="371"/>
      <c r="K416" s="371"/>
      <c r="L416" s="371"/>
      <c r="M416" s="371"/>
      <c r="N416" s="371"/>
      <c r="O416" s="371"/>
      <c r="P416" s="371"/>
      <c r="Q416" s="371"/>
      <c r="R416" s="371"/>
      <c r="S416" s="371"/>
      <c r="T416" s="371"/>
      <c r="U416" s="371"/>
      <c r="V416" s="371"/>
    </row>
    <row r="417">
      <c r="A417" s="371"/>
      <c r="B417" s="307"/>
      <c r="C417" s="307"/>
      <c r="D417" s="307"/>
      <c r="E417" s="371"/>
      <c r="F417" s="307"/>
      <c r="G417" s="477"/>
      <c r="H417" s="371"/>
      <c r="I417" s="371"/>
      <c r="J417" s="371"/>
      <c r="K417" s="371"/>
      <c r="L417" s="371"/>
      <c r="M417" s="371"/>
      <c r="N417" s="371"/>
      <c r="O417" s="371"/>
      <c r="P417" s="371"/>
      <c r="Q417" s="371"/>
      <c r="R417" s="371"/>
      <c r="S417" s="371"/>
      <c r="T417" s="371"/>
      <c r="U417" s="371"/>
      <c r="V417" s="371"/>
    </row>
    <row r="418">
      <c r="A418" s="371"/>
      <c r="B418" s="307"/>
      <c r="C418" s="307"/>
      <c r="D418" s="307"/>
      <c r="E418" s="371"/>
      <c r="F418" s="307"/>
      <c r="G418" s="477"/>
      <c r="H418" s="371"/>
      <c r="I418" s="371"/>
      <c r="J418" s="371"/>
      <c r="K418" s="371"/>
      <c r="L418" s="371"/>
      <c r="M418" s="371"/>
      <c r="N418" s="371"/>
      <c r="O418" s="371"/>
      <c r="P418" s="371"/>
      <c r="Q418" s="371"/>
      <c r="R418" s="371"/>
      <c r="S418" s="371"/>
      <c r="T418" s="371"/>
      <c r="U418" s="371"/>
      <c r="V418" s="371"/>
    </row>
    <row r="419">
      <c r="A419" s="371"/>
      <c r="B419" s="307"/>
      <c r="C419" s="307"/>
      <c r="D419" s="307"/>
      <c r="E419" s="371"/>
      <c r="F419" s="307"/>
      <c r="G419" s="477"/>
      <c r="H419" s="371"/>
      <c r="I419" s="371"/>
      <c r="J419" s="371"/>
      <c r="K419" s="371"/>
      <c r="L419" s="371"/>
      <c r="M419" s="371"/>
      <c r="N419" s="371"/>
      <c r="O419" s="371"/>
      <c r="P419" s="371"/>
      <c r="Q419" s="371"/>
      <c r="R419" s="371"/>
      <c r="S419" s="371"/>
      <c r="T419" s="371"/>
      <c r="U419" s="371"/>
      <c r="V419" s="371"/>
    </row>
    <row r="420">
      <c r="A420" s="371"/>
      <c r="B420" s="307"/>
      <c r="C420" s="307"/>
      <c r="D420" s="307"/>
      <c r="E420" s="371"/>
      <c r="F420" s="307"/>
      <c r="G420" s="477"/>
      <c r="H420" s="371"/>
      <c r="I420" s="371"/>
      <c r="J420" s="371"/>
      <c r="K420" s="371"/>
      <c r="L420" s="371"/>
      <c r="M420" s="371"/>
      <c r="N420" s="371"/>
      <c r="O420" s="371"/>
      <c r="P420" s="371"/>
      <c r="Q420" s="371"/>
      <c r="R420" s="371"/>
      <c r="S420" s="371"/>
      <c r="T420" s="371"/>
      <c r="U420" s="371"/>
      <c r="V420" s="371"/>
    </row>
    <row r="421">
      <c r="A421" s="371"/>
      <c r="B421" s="307"/>
      <c r="C421" s="307"/>
      <c r="D421" s="307"/>
      <c r="E421" s="371"/>
      <c r="F421" s="307"/>
      <c r="G421" s="477"/>
      <c r="H421" s="371"/>
      <c r="I421" s="371"/>
      <c r="J421" s="371"/>
      <c r="K421" s="371"/>
      <c r="L421" s="371"/>
      <c r="M421" s="371"/>
      <c r="N421" s="371"/>
      <c r="O421" s="371"/>
      <c r="P421" s="371"/>
      <c r="Q421" s="371"/>
      <c r="R421" s="371"/>
      <c r="S421" s="371"/>
      <c r="T421" s="371"/>
      <c r="U421" s="371"/>
      <c r="V421" s="371"/>
    </row>
    <row r="422">
      <c r="A422" s="371"/>
      <c r="B422" s="307"/>
      <c r="C422" s="307"/>
      <c r="D422" s="307"/>
      <c r="E422" s="371"/>
      <c r="F422" s="307"/>
      <c r="G422" s="477"/>
      <c r="H422" s="371"/>
      <c r="I422" s="371"/>
      <c r="J422" s="371"/>
      <c r="K422" s="371"/>
      <c r="L422" s="371"/>
      <c r="M422" s="371"/>
      <c r="N422" s="371"/>
      <c r="O422" s="371"/>
      <c r="P422" s="371"/>
      <c r="Q422" s="371"/>
      <c r="R422" s="371"/>
      <c r="S422" s="371"/>
      <c r="T422" s="371"/>
      <c r="U422" s="371"/>
      <c r="V422" s="371"/>
    </row>
    <row r="423">
      <c r="A423" s="371"/>
      <c r="B423" s="307"/>
      <c r="C423" s="307"/>
      <c r="D423" s="307"/>
      <c r="E423" s="371"/>
      <c r="F423" s="307"/>
      <c r="G423" s="477"/>
      <c r="H423" s="371"/>
      <c r="I423" s="371"/>
      <c r="J423" s="371"/>
      <c r="K423" s="371"/>
      <c r="L423" s="371"/>
      <c r="M423" s="371"/>
      <c r="N423" s="371"/>
      <c r="O423" s="371"/>
      <c r="P423" s="371"/>
      <c r="Q423" s="371"/>
      <c r="R423" s="371"/>
      <c r="S423" s="371"/>
      <c r="T423" s="371"/>
      <c r="U423" s="371"/>
      <c r="V423" s="371"/>
    </row>
    <row r="424">
      <c r="A424" s="371"/>
      <c r="B424" s="307"/>
      <c r="C424" s="307"/>
      <c r="D424" s="307"/>
      <c r="E424" s="371"/>
      <c r="F424" s="307"/>
      <c r="G424" s="477"/>
      <c r="H424" s="371"/>
      <c r="I424" s="371"/>
      <c r="J424" s="371"/>
      <c r="K424" s="371"/>
      <c r="L424" s="371"/>
      <c r="M424" s="371"/>
      <c r="N424" s="371"/>
      <c r="O424" s="371"/>
      <c r="P424" s="371"/>
      <c r="Q424" s="371"/>
      <c r="R424" s="371"/>
      <c r="S424" s="371"/>
      <c r="T424" s="371"/>
      <c r="U424" s="371"/>
      <c r="V424" s="371"/>
    </row>
    <row r="425">
      <c r="A425" s="371"/>
      <c r="B425" s="307"/>
      <c r="C425" s="307"/>
      <c r="D425" s="307"/>
      <c r="E425" s="371"/>
      <c r="F425" s="307"/>
      <c r="G425" s="477"/>
      <c r="H425" s="371"/>
      <c r="I425" s="371"/>
      <c r="J425" s="371"/>
      <c r="K425" s="371"/>
      <c r="L425" s="371"/>
      <c r="M425" s="371"/>
      <c r="N425" s="371"/>
      <c r="O425" s="371"/>
      <c r="P425" s="371"/>
      <c r="Q425" s="371"/>
      <c r="R425" s="371"/>
      <c r="S425" s="371"/>
      <c r="T425" s="371"/>
      <c r="U425" s="371"/>
      <c r="V425" s="371"/>
    </row>
    <row r="426">
      <c r="A426" s="371"/>
      <c r="B426" s="307"/>
      <c r="C426" s="307"/>
      <c r="D426" s="307"/>
      <c r="E426" s="371"/>
      <c r="F426" s="307"/>
      <c r="G426" s="477"/>
      <c r="H426" s="371"/>
      <c r="I426" s="371"/>
      <c r="J426" s="371"/>
      <c r="K426" s="371"/>
      <c r="L426" s="371"/>
      <c r="M426" s="371"/>
      <c r="N426" s="371"/>
      <c r="O426" s="371"/>
      <c r="P426" s="371"/>
      <c r="Q426" s="371"/>
      <c r="R426" s="371"/>
      <c r="S426" s="371"/>
      <c r="T426" s="371"/>
      <c r="U426" s="371"/>
      <c r="V426" s="371"/>
    </row>
    <row r="427">
      <c r="A427" s="371"/>
      <c r="B427" s="307"/>
      <c r="C427" s="307"/>
      <c r="D427" s="307"/>
      <c r="E427" s="371"/>
      <c r="F427" s="307"/>
      <c r="G427" s="477"/>
      <c r="H427" s="371"/>
      <c r="I427" s="371"/>
      <c r="J427" s="371"/>
      <c r="K427" s="371"/>
      <c r="L427" s="371"/>
      <c r="M427" s="371"/>
      <c r="N427" s="371"/>
      <c r="O427" s="371"/>
      <c r="P427" s="371"/>
      <c r="Q427" s="371"/>
      <c r="R427" s="371"/>
      <c r="S427" s="371"/>
      <c r="T427" s="371"/>
      <c r="U427" s="371"/>
      <c r="V427" s="371"/>
    </row>
    <row r="428">
      <c r="A428" s="371"/>
      <c r="B428" s="307"/>
      <c r="C428" s="307"/>
      <c r="D428" s="307"/>
      <c r="E428" s="371"/>
      <c r="F428" s="307"/>
      <c r="G428" s="477"/>
      <c r="H428" s="371"/>
      <c r="I428" s="371"/>
      <c r="J428" s="371"/>
      <c r="K428" s="371"/>
      <c r="L428" s="371"/>
      <c r="M428" s="371"/>
      <c r="N428" s="371"/>
      <c r="O428" s="371"/>
      <c r="P428" s="371"/>
      <c r="Q428" s="371"/>
      <c r="R428" s="371"/>
      <c r="S428" s="371"/>
      <c r="T428" s="371"/>
      <c r="U428" s="371"/>
      <c r="V428" s="371"/>
    </row>
    <row r="429">
      <c r="A429" s="371"/>
      <c r="B429" s="307"/>
      <c r="C429" s="307"/>
      <c r="D429" s="307"/>
      <c r="E429" s="371"/>
      <c r="F429" s="307"/>
      <c r="G429" s="477"/>
      <c r="H429" s="371"/>
      <c r="I429" s="371"/>
      <c r="J429" s="371"/>
      <c r="K429" s="371"/>
      <c r="L429" s="371"/>
      <c r="M429" s="371"/>
      <c r="N429" s="371"/>
      <c r="O429" s="371"/>
      <c r="P429" s="371"/>
      <c r="Q429" s="371"/>
      <c r="R429" s="371"/>
      <c r="S429" s="371"/>
      <c r="T429" s="371"/>
      <c r="U429" s="371"/>
      <c r="V429" s="371"/>
    </row>
    <row r="430">
      <c r="A430" s="371"/>
      <c r="B430" s="307"/>
      <c r="C430" s="307"/>
      <c r="D430" s="307"/>
      <c r="E430" s="371"/>
      <c r="F430" s="307"/>
      <c r="G430" s="477"/>
      <c r="H430" s="371"/>
      <c r="I430" s="371"/>
      <c r="J430" s="371"/>
      <c r="K430" s="371"/>
      <c r="L430" s="371"/>
      <c r="M430" s="371"/>
      <c r="N430" s="371"/>
      <c r="O430" s="371"/>
      <c r="P430" s="371"/>
      <c r="Q430" s="371"/>
      <c r="R430" s="371"/>
      <c r="S430" s="371"/>
      <c r="T430" s="371"/>
      <c r="U430" s="371"/>
      <c r="V430" s="371"/>
    </row>
    <row r="431">
      <c r="A431" s="371"/>
      <c r="B431" s="307"/>
      <c r="C431" s="307"/>
      <c r="D431" s="307"/>
      <c r="E431" s="371"/>
      <c r="F431" s="307"/>
      <c r="G431" s="477"/>
      <c r="H431" s="371"/>
      <c r="I431" s="371"/>
      <c r="J431" s="371"/>
      <c r="K431" s="371"/>
      <c r="L431" s="371"/>
      <c r="M431" s="371"/>
      <c r="N431" s="371"/>
      <c r="O431" s="371"/>
      <c r="P431" s="371"/>
      <c r="Q431" s="371"/>
      <c r="R431" s="371"/>
      <c r="S431" s="371"/>
      <c r="T431" s="371"/>
      <c r="U431" s="371"/>
      <c r="V431" s="371"/>
    </row>
    <row r="432">
      <c r="A432" s="371"/>
      <c r="B432" s="307"/>
      <c r="C432" s="307"/>
      <c r="D432" s="307"/>
      <c r="E432" s="371"/>
      <c r="F432" s="307"/>
      <c r="G432" s="477"/>
      <c r="H432" s="371"/>
      <c r="I432" s="371"/>
      <c r="J432" s="371"/>
      <c r="K432" s="371"/>
      <c r="L432" s="371"/>
      <c r="M432" s="371"/>
      <c r="N432" s="371"/>
      <c r="O432" s="371"/>
      <c r="P432" s="371"/>
      <c r="Q432" s="371"/>
      <c r="R432" s="371"/>
      <c r="S432" s="371"/>
      <c r="T432" s="371"/>
      <c r="U432" s="371"/>
      <c r="V432" s="371"/>
    </row>
    <row r="433">
      <c r="A433" s="371"/>
      <c r="B433" s="307"/>
      <c r="C433" s="307"/>
      <c r="D433" s="307"/>
      <c r="E433" s="371"/>
      <c r="F433" s="307"/>
      <c r="G433" s="477"/>
      <c r="H433" s="371"/>
      <c r="I433" s="371"/>
      <c r="J433" s="371"/>
      <c r="K433" s="371"/>
      <c r="L433" s="371"/>
      <c r="M433" s="371"/>
      <c r="N433" s="371"/>
      <c r="O433" s="371"/>
      <c r="P433" s="371"/>
      <c r="Q433" s="371"/>
      <c r="R433" s="371"/>
      <c r="S433" s="371"/>
      <c r="T433" s="371"/>
      <c r="U433" s="371"/>
      <c r="V433" s="371"/>
    </row>
    <row r="434">
      <c r="A434" s="371"/>
      <c r="B434" s="307"/>
      <c r="C434" s="307"/>
      <c r="D434" s="307"/>
      <c r="E434" s="371"/>
      <c r="F434" s="307"/>
      <c r="G434" s="477"/>
      <c r="H434" s="371"/>
      <c r="I434" s="371"/>
      <c r="J434" s="371"/>
      <c r="K434" s="371"/>
      <c r="L434" s="371"/>
      <c r="M434" s="371"/>
      <c r="N434" s="371"/>
      <c r="O434" s="371"/>
      <c r="P434" s="371"/>
      <c r="Q434" s="371"/>
      <c r="R434" s="371"/>
      <c r="S434" s="371"/>
      <c r="T434" s="371"/>
      <c r="U434" s="371"/>
      <c r="V434" s="371"/>
    </row>
    <row r="435">
      <c r="A435" s="371"/>
      <c r="B435" s="307"/>
      <c r="C435" s="307"/>
      <c r="D435" s="307"/>
      <c r="E435" s="371"/>
      <c r="F435" s="307"/>
      <c r="G435" s="477"/>
      <c r="H435" s="371"/>
      <c r="I435" s="371"/>
      <c r="J435" s="371"/>
      <c r="K435" s="371"/>
      <c r="L435" s="371"/>
      <c r="M435" s="371"/>
      <c r="N435" s="371"/>
      <c r="O435" s="371"/>
      <c r="P435" s="371"/>
      <c r="Q435" s="371"/>
      <c r="R435" s="371"/>
      <c r="S435" s="371"/>
      <c r="T435" s="371"/>
      <c r="U435" s="371"/>
      <c r="V435" s="371"/>
    </row>
    <row r="436">
      <c r="A436" s="371"/>
      <c r="B436" s="307"/>
      <c r="C436" s="307"/>
      <c r="D436" s="307"/>
      <c r="E436" s="371"/>
      <c r="F436" s="307"/>
      <c r="G436" s="477"/>
      <c r="H436" s="371"/>
      <c r="I436" s="371"/>
      <c r="J436" s="371"/>
      <c r="K436" s="371"/>
      <c r="L436" s="371"/>
      <c r="M436" s="371"/>
      <c r="N436" s="371"/>
      <c r="O436" s="371"/>
      <c r="P436" s="371"/>
      <c r="Q436" s="371"/>
      <c r="R436" s="371"/>
      <c r="S436" s="371"/>
      <c r="T436" s="371"/>
      <c r="U436" s="371"/>
      <c r="V436" s="371"/>
    </row>
    <row r="437">
      <c r="A437" s="371"/>
      <c r="B437" s="307"/>
      <c r="C437" s="307"/>
      <c r="D437" s="307"/>
      <c r="E437" s="371"/>
      <c r="F437" s="307"/>
      <c r="G437" s="477"/>
      <c r="H437" s="371"/>
      <c r="I437" s="371"/>
      <c r="J437" s="371"/>
      <c r="K437" s="371"/>
      <c r="L437" s="371"/>
      <c r="M437" s="371"/>
      <c r="N437" s="371"/>
      <c r="O437" s="371"/>
      <c r="P437" s="371"/>
      <c r="Q437" s="371"/>
      <c r="R437" s="371"/>
      <c r="S437" s="371"/>
      <c r="T437" s="371"/>
      <c r="U437" s="371"/>
      <c r="V437" s="371"/>
    </row>
    <row r="438">
      <c r="A438" s="371"/>
      <c r="B438" s="307"/>
      <c r="C438" s="307"/>
      <c r="D438" s="307"/>
      <c r="E438" s="371"/>
      <c r="F438" s="307"/>
      <c r="G438" s="477"/>
      <c r="H438" s="371"/>
      <c r="I438" s="371"/>
      <c r="J438" s="371"/>
      <c r="K438" s="371"/>
      <c r="L438" s="371"/>
      <c r="M438" s="371"/>
      <c r="N438" s="371"/>
      <c r="O438" s="371"/>
      <c r="P438" s="371"/>
      <c r="Q438" s="371"/>
      <c r="R438" s="371"/>
      <c r="S438" s="371"/>
      <c r="T438" s="371"/>
      <c r="U438" s="371"/>
      <c r="V438" s="371"/>
    </row>
    <row r="439">
      <c r="A439" s="371"/>
      <c r="B439" s="307"/>
      <c r="C439" s="307"/>
      <c r="D439" s="307"/>
      <c r="E439" s="371"/>
      <c r="F439" s="307"/>
      <c r="G439" s="477"/>
      <c r="H439" s="371"/>
      <c r="I439" s="371"/>
      <c r="J439" s="371"/>
      <c r="K439" s="371"/>
      <c r="L439" s="371"/>
      <c r="M439" s="371"/>
      <c r="N439" s="371"/>
      <c r="O439" s="371"/>
      <c r="P439" s="371"/>
      <c r="Q439" s="371"/>
      <c r="R439" s="371"/>
      <c r="S439" s="371"/>
      <c r="T439" s="371"/>
      <c r="U439" s="371"/>
      <c r="V439" s="371"/>
    </row>
    <row r="440">
      <c r="A440" s="371"/>
      <c r="B440" s="307"/>
      <c r="C440" s="307"/>
      <c r="D440" s="307"/>
      <c r="E440" s="371"/>
      <c r="F440" s="307"/>
      <c r="G440" s="477"/>
      <c r="H440" s="371"/>
      <c r="I440" s="371"/>
      <c r="J440" s="371"/>
      <c r="K440" s="371"/>
      <c r="L440" s="371"/>
      <c r="M440" s="371"/>
      <c r="N440" s="371"/>
      <c r="O440" s="371"/>
      <c r="P440" s="371"/>
      <c r="Q440" s="371"/>
      <c r="R440" s="371"/>
      <c r="S440" s="371"/>
      <c r="T440" s="371"/>
      <c r="U440" s="371"/>
      <c r="V440" s="371"/>
    </row>
    <row r="441">
      <c r="A441" s="371"/>
      <c r="B441" s="307"/>
      <c r="C441" s="307"/>
      <c r="D441" s="307"/>
      <c r="E441" s="371"/>
      <c r="F441" s="307"/>
      <c r="G441" s="477"/>
      <c r="H441" s="371"/>
      <c r="I441" s="371"/>
      <c r="J441" s="371"/>
      <c r="K441" s="371"/>
      <c r="L441" s="371"/>
      <c r="M441" s="371"/>
      <c r="N441" s="371"/>
      <c r="O441" s="371"/>
      <c r="P441" s="371"/>
      <c r="Q441" s="371"/>
      <c r="R441" s="371"/>
      <c r="S441" s="371"/>
      <c r="T441" s="371"/>
      <c r="U441" s="371"/>
      <c r="V441" s="371"/>
    </row>
    <row r="442">
      <c r="A442" s="371"/>
      <c r="B442" s="307"/>
      <c r="C442" s="307"/>
      <c r="D442" s="307"/>
      <c r="E442" s="371"/>
      <c r="F442" s="307"/>
      <c r="G442" s="477"/>
      <c r="H442" s="371"/>
      <c r="I442" s="371"/>
      <c r="J442" s="371"/>
      <c r="K442" s="371"/>
      <c r="L442" s="371"/>
      <c r="M442" s="371"/>
      <c r="N442" s="371"/>
      <c r="O442" s="371"/>
      <c r="P442" s="371"/>
      <c r="Q442" s="371"/>
      <c r="R442" s="371"/>
      <c r="S442" s="371"/>
      <c r="T442" s="371"/>
      <c r="U442" s="371"/>
      <c r="V442" s="371"/>
    </row>
    <row r="443">
      <c r="A443" s="371"/>
      <c r="B443" s="307"/>
      <c r="C443" s="307"/>
      <c r="D443" s="307"/>
      <c r="E443" s="371"/>
      <c r="F443" s="307"/>
      <c r="G443" s="477"/>
      <c r="H443" s="371"/>
      <c r="I443" s="371"/>
      <c r="J443" s="371"/>
      <c r="K443" s="371"/>
      <c r="L443" s="371"/>
      <c r="M443" s="371"/>
      <c r="N443" s="371"/>
      <c r="O443" s="371"/>
      <c r="P443" s="371"/>
      <c r="Q443" s="371"/>
      <c r="R443" s="371"/>
      <c r="S443" s="371"/>
      <c r="T443" s="371"/>
      <c r="U443" s="371"/>
      <c r="V443" s="371"/>
    </row>
    <row r="444">
      <c r="A444" s="371"/>
      <c r="B444" s="307"/>
      <c r="C444" s="307"/>
      <c r="D444" s="307"/>
      <c r="E444" s="371"/>
      <c r="F444" s="307"/>
      <c r="G444" s="477"/>
      <c r="H444" s="371"/>
      <c r="I444" s="371"/>
      <c r="J444" s="371"/>
      <c r="K444" s="371"/>
      <c r="L444" s="371"/>
      <c r="M444" s="371"/>
      <c r="N444" s="371"/>
      <c r="O444" s="371"/>
      <c r="P444" s="371"/>
      <c r="Q444" s="371"/>
      <c r="R444" s="371"/>
      <c r="S444" s="371"/>
      <c r="T444" s="371"/>
      <c r="U444" s="371"/>
      <c r="V444" s="371"/>
    </row>
    <row r="445">
      <c r="A445" s="371"/>
      <c r="B445" s="307"/>
      <c r="C445" s="307"/>
      <c r="D445" s="307"/>
      <c r="E445" s="371"/>
      <c r="F445" s="307"/>
      <c r="G445" s="477"/>
      <c r="H445" s="371"/>
      <c r="I445" s="371"/>
      <c r="J445" s="371"/>
      <c r="K445" s="371"/>
      <c r="L445" s="371"/>
      <c r="M445" s="371"/>
      <c r="N445" s="371"/>
      <c r="O445" s="371"/>
      <c r="P445" s="371"/>
      <c r="Q445" s="371"/>
      <c r="R445" s="371"/>
      <c r="S445" s="371"/>
      <c r="T445" s="371"/>
      <c r="U445" s="371"/>
      <c r="V445" s="371"/>
    </row>
    <row r="446">
      <c r="A446" s="371"/>
      <c r="B446" s="307"/>
      <c r="C446" s="307"/>
      <c r="D446" s="307"/>
      <c r="E446" s="371"/>
      <c r="F446" s="307"/>
      <c r="G446" s="477"/>
      <c r="H446" s="371"/>
      <c r="I446" s="371"/>
      <c r="J446" s="371"/>
      <c r="K446" s="371"/>
      <c r="L446" s="371"/>
      <c r="M446" s="371"/>
      <c r="N446" s="371"/>
      <c r="O446" s="371"/>
      <c r="P446" s="371"/>
      <c r="Q446" s="371"/>
      <c r="R446" s="371"/>
      <c r="S446" s="371"/>
      <c r="T446" s="371"/>
      <c r="U446" s="371"/>
      <c r="V446" s="371"/>
    </row>
    <row r="447">
      <c r="A447" s="371"/>
      <c r="B447" s="307"/>
      <c r="C447" s="307"/>
      <c r="D447" s="307"/>
      <c r="E447" s="371"/>
      <c r="F447" s="307"/>
      <c r="G447" s="477"/>
      <c r="H447" s="371"/>
      <c r="I447" s="371"/>
      <c r="J447" s="371"/>
      <c r="K447" s="371"/>
      <c r="L447" s="371"/>
      <c r="M447" s="371"/>
      <c r="N447" s="371"/>
      <c r="O447" s="371"/>
      <c r="P447" s="371"/>
      <c r="Q447" s="371"/>
      <c r="R447" s="371"/>
      <c r="S447" s="371"/>
      <c r="T447" s="371"/>
      <c r="U447" s="371"/>
      <c r="V447" s="371"/>
    </row>
    <row r="448">
      <c r="A448" s="371"/>
      <c r="B448" s="307"/>
      <c r="C448" s="307"/>
      <c r="D448" s="307"/>
      <c r="E448" s="371"/>
      <c r="F448" s="307"/>
      <c r="G448" s="477"/>
      <c r="H448" s="371"/>
      <c r="I448" s="371"/>
      <c r="J448" s="371"/>
      <c r="K448" s="371"/>
      <c r="L448" s="371"/>
      <c r="M448" s="371"/>
      <c r="N448" s="371"/>
      <c r="O448" s="371"/>
      <c r="P448" s="371"/>
      <c r="Q448" s="371"/>
      <c r="R448" s="371"/>
      <c r="S448" s="371"/>
      <c r="T448" s="371"/>
      <c r="U448" s="371"/>
      <c r="V448" s="371"/>
    </row>
    <row r="449">
      <c r="A449" s="371"/>
      <c r="B449" s="307"/>
      <c r="C449" s="307"/>
      <c r="D449" s="307"/>
      <c r="E449" s="371"/>
      <c r="F449" s="307"/>
      <c r="G449" s="477"/>
      <c r="H449" s="371"/>
      <c r="I449" s="371"/>
      <c r="J449" s="371"/>
      <c r="K449" s="371"/>
      <c r="L449" s="371"/>
      <c r="M449" s="371"/>
      <c r="N449" s="371"/>
      <c r="O449" s="371"/>
      <c r="P449" s="371"/>
      <c r="Q449" s="371"/>
      <c r="R449" s="371"/>
      <c r="S449" s="371"/>
      <c r="T449" s="371"/>
      <c r="U449" s="371"/>
      <c r="V449" s="371"/>
    </row>
    <row r="450">
      <c r="A450" s="371"/>
      <c r="B450" s="307"/>
      <c r="C450" s="307"/>
      <c r="D450" s="307"/>
      <c r="E450" s="371"/>
      <c r="F450" s="307"/>
      <c r="G450" s="477"/>
      <c r="H450" s="371"/>
      <c r="I450" s="371"/>
      <c r="J450" s="371"/>
      <c r="K450" s="371"/>
      <c r="L450" s="371"/>
      <c r="M450" s="371"/>
      <c r="N450" s="371"/>
      <c r="O450" s="371"/>
      <c r="P450" s="371"/>
      <c r="Q450" s="371"/>
      <c r="R450" s="371"/>
      <c r="S450" s="371"/>
      <c r="T450" s="371"/>
      <c r="U450" s="371"/>
      <c r="V450" s="371"/>
    </row>
    <row r="451">
      <c r="A451" s="371"/>
      <c r="B451" s="307"/>
      <c r="C451" s="307"/>
      <c r="D451" s="307"/>
      <c r="E451" s="371"/>
      <c r="F451" s="307"/>
      <c r="G451" s="477"/>
      <c r="H451" s="371"/>
      <c r="I451" s="371"/>
      <c r="J451" s="371"/>
      <c r="K451" s="371"/>
      <c r="L451" s="371"/>
      <c r="M451" s="371"/>
      <c r="N451" s="371"/>
      <c r="O451" s="371"/>
      <c r="P451" s="371"/>
      <c r="Q451" s="371"/>
      <c r="R451" s="371"/>
      <c r="S451" s="371"/>
      <c r="T451" s="371"/>
      <c r="U451" s="371"/>
      <c r="V451" s="371"/>
    </row>
    <row r="452">
      <c r="A452" s="371"/>
      <c r="B452" s="307"/>
      <c r="C452" s="307"/>
      <c r="D452" s="307"/>
      <c r="E452" s="371"/>
      <c r="F452" s="307"/>
      <c r="G452" s="477"/>
      <c r="H452" s="371"/>
      <c r="I452" s="371"/>
      <c r="J452" s="371"/>
      <c r="K452" s="371"/>
      <c r="L452" s="371"/>
      <c r="M452" s="371"/>
      <c r="N452" s="371"/>
      <c r="O452" s="371"/>
      <c r="P452" s="371"/>
      <c r="Q452" s="371"/>
      <c r="R452" s="371"/>
      <c r="S452" s="371"/>
      <c r="T452" s="371"/>
      <c r="U452" s="371"/>
      <c r="V452" s="371"/>
    </row>
    <row r="453">
      <c r="A453" s="371"/>
      <c r="B453" s="307"/>
      <c r="C453" s="307"/>
      <c r="D453" s="307"/>
      <c r="E453" s="371"/>
      <c r="F453" s="307"/>
      <c r="G453" s="477"/>
      <c r="H453" s="371"/>
      <c r="I453" s="371"/>
      <c r="J453" s="371"/>
      <c r="K453" s="371"/>
      <c r="L453" s="371"/>
      <c r="M453" s="371"/>
      <c r="N453" s="371"/>
      <c r="O453" s="371"/>
      <c r="P453" s="371"/>
      <c r="Q453" s="371"/>
      <c r="R453" s="371"/>
      <c r="S453" s="371"/>
      <c r="T453" s="371"/>
      <c r="U453" s="371"/>
      <c r="V453" s="371"/>
    </row>
    <row r="454">
      <c r="A454" s="371"/>
      <c r="B454" s="307"/>
      <c r="C454" s="307"/>
      <c r="D454" s="307"/>
      <c r="E454" s="371"/>
      <c r="F454" s="307"/>
      <c r="G454" s="477"/>
      <c r="H454" s="371"/>
      <c r="I454" s="371"/>
      <c r="J454" s="371"/>
      <c r="K454" s="371"/>
      <c r="L454" s="371"/>
      <c r="M454" s="371"/>
      <c r="N454" s="371"/>
      <c r="O454" s="371"/>
      <c r="P454" s="371"/>
      <c r="Q454" s="371"/>
      <c r="R454" s="371"/>
      <c r="S454" s="371"/>
      <c r="T454" s="371"/>
      <c r="U454" s="371"/>
      <c r="V454" s="371"/>
    </row>
    <row r="455">
      <c r="A455" s="371"/>
      <c r="B455" s="307"/>
      <c r="C455" s="307"/>
      <c r="D455" s="307"/>
      <c r="E455" s="371"/>
      <c r="F455" s="307"/>
      <c r="G455" s="477"/>
      <c r="H455" s="371"/>
      <c r="I455" s="371"/>
      <c r="J455" s="371"/>
      <c r="K455" s="371"/>
      <c r="L455" s="371"/>
      <c r="M455" s="371"/>
      <c r="N455" s="371"/>
      <c r="O455" s="371"/>
      <c r="P455" s="371"/>
      <c r="Q455" s="371"/>
      <c r="R455" s="371"/>
      <c r="S455" s="371"/>
      <c r="T455" s="371"/>
      <c r="U455" s="371"/>
      <c r="V455" s="371"/>
    </row>
    <row r="456">
      <c r="A456" s="371"/>
      <c r="B456" s="307"/>
      <c r="C456" s="307"/>
      <c r="D456" s="307"/>
      <c r="E456" s="371"/>
      <c r="F456" s="307"/>
      <c r="G456" s="477"/>
      <c r="H456" s="371"/>
      <c r="I456" s="371"/>
      <c r="J456" s="371"/>
      <c r="K456" s="371"/>
      <c r="L456" s="371"/>
      <c r="M456" s="371"/>
      <c r="N456" s="371"/>
      <c r="O456" s="371"/>
      <c r="P456" s="371"/>
      <c r="Q456" s="371"/>
      <c r="R456" s="371"/>
      <c r="S456" s="371"/>
      <c r="T456" s="371"/>
      <c r="U456" s="371"/>
      <c r="V456" s="371"/>
    </row>
    <row r="457">
      <c r="A457" s="371"/>
      <c r="B457" s="307"/>
      <c r="C457" s="307"/>
      <c r="D457" s="307"/>
      <c r="E457" s="371"/>
      <c r="F457" s="307"/>
      <c r="G457" s="477"/>
      <c r="H457" s="371"/>
      <c r="I457" s="371"/>
      <c r="J457" s="371"/>
      <c r="K457" s="371"/>
      <c r="L457" s="371"/>
      <c r="M457" s="371"/>
      <c r="N457" s="371"/>
      <c r="O457" s="371"/>
      <c r="P457" s="371"/>
      <c r="Q457" s="371"/>
      <c r="R457" s="371"/>
      <c r="S457" s="371"/>
      <c r="T457" s="371"/>
      <c r="U457" s="371"/>
      <c r="V457" s="371"/>
    </row>
    <row r="458">
      <c r="A458" s="371"/>
      <c r="B458" s="307"/>
      <c r="C458" s="307"/>
      <c r="D458" s="307"/>
      <c r="E458" s="371"/>
      <c r="F458" s="307"/>
      <c r="G458" s="477"/>
      <c r="H458" s="371"/>
      <c r="I458" s="371"/>
      <c r="J458" s="371"/>
      <c r="K458" s="371"/>
      <c r="L458" s="371"/>
      <c r="M458" s="371"/>
      <c r="N458" s="371"/>
      <c r="O458" s="371"/>
      <c r="P458" s="371"/>
      <c r="Q458" s="371"/>
      <c r="R458" s="371"/>
      <c r="S458" s="371"/>
      <c r="T458" s="371"/>
      <c r="U458" s="371"/>
      <c r="V458" s="371"/>
    </row>
    <row r="459">
      <c r="A459" s="371"/>
      <c r="B459" s="307"/>
      <c r="C459" s="307"/>
      <c r="D459" s="307"/>
      <c r="E459" s="371"/>
      <c r="F459" s="307"/>
      <c r="G459" s="477"/>
      <c r="H459" s="371"/>
      <c r="I459" s="371"/>
      <c r="J459" s="371"/>
      <c r="K459" s="371"/>
      <c r="L459" s="371"/>
      <c r="M459" s="371"/>
      <c r="N459" s="371"/>
      <c r="O459" s="371"/>
      <c r="P459" s="371"/>
      <c r="Q459" s="371"/>
      <c r="R459" s="371"/>
      <c r="S459" s="371"/>
      <c r="T459" s="371"/>
      <c r="U459" s="371"/>
      <c r="V459" s="371"/>
    </row>
    <row r="460">
      <c r="A460" s="371"/>
      <c r="B460" s="307"/>
      <c r="C460" s="307"/>
      <c r="D460" s="307"/>
      <c r="E460" s="371"/>
      <c r="F460" s="307"/>
      <c r="G460" s="477"/>
      <c r="H460" s="371"/>
      <c r="I460" s="371"/>
      <c r="J460" s="371"/>
      <c r="K460" s="371"/>
      <c r="L460" s="371"/>
      <c r="M460" s="371"/>
      <c r="N460" s="371"/>
      <c r="O460" s="371"/>
      <c r="P460" s="371"/>
      <c r="Q460" s="371"/>
      <c r="R460" s="371"/>
      <c r="S460" s="371"/>
      <c r="T460" s="371"/>
      <c r="U460" s="371"/>
      <c r="V460" s="371"/>
    </row>
    <row r="461">
      <c r="A461" s="371"/>
      <c r="B461" s="307"/>
      <c r="C461" s="307"/>
      <c r="D461" s="307"/>
      <c r="E461" s="371"/>
      <c r="F461" s="307"/>
      <c r="G461" s="477"/>
      <c r="H461" s="371"/>
      <c r="I461" s="371"/>
      <c r="J461" s="371"/>
      <c r="K461" s="371"/>
      <c r="L461" s="371"/>
      <c r="M461" s="371"/>
      <c r="N461" s="371"/>
      <c r="O461" s="371"/>
      <c r="P461" s="371"/>
      <c r="Q461" s="371"/>
      <c r="R461" s="371"/>
      <c r="S461" s="371"/>
      <c r="T461" s="371"/>
      <c r="U461" s="371"/>
      <c r="V461" s="371"/>
    </row>
    <row r="462">
      <c r="A462" s="371"/>
      <c r="B462" s="307"/>
      <c r="C462" s="307"/>
      <c r="D462" s="307"/>
      <c r="E462" s="371"/>
      <c r="F462" s="307"/>
      <c r="G462" s="477"/>
      <c r="H462" s="371"/>
      <c r="I462" s="371"/>
      <c r="J462" s="371"/>
      <c r="K462" s="371"/>
      <c r="L462" s="371"/>
      <c r="M462" s="371"/>
      <c r="N462" s="371"/>
      <c r="O462" s="371"/>
      <c r="P462" s="371"/>
      <c r="Q462" s="371"/>
      <c r="R462" s="371"/>
      <c r="S462" s="371"/>
      <c r="T462" s="371"/>
      <c r="U462" s="371"/>
      <c r="V462" s="371"/>
    </row>
    <row r="463">
      <c r="A463" s="371"/>
      <c r="B463" s="307"/>
      <c r="C463" s="307"/>
      <c r="D463" s="307"/>
      <c r="E463" s="371"/>
      <c r="F463" s="307"/>
      <c r="G463" s="477"/>
      <c r="H463" s="371"/>
      <c r="I463" s="371"/>
      <c r="J463" s="371"/>
      <c r="K463" s="371"/>
      <c r="L463" s="371"/>
      <c r="M463" s="371"/>
      <c r="N463" s="371"/>
      <c r="O463" s="371"/>
      <c r="P463" s="371"/>
      <c r="Q463" s="371"/>
      <c r="R463" s="371"/>
      <c r="S463" s="371"/>
      <c r="T463" s="371"/>
      <c r="U463" s="371"/>
      <c r="V463" s="371"/>
    </row>
    <row r="464">
      <c r="A464" s="371"/>
      <c r="B464" s="307"/>
      <c r="C464" s="307"/>
      <c r="D464" s="307"/>
      <c r="E464" s="371"/>
      <c r="F464" s="307"/>
      <c r="G464" s="477"/>
      <c r="H464" s="371"/>
      <c r="I464" s="371"/>
      <c r="J464" s="371"/>
      <c r="K464" s="371"/>
      <c r="L464" s="371"/>
      <c r="M464" s="371"/>
      <c r="N464" s="371"/>
      <c r="O464" s="371"/>
      <c r="P464" s="371"/>
      <c r="Q464" s="371"/>
      <c r="R464" s="371"/>
      <c r="S464" s="371"/>
      <c r="T464" s="371"/>
      <c r="U464" s="371"/>
      <c r="V464" s="371"/>
    </row>
    <row r="465">
      <c r="A465" s="371"/>
      <c r="B465" s="307"/>
      <c r="C465" s="307"/>
      <c r="D465" s="307"/>
      <c r="E465" s="371"/>
      <c r="F465" s="307"/>
      <c r="G465" s="477"/>
      <c r="H465" s="371"/>
      <c r="I465" s="371"/>
      <c r="J465" s="371"/>
      <c r="K465" s="371"/>
      <c r="L465" s="371"/>
      <c r="M465" s="371"/>
      <c r="N465" s="371"/>
      <c r="O465" s="371"/>
      <c r="P465" s="371"/>
      <c r="Q465" s="371"/>
      <c r="R465" s="371"/>
      <c r="S465" s="371"/>
      <c r="T465" s="371"/>
      <c r="U465" s="371"/>
      <c r="V465" s="371"/>
    </row>
    <row r="466">
      <c r="A466" s="371"/>
      <c r="B466" s="307"/>
      <c r="C466" s="307"/>
      <c r="D466" s="307"/>
      <c r="E466" s="371"/>
      <c r="F466" s="307"/>
      <c r="G466" s="477"/>
      <c r="H466" s="371"/>
      <c r="I466" s="371"/>
      <c r="J466" s="371"/>
      <c r="K466" s="371"/>
      <c r="L466" s="371"/>
      <c r="M466" s="371"/>
      <c r="N466" s="371"/>
      <c r="O466" s="371"/>
      <c r="P466" s="371"/>
      <c r="Q466" s="371"/>
      <c r="R466" s="371"/>
      <c r="S466" s="371"/>
      <c r="T466" s="371"/>
      <c r="U466" s="371"/>
      <c r="V466" s="371"/>
    </row>
    <row r="467">
      <c r="A467" s="371"/>
      <c r="B467" s="307"/>
      <c r="C467" s="307"/>
      <c r="D467" s="307"/>
      <c r="E467" s="371"/>
      <c r="F467" s="307"/>
      <c r="G467" s="477"/>
      <c r="H467" s="371"/>
      <c r="I467" s="371"/>
      <c r="J467" s="371"/>
      <c r="K467" s="371"/>
      <c r="L467" s="371"/>
      <c r="M467" s="371"/>
      <c r="N467" s="371"/>
      <c r="O467" s="371"/>
      <c r="P467" s="371"/>
      <c r="Q467" s="371"/>
      <c r="R467" s="371"/>
      <c r="S467" s="371"/>
      <c r="T467" s="371"/>
      <c r="U467" s="371"/>
      <c r="V467" s="371"/>
    </row>
    <row r="468">
      <c r="A468" s="371"/>
      <c r="B468" s="307"/>
      <c r="C468" s="307"/>
      <c r="D468" s="307"/>
      <c r="E468" s="371"/>
      <c r="F468" s="307"/>
      <c r="G468" s="477"/>
      <c r="H468" s="371"/>
      <c r="I468" s="371"/>
      <c r="J468" s="371"/>
      <c r="K468" s="371"/>
      <c r="L468" s="371"/>
      <c r="M468" s="371"/>
      <c r="N468" s="371"/>
      <c r="O468" s="371"/>
      <c r="P468" s="371"/>
      <c r="Q468" s="371"/>
      <c r="R468" s="371"/>
      <c r="S468" s="371"/>
      <c r="T468" s="371"/>
      <c r="U468" s="371"/>
      <c r="V468" s="371"/>
    </row>
    <row r="469">
      <c r="A469" s="371"/>
      <c r="B469" s="307"/>
      <c r="C469" s="307"/>
      <c r="D469" s="307"/>
      <c r="E469" s="371"/>
      <c r="F469" s="307"/>
      <c r="G469" s="477"/>
      <c r="H469" s="371"/>
      <c r="I469" s="371"/>
      <c r="J469" s="371"/>
      <c r="K469" s="371"/>
      <c r="L469" s="371"/>
      <c r="M469" s="371"/>
      <c r="N469" s="371"/>
      <c r="O469" s="371"/>
      <c r="P469" s="371"/>
      <c r="Q469" s="371"/>
      <c r="R469" s="371"/>
      <c r="S469" s="371"/>
      <c r="T469" s="371"/>
      <c r="U469" s="371"/>
      <c r="V469" s="371"/>
    </row>
    <row r="470">
      <c r="A470" s="371"/>
      <c r="B470" s="307"/>
      <c r="C470" s="307"/>
      <c r="D470" s="307"/>
      <c r="E470" s="371"/>
      <c r="F470" s="307"/>
      <c r="G470" s="477"/>
      <c r="H470" s="371"/>
      <c r="I470" s="371"/>
      <c r="J470" s="371"/>
      <c r="K470" s="371"/>
      <c r="L470" s="371"/>
      <c r="M470" s="371"/>
      <c r="N470" s="371"/>
      <c r="O470" s="371"/>
      <c r="P470" s="371"/>
      <c r="Q470" s="371"/>
      <c r="R470" s="371"/>
      <c r="S470" s="371"/>
      <c r="T470" s="371"/>
      <c r="U470" s="371"/>
      <c r="V470" s="371"/>
    </row>
    <row r="471">
      <c r="A471" s="371"/>
      <c r="B471" s="307"/>
      <c r="C471" s="307"/>
      <c r="D471" s="307"/>
      <c r="E471" s="371"/>
      <c r="F471" s="307"/>
      <c r="G471" s="477"/>
      <c r="H471" s="371"/>
      <c r="I471" s="371"/>
      <c r="J471" s="371"/>
      <c r="K471" s="371"/>
      <c r="L471" s="371"/>
      <c r="M471" s="371"/>
      <c r="N471" s="371"/>
      <c r="O471" s="371"/>
      <c r="P471" s="371"/>
      <c r="Q471" s="371"/>
      <c r="R471" s="371"/>
      <c r="S471" s="371"/>
      <c r="T471" s="371"/>
      <c r="U471" s="371"/>
      <c r="V471" s="371"/>
    </row>
    <row r="472">
      <c r="A472" s="371"/>
      <c r="B472" s="307"/>
      <c r="C472" s="307"/>
      <c r="D472" s="307"/>
      <c r="E472" s="371"/>
      <c r="F472" s="307"/>
      <c r="G472" s="477"/>
      <c r="H472" s="371"/>
      <c r="I472" s="371"/>
      <c r="J472" s="371"/>
      <c r="K472" s="371"/>
      <c r="L472" s="371"/>
      <c r="M472" s="371"/>
      <c r="N472" s="371"/>
      <c r="O472" s="371"/>
      <c r="P472" s="371"/>
      <c r="Q472" s="371"/>
      <c r="R472" s="371"/>
      <c r="S472" s="371"/>
      <c r="T472" s="371"/>
      <c r="U472" s="371"/>
      <c r="V472" s="371"/>
    </row>
    <row r="473">
      <c r="A473" s="371"/>
      <c r="B473" s="307"/>
      <c r="C473" s="307"/>
      <c r="D473" s="307"/>
      <c r="E473" s="371"/>
      <c r="F473" s="307"/>
      <c r="G473" s="477"/>
      <c r="H473" s="371"/>
      <c r="I473" s="371"/>
      <c r="J473" s="371"/>
      <c r="K473" s="371"/>
      <c r="L473" s="371"/>
      <c r="M473" s="371"/>
      <c r="N473" s="371"/>
      <c r="O473" s="371"/>
      <c r="P473" s="371"/>
      <c r="Q473" s="371"/>
      <c r="R473" s="371"/>
      <c r="S473" s="371"/>
      <c r="T473" s="371"/>
      <c r="U473" s="371"/>
      <c r="V473" s="371"/>
    </row>
    <row r="474">
      <c r="A474" s="371"/>
      <c r="B474" s="307"/>
      <c r="C474" s="307"/>
      <c r="D474" s="307"/>
      <c r="E474" s="371"/>
      <c r="F474" s="307"/>
      <c r="G474" s="477"/>
      <c r="H474" s="371"/>
      <c r="I474" s="371"/>
      <c r="J474" s="371"/>
      <c r="K474" s="371"/>
      <c r="L474" s="371"/>
      <c r="M474" s="371"/>
      <c r="N474" s="371"/>
      <c r="O474" s="371"/>
      <c r="P474" s="371"/>
      <c r="Q474" s="371"/>
      <c r="R474" s="371"/>
      <c r="S474" s="371"/>
      <c r="T474" s="371"/>
      <c r="U474" s="371"/>
      <c r="V474" s="371"/>
    </row>
    <row r="475">
      <c r="A475" s="371"/>
      <c r="B475" s="307"/>
      <c r="C475" s="307"/>
      <c r="D475" s="307"/>
      <c r="E475" s="371"/>
      <c r="F475" s="307"/>
      <c r="G475" s="477"/>
      <c r="H475" s="371"/>
      <c r="I475" s="371"/>
      <c r="J475" s="371"/>
      <c r="K475" s="371"/>
      <c r="L475" s="371"/>
      <c r="M475" s="371"/>
      <c r="N475" s="371"/>
      <c r="O475" s="371"/>
      <c r="P475" s="371"/>
      <c r="Q475" s="371"/>
      <c r="R475" s="371"/>
      <c r="S475" s="371"/>
      <c r="T475" s="371"/>
      <c r="U475" s="371"/>
      <c r="V475" s="371"/>
    </row>
    <row r="476">
      <c r="A476" s="371"/>
      <c r="B476" s="307"/>
      <c r="C476" s="307"/>
      <c r="D476" s="307"/>
      <c r="E476" s="371"/>
      <c r="F476" s="307"/>
      <c r="G476" s="477"/>
      <c r="H476" s="371"/>
      <c r="I476" s="371"/>
      <c r="J476" s="371"/>
      <c r="K476" s="371"/>
      <c r="L476" s="371"/>
      <c r="M476" s="371"/>
      <c r="N476" s="371"/>
      <c r="O476" s="371"/>
      <c r="P476" s="371"/>
      <c r="Q476" s="371"/>
      <c r="R476" s="371"/>
      <c r="S476" s="371"/>
      <c r="T476" s="371"/>
      <c r="U476" s="371"/>
      <c r="V476" s="371"/>
    </row>
    <row r="477">
      <c r="A477" s="371"/>
      <c r="B477" s="307"/>
      <c r="C477" s="307"/>
      <c r="D477" s="307"/>
      <c r="E477" s="371"/>
      <c r="F477" s="307"/>
      <c r="G477" s="477"/>
      <c r="H477" s="371"/>
      <c r="I477" s="371"/>
      <c r="J477" s="371"/>
      <c r="K477" s="371"/>
      <c r="L477" s="371"/>
      <c r="M477" s="371"/>
      <c r="N477" s="371"/>
      <c r="O477" s="371"/>
      <c r="P477" s="371"/>
      <c r="Q477" s="371"/>
      <c r="R477" s="371"/>
      <c r="S477" s="371"/>
      <c r="T477" s="371"/>
      <c r="U477" s="371"/>
      <c r="V477" s="371"/>
    </row>
    <row r="478">
      <c r="A478" s="371"/>
      <c r="B478" s="307"/>
      <c r="C478" s="307"/>
      <c r="D478" s="307"/>
      <c r="E478" s="371"/>
      <c r="F478" s="307"/>
      <c r="G478" s="477"/>
      <c r="H478" s="371"/>
      <c r="I478" s="371"/>
      <c r="J478" s="371"/>
      <c r="K478" s="371"/>
      <c r="L478" s="371"/>
      <c r="M478" s="371"/>
      <c r="N478" s="371"/>
      <c r="O478" s="371"/>
      <c r="P478" s="371"/>
      <c r="Q478" s="371"/>
      <c r="R478" s="371"/>
      <c r="S478" s="371"/>
      <c r="T478" s="371"/>
      <c r="U478" s="371"/>
      <c r="V478" s="371"/>
    </row>
    <row r="479">
      <c r="A479" s="371"/>
      <c r="B479" s="307"/>
      <c r="C479" s="307"/>
      <c r="D479" s="307"/>
      <c r="E479" s="371"/>
      <c r="F479" s="307"/>
      <c r="G479" s="477"/>
      <c r="H479" s="371"/>
      <c r="I479" s="371"/>
      <c r="J479" s="371"/>
      <c r="K479" s="371"/>
      <c r="L479" s="371"/>
      <c r="M479" s="371"/>
      <c r="N479" s="371"/>
      <c r="O479" s="371"/>
      <c r="P479" s="371"/>
      <c r="Q479" s="371"/>
      <c r="R479" s="371"/>
      <c r="S479" s="371"/>
      <c r="T479" s="371"/>
      <c r="U479" s="371"/>
      <c r="V479" s="371"/>
    </row>
    <row r="480">
      <c r="A480" s="371"/>
      <c r="B480" s="307"/>
      <c r="C480" s="307"/>
      <c r="D480" s="307"/>
      <c r="E480" s="371"/>
      <c r="F480" s="307"/>
      <c r="G480" s="477"/>
      <c r="H480" s="371"/>
      <c r="I480" s="371"/>
      <c r="J480" s="371"/>
      <c r="K480" s="371"/>
      <c r="L480" s="371"/>
      <c r="M480" s="371"/>
      <c r="N480" s="371"/>
      <c r="O480" s="371"/>
      <c r="P480" s="371"/>
      <c r="Q480" s="371"/>
      <c r="R480" s="371"/>
      <c r="S480" s="371"/>
      <c r="T480" s="371"/>
      <c r="U480" s="371"/>
      <c r="V480" s="371"/>
    </row>
    <row r="481">
      <c r="A481" s="371"/>
      <c r="B481" s="307"/>
      <c r="C481" s="307"/>
      <c r="D481" s="307"/>
      <c r="E481" s="371"/>
      <c r="F481" s="307"/>
      <c r="G481" s="477"/>
      <c r="H481" s="371"/>
      <c r="I481" s="371"/>
      <c r="J481" s="371"/>
      <c r="K481" s="371"/>
      <c r="L481" s="371"/>
      <c r="M481" s="371"/>
      <c r="N481" s="371"/>
      <c r="O481" s="371"/>
      <c r="P481" s="371"/>
      <c r="Q481" s="371"/>
      <c r="R481" s="371"/>
      <c r="S481" s="371"/>
      <c r="T481" s="371"/>
      <c r="U481" s="371"/>
      <c r="V481" s="371"/>
    </row>
    <row r="482">
      <c r="A482" s="371"/>
      <c r="B482" s="307"/>
      <c r="C482" s="307"/>
      <c r="D482" s="307"/>
      <c r="E482" s="371"/>
      <c r="F482" s="307"/>
      <c r="G482" s="477"/>
      <c r="H482" s="371"/>
      <c r="I482" s="371"/>
      <c r="J482" s="371"/>
      <c r="K482" s="371"/>
      <c r="L482" s="371"/>
      <c r="M482" s="371"/>
      <c r="N482" s="371"/>
      <c r="O482" s="371"/>
      <c r="P482" s="371"/>
      <c r="Q482" s="371"/>
      <c r="R482" s="371"/>
      <c r="S482" s="371"/>
      <c r="T482" s="371"/>
      <c r="U482" s="371"/>
      <c r="V482" s="371"/>
    </row>
    <row r="483">
      <c r="A483" s="371"/>
      <c r="B483" s="307"/>
      <c r="C483" s="307"/>
      <c r="D483" s="307"/>
      <c r="E483" s="371"/>
      <c r="F483" s="307"/>
      <c r="G483" s="477"/>
      <c r="H483" s="371"/>
      <c r="I483" s="371"/>
      <c r="J483" s="371"/>
      <c r="K483" s="371"/>
      <c r="L483" s="371"/>
      <c r="M483" s="371"/>
      <c r="N483" s="371"/>
      <c r="O483" s="371"/>
      <c r="P483" s="371"/>
      <c r="Q483" s="371"/>
      <c r="R483" s="371"/>
      <c r="S483" s="371"/>
      <c r="T483" s="371"/>
      <c r="U483" s="371"/>
      <c r="V483" s="371"/>
    </row>
    <row r="484">
      <c r="A484" s="371"/>
      <c r="B484" s="307"/>
      <c r="C484" s="307"/>
      <c r="D484" s="307"/>
      <c r="E484" s="371"/>
      <c r="F484" s="307"/>
      <c r="G484" s="477"/>
      <c r="H484" s="371"/>
      <c r="I484" s="371"/>
      <c r="J484" s="371"/>
      <c r="K484" s="371"/>
      <c r="L484" s="371"/>
      <c r="M484" s="371"/>
      <c r="N484" s="371"/>
      <c r="O484" s="371"/>
      <c r="P484" s="371"/>
      <c r="Q484" s="371"/>
      <c r="R484" s="371"/>
      <c r="S484" s="371"/>
      <c r="T484" s="371"/>
      <c r="U484" s="371"/>
      <c r="V484" s="371"/>
    </row>
    <row r="485">
      <c r="A485" s="371"/>
      <c r="B485" s="307"/>
      <c r="C485" s="307"/>
      <c r="D485" s="307"/>
      <c r="E485" s="371"/>
      <c r="F485" s="307"/>
      <c r="G485" s="477"/>
      <c r="H485" s="371"/>
      <c r="I485" s="371"/>
      <c r="J485" s="371"/>
      <c r="K485" s="371"/>
      <c r="L485" s="371"/>
      <c r="M485" s="371"/>
      <c r="N485" s="371"/>
      <c r="O485" s="371"/>
      <c r="P485" s="371"/>
      <c r="Q485" s="371"/>
      <c r="R485" s="371"/>
      <c r="S485" s="371"/>
      <c r="T485" s="371"/>
      <c r="U485" s="371"/>
      <c r="V485" s="371"/>
    </row>
    <row r="486">
      <c r="A486" s="371"/>
      <c r="B486" s="307"/>
      <c r="C486" s="307"/>
      <c r="D486" s="307"/>
      <c r="E486" s="371"/>
      <c r="F486" s="307"/>
      <c r="G486" s="477"/>
      <c r="H486" s="371"/>
      <c r="I486" s="371"/>
      <c r="J486" s="371"/>
      <c r="K486" s="371"/>
      <c r="L486" s="371"/>
      <c r="M486" s="371"/>
      <c r="N486" s="371"/>
      <c r="O486" s="371"/>
      <c r="P486" s="371"/>
      <c r="Q486" s="371"/>
      <c r="R486" s="371"/>
      <c r="S486" s="371"/>
      <c r="T486" s="371"/>
      <c r="U486" s="371"/>
      <c r="V486" s="371"/>
    </row>
    <row r="487">
      <c r="A487" s="371"/>
      <c r="B487" s="307"/>
      <c r="C487" s="307"/>
      <c r="D487" s="307"/>
      <c r="E487" s="371"/>
      <c r="F487" s="307"/>
      <c r="G487" s="477"/>
      <c r="H487" s="371"/>
      <c r="I487" s="371"/>
      <c r="J487" s="371"/>
      <c r="K487" s="371"/>
      <c r="L487" s="371"/>
      <c r="M487" s="371"/>
      <c r="N487" s="371"/>
      <c r="O487" s="371"/>
      <c r="P487" s="371"/>
      <c r="Q487" s="371"/>
      <c r="R487" s="371"/>
      <c r="S487" s="371"/>
      <c r="T487" s="371"/>
      <c r="U487" s="371"/>
      <c r="V487" s="371"/>
    </row>
    <row r="488">
      <c r="A488" s="371"/>
      <c r="B488" s="307"/>
      <c r="C488" s="307"/>
      <c r="D488" s="307"/>
      <c r="E488" s="371"/>
      <c r="F488" s="307"/>
      <c r="G488" s="477"/>
      <c r="H488" s="371"/>
      <c r="I488" s="371"/>
      <c r="J488" s="371"/>
      <c r="K488" s="371"/>
      <c r="L488" s="371"/>
      <c r="M488" s="371"/>
      <c r="N488" s="371"/>
      <c r="O488" s="371"/>
      <c r="P488" s="371"/>
      <c r="Q488" s="371"/>
      <c r="R488" s="371"/>
      <c r="S488" s="371"/>
      <c r="T488" s="371"/>
      <c r="U488" s="371"/>
      <c r="V488" s="371"/>
    </row>
    <row r="489">
      <c r="A489" s="371"/>
      <c r="B489" s="307"/>
      <c r="C489" s="307"/>
      <c r="D489" s="307"/>
      <c r="E489" s="371"/>
      <c r="F489" s="307"/>
      <c r="G489" s="477"/>
      <c r="H489" s="371"/>
      <c r="I489" s="371"/>
      <c r="J489" s="371"/>
      <c r="K489" s="371"/>
      <c r="L489" s="371"/>
      <c r="M489" s="371"/>
      <c r="N489" s="371"/>
      <c r="O489" s="371"/>
      <c r="P489" s="371"/>
      <c r="Q489" s="371"/>
      <c r="R489" s="371"/>
      <c r="S489" s="371"/>
      <c r="T489" s="371"/>
      <c r="U489" s="371"/>
      <c r="V489" s="371"/>
    </row>
    <row r="490">
      <c r="A490" s="371"/>
      <c r="B490" s="307"/>
      <c r="C490" s="307"/>
      <c r="D490" s="307"/>
      <c r="E490" s="371"/>
      <c r="F490" s="307"/>
      <c r="G490" s="477"/>
      <c r="H490" s="371"/>
      <c r="I490" s="371"/>
      <c r="J490" s="371"/>
      <c r="K490" s="371"/>
      <c r="L490" s="371"/>
      <c r="M490" s="371"/>
      <c r="N490" s="371"/>
      <c r="O490" s="371"/>
      <c r="P490" s="371"/>
      <c r="Q490" s="371"/>
      <c r="R490" s="371"/>
      <c r="S490" s="371"/>
      <c r="T490" s="371"/>
      <c r="U490" s="371"/>
      <c r="V490" s="371"/>
    </row>
    <row r="491">
      <c r="A491" s="371"/>
      <c r="B491" s="307"/>
      <c r="C491" s="307"/>
      <c r="D491" s="307"/>
      <c r="E491" s="371"/>
      <c r="F491" s="307"/>
      <c r="G491" s="477"/>
      <c r="H491" s="371"/>
      <c r="I491" s="371"/>
      <c r="J491" s="371"/>
      <c r="K491" s="371"/>
      <c r="L491" s="371"/>
      <c r="M491" s="371"/>
      <c r="N491" s="371"/>
      <c r="O491" s="371"/>
      <c r="P491" s="371"/>
      <c r="Q491" s="371"/>
      <c r="R491" s="371"/>
      <c r="S491" s="371"/>
      <c r="T491" s="371"/>
      <c r="U491" s="371"/>
      <c r="V491" s="371"/>
    </row>
    <row r="492">
      <c r="A492" s="371"/>
      <c r="B492" s="307"/>
      <c r="C492" s="307"/>
      <c r="D492" s="307"/>
      <c r="E492" s="371"/>
      <c r="F492" s="307"/>
      <c r="G492" s="477"/>
      <c r="H492" s="371"/>
      <c r="I492" s="371"/>
      <c r="J492" s="371"/>
      <c r="K492" s="371"/>
      <c r="L492" s="371"/>
      <c r="M492" s="371"/>
      <c r="N492" s="371"/>
      <c r="O492" s="371"/>
      <c r="P492" s="371"/>
      <c r="Q492" s="371"/>
      <c r="R492" s="371"/>
      <c r="S492" s="371"/>
      <c r="T492" s="371"/>
      <c r="U492" s="371"/>
      <c r="V492" s="371"/>
    </row>
    <row r="493">
      <c r="A493" s="371"/>
      <c r="B493" s="307"/>
      <c r="C493" s="307"/>
      <c r="D493" s="307"/>
      <c r="E493" s="371"/>
      <c r="F493" s="307"/>
      <c r="G493" s="477"/>
      <c r="H493" s="371"/>
      <c r="I493" s="371"/>
      <c r="J493" s="371"/>
      <c r="K493" s="371"/>
      <c r="L493" s="371"/>
      <c r="M493" s="371"/>
      <c r="N493" s="371"/>
      <c r="O493" s="371"/>
      <c r="P493" s="371"/>
      <c r="Q493" s="371"/>
      <c r="R493" s="371"/>
      <c r="S493" s="371"/>
      <c r="T493" s="371"/>
      <c r="U493" s="371"/>
      <c r="V493" s="371"/>
    </row>
    <row r="494">
      <c r="A494" s="371"/>
      <c r="B494" s="307"/>
      <c r="C494" s="307"/>
      <c r="D494" s="307"/>
      <c r="E494" s="371"/>
      <c r="F494" s="307"/>
      <c r="G494" s="477"/>
      <c r="H494" s="371"/>
      <c r="I494" s="371"/>
      <c r="J494" s="371"/>
      <c r="K494" s="371"/>
      <c r="L494" s="371"/>
      <c r="M494" s="371"/>
      <c r="N494" s="371"/>
      <c r="O494" s="371"/>
      <c r="P494" s="371"/>
      <c r="Q494" s="371"/>
      <c r="R494" s="371"/>
      <c r="S494" s="371"/>
      <c r="T494" s="371"/>
      <c r="U494" s="371"/>
      <c r="V494" s="371"/>
    </row>
    <row r="495">
      <c r="A495" s="371"/>
      <c r="B495" s="307"/>
      <c r="C495" s="307"/>
      <c r="D495" s="307"/>
      <c r="E495" s="371"/>
      <c r="F495" s="307"/>
      <c r="G495" s="477"/>
      <c r="H495" s="371"/>
      <c r="I495" s="371"/>
      <c r="J495" s="371"/>
      <c r="K495" s="371"/>
      <c r="L495" s="371"/>
      <c r="M495" s="371"/>
      <c r="N495" s="371"/>
      <c r="O495" s="371"/>
      <c r="P495" s="371"/>
      <c r="Q495" s="371"/>
      <c r="R495" s="371"/>
      <c r="S495" s="371"/>
      <c r="T495" s="371"/>
      <c r="U495" s="371"/>
      <c r="V495" s="371"/>
    </row>
    <row r="496">
      <c r="A496" s="371"/>
      <c r="B496" s="307"/>
      <c r="C496" s="307"/>
      <c r="D496" s="307"/>
      <c r="E496" s="371"/>
      <c r="F496" s="307"/>
      <c r="G496" s="477"/>
      <c r="H496" s="371"/>
      <c r="I496" s="371"/>
      <c r="J496" s="371"/>
      <c r="K496" s="371"/>
      <c r="L496" s="371"/>
      <c r="M496" s="371"/>
      <c r="N496" s="371"/>
      <c r="O496" s="371"/>
      <c r="P496" s="371"/>
      <c r="Q496" s="371"/>
      <c r="R496" s="371"/>
      <c r="S496" s="371"/>
      <c r="T496" s="371"/>
      <c r="U496" s="371"/>
      <c r="V496" s="371"/>
    </row>
    <row r="497">
      <c r="A497" s="371"/>
      <c r="B497" s="307"/>
      <c r="C497" s="307"/>
      <c r="D497" s="307"/>
      <c r="E497" s="371"/>
      <c r="F497" s="307"/>
      <c r="G497" s="477"/>
      <c r="H497" s="371"/>
      <c r="I497" s="371"/>
      <c r="J497" s="371"/>
      <c r="K497" s="371"/>
      <c r="L497" s="371"/>
      <c r="M497" s="371"/>
      <c r="N497" s="371"/>
      <c r="O497" s="371"/>
      <c r="P497" s="371"/>
      <c r="Q497" s="371"/>
      <c r="R497" s="371"/>
      <c r="S497" s="371"/>
      <c r="T497" s="371"/>
      <c r="U497" s="371"/>
      <c r="V497" s="371"/>
    </row>
    <row r="498">
      <c r="A498" s="371"/>
      <c r="B498" s="307"/>
      <c r="C498" s="307"/>
      <c r="D498" s="307"/>
      <c r="E498" s="371"/>
      <c r="F498" s="307"/>
      <c r="G498" s="477"/>
      <c r="H498" s="371"/>
      <c r="I498" s="371"/>
      <c r="J498" s="371"/>
      <c r="K498" s="371"/>
      <c r="L498" s="371"/>
      <c r="M498" s="371"/>
      <c r="N498" s="371"/>
      <c r="O498" s="371"/>
      <c r="P498" s="371"/>
      <c r="Q498" s="371"/>
      <c r="R498" s="371"/>
      <c r="S498" s="371"/>
      <c r="T498" s="371"/>
      <c r="U498" s="371"/>
      <c r="V498" s="371"/>
    </row>
    <row r="499">
      <c r="A499" s="371"/>
      <c r="B499" s="307"/>
      <c r="C499" s="307"/>
      <c r="D499" s="307"/>
      <c r="E499" s="371"/>
      <c r="F499" s="307"/>
      <c r="G499" s="477"/>
      <c r="H499" s="371"/>
      <c r="I499" s="371"/>
      <c r="J499" s="371"/>
      <c r="K499" s="371"/>
      <c r="L499" s="371"/>
      <c r="M499" s="371"/>
      <c r="N499" s="371"/>
      <c r="O499" s="371"/>
      <c r="P499" s="371"/>
      <c r="Q499" s="371"/>
      <c r="R499" s="371"/>
      <c r="S499" s="371"/>
      <c r="T499" s="371"/>
      <c r="U499" s="371"/>
      <c r="V499" s="371"/>
    </row>
    <row r="500">
      <c r="A500" s="371"/>
      <c r="B500" s="307"/>
      <c r="C500" s="307"/>
      <c r="D500" s="307"/>
      <c r="E500" s="371"/>
      <c r="F500" s="307"/>
      <c r="G500" s="477"/>
      <c r="H500" s="371"/>
      <c r="I500" s="371"/>
      <c r="J500" s="371"/>
      <c r="K500" s="371"/>
      <c r="L500" s="371"/>
      <c r="M500" s="371"/>
      <c r="N500" s="371"/>
      <c r="O500" s="371"/>
      <c r="P500" s="371"/>
      <c r="Q500" s="371"/>
      <c r="R500" s="371"/>
      <c r="S500" s="371"/>
      <c r="T500" s="371"/>
      <c r="U500" s="371"/>
      <c r="V500" s="371"/>
    </row>
    <row r="501">
      <c r="A501" s="371"/>
      <c r="B501" s="307"/>
      <c r="C501" s="307"/>
      <c r="D501" s="307"/>
      <c r="E501" s="371"/>
      <c r="F501" s="307"/>
      <c r="G501" s="477"/>
      <c r="H501" s="371"/>
      <c r="I501" s="371"/>
      <c r="J501" s="371"/>
      <c r="K501" s="371"/>
      <c r="L501" s="371"/>
      <c r="M501" s="371"/>
      <c r="N501" s="371"/>
      <c r="O501" s="371"/>
      <c r="P501" s="371"/>
      <c r="Q501" s="371"/>
      <c r="R501" s="371"/>
      <c r="S501" s="371"/>
      <c r="T501" s="371"/>
      <c r="U501" s="371"/>
      <c r="V501" s="371"/>
    </row>
    <row r="502">
      <c r="A502" s="371"/>
      <c r="B502" s="307"/>
      <c r="C502" s="307"/>
      <c r="D502" s="307"/>
      <c r="E502" s="371"/>
      <c r="F502" s="307"/>
      <c r="G502" s="477"/>
      <c r="H502" s="371"/>
      <c r="I502" s="371"/>
      <c r="J502" s="371"/>
      <c r="K502" s="371"/>
      <c r="L502" s="371"/>
      <c r="M502" s="371"/>
      <c r="N502" s="371"/>
      <c r="O502" s="371"/>
      <c r="P502" s="371"/>
      <c r="Q502" s="371"/>
      <c r="R502" s="371"/>
      <c r="S502" s="371"/>
      <c r="T502" s="371"/>
      <c r="U502" s="371"/>
      <c r="V502" s="371"/>
    </row>
    <row r="503">
      <c r="A503" s="371"/>
      <c r="B503" s="307"/>
      <c r="C503" s="307"/>
      <c r="D503" s="307"/>
      <c r="E503" s="371"/>
      <c r="F503" s="307"/>
      <c r="G503" s="477"/>
      <c r="H503" s="371"/>
      <c r="I503" s="371"/>
      <c r="J503" s="371"/>
      <c r="K503" s="371"/>
      <c r="L503" s="371"/>
      <c r="M503" s="371"/>
      <c r="N503" s="371"/>
      <c r="O503" s="371"/>
      <c r="P503" s="371"/>
      <c r="Q503" s="371"/>
      <c r="R503" s="371"/>
      <c r="S503" s="371"/>
      <c r="T503" s="371"/>
      <c r="U503" s="371"/>
      <c r="V503" s="371"/>
    </row>
    <row r="504">
      <c r="A504" s="371"/>
      <c r="B504" s="307"/>
      <c r="C504" s="307"/>
      <c r="D504" s="307"/>
      <c r="E504" s="371"/>
      <c r="F504" s="307"/>
      <c r="G504" s="477"/>
      <c r="H504" s="371"/>
      <c r="I504" s="371"/>
      <c r="J504" s="371"/>
      <c r="K504" s="371"/>
      <c r="L504" s="371"/>
      <c r="M504" s="371"/>
      <c r="N504" s="371"/>
      <c r="O504" s="371"/>
      <c r="P504" s="371"/>
      <c r="Q504" s="371"/>
      <c r="R504" s="371"/>
      <c r="S504" s="371"/>
      <c r="T504" s="371"/>
      <c r="U504" s="371"/>
      <c r="V504" s="371"/>
    </row>
    <row r="505">
      <c r="A505" s="371"/>
      <c r="B505" s="307"/>
      <c r="C505" s="307"/>
      <c r="D505" s="307"/>
      <c r="E505" s="371"/>
      <c r="F505" s="307"/>
      <c r="G505" s="477"/>
      <c r="H505" s="371"/>
      <c r="I505" s="371"/>
      <c r="J505" s="371"/>
      <c r="K505" s="371"/>
      <c r="L505" s="371"/>
      <c r="M505" s="371"/>
      <c r="N505" s="371"/>
      <c r="O505" s="371"/>
      <c r="P505" s="371"/>
      <c r="Q505" s="371"/>
      <c r="R505" s="371"/>
      <c r="S505" s="371"/>
      <c r="T505" s="371"/>
      <c r="U505" s="371"/>
      <c r="V505" s="371"/>
    </row>
    <row r="506">
      <c r="A506" s="371"/>
      <c r="B506" s="307"/>
      <c r="C506" s="307"/>
      <c r="D506" s="307"/>
      <c r="E506" s="371"/>
      <c r="F506" s="307"/>
      <c r="G506" s="477"/>
      <c r="H506" s="371"/>
      <c r="I506" s="371"/>
      <c r="J506" s="371"/>
      <c r="K506" s="371"/>
      <c r="L506" s="371"/>
      <c r="M506" s="371"/>
      <c r="N506" s="371"/>
      <c r="O506" s="371"/>
      <c r="P506" s="371"/>
      <c r="Q506" s="371"/>
      <c r="R506" s="371"/>
      <c r="S506" s="371"/>
      <c r="T506" s="371"/>
      <c r="U506" s="371"/>
      <c r="V506" s="371"/>
    </row>
    <row r="507">
      <c r="A507" s="371"/>
      <c r="B507" s="307"/>
      <c r="C507" s="307"/>
      <c r="D507" s="307"/>
      <c r="E507" s="371"/>
      <c r="F507" s="307"/>
      <c r="G507" s="477"/>
      <c r="H507" s="371"/>
      <c r="I507" s="371"/>
      <c r="J507" s="371"/>
      <c r="K507" s="371"/>
      <c r="L507" s="371"/>
      <c r="M507" s="371"/>
      <c r="N507" s="371"/>
      <c r="O507" s="371"/>
      <c r="P507" s="371"/>
      <c r="Q507" s="371"/>
      <c r="R507" s="371"/>
      <c r="S507" s="371"/>
      <c r="T507" s="371"/>
      <c r="U507" s="371"/>
      <c r="V507" s="371"/>
    </row>
    <row r="508">
      <c r="A508" s="371"/>
      <c r="B508" s="307"/>
      <c r="C508" s="307"/>
      <c r="D508" s="307"/>
      <c r="E508" s="371"/>
      <c r="F508" s="307"/>
      <c r="G508" s="477"/>
      <c r="H508" s="371"/>
      <c r="I508" s="371"/>
      <c r="J508" s="371"/>
      <c r="K508" s="371"/>
      <c r="L508" s="371"/>
      <c r="M508" s="371"/>
      <c r="N508" s="371"/>
      <c r="O508" s="371"/>
      <c r="P508" s="371"/>
      <c r="Q508" s="371"/>
      <c r="R508" s="371"/>
      <c r="S508" s="371"/>
      <c r="T508" s="371"/>
      <c r="U508" s="371"/>
      <c r="V508" s="371"/>
    </row>
    <row r="509">
      <c r="A509" s="371"/>
      <c r="B509" s="307"/>
      <c r="C509" s="307"/>
      <c r="D509" s="307"/>
      <c r="E509" s="371"/>
      <c r="F509" s="307"/>
      <c r="G509" s="477"/>
      <c r="H509" s="371"/>
      <c r="I509" s="371"/>
      <c r="J509" s="371"/>
      <c r="K509" s="371"/>
      <c r="L509" s="371"/>
      <c r="M509" s="371"/>
      <c r="N509" s="371"/>
      <c r="O509" s="371"/>
      <c r="P509" s="371"/>
      <c r="Q509" s="371"/>
      <c r="R509" s="371"/>
      <c r="S509" s="371"/>
      <c r="T509" s="371"/>
      <c r="U509" s="371"/>
      <c r="V509" s="371"/>
    </row>
    <row r="510">
      <c r="A510" s="371"/>
      <c r="B510" s="307"/>
      <c r="C510" s="307"/>
      <c r="D510" s="307"/>
      <c r="E510" s="371"/>
      <c r="F510" s="307"/>
      <c r="G510" s="477"/>
      <c r="H510" s="371"/>
      <c r="I510" s="371"/>
      <c r="J510" s="371"/>
      <c r="K510" s="371"/>
      <c r="L510" s="371"/>
      <c r="M510" s="371"/>
      <c r="N510" s="371"/>
      <c r="O510" s="371"/>
      <c r="P510" s="371"/>
      <c r="Q510" s="371"/>
      <c r="R510" s="371"/>
      <c r="S510" s="371"/>
      <c r="T510" s="371"/>
      <c r="U510" s="371"/>
      <c r="V510" s="371"/>
    </row>
    <row r="511">
      <c r="A511" s="371"/>
      <c r="B511" s="307"/>
      <c r="C511" s="307"/>
      <c r="D511" s="307"/>
      <c r="E511" s="371"/>
      <c r="F511" s="307"/>
      <c r="G511" s="477"/>
      <c r="H511" s="371"/>
      <c r="I511" s="371"/>
      <c r="J511" s="371"/>
      <c r="K511" s="371"/>
      <c r="L511" s="371"/>
      <c r="M511" s="371"/>
      <c r="N511" s="371"/>
      <c r="O511" s="371"/>
      <c r="P511" s="371"/>
      <c r="Q511" s="371"/>
      <c r="R511" s="371"/>
      <c r="S511" s="371"/>
      <c r="T511" s="371"/>
      <c r="U511" s="371"/>
      <c r="V511" s="371"/>
    </row>
    <row r="512">
      <c r="A512" s="371"/>
      <c r="B512" s="307"/>
      <c r="C512" s="307"/>
      <c r="D512" s="307"/>
      <c r="E512" s="371"/>
      <c r="F512" s="307"/>
      <c r="G512" s="477"/>
      <c r="H512" s="371"/>
      <c r="I512" s="371"/>
      <c r="J512" s="371"/>
      <c r="K512" s="371"/>
      <c r="L512" s="371"/>
      <c r="M512" s="371"/>
      <c r="N512" s="371"/>
      <c r="O512" s="371"/>
      <c r="P512" s="371"/>
      <c r="Q512" s="371"/>
      <c r="R512" s="371"/>
      <c r="S512" s="371"/>
      <c r="T512" s="371"/>
      <c r="U512" s="371"/>
      <c r="V512" s="371"/>
    </row>
    <row r="513">
      <c r="A513" s="371"/>
      <c r="B513" s="307"/>
      <c r="C513" s="307"/>
      <c r="D513" s="307"/>
      <c r="E513" s="371"/>
      <c r="F513" s="307"/>
      <c r="G513" s="477"/>
      <c r="H513" s="371"/>
      <c r="I513" s="371"/>
      <c r="J513" s="371"/>
      <c r="K513" s="371"/>
      <c r="L513" s="371"/>
      <c r="M513" s="371"/>
      <c r="N513" s="371"/>
      <c r="O513" s="371"/>
      <c r="P513" s="371"/>
      <c r="Q513" s="371"/>
      <c r="R513" s="371"/>
      <c r="S513" s="371"/>
      <c r="T513" s="371"/>
      <c r="U513" s="371"/>
      <c r="V513" s="371"/>
    </row>
    <row r="514">
      <c r="A514" s="371"/>
      <c r="B514" s="307"/>
      <c r="C514" s="307"/>
      <c r="D514" s="307"/>
      <c r="E514" s="371"/>
      <c r="F514" s="307"/>
      <c r="G514" s="477"/>
      <c r="H514" s="371"/>
      <c r="I514" s="371"/>
      <c r="J514" s="371"/>
      <c r="K514" s="371"/>
      <c r="L514" s="371"/>
      <c r="M514" s="371"/>
      <c r="N514" s="371"/>
      <c r="O514" s="371"/>
      <c r="P514" s="371"/>
      <c r="Q514" s="371"/>
      <c r="R514" s="371"/>
      <c r="S514" s="371"/>
      <c r="T514" s="371"/>
      <c r="U514" s="371"/>
      <c r="V514" s="371"/>
    </row>
    <row r="515">
      <c r="A515" s="371"/>
      <c r="B515" s="307"/>
      <c r="C515" s="307"/>
      <c r="D515" s="307"/>
      <c r="E515" s="371"/>
      <c r="F515" s="307"/>
      <c r="G515" s="477"/>
      <c r="H515" s="371"/>
      <c r="I515" s="371"/>
      <c r="J515" s="371"/>
      <c r="K515" s="371"/>
      <c r="L515" s="371"/>
      <c r="M515" s="371"/>
      <c r="N515" s="371"/>
      <c r="O515" s="371"/>
      <c r="P515" s="371"/>
      <c r="Q515" s="371"/>
      <c r="R515" s="371"/>
      <c r="S515" s="371"/>
      <c r="T515" s="371"/>
      <c r="U515" s="371"/>
      <c r="V515" s="371"/>
    </row>
    <row r="516">
      <c r="A516" s="371"/>
      <c r="B516" s="307"/>
      <c r="C516" s="307"/>
      <c r="D516" s="307"/>
      <c r="E516" s="371"/>
      <c r="F516" s="307"/>
      <c r="G516" s="477"/>
      <c r="H516" s="371"/>
      <c r="I516" s="371"/>
      <c r="J516" s="371"/>
      <c r="K516" s="371"/>
      <c r="L516" s="371"/>
      <c r="M516" s="371"/>
      <c r="N516" s="371"/>
      <c r="O516" s="371"/>
      <c r="P516" s="371"/>
      <c r="Q516" s="371"/>
      <c r="R516" s="371"/>
      <c r="S516" s="371"/>
      <c r="T516" s="371"/>
      <c r="U516" s="371"/>
      <c r="V516" s="371"/>
    </row>
    <row r="517">
      <c r="A517" s="371"/>
      <c r="B517" s="307"/>
      <c r="C517" s="307"/>
      <c r="D517" s="307"/>
      <c r="E517" s="371"/>
      <c r="F517" s="307"/>
      <c r="G517" s="477"/>
      <c r="H517" s="371"/>
      <c r="I517" s="371"/>
      <c r="J517" s="371"/>
      <c r="K517" s="371"/>
      <c r="L517" s="371"/>
      <c r="M517" s="371"/>
      <c r="N517" s="371"/>
      <c r="O517" s="371"/>
      <c r="P517" s="371"/>
      <c r="Q517" s="371"/>
      <c r="R517" s="371"/>
      <c r="S517" s="371"/>
      <c r="T517" s="371"/>
      <c r="U517" s="371"/>
      <c r="V517" s="371"/>
    </row>
    <row r="518">
      <c r="A518" s="371"/>
      <c r="B518" s="307"/>
      <c r="C518" s="307"/>
      <c r="D518" s="307"/>
      <c r="E518" s="371"/>
      <c r="F518" s="307"/>
      <c r="G518" s="477"/>
      <c r="H518" s="371"/>
      <c r="I518" s="371"/>
      <c r="J518" s="371"/>
      <c r="K518" s="371"/>
      <c r="L518" s="371"/>
      <c r="M518" s="371"/>
      <c r="N518" s="371"/>
      <c r="O518" s="371"/>
      <c r="P518" s="371"/>
      <c r="Q518" s="371"/>
      <c r="R518" s="371"/>
      <c r="S518" s="371"/>
      <c r="T518" s="371"/>
      <c r="U518" s="371"/>
      <c r="V518" s="371"/>
    </row>
    <row r="519">
      <c r="A519" s="371"/>
      <c r="B519" s="307"/>
      <c r="C519" s="307"/>
      <c r="D519" s="307"/>
      <c r="E519" s="371"/>
      <c r="F519" s="307"/>
      <c r="G519" s="477"/>
      <c r="H519" s="371"/>
      <c r="I519" s="371"/>
      <c r="J519" s="371"/>
      <c r="K519" s="371"/>
      <c r="L519" s="371"/>
      <c r="M519" s="371"/>
      <c r="N519" s="371"/>
      <c r="O519" s="371"/>
      <c r="P519" s="371"/>
      <c r="Q519" s="371"/>
      <c r="R519" s="371"/>
      <c r="S519" s="371"/>
      <c r="T519" s="371"/>
      <c r="U519" s="371"/>
      <c r="V519" s="371"/>
    </row>
    <row r="520">
      <c r="A520" s="371"/>
      <c r="B520" s="307"/>
      <c r="C520" s="307"/>
      <c r="D520" s="307"/>
      <c r="E520" s="371"/>
      <c r="F520" s="307"/>
      <c r="G520" s="477"/>
      <c r="H520" s="371"/>
      <c r="I520" s="371"/>
      <c r="J520" s="371"/>
      <c r="K520" s="371"/>
      <c r="L520" s="371"/>
      <c r="M520" s="371"/>
      <c r="N520" s="371"/>
      <c r="O520" s="371"/>
      <c r="P520" s="371"/>
      <c r="Q520" s="371"/>
      <c r="R520" s="371"/>
      <c r="S520" s="371"/>
      <c r="T520" s="371"/>
      <c r="U520" s="371"/>
      <c r="V520" s="371"/>
    </row>
    <row r="521">
      <c r="A521" s="371"/>
      <c r="B521" s="307"/>
      <c r="C521" s="307"/>
      <c r="D521" s="307"/>
      <c r="E521" s="371"/>
      <c r="F521" s="307"/>
      <c r="G521" s="477"/>
      <c r="H521" s="371"/>
      <c r="I521" s="371"/>
      <c r="J521" s="371"/>
      <c r="K521" s="371"/>
      <c r="L521" s="371"/>
      <c r="M521" s="371"/>
      <c r="N521" s="371"/>
      <c r="O521" s="371"/>
      <c r="P521" s="371"/>
      <c r="Q521" s="371"/>
      <c r="R521" s="371"/>
      <c r="S521" s="371"/>
      <c r="T521" s="371"/>
      <c r="U521" s="371"/>
      <c r="V521" s="371"/>
    </row>
    <row r="522">
      <c r="A522" s="371"/>
      <c r="B522" s="307"/>
      <c r="C522" s="307"/>
      <c r="D522" s="307"/>
      <c r="E522" s="371"/>
      <c r="F522" s="307"/>
      <c r="G522" s="477"/>
      <c r="H522" s="371"/>
      <c r="I522" s="371"/>
      <c r="J522" s="371"/>
      <c r="K522" s="371"/>
      <c r="L522" s="371"/>
      <c r="M522" s="371"/>
      <c r="N522" s="371"/>
      <c r="O522" s="371"/>
      <c r="P522" s="371"/>
      <c r="Q522" s="371"/>
      <c r="R522" s="371"/>
      <c r="S522" s="371"/>
      <c r="T522" s="371"/>
      <c r="U522" s="371"/>
      <c r="V522" s="371"/>
    </row>
    <row r="523">
      <c r="A523" s="371"/>
      <c r="B523" s="307"/>
      <c r="C523" s="307"/>
      <c r="D523" s="307"/>
      <c r="E523" s="371"/>
      <c r="F523" s="307"/>
      <c r="G523" s="477"/>
      <c r="H523" s="371"/>
      <c r="I523" s="371"/>
      <c r="J523" s="371"/>
      <c r="K523" s="371"/>
      <c r="L523" s="371"/>
      <c r="M523" s="371"/>
      <c r="N523" s="371"/>
      <c r="O523" s="371"/>
      <c r="P523" s="371"/>
      <c r="Q523" s="371"/>
      <c r="R523" s="371"/>
      <c r="S523" s="371"/>
      <c r="T523" s="371"/>
      <c r="U523" s="371"/>
      <c r="V523" s="371"/>
    </row>
    <row r="524">
      <c r="A524" s="371"/>
      <c r="B524" s="307"/>
      <c r="C524" s="307"/>
      <c r="D524" s="307"/>
      <c r="E524" s="371"/>
      <c r="F524" s="307"/>
      <c r="G524" s="477"/>
      <c r="H524" s="371"/>
      <c r="I524" s="371"/>
      <c r="J524" s="371"/>
      <c r="K524" s="371"/>
      <c r="L524" s="371"/>
      <c r="M524" s="371"/>
      <c r="N524" s="371"/>
      <c r="O524" s="371"/>
      <c r="P524" s="371"/>
      <c r="Q524" s="371"/>
      <c r="R524" s="371"/>
      <c r="S524" s="371"/>
      <c r="T524" s="371"/>
      <c r="U524" s="371"/>
      <c r="V524" s="371"/>
    </row>
    <row r="525">
      <c r="A525" s="371"/>
      <c r="B525" s="307"/>
      <c r="C525" s="307"/>
      <c r="D525" s="307"/>
      <c r="E525" s="371"/>
      <c r="F525" s="307"/>
      <c r="G525" s="477"/>
      <c r="H525" s="371"/>
      <c r="I525" s="371"/>
      <c r="J525" s="371"/>
      <c r="K525" s="371"/>
      <c r="L525" s="371"/>
      <c r="M525" s="371"/>
      <c r="N525" s="371"/>
      <c r="O525" s="371"/>
      <c r="P525" s="371"/>
      <c r="Q525" s="371"/>
      <c r="R525" s="371"/>
      <c r="S525" s="371"/>
      <c r="T525" s="371"/>
      <c r="U525" s="371"/>
      <c r="V525" s="371"/>
    </row>
    <row r="526">
      <c r="A526" s="371"/>
      <c r="B526" s="307"/>
      <c r="C526" s="307"/>
      <c r="D526" s="307"/>
      <c r="E526" s="371"/>
      <c r="F526" s="307"/>
      <c r="G526" s="477"/>
      <c r="H526" s="371"/>
      <c r="I526" s="371"/>
      <c r="J526" s="371"/>
      <c r="K526" s="371"/>
      <c r="L526" s="371"/>
      <c r="M526" s="371"/>
      <c r="N526" s="371"/>
      <c r="O526" s="371"/>
      <c r="P526" s="371"/>
      <c r="Q526" s="371"/>
      <c r="R526" s="371"/>
      <c r="S526" s="371"/>
      <c r="T526" s="371"/>
      <c r="U526" s="371"/>
      <c r="V526" s="371"/>
    </row>
    <row r="527">
      <c r="A527" s="371"/>
      <c r="B527" s="307"/>
      <c r="C527" s="307"/>
      <c r="D527" s="307"/>
      <c r="E527" s="371"/>
      <c r="F527" s="307"/>
      <c r="G527" s="477"/>
      <c r="H527" s="371"/>
      <c r="I527" s="371"/>
      <c r="J527" s="371"/>
      <c r="K527" s="371"/>
      <c r="L527" s="371"/>
      <c r="M527" s="371"/>
      <c r="N527" s="371"/>
      <c r="O527" s="371"/>
      <c r="P527" s="371"/>
      <c r="Q527" s="371"/>
      <c r="R527" s="371"/>
      <c r="S527" s="371"/>
      <c r="T527" s="371"/>
      <c r="U527" s="371"/>
      <c r="V527" s="371"/>
    </row>
    <row r="528">
      <c r="A528" s="371"/>
      <c r="B528" s="307"/>
      <c r="C528" s="307"/>
      <c r="D528" s="307"/>
      <c r="E528" s="371"/>
      <c r="F528" s="307"/>
      <c r="G528" s="477"/>
      <c r="H528" s="371"/>
      <c r="I528" s="371"/>
      <c r="J528" s="371"/>
      <c r="K528" s="371"/>
      <c r="L528" s="371"/>
      <c r="M528" s="371"/>
      <c r="N528" s="371"/>
      <c r="O528" s="371"/>
      <c r="P528" s="371"/>
      <c r="Q528" s="371"/>
      <c r="R528" s="371"/>
      <c r="S528" s="371"/>
      <c r="T528" s="371"/>
      <c r="U528" s="371"/>
      <c r="V528" s="371"/>
    </row>
    <row r="529">
      <c r="A529" s="371"/>
      <c r="B529" s="307"/>
      <c r="C529" s="307"/>
      <c r="D529" s="307"/>
      <c r="E529" s="371"/>
      <c r="F529" s="307"/>
      <c r="G529" s="477"/>
      <c r="H529" s="371"/>
      <c r="I529" s="371"/>
      <c r="J529" s="371"/>
      <c r="K529" s="371"/>
      <c r="L529" s="371"/>
      <c r="M529" s="371"/>
      <c r="N529" s="371"/>
      <c r="O529" s="371"/>
      <c r="P529" s="371"/>
      <c r="Q529" s="371"/>
      <c r="R529" s="371"/>
      <c r="S529" s="371"/>
      <c r="T529" s="371"/>
      <c r="U529" s="371"/>
      <c r="V529" s="371"/>
    </row>
    <row r="530">
      <c r="A530" s="371"/>
      <c r="B530" s="307"/>
      <c r="C530" s="307"/>
      <c r="D530" s="307"/>
      <c r="E530" s="371"/>
      <c r="F530" s="307"/>
      <c r="G530" s="477"/>
      <c r="H530" s="371"/>
      <c r="I530" s="371"/>
      <c r="J530" s="371"/>
      <c r="K530" s="371"/>
      <c r="L530" s="371"/>
      <c r="M530" s="371"/>
      <c r="N530" s="371"/>
      <c r="O530" s="371"/>
      <c r="P530" s="371"/>
      <c r="Q530" s="371"/>
      <c r="R530" s="371"/>
      <c r="S530" s="371"/>
      <c r="T530" s="371"/>
      <c r="U530" s="371"/>
      <c r="V530" s="371"/>
    </row>
    <row r="531">
      <c r="A531" s="371"/>
      <c r="B531" s="307"/>
      <c r="C531" s="307"/>
      <c r="D531" s="307"/>
      <c r="E531" s="371"/>
      <c r="F531" s="307"/>
      <c r="G531" s="477"/>
      <c r="H531" s="371"/>
      <c r="I531" s="371"/>
      <c r="J531" s="371"/>
      <c r="K531" s="371"/>
      <c r="L531" s="371"/>
      <c r="M531" s="371"/>
      <c r="N531" s="371"/>
      <c r="O531" s="371"/>
      <c r="P531" s="371"/>
      <c r="Q531" s="371"/>
      <c r="R531" s="371"/>
      <c r="S531" s="371"/>
      <c r="T531" s="371"/>
      <c r="U531" s="371"/>
      <c r="V531" s="371"/>
    </row>
    <row r="532">
      <c r="A532" s="371"/>
      <c r="B532" s="307"/>
      <c r="C532" s="307"/>
      <c r="D532" s="307"/>
      <c r="E532" s="371"/>
      <c r="F532" s="307"/>
      <c r="G532" s="477"/>
      <c r="H532" s="371"/>
      <c r="I532" s="371"/>
      <c r="J532" s="371"/>
      <c r="K532" s="371"/>
      <c r="L532" s="371"/>
      <c r="M532" s="371"/>
      <c r="N532" s="371"/>
      <c r="O532" s="371"/>
      <c r="P532" s="371"/>
      <c r="Q532" s="371"/>
      <c r="R532" s="371"/>
      <c r="S532" s="371"/>
      <c r="T532" s="371"/>
      <c r="U532" s="371"/>
      <c r="V532" s="371"/>
    </row>
    <row r="533">
      <c r="A533" s="371"/>
      <c r="B533" s="307"/>
      <c r="C533" s="307"/>
      <c r="D533" s="307"/>
      <c r="E533" s="371"/>
      <c r="F533" s="307"/>
      <c r="G533" s="477"/>
      <c r="H533" s="371"/>
      <c r="I533" s="371"/>
      <c r="J533" s="371"/>
      <c r="K533" s="371"/>
      <c r="L533" s="371"/>
      <c r="M533" s="371"/>
      <c r="N533" s="371"/>
      <c r="O533" s="371"/>
      <c r="P533" s="371"/>
      <c r="Q533" s="371"/>
      <c r="R533" s="371"/>
      <c r="S533" s="371"/>
      <c r="T533" s="371"/>
      <c r="U533" s="371"/>
      <c r="V533" s="371"/>
    </row>
    <row r="534">
      <c r="A534" s="371"/>
      <c r="B534" s="307"/>
      <c r="C534" s="307"/>
      <c r="D534" s="307"/>
      <c r="E534" s="371"/>
      <c r="F534" s="307"/>
      <c r="G534" s="477"/>
      <c r="H534" s="371"/>
      <c r="I534" s="371"/>
      <c r="J534" s="371"/>
      <c r="K534" s="371"/>
      <c r="L534" s="371"/>
      <c r="M534" s="371"/>
      <c r="N534" s="371"/>
      <c r="O534" s="371"/>
      <c r="P534" s="371"/>
      <c r="Q534" s="371"/>
      <c r="R534" s="371"/>
      <c r="S534" s="371"/>
      <c r="T534" s="371"/>
      <c r="U534" s="371"/>
      <c r="V534" s="371"/>
    </row>
    <row r="535">
      <c r="A535" s="371"/>
      <c r="B535" s="307"/>
      <c r="C535" s="307"/>
      <c r="D535" s="307"/>
      <c r="E535" s="371"/>
      <c r="F535" s="307"/>
      <c r="G535" s="477"/>
      <c r="H535" s="371"/>
      <c r="I535" s="371"/>
      <c r="J535" s="371"/>
      <c r="K535" s="371"/>
      <c r="L535" s="371"/>
      <c r="M535" s="371"/>
      <c r="N535" s="371"/>
      <c r="O535" s="371"/>
      <c r="P535" s="371"/>
      <c r="Q535" s="371"/>
      <c r="R535" s="371"/>
      <c r="S535" s="371"/>
      <c r="T535" s="371"/>
      <c r="U535" s="371"/>
      <c r="V535" s="371"/>
    </row>
    <row r="536">
      <c r="A536" s="371"/>
      <c r="B536" s="307"/>
      <c r="C536" s="307"/>
      <c r="D536" s="307"/>
      <c r="E536" s="371"/>
      <c r="F536" s="307"/>
      <c r="G536" s="477"/>
      <c r="H536" s="371"/>
      <c r="I536" s="371"/>
      <c r="J536" s="371"/>
      <c r="K536" s="371"/>
      <c r="L536" s="371"/>
      <c r="M536" s="371"/>
      <c r="N536" s="371"/>
      <c r="O536" s="371"/>
      <c r="P536" s="371"/>
      <c r="Q536" s="371"/>
      <c r="R536" s="371"/>
      <c r="S536" s="371"/>
      <c r="T536" s="371"/>
      <c r="U536" s="371"/>
      <c r="V536" s="371"/>
    </row>
    <row r="537">
      <c r="A537" s="371"/>
      <c r="B537" s="307"/>
      <c r="C537" s="307"/>
      <c r="D537" s="307"/>
      <c r="E537" s="371"/>
      <c r="F537" s="307"/>
      <c r="G537" s="477"/>
      <c r="H537" s="371"/>
      <c r="I537" s="371"/>
      <c r="J537" s="371"/>
      <c r="K537" s="371"/>
      <c r="L537" s="371"/>
      <c r="M537" s="371"/>
      <c r="N537" s="371"/>
      <c r="O537" s="371"/>
      <c r="P537" s="371"/>
      <c r="Q537" s="371"/>
      <c r="R537" s="371"/>
      <c r="S537" s="371"/>
      <c r="T537" s="371"/>
      <c r="U537" s="371"/>
      <c r="V537" s="371"/>
    </row>
    <row r="538">
      <c r="A538" s="371"/>
      <c r="B538" s="307"/>
      <c r="C538" s="307"/>
      <c r="D538" s="307"/>
      <c r="E538" s="371"/>
      <c r="F538" s="307"/>
      <c r="G538" s="477"/>
      <c r="H538" s="371"/>
      <c r="I538" s="371"/>
      <c r="J538" s="371"/>
      <c r="K538" s="371"/>
      <c r="L538" s="371"/>
      <c r="M538" s="371"/>
      <c r="N538" s="371"/>
      <c r="O538" s="371"/>
      <c r="P538" s="371"/>
      <c r="Q538" s="371"/>
      <c r="R538" s="371"/>
      <c r="S538" s="371"/>
      <c r="T538" s="371"/>
      <c r="U538" s="371"/>
      <c r="V538" s="371"/>
    </row>
    <row r="539">
      <c r="A539" s="371"/>
      <c r="B539" s="307"/>
      <c r="C539" s="307"/>
      <c r="D539" s="307"/>
      <c r="E539" s="371"/>
      <c r="F539" s="307"/>
      <c r="G539" s="477"/>
      <c r="H539" s="371"/>
      <c r="I539" s="371"/>
      <c r="J539" s="371"/>
      <c r="K539" s="371"/>
      <c r="L539" s="371"/>
      <c r="M539" s="371"/>
      <c r="N539" s="371"/>
      <c r="O539" s="371"/>
      <c r="P539" s="371"/>
      <c r="Q539" s="371"/>
      <c r="R539" s="371"/>
      <c r="S539" s="371"/>
      <c r="T539" s="371"/>
      <c r="U539" s="371"/>
      <c r="V539" s="371"/>
    </row>
    <row r="540">
      <c r="A540" s="371"/>
      <c r="B540" s="307"/>
      <c r="C540" s="307"/>
      <c r="D540" s="307"/>
      <c r="E540" s="371"/>
      <c r="F540" s="307"/>
      <c r="G540" s="477"/>
      <c r="H540" s="371"/>
      <c r="I540" s="371"/>
      <c r="J540" s="371"/>
      <c r="K540" s="371"/>
      <c r="L540" s="371"/>
      <c r="M540" s="371"/>
      <c r="N540" s="371"/>
      <c r="O540" s="371"/>
      <c r="P540" s="371"/>
      <c r="Q540" s="371"/>
      <c r="R540" s="371"/>
      <c r="S540" s="371"/>
      <c r="T540" s="371"/>
      <c r="U540" s="371"/>
      <c r="V540" s="371"/>
    </row>
    <row r="541">
      <c r="A541" s="371"/>
      <c r="B541" s="307"/>
      <c r="C541" s="307"/>
      <c r="D541" s="307"/>
      <c r="E541" s="371"/>
      <c r="F541" s="307"/>
      <c r="G541" s="477"/>
      <c r="H541" s="371"/>
      <c r="I541" s="371"/>
      <c r="J541" s="371"/>
      <c r="K541" s="371"/>
      <c r="L541" s="371"/>
      <c r="M541" s="371"/>
      <c r="N541" s="371"/>
      <c r="O541" s="371"/>
      <c r="P541" s="371"/>
      <c r="Q541" s="371"/>
      <c r="R541" s="371"/>
      <c r="S541" s="371"/>
      <c r="T541" s="371"/>
      <c r="U541" s="371"/>
      <c r="V541" s="371"/>
    </row>
    <row r="542">
      <c r="A542" s="371"/>
      <c r="B542" s="307"/>
      <c r="C542" s="307"/>
      <c r="D542" s="307"/>
      <c r="E542" s="371"/>
      <c r="F542" s="307"/>
      <c r="G542" s="477"/>
      <c r="H542" s="371"/>
      <c r="I542" s="371"/>
      <c r="J542" s="371"/>
      <c r="K542" s="371"/>
      <c r="L542" s="371"/>
      <c r="M542" s="371"/>
      <c r="N542" s="371"/>
      <c r="O542" s="371"/>
      <c r="P542" s="371"/>
      <c r="Q542" s="371"/>
      <c r="R542" s="371"/>
      <c r="S542" s="371"/>
      <c r="T542" s="371"/>
      <c r="U542" s="371"/>
      <c r="V542" s="371"/>
    </row>
    <row r="543">
      <c r="A543" s="371"/>
      <c r="B543" s="307"/>
      <c r="C543" s="307"/>
      <c r="D543" s="307"/>
      <c r="E543" s="371"/>
      <c r="F543" s="307"/>
      <c r="G543" s="477"/>
      <c r="H543" s="371"/>
      <c r="I543" s="371"/>
      <c r="J543" s="371"/>
      <c r="K543" s="371"/>
      <c r="L543" s="371"/>
      <c r="M543" s="371"/>
      <c r="N543" s="371"/>
      <c r="O543" s="371"/>
      <c r="P543" s="371"/>
      <c r="Q543" s="371"/>
      <c r="R543" s="371"/>
      <c r="S543" s="371"/>
      <c r="T543" s="371"/>
      <c r="U543" s="371"/>
      <c r="V543" s="371"/>
    </row>
    <row r="544">
      <c r="A544" s="371"/>
      <c r="B544" s="307"/>
      <c r="C544" s="307"/>
      <c r="D544" s="307"/>
      <c r="E544" s="371"/>
      <c r="F544" s="307"/>
      <c r="G544" s="477"/>
      <c r="H544" s="371"/>
      <c r="I544" s="371"/>
      <c r="J544" s="371"/>
      <c r="K544" s="371"/>
      <c r="L544" s="371"/>
      <c r="M544" s="371"/>
      <c r="N544" s="371"/>
      <c r="O544" s="371"/>
      <c r="P544" s="371"/>
      <c r="Q544" s="371"/>
      <c r="R544" s="371"/>
      <c r="S544" s="371"/>
      <c r="T544" s="371"/>
      <c r="U544" s="371"/>
      <c r="V544" s="371"/>
    </row>
    <row r="545">
      <c r="A545" s="371"/>
      <c r="B545" s="307"/>
      <c r="C545" s="307"/>
      <c r="D545" s="307"/>
      <c r="E545" s="371"/>
      <c r="F545" s="307"/>
      <c r="G545" s="477"/>
      <c r="H545" s="371"/>
      <c r="I545" s="371"/>
      <c r="J545" s="371"/>
      <c r="K545" s="371"/>
      <c r="L545" s="371"/>
      <c r="M545" s="371"/>
      <c r="N545" s="371"/>
      <c r="O545" s="371"/>
      <c r="P545" s="371"/>
      <c r="Q545" s="371"/>
      <c r="R545" s="371"/>
      <c r="S545" s="371"/>
      <c r="T545" s="371"/>
      <c r="U545" s="371"/>
      <c r="V545" s="371"/>
    </row>
    <row r="546">
      <c r="A546" s="371"/>
      <c r="B546" s="307"/>
      <c r="C546" s="307"/>
      <c r="D546" s="307"/>
      <c r="E546" s="371"/>
      <c r="F546" s="307"/>
      <c r="G546" s="477"/>
      <c r="H546" s="371"/>
      <c r="I546" s="371"/>
      <c r="J546" s="371"/>
      <c r="K546" s="371"/>
      <c r="L546" s="371"/>
      <c r="M546" s="371"/>
      <c r="N546" s="371"/>
      <c r="O546" s="371"/>
      <c r="P546" s="371"/>
      <c r="Q546" s="371"/>
      <c r="R546" s="371"/>
      <c r="S546" s="371"/>
      <c r="T546" s="371"/>
      <c r="U546" s="371"/>
      <c r="V546" s="371"/>
    </row>
    <row r="547">
      <c r="A547" s="371"/>
      <c r="B547" s="307"/>
      <c r="C547" s="307"/>
      <c r="D547" s="307"/>
      <c r="E547" s="371"/>
      <c r="F547" s="307"/>
      <c r="G547" s="477"/>
      <c r="H547" s="371"/>
      <c r="I547" s="371"/>
      <c r="J547" s="371"/>
      <c r="K547" s="371"/>
      <c r="L547" s="371"/>
      <c r="M547" s="371"/>
      <c r="N547" s="371"/>
      <c r="O547" s="371"/>
      <c r="P547" s="371"/>
      <c r="Q547" s="371"/>
      <c r="R547" s="371"/>
      <c r="S547" s="371"/>
      <c r="T547" s="371"/>
      <c r="U547" s="371"/>
      <c r="V547" s="371"/>
    </row>
    <row r="548">
      <c r="A548" s="371"/>
      <c r="B548" s="307"/>
      <c r="C548" s="307"/>
      <c r="D548" s="307"/>
      <c r="E548" s="371"/>
      <c r="F548" s="307"/>
      <c r="G548" s="477"/>
      <c r="H548" s="371"/>
      <c r="I548" s="371"/>
      <c r="J548" s="371"/>
      <c r="K548" s="371"/>
      <c r="L548" s="371"/>
      <c r="M548" s="371"/>
      <c r="N548" s="371"/>
      <c r="O548" s="371"/>
      <c r="P548" s="371"/>
      <c r="Q548" s="371"/>
      <c r="R548" s="371"/>
      <c r="S548" s="371"/>
      <c r="T548" s="371"/>
      <c r="U548" s="371"/>
      <c r="V548" s="371"/>
    </row>
    <row r="549">
      <c r="A549" s="371"/>
      <c r="B549" s="307"/>
      <c r="C549" s="307"/>
      <c r="D549" s="307"/>
      <c r="E549" s="371"/>
      <c r="F549" s="307"/>
      <c r="G549" s="477"/>
      <c r="H549" s="371"/>
      <c r="I549" s="371"/>
      <c r="J549" s="371"/>
      <c r="K549" s="371"/>
      <c r="L549" s="371"/>
      <c r="M549" s="371"/>
      <c r="N549" s="371"/>
      <c r="O549" s="371"/>
      <c r="P549" s="371"/>
      <c r="Q549" s="371"/>
      <c r="R549" s="371"/>
      <c r="S549" s="371"/>
      <c r="T549" s="371"/>
      <c r="U549" s="371"/>
      <c r="V549" s="371"/>
    </row>
    <row r="550">
      <c r="A550" s="371"/>
      <c r="B550" s="307"/>
      <c r="C550" s="307"/>
      <c r="D550" s="307"/>
      <c r="E550" s="371"/>
      <c r="F550" s="307"/>
      <c r="G550" s="477"/>
      <c r="H550" s="371"/>
      <c r="I550" s="371"/>
      <c r="J550" s="371"/>
      <c r="K550" s="371"/>
      <c r="L550" s="371"/>
      <c r="M550" s="371"/>
      <c r="N550" s="371"/>
      <c r="O550" s="371"/>
      <c r="P550" s="371"/>
      <c r="Q550" s="371"/>
      <c r="R550" s="371"/>
      <c r="S550" s="371"/>
      <c r="T550" s="371"/>
      <c r="U550" s="371"/>
      <c r="V550" s="371"/>
    </row>
    <row r="551">
      <c r="A551" s="371"/>
      <c r="B551" s="307"/>
      <c r="C551" s="307"/>
      <c r="D551" s="307"/>
      <c r="E551" s="371"/>
      <c r="F551" s="307"/>
      <c r="G551" s="477"/>
      <c r="H551" s="371"/>
      <c r="I551" s="371"/>
      <c r="J551" s="371"/>
      <c r="K551" s="371"/>
      <c r="L551" s="371"/>
      <c r="M551" s="371"/>
      <c r="N551" s="371"/>
      <c r="O551" s="371"/>
      <c r="P551" s="371"/>
      <c r="Q551" s="371"/>
      <c r="R551" s="371"/>
      <c r="S551" s="371"/>
      <c r="T551" s="371"/>
      <c r="U551" s="371"/>
      <c r="V551" s="371"/>
    </row>
    <row r="552">
      <c r="A552" s="371"/>
      <c r="B552" s="307"/>
      <c r="C552" s="307"/>
      <c r="D552" s="307"/>
      <c r="E552" s="371"/>
      <c r="F552" s="307"/>
      <c r="G552" s="477"/>
      <c r="H552" s="371"/>
      <c r="I552" s="371"/>
      <c r="J552" s="371"/>
      <c r="K552" s="371"/>
      <c r="L552" s="371"/>
      <c r="M552" s="371"/>
      <c r="N552" s="371"/>
      <c r="O552" s="371"/>
      <c r="P552" s="371"/>
      <c r="Q552" s="371"/>
      <c r="R552" s="371"/>
      <c r="S552" s="371"/>
      <c r="T552" s="371"/>
      <c r="U552" s="371"/>
      <c r="V552" s="371"/>
    </row>
    <row r="553">
      <c r="A553" s="371"/>
      <c r="B553" s="307"/>
      <c r="C553" s="307"/>
      <c r="D553" s="307"/>
      <c r="E553" s="371"/>
      <c r="F553" s="307"/>
      <c r="G553" s="477"/>
      <c r="H553" s="371"/>
      <c r="I553" s="371"/>
      <c r="J553" s="371"/>
      <c r="K553" s="371"/>
      <c r="L553" s="371"/>
      <c r="M553" s="371"/>
      <c r="N553" s="371"/>
      <c r="O553" s="371"/>
      <c r="P553" s="371"/>
      <c r="Q553" s="371"/>
      <c r="R553" s="371"/>
      <c r="S553" s="371"/>
      <c r="T553" s="371"/>
      <c r="U553" s="371"/>
      <c r="V553" s="371"/>
    </row>
    <row r="554">
      <c r="A554" s="371"/>
      <c r="B554" s="307"/>
      <c r="C554" s="307"/>
      <c r="D554" s="307"/>
      <c r="E554" s="371"/>
      <c r="F554" s="307"/>
      <c r="G554" s="477"/>
      <c r="H554" s="371"/>
      <c r="I554" s="371"/>
      <c r="J554" s="371"/>
      <c r="K554" s="371"/>
      <c r="L554" s="371"/>
      <c r="M554" s="371"/>
      <c r="N554" s="371"/>
      <c r="O554" s="371"/>
      <c r="P554" s="371"/>
      <c r="Q554" s="371"/>
      <c r="R554" s="371"/>
      <c r="S554" s="371"/>
      <c r="T554" s="371"/>
      <c r="U554" s="371"/>
      <c r="V554" s="371"/>
    </row>
    <row r="555">
      <c r="A555" s="371"/>
      <c r="B555" s="307"/>
      <c r="C555" s="307"/>
      <c r="D555" s="307"/>
      <c r="E555" s="371"/>
      <c r="F555" s="307"/>
      <c r="G555" s="477"/>
      <c r="H555" s="371"/>
      <c r="I555" s="371"/>
      <c r="J555" s="371"/>
      <c r="K555" s="371"/>
      <c r="L555" s="371"/>
      <c r="M555" s="371"/>
      <c r="N555" s="371"/>
      <c r="O555" s="371"/>
      <c r="P555" s="371"/>
      <c r="Q555" s="371"/>
      <c r="R555" s="371"/>
      <c r="S555" s="371"/>
      <c r="T555" s="371"/>
      <c r="U555" s="371"/>
      <c r="V555" s="371"/>
    </row>
    <row r="556">
      <c r="A556" s="371"/>
      <c r="B556" s="307"/>
      <c r="C556" s="307"/>
      <c r="D556" s="307"/>
      <c r="E556" s="371"/>
      <c r="F556" s="307"/>
      <c r="G556" s="477"/>
      <c r="H556" s="371"/>
      <c r="I556" s="371"/>
      <c r="J556" s="371"/>
      <c r="K556" s="371"/>
      <c r="L556" s="371"/>
      <c r="M556" s="371"/>
      <c r="N556" s="371"/>
      <c r="O556" s="371"/>
      <c r="P556" s="371"/>
      <c r="Q556" s="371"/>
      <c r="R556" s="371"/>
      <c r="S556" s="371"/>
      <c r="T556" s="371"/>
      <c r="U556" s="371"/>
      <c r="V556" s="371"/>
    </row>
    <row r="557">
      <c r="A557" s="371"/>
      <c r="B557" s="307"/>
      <c r="C557" s="307"/>
      <c r="D557" s="307"/>
      <c r="E557" s="371"/>
      <c r="F557" s="307"/>
      <c r="G557" s="477"/>
      <c r="H557" s="371"/>
      <c r="I557" s="371"/>
      <c r="J557" s="371"/>
      <c r="K557" s="371"/>
      <c r="L557" s="371"/>
      <c r="M557" s="371"/>
      <c r="N557" s="371"/>
      <c r="O557" s="371"/>
      <c r="P557" s="371"/>
      <c r="Q557" s="371"/>
      <c r="R557" s="371"/>
      <c r="S557" s="371"/>
      <c r="T557" s="371"/>
      <c r="U557" s="371"/>
      <c r="V557" s="371"/>
    </row>
    <row r="558">
      <c r="A558" s="371"/>
      <c r="B558" s="307"/>
      <c r="C558" s="307"/>
      <c r="D558" s="307"/>
      <c r="E558" s="371"/>
      <c r="F558" s="307"/>
      <c r="G558" s="477"/>
      <c r="H558" s="371"/>
      <c r="I558" s="371"/>
      <c r="J558" s="371"/>
      <c r="K558" s="371"/>
      <c r="L558" s="371"/>
      <c r="M558" s="371"/>
      <c r="N558" s="371"/>
      <c r="O558" s="371"/>
      <c r="P558" s="371"/>
      <c r="Q558" s="371"/>
      <c r="R558" s="371"/>
      <c r="S558" s="371"/>
      <c r="T558" s="371"/>
      <c r="U558" s="371"/>
      <c r="V558" s="371"/>
    </row>
    <row r="559">
      <c r="A559" s="371"/>
      <c r="B559" s="307"/>
      <c r="C559" s="307"/>
      <c r="D559" s="307"/>
      <c r="E559" s="371"/>
      <c r="F559" s="307"/>
      <c r="G559" s="477"/>
      <c r="H559" s="371"/>
      <c r="I559" s="371"/>
      <c r="J559" s="371"/>
      <c r="K559" s="371"/>
      <c r="L559" s="371"/>
      <c r="M559" s="371"/>
      <c r="N559" s="371"/>
      <c r="O559" s="371"/>
      <c r="P559" s="371"/>
      <c r="Q559" s="371"/>
      <c r="R559" s="371"/>
      <c r="S559" s="371"/>
      <c r="T559" s="371"/>
      <c r="U559" s="371"/>
      <c r="V559" s="371"/>
    </row>
    <row r="560">
      <c r="A560" s="371"/>
      <c r="B560" s="307"/>
      <c r="C560" s="307"/>
      <c r="D560" s="307"/>
      <c r="E560" s="371"/>
      <c r="F560" s="307"/>
      <c r="G560" s="477"/>
      <c r="H560" s="371"/>
      <c r="I560" s="371"/>
      <c r="J560" s="371"/>
      <c r="K560" s="371"/>
      <c r="L560" s="371"/>
      <c r="M560" s="371"/>
      <c r="N560" s="371"/>
      <c r="O560" s="371"/>
      <c r="P560" s="371"/>
      <c r="Q560" s="371"/>
      <c r="R560" s="371"/>
      <c r="S560" s="371"/>
      <c r="T560" s="371"/>
      <c r="U560" s="371"/>
      <c r="V560" s="371"/>
    </row>
    <row r="561">
      <c r="A561" s="371"/>
      <c r="B561" s="307"/>
      <c r="C561" s="307"/>
      <c r="D561" s="307"/>
      <c r="E561" s="371"/>
      <c r="F561" s="307"/>
      <c r="G561" s="477"/>
      <c r="H561" s="371"/>
      <c r="I561" s="371"/>
      <c r="J561" s="371"/>
      <c r="K561" s="371"/>
      <c r="L561" s="371"/>
      <c r="M561" s="371"/>
      <c r="N561" s="371"/>
      <c r="O561" s="371"/>
      <c r="P561" s="371"/>
      <c r="Q561" s="371"/>
      <c r="R561" s="371"/>
      <c r="S561" s="371"/>
      <c r="T561" s="371"/>
      <c r="U561" s="371"/>
      <c r="V561" s="371"/>
    </row>
    <row r="562">
      <c r="A562" s="371"/>
      <c r="B562" s="307"/>
      <c r="C562" s="307"/>
      <c r="D562" s="307"/>
      <c r="E562" s="371"/>
      <c r="F562" s="307"/>
      <c r="G562" s="477"/>
      <c r="H562" s="371"/>
      <c r="I562" s="371"/>
      <c r="J562" s="371"/>
      <c r="K562" s="371"/>
      <c r="L562" s="371"/>
      <c r="M562" s="371"/>
      <c r="N562" s="371"/>
      <c r="O562" s="371"/>
      <c r="P562" s="371"/>
      <c r="Q562" s="371"/>
      <c r="R562" s="371"/>
      <c r="S562" s="371"/>
      <c r="T562" s="371"/>
      <c r="U562" s="371"/>
      <c r="V562" s="371"/>
    </row>
    <row r="563">
      <c r="A563" s="371"/>
      <c r="B563" s="307"/>
      <c r="C563" s="307"/>
      <c r="D563" s="307"/>
      <c r="E563" s="371"/>
      <c r="F563" s="307"/>
      <c r="G563" s="477"/>
      <c r="H563" s="371"/>
      <c r="I563" s="371"/>
      <c r="J563" s="371"/>
      <c r="K563" s="371"/>
      <c r="L563" s="371"/>
      <c r="M563" s="371"/>
      <c r="N563" s="371"/>
      <c r="O563" s="371"/>
      <c r="P563" s="371"/>
      <c r="Q563" s="371"/>
      <c r="R563" s="371"/>
      <c r="S563" s="371"/>
      <c r="T563" s="371"/>
      <c r="U563" s="371"/>
      <c r="V563" s="371"/>
    </row>
    <row r="564">
      <c r="A564" s="371"/>
      <c r="B564" s="307"/>
      <c r="C564" s="307"/>
      <c r="D564" s="307"/>
      <c r="E564" s="371"/>
      <c r="F564" s="307"/>
      <c r="G564" s="477"/>
      <c r="H564" s="371"/>
      <c r="I564" s="371"/>
      <c r="J564" s="371"/>
      <c r="K564" s="371"/>
      <c r="L564" s="371"/>
      <c r="M564" s="371"/>
      <c r="N564" s="371"/>
      <c r="O564" s="371"/>
      <c r="P564" s="371"/>
      <c r="Q564" s="371"/>
      <c r="R564" s="371"/>
      <c r="S564" s="371"/>
      <c r="T564" s="371"/>
      <c r="U564" s="371"/>
      <c r="V564" s="371"/>
    </row>
    <row r="565">
      <c r="A565" s="371"/>
      <c r="B565" s="307"/>
      <c r="C565" s="307"/>
      <c r="D565" s="307"/>
      <c r="E565" s="371"/>
      <c r="F565" s="307"/>
      <c r="G565" s="477"/>
      <c r="H565" s="371"/>
      <c r="I565" s="371"/>
      <c r="J565" s="371"/>
      <c r="K565" s="371"/>
      <c r="L565" s="371"/>
      <c r="M565" s="371"/>
      <c r="N565" s="371"/>
      <c r="O565" s="371"/>
      <c r="P565" s="371"/>
      <c r="Q565" s="371"/>
      <c r="R565" s="371"/>
      <c r="S565" s="371"/>
      <c r="T565" s="371"/>
      <c r="U565" s="371"/>
      <c r="V565" s="371"/>
    </row>
    <row r="566">
      <c r="A566" s="371"/>
      <c r="B566" s="307"/>
      <c r="C566" s="307"/>
      <c r="D566" s="307"/>
      <c r="E566" s="371"/>
      <c r="F566" s="307"/>
      <c r="G566" s="477"/>
      <c r="H566" s="371"/>
      <c r="I566" s="371"/>
      <c r="J566" s="371"/>
      <c r="K566" s="371"/>
      <c r="L566" s="371"/>
      <c r="M566" s="371"/>
      <c r="N566" s="371"/>
      <c r="O566" s="371"/>
      <c r="P566" s="371"/>
      <c r="Q566" s="371"/>
      <c r="R566" s="371"/>
      <c r="S566" s="371"/>
      <c r="T566" s="371"/>
      <c r="U566" s="371"/>
      <c r="V566" s="371"/>
    </row>
    <row r="567">
      <c r="A567" s="371"/>
      <c r="B567" s="307"/>
      <c r="C567" s="307"/>
      <c r="D567" s="307"/>
      <c r="E567" s="371"/>
      <c r="F567" s="307"/>
      <c r="G567" s="477"/>
      <c r="H567" s="371"/>
      <c r="I567" s="371"/>
      <c r="J567" s="371"/>
      <c r="K567" s="371"/>
      <c r="L567" s="371"/>
      <c r="M567" s="371"/>
      <c r="N567" s="371"/>
      <c r="O567" s="371"/>
      <c r="P567" s="371"/>
      <c r="Q567" s="371"/>
      <c r="R567" s="371"/>
      <c r="S567" s="371"/>
      <c r="T567" s="371"/>
      <c r="U567" s="371"/>
      <c r="V567" s="371"/>
    </row>
    <row r="568">
      <c r="A568" s="371"/>
      <c r="B568" s="307"/>
      <c r="C568" s="307"/>
      <c r="D568" s="307"/>
      <c r="E568" s="371"/>
      <c r="F568" s="307"/>
      <c r="G568" s="477"/>
      <c r="H568" s="371"/>
      <c r="I568" s="371"/>
      <c r="J568" s="371"/>
      <c r="K568" s="371"/>
      <c r="L568" s="371"/>
      <c r="M568" s="371"/>
      <c r="N568" s="371"/>
      <c r="O568" s="371"/>
      <c r="P568" s="371"/>
      <c r="Q568" s="371"/>
      <c r="R568" s="371"/>
      <c r="S568" s="371"/>
      <c r="T568" s="371"/>
      <c r="U568" s="371"/>
      <c r="V568" s="371"/>
    </row>
    <row r="569">
      <c r="A569" s="371"/>
      <c r="B569" s="307"/>
      <c r="C569" s="307"/>
      <c r="D569" s="307"/>
      <c r="E569" s="371"/>
      <c r="F569" s="307"/>
      <c r="G569" s="477"/>
      <c r="H569" s="371"/>
      <c r="I569" s="371"/>
      <c r="J569" s="371"/>
      <c r="K569" s="371"/>
      <c r="L569" s="371"/>
      <c r="M569" s="371"/>
      <c r="N569" s="371"/>
      <c r="O569" s="371"/>
      <c r="P569" s="371"/>
      <c r="Q569" s="371"/>
      <c r="R569" s="371"/>
      <c r="S569" s="371"/>
      <c r="T569" s="371"/>
      <c r="U569" s="371"/>
      <c r="V569" s="371"/>
    </row>
    <row r="570">
      <c r="A570" s="371"/>
      <c r="B570" s="307"/>
      <c r="C570" s="307"/>
      <c r="D570" s="307"/>
      <c r="E570" s="371"/>
      <c r="F570" s="307"/>
      <c r="G570" s="477"/>
      <c r="H570" s="371"/>
      <c r="I570" s="371"/>
      <c r="J570" s="371"/>
      <c r="K570" s="371"/>
      <c r="L570" s="371"/>
      <c r="M570" s="371"/>
      <c r="N570" s="371"/>
      <c r="O570" s="371"/>
      <c r="P570" s="371"/>
      <c r="Q570" s="371"/>
      <c r="R570" s="371"/>
      <c r="S570" s="371"/>
      <c r="T570" s="371"/>
      <c r="U570" s="371"/>
      <c r="V570" s="371"/>
    </row>
    <row r="571">
      <c r="A571" s="371"/>
      <c r="B571" s="307"/>
      <c r="C571" s="307"/>
      <c r="D571" s="307"/>
      <c r="E571" s="371"/>
      <c r="F571" s="307"/>
      <c r="G571" s="477"/>
      <c r="H571" s="371"/>
      <c r="I571" s="371"/>
      <c r="J571" s="371"/>
      <c r="K571" s="371"/>
      <c r="L571" s="371"/>
      <c r="M571" s="371"/>
      <c r="N571" s="371"/>
      <c r="O571" s="371"/>
      <c r="P571" s="371"/>
      <c r="Q571" s="371"/>
      <c r="R571" s="371"/>
      <c r="S571" s="371"/>
      <c r="T571" s="371"/>
      <c r="U571" s="371"/>
      <c r="V571" s="371"/>
    </row>
    <row r="572">
      <c r="A572" s="371"/>
      <c r="B572" s="307"/>
      <c r="C572" s="307"/>
      <c r="D572" s="307"/>
      <c r="E572" s="371"/>
      <c r="F572" s="307"/>
      <c r="G572" s="477"/>
      <c r="H572" s="371"/>
      <c r="I572" s="371"/>
      <c r="J572" s="371"/>
      <c r="K572" s="371"/>
      <c r="L572" s="371"/>
      <c r="M572" s="371"/>
      <c r="N572" s="371"/>
      <c r="O572" s="371"/>
      <c r="P572" s="371"/>
      <c r="Q572" s="371"/>
      <c r="R572" s="371"/>
      <c r="S572" s="371"/>
      <c r="T572" s="371"/>
      <c r="U572" s="371"/>
      <c r="V572" s="371"/>
    </row>
    <row r="573">
      <c r="A573" s="371"/>
      <c r="B573" s="307"/>
      <c r="C573" s="307"/>
      <c r="D573" s="307"/>
      <c r="E573" s="371"/>
      <c r="F573" s="307"/>
      <c r="G573" s="477"/>
      <c r="H573" s="371"/>
      <c r="I573" s="371"/>
      <c r="J573" s="371"/>
      <c r="K573" s="371"/>
      <c r="L573" s="371"/>
      <c r="M573" s="371"/>
      <c r="N573" s="371"/>
      <c r="O573" s="371"/>
      <c r="P573" s="371"/>
      <c r="Q573" s="371"/>
      <c r="R573" s="371"/>
      <c r="S573" s="371"/>
      <c r="T573" s="371"/>
      <c r="U573" s="371"/>
      <c r="V573" s="371"/>
    </row>
    <row r="574">
      <c r="A574" s="371"/>
      <c r="B574" s="307"/>
      <c r="C574" s="307"/>
      <c r="D574" s="307"/>
      <c r="E574" s="371"/>
      <c r="F574" s="307"/>
      <c r="G574" s="477"/>
      <c r="H574" s="371"/>
      <c r="I574" s="371"/>
      <c r="J574" s="371"/>
      <c r="K574" s="371"/>
      <c r="L574" s="371"/>
      <c r="M574" s="371"/>
      <c r="N574" s="371"/>
      <c r="O574" s="371"/>
      <c r="P574" s="371"/>
      <c r="Q574" s="371"/>
      <c r="R574" s="371"/>
      <c r="S574" s="371"/>
      <c r="T574" s="371"/>
      <c r="U574" s="371"/>
      <c r="V574" s="371"/>
    </row>
    <row r="575">
      <c r="A575" s="371"/>
      <c r="B575" s="307"/>
      <c r="C575" s="307"/>
      <c r="D575" s="307"/>
      <c r="E575" s="371"/>
      <c r="F575" s="307"/>
      <c r="G575" s="477"/>
      <c r="H575" s="371"/>
      <c r="I575" s="371"/>
      <c r="J575" s="371"/>
      <c r="K575" s="371"/>
      <c r="L575" s="371"/>
      <c r="M575" s="371"/>
      <c r="N575" s="371"/>
      <c r="O575" s="371"/>
      <c r="P575" s="371"/>
      <c r="Q575" s="371"/>
      <c r="R575" s="371"/>
      <c r="S575" s="371"/>
      <c r="T575" s="371"/>
      <c r="U575" s="371"/>
      <c r="V575" s="371"/>
    </row>
    <row r="576">
      <c r="A576" s="371"/>
      <c r="B576" s="307"/>
      <c r="C576" s="307"/>
      <c r="D576" s="307"/>
      <c r="E576" s="371"/>
      <c r="F576" s="307"/>
      <c r="G576" s="477"/>
      <c r="H576" s="371"/>
      <c r="I576" s="371"/>
      <c r="J576" s="371"/>
      <c r="K576" s="371"/>
      <c r="L576" s="371"/>
      <c r="M576" s="371"/>
      <c r="N576" s="371"/>
      <c r="O576" s="371"/>
      <c r="P576" s="371"/>
      <c r="Q576" s="371"/>
      <c r="R576" s="371"/>
      <c r="S576" s="371"/>
      <c r="T576" s="371"/>
      <c r="U576" s="371"/>
      <c r="V576" s="371"/>
    </row>
    <row r="577">
      <c r="A577" s="371"/>
      <c r="B577" s="307"/>
      <c r="C577" s="307"/>
      <c r="D577" s="307"/>
      <c r="E577" s="371"/>
      <c r="F577" s="307"/>
      <c r="G577" s="477"/>
      <c r="H577" s="371"/>
      <c r="I577" s="371"/>
      <c r="J577" s="371"/>
      <c r="K577" s="371"/>
      <c r="L577" s="371"/>
      <c r="M577" s="371"/>
      <c r="N577" s="371"/>
      <c r="O577" s="371"/>
      <c r="P577" s="371"/>
      <c r="Q577" s="371"/>
      <c r="R577" s="371"/>
      <c r="S577" s="371"/>
      <c r="T577" s="371"/>
      <c r="U577" s="371"/>
      <c r="V577" s="371"/>
    </row>
    <row r="578">
      <c r="A578" s="371"/>
      <c r="B578" s="307"/>
      <c r="C578" s="307"/>
      <c r="D578" s="307"/>
      <c r="E578" s="371"/>
      <c r="F578" s="307"/>
      <c r="G578" s="477"/>
      <c r="H578" s="371"/>
      <c r="I578" s="371"/>
      <c r="J578" s="371"/>
      <c r="K578" s="371"/>
      <c r="L578" s="371"/>
      <c r="M578" s="371"/>
      <c r="N578" s="371"/>
      <c r="O578" s="371"/>
      <c r="P578" s="371"/>
      <c r="Q578" s="371"/>
      <c r="R578" s="371"/>
      <c r="S578" s="371"/>
      <c r="T578" s="371"/>
      <c r="U578" s="371"/>
      <c r="V578" s="371"/>
    </row>
    <row r="579">
      <c r="A579" s="371"/>
      <c r="B579" s="307"/>
      <c r="C579" s="307"/>
      <c r="D579" s="307"/>
      <c r="E579" s="371"/>
      <c r="F579" s="307"/>
      <c r="G579" s="477"/>
      <c r="H579" s="371"/>
      <c r="I579" s="371"/>
      <c r="J579" s="371"/>
      <c r="K579" s="371"/>
      <c r="L579" s="371"/>
      <c r="M579" s="371"/>
      <c r="N579" s="371"/>
      <c r="O579" s="371"/>
      <c r="P579" s="371"/>
      <c r="Q579" s="371"/>
      <c r="R579" s="371"/>
      <c r="S579" s="371"/>
      <c r="T579" s="371"/>
      <c r="U579" s="371"/>
      <c r="V579" s="371"/>
    </row>
    <row r="580">
      <c r="A580" s="371"/>
      <c r="B580" s="307"/>
      <c r="C580" s="307"/>
      <c r="D580" s="307"/>
      <c r="E580" s="371"/>
      <c r="F580" s="307"/>
      <c r="G580" s="477"/>
      <c r="H580" s="371"/>
      <c r="I580" s="371"/>
      <c r="J580" s="371"/>
      <c r="K580" s="371"/>
      <c r="L580" s="371"/>
      <c r="M580" s="371"/>
      <c r="N580" s="371"/>
      <c r="O580" s="371"/>
      <c r="P580" s="371"/>
      <c r="Q580" s="371"/>
      <c r="R580" s="371"/>
      <c r="S580" s="371"/>
      <c r="T580" s="371"/>
      <c r="U580" s="371"/>
      <c r="V580" s="371"/>
    </row>
    <row r="581">
      <c r="A581" s="371"/>
      <c r="B581" s="307"/>
      <c r="C581" s="307"/>
      <c r="D581" s="307"/>
      <c r="E581" s="371"/>
      <c r="F581" s="307"/>
      <c r="G581" s="477"/>
      <c r="H581" s="371"/>
      <c r="I581" s="371"/>
      <c r="J581" s="371"/>
      <c r="K581" s="371"/>
      <c r="L581" s="371"/>
      <c r="M581" s="371"/>
      <c r="N581" s="371"/>
      <c r="O581" s="371"/>
      <c r="P581" s="371"/>
      <c r="Q581" s="371"/>
      <c r="R581" s="371"/>
      <c r="S581" s="371"/>
      <c r="T581" s="371"/>
      <c r="U581" s="371"/>
      <c r="V581" s="371"/>
    </row>
    <row r="582">
      <c r="A582" s="371"/>
      <c r="B582" s="307"/>
      <c r="C582" s="307"/>
      <c r="D582" s="307"/>
      <c r="E582" s="371"/>
      <c r="F582" s="307"/>
      <c r="G582" s="477"/>
      <c r="H582" s="371"/>
      <c r="I582" s="371"/>
      <c r="J582" s="371"/>
      <c r="K582" s="371"/>
      <c r="L582" s="371"/>
      <c r="M582" s="371"/>
      <c r="N582" s="371"/>
      <c r="O582" s="371"/>
      <c r="P582" s="371"/>
      <c r="Q582" s="371"/>
      <c r="R582" s="371"/>
      <c r="S582" s="371"/>
      <c r="T582" s="371"/>
      <c r="U582" s="371"/>
      <c r="V582" s="371"/>
    </row>
    <row r="583">
      <c r="A583" s="371"/>
      <c r="B583" s="307"/>
      <c r="C583" s="307"/>
      <c r="D583" s="307"/>
      <c r="E583" s="371"/>
      <c r="F583" s="307"/>
      <c r="G583" s="477"/>
      <c r="H583" s="371"/>
      <c r="I583" s="371"/>
      <c r="J583" s="371"/>
      <c r="K583" s="371"/>
      <c r="L583" s="371"/>
      <c r="M583" s="371"/>
      <c r="N583" s="371"/>
      <c r="O583" s="371"/>
      <c r="P583" s="371"/>
      <c r="Q583" s="371"/>
      <c r="R583" s="371"/>
      <c r="S583" s="371"/>
      <c r="T583" s="371"/>
      <c r="U583" s="371"/>
      <c r="V583" s="371"/>
    </row>
    <row r="584">
      <c r="A584" s="371"/>
      <c r="B584" s="307"/>
      <c r="C584" s="307"/>
      <c r="D584" s="307"/>
      <c r="E584" s="371"/>
      <c r="F584" s="307"/>
      <c r="G584" s="477"/>
      <c r="H584" s="371"/>
      <c r="I584" s="371"/>
      <c r="J584" s="371"/>
      <c r="K584" s="371"/>
      <c r="L584" s="371"/>
      <c r="M584" s="371"/>
      <c r="N584" s="371"/>
      <c r="O584" s="371"/>
      <c r="P584" s="371"/>
      <c r="Q584" s="371"/>
      <c r="R584" s="371"/>
      <c r="S584" s="371"/>
      <c r="T584" s="371"/>
      <c r="U584" s="371"/>
      <c r="V584" s="371"/>
    </row>
    <row r="585">
      <c r="A585" s="371"/>
      <c r="B585" s="307"/>
      <c r="C585" s="307"/>
      <c r="D585" s="307"/>
      <c r="E585" s="371"/>
      <c r="F585" s="307"/>
      <c r="G585" s="477"/>
      <c r="H585" s="371"/>
      <c r="I585" s="371"/>
      <c r="J585" s="371"/>
      <c r="K585" s="371"/>
      <c r="L585" s="371"/>
      <c r="M585" s="371"/>
      <c r="N585" s="371"/>
      <c r="O585" s="371"/>
      <c r="P585" s="371"/>
      <c r="Q585" s="371"/>
      <c r="R585" s="371"/>
      <c r="S585" s="371"/>
      <c r="T585" s="371"/>
      <c r="U585" s="371"/>
      <c r="V585" s="371"/>
    </row>
    <row r="586">
      <c r="A586" s="371"/>
      <c r="B586" s="307"/>
      <c r="C586" s="307"/>
      <c r="D586" s="307"/>
      <c r="E586" s="371"/>
      <c r="F586" s="307"/>
      <c r="G586" s="477"/>
      <c r="H586" s="371"/>
      <c r="I586" s="371"/>
      <c r="J586" s="371"/>
      <c r="K586" s="371"/>
      <c r="L586" s="371"/>
      <c r="M586" s="371"/>
      <c r="N586" s="371"/>
      <c r="O586" s="371"/>
      <c r="P586" s="371"/>
      <c r="Q586" s="371"/>
      <c r="R586" s="371"/>
      <c r="S586" s="371"/>
      <c r="T586" s="371"/>
      <c r="U586" s="371"/>
      <c r="V586" s="371"/>
    </row>
    <row r="587">
      <c r="A587" s="371"/>
      <c r="B587" s="307"/>
      <c r="C587" s="307"/>
      <c r="D587" s="307"/>
      <c r="E587" s="371"/>
      <c r="F587" s="307"/>
      <c r="G587" s="477"/>
      <c r="H587" s="371"/>
      <c r="I587" s="371"/>
      <c r="J587" s="371"/>
      <c r="K587" s="371"/>
      <c r="L587" s="371"/>
      <c r="M587" s="371"/>
      <c r="N587" s="371"/>
      <c r="O587" s="371"/>
      <c r="P587" s="371"/>
      <c r="Q587" s="371"/>
      <c r="R587" s="371"/>
      <c r="S587" s="371"/>
      <c r="T587" s="371"/>
      <c r="U587" s="371"/>
      <c r="V587" s="371"/>
    </row>
    <row r="588">
      <c r="A588" s="371"/>
      <c r="B588" s="307"/>
      <c r="C588" s="307"/>
      <c r="D588" s="307"/>
      <c r="E588" s="371"/>
      <c r="F588" s="307"/>
      <c r="G588" s="477"/>
      <c r="H588" s="371"/>
      <c r="I588" s="371"/>
      <c r="J588" s="371"/>
      <c r="K588" s="371"/>
      <c r="L588" s="371"/>
      <c r="M588" s="371"/>
      <c r="N588" s="371"/>
      <c r="O588" s="371"/>
      <c r="P588" s="371"/>
      <c r="Q588" s="371"/>
      <c r="R588" s="371"/>
      <c r="S588" s="371"/>
      <c r="T588" s="371"/>
      <c r="U588" s="371"/>
      <c r="V588" s="371"/>
    </row>
    <row r="589">
      <c r="A589" s="371"/>
      <c r="B589" s="307"/>
      <c r="C589" s="307"/>
      <c r="D589" s="307"/>
      <c r="E589" s="371"/>
      <c r="F589" s="307"/>
      <c r="G589" s="477"/>
      <c r="H589" s="371"/>
      <c r="I589" s="371"/>
      <c r="J589" s="371"/>
      <c r="K589" s="371"/>
      <c r="L589" s="371"/>
      <c r="M589" s="371"/>
      <c r="N589" s="371"/>
      <c r="O589" s="371"/>
      <c r="P589" s="371"/>
      <c r="Q589" s="371"/>
      <c r="R589" s="371"/>
      <c r="S589" s="371"/>
      <c r="T589" s="371"/>
      <c r="U589" s="371"/>
      <c r="V589" s="371"/>
    </row>
    <row r="590">
      <c r="A590" s="371"/>
      <c r="B590" s="307"/>
      <c r="C590" s="307"/>
      <c r="D590" s="307"/>
      <c r="E590" s="371"/>
      <c r="F590" s="307"/>
      <c r="G590" s="477"/>
      <c r="H590" s="371"/>
      <c r="I590" s="371"/>
      <c r="J590" s="371"/>
      <c r="K590" s="371"/>
      <c r="L590" s="371"/>
      <c r="M590" s="371"/>
      <c r="N590" s="371"/>
      <c r="O590" s="371"/>
      <c r="P590" s="371"/>
      <c r="Q590" s="371"/>
      <c r="R590" s="371"/>
      <c r="S590" s="371"/>
      <c r="T590" s="371"/>
      <c r="U590" s="371"/>
      <c r="V590" s="371"/>
    </row>
    <row r="591">
      <c r="A591" s="371"/>
      <c r="B591" s="307"/>
      <c r="C591" s="307"/>
      <c r="D591" s="307"/>
      <c r="E591" s="371"/>
      <c r="F591" s="307"/>
      <c r="G591" s="477"/>
      <c r="H591" s="371"/>
      <c r="I591" s="371"/>
      <c r="J591" s="371"/>
      <c r="K591" s="371"/>
      <c r="L591" s="371"/>
      <c r="M591" s="371"/>
      <c r="N591" s="371"/>
      <c r="O591" s="371"/>
      <c r="P591" s="371"/>
      <c r="Q591" s="371"/>
      <c r="R591" s="371"/>
      <c r="S591" s="371"/>
      <c r="T591" s="371"/>
      <c r="U591" s="371"/>
      <c r="V591" s="371"/>
    </row>
    <row r="592">
      <c r="A592" s="371"/>
      <c r="B592" s="307"/>
      <c r="C592" s="307"/>
      <c r="D592" s="307"/>
      <c r="E592" s="371"/>
      <c r="F592" s="307"/>
      <c r="G592" s="477"/>
      <c r="H592" s="371"/>
      <c r="I592" s="371"/>
      <c r="J592" s="371"/>
      <c r="K592" s="371"/>
      <c r="L592" s="371"/>
      <c r="M592" s="371"/>
      <c r="N592" s="371"/>
      <c r="O592" s="371"/>
      <c r="P592" s="371"/>
      <c r="Q592" s="371"/>
      <c r="R592" s="371"/>
      <c r="S592" s="371"/>
      <c r="T592" s="371"/>
      <c r="U592" s="371"/>
      <c r="V592" s="371"/>
    </row>
    <row r="593">
      <c r="A593" s="371"/>
      <c r="B593" s="307"/>
      <c r="C593" s="307"/>
      <c r="D593" s="307"/>
      <c r="E593" s="371"/>
      <c r="F593" s="307"/>
      <c r="G593" s="477"/>
      <c r="H593" s="371"/>
      <c r="I593" s="371"/>
      <c r="J593" s="371"/>
      <c r="K593" s="371"/>
      <c r="L593" s="371"/>
      <c r="M593" s="371"/>
      <c r="N593" s="371"/>
      <c r="O593" s="371"/>
      <c r="P593" s="371"/>
      <c r="Q593" s="371"/>
      <c r="R593" s="371"/>
      <c r="S593" s="371"/>
      <c r="T593" s="371"/>
      <c r="U593" s="371"/>
      <c r="V593" s="371"/>
    </row>
    <row r="594">
      <c r="A594" s="371"/>
      <c r="B594" s="307"/>
      <c r="C594" s="307"/>
      <c r="D594" s="307"/>
      <c r="E594" s="371"/>
      <c r="F594" s="307"/>
      <c r="G594" s="477"/>
      <c r="H594" s="371"/>
      <c r="I594" s="371"/>
      <c r="J594" s="371"/>
      <c r="K594" s="371"/>
      <c r="L594" s="371"/>
      <c r="M594" s="371"/>
      <c r="N594" s="371"/>
      <c r="O594" s="371"/>
      <c r="P594" s="371"/>
      <c r="Q594" s="371"/>
      <c r="R594" s="371"/>
      <c r="S594" s="371"/>
      <c r="T594" s="371"/>
      <c r="U594" s="371"/>
      <c r="V594" s="371"/>
    </row>
    <row r="595">
      <c r="A595" s="371"/>
      <c r="B595" s="307"/>
      <c r="C595" s="307"/>
      <c r="D595" s="307"/>
      <c r="E595" s="371"/>
      <c r="F595" s="307"/>
      <c r="G595" s="477"/>
      <c r="H595" s="371"/>
      <c r="I595" s="371"/>
      <c r="J595" s="371"/>
      <c r="K595" s="371"/>
      <c r="L595" s="371"/>
      <c r="M595" s="371"/>
      <c r="N595" s="371"/>
      <c r="O595" s="371"/>
      <c r="P595" s="371"/>
      <c r="Q595" s="371"/>
      <c r="R595" s="371"/>
      <c r="S595" s="371"/>
      <c r="T595" s="371"/>
      <c r="U595" s="371"/>
      <c r="V595" s="371"/>
    </row>
    <row r="596">
      <c r="A596" s="371"/>
      <c r="B596" s="307"/>
      <c r="C596" s="307"/>
      <c r="D596" s="307"/>
      <c r="E596" s="371"/>
      <c r="F596" s="307"/>
      <c r="G596" s="477"/>
      <c r="H596" s="371"/>
      <c r="I596" s="371"/>
      <c r="J596" s="371"/>
      <c r="K596" s="371"/>
      <c r="L596" s="371"/>
      <c r="M596" s="371"/>
      <c r="N596" s="371"/>
      <c r="O596" s="371"/>
      <c r="P596" s="371"/>
      <c r="Q596" s="371"/>
      <c r="R596" s="371"/>
      <c r="S596" s="371"/>
      <c r="T596" s="371"/>
      <c r="U596" s="371"/>
      <c r="V596" s="371"/>
    </row>
    <row r="597">
      <c r="A597" s="371"/>
      <c r="B597" s="307"/>
      <c r="C597" s="307"/>
      <c r="D597" s="307"/>
      <c r="E597" s="371"/>
      <c r="F597" s="307"/>
      <c r="G597" s="477"/>
      <c r="H597" s="371"/>
      <c r="I597" s="371"/>
      <c r="J597" s="371"/>
      <c r="K597" s="371"/>
      <c r="L597" s="371"/>
      <c r="M597" s="371"/>
      <c r="N597" s="371"/>
      <c r="O597" s="371"/>
      <c r="P597" s="371"/>
      <c r="Q597" s="371"/>
      <c r="R597" s="371"/>
      <c r="S597" s="371"/>
      <c r="T597" s="371"/>
      <c r="U597" s="371"/>
      <c r="V597" s="371"/>
    </row>
    <row r="598">
      <c r="A598" s="371"/>
      <c r="B598" s="307"/>
      <c r="C598" s="307"/>
      <c r="D598" s="307"/>
      <c r="E598" s="371"/>
      <c r="F598" s="307"/>
      <c r="G598" s="477"/>
      <c r="H598" s="371"/>
      <c r="I598" s="371"/>
      <c r="J598" s="371"/>
      <c r="K598" s="371"/>
      <c r="L598" s="371"/>
      <c r="M598" s="371"/>
      <c r="N598" s="371"/>
      <c r="O598" s="371"/>
      <c r="P598" s="371"/>
      <c r="Q598" s="371"/>
      <c r="R598" s="371"/>
      <c r="S598" s="371"/>
      <c r="T598" s="371"/>
      <c r="U598" s="371"/>
      <c r="V598" s="371"/>
    </row>
    <row r="599">
      <c r="A599" s="371"/>
      <c r="B599" s="307"/>
      <c r="C599" s="307"/>
      <c r="D599" s="307"/>
      <c r="E599" s="371"/>
      <c r="F599" s="307"/>
      <c r="G599" s="477"/>
      <c r="H599" s="371"/>
      <c r="I599" s="371"/>
      <c r="J599" s="371"/>
      <c r="K599" s="371"/>
      <c r="L599" s="371"/>
      <c r="M599" s="371"/>
      <c r="N599" s="371"/>
      <c r="O599" s="371"/>
      <c r="P599" s="371"/>
      <c r="Q599" s="371"/>
      <c r="R599" s="371"/>
      <c r="S599" s="371"/>
      <c r="T599" s="371"/>
      <c r="U599" s="371"/>
      <c r="V599" s="371"/>
    </row>
    <row r="600">
      <c r="A600" s="371"/>
      <c r="B600" s="307"/>
      <c r="C600" s="307"/>
      <c r="D600" s="307"/>
      <c r="E600" s="371"/>
      <c r="F600" s="307"/>
      <c r="G600" s="477"/>
      <c r="H600" s="371"/>
      <c r="I600" s="371"/>
      <c r="J600" s="371"/>
      <c r="K600" s="371"/>
      <c r="L600" s="371"/>
      <c r="M600" s="371"/>
      <c r="N600" s="371"/>
      <c r="O600" s="371"/>
      <c r="P600" s="371"/>
      <c r="Q600" s="371"/>
      <c r="R600" s="371"/>
      <c r="S600" s="371"/>
      <c r="T600" s="371"/>
      <c r="U600" s="371"/>
      <c r="V600" s="371"/>
    </row>
    <row r="601">
      <c r="A601" s="371"/>
      <c r="B601" s="307"/>
      <c r="C601" s="307"/>
      <c r="D601" s="307"/>
      <c r="E601" s="371"/>
      <c r="F601" s="307"/>
      <c r="G601" s="477"/>
      <c r="H601" s="371"/>
      <c r="I601" s="371"/>
      <c r="J601" s="371"/>
      <c r="K601" s="371"/>
      <c r="L601" s="371"/>
      <c r="M601" s="371"/>
      <c r="N601" s="371"/>
      <c r="O601" s="371"/>
      <c r="P601" s="371"/>
      <c r="Q601" s="371"/>
      <c r="R601" s="371"/>
      <c r="S601" s="371"/>
      <c r="T601" s="371"/>
      <c r="U601" s="371"/>
      <c r="V601" s="371"/>
    </row>
    <row r="602">
      <c r="A602" s="371"/>
      <c r="B602" s="307"/>
      <c r="C602" s="307"/>
      <c r="D602" s="307"/>
      <c r="E602" s="371"/>
      <c r="F602" s="307"/>
      <c r="G602" s="477"/>
      <c r="H602" s="371"/>
      <c r="I602" s="371"/>
      <c r="J602" s="371"/>
      <c r="K602" s="371"/>
      <c r="L602" s="371"/>
      <c r="M602" s="371"/>
      <c r="N602" s="371"/>
      <c r="O602" s="371"/>
      <c r="P602" s="371"/>
      <c r="Q602" s="371"/>
      <c r="R602" s="371"/>
      <c r="S602" s="371"/>
      <c r="T602" s="371"/>
      <c r="U602" s="371"/>
      <c r="V602" s="371"/>
    </row>
    <row r="603">
      <c r="A603" s="371"/>
      <c r="B603" s="307"/>
      <c r="C603" s="307"/>
      <c r="D603" s="307"/>
      <c r="E603" s="371"/>
      <c r="F603" s="307"/>
      <c r="G603" s="477"/>
      <c r="H603" s="371"/>
      <c r="I603" s="371"/>
      <c r="J603" s="371"/>
      <c r="K603" s="371"/>
      <c r="L603" s="371"/>
      <c r="M603" s="371"/>
      <c r="N603" s="371"/>
      <c r="O603" s="371"/>
      <c r="P603" s="371"/>
      <c r="Q603" s="371"/>
      <c r="R603" s="371"/>
      <c r="S603" s="371"/>
      <c r="T603" s="371"/>
      <c r="U603" s="371"/>
      <c r="V603" s="371"/>
    </row>
    <row r="604">
      <c r="A604" s="371"/>
      <c r="B604" s="307"/>
      <c r="C604" s="307"/>
      <c r="D604" s="307"/>
      <c r="E604" s="371"/>
      <c r="F604" s="307"/>
      <c r="G604" s="477"/>
      <c r="H604" s="371"/>
      <c r="I604" s="371"/>
      <c r="J604" s="371"/>
      <c r="K604" s="371"/>
      <c r="L604" s="371"/>
      <c r="M604" s="371"/>
      <c r="N604" s="371"/>
      <c r="O604" s="371"/>
      <c r="P604" s="371"/>
      <c r="Q604" s="371"/>
      <c r="R604" s="371"/>
      <c r="S604" s="371"/>
      <c r="T604" s="371"/>
      <c r="U604" s="371"/>
      <c r="V604" s="371"/>
    </row>
    <row r="605">
      <c r="A605" s="371"/>
      <c r="B605" s="307"/>
      <c r="C605" s="307"/>
      <c r="D605" s="307"/>
      <c r="E605" s="371"/>
      <c r="F605" s="307"/>
      <c r="G605" s="477"/>
      <c r="H605" s="371"/>
      <c r="I605" s="371"/>
      <c r="J605" s="371"/>
      <c r="K605" s="371"/>
      <c r="L605" s="371"/>
      <c r="M605" s="371"/>
      <c r="N605" s="371"/>
      <c r="O605" s="371"/>
      <c r="P605" s="371"/>
      <c r="Q605" s="371"/>
      <c r="R605" s="371"/>
      <c r="S605" s="371"/>
      <c r="T605" s="371"/>
      <c r="U605" s="371"/>
      <c r="V605" s="371"/>
    </row>
    <row r="606">
      <c r="A606" s="371"/>
      <c r="B606" s="307"/>
      <c r="C606" s="307"/>
      <c r="D606" s="307"/>
      <c r="E606" s="371"/>
      <c r="F606" s="307"/>
      <c r="G606" s="477"/>
      <c r="H606" s="371"/>
      <c r="I606" s="371"/>
      <c r="J606" s="371"/>
      <c r="K606" s="371"/>
      <c r="L606" s="371"/>
      <c r="M606" s="371"/>
      <c r="N606" s="371"/>
      <c r="O606" s="371"/>
      <c r="P606" s="371"/>
      <c r="Q606" s="371"/>
      <c r="R606" s="371"/>
      <c r="S606" s="371"/>
      <c r="T606" s="371"/>
      <c r="U606" s="371"/>
      <c r="V606" s="371"/>
    </row>
    <row r="607">
      <c r="A607" s="371"/>
      <c r="B607" s="307"/>
      <c r="C607" s="307"/>
      <c r="D607" s="307"/>
      <c r="E607" s="371"/>
      <c r="F607" s="307"/>
      <c r="G607" s="477"/>
      <c r="H607" s="371"/>
      <c r="I607" s="371"/>
      <c r="J607" s="371"/>
      <c r="K607" s="371"/>
      <c r="L607" s="371"/>
      <c r="M607" s="371"/>
      <c r="N607" s="371"/>
      <c r="O607" s="371"/>
      <c r="P607" s="371"/>
      <c r="Q607" s="371"/>
      <c r="R607" s="371"/>
      <c r="S607" s="371"/>
      <c r="T607" s="371"/>
      <c r="U607" s="371"/>
      <c r="V607" s="371"/>
    </row>
    <row r="608">
      <c r="A608" s="371"/>
      <c r="B608" s="307"/>
      <c r="C608" s="307"/>
      <c r="D608" s="307"/>
      <c r="E608" s="371"/>
      <c r="F608" s="307"/>
      <c r="G608" s="477"/>
      <c r="H608" s="371"/>
      <c r="I608" s="371"/>
      <c r="J608" s="371"/>
      <c r="K608" s="371"/>
      <c r="L608" s="371"/>
      <c r="M608" s="371"/>
      <c r="N608" s="371"/>
      <c r="O608" s="371"/>
      <c r="P608" s="371"/>
      <c r="Q608" s="371"/>
      <c r="R608" s="371"/>
      <c r="S608" s="371"/>
      <c r="T608" s="371"/>
      <c r="U608" s="371"/>
      <c r="V608" s="371"/>
    </row>
    <row r="609">
      <c r="A609" s="371"/>
      <c r="B609" s="307"/>
      <c r="C609" s="307"/>
      <c r="D609" s="307"/>
      <c r="E609" s="371"/>
      <c r="F609" s="307"/>
      <c r="G609" s="477"/>
      <c r="H609" s="371"/>
      <c r="I609" s="371"/>
      <c r="J609" s="371"/>
      <c r="K609" s="371"/>
      <c r="L609" s="371"/>
      <c r="M609" s="371"/>
      <c r="N609" s="371"/>
      <c r="O609" s="371"/>
      <c r="P609" s="371"/>
      <c r="Q609" s="371"/>
      <c r="R609" s="371"/>
      <c r="S609" s="371"/>
      <c r="T609" s="371"/>
      <c r="U609" s="371"/>
      <c r="V609" s="371"/>
    </row>
    <row r="610">
      <c r="A610" s="371"/>
      <c r="B610" s="307"/>
      <c r="C610" s="307"/>
      <c r="D610" s="307"/>
      <c r="E610" s="371"/>
      <c r="F610" s="307"/>
      <c r="G610" s="477"/>
      <c r="H610" s="371"/>
      <c r="I610" s="371"/>
      <c r="J610" s="371"/>
      <c r="K610" s="371"/>
      <c r="L610" s="371"/>
      <c r="M610" s="371"/>
      <c r="N610" s="371"/>
      <c r="O610" s="371"/>
      <c r="P610" s="371"/>
      <c r="Q610" s="371"/>
      <c r="R610" s="371"/>
      <c r="S610" s="371"/>
      <c r="T610" s="371"/>
      <c r="U610" s="371"/>
      <c r="V610" s="371"/>
    </row>
    <row r="611">
      <c r="A611" s="371"/>
      <c r="B611" s="307"/>
      <c r="C611" s="307"/>
      <c r="D611" s="307"/>
      <c r="E611" s="371"/>
      <c r="F611" s="307"/>
      <c r="G611" s="477"/>
      <c r="H611" s="371"/>
      <c r="I611" s="371"/>
      <c r="J611" s="371"/>
      <c r="K611" s="371"/>
      <c r="L611" s="371"/>
      <c r="M611" s="371"/>
      <c r="N611" s="371"/>
      <c r="O611" s="371"/>
      <c r="P611" s="371"/>
      <c r="Q611" s="371"/>
      <c r="R611" s="371"/>
      <c r="S611" s="371"/>
      <c r="T611" s="371"/>
      <c r="U611" s="371"/>
      <c r="V611" s="371"/>
    </row>
    <row r="612">
      <c r="A612" s="371"/>
      <c r="B612" s="307"/>
      <c r="C612" s="307"/>
      <c r="D612" s="307"/>
      <c r="E612" s="371"/>
      <c r="F612" s="307"/>
      <c r="G612" s="477"/>
      <c r="H612" s="371"/>
      <c r="I612" s="371"/>
      <c r="J612" s="371"/>
      <c r="K612" s="371"/>
      <c r="L612" s="371"/>
      <c r="M612" s="371"/>
      <c r="N612" s="371"/>
      <c r="O612" s="371"/>
      <c r="P612" s="371"/>
      <c r="Q612" s="371"/>
      <c r="R612" s="371"/>
      <c r="S612" s="371"/>
      <c r="T612" s="371"/>
      <c r="U612" s="371"/>
      <c r="V612" s="371"/>
    </row>
    <row r="613">
      <c r="A613" s="371"/>
      <c r="B613" s="307"/>
      <c r="C613" s="307"/>
      <c r="D613" s="307"/>
      <c r="E613" s="371"/>
      <c r="F613" s="307"/>
      <c r="G613" s="477"/>
      <c r="H613" s="371"/>
      <c r="I613" s="371"/>
      <c r="J613" s="371"/>
      <c r="K613" s="371"/>
      <c r="L613" s="371"/>
      <c r="M613" s="371"/>
      <c r="N613" s="371"/>
      <c r="O613" s="371"/>
      <c r="P613" s="371"/>
      <c r="Q613" s="371"/>
      <c r="R613" s="371"/>
      <c r="S613" s="371"/>
      <c r="T613" s="371"/>
      <c r="U613" s="371"/>
      <c r="V613" s="371"/>
    </row>
    <row r="614">
      <c r="A614" s="371"/>
      <c r="B614" s="307"/>
      <c r="C614" s="307"/>
      <c r="D614" s="307"/>
      <c r="E614" s="371"/>
      <c r="F614" s="307"/>
      <c r="G614" s="477"/>
      <c r="H614" s="371"/>
      <c r="I614" s="371"/>
      <c r="J614" s="371"/>
      <c r="K614" s="371"/>
      <c r="L614" s="371"/>
      <c r="M614" s="371"/>
      <c r="N614" s="371"/>
      <c r="O614" s="371"/>
      <c r="P614" s="371"/>
      <c r="Q614" s="371"/>
      <c r="R614" s="371"/>
      <c r="S614" s="371"/>
      <c r="T614" s="371"/>
      <c r="U614" s="371"/>
      <c r="V614" s="371"/>
    </row>
    <row r="615">
      <c r="A615" s="371"/>
      <c r="B615" s="307"/>
      <c r="C615" s="307"/>
      <c r="D615" s="307"/>
      <c r="E615" s="371"/>
      <c r="F615" s="307"/>
      <c r="G615" s="477"/>
      <c r="H615" s="371"/>
      <c r="I615" s="371"/>
      <c r="J615" s="371"/>
      <c r="K615" s="371"/>
      <c r="L615" s="371"/>
      <c r="M615" s="371"/>
      <c r="N615" s="371"/>
      <c r="O615" s="371"/>
      <c r="P615" s="371"/>
      <c r="Q615" s="371"/>
      <c r="R615" s="371"/>
      <c r="S615" s="371"/>
      <c r="T615" s="371"/>
      <c r="U615" s="371"/>
      <c r="V615" s="371"/>
    </row>
    <row r="616">
      <c r="A616" s="371"/>
      <c r="B616" s="307"/>
      <c r="C616" s="307"/>
      <c r="D616" s="307"/>
      <c r="E616" s="371"/>
      <c r="F616" s="307"/>
      <c r="G616" s="477"/>
      <c r="H616" s="371"/>
      <c r="I616" s="371"/>
      <c r="J616" s="371"/>
      <c r="K616" s="371"/>
      <c r="L616" s="371"/>
      <c r="M616" s="371"/>
      <c r="N616" s="371"/>
      <c r="O616" s="371"/>
      <c r="P616" s="371"/>
      <c r="Q616" s="371"/>
      <c r="R616" s="371"/>
      <c r="S616" s="371"/>
      <c r="T616" s="371"/>
      <c r="U616" s="371"/>
      <c r="V616" s="371"/>
    </row>
    <row r="617">
      <c r="A617" s="371"/>
      <c r="B617" s="307"/>
      <c r="C617" s="307"/>
      <c r="D617" s="307"/>
      <c r="E617" s="371"/>
      <c r="F617" s="307"/>
      <c r="G617" s="477"/>
      <c r="H617" s="371"/>
      <c r="I617" s="371"/>
      <c r="J617" s="371"/>
      <c r="K617" s="371"/>
      <c r="L617" s="371"/>
      <c r="M617" s="371"/>
      <c r="N617" s="371"/>
      <c r="O617" s="371"/>
      <c r="P617" s="371"/>
      <c r="Q617" s="371"/>
      <c r="R617" s="371"/>
      <c r="S617" s="371"/>
      <c r="T617" s="371"/>
      <c r="U617" s="371"/>
      <c r="V617" s="371"/>
    </row>
    <row r="618">
      <c r="A618" s="371"/>
      <c r="B618" s="307"/>
      <c r="C618" s="307"/>
      <c r="D618" s="307"/>
      <c r="E618" s="371"/>
      <c r="F618" s="307"/>
      <c r="G618" s="477"/>
      <c r="H618" s="371"/>
      <c r="I618" s="371"/>
      <c r="J618" s="371"/>
      <c r="K618" s="371"/>
      <c r="L618" s="371"/>
      <c r="M618" s="371"/>
      <c r="N618" s="371"/>
      <c r="O618" s="371"/>
      <c r="P618" s="371"/>
      <c r="Q618" s="371"/>
      <c r="R618" s="371"/>
      <c r="S618" s="371"/>
      <c r="T618" s="371"/>
      <c r="U618" s="371"/>
      <c r="V618" s="371"/>
    </row>
    <row r="619">
      <c r="A619" s="371"/>
      <c r="B619" s="307"/>
      <c r="C619" s="307"/>
      <c r="D619" s="307"/>
      <c r="E619" s="371"/>
      <c r="F619" s="307"/>
      <c r="G619" s="477"/>
      <c r="H619" s="371"/>
      <c r="I619" s="371"/>
      <c r="J619" s="371"/>
      <c r="K619" s="371"/>
      <c r="L619" s="371"/>
      <c r="M619" s="371"/>
      <c r="N619" s="371"/>
      <c r="O619" s="371"/>
      <c r="P619" s="371"/>
      <c r="Q619" s="371"/>
      <c r="R619" s="371"/>
      <c r="S619" s="371"/>
      <c r="T619" s="371"/>
      <c r="U619" s="371"/>
      <c r="V619" s="371"/>
    </row>
    <row r="620">
      <c r="A620" s="371"/>
      <c r="B620" s="307"/>
      <c r="C620" s="307"/>
      <c r="D620" s="307"/>
      <c r="E620" s="371"/>
      <c r="F620" s="307"/>
      <c r="G620" s="477"/>
      <c r="H620" s="371"/>
      <c r="I620" s="371"/>
      <c r="J620" s="371"/>
      <c r="K620" s="371"/>
      <c r="L620" s="371"/>
      <c r="M620" s="371"/>
      <c r="N620" s="371"/>
      <c r="O620" s="371"/>
      <c r="P620" s="371"/>
      <c r="Q620" s="371"/>
      <c r="R620" s="371"/>
      <c r="S620" s="371"/>
      <c r="T620" s="371"/>
      <c r="U620" s="371"/>
      <c r="V620" s="371"/>
    </row>
    <row r="621">
      <c r="A621" s="371"/>
      <c r="B621" s="307"/>
      <c r="C621" s="307"/>
      <c r="D621" s="307"/>
      <c r="E621" s="371"/>
      <c r="F621" s="307"/>
      <c r="G621" s="477"/>
      <c r="H621" s="371"/>
      <c r="I621" s="371"/>
      <c r="J621" s="371"/>
      <c r="K621" s="371"/>
      <c r="L621" s="371"/>
      <c r="M621" s="371"/>
      <c r="N621" s="371"/>
      <c r="O621" s="371"/>
      <c r="P621" s="371"/>
      <c r="Q621" s="371"/>
      <c r="R621" s="371"/>
      <c r="S621" s="371"/>
      <c r="T621" s="371"/>
      <c r="U621" s="371"/>
      <c r="V621" s="371"/>
    </row>
    <row r="622">
      <c r="A622" s="371"/>
      <c r="B622" s="307"/>
      <c r="C622" s="307"/>
      <c r="D622" s="307"/>
      <c r="E622" s="371"/>
      <c r="F622" s="307"/>
      <c r="G622" s="477"/>
      <c r="H622" s="371"/>
      <c r="I622" s="371"/>
      <c r="J622" s="371"/>
      <c r="K622" s="371"/>
      <c r="L622" s="371"/>
      <c r="M622" s="371"/>
      <c r="N622" s="371"/>
      <c r="O622" s="371"/>
      <c r="P622" s="371"/>
      <c r="Q622" s="371"/>
      <c r="R622" s="371"/>
      <c r="S622" s="371"/>
      <c r="T622" s="371"/>
      <c r="U622" s="371"/>
      <c r="V622" s="371"/>
    </row>
    <row r="623">
      <c r="A623" s="371"/>
      <c r="B623" s="307"/>
      <c r="C623" s="307"/>
      <c r="D623" s="307"/>
      <c r="E623" s="371"/>
      <c r="F623" s="307"/>
      <c r="G623" s="477"/>
      <c r="H623" s="371"/>
      <c r="I623" s="371"/>
      <c r="J623" s="371"/>
      <c r="K623" s="371"/>
      <c r="L623" s="371"/>
      <c r="M623" s="371"/>
      <c r="N623" s="371"/>
      <c r="O623" s="371"/>
      <c r="P623" s="371"/>
      <c r="Q623" s="371"/>
      <c r="R623" s="371"/>
      <c r="S623" s="371"/>
      <c r="T623" s="371"/>
      <c r="U623" s="371"/>
      <c r="V623" s="371"/>
    </row>
    <row r="624">
      <c r="A624" s="371"/>
      <c r="B624" s="307"/>
      <c r="C624" s="307"/>
      <c r="D624" s="307"/>
      <c r="E624" s="371"/>
      <c r="F624" s="307"/>
      <c r="G624" s="477"/>
      <c r="H624" s="371"/>
      <c r="I624" s="371"/>
      <c r="J624" s="371"/>
      <c r="K624" s="371"/>
      <c r="L624" s="371"/>
      <c r="M624" s="371"/>
      <c r="N624" s="371"/>
      <c r="O624" s="371"/>
      <c r="P624" s="371"/>
      <c r="Q624" s="371"/>
      <c r="R624" s="371"/>
      <c r="S624" s="371"/>
      <c r="T624" s="371"/>
      <c r="U624" s="371"/>
      <c r="V624" s="371"/>
    </row>
    <row r="625">
      <c r="A625" s="371"/>
      <c r="B625" s="307"/>
      <c r="C625" s="307"/>
      <c r="D625" s="307"/>
      <c r="E625" s="371"/>
      <c r="F625" s="307"/>
      <c r="G625" s="477"/>
      <c r="H625" s="371"/>
      <c r="I625" s="371"/>
      <c r="J625" s="371"/>
      <c r="K625" s="371"/>
      <c r="L625" s="371"/>
      <c r="M625" s="371"/>
      <c r="N625" s="371"/>
      <c r="O625" s="371"/>
      <c r="P625" s="371"/>
      <c r="Q625" s="371"/>
      <c r="R625" s="371"/>
      <c r="S625" s="371"/>
      <c r="T625" s="371"/>
      <c r="U625" s="371"/>
      <c r="V625" s="371"/>
    </row>
    <row r="626">
      <c r="A626" s="371"/>
      <c r="B626" s="307"/>
      <c r="C626" s="307"/>
      <c r="D626" s="307"/>
      <c r="E626" s="371"/>
      <c r="F626" s="307"/>
      <c r="G626" s="477"/>
      <c r="H626" s="371"/>
      <c r="I626" s="371"/>
      <c r="J626" s="371"/>
      <c r="K626" s="371"/>
      <c r="L626" s="371"/>
      <c r="M626" s="371"/>
      <c r="N626" s="371"/>
      <c r="O626" s="371"/>
      <c r="P626" s="371"/>
      <c r="Q626" s="371"/>
      <c r="R626" s="371"/>
      <c r="S626" s="371"/>
      <c r="T626" s="371"/>
      <c r="U626" s="371"/>
      <c r="V626" s="371"/>
    </row>
    <row r="627">
      <c r="A627" s="371"/>
      <c r="B627" s="307"/>
      <c r="C627" s="307"/>
      <c r="D627" s="307"/>
      <c r="E627" s="371"/>
      <c r="F627" s="307"/>
      <c r="G627" s="477"/>
      <c r="H627" s="371"/>
      <c r="I627" s="371"/>
      <c r="J627" s="371"/>
      <c r="K627" s="371"/>
      <c r="L627" s="371"/>
      <c r="M627" s="371"/>
      <c r="N627" s="371"/>
      <c r="O627" s="371"/>
      <c r="P627" s="371"/>
      <c r="Q627" s="371"/>
      <c r="R627" s="371"/>
      <c r="S627" s="371"/>
      <c r="T627" s="371"/>
      <c r="U627" s="371"/>
      <c r="V627" s="371"/>
    </row>
    <row r="628">
      <c r="A628" s="371"/>
      <c r="B628" s="307"/>
      <c r="C628" s="307"/>
      <c r="D628" s="307"/>
      <c r="E628" s="371"/>
      <c r="F628" s="307"/>
      <c r="G628" s="477"/>
      <c r="H628" s="371"/>
      <c r="I628" s="371"/>
      <c r="J628" s="371"/>
      <c r="K628" s="371"/>
      <c r="L628" s="371"/>
      <c r="M628" s="371"/>
      <c r="N628" s="371"/>
      <c r="O628" s="371"/>
      <c r="P628" s="371"/>
      <c r="Q628" s="371"/>
      <c r="R628" s="371"/>
      <c r="S628" s="371"/>
      <c r="T628" s="371"/>
      <c r="U628" s="371"/>
      <c r="V628" s="371"/>
    </row>
    <row r="629">
      <c r="A629" s="371"/>
      <c r="B629" s="307"/>
      <c r="C629" s="307"/>
      <c r="D629" s="307"/>
      <c r="E629" s="371"/>
      <c r="F629" s="307"/>
      <c r="G629" s="477"/>
      <c r="H629" s="371"/>
      <c r="I629" s="371"/>
      <c r="J629" s="371"/>
      <c r="K629" s="371"/>
      <c r="L629" s="371"/>
      <c r="M629" s="371"/>
      <c r="N629" s="371"/>
      <c r="O629" s="371"/>
      <c r="P629" s="371"/>
      <c r="Q629" s="371"/>
      <c r="R629" s="371"/>
      <c r="S629" s="371"/>
      <c r="T629" s="371"/>
      <c r="U629" s="371"/>
      <c r="V629" s="371"/>
    </row>
    <row r="630">
      <c r="A630" s="371"/>
      <c r="B630" s="307"/>
      <c r="C630" s="307"/>
      <c r="D630" s="307"/>
      <c r="E630" s="371"/>
      <c r="F630" s="307"/>
      <c r="G630" s="477"/>
      <c r="H630" s="371"/>
      <c r="I630" s="371"/>
      <c r="J630" s="371"/>
      <c r="K630" s="371"/>
      <c r="L630" s="371"/>
      <c r="M630" s="371"/>
      <c r="N630" s="371"/>
      <c r="O630" s="371"/>
      <c r="P630" s="371"/>
      <c r="Q630" s="371"/>
      <c r="R630" s="371"/>
      <c r="S630" s="371"/>
      <c r="T630" s="371"/>
      <c r="U630" s="371"/>
      <c r="V630" s="371"/>
    </row>
    <row r="631">
      <c r="A631" s="371"/>
      <c r="B631" s="307"/>
      <c r="C631" s="307"/>
      <c r="D631" s="307"/>
      <c r="E631" s="371"/>
      <c r="F631" s="307"/>
      <c r="G631" s="477"/>
      <c r="H631" s="371"/>
      <c r="I631" s="371"/>
      <c r="J631" s="371"/>
      <c r="K631" s="371"/>
      <c r="L631" s="371"/>
      <c r="M631" s="371"/>
      <c r="N631" s="371"/>
      <c r="O631" s="371"/>
      <c r="P631" s="371"/>
      <c r="Q631" s="371"/>
      <c r="R631" s="371"/>
      <c r="S631" s="371"/>
      <c r="T631" s="371"/>
      <c r="U631" s="371"/>
      <c r="V631" s="371"/>
    </row>
    <row r="632">
      <c r="A632" s="371"/>
      <c r="B632" s="307"/>
      <c r="C632" s="307"/>
      <c r="D632" s="307"/>
      <c r="E632" s="371"/>
      <c r="F632" s="307"/>
      <c r="G632" s="477"/>
      <c r="H632" s="371"/>
      <c r="I632" s="371"/>
      <c r="J632" s="371"/>
      <c r="K632" s="371"/>
      <c r="L632" s="371"/>
      <c r="M632" s="371"/>
      <c r="N632" s="371"/>
      <c r="O632" s="371"/>
      <c r="P632" s="371"/>
      <c r="Q632" s="371"/>
      <c r="R632" s="371"/>
      <c r="S632" s="371"/>
      <c r="T632" s="371"/>
      <c r="U632" s="371"/>
      <c r="V632" s="371"/>
    </row>
    <row r="633">
      <c r="A633" s="371"/>
      <c r="B633" s="307"/>
      <c r="C633" s="307"/>
      <c r="D633" s="307"/>
      <c r="E633" s="371"/>
      <c r="F633" s="307"/>
      <c r="G633" s="477"/>
      <c r="H633" s="371"/>
      <c r="I633" s="371"/>
      <c r="J633" s="371"/>
      <c r="K633" s="371"/>
      <c r="L633" s="371"/>
      <c r="M633" s="371"/>
      <c r="N633" s="371"/>
      <c r="O633" s="371"/>
      <c r="P633" s="371"/>
      <c r="Q633" s="371"/>
      <c r="R633" s="371"/>
      <c r="S633" s="371"/>
      <c r="T633" s="371"/>
      <c r="U633" s="371"/>
      <c r="V633" s="371"/>
    </row>
    <row r="634">
      <c r="A634" s="371"/>
      <c r="B634" s="307"/>
      <c r="C634" s="307"/>
      <c r="D634" s="307"/>
      <c r="E634" s="371"/>
      <c r="F634" s="307"/>
      <c r="G634" s="477"/>
      <c r="H634" s="371"/>
      <c r="I634" s="371"/>
      <c r="J634" s="371"/>
      <c r="K634" s="371"/>
      <c r="L634" s="371"/>
      <c r="M634" s="371"/>
      <c r="N634" s="371"/>
      <c r="O634" s="371"/>
      <c r="P634" s="371"/>
      <c r="Q634" s="371"/>
      <c r="R634" s="371"/>
      <c r="S634" s="371"/>
      <c r="T634" s="371"/>
      <c r="U634" s="371"/>
      <c r="V634" s="371"/>
    </row>
    <row r="635">
      <c r="A635" s="371"/>
      <c r="B635" s="307"/>
      <c r="C635" s="307"/>
      <c r="D635" s="307"/>
      <c r="E635" s="371"/>
      <c r="F635" s="307"/>
      <c r="G635" s="477"/>
      <c r="H635" s="371"/>
      <c r="I635" s="371"/>
      <c r="J635" s="371"/>
      <c r="K635" s="371"/>
      <c r="L635" s="371"/>
      <c r="M635" s="371"/>
      <c r="N635" s="371"/>
      <c r="O635" s="371"/>
      <c r="P635" s="371"/>
      <c r="Q635" s="371"/>
      <c r="R635" s="371"/>
      <c r="S635" s="371"/>
      <c r="T635" s="371"/>
      <c r="U635" s="371"/>
      <c r="V635" s="371"/>
    </row>
    <row r="636">
      <c r="A636" s="371"/>
      <c r="B636" s="307"/>
      <c r="C636" s="307"/>
      <c r="D636" s="307"/>
      <c r="E636" s="371"/>
      <c r="F636" s="307"/>
      <c r="G636" s="477"/>
      <c r="H636" s="371"/>
      <c r="I636" s="371"/>
      <c r="J636" s="371"/>
      <c r="K636" s="371"/>
      <c r="L636" s="371"/>
      <c r="M636" s="371"/>
      <c r="N636" s="371"/>
      <c r="O636" s="371"/>
      <c r="P636" s="371"/>
      <c r="Q636" s="371"/>
      <c r="R636" s="371"/>
      <c r="S636" s="371"/>
      <c r="T636" s="371"/>
      <c r="U636" s="371"/>
      <c r="V636" s="371"/>
    </row>
    <row r="637">
      <c r="A637" s="371"/>
      <c r="B637" s="307"/>
      <c r="C637" s="307"/>
      <c r="D637" s="307"/>
      <c r="E637" s="371"/>
      <c r="F637" s="307"/>
      <c r="G637" s="477"/>
      <c r="H637" s="371"/>
      <c r="I637" s="371"/>
      <c r="J637" s="371"/>
      <c r="K637" s="371"/>
      <c r="L637" s="371"/>
      <c r="M637" s="371"/>
      <c r="N637" s="371"/>
      <c r="O637" s="371"/>
      <c r="P637" s="371"/>
      <c r="Q637" s="371"/>
      <c r="R637" s="371"/>
      <c r="S637" s="371"/>
      <c r="T637" s="371"/>
      <c r="U637" s="371"/>
      <c r="V637" s="371"/>
    </row>
    <row r="638">
      <c r="A638" s="371"/>
      <c r="B638" s="307"/>
      <c r="C638" s="307"/>
      <c r="D638" s="307"/>
      <c r="E638" s="371"/>
      <c r="F638" s="307"/>
      <c r="G638" s="477"/>
      <c r="H638" s="371"/>
      <c r="I638" s="371"/>
      <c r="J638" s="371"/>
      <c r="K638" s="371"/>
      <c r="L638" s="371"/>
      <c r="M638" s="371"/>
      <c r="N638" s="371"/>
      <c r="O638" s="371"/>
      <c r="P638" s="371"/>
      <c r="Q638" s="371"/>
      <c r="R638" s="371"/>
      <c r="S638" s="371"/>
      <c r="T638" s="371"/>
      <c r="U638" s="371"/>
      <c r="V638" s="371"/>
    </row>
    <row r="639">
      <c r="A639" s="371"/>
      <c r="B639" s="307"/>
      <c r="C639" s="307"/>
      <c r="D639" s="307"/>
      <c r="E639" s="371"/>
      <c r="F639" s="307"/>
      <c r="G639" s="477"/>
      <c r="H639" s="371"/>
      <c r="I639" s="371"/>
      <c r="J639" s="371"/>
      <c r="K639" s="371"/>
      <c r="L639" s="371"/>
      <c r="M639" s="371"/>
      <c r="N639" s="371"/>
      <c r="O639" s="371"/>
      <c r="P639" s="371"/>
      <c r="Q639" s="371"/>
      <c r="R639" s="371"/>
      <c r="S639" s="371"/>
      <c r="T639" s="371"/>
      <c r="U639" s="371"/>
      <c r="V639" s="371"/>
    </row>
    <row r="640">
      <c r="A640" s="371"/>
      <c r="B640" s="307"/>
      <c r="C640" s="307"/>
      <c r="D640" s="307"/>
      <c r="E640" s="371"/>
      <c r="F640" s="307"/>
      <c r="G640" s="477"/>
      <c r="H640" s="371"/>
      <c r="I640" s="371"/>
      <c r="J640" s="371"/>
      <c r="K640" s="371"/>
      <c r="L640" s="371"/>
      <c r="M640" s="371"/>
      <c r="N640" s="371"/>
      <c r="O640" s="371"/>
      <c r="P640" s="371"/>
      <c r="Q640" s="371"/>
      <c r="R640" s="371"/>
      <c r="S640" s="371"/>
      <c r="T640" s="371"/>
      <c r="U640" s="371"/>
      <c r="V640" s="371"/>
    </row>
    <row r="641">
      <c r="A641" s="371"/>
      <c r="B641" s="307"/>
      <c r="C641" s="307"/>
      <c r="D641" s="307"/>
      <c r="E641" s="371"/>
      <c r="F641" s="307"/>
      <c r="G641" s="477"/>
      <c r="H641" s="371"/>
      <c r="I641" s="371"/>
      <c r="J641" s="371"/>
      <c r="K641" s="371"/>
      <c r="L641" s="371"/>
      <c r="M641" s="371"/>
      <c r="N641" s="371"/>
      <c r="O641" s="371"/>
      <c r="P641" s="371"/>
      <c r="Q641" s="371"/>
      <c r="R641" s="371"/>
      <c r="S641" s="371"/>
      <c r="T641" s="371"/>
      <c r="U641" s="371"/>
      <c r="V641" s="371"/>
    </row>
    <row r="642">
      <c r="A642" s="371"/>
      <c r="B642" s="307"/>
      <c r="C642" s="307"/>
      <c r="D642" s="307"/>
      <c r="E642" s="371"/>
      <c r="F642" s="307"/>
      <c r="G642" s="477"/>
      <c r="H642" s="371"/>
      <c r="I642" s="371"/>
      <c r="J642" s="371"/>
      <c r="K642" s="371"/>
      <c r="L642" s="371"/>
      <c r="M642" s="371"/>
      <c r="N642" s="371"/>
      <c r="O642" s="371"/>
      <c r="P642" s="371"/>
      <c r="Q642" s="371"/>
      <c r="R642" s="371"/>
      <c r="S642" s="371"/>
      <c r="T642" s="371"/>
      <c r="U642" s="371"/>
      <c r="V642" s="371"/>
    </row>
    <row r="643">
      <c r="A643" s="371"/>
      <c r="B643" s="307"/>
      <c r="C643" s="307"/>
      <c r="D643" s="307"/>
      <c r="E643" s="371"/>
      <c r="F643" s="307"/>
      <c r="G643" s="477"/>
      <c r="H643" s="371"/>
      <c r="I643" s="371"/>
      <c r="J643" s="371"/>
      <c r="K643" s="371"/>
      <c r="L643" s="371"/>
      <c r="M643" s="371"/>
      <c r="N643" s="371"/>
      <c r="O643" s="371"/>
      <c r="P643" s="371"/>
      <c r="Q643" s="371"/>
      <c r="R643" s="371"/>
      <c r="S643" s="371"/>
      <c r="T643" s="371"/>
      <c r="U643" s="371"/>
      <c r="V643" s="371"/>
    </row>
    <row r="644">
      <c r="A644" s="371"/>
      <c r="B644" s="307"/>
      <c r="C644" s="307"/>
      <c r="D644" s="307"/>
      <c r="E644" s="371"/>
      <c r="F644" s="307"/>
      <c r="G644" s="477"/>
      <c r="H644" s="371"/>
      <c r="I644" s="371"/>
      <c r="J644" s="371"/>
      <c r="K644" s="371"/>
      <c r="L644" s="371"/>
      <c r="M644" s="371"/>
      <c r="N644" s="371"/>
      <c r="O644" s="371"/>
      <c r="P644" s="371"/>
      <c r="Q644" s="371"/>
      <c r="R644" s="371"/>
      <c r="S644" s="371"/>
      <c r="T644" s="371"/>
      <c r="U644" s="371"/>
      <c r="V644" s="371"/>
    </row>
    <row r="645">
      <c r="A645" s="371"/>
      <c r="B645" s="307"/>
      <c r="C645" s="307"/>
      <c r="D645" s="307"/>
      <c r="E645" s="371"/>
      <c r="F645" s="307"/>
      <c r="G645" s="477"/>
      <c r="H645" s="371"/>
      <c r="I645" s="371"/>
      <c r="J645" s="371"/>
      <c r="K645" s="371"/>
      <c r="L645" s="371"/>
      <c r="M645" s="371"/>
      <c r="N645" s="371"/>
      <c r="O645" s="371"/>
      <c r="P645" s="371"/>
      <c r="Q645" s="371"/>
      <c r="R645" s="371"/>
      <c r="S645" s="371"/>
      <c r="T645" s="371"/>
      <c r="U645" s="371"/>
      <c r="V645" s="371"/>
    </row>
    <row r="646">
      <c r="A646" s="371"/>
      <c r="B646" s="307"/>
      <c r="C646" s="307"/>
      <c r="D646" s="307"/>
      <c r="E646" s="371"/>
      <c r="F646" s="307"/>
      <c r="G646" s="477"/>
      <c r="H646" s="371"/>
      <c r="I646" s="371"/>
      <c r="J646" s="371"/>
      <c r="K646" s="371"/>
      <c r="L646" s="371"/>
      <c r="M646" s="371"/>
      <c r="N646" s="371"/>
      <c r="O646" s="371"/>
      <c r="P646" s="371"/>
      <c r="Q646" s="371"/>
      <c r="R646" s="371"/>
      <c r="S646" s="371"/>
      <c r="T646" s="371"/>
      <c r="U646" s="371"/>
      <c r="V646" s="371"/>
    </row>
    <row r="647">
      <c r="A647" s="371"/>
      <c r="B647" s="307"/>
      <c r="C647" s="307"/>
      <c r="D647" s="307"/>
      <c r="E647" s="371"/>
      <c r="F647" s="307"/>
      <c r="G647" s="477"/>
      <c r="H647" s="371"/>
      <c r="I647" s="371"/>
      <c r="J647" s="371"/>
      <c r="K647" s="371"/>
      <c r="L647" s="371"/>
      <c r="M647" s="371"/>
      <c r="N647" s="371"/>
      <c r="O647" s="371"/>
      <c r="P647" s="371"/>
      <c r="Q647" s="371"/>
      <c r="R647" s="371"/>
      <c r="S647" s="371"/>
      <c r="T647" s="371"/>
      <c r="U647" s="371"/>
      <c r="V647" s="371"/>
    </row>
    <row r="648">
      <c r="A648" s="371"/>
      <c r="B648" s="307"/>
      <c r="C648" s="307"/>
      <c r="D648" s="307"/>
      <c r="E648" s="371"/>
      <c r="F648" s="307"/>
      <c r="G648" s="477"/>
      <c r="H648" s="371"/>
      <c r="I648" s="371"/>
      <c r="J648" s="371"/>
      <c r="K648" s="371"/>
      <c r="L648" s="371"/>
      <c r="M648" s="371"/>
      <c r="N648" s="371"/>
      <c r="O648" s="371"/>
      <c r="P648" s="371"/>
      <c r="Q648" s="371"/>
      <c r="R648" s="371"/>
      <c r="S648" s="371"/>
      <c r="T648" s="371"/>
      <c r="U648" s="371"/>
      <c r="V648" s="371"/>
    </row>
    <row r="649">
      <c r="A649" s="371"/>
      <c r="B649" s="307"/>
      <c r="C649" s="307"/>
      <c r="D649" s="307"/>
      <c r="E649" s="371"/>
      <c r="F649" s="307"/>
      <c r="G649" s="477"/>
      <c r="H649" s="371"/>
      <c r="I649" s="371"/>
      <c r="J649" s="371"/>
      <c r="K649" s="371"/>
      <c r="L649" s="371"/>
      <c r="M649" s="371"/>
      <c r="N649" s="371"/>
      <c r="O649" s="371"/>
      <c r="P649" s="371"/>
      <c r="Q649" s="371"/>
      <c r="R649" s="371"/>
      <c r="S649" s="371"/>
      <c r="T649" s="371"/>
      <c r="U649" s="371"/>
      <c r="V649" s="371"/>
    </row>
    <row r="650">
      <c r="A650" s="371"/>
      <c r="B650" s="307"/>
      <c r="C650" s="307"/>
      <c r="D650" s="307"/>
      <c r="E650" s="371"/>
      <c r="F650" s="307"/>
      <c r="G650" s="477"/>
      <c r="H650" s="371"/>
      <c r="I650" s="371"/>
      <c r="J650" s="371"/>
      <c r="K650" s="371"/>
      <c r="L650" s="371"/>
      <c r="M650" s="371"/>
      <c r="N650" s="371"/>
      <c r="O650" s="371"/>
      <c r="P650" s="371"/>
      <c r="Q650" s="371"/>
      <c r="R650" s="371"/>
      <c r="S650" s="371"/>
      <c r="T650" s="371"/>
      <c r="U650" s="371"/>
      <c r="V650" s="371"/>
    </row>
    <row r="651">
      <c r="A651" s="371"/>
      <c r="B651" s="307"/>
      <c r="C651" s="307"/>
      <c r="D651" s="307"/>
      <c r="E651" s="371"/>
      <c r="F651" s="307"/>
      <c r="G651" s="477"/>
      <c r="H651" s="371"/>
      <c r="I651" s="371"/>
      <c r="J651" s="371"/>
      <c r="K651" s="371"/>
      <c r="L651" s="371"/>
      <c r="M651" s="371"/>
      <c r="N651" s="371"/>
      <c r="O651" s="371"/>
      <c r="P651" s="371"/>
      <c r="Q651" s="371"/>
      <c r="R651" s="371"/>
      <c r="S651" s="371"/>
      <c r="T651" s="371"/>
      <c r="U651" s="371"/>
      <c r="V651" s="371"/>
    </row>
    <row r="652">
      <c r="A652" s="371"/>
      <c r="B652" s="307"/>
      <c r="C652" s="307"/>
      <c r="D652" s="307"/>
      <c r="E652" s="371"/>
      <c r="F652" s="307"/>
      <c r="G652" s="477"/>
      <c r="H652" s="371"/>
      <c r="I652" s="371"/>
      <c r="J652" s="371"/>
      <c r="K652" s="371"/>
      <c r="L652" s="371"/>
      <c r="M652" s="371"/>
      <c r="N652" s="371"/>
      <c r="O652" s="371"/>
      <c r="P652" s="371"/>
      <c r="Q652" s="371"/>
      <c r="R652" s="371"/>
      <c r="S652" s="371"/>
      <c r="T652" s="371"/>
      <c r="U652" s="371"/>
      <c r="V652" s="371"/>
    </row>
    <row r="653">
      <c r="A653" s="371"/>
      <c r="B653" s="307"/>
      <c r="C653" s="307"/>
      <c r="D653" s="307"/>
      <c r="E653" s="371"/>
      <c r="F653" s="307"/>
      <c r="G653" s="477"/>
      <c r="H653" s="371"/>
      <c r="I653" s="371"/>
      <c r="J653" s="371"/>
      <c r="K653" s="371"/>
      <c r="L653" s="371"/>
      <c r="M653" s="371"/>
      <c r="N653" s="371"/>
      <c r="O653" s="371"/>
      <c r="P653" s="371"/>
      <c r="Q653" s="371"/>
      <c r="R653" s="371"/>
      <c r="S653" s="371"/>
      <c r="T653" s="371"/>
      <c r="U653" s="371"/>
      <c r="V653" s="371"/>
    </row>
    <row r="654">
      <c r="A654" s="371"/>
      <c r="B654" s="307"/>
      <c r="C654" s="307"/>
      <c r="D654" s="307"/>
      <c r="E654" s="371"/>
      <c r="F654" s="307"/>
      <c r="G654" s="477"/>
      <c r="H654" s="371"/>
      <c r="I654" s="371"/>
      <c r="J654" s="371"/>
      <c r="K654" s="371"/>
      <c r="L654" s="371"/>
      <c r="M654" s="371"/>
      <c r="N654" s="371"/>
      <c r="O654" s="371"/>
      <c r="P654" s="371"/>
      <c r="Q654" s="371"/>
      <c r="R654" s="371"/>
      <c r="S654" s="371"/>
      <c r="T654" s="371"/>
      <c r="U654" s="371"/>
      <c r="V654" s="371"/>
    </row>
    <row r="655">
      <c r="A655" s="371"/>
      <c r="B655" s="307"/>
      <c r="C655" s="307"/>
      <c r="D655" s="307"/>
      <c r="E655" s="371"/>
      <c r="F655" s="307"/>
      <c r="G655" s="477"/>
      <c r="H655" s="371"/>
      <c r="I655" s="371"/>
      <c r="J655" s="371"/>
      <c r="K655" s="371"/>
      <c r="L655" s="371"/>
      <c r="M655" s="371"/>
      <c r="N655" s="371"/>
      <c r="O655" s="371"/>
      <c r="P655" s="371"/>
      <c r="Q655" s="371"/>
      <c r="R655" s="371"/>
      <c r="S655" s="371"/>
      <c r="T655" s="371"/>
      <c r="U655" s="371"/>
      <c r="V655" s="371"/>
    </row>
    <row r="656">
      <c r="A656" s="371"/>
      <c r="B656" s="307"/>
      <c r="C656" s="307"/>
      <c r="D656" s="307"/>
      <c r="E656" s="371"/>
      <c r="F656" s="307"/>
      <c r="G656" s="477"/>
      <c r="H656" s="371"/>
      <c r="I656" s="371"/>
      <c r="J656" s="371"/>
      <c r="K656" s="371"/>
      <c r="L656" s="371"/>
      <c r="M656" s="371"/>
      <c r="N656" s="371"/>
      <c r="O656" s="371"/>
      <c r="P656" s="371"/>
      <c r="Q656" s="371"/>
      <c r="R656" s="371"/>
      <c r="S656" s="371"/>
      <c r="T656" s="371"/>
      <c r="U656" s="371"/>
      <c r="V656" s="371"/>
    </row>
    <row r="657">
      <c r="A657" s="371"/>
      <c r="B657" s="307"/>
      <c r="C657" s="307"/>
      <c r="D657" s="307"/>
      <c r="E657" s="371"/>
      <c r="F657" s="307"/>
      <c r="G657" s="477"/>
      <c r="H657" s="371"/>
      <c r="I657" s="371"/>
      <c r="J657" s="371"/>
      <c r="K657" s="371"/>
      <c r="L657" s="371"/>
      <c r="M657" s="371"/>
      <c r="N657" s="371"/>
      <c r="O657" s="371"/>
      <c r="P657" s="371"/>
      <c r="Q657" s="371"/>
      <c r="R657" s="371"/>
      <c r="S657" s="371"/>
      <c r="T657" s="371"/>
      <c r="U657" s="371"/>
      <c r="V657" s="371"/>
    </row>
    <row r="658">
      <c r="A658" s="371"/>
      <c r="B658" s="307"/>
      <c r="C658" s="307"/>
      <c r="D658" s="307"/>
      <c r="E658" s="371"/>
      <c r="F658" s="307"/>
      <c r="G658" s="477"/>
      <c r="H658" s="371"/>
      <c r="I658" s="371"/>
      <c r="J658" s="371"/>
      <c r="K658" s="371"/>
      <c r="L658" s="371"/>
      <c r="M658" s="371"/>
      <c r="N658" s="371"/>
      <c r="O658" s="371"/>
      <c r="P658" s="371"/>
      <c r="Q658" s="371"/>
      <c r="R658" s="371"/>
      <c r="S658" s="371"/>
      <c r="T658" s="371"/>
      <c r="U658" s="371"/>
      <c r="V658" s="371"/>
    </row>
    <row r="659">
      <c r="A659" s="371"/>
      <c r="B659" s="307"/>
      <c r="C659" s="307"/>
      <c r="D659" s="307"/>
      <c r="E659" s="371"/>
      <c r="F659" s="307"/>
      <c r="G659" s="477"/>
      <c r="H659" s="371"/>
      <c r="I659" s="371"/>
      <c r="J659" s="371"/>
      <c r="K659" s="371"/>
      <c r="L659" s="371"/>
      <c r="M659" s="371"/>
      <c r="N659" s="371"/>
      <c r="O659" s="371"/>
      <c r="P659" s="371"/>
      <c r="Q659" s="371"/>
      <c r="R659" s="371"/>
      <c r="S659" s="371"/>
      <c r="T659" s="371"/>
      <c r="U659" s="371"/>
      <c r="V659" s="371"/>
    </row>
    <row r="660">
      <c r="A660" s="371"/>
      <c r="B660" s="307"/>
      <c r="C660" s="307"/>
      <c r="D660" s="307"/>
      <c r="E660" s="371"/>
      <c r="F660" s="307"/>
      <c r="G660" s="477"/>
      <c r="H660" s="371"/>
      <c r="I660" s="371"/>
      <c r="J660" s="371"/>
      <c r="K660" s="371"/>
      <c r="L660" s="371"/>
      <c r="M660" s="371"/>
      <c r="N660" s="371"/>
      <c r="O660" s="371"/>
      <c r="P660" s="371"/>
      <c r="Q660" s="371"/>
      <c r="R660" s="371"/>
      <c r="S660" s="371"/>
      <c r="T660" s="371"/>
      <c r="U660" s="371"/>
      <c r="V660" s="371"/>
    </row>
    <row r="661">
      <c r="A661" s="371"/>
      <c r="B661" s="307"/>
      <c r="C661" s="307"/>
      <c r="D661" s="307"/>
      <c r="E661" s="371"/>
      <c r="F661" s="307"/>
      <c r="G661" s="477"/>
      <c r="H661" s="371"/>
      <c r="I661" s="371"/>
      <c r="J661" s="371"/>
      <c r="K661" s="371"/>
      <c r="L661" s="371"/>
      <c r="M661" s="371"/>
      <c r="N661" s="371"/>
      <c r="O661" s="371"/>
      <c r="P661" s="371"/>
      <c r="Q661" s="371"/>
      <c r="R661" s="371"/>
      <c r="S661" s="371"/>
      <c r="T661" s="371"/>
      <c r="U661" s="371"/>
      <c r="V661" s="371"/>
    </row>
    <row r="662">
      <c r="A662" s="371"/>
      <c r="B662" s="307"/>
      <c r="C662" s="307"/>
      <c r="D662" s="307"/>
      <c r="E662" s="371"/>
      <c r="F662" s="307"/>
      <c r="G662" s="477"/>
      <c r="H662" s="371"/>
      <c r="I662" s="371"/>
      <c r="J662" s="371"/>
      <c r="K662" s="371"/>
      <c r="L662" s="371"/>
      <c r="M662" s="371"/>
      <c r="N662" s="371"/>
      <c r="O662" s="371"/>
      <c r="P662" s="371"/>
      <c r="Q662" s="371"/>
      <c r="R662" s="371"/>
      <c r="S662" s="371"/>
      <c r="T662" s="371"/>
      <c r="U662" s="371"/>
      <c r="V662" s="371"/>
    </row>
    <row r="663">
      <c r="A663" s="371"/>
      <c r="B663" s="307"/>
      <c r="C663" s="307"/>
      <c r="D663" s="307"/>
      <c r="E663" s="371"/>
      <c r="F663" s="307"/>
      <c r="G663" s="477"/>
      <c r="H663" s="371"/>
      <c r="I663" s="371"/>
      <c r="J663" s="371"/>
      <c r="K663" s="371"/>
      <c r="L663" s="371"/>
      <c r="M663" s="371"/>
      <c r="N663" s="371"/>
      <c r="O663" s="371"/>
      <c r="P663" s="371"/>
      <c r="Q663" s="371"/>
      <c r="R663" s="371"/>
      <c r="S663" s="371"/>
      <c r="T663" s="371"/>
      <c r="U663" s="371"/>
      <c r="V663" s="371"/>
    </row>
    <row r="664">
      <c r="A664" s="371"/>
      <c r="B664" s="307"/>
      <c r="C664" s="307"/>
      <c r="D664" s="307"/>
      <c r="E664" s="371"/>
      <c r="F664" s="307"/>
      <c r="G664" s="477"/>
      <c r="H664" s="371"/>
      <c r="I664" s="371"/>
      <c r="J664" s="371"/>
      <c r="K664" s="371"/>
      <c r="L664" s="371"/>
      <c r="M664" s="371"/>
      <c r="N664" s="371"/>
      <c r="O664" s="371"/>
      <c r="P664" s="371"/>
      <c r="Q664" s="371"/>
      <c r="R664" s="371"/>
      <c r="S664" s="371"/>
      <c r="T664" s="371"/>
      <c r="U664" s="371"/>
      <c r="V664" s="371"/>
    </row>
    <row r="665">
      <c r="A665" s="371"/>
      <c r="B665" s="307"/>
      <c r="C665" s="307"/>
      <c r="D665" s="307"/>
      <c r="E665" s="371"/>
      <c r="F665" s="307"/>
      <c r="G665" s="477"/>
      <c r="H665" s="371"/>
      <c r="I665" s="371"/>
      <c r="J665" s="371"/>
      <c r="K665" s="371"/>
      <c r="L665" s="371"/>
      <c r="M665" s="371"/>
      <c r="N665" s="371"/>
      <c r="O665" s="371"/>
      <c r="P665" s="371"/>
      <c r="Q665" s="371"/>
      <c r="R665" s="371"/>
      <c r="S665" s="371"/>
      <c r="T665" s="371"/>
      <c r="U665" s="371"/>
      <c r="V665" s="371"/>
    </row>
    <row r="666">
      <c r="A666" s="371"/>
      <c r="B666" s="307"/>
      <c r="C666" s="307"/>
      <c r="D666" s="307"/>
      <c r="E666" s="371"/>
      <c r="F666" s="307"/>
      <c r="G666" s="477"/>
      <c r="H666" s="371"/>
      <c r="I666" s="371"/>
      <c r="J666" s="371"/>
      <c r="K666" s="371"/>
      <c r="L666" s="371"/>
      <c r="M666" s="371"/>
      <c r="N666" s="371"/>
      <c r="O666" s="371"/>
      <c r="P666" s="371"/>
      <c r="Q666" s="371"/>
      <c r="R666" s="371"/>
      <c r="S666" s="371"/>
      <c r="T666" s="371"/>
      <c r="U666" s="371"/>
      <c r="V666" s="371"/>
    </row>
    <row r="667">
      <c r="A667" s="371"/>
      <c r="B667" s="307"/>
      <c r="C667" s="307"/>
      <c r="D667" s="307"/>
      <c r="E667" s="371"/>
      <c r="F667" s="307"/>
      <c r="G667" s="477"/>
      <c r="H667" s="371"/>
      <c r="I667" s="371"/>
      <c r="J667" s="371"/>
      <c r="K667" s="371"/>
      <c r="L667" s="371"/>
      <c r="M667" s="371"/>
      <c r="N667" s="371"/>
      <c r="O667" s="371"/>
      <c r="P667" s="371"/>
      <c r="Q667" s="371"/>
      <c r="R667" s="371"/>
      <c r="S667" s="371"/>
      <c r="T667" s="371"/>
      <c r="U667" s="371"/>
      <c r="V667" s="371"/>
    </row>
    <row r="668">
      <c r="A668" s="371"/>
      <c r="B668" s="307"/>
      <c r="C668" s="307"/>
      <c r="D668" s="307"/>
      <c r="E668" s="371"/>
      <c r="F668" s="307"/>
      <c r="G668" s="477"/>
      <c r="H668" s="371"/>
      <c r="I668" s="371"/>
      <c r="J668" s="371"/>
      <c r="K668" s="371"/>
      <c r="L668" s="371"/>
      <c r="M668" s="371"/>
      <c r="N668" s="371"/>
      <c r="O668" s="371"/>
      <c r="P668" s="371"/>
      <c r="Q668" s="371"/>
      <c r="R668" s="371"/>
      <c r="S668" s="371"/>
      <c r="T668" s="371"/>
      <c r="U668" s="371"/>
      <c r="V668" s="371"/>
    </row>
    <row r="669">
      <c r="A669" s="371"/>
      <c r="B669" s="307"/>
      <c r="C669" s="307"/>
      <c r="D669" s="307"/>
      <c r="E669" s="371"/>
      <c r="F669" s="307"/>
      <c r="G669" s="477"/>
      <c r="H669" s="371"/>
      <c r="I669" s="371"/>
      <c r="J669" s="371"/>
      <c r="K669" s="371"/>
      <c r="L669" s="371"/>
      <c r="M669" s="371"/>
      <c r="N669" s="371"/>
      <c r="O669" s="371"/>
      <c r="P669" s="371"/>
      <c r="Q669" s="371"/>
      <c r="R669" s="371"/>
      <c r="S669" s="371"/>
      <c r="T669" s="371"/>
      <c r="U669" s="371"/>
      <c r="V669" s="371"/>
    </row>
    <row r="670">
      <c r="A670" s="371"/>
      <c r="B670" s="307"/>
      <c r="C670" s="307"/>
      <c r="D670" s="307"/>
      <c r="E670" s="371"/>
      <c r="F670" s="307"/>
      <c r="G670" s="477"/>
      <c r="H670" s="371"/>
      <c r="I670" s="371"/>
      <c r="J670" s="371"/>
      <c r="K670" s="371"/>
      <c r="L670" s="371"/>
      <c r="M670" s="371"/>
      <c r="N670" s="371"/>
      <c r="O670" s="371"/>
      <c r="P670" s="371"/>
      <c r="Q670" s="371"/>
      <c r="R670" s="371"/>
      <c r="S670" s="371"/>
      <c r="T670" s="371"/>
      <c r="U670" s="371"/>
      <c r="V670" s="371"/>
    </row>
    <row r="671">
      <c r="A671" s="371"/>
      <c r="B671" s="307"/>
      <c r="C671" s="307"/>
      <c r="D671" s="307"/>
      <c r="E671" s="371"/>
      <c r="F671" s="307"/>
      <c r="G671" s="477"/>
      <c r="H671" s="371"/>
      <c r="I671" s="371"/>
      <c r="J671" s="371"/>
      <c r="K671" s="371"/>
      <c r="L671" s="371"/>
      <c r="M671" s="371"/>
      <c r="N671" s="371"/>
      <c r="O671" s="371"/>
      <c r="P671" s="371"/>
      <c r="Q671" s="371"/>
      <c r="R671" s="371"/>
      <c r="S671" s="371"/>
      <c r="T671" s="371"/>
      <c r="U671" s="371"/>
      <c r="V671" s="371"/>
    </row>
    <row r="672">
      <c r="A672" s="371"/>
      <c r="B672" s="307"/>
      <c r="C672" s="307"/>
      <c r="D672" s="307"/>
      <c r="E672" s="371"/>
      <c r="F672" s="307"/>
      <c r="G672" s="477"/>
      <c r="H672" s="371"/>
      <c r="I672" s="371"/>
      <c r="J672" s="371"/>
      <c r="K672" s="371"/>
      <c r="L672" s="371"/>
      <c r="M672" s="371"/>
      <c r="N672" s="371"/>
      <c r="O672" s="371"/>
      <c r="P672" s="371"/>
      <c r="Q672" s="371"/>
      <c r="R672" s="371"/>
      <c r="S672" s="371"/>
      <c r="T672" s="371"/>
      <c r="U672" s="371"/>
      <c r="V672" s="371"/>
    </row>
    <row r="673">
      <c r="A673" s="371"/>
      <c r="B673" s="307"/>
      <c r="C673" s="307"/>
      <c r="D673" s="307"/>
      <c r="E673" s="371"/>
      <c r="F673" s="307"/>
      <c r="G673" s="477"/>
      <c r="H673" s="371"/>
      <c r="I673" s="371"/>
      <c r="J673" s="371"/>
      <c r="K673" s="371"/>
      <c r="L673" s="371"/>
      <c r="M673" s="371"/>
      <c r="N673" s="371"/>
      <c r="O673" s="371"/>
      <c r="P673" s="371"/>
      <c r="Q673" s="371"/>
      <c r="R673" s="371"/>
      <c r="S673" s="371"/>
      <c r="T673" s="371"/>
      <c r="U673" s="371"/>
      <c r="V673" s="371"/>
    </row>
    <row r="674">
      <c r="A674" s="371"/>
      <c r="B674" s="307"/>
      <c r="C674" s="307"/>
      <c r="D674" s="307"/>
      <c r="E674" s="371"/>
      <c r="F674" s="307"/>
      <c r="G674" s="477"/>
      <c r="H674" s="371"/>
      <c r="I674" s="371"/>
      <c r="J674" s="371"/>
      <c r="K674" s="371"/>
      <c r="L674" s="371"/>
      <c r="M674" s="371"/>
      <c r="N674" s="371"/>
      <c r="O674" s="371"/>
      <c r="P674" s="371"/>
      <c r="Q674" s="371"/>
      <c r="R674" s="371"/>
      <c r="S674" s="371"/>
      <c r="T674" s="371"/>
      <c r="U674" s="371"/>
      <c r="V674" s="371"/>
    </row>
    <row r="675">
      <c r="A675" s="371"/>
      <c r="B675" s="307"/>
      <c r="C675" s="307"/>
      <c r="D675" s="307"/>
      <c r="E675" s="371"/>
      <c r="F675" s="307"/>
      <c r="G675" s="477"/>
      <c r="H675" s="371"/>
      <c r="I675" s="371"/>
      <c r="J675" s="371"/>
      <c r="K675" s="371"/>
      <c r="L675" s="371"/>
      <c r="M675" s="371"/>
      <c r="N675" s="371"/>
      <c r="O675" s="371"/>
      <c r="P675" s="371"/>
      <c r="Q675" s="371"/>
      <c r="R675" s="371"/>
      <c r="S675" s="371"/>
      <c r="T675" s="371"/>
      <c r="U675" s="371"/>
      <c r="V675" s="371"/>
    </row>
    <row r="676">
      <c r="A676" s="371"/>
      <c r="B676" s="307"/>
      <c r="C676" s="307"/>
      <c r="D676" s="307"/>
      <c r="E676" s="371"/>
      <c r="F676" s="307"/>
      <c r="G676" s="477"/>
      <c r="H676" s="371"/>
      <c r="I676" s="371"/>
      <c r="J676" s="371"/>
      <c r="K676" s="371"/>
      <c r="L676" s="371"/>
      <c r="M676" s="371"/>
      <c r="N676" s="371"/>
      <c r="O676" s="371"/>
      <c r="P676" s="371"/>
      <c r="Q676" s="371"/>
      <c r="R676" s="371"/>
      <c r="S676" s="371"/>
      <c r="T676" s="371"/>
      <c r="U676" s="371"/>
      <c r="V676" s="371"/>
    </row>
    <row r="677">
      <c r="A677" s="371"/>
      <c r="B677" s="307"/>
      <c r="C677" s="307"/>
      <c r="D677" s="307"/>
      <c r="E677" s="371"/>
      <c r="F677" s="307"/>
      <c r="G677" s="477"/>
      <c r="H677" s="371"/>
      <c r="I677" s="371"/>
      <c r="J677" s="371"/>
      <c r="K677" s="371"/>
      <c r="L677" s="371"/>
      <c r="M677" s="371"/>
      <c r="N677" s="371"/>
      <c r="O677" s="371"/>
      <c r="P677" s="371"/>
      <c r="Q677" s="371"/>
      <c r="R677" s="371"/>
      <c r="S677" s="371"/>
      <c r="T677" s="371"/>
      <c r="U677" s="371"/>
      <c r="V677" s="371"/>
    </row>
    <row r="678">
      <c r="A678" s="371"/>
      <c r="B678" s="307"/>
      <c r="C678" s="307"/>
      <c r="D678" s="307"/>
      <c r="E678" s="371"/>
      <c r="F678" s="307"/>
      <c r="G678" s="477"/>
      <c r="H678" s="371"/>
      <c r="I678" s="371"/>
      <c r="J678" s="371"/>
      <c r="K678" s="371"/>
      <c r="L678" s="371"/>
      <c r="M678" s="371"/>
      <c r="N678" s="371"/>
      <c r="O678" s="371"/>
      <c r="P678" s="371"/>
      <c r="Q678" s="371"/>
      <c r="R678" s="371"/>
      <c r="S678" s="371"/>
      <c r="T678" s="371"/>
      <c r="U678" s="371"/>
      <c r="V678" s="371"/>
    </row>
    <row r="679">
      <c r="A679" s="371"/>
      <c r="B679" s="307"/>
      <c r="C679" s="307"/>
      <c r="D679" s="307"/>
      <c r="E679" s="371"/>
      <c r="F679" s="307"/>
      <c r="G679" s="477"/>
      <c r="H679" s="371"/>
      <c r="I679" s="371"/>
      <c r="J679" s="371"/>
      <c r="K679" s="371"/>
      <c r="L679" s="371"/>
      <c r="M679" s="371"/>
      <c r="N679" s="371"/>
      <c r="O679" s="371"/>
      <c r="P679" s="371"/>
      <c r="Q679" s="371"/>
      <c r="R679" s="371"/>
      <c r="S679" s="371"/>
      <c r="T679" s="371"/>
      <c r="U679" s="371"/>
      <c r="V679" s="371"/>
    </row>
    <row r="680">
      <c r="A680" s="371"/>
      <c r="B680" s="307"/>
      <c r="C680" s="307"/>
      <c r="D680" s="307"/>
      <c r="E680" s="371"/>
      <c r="F680" s="307"/>
      <c r="G680" s="477"/>
      <c r="H680" s="371"/>
      <c r="I680" s="371"/>
      <c r="J680" s="371"/>
      <c r="K680" s="371"/>
      <c r="L680" s="371"/>
      <c r="M680" s="371"/>
      <c r="N680" s="371"/>
      <c r="O680" s="371"/>
      <c r="P680" s="371"/>
      <c r="Q680" s="371"/>
      <c r="R680" s="371"/>
      <c r="S680" s="371"/>
      <c r="T680" s="371"/>
      <c r="U680" s="371"/>
      <c r="V680" s="371"/>
    </row>
    <row r="681">
      <c r="A681" s="371"/>
      <c r="B681" s="307"/>
      <c r="C681" s="307"/>
      <c r="D681" s="307"/>
      <c r="E681" s="371"/>
      <c r="F681" s="307"/>
      <c r="G681" s="477"/>
      <c r="H681" s="371"/>
      <c r="I681" s="371"/>
      <c r="J681" s="371"/>
      <c r="K681" s="371"/>
      <c r="L681" s="371"/>
      <c r="M681" s="371"/>
      <c r="N681" s="371"/>
      <c r="O681" s="371"/>
      <c r="P681" s="371"/>
      <c r="Q681" s="371"/>
      <c r="R681" s="371"/>
      <c r="S681" s="371"/>
      <c r="T681" s="371"/>
      <c r="U681" s="371"/>
      <c r="V681" s="371"/>
    </row>
    <row r="682">
      <c r="A682" s="371"/>
      <c r="B682" s="307"/>
      <c r="C682" s="307"/>
      <c r="D682" s="307"/>
      <c r="E682" s="371"/>
      <c r="F682" s="307"/>
      <c r="G682" s="477"/>
      <c r="H682" s="371"/>
      <c r="I682" s="371"/>
      <c r="J682" s="371"/>
      <c r="K682" s="371"/>
      <c r="L682" s="371"/>
      <c r="M682" s="371"/>
      <c r="N682" s="371"/>
      <c r="O682" s="371"/>
      <c r="P682" s="371"/>
      <c r="Q682" s="371"/>
      <c r="R682" s="371"/>
      <c r="S682" s="371"/>
      <c r="T682" s="371"/>
      <c r="U682" s="371"/>
      <c r="V682" s="371"/>
    </row>
    <row r="683">
      <c r="A683" s="371"/>
      <c r="B683" s="307"/>
      <c r="C683" s="307"/>
      <c r="D683" s="307"/>
      <c r="E683" s="371"/>
      <c r="F683" s="307"/>
      <c r="G683" s="477"/>
      <c r="H683" s="371"/>
      <c r="I683" s="371"/>
      <c r="J683" s="371"/>
      <c r="K683" s="371"/>
      <c r="L683" s="371"/>
      <c r="M683" s="371"/>
      <c r="N683" s="371"/>
      <c r="O683" s="371"/>
      <c r="P683" s="371"/>
      <c r="Q683" s="371"/>
      <c r="R683" s="371"/>
      <c r="S683" s="371"/>
      <c r="T683" s="371"/>
      <c r="U683" s="371"/>
      <c r="V683" s="371"/>
    </row>
    <row r="684">
      <c r="A684" s="371"/>
      <c r="B684" s="307"/>
      <c r="C684" s="307"/>
      <c r="D684" s="307"/>
      <c r="E684" s="371"/>
      <c r="F684" s="307"/>
      <c r="G684" s="477"/>
      <c r="H684" s="371"/>
      <c r="I684" s="371"/>
      <c r="J684" s="371"/>
      <c r="K684" s="371"/>
      <c r="L684" s="371"/>
      <c r="M684" s="371"/>
      <c r="N684" s="371"/>
      <c r="O684" s="371"/>
      <c r="P684" s="371"/>
      <c r="Q684" s="371"/>
      <c r="R684" s="371"/>
      <c r="S684" s="371"/>
      <c r="T684" s="371"/>
      <c r="U684" s="371"/>
      <c r="V684" s="371"/>
    </row>
    <row r="685">
      <c r="A685" s="371"/>
      <c r="B685" s="307"/>
      <c r="C685" s="307"/>
      <c r="D685" s="307"/>
      <c r="E685" s="371"/>
      <c r="F685" s="307"/>
      <c r="G685" s="477"/>
      <c r="H685" s="371"/>
      <c r="I685" s="371"/>
      <c r="J685" s="371"/>
      <c r="K685" s="371"/>
      <c r="L685" s="371"/>
      <c r="M685" s="371"/>
      <c r="N685" s="371"/>
      <c r="O685" s="371"/>
      <c r="P685" s="371"/>
      <c r="Q685" s="371"/>
      <c r="R685" s="371"/>
      <c r="S685" s="371"/>
      <c r="T685" s="371"/>
      <c r="U685" s="371"/>
      <c r="V685" s="371"/>
    </row>
    <row r="686">
      <c r="A686" s="371"/>
      <c r="B686" s="307"/>
      <c r="C686" s="307"/>
      <c r="D686" s="307"/>
      <c r="E686" s="371"/>
      <c r="F686" s="307"/>
      <c r="G686" s="477"/>
      <c r="H686" s="371"/>
      <c r="I686" s="371"/>
      <c r="J686" s="371"/>
      <c r="K686" s="371"/>
      <c r="L686" s="371"/>
      <c r="M686" s="371"/>
      <c r="N686" s="371"/>
      <c r="O686" s="371"/>
      <c r="P686" s="371"/>
      <c r="Q686" s="371"/>
      <c r="R686" s="371"/>
      <c r="S686" s="371"/>
      <c r="T686" s="371"/>
      <c r="U686" s="371"/>
      <c r="V686" s="371"/>
    </row>
    <row r="687">
      <c r="A687" s="371"/>
      <c r="B687" s="307"/>
      <c r="C687" s="307"/>
      <c r="D687" s="307"/>
      <c r="E687" s="371"/>
      <c r="F687" s="307"/>
      <c r="G687" s="477"/>
      <c r="H687" s="371"/>
      <c r="I687" s="371"/>
      <c r="J687" s="371"/>
      <c r="K687" s="371"/>
      <c r="L687" s="371"/>
      <c r="M687" s="371"/>
      <c r="N687" s="371"/>
      <c r="O687" s="371"/>
      <c r="P687" s="371"/>
      <c r="Q687" s="371"/>
      <c r="R687" s="371"/>
      <c r="S687" s="371"/>
      <c r="T687" s="371"/>
      <c r="U687" s="371"/>
      <c r="V687" s="371"/>
    </row>
    <row r="688">
      <c r="A688" s="371"/>
      <c r="B688" s="307"/>
      <c r="C688" s="307"/>
      <c r="D688" s="307"/>
      <c r="E688" s="371"/>
      <c r="F688" s="307"/>
      <c r="G688" s="477"/>
      <c r="H688" s="371"/>
      <c r="I688" s="371"/>
      <c r="J688" s="371"/>
      <c r="K688" s="371"/>
      <c r="L688" s="371"/>
      <c r="M688" s="371"/>
      <c r="N688" s="371"/>
      <c r="O688" s="371"/>
      <c r="P688" s="371"/>
      <c r="Q688" s="371"/>
      <c r="R688" s="371"/>
      <c r="S688" s="371"/>
      <c r="T688" s="371"/>
      <c r="U688" s="371"/>
      <c r="V688" s="371"/>
    </row>
    <row r="689">
      <c r="A689" s="371"/>
      <c r="B689" s="307"/>
      <c r="C689" s="307"/>
      <c r="D689" s="307"/>
      <c r="E689" s="371"/>
      <c r="F689" s="307"/>
      <c r="G689" s="477"/>
      <c r="H689" s="371"/>
      <c r="I689" s="371"/>
      <c r="J689" s="371"/>
      <c r="K689" s="371"/>
      <c r="L689" s="371"/>
      <c r="M689" s="371"/>
      <c r="N689" s="371"/>
      <c r="O689" s="371"/>
      <c r="P689" s="371"/>
      <c r="Q689" s="371"/>
      <c r="R689" s="371"/>
      <c r="S689" s="371"/>
      <c r="T689" s="371"/>
      <c r="U689" s="371"/>
      <c r="V689" s="371"/>
    </row>
    <row r="690">
      <c r="A690" s="371"/>
      <c r="B690" s="307"/>
      <c r="C690" s="307"/>
      <c r="D690" s="307"/>
      <c r="E690" s="371"/>
      <c r="F690" s="307"/>
      <c r="G690" s="477"/>
      <c r="H690" s="371"/>
      <c r="I690" s="371"/>
      <c r="J690" s="371"/>
      <c r="K690" s="371"/>
      <c r="L690" s="371"/>
      <c r="M690" s="371"/>
      <c r="N690" s="371"/>
      <c r="O690" s="371"/>
      <c r="P690" s="371"/>
      <c r="Q690" s="371"/>
      <c r="R690" s="371"/>
      <c r="S690" s="371"/>
      <c r="T690" s="371"/>
      <c r="U690" s="371"/>
      <c r="V690" s="371"/>
    </row>
    <row r="691">
      <c r="A691" s="371"/>
      <c r="B691" s="307"/>
      <c r="C691" s="307"/>
      <c r="D691" s="307"/>
      <c r="E691" s="371"/>
      <c r="F691" s="307"/>
      <c r="G691" s="477"/>
      <c r="H691" s="371"/>
      <c r="I691" s="371"/>
      <c r="J691" s="371"/>
      <c r="K691" s="371"/>
      <c r="L691" s="371"/>
      <c r="M691" s="371"/>
      <c r="N691" s="371"/>
      <c r="O691" s="371"/>
      <c r="P691" s="371"/>
      <c r="Q691" s="371"/>
      <c r="R691" s="371"/>
      <c r="S691" s="371"/>
      <c r="T691" s="371"/>
      <c r="U691" s="371"/>
      <c r="V691" s="371"/>
    </row>
    <row r="692">
      <c r="A692" s="371"/>
      <c r="B692" s="307"/>
      <c r="C692" s="307"/>
      <c r="D692" s="307"/>
      <c r="E692" s="371"/>
      <c r="F692" s="307"/>
      <c r="G692" s="477"/>
      <c r="H692" s="371"/>
      <c r="I692" s="371"/>
      <c r="J692" s="371"/>
      <c r="K692" s="371"/>
      <c r="L692" s="371"/>
      <c r="M692" s="371"/>
      <c r="N692" s="371"/>
      <c r="O692" s="371"/>
      <c r="P692" s="371"/>
      <c r="Q692" s="371"/>
      <c r="R692" s="371"/>
      <c r="S692" s="371"/>
      <c r="T692" s="371"/>
      <c r="U692" s="371"/>
      <c r="V692" s="371"/>
    </row>
    <row r="693">
      <c r="A693" s="371"/>
      <c r="B693" s="307"/>
      <c r="C693" s="307"/>
      <c r="D693" s="307"/>
      <c r="E693" s="371"/>
      <c r="F693" s="307"/>
      <c r="G693" s="477"/>
      <c r="H693" s="371"/>
      <c r="I693" s="371"/>
      <c r="J693" s="371"/>
      <c r="K693" s="371"/>
      <c r="L693" s="371"/>
      <c r="M693" s="371"/>
      <c r="N693" s="371"/>
      <c r="O693" s="371"/>
      <c r="P693" s="371"/>
      <c r="Q693" s="371"/>
      <c r="R693" s="371"/>
      <c r="S693" s="371"/>
      <c r="T693" s="371"/>
      <c r="U693" s="371"/>
      <c r="V693" s="371"/>
    </row>
    <row r="694">
      <c r="A694" s="371"/>
      <c r="B694" s="307"/>
      <c r="C694" s="307"/>
      <c r="D694" s="307"/>
      <c r="E694" s="371"/>
      <c r="F694" s="307"/>
      <c r="G694" s="477"/>
      <c r="H694" s="371"/>
      <c r="I694" s="371"/>
      <c r="J694" s="371"/>
      <c r="K694" s="371"/>
      <c r="L694" s="371"/>
      <c r="M694" s="371"/>
      <c r="N694" s="371"/>
      <c r="O694" s="371"/>
      <c r="P694" s="371"/>
      <c r="Q694" s="371"/>
      <c r="R694" s="371"/>
      <c r="S694" s="371"/>
      <c r="T694" s="371"/>
      <c r="U694" s="371"/>
      <c r="V694" s="371"/>
    </row>
    <row r="695">
      <c r="A695" s="371"/>
      <c r="B695" s="307"/>
      <c r="C695" s="307"/>
      <c r="D695" s="307"/>
      <c r="E695" s="371"/>
      <c r="F695" s="307"/>
      <c r="G695" s="477"/>
      <c r="H695" s="371"/>
      <c r="I695" s="371"/>
      <c r="J695" s="371"/>
      <c r="K695" s="371"/>
      <c r="L695" s="371"/>
      <c r="M695" s="371"/>
      <c r="N695" s="371"/>
      <c r="O695" s="371"/>
      <c r="P695" s="371"/>
      <c r="Q695" s="371"/>
      <c r="R695" s="371"/>
      <c r="S695" s="371"/>
      <c r="T695" s="371"/>
      <c r="U695" s="371"/>
      <c r="V695" s="371"/>
    </row>
    <row r="696">
      <c r="A696" s="371"/>
      <c r="B696" s="307"/>
      <c r="C696" s="307"/>
      <c r="D696" s="307"/>
      <c r="E696" s="371"/>
      <c r="F696" s="307"/>
      <c r="G696" s="477"/>
      <c r="H696" s="371"/>
      <c r="I696" s="371"/>
      <c r="J696" s="371"/>
      <c r="K696" s="371"/>
      <c r="L696" s="371"/>
      <c r="M696" s="371"/>
      <c r="N696" s="371"/>
      <c r="O696" s="371"/>
      <c r="P696" s="371"/>
      <c r="Q696" s="371"/>
      <c r="R696" s="371"/>
      <c r="S696" s="371"/>
      <c r="T696" s="371"/>
      <c r="U696" s="371"/>
      <c r="V696" s="371"/>
    </row>
    <row r="697">
      <c r="A697" s="371"/>
      <c r="B697" s="307"/>
      <c r="C697" s="307"/>
      <c r="D697" s="307"/>
      <c r="E697" s="371"/>
      <c r="F697" s="307"/>
      <c r="G697" s="477"/>
      <c r="H697" s="371"/>
      <c r="I697" s="371"/>
      <c r="J697" s="371"/>
      <c r="K697" s="371"/>
      <c r="L697" s="371"/>
      <c r="M697" s="371"/>
      <c r="N697" s="371"/>
      <c r="O697" s="371"/>
      <c r="P697" s="371"/>
      <c r="Q697" s="371"/>
      <c r="R697" s="371"/>
      <c r="S697" s="371"/>
      <c r="T697" s="371"/>
      <c r="U697" s="371"/>
      <c r="V697" s="371"/>
    </row>
    <row r="698">
      <c r="A698" s="371"/>
      <c r="B698" s="307"/>
      <c r="C698" s="307"/>
      <c r="D698" s="307"/>
      <c r="E698" s="371"/>
      <c r="F698" s="307"/>
      <c r="G698" s="477"/>
      <c r="H698" s="371"/>
      <c r="I698" s="371"/>
      <c r="J698" s="371"/>
      <c r="K698" s="371"/>
      <c r="L698" s="371"/>
      <c r="M698" s="371"/>
      <c r="N698" s="371"/>
      <c r="O698" s="371"/>
      <c r="P698" s="371"/>
      <c r="Q698" s="371"/>
      <c r="R698" s="371"/>
      <c r="S698" s="371"/>
      <c r="T698" s="371"/>
      <c r="U698" s="371"/>
      <c r="V698" s="371"/>
    </row>
    <row r="699">
      <c r="A699" s="371"/>
      <c r="B699" s="307"/>
      <c r="C699" s="307"/>
      <c r="D699" s="307"/>
      <c r="E699" s="371"/>
      <c r="F699" s="307"/>
      <c r="G699" s="477"/>
      <c r="H699" s="371"/>
      <c r="I699" s="371"/>
      <c r="J699" s="371"/>
      <c r="K699" s="371"/>
      <c r="L699" s="371"/>
      <c r="M699" s="371"/>
      <c r="N699" s="371"/>
      <c r="O699" s="371"/>
      <c r="P699" s="371"/>
      <c r="Q699" s="371"/>
      <c r="R699" s="371"/>
      <c r="S699" s="371"/>
      <c r="T699" s="371"/>
      <c r="U699" s="371"/>
      <c r="V699" s="371"/>
    </row>
    <row r="700">
      <c r="A700" s="371"/>
      <c r="B700" s="307"/>
      <c r="C700" s="307"/>
      <c r="D700" s="307"/>
      <c r="E700" s="371"/>
      <c r="F700" s="307"/>
      <c r="G700" s="477"/>
      <c r="H700" s="371"/>
      <c r="I700" s="371"/>
      <c r="J700" s="371"/>
      <c r="K700" s="371"/>
      <c r="L700" s="371"/>
      <c r="M700" s="371"/>
      <c r="N700" s="371"/>
      <c r="O700" s="371"/>
      <c r="P700" s="371"/>
      <c r="Q700" s="371"/>
      <c r="R700" s="371"/>
      <c r="S700" s="371"/>
      <c r="T700" s="371"/>
      <c r="U700" s="371"/>
      <c r="V700" s="371"/>
    </row>
    <row r="701">
      <c r="A701" s="371"/>
      <c r="B701" s="307"/>
      <c r="C701" s="307"/>
      <c r="D701" s="307"/>
      <c r="E701" s="371"/>
      <c r="F701" s="307"/>
      <c r="G701" s="477"/>
      <c r="H701" s="371"/>
      <c r="I701" s="371"/>
      <c r="J701" s="371"/>
      <c r="K701" s="371"/>
      <c r="L701" s="371"/>
      <c r="M701" s="371"/>
      <c r="N701" s="371"/>
      <c r="O701" s="371"/>
      <c r="P701" s="371"/>
      <c r="Q701" s="371"/>
      <c r="R701" s="371"/>
      <c r="S701" s="371"/>
      <c r="T701" s="371"/>
      <c r="U701" s="371"/>
      <c r="V701" s="371"/>
    </row>
    <row r="702">
      <c r="A702" s="371"/>
      <c r="B702" s="307"/>
      <c r="C702" s="307"/>
      <c r="D702" s="307"/>
      <c r="E702" s="371"/>
      <c r="F702" s="307"/>
      <c r="G702" s="477"/>
      <c r="H702" s="371"/>
      <c r="I702" s="371"/>
      <c r="J702" s="371"/>
      <c r="K702" s="371"/>
      <c r="L702" s="371"/>
      <c r="M702" s="371"/>
      <c r="N702" s="371"/>
      <c r="O702" s="371"/>
      <c r="P702" s="371"/>
      <c r="Q702" s="371"/>
      <c r="R702" s="371"/>
      <c r="S702" s="371"/>
      <c r="T702" s="371"/>
      <c r="U702" s="371"/>
      <c r="V702" s="371"/>
    </row>
    <row r="703">
      <c r="A703" s="371"/>
      <c r="B703" s="307"/>
      <c r="C703" s="307"/>
      <c r="D703" s="307"/>
      <c r="E703" s="371"/>
      <c r="F703" s="307"/>
      <c r="G703" s="477"/>
      <c r="H703" s="371"/>
      <c r="I703" s="371"/>
      <c r="J703" s="371"/>
      <c r="K703" s="371"/>
      <c r="L703" s="371"/>
      <c r="M703" s="371"/>
      <c r="N703" s="371"/>
      <c r="O703" s="371"/>
      <c r="P703" s="371"/>
      <c r="Q703" s="371"/>
      <c r="R703" s="371"/>
      <c r="S703" s="371"/>
      <c r="T703" s="371"/>
      <c r="U703" s="371"/>
      <c r="V703" s="371"/>
    </row>
    <row r="704">
      <c r="A704" s="371"/>
      <c r="B704" s="307"/>
      <c r="C704" s="307"/>
      <c r="D704" s="307"/>
      <c r="E704" s="371"/>
      <c r="F704" s="307"/>
      <c r="G704" s="477"/>
      <c r="H704" s="371"/>
      <c r="I704" s="371"/>
      <c r="J704" s="371"/>
      <c r="K704" s="371"/>
      <c r="L704" s="371"/>
      <c r="M704" s="371"/>
      <c r="N704" s="371"/>
      <c r="O704" s="371"/>
      <c r="P704" s="371"/>
      <c r="Q704" s="371"/>
      <c r="R704" s="371"/>
      <c r="S704" s="371"/>
      <c r="T704" s="371"/>
      <c r="U704" s="371"/>
      <c r="V704" s="371"/>
    </row>
    <row r="705">
      <c r="A705" s="371"/>
      <c r="B705" s="307"/>
      <c r="C705" s="307"/>
      <c r="D705" s="307"/>
      <c r="E705" s="371"/>
      <c r="F705" s="307"/>
      <c r="G705" s="477"/>
      <c r="H705" s="371"/>
      <c r="I705" s="371"/>
      <c r="J705" s="371"/>
      <c r="K705" s="371"/>
      <c r="L705" s="371"/>
      <c r="M705" s="371"/>
      <c r="N705" s="371"/>
      <c r="O705" s="371"/>
      <c r="P705" s="371"/>
      <c r="Q705" s="371"/>
      <c r="R705" s="371"/>
      <c r="S705" s="371"/>
      <c r="T705" s="371"/>
      <c r="U705" s="371"/>
      <c r="V705" s="371"/>
    </row>
    <row r="706">
      <c r="A706" s="371"/>
      <c r="B706" s="307"/>
      <c r="C706" s="307"/>
      <c r="D706" s="307"/>
      <c r="E706" s="371"/>
      <c r="F706" s="307"/>
      <c r="G706" s="477"/>
      <c r="H706" s="371"/>
      <c r="I706" s="371"/>
      <c r="J706" s="371"/>
      <c r="K706" s="371"/>
      <c r="L706" s="371"/>
      <c r="M706" s="371"/>
      <c r="N706" s="371"/>
      <c r="O706" s="371"/>
      <c r="P706" s="371"/>
      <c r="Q706" s="371"/>
      <c r="R706" s="371"/>
      <c r="S706" s="371"/>
      <c r="T706" s="371"/>
      <c r="U706" s="371"/>
      <c r="V706" s="371"/>
    </row>
    <row r="707">
      <c r="A707" s="371"/>
      <c r="B707" s="307"/>
      <c r="C707" s="307"/>
      <c r="D707" s="307"/>
      <c r="E707" s="371"/>
      <c r="F707" s="307"/>
      <c r="G707" s="477"/>
      <c r="H707" s="371"/>
      <c r="I707" s="371"/>
      <c r="J707" s="371"/>
      <c r="K707" s="371"/>
      <c r="L707" s="371"/>
      <c r="M707" s="371"/>
      <c r="N707" s="371"/>
      <c r="O707" s="371"/>
      <c r="P707" s="371"/>
      <c r="Q707" s="371"/>
      <c r="R707" s="371"/>
      <c r="S707" s="371"/>
      <c r="T707" s="371"/>
      <c r="U707" s="371"/>
      <c r="V707" s="371"/>
    </row>
    <row r="708">
      <c r="A708" s="371"/>
      <c r="B708" s="307"/>
      <c r="C708" s="307"/>
      <c r="D708" s="307"/>
      <c r="E708" s="371"/>
      <c r="F708" s="307"/>
      <c r="G708" s="477"/>
      <c r="H708" s="371"/>
      <c r="I708" s="371"/>
      <c r="J708" s="371"/>
      <c r="K708" s="371"/>
      <c r="L708" s="371"/>
      <c r="M708" s="371"/>
      <c r="N708" s="371"/>
      <c r="O708" s="371"/>
      <c r="P708" s="371"/>
      <c r="Q708" s="371"/>
      <c r="R708" s="371"/>
      <c r="S708" s="371"/>
      <c r="T708" s="371"/>
      <c r="U708" s="371"/>
      <c r="V708" s="371"/>
    </row>
    <row r="709">
      <c r="A709" s="371"/>
      <c r="B709" s="307"/>
      <c r="C709" s="307"/>
      <c r="D709" s="307"/>
      <c r="E709" s="371"/>
      <c r="F709" s="307"/>
      <c r="G709" s="477"/>
      <c r="H709" s="371"/>
      <c r="I709" s="371"/>
      <c r="J709" s="371"/>
      <c r="K709" s="371"/>
      <c r="L709" s="371"/>
      <c r="M709" s="371"/>
      <c r="N709" s="371"/>
      <c r="O709" s="371"/>
      <c r="P709" s="371"/>
      <c r="Q709" s="371"/>
      <c r="R709" s="371"/>
      <c r="S709" s="371"/>
      <c r="T709" s="371"/>
      <c r="U709" s="371"/>
      <c r="V709" s="371"/>
    </row>
    <row r="710">
      <c r="A710" s="371"/>
      <c r="B710" s="307"/>
      <c r="C710" s="307"/>
      <c r="D710" s="307"/>
      <c r="E710" s="371"/>
      <c r="F710" s="307"/>
      <c r="G710" s="477"/>
      <c r="H710" s="371"/>
      <c r="I710" s="371"/>
      <c r="J710" s="371"/>
      <c r="K710" s="371"/>
      <c r="L710" s="371"/>
      <c r="M710" s="371"/>
      <c r="N710" s="371"/>
      <c r="O710" s="371"/>
      <c r="P710" s="371"/>
      <c r="Q710" s="371"/>
      <c r="R710" s="371"/>
      <c r="S710" s="371"/>
      <c r="T710" s="371"/>
      <c r="U710" s="371"/>
      <c r="V710" s="371"/>
    </row>
    <row r="711">
      <c r="A711" s="371"/>
      <c r="B711" s="307"/>
      <c r="C711" s="307"/>
      <c r="D711" s="307"/>
      <c r="E711" s="371"/>
      <c r="F711" s="307"/>
      <c r="G711" s="477"/>
      <c r="H711" s="371"/>
      <c r="I711" s="371"/>
      <c r="J711" s="371"/>
      <c r="K711" s="371"/>
      <c r="L711" s="371"/>
      <c r="M711" s="371"/>
      <c r="N711" s="371"/>
      <c r="O711" s="371"/>
      <c r="P711" s="371"/>
      <c r="Q711" s="371"/>
      <c r="R711" s="371"/>
      <c r="S711" s="371"/>
      <c r="T711" s="371"/>
      <c r="U711" s="371"/>
      <c r="V711" s="371"/>
    </row>
    <row r="712">
      <c r="A712" s="371"/>
      <c r="B712" s="307"/>
      <c r="C712" s="307"/>
      <c r="D712" s="307"/>
      <c r="E712" s="371"/>
      <c r="F712" s="307"/>
      <c r="G712" s="477"/>
      <c r="H712" s="371"/>
      <c r="I712" s="371"/>
      <c r="J712" s="371"/>
      <c r="K712" s="371"/>
      <c r="L712" s="371"/>
      <c r="M712" s="371"/>
      <c r="N712" s="371"/>
      <c r="O712" s="371"/>
      <c r="P712" s="371"/>
      <c r="Q712" s="371"/>
      <c r="R712" s="371"/>
      <c r="S712" s="371"/>
      <c r="T712" s="371"/>
      <c r="U712" s="371"/>
      <c r="V712" s="371"/>
    </row>
    <row r="713">
      <c r="A713" s="371"/>
      <c r="B713" s="307"/>
      <c r="C713" s="307"/>
      <c r="D713" s="307"/>
      <c r="E713" s="371"/>
      <c r="F713" s="307"/>
      <c r="G713" s="477"/>
      <c r="H713" s="371"/>
      <c r="I713" s="371"/>
      <c r="J713" s="371"/>
      <c r="K713" s="371"/>
      <c r="L713" s="371"/>
      <c r="M713" s="371"/>
      <c r="N713" s="371"/>
      <c r="O713" s="371"/>
      <c r="P713" s="371"/>
      <c r="Q713" s="371"/>
      <c r="R713" s="371"/>
      <c r="S713" s="371"/>
      <c r="T713" s="371"/>
      <c r="U713" s="371"/>
      <c r="V713" s="371"/>
    </row>
    <row r="714">
      <c r="A714" s="371"/>
      <c r="B714" s="307"/>
      <c r="C714" s="307"/>
      <c r="D714" s="307"/>
      <c r="E714" s="371"/>
      <c r="F714" s="307"/>
      <c r="G714" s="477"/>
      <c r="H714" s="371"/>
      <c r="I714" s="371"/>
      <c r="J714" s="371"/>
      <c r="K714" s="371"/>
      <c r="L714" s="371"/>
      <c r="M714" s="371"/>
      <c r="N714" s="371"/>
      <c r="O714" s="371"/>
      <c r="P714" s="371"/>
      <c r="Q714" s="371"/>
      <c r="R714" s="371"/>
      <c r="S714" s="371"/>
      <c r="T714" s="371"/>
      <c r="U714" s="371"/>
      <c r="V714" s="371"/>
    </row>
    <row r="715">
      <c r="A715" s="371"/>
      <c r="B715" s="307"/>
      <c r="C715" s="307"/>
      <c r="D715" s="307"/>
      <c r="E715" s="371"/>
      <c r="F715" s="307"/>
      <c r="G715" s="477"/>
      <c r="H715" s="371"/>
      <c r="I715" s="371"/>
      <c r="J715" s="371"/>
      <c r="K715" s="371"/>
      <c r="L715" s="371"/>
      <c r="M715" s="371"/>
      <c r="N715" s="371"/>
      <c r="O715" s="371"/>
      <c r="P715" s="371"/>
      <c r="Q715" s="371"/>
      <c r="R715" s="371"/>
      <c r="S715" s="371"/>
      <c r="T715" s="371"/>
      <c r="U715" s="371"/>
      <c r="V715" s="371"/>
    </row>
    <row r="716">
      <c r="A716" s="371"/>
      <c r="B716" s="307"/>
      <c r="C716" s="307"/>
      <c r="D716" s="307"/>
      <c r="E716" s="371"/>
      <c r="F716" s="307"/>
      <c r="G716" s="477"/>
      <c r="H716" s="371"/>
      <c r="I716" s="371"/>
      <c r="J716" s="371"/>
      <c r="K716" s="371"/>
      <c r="L716" s="371"/>
      <c r="M716" s="371"/>
      <c r="N716" s="371"/>
      <c r="O716" s="371"/>
      <c r="P716" s="371"/>
      <c r="Q716" s="371"/>
      <c r="R716" s="371"/>
      <c r="S716" s="371"/>
      <c r="T716" s="371"/>
      <c r="U716" s="371"/>
      <c r="V716" s="371"/>
    </row>
    <row r="717">
      <c r="A717" s="371"/>
      <c r="B717" s="307"/>
      <c r="C717" s="307"/>
      <c r="D717" s="307"/>
      <c r="E717" s="371"/>
      <c r="F717" s="307"/>
      <c r="G717" s="477"/>
      <c r="H717" s="371"/>
      <c r="I717" s="371"/>
      <c r="J717" s="371"/>
      <c r="K717" s="371"/>
      <c r="L717" s="371"/>
      <c r="M717" s="371"/>
      <c r="N717" s="371"/>
      <c r="O717" s="371"/>
      <c r="P717" s="371"/>
      <c r="Q717" s="371"/>
      <c r="R717" s="371"/>
      <c r="S717" s="371"/>
      <c r="T717" s="371"/>
      <c r="U717" s="371"/>
      <c r="V717" s="371"/>
    </row>
    <row r="718">
      <c r="A718" s="371"/>
      <c r="B718" s="307"/>
      <c r="C718" s="307"/>
      <c r="D718" s="307"/>
      <c r="E718" s="371"/>
      <c r="F718" s="307"/>
      <c r="G718" s="477"/>
      <c r="H718" s="371"/>
      <c r="I718" s="371"/>
      <c r="J718" s="371"/>
      <c r="K718" s="371"/>
      <c r="L718" s="371"/>
      <c r="M718" s="371"/>
      <c r="N718" s="371"/>
      <c r="O718" s="371"/>
      <c r="P718" s="371"/>
      <c r="Q718" s="371"/>
      <c r="R718" s="371"/>
      <c r="S718" s="371"/>
      <c r="T718" s="371"/>
      <c r="U718" s="371"/>
      <c r="V718" s="371"/>
    </row>
    <row r="719">
      <c r="A719" s="371"/>
      <c r="B719" s="307"/>
      <c r="C719" s="307"/>
      <c r="D719" s="307"/>
      <c r="E719" s="371"/>
      <c r="F719" s="307"/>
      <c r="G719" s="477"/>
      <c r="H719" s="371"/>
      <c r="I719" s="371"/>
      <c r="J719" s="371"/>
      <c r="K719" s="371"/>
      <c r="L719" s="371"/>
      <c r="M719" s="371"/>
      <c r="N719" s="371"/>
      <c r="O719" s="371"/>
      <c r="P719" s="371"/>
      <c r="Q719" s="371"/>
      <c r="R719" s="371"/>
      <c r="S719" s="371"/>
      <c r="T719" s="371"/>
      <c r="U719" s="371"/>
      <c r="V719" s="371"/>
    </row>
    <row r="720">
      <c r="A720" s="371"/>
      <c r="B720" s="307"/>
      <c r="C720" s="307"/>
      <c r="D720" s="307"/>
      <c r="E720" s="371"/>
      <c r="F720" s="307"/>
      <c r="G720" s="477"/>
      <c r="H720" s="371"/>
      <c r="I720" s="371"/>
      <c r="J720" s="371"/>
      <c r="K720" s="371"/>
      <c r="L720" s="371"/>
      <c r="M720" s="371"/>
      <c r="N720" s="371"/>
      <c r="O720" s="371"/>
      <c r="P720" s="371"/>
      <c r="Q720" s="371"/>
      <c r="R720" s="371"/>
      <c r="S720" s="371"/>
      <c r="T720" s="371"/>
      <c r="U720" s="371"/>
      <c r="V720" s="371"/>
    </row>
    <row r="721">
      <c r="A721" s="371"/>
      <c r="B721" s="307"/>
      <c r="C721" s="307"/>
      <c r="D721" s="307"/>
      <c r="E721" s="371"/>
      <c r="F721" s="307"/>
      <c r="G721" s="477"/>
      <c r="H721" s="371"/>
      <c r="I721" s="371"/>
      <c r="J721" s="371"/>
      <c r="K721" s="371"/>
      <c r="L721" s="371"/>
      <c r="M721" s="371"/>
      <c r="N721" s="371"/>
      <c r="O721" s="371"/>
      <c r="P721" s="371"/>
      <c r="Q721" s="371"/>
      <c r="R721" s="371"/>
      <c r="S721" s="371"/>
      <c r="T721" s="371"/>
      <c r="U721" s="371"/>
      <c r="V721" s="371"/>
    </row>
    <row r="722">
      <c r="A722" s="371"/>
      <c r="B722" s="307"/>
      <c r="C722" s="307"/>
      <c r="D722" s="307"/>
      <c r="E722" s="371"/>
      <c r="F722" s="307"/>
      <c r="G722" s="477"/>
      <c r="H722" s="371"/>
      <c r="I722" s="371"/>
      <c r="J722" s="371"/>
      <c r="K722" s="371"/>
      <c r="L722" s="371"/>
      <c r="M722" s="371"/>
      <c r="N722" s="371"/>
      <c r="O722" s="371"/>
      <c r="P722" s="371"/>
      <c r="Q722" s="371"/>
      <c r="R722" s="371"/>
      <c r="S722" s="371"/>
      <c r="T722" s="371"/>
      <c r="U722" s="371"/>
      <c r="V722" s="371"/>
    </row>
    <row r="723">
      <c r="A723" s="371"/>
      <c r="B723" s="307"/>
      <c r="C723" s="307"/>
      <c r="D723" s="307"/>
      <c r="E723" s="371"/>
      <c r="F723" s="307"/>
      <c r="G723" s="477"/>
      <c r="H723" s="371"/>
      <c r="I723" s="371"/>
      <c r="J723" s="371"/>
      <c r="K723" s="371"/>
      <c r="L723" s="371"/>
      <c r="M723" s="371"/>
      <c r="N723" s="371"/>
      <c r="O723" s="371"/>
      <c r="P723" s="371"/>
      <c r="Q723" s="371"/>
      <c r="R723" s="371"/>
      <c r="S723" s="371"/>
      <c r="T723" s="371"/>
      <c r="U723" s="371"/>
      <c r="V723" s="371"/>
    </row>
    <row r="724">
      <c r="A724" s="371"/>
      <c r="B724" s="307"/>
      <c r="C724" s="307"/>
      <c r="D724" s="307"/>
      <c r="E724" s="371"/>
      <c r="F724" s="307"/>
      <c r="G724" s="477"/>
      <c r="H724" s="371"/>
      <c r="I724" s="371"/>
      <c r="J724" s="371"/>
      <c r="K724" s="371"/>
      <c r="L724" s="371"/>
      <c r="M724" s="371"/>
      <c r="N724" s="371"/>
      <c r="O724" s="371"/>
      <c r="P724" s="371"/>
      <c r="Q724" s="371"/>
      <c r="R724" s="371"/>
      <c r="S724" s="371"/>
      <c r="T724" s="371"/>
      <c r="U724" s="371"/>
      <c r="V724" s="371"/>
    </row>
    <row r="725">
      <c r="A725" s="371"/>
      <c r="B725" s="307"/>
      <c r="C725" s="307"/>
      <c r="D725" s="307"/>
      <c r="E725" s="371"/>
      <c r="F725" s="307"/>
      <c r="G725" s="477"/>
      <c r="H725" s="371"/>
      <c r="I725" s="371"/>
      <c r="J725" s="371"/>
      <c r="K725" s="371"/>
      <c r="L725" s="371"/>
      <c r="M725" s="371"/>
      <c r="N725" s="371"/>
      <c r="O725" s="371"/>
      <c r="P725" s="371"/>
      <c r="Q725" s="371"/>
      <c r="R725" s="371"/>
      <c r="S725" s="371"/>
      <c r="T725" s="371"/>
      <c r="U725" s="371"/>
      <c r="V725" s="371"/>
    </row>
    <row r="726">
      <c r="A726" s="371"/>
      <c r="B726" s="307"/>
      <c r="C726" s="307"/>
      <c r="D726" s="307"/>
      <c r="E726" s="371"/>
      <c r="F726" s="307"/>
      <c r="G726" s="477"/>
      <c r="H726" s="371"/>
      <c r="I726" s="371"/>
      <c r="J726" s="371"/>
      <c r="K726" s="371"/>
      <c r="L726" s="371"/>
      <c r="M726" s="371"/>
      <c r="N726" s="371"/>
      <c r="O726" s="371"/>
      <c r="P726" s="371"/>
      <c r="Q726" s="371"/>
      <c r="R726" s="371"/>
      <c r="S726" s="371"/>
      <c r="T726" s="371"/>
      <c r="U726" s="371"/>
      <c r="V726" s="371"/>
    </row>
    <row r="727">
      <c r="A727" s="371"/>
      <c r="B727" s="307"/>
      <c r="C727" s="307"/>
      <c r="D727" s="307"/>
      <c r="E727" s="371"/>
      <c r="F727" s="307"/>
      <c r="G727" s="477"/>
      <c r="H727" s="371"/>
      <c r="I727" s="371"/>
      <c r="J727" s="371"/>
      <c r="K727" s="371"/>
      <c r="L727" s="371"/>
      <c r="M727" s="371"/>
      <c r="N727" s="371"/>
      <c r="O727" s="371"/>
      <c r="P727" s="371"/>
      <c r="Q727" s="371"/>
      <c r="R727" s="371"/>
      <c r="S727" s="371"/>
      <c r="T727" s="371"/>
      <c r="U727" s="371"/>
      <c r="V727" s="371"/>
    </row>
    <row r="728">
      <c r="A728" s="371"/>
      <c r="B728" s="307"/>
      <c r="C728" s="307"/>
      <c r="D728" s="307"/>
      <c r="E728" s="371"/>
      <c r="F728" s="307"/>
      <c r="G728" s="477"/>
      <c r="H728" s="371"/>
      <c r="I728" s="371"/>
      <c r="J728" s="371"/>
      <c r="K728" s="371"/>
      <c r="L728" s="371"/>
      <c r="M728" s="371"/>
      <c r="N728" s="371"/>
      <c r="O728" s="371"/>
      <c r="P728" s="371"/>
      <c r="Q728" s="371"/>
      <c r="R728" s="371"/>
      <c r="S728" s="371"/>
      <c r="T728" s="371"/>
      <c r="U728" s="371"/>
      <c r="V728" s="371"/>
    </row>
    <row r="729">
      <c r="A729" s="371"/>
      <c r="B729" s="307"/>
      <c r="C729" s="307"/>
      <c r="D729" s="307"/>
      <c r="E729" s="371"/>
      <c r="F729" s="307"/>
      <c r="G729" s="477"/>
      <c r="H729" s="371"/>
      <c r="I729" s="371"/>
      <c r="J729" s="371"/>
      <c r="K729" s="371"/>
      <c r="L729" s="371"/>
      <c r="M729" s="371"/>
      <c r="N729" s="371"/>
      <c r="O729" s="371"/>
      <c r="P729" s="371"/>
      <c r="Q729" s="371"/>
      <c r="R729" s="371"/>
      <c r="S729" s="371"/>
      <c r="T729" s="371"/>
      <c r="U729" s="371"/>
      <c r="V729" s="371"/>
    </row>
    <row r="730">
      <c r="A730" s="371"/>
      <c r="B730" s="307"/>
      <c r="C730" s="307"/>
      <c r="D730" s="307"/>
      <c r="E730" s="371"/>
      <c r="F730" s="307"/>
      <c r="G730" s="477"/>
      <c r="H730" s="371"/>
      <c r="I730" s="371"/>
      <c r="J730" s="371"/>
      <c r="K730" s="371"/>
      <c r="L730" s="371"/>
      <c r="M730" s="371"/>
      <c r="N730" s="371"/>
      <c r="O730" s="371"/>
      <c r="P730" s="371"/>
      <c r="Q730" s="371"/>
      <c r="R730" s="371"/>
      <c r="S730" s="371"/>
      <c r="T730" s="371"/>
      <c r="U730" s="371"/>
      <c r="V730" s="371"/>
    </row>
    <row r="731">
      <c r="A731" s="371"/>
      <c r="B731" s="307"/>
      <c r="C731" s="307"/>
      <c r="D731" s="307"/>
      <c r="E731" s="371"/>
      <c r="F731" s="307"/>
      <c r="G731" s="477"/>
      <c r="H731" s="371"/>
      <c r="I731" s="371"/>
      <c r="J731" s="371"/>
      <c r="K731" s="371"/>
      <c r="L731" s="371"/>
      <c r="M731" s="371"/>
      <c r="N731" s="371"/>
      <c r="O731" s="371"/>
      <c r="P731" s="371"/>
      <c r="Q731" s="371"/>
      <c r="R731" s="371"/>
      <c r="S731" s="371"/>
      <c r="T731" s="371"/>
      <c r="U731" s="371"/>
      <c r="V731" s="371"/>
    </row>
    <row r="732">
      <c r="A732" s="371"/>
      <c r="B732" s="307"/>
      <c r="C732" s="307"/>
      <c r="D732" s="307"/>
      <c r="E732" s="371"/>
      <c r="F732" s="307"/>
      <c r="G732" s="477"/>
      <c r="H732" s="371"/>
      <c r="I732" s="371"/>
      <c r="J732" s="371"/>
      <c r="K732" s="371"/>
      <c r="L732" s="371"/>
      <c r="M732" s="371"/>
      <c r="N732" s="371"/>
      <c r="O732" s="371"/>
      <c r="P732" s="371"/>
      <c r="Q732" s="371"/>
      <c r="R732" s="371"/>
      <c r="S732" s="371"/>
      <c r="T732" s="371"/>
      <c r="U732" s="371"/>
      <c r="V732" s="371"/>
    </row>
    <row r="733">
      <c r="A733" s="371"/>
      <c r="B733" s="307"/>
      <c r="C733" s="307"/>
      <c r="D733" s="307"/>
      <c r="E733" s="371"/>
      <c r="F733" s="307"/>
      <c r="G733" s="477"/>
      <c r="H733" s="371"/>
      <c r="I733" s="371"/>
      <c r="J733" s="371"/>
      <c r="K733" s="371"/>
      <c r="L733" s="371"/>
      <c r="M733" s="371"/>
      <c r="N733" s="371"/>
      <c r="O733" s="371"/>
      <c r="P733" s="371"/>
      <c r="Q733" s="371"/>
      <c r="R733" s="371"/>
      <c r="S733" s="371"/>
      <c r="T733" s="371"/>
      <c r="U733" s="371"/>
      <c r="V733" s="371"/>
    </row>
    <row r="734">
      <c r="A734" s="371"/>
      <c r="B734" s="307"/>
      <c r="C734" s="307"/>
      <c r="D734" s="307"/>
      <c r="E734" s="371"/>
      <c r="F734" s="307"/>
      <c r="G734" s="477"/>
      <c r="H734" s="371"/>
      <c r="I734" s="371"/>
      <c r="J734" s="371"/>
      <c r="K734" s="371"/>
      <c r="L734" s="371"/>
      <c r="M734" s="371"/>
      <c r="N734" s="371"/>
      <c r="O734" s="371"/>
      <c r="P734" s="371"/>
      <c r="Q734" s="371"/>
      <c r="R734" s="371"/>
      <c r="S734" s="371"/>
      <c r="T734" s="371"/>
      <c r="U734" s="371"/>
      <c r="V734" s="371"/>
    </row>
    <row r="735">
      <c r="A735" s="371"/>
      <c r="B735" s="307"/>
      <c r="C735" s="307"/>
      <c r="D735" s="307"/>
      <c r="E735" s="371"/>
      <c r="F735" s="307"/>
      <c r="G735" s="477"/>
      <c r="H735" s="371"/>
      <c r="I735" s="371"/>
      <c r="J735" s="371"/>
      <c r="K735" s="371"/>
      <c r="L735" s="371"/>
      <c r="M735" s="371"/>
      <c r="N735" s="371"/>
      <c r="O735" s="371"/>
      <c r="P735" s="371"/>
      <c r="Q735" s="371"/>
      <c r="R735" s="371"/>
      <c r="S735" s="371"/>
      <c r="T735" s="371"/>
      <c r="U735" s="371"/>
      <c r="V735" s="371"/>
    </row>
    <row r="736">
      <c r="A736" s="371"/>
      <c r="B736" s="307"/>
      <c r="C736" s="307"/>
      <c r="D736" s="307"/>
      <c r="E736" s="371"/>
      <c r="F736" s="307"/>
      <c r="G736" s="477"/>
      <c r="H736" s="371"/>
      <c r="I736" s="371"/>
      <c r="J736" s="371"/>
      <c r="K736" s="371"/>
      <c r="L736" s="371"/>
      <c r="M736" s="371"/>
      <c r="N736" s="371"/>
      <c r="O736" s="371"/>
      <c r="P736" s="371"/>
      <c r="Q736" s="371"/>
      <c r="R736" s="371"/>
      <c r="S736" s="371"/>
      <c r="T736" s="371"/>
      <c r="U736" s="371"/>
      <c r="V736" s="371"/>
    </row>
    <row r="737">
      <c r="A737" s="371"/>
      <c r="B737" s="307"/>
      <c r="C737" s="307"/>
      <c r="D737" s="307"/>
      <c r="E737" s="371"/>
      <c r="F737" s="307"/>
      <c r="G737" s="477"/>
      <c r="H737" s="371"/>
      <c r="I737" s="371"/>
      <c r="J737" s="371"/>
      <c r="K737" s="371"/>
      <c r="L737" s="371"/>
      <c r="M737" s="371"/>
      <c r="N737" s="371"/>
      <c r="O737" s="371"/>
      <c r="P737" s="371"/>
      <c r="Q737" s="371"/>
      <c r="R737" s="371"/>
      <c r="S737" s="371"/>
      <c r="T737" s="371"/>
      <c r="U737" s="371"/>
      <c r="V737" s="371"/>
    </row>
    <row r="738">
      <c r="A738" s="371"/>
      <c r="B738" s="307"/>
      <c r="C738" s="307"/>
      <c r="D738" s="307"/>
      <c r="E738" s="371"/>
      <c r="F738" s="307"/>
      <c r="G738" s="477"/>
      <c r="H738" s="371"/>
      <c r="I738" s="371"/>
      <c r="J738" s="371"/>
      <c r="K738" s="371"/>
      <c r="L738" s="371"/>
      <c r="M738" s="371"/>
      <c r="N738" s="371"/>
      <c r="O738" s="371"/>
      <c r="P738" s="371"/>
      <c r="Q738" s="371"/>
      <c r="R738" s="371"/>
      <c r="S738" s="371"/>
      <c r="T738" s="371"/>
      <c r="U738" s="371"/>
      <c r="V738" s="371"/>
    </row>
    <row r="739">
      <c r="A739" s="371"/>
      <c r="B739" s="307"/>
      <c r="C739" s="307"/>
      <c r="D739" s="307"/>
      <c r="E739" s="371"/>
      <c r="F739" s="307"/>
      <c r="G739" s="477"/>
      <c r="H739" s="371"/>
      <c r="I739" s="371"/>
      <c r="J739" s="371"/>
      <c r="K739" s="371"/>
      <c r="L739" s="371"/>
      <c r="M739" s="371"/>
      <c r="N739" s="371"/>
      <c r="O739" s="371"/>
      <c r="P739" s="371"/>
      <c r="Q739" s="371"/>
      <c r="R739" s="371"/>
      <c r="S739" s="371"/>
      <c r="T739" s="371"/>
      <c r="U739" s="371"/>
      <c r="V739" s="371"/>
    </row>
    <row r="740">
      <c r="A740" s="371"/>
      <c r="B740" s="307"/>
      <c r="C740" s="307"/>
      <c r="D740" s="307"/>
      <c r="E740" s="371"/>
      <c r="F740" s="307"/>
      <c r="G740" s="477"/>
      <c r="H740" s="371"/>
      <c r="I740" s="371"/>
      <c r="J740" s="371"/>
      <c r="K740" s="371"/>
      <c r="L740" s="371"/>
      <c r="M740" s="371"/>
      <c r="N740" s="371"/>
      <c r="O740" s="371"/>
      <c r="P740" s="371"/>
      <c r="Q740" s="371"/>
      <c r="R740" s="371"/>
      <c r="S740" s="371"/>
      <c r="T740" s="371"/>
      <c r="U740" s="371"/>
      <c r="V740" s="371"/>
    </row>
    <row r="741">
      <c r="A741" s="371"/>
      <c r="B741" s="307"/>
      <c r="C741" s="307"/>
      <c r="D741" s="307"/>
      <c r="E741" s="371"/>
      <c r="F741" s="307"/>
      <c r="G741" s="477"/>
      <c r="H741" s="371"/>
      <c r="I741" s="371"/>
      <c r="J741" s="371"/>
      <c r="K741" s="371"/>
      <c r="L741" s="371"/>
      <c r="M741" s="371"/>
      <c r="N741" s="371"/>
      <c r="O741" s="371"/>
      <c r="P741" s="371"/>
      <c r="Q741" s="371"/>
      <c r="R741" s="371"/>
      <c r="S741" s="371"/>
      <c r="T741" s="371"/>
      <c r="U741" s="371"/>
      <c r="V741" s="371"/>
    </row>
    <row r="742">
      <c r="A742" s="371"/>
      <c r="B742" s="307"/>
      <c r="C742" s="307"/>
      <c r="D742" s="307"/>
      <c r="E742" s="371"/>
      <c r="F742" s="307"/>
      <c r="G742" s="477"/>
      <c r="H742" s="371"/>
      <c r="I742" s="371"/>
      <c r="J742" s="371"/>
      <c r="K742" s="371"/>
      <c r="L742" s="371"/>
      <c r="M742" s="371"/>
      <c r="N742" s="371"/>
      <c r="O742" s="371"/>
      <c r="P742" s="371"/>
      <c r="Q742" s="371"/>
      <c r="R742" s="371"/>
      <c r="S742" s="371"/>
      <c r="T742" s="371"/>
      <c r="U742" s="371"/>
      <c r="V742" s="371"/>
    </row>
    <row r="743">
      <c r="A743" s="371"/>
      <c r="B743" s="307"/>
      <c r="C743" s="307"/>
      <c r="D743" s="307"/>
      <c r="E743" s="371"/>
      <c r="F743" s="307"/>
      <c r="G743" s="477"/>
      <c r="H743" s="371"/>
      <c r="I743" s="371"/>
      <c r="J743" s="371"/>
      <c r="K743" s="371"/>
      <c r="L743" s="371"/>
      <c r="M743" s="371"/>
      <c r="N743" s="371"/>
      <c r="O743" s="371"/>
      <c r="P743" s="371"/>
      <c r="Q743" s="371"/>
      <c r="R743" s="371"/>
      <c r="S743" s="371"/>
      <c r="T743" s="371"/>
      <c r="U743" s="371"/>
      <c r="V743" s="371"/>
    </row>
    <row r="744">
      <c r="A744" s="371"/>
      <c r="B744" s="307"/>
      <c r="C744" s="307"/>
      <c r="D744" s="307"/>
      <c r="E744" s="371"/>
      <c r="F744" s="307"/>
      <c r="G744" s="477"/>
      <c r="H744" s="371"/>
      <c r="I744" s="371"/>
      <c r="J744" s="371"/>
      <c r="K744" s="371"/>
      <c r="L744" s="371"/>
      <c r="M744" s="371"/>
      <c r="N744" s="371"/>
      <c r="O744" s="371"/>
      <c r="P744" s="371"/>
      <c r="Q744" s="371"/>
      <c r="R744" s="371"/>
      <c r="S744" s="371"/>
      <c r="T744" s="371"/>
      <c r="U744" s="371"/>
      <c r="V744" s="371"/>
    </row>
    <row r="745">
      <c r="A745" s="371"/>
      <c r="B745" s="307"/>
      <c r="C745" s="307"/>
      <c r="D745" s="307"/>
      <c r="E745" s="371"/>
      <c r="F745" s="307"/>
      <c r="G745" s="477"/>
      <c r="H745" s="371"/>
      <c r="I745" s="371"/>
      <c r="J745" s="371"/>
      <c r="K745" s="371"/>
      <c r="L745" s="371"/>
      <c r="M745" s="371"/>
      <c r="N745" s="371"/>
      <c r="O745" s="371"/>
      <c r="P745" s="371"/>
      <c r="Q745" s="371"/>
      <c r="R745" s="371"/>
      <c r="S745" s="371"/>
      <c r="T745" s="371"/>
      <c r="U745" s="371"/>
      <c r="V745" s="371"/>
    </row>
    <row r="746">
      <c r="A746" s="371"/>
      <c r="B746" s="307"/>
      <c r="C746" s="307"/>
      <c r="D746" s="307"/>
      <c r="E746" s="371"/>
      <c r="F746" s="307"/>
      <c r="G746" s="477"/>
      <c r="H746" s="371"/>
      <c r="I746" s="371"/>
      <c r="J746" s="371"/>
      <c r="K746" s="371"/>
      <c r="L746" s="371"/>
      <c r="M746" s="371"/>
      <c r="N746" s="371"/>
      <c r="O746" s="371"/>
      <c r="P746" s="371"/>
      <c r="Q746" s="371"/>
      <c r="R746" s="371"/>
      <c r="S746" s="371"/>
      <c r="T746" s="371"/>
      <c r="U746" s="371"/>
      <c r="V746" s="371"/>
    </row>
    <row r="747">
      <c r="A747" s="371"/>
      <c r="B747" s="307"/>
      <c r="C747" s="307"/>
      <c r="D747" s="307"/>
      <c r="E747" s="371"/>
      <c r="F747" s="307"/>
      <c r="G747" s="477"/>
      <c r="H747" s="371"/>
      <c r="I747" s="371"/>
      <c r="J747" s="371"/>
      <c r="K747" s="371"/>
      <c r="L747" s="371"/>
      <c r="M747" s="371"/>
      <c r="N747" s="371"/>
      <c r="O747" s="371"/>
      <c r="P747" s="371"/>
      <c r="Q747" s="371"/>
      <c r="R747" s="371"/>
      <c r="S747" s="371"/>
      <c r="T747" s="371"/>
      <c r="U747" s="371"/>
      <c r="V747" s="371"/>
    </row>
    <row r="748">
      <c r="A748" s="371"/>
      <c r="B748" s="307"/>
      <c r="C748" s="307"/>
      <c r="D748" s="307"/>
      <c r="E748" s="371"/>
      <c r="F748" s="307"/>
      <c r="G748" s="477"/>
      <c r="H748" s="371"/>
      <c r="I748" s="371"/>
      <c r="J748" s="371"/>
      <c r="K748" s="371"/>
      <c r="L748" s="371"/>
      <c r="M748" s="371"/>
      <c r="N748" s="371"/>
      <c r="O748" s="371"/>
      <c r="P748" s="371"/>
      <c r="Q748" s="371"/>
      <c r="R748" s="371"/>
      <c r="S748" s="371"/>
      <c r="T748" s="371"/>
      <c r="U748" s="371"/>
      <c r="V748" s="371"/>
    </row>
    <row r="749">
      <c r="A749" s="371"/>
      <c r="B749" s="307"/>
      <c r="C749" s="307"/>
      <c r="D749" s="307"/>
      <c r="E749" s="371"/>
      <c r="F749" s="307"/>
      <c r="G749" s="477"/>
      <c r="H749" s="371"/>
      <c r="I749" s="371"/>
      <c r="J749" s="371"/>
      <c r="K749" s="371"/>
      <c r="L749" s="371"/>
      <c r="M749" s="371"/>
      <c r="N749" s="371"/>
      <c r="O749" s="371"/>
      <c r="P749" s="371"/>
      <c r="Q749" s="371"/>
      <c r="R749" s="371"/>
      <c r="S749" s="371"/>
      <c r="T749" s="371"/>
      <c r="U749" s="371"/>
      <c r="V749" s="371"/>
    </row>
    <row r="750">
      <c r="A750" s="371"/>
      <c r="B750" s="307"/>
      <c r="C750" s="307"/>
      <c r="D750" s="307"/>
      <c r="E750" s="371"/>
      <c r="F750" s="307"/>
      <c r="G750" s="477"/>
      <c r="H750" s="371"/>
      <c r="I750" s="371"/>
      <c r="J750" s="371"/>
      <c r="K750" s="371"/>
      <c r="L750" s="371"/>
      <c r="M750" s="371"/>
      <c r="N750" s="371"/>
      <c r="O750" s="371"/>
      <c r="P750" s="371"/>
      <c r="Q750" s="371"/>
      <c r="R750" s="371"/>
      <c r="S750" s="371"/>
      <c r="T750" s="371"/>
      <c r="U750" s="371"/>
      <c r="V750" s="371"/>
    </row>
    <row r="751">
      <c r="A751" s="371"/>
      <c r="B751" s="307"/>
      <c r="C751" s="307"/>
      <c r="D751" s="307"/>
      <c r="E751" s="371"/>
      <c r="F751" s="307"/>
      <c r="G751" s="477"/>
      <c r="H751" s="371"/>
      <c r="I751" s="371"/>
      <c r="J751" s="371"/>
      <c r="K751" s="371"/>
      <c r="L751" s="371"/>
      <c r="M751" s="371"/>
      <c r="N751" s="371"/>
      <c r="O751" s="371"/>
      <c r="P751" s="371"/>
      <c r="Q751" s="371"/>
      <c r="R751" s="371"/>
      <c r="S751" s="371"/>
      <c r="T751" s="371"/>
      <c r="U751" s="371"/>
      <c r="V751" s="371"/>
    </row>
    <row r="752">
      <c r="A752" s="371"/>
      <c r="B752" s="307"/>
      <c r="C752" s="307"/>
      <c r="D752" s="307"/>
      <c r="E752" s="371"/>
      <c r="F752" s="307"/>
      <c r="G752" s="477"/>
      <c r="H752" s="371"/>
      <c r="I752" s="371"/>
      <c r="J752" s="371"/>
      <c r="K752" s="371"/>
      <c r="L752" s="371"/>
      <c r="M752" s="371"/>
      <c r="N752" s="371"/>
      <c r="O752" s="371"/>
      <c r="P752" s="371"/>
      <c r="Q752" s="371"/>
      <c r="R752" s="371"/>
      <c r="S752" s="371"/>
      <c r="T752" s="371"/>
      <c r="U752" s="371"/>
      <c r="V752" s="371"/>
    </row>
    <row r="753">
      <c r="A753" s="371"/>
      <c r="B753" s="307"/>
      <c r="C753" s="307"/>
      <c r="D753" s="307"/>
      <c r="E753" s="371"/>
      <c r="F753" s="307"/>
      <c r="G753" s="477"/>
      <c r="H753" s="371"/>
      <c r="I753" s="371"/>
      <c r="J753" s="371"/>
      <c r="K753" s="371"/>
      <c r="L753" s="371"/>
      <c r="M753" s="371"/>
      <c r="N753" s="371"/>
      <c r="O753" s="371"/>
      <c r="P753" s="371"/>
      <c r="Q753" s="371"/>
      <c r="R753" s="371"/>
      <c r="S753" s="371"/>
      <c r="T753" s="371"/>
      <c r="U753" s="371"/>
      <c r="V753" s="371"/>
    </row>
    <row r="754">
      <c r="A754" s="371"/>
      <c r="B754" s="307"/>
      <c r="C754" s="307"/>
      <c r="D754" s="307"/>
      <c r="E754" s="371"/>
      <c r="F754" s="307"/>
      <c r="G754" s="477"/>
      <c r="H754" s="371"/>
      <c r="I754" s="371"/>
      <c r="J754" s="371"/>
      <c r="K754" s="371"/>
      <c r="L754" s="371"/>
      <c r="M754" s="371"/>
      <c r="N754" s="371"/>
      <c r="O754" s="371"/>
      <c r="P754" s="371"/>
      <c r="Q754" s="371"/>
      <c r="R754" s="371"/>
      <c r="S754" s="371"/>
      <c r="T754" s="371"/>
      <c r="U754" s="371"/>
      <c r="V754" s="371"/>
    </row>
    <row r="755">
      <c r="A755" s="371"/>
      <c r="B755" s="307"/>
      <c r="C755" s="307"/>
      <c r="D755" s="307"/>
      <c r="E755" s="371"/>
      <c r="F755" s="307"/>
      <c r="G755" s="477"/>
      <c r="H755" s="371"/>
      <c r="I755" s="371"/>
      <c r="J755" s="371"/>
      <c r="K755" s="371"/>
      <c r="L755" s="371"/>
      <c r="M755" s="371"/>
      <c r="N755" s="371"/>
      <c r="O755" s="371"/>
      <c r="P755" s="371"/>
      <c r="Q755" s="371"/>
      <c r="R755" s="371"/>
      <c r="S755" s="371"/>
      <c r="T755" s="371"/>
      <c r="U755" s="371"/>
      <c r="V755" s="371"/>
    </row>
    <row r="756">
      <c r="A756" s="371"/>
      <c r="B756" s="307"/>
      <c r="C756" s="307"/>
      <c r="D756" s="307"/>
      <c r="E756" s="371"/>
      <c r="F756" s="307"/>
      <c r="G756" s="477"/>
      <c r="H756" s="371"/>
      <c r="I756" s="371"/>
      <c r="J756" s="371"/>
      <c r="K756" s="371"/>
      <c r="L756" s="371"/>
      <c r="M756" s="371"/>
      <c r="N756" s="371"/>
      <c r="O756" s="371"/>
      <c r="P756" s="371"/>
      <c r="Q756" s="371"/>
      <c r="R756" s="371"/>
      <c r="S756" s="371"/>
      <c r="T756" s="371"/>
      <c r="U756" s="371"/>
      <c r="V756" s="371"/>
    </row>
    <row r="757">
      <c r="A757" s="371"/>
      <c r="B757" s="307"/>
      <c r="C757" s="307"/>
      <c r="D757" s="307"/>
      <c r="E757" s="371"/>
      <c r="F757" s="307"/>
      <c r="G757" s="477"/>
      <c r="H757" s="371"/>
      <c r="I757" s="371"/>
      <c r="J757" s="371"/>
      <c r="K757" s="371"/>
      <c r="L757" s="371"/>
      <c r="M757" s="371"/>
      <c r="N757" s="371"/>
      <c r="O757" s="371"/>
      <c r="P757" s="371"/>
      <c r="Q757" s="371"/>
      <c r="R757" s="371"/>
      <c r="S757" s="371"/>
      <c r="T757" s="371"/>
      <c r="U757" s="371"/>
      <c r="V757" s="371"/>
    </row>
    <row r="758">
      <c r="A758" s="371"/>
      <c r="B758" s="307"/>
      <c r="C758" s="307"/>
      <c r="D758" s="307"/>
      <c r="E758" s="371"/>
      <c r="F758" s="307"/>
      <c r="G758" s="477"/>
      <c r="H758" s="371"/>
      <c r="I758" s="371"/>
      <c r="J758" s="371"/>
      <c r="K758" s="371"/>
      <c r="L758" s="371"/>
      <c r="M758" s="371"/>
      <c r="N758" s="371"/>
      <c r="O758" s="371"/>
      <c r="P758" s="371"/>
      <c r="Q758" s="371"/>
      <c r="R758" s="371"/>
      <c r="S758" s="371"/>
      <c r="T758" s="371"/>
      <c r="U758" s="371"/>
      <c r="V758" s="371"/>
    </row>
    <row r="759">
      <c r="A759" s="371"/>
      <c r="B759" s="307"/>
      <c r="C759" s="307"/>
      <c r="D759" s="307"/>
      <c r="E759" s="371"/>
      <c r="F759" s="307"/>
      <c r="G759" s="477"/>
      <c r="H759" s="371"/>
      <c r="I759" s="371"/>
      <c r="J759" s="371"/>
      <c r="K759" s="371"/>
      <c r="L759" s="371"/>
      <c r="M759" s="371"/>
      <c r="N759" s="371"/>
      <c r="O759" s="371"/>
      <c r="P759" s="371"/>
      <c r="Q759" s="371"/>
      <c r="R759" s="371"/>
      <c r="S759" s="371"/>
      <c r="T759" s="371"/>
      <c r="U759" s="371"/>
      <c r="V759" s="371"/>
    </row>
    <row r="760">
      <c r="A760" s="371"/>
      <c r="B760" s="307"/>
      <c r="C760" s="307"/>
      <c r="D760" s="307"/>
      <c r="E760" s="371"/>
      <c r="F760" s="307"/>
      <c r="G760" s="477"/>
      <c r="H760" s="371"/>
      <c r="I760" s="371"/>
      <c r="J760" s="371"/>
      <c r="K760" s="371"/>
      <c r="L760" s="371"/>
      <c r="M760" s="371"/>
      <c r="N760" s="371"/>
      <c r="O760" s="371"/>
      <c r="P760" s="371"/>
      <c r="Q760" s="371"/>
      <c r="R760" s="371"/>
      <c r="S760" s="371"/>
      <c r="T760" s="371"/>
      <c r="U760" s="371"/>
      <c r="V760" s="371"/>
    </row>
    <row r="761">
      <c r="A761" s="371"/>
      <c r="B761" s="307"/>
      <c r="C761" s="307"/>
      <c r="D761" s="307"/>
      <c r="E761" s="371"/>
      <c r="F761" s="307"/>
      <c r="G761" s="477"/>
      <c r="H761" s="371"/>
      <c r="I761" s="371"/>
      <c r="J761" s="371"/>
      <c r="K761" s="371"/>
      <c r="L761" s="371"/>
      <c r="M761" s="371"/>
      <c r="N761" s="371"/>
      <c r="O761" s="371"/>
      <c r="P761" s="371"/>
      <c r="Q761" s="371"/>
      <c r="R761" s="371"/>
      <c r="S761" s="371"/>
      <c r="T761" s="371"/>
      <c r="U761" s="371"/>
      <c r="V761" s="371"/>
    </row>
    <row r="762">
      <c r="A762" s="371"/>
      <c r="B762" s="307"/>
      <c r="C762" s="307"/>
      <c r="D762" s="307"/>
      <c r="E762" s="371"/>
      <c r="F762" s="307"/>
      <c r="G762" s="477"/>
      <c r="H762" s="371"/>
      <c r="I762" s="371"/>
      <c r="J762" s="371"/>
      <c r="K762" s="371"/>
      <c r="L762" s="371"/>
      <c r="M762" s="371"/>
      <c r="N762" s="371"/>
      <c r="O762" s="371"/>
      <c r="P762" s="371"/>
      <c r="Q762" s="371"/>
      <c r="R762" s="371"/>
      <c r="S762" s="371"/>
      <c r="T762" s="371"/>
      <c r="U762" s="371"/>
      <c r="V762" s="371"/>
    </row>
    <row r="763">
      <c r="A763" s="371"/>
      <c r="B763" s="307"/>
      <c r="C763" s="307"/>
      <c r="D763" s="307"/>
      <c r="E763" s="371"/>
      <c r="F763" s="307"/>
      <c r="G763" s="477"/>
      <c r="H763" s="371"/>
      <c r="I763" s="371"/>
      <c r="J763" s="371"/>
      <c r="K763" s="371"/>
      <c r="L763" s="371"/>
      <c r="M763" s="371"/>
      <c r="N763" s="371"/>
      <c r="O763" s="371"/>
      <c r="P763" s="371"/>
      <c r="Q763" s="371"/>
      <c r="R763" s="371"/>
      <c r="S763" s="371"/>
      <c r="T763" s="371"/>
      <c r="U763" s="371"/>
      <c r="V763" s="371"/>
    </row>
    <row r="764">
      <c r="A764" s="371"/>
      <c r="B764" s="307"/>
      <c r="C764" s="307"/>
      <c r="D764" s="307"/>
      <c r="E764" s="371"/>
      <c r="F764" s="307"/>
      <c r="G764" s="477"/>
      <c r="H764" s="371"/>
      <c r="I764" s="371"/>
      <c r="J764" s="371"/>
      <c r="K764" s="371"/>
      <c r="L764" s="371"/>
      <c r="M764" s="371"/>
      <c r="N764" s="371"/>
      <c r="O764" s="371"/>
      <c r="P764" s="371"/>
      <c r="Q764" s="371"/>
      <c r="R764" s="371"/>
      <c r="S764" s="371"/>
      <c r="T764" s="371"/>
      <c r="U764" s="371"/>
      <c r="V764" s="371"/>
    </row>
    <row r="765">
      <c r="A765" s="371"/>
      <c r="B765" s="307"/>
      <c r="C765" s="307"/>
      <c r="D765" s="307"/>
      <c r="E765" s="371"/>
      <c r="F765" s="307"/>
      <c r="G765" s="477"/>
      <c r="H765" s="371"/>
      <c r="I765" s="371"/>
      <c r="J765" s="371"/>
      <c r="K765" s="371"/>
      <c r="L765" s="371"/>
      <c r="M765" s="371"/>
      <c r="N765" s="371"/>
      <c r="O765" s="371"/>
      <c r="P765" s="371"/>
      <c r="Q765" s="371"/>
      <c r="R765" s="371"/>
      <c r="S765" s="371"/>
      <c r="T765" s="371"/>
      <c r="U765" s="371"/>
      <c r="V765" s="371"/>
    </row>
    <row r="766">
      <c r="A766" s="371"/>
      <c r="B766" s="307"/>
      <c r="C766" s="307"/>
      <c r="D766" s="307"/>
      <c r="E766" s="371"/>
      <c r="F766" s="307"/>
      <c r="G766" s="477"/>
      <c r="H766" s="371"/>
      <c r="I766" s="371"/>
      <c r="J766" s="371"/>
      <c r="K766" s="371"/>
      <c r="L766" s="371"/>
      <c r="M766" s="371"/>
      <c r="N766" s="371"/>
      <c r="O766" s="371"/>
      <c r="P766" s="371"/>
      <c r="Q766" s="371"/>
      <c r="R766" s="371"/>
      <c r="S766" s="371"/>
      <c r="T766" s="371"/>
      <c r="U766" s="371"/>
      <c r="V766" s="371"/>
    </row>
    <row r="767">
      <c r="A767" s="371"/>
      <c r="B767" s="307"/>
      <c r="C767" s="307"/>
      <c r="D767" s="307"/>
      <c r="E767" s="371"/>
      <c r="F767" s="307"/>
      <c r="G767" s="477"/>
      <c r="H767" s="371"/>
      <c r="I767" s="371"/>
      <c r="J767" s="371"/>
      <c r="K767" s="371"/>
      <c r="L767" s="371"/>
      <c r="M767" s="371"/>
      <c r="N767" s="371"/>
      <c r="O767" s="371"/>
      <c r="P767" s="371"/>
      <c r="Q767" s="371"/>
      <c r="R767" s="371"/>
      <c r="S767" s="371"/>
      <c r="T767" s="371"/>
      <c r="U767" s="371"/>
      <c r="V767" s="371"/>
    </row>
    <row r="768">
      <c r="A768" s="371"/>
      <c r="B768" s="307"/>
      <c r="C768" s="307"/>
      <c r="D768" s="307"/>
      <c r="E768" s="371"/>
      <c r="F768" s="307"/>
      <c r="G768" s="477"/>
      <c r="H768" s="371"/>
      <c r="I768" s="371"/>
      <c r="J768" s="371"/>
      <c r="K768" s="371"/>
      <c r="L768" s="371"/>
      <c r="M768" s="371"/>
      <c r="N768" s="371"/>
      <c r="O768" s="371"/>
      <c r="P768" s="371"/>
      <c r="Q768" s="371"/>
      <c r="R768" s="371"/>
      <c r="S768" s="371"/>
      <c r="T768" s="371"/>
      <c r="U768" s="371"/>
      <c r="V768" s="371"/>
    </row>
    <row r="769">
      <c r="A769" s="371"/>
      <c r="B769" s="307"/>
      <c r="C769" s="307"/>
      <c r="D769" s="307"/>
      <c r="E769" s="371"/>
      <c r="F769" s="307"/>
      <c r="G769" s="477"/>
      <c r="H769" s="371"/>
      <c r="I769" s="371"/>
      <c r="J769" s="371"/>
      <c r="K769" s="371"/>
      <c r="L769" s="371"/>
      <c r="M769" s="371"/>
      <c r="N769" s="371"/>
      <c r="O769" s="371"/>
      <c r="P769" s="371"/>
      <c r="Q769" s="371"/>
      <c r="R769" s="371"/>
      <c r="S769" s="371"/>
      <c r="T769" s="371"/>
      <c r="U769" s="371"/>
      <c r="V769" s="371"/>
    </row>
    <row r="770">
      <c r="A770" s="371"/>
      <c r="B770" s="307"/>
      <c r="C770" s="307"/>
      <c r="D770" s="307"/>
      <c r="E770" s="371"/>
      <c r="F770" s="307"/>
      <c r="G770" s="477"/>
      <c r="H770" s="371"/>
      <c r="I770" s="371"/>
      <c r="J770" s="371"/>
      <c r="K770" s="371"/>
      <c r="L770" s="371"/>
      <c r="M770" s="371"/>
      <c r="N770" s="371"/>
      <c r="O770" s="371"/>
      <c r="P770" s="371"/>
      <c r="Q770" s="371"/>
      <c r="R770" s="371"/>
      <c r="S770" s="371"/>
      <c r="T770" s="371"/>
      <c r="U770" s="371"/>
      <c r="V770" s="371"/>
    </row>
    <row r="771">
      <c r="A771" s="371"/>
      <c r="B771" s="307"/>
      <c r="C771" s="307"/>
      <c r="D771" s="307"/>
      <c r="E771" s="371"/>
      <c r="F771" s="307"/>
      <c r="G771" s="477"/>
      <c r="H771" s="371"/>
      <c r="I771" s="371"/>
      <c r="J771" s="371"/>
      <c r="K771" s="371"/>
      <c r="L771" s="371"/>
      <c r="M771" s="371"/>
      <c r="N771" s="371"/>
      <c r="O771" s="371"/>
      <c r="P771" s="371"/>
      <c r="Q771" s="371"/>
      <c r="R771" s="371"/>
      <c r="S771" s="371"/>
      <c r="T771" s="371"/>
      <c r="U771" s="371"/>
      <c r="V771" s="371"/>
    </row>
    <row r="772">
      <c r="A772" s="371"/>
      <c r="B772" s="307"/>
      <c r="C772" s="307"/>
      <c r="D772" s="307"/>
      <c r="E772" s="371"/>
      <c r="F772" s="307"/>
      <c r="G772" s="477"/>
      <c r="H772" s="371"/>
      <c r="I772" s="371"/>
      <c r="J772" s="371"/>
      <c r="K772" s="371"/>
      <c r="L772" s="371"/>
      <c r="M772" s="371"/>
      <c r="N772" s="371"/>
      <c r="O772" s="371"/>
      <c r="P772" s="371"/>
      <c r="Q772" s="371"/>
      <c r="R772" s="371"/>
      <c r="S772" s="371"/>
      <c r="T772" s="371"/>
      <c r="U772" s="371"/>
      <c r="V772" s="371"/>
    </row>
    <row r="773">
      <c r="A773" s="371"/>
      <c r="B773" s="307"/>
      <c r="C773" s="307"/>
      <c r="D773" s="307"/>
      <c r="E773" s="371"/>
      <c r="F773" s="307"/>
      <c r="G773" s="477"/>
      <c r="H773" s="371"/>
      <c r="I773" s="371"/>
      <c r="J773" s="371"/>
      <c r="K773" s="371"/>
      <c r="L773" s="371"/>
      <c r="M773" s="371"/>
      <c r="N773" s="371"/>
      <c r="O773" s="371"/>
      <c r="P773" s="371"/>
      <c r="Q773" s="371"/>
      <c r="R773" s="371"/>
      <c r="S773" s="371"/>
      <c r="T773" s="371"/>
      <c r="U773" s="371"/>
      <c r="V773" s="371"/>
    </row>
    <row r="774">
      <c r="A774" s="371"/>
      <c r="B774" s="307"/>
      <c r="C774" s="307"/>
      <c r="D774" s="307"/>
      <c r="E774" s="371"/>
      <c r="F774" s="307"/>
      <c r="G774" s="477"/>
      <c r="H774" s="371"/>
      <c r="I774" s="371"/>
      <c r="J774" s="371"/>
      <c r="K774" s="371"/>
      <c r="L774" s="371"/>
      <c r="M774" s="371"/>
      <c r="N774" s="371"/>
      <c r="O774" s="371"/>
      <c r="P774" s="371"/>
      <c r="Q774" s="371"/>
      <c r="R774" s="371"/>
      <c r="S774" s="371"/>
      <c r="T774" s="371"/>
      <c r="U774" s="371"/>
      <c r="V774" s="371"/>
    </row>
    <row r="775">
      <c r="A775" s="371"/>
      <c r="B775" s="307"/>
      <c r="C775" s="307"/>
      <c r="D775" s="307"/>
      <c r="E775" s="371"/>
      <c r="F775" s="307"/>
      <c r="G775" s="477"/>
      <c r="H775" s="371"/>
      <c r="I775" s="371"/>
      <c r="J775" s="371"/>
      <c r="K775" s="371"/>
      <c r="L775" s="371"/>
      <c r="M775" s="371"/>
      <c r="N775" s="371"/>
      <c r="O775" s="371"/>
      <c r="P775" s="371"/>
      <c r="Q775" s="371"/>
      <c r="R775" s="371"/>
      <c r="S775" s="371"/>
      <c r="T775" s="371"/>
      <c r="U775" s="371"/>
      <c r="V775" s="371"/>
    </row>
    <row r="776">
      <c r="A776" s="371"/>
      <c r="B776" s="307"/>
      <c r="C776" s="307"/>
      <c r="D776" s="307"/>
      <c r="E776" s="371"/>
      <c r="F776" s="307"/>
      <c r="G776" s="477"/>
      <c r="H776" s="371"/>
      <c r="I776" s="371"/>
      <c r="J776" s="371"/>
      <c r="K776" s="371"/>
      <c r="L776" s="371"/>
      <c r="M776" s="371"/>
      <c r="N776" s="371"/>
      <c r="O776" s="371"/>
      <c r="P776" s="371"/>
      <c r="Q776" s="371"/>
      <c r="R776" s="371"/>
      <c r="S776" s="371"/>
      <c r="T776" s="371"/>
      <c r="U776" s="371"/>
      <c r="V776" s="371"/>
    </row>
    <row r="777">
      <c r="A777" s="371"/>
      <c r="B777" s="307"/>
      <c r="C777" s="307"/>
      <c r="D777" s="307"/>
      <c r="E777" s="371"/>
      <c r="F777" s="307"/>
      <c r="G777" s="477"/>
      <c r="H777" s="371"/>
      <c r="I777" s="371"/>
      <c r="J777" s="371"/>
      <c r="K777" s="371"/>
      <c r="L777" s="371"/>
      <c r="M777" s="371"/>
      <c r="N777" s="371"/>
      <c r="O777" s="371"/>
      <c r="P777" s="371"/>
      <c r="Q777" s="371"/>
      <c r="R777" s="371"/>
      <c r="S777" s="371"/>
      <c r="T777" s="371"/>
      <c r="U777" s="371"/>
      <c r="V777" s="371"/>
    </row>
    <row r="778">
      <c r="A778" s="371"/>
      <c r="B778" s="307"/>
      <c r="C778" s="307"/>
      <c r="D778" s="307"/>
      <c r="E778" s="371"/>
      <c r="F778" s="307"/>
      <c r="G778" s="477"/>
      <c r="H778" s="371"/>
      <c r="I778" s="371"/>
      <c r="J778" s="371"/>
      <c r="K778" s="371"/>
      <c r="L778" s="371"/>
      <c r="M778" s="371"/>
      <c r="N778" s="371"/>
      <c r="O778" s="371"/>
      <c r="P778" s="371"/>
      <c r="Q778" s="371"/>
      <c r="R778" s="371"/>
      <c r="S778" s="371"/>
      <c r="T778" s="371"/>
      <c r="U778" s="371"/>
      <c r="V778" s="371"/>
    </row>
    <row r="779">
      <c r="A779" s="371"/>
      <c r="B779" s="307"/>
      <c r="C779" s="307"/>
      <c r="D779" s="307"/>
      <c r="E779" s="371"/>
      <c r="F779" s="307"/>
      <c r="G779" s="477"/>
      <c r="H779" s="371"/>
      <c r="I779" s="371"/>
      <c r="J779" s="371"/>
      <c r="K779" s="371"/>
      <c r="L779" s="371"/>
      <c r="M779" s="371"/>
      <c r="N779" s="371"/>
      <c r="O779" s="371"/>
      <c r="P779" s="371"/>
      <c r="Q779" s="371"/>
      <c r="R779" s="371"/>
      <c r="S779" s="371"/>
      <c r="T779" s="371"/>
      <c r="U779" s="371"/>
      <c r="V779" s="371"/>
    </row>
    <row r="780">
      <c r="A780" s="371"/>
      <c r="B780" s="307"/>
      <c r="C780" s="307"/>
      <c r="D780" s="307"/>
      <c r="E780" s="371"/>
      <c r="F780" s="307"/>
      <c r="G780" s="477"/>
      <c r="H780" s="371"/>
      <c r="I780" s="371"/>
      <c r="J780" s="371"/>
      <c r="K780" s="371"/>
      <c r="L780" s="371"/>
      <c r="M780" s="371"/>
      <c r="N780" s="371"/>
      <c r="O780" s="371"/>
      <c r="P780" s="371"/>
      <c r="Q780" s="371"/>
      <c r="R780" s="371"/>
      <c r="S780" s="371"/>
      <c r="T780" s="371"/>
      <c r="U780" s="371"/>
      <c r="V780" s="371"/>
    </row>
    <row r="781">
      <c r="A781" s="371"/>
      <c r="B781" s="307"/>
      <c r="C781" s="307"/>
      <c r="D781" s="307"/>
      <c r="E781" s="371"/>
      <c r="F781" s="307"/>
      <c r="G781" s="477"/>
      <c r="H781" s="371"/>
      <c r="I781" s="371"/>
      <c r="J781" s="371"/>
      <c r="K781" s="371"/>
      <c r="L781" s="371"/>
      <c r="M781" s="371"/>
      <c r="N781" s="371"/>
      <c r="O781" s="371"/>
      <c r="P781" s="371"/>
      <c r="Q781" s="371"/>
      <c r="R781" s="371"/>
      <c r="S781" s="371"/>
      <c r="T781" s="371"/>
      <c r="U781" s="371"/>
      <c r="V781" s="371"/>
    </row>
    <row r="782">
      <c r="A782" s="371"/>
      <c r="B782" s="307"/>
      <c r="C782" s="307"/>
      <c r="D782" s="307"/>
      <c r="E782" s="371"/>
      <c r="F782" s="307"/>
      <c r="G782" s="477"/>
      <c r="H782" s="371"/>
      <c r="I782" s="371"/>
      <c r="J782" s="371"/>
      <c r="K782" s="371"/>
      <c r="L782" s="371"/>
      <c r="M782" s="371"/>
      <c r="N782" s="371"/>
      <c r="O782" s="371"/>
      <c r="P782" s="371"/>
      <c r="Q782" s="371"/>
      <c r="R782" s="371"/>
      <c r="S782" s="371"/>
      <c r="T782" s="371"/>
      <c r="U782" s="371"/>
      <c r="V782" s="371"/>
    </row>
    <row r="783">
      <c r="A783" s="371"/>
      <c r="B783" s="307"/>
      <c r="C783" s="307"/>
      <c r="D783" s="307"/>
      <c r="E783" s="371"/>
      <c r="F783" s="307"/>
      <c r="G783" s="477"/>
      <c r="H783" s="371"/>
      <c r="I783" s="371"/>
      <c r="J783" s="371"/>
      <c r="K783" s="371"/>
      <c r="L783" s="371"/>
      <c r="M783" s="371"/>
      <c r="N783" s="371"/>
      <c r="O783" s="371"/>
      <c r="P783" s="371"/>
      <c r="Q783" s="371"/>
      <c r="R783" s="371"/>
      <c r="S783" s="371"/>
      <c r="T783" s="371"/>
      <c r="U783" s="371"/>
      <c r="V783" s="371"/>
    </row>
    <row r="784">
      <c r="A784" s="371"/>
      <c r="B784" s="307"/>
      <c r="C784" s="307"/>
      <c r="D784" s="307"/>
      <c r="E784" s="371"/>
      <c r="F784" s="307"/>
      <c r="G784" s="477"/>
      <c r="H784" s="371"/>
      <c r="I784" s="371"/>
      <c r="J784" s="371"/>
      <c r="K784" s="371"/>
      <c r="L784" s="371"/>
      <c r="M784" s="371"/>
      <c r="N784" s="371"/>
      <c r="O784" s="371"/>
      <c r="P784" s="371"/>
      <c r="Q784" s="371"/>
      <c r="R784" s="371"/>
      <c r="S784" s="371"/>
      <c r="T784" s="371"/>
      <c r="U784" s="371"/>
      <c r="V784" s="371"/>
    </row>
    <row r="785">
      <c r="A785" s="371"/>
      <c r="B785" s="307"/>
      <c r="C785" s="307"/>
      <c r="D785" s="307"/>
      <c r="E785" s="371"/>
      <c r="F785" s="307"/>
      <c r="G785" s="477"/>
      <c r="H785" s="371"/>
      <c r="I785" s="371"/>
      <c r="J785" s="371"/>
      <c r="K785" s="371"/>
      <c r="L785" s="371"/>
      <c r="M785" s="371"/>
      <c r="N785" s="371"/>
      <c r="O785" s="371"/>
      <c r="P785" s="371"/>
      <c r="Q785" s="371"/>
      <c r="R785" s="371"/>
      <c r="S785" s="371"/>
      <c r="T785" s="371"/>
      <c r="U785" s="371"/>
      <c r="V785" s="371"/>
    </row>
    <row r="786">
      <c r="A786" s="371"/>
      <c r="B786" s="307"/>
      <c r="C786" s="307"/>
      <c r="D786" s="307"/>
      <c r="E786" s="371"/>
      <c r="F786" s="307"/>
      <c r="G786" s="477"/>
      <c r="H786" s="371"/>
      <c r="I786" s="371"/>
      <c r="J786" s="371"/>
      <c r="K786" s="371"/>
      <c r="L786" s="371"/>
      <c r="M786" s="371"/>
      <c r="N786" s="371"/>
      <c r="O786" s="371"/>
      <c r="P786" s="371"/>
      <c r="Q786" s="371"/>
      <c r="R786" s="371"/>
      <c r="S786" s="371"/>
      <c r="T786" s="371"/>
      <c r="U786" s="371"/>
      <c r="V786" s="371"/>
    </row>
    <row r="787">
      <c r="A787" s="371"/>
      <c r="B787" s="307"/>
      <c r="C787" s="307"/>
      <c r="D787" s="307"/>
      <c r="E787" s="371"/>
      <c r="F787" s="307"/>
      <c r="G787" s="477"/>
      <c r="H787" s="371"/>
      <c r="I787" s="371"/>
      <c r="J787" s="371"/>
      <c r="K787" s="371"/>
      <c r="L787" s="371"/>
      <c r="M787" s="371"/>
      <c r="N787" s="371"/>
      <c r="O787" s="371"/>
      <c r="P787" s="371"/>
      <c r="Q787" s="371"/>
      <c r="R787" s="371"/>
      <c r="S787" s="371"/>
      <c r="T787" s="371"/>
      <c r="U787" s="371"/>
      <c r="V787" s="371"/>
    </row>
    <row r="788">
      <c r="A788" s="371"/>
      <c r="B788" s="307"/>
      <c r="C788" s="307"/>
      <c r="D788" s="307"/>
      <c r="E788" s="371"/>
      <c r="F788" s="307"/>
      <c r="G788" s="477"/>
      <c r="H788" s="371"/>
      <c r="I788" s="371"/>
      <c r="J788" s="371"/>
      <c r="K788" s="371"/>
      <c r="L788" s="371"/>
      <c r="M788" s="371"/>
      <c r="N788" s="371"/>
      <c r="O788" s="371"/>
      <c r="P788" s="371"/>
      <c r="Q788" s="371"/>
      <c r="R788" s="371"/>
      <c r="S788" s="371"/>
      <c r="T788" s="371"/>
      <c r="U788" s="371"/>
      <c r="V788" s="371"/>
    </row>
    <row r="789">
      <c r="A789" s="371"/>
      <c r="B789" s="307"/>
      <c r="C789" s="307"/>
      <c r="D789" s="307"/>
      <c r="E789" s="371"/>
      <c r="F789" s="307"/>
      <c r="G789" s="477"/>
      <c r="H789" s="371"/>
      <c r="I789" s="371"/>
      <c r="J789" s="371"/>
      <c r="K789" s="371"/>
      <c r="L789" s="371"/>
      <c r="M789" s="371"/>
      <c r="N789" s="371"/>
      <c r="O789" s="371"/>
      <c r="P789" s="371"/>
      <c r="Q789" s="371"/>
      <c r="R789" s="371"/>
      <c r="S789" s="371"/>
      <c r="T789" s="371"/>
      <c r="U789" s="371"/>
      <c r="V789" s="371"/>
    </row>
    <row r="790">
      <c r="A790" s="371"/>
      <c r="B790" s="307"/>
      <c r="C790" s="307"/>
      <c r="D790" s="307"/>
      <c r="E790" s="371"/>
      <c r="F790" s="307"/>
      <c r="G790" s="477"/>
      <c r="H790" s="371"/>
      <c r="I790" s="371"/>
      <c r="J790" s="371"/>
      <c r="K790" s="371"/>
      <c r="L790" s="371"/>
      <c r="M790" s="371"/>
      <c r="N790" s="371"/>
      <c r="O790" s="371"/>
      <c r="P790" s="371"/>
      <c r="Q790" s="371"/>
      <c r="R790" s="371"/>
      <c r="S790" s="371"/>
      <c r="T790" s="371"/>
      <c r="U790" s="371"/>
      <c r="V790" s="371"/>
    </row>
    <row r="791">
      <c r="A791" s="371"/>
      <c r="B791" s="307"/>
      <c r="C791" s="307"/>
      <c r="D791" s="307"/>
      <c r="E791" s="371"/>
      <c r="F791" s="307"/>
      <c r="G791" s="477"/>
      <c r="H791" s="371"/>
      <c r="I791" s="371"/>
      <c r="J791" s="371"/>
      <c r="K791" s="371"/>
      <c r="L791" s="371"/>
      <c r="M791" s="371"/>
      <c r="N791" s="371"/>
      <c r="O791" s="371"/>
      <c r="P791" s="371"/>
      <c r="Q791" s="371"/>
      <c r="R791" s="371"/>
      <c r="S791" s="371"/>
      <c r="T791" s="371"/>
      <c r="U791" s="371"/>
      <c r="V791" s="371"/>
    </row>
    <row r="792">
      <c r="A792" s="371"/>
      <c r="B792" s="307"/>
      <c r="C792" s="307"/>
      <c r="D792" s="307"/>
      <c r="E792" s="371"/>
      <c r="F792" s="307"/>
      <c r="G792" s="477"/>
      <c r="H792" s="371"/>
      <c r="I792" s="371"/>
      <c r="J792" s="371"/>
      <c r="K792" s="371"/>
      <c r="L792" s="371"/>
      <c r="M792" s="371"/>
      <c r="N792" s="371"/>
      <c r="O792" s="371"/>
      <c r="P792" s="371"/>
      <c r="Q792" s="371"/>
      <c r="R792" s="371"/>
      <c r="S792" s="371"/>
      <c r="T792" s="371"/>
      <c r="U792" s="371"/>
      <c r="V792" s="371"/>
    </row>
    <row r="793">
      <c r="A793" s="371"/>
      <c r="B793" s="307"/>
      <c r="C793" s="307"/>
      <c r="D793" s="307"/>
      <c r="E793" s="371"/>
      <c r="F793" s="307"/>
      <c r="G793" s="477"/>
      <c r="H793" s="371"/>
      <c r="I793" s="371"/>
      <c r="J793" s="371"/>
      <c r="K793" s="371"/>
      <c r="L793" s="371"/>
      <c r="M793" s="371"/>
      <c r="N793" s="371"/>
      <c r="O793" s="371"/>
      <c r="P793" s="371"/>
      <c r="Q793" s="371"/>
      <c r="R793" s="371"/>
      <c r="S793" s="371"/>
      <c r="T793" s="371"/>
      <c r="U793" s="371"/>
      <c r="V793" s="371"/>
    </row>
    <row r="794">
      <c r="A794" s="371"/>
      <c r="B794" s="307"/>
      <c r="C794" s="307"/>
      <c r="D794" s="307"/>
      <c r="E794" s="371"/>
      <c r="F794" s="307"/>
      <c r="G794" s="477"/>
      <c r="H794" s="371"/>
      <c r="I794" s="371"/>
      <c r="J794" s="371"/>
      <c r="K794" s="371"/>
      <c r="L794" s="371"/>
      <c r="M794" s="371"/>
      <c r="N794" s="371"/>
      <c r="O794" s="371"/>
      <c r="P794" s="371"/>
      <c r="Q794" s="371"/>
      <c r="R794" s="371"/>
      <c r="S794" s="371"/>
      <c r="T794" s="371"/>
      <c r="U794" s="371"/>
      <c r="V794" s="371"/>
    </row>
    <row r="795">
      <c r="A795" s="371"/>
      <c r="B795" s="307"/>
      <c r="C795" s="307"/>
      <c r="D795" s="307"/>
      <c r="E795" s="371"/>
      <c r="F795" s="307"/>
      <c r="G795" s="477"/>
      <c r="H795" s="371"/>
      <c r="I795" s="371"/>
      <c r="J795" s="371"/>
      <c r="K795" s="371"/>
      <c r="L795" s="371"/>
      <c r="M795" s="371"/>
      <c r="N795" s="371"/>
      <c r="O795" s="371"/>
      <c r="P795" s="371"/>
      <c r="Q795" s="371"/>
      <c r="R795" s="371"/>
      <c r="S795" s="371"/>
      <c r="T795" s="371"/>
      <c r="U795" s="371"/>
      <c r="V795" s="371"/>
    </row>
    <row r="796">
      <c r="A796" s="371"/>
      <c r="B796" s="307"/>
      <c r="C796" s="307"/>
      <c r="D796" s="307"/>
      <c r="E796" s="371"/>
      <c r="F796" s="307"/>
      <c r="G796" s="477"/>
      <c r="H796" s="371"/>
      <c r="I796" s="371"/>
      <c r="J796" s="371"/>
      <c r="K796" s="371"/>
      <c r="L796" s="371"/>
      <c r="M796" s="371"/>
      <c r="N796" s="371"/>
      <c r="O796" s="371"/>
      <c r="P796" s="371"/>
      <c r="Q796" s="371"/>
      <c r="R796" s="371"/>
      <c r="S796" s="371"/>
      <c r="T796" s="371"/>
      <c r="U796" s="371"/>
      <c r="V796" s="371"/>
    </row>
    <row r="797">
      <c r="A797" s="371"/>
      <c r="B797" s="307"/>
      <c r="C797" s="307"/>
      <c r="D797" s="307"/>
      <c r="E797" s="371"/>
      <c r="F797" s="307"/>
      <c r="G797" s="477"/>
      <c r="H797" s="371"/>
      <c r="I797" s="371"/>
      <c r="J797" s="371"/>
      <c r="K797" s="371"/>
      <c r="L797" s="371"/>
      <c r="M797" s="371"/>
      <c r="N797" s="371"/>
      <c r="O797" s="371"/>
      <c r="P797" s="371"/>
      <c r="Q797" s="371"/>
      <c r="R797" s="371"/>
      <c r="S797" s="371"/>
      <c r="T797" s="371"/>
      <c r="U797" s="371"/>
      <c r="V797" s="371"/>
    </row>
    <row r="798">
      <c r="A798" s="371"/>
      <c r="B798" s="307"/>
      <c r="C798" s="307"/>
      <c r="D798" s="307"/>
      <c r="E798" s="371"/>
      <c r="F798" s="307"/>
      <c r="G798" s="477"/>
      <c r="H798" s="371"/>
      <c r="I798" s="371"/>
      <c r="J798" s="371"/>
      <c r="K798" s="371"/>
      <c r="L798" s="371"/>
      <c r="M798" s="371"/>
      <c r="N798" s="371"/>
      <c r="O798" s="371"/>
      <c r="P798" s="371"/>
      <c r="Q798" s="371"/>
      <c r="R798" s="371"/>
      <c r="S798" s="371"/>
      <c r="T798" s="371"/>
      <c r="U798" s="371"/>
      <c r="V798" s="371"/>
    </row>
    <row r="799">
      <c r="A799" s="371"/>
      <c r="B799" s="307"/>
      <c r="C799" s="307"/>
      <c r="D799" s="307"/>
      <c r="E799" s="371"/>
      <c r="F799" s="307"/>
      <c r="G799" s="477"/>
      <c r="H799" s="371"/>
      <c r="I799" s="371"/>
      <c r="J799" s="371"/>
      <c r="K799" s="371"/>
      <c r="L799" s="371"/>
      <c r="M799" s="371"/>
      <c r="N799" s="371"/>
      <c r="O799" s="371"/>
      <c r="P799" s="371"/>
      <c r="Q799" s="371"/>
      <c r="R799" s="371"/>
      <c r="S799" s="371"/>
      <c r="T799" s="371"/>
      <c r="U799" s="371"/>
      <c r="V799" s="371"/>
    </row>
    <row r="800">
      <c r="A800" s="371"/>
      <c r="B800" s="307"/>
      <c r="C800" s="307"/>
      <c r="D800" s="307"/>
      <c r="E800" s="371"/>
      <c r="F800" s="307"/>
      <c r="G800" s="477"/>
      <c r="H800" s="371"/>
      <c r="I800" s="371"/>
      <c r="J800" s="371"/>
      <c r="K800" s="371"/>
      <c r="L800" s="371"/>
      <c r="M800" s="371"/>
      <c r="N800" s="371"/>
      <c r="O800" s="371"/>
      <c r="P800" s="371"/>
      <c r="Q800" s="371"/>
      <c r="R800" s="371"/>
      <c r="S800" s="371"/>
      <c r="T800" s="371"/>
      <c r="U800" s="371"/>
      <c r="V800" s="371"/>
    </row>
    <row r="801">
      <c r="A801" s="371"/>
      <c r="B801" s="307"/>
      <c r="C801" s="307"/>
      <c r="D801" s="307"/>
      <c r="E801" s="371"/>
      <c r="F801" s="307"/>
      <c r="G801" s="477"/>
      <c r="H801" s="371"/>
      <c r="I801" s="371"/>
      <c r="J801" s="371"/>
      <c r="K801" s="371"/>
      <c r="L801" s="371"/>
      <c r="M801" s="371"/>
      <c r="N801" s="371"/>
      <c r="O801" s="371"/>
      <c r="P801" s="371"/>
      <c r="Q801" s="371"/>
      <c r="R801" s="371"/>
      <c r="S801" s="371"/>
      <c r="T801" s="371"/>
      <c r="U801" s="371"/>
      <c r="V801" s="371"/>
    </row>
    <row r="802">
      <c r="A802" s="371"/>
      <c r="B802" s="307"/>
      <c r="C802" s="307"/>
      <c r="D802" s="307"/>
      <c r="E802" s="371"/>
      <c r="F802" s="307"/>
      <c r="G802" s="477"/>
      <c r="H802" s="371"/>
      <c r="I802" s="371"/>
      <c r="J802" s="371"/>
      <c r="K802" s="371"/>
      <c r="L802" s="371"/>
      <c r="M802" s="371"/>
      <c r="N802" s="371"/>
      <c r="O802" s="371"/>
      <c r="P802" s="371"/>
      <c r="Q802" s="371"/>
      <c r="R802" s="371"/>
      <c r="S802" s="371"/>
      <c r="T802" s="371"/>
      <c r="U802" s="371"/>
      <c r="V802" s="371"/>
    </row>
    <row r="803">
      <c r="A803" s="371"/>
      <c r="B803" s="307"/>
      <c r="C803" s="307"/>
      <c r="D803" s="307"/>
      <c r="E803" s="371"/>
      <c r="F803" s="307"/>
      <c r="G803" s="477"/>
      <c r="H803" s="371"/>
      <c r="I803" s="371"/>
      <c r="J803" s="371"/>
      <c r="K803" s="371"/>
      <c r="L803" s="371"/>
      <c r="M803" s="371"/>
      <c r="N803" s="371"/>
      <c r="O803" s="371"/>
      <c r="P803" s="371"/>
      <c r="Q803" s="371"/>
      <c r="R803" s="371"/>
      <c r="S803" s="371"/>
      <c r="T803" s="371"/>
      <c r="U803" s="371"/>
      <c r="V803" s="371"/>
    </row>
    <row r="804">
      <c r="A804" s="371"/>
      <c r="B804" s="307"/>
      <c r="C804" s="307"/>
      <c r="D804" s="307"/>
      <c r="E804" s="371"/>
      <c r="F804" s="307"/>
      <c r="G804" s="477"/>
      <c r="H804" s="371"/>
      <c r="I804" s="371"/>
      <c r="J804" s="371"/>
      <c r="K804" s="371"/>
      <c r="L804" s="371"/>
      <c r="M804" s="371"/>
      <c r="N804" s="371"/>
      <c r="O804" s="371"/>
      <c r="P804" s="371"/>
      <c r="Q804" s="371"/>
      <c r="R804" s="371"/>
      <c r="S804" s="371"/>
      <c r="T804" s="371"/>
      <c r="U804" s="371"/>
      <c r="V804" s="371"/>
    </row>
    <row r="805">
      <c r="A805" s="371"/>
      <c r="B805" s="307"/>
      <c r="C805" s="307"/>
      <c r="D805" s="307"/>
      <c r="E805" s="371"/>
      <c r="F805" s="307"/>
      <c r="G805" s="477"/>
      <c r="H805" s="371"/>
      <c r="I805" s="371"/>
      <c r="J805" s="371"/>
      <c r="K805" s="371"/>
      <c r="L805" s="371"/>
      <c r="M805" s="371"/>
      <c r="N805" s="371"/>
      <c r="O805" s="371"/>
      <c r="P805" s="371"/>
      <c r="Q805" s="371"/>
      <c r="R805" s="371"/>
      <c r="S805" s="371"/>
      <c r="T805" s="371"/>
      <c r="U805" s="371"/>
      <c r="V805" s="371"/>
    </row>
    <row r="806">
      <c r="A806" s="371"/>
      <c r="B806" s="307"/>
      <c r="C806" s="307"/>
      <c r="D806" s="307"/>
      <c r="E806" s="371"/>
      <c r="F806" s="307"/>
      <c r="G806" s="477"/>
      <c r="H806" s="371"/>
      <c r="I806" s="371"/>
      <c r="J806" s="371"/>
      <c r="K806" s="371"/>
      <c r="L806" s="371"/>
      <c r="M806" s="371"/>
      <c r="N806" s="371"/>
      <c r="O806" s="371"/>
      <c r="P806" s="371"/>
      <c r="Q806" s="371"/>
      <c r="R806" s="371"/>
      <c r="S806" s="371"/>
      <c r="T806" s="371"/>
      <c r="U806" s="371"/>
      <c r="V806" s="371"/>
    </row>
    <row r="807">
      <c r="A807" s="371"/>
      <c r="B807" s="307"/>
      <c r="C807" s="307"/>
      <c r="D807" s="307"/>
      <c r="E807" s="371"/>
      <c r="F807" s="307"/>
      <c r="G807" s="477"/>
      <c r="H807" s="371"/>
      <c r="I807" s="371"/>
      <c r="J807" s="371"/>
      <c r="K807" s="371"/>
      <c r="L807" s="371"/>
      <c r="M807" s="371"/>
      <c r="N807" s="371"/>
      <c r="O807" s="371"/>
      <c r="P807" s="371"/>
      <c r="Q807" s="371"/>
      <c r="R807" s="371"/>
      <c r="S807" s="371"/>
      <c r="T807" s="371"/>
      <c r="U807" s="371"/>
      <c r="V807" s="371"/>
    </row>
    <row r="808">
      <c r="A808" s="371"/>
      <c r="B808" s="307"/>
      <c r="C808" s="307"/>
      <c r="D808" s="307"/>
      <c r="E808" s="371"/>
      <c r="F808" s="307"/>
      <c r="G808" s="477"/>
      <c r="H808" s="371"/>
      <c r="I808" s="371"/>
      <c r="J808" s="371"/>
      <c r="K808" s="371"/>
      <c r="L808" s="371"/>
      <c r="M808" s="371"/>
      <c r="N808" s="371"/>
      <c r="O808" s="371"/>
      <c r="P808" s="371"/>
      <c r="Q808" s="371"/>
      <c r="R808" s="371"/>
      <c r="S808" s="371"/>
      <c r="T808" s="371"/>
      <c r="U808" s="371"/>
      <c r="V808" s="371"/>
    </row>
    <row r="809">
      <c r="A809" s="371"/>
      <c r="B809" s="307"/>
      <c r="C809" s="307"/>
      <c r="D809" s="307"/>
      <c r="E809" s="371"/>
      <c r="F809" s="307"/>
      <c r="G809" s="477"/>
      <c r="H809" s="371"/>
      <c r="I809" s="371"/>
      <c r="J809" s="371"/>
      <c r="K809" s="371"/>
      <c r="L809" s="371"/>
      <c r="M809" s="371"/>
      <c r="N809" s="371"/>
      <c r="O809" s="371"/>
      <c r="P809" s="371"/>
      <c r="Q809" s="371"/>
      <c r="R809" s="371"/>
      <c r="S809" s="371"/>
      <c r="T809" s="371"/>
      <c r="U809" s="371"/>
      <c r="V809" s="371"/>
    </row>
    <row r="810">
      <c r="A810" s="371"/>
      <c r="B810" s="307"/>
      <c r="C810" s="307"/>
      <c r="D810" s="307"/>
      <c r="E810" s="371"/>
      <c r="F810" s="307"/>
      <c r="G810" s="477"/>
      <c r="H810" s="371"/>
      <c r="I810" s="371"/>
      <c r="J810" s="371"/>
      <c r="K810" s="371"/>
      <c r="L810" s="371"/>
      <c r="M810" s="371"/>
      <c r="N810" s="371"/>
      <c r="O810" s="371"/>
      <c r="P810" s="371"/>
      <c r="Q810" s="371"/>
      <c r="R810" s="371"/>
      <c r="S810" s="371"/>
      <c r="T810" s="371"/>
      <c r="U810" s="371"/>
      <c r="V810" s="371"/>
    </row>
    <row r="811">
      <c r="A811" s="371"/>
      <c r="B811" s="307"/>
      <c r="C811" s="307"/>
      <c r="D811" s="307"/>
      <c r="E811" s="371"/>
      <c r="F811" s="307"/>
      <c r="G811" s="477"/>
      <c r="H811" s="371"/>
      <c r="I811" s="371"/>
      <c r="J811" s="371"/>
      <c r="K811" s="371"/>
      <c r="L811" s="371"/>
      <c r="M811" s="371"/>
      <c r="N811" s="371"/>
      <c r="O811" s="371"/>
      <c r="P811" s="371"/>
      <c r="Q811" s="371"/>
      <c r="R811" s="371"/>
      <c r="S811" s="371"/>
      <c r="T811" s="371"/>
      <c r="U811" s="371"/>
      <c r="V811" s="371"/>
    </row>
    <row r="812">
      <c r="A812" s="371"/>
      <c r="B812" s="307"/>
      <c r="C812" s="307"/>
      <c r="D812" s="307"/>
      <c r="E812" s="371"/>
      <c r="F812" s="307"/>
      <c r="G812" s="477"/>
      <c r="H812" s="371"/>
      <c r="I812" s="371"/>
      <c r="J812" s="371"/>
      <c r="K812" s="371"/>
      <c r="L812" s="371"/>
      <c r="M812" s="371"/>
      <c r="N812" s="371"/>
      <c r="O812" s="371"/>
      <c r="P812" s="371"/>
      <c r="Q812" s="371"/>
      <c r="R812" s="371"/>
      <c r="S812" s="371"/>
      <c r="T812" s="371"/>
      <c r="U812" s="371"/>
      <c r="V812" s="371"/>
    </row>
    <row r="813">
      <c r="A813" s="371"/>
      <c r="B813" s="307"/>
      <c r="C813" s="307"/>
      <c r="D813" s="307"/>
      <c r="E813" s="371"/>
      <c r="F813" s="307"/>
      <c r="G813" s="477"/>
      <c r="H813" s="371"/>
      <c r="I813" s="371"/>
      <c r="J813" s="371"/>
      <c r="K813" s="371"/>
      <c r="L813" s="371"/>
      <c r="M813" s="371"/>
      <c r="N813" s="371"/>
      <c r="O813" s="371"/>
      <c r="P813" s="371"/>
      <c r="Q813" s="371"/>
      <c r="R813" s="371"/>
      <c r="S813" s="371"/>
      <c r="T813" s="371"/>
      <c r="U813" s="371"/>
      <c r="V813" s="371"/>
    </row>
    <row r="814">
      <c r="A814" s="371"/>
      <c r="B814" s="307"/>
      <c r="C814" s="307"/>
      <c r="D814" s="307"/>
      <c r="E814" s="371"/>
      <c r="F814" s="307"/>
      <c r="G814" s="477"/>
      <c r="H814" s="371"/>
      <c r="I814" s="371"/>
      <c r="J814" s="371"/>
      <c r="K814" s="371"/>
      <c r="L814" s="371"/>
      <c r="M814" s="371"/>
      <c r="N814" s="371"/>
      <c r="O814" s="371"/>
      <c r="P814" s="371"/>
      <c r="Q814" s="371"/>
      <c r="R814" s="371"/>
      <c r="S814" s="371"/>
      <c r="T814" s="371"/>
      <c r="U814" s="371"/>
      <c r="V814" s="371"/>
    </row>
    <row r="815">
      <c r="A815" s="371"/>
      <c r="B815" s="307"/>
      <c r="C815" s="307"/>
      <c r="D815" s="307"/>
      <c r="E815" s="371"/>
      <c r="F815" s="307"/>
      <c r="G815" s="477"/>
      <c r="H815" s="371"/>
      <c r="I815" s="371"/>
      <c r="J815" s="371"/>
      <c r="K815" s="371"/>
      <c r="L815" s="371"/>
      <c r="M815" s="371"/>
      <c r="N815" s="371"/>
      <c r="O815" s="371"/>
      <c r="P815" s="371"/>
      <c r="Q815" s="371"/>
      <c r="R815" s="371"/>
      <c r="S815" s="371"/>
      <c r="T815" s="371"/>
      <c r="U815" s="371"/>
      <c r="V815" s="371"/>
    </row>
    <row r="816">
      <c r="A816" s="371"/>
      <c r="B816" s="307"/>
      <c r="C816" s="307"/>
      <c r="D816" s="307"/>
      <c r="E816" s="371"/>
      <c r="F816" s="307"/>
      <c r="G816" s="477"/>
      <c r="H816" s="371"/>
      <c r="I816" s="371"/>
      <c r="J816" s="371"/>
      <c r="K816" s="371"/>
      <c r="L816" s="371"/>
      <c r="M816" s="371"/>
      <c r="N816" s="371"/>
      <c r="O816" s="371"/>
      <c r="P816" s="371"/>
      <c r="Q816" s="371"/>
      <c r="R816" s="371"/>
      <c r="S816" s="371"/>
      <c r="T816" s="371"/>
      <c r="U816" s="371"/>
      <c r="V816" s="371"/>
    </row>
    <row r="817">
      <c r="A817" s="371"/>
      <c r="B817" s="307"/>
      <c r="C817" s="307"/>
      <c r="D817" s="307"/>
      <c r="E817" s="371"/>
      <c r="F817" s="307"/>
      <c r="G817" s="477"/>
      <c r="H817" s="371"/>
      <c r="I817" s="371"/>
      <c r="J817" s="371"/>
      <c r="K817" s="371"/>
      <c r="L817" s="371"/>
      <c r="M817" s="371"/>
      <c r="N817" s="371"/>
      <c r="O817" s="371"/>
      <c r="P817" s="371"/>
      <c r="Q817" s="371"/>
      <c r="R817" s="371"/>
      <c r="S817" s="371"/>
      <c r="T817" s="371"/>
      <c r="U817" s="371"/>
      <c r="V817" s="371"/>
    </row>
    <row r="818">
      <c r="A818" s="371"/>
      <c r="B818" s="307"/>
      <c r="C818" s="307"/>
      <c r="D818" s="307"/>
      <c r="E818" s="371"/>
      <c r="F818" s="307"/>
      <c r="G818" s="477"/>
      <c r="H818" s="371"/>
      <c r="I818" s="371"/>
      <c r="J818" s="371"/>
      <c r="K818" s="371"/>
      <c r="L818" s="371"/>
      <c r="M818" s="371"/>
      <c r="N818" s="371"/>
      <c r="O818" s="371"/>
      <c r="P818" s="371"/>
      <c r="Q818" s="371"/>
      <c r="R818" s="371"/>
      <c r="S818" s="371"/>
      <c r="T818" s="371"/>
      <c r="U818" s="371"/>
      <c r="V818" s="371"/>
    </row>
    <row r="819">
      <c r="A819" s="371"/>
      <c r="B819" s="307"/>
      <c r="C819" s="307"/>
      <c r="D819" s="307"/>
      <c r="E819" s="371"/>
      <c r="F819" s="307"/>
      <c r="G819" s="477"/>
      <c r="H819" s="371"/>
      <c r="I819" s="371"/>
      <c r="J819" s="371"/>
      <c r="K819" s="371"/>
      <c r="L819" s="371"/>
      <c r="M819" s="371"/>
      <c r="N819" s="371"/>
      <c r="O819" s="371"/>
      <c r="P819" s="371"/>
      <c r="Q819" s="371"/>
      <c r="R819" s="371"/>
      <c r="S819" s="371"/>
      <c r="T819" s="371"/>
      <c r="U819" s="371"/>
      <c r="V819" s="371"/>
    </row>
    <row r="820">
      <c r="A820" s="371"/>
      <c r="B820" s="307"/>
      <c r="C820" s="307"/>
      <c r="D820" s="307"/>
      <c r="E820" s="371"/>
      <c r="F820" s="307"/>
      <c r="G820" s="477"/>
      <c r="H820" s="371"/>
      <c r="I820" s="371"/>
      <c r="J820" s="371"/>
      <c r="K820" s="371"/>
      <c r="L820" s="371"/>
      <c r="M820" s="371"/>
      <c r="N820" s="371"/>
      <c r="O820" s="371"/>
      <c r="P820" s="371"/>
      <c r="Q820" s="371"/>
      <c r="R820" s="371"/>
      <c r="S820" s="371"/>
      <c r="T820" s="371"/>
      <c r="U820" s="371"/>
      <c r="V820" s="371"/>
    </row>
    <row r="821">
      <c r="A821" s="371"/>
      <c r="B821" s="307"/>
      <c r="C821" s="307"/>
      <c r="D821" s="307"/>
      <c r="E821" s="371"/>
      <c r="F821" s="307"/>
      <c r="G821" s="477"/>
      <c r="H821" s="371"/>
      <c r="I821" s="371"/>
      <c r="J821" s="371"/>
      <c r="K821" s="371"/>
      <c r="L821" s="371"/>
      <c r="M821" s="371"/>
      <c r="N821" s="371"/>
      <c r="O821" s="371"/>
      <c r="P821" s="371"/>
      <c r="Q821" s="371"/>
      <c r="R821" s="371"/>
      <c r="S821" s="371"/>
      <c r="T821" s="371"/>
      <c r="U821" s="371"/>
      <c r="V821" s="371"/>
    </row>
    <row r="822">
      <c r="A822" s="371"/>
      <c r="B822" s="307"/>
      <c r="C822" s="307"/>
      <c r="D822" s="307"/>
      <c r="E822" s="371"/>
      <c r="F822" s="307"/>
      <c r="G822" s="477"/>
      <c r="H822" s="371"/>
      <c r="I822" s="371"/>
      <c r="J822" s="371"/>
      <c r="K822" s="371"/>
      <c r="L822" s="371"/>
      <c r="M822" s="371"/>
      <c r="N822" s="371"/>
      <c r="O822" s="371"/>
      <c r="P822" s="371"/>
      <c r="Q822" s="371"/>
      <c r="R822" s="371"/>
      <c r="S822" s="371"/>
      <c r="T822" s="371"/>
      <c r="U822" s="371"/>
      <c r="V822" s="371"/>
    </row>
    <row r="823">
      <c r="A823" s="371"/>
      <c r="B823" s="307"/>
      <c r="C823" s="307"/>
      <c r="D823" s="307"/>
      <c r="E823" s="371"/>
      <c r="F823" s="307"/>
      <c r="G823" s="477"/>
      <c r="H823" s="371"/>
      <c r="I823" s="371"/>
      <c r="J823" s="371"/>
      <c r="K823" s="371"/>
      <c r="L823" s="371"/>
      <c r="M823" s="371"/>
      <c r="N823" s="371"/>
      <c r="O823" s="371"/>
      <c r="P823" s="371"/>
      <c r="Q823" s="371"/>
      <c r="R823" s="371"/>
      <c r="S823" s="371"/>
      <c r="T823" s="371"/>
      <c r="U823" s="371"/>
      <c r="V823" s="371"/>
    </row>
    <row r="824">
      <c r="A824" s="371"/>
      <c r="B824" s="307"/>
      <c r="C824" s="307"/>
      <c r="D824" s="307"/>
      <c r="E824" s="371"/>
      <c r="F824" s="307"/>
      <c r="G824" s="477"/>
      <c r="H824" s="371"/>
      <c r="I824" s="371"/>
      <c r="J824" s="371"/>
      <c r="K824" s="371"/>
      <c r="L824" s="371"/>
      <c r="M824" s="371"/>
      <c r="N824" s="371"/>
      <c r="O824" s="371"/>
      <c r="P824" s="371"/>
      <c r="Q824" s="371"/>
      <c r="R824" s="371"/>
      <c r="S824" s="371"/>
      <c r="T824" s="371"/>
      <c r="U824" s="371"/>
      <c r="V824" s="371"/>
    </row>
    <row r="825">
      <c r="A825" s="371"/>
      <c r="B825" s="307"/>
      <c r="C825" s="307"/>
      <c r="D825" s="307"/>
      <c r="E825" s="371"/>
      <c r="F825" s="307"/>
      <c r="G825" s="477"/>
      <c r="H825" s="371"/>
      <c r="I825" s="371"/>
      <c r="J825" s="371"/>
      <c r="K825" s="371"/>
      <c r="L825" s="371"/>
      <c r="M825" s="371"/>
      <c r="N825" s="371"/>
      <c r="O825" s="371"/>
      <c r="P825" s="371"/>
      <c r="Q825" s="371"/>
      <c r="R825" s="371"/>
      <c r="S825" s="371"/>
      <c r="T825" s="371"/>
      <c r="U825" s="371"/>
      <c r="V825" s="371"/>
    </row>
    <row r="826">
      <c r="A826" s="371"/>
      <c r="B826" s="307"/>
      <c r="C826" s="307"/>
      <c r="D826" s="307"/>
      <c r="E826" s="371"/>
      <c r="F826" s="307"/>
      <c r="G826" s="477"/>
      <c r="H826" s="371"/>
      <c r="I826" s="371"/>
      <c r="J826" s="371"/>
      <c r="K826" s="371"/>
      <c r="L826" s="371"/>
      <c r="M826" s="371"/>
      <c r="N826" s="371"/>
      <c r="O826" s="371"/>
      <c r="P826" s="371"/>
      <c r="Q826" s="371"/>
      <c r="R826" s="371"/>
      <c r="S826" s="371"/>
      <c r="T826" s="371"/>
      <c r="U826" s="371"/>
      <c r="V826" s="371"/>
    </row>
    <row r="827">
      <c r="A827" s="371"/>
      <c r="B827" s="307"/>
      <c r="C827" s="307"/>
      <c r="D827" s="307"/>
      <c r="E827" s="371"/>
      <c r="F827" s="307"/>
      <c r="G827" s="477"/>
      <c r="H827" s="371"/>
      <c r="I827" s="371"/>
      <c r="J827" s="371"/>
      <c r="K827" s="371"/>
      <c r="L827" s="371"/>
      <c r="M827" s="371"/>
      <c r="N827" s="371"/>
      <c r="O827" s="371"/>
      <c r="P827" s="371"/>
      <c r="Q827" s="371"/>
      <c r="R827" s="371"/>
      <c r="S827" s="371"/>
      <c r="T827" s="371"/>
      <c r="U827" s="371"/>
      <c r="V827" s="371"/>
    </row>
    <row r="828">
      <c r="A828" s="371"/>
      <c r="B828" s="307"/>
      <c r="C828" s="307"/>
      <c r="D828" s="307"/>
      <c r="E828" s="371"/>
      <c r="F828" s="307"/>
      <c r="G828" s="477"/>
      <c r="H828" s="371"/>
      <c r="I828" s="371"/>
      <c r="J828" s="371"/>
      <c r="K828" s="371"/>
      <c r="L828" s="371"/>
      <c r="M828" s="371"/>
      <c r="N828" s="371"/>
      <c r="O828" s="371"/>
      <c r="P828" s="371"/>
      <c r="Q828" s="371"/>
      <c r="R828" s="371"/>
      <c r="S828" s="371"/>
      <c r="T828" s="371"/>
      <c r="U828" s="371"/>
      <c r="V828" s="371"/>
    </row>
    <row r="829">
      <c r="A829" s="371"/>
      <c r="B829" s="307"/>
      <c r="C829" s="307"/>
      <c r="D829" s="307"/>
      <c r="E829" s="371"/>
      <c r="F829" s="307"/>
      <c r="G829" s="477"/>
      <c r="H829" s="371"/>
      <c r="I829" s="371"/>
      <c r="J829" s="371"/>
      <c r="K829" s="371"/>
      <c r="L829" s="371"/>
      <c r="M829" s="371"/>
      <c r="N829" s="371"/>
      <c r="O829" s="371"/>
      <c r="P829" s="371"/>
      <c r="Q829" s="371"/>
      <c r="R829" s="371"/>
      <c r="S829" s="371"/>
      <c r="T829" s="371"/>
      <c r="U829" s="371"/>
      <c r="V829" s="371"/>
    </row>
    <row r="830">
      <c r="A830" s="371"/>
      <c r="B830" s="307"/>
      <c r="C830" s="307"/>
      <c r="D830" s="307"/>
      <c r="E830" s="371"/>
      <c r="F830" s="307"/>
      <c r="G830" s="477"/>
      <c r="H830" s="371"/>
      <c r="I830" s="371"/>
      <c r="J830" s="371"/>
      <c r="K830" s="371"/>
      <c r="L830" s="371"/>
      <c r="M830" s="371"/>
      <c r="N830" s="371"/>
      <c r="O830" s="371"/>
      <c r="P830" s="371"/>
      <c r="Q830" s="371"/>
      <c r="R830" s="371"/>
      <c r="S830" s="371"/>
      <c r="T830" s="371"/>
      <c r="U830" s="371"/>
      <c r="V830" s="371"/>
    </row>
    <row r="831">
      <c r="A831" s="371"/>
      <c r="B831" s="307"/>
      <c r="C831" s="307"/>
      <c r="D831" s="307"/>
      <c r="E831" s="371"/>
      <c r="F831" s="307"/>
      <c r="G831" s="477"/>
      <c r="H831" s="371"/>
      <c r="I831" s="371"/>
      <c r="J831" s="371"/>
      <c r="K831" s="371"/>
      <c r="L831" s="371"/>
      <c r="M831" s="371"/>
      <c r="N831" s="371"/>
      <c r="O831" s="371"/>
      <c r="P831" s="371"/>
      <c r="Q831" s="371"/>
      <c r="R831" s="371"/>
      <c r="S831" s="371"/>
      <c r="T831" s="371"/>
      <c r="U831" s="371"/>
      <c r="V831" s="371"/>
    </row>
    <row r="832">
      <c r="A832" s="371"/>
      <c r="B832" s="307"/>
      <c r="C832" s="307"/>
      <c r="D832" s="307"/>
      <c r="E832" s="371"/>
      <c r="F832" s="307"/>
      <c r="G832" s="477"/>
      <c r="H832" s="371"/>
      <c r="I832" s="371"/>
      <c r="J832" s="371"/>
      <c r="K832" s="371"/>
      <c r="L832" s="371"/>
      <c r="M832" s="371"/>
      <c r="N832" s="371"/>
      <c r="O832" s="371"/>
      <c r="P832" s="371"/>
      <c r="Q832" s="371"/>
      <c r="R832" s="371"/>
      <c r="S832" s="371"/>
      <c r="T832" s="371"/>
      <c r="U832" s="371"/>
      <c r="V832" s="371"/>
    </row>
    <row r="833">
      <c r="A833" s="371"/>
      <c r="B833" s="307"/>
      <c r="C833" s="307"/>
      <c r="D833" s="307"/>
      <c r="E833" s="371"/>
      <c r="F833" s="307"/>
      <c r="G833" s="477"/>
      <c r="H833" s="371"/>
      <c r="I833" s="371"/>
      <c r="J833" s="371"/>
      <c r="K833" s="371"/>
      <c r="L833" s="371"/>
      <c r="M833" s="371"/>
      <c r="N833" s="371"/>
      <c r="O833" s="371"/>
      <c r="P833" s="371"/>
      <c r="Q833" s="371"/>
      <c r="R833" s="371"/>
      <c r="S833" s="371"/>
      <c r="T833" s="371"/>
      <c r="U833" s="371"/>
      <c r="V833" s="371"/>
    </row>
    <row r="834">
      <c r="A834" s="371"/>
      <c r="B834" s="307"/>
      <c r="C834" s="307"/>
      <c r="D834" s="307"/>
      <c r="E834" s="371"/>
      <c r="F834" s="307"/>
      <c r="G834" s="477"/>
      <c r="H834" s="371"/>
      <c r="I834" s="371"/>
      <c r="J834" s="371"/>
      <c r="K834" s="371"/>
      <c r="L834" s="371"/>
      <c r="M834" s="371"/>
      <c r="N834" s="371"/>
      <c r="O834" s="371"/>
      <c r="P834" s="371"/>
      <c r="Q834" s="371"/>
      <c r="R834" s="371"/>
      <c r="S834" s="371"/>
      <c r="T834" s="371"/>
      <c r="U834" s="371"/>
      <c r="V834" s="371"/>
    </row>
    <row r="835">
      <c r="A835" s="371"/>
      <c r="B835" s="307"/>
      <c r="C835" s="307"/>
      <c r="D835" s="307"/>
      <c r="E835" s="371"/>
      <c r="F835" s="307"/>
      <c r="G835" s="477"/>
      <c r="H835" s="371"/>
      <c r="I835" s="371"/>
      <c r="J835" s="371"/>
      <c r="K835" s="371"/>
      <c r="L835" s="371"/>
      <c r="M835" s="371"/>
      <c r="N835" s="371"/>
      <c r="O835" s="371"/>
      <c r="P835" s="371"/>
      <c r="Q835" s="371"/>
      <c r="R835" s="371"/>
      <c r="S835" s="371"/>
      <c r="T835" s="371"/>
      <c r="U835" s="371"/>
      <c r="V835" s="371"/>
    </row>
    <row r="836">
      <c r="A836" s="371"/>
      <c r="B836" s="307"/>
      <c r="C836" s="307"/>
      <c r="D836" s="307"/>
      <c r="E836" s="371"/>
      <c r="F836" s="307"/>
      <c r="G836" s="477"/>
      <c r="H836" s="371"/>
      <c r="I836" s="371"/>
      <c r="J836" s="371"/>
      <c r="K836" s="371"/>
      <c r="L836" s="371"/>
      <c r="M836" s="371"/>
      <c r="N836" s="371"/>
      <c r="O836" s="371"/>
      <c r="P836" s="371"/>
      <c r="Q836" s="371"/>
      <c r="R836" s="371"/>
      <c r="S836" s="371"/>
      <c r="T836" s="371"/>
      <c r="U836" s="371"/>
      <c r="V836" s="371"/>
    </row>
    <row r="837">
      <c r="A837" s="371"/>
      <c r="B837" s="307"/>
      <c r="C837" s="307"/>
      <c r="D837" s="307"/>
      <c r="E837" s="371"/>
      <c r="F837" s="307"/>
      <c r="G837" s="477"/>
      <c r="H837" s="371"/>
      <c r="I837" s="371"/>
      <c r="J837" s="371"/>
      <c r="K837" s="371"/>
      <c r="L837" s="371"/>
      <c r="M837" s="371"/>
      <c r="N837" s="371"/>
      <c r="O837" s="371"/>
      <c r="P837" s="371"/>
      <c r="Q837" s="371"/>
      <c r="R837" s="371"/>
      <c r="S837" s="371"/>
      <c r="T837" s="371"/>
      <c r="U837" s="371"/>
      <c r="V837" s="371"/>
    </row>
    <row r="838">
      <c r="A838" s="371"/>
      <c r="B838" s="307"/>
      <c r="C838" s="307"/>
      <c r="D838" s="307"/>
      <c r="E838" s="371"/>
      <c r="F838" s="307"/>
      <c r="G838" s="477"/>
      <c r="H838" s="371"/>
      <c r="I838" s="371"/>
      <c r="J838" s="371"/>
      <c r="K838" s="371"/>
      <c r="L838" s="371"/>
      <c r="M838" s="371"/>
      <c r="N838" s="371"/>
      <c r="O838" s="371"/>
      <c r="P838" s="371"/>
      <c r="Q838" s="371"/>
      <c r="R838" s="371"/>
      <c r="S838" s="371"/>
      <c r="T838" s="371"/>
      <c r="U838" s="371"/>
      <c r="V838" s="371"/>
    </row>
    <row r="839">
      <c r="A839" s="371"/>
      <c r="B839" s="307"/>
      <c r="C839" s="307"/>
      <c r="D839" s="307"/>
      <c r="E839" s="371"/>
      <c r="F839" s="307"/>
      <c r="G839" s="477"/>
      <c r="H839" s="371"/>
      <c r="I839" s="371"/>
      <c r="J839" s="371"/>
      <c r="K839" s="371"/>
      <c r="L839" s="371"/>
      <c r="M839" s="371"/>
      <c r="N839" s="371"/>
      <c r="O839" s="371"/>
      <c r="P839" s="371"/>
      <c r="Q839" s="371"/>
      <c r="R839" s="371"/>
      <c r="S839" s="371"/>
      <c r="T839" s="371"/>
      <c r="U839" s="371"/>
      <c r="V839" s="371"/>
    </row>
    <row r="840">
      <c r="A840" s="371"/>
      <c r="B840" s="307"/>
      <c r="C840" s="307"/>
      <c r="D840" s="307"/>
      <c r="E840" s="371"/>
      <c r="F840" s="307"/>
      <c r="G840" s="477"/>
      <c r="H840" s="371"/>
      <c r="I840" s="371"/>
      <c r="J840" s="371"/>
      <c r="K840" s="371"/>
      <c r="L840" s="371"/>
      <c r="M840" s="371"/>
      <c r="N840" s="371"/>
      <c r="O840" s="371"/>
      <c r="P840" s="371"/>
      <c r="Q840" s="371"/>
      <c r="R840" s="371"/>
      <c r="S840" s="371"/>
      <c r="T840" s="371"/>
      <c r="U840" s="371"/>
      <c r="V840" s="371"/>
    </row>
    <row r="841">
      <c r="A841" s="371"/>
      <c r="B841" s="307"/>
      <c r="C841" s="307"/>
      <c r="D841" s="307"/>
      <c r="E841" s="371"/>
      <c r="F841" s="307"/>
      <c r="G841" s="477"/>
      <c r="H841" s="371"/>
      <c r="I841" s="371"/>
      <c r="J841" s="371"/>
      <c r="K841" s="371"/>
      <c r="L841" s="371"/>
      <c r="M841" s="371"/>
      <c r="N841" s="371"/>
      <c r="O841" s="371"/>
      <c r="P841" s="371"/>
      <c r="Q841" s="371"/>
      <c r="R841" s="371"/>
      <c r="S841" s="371"/>
      <c r="T841" s="371"/>
      <c r="U841" s="371"/>
      <c r="V841" s="371"/>
    </row>
    <row r="842">
      <c r="A842" s="371"/>
      <c r="B842" s="307"/>
      <c r="C842" s="307"/>
      <c r="D842" s="307"/>
      <c r="E842" s="371"/>
      <c r="F842" s="307"/>
      <c r="G842" s="477"/>
      <c r="H842" s="371"/>
      <c r="I842" s="371"/>
      <c r="J842" s="371"/>
      <c r="K842" s="371"/>
      <c r="L842" s="371"/>
      <c r="M842" s="371"/>
      <c r="N842" s="371"/>
      <c r="O842" s="371"/>
      <c r="P842" s="371"/>
      <c r="Q842" s="371"/>
      <c r="R842" s="371"/>
      <c r="S842" s="371"/>
      <c r="T842" s="371"/>
      <c r="U842" s="371"/>
      <c r="V842" s="371"/>
    </row>
    <row r="843">
      <c r="A843" s="371"/>
      <c r="B843" s="307"/>
      <c r="C843" s="307"/>
      <c r="D843" s="307"/>
      <c r="E843" s="371"/>
      <c r="F843" s="307"/>
      <c r="G843" s="477"/>
      <c r="H843" s="371"/>
      <c r="I843" s="371"/>
      <c r="J843" s="371"/>
      <c r="K843" s="371"/>
      <c r="L843" s="371"/>
      <c r="M843" s="371"/>
      <c r="N843" s="371"/>
      <c r="O843" s="371"/>
      <c r="P843" s="371"/>
      <c r="Q843" s="371"/>
      <c r="R843" s="371"/>
      <c r="S843" s="371"/>
      <c r="T843" s="371"/>
      <c r="U843" s="371"/>
      <c r="V843" s="371"/>
    </row>
    <row r="844">
      <c r="A844" s="371"/>
      <c r="B844" s="307"/>
      <c r="C844" s="307"/>
      <c r="D844" s="307"/>
      <c r="E844" s="371"/>
      <c r="F844" s="307"/>
      <c r="G844" s="477"/>
      <c r="H844" s="371"/>
      <c r="I844" s="371"/>
      <c r="J844" s="371"/>
      <c r="K844" s="371"/>
      <c r="L844" s="371"/>
      <c r="M844" s="371"/>
      <c r="N844" s="371"/>
      <c r="O844" s="371"/>
      <c r="P844" s="371"/>
      <c r="Q844" s="371"/>
      <c r="R844" s="371"/>
      <c r="S844" s="371"/>
      <c r="T844" s="371"/>
      <c r="U844" s="371"/>
      <c r="V844" s="371"/>
    </row>
    <row r="845">
      <c r="A845" s="371"/>
      <c r="B845" s="307"/>
      <c r="C845" s="307"/>
      <c r="D845" s="307"/>
      <c r="E845" s="371"/>
      <c r="F845" s="307"/>
      <c r="G845" s="477"/>
      <c r="H845" s="371"/>
      <c r="I845" s="371"/>
      <c r="J845" s="371"/>
      <c r="K845" s="371"/>
      <c r="L845" s="371"/>
      <c r="M845" s="371"/>
      <c r="N845" s="371"/>
      <c r="O845" s="371"/>
      <c r="P845" s="371"/>
      <c r="Q845" s="371"/>
      <c r="R845" s="371"/>
      <c r="S845" s="371"/>
      <c r="T845" s="371"/>
      <c r="U845" s="371"/>
      <c r="V845" s="371"/>
    </row>
    <row r="846">
      <c r="A846" s="371"/>
      <c r="B846" s="307"/>
      <c r="C846" s="307"/>
      <c r="D846" s="307"/>
      <c r="E846" s="371"/>
      <c r="F846" s="307"/>
      <c r="G846" s="477"/>
      <c r="H846" s="371"/>
      <c r="I846" s="371"/>
      <c r="J846" s="371"/>
      <c r="K846" s="371"/>
      <c r="L846" s="371"/>
      <c r="M846" s="371"/>
      <c r="N846" s="371"/>
      <c r="O846" s="371"/>
      <c r="P846" s="371"/>
      <c r="Q846" s="371"/>
      <c r="R846" s="371"/>
      <c r="S846" s="371"/>
      <c r="T846" s="371"/>
      <c r="U846" s="371"/>
      <c r="V846" s="371"/>
    </row>
    <row r="847">
      <c r="A847" s="371"/>
      <c r="B847" s="307"/>
      <c r="C847" s="307"/>
      <c r="D847" s="307"/>
      <c r="E847" s="371"/>
      <c r="F847" s="307"/>
      <c r="G847" s="477"/>
      <c r="H847" s="371"/>
      <c r="I847" s="371"/>
      <c r="J847" s="371"/>
      <c r="K847" s="371"/>
      <c r="L847" s="371"/>
      <c r="M847" s="371"/>
      <c r="N847" s="371"/>
      <c r="O847" s="371"/>
      <c r="P847" s="371"/>
      <c r="Q847" s="371"/>
      <c r="R847" s="371"/>
      <c r="S847" s="371"/>
      <c r="T847" s="371"/>
      <c r="U847" s="371"/>
      <c r="V847" s="371"/>
    </row>
    <row r="848">
      <c r="A848" s="371"/>
      <c r="B848" s="307"/>
      <c r="C848" s="307"/>
      <c r="D848" s="307"/>
      <c r="E848" s="371"/>
      <c r="F848" s="307"/>
      <c r="G848" s="477"/>
      <c r="H848" s="371"/>
      <c r="I848" s="371"/>
      <c r="J848" s="371"/>
      <c r="K848" s="371"/>
      <c r="L848" s="371"/>
      <c r="M848" s="371"/>
      <c r="N848" s="371"/>
      <c r="O848" s="371"/>
      <c r="P848" s="371"/>
      <c r="Q848" s="371"/>
      <c r="R848" s="371"/>
      <c r="S848" s="371"/>
      <c r="T848" s="371"/>
      <c r="U848" s="371"/>
      <c r="V848" s="371"/>
    </row>
    <row r="849">
      <c r="A849" s="371"/>
      <c r="B849" s="307"/>
      <c r="C849" s="307"/>
      <c r="D849" s="307"/>
      <c r="E849" s="371"/>
      <c r="F849" s="307"/>
      <c r="G849" s="477"/>
      <c r="H849" s="371"/>
      <c r="I849" s="371"/>
      <c r="J849" s="371"/>
      <c r="K849" s="371"/>
      <c r="L849" s="371"/>
      <c r="M849" s="371"/>
      <c r="N849" s="371"/>
      <c r="O849" s="371"/>
      <c r="P849" s="371"/>
      <c r="Q849" s="371"/>
      <c r="R849" s="371"/>
      <c r="S849" s="371"/>
      <c r="T849" s="371"/>
      <c r="U849" s="371"/>
      <c r="V849" s="371"/>
    </row>
    <row r="850">
      <c r="A850" s="371"/>
      <c r="B850" s="307"/>
      <c r="C850" s="307"/>
      <c r="D850" s="307"/>
      <c r="E850" s="371"/>
      <c r="F850" s="307"/>
      <c r="G850" s="477"/>
      <c r="H850" s="371"/>
      <c r="I850" s="371"/>
      <c r="J850" s="371"/>
      <c r="K850" s="371"/>
      <c r="L850" s="371"/>
      <c r="M850" s="371"/>
      <c r="N850" s="371"/>
      <c r="O850" s="371"/>
      <c r="P850" s="371"/>
      <c r="Q850" s="371"/>
      <c r="R850" s="371"/>
      <c r="S850" s="371"/>
      <c r="T850" s="371"/>
      <c r="U850" s="371"/>
      <c r="V850" s="371"/>
    </row>
    <row r="851">
      <c r="A851" s="371"/>
      <c r="B851" s="307"/>
      <c r="C851" s="307"/>
      <c r="D851" s="307"/>
      <c r="E851" s="371"/>
      <c r="F851" s="307"/>
      <c r="G851" s="477"/>
      <c r="H851" s="371"/>
      <c r="I851" s="371"/>
      <c r="J851" s="371"/>
      <c r="K851" s="371"/>
      <c r="L851" s="371"/>
      <c r="M851" s="371"/>
      <c r="N851" s="371"/>
      <c r="O851" s="371"/>
      <c r="P851" s="371"/>
      <c r="Q851" s="371"/>
      <c r="R851" s="371"/>
      <c r="S851" s="371"/>
      <c r="T851" s="371"/>
      <c r="U851" s="371"/>
      <c r="V851" s="371"/>
    </row>
    <row r="852">
      <c r="A852" s="371"/>
      <c r="B852" s="307"/>
      <c r="C852" s="307"/>
      <c r="D852" s="307"/>
      <c r="E852" s="371"/>
      <c r="F852" s="307"/>
      <c r="G852" s="477"/>
      <c r="H852" s="371"/>
      <c r="I852" s="371"/>
      <c r="J852" s="371"/>
      <c r="K852" s="371"/>
      <c r="L852" s="371"/>
      <c r="M852" s="371"/>
      <c r="N852" s="371"/>
      <c r="O852" s="371"/>
      <c r="P852" s="371"/>
      <c r="Q852" s="371"/>
      <c r="R852" s="371"/>
      <c r="S852" s="371"/>
      <c r="T852" s="371"/>
      <c r="U852" s="371"/>
      <c r="V852" s="371"/>
    </row>
    <row r="853">
      <c r="A853" s="371"/>
      <c r="B853" s="307"/>
      <c r="C853" s="307"/>
      <c r="D853" s="307"/>
      <c r="E853" s="371"/>
      <c r="F853" s="307"/>
      <c r="G853" s="477"/>
      <c r="H853" s="371"/>
      <c r="I853" s="371"/>
      <c r="J853" s="371"/>
      <c r="K853" s="371"/>
      <c r="L853" s="371"/>
      <c r="M853" s="371"/>
      <c r="N853" s="371"/>
      <c r="O853" s="371"/>
      <c r="P853" s="371"/>
      <c r="Q853" s="371"/>
      <c r="R853" s="371"/>
      <c r="S853" s="371"/>
      <c r="T853" s="371"/>
      <c r="U853" s="371"/>
      <c r="V853" s="371"/>
    </row>
    <row r="854">
      <c r="A854" s="371"/>
      <c r="B854" s="307"/>
      <c r="C854" s="307"/>
      <c r="D854" s="307"/>
      <c r="E854" s="371"/>
      <c r="F854" s="307"/>
      <c r="G854" s="477"/>
      <c r="H854" s="371"/>
      <c r="I854" s="371"/>
      <c r="J854" s="371"/>
      <c r="K854" s="371"/>
      <c r="L854" s="371"/>
      <c r="M854" s="371"/>
      <c r="N854" s="371"/>
      <c r="O854" s="371"/>
      <c r="P854" s="371"/>
      <c r="Q854" s="371"/>
      <c r="R854" s="371"/>
      <c r="S854" s="371"/>
      <c r="T854" s="371"/>
      <c r="U854" s="371"/>
      <c r="V854" s="371"/>
    </row>
    <row r="855">
      <c r="A855" s="371"/>
      <c r="B855" s="307"/>
      <c r="C855" s="307"/>
      <c r="D855" s="307"/>
      <c r="E855" s="371"/>
      <c r="F855" s="307"/>
      <c r="G855" s="477"/>
      <c r="H855" s="371"/>
      <c r="I855" s="371"/>
      <c r="J855" s="371"/>
      <c r="K855" s="371"/>
      <c r="L855" s="371"/>
      <c r="M855" s="371"/>
      <c r="N855" s="371"/>
      <c r="O855" s="371"/>
      <c r="P855" s="371"/>
      <c r="Q855" s="371"/>
      <c r="R855" s="371"/>
      <c r="S855" s="371"/>
      <c r="T855" s="371"/>
      <c r="U855" s="371"/>
      <c r="V855" s="371"/>
    </row>
    <row r="856">
      <c r="A856" s="371"/>
      <c r="B856" s="307"/>
      <c r="C856" s="307"/>
      <c r="D856" s="307"/>
      <c r="E856" s="371"/>
      <c r="F856" s="307"/>
      <c r="G856" s="477"/>
      <c r="H856" s="371"/>
      <c r="I856" s="371"/>
      <c r="J856" s="371"/>
      <c r="K856" s="371"/>
      <c r="L856" s="371"/>
      <c r="M856" s="371"/>
      <c r="N856" s="371"/>
      <c r="O856" s="371"/>
      <c r="P856" s="371"/>
      <c r="Q856" s="371"/>
      <c r="R856" s="371"/>
      <c r="S856" s="371"/>
      <c r="T856" s="371"/>
      <c r="U856" s="371"/>
      <c r="V856" s="371"/>
    </row>
    <row r="857">
      <c r="A857" s="371"/>
      <c r="B857" s="307"/>
      <c r="C857" s="307"/>
      <c r="D857" s="307"/>
      <c r="E857" s="371"/>
      <c r="F857" s="307"/>
      <c r="G857" s="477"/>
      <c r="H857" s="371"/>
      <c r="I857" s="371"/>
      <c r="J857" s="371"/>
      <c r="K857" s="371"/>
      <c r="L857" s="371"/>
      <c r="M857" s="371"/>
      <c r="N857" s="371"/>
      <c r="O857" s="371"/>
      <c r="P857" s="371"/>
      <c r="Q857" s="371"/>
      <c r="R857" s="371"/>
      <c r="S857" s="371"/>
      <c r="T857" s="371"/>
      <c r="U857" s="371"/>
      <c r="V857" s="371"/>
    </row>
    <row r="858">
      <c r="A858" s="371"/>
      <c r="B858" s="307"/>
      <c r="C858" s="307"/>
      <c r="D858" s="307"/>
      <c r="E858" s="371"/>
      <c r="F858" s="307"/>
      <c r="G858" s="477"/>
      <c r="H858" s="371"/>
      <c r="I858" s="371"/>
      <c r="J858" s="371"/>
      <c r="K858" s="371"/>
      <c r="L858" s="371"/>
      <c r="M858" s="371"/>
      <c r="N858" s="371"/>
      <c r="O858" s="371"/>
      <c r="P858" s="371"/>
      <c r="Q858" s="371"/>
      <c r="R858" s="371"/>
      <c r="S858" s="371"/>
      <c r="T858" s="371"/>
      <c r="U858" s="371"/>
      <c r="V858" s="371"/>
    </row>
    <row r="859">
      <c r="A859" s="371"/>
      <c r="B859" s="307"/>
      <c r="C859" s="307"/>
      <c r="D859" s="307"/>
      <c r="E859" s="371"/>
      <c r="F859" s="307"/>
      <c r="G859" s="477"/>
      <c r="H859" s="371"/>
      <c r="I859" s="371"/>
      <c r="J859" s="371"/>
      <c r="K859" s="371"/>
      <c r="L859" s="371"/>
      <c r="M859" s="371"/>
      <c r="N859" s="371"/>
      <c r="O859" s="371"/>
      <c r="P859" s="371"/>
      <c r="Q859" s="371"/>
      <c r="R859" s="371"/>
      <c r="S859" s="371"/>
      <c r="T859" s="371"/>
      <c r="U859" s="371"/>
      <c r="V859" s="371"/>
    </row>
    <row r="860">
      <c r="A860" s="371"/>
      <c r="B860" s="307"/>
      <c r="C860" s="307"/>
      <c r="D860" s="307"/>
      <c r="E860" s="371"/>
      <c r="F860" s="307"/>
      <c r="G860" s="477"/>
      <c r="H860" s="371"/>
      <c r="I860" s="371"/>
      <c r="J860" s="371"/>
      <c r="K860" s="371"/>
      <c r="L860" s="371"/>
      <c r="M860" s="371"/>
      <c r="N860" s="371"/>
      <c r="O860" s="371"/>
      <c r="P860" s="371"/>
      <c r="Q860" s="371"/>
      <c r="R860" s="371"/>
      <c r="S860" s="371"/>
      <c r="T860" s="371"/>
      <c r="U860" s="371"/>
      <c r="V860" s="371"/>
    </row>
    <row r="861">
      <c r="A861" s="371"/>
      <c r="B861" s="307"/>
      <c r="C861" s="307"/>
      <c r="D861" s="307"/>
      <c r="E861" s="371"/>
      <c r="F861" s="307"/>
      <c r="G861" s="477"/>
      <c r="H861" s="371"/>
      <c r="I861" s="371"/>
      <c r="J861" s="371"/>
      <c r="K861" s="371"/>
      <c r="L861" s="371"/>
      <c r="M861" s="371"/>
      <c r="N861" s="371"/>
      <c r="O861" s="371"/>
      <c r="P861" s="371"/>
      <c r="Q861" s="371"/>
      <c r="R861" s="371"/>
      <c r="S861" s="371"/>
      <c r="T861" s="371"/>
      <c r="U861" s="371"/>
      <c r="V861" s="371"/>
    </row>
    <row r="862">
      <c r="A862" s="371"/>
      <c r="B862" s="307"/>
      <c r="C862" s="307"/>
      <c r="D862" s="307"/>
      <c r="E862" s="371"/>
      <c r="F862" s="307"/>
      <c r="G862" s="477"/>
      <c r="H862" s="371"/>
      <c r="I862" s="371"/>
      <c r="J862" s="371"/>
      <c r="K862" s="371"/>
      <c r="L862" s="371"/>
      <c r="M862" s="371"/>
      <c r="N862" s="371"/>
      <c r="O862" s="371"/>
      <c r="P862" s="371"/>
      <c r="Q862" s="371"/>
      <c r="R862" s="371"/>
      <c r="S862" s="371"/>
      <c r="T862" s="371"/>
      <c r="U862" s="371"/>
      <c r="V862" s="371"/>
    </row>
    <row r="863">
      <c r="A863" s="371"/>
      <c r="B863" s="307"/>
      <c r="C863" s="307"/>
      <c r="D863" s="307"/>
      <c r="E863" s="371"/>
      <c r="F863" s="307"/>
      <c r="G863" s="477"/>
      <c r="H863" s="371"/>
      <c r="I863" s="371"/>
      <c r="J863" s="371"/>
      <c r="K863" s="371"/>
      <c r="L863" s="371"/>
      <c r="M863" s="371"/>
      <c r="N863" s="371"/>
      <c r="O863" s="371"/>
      <c r="P863" s="371"/>
      <c r="Q863" s="371"/>
      <c r="R863" s="371"/>
      <c r="S863" s="371"/>
      <c r="T863" s="371"/>
      <c r="U863" s="371"/>
      <c r="V863" s="371"/>
    </row>
    <row r="864">
      <c r="A864" s="371"/>
      <c r="B864" s="307"/>
      <c r="C864" s="307"/>
      <c r="D864" s="307"/>
      <c r="E864" s="371"/>
      <c r="F864" s="307"/>
      <c r="G864" s="477"/>
      <c r="H864" s="371"/>
      <c r="I864" s="371"/>
      <c r="J864" s="371"/>
      <c r="K864" s="371"/>
      <c r="L864" s="371"/>
      <c r="M864" s="371"/>
      <c r="N864" s="371"/>
      <c r="O864" s="371"/>
      <c r="P864" s="371"/>
      <c r="Q864" s="371"/>
      <c r="R864" s="371"/>
      <c r="S864" s="371"/>
      <c r="T864" s="371"/>
      <c r="U864" s="371"/>
      <c r="V864" s="371"/>
    </row>
    <row r="865">
      <c r="A865" s="371"/>
      <c r="B865" s="307"/>
      <c r="C865" s="307"/>
      <c r="D865" s="307"/>
      <c r="E865" s="371"/>
      <c r="F865" s="307"/>
      <c r="G865" s="477"/>
      <c r="H865" s="371"/>
      <c r="I865" s="371"/>
      <c r="J865" s="371"/>
      <c r="K865" s="371"/>
      <c r="L865" s="371"/>
      <c r="M865" s="371"/>
      <c r="N865" s="371"/>
      <c r="O865" s="371"/>
      <c r="P865" s="371"/>
      <c r="Q865" s="371"/>
      <c r="R865" s="371"/>
      <c r="S865" s="371"/>
      <c r="T865" s="371"/>
      <c r="U865" s="371"/>
      <c r="V865" s="371"/>
    </row>
    <row r="866">
      <c r="A866" s="371"/>
      <c r="B866" s="307"/>
      <c r="C866" s="307"/>
      <c r="D866" s="307"/>
      <c r="E866" s="371"/>
      <c r="F866" s="307"/>
      <c r="G866" s="477"/>
      <c r="H866" s="371"/>
      <c r="I866" s="371"/>
      <c r="J866" s="371"/>
      <c r="K866" s="371"/>
      <c r="L866" s="371"/>
      <c r="M866" s="371"/>
      <c r="N866" s="371"/>
      <c r="O866" s="371"/>
      <c r="P866" s="371"/>
      <c r="Q866" s="371"/>
      <c r="R866" s="371"/>
      <c r="S866" s="371"/>
      <c r="T866" s="371"/>
      <c r="U866" s="371"/>
      <c r="V866" s="371"/>
    </row>
    <row r="867">
      <c r="A867" s="371"/>
      <c r="B867" s="307"/>
      <c r="C867" s="307"/>
      <c r="D867" s="307"/>
      <c r="E867" s="371"/>
      <c r="F867" s="307"/>
      <c r="G867" s="477"/>
      <c r="H867" s="371"/>
      <c r="I867" s="371"/>
      <c r="J867" s="371"/>
      <c r="K867" s="371"/>
      <c r="L867" s="371"/>
      <c r="M867" s="371"/>
      <c r="N867" s="371"/>
      <c r="O867" s="371"/>
      <c r="P867" s="371"/>
      <c r="Q867" s="371"/>
      <c r="R867" s="371"/>
      <c r="S867" s="371"/>
      <c r="T867" s="371"/>
      <c r="U867" s="371"/>
      <c r="V867" s="371"/>
    </row>
    <row r="868">
      <c r="A868" s="371"/>
      <c r="B868" s="307"/>
      <c r="C868" s="307"/>
      <c r="D868" s="307"/>
      <c r="E868" s="371"/>
      <c r="F868" s="307"/>
      <c r="G868" s="477"/>
      <c r="H868" s="371"/>
      <c r="I868" s="371"/>
      <c r="J868" s="371"/>
      <c r="K868" s="371"/>
      <c r="L868" s="371"/>
      <c r="M868" s="371"/>
      <c r="N868" s="371"/>
      <c r="O868" s="371"/>
      <c r="P868" s="371"/>
      <c r="Q868" s="371"/>
      <c r="R868" s="371"/>
      <c r="S868" s="371"/>
      <c r="T868" s="371"/>
      <c r="U868" s="371"/>
      <c r="V868" s="371"/>
    </row>
    <row r="869">
      <c r="A869" s="371"/>
      <c r="B869" s="307"/>
      <c r="C869" s="307"/>
      <c r="D869" s="307"/>
      <c r="E869" s="371"/>
      <c r="F869" s="307"/>
      <c r="G869" s="477"/>
      <c r="H869" s="371"/>
      <c r="I869" s="371"/>
      <c r="J869" s="371"/>
      <c r="K869" s="371"/>
      <c r="L869" s="371"/>
      <c r="M869" s="371"/>
      <c r="N869" s="371"/>
      <c r="O869" s="371"/>
      <c r="P869" s="371"/>
      <c r="Q869" s="371"/>
      <c r="R869" s="371"/>
      <c r="S869" s="371"/>
      <c r="T869" s="371"/>
      <c r="U869" s="371"/>
      <c r="V869" s="371"/>
    </row>
    <row r="870">
      <c r="A870" s="371"/>
      <c r="B870" s="307"/>
      <c r="C870" s="307"/>
      <c r="D870" s="307"/>
      <c r="E870" s="371"/>
      <c r="F870" s="307"/>
      <c r="G870" s="477"/>
      <c r="H870" s="371"/>
      <c r="I870" s="371"/>
      <c r="J870" s="371"/>
      <c r="K870" s="371"/>
      <c r="L870" s="371"/>
      <c r="M870" s="371"/>
      <c r="N870" s="371"/>
      <c r="O870" s="371"/>
      <c r="P870" s="371"/>
      <c r="Q870" s="371"/>
      <c r="R870" s="371"/>
      <c r="S870" s="371"/>
      <c r="T870" s="371"/>
      <c r="U870" s="371"/>
      <c r="V870" s="371"/>
    </row>
    <row r="871">
      <c r="A871" s="371"/>
      <c r="B871" s="307"/>
      <c r="C871" s="307"/>
      <c r="D871" s="307"/>
      <c r="E871" s="371"/>
      <c r="F871" s="307"/>
      <c r="G871" s="477"/>
      <c r="H871" s="371"/>
      <c r="I871" s="371"/>
      <c r="J871" s="371"/>
      <c r="K871" s="371"/>
      <c r="L871" s="371"/>
      <c r="M871" s="371"/>
      <c r="N871" s="371"/>
      <c r="O871" s="371"/>
      <c r="P871" s="371"/>
      <c r="Q871" s="371"/>
      <c r="R871" s="371"/>
      <c r="S871" s="371"/>
      <c r="T871" s="371"/>
      <c r="U871" s="371"/>
      <c r="V871" s="371"/>
    </row>
    <row r="872">
      <c r="A872" s="371"/>
      <c r="B872" s="307"/>
      <c r="C872" s="307"/>
      <c r="D872" s="307"/>
      <c r="E872" s="371"/>
      <c r="F872" s="307"/>
      <c r="G872" s="477"/>
      <c r="H872" s="371"/>
      <c r="I872" s="371"/>
      <c r="J872" s="371"/>
      <c r="K872" s="371"/>
      <c r="L872" s="371"/>
      <c r="M872" s="371"/>
      <c r="N872" s="371"/>
      <c r="O872" s="371"/>
      <c r="P872" s="371"/>
      <c r="Q872" s="371"/>
      <c r="R872" s="371"/>
      <c r="S872" s="371"/>
      <c r="T872" s="371"/>
      <c r="U872" s="371"/>
      <c r="V872" s="371"/>
    </row>
    <row r="873">
      <c r="A873" s="371"/>
      <c r="B873" s="307"/>
      <c r="C873" s="307"/>
      <c r="D873" s="307"/>
      <c r="E873" s="371"/>
      <c r="F873" s="307"/>
      <c r="G873" s="477"/>
      <c r="H873" s="371"/>
      <c r="I873" s="371"/>
      <c r="J873" s="371"/>
      <c r="K873" s="371"/>
      <c r="L873" s="371"/>
      <c r="M873" s="371"/>
      <c r="N873" s="371"/>
      <c r="O873" s="371"/>
      <c r="P873" s="371"/>
      <c r="Q873" s="371"/>
      <c r="R873" s="371"/>
      <c r="S873" s="371"/>
      <c r="T873" s="371"/>
      <c r="U873" s="371"/>
      <c r="V873" s="371"/>
    </row>
    <row r="874">
      <c r="A874" s="371"/>
      <c r="B874" s="307"/>
      <c r="C874" s="307"/>
      <c r="D874" s="307"/>
      <c r="E874" s="371"/>
      <c r="F874" s="307"/>
      <c r="G874" s="477"/>
      <c r="H874" s="371"/>
      <c r="I874" s="371"/>
      <c r="J874" s="371"/>
      <c r="K874" s="371"/>
      <c r="L874" s="371"/>
      <c r="M874" s="371"/>
      <c r="N874" s="371"/>
      <c r="O874" s="371"/>
      <c r="P874" s="371"/>
      <c r="Q874" s="371"/>
      <c r="R874" s="371"/>
      <c r="S874" s="371"/>
      <c r="T874" s="371"/>
      <c r="U874" s="371"/>
      <c r="V874" s="371"/>
    </row>
    <row r="875">
      <c r="A875" s="371"/>
      <c r="B875" s="307"/>
      <c r="C875" s="307"/>
      <c r="D875" s="307"/>
      <c r="E875" s="371"/>
      <c r="F875" s="307"/>
      <c r="G875" s="477"/>
      <c r="H875" s="371"/>
      <c r="I875" s="371"/>
      <c r="J875" s="371"/>
      <c r="K875" s="371"/>
      <c r="L875" s="371"/>
      <c r="M875" s="371"/>
      <c r="N875" s="371"/>
      <c r="O875" s="371"/>
      <c r="P875" s="371"/>
      <c r="Q875" s="371"/>
      <c r="R875" s="371"/>
      <c r="S875" s="371"/>
      <c r="T875" s="371"/>
      <c r="U875" s="371"/>
      <c r="V875" s="371"/>
    </row>
    <row r="876">
      <c r="A876" s="371"/>
      <c r="B876" s="307"/>
      <c r="C876" s="307"/>
      <c r="D876" s="307"/>
      <c r="E876" s="371"/>
      <c r="F876" s="307"/>
      <c r="G876" s="477"/>
      <c r="H876" s="371"/>
      <c r="I876" s="371"/>
      <c r="J876" s="371"/>
      <c r="K876" s="371"/>
      <c r="L876" s="371"/>
      <c r="M876" s="371"/>
      <c r="N876" s="371"/>
      <c r="O876" s="371"/>
      <c r="P876" s="371"/>
      <c r="Q876" s="371"/>
      <c r="R876" s="371"/>
      <c r="S876" s="371"/>
      <c r="T876" s="371"/>
      <c r="U876" s="371"/>
      <c r="V876" s="371"/>
    </row>
    <row r="877">
      <c r="A877" s="371"/>
      <c r="B877" s="307"/>
      <c r="C877" s="307"/>
      <c r="D877" s="307"/>
      <c r="E877" s="371"/>
      <c r="F877" s="307"/>
      <c r="G877" s="477"/>
      <c r="H877" s="371"/>
      <c r="I877" s="371"/>
      <c r="J877" s="371"/>
      <c r="K877" s="371"/>
      <c r="L877" s="371"/>
      <c r="M877" s="371"/>
      <c r="N877" s="371"/>
      <c r="O877" s="371"/>
      <c r="P877" s="371"/>
      <c r="Q877" s="371"/>
      <c r="R877" s="371"/>
      <c r="S877" s="371"/>
      <c r="T877" s="371"/>
      <c r="U877" s="371"/>
      <c r="V877" s="371"/>
    </row>
    <row r="878">
      <c r="A878" s="371"/>
      <c r="B878" s="307"/>
      <c r="C878" s="307"/>
      <c r="D878" s="307"/>
      <c r="E878" s="371"/>
      <c r="F878" s="307"/>
      <c r="G878" s="477"/>
      <c r="H878" s="371"/>
      <c r="I878" s="371"/>
      <c r="J878" s="371"/>
      <c r="K878" s="371"/>
      <c r="L878" s="371"/>
      <c r="M878" s="371"/>
      <c r="N878" s="371"/>
      <c r="O878" s="371"/>
      <c r="P878" s="371"/>
      <c r="Q878" s="371"/>
      <c r="R878" s="371"/>
      <c r="S878" s="371"/>
      <c r="T878" s="371"/>
      <c r="U878" s="371"/>
      <c r="V878" s="371"/>
    </row>
    <row r="879">
      <c r="A879" s="371"/>
      <c r="B879" s="307"/>
      <c r="C879" s="307"/>
      <c r="D879" s="307"/>
      <c r="E879" s="371"/>
      <c r="F879" s="307"/>
      <c r="G879" s="477"/>
      <c r="H879" s="371"/>
      <c r="I879" s="371"/>
      <c r="J879" s="371"/>
      <c r="K879" s="371"/>
      <c r="L879" s="371"/>
      <c r="M879" s="371"/>
      <c r="N879" s="371"/>
      <c r="O879" s="371"/>
      <c r="P879" s="371"/>
      <c r="Q879" s="371"/>
      <c r="R879" s="371"/>
      <c r="S879" s="371"/>
      <c r="T879" s="371"/>
      <c r="U879" s="371"/>
      <c r="V879" s="371"/>
    </row>
    <row r="880">
      <c r="A880" s="371"/>
      <c r="B880" s="307"/>
      <c r="C880" s="307"/>
      <c r="D880" s="307"/>
      <c r="E880" s="371"/>
      <c r="F880" s="307"/>
      <c r="G880" s="477"/>
      <c r="H880" s="371"/>
      <c r="I880" s="371"/>
      <c r="J880" s="371"/>
      <c r="K880" s="371"/>
      <c r="L880" s="371"/>
      <c r="M880" s="371"/>
      <c r="N880" s="371"/>
      <c r="O880" s="371"/>
      <c r="P880" s="371"/>
      <c r="Q880" s="371"/>
      <c r="R880" s="371"/>
      <c r="S880" s="371"/>
      <c r="T880" s="371"/>
      <c r="U880" s="371"/>
      <c r="V880" s="371"/>
    </row>
    <row r="881">
      <c r="A881" s="371"/>
      <c r="B881" s="307"/>
      <c r="C881" s="307"/>
      <c r="D881" s="307"/>
      <c r="E881" s="371"/>
      <c r="F881" s="307"/>
      <c r="G881" s="477"/>
      <c r="H881" s="371"/>
      <c r="I881" s="371"/>
      <c r="J881" s="371"/>
      <c r="K881" s="371"/>
      <c r="L881" s="371"/>
      <c r="M881" s="371"/>
      <c r="N881" s="371"/>
      <c r="O881" s="371"/>
      <c r="P881" s="371"/>
      <c r="Q881" s="371"/>
      <c r="R881" s="371"/>
      <c r="S881" s="371"/>
      <c r="T881" s="371"/>
      <c r="U881" s="371"/>
      <c r="V881" s="371"/>
    </row>
    <row r="882">
      <c r="A882" s="371"/>
      <c r="B882" s="307"/>
      <c r="C882" s="307"/>
      <c r="D882" s="307"/>
      <c r="E882" s="371"/>
      <c r="F882" s="307"/>
      <c r="G882" s="477"/>
      <c r="H882" s="371"/>
      <c r="I882" s="371"/>
      <c r="J882" s="371"/>
      <c r="K882" s="371"/>
      <c r="L882" s="371"/>
      <c r="M882" s="371"/>
      <c r="N882" s="371"/>
      <c r="O882" s="371"/>
      <c r="P882" s="371"/>
      <c r="Q882" s="371"/>
      <c r="R882" s="371"/>
      <c r="S882" s="371"/>
      <c r="T882" s="371"/>
      <c r="U882" s="371"/>
      <c r="V882" s="371"/>
    </row>
    <row r="883">
      <c r="A883" s="371"/>
      <c r="B883" s="307"/>
      <c r="C883" s="307"/>
      <c r="D883" s="307"/>
      <c r="E883" s="371"/>
      <c r="F883" s="307"/>
      <c r="G883" s="477"/>
      <c r="H883" s="371"/>
      <c r="I883" s="371"/>
      <c r="J883" s="371"/>
      <c r="K883" s="371"/>
      <c r="L883" s="371"/>
      <c r="M883" s="371"/>
      <c r="N883" s="371"/>
      <c r="O883" s="371"/>
      <c r="P883" s="371"/>
      <c r="Q883" s="371"/>
      <c r="R883" s="371"/>
      <c r="S883" s="371"/>
      <c r="T883" s="371"/>
      <c r="U883" s="371"/>
      <c r="V883" s="371"/>
    </row>
    <row r="884">
      <c r="A884" s="371"/>
      <c r="B884" s="307"/>
      <c r="C884" s="307"/>
      <c r="D884" s="307"/>
      <c r="E884" s="371"/>
      <c r="F884" s="307"/>
      <c r="G884" s="477"/>
      <c r="H884" s="371"/>
      <c r="I884" s="371"/>
      <c r="J884" s="371"/>
      <c r="K884" s="371"/>
      <c r="L884" s="371"/>
      <c r="M884" s="371"/>
      <c r="N884" s="371"/>
      <c r="O884" s="371"/>
      <c r="P884" s="371"/>
      <c r="Q884" s="371"/>
      <c r="R884" s="371"/>
      <c r="S884" s="371"/>
      <c r="T884" s="371"/>
      <c r="U884" s="371"/>
      <c r="V884" s="371"/>
    </row>
    <row r="885">
      <c r="A885" s="371"/>
      <c r="B885" s="307"/>
      <c r="C885" s="307"/>
      <c r="D885" s="307"/>
      <c r="E885" s="371"/>
      <c r="F885" s="307"/>
      <c r="G885" s="477"/>
      <c r="H885" s="371"/>
      <c r="I885" s="371"/>
      <c r="J885" s="371"/>
      <c r="K885" s="371"/>
      <c r="L885" s="371"/>
      <c r="M885" s="371"/>
      <c r="N885" s="371"/>
      <c r="O885" s="371"/>
      <c r="P885" s="371"/>
      <c r="Q885" s="371"/>
      <c r="R885" s="371"/>
      <c r="S885" s="371"/>
      <c r="T885" s="371"/>
      <c r="U885" s="371"/>
      <c r="V885" s="371"/>
    </row>
    <row r="886">
      <c r="A886" s="371"/>
      <c r="B886" s="307"/>
      <c r="C886" s="307"/>
      <c r="D886" s="307"/>
      <c r="E886" s="371"/>
      <c r="F886" s="307"/>
      <c r="G886" s="477"/>
      <c r="H886" s="371"/>
      <c r="I886" s="371"/>
      <c r="J886" s="371"/>
      <c r="K886" s="371"/>
      <c r="L886" s="371"/>
      <c r="M886" s="371"/>
      <c r="N886" s="371"/>
      <c r="O886" s="371"/>
      <c r="P886" s="371"/>
      <c r="Q886" s="371"/>
      <c r="R886" s="371"/>
      <c r="S886" s="371"/>
      <c r="T886" s="371"/>
      <c r="U886" s="371"/>
      <c r="V886" s="371"/>
    </row>
    <row r="887">
      <c r="A887" s="371"/>
      <c r="B887" s="307"/>
      <c r="C887" s="307"/>
      <c r="D887" s="307"/>
      <c r="E887" s="371"/>
      <c r="F887" s="307"/>
      <c r="G887" s="477"/>
      <c r="H887" s="371"/>
      <c r="I887" s="371"/>
      <c r="J887" s="371"/>
      <c r="K887" s="371"/>
      <c r="L887" s="371"/>
      <c r="M887" s="371"/>
      <c r="N887" s="371"/>
      <c r="O887" s="371"/>
      <c r="P887" s="371"/>
      <c r="Q887" s="371"/>
      <c r="R887" s="371"/>
      <c r="S887" s="371"/>
      <c r="T887" s="371"/>
      <c r="U887" s="371"/>
      <c r="V887" s="371"/>
    </row>
    <row r="888">
      <c r="A888" s="371"/>
      <c r="B888" s="307"/>
      <c r="C888" s="307"/>
      <c r="D888" s="307"/>
      <c r="E888" s="371"/>
      <c r="F888" s="307"/>
      <c r="G888" s="477"/>
      <c r="H888" s="371"/>
      <c r="I888" s="371"/>
      <c r="J888" s="371"/>
      <c r="K888" s="371"/>
      <c r="L888" s="371"/>
      <c r="M888" s="371"/>
      <c r="N888" s="371"/>
      <c r="O888" s="371"/>
      <c r="P888" s="371"/>
      <c r="Q888" s="371"/>
      <c r="R888" s="371"/>
      <c r="S888" s="371"/>
      <c r="T888" s="371"/>
      <c r="U888" s="371"/>
      <c r="V888" s="371"/>
    </row>
    <row r="889">
      <c r="A889" s="371"/>
      <c r="B889" s="307"/>
      <c r="C889" s="307"/>
      <c r="D889" s="307"/>
      <c r="E889" s="371"/>
      <c r="F889" s="307"/>
      <c r="G889" s="477"/>
      <c r="H889" s="371"/>
      <c r="I889" s="371"/>
      <c r="J889" s="371"/>
      <c r="K889" s="371"/>
      <c r="L889" s="371"/>
      <c r="M889" s="371"/>
      <c r="N889" s="371"/>
      <c r="O889" s="371"/>
      <c r="P889" s="371"/>
      <c r="Q889" s="371"/>
      <c r="R889" s="371"/>
      <c r="S889" s="371"/>
      <c r="T889" s="371"/>
      <c r="U889" s="371"/>
      <c r="V889" s="371"/>
    </row>
    <row r="890">
      <c r="A890" s="371"/>
      <c r="B890" s="307"/>
      <c r="C890" s="307"/>
      <c r="D890" s="307"/>
      <c r="E890" s="371"/>
      <c r="F890" s="307"/>
      <c r="G890" s="477"/>
      <c r="H890" s="371"/>
      <c r="I890" s="371"/>
      <c r="J890" s="371"/>
      <c r="K890" s="371"/>
      <c r="L890" s="371"/>
      <c r="M890" s="371"/>
      <c r="N890" s="371"/>
      <c r="O890" s="371"/>
      <c r="P890" s="371"/>
      <c r="Q890" s="371"/>
      <c r="R890" s="371"/>
      <c r="S890" s="371"/>
      <c r="T890" s="371"/>
      <c r="U890" s="371"/>
      <c r="V890" s="371"/>
    </row>
    <row r="891">
      <c r="A891" s="371"/>
      <c r="B891" s="307"/>
      <c r="C891" s="307"/>
      <c r="D891" s="307"/>
      <c r="E891" s="371"/>
      <c r="F891" s="307"/>
      <c r="G891" s="477"/>
      <c r="H891" s="371"/>
      <c r="I891" s="371"/>
      <c r="J891" s="371"/>
      <c r="K891" s="371"/>
      <c r="L891" s="371"/>
      <c r="M891" s="371"/>
      <c r="N891" s="371"/>
      <c r="O891" s="371"/>
      <c r="P891" s="371"/>
      <c r="Q891" s="371"/>
      <c r="R891" s="371"/>
      <c r="S891" s="371"/>
      <c r="T891" s="371"/>
      <c r="U891" s="371"/>
      <c r="V891" s="371"/>
    </row>
    <row r="892">
      <c r="A892" s="371"/>
      <c r="B892" s="307"/>
      <c r="C892" s="307"/>
      <c r="D892" s="307"/>
      <c r="E892" s="371"/>
      <c r="F892" s="307"/>
      <c r="G892" s="477"/>
      <c r="H892" s="371"/>
      <c r="I892" s="371"/>
      <c r="J892" s="371"/>
      <c r="K892" s="371"/>
      <c r="L892" s="371"/>
      <c r="M892" s="371"/>
      <c r="N892" s="371"/>
      <c r="O892" s="371"/>
      <c r="P892" s="371"/>
      <c r="Q892" s="371"/>
      <c r="R892" s="371"/>
      <c r="S892" s="371"/>
      <c r="T892" s="371"/>
      <c r="U892" s="371"/>
      <c r="V892" s="371"/>
    </row>
    <row r="893">
      <c r="A893" s="371"/>
      <c r="B893" s="307"/>
      <c r="C893" s="307"/>
      <c r="D893" s="307"/>
      <c r="E893" s="371"/>
      <c r="F893" s="307"/>
      <c r="G893" s="477"/>
      <c r="H893" s="371"/>
      <c r="I893" s="371"/>
      <c r="J893" s="371"/>
      <c r="K893" s="371"/>
      <c r="L893" s="371"/>
      <c r="M893" s="371"/>
      <c r="N893" s="371"/>
      <c r="O893" s="371"/>
      <c r="P893" s="371"/>
      <c r="Q893" s="371"/>
      <c r="R893" s="371"/>
      <c r="S893" s="371"/>
      <c r="T893" s="371"/>
      <c r="U893" s="371"/>
      <c r="V893" s="371"/>
    </row>
    <row r="894">
      <c r="A894" s="371"/>
      <c r="B894" s="307"/>
      <c r="C894" s="307"/>
      <c r="D894" s="307"/>
      <c r="E894" s="371"/>
      <c r="F894" s="307"/>
      <c r="G894" s="477"/>
      <c r="H894" s="371"/>
      <c r="I894" s="371"/>
      <c r="J894" s="371"/>
      <c r="K894" s="371"/>
      <c r="L894" s="371"/>
      <c r="M894" s="371"/>
      <c r="N894" s="371"/>
      <c r="O894" s="371"/>
      <c r="P894" s="371"/>
      <c r="Q894" s="371"/>
      <c r="R894" s="371"/>
      <c r="S894" s="371"/>
      <c r="T894" s="371"/>
      <c r="U894" s="371"/>
      <c r="V894" s="371"/>
    </row>
    <row r="895">
      <c r="A895" s="371"/>
      <c r="B895" s="307"/>
      <c r="C895" s="307"/>
      <c r="D895" s="307"/>
      <c r="E895" s="371"/>
      <c r="F895" s="307"/>
      <c r="G895" s="477"/>
      <c r="H895" s="371"/>
      <c r="I895" s="371"/>
      <c r="J895" s="371"/>
      <c r="K895" s="371"/>
      <c r="L895" s="371"/>
      <c r="M895" s="371"/>
      <c r="N895" s="371"/>
      <c r="O895" s="371"/>
      <c r="P895" s="371"/>
      <c r="Q895" s="371"/>
      <c r="R895" s="371"/>
      <c r="S895" s="371"/>
      <c r="T895" s="371"/>
      <c r="U895" s="371"/>
      <c r="V895" s="371"/>
    </row>
    <row r="896">
      <c r="A896" s="371"/>
      <c r="B896" s="307"/>
      <c r="C896" s="307"/>
      <c r="D896" s="307"/>
      <c r="E896" s="371"/>
      <c r="F896" s="307"/>
      <c r="G896" s="477"/>
      <c r="H896" s="371"/>
      <c r="I896" s="371"/>
      <c r="J896" s="371"/>
      <c r="K896" s="371"/>
      <c r="L896" s="371"/>
      <c r="M896" s="371"/>
      <c r="N896" s="371"/>
      <c r="O896" s="371"/>
      <c r="P896" s="371"/>
      <c r="Q896" s="371"/>
      <c r="R896" s="371"/>
      <c r="S896" s="371"/>
      <c r="T896" s="371"/>
      <c r="U896" s="371"/>
      <c r="V896" s="371"/>
    </row>
    <row r="897">
      <c r="A897" s="371"/>
      <c r="B897" s="307"/>
      <c r="C897" s="307"/>
      <c r="D897" s="307"/>
      <c r="E897" s="371"/>
      <c r="F897" s="307"/>
      <c r="G897" s="477"/>
      <c r="H897" s="371"/>
      <c r="I897" s="371"/>
      <c r="J897" s="371"/>
      <c r="K897" s="371"/>
      <c r="L897" s="371"/>
      <c r="M897" s="371"/>
      <c r="N897" s="371"/>
      <c r="O897" s="371"/>
      <c r="P897" s="371"/>
      <c r="Q897" s="371"/>
      <c r="R897" s="371"/>
      <c r="S897" s="371"/>
      <c r="T897" s="371"/>
      <c r="U897" s="371"/>
      <c r="V897" s="371"/>
    </row>
    <row r="898">
      <c r="A898" s="371"/>
      <c r="B898" s="307"/>
      <c r="C898" s="307"/>
      <c r="D898" s="307"/>
      <c r="E898" s="371"/>
      <c r="F898" s="307"/>
      <c r="G898" s="477"/>
      <c r="H898" s="371"/>
      <c r="I898" s="371"/>
      <c r="J898" s="371"/>
      <c r="K898" s="371"/>
      <c r="L898" s="371"/>
      <c r="M898" s="371"/>
      <c r="N898" s="371"/>
      <c r="O898" s="371"/>
      <c r="P898" s="371"/>
      <c r="Q898" s="371"/>
      <c r="R898" s="371"/>
      <c r="S898" s="371"/>
      <c r="T898" s="371"/>
      <c r="U898" s="371"/>
      <c r="V898" s="371"/>
    </row>
    <row r="899">
      <c r="A899" s="371"/>
      <c r="B899" s="307"/>
      <c r="C899" s="307"/>
      <c r="D899" s="307"/>
      <c r="E899" s="371"/>
      <c r="F899" s="307"/>
      <c r="G899" s="477"/>
      <c r="H899" s="371"/>
      <c r="I899" s="371"/>
      <c r="J899" s="371"/>
      <c r="K899" s="371"/>
      <c r="L899" s="371"/>
      <c r="M899" s="371"/>
      <c r="N899" s="371"/>
      <c r="O899" s="371"/>
      <c r="P899" s="371"/>
      <c r="Q899" s="371"/>
      <c r="R899" s="371"/>
      <c r="S899" s="371"/>
      <c r="T899" s="371"/>
      <c r="U899" s="371"/>
      <c r="V899" s="371"/>
    </row>
    <row r="900">
      <c r="A900" s="371"/>
      <c r="B900" s="307"/>
      <c r="C900" s="307"/>
      <c r="D900" s="307"/>
      <c r="E900" s="371"/>
      <c r="F900" s="307"/>
      <c r="G900" s="477"/>
      <c r="H900" s="371"/>
      <c r="I900" s="371"/>
      <c r="J900" s="371"/>
      <c r="K900" s="371"/>
      <c r="L900" s="371"/>
      <c r="M900" s="371"/>
      <c r="N900" s="371"/>
      <c r="O900" s="371"/>
      <c r="P900" s="371"/>
      <c r="Q900" s="371"/>
      <c r="R900" s="371"/>
      <c r="S900" s="371"/>
      <c r="T900" s="371"/>
      <c r="U900" s="371"/>
      <c r="V900" s="371"/>
    </row>
    <row r="901">
      <c r="A901" s="371"/>
      <c r="B901" s="307"/>
      <c r="C901" s="307"/>
      <c r="D901" s="307"/>
      <c r="E901" s="371"/>
      <c r="F901" s="307"/>
      <c r="G901" s="477"/>
      <c r="H901" s="371"/>
      <c r="I901" s="371"/>
      <c r="J901" s="371"/>
      <c r="K901" s="371"/>
      <c r="L901" s="371"/>
      <c r="M901" s="371"/>
      <c r="N901" s="371"/>
      <c r="O901" s="371"/>
      <c r="P901" s="371"/>
      <c r="Q901" s="371"/>
      <c r="R901" s="371"/>
      <c r="S901" s="371"/>
      <c r="T901" s="371"/>
      <c r="U901" s="371"/>
      <c r="V901" s="371"/>
    </row>
    <row r="902">
      <c r="A902" s="371"/>
      <c r="B902" s="307"/>
      <c r="C902" s="307"/>
      <c r="D902" s="307"/>
      <c r="E902" s="371"/>
      <c r="F902" s="307"/>
      <c r="G902" s="477"/>
      <c r="H902" s="371"/>
      <c r="I902" s="371"/>
      <c r="J902" s="371"/>
      <c r="K902" s="371"/>
      <c r="L902" s="371"/>
      <c r="M902" s="371"/>
      <c r="N902" s="371"/>
      <c r="O902" s="371"/>
      <c r="P902" s="371"/>
      <c r="Q902" s="371"/>
      <c r="R902" s="371"/>
      <c r="S902" s="371"/>
      <c r="T902" s="371"/>
      <c r="U902" s="371"/>
      <c r="V902" s="371"/>
    </row>
    <row r="903">
      <c r="A903" s="371"/>
      <c r="B903" s="307"/>
      <c r="C903" s="307"/>
      <c r="D903" s="307"/>
      <c r="E903" s="371"/>
      <c r="F903" s="307"/>
      <c r="G903" s="477"/>
      <c r="H903" s="371"/>
      <c r="I903" s="371"/>
      <c r="J903" s="371"/>
      <c r="K903" s="371"/>
      <c r="L903" s="371"/>
      <c r="M903" s="371"/>
      <c r="N903" s="371"/>
      <c r="O903" s="371"/>
      <c r="P903" s="371"/>
      <c r="Q903" s="371"/>
      <c r="R903" s="371"/>
      <c r="S903" s="371"/>
      <c r="T903" s="371"/>
      <c r="U903" s="371"/>
      <c r="V903" s="371"/>
    </row>
    <row r="904">
      <c r="A904" s="371"/>
      <c r="B904" s="307"/>
      <c r="C904" s="307"/>
      <c r="D904" s="307"/>
      <c r="E904" s="371"/>
      <c r="F904" s="307"/>
      <c r="G904" s="477"/>
      <c r="H904" s="371"/>
      <c r="I904" s="371"/>
      <c r="J904" s="371"/>
      <c r="K904" s="371"/>
      <c r="L904" s="371"/>
      <c r="M904" s="371"/>
      <c r="N904" s="371"/>
      <c r="O904" s="371"/>
      <c r="P904" s="371"/>
      <c r="Q904" s="371"/>
      <c r="R904" s="371"/>
      <c r="S904" s="371"/>
      <c r="T904" s="371"/>
      <c r="U904" s="371"/>
      <c r="V904" s="371"/>
    </row>
    <row r="905">
      <c r="A905" s="371"/>
      <c r="B905" s="307"/>
      <c r="C905" s="307"/>
      <c r="D905" s="307"/>
      <c r="E905" s="371"/>
      <c r="F905" s="307"/>
      <c r="G905" s="477"/>
      <c r="H905" s="371"/>
      <c r="I905" s="371"/>
      <c r="J905" s="371"/>
      <c r="K905" s="371"/>
      <c r="L905" s="371"/>
      <c r="M905" s="371"/>
      <c r="N905" s="371"/>
      <c r="O905" s="371"/>
      <c r="P905" s="371"/>
      <c r="Q905" s="371"/>
      <c r="R905" s="371"/>
      <c r="S905" s="371"/>
      <c r="T905" s="371"/>
      <c r="U905" s="371"/>
      <c r="V905" s="371"/>
    </row>
    <row r="906">
      <c r="A906" s="371"/>
      <c r="B906" s="307"/>
      <c r="C906" s="307"/>
      <c r="D906" s="307"/>
      <c r="E906" s="371"/>
      <c r="F906" s="307"/>
      <c r="G906" s="477"/>
      <c r="H906" s="371"/>
      <c r="I906" s="371"/>
      <c r="J906" s="371"/>
      <c r="K906" s="371"/>
      <c r="L906" s="371"/>
      <c r="M906" s="371"/>
      <c r="N906" s="371"/>
      <c r="O906" s="371"/>
      <c r="P906" s="371"/>
      <c r="Q906" s="371"/>
      <c r="R906" s="371"/>
      <c r="S906" s="371"/>
      <c r="T906" s="371"/>
      <c r="U906" s="371"/>
      <c r="V906" s="371"/>
    </row>
    <row r="907">
      <c r="A907" s="371"/>
      <c r="B907" s="307"/>
      <c r="C907" s="307"/>
      <c r="D907" s="307"/>
      <c r="E907" s="371"/>
      <c r="F907" s="307"/>
      <c r="G907" s="477"/>
      <c r="H907" s="371"/>
      <c r="I907" s="371"/>
      <c r="J907" s="371"/>
      <c r="K907" s="371"/>
      <c r="L907" s="371"/>
      <c r="M907" s="371"/>
      <c r="N907" s="371"/>
      <c r="O907" s="371"/>
      <c r="P907" s="371"/>
      <c r="Q907" s="371"/>
      <c r="R907" s="371"/>
      <c r="S907" s="371"/>
      <c r="T907" s="371"/>
      <c r="U907" s="371"/>
      <c r="V907" s="371"/>
    </row>
    <row r="908">
      <c r="A908" s="371"/>
      <c r="B908" s="307"/>
      <c r="C908" s="307"/>
      <c r="D908" s="307"/>
      <c r="E908" s="371"/>
      <c r="F908" s="307"/>
      <c r="G908" s="477"/>
      <c r="H908" s="371"/>
      <c r="I908" s="371"/>
      <c r="J908" s="371"/>
      <c r="K908" s="371"/>
      <c r="L908" s="371"/>
      <c r="M908" s="371"/>
      <c r="N908" s="371"/>
      <c r="O908" s="371"/>
      <c r="P908" s="371"/>
      <c r="Q908" s="371"/>
      <c r="R908" s="371"/>
      <c r="S908" s="371"/>
      <c r="T908" s="371"/>
      <c r="U908" s="371"/>
      <c r="V908" s="371"/>
    </row>
    <row r="909">
      <c r="A909" s="371"/>
      <c r="B909" s="307"/>
      <c r="C909" s="307"/>
      <c r="D909" s="307"/>
      <c r="E909" s="371"/>
      <c r="F909" s="307"/>
      <c r="G909" s="477"/>
      <c r="H909" s="371"/>
      <c r="I909" s="371"/>
      <c r="J909" s="371"/>
      <c r="K909" s="371"/>
      <c r="L909" s="371"/>
      <c r="M909" s="371"/>
      <c r="N909" s="371"/>
      <c r="O909" s="371"/>
      <c r="P909" s="371"/>
      <c r="Q909" s="371"/>
      <c r="R909" s="371"/>
      <c r="S909" s="371"/>
      <c r="T909" s="371"/>
      <c r="U909" s="371"/>
      <c r="V909" s="371"/>
    </row>
    <row r="910">
      <c r="A910" s="371"/>
      <c r="B910" s="307"/>
      <c r="C910" s="307"/>
      <c r="D910" s="307"/>
      <c r="E910" s="371"/>
      <c r="F910" s="307"/>
      <c r="G910" s="477"/>
      <c r="H910" s="371"/>
      <c r="I910" s="371"/>
      <c r="J910" s="371"/>
      <c r="K910" s="371"/>
      <c r="L910" s="371"/>
      <c r="M910" s="371"/>
      <c r="N910" s="371"/>
      <c r="O910" s="371"/>
      <c r="P910" s="371"/>
      <c r="Q910" s="371"/>
      <c r="R910" s="371"/>
      <c r="S910" s="371"/>
      <c r="T910" s="371"/>
      <c r="U910" s="371"/>
      <c r="V910" s="371"/>
    </row>
    <row r="911">
      <c r="A911" s="371"/>
      <c r="B911" s="307"/>
      <c r="C911" s="307"/>
      <c r="D911" s="307"/>
      <c r="E911" s="371"/>
      <c r="F911" s="307"/>
      <c r="G911" s="477"/>
      <c r="H911" s="371"/>
      <c r="I911" s="371"/>
      <c r="J911" s="371"/>
      <c r="K911" s="371"/>
      <c r="L911" s="371"/>
      <c r="M911" s="371"/>
      <c r="N911" s="371"/>
      <c r="O911" s="371"/>
      <c r="P911" s="371"/>
      <c r="Q911" s="371"/>
      <c r="R911" s="371"/>
      <c r="S911" s="371"/>
      <c r="T911" s="371"/>
      <c r="U911" s="371"/>
      <c r="V911" s="371"/>
    </row>
    <row r="912">
      <c r="A912" s="371"/>
      <c r="B912" s="307"/>
      <c r="C912" s="307"/>
      <c r="D912" s="307"/>
      <c r="E912" s="371"/>
      <c r="F912" s="307"/>
      <c r="G912" s="477"/>
      <c r="H912" s="371"/>
      <c r="I912" s="371"/>
      <c r="J912" s="371"/>
      <c r="K912" s="371"/>
      <c r="L912" s="371"/>
      <c r="M912" s="371"/>
      <c r="N912" s="371"/>
      <c r="O912" s="371"/>
      <c r="P912" s="371"/>
      <c r="Q912" s="371"/>
      <c r="R912" s="371"/>
      <c r="S912" s="371"/>
      <c r="T912" s="371"/>
      <c r="U912" s="371"/>
      <c r="V912" s="371"/>
    </row>
    <row r="913">
      <c r="A913" s="371"/>
      <c r="B913" s="307"/>
      <c r="C913" s="307"/>
      <c r="D913" s="307"/>
      <c r="E913" s="371"/>
      <c r="F913" s="307"/>
      <c r="G913" s="477"/>
      <c r="H913" s="371"/>
      <c r="I913" s="371"/>
      <c r="J913" s="371"/>
      <c r="K913" s="371"/>
      <c r="L913" s="371"/>
      <c r="M913" s="371"/>
      <c r="N913" s="371"/>
      <c r="O913" s="371"/>
      <c r="P913" s="371"/>
      <c r="Q913" s="371"/>
      <c r="R913" s="371"/>
      <c r="S913" s="371"/>
      <c r="T913" s="371"/>
      <c r="U913" s="371"/>
      <c r="V913" s="371"/>
    </row>
    <row r="914">
      <c r="A914" s="371"/>
      <c r="B914" s="307"/>
      <c r="C914" s="307"/>
      <c r="D914" s="307"/>
      <c r="E914" s="371"/>
      <c r="F914" s="307"/>
      <c r="G914" s="477"/>
      <c r="H914" s="371"/>
      <c r="I914" s="371"/>
      <c r="J914" s="371"/>
      <c r="K914" s="371"/>
      <c r="L914" s="371"/>
      <c r="M914" s="371"/>
      <c r="N914" s="371"/>
      <c r="O914" s="371"/>
      <c r="P914" s="371"/>
      <c r="Q914" s="371"/>
      <c r="R914" s="371"/>
      <c r="S914" s="371"/>
      <c r="T914" s="371"/>
      <c r="U914" s="371"/>
      <c r="V914" s="371"/>
    </row>
    <row r="915">
      <c r="A915" s="371"/>
      <c r="B915" s="307"/>
      <c r="C915" s="307"/>
      <c r="D915" s="307"/>
      <c r="E915" s="371"/>
      <c r="F915" s="307"/>
      <c r="G915" s="477"/>
      <c r="H915" s="371"/>
      <c r="I915" s="371"/>
      <c r="J915" s="371"/>
      <c r="K915" s="371"/>
      <c r="L915" s="371"/>
      <c r="M915" s="371"/>
      <c r="N915" s="371"/>
      <c r="O915" s="371"/>
      <c r="P915" s="371"/>
      <c r="Q915" s="371"/>
      <c r="R915" s="371"/>
      <c r="S915" s="371"/>
      <c r="T915" s="371"/>
      <c r="U915" s="371"/>
      <c r="V915" s="371"/>
    </row>
    <row r="916">
      <c r="A916" s="371"/>
      <c r="B916" s="307"/>
      <c r="C916" s="307"/>
      <c r="D916" s="307"/>
      <c r="E916" s="371"/>
      <c r="F916" s="307"/>
      <c r="G916" s="477"/>
      <c r="H916" s="371"/>
      <c r="I916" s="371"/>
      <c r="J916" s="371"/>
      <c r="K916" s="371"/>
      <c r="L916" s="371"/>
      <c r="M916" s="371"/>
      <c r="N916" s="371"/>
      <c r="O916" s="371"/>
      <c r="P916" s="371"/>
      <c r="Q916" s="371"/>
      <c r="R916" s="371"/>
      <c r="S916" s="371"/>
      <c r="T916" s="371"/>
      <c r="U916" s="371"/>
      <c r="V916" s="371"/>
    </row>
    <row r="917">
      <c r="A917" s="371"/>
      <c r="B917" s="307"/>
      <c r="C917" s="307"/>
      <c r="D917" s="307"/>
      <c r="E917" s="371"/>
      <c r="F917" s="307"/>
      <c r="G917" s="477"/>
      <c r="H917" s="371"/>
      <c r="I917" s="371"/>
      <c r="J917" s="371"/>
      <c r="K917" s="371"/>
      <c r="L917" s="371"/>
      <c r="M917" s="371"/>
      <c r="N917" s="371"/>
      <c r="O917" s="371"/>
      <c r="P917" s="371"/>
      <c r="Q917" s="371"/>
      <c r="R917" s="371"/>
      <c r="S917" s="371"/>
      <c r="T917" s="371"/>
      <c r="U917" s="371"/>
      <c r="V917" s="371"/>
    </row>
    <row r="918">
      <c r="A918" s="371"/>
      <c r="B918" s="307"/>
      <c r="C918" s="307"/>
      <c r="D918" s="307"/>
      <c r="E918" s="371"/>
      <c r="F918" s="307"/>
      <c r="G918" s="477"/>
      <c r="H918" s="371"/>
      <c r="I918" s="371"/>
      <c r="J918" s="371"/>
      <c r="K918" s="371"/>
      <c r="L918" s="371"/>
      <c r="M918" s="371"/>
      <c r="N918" s="371"/>
      <c r="O918" s="371"/>
      <c r="P918" s="371"/>
      <c r="Q918" s="371"/>
      <c r="R918" s="371"/>
      <c r="S918" s="371"/>
      <c r="T918" s="371"/>
      <c r="U918" s="371"/>
      <c r="V918" s="371"/>
    </row>
    <row r="919">
      <c r="A919" s="371"/>
      <c r="B919" s="307"/>
      <c r="C919" s="307"/>
      <c r="D919" s="307"/>
      <c r="E919" s="371"/>
      <c r="F919" s="307"/>
      <c r="G919" s="477"/>
      <c r="H919" s="371"/>
      <c r="I919" s="371"/>
      <c r="J919" s="371"/>
      <c r="K919" s="371"/>
      <c r="L919" s="371"/>
      <c r="M919" s="371"/>
      <c r="N919" s="371"/>
      <c r="O919" s="371"/>
      <c r="P919" s="371"/>
      <c r="Q919" s="371"/>
      <c r="R919" s="371"/>
      <c r="S919" s="371"/>
      <c r="T919" s="371"/>
      <c r="U919" s="371"/>
      <c r="V919" s="371"/>
    </row>
    <row r="920">
      <c r="A920" s="371"/>
      <c r="B920" s="307"/>
      <c r="C920" s="307"/>
      <c r="D920" s="307"/>
      <c r="E920" s="371"/>
      <c r="F920" s="307"/>
      <c r="G920" s="477"/>
      <c r="H920" s="371"/>
      <c r="I920" s="371"/>
      <c r="J920" s="371"/>
      <c r="K920" s="371"/>
      <c r="L920" s="371"/>
      <c r="M920" s="371"/>
      <c r="N920" s="371"/>
      <c r="O920" s="371"/>
      <c r="P920" s="371"/>
      <c r="Q920" s="371"/>
      <c r="R920" s="371"/>
      <c r="S920" s="371"/>
      <c r="T920" s="371"/>
      <c r="U920" s="371"/>
      <c r="V920" s="371"/>
    </row>
    <row r="921">
      <c r="A921" s="371"/>
      <c r="B921" s="307"/>
      <c r="C921" s="307"/>
      <c r="D921" s="307"/>
      <c r="E921" s="371"/>
      <c r="F921" s="307"/>
      <c r="G921" s="477"/>
      <c r="H921" s="371"/>
      <c r="I921" s="371"/>
      <c r="J921" s="371"/>
      <c r="K921" s="371"/>
      <c r="L921" s="371"/>
      <c r="M921" s="371"/>
      <c r="N921" s="371"/>
      <c r="O921" s="371"/>
      <c r="P921" s="371"/>
      <c r="Q921" s="371"/>
      <c r="R921" s="371"/>
      <c r="S921" s="371"/>
      <c r="T921" s="371"/>
      <c r="U921" s="371"/>
      <c r="V921" s="371"/>
    </row>
    <row r="922">
      <c r="A922" s="371"/>
      <c r="B922" s="307"/>
      <c r="C922" s="307"/>
      <c r="D922" s="307"/>
      <c r="E922" s="371"/>
      <c r="F922" s="307"/>
      <c r="G922" s="477"/>
      <c r="H922" s="371"/>
      <c r="I922" s="371"/>
      <c r="J922" s="371"/>
      <c r="K922" s="371"/>
      <c r="L922" s="371"/>
      <c r="M922" s="371"/>
      <c r="N922" s="371"/>
      <c r="O922" s="371"/>
      <c r="P922" s="371"/>
      <c r="Q922" s="371"/>
      <c r="R922" s="371"/>
      <c r="S922" s="371"/>
      <c r="T922" s="371"/>
      <c r="U922" s="371"/>
      <c r="V922" s="371"/>
    </row>
    <row r="923">
      <c r="A923" s="371"/>
      <c r="B923" s="307"/>
      <c r="C923" s="307"/>
      <c r="D923" s="307"/>
      <c r="E923" s="371"/>
      <c r="F923" s="307"/>
      <c r="G923" s="477"/>
      <c r="H923" s="371"/>
      <c r="I923" s="371"/>
      <c r="J923" s="371"/>
      <c r="K923" s="371"/>
      <c r="L923" s="371"/>
      <c r="M923" s="371"/>
      <c r="N923" s="371"/>
      <c r="O923" s="371"/>
      <c r="P923" s="371"/>
      <c r="Q923" s="371"/>
      <c r="R923" s="371"/>
      <c r="S923" s="371"/>
      <c r="T923" s="371"/>
      <c r="U923" s="371"/>
      <c r="V923" s="371"/>
    </row>
    <row r="924">
      <c r="A924" s="371"/>
      <c r="B924" s="307"/>
      <c r="C924" s="307"/>
      <c r="D924" s="307"/>
      <c r="E924" s="371"/>
      <c r="F924" s="307"/>
      <c r="G924" s="477"/>
      <c r="H924" s="371"/>
      <c r="I924" s="371"/>
      <c r="J924" s="371"/>
      <c r="K924" s="371"/>
      <c r="L924" s="371"/>
      <c r="M924" s="371"/>
      <c r="N924" s="371"/>
      <c r="O924" s="371"/>
      <c r="P924" s="371"/>
      <c r="Q924" s="371"/>
      <c r="R924" s="371"/>
      <c r="S924" s="371"/>
      <c r="T924" s="371"/>
      <c r="U924" s="371"/>
      <c r="V924" s="371"/>
    </row>
    <row r="925">
      <c r="A925" s="371"/>
      <c r="B925" s="307"/>
      <c r="C925" s="307"/>
      <c r="D925" s="307"/>
      <c r="E925" s="371"/>
      <c r="F925" s="307"/>
      <c r="G925" s="477"/>
      <c r="H925" s="371"/>
      <c r="I925" s="371"/>
      <c r="J925" s="371"/>
      <c r="K925" s="371"/>
      <c r="L925" s="371"/>
      <c r="M925" s="371"/>
      <c r="N925" s="371"/>
      <c r="O925" s="371"/>
      <c r="P925" s="371"/>
      <c r="Q925" s="371"/>
      <c r="R925" s="371"/>
      <c r="S925" s="371"/>
      <c r="T925" s="371"/>
      <c r="U925" s="371"/>
      <c r="V925" s="371"/>
    </row>
    <row r="926">
      <c r="A926" s="371"/>
      <c r="B926" s="307"/>
      <c r="C926" s="307"/>
      <c r="D926" s="307"/>
      <c r="E926" s="371"/>
      <c r="F926" s="307"/>
      <c r="G926" s="477"/>
      <c r="H926" s="371"/>
      <c r="I926" s="371"/>
      <c r="J926" s="371"/>
      <c r="K926" s="371"/>
      <c r="L926" s="371"/>
      <c r="M926" s="371"/>
      <c r="N926" s="371"/>
      <c r="O926" s="371"/>
      <c r="P926" s="371"/>
      <c r="Q926" s="371"/>
      <c r="R926" s="371"/>
      <c r="S926" s="371"/>
      <c r="T926" s="371"/>
      <c r="U926" s="371"/>
      <c r="V926" s="371"/>
    </row>
    <row r="927">
      <c r="A927" s="371"/>
      <c r="B927" s="307"/>
      <c r="C927" s="307"/>
      <c r="D927" s="307"/>
      <c r="E927" s="371"/>
      <c r="F927" s="307"/>
      <c r="G927" s="477"/>
      <c r="H927" s="371"/>
      <c r="I927" s="371"/>
      <c r="J927" s="371"/>
      <c r="K927" s="371"/>
      <c r="L927" s="371"/>
      <c r="M927" s="371"/>
      <c r="N927" s="371"/>
      <c r="O927" s="371"/>
      <c r="P927" s="371"/>
      <c r="Q927" s="371"/>
      <c r="R927" s="371"/>
      <c r="S927" s="371"/>
      <c r="T927" s="371"/>
      <c r="U927" s="371"/>
      <c r="V927" s="371"/>
    </row>
    <row r="928">
      <c r="A928" s="371"/>
      <c r="B928" s="307"/>
      <c r="C928" s="307"/>
      <c r="D928" s="307"/>
      <c r="E928" s="371"/>
      <c r="F928" s="307"/>
      <c r="G928" s="477"/>
      <c r="H928" s="371"/>
      <c r="I928" s="371"/>
      <c r="J928" s="371"/>
      <c r="K928" s="371"/>
      <c r="L928" s="371"/>
      <c r="M928" s="371"/>
      <c r="N928" s="371"/>
      <c r="O928" s="371"/>
      <c r="P928" s="371"/>
      <c r="Q928" s="371"/>
      <c r="R928" s="371"/>
      <c r="S928" s="371"/>
      <c r="T928" s="371"/>
      <c r="U928" s="371"/>
      <c r="V928" s="371"/>
    </row>
    <row r="929">
      <c r="A929" s="371"/>
      <c r="B929" s="307"/>
      <c r="C929" s="307"/>
      <c r="D929" s="307"/>
      <c r="E929" s="371"/>
      <c r="F929" s="307"/>
      <c r="G929" s="477"/>
      <c r="H929" s="371"/>
      <c r="I929" s="371"/>
      <c r="J929" s="371"/>
      <c r="K929" s="371"/>
      <c r="L929" s="371"/>
      <c r="M929" s="371"/>
      <c r="N929" s="371"/>
      <c r="O929" s="371"/>
      <c r="P929" s="371"/>
      <c r="Q929" s="371"/>
      <c r="R929" s="371"/>
      <c r="S929" s="371"/>
      <c r="T929" s="371"/>
      <c r="U929" s="371"/>
      <c r="V929" s="371"/>
    </row>
    <row r="930">
      <c r="A930" s="371"/>
      <c r="B930" s="307"/>
      <c r="C930" s="307"/>
      <c r="D930" s="307"/>
      <c r="E930" s="371"/>
      <c r="F930" s="307"/>
      <c r="G930" s="477"/>
      <c r="H930" s="371"/>
      <c r="I930" s="371"/>
      <c r="J930" s="371"/>
      <c r="K930" s="371"/>
      <c r="L930" s="371"/>
      <c r="M930" s="371"/>
      <c r="N930" s="371"/>
      <c r="O930" s="371"/>
      <c r="P930" s="371"/>
      <c r="Q930" s="371"/>
      <c r="R930" s="371"/>
      <c r="S930" s="371"/>
      <c r="T930" s="371"/>
      <c r="U930" s="371"/>
      <c r="V930" s="371"/>
    </row>
    <row r="931">
      <c r="A931" s="371"/>
      <c r="B931" s="307"/>
      <c r="C931" s="307"/>
      <c r="D931" s="307"/>
      <c r="E931" s="371"/>
      <c r="F931" s="307"/>
      <c r="G931" s="477"/>
      <c r="H931" s="371"/>
      <c r="I931" s="371"/>
      <c r="J931" s="371"/>
      <c r="K931" s="371"/>
      <c r="L931" s="371"/>
      <c r="M931" s="371"/>
      <c r="N931" s="371"/>
      <c r="O931" s="371"/>
      <c r="P931" s="371"/>
      <c r="Q931" s="371"/>
      <c r="R931" s="371"/>
      <c r="S931" s="371"/>
      <c r="T931" s="371"/>
      <c r="U931" s="371"/>
      <c r="V931" s="371"/>
    </row>
    <row r="932">
      <c r="A932" s="371"/>
      <c r="B932" s="307"/>
      <c r="C932" s="307"/>
      <c r="D932" s="307"/>
      <c r="E932" s="371"/>
      <c r="F932" s="307"/>
      <c r="G932" s="477"/>
      <c r="H932" s="371"/>
      <c r="I932" s="371"/>
      <c r="J932" s="371"/>
      <c r="K932" s="371"/>
      <c r="L932" s="371"/>
      <c r="M932" s="371"/>
      <c r="N932" s="371"/>
      <c r="O932" s="371"/>
      <c r="P932" s="371"/>
      <c r="Q932" s="371"/>
      <c r="R932" s="371"/>
      <c r="S932" s="371"/>
      <c r="T932" s="371"/>
      <c r="U932" s="371"/>
      <c r="V932" s="371"/>
    </row>
    <row r="933">
      <c r="A933" s="371"/>
      <c r="B933" s="307"/>
      <c r="C933" s="307"/>
      <c r="D933" s="307"/>
      <c r="E933" s="371"/>
      <c r="F933" s="307"/>
      <c r="G933" s="477"/>
      <c r="H933" s="371"/>
      <c r="I933" s="371"/>
      <c r="J933" s="371"/>
      <c r="K933" s="371"/>
      <c r="L933" s="371"/>
      <c r="M933" s="371"/>
      <c r="N933" s="371"/>
      <c r="O933" s="371"/>
      <c r="P933" s="371"/>
      <c r="Q933" s="371"/>
      <c r="R933" s="371"/>
      <c r="S933" s="371"/>
      <c r="T933" s="371"/>
      <c r="U933" s="371"/>
      <c r="V933" s="371"/>
    </row>
    <row r="934">
      <c r="A934" s="371"/>
      <c r="B934" s="307"/>
      <c r="C934" s="307"/>
      <c r="D934" s="307"/>
      <c r="E934" s="371"/>
      <c r="F934" s="307"/>
      <c r="G934" s="477"/>
      <c r="H934" s="371"/>
      <c r="I934" s="371"/>
      <c r="J934" s="371"/>
      <c r="K934" s="371"/>
      <c r="L934" s="371"/>
      <c r="M934" s="371"/>
      <c r="N934" s="371"/>
      <c r="O934" s="371"/>
      <c r="P934" s="371"/>
      <c r="Q934" s="371"/>
      <c r="R934" s="371"/>
      <c r="S934" s="371"/>
      <c r="T934" s="371"/>
      <c r="U934" s="371"/>
      <c r="V934" s="371"/>
    </row>
    <row r="935">
      <c r="A935" s="371"/>
      <c r="B935" s="307"/>
      <c r="C935" s="307"/>
      <c r="D935" s="307"/>
      <c r="E935" s="371"/>
      <c r="F935" s="307"/>
      <c r="G935" s="477"/>
      <c r="H935" s="371"/>
      <c r="I935" s="371"/>
      <c r="J935" s="371"/>
      <c r="K935" s="371"/>
      <c r="L935" s="371"/>
      <c r="M935" s="371"/>
      <c r="N935" s="371"/>
      <c r="O935" s="371"/>
      <c r="P935" s="371"/>
      <c r="Q935" s="371"/>
      <c r="R935" s="371"/>
      <c r="S935" s="371"/>
      <c r="T935" s="371"/>
      <c r="U935" s="371"/>
      <c r="V935" s="371"/>
    </row>
    <row r="936">
      <c r="A936" s="371"/>
      <c r="B936" s="307"/>
      <c r="C936" s="307"/>
      <c r="D936" s="307"/>
      <c r="E936" s="371"/>
      <c r="F936" s="307"/>
      <c r="G936" s="477"/>
      <c r="H936" s="371"/>
      <c r="I936" s="371"/>
      <c r="J936" s="371"/>
      <c r="K936" s="371"/>
      <c r="L936" s="371"/>
      <c r="M936" s="371"/>
      <c r="N936" s="371"/>
      <c r="O936" s="371"/>
      <c r="P936" s="371"/>
      <c r="Q936" s="371"/>
      <c r="R936" s="371"/>
      <c r="S936" s="371"/>
      <c r="T936" s="371"/>
      <c r="U936" s="371"/>
      <c r="V936" s="371"/>
    </row>
    <row r="937">
      <c r="A937" s="371"/>
      <c r="B937" s="307"/>
      <c r="C937" s="307"/>
      <c r="D937" s="307"/>
      <c r="E937" s="371"/>
      <c r="F937" s="307"/>
      <c r="G937" s="477"/>
      <c r="H937" s="371"/>
      <c r="I937" s="371"/>
      <c r="J937" s="371"/>
      <c r="K937" s="371"/>
      <c r="L937" s="371"/>
      <c r="M937" s="371"/>
      <c r="N937" s="371"/>
      <c r="O937" s="371"/>
      <c r="P937" s="371"/>
      <c r="Q937" s="371"/>
      <c r="R937" s="371"/>
      <c r="S937" s="371"/>
      <c r="T937" s="371"/>
      <c r="U937" s="371"/>
      <c r="V937" s="371"/>
    </row>
    <row r="938">
      <c r="A938" s="371"/>
      <c r="B938" s="307"/>
      <c r="C938" s="307"/>
      <c r="D938" s="307"/>
      <c r="E938" s="371"/>
      <c r="F938" s="307"/>
      <c r="G938" s="477"/>
      <c r="H938" s="371"/>
      <c r="I938" s="371"/>
      <c r="J938" s="371"/>
      <c r="K938" s="371"/>
      <c r="L938" s="371"/>
      <c r="M938" s="371"/>
      <c r="N938" s="371"/>
      <c r="O938" s="371"/>
      <c r="P938" s="371"/>
      <c r="Q938" s="371"/>
      <c r="R938" s="371"/>
      <c r="S938" s="371"/>
      <c r="T938" s="371"/>
      <c r="U938" s="371"/>
      <c r="V938" s="371"/>
    </row>
    <row r="939">
      <c r="A939" s="371"/>
      <c r="B939" s="307"/>
      <c r="C939" s="307"/>
      <c r="D939" s="307"/>
      <c r="E939" s="371"/>
      <c r="F939" s="307"/>
      <c r="G939" s="477"/>
      <c r="H939" s="371"/>
      <c r="I939" s="371"/>
      <c r="J939" s="371"/>
      <c r="K939" s="371"/>
      <c r="L939" s="371"/>
      <c r="M939" s="371"/>
      <c r="N939" s="371"/>
      <c r="O939" s="371"/>
      <c r="P939" s="371"/>
      <c r="Q939" s="371"/>
      <c r="R939" s="371"/>
      <c r="S939" s="371"/>
      <c r="T939" s="371"/>
      <c r="U939" s="371"/>
      <c r="V939" s="371"/>
    </row>
    <row r="940">
      <c r="A940" s="371"/>
      <c r="B940" s="307"/>
      <c r="C940" s="307"/>
      <c r="D940" s="307"/>
      <c r="E940" s="371"/>
      <c r="F940" s="307"/>
      <c r="G940" s="477"/>
      <c r="H940" s="371"/>
      <c r="I940" s="371"/>
      <c r="J940" s="371"/>
      <c r="K940" s="371"/>
      <c r="L940" s="371"/>
      <c r="M940" s="371"/>
      <c r="N940" s="371"/>
      <c r="O940" s="371"/>
      <c r="P940" s="371"/>
      <c r="Q940" s="371"/>
      <c r="R940" s="371"/>
      <c r="S940" s="371"/>
      <c r="T940" s="371"/>
      <c r="U940" s="371"/>
      <c r="V940" s="371"/>
    </row>
    <row r="941">
      <c r="A941" s="371"/>
      <c r="B941" s="307"/>
      <c r="C941" s="307"/>
      <c r="D941" s="307"/>
      <c r="E941" s="371"/>
      <c r="F941" s="307"/>
      <c r="G941" s="477"/>
      <c r="H941" s="371"/>
      <c r="I941" s="371"/>
      <c r="J941" s="371"/>
      <c r="K941" s="371"/>
      <c r="L941" s="371"/>
      <c r="M941" s="371"/>
      <c r="N941" s="371"/>
      <c r="O941" s="371"/>
      <c r="P941" s="371"/>
      <c r="Q941" s="371"/>
      <c r="R941" s="371"/>
      <c r="S941" s="371"/>
      <c r="T941" s="371"/>
      <c r="U941" s="371"/>
      <c r="V941" s="371"/>
    </row>
    <row r="942">
      <c r="A942" s="371"/>
      <c r="B942" s="307"/>
      <c r="C942" s="307"/>
      <c r="D942" s="307"/>
      <c r="E942" s="371"/>
      <c r="F942" s="307"/>
      <c r="G942" s="477"/>
      <c r="H942" s="371"/>
      <c r="I942" s="371"/>
      <c r="J942" s="371"/>
      <c r="K942" s="371"/>
      <c r="L942" s="371"/>
      <c r="M942" s="371"/>
      <c r="N942" s="371"/>
      <c r="O942" s="371"/>
      <c r="P942" s="371"/>
      <c r="Q942" s="371"/>
      <c r="R942" s="371"/>
      <c r="S942" s="371"/>
      <c r="T942" s="371"/>
      <c r="U942" s="371"/>
      <c r="V942" s="371"/>
    </row>
    <row r="943">
      <c r="A943" s="371"/>
      <c r="B943" s="307"/>
      <c r="C943" s="307"/>
      <c r="D943" s="307"/>
      <c r="E943" s="371"/>
      <c r="F943" s="307"/>
      <c r="G943" s="477"/>
      <c r="H943" s="371"/>
      <c r="I943" s="371"/>
      <c r="J943" s="371"/>
      <c r="K943" s="371"/>
      <c r="L943" s="371"/>
      <c r="M943" s="371"/>
      <c r="N943" s="371"/>
      <c r="O943" s="371"/>
      <c r="P943" s="371"/>
      <c r="Q943" s="371"/>
      <c r="R943" s="371"/>
      <c r="S943" s="371"/>
      <c r="T943" s="371"/>
      <c r="U943" s="371"/>
      <c r="V943" s="371"/>
    </row>
    <row r="944">
      <c r="A944" s="371"/>
      <c r="B944" s="307"/>
      <c r="C944" s="307"/>
      <c r="D944" s="307"/>
      <c r="E944" s="371"/>
      <c r="F944" s="307"/>
      <c r="G944" s="477"/>
      <c r="H944" s="371"/>
      <c r="I944" s="371"/>
      <c r="J944" s="371"/>
      <c r="K944" s="371"/>
      <c r="L944" s="371"/>
      <c r="M944" s="371"/>
      <c r="N944" s="371"/>
      <c r="O944" s="371"/>
      <c r="P944" s="371"/>
      <c r="Q944" s="371"/>
      <c r="R944" s="371"/>
      <c r="S944" s="371"/>
      <c r="T944" s="371"/>
      <c r="U944" s="371"/>
      <c r="V944" s="371"/>
    </row>
    <row r="945">
      <c r="A945" s="371"/>
      <c r="B945" s="307"/>
      <c r="C945" s="307"/>
      <c r="D945" s="307"/>
      <c r="E945" s="371"/>
      <c r="F945" s="307"/>
      <c r="G945" s="477"/>
      <c r="H945" s="371"/>
      <c r="I945" s="371"/>
      <c r="J945" s="371"/>
      <c r="K945" s="371"/>
      <c r="L945" s="371"/>
      <c r="M945" s="371"/>
      <c r="N945" s="371"/>
      <c r="O945" s="371"/>
      <c r="P945" s="371"/>
      <c r="Q945" s="371"/>
      <c r="R945" s="371"/>
      <c r="S945" s="371"/>
      <c r="T945" s="371"/>
      <c r="U945" s="371"/>
      <c r="V945" s="371"/>
    </row>
    <row r="946">
      <c r="A946" s="371"/>
      <c r="B946" s="307"/>
      <c r="C946" s="307"/>
      <c r="D946" s="307"/>
      <c r="E946" s="371"/>
      <c r="F946" s="307"/>
      <c r="G946" s="477"/>
      <c r="H946" s="371"/>
      <c r="I946" s="371"/>
      <c r="J946" s="371"/>
      <c r="K946" s="371"/>
      <c r="L946" s="371"/>
      <c r="M946" s="371"/>
      <c r="N946" s="371"/>
      <c r="O946" s="371"/>
      <c r="P946" s="371"/>
      <c r="Q946" s="371"/>
      <c r="R946" s="371"/>
      <c r="S946" s="371"/>
      <c r="T946" s="371"/>
      <c r="U946" s="371"/>
      <c r="V946" s="371"/>
    </row>
    <row r="947">
      <c r="A947" s="371"/>
      <c r="B947" s="307"/>
      <c r="C947" s="307"/>
      <c r="D947" s="307"/>
      <c r="E947" s="371"/>
      <c r="F947" s="307"/>
      <c r="G947" s="477"/>
      <c r="H947" s="371"/>
      <c r="I947" s="371"/>
      <c r="J947" s="371"/>
      <c r="K947" s="371"/>
      <c r="L947" s="371"/>
      <c r="M947" s="371"/>
      <c r="N947" s="371"/>
      <c r="O947" s="371"/>
      <c r="P947" s="371"/>
      <c r="Q947" s="371"/>
      <c r="R947" s="371"/>
      <c r="S947" s="371"/>
      <c r="T947" s="371"/>
      <c r="U947" s="371"/>
      <c r="V947" s="371"/>
    </row>
    <row r="948">
      <c r="A948" s="371"/>
      <c r="B948" s="307"/>
      <c r="C948" s="307"/>
      <c r="D948" s="307"/>
      <c r="E948" s="371"/>
      <c r="F948" s="307"/>
      <c r="G948" s="477"/>
      <c r="H948" s="371"/>
      <c r="I948" s="371"/>
      <c r="J948" s="371"/>
      <c r="K948" s="371"/>
      <c r="L948" s="371"/>
      <c r="M948" s="371"/>
      <c r="N948" s="371"/>
      <c r="O948" s="371"/>
      <c r="P948" s="371"/>
      <c r="Q948" s="371"/>
      <c r="R948" s="371"/>
      <c r="S948" s="371"/>
      <c r="T948" s="371"/>
      <c r="U948" s="371"/>
      <c r="V948" s="371"/>
    </row>
    <row r="949">
      <c r="A949" s="371"/>
      <c r="B949" s="307"/>
      <c r="C949" s="307"/>
      <c r="D949" s="307"/>
      <c r="E949" s="371"/>
      <c r="F949" s="307"/>
      <c r="G949" s="477"/>
      <c r="H949" s="371"/>
      <c r="I949" s="371"/>
      <c r="J949" s="371"/>
      <c r="K949" s="371"/>
      <c r="L949" s="371"/>
      <c r="M949" s="371"/>
      <c r="N949" s="371"/>
      <c r="O949" s="371"/>
      <c r="P949" s="371"/>
      <c r="Q949" s="371"/>
      <c r="R949" s="371"/>
      <c r="S949" s="371"/>
      <c r="T949" s="371"/>
      <c r="U949" s="371"/>
      <c r="V949" s="371"/>
    </row>
    <row r="950">
      <c r="A950" s="371"/>
      <c r="B950" s="307"/>
      <c r="C950" s="307"/>
      <c r="D950" s="307"/>
      <c r="E950" s="371"/>
      <c r="F950" s="307"/>
      <c r="G950" s="477"/>
      <c r="H950" s="371"/>
      <c r="I950" s="371"/>
      <c r="J950" s="371"/>
      <c r="K950" s="371"/>
      <c r="L950" s="371"/>
      <c r="M950" s="371"/>
      <c r="N950" s="371"/>
      <c r="O950" s="371"/>
      <c r="P950" s="371"/>
      <c r="Q950" s="371"/>
      <c r="R950" s="371"/>
      <c r="S950" s="371"/>
      <c r="T950" s="371"/>
      <c r="U950" s="371"/>
      <c r="V950" s="371"/>
    </row>
    <row r="951">
      <c r="A951" s="371"/>
      <c r="B951" s="307"/>
      <c r="C951" s="307"/>
      <c r="D951" s="307"/>
      <c r="E951" s="371"/>
      <c r="F951" s="307"/>
      <c r="G951" s="477"/>
      <c r="H951" s="371"/>
      <c r="I951" s="371"/>
      <c r="J951" s="371"/>
      <c r="K951" s="371"/>
      <c r="L951" s="371"/>
      <c r="M951" s="371"/>
      <c r="N951" s="371"/>
      <c r="O951" s="371"/>
      <c r="P951" s="371"/>
      <c r="Q951" s="371"/>
      <c r="R951" s="371"/>
      <c r="S951" s="371"/>
      <c r="T951" s="371"/>
      <c r="U951" s="371"/>
      <c r="V951" s="371"/>
    </row>
    <row r="952">
      <c r="A952" s="371"/>
      <c r="B952" s="307"/>
      <c r="C952" s="307"/>
      <c r="D952" s="307"/>
      <c r="E952" s="371"/>
      <c r="F952" s="307"/>
      <c r="G952" s="477"/>
      <c r="H952" s="371"/>
      <c r="I952" s="371"/>
      <c r="J952" s="371"/>
      <c r="K952" s="371"/>
      <c r="L952" s="371"/>
      <c r="M952" s="371"/>
      <c r="N952" s="371"/>
      <c r="O952" s="371"/>
      <c r="P952" s="371"/>
      <c r="Q952" s="371"/>
      <c r="R952" s="371"/>
      <c r="S952" s="371"/>
      <c r="T952" s="371"/>
      <c r="U952" s="371"/>
      <c r="V952" s="371"/>
    </row>
    <row r="953">
      <c r="A953" s="371"/>
      <c r="B953" s="307"/>
      <c r="C953" s="307"/>
      <c r="D953" s="307"/>
      <c r="E953" s="371"/>
      <c r="F953" s="307"/>
      <c r="G953" s="477"/>
      <c r="H953" s="371"/>
      <c r="I953" s="371"/>
      <c r="J953" s="371"/>
      <c r="K953" s="371"/>
      <c r="L953" s="371"/>
      <c r="M953" s="371"/>
      <c r="N953" s="371"/>
      <c r="O953" s="371"/>
      <c r="P953" s="371"/>
      <c r="Q953" s="371"/>
      <c r="R953" s="371"/>
      <c r="S953" s="371"/>
      <c r="T953" s="371"/>
      <c r="U953" s="371"/>
      <c r="V953" s="371"/>
    </row>
    <row r="954">
      <c r="A954" s="371"/>
      <c r="B954" s="307"/>
      <c r="C954" s="307"/>
      <c r="D954" s="307"/>
      <c r="E954" s="371"/>
      <c r="F954" s="307"/>
      <c r="G954" s="477"/>
      <c r="H954" s="371"/>
      <c r="I954" s="371"/>
      <c r="J954" s="371"/>
      <c r="K954" s="371"/>
      <c r="L954" s="371"/>
      <c r="M954" s="371"/>
      <c r="N954" s="371"/>
      <c r="O954" s="371"/>
      <c r="P954" s="371"/>
      <c r="Q954" s="371"/>
      <c r="R954" s="371"/>
      <c r="S954" s="371"/>
      <c r="T954" s="371"/>
      <c r="U954" s="371"/>
      <c r="V954" s="371"/>
    </row>
    <row r="955">
      <c r="A955" s="371"/>
      <c r="B955" s="307"/>
      <c r="C955" s="307"/>
      <c r="D955" s="307"/>
      <c r="E955" s="371"/>
      <c r="F955" s="307"/>
      <c r="G955" s="477"/>
      <c r="H955" s="371"/>
      <c r="I955" s="371"/>
      <c r="J955" s="371"/>
      <c r="K955" s="371"/>
      <c r="L955" s="371"/>
      <c r="M955" s="371"/>
      <c r="N955" s="371"/>
      <c r="O955" s="371"/>
      <c r="P955" s="371"/>
      <c r="Q955" s="371"/>
      <c r="R955" s="371"/>
      <c r="S955" s="371"/>
      <c r="T955" s="371"/>
      <c r="U955" s="371"/>
      <c r="V955" s="371"/>
    </row>
    <row r="956">
      <c r="A956" s="371"/>
      <c r="B956" s="307"/>
      <c r="C956" s="307"/>
      <c r="D956" s="307"/>
      <c r="E956" s="371"/>
      <c r="F956" s="307"/>
      <c r="G956" s="477"/>
      <c r="H956" s="371"/>
      <c r="I956" s="371"/>
      <c r="J956" s="371"/>
      <c r="K956" s="371"/>
      <c r="L956" s="371"/>
      <c r="M956" s="371"/>
      <c r="N956" s="371"/>
      <c r="O956" s="371"/>
      <c r="P956" s="371"/>
      <c r="Q956" s="371"/>
      <c r="R956" s="371"/>
      <c r="S956" s="371"/>
      <c r="T956" s="371"/>
      <c r="U956" s="371"/>
      <c r="V956" s="371"/>
    </row>
    <row r="957">
      <c r="A957" s="371"/>
      <c r="B957" s="307"/>
      <c r="C957" s="307"/>
      <c r="D957" s="307"/>
      <c r="E957" s="371"/>
      <c r="F957" s="307"/>
      <c r="G957" s="477"/>
      <c r="H957" s="371"/>
      <c r="I957" s="371"/>
      <c r="J957" s="371"/>
      <c r="K957" s="371"/>
      <c r="L957" s="371"/>
      <c r="M957" s="371"/>
      <c r="N957" s="371"/>
      <c r="O957" s="371"/>
      <c r="P957" s="371"/>
      <c r="Q957" s="371"/>
      <c r="R957" s="371"/>
      <c r="S957" s="371"/>
      <c r="T957" s="371"/>
      <c r="U957" s="371"/>
      <c r="V957" s="371"/>
    </row>
    <row r="958">
      <c r="A958" s="371"/>
      <c r="B958" s="307"/>
      <c r="C958" s="307"/>
      <c r="D958" s="307"/>
      <c r="E958" s="371"/>
      <c r="F958" s="307"/>
      <c r="G958" s="477"/>
      <c r="H958" s="371"/>
      <c r="I958" s="371"/>
      <c r="J958" s="371"/>
      <c r="K958" s="371"/>
      <c r="L958" s="371"/>
      <c r="M958" s="371"/>
      <c r="N958" s="371"/>
      <c r="O958" s="371"/>
      <c r="P958" s="371"/>
      <c r="Q958" s="371"/>
      <c r="R958" s="371"/>
      <c r="S958" s="371"/>
      <c r="T958" s="371"/>
      <c r="U958" s="371"/>
      <c r="V958" s="371"/>
    </row>
    <row r="959">
      <c r="A959" s="371"/>
      <c r="B959" s="307"/>
      <c r="C959" s="307"/>
      <c r="D959" s="307"/>
      <c r="E959" s="371"/>
      <c r="F959" s="307"/>
      <c r="G959" s="477"/>
      <c r="H959" s="371"/>
      <c r="I959" s="371"/>
      <c r="J959" s="371"/>
      <c r="K959" s="371"/>
      <c r="L959" s="371"/>
      <c r="M959" s="371"/>
      <c r="N959" s="371"/>
      <c r="O959" s="371"/>
      <c r="P959" s="371"/>
      <c r="Q959" s="371"/>
      <c r="R959" s="371"/>
      <c r="S959" s="371"/>
      <c r="T959" s="371"/>
      <c r="U959" s="371"/>
      <c r="V959" s="371"/>
    </row>
    <row r="960">
      <c r="A960" s="371"/>
      <c r="B960" s="307"/>
      <c r="C960" s="307"/>
      <c r="D960" s="307"/>
      <c r="E960" s="371"/>
      <c r="F960" s="307"/>
      <c r="G960" s="477"/>
      <c r="H960" s="371"/>
      <c r="I960" s="371"/>
      <c r="J960" s="371"/>
      <c r="K960" s="371"/>
      <c r="L960" s="371"/>
      <c r="M960" s="371"/>
      <c r="N960" s="371"/>
      <c r="O960" s="371"/>
      <c r="P960" s="371"/>
      <c r="Q960" s="371"/>
      <c r="R960" s="371"/>
      <c r="S960" s="371"/>
      <c r="T960" s="371"/>
      <c r="U960" s="371"/>
      <c r="V960" s="371"/>
    </row>
    <row r="961">
      <c r="A961" s="371"/>
      <c r="B961" s="307"/>
      <c r="C961" s="307"/>
      <c r="D961" s="307"/>
      <c r="E961" s="371"/>
      <c r="F961" s="307"/>
      <c r="G961" s="477"/>
      <c r="H961" s="371"/>
      <c r="I961" s="371"/>
      <c r="J961" s="371"/>
      <c r="K961" s="371"/>
      <c r="L961" s="371"/>
      <c r="M961" s="371"/>
      <c r="N961" s="371"/>
      <c r="O961" s="371"/>
      <c r="P961" s="371"/>
      <c r="Q961" s="371"/>
      <c r="R961" s="371"/>
      <c r="S961" s="371"/>
      <c r="T961" s="371"/>
      <c r="U961" s="371"/>
      <c r="V961" s="371"/>
    </row>
    <row r="962">
      <c r="A962" s="371"/>
      <c r="B962" s="307"/>
      <c r="C962" s="307"/>
      <c r="D962" s="307"/>
      <c r="E962" s="371"/>
      <c r="F962" s="307"/>
      <c r="G962" s="477"/>
      <c r="H962" s="371"/>
      <c r="I962" s="371"/>
      <c r="J962" s="371"/>
      <c r="K962" s="371"/>
      <c r="L962" s="371"/>
      <c r="M962" s="371"/>
      <c r="N962" s="371"/>
      <c r="O962" s="371"/>
      <c r="P962" s="371"/>
      <c r="Q962" s="371"/>
      <c r="R962" s="371"/>
      <c r="S962" s="371"/>
      <c r="T962" s="371"/>
      <c r="U962" s="371"/>
      <c r="V962" s="371"/>
    </row>
    <row r="963">
      <c r="A963" s="371"/>
      <c r="B963" s="307"/>
      <c r="C963" s="307"/>
      <c r="D963" s="307"/>
      <c r="E963" s="371"/>
      <c r="F963" s="307"/>
      <c r="G963" s="477"/>
      <c r="H963" s="371"/>
      <c r="I963" s="371"/>
      <c r="J963" s="371"/>
      <c r="K963" s="371"/>
      <c r="L963" s="371"/>
      <c r="M963" s="371"/>
      <c r="N963" s="371"/>
      <c r="O963" s="371"/>
      <c r="P963" s="371"/>
      <c r="Q963" s="371"/>
      <c r="R963" s="371"/>
      <c r="S963" s="371"/>
      <c r="T963" s="371"/>
      <c r="U963" s="371"/>
      <c r="V963" s="371"/>
    </row>
    <row r="964">
      <c r="A964" s="371"/>
      <c r="B964" s="307"/>
      <c r="C964" s="307"/>
      <c r="D964" s="307"/>
      <c r="E964" s="371"/>
      <c r="F964" s="307"/>
      <c r="G964" s="477"/>
      <c r="H964" s="371"/>
      <c r="I964" s="371"/>
      <c r="J964" s="371"/>
      <c r="K964" s="371"/>
      <c r="L964" s="371"/>
      <c r="M964" s="371"/>
      <c r="N964" s="371"/>
      <c r="O964" s="371"/>
      <c r="P964" s="371"/>
      <c r="Q964" s="371"/>
      <c r="R964" s="371"/>
      <c r="S964" s="371"/>
      <c r="T964" s="371"/>
      <c r="U964" s="371"/>
      <c r="V964" s="371"/>
    </row>
    <row r="965">
      <c r="A965" s="371"/>
      <c r="B965" s="307"/>
      <c r="C965" s="307"/>
      <c r="D965" s="307"/>
      <c r="E965" s="371"/>
      <c r="F965" s="307"/>
      <c r="G965" s="477"/>
      <c r="H965" s="371"/>
      <c r="I965" s="371"/>
      <c r="J965" s="371"/>
      <c r="K965" s="371"/>
      <c r="L965" s="371"/>
      <c r="M965" s="371"/>
      <c r="N965" s="371"/>
      <c r="O965" s="371"/>
      <c r="P965" s="371"/>
      <c r="Q965" s="371"/>
      <c r="R965" s="371"/>
      <c r="S965" s="371"/>
      <c r="T965" s="371"/>
      <c r="U965" s="371"/>
      <c r="V965" s="371"/>
    </row>
    <row r="966">
      <c r="A966" s="371"/>
      <c r="B966" s="307"/>
      <c r="C966" s="307"/>
      <c r="D966" s="307"/>
      <c r="E966" s="371"/>
      <c r="F966" s="307"/>
      <c r="G966" s="477"/>
      <c r="H966" s="371"/>
      <c r="I966" s="371"/>
      <c r="J966" s="371"/>
      <c r="K966" s="371"/>
      <c r="L966" s="371"/>
      <c r="M966" s="371"/>
      <c r="N966" s="371"/>
      <c r="O966" s="371"/>
      <c r="P966" s="371"/>
      <c r="Q966" s="371"/>
      <c r="R966" s="371"/>
      <c r="S966" s="371"/>
      <c r="T966" s="371"/>
      <c r="U966" s="371"/>
      <c r="V966" s="371"/>
    </row>
    <row r="967">
      <c r="A967" s="371"/>
      <c r="B967" s="307"/>
      <c r="C967" s="307"/>
      <c r="D967" s="307"/>
      <c r="E967" s="371"/>
      <c r="F967" s="307"/>
      <c r="G967" s="477"/>
      <c r="H967" s="371"/>
      <c r="I967" s="371"/>
      <c r="J967" s="371"/>
      <c r="K967" s="371"/>
      <c r="L967" s="371"/>
      <c r="M967" s="371"/>
      <c r="N967" s="371"/>
      <c r="O967" s="371"/>
      <c r="P967" s="371"/>
      <c r="Q967" s="371"/>
      <c r="R967" s="371"/>
      <c r="S967" s="371"/>
      <c r="T967" s="371"/>
      <c r="U967" s="371"/>
      <c r="V967" s="371"/>
    </row>
    <row r="968">
      <c r="A968" s="371"/>
      <c r="B968" s="307"/>
      <c r="C968" s="307"/>
      <c r="D968" s="307"/>
      <c r="E968" s="371"/>
      <c r="F968" s="307"/>
      <c r="G968" s="477"/>
      <c r="H968" s="371"/>
      <c r="I968" s="371"/>
      <c r="J968" s="371"/>
      <c r="K968" s="371"/>
      <c r="L968" s="371"/>
      <c r="M968" s="371"/>
      <c r="N968" s="371"/>
      <c r="O968" s="371"/>
      <c r="P968" s="371"/>
      <c r="Q968" s="371"/>
      <c r="R968" s="371"/>
      <c r="S968" s="371"/>
      <c r="T968" s="371"/>
      <c r="U968" s="371"/>
      <c r="V968" s="371"/>
    </row>
    <row r="969">
      <c r="A969" s="371"/>
      <c r="B969" s="307"/>
      <c r="C969" s="307"/>
      <c r="D969" s="307"/>
      <c r="E969" s="371"/>
      <c r="F969" s="307"/>
      <c r="G969" s="477"/>
      <c r="H969" s="371"/>
      <c r="I969" s="371"/>
      <c r="J969" s="371"/>
      <c r="K969" s="371"/>
      <c r="L969" s="371"/>
      <c r="M969" s="371"/>
      <c r="N969" s="371"/>
      <c r="O969" s="371"/>
      <c r="P969" s="371"/>
      <c r="Q969" s="371"/>
      <c r="R969" s="371"/>
      <c r="S969" s="371"/>
      <c r="T969" s="371"/>
      <c r="U969" s="371"/>
      <c r="V969" s="371"/>
    </row>
    <row r="970">
      <c r="A970" s="371"/>
      <c r="B970" s="307"/>
      <c r="C970" s="307"/>
      <c r="D970" s="307"/>
      <c r="E970" s="371"/>
      <c r="F970" s="307"/>
      <c r="G970" s="477"/>
      <c r="H970" s="371"/>
      <c r="I970" s="371"/>
      <c r="J970" s="371"/>
      <c r="K970" s="371"/>
      <c r="L970" s="371"/>
      <c r="M970" s="371"/>
      <c r="N970" s="371"/>
      <c r="O970" s="371"/>
      <c r="P970" s="371"/>
      <c r="Q970" s="371"/>
      <c r="R970" s="371"/>
      <c r="S970" s="371"/>
      <c r="T970" s="371"/>
      <c r="U970" s="371"/>
      <c r="V970" s="371"/>
    </row>
    <row r="971">
      <c r="A971" s="371"/>
      <c r="B971" s="307"/>
      <c r="C971" s="307"/>
      <c r="D971" s="307"/>
      <c r="E971" s="371"/>
      <c r="F971" s="307"/>
      <c r="G971" s="477"/>
      <c r="H971" s="371"/>
      <c r="I971" s="371"/>
      <c r="J971" s="371"/>
      <c r="K971" s="371"/>
      <c r="L971" s="371"/>
      <c r="M971" s="371"/>
      <c r="N971" s="371"/>
      <c r="O971" s="371"/>
      <c r="P971" s="371"/>
      <c r="Q971" s="371"/>
      <c r="R971" s="371"/>
      <c r="S971" s="371"/>
      <c r="T971" s="371"/>
      <c r="U971" s="371"/>
      <c r="V971" s="371"/>
    </row>
    <row r="972">
      <c r="A972" s="371"/>
      <c r="B972" s="307"/>
      <c r="C972" s="307"/>
      <c r="D972" s="307"/>
      <c r="E972" s="371"/>
      <c r="F972" s="307"/>
      <c r="G972" s="477"/>
      <c r="H972" s="371"/>
      <c r="I972" s="371"/>
      <c r="J972" s="371"/>
      <c r="K972" s="371"/>
      <c r="L972" s="371"/>
      <c r="M972" s="371"/>
      <c r="N972" s="371"/>
      <c r="O972" s="371"/>
      <c r="P972" s="371"/>
      <c r="Q972" s="371"/>
      <c r="R972" s="371"/>
      <c r="S972" s="371"/>
      <c r="T972" s="371"/>
      <c r="U972" s="371"/>
      <c r="V972" s="371"/>
    </row>
    <row r="973">
      <c r="A973" s="371"/>
      <c r="B973" s="307"/>
      <c r="C973" s="307"/>
      <c r="D973" s="307"/>
      <c r="E973" s="371"/>
      <c r="F973" s="307"/>
      <c r="G973" s="477"/>
      <c r="H973" s="371"/>
      <c r="I973" s="371"/>
      <c r="J973" s="371"/>
      <c r="K973" s="371"/>
      <c r="L973" s="371"/>
      <c r="M973" s="371"/>
      <c r="N973" s="371"/>
      <c r="O973" s="371"/>
      <c r="P973" s="371"/>
      <c r="Q973" s="371"/>
      <c r="R973" s="371"/>
      <c r="S973" s="371"/>
      <c r="T973" s="371"/>
      <c r="U973" s="371"/>
      <c r="V973" s="371"/>
    </row>
    <row r="974">
      <c r="A974" s="371"/>
      <c r="B974" s="307"/>
      <c r="C974" s="307"/>
      <c r="D974" s="307"/>
      <c r="E974" s="371"/>
      <c r="F974" s="307"/>
      <c r="G974" s="477"/>
      <c r="H974" s="371"/>
      <c r="I974" s="371"/>
      <c r="J974" s="371"/>
      <c r="K974" s="371"/>
      <c r="L974" s="371"/>
      <c r="M974" s="371"/>
      <c r="N974" s="371"/>
      <c r="O974" s="371"/>
      <c r="P974" s="371"/>
      <c r="Q974" s="371"/>
      <c r="R974" s="371"/>
      <c r="S974" s="371"/>
      <c r="T974" s="371"/>
      <c r="U974" s="371"/>
      <c r="V974" s="371"/>
    </row>
    <row r="975">
      <c r="A975" s="371"/>
      <c r="B975" s="307"/>
      <c r="C975" s="307"/>
      <c r="D975" s="307"/>
      <c r="E975" s="371"/>
      <c r="F975" s="307"/>
      <c r="G975" s="477"/>
      <c r="H975" s="371"/>
      <c r="I975" s="371"/>
      <c r="J975" s="371"/>
      <c r="K975" s="371"/>
      <c r="L975" s="371"/>
      <c r="M975" s="371"/>
      <c r="N975" s="371"/>
      <c r="O975" s="371"/>
      <c r="P975" s="371"/>
      <c r="Q975" s="371"/>
      <c r="R975" s="371"/>
      <c r="S975" s="371"/>
      <c r="T975" s="371"/>
      <c r="U975" s="371"/>
      <c r="V975" s="371"/>
    </row>
  </sheetData>
  <autoFilter ref="$A$1:$F$97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63"/>
    <col customWidth="1" min="2" max="2" width="9.5"/>
    <col customWidth="1" min="3" max="3" width="9.38"/>
    <col customWidth="1" min="4" max="4" width="13.88"/>
    <col customWidth="1" min="5" max="5" width="10.25"/>
    <col customWidth="1" min="6" max="6" width="15.13"/>
    <col customWidth="1" min="7" max="7" width="13.38"/>
    <col customWidth="1" min="8" max="8" width="6.25"/>
    <col customWidth="1" min="9" max="9" width="10.25"/>
    <col customWidth="1" min="10" max="10" width="47.75"/>
    <col customWidth="1" min="11" max="11" width="12.25"/>
    <col customWidth="1" min="12" max="12" width="18.13"/>
  </cols>
  <sheetData>
    <row r="1" ht="12.0" customHeight="1">
      <c r="A1" s="582" t="s">
        <v>3440</v>
      </c>
      <c r="B1" s="583" t="s">
        <v>3441</v>
      </c>
      <c r="C1" s="583" t="s">
        <v>3442</v>
      </c>
      <c r="D1" s="584" t="s">
        <v>3443</v>
      </c>
      <c r="E1" s="585" t="s">
        <v>3444</v>
      </c>
      <c r="F1" s="583" t="s">
        <v>3445</v>
      </c>
      <c r="G1" s="584" t="s">
        <v>3446</v>
      </c>
      <c r="H1" s="584"/>
      <c r="I1" s="583" t="s">
        <v>3447</v>
      </c>
      <c r="J1" s="586" t="s">
        <v>3448</v>
      </c>
      <c r="K1" s="587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</row>
    <row r="2" ht="25.5" customHeight="1">
      <c r="A2" s="588">
        <v>45554.0</v>
      </c>
      <c r="B2" s="163">
        <v>0.0</v>
      </c>
      <c r="C2" s="163">
        <f>289800+1200000+344000+1800000+1270000+682000</f>
        <v>5585800</v>
      </c>
      <c r="D2" s="589">
        <f t="shared" ref="D2:D39" si="1">C2-B2</f>
        <v>5585800</v>
      </c>
      <c r="E2" s="163">
        <f>858000+12000+105000+20000+258000+24000+240000+24000+858000</f>
        <v>2399000</v>
      </c>
      <c r="F2" s="163">
        <v>1083000.0</v>
      </c>
      <c r="G2" s="590">
        <f t="shared" ref="G2:G12" si="2">D2+E2+F2</f>
        <v>9067800</v>
      </c>
      <c r="H2" s="163"/>
      <c r="I2" s="163">
        <f>600000+82000</f>
        <v>682000</v>
      </c>
      <c r="J2" s="591" t="s">
        <v>3449</v>
      </c>
      <c r="K2" s="163">
        <v>700000.0</v>
      </c>
      <c r="L2" s="548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</row>
    <row r="3" ht="25.5" customHeight="1">
      <c r="A3" s="588">
        <v>45555.0</v>
      </c>
      <c r="B3" s="163">
        <f>440000+35300</f>
        <v>475300</v>
      </c>
      <c r="C3" s="163">
        <f>517000+120000+1450000+33200+20000</f>
        <v>2140200</v>
      </c>
      <c r="D3" s="589">
        <f t="shared" si="1"/>
        <v>1664900</v>
      </c>
      <c r="E3" s="163">
        <f>34000+10000+135000+581000</f>
        <v>760000</v>
      </c>
      <c r="F3" s="163">
        <v>472000.0</v>
      </c>
      <c r="G3" s="590">
        <f t="shared" si="2"/>
        <v>2896900</v>
      </c>
      <c r="H3" s="163"/>
      <c r="I3" s="163">
        <v>4000.0</v>
      </c>
      <c r="J3" s="591" t="s">
        <v>3450</v>
      </c>
      <c r="K3" s="587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</row>
    <row r="4" ht="16.5" customHeight="1">
      <c r="A4" s="588">
        <v>45556.0</v>
      </c>
      <c r="B4" s="163">
        <f>350000+33200</f>
        <v>383200</v>
      </c>
      <c r="C4" s="163">
        <f>20400+298000+600000+7000+1832000</f>
        <v>2757400</v>
      </c>
      <c r="D4" s="589">
        <f t="shared" si="1"/>
        <v>2374200</v>
      </c>
      <c r="E4" s="163">
        <f>32000+116000+50000+45000+60000+136000</f>
        <v>439000</v>
      </c>
      <c r="F4" s="163">
        <v>1301100.0</v>
      </c>
      <c r="G4" s="590">
        <f t="shared" si="2"/>
        <v>4114300</v>
      </c>
      <c r="H4" s="163"/>
      <c r="I4" s="163">
        <f>20000+12000+150000+1650000</f>
        <v>1832000</v>
      </c>
      <c r="J4" s="591" t="s">
        <v>3451</v>
      </c>
      <c r="K4" s="587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</row>
    <row r="5" ht="16.5" customHeight="1">
      <c r="A5" s="588">
        <v>45557.0</v>
      </c>
      <c r="B5" s="163">
        <f>20400+298000+7000+600000</f>
        <v>925400</v>
      </c>
      <c r="C5" s="163">
        <f>18000+380000+120000+50000+300000+1000000</f>
        <v>1868000</v>
      </c>
      <c r="D5" s="589">
        <f t="shared" si="1"/>
        <v>942600</v>
      </c>
      <c r="E5" s="163">
        <v>0.0</v>
      </c>
      <c r="F5" s="163">
        <v>45000.0</v>
      </c>
      <c r="G5" s="590">
        <f t="shared" si="2"/>
        <v>987600</v>
      </c>
      <c r="H5" s="163"/>
      <c r="I5" s="163">
        <f>300000+1000000</f>
        <v>1300000</v>
      </c>
      <c r="J5" s="591" t="s">
        <v>3452</v>
      </c>
      <c r="K5" s="587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  <c r="AA5" s="280"/>
    </row>
    <row r="6" ht="16.5" customHeight="1">
      <c r="A6" s="588">
        <v>45558.0</v>
      </c>
      <c r="B6" s="163">
        <f>18000+380000+120000+50000</f>
        <v>568000</v>
      </c>
      <c r="C6" s="163">
        <f>11500+450000+456000+1317000</f>
        <v>2234500</v>
      </c>
      <c r="D6" s="589">
        <f t="shared" si="1"/>
        <v>1666500</v>
      </c>
      <c r="E6" s="163">
        <f>83700+20000+66000+226000</f>
        <v>395700</v>
      </c>
      <c r="F6" s="163">
        <v>3181100.0</v>
      </c>
      <c r="G6" s="590">
        <f t="shared" si="2"/>
        <v>5243300</v>
      </c>
      <c r="H6" s="163"/>
      <c r="I6" s="163">
        <f>6000+5000+1000000+306000</f>
        <v>1317000</v>
      </c>
      <c r="J6" s="591" t="s">
        <v>3453</v>
      </c>
      <c r="K6" s="587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  <c r="AA6" s="280"/>
    </row>
    <row r="7" ht="16.5" customHeight="1">
      <c r="A7" s="588">
        <v>45559.0</v>
      </c>
      <c r="B7" s="163">
        <v>917500.0</v>
      </c>
      <c r="C7" s="163">
        <f>2450000+610000+119000</f>
        <v>3179000</v>
      </c>
      <c r="D7" s="589">
        <f t="shared" si="1"/>
        <v>2261500</v>
      </c>
      <c r="E7" s="163">
        <f>132000+400000+42000+34000</f>
        <v>608000</v>
      </c>
      <c r="F7" s="163">
        <v>2463800.0</v>
      </c>
      <c r="G7" s="590">
        <f t="shared" si="2"/>
        <v>5333300</v>
      </c>
      <c r="H7" s="163"/>
      <c r="I7" s="163">
        <f>550000+100000+500000</f>
        <v>1150000</v>
      </c>
      <c r="J7" s="591" t="s">
        <v>3454</v>
      </c>
      <c r="K7" s="587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  <c r="AA7" s="280"/>
    </row>
    <row r="8" ht="16.5" customHeight="1">
      <c r="A8" s="588">
        <v>45560.0</v>
      </c>
      <c r="B8" s="163">
        <v>371000.0</v>
      </c>
      <c r="C8" s="163">
        <f>32200+313000+1600000+432100</f>
        <v>2377300</v>
      </c>
      <c r="D8" s="589">
        <f t="shared" si="1"/>
        <v>2006300</v>
      </c>
      <c r="E8" s="163">
        <f>210000+164000+28000</f>
        <v>402000</v>
      </c>
      <c r="F8" s="163">
        <v>1314700.0</v>
      </c>
      <c r="G8" s="590">
        <f t="shared" si="2"/>
        <v>3723000</v>
      </c>
      <c r="H8" s="163"/>
      <c r="I8" s="163">
        <f>50000+32500+254100+90500+5000</f>
        <v>432100</v>
      </c>
      <c r="J8" s="591" t="s">
        <v>3455</v>
      </c>
      <c r="K8" s="587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  <c r="AA8" s="280"/>
    </row>
    <row r="9" ht="16.5" customHeight="1">
      <c r="A9" s="588">
        <v>45561.0</v>
      </c>
      <c r="B9" s="163">
        <v>345200.0</v>
      </c>
      <c r="C9" s="163">
        <f>10000+469000+1400000+45000</f>
        <v>1924000</v>
      </c>
      <c r="D9" s="589">
        <f t="shared" si="1"/>
        <v>1578800</v>
      </c>
      <c r="E9" s="163">
        <v>1466000.0</v>
      </c>
      <c r="F9" s="163">
        <v>3710000.0</v>
      </c>
      <c r="G9" s="590">
        <f t="shared" si="2"/>
        <v>6754800</v>
      </c>
      <c r="H9" s="163"/>
      <c r="I9" s="163">
        <f>30000+15000</f>
        <v>45000</v>
      </c>
      <c r="J9" s="591" t="s">
        <v>3456</v>
      </c>
      <c r="K9" s="587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</row>
    <row r="10" ht="16.5" customHeight="1">
      <c r="A10" s="588">
        <v>45562.0</v>
      </c>
      <c r="B10" s="163">
        <v>479000.0</v>
      </c>
      <c r="C10" s="163">
        <f>371300+1600000+170000+98200</f>
        <v>2239500</v>
      </c>
      <c r="D10" s="589">
        <f t="shared" si="1"/>
        <v>1760500</v>
      </c>
      <c r="E10" s="163">
        <v>244000.0</v>
      </c>
      <c r="F10" s="163">
        <v>719000.0</v>
      </c>
      <c r="G10" s="590">
        <f t="shared" si="2"/>
        <v>2723500</v>
      </c>
      <c r="H10" s="163"/>
      <c r="I10" s="163">
        <f>20500+77700</f>
        <v>98200</v>
      </c>
      <c r="J10" s="591" t="s">
        <v>3457</v>
      </c>
      <c r="K10" s="587"/>
      <c r="L10" s="280"/>
      <c r="M10" s="280"/>
      <c r="N10" s="548" t="s">
        <v>3458</v>
      </c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</row>
    <row r="11" ht="16.5" customHeight="1">
      <c r="A11" s="588">
        <v>45563.0</v>
      </c>
      <c r="B11" s="163">
        <f>336000+35300</f>
        <v>371300</v>
      </c>
      <c r="C11" s="163">
        <f>31100+278000+400000+307200</f>
        <v>1016300</v>
      </c>
      <c r="D11" s="589">
        <f t="shared" si="1"/>
        <v>645000</v>
      </c>
      <c r="E11" s="163">
        <v>162000.0</v>
      </c>
      <c r="F11" s="163">
        <v>585000.0</v>
      </c>
      <c r="G11" s="590">
        <f t="shared" si="2"/>
        <v>1392000</v>
      </c>
      <c r="H11" s="163"/>
      <c r="I11" s="163">
        <f>300000+7200</f>
        <v>307200</v>
      </c>
      <c r="J11" s="591" t="s">
        <v>3459</v>
      </c>
      <c r="K11" s="587"/>
      <c r="L11" s="280"/>
      <c r="M11" s="280"/>
      <c r="N11" s="548">
        <v>3.2</v>
      </c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</row>
    <row r="12">
      <c r="A12" s="588">
        <v>45565.0</v>
      </c>
      <c r="B12" s="163">
        <f>309100+400000</f>
        <v>709100</v>
      </c>
      <c r="C12" s="163">
        <f>19500+238000+250000+2230400</f>
        <v>2737900</v>
      </c>
      <c r="D12" s="589">
        <f t="shared" si="1"/>
        <v>2028800</v>
      </c>
      <c r="E12" s="163">
        <v>637000.0</v>
      </c>
      <c r="F12" s="163">
        <v>1788800.0</v>
      </c>
      <c r="G12" s="590">
        <f t="shared" si="2"/>
        <v>4454600</v>
      </c>
      <c r="H12" s="163"/>
      <c r="I12" s="163">
        <f>540000+500000+950000+40400+200000</f>
        <v>2230400</v>
      </c>
      <c r="J12" s="591" t="s">
        <v>3460</v>
      </c>
      <c r="K12" s="587"/>
      <c r="L12" s="280"/>
      <c r="M12" s="280"/>
      <c r="N12" s="548">
        <v>3.2</v>
      </c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</row>
    <row r="13" ht="16.5" customHeight="1">
      <c r="A13" s="588"/>
      <c r="B13" s="589"/>
      <c r="C13" s="163"/>
      <c r="D13" s="589">
        <f t="shared" si="1"/>
        <v>0</v>
      </c>
      <c r="E13" s="592"/>
      <c r="F13" s="592"/>
      <c r="G13" s="593">
        <f>SUM(G2:G12)</f>
        <v>46691100</v>
      </c>
      <c r="H13" s="589"/>
      <c r="I13" s="593">
        <f>SUM(I2:I12)</f>
        <v>9397900</v>
      </c>
      <c r="J13" s="594"/>
      <c r="K13" s="587"/>
      <c r="L13" s="280"/>
      <c r="M13" s="280"/>
      <c r="N13" s="548">
        <v>2.5</v>
      </c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  <c r="AA13" s="280"/>
    </row>
    <row r="14" ht="16.5" customHeight="1">
      <c r="A14" s="588">
        <v>45566.0</v>
      </c>
      <c r="B14" s="163">
        <v>507500.0</v>
      </c>
      <c r="C14" s="163">
        <f>371000+6500+1850000+1063900</f>
        <v>3291400</v>
      </c>
      <c r="D14" s="589">
        <f t="shared" si="1"/>
        <v>2783900</v>
      </c>
      <c r="E14" s="163">
        <v>165000.0</v>
      </c>
      <c r="F14" s="163">
        <v>2126500.0</v>
      </c>
      <c r="G14" s="590">
        <f>D14+E14+F14</f>
        <v>5075400</v>
      </c>
      <c r="H14" s="163"/>
      <c r="I14" s="163">
        <f>874000+139900+50000</f>
        <v>1063900</v>
      </c>
      <c r="J14" s="591" t="s">
        <v>3461</v>
      </c>
      <c r="K14" s="587"/>
      <c r="L14" s="280"/>
      <c r="M14" s="280"/>
      <c r="N14" s="548">
        <v>0.8</v>
      </c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</row>
    <row r="15" ht="16.5" customHeight="1">
      <c r="A15" s="588">
        <v>45567.0</v>
      </c>
      <c r="B15" s="163">
        <v>326500.0</v>
      </c>
      <c r="C15" s="163">
        <f>256000+1450000+10400+140400</f>
        <v>1856800</v>
      </c>
      <c r="D15" s="589">
        <f t="shared" si="1"/>
        <v>1530300</v>
      </c>
      <c r="E15" s="163">
        <v>1270000.0</v>
      </c>
      <c r="F15" s="163">
        <v>1843500.0</v>
      </c>
      <c r="G15" s="590">
        <f>D14+E15+F15</f>
        <v>5897400</v>
      </c>
      <c r="H15" s="163"/>
      <c r="I15" s="163">
        <f>6500+4200+99700+30000</f>
        <v>140400</v>
      </c>
      <c r="J15" s="591" t="s">
        <v>3462</v>
      </c>
      <c r="K15" s="595" t="s">
        <v>3463</v>
      </c>
      <c r="L15" s="280"/>
      <c r="M15" s="280"/>
      <c r="N15" s="280">
        <f>SUM(N11:N14)</f>
        <v>9.7</v>
      </c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</row>
    <row r="16" ht="16.5" customHeight="1">
      <c r="A16" s="588">
        <v>45568.0</v>
      </c>
      <c r="B16" s="163">
        <f>256000+50000+10400</f>
        <v>316400</v>
      </c>
      <c r="C16" s="163">
        <f>228000+107000+19100+2250000+450600</f>
        <v>3054700</v>
      </c>
      <c r="D16" s="589">
        <f t="shared" si="1"/>
        <v>2738300</v>
      </c>
      <c r="E16" s="163">
        <v>91200.0</v>
      </c>
      <c r="F16" s="163">
        <v>4693900.0</v>
      </c>
      <c r="G16" s="590">
        <f t="shared" ref="G16:G39" si="3">D16+E16+F16</f>
        <v>7523400</v>
      </c>
      <c r="H16" s="163"/>
      <c r="I16" s="163">
        <f>425500+25100</f>
        <v>450600</v>
      </c>
      <c r="J16" s="591" t="s">
        <v>3464</v>
      </c>
      <c r="K16" s="587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  <c r="AA16" s="280"/>
    </row>
    <row r="17" ht="16.5" customHeight="1">
      <c r="A17" s="588">
        <v>45569.0</v>
      </c>
      <c r="B17" s="163">
        <f>228000+19100</f>
        <v>247100</v>
      </c>
      <c r="C17" s="163">
        <f>205000+1500000+192500+16600</f>
        <v>1914100</v>
      </c>
      <c r="D17" s="589">
        <f t="shared" si="1"/>
        <v>1667000</v>
      </c>
      <c r="E17" s="163">
        <v>119000.0</v>
      </c>
      <c r="F17" s="163">
        <v>1816600.0</v>
      </c>
      <c r="G17" s="590">
        <f t="shared" si="3"/>
        <v>3602600</v>
      </c>
      <c r="H17" s="163"/>
      <c r="I17" s="163">
        <f>28500+164000</f>
        <v>192500</v>
      </c>
      <c r="J17" s="591" t="s">
        <v>3465</v>
      </c>
      <c r="K17" s="595" t="s">
        <v>3466</v>
      </c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</row>
    <row r="18" ht="16.5" customHeight="1">
      <c r="A18" s="588">
        <v>45570.0</v>
      </c>
      <c r="B18" s="163">
        <f>205000+16600</f>
        <v>221600</v>
      </c>
      <c r="C18" s="163">
        <f>292000+1100000+8600+20000+370000</f>
        <v>1790600</v>
      </c>
      <c r="D18" s="589">
        <f t="shared" si="1"/>
        <v>1569000</v>
      </c>
      <c r="E18" s="163">
        <f>119600+175000+16000</f>
        <v>310600</v>
      </c>
      <c r="F18" s="163">
        <v>864000.0</v>
      </c>
      <c r="G18" s="590">
        <f t="shared" si="3"/>
        <v>2743600</v>
      </c>
      <c r="H18" s="163"/>
      <c r="I18" s="163">
        <f>20000+350000</f>
        <v>370000</v>
      </c>
      <c r="J18" s="591" t="s">
        <v>3467</v>
      </c>
      <c r="K18" s="595" t="s">
        <v>3468</v>
      </c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</row>
    <row r="19" ht="16.5" customHeight="1">
      <c r="A19" s="588">
        <v>45572.0</v>
      </c>
      <c r="B19" s="163">
        <f>250000+8600</f>
        <v>258600</v>
      </c>
      <c r="C19" s="163">
        <f>3800+311000+2450000+30000+20000</f>
        <v>2814800</v>
      </c>
      <c r="D19" s="589">
        <f t="shared" si="1"/>
        <v>2556200</v>
      </c>
      <c r="E19" s="163">
        <v>1001500.0</v>
      </c>
      <c r="F19" s="163">
        <v>1295600.0</v>
      </c>
      <c r="G19" s="590">
        <f t="shared" si="3"/>
        <v>4853300</v>
      </c>
      <c r="H19" s="163"/>
      <c r="I19" s="163">
        <v>20000.0</v>
      </c>
      <c r="J19" s="591" t="s">
        <v>3469</v>
      </c>
      <c r="K19" s="595" t="s">
        <v>3470</v>
      </c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</row>
    <row r="20" ht="16.5" customHeight="1">
      <c r="A20" s="588">
        <v>45573.0</v>
      </c>
      <c r="B20" s="163">
        <f>314800+50000+30000</f>
        <v>394800</v>
      </c>
      <c r="C20" s="163">
        <f>392000+47100+800000+279000</f>
        <v>1518100</v>
      </c>
      <c r="D20" s="589">
        <f t="shared" si="1"/>
        <v>1123300</v>
      </c>
      <c r="E20" s="163">
        <v>1517000.0</v>
      </c>
      <c r="F20" s="163">
        <v>1525000.0</v>
      </c>
      <c r="G20" s="590">
        <f t="shared" si="3"/>
        <v>4165300</v>
      </c>
      <c r="H20" s="163"/>
      <c r="I20" s="163">
        <v>279000.0</v>
      </c>
      <c r="J20" s="591" t="s">
        <v>3471</v>
      </c>
      <c r="K20" s="587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</row>
    <row r="21" ht="16.5" customHeight="1">
      <c r="A21" s="588">
        <v>45574.0</v>
      </c>
      <c r="B21" s="163">
        <f>292000+47100</f>
        <v>339100</v>
      </c>
      <c r="C21" s="589">
        <f>29800+419000+900000+555000</f>
        <v>1903800</v>
      </c>
      <c r="D21" s="589">
        <f t="shared" si="1"/>
        <v>1564700</v>
      </c>
      <c r="E21" s="163">
        <v>918900.0</v>
      </c>
      <c r="F21" s="163">
        <v>1431600.0</v>
      </c>
      <c r="G21" s="590">
        <f t="shared" si="3"/>
        <v>3915200</v>
      </c>
      <c r="H21" s="163"/>
      <c r="I21" s="163">
        <f>15000+340000+200000</f>
        <v>555000</v>
      </c>
      <c r="J21" s="591" t="s">
        <v>3472</v>
      </c>
      <c r="K21" s="587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</row>
    <row r="22" ht="16.5" customHeight="1">
      <c r="A22" s="588">
        <v>45575.0</v>
      </c>
      <c r="B22" s="163">
        <v>448800.0</v>
      </c>
      <c r="C22" s="589">
        <f>312000+21300+1750000+50000</f>
        <v>2133300</v>
      </c>
      <c r="D22" s="589">
        <f t="shared" si="1"/>
        <v>1684500</v>
      </c>
      <c r="E22" s="163">
        <v>634000.0</v>
      </c>
      <c r="F22" s="163">
        <v>641500.0</v>
      </c>
      <c r="G22" s="590">
        <f t="shared" si="3"/>
        <v>2960000</v>
      </c>
      <c r="H22" s="163"/>
      <c r="I22" s="163">
        <v>50000.0</v>
      </c>
      <c r="J22" s="591" t="s">
        <v>1513</v>
      </c>
      <c r="K22" s="587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</row>
    <row r="23" ht="16.5" customHeight="1">
      <c r="A23" s="588">
        <v>45576.0</v>
      </c>
      <c r="B23" s="163">
        <f>212000+21300</f>
        <v>233300</v>
      </c>
      <c r="C23" s="163">
        <f>2400+400000+2200000+1634600</f>
        <v>4237000</v>
      </c>
      <c r="D23" s="589">
        <f t="shared" si="1"/>
        <v>4003700</v>
      </c>
      <c r="E23" s="163">
        <v>602000.0</v>
      </c>
      <c r="F23" s="163">
        <v>1909000.0</v>
      </c>
      <c r="G23" s="590">
        <f t="shared" si="3"/>
        <v>6514700</v>
      </c>
      <c r="H23" s="589"/>
      <c r="I23" s="589">
        <f>1449600+185000</f>
        <v>1634600</v>
      </c>
      <c r="J23" s="591" t="s">
        <v>3473</v>
      </c>
      <c r="K23" s="587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</row>
    <row r="24" ht="16.5" customHeight="1">
      <c r="A24" s="588">
        <v>45577.0</v>
      </c>
      <c r="B24" s="163">
        <f>400000+2400+400000</f>
        <v>802400</v>
      </c>
      <c r="C24" s="589">
        <f>6000+287000+1300000+650000</f>
        <v>2243000</v>
      </c>
      <c r="D24" s="589">
        <f t="shared" si="1"/>
        <v>1440600</v>
      </c>
      <c r="E24" s="163">
        <v>0.0</v>
      </c>
      <c r="F24" s="163">
        <v>437100.0</v>
      </c>
      <c r="G24" s="590">
        <f t="shared" si="3"/>
        <v>1877700</v>
      </c>
      <c r="H24" s="163"/>
      <c r="I24" s="163">
        <f>350000+300000</f>
        <v>650000</v>
      </c>
      <c r="J24" s="591" t="s">
        <v>3474</v>
      </c>
      <c r="K24" s="587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</row>
    <row r="25" ht="16.5" customHeight="1">
      <c r="A25" s="588">
        <v>45580.0</v>
      </c>
      <c r="B25" s="163">
        <v>293000.0</v>
      </c>
      <c r="C25" s="589">
        <f>394000+46900+830000+1786500</f>
        <v>3057400</v>
      </c>
      <c r="D25" s="589">
        <f t="shared" si="1"/>
        <v>2764400</v>
      </c>
      <c r="E25" s="163">
        <v>1843500.0</v>
      </c>
      <c r="F25" s="163">
        <v>1984000.0</v>
      </c>
      <c r="G25" s="590">
        <f t="shared" si="3"/>
        <v>6591900</v>
      </c>
      <c r="H25" s="163"/>
      <c r="I25" s="163">
        <f>200000 + 670000+16500 + 900000</f>
        <v>1786500</v>
      </c>
      <c r="J25" s="591" t="s">
        <v>3475</v>
      </c>
      <c r="K25" s="587"/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  <c r="AA25" s="280"/>
    </row>
    <row r="26" ht="16.5" customHeight="1">
      <c r="A26" s="588">
        <v>45581.0</v>
      </c>
      <c r="B26" s="163">
        <f>394000+46900</f>
        <v>440900</v>
      </c>
      <c r="C26" s="589">
        <f>29000+420000+1550000+325800</f>
        <v>2324800</v>
      </c>
      <c r="D26" s="589">
        <f t="shared" si="1"/>
        <v>1883900</v>
      </c>
      <c r="E26" s="589">
        <f>9000+84000+20000+76000+82500+700000</f>
        <v>971500</v>
      </c>
      <c r="F26" s="163">
        <v>4939200.0</v>
      </c>
      <c r="G26" s="590">
        <f t="shared" si="3"/>
        <v>7794600</v>
      </c>
      <c r="H26" s="589"/>
      <c r="I26" s="589">
        <f>300000+25800</f>
        <v>325800</v>
      </c>
      <c r="J26" s="594"/>
      <c r="K26" s="587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</row>
    <row r="27" ht="16.5" customHeight="1">
      <c r="A27" s="588">
        <v>45582.0</v>
      </c>
      <c r="B27" s="163">
        <v>449000.0</v>
      </c>
      <c r="C27" s="163">
        <f>596000+880000+23900+697700</f>
        <v>2197600</v>
      </c>
      <c r="D27" s="589">
        <f t="shared" si="1"/>
        <v>1748600</v>
      </c>
      <c r="E27" s="163">
        <v>200000.0</v>
      </c>
      <c r="F27" s="163">
        <v>3742300.0</v>
      </c>
      <c r="G27" s="590">
        <f t="shared" si="3"/>
        <v>5690900</v>
      </c>
      <c r="H27" s="589"/>
      <c r="I27" s="589">
        <f>100000+597700</f>
        <v>697700</v>
      </c>
      <c r="J27" s="591" t="s">
        <v>3476</v>
      </c>
      <c r="K27" s="587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</row>
    <row r="28" ht="16.5" customHeight="1">
      <c r="A28" s="588">
        <v>45583.0</v>
      </c>
      <c r="B28" s="163">
        <f>300000+23900</f>
        <v>323900</v>
      </c>
      <c r="C28" s="589">
        <f>+6700+184000+320000+2203000+5000</f>
        <v>2718700</v>
      </c>
      <c r="D28" s="589">
        <f t="shared" si="1"/>
        <v>2394800</v>
      </c>
      <c r="E28" s="163">
        <v>427400.0</v>
      </c>
      <c r="F28" s="163">
        <v>3119000.0</v>
      </c>
      <c r="G28" s="590">
        <f t="shared" si="3"/>
        <v>5941200</v>
      </c>
      <c r="H28" s="163"/>
      <c r="I28" s="163">
        <v>5000.0</v>
      </c>
      <c r="J28" s="594"/>
      <c r="K28" s="587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</row>
    <row r="29" ht="16.5" customHeight="1">
      <c r="A29" s="588">
        <v>45584.0</v>
      </c>
      <c r="B29" s="589">
        <f>+670+340000+350000+40000</f>
        <v>730670</v>
      </c>
      <c r="C29" s="589">
        <f>28700+567000+630000+350000+621000</f>
        <v>2196700</v>
      </c>
      <c r="D29" s="589">
        <f t="shared" si="1"/>
        <v>1466030</v>
      </c>
      <c r="E29" s="163">
        <v>163000.0</v>
      </c>
      <c r="F29" s="163">
        <v>595000.0</v>
      </c>
      <c r="G29" s="590">
        <f t="shared" si="3"/>
        <v>2224030</v>
      </c>
      <c r="H29" s="163"/>
      <c r="I29" s="163">
        <f>121000+200000+300000</f>
        <v>621000</v>
      </c>
      <c r="J29" s="591" t="s">
        <v>3477</v>
      </c>
      <c r="K29" s="587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</row>
    <row r="30" ht="16.5" customHeight="1">
      <c r="A30" s="588">
        <v>45586.0</v>
      </c>
      <c r="B30" s="163">
        <f>28700+305000</f>
        <v>333700</v>
      </c>
      <c r="C30" s="163">
        <f>485000+950000+22800</f>
        <v>1457800</v>
      </c>
      <c r="D30" s="589">
        <f t="shared" si="1"/>
        <v>1124100</v>
      </c>
      <c r="E30" s="163">
        <v>886000.0</v>
      </c>
      <c r="F30" s="163">
        <v>1791800.0</v>
      </c>
      <c r="G30" s="590">
        <f t="shared" si="3"/>
        <v>3801900</v>
      </c>
      <c r="H30" s="163"/>
      <c r="I30" s="163">
        <v>0.0</v>
      </c>
      <c r="J30" s="594"/>
      <c r="K30" s="587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  <c r="AA30" s="280"/>
    </row>
    <row r="31" ht="16.5" customHeight="1">
      <c r="A31" s="588">
        <v>45587.0</v>
      </c>
      <c r="B31" s="163">
        <f>345000+22800</f>
        <v>367800</v>
      </c>
      <c r="C31" s="589">
        <f>252000+800000+2000000+115000+12700+490000</f>
        <v>3669700</v>
      </c>
      <c r="D31" s="589">
        <f t="shared" si="1"/>
        <v>3301900</v>
      </c>
      <c r="E31" s="163">
        <v>239000.0</v>
      </c>
      <c r="F31" s="163">
        <v>1680100.0</v>
      </c>
      <c r="G31" s="590">
        <f t="shared" si="3"/>
        <v>5221000</v>
      </c>
      <c r="H31" s="163"/>
      <c r="I31" s="163">
        <v>490000.0</v>
      </c>
      <c r="J31" s="591" t="s">
        <v>3478</v>
      </c>
      <c r="K31" s="587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  <c r="AA31" s="280"/>
    </row>
    <row r="32" ht="16.5" customHeight="1">
      <c r="A32" s="588">
        <v>45588.0</v>
      </c>
      <c r="B32" s="163">
        <f>305000+12700</f>
        <v>317700</v>
      </c>
      <c r="C32" s="163">
        <f>615900+1500000+581500</f>
        <v>2697400</v>
      </c>
      <c r="D32" s="589">
        <f t="shared" si="1"/>
        <v>2379700</v>
      </c>
      <c r="E32" s="163">
        <v>65000.0</v>
      </c>
      <c r="F32" s="163">
        <v>2803800.0</v>
      </c>
      <c r="G32" s="590">
        <f t="shared" si="3"/>
        <v>5248500</v>
      </c>
      <c r="H32" s="589"/>
      <c r="I32" s="589">
        <f>490000+91500</f>
        <v>581500</v>
      </c>
      <c r="J32" s="591" t="s">
        <v>3479</v>
      </c>
      <c r="K32" s="587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</row>
    <row r="33" ht="16.5" customHeight="1">
      <c r="A33" s="588">
        <v>45589.0</v>
      </c>
      <c r="B33" s="163">
        <v>615900.0</v>
      </c>
      <c r="C33" s="163">
        <f>63500+598000+1100000+977600</f>
        <v>2739100</v>
      </c>
      <c r="D33" s="589">
        <f t="shared" si="1"/>
        <v>2123200</v>
      </c>
      <c r="E33" s="163">
        <v>146000.0</v>
      </c>
      <c r="F33" s="163">
        <v>822900.0</v>
      </c>
      <c r="G33" s="590">
        <f t="shared" si="3"/>
        <v>3092100</v>
      </c>
      <c r="H33" s="589"/>
      <c r="I33" s="589">
        <f>900000+77600+21700</f>
        <v>999300</v>
      </c>
      <c r="J33" s="591" t="s">
        <v>3480</v>
      </c>
      <c r="K33" s="587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</row>
    <row r="34" ht="16.5" customHeight="1">
      <c r="A34" s="588">
        <v>45590.0</v>
      </c>
      <c r="B34" s="163">
        <v>361500.0</v>
      </c>
      <c r="C34" s="589">
        <f>41400+190000+1550000</f>
        <v>1781400</v>
      </c>
      <c r="D34" s="589">
        <f t="shared" si="1"/>
        <v>1419900</v>
      </c>
      <c r="E34" s="163">
        <v>177500.0</v>
      </c>
      <c r="F34" s="163">
        <v>1354900.0</v>
      </c>
      <c r="G34" s="590">
        <f t="shared" si="3"/>
        <v>2952300</v>
      </c>
      <c r="H34" s="589"/>
      <c r="I34" s="589">
        <f>45600+70000+36700+80000+100000</f>
        <v>332300</v>
      </c>
      <c r="J34" s="591" t="s">
        <v>3481</v>
      </c>
      <c r="K34" s="587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</row>
    <row r="35" ht="16.5" customHeight="1">
      <c r="A35" s="588">
        <v>45591.0</v>
      </c>
      <c r="B35" s="163">
        <f>231400+400000</f>
        <v>631400</v>
      </c>
      <c r="C35" s="589">
        <f>22400+142000+1000000+350000</f>
        <v>1514400</v>
      </c>
      <c r="D35" s="589">
        <f t="shared" si="1"/>
        <v>883000</v>
      </c>
      <c r="E35" s="163">
        <v>0.0</v>
      </c>
      <c r="F35" s="163">
        <v>880000.0</v>
      </c>
      <c r="G35" s="590">
        <f t="shared" si="3"/>
        <v>1763000</v>
      </c>
      <c r="H35" s="589"/>
      <c r="I35" s="589">
        <f>300000+50000</f>
        <v>350000</v>
      </c>
      <c r="J35" s="591" t="s">
        <v>3482</v>
      </c>
      <c r="K35" s="587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</row>
    <row r="36" ht="16.5" customHeight="1">
      <c r="A36" s="588">
        <v>45593.0</v>
      </c>
      <c r="B36" s="163">
        <v>164000.0</v>
      </c>
      <c r="C36" s="589">
        <f>72500+681000+700000</f>
        <v>1453500</v>
      </c>
      <c r="D36" s="589">
        <f t="shared" si="1"/>
        <v>1289500</v>
      </c>
      <c r="E36" s="163">
        <v>1529000.0</v>
      </c>
      <c r="F36" s="163">
        <v>2301100.0</v>
      </c>
      <c r="G36" s="590">
        <f t="shared" si="3"/>
        <v>5119600</v>
      </c>
      <c r="H36" s="163"/>
      <c r="I36" s="163">
        <v>0.0</v>
      </c>
      <c r="J36" s="594"/>
      <c r="K36" s="587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280"/>
    </row>
    <row r="37" ht="16.5" customHeight="1">
      <c r="A37" s="588">
        <v>45594.0</v>
      </c>
      <c r="B37" s="163">
        <v>231000.0</v>
      </c>
      <c r="C37" s="589">
        <f>59600+356000+700000+55820</f>
        <v>1171420</v>
      </c>
      <c r="D37" s="589">
        <f t="shared" si="1"/>
        <v>940420</v>
      </c>
      <c r="E37" s="163">
        <v>579900.0</v>
      </c>
      <c r="F37" s="163">
        <v>3493100.0</v>
      </c>
      <c r="G37" s="590">
        <f t="shared" si="3"/>
        <v>5013420</v>
      </c>
      <c r="H37" s="589"/>
      <c r="I37" s="589">
        <f>38820+520000</f>
        <v>558820</v>
      </c>
      <c r="J37" s="591" t="s">
        <v>3483</v>
      </c>
      <c r="K37" s="587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</row>
    <row r="38" ht="16.5" customHeight="1">
      <c r="A38" s="588">
        <v>45595.0</v>
      </c>
      <c r="B38" s="163">
        <v>415600.0</v>
      </c>
      <c r="C38" s="589">
        <f>50700+409000+1200000+16000</f>
        <v>1675700</v>
      </c>
      <c r="D38" s="589">
        <f t="shared" si="1"/>
        <v>1260100</v>
      </c>
      <c r="E38" s="163">
        <v>326000.0</v>
      </c>
      <c r="F38" s="163">
        <v>1015000.0</v>
      </c>
      <c r="G38" s="590">
        <f t="shared" si="3"/>
        <v>2601100</v>
      </c>
      <c r="H38" s="589"/>
      <c r="I38" s="589">
        <f>6000+10000+900000</f>
        <v>916000</v>
      </c>
      <c r="J38" s="591" t="s">
        <v>3484</v>
      </c>
      <c r="K38" s="587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</row>
    <row r="39" ht="16.5" customHeight="1">
      <c r="A39" s="588">
        <v>45596.0</v>
      </c>
      <c r="B39" s="163">
        <f>459700+300000</f>
        <v>759700</v>
      </c>
      <c r="C39" s="589">
        <f>51700+557000+1450000+4860000</f>
        <v>6918700</v>
      </c>
      <c r="D39" s="589">
        <f t="shared" si="1"/>
        <v>6159000</v>
      </c>
      <c r="E39" s="163">
        <v>1118000.0</v>
      </c>
      <c r="F39" s="163">
        <v>1028000.0</v>
      </c>
      <c r="G39" s="590">
        <f t="shared" si="3"/>
        <v>8305000</v>
      </c>
      <c r="H39" s="589"/>
      <c r="I39" s="589">
        <f>1270000+660000+2930000</f>
        <v>4860000</v>
      </c>
      <c r="J39" s="591" t="s">
        <v>3485</v>
      </c>
      <c r="K39" s="587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</row>
    <row r="40" ht="16.5" customHeight="1">
      <c r="A40" s="588"/>
      <c r="B40" s="589"/>
      <c r="C40" s="589"/>
      <c r="D40" s="593">
        <f t="shared" ref="D40:G40" si="4">SUM(D14:D39)</f>
        <v>53800050</v>
      </c>
      <c r="E40" s="593">
        <f t="shared" si="4"/>
        <v>15301000</v>
      </c>
      <c r="F40" s="593">
        <f t="shared" si="4"/>
        <v>50134500</v>
      </c>
      <c r="G40" s="593">
        <f t="shared" si="4"/>
        <v>120489150</v>
      </c>
      <c r="H40" s="589"/>
      <c r="I40" s="593">
        <f>SUM(I14:I39)</f>
        <v>17929920</v>
      </c>
      <c r="J40" s="594"/>
      <c r="K40" s="587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80"/>
    </row>
    <row r="41" ht="16.5" customHeight="1">
      <c r="A41" s="588">
        <v>45597.0</v>
      </c>
      <c r="B41" s="163">
        <v>608700.0</v>
      </c>
      <c r="C41" s="589">
        <f>36700+944000+750000+390000</f>
        <v>2120700</v>
      </c>
      <c r="D41" s="589">
        <f t="shared" ref="D41:D64" si="5">C41-B41</f>
        <v>1512000</v>
      </c>
      <c r="E41" s="163">
        <v>486600.0</v>
      </c>
      <c r="F41" s="163">
        <v>5738200.0</v>
      </c>
      <c r="G41" s="590">
        <f t="shared" ref="G41:G64" si="6">D41+E41+F41</f>
        <v>7736800</v>
      </c>
      <c r="H41" s="163"/>
      <c r="I41" s="163">
        <v>390000.0</v>
      </c>
      <c r="J41" s="591" t="s">
        <v>3486</v>
      </c>
      <c r="K41" s="595">
        <v>1500000.0</v>
      </c>
      <c r="L41" s="280"/>
      <c r="M41" s="548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  <c r="AA41" s="280"/>
    </row>
    <row r="42" ht="16.5" customHeight="1">
      <c r="A42" s="588">
        <v>45598.0</v>
      </c>
      <c r="B42" s="589">
        <f>36700+324000</f>
        <v>360700</v>
      </c>
      <c r="C42" s="589">
        <f>33100+165000+171000+550000</f>
        <v>919100</v>
      </c>
      <c r="D42" s="589">
        <f t="shared" si="5"/>
        <v>558400</v>
      </c>
      <c r="E42" s="163">
        <v>66000.0</v>
      </c>
      <c r="F42" s="163">
        <v>337000.0</v>
      </c>
      <c r="G42" s="590">
        <f t="shared" si="6"/>
        <v>961400</v>
      </c>
      <c r="H42" s="163"/>
      <c r="I42" s="163">
        <v>280000.0</v>
      </c>
      <c r="J42" s="591" t="s">
        <v>3487</v>
      </c>
      <c r="K42" s="595">
        <v>500000.0</v>
      </c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Y42" s="280"/>
      <c r="Z42" s="280"/>
      <c r="AA42" s="280"/>
    </row>
    <row r="43">
      <c r="A43" s="588">
        <v>45601.0</v>
      </c>
      <c r="B43" s="163">
        <v>369100.0</v>
      </c>
      <c r="C43" s="589">
        <f>182500+78000+1350000+103000</f>
        <v>1713500</v>
      </c>
      <c r="D43" s="589">
        <f t="shared" si="5"/>
        <v>1344400</v>
      </c>
      <c r="E43" s="163">
        <v>430000.0</v>
      </c>
      <c r="F43" s="163">
        <v>908400.0</v>
      </c>
      <c r="G43" s="590">
        <f t="shared" si="6"/>
        <v>2682800</v>
      </c>
      <c r="H43" s="589"/>
      <c r="I43" s="589">
        <f>36000+17000+50000</f>
        <v>103000</v>
      </c>
      <c r="J43" s="591" t="s">
        <v>3488</v>
      </c>
      <c r="K43" s="595">
        <v>1100000.0</v>
      </c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0"/>
      <c r="AA43" s="280"/>
    </row>
    <row r="44">
      <c r="A44" s="588">
        <v>45602.0</v>
      </c>
      <c r="B44" s="163">
        <v>360500.0</v>
      </c>
      <c r="C44" s="589">
        <f>170400+351000+2400000</f>
        <v>2921400</v>
      </c>
      <c r="D44" s="589">
        <f t="shared" si="5"/>
        <v>2560900</v>
      </c>
      <c r="E44" s="163">
        <v>289000.0</v>
      </c>
      <c r="F44" s="163">
        <v>2080900.0</v>
      </c>
      <c r="G44" s="590">
        <f t="shared" si="6"/>
        <v>4930800</v>
      </c>
      <c r="H44" s="589"/>
      <c r="I44" s="589">
        <f>21500+200000+88000</f>
        <v>309500</v>
      </c>
      <c r="J44" s="591" t="s">
        <v>3489</v>
      </c>
      <c r="K44" s="595">
        <v>2400000.0</v>
      </c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  <c r="AA44" s="280"/>
    </row>
    <row r="45">
      <c r="A45" s="588">
        <v>45603.0</v>
      </c>
      <c r="B45" s="163">
        <v>521400.0</v>
      </c>
      <c r="C45" s="589">
        <f>158300+414000+2350000+60000</f>
        <v>2982300</v>
      </c>
      <c r="D45" s="589">
        <f t="shared" si="5"/>
        <v>2460900</v>
      </c>
      <c r="E45" s="163">
        <v>545000.0</v>
      </c>
      <c r="F45" s="163">
        <v>2231900.0</v>
      </c>
      <c r="G45" s="590">
        <f t="shared" si="6"/>
        <v>5237800</v>
      </c>
      <c r="H45" s="589"/>
      <c r="I45" s="589">
        <f>19000+6000</f>
        <v>25000</v>
      </c>
      <c r="J45" s="591" t="s">
        <v>3490</v>
      </c>
      <c r="K45" s="595">
        <v>2350000.0</v>
      </c>
      <c r="L45" s="548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  <c r="AA45" s="280"/>
    </row>
    <row r="46">
      <c r="A46" s="588">
        <v>45604.0</v>
      </c>
      <c r="B46" s="163">
        <f>572300+60000</f>
        <v>632300</v>
      </c>
      <c r="C46" s="163">
        <f>132600+364000+1450000</f>
        <v>1946600</v>
      </c>
      <c r="D46" s="589">
        <f t="shared" si="5"/>
        <v>1314300</v>
      </c>
      <c r="E46" s="163">
        <v>72000.0</v>
      </c>
      <c r="F46" s="163">
        <v>1325300.0</v>
      </c>
      <c r="G46" s="590">
        <f t="shared" si="6"/>
        <v>2711600</v>
      </c>
      <c r="H46" s="589"/>
      <c r="I46" s="589">
        <f>49500+4700+600000+170000</f>
        <v>824200</v>
      </c>
      <c r="J46" s="591" t="s">
        <v>3491</v>
      </c>
      <c r="K46" s="595">
        <v>1450000.0</v>
      </c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  <c r="AA46" s="280"/>
    </row>
    <row r="47">
      <c r="A47" s="588">
        <v>45605.0</v>
      </c>
      <c r="B47" s="163">
        <v>496000.0</v>
      </c>
      <c r="C47" s="589">
        <f>135500+410000+1100000+36000</f>
        <v>1681500</v>
      </c>
      <c r="D47" s="589">
        <f t="shared" si="5"/>
        <v>1185500</v>
      </c>
      <c r="E47" s="163">
        <v>0.0</v>
      </c>
      <c r="F47" s="163">
        <v>202000.0</v>
      </c>
      <c r="G47" s="590">
        <f t="shared" si="6"/>
        <v>1387500</v>
      </c>
      <c r="H47" s="163"/>
      <c r="I47" s="163">
        <v>200000.0</v>
      </c>
      <c r="J47" s="591" t="s">
        <v>3487</v>
      </c>
      <c r="K47" s="595">
        <v>1100000.0</v>
      </c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80"/>
    </row>
    <row r="48">
      <c r="A48" s="588">
        <v>45608.0</v>
      </c>
      <c r="B48" s="163">
        <f>545500+36000</f>
        <v>581500</v>
      </c>
      <c r="C48" s="163">
        <f>170300+629000+100000+1311000</f>
        <v>2210300</v>
      </c>
      <c r="D48" s="589">
        <f t="shared" si="5"/>
        <v>1628800</v>
      </c>
      <c r="E48" s="163">
        <v>20000.0</v>
      </c>
      <c r="F48" s="163">
        <v>1712500.0</v>
      </c>
      <c r="G48" s="590">
        <f t="shared" si="6"/>
        <v>3361300</v>
      </c>
      <c r="H48" s="163"/>
      <c r="I48" s="163">
        <f>150000+1150000+11000</f>
        <v>1311000</v>
      </c>
      <c r="J48" s="591" t="s">
        <v>3492</v>
      </c>
      <c r="K48" s="595">
        <v>300000.0</v>
      </c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80"/>
    </row>
    <row r="49">
      <c r="A49" s="588">
        <v>45609.0</v>
      </c>
      <c r="B49" s="163">
        <v>599300.0</v>
      </c>
      <c r="C49" s="163">
        <f>151600+157000+900000+1500000+316716</f>
        <v>3025316</v>
      </c>
      <c r="D49" s="589">
        <f t="shared" si="5"/>
        <v>2426016</v>
      </c>
      <c r="E49" s="163">
        <v>44000.0</v>
      </c>
      <c r="F49" s="163">
        <v>3849500.0</v>
      </c>
      <c r="G49" s="590">
        <f t="shared" si="6"/>
        <v>6319516</v>
      </c>
      <c r="H49" s="589"/>
      <c r="I49" s="589">
        <f>203213+113500</f>
        <v>316713</v>
      </c>
      <c r="J49" s="591" t="s">
        <v>3493</v>
      </c>
      <c r="K49" s="595">
        <v>2400000.0</v>
      </c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</row>
    <row r="50">
      <c r="A50" s="588">
        <v>45610.0</v>
      </c>
      <c r="B50" s="163">
        <f>2708300-2400000</f>
        <v>308300</v>
      </c>
      <c r="C50" s="589">
        <f>153000+84000+2500000+90000</f>
        <v>2827000</v>
      </c>
      <c r="D50" s="589">
        <f t="shared" si="5"/>
        <v>2518700</v>
      </c>
      <c r="E50" s="163">
        <v>361000.0</v>
      </c>
      <c r="F50" s="163">
        <v>3099000.0</v>
      </c>
      <c r="G50" s="590">
        <f t="shared" si="6"/>
        <v>5978700</v>
      </c>
      <c r="H50" s="163"/>
      <c r="I50" s="163">
        <v>90000.0</v>
      </c>
      <c r="J50" s="591" t="s">
        <v>3469</v>
      </c>
      <c r="K50" s="595">
        <v>2000000.0</v>
      </c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  <c r="AA50" s="280"/>
    </row>
    <row r="51">
      <c r="A51" s="588">
        <v>45611.0</v>
      </c>
      <c r="B51" s="163">
        <f>237000+50000</f>
        <v>287000</v>
      </c>
      <c r="C51" s="163">
        <f>78000+350000+139200+1870700</f>
        <v>2437900</v>
      </c>
      <c r="D51" s="589">
        <f t="shared" si="5"/>
        <v>2150900</v>
      </c>
      <c r="E51" s="163">
        <v>283000.0</v>
      </c>
      <c r="F51" s="163">
        <v>2743900.0</v>
      </c>
      <c r="G51" s="590">
        <f t="shared" si="6"/>
        <v>5177800</v>
      </c>
      <c r="H51" s="589"/>
      <c r="I51" s="589">
        <f>286000+30000+1500000+54700</f>
        <v>1870700</v>
      </c>
      <c r="J51" s="591" t="s">
        <v>3494</v>
      </c>
      <c r="K51" s="548">
        <v>0.0</v>
      </c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  <c r="AA51" s="280"/>
    </row>
    <row r="52">
      <c r="A52" s="588">
        <v>45612.0</v>
      </c>
      <c r="B52" s="163">
        <v>567000.0</v>
      </c>
      <c r="C52" s="163">
        <f>179000+550000+300000</f>
        <v>1029000</v>
      </c>
      <c r="D52" s="589">
        <f t="shared" si="5"/>
        <v>462000</v>
      </c>
      <c r="E52" s="163">
        <v>0.0</v>
      </c>
      <c r="F52" s="163">
        <v>2340000.0</v>
      </c>
      <c r="G52" s="590">
        <f t="shared" si="6"/>
        <v>2802000</v>
      </c>
      <c r="H52" s="163"/>
      <c r="I52" s="163">
        <v>300000.0</v>
      </c>
      <c r="J52" s="591" t="s">
        <v>3487</v>
      </c>
      <c r="K52" s="595">
        <v>550000.0</v>
      </c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80"/>
    </row>
    <row r="53">
      <c r="A53" s="588">
        <v>45614.0</v>
      </c>
      <c r="B53" s="163">
        <v>179000.0</v>
      </c>
      <c r="C53" s="589">
        <f>384000+126500+450000+478000</f>
        <v>1438500</v>
      </c>
      <c r="D53" s="589">
        <f t="shared" si="5"/>
        <v>1259500</v>
      </c>
      <c r="E53" s="163">
        <v>41500.0</v>
      </c>
      <c r="F53" s="163">
        <v>2747900.0</v>
      </c>
      <c r="G53" s="590">
        <f t="shared" si="6"/>
        <v>4048900</v>
      </c>
      <c r="H53" s="589"/>
      <c r="I53" s="589">
        <f>15000+82000+331000+50000</f>
        <v>478000</v>
      </c>
      <c r="J53" s="591" t="s">
        <v>3495</v>
      </c>
      <c r="K53" s="595">
        <v>450000.0</v>
      </c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  <c r="AA53" s="280"/>
    </row>
    <row r="54">
      <c r="A54" s="588">
        <v>45615.0</v>
      </c>
      <c r="B54" s="163">
        <v>510500.0</v>
      </c>
      <c r="C54" s="589">
        <f>157900+490000+1950000+20000+157000</f>
        <v>2774900</v>
      </c>
      <c r="D54" s="589">
        <f t="shared" si="5"/>
        <v>2264400</v>
      </c>
      <c r="E54" s="163">
        <v>183000.0</v>
      </c>
      <c r="F54" s="163">
        <v>1720900.0</v>
      </c>
      <c r="G54" s="590">
        <f t="shared" si="6"/>
        <v>4168300</v>
      </c>
      <c r="H54" s="163"/>
      <c r="I54" s="163">
        <v>157000.0</v>
      </c>
      <c r="J54" s="591" t="s">
        <v>563</v>
      </c>
      <c r="K54" s="587">
        <f>1950000+170000</f>
        <v>2120000</v>
      </c>
      <c r="L54" s="548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  <c r="AA54" s="280"/>
    </row>
    <row r="55">
      <c r="A55" s="588">
        <v>45616.0</v>
      </c>
      <c r="B55" s="163">
        <v>340000.0</v>
      </c>
      <c r="C55" s="589">
        <f>156350+537000+4022000+300000+447000</f>
        <v>5462350</v>
      </c>
      <c r="D55" s="589">
        <f t="shared" si="5"/>
        <v>5122350</v>
      </c>
      <c r="E55" s="163">
        <v>85000.0</v>
      </c>
      <c r="F55" s="163">
        <v>2021800.0</v>
      </c>
      <c r="G55" s="590">
        <f t="shared" si="6"/>
        <v>7229150</v>
      </c>
      <c r="H55" s="589"/>
      <c r="I55" s="589">
        <f>10000+310000+5000+122000</f>
        <v>447000</v>
      </c>
      <c r="J55" s="591" t="s">
        <v>3496</v>
      </c>
      <c r="K55" s="595">
        <v>4000000.0</v>
      </c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  <c r="AA55" s="280"/>
    </row>
    <row r="56">
      <c r="A56" s="588">
        <v>45617.0</v>
      </c>
      <c r="B56" s="163">
        <v>715350.0</v>
      </c>
      <c r="C56" s="163">
        <f>155750+308000+2100000+450000</f>
        <v>3013750</v>
      </c>
      <c r="D56" s="589">
        <f t="shared" si="5"/>
        <v>2298400</v>
      </c>
      <c r="E56" s="163">
        <v>1061000.0</v>
      </c>
      <c r="F56" s="163">
        <v>1795000.0</v>
      </c>
      <c r="G56" s="590">
        <f t="shared" si="6"/>
        <v>5154400</v>
      </c>
      <c r="H56" s="589"/>
      <c r="I56" s="589">
        <f>15000+20000+10000</f>
        <v>45000</v>
      </c>
      <c r="J56" s="591" t="s">
        <v>3497</v>
      </c>
      <c r="K56" s="595">
        <v>2100000.0</v>
      </c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80"/>
    </row>
    <row r="57">
      <c r="A57" s="588">
        <v>45618.0</v>
      </c>
      <c r="B57" s="589">
        <f>155500+308000</f>
        <v>463500</v>
      </c>
      <c r="C57" s="589">
        <f>143650+238000+650000+322900</f>
        <v>1354550</v>
      </c>
      <c r="D57" s="589">
        <f t="shared" si="5"/>
        <v>891050</v>
      </c>
      <c r="E57" s="163">
        <v>120000.0</v>
      </c>
      <c r="F57" s="163">
        <v>4008000.0</v>
      </c>
      <c r="G57" s="590">
        <f t="shared" si="6"/>
        <v>5019050</v>
      </c>
      <c r="H57" s="589"/>
      <c r="I57" s="589">
        <f>25000+4900+28000+265000</f>
        <v>322900</v>
      </c>
      <c r="J57" s="591" t="s">
        <v>3498</v>
      </c>
      <c r="K57" s="595">
        <v>650000.0</v>
      </c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</row>
    <row r="58">
      <c r="A58" s="588">
        <v>45619.0</v>
      </c>
      <c r="B58" s="163">
        <v>381650.0</v>
      </c>
      <c r="C58" s="589">
        <f>146400+169000+150000</f>
        <v>465400</v>
      </c>
      <c r="D58" s="589">
        <f t="shared" si="5"/>
        <v>83750</v>
      </c>
      <c r="E58" s="163">
        <v>165000.0</v>
      </c>
      <c r="F58" s="163">
        <v>679700.0</v>
      </c>
      <c r="G58" s="590">
        <f t="shared" si="6"/>
        <v>928450</v>
      </c>
      <c r="H58" s="163"/>
      <c r="I58" s="163">
        <v>0.0</v>
      </c>
      <c r="J58" s="594"/>
      <c r="K58" s="587"/>
      <c r="L58" s="548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  <c r="AA58" s="280"/>
    </row>
    <row r="59">
      <c r="A59" s="588">
        <v>45621.0</v>
      </c>
      <c r="B59" s="163">
        <v>465400.0</v>
      </c>
      <c r="C59" s="589">
        <f>115450+256000+1049000</f>
        <v>1420450</v>
      </c>
      <c r="D59" s="589">
        <f t="shared" si="5"/>
        <v>955050</v>
      </c>
      <c r="E59" s="163">
        <v>264000.0</v>
      </c>
      <c r="F59" s="163">
        <v>6096000.0</v>
      </c>
      <c r="G59" s="590">
        <f t="shared" si="6"/>
        <v>7315050</v>
      </c>
      <c r="H59" s="589"/>
      <c r="I59" s="589">
        <f>22900+426000+2000</f>
        <v>450900</v>
      </c>
      <c r="J59" s="591" t="s">
        <v>3499</v>
      </c>
      <c r="K59" s="595">
        <f>800000+200000</f>
        <v>1000000</v>
      </c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  <c r="AA59" s="280"/>
    </row>
    <row r="60">
      <c r="A60" s="588">
        <v>45622.0</v>
      </c>
      <c r="B60" s="163">
        <f>371450+49000</f>
        <v>420450</v>
      </c>
      <c r="C60" s="589">
        <f>246000+147050+5100000+140000</f>
        <v>5633050</v>
      </c>
      <c r="D60" s="589">
        <f t="shared" si="5"/>
        <v>5212600</v>
      </c>
      <c r="E60" s="163">
        <v>292000.0</v>
      </c>
      <c r="F60" s="163">
        <v>2222100.0</v>
      </c>
      <c r="G60" s="590">
        <f t="shared" si="6"/>
        <v>7726700</v>
      </c>
      <c r="H60" s="589"/>
      <c r="I60" s="163">
        <v>0.0</v>
      </c>
      <c r="J60" s="594"/>
      <c r="K60" s="595">
        <v>5200000.0</v>
      </c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Y60" s="280"/>
      <c r="Z60" s="280"/>
      <c r="AA60" s="280"/>
    </row>
    <row r="61">
      <c r="A61" s="588">
        <v>45623.0</v>
      </c>
      <c r="B61" s="163">
        <f>393050+50</f>
        <v>393100</v>
      </c>
      <c r="C61" s="589">
        <f>163550+276000+200000+1400000</f>
        <v>2039550</v>
      </c>
      <c r="D61" s="589">
        <f t="shared" si="5"/>
        <v>1646450</v>
      </c>
      <c r="E61" s="163">
        <v>206000.0</v>
      </c>
      <c r="F61" s="163">
        <v>4286700.0</v>
      </c>
      <c r="G61" s="590">
        <f t="shared" si="6"/>
        <v>6139150</v>
      </c>
      <c r="H61" s="589"/>
      <c r="I61" s="163">
        <v>700000.0</v>
      </c>
      <c r="J61" s="591" t="s">
        <v>3500</v>
      </c>
      <c r="K61" s="595">
        <v>1400000.0</v>
      </c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80"/>
    </row>
    <row r="62">
      <c r="A62" s="588">
        <v>45624.0</v>
      </c>
      <c r="B62" s="589">
        <f>+163550+276000+200000</f>
        <v>639550</v>
      </c>
      <c r="C62" s="589">
        <f>148450+416000+600000+1880000+20000</f>
        <v>3064450</v>
      </c>
      <c r="D62" s="589">
        <f t="shared" si="5"/>
        <v>2424900</v>
      </c>
      <c r="E62" s="163">
        <v>86000.0</v>
      </c>
      <c r="F62" s="163">
        <v>5958200.0</v>
      </c>
      <c r="G62" s="590">
        <f t="shared" si="6"/>
        <v>8469100</v>
      </c>
      <c r="H62" s="589"/>
      <c r="I62" s="163">
        <v>0.0</v>
      </c>
      <c r="J62" s="591" t="s">
        <v>3469</v>
      </c>
      <c r="K62" s="595">
        <v>1850000.0</v>
      </c>
      <c r="L62" s="548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  <c r="AA62" s="280"/>
    </row>
    <row r="63">
      <c r="A63" s="588">
        <v>45625.0</v>
      </c>
      <c r="B63" s="163">
        <f>564000+30000</f>
        <v>594000</v>
      </c>
      <c r="C63" s="163">
        <f>613000+2400000+234200+230000</f>
        <v>3477200</v>
      </c>
      <c r="D63" s="589">
        <f t="shared" si="5"/>
        <v>2883200</v>
      </c>
      <c r="E63" s="163">
        <v>302000.0</v>
      </c>
      <c r="F63" s="163">
        <v>6540700.0</v>
      </c>
      <c r="G63" s="590">
        <f t="shared" si="6"/>
        <v>9725900</v>
      </c>
      <c r="H63" s="589"/>
      <c r="I63" s="589">
        <f>234000+230000</f>
        <v>464000</v>
      </c>
      <c r="J63" s="596" t="s">
        <v>3501</v>
      </c>
      <c r="K63" s="587">
        <f>2400000+293000</f>
        <v>2693000</v>
      </c>
      <c r="L63" s="548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  <c r="AA63" s="280"/>
    </row>
    <row r="64">
      <c r="A64" s="588">
        <v>45626.0</v>
      </c>
      <c r="B64" s="163">
        <v>320000.0</v>
      </c>
      <c r="C64" s="589">
        <f>113850+362000+150000</f>
        <v>625850</v>
      </c>
      <c r="D64" s="589">
        <f t="shared" si="5"/>
        <v>305850</v>
      </c>
      <c r="E64" s="163">
        <v>85000.0</v>
      </c>
      <c r="F64" s="163">
        <v>1378700.0</v>
      </c>
      <c r="G64" s="590">
        <f t="shared" si="6"/>
        <v>1769550</v>
      </c>
      <c r="H64" s="589"/>
      <c r="I64" s="163">
        <v>400000.0</v>
      </c>
      <c r="J64" s="591" t="s">
        <v>3487</v>
      </c>
      <c r="K64" s="595">
        <v>400000.0</v>
      </c>
      <c r="L64" s="548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  <c r="AA64" s="280"/>
    </row>
    <row r="65" ht="16.5" customHeight="1">
      <c r="A65" s="588"/>
      <c r="B65" s="589"/>
      <c r="C65" s="589"/>
      <c r="D65" s="593">
        <f t="shared" ref="D65:F65" si="7">SUM(D41:D64)</f>
        <v>45470316</v>
      </c>
      <c r="E65" s="593">
        <f t="shared" si="7"/>
        <v>5487100</v>
      </c>
      <c r="F65" s="593">
        <f t="shared" si="7"/>
        <v>66024300</v>
      </c>
      <c r="G65" s="593">
        <f>SUM(D65:F65)</f>
        <v>116981716</v>
      </c>
      <c r="H65" s="589"/>
      <c r="I65" s="593">
        <f>SUM(I41:I64)</f>
        <v>9484913</v>
      </c>
      <c r="J65" s="594"/>
      <c r="K65" s="587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  <c r="Z65" s="280"/>
      <c r="AA65" s="280"/>
    </row>
    <row r="66">
      <c r="A66" s="588">
        <v>45628.0</v>
      </c>
      <c r="B66" s="163">
        <v>625850.0</v>
      </c>
      <c r="C66" s="589">
        <f>108400+319000+500000+6250000</f>
        <v>7177400</v>
      </c>
      <c r="D66" s="589">
        <f t="shared" ref="D66:D84" si="8">C66-B66</f>
        <v>6551550</v>
      </c>
      <c r="E66" s="163">
        <v>124500.0</v>
      </c>
      <c r="F66" s="163">
        <v>6139000.0</v>
      </c>
      <c r="G66" s="590">
        <f t="shared" ref="G66:G85" si="9">D66+E66+F66</f>
        <v>12815050</v>
      </c>
      <c r="H66" s="589"/>
      <c r="I66" s="163">
        <v>0.0</v>
      </c>
      <c r="J66" s="594"/>
      <c r="K66" s="595">
        <v>6250000.0</v>
      </c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  <c r="AA66" s="280"/>
    </row>
    <row r="67">
      <c r="A67" s="588">
        <v>45629.0</v>
      </c>
      <c r="B67" s="163">
        <v>427400.0</v>
      </c>
      <c r="C67" s="589">
        <f>76200+301000+2850000+204000+4000</f>
        <v>3435200</v>
      </c>
      <c r="D67" s="589">
        <f t="shared" si="8"/>
        <v>3007800</v>
      </c>
      <c r="E67" s="163">
        <v>0.0</v>
      </c>
      <c r="F67" s="163">
        <v>9500400.0</v>
      </c>
      <c r="G67" s="590">
        <f t="shared" si="9"/>
        <v>12508200</v>
      </c>
      <c r="H67" s="589"/>
      <c r="I67" s="163">
        <v>0.0</v>
      </c>
      <c r="J67" s="594"/>
      <c r="K67" s="595">
        <v>2850000.0</v>
      </c>
      <c r="L67" s="548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80"/>
    </row>
    <row r="68">
      <c r="A68" s="588">
        <v>45630.0</v>
      </c>
      <c r="B68" s="163">
        <v>377200.0</v>
      </c>
      <c r="C68" s="589">
        <f>86700+143000+2200000+101000</f>
        <v>2530700</v>
      </c>
      <c r="D68" s="589">
        <f t="shared" si="8"/>
        <v>2153500</v>
      </c>
      <c r="E68" s="163">
        <v>300000.0</v>
      </c>
      <c r="F68" s="163">
        <v>4062600.0</v>
      </c>
      <c r="G68" s="590">
        <f t="shared" si="9"/>
        <v>6516100</v>
      </c>
      <c r="H68" s="589"/>
      <c r="I68" s="589">
        <f>30000+6000+40000+25000+1015000</f>
        <v>1116000</v>
      </c>
      <c r="J68" s="591" t="s">
        <v>3502</v>
      </c>
      <c r="K68" s="587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80"/>
    </row>
    <row r="69">
      <c r="A69" s="588">
        <v>45631.0</v>
      </c>
      <c r="B69" s="163">
        <v>229700.0</v>
      </c>
      <c r="C69" s="589">
        <f>88650+19300+1950000+5000+55000</f>
        <v>2117950</v>
      </c>
      <c r="D69" s="589">
        <f t="shared" si="8"/>
        <v>1888250</v>
      </c>
      <c r="E69" s="163">
        <v>0.0</v>
      </c>
      <c r="F69" s="163">
        <v>6693300.0</v>
      </c>
      <c r="G69" s="590">
        <f t="shared" si="9"/>
        <v>8581550</v>
      </c>
      <c r="H69" s="589"/>
      <c r="I69" s="163">
        <f>5000+55000</f>
        <v>60000</v>
      </c>
      <c r="J69" s="591" t="s">
        <v>3503</v>
      </c>
      <c r="K69" s="587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  <c r="AA69" s="280"/>
    </row>
    <row r="70">
      <c r="A70" s="588">
        <v>45632.0</v>
      </c>
      <c r="B70" s="163">
        <v>107950.0</v>
      </c>
      <c r="C70" s="163">
        <f>304000+1860000+15000+1200+408000+216000+8000</f>
        <v>2812200</v>
      </c>
      <c r="D70" s="589">
        <f t="shared" si="8"/>
        <v>2704250</v>
      </c>
      <c r="E70" s="163">
        <v>145000.0</v>
      </c>
      <c r="F70" s="163">
        <v>3959800.0</v>
      </c>
      <c r="G70" s="590">
        <f t="shared" si="9"/>
        <v>6809050</v>
      </c>
      <c r="H70" s="589"/>
      <c r="I70" s="589">
        <f>15000+321200+408000+216000+8000</f>
        <v>968200</v>
      </c>
      <c r="J70" s="591" t="s">
        <v>3504</v>
      </c>
      <c r="K70" s="587"/>
      <c r="L70" s="280"/>
      <c r="M70" s="280"/>
      <c r="N70" s="280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  <c r="AA70" s="280"/>
    </row>
    <row r="71">
      <c r="A71" s="588">
        <v>45633.0</v>
      </c>
      <c r="B71" s="163">
        <v>304000.0</v>
      </c>
      <c r="C71" s="163">
        <v>603500.0</v>
      </c>
      <c r="D71" s="589">
        <f t="shared" si="8"/>
        <v>299500</v>
      </c>
      <c r="E71" s="163">
        <v>0.0</v>
      </c>
      <c r="F71" s="163">
        <v>659000.0</v>
      </c>
      <c r="G71" s="590">
        <f t="shared" si="9"/>
        <v>958500</v>
      </c>
      <c r="H71" s="589"/>
      <c r="I71" s="163">
        <v>0.0</v>
      </c>
      <c r="J71" s="594"/>
      <c r="K71" s="587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  <c r="AA71" s="280"/>
    </row>
    <row r="72">
      <c r="A72" s="588">
        <v>45635.0</v>
      </c>
      <c r="B72" s="163">
        <v>603500.0</v>
      </c>
      <c r="C72" s="589">
        <f>74350+850000+849000</f>
        <v>1773350</v>
      </c>
      <c r="D72" s="589">
        <f t="shared" si="8"/>
        <v>1169850</v>
      </c>
      <c r="E72" s="163">
        <v>652000.0</v>
      </c>
      <c r="F72" s="163">
        <v>6255300.0</v>
      </c>
      <c r="G72" s="590">
        <f t="shared" si="9"/>
        <v>8077150</v>
      </c>
      <c r="H72" s="589"/>
      <c r="I72" s="589">
        <f>4500+125500+33000+210000+100000+150000+226000</f>
        <v>849000</v>
      </c>
      <c r="J72" s="591" t="s">
        <v>3505</v>
      </c>
      <c r="K72" s="587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  <c r="AA72" s="280"/>
    </row>
    <row r="73">
      <c r="A73" s="588">
        <v>45636.0</v>
      </c>
      <c r="B73" s="163">
        <v>924350.0</v>
      </c>
      <c r="C73" s="589">
        <f>60300+61000+1438000+2350000</f>
        <v>3909300</v>
      </c>
      <c r="D73" s="589">
        <f t="shared" si="8"/>
        <v>2984950</v>
      </c>
      <c r="E73" s="163">
        <v>158000.0</v>
      </c>
      <c r="F73" s="163">
        <v>4240150.0</v>
      </c>
      <c r="G73" s="590">
        <f t="shared" si="9"/>
        <v>7383100</v>
      </c>
      <c r="H73" s="589"/>
      <c r="I73" s="163">
        <f>30000+43000+30000+1335000</f>
        <v>1438000</v>
      </c>
      <c r="J73" s="591" t="s">
        <v>3506</v>
      </c>
      <c r="K73" s="595">
        <v>2300000.0</v>
      </c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80"/>
    </row>
    <row r="74">
      <c r="A74" s="588">
        <v>45637.0</v>
      </c>
      <c r="B74" s="163">
        <f>121300+50000</f>
        <v>171300</v>
      </c>
      <c r="C74" s="589">
        <f>48450+138000+1050000</f>
        <v>1236450</v>
      </c>
      <c r="D74" s="589">
        <f t="shared" si="8"/>
        <v>1065150</v>
      </c>
      <c r="E74" s="163">
        <v>0.0</v>
      </c>
      <c r="F74" s="163">
        <v>4428500.0</v>
      </c>
      <c r="G74" s="590">
        <f t="shared" si="9"/>
        <v>5493650</v>
      </c>
      <c r="H74" s="589"/>
      <c r="I74" s="589"/>
      <c r="J74" s="594"/>
      <c r="K74" s="595">
        <v>1050000.0</v>
      </c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80"/>
    </row>
    <row r="75">
      <c r="A75" s="588">
        <v>45638.0</v>
      </c>
      <c r="B75" s="163">
        <v>186450.0</v>
      </c>
      <c r="C75" s="589">
        <f>38100+334000+750000</f>
        <v>1122100</v>
      </c>
      <c r="D75" s="589">
        <f t="shared" si="8"/>
        <v>935650</v>
      </c>
      <c r="E75" s="163">
        <v>40000.0</v>
      </c>
      <c r="F75" s="163">
        <v>4459000.0</v>
      </c>
      <c r="G75" s="590">
        <f t="shared" si="9"/>
        <v>5434650</v>
      </c>
      <c r="H75" s="589"/>
      <c r="I75" s="163">
        <v>600000.0</v>
      </c>
      <c r="J75" s="591" t="s">
        <v>3450</v>
      </c>
      <c r="K75" s="587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  <c r="AA75" s="280"/>
    </row>
    <row r="76">
      <c r="A76" s="588">
        <v>45639.0</v>
      </c>
      <c r="B76" s="163">
        <f>1122100-600000</f>
        <v>522100</v>
      </c>
      <c r="C76" s="589">
        <f>265000+200000+762400</f>
        <v>1227400</v>
      </c>
      <c r="D76" s="589">
        <f t="shared" si="8"/>
        <v>705300</v>
      </c>
      <c r="E76" s="163">
        <v>0.0</v>
      </c>
      <c r="F76" s="163">
        <v>3498300.0</v>
      </c>
      <c r="G76" s="590">
        <f t="shared" si="9"/>
        <v>4203600</v>
      </c>
      <c r="H76" s="589"/>
      <c r="I76" s="589">
        <f>196400+200000+6000+10000+350000</f>
        <v>762400</v>
      </c>
      <c r="J76" s="591" t="s">
        <v>3507</v>
      </c>
      <c r="K76" s="587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  <c r="AA76" s="280"/>
    </row>
    <row r="77">
      <c r="A77" s="588">
        <v>45640.0</v>
      </c>
      <c r="B77" s="589">
        <f>265000+200000</f>
        <v>465000</v>
      </c>
      <c r="C77" s="589">
        <f>1450000+111900</f>
        <v>1561900</v>
      </c>
      <c r="D77" s="589">
        <f t="shared" si="8"/>
        <v>1096900</v>
      </c>
      <c r="E77" s="163">
        <v>0.0</v>
      </c>
      <c r="F77" s="163">
        <v>1032800.0</v>
      </c>
      <c r="G77" s="590">
        <f t="shared" si="9"/>
        <v>2129700</v>
      </c>
      <c r="H77" s="589"/>
      <c r="I77" s="163">
        <v>1450000.0</v>
      </c>
      <c r="J77" s="591" t="s">
        <v>3450</v>
      </c>
      <c r="K77" s="587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  <c r="Z77" s="280"/>
      <c r="AA77" s="280"/>
    </row>
    <row r="78">
      <c r="A78" s="588">
        <v>45642.0</v>
      </c>
      <c r="B78" s="163">
        <v>111900.0</v>
      </c>
      <c r="C78" s="163">
        <f>239700+362650</f>
        <v>602350</v>
      </c>
      <c r="D78" s="589">
        <f t="shared" si="8"/>
        <v>490450</v>
      </c>
      <c r="E78" s="163">
        <v>367200.0</v>
      </c>
      <c r="F78" s="163">
        <v>5169200.0</v>
      </c>
      <c r="G78" s="590">
        <f t="shared" si="9"/>
        <v>6026850</v>
      </c>
      <c r="H78" s="589"/>
      <c r="I78" s="589">
        <f>40400+198000+61400+62850</f>
        <v>362650</v>
      </c>
      <c r="J78" s="591" t="s">
        <v>3508</v>
      </c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80"/>
    </row>
    <row r="79">
      <c r="A79" s="588">
        <v>45643.0</v>
      </c>
      <c r="B79" s="163">
        <v>239700.0</v>
      </c>
      <c r="C79" s="163">
        <f>51900+9450000+13000</f>
        <v>9514900</v>
      </c>
      <c r="D79" s="589">
        <f t="shared" si="8"/>
        <v>9275200</v>
      </c>
      <c r="E79" s="163">
        <v>2215200.0</v>
      </c>
      <c r="F79" s="163">
        <v>1148000.0</v>
      </c>
      <c r="G79" s="590">
        <f t="shared" si="9"/>
        <v>12638400</v>
      </c>
      <c r="H79" s="589"/>
      <c r="I79" s="163">
        <v>75600.0</v>
      </c>
      <c r="J79" s="591" t="s">
        <v>563</v>
      </c>
      <c r="K79" s="595">
        <v>9450000.0</v>
      </c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80"/>
    </row>
    <row r="80">
      <c r="A80" s="588">
        <v>45644.0</v>
      </c>
      <c r="B80" s="163">
        <f>51900+13000</f>
        <v>64900</v>
      </c>
      <c r="C80" s="163">
        <f>710700+1326200</f>
        <v>2036900</v>
      </c>
      <c r="D80" s="589">
        <f t="shared" si="8"/>
        <v>1972000</v>
      </c>
      <c r="E80" s="163">
        <v>0.0</v>
      </c>
      <c r="F80" s="163">
        <v>1632200.0</v>
      </c>
      <c r="G80" s="590">
        <f t="shared" si="9"/>
        <v>3604200</v>
      </c>
      <c r="H80" s="589"/>
      <c r="I80" s="589">
        <f>700000+600000+26200</f>
        <v>1326200</v>
      </c>
      <c r="J80" s="591" t="s">
        <v>3509</v>
      </c>
      <c r="K80" s="587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  <c r="AA80" s="280"/>
    </row>
    <row r="81">
      <c r="A81" s="588">
        <v>45645.0</v>
      </c>
      <c r="B81" s="163">
        <v>710700.0</v>
      </c>
      <c r="C81" s="597">
        <v>2777400.0</v>
      </c>
      <c r="D81" s="589">
        <f t="shared" si="8"/>
        <v>2066700</v>
      </c>
      <c r="E81" s="163">
        <v>0.0</v>
      </c>
      <c r="F81" s="589"/>
      <c r="G81" s="590">
        <f t="shared" si="9"/>
        <v>2066700</v>
      </c>
      <c r="H81" s="589"/>
      <c r="I81" s="163">
        <f>67300+27000+8000+215000</f>
        <v>317300</v>
      </c>
      <c r="J81" s="591" t="s">
        <v>3510</v>
      </c>
      <c r="K81" s="587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  <c r="AA81" s="280"/>
    </row>
    <row r="82">
      <c r="A82" s="588">
        <v>45646.0</v>
      </c>
      <c r="B82" s="597">
        <v>379500.0</v>
      </c>
      <c r="C82" s="589">
        <f>574000+170000+2850000</f>
        <v>3594000</v>
      </c>
      <c r="D82" s="589">
        <f t="shared" si="8"/>
        <v>3214500</v>
      </c>
      <c r="E82" s="163">
        <v>0.0</v>
      </c>
      <c r="F82" s="589"/>
      <c r="G82" s="590">
        <f t="shared" si="9"/>
        <v>3214500</v>
      </c>
      <c r="H82" s="589"/>
      <c r="I82" s="163">
        <f>150000+2000000+700000</f>
        <v>2850000</v>
      </c>
      <c r="J82" s="591" t="s">
        <v>3511</v>
      </c>
      <c r="K82" s="587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  <c r="AA82" s="280"/>
    </row>
    <row r="83">
      <c r="A83" s="588">
        <v>45647.0</v>
      </c>
      <c r="B83" s="163">
        <v>744000.0</v>
      </c>
      <c r="C83" s="589">
        <f>417050+270000</f>
        <v>687050</v>
      </c>
      <c r="D83" s="589">
        <f t="shared" si="8"/>
        <v>-56950</v>
      </c>
      <c r="E83" s="163">
        <v>96000.0</v>
      </c>
      <c r="F83" s="163">
        <v>2167000.0</v>
      </c>
      <c r="G83" s="590">
        <f t="shared" si="9"/>
        <v>2206050</v>
      </c>
      <c r="H83" s="589"/>
      <c r="I83" s="163">
        <v>270000.0</v>
      </c>
      <c r="J83" s="591" t="s">
        <v>3487</v>
      </c>
      <c r="K83" s="587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  <c r="AA83" s="280"/>
    </row>
    <row r="84">
      <c r="A84" s="588">
        <v>45649.0</v>
      </c>
      <c r="B84" s="163">
        <v>417050.0</v>
      </c>
      <c r="C84" s="589">
        <f>123000+1500000+250000+16000</f>
        <v>1889000</v>
      </c>
      <c r="D84" s="589">
        <f t="shared" si="8"/>
        <v>1471950</v>
      </c>
      <c r="E84" s="163">
        <v>968000.0</v>
      </c>
      <c r="F84" s="163">
        <v>754400.0</v>
      </c>
      <c r="G84" s="590">
        <f t="shared" si="9"/>
        <v>3194350</v>
      </c>
      <c r="H84" s="589"/>
      <c r="I84" s="163">
        <f>25000+16000</f>
        <v>41000</v>
      </c>
      <c r="J84" s="591" t="s">
        <v>3512</v>
      </c>
      <c r="K84" s="587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80"/>
    </row>
    <row r="85" ht="16.5" customHeight="1">
      <c r="A85" s="588">
        <v>45650.0</v>
      </c>
      <c r="B85" s="589">
        <f>123000</f>
        <v>123000</v>
      </c>
      <c r="C85" s="589"/>
      <c r="D85" s="593">
        <f t="shared" ref="D85:F85" si="10">SUM(D66:D84)</f>
        <v>42996500</v>
      </c>
      <c r="E85" s="593">
        <f t="shared" si="10"/>
        <v>5065900</v>
      </c>
      <c r="F85" s="593">
        <f t="shared" si="10"/>
        <v>65798950</v>
      </c>
      <c r="G85" s="593">
        <f t="shared" si="9"/>
        <v>113861350</v>
      </c>
      <c r="H85" s="589"/>
      <c r="I85" s="593">
        <f>SUM(I66:I84)</f>
        <v>12486350</v>
      </c>
      <c r="J85" s="594"/>
      <c r="K85" s="587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80"/>
    </row>
    <row r="86">
      <c r="A86" s="598"/>
      <c r="B86" s="587"/>
      <c r="C86" s="587"/>
      <c r="D86" s="587"/>
      <c r="E86" s="587"/>
      <c r="F86" s="587"/>
      <c r="G86" s="587"/>
      <c r="H86" s="587"/>
      <c r="I86" s="587"/>
      <c r="J86" s="599"/>
      <c r="K86" s="587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  <c r="AA86" s="280"/>
    </row>
    <row r="87">
      <c r="A87" s="588">
        <v>45665.0</v>
      </c>
      <c r="B87" s="163">
        <v>100000.0</v>
      </c>
      <c r="C87" s="589">
        <f t="shared" ref="C87:C88" si="11">D87+B87</f>
        <v>605900</v>
      </c>
      <c r="D87" s="163">
        <v>505900.0</v>
      </c>
      <c r="E87" s="163">
        <v>0.0</v>
      </c>
      <c r="F87" s="163">
        <v>328000.0</v>
      </c>
      <c r="G87" s="589">
        <f t="shared" ref="G87:G107" si="12">D87+E87+F87</f>
        <v>833900</v>
      </c>
      <c r="H87" s="589"/>
      <c r="I87" s="163">
        <v>10000.0</v>
      </c>
      <c r="J87" s="591" t="s">
        <v>3513</v>
      </c>
      <c r="K87" s="587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  <c r="Z87" s="280"/>
      <c r="AA87" s="280"/>
    </row>
    <row r="88">
      <c r="A88" s="588">
        <v>45666.0</v>
      </c>
      <c r="B88" s="163">
        <v>205000.0</v>
      </c>
      <c r="C88" s="589">
        <f t="shared" si="11"/>
        <v>601000</v>
      </c>
      <c r="D88" s="163">
        <v>396000.0</v>
      </c>
      <c r="E88" s="163">
        <v>370000.0</v>
      </c>
      <c r="F88" s="163">
        <v>875000.0</v>
      </c>
      <c r="G88" s="589">
        <f t="shared" si="12"/>
        <v>1641000</v>
      </c>
      <c r="H88" s="589"/>
      <c r="I88" s="589"/>
      <c r="J88" s="594"/>
      <c r="K88" s="587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  <c r="AA88" s="280"/>
    </row>
    <row r="89">
      <c r="A89" s="588">
        <v>45667.0</v>
      </c>
      <c r="B89" s="163">
        <v>200000.0</v>
      </c>
      <c r="C89" s="163">
        <v>973650.0</v>
      </c>
      <c r="D89" s="163">
        <v>396000.0</v>
      </c>
      <c r="E89" s="589">
        <f>900000+120000</f>
        <v>1020000</v>
      </c>
      <c r="F89" s="589">
        <f>50000+90000+600000+125000+72000+50000</f>
        <v>987000</v>
      </c>
      <c r="G89" s="589">
        <f t="shared" si="12"/>
        <v>2403000</v>
      </c>
      <c r="H89" s="589"/>
      <c r="I89" s="589"/>
      <c r="J89" s="126"/>
      <c r="K89" s="587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0"/>
      <c r="AA89" s="280"/>
    </row>
    <row r="90">
      <c r="A90" s="588">
        <v>45668.0</v>
      </c>
      <c r="B90" s="589">
        <f>973650+71000</f>
        <v>1044650</v>
      </c>
      <c r="C90" s="163">
        <f>1627850+220000</f>
        <v>1847850</v>
      </c>
      <c r="D90" s="589">
        <f t="shared" ref="D90:D107" si="13">C90-B90</f>
        <v>803200</v>
      </c>
      <c r="E90" s="163">
        <v>0.0</v>
      </c>
      <c r="F90" s="163">
        <v>480000.0</v>
      </c>
      <c r="G90" s="589">
        <f t="shared" si="12"/>
        <v>1283200</v>
      </c>
      <c r="H90" s="589"/>
      <c r="I90" s="589">
        <f>20000+200000</f>
        <v>220000</v>
      </c>
      <c r="J90" s="591" t="s">
        <v>3514</v>
      </c>
      <c r="K90" s="587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0"/>
      <c r="AA90" s="280"/>
    </row>
    <row r="91">
      <c r="A91" s="588">
        <v>45670.0</v>
      </c>
      <c r="B91" s="163">
        <v>1847850.0</v>
      </c>
      <c r="C91" s="163">
        <v>3263050.0</v>
      </c>
      <c r="D91" s="589">
        <f t="shared" si="13"/>
        <v>1415200</v>
      </c>
      <c r="E91" s="163">
        <v>0.0</v>
      </c>
      <c r="F91" s="163">
        <v>3162000.0</v>
      </c>
      <c r="G91" s="589">
        <f t="shared" si="12"/>
        <v>4577200</v>
      </c>
      <c r="H91" s="589"/>
      <c r="I91" s="589"/>
      <c r="J91" s="594"/>
      <c r="K91" s="587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  <c r="AA91" s="280"/>
    </row>
    <row r="92">
      <c r="A92" s="588">
        <v>45671.0</v>
      </c>
      <c r="B92" s="163">
        <v>3263050.0</v>
      </c>
      <c r="C92" s="163">
        <f>1343950+134000</f>
        <v>1477950</v>
      </c>
      <c r="D92" s="589">
        <f t="shared" si="13"/>
        <v>-1785100</v>
      </c>
      <c r="E92" s="163">
        <v>0.0</v>
      </c>
      <c r="F92" s="163">
        <v>3019000.0</v>
      </c>
      <c r="G92" s="589">
        <f t="shared" si="12"/>
        <v>1233900</v>
      </c>
      <c r="H92" s="589"/>
      <c r="I92" s="589">
        <f>109000+15000+10000</f>
        <v>134000</v>
      </c>
      <c r="J92" s="591" t="s">
        <v>3515</v>
      </c>
      <c r="K92" s="595">
        <v>2800000.0</v>
      </c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  <c r="Z92" s="280"/>
      <c r="AA92" s="280"/>
    </row>
    <row r="93">
      <c r="A93" s="588">
        <v>45672.0</v>
      </c>
      <c r="B93" s="163">
        <v>1343950.0</v>
      </c>
      <c r="C93" s="163">
        <f>1528200+1000000+253300</f>
        <v>2781500</v>
      </c>
      <c r="D93" s="589">
        <f t="shared" si="13"/>
        <v>1437550</v>
      </c>
      <c r="E93" s="163">
        <v>0.0</v>
      </c>
      <c r="F93" s="163">
        <v>4091900.0</v>
      </c>
      <c r="G93" s="589">
        <f t="shared" si="12"/>
        <v>5529450</v>
      </c>
      <c r="H93" s="589"/>
      <c r="I93" s="589">
        <f>40000+31000+167300+15000</f>
        <v>253300</v>
      </c>
      <c r="J93" s="591" t="s">
        <v>3516</v>
      </c>
      <c r="K93" s="595">
        <v>1000000.0</v>
      </c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  <c r="Z93" s="280"/>
      <c r="AA93" s="280"/>
    </row>
    <row r="94">
      <c r="A94" s="588">
        <v>45673.0</v>
      </c>
      <c r="B94" s="163">
        <v>1528200.0</v>
      </c>
      <c r="C94" s="163">
        <f>1154900+2050000</f>
        <v>3204900</v>
      </c>
      <c r="D94" s="589">
        <f t="shared" si="13"/>
        <v>1676700</v>
      </c>
      <c r="E94" s="163">
        <v>0.0</v>
      </c>
      <c r="F94" s="163">
        <v>1004400.0</v>
      </c>
      <c r="G94" s="589">
        <f t="shared" si="12"/>
        <v>2681100</v>
      </c>
      <c r="H94" s="589"/>
      <c r="I94" s="163">
        <v>17000.0</v>
      </c>
      <c r="J94" s="591" t="s">
        <v>3517</v>
      </c>
      <c r="K94" s="595">
        <f>1200000+850000</f>
        <v>2050000</v>
      </c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80"/>
    </row>
    <row r="95">
      <c r="A95" s="588">
        <v>45674.0</v>
      </c>
      <c r="B95" s="163">
        <v>1154900.0</v>
      </c>
      <c r="C95" s="163">
        <v>888000.0</v>
      </c>
      <c r="D95" s="589">
        <f t="shared" si="13"/>
        <v>-266900</v>
      </c>
      <c r="E95" s="163">
        <v>0.0</v>
      </c>
      <c r="F95" s="163">
        <v>3810500.0</v>
      </c>
      <c r="G95" s="589">
        <f t="shared" si="12"/>
        <v>3543600</v>
      </c>
      <c r="H95" s="589"/>
      <c r="I95" s="589"/>
      <c r="J95" s="594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80"/>
    </row>
    <row r="96">
      <c r="A96" s="588">
        <v>45675.0</v>
      </c>
      <c r="B96" s="163">
        <v>888000.0</v>
      </c>
      <c r="C96" s="589">
        <f>2450000+418450+200000</f>
        <v>3068450</v>
      </c>
      <c r="D96" s="589">
        <f t="shared" si="13"/>
        <v>2180450</v>
      </c>
      <c r="E96" s="163">
        <v>0.0</v>
      </c>
      <c r="F96" s="163">
        <v>300000.0</v>
      </c>
      <c r="G96" s="589">
        <f t="shared" si="12"/>
        <v>2480450</v>
      </c>
      <c r="H96" s="589"/>
      <c r="I96" s="163">
        <v>200000.0</v>
      </c>
      <c r="J96" s="591" t="s">
        <v>3487</v>
      </c>
      <c r="K96" s="595">
        <v>2450000.0</v>
      </c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  <c r="AA96" s="280"/>
    </row>
    <row r="97">
      <c r="A97" s="588">
        <v>45677.0</v>
      </c>
      <c r="B97" s="163">
        <v>418450.0</v>
      </c>
      <c r="C97" s="163">
        <f>1847100+1150000</f>
        <v>2997100</v>
      </c>
      <c r="D97" s="589">
        <f t="shared" si="13"/>
        <v>2578650</v>
      </c>
      <c r="E97" s="163">
        <v>0.0</v>
      </c>
      <c r="F97" s="163">
        <v>1319000.0</v>
      </c>
      <c r="G97" s="589">
        <f t="shared" si="12"/>
        <v>3897650</v>
      </c>
      <c r="H97" s="589"/>
      <c r="I97" s="589">
        <f>12000+5000</f>
        <v>17000</v>
      </c>
      <c r="J97" s="591" t="s">
        <v>3518</v>
      </c>
      <c r="K97" s="595">
        <f>1300000+1150000</f>
        <v>2450000</v>
      </c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  <c r="X97" s="280"/>
      <c r="Y97" s="280"/>
      <c r="Z97" s="280"/>
      <c r="AA97" s="280"/>
    </row>
    <row r="98">
      <c r="A98" s="588">
        <v>45678.0</v>
      </c>
      <c r="B98" s="163">
        <v>547100.0</v>
      </c>
      <c r="C98" s="163">
        <f>1306100+2650000+119100</f>
        <v>4075200</v>
      </c>
      <c r="D98" s="589">
        <f t="shared" si="13"/>
        <v>3528100</v>
      </c>
      <c r="E98" s="163">
        <f>350000+98000</f>
        <v>448000</v>
      </c>
      <c r="F98" s="589">
        <f>1303300</f>
        <v>1303300</v>
      </c>
      <c r="G98" s="589">
        <f t="shared" si="12"/>
        <v>5279400</v>
      </c>
      <c r="H98" s="589"/>
      <c r="I98" s="589">
        <f>18600+90000+10500</f>
        <v>119100</v>
      </c>
      <c r="J98" s="591" t="s">
        <v>3519</v>
      </c>
      <c r="K98" s="587">
        <f>1350000+1300000</f>
        <v>2650000</v>
      </c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  <c r="AA98" s="280"/>
    </row>
    <row r="99">
      <c r="A99" s="588">
        <v>45679.0</v>
      </c>
      <c r="B99" s="163">
        <v>1306100.0</v>
      </c>
      <c r="C99" s="589">
        <f>589000+130000+1250000+74000</f>
        <v>2043000</v>
      </c>
      <c r="D99" s="589">
        <f t="shared" si="13"/>
        <v>736900</v>
      </c>
      <c r="E99" s="163">
        <v>811000.0</v>
      </c>
      <c r="F99" s="163">
        <v>1833000.0</v>
      </c>
      <c r="G99" s="589">
        <f t="shared" si="12"/>
        <v>3380900</v>
      </c>
      <c r="H99" s="589"/>
      <c r="I99" s="589">
        <f>15000+10000+43000+6000</f>
        <v>74000</v>
      </c>
      <c r="J99" s="591" t="s">
        <v>3520</v>
      </c>
      <c r="K99" s="587">
        <f>1250000</f>
        <v>1250000</v>
      </c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  <c r="X99" s="280"/>
      <c r="Y99" s="280"/>
      <c r="Z99" s="280"/>
      <c r="AA99" s="280"/>
    </row>
    <row r="100">
      <c r="A100" s="588">
        <v>45680.0</v>
      </c>
      <c r="B100" s="163">
        <v>2043000.0</v>
      </c>
      <c r="C100" s="163">
        <f>2750000+380000+400900</f>
        <v>3530900</v>
      </c>
      <c r="D100" s="589">
        <f t="shared" si="13"/>
        <v>1487900</v>
      </c>
      <c r="E100" s="163">
        <v>67000.0</v>
      </c>
      <c r="F100" s="163">
        <v>952000.0</v>
      </c>
      <c r="G100" s="589">
        <f t="shared" si="12"/>
        <v>2506900</v>
      </c>
      <c r="H100" s="589"/>
      <c r="I100" s="589">
        <f>3000</f>
        <v>3000</v>
      </c>
      <c r="J100" s="591" t="s">
        <v>3517</v>
      </c>
      <c r="K100" s="595">
        <v>3000000.0</v>
      </c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80"/>
    </row>
    <row r="101">
      <c r="A101" s="588">
        <v>45681.0</v>
      </c>
      <c r="B101" s="163">
        <v>530900.0</v>
      </c>
      <c r="C101" s="163">
        <v>651200.0</v>
      </c>
      <c r="D101" s="589">
        <f t="shared" si="13"/>
        <v>120300</v>
      </c>
      <c r="E101" s="589">
        <f>42000+755000</f>
        <v>797000</v>
      </c>
      <c r="F101" s="163">
        <v>2458600.0</v>
      </c>
      <c r="G101" s="589">
        <f t="shared" si="12"/>
        <v>3375900</v>
      </c>
      <c r="H101" s="589"/>
      <c r="I101" s="589"/>
      <c r="J101" s="594"/>
      <c r="K101" s="587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80"/>
    </row>
    <row r="102">
      <c r="A102" s="588">
        <v>45682.0</v>
      </c>
      <c r="B102" s="163">
        <v>651200.0</v>
      </c>
      <c r="C102" s="163">
        <v>395000.0</v>
      </c>
      <c r="D102" s="589">
        <f t="shared" si="13"/>
        <v>-256200</v>
      </c>
      <c r="E102" s="163">
        <v>0.0</v>
      </c>
      <c r="F102" s="163">
        <v>250000.0</v>
      </c>
      <c r="G102" s="589">
        <f t="shared" si="12"/>
        <v>-6200</v>
      </c>
      <c r="H102" s="589"/>
      <c r="I102" s="589"/>
      <c r="J102" s="594"/>
      <c r="K102" s="595">
        <v>500000.0</v>
      </c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  <c r="AA102" s="280"/>
    </row>
    <row r="103">
      <c r="A103" s="588">
        <v>45684.0</v>
      </c>
      <c r="B103" s="163">
        <v>395000.0</v>
      </c>
      <c r="C103" s="163">
        <f>655000+856000+1053000</f>
        <v>2564000</v>
      </c>
      <c r="D103" s="589">
        <f t="shared" si="13"/>
        <v>2169000</v>
      </c>
      <c r="E103" s="163">
        <v>75000.0</v>
      </c>
      <c r="F103" s="163">
        <v>1558000.0</v>
      </c>
      <c r="G103" s="589">
        <f t="shared" si="12"/>
        <v>3802000</v>
      </c>
      <c r="H103" s="589"/>
      <c r="I103" s="589">
        <f>5000+651000+200000</f>
        <v>856000</v>
      </c>
      <c r="J103" s="591" t="s">
        <v>3521</v>
      </c>
      <c r="K103" s="587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  <c r="X103" s="280"/>
      <c r="Y103" s="280"/>
      <c r="Z103" s="280"/>
      <c r="AA103" s="280"/>
    </row>
    <row r="104">
      <c r="A104" s="588">
        <v>45685.0</v>
      </c>
      <c r="B104" s="163">
        <f>655000+1053000</f>
        <v>1708000</v>
      </c>
      <c r="C104" s="589">
        <f>3612500+43000</f>
        <v>3655500</v>
      </c>
      <c r="D104" s="589">
        <f t="shared" si="13"/>
        <v>1947500</v>
      </c>
      <c r="E104" s="163">
        <v>216000.0</v>
      </c>
      <c r="F104" s="163">
        <v>942000.0</v>
      </c>
      <c r="G104" s="589">
        <f t="shared" si="12"/>
        <v>3105500</v>
      </c>
      <c r="H104" s="589"/>
      <c r="I104" s="163">
        <v>43000.0</v>
      </c>
      <c r="J104" s="591" t="s">
        <v>3522</v>
      </c>
      <c r="K104" s="595">
        <v>3000000.0</v>
      </c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  <c r="AA104" s="280"/>
    </row>
    <row r="105">
      <c r="A105" s="588">
        <v>45686.0</v>
      </c>
      <c r="B105" s="163">
        <v>612500.0</v>
      </c>
      <c r="C105" s="163">
        <f>1546500+23000</f>
        <v>1569500</v>
      </c>
      <c r="D105" s="589">
        <f t="shared" si="13"/>
        <v>957000</v>
      </c>
      <c r="E105" s="163">
        <v>0.0</v>
      </c>
      <c r="F105" s="163">
        <v>665000.0</v>
      </c>
      <c r="G105" s="589">
        <f t="shared" si="12"/>
        <v>1622000</v>
      </c>
      <c r="H105" s="589"/>
      <c r="I105" s="163">
        <f>5000+18000</f>
        <v>23000</v>
      </c>
      <c r="J105" s="591" t="s">
        <v>3523</v>
      </c>
      <c r="K105" s="595">
        <v>1410000.0</v>
      </c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  <c r="AA105" s="280"/>
    </row>
    <row r="106">
      <c r="A106" s="588">
        <v>45687.0</v>
      </c>
      <c r="B106" s="163">
        <v>136500.0</v>
      </c>
      <c r="C106" s="163">
        <f>737400+1374700</f>
        <v>2112100</v>
      </c>
      <c r="D106" s="589">
        <f t="shared" si="13"/>
        <v>1975600</v>
      </c>
      <c r="E106" s="163">
        <v>0.0</v>
      </c>
      <c r="F106" s="163">
        <v>1965000.0</v>
      </c>
      <c r="G106" s="589">
        <f t="shared" si="12"/>
        <v>3940600</v>
      </c>
      <c r="H106" s="589"/>
      <c r="I106" s="589">
        <f>147000+50000+77700+1100000</f>
        <v>1374700</v>
      </c>
      <c r="J106" s="591" t="s">
        <v>3524</v>
      </c>
      <c r="K106" s="595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  <c r="AA106" s="280"/>
    </row>
    <row r="107">
      <c r="A107" s="588">
        <v>45688.0</v>
      </c>
      <c r="B107" s="163">
        <v>737400.0</v>
      </c>
      <c r="C107" s="163">
        <v>1708700.0</v>
      </c>
      <c r="D107" s="589">
        <f t="shared" si="13"/>
        <v>971300</v>
      </c>
      <c r="E107" s="163">
        <v>0.0</v>
      </c>
      <c r="F107" s="163">
        <v>6130810.0</v>
      </c>
      <c r="G107" s="589">
        <f t="shared" si="12"/>
        <v>7102110</v>
      </c>
      <c r="I107" s="163">
        <f>20000+50000+5000</f>
        <v>75000</v>
      </c>
      <c r="J107" s="591" t="s">
        <v>3525</v>
      </c>
      <c r="K107" s="595">
        <v>1100000.0</v>
      </c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  <c r="Z107" s="280"/>
      <c r="AA107" s="280"/>
    </row>
    <row r="108" ht="21.0" customHeight="1">
      <c r="A108" s="588"/>
      <c r="B108" s="589"/>
      <c r="C108" s="163"/>
      <c r="D108" s="593">
        <f t="shared" ref="D108:G108" si="14">SUM(D87:D107)</f>
        <v>22975050</v>
      </c>
      <c r="E108" s="593">
        <f t="shared" si="14"/>
        <v>3804000</v>
      </c>
      <c r="F108" s="593">
        <f t="shared" si="14"/>
        <v>37434510</v>
      </c>
      <c r="G108" s="593">
        <f t="shared" si="14"/>
        <v>64213560</v>
      </c>
      <c r="H108" s="587"/>
      <c r="I108" s="593">
        <f>SUM(I87:I106)</f>
        <v>3344100</v>
      </c>
      <c r="J108" s="591"/>
      <c r="K108" s="587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  <c r="X108" s="280"/>
      <c r="Y108" s="280"/>
      <c r="Z108" s="280"/>
      <c r="AA108" s="280"/>
    </row>
    <row r="109">
      <c r="A109" s="588">
        <v>45689.0</v>
      </c>
      <c r="B109" s="589">
        <f>C107-K107</f>
        <v>608700</v>
      </c>
      <c r="C109" s="163">
        <f>559200+157400</f>
        <v>716600</v>
      </c>
      <c r="D109" s="589">
        <f t="shared" ref="D109:D132" si="15">C109-B109</f>
        <v>107900</v>
      </c>
      <c r="E109" s="589"/>
      <c r="F109" s="163">
        <v>3398800.0</v>
      </c>
      <c r="G109" s="589">
        <f t="shared" ref="G109:G132" si="16">D109+E109+F109</f>
        <v>3506700</v>
      </c>
      <c r="H109" s="589"/>
      <c r="I109" s="589">
        <f>6400+51000+100000</f>
        <v>157400</v>
      </c>
      <c r="J109" s="591" t="s">
        <v>3526</v>
      </c>
      <c r="K109" s="587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  <c r="X109" s="280"/>
      <c r="Y109" s="280"/>
      <c r="Z109" s="280"/>
      <c r="AA109" s="280"/>
    </row>
    <row r="110">
      <c r="A110" s="588">
        <v>45691.0</v>
      </c>
      <c r="B110" s="163">
        <v>559200.0</v>
      </c>
      <c r="C110" s="163">
        <v>2460200.0</v>
      </c>
      <c r="D110" s="589">
        <f t="shared" si="15"/>
        <v>1901000</v>
      </c>
      <c r="E110" s="163">
        <v>32500.0</v>
      </c>
      <c r="F110" s="163">
        <v>1600500.0</v>
      </c>
      <c r="G110" s="589">
        <f t="shared" si="16"/>
        <v>3534000</v>
      </c>
      <c r="H110" s="589"/>
      <c r="I110" s="163">
        <f>50000+38400+35000+500000</f>
        <v>623400</v>
      </c>
      <c r="J110" s="591" t="s">
        <v>3527</v>
      </c>
      <c r="K110" s="595">
        <v>2200000.0</v>
      </c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  <c r="X110" s="280"/>
      <c r="Y110" s="280"/>
      <c r="Z110" s="280"/>
      <c r="AA110" s="280"/>
    </row>
    <row r="111">
      <c r="A111" s="588">
        <v>45692.0</v>
      </c>
      <c r="B111" s="589">
        <f>C110-K110</f>
        <v>260200</v>
      </c>
      <c r="C111" s="163">
        <v>2151400.0</v>
      </c>
      <c r="D111" s="589">
        <f t="shared" si="15"/>
        <v>1891200</v>
      </c>
      <c r="E111" s="163">
        <v>1354600.0</v>
      </c>
      <c r="F111" s="163">
        <v>3408000.0</v>
      </c>
      <c r="G111" s="589">
        <f t="shared" si="16"/>
        <v>6653800</v>
      </c>
      <c r="H111" s="589"/>
      <c r="I111" s="163">
        <f>11800+44000</f>
        <v>55800</v>
      </c>
      <c r="J111" s="591" t="s">
        <v>3528</v>
      </c>
      <c r="K111" s="595">
        <v>1800000.0</v>
      </c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80"/>
    </row>
    <row r="112">
      <c r="A112" s="588">
        <v>45693.0</v>
      </c>
      <c r="B112" s="163">
        <v>351400.0</v>
      </c>
      <c r="C112" s="163">
        <f>3373100+450000</f>
        <v>3823100</v>
      </c>
      <c r="D112" s="589">
        <f t="shared" si="15"/>
        <v>3471700</v>
      </c>
      <c r="E112" s="163">
        <v>1812000.0</v>
      </c>
      <c r="F112" s="163">
        <v>8101500.0</v>
      </c>
      <c r="G112" s="589">
        <f t="shared" si="16"/>
        <v>13385200</v>
      </c>
      <c r="H112" s="589"/>
      <c r="I112" s="163">
        <f>250000+30000+160000+10000</f>
        <v>450000</v>
      </c>
      <c r="J112" s="591" t="s">
        <v>3529</v>
      </c>
      <c r="K112" s="595">
        <v>2900000.0</v>
      </c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  <c r="AA112" s="280"/>
    </row>
    <row r="113">
      <c r="A113" s="588">
        <v>45694.0</v>
      </c>
      <c r="B113" s="163">
        <v>473100.0</v>
      </c>
      <c r="C113" s="163">
        <v>1701000.0</v>
      </c>
      <c r="D113" s="589">
        <f t="shared" si="15"/>
        <v>1227900</v>
      </c>
      <c r="E113" s="163">
        <v>0.0</v>
      </c>
      <c r="F113" s="163">
        <v>3544000.0</v>
      </c>
      <c r="G113" s="589">
        <f t="shared" si="16"/>
        <v>4771900</v>
      </c>
      <c r="H113" s="589"/>
      <c r="I113" s="589">
        <f>50000+5000</f>
        <v>55000</v>
      </c>
      <c r="J113" s="591" t="s">
        <v>3530</v>
      </c>
      <c r="K113" s="595">
        <v>1000000.0</v>
      </c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  <c r="AA113" s="280"/>
    </row>
    <row r="114">
      <c r="A114" s="588">
        <v>45695.0</v>
      </c>
      <c r="B114" s="163">
        <v>701000.0</v>
      </c>
      <c r="C114" s="589">
        <f>843750+290000+2500000</f>
        <v>3633750</v>
      </c>
      <c r="D114" s="589">
        <f t="shared" si="15"/>
        <v>2932750</v>
      </c>
      <c r="E114" s="163">
        <v>748000.0</v>
      </c>
      <c r="F114" s="163">
        <v>6033900.0</v>
      </c>
      <c r="G114" s="589">
        <f t="shared" si="16"/>
        <v>9714650</v>
      </c>
      <c r="H114" s="589"/>
      <c r="I114" s="163">
        <f>290000+21250</f>
        <v>311250</v>
      </c>
      <c r="J114" s="595" t="s">
        <v>3531</v>
      </c>
      <c r="K114" s="595">
        <v>2500000.0</v>
      </c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  <c r="X114" s="280"/>
      <c r="Y114" s="280"/>
      <c r="Z114" s="280"/>
      <c r="AA114" s="280"/>
    </row>
    <row r="115">
      <c r="A115" s="588">
        <v>45696.0</v>
      </c>
      <c r="B115" s="163">
        <v>843750.0</v>
      </c>
      <c r="C115" s="163">
        <f>740050+189000</f>
        <v>929050</v>
      </c>
      <c r="D115" s="589">
        <f t="shared" si="15"/>
        <v>85300</v>
      </c>
      <c r="E115" s="163">
        <v>189000.0</v>
      </c>
      <c r="F115" s="163">
        <v>2438400.0</v>
      </c>
      <c r="G115" s="589">
        <f t="shared" si="16"/>
        <v>2712700</v>
      </c>
      <c r="H115" s="589"/>
      <c r="I115" s="589">
        <f>300000+97600</f>
        <v>397600</v>
      </c>
      <c r="J115" s="591" t="s">
        <v>3532</v>
      </c>
      <c r="K115" s="587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80"/>
    </row>
    <row r="116">
      <c r="A116" s="588">
        <v>45698.0</v>
      </c>
      <c r="B116" s="163">
        <v>740050.0</v>
      </c>
      <c r="C116" s="163">
        <v>2557050.0</v>
      </c>
      <c r="D116" s="589">
        <f t="shared" si="15"/>
        <v>1817000</v>
      </c>
      <c r="E116" s="163">
        <v>1946000.0</v>
      </c>
      <c r="F116" s="163">
        <v>2808100.0</v>
      </c>
      <c r="G116" s="589">
        <f t="shared" si="16"/>
        <v>6571100</v>
      </c>
      <c r="H116" s="589"/>
      <c r="I116" s="589">
        <f>80000+5000+40100</f>
        <v>125100</v>
      </c>
      <c r="J116" s="591" t="s">
        <v>3533</v>
      </c>
      <c r="K116" s="595">
        <v>2000000.0</v>
      </c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  <c r="AA116" s="280"/>
    </row>
    <row r="117">
      <c r="A117" s="588">
        <v>45699.0</v>
      </c>
      <c r="B117" s="163">
        <v>557050.0</v>
      </c>
      <c r="C117" s="163">
        <f>704050+3500+1153500</f>
        <v>1861050</v>
      </c>
      <c r="D117" s="589">
        <f t="shared" si="15"/>
        <v>1304000</v>
      </c>
      <c r="E117" s="163">
        <v>455000.0</v>
      </c>
      <c r="F117" s="163">
        <v>2636800.0</v>
      </c>
      <c r="G117" s="589">
        <f t="shared" si="16"/>
        <v>4395800</v>
      </c>
      <c r="H117" s="589"/>
      <c r="I117" s="589">
        <f>323500+500000+330000</f>
        <v>1153500</v>
      </c>
      <c r="J117" s="591" t="s">
        <v>3534</v>
      </c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  <c r="Z117" s="280"/>
      <c r="AA117" s="280"/>
    </row>
    <row r="118">
      <c r="A118" s="588">
        <v>45700.0</v>
      </c>
      <c r="B118" s="163">
        <v>707050.0</v>
      </c>
      <c r="C118" s="163">
        <f>1923700+125500+150</f>
        <v>2049350</v>
      </c>
      <c r="D118" s="589">
        <f t="shared" si="15"/>
        <v>1342300</v>
      </c>
      <c r="E118" s="163">
        <v>1076000.0</v>
      </c>
      <c r="F118" s="163">
        <v>2636100.0</v>
      </c>
      <c r="G118" s="589">
        <f t="shared" si="16"/>
        <v>5054400</v>
      </c>
      <c r="H118" s="589"/>
      <c r="I118" s="589">
        <f>12000+40200+23300+50000</f>
        <v>125500</v>
      </c>
      <c r="J118" s="591" t="s">
        <v>3535</v>
      </c>
      <c r="K118" s="595">
        <v>1450000.0</v>
      </c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  <c r="AA118" s="280"/>
    </row>
    <row r="119">
      <c r="A119" s="588">
        <v>45701.0</v>
      </c>
      <c r="B119" s="163">
        <f>473700+150</f>
        <v>473850</v>
      </c>
      <c r="C119" s="163">
        <f>2781950+251000</f>
        <v>3032950</v>
      </c>
      <c r="D119" s="589">
        <f t="shared" si="15"/>
        <v>2559100</v>
      </c>
      <c r="E119" s="163">
        <v>30000.0</v>
      </c>
      <c r="F119" s="163">
        <v>5699200.0</v>
      </c>
      <c r="G119" s="589">
        <f t="shared" si="16"/>
        <v>8288300</v>
      </c>
      <c r="H119" s="589"/>
      <c r="I119" s="589">
        <f>40000+11000+200000</f>
        <v>251000</v>
      </c>
      <c r="J119" s="591" t="s">
        <v>3536</v>
      </c>
      <c r="K119" s="595">
        <v>2400000.0</v>
      </c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80"/>
    </row>
    <row r="120">
      <c r="A120" s="588">
        <v>45702.0</v>
      </c>
      <c r="B120" s="163">
        <v>381950.0</v>
      </c>
      <c r="C120" s="163">
        <f>1041750+306200</f>
        <v>1347950</v>
      </c>
      <c r="D120" s="589">
        <f t="shared" si="15"/>
        <v>966000</v>
      </c>
      <c r="E120" s="163">
        <v>487000.0</v>
      </c>
      <c r="F120" s="163">
        <v>1816500.0</v>
      </c>
      <c r="G120" s="589">
        <f t="shared" si="16"/>
        <v>3269500</v>
      </c>
      <c r="H120" s="589"/>
      <c r="I120" s="589">
        <f>6200+300000</f>
        <v>306200</v>
      </c>
      <c r="J120" s="591" t="s">
        <v>3537</v>
      </c>
      <c r="K120" s="587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80"/>
    </row>
    <row r="121">
      <c r="A121" s="588">
        <v>45703.0</v>
      </c>
      <c r="B121" s="163">
        <v>1041750.0</v>
      </c>
      <c r="C121" s="163">
        <f>852000+287000</f>
        <v>1139000</v>
      </c>
      <c r="D121" s="589">
        <f t="shared" si="15"/>
        <v>97250</v>
      </c>
      <c r="E121" s="163">
        <v>188000.0</v>
      </c>
      <c r="F121" s="163">
        <v>0.0</v>
      </c>
      <c r="G121" s="589">
        <f t="shared" si="16"/>
        <v>285250</v>
      </c>
      <c r="H121" s="589"/>
      <c r="I121" s="589">
        <f>283000+4000</f>
        <v>287000</v>
      </c>
      <c r="J121" s="591" t="s">
        <v>3538</v>
      </c>
      <c r="K121" s="595">
        <v>650000.0</v>
      </c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  <c r="AA121" s="280"/>
    </row>
    <row r="122">
      <c r="A122" s="588">
        <v>45705.0</v>
      </c>
      <c r="B122" s="589">
        <f>C121-650000</f>
        <v>489000</v>
      </c>
      <c r="C122" s="163">
        <f>747700+18500+2900000+150000+217750</f>
        <v>4033950</v>
      </c>
      <c r="D122" s="589">
        <f t="shared" si="15"/>
        <v>3544950</v>
      </c>
      <c r="E122" s="163">
        <v>16000.0</v>
      </c>
      <c r="F122" s="163">
        <v>4182500.0</v>
      </c>
      <c r="G122" s="589">
        <f t="shared" si="16"/>
        <v>7743450</v>
      </c>
      <c r="H122" s="589"/>
      <c r="I122" s="589">
        <f>10900+44300+7550+5000+150000</f>
        <v>217750</v>
      </c>
      <c r="J122" s="591" t="s">
        <v>3539</v>
      </c>
      <c r="K122" s="595">
        <v>2900000.0</v>
      </c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  <c r="X122" s="280"/>
      <c r="Y122" s="280"/>
      <c r="Z122" s="280"/>
      <c r="AA122" s="280"/>
    </row>
    <row r="123">
      <c r="A123" s="588">
        <v>45706.0</v>
      </c>
      <c r="B123" s="163">
        <v>766200.0</v>
      </c>
      <c r="C123" s="163">
        <f>1144200+2135300</f>
        <v>3279500</v>
      </c>
      <c r="D123" s="589">
        <f t="shared" si="15"/>
        <v>2513300</v>
      </c>
      <c r="E123" s="163">
        <v>2330000.0</v>
      </c>
      <c r="F123" s="163">
        <v>2313600.0</v>
      </c>
      <c r="G123" s="589">
        <f t="shared" si="16"/>
        <v>7156900</v>
      </c>
      <c r="H123" s="589"/>
      <c r="I123" s="589">
        <f>100000+1905600+109700+20000</f>
        <v>2135300</v>
      </c>
      <c r="J123" s="591" t="s">
        <v>3540</v>
      </c>
      <c r="K123" s="595">
        <v>800000.0</v>
      </c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  <c r="AA123" s="280"/>
    </row>
    <row r="124">
      <c r="A124" s="588">
        <v>45707.0</v>
      </c>
      <c r="B124" s="163">
        <f>1144200-800000</f>
        <v>344200</v>
      </c>
      <c r="C124" s="163">
        <f>707150+1468950</f>
        <v>2176100</v>
      </c>
      <c r="D124" s="589">
        <f t="shared" si="15"/>
        <v>1831900</v>
      </c>
      <c r="E124" s="163">
        <v>555000.0</v>
      </c>
      <c r="F124" s="163">
        <v>1145100.0</v>
      </c>
      <c r="G124" s="589">
        <f t="shared" si="16"/>
        <v>3532000</v>
      </c>
      <c r="H124" s="589"/>
      <c r="I124" s="589">
        <f>473500+444500+100000+450950</f>
        <v>1468950</v>
      </c>
      <c r="J124" s="591" t="s">
        <v>3541</v>
      </c>
      <c r="K124" s="587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  <c r="AA124" s="280"/>
    </row>
    <row r="125">
      <c r="A125" s="588">
        <v>45708.0</v>
      </c>
      <c r="B125" s="163">
        <v>707150.0</v>
      </c>
      <c r="C125" s="589">
        <f>1588000+58850+595500</f>
        <v>2242350</v>
      </c>
      <c r="D125" s="589">
        <f t="shared" si="15"/>
        <v>1535200</v>
      </c>
      <c r="E125" s="163">
        <v>502700.0</v>
      </c>
      <c r="F125" s="163">
        <v>1599900.0</v>
      </c>
      <c r="G125" s="589">
        <f t="shared" si="16"/>
        <v>3637800</v>
      </c>
      <c r="H125" s="589"/>
      <c r="I125" s="163">
        <f>5000+15000+203200+372300</f>
        <v>595500</v>
      </c>
      <c r="J125" s="591" t="s">
        <v>3542</v>
      </c>
      <c r="K125" s="595">
        <v>1100000.0</v>
      </c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80"/>
    </row>
    <row r="126">
      <c r="A126" s="588">
        <v>45709.0</v>
      </c>
      <c r="B126" s="163">
        <v>546850.0</v>
      </c>
      <c r="C126" s="163">
        <f>1640250+275000</f>
        <v>1915250</v>
      </c>
      <c r="D126" s="589">
        <f t="shared" si="15"/>
        <v>1368400</v>
      </c>
      <c r="E126" s="163">
        <v>396000.0</v>
      </c>
      <c r="F126" s="163">
        <v>1009700.0</v>
      </c>
      <c r="G126" s="589">
        <f t="shared" si="16"/>
        <v>2774100</v>
      </c>
      <c r="H126" s="589"/>
      <c r="I126" s="589">
        <f>245000+30000</f>
        <v>275000</v>
      </c>
      <c r="J126" s="591" t="s">
        <v>3543</v>
      </c>
      <c r="K126" s="595">
        <v>1050000.0</v>
      </c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80"/>
    </row>
    <row r="127">
      <c r="A127" s="588">
        <v>45710.0</v>
      </c>
      <c r="B127" s="589">
        <f>C126-1050000</f>
        <v>865250</v>
      </c>
      <c r="C127" s="163">
        <f>1189450+216000+1500000</f>
        <v>2905450</v>
      </c>
      <c r="D127" s="589">
        <f t="shared" si="15"/>
        <v>2040200</v>
      </c>
      <c r="E127" s="163">
        <v>140000.0</v>
      </c>
      <c r="F127" s="163">
        <v>887000.0</v>
      </c>
      <c r="G127" s="589">
        <f t="shared" si="16"/>
        <v>3067200</v>
      </c>
      <c r="H127" s="589"/>
      <c r="I127" s="163">
        <f>1050000+216000</f>
        <v>1266000</v>
      </c>
      <c r="J127" s="591" t="s">
        <v>3544</v>
      </c>
      <c r="K127" s="595">
        <v>1500000.0</v>
      </c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  <c r="AA127" s="280"/>
    </row>
    <row r="128">
      <c r="A128" s="588">
        <v>45712.0</v>
      </c>
      <c r="B128" s="163">
        <v>139450.0</v>
      </c>
      <c r="C128" s="163">
        <f>1054850+1056500</f>
        <v>2111350</v>
      </c>
      <c r="D128" s="589">
        <f t="shared" si="15"/>
        <v>1971900</v>
      </c>
      <c r="E128" s="163">
        <v>454000.0</v>
      </c>
      <c r="F128" s="163">
        <v>5850400.0</v>
      </c>
      <c r="G128" s="589">
        <f t="shared" si="16"/>
        <v>8276300</v>
      </c>
      <c r="H128" s="589"/>
      <c r="I128" s="589">
        <f>200000+33400+373100+450000</f>
        <v>1056500</v>
      </c>
      <c r="J128" s="591" t="s">
        <v>3545</v>
      </c>
      <c r="K128" s="595">
        <v>900000.0</v>
      </c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  <c r="AA128" s="280"/>
    </row>
    <row r="129">
      <c r="A129" s="588">
        <v>45713.0</v>
      </c>
      <c r="B129" s="163">
        <v>154850.0</v>
      </c>
      <c r="C129" s="163">
        <f>1300950+320100</f>
        <v>1621050</v>
      </c>
      <c r="D129" s="589">
        <f t="shared" si="15"/>
        <v>1466200</v>
      </c>
      <c r="E129" s="163">
        <v>2100000.0</v>
      </c>
      <c r="F129" s="163">
        <v>2558400.0</v>
      </c>
      <c r="G129" s="589">
        <f t="shared" si="16"/>
        <v>6124600</v>
      </c>
      <c r="H129" s="589"/>
      <c r="I129" s="589">
        <f>170000+36700+15000+98400</f>
        <v>320100</v>
      </c>
      <c r="J129" s="591" t="s">
        <v>3546</v>
      </c>
      <c r="K129" s="595">
        <v>1200000.0</v>
      </c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  <c r="Z129" s="280"/>
      <c r="AA129" s="280"/>
    </row>
    <row r="130">
      <c r="A130" s="588">
        <v>45714.0</v>
      </c>
      <c r="B130" s="163">
        <v>100950.0</v>
      </c>
      <c r="C130" s="163">
        <f>2158750+40500-100000</f>
        <v>2099250</v>
      </c>
      <c r="D130" s="589">
        <f t="shared" si="15"/>
        <v>1998300</v>
      </c>
      <c r="E130" s="163">
        <v>66700.0</v>
      </c>
      <c r="F130" s="163">
        <v>2032700.0</v>
      </c>
      <c r="G130" s="589">
        <f t="shared" si="16"/>
        <v>4097700</v>
      </c>
      <c r="H130" s="589"/>
      <c r="I130" s="163">
        <f>20500+15000+5000</f>
        <v>40500</v>
      </c>
      <c r="J130" s="591" t="s">
        <v>3547</v>
      </c>
      <c r="K130" s="595">
        <v>1750000.0</v>
      </c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  <c r="AA130" s="280"/>
    </row>
    <row r="131">
      <c r="A131" s="588">
        <v>45715.0</v>
      </c>
      <c r="B131" s="163">
        <v>408750.0</v>
      </c>
      <c r="C131" s="163">
        <f>1201450+38800</f>
        <v>1240250</v>
      </c>
      <c r="D131" s="589">
        <f t="shared" si="15"/>
        <v>831500</v>
      </c>
      <c r="E131" s="163">
        <v>0.0</v>
      </c>
      <c r="F131" s="589">
        <f>410000+9000+320000+18000+18000+2000+72000+90000+37000+42000+8000+23000+4400+224000+142000+180000+105000+32000+36000+8000+6000+212000</f>
        <v>1998400</v>
      </c>
      <c r="G131" s="589">
        <f t="shared" si="16"/>
        <v>2829900</v>
      </c>
      <c r="H131" s="589"/>
      <c r="I131" s="589">
        <f>6800+15000+7000+10000</f>
        <v>38800</v>
      </c>
      <c r="J131" s="591" t="s">
        <v>3548</v>
      </c>
      <c r="K131" s="595">
        <v>700000.0</v>
      </c>
      <c r="L131" s="548" t="s">
        <v>3549</v>
      </c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80"/>
    </row>
    <row r="132">
      <c r="A132" s="588">
        <v>45716.0</v>
      </c>
      <c r="B132" s="163">
        <v>301450.0</v>
      </c>
      <c r="C132" s="163">
        <f>856250+227600</f>
        <v>1083850</v>
      </c>
      <c r="D132" s="589">
        <f t="shared" si="15"/>
        <v>782400</v>
      </c>
      <c r="E132" s="163">
        <v>753000.0</v>
      </c>
      <c r="F132" s="163">
        <v>1462500.0</v>
      </c>
      <c r="G132" s="589">
        <f t="shared" si="16"/>
        <v>2997900</v>
      </c>
      <c r="H132" s="589"/>
      <c r="I132" s="163">
        <f>2150000+120000+6000</f>
        <v>2276000</v>
      </c>
      <c r="J132" s="591" t="s">
        <v>3550</v>
      </c>
      <c r="K132" s="587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80"/>
    </row>
    <row r="133" ht="21.0" customHeight="1">
      <c r="A133" s="588"/>
      <c r="B133" s="589"/>
      <c r="C133" s="163"/>
      <c r="D133" s="593">
        <f t="shared" ref="D133:G133" si="17">SUM(D109:D132)</f>
        <v>39587650</v>
      </c>
      <c r="E133" s="593">
        <f t="shared" si="17"/>
        <v>15631500</v>
      </c>
      <c r="F133" s="593">
        <f t="shared" si="17"/>
        <v>69162000</v>
      </c>
      <c r="G133" s="593">
        <f t="shared" si="17"/>
        <v>124381150</v>
      </c>
      <c r="H133" s="589"/>
      <c r="I133" s="593">
        <f>SUM(I109:I132)</f>
        <v>13989150</v>
      </c>
      <c r="J133" s="591"/>
      <c r="K133" s="587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  <c r="AA133" s="280"/>
    </row>
    <row r="134">
      <c r="A134" s="588">
        <v>45717.0</v>
      </c>
      <c r="B134" s="163">
        <v>856250.0</v>
      </c>
      <c r="C134" s="163">
        <v>3286750.0</v>
      </c>
      <c r="D134" s="589">
        <f t="shared" ref="D134:D136" si="18">C134-B134</f>
        <v>2430500</v>
      </c>
      <c r="E134" s="163">
        <v>232000.0</v>
      </c>
      <c r="F134" s="163">
        <v>1514500.0</v>
      </c>
      <c r="G134" s="589">
        <f t="shared" ref="G134:G158" si="19">D134+E134+F134</f>
        <v>4177000</v>
      </c>
      <c r="H134" s="589"/>
      <c r="I134" s="163">
        <f>50000+500000</f>
        <v>550000</v>
      </c>
      <c r="J134" s="591" t="s">
        <v>3551</v>
      </c>
      <c r="K134" s="595">
        <v>2750000.0</v>
      </c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  <c r="X134" s="280"/>
      <c r="Y134" s="280"/>
      <c r="Z134" s="280"/>
      <c r="AA134" s="280"/>
    </row>
    <row r="135">
      <c r="A135" s="588">
        <v>45719.0</v>
      </c>
      <c r="B135" s="163">
        <v>536750.0</v>
      </c>
      <c r="C135" s="163">
        <f>1272250+2200000+568700</f>
        <v>4040950</v>
      </c>
      <c r="D135" s="589">
        <f t="shared" si="18"/>
        <v>3504200</v>
      </c>
      <c r="E135" s="163">
        <v>1137900.0</v>
      </c>
      <c r="F135" s="163">
        <v>3390200.0</v>
      </c>
      <c r="G135" s="589">
        <f t="shared" si="19"/>
        <v>8032300</v>
      </c>
      <c r="H135" s="589"/>
      <c r="I135" s="589">
        <f>343000+24200+50000+50000+6500+5000+90000</f>
        <v>568700</v>
      </c>
      <c r="J135" s="591" t="s">
        <v>3552</v>
      </c>
      <c r="K135" s="595">
        <f>2200000+1050000</f>
        <v>3250000</v>
      </c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  <c r="X135" s="280"/>
      <c r="Y135" s="280"/>
      <c r="Z135" s="280"/>
      <c r="AA135" s="280"/>
    </row>
    <row r="136">
      <c r="A136" s="588">
        <v>45720.0</v>
      </c>
      <c r="B136" s="163">
        <v>222950.0</v>
      </c>
      <c r="C136" s="589">
        <f>469450+3450000</f>
        <v>3919450</v>
      </c>
      <c r="D136" s="589">
        <f t="shared" si="18"/>
        <v>3696500</v>
      </c>
      <c r="E136" s="163">
        <v>516000.0</v>
      </c>
      <c r="F136" s="163">
        <v>2332000.0</v>
      </c>
      <c r="G136" s="589">
        <f t="shared" si="19"/>
        <v>6544500</v>
      </c>
      <c r="H136" s="589"/>
      <c r="I136" s="589">
        <f>9000</f>
        <v>9000</v>
      </c>
      <c r="J136" s="591" t="s">
        <v>3513</v>
      </c>
      <c r="K136" s="595">
        <v>3450000.0</v>
      </c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  <c r="X136" s="280"/>
      <c r="Y136" s="280"/>
      <c r="Z136" s="280"/>
      <c r="AA136" s="280"/>
    </row>
    <row r="137">
      <c r="A137" s="588">
        <v>45721.0</v>
      </c>
      <c r="B137" s="163">
        <v>469450.0</v>
      </c>
      <c r="C137" s="163">
        <f>1736150+21800</f>
        <v>1757950</v>
      </c>
      <c r="D137" s="589">
        <f>C136-B137</f>
        <v>3450000</v>
      </c>
      <c r="E137" s="163">
        <v>724000.0</v>
      </c>
      <c r="F137" s="163">
        <v>4119400.0</v>
      </c>
      <c r="G137" s="589">
        <f t="shared" si="19"/>
        <v>8293400</v>
      </c>
      <c r="H137" s="589"/>
      <c r="I137" s="163">
        <f>9800+12000</f>
        <v>21800</v>
      </c>
      <c r="J137" s="591" t="s">
        <v>3553</v>
      </c>
      <c r="K137" s="595">
        <v>1530000.0</v>
      </c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80"/>
    </row>
    <row r="138">
      <c r="A138" s="588">
        <v>45722.0</v>
      </c>
      <c r="B138" s="163">
        <v>206150.0</v>
      </c>
      <c r="C138" s="163">
        <f>1437550+22000</f>
        <v>1459550</v>
      </c>
      <c r="D138" s="589">
        <f t="shared" ref="D138:D158" si="20">C138-B138</f>
        <v>1253400</v>
      </c>
      <c r="E138" s="163">
        <v>484000.0</v>
      </c>
      <c r="F138" s="163">
        <v>2397000.0</v>
      </c>
      <c r="G138" s="589">
        <f t="shared" si="19"/>
        <v>4134400</v>
      </c>
      <c r="H138" s="589"/>
      <c r="I138" s="163">
        <v>22000.0</v>
      </c>
      <c r="J138" s="591" t="s">
        <v>3554</v>
      </c>
      <c r="K138" s="595">
        <v>1300000.0</v>
      </c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80"/>
    </row>
    <row r="139">
      <c r="A139" s="588">
        <v>45723.0</v>
      </c>
      <c r="B139" s="163">
        <v>137550.0</v>
      </c>
      <c r="C139" s="163">
        <f>774650+230000</f>
        <v>1004650</v>
      </c>
      <c r="D139" s="589">
        <f t="shared" si="20"/>
        <v>867100</v>
      </c>
      <c r="E139" s="163">
        <v>14000.0</v>
      </c>
      <c r="F139" s="163">
        <v>2917500.0</v>
      </c>
      <c r="G139" s="589">
        <f t="shared" si="19"/>
        <v>3798600</v>
      </c>
      <c r="H139" s="589"/>
      <c r="I139" s="589">
        <f>4000+8500+12000+5000+230000</f>
        <v>259500</v>
      </c>
      <c r="J139" s="591" t="s">
        <v>3555</v>
      </c>
      <c r="K139" s="587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  <c r="AA139" s="280"/>
    </row>
    <row r="140">
      <c r="A140" s="588">
        <v>45724.0</v>
      </c>
      <c r="B140" s="163">
        <v>774650.0</v>
      </c>
      <c r="C140" s="163">
        <f>352450+650000</f>
        <v>1002450</v>
      </c>
      <c r="D140" s="589">
        <f t="shared" si="20"/>
        <v>227800</v>
      </c>
      <c r="E140" s="163">
        <v>0.0</v>
      </c>
      <c r="F140" s="163">
        <v>2626800.0</v>
      </c>
      <c r="G140" s="589">
        <f t="shared" si="19"/>
        <v>2854600</v>
      </c>
      <c r="H140" s="589"/>
      <c r="I140" s="589">
        <f>500000+150000</f>
        <v>650000</v>
      </c>
      <c r="J140" s="591" t="s">
        <v>3556</v>
      </c>
      <c r="K140" s="587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  <c r="X140" s="280"/>
      <c r="Y140" s="280"/>
      <c r="Z140" s="280"/>
      <c r="AA140" s="280"/>
    </row>
    <row r="141">
      <c r="A141" s="588">
        <v>45726.0</v>
      </c>
      <c r="B141" s="163">
        <v>352450.0</v>
      </c>
      <c r="C141" s="163">
        <f>969950+701800</f>
        <v>1671750</v>
      </c>
      <c r="D141" s="589">
        <f t="shared" si="20"/>
        <v>1319300</v>
      </c>
      <c r="E141" s="163">
        <v>491600.0</v>
      </c>
      <c r="F141" s="163">
        <v>3498100.0</v>
      </c>
      <c r="G141" s="589">
        <f t="shared" si="19"/>
        <v>5309000</v>
      </c>
      <c r="H141" s="589"/>
      <c r="I141" s="589">
        <f>45000+100000+492000+14800+50000</f>
        <v>701800</v>
      </c>
      <c r="J141" s="591" t="s">
        <v>3557</v>
      </c>
      <c r="K141" s="587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  <c r="X141" s="280"/>
      <c r="Y141" s="280"/>
      <c r="Z141" s="280"/>
      <c r="AA141" s="280"/>
    </row>
    <row r="142">
      <c r="A142" s="588">
        <v>45727.0</v>
      </c>
      <c r="B142" s="163">
        <v>969950.0</v>
      </c>
      <c r="C142" s="163">
        <f>554950+1734000</f>
        <v>2288950</v>
      </c>
      <c r="D142" s="589">
        <f t="shared" si="20"/>
        <v>1319000</v>
      </c>
      <c r="E142" s="163">
        <v>274000.0</v>
      </c>
      <c r="F142" s="163">
        <v>2405400.0</v>
      </c>
      <c r="G142" s="589">
        <f t="shared" si="19"/>
        <v>3998400</v>
      </c>
      <c r="H142" s="589"/>
      <c r="I142" s="163">
        <f>1500000+234000</f>
        <v>1734000</v>
      </c>
      <c r="J142" s="591" t="s">
        <v>3558</v>
      </c>
      <c r="K142" s="587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80"/>
    </row>
    <row r="143">
      <c r="A143" s="588">
        <v>45728.0</v>
      </c>
      <c r="B143" s="163">
        <v>554950.0</v>
      </c>
      <c r="C143" s="163">
        <f>3246100+690800</f>
        <v>3936900</v>
      </c>
      <c r="D143" s="589">
        <f t="shared" si="20"/>
        <v>3381950</v>
      </c>
      <c r="E143" s="163">
        <v>744000.0</v>
      </c>
      <c r="F143" s="163">
        <v>2458700.0</v>
      </c>
      <c r="G143" s="589">
        <f t="shared" si="19"/>
        <v>6584650</v>
      </c>
      <c r="H143" s="589"/>
      <c r="I143" s="589">
        <f>5000+65000+22800+205000+50000+43000+300000</f>
        <v>690800</v>
      </c>
      <c r="J143" s="591" t="s">
        <v>3559</v>
      </c>
      <c r="K143" s="595">
        <v>2750000.0</v>
      </c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80"/>
    </row>
    <row r="144">
      <c r="A144" s="588">
        <v>45729.0</v>
      </c>
      <c r="B144" s="163">
        <v>496100.0</v>
      </c>
      <c r="C144" s="163">
        <f>323400+1080000+406500</f>
        <v>1809900</v>
      </c>
      <c r="D144" s="589">
        <f t="shared" si="20"/>
        <v>1313800</v>
      </c>
      <c r="E144" s="163">
        <v>1248000.0</v>
      </c>
      <c r="F144" s="163">
        <v>1802300.0</v>
      </c>
      <c r="G144" s="589">
        <f t="shared" si="19"/>
        <v>4364100</v>
      </c>
      <c r="H144" s="589"/>
      <c r="I144" s="589">
        <f>10000+20000+176500+200000</f>
        <v>406500</v>
      </c>
      <c r="J144" s="591" t="s">
        <v>3560</v>
      </c>
      <c r="K144" s="595">
        <v>1080000.0</v>
      </c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  <c r="AA144" s="280"/>
    </row>
    <row r="145">
      <c r="A145" s="588">
        <v>45730.0</v>
      </c>
      <c r="B145" s="163">
        <v>323400.0</v>
      </c>
      <c r="C145" s="163">
        <f>2275650+280700</f>
        <v>2556350</v>
      </c>
      <c r="D145" s="589">
        <f t="shared" si="20"/>
        <v>2232950</v>
      </c>
      <c r="E145" s="163">
        <v>117000.0</v>
      </c>
      <c r="F145" s="163">
        <v>1645800.0</v>
      </c>
      <c r="G145" s="589">
        <f t="shared" si="19"/>
        <v>3995750</v>
      </c>
      <c r="H145" s="589"/>
      <c r="I145" s="589">
        <f>13800+20000+16500+200000 +30400</f>
        <v>280700</v>
      </c>
      <c r="J145" s="591" t="s">
        <v>3561</v>
      </c>
      <c r="K145" s="595">
        <v>2050000.0</v>
      </c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  <c r="X145" s="280"/>
      <c r="Y145" s="280"/>
      <c r="Z145" s="280"/>
      <c r="AA145" s="280"/>
    </row>
    <row r="146">
      <c r="A146" s="588">
        <v>45731.0</v>
      </c>
      <c r="B146" s="163">
        <v>225650.0</v>
      </c>
      <c r="C146" s="589">
        <f>347500+400000</f>
        <v>747500</v>
      </c>
      <c r="D146" s="589">
        <f t="shared" si="20"/>
        <v>521850</v>
      </c>
      <c r="E146" s="163">
        <v>167000.0</v>
      </c>
      <c r="F146" s="163">
        <v>1776000.0</v>
      </c>
      <c r="G146" s="589">
        <f t="shared" si="19"/>
        <v>2464850</v>
      </c>
      <c r="H146" s="589"/>
      <c r="I146" s="163">
        <v>400000.0</v>
      </c>
      <c r="J146" s="591" t="s">
        <v>3562</v>
      </c>
      <c r="K146" s="587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  <c r="X146" s="280"/>
      <c r="Y146" s="280"/>
      <c r="Z146" s="280"/>
      <c r="AA146" s="280"/>
    </row>
    <row r="147">
      <c r="A147" s="588">
        <v>45733.0</v>
      </c>
      <c r="B147" s="163">
        <v>347500.0</v>
      </c>
      <c r="C147" s="163">
        <f>1144000+791750</f>
        <v>1935750</v>
      </c>
      <c r="D147" s="589">
        <f t="shared" si="20"/>
        <v>1588250</v>
      </c>
      <c r="E147" s="163">
        <v>865400.0</v>
      </c>
      <c r="F147" s="163">
        <v>1932500.0</v>
      </c>
      <c r="G147" s="589">
        <f t="shared" si="19"/>
        <v>4386150</v>
      </c>
      <c r="H147" s="589"/>
      <c r="I147" s="589">
        <f>660000+31750+100000</f>
        <v>791750</v>
      </c>
      <c r="J147" s="591" t="s">
        <v>3563</v>
      </c>
      <c r="K147" s="595">
        <v>950000.0</v>
      </c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80"/>
    </row>
    <row r="148">
      <c r="A148" s="588">
        <v>45734.0</v>
      </c>
      <c r="B148" s="163">
        <v>194000.0</v>
      </c>
      <c r="C148" s="163">
        <f>967500+12600</f>
        <v>980100</v>
      </c>
      <c r="D148" s="589">
        <f t="shared" si="20"/>
        <v>786100</v>
      </c>
      <c r="E148" s="163">
        <v>1484500.0</v>
      </c>
      <c r="F148" s="163">
        <v>1135800.0</v>
      </c>
      <c r="G148" s="589">
        <f t="shared" si="19"/>
        <v>3406400</v>
      </c>
      <c r="H148" s="589"/>
      <c r="I148" s="589">
        <f>5300+7300</f>
        <v>12600</v>
      </c>
      <c r="J148" s="591" t="s">
        <v>3564</v>
      </c>
      <c r="K148" s="595">
        <v>800000.0</v>
      </c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80"/>
    </row>
    <row r="149">
      <c r="A149" s="588">
        <v>45735.0</v>
      </c>
      <c r="B149" s="163">
        <v>167500.0</v>
      </c>
      <c r="C149" s="163">
        <f>3371300+97900</f>
        <v>3469200</v>
      </c>
      <c r="D149" s="589">
        <f t="shared" si="20"/>
        <v>3301700</v>
      </c>
      <c r="E149" s="163">
        <v>328000.0</v>
      </c>
      <c r="F149" s="589">
        <f>1861200</f>
        <v>1861200</v>
      </c>
      <c r="G149" s="589">
        <f t="shared" si="19"/>
        <v>5490900</v>
      </c>
      <c r="H149" s="589"/>
      <c r="I149" s="163">
        <f>8000+7000+5000+77900</f>
        <v>97900</v>
      </c>
      <c r="J149" s="591" t="s">
        <v>3565</v>
      </c>
      <c r="K149" s="595">
        <f>1800000+1250000</f>
        <v>3050000</v>
      </c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  <c r="AA149" s="280"/>
    </row>
    <row r="150">
      <c r="A150" s="588">
        <v>45736.0</v>
      </c>
      <c r="B150" s="163">
        <v>321300.0</v>
      </c>
      <c r="C150" s="163">
        <f>1711700+1400000+245000+14530</f>
        <v>3371230</v>
      </c>
      <c r="D150" s="589">
        <f t="shared" si="20"/>
        <v>3049930</v>
      </c>
      <c r="E150" s="163">
        <v>459500.0</v>
      </c>
      <c r="F150" s="163">
        <v>2844700.0</v>
      </c>
      <c r="G150" s="589">
        <f t="shared" si="19"/>
        <v>6354130</v>
      </c>
      <c r="H150" s="589"/>
      <c r="I150" s="163">
        <f>5000+60000+180000+14530</f>
        <v>259530</v>
      </c>
      <c r="J150" s="591" t="s">
        <v>3566</v>
      </c>
      <c r="K150" s="595">
        <v>1450000.0</v>
      </c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  <c r="X150" s="280"/>
      <c r="Y150" s="280"/>
      <c r="Z150" s="280"/>
      <c r="AA150" s="280"/>
    </row>
    <row r="151">
      <c r="A151" s="588">
        <v>45737.0</v>
      </c>
      <c r="B151" s="163">
        <v>311700.0</v>
      </c>
      <c r="C151" s="163">
        <f>1665000+90000</f>
        <v>1755000</v>
      </c>
      <c r="D151" s="589">
        <f t="shared" si="20"/>
        <v>1443300</v>
      </c>
      <c r="E151" s="163">
        <v>624000.0</v>
      </c>
      <c r="F151" s="163">
        <v>3178700.0</v>
      </c>
      <c r="G151" s="589">
        <f t="shared" si="19"/>
        <v>5246000</v>
      </c>
      <c r="H151" s="589"/>
      <c r="I151" s="163">
        <f>15000+75000</f>
        <v>90000</v>
      </c>
      <c r="J151" s="591" t="s">
        <v>3567</v>
      </c>
      <c r="K151" s="587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  <c r="X151" s="280"/>
      <c r="Y151" s="280"/>
      <c r="Z151" s="280"/>
      <c r="AA151" s="280"/>
    </row>
    <row r="152">
      <c r="A152" s="588">
        <v>45738.0</v>
      </c>
      <c r="B152" s="163">
        <v>1665000.0</v>
      </c>
      <c r="C152" s="589">
        <f>704000+1683000</f>
        <v>2387000</v>
      </c>
      <c r="D152" s="589">
        <f t="shared" si="20"/>
        <v>722000</v>
      </c>
      <c r="E152" s="163">
        <v>0.0</v>
      </c>
      <c r="F152" s="163">
        <v>589000.0</v>
      </c>
      <c r="G152" s="589">
        <f t="shared" si="19"/>
        <v>1311000</v>
      </c>
      <c r="H152" s="589"/>
      <c r="I152" s="163">
        <f>28000+600000+5000+450000+600000</f>
        <v>1683000</v>
      </c>
      <c r="J152" s="591" t="s">
        <v>3568</v>
      </c>
      <c r="K152" s="587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80"/>
    </row>
    <row r="153">
      <c r="A153" s="588">
        <v>45741.0</v>
      </c>
      <c r="B153" s="163">
        <v>704000.0</v>
      </c>
      <c r="C153" s="589">
        <f>2700000+328500+129400</f>
        <v>3157900</v>
      </c>
      <c r="D153" s="589">
        <f t="shared" si="20"/>
        <v>2453900</v>
      </c>
      <c r="E153" s="163">
        <v>190800.0</v>
      </c>
      <c r="F153" s="163">
        <v>3360000.0</v>
      </c>
      <c r="G153" s="589">
        <f t="shared" si="19"/>
        <v>6004700</v>
      </c>
      <c r="H153" s="589"/>
      <c r="I153" s="589">
        <f>5000+100000+24400</f>
        <v>129400</v>
      </c>
      <c r="J153" s="591" t="s">
        <v>3569</v>
      </c>
      <c r="K153" s="595">
        <v>2700000.0</v>
      </c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80"/>
    </row>
    <row r="154">
      <c r="A154" s="588">
        <v>45742.0</v>
      </c>
      <c r="B154" s="163">
        <v>328500.0</v>
      </c>
      <c r="C154" s="163">
        <f>3727000+184700</f>
        <v>3911700</v>
      </c>
      <c r="D154" s="589">
        <f t="shared" si="20"/>
        <v>3583200</v>
      </c>
      <c r="E154" s="163">
        <v>532300.0</v>
      </c>
      <c r="F154" s="163">
        <v>2701500.0</v>
      </c>
      <c r="G154" s="589">
        <f t="shared" si="19"/>
        <v>6817000</v>
      </c>
      <c r="H154" s="589"/>
      <c r="I154" s="589">
        <f>165000+5900+13800</f>
        <v>184700</v>
      </c>
      <c r="J154" s="591" t="s">
        <v>3570</v>
      </c>
      <c r="K154" s="595">
        <v>3550000.0</v>
      </c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  <c r="AA154" s="280"/>
    </row>
    <row r="155">
      <c r="A155" s="588">
        <v>45743.0</v>
      </c>
      <c r="B155" s="163">
        <v>177000.0</v>
      </c>
      <c r="C155" s="163">
        <f>240300+1515200</f>
        <v>1755500</v>
      </c>
      <c r="D155" s="589">
        <f t="shared" si="20"/>
        <v>1578500</v>
      </c>
      <c r="E155" s="163">
        <v>676500.0</v>
      </c>
      <c r="F155" s="163">
        <v>3296800.0</v>
      </c>
      <c r="G155" s="589">
        <f t="shared" si="19"/>
        <v>5551800</v>
      </c>
      <c r="H155" s="589"/>
      <c r="I155" s="589">
        <f>86000+101200+1300000+28000</f>
        <v>1515200</v>
      </c>
      <c r="J155" s="591" t="s">
        <v>3571</v>
      </c>
      <c r="K155" s="587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  <c r="AA155" s="280"/>
    </row>
    <row r="156">
      <c r="A156" s="588">
        <v>45744.0</v>
      </c>
      <c r="B156" s="163">
        <v>240300.0</v>
      </c>
      <c r="C156" s="163">
        <f>366700+739800</f>
        <v>1106500</v>
      </c>
      <c r="D156" s="589">
        <f t="shared" si="20"/>
        <v>866200</v>
      </c>
      <c r="E156" s="163">
        <v>50000.0</v>
      </c>
      <c r="F156" s="163">
        <v>1369500.0</v>
      </c>
      <c r="G156" s="589">
        <f t="shared" si="19"/>
        <v>2285700</v>
      </c>
      <c r="H156" s="589"/>
      <c r="I156" s="589">
        <f>636000+7500+7600+6000+5000++51700+26000</f>
        <v>739800</v>
      </c>
      <c r="J156" s="591" t="s">
        <v>3572</v>
      </c>
      <c r="K156" s="587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  <c r="AA156" s="280"/>
    </row>
    <row r="157">
      <c r="A157" s="588">
        <v>45745.0</v>
      </c>
      <c r="B157" s="163">
        <v>366700.0</v>
      </c>
      <c r="C157" s="163">
        <f>1846900+900000</f>
        <v>2746900</v>
      </c>
      <c r="D157" s="589">
        <f t="shared" si="20"/>
        <v>2380200</v>
      </c>
      <c r="E157" s="163">
        <v>0.0</v>
      </c>
      <c r="F157" s="163">
        <v>175000.0</v>
      </c>
      <c r="G157" s="589">
        <f t="shared" si="19"/>
        <v>2555200</v>
      </c>
      <c r="H157" s="589"/>
      <c r="I157" s="163">
        <v>900000.0</v>
      </c>
      <c r="J157" s="591" t="s">
        <v>3573</v>
      </c>
      <c r="K157" s="595">
        <v>1550000.0</v>
      </c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  <c r="AA157" s="280"/>
    </row>
    <row r="158">
      <c r="A158" s="588">
        <v>45747.0</v>
      </c>
      <c r="B158" s="163">
        <v>296900.0</v>
      </c>
      <c r="C158" s="163">
        <f>353100+24000+1229700</f>
        <v>1606800</v>
      </c>
      <c r="D158" s="589">
        <f t="shared" si="20"/>
        <v>1309900</v>
      </c>
      <c r="E158" s="163">
        <v>607000.0</v>
      </c>
      <c r="F158" s="163">
        <v>2844100.0</v>
      </c>
      <c r="G158" s="589">
        <f t="shared" si="19"/>
        <v>4761000</v>
      </c>
      <c r="H158" s="589"/>
      <c r="I158" s="589">
        <f>1000000+200000+24700+5000</f>
        <v>1229700</v>
      </c>
      <c r="J158" s="591" t="s">
        <v>3574</v>
      </c>
      <c r="K158" s="587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80"/>
    </row>
    <row r="159" ht="27.75" customHeight="1">
      <c r="A159" s="588"/>
      <c r="B159" s="163"/>
      <c r="C159" s="589"/>
      <c r="D159" s="593">
        <f t="shared" ref="D159:G159" si="21">SUM(D134:D158)</f>
        <v>48581530</v>
      </c>
      <c r="E159" s="593">
        <f t="shared" si="21"/>
        <v>11967500</v>
      </c>
      <c r="F159" s="593">
        <f t="shared" si="21"/>
        <v>58172500</v>
      </c>
      <c r="G159" s="593">
        <f t="shared" si="21"/>
        <v>118721530</v>
      </c>
      <c r="H159" s="589"/>
      <c r="I159" s="593">
        <f>SUM(I134:I158)</f>
        <v>13928380</v>
      </c>
      <c r="J159" s="591"/>
      <c r="K159" s="595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80"/>
    </row>
    <row r="160">
      <c r="A160" s="588">
        <v>45748.0</v>
      </c>
      <c r="B160" s="163">
        <v>377100.0</v>
      </c>
      <c r="C160" s="589">
        <f>2597950+67800</f>
        <v>2665750</v>
      </c>
      <c r="D160" s="589">
        <f t="shared" ref="D160:D182" si="22">C160-B160</f>
        <v>2288650</v>
      </c>
      <c r="E160" s="163">
        <v>676000.0</v>
      </c>
      <c r="F160" s="163">
        <v>3685400.0</v>
      </c>
      <c r="G160" s="589">
        <f t="shared" ref="G160:G182" si="23">D160+E160+F160</f>
        <v>6650050</v>
      </c>
      <c r="H160" s="589"/>
      <c r="I160" s="589">
        <f>67800</f>
        <v>67800</v>
      </c>
      <c r="J160" s="591" t="s">
        <v>563</v>
      </c>
      <c r="K160" s="595">
        <v>2350000.0</v>
      </c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  <c r="AA160" s="280"/>
    </row>
    <row r="161">
      <c r="A161" s="588">
        <v>45749.0</v>
      </c>
      <c r="B161" s="163">
        <v>247950.0</v>
      </c>
      <c r="C161" s="589">
        <f>1175050+1087900</f>
        <v>2262950</v>
      </c>
      <c r="D161" s="589">
        <f t="shared" si="22"/>
        <v>2015000</v>
      </c>
      <c r="E161" s="163">
        <v>398000.0</v>
      </c>
      <c r="F161" s="163">
        <v>1452500.0</v>
      </c>
      <c r="G161" s="589">
        <f t="shared" si="23"/>
        <v>3865500</v>
      </c>
      <c r="H161" s="589"/>
      <c r="I161" s="589">
        <f>120000+6900+200000+756000+5000</f>
        <v>1087900</v>
      </c>
      <c r="J161" s="591" t="s">
        <v>3575</v>
      </c>
      <c r="K161" s="595">
        <v>700000.0</v>
      </c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  <c r="X161" s="280"/>
      <c r="Y161" s="280"/>
      <c r="Z161" s="280"/>
      <c r="AA161" s="280"/>
    </row>
    <row r="162">
      <c r="A162" s="588">
        <v>45750.0</v>
      </c>
      <c r="B162" s="163">
        <f>1175050-700000</f>
        <v>475050</v>
      </c>
      <c r="C162" s="163">
        <f>2116500+17000</f>
        <v>2133500</v>
      </c>
      <c r="D162" s="589">
        <f t="shared" si="22"/>
        <v>1658450</v>
      </c>
      <c r="E162" s="163">
        <v>22000.0</v>
      </c>
      <c r="F162" s="163">
        <v>3421300.0</v>
      </c>
      <c r="G162" s="589">
        <f t="shared" si="23"/>
        <v>5101750</v>
      </c>
      <c r="H162" s="589"/>
      <c r="I162" s="589">
        <f>5000+12000</f>
        <v>17000</v>
      </c>
      <c r="J162" s="591" t="s">
        <v>3576</v>
      </c>
      <c r="K162" s="595">
        <v>1350000.0</v>
      </c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  <c r="X162" s="280"/>
      <c r="Y162" s="280"/>
      <c r="Z162" s="280"/>
      <c r="AA162" s="280"/>
    </row>
    <row r="163">
      <c r="A163" s="588">
        <v>45751.0</v>
      </c>
      <c r="B163" s="163">
        <v>766500.0</v>
      </c>
      <c r="C163" s="163">
        <f>1871650+432800</f>
        <v>2304450</v>
      </c>
      <c r="D163" s="589">
        <f t="shared" si="22"/>
        <v>1537950</v>
      </c>
      <c r="E163" s="163">
        <v>182000.0</v>
      </c>
      <c r="F163" s="163">
        <v>2464700.0</v>
      </c>
      <c r="G163" s="589">
        <f t="shared" si="23"/>
        <v>4184650</v>
      </c>
      <c r="H163" s="589"/>
      <c r="I163" s="589">
        <f>327800+65000+28000+7000+5000</f>
        <v>432800</v>
      </c>
      <c r="J163" s="591" t="s">
        <v>3577</v>
      </c>
      <c r="K163" s="587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  <c r="Z163" s="280"/>
      <c r="AA163" s="280"/>
    </row>
    <row r="164">
      <c r="A164" s="588">
        <v>45752.0</v>
      </c>
      <c r="B164" s="163">
        <v>1871650.0</v>
      </c>
      <c r="C164" s="163">
        <f>1034450+1918400</f>
        <v>2952850</v>
      </c>
      <c r="D164" s="589">
        <f t="shared" si="22"/>
        <v>1081200</v>
      </c>
      <c r="E164" s="163">
        <v>51000.0</v>
      </c>
      <c r="F164" s="163">
        <v>138000.0</v>
      </c>
      <c r="G164" s="589">
        <f t="shared" si="23"/>
        <v>1270200</v>
      </c>
      <c r="H164" s="589"/>
      <c r="I164" s="163">
        <f>265400+600000+3000+1050000</f>
        <v>1918400</v>
      </c>
      <c r="J164" s="591" t="s">
        <v>3578</v>
      </c>
      <c r="K164" s="595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  <c r="X164" s="280"/>
      <c r="Y164" s="280"/>
      <c r="Z164" s="280"/>
      <c r="AA164" s="280"/>
    </row>
    <row r="165">
      <c r="A165" s="588">
        <v>45754.0</v>
      </c>
      <c r="B165" s="163">
        <v>1034450.0</v>
      </c>
      <c r="C165" s="163">
        <f>965750+1690400</f>
        <v>2656150</v>
      </c>
      <c r="D165" s="589">
        <f t="shared" si="22"/>
        <v>1621700</v>
      </c>
      <c r="E165" s="163">
        <v>816800.0</v>
      </c>
      <c r="F165" s="163">
        <v>3200400.0</v>
      </c>
      <c r="G165" s="589">
        <f t="shared" si="23"/>
        <v>5638900</v>
      </c>
      <c r="H165" s="589"/>
      <c r="I165" s="589">
        <f>5000+122000+500000+963400+100000</f>
        <v>1690400</v>
      </c>
      <c r="J165" s="591" t="s">
        <v>3579</v>
      </c>
      <c r="K165" s="587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80"/>
    </row>
    <row r="166">
      <c r="A166" s="588">
        <v>45755.0</v>
      </c>
      <c r="B166" s="163">
        <v>965750.0</v>
      </c>
      <c r="C166" s="163">
        <f>2185550+289500</f>
        <v>2475050</v>
      </c>
      <c r="D166" s="589">
        <f t="shared" si="22"/>
        <v>1509300</v>
      </c>
      <c r="E166" s="163">
        <v>389800.0</v>
      </c>
      <c r="F166" s="163">
        <v>3175700.0</v>
      </c>
      <c r="G166" s="589">
        <f t="shared" si="23"/>
        <v>5074800</v>
      </c>
      <c r="H166" s="589"/>
      <c r="I166" s="589">
        <f>74500+55000+10000+150000</f>
        <v>289500</v>
      </c>
      <c r="J166" s="591" t="s">
        <v>3580</v>
      </c>
      <c r="K166" s="595">
        <v>1500000.0</v>
      </c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80"/>
    </row>
    <row r="167">
      <c r="A167" s="588">
        <v>45756.0</v>
      </c>
      <c r="B167" s="163">
        <v>685550.0</v>
      </c>
      <c r="C167" s="163">
        <f>670550+1738100</f>
        <v>2408650</v>
      </c>
      <c r="D167" s="589">
        <f t="shared" si="22"/>
        <v>1723100</v>
      </c>
      <c r="E167" s="163">
        <v>319000.0</v>
      </c>
      <c r="F167" s="163">
        <v>2006400.0</v>
      </c>
      <c r="G167" s="589">
        <f t="shared" si="23"/>
        <v>4048500</v>
      </c>
      <c r="H167" s="589"/>
      <c r="I167" s="589">
        <f>38800+165300+5000+29000+1500000</f>
        <v>1738100</v>
      </c>
      <c r="J167" s="591" t="s">
        <v>3581</v>
      </c>
      <c r="K167" s="587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  <c r="AA167" s="280"/>
    </row>
    <row r="168">
      <c r="A168" s="588">
        <v>45757.0</v>
      </c>
      <c r="B168" s="163">
        <v>670550.0</v>
      </c>
      <c r="C168" s="163">
        <f>4215600+85000</f>
        <v>4300600</v>
      </c>
      <c r="D168" s="589">
        <f t="shared" si="22"/>
        <v>3630050</v>
      </c>
      <c r="E168" s="163">
        <v>468800.0</v>
      </c>
      <c r="F168" s="163">
        <v>2534100.0</v>
      </c>
      <c r="G168" s="589">
        <f t="shared" si="23"/>
        <v>6632950</v>
      </c>
      <c r="H168" s="589"/>
      <c r="I168" s="589">
        <f>5000+80000</f>
        <v>85000</v>
      </c>
      <c r="J168" s="591" t="s">
        <v>3582</v>
      </c>
      <c r="K168" s="595">
        <v>4010000.0</v>
      </c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  <c r="X168" s="280"/>
      <c r="Y168" s="280"/>
      <c r="Z168" s="280"/>
      <c r="AA168" s="280"/>
    </row>
    <row r="169">
      <c r="A169" s="588">
        <v>45758.0</v>
      </c>
      <c r="B169" s="163">
        <v>205600.0</v>
      </c>
      <c r="C169" s="163">
        <f>2230100+25800</f>
        <v>2255900</v>
      </c>
      <c r="D169" s="589">
        <f t="shared" si="22"/>
        <v>2050300</v>
      </c>
      <c r="E169" s="163">
        <v>842500.0</v>
      </c>
      <c r="F169" s="163">
        <v>2911300.0</v>
      </c>
      <c r="G169" s="589">
        <f t="shared" si="23"/>
        <v>5804100</v>
      </c>
      <c r="H169" s="589"/>
      <c r="I169" s="589">
        <f>180000+5000+19000+54000</f>
        <v>258000</v>
      </c>
      <c r="J169" s="591" t="s">
        <v>3583</v>
      </c>
      <c r="K169" s="587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  <c r="AA169" s="280"/>
    </row>
    <row r="170">
      <c r="A170" s="588">
        <v>45759.0</v>
      </c>
      <c r="B170" s="163">
        <v>2230100.0</v>
      </c>
      <c r="C170" s="163">
        <v>4036000.0</v>
      </c>
      <c r="D170" s="589">
        <f t="shared" si="22"/>
        <v>1805900</v>
      </c>
      <c r="E170" s="163">
        <v>160000.0</v>
      </c>
      <c r="F170" s="163">
        <v>2495500.0</v>
      </c>
      <c r="G170" s="589">
        <f t="shared" si="23"/>
        <v>4461400</v>
      </c>
      <c r="H170" s="589"/>
      <c r="I170" s="589">
        <f>800000+120000</f>
        <v>920000</v>
      </c>
      <c r="J170" s="591" t="s">
        <v>3584</v>
      </c>
      <c r="K170" s="595">
        <v>3400000.0</v>
      </c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  <c r="AA170" s="280"/>
    </row>
    <row r="171">
      <c r="A171" s="588">
        <v>45761.0</v>
      </c>
      <c r="B171" s="163">
        <v>636000.0</v>
      </c>
      <c r="C171" s="163">
        <f>389100+863900</f>
        <v>1253000</v>
      </c>
      <c r="D171" s="589">
        <f t="shared" si="22"/>
        <v>617000</v>
      </c>
      <c r="E171" s="163">
        <v>51000.0</v>
      </c>
      <c r="F171" s="163">
        <v>1639000.0</v>
      </c>
      <c r="G171" s="589">
        <f t="shared" si="23"/>
        <v>2307000</v>
      </c>
      <c r="H171" s="589"/>
      <c r="I171" s="589">
        <f>542900+5000+20000+200000+16000+80000</f>
        <v>863900</v>
      </c>
      <c r="J171" s="591" t="s">
        <v>3585</v>
      </c>
      <c r="K171" s="587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  <c r="Z171" s="280"/>
      <c r="AA171" s="280"/>
    </row>
    <row r="172">
      <c r="A172" s="588">
        <v>45762.0</v>
      </c>
      <c r="B172" s="163">
        <v>389100.0</v>
      </c>
      <c r="C172" s="163">
        <f>2443650+164500</f>
        <v>2608150</v>
      </c>
      <c r="D172" s="589">
        <f t="shared" si="22"/>
        <v>2219050</v>
      </c>
      <c r="E172" s="163">
        <v>362000.0</v>
      </c>
      <c r="F172" s="163">
        <v>2930500.0</v>
      </c>
      <c r="G172" s="589">
        <f t="shared" si="23"/>
        <v>5511550</v>
      </c>
      <c r="H172" s="589"/>
      <c r="I172" s="589">
        <f>158500+6000</f>
        <v>164500</v>
      </c>
      <c r="J172" s="591" t="s">
        <v>3586</v>
      </c>
      <c r="K172" s="595">
        <v>2000000.0</v>
      </c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80"/>
    </row>
    <row r="173">
      <c r="A173" s="588">
        <v>45763.0</v>
      </c>
      <c r="B173" s="163">
        <v>443650.0</v>
      </c>
      <c r="C173" s="163">
        <f>440000+1899000+6000</f>
        <v>2345000</v>
      </c>
      <c r="D173" s="589">
        <f t="shared" si="22"/>
        <v>1901350</v>
      </c>
      <c r="E173" s="163">
        <v>0.0</v>
      </c>
      <c r="F173" s="163">
        <v>1116000.0</v>
      </c>
      <c r="G173" s="589">
        <f t="shared" si="23"/>
        <v>3017350</v>
      </c>
      <c r="H173" s="589"/>
      <c r="I173" s="163">
        <v>6000.0</v>
      </c>
      <c r="J173" s="591" t="s">
        <v>3517</v>
      </c>
      <c r="K173" s="595">
        <v>1600000.0</v>
      </c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  <c r="AA173" s="280"/>
    </row>
    <row r="174">
      <c r="A174" s="588">
        <v>45768.0</v>
      </c>
      <c r="B174" s="163">
        <f>299000+440000</f>
        <v>739000</v>
      </c>
      <c r="C174" s="589">
        <f>369000+2300000+32450+1677000</f>
        <v>4378450</v>
      </c>
      <c r="D174" s="589">
        <f t="shared" si="22"/>
        <v>3639450</v>
      </c>
      <c r="E174" s="163">
        <v>393500.0</v>
      </c>
      <c r="F174" s="163">
        <f>2366800+6065000</f>
        <v>8431800</v>
      </c>
      <c r="G174" s="589">
        <f t="shared" si="23"/>
        <v>12464750</v>
      </c>
      <c r="H174" s="589"/>
      <c r="I174" s="163">
        <f>5000+1672000</f>
        <v>1677000</v>
      </c>
      <c r="J174" s="591" t="s">
        <v>3587</v>
      </c>
      <c r="K174" s="595">
        <v>2300000.0</v>
      </c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  <c r="Z174" s="280"/>
      <c r="AA174" s="280"/>
    </row>
    <row r="175">
      <c r="A175" s="588">
        <v>45769.0</v>
      </c>
      <c r="B175" s="163">
        <f>369000+32450</f>
        <v>401450</v>
      </c>
      <c r="C175" s="163">
        <f>1000000+356000+32450+1150000+42000</f>
        <v>2580450</v>
      </c>
      <c r="D175" s="589">
        <f t="shared" si="22"/>
        <v>2179000</v>
      </c>
      <c r="E175" s="163">
        <v>40000.0</v>
      </c>
      <c r="F175" s="163">
        <v>1859900.0</v>
      </c>
      <c r="G175" s="589">
        <f t="shared" si="23"/>
        <v>4078900</v>
      </c>
      <c r="H175" s="589"/>
      <c r="I175" s="589">
        <f>30000+12000</f>
        <v>42000</v>
      </c>
      <c r="J175" s="591" t="s">
        <v>3588</v>
      </c>
      <c r="K175" s="595">
        <v>1150000.0</v>
      </c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  <c r="X175" s="280"/>
      <c r="Y175" s="280"/>
      <c r="Z175" s="280"/>
      <c r="AA175" s="280"/>
    </row>
    <row r="176">
      <c r="A176" s="588">
        <v>45770.0</v>
      </c>
      <c r="B176" s="163">
        <f>356000+32450</f>
        <v>388450</v>
      </c>
      <c r="C176" s="163">
        <f>257200+1700000</f>
        <v>1957200</v>
      </c>
      <c r="D176" s="589">
        <f t="shared" si="22"/>
        <v>1568750</v>
      </c>
      <c r="E176" s="163">
        <v>1332000.0</v>
      </c>
      <c r="F176" s="163">
        <v>2259000.0</v>
      </c>
      <c r="G176" s="589">
        <f t="shared" si="23"/>
        <v>5159750</v>
      </c>
      <c r="H176" s="589"/>
      <c r="I176" s="163">
        <f>210000+16500+23000</f>
        <v>249500</v>
      </c>
      <c r="J176" s="591" t="s">
        <v>3589</v>
      </c>
      <c r="K176" s="595">
        <v>1700000.0</v>
      </c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  <c r="AA176" s="280"/>
    </row>
    <row r="177">
      <c r="A177" s="588">
        <v>45771.0</v>
      </c>
      <c r="B177" s="163">
        <v>257200.0</v>
      </c>
      <c r="C177" s="163">
        <f>332050+1238700</f>
        <v>1570750</v>
      </c>
      <c r="D177" s="589">
        <f t="shared" si="22"/>
        <v>1313550</v>
      </c>
      <c r="E177" s="163">
        <v>367600.0</v>
      </c>
      <c r="F177" s="163">
        <v>2854000.0</v>
      </c>
      <c r="G177" s="589">
        <f t="shared" si="23"/>
        <v>4535150</v>
      </c>
      <c r="H177" s="589"/>
      <c r="I177" s="163">
        <f>1174000+30000+34700</f>
        <v>1238700</v>
      </c>
      <c r="J177" s="591" t="s">
        <v>3590</v>
      </c>
      <c r="K177" s="595">
        <v>2200000.0</v>
      </c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80"/>
    </row>
    <row r="178">
      <c r="A178" s="588">
        <v>45772.0</v>
      </c>
      <c r="B178" s="163">
        <v>332050.0</v>
      </c>
      <c r="C178" s="589">
        <f>343450+1150000+445000</f>
        <v>1938450</v>
      </c>
      <c r="D178" s="589">
        <f t="shared" si="22"/>
        <v>1606400</v>
      </c>
      <c r="E178" s="163">
        <v>362000.0</v>
      </c>
      <c r="F178" s="163">
        <v>1672700.0</v>
      </c>
      <c r="G178" s="589">
        <f t="shared" si="23"/>
        <v>3641100</v>
      </c>
      <c r="H178" s="589"/>
      <c r="I178" s="589">
        <f>70000+370000+5000</f>
        <v>445000</v>
      </c>
      <c r="J178" s="591" t="s">
        <v>3591</v>
      </c>
      <c r="K178" s="595">
        <v>1150000.0</v>
      </c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80"/>
    </row>
    <row r="179">
      <c r="A179" s="588">
        <v>45773.0</v>
      </c>
      <c r="B179" s="163">
        <v>343450.0</v>
      </c>
      <c r="C179" s="589">
        <f>475150+384700</f>
        <v>859850</v>
      </c>
      <c r="D179" s="589">
        <f t="shared" si="22"/>
        <v>516400</v>
      </c>
      <c r="E179" s="163">
        <v>358000.0</v>
      </c>
      <c r="F179" s="163">
        <v>2335100.0</v>
      </c>
      <c r="G179" s="589">
        <f t="shared" si="23"/>
        <v>3209500</v>
      </c>
      <c r="H179" s="589"/>
      <c r="I179" s="163">
        <f>330000+54700</f>
        <v>384700</v>
      </c>
      <c r="J179" s="591" t="s">
        <v>3592</v>
      </c>
      <c r="K179" s="595" t="s">
        <v>3593</v>
      </c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  <c r="AA179" s="280"/>
    </row>
    <row r="180">
      <c r="A180" s="588">
        <v>45775.0</v>
      </c>
      <c r="B180" s="163">
        <v>475150.0</v>
      </c>
      <c r="C180" s="589">
        <f>42150+250000+2625000+14000</f>
        <v>2931150</v>
      </c>
      <c r="D180" s="589">
        <f t="shared" si="22"/>
        <v>2456000</v>
      </c>
      <c r="E180" s="163">
        <v>368000.0</v>
      </c>
      <c r="F180" s="163">
        <v>3226600.0</v>
      </c>
      <c r="G180" s="589">
        <f t="shared" si="23"/>
        <v>6050600</v>
      </c>
      <c r="H180" s="589"/>
      <c r="I180" s="589">
        <f>5000+5000+4000</f>
        <v>14000</v>
      </c>
      <c r="J180" s="591" t="s">
        <v>3594</v>
      </c>
      <c r="K180" s="587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  <c r="Z180" s="280"/>
      <c r="AA180" s="280"/>
    </row>
    <row r="181">
      <c r="A181" s="588">
        <v>45776.0</v>
      </c>
      <c r="B181" s="163">
        <v>917150.0</v>
      </c>
      <c r="C181" s="589">
        <f>19500+1343000+100000+727800</f>
        <v>2190300</v>
      </c>
      <c r="D181" s="589">
        <f t="shared" si="22"/>
        <v>1273150</v>
      </c>
      <c r="E181" s="163">
        <v>247000.0</v>
      </c>
      <c r="F181" s="163">
        <v>2252200.0</v>
      </c>
      <c r="G181" s="589">
        <f t="shared" si="23"/>
        <v>3772350</v>
      </c>
      <c r="H181" s="589"/>
      <c r="I181" s="589">
        <f>178500+20000+379300+150000</f>
        <v>727800</v>
      </c>
      <c r="J181" s="591" t="s">
        <v>3595</v>
      </c>
      <c r="K181" s="595">
        <v>2350000.0</v>
      </c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  <c r="X181" s="280"/>
      <c r="Y181" s="280"/>
      <c r="Z181" s="280"/>
      <c r="AA181" s="280"/>
    </row>
    <row r="182">
      <c r="A182" s="588">
        <v>45777.0</v>
      </c>
      <c r="B182" s="163">
        <v>512500.0</v>
      </c>
      <c r="C182" s="163">
        <f>53700+457000+2350000+105050</f>
        <v>2965750</v>
      </c>
      <c r="D182" s="589">
        <f t="shared" si="22"/>
        <v>2453250</v>
      </c>
      <c r="E182" s="163">
        <v>84000.0</v>
      </c>
      <c r="F182" s="163">
        <v>3795100.0</v>
      </c>
      <c r="G182" s="589">
        <f t="shared" si="23"/>
        <v>6332350</v>
      </c>
      <c r="H182" s="589"/>
      <c r="I182" s="589">
        <f>91050+14000</f>
        <v>105050</v>
      </c>
      <c r="J182" s="591" t="s">
        <v>3596</v>
      </c>
      <c r="K182" s="587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80"/>
    </row>
    <row r="183">
      <c r="A183" s="600"/>
      <c r="B183" s="601"/>
      <c r="C183" s="601"/>
      <c r="D183" s="602">
        <f t="shared" ref="D183:G183" si="24">SUM(D160:D182)</f>
        <v>42664950</v>
      </c>
      <c r="E183" s="602">
        <f t="shared" si="24"/>
        <v>8291000</v>
      </c>
      <c r="F183" s="602">
        <f t="shared" si="24"/>
        <v>61857200</v>
      </c>
      <c r="G183" s="602">
        <f t="shared" si="24"/>
        <v>112813150</v>
      </c>
      <c r="H183" s="603"/>
      <c r="I183" s="602"/>
      <c r="J183" s="601"/>
      <c r="K183" s="604"/>
      <c r="L183" s="605"/>
      <c r="M183" s="605"/>
      <c r="N183" s="605"/>
      <c r="O183" s="605"/>
      <c r="P183" s="605"/>
      <c r="Q183" s="605"/>
      <c r="R183" s="605"/>
      <c r="S183" s="605"/>
      <c r="T183" s="605"/>
      <c r="U183" s="605"/>
      <c r="V183" s="605"/>
      <c r="W183" s="605"/>
      <c r="X183" s="605"/>
      <c r="Y183" s="605"/>
      <c r="Z183" s="605"/>
      <c r="AA183" s="605"/>
    </row>
    <row r="184">
      <c r="A184" s="588">
        <v>45779.0</v>
      </c>
      <c r="B184" s="163">
        <v>510700.0</v>
      </c>
      <c r="C184" s="163">
        <f>922300+1080200+1300000</f>
        <v>3302500</v>
      </c>
      <c r="D184" s="589">
        <f t="shared" ref="D184:D209" si="25">C184-B184</f>
        <v>2791800</v>
      </c>
      <c r="E184" s="163">
        <v>570000.0</v>
      </c>
      <c r="F184" s="163">
        <v>4144900.0</v>
      </c>
      <c r="G184" s="589">
        <f t="shared" ref="G184:G209" si="26">D184+E184+F184</f>
        <v>7506700</v>
      </c>
      <c r="H184" s="589"/>
      <c r="I184" s="589">
        <f>15000+5200+50000+1000000+10000</f>
        <v>1080200</v>
      </c>
      <c r="J184" s="591" t="s">
        <v>3597</v>
      </c>
      <c r="K184" s="595">
        <v>1300000.0</v>
      </c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  <c r="X184" s="280"/>
      <c r="Y184" s="280"/>
      <c r="Z184" s="280"/>
      <c r="AA184" s="280"/>
    </row>
    <row r="185">
      <c r="A185" s="588">
        <v>45780.0</v>
      </c>
      <c r="B185" s="163">
        <v>922300.0</v>
      </c>
      <c r="C185" s="163">
        <f>901100+500000</f>
        <v>1401100</v>
      </c>
      <c r="D185" s="589">
        <f t="shared" si="25"/>
        <v>478800</v>
      </c>
      <c r="E185" s="163">
        <v>0.0</v>
      </c>
      <c r="F185" s="163">
        <v>913000.0</v>
      </c>
      <c r="G185" s="589">
        <f t="shared" si="26"/>
        <v>1391800</v>
      </c>
      <c r="H185" s="589"/>
      <c r="I185" s="163">
        <v>500000.0</v>
      </c>
      <c r="J185" s="591" t="s">
        <v>3487</v>
      </c>
      <c r="K185" s="587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  <c r="X185" s="280"/>
      <c r="Y185" s="280"/>
      <c r="Z185" s="280"/>
      <c r="AA185" s="280"/>
    </row>
    <row r="186">
      <c r="A186" s="606">
        <v>45782.0</v>
      </c>
      <c r="B186" s="163">
        <v>901100.0</v>
      </c>
      <c r="C186" s="163">
        <f>939300+548953+2900000</f>
        <v>4388253</v>
      </c>
      <c r="D186" s="589">
        <f t="shared" si="25"/>
        <v>3487153</v>
      </c>
      <c r="E186" s="163">
        <v>421000.0</v>
      </c>
      <c r="F186" s="163">
        <v>2179300.0</v>
      </c>
      <c r="G186" s="589">
        <f t="shared" si="26"/>
        <v>6087453</v>
      </c>
      <c r="H186" s="589"/>
      <c r="I186" s="589">
        <f>273000+45153+230800</f>
        <v>548953</v>
      </c>
      <c r="J186" s="591" t="s">
        <v>3598</v>
      </c>
      <c r="K186" s="595">
        <v>2900000.0</v>
      </c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  <c r="X186" s="280"/>
      <c r="Y186" s="280"/>
      <c r="Z186" s="280"/>
      <c r="AA186" s="280"/>
    </row>
    <row r="187">
      <c r="A187" s="606">
        <v>45783.0</v>
      </c>
      <c r="B187" s="163">
        <v>939300.0</v>
      </c>
      <c r="C187" s="163">
        <f>872000+86700+3620500+180000</f>
        <v>4759200</v>
      </c>
      <c r="D187" s="589">
        <f t="shared" si="25"/>
        <v>3819900</v>
      </c>
      <c r="E187" s="163">
        <v>532000.0</v>
      </c>
      <c r="F187" s="163">
        <v>3083300.0</v>
      </c>
      <c r="G187" s="589">
        <f t="shared" si="26"/>
        <v>7435200</v>
      </c>
      <c r="H187" s="589"/>
      <c r="I187" s="163">
        <f>3300000+20500+60000+240000</f>
        <v>3620500</v>
      </c>
      <c r="J187" s="591" t="s">
        <v>3599</v>
      </c>
      <c r="K187" s="595">
        <v>180000.0</v>
      </c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0"/>
      <c r="Y187" s="280"/>
      <c r="Z187" s="280"/>
      <c r="AA187" s="280"/>
    </row>
    <row r="188">
      <c r="A188" s="606">
        <v>45784.0</v>
      </c>
      <c r="B188" s="163">
        <v>958700.0</v>
      </c>
      <c r="C188" s="163">
        <f>91100+297000+2700000</f>
        <v>3088100</v>
      </c>
      <c r="D188" s="589">
        <f t="shared" si="25"/>
        <v>2129400</v>
      </c>
      <c r="E188" s="163">
        <v>1142000.0</v>
      </c>
      <c r="F188" s="163">
        <v>2619000.0</v>
      </c>
      <c r="G188" s="589">
        <f t="shared" si="26"/>
        <v>5890400</v>
      </c>
      <c r="H188" s="589"/>
      <c r="I188" s="163">
        <v>65600.0</v>
      </c>
      <c r="J188" s="594"/>
      <c r="K188" s="595">
        <v>2700000.0</v>
      </c>
      <c r="L188" s="548" t="s">
        <v>3600</v>
      </c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  <c r="AA188" s="280"/>
    </row>
    <row r="189">
      <c r="A189" s="606">
        <v>45785.0</v>
      </c>
      <c r="B189" s="589">
        <f>C188-2700000</f>
        <v>388100</v>
      </c>
      <c r="C189" s="163">
        <f>1623600+169800+80000+100000+1700000</f>
        <v>3673400</v>
      </c>
      <c r="D189" s="589">
        <f t="shared" si="25"/>
        <v>3285300</v>
      </c>
      <c r="E189" s="163">
        <v>396800.0</v>
      </c>
      <c r="F189" s="163">
        <v>1955000.0</v>
      </c>
      <c r="G189" s="589">
        <f t="shared" si="26"/>
        <v>5637100</v>
      </c>
      <c r="H189" s="589"/>
      <c r="I189" s="589">
        <f>149800+20000</f>
        <v>169800</v>
      </c>
      <c r="J189" s="591" t="s">
        <v>3601</v>
      </c>
      <c r="K189" s="595">
        <f>1700000+1000000</f>
        <v>2700000</v>
      </c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80"/>
    </row>
    <row r="190">
      <c r="A190" s="606">
        <v>45786.0</v>
      </c>
      <c r="B190" s="163">
        <f>C189-I189-K189</f>
        <v>803600</v>
      </c>
      <c r="C190" s="589">
        <f>485000+46500+16400+5800+927000+500000</f>
        <v>1980700</v>
      </c>
      <c r="D190" s="589">
        <f t="shared" si="25"/>
        <v>1177100</v>
      </c>
      <c r="E190" s="163">
        <v>672000.0</v>
      </c>
      <c r="F190" s="163">
        <v>2931500.0</v>
      </c>
      <c r="G190" s="589">
        <f t="shared" si="26"/>
        <v>4780600</v>
      </c>
      <c r="H190" s="589"/>
      <c r="I190" s="163">
        <f>500000+324400+32100+70500</f>
        <v>927000</v>
      </c>
      <c r="J190" s="591" t="s">
        <v>3602</v>
      </c>
      <c r="K190" s="312">
        <v>500000.0</v>
      </c>
    </row>
    <row r="191">
      <c r="A191" s="606">
        <v>45787.0</v>
      </c>
      <c r="B191" s="163">
        <v>553700.0</v>
      </c>
      <c r="C191" s="163">
        <f>1245000+59500+935000</f>
        <v>2239500</v>
      </c>
      <c r="D191" s="589">
        <f t="shared" si="25"/>
        <v>1685800</v>
      </c>
      <c r="E191" s="163">
        <v>0.0</v>
      </c>
      <c r="F191" s="163">
        <v>1002000.0</v>
      </c>
      <c r="G191" s="589">
        <f t="shared" si="26"/>
        <v>2687800</v>
      </c>
      <c r="H191" s="589"/>
      <c r="I191" s="589">
        <f>300000+600000+23000+12000</f>
        <v>935000</v>
      </c>
      <c r="J191" s="591" t="s">
        <v>3603</v>
      </c>
      <c r="K191" s="595">
        <v>900000.0</v>
      </c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  <c r="AA191" s="280"/>
    </row>
    <row r="192">
      <c r="A192" s="606">
        <v>45789.0</v>
      </c>
      <c r="B192" s="163">
        <v>404500.0</v>
      </c>
      <c r="C192" s="163">
        <f>963200+1850000+579200</f>
        <v>3392400</v>
      </c>
      <c r="D192" s="589">
        <f t="shared" si="25"/>
        <v>2987900</v>
      </c>
      <c r="E192" s="163">
        <v>164000.0</v>
      </c>
      <c r="F192" s="163">
        <v>2167100.0</v>
      </c>
      <c r="G192" s="589">
        <f t="shared" si="26"/>
        <v>5319000</v>
      </c>
      <c r="H192" s="589"/>
      <c r="I192" s="589">
        <f>13200+566000</f>
        <v>579200</v>
      </c>
      <c r="J192" s="594"/>
      <c r="K192" s="595">
        <v>1850000.0</v>
      </c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  <c r="X192" s="280"/>
      <c r="Y192" s="280"/>
      <c r="Z192" s="280"/>
      <c r="AA192" s="280"/>
    </row>
    <row r="193">
      <c r="A193" s="606">
        <v>45790.0</v>
      </c>
      <c r="B193" s="163">
        <v>963200.0</v>
      </c>
      <c r="C193" s="163">
        <f>293900+2150000+224200</f>
        <v>2668100</v>
      </c>
      <c r="D193" s="589">
        <f t="shared" si="25"/>
        <v>1704900</v>
      </c>
      <c r="E193" s="163">
        <v>379000.0</v>
      </c>
      <c r="F193" s="163">
        <v>1500200.0</v>
      </c>
      <c r="G193" s="589">
        <f t="shared" si="26"/>
        <v>3584100</v>
      </c>
      <c r="H193" s="589"/>
      <c r="I193" s="589">
        <f>5000+3000+20000+150000+25200+6000+15000</f>
        <v>224200</v>
      </c>
      <c r="J193" s="591" t="s">
        <v>3604</v>
      </c>
      <c r="K193" s="595">
        <v>2150000.0</v>
      </c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  <c r="Z193" s="280"/>
      <c r="AA193" s="280"/>
    </row>
    <row r="194">
      <c r="A194" s="606">
        <v>45791.0</v>
      </c>
      <c r="B194" s="163">
        <v>293900.0</v>
      </c>
      <c r="C194" s="163">
        <f>734700+1190000</f>
        <v>1924700</v>
      </c>
      <c r="D194" s="589">
        <f t="shared" si="25"/>
        <v>1630800</v>
      </c>
      <c r="E194" s="163">
        <v>284000.0</v>
      </c>
      <c r="F194" s="163">
        <v>2283500.0</v>
      </c>
      <c r="G194" s="589">
        <f t="shared" si="26"/>
        <v>4198300</v>
      </c>
      <c r="H194" s="589"/>
      <c r="I194" s="589">
        <f>30000+152000+6000+14000+960000+28000</f>
        <v>1190000</v>
      </c>
      <c r="J194" s="591" t="s">
        <v>3605</v>
      </c>
      <c r="K194" s="587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  <c r="X194" s="280"/>
      <c r="Y194" s="280"/>
      <c r="Z194" s="280"/>
      <c r="AA194" s="280"/>
    </row>
    <row r="195">
      <c r="A195" s="606">
        <v>45792.0</v>
      </c>
      <c r="B195" s="163">
        <v>734700.0</v>
      </c>
      <c r="C195" s="163">
        <f>108000+4300000+846300</f>
        <v>5254300</v>
      </c>
      <c r="D195" s="589">
        <f t="shared" si="25"/>
        <v>4519600</v>
      </c>
      <c r="E195" s="163">
        <v>87500.0</v>
      </c>
      <c r="F195" s="163">
        <v>1701400.0</v>
      </c>
      <c r="G195" s="589">
        <f t="shared" si="26"/>
        <v>6308500</v>
      </c>
      <c r="H195" s="589"/>
      <c r="I195" s="589">
        <f>206700+143600+162000+334000</f>
        <v>846300</v>
      </c>
      <c r="J195" s="591" t="s">
        <v>3606</v>
      </c>
      <c r="K195" s="595">
        <v>4300000.0</v>
      </c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  <c r="X195" s="280"/>
      <c r="Y195" s="280"/>
      <c r="Z195" s="280"/>
      <c r="AA195" s="280"/>
    </row>
    <row r="196">
      <c r="A196" s="606">
        <v>45793.0</v>
      </c>
      <c r="B196" s="163">
        <v>108000.0</v>
      </c>
      <c r="C196" s="163">
        <f>211300+I196</f>
        <v>1930200</v>
      </c>
      <c r="D196" s="589">
        <f t="shared" si="25"/>
        <v>1822200</v>
      </c>
      <c r="E196" s="163">
        <v>342000.0</v>
      </c>
      <c r="F196" s="163">
        <v>2220900.0</v>
      </c>
      <c r="G196" s="589">
        <f t="shared" si="26"/>
        <v>4385100</v>
      </c>
      <c r="H196" s="589"/>
      <c r="I196" s="163">
        <f>1500000+12000+182500+8000+16400</f>
        <v>1718900</v>
      </c>
      <c r="J196" s="591" t="s">
        <v>3607</v>
      </c>
      <c r="K196" s="587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  <c r="Z196" s="280"/>
      <c r="AA196" s="280"/>
    </row>
    <row r="197">
      <c r="A197" s="606">
        <v>45794.0</v>
      </c>
      <c r="B197" s="163">
        <v>211300.0</v>
      </c>
      <c r="C197" s="163">
        <f>348800+300000</f>
        <v>648800</v>
      </c>
      <c r="D197" s="589">
        <f t="shared" si="25"/>
        <v>437500</v>
      </c>
      <c r="E197" s="163">
        <v>0.0</v>
      </c>
      <c r="F197" s="163">
        <v>1306000.0</v>
      </c>
      <c r="G197" s="589">
        <f t="shared" si="26"/>
        <v>1743500</v>
      </c>
      <c r="H197" s="589"/>
      <c r="I197" s="163">
        <v>300000.0</v>
      </c>
      <c r="J197" s="591" t="s">
        <v>3487</v>
      </c>
      <c r="K197" s="587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  <c r="AA197" s="280"/>
    </row>
    <row r="198">
      <c r="A198" s="606">
        <v>45796.0</v>
      </c>
      <c r="B198" s="163">
        <v>348800.0</v>
      </c>
      <c r="C198" s="163">
        <f>732900+1276750</f>
        <v>2009650</v>
      </c>
      <c r="D198" s="589">
        <f t="shared" si="25"/>
        <v>1660850</v>
      </c>
      <c r="E198" s="163">
        <v>765500.0</v>
      </c>
      <c r="F198" s="163">
        <v>2629500.0</v>
      </c>
      <c r="G198" s="589">
        <f t="shared" si="26"/>
        <v>5055850</v>
      </c>
      <c r="H198" s="589"/>
      <c r="I198" s="163">
        <f>1225000+5000+46750</f>
        <v>1276750</v>
      </c>
      <c r="J198" s="591" t="s">
        <v>3608</v>
      </c>
      <c r="K198" s="587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80"/>
    </row>
    <row r="199">
      <c r="A199" s="606">
        <v>45797.0</v>
      </c>
      <c r="B199" s="163">
        <v>732900.0</v>
      </c>
      <c r="C199" s="163">
        <f>958000+5000+200+156800+1700000</f>
        <v>2820000</v>
      </c>
      <c r="D199" s="589">
        <f t="shared" si="25"/>
        <v>2087100</v>
      </c>
      <c r="E199" s="163">
        <v>146000.0</v>
      </c>
      <c r="F199" s="163">
        <v>1324400.0</v>
      </c>
      <c r="G199" s="589">
        <f t="shared" si="26"/>
        <v>3557500</v>
      </c>
      <c r="H199" s="589"/>
      <c r="I199" s="163">
        <f>64800+92000</f>
        <v>156800</v>
      </c>
      <c r="J199" s="591" t="s">
        <v>3609</v>
      </c>
      <c r="K199" s="595">
        <v>1700000.0</v>
      </c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80"/>
    </row>
    <row r="200">
      <c r="A200" s="606">
        <v>45798.0</v>
      </c>
      <c r="B200" s="163">
        <v>963200.0</v>
      </c>
      <c r="C200" s="163">
        <f>1199000+372300+771400</f>
        <v>2342700</v>
      </c>
      <c r="D200" s="589">
        <f t="shared" si="25"/>
        <v>1379500</v>
      </c>
      <c r="E200" s="163">
        <v>357000.0</v>
      </c>
      <c r="F200" s="163">
        <v>1555800.0</v>
      </c>
      <c r="G200" s="589">
        <f t="shared" si="26"/>
        <v>3292300</v>
      </c>
      <c r="H200" s="589"/>
      <c r="I200" s="589">
        <f>5000+98000+3200+4000+661200</f>
        <v>771400</v>
      </c>
      <c r="J200" s="591" t="s">
        <v>3610</v>
      </c>
      <c r="K200" s="587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  <c r="AA200" s="280"/>
    </row>
    <row r="201">
      <c r="A201" s="606">
        <v>45799.0</v>
      </c>
      <c r="B201" s="163">
        <v>571300.0</v>
      </c>
      <c r="C201" s="163">
        <f>1299300+174600</f>
        <v>1473900</v>
      </c>
      <c r="D201" s="589">
        <f t="shared" si="25"/>
        <v>902600</v>
      </c>
      <c r="E201" s="163">
        <v>863000.0</v>
      </c>
      <c r="F201" s="163">
        <v>1364300.0</v>
      </c>
      <c r="G201" s="589">
        <f t="shared" si="26"/>
        <v>3129900</v>
      </c>
      <c r="H201" s="589"/>
      <c r="I201" s="589">
        <f>2300+15000+34000+91300+5000</f>
        <v>147600</v>
      </c>
      <c r="J201" s="591" t="s">
        <v>3611</v>
      </c>
      <c r="K201" s="587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  <c r="AA201" s="280"/>
    </row>
    <row r="202">
      <c r="A202" s="606">
        <v>45800.0</v>
      </c>
      <c r="B202" s="163">
        <v>1299300.0</v>
      </c>
      <c r="C202" s="163">
        <f>736400+2300000+25000</f>
        <v>3061400</v>
      </c>
      <c r="D202" s="589">
        <f t="shared" si="25"/>
        <v>1762100</v>
      </c>
      <c r="E202" s="163">
        <v>728000.0</v>
      </c>
      <c r="F202" s="163">
        <v>1324400.0</v>
      </c>
      <c r="G202" s="589">
        <f t="shared" si="26"/>
        <v>3814500</v>
      </c>
      <c r="H202" s="589"/>
      <c r="I202" s="163">
        <f>20000+5000</f>
        <v>25000</v>
      </c>
      <c r="J202" s="591" t="s">
        <v>3612</v>
      </c>
      <c r="K202" s="595">
        <v>2300000.0</v>
      </c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  <c r="AA202" s="280"/>
    </row>
    <row r="203">
      <c r="A203" s="606">
        <v>45801.0</v>
      </c>
      <c r="B203" s="163">
        <v>736400.0</v>
      </c>
      <c r="C203" s="163">
        <v>994800.0</v>
      </c>
      <c r="D203" s="589">
        <f t="shared" si="25"/>
        <v>258400</v>
      </c>
      <c r="E203" s="163">
        <v>690000.0</v>
      </c>
      <c r="F203" s="163">
        <v>528000.0</v>
      </c>
      <c r="G203" s="589">
        <f t="shared" si="26"/>
        <v>1476400</v>
      </c>
      <c r="H203" s="589"/>
      <c r="I203" s="163">
        <v>570000.0</v>
      </c>
      <c r="J203" s="591" t="s">
        <v>3613</v>
      </c>
      <c r="K203" s="587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80"/>
    </row>
    <row r="204">
      <c r="A204" s="606">
        <v>45803.0</v>
      </c>
      <c r="B204" s="163">
        <v>293100.0</v>
      </c>
      <c r="C204" s="163">
        <f>433200+2700000+206700</f>
        <v>3339900</v>
      </c>
      <c r="D204" s="589">
        <f t="shared" si="25"/>
        <v>3046800</v>
      </c>
      <c r="E204" s="163">
        <v>114500.0</v>
      </c>
      <c r="F204" s="163">
        <v>1603800.0</v>
      </c>
      <c r="G204" s="589">
        <f t="shared" si="26"/>
        <v>4765100</v>
      </c>
      <c r="H204" s="589"/>
      <c r="I204" s="163">
        <v>206700.0</v>
      </c>
      <c r="J204" s="591" t="s">
        <v>3614</v>
      </c>
      <c r="K204" s="595">
        <f>2200000+500000</f>
        <v>2700000</v>
      </c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80"/>
    </row>
    <row r="205">
      <c r="A205" s="606">
        <v>45804.0</v>
      </c>
      <c r="B205" s="163">
        <v>433200.0</v>
      </c>
      <c r="C205" s="163">
        <f>1478100+1848550</f>
        <v>3326650</v>
      </c>
      <c r="D205" s="589">
        <f t="shared" si="25"/>
        <v>2893450</v>
      </c>
      <c r="E205" s="163">
        <v>35000.0</v>
      </c>
      <c r="F205" s="163">
        <v>2186500.0</v>
      </c>
      <c r="G205" s="589">
        <f t="shared" si="26"/>
        <v>5114950</v>
      </c>
      <c r="H205" s="589"/>
      <c r="I205" s="163">
        <f>38500+100050+1370000+340000</f>
        <v>1848550</v>
      </c>
      <c r="J205" s="591" t="s">
        <v>3615</v>
      </c>
      <c r="K205" s="587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  <c r="AA205" s="280"/>
    </row>
    <row r="206">
      <c r="A206" s="606">
        <v>45805.0</v>
      </c>
      <c r="B206" s="163">
        <v>1478100.0</v>
      </c>
      <c r="C206" s="163">
        <f>742500+1523900+240000</f>
        <v>2506400</v>
      </c>
      <c r="D206" s="589">
        <f t="shared" si="25"/>
        <v>1028300</v>
      </c>
      <c r="E206" s="163">
        <v>0.0</v>
      </c>
      <c r="F206" s="163">
        <v>1434700.0</v>
      </c>
      <c r="G206" s="589">
        <f t="shared" si="26"/>
        <v>2463000</v>
      </c>
      <c r="H206" s="589"/>
      <c r="I206" s="589">
        <f>894600+10000+604300+5000+10000</f>
        <v>1523900</v>
      </c>
      <c r="J206" s="591" t="s">
        <v>3616</v>
      </c>
      <c r="K206" s="587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  <c r="AA206" s="280"/>
    </row>
    <row r="207">
      <c r="A207" s="606">
        <v>45806.0</v>
      </c>
      <c r="B207" s="163">
        <v>742500.0</v>
      </c>
      <c r="C207" s="163">
        <f>481650+I207+1450000</f>
        <v>2544650</v>
      </c>
      <c r="D207" s="589">
        <f t="shared" si="25"/>
        <v>1802150</v>
      </c>
      <c r="E207" s="163">
        <v>664000.0</v>
      </c>
      <c r="F207" s="163">
        <v>2370100.0</v>
      </c>
      <c r="G207" s="589">
        <f t="shared" si="26"/>
        <v>4836250</v>
      </c>
      <c r="H207" s="589"/>
      <c r="I207" s="589">
        <f>613000</f>
        <v>613000</v>
      </c>
      <c r="J207" s="594"/>
      <c r="K207" s="595">
        <v>1450000.0</v>
      </c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  <c r="AA207" s="280"/>
    </row>
    <row r="208">
      <c r="A208" s="606">
        <v>45807.0</v>
      </c>
      <c r="B208" s="163">
        <v>481650.0</v>
      </c>
      <c r="C208" s="163">
        <f>69500+480500+2800000</f>
        <v>3350000</v>
      </c>
      <c r="D208" s="589">
        <f t="shared" si="25"/>
        <v>2868350</v>
      </c>
      <c r="E208" s="163">
        <v>1317100.0</v>
      </c>
      <c r="F208" s="163">
        <v>2645600.0</v>
      </c>
      <c r="G208" s="589">
        <f t="shared" si="26"/>
        <v>6831050</v>
      </c>
      <c r="H208" s="589"/>
      <c r="I208" s="589">
        <f>102000+20000+59500+240000+43000+6000+10000</f>
        <v>480500</v>
      </c>
      <c r="J208" s="591" t="s">
        <v>3617</v>
      </c>
      <c r="K208" s="595">
        <f>1300000+1500000</f>
        <v>2800000</v>
      </c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80"/>
    </row>
    <row r="209">
      <c r="A209" s="606">
        <v>45808.0</v>
      </c>
      <c r="B209" s="163">
        <v>69500.0</v>
      </c>
      <c r="C209" s="163">
        <f>30250+1254000+220000</f>
        <v>1504250</v>
      </c>
      <c r="D209" s="589">
        <f t="shared" si="25"/>
        <v>1434750</v>
      </c>
      <c r="E209" s="163">
        <v>0.0</v>
      </c>
      <c r="F209" s="163">
        <v>669100.0</v>
      </c>
      <c r="G209" s="589">
        <f t="shared" si="26"/>
        <v>2103850</v>
      </c>
      <c r="H209" s="589"/>
      <c r="I209" s="163">
        <f>20000+200000</f>
        <v>220000</v>
      </c>
      <c r="J209" s="591" t="s">
        <v>3618</v>
      </c>
      <c r="K209" s="587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  <c r="AA209" s="280"/>
    </row>
    <row r="210">
      <c r="A210" s="606"/>
      <c r="B210" s="607"/>
      <c r="C210" s="608"/>
      <c r="D210" s="609">
        <f t="shared" ref="D210:G210" si="27">SUM(D184:D209)</f>
        <v>53082503</v>
      </c>
      <c r="E210" s="609">
        <f t="shared" si="27"/>
        <v>10670400</v>
      </c>
      <c r="F210" s="609">
        <f t="shared" si="27"/>
        <v>49643300</v>
      </c>
      <c r="G210" s="609">
        <f t="shared" si="27"/>
        <v>113396203</v>
      </c>
      <c r="H210" s="610"/>
      <c r="I210" s="609">
        <f>SUM(I184:I209)</f>
        <v>20545853</v>
      </c>
      <c r="J210" s="608"/>
      <c r="K210" s="611"/>
      <c r="L210" s="612"/>
      <c r="M210" s="612"/>
      <c r="N210" s="612"/>
      <c r="O210" s="612"/>
      <c r="P210" s="612"/>
      <c r="Q210" s="612"/>
      <c r="R210" s="612"/>
      <c r="S210" s="612"/>
      <c r="T210" s="612"/>
      <c r="U210" s="612"/>
      <c r="V210" s="612"/>
      <c r="W210" s="612"/>
      <c r="X210" s="612"/>
      <c r="Y210" s="612"/>
      <c r="Z210" s="612"/>
      <c r="AA210" s="612"/>
    </row>
    <row r="211">
      <c r="A211" s="606">
        <v>45811.0</v>
      </c>
      <c r="B211" s="607">
        <v>1284250.0</v>
      </c>
      <c r="C211" s="163">
        <f>258800+1750000+250000</f>
        <v>2258800</v>
      </c>
      <c r="D211" s="589">
        <f t="shared" ref="D211:D237" si="28">C211-B211</f>
        <v>974550</v>
      </c>
      <c r="E211" s="163">
        <v>508000.0</v>
      </c>
      <c r="F211" s="163">
        <v>9280000.0</v>
      </c>
      <c r="G211" s="589">
        <f t="shared" ref="G211:G230" si="29">D211+E211+F211</f>
        <v>10762550</v>
      </c>
      <c r="H211" s="589"/>
      <c r="I211" s="163">
        <v>250000.0</v>
      </c>
      <c r="J211" s="591" t="s">
        <v>3619</v>
      </c>
      <c r="K211" s="595">
        <v>1750000.0</v>
      </c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  <c r="AA211" s="280"/>
    </row>
    <row r="212">
      <c r="A212" s="606">
        <v>45812.0</v>
      </c>
      <c r="B212" s="163">
        <v>258800.0</v>
      </c>
      <c r="C212" s="163">
        <f>332650+1150000+18800</f>
        <v>1501450</v>
      </c>
      <c r="D212" s="589">
        <f t="shared" si="28"/>
        <v>1242650</v>
      </c>
      <c r="E212" s="163">
        <v>943000.0</v>
      </c>
      <c r="F212" s="163">
        <v>2622900.0</v>
      </c>
      <c r="G212" s="589">
        <f t="shared" si="29"/>
        <v>4808550</v>
      </c>
      <c r="H212" s="589"/>
      <c r="I212" s="589">
        <f>8300+10500</f>
        <v>18800</v>
      </c>
      <c r="J212" s="591" t="s">
        <v>3620</v>
      </c>
      <c r="K212" s="595">
        <v>1150000.0</v>
      </c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  <c r="AA212" s="280"/>
    </row>
    <row r="213">
      <c r="A213" s="606">
        <v>45813.0</v>
      </c>
      <c r="B213" s="163">
        <v>332650.0</v>
      </c>
      <c r="C213" s="589">
        <f>385350+183400+165000+700000</f>
        <v>1433750</v>
      </c>
      <c r="D213" s="589">
        <f t="shared" si="28"/>
        <v>1101100</v>
      </c>
      <c r="E213" s="163">
        <v>154000.0</v>
      </c>
      <c r="F213" s="163">
        <v>1224100.0</v>
      </c>
      <c r="G213" s="589">
        <f t="shared" si="29"/>
        <v>2479200</v>
      </c>
      <c r="H213" s="589"/>
      <c r="I213" s="589">
        <f>183400</f>
        <v>183400</v>
      </c>
      <c r="J213" s="594"/>
      <c r="K213" s="595">
        <v>700000.0</v>
      </c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  <c r="AA213" s="280"/>
    </row>
    <row r="214">
      <c r="A214" s="606">
        <v>45814.0</v>
      </c>
      <c r="B214" s="163">
        <f>385350+165000</f>
        <v>550350</v>
      </c>
      <c r="C214" s="163">
        <f>214150+800000+15000</f>
        <v>1029150</v>
      </c>
      <c r="D214" s="589">
        <f t="shared" si="28"/>
        <v>478800</v>
      </c>
      <c r="E214" s="163">
        <v>179000.0</v>
      </c>
      <c r="F214" s="163">
        <v>3431900.0</v>
      </c>
      <c r="G214" s="589">
        <f t="shared" si="29"/>
        <v>4089700</v>
      </c>
      <c r="H214" s="589"/>
      <c r="I214" s="589">
        <f>10000+5000</f>
        <v>15000</v>
      </c>
      <c r="J214" s="591" t="s">
        <v>3517</v>
      </c>
      <c r="K214" s="595">
        <v>800000.0</v>
      </c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80"/>
    </row>
    <row r="215">
      <c r="A215" s="606">
        <v>45815.0</v>
      </c>
      <c r="B215" s="163">
        <v>1014150.0</v>
      </c>
      <c r="C215" s="163">
        <f>203950+1770000+653000</f>
        <v>2626950</v>
      </c>
      <c r="D215" s="589">
        <f t="shared" si="28"/>
        <v>1612800</v>
      </c>
      <c r="E215" s="163">
        <v>130000.0</v>
      </c>
      <c r="F215" s="163">
        <v>860000.0</v>
      </c>
      <c r="G215" s="589">
        <f t="shared" si="29"/>
        <v>2602800</v>
      </c>
      <c r="H215" s="589"/>
      <c r="I215" s="163">
        <f>645000+8000</f>
        <v>653000</v>
      </c>
      <c r="J215" s="591" t="s">
        <v>3621</v>
      </c>
      <c r="K215" s="595">
        <v>1770000.0</v>
      </c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80"/>
    </row>
    <row r="216">
      <c r="A216" s="606">
        <v>45817.0</v>
      </c>
      <c r="B216" s="163">
        <v>203950.0</v>
      </c>
      <c r="C216" s="163">
        <f>1427300+267200+8500</f>
        <v>1703000</v>
      </c>
      <c r="D216" s="589">
        <f t="shared" si="28"/>
        <v>1499050</v>
      </c>
      <c r="E216" s="163">
        <v>440400.0</v>
      </c>
      <c r="F216" s="163">
        <v>2534400.0</v>
      </c>
      <c r="G216" s="589">
        <f t="shared" si="29"/>
        <v>4473850</v>
      </c>
      <c r="H216" s="589"/>
      <c r="I216" s="163">
        <f>5000+80000</f>
        <v>85000</v>
      </c>
      <c r="J216" s="591" t="s">
        <v>3622</v>
      </c>
      <c r="K216" s="595">
        <v>1000000.0</v>
      </c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  <c r="AA216" s="280"/>
    </row>
    <row r="217">
      <c r="A217" s="606">
        <v>45818.0</v>
      </c>
      <c r="B217" s="163">
        <v>694500.0</v>
      </c>
      <c r="C217" s="163">
        <f>2207350+100500</f>
        <v>2307850</v>
      </c>
      <c r="D217" s="589">
        <f t="shared" si="28"/>
        <v>1613350</v>
      </c>
      <c r="E217" s="163">
        <v>1354000.0</v>
      </c>
      <c r="F217" s="163">
        <v>923200.0</v>
      </c>
      <c r="G217" s="589">
        <f t="shared" si="29"/>
        <v>3890550</v>
      </c>
      <c r="H217" s="589"/>
      <c r="I217" s="589">
        <f>43500+30000+15000+7000+5000</f>
        <v>100500</v>
      </c>
      <c r="J217" s="591" t="s">
        <v>3623</v>
      </c>
      <c r="K217" s="595">
        <v>2000000.0</v>
      </c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  <c r="AA217" s="280"/>
    </row>
    <row r="218">
      <c r="A218" s="606">
        <v>45819.0</v>
      </c>
      <c r="B218" s="163">
        <v>207350.0</v>
      </c>
      <c r="C218" s="163">
        <f>978600+115000</f>
        <v>1093600</v>
      </c>
      <c r="D218" s="589">
        <f t="shared" si="28"/>
        <v>886250</v>
      </c>
      <c r="E218" s="163">
        <v>0.0</v>
      </c>
      <c r="F218" s="163">
        <v>209000.0</v>
      </c>
      <c r="G218" s="589">
        <f t="shared" si="29"/>
        <v>1095250</v>
      </c>
      <c r="H218" s="589"/>
      <c r="I218" s="589">
        <f>115000</f>
        <v>115000</v>
      </c>
      <c r="J218" s="591" t="s">
        <v>3624</v>
      </c>
      <c r="K218" s="587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  <c r="AA218" s="280"/>
    </row>
    <row r="219">
      <c r="A219" s="606">
        <v>45820.0</v>
      </c>
      <c r="B219" s="163">
        <f>978600</f>
        <v>978600</v>
      </c>
      <c r="C219" s="163">
        <f>356700+2520000+800000</f>
        <v>3676700</v>
      </c>
      <c r="D219" s="589">
        <f t="shared" si="28"/>
        <v>2698100</v>
      </c>
      <c r="E219" s="163">
        <v>0.0</v>
      </c>
      <c r="F219" s="163">
        <v>6187900.0</v>
      </c>
      <c r="G219" s="589">
        <f t="shared" si="29"/>
        <v>8886000</v>
      </c>
      <c r="H219" s="589"/>
      <c r="I219" s="163">
        <f>2000000+100000+400000+20000</f>
        <v>2520000</v>
      </c>
      <c r="J219" s="591" t="s">
        <v>3625</v>
      </c>
      <c r="K219" s="595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  <c r="AA219" s="280"/>
    </row>
    <row r="220">
      <c r="A220" s="606">
        <v>45821.0</v>
      </c>
      <c r="B220" s="163">
        <v>356700.0</v>
      </c>
      <c r="C220" s="163">
        <f>1146400+5000+300000</f>
        <v>1451400</v>
      </c>
      <c r="D220" s="589">
        <f t="shared" si="28"/>
        <v>1094700</v>
      </c>
      <c r="E220" s="163">
        <v>1135100.0</v>
      </c>
      <c r="F220" s="163">
        <v>1870000.0</v>
      </c>
      <c r="G220" s="589">
        <f t="shared" si="29"/>
        <v>4099800</v>
      </c>
      <c r="H220" s="589"/>
      <c r="I220" s="589">
        <f>5000+300000</f>
        <v>305000</v>
      </c>
      <c r="J220" s="591" t="s">
        <v>3530</v>
      </c>
      <c r="K220" s="595">
        <v>800000.0</v>
      </c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280"/>
    </row>
    <row r="221">
      <c r="A221" s="606">
        <v>45822.0</v>
      </c>
      <c r="B221" s="163">
        <v>1146400.0</v>
      </c>
      <c r="C221" s="163">
        <f>113500+1700000+520000</f>
        <v>2333500</v>
      </c>
      <c r="D221" s="589">
        <f t="shared" si="28"/>
        <v>1187100</v>
      </c>
      <c r="E221" s="163">
        <v>270000.0</v>
      </c>
      <c r="F221" s="163">
        <v>427000.0</v>
      </c>
      <c r="G221" s="589">
        <f t="shared" si="29"/>
        <v>1884100</v>
      </c>
      <c r="H221" s="589"/>
      <c r="I221" s="589">
        <f>500000+20000</f>
        <v>520000</v>
      </c>
      <c r="J221" s="312" t="s">
        <v>3626</v>
      </c>
      <c r="K221" s="595">
        <v>1700000.0</v>
      </c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80"/>
    </row>
    <row r="222">
      <c r="A222" s="606">
        <v>45824.0</v>
      </c>
      <c r="B222" s="163">
        <v>113500.0</v>
      </c>
      <c r="C222" s="163">
        <f>918000+35000+5000+2100000</f>
        <v>3058000</v>
      </c>
      <c r="D222" s="589">
        <f t="shared" si="28"/>
        <v>2944500</v>
      </c>
      <c r="E222" s="163">
        <v>3069000.0</v>
      </c>
      <c r="F222" s="163">
        <v>2536500.0</v>
      </c>
      <c r="G222" s="589">
        <f t="shared" si="29"/>
        <v>8550000</v>
      </c>
      <c r="H222" s="589"/>
      <c r="I222" s="589">
        <f>10000+25000+5000</f>
        <v>40000</v>
      </c>
      <c r="J222" s="591" t="s">
        <v>3627</v>
      </c>
      <c r="K222" s="595">
        <v>2100000.0</v>
      </c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80"/>
    </row>
    <row r="223">
      <c r="A223" s="606">
        <v>45825.0</v>
      </c>
      <c r="B223" s="589">
        <f>918000</f>
        <v>918000</v>
      </c>
      <c r="C223" s="163">
        <f>1870800+932100</f>
        <v>2802900</v>
      </c>
      <c r="D223" s="589">
        <f t="shared" si="28"/>
        <v>1884900</v>
      </c>
      <c r="E223" s="163">
        <v>553000.0</v>
      </c>
      <c r="F223" s="163">
        <v>1500200.0</v>
      </c>
      <c r="G223" s="589">
        <f t="shared" si="29"/>
        <v>3938100</v>
      </c>
      <c r="H223" s="589"/>
      <c r="I223" s="589">
        <f>22100+500000+50000+360000</f>
        <v>932100</v>
      </c>
      <c r="J223" s="591" t="s">
        <v>3628</v>
      </c>
      <c r="K223" s="595">
        <v>1600000.0</v>
      </c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  <c r="AA223" s="280"/>
    </row>
    <row r="224">
      <c r="A224" s="606">
        <v>45826.0</v>
      </c>
      <c r="B224" s="163">
        <v>370700.0</v>
      </c>
      <c r="C224" s="163">
        <f>495700+2950000+102600</f>
        <v>3548300</v>
      </c>
      <c r="D224" s="589">
        <f t="shared" si="28"/>
        <v>3177600</v>
      </c>
      <c r="E224" s="163">
        <v>0.0</v>
      </c>
      <c r="F224" s="163">
        <v>4308400.0</v>
      </c>
      <c r="G224" s="589">
        <f t="shared" si="29"/>
        <v>7486000</v>
      </c>
      <c r="H224" s="589"/>
      <c r="I224" s="589">
        <f>68600+4000+30000</f>
        <v>102600</v>
      </c>
      <c r="J224" s="591" t="s">
        <v>3629</v>
      </c>
      <c r="K224" s="595">
        <v>2950000.0</v>
      </c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  <c r="AA224" s="280"/>
    </row>
    <row r="225">
      <c r="A225" s="606">
        <v>45827.0</v>
      </c>
      <c r="B225" s="163">
        <v>495700.0</v>
      </c>
      <c r="C225" s="163">
        <f>3600000+151600+56600+5000</f>
        <v>3813200</v>
      </c>
      <c r="D225" s="589">
        <f t="shared" si="28"/>
        <v>3317500</v>
      </c>
      <c r="E225" s="163">
        <v>198000.0</v>
      </c>
      <c r="F225" s="163">
        <v>2669800.0</v>
      </c>
      <c r="G225" s="589">
        <f t="shared" si="29"/>
        <v>6185300</v>
      </c>
      <c r="H225" s="589"/>
      <c r="I225" s="163">
        <f>56600+5000</f>
        <v>61600</v>
      </c>
      <c r="J225" s="591" t="s">
        <v>3630</v>
      </c>
      <c r="K225" s="595">
        <v>200000.0</v>
      </c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  <c r="AA225" s="280"/>
    </row>
    <row r="226">
      <c r="A226" s="606">
        <v>45828.0</v>
      </c>
      <c r="B226" s="163">
        <v>151800.0</v>
      </c>
      <c r="C226" s="589">
        <f>1444500+I226</f>
        <v>2038950</v>
      </c>
      <c r="D226" s="589">
        <f t="shared" si="28"/>
        <v>1887150</v>
      </c>
      <c r="E226" s="163">
        <v>447000.0</v>
      </c>
      <c r="F226" s="163">
        <v>7563500.0</v>
      </c>
      <c r="G226" s="589">
        <f t="shared" si="29"/>
        <v>9897650</v>
      </c>
      <c r="H226" s="589"/>
      <c r="I226" s="589">
        <f>29000+10000+100000+150000+45000+260450</f>
        <v>594450</v>
      </c>
      <c r="J226" s="591" t="s">
        <v>3631</v>
      </c>
      <c r="K226" s="587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280"/>
    </row>
    <row r="227">
      <c r="A227" s="606">
        <v>45829.0</v>
      </c>
      <c r="B227" s="163">
        <v>1444500.0</v>
      </c>
      <c r="C227" s="589">
        <f>1100000+171300+549000</f>
        <v>1820300</v>
      </c>
      <c r="D227" s="589">
        <f t="shared" si="28"/>
        <v>375800</v>
      </c>
      <c r="E227" s="163">
        <v>61000.0</v>
      </c>
      <c r="F227" s="163">
        <v>927000.0</v>
      </c>
      <c r="G227" s="589">
        <f t="shared" si="29"/>
        <v>1363800</v>
      </c>
      <c r="H227" s="589"/>
      <c r="I227" s="589">
        <f>520000+23000+6000</f>
        <v>549000</v>
      </c>
      <c r="J227" s="591" t="s">
        <v>3632</v>
      </c>
      <c r="K227" s="595">
        <v>1100000.0</v>
      </c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80"/>
    </row>
    <row r="228">
      <c r="A228" s="606">
        <v>45832.0</v>
      </c>
      <c r="B228" s="163">
        <v>171300.0</v>
      </c>
      <c r="C228" s="589">
        <f>1088100+5000+43200+40300+142200</f>
        <v>1318800</v>
      </c>
      <c r="D228" s="589">
        <f t="shared" si="28"/>
        <v>1147500</v>
      </c>
      <c r="E228" s="163">
        <v>232000.0</v>
      </c>
      <c r="F228" s="163">
        <v>1998700.0</v>
      </c>
      <c r="G228" s="589">
        <f t="shared" si="29"/>
        <v>3378200</v>
      </c>
      <c r="H228" s="589"/>
      <c r="I228" s="589">
        <f>5000+43200+40300+142200</f>
        <v>230700</v>
      </c>
      <c r="J228" s="591" t="s">
        <v>3633</v>
      </c>
      <c r="K228" s="587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80"/>
    </row>
    <row r="229">
      <c r="A229" s="606">
        <v>45833.0</v>
      </c>
      <c r="B229" s="589">
        <f>214100+874000</f>
        <v>1088100</v>
      </c>
      <c r="C229" s="589">
        <f>509450+I229</f>
        <v>3058500</v>
      </c>
      <c r="D229" s="589">
        <f t="shared" si="28"/>
        <v>1970400</v>
      </c>
      <c r="E229" s="163">
        <v>1761600.0</v>
      </c>
      <c r="F229" s="163">
        <v>2201500.0</v>
      </c>
      <c r="G229" s="589">
        <f t="shared" si="29"/>
        <v>5933500</v>
      </c>
      <c r="H229" s="589"/>
      <c r="I229" s="589">
        <f>4000+28000+1200000+1000000+317050</f>
        <v>2549050</v>
      </c>
      <c r="J229" s="591" t="s">
        <v>3634</v>
      </c>
      <c r="K229" s="587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  <c r="AA229" s="280"/>
    </row>
    <row r="230">
      <c r="A230" s="606">
        <v>45834.0</v>
      </c>
      <c r="B230" s="589">
        <f>509450</f>
        <v>509450</v>
      </c>
      <c r="C230" s="589">
        <f>102750+500000+1800000+80000</f>
        <v>2482750</v>
      </c>
      <c r="D230" s="589">
        <f t="shared" si="28"/>
        <v>1973300</v>
      </c>
      <c r="E230" s="163">
        <v>599000.0</v>
      </c>
      <c r="F230" s="163">
        <v>8166050.0</v>
      </c>
      <c r="G230" s="589">
        <f t="shared" si="29"/>
        <v>10738350</v>
      </c>
      <c r="H230" s="589"/>
      <c r="I230" s="589">
        <f>30000+758381</f>
        <v>788381</v>
      </c>
      <c r="J230" s="591" t="s">
        <v>3635</v>
      </c>
      <c r="K230" s="595">
        <v>2200000.0</v>
      </c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  <c r="AA230" s="280"/>
    </row>
    <row r="231">
      <c r="A231" s="606">
        <v>45835.0</v>
      </c>
      <c r="B231" s="163">
        <v>282750.0</v>
      </c>
      <c r="C231" s="163">
        <f>738050+I231</f>
        <v>1305050</v>
      </c>
      <c r="D231" s="589">
        <f t="shared" si="28"/>
        <v>1022300</v>
      </c>
      <c r="E231" s="163">
        <v>290000.0</v>
      </c>
      <c r="F231" s="163">
        <v>4131400.0</v>
      </c>
      <c r="G231" s="589">
        <f t="shared" ref="G231:G232" si="30">D231+E231+F232</f>
        <v>3618300</v>
      </c>
      <c r="H231" s="589"/>
      <c r="I231" s="589">
        <f>62000+5000+500000</f>
        <v>567000</v>
      </c>
      <c r="J231" s="591" t="s">
        <v>3636</v>
      </c>
      <c r="K231" s="587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  <c r="Z231" s="280"/>
      <c r="AA231" s="280"/>
    </row>
    <row r="232">
      <c r="A232" s="606">
        <v>45836.0</v>
      </c>
      <c r="B232" s="163">
        <v>738050.0</v>
      </c>
      <c r="C232" s="589">
        <f>5250000+258750+40000</f>
        <v>5548750</v>
      </c>
      <c r="D232" s="589">
        <f t="shared" si="28"/>
        <v>4810700</v>
      </c>
      <c r="E232" s="163">
        <v>299000.0</v>
      </c>
      <c r="F232" s="163">
        <v>2306000.0</v>
      </c>
      <c r="G232" s="589">
        <f t="shared" si="30"/>
        <v>5109700</v>
      </c>
      <c r="H232" s="589"/>
      <c r="I232" s="163">
        <v>40000.0</v>
      </c>
      <c r="J232" s="591" t="s">
        <v>3619</v>
      </c>
      <c r="K232" s="595">
        <v>5250000.0</v>
      </c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  <c r="AA232" s="280"/>
    </row>
    <row r="233">
      <c r="A233" s="606">
        <v>45837.0</v>
      </c>
      <c r="B233" s="163">
        <v>258750.0</v>
      </c>
      <c r="C233" s="589"/>
      <c r="D233" s="589">
        <f t="shared" si="28"/>
        <v>-258750</v>
      </c>
      <c r="E233" s="589"/>
      <c r="F233" s="589"/>
      <c r="G233" s="589">
        <f t="shared" ref="G233:G237" si="31">D233+E233+F233</f>
        <v>-258750</v>
      </c>
      <c r="H233" s="589"/>
      <c r="I233" s="163"/>
      <c r="J233" s="594"/>
      <c r="K233" s="587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80"/>
    </row>
    <row r="234">
      <c r="A234" s="606">
        <v>45838.0</v>
      </c>
      <c r="B234" s="589"/>
      <c r="C234" s="589"/>
      <c r="D234" s="589">
        <f t="shared" si="28"/>
        <v>0</v>
      </c>
      <c r="E234" s="589"/>
      <c r="F234" s="589"/>
      <c r="G234" s="589">
        <f t="shared" si="31"/>
        <v>0</v>
      </c>
      <c r="H234" s="589"/>
      <c r="I234" s="589"/>
      <c r="J234" s="594"/>
      <c r="K234" s="587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80"/>
    </row>
    <row r="235">
      <c r="A235" s="606">
        <v>45839.0</v>
      </c>
      <c r="B235" s="589"/>
      <c r="C235" s="589"/>
      <c r="D235" s="589">
        <f t="shared" si="28"/>
        <v>0</v>
      </c>
      <c r="E235" s="589"/>
      <c r="F235" s="589"/>
      <c r="G235" s="589">
        <f t="shared" si="31"/>
        <v>0</v>
      </c>
      <c r="H235" s="589"/>
      <c r="I235" s="589"/>
      <c r="J235" s="594"/>
      <c r="K235" s="587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  <c r="AA235" s="280"/>
    </row>
    <row r="236">
      <c r="A236" s="606">
        <v>45840.0</v>
      </c>
      <c r="B236" s="589"/>
      <c r="C236" s="589"/>
      <c r="D236" s="589">
        <f t="shared" si="28"/>
        <v>0</v>
      </c>
      <c r="E236" s="589"/>
      <c r="F236" s="589"/>
      <c r="G236" s="589">
        <f t="shared" si="31"/>
        <v>0</v>
      </c>
      <c r="H236" s="589"/>
      <c r="I236" s="589"/>
      <c r="J236" s="594"/>
      <c r="K236" s="587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280"/>
    </row>
    <row r="237">
      <c r="A237" s="606">
        <v>45841.0</v>
      </c>
      <c r="B237" s="589"/>
      <c r="C237" s="589"/>
      <c r="D237" s="589">
        <f t="shared" si="28"/>
        <v>0</v>
      </c>
      <c r="E237" s="589"/>
      <c r="F237" s="589"/>
      <c r="G237" s="589">
        <f t="shared" si="31"/>
        <v>0</v>
      </c>
      <c r="H237" s="589"/>
      <c r="I237" s="589"/>
      <c r="J237" s="594"/>
      <c r="K237" s="587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  <c r="AA237" s="280"/>
    </row>
    <row r="238">
      <c r="A238" s="598"/>
      <c r="B238" s="587"/>
      <c r="C238" s="587"/>
      <c r="D238" s="587"/>
      <c r="E238" s="587"/>
      <c r="F238" s="587"/>
      <c r="G238" s="587"/>
      <c r="H238" s="587"/>
      <c r="I238" s="587"/>
      <c r="J238" s="599"/>
      <c r="K238" s="587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80"/>
    </row>
    <row r="239">
      <c r="A239" s="598"/>
      <c r="B239" s="587"/>
      <c r="C239" s="587"/>
      <c r="D239" s="587"/>
      <c r="E239" s="587"/>
      <c r="F239" s="587"/>
      <c r="G239" s="587"/>
      <c r="H239" s="587"/>
      <c r="I239" s="587"/>
      <c r="J239" s="599"/>
      <c r="K239" s="587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  <c r="AA239" s="280"/>
    </row>
    <row r="240">
      <c r="A240" s="598"/>
      <c r="B240" s="587"/>
      <c r="C240" s="587"/>
      <c r="D240" s="587"/>
      <c r="E240" s="587"/>
      <c r="F240" s="587"/>
      <c r="G240" s="587"/>
      <c r="H240" s="587"/>
      <c r="I240" s="587"/>
      <c r="J240" s="599"/>
      <c r="K240" s="587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  <c r="AA240" s="280"/>
    </row>
    <row r="241">
      <c r="A241" s="598"/>
      <c r="B241" s="587"/>
      <c r="C241" s="587"/>
      <c r="D241" s="587"/>
      <c r="E241" s="587"/>
      <c r="F241" s="587"/>
      <c r="G241" s="587"/>
      <c r="H241" s="587"/>
      <c r="I241" s="587"/>
      <c r="J241" s="599"/>
      <c r="K241" s="587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  <c r="Z241" s="280"/>
      <c r="AA241" s="280"/>
    </row>
    <row r="242">
      <c r="A242" s="598"/>
      <c r="B242" s="587"/>
      <c r="C242" s="587"/>
      <c r="D242" s="587"/>
      <c r="E242" s="587"/>
      <c r="F242" s="587"/>
      <c r="G242" s="587"/>
      <c r="H242" s="587"/>
      <c r="I242" s="587"/>
      <c r="J242" s="599"/>
      <c r="K242" s="587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  <c r="AA242" s="280"/>
    </row>
    <row r="243">
      <c r="A243" s="598"/>
      <c r="B243" s="587"/>
      <c r="C243" s="587"/>
      <c r="D243" s="587"/>
      <c r="E243" s="587"/>
      <c r="F243" s="587"/>
      <c r="G243" s="587"/>
      <c r="H243" s="587"/>
      <c r="I243" s="587"/>
      <c r="J243" s="599"/>
      <c r="K243" s="587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80"/>
    </row>
    <row r="244">
      <c r="A244" s="598"/>
      <c r="B244" s="587"/>
      <c r="C244" s="587"/>
      <c r="D244" s="587"/>
      <c r="E244" s="587"/>
      <c r="F244" s="587"/>
      <c r="G244" s="587"/>
      <c r="H244" s="587"/>
      <c r="I244" s="587"/>
      <c r="J244" s="599"/>
      <c r="K244" s="587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80"/>
    </row>
    <row r="245">
      <c r="A245" s="598"/>
      <c r="B245" s="587"/>
      <c r="C245" s="587"/>
      <c r="D245" s="587"/>
      <c r="E245" s="587"/>
      <c r="F245" s="587"/>
      <c r="G245" s="587"/>
      <c r="H245" s="587"/>
      <c r="I245" s="587"/>
      <c r="J245" s="599"/>
      <c r="K245" s="587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  <c r="AA245" s="280"/>
    </row>
    <row r="246">
      <c r="A246" s="598"/>
      <c r="B246" s="587"/>
      <c r="C246" s="587"/>
      <c r="D246" s="587"/>
      <c r="E246" s="587"/>
      <c r="F246" s="587"/>
      <c r="G246" s="587"/>
      <c r="H246" s="587"/>
      <c r="I246" s="587"/>
      <c r="J246" s="599"/>
      <c r="K246" s="587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  <c r="AA246" s="280"/>
    </row>
    <row r="247">
      <c r="A247" s="598"/>
      <c r="B247" s="587"/>
      <c r="C247" s="587"/>
      <c r="D247" s="587"/>
      <c r="E247" s="587"/>
      <c r="F247" s="587"/>
      <c r="G247" s="587"/>
      <c r="H247" s="587"/>
      <c r="I247" s="587"/>
      <c r="J247" s="599"/>
      <c r="K247" s="587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  <c r="AA247" s="280"/>
    </row>
    <row r="248">
      <c r="A248" s="598"/>
      <c r="B248" s="587"/>
      <c r="C248" s="587"/>
      <c r="D248" s="587"/>
      <c r="E248" s="587"/>
      <c r="F248" s="587"/>
      <c r="G248" s="587"/>
      <c r="H248" s="587"/>
      <c r="I248" s="587"/>
      <c r="J248" s="599"/>
      <c r="K248" s="587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  <c r="AA248" s="280"/>
    </row>
    <row r="249">
      <c r="A249" s="598"/>
      <c r="B249" s="587"/>
      <c r="C249" s="587"/>
      <c r="D249" s="587"/>
      <c r="E249" s="587"/>
      <c r="F249" s="587"/>
      <c r="G249" s="587"/>
      <c r="H249" s="587"/>
      <c r="I249" s="587"/>
      <c r="J249" s="599"/>
      <c r="K249" s="587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  <c r="AA249" s="280"/>
    </row>
    <row r="250">
      <c r="A250" s="598"/>
      <c r="B250" s="587"/>
      <c r="C250" s="587"/>
      <c r="D250" s="587"/>
      <c r="E250" s="587"/>
      <c r="F250" s="587"/>
      <c r="G250" s="587"/>
      <c r="H250" s="587"/>
      <c r="I250" s="587"/>
      <c r="J250" s="599"/>
      <c r="K250" s="587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80"/>
    </row>
    <row r="251">
      <c r="A251" s="598"/>
      <c r="B251" s="587"/>
      <c r="C251" s="587"/>
      <c r="D251" s="587"/>
      <c r="E251" s="587"/>
      <c r="F251" s="587"/>
      <c r="G251" s="587"/>
      <c r="H251" s="587"/>
      <c r="I251" s="587"/>
      <c r="J251" s="599"/>
      <c r="K251" s="587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  <c r="AA251" s="280"/>
    </row>
    <row r="252">
      <c r="A252" s="598"/>
      <c r="B252" s="587"/>
      <c r="C252" s="587"/>
      <c r="D252" s="587"/>
      <c r="E252" s="587"/>
      <c r="F252" s="587"/>
      <c r="G252" s="587"/>
      <c r="H252" s="587"/>
      <c r="I252" s="587"/>
      <c r="J252" s="599"/>
      <c r="K252" s="587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  <c r="AA252" s="280"/>
    </row>
    <row r="253">
      <c r="A253" s="598"/>
      <c r="B253" s="587"/>
      <c r="C253" s="587"/>
      <c r="D253" s="587"/>
      <c r="E253" s="587"/>
      <c r="F253" s="587"/>
      <c r="G253" s="587"/>
      <c r="H253" s="587"/>
      <c r="I253" s="587"/>
      <c r="J253" s="599"/>
      <c r="K253" s="587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  <c r="AA253" s="280"/>
    </row>
    <row r="254">
      <c r="A254" s="598"/>
      <c r="B254" s="587"/>
      <c r="C254" s="587"/>
      <c r="D254" s="587"/>
      <c r="E254" s="587"/>
      <c r="F254" s="587"/>
      <c r="G254" s="587"/>
      <c r="H254" s="587"/>
      <c r="I254" s="587"/>
      <c r="J254" s="599"/>
      <c r="K254" s="587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  <c r="AA254" s="280"/>
    </row>
    <row r="255">
      <c r="A255" s="598"/>
      <c r="B255" s="587"/>
      <c r="C255" s="587"/>
      <c r="D255" s="587"/>
      <c r="E255" s="587"/>
      <c r="F255" s="587"/>
      <c r="G255" s="587"/>
      <c r="H255" s="587"/>
      <c r="I255" s="587"/>
      <c r="J255" s="599"/>
      <c r="K255" s="587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80"/>
    </row>
    <row r="256">
      <c r="A256" s="598"/>
      <c r="B256" s="587"/>
      <c r="C256" s="587"/>
      <c r="D256" s="587"/>
      <c r="E256" s="587"/>
      <c r="F256" s="587"/>
      <c r="G256" s="587"/>
      <c r="H256" s="587"/>
      <c r="I256" s="587"/>
      <c r="J256" s="599"/>
      <c r="K256" s="587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  <c r="AA256" s="280"/>
    </row>
    <row r="257">
      <c r="A257" s="598"/>
      <c r="B257" s="587"/>
      <c r="C257" s="587"/>
      <c r="D257" s="587"/>
      <c r="E257" s="587"/>
      <c r="F257" s="587"/>
      <c r="G257" s="587"/>
      <c r="H257" s="587"/>
      <c r="I257" s="587"/>
      <c r="J257" s="599"/>
      <c r="K257" s="587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  <c r="Z257" s="280"/>
      <c r="AA257" s="280"/>
    </row>
    <row r="258">
      <c r="A258" s="598"/>
      <c r="B258" s="587"/>
      <c r="C258" s="587"/>
      <c r="D258" s="587"/>
      <c r="E258" s="587"/>
      <c r="F258" s="587"/>
      <c r="G258" s="587"/>
      <c r="H258" s="587"/>
      <c r="I258" s="587"/>
      <c r="J258" s="599"/>
      <c r="K258" s="587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  <c r="Z258" s="280"/>
      <c r="AA258" s="280"/>
    </row>
    <row r="259">
      <c r="A259" s="598"/>
      <c r="B259" s="587"/>
      <c r="C259" s="587"/>
      <c r="D259" s="587"/>
      <c r="E259" s="587"/>
      <c r="F259" s="587"/>
      <c r="G259" s="587"/>
      <c r="H259" s="587"/>
      <c r="I259" s="587"/>
      <c r="J259" s="599"/>
      <c r="K259" s="587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  <c r="Z259" s="280"/>
      <c r="AA259" s="280"/>
    </row>
    <row r="260">
      <c r="A260" s="598"/>
      <c r="B260" s="587"/>
      <c r="C260" s="587"/>
      <c r="D260" s="587"/>
      <c r="E260" s="587"/>
      <c r="F260" s="587"/>
      <c r="G260" s="587"/>
      <c r="H260" s="587"/>
      <c r="I260" s="587"/>
      <c r="J260" s="599"/>
      <c r="K260" s="587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  <c r="AA260" s="280"/>
    </row>
    <row r="261">
      <c r="A261" s="598"/>
      <c r="B261" s="587"/>
      <c r="C261" s="587"/>
      <c r="D261" s="587"/>
      <c r="E261" s="587"/>
      <c r="F261" s="587"/>
      <c r="G261" s="587"/>
      <c r="H261" s="587"/>
      <c r="I261" s="587"/>
      <c r="J261" s="599"/>
      <c r="K261" s="587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80"/>
    </row>
    <row r="262">
      <c r="A262" s="598"/>
      <c r="B262" s="587"/>
      <c r="C262" s="587"/>
      <c r="D262" s="587"/>
      <c r="E262" s="587"/>
      <c r="F262" s="587"/>
      <c r="G262" s="587"/>
      <c r="H262" s="587"/>
      <c r="I262" s="587"/>
      <c r="J262" s="599"/>
      <c r="K262" s="587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  <c r="AA262" s="280"/>
    </row>
    <row r="263">
      <c r="A263" s="598"/>
      <c r="B263" s="587"/>
      <c r="C263" s="587"/>
      <c r="D263" s="587"/>
      <c r="E263" s="587"/>
      <c r="F263" s="587"/>
      <c r="G263" s="587"/>
      <c r="H263" s="587"/>
      <c r="I263" s="587"/>
      <c r="J263" s="599"/>
      <c r="K263" s="587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  <c r="Z263" s="280"/>
      <c r="AA263" s="280"/>
    </row>
    <row r="264">
      <c r="A264" s="598"/>
      <c r="B264" s="587"/>
      <c r="C264" s="587"/>
      <c r="D264" s="587"/>
      <c r="E264" s="587"/>
      <c r="F264" s="587"/>
      <c r="G264" s="587"/>
      <c r="H264" s="587"/>
      <c r="I264" s="587"/>
      <c r="J264" s="599"/>
      <c r="K264" s="587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  <c r="Z264" s="280"/>
      <c r="AA264" s="280"/>
    </row>
    <row r="265">
      <c r="A265" s="598"/>
      <c r="B265" s="587"/>
      <c r="C265" s="587"/>
      <c r="D265" s="587"/>
      <c r="E265" s="587"/>
      <c r="F265" s="587"/>
      <c r="G265" s="587"/>
      <c r="H265" s="587"/>
      <c r="I265" s="587"/>
      <c r="J265" s="599"/>
      <c r="K265" s="587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  <c r="AA265" s="280"/>
    </row>
    <row r="266">
      <c r="A266" s="598"/>
      <c r="B266" s="587"/>
      <c r="C266" s="587"/>
      <c r="D266" s="587"/>
      <c r="E266" s="587"/>
      <c r="F266" s="587"/>
      <c r="G266" s="587"/>
      <c r="H266" s="587"/>
      <c r="I266" s="587"/>
      <c r="J266" s="599"/>
      <c r="K266" s="587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  <c r="Z266" s="280"/>
      <c r="AA266" s="280"/>
    </row>
    <row r="267">
      <c r="A267" s="598"/>
      <c r="B267" s="587"/>
      <c r="C267" s="587"/>
      <c r="D267" s="587"/>
      <c r="E267" s="587"/>
      <c r="F267" s="587"/>
      <c r="G267" s="587"/>
      <c r="H267" s="587"/>
      <c r="I267" s="587"/>
      <c r="J267" s="599"/>
      <c r="K267" s="587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  <c r="Z267" s="280"/>
      <c r="AA267" s="280"/>
    </row>
    <row r="268">
      <c r="A268" s="598"/>
      <c r="B268" s="587"/>
      <c r="C268" s="587"/>
      <c r="D268" s="587"/>
      <c r="E268" s="587"/>
      <c r="F268" s="587"/>
      <c r="G268" s="587"/>
      <c r="H268" s="587"/>
      <c r="I268" s="587"/>
      <c r="J268" s="599"/>
      <c r="K268" s="587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  <c r="Z268" s="280"/>
      <c r="AA268" s="280"/>
    </row>
    <row r="269">
      <c r="A269" s="598"/>
      <c r="B269" s="587"/>
      <c r="C269" s="587"/>
      <c r="D269" s="587"/>
      <c r="E269" s="587"/>
      <c r="F269" s="587"/>
      <c r="G269" s="587"/>
      <c r="H269" s="587"/>
      <c r="I269" s="587"/>
      <c r="J269" s="599"/>
      <c r="K269" s="587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  <c r="Z269" s="280"/>
      <c r="AA269" s="280"/>
    </row>
    <row r="270">
      <c r="A270" s="598"/>
      <c r="B270" s="587"/>
      <c r="C270" s="587"/>
      <c r="D270" s="587"/>
      <c r="E270" s="587"/>
      <c r="F270" s="587"/>
      <c r="G270" s="587"/>
      <c r="H270" s="587"/>
      <c r="I270" s="587"/>
      <c r="J270" s="599"/>
      <c r="K270" s="587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  <c r="Z270" s="280"/>
      <c r="AA270" s="280"/>
    </row>
    <row r="271">
      <c r="A271" s="598"/>
      <c r="B271" s="587"/>
      <c r="C271" s="587"/>
      <c r="D271" s="587"/>
      <c r="E271" s="587"/>
      <c r="F271" s="587"/>
      <c r="G271" s="587"/>
      <c r="H271" s="587"/>
      <c r="I271" s="587"/>
      <c r="J271" s="599"/>
      <c r="K271" s="587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  <c r="Z271" s="280"/>
      <c r="AA271" s="280"/>
    </row>
    <row r="272">
      <c r="A272" s="598"/>
      <c r="B272" s="587"/>
      <c r="C272" s="587"/>
      <c r="D272" s="587"/>
      <c r="E272" s="587"/>
      <c r="F272" s="587"/>
      <c r="G272" s="587"/>
      <c r="H272" s="587"/>
      <c r="I272" s="587"/>
      <c r="J272" s="599"/>
      <c r="K272" s="587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  <c r="Z272" s="280"/>
      <c r="AA272" s="280"/>
    </row>
    <row r="273">
      <c r="A273" s="598"/>
      <c r="B273" s="587"/>
      <c r="C273" s="587"/>
      <c r="D273" s="587"/>
      <c r="E273" s="587"/>
      <c r="F273" s="587"/>
      <c r="G273" s="587"/>
      <c r="H273" s="587"/>
      <c r="I273" s="587"/>
      <c r="J273" s="599"/>
      <c r="K273" s="587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  <c r="Z273" s="280"/>
      <c r="AA273" s="280"/>
    </row>
    <row r="274">
      <c r="A274" s="598"/>
      <c r="B274" s="587"/>
      <c r="C274" s="587"/>
      <c r="D274" s="587"/>
      <c r="E274" s="587"/>
      <c r="F274" s="587"/>
      <c r="G274" s="587"/>
      <c r="H274" s="587"/>
      <c r="I274" s="587"/>
      <c r="J274" s="599"/>
      <c r="K274" s="587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  <c r="AA274" s="280"/>
    </row>
    <row r="275">
      <c r="A275" s="598"/>
      <c r="B275" s="587"/>
      <c r="C275" s="587"/>
      <c r="D275" s="587"/>
      <c r="E275" s="587"/>
      <c r="F275" s="587"/>
      <c r="G275" s="587"/>
      <c r="H275" s="587"/>
      <c r="I275" s="587"/>
      <c r="J275" s="599"/>
      <c r="K275" s="587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</row>
    <row r="276">
      <c r="A276" s="598"/>
      <c r="B276" s="587"/>
      <c r="C276" s="587"/>
      <c r="D276" s="587"/>
      <c r="E276" s="587"/>
      <c r="F276" s="587"/>
      <c r="G276" s="587"/>
      <c r="H276" s="587"/>
      <c r="I276" s="587"/>
      <c r="J276" s="599"/>
      <c r="K276" s="587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  <c r="Z276" s="280"/>
      <c r="AA276" s="280"/>
    </row>
    <row r="277">
      <c r="A277" s="598"/>
      <c r="B277" s="587"/>
      <c r="C277" s="587"/>
      <c r="D277" s="587"/>
      <c r="E277" s="587"/>
      <c r="F277" s="587"/>
      <c r="G277" s="587"/>
      <c r="H277" s="587"/>
      <c r="I277" s="587"/>
      <c r="J277" s="599"/>
      <c r="K277" s="587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  <c r="AA277" s="280"/>
    </row>
    <row r="278">
      <c r="A278" s="598"/>
      <c r="B278" s="587"/>
      <c r="C278" s="587"/>
      <c r="D278" s="587"/>
      <c r="E278" s="587"/>
      <c r="F278" s="587"/>
      <c r="G278" s="587"/>
      <c r="H278" s="587"/>
      <c r="I278" s="587"/>
      <c r="J278" s="599"/>
      <c r="K278" s="587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  <c r="Z278" s="280"/>
      <c r="AA278" s="280"/>
    </row>
    <row r="279">
      <c r="A279" s="598"/>
      <c r="B279" s="587"/>
      <c r="C279" s="587"/>
      <c r="D279" s="587"/>
      <c r="E279" s="587"/>
      <c r="F279" s="587"/>
      <c r="G279" s="587"/>
      <c r="H279" s="587"/>
      <c r="I279" s="587"/>
      <c r="J279" s="599"/>
      <c r="K279" s="587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  <c r="Z279" s="280"/>
      <c r="AA279" s="280"/>
    </row>
    <row r="280">
      <c r="A280" s="598"/>
      <c r="B280" s="587"/>
      <c r="C280" s="587"/>
      <c r="D280" s="587"/>
      <c r="E280" s="587"/>
      <c r="F280" s="587"/>
      <c r="G280" s="587"/>
      <c r="H280" s="587"/>
      <c r="I280" s="587"/>
      <c r="J280" s="599"/>
      <c r="K280" s="587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  <c r="AA280" s="280"/>
    </row>
    <row r="281">
      <c r="A281" s="598"/>
      <c r="B281" s="587"/>
      <c r="C281" s="587"/>
      <c r="D281" s="587"/>
      <c r="E281" s="587"/>
      <c r="F281" s="587"/>
      <c r="G281" s="587"/>
      <c r="H281" s="587"/>
      <c r="I281" s="587"/>
      <c r="J281" s="599"/>
      <c r="K281" s="587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  <c r="Z281" s="280"/>
      <c r="AA281" s="280"/>
    </row>
    <row r="282">
      <c r="A282" s="598"/>
      <c r="B282" s="587"/>
      <c r="C282" s="587"/>
      <c r="D282" s="587"/>
      <c r="E282" s="587"/>
      <c r="F282" s="587"/>
      <c r="G282" s="587"/>
      <c r="H282" s="587"/>
      <c r="I282" s="587"/>
      <c r="J282" s="599"/>
      <c r="K282" s="587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  <c r="AA282" s="280"/>
    </row>
    <row r="283">
      <c r="A283" s="598"/>
      <c r="B283" s="587"/>
      <c r="C283" s="587"/>
      <c r="D283" s="587"/>
      <c r="E283" s="587"/>
      <c r="F283" s="587"/>
      <c r="G283" s="587"/>
      <c r="H283" s="587"/>
      <c r="I283" s="587"/>
      <c r="J283" s="599"/>
      <c r="K283" s="587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  <c r="Z283" s="280"/>
      <c r="AA283" s="280"/>
    </row>
    <row r="284">
      <c r="A284" s="598"/>
      <c r="B284" s="587"/>
      <c r="C284" s="587"/>
      <c r="D284" s="587"/>
      <c r="E284" s="587"/>
      <c r="F284" s="587"/>
      <c r="G284" s="587"/>
      <c r="H284" s="587"/>
      <c r="I284" s="587"/>
      <c r="J284" s="599"/>
      <c r="K284" s="587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  <c r="Z284" s="280"/>
      <c r="AA284" s="280"/>
    </row>
    <row r="285">
      <c r="A285" s="598"/>
      <c r="B285" s="587"/>
      <c r="C285" s="587"/>
      <c r="D285" s="587"/>
      <c r="E285" s="587"/>
      <c r="F285" s="587"/>
      <c r="G285" s="587"/>
      <c r="H285" s="587"/>
      <c r="I285" s="587"/>
      <c r="J285" s="599"/>
      <c r="K285" s="587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  <c r="AA285" s="280"/>
    </row>
    <row r="286">
      <c r="A286" s="598"/>
      <c r="B286" s="587"/>
      <c r="C286" s="587"/>
      <c r="D286" s="587"/>
      <c r="E286" s="587"/>
      <c r="F286" s="587"/>
      <c r="G286" s="587"/>
      <c r="H286" s="587"/>
      <c r="I286" s="587"/>
      <c r="J286" s="599"/>
      <c r="K286" s="587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  <c r="Z286" s="280"/>
      <c r="AA286" s="280"/>
    </row>
    <row r="287">
      <c r="A287" s="598"/>
      <c r="B287" s="587"/>
      <c r="C287" s="587"/>
      <c r="D287" s="587"/>
      <c r="E287" s="587"/>
      <c r="F287" s="587"/>
      <c r="G287" s="587"/>
      <c r="H287" s="587"/>
      <c r="I287" s="587"/>
      <c r="J287" s="599"/>
      <c r="K287" s="587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  <c r="Z287" s="280"/>
      <c r="AA287" s="280"/>
    </row>
    <row r="288">
      <c r="A288" s="598"/>
      <c r="B288" s="587"/>
      <c r="C288" s="587"/>
      <c r="D288" s="587"/>
      <c r="E288" s="587"/>
      <c r="F288" s="587"/>
      <c r="G288" s="587"/>
      <c r="H288" s="587"/>
      <c r="I288" s="587"/>
      <c r="J288" s="599"/>
      <c r="K288" s="587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  <c r="AA288" s="280"/>
    </row>
    <row r="289">
      <c r="A289" s="598"/>
      <c r="B289" s="587"/>
      <c r="C289" s="587"/>
      <c r="D289" s="587"/>
      <c r="E289" s="587"/>
      <c r="F289" s="587"/>
      <c r="G289" s="587"/>
      <c r="H289" s="587"/>
      <c r="I289" s="587"/>
      <c r="J289" s="599"/>
      <c r="K289" s="587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  <c r="Z289" s="280"/>
      <c r="AA289" s="280"/>
    </row>
    <row r="290">
      <c r="A290" s="598"/>
      <c r="B290" s="587"/>
      <c r="C290" s="587"/>
      <c r="D290" s="587"/>
      <c r="E290" s="587"/>
      <c r="F290" s="587"/>
      <c r="G290" s="587"/>
      <c r="H290" s="587"/>
      <c r="I290" s="587"/>
      <c r="J290" s="599"/>
      <c r="K290" s="587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  <c r="Z290" s="280"/>
      <c r="AA290" s="280"/>
    </row>
    <row r="291">
      <c r="A291" s="598"/>
      <c r="B291" s="587"/>
      <c r="C291" s="587"/>
      <c r="D291" s="587"/>
      <c r="E291" s="587"/>
      <c r="F291" s="587"/>
      <c r="G291" s="587"/>
      <c r="H291" s="587"/>
      <c r="I291" s="587"/>
      <c r="J291" s="599"/>
      <c r="K291" s="587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  <c r="Z291" s="280"/>
      <c r="AA291" s="280"/>
    </row>
    <row r="292">
      <c r="A292" s="598"/>
      <c r="B292" s="587"/>
      <c r="C292" s="587"/>
      <c r="D292" s="587"/>
      <c r="E292" s="587"/>
      <c r="F292" s="587"/>
      <c r="G292" s="587"/>
      <c r="H292" s="587"/>
      <c r="I292" s="587"/>
      <c r="J292" s="599"/>
      <c r="K292" s="587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  <c r="Z292" s="280"/>
      <c r="AA292" s="280"/>
    </row>
    <row r="293">
      <c r="A293" s="598"/>
      <c r="B293" s="587"/>
      <c r="C293" s="587"/>
      <c r="D293" s="587"/>
      <c r="E293" s="587"/>
      <c r="F293" s="587"/>
      <c r="G293" s="587"/>
      <c r="H293" s="587"/>
      <c r="I293" s="587"/>
      <c r="J293" s="599"/>
      <c r="K293" s="587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  <c r="Z293" s="280"/>
      <c r="AA293" s="280"/>
    </row>
    <row r="294">
      <c r="A294" s="598"/>
      <c r="B294" s="587"/>
      <c r="C294" s="587"/>
      <c r="D294" s="587"/>
      <c r="E294" s="587"/>
      <c r="F294" s="587"/>
      <c r="G294" s="587"/>
      <c r="H294" s="587"/>
      <c r="I294" s="587"/>
      <c r="J294" s="599"/>
      <c r="K294" s="587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  <c r="Z294" s="280"/>
      <c r="AA294" s="280"/>
    </row>
    <row r="295">
      <c r="A295" s="598"/>
      <c r="B295" s="587"/>
      <c r="C295" s="587"/>
      <c r="D295" s="587"/>
      <c r="E295" s="587"/>
      <c r="F295" s="587"/>
      <c r="G295" s="587"/>
      <c r="H295" s="587"/>
      <c r="I295" s="587"/>
      <c r="J295" s="599"/>
      <c r="K295" s="587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  <c r="Z295" s="280"/>
      <c r="AA295" s="280"/>
    </row>
    <row r="296">
      <c r="A296" s="598"/>
      <c r="B296" s="587"/>
      <c r="C296" s="587"/>
      <c r="D296" s="587"/>
      <c r="E296" s="587"/>
      <c r="F296" s="587"/>
      <c r="G296" s="587"/>
      <c r="H296" s="587"/>
      <c r="I296" s="587"/>
      <c r="J296" s="599"/>
      <c r="K296" s="587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  <c r="AA296" s="280"/>
    </row>
    <row r="297">
      <c r="A297" s="598"/>
      <c r="B297" s="587"/>
      <c r="C297" s="587"/>
      <c r="D297" s="587"/>
      <c r="E297" s="587"/>
      <c r="F297" s="587"/>
      <c r="G297" s="587"/>
      <c r="H297" s="587"/>
      <c r="I297" s="587"/>
      <c r="J297" s="599"/>
      <c r="K297" s="587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  <c r="AA297" s="280"/>
    </row>
    <row r="298">
      <c r="A298" s="598"/>
      <c r="B298" s="587"/>
      <c r="C298" s="587"/>
      <c r="D298" s="587"/>
      <c r="E298" s="587"/>
      <c r="F298" s="587"/>
      <c r="G298" s="587"/>
      <c r="H298" s="587"/>
      <c r="I298" s="587"/>
      <c r="J298" s="599"/>
      <c r="K298" s="587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  <c r="Z298" s="280"/>
      <c r="AA298" s="280"/>
    </row>
    <row r="299">
      <c r="A299" s="598"/>
      <c r="B299" s="587"/>
      <c r="C299" s="587"/>
      <c r="D299" s="587"/>
      <c r="E299" s="587"/>
      <c r="F299" s="587"/>
      <c r="G299" s="587"/>
      <c r="H299" s="587"/>
      <c r="I299" s="587"/>
      <c r="J299" s="599"/>
      <c r="K299" s="587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  <c r="Z299" s="280"/>
      <c r="AA299" s="280"/>
    </row>
    <row r="300">
      <c r="A300" s="598"/>
      <c r="B300" s="587"/>
      <c r="C300" s="587"/>
      <c r="D300" s="587"/>
      <c r="E300" s="587"/>
      <c r="F300" s="587"/>
      <c r="G300" s="587"/>
      <c r="H300" s="587"/>
      <c r="I300" s="587"/>
      <c r="J300" s="599"/>
      <c r="K300" s="587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  <c r="Z300" s="280"/>
      <c r="AA300" s="280"/>
    </row>
    <row r="301">
      <c r="A301" s="598"/>
      <c r="B301" s="587"/>
      <c r="C301" s="587"/>
      <c r="D301" s="587"/>
      <c r="E301" s="587"/>
      <c r="F301" s="587"/>
      <c r="G301" s="587"/>
      <c r="H301" s="587"/>
      <c r="I301" s="587"/>
      <c r="J301" s="599"/>
      <c r="K301" s="587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  <c r="Z301" s="280"/>
      <c r="AA301" s="280"/>
    </row>
    <row r="302">
      <c r="A302" s="598"/>
      <c r="B302" s="587"/>
      <c r="C302" s="587"/>
      <c r="D302" s="587"/>
      <c r="E302" s="587"/>
      <c r="F302" s="587"/>
      <c r="G302" s="587"/>
      <c r="H302" s="587"/>
      <c r="I302" s="587"/>
      <c r="J302" s="599"/>
      <c r="K302" s="587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  <c r="Z302" s="280"/>
      <c r="AA302" s="280"/>
    </row>
    <row r="303">
      <c r="A303" s="598"/>
      <c r="B303" s="587"/>
      <c r="C303" s="587"/>
      <c r="D303" s="587"/>
      <c r="E303" s="587"/>
      <c r="F303" s="587"/>
      <c r="G303" s="587"/>
      <c r="H303" s="587"/>
      <c r="I303" s="587"/>
      <c r="J303" s="599"/>
      <c r="K303" s="587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  <c r="Z303" s="280"/>
      <c r="AA303" s="280"/>
    </row>
    <row r="304">
      <c r="A304" s="598"/>
      <c r="B304" s="587"/>
      <c r="C304" s="587"/>
      <c r="D304" s="587"/>
      <c r="E304" s="587"/>
      <c r="F304" s="587"/>
      <c r="G304" s="587"/>
      <c r="H304" s="587"/>
      <c r="I304" s="587"/>
      <c r="J304" s="599"/>
      <c r="K304" s="587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  <c r="Z304" s="280"/>
      <c r="AA304" s="280"/>
    </row>
    <row r="305">
      <c r="A305" s="598"/>
      <c r="B305" s="587"/>
      <c r="C305" s="587"/>
      <c r="D305" s="587"/>
      <c r="E305" s="587"/>
      <c r="F305" s="587"/>
      <c r="G305" s="587"/>
      <c r="H305" s="587"/>
      <c r="I305" s="587"/>
      <c r="J305" s="599"/>
      <c r="K305" s="587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  <c r="Z305" s="280"/>
      <c r="AA305" s="280"/>
    </row>
    <row r="306">
      <c r="A306" s="598"/>
      <c r="B306" s="587"/>
      <c r="C306" s="587"/>
      <c r="D306" s="587"/>
      <c r="E306" s="587"/>
      <c r="F306" s="587"/>
      <c r="G306" s="587"/>
      <c r="H306" s="587"/>
      <c r="I306" s="587"/>
      <c r="J306" s="599"/>
      <c r="K306" s="587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  <c r="Z306" s="280"/>
      <c r="AA306" s="280"/>
    </row>
    <row r="307">
      <c r="A307" s="598"/>
      <c r="B307" s="587"/>
      <c r="C307" s="587"/>
      <c r="D307" s="587"/>
      <c r="E307" s="587"/>
      <c r="F307" s="587"/>
      <c r="G307" s="587"/>
      <c r="H307" s="587"/>
      <c r="I307" s="587"/>
      <c r="J307" s="599"/>
      <c r="K307" s="587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  <c r="AA307" s="280"/>
    </row>
    <row r="308">
      <c r="A308" s="598"/>
      <c r="B308" s="587"/>
      <c r="C308" s="587"/>
      <c r="D308" s="587"/>
      <c r="E308" s="587"/>
      <c r="F308" s="587"/>
      <c r="G308" s="587"/>
      <c r="H308" s="587"/>
      <c r="I308" s="587"/>
      <c r="J308" s="599"/>
      <c r="K308" s="587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  <c r="AA308" s="280"/>
    </row>
    <row r="309">
      <c r="A309" s="598"/>
      <c r="B309" s="587"/>
      <c r="C309" s="587"/>
      <c r="D309" s="587"/>
      <c r="E309" s="587"/>
      <c r="F309" s="587"/>
      <c r="G309" s="587"/>
      <c r="H309" s="587"/>
      <c r="I309" s="587"/>
      <c r="J309" s="599"/>
      <c r="K309" s="587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  <c r="Z309" s="280"/>
      <c r="AA309" s="280"/>
    </row>
    <row r="310">
      <c r="A310" s="598"/>
      <c r="B310" s="587"/>
      <c r="C310" s="587"/>
      <c r="D310" s="587"/>
      <c r="E310" s="587"/>
      <c r="F310" s="587"/>
      <c r="G310" s="587"/>
      <c r="H310" s="587"/>
      <c r="I310" s="587"/>
      <c r="J310" s="599"/>
      <c r="K310" s="587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  <c r="AA310" s="280"/>
    </row>
    <row r="311">
      <c r="A311" s="598"/>
      <c r="B311" s="587"/>
      <c r="C311" s="587"/>
      <c r="D311" s="587"/>
      <c r="E311" s="587"/>
      <c r="F311" s="587"/>
      <c r="G311" s="587"/>
      <c r="H311" s="587"/>
      <c r="I311" s="587"/>
      <c r="J311" s="599"/>
      <c r="K311" s="587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  <c r="Z311" s="280"/>
      <c r="AA311" s="280"/>
    </row>
    <row r="312">
      <c r="A312" s="598"/>
      <c r="B312" s="587"/>
      <c r="C312" s="587"/>
      <c r="D312" s="587"/>
      <c r="E312" s="587"/>
      <c r="F312" s="587"/>
      <c r="G312" s="587"/>
      <c r="H312" s="587"/>
      <c r="I312" s="587"/>
      <c r="J312" s="599"/>
      <c r="K312" s="587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  <c r="Z312" s="280"/>
      <c r="AA312" s="280"/>
    </row>
    <row r="313">
      <c r="A313" s="598"/>
      <c r="B313" s="587"/>
      <c r="C313" s="587"/>
      <c r="D313" s="587"/>
      <c r="E313" s="587"/>
      <c r="F313" s="587"/>
      <c r="G313" s="587"/>
      <c r="H313" s="587"/>
      <c r="I313" s="587"/>
      <c r="J313" s="599"/>
      <c r="K313" s="587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  <c r="Z313" s="280"/>
      <c r="AA313" s="280"/>
    </row>
    <row r="314">
      <c r="A314" s="598"/>
      <c r="B314" s="587"/>
      <c r="C314" s="587"/>
      <c r="D314" s="587"/>
      <c r="E314" s="587"/>
      <c r="F314" s="587"/>
      <c r="G314" s="587"/>
      <c r="H314" s="587"/>
      <c r="I314" s="587"/>
      <c r="J314" s="599"/>
      <c r="K314" s="587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  <c r="Z314" s="280"/>
      <c r="AA314" s="280"/>
    </row>
    <row r="315">
      <c r="A315" s="598"/>
      <c r="B315" s="587"/>
      <c r="C315" s="587"/>
      <c r="D315" s="587"/>
      <c r="E315" s="587"/>
      <c r="F315" s="587"/>
      <c r="G315" s="587"/>
      <c r="H315" s="587"/>
      <c r="I315" s="587"/>
      <c r="J315" s="599"/>
      <c r="K315" s="587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  <c r="Z315" s="280"/>
      <c r="AA315" s="280"/>
    </row>
    <row r="316">
      <c r="A316" s="598"/>
      <c r="B316" s="587"/>
      <c r="C316" s="587"/>
      <c r="D316" s="587"/>
      <c r="E316" s="587"/>
      <c r="F316" s="587"/>
      <c r="G316" s="587"/>
      <c r="H316" s="587"/>
      <c r="I316" s="587"/>
      <c r="J316" s="599"/>
      <c r="K316" s="587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  <c r="Z316" s="280"/>
      <c r="AA316" s="280"/>
    </row>
    <row r="317">
      <c r="A317" s="598"/>
      <c r="B317" s="587"/>
      <c r="C317" s="587"/>
      <c r="D317" s="587"/>
      <c r="E317" s="587"/>
      <c r="F317" s="587"/>
      <c r="G317" s="587"/>
      <c r="H317" s="587"/>
      <c r="I317" s="587"/>
      <c r="J317" s="599"/>
      <c r="K317" s="587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  <c r="AA317" s="280"/>
    </row>
    <row r="318">
      <c r="A318" s="598"/>
      <c r="B318" s="587"/>
      <c r="C318" s="587"/>
      <c r="D318" s="587"/>
      <c r="E318" s="587"/>
      <c r="F318" s="587"/>
      <c r="G318" s="587"/>
      <c r="H318" s="587"/>
      <c r="I318" s="587"/>
      <c r="J318" s="599"/>
      <c r="K318" s="587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  <c r="AA318" s="280"/>
    </row>
    <row r="319">
      <c r="A319" s="598"/>
      <c r="B319" s="587"/>
      <c r="C319" s="587"/>
      <c r="D319" s="587"/>
      <c r="E319" s="587"/>
      <c r="F319" s="587"/>
      <c r="G319" s="587"/>
      <c r="H319" s="587"/>
      <c r="I319" s="587"/>
      <c r="J319" s="599"/>
      <c r="K319" s="587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  <c r="AA319" s="280"/>
    </row>
    <row r="320">
      <c r="A320" s="598"/>
      <c r="B320" s="587"/>
      <c r="C320" s="587"/>
      <c r="D320" s="587"/>
      <c r="E320" s="587"/>
      <c r="F320" s="587"/>
      <c r="G320" s="587"/>
      <c r="H320" s="587"/>
      <c r="I320" s="587"/>
      <c r="J320" s="599"/>
      <c r="K320" s="587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  <c r="Z320" s="280"/>
      <c r="AA320" s="280"/>
    </row>
    <row r="321">
      <c r="A321" s="598"/>
      <c r="B321" s="587"/>
      <c r="C321" s="587"/>
      <c r="D321" s="587"/>
      <c r="E321" s="587"/>
      <c r="F321" s="587"/>
      <c r="G321" s="587"/>
      <c r="H321" s="587"/>
      <c r="I321" s="587"/>
      <c r="J321" s="599"/>
      <c r="K321" s="587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  <c r="Z321" s="280"/>
      <c r="AA321" s="280"/>
    </row>
    <row r="322">
      <c r="A322" s="598"/>
      <c r="B322" s="587"/>
      <c r="C322" s="587"/>
      <c r="D322" s="587"/>
      <c r="E322" s="587"/>
      <c r="F322" s="587"/>
      <c r="G322" s="587"/>
      <c r="H322" s="587"/>
      <c r="I322" s="587"/>
      <c r="J322" s="599"/>
      <c r="K322" s="587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  <c r="Z322" s="280"/>
      <c r="AA322" s="280"/>
    </row>
    <row r="323">
      <c r="A323" s="598"/>
      <c r="B323" s="587"/>
      <c r="C323" s="587"/>
      <c r="D323" s="587"/>
      <c r="E323" s="587"/>
      <c r="F323" s="587"/>
      <c r="G323" s="587"/>
      <c r="H323" s="587"/>
      <c r="I323" s="587"/>
      <c r="J323" s="599"/>
      <c r="K323" s="587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  <c r="Z323" s="280"/>
      <c r="AA323" s="280"/>
    </row>
    <row r="324">
      <c r="A324" s="598"/>
      <c r="B324" s="587"/>
      <c r="C324" s="587"/>
      <c r="D324" s="587"/>
      <c r="E324" s="587"/>
      <c r="F324" s="587"/>
      <c r="G324" s="587"/>
      <c r="H324" s="587"/>
      <c r="I324" s="587"/>
      <c r="J324" s="599"/>
      <c r="K324" s="587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  <c r="Z324" s="280"/>
      <c r="AA324" s="280"/>
    </row>
    <row r="325">
      <c r="A325" s="598"/>
      <c r="B325" s="587"/>
      <c r="C325" s="587"/>
      <c r="D325" s="587"/>
      <c r="E325" s="587"/>
      <c r="F325" s="587"/>
      <c r="G325" s="587"/>
      <c r="H325" s="587"/>
      <c r="I325" s="587"/>
      <c r="J325" s="599"/>
      <c r="K325" s="587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  <c r="Z325" s="280"/>
      <c r="AA325" s="280"/>
    </row>
    <row r="326">
      <c r="A326" s="598"/>
      <c r="B326" s="587"/>
      <c r="C326" s="587"/>
      <c r="D326" s="587"/>
      <c r="E326" s="587"/>
      <c r="F326" s="587"/>
      <c r="G326" s="587"/>
      <c r="H326" s="587"/>
      <c r="I326" s="587"/>
      <c r="J326" s="599"/>
      <c r="K326" s="587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  <c r="Z326" s="280"/>
      <c r="AA326" s="280"/>
    </row>
    <row r="327">
      <c r="A327" s="598"/>
      <c r="B327" s="587"/>
      <c r="C327" s="587"/>
      <c r="D327" s="587"/>
      <c r="E327" s="587"/>
      <c r="F327" s="587"/>
      <c r="G327" s="587"/>
      <c r="H327" s="587"/>
      <c r="I327" s="587"/>
      <c r="J327" s="599"/>
      <c r="K327" s="587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  <c r="Z327" s="280"/>
      <c r="AA327" s="280"/>
    </row>
    <row r="328">
      <c r="A328" s="598"/>
      <c r="B328" s="587"/>
      <c r="C328" s="587"/>
      <c r="D328" s="587"/>
      <c r="E328" s="587"/>
      <c r="F328" s="587"/>
      <c r="G328" s="587"/>
      <c r="H328" s="587"/>
      <c r="I328" s="587"/>
      <c r="J328" s="599"/>
      <c r="K328" s="587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  <c r="Z328" s="280"/>
      <c r="AA328" s="280"/>
    </row>
    <row r="329">
      <c r="A329" s="598"/>
      <c r="B329" s="587"/>
      <c r="C329" s="587"/>
      <c r="D329" s="587"/>
      <c r="E329" s="587"/>
      <c r="F329" s="587"/>
      <c r="G329" s="587"/>
      <c r="H329" s="587"/>
      <c r="I329" s="587"/>
      <c r="J329" s="599"/>
      <c r="K329" s="587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  <c r="Z329" s="280"/>
      <c r="AA329" s="280"/>
    </row>
    <row r="330">
      <c r="A330" s="598"/>
      <c r="B330" s="587"/>
      <c r="C330" s="587"/>
      <c r="D330" s="587"/>
      <c r="E330" s="587"/>
      <c r="F330" s="587"/>
      <c r="G330" s="587"/>
      <c r="H330" s="587"/>
      <c r="I330" s="587"/>
      <c r="J330" s="599"/>
      <c r="K330" s="587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  <c r="Z330" s="280"/>
      <c r="AA330" s="280"/>
    </row>
    <row r="331">
      <c r="A331" s="598"/>
      <c r="B331" s="587"/>
      <c r="C331" s="587"/>
      <c r="D331" s="587"/>
      <c r="E331" s="587"/>
      <c r="F331" s="587"/>
      <c r="G331" s="587"/>
      <c r="H331" s="587"/>
      <c r="I331" s="587"/>
      <c r="J331" s="599"/>
      <c r="K331" s="587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  <c r="AA331" s="280"/>
    </row>
    <row r="332">
      <c r="A332" s="598"/>
      <c r="B332" s="587"/>
      <c r="C332" s="587"/>
      <c r="D332" s="587"/>
      <c r="E332" s="587"/>
      <c r="F332" s="587"/>
      <c r="G332" s="587"/>
      <c r="H332" s="587"/>
      <c r="I332" s="587"/>
      <c r="J332" s="599"/>
      <c r="K332" s="587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  <c r="Z332" s="280"/>
      <c r="AA332" s="280"/>
    </row>
    <row r="333">
      <c r="A333" s="598"/>
      <c r="B333" s="587"/>
      <c r="C333" s="587"/>
      <c r="D333" s="587"/>
      <c r="E333" s="587"/>
      <c r="F333" s="587"/>
      <c r="G333" s="587"/>
      <c r="H333" s="587"/>
      <c r="I333" s="587"/>
      <c r="J333" s="599"/>
      <c r="K333" s="587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  <c r="AA333" s="280"/>
    </row>
    <row r="334">
      <c r="A334" s="598"/>
      <c r="B334" s="587"/>
      <c r="C334" s="587"/>
      <c r="D334" s="587"/>
      <c r="E334" s="587"/>
      <c r="F334" s="587"/>
      <c r="G334" s="587"/>
      <c r="H334" s="587"/>
      <c r="I334" s="587"/>
      <c r="J334" s="599"/>
      <c r="K334" s="587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  <c r="Z334" s="280"/>
      <c r="AA334" s="280"/>
    </row>
    <row r="335">
      <c r="A335" s="598"/>
      <c r="B335" s="587"/>
      <c r="C335" s="587"/>
      <c r="D335" s="587"/>
      <c r="E335" s="587"/>
      <c r="F335" s="587"/>
      <c r="G335" s="587"/>
      <c r="H335" s="587"/>
      <c r="I335" s="587"/>
      <c r="J335" s="599"/>
      <c r="K335" s="587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  <c r="Z335" s="280"/>
      <c r="AA335" s="280"/>
    </row>
    <row r="336">
      <c r="A336" s="598"/>
      <c r="B336" s="587"/>
      <c r="C336" s="587"/>
      <c r="D336" s="587"/>
      <c r="E336" s="587"/>
      <c r="F336" s="587"/>
      <c r="G336" s="587"/>
      <c r="H336" s="587"/>
      <c r="I336" s="587"/>
      <c r="J336" s="599"/>
      <c r="K336" s="587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  <c r="Z336" s="280"/>
      <c r="AA336" s="280"/>
    </row>
    <row r="337">
      <c r="A337" s="598"/>
      <c r="B337" s="587"/>
      <c r="C337" s="587"/>
      <c r="D337" s="587"/>
      <c r="E337" s="587"/>
      <c r="F337" s="587"/>
      <c r="G337" s="587"/>
      <c r="H337" s="587"/>
      <c r="I337" s="587"/>
      <c r="J337" s="599"/>
      <c r="K337" s="587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  <c r="Z337" s="280"/>
      <c r="AA337" s="280"/>
    </row>
    <row r="338">
      <c r="A338" s="598"/>
      <c r="B338" s="587"/>
      <c r="C338" s="587"/>
      <c r="D338" s="587"/>
      <c r="E338" s="587"/>
      <c r="F338" s="587"/>
      <c r="G338" s="587"/>
      <c r="H338" s="587"/>
      <c r="I338" s="587"/>
      <c r="J338" s="599"/>
      <c r="K338" s="587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  <c r="Z338" s="280"/>
      <c r="AA338" s="280"/>
    </row>
    <row r="339">
      <c r="A339" s="598"/>
      <c r="B339" s="587"/>
      <c r="C339" s="587"/>
      <c r="D339" s="587"/>
      <c r="E339" s="587"/>
      <c r="F339" s="587"/>
      <c r="G339" s="587"/>
      <c r="H339" s="587"/>
      <c r="I339" s="587"/>
      <c r="J339" s="599"/>
      <c r="K339" s="587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  <c r="Z339" s="280"/>
      <c r="AA339" s="280"/>
    </row>
    <row r="340">
      <c r="A340" s="598"/>
      <c r="B340" s="587"/>
      <c r="C340" s="587"/>
      <c r="D340" s="587"/>
      <c r="E340" s="587"/>
      <c r="F340" s="587"/>
      <c r="G340" s="587"/>
      <c r="H340" s="587"/>
      <c r="I340" s="587"/>
      <c r="J340" s="599"/>
      <c r="K340" s="587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  <c r="Z340" s="280"/>
      <c r="AA340" s="280"/>
    </row>
    <row r="341">
      <c r="A341" s="598"/>
      <c r="B341" s="587"/>
      <c r="C341" s="587"/>
      <c r="D341" s="587"/>
      <c r="E341" s="587"/>
      <c r="F341" s="587"/>
      <c r="G341" s="587"/>
      <c r="H341" s="587"/>
      <c r="I341" s="587"/>
      <c r="J341" s="599"/>
      <c r="K341" s="587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  <c r="Z341" s="280"/>
      <c r="AA341" s="280"/>
    </row>
    <row r="342">
      <c r="A342" s="598"/>
      <c r="B342" s="587"/>
      <c r="C342" s="587"/>
      <c r="D342" s="587"/>
      <c r="E342" s="587"/>
      <c r="F342" s="587"/>
      <c r="G342" s="587"/>
      <c r="H342" s="587"/>
      <c r="I342" s="587"/>
      <c r="J342" s="599"/>
      <c r="K342" s="587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  <c r="Z342" s="280"/>
      <c r="AA342" s="280"/>
    </row>
    <row r="343">
      <c r="A343" s="598"/>
      <c r="B343" s="587"/>
      <c r="C343" s="587"/>
      <c r="D343" s="587"/>
      <c r="E343" s="587"/>
      <c r="F343" s="587"/>
      <c r="G343" s="587"/>
      <c r="H343" s="587"/>
      <c r="I343" s="587"/>
      <c r="J343" s="599"/>
      <c r="K343" s="587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  <c r="Z343" s="280"/>
      <c r="AA343" s="280"/>
    </row>
    <row r="344">
      <c r="A344" s="598"/>
      <c r="B344" s="587"/>
      <c r="C344" s="587"/>
      <c r="D344" s="587"/>
      <c r="E344" s="587"/>
      <c r="F344" s="587"/>
      <c r="G344" s="587"/>
      <c r="H344" s="587"/>
      <c r="I344" s="587"/>
      <c r="J344" s="599"/>
      <c r="K344" s="587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  <c r="Z344" s="280"/>
      <c r="AA344" s="280"/>
    </row>
    <row r="345">
      <c r="A345" s="598"/>
      <c r="B345" s="587"/>
      <c r="C345" s="587"/>
      <c r="D345" s="587"/>
      <c r="E345" s="587"/>
      <c r="F345" s="587"/>
      <c r="G345" s="587"/>
      <c r="H345" s="587"/>
      <c r="I345" s="587"/>
      <c r="J345" s="599"/>
      <c r="K345" s="587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  <c r="Z345" s="280"/>
      <c r="AA345" s="280"/>
    </row>
    <row r="346">
      <c r="A346" s="598"/>
      <c r="B346" s="587"/>
      <c r="C346" s="587"/>
      <c r="D346" s="587"/>
      <c r="E346" s="587"/>
      <c r="F346" s="587"/>
      <c r="G346" s="587"/>
      <c r="H346" s="587"/>
      <c r="I346" s="587"/>
      <c r="J346" s="599"/>
      <c r="K346" s="587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  <c r="Z346" s="280"/>
      <c r="AA346" s="280"/>
    </row>
    <row r="347">
      <c r="A347" s="598"/>
      <c r="B347" s="587"/>
      <c r="C347" s="587"/>
      <c r="D347" s="587"/>
      <c r="E347" s="587"/>
      <c r="F347" s="587"/>
      <c r="G347" s="587"/>
      <c r="H347" s="587"/>
      <c r="I347" s="587"/>
      <c r="J347" s="599"/>
      <c r="K347" s="587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  <c r="Z347" s="280"/>
      <c r="AA347" s="280"/>
    </row>
    <row r="348">
      <c r="A348" s="598"/>
      <c r="B348" s="587"/>
      <c r="C348" s="587"/>
      <c r="D348" s="587"/>
      <c r="E348" s="587"/>
      <c r="F348" s="587"/>
      <c r="G348" s="587"/>
      <c r="H348" s="587"/>
      <c r="I348" s="587"/>
      <c r="J348" s="599"/>
      <c r="K348" s="587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  <c r="Z348" s="280"/>
      <c r="AA348" s="280"/>
    </row>
    <row r="349">
      <c r="A349" s="598"/>
      <c r="B349" s="587"/>
      <c r="C349" s="587"/>
      <c r="D349" s="587"/>
      <c r="E349" s="587"/>
      <c r="F349" s="587"/>
      <c r="G349" s="587"/>
      <c r="H349" s="587"/>
      <c r="I349" s="587"/>
      <c r="J349" s="599"/>
      <c r="K349" s="587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  <c r="Z349" s="280"/>
      <c r="AA349" s="280"/>
    </row>
    <row r="350">
      <c r="A350" s="598"/>
      <c r="B350" s="587"/>
      <c r="C350" s="587"/>
      <c r="D350" s="587"/>
      <c r="E350" s="587"/>
      <c r="F350" s="587"/>
      <c r="G350" s="587"/>
      <c r="H350" s="587"/>
      <c r="I350" s="587"/>
      <c r="J350" s="599"/>
      <c r="K350" s="587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  <c r="Z350" s="280"/>
      <c r="AA350" s="280"/>
    </row>
    <row r="351">
      <c r="A351" s="598"/>
      <c r="B351" s="587"/>
      <c r="C351" s="587"/>
      <c r="D351" s="587"/>
      <c r="E351" s="587"/>
      <c r="F351" s="587"/>
      <c r="G351" s="587"/>
      <c r="H351" s="587"/>
      <c r="I351" s="587"/>
      <c r="J351" s="599"/>
      <c r="K351" s="587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  <c r="Z351" s="280"/>
      <c r="AA351" s="280"/>
    </row>
    <row r="352">
      <c r="A352" s="598"/>
      <c r="B352" s="587"/>
      <c r="C352" s="587"/>
      <c r="D352" s="587"/>
      <c r="E352" s="587"/>
      <c r="F352" s="587"/>
      <c r="G352" s="587"/>
      <c r="H352" s="587"/>
      <c r="I352" s="587"/>
      <c r="J352" s="599"/>
      <c r="K352" s="587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  <c r="Z352" s="280"/>
      <c r="AA352" s="280"/>
    </row>
    <row r="353">
      <c r="A353" s="598"/>
      <c r="B353" s="587"/>
      <c r="C353" s="587"/>
      <c r="D353" s="587"/>
      <c r="E353" s="587"/>
      <c r="F353" s="587"/>
      <c r="G353" s="587"/>
      <c r="H353" s="587"/>
      <c r="I353" s="587"/>
      <c r="J353" s="599"/>
      <c r="K353" s="587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  <c r="Z353" s="280"/>
      <c r="AA353" s="280"/>
    </row>
    <row r="354">
      <c r="A354" s="598"/>
      <c r="B354" s="587"/>
      <c r="C354" s="587"/>
      <c r="D354" s="587"/>
      <c r="E354" s="587"/>
      <c r="F354" s="587"/>
      <c r="G354" s="587"/>
      <c r="H354" s="587"/>
      <c r="I354" s="587"/>
      <c r="J354" s="599"/>
      <c r="K354" s="587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  <c r="Z354" s="280"/>
      <c r="AA354" s="280"/>
    </row>
    <row r="355">
      <c r="A355" s="598"/>
      <c r="B355" s="587"/>
      <c r="C355" s="587"/>
      <c r="D355" s="587"/>
      <c r="E355" s="587"/>
      <c r="F355" s="587"/>
      <c r="G355" s="587"/>
      <c r="H355" s="587"/>
      <c r="I355" s="587"/>
      <c r="J355" s="599"/>
      <c r="K355" s="587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  <c r="Z355" s="280"/>
      <c r="AA355" s="280"/>
    </row>
    <row r="356">
      <c r="A356" s="598"/>
      <c r="B356" s="587"/>
      <c r="C356" s="587"/>
      <c r="D356" s="587"/>
      <c r="E356" s="587"/>
      <c r="F356" s="587"/>
      <c r="G356" s="587"/>
      <c r="H356" s="587"/>
      <c r="I356" s="587"/>
      <c r="J356" s="599"/>
      <c r="K356" s="587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  <c r="Z356" s="280"/>
      <c r="AA356" s="280"/>
    </row>
    <row r="357">
      <c r="A357" s="598"/>
      <c r="B357" s="587"/>
      <c r="C357" s="587"/>
      <c r="D357" s="587"/>
      <c r="E357" s="587"/>
      <c r="F357" s="587"/>
      <c r="G357" s="587"/>
      <c r="H357" s="587"/>
      <c r="I357" s="587"/>
      <c r="J357" s="599"/>
      <c r="K357" s="587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  <c r="Z357" s="280"/>
      <c r="AA357" s="280"/>
    </row>
    <row r="358">
      <c r="A358" s="598"/>
      <c r="B358" s="587"/>
      <c r="C358" s="587"/>
      <c r="D358" s="587"/>
      <c r="E358" s="587"/>
      <c r="F358" s="587"/>
      <c r="G358" s="587"/>
      <c r="H358" s="587"/>
      <c r="I358" s="587"/>
      <c r="J358" s="599"/>
      <c r="K358" s="587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  <c r="Z358" s="280"/>
      <c r="AA358" s="280"/>
    </row>
    <row r="359">
      <c r="A359" s="598"/>
      <c r="B359" s="587"/>
      <c r="C359" s="587"/>
      <c r="D359" s="587"/>
      <c r="E359" s="587"/>
      <c r="F359" s="587"/>
      <c r="G359" s="587"/>
      <c r="H359" s="587"/>
      <c r="I359" s="587"/>
      <c r="J359" s="599"/>
      <c r="K359" s="587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  <c r="Z359" s="280"/>
      <c r="AA359" s="280"/>
    </row>
    <row r="360">
      <c r="A360" s="598"/>
      <c r="B360" s="587"/>
      <c r="C360" s="587"/>
      <c r="D360" s="587"/>
      <c r="E360" s="587"/>
      <c r="F360" s="587"/>
      <c r="G360" s="587"/>
      <c r="H360" s="587"/>
      <c r="I360" s="587"/>
      <c r="J360" s="599"/>
      <c r="K360" s="587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  <c r="Z360" s="280"/>
      <c r="AA360" s="280"/>
    </row>
    <row r="361">
      <c r="A361" s="598"/>
      <c r="B361" s="587"/>
      <c r="C361" s="587"/>
      <c r="D361" s="587"/>
      <c r="E361" s="587"/>
      <c r="F361" s="587"/>
      <c r="G361" s="587"/>
      <c r="H361" s="587"/>
      <c r="I361" s="587"/>
      <c r="J361" s="599"/>
      <c r="K361" s="587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  <c r="Z361" s="280"/>
      <c r="AA361" s="280"/>
    </row>
    <row r="362">
      <c r="A362" s="598"/>
      <c r="B362" s="587"/>
      <c r="C362" s="587"/>
      <c r="D362" s="587"/>
      <c r="E362" s="587"/>
      <c r="F362" s="587"/>
      <c r="G362" s="587"/>
      <c r="H362" s="587"/>
      <c r="I362" s="587"/>
      <c r="J362" s="599"/>
      <c r="K362" s="587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  <c r="Z362" s="280"/>
      <c r="AA362" s="280"/>
    </row>
    <row r="363">
      <c r="A363" s="598"/>
      <c r="B363" s="587"/>
      <c r="C363" s="587"/>
      <c r="D363" s="587"/>
      <c r="E363" s="587"/>
      <c r="F363" s="587"/>
      <c r="G363" s="587"/>
      <c r="H363" s="587"/>
      <c r="I363" s="587"/>
      <c r="J363" s="599"/>
      <c r="K363" s="587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  <c r="Z363" s="280"/>
      <c r="AA363" s="280"/>
    </row>
    <row r="364">
      <c r="A364" s="598"/>
      <c r="B364" s="587"/>
      <c r="C364" s="587"/>
      <c r="D364" s="587"/>
      <c r="E364" s="587"/>
      <c r="F364" s="587"/>
      <c r="G364" s="587"/>
      <c r="H364" s="587"/>
      <c r="I364" s="587"/>
      <c r="J364" s="599"/>
      <c r="K364" s="587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  <c r="Z364" s="280"/>
      <c r="AA364" s="280"/>
    </row>
    <row r="365">
      <c r="A365" s="598"/>
      <c r="B365" s="587"/>
      <c r="C365" s="587"/>
      <c r="D365" s="587"/>
      <c r="E365" s="587"/>
      <c r="F365" s="587"/>
      <c r="G365" s="587"/>
      <c r="H365" s="587"/>
      <c r="I365" s="587"/>
      <c r="J365" s="599"/>
      <c r="K365" s="587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  <c r="Z365" s="280"/>
      <c r="AA365" s="280"/>
    </row>
    <row r="366">
      <c r="A366" s="598"/>
      <c r="B366" s="587"/>
      <c r="C366" s="587"/>
      <c r="D366" s="587"/>
      <c r="E366" s="587"/>
      <c r="F366" s="587"/>
      <c r="G366" s="587"/>
      <c r="H366" s="587"/>
      <c r="I366" s="587"/>
      <c r="J366" s="599"/>
      <c r="K366" s="587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  <c r="Z366" s="280"/>
      <c r="AA366" s="280"/>
    </row>
    <row r="367">
      <c r="A367" s="598"/>
      <c r="B367" s="587"/>
      <c r="C367" s="587"/>
      <c r="D367" s="587"/>
      <c r="E367" s="587"/>
      <c r="F367" s="587"/>
      <c r="G367" s="587"/>
      <c r="H367" s="587"/>
      <c r="I367" s="587"/>
      <c r="J367" s="599"/>
      <c r="K367" s="587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  <c r="Z367" s="280"/>
      <c r="AA367" s="280"/>
    </row>
    <row r="368">
      <c r="A368" s="598"/>
      <c r="B368" s="587"/>
      <c r="C368" s="587"/>
      <c r="D368" s="587"/>
      <c r="E368" s="587"/>
      <c r="F368" s="587"/>
      <c r="G368" s="587"/>
      <c r="H368" s="587"/>
      <c r="I368" s="587"/>
      <c r="J368" s="599"/>
      <c r="K368" s="587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  <c r="Z368" s="280"/>
      <c r="AA368" s="280"/>
    </row>
    <row r="369">
      <c r="A369" s="598"/>
      <c r="B369" s="587"/>
      <c r="C369" s="587"/>
      <c r="D369" s="587"/>
      <c r="E369" s="587"/>
      <c r="F369" s="587"/>
      <c r="G369" s="587"/>
      <c r="H369" s="587"/>
      <c r="I369" s="587"/>
      <c r="J369" s="599"/>
      <c r="K369" s="587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  <c r="Z369" s="280"/>
      <c r="AA369" s="280"/>
    </row>
    <row r="370">
      <c r="A370" s="598"/>
      <c r="B370" s="587"/>
      <c r="C370" s="587"/>
      <c r="D370" s="587"/>
      <c r="E370" s="587"/>
      <c r="F370" s="587"/>
      <c r="G370" s="587"/>
      <c r="H370" s="587"/>
      <c r="I370" s="587"/>
      <c r="J370" s="599"/>
      <c r="K370" s="587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  <c r="Z370" s="280"/>
      <c r="AA370" s="280"/>
    </row>
    <row r="371">
      <c r="A371" s="598"/>
      <c r="B371" s="587"/>
      <c r="C371" s="587"/>
      <c r="D371" s="587"/>
      <c r="E371" s="587"/>
      <c r="F371" s="587"/>
      <c r="G371" s="587"/>
      <c r="H371" s="587"/>
      <c r="I371" s="587"/>
      <c r="J371" s="599"/>
      <c r="K371" s="587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  <c r="AA371" s="280"/>
    </row>
    <row r="372">
      <c r="A372" s="598"/>
      <c r="B372" s="587"/>
      <c r="C372" s="587"/>
      <c r="D372" s="587"/>
      <c r="E372" s="587"/>
      <c r="F372" s="587"/>
      <c r="G372" s="587"/>
      <c r="H372" s="587"/>
      <c r="I372" s="587"/>
      <c r="J372" s="599"/>
      <c r="K372" s="587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  <c r="Z372" s="280"/>
      <c r="AA372" s="280"/>
    </row>
    <row r="373">
      <c r="A373" s="598"/>
      <c r="B373" s="587"/>
      <c r="C373" s="587"/>
      <c r="D373" s="587"/>
      <c r="E373" s="587"/>
      <c r="F373" s="587"/>
      <c r="G373" s="587"/>
      <c r="H373" s="587"/>
      <c r="I373" s="587"/>
      <c r="J373" s="599"/>
      <c r="K373" s="587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  <c r="Z373" s="280"/>
      <c r="AA373" s="280"/>
    </row>
    <row r="374">
      <c r="A374" s="598"/>
      <c r="B374" s="587"/>
      <c r="C374" s="587"/>
      <c r="D374" s="587"/>
      <c r="E374" s="587"/>
      <c r="F374" s="587"/>
      <c r="G374" s="587"/>
      <c r="H374" s="587"/>
      <c r="I374" s="587"/>
      <c r="J374" s="599"/>
      <c r="K374" s="587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  <c r="Z374" s="280"/>
      <c r="AA374" s="280"/>
    </row>
    <row r="375">
      <c r="A375" s="598"/>
      <c r="B375" s="587"/>
      <c r="C375" s="587"/>
      <c r="D375" s="587"/>
      <c r="E375" s="587"/>
      <c r="F375" s="587"/>
      <c r="G375" s="587"/>
      <c r="H375" s="587"/>
      <c r="I375" s="587"/>
      <c r="J375" s="599"/>
      <c r="K375" s="587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  <c r="Z375" s="280"/>
      <c r="AA375" s="280"/>
    </row>
    <row r="376">
      <c r="A376" s="598"/>
      <c r="B376" s="587"/>
      <c r="C376" s="587"/>
      <c r="D376" s="587"/>
      <c r="E376" s="587"/>
      <c r="F376" s="587"/>
      <c r="G376" s="587"/>
      <c r="H376" s="587"/>
      <c r="I376" s="587"/>
      <c r="J376" s="599"/>
      <c r="K376" s="587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  <c r="Z376" s="280"/>
      <c r="AA376" s="280"/>
    </row>
    <row r="377">
      <c r="A377" s="598"/>
      <c r="B377" s="587"/>
      <c r="C377" s="587"/>
      <c r="D377" s="587"/>
      <c r="E377" s="587"/>
      <c r="F377" s="587"/>
      <c r="G377" s="587"/>
      <c r="H377" s="587"/>
      <c r="I377" s="587"/>
      <c r="J377" s="599"/>
      <c r="K377" s="587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  <c r="Z377" s="280"/>
      <c r="AA377" s="280"/>
    </row>
    <row r="378">
      <c r="A378" s="598"/>
      <c r="B378" s="587"/>
      <c r="C378" s="587"/>
      <c r="D378" s="587"/>
      <c r="E378" s="587"/>
      <c r="F378" s="587"/>
      <c r="G378" s="587"/>
      <c r="H378" s="587"/>
      <c r="I378" s="587"/>
      <c r="J378" s="599"/>
      <c r="K378" s="587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  <c r="AA378" s="280"/>
    </row>
    <row r="379">
      <c r="A379" s="598"/>
      <c r="B379" s="587"/>
      <c r="C379" s="587"/>
      <c r="D379" s="587"/>
      <c r="E379" s="587"/>
      <c r="F379" s="587"/>
      <c r="G379" s="587"/>
      <c r="H379" s="587"/>
      <c r="I379" s="587"/>
      <c r="J379" s="599"/>
      <c r="K379" s="587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  <c r="Z379" s="280"/>
      <c r="AA379" s="280"/>
    </row>
    <row r="380">
      <c r="A380" s="598"/>
      <c r="B380" s="587"/>
      <c r="C380" s="587"/>
      <c r="D380" s="587"/>
      <c r="E380" s="587"/>
      <c r="F380" s="587"/>
      <c r="G380" s="587"/>
      <c r="H380" s="587"/>
      <c r="I380" s="587"/>
      <c r="J380" s="599"/>
      <c r="K380" s="587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  <c r="AA380" s="280"/>
    </row>
    <row r="381">
      <c r="A381" s="598"/>
      <c r="B381" s="587"/>
      <c r="C381" s="587"/>
      <c r="D381" s="587"/>
      <c r="E381" s="587"/>
      <c r="F381" s="587"/>
      <c r="G381" s="587"/>
      <c r="H381" s="587"/>
      <c r="I381" s="587"/>
      <c r="J381" s="599"/>
      <c r="K381" s="587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  <c r="Z381" s="280"/>
      <c r="AA381" s="280"/>
    </row>
    <row r="382">
      <c r="A382" s="598"/>
      <c r="B382" s="587"/>
      <c r="C382" s="587"/>
      <c r="D382" s="587"/>
      <c r="E382" s="587"/>
      <c r="F382" s="587"/>
      <c r="G382" s="587"/>
      <c r="H382" s="587"/>
      <c r="I382" s="587"/>
      <c r="J382" s="599"/>
      <c r="K382" s="587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  <c r="Z382" s="280"/>
      <c r="AA382" s="280"/>
    </row>
    <row r="383">
      <c r="A383" s="598"/>
      <c r="B383" s="587"/>
      <c r="C383" s="587"/>
      <c r="D383" s="587"/>
      <c r="E383" s="587"/>
      <c r="F383" s="587"/>
      <c r="G383" s="587"/>
      <c r="H383" s="587"/>
      <c r="I383" s="587"/>
      <c r="J383" s="599"/>
      <c r="K383" s="587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  <c r="Z383" s="280"/>
      <c r="AA383" s="280"/>
    </row>
    <row r="384">
      <c r="A384" s="598"/>
      <c r="B384" s="587"/>
      <c r="C384" s="587"/>
      <c r="D384" s="587"/>
      <c r="E384" s="587"/>
      <c r="F384" s="587"/>
      <c r="G384" s="587"/>
      <c r="H384" s="587"/>
      <c r="I384" s="587"/>
      <c r="J384" s="599"/>
      <c r="K384" s="587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  <c r="Z384" s="280"/>
      <c r="AA384" s="280"/>
    </row>
    <row r="385">
      <c r="A385" s="598"/>
      <c r="B385" s="587"/>
      <c r="C385" s="587"/>
      <c r="D385" s="587"/>
      <c r="E385" s="587"/>
      <c r="F385" s="587"/>
      <c r="G385" s="587"/>
      <c r="H385" s="587"/>
      <c r="I385" s="587"/>
      <c r="J385" s="599"/>
      <c r="K385" s="587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  <c r="Z385" s="280"/>
      <c r="AA385" s="280"/>
    </row>
    <row r="386">
      <c r="A386" s="598"/>
      <c r="B386" s="587"/>
      <c r="C386" s="587"/>
      <c r="D386" s="587"/>
      <c r="E386" s="587"/>
      <c r="F386" s="587"/>
      <c r="G386" s="587"/>
      <c r="H386" s="587"/>
      <c r="I386" s="587"/>
      <c r="J386" s="599"/>
      <c r="K386" s="587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  <c r="Z386" s="280"/>
      <c r="AA386" s="280"/>
    </row>
    <row r="387">
      <c r="A387" s="598"/>
      <c r="B387" s="587"/>
      <c r="C387" s="587"/>
      <c r="D387" s="587"/>
      <c r="E387" s="587"/>
      <c r="F387" s="587"/>
      <c r="G387" s="587"/>
      <c r="H387" s="587"/>
      <c r="I387" s="587"/>
      <c r="J387" s="599"/>
      <c r="K387" s="587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  <c r="Z387" s="280"/>
      <c r="AA387" s="280"/>
    </row>
    <row r="388">
      <c r="A388" s="598"/>
      <c r="B388" s="587"/>
      <c r="C388" s="587"/>
      <c r="D388" s="587"/>
      <c r="E388" s="587"/>
      <c r="F388" s="587"/>
      <c r="G388" s="587"/>
      <c r="H388" s="587"/>
      <c r="I388" s="587"/>
      <c r="J388" s="599"/>
      <c r="K388" s="587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  <c r="Z388" s="280"/>
      <c r="AA388" s="280"/>
    </row>
    <row r="389">
      <c r="A389" s="598"/>
      <c r="B389" s="587"/>
      <c r="C389" s="587"/>
      <c r="D389" s="587"/>
      <c r="E389" s="587"/>
      <c r="F389" s="587"/>
      <c r="G389" s="587"/>
      <c r="H389" s="587"/>
      <c r="I389" s="587"/>
      <c r="J389" s="599"/>
      <c r="K389" s="587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  <c r="Z389" s="280"/>
      <c r="AA389" s="280"/>
    </row>
    <row r="390">
      <c r="A390" s="598"/>
      <c r="B390" s="587"/>
      <c r="C390" s="587"/>
      <c r="D390" s="587"/>
      <c r="E390" s="587"/>
      <c r="F390" s="587"/>
      <c r="G390" s="587"/>
      <c r="H390" s="587"/>
      <c r="I390" s="587"/>
      <c r="J390" s="599"/>
      <c r="K390" s="587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  <c r="Z390" s="280"/>
      <c r="AA390" s="280"/>
    </row>
    <row r="391">
      <c r="A391" s="598"/>
      <c r="B391" s="587"/>
      <c r="C391" s="587"/>
      <c r="D391" s="587"/>
      <c r="E391" s="587"/>
      <c r="F391" s="587"/>
      <c r="G391" s="587"/>
      <c r="H391" s="587"/>
      <c r="I391" s="587"/>
      <c r="J391" s="599"/>
      <c r="K391" s="587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  <c r="Z391" s="280"/>
      <c r="AA391" s="280"/>
    </row>
    <row r="392">
      <c r="A392" s="598"/>
      <c r="B392" s="587"/>
      <c r="C392" s="587"/>
      <c r="D392" s="587"/>
      <c r="E392" s="587"/>
      <c r="F392" s="587"/>
      <c r="G392" s="587"/>
      <c r="H392" s="587"/>
      <c r="I392" s="587"/>
      <c r="J392" s="599"/>
      <c r="K392" s="587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  <c r="Z392" s="280"/>
      <c r="AA392" s="280"/>
    </row>
    <row r="393">
      <c r="A393" s="598"/>
      <c r="B393" s="587"/>
      <c r="C393" s="587"/>
      <c r="D393" s="587"/>
      <c r="E393" s="587"/>
      <c r="F393" s="587"/>
      <c r="G393" s="587"/>
      <c r="H393" s="587"/>
      <c r="I393" s="587"/>
      <c r="J393" s="599"/>
      <c r="K393" s="587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  <c r="Z393" s="280"/>
      <c r="AA393" s="280"/>
    </row>
    <row r="394">
      <c r="A394" s="598"/>
      <c r="B394" s="587"/>
      <c r="C394" s="587"/>
      <c r="D394" s="587"/>
      <c r="E394" s="587"/>
      <c r="F394" s="587"/>
      <c r="G394" s="587"/>
      <c r="H394" s="587"/>
      <c r="I394" s="587"/>
      <c r="J394" s="599"/>
      <c r="K394" s="587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  <c r="Z394" s="280"/>
      <c r="AA394" s="280"/>
    </row>
    <row r="395">
      <c r="A395" s="598"/>
      <c r="B395" s="587"/>
      <c r="C395" s="587"/>
      <c r="D395" s="587"/>
      <c r="E395" s="587"/>
      <c r="F395" s="587"/>
      <c r="G395" s="587"/>
      <c r="H395" s="587"/>
      <c r="I395" s="587"/>
      <c r="J395" s="599"/>
      <c r="K395" s="587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  <c r="Z395" s="280"/>
      <c r="AA395" s="280"/>
    </row>
    <row r="396">
      <c r="A396" s="598"/>
      <c r="B396" s="587"/>
      <c r="C396" s="587"/>
      <c r="D396" s="587"/>
      <c r="E396" s="587"/>
      <c r="F396" s="587"/>
      <c r="G396" s="587"/>
      <c r="H396" s="587"/>
      <c r="I396" s="587"/>
      <c r="J396" s="599"/>
      <c r="K396" s="587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  <c r="Z396" s="280"/>
      <c r="AA396" s="280"/>
    </row>
    <row r="397">
      <c r="A397" s="598"/>
      <c r="B397" s="587"/>
      <c r="C397" s="587"/>
      <c r="D397" s="587"/>
      <c r="E397" s="587"/>
      <c r="F397" s="587"/>
      <c r="G397" s="587"/>
      <c r="H397" s="587"/>
      <c r="I397" s="587"/>
      <c r="J397" s="599"/>
      <c r="K397" s="587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  <c r="AA397" s="280"/>
    </row>
    <row r="398">
      <c r="A398" s="598"/>
      <c r="B398" s="587"/>
      <c r="C398" s="587"/>
      <c r="D398" s="587"/>
      <c r="E398" s="587"/>
      <c r="F398" s="587"/>
      <c r="G398" s="587"/>
      <c r="H398" s="587"/>
      <c r="I398" s="587"/>
      <c r="J398" s="599"/>
      <c r="K398" s="587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  <c r="Z398" s="280"/>
      <c r="AA398" s="280"/>
    </row>
    <row r="399">
      <c r="A399" s="598"/>
      <c r="B399" s="587"/>
      <c r="C399" s="587"/>
      <c r="D399" s="587"/>
      <c r="E399" s="587"/>
      <c r="F399" s="587"/>
      <c r="G399" s="587"/>
      <c r="H399" s="587"/>
      <c r="I399" s="587"/>
      <c r="J399" s="599"/>
      <c r="K399" s="587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  <c r="Z399" s="280"/>
      <c r="AA399" s="280"/>
    </row>
    <row r="400">
      <c r="A400" s="598"/>
      <c r="B400" s="587"/>
      <c r="C400" s="587"/>
      <c r="D400" s="587"/>
      <c r="E400" s="587"/>
      <c r="F400" s="587"/>
      <c r="G400" s="587"/>
      <c r="H400" s="587"/>
      <c r="I400" s="587"/>
      <c r="J400" s="599"/>
      <c r="K400" s="587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  <c r="Z400" s="280"/>
      <c r="AA400" s="280"/>
    </row>
    <row r="401">
      <c r="A401" s="598"/>
      <c r="B401" s="587"/>
      <c r="C401" s="587"/>
      <c r="D401" s="587"/>
      <c r="E401" s="587"/>
      <c r="F401" s="587"/>
      <c r="G401" s="587"/>
      <c r="H401" s="587"/>
      <c r="I401" s="587"/>
      <c r="J401" s="599"/>
      <c r="K401" s="587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  <c r="Z401" s="280"/>
      <c r="AA401" s="280"/>
    </row>
    <row r="402">
      <c r="A402" s="598"/>
      <c r="B402" s="587"/>
      <c r="C402" s="587"/>
      <c r="D402" s="587"/>
      <c r="E402" s="587"/>
      <c r="F402" s="587"/>
      <c r="G402" s="587"/>
      <c r="H402" s="587"/>
      <c r="I402" s="587"/>
      <c r="J402" s="599"/>
      <c r="K402" s="587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  <c r="Z402" s="280"/>
      <c r="AA402" s="280"/>
    </row>
    <row r="403">
      <c r="A403" s="598"/>
      <c r="B403" s="587"/>
      <c r="C403" s="587"/>
      <c r="D403" s="587"/>
      <c r="E403" s="587"/>
      <c r="F403" s="587"/>
      <c r="G403" s="587"/>
      <c r="H403" s="587"/>
      <c r="I403" s="587"/>
      <c r="J403" s="599"/>
      <c r="K403" s="587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  <c r="Z403" s="280"/>
      <c r="AA403" s="280"/>
    </row>
    <row r="404">
      <c r="A404" s="598"/>
      <c r="B404" s="587"/>
      <c r="C404" s="587"/>
      <c r="D404" s="587"/>
      <c r="E404" s="587"/>
      <c r="F404" s="587"/>
      <c r="G404" s="587"/>
      <c r="H404" s="587"/>
      <c r="I404" s="587"/>
      <c r="J404" s="599"/>
      <c r="K404" s="587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  <c r="AA404" s="280"/>
    </row>
    <row r="405">
      <c r="A405" s="598"/>
      <c r="B405" s="587"/>
      <c r="C405" s="587"/>
      <c r="D405" s="587"/>
      <c r="E405" s="587"/>
      <c r="F405" s="587"/>
      <c r="G405" s="587"/>
      <c r="H405" s="587"/>
      <c r="I405" s="587"/>
      <c r="J405" s="599"/>
      <c r="K405" s="587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  <c r="Z405" s="280"/>
      <c r="AA405" s="280"/>
    </row>
    <row r="406">
      <c r="A406" s="598"/>
      <c r="B406" s="587"/>
      <c r="C406" s="587"/>
      <c r="D406" s="587"/>
      <c r="E406" s="587"/>
      <c r="F406" s="587"/>
      <c r="G406" s="587"/>
      <c r="H406" s="587"/>
      <c r="I406" s="587"/>
      <c r="J406" s="599"/>
      <c r="K406" s="587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  <c r="Z406" s="280"/>
      <c r="AA406" s="280"/>
    </row>
    <row r="407">
      <c r="A407" s="598"/>
      <c r="B407" s="587"/>
      <c r="C407" s="587"/>
      <c r="D407" s="587"/>
      <c r="E407" s="587"/>
      <c r="F407" s="587"/>
      <c r="G407" s="587"/>
      <c r="H407" s="587"/>
      <c r="I407" s="587"/>
      <c r="J407" s="599"/>
      <c r="K407" s="587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  <c r="Z407" s="280"/>
      <c r="AA407" s="280"/>
    </row>
    <row r="408">
      <c r="A408" s="598"/>
      <c r="B408" s="587"/>
      <c r="C408" s="587"/>
      <c r="D408" s="587"/>
      <c r="E408" s="587"/>
      <c r="F408" s="587"/>
      <c r="G408" s="587"/>
      <c r="H408" s="587"/>
      <c r="I408" s="587"/>
      <c r="J408" s="599"/>
      <c r="K408" s="587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  <c r="Z408" s="280"/>
      <c r="AA408" s="280"/>
    </row>
    <row r="409">
      <c r="A409" s="598"/>
      <c r="B409" s="587"/>
      <c r="C409" s="587"/>
      <c r="D409" s="587"/>
      <c r="E409" s="587"/>
      <c r="F409" s="587"/>
      <c r="G409" s="587"/>
      <c r="H409" s="587"/>
      <c r="I409" s="587"/>
      <c r="J409" s="599"/>
      <c r="K409" s="587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  <c r="Z409" s="280"/>
      <c r="AA409" s="280"/>
    </row>
    <row r="410">
      <c r="A410" s="598"/>
      <c r="B410" s="587"/>
      <c r="C410" s="587"/>
      <c r="D410" s="587"/>
      <c r="E410" s="587"/>
      <c r="F410" s="587"/>
      <c r="G410" s="587"/>
      <c r="H410" s="587"/>
      <c r="I410" s="587"/>
      <c r="J410" s="599"/>
      <c r="K410" s="587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  <c r="Z410" s="280"/>
      <c r="AA410" s="280"/>
    </row>
    <row r="411">
      <c r="A411" s="598"/>
      <c r="B411" s="587"/>
      <c r="C411" s="587"/>
      <c r="D411" s="587"/>
      <c r="E411" s="587"/>
      <c r="F411" s="587"/>
      <c r="G411" s="587"/>
      <c r="H411" s="587"/>
      <c r="I411" s="587"/>
      <c r="J411" s="599"/>
      <c r="K411" s="587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  <c r="AA411" s="280"/>
    </row>
    <row r="412">
      <c r="A412" s="598"/>
      <c r="B412" s="587"/>
      <c r="C412" s="587"/>
      <c r="D412" s="587"/>
      <c r="E412" s="587"/>
      <c r="F412" s="587"/>
      <c r="G412" s="587"/>
      <c r="H412" s="587"/>
      <c r="I412" s="587"/>
      <c r="J412" s="599"/>
      <c r="K412" s="587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  <c r="Z412" s="280"/>
      <c r="AA412" s="280"/>
    </row>
    <row r="413">
      <c r="A413" s="598"/>
      <c r="B413" s="587"/>
      <c r="C413" s="587"/>
      <c r="D413" s="587"/>
      <c r="E413" s="587"/>
      <c r="F413" s="587"/>
      <c r="G413" s="587"/>
      <c r="H413" s="587"/>
      <c r="I413" s="587"/>
      <c r="J413" s="599"/>
      <c r="K413" s="587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  <c r="Z413" s="280"/>
      <c r="AA413" s="280"/>
    </row>
    <row r="414">
      <c r="A414" s="598"/>
      <c r="B414" s="587"/>
      <c r="C414" s="587"/>
      <c r="D414" s="587"/>
      <c r="E414" s="587"/>
      <c r="F414" s="587"/>
      <c r="G414" s="587"/>
      <c r="H414" s="587"/>
      <c r="I414" s="587"/>
      <c r="J414" s="599"/>
      <c r="K414" s="587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  <c r="Z414" s="280"/>
      <c r="AA414" s="280"/>
    </row>
    <row r="415">
      <c r="A415" s="598"/>
      <c r="B415" s="587"/>
      <c r="C415" s="587"/>
      <c r="D415" s="587"/>
      <c r="E415" s="587"/>
      <c r="F415" s="587"/>
      <c r="G415" s="587"/>
      <c r="H415" s="587"/>
      <c r="I415" s="587"/>
      <c r="J415" s="599"/>
      <c r="K415" s="587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  <c r="Z415" s="280"/>
      <c r="AA415" s="280"/>
    </row>
    <row r="416">
      <c r="A416" s="598"/>
      <c r="B416" s="587"/>
      <c r="C416" s="587"/>
      <c r="D416" s="587"/>
      <c r="E416" s="587"/>
      <c r="F416" s="587"/>
      <c r="G416" s="587"/>
      <c r="H416" s="587"/>
      <c r="I416" s="587"/>
      <c r="J416" s="599"/>
      <c r="K416" s="587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  <c r="Z416" s="280"/>
      <c r="AA416" s="280"/>
    </row>
    <row r="417">
      <c r="A417" s="598"/>
      <c r="B417" s="587"/>
      <c r="C417" s="587"/>
      <c r="D417" s="587"/>
      <c r="E417" s="587"/>
      <c r="F417" s="587"/>
      <c r="G417" s="587"/>
      <c r="H417" s="587"/>
      <c r="I417" s="587"/>
      <c r="J417" s="599"/>
      <c r="K417" s="587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  <c r="Z417" s="280"/>
      <c r="AA417" s="280"/>
    </row>
    <row r="418">
      <c r="A418" s="598"/>
      <c r="B418" s="587"/>
      <c r="C418" s="587"/>
      <c r="D418" s="587"/>
      <c r="E418" s="587"/>
      <c r="F418" s="587"/>
      <c r="G418" s="587"/>
      <c r="H418" s="587"/>
      <c r="I418" s="587"/>
      <c r="J418" s="599"/>
      <c r="K418" s="587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  <c r="Z418" s="280"/>
      <c r="AA418" s="280"/>
    </row>
    <row r="419">
      <c r="A419" s="598"/>
      <c r="B419" s="587"/>
      <c r="C419" s="587"/>
      <c r="D419" s="587"/>
      <c r="E419" s="587"/>
      <c r="F419" s="587"/>
      <c r="G419" s="587"/>
      <c r="H419" s="587"/>
      <c r="I419" s="587"/>
      <c r="J419" s="599"/>
      <c r="K419" s="587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  <c r="Z419" s="280"/>
      <c r="AA419" s="280"/>
    </row>
    <row r="420">
      <c r="A420" s="598"/>
      <c r="B420" s="587"/>
      <c r="C420" s="587"/>
      <c r="D420" s="587"/>
      <c r="E420" s="587"/>
      <c r="F420" s="587"/>
      <c r="G420" s="587"/>
      <c r="H420" s="587"/>
      <c r="I420" s="587"/>
      <c r="J420" s="599"/>
      <c r="K420" s="587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  <c r="Z420" s="280"/>
      <c r="AA420" s="280"/>
    </row>
    <row r="421">
      <c r="A421" s="598"/>
      <c r="B421" s="587"/>
      <c r="C421" s="587"/>
      <c r="D421" s="587"/>
      <c r="E421" s="587"/>
      <c r="F421" s="587"/>
      <c r="G421" s="587"/>
      <c r="H421" s="587"/>
      <c r="I421" s="587"/>
      <c r="J421" s="599"/>
      <c r="K421" s="587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  <c r="Z421" s="280"/>
      <c r="AA421" s="280"/>
    </row>
    <row r="422">
      <c r="A422" s="598"/>
      <c r="B422" s="587"/>
      <c r="C422" s="587"/>
      <c r="D422" s="587"/>
      <c r="E422" s="587"/>
      <c r="F422" s="587"/>
      <c r="G422" s="587"/>
      <c r="H422" s="587"/>
      <c r="I422" s="587"/>
      <c r="J422" s="599"/>
      <c r="K422" s="587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  <c r="AA422" s="280"/>
    </row>
    <row r="423">
      <c r="A423" s="598"/>
      <c r="B423" s="587"/>
      <c r="C423" s="587"/>
      <c r="D423" s="587"/>
      <c r="E423" s="587"/>
      <c r="F423" s="587"/>
      <c r="G423" s="587"/>
      <c r="H423" s="587"/>
      <c r="I423" s="587"/>
      <c r="J423" s="599"/>
      <c r="K423" s="587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  <c r="Z423" s="280"/>
      <c r="AA423" s="280"/>
    </row>
    <row r="424">
      <c r="A424" s="598"/>
      <c r="B424" s="587"/>
      <c r="C424" s="587"/>
      <c r="D424" s="587"/>
      <c r="E424" s="587"/>
      <c r="F424" s="587"/>
      <c r="G424" s="587"/>
      <c r="H424" s="587"/>
      <c r="I424" s="587"/>
      <c r="J424" s="599"/>
      <c r="K424" s="587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  <c r="Z424" s="280"/>
      <c r="AA424" s="280"/>
    </row>
    <row r="425">
      <c r="A425" s="598"/>
      <c r="B425" s="587"/>
      <c r="C425" s="587"/>
      <c r="D425" s="587"/>
      <c r="E425" s="587"/>
      <c r="F425" s="587"/>
      <c r="G425" s="587"/>
      <c r="H425" s="587"/>
      <c r="I425" s="587"/>
      <c r="J425" s="599"/>
      <c r="K425" s="587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  <c r="Z425" s="280"/>
      <c r="AA425" s="280"/>
    </row>
    <row r="426">
      <c r="A426" s="598"/>
      <c r="B426" s="587"/>
      <c r="C426" s="587"/>
      <c r="D426" s="587"/>
      <c r="E426" s="587"/>
      <c r="F426" s="587"/>
      <c r="G426" s="587"/>
      <c r="H426" s="587"/>
      <c r="I426" s="587"/>
      <c r="J426" s="599"/>
      <c r="K426" s="587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  <c r="Z426" s="280"/>
      <c r="AA426" s="280"/>
    </row>
    <row r="427">
      <c r="A427" s="598"/>
      <c r="B427" s="587"/>
      <c r="C427" s="587"/>
      <c r="D427" s="587"/>
      <c r="E427" s="587"/>
      <c r="F427" s="587"/>
      <c r="G427" s="587"/>
      <c r="H427" s="587"/>
      <c r="I427" s="587"/>
      <c r="J427" s="599"/>
      <c r="K427" s="587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  <c r="AA427" s="280"/>
    </row>
    <row r="428">
      <c r="A428" s="598"/>
      <c r="B428" s="587"/>
      <c r="C428" s="587"/>
      <c r="D428" s="587"/>
      <c r="E428" s="587"/>
      <c r="F428" s="587"/>
      <c r="G428" s="587"/>
      <c r="H428" s="587"/>
      <c r="I428" s="587"/>
      <c r="J428" s="599"/>
      <c r="K428" s="587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  <c r="Z428" s="280"/>
      <c r="AA428" s="280"/>
    </row>
    <row r="429">
      <c r="A429" s="598"/>
      <c r="B429" s="587"/>
      <c r="C429" s="587"/>
      <c r="D429" s="587"/>
      <c r="E429" s="587"/>
      <c r="F429" s="587"/>
      <c r="G429" s="587"/>
      <c r="H429" s="587"/>
      <c r="I429" s="587"/>
      <c r="J429" s="599"/>
      <c r="K429" s="587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  <c r="Z429" s="280"/>
      <c r="AA429" s="280"/>
    </row>
    <row r="430">
      <c r="A430" s="598"/>
      <c r="B430" s="587"/>
      <c r="C430" s="587"/>
      <c r="D430" s="587"/>
      <c r="E430" s="587"/>
      <c r="F430" s="587"/>
      <c r="G430" s="587"/>
      <c r="H430" s="587"/>
      <c r="I430" s="587"/>
      <c r="J430" s="599"/>
      <c r="K430" s="587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  <c r="Z430" s="280"/>
      <c r="AA430" s="280"/>
    </row>
    <row r="431">
      <c r="A431" s="598"/>
      <c r="B431" s="587"/>
      <c r="C431" s="587"/>
      <c r="D431" s="587"/>
      <c r="E431" s="587"/>
      <c r="F431" s="587"/>
      <c r="G431" s="587"/>
      <c r="H431" s="587"/>
      <c r="I431" s="587"/>
      <c r="J431" s="599"/>
      <c r="K431" s="587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  <c r="Z431" s="280"/>
      <c r="AA431" s="280"/>
    </row>
    <row r="432">
      <c r="A432" s="598"/>
      <c r="B432" s="587"/>
      <c r="C432" s="587"/>
      <c r="D432" s="587"/>
      <c r="E432" s="587"/>
      <c r="F432" s="587"/>
      <c r="G432" s="587"/>
      <c r="H432" s="587"/>
      <c r="I432" s="587"/>
      <c r="J432" s="599"/>
      <c r="K432" s="587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  <c r="AA432" s="280"/>
    </row>
    <row r="433">
      <c r="A433" s="598"/>
      <c r="B433" s="587"/>
      <c r="C433" s="587"/>
      <c r="D433" s="587"/>
      <c r="E433" s="587"/>
      <c r="F433" s="587"/>
      <c r="G433" s="587"/>
      <c r="H433" s="587"/>
      <c r="I433" s="587"/>
      <c r="J433" s="599"/>
      <c r="K433" s="587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  <c r="Z433" s="280"/>
      <c r="AA433" s="280"/>
    </row>
    <row r="434">
      <c r="A434" s="598"/>
      <c r="B434" s="587"/>
      <c r="C434" s="587"/>
      <c r="D434" s="587"/>
      <c r="E434" s="587"/>
      <c r="F434" s="587"/>
      <c r="G434" s="587"/>
      <c r="H434" s="587"/>
      <c r="I434" s="587"/>
      <c r="J434" s="599"/>
      <c r="K434" s="587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  <c r="Z434" s="280"/>
      <c r="AA434" s="280"/>
    </row>
    <row r="435">
      <c r="A435" s="598"/>
      <c r="B435" s="587"/>
      <c r="C435" s="587"/>
      <c r="D435" s="587"/>
      <c r="E435" s="587"/>
      <c r="F435" s="587"/>
      <c r="G435" s="587"/>
      <c r="H435" s="587"/>
      <c r="I435" s="587"/>
      <c r="J435" s="599"/>
      <c r="K435" s="587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  <c r="Z435" s="280"/>
      <c r="AA435" s="280"/>
    </row>
    <row r="436">
      <c r="A436" s="598"/>
      <c r="B436" s="587"/>
      <c r="C436" s="587"/>
      <c r="D436" s="587"/>
      <c r="E436" s="587"/>
      <c r="F436" s="587"/>
      <c r="G436" s="587"/>
      <c r="H436" s="587"/>
      <c r="I436" s="587"/>
      <c r="J436" s="599"/>
      <c r="K436" s="587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  <c r="Z436" s="280"/>
      <c r="AA436" s="280"/>
    </row>
    <row r="437">
      <c r="A437" s="598"/>
      <c r="B437" s="587"/>
      <c r="C437" s="587"/>
      <c r="D437" s="587"/>
      <c r="E437" s="587"/>
      <c r="F437" s="587"/>
      <c r="G437" s="587"/>
      <c r="H437" s="587"/>
      <c r="I437" s="587"/>
      <c r="J437" s="599"/>
      <c r="K437" s="587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  <c r="Z437" s="280"/>
      <c r="AA437" s="280"/>
    </row>
    <row r="438">
      <c r="A438" s="598"/>
      <c r="B438" s="587"/>
      <c r="C438" s="587"/>
      <c r="D438" s="587"/>
      <c r="E438" s="587"/>
      <c r="F438" s="587"/>
      <c r="G438" s="587"/>
      <c r="H438" s="587"/>
      <c r="I438" s="587"/>
      <c r="J438" s="599"/>
      <c r="K438" s="587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  <c r="Z438" s="280"/>
      <c r="AA438" s="280"/>
    </row>
    <row r="439">
      <c r="A439" s="598"/>
      <c r="B439" s="587"/>
      <c r="C439" s="587"/>
      <c r="D439" s="587"/>
      <c r="E439" s="587"/>
      <c r="F439" s="587"/>
      <c r="G439" s="587"/>
      <c r="H439" s="587"/>
      <c r="I439" s="587"/>
      <c r="J439" s="599"/>
      <c r="K439" s="587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  <c r="Z439" s="280"/>
      <c r="AA439" s="280"/>
    </row>
    <row r="440">
      <c r="A440" s="598"/>
      <c r="B440" s="587"/>
      <c r="C440" s="587"/>
      <c r="D440" s="587"/>
      <c r="E440" s="587"/>
      <c r="F440" s="587"/>
      <c r="G440" s="587"/>
      <c r="H440" s="587"/>
      <c r="I440" s="587"/>
      <c r="J440" s="599"/>
      <c r="K440" s="587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  <c r="Z440" s="280"/>
      <c r="AA440" s="280"/>
    </row>
    <row r="441">
      <c r="A441" s="598"/>
      <c r="B441" s="587"/>
      <c r="C441" s="587"/>
      <c r="D441" s="587"/>
      <c r="E441" s="587"/>
      <c r="F441" s="587"/>
      <c r="G441" s="587"/>
      <c r="H441" s="587"/>
      <c r="I441" s="587"/>
      <c r="J441" s="599"/>
      <c r="K441" s="587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  <c r="Z441" s="280"/>
      <c r="AA441" s="280"/>
    </row>
    <row r="442">
      <c r="A442" s="598"/>
      <c r="B442" s="587"/>
      <c r="C442" s="587"/>
      <c r="D442" s="587"/>
      <c r="E442" s="587"/>
      <c r="F442" s="587"/>
      <c r="G442" s="587"/>
      <c r="H442" s="587"/>
      <c r="I442" s="587"/>
      <c r="J442" s="599"/>
      <c r="K442" s="587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  <c r="Z442" s="280"/>
      <c r="AA442" s="280"/>
    </row>
    <row r="443">
      <c r="A443" s="598"/>
      <c r="B443" s="587"/>
      <c r="C443" s="587"/>
      <c r="D443" s="587"/>
      <c r="E443" s="587"/>
      <c r="F443" s="587"/>
      <c r="G443" s="587"/>
      <c r="H443" s="587"/>
      <c r="I443" s="587"/>
      <c r="J443" s="599"/>
      <c r="K443" s="587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  <c r="Z443" s="280"/>
      <c r="AA443" s="280"/>
    </row>
    <row r="444">
      <c r="A444" s="598"/>
      <c r="B444" s="587"/>
      <c r="C444" s="587"/>
      <c r="D444" s="587"/>
      <c r="E444" s="587"/>
      <c r="F444" s="587"/>
      <c r="G444" s="587"/>
      <c r="H444" s="587"/>
      <c r="I444" s="587"/>
      <c r="J444" s="599"/>
      <c r="K444" s="587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  <c r="Z444" s="280"/>
      <c r="AA444" s="280"/>
    </row>
    <row r="445">
      <c r="A445" s="598"/>
      <c r="B445" s="587"/>
      <c r="C445" s="587"/>
      <c r="D445" s="587"/>
      <c r="E445" s="587"/>
      <c r="F445" s="587"/>
      <c r="G445" s="587"/>
      <c r="H445" s="587"/>
      <c r="I445" s="587"/>
      <c r="J445" s="599"/>
      <c r="K445" s="587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  <c r="Z445" s="280"/>
      <c r="AA445" s="280"/>
    </row>
    <row r="446">
      <c r="A446" s="598"/>
      <c r="B446" s="587"/>
      <c r="C446" s="587"/>
      <c r="D446" s="587"/>
      <c r="E446" s="587"/>
      <c r="F446" s="587"/>
      <c r="G446" s="587"/>
      <c r="H446" s="587"/>
      <c r="I446" s="587"/>
      <c r="J446" s="599"/>
      <c r="K446" s="587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  <c r="Z446" s="280"/>
      <c r="AA446" s="280"/>
    </row>
    <row r="447">
      <c r="A447" s="598"/>
      <c r="B447" s="587"/>
      <c r="C447" s="587"/>
      <c r="D447" s="587"/>
      <c r="E447" s="587"/>
      <c r="F447" s="587"/>
      <c r="G447" s="587"/>
      <c r="H447" s="587"/>
      <c r="I447" s="587"/>
      <c r="J447" s="599"/>
      <c r="K447" s="587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  <c r="Z447" s="280"/>
      <c r="AA447" s="280"/>
    </row>
    <row r="448">
      <c r="A448" s="598"/>
      <c r="B448" s="587"/>
      <c r="C448" s="587"/>
      <c r="D448" s="587"/>
      <c r="E448" s="587"/>
      <c r="F448" s="587"/>
      <c r="G448" s="587"/>
      <c r="H448" s="587"/>
      <c r="I448" s="587"/>
      <c r="J448" s="599"/>
      <c r="K448" s="587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  <c r="Z448" s="280"/>
      <c r="AA448" s="280"/>
    </row>
    <row r="449">
      <c r="A449" s="598"/>
      <c r="B449" s="587"/>
      <c r="C449" s="587"/>
      <c r="D449" s="587"/>
      <c r="E449" s="587"/>
      <c r="F449" s="587"/>
      <c r="G449" s="587"/>
      <c r="H449" s="587"/>
      <c r="I449" s="587"/>
      <c r="J449" s="599"/>
      <c r="K449" s="587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  <c r="Z449" s="280"/>
      <c r="AA449" s="280"/>
    </row>
    <row r="450">
      <c r="A450" s="598"/>
      <c r="B450" s="587"/>
      <c r="C450" s="587"/>
      <c r="D450" s="587"/>
      <c r="E450" s="587"/>
      <c r="F450" s="587"/>
      <c r="G450" s="587"/>
      <c r="H450" s="587"/>
      <c r="I450" s="587"/>
      <c r="J450" s="599"/>
      <c r="K450" s="587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  <c r="Z450" s="280"/>
      <c r="AA450" s="280"/>
    </row>
    <row r="451">
      <c r="A451" s="598"/>
      <c r="B451" s="587"/>
      <c r="C451" s="587"/>
      <c r="D451" s="587"/>
      <c r="E451" s="587"/>
      <c r="F451" s="587"/>
      <c r="G451" s="587"/>
      <c r="H451" s="587"/>
      <c r="I451" s="587"/>
      <c r="J451" s="599"/>
      <c r="K451" s="587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  <c r="Z451" s="280"/>
      <c r="AA451" s="280"/>
    </row>
    <row r="452">
      <c r="A452" s="598"/>
      <c r="B452" s="587"/>
      <c r="C452" s="587"/>
      <c r="D452" s="587"/>
      <c r="E452" s="587"/>
      <c r="F452" s="587"/>
      <c r="G452" s="587"/>
      <c r="H452" s="587"/>
      <c r="I452" s="587"/>
      <c r="J452" s="599"/>
      <c r="K452" s="587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  <c r="Z452" s="280"/>
      <c r="AA452" s="280"/>
    </row>
    <row r="453">
      <c r="A453" s="598"/>
      <c r="B453" s="587"/>
      <c r="C453" s="587"/>
      <c r="D453" s="587"/>
      <c r="E453" s="587"/>
      <c r="F453" s="587"/>
      <c r="G453" s="587"/>
      <c r="H453" s="587"/>
      <c r="I453" s="587"/>
      <c r="J453" s="599"/>
      <c r="K453" s="587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  <c r="Z453" s="280"/>
      <c r="AA453" s="280"/>
    </row>
    <row r="454">
      <c r="A454" s="598"/>
      <c r="B454" s="587"/>
      <c r="C454" s="587"/>
      <c r="D454" s="587"/>
      <c r="E454" s="587"/>
      <c r="F454" s="587"/>
      <c r="G454" s="587"/>
      <c r="H454" s="587"/>
      <c r="I454" s="587"/>
      <c r="J454" s="599"/>
      <c r="K454" s="587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  <c r="Z454" s="280"/>
      <c r="AA454" s="280"/>
    </row>
    <row r="455">
      <c r="A455" s="598"/>
      <c r="B455" s="587"/>
      <c r="C455" s="587"/>
      <c r="D455" s="587"/>
      <c r="E455" s="587"/>
      <c r="F455" s="587"/>
      <c r="G455" s="587"/>
      <c r="H455" s="587"/>
      <c r="I455" s="587"/>
      <c r="J455" s="599"/>
      <c r="K455" s="587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  <c r="Z455" s="280"/>
      <c r="AA455" s="280"/>
    </row>
    <row r="456">
      <c r="A456" s="598"/>
      <c r="B456" s="587"/>
      <c r="C456" s="587"/>
      <c r="D456" s="587"/>
      <c r="E456" s="587"/>
      <c r="F456" s="587"/>
      <c r="G456" s="587"/>
      <c r="H456" s="587"/>
      <c r="I456" s="587"/>
      <c r="J456" s="599"/>
      <c r="K456" s="587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  <c r="Z456" s="280"/>
      <c r="AA456" s="280"/>
    </row>
    <row r="457">
      <c r="A457" s="598"/>
      <c r="B457" s="587"/>
      <c r="C457" s="587"/>
      <c r="D457" s="587"/>
      <c r="E457" s="587"/>
      <c r="F457" s="587"/>
      <c r="G457" s="587"/>
      <c r="H457" s="587"/>
      <c r="I457" s="587"/>
      <c r="J457" s="599"/>
      <c r="K457" s="587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  <c r="Z457" s="280"/>
      <c r="AA457" s="280"/>
    </row>
    <row r="458">
      <c r="A458" s="598"/>
      <c r="B458" s="587"/>
      <c r="C458" s="587"/>
      <c r="D458" s="587"/>
      <c r="E458" s="587"/>
      <c r="F458" s="587"/>
      <c r="G458" s="587"/>
      <c r="H458" s="587"/>
      <c r="I458" s="587"/>
      <c r="J458" s="599"/>
      <c r="K458" s="587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  <c r="Z458" s="280"/>
      <c r="AA458" s="280"/>
    </row>
    <row r="459">
      <c r="A459" s="598"/>
      <c r="B459" s="587"/>
      <c r="C459" s="587"/>
      <c r="D459" s="587"/>
      <c r="E459" s="587"/>
      <c r="F459" s="587"/>
      <c r="G459" s="587"/>
      <c r="H459" s="587"/>
      <c r="I459" s="587"/>
      <c r="J459" s="599"/>
      <c r="K459" s="587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  <c r="Z459" s="280"/>
      <c r="AA459" s="280"/>
    </row>
    <row r="460">
      <c r="A460" s="598"/>
      <c r="B460" s="587"/>
      <c r="C460" s="587"/>
      <c r="D460" s="587"/>
      <c r="E460" s="587"/>
      <c r="F460" s="587"/>
      <c r="G460" s="587"/>
      <c r="H460" s="587"/>
      <c r="I460" s="587"/>
      <c r="J460" s="599"/>
      <c r="K460" s="587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  <c r="Z460" s="280"/>
      <c r="AA460" s="280"/>
    </row>
    <row r="461">
      <c r="A461" s="598"/>
      <c r="B461" s="587"/>
      <c r="C461" s="587"/>
      <c r="D461" s="587"/>
      <c r="E461" s="587"/>
      <c r="F461" s="587"/>
      <c r="G461" s="587"/>
      <c r="H461" s="587"/>
      <c r="I461" s="587"/>
      <c r="J461" s="599"/>
      <c r="K461" s="587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  <c r="Z461" s="280"/>
      <c r="AA461" s="280"/>
    </row>
    <row r="462">
      <c r="A462" s="598"/>
      <c r="B462" s="587"/>
      <c r="C462" s="587"/>
      <c r="D462" s="587"/>
      <c r="E462" s="587"/>
      <c r="F462" s="587"/>
      <c r="G462" s="587"/>
      <c r="H462" s="587"/>
      <c r="I462" s="587"/>
      <c r="J462" s="599"/>
      <c r="K462" s="587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  <c r="Z462" s="280"/>
      <c r="AA462" s="280"/>
    </row>
    <row r="463">
      <c r="A463" s="598"/>
      <c r="B463" s="587"/>
      <c r="C463" s="587"/>
      <c r="D463" s="587"/>
      <c r="E463" s="587"/>
      <c r="F463" s="587"/>
      <c r="G463" s="587"/>
      <c r="H463" s="587"/>
      <c r="I463" s="587"/>
      <c r="J463" s="599"/>
      <c r="K463" s="587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  <c r="AA463" s="280"/>
    </row>
    <row r="464">
      <c r="A464" s="598"/>
      <c r="B464" s="587"/>
      <c r="C464" s="587"/>
      <c r="D464" s="587"/>
      <c r="E464" s="587"/>
      <c r="F464" s="587"/>
      <c r="G464" s="587"/>
      <c r="H464" s="587"/>
      <c r="I464" s="587"/>
      <c r="J464" s="599"/>
      <c r="K464" s="587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  <c r="Z464" s="280"/>
      <c r="AA464" s="280"/>
    </row>
    <row r="465">
      <c r="A465" s="598"/>
      <c r="B465" s="587"/>
      <c r="C465" s="587"/>
      <c r="D465" s="587"/>
      <c r="E465" s="587"/>
      <c r="F465" s="587"/>
      <c r="G465" s="587"/>
      <c r="H465" s="587"/>
      <c r="I465" s="587"/>
      <c r="J465" s="599"/>
      <c r="K465" s="587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  <c r="Z465" s="280"/>
      <c r="AA465" s="280"/>
    </row>
    <row r="466">
      <c r="A466" s="598"/>
      <c r="B466" s="587"/>
      <c r="C466" s="587"/>
      <c r="D466" s="587"/>
      <c r="E466" s="587"/>
      <c r="F466" s="587"/>
      <c r="G466" s="587"/>
      <c r="H466" s="587"/>
      <c r="I466" s="587"/>
      <c r="J466" s="599"/>
      <c r="K466" s="587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  <c r="Z466" s="280"/>
      <c r="AA466" s="280"/>
    </row>
    <row r="467">
      <c r="A467" s="598"/>
      <c r="B467" s="587"/>
      <c r="C467" s="587"/>
      <c r="D467" s="587"/>
      <c r="E467" s="587"/>
      <c r="F467" s="587"/>
      <c r="G467" s="587"/>
      <c r="H467" s="587"/>
      <c r="I467" s="587"/>
      <c r="J467" s="599"/>
      <c r="K467" s="587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  <c r="Z467" s="280"/>
      <c r="AA467" s="280"/>
    </row>
    <row r="468">
      <c r="A468" s="598"/>
      <c r="B468" s="587"/>
      <c r="C468" s="587"/>
      <c r="D468" s="587"/>
      <c r="E468" s="587"/>
      <c r="F468" s="587"/>
      <c r="G468" s="587"/>
      <c r="H468" s="587"/>
      <c r="I468" s="587"/>
      <c r="J468" s="599"/>
      <c r="K468" s="587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  <c r="Z468" s="280"/>
      <c r="AA468" s="280"/>
    </row>
    <row r="469">
      <c r="A469" s="598"/>
      <c r="B469" s="587"/>
      <c r="C469" s="587"/>
      <c r="D469" s="587"/>
      <c r="E469" s="587"/>
      <c r="F469" s="587"/>
      <c r="G469" s="587"/>
      <c r="H469" s="587"/>
      <c r="I469" s="587"/>
      <c r="J469" s="599"/>
      <c r="K469" s="587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  <c r="Z469" s="280"/>
      <c r="AA469" s="280"/>
    </row>
    <row r="470">
      <c r="A470" s="598"/>
      <c r="B470" s="587"/>
      <c r="C470" s="587"/>
      <c r="D470" s="587"/>
      <c r="E470" s="587"/>
      <c r="F470" s="587"/>
      <c r="G470" s="587"/>
      <c r="H470" s="587"/>
      <c r="I470" s="587"/>
      <c r="J470" s="599"/>
      <c r="K470" s="587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  <c r="Z470" s="280"/>
      <c r="AA470" s="280"/>
    </row>
    <row r="471">
      <c r="A471" s="598"/>
      <c r="B471" s="587"/>
      <c r="C471" s="587"/>
      <c r="D471" s="587"/>
      <c r="E471" s="587"/>
      <c r="F471" s="587"/>
      <c r="G471" s="587"/>
      <c r="H471" s="587"/>
      <c r="I471" s="587"/>
      <c r="J471" s="599"/>
      <c r="K471" s="587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  <c r="AA471" s="280"/>
    </row>
    <row r="472">
      <c r="A472" s="598"/>
      <c r="B472" s="587"/>
      <c r="C472" s="587"/>
      <c r="D472" s="587"/>
      <c r="E472" s="587"/>
      <c r="F472" s="587"/>
      <c r="G472" s="587"/>
      <c r="H472" s="587"/>
      <c r="I472" s="587"/>
      <c r="J472" s="599"/>
      <c r="K472" s="587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  <c r="Z472" s="280"/>
      <c r="AA472" s="280"/>
    </row>
    <row r="473">
      <c r="A473" s="598"/>
      <c r="B473" s="587"/>
      <c r="C473" s="587"/>
      <c r="D473" s="587"/>
      <c r="E473" s="587"/>
      <c r="F473" s="587"/>
      <c r="G473" s="587"/>
      <c r="H473" s="587"/>
      <c r="I473" s="587"/>
      <c r="J473" s="599"/>
      <c r="K473" s="587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  <c r="Z473" s="280"/>
      <c r="AA473" s="280"/>
    </row>
    <row r="474">
      <c r="A474" s="598"/>
      <c r="B474" s="587"/>
      <c r="C474" s="587"/>
      <c r="D474" s="587"/>
      <c r="E474" s="587"/>
      <c r="F474" s="587"/>
      <c r="G474" s="587"/>
      <c r="H474" s="587"/>
      <c r="I474" s="587"/>
      <c r="J474" s="599"/>
      <c r="K474" s="587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  <c r="Z474" s="280"/>
      <c r="AA474" s="280"/>
    </row>
    <row r="475">
      <c r="A475" s="598"/>
      <c r="B475" s="587"/>
      <c r="C475" s="587"/>
      <c r="D475" s="587"/>
      <c r="E475" s="587"/>
      <c r="F475" s="587"/>
      <c r="G475" s="587"/>
      <c r="H475" s="587"/>
      <c r="I475" s="587"/>
      <c r="J475" s="599"/>
      <c r="K475" s="587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  <c r="Z475" s="280"/>
      <c r="AA475" s="280"/>
    </row>
    <row r="476">
      <c r="A476" s="598"/>
      <c r="B476" s="587"/>
      <c r="C476" s="587"/>
      <c r="D476" s="587"/>
      <c r="E476" s="587"/>
      <c r="F476" s="587"/>
      <c r="G476" s="587"/>
      <c r="H476" s="587"/>
      <c r="I476" s="587"/>
      <c r="J476" s="599"/>
      <c r="K476" s="587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  <c r="Z476" s="280"/>
      <c r="AA476" s="280"/>
    </row>
    <row r="477">
      <c r="A477" s="598"/>
      <c r="B477" s="587"/>
      <c r="C477" s="587"/>
      <c r="D477" s="587"/>
      <c r="E477" s="587"/>
      <c r="F477" s="587"/>
      <c r="G477" s="587"/>
      <c r="H477" s="587"/>
      <c r="I477" s="587"/>
      <c r="J477" s="599"/>
      <c r="K477" s="587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  <c r="Z477" s="280"/>
      <c r="AA477" s="280"/>
    </row>
    <row r="478">
      <c r="A478" s="598"/>
      <c r="B478" s="587"/>
      <c r="C478" s="587"/>
      <c r="D478" s="587"/>
      <c r="E478" s="587"/>
      <c r="F478" s="587"/>
      <c r="G478" s="587"/>
      <c r="H478" s="587"/>
      <c r="I478" s="587"/>
      <c r="J478" s="599"/>
      <c r="K478" s="587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  <c r="Z478" s="280"/>
      <c r="AA478" s="280"/>
    </row>
    <row r="479">
      <c r="A479" s="598"/>
      <c r="B479" s="587"/>
      <c r="C479" s="587"/>
      <c r="D479" s="587"/>
      <c r="E479" s="587"/>
      <c r="F479" s="587"/>
      <c r="G479" s="587"/>
      <c r="H479" s="587"/>
      <c r="I479" s="587"/>
      <c r="J479" s="599"/>
      <c r="K479" s="587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  <c r="Z479" s="280"/>
      <c r="AA479" s="280"/>
    </row>
    <row r="480">
      <c r="A480" s="598"/>
      <c r="B480" s="587"/>
      <c r="C480" s="587"/>
      <c r="D480" s="587"/>
      <c r="E480" s="587"/>
      <c r="F480" s="587"/>
      <c r="G480" s="587"/>
      <c r="H480" s="587"/>
      <c r="I480" s="587"/>
      <c r="J480" s="599"/>
      <c r="K480" s="587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  <c r="Z480" s="280"/>
      <c r="AA480" s="280"/>
    </row>
    <row r="481">
      <c r="A481" s="598"/>
      <c r="B481" s="587"/>
      <c r="C481" s="587"/>
      <c r="D481" s="587"/>
      <c r="E481" s="587"/>
      <c r="F481" s="587"/>
      <c r="G481" s="587"/>
      <c r="H481" s="587"/>
      <c r="I481" s="587"/>
      <c r="J481" s="599"/>
      <c r="K481" s="587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  <c r="Z481" s="280"/>
      <c r="AA481" s="280"/>
    </row>
    <row r="482">
      <c r="A482" s="598"/>
      <c r="B482" s="587"/>
      <c r="C482" s="587"/>
      <c r="D482" s="587"/>
      <c r="E482" s="587"/>
      <c r="F482" s="587"/>
      <c r="G482" s="587"/>
      <c r="H482" s="587"/>
      <c r="I482" s="587"/>
      <c r="J482" s="599"/>
      <c r="K482" s="587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  <c r="Z482" s="280"/>
      <c r="AA482" s="280"/>
    </row>
    <row r="483">
      <c r="A483" s="598"/>
      <c r="B483" s="587"/>
      <c r="C483" s="587"/>
      <c r="D483" s="587"/>
      <c r="E483" s="587"/>
      <c r="F483" s="587"/>
      <c r="G483" s="587"/>
      <c r="H483" s="587"/>
      <c r="I483" s="587"/>
      <c r="J483" s="599"/>
      <c r="K483" s="587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  <c r="Z483" s="280"/>
      <c r="AA483" s="280"/>
    </row>
    <row r="484">
      <c r="A484" s="598"/>
      <c r="B484" s="587"/>
      <c r="C484" s="587"/>
      <c r="D484" s="587"/>
      <c r="E484" s="587"/>
      <c r="F484" s="587"/>
      <c r="G484" s="587"/>
      <c r="H484" s="587"/>
      <c r="I484" s="587"/>
      <c r="J484" s="599"/>
      <c r="K484" s="587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  <c r="Z484" s="280"/>
      <c r="AA484" s="280"/>
    </row>
    <row r="485">
      <c r="A485" s="598"/>
      <c r="B485" s="587"/>
      <c r="C485" s="587"/>
      <c r="D485" s="587"/>
      <c r="E485" s="587"/>
      <c r="F485" s="587"/>
      <c r="G485" s="587"/>
      <c r="H485" s="587"/>
      <c r="I485" s="587"/>
      <c r="J485" s="599"/>
      <c r="K485" s="587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  <c r="Z485" s="280"/>
      <c r="AA485" s="280"/>
    </row>
    <row r="486">
      <c r="A486" s="598"/>
      <c r="B486" s="587"/>
      <c r="C486" s="587"/>
      <c r="D486" s="587"/>
      <c r="E486" s="587"/>
      <c r="F486" s="587"/>
      <c r="G486" s="587"/>
      <c r="H486" s="587"/>
      <c r="I486" s="587"/>
      <c r="J486" s="599"/>
      <c r="K486" s="587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  <c r="Z486" s="280"/>
      <c r="AA486" s="280"/>
    </row>
    <row r="487">
      <c r="A487" s="598"/>
      <c r="B487" s="587"/>
      <c r="C487" s="587"/>
      <c r="D487" s="587"/>
      <c r="E487" s="587"/>
      <c r="F487" s="587"/>
      <c r="G487" s="587"/>
      <c r="H487" s="587"/>
      <c r="I487" s="587"/>
      <c r="J487" s="599"/>
      <c r="K487" s="587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  <c r="Z487" s="280"/>
      <c r="AA487" s="280"/>
    </row>
    <row r="488">
      <c r="A488" s="598"/>
      <c r="B488" s="587"/>
      <c r="C488" s="587"/>
      <c r="D488" s="587"/>
      <c r="E488" s="587"/>
      <c r="F488" s="587"/>
      <c r="G488" s="587"/>
      <c r="H488" s="587"/>
      <c r="I488" s="587"/>
      <c r="J488" s="599"/>
      <c r="K488" s="587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  <c r="Z488" s="280"/>
      <c r="AA488" s="280"/>
    </row>
    <row r="489">
      <c r="A489" s="598"/>
      <c r="B489" s="587"/>
      <c r="C489" s="587"/>
      <c r="D489" s="587"/>
      <c r="E489" s="587"/>
      <c r="F489" s="587"/>
      <c r="G489" s="587"/>
      <c r="H489" s="587"/>
      <c r="I489" s="587"/>
      <c r="J489" s="599"/>
      <c r="K489" s="587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  <c r="Z489" s="280"/>
      <c r="AA489" s="280"/>
    </row>
    <row r="490">
      <c r="A490" s="598"/>
      <c r="B490" s="587"/>
      <c r="C490" s="587"/>
      <c r="D490" s="587"/>
      <c r="E490" s="587"/>
      <c r="F490" s="587"/>
      <c r="G490" s="587"/>
      <c r="H490" s="587"/>
      <c r="I490" s="587"/>
      <c r="J490" s="599"/>
      <c r="K490" s="587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  <c r="Z490" s="280"/>
      <c r="AA490" s="280"/>
    </row>
    <row r="491">
      <c r="A491" s="598"/>
      <c r="B491" s="587"/>
      <c r="C491" s="587"/>
      <c r="D491" s="587"/>
      <c r="E491" s="587"/>
      <c r="F491" s="587"/>
      <c r="G491" s="587"/>
      <c r="H491" s="587"/>
      <c r="I491" s="587"/>
      <c r="J491" s="599"/>
      <c r="K491" s="587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  <c r="Z491" s="280"/>
      <c r="AA491" s="280"/>
    </row>
    <row r="492">
      <c r="A492" s="598"/>
      <c r="B492" s="587"/>
      <c r="C492" s="587"/>
      <c r="D492" s="587"/>
      <c r="E492" s="587"/>
      <c r="F492" s="587"/>
      <c r="G492" s="587"/>
      <c r="H492" s="587"/>
      <c r="I492" s="587"/>
      <c r="J492" s="599"/>
      <c r="K492" s="587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  <c r="Z492" s="280"/>
      <c r="AA492" s="280"/>
    </row>
    <row r="493">
      <c r="A493" s="598"/>
      <c r="B493" s="587"/>
      <c r="C493" s="587"/>
      <c r="D493" s="587"/>
      <c r="E493" s="587"/>
      <c r="F493" s="587"/>
      <c r="G493" s="587"/>
      <c r="H493" s="587"/>
      <c r="I493" s="587"/>
      <c r="J493" s="599"/>
      <c r="K493" s="587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  <c r="AA493" s="280"/>
    </row>
    <row r="494">
      <c r="A494" s="598"/>
      <c r="B494" s="587"/>
      <c r="C494" s="587"/>
      <c r="D494" s="587"/>
      <c r="E494" s="587"/>
      <c r="F494" s="587"/>
      <c r="G494" s="587"/>
      <c r="H494" s="587"/>
      <c r="I494" s="587"/>
      <c r="J494" s="599"/>
      <c r="K494" s="587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  <c r="Z494" s="280"/>
      <c r="AA494" s="280"/>
    </row>
    <row r="495">
      <c r="A495" s="598"/>
      <c r="B495" s="587"/>
      <c r="C495" s="587"/>
      <c r="D495" s="587"/>
      <c r="E495" s="587"/>
      <c r="F495" s="587"/>
      <c r="G495" s="587"/>
      <c r="H495" s="587"/>
      <c r="I495" s="587"/>
      <c r="J495" s="599"/>
      <c r="K495" s="587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  <c r="Z495" s="280"/>
      <c r="AA495" s="280"/>
    </row>
    <row r="496">
      <c r="A496" s="598"/>
      <c r="B496" s="587"/>
      <c r="C496" s="587"/>
      <c r="D496" s="587"/>
      <c r="E496" s="587"/>
      <c r="F496" s="587"/>
      <c r="G496" s="587"/>
      <c r="H496" s="587"/>
      <c r="I496" s="587"/>
      <c r="J496" s="599"/>
      <c r="K496" s="587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  <c r="Z496" s="280"/>
      <c r="AA496" s="280"/>
    </row>
    <row r="497">
      <c r="A497" s="598"/>
      <c r="B497" s="587"/>
      <c r="C497" s="587"/>
      <c r="D497" s="587"/>
      <c r="E497" s="587"/>
      <c r="F497" s="587"/>
      <c r="G497" s="587"/>
      <c r="H497" s="587"/>
      <c r="I497" s="587"/>
      <c r="J497" s="599"/>
      <c r="K497" s="587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  <c r="Z497" s="280"/>
      <c r="AA497" s="280"/>
    </row>
    <row r="498">
      <c r="A498" s="598"/>
      <c r="B498" s="587"/>
      <c r="C498" s="587"/>
      <c r="D498" s="587"/>
      <c r="E498" s="587"/>
      <c r="F498" s="587"/>
      <c r="G498" s="587"/>
      <c r="H498" s="587"/>
      <c r="I498" s="587"/>
      <c r="J498" s="599"/>
      <c r="K498" s="587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  <c r="Z498" s="280"/>
      <c r="AA498" s="280"/>
    </row>
    <row r="499">
      <c r="A499" s="598"/>
      <c r="B499" s="587"/>
      <c r="C499" s="587"/>
      <c r="D499" s="587"/>
      <c r="E499" s="587"/>
      <c r="F499" s="587"/>
      <c r="G499" s="587"/>
      <c r="H499" s="587"/>
      <c r="I499" s="587"/>
      <c r="J499" s="599"/>
      <c r="K499" s="587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  <c r="Z499" s="280"/>
      <c r="AA499" s="280"/>
    </row>
    <row r="500">
      <c r="A500" s="598"/>
      <c r="B500" s="587"/>
      <c r="C500" s="587"/>
      <c r="D500" s="587"/>
      <c r="E500" s="587"/>
      <c r="F500" s="587"/>
      <c r="G500" s="587"/>
      <c r="H500" s="587"/>
      <c r="I500" s="587"/>
      <c r="J500" s="599"/>
      <c r="K500" s="587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  <c r="Z500" s="280"/>
      <c r="AA500" s="280"/>
    </row>
    <row r="501">
      <c r="A501" s="598"/>
      <c r="B501" s="587"/>
      <c r="C501" s="587"/>
      <c r="D501" s="587"/>
      <c r="E501" s="587"/>
      <c r="F501" s="587"/>
      <c r="G501" s="587"/>
      <c r="H501" s="587"/>
      <c r="I501" s="587"/>
      <c r="J501" s="599"/>
      <c r="K501" s="587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  <c r="Z501" s="280"/>
      <c r="AA501" s="280"/>
    </row>
    <row r="502">
      <c r="A502" s="598"/>
      <c r="B502" s="587"/>
      <c r="C502" s="587"/>
      <c r="D502" s="587"/>
      <c r="E502" s="587"/>
      <c r="F502" s="587"/>
      <c r="G502" s="587"/>
      <c r="H502" s="587"/>
      <c r="I502" s="587"/>
      <c r="J502" s="599"/>
      <c r="K502" s="587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  <c r="Z502" s="280"/>
      <c r="AA502" s="280"/>
    </row>
    <row r="503">
      <c r="A503" s="598"/>
      <c r="B503" s="587"/>
      <c r="C503" s="587"/>
      <c r="D503" s="587"/>
      <c r="E503" s="587"/>
      <c r="F503" s="587"/>
      <c r="G503" s="587"/>
      <c r="H503" s="587"/>
      <c r="I503" s="587"/>
      <c r="J503" s="599"/>
      <c r="K503" s="587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  <c r="Z503" s="280"/>
      <c r="AA503" s="280"/>
    </row>
    <row r="504">
      <c r="A504" s="598"/>
      <c r="B504" s="587"/>
      <c r="C504" s="587"/>
      <c r="D504" s="587"/>
      <c r="E504" s="587"/>
      <c r="F504" s="587"/>
      <c r="G504" s="587"/>
      <c r="H504" s="587"/>
      <c r="I504" s="587"/>
      <c r="J504" s="599"/>
      <c r="K504" s="587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  <c r="Z504" s="280"/>
      <c r="AA504" s="280"/>
    </row>
    <row r="505">
      <c r="A505" s="598"/>
      <c r="B505" s="587"/>
      <c r="C505" s="587"/>
      <c r="D505" s="587"/>
      <c r="E505" s="587"/>
      <c r="F505" s="587"/>
      <c r="G505" s="587"/>
      <c r="H505" s="587"/>
      <c r="I505" s="587"/>
      <c r="J505" s="599"/>
      <c r="K505" s="587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  <c r="Z505" s="280"/>
      <c r="AA505" s="280"/>
    </row>
    <row r="506">
      <c r="A506" s="598"/>
      <c r="B506" s="587"/>
      <c r="C506" s="587"/>
      <c r="D506" s="587"/>
      <c r="E506" s="587"/>
      <c r="F506" s="587"/>
      <c r="G506" s="587"/>
      <c r="H506" s="587"/>
      <c r="I506" s="587"/>
      <c r="J506" s="599"/>
      <c r="K506" s="587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  <c r="Z506" s="280"/>
      <c r="AA506" s="280"/>
    </row>
    <row r="507">
      <c r="A507" s="598"/>
      <c r="B507" s="587"/>
      <c r="C507" s="587"/>
      <c r="D507" s="587"/>
      <c r="E507" s="587"/>
      <c r="F507" s="587"/>
      <c r="G507" s="587"/>
      <c r="H507" s="587"/>
      <c r="I507" s="587"/>
      <c r="J507" s="599"/>
      <c r="K507" s="587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  <c r="Z507" s="280"/>
      <c r="AA507" s="280"/>
    </row>
    <row r="508">
      <c r="A508" s="598"/>
      <c r="B508" s="587"/>
      <c r="C508" s="587"/>
      <c r="D508" s="587"/>
      <c r="E508" s="587"/>
      <c r="F508" s="587"/>
      <c r="G508" s="587"/>
      <c r="H508" s="587"/>
      <c r="I508" s="587"/>
      <c r="J508" s="599"/>
      <c r="K508" s="587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  <c r="Z508" s="280"/>
      <c r="AA508" s="280"/>
    </row>
    <row r="509">
      <c r="A509" s="598"/>
      <c r="B509" s="587"/>
      <c r="C509" s="587"/>
      <c r="D509" s="587"/>
      <c r="E509" s="587"/>
      <c r="F509" s="587"/>
      <c r="G509" s="587"/>
      <c r="H509" s="587"/>
      <c r="I509" s="587"/>
      <c r="J509" s="599"/>
      <c r="K509" s="587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  <c r="Z509" s="280"/>
      <c r="AA509" s="280"/>
    </row>
    <row r="510">
      <c r="A510" s="598"/>
      <c r="B510" s="587"/>
      <c r="C510" s="587"/>
      <c r="D510" s="587"/>
      <c r="E510" s="587"/>
      <c r="F510" s="587"/>
      <c r="G510" s="587"/>
      <c r="H510" s="587"/>
      <c r="I510" s="587"/>
      <c r="J510" s="599"/>
      <c r="K510" s="587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  <c r="Z510" s="280"/>
      <c r="AA510" s="280"/>
    </row>
    <row r="511">
      <c r="A511" s="598"/>
      <c r="B511" s="587"/>
      <c r="C511" s="587"/>
      <c r="D511" s="587"/>
      <c r="E511" s="587"/>
      <c r="F511" s="587"/>
      <c r="G511" s="587"/>
      <c r="H511" s="587"/>
      <c r="I511" s="587"/>
      <c r="J511" s="599"/>
      <c r="K511" s="587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  <c r="Z511" s="280"/>
      <c r="AA511" s="280"/>
    </row>
    <row r="512">
      <c r="A512" s="598"/>
      <c r="B512" s="587"/>
      <c r="C512" s="587"/>
      <c r="D512" s="587"/>
      <c r="E512" s="587"/>
      <c r="F512" s="587"/>
      <c r="G512" s="587"/>
      <c r="H512" s="587"/>
      <c r="I512" s="587"/>
      <c r="J512" s="599"/>
      <c r="K512" s="587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  <c r="Z512" s="280"/>
      <c r="AA512" s="280"/>
    </row>
    <row r="513">
      <c r="A513" s="598"/>
      <c r="B513" s="587"/>
      <c r="C513" s="587"/>
      <c r="D513" s="587"/>
      <c r="E513" s="587"/>
      <c r="F513" s="587"/>
      <c r="G513" s="587"/>
      <c r="H513" s="587"/>
      <c r="I513" s="587"/>
      <c r="J513" s="599"/>
      <c r="K513" s="587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  <c r="Z513" s="280"/>
      <c r="AA513" s="280"/>
    </row>
    <row r="514">
      <c r="A514" s="598"/>
      <c r="B514" s="587"/>
      <c r="C514" s="587"/>
      <c r="D514" s="587"/>
      <c r="E514" s="587"/>
      <c r="F514" s="587"/>
      <c r="G514" s="587"/>
      <c r="H514" s="587"/>
      <c r="I514" s="587"/>
      <c r="J514" s="599"/>
      <c r="K514" s="587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  <c r="Z514" s="280"/>
      <c r="AA514" s="280"/>
    </row>
    <row r="515">
      <c r="A515" s="598"/>
      <c r="B515" s="587"/>
      <c r="C515" s="587"/>
      <c r="D515" s="587"/>
      <c r="E515" s="587"/>
      <c r="F515" s="587"/>
      <c r="G515" s="587"/>
      <c r="H515" s="587"/>
      <c r="I515" s="587"/>
      <c r="J515" s="599"/>
      <c r="K515" s="587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  <c r="Z515" s="280"/>
      <c r="AA515" s="280"/>
    </row>
    <row r="516">
      <c r="A516" s="598"/>
      <c r="B516" s="587"/>
      <c r="C516" s="587"/>
      <c r="D516" s="587"/>
      <c r="E516" s="587"/>
      <c r="F516" s="587"/>
      <c r="G516" s="587"/>
      <c r="H516" s="587"/>
      <c r="I516" s="587"/>
      <c r="J516" s="599"/>
      <c r="K516" s="587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  <c r="Z516" s="280"/>
      <c r="AA516" s="280"/>
    </row>
    <row r="517">
      <c r="A517" s="598"/>
      <c r="B517" s="587"/>
      <c r="C517" s="587"/>
      <c r="D517" s="587"/>
      <c r="E517" s="587"/>
      <c r="F517" s="587"/>
      <c r="G517" s="587"/>
      <c r="H517" s="587"/>
      <c r="I517" s="587"/>
      <c r="J517" s="599"/>
      <c r="K517" s="587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  <c r="Z517" s="280"/>
      <c r="AA517" s="280"/>
    </row>
    <row r="518">
      <c r="A518" s="598"/>
      <c r="B518" s="587"/>
      <c r="C518" s="587"/>
      <c r="D518" s="587"/>
      <c r="E518" s="587"/>
      <c r="F518" s="587"/>
      <c r="G518" s="587"/>
      <c r="H518" s="587"/>
      <c r="I518" s="587"/>
      <c r="J518" s="599"/>
      <c r="K518" s="587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  <c r="Z518" s="280"/>
      <c r="AA518" s="280"/>
    </row>
    <row r="519">
      <c r="A519" s="598"/>
      <c r="B519" s="587"/>
      <c r="C519" s="587"/>
      <c r="D519" s="587"/>
      <c r="E519" s="587"/>
      <c r="F519" s="587"/>
      <c r="G519" s="587"/>
      <c r="H519" s="587"/>
      <c r="I519" s="587"/>
      <c r="J519" s="599"/>
      <c r="K519" s="587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  <c r="Z519" s="280"/>
      <c r="AA519" s="280"/>
    </row>
    <row r="520">
      <c r="A520" s="598"/>
      <c r="B520" s="587"/>
      <c r="C520" s="587"/>
      <c r="D520" s="587"/>
      <c r="E520" s="587"/>
      <c r="F520" s="587"/>
      <c r="G520" s="587"/>
      <c r="H520" s="587"/>
      <c r="I520" s="587"/>
      <c r="J520" s="599"/>
      <c r="K520" s="587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  <c r="Z520" s="280"/>
      <c r="AA520" s="280"/>
    </row>
    <row r="521">
      <c r="A521" s="598"/>
      <c r="B521" s="587"/>
      <c r="C521" s="587"/>
      <c r="D521" s="587"/>
      <c r="E521" s="587"/>
      <c r="F521" s="587"/>
      <c r="G521" s="587"/>
      <c r="H521" s="587"/>
      <c r="I521" s="587"/>
      <c r="J521" s="599"/>
      <c r="K521" s="587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  <c r="Z521" s="280"/>
      <c r="AA521" s="280"/>
    </row>
    <row r="522">
      <c r="A522" s="598"/>
      <c r="B522" s="587"/>
      <c r="C522" s="587"/>
      <c r="D522" s="587"/>
      <c r="E522" s="587"/>
      <c r="F522" s="587"/>
      <c r="G522" s="587"/>
      <c r="H522" s="587"/>
      <c r="I522" s="587"/>
      <c r="J522" s="599"/>
      <c r="K522" s="587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  <c r="Z522" s="280"/>
      <c r="AA522" s="280"/>
    </row>
    <row r="523">
      <c r="A523" s="598"/>
      <c r="B523" s="587"/>
      <c r="C523" s="587"/>
      <c r="D523" s="587"/>
      <c r="E523" s="587"/>
      <c r="F523" s="587"/>
      <c r="G523" s="587"/>
      <c r="H523" s="587"/>
      <c r="I523" s="587"/>
      <c r="J523" s="599"/>
      <c r="K523" s="587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  <c r="Z523" s="280"/>
      <c r="AA523" s="280"/>
    </row>
    <row r="524">
      <c r="A524" s="598"/>
      <c r="B524" s="587"/>
      <c r="C524" s="587"/>
      <c r="D524" s="587"/>
      <c r="E524" s="587"/>
      <c r="F524" s="587"/>
      <c r="G524" s="587"/>
      <c r="H524" s="587"/>
      <c r="I524" s="587"/>
      <c r="J524" s="599"/>
      <c r="K524" s="587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  <c r="Z524" s="280"/>
      <c r="AA524" s="280"/>
    </row>
    <row r="525">
      <c r="A525" s="598"/>
      <c r="B525" s="587"/>
      <c r="C525" s="587"/>
      <c r="D525" s="587"/>
      <c r="E525" s="587"/>
      <c r="F525" s="587"/>
      <c r="G525" s="587"/>
      <c r="H525" s="587"/>
      <c r="I525" s="587"/>
      <c r="J525" s="599"/>
      <c r="K525" s="587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  <c r="Z525" s="280"/>
      <c r="AA525" s="280"/>
    </row>
    <row r="526">
      <c r="A526" s="598"/>
      <c r="B526" s="587"/>
      <c r="C526" s="587"/>
      <c r="D526" s="587"/>
      <c r="E526" s="587"/>
      <c r="F526" s="587"/>
      <c r="G526" s="587"/>
      <c r="H526" s="587"/>
      <c r="I526" s="587"/>
      <c r="J526" s="599"/>
      <c r="K526" s="587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  <c r="Z526" s="280"/>
      <c r="AA526" s="280"/>
    </row>
    <row r="527">
      <c r="A527" s="598"/>
      <c r="B527" s="587"/>
      <c r="C527" s="587"/>
      <c r="D527" s="587"/>
      <c r="E527" s="587"/>
      <c r="F527" s="587"/>
      <c r="G527" s="587"/>
      <c r="H527" s="587"/>
      <c r="I527" s="587"/>
      <c r="J527" s="599"/>
      <c r="K527" s="587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  <c r="Z527" s="280"/>
      <c r="AA527" s="280"/>
    </row>
    <row r="528">
      <c r="A528" s="598"/>
      <c r="B528" s="587"/>
      <c r="C528" s="587"/>
      <c r="D528" s="587"/>
      <c r="E528" s="587"/>
      <c r="F528" s="587"/>
      <c r="G528" s="587"/>
      <c r="H528" s="587"/>
      <c r="I528" s="587"/>
      <c r="J528" s="599"/>
      <c r="K528" s="587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  <c r="Z528" s="280"/>
      <c r="AA528" s="280"/>
    </row>
    <row r="529">
      <c r="A529" s="598"/>
      <c r="B529" s="587"/>
      <c r="C529" s="587"/>
      <c r="D529" s="587"/>
      <c r="E529" s="587"/>
      <c r="F529" s="587"/>
      <c r="G529" s="587"/>
      <c r="H529" s="587"/>
      <c r="I529" s="587"/>
      <c r="J529" s="599"/>
      <c r="K529" s="587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  <c r="AA529" s="280"/>
    </row>
    <row r="530">
      <c r="A530" s="598"/>
      <c r="B530" s="587"/>
      <c r="C530" s="587"/>
      <c r="D530" s="587"/>
      <c r="E530" s="587"/>
      <c r="F530" s="587"/>
      <c r="G530" s="587"/>
      <c r="H530" s="587"/>
      <c r="I530" s="587"/>
      <c r="J530" s="599"/>
      <c r="K530" s="587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  <c r="Z530" s="280"/>
      <c r="AA530" s="280"/>
    </row>
    <row r="531">
      <c r="A531" s="598"/>
      <c r="B531" s="587"/>
      <c r="C531" s="587"/>
      <c r="D531" s="587"/>
      <c r="E531" s="587"/>
      <c r="F531" s="587"/>
      <c r="G531" s="587"/>
      <c r="H531" s="587"/>
      <c r="I531" s="587"/>
      <c r="J531" s="599"/>
      <c r="K531" s="587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  <c r="Z531" s="280"/>
      <c r="AA531" s="280"/>
    </row>
    <row r="532">
      <c r="A532" s="598"/>
      <c r="B532" s="587"/>
      <c r="C532" s="587"/>
      <c r="D532" s="587"/>
      <c r="E532" s="587"/>
      <c r="F532" s="587"/>
      <c r="G532" s="587"/>
      <c r="H532" s="587"/>
      <c r="I532" s="587"/>
      <c r="J532" s="599"/>
      <c r="K532" s="587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  <c r="Z532" s="280"/>
      <c r="AA532" s="280"/>
    </row>
    <row r="533">
      <c r="A533" s="598"/>
      <c r="B533" s="587"/>
      <c r="C533" s="587"/>
      <c r="D533" s="587"/>
      <c r="E533" s="587"/>
      <c r="F533" s="587"/>
      <c r="G533" s="587"/>
      <c r="H533" s="587"/>
      <c r="I533" s="587"/>
      <c r="J533" s="599"/>
      <c r="K533" s="587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  <c r="Z533" s="280"/>
      <c r="AA533" s="280"/>
    </row>
    <row r="534">
      <c r="A534" s="598"/>
      <c r="B534" s="587"/>
      <c r="C534" s="587"/>
      <c r="D534" s="587"/>
      <c r="E534" s="587"/>
      <c r="F534" s="587"/>
      <c r="G534" s="587"/>
      <c r="H534" s="587"/>
      <c r="I534" s="587"/>
      <c r="J534" s="599"/>
      <c r="K534" s="587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  <c r="Z534" s="280"/>
      <c r="AA534" s="280"/>
    </row>
    <row r="535">
      <c r="A535" s="598"/>
      <c r="B535" s="587"/>
      <c r="C535" s="587"/>
      <c r="D535" s="587"/>
      <c r="E535" s="587"/>
      <c r="F535" s="587"/>
      <c r="G535" s="587"/>
      <c r="H535" s="587"/>
      <c r="I535" s="587"/>
      <c r="J535" s="599"/>
      <c r="K535" s="587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  <c r="Z535" s="280"/>
      <c r="AA535" s="280"/>
    </row>
    <row r="536">
      <c r="A536" s="598"/>
      <c r="B536" s="587"/>
      <c r="C536" s="587"/>
      <c r="D536" s="587"/>
      <c r="E536" s="587"/>
      <c r="F536" s="587"/>
      <c r="G536" s="587"/>
      <c r="H536" s="587"/>
      <c r="I536" s="587"/>
      <c r="J536" s="599"/>
      <c r="K536" s="587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  <c r="Z536" s="280"/>
      <c r="AA536" s="280"/>
    </row>
    <row r="537">
      <c r="A537" s="598"/>
      <c r="B537" s="587"/>
      <c r="C537" s="587"/>
      <c r="D537" s="587"/>
      <c r="E537" s="587"/>
      <c r="F537" s="587"/>
      <c r="G537" s="587"/>
      <c r="H537" s="587"/>
      <c r="I537" s="587"/>
      <c r="J537" s="599"/>
      <c r="K537" s="587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  <c r="Z537" s="280"/>
      <c r="AA537" s="280"/>
    </row>
    <row r="538">
      <c r="A538" s="598"/>
      <c r="B538" s="587"/>
      <c r="C538" s="587"/>
      <c r="D538" s="587"/>
      <c r="E538" s="587"/>
      <c r="F538" s="587"/>
      <c r="G538" s="587"/>
      <c r="H538" s="587"/>
      <c r="I538" s="587"/>
      <c r="J538" s="599"/>
      <c r="K538" s="587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  <c r="Z538" s="280"/>
      <c r="AA538" s="280"/>
    </row>
    <row r="539">
      <c r="A539" s="598"/>
      <c r="B539" s="587"/>
      <c r="C539" s="587"/>
      <c r="D539" s="587"/>
      <c r="E539" s="587"/>
      <c r="F539" s="587"/>
      <c r="G539" s="587"/>
      <c r="H539" s="587"/>
      <c r="I539" s="587"/>
      <c r="J539" s="599"/>
      <c r="K539" s="587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  <c r="Z539" s="280"/>
      <c r="AA539" s="280"/>
    </row>
    <row r="540">
      <c r="A540" s="598"/>
      <c r="B540" s="587"/>
      <c r="C540" s="587"/>
      <c r="D540" s="587"/>
      <c r="E540" s="587"/>
      <c r="F540" s="587"/>
      <c r="G540" s="587"/>
      <c r="H540" s="587"/>
      <c r="I540" s="587"/>
      <c r="J540" s="599"/>
      <c r="K540" s="587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  <c r="Z540" s="280"/>
      <c r="AA540" s="280"/>
    </row>
    <row r="541">
      <c r="A541" s="598"/>
      <c r="B541" s="587"/>
      <c r="C541" s="587"/>
      <c r="D541" s="587"/>
      <c r="E541" s="587"/>
      <c r="F541" s="587"/>
      <c r="G541" s="587"/>
      <c r="H541" s="587"/>
      <c r="I541" s="587"/>
      <c r="J541" s="599"/>
      <c r="K541" s="587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  <c r="Z541" s="280"/>
      <c r="AA541" s="280"/>
    </row>
    <row r="542">
      <c r="A542" s="598"/>
      <c r="B542" s="587"/>
      <c r="C542" s="587"/>
      <c r="D542" s="587"/>
      <c r="E542" s="587"/>
      <c r="F542" s="587"/>
      <c r="G542" s="587"/>
      <c r="H542" s="587"/>
      <c r="I542" s="587"/>
      <c r="J542" s="599"/>
      <c r="K542" s="587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  <c r="Z542" s="280"/>
      <c r="AA542" s="280"/>
    </row>
    <row r="543">
      <c r="A543" s="598"/>
      <c r="B543" s="587"/>
      <c r="C543" s="587"/>
      <c r="D543" s="587"/>
      <c r="E543" s="587"/>
      <c r="F543" s="587"/>
      <c r="G543" s="587"/>
      <c r="H543" s="587"/>
      <c r="I543" s="587"/>
      <c r="J543" s="599"/>
      <c r="K543" s="587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  <c r="Z543" s="280"/>
      <c r="AA543" s="280"/>
    </row>
    <row r="544">
      <c r="A544" s="598"/>
      <c r="B544" s="587"/>
      <c r="C544" s="587"/>
      <c r="D544" s="587"/>
      <c r="E544" s="587"/>
      <c r="F544" s="587"/>
      <c r="G544" s="587"/>
      <c r="H544" s="587"/>
      <c r="I544" s="587"/>
      <c r="J544" s="599"/>
      <c r="K544" s="587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  <c r="Z544" s="280"/>
      <c r="AA544" s="280"/>
    </row>
    <row r="545">
      <c r="A545" s="598"/>
      <c r="B545" s="587"/>
      <c r="C545" s="587"/>
      <c r="D545" s="587"/>
      <c r="E545" s="587"/>
      <c r="F545" s="587"/>
      <c r="G545" s="587"/>
      <c r="H545" s="587"/>
      <c r="I545" s="587"/>
      <c r="J545" s="599"/>
      <c r="K545" s="587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  <c r="Z545" s="280"/>
      <c r="AA545" s="280"/>
    </row>
    <row r="546">
      <c r="A546" s="598"/>
      <c r="B546" s="587"/>
      <c r="C546" s="587"/>
      <c r="D546" s="587"/>
      <c r="E546" s="587"/>
      <c r="F546" s="587"/>
      <c r="G546" s="587"/>
      <c r="H546" s="587"/>
      <c r="I546" s="587"/>
      <c r="J546" s="599"/>
      <c r="K546" s="587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  <c r="Z546" s="280"/>
      <c r="AA546" s="280"/>
    </row>
    <row r="547">
      <c r="A547" s="598"/>
      <c r="B547" s="587"/>
      <c r="C547" s="587"/>
      <c r="D547" s="587"/>
      <c r="E547" s="587"/>
      <c r="F547" s="587"/>
      <c r="G547" s="587"/>
      <c r="H547" s="587"/>
      <c r="I547" s="587"/>
      <c r="J547" s="599"/>
      <c r="K547" s="587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  <c r="Z547" s="280"/>
      <c r="AA547" s="280"/>
    </row>
    <row r="548">
      <c r="A548" s="598"/>
      <c r="B548" s="587"/>
      <c r="C548" s="587"/>
      <c r="D548" s="587"/>
      <c r="E548" s="587"/>
      <c r="F548" s="587"/>
      <c r="G548" s="587"/>
      <c r="H548" s="587"/>
      <c r="I548" s="587"/>
      <c r="J548" s="599"/>
      <c r="K548" s="587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  <c r="Z548" s="280"/>
      <c r="AA548" s="280"/>
    </row>
    <row r="549">
      <c r="A549" s="598"/>
      <c r="B549" s="587"/>
      <c r="C549" s="587"/>
      <c r="D549" s="587"/>
      <c r="E549" s="587"/>
      <c r="F549" s="587"/>
      <c r="G549" s="587"/>
      <c r="H549" s="587"/>
      <c r="I549" s="587"/>
      <c r="J549" s="599"/>
      <c r="K549" s="587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  <c r="Z549" s="280"/>
      <c r="AA549" s="280"/>
    </row>
    <row r="550">
      <c r="A550" s="598"/>
      <c r="B550" s="587"/>
      <c r="C550" s="587"/>
      <c r="D550" s="587"/>
      <c r="E550" s="587"/>
      <c r="F550" s="587"/>
      <c r="G550" s="587"/>
      <c r="H550" s="587"/>
      <c r="I550" s="587"/>
      <c r="J550" s="599"/>
      <c r="K550" s="587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  <c r="Z550" s="280"/>
      <c r="AA550" s="280"/>
    </row>
    <row r="551">
      <c r="A551" s="598"/>
      <c r="B551" s="587"/>
      <c r="C551" s="587"/>
      <c r="D551" s="587"/>
      <c r="E551" s="587"/>
      <c r="F551" s="587"/>
      <c r="G551" s="587"/>
      <c r="H551" s="587"/>
      <c r="I551" s="587"/>
      <c r="J551" s="599"/>
      <c r="K551" s="587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  <c r="Z551" s="280"/>
      <c r="AA551" s="280"/>
    </row>
    <row r="552">
      <c r="A552" s="598"/>
      <c r="B552" s="587"/>
      <c r="C552" s="587"/>
      <c r="D552" s="587"/>
      <c r="E552" s="587"/>
      <c r="F552" s="587"/>
      <c r="G552" s="587"/>
      <c r="H552" s="587"/>
      <c r="I552" s="587"/>
      <c r="J552" s="599"/>
      <c r="K552" s="587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  <c r="Z552" s="280"/>
      <c r="AA552" s="280"/>
    </row>
    <row r="553">
      <c r="A553" s="598"/>
      <c r="B553" s="587"/>
      <c r="C553" s="587"/>
      <c r="D553" s="587"/>
      <c r="E553" s="587"/>
      <c r="F553" s="587"/>
      <c r="G553" s="587"/>
      <c r="H553" s="587"/>
      <c r="I553" s="587"/>
      <c r="J553" s="599"/>
      <c r="K553" s="587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  <c r="Z553" s="280"/>
      <c r="AA553" s="280"/>
    </row>
    <row r="554">
      <c r="A554" s="598"/>
      <c r="B554" s="587"/>
      <c r="C554" s="587"/>
      <c r="D554" s="587"/>
      <c r="E554" s="587"/>
      <c r="F554" s="587"/>
      <c r="G554" s="587"/>
      <c r="H554" s="587"/>
      <c r="I554" s="587"/>
      <c r="J554" s="599"/>
      <c r="K554" s="587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  <c r="AA554" s="280"/>
    </row>
    <row r="555">
      <c r="A555" s="598"/>
      <c r="B555" s="587"/>
      <c r="C555" s="587"/>
      <c r="D555" s="587"/>
      <c r="E555" s="587"/>
      <c r="F555" s="587"/>
      <c r="G555" s="587"/>
      <c r="H555" s="587"/>
      <c r="I555" s="587"/>
      <c r="J555" s="599"/>
      <c r="K555" s="587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  <c r="Z555" s="280"/>
      <c r="AA555" s="280"/>
    </row>
    <row r="556">
      <c r="A556" s="598"/>
      <c r="B556" s="587"/>
      <c r="C556" s="587"/>
      <c r="D556" s="587"/>
      <c r="E556" s="587"/>
      <c r="F556" s="587"/>
      <c r="G556" s="587"/>
      <c r="H556" s="587"/>
      <c r="I556" s="587"/>
      <c r="J556" s="599"/>
      <c r="K556" s="587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  <c r="Z556" s="280"/>
      <c r="AA556" s="280"/>
    </row>
    <row r="557">
      <c r="A557" s="598"/>
      <c r="B557" s="587"/>
      <c r="C557" s="587"/>
      <c r="D557" s="587"/>
      <c r="E557" s="587"/>
      <c r="F557" s="587"/>
      <c r="G557" s="587"/>
      <c r="H557" s="587"/>
      <c r="I557" s="587"/>
      <c r="J557" s="599"/>
      <c r="K557" s="587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  <c r="Z557" s="280"/>
      <c r="AA557" s="280"/>
    </row>
    <row r="558">
      <c r="A558" s="598"/>
      <c r="B558" s="587"/>
      <c r="C558" s="587"/>
      <c r="D558" s="587"/>
      <c r="E558" s="587"/>
      <c r="F558" s="587"/>
      <c r="G558" s="587"/>
      <c r="H558" s="587"/>
      <c r="I558" s="587"/>
      <c r="J558" s="599"/>
      <c r="K558" s="587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  <c r="Z558" s="280"/>
      <c r="AA558" s="280"/>
    </row>
    <row r="559">
      <c r="A559" s="598"/>
      <c r="B559" s="587"/>
      <c r="C559" s="587"/>
      <c r="D559" s="587"/>
      <c r="E559" s="587"/>
      <c r="F559" s="587"/>
      <c r="G559" s="587"/>
      <c r="H559" s="587"/>
      <c r="I559" s="587"/>
      <c r="J559" s="599"/>
      <c r="K559" s="587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  <c r="Z559" s="280"/>
      <c r="AA559" s="280"/>
    </row>
    <row r="560">
      <c r="A560" s="598"/>
      <c r="B560" s="587"/>
      <c r="C560" s="587"/>
      <c r="D560" s="587"/>
      <c r="E560" s="587"/>
      <c r="F560" s="587"/>
      <c r="G560" s="587"/>
      <c r="H560" s="587"/>
      <c r="I560" s="587"/>
      <c r="J560" s="599"/>
      <c r="K560" s="587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  <c r="Z560" s="280"/>
      <c r="AA560" s="280"/>
    </row>
    <row r="561">
      <c r="A561" s="598"/>
      <c r="B561" s="587"/>
      <c r="C561" s="587"/>
      <c r="D561" s="587"/>
      <c r="E561" s="587"/>
      <c r="F561" s="587"/>
      <c r="G561" s="587"/>
      <c r="H561" s="587"/>
      <c r="I561" s="587"/>
      <c r="J561" s="599"/>
      <c r="K561" s="587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  <c r="Z561" s="280"/>
      <c r="AA561" s="280"/>
    </row>
    <row r="562">
      <c r="A562" s="598"/>
      <c r="B562" s="587"/>
      <c r="C562" s="587"/>
      <c r="D562" s="587"/>
      <c r="E562" s="587"/>
      <c r="F562" s="587"/>
      <c r="G562" s="587"/>
      <c r="H562" s="587"/>
      <c r="I562" s="587"/>
      <c r="J562" s="599"/>
      <c r="K562" s="587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  <c r="Z562" s="280"/>
      <c r="AA562" s="280"/>
    </row>
    <row r="563">
      <c r="A563" s="598"/>
      <c r="B563" s="587"/>
      <c r="C563" s="587"/>
      <c r="D563" s="587"/>
      <c r="E563" s="587"/>
      <c r="F563" s="587"/>
      <c r="G563" s="587"/>
      <c r="H563" s="587"/>
      <c r="I563" s="587"/>
      <c r="J563" s="599"/>
      <c r="K563" s="587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  <c r="Z563" s="280"/>
      <c r="AA563" s="280"/>
    </row>
    <row r="564">
      <c r="A564" s="598"/>
      <c r="B564" s="587"/>
      <c r="C564" s="587"/>
      <c r="D564" s="587"/>
      <c r="E564" s="587"/>
      <c r="F564" s="587"/>
      <c r="G564" s="587"/>
      <c r="H564" s="587"/>
      <c r="I564" s="587"/>
      <c r="J564" s="599"/>
      <c r="K564" s="587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  <c r="Z564" s="280"/>
      <c r="AA564" s="280"/>
    </row>
    <row r="565">
      <c r="A565" s="598"/>
      <c r="B565" s="587"/>
      <c r="C565" s="587"/>
      <c r="D565" s="587"/>
      <c r="E565" s="587"/>
      <c r="F565" s="587"/>
      <c r="G565" s="587"/>
      <c r="H565" s="587"/>
      <c r="I565" s="587"/>
      <c r="J565" s="599"/>
      <c r="K565" s="587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  <c r="Z565" s="280"/>
      <c r="AA565" s="280"/>
    </row>
    <row r="566">
      <c r="A566" s="598"/>
      <c r="B566" s="587"/>
      <c r="C566" s="587"/>
      <c r="D566" s="587"/>
      <c r="E566" s="587"/>
      <c r="F566" s="587"/>
      <c r="G566" s="587"/>
      <c r="H566" s="587"/>
      <c r="I566" s="587"/>
      <c r="J566" s="599"/>
      <c r="K566" s="587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  <c r="Z566" s="280"/>
      <c r="AA566" s="280"/>
    </row>
    <row r="567">
      <c r="A567" s="598"/>
      <c r="B567" s="587"/>
      <c r="C567" s="587"/>
      <c r="D567" s="587"/>
      <c r="E567" s="587"/>
      <c r="F567" s="587"/>
      <c r="G567" s="587"/>
      <c r="H567" s="587"/>
      <c r="I567" s="587"/>
      <c r="J567" s="599"/>
      <c r="K567" s="587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  <c r="Z567" s="280"/>
      <c r="AA567" s="280"/>
    </row>
    <row r="568">
      <c r="A568" s="598"/>
      <c r="B568" s="587"/>
      <c r="C568" s="587"/>
      <c r="D568" s="587"/>
      <c r="E568" s="587"/>
      <c r="F568" s="587"/>
      <c r="G568" s="587"/>
      <c r="H568" s="587"/>
      <c r="I568" s="587"/>
      <c r="J568" s="599"/>
      <c r="K568" s="587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  <c r="Z568" s="280"/>
      <c r="AA568" s="280"/>
    </row>
    <row r="569">
      <c r="A569" s="598"/>
      <c r="B569" s="587"/>
      <c r="C569" s="587"/>
      <c r="D569" s="587"/>
      <c r="E569" s="587"/>
      <c r="F569" s="587"/>
      <c r="G569" s="587"/>
      <c r="H569" s="587"/>
      <c r="I569" s="587"/>
      <c r="J569" s="599"/>
      <c r="K569" s="587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  <c r="Z569" s="280"/>
      <c r="AA569" s="280"/>
    </row>
    <row r="570">
      <c r="A570" s="598"/>
      <c r="B570" s="587"/>
      <c r="C570" s="587"/>
      <c r="D570" s="587"/>
      <c r="E570" s="587"/>
      <c r="F570" s="587"/>
      <c r="G570" s="587"/>
      <c r="H570" s="587"/>
      <c r="I570" s="587"/>
      <c r="J570" s="599"/>
      <c r="K570" s="587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  <c r="AA570" s="280"/>
    </row>
    <row r="571">
      <c r="A571" s="598"/>
      <c r="B571" s="587"/>
      <c r="C571" s="587"/>
      <c r="D571" s="587"/>
      <c r="E571" s="587"/>
      <c r="F571" s="587"/>
      <c r="G571" s="587"/>
      <c r="H571" s="587"/>
      <c r="I571" s="587"/>
      <c r="J571" s="599"/>
      <c r="K571" s="587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  <c r="Z571" s="280"/>
      <c r="AA571" s="280"/>
    </row>
    <row r="572">
      <c r="A572" s="598"/>
      <c r="B572" s="587"/>
      <c r="C572" s="587"/>
      <c r="D572" s="587"/>
      <c r="E572" s="587"/>
      <c r="F572" s="587"/>
      <c r="G572" s="587"/>
      <c r="H572" s="587"/>
      <c r="I572" s="587"/>
      <c r="J572" s="599"/>
      <c r="K572" s="587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  <c r="Z572" s="280"/>
      <c r="AA572" s="280"/>
    </row>
    <row r="573">
      <c r="A573" s="598"/>
      <c r="B573" s="587"/>
      <c r="C573" s="587"/>
      <c r="D573" s="587"/>
      <c r="E573" s="587"/>
      <c r="F573" s="587"/>
      <c r="G573" s="587"/>
      <c r="H573" s="587"/>
      <c r="I573" s="587"/>
      <c r="J573" s="599"/>
      <c r="K573" s="587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  <c r="AA573" s="280"/>
    </row>
    <row r="574">
      <c r="A574" s="598"/>
      <c r="B574" s="587"/>
      <c r="C574" s="587"/>
      <c r="D574" s="587"/>
      <c r="E574" s="587"/>
      <c r="F574" s="587"/>
      <c r="G574" s="587"/>
      <c r="H574" s="587"/>
      <c r="I574" s="587"/>
      <c r="J574" s="599"/>
      <c r="K574" s="587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  <c r="Z574" s="280"/>
      <c r="AA574" s="280"/>
    </row>
    <row r="575">
      <c r="A575" s="598"/>
      <c r="B575" s="587"/>
      <c r="C575" s="587"/>
      <c r="D575" s="587"/>
      <c r="E575" s="587"/>
      <c r="F575" s="587"/>
      <c r="G575" s="587"/>
      <c r="H575" s="587"/>
      <c r="I575" s="587"/>
      <c r="J575" s="599"/>
      <c r="K575" s="587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  <c r="Z575" s="280"/>
      <c r="AA575" s="280"/>
    </row>
    <row r="576">
      <c r="A576" s="598"/>
      <c r="B576" s="587"/>
      <c r="C576" s="587"/>
      <c r="D576" s="587"/>
      <c r="E576" s="587"/>
      <c r="F576" s="587"/>
      <c r="G576" s="587"/>
      <c r="H576" s="587"/>
      <c r="I576" s="587"/>
      <c r="J576" s="599"/>
      <c r="K576" s="587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  <c r="Z576" s="280"/>
      <c r="AA576" s="280"/>
    </row>
    <row r="577">
      <c r="A577" s="598"/>
      <c r="B577" s="587"/>
      <c r="C577" s="587"/>
      <c r="D577" s="587"/>
      <c r="E577" s="587"/>
      <c r="F577" s="587"/>
      <c r="G577" s="587"/>
      <c r="H577" s="587"/>
      <c r="I577" s="587"/>
      <c r="J577" s="599"/>
      <c r="K577" s="587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  <c r="Z577" s="280"/>
      <c r="AA577" s="280"/>
    </row>
    <row r="578">
      <c r="A578" s="598"/>
      <c r="B578" s="587"/>
      <c r="C578" s="587"/>
      <c r="D578" s="587"/>
      <c r="E578" s="587"/>
      <c r="F578" s="587"/>
      <c r="G578" s="587"/>
      <c r="H578" s="587"/>
      <c r="I578" s="587"/>
      <c r="J578" s="599"/>
      <c r="K578" s="587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  <c r="Z578" s="280"/>
      <c r="AA578" s="280"/>
    </row>
    <row r="579">
      <c r="A579" s="598"/>
      <c r="B579" s="587"/>
      <c r="C579" s="587"/>
      <c r="D579" s="587"/>
      <c r="E579" s="587"/>
      <c r="F579" s="587"/>
      <c r="G579" s="587"/>
      <c r="H579" s="587"/>
      <c r="I579" s="587"/>
      <c r="J579" s="599"/>
      <c r="K579" s="587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  <c r="Z579" s="280"/>
      <c r="AA579" s="280"/>
    </row>
    <row r="580">
      <c r="A580" s="598"/>
      <c r="B580" s="587"/>
      <c r="C580" s="587"/>
      <c r="D580" s="587"/>
      <c r="E580" s="587"/>
      <c r="F580" s="587"/>
      <c r="G580" s="587"/>
      <c r="H580" s="587"/>
      <c r="I580" s="587"/>
      <c r="J580" s="599"/>
      <c r="K580" s="587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  <c r="Z580" s="280"/>
      <c r="AA580" s="280"/>
    </row>
    <row r="581">
      <c r="A581" s="598"/>
      <c r="B581" s="587"/>
      <c r="C581" s="587"/>
      <c r="D581" s="587"/>
      <c r="E581" s="587"/>
      <c r="F581" s="587"/>
      <c r="G581" s="587"/>
      <c r="H581" s="587"/>
      <c r="I581" s="587"/>
      <c r="J581" s="599"/>
      <c r="K581" s="587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  <c r="Z581" s="280"/>
      <c r="AA581" s="280"/>
    </row>
    <row r="582">
      <c r="A582" s="598"/>
      <c r="B582" s="587"/>
      <c r="C582" s="587"/>
      <c r="D582" s="587"/>
      <c r="E582" s="587"/>
      <c r="F582" s="587"/>
      <c r="G582" s="587"/>
      <c r="H582" s="587"/>
      <c r="I582" s="587"/>
      <c r="J582" s="599"/>
      <c r="K582" s="587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  <c r="Z582" s="280"/>
      <c r="AA582" s="280"/>
    </row>
    <row r="583">
      <c r="A583" s="598"/>
      <c r="B583" s="587"/>
      <c r="C583" s="587"/>
      <c r="D583" s="587"/>
      <c r="E583" s="587"/>
      <c r="F583" s="587"/>
      <c r="G583" s="587"/>
      <c r="H583" s="587"/>
      <c r="I583" s="587"/>
      <c r="J583" s="599"/>
      <c r="K583" s="587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  <c r="Z583" s="280"/>
      <c r="AA583" s="280"/>
    </row>
    <row r="584">
      <c r="A584" s="598"/>
      <c r="B584" s="587"/>
      <c r="C584" s="587"/>
      <c r="D584" s="587"/>
      <c r="E584" s="587"/>
      <c r="F584" s="587"/>
      <c r="G584" s="587"/>
      <c r="H584" s="587"/>
      <c r="I584" s="587"/>
      <c r="J584" s="599"/>
      <c r="K584" s="587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  <c r="Z584" s="280"/>
      <c r="AA584" s="280"/>
    </row>
    <row r="585">
      <c r="A585" s="598"/>
      <c r="B585" s="587"/>
      <c r="C585" s="587"/>
      <c r="D585" s="587"/>
      <c r="E585" s="587"/>
      <c r="F585" s="587"/>
      <c r="G585" s="587"/>
      <c r="H585" s="587"/>
      <c r="I585" s="587"/>
      <c r="J585" s="599"/>
      <c r="K585" s="587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  <c r="Z585" s="280"/>
      <c r="AA585" s="280"/>
    </row>
    <row r="586">
      <c r="A586" s="598"/>
      <c r="B586" s="587"/>
      <c r="C586" s="587"/>
      <c r="D586" s="587"/>
      <c r="E586" s="587"/>
      <c r="F586" s="587"/>
      <c r="G586" s="587"/>
      <c r="H586" s="587"/>
      <c r="I586" s="587"/>
      <c r="J586" s="599"/>
      <c r="K586" s="587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  <c r="Z586" s="280"/>
      <c r="AA586" s="280"/>
    </row>
    <row r="587">
      <c r="A587" s="598"/>
      <c r="B587" s="587"/>
      <c r="C587" s="587"/>
      <c r="D587" s="587"/>
      <c r="E587" s="587"/>
      <c r="F587" s="587"/>
      <c r="G587" s="587"/>
      <c r="H587" s="587"/>
      <c r="I587" s="587"/>
      <c r="J587" s="599"/>
      <c r="K587" s="587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  <c r="Z587" s="280"/>
      <c r="AA587" s="280"/>
    </row>
    <row r="588">
      <c r="A588" s="598"/>
      <c r="B588" s="587"/>
      <c r="C588" s="587"/>
      <c r="D588" s="587"/>
      <c r="E588" s="587"/>
      <c r="F588" s="587"/>
      <c r="G588" s="587"/>
      <c r="H588" s="587"/>
      <c r="I588" s="587"/>
      <c r="J588" s="599"/>
      <c r="K588" s="587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  <c r="Z588" s="280"/>
      <c r="AA588" s="280"/>
    </row>
    <row r="589">
      <c r="A589" s="598"/>
      <c r="B589" s="587"/>
      <c r="C589" s="587"/>
      <c r="D589" s="587"/>
      <c r="E589" s="587"/>
      <c r="F589" s="587"/>
      <c r="G589" s="587"/>
      <c r="H589" s="587"/>
      <c r="I589" s="587"/>
      <c r="J589" s="599"/>
      <c r="K589" s="587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  <c r="AA589" s="280"/>
    </row>
    <row r="590">
      <c r="A590" s="598"/>
      <c r="B590" s="587"/>
      <c r="C590" s="587"/>
      <c r="D590" s="587"/>
      <c r="E590" s="587"/>
      <c r="F590" s="587"/>
      <c r="G590" s="587"/>
      <c r="H590" s="587"/>
      <c r="I590" s="587"/>
      <c r="J590" s="599"/>
      <c r="K590" s="587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  <c r="Z590" s="280"/>
      <c r="AA590" s="280"/>
    </row>
    <row r="591">
      <c r="A591" s="598"/>
      <c r="B591" s="587"/>
      <c r="C591" s="587"/>
      <c r="D591" s="587"/>
      <c r="E591" s="587"/>
      <c r="F591" s="587"/>
      <c r="G591" s="587"/>
      <c r="H591" s="587"/>
      <c r="I591" s="587"/>
      <c r="J591" s="599"/>
      <c r="K591" s="587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  <c r="Z591" s="280"/>
      <c r="AA591" s="280"/>
    </row>
    <row r="592">
      <c r="A592" s="598"/>
      <c r="B592" s="587"/>
      <c r="C592" s="587"/>
      <c r="D592" s="587"/>
      <c r="E592" s="587"/>
      <c r="F592" s="587"/>
      <c r="G592" s="587"/>
      <c r="H592" s="587"/>
      <c r="I592" s="587"/>
      <c r="J592" s="599"/>
      <c r="K592" s="587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  <c r="Z592" s="280"/>
      <c r="AA592" s="280"/>
    </row>
    <row r="593">
      <c r="A593" s="598"/>
      <c r="B593" s="587"/>
      <c r="C593" s="587"/>
      <c r="D593" s="587"/>
      <c r="E593" s="587"/>
      <c r="F593" s="587"/>
      <c r="G593" s="587"/>
      <c r="H593" s="587"/>
      <c r="I593" s="587"/>
      <c r="J593" s="599"/>
      <c r="K593" s="587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  <c r="Z593" s="280"/>
      <c r="AA593" s="280"/>
    </row>
    <row r="594">
      <c r="A594" s="598"/>
      <c r="B594" s="587"/>
      <c r="C594" s="587"/>
      <c r="D594" s="587"/>
      <c r="E594" s="587"/>
      <c r="F594" s="587"/>
      <c r="G594" s="587"/>
      <c r="H594" s="587"/>
      <c r="I594" s="587"/>
      <c r="J594" s="599"/>
      <c r="K594" s="587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  <c r="Z594" s="280"/>
      <c r="AA594" s="280"/>
    </row>
    <row r="595">
      <c r="A595" s="598"/>
      <c r="B595" s="587"/>
      <c r="C595" s="587"/>
      <c r="D595" s="587"/>
      <c r="E595" s="587"/>
      <c r="F595" s="587"/>
      <c r="G595" s="587"/>
      <c r="H595" s="587"/>
      <c r="I595" s="587"/>
      <c r="J595" s="599"/>
      <c r="K595" s="587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  <c r="Z595" s="280"/>
      <c r="AA595" s="280"/>
    </row>
    <row r="596">
      <c r="A596" s="598"/>
      <c r="B596" s="587"/>
      <c r="C596" s="587"/>
      <c r="D596" s="587"/>
      <c r="E596" s="587"/>
      <c r="F596" s="587"/>
      <c r="G596" s="587"/>
      <c r="H596" s="587"/>
      <c r="I596" s="587"/>
      <c r="J596" s="599"/>
      <c r="K596" s="587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  <c r="Z596" s="280"/>
      <c r="AA596" s="280"/>
    </row>
    <row r="597">
      <c r="A597" s="598"/>
      <c r="B597" s="587"/>
      <c r="C597" s="587"/>
      <c r="D597" s="587"/>
      <c r="E597" s="587"/>
      <c r="F597" s="587"/>
      <c r="G597" s="587"/>
      <c r="H597" s="587"/>
      <c r="I597" s="587"/>
      <c r="J597" s="599"/>
      <c r="K597" s="587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  <c r="Z597" s="280"/>
      <c r="AA597" s="280"/>
    </row>
    <row r="598">
      <c r="A598" s="598"/>
      <c r="B598" s="587"/>
      <c r="C598" s="587"/>
      <c r="D598" s="587"/>
      <c r="E598" s="587"/>
      <c r="F598" s="587"/>
      <c r="G598" s="587"/>
      <c r="H598" s="587"/>
      <c r="I598" s="587"/>
      <c r="J598" s="599"/>
      <c r="K598" s="587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  <c r="Z598" s="280"/>
      <c r="AA598" s="280"/>
    </row>
    <row r="599">
      <c r="A599" s="598"/>
      <c r="B599" s="587"/>
      <c r="C599" s="587"/>
      <c r="D599" s="587"/>
      <c r="E599" s="587"/>
      <c r="F599" s="587"/>
      <c r="G599" s="587"/>
      <c r="H599" s="587"/>
      <c r="I599" s="587"/>
      <c r="J599" s="599"/>
      <c r="K599" s="587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  <c r="Z599" s="280"/>
      <c r="AA599" s="280"/>
    </row>
    <row r="600">
      <c r="A600" s="598"/>
      <c r="B600" s="587"/>
      <c r="C600" s="587"/>
      <c r="D600" s="587"/>
      <c r="E600" s="587"/>
      <c r="F600" s="587"/>
      <c r="G600" s="587"/>
      <c r="H600" s="587"/>
      <c r="I600" s="587"/>
      <c r="J600" s="599"/>
      <c r="K600" s="587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  <c r="Z600" s="280"/>
      <c r="AA600" s="280"/>
    </row>
    <row r="601">
      <c r="A601" s="598"/>
      <c r="B601" s="587"/>
      <c r="C601" s="587"/>
      <c r="D601" s="587"/>
      <c r="E601" s="587"/>
      <c r="F601" s="587"/>
      <c r="G601" s="587"/>
      <c r="H601" s="587"/>
      <c r="I601" s="587"/>
      <c r="J601" s="599"/>
      <c r="K601" s="587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  <c r="Z601" s="280"/>
      <c r="AA601" s="280"/>
    </row>
    <row r="602">
      <c r="A602" s="598"/>
      <c r="B602" s="587"/>
      <c r="C602" s="587"/>
      <c r="D602" s="587"/>
      <c r="E602" s="587"/>
      <c r="F602" s="587"/>
      <c r="G602" s="587"/>
      <c r="H602" s="587"/>
      <c r="I602" s="587"/>
      <c r="J602" s="599"/>
      <c r="K602" s="587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  <c r="Z602" s="280"/>
      <c r="AA602" s="280"/>
    </row>
    <row r="603">
      <c r="A603" s="598"/>
      <c r="B603" s="587"/>
      <c r="C603" s="587"/>
      <c r="D603" s="587"/>
      <c r="E603" s="587"/>
      <c r="F603" s="587"/>
      <c r="G603" s="587"/>
      <c r="H603" s="587"/>
      <c r="I603" s="587"/>
      <c r="J603" s="599"/>
      <c r="K603" s="587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  <c r="Z603" s="280"/>
      <c r="AA603" s="280"/>
    </row>
    <row r="604">
      <c r="A604" s="598"/>
      <c r="B604" s="587"/>
      <c r="C604" s="587"/>
      <c r="D604" s="587"/>
      <c r="E604" s="587"/>
      <c r="F604" s="587"/>
      <c r="G604" s="587"/>
      <c r="H604" s="587"/>
      <c r="I604" s="587"/>
      <c r="J604" s="599"/>
      <c r="K604" s="587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  <c r="Z604" s="280"/>
      <c r="AA604" s="280"/>
    </row>
    <row r="605">
      <c r="A605" s="598"/>
      <c r="B605" s="587"/>
      <c r="C605" s="587"/>
      <c r="D605" s="587"/>
      <c r="E605" s="587"/>
      <c r="F605" s="587"/>
      <c r="G605" s="587"/>
      <c r="H605" s="587"/>
      <c r="I605" s="587"/>
      <c r="J605" s="599"/>
      <c r="K605" s="587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  <c r="Z605" s="280"/>
      <c r="AA605" s="280"/>
    </row>
    <row r="606">
      <c r="A606" s="598"/>
      <c r="B606" s="587"/>
      <c r="C606" s="587"/>
      <c r="D606" s="587"/>
      <c r="E606" s="587"/>
      <c r="F606" s="587"/>
      <c r="G606" s="587"/>
      <c r="H606" s="587"/>
      <c r="I606" s="587"/>
      <c r="J606" s="599"/>
      <c r="K606" s="587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  <c r="Z606" s="280"/>
      <c r="AA606" s="280"/>
    </row>
    <row r="607">
      <c r="A607" s="598"/>
      <c r="B607" s="587"/>
      <c r="C607" s="587"/>
      <c r="D607" s="587"/>
      <c r="E607" s="587"/>
      <c r="F607" s="587"/>
      <c r="G607" s="587"/>
      <c r="H607" s="587"/>
      <c r="I607" s="587"/>
      <c r="J607" s="599"/>
      <c r="K607" s="587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  <c r="Z607" s="280"/>
      <c r="AA607" s="280"/>
    </row>
    <row r="608">
      <c r="A608" s="598"/>
      <c r="B608" s="587"/>
      <c r="C608" s="587"/>
      <c r="D608" s="587"/>
      <c r="E608" s="587"/>
      <c r="F608" s="587"/>
      <c r="G608" s="587"/>
      <c r="H608" s="587"/>
      <c r="I608" s="587"/>
      <c r="J608" s="599"/>
      <c r="K608" s="587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  <c r="Z608" s="280"/>
      <c r="AA608" s="280"/>
    </row>
    <row r="609">
      <c r="A609" s="598"/>
      <c r="B609" s="587"/>
      <c r="C609" s="587"/>
      <c r="D609" s="587"/>
      <c r="E609" s="587"/>
      <c r="F609" s="587"/>
      <c r="G609" s="587"/>
      <c r="H609" s="587"/>
      <c r="I609" s="587"/>
      <c r="J609" s="599"/>
      <c r="K609" s="587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  <c r="Z609" s="280"/>
      <c r="AA609" s="280"/>
    </row>
    <row r="610">
      <c r="A610" s="598"/>
      <c r="B610" s="587"/>
      <c r="C610" s="587"/>
      <c r="D610" s="587"/>
      <c r="E610" s="587"/>
      <c r="F610" s="587"/>
      <c r="G610" s="587"/>
      <c r="H610" s="587"/>
      <c r="I610" s="587"/>
      <c r="J610" s="599"/>
      <c r="K610" s="587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  <c r="Z610" s="280"/>
      <c r="AA610" s="280"/>
    </row>
    <row r="611">
      <c r="A611" s="598"/>
      <c r="B611" s="587"/>
      <c r="C611" s="587"/>
      <c r="D611" s="587"/>
      <c r="E611" s="587"/>
      <c r="F611" s="587"/>
      <c r="G611" s="587"/>
      <c r="H611" s="587"/>
      <c r="I611" s="587"/>
      <c r="J611" s="599"/>
      <c r="K611" s="587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  <c r="Z611" s="280"/>
      <c r="AA611" s="280"/>
    </row>
    <row r="612">
      <c r="A612" s="598"/>
      <c r="B612" s="587"/>
      <c r="C612" s="587"/>
      <c r="D612" s="587"/>
      <c r="E612" s="587"/>
      <c r="F612" s="587"/>
      <c r="G612" s="587"/>
      <c r="H612" s="587"/>
      <c r="I612" s="587"/>
      <c r="J612" s="599"/>
      <c r="K612" s="587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  <c r="Z612" s="280"/>
      <c r="AA612" s="280"/>
    </row>
    <row r="613">
      <c r="A613" s="598"/>
      <c r="B613" s="587"/>
      <c r="C613" s="587"/>
      <c r="D613" s="587"/>
      <c r="E613" s="587"/>
      <c r="F613" s="587"/>
      <c r="G613" s="587"/>
      <c r="H613" s="587"/>
      <c r="I613" s="587"/>
      <c r="J613" s="599"/>
      <c r="K613" s="587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  <c r="Z613" s="280"/>
      <c r="AA613" s="280"/>
    </row>
    <row r="614">
      <c r="A614" s="598"/>
      <c r="B614" s="587"/>
      <c r="C614" s="587"/>
      <c r="D614" s="587"/>
      <c r="E614" s="587"/>
      <c r="F614" s="587"/>
      <c r="G614" s="587"/>
      <c r="H614" s="587"/>
      <c r="I614" s="587"/>
      <c r="J614" s="599"/>
      <c r="K614" s="587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  <c r="Z614" s="280"/>
      <c r="AA614" s="280"/>
    </row>
    <row r="615">
      <c r="A615" s="598"/>
      <c r="B615" s="587"/>
      <c r="C615" s="587"/>
      <c r="D615" s="587"/>
      <c r="E615" s="587"/>
      <c r="F615" s="587"/>
      <c r="G615" s="587"/>
      <c r="H615" s="587"/>
      <c r="I615" s="587"/>
      <c r="J615" s="599"/>
      <c r="K615" s="587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  <c r="AA615" s="280"/>
    </row>
    <row r="616">
      <c r="A616" s="598"/>
      <c r="B616" s="587"/>
      <c r="C616" s="587"/>
      <c r="D616" s="587"/>
      <c r="E616" s="587"/>
      <c r="F616" s="587"/>
      <c r="G616" s="587"/>
      <c r="H616" s="587"/>
      <c r="I616" s="587"/>
      <c r="J616" s="599"/>
      <c r="K616" s="587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  <c r="Z616" s="280"/>
      <c r="AA616" s="280"/>
    </row>
    <row r="617">
      <c r="A617" s="598"/>
      <c r="B617" s="587"/>
      <c r="C617" s="587"/>
      <c r="D617" s="587"/>
      <c r="E617" s="587"/>
      <c r="F617" s="587"/>
      <c r="G617" s="587"/>
      <c r="H617" s="587"/>
      <c r="I617" s="587"/>
      <c r="J617" s="599"/>
      <c r="K617" s="587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  <c r="Z617" s="280"/>
      <c r="AA617" s="280"/>
    </row>
    <row r="618">
      <c r="A618" s="598"/>
      <c r="B618" s="587"/>
      <c r="C618" s="587"/>
      <c r="D618" s="587"/>
      <c r="E618" s="587"/>
      <c r="F618" s="587"/>
      <c r="G618" s="587"/>
      <c r="H618" s="587"/>
      <c r="I618" s="587"/>
      <c r="J618" s="599"/>
      <c r="K618" s="587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  <c r="Z618" s="280"/>
      <c r="AA618" s="280"/>
    </row>
    <row r="619">
      <c r="A619" s="598"/>
      <c r="B619" s="587"/>
      <c r="C619" s="587"/>
      <c r="D619" s="587"/>
      <c r="E619" s="587"/>
      <c r="F619" s="587"/>
      <c r="G619" s="587"/>
      <c r="H619" s="587"/>
      <c r="I619" s="587"/>
      <c r="J619" s="599"/>
      <c r="K619" s="587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  <c r="Z619" s="280"/>
      <c r="AA619" s="280"/>
    </row>
    <row r="620">
      <c r="A620" s="598"/>
      <c r="B620" s="587"/>
      <c r="C620" s="587"/>
      <c r="D620" s="587"/>
      <c r="E620" s="587"/>
      <c r="F620" s="587"/>
      <c r="G620" s="587"/>
      <c r="H620" s="587"/>
      <c r="I620" s="587"/>
      <c r="J620" s="599"/>
      <c r="K620" s="587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  <c r="Z620" s="280"/>
      <c r="AA620" s="280"/>
    </row>
    <row r="621">
      <c r="A621" s="598"/>
      <c r="B621" s="587"/>
      <c r="C621" s="587"/>
      <c r="D621" s="587"/>
      <c r="E621" s="587"/>
      <c r="F621" s="587"/>
      <c r="G621" s="587"/>
      <c r="H621" s="587"/>
      <c r="I621" s="587"/>
      <c r="J621" s="599"/>
      <c r="K621" s="587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  <c r="Z621" s="280"/>
      <c r="AA621" s="280"/>
    </row>
    <row r="622">
      <c r="A622" s="598"/>
      <c r="B622" s="587"/>
      <c r="C622" s="587"/>
      <c r="D622" s="587"/>
      <c r="E622" s="587"/>
      <c r="F622" s="587"/>
      <c r="G622" s="587"/>
      <c r="H622" s="587"/>
      <c r="I622" s="587"/>
      <c r="J622" s="599"/>
      <c r="K622" s="587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  <c r="Z622" s="280"/>
      <c r="AA622" s="280"/>
    </row>
    <row r="623">
      <c r="A623" s="598"/>
      <c r="B623" s="587"/>
      <c r="C623" s="587"/>
      <c r="D623" s="587"/>
      <c r="E623" s="587"/>
      <c r="F623" s="587"/>
      <c r="G623" s="587"/>
      <c r="H623" s="587"/>
      <c r="I623" s="587"/>
      <c r="J623" s="599"/>
      <c r="K623" s="587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  <c r="Z623" s="280"/>
      <c r="AA623" s="280"/>
    </row>
    <row r="624">
      <c r="A624" s="598"/>
      <c r="B624" s="587"/>
      <c r="C624" s="587"/>
      <c r="D624" s="587"/>
      <c r="E624" s="587"/>
      <c r="F624" s="587"/>
      <c r="G624" s="587"/>
      <c r="H624" s="587"/>
      <c r="I624" s="587"/>
      <c r="J624" s="599"/>
      <c r="K624" s="587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  <c r="Z624" s="280"/>
      <c r="AA624" s="280"/>
    </row>
    <row r="625">
      <c r="A625" s="598"/>
      <c r="B625" s="587"/>
      <c r="C625" s="587"/>
      <c r="D625" s="587"/>
      <c r="E625" s="587"/>
      <c r="F625" s="587"/>
      <c r="G625" s="587"/>
      <c r="H625" s="587"/>
      <c r="I625" s="587"/>
      <c r="J625" s="599"/>
      <c r="K625" s="587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  <c r="Z625" s="280"/>
      <c r="AA625" s="280"/>
    </row>
    <row r="626">
      <c r="A626" s="598"/>
      <c r="B626" s="587"/>
      <c r="C626" s="587"/>
      <c r="D626" s="587"/>
      <c r="E626" s="587"/>
      <c r="F626" s="587"/>
      <c r="G626" s="587"/>
      <c r="H626" s="587"/>
      <c r="I626" s="587"/>
      <c r="J626" s="599"/>
      <c r="K626" s="587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  <c r="Z626" s="280"/>
      <c r="AA626" s="280"/>
    </row>
    <row r="627">
      <c r="A627" s="598"/>
      <c r="B627" s="587"/>
      <c r="C627" s="587"/>
      <c r="D627" s="587"/>
      <c r="E627" s="587"/>
      <c r="F627" s="587"/>
      <c r="G627" s="587"/>
      <c r="H627" s="587"/>
      <c r="I627" s="587"/>
      <c r="J627" s="599"/>
      <c r="K627" s="587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  <c r="Z627" s="280"/>
      <c r="AA627" s="280"/>
    </row>
    <row r="628">
      <c r="A628" s="598"/>
      <c r="B628" s="587"/>
      <c r="C628" s="587"/>
      <c r="D628" s="587"/>
      <c r="E628" s="587"/>
      <c r="F628" s="587"/>
      <c r="G628" s="587"/>
      <c r="H628" s="587"/>
      <c r="I628" s="587"/>
      <c r="J628" s="599"/>
      <c r="K628" s="587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  <c r="Z628" s="280"/>
      <c r="AA628" s="280"/>
    </row>
    <row r="629">
      <c r="A629" s="598"/>
      <c r="B629" s="587"/>
      <c r="C629" s="587"/>
      <c r="D629" s="587"/>
      <c r="E629" s="587"/>
      <c r="F629" s="587"/>
      <c r="G629" s="587"/>
      <c r="H629" s="587"/>
      <c r="I629" s="587"/>
      <c r="J629" s="599"/>
      <c r="K629" s="587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  <c r="Z629" s="280"/>
      <c r="AA629" s="280"/>
    </row>
    <row r="630">
      <c r="A630" s="598"/>
      <c r="B630" s="587"/>
      <c r="C630" s="587"/>
      <c r="D630" s="587"/>
      <c r="E630" s="587"/>
      <c r="F630" s="587"/>
      <c r="G630" s="587"/>
      <c r="H630" s="587"/>
      <c r="I630" s="587"/>
      <c r="J630" s="599"/>
      <c r="K630" s="587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  <c r="Z630" s="280"/>
      <c r="AA630" s="280"/>
    </row>
    <row r="631">
      <c r="A631" s="598"/>
      <c r="B631" s="587"/>
      <c r="C631" s="587"/>
      <c r="D631" s="587"/>
      <c r="E631" s="587"/>
      <c r="F631" s="587"/>
      <c r="G631" s="587"/>
      <c r="H631" s="587"/>
      <c r="I631" s="587"/>
      <c r="J631" s="599"/>
      <c r="K631" s="587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  <c r="Z631" s="280"/>
      <c r="AA631" s="280"/>
    </row>
    <row r="632">
      <c r="A632" s="598"/>
      <c r="B632" s="587"/>
      <c r="C632" s="587"/>
      <c r="D632" s="587"/>
      <c r="E632" s="587"/>
      <c r="F632" s="587"/>
      <c r="G632" s="587"/>
      <c r="H632" s="587"/>
      <c r="I632" s="587"/>
      <c r="J632" s="599"/>
      <c r="K632" s="587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  <c r="Z632" s="280"/>
      <c r="AA632" s="280"/>
    </row>
    <row r="633">
      <c r="A633" s="598"/>
      <c r="B633" s="587"/>
      <c r="C633" s="587"/>
      <c r="D633" s="587"/>
      <c r="E633" s="587"/>
      <c r="F633" s="587"/>
      <c r="G633" s="587"/>
      <c r="H633" s="587"/>
      <c r="I633" s="587"/>
      <c r="J633" s="599"/>
      <c r="K633" s="587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  <c r="Z633" s="280"/>
      <c r="AA633" s="280"/>
    </row>
    <row r="634">
      <c r="A634" s="598"/>
      <c r="B634" s="587"/>
      <c r="C634" s="587"/>
      <c r="D634" s="587"/>
      <c r="E634" s="587"/>
      <c r="F634" s="587"/>
      <c r="G634" s="587"/>
      <c r="H634" s="587"/>
      <c r="I634" s="587"/>
      <c r="J634" s="599"/>
      <c r="K634" s="587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  <c r="Z634" s="280"/>
      <c r="AA634" s="280"/>
    </row>
    <row r="635">
      <c r="A635" s="598"/>
      <c r="B635" s="587"/>
      <c r="C635" s="587"/>
      <c r="D635" s="587"/>
      <c r="E635" s="587"/>
      <c r="F635" s="587"/>
      <c r="G635" s="587"/>
      <c r="H635" s="587"/>
      <c r="I635" s="587"/>
      <c r="J635" s="599"/>
      <c r="K635" s="587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  <c r="Z635" s="280"/>
      <c r="AA635" s="280"/>
    </row>
    <row r="636">
      <c r="A636" s="598"/>
      <c r="B636" s="587"/>
      <c r="C636" s="587"/>
      <c r="D636" s="587"/>
      <c r="E636" s="587"/>
      <c r="F636" s="587"/>
      <c r="G636" s="587"/>
      <c r="H636" s="587"/>
      <c r="I636" s="587"/>
      <c r="J636" s="599"/>
      <c r="K636" s="587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  <c r="Z636" s="280"/>
      <c r="AA636" s="280"/>
    </row>
    <row r="637">
      <c r="A637" s="598"/>
      <c r="B637" s="587"/>
      <c r="C637" s="587"/>
      <c r="D637" s="587"/>
      <c r="E637" s="587"/>
      <c r="F637" s="587"/>
      <c r="G637" s="587"/>
      <c r="H637" s="587"/>
      <c r="I637" s="587"/>
      <c r="J637" s="599"/>
      <c r="K637" s="587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  <c r="Z637" s="280"/>
      <c r="AA637" s="280"/>
    </row>
    <row r="638">
      <c r="A638" s="598"/>
      <c r="B638" s="587"/>
      <c r="C638" s="587"/>
      <c r="D638" s="587"/>
      <c r="E638" s="587"/>
      <c r="F638" s="587"/>
      <c r="G638" s="587"/>
      <c r="H638" s="587"/>
      <c r="I638" s="587"/>
      <c r="J638" s="599"/>
      <c r="K638" s="587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  <c r="Z638" s="280"/>
      <c r="AA638" s="280"/>
    </row>
    <row r="639">
      <c r="A639" s="598"/>
      <c r="B639" s="587"/>
      <c r="C639" s="587"/>
      <c r="D639" s="587"/>
      <c r="E639" s="587"/>
      <c r="F639" s="587"/>
      <c r="G639" s="587"/>
      <c r="H639" s="587"/>
      <c r="I639" s="587"/>
      <c r="J639" s="599"/>
      <c r="K639" s="587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  <c r="Z639" s="280"/>
      <c r="AA639" s="280"/>
    </row>
    <row r="640">
      <c r="A640" s="598"/>
      <c r="B640" s="587"/>
      <c r="C640" s="587"/>
      <c r="D640" s="587"/>
      <c r="E640" s="587"/>
      <c r="F640" s="587"/>
      <c r="G640" s="587"/>
      <c r="H640" s="587"/>
      <c r="I640" s="587"/>
      <c r="J640" s="599"/>
      <c r="K640" s="587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  <c r="Z640" s="280"/>
      <c r="AA640" s="280"/>
    </row>
    <row r="641">
      <c r="A641" s="598"/>
      <c r="B641" s="587"/>
      <c r="C641" s="587"/>
      <c r="D641" s="587"/>
      <c r="E641" s="587"/>
      <c r="F641" s="587"/>
      <c r="G641" s="587"/>
      <c r="H641" s="587"/>
      <c r="I641" s="587"/>
      <c r="J641" s="599"/>
      <c r="K641" s="587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  <c r="Z641" s="280"/>
      <c r="AA641" s="280"/>
    </row>
    <row r="642">
      <c r="A642" s="598"/>
      <c r="B642" s="587"/>
      <c r="C642" s="587"/>
      <c r="D642" s="587"/>
      <c r="E642" s="587"/>
      <c r="F642" s="587"/>
      <c r="G642" s="587"/>
      <c r="H642" s="587"/>
      <c r="I642" s="587"/>
      <c r="J642" s="599"/>
      <c r="K642" s="587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  <c r="Z642" s="280"/>
      <c r="AA642" s="280"/>
    </row>
    <row r="643">
      <c r="A643" s="598"/>
      <c r="B643" s="587"/>
      <c r="C643" s="587"/>
      <c r="D643" s="587"/>
      <c r="E643" s="587"/>
      <c r="F643" s="587"/>
      <c r="G643" s="587"/>
      <c r="H643" s="587"/>
      <c r="I643" s="587"/>
      <c r="J643" s="599"/>
      <c r="K643" s="587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  <c r="Z643" s="280"/>
      <c r="AA643" s="280"/>
    </row>
    <row r="644">
      <c r="A644" s="598"/>
      <c r="B644" s="587"/>
      <c r="C644" s="587"/>
      <c r="D644" s="587"/>
      <c r="E644" s="587"/>
      <c r="F644" s="587"/>
      <c r="G644" s="587"/>
      <c r="H644" s="587"/>
      <c r="I644" s="587"/>
      <c r="J644" s="599"/>
      <c r="K644" s="587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  <c r="Z644" s="280"/>
      <c r="AA644" s="280"/>
    </row>
    <row r="645">
      <c r="A645" s="598"/>
      <c r="B645" s="587"/>
      <c r="C645" s="587"/>
      <c r="D645" s="587"/>
      <c r="E645" s="587"/>
      <c r="F645" s="587"/>
      <c r="G645" s="587"/>
      <c r="H645" s="587"/>
      <c r="I645" s="587"/>
      <c r="J645" s="599"/>
      <c r="K645" s="587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  <c r="Z645" s="280"/>
      <c r="AA645" s="280"/>
    </row>
    <row r="646">
      <c r="A646" s="598"/>
      <c r="B646" s="587"/>
      <c r="C646" s="587"/>
      <c r="D646" s="587"/>
      <c r="E646" s="587"/>
      <c r="F646" s="587"/>
      <c r="G646" s="587"/>
      <c r="H646" s="587"/>
      <c r="I646" s="587"/>
      <c r="J646" s="599"/>
      <c r="K646" s="587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  <c r="Z646" s="280"/>
      <c r="AA646" s="280"/>
    </row>
    <row r="647">
      <c r="A647" s="598"/>
      <c r="B647" s="587"/>
      <c r="C647" s="587"/>
      <c r="D647" s="587"/>
      <c r="E647" s="587"/>
      <c r="F647" s="587"/>
      <c r="G647" s="587"/>
      <c r="H647" s="587"/>
      <c r="I647" s="587"/>
      <c r="J647" s="599"/>
      <c r="K647" s="587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  <c r="Z647" s="280"/>
      <c r="AA647" s="280"/>
    </row>
    <row r="648">
      <c r="A648" s="598"/>
      <c r="B648" s="587"/>
      <c r="C648" s="587"/>
      <c r="D648" s="587"/>
      <c r="E648" s="587"/>
      <c r="F648" s="587"/>
      <c r="G648" s="587"/>
      <c r="H648" s="587"/>
      <c r="I648" s="587"/>
      <c r="J648" s="599"/>
      <c r="K648" s="587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  <c r="Z648" s="280"/>
      <c r="AA648" s="280"/>
    </row>
    <row r="649">
      <c r="A649" s="598"/>
      <c r="B649" s="587"/>
      <c r="C649" s="587"/>
      <c r="D649" s="587"/>
      <c r="E649" s="587"/>
      <c r="F649" s="587"/>
      <c r="G649" s="587"/>
      <c r="H649" s="587"/>
      <c r="I649" s="587"/>
      <c r="J649" s="599"/>
      <c r="K649" s="587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  <c r="Z649" s="280"/>
      <c r="AA649" s="280"/>
    </row>
    <row r="650">
      <c r="A650" s="598"/>
      <c r="B650" s="587"/>
      <c r="C650" s="587"/>
      <c r="D650" s="587"/>
      <c r="E650" s="587"/>
      <c r="F650" s="587"/>
      <c r="G650" s="587"/>
      <c r="H650" s="587"/>
      <c r="I650" s="587"/>
      <c r="J650" s="599"/>
      <c r="K650" s="587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  <c r="Z650" s="280"/>
      <c r="AA650" s="280"/>
    </row>
    <row r="651">
      <c r="A651" s="598"/>
      <c r="B651" s="587"/>
      <c r="C651" s="587"/>
      <c r="D651" s="587"/>
      <c r="E651" s="587"/>
      <c r="F651" s="587"/>
      <c r="G651" s="587"/>
      <c r="H651" s="587"/>
      <c r="I651" s="587"/>
      <c r="J651" s="599"/>
      <c r="K651" s="587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  <c r="Z651" s="280"/>
      <c r="AA651" s="280"/>
    </row>
    <row r="652">
      <c r="A652" s="598"/>
      <c r="B652" s="587"/>
      <c r="C652" s="587"/>
      <c r="D652" s="587"/>
      <c r="E652" s="587"/>
      <c r="F652" s="587"/>
      <c r="G652" s="587"/>
      <c r="H652" s="587"/>
      <c r="I652" s="587"/>
      <c r="J652" s="599"/>
      <c r="K652" s="587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  <c r="Z652" s="280"/>
      <c r="AA652" s="280"/>
    </row>
    <row r="653">
      <c r="A653" s="598"/>
      <c r="B653" s="587"/>
      <c r="C653" s="587"/>
      <c r="D653" s="587"/>
      <c r="E653" s="587"/>
      <c r="F653" s="587"/>
      <c r="G653" s="587"/>
      <c r="H653" s="587"/>
      <c r="I653" s="587"/>
      <c r="J653" s="599"/>
      <c r="K653" s="587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  <c r="Z653" s="280"/>
      <c r="AA653" s="280"/>
    </row>
    <row r="654">
      <c r="A654" s="598"/>
      <c r="B654" s="587"/>
      <c r="C654" s="587"/>
      <c r="D654" s="587"/>
      <c r="E654" s="587"/>
      <c r="F654" s="587"/>
      <c r="G654" s="587"/>
      <c r="H654" s="587"/>
      <c r="I654" s="587"/>
      <c r="J654" s="599"/>
      <c r="K654" s="587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  <c r="Z654" s="280"/>
      <c r="AA654" s="280"/>
    </row>
    <row r="655">
      <c r="A655" s="598"/>
      <c r="B655" s="587"/>
      <c r="C655" s="587"/>
      <c r="D655" s="587"/>
      <c r="E655" s="587"/>
      <c r="F655" s="587"/>
      <c r="G655" s="587"/>
      <c r="H655" s="587"/>
      <c r="I655" s="587"/>
      <c r="J655" s="599"/>
      <c r="K655" s="587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  <c r="Z655" s="280"/>
      <c r="AA655" s="280"/>
    </row>
    <row r="656">
      <c r="A656" s="598"/>
      <c r="B656" s="587"/>
      <c r="C656" s="587"/>
      <c r="D656" s="587"/>
      <c r="E656" s="587"/>
      <c r="F656" s="587"/>
      <c r="G656" s="587"/>
      <c r="H656" s="587"/>
      <c r="I656" s="587"/>
      <c r="J656" s="599"/>
      <c r="K656" s="587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  <c r="Z656" s="280"/>
      <c r="AA656" s="280"/>
    </row>
    <row r="657">
      <c r="A657" s="598"/>
      <c r="B657" s="587"/>
      <c r="C657" s="587"/>
      <c r="D657" s="587"/>
      <c r="E657" s="587"/>
      <c r="F657" s="587"/>
      <c r="G657" s="587"/>
      <c r="H657" s="587"/>
      <c r="I657" s="587"/>
      <c r="J657" s="599"/>
      <c r="K657" s="587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  <c r="Z657" s="280"/>
      <c r="AA657" s="280"/>
    </row>
    <row r="658">
      <c r="A658" s="598"/>
      <c r="B658" s="587"/>
      <c r="C658" s="587"/>
      <c r="D658" s="587"/>
      <c r="E658" s="587"/>
      <c r="F658" s="587"/>
      <c r="G658" s="587"/>
      <c r="H658" s="587"/>
      <c r="I658" s="587"/>
      <c r="J658" s="599"/>
      <c r="K658" s="587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  <c r="Z658" s="280"/>
      <c r="AA658" s="280"/>
    </row>
    <row r="659">
      <c r="A659" s="598"/>
      <c r="B659" s="587"/>
      <c r="C659" s="587"/>
      <c r="D659" s="587"/>
      <c r="E659" s="587"/>
      <c r="F659" s="587"/>
      <c r="G659" s="587"/>
      <c r="H659" s="587"/>
      <c r="I659" s="587"/>
      <c r="J659" s="599"/>
      <c r="K659" s="587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  <c r="Z659" s="280"/>
      <c r="AA659" s="280"/>
    </row>
    <row r="660">
      <c r="A660" s="598"/>
      <c r="B660" s="587"/>
      <c r="C660" s="587"/>
      <c r="D660" s="587"/>
      <c r="E660" s="587"/>
      <c r="F660" s="587"/>
      <c r="G660" s="587"/>
      <c r="H660" s="587"/>
      <c r="I660" s="587"/>
      <c r="J660" s="599"/>
      <c r="K660" s="587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  <c r="Z660" s="280"/>
      <c r="AA660" s="280"/>
    </row>
    <row r="661">
      <c r="A661" s="598"/>
      <c r="B661" s="587"/>
      <c r="C661" s="587"/>
      <c r="D661" s="587"/>
      <c r="E661" s="587"/>
      <c r="F661" s="587"/>
      <c r="G661" s="587"/>
      <c r="H661" s="587"/>
      <c r="I661" s="587"/>
      <c r="J661" s="599"/>
      <c r="K661" s="587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  <c r="Z661" s="280"/>
      <c r="AA661" s="280"/>
    </row>
    <row r="662">
      <c r="A662" s="598"/>
      <c r="B662" s="587"/>
      <c r="C662" s="587"/>
      <c r="D662" s="587"/>
      <c r="E662" s="587"/>
      <c r="F662" s="587"/>
      <c r="G662" s="587"/>
      <c r="H662" s="587"/>
      <c r="I662" s="587"/>
      <c r="J662" s="599"/>
      <c r="K662" s="587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  <c r="AA662" s="280"/>
    </row>
    <row r="663">
      <c r="A663" s="598"/>
      <c r="B663" s="587"/>
      <c r="C663" s="587"/>
      <c r="D663" s="587"/>
      <c r="E663" s="587"/>
      <c r="F663" s="587"/>
      <c r="G663" s="587"/>
      <c r="H663" s="587"/>
      <c r="I663" s="587"/>
      <c r="J663" s="599"/>
      <c r="K663" s="587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  <c r="Z663" s="280"/>
      <c r="AA663" s="280"/>
    </row>
    <row r="664">
      <c r="A664" s="598"/>
      <c r="B664" s="587"/>
      <c r="C664" s="587"/>
      <c r="D664" s="587"/>
      <c r="E664" s="587"/>
      <c r="F664" s="587"/>
      <c r="G664" s="587"/>
      <c r="H664" s="587"/>
      <c r="I664" s="587"/>
      <c r="J664" s="599"/>
      <c r="K664" s="587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  <c r="Z664" s="280"/>
      <c r="AA664" s="280"/>
    </row>
    <row r="665">
      <c r="A665" s="598"/>
      <c r="B665" s="587"/>
      <c r="C665" s="587"/>
      <c r="D665" s="587"/>
      <c r="E665" s="587"/>
      <c r="F665" s="587"/>
      <c r="G665" s="587"/>
      <c r="H665" s="587"/>
      <c r="I665" s="587"/>
      <c r="J665" s="599"/>
      <c r="K665" s="587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  <c r="Z665" s="280"/>
      <c r="AA665" s="280"/>
    </row>
    <row r="666">
      <c r="A666" s="598"/>
      <c r="B666" s="587"/>
      <c r="C666" s="587"/>
      <c r="D666" s="587"/>
      <c r="E666" s="587"/>
      <c r="F666" s="587"/>
      <c r="G666" s="587"/>
      <c r="H666" s="587"/>
      <c r="I666" s="587"/>
      <c r="J666" s="599"/>
      <c r="K666" s="587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  <c r="Z666" s="280"/>
      <c r="AA666" s="280"/>
    </row>
    <row r="667">
      <c r="A667" s="598"/>
      <c r="B667" s="587"/>
      <c r="C667" s="587"/>
      <c r="D667" s="587"/>
      <c r="E667" s="587"/>
      <c r="F667" s="587"/>
      <c r="G667" s="587"/>
      <c r="H667" s="587"/>
      <c r="I667" s="587"/>
      <c r="J667" s="599"/>
      <c r="K667" s="587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  <c r="Z667" s="280"/>
      <c r="AA667" s="280"/>
    </row>
    <row r="668">
      <c r="A668" s="598"/>
      <c r="B668" s="587"/>
      <c r="C668" s="587"/>
      <c r="D668" s="587"/>
      <c r="E668" s="587"/>
      <c r="F668" s="587"/>
      <c r="G668" s="587"/>
      <c r="H668" s="587"/>
      <c r="I668" s="587"/>
      <c r="J668" s="599"/>
      <c r="K668" s="587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  <c r="Z668" s="280"/>
      <c r="AA668" s="280"/>
    </row>
    <row r="669">
      <c r="A669" s="598"/>
      <c r="B669" s="587"/>
      <c r="C669" s="587"/>
      <c r="D669" s="587"/>
      <c r="E669" s="587"/>
      <c r="F669" s="587"/>
      <c r="G669" s="587"/>
      <c r="H669" s="587"/>
      <c r="I669" s="587"/>
      <c r="J669" s="599"/>
      <c r="K669" s="587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  <c r="Z669" s="280"/>
      <c r="AA669" s="280"/>
    </row>
    <row r="670">
      <c r="A670" s="598"/>
      <c r="B670" s="587"/>
      <c r="C670" s="587"/>
      <c r="D670" s="587"/>
      <c r="E670" s="587"/>
      <c r="F670" s="587"/>
      <c r="G670" s="587"/>
      <c r="H670" s="587"/>
      <c r="I670" s="587"/>
      <c r="J670" s="599"/>
      <c r="K670" s="587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  <c r="Z670" s="280"/>
      <c r="AA670" s="280"/>
    </row>
    <row r="671">
      <c r="A671" s="598"/>
      <c r="B671" s="587"/>
      <c r="C671" s="587"/>
      <c r="D671" s="587"/>
      <c r="E671" s="587"/>
      <c r="F671" s="587"/>
      <c r="G671" s="587"/>
      <c r="H671" s="587"/>
      <c r="I671" s="587"/>
      <c r="J671" s="599"/>
      <c r="K671" s="587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  <c r="Z671" s="280"/>
      <c r="AA671" s="280"/>
    </row>
    <row r="672">
      <c r="A672" s="598"/>
      <c r="B672" s="587"/>
      <c r="C672" s="587"/>
      <c r="D672" s="587"/>
      <c r="E672" s="587"/>
      <c r="F672" s="587"/>
      <c r="G672" s="587"/>
      <c r="H672" s="587"/>
      <c r="I672" s="587"/>
      <c r="J672" s="599"/>
      <c r="K672" s="587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  <c r="Z672" s="280"/>
      <c r="AA672" s="280"/>
    </row>
    <row r="673">
      <c r="A673" s="598"/>
      <c r="B673" s="587"/>
      <c r="C673" s="587"/>
      <c r="D673" s="587"/>
      <c r="E673" s="587"/>
      <c r="F673" s="587"/>
      <c r="G673" s="587"/>
      <c r="H673" s="587"/>
      <c r="I673" s="587"/>
      <c r="J673" s="599"/>
      <c r="K673" s="587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  <c r="Z673" s="280"/>
      <c r="AA673" s="280"/>
    </row>
    <row r="674">
      <c r="A674" s="598"/>
      <c r="B674" s="587"/>
      <c r="C674" s="587"/>
      <c r="D674" s="587"/>
      <c r="E674" s="587"/>
      <c r="F674" s="587"/>
      <c r="G674" s="587"/>
      <c r="H674" s="587"/>
      <c r="I674" s="587"/>
      <c r="J674" s="599"/>
      <c r="K674" s="587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  <c r="Z674" s="280"/>
      <c r="AA674" s="280"/>
    </row>
    <row r="675">
      <c r="A675" s="598"/>
      <c r="B675" s="587"/>
      <c r="C675" s="587"/>
      <c r="D675" s="587"/>
      <c r="E675" s="587"/>
      <c r="F675" s="587"/>
      <c r="G675" s="587"/>
      <c r="H675" s="587"/>
      <c r="I675" s="587"/>
      <c r="J675" s="599"/>
      <c r="K675" s="587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  <c r="Z675" s="280"/>
      <c r="AA675" s="280"/>
    </row>
    <row r="676">
      <c r="A676" s="598"/>
      <c r="B676" s="587"/>
      <c r="C676" s="587"/>
      <c r="D676" s="587"/>
      <c r="E676" s="587"/>
      <c r="F676" s="587"/>
      <c r="G676" s="587"/>
      <c r="H676" s="587"/>
      <c r="I676" s="587"/>
      <c r="J676" s="599"/>
      <c r="K676" s="587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  <c r="AA676" s="280"/>
    </row>
    <row r="677">
      <c r="A677" s="598"/>
      <c r="B677" s="587"/>
      <c r="C677" s="587"/>
      <c r="D677" s="587"/>
      <c r="E677" s="587"/>
      <c r="F677" s="587"/>
      <c r="G677" s="587"/>
      <c r="H677" s="587"/>
      <c r="I677" s="587"/>
      <c r="J677" s="599"/>
      <c r="K677" s="587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  <c r="Z677" s="280"/>
      <c r="AA677" s="280"/>
    </row>
    <row r="678">
      <c r="A678" s="598"/>
      <c r="B678" s="587"/>
      <c r="C678" s="587"/>
      <c r="D678" s="587"/>
      <c r="E678" s="587"/>
      <c r="F678" s="587"/>
      <c r="G678" s="587"/>
      <c r="H678" s="587"/>
      <c r="I678" s="587"/>
      <c r="J678" s="599"/>
      <c r="K678" s="587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  <c r="Z678" s="280"/>
      <c r="AA678" s="280"/>
    </row>
    <row r="679">
      <c r="A679" s="598"/>
      <c r="B679" s="587"/>
      <c r="C679" s="587"/>
      <c r="D679" s="587"/>
      <c r="E679" s="587"/>
      <c r="F679" s="587"/>
      <c r="G679" s="587"/>
      <c r="H679" s="587"/>
      <c r="I679" s="587"/>
      <c r="J679" s="599"/>
      <c r="K679" s="587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  <c r="Z679" s="280"/>
      <c r="AA679" s="280"/>
    </row>
    <row r="680">
      <c r="A680" s="598"/>
      <c r="B680" s="587"/>
      <c r="C680" s="587"/>
      <c r="D680" s="587"/>
      <c r="E680" s="587"/>
      <c r="F680" s="587"/>
      <c r="G680" s="587"/>
      <c r="H680" s="587"/>
      <c r="I680" s="587"/>
      <c r="J680" s="599"/>
      <c r="K680" s="587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  <c r="Z680" s="280"/>
      <c r="AA680" s="280"/>
    </row>
    <row r="681">
      <c r="A681" s="598"/>
      <c r="B681" s="587"/>
      <c r="C681" s="587"/>
      <c r="D681" s="587"/>
      <c r="E681" s="587"/>
      <c r="F681" s="587"/>
      <c r="G681" s="587"/>
      <c r="H681" s="587"/>
      <c r="I681" s="587"/>
      <c r="J681" s="599"/>
      <c r="K681" s="587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  <c r="Z681" s="280"/>
      <c r="AA681" s="280"/>
    </row>
    <row r="682">
      <c r="A682" s="598"/>
      <c r="B682" s="587"/>
      <c r="C682" s="587"/>
      <c r="D682" s="587"/>
      <c r="E682" s="587"/>
      <c r="F682" s="587"/>
      <c r="G682" s="587"/>
      <c r="H682" s="587"/>
      <c r="I682" s="587"/>
      <c r="J682" s="599"/>
      <c r="K682" s="587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  <c r="Z682" s="280"/>
      <c r="AA682" s="280"/>
    </row>
    <row r="683">
      <c r="A683" s="598"/>
      <c r="B683" s="587"/>
      <c r="C683" s="587"/>
      <c r="D683" s="587"/>
      <c r="E683" s="587"/>
      <c r="F683" s="587"/>
      <c r="G683" s="587"/>
      <c r="H683" s="587"/>
      <c r="I683" s="587"/>
      <c r="J683" s="599"/>
      <c r="K683" s="587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  <c r="Z683" s="280"/>
      <c r="AA683" s="280"/>
    </row>
    <row r="684">
      <c r="A684" s="598"/>
      <c r="B684" s="587"/>
      <c r="C684" s="587"/>
      <c r="D684" s="587"/>
      <c r="E684" s="587"/>
      <c r="F684" s="587"/>
      <c r="G684" s="587"/>
      <c r="H684" s="587"/>
      <c r="I684" s="587"/>
      <c r="J684" s="599"/>
      <c r="K684" s="587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  <c r="Z684" s="280"/>
      <c r="AA684" s="280"/>
    </row>
    <row r="685">
      <c r="A685" s="598"/>
      <c r="B685" s="587"/>
      <c r="C685" s="587"/>
      <c r="D685" s="587"/>
      <c r="E685" s="587"/>
      <c r="F685" s="587"/>
      <c r="G685" s="587"/>
      <c r="H685" s="587"/>
      <c r="I685" s="587"/>
      <c r="J685" s="599"/>
      <c r="K685" s="587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  <c r="Z685" s="280"/>
      <c r="AA685" s="280"/>
    </row>
    <row r="686">
      <c r="A686" s="598"/>
      <c r="B686" s="587"/>
      <c r="C686" s="587"/>
      <c r="D686" s="587"/>
      <c r="E686" s="587"/>
      <c r="F686" s="587"/>
      <c r="G686" s="587"/>
      <c r="H686" s="587"/>
      <c r="I686" s="587"/>
      <c r="J686" s="599"/>
      <c r="K686" s="587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  <c r="Z686" s="280"/>
      <c r="AA686" s="280"/>
    </row>
    <row r="687">
      <c r="A687" s="598"/>
      <c r="B687" s="587"/>
      <c r="C687" s="587"/>
      <c r="D687" s="587"/>
      <c r="E687" s="587"/>
      <c r="F687" s="587"/>
      <c r="G687" s="587"/>
      <c r="H687" s="587"/>
      <c r="I687" s="587"/>
      <c r="J687" s="599"/>
      <c r="K687" s="587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  <c r="Z687" s="280"/>
      <c r="AA687" s="280"/>
    </row>
    <row r="688">
      <c r="A688" s="598"/>
      <c r="B688" s="587"/>
      <c r="C688" s="587"/>
      <c r="D688" s="587"/>
      <c r="E688" s="587"/>
      <c r="F688" s="587"/>
      <c r="G688" s="587"/>
      <c r="H688" s="587"/>
      <c r="I688" s="587"/>
      <c r="J688" s="599"/>
      <c r="K688" s="587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  <c r="Z688" s="280"/>
      <c r="AA688" s="280"/>
    </row>
    <row r="689">
      <c r="A689" s="598"/>
      <c r="B689" s="587"/>
      <c r="C689" s="587"/>
      <c r="D689" s="587"/>
      <c r="E689" s="587"/>
      <c r="F689" s="587"/>
      <c r="G689" s="587"/>
      <c r="H689" s="587"/>
      <c r="I689" s="587"/>
      <c r="J689" s="599"/>
      <c r="K689" s="587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  <c r="Z689" s="280"/>
      <c r="AA689" s="280"/>
    </row>
    <row r="690">
      <c r="A690" s="598"/>
      <c r="B690" s="587"/>
      <c r="C690" s="587"/>
      <c r="D690" s="587"/>
      <c r="E690" s="587"/>
      <c r="F690" s="587"/>
      <c r="G690" s="587"/>
      <c r="H690" s="587"/>
      <c r="I690" s="587"/>
      <c r="J690" s="599"/>
      <c r="K690" s="587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  <c r="Z690" s="280"/>
      <c r="AA690" s="280"/>
    </row>
    <row r="691">
      <c r="A691" s="598"/>
      <c r="B691" s="587"/>
      <c r="C691" s="587"/>
      <c r="D691" s="587"/>
      <c r="E691" s="587"/>
      <c r="F691" s="587"/>
      <c r="G691" s="587"/>
      <c r="H691" s="587"/>
      <c r="I691" s="587"/>
      <c r="J691" s="599"/>
      <c r="K691" s="587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  <c r="Z691" s="280"/>
      <c r="AA691" s="280"/>
    </row>
    <row r="692">
      <c r="A692" s="598"/>
      <c r="B692" s="587"/>
      <c r="C692" s="587"/>
      <c r="D692" s="587"/>
      <c r="E692" s="587"/>
      <c r="F692" s="587"/>
      <c r="G692" s="587"/>
      <c r="H692" s="587"/>
      <c r="I692" s="587"/>
      <c r="J692" s="599"/>
      <c r="K692" s="587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  <c r="Z692" s="280"/>
      <c r="AA692" s="280"/>
    </row>
    <row r="693">
      <c r="A693" s="598"/>
      <c r="B693" s="587"/>
      <c r="C693" s="587"/>
      <c r="D693" s="587"/>
      <c r="E693" s="587"/>
      <c r="F693" s="587"/>
      <c r="G693" s="587"/>
      <c r="H693" s="587"/>
      <c r="I693" s="587"/>
      <c r="J693" s="599"/>
      <c r="K693" s="587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  <c r="Z693" s="280"/>
      <c r="AA693" s="280"/>
    </row>
    <row r="694">
      <c r="A694" s="598"/>
      <c r="B694" s="587"/>
      <c r="C694" s="587"/>
      <c r="D694" s="587"/>
      <c r="E694" s="587"/>
      <c r="F694" s="587"/>
      <c r="G694" s="587"/>
      <c r="H694" s="587"/>
      <c r="I694" s="587"/>
      <c r="J694" s="599"/>
      <c r="K694" s="587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  <c r="Z694" s="280"/>
      <c r="AA694" s="280"/>
    </row>
    <row r="695">
      <c r="A695" s="598"/>
      <c r="B695" s="587"/>
      <c r="C695" s="587"/>
      <c r="D695" s="587"/>
      <c r="E695" s="587"/>
      <c r="F695" s="587"/>
      <c r="G695" s="587"/>
      <c r="H695" s="587"/>
      <c r="I695" s="587"/>
      <c r="J695" s="599"/>
      <c r="K695" s="587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  <c r="Z695" s="280"/>
      <c r="AA695" s="280"/>
    </row>
    <row r="696">
      <c r="A696" s="598"/>
      <c r="B696" s="587"/>
      <c r="C696" s="587"/>
      <c r="D696" s="587"/>
      <c r="E696" s="587"/>
      <c r="F696" s="587"/>
      <c r="G696" s="587"/>
      <c r="H696" s="587"/>
      <c r="I696" s="587"/>
      <c r="J696" s="599"/>
      <c r="K696" s="587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  <c r="Z696" s="280"/>
      <c r="AA696" s="280"/>
    </row>
    <row r="697">
      <c r="A697" s="598"/>
      <c r="B697" s="587"/>
      <c r="C697" s="587"/>
      <c r="D697" s="587"/>
      <c r="E697" s="587"/>
      <c r="F697" s="587"/>
      <c r="G697" s="587"/>
      <c r="H697" s="587"/>
      <c r="I697" s="587"/>
      <c r="J697" s="599"/>
      <c r="K697" s="587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  <c r="Z697" s="280"/>
      <c r="AA697" s="280"/>
    </row>
    <row r="698">
      <c r="A698" s="598"/>
      <c r="B698" s="587"/>
      <c r="C698" s="587"/>
      <c r="D698" s="587"/>
      <c r="E698" s="587"/>
      <c r="F698" s="587"/>
      <c r="G698" s="587"/>
      <c r="H698" s="587"/>
      <c r="I698" s="587"/>
      <c r="J698" s="599"/>
      <c r="K698" s="587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  <c r="Z698" s="280"/>
      <c r="AA698" s="280"/>
    </row>
    <row r="699">
      <c r="A699" s="598"/>
      <c r="B699" s="587"/>
      <c r="C699" s="587"/>
      <c r="D699" s="587"/>
      <c r="E699" s="587"/>
      <c r="F699" s="587"/>
      <c r="G699" s="587"/>
      <c r="H699" s="587"/>
      <c r="I699" s="587"/>
      <c r="J699" s="599"/>
      <c r="K699" s="587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  <c r="Z699" s="280"/>
      <c r="AA699" s="280"/>
    </row>
    <row r="700">
      <c r="A700" s="598"/>
      <c r="B700" s="587"/>
      <c r="C700" s="587"/>
      <c r="D700" s="587"/>
      <c r="E700" s="587"/>
      <c r="F700" s="587"/>
      <c r="G700" s="587"/>
      <c r="H700" s="587"/>
      <c r="I700" s="587"/>
      <c r="J700" s="599"/>
      <c r="K700" s="587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  <c r="Z700" s="280"/>
      <c r="AA700" s="280"/>
    </row>
    <row r="701">
      <c r="A701" s="598"/>
      <c r="B701" s="587"/>
      <c r="C701" s="587"/>
      <c r="D701" s="587"/>
      <c r="E701" s="587"/>
      <c r="F701" s="587"/>
      <c r="G701" s="587"/>
      <c r="H701" s="587"/>
      <c r="I701" s="587"/>
      <c r="J701" s="599"/>
      <c r="K701" s="587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  <c r="Z701" s="280"/>
      <c r="AA701" s="280"/>
    </row>
    <row r="702">
      <c r="A702" s="598"/>
      <c r="B702" s="587"/>
      <c r="C702" s="587"/>
      <c r="D702" s="587"/>
      <c r="E702" s="587"/>
      <c r="F702" s="587"/>
      <c r="G702" s="587"/>
      <c r="H702" s="587"/>
      <c r="I702" s="587"/>
      <c r="J702" s="599"/>
      <c r="K702" s="587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  <c r="Z702" s="280"/>
      <c r="AA702" s="280"/>
    </row>
    <row r="703">
      <c r="A703" s="598"/>
      <c r="B703" s="587"/>
      <c r="C703" s="587"/>
      <c r="D703" s="587"/>
      <c r="E703" s="587"/>
      <c r="F703" s="587"/>
      <c r="G703" s="587"/>
      <c r="H703" s="587"/>
      <c r="I703" s="587"/>
      <c r="J703" s="599"/>
      <c r="K703" s="587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  <c r="Z703" s="280"/>
      <c r="AA703" s="280"/>
    </row>
    <row r="704">
      <c r="A704" s="598"/>
      <c r="B704" s="587"/>
      <c r="C704" s="587"/>
      <c r="D704" s="587"/>
      <c r="E704" s="587"/>
      <c r="F704" s="587"/>
      <c r="G704" s="587"/>
      <c r="H704" s="587"/>
      <c r="I704" s="587"/>
      <c r="J704" s="599"/>
      <c r="K704" s="587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  <c r="Z704" s="280"/>
      <c r="AA704" s="280"/>
    </row>
    <row r="705">
      <c r="A705" s="598"/>
      <c r="B705" s="587"/>
      <c r="C705" s="587"/>
      <c r="D705" s="587"/>
      <c r="E705" s="587"/>
      <c r="F705" s="587"/>
      <c r="G705" s="587"/>
      <c r="H705" s="587"/>
      <c r="I705" s="587"/>
      <c r="J705" s="599"/>
      <c r="K705" s="587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  <c r="Z705" s="280"/>
      <c r="AA705" s="280"/>
    </row>
    <row r="706">
      <c r="A706" s="598"/>
      <c r="B706" s="587"/>
      <c r="C706" s="587"/>
      <c r="D706" s="587"/>
      <c r="E706" s="587"/>
      <c r="F706" s="587"/>
      <c r="G706" s="587"/>
      <c r="H706" s="587"/>
      <c r="I706" s="587"/>
      <c r="J706" s="599"/>
      <c r="K706" s="587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  <c r="Z706" s="280"/>
      <c r="AA706" s="280"/>
    </row>
    <row r="707">
      <c r="A707" s="598"/>
      <c r="B707" s="587"/>
      <c r="C707" s="587"/>
      <c r="D707" s="587"/>
      <c r="E707" s="587"/>
      <c r="F707" s="587"/>
      <c r="G707" s="587"/>
      <c r="H707" s="587"/>
      <c r="I707" s="587"/>
      <c r="J707" s="599"/>
      <c r="K707" s="587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  <c r="Z707" s="280"/>
      <c r="AA707" s="280"/>
    </row>
    <row r="708">
      <c r="A708" s="598"/>
      <c r="B708" s="587"/>
      <c r="C708" s="587"/>
      <c r="D708" s="587"/>
      <c r="E708" s="587"/>
      <c r="F708" s="587"/>
      <c r="G708" s="587"/>
      <c r="H708" s="587"/>
      <c r="I708" s="587"/>
      <c r="J708" s="599"/>
      <c r="K708" s="587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  <c r="Z708" s="280"/>
      <c r="AA708" s="280"/>
    </row>
    <row r="709">
      <c r="A709" s="598"/>
      <c r="B709" s="587"/>
      <c r="C709" s="587"/>
      <c r="D709" s="587"/>
      <c r="E709" s="587"/>
      <c r="F709" s="587"/>
      <c r="G709" s="587"/>
      <c r="H709" s="587"/>
      <c r="I709" s="587"/>
      <c r="J709" s="599"/>
      <c r="K709" s="587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  <c r="Z709" s="280"/>
      <c r="AA709" s="280"/>
    </row>
    <row r="710">
      <c r="A710" s="598"/>
      <c r="B710" s="587"/>
      <c r="C710" s="587"/>
      <c r="D710" s="587"/>
      <c r="E710" s="587"/>
      <c r="F710" s="587"/>
      <c r="G710" s="587"/>
      <c r="H710" s="587"/>
      <c r="I710" s="587"/>
      <c r="J710" s="599"/>
      <c r="K710" s="587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  <c r="Z710" s="280"/>
      <c r="AA710" s="280"/>
    </row>
    <row r="711">
      <c r="A711" s="598"/>
      <c r="B711" s="587"/>
      <c r="C711" s="587"/>
      <c r="D711" s="587"/>
      <c r="E711" s="587"/>
      <c r="F711" s="587"/>
      <c r="G711" s="587"/>
      <c r="H711" s="587"/>
      <c r="I711" s="587"/>
      <c r="J711" s="599"/>
      <c r="K711" s="587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  <c r="Z711" s="280"/>
      <c r="AA711" s="280"/>
    </row>
    <row r="712">
      <c r="A712" s="598"/>
      <c r="B712" s="587"/>
      <c r="C712" s="587"/>
      <c r="D712" s="587"/>
      <c r="E712" s="587"/>
      <c r="F712" s="587"/>
      <c r="G712" s="587"/>
      <c r="H712" s="587"/>
      <c r="I712" s="587"/>
      <c r="J712" s="599"/>
      <c r="K712" s="587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  <c r="Z712" s="280"/>
      <c r="AA712" s="280"/>
    </row>
    <row r="713">
      <c r="A713" s="598"/>
      <c r="B713" s="587"/>
      <c r="C713" s="587"/>
      <c r="D713" s="587"/>
      <c r="E713" s="587"/>
      <c r="F713" s="587"/>
      <c r="G713" s="587"/>
      <c r="H713" s="587"/>
      <c r="I713" s="587"/>
      <c r="J713" s="599"/>
      <c r="K713" s="587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  <c r="Z713" s="280"/>
      <c r="AA713" s="280"/>
    </row>
    <row r="714">
      <c r="A714" s="598"/>
      <c r="B714" s="587"/>
      <c r="C714" s="587"/>
      <c r="D714" s="587"/>
      <c r="E714" s="587"/>
      <c r="F714" s="587"/>
      <c r="G714" s="587"/>
      <c r="H714" s="587"/>
      <c r="I714" s="587"/>
      <c r="J714" s="599"/>
      <c r="K714" s="587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  <c r="Z714" s="280"/>
      <c r="AA714" s="280"/>
    </row>
    <row r="715">
      <c r="A715" s="598"/>
      <c r="B715" s="587"/>
      <c r="C715" s="587"/>
      <c r="D715" s="587"/>
      <c r="E715" s="587"/>
      <c r="F715" s="587"/>
      <c r="G715" s="587"/>
      <c r="H715" s="587"/>
      <c r="I715" s="587"/>
      <c r="J715" s="599"/>
      <c r="K715" s="587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  <c r="Z715" s="280"/>
      <c r="AA715" s="280"/>
    </row>
    <row r="716">
      <c r="A716" s="598"/>
      <c r="B716" s="587"/>
      <c r="C716" s="587"/>
      <c r="D716" s="587"/>
      <c r="E716" s="587"/>
      <c r="F716" s="587"/>
      <c r="G716" s="587"/>
      <c r="H716" s="587"/>
      <c r="I716" s="587"/>
      <c r="J716" s="599"/>
      <c r="K716" s="587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  <c r="Z716" s="280"/>
      <c r="AA716" s="280"/>
    </row>
    <row r="717">
      <c r="A717" s="598"/>
      <c r="B717" s="587"/>
      <c r="C717" s="587"/>
      <c r="D717" s="587"/>
      <c r="E717" s="587"/>
      <c r="F717" s="587"/>
      <c r="G717" s="587"/>
      <c r="H717" s="587"/>
      <c r="I717" s="587"/>
      <c r="J717" s="599"/>
      <c r="K717" s="587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  <c r="Z717" s="280"/>
      <c r="AA717" s="280"/>
    </row>
    <row r="718">
      <c r="A718" s="598"/>
      <c r="B718" s="587"/>
      <c r="C718" s="587"/>
      <c r="D718" s="587"/>
      <c r="E718" s="587"/>
      <c r="F718" s="587"/>
      <c r="G718" s="587"/>
      <c r="H718" s="587"/>
      <c r="I718" s="587"/>
      <c r="J718" s="599"/>
      <c r="K718" s="587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  <c r="Z718" s="280"/>
      <c r="AA718" s="280"/>
    </row>
    <row r="719">
      <c r="A719" s="598"/>
      <c r="B719" s="587"/>
      <c r="C719" s="587"/>
      <c r="D719" s="587"/>
      <c r="E719" s="587"/>
      <c r="F719" s="587"/>
      <c r="G719" s="587"/>
      <c r="H719" s="587"/>
      <c r="I719" s="587"/>
      <c r="J719" s="599"/>
      <c r="K719" s="587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  <c r="Z719" s="280"/>
      <c r="AA719" s="280"/>
    </row>
    <row r="720">
      <c r="A720" s="598"/>
      <c r="B720" s="587"/>
      <c r="C720" s="587"/>
      <c r="D720" s="587"/>
      <c r="E720" s="587"/>
      <c r="F720" s="587"/>
      <c r="G720" s="587"/>
      <c r="H720" s="587"/>
      <c r="I720" s="587"/>
      <c r="J720" s="599"/>
      <c r="K720" s="587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  <c r="Z720" s="280"/>
      <c r="AA720" s="280"/>
    </row>
    <row r="721">
      <c r="A721" s="598"/>
      <c r="B721" s="587"/>
      <c r="C721" s="587"/>
      <c r="D721" s="587"/>
      <c r="E721" s="587"/>
      <c r="F721" s="587"/>
      <c r="G721" s="587"/>
      <c r="H721" s="587"/>
      <c r="I721" s="587"/>
      <c r="J721" s="599"/>
      <c r="K721" s="587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  <c r="Z721" s="280"/>
      <c r="AA721" s="280"/>
    </row>
    <row r="722">
      <c r="A722" s="598"/>
      <c r="B722" s="587"/>
      <c r="C722" s="587"/>
      <c r="D722" s="587"/>
      <c r="E722" s="587"/>
      <c r="F722" s="587"/>
      <c r="G722" s="587"/>
      <c r="H722" s="587"/>
      <c r="I722" s="587"/>
      <c r="J722" s="599"/>
      <c r="K722" s="587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  <c r="AA722" s="280"/>
    </row>
    <row r="723">
      <c r="A723" s="598"/>
      <c r="B723" s="587"/>
      <c r="C723" s="587"/>
      <c r="D723" s="587"/>
      <c r="E723" s="587"/>
      <c r="F723" s="587"/>
      <c r="G723" s="587"/>
      <c r="H723" s="587"/>
      <c r="I723" s="587"/>
      <c r="J723" s="599"/>
      <c r="K723" s="587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  <c r="Z723" s="280"/>
      <c r="AA723" s="280"/>
    </row>
    <row r="724">
      <c r="A724" s="598"/>
      <c r="B724" s="587"/>
      <c r="C724" s="587"/>
      <c r="D724" s="587"/>
      <c r="E724" s="587"/>
      <c r="F724" s="587"/>
      <c r="G724" s="587"/>
      <c r="H724" s="587"/>
      <c r="I724" s="587"/>
      <c r="J724" s="599"/>
      <c r="K724" s="587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  <c r="Z724" s="280"/>
      <c r="AA724" s="280"/>
    </row>
    <row r="725">
      <c r="A725" s="598"/>
      <c r="B725" s="587"/>
      <c r="C725" s="587"/>
      <c r="D725" s="587"/>
      <c r="E725" s="587"/>
      <c r="F725" s="587"/>
      <c r="G725" s="587"/>
      <c r="H725" s="587"/>
      <c r="I725" s="587"/>
      <c r="J725" s="599"/>
      <c r="K725" s="587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  <c r="Z725" s="280"/>
      <c r="AA725" s="280"/>
    </row>
    <row r="726">
      <c r="A726" s="598"/>
      <c r="B726" s="587"/>
      <c r="C726" s="587"/>
      <c r="D726" s="587"/>
      <c r="E726" s="587"/>
      <c r="F726" s="587"/>
      <c r="G726" s="587"/>
      <c r="H726" s="587"/>
      <c r="I726" s="587"/>
      <c r="J726" s="599"/>
      <c r="K726" s="587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  <c r="Z726" s="280"/>
      <c r="AA726" s="280"/>
    </row>
    <row r="727">
      <c r="A727" s="598"/>
      <c r="B727" s="587"/>
      <c r="C727" s="587"/>
      <c r="D727" s="587"/>
      <c r="E727" s="587"/>
      <c r="F727" s="587"/>
      <c r="G727" s="587"/>
      <c r="H727" s="587"/>
      <c r="I727" s="587"/>
      <c r="J727" s="599"/>
      <c r="K727" s="587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  <c r="Z727" s="280"/>
      <c r="AA727" s="280"/>
    </row>
    <row r="728">
      <c r="A728" s="598"/>
      <c r="B728" s="587"/>
      <c r="C728" s="587"/>
      <c r="D728" s="587"/>
      <c r="E728" s="587"/>
      <c r="F728" s="587"/>
      <c r="G728" s="587"/>
      <c r="H728" s="587"/>
      <c r="I728" s="587"/>
      <c r="J728" s="599"/>
      <c r="K728" s="587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  <c r="Z728" s="280"/>
      <c r="AA728" s="280"/>
    </row>
    <row r="729">
      <c r="A729" s="598"/>
      <c r="B729" s="587"/>
      <c r="C729" s="587"/>
      <c r="D729" s="587"/>
      <c r="E729" s="587"/>
      <c r="F729" s="587"/>
      <c r="G729" s="587"/>
      <c r="H729" s="587"/>
      <c r="I729" s="587"/>
      <c r="J729" s="599"/>
      <c r="K729" s="587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  <c r="Z729" s="280"/>
      <c r="AA729" s="280"/>
    </row>
    <row r="730">
      <c r="A730" s="598"/>
      <c r="B730" s="587"/>
      <c r="C730" s="587"/>
      <c r="D730" s="587"/>
      <c r="E730" s="587"/>
      <c r="F730" s="587"/>
      <c r="G730" s="587"/>
      <c r="H730" s="587"/>
      <c r="I730" s="587"/>
      <c r="J730" s="599"/>
      <c r="K730" s="587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  <c r="Z730" s="280"/>
      <c r="AA730" s="280"/>
    </row>
    <row r="731">
      <c r="A731" s="598"/>
      <c r="B731" s="587"/>
      <c r="C731" s="587"/>
      <c r="D731" s="587"/>
      <c r="E731" s="587"/>
      <c r="F731" s="587"/>
      <c r="G731" s="587"/>
      <c r="H731" s="587"/>
      <c r="I731" s="587"/>
      <c r="J731" s="599"/>
      <c r="K731" s="587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  <c r="Z731" s="280"/>
      <c r="AA731" s="280"/>
    </row>
    <row r="732">
      <c r="A732" s="598"/>
      <c r="B732" s="587"/>
      <c r="C732" s="587"/>
      <c r="D732" s="587"/>
      <c r="E732" s="587"/>
      <c r="F732" s="587"/>
      <c r="G732" s="587"/>
      <c r="H732" s="587"/>
      <c r="I732" s="587"/>
      <c r="J732" s="599"/>
      <c r="K732" s="587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  <c r="Z732" s="280"/>
      <c r="AA732" s="280"/>
    </row>
    <row r="733">
      <c r="A733" s="598"/>
      <c r="B733" s="587"/>
      <c r="C733" s="587"/>
      <c r="D733" s="587"/>
      <c r="E733" s="587"/>
      <c r="F733" s="587"/>
      <c r="G733" s="587"/>
      <c r="H733" s="587"/>
      <c r="I733" s="587"/>
      <c r="J733" s="599"/>
      <c r="K733" s="587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  <c r="Z733" s="280"/>
      <c r="AA733" s="280"/>
    </row>
    <row r="734">
      <c r="A734" s="598"/>
      <c r="B734" s="587"/>
      <c r="C734" s="587"/>
      <c r="D734" s="587"/>
      <c r="E734" s="587"/>
      <c r="F734" s="587"/>
      <c r="G734" s="587"/>
      <c r="H734" s="587"/>
      <c r="I734" s="587"/>
      <c r="J734" s="599"/>
      <c r="K734" s="587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  <c r="Z734" s="280"/>
      <c r="AA734" s="280"/>
    </row>
    <row r="735">
      <c r="A735" s="598"/>
      <c r="B735" s="587"/>
      <c r="C735" s="587"/>
      <c r="D735" s="587"/>
      <c r="E735" s="587"/>
      <c r="F735" s="587"/>
      <c r="G735" s="587"/>
      <c r="H735" s="587"/>
      <c r="I735" s="587"/>
      <c r="J735" s="599"/>
      <c r="K735" s="587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  <c r="Z735" s="280"/>
      <c r="AA735" s="280"/>
    </row>
    <row r="736">
      <c r="A736" s="598"/>
      <c r="B736" s="587"/>
      <c r="C736" s="587"/>
      <c r="D736" s="587"/>
      <c r="E736" s="587"/>
      <c r="F736" s="587"/>
      <c r="G736" s="587"/>
      <c r="H736" s="587"/>
      <c r="I736" s="587"/>
      <c r="J736" s="599"/>
      <c r="K736" s="587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  <c r="Z736" s="280"/>
      <c r="AA736" s="280"/>
    </row>
    <row r="737">
      <c r="A737" s="598"/>
      <c r="B737" s="587"/>
      <c r="C737" s="587"/>
      <c r="D737" s="587"/>
      <c r="E737" s="587"/>
      <c r="F737" s="587"/>
      <c r="G737" s="587"/>
      <c r="H737" s="587"/>
      <c r="I737" s="587"/>
      <c r="J737" s="599"/>
      <c r="K737" s="587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  <c r="Z737" s="280"/>
      <c r="AA737" s="280"/>
    </row>
    <row r="738">
      <c r="A738" s="598"/>
      <c r="B738" s="587"/>
      <c r="C738" s="587"/>
      <c r="D738" s="587"/>
      <c r="E738" s="587"/>
      <c r="F738" s="587"/>
      <c r="G738" s="587"/>
      <c r="H738" s="587"/>
      <c r="I738" s="587"/>
      <c r="J738" s="599"/>
      <c r="K738" s="587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  <c r="Z738" s="280"/>
      <c r="AA738" s="280"/>
    </row>
    <row r="739">
      <c r="A739" s="598"/>
      <c r="B739" s="587"/>
      <c r="C739" s="587"/>
      <c r="D739" s="587"/>
      <c r="E739" s="587"/>
      <c r="F739" s="587"/>
      <c r="G739" s="587"/>
      <c r="H739" s="587"/>
      <c r="I739" s="587"/>
      <c r="J739" s="599"/>
      <c r="K739" s="587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  <c r="Z739" s="280"/>
      <c r="AA739" s="280"/>
    </row>
    <row r="740">
      <c r="A740" s="598"/>
      <c r="B740" s="587"/>
      <c r="C740" s="587"/>
      <c r="D740" s="587"/>
      <c r="E740" s="587"/>
      <c r="F740" s="587"/>
      <c r="G740" s="587"/>
      <c r="H740" s="587"/>
      <c r="I740" s="587"/>
      <c r="J740" s="599"/>
      <c r="K740" s="587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  <c r="Z740" s="280"/>
      <c r="AA740" s="280"/>
    </row>
    <row r="741">
      <c r="A741" s="598"/>
      <c r="B741" s="587"/>
      <c r="C741" s="587"/>
      <c r="D741" s="587"/>
      <c r="E741" s="587"/>
      <c r="F741" s="587"/>
      <c r="G741" s="587"/>
      <c r="H741" s="587"/>
      <c r="I741" s="587"/>
      <c r="J741" s="599"/>
      <c r="K741" s="587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  <c r="Z741" s="280"/>
      <c r="AA741" s="280"/>
    </row>
    <row r="742">
      <c r="A742" s="598"/>
      <c r="B742" s="587"/>
      <c r="C742" s="587"/>
      <c r="D742" s="587"/>
      <c r="E742" s="587"/>
      <c r="F742" s="587"/>
      <c r="G742" s="587"/>
      <c r="H742" s="587"/>
      <c r="I742" s="587"/>
      <c r="J742" s="599"/>
      <c r="K742" s="587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  <c r="Z742" s="280"/>
      <c r="AA742" s="280"/>
    </row>
    <row r="743">
      <c r="A743" s="598"/>
      <c r="B743" s="587"/>
      <c r="C743" s="587"/>
      <c r="D743" s="587"/>
      <c r="E743" s="587"/>
      <c r="F743" s="587"/>
      <c r="G743" s="587"/>
      <c r="H743" s="587"/>
      <c r="I743" s="587"/>
      <c r="J743" s="599"/>
      <c r="K743" s="587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  <c r="Z743" s="280"/>
      <c r="AA743" s="280"/>
    </row>
    <row r="744">
      <c r="A744" s="598"/>
      <c r="B744" s="587"/>
      <c r="C744" s="587"/>
      <c r="D744" s="587"/>
      <c r="E744" s="587"/>
      <c r="F744" s="587"/>
      <c r="G744" s="587"/>
      <c r="H744" s="587"/>
      <c r="I744" s="587"/>
      <c r="J744" s="599"/>
      <c r="K744" s="587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  <c r="Z744" s="280"/>
      <c r="AA744" s="280"/>
    </row>
    <row r="745">
      <c r="A745" s="598"/>
      <c r="B745" s="587"/>
      <c r="C745" s="587"/>
      <c r="D745" s="587"/>
      <c r="E745" s="587"/>
      <c r="F745" s="587"/>
      <c r="G745" s="587"/>
      <c r="H745" s="587"/>
      <c r="I745" s="587"/>
      <c r="J745" s="599"/>
      <c r="K745" s="587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  <c r="Z745" s="280"/>
      <c r="AA745" s="280"/>
    </row>
    <row r="746">
      <c r="A746" s="598"/>
      <c r="B746" s="587"/>
      <c r="C746" s="587"/>
      <c r="D746" s="587"/>
      <c r="E746" s="587"/>
      <c r="F746" s="587"/>
      <c r="G746" s="587"/>
      <c r="H746" s="587"/>
      <c r="I746" s="587"/>
      <c r="J746" s="599"/>
      <c r="K746" s="587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  <c r="Z746" s="280"/>
      <c r="AA746" s="280"/>
    </row>
    <row r="747">
      <c r="A747" s="598"/>
      <c r="B747" s="587"/>
      <c r="C747" s="587"/>
      <c r="D747" s="587"/>
      <c r="E747" s="587"/>
      <c r="F747" s="587"/>
      <c r="G747" s="587"/>
      <c r="H747" s="587"/>
      <c r="I747" s="587"/>
      <c r="J747" s="599"/>
      <c r="K747" s="587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  <c r="Z747" s="280"/>
      <c r="AA747" s="280"/>
    </row>
    <row r="748">
      <c r="A748" s="598"/>
      <c r="B748" s="587"/>
      <c r="C748" s="587"/>
      <c r="D748" s="587"/>
      <c r="E748" s="587"/>
      <c r="F748" s="587"/>
      <c r="G748" s="587"/>
      <c r="H748" s="587"/>
      <c r="I748" s="587"/>
      <c r="J748" s="599"/>
      <c r="K748" s="587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  <c r="Z748" s="280"/>
      <c r="AA748" s="280"/>
    </row>
    <row r="749">
      <c r="A749" s="598"/>
      <c r="B749" s="587"/>
      <c r="C749" s="587"/>
      <c r="D749" s="587"/>
      <c r="E749" s="587"/>
      <c r="F749" s="587"/>
      <c r="G749" s="587"/>
      <c r="H749" s="587"/>
      <c r="I749" s="587"/>
      <c r="J749" s="599"/>
      <c r="K749" s="587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  <c r="Z749" s="280"/>
      <c r="AA749" s="280"/>
    </row>
    <row r="750">
      <c r="A750" s="598"/>
      <c r="B750" s="587"/>
      <c r="C750" s="587"/>
      <c r="D750" s="587"/>
      <c r="E750" s="587"/>
      <c r="F750" s="587"/>
      <c r="G750" s="587"/>
      <c r="H750" s="587"/>
      <c r="I750" s="587"/>
      <c r="J750" s="599"/>
      <c r="K750" s="587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  <c r="Z750" s="280"/>
      <c r="AA750" s="280"/>
    </row>
    <row r="751">
      <c r="A751" s="598"/>
      <c r="B751" s="587"/>
      <c r="C751" s="587"/>
      <c r="D751" s="587"/>
      <c r="E751" s="587"/>
      <c r="F751" s="587"/>
      <c r="G751" s="587"/>
      <c r="H751" s="587"/>
      <c r="I751" s="587"/>
      <c r="J751" s="599"/>
      <c r="K751" s="587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  <c r="Z751" s="280"/>
      <c r="AA751" s="280"/>
    </row>
    <row r="752">
      <c r="A752" s="598"/>
      <c r="B752" s="587"/>
      <c r="C752" s="587"/>
      <c r="D752" s="587"/>
      <c r="E752" s="587"/>
      <c r="F752" s="587"/>
      <c r="G752" s="587"/>
      <c r="H752" s="587"/>
      <c r="I752" s="587"/>
      <c r="J752" s="599"/>
      <c r="K752" s="587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  <c r="Z752" s="280"/>
      <c r="AA752" s="280"/>
    </row>
    <row r="753">
      <c r="A753" s="598"/>
      <c r="B753" s="587"/>
      <c r="C753" s="587"/>
      <c r="D753" s="587"/>
      <c r="E753" s="587"/>
      <c r="F753" s="587"/>
      <c r="G753" s="587"/>
      <c r="H753" s="587"/>
      <c r="I753" s="587"/>
      <c r="J753" s="599"/>
      <c r="K753" s="587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  <c r="Z753" s="280"/>
      <c r="AA753" s="280"/>
    </row>
    <row r="754">
      <c r="A754" s="598"/>
      <c r="B754" s="587"/>
      <c r="C754" s="587"/>
      <c r="D754" s="587"/>
      <c r="E754" s="587"/>
      <c r="F754" s="587"/>
      <c r="G754" s="587"/>
      <c r="H754" s="587"/>
      <c r="I754" s="587"/>
      <c r="J754" s="599"/>
      <c r="K754" s="587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  <c r="Z754" s="280"/>
      <c r="AA754" s="280"/>
    </row>
    <row r="755">
      <c r="A755" s="598"/>
      <c r="B755" s="587"/>
      <c r="C755" s="587"/>
      <c r="D755" s="587"/>
      <c r="E755" s="587"/>
      <c r="F755" s="587"/>
      <c r="G755" s="587"/>
      <c r="H755" s="587"/>
      <c r="I755" s="587"/>
      <c r="J755" s="599"/>
      <c r="K755" s="587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  <c r="Z755" s="280"/>
      <c r="AA755" s="280"/>
    </row>
    <row r="756">
      <c r="A756" s="598"/>
      <c r="B756" s="587"/>
      <c r="C756" s="587"/>
      <c r="D756" s="587"/>
      <c r="E756" s="587"/>
      <c r="F756" s="587"/>
      <c r="G756" s="587"/>
      <c r="H756" s="587"/>
      <c r="I756" s="587"/>
      <c r="J756" s="599"/>
      <c r="K756" s="587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  <c r="Z756" s="280"/>
      <c r="AA756" s="280"/>
    </row>
    <row r="757">
      <c r="A757" s="598"/>
      <c r="B757" s="587"/>
      <c r="C757" s="587"/>
      <c r="D757" s="587"/>
      <c r="E757" s="587"/>
      <c r="F757" s="587"/>
      <c r="G757" s="587"/>
      <c r="H757" s="587"/>
      <c r="I757" s="587"/>
      <c r="J757" s="599"/>
      <c r="K757" s="587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  <c r="Z757" s="280"/>
      <c r="AA757" s="280"/>
    </row>
    <row r="758">
      <c r="A758" s="598"/>
      <c r="B758" s="587"/>
      <c r="C758" s="587"/>
      <c r="D758" s="587"/>
      <c r="E758" s="587"/>
      <c r="F758" s="587"/>
      <c r="G758" s="587"/>
      <c r="H758" s="587"/>
      <c r="I758" s="587"/>
      <c r="J758" s="599"/>
      <c r="K758" s="587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  <c r="Z758" s="280"/>
      <c r="AA758" s="280"/>
    </row>
    <row r="759">
      <c r="A759" s="598"/>
      <c r="B759" s="587"/>
      <c r="C759" s="587"/>
      <c r="D759" s="587"/>
      <c r="E759" s="587"/>
      <c r="F759" s="587"/>
      <c r="G759" s="587"/>
      <c r="H759" s="587"/>
      <c r="I759" s="587"/>
      <c r="J759" s="599"/>
      <c r="K759" s="587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  <c r="Z759" s="280"/>
      <c r="AA759" s="280"/>
    </row>
    <row r="760">
      <c r="A760" s="598"/>
      <c r="B760" s="587"/>
      <c r="C760" s="587"/>
      <c r="D760" s="587"/>
      <c r="E760" s="587"/>
      <c r="F760" s="587"/>
      <c r="G760" s="587"/>
      <c r="H760" s="587"/>
      <c r="I760" s="587"/>
      <c r="J760" s="599"/>
      <c r="K760" s="587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  <c r="Z760" s="280"/>
      <c r="AA760" s="280"/>
    </row>
    <row r="761">
      <c r="A761" s="598"/>
      <c r="B761" s="587"/>
      <c r="C761" s="587"/>
      <c r="D761" s="587"/>
      <c r="E761" s="587"/>
      <c r="F761" s="587"/>
      <c r="G761" s="587"/>
      <c r="H761" s="587"/>
      <c r="I761" s="587"/>
      <c r="J761" s="599"/>
      <c r="K761" s="587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  <c r="Z761" s="280"/>
      <c r="AA761" s="280"/>
    </row>
    <row r="762">
      <c r="A762" s="598"/>
      <c r="B762" s="587"/>
      <c r="C762" s="587"/>
      <c r="D762" s="587"/>
      <c r="E762" s="587"/>
      <c r="F762" s="587"/>
      <c r="G762" s="587"/>
      <c r="H762" s="587"/>
      <c r="I762" s="587"/>
      <c r="J762" s="599"/>
      <c r="K762" s="587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  <c r="Z762" s="280"/>
      <c r="AA762" s="280"/>
    </row>
    <row r="763">
      <c r="A763" s="598"/>
      <c r="B763" s="587"/>
      <c r="C763" s="587"/>
      <c r="D763" s="587"/>
      <c r="E763" s="587"/>
      <c r="F763" s="587"/>
      <c r="G763" s="587"/>
      <c r="H763" s="587"/>
      <c r="I763" s="587"/>
      <c r="J763" s="599"/>
      <c r="K763" s="587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  <c r="Z763" s="280"/>
      <c r="AA763" s="280"/>
    </row>
    <row r="764">
      <c r="A764" s="598"/>
      <c r="B764" s="587"/>
      <c r="C764" s="587"/>
      <c r="D764" s="587"/>
      <c r="E764" s="587"/>
      <c r="F764" s="587"/>
      <c r="G764" s="587"/>
      <c r="H764" s="587"/>
      <c r="I764" s="587"/>
      <c r="J764" s="599"/>
      <c r="K764" s="587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  <c r="Z764" s="280"/>
      <c r="AA764" s="280"/>
    </row>
    <row r="765">
      <c r="A765" s="598"/>
      <c r="B765" s="587"/>
      <c r="C765" s="587"/>
      <c r="D765" s="587"/>
      <c r="E765" s="587"/>
      <c r="F765" s="587"/>
      <c r="G765" s="587"/>
      <c r="H765" s="587"/>
      <c r="I765" s="587"/>
      <c r="J765" s="599"/>
      <c r="K765" s="587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  <c r="Z765" s="280"/>
      <c r="AA765" s="280"/>
    </row>
    <row r="766">
      <c r="A766" s="598"/>
      <c r="B766" s="587"/>
      <c r="C766" s="587"/>
      <c r="D766" s="587"/>
      <c r="E766" s="587"/>
      <c r="F766" s="587"/>
      <c r="G766" s="587"/>
      <c r="H766" s="587"/>
      <c r="I766" s="587"/>
      <c r="J766" s="599"/>
      <c r="K766" s="587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  <c r="Z766" s="280"/>
      <c r="AA766" s="280"/>
    </row>
    <row r="767">
      <c r="A767" s="598"/>
      <c r="B767" s="587"/>
      <c r="C767" s="587"/>
      <c r="D767" s="587"/>
      <c r="E767" s="587"/>
      <c r="F767" s="587"/>
      <c r="G767" s="587"/>
      <c r="H767" s="587"/>
      <c r="I767" s="587"/>
      <c r="J767" s="599"/>
      <c r="K767" s="587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  <c r="Z767" s="280"/>
      <c r="AA767" s="280"/>
    </row>
    <row r="768">
      <c r="A768" s="598"/>
      <c r="B768" s="587"/>
      <c r="C768" s="587"/>
      <c r="D768" s="587"/>
      <c r="E768" s="587"/>
      <c r="F768" s="587"/>
      <c r="G768" s="587"/>
      <c r="H768" s="587"/>
      <c r="I768" s="587"/>
      <c r="J768" s="599"/>
      <c r="K768" s="587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  <c r="Z768" s="280"/>
      <c r="AA768" s="280"/>
    </row>
    <row r="769">
      <c r="A769" s="598"/>
      <c r="B769" s="587"/>
      <c r="C769" s="587"/>
      <c r="D769" s="587"/>
      <c r="E769" s="587"/>
      <c r="F769" s="587"/>
      <c r="G769" s="587"/>
      <c r="H769" s="587"/>
      <c r="I769" s="587"/>
      <c r="J769" s="599"/>
      <c r="K769" s="587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  <c r="Z769" s="280"/>
      <c r="AA769" s="280"/>
    </row>
    <row r="770">
      <c r="A770" s="598"/>
      <c r="B770" s="587"/>
      <c r="C770" s="587"/>
      <c r="D770" s="587"/>
      <c r="E770" s="587"/>
      <c r="F770" s="587"/>
      <c r="G770" s="587"/>
      <c r="H770" s="587"/>
      <c r="I770" s="587"/>
      <c r="J770" s="599"/>
      <c r="K770" s="587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  <c r="Z770" s="280"/>
      <c r="AA770" s="280"/>
    </row>
    <row r="771">
      <c r="A771" s="598"/>
      <c r="B771" s="587"/>
      <c r="C771" s="587"/>
      <c r="D771" s="587"/>
      <c r="E771" s="587"/>
      <c r="F771" s="587"/>
      <c r="G771" s="587"/>
      <c r="H771" s="587"/>
      <c r="I771" s="587"/>
      <c r="J771" s="599"/>
      <c r="K771" s="587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  <c r="Z771" s="280"/>
      <c r="AA771" s="280"/>
    </row>
    <row r="772">
      <c r="A772" s="598"/>
      <c r="B772" s="587"/>
      <c r="C772" s="587"/>
      <c r="D772" s="587"/>
      <c r="E772" s="587"/>
      <c r="F772" s="587"/>
      <c r="G772" s="587"/>
      <c r="H772" s="587"/>
      <c r="I772" s="587"/>
      <c r="J772" s="599"/>
      <c r="K772" s="587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  <c r="Z772" s="280"/>
      <c r="AA772" s="280"/>
    </row>
    <row r="773">
      <c r="A773" s="598"/>
      <c r="B773" s="587"/>
      <c r="C773" s="587"/>
      <c r="D773" s="587"/>
      <c r="E773" s="587"/>
      <c r="F773" s="587"/>
      <c r="G773" s="587"/>
      <c r="H773" s="587"/>
      <c r="I773" s="587"/>
      <c r="J773" s="599"/>
      <c r="K773" s="587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  <c r="Z773" s="280"/>
      <c r="AA773" s="280"/>
    </row>
    <row r="774">
      <c r="A774" s="598"/>
      <c r="B774" s="587"/>
      <c r="C774" s="587"/>
      <c r="D774" s="587"/>
      <c r="E774" s="587"/>
      <c r="F774" s="587"/>
      <c r="G774" s="587"/>
      <c r="H774" s="587"/>
      <c r="I774" s="587"/>
      <c r="J774" s="599"/>
      <c r="K774" s="587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  <c r="Z774" s="280"/>
      <c r="AA774" s="280"/>
    </row>
    <row r="775">
      <c r="A775" s="598"/>
      <c r="B775" s="587"/>
      <c r="C775" s="587"/>
      <c r="D775" s="587"/>
      <c r="E775" s="587"/>
      <c r="F775" s="587"/>
      <c r="G775" s="587"/>
      <c r="H775" s="587"/>
      <c r="I775" s="587"/>
      <c r="J775" s="599"/>
      <c r="K775" s="587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  <c r="Z775" s="280"/>
      <c r="AA775" s="280"/>
    </row>
    <row r="776">
      <c r="A776" s="598"/>
      <c r="B776" s="587"/>
      <c r="C776" s="587"/>
      <c r="D776" s="587"/>
      <c r="E776" s="587"/>
      <c r="F776" s="587"/>
      <c r="G776" s="587"/>
      <c r="H776" s="587"/>
      <c r="I776" s="587"/>
      <c r="J776" s="599"/>
      <c r="K776" s="587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  <c r="Z776" s="280"/>
      <c r="AA776" s="280"/>
    </row>
    <row r="777">
      <c r="A777" s="598"/>
      <c r="B777" s="587"/>
      <c r="C777" s="587"/>
      <c r="D777" s="587"/>
      <c r="E777" s="587"/>
      <c r="F777" s="587"/>
      <c r="G777" s="587"/>
      <c r="H777" s="587"/>
      <c r="I777" s="587"/>
      <c r="J777" s="599"/>
      <c r="K777" s="587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  <c r="Z777" s="280"/>
      <c r="AA777" s="280"/>
    </row>
    <row r="778">
      <c r="A778" s="598"/>
      <c r="B778" s="587"/>
      <c r="C778" s="587"/>
      <c r="D778" s="587"/>
      <c r="E778" s="587"/>
      <c r="F778" s="587"/>
      <c r="G778" s="587"/>
      <c r="H778" s="587"/>
      <c r="I778" s="587"/>
      <c r="J778" s="599"/>
      <c r="K778" s="587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  <c r="Z778" s="280"/>
      <c r="AA778" s="280"/>
    </row>
    <row r="779">
      <c r="A779" s="598"/>
      <c r="B779" s="587"/>
      <c r="C779" s="587"/>
      <c r="D779" s="587"/>
      <c r="E779" s="587"/>
      <c r="F779" s="587"/>
      <c r="G779" s="587"/>
      <c r="H779" s="587"/>
      <c r="I779" s="587"/>
      <c r="J779" s="599"/>
      <c r="K779" s="587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  <c r="Z779" s="280"/>
      <c r="AA779" s="280"/>
    </row>
    <row r="780">
      <c r="A780" s="598"/>
      <c r="B780" s="587"/>
      <c r="C780" s="587"/>
      <c r="D780" s="587"/>
      <c r="E780" s="587"/>
      <c r="F780" s="587"/>
      <c r="G780" s="587"/>
      <c r="H780" s="587"/>
      <c r="I780" s="587"/>
      <c r="J780" s="599"/>
      <c r="K780" s="587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  <c r="Z780" s="280"/>
      <c r="AA780" s="280"/>
    </row>
    <row r="781">
      <c r="A781" s="598"/>
      <c r="B781" s="587"/>
      <c r="C781" s="587"/>
      <c r="D781" s="587"/>
      <c r="E781" s="587"/>
      <c r="F781" s="587"/>
      <c r="G781" s="587"/>
      <c r="H781" s="587"/>
      <c r="I781" s="587"/>
      <c r="J781" s="599"/>
      <c r="K781" s="587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  <c r="Z781" s="280"/>
      <c r="AA781" s="280"/>
    </row>
    <row r="782">
      <c r="A782" s="598"/>
      <c r="B782" s="587"/>
      <c r="C782" s="587"/>
      <c r="D782" s="587"/>
      <c r="E782" s="587"/>
      <c r="F782" s="587"/>
      <c r="G782" s="587"/>
      <c r="H782" s="587"/>
      <c r="I782" s="587"/>
      <c r="J782" s="599"/>
      <c r="K782" s="587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  <c r="Z782" s="280"/>
      <c r="AA782" s="280"/>
    </row>
    <row r="783">
      <c r="A783" s="598"/>
      <c r="B783" s="587"/>
      <c r="C783" s="587"/>
      <c r="D783" s="587"/>
      <c r="E783" s="587"/>
      <c r="F783" s="587"/>
      <c r="G783" s="587"/>
      <c r="H783" s="587"/>
      <c r="I783" s="587"/>
      <c r="J783" s="599"/>
      <c r="K783" s="587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  <c r="Z783" s="280"/>
      <c r="AA783" s="280"/>
    </row>
    <row r="784">
      <c r="A784" s="598"/>
      <c r="B784" s="587"/>
      <c r="C784" s="587"/>
      <c r="D784" s="587"/>
      <c r="E784" s="587"/>
      <c r="F784" s="587"/>
      <c r="G784" s="587"/>
      <c r="H784" s="587"/>
      <c r="I784" s="587"/>
      <c r="J784" s="599"/>
      <c r="K784" s="587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  <c r="Z784" s="280"/>
      <c r="AA784" s="280"/>
    </row>
    <row r="785">
      <c r="A785" s="598"/>
      <c r="B785" s="587"/>
      <c r="C785" s="587"/>
      <c r="D785" s="587"/>
      <c r="E785" s="587"/>
      <c r="F785" s="587"/>
      <c r="G785" s="587"/>
      <c r="H785" s="587"/>
      <c r="I785" s="587"/>
      <c r="J785" s="599"/>
      <c r="K785" s="587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  <c r="Z785" s="280"/>
      <c r="AA785" s="280"/>
    </row>
    <row r="786">
      <c r="A786" s="598"/>
      <c r="B786" s="587"/>
      <c r="C786" s="587"/>
      <c r="D786" s="587"/>
      <c r="E786" s="587"/>
      <c r="F786" s="587"/>
      <c r="G786" s="587"/>
      <c r="H786" s="587"/>
      <c r="I786" s="587"/>
      <c r="J786" s="599"/>
      <c r="K786" s="587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  <c r="Z786" s="280"/>
      <c r="AA786" s="280"/>
    </row>
    <row r="787">
      <c r="A787" s="598"/>
      <c r="B787" s="587"/>
      <c r="C787" s="587"/>
      <c r="D787" s="587"/>
      <c r="E787" s="587"/>
      <c r="F787" s="587"/>
      <c r="G787" s="587"/>
      <c r="H787" s="587"/>
      <c r="I787" s="587"/>
      <c r="J787" s="599"/>
      <c r="K787" s="587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  <c r="Z787" s="280"/>
      <c r="AA787" s="280"/>
    </row>
    <row r="788">
      <c r="A788" s="598"/>
      <c r="B788" s="587"/>
      <c r="C788" s="587"/>
      <c r="D788" s="587"/>
      <c r="E788" s="587"/>
      <c r="F788" s="587"/>
      <c r="G788" s="587"/>
      <c r="H788" s="587"/>
      <c r="I788" s="587"/>
      <c r="J788" s="599"/>
      <c r="K788" s="587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  <c r="Z788" s="280"/>
      <c r="AA788" s="280"/>
    </row>
    <row r="789">
      <c r="A789" s="598"/>
      <c r="B789" s="587"/>
      <c r="C789" s="587"/>
      <c r="D789" s="587"/>
      <c r="E789" s="587"/>
      <c r="F789" s="587"/>
      <c r="G789" s="587"/>
      <c r="H789" s="587"/>
      <c r="I789" s="587"/>
      <c r="J789" s="599"/>
      <c r="K789" s="587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  <c r="AA789" s="280"/>
    </row>
    <row r="790">
      <c r="A790" s="598"/>
      <c r="B790" s="587"/>
      <c r="C790" s="587"/>
      <c r="D790" s="587"/>
      <c r="E790" s="587"/>
      <c r="F790" s="587"/>
      <c r="G790" s="587"/>
      <c r="H790" s="587"/>
      <c r="I790" s="587"/>
      <c r="J790" s="599"/>
      <c r="K790" s="587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  <c r="Z790" s="280"/>
      <c r="AA790" s="280"/>
    </row>
    <row r="791">
      <c r="A791" s="598"/>
      <c r="B791" s="587"/>
      <c r="C791" s="587"/>
      <c r="D791" s="587"/>
      <c r="E791" s="587"/>
      <c r="F791" s="587"/>
      <c r="G791" s="587"/>
      <c r="H791" s="587"/>
      <c r="I791" s="587"/>
      <c r="J791" s="599"/>
      <c r="K791" s="587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  <c r="Z791" s="280"/>
      <c r="AA791" s="280"/>
    </row>
    <row r="792">
      <c r="A792" s="598"/>
      <c r="B792" s="587"/>
      <c r="C792" s="587"/>
      <c r="D792" s="587"/>
      <c r="E792" s="587"/>
      <c r="F792" s="587"/>
      <c r="G792" s="587"/>
      <c r="H792" s="587"/>
      <c r="I792" s="587"/>
      <c r="J792" s="599"/>
      <c r="K792" s="587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  <c r="Z792" s="280"/>
      <c r="AA792" s="280"/>
    </row>
    <row r="793">
      <c r="A793" s="598"/>
      <c r="B793" s="587"/>
      <c r="C793" s="587"/>
      <c r="D793" s="587"/>
      <c r="E793" s="587"/>
      <c r="F793" s="587"/>
      <c r="G793" s="587"/>
      <c r="H793" s="587"/>
      <c r="I793" s="587"/>
      <c r="J793" s="599"/>
      <c r="K793" s="587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  <c r="Z793" s="280"/>
      <c r="AA793" s="280"/>
    </row>
    <row r="794">
      <c r="A794" s="598"/>
      <c r="B794" s="587"/>
      <c r="C794" s="587"/>
      <c r="D794" s="587"/>
      <c r="E794" s="587"/>
      <c r="F794" s="587"/>
      <c r="G794" s="587"/>
      <c r="H794" s="587"/>
      <c r="I794" s="587"/>
      <c r="J794" s="599"/>
      <c r="K794" s="587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  <c r="Z794" s="280"/>
      <c r="AA794" s="280"/>
    </row>
    <row r="795">
      <c r="A795" s="598"/>
      <c r="B795" s="587"/>
      <c r="C795" s="587"/>
      <c r="D795" s="587"/>
      <c r="E795" s="587"/>
      <c r="F795" s="587"/>
      <c r="G795" s="587"/>
      <c r="H795" s="587"/>
      <c r="I795" s="587"/>
      <c r="J795" s="599"/>
      <c r="K795" s="587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  <c r="Z795" s="280"/>
      <c r="AA795" s="280"/>
    </row>
    <row r="796">
      <c r="A796" s="598"/>
      <c r="B796" s="587"/>
      <c r="C796" s="587"/>
      <c r="D796" s="587"/>
      <c r="E796" s="587"/>
      <c r="F796" s="587"/>
      <c r="G796" s="587"/>
      <c r="H796" s="587"/>
      <c r="I796" s="587"/>
      <c r="J796" s="599"/>
      <c r="K796" s="587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  <c r="Z796" s="280"/>
      <c r="AA796" s="280"/>
    </row>
    <row r="797">
      <c r="A797" s="598"/>
      <c r="B797" s="587"/>
      <c r="C797" s="587"/>
      <c r="D797" s="587"/>
      <c r="E797" s="587"/>
      <c r="F797" s="587"/>
      <c r="G797" s="587"/>
      <c r="H797" s="587"/>
      <c r="I797" s="587"/>
      <c r="J797" s="599"/>
      <c r="K797" s="587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  <c r="Z797" s="280"/>
      <c r="AA797" s="280"/>
    </row>
    <row r="798">
      <c r="A798" s="598"/>
      <c r="B798" s="587"/>
      <c r="C798" s="587"/>
      <c r="D798" s="587"/>
      <c r="E798" s="587"/>
      <c r="F798" s="587"/>
      <c r="G798" s="587"/>
      <c r="H798" s="587"/>
      <c r="I798" s="587"/>
      <c r="J798" s="599"/>
      <c r="K798" s="587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  <c r="Z798" s="280"/>
      <c r="AA798" s="280"/>
    </row>
    <row r="799">
      <c r="A799" s="598"/>
      <c r="B799" s="587"/>
      <c r="C799" s="587"/>
      <c r="D799" s="587"/>
      <c r="E799" s="587"/>
      <c r="F799" s="587"/>
      <c r="G799" s="587"/>
      <c r="H799" s="587"/>
      <c r="I799" s="587"/>
      <c r="J799" s="599"/>
      <c r="K799" s="587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  <c r="Z799" s="280"/>
      <c r="AA799" s="280"/>
    </row>
    <row r="800">
      <c r="A800" s="598"/>
      <c r="B800" s="587"/>
      <c r="C800" s="587"/>
      <c r="D800" s="587"/>
      <c r="E800" s="587"/>
      <c r="F800" s="587"/>
      <c r="G800" s="587"/>
      <c r="H800" s="587"/>
      <c r="I800" s="587"/>
      <c r="J800" s="599"/>
      <c r="K800" s="587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  <c r="Z800" s="280"/>
      <c r="AA800" s="280"/>
    </row>
    <row r="801">
      <c r="A801" s="598"/>
      <c r="B801" s="587"/>
      <c r="C801" s="587"/>
      <c r="D801" s="587"/>
      <c r="E801" s="587"/>
      <c r="F801" s="587"/>
      <c r="G801" s="587"/>
      <c r="H801" s="587"/>
      <c r="I801" s="587"/>
      <c r="J801" s="599"/>
      <c r="K801" s="587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  <c r="Z801" s="280"/>
      <c r="AA801" s="280"/>
    </row>
    <row r="802">
      <c r="A802" s="598"/>
      <c r="B802" s="587"/>
      <c r="C802" s="587"/>
      <c r="D802" s="587"/>
      <c r="E802" s="587"/>
      <c r="F802" s="587"/>
      <c r="G802" s="587"/>
      <c r="H802" s="587"/>
      <c r="I802" s="587"/>
      <c r="J802" s="599"/>
      <c r="K802" s="587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  <c r="Z802" s="280"/>
      <c r="AA802" s="280"/>
    </row>
    <row r="803">
      <c r="A803" s="598"/>
      <c r="B803" s="587"/>
      <c r="C803" s="587"/>
      <c r="D803" s="587"/>
      <c r="E803" s="587"/>
      <c r="F803" s="587"/>
      <c r="G803" s="587"/>
      <c r="H803" s="587"/>
      <c r="I803" s="587"/>
      <c r="J803" s="599"/>
      <c r="K803" s="587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  <c r="Z803" s="280"/>
      <c r="AA803" s="280"/>
    </row>
    <row r="804">
      <c r="A804" s="598"/>
      <c r="B804" s="587"/>
      <c r="C804" s="587"/>
      <c r="D804" s="587"/>
      <c r="E804" s="587"/>
      <c r="F804" s="587"/>
      <c r="G804" s="587"/>
      <c r="H804" s="587"/>
      <c r="I804" s="587"/>
      <c r="J804" s="599"/>
      <c r="K804" s="587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  <c r="Z804" s="280"/>
      <c r="AA804" s="280"/>
    </row>
    <row r="805">
      <c r="A805" s="598"/>
      <c r="B805" s="587"/>
      <c r="C805" s="587"/>
      <c r="D805" s="587"/>
      <c r="E805" s="587"/>
      <c r="F805" s="587"/>
      <c r="G805" s="587"/>
      <c r="H805" s="587"/>
      <c r="I805" s="587"/>
      <c r="J805" s="599"/>
      <c r="K805" s="587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  <c r="Z805" s="280"/>
      <c r="AA805" s="280"/>
    </row>
    <row r="806">
      <c r="A806" s="598"/>
      <c r="B806" s="587"/>
      <c r="C806" s="587"/>
      <c r="D806" s="587"/>
      <c r="E806" s="587"/>
      <c r="F806" s="587"/>
      <c r="G806" s="587"/>
      <c r="H806" s="587"/>
      <c r="I806" s="587"/>
      <c r="J806" s="599"/>
      <c r="K806" s="587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  <c r="Z806" s="280"/>
      <c r="AA806" s="280"/>
    </row>
    <row r="807">
      <c r="A807" s="598"/>
      <c r="B807" s="587"/>
      <c r="C807" s="587"/>
      <c r="D807" s="587"/>
      <c r="E807" s="587"/>
      <c r="F807" s="587"/>
      <c r="G807" s="587"/>
      <c r="H807" s="587"/>
      <c r="I807" s="587"/>
      <c r="J807" s="599"/>
      <c r="K807" s="587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  <c r="Z807" s="280"/>
      <c r="AA807" s="280"/>
    </row>
    <row r="808">
      <c r="A808" s="598"/>
      <c r="B808" s="587"/>
      <c r="C808" s="587"/>
      <c r="D808" s="587"/>
      <c r="E808" s="587"/>
      <c r="F808" s="587"/>
      <c r="G808" s="587"/>
      <c r="H808" s="587"/>
      <c r="I808" s="587"/>
      <c r="J808" s="599"/>
      <c r="K808" s="587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  <c r="Z808" s="280"/>
      <c r="AA808" s="280"/>
    </row>
    <row r="809">
      <c r="A809" s="598"/>
      <c r="B809" s="587"/>
      <c r="C809" s="587"/>
      <c r="D809" s="587"/>
      <c r="E809" s="587"/>
      <c r="F809" s="587"/>
      <c r="G809" s="587"/>
      <c r="H809" s="587"/>
      <c r="I809" s="587"/>
      <c r="J809" s="599"/>
      <c r="K809" s="587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  <c r="Z809" s="280"/>
      <c r="AA809" s="280"/>
    </row>
    <row r="810">
      <c r="A810" s="598"/>
      <c r="B810" s="587"/>
      <c r="C810" s="587"/>
      <c r="D810" s="587"/>
      <c r="E810" s="587"/>
      <c r="F810" s="587"/>
      <c r="G810" s="587"/>
      <c r="H810" s="587"/>
      <c r="I810" s="587"/>
      <c r="J810" s="599"/>
      <c r="K810" s="587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  <c r="Z810" s="280"/>
      <c r="AA810" s="280"/>
    </row>
    <row r="811">
      <c r="A811" s="598"/>
      <c r="B811" s="587"/>
      <c r="C811" s="587"/>
      <c r="D811" s="587"/>
      <c r="E811" s="587"/>
      <c r="F811" s="587"/>
      <c r="G811" s="587"/>
      <c r="H811" s="587"/>
      <c r="I811" s="587"/>
      <c r="J811" s="599"/>
      <c r="K811" s="587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  <c r="Z811" s="280"/>
      <c r="AA811" s="280"/>
    </row>
    <row r="812">
      <c r="A812" s="598"/>
      <c r="B812" s="587"/>
      <c r="C812" s="587"/>
      <c r="D812" s="587"/>
      <c r="E812" s="587"/>
      <c r="F812" s="587"/>
      <c r="G812" s="587"/>
      <c r="H812" s="587"/>
      <c r="I812" s="587"/>
      <c r="J812" s="599"/>
      <c r="K812" s="587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  <c r="Z812" s="280"/>
      <c r="AA812" s="280"/>
    </row>
    <row r="813">
      <c r="A813" s="598"/>
      <c r="B813" s="587"/>
      <c r="C813" s="587"/>
      <c r="D813" s="587"/>
      <c r="E813" s="587"/>
      <c r="F813" s="587"/>
      <c r="G813" s="587"/>
      <c r="H813" s="587"/>
      <c r="I813" s="587"/>
      <c r="J813" s="599"/>
      <c r="K813" s="587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  <c r="Z813" s="280"/>
      <c r="AA813" s="280"/>
    </row>
    <row r="814">
      <c r="A814" s="598"/>
      <c r="B814" s="587"/>
      <c r="C814" s="587"/>
      <c r="D814" s="587"/>
      <c r="E814" s="587"/>
      <c r="F814" s="587"/>
      <c r="G814" s="587"/>
      <c r="H814" s="587"/>
      <c r="I814" s="587"/>
      <c r="J814" s="599"/>
      <c r="K814" s="587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  <c r="Z814" s="280"/>
      <c r="AA814" s="280"/>
    </row>
    <row r="815">
      <c r="A815" s="598"/>
      <c r="B815" s="587"/>
      <c r="C815" s="587"/>
      <c r="D815" s="587"/>
      <c r="E815" s="587"/>
      <c r="F815" s="587"/>
      <c r="G815" s="587"/>
      <c r="H815" s="587"/>
      <c r="I815" s="587"/>
      <c r="J815" s="599"/>
      <c r="K815" s="587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  <c r="Z815" s="280"/>
      <c r="AA815" s="280"/>
    </row>
    <row r="816">
      <c r="A816" s="598"/>
      <c r="B816" s="587"/>
      <c r="C816" s="587"/>
      <c r="D816" s="587"/>
      <c r="E816" s="587"/>
      <c r="F816" s="587"/>
      <c r="G816" s="587"/>
      <c r="H816" s="587"/>
      <c r="I816" s="587"/>
      <c r="J816" s="599"/>
      <c r="K816" s="587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  <c r="Z816" s="280"/>
      <c r="AA816" s="280"/>
    </row>
    <row r="817">
      <c r="A817" s="598"/>
      <c r="B817" s="587"/>
      <c r="C817" s="587"/>
      <c r="D817" s="587"/>
      <c r="E817" s="587"/>
      <c r="F817" s="587"/>
      <c r="G817" s="587"/>
      <c r="H817" s="587"/>
      <c r="I817" s="587"/>
      <c r="J817" s="599"/>
      <c r="K817" s="587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  <c r="Z817" s="280"/>
      <c r="AA817" s="280"/>
    </row>
    <row r="818">
      <c r="A818" s="598"/>
      <c r="B818" s="587"/>
      <c r="C818" s="587"/>
      <c r="D818" s="587"/>
      <c r="E818" s="587"/>
      <c r="F818" s="587"/>
      <c r="G818" s="587"/>
      <c r="H818" s="587"/>
      <c r="I818" s="587"/>
      <c r="J818" s="599"/>
      <c r="K818" s="587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  <c r="Z818" s="280"/>
      <c r="AA818" s="280"/>
    </row>
    <row r="819">
      <c r="A819" s="598"/>
      <c r="B819" s="587"/>
      <c r="C819" s="587"/>
      <c r="D819" s="587"/>
      <c r="E819" s="587"/>
      <c r="F819" s="587"/>
      <c r="G819" s="587"/>
      <c r="H819" s="587"/>
      <c r="I819" s="587"/>
      <c r="J819" s="599"/>
      <c r="K819" s="587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  <c r="Z819" s="280"/>
      <c r="AA819" s="280"/>
    </row>
    <row r="820">
      <c r="A820" s="598"/>
      <c r="B820" s="587"/>
      <c r="C820" s="587"/>
      <c r="D820" s="587"/>
      <c r="E820" s="587"/>
      <c r="F820" s="587"/>
      <c r="G820" s="587"/>
      <c r="H820" s="587"/>
      <c r="I820" s="587"/>
      <c r="J820" s="599"/>
      <c r="K820" s="587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  <c r="Z820" s="280"/>
      <c r="AA820" s="280"/>
    </row>
    <row r="821">
      <c r="A821" s="598"/>
      <c r="B821" s="587"/>
      <c r="C821" s="587"/>
      <c r="D821" s="587"/>
      <c r="E821" s="587"/>
      <c r="F821" s="587"/>
      <c r="G821" s="587"/>
      <c r="H821" s="587"/>
      <c r="I821" s="587"/>
      <c r="J821" s="599"/>
      <c r="K821" s="587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  <c r="Z821" s="280"/>
      <c r="AA821" s="280"/>
    </row>
    <row r="822">
      <c r="A822" s="598"/>
      <c r="B822" s="587"/>
      <c r="C822" s="587"/>
      <c r="D822" s="587"/>
      <c r="E822" s="587"/>
      <c r="F822" s="587"/>
      <c r="G822" s="587"/>
      <c r="H822" s="587"/>
      <c r="I822" s="587"/>
      <c r="J822" s="599"/>
      <c r="K822" s="587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  <c r="Z822" s="280"/>
      <c r="AA822" s="280"/>
    </row>
    <row r="823">
      <c r="A823" s="598"/>
      <c r="B823" s="587"/>
      <c r="C823" s="587"/>
      <c r="D823" s="587"/>
      <c r="E823" s="587"/>
      <c r="F823" s="587"/>
      <c r="G823" s="587"/>
      <c r="H823" s="587"/>
      <c r="I823" s="587"/>
      <c r="J823" s="599"/>
      <c r="K823" s="587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  <c r="Z823" s="280"/>
      <c r="AA823" s="280"/>
    </row>
    <row r="824">
      <c r="A824" s="598"/>
      <c r="B824" s="587"/>
      <c r="C824" s="587"/>
      <c r="D824" s="587"/>
      <c r="E824" s="587"/>
      <c r="F824" s="587"/>
      <c r="G824" s="587"/>
      <c r="H824" s="587"/>
      <c r="I824" s="587"/>
      <c r="J824" s="599"/>
      <c r="K824" s="587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  <c r="Z824" s="280"/>
      <c r="AA824" s="280"/>
    </row>
    <row r="825">
      <c r="A825" s="598"/>
      <c r="B825" s="587"/>
      <c r="C825" s="587"/>
      <c r="D825" s="587"/>
      <c r="E825" s="587"/>
      <c r="F825" s="587"/>
      <c r="G825" s="587"/>
      <c r="H825" s="587"/>
      <c r="I825" s="587"/>
      <c r="J825" s="599"/>
      <c r="K825" s="587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  <c r="Z825" s="280"/>
      <c r="AA825" s="280"/>
    </row>
    <row r="826">
      <c r="A826" s="598"/>
      <c r="B826" s="587"/>
      <c r="C826" s="587"/>
      <c r="D826" s="587"/>
      <c r="E826" s="587"/>
      <c r="F826" s="587"/>
      <c r="G826" s="587"/>
      <c r="H826" s="587"/>
      <c r="I826" s="587"/>
      <c r="J826" s="599"/>
      <c r="K826" s="587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  <c r="Z826" s="280"/>
      <c r="AA826" s="280"/>
    </row>
    <row r="827">
      <c r="A827" s="598"/>
      <c r="B827" s="587"/>
      <c r="C827" s="587"/>
      <c r="D827" s="587"/>
      <c r="E827" s="587"/>
      <c r="F827" s="587"/>
      <c r="G827" s="587"/>
      <c r="H827" s="587"/>
      <c r="I827" s="587"/>
      <c r="J827" s="599"/>
      <c r="K827" s="587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  <c r="Z827" s="280"/>
      <c r="AA827" s="280"/>
    </row>
    <row r="828">
      <c r="A828" s="598"/>
      <c r="B828" s="587"/>
      <c r="C828" s="587"/>
      <c r="D828" s="587"/>
      <c r="E828" s="587"/>
      <c r="F828" s="587"/>
      <c r="G828" s="587"/>
      <c r="H828" s="587"/>
      <c r="I828" s="587"/>
      <c r="J828" s="599"/>
      <c r="K828" s="587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  <c r="Z828" s="280"/>
      <c r="AA828" s="280"/>
    </row>
    <row r="829">
      <c r="A829" s="598"/>
      <c r="B829" s="587"/>
      <c r="C829" s="587"/>
      <c r="D829" s="587"/>
      <c r="E829" s="587"/>
      <c r="F829" s="587"/>
      <c r="G829" s="587"/>
      <c r="H829" s="587"/>
      <c r="I829" s="587"/>
      <c r="J829" s="599"/>
      <c r="K829" s="587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  <c r="Z829" s="280"/>
      <c r="AA829" s="280"/>
    </row>
    <row r="830">
      <c r="A830" s="598"/>
      <c r="B830" s="587"/>
      <c r="C830" s="587"/>
      <c r="D830" s="587"/>
      <c r="E830" s="587"/>
      <c r="F830" s="587"/>
      <c r="G830" s="587"/>
      <c r="H830" s="587"/>
      <c r="I830" s="587"/>
      <c r="J830" s="599"/>
      <c r="K830" s="587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  <c r="Z830" s="280"/>
      <c r="AA830" s="280"/>
    </row>
    <row r="831">
      <c r="A831" s="598"/>
      <c r="B831" s="587"/>
      <c r="C831" s="587"/>
      <c r="D831" s="587"/>
      <c r="E831" s="587"/>
      <c r="F831" s="587"/>
      <c r="G831" s="587"/>
      <c r="H831" s="587"/>
      <c r="I831" s="587"/>
      <c r="J831" s="599"/>
      <c r="K831" s="587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  <c r="Z831" s="280"/>
      <c r="AA831" s="280"/>
    </row>
    <row r="832">
      <c r="A832" s="598"/>
      <c r="B832" s="587"/>
      <c r="C832" s="587"/>
      <c r="D832" s="587"/>
      <c r="E832" s="587"/>
      <c r="F832" s="587"/>
      <c r="G832" s="587"/>
      <c r="H832" s="587"/>
      <c r="I832" s="587"/>
      <c r="J832" s="599"/>
      <c r="K832" s="587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  <c r="Z832" s="280"/>
      <c r="AA832" s="280"/>
    </row>
    <row r="833">
      <c r="A833" s="598"/>
      <c r="B833" s="587"/>
      <c r="C833" s="587"/>
      <c r="D833" s="587"/>
      <c r="E833" s="587"/>
      <c r="F833" s="587"/>
      <c r="G833" s="587"/>
      <c r="H833" s="587"/>
      <c r="I833" s="587"/>
      <c r="J833" s="599"/>
      <c r="K833" s="587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  <c r="Z833" s="280"/>
      <c r="AA833" s="280"/>
    </row>
    <row r="834">
      <c r="A834" s="598"/>
      <c r="B834" s="587"/>
      <c r="C834" s="587"/>
      <c r="D834" s="587"/>
      <c r="E834" s="587"/>
      <c r="F834" s="587"/>
      <c r="G834" s="587"/>
      <c r="H834" s="587"/>
      <c r="I834" s="587"/>
      <c r="J834" s="599"/>
      <c r="K834" s="587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  <c r="Z834" s="280"/>
      <c r="AA834" s="280"/>
    </row>
    <row r="835">
      <c r="A835" s="598"/>
      <c r="B835" s="587"/>
      <c r="C835" s="587"/>
      <c r="D835" s="587"/>
      <c r="E835" s="587"/>
      <c r="F835" s="587"/>
      <c r="G835" s="587"/>
      <c r="H835" s="587"/>
      <c r="I835" s="587"/>
      <c r="J835" s="599"/>
      <c r="K835" s="587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  <c r="Z835" s="280"/>
      <c r="AA835" s="280"/>
    </row>
    <row r="836">
      <c r="A836" s="598"/>
      <c r="B836" s="587"/>
      <c r="C836" s="587"/>
      <c r="D836" s="587"/>
      <c r="E836" s="587"/>
      <c r="F836" s="587"/>
      <c r="G836" s="587"/>
      <c r="H836" s="587"/>
      <c r="I836" s="587"/>
      <c r="J836" s="599"/>
      <c r="K836" s="587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  <c r="Z836" s="280"/>
      <c r="AA836" s="280"/>
    </row>
    <row r="837">
      <c r="A837" s="598"/>
      <c r="B837" s="587"/>
      <c r="C837" s="587"/>
      <c r="D837" s="587"/>
      <c r="E837" s="587"/>
      <c r="F837" s="587"/>
      <c r="G837" s="587"/>
      <c r="H837" s="587"/>
      <c r="I837" s="587"/>
      <c r="J837" s="599"/>
      <c r="K837" s="587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  <c r="Z837" s="280"/>
      <c r="AA837" s="280"/>
    </row>
    <row r="838">
      <c r="A838" s="598"/>
      <c r="B838" s="587"/>
      <c r="C838" s="587"/>
      <c r="D838" s="587"/>
      <c r="E838" s="587"/>
      <c r="F838" s="587"/>
      <c r="G838" s="587"/>
      <c r="H838" s="587"/>
      <c r="I838" s="587"/>
      <c r="J838" s="599"/>
      <c r="K838" s="587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  <c r="AA838" s="280"/>
    </row>
    <row r="839">
      <c r="A839" s="598"/>
      <c r="B839" s="587"/>
      <c r="C839" s="587"/>
      <c r="D839" s="587"/>
      <c r="E839" s="587"/>
      <c r="F839" s="587"/>
      <c r="G839" s="587"/>
      <c r="H839" s="587"/>
      <c r="I839" s="587"/>
      <c r="J839" s="599"/>
      <c r="K839" s="587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  <c r="Z839" s="280"/>
      <c r="AA839" s="280"/>
    </row>
    <row r="840">
      <c r="A840" s="598"/>
      <c r="B840" s="587"/>
      <c r="C840" s="587"/>
      <c r="D840" s="587"/>
      <c r="E840" s="587"/>
      <c r="F840" s="587"/>
      <c r="G840" s="587"/>
      <c r="H840" s="587"/>
      <c r="I840" s="587"/>
      <c r="J840" s="599"/>
      <c r="K840" s="587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  <c r="Z840" s="280"/>
      <c r="AA840" s="280"/>
    </row>
    <row r="841">
      <c r="A841" s="598"/>
      <c r="B841" s="587"/>
      <c r="C841" s="587"/>
      <c r="D841" s="587"/>
      <c r="E841" s="587"/>
      <c r="F841" s="587"/>
      <c r="G841" s="587"/>
      <c r="H841" s="587"/>
      <c r="I841" s="587"/>
      <c r="J841" s="599"/>
      <c r="K841" s="587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  <c r="Z841" s="280"/>
      <c r="AA841" s="280"/>
    </row>
    <row r="842">
      <c r="A842" s="598"/>
      <c r="B842" s="587"/>
      <c r="C842" s="587"/>
      <c r="D842" s="587"/>
      <c r="E842" s="587"/>
      <c r="F842" s="587"/>
      <c r="G842" s="587"/>
      <c r="H842" s="587"/>
      <c r="I842" s="587"/>
      <c r="J842" s="599"/>
      <c r="K842" s="587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  <c r="Z842" s="280"/>
      <c r="AA842" s="280"/>
    </row>
    <row r="843">
      <c r="A843" s="598"/>
      <c r="B843" s="587"/>
      <c r="C843" s="587"/>
      <c r="D843" s="587"/>
      <c r="E843" s="587"/>
      <c r="F843" s="587"/>
      <c r="G843" s="587"/>
      <c r="H843" s="587"/>
      <c r="I843" s="587"/>
      <c r="J843" s="599"/>
      <c r="K843" s="587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  <c r="Z843" s="280"/>
      <c r="AA843" s="280"/>
    </row>
    <row r="844">
      <c r="A844" s="598"/>
      <c r="B844" s="587"/>
      <c r="C844" s="587"/>
      <c r="D844" s="587"/>
      <c r="E844" s="587"/>
      <c r="F844" s="587"/>
      <c r="G844" s="587"/>
      <c r="H844" s="587"/>
      <c r="I844" s="587"/>
      <c r="J844" s="599"/>
      <c r="K844" s="587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  <c r="Z844" s="280"/>
      <c r="AA844" s="280"/>
    </row>
    <row r="845">
      <c r="A845" s="598"/>
      <c r="B845" s="587"/>
      <c r="C845" s="587"/>
      <c r="D845" s="587"/>
      <c r="E845" s="587"/>
      <c r="F845" s="587"/>
      <c r="G845" s="587"/>
      <c r="H845" s="587"/>
      <c r="I845" s="587"/>
      <c r="J845" s="599"/>
      <c r="K845" s="587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  <c r="Z845" s="280"/>
      <c r="AA845" s="280"/>
    </row>
    <row r="846">
      <c r="A846" s="598"/>
      <c r="B846" s="587"/>
      <c r="C846" s="587"/>
      <c r="D846" s="587"/>
      <c r="E846" s="587"/>
      <c r="F846" s="587"/>
      <c r="G846" s="587"/>
      <c r="H846" s="587"/>
      <c r="I846" s="587"/>
      <c r="J846" s="599"/>
      <c r="K846" s="587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  <c r="Z846" s="280"/>
      <c r="AA846" s="280"/>
    </row>
    <row r="847">
      <c r="A847" s="598"/>
      <c r="B847" s="587"/>
      <c r="C847" s="587"/>
      <c r="D847" s="587"/>
      <c r="E847" s="587"/>
      <c r="F847" s="587"/>
      <c r="G847" s="587"/>
      <c r="H847" s="587"/>
      <c r="I847" s="587"/>
      <c r="J847" s="599"/>
      <c r="K847" s="587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  <c r="Z847" s="280"/>
      <c r="AA847" s="280"/>
    </row>
    <row r="848">
      <c r="A848" s="598"/>
      <c r="B848" s="587"/>
      <c r="C848" s="587"/>
      <c r="D848" s="587"/>
      <c r="E848" s="587"/>
      <c r="F848" s="587"/>
      <c r="G848" s="587"/>
      <c r="H848" s="587"/>
      <c r="I848" s="587"/>
      <c r="J848" s="599"/>
      <c r="K848" s="587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  <c r="Z848" s="280"/>
      <c r="AA848" s="280"/>
    </row>
    <row r="849">
      <c r="A849" s="598"/>
      <c r="B849" s="587"/>
      <c r="C849" s="587"/>
      <c r="D849" s="587"/>
      <c r="E849" s="587"/>
      <c r="F849" s="587"/>
      <c r="G849" s="587"/>
      <c r="H849" s="587"/>
      <c r="I849" s="587"/>
      <c r="J849" s="599"/>
      <c r="K849" s="587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  <c r="AA849" s="280"/>
    </row>
    <row r="850">
      <c r="A850" s="598"/>
      <c r="B850" s="587"/>
      <c r="C850" s="587"/>
      <c r="D850" s="587"/>
      <c r="E850" s="587"/>
      <c r="F850" s="587"/>
      <c r="G850" s="587"/>
      <c r="H850" s="587"/>
      <c r="I850" s="587"/>
      <c r="J850" s="599"/>
      <c r="K850" s="587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  <c r="Z850" s="280"/>
      <c r="AA850" s="280"/>
    </row>
    <row r="851">
      <c r="A851" s="598"/>
      <c r="B851" s="587"/>
      <c r="C851" s="587"/>
      <c r="D851" s="587"/>
      <c r="E851" s="587"/>
      <c r="F851" s="587"/>
      <c r="G851" s="587"/>
      <c r="H851" s="587"/>
      <c r="I851" s="587"/>
      <c r="J851" s="599"/>
      <c r="K851" s="587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  <c r="Z851" s="280"/>
      <c r="AA851" s="280"/>
    </row>
    <row r="852">
      <c r="A852" s="598"/>
      <c r="B852" s="587"/>
      <c r="C852" s="587"/>
      <c r="D852" s="587"/>
      <c r="E852" s="587"/>
      <c r="F852" s="587"/>
      <c r="G852" s="587"/>
      <c r="H852" s="587"/>
      <c r="I852" s="587"/>
      <c r="J852" s="599"/>
      <c r="K852" s="587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  <c r="Z852" s="280"/>
      <c r="AA852" s="280"/>
    </row>
    <row r="853">
      <c r="A853" s="598"/>
      <c r="B853" s="587"/>
      <c r="C853" s="587"/>
      <c r="D853" s="587"/>
      <c r="E853" s="587"/>
      <c r="F853" s="587"/>
      <c r="G853" s="587"/>
      <c r="H853" s="587"/>
      <c r="I853" s="587"/>
      <c r="J853" s="599"/>
      <c r="K853" s="587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  <c r="Z853" s="280"/>
      <c r="AA853" s="280"/>
    </row>
    <row r="854">
      <c r="A854" s="598"/>
      <c r="B854" s="587"/>
      <c r="C854" s="587"/>
      <c r="D854" s="587"/>
      <c r="E854" s="587"/>
      <c r="F854" s="587"/>
      <c r="G854" s="587"/>
      <c r="H854" s="587"/>
      <c r="I854" s="587"/>
      <c r="J854" s="599"/>
      <c r="K854" s="587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  <c r="Z854" s="280"/>
      <c r="AA854" s="280"/>
    </row>
    <row r="855">
      <c r="A855" s="598"/>
      <c r="B855" s="587"/>
      <c r="C855" s="587"/>
      <c r="D855" s="587"/>
      <c r="E855" s="587"/>
      <c r="F855" s="587"/>
      <c r="G855" s="587"/>
      <c r="H855" s="587"/>
      <c r="I855" s="587"/>
      <c r="J855" s="599"/>
      <c r="K855" s="587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  <c r="Z855" s="280"/>
      <c r="AA855" s="280"/>
    </row>
    <row r="856">
      <c r="A856" s="598"/>
      <c r="B856" s="587"/>
      <c r="C856" s="587"/>
      <c r="D856" s="587"/>
      <c r="E856" s="587"/>
      <c r="F856" s="587"/>
      <c r="G856" s="587"/>
      <c r="H856" s="587"/>
      <c r="I856" s="587"/>
      <c r="J856" s="599"/>
      <c r="K856" s="587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  <c r="Z856" s="280"/>
      <c r="AA856" s="280"/>
    </row>
    <row r="857">
      <c r="A857" s="598"/>
      <c r="B857" s="587"/>
      <c r="C857" s="587"/>
      <c r="D857" s="587"/>
      <c r="E857" s="587"/>
      <c r="F857" s="587"/>
      <c r="G857" s="587"/>
      <c r="H857" s="587"/>
      <c r="I857" s="587"/>
      <c r="J857" s="599"/>
      <c r="K857" s="587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  <c r="Z857" s="280"/>
      <c r="AA857" s="280"/>
    </row>
    <row r="858">
      <c r="A858" s="598"/>
      <c r="B858" s="587"/>
      <c r="C858" s="587"/>
      <c r="D858" s="587"/>
      <c r="E858" s="587"/>
      <c r="F858" s="587"/>
      <c r="G858" s="587"/>
      <c r="H858" s="587"/>
      <c r="I858" s="587"/>
      <c r="J858" s="599"/>
      <c r="K858" s="587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  <c r="Z858" s="280"/>
      <c r="AA858" s="280"/>
    </row>
    <row r="859">
      <c r="A859" s="598"/>
      <c r="B859" s="587"/>
      <c r="C859" s="587"/>
      <c r="D859" s="587"/>
      <c r="E859" s="587"/>
      <c r="F859" s="587"/>
      <c r="G859" s="587"/>
      <c r="H859" s="587"/>
      <c r="I859" s="587"/>
      <c r="J859" s="599"/>
      <c r="K859" s="587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  <c r="Z859" s="280"/>
      <c r="AA859" s="280"/>
    </row>
    <row r="860">
      <c r="A860" s="598"/>
      <c r="B860" s="587"/>
      <c r="C860" s="587"/>
      <c r="D860" s="587"/>
      <c r="E860" s="587"/>
      <c r="F860" s="587"/>
      <c r="G860" s="587"/>
      <c r="H860" s="587"/>
      <c r="I860" s="587"/>
      <c r="J860" s="599"/>
      <c r="K860" s="587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  <c r="Z860" s="280"/>
      <c r="AA860" s="280"/>
    </row>
    <row r="861">
      <c r="A861" s="598"/>
      <c r="B861" s="587"/>
      <c r="C861" s="587"/>
      <c r="D861" s="587"/>
      <c r="E861" s="587"/>
      <c r="F861" s="587"/>
      <c r="G861" s="587"/>
      <c r="H861" s="587"/>
      <c r="I861" s="587"/>
      <c r="J861" s="599"/>
      <c r="K861" s="587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  <c r="Z861" s="280"/>
      <c r="AA861" s="280"/>
    </row>
    <row r="862">
      <c r="A862" s="598"/>
      <c r="B862" s="587"/>
      <c r="C862" s="587"/>
      <c r="D862" s="587"/>
      <c r="E862" s="587"/>
      <c r="F862" s="587"/>
      <c r="G862" s="587"/>
      <c r="H862" s="587"/>
      <c r="I862" s="587"/>
      <c r="J862" s="599"/>
      <c r="K862" s="587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  <c r="Z862" s="280"/>
      <c r="AA862" s="280"/>
    </row>
    <row r="863">
      <c r="A863" s="598"/>
      <c r="B863" s="587"/>
      <c r="C863" s="587"/>
      <c r="D863" s="587"/>
      <c r="E863" s="587"/>
      <c r="F863" s="587"/>
      <c r="G863" s="587"/>
      <c r="H863" s="587"/>
      <c r="I863" s="587"/>
      <c r="J863" s="599"/>
      <c r="K863" s="587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  <c r="Z863" s="280"/>
      <c r="AA863" s="280"/>
    </row>
    <row r="864">
      <c r="A864" s="598"/>
      <c r="B864" s="587"/>
      <c r="C864" s="587"/>
      <c r="D864" s="587"/>
      <c r="E864" s="587"/>
      <c r="F864" s="587"/>
      <c r="G864" s="587"/>
      <c r="H864" s="587"/>
      <c r="I864" s="587"/>
      <c r="J864" s="599"/>
      <c r="K864" s="587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  <c r="Z864" s="280"/>
      <c r="AA864" s="280"/>
    </row>
    <row r="865">
      <c r="A865" s="598"/>
      <c r="B865" s="587"/>
      <c r="C865" s="587"/>
      <c r="D865" s="587"/>
      <c r="E865" s="587"/>
      <c r="F865" s="587"/>
      <c r="G865" s="587"/>
      <c r="H865" s="587"/>
      <c r="I865" s="587"/>
      <c r="J865" s="599"/>
      <c r="K865" s="587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  <c r="Z865" s="280"/>
      <c r="AA865" s="280"/>
    </row>
    <row r="866">
      <c r="A866" s="598"/>
      <c r="B866" s="587"/>
      <c r="C866" s="587"/>
      <c r="D866" s="587"/>
      <c r="E866" s="587"/>
      <c r="F866" s="587"/>
      <c r="G866" s="587"/>
      <c r="H866" s="587"/>
      <c r="I866" s="587"/>
      <c r="J866" s="599"/>
      <c r="K866" s="587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  <c r="Z866" s="280"/>
      <c r="AA866" s="280"/>
    </row>
    <row r="867">
      <c r="A867" s="598"/>
      <c r="B867" s="587"/>
      <c r="C867" s="587"/>
      <c r="D867" s="587"/>
      <c r="E867" s="587"/>
      <c r="F867" s="587"/>
      <c r="G867" s="587"/>
      <c r="H867" s="587"/>
      <c r="I867" s="587"/>
      <c r="J867" s="599"/>
      <c r="K867" s="587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  <c r="Z867" s="280"/>
      <c r="AA867" s="280"/>
    </row>
    <row r="868">
      <c r="A868" s="598"/>
      <c r="B868" s="587"/>
      <c r="C868" s="587"/>
      <c r="D868" s="587"/>
      <c r="E868" s="587"/>
      <c r="F868" s="587"/>
      <c r="G868" s="587"/>
      <c r="H868" s="587"/>
      <c r="I868" s="587"/>
      <c r="J868" s="599"/>
      <c r="K868" s="587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  <c r="Z868" s="280"/>
      <c r="AA868" s="280"/>
    </row>
    <row r="869">
      <c r="A869" s="598"/>
      <c r="B869" s="587"/>
      <c r="C869" s="587"/>
      <c r="D869" s="587"/>
      <c r="E869" s="587"/>
      <c r="F869" s="587"/>
      <c r="G869" s="587"/>
      <c r="H869" s="587"/>
      <c r="I869" s="587"/>
      <c r="J869" s="599"/>
      <c r="K869" s="587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  <c r="Z869" s="280"/>
      <c r="AA869" s="280"/>
    </row>
    <row r="870">
      <c r="A870" s="598"/>
      <c r="B870" s="587"/>
      <c r="C870" s="587"/>
      <c r="D870" s="587"/>
      <c r="E870" s="587"/>
      <c r="F870" s="587"/>
      <c r="G870" s="587"/>
      <c r="H870" s="587"/>
      <c r="I870" s="587"/>
      <c r="J870" s="599"/>
      <c r="K870" s="587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  <c r="Z870" s="280"/>
      <c r="AA870" s="280"/>
    </row>
    <row r="871">
      <c r="A871" s="598"/>
      <c r="B871" s="587"/>
      <c r="C871" s="587"/>
      <c r="D871" s="587"/>
      <c r="E871" s="587"/>
      <c r="F871" s="587"/>
      <c r="G871" s="587"/>
      <c r="H871" s="587"/>
      <c r="I871" s="587"/>
      <c r="J871" s="599"/>
      <c r="K871" s="587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  <c r="Z871" s="280"/>
      <c r="AA871" s="280"/>
    </row>
    <row r="872">
      <c r="A872" s="598"/>
      <c r="B872" s="587"/>
      <c r="C872" s="587"/>
      <c r="D872" s="587"/>
      <c r="E872" s="587"/>
      <c r="F872" s="587"/>
      <c r="G872" s="587"/>
      <c r="H872" s="587"/>
      <c r="I872" s="587"/>
      <c r="J872" s="599"/>
      <c r="K872" s="587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  <c r="Z872" s="280"/>
      <c r="AA872" s="280"/>
    </row>
    <row r="873">
      <c r="A873" s="598"/>
      <c r="B873" s="587"/>
      <c r="C873" s="587"/>
      <c r="D873" s="587"/>
      <c r="E873" s="587"/>
      <c r="F873" s="587"/>
      <c r="G873" s="587"/>
      <c r="H873" s="587"/>
      <c r="I873" s="587"/>
      <c r="J873" s="599"/>
      <c r="K873" s="587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  <c r="Z873" s="280"/>
      <c r="AA873" s="280"/>
    </row>
    <row r="874">
      <c r="A874" s="598"/>
      <c r="B874" s="587"/>
      <c r="C874" s="587"/>
      <c r="D874" s="587"/>
      <c r="E874" s="587"/>
      <c r="F874" s="587"/>
      <c r="G874" s="587"/>
      <c r="H874" s="587"/>
      <c r="I874" s="587"/>
      <c r="J874" s="599"/>
      <c r="K874" s="587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  <c r="Z874" s="280"/>
      <c r="AA874" s="280"/>
    </row>
    <row r="875">
      <c r="A875" s="598"/>
      <c r="B875" s="587"/>
      <c r="C875" s="587"/>
      <c r="D875" s="587"/>
      <c r="E875" s="587"/>
      <c r="F875" s="587"/>
      <c r="G875" s="587"/>
      <c r="H875" s="587"/>
      <c r="I875" s="587"/>
      <c r="J875" s="599"/>
      <c r="K875" s="587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  <c r="Z875" s="280"/>
      <c r="AA875" s="280"/>
    </row>
    <row r="876">
      <c r="A876" s="598"/>
      <c r="B876" s="587"/>
      <c r="C876" s="587"/>
      <c r="D876" s="587"/>
      <c r="E876" s="587"/>
      <c r="F876" s="587"/>
      <c r="G876" s="587"/>
      <c r="H876" s="587"/>
      <c r="I876" s="587"/>
      <c r="J876" s="599"/>
      <c r="K876" s="587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  <c r="Z876" s="280"/>
      <c r="AA876" s="280"/>
    </row>
    <row r="877">
      <c r="A877" s="598"/>
      <c r="B877" s="587"/>
      <c r="C877" s="587"/>
      <c r="D877" s="587"/>
      <c r="E877" s="587"/>
      <c r="F877" s="587"/>
      <c r="G877" s="587"/>
      <c r="H877" s="587"/>
      <c r="I877" s="587"/>
      <c r="J877" s="599"/>
      <c r="K877" s="587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  <c r="Z877" s="280"/>
      <c r="AA877" s="280"/>
    </row>
    <row r="878">
      <c r="A878" s="598"/>
      <c r="B878" s="587"/>
      <c r="C878" s="587"/>
      <c r="D878" s="587"/>
      <c r="E878" s="587"/>
      <c r="F878" s="587"/>
      <c r="G878" s="587"/>
      <c r="H878" s="587"/>
      <c r="I878" s="587"/>
      <c r="J878" s="599"/>
      <c r="K878" s="587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  <c r="Z878" s="280"/>
      <c r="AA878" s="280"/>
    </row>
    <row r="879">
      <c r="A879" s="598"/>
      <c r="B879" s="587"/>
      <c r="C879" s="587"/>
      <c r="D879" s="587"/>
      <c r="E879" s="587"/>
      <c r="F879" s="587"/>
      <c r="G879" s="587"/>
      <c r="H879" s="587"/>
      <c r="I879" s="587"/>
      <c r="J879" s="599"/>
      <c r="K879" s="587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  <c r="Z879" s="280"/>
      <c r="AA879" s="280"/>
    </row>
    <row r="880">
      <c r="A880" s="598"/>
      <c r="B880" s="587"/>
      <c r="C880" s="587"/>
      <c r="D880" s="587"/>
      <c r="E880" s="587"/>
      <c r="F880" s="587"/>
      <c r="G880" s="587"/>
      <c r="H880" s="587"/>
      <c r="I880" s="587"/>
      <c r="J880" s="599"/>
      <c r="K880" s="587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  <c r="Z880" s="280"/>
      <c r="AA880" s="280"/>
    </row>
    <row r="881">
      <c r="A881" s="598"/>
      <c r="B881" s="587"/>
      <c r="C881" s="587"/>
      <c r="D881" s="587"/>
      <c r="E881" s="587"/>
      <c r="F881" s="587"/>
      <c r="G881" s="587"/>
      <c r="H881" s="587"/>
      <c r="I881" s="587"/>
      <c r="J881" s="599"/>
      <c r="K881" s="587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  <c r="Z881" s="280"/>
      <c r="AA881" s="280"/>
    </row>
    <row r="882">
      <c r="A882" s="598"/>
      <c r="B882" s="587"/>
      <c r="C882" s="587"/>
      <c r="D882" s="587"/>
      <c r="E882" s="587"/>
      <c r="F882" s="587"/>
      <c r="G882" s="587"/>
      <c r="H882" s="587"/>
      <c r="I882" s="587"/>
      <c r="J882" s="599"/>
      <c r="K882" s="587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  <c r="Z882" s="280"/>
      <c r="AA882" s="280"/>
    </row>
    <row r="883">
      <c r="A883" s="598"/>
      <c r="B883" s="587"/>
      <c r="C883" s="587"/>
      <c r="D883" s="587"/>
      <c r="E883" s="587"/>
      <c r="F883" s="587"/>
      <c r="G883" s="587"/>
      <c r="H883" s="587"/>
      <c r="I883" s="587"/>
      <c r="J883" s="599"/>
      <c r="K883" s="587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  <c r="Z883" s="280"/>
      <c r="AA883" s="280"/>
    </row>
    <row r="884">
      <c r="A884" s="598"/>
      <c r="B884" s="587"/>
      <c r="C884" s="587"/>
      <c r="D884" s="587"/>
      <c r="E884" s="587"/>
      <c r="F884" s="587"/>
      <c r="G884" s="587"/>
      <c r="H884" s="587"/>
      <c r="I884" s="587"/>
      <c r="J884" s="599"/>
      <c r="K884" s="587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  <c r="Z884" s="280"/>
      <c r="AA884" s="280"/>
    </row>
    <row r="885">
      <c r="A885" s="598"/>
      <c r="B885" s="587"/>
      <c r="C885" s="587"/>
      <c r="D885" s="587"/>
      <c r="E885" s="587"/>
      <c r="F885" s="587"/>
      <c r="G885" s="587"/>
      <c r="H885" s="587"/>
      <c r="I885" s="587"/>
      <c r="J885" s="599"/>
      <c r="K885" s="587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  <c r="Z885" s="280"/>
      <c r="AA885" s="280"/>
    </row>
    <row r="886">
      <c r="A886" s="598"/>
      <c r="B886" s="587"/>
      <c r="C886" s="587"/>
      <c r="D886" s="587"/>
      <c r="E886" s="587"/>
      <c r="F886" s="587"/>
      <c r="G886" s="587"/>
      <c r="H886" s="587"/>
      <c r="I886" s="587"/>
      <c r="J886" s="599"/>
      <c r="K886" s="587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  <c r="Z886" s="280"/>
      <c r="AA886" s="280"/>
    </row>
    <row r="887">
      <c r="A887" s="598"/>
      <c r="B887" s="587"/>
      <c r="C887" s="587"/>
      <c r="D887" s="587"/>
      <c r="E887" s="587"/>
      <c r="F887" s="587"/>
      <c r="G887" s="587"/>
      <c r="H887" s="587"/>
      <c r="I887" s="587"/>
      <c r="J887" s="599"/>
      <c r="K887" s="587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  <c r="Z887" s="280"/>
      <c r="AA887" s="280"/>
    </row>
    <row r="888">
      <c r="A888" s="598"/>
      <c r="B888" s="587"/>
      <c r="C888" s="587"/>
      <c r="D888" s="587"/>
      <c r="E888" s="587"/>
      <c r="F888" s="587"/>
      <c r="G888" s="587"/>
      <c r="H888" s="587"/>
      <c r="I888" s="587"/>
      <c r="J888" s="599"/>
      <c r="K888" s="587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  <c r="Z888" s="280"/>
      <c r="AA888" s="280"/>
    </row>
    <row r="889">
      <c r="A889" s="598"/>
      <c r="B889" s="587"/>
      <c r="C889" s="587"/>
      <c r="D889" s="587"/>
      <c r="E889" s="587"/>
      <c r="F889" s="587"/>
      <c r="G889" s="587"/>
      <c r="H889" s="587"/>
      <c r="I889" s="587"/>
      <c r="J889" s="599"/>
      <c r="K889" s="587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  <c r="Z889" s="280"/>
      <c r="AA889" s="280"/>
    </row>
    <row r="890">
      <c r="A890" s="598"/>
      <c r="B890" s="587"/>
      <c r="C890" s="587"/>
      <c r="D890" s="587"/>
      <c r="E890" s="587"/>
      <c r="F890" s="587"/>
      <c r="G890" s="587"/>
      <c r="H890" s="587"/>
      <c r="I890" s="587"/>
      <c r="J890" s="599"/>
      <c r="K890" s="587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  <c r="Z890" s="280"/>
      <c r="AA890" s="280"/>
    </row>
    <row r="891">
      <c r="A891" s="598"/>
      <c r="B891" s="587"/>
      <c r="C891" s="587"/>
      <c r="D891" s="587"/>
      <c r="E891" s="587"/>
      <c r="F891" s="587"/>
      <c r="G891" s="587"/>
      <c r="H891" s="587"/>
      <c r="I891" s="587"/>
      <c r="J891" s="599"/>
      <c r="K891" s="587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  <c r="Z891" s="280"/>
      <c r="AA891" s="280"/>
    </row>
    <row r="892">
      <c r="A892" s="598"/>
      <c r="B892" s="587"/>
      <c r="C892" s="587"/>
      <c r="D892" s="587"/>
      <c r="E892" s="587"/>
      <c r="F892" s="587"/>
      <c r="G892" s="587"/>
      <c r="H892" s="587"/>
      <c r="I892" s="587"/>
      <c r="J892" s="599"/>
      <c r="K892" s="587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  <c r="Z892" s="280"/>
      <c r="AA892" s="280"/>
    </row>
    <row r="893">
      <c r="A893" s="598"/>
      <c r="B893" s="587"/>
      <c r="C893" s="587"/>
      <c r="D893" s="587"/>
      <c r="E893" s="587"/>
      <c r="F893" s="587"/>
      <c r="G893" s="587"/>
      <c r="H893" s="587"/>
      <c r="I893" s="587"/>
      <c r="J893" s="599"/>
      <c r="K893" s="587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  <c r="Z893" s="280"/>
      <c r="AA893" s="280"/>
    </row>
    <row r="894">
      <c r="A894" s="598"/>
      <c r="B894" s="587"/>
      <c r="C894" s="587"/>
      <c r="D894" s="587"/>
      <c r="E894" s="587"/>
      <c r="F894" s="587"/>
      <c r="G894" s="587"/>
      <c r="H894" s="587"/>
      <c r="I894" s="587"/>
      <c r="J894" s="599"/>
      <c r="K894" s="587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  <c r="Z894" s="280"/>
      <c r="AA894" s="280"/>
    </row>
    <row r="895">
      <c r="A895" s="598"/>
      <c r="B895" s="587"/>
      <c r="C895" s="587"/>
      <c r="D895" s="587"/>
      <c r="E895" s="587"/>
      <c r="F895" s="587"/>
      <c r="G895" s="587"/>
      <c r="H895" s="587"/>
      <c r="I895" s="587"/>
      <c r="J895" s="599"/>
      <c r="K895" s="587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  <c r="Z895" s="280"/>
      <c r="AA895" s="280"/>
    </row>
    <row r="896">
      <c r="A896" s="598"/>
      <c r="B896" s="587"/>
      <c r="C896" s="587"/>
      <c r="D896" s="587"/>
      <c r="E896" s="587"/>
      <c r="F896" s="587"/>
      <c r="G896" s="587"/>
      <c r="H896" s="587"/>
      <c r="I896" s="587"/>
      <c r="J896" s="599"/>
      <c r="K896" s="587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  <c r="Z896" s="280"/>
      <c r="AA896" s="280"/>
    </row>
    <row r="897">
      <c r="A897" s="598"/>
      <c r="B897" s="587"/>
      <c r="C897" s="587"/>
      <c r="D897" s="587"/>
      <c r="E897" s="587"/>
      <c r="F897" s="587"/>
      <c r="G897" s="587"/>
      <c r="H897" s="587"/>
      <c r="I897" s="587"/>
      <c r="J897" s="599"/>
      <c r="K897" s="587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  <c r="Z897" s="280"/>
      <c r="AA897" s="280"/>
    </row>
    <row r="898">
      <c r="A898" s="598"/>
      <c r="B898" s="587"/>
      <c r="C898" s="587"/>
      <c r="D898" s="587"/>
      <c r="E898" s="587"/>
      <c r="F898" s="587"/>
      <c r="G898" s="587"/>
      <c r="H898" s="587"/>
      <c r="I898" s="587"/>
      <c r="J898" s="599"/>
      <c r="K898" s="587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  <c r="Z898" s="280"/>
      <c r="AA898" s="280"/>
    </row>
    <row r="899">
      <c r="A899" s="598"/>
      <c r="B899" s="587"/>
      <c r="C899" s="587"/>
      <c r="D899" s="587"/>
      <c r="E899" s="587"/>
      <c r="F899" s="587"/>
      <c r="G899" s="587"/>
      <c r="H899" s="587"/>
      <c r="I899" s="587"/>
      <c r="J899" s="599"/>
      <c r="K899" s="587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  <c r="Z899" s="280"/>
      <c r="AA899" s="280"/>
    </row>
    <row r="900">
      <c r="A900" s="598"/>
      <c r="B900" s="587"/>
      <c r="C900" s="587"/>
      <c r="D900" s="587"/>
      <c r="E900" s="587"/>
      <c r="F900" s="587"/>
      <c r="G900" s="587"/>
      <c r="H900" s="587"/>
      <c r="I900" s="587"/>
      <c r="J900" s="599"/>
      <c r="K900" s="587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  <c r="Z900" s="280"/>
      <c r="AA900" s="280"/>
    </row>
    <row r="901">
      <c r="A901" s="598"/>
      <c r="B901" s="587"/>
      <c r="C901" s="587"/>
      <c r="D901" s="587"/>
      <c r="E901" s="587"/>
      <c r="F901" s="587"/>
      <c r="G901" s="587"/>
      <c r="H901" s="587"/>
      <c r="I901" s="587"/>
      <c r="J901" s="599"/>
      <c r="K901" s="587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  <c r="Z901" s="280"/>
      <c r="AA901" s="280"/>
    </row>
    <row r="902">
      <c r="A902" s="598"/>
      <c r="B902" s="587"/>
      <c r="C902" s="587"/>
      <c r="D902" s="587"/>
      <c r="E902" s="587"/>
      <c r="F902" s="587"/>
      <c r="G902" s="587"/>
      <c r="H902" s="587"/>
      <c r="I902" s="587"/>
      <c r="J902" s="599"/>
      <c r="K902" s="587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  <c r="Z902" s="280"/>
      <c r="AA902" s="280"/>
    </row>
    <row r="903">
      <c r="A903" s="598"/>
      <c r="B903" s="587"/>
      <c r="C903" s="587"/>
      <c r="D903" s="587"/>
      <c r="E903" s="587"/>
      <c r="F903" s="587"/>
      <c r="G903" s="587"/>
      <c r="H903" s="587"/>
      <c r="I903" s="587"/>
      <c r="J903" s="599"/>
      <c r="K903" s="587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  <c r="Z903" s="280"/>
      <c r="AA903" s="280"/>
    </row>
    <row r="904">
      <c r="A904" s="598"/>
      <c r="B904" s="587"/>
      <c r="C904" s="587"/>
      <c r="D904" s="587"/>
      <c r="E904" s="587"/>
      <c r="F904" s="587"/>
      <c r="G904" s="587"/>
      <c r="H904" s="587"/>
      <c r="I904" s="587"/>
      <c r="J904" s="599"/>
      <c r="K904" s="587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  <c r="Z904" s="280"/>
      <c r="AA904" s="280"/>
    </row>
    <row r="905">
      <c r="A905" s="598"/>
      <c r="B905" s="587"/>
      <c r="C905" s="587"/>
      <c r="D905" s="587"/>
      <c r="E905" s="587"/>
      <c r="F905" s="587"/>
      <c r="G905" s="587"/>
      <c r="H905" s="587"/>
      <c r="I905" s="587"/>
      <c r="J905" s="599"/>
      <c r="K905" s="587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  <c r="Z905" s="280"/>
      <c r="AA905" s="280"/>
    </row>
    <row r="906">
      <c r="A906" s="598"/>
      <c r="B906" s="587"/>
      <c r="C906" s="587"/>
      <c r="D906" s="587"/>
      <c r="E906" s="587"/>
      <c r="F906" s="587"/>
      <c r="G906" s="587"/>
      <c r="H906" s="587"/>
      <c r="I906" s="587"/>
      <c r="J906" s="599"/>
      <c r="K906" s="587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  <c r="Z906" s="280"/>
      <c r="AA906" s="280"/>
    </row>
    <row r="907">
      <c r="A907" s="598"/>
      <c r="B907" s="587"/>
      <c r="C907" s="587"/>
      <c r="D907" s="587"/>
      <c r="E907" s="587"/>
      <c r="F907" s="587"/>
      <c r="G907" s="587"/>
      <c r="H907" s="587"/>
      <c r="I907" s="587"/>
      <c r="J907" s="599"/>
      <c r="K907" s="587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  <c r="Z907" s="280"/>
      <c r="AA907" s="280"/>
    </row>
    <row r="908">
      <c r="A908" s="598"/>
      <c r="B908" s="587"/>
      <c r="C908" s="587"/>
      <c r="D908" s="587"/>
      <c r="E908" s="587"/>
      <c r="F908" s="587"/>
      <c r="G908" s="587"/>
      <c r="H908" s="587"/>
      <c r="I908" s="587"/>
      <c r="J908" s="599"/>
      <c r="K908" s="587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  <c r="Z908" s="280"/>
      <c r="AA908" s="280"/>
    </row>
    <row r="909">
      <c r="A909" s="598"/>
      <c r="B909" s="587"/>
      <c r="C909" s="587"/>
      <c r="D909" s="587"/>
      <c r="E909" s="587"/>
      <c r="F909" s="587"/>
      <c r="G909" s="587"/>
      <c r="H909" s="587"/>
      <c r="I909" s="587"/>
      <c r="J909" s="599"/>
      <c r="K909" s="587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  <c r="Z909" s="280"/>
      <c r="AA909" s="280"/>
    </row>
    <row r="910">
      <c r="A910" s="598"/>
      <c r="B910" s="587"/>
      <c r="C910" s="587"/>
      <c r="D910" s="587"/>
      <c r="E910" s="587"/>
      <c r="F910" s="587"/>
      <c r="G910" s="587"/>
      <c r="H910" s="587"/>
      <c r="I910" s="587"/>
      <c r="J910" s="599"/>
      <c r="K910" s="587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  <c r="Z910" s="280"/>
      <c r="AA910" s="280"/>
    </row>
    <row r="911">
      <c r="A911" s="598"/>
      <c r="B911" s="587"/>
      <c r="C911" s="587"/>
      <c r="D911" s="587"/>
      <c r="E911" s="587"/>
      <c r="F911" s="587"/>
      <c r="G911" s="587"/>
      <c r="H911" s="587"/>
      <c r="I911" s="587"/>
      <c r="J911" s="599"/>
      <c r="K911" s="587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  <c r="Z911" s="280"/>
      <c r="AA911" s="280"/>
    </row>
    <row r="912">
      <c r="A912" s="598"/>
      <c r="B912" s="587"/>
      <c r="C912" s="587"/>
      <c r="D912" s="587"/>
      <c r="E912" s="587"/>
      <c r="F912" s="587"/>
      <c r="G912" s="587"/>
      <c r="H912" s="587"/>
      <c r="I912" s="587"/>
      <c r="J912" s="599"/>
      <c r="K912" s="587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  <c r="Z912" s="280"/>
      <c r="AA912" s="280"/>
    </row>
    <row r="913">
      <c r="A913" s="598"/>
      <c r="B913" s="587"/>
      <c r="C913" s="587"/>
      <c r="D913" s="587"/>
      <c r="E913" s="587"/>
      <c r="F913" s="587"/>
      <c r="G913" s="587"/>
      <c r="H913" s="587"/>
      <c r="I913" s="587"/>
      <c r="J913" s="599"/>
      <c r="K913" s="587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  <c r="Z913" s="280"/>
      <c r="AA913" s="280"/>
    </row>
    <row r="914">
      <c r="A914" s="598"/>
      <c r="B914" s="587"/>
      <c r="C914" s="587"/>
      <c r="D914" s="587"/>
      <c r="E914" s="587"/>
      <c r="F914" s="587"/>
      <c r="G914" s="587"/>
      <c r="H914" s="587"/>
      <c r="I914" s="587"/>
      <c r="J914" s="599"/>
      <c r="K914" s="587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  <c r="Z914" s="280"/>
      <c r="AA914" s="280"/>
    </row>
    <row r="915">
      <c r="A915" s="598"/>
      <c r="B915" s="587"/>
      <c r="C915" s="587"/>
      <c r="D915" s="587"/>
      <c r="E915" s="587"/>
      <c r="F915" s="587"/>
      <c r="G915" s="587"/>
      <c r="H915" s="587"/>
      <c r="I915" s="587"/>
      <c r="J915" s="599"/>
      <c r="K915" s="587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  <c r="Z915" s="280"/>
      <c r="AA915" s="280"/>
    </row>
    <row r="916">
      <c r="A916" s="598"/>
      <c r="B916" s="587"/>
      <c r="C916" s="587"/>
      <c r="D916" s="587"/>
      <c r="E916" s="587"/>
      <c r="F916" s="587"/>
      <c r="G916" s="587"/>
      <c r="H916" s="587"/>
      <c r="I916" s="587"/>
      <c r="J916" s="599"/>
      <c r="K916" s="587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  <c r="Z916" s="280"/>
      <c r="AA916" s="280"/>
    </row>
    <row r="917">
      <c r="A917" s="598"/>
      <c r="B917" s="587"/>
      <c r="C917" s="587"/>
      <c r="D917" s="587"/>
      <c r="E917" s="587"/>
      <c r="F917" s="587"/>
      <c r="G917" s="587"/>
      <c r="H917" s="587"/>
      <c r="I917" s="587"/>
      <c r="J917" s="599"/>
      <c r="K917" s="587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  <c r="Z917" s="280"/>
      <c r="AA917" s="280"/>
    </row>
    <row r="918">
      <c r="A918" s="598"/>
      <c r="B918" s="587"/>
      <c r="C918" s="587"/>
      <c r="D918" s="587"/>
      <c r="E918" s="587"/>
      <c r="F918" s="587"/>
      <c r="G918" s="587"/>
      <c r="H918" s="587"/>
      <c r="I918" s="587"/>
      <c r="J918" s="599"/>
      <c r="K918" s="587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  <c r="Z918" s="280"/>
      <c r="AA918" s="280"/>
    </row>
    <row r="919">
      <c r="A919" s="598"/>
      <c r="B919" s="587"/>
      <c r="C919" s="587"/>
      <c r="D919" s="587"/>
      <c r="E919" s="587"/>
      <c r="F919" s="587"/>
      <c r="G919" s="587"/>
      <c r="H919" s="587"/>
      <c r="I919" s="587"/>
      <c r="J919" s="599"/>
      <c r="K919" s="587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  <c r="Z919" s="280"/>
      <c r="AA919" s="280"/>
    </row>
    <row r="920">
      <c r="A920" s="598"/>
      <c r="B920" s="587"/>
      <c r="C920" s="587"/>
      <c r="D920" s="587"/>
      <c r="E920" s="587"/>
      <c r="F920" s="587"/>
      <c r="G920" s="587"/>
      <c r="H920" s="587"/>
      <c r="I920" s="587"/>
      <c r="J920" s="599"/>
      <c r="K920" s="587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  <c r="Z920" s="280"/>
      <c r="AA920" s="280"/>
    </row>
    <row r="921">
      <c r="A921" s="598"/>
      <c r="B921" s="587"/>
      <c r="C921" s="587"/>
      <c r="D921" s="587"/>
      <c r="E921" s="587"/>
      <c r="F921" s="587"/>
      <c r="G921" s="587"/>
      <c r="H921" s="587"/>
      <c r="I921" s="587"/>
      <c r="J921" s="599"/>
      <c r="K921" s="587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  <c r="Z921" s="280"/>
      <c r="AA921" s="280"/>
    </row>
    <row r="922">
      <c r="A922" s="598"/>
      <c r="B922" s="587"/>
      <c r="C922" s="587"/>
      <c r="D922" s="587"/>
      <c r="E922" s="587"/>
      <c r="F922" s="587"/>
      <c r="G922" s="587"/>
      <c r="H922" s="587"/>
      <c r="I922" s="587"/>
      <c r="J922" s="599"/>
      <c r="K922" s="587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  <c r="Z922" s="280"/>
      <c r="AA922" s="280"/>
    </row>
    <row r="923">
      <c r="A923" s="598"/>
      <c r="B923" s="587"/>
      <c r="C923" s="587"/>
      <c r="D923" s="587"/>
      <c r="E923" s="587"/>
      <c r="F923" s="587"/>
      <c r="G923" s="587"/>
      <c r="H923" s="587"/>
      <c r="I923" s="587"/>
      <c r="J923" s="599"/>
      <c r="K923" s="587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  <c r="AA923" s="280"/>
    </row>
    <row r="924">
      <c r="A924" s="598"/>
      <c r="B924" s="587"/>
      <c r="C924" s="587"/>
      <c r="D924" s="587"/>
      <c r="E924" s="587"/>
      <c r="F924" s="587"/>
      <c r="G924" s="587"/>
      <c r="H924" s="587"/>
      <c r="I924" s="587"/>
      <c r="J924" s="599"/>
      <c r="K924" s="587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  <c r="Z924" s="280"/>
      <c r="AA924" s="280"/>
    </row>
    <row r="925">
      <c r="A925" s="598"/>
      <c r="B925" s="587"/>
      <c r="C925" s="587"/>
      <c r="D925" s="587"/>
      <c r="E925" s="587"/>
      <c r="F925" s="587"/>
      <c r="G925" s="587"/>
      <c r="H925" s="587"/>
      <c r="I925" s="587"/>
      <c r="J925" s="599"/>
      <c r="K925" s="587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  <c r="Z925" s="280"/>
      <c r="AA925" s="280"/>
    </row>
    <row r="926">
      <c r="A926" s="598"/>
      <c r="B926" s="587"/>
      <c r="C926" s="587"/>
      <c r="D926" s="587"/>
      <c r="E926" s="587"/>
      <c r="F926" s="587"/>
      <c r="G926" s="587"/>
      <c r="H926" s="587"/>
      <c r="I926" s="587"/>
      <c r="J926" s="599"/>
      <c r="K926" s="587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  <c r="Z926" s="280"/>
      <c r="AA926" s="280"/>
    </row>
    <row r="927">
      <c r="A927" s="598"/>
      <c r="B927" s="587"/>
      <c r="C927" s="587"/>
      <c r="D927" s="587"/>
      <c r="E927" s="587"/>
      <c r="F927" s="587"/>
      <c r="G927" s="587"/>
      <c r="H927" s="587"/>
      <c r="I927" s="587"/>
      <c r="J927" s="599"/>
      <c r="K927" s="587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  <c r="Z927" s="280"/>
      <c r="AA927" s="280"/>
    </row>
    <row r="928">
      <c r="A928" s="598"/>
      <c r="B928" s="587"/>
      <c r="C928" s="587"/>
      <c r="D928" s="587"/>
      <c r="E928" s="587"/>
      <c r="F928" s="587"/>
      <c r="G928" s="587"/>
      <c r="H928" s="587"/>
      <c r="I928" s="587"/>
      <c r="J928" s="599"/>
      <c r="K928" s="587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  <c r="Z928" s="280"/>
      <c r="AA928" s="280"/>
    </row>
    <row r="929">
      <c r="A929" s="598"/>
      <c r="B929" s="587"/>
      <c r="C929" s="587"/>
      <c r="D929" s="587"/>
      <c r="E929" s="587"/>
      <c r="F929" s="587"/>
      <c r="G929" s="587"/>
      <c r="H929" s="587"/>
      <c r="I929" s="587"/>
      <c r="J929" s="599"/>
      <c r="K929" s="587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  <c r="Z929" s="280"/>
      <c r="AA929" s="280"/>
    </row>
    <row r="930">
      <c r="A930" s="598"/>
      <c r="B930" s="587"/>
      <c r="C930" s="587"/>
      <c r="D930" s="587"/>
      <c r="E930" s="587"/>
      <c r="F930" s="587"/>
      <c r="G930" s="587"/>
      <c r="H930" s="587"/>
      <c r="I930" s="587"/>
      <c r="J930" s="599"/>
      <c r="K930" s="587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  <c r="Z930" s="280"/>
      <c r="AA930" s="280"/>
    </row>
    <row r="931">
      <c r="A931" s="598"/>
      <c r="B931" s="587"/>
      <c r="C931" s="587"/>
      <c r="D931" s="587"/>
      <c r="E931" s="587"/>
      <c r="F931" s="587"/>
      <c r="G931" s="587"/>
      <c r="H931" s="587"/>
      <c r="I931" s="587"/>
      <c r="J931" s="599"/>
      <c r="K931" s="587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  <c r="Z931" s="280"/>
      <c r="AA931" s="280"/>
    </row>
    <row r="932">
      <c r="A932" s="598"/>
      <c r="B932" s="587"/>
      <c r="C932" s="587"/>
      <c r="D932" s="587"/>
      <c r="E932" s="587"/>
      <c r="F932" s="587"/>
      <c r="G932" s="587"/>
      <c r="H932" s="587"/>
      <c r="I932" s="587"/>
      <c r="J932" s="599"/>
      <c r="K932" s="587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  <c r="Z932" s="280"/>
      <c r="AA932" s="280"/>
    </row>
    <row r="933">
      <c r="A933" s="598"/>
      <c r="B933" s="587"/>
      <c r="C933" s="587"/>
      <c r="D933" s="587"/>
      <c r="E933" s="587"/>
      <c r="F933" s="587"/>
      <c r="G933" s="587"/>
      <c r="H933" s="587"/>
      <c r="I933" s="587"/>
      <c r="J933" s="599"/>
      <c r="K933" s="587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  <c r="Z933" s="280"/>
      <c r="AA933" s="280"/>
    </row>
    <row r="934">
      <c r="A934" s="598"/>
      <c r="B934" s="587"/>
      <c r="C934" s="587"/>
      <c r="D934" s="587"/>
      <c r="E934" s="587"/>
      <c r="F934" s="587"/>
      <c r="G934" s="587"/>
      <c r="H934" s="587"/>
      <c r="I934" s="587"/>
      <c r="J934" s="599"/>
      <c r="K934" s="587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  <c r="Z934" s="280"/>
      <c r="AA934" s="280"/>
    </row>
    <row r="935">
      <c r="A935" s="598"/>
      <c r="B935" s="587"/>
      <c r="C935" s="587"/>
      <c r="D935" s="587"/>
      <c r="E935" s="587"/>
      <c r="F935" s="587"/>
      <c r="G935" s="587"/>
      <c r="H935" s="587"/>
      <c r="I935" s="587"/>
      <c r="J935" s="599"/>
      <c r="K935" s="587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  <c r="Z935" s="280"/>
      <c r="AA935" s="280"/>
    </row>
    <row r="936">
      <c r="A936" s="598"/>
      <c r="B936" s="587"/>
      <c r="C936" s="587"/>
      <c r="D936" s="587"/>
      <c r="E936" s="587"/>
      <c r="F936" s="587"/>
      <c r="G936" s="587"/>
      <c r="H936" s="587"/>
      <c r="I936" s="587"/>
      <c r="J936" s="599"/>
      <c r="K936" s="587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  <c r="Z936" s="280"/>
      <c r="AA936" s="280"/>
    </row>
    <row r="937">
      <c r="A937" s="598"/>
      <c r="B937" s="587"/>
      <c r="C937" s="587"/>
      <c r="D937" s="587"/>
      <c r="E937" s="587"/>
      <c r="F937" s="587"/>
      <c r="G937" s="587"/>
      <c r="H937" s="587"/>
      <c r="I937" s="587"/>
      <c r="J937" s="599"/>
      <c r="K937" s="587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  <c r="Z937" s="280"/>
      <c r="AA937" s="280"/>
    </row>
    <row r="938">
      <c r="A938" s="598"/>
      <c r="B938" s="587"/>
      <c r="C938" s="587"/>
      <c r="D938" s="587"/>
      <c r="E938" s="587"/>
      <c r="F938" s="587"/>
      <c r="G938" s="587"/>
      <c r="H938" s="587"/>
      <c r="I938" s="587"/>
      <c r="J938" s="599"/>
      <c r="K938" s="587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  <c r="Z938" s="280"/>
      <c r="AA938" s="280"/>
    </row>
    <row r="939">
      <c r="A939" s="598"/>
      <c r="B939" s="587"/>
      <c r="C939" s="587"/>
      <c r="D939" s="587"/>
      <c r="E939" s="587"/>
      <c r="F939" s="587"/>
      <c r="G939" s="587"/>
      <c r="H939" s="587"/>
      <c r="I939" s="587"/>
      <c r="J939" s="599"/>
      <c r="K939" s="587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  <c r="Z939" s="280"/>
      <c r="AA939" s="280"/>
    </row>
    <row r="940">
      <c r="A940" s="598"/>
      <c r="B940" s="587"/>
      <c r="C940" s="587"/>
      <c r="D940" s="587"/>
      <c r="E940" s="587"/>
      <c r="F940" s="587"/>
      <c r="G940" s="587"/>
      <c r="H940" s="587"/>
      <c r="I940" s="587"/>
      <c r="J940" s="599"/>
      <c r="K940" s="587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  <c r="Z940" s="280"/>
      <c r="AA940" s="280"/>
    </row>
    <row r="941">
      <c r="A941" s="598"/>
      <c r="B941" s="587"/>
      <c r="C941" s="587"/>
      <c r="D941" s="587"/>
      <c r="E941" s="587"/>
      <c r="F941" s="587"/>
      <c r="G941" s="587"/>
      <c r="H941" s="587"/>
      <c r="I941" s="587"/>
      <c r="J941" s="599"/>
      <c r="K941" s="587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  <c r="Z941" s="280"/>
      <c r="AA941" s="280"/>
    </row>
    <row r="942">
      <c r="A942" s="598"/>
      <c r="B942" s="587"/>
      <c r="C942" s="587"/>
      <c r="D942" s="587"/>
      <c r="E942" s="587"/>
      <c r="F942" s="587"/>
      <c r="G942" s="587"/>
      <c r="H942" s="587"/>
      <c r="I942" s="587"/>
      <c r="J942" s="599"/>
      <c r="K942" s="587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  <c r="Z942" s="280"/>
      <c r="AA942" s="280"/>
    </row>
    <row r="943">
      <c r="A943" s="598"/>
      <c r="B943" s="587"/>
      <c r="C943" s="587"/>
      <c r="D943" s="587"/>
      <c r="E943" s="587"/>
      <c r="F943" s="587"/>
      <c r="G943" s="587"/>
      <c r="H943" s="587"/>
      <c r="I943" s="587"/>
      <c r="J943" s="599"/>
      <c r="K943" s="587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  <c r="Z943" s="280"/>
      <c r="AA943" s="280"/>
    </row>
    <row r="944">
      <c r="A944" s="598"/>
      <c r="B944" s="587"/>
      <c r="C944" s="587"/>
      <c r="D944" s="587"/>
      <c r="E944" s="587"/>
      <c r="F944" s="587"/>
      <c r="G944" s="587"/>
      <c r="H944" s="587"/>
      <c r="I944" s="587"/>
      <c r="J944" s="599"/>
      <c r="K944" s="587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  <c r="Z944" s="280"/>
      <c r="AA944" s="280"/>
    </row>
    <row r="945">
      <c r="A945" s="598"/>
      <c r="B945" s="587"/>
      <c r="C945" s="587"/>
      <c r="D945" s="587"/>
      <c r="E945" s="587"/>
      <c r="F945" s="587"/>
      <c r="G945" s="587"/>
      <c r="H945" s="587"/>
      <c r="I945" s="587"/>
      <c r="J945" s="599"/>
      <c r="K945" s="587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  <c r="Z945" s="280"/>
      <c r="AA945" s="280"/>
    </row>
    <row r="946">
      <c r="A946" s="598"/>
      <c r="B946" s="587"/>
      <c r="C946" s="587"/>
      <c r="D946" s="587"/>
      <c r="E946" s="587"/>
      <c r="F946" s="587"/>
      <c r="G946" s="587"/>
      <c r="H946" s="587"/>
      <c r="I946" s="587"/>
      <c r="J946" s="599"/>
      <c r="K946" s="587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  <c r="Z946" s="280"/>
      <c r="AA946" s="280"/>
    </row>
    <row r="947">
      <c r="A947" s="598"/>
      <c r="B947" s="587"/>
      <c r="C947" s="587"/>
      <c r="D947" s="587"/>
      <c r="E947" s="587"/>
      <c r="F947" s="587"/>
      <c r="G947" s="587"/>
      <c r="H947" s="587"/>
      <c r="I947" s="587"/>
      <c r="J947" s="599"/>
      <c r="K947" s="587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  <c r="Z947" s="280"/>
      <c r="AA947" s="280"/>
    </row>
    <row r="948">
      <c r="A948" s="598"/>
      <c r="B948" s="587"/>
      <c r="C948" s="587"/>
      <c r="D948" s="587"/>
      <c r="E948" s="587"/>
      <c r="F948" s="587"/>
      <c r="G948" s="587"/>
      <c r="H948" s="587"/>
      <c r="I948" s="587"/>
      <c r="J948" s="599"/>
      <c r="K948" s="587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  <c r="Z948" s="280"/>
      <c r="AA948" s="280"/>
    </row>
    <row r="949">
      <c r="A949" s="598"/>
      <c r="B949" s="587"/>
      <c r="C949" s="587"/>
      <c r="D949" s="587"/>
      <c r="E949" s="587"/>
      <c r="F949" s="587"/>
      <c r="G949" s="587"/>
      <c r="H949" s="587"/>
      <c r="I949" s="587"/>
      <c r="J949" s="599"/>
      <c r="K949" s="587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  <c r="Z949" s="280"/>
      <c r="AA949" s="280"/>
    </row>
    <row r="950">
      <c r="A950" s="598"/>
      <c r="B950" s="587"/>
      <c r="C950" s="587"/>
      <c r="D950" s="587"/>
      <c r="E950" s="587"/>
      <c r="F950" s="587"/>
      <c r="G950" s="587"/>
      <c r="H950" s="587"/>
      <c r="I950" s="587"/>
      <c r="J950" s="599"/>
      <c r="K950" s="587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  <c r="Z950" s="280"/>
      <c r="AA950" s="280"/>
    </row>
    <row r="951">
      <c r="A951" s="598"/>
      <c r="B951" s="587"/>
      <c r="C951" s="587"/>
      <c r="D951" s="587"/>
      <c r="E951" s="587"/>
      <c r="F951" s="587"/>
      <c r="G951" s="587"/>
      <c r="H951" s="587"/>
      <c r="I951" s="587"/>
      <c r="J951" s="599"/>
      <c r="K951" s="587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  <c r="Z951" s="280"/>
      <c r="AA951" s="280"/>
    </row>
    <row r="952">
      <c r="A952" s="598"/>
      <c r="B952" s="587"/>
      <c r="C952" s="587"/>
      <c r="D952" s="587"/>
      <c r="E952" s="587"/>
      <c r="F952" s="587"/>
      <c r="G952" s="587"/>
      <c r="H952" s="587"/>
      <c r="I952" s="587"/>
      <c r="J952" s="599"/>
      <c r="K952" s="587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  <c r="Z952" s="280"/>
      <c r="AA952" s="280"/>
    </row>
    <row r="953">
      <c r="A953" s="598"/>
      <c r="B953" s="587"/>
      <c r="C953" s="587"/>
      <c r="D953" s="587"/>
      <c r="E953" s="587"/>
      <c r="F953" s="587"/>
      <c r="G953" s="587"/>
      <c r="H953" s="587"/>
      <c r="I953" s="587"/>
      <c r="J953" s="599"/>
      <c r="K953" s="587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  <c r="Z953" s="280"/>
      <c r="AA953" s="280"/>
    </row>
    <row r="954">
      <c r="A954" s="598"/>
      <c r="B954" s="587"/>
      <c r="C954" s="587"/>
      <c r="D954" s="587"/>
      <c r="E954" s="587"/>
      <c r="F954" s="587"/>
      <c r="G954" s="587"/>
      <c r="H954" s="587"/>
      <c r="I954" s="587"/>
      <c r="J954" s="599"/>
      <c r="K954" s="587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  <c r="Z954" s="280"/>
      <c r="AA954" s="280"/>
    </row>
    <row r="955">
      <c r="A955" s="598"/>
      <c r="B955" s="587"/>
      <c r="C955" s="587"/>
      <c r="D955" s="587"/>
      <c r="E955" s="587"/>
      <c r="F955" s="587"/>
      <c r="G955" s="587"/>
      <c r="H955" s="587"/>
      <c r="I955" s="587"/>
      <c r="J955" s="599"/>
      <c r="K955" s="587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  <c r="Z955" s="280"/>
      <c r="AA955" s="280"/>
    </row>
    <row r="956">
      <c r="A956" s="598"/>
      <c r="B956" s="587"/>
      <c r="C956" s="587"/>
      <c r="D956" s="587"/>
      <c r="E956" s="587"/>
      <c r="F956" s="587"/>
      <c r="G956" s="587"/>
      <c r="H956" s="587"/>
      <c r="I956" s="587"/>
      <c r="J956" s="599"/>
      <c r="K956" s="587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  <c r="Z956" s="280"/>
      <c r="AA956" s="280"/>
    </row>
    <row r="957">
      <c r="A957" s="598"/>
      <c r="B957" s="587"/>
      <c r="C957" s="587"/>
      <c r="D957" s="587"/>
      <c r="E957" s="587"/>
      <c r="F957" s="587"/>
      <c r="G957" s="587"/>
      <c r="H957" s="587"/>
      <c r="I957" s="587"/>
      <c r="J957" s="599"/>
      <c r="K957" s="587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  <c r="Z957" s="280"/>
      <c r="AA957" s="280"/>
    </row>
    <row r="958">
      <c r="A958" s="598"/>
      <c r="B958" s="587"/>
      <c r="C958" s="587"/>
      <c r="D958" s="587"/>
      <c r="E958" s="587"/>
      <c r="F958" s="587"/>
      <c r="G958" s="587"/>
      <c r="H958" s="587"/>
      <c r="I958" s="587"/>
      <c r="J958" s="599"/>
      <c r="K958" s="587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  <c r="Z958" s="280"/>
      <c r="AA958" s="280"/>
    </row>
    <row r="959">
      <c r="A959" s="598"/>
      <c r="B959" s="587"/>
      <c r="C959" s="587"/>
      <c r="D959" s="587"/>
      <c r="E959" s="587"/>
      <c r="F959" s="587"/>
      <c r="G959" s="587"/>
      <c r="H959" s="587"/>
      <c r="I959" s="587"/>
      <c r="J959" s="599"/>
      <c r="K959" s="587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  <c r="Z959" s="280"/>
      <c r="AA959" s="280"/>
    </row>
    <row r="960">
      <c r="A960" s="598"/>
      <c r="B960" s="587"/>
      <c r="C960" s="587"/>
      <c r="D960" s="587"/>
      <c r="E960" s="587"/>
      <c r="F960" s="587"/>
      <c r="G960" s="587"/>
      <c r="H960" s="587"/>
      <c r="I960" s="587"/>
      <c r="J960" s="599"/>
      <c r="K960" s="587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  <c r="Z960" s="280"/>
      <c r="AA960" s="280"/>
    </row>
    <row r="961">
      <c r="A961" s="598"/>
      <c r="B961" s="587"/>
      <c r="C961" s="587"/>
      <c r="D961" s="587"/>
      <c r="E961" s="587"/>
      <c r="F961" s="587"/>
      <c r="G961" s="587"/>
      <c r="H961" s="587"/>
      <c r="I961" s="587"/>
      <c r="J961" s="599"/>
      <c r="K961" s="587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  <c r="Z961" s="280"/>
      <c r="AA961" s="280"/>
    </row>
    <row r="962">
      <c r="A962" s="598"/>
      <c r="B962" s="587"/>
      <c r="C962" s="587"/>
      <c r="D962" s="587"/>
      <c r="E962" s="587"/>
      <c r="F962" s="587"/>
      <c r="G962" s="587"/>
      <c r="H962" s="587"/>
      <c r="I962" s="587"/>
      <c r="J962" s="599"/>
      <c r="K962" s="587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  <c r="Z962" s="280"/>
      <c r="AA962" s="280"/>
    </row>
    <row r="963">
      <c r="A963" s="598"/>
      <c r="B963" s="587"/>
      <c r="C963" s="587"/>
      <c r="D963" s="587"/>
      <c r="E963" s="587"/>
      <c r="F963" s="587"/>
      <c r="G963" s="587"/>
      <c r="H963" s="587"/>
      <c r="I963" s="587"/>
      <c r="J963" s="599"/>
      <c r="K963" s="587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  <c r="Z963" s="280"/>
      <c r="AA963" s="280"/>
    </row>
    <row r="964">
      <c r="A964" s="598"/>
      <c r="B964" s="587"/>
      <c r="C964" s="587"/>
      <c r="D964" s="587"/>
      <c r="E964" s="587"/>
      <c r="F964" s="587"/>
      <c r="G964" s="587"/>
      <c r="H964" s="587"/>
      <c r="I964" s="587"/>
      <c r="J964" s="599"/>
      <c r="K964" s="587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  <c r="X964" s="280"/>
      <c r="Y964" s="280"/>
      <c r="Z964" s="280"/>
      <c r="AA964" s="280"/>
    </row>
    <row r="965">
      <c r="A965" s="598"/>
      <c r="B965" s="587"/>
      <c r="C965" s="587"/>
      <c r="D965" s="587"/>
      <c r="E965" s="587"/>
      <c r="F965" s="587"/>
      <c r="G965" s="587"/>
      <c r="H965" s="587"/>
      <c r="I965" s="587"/>
      <c r="J965" s="599"/>
      <c r="K965" s="587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  <c r="X965" s="280"/>
      <c r="Y965" s="280"/>
      <c r="Z965" s="280"/>
      <c r="AA965" s="280"/>
    </row>
    <row r="966">
      <c r="A966" s="598"/>
      <c r="B966" s="587"/>
      <c r="C966" s="587"/>
      <c r="D966" s="587"/>
      <c r="E966" s="587"/>
      <c r="F966" s="587"/>
      <c r="G966" s="587"/>
      <c r="H966" s="587"/>
      <c r="I966" s="587"/>
      <c r="J966" s="599"/>
      <c r="K966" s="587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  <c r="X966" s="280"/>
      <c r="Y966" s="280"/>
      <c r="Z966" s="280"/>
      <c r="AA966" s="280"/>
    </row>
    <row r="967">
      <c r="A967" s="598"/>
      <c r="B967" s="587"/>
      <c r="C967" s="587"/>
      <c r="D967" s="587"/>
      <c r="E967" s="587"/>
      <c r="F967" s="587"/>
      <c r="G967" s="587"/>
      <c r="H967" s="587"/>
      <c r="I967" s="587"/>
      <c r="J967" s="599"/>
      <c r="K967" s="587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  <c r="X967" s="280"/>
      <c r="Y967" s="280"/>
      <c r="Z967" s="280"/>
      <c r="AA967" s="280"/>
    </row>
    <row r="968">
      <c r="A968" s="598"/>
      <c r="B968" s="587"/>
      <c r="C968" s="587"/>
      <c r="D968" s="587"/>
      <c r="E968" s="587"/>
      <c r="F968" s="587"/>
      <c r="G968" s="587"/>
      <c r="H968" s="587"/>
      <c r="I968" s="587"/>
      <c r="J968" s="599"/>
      <c r="K968" s="587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  <c r="X968" s="280"/>
      <c r="Y968" s="280"/>
      <c r="Z968" s="280"/>
      <c r="AA968" s="280"/>
    </row>
    <row r="969">
      <c r="A969" s="598"/>
      <c r="B969" s="587"/>
      <c r="C969" s="587"/>
      <c r="D969" s="587"/>
      <c r="E969" s="587"/>
      <c r="F969" s="587"/>
      <c r="G969" s="587"/>
      <c r="H969" s="587"/>
      <c r="I969" s="587"/>
      <c r="J969" s="599"/>
      <c r="K969" s="587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  <c r="X969" s="280"/>
      <c r="Y969" s="280"/>
      <c r="Z969" s="280"/>
      <c r="AA969" s="280"/>
    </row>
    <row r="970">
      <c r="A970" s="598"/>
      <c r="B970" s="587"/>
      <c r="C970" s="587"/>
      <c r="D970" s="587"/>
      <c r="E970" s="587"/>
      <c r="F970" s="587"/>
      <c r="G970" s="587"/>
      <c r="H970" s="587"/>
      <c r="I970" s="587"/>
      <c r="J970" s="599"/>
      <c r="K970" s="587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  <c r="X970" s="280"/>
      <c r="Y970" s="280"/>
      <c r="Z970" s="280"/>
      <c r="AA970" s="280"/>
    </row>
    <row r="971">
      <c r="A971" s="598"/>
      <c r="B971" s="587"/>
      <c r="C971" s="587"/>
      <c r="D971" s="587"/>
      <c r="E971" s="587"/>
      <c r="F971" s="587"/>
      <c r="G971" s="587"/>
      <c r="H971" s="587"/>
      <c r="I971" s="587"/>
      <c r="J971" s="599"/>
      <c r="K971" s="587"/>
      <c r="L971" s="280"/>
      <c r="M971" s="280"/>
      <c r="N971" s="280"/>
      <c r="O971" s="280"/>
      <c r="P971" s="280"/>
      <c r="Q971" s="280"/>
      <c r="R971" s="280"/>
      <c r="S971" s="280"/>
      <c r="T971" s="280"/>
      <c r="U971" s="280"/>
      <c r="V971" s="280"/>
      <c r="W971" s="280"/>
      <c r="X971" s="280"/>
      <c r="Y971" s="280"/>
      <c r="Z971" s="280"/>
      <c r="AA971" s="280"/>
    </row>
    <row r="972">
      <c r="A972" s="598"/>
      <c r="B972" s="587"/>
      <c r="C972" s="587"/>
      <c r="D972" s="587"/>
      <c r="E972" s="587"/>
      <c r="F972" s="587"/>
      <c r="G972" s="587"/>
      <c r="H972" s="587"/>
      <c r="I972" s="587"/>
      <c r="J972" s="599"/>
      <c r="K972" s="587"/>
      <c r="L972" s="280"/>
      <c r="M972" s="280"/>
      <c r="N972" s="280"/>
      <c r="O972" s="280"/>
      <c r="P972" s="280"/>
      <c r="Q972" s="280"/>
      <c r="R972" s="280"/>
      <c r="S972" s="280"/>
      <c r="T972" s="280"/>
      <c r="U972" s="280"/>
      <c r="V972" s="280"/>
      <c r="W972" s="280"/>
      <c r="X972" s="280"/>
      <c r="Y972" s="280"/>
      <c r="Z972" s="280"/>
      <c r="AA972" s="280"/>
    </row>
    <row r="973">
      <c r="A973" s="598"/>
      <c r="B973" s="587"/>
      <c r="C973" s="587"/>
      <c r="D973" s="587"/>
      <c r="E973" s="587"/>
      <c r="F973" s="587"/>
      <c r="G973" s="587"/>
      <c r="H973" s="587"/>
      <c r="I973" s="587"/>
      <c r="J973" s="599"/>
      <c r="K973" s="587"/>
      <c r="L973" s="280"/>
      <c r="M973" s="280"/>
      <c r="N973" s="280"/>
      <c r="O973" s="280"/>
      <c r="P973" s="280"/>
      <c r="Q973" s="280"/>
      <c r="R973" s="280"/>
      <c r="S973" s="280"/>
      <c r="T973" s="280"/>
      <c r="U973" s="280"/>
      <c r="V973" s="280"/>
      <c r="W973" s="280"/>
      <c r="X973" s="280"/>
      <c r="Y973" s="280"/>
      <c r="Z973" s="280"/>
      <c r="AA973" s="280"/>
    </row>
    <row r="974">
      <c r="A974" s="598"/>
      <c r="B974" s="587"/>
      <c r="C974" s="587"/>
      <c r="D974" s="587"/>
      <c r="E974" s="587"/>
      <c r="F974" s="587"/>
      <c r="G974" s="587"/>
      <c r="H974" s="587"/>
      <c r="I974" s="587"/>
      <c r="J974" s="599"/>
      <c r="K974" s="587"/>
      <c r="L974" s="280"/>
      <c r="M974" s="280"/>
      <c r="N974" s="280"/>
      <c r="O974" s="280"/>
      <c r="P974" s="280"/>
      <c r="Q974" s="280"/>
      <c r="R974" s="280"/>
      <c r="S974" s="280"/>
      <c r="T974" s="280"/>
      <c r="U974" s="280"/>
      <c r="V974" s="280"/>
      <c r="W974" s="280"/>
      <c r="X974" s="280"/>
      <c r="Y974" s="280"/>
      <c r="Z974" s="280"/>
      <c r="AA974" s="280"/>
    </row>
    <row r="975">
      <c r="A975" s="598"/>
      <c r="B975" s="587"/>
      <c r="C975" s="587"/>
      <c r="D975" s="587"/>
      <c r="E975" s="587"/>
      <c r="F975" s="587"/>
      <c r="G975" s="587"/>
      <c r="H975" s="587"/>
      <c r="I975" s="587"/>
      <c r="J975" s="599"/>
      <c r="K975" s="587"/>
      <c r="L975" s="280"/>
      <c r="M975" s="280"/>
      <c r="N975" s="280"/>
      <c r="O975" s="280"/>
      <c r="P975" s="280"/>
      <c r="Q975" s="280"/>
      <c r="R975" s="280"/>
      <c r="S975" s="280"/>
      <c r="T975" s="280"/>
      <c r="U975" s="280"/>
      <c r="V975" s="280"/>
      <c r="W975" s="280"/>
      <c r="X975" s="280"/>
      <c r="Y975" s="280"/>
      <c r="Z975" s="280"/>
      <c r="AA975" s="280"/>
    </row>
    <row r="976">
      <c r="A976" s="598"/>
      <c r="B976" s="587"/>
      <c r="C976" s="587"/>
      <c r="D976" s="587"/>
      <c r="E976" s="587"/>
      <c r="F976" s="587"/>
      <c r="G976" s="587"/>
      <c r="H976" s="587"/>
      <c r="I976" s="587"/>
      <c r="J976" s="599"/>
      <c r="K976" s="587"/>
      <c r="L976" s="280"/>
      <c r="M976" s="280"/>
      <c r="N976" s="280"/>
      <c r="O976" s="280"/>
      <c r="P976" s="280"/>
      <c r="Q976" s="280"/>
      <c r="R976" s="280"/>
      <c r="S976" s="280"/>
      <c r="T976" s="280"/>
      <c r="U976" s="280"/>
      <c r="V976" s="280"/>
      <c r="W976" s="280"/>
      <c r="X976" s="280"/>
      <c r="Y976" s="280"/>
      <c r="Z976" s="280"/>
      <c r="AA976" s="280"/>
    </row>
    <row r="977">
      <c r="A977" s="598"/>
      <c r="B977" s="587"/>
      <c r="C977" s="587"/>
      <c r="D977" s="587"/>
      <c r="E977" s="587"/>
      <c r="F977" s="587"/>
      <c r="G977" s="587"/>
      <c r="H977" s="587"/>
      <c r="I977" s="587"/>
      <c r="J977" s="599"/>
      <c r="K977" s="587"/>
      <c r="L977" s="280"/>
      <c r="M977" s="280"/>
      <c r="N977" s="280"/>
      <c r="O977" s="280"/>
      <c r="P977" s="280"/>
      <c r="Q977" s="280"/>
      <c r="R977" s="280"/>
      <c r="S977" s="280"/>
      <c r="T977" s="280"/>
      <c r="U977" s="280"/>
      <c r="V977" s="280"/>
      <c r="W977" s="280"/>
      <c r="X977" s="280"/>
      <c r="Y977" s="280"/>
      <c r="Z977" s="280"/>
      <c r="AA977" s="280"/>
    </row>
    <row r="978">
      <c r="A978" s="598"/>
      <c r="B978" s="587"/>
      <c r="C978" s="587"/>
      <c r="D978" s="587"/>
      <c r="E978" s="587"/>
      <c r="F978" s="587"/>
      <c r="G978" s="587"/>
      <c r="H978" s="587"/>
      <c r="I978" s="587"/>
      <c r="J978" s="599"/>
      <c r="K978" s="587"/>
      <c r="L978" s="280"/>
      <c r="M978" s="280"/>
      <c r="N978" s="280"/>
      <c r="O978" s="280"/>
      <c r="P978" s="280"/>
      <c r="Q978" s="280"/>
      <c r="R978" s="280"/>
      <c r="S978" s="280"/>
      <c r="T978" s="280"/>
      <c r="U978" s="280"/>
      <c r="V978" s="280"/>
      <c r="W978" s="280"/>
      <c r="X978" s="280"/>
      <c r="Y978" s="280"/>
      <c r="Z978" s="280"/>
      <c r="AA978" s="280"/>
    </row>
    <row r="979">
      <c r="A979" s="598"/>
      <c r="B979" s="587"/>
      <c r="C979" s="587"/>
      <c r="D979" s="587"/>
      <c r="E979" s="587"/>
      <c r="F979" s="587"/>
      <c r="G979" s="587"/>
      <c r="H979" s="587"/>
      <c r="I979" s="587"/>
      <c r="J979" s="599"/>
      <c r="K979" s="587"/>
      <c r="L979" s="280"/>
      <c r="M979" s="280"/>
      <c r="N979" s="280"/>
      <c r="O979" s="280"/>
      <c r="P979" s="280"/>
      <c r="Q979" s="280"/>
      <c r="R979" s="280"/>
      <c r="S979" s="280"/>
      <c r="T979" s="280"/>
      <c r="U979" s="280"/>
      <c r="V979" s="280"/>
      <c r="W979" s="280"/>
      <c r="X979" s="280"/>
      <c r="Y979" s="280"/>
      <c r="Z979" s="280"/>
      <c r="AA979" s="280"/>
    </row>
    <row r="980">
      <c r="A980" s="598"/>
      <c r="B980" s="587"/>
      <c r="C980" s="587"/>
      <c r="D980" s="587"/>
      <c r="E980" s="587"/>
      <c r="F980" s="587"/>
      <c r="G980" s="587"/>
      <c r="H980" s="587"/>
      <c r="I980" s="587"/>
      <c r="J980" s="599"/>
      <c r="K980" s="587"/>
      <c r="L980" s="280"/>
      <c r="M980" s="280"/>
      <c r="N980" s="280"/>
      <c r="O980" s="280"/>
      <c r="P980" s="280"/>
      <c r="Q980" s="280"/>
      <c r="R980" s="280"/>
      <c r="S980" s="280"/>
      <c r="T980" s="280"/>
      <c r="U980" s="280"/>
      <c r="V980" s="280"/>
      <c r="W980" s="280"/>
      <c r="X980" s="280"/>
      <c r="Y980" s="280"/>
      <c r="Z980" s="280"/>
      <c r="AA980" s="280"/>
    </row>
    <row r="981">
      <c r="A981" s="598"/>
      <c r="B981" s="587"/>
      <c r="C981" s="587"/>
      <c r="D981" s="587"/>
      <c r="E981" s="587"/>
      <c r="F981" s="587"/>
      <c r="G981" s="587"/>
      <c r="H981" s="587"/>
      <c r="I981" s="587"/>
      <c r="J981" s="599"/>
      <c r="K981" s="587"/>
      <c r="L981" s="280"/>
      <c r="M981" s="280"/>
      <c r="N981" s="280"/>
      <c r="O981" s="280"/>
      <c r="P981" s="280"/>
      <c r="Q981" s="280"/>
      <c r="R981" s="280"/>
      <c r="S981" s="280"/>
      <c r="T981" s="280"/>
      <c r="U981" s="280"/>
      <c r="V981" s="280"/>
      <c r="W981" s="280"/>
      <c r="X981" s="280"/>
      <c r="Y981" s="280"/>
      <c r="Z981" s="280"/>
      <c r="AA981" s="280"/>
    </row>
    <row r="982">
      <c r="A982" s="598"/>
      <c r="B982" s="587"/>
      <c r="C982" s="587"/>
      <c r="D982" s="587"/>
      <c r="E982" s="587"/>
      <c r="F982" s="587"/>
      <c r="G982" s="587"/>
      <c r="H982" s="587"/>
      <c r="I982" s="587"/>
      <c r="J982" s="599"/>
      <c r="K982" s="587"/>
      <c r="L982" s="280"/>
      <c r="M982" s="280"/>
      <c r="N982" s="280"/>
      <c r="O982" s="280"/>
      <c r="P982" s="280"/>
      <c r="Q982" s="280"/>
      <c r="R982" s="280"/>
      <c r="S982" s="280"/>
      <c r="T982" s="280"/>
      <c r="U982" s="280"/>
      <c r="V982" s="280"/>
      <c r="W982" s="280"/>
      <c r="X982" s="280"/>
      <c r="Y982" s="280"/>
      <c r="Z982" s="280"/>
      <c r="AA982" s="280"/>
    </row>
    <row r="983">
      <c r="A983" s="598"/>
      <c r="B983" s="587"/>
      <c r="C983" s="587"/>
      <c r="D983" s="587"/>
      <c r="E983" s="587"/>
      <c r="F983" s="587"/>
      <c r="G983" s="587"/>
      <c r="H983" s="587"/>
      <c r="I983" s="587"/>
      <c r="J983" s="599"/>
      <c r="K983" s="587"/>
      <c r="L983" s="280"/>
      <c r="M983" s="280"/>
      <c r="N983" s="280"/>
      <c r="O983" s="280"/>
      <c r="P983" s="280"/>
      <c r="Q983" s="280"/>
      <c r="R983" s="280"/>
      <c r="S983" s="280"/>
      <c r="T983" s="280"/>
      <c r="U983" s="280"/>
      <c r="V983" s="280"/>
      <c r="W983" s="280"/>
      <c r="X983" s="280"/>
      <c r="Y983" s="280"/>
      <c r="Z983" s="280"/>
      <c r="AA983" s="280"/>
    </row>
    <row r="984">
      <c r="A984" s="598"/>
      <c r="B984" s="587"/>
      <c r="C984" s="587"/>
      <c r="D984" s="587"/>
      <c r="E984" s="587"/>
      <c r="F984" s="587"/>
      <c r="G984" s="587"/>
      <c r="H984" s="587"/>
      <c r="I984" s="587"/>
      <c r="J984" s="599"/>
      <c r="K984" s="587"/>
      <c r="L984" s="280"/>
      <c r="M984" s="280"/>
      <c r="N984" s="280"/>
      <c r="O984" s="280"/>
      <c r="P984" s="280"/>
      <c r="Q984" s="280"/>
      <c r="R984" s="280"/>
      <c r="S984" s="280"/>
      <c r="T984" s="280"/>
      <c r="U984" s="280"/>
      <c r="V984" s="280"/>
      <c r="W984" s="280"/>
      <c r="X984" s="280"/>
      <c r="Y984" s="280"/>
      <c r="Z984" s="280"/>
      <c r="AA984" s="280"/>
    </row>
    <row r="985">
      <c r="A985" s="598"/>
      <c r="B985" s="587"/>
      <c r="C985" s="587"/>
      <c r="D985" s="587"/>
      <c r="E985" s="587"/>
      <c r="F985" s="587"/>
      <c r="G985" s="587"/>
      <c r="H985" s="587"/>
      <c r="I985" s="587"/>
      <c r="J985" s="599"/>
      <c r="K985" s="587"/>
      <c r="L985" s="280"/>
      <c r="M985" s="280"/>
      <c r="N985" s="280"/>
      <c r="O985" s="280"/>
      <c r="P985" s="280"/>
      <c r="Q985" s="280"/>
      <c r="R985" s="280"/>
      <c r="S985" s="280"/>
      <c r="T985" s="280"/>
      <c r="U985" s="280"/>
      <c r="V985" s="280"/>
      <c r="W985" s="280"/>
      <c r="X985" s="280"/>
      <c r="Y985" s="280"/>
      <c r="Z985" s="280"/>
      <c r="AA985" s="280"/>
    </row>
    <row r="986">
      <c r="A986" s="598"/>
      <c r="B986" s="587"/>
      <c r="C986" s="587"/>
      <c r="D986" s="587"/>
      <c r="E986" s="587"/>
      <c r="F986" s="587"/>
      <c r="G986" s="587"/>
      <c r="H986" s="587"/>
      <c r="I986" s="587"/>
      <c r="J986" s="599"/>
      <c r="K986" s="587"/>
      <c r="L986" s="280"/>
      <c r="M986" s="280"/>
      <c r="N986" s="280"/>
      <c r="O986" s="280"/>
      <c r="P986" s="280"/>
      <c r="Q986" s="280"/>
      <c r="R986" s="280"/>
      <c r="S986" s="280"/>
      <c r="T986" s="280"/>
      <c r="U986" s="280"/>
      <c r="V986" s="280"/>
      <c r="W986" s="280"/>
      <c r="X986" s="280"/>
      <c r="Y986" s="280"/>
      <c r="Z986" s="280"/>
      <c r="AA986" s="280"/>
    </row>
    <row r="987">
      <c r="A987" s="598"/>
      <c r="B987" s="587"/>
      <c r="C987" s="587"/>
      <c r="D987" s="587"/>
      <c r="E987" s="587"/>
      <c r="F987" s="587"/>
      <c r="G987" s="587"/>
      <c r="H987" s="587"/>
      <c r="I987" s="587"/>
      <c r="J987" s="599"/>
      <c r="K987" s="587"/>
      <c r="L987" s="280"/>
      <c r="M987" s="280"/>
      <c r="N987" s="280"/>
      <c r="O987" s="280"/>
      <c r="P987" s="280"/>
      <c r="Q987" s="280"/>
      <c r="R987" s="280"/>
      <c r="S987" s="280"/>
      <c r="T987" s="280"/>
      <c r="U987" s="280"/>
      <c r="V987" s="280"/>
      <c r="W987" s="280"/>
      <c r="X987" s="280"/>
      <c r="Y987" s="280"/>
      <c r="Z987" s="280"/>
      <c r="AA987" s="280"/>
    </row>
    <row r="988">
      <c r="A988" s="598"/>
      <c r="B988" s="587"/>
      <c r="C988" s="587"/>
      <c r="D988" s="587"/>
      <c r="E988" s="587"/>
      <c r="F988" s="587"/>
      <c r="G988" s="587"/>
      <c r="H988" s="587"/>
      <c r="I988" s="587"/>
      <c r="J988" s="599"/>
      <c r="K988" s="587"/>
      <c r="L988" s="280"/>
      <c r="M988" s="280"/>
      <c r="N988" s="280"/>
      <c r="O988" s="280"/>
      <c r="P988" s="280"/>
      <c r="Q988" s="280"/>
      <c r="R988" s="280"/>
      <c r="S988" s="280"/>
      <c r="T988" s="280"/>
      <c r="U988" s="280"/>
      <c r="V988" s="280"/>
      <c r="W988" s="280"/>
      <c r="X988" s="280"/>
      <c r="Y988" s="280"/>
      <c r="Z988" s="280"/>
      <c r="AA988" s="280"/>
    </row>
    <row r="989">
      <c r="A989" s="598"/>
      <c r="B989" s="587"/>
      <c r="C989" s="587"/>
      <c r="D989" s="587"/>
      <c r="E989" s="587"/>
      <c r="F989" s="587"/>
      <c r="G989" s="587"/>
      <c r="H989" s="587"/>
      <c r="I989" s="587"/>
      <c r="J989" s="599"/>
      <c r="K989" s="587"/>
      <c r="L989" s="280"/>
      <c r="M989" s="280"/>
      <c r="N989" s="280"/>
      <c r="O989" s="280"/>
      <c r="P989" s="280"/>
      <c r="Q989" s="280"/>
      <c r="R989" s="280"/>
      <c r="S989" s="280"/>
      <c r="T989" s="280"/>
      <c r="U989" s="280"/>
      <c r="V989" s="280"/>
      <c r="W989" s="280"/>
      <c r="X989" s="280"/>
      <c r="Y989" s="280"/>
      <c r="Z989" s="280"/>
      <c r="AA989" s="280"/>
    </row>
    <row r="990">
      <c r="A990" s="598"/>
      <c r="B990" s="587"/>
      <c r="C990" s="587"/>
      <c r="D990" s="587"/>
      <c r="E990" s="587"/>
      <c r="F990" s="587"/>
      <c r="G990" s="587"/>
      <c r="H990" s="587"/>
      <c r="I990" s="587"/>
      <c r="J990" s="599"/>
      <c r="K990" s="587"/>
      <c r="L990" s="280"/>
      <c r="M990" s="280"/>
      <c r="N990" s="280"/>
      <c r="O990" s="280"/>
      <c r="P990" s="280"/>
      <c r="Q990" s="280"/>
      <c r="R990" s="280"/>
      <c r="S990" s="280"/>
      <c r="T990" s="280"/>
      <c r="U990" s="280"/>
      <c r="V990" s="280"/>
      <c r="W990" s="280"/>
      <c r="X990" s="280"/>
      <c r="Y990" s="280"/>
      <c r="Z990" s="280"/>
      <c r="AA990" s="280"/>
    </row>
    <row r="991">
      <c r="A991" s="598"/>
      <c r="B991" s="587"/>
      <c r="C991" s="587"/>
      <c r="D991" s="587"/>
      <c r="E991" s="587"/>
      <c r="F991" s="587"/>
      <c r="G991" s="587"/>
      <c r="H991" s="587"/>
      <c r="I991" s="587"/>
      <c r="J991" s="599"/>
      <c r="K991" s="587"/>
      <c r="L991" s="280"/>
      <c r="M991" s="280"/>
      <c r="N991" s="280"/>
      <c r="O991" s="280"/>
      <c r="P991" s="280"/>
      <c r="Q991" s="280"/>
      <c r="R991" s="280"/>
      <c r="S991" s="280"/>
      <c r="T991" s="280"/>
      <c r="U991" s="280"/>
      <c r="V991" s="280"/>
      <c r="W991" s="280"/>
      <c r="X991" s="280"/>
      <c r="Y991" s="280"/>
      <c r="Z991" s="280"/>
      <c r="AA991" s="280"/>
    </row>
    <row r="992">
      <c r="A992" s="598"/>
      <c r="B992" s="587"/>
      <c r="C992" s="587"/>
      <c r="D992" s="587"/>
      <c r="E992" s="587"/>
      <c r="F992" s="587"/>
      <c r="G992" s="587"/>
      <c r="H992" s="587"/>
      <c r="I992" s="587"/>
      <c r="J992" s="599"/>
      <c r="K992" s="587"/>
      <c r="L992" s="280"/>
      <c r="M992" s="280"/>
      <c r="N992" s="280"/>
      <c r="O992" s="280"/>
      <c r="P992" s="280"/>
      <c r="Q992" s="280"/>
      <c r="R992" s="280"/>
      <c r="S992" s="280"/>
      <c r="T992" s="280"/>
      <c r="U992" s="280"/>
      <c r="V992" s="280"/>
      <c r="W992" s="280"/>
      <c r="X992" s="280"/>
      <c r="Y992" s="280"/>
      <c r="Z992" s="280"/>
      <c r="AA992" s="280"/>
    </row>
    <row r="993">
      <c r="A993" s="598"/>
      <c r="B993" s="587"/>
      <c r="C993" s="587"/>
      <c r="D993" s="587"/>
      <c r="E993" s="587"/>
      <c r="F993" s="587"/>
      <c r="G993" s="587"/>
      <c r="H993" s="587"/>
      <c r="I993" s="587"/>
      <c r="J993" s="599"/>
      <c r="K993" s="587"/>
      <c r="L993" s="280"/>
      <c r="M993" s="280"/>
      <c r="N993" s="280"/>
      <c r="O993" s="280"/>
      <c r="P993" s="280"/>
      <c r="Q993" s="280"/>
      <c r="R993" s="280"/>
      <c r="S993" s="280"/>
      <c r="T993" s="280"/>
      <c r="U993" s="280"/>
      <c r="V993" s="280"/>
      <c r="W993" s="280"/>
      <c r="X993" s="280"/>
      <c r="Y993" s="280"/>
      <c r="Z993" s="280"/>
      <c r="AA993" s="280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E1" s="613">
        <v>46006.0</v>
      </c>
      <c r="F1" s="614">
        <v>1200000.0</v>
      </c>
    </row>
    <row r="2">
      <c r="E2" s="613">
        <v>46012.0</v>
      </c>
      <c r="F2" s="614">
        <v>1500000.0</v>
      </c>
    </row>
    <row r="3">
      <c r="E3" s="613">
        <v>46019.0</v>
      </c>
      <c r="F3" s="614">
        <v>1100000.0</v>
      </c>
    </row>
    <row r="4">
      <c r="E4" s="613">
        <v>45662.0</v>
      </c>
      <c r="F4" s="614">
        <v>1000000.0</v>
      </c>
    </row>
    <row r="5">
      <c r="E5" s="613">
        <v>45669.0</v>
      </c>
      <c r="F5" s="614">
        <v>1200000.0</v>
      </c>
    </row>
    <row r="6">
      <c r="E6" s="613">
        <v>45675.0</v>
      </c>
      <c r="F6" s="614">
        <v>1100000.0</v>
      </c>
    </row>
    <row r="7">
      <c r="E7" s="613">
        <v>45682.0</v>
      </c>
      <c r="F7" s="614">
        <v>1100000.0</v>
      </c>
    </row>
    <row r="8">
      <c r="E8" s="613">
        <v>45689.0</v>
      </c>
      <c r="F8" s="614">
        <v>1200000.0</v>
      </c>
    </row>
    <row r="9">
      <c r="E9" s="613">
        <v>45696.0</v>
      </c>
      <c r="F9" s="614">
        <v>1050000.0</v>
      </c>
    </row>
    <row r="10">
      <c r="E10" s="613">
        <v>45703.0</v>
      </c>
      <c r="F10" s="614">
        <v>1050000.0</v>
      </c>
    </row>
    <row r="11">
      <c r="E11" s="613">
        <v>45709.0</v>
      </c>
      <c r="F11" s="614">
        <v>1050000.0</v>
      </c>
    </row>
    <row r="12">
      <c r="E12" s="613">
        <v>45716.0</v>
      </c>
      <c r="F12" s="614">
        <v>1050000.0</v>
      </c>
    </row>
    <row r="13">
      <c r="E13" s="615">
        <v>45724.0</v>
      </c>
      <c r="F13" s="614">
        <v>1050000.0</v>
      </c>
    </row>
    <row r="14">
      <c r="E14" s="615">
        <v>45731.0</v>
      </c>
      <c r="F14" s="614">
        <v>1050000.0</v>
      </c>
    </row>
    <row r="15">
      <c r="E15" s="615">
        <v>45738.0</v>
      </c>
      <c r="F15" s="614">
        <v>1050000.0</v>
      </c>
    </row>
    <row r="16">
      <c r="E16" s="615">
        <v>45745.0</v>
      </c>
      <c r="F16" s="614">
        <v>1050000.0</v>
      </c>
    </row>
    <row r="17">
      <c r="E17" s="615">
        <v>45752.0</v>
      </c>
      <c r="F17" s="614">
        <v>1050000.0</v>
      </c>
    </row>
    <row r="18">
      <c r="E18" s="615">
        <v>45759.0</v>
      </c>
      <c r="F18" s="614">
        <v>1050000.0</v>
      </c>
    </row>
    <row r="19">
      <c r="E19" s="615">
        <v>45766.0</v>
      </c>
      <c r="F19" s="614">
        <v>350000.0</v>
      </c>
    </row>
    <row r="20">
      <c r="F20" s="370"/>
    </row>
    <row r="21">
      <c r="F21" s="370">
        <f>SUM(F1:F20)</f>
        <v>20250000</v>
      </c>
    </row>
    <row r="22">
      <c r="F22" s="370"/>
    </row>
    <row r="23">
      <c r="F23" s="370"/>
    </row>
    <row r="24">
      <c r="F24" s="370"/>
    </row>
    <row r="25">
      <c r="F25" s="370"/>
    </row>
    <row r="26">
      <c r="F26" s="370"/>
    </row>
    <row r="27">
      <c r="F27" s="370"/>
    </row>
    <row r="28">
      <c r="F28" s="370"/>
    </row>
    <row r="29">
      <c r="F29" s="370"/>
    </row>
    <row r="30">
      <c r="F30" s="370"/>
    </row>
    <row r="31">
      <c r="F31" s="370"/>
    </row>
    <row r="32">
      <c r="F32" s="370"/>
    </row>
    <row r="33">
      <c r="F33" s="370"/>
    </row>
    <row r="34">
      <c r="F34" s="370"/>
    </row>
    <row r="35">
      <c r="F35" s="370"/>
    </row>
    <row r="36">
      <c r="F36" s="370"/>
    </row>
    <row r="37">
      <c r="F37" s="370"/>
    </row>
    <row r="38">
      <c r="F38" s="370"/>
    </row>
    <row r="39">
      <c r="F39" s="370"/>
    </row>
    <row r="40">
      <c r="F40" s="370"/>
    </row>
    <row r="41">
      <c r="F41" s="370"/>
    </row>
    <row r="42">
      <c r="F42" s="370"/>
    </row>
    <row r="43">
      <c r="F43" s="370"/>
    </row>
    <row r="44">
      <c r="F44" s="370"/>
    </row>
    <row r="45">
      <c r="F45" s="370"/>
    </row>
    <row r="46">
      <c r="F46" s="370"/>
    </row>
    <row r="47">
      <c r="F47" s="370"/>
    </row>
    <row r="48">
      <c r="F48" s="370"/>
    </row>
    <row r="49">
      <c r="F49" s="370"/>
    </row>
    <row r="50">
      <c r="F50" s="370"/>
    </row>
    <row r="51">
      <c r="F51" s="370"/>
    </row>
    <row r="52">
      <c r="F52" s="370"/>
    </row>
    <row r="53">
      <c r="F53" s="370"/>
    </row>
    <row r="54">
      <c r="F54" s="370"/>
    </row>
    <row r="55">
      <c r="F55" s="370"/>
    </row>
    <row r="56">
      <c r="F56" s="370"/>
    </row>
    <row r="57">
      <c r="F57" s="370"/>
    </row>
    <row r="58">
      <c r="F58" s="370"/>
    </row>
    <row r="59">
      <c r="F59" s="370"/>
    </row>
    <row r="60">
      <c r="F60" s="370"/>
    </row>
    <row r="61">
      <c r="F61" s="370"/>
    </row>
    <row r="62">
      <c r="F62" s="370"/>
    </row>
    <row r="63">
      <c r="F63" s="370"/>
    </row>
    <row r="64">
      <c r="F64" s="370"/>
    </row>
    <row r="65">
      <c r="F65" s="370"/>
    </row>
    <row r="66">
      <c r="F66" s="370"/>
    </row>
    <row r="67">
      <c r="F67" s="370"/>
    </row>
    <row r="68">
      <c r="F68" s="370"/>
    </row>
    <row r="69">
      <c r="F69" s="370"/>
    </row>
    <row r="70">
      <c r="F70" s="370"/>
    </row>
    <row r="71">
      <c r="F71" s="370"/>
    </row>
    <row r="72">
      <c r="F72" s="370"/>
    </row>
    <row r="73">
      <c r="F73" s="370"/>
    </row>
    <row r="74">
      <c r="F74" s="370"/>
    </row>
    <row r="75">
      <c r="F75" s="370"/>
    </row>
    <row r="76">
      <c r="F76" s="370"/>
    </row>
    <row r="77">
      <c r="F77" s="370"/>
    </row>
    <row r="78">
      <c r="F78" s="370"/>
    </row>
    <row r="79">
      <c r="F79" s="370"/>
    </row>
    <row r="80">
      <c r="F80" s="370"/>
    </row>
    <row r="81">
      <c r="F81" s="370"/>
    </row>
    <row r="82">
      <c r="F82" s="370"/>
    </row>
    <row r="83">
      <c r="F83" s="370"/>
    </row>
    <row r="84">
      <c r="F84" s="370"/>
    </row>
    <row r="85">
      <c r="F85" s="370"/>
    </row>
    <row r="86">
      <c r="F86" s="370"/>
    </row>
    <row r="87">
      <c r="F87" s="370"/>
    </row>
    <row r="88">
      <c r="F88" s="370"/>
    </row>
    <row r="89">
      <c r="F89" s="370"/>
    </row>
    <row r="90">
      <c r="F90" s="370"/>
    </row>
    <row r="91">
      <c r="F91" s="370"/>
    </row>
    <row r="92">
      <c r="F92" s="370"/>
    </row>
    <row r="93">
      <c r="F93" s="370"/>
    </row>
    <row r="94">
      <c r="F94" s="370"/>
    </row>
    <row r="95">
      <c r="F95" s="370"/>
    </row>
    <row r="96">
      <c r="F96" s="370"/>
    </row>
    <row r="97">
      <c r="F97" s="370"/>
    </row>
    <row r="98">
      <c r="F98" s="370"/>
    </row>
    <row r="99">
      <c r="F99" s="370"/>
    </row>
    <row r="100">
      <c r="F100" s="370"/>
    </row>
    <row r="101">
      <c r="F101" s="370"/>
    </row>
    <row r="102">
      <c r="F102" s="370"/>
    </row>
    <row r="103">
      <c r="F103" s="370"/>
    </row>
    <row r="104">
      <c r="F104" s="370"/>
    </row>
    <row r="105">
      <c r="F105" s="370"/>
    </row>
    <row r="106">
      <c r="F106" s="370"/>
    </row>
    <row r="107">
      <c r="F107" s="370"/>
    </row>
    <row r="108">
      <c r="F108" s="370"/>
    </row>
    <row r="109">
      <c r="F109" s="370"/>
    </row>
    <row r="110">
      <c r="F110" s="370"/>
    </row>
    <row r="111">
      <c r="F111" s="370"/>
    </row>
    <row r="112">
      <c r="F112" s="370"/>
    </row>
    <row r="113">
      <c r="F113" s="370"/>
    </row>
    <row r="114">
      <c r="F114" s="370"/>
    </row>
    <row r="115">
      <c r="F115" s="370"/>
    </row>
    <row r="116">
      <c r="F116" s="370"/>
    </row>
    <row r="117">
      <c r="F117" s="370"/>
    </row>
    <row r="118">
      <c r="F118" s="370"/>
    </row>
    <row r="119">
      <c r="F119" s="370"/>
    </row>
    <row r="120">
      <c r="F120" s="370"/>
    </row>
    <row r="121">
      <c r="F121" s="370"/>
    </row>
    <row r="122">
      <c r="F122" s="370"/>
    </row>
    <row r="123">
      <c r="F123" s="370"/>
    </row>
    <row r="124">
      <c r="F124" s="370"/>
    </row>
    <row r="125">
      <c r="F125" s="370"/>
    </row>
    <row r="126">
      <c r="F126" s="370"/>
    </row>
    <row r="127">
      <c r="F127" s="370"/>
    </row>
    <row r="128">
      <c r="F128" s="370"/>
    </row>
    <row r="129">
      <c r="F129" s="370"/>
    </row>
    <row r="130">
      <c r="F130" s="370"/>
    </row>
    <row r="131">
      <c r="F131" s="370"/>
    </row>
    <row r="132">
      <c r="F132" s="370"/>
    </row>
    <row r="133">
      <c r="F133" s="370"/>
    </row>
    <row r="134">
      <c r="F134" s="370"/>
    </row>
    <row r="135">
      <c r="F135" s="370"/>
    </row>
    <row r="136">
      <c r="F136" s="370"/>
    </row>
    <row r="137">
      <c r="F137" s="370"/>
    </row>
    <row r="138">
      <c r="F138" s="370"/>
    </row>
    <row r="139">
      <c r="F139" s="370"/>
    </row>
    <row r="140">
      <c r="F140" s="370"/>
    </row>
    <row r="141">
      <c r="F141" s="370"/>
    </row>
    <row r="142">
      <c r="F142" s="370"/>
    </row>
    <row r="143">
      <c r="F143" s="370"/>
    </row>
    <row r="144">
      <c r="F144" s="370"/>
    </row>
    <row r="145">
      <c r="F145" s="370"/>
    </row>
    <row r="146">
      <c r="F146" s="370"/>
    </row>
    <row r="147">
      <c r="F147" s="370"/>
    </row>
    <row r="148">
      <c r="F148" s="370"/>
    </row>
    <row r="149">
      <c r="F149" s="370"/>
    </row>
    <row r="150">
      <c r="F150" s="370"/>
    </row>
    <row r="151">
      <c r="F151" s="370"/>
    </row>
    <row r="152">
      <c r="F152" s="370"/>
    </row>
    <row r="153">
      <c r="F153" s="370"/>
    </row>
    <row r="154">
      <c r="F154" s="370"/>
    </row>
    <row r="155">
      <c r="F155" s="370"/>
    </row>
    <row r="156">
      <c r="F156" s="370"/>
    </row>
    <row r="157">
      <c r="F157" s="370"/>
    </row>
    <row r="158">
      <c r="F158" s="370"/>
    </row>
    <row r="159">
      <c r="F159" s="370"/>
    </row>
    <row r="160">
      <c r="F160" s="370"/>
    </row>
    <row r="161">
      <c r="F161" s="370"/>
    </row>
    <row r="162">
      <c r="F162" s="370"/>
    </row>
    <row r="163">
      <c r="F163" s="370"/>
    </row>
    <row r="164">
      <c r="F164" s="370"/>
    </row>
    <row r="165">
      <c r="F165" s="370"/>
    </row>
    <row r="166">
      <c r="F166" s="370"/>
    </row>
    <row r="167">
      <c r="F167" s="370"/>
    </row>
    <row r="168">
      <c r="F168" s="370"/>
    </row>
    <row r="169">
      <c r="F169" s="370"/>
    </row>
    <row r="170">
      <c r="F170" s="370"/>
    </row>
    <row r="171">
      <c r="F171" s="370"/>
    </row>
    <row r="172">
      <c r="F172" s="370"/>
    </row>
    <row r="173">
      <c r="F173" s="370"/>
    </row>
    <row r="174">
      <c r="F174" s="370"/>
    </row>
    <row r="175">
      <c r="F175" s="370"/>
    </row>
    <row r="176">
      <c r="F176" s="370"/>
    </row>
    <row r="177">
      <c r="F177" s="370"/>
    </row>
    <row r="178">
      <c r="F178" s="370"/>
    </row>
    <row r="179">
      <c r="F179" s="370"/>
    </row>
    <row r="180">
      <c r="F180" s="370"/>
    </row>
    <row r="181">
      <c r="F181" s="370"/>
    </row>
    <row r="182">
      <c r="F182" s="370"/>
    </row>
    <row r="183">
      <c r="F183" s="370"/>
    </row>
    <row r="184">
      <c r="F184" s="370"/>
    </row>
    <row r="185">
      <c r="F185" s="370"/>
    </row>
    <row r="186">
      <c r="F186" s="370"/>
    </row>
    <row r="187">
      <c r="F187" s="370"/>
    </row>
    <row r="188">
      <c r="F188" s="370"/>
    </row>
    <row r="189">
      <c r="F189" s="370"/>
    </row>
    <row r="190">
      <c r="F190" s="370"/>
    </row>
    <row r="191">
      <c r="F191" s="370"/>
    </row>
    <row r="192">
      <c r="F192" s="370"/>
    </row>
    <row r="193">
      <c r="F193" s="370"/>
    </row>
    <row r="194">
      <c r="F194" s="370"/>
    </row>
    <row r="195">
      <c r="F195" s="370"/>
    </row>
    <row r="196">
      <c r="F196" s="370"/>
    </row>
    <row r="197">
      <c r="F197" s="370"/>
    </row>
    <row r="198">
      <c r="F198" s="370"/>
    </row>
    <row r="199">
      <c r="F199" s="370"/>
    </row>
    <row r="200">
      <c r="F200" s="370"/>
    </row>
    <row r="201">
      <c r="F201" s="370"/>
    </row>
    <row r="202">
      <c r="F202" s="370"/>
    </row>
    <row r="203">
      <c r="F203" s="370"/>
    </row>
    <row r="204">
      <c r="F204" s="370"/>
    </row>
    <row r="205">
      <c r="F205" s="370"/>
    </row>
    <row r="206">
      <c r="F206" s="370"/>
    </row>
    <row r="207">
      <c r="F207" s="370"/>
    </row>
    <row r="208">
      <c r="F208" s="370"/>
    </row>
    <row r="209">
      <c r="F209" s="370"/>
    </row>
    <row r="210">
      <c r="F210" s="370"/>
    </row>
    <row r="211">
      <c r="F211" s="370"/>
    </row>
    <row r="212">
      <c r="F212" s="370"/>
    </row>
    <row r="213">
      <c r="F213" s="370"/>
    </row>
    <row r="214">
      <c r="F214" s="370"/>
    </row>
    <row r="215">
      <c r="F215" s="370"/>
    </row>
    <row r="216">
      <c r="F216" s="370"/>
    </row>
    <row r="217">
      <c r="F217" s="370"/>
    </row>
    <row r="218">
      <c r="F218" s="370"/>
    </row>
    <row r="219">
      <c r="F219" s="370"/>
    </row>
    <row r="220">
      <c r="F220" s="370"/>
    </row>
    <row r="221">
      <c r="F221" s="370"/>
    </row>
    <row r="222">
      <c r="F222" s="370"/>
    </row>
    <row r="223">
      <c r="F223" s="370"/>
    </row>
    <row r="224">
      <c r="F224" s="370"/>
    </row>
    <row r="225">
      <c r="F225" s="370"/>
    </row>
    <row r="226">
      <c r="F226" s="370"/>
    </row>
    <row r="227">
      <c r="F227" s="370"/>
    </row>
    <row r="228">
      <c r="F228" s="370"/>
    </row>
    <row r="229">
      <c r="F229" s="370"/>
    </row>
    <row r="230">
      <c r="F230" s="370"/>
    </row>
    <row r="231">
      <c r="F231" s="370"/>
    </row>
    <row r="232">
      <c r="F232" s="370"/>
    </row>
    <row r="233">
      <c r="F233" s="370"/>
    </row>
    <row r="234">
      <c r="F234" s="370"/>
    </row>
    <row r="235">
      <c r="F235" s="370"/>
    </row>
    <row r="236">
      <c r="F236" s="370"/>
    </row>
    <row r="237">
      <c r="F237" s="370"/>
    </row>
    <row r="238">
      <c r="F238" s="370"/>
    </row>
    <row r="239">
      <c r="F239" s="370"/>
    </row>
    <row r="240">
      <c r="F240" s="370"/>
    </row>
    <row r="241">
      <c r="F241" s="370"/>
    </row>
    <row r="242">
      <c r="F242" s="370"/>
    </row>
    <row r="243">
      <c r="F243" s="370"/>
    </row>
    <row r="244">
      <c r="F244" s="370"/>
    </row>
    <row r="245">
      <c r="F245" s="370"/>
    </row>
    <row r="246">
      <c r="F246" s="370"/>
    </row>
    <row r="247">
      <c r="F247" s="370"/>
    </row>
    <row r="248">
      <c r="F248" s="370"/>
    </row>
    <row r="249">
      <c r="F249" s="370"/>
    </row>
    <row r="250">
      <c r="F250" s="370"/>
    </row>
    <row r="251">
      <c r="F251" s="370"/>
    </row>
    <row r="252">
      <c r="F252" s="370"/>
    </row>
    <row r="253">
      <c r="F253" s="370"/>
    </row>
    <row r="254">
      <c r="F254" s="370"/>
    </row>
    <row r="255">
      <c r="F255" s="370"/>
    </row>
    <row r="256">
      <c r="F256" s="370"/>
    </row>
    <row r="257">
      <c r="F257" s="370"/>
    </row>
    <row r="258">
      <c r="F258" s="370"/>
    </row>
    <row r="259">
      <c r="F259" s="370"/>
    </row>
    <row r="260">
      <c r="F260" s="370"/>
    </row>
    <row r="261">
      <c r="F261" s="370"/>
    </row>
    <row r="262">
      <c r="F262" s="370"/>
    </row>
    <row r="263">
      <c r="F263" s="370"/>
    </row>
    <row r="264">
      <c r="F264" s="370"/>
    </row>
    <row r="265">
      <c r="F265" s="370"/>
    </row>
    <row r="266">
      <c r="F266" s="370"/>
    </row>
    <row r="267">
      <c r="F267" s="370"/>
    </row>
    <row r="268">
      <c r="F268" s="370"/>
    </row>
    <row r="269">
      <c r="F269" s="370"/>
    </row>
    <row r="270">
      <c r="F270" s="370"/>
    </row>
    <row r="271">
      <c r="F271" s="370"/>
    </row>
    <row r="272">
      <c r="F272" s="370"/>
    </row>
    <row r="273">
      <c r="F273" s="370"/>
    </row>
    <row r="274">
      <c r="F274" s="370"/>
    </row>
    <row r="275">
      <c r="F275" s="370"/>
    </row>
    <row r="276">
      <c r="F276" s="370"/>
    </row>
    <row r="277">
      <c r="F277" s="370"/>
    </row>
    <row r="278">
      <c r="F278" s="370"/>
    </row>
    <row r="279">
      <c r="F279" s="370"/>
    </row>
    <row r="280">
      <c r="F280" s="370"/>
    </row>
    <row r="281">
      <c r="F281" s="370"/>
    </row>
    <row r="282">
      <c r="F282" s="370"/>
    </row>
    <row r="283">
      <c r="F283" s="370"/>
    </row>
    <row r="284">
      <c r="F284" s="370"/>
    </row>
    <row r="285">
      <c r="F285" s="370"/>
    </row>
    <row r="286">
      <c r="F286" s="370"/>
    </row>
    <row r="287">
      <c r="F287" s="370"/>
    </row>
    <row r="288">
      <c r="F288" s="370"/>
    </row>
    <row r="289">
      <c r="F289" s="370"/>
    </row>
    <row r="290">
      <c r="F290" s="370"/>
    </row>
    <row r="291">
      <c r="F291" s="370"/>
    </row>
    <row r="292">
      <c r="F292" s="370"/>
    </row>
    <row r="293">
      <c r="F293" s="370"/>
    </row>
    <row r="294">
      <c r="F294" s="370"/>
    </row>
    <row r="295">
      <c r="F295" s="370"/>
    </row>
    <row r="296">
      <c r="F296" s="370"/>
    </row>
    <row r="297">
      <c r="F297" s="370"/>
    </row>
    <row r="298">
      <c r="F298" s="370"/>
    </row>
    <row r="299">
      <c r="F299" s="370"/>
    </row>
    <row r="300">
      <c r="F300" s="370"/>
    </row>
    <row r="301">
      <c r="F301" s="370"/>
    </row>
    <row r="302">
      <c r="F302" s="370"/>
    </row>
    <row r="303">
      <c r="F303" s="370"/>
    </row>
    <row r="304">
      <c r="F304" s="370"/>
    </row>
    <row r="305">
      <c r="F305" s="370"/>
    </row>
    <row r="306">
      <c r="F306" s="370"/>
    </row>
    <row r="307">
      <c r="F307" s="370"/>
    </row>
    <row r="308">
      <c r="F308" s="370"/>
    </row>
    <row r="309">
      <c r="F309" s="370"/>
    </row>
    <row r="310">
      <c r="F310" s="370"/>
    </row>
    <row r="311">
      <c r="F311" s="370"/>
    </row>
    <row r="312">
      <c r="F312" s="370"/>
    </row>
    <row r="313">
      <c r="F313" s="370"/>
    </row>
    <row r="314">
      <c r="F314" s="370"/>
    </row>
    <row r="315">
      <c r="F315" s="370"/>
    </row>
    <row r="316">
      <c r="F316" s="370"/>
    </row>
    <row r="317">
      <c r="F317" s="370"/>
    </row>
    <row r="318">
      <c r="F318" s="370"/>
    </row>
    <row r="319">
      <c r="F319" s="370"/>
    </row>
    <row r="320">
      <c r="F320" s="370"/>
    </row>
    <row r="321">
      <c r="F321" s="370"/>
    </row>
    <row r="322">
      <c r="F322" s="370"/>
    </row>
    <row r="323">
      <c r="F323" s="370"/>
    </row>
    <row r="324">
      <c r="F324" s="370"/>
    </row>
    <row r="325">
      <c r="F325" s="370"/>
    </row>
    <row r="326">
      <c r="F326" s="370"/>
    </row>
    <row r="327">
      <c r="F327" s="370"/>
    </row>
    <row r="328">
      <c r="F328" s="370"/>
    </row>
    <row r="329">
      <c r="F329" s="370"/>
    </row>
    <row r="330">
      <c r="F330" s="370"/>
    </row>
    <row r="331">
      <c r="F331" s="370"/>
    </row>
    <row r="332">
      <c r="F332" s="370"/>
    </row>
    <row r="333">
      <c r="F333" s="370"/>
    </row>
    <row r="334">
      <c r="F334" s="370"/>
    </row>
    <row r="335">
      <c r="F335" s="370"/>
    </row>
    <row r="336">
      <c r="F336" s="370"/>
    </row>
    <row r="337">
      <c r="F337" s="370"/>
    </row>
    <row r="338">
      <c r="F338" s="370"/>
    </row>
    <row r="339">
      <c r="F339" s="370"/>
    </row>
    <row r="340">
      <c r="F340" s="370"/>
    </row>
    <row r="341">
      <c r="F341" s="370"/>
    </row>
    <row r="342">
      <c r="F342" s="370"/>
    </row>
    <row r="343">
      <c r="F343" s="370"/>
    </row>
    <row r="344">
      <c r="F344" s="370"/>
    </row>
    <row r="345">
      <c r="F345" s="370"/>
    </row>
    <row r="346">
      <c r="F346" s="370"/>
    </row>
    <row r="347">
      <c r="F347" s="370"/>
    </row>
    <row r="348">
      <c r="F348" s="370"/>
    </row>
    <row r="349">
      <c r="F349" s="370"/>
    </row>
    <row r="350">
      <c r="F350" s="370"/>
    </row>
    <row r="351">
      <c r="F351" s="370"/>
    </row>
    <row r="352">
      <c r="F352" s="370"/>
    </row>
    <row r="353">
      <c r="F353" s="370"/>
    </row>
    <row r="354">
      <c r="F354" s="370"/>
    </row>
    <row r="355">
      <c r="F355" s="370"/>
    </row>
    <row r="356">
      <c r="F356" s="370"/>
    </row>
    <row r="357">
      <c r="F357" s="370"/>
    </row>
    <row r="358">
      <c r="F358" s="370"/>
    </row>
    <row r="359">
      <c r="F359" s="370"/>
    </row>
    <row r="360">
      <c r="F360" s="370"/>
    </row>
    <row r="361">
      <c r="F361" s="370"/>
    </row>
    <row r="362">
      <c r="F362" s="370"/>
    </row>
    <row r="363">
      <c r="F363" s="370"/>
    </row>
    <row r="364">
      <c r="F364" s="370"/>
    </row>
    <row r="365">
      <c r="F365" s="370"/>
    </row>
    <row r="366">
      <c r="F366" s="370"/>
    </row>
    <row r="367">
      <c r="F367" s="370"/>
    </row>
    <row r="368">
      <c r="F368" s="370"/>
    </row>
    <row r="369">
      <c r="F369" s="370"/>
    </row>
    <row r="370">
      <c r="F370" s="370"/>
    </row>
    <row r="371">
      <c r="F371" s="370"/>
    </row>
    <row r="372">
      <c r="F372" s="370"/>
    </row>
    <row r="373">
      <c r="F373" s="370"/>
    </row>
    <row r="374">
      <c r="F374" s="370"/>
    </row>
    <row r="375">
      <c r="F375" s="370"/>
    </row>
    <row r="376">
      <c r="F376" s="370"/>
    </row>
    <row r="377">
      <c r="F377" s="370"/>
    </row>
    <row r="378">
      <c r="F378" s="370"/>
    </row>
    <row r="379">
      <c r="F379" s="370"/>
    </row>
    <row r="380">
      <c r="F380" s="370"/>
    </row>
    <row r="381">
      <c r="F381" s="370"/>
    </row>
    <row r="382">
      <c r="F382" s="370"/>
    </row>
    <row r="383">
      <c r="F383" s="370"/>
    </row>
    <row r="384">
      <c r="F384" s="370"/>
    </row>
    <row r="385">
      <c r="F385" s="370"/>
    </row>
    <row r="386">
      <c r="F386" s="370"/>
    </row>
    <row r="387">
      <c r="F387" s="370"/>
    </row>
    <row r="388">
      <c r="F388" s="370"/>
    </row>
    <row r="389">
      <c r="F389" s="370"/>
    </row>
    <row r="390">
      <c r="F390" s="370"/>
    </row>
    <row r="391">
      <c r="F391" s="370"/>
    </row>
    <row r="392">
      <c r="F392" s="370"/>
    </row>
    <row r="393">
      <c r="F393" s="370"/>
    </row>
    <row r="394">
      <c r="F394" s="370"/>
    </row>
    <row r="395">
      <c r="F395" s="370"/>
    </row>
    <row r="396">
      <c r="F396" s="370"/>
    </row>
    <row r="397">
      <c r="F397" s="370"/>
    </row>
    <row r="398">
      <c r="F398" s="370"/>
    </row>
    <row r="399">
      <c r="F399" s="370"/>
    </row>
    <row r="400">
      <c r="F400" s="370"/>
    </row>
    <row r="401">
      <c r="F401" s="370"/>
    </row>
    <row r="402">
      <c r="F402" s="370"/>
    </row>
    <row r="403">
      <c r="F403" s="370"/>
    </row>
    <row r="404">
      <c r="F404" s="370"/>
    </row>
    <row r="405">
      <c r="F405" s="370"/>
    </row>
    <row r="406">
      <c r="F406" s="370"/>
    </row>
    <row r="407">
      <c r="F407" s="370"/>
    </row>
    <row r="408">
      <c r="F408" s="370"/>
    </row>
    <row r="409">
      <c r="F409" s="370"/>
    </row>
    <row r="410">
      <c r="F410" s="370"/>
    </row>
    <row r="411">
      <c r="F411" s="370"/>
    </row>
    <row r="412">
      <c r="F412" s="370"/>
    </row>
    <row r="413">
      <c r="F413" s="370"/>
    </row>
    <row r="414">
      <c r="F414" s="370"/>
    </row>
    <row r="415">
      <c r="F415" s="370"/>
    </row>
    <row r="416">
      <c r="F416" s="370"/>
    </row>
    <row r="417">
      <c r="F417" s="370"/>
    </row>
    <row r="418">
      <c r="F418" s="370"/>
    </row>
    <row r="419">
      <c r="F419" s="370"/>
    </row>
    <row r="420">
      <c r="F420" s="370"/>
    </row>
    <row r="421">
      <c r="F421" s="370"/>
    </row>
    <row r="422">
      <c r="F422" s="370"/>
    </row>
    <row r="423">
      <c r="F423" s="370"/>
    </row>
    <row r="424">
      <c r="F424" s="370"/>
    </row>
    <row r="425">
      <c r="F425" s="370"/>
    </row>
    <row r="426">
      <c r="F426" s="370"/>
    </row>
    <row r="427">
      <c r="F427" s="370"/>
    </row>
    <row r="428">
      <c r="F428" s="370"/>
    </row>
    <row r="429">
      <c r="F429" s="370"/>
    </row>
    <row r="430">
      <c r="F430" s="370"/>
    </row>
    <row r="431">
      <c r="F431" s="370"/>
    </row>
    <row r="432">
      <c r="F432" s="370"/>
    </row>
    <row r="433">
      <c r="F433" s="370"/>
    </row>
    <row r="434">
      <c r="F434" s="370"/>
    </row>
    <row r="435">
      <c r="F435" s="370"/>
    </row>
    <row r="436">
      <c r="F436" s="370"/>
    </row>
    <row r="437">
      <c r="F437" s="370"/>
    </row>
    <row r="438">
      <c r="F438" s="370"/>
    </row>
    <row r="439">
      <c r="F439" s="370"/>
    </row>
    <row r="440">
      <c r="F440" s="370"/>
    </row>
    <row r="441">
      <c r="F441" s="370"/>
    </row>
    <row r="442">
      <c r="F442" s="370"/>
    </row>
    <row r="443">
      <c r="F443" s="370"/>
    </row>
    <row r="444">
      <c r="F444" s="370"/>
    </row>
    <row r="445">
      <c r="F445" s="370"/>
    </row>
    <row r="446">
      <c r="F446" s="370"/>
    </row>
    <row r="447">
      <c r="F447" s="370"/>
    </row>
    <row r="448">
      <c r="F448" s="370"/>
    </row>
    <row r="449">
      <c r="F449" s="370"/>
    </row>
    <row r="450">
      <c r="F450" s="370"/>
    </row>
    <row r="451">
      <c r="F451" s="370"/>
    </row>
    <row r="452">
      <c r="F452" s="370"/>
    </row>
    <row r="453">
      <c r="F453" s="370"/>
    </row>
    <row r="454">
      <c r="F454" s="370"/>
    </row>
    <row r="455">
      <c r="F455" s="370"/>
    </row>
    <row r="456">
      <c r="F456" s="370"/>
    </row>
    <row r="457">
      <c r="F457" s="370"/>
    </row>
    <row r="458">
      <c r="F458" s="370"/>
    </row>
    <row r="459">
      <c r="F459" s="370"/>
    </row>
    <row r="460">
      <c r="F460" s="370"/>
    </row>
    <row r="461">
      <c r="F461" s="370"/>
    </row>
    <row r="462">
      <c r="F462" s="370"/>
    </row>
    <row r="463">
      <c r="F463" s="370"/>
    </row>
    <row r="464">
      <c r="F464" s="370"/>
    </row>
    <row r="465">
      <c r="F465" s="370"/>
    </row>
    <row r="466">
      <c r="F466" s="370"/>
    </row>
    <row r="467">
      <c r="F467" s="370"/>
    </row>
    <row r="468">
      <c r="F468" s="370"/>
    </row>
    <row r="469">
      <c r="F469" s="370"/>
    </row>
    <row r="470">
      <c r="F470" s="370"/>
    </row>
    <row r="471">
      <c r="F471" s="370"/>
    </row>
    <row r="472">
      <c r="F472" s="370"/>
    </row>
    <row r="473">
      <c r="F473" s="370"/>
    </row>
    <row r="474">
      <c r="F474" s="370"/>
    </row>
    <row r="475">
      <c r="F475" s="370"/>
    </row>
    <row r="476">
      <c r="F476" s="370"/>
    </row>
    <row r="477">
      <c r="F477" s="370"/>
    </row>
    <row r="478">
      <c r="F478" s="370"/>
    </row>
    <row r="479">
      <c r="F479" s="370"/>
    </row>
    <row r="480">
      <c r="F480" s="370"/>
    </row>
    <row r="481">
      <c r="F481" s="370"/>
    </row>
    <row r="482">
      <c r="F482" s="370"/>
    </row>
    <row r="483">
      <c r="F483" s="370"/>
    </row>
    <row r="484">
      <c r="F484" s="370"/>
    </row>
    <row r="485">
      <c r="F485" s="370"/>
    </row>
    <row r="486">
      <c r="F486" s="370"/>
    </row>
    <row r="487">
      <c r="F487" s="370"/>
    </row>
    <row r="488">
      <c r="F488" s="370"/>
    </row>
    <row r="489">
      <c r="F489" s="370"/>
    </row>
    <row r="490">
      <c r="F490" s="370"/>
    </row>
    <row r="491">
      <c r="F491" s="370"/>
    </row>
    <row r="492">
      <c r="F492" s="370"/>
    </row>
    <row r="493">
      <c r="F493" s="370"/>
    </row>
    <row r="494">
      <c r="F494" s="370"/>
    </row>
    <row r="495">
      <c r="F495" s="370"/>
    </row>
    <row r="496">
      <c r="F496" s="370"/>
    </row>
    <row r="497">
      <c r="F497" s="370"/>
    </row>
    <row r="498">
      <c r="F498" s="370"/>
    </row>
    <row r="499">
      <c r="F499" s="370"/>
    </row>
    <row r="500">
      <c r="F500" s="370"/>
    </row>
    <row r="501">
      <c r="F501" s="370"/>
    </row>
    <row r="502">
      <c r="F502" s="370"/>
    </row>
    <row r="503">
      <c r="F503" s="370"/>
    </row>
    <row r="504">
      <c r="F504" s="370"/>
    </row>
    <row r="505">
      <c r="F505" s="370"/>
    </row>
    <row r="506">
      <c r="F506" s="370"/>
    </row>
    <row r="507">
      <c r="F507" s="370"/>
    </row>
    <row r="508">
      <c r="F508" s="370"/>
    </row>
    <row r="509">
      <c r="F509" s="370"/>
    </row>
    <row r="510">
      <c r="F510" s="370"/>
    </row>
    <row r="511">
      <c r="F511" s="370"/>
    </row>
    <row r="512">
      <c r="F512" s="370"/>
    </row>
    <row r="513">
      <c r="F513" s="370"/>
    </row>
    <row r="514">
      <c r="F514" s="370"/>
    </row>
    <row r="515">
      <c r="F515" s="370"/>
    </row>
    <row r="516">
      <c r="F516" s="370"/>
    </row>
    <row r="517">
      <c r="F517" s="370"/>
    </row>
    <row r="518">
      <c r="F518" s="370"/>
    </row>
    <row r="519">
      <c r="F519" s="370"/>
    </row>
    <row r="520">
      <c r="F520" s="370"/>
    </row>
    <row r="521">
      <c r="F521" s="370"/>
    </row>
    <row r="522">
      <c r="F522" s="370"/>
    </row>
    <row r="523">
      <c r="F523" s="370"/>
    </row>
    <row r="524">
      <c r="F524" s="370"/>
    </row>
    <row r="525">
      <c r="F525" s="370"/>
    </row>
    <row r="526">
      <c r="F526" s="370"/>
    </row>
    <row r="527">
      <c r="F527" s="370"/>
    </row>
    <row r="528">
      <c r="F528" s="370"/>
    </row>
    <row r="529">
      <c r="F529" s="370"/>
    </row>
    <row r="530">
      <c r="F530" s="370"/>
    </row>
    <row r="531">
      <c r="F531" s="370"/>
    </row>
    <row r="532">
      <c r="F532" s="370"/>
    </row>
    <row r="533">
      <c r="F533" s="370"/>
    </row>
    <row r="534">
      <c r="F534" s="370"/>
    </row>
    <row r="535">
      <c r="F535" s="370"/>
    </row>
    <row r="536">
      <c r="F536" s="370"/>
    </row>
    <row r="537">
      <c r="F537" s="370"/>
    </row>
    <row r="538">
      <c r="F538" s="370"/>
    </row>
    <row r="539">
      <c r="F539" s="370"/>
    </row>
    <row r="540">
      <c r="F540" s="370"/>
    </row>
    <row r="541">
      <c r="F541" s="370"/>
    </row>
    <row r="542">
      <c r="F542" s="370"/>
    </row>
    <row r="543">
      <c r="F543" s="370"/>
    </row>
    <row r="544">
      <c r="F544" s="370"/>
    </row>
    <row r="545">
      <c r="F545" s="370"/>
    </row>
    <row r="546">
      <c r="F546" s="370"/>
    </row>
    <row r="547">
      <c r="F547" s="370"/>
    </row>
    <row r="548">
      <c r="F548" s="370"/>
    </row>
    <row r="549">
      <c r="F549" s="370"/>
    </row>
    <row r="550">
      <c r="F550" s="370"/>
    </row>
    <row r="551">
      <c r="F551" s="370"/>
    </row>
    <row r="552">
      <c r="F552" s="370"/>
    </row>
    <row r="553">
      <c r="F553" s="370"/>
    </row>
    <row r="554">
      <c r="F554" s="370"/>
    </row>
    <row r="555">
      <c r="F555" s="370"/>
    </row>
    <row r="556">
      <c r="F556" s="370"/>
    </row>
    <row r="557">
      <c r="F557" s="370"/>
    </row>
    <row r="558">
      <c r="F558" s="370"/>
    </row>
    <row r="559">
      <c r="F559" s="370"/>
    </row>
    <row r="560">
      <c r="F560" s="370"/>
    </row>
    <row r="561">
      <c r="F561" s="370"/>
    </row>
    <row r="562">
      <c r="F562" s="370"/>
    </row>
    <row r="563">
      <c r="F563" s="370"/>
    </row>
    <row r="564">
      <c r="F564" s="370"/>
    </row>
    <row r="565">
      <c r="F565" s="370"/>
    </row>
    <row r="566">
      <c r="F566" s="370"/>
    </row>
    <row r="567">
      <c r="F567" s="370"/>
    </row>
    <row r="568">
      <c r="F568" s="370"/>
    </row>
    <row r="569">
      <c r="F569" s="370"/>
    </row>
    <row r="570">
      <c r="F570" s="370"/>
    </row>
    <row r="571">
      <c r="F571" s="370"/>
    </row>
    <row r="572">
      <c r="F572" s="370"/>
    </row>
    <row r="573">
      <c r="F573" s="370"/>
    </row>
    <row r="574">
      <c r="F574" s="370"/>
    </row>
    <row r="575">
      <c r="F575" s="370"/>
    </row>
    <row r="576">
      <c r="F576" s="370"/>
    </row>
    <row r="577">
      <c r="F577" s="370"/>
    </row>
    <row r="578">
      <c r="F578" s="370"/>
    </row>
    <row r="579">
      <c r="F579" s="370"/>
    </row>
    <row r="580">
      <c r="F580" s="370"/>
    </row>
    <row r="581">
      <c r="F581" s="370"/>
    </row>
    <row r="582">
      <c r="F582" s="370"/>
    </row>
    <row r="583">
      <c r="F583" s="370"/>
    </row>
    <row r="584">
      <c r="F584" s="370"/>
    </row>
    <row r="585">
      <c r="F585" s="370"/>
    </row>
    <row r="586">
      <c r="F586" s="370"/>
    </row>
    <row r="587">
      <c r="F587" s="370"/>
    </row>
    <row r="588">
      <c r="F588" s="370"/>
    </row>
    <row r="589">
      <c r="F589" s="370"/>
    </row>
    <row r="590">
      <c r="F590" s="370"/>
    </row>
    <row r="591">
      <c r="F591" s="370"/>
    </row>
    <row r="592">
      <c r="F592" s="370"/>
    </row>
    <row r="593">
      <c r="F593" s="370"/>
    </row>
    <row r="594">
      <c r="F594" s="370"/>
    </row>
    <row r="595">
      <c r="F595" s="370"/>
    </row>
    <row r="596">
      <c r="F596" s="370"/>
    </row>
    <row r="597">
      <c r="F597" s="370"/>
    </row>
    <row r="598">
      <c r="F598" s="370"/>
    </row>
    <row r="599">
      <c r="F599" s="370"/>
    </row>
    <row r="600">
      <c r="F600" s="370"/>
    </row>
    <row r="601">
      <c r="F601" s="370"/>
    </row>
    <row r="602">
      <c r="F602" s="370"/>
    </row>
    <row r="603">
      <c r="F603" s="370"/>
    </row>
    <row r="604">
      <c r="F604" s="370"/>
    </row>
    <row r="605">
      <c r="F605" s="370"/>
    </row>
    <row r="606">
      <c r="F606" s="370"/>
    </row>
    <row r="607">
      <c r="F607" s="370"/>
    </row>
    <row r="608">
      <c r="F608" s="370"/>
    </row>
    <row r="609">
      <c r="F609" s="370"/>
    </row>
    <row r="610">
      <c r="F610" s="370"/>
    </row>
    <row r="611">
      <c r="F611" s="370"/>
    </row>
    <row r="612">
      <c r="F612" s="370"/>
    </row>
    <row r="613">
      <c r="F613" s="370"/>
    </row>
    <row r="614">
      <c r="F614" s="370"/>
    </row>
    <row r="615">
      <c r="F615" s="370"/>
    </row>
    <row r="616">
      <c r="F616" s="370"/>
    </row>
    <row r="617">
      <c r="F617" s="370"/>
    </row>
    <row r="618">
      <c r="F618" s="370"/>
    </row>
    <row r="619">
      <c r="F619" s="370"/>
    </row>
    <row r="620">
      <c r="F620" s="370"/>
    </row>
    <row r="621">
      <c r="F621" s="370"/>
    </row>
    <row r="622">
      <c r="F622" s="370"/>
    </row>
    <row r="623">
      <c r="F623" s="370"/>
    </row>
    <row r="624">
      <c r="F624" s="370"/>
    </row>
    <row r="625">
      <c r="F625" s="370"/>
    </row>
    <row r="626">
      <c r="F626" s="370"/>
    </row>
    <row r="627">
      <c r="F627" s="370"/>
    </row>
    <row r="628">
      <c r="F628" s="370"/>
    </row>
    <row r="629">
      <c r="F629" s="370"/>
    </row>
    <row r="630">
      <c r="F630" s="370"/>
    </row>
    <row r="631">
      <c r="F631" s="370"/>
    </row>
    <row r="632">
      <c r="F632" s="370"/>
    </row>
    <row r="633">
      <c r="F633" s="370"/>
    </row>
    <row r="634">
      <c r="F634" s="370"/>
    </row>
    <row r="635">
      <c r="F635" s="370"/>
    </row>
    <row r="636">
      <c r="F636" s="370"/>
    </row>
    <row r="637">
      <c r="F637" s="370"/>
    </row>
    <row r="638">
      <c r="F638" s="370"/>
    </row>
    <row r="639">
      <c r="F639" s="370"/>
    </row>
    <row r="640">
      <c r="F640" s="370"/>
    </row>
    <row r="641">
      <c r="F641" s="370"/>
    </row>
    <row r="642">
      <c r="F642" s="370"/>
    </row>
    <row r="643">
      <c r="F643" s="370"/>
    </row>
    <row r="644">
      <c r="F644" s="370"/>
    </row>
    <row r="645">
      <c r="F645" s="370"/>
    </row>
    <row r="646">
      <c r="F646" s="370"/>
    </row>
    <row r="647">
      <c r="F647" s="370"/>
    </row>
    <row r="648">
      <c r="F648" s="370"/>
    </row>
    <row r="649">
      <c r="F649" s="370"/>
    </row>
    <row r="650">
      <c r="F650" s="370"/>
    </row>
    <row r="651">
      <c r="F651" s="370"/>
    </row>
    <row r="652">
      <c r="F652" s="370"/>
    </row>
    <row r="653">
      <c r="F653" s="370"/>
    </row>
    <row r="654">
      <c r="F654" s="370"/>
    </row>
    <row r="655">
      <c r="F655" s="370"/>
    </row>
    <row r="656">
      <c r="F656" s="370"/>
    </row>
    <row r="657">
      <c r="F657" s="370"/>
    </row>
    <row r="658">
      <c r="F658" s="370"/>
    </row>
    <row r="659">
      <c r="F659" s="370"/>
    </row>
    <row r="660">
      <c r="F660" s="370"/>
    </row>
    <row r="661">
      <c r="F661" s="370"/>
    </row>
    <row r="662">
      <c r="F662" s="370"/>
    </row>
    <row r="663">
      <c r="F663" s="370"/>
    </row>
    <row r="664">
      <c r="F664" s="370"/>
    </row>
    <row r="665">
      <c r="F665" s="370"/>
    </row>
    <row r="666">
      <c r="F666" s="370"/>
    </row>
    <row r="667">
      <c r="F667" s="370"/>
    </row>
    <row r="668">
      <c r="F668" s="370"/>
    </row>
    <row r="669">
      <c r="F669" s="370"/>
    </row>
    <row r="670">
      <c r="F670" s="370"/>
    </row>
    <row r="671">
      <c r="F671" s="370"/>
    </row>
    <row r="672">
      <c r="F672" s="370"/>
    </row>
    <row r="673">
      <c r="F673" s="370"/>
    </row>
    <row r="674">
      <c r="F674" s="370"/>
    </row>
    <row r="675">
      <c r="F675" s="370"/>
    </row>
    <row r="676">
      <c r="F676" s="370"/>
    </row>
    <row r="677">
      <c r="F677" s="370"/>
    </row>
    <row r="678">
      <c r="F678" s="370"/>
    </row>
    <row r="679">
      <c r="F679" s="370"/>
    </row>
    <row r="680">
      <c r="F680" s="370"/>
    </row>
    <row r="681">
      <c r="F681" s="370"/>
    </row>
    <row r="682">
      <c r="F682" s="370"/>
    </row>
    <row r="683">
      <c r="F683" s="370"/>
    </row>
    <row r="684">
      <c r="F684" s="370"/>
    </row>
    <row r="685">
      <c r="F685" s="370"/>
    </row>
    <row r="686">
      <c r="F686" s="370"/>
    </row>
    <row r="687">
      <c r="F687" s="370"/>
    </row>
    <row r="688">
      <c r="F688" s="370"/>
    </row>
    <row r="689">
      <c r="F689" s="370"/>
    </row>
    <row r="690">
      <c r="F690" s="370"/>
    </row>
    <row r="691">
      <c r="F691" s="370"/>
    </row>
    <row r="692">
      <c r="F692" s="370"/>
    </row>
    <row r="693">
      <c r="F693" s="370"/>
    </row>
    <row r="694">
      <c r="F694" s="370"/>
    </row>
    <row r="695">
      <c r="F695" s="370"/>
    </row>
    <row r="696">
      <c r="F696" s="370"/>
    </row>
    <row r="697">
      <c r="F697" s="370"/>
    </row>
    <row r="698">
      <c r="F698" s="370"/>
    </row>
    <row r="699">
      <c r="F699" s="370"/>
    </row>
    <row r="700">
      <c r="F700" s="370"/>
    </row>
    <row r="701">
      <c r="F701" s="370"/>
    </row>
    <row r="702">
      <c r="F702" s="370"/>
    </row>
    <row r="703">
      <c r="F703" s="370"/>
    </row>
    <row r="704">
      <c r="F704" s="370"/>
    </row>
    <row r="705">
      <c r="F705" s="370"/>
    </row>
    <row r="706">
      <c r="F706" s="370"/>
    </row>
    <row r="707">
      <c r="F707" s="370"/>
    </row>
    <row r="708">
      <c r="F708" s="370"/>
    </row>
    <row r="709">
      <c r="F709" s="370"/>
    </row>
    <row r="710">
      <c r="F710" s="370"/>
    </row>
    <row r="711">
      <c r="F711" s="370"/>
    </row>
    <row r="712">
      <c r="F712" s="370"/>
    </row>
    <row r="713">
      <c r="F713" s="370"/>
    </row>
    <row r="714">
      <c r="F714" s="370"/>
    </row>
    <row r="715">
      <c r="F715" s="370"/>
    </row>
    <row r="716">
      <c r="F716" s="370"/>
    </row>
    <row r="717">
      <c r="F717" s="370"/>
    </row>
    <row r="718">
      <c r="F718" s="370"/>
    </row>
    <row r="719">
      <c r="F719" s="370"/>
    </row>
    <row r="720">
      <c r="F720" s="370"/>
    </row>
    <row r="721">
      <c r="F721" s="370"/>
    </row>
    <row r="722">
      <c r="F722" s="370"/>
    </row>
    <row r="723">
      <c r="F723" s="370"/>
    </row>
    <row r="724">
      <c r="F724" s="370"/>
    </row>
    <row r="725">
      <c r="F725" s="370"/>
    </row>
    <row r="726">
      <c r="F726" s="370"/>
    </row>
    <row r="727">
      <c r="F727" s="370"/>
    </row>
    <row r="728">
      <c r="F728" s="370"/>
    </row>
    <row r="729">
      <c r="F729" s="370"/>
    </row>
    <row r="730">
      <c r="F730" s="370"/>
    </row>
    <row r="731">
      <c r="F731" s="370"/>
    </row>
    <row r="732">
      <c r="F732" s="370"/>
    </row>
    <row r="733">
      <c r="F733" s="370"/>
    </row>
    <row r="734">
      <c r="F734" s="370"/>
    </row>
    <row r="735">
      <c r="F735" s="370"/>
    </row>
    <row r="736">
      <c r="F736" s="370"/>
    </row>
    <row r="737">
      <c r="F737" s="370"/>
    </row>
    <row r="738">
      <c r="F738" s="370"/>
    </row>
    <row r="739">
      <c r="F739" s="370"/>
    </row>
    <row r="740">
      <c r="F740" s="370"/>
    </row>
    <row r="741">
      <c r="F741" s="370"/>
    </row>
    <row r="742">
      <c r="F742" s="370"/>
    </row>
    <row r="743">
      <c r="F743" s="370"/>
    </row>
    <row r="744">
      <c r="F744" s="370"/>
    </row>
    <row r="745">
      <c r="F745" s="370"/>
    </row>
    <row r="746">
      <c r="F746" s="370"/>
    </row>
    <row r="747">
      <c r="F747" s="370"/>
    </row>
    <row r="748">
      <c r="F748" s="370"/>
    </row>
    <row r="749">
      <c r="F749" s="370"/>
    </row>
    <row r="750">
      <c r="F750" s="370"/>
    </row>
    <row r="751">
      <c r="F751" s="370"/>
    </row>
    <row r="752">
      <c r="F752" s="370"/>
    </row>
    <row r="753">
      <c r="F753" s="370"/>
    </row>
    <row r="754">
      <c r="F754" s="370"/>
    </row>
    <row r="755">
      <c r="F755" s="370"/>
    </row>
    <row r="756">
      <c r="F756" s="370"/>
    </row>
    <row r="757">
      <c r="F757" s="370"/>
    </row>
    <row r="758">
      <c r="F758" s="370"/>
    </row>
    <row r="759">
      <c r="F759" s="370"/>
    </row>
    <row r="760">
      <c r="F760" s="370"/>
    </row>
    <row r="761">
      <c r="F761" s="370"/>
    </row>
    <row r="762">
      <c r="F762" s="370"/>
    </row>
    <row r="763">
      <c r="F763" s="370"/>
    </row>
    <row r="764">
      <c r="F764" s="370"/>
    </row>
    <row r="765">
      <c r="F765" s="370"/>
    </row>
    <row r="766">
      <c r="F766" s="370"/>
    </row>
    <row r="767">
      <c r="F767" s="370"/>
    </row>
    <row r="768">
      <c r="F768" s="370"/>
    </row>
    <row r="769">
      <c r="F769" s="370"/>
    </row>
    <row r="770">
      <c r="F770" s="370"/>
    </row>
    <row r="771">
      <c r="F771" s="370"/>
    </row>
    <row r="772">
      <c r="F772" s="370"/>
    </row>
    <row r="773">
      <c r="F773" s="370"/>
    </row>
    <row r="774">
      <c r="F774" s="370"/>
    </row>
    <row r="775">
      <c r="F775" s="370"/>
    </row>
    <row r="776">
      <c r="F776" s="370"/>
    </row>
    <row r="777">
      <c r="F777" s="370"/>
    </row>
    <row r="778">
      <c r="F778" s="370"/>
    </row>
    <row r="779">
      <c r="F779" s="370"/>
    </row>
    <row r="780">
      <c r="F780" s="370"/>
    </row>
    <row r="781">
      <c r="F781" s="370"/>
    </row>
    <row r="782">
      <c r="F782" s="370"/>
    </row>
    <row r="783">
      <c r="F783" s="370"/>
    </row>
    <row r="784">
      <c r="F784" s="370"/>
    </row>
    <row r="785">
      <c r="F785" s="370"/>
    </row>
    <row r="786">
      <c r="F786" s="370"/>
    </row>
    <row r="787">
      <c r="F787" s="370"/>
    </row>
    <row r="788">
      <c r="F788" s="370"/>
    </row>
    <row r="789">
      <c r="F789" s="370"/>
    </row>
    <row r="790">
      <c r="F790" s="370"/>
    </row>
    <row r="791">
      <c r="F791" s="370"/>
    </row>
    <row r="792">
      <c r="F792" s="370"/>
    </row>
    <row r="793">
      <c r="F793" s="370"/>
    </row>
    <row r="794">
      <c r="F794" s="370"/>
    </row>
    <row r="795">
      <c r="F795" s="370"/>
    </row>
    <row r="796">
      <c r="F796" s="370"/>
    </row>
    <row r="797">
      <c r="F797" s="370"/>
    </row>
    <row r="798">
      <c r="F798" s="370"/>
    </row>
    <row r="799">
      <c r="F799" s="370"/>
    </row>
    <row r="800">
      <c r="F800" s="370"/>
    </row>
    <row r="801">
      <c r="F801" s="370"/>
    </row>
    <row r="802">
      <c r="F802" s="370"/>
    </row>
    <row r="803">
      <c r="F803" s="370"/>
    </row>
    <row r="804">
      <c r="F804" s="370"/>
    </row>
    <row r="805">
      <c r="F805" s="370"/>
    </row>
    <row r="806">
      <c r="F806" s="370"/>
    </row>
    <row r="807">
      <c r="F807" s="370"/>
    </row>
    <row r="808">
      <c r="F808" s="370"/>
    </row>
    <row r="809">
      <c r="F809" s="370"/>
    </row>
    <row r="810">
      <c r="F810" s="370"/>
    </row>
    <row r="811">
      <c r="F811" s="370"/>
    </row>
    <row r="812">
      <c r="F812" s="370"/>
    </row>
    <row r="813">
      <c r="F813" s="370"/>
    </row>
    <row r="814">
      <c r="F814" s="370"/>
    </row>
    <row r="815">
      <c r="F815" s="370"/>
    </row>
    <row r="816">
      <c r="F816" s="370"/>
    </row>
    <row r="817">
      <c r="F817" s="370"/>
    </row>
    <row r="818">
      <c r="F818" s="370"/>
    </row>
    <row r="819">
      <c r="F819" s="370"/>
    </row>
    <row r="820">
      <c r="F820" s="370"/>
    </row>
    <row r="821">
      <c r="F821" s="370"/>
    </row>
    <row r="822">
      <c r="F822" s="370"/>
    </row>
    <row r="823">
      <c r="F823" s="370"/>
    </row>
    <row r="824">
      <c r="F824" s="370"/>
    </row>
    <row r="825">
      <c r="F825" s="370"/>
    </row>
    <row r="826">
      <c r="F826" s="370"/>
    </row>
    <row r="827">
      <c r="F827" s="370"/>
    </row>
    <row r="828">
      <c r="F828" s="370"/>
    </row>
    <row r="829">
      <c r="F829" s="370"/>
    </row>
    <row r="830">
      <c r="F830" s="370"/>
    </row>
    <row r="831">
      <c r="F831" s="370"/>
    </row>
    <row r="832">
      <c r="F832" s="370"/>
    </row>
    <row r="833">
      <c r="F833" s="370"/>
    </row>
    <row r="834">
      <c r="F834" s="370"/>
    </row>
    <row r="835">
      <c r="F835" s="370"/>
    </row>
    <row r="836">
      <c r="F836" s="370"/>
    </row>
    <row r="837">
      <c r="F837" s="370"/>
    </row>
    <row r="838">
      <c r="F838" s="370"/>
    </row>
    <row r="839">
      <c r="F839" s="370"/>
    </row>
    <row r="840">
      <c r="F840" s="370"/>
    </row>
    <row r="841">
      <c r="F841" s="370"/>
    </row>
    <row r="842">
      <c r="F842" s="370"/>
    </row>
    <row r="843">
      <c r="F843" s="370"/>
    </row>
    <row r="844">
      <c r="F844" s="370"/>
    </row>
    <row r="845">
      <c r="F845" s="370"/>
    </row>
    <row r="846">
      <c r="F846" s="370"/>
    </row>
    <row r="847">
      <c r="F847" s="370"/>
    </row>
    <row r="848">
      <c r="F848" s="370"/>
    </row>
    <row r="849">
      <c r="F849" s="370"/>
    </row>
    <row r="850">
      <c r="F850" s="370"/>
    </row>
    <row r="851">
      <c r="F851" s="370"/>
    </row>
    <row r="852">
      <c r="F852" s="370"/>
    </row>
    <row r="853">
      <c r="F853" s="370"/>
    </row>
    <row r="854">
      <c r="F854" s="370"/>
    </row>
    <row r="855">
      <c r="F855" s="370"/>
    </row>
    <row r="856">
      <c r="F856" s="370"/>
    </row>
    <row r="857">
      <c r="F857" s="370"/>
    </row>
    <row r="858">
      <c r="F858" s="370"/>
    </row>
    <row r="859">
      <c r="F859" s="370"/>
    </row>
    <row r="860">
      <c r="F860" s="370"/>
    </row>
    <row r="861">
      <c r="F861" s="370"/>
    </row>
    <row r="862">
      <c r="F862" s="370"/>
    </row>
    <row r="863">
      <c r="F863" s="370"/>
    </row>
    <row r="864">
      <c r="F864" s="370"/>
    </row>
    <row r="865">
      <c r="F865" s="370"/>
    </row>
    <row r="866">
      <c r="F866" s="370"/>
    </row>
    <row r="867">
      <c r="F867" s="370"/>
    </row>
    <row r="868">
      <c r="F868" s="370"/>
    </row>
    <row r="869">
      <c r="F869" s="370"/>
    </row>
    <row r="870">
      <c r="F870" s="370"/>
    </row>
    <row r="871">
      <c r="F871" s="370"/>
    </row>
    <row r="872">
      <c r="F872" s="370"/>
    </row>
    <row r="873">
      <c r="F873" s="370"/>
    </row>
    <row r="874">
      <c r="F874" s="370"/>
    </row>
    <row r="875">
      <c r="F875" s="370"/>
    </row>
    <row r="876">
      <c r="F876" s="370"/>
    </row>
    <row r="877">
      <c r="F877" s="370"/>
    </row>
    <row r="878">
      <c r="F878" s="370"/>
    </row>
    <row r="879">
      <c r="F879" s="370"/>
    </row>
    <row r="880">
      <c r="F880" s="370"/>
    </row>
    <row r="881">
      <c r="F881" s="370"/>
    </row>
    <row r="882">
      <c r="F882" s="370"/>
    </row>
    <row r="883">
      <c r="F883" s="370"/>
    </row>
    <row r="884">
      <c r="F884" s="370"/>
    </row>
    <row r="885">
      <c r="F885" s="370"/>
    </row>
    <row r="886">
      <c r="F886" s="370"/>
    </row>
    <row r="887">
      <c r="F887" s="370"/>
    </row>
    <row r="888">
      <c r="F888" s="370"/>
    </row>
    <row r="889">
      <c r="F889" s="370"/>
    </row>
    <row r="890">
      <c r="F890" s="370"/>
    </row>
    <row r="891">
      <c r="F891" s="370"/>
    </row>
    <row r="892">
      <c r="F892" s="370"/>
    </row>
    <row r="893">
      <c r="F893" s="370"/>
    </row>
    <row r="894">
      <c r="F894" s="370"/>
    </row>
    <row r="895">
      <c r="F895" s="370"/>
    </row>
    <row r="896">
      <c r="F896" s="370"/>
    </row>
    <row r="897">
      <c r="F897" s="370"/>
    </row>
    <row r="898">
      <c r="F898" s="370"/>
    </row>
    <row r="899">
      <c r="F899" s="370"/>
    </row>
    <row r="900">
      <c r="F900" s="370"/>
    </row>
    <row r="901">
      <c r="F901" s="370"/>
    </row>
    <row r="902">
      <c r="F902" s="370"/>
    </row>
    <row r="903">
      <c r="F903" s="370"/>
    </row>
    <row r="904">
      <c r="F904" s="370"/>
    </row>
    <row r="905">
      <c r="F905" s="370"/>
    </row>
    <row r="906">
      <c r="F906" s="370"/>
    </row>
    <row r="907">
      <c r="F907" s="370"/>
    </row>
    <row r="908">
      <c r="F908" s="370"/>
    </row>
    <row r="909">
      <c r="F909" s="370"/>
    </row>
    <row r="910">
      <c r="F910" s="370"/>
    </row>
    <row r="911">
      <c r="F911" s="370"/>
    </row>
    <row r="912">
      <c r="F912" s="370"/>
    </row>
    <row r="913">
      <c r="F913" s="370"/>
    </row>
    <row r="914">
      <c r="F914" s="370"/>
    </row>
    <row r="915">
      <c r="F915" s="370"/>
    </row>
    <row r="916">
      <c r="F916" s="370"/>
    </row>
    <row r="917">
      <c r="F917" s="370"/>
    </row>
    <row r="918">
      <c r="F918" s="370"/>
    </row>
    <row r="919">
      <c r="F919" s="370"/>
    </row>
    <row r="920">
      <c r="F920" s="370"/>
    </row>
    <row r="921">
      <c r="F921" s="370"/>
    </row>
    <row r="922">
      <c r="F922" s="370"/>
    </row>
    <row r="923">
      <c r="F923" s="370"/>
    </row>
    <row r="924">
      <c r="F924" s="370"/>
    </row>
    <row r="925">
      <c r="F925" s="370"/>
    </row>
    <row r="926">
      <c r="F926" s="370"/>
    </row>
    <row r="927">
      <c r="F927" s="370"/>
    </row>
    <row r="928">
      <c r="F928" s="370"/>
    </row>
    <row r="929">
      <c r="F929" s="370"/>
    </row>
    <row r="930">
      <c r="F930" s="370"/>
    </row>
    <row r="931">
      <c r="F931" s="370"/>
    </row>
    <row r="932">
      <c r="F932" s="370"/>
    </row>
    <row r="933">
      <c r="F933" s="370"/>
    </row>
    <row r="934">
      <c r="F934" s="370"/>
    </row>
    <row r="935">
      <c r="F935" s="370"/>
    </row>
    <row r="936">
      <c r="F936" s="370"/>
    </row>
    <row r="937">
      <c r="F937" s="370"/>
    </row>
    <row r="938">
      <c r="F938" s="370"/>
    </row>
    <row r="939">
      <c r="F939" s="370"/>
    </row>
    <row r="940">
      <c r="F940" s="370"/>
    </row>
    <row r="941">
      <c r="F941" s="370"/>
    </row>
    <row r="942">
      <c r="F942" s="370"/>
    </row>
    <row r="943">
      <c r="F943" s="370"/>
    </row>
    <row r="944">
      <c r="F944" s="370"/>
    </row>
    <row r="945">
      <c r="F945" s="370"/>
    </row>
    <row r="946">
      <c r="F946" s="370"/>
    </row>
    <row r="947">
      <c r="F947" s="370"/>
    </row>
    <row r="948">
      <c r="F948" s="370"/>
    </row>
    <row r="949">
      <c r="F949" s="370"/>
    </row>
    <row r="950">
      <c r="F950" s="370"/>
    </row>
    <row r="951">
      <c r="F951" s="370"/>
    </row>
    <row r="952">
      <c r="F952" s="370"/>
    </row>
    <row r="953">
      <c r="F953" s="370"/>
    </row>
    <row r="954">
      <c r="F954" s="370"/>
    </row>
    <row r="955">
      <c r="F955" s="370"/>
    </row>
    <row r="956">
      <c r="F956" s="370"/>
    </row>
    <row r="957">
      <c r="F957" s="370"/>
    </row>
    <row r="958">
      <c r="F958" s="370"/>
    </row>
    <row r="959">
      <c r="F959" s="370"/>
    </row>
    <row r="960">
      <c r="F960" s="370"/>
    </row>
    <row r="961">
      <c r="F961" s="370"/>
    </row>
    <row r="962">
      <c r="F962" s="370"/>
    </row>
    <row r="963">
      <c r="F963" s="370"/>
    </row>
    <row r="964">
      <c r="F964" s="370"/>
    </row>
    <row r="965">
      <c r="F965" s="370"/>
    </row>
    <row r="966">
      <c r="F966" s="370"/>
    </row>
    <row r="967">
      <c r="F967" s="370"/>
    </row>
    <row r="968">
      <c r="F968" s="370"/>
    </row>
    <row r="969">
      <c r="F969" s="370"/>
    </row>
    <row r="970">
      <c r="F970" s="370"/>
    </row>
    <row r="971">
      <c r="F971" s="370"/>
    </row>
    <row r="972">
      <c r="F972" s="370"/>
    </row>
    <row r="973">
      <c r="F973" s="370"/>
    </row>
    <row r="974">
      <c r="F974" s="370"/>
    </row>
    <row r="975">
      <c r="F975" s="370"/>
    </row>
    <row r="976">
      <c r="F976" s="370"/>
    </row>
    <row r="977">
      <c r="F977" s="370"/>
    </row>
    <row r="978">
      <c r="F978" s="370"/>
    </row>
    <row r="979">
      <c r="F979" s="370"/>
    </row>
    <row r="980">
      <c r="F980" s="370"/>
    </row>
    <row r="981">
      <c r="F981" s="370"/>
    </row>
    <row r="982">
      <c r="F982" s="370"/>
    </row>
    <row r="983">
      <c r="F983" s="370"/>
    </row>
    <row r="984">
      <c r="F984" s="370"/>
    </row>
    <row r="985">
      <c r="F985" s="370"/>
    </row>
    <row r="986">
      <c r="F986" s="370"/>
    </row>
    <row r="987">
      <c r="F987" s="370"/>
    </row>
    <row r="988">
      <c r="F988" s="370"/>
    </row>
    <row r="989">
      <c r="F989" s="370"/>
    </row>
    <row r="990">
      <c r="F990" s="370"/>
    </row>
    <row r="991">
      <c r="F991" s="370"/>
    </row>
    <row r="992">
      <c r="F992" s="370"/>
    </row>
    <row r="993">
      <c r="F993" s="370"/>
    </row>
    <row r="994">
      <c r="F994" s="370"/>
    </row>
    <row r="995">
      <c r="F995" s="370"/>
    </row>
    <row r="996">
      <c r="F996" s="370"/>
    </row>
    <row r="997">
      <c r="F997" s="370"/>
    </row>
    <row r="998">
      <c r="F998" s="370"/>
    </row>
    <row r="999">
      <c r="F999" s="370"/>
    </row>
    <row r="1000">
      <c r="F1000" s="370"/>
    </row>
    <row r="1001">
      <c r="F1001" s="370"/>
    </row>
    <row r="1002">
      <c r="F1002" s="370"/>
    </row>
    <row r="1003">
      <c r="F1003" s="370"/>
    </row>
    <row r="1004">
      <c r="F1004" s="370"/>
    </row>
    <row r="1005">
      <c r="F1005" s="370"/>
    </row>
    <row r="1006">
      <c r="F1006" s="370"/>
    </row>
    <row r="1007">
      <c r="F1007" s="370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4.25"/>
    <col customWidth="1" min="2" max="2" width="19.13"/>
    <col customWidth="1" min="3" max="9" width="12.5"/>
    <col customWidth="1" min="10" max="10" width="15.5"/>
    <col customWidth="1" min="11" max="11" width="6.75"/>
    <col customWidth="1" min="12" max="12" width="10.63"/>
    <col customWidth="1" min="13" max="13" width="6.38"/>
    <col customWidth="1" min="14" max="14" width="6.5"/>
    <col customWidth="1" min="15" max="15" width="11.13"/>
    <col customWidth="1" min="16" max="16" width="9.5"/>
    <col customWidth="1" min="17" max="17" width="7.63"/>
    <col customWidth="1" min="18" max="18" width="10.13"/>
    <col customWidth="1" min="19" max="19" width="11.88"/>
  </cols>
  <sheetData>
    <row r="1" ht="34.5" customHeight="1">
      <c r="A1" s="312" t="s">
        <v>704</v>
      </c>
      <c r="B1" s="515"/>
      <c r="C1" s="616"/>
      <c r="D1" s="616"/>
      <c r="E1" s="616"/>
      <c r="F1" s="616"/>
      <c r="G1" s="616"/>
      <c r="H1" s="616"/>
      <c r="I1" s="616"/>
      <c r="J1" s="616"/>
      <c r="L1" s="617"/>
      <c r="M1" s="617"/>
      <c r="N1" s="617"/>
      <c r="O1" s="617"/>
      <c r="P1" s="618"/>
      <c r="Q1" s="617"/>
      <c r="R1" s="618"/>
      <c r="S1" s="617"/>
    </row>
    <row r="2">
      <c r="A2" s="612"/>
      <c r="B2" s="619" t="s">
        <v>2834</v>
      </c>
      <c r="C2" s="620"/>
      <c r="D2" s="621" t="s">
        <v>3637</v>
      </c>
      <c r="E2" s="620" t="s">
        <v>3638</v>
      </c>
      <c r="F2" s="621" t="s">
        <v>3639</v>
      </c>
      <c r="G2" s="620" t="s">
        <v>3640</v>
      </c>
      <c r="H2" s="620" t="s">
        <v>3641</v>
      </c>
      <c r="I2" s="620" t="s">
        <v>3642</v>
      </c>
      <c r="J2" s="620" t="s">
        <v>3643</v>
      </c>
      <c r="K2" s="612"/>
      <c r="L2" s="622"/>
      <c r="M2" s="622"/>
      <c r="N2" s="622"/>
      <c r="O2" s="623"/>
      <c r="P2" s="623"/>
      <c r="Q2" s="622"/>
      <c r="R2" s="622"/>
      <c r="S2" s="622"/>
      <c r="T2" s="612"/>
      <c r="U2" s="612"/>
      <c r="V2" s="612"/>
      <c r="W2" s="612"/>
    </row>
    <row r="3" ht="32.25" customHeight="1">
      <c r="A3" s="612"/>
      <c r="B3" s="624" t="s">
        <v>3644</v>
      </c>
      <c r="C3" s="625"/>
      <c r="D3" s="625">
        <v>174240.0</v>
      </c>
      <c r="E3" s="625">
        <v>261360.0</v>
      </c>
      <c r="F3" s="626">
        <v>348500.0</v>
      </c>
      <c r="G3" s="625">
        <v>87120.0</v>
      </c>
      <c r="H3" s="625">
        <v>87120.0</v>
      </c>
      <c r="I3" s="625">
        <v>87120.0</v>
      </c>
      <c r="J3" s="625">
        <v>87120.0</v>
      </c>
      <c r="K3" s="612"/>
      <c r="L3" s="622"/>
      <c r="M3" s="622"/>
      <c r="N3" s="622"/>
      <c r="O3" s="622"/>
      <c r="P3" s="622"/>
      <c r="Q3" s="622"/>
      <c r="R3" s="622"/>
      <c r="S3" s="622"/>
      <c r="T3" s="612"/>
      <c r="U3" s="612"/>
      <c r="V3" s="612"/>
      <c r="W3" s="612"/>
    </row>
    <row r="4">
      <c r="A4" s="612"/>
      <c r="B4" s="624" t="s">
        <v>3645</v>
      </c>
      <c r="C4" s="625"/>
      <c r="D4" s="625">
        <v>144500.0</v>
      </c>
      <c r="E4" s="625">
        <v>226900.0</v>
      </c>
      <c r="F4" s="626">
        <v>309300.0</v>
      </c>
      <c r="G4" s="625">
        <v>82400.0</v>
      </c>
      <c r="H4" s="625">
        <v>82400.0</v>
      </c>
      <c r="I4" s="627"/>
      <c r="J4" s="627"/>
      <c r="K4" s="612"/>
      <c r="L4" s="622"/>
      <c r="M4" s="622"/>
      <c r="N4" s="622"/>
      <c r="O4" s="622"/>
      <c r="P4" s="622"/>
      <c r="Q4" s="622"/>
      <c r="R4" s="622"/>
      <c r="S4" s="622"/>
      <c r="T4" s="612"/>
      <c r="U4" s="612"/>
      <c r="V4" s="612"/>
      <c r="W4" s="612"/>
    </row>
    <row r="5" ht="22.5" customHeight="1">
      <c r="A5" s="612"/>
      <c r="B5" s="624" t="s">
        <v>3646</v>
      </c>
      <c r="C5" s="625"/>
      <c r="D5" s="625">
        <v>202373.0</v>
      </c>
      <c r="E5" s="628">
        <v>253470.0</v>
      </c>
      <c r="F5" s="629">
        <f>C5+C5+D5</f>
        <v>202373</v>
      </c>
      <c r="G5" s="625">
        <v>78750.0</v>
      </c>
      <c r="H5" s="625">
        <v>87900.0</v>
      </c>
      <c r="I5" s="625">
        <v>91630.0</v>
      </c>
      <c r="J5" s="627"/>
      <c r="K5" s="612"/>
      <c r="L5" s="622"/>
      <c r="M5" s="622"/>
      <c r="N5" s="622"/>
      <c r="O5" s="622"/>
      <c r="P5" s="622"/>
      <c r="Q5" s="622"/>
      <c r="R5" s="622"/>
      <c r="S5" s="622"/>
      <c r="T5" s="612"/>
      <c r="U5" s="612"/>
      <c r="V5" s="612"/>
      <c r="W5" s="612"/>
    </row>
    <row r="6" ht="22.5" customHeight="1">
      <c r="A6" s="612"/>
      <c r="B6" s="630" t="s">
        <v>3647</v>
      </c>
      <c r="C6" s="625"/>
      <c r="D6" s="625">
        <v>60000.0</v>
      </c>
      <c r="E6" s="625">
        <f>165000</f>
        <v>165000</v>
      </c>
      <c r="F6" s="626" t="s">
        <v>3082</v>
      </c>
      <c r="G6" s="625">
        <v>105000.0</v>
      </c>
      <c r="H6" s="625">
        <v>109000.0</v>
      </c>
      <c r="I6" s="627"/>
      <c r="J6" s="625">
        <v>101000.0</v>
      </c>
      <c r="K6" s="612"/>
      <c r="L6" s="622"/>
      <c r="M6" s="622"/>
      <c r="N6" s="622"/>
      <c r="O6" s="622"/>
      <c r="P6" s="622"/>
      <c r="Q6" s="622"/>
      <c r="R6" s="622"/>
      <c r="S6" s="622"/>
      <c r="T6" s="612"/>
      <c r="U6" s="612"/>
      <c r="V6" s="612"/>
      <c r="W6" s="612"/>
    </row>
    <row r="7">
      <c r="A7" s="612"/>
      <c r="B7" s="605"/>
      <c r="C7" s="604"/>
      <c r="D7" s="604"/>
      <c r="E7" s="604"/>
      <c r="F7" s="604"/>
      <c r="G7" s="604"/>
      <c r="H7" s="604"/>
      <c r="I7" s="604"/>
      <c r="J7" s="604"/>
      <c r="K7" s="612"/>
      <c r="L7" s="622"/>
      <c r="M7" s="622"/>
      <c r="N7" s="622"/>
      <c r="O7" s="622"/>
      <c r="P7" s="622"/>
      <c r="Q7" s="622"/>
      <c r="R7" s="622"/>
      <c r="S7" s="622"/>
      <c r="T7" s="612"/>
      <c r="U7" s="612"/>
      <c r="V7" s="612"/>
      <c r="W7" s="612"/>
    </row>
    <row r="8">
      <c r="A8" s="612"/>
      <c r="B8" s="624" t="s">
        <v>3648</v>
      </c>
      <c r="C8" s="625">
        <v>348480.0</v>
      </c>
      <c r="D8" s="604"/>
      <c r="E8" s="604"/>
      <c r="F8" s="604"/>
      <c r="G8" s="604"/>
      <c r="H8" s="604"/>
      <c r="I8" s="604"/>
      <c r="J8" s="604"/>
      <c r="K8" s="612"/>
      <c r="L8" s="622"/>
      <c r="M8" s="622"/>
      <c r="N8" s="622"/>
      <c r="O8" s="622"/>
      <c r="P8" s="622"/>
      <c r="Q8" s="622"/>
      <c r="R8" s="622"/>
      <c r="S8" s="622"/>
      <c r="T8" s="612"/>
      <c r="U8" s="612"/>
      <c r="V8" s="612"/>
      <c r="W8" s="612"/>
    </row>
    <row r="9">
      <c r="A9" s="612"/>
      <c r="B9" s="630" t="s">
        <v>3649</v>
      </c>
      <c r="C9" s="625">
        <v>223027.0</v>
      </c>
      <c r="D9" s="604"/>
      <c r="E9" s="604"/>
      <c r="F9" s="604"/>
      <c r="G9" s="604"/>
      <c r="H9" s="604"/>
      <c r="I9" s="604"/>
      <c r="J9" s="604"/>
      <c r="K9" s="612"/>
      <c r="L9" s="622"/>
      <c r="M9" s="622"/>
      <c r="N9" s="622"/>
      <c r="O9" s="622"/>
      <c r="P9" s="622"/>
      <c r="Q9" s="622"/>
      <c r="R9" s="622"/>
      <c r="S9" s="622"/>
      <c r="T9" s="612"/>
      <c r="U9" s="612"/>
      <c r="V9" s="612"/>
      <c r="W9" s="612"/>
    </row>
    <row r="10">
      <c r="A10" s="612"/>
      <c r="B10" s="630" t="s">
        <v>3650</v>
      </c>
      <c r="C10" s="625">
        <v>584900.0</v>
      </c>
      <c r="D10" s="604"/>
      <c r="E10" s="631" t="s">
        <v>3355</v>
      </c>
      <c r="F10" s="604"/>
      <c r="G10" s="604"/>
      <c r="H10" s="604"/>
      <c r="I10" s="604"/>
      <c r="J10" s="604"/>
      <c r="K10" s="612"/>
      <c r="L10" s="622"/>
      <c r="M10" s="622"/>
      <c r="N10" s="622"/>
      <c r="O10" s="622"/>
      <c r="P10" s="622"/>
      <c r="Q10" s="622"/>
      <c r="R10" s="622"/>
      <c r="S10" s="622"/>
      <c r="T10" s="612"/>
      <c r="U10" s="612"/>
      <c r="V10" s="612"/>
      <c r="W10" s="612"/>
    </row>
    <row r="11">
      <c r="A11" s="612"/>
      <c r="B11" s="624" t="s">
        <v>3651</v>
      </c>
      <c r="C11" s="625">
        <v>121879.0</v>
      </c>
      <c r="D11" s="604"/>
      <c r="E11" s="604"/>
      <c r="F11" s="604"/>
      <c r="G11" s="604"/>
      <c r="H11" s="604"/>
      <c r="I11" s="604"/>
      <c r="J11" s="604"/>
      <c r="K11" s="612"/>
      <c r="L11" s="622"/>
      <c r="M11" s="622"/>
      <c r="N11" s="622"/>
      <c r="O11" s="622"/>
      <c r="P11" s="622"/>
      <c r="Q11" s="622"/>
      <c r="R11" s="622"/>
      <c r="S11" s="622"/>
      <c r="T11" s="612"/>
      <c r="U11" s="612"/>
      <c r="V11" s="612"/>
      <c r="W11" s="612"/>
    </row>
    <row r="12">
      <c r="B12" s="371"/>
      <c r="C12" s="307"/>
      <c r="D12" s="307"/>
      <c r="E12" s="307"/>
      <c r="F12" s="307"/>
      <c r="G12" s="307"/>
      <c r="H12" s="307"/>
      <c r="I12" s="307"/>
      <c r="J12" s="307"/>
      <c r="L12" s="617"/>
      <c r="M12" s="617"/>
      <c r="N12" s="617"/>
      <c r="O12" s="617"/>
      <c r="P12" s="617"/>
      <c r="Q12" s="617"/>
      <c r="R12" s="617"/>
      <c r="S12" s="617"/>
    </row>
    <row r="13">
      <c r="B13" s="371"/>
      <c r="C13" s="307"/>
      <c r="D13" s="307"/>
      <c r="E13" s="307"/>
      <c r="F13" s="307"/>
      <c r="G13" s="604"/>
      <c r="H13" s="604"/>
      <c r="I13" s="604"/>
      <c r="J13" s="604"/>
      <c r="L13" s="617"/>
      <c r="M13" s="617"/>
      <c r="N13" s="617"/>
      <c r="O13" s="617"/>
      <c r="P13" s="617"/>
      <c r="Q13" s="617"/>
      <c r="R13" s="617"/>
      <c r="S13" s="617"/>
    </row>
    <row r="14">
      <c r="B14" s="371"/>
      <c r="C14" s="307"/>
      <c r="D14" s="307"/>
      <c r="E14" s="307"/>
      <c r="F14" s="307"/>
      <c r="G14" s="307"/>
      <c r="H14" s="307"/>
      <c r="I14" s="307"/>
      <c r="J14" s="307"/>
      <c r="L14" s="617"/>
      <c r="M14" s="617"/>
      <c r="N14" s="617"/>
      <c r="O14" s="617"/>
      <c r="P14" s="617"/>
      <c r="Q14" s="617"/>
      <c r="R14" s="617"/>
      <c r="S14" s="617"/>
    </row>
    <row r="15">
      <c r="B15" s="632" t="s">
        <v>2835</v>
      </c>
      <c r="C15" s="633"/>
      <c r="D15" s="633" t="s">
        <v>3652</v>
      </c>
      <c r="E15" s="633" t="s">
        <v>3638</v>
      </c>
      <c r="F15" s="633" t="s">
        <v>3639</v>
      </c>
      <c r="G15" s="633" t="s">
        <v>3640</v>
      </c>
      <c r="H15" s="633" t="s">
        <v>3641</v>
      </c>
      <c r="I15" s="633" t="s">
        <v>3642</v>
      </c>
      <c r="J15" s="633" t="s">
        <v>3643</v>
      </c>
      <c r="L15" s="634" t="s">
        <v>3653</v>
      </c>
      <c r="M15" s="635" t="s">
        <v>3640</v>
      </c>
      <c r="N15" s="635" t="s">
        <v>3652</v>
      </c>
      <c r="O15" s="635" t="s">
        <v>3638</v>
      </c>
      <c r="P15" s="635" t="s">
        <v>3639</v>
      </c>
      <c r="Q15" s="635" t="s">
        <v>3641</v>
      </c>
      <c r="R15" s="635" t="s">
        <v>3642</v>
      </c>
      <c r="S15" s="635" t="s">
        <v>3643</v>
      </c>
    </row>
    <row r="16" ht="29.25" customHeight="1">
      <c r="B16" s="633" t="s">
        <v>3644</v>
      </c>
      <c r="C16" s="460"/>
      <c r="D16" s="636">
        <v>160000.0</v>
      </c>
      <c r="E16" s="636">
        <v>280000.0</v>
      </c>
      <c r="F16" s="636">
        <v>380000.0</v>
      </c>
      <c r="G16" s="636">
        <v>120000.0</v>
      </c>
      <c r="H16" s="636">
        <v>120000.0</v>
      </c>
      <c r="I16" s="636">
        <v>120000.0</v>
      </c>
      <c r="J16" s="636">
        <v>120000.0</v>
      </c>
      <c r="L16" s="635" t="s">
        <v>3644</v>
      </c>
      <c r="M16" s="637"/>
      <c r="N16" s="637"/>
      <c r="O16" s="637"/>
      <c r="P16" s="637"/>
      <c r="Q16" s="637"/>
      <c r="R16" s="637"/>
      <c r="S16" s="637"/>
    </row>
    <row r="17" ht="29.25" customHeight="1">
      <c r="B17" s="633" t="s">
        <v>3645</v>
      </c>
      <c r="C17" s="460"/>
      <c r="D17" s="636">
        <v>210000.0</v>
      </c>
      <c r="E17" s="636">
        <v>290000.0</v>
      </c>
      <c r="F17" s="636">
        <v>390000.0</v>
      </c>
      <c r="G17" s="636">
        <v>120000.0</v>
      </c>
      <c r="H17" s="636">
        <v>120000.0</v>
      </c>
      <c r="I17" s="460" t="s">
        <v>3082</v>
      </c>
      <c r="J17" s="460" t="s">
        <v>3082</v>
      </c>
      <c r="L17" s="635" t="s">
        <v>3645</v>
      </c>
      <c r="M17" s="637"/>
      <c r="N17" s="637"/>
      <c r="O17" s="637"/>
      <c r="P17" s="637"/>
      <c r="Q17" s="637"/>
      <c r="R17" s="637"/>
      <c r="S17" s="637"/>
    </row>
    <row r="18" ht="29.25" customHeight="1">
      <c r="A18" s="312" t="s">
        <v>3654</v>
      </c>
      <c r="B18" s="633" t="s">
        <v>3646</v>
      </c>
      <c r="C18" s="460"/>
      <c r="D18" s="636">
        <v>266000.0</v>
      </c>
      <c r="E18" s="636">
        <v>352000.0</v>
      </c>
      <c r="F18" s="460"/>
      <c r="G18" s="636">
        <v>110000.0</v>
      </c>
      <c r="H18" s="636">
        <v>115000.0</v>
      </c>
      <c r="I18" s="636">
        <v>120000.0</v>
      </c>
      <c r="J18" s="460" t="s">
        <v>3082</v>
      </c>
      <c r="L18" s="635" t="s">
        <v>3646</v>
      </c>
      <c r="M18" s="637"/>
      <c r="N18" s="637"/>
      <c r="O18" s="638"/>
      <c r="P18" s="638"/>
      <c r="Q18" s="637"/>
      <c r="R18" s="637"/>
      <c r="S18" s="637"/>
    </row>
    <row r="19" ht="29.25" customHeight="1">
      <c r="B19" s="633" t="s">
        <v>3655</v>
      </c>
      <c r="C19" s="460"/>
      <c r="D19" s="636">
        <v>120000.0</v>
      </c>
      <c r="E19" s="636">
        <v>250000.0</v>
      </c>
      <c r="F19" s="460" t="s">
        <v>3082</v>
      </c>
      <c r="G19" s="636">
        <v>160000.0</v>
      </c>
      <c r="H19" s="636">
        <v>160000.0</v>
      </c>
      <c r="I19" s="460" t="s">
        <v>3082</v>
      </c>
      <c r="J19" s="636">
        <v>160000.0</v>
      </c>
      <c r="L19" s="635" t="s">
        <v>3655</v>
      </c>
      <c r="M19" s="637"/>
      <c r="N19" s="637"/>
      <c r="O19" s="637"/>
      <c r="P19" s="637"/>
      <c r="Q19" s="637"/>
      <c r="R19" s="637"/>
      <c r="S19" s="637"/>
    </row>
    <row r="20">
      <c r="B20" s="371"/>
      <c r="C20" s="307"/>
      <c r="D20" s="307"/>
      <c r="E20" s="307"/>
      <c r="F20" s="307"/>
      <c r="G20" s="307"/>
      <c r="H20" s="307"/>
      <c r="I20" s="307"/>
      <c r="J20" s="307"/>
      <c r="L20" s="617"/>
      <c r="M20" s="617"/>
      <c r="N20" s="617"/>
      <c r="O20" s="617"/>
      <c r="P20" s="617"/>
      <c r="Q20" s="617"/>
      <c r="R20" s="617"/>
      <c r="S20" s="617"/>
    </row>
    <row r="21" ht="21.75" customHeight="1">
      <c r="B21" s="633" t="s">
        <v>3648</v>
      </c>
      <c r="C21" s="636">
        <v>450000.0</v>
      </c>
      <c r="D21" s="307"/>
      <c r="E21" s="616"/>
      <c r="F21" s="616"/>
      <c r="G21" s="616"/>
      <c r="H21" s="616"/>
      <c r="I21" s="616"/>
      <c r="J21" s="616"/>
      <c r="L21" s="617"/>
      <c r="M21" s="617"/>
      <c r="N21" s="617"/>
      <c r="O21" s="617"/>
      <c r="P21" s="617"/>
      <c r="Q21" s="617"/>
      <c r="R21" s="617"/>
      <c r="S21" s="617"/>
    </row>
    <row r="22">
      <c r="B22" s="633" t="s">
        <v>3656</v>
      </c>
      <c r="C22" s="636">
        <v>650000.0</v>
      </c>
      <c r="D22" s="307"/>
      <c r="E22" s="616"/>
      <c r="F22" s="616"/>
      <c r="G22" s="616"/>
      <c r="H22" s="616"/>
      <c r="I22" s="616"/>
      <c r="J22" s="616"/>
      <c r="L22" s="617"/>
      <c r="M22" s="617"/>
      <c r="N22" s="617"/>
      <c r="O22" s="617"/>
      <c r="P22" s="617"/>
      <c r="Q22" s="617"/>
      <c r="R22" s="617"/>
      <c r="S22" s="617"/>
    </row>
    <row r="23">
      <c r="B23" s="630" t="s">
        <v>3649</v>
      </c>
      <c r="C23" s="636">
        <v>350000.0</v>
      </c>
      <c r="D23" s="616"/>
      <c r="E23" s="616"/>
      <c r="F23" s="307"/>
      <c r="G23" s="616"/>
      <c r="H23" s="616"/>
      <c r="I23" s="616"/>
      <c r="J23" s="616"/>
      <c r="L23" s="617"/>
      <c r="M23" s="617"/>
      <c r="N23" s="617"/>
      <c r="O23" s="617"/>
      <c r="P23" s="617"/>
      <c r="Q23" s="617"/>
      <c r="R23" s="617"/>
      <c r="S23" s="617"/>
    </row>
    <row r="24">
      <c r="B24" s="630" t="s">
        <v>3650</v>
      </c>
      <c r="C24" s="636">
        <v>750000.0</v>
      </c>
      <c r="D24" s="616"/>
      <c r="E24" s="616"/>
      <c r="F24" s="307"/>
      <c r="G24" s="616"/>
      <c r="H24" s="616"/>
      <c r="I24" s="616"/>
      <c r="J24" s="616"/>
      <c r="L24" s="617"/>
      <c r="M24" s="617"/>
      <c r="N24" s="617"/>
      <c r="O24" s="617"/>
      <c r="P24" s="617"/>
      <c r="Q24" s="617"/>
      <c r="R24" s="617"/>
      <c r="S24" s="617"/>
    </row>
    <row r="25" ht="22.5" customHeight="1">
      <c r="B25" s="633" t="s">
        <v>3651</v>
      </c>
      <c r="C25" s="636">
        <v>160000.0</v>
      </c>
      <c r="D25" s="616"/>
      <c r="E25" s="307"/>
      <c r="F25" s="616"/>
      <c r="G25" s="616"/>
      <c r="H25" s="616"/>
      <c r="I25" s="616"/>
      <c r="J25" s="616"/>
      <c r="L25" s="617"/>
      <c r="M25" s="617"/>
      <c r="N25" s="617"/>
      <c r="O25" s="617"/>
      <c r="P25" s="617"/>
      <c r="Q25" s="617"/>
      <c r="R25" s="617"/>
      <c r="S25" s="617"/>
    </row>
    <row r="26">
      <c r="B26" s="371"/>
      <c r="C26" s="307"/>
      <c r="D26" s="307"/>
      <c r="E26" s="307"/>
      <c r="F26" s="307"/>
      <c r="G26" s="307"/>
      <c r="H26" s="307"/>
      <c r="I26" s="307"/>
      <c r="J26" s="307"/>
      <c r="L26" s="617"/>
      <c r="M26" s="617"/>
      <c r="N26" s="617"/>
      <c r="O26" s="617"/>
      <c r="P26" s="617"/>
      <c r="Q26" s="617"/>
      <c r="R26" s="617"/>
      <c r="S26" s="617"/>
    </row>
    <row r="27">
      <c r="B27" s="371"/>
      <c r="C27" s="307"/>
      <c r="D27" s="307"/>
      <c r="E27" s="307"/>
      <c r="F27" s="307"/>
      <c r="G27" s="307"/>
      <c r="H27" s="307"/>
      <c r="I27" s="307"/>
      <c r="J27" s="307"/>
      <c r="L27" s="617"/>
      <c r="M27" s="617"/>
      <c r="N27" s="617"/>
      <c r="O27" s="617"/>
      <c r="P27" s="617"/>
      <c r="Q27" s="617"/>
      <c r="R27" s="617"/>
      <c r="S27" s="617"/>
    </row>
    <row r="28">
      <c r="B28" s="371"/>
      <c r="C28" s="307"/>
      <c r="D28" s="307"/>
      <c r="E28" s="307"/>
      <c r="F28" s="307"/>
      <c r="G28" s="307"/>
      <c r="H28" s="307"/>
      <c r="I28" s="307"/>
      <c r="J28" s="307"/>
      <c r="L28" s="617"/>
      <c r="M28" s="617"/>
      <c r="N28" s="617"/>
      <c r="O28" s="617"/>
      <c r="P28" s="617"/>
      <c r="Q28" s="617"/>
      <c r="R28" s="617"/>
      <c r="S28" s="617"/>
    </row>
    <row r="29">
      <c r="B29" s="371"/>
      <c r="C29" s="307"/>
      <c r="D29" s="307"/>
      <c r="E29" s="307"/>
      <c r="F29" s="307"/>
      <c r="G29" s="307"/>
      <c r="H29" s="307"/>
      <c r="I29" s="307"/>
      <c r="J29" s="307"/>
      <c r="L29" s="617"/>
      <c r="M29" s="617"/>
      <c r="N29" s="617"/>
      <c r="O29" s="617"/>
      <c r="P29" s="617"/>
      <c r="Q29" s="617"/>
      <c r="R29" s="617"/>
      <c r="S29" s="617"/>
    </row>
    <row r="30">
      <c r="B30" s="371"/>
      <c r="C30" s="307"/>
      <c r="D30" s="307"/>
      <c r="E30" s="307"/>
      <c r="F30" s="307"/>
      <c r="G30" s="307"/>
      <c r="H30" s="307"/>
      <c r="I30" s="307"/>
      <c r="J30" s="307"/>
      <c r="L30" s="617"/>
      <c r="M30" s="617"/>
      <c r="N30" s="617"/>
      <c r="O30" s="617"/>
      <c r="P30" s="617"/>
      <c r="Q30" s="617"/>
      <c r="R30" s="617"/>
      <c r="S30" s="617"/>
    </row>
    <row r="31">
      <c r="B31" s="371"/>
      <c r="C31" s="307"/>
      <c r="D31" s="307"/>
      <c r="E31" s="307"/>
      <c r="F31" s="307"/>
      <c r="G31" s="307"/>
      <c r="H31" s="307"/>
      <c r="I31" s="307"/>
      <c r="J31" s="307"/>
      <c r="L31" s="617"/>
      <c r="M31" s="617"/>
      <c r="N31" s="617"/>
      <c r="O31" s="617"/>
      <c r="P31" s="617"/>
      <c r="Q31" s="617"/>
      <c r="R31" s="617"/>
      <c r="S31" s="617"/>
    </row>
    <row r="32">
      <c r="B32" s="371"/>
      <c r="C32" s="307"/>
      <c r="D32" s="307"/>
      <c r="E32" s="307"/>
      <c r="F32" s="307"/>
      <c r="G32" s="307"/>
      <c r="H32" s="307"/>
      <c r="I32" s="307"/>
      <c r="J32" s="307"/>
      <c r="L32" s="617"/>
      <c r="M32" s="617"/>
      <c r="N32" s="617"/>
      <c r="O32" s="617"/>
      <c r="P32" s="617"/>
      <c r="Q32" s="617"/>
      <c r="R32" s="617"/>
      <c r="S32" s="617"/>
    </row>
    <row r="33">
      <c r="B33" s="371"/>
      <c r="C33" s="307"/>
      <c r="D33" s="307"/>
      <c r="E33" s="307"/>
      <c r="F33" s="307"/>
      <c r="G33" s="307"/>
      <c r="H33" s="307"/>
      <c r="I33" s="307"/>
      <c r="J33" s="307"/>
      <c r="L33" s="617"/>
      <c r="M33" s="617"/>
      <c r="N33" s="617"/>
      <c r="O33" s="617"/>
      <c r="P33" s="617"/>
      <c r="Q33" s="617"/>
      <c r="R33" s="617"/>
      <c r="S33" s="617"/>
    </row>
    <row r="34">
      <c r="B34" s="371"/>
      <c r="C34" s="307"/>
      <c r="D34" s="307"/>
      <c r="E34" s="307"/>
      <c r="F34" s="307"/>
      <c r="G34" s="307"/>
      <c r="H34" s="307"/>
      <c r="I34" s="307"/>
      <c r="J34" s="307"/>
      <c r="L34" s="617"/>
      <c r="M34" s="617"/>
      <c r="N34" s="617"/>
      <c r="O34" s="617"/>
      <c r="P34" s="617"/>
      <c r="Q34" s="617"/>
      <c r="R34" s="617"/>
      <c r="S34" s="617"/>
    </row>
    <row r="35">
      <c r="B35" s="16" t="s">
        <v>1625</v>
      </c>
      <c r="C35" s="48">
        <f>75000+87120</f>
        <v>162120</v>
      </c>
      <c r="D35" s="55">
        <v>270000.0</v>
      </c>
      <c r="E35" s="61"/>
      <c r="F35" s="19"/>
      <c r="G35" s="16"/>
      <c r="H35" s="16"/>
      <c r="I35" s="22"/>
      <c r="J35" s="29"/>
      <c r="M35" s="617"/>
      <c r="N35" s="617"/>
      <c r="O35" s="617"/>
      <c r="P35" s="617"/>
      <c r="Q35" s="617"/>
      <c r="R35" s="617"/>
      <c r="S35" s="617"/>
    </row>
    <row r="36">
      <c r="B36" s="16" t="s">
        <v>1627</v>
      </c>
      <c r="C36" s="43">
        <f>348480+87120+87120</f>
        <v>522720</v>
      </c>
      <c r="D36" s="44">
        <v>630000.0</v>
      </c>
      <c r="E36" s="61"/>
      <c r="F36" s="19"/>
      <c r="G36" s="16"/>
      <c r="H36" s="16"/>
      <c r="I36" s="22"/>
      <c r="J36" s="29"/>
      <c r="M36" s="617"/>
      <c r="N36" s="617"/>
      <c r="O36" s="617"/>
      <c r="P36" s="617"/>
      <c r="Q36" s="617"/>
      <c r="R36" s="617"/>
      <c r="S36" s="617"/>
    </row>
    <row r="37">
      <c r="B37" s="16" t="s">
        <v>2272</v>
      </c>
      <c r="C37" s="60">
        <v>87120.0</v>
      </c>
      <c r="D37" s="55">
        <v>120000.0</v>
      </c>
      <c r="E37" s="61"/>
      <c r="F37" s="19"/>
      <c r="G37" s="16"/>
      <c r="H37" s="16"/>
      <c r="I37" s="22"/>
      <c r="J37" s="47"/>
      <c r="M37" s="617"/>
      <c r="N37" s="617"/>
      <c r="O37" s="617"/>
      <c r="P37" s="617"/>
      <c r="Q37" s="617"/>
      <c r="R37" s="617"/>
      <c r="S37" s="617"/>
    </row>
    <row r="38">
      <c r="B38" s="16" t="s">
        <v>2275</v>
      </c>
      <c r="C38" s="60">
        <v>87120.0</v>
      </c>
      <c r="D38" s="55">
        <v>120000.0</v>
      </c>
      <c r="E38" s="67"/>
      <c r="F38" s="19"/>
      <c r="G38" s="16"/>
      <c r="H38" s="16"/>
      <c r="I38" s="22"/>
      <c r="J38" s="45"/>
      <c r="M38" s="617"/>
      <c r="N38" s="617"/>
      <c r="O38" s="617"/>
      <c r="P38" s="617"/>
      <c r="Q38" s="617"/>
      <c r="R38" s="617"/>
      <c r="S38" s="617"/>
    </row>
    <row r="39">
      <c r="B39" s="16" t="s">
        <v>2281</v>
      </c>
      <c r="C39" s="60">
        <v>87120.0</v>
      </c>
      <c r="D39" s="55">
        <v>120000.0</v>
      </c>
      <c r="E39" s="67"/>
      <c r="F39" s="19"/>
      <c r="G39" s="16"/>
      <c r="H39" s="16"/>
      <c r="I39" s="22"/>
      <c r="J39" s="45"/>
      <c r="M39" s="617"/>
      <c r="N39" s="617"/>
      <c r="O39" s="617"/>
      <c r="P39" s="617"/>
      <c r="Q39" s="617"/>
      <c r="R39" s="617"/>
      <c r="S39" s="617"/>
    </row>
    <row r="40">
      <c r="B40" s="16" t="s">
        <v>2535</v>
      </c>
      <c r="C40" s="60">
        <v>87120.0</v>
      </c>
      <c r="D40" s="55">
        <v>120000.0</v>
      </c>
      <c r="E40" s="67"/>
      <c r="F40" s="19"/>
      <c r="G40" s="16"/>
      <c r="H40" s="16"/>
      <c r="I40" s="22"/>
      <c r="J40" s="45"/>
      <c r="M40" s="617"/>
      <c r="N40" s="617"/>
      <c r="O40" s="617"/>
      <c r="P40" s="617"/>
      <c r="Q40" s="617"/>
      <c r="R40" s="617"/>
      <c r="S40" s="617"/>
    </row>
    <row r="41">
      <c r="B41" s="16" t="s">
        <v>2536</v>
      </c>
      <c r="C41" s="639">
        <v>75000.0</v>
      </c>
      <c r="D41" s="55">
        <v>160000.0</v>
      </c>
      <c r="E41" s="67"/>
      <c r="F41" s="19"/>
      <c r="G41" s="16"/>
      <c r="H41" s="16"/>
      <c r="I41" s="22"/>
      <c r="J41" s="45"/>
      <c r="M41" s="617"/>
      <c r="N41" s="617"/>
      <c r="O41" s="617"/>
      <c r="P41" s="617"/>
      <c r="Q41" s="617"/>
      <c r="R41" s="617"/>
      <c r="S41" s="617"/>
    </row>
    <row r="42">
      <c r="B42" s="16" t="s">
        <v>2537</v>
      </c>
      <c r="C42" s="172">
        <v>348480.0</v>
      </c>
      <c r="D42" s="44">
        <v>450000.0</v>
      </c>
      <c r="E42" s="67"/>
      <c r="F42" s="19"/>
      <c r="G42" s="16"/>
      <c r="H42" s="16"/>
      <c r="I42" s="22"/>
      <c r="J42" s="45"/>
      <c r="M42" s="617"/>
      <c r="N42" s="617"/>
      <c r="O42" s="617"/>
      <c r="P42" s="617"/>
      <c r="Q42" s="617"/>
      <c r="R42" s="617"/>
      <c r="S42" s="617"/>
    </row>
    <row r="43">
      <c r="B43" s="371"/>
      <c r="C43" s="307"/>
      <c r="D43" s="307"/>
      <c r="E43" s="307"/>
      <c r="F43" s="307"/>
      <c r="G43" s="307"/>
      <c r="H43" s="307"/>
      <c r="I43" s="307"/>
      <c r="J43" s="307"/>
      <c r="L43" s="617"/>
      <c r="M43" s="617"/>
      <c r="N43" s="617"/>
      <c r="O43" s="617"/>
      <c r="P43" s="617"/>
      <c r="Q43" s="617"/>
      <c r="R43" s="617"/>
      <c r="S43" s="617"/>
    </row>
    <row r="44">
      <c r="B44" s="371"/>
      <c r="C44" s="307"/>
      <c r="D44" s="307"/>
      <c r="E44" s="307"/>
      <c r="F44" s="307"/>
      <c r="G44" s="307"/>
      <c r="H44" s="307"/>
      <c r="I44" s="307"/>
      <c r="J44" s="307"/>
      <c r="L44" s="617"/>
      <c r="M44" s="617"/>
      <c r="N44" s="617"/>
      <c r="O44" s="617"/>
      <c r="P44" s="617"/>
      <c r="Q44" s="617"/>
      <c r="R44" s="617"/>
      <c r="S44" s="617"/>
    </row>
    <row r="45">
      <c r="B45" s="371"/>
      <c r="C45" s="307"/>
      <c r="D45" s="307"/>
      <c r="E45" s="307"/>
      <c r="F45" s="307"/>
      <c r="G45" s="307"/>
      <c r="H45" s="307"/>
      <c r="I45" s="307"/>
      <c r="J45" s="307"/>
      <c r="L45" s="617"/>
      <c r="M45" s="617"/>
      <c r="N45" s="617"/>
      <c r="O45" s="617"/>
      <c r="P45" s="617"/>
      <c r="Q45" s="617"/>
      <c r="R45" s="617"/>
      <c r="S45" s="617"/>
    </row>
    <row r="46">
      <c r="B46" s="371"/>
      <c r="C46" s="307"/>
      <c r="D46" s="307"/>
      <c r="E46" s="307"/>
      <c r="F46" s="307"/>
      <c r="G46" s="307"/>
      <c r="H46" s="307"/>
      <c r="I46" s="307"/>
      <c r="J46" s="307"/>
      <c r="L46" s="617"/>
      <c r="M46" s="617"/>
      <c r="N46" s="617"/>
      <c r="O46" s="617"/>
      <c r="P46" s="617"/>
      <c r="Q46" s="617"/>
      <c r="R46" s="617"/>
      <c r="S46" s="617"/>
    </row>
    <row r="47">
      <c r="B47" s="371"/>
      <c r="C47" s="307"/>
      <c r="D47" s="307"/>
      <c r="E47" s="307"/>
      <c r="F47" s="307"/>
      <c r="G47" s="307"/>
      <c r="H47" s="307"/>
      <c r="I47" s="307"/>
      <c r="J47" s="307"/>
      <c r="L47" s="617"/>
      <c r="M47" s="617"/>
      <c r="N47" s="617"/>
      <c r="O47" s="617"/>
      <c r="P47" s="617"/>
      <c r="Q47" s="617"/>
      <c r="R47" s="617"/>
      <c r="S47" s="617"/>
    </row>
    <row r="48">
      <c r="B48" s="371"/>
      <c r="C48" s="307"/>
      <c r="D48" s="307"/>
      <c r="E48" s="307"/>
      <c r="F48" s="307"/>
      <c r="G48" s="307"/>
      <c r="H48" s="307"/>
      <c r="I48" s="307"/>
      <c r="J48" s="307"/>
      <c r="L48" s="617"/>
      <c r="M48" s="617"/>
      <c r="N48" s="617"/>
      <c r="O48" s="617"/>
      <c r="P48" s="617"/>
      <c r="Q48" s="617"/>
      <c r="R48" s="617"/>
      <c r="S48" s="617"/>
    </row>
    <row r="49">
      <c r="B49" s="371"/>
      <c r="C49" s="307"/>
      <c r="D49" s="307"/>
      <c r="E49" s="307"/>
      <c r="F49" s="307"/>
      <c r="G49" s="307"/>
      <c r="H49" s="307"/>
      <c r="I49" s="307"/>
      <c r="J49" s="307"/>
      <c r="L49" s="617"/>
      <c r="M49" s="617"/>
      <c r="N49" s="617"/>
      <c r="O49" s="617"/>
      <c r="P49" s="617"/>
      <c r="Q49" s="617"/>
      <c r="R49" s="617"/>
      <c r="S49" s="617"/>
    </row>
    <row r="50">
      <c r="B50" s="371"/>
      <c r="C50" s="307"/>
      <c r="D50" s="307"/>
      <c r="E50" s="307"/>
      <c r="F50" s="307"/>
      <c r="G50" s="307"/>
      <c r="H50" s="307"/>
      <c r="I50" s="307"/>
      <c r="J50" s="307"/>
      <c r="L50" s="617"/>
      <c r="M50" s="617"/>
      <c r="N50" s="617"/>
      <c r="O50" s="617"/>
      <c r="P50" s="617"/>
      <c r="Q50" s="617"/>
      <c r="R50" s="617"/>
      <c r="S50" s="617"/>
    </row>
    <row r="51">
      <c r="B51" s="371"/>
      <c r="C51" s="307"/>
      <c r="D51" s="307"/>
      <c r="E51" s="307"/>
      <c r="F51" s="307"/>
      <c r="G51" s="307"/>
      <c r="H51" s="307"/>
      <c r="I51" s="307"/>
      <c r="J51" s="307"/>
      <c r="L51" s="617"/>
      <c r="M51" s="617"/>
      <c r="N51" s="617"/>
      <c r="O51" s="617"/>
      <c r="P51" s="617"/>
      <c r="Q51" s="617"/>
      <c r="R51" s="617"/>
      <c r="S51" s="617"/>
    </row>
    <row r="52">
      <c r="B52" s="371"/>
      <c r="C52" s="307"/>
      <c r="D52" s="307"/>
      <c r="E52" s="307"/>
      <c r="F52" s="307"/>
      <c r="G52" s="307"/>
      <c r="H52" s="307"/>
      <c r="I52" s="307"/>
      <c r="J52" s="307"/>
      <c r="L52" s="617"/>
      <c r="M52" s="617"/>
      <c r="N52" s="617"/>
      <c r="O52" s="617"/>
      <c r="P52" s="617"/>
      <c r="Q52" s="617"/>
      <c r="R52" s="617"/>
      <c r="S52" s="617"/>
    </row>
    <row r="53">
      <c r="B53" s="371"/>
      <c r="C53" s="307"/>
      <c r="D53" s="307"/>
      <c r="E53" s="307"/>
      <c r="F53" s="307"/>
      <c r="G53" s="307"/>
      <c r="H53" s="307"/>
      <c r="I53" s="307"/>
      <c r="J53" s="307"/>
      <c r="L53" s="617"/>
      <c r="M53" s="617"/>
      <c r="N53" s="617"/>
      <c r="O53" s="617"/>
      <c r="P53" s="617"/>
      <c r="Q53" s="617"/>
      <c r="R53" s="617"/>
      <c r="S53" s="617"/>
    </row>
    <row r="54">
      <c r="B54" s="371"/>
      <c r="C54" s="307"/>
      <c r="D54" s="307"/>
      <c r="E54" s="307"/>
      <c r="F54" s="307"/>
      <c r="G54" s="307"/>
      <c r="H54" s="307"/>
      <c r="I54" s="307"/>
      <c r="J54" s="307"/>
      <c r="L54" s="617"/>
      <c r="M54" s="617"/>
      <c r="N54" s="617"/>
      <c r="O54" s="617"/>
      <c r="P54" s="617"/>
      <c r="Q54" s="617"/>
      <c r="R54" s="617"/>
      <c r="S54" s="617"/>
    </row>
    <row r="55">
      <c r="B55" s="371"/>
      <c r="C55" s="307"/>
      <c r="D55" s="307"/>
      <c r="E55" s="307"/>
      <c r="F55" s="307"/>
      <c r="G55" s="307"/>
      <c r="H55" s="307"/>
      <c r="I55" s="307"/>
      <c r="J55" s="307"/>
      <c r="L55" s="617"/>
      <c r="M55" s="617"/>
      <c r="N55" s="617"/>
      <c r="O55" s="617"/>
      <c r="P55" s="617"/>
      <c r="Q55" s="617"/>
      <c r="R55" s="617"/>
      <c r="S55" s="617"/>
    </row>
    <row r="56">
      <c r="B56" s="371"/>
      <c r="C56" s="307"/>
      <c r="D56" s="307"/>
      <c r="E56" s="307"/>
      <c r="F56" s="307"/>
      <c r="G56" s="307"/>
      <c r="H56" s="307"/>
      <c r="I56" s="307"/>
      <c r="J56" s="307"/>
      <c r="L56" s="617"/>
      <c r="M56" s="617"/>
      <c r="N56" s="617"/>
      <c r="O56" s="617"/>
      <c r="P56" s="617"/>
      <c r="Q56" s="617"/>
      <c r="R56" s="617"/>
      <c r="S56" s="617"/>
    </row>
    <row r="57">
      <c r="B57" s="371"/>
      <c r="C57" s="307"/>
      <c r="D57" s="307"/>
      <c r="E57" s="307"/>
      <c r="F57" s="307"/>
      <c r="G57" s="307"/>
      <c r="H57" s="307"/>
      <c r="I57" s="307"/>
      <c r="J57" s="307"/>
      <c r="L57" s="617"/>
      <c r="M57" s="617"/>
      <c r="N57" s="617"/>
      <c r="O57" s="617"/>
      <c r="P57" s="617"/>
      <c r="Q57" s="617"/>
      <c r="R57" s="617"/>
      <c r="S57" s="617"/>
    </row>
    <row r="58">
      <c r="B58" s="371"/>
      <c r="C58" s="307"/>
      <c r="D58" s="307"/>
      <c r="E58" s="307"/>
      <c r="F58" s="307"/>
      <c r="G58" s="307"/>
      <c r="H58" s="307"/>
      <c r="I58" s="307"/>
      <c r="J58" s="307"/>
      <c r="L58" s="617"/>
      <c r="M58" s="617"/>
      <c r="N58" s="617"/>
      <c r="O58" s="617"/>
      <c r="P58" s="617"/>
      <c r="Q58" s="617"/>
      <c r="R58" s="617"/>
      <c r="S58" s="617"/>
    </row>
    <row r="59">
      <c r="B59" s="371"/>
      <c r="C59" s="307"/>
      <c r="D59" s="307"/>
      <c r="E59" s="307"/>
      <c r="F59" s="307"/>
      <c r="G59" s="307"/>
      <c r="H59" s="307"/>
      <c r="I59" s="307"/>
      <c r="J59" s="307"/>
      <c r="L59" s="617"/>
      <c r="M59" s="617"/>
      <c r="N59" s="617"/>
      <c r="O59" s="617"/>
      <c r="P59" s="617"/>
      <c r="Q59" s="617"/>
      <c r="R59" s="617"/>
      <c r="S59" s="617"/>
    </row>
    <row r="60">
      <c r="B60" s="371"/>
      <c r="C60" s="307"/>
      <c r="D60" s="307"/>
      <c r="E60" s="307"/>
      <c r="F60" s="307"/>
      <c r="G60" s="307"/>
      <c r="H60" s="307"/>
      <c r="I60" s="307"/>
      <c r="J60" s="307"/>
      <c r="L60" s="617"/>
      <c r="M60" s="617"/>
      <c r="N60" s="617"/>
      <c r="O60" s="617"/>
      <c r="P60" s="617"/>
      <c r="Q60" s="617"/>
      <c r="R60" s="617"/>
      <c r="S60" s="617"/>
    </row>
    <row r="61">
      <c r="B61" s="371"/>
      <c r="C61" s="307"/>
      <c r="D61" s="307"/>
      <c r="E61" s="307"/>
      <c r="F61" s="307"/>
      <c r="G61" s="307"/>
      <c r="H61" s="307"/>
      <c r="I61" s="307"/>
      <c r="J61" s="307"/>
      <c r="L61" s="617"/>
      <c r="M61" s="617"/>
      <c r="N61" s="617"/>
      <c r="O61" s="617"/>
      <c r="P61" s="617"/>
      <c r="Q61" s="617"/>
      <c r="R61" s="617"/>
      <c r="S61" s="617"/>
    </row>
    <row r="62">
      <c r="B62" s="371"/>
      <c r="C62" s="307"/>
      <c r="D62" s="307"/>
      <c r="E62" s="307"/>
      <c r="F62" s="307"/>
      <c r="G62" s="307"/>
      <c r="H62" s="307"/>
      <c r="I62" s="307"/>
      <c r="J62" s="307"/>
      <c r="L62" s="617"/>
      <c r="M62" s="617"/>
      <c r="N62" s="617"/>
      <c r="O62" s="617"/>
      <c r="P62" s="617"/>
      <c r="Q62" s="617"/>
      <c r="R62" s="617"/>
      <c r="S62" s="617"/>
    </row>
    <row r="63">
      <c r="B63" s="371"/>
      <c r="C63" s="307"/>
      <c r="D63" s="307"/>
      <c r="E63" s="307"/>
      <c r="F63" s="307"/>
      <c r="G63" s="307"/>
      <c r="H63" s="307"/>
      <c r="I63" s="307"/>
      <c r="J63" s="307"/>
      <c r="L63" s="617"/>
      <c r="M63" s="617"/>
      <c r="N63" s="617"/>
      <c r="O63" s="617"/>
      <c r="P63" s="617"/>
      <c r="Q63" s="617"/>
      <c r="R63" s="617"/>
      <c r="S63" s="617"/>
    </row>
    <row r="64">
      <c r="B64" s="371"/>
      <c r="C64" s="307"/>
      <c r="D64" s="307"/>
      <c r="E64" s="307"/>
      <c r="F64" s="307"/>
      <c r="G64" s="307"/>
      <c r="H64" s="307"/>
      <c r="I64" s="307"/>
      <c r="J64" s="307"/>
      <c r="L64" s="617"/>
      <c r="M64" s="617"/>
      <c r="N64" s="617"/>
      <c r="O64" s="617"/>
      <c r="P64" s="617"/>
      <c r="Q64" s="617"/>
      <c r="R64" s="617"/>
      <c r="S64" s="617"/>
    </row>
    <row r="65">
      <c r="B65" s="371"/>
      <c r="C65" s="307"/>
      <c r="D65" s="307"/>
      <c r="E65" s="307"/>
      <c r="F65" s="307"/>
      <c r="G65" s="307"/>
      <c r="H65" s="307"/>
      <c r="I65" s="307"/>
      <c r="J65" s="307"/>
      <c r="L65" s="617"/>
      <c r="M65" s="617"/>
      <c r="N65" s="617"/>
      <c r="O65" s="617"/>
      <c r="P65" s="617"/>
      <c r="Q65" s="617"/>
      <c r="R65" s="617"/>
      <c r="S65" s="617"/>
    </row>
    <row r="66">
      <c r="B66" s="371"/>
      <c r="C66" s="307"/>
      <c r="D66" s="307"/>
      <c r="E66" s="307"/>
      <c r="F66" s="307"/>
      <c r="G66" s="307"/>
      <c r="H66" s="307"/>
      <c r="I66" s="307"/>
      <c r="J66" s="307"/>
      <c r="L66" s="617"/>
      <c r="M66" s="617"/>
      <c r="N66" s="617"/>
      <c r="O66" s="617"/>
      <c r="P66" s="617"/>
      <c r="Q66" s="617"/>
      <c r="R66" s="617"/>
      <c r="S66" s="617"/>
    </row>
    <row r="67">
      <c r="B67" s="371"/>
      <c r="C67" s="307"/>
      <c r="D67" s="307"/>
      <c r="E67" s="307"/>
      <c r="F67" s="307"/>
      <c r="G67" s="307"/>
      <c r="H67" s="307"/>
      <c r="I67" s="307"/>
      <c r="J67" s="307"/>
      <c r="L67" s="617"/>
      <c r="M67" s="617"/>
      <c r="N67" s="617"/>
      <c r="O67" s="617"/>
      <c r="P67" s="617"/>
      <c r="Q67" s="617"/>
      <c r="R67" s="617"/>
      <c r="S67" s="617"/>
    </row>
    <row r="68">
      <c r="B68" s="371"/>
      <c r="C68" s="307"/>
      <c r="D68" s="307"/>
      <c r="E68" s="307"/>
      <c r="F68" s="307"/>
      <c r="G68" s="307"/>
      <c r="H68" s="307"/>
      <c r="I68" s="307"/>
      <c r="J68" s="307"/>
      <c r="L68" s="617"/>
      <c r="M68" s="617"/>
      <c r="N68" s="617"/>
      <c r="O68" s="617"/>
      <c r="P68" s="617"/>
      <c r="Q68" s="617"/>
      <c r="R68" s="617"/>
      <c r="S68" s="617"/>
    </row>
    <row r="69">
      <c r="B69" s="371"/>
      <c r="C69" s="307"/>
      <c r="D69" s="307"/>
      <c r="E69" s="307"/>
      <c r="F69" s="307"/>
      <c r="G69" s="307"/>
      <c r="H69" s="307"/>
      <c r="I69" s="307"/>
      <c r="J69" s="307"/>
      <c r="L69" s="617"/>
      <c r="M69" s="617"/>
      <c r="N69" s="617"/>
      <c r="O69" s="617"/>
      <c r="P69" s="617"/>
      <c r="Q69" s="617"/>
      <c r="R69" s="617"/>
      <c r="S69" s="617"/>
    </row>
    <row r="70">
      <c r="B70" s="371"/>
      <c r="C70" s="307"/>
      <c r="D70" s="307"/>
      <c r="E70" s="307"/>
      <c r="F70" s="307"/>
      <c r="G70" s="307"/>
      <c r="H70" s="307"/>
      <c r="I70" s="307"/>
      <c r="J70" s="307"/>
      <c r="L70" s="617"/>
      <c r="M70" s="617"/>
      <c r="N70" s="617"/>
      <c r="O70" s="617"/>
      <c r="P70" s="617"/>
      <c r="Q70" s="617"/>
      <c r="R70" s="617"/>
      <c r="S70" s="617"/>
    </row>
    <row r="71">
      <c r="B71" s="371"/>
      <c r="C71" s="307"/>
      <c r="D71" s="307"/>
      <c r="E71" s="307"/>
      <c r="F71" s="307"/>
      <c r="G71" s="307"/>
      <c r="H71" s="307"/>
      <c r="I71" s="307"/>
      <c r="J71" s="307"/>
      <c r="L71" s="617"/>
      <c r="M71" s="617"/>
      <c r="N71" s="617"/>
      <c r="O71" s="617"/>
      <c r="P71" s="617"/>
      <c r="Q71" s="617"/>
      <c r="R71" s="617"/>
      <c r="S71" s="617"/>
    </row>
    <row r="72">
      <c r="B72" s="371"/>
      <c r="C72" s="307"/>
      <c r="D72" s="307"/>
      <c r="E72" s="307"/>
      <c r="F72" s="307"/>
      <c r="G72" s="307"/>
      <c r="H72" s="307"/>
      <c r="I72" s="307"/>
      <c r="J72" s="307"/>
      <c r="L72" s="617"/>
      <c r="M72" s="617"/>
      <c r="N72" s="617"/>
      <c r="O72" s="617"/>
      <c r="P72" s="617"/>
      <c r="Q72" s="617"/>
      <c r="R72" s="617"/>
      <c r="S72" s="617"/>
    </row>
    <row r="73">
      <c r="B73" s="371"/>
      <c r="C73" s="307"/>
      <c r="D73" s="307"/>
      <c r="E73" s="307"/>
      <c r="F73" s="307"/>
      <c r="G73" s="307"/>
      <c r="H73" s="307"/>
      <c r="I73" s="307"/>
      <c r="J73" s="307"/>
      <c r="L73" s="617"/>
      <c r="M73" s="617"/>
      <c r="N73" s="617"/>
      <c r="O73" s="617"/>
      <c r="P73" s="617"/>
      <c r="Q73" s="617"/>
      <c r="R73" s="617"/>
      <c r="S73" s="617"/>
    </row>
    <row r="74">
      <c r="B74" s="371"/>
      <c r="C74" s="307"/>
      <c r="D74" s="307"/>
      <c r="E74" s="307"/>
      <c r="F74" s="307"/>
      <c r="G74" s="307"/>
      <c r="H74" s="307"/>
      <c r="I74" s="307"/>
      <c r="J74" s="307"/>
      <c r="L74" s="617"/>
      <c r="M74" s="617"/>
      <c r="N74" s="617"/>
      <c r="O74" s="617"/>
      <c r="P74" s="617"/>
      <c r="Q74" s="617"/>
      <c r="R74" s="617"/>
      <c r="S74" s="617"/>
    </row>
    <row r="75">
      <c r="B75" s="371"/>
      <c r="C75" s="307"/>
      <c r="D75" s="307"/>
      <c r="E75" s="307"/>
      <c r="F75" s="307"/>
      <c r="G75" s="307"/>
      <c r="H75" s="307"/>
      <c r="I75" s="307"/>
      <c r="J75" s="307"/>
      <c r="L75" s="617"/>
      <c r="M75" s="617"/>
      <c r="N75" s="617"/>
      <c r="O75" s="617"/>
      <c r="P75" s="617"/>
      <c r="Q75" s="617"/>
      <c r="R75" s="617"/>
      <c r="S75" s="617"/>
    </row>
    <row r="76">
      <c r="B76" s="371"/>
      <c r="C76" s="307"/>
      <c r="D76" s="307"/>
      <c r="E76" s="307"/>
      <c r="F76" s="307"/>
      <c r="G76" s="307"/>
      <c r="H76" s="307"/>
      <c r="I76" s="307"/>
      <c r="J76" s="307"/>
      <c r="L76" s="617"/>
      <c r="M76" s="617"/>
      <c r="N76" s="617"/>
      <c r="O76" s="617"/>
      <c r="P76" s="617"/>
      <c r="Q76" s="617"/>
      <c r="R76" s="617"/>
      <c r="S76" s="617"/>
    </row>
    <row r="77">
      <c r="B77" s="371"/>
      <c r="C77" s="307"/>
      <c r="D77" s="307"/>
      <c r="E77" s="307"/>
      <c r="F77" s="307"/>
      <c r="G77" s="307"/>
      <c r="H77" s="307"/>
      <c r="I77" s="307"/>
      <c r="J77" s="307"/>
      <c r="L77" s="617"/>
      <c r="M77" s="617"/>
      <c r="N77" s="617"/>
      <c r="O77" s="617"/>
      <c r="P77" s="617"/>
      <c r="Q77" s="617"/>
      <c r="R77" s="617"/>
      <c r="S77" s="617"/>
    </row>
    <row r="78">
      <c r="B78" s="371"/>
      <c r="C78" s="307"/>
      <c r="D78" s="307"/>
      <c r="E78" s="307"/>
      <c r="F78" s="307"/>
      <c r="G78" s="307"/>
      <c r="H78" s="307"/>
      <c r="I78" s="307"/>
      <c r="J78" s="307"/>
      <c r="L78" s="617"/>
      <c r="M78" s="617"/>
      <c r="N78" s="617"/>
      <c r="O78" s="617"/>
      <c r="P78" s="617"/>
      <c r="Q78" s="617"/>
      <c r="R78" s="617"/>
      <c r="S78" s="617"/>
    </row>
    <row r="79">
      <c r="B79" s="371"/>
      <c r="C79" s="307"/>
      <c r="D79" s="307"/>
      <c r="E79" s="307"/>
      <c r="F79" s="307"/>
      <c r="G79" s="307"/>
      <c r="H79" s="307"/>
      <c r="I79" s="307"/>
      <c r="J79" s="307"/>
      <c r="L79" s="617"/>
      <c r="M79" s="617"/>
      <c r="N79" s="617"/>
      <c r="O79" s="617"/>
      <c r="P79" s="617"/>
      <c r="Q79" s="617"/>
      <c r="R79" s="617"/>
      <c r="S79" s="617"/>
    </row>
    <row r="80">
      <c r="B80" s="371"/>
      <c r="C80" s="307"/>
      <c r="D80" s="307"/>
      <c r="E80" s="307"/>
      <c r="F80" s="307"/>
      <c r="G80" s="307"/>
      <c r="H80" s="307"/>
      <c r="I80" s="307"/>
      <c r="J80" s="307"/>
      <c r="L80" s="617"/>
      <c r="M80" s="617"/>
      <c r="N80" s="617"/>
      <c r="O80" s="617"/>
      <c r="P80" s="617"/>
      <c r="Q80" s="617"/>
      <c r="R80" s="617"/>
      <c r="S80" s="617"/>
    </row>
    <row r="81">
      <c r="B81" s="371"/>
      <c r="C81" s="307"/>
      <c r="D81" s="307"/>
      <c r="E81" s="307"/>
      <c r="F81" s="307"/>
      <c r="G81" s="307"/>
      <c r="H81" s="307"/>
      <c r="I81" s="307"/>
      <c r="J81" s="307"/>
      <c r="L81" s="617"/>
      <c r="M81" s="617"/>
      <c r="N81" s="617"/>
      <c r="O81" s="617"/>
      <c r="P81" s="617"/>
      <c r="Q81" s="617"/>
      <c r="R81" s="617"/>
      <c r="S81" s="617"/>
    </row>
    <row r="82">
      <c r="B82" s="371"/>
      <c r="C82" s="307"/>
      <c r="D82" s="307"/>
      <c r="E82" s="307"/>
      <c r="F82" s="307"/>
      <c r="G82" s="307"/>
      <c r="H82" s="307"/>
      <c r="I82" s="307"/>
      <c r="J82" s="307"/>
      <c r="L82" s="617"/>
      <c r="M82" s="617"/>
      <c r="N82" s="617"/>
      <c r="O82" s="617"/>
      <c r="P82" s="617"/>
      <c r="Q82" s="617"/>
      <c r="R82" s="617"/>
      <c r="S82" s="617"/>
    </row>
    <row r="83">
      <c r="B83" s="371"/>
      <c r="C83" s="307"/>
      <c r="D83" s="307"/>
      <c r="E83" s="307"/>
      <c r="F83" s="307"/>
      <c r="G83" s="307"/>
      <c r="H83" s="307"/>
      <c r="I83" s="307"/>
      <c r="J83" s="307"/>
      <c r="L83" s="617"/>
      <c r="M83" s="617"/>
      <c r="N83" s="617"/>
      <c r="O83" s="617"/>
      <c r="P83" s="617"/>
      <c r="Q83" s="617"/>
      <c r="R83" s="617"/>
      <c r="S83" s="617"/>
    </row>
    <row r="84">
      <c r="B84" s="371"/>
      <c r="C84" s="307"/>
      <c r="D84" s="307"/>
      <c r="E84" s="307"/>
      <c r="F84" s="307"/>
      <c r="G84" s="307"/>
      <c r="H84" s="307"/>
      <c r="I84" s="307"/>
      <c r="J84" s="307"/>
      <c r="L84" s="617"/>
      <c r="M84" s="617"/>
      <c r="N84" s="617"/>
      <c r="O84" s="617"/>
      <c r="P84" s="617"/>
      <c r="Q84" s="617"/>
      <c r="R84" s="617"/>
      <c r="S84" s="617"/>
    </row>
    <row r="85">
      <c r="B85" s="371"/>
      <c r="C85" s="307"/>
      <c r="D85" s="307"/>
      <c r="E85" s="307"/>
      <c r="F85" s="307"/>
      <c r="G85" s="307"/>
      <c r="H85" s="307"/>
      <c r="I85" s="307"/>
      <c r="J85" s="307"/>
      <c r="L85" s="617"/>
      <c r="M85" s="617"/>
      <c r="N85" s="617"/>
      <c r="O85" s="617"/>
      <c r="P85" s="617"/>
      <c r="Q85" s="617"/>
      <c r="R85" s="617"/>
      <c r="S85" s="617"/>
    </row>
    <row r="86">
      <c r="B86" s="371"/>
      <c r="C86" s="307"/>
      <c r="D86" s="307"/>
      <c r="E86" s="307"/>
      <c r="F86" s="307"/>
      <c r="G86" s="307"/>
      <c r="H86" s="307"/>
      <c r="I86" s="307"/>
      <c r="J86" s="307"/>
      <c r="L86" s="617"/>
      <c r="M86" s="617"/>
      <c r="N86" s="617"/>
      <c r="O86" s="617"/>
      <c r="P86" s="617"/>
      <c r="Q86" s="617"/>
      <c r="R86" s="617"/>
      <c r="S86" s="617"/>
    </row>
    <row r="87">
      <c r="B87" s="371"/>
      <c r="C87" s="307"/>
      <c r="D87" s="307"/>
      <c r="E87" s="307"/>
      <c r="F87" s="307"/>
      <c r="G87" s="307"/>
      <c r="H87" s="307"/>
      <c r="I87" s="307"/>
      <c r="J87" s="307"/>
      <c r="L87" s="617"/>
      <c r="M87" s="617"/>
      <c r="N87" s="617"/>
      <c r="O87" s="617"/>
      <c r="P87" s="617"/>
      <c r="Q87" s="617"/>
      <c r="R87" s="617"/>
      <c r="S87" s="617"/>
    </row>
    <row r="88">
      <c r="B88" s="371"/>
      <c r="C88" s="307"/>
      <c r="D88" s="307"/>
      <c r="E88" s="307"/>
      <c r="F88" s="307"/>
      <c r="G88" s="307"/>
      <c r="H88" s="307"/>
      <c r="I88" s="307"/>
      <c r="J88" s="307"/>
      <c r="L88" s="617"/>
      <c r="M88" s="617"/>
      <c r="N88" s="617"/>
      <c r="O88" s="617"/>
      <c r="P88" s="617"/>
      <c r="Q88" s="617"/>
      <c r="R88" s="617"/>
      <c r="S88" s="617"/>
    </row>
    <row r="89">
      <c r="B89" s="371"/>
      <c r="C89" s="307"/>
      <c r="D89" s="307"/>
      <c r="E89" s="307"/>
      <c r="F89" s="307"/>
      <c r="G89" s="307"/>
      <c r="H89" s="307"/>
      <c r="I89" s="307"/>
      <c r="J89" s="307"/>
      <c r="L89" s="617"/>
      <c r="M89" s="617"/>
      <c r="N89" s="617"/>
      <c r="O89" s="617"/>
      <c r="P89" s="617"/>
      <c r="Q89" s="617"/>
      <c r="R89" s="617"/>
      <c r="S89" s="617"/>
    </row>
    <row r="90">
      <c r="B90" s="371"/>
      <c r="C90" s="307"/>
      <c r="D90" s="307"/>
      <c r="E90" s="307"/>
      <c r="F90" s="307"/>
      <c r="G90" s="307"/>
      <c r="H90" s="307"/>
      <c r="I90" s="307"/>
      <c r="J90" s="307"/>
      <c r="L90" s="617"/>
      <c r="M90" s="617"/>
      <c r="N90" s="617"/>
      <c r="O90" s="617"/>
      <c r="P90" s="617"/>
      <c r="Q90" s="617"/>
      <c r="R90" s="617"/>
      <c r="S90" s="617"/>
    </row>
    <row r="91">
      <c r="B91" s="371"/>
      <c r="C91" s="307"/>
      <c r="D91" s="307"/>
      <c r="E91" s="307"/>
      <c r="F91" s="307"/>
      <c r="G91" s="307"/>
      <c r="H91" s="307"/>
      <c r="I91" s="307"/>
      <c r="J91" s="307"/>
      <c r="L91" s="617"/>
      <c r="M91" s="617"/>
      <c r="N91" s="617"/>
      <c r="O91" s="617"/>
      <c r="P91" s="617"/>
      <c r="Q91" s="617"/>
      <c r="R91" s="617"/>
      <c r="S91" s="617"/>
    </row>
    <row r="92">
      <c r="B92" s="371"/>
      <c r="C92" s="307"/>
      <c r="D92" s="307"/>
      <c r="E92" s="307"/>
      <c r="F92" s="307"/>
      <c r="G92" s="307"/>
      <c r="H92" s="307"/>
      <c r="I92" s="307"/>
      <c r="J92" s="307"/>
      <c r="L92" s="617"/>
      <c r="M92" s="617"/>
      <c r="N92" s="617"/>
      <c r="O92" s="617"/>
      <c r="P92" s="617"/>
      <c r="Q92" s="617"/>
      <c r="R92" s="617"/>
      <c r="S92" s="617"/>
    </row>
    <row r="93">
      <c r="B93" s="371"/>
      <c r="C93" s="307"/>
      <c r="D93" s="307"/>
      <c r="E93" s="307"/>
      <c r="F93" s="307"/>
      <c r="G93" s="307"/>
      <c r="H93" s="307"/>
      <c r="I93" s="307"/>
      <c r="J93" s="307"/>
      <c r="L93" s="617"/>
      <c r="M93" s="617"/>
      <c r="N93" s="617"/>
      <c r="O93" s="617"/>
      <c r="P93" s="617"/>
      <c r="Q93" s="617"/>
      <c r="R93" s="617"/>
      <c r="S93" s="617"/>
    </row>
    <row r="94">
      <c r="B94" s="371"/>
      <c r="C94" s="307"/>
      <c r="D94" s="307"/>
      <c r="E94" s="307"/>
      <c r="F94" s="307"/>
      <c r="G94" s="307"/>
      <c r="H94" s="307"/>
      <c r="I94" s="307"/>
      <c r="J94" s="307"/>
      <c r="L94" s="617"/>
      <c r="M94" s="617"/>
      <c r="N94" s="617"/>
      <c r="O94" s="617"/>
      <c r="P94" s="617"/>
      <c r="Q94" s="617"/>
      <c r="R94" s="617"/>
      <c r="S94" s="617"/>
    </row>
    <row r="95">
      <c r="B95" s="371"/>
      <c r="C95" s="307"/>
      <c r="D95" s="307"/>
      <c r="E95" s="307"/>
      <c r="F95" s="307"/>
      <c r="G95" s="307"/>
      <c r="H95" s="307"/>
      <c r="I95" s="307"/>
      <c r="J95" s="307"/>
      <c r="L95" s="617"/>
      <c r="M95" s="617"/>
      <c r="N95" s="617"/>
      <c r="O95" s="617"/>
      <c r="P95" s="617"/>
      <c r="Q95" s="617"/>
      <c r="R95" s="617"/>
      <c r="S95" s="617"/>
    </row>
    <row r="96">
      <c r="B96" s="371"/>
      <c r="C96" s="307"/>
      <c r="D96" s="307"/>
      <c r="E96" s="307"/>
      <c r="F96" s="307"/>
      <c r="G96" s="307"/>
      <c r="H96" s="307"/>
      <c r="I96" s="307"/>
      <c r="J96" s="307"/>
      <c r="L96" s="617"/>
      <c r="M96" s="617"/>
      <c r="N96" s="617"/>
      <c r="O96" s="617"/>
      <c r="P96" s="617"/>
      <c r="Q96" s="617"/>
      <c r="R96" s="617"/>
      <c r="S96" s="617"/>
    </row>
    <row r="97">
      <c r="B97" s="371"/>
      <c r="C97" s="307"/>
      <c r="D97" s="307"/>
      <c r="E97" s="307"/>
      <c r="F97" s="307"/>
      <c r="G97" s="307"/>
      <c r="H97" s="307"/>
      <c r="I97" s="307"/>
      <c r="J97" s="307"/>
      <c r="L97" s="617"/>
      <c r="M97" s="617"/>
      <c r="N97" s="617"/>
      <c r="O97" s="617"/>
      <c r="P97" s="617"/>
      <c r="Q97" s="617"/>
      <c r="R97" s="617"/>
      <c r="S97" s="617"/>
    </row>
    <row r="98">
      <c r="B98" s="371"/>
      <c r="C98" s="307"/>
      <c r="D98" s="307"/>
      <c r="E98" s="307"/>
      <c r="F98" s="307"/>
      <c r="G98" s="307"/>
      <c r="H98" s="307"/>
      <c r="I98" s="307"/>
      <c r="J98" s="307"/>
      <c r="L98" s="617"/>
      <c r="M98" s="617"/>
      <c r="N98" s="617"/>
      <c r="O98" s="617"/>
      <c r="P98" s="617"/>
      <c r="Q98" s="617"/>
      <c r="R98" s="617"/>
      <c r="S98" s="617"/>
    </row>
    <row r="99">
      <c r="B99" s="371"/>
      <c r="C99" s="307"/>
      <c r="D99" s="307"/>
      <c r="E99" s="307"/>
      <c r="F99" s="307"/>
      <c r="G99" s="307"/>
      <c r="H99" s="307"/>
      <c r="I99" s="307"/>
      <c r="J99" s="307"/>
      <c r="L99" s="617"/>
      <c r="M99" s="617"/>
      <c r="N99" s="617"/>
      <c r="O99" s="617"/>
      <c r="P99" s="617"/>
      <c r="Q99" s="617"/>
      <c r="R99" s="617"/>
      <c r="S99" s="617"/>
    </row>
    <row r="100">
      <c r="B100" s="371"/>
      <c r="C100" s="307"/>
      <c r="D100" s="307"/>
      <c r="E100" s="307"/>
      <c r="F100" s="307"/>
      <c r="G100" s="307"/>
      <c r="H100" s="307"/>
      <c r="I100" s="307"/>
      <c r="J100" s="307"/>
      <c r="L100" s="617"/>
      <c r="M100" s="617"/>
      <c r="N100" s="617"/>
      <c r="O100" s="617"/>
      <c r="P100" s="617"/>
      <c r="Q100" s="617"/>
      <c r="R100" s="617"/>
      <c r="S100" s="617"/>
    </row>
    <row r="101">
      <c r="B101" s="371"/>
      <c r="C101" s="307"/>
      <c r="D101" s="307"/>
      <c r="E101" s="307"/>
      <c r="F101" s="307"/>
      <c r="G101" s="307"/>
      <c r="H101" s="307"/>
      <c r="I101" s="307"/>
      <c r="J101" s="307"/>
      <c r="L101" s="617"/>
      <c r="M101" s="617"/>
      <c r="N101" s="617"/>
      <c r="O101" s="617"/>
      <c r="P101" s="617"/>
      <c r="Q101" s="617"/>
      <c r="R101" s="617"/>
      <c r="S101" s="617"/>
    </row>
    <row r="102">
      <c r="B102" s="371"/>
      <c r="C102" s="307"/>
      <c r="D102" s="307"/>
      <c r="E102" s="307"/>
      <c r="F102" s="307"/>
      <c r="G102" s="307"/>
      <c r="H102" s="307"/>
      <c r="I102" s="307"/>
      <c r="J102" s="307"/>
      <c r="L102" s="617"/>
      <c r="M102" s="617"/>
      <c r="N102" s="617"/>
      <c r="O102" s="617"/>
      <c r="P102" s="617"/>
      <c r="Q102" s="617"/>
      <c r="R102" s="617"/>
      <c r="S102" s="617"/>
    </row>
    <row r="103">
      <c r="B103" s="371"/>
      <c r="C103" s="307"/>
      <c r="D103" s="307"/>
      <c r="E103" s="307"/>
      <c r="F103" s="307"/>
      <c r="G103" s="307"/>
      <c r="H103" s="307"/>
      <c r="I103" s="307"/>
      <c r="J103" s="307"/>
      <c r="L103" s="617"/>
      <c r="M103" s="617"/>
      <c r="N103" s="617"/>
      <c r="O103" s="617"/>
      <c r="P103" s="617"/>
      <c r="Q103" s="617"/>
      <c r="R103" s="617"/>
      <c r="S103" s="617"/>
    </row>
    <row r="104">
      <c r="B104" s="371"/>
      <c r="C104" s="307"/>
      <c r="D104" s="307"/>
      <c r="E104" s="307"/>
      <c r="F104" s="307"/>
      <c r="G104" s="307"/>
      <c r="H104" s="307"/>
      <c r="I104" s="307"/>
      <c r="J104" s="307"/>
      <c r="L104" s="617"/>
      <c r="M104" s="617"/>
      <c r="N104" s="617"/>
      <c r="O104" s="617"/>
      <c r="P104" s="617"/>
      <c r="Q104" s="617"/>
      <c r="R104" s="617"/>
      <c r="S104" s="617"/>
    </row>
    <row r="105">
      <c r="B105" s="371"/>
      <c r="C105" s="307"/>
      <c r="D105" s="307"/>
      <c r="E105" s="307"/>
      <c r="F105" s="307"/>
      <c r="G105" s="307"/>
      <c r="H105" s="307"/>
      <c r="I105" s="307"/>
      <c r="J105" s="307"/>
      <c r="L105" s="617"/>
      <c r="M105" s="617"/>
      <c r="N105" s="617"/>
      <c r="O105" s="617"/>
      <c r="P105" s="617"/>
      <c r="Q105" s="617"/>
      <c r="R105" s="617"/>
      <c r="S105" s="617"/>
    </row>
    <row r="106">
      <c r="B106" s="371"/>
      <c r="C106" s="307"/>
      <c r="D106" s="307"/>
      <c r="E106" s="307"/>
      <c r="F106" s="307"/>
      <c r="G106" s="307"/>
      <c r="H106" s="307"/>
      <c r="I106" s="307"/>
      <c r="J106" s="307"/>
      <c r="L106" s="617"/>
      <c r="M106" s="617"/>
      <c r="N106" s="617"/>
      <c r="O106" s="617"/>
      <c r="P106" s="617"/>
      <c r="Q106" s="617"/>
      <c r="R106" s="617"/>
      <c r="S106" s="617"/>
    </row>
    <row r="107">
      <c r="B107" s="371"/>
      <c r="C107" s="307"/>
      <c r="D107" s="307"/>
      <c r="E107" s="307"/>
      <c r="F107" s="307"/>
      <c r="G107" s="307"/>
      <c r="H107" s="307"/>
      <c r="I107" s="307"/>
      <c r="J107" s="307"/>
      <c r="L107" s="617"/>
      <c r="M107" s="617"/>
      <c r="N107" s="617"/>
      <c r="O107" s="617"/>
      <c r="P107" s="617"/>
      <c r="Q107" s="617"/>
      <c r="R107" s="617"/>
      <c r="S107" s="617"/>
    </row>
    <row r="108">
      <c r="B108" s="371"/>
      <c r="C108" s="307"/>
      <c r="D108" s="307"/>
      <c r="E108" s="307"/>
      <c r="F108" s="307"/>
      <c r="G108" s="307"/>
      <c r="H108" s="307"/>
      <c r="I108" s="307"/>
      <c r="J108" s="307"/>
      <c r="L108" s="617"/>
      <c r="M108" s="617"/>
      <c r="N108" s="617"/>
      <c r="O108" s="617"/>
      <c r="P108" s="617"/>
      <c r="Q108" s="617"/>
      <c r="R108" s="617"/>
      <c r="S108" s="617"/>
    </row>
    <row r="109">
      <c r="B109" s="371"/>
      <c r="C109" s="307"/>
      <c r="D109" s="307"/>
      <c r="E109" s="307"/>
      <c r="F109" s="307"/>
      <c r="G109" s="307"/>
      <c r="H109" s="307"/>
      <c r="I109" s="307"/>
      <c r="J109" s="307"/>
      <c r="L109" s="617"/>
      <c r="M109" s="617"/>
      <c r="N109" s="617"/>
      <c r="O109" s="617"/>
      <c r="P109" s="617"/>
      <c r="Q109" s="617"/>
      <c r="R109" s="617"/>
      <c r="S109" s="617"/>
    </row>
    <row r="110">
      <c r="B110" s="371"/>
      <c r="C110" s="307"/>
      <c r="D110" s="307"/>
      <c r="E110" s="307"/>
      <c r="F110" s="307"/>
      <c r="G110" s="307"/>
      <c r="H110" s="307"/>
      <c r="I110" s="307"/>
      <c r="J110" s="307"/>
      <c r="L110" s="617"/>
      <c r="M110" s="617"/>
      <c r="N110" s="617"/>
      <c r="O110" s="617"/>
      <c r="P110" s="617"/>
      <c r="Q110" s="617"/>
      <c r="R110" s="617"/>
      <c r="S110" s="617"/>
    </row>
    <row r="111">
      <c r="B111" s="371"/>
      <c r="C111" s="307"/>
      <c r="D111" s="307"/>
      <c r="E111" s="307"/>
      <c r="F111" s="307"/>
      <c r="G111" s="307"/>
      <c r="H111" s="307"/>
      <c r="I111" s="307"/>
      <c r="J111" s="307"/>
      <c r="L111" s="617"/>
      <c r="M111" s="617"/>
      <c r="N111" s="617"/>
      <c r="O111" s="617"/>
      <c r="P111" s="617"/>
      <c r="Q111" s="617"/>
      <c r="R111" s="617"/>
      <c r="S111" s="617"/>
    </row>
    <row r="112">
      <c r="B112" s="371"/>
      <c r="C112" s="307"/>
      <c r="D112" s="307"/>
      <c r="E112" s="307"/>
      <c r="F112" s="307"/>
      <c r="G112" s="307"/>
      <c r="H112" s="307"/>
      <c r="I112" s="307"/>
      <c r="J112" s="307"/>
      <c r="L112" s="617"/>
      <c r="M112" s="617"/>
      <c r="N112" s="617"/>
      <c r="O112" s="617"/>
      <c r="P112" s="617"/>
      <c r="Q112" s="617"/>
      <c r="R112" s="617"/>
      <c r="S112" s="617"/>
    </row>
    <row r="113">
      <c r="B113" s="371"/>
      <c r="C113" s="307"/>
      <c r="D113" s="307"/>
      <c r="E113" s="307"/>
      <c r="F113" s="307"/>
      <c r="G113" s="307"/>
      <c r="H113" s="307"/>
      <c r="I113" s="307"/>
      <c r="J113" s="307"/>
      <c r="L113" s="617"/>
      <c r="M113" s="617"/>
      <c r="N113" s="617"/>
      <c r="O113" s="617"/>
      <c r="P113" s="617"/>
      <c r="Q113" s="617"/>
      <c r="R113" s="617"/>
      <c r="S113" s="617"/>
    </row>
    <row r="114">
      <c r="B114" s="371"/>
      <c r="C114" s="307"/>
      <c r="D114" s="307"/>
      <c r="E114" s="307"/>
      <c r="F114" s="307"/>
      <c r="G114" s="307"/>
      <c r="H114" s="307"/>
      <c r="I114" s="307"/>
      <c r="J114" s="307"/>
      <c r="L114" s="617"/>
      <c r="M114" s="617"/>
      <c r="N114" s="617"/>
      <c r="O114" s="617"/>
      <c r="P114" s="617"/>
      <c r="Q114" s="617"/>
      <c r="R114" s="617"/>
      <c r="S114" s="617"/>
    </row>
    <row r="115">
      <c r="B115" s="371"/>
      <c r="C115" s="307"/>
      <c r="D115" s="307"/>
      <c r="E115" s="307"/>
      <c r="F115" s="307"/>
      <c r="G115" s="307"/>
      <c r="H115" s="307"/>
      <c r="I115" s="307"/>
      <c r="J115" s="307"/>
      <c r="L115" s="617"/>
      <c r="M115" s="617"/>
      <c r="N115" s="617"/>
      <c r="O115" s="617"/>
      <c r="P115" s="617"/>
      <c r="Q115" s="617"/>
      <c r="R115" s="617"/>
      <c r="S115" s="617"/>
    </row>
    <row r="116">
      <c r="B116" s="371"/>
      <c r="C116" s="307"/>
      <c r="D116" s="307"/>
      <c r="E116" s="307"/>
      <c r="F116" s="307"/>
      <c r="G116" s="307"/>
      <c r="H116" s="307"/>
      <c r="I116" s="307"/>
      <c r="J116" s="307"/>
      <c r="L116" s="617"/>
      <c r="M116" s="617"/>
      <c r="N116" s="617"/>
      <c r="O116" s="617"/>
      <c r="P116" s="617"/>
      <c r="Q116" s="617"/>
      <c r="R116" s="617"/>
      <c r="S116" s="617"/>
    </row>
    <row r="117">
      <c r="B117" s="371"/>
      <c r="C117" s="307"/>
      <c r="D117" s="307"/>
      <c r="E117" s="307"/>
      <c r="F117" s="307"/>
      <c r="G117" s="307"/>
      <c r="H117" s="307"/>
      <c r="I117" s="307"/>
      <c r="J117" s="307"/>
      <c r="L117" s="617"/>
      <c r="M117" s="617"/>
      <c r="N117" s="617"/>
      <c r="O117" s="617"/>
      <c r="P117" s="617"/>
      <c r="Q117" s="617"/>
      <c r="R117" s="617"/>
      <c r="S117" s="617"/>
    </row>
    <row r="118">
      <c r="B118" s="371"/>
      <c r="C118" s="307"/>
      <c r="D118" s="307"/>
      <c r="E118" s="307"/>
      <c r="F118" s="307"/>
      <c r="G118" s="307"/>
      <c r="H118" s="307"/>
      <c r="I118" s="307"/>
      <c r="J118" s="307"/>
      <c r="L118" s="617"/>
      <c r="M118" s="617"/>
      <c r="N118" s="617"/>
      <c r="O118" s="617"/>
      <c r="P118" s="617"/>
      <c r="Q118" s="617"/>
      <c r="R118" s="617"/>
      <c r="S118" s="617"/>
    </row>
    <row r="119">
      <c r="B119" s="371"/>
      <c r="C119" s="307"/>
      <c r="D119" s="307"/>
      <c r="E119" s="307"/>
      <c r="F119" s="307"/>
      <c r="G119" s="307"/>
      <c r="H119" s="307"/>
      <c r="I119" s="307"/>
      <c r="J119" s="307"/>
      <c r="L119" s="617"/>
      <c r="M119" s="617"/>
      <c r="N119" s="617"/>
      <c r="O119" s="617"/>
      <c r="P119" s="617"/>
      <c r="Q119" s="617"/>
      <c r="R119" s="617"/>
      <c r="S119" s="617"/>
    </row>
    <row r="120">
      <c r="B120" s="371"/>
      <c r="C120" s="307"/>
      <c r="D120" s="307"/>
      <c r="E120" s="307"/>
      <c r="F120" s="307"/>
      <c r="G120" s="307"/>
      <c r="H120" s="307"/>
      <c r="I120" s="307"/>
      <c r="J120" s="307"/>
      <c r="L120" s="617"/>
      <c r="M120" s="617"/>
      <c r="N120" s="617"/>
      <c r="O120" s="617"/>
      <c r="P120" s="617"/>
      <c r="Q120" s="617"/>
      <c r="R120" s="617"/>
      <c r="S120" s="617"/>
    </row>
    <row r="121">
      <c r="B121" s="371"/>
      <c r="C121" s="307"/>
      <c r="D121" s="307"/>
      <c r="E121" s="307"/>
      <c r="F121" s="307"/>
      <c r="G121" s="307"/>
      <c r="H121" s="307"/>
      <c r="I121" s="307"/>
      <c r="J121" s="307"/>
      <c r="L121" s="617"/>
      <c r="M121" s="617"/>
      <c r="N121" s="617"/>
      <c r="O121" s="617"/>
      <c r="P121" s="617"/>
      <c r="Q121" s="617"/>
      <c r="R121" s="617"/>
      <c r="S121" s="617"/>
    </row>
    <row r="122">
      <c r="B122" s="371"/>
      <c r="C122" s="307"/>
      <c r="D122" s="307"/>
      <c r="E122" s="307"/>
      <c r="F122" s="307"/>
      <c r="G122" s="307"/>
      <c r="H122" s="307"/>
      <c r="I122" s="307"/>
      <c r="J122" s="307"/>
      <c r="L122" s="617"/>
      <c r="M122" s="617"/>
      <c r="N122" s="617"/>
      <c r="O122" s="617"/>
      <c r="P122" s="617"/>
      <c r="Q122" s="617"/>
      <c r="R122" s="617"/>
      <c r="S122" s="617"/>
    </row>
    <row r="123">
      <c r="B123" s="371"/>
      <c r="C123" s="307"/>
      <c r="D123" s="307"/>
      <c r="E123" s="307"/>
      <c r="F123" s="307"/>
      <c r="G123" s="307"/>
      <c r="H123" s="307"/>
      <c r="I123" s="307"/>
      <c r="J123" s="307"/>
      <c r="L123" s="617"/>
      <c r="M123" s="617"/>
      <c r="N123" s="617"/>
      <c r="O123" s="617"/>
      <c r="P123" s="617"/>
      <c r="Q123" s="617"/>
      <c r="R123" s="617"/>
      <c r="S123" s="617"/>
    </row>
    <row r="124">
      <c r="B124" s="371"/>
      <c r="C124" s="307"/>
      <c r="D124" s="307"/>
      <c r="E124" s="307"/>
      <c r="F124" s="307"/>
      <c r="G124" s="307"/>
      <c r="H124" s="307"/>
      <c r="I124" s="307"/>
      <c r="J124" s="307"/>
      <c r="L124" s="617"/>
      <c r="M124" s="617"/>
      <c r="N124" s="617"/>
      <c r="O124" s="617"/>
      <c r="P124" s="617"/>
      <c r="Q124" s="617"/>
      <c r="R124" s="617"/>
      <c r="S124" s="617"/>
    </row>
    <row r="125">
      <c r="B125" s="371"/>
      <c r="C125" s="307"/>
      <c r="D125" s="307"/>
      <c r="E125" s="307"/>
      <c r="F125" s="307"/>
      <c r="G125" s="307"/>
      <c r="H125" s="307"/>
      <c r="I125" s="307"/>
      <c r="J125" s="307"/>
      <c r="L125" s="617"/>
      <c r="M125" s="617"/>
      <c r="N125" s="617"/>
      <c r="O125" s="617"/>
      <c r="P125" s="617"/>
      <c r="Q125" s="617"/>
      <c r="R125" s="617"/>
      <c r="S125" s="617"/>
    </row>
    <row r="126">
      <c r="B126" s="371"/>
      <c r="C126" s="307"/>
      <c r="D126" s="307"/>
      <c r="E126" s="307"/>
      <c r="F126" s="307"/>
      <c r="G126" s="307"/>
      <c r="H126" s="307"/>
      <c r="I126" s="307"/>
      <c r="J126" s="307"/>
      <c r="L126" s="617"/>
      <c r="M126" s="617"/>
      <c r="N126" s="617"/>
      <c r="O126" s="617"/>
      <c r="P126" s="617"/>
      <c r="Q126" s="617"/>
      <c r="R126" s="617"/>
      <c r="S126" s="617"/>
    </row>
    <row r="127">
      <c r="B127" s="371"/>
      <c r="C127" s="307"/>
      <c r="D127" s="307"/>
      <c r="E127" s="307"/>
      <c r="F127" s="307"/>
      <c r="G127" s="307"/>
      <c r="H127" s="307"/>
      <c r="I127" s="307"/>
      <c r="J127" s="307"/>
      <c r="L127" s="617"/>
      <c r="M127" s="617"/>
      <c r="N127" s="617"/>
      <c r="O127" s="617"/>
      <c r="P127" s="617"/>
      <c r="Q127" s="617"/>
      <c r="R127" s="617"/>
      <c r="S127" s="617"/>
    </row>
    <row r="128">
      <c r="B128" s="371"/>
      <c r="C128" s="307"/>
      <c r="D128" s="307"/>
      <c r="E128" s="307"/>
      <c r="F128" s="307"/>
      <c r="G128" s="307"/>
      <c r="H128" s="307"/>
      <c r="I128" s="307"/>
      <c r="J128" s="307"/>
      <c r="L128" s="617"/>
      <c r="M128" s="617"/>
      <c r="N128" s="617"/>
      <c r="O128" s="617"/>
      <c r="P128" s="617"/>
      <c r="Q128" s="617"/>
      <c r="R128" s="617"/>
      <c r="S128" s="617"/>
    </row>
    <row r="129">
      <c r="B129" s="371"/>
      <c r="C129" s="307"/>
      <c r="D129" s="307"/>
      <c r="E129" s="307"/>
      <c r="F129" s="307"/>
      <c r="G129" s="307"/>
      <c r="H129" s="307"/>
      <c r="I129" s="307"/>
      <c r="J129" s="307"/>
      <c r="L129" s="617"/>
      <c r="M129" s="617"/>
      <c r="N129" s="617"/>
      <c r="O129" s="617"/>
      <c r="P129" s="617"/>
      <c r="Q129" s="617"/>
      <c r="R129" s="617"/>
      <c r="S129" s="617"/>
    </row>
    <row r="130">
      <c r="B130" s="371"/>
      <c r="C130" s="307"/>
      <c r="D130" s="307"/>
      <c r="E130" s="307"/>
      <c r="F130" s="307"/>
      <c r="G130" s="307"/>
      <c r="H130" s="307"/>
      <c r="I130" s="307"/>
      <c r="J130" s="307"/>
      <c r="L130" s="617"/>
      <c r="M130" s="617"/>
      <c r="N130" s="617"/>
      <c r="O130" s="617"/>
      <c r="P130" s="617"/>
      <c r="Q130" s="617"/>
      <c r="R130" s="617"/>
      <c r="S130" s="617"/>
    </row>
    <row r="131">
      <c r="B131" s="371"/>
      <c r="C131" s="307"/>
      <c r="D131" s="307"/>
      <c r="E131" s="307"/>
      <c r="F131" s="307"/>
      <c r="G131" s="307"/>
      <c r="H131" s="307"/>
      <c r="I131" s="307"/>
      <c r="J131" s="307"/>
      <c r="L131" s="617"/>
      <c r="M131" s="617"/>
      <c r="N131" s="617"/>
      <c r="O131" s="617"/>
      <c r="P131" s="617"/>
      <c r="Q131" s="617"/>
      <c r="R131" s="617"/>
      <c r="S131" s="617"/>
    </row>
    <row r="132">
      <c r="B132" s="371"/>
      <c r="C132" s="307"/>
      <c r="D132" s="307"/>
      <c r="E132" s="307"/>
      <c r="F132" s="307"/>
      <c r="G132" s="307"/>
      <c r="H132" s="307"/>
      <c r="I132" s="307"/>
      <c r="J132" s="307"/>
      <c r="L132" s="617"/>
      <c r="M132" s="617"/>
      <c r="N132" s="617"/>
      <c r="O132" s="617"/>
      <c r="P132" s="617"/>
      <c r="Q132" s="617"/>
      <c r="R132" s="617"/>
      <c r="S132" s="617"/>
    </row>
    <row r="133">
      <c r="B133" s="371"/>
      <c r="C133" s="307"/>
      <c r="D133" s="307"/>
      <c r="E133" s="307"/>
      <c r="F133" s="307"/>
      <c r="G133" s="307"/>
      <c r="H133" s="307"/>
      <c r="I133" s="307"/>
      <c r="J133" s="307"/>
      <c r="L133" s="617"/>
      <c r="M133" s="617"/>
      <c r="N133" s="617"/>
      <c r="O133" s="617"/>
      <c r="P133" s="617"/>
      <c r="Q133" s="617"/>
      <c r="R133" s="617"/>
      <c r="S133" s="617"/>
    </row>
    <row r="134">
      <c r="B134" s="371"/>
      <c r="C134" s="307"/>
      <c r="D134" s="307"/>
      <c r="E134" s="307"/>
      <c r="F134" s="307"/>
      <c r="G134" s="307"/>
      <c r="H134" s="307"/>
      <c r="I134" s="307"/>
      <c r="J134" s="307"/>
      <c r="L134" s="617"/>
      <c r="M134" s="617"/>
      <c r="N134" s="617"/>
      <c r="O134" s="617"/>
      <c r="P134" s="617"/>
      <c r="Q134" s="617"/>
      <c r="R134" s="617"/>
      <c r="S134" s="617"/>
    </row>
    <row r="135">
      <c r="B135" s="371"/>
      <c r="C135" s="307"/>
      <c r="D135" s="307"/>
      <c r="E135" s="307"/>
      <c r="F135" s="307"/>
      <c r="G135" s="307"/>
      <c r="H135" s="307"/>
      <c r="I135" s="307"/>
      <c r="J135" s="307"/>
      <c r="L135" s="617"/>
      <c r="M135" s="617"/>
      <c r="N135" s="617"/>
      <c r="O135" s="617"/>
      <c r="P135" s="617"/>
      <c r="Q135" s="617"/>
      <c r="R135" s="617"/>
      <c r="S135" s="617"/>
    </row>
    <row r="136">
      <c r="B136" s="371"/>
      <c r="C136" s="307"/>
      <c r="D136" s="307"/>
      <c r="E136" s="307"/>
      <c r="F136" s="307"/>
      <c r="G136" s="307"/>
      <c r="H136" s="307"/>
      <c r="I136" s="307"/>
      <c r="J136" s="307"/>
      <c r="L136" s="617"/>
      <c r="M136" s="617"/>
      <c r="N136" s="617"/>
      <c r="O136" s="617"/>
      <c r="P136" s="617"/>
      <c r="Q136" s="617"/>
      <c r="R136" s="617"/>
      <c r="S136" s="617"/>
    </row>
    <row r="137">
      <c r="B137" s="371"/>
      <c r="C137" s="307"/>
      <c r="D137" s="307"/>
      <c r="E137" s="307"/>
      <c r="F137" s="307"/>
      <c r="G137" s="307"/>
      <c r="H137" s="307"/>
      <c r="I137" s="307"/>
      <c r="J137" s="307"/>
      <c r="L137" s="617"/>
      <c r="M137" s="617"/>
      <c r="N137" s="617"/>
      <c r="O137" s="617"/>
      <c r="P137" s="617"/>
      <c r="Q137" s="617"/>
      <c r="R137" s="617"/>
      <c r="S137" s="617"/>
    </row>
    <row r="138">
      <c r="B138" s="371"/>
      <c r="C138" s="307"/>
      <c r="D138" s="307"/>
      <c r="E138" s="307"/>
      <c r="F138" s="307"/>
      <c r="G138" s="307"/>
      <c r="H138" s="307"/>
      <c r="I138" s="307"/>
      <c r="J138" s="307"/>
      <c r="L138" s="617"/>
      <c r="M138" s="617"/>
      <c r="N138" s="617"/>
      <c r="O138" s="617"/>
      <c r="P138" s="617"/>
      <c r="Q138" s="617"/>
      <c r="R138" s="617"/>
      <c r="S138" s="617"/>
    </row>
    <row r="139">
      <c r="B139" s="371"/>
      <c r="C139" s="307"/>
      <c r="D139" s="307"/>
      <c r="E139" s="307"/>
      <c r="F139" s="307"/>
      <c r="G139" s="307"/>
      <c r="H139" s="307"/>
      <c r="I139" s="307"/>
      <c r="J139" s="307"/>
      <c r="L139" s="617"/>
      <c r="M139" s="617"/>
      <c r="N139" s="617"/>
      <c r="O139" s="617"/>
      <c r="P139" s="617"/>
      <c r="Q139" s="617"/>
      <c r="R139" s="617"/>
      <c r="S139" s="617"/>
    </row>
    <row r="140">
      <c r="B140" s="371"/>
      <c r="C140" s="307"/>
      <c r="D140" s="307"/>
      <c r="E140" s="307"/>
      <c r="F140" s="307"/>
      <c r="G140" s="307"/>
      <c r="H140" s="307"/>
      <c r="I140" s="307"/>
      <c r="J140" s="307"/>
      <c r="L140" s="617"/>
      <c r="M140" s="617"/>
      <c r="N140" s="617"/>
      <c r="O140" s="617"/>
      <c r="P140" s="617"/>
      <c r="Q140" s="617"/>
      <c r="R140" s="617"/>
      <c r="S140" s="617"/>
    </row>
    <row r="141">
      <c r="B141" s="371"/>
      <c r="C141" s="307"/>
      <c r="D141" s="307"/>
      <c r="E141" s="307"/>
      <c r="F141" s="307"/>
      <c r="G141" s="307"/>
      <c r="H141" s="307"/>
      <c r="I141" s="307"/>
      <c r="J141" s="307"/>
      <c r="L141" s="617"/>
      <c r="M141" s="617"/>
      <c r="N141" s="617"/>
      <c r="O141" s="617"/>
      <c r="P141" s="617"/>
      <c r="Q141" s="617"/>
      <c r="R141" s="617"/>
      <c r="S141" s="617"/>
    </row>
    <row r="142">
      <c r="B142" s="371"/>
      <c r="C142" s="307"/>
      <c r="D142" s="307"/>
      <c r="E142" s="307"/>
      <c r="F142" s="307"/>
      <c r="G142" s="307"/>
      <c r="H142" s="307"/>
      <c r="I142" s="307"/>
      <c r="J142" s="307"/>
      <c r="L142" s="617"/>
      <c r="M142" s="617"/>
      <c r="N142" s="617"/>
      <c r="O142" s="617"/>
      <c r="P142" s="617"/>
      <c r="Q142" s="617"/>
      <c r="R142" s="617"/>
      <c r="S142" s="617"/>
    </row>
    <row r="143">
      <c r="B143" s="371"/>
      <c r="C143" s="307"/>
      <c r="D143" s="307"/>
      <c r="E143" s="307"/>
      <c r="F143" s="307"/>
      <c r="G143" s="307"/>
      <c r="H143" s="307"/>
      <c r="I143" s="307"/>
      <c r="J143" s="307"/>
      <c r="L143" s="617"/>
      <c r="M143" s="617"/>
      <c r="N143" s="617"/>
      <c r="O143" s="617"/>
      <c r="P143" s="617"/>
      <c r="Q143" s="617"/>
      <c r="R143" s="617"/>
      <c r="S143" s="617"/>
    </row>
    <row r="144">
      <c r="B144" s="371"/>
      <c r="C144" s="307"/>
      <c r="D144" s="307"/>
      <c r="E144" s="307"/>
      <c r="F144" s="307"/>
      <c r="G144" s="307"/>
      <c r="H144" s="307"/>
      <c r="I144" s="307"/>
      <c r="J144" s="307"/>
      <c r="L144" s="617"/>
      <c r="M144" s="617"/>
      <c r="N144" s="617"/>
      <c r="O144" s="617"/>
      <c r="P144" s="617"/>
      <c r="Q144" s="617"/>
      <c r="R144" s="617"/>
      <c r="S144" s="617"/>
    </row>
    <row r="145">
      <c r="B145" s="371"/>
      <c r="C145" s="307"/>
      <c r="D145" s="307"/>
      <c r="E145" s="307"/>
      <c r="F145" s="307"/>
      <c r="G145" s="307"/>
      <c r="H145" s="307"/>
      <c r="I145" s="307"/>
      <c r="J145" s="307"/>
      <c r="L145" s="617"/>
      <c r="M145" s="617"/>
      <c r="N145" s="617"/>
      <c r="O145" s="617"/>
      <c r="P145" s="617"/>
      <c r="Q145" s="617"/>
      <c r="R145" s="617"/>
      <c r="S145" s="617"/>
    </row>
    <row r="146">
      <c r="B146" s="371"/>
      <c r="C146" s="307"/>
      <c r="D146" s="307"/>
      <c r="E146" s="307"/>
      <c r="F146" s="307"/>
      <c r="G146" s="307"/>
      <c r="H146" s="307"/>
      <c r="I146" s="307"/>
      <c r="J146" s="307"/>
      <c r="L146" s="617"/>
      <c r="M146" s="617"/>
      <c r="N146" s="617"/>
      <c r="O146" s="617"/>
      <c r="P146" s="617"/>
      <c r="Q146" s="617"/>
      <c r="R146" s="617"/>
      <c r="S146" s="617"/>
    </row>
    <row r="147">
      <c r="B147" s="371"/>
      <c r="C147" s="307"/>
      <c r="D147" s="307"/>
      <c r="E147" s="307"/>
      <c r="F147" s="307"/>
      <c r="G147" s="307"/>
      <c r="H147" s="307"/>
      <c r="I147" s="307"/>
      <c r="J147" s="307"/>
      <c r="L147" s="617"/>
      <c r="M147" s="617"/>
      <c r="N147" s="617"/>
      <c r="O147" s="617"/>
      <c r="P147" s="617"/>
      <c r="Q147" s="617"/>
      <c r="R147" s="617"/>
      <c r="S147" s="617"/>
    </row>
    <row r="148">
      <c r="B148" s="371"/>
      <c r="C148" s="307"/>
      <c r="D148" s="307"/>
      <c r="E148" s="307"/>
      <c r="F148" s="307"/>
      <c r="G148" s="307"/>
      <c r="H148" s="307"/>
      <c r="I148" s="307"/>
      <c r="J148" s="307"/>
      <c r="L148" s="617"/>
      <c r="M148" s="617"/>
      <c r="N148" s="617"/>
      <c r="O148" s="617"/>
      <c r="P148" s="617"/>
      <c r="Q148" s="617"/>
      <c r="R148" s="617"/>
      <c r="S148" s="617"/>
    </row>
    <row r="149">
      <c r="B149" s="371"/>
      <c r="C149" s="307"/>
      <c r="D149" s="307"/>
      <c r="E149" s="307"/>
      <c r="F149" s="307"/>
      <c r="G149" s="307"/>
      <c r="H149" s="307"/>
      <c r="I149" s="307"/>
      <c r="J149" s="307"/>
      <c r="L149" s="617"/>
      <c r="M149" s="617"/>
      <c r="N149" s="617"/>
      <c r="O149" s="617"/>
      <c r="P149" s="617"/>
      <c r="Q149" s="617"/>
      <c r="R149" s="617"/>
      <c r="S149" s="617"/>
    </row>
    <row r="150">
      <c r="B150" s="371"/>
      <c r="C150" s="307"/>
      <c r="D150" s="307"/>
      <c r="E150" s="307"/>
      <c r="F150" s="307"/>
      <c r="G150" s="307"/>
      <c r="H150" s="307"/>
      <c r="I150" s="307"/>
      <c r="J150" s="307"/>
      <c r="L150" s="617"/>
      <c r="M150" s="617"/>
      <c r="N150" s="617"/>
      <c r="O150" s="617"/>
      <c r="P150" s="617"/>
      <c r="Q150" s="617"/>
      <c r="R150" s="617"/>
      <c r="S150" s="617"/>
    </row>
    <row r="151">
      <c r="B151" s="371"/>
      <c r="C151" s="307"/>
      <c r="D151" s="307"/>
      <c r="E151" s="307"/>
      <c r="F151" s="307"/>
      <c r="G151" s="307"/>
      <c r="H151" s="307"/>
      <c r="I151" s="307"/>
      <c r="J151" s="307"/>
      <c r="L151" s="617"/>
      <c r="M151" s="617"/>
      <c r="N151" s="617"/>
      <c r="O151" s="617"/>
      <c r="P151" s="617"/>
      <c r="Q151" s="617"/>
      <c r="R151" s="617"/>
      <c r="S151" s="617"/>
    </row>
    <row r="152">
      <c r="B152" s="371"/>
      <c r="C152" s="307"/>
      <c r="D152" s="307"/>
      <c r="E152" s="307"/>
      <c r="F152" s="307"/>
      <c r="G152" s="307"/>
      <c r="H152" s="307"/>
      <c r="I152" s="307"/>
      <c r="J152" s="307"/>
      <c r="L152" s="617"/>
      <c r="M152" s="617"/>
      <c r="N152" s="617"/>
      <c r="O152" s="617"/>
      <c r="P152" s="617"/>
      <c r="Q152" s="617"/>
      <c r="R152" s="617"/>
      <c r="S152" s="617"/>
    </row>
    <row r="153">
      <c r="B153" s="371"/>
      <c r="C153" s="307"/>
      <c r="D153" s="307"/>
      <c r="E153" s="307"/>
      <c r="F153" s="307"/>
      <c r="G153" s="307"/>
      <c r="H153" s="307"/>
      <c r="I153" s="307"/>
      <c r="J153" s="307"/>
      <c r="L153" s="617"/>
      <c r="M153" s="617"/>
      <c r="N153" s="617"/>
      <c r="O153" s="617"/>
      <c r="P153" s="617"/>
      <c r="Q153" s="617"/>
      <c r="R153" s="617"/>
      <c r="S153" s="617"/>
    </row>
    <row r="154">
      <c r="B154" s="371"/>
      <c r="C154" s="307"/>
      <c r="D154" s="307"/>
      <c r="E154" s="307"/>
      <c r="F154" s="307"/>
      <c r="G154" s="307"/>
      <c r="H154" s="307"/>
      <c r="I154" s="307"/>
      <c r="J154" s="307"/>
      <c r="L154" s="617"/>
      <c r="M154" s="617"/>
      <c r="N154" s="617"/>
      <c r="O154" s="617"/>
      <c r="P154" s="617"/>
      <c r="Q154" s="617"/>
      <c r="R154" s="617"/>
      <c r="S154" s="617"/>
    </row>
    <row r="155">
      <c r="B155" s="371"/>
      <c r="C155" s="307"/>
      <c r="D155" s="307"/>
      <c r="E155" s="307"/>
      <c r="F155" s="307"/>
      <c r="G155" s="307"/>
      <c r="H155" s="307"/>
      <c r="I155" s="307"/>
      <c r="J155" s="307"/>
      <c r="L155" s="617"/>
      <c r="M155" s="617"/>
      <c r="N155" s="617"/>
      <c r="O155" s="617"/>
      <c r="P155" s="617"/>
      <c r="Q155" s="617"/>
      <c r="R155" s="617"/>
      <c r="S155" s="617"/>
    </row>
    <row r="156">
      <c r="B156" s="371"/>
      <c r="C156" s="307"/>
      <c r="D156" s="307"/>
      <c r="E156" s="307"/>
      <c r="F156" s="307"/>
      <c r="G156" s="307"/>
      <c r="H156" s="307"/>
      <c r="I156" s="307"/>
      <c r="J156" s="307"/>
      <c r="L156" s="617"/>
      <c r="M156" s="617"/>
      <c r="N156" s="617"/>
      <c r="O156" s="617"/>
      <c r="P156" s="617"/>
      <c r="Q156" s="617"/>
      <c r="R156" s="617"/>
      <c r="S156" s="617"/>
    </row>
    <row r="157">
      <c r="B157" s="371"/>
      <c r="C157" s="307"/>
      <c r="D157" s="307"/>
      <c r="E157" s="307"/>
      <c r="F157" s="307"/>
      <c r="G157" s="307"/>
      <c r="H157" s="307"/>
      <c r="I157" s="307"/>
      <c r="J157" s="307"/>
      <c r="L157" s="617"/>
      <c r="M157" s="617"/>
      <c r="N157" s="617"/>
      <c r="O157" s="617"/>
      <c r="P157" s="617"/>
      <c r="Q157" s="617"/>
      <c r="R157" s="617"/>
      <c r="S157" s="617"/>
    </row>
    <row r="158">
      <c r="B158" s="371"/>
      <c r="C158" s="307"/>
      <c r="D158" s="307"/>
      <c r="E158" s="307"/>
      <c r="F158" s="307"/>
      <c r="G158" s="307"/>
      <c r="H158" s="307"/>
      <c r="I158" s="307"/>
      <c r="J158" s="307"/>
      <c r="L158" s="617"/>
      <c r="M158" s="617"/>
      <c r="N158" s="617"/>
      <c r="O158" s="617"/>
      <c r="P158" s="617"/>
      <c r="Q158" s="617"/>
      <c r="R158" s="617"/>
      <c r="S158" s="617"/>
    </row>
    <row r="159">
      <c r="B159" s="371"/>
      <c r="C159" s="307"/>
      <c r="D159" s="307"/>
      <c r="E159" s="307"/>
      <c r="F159" s="307"/>
      <c r="G159" s="307"/>
      <c r="H159" s="307"/>
      <c r="I159" s="307"/>
      <c r="J159" s="307"/>
      <c r="L159" s="617"/>
      <c r="M159" s="617"/>
      <c r="N159" s="617"/>
      <c r="O159" s="617"/>
      <c r="P159" s="617"/>
      <c r="Q159" s="617"/>
      <c r="R159" s="617"/>
      <c r="S159" s="617"/>
    </row>
    <row r="160">
      <c r="B160" s="371"/>
      <c r="C160" s="307"/>
      <c r="D160" s="307"/>
      <c r="E160" s="307"/>
      <c r="F160" s="307"/>
      <c r="G160" s="307"/>
      <c r="H160" s="307"/>
      <c r="I160" s="307"/>
      <c r="J160" s="307"/>
      <c r="L160" s="617"/>
      <c r="M160" s="617"/>
      <c r="N160" s="617"/>
      <c r="O160" s="617"/>
      <c r="P160" s="617"/>
      <c r="Q160" s="617"/>
      <c r="R160" s="617"/>
      <c r="S160" s="617"/>
    </row>
    <row r="161">
      <c r="B161" s="371"/>
      <c r="C161" s="307"/>
      <c r="D161" s="307"/>
      <c r="E161" s="307"/>
      <c r="F161" s="307"/>
      <c r="G161" s="307"/>
      <c r="H161" s="307"/>
      <c r="I161" s="307"/>
      <c r="J161" s="307"/>
      <c r="L161" s="617"/>
      <c r="M161" s="617"/>
      <c r="N161" s="617"/>
      <c r="O161" s="617"/>
      <c r="P161" s="617"/>
      <c r="Q161" s="617"/>
      <c r="R161" s="617"/>
      <c r="S161" s="617"/>
    </row>
    <row r="162">
      <c r="B162" s="371"/>
      <c r="C162" s="307"/>
      <c r="D162" s="307"/>
      <c r="E162" s="307"/>
      <c r="F162" s="307"/>
      <c r="G162" s="307"/>
      <c r="H162" s="307"/>
      <c r="I162" s="307"/>
      <c r="J162" s="307"/>
      <c r="L162" s="617"/>
      <c r="M162" s="617"/>
      <c r="N162" s="617"/>
      <c r="O162" s="617"/>
      <c r="P162" s="617"/>
      <c r="Q162" s="617"/>
      <c r="R162" s="617"/>
      <c r="S162" s="617"/>
    </row>
    <row r="163">
      <c r="B163" s="371"/>
      <c r="C163" s="307"/>
      <c r="D163" s="307"/>
      <c r="E163" s="307"/>
      <c r="F163" s="307"/>
      <c r="G163" s="307"/>
      <c r="H163" s="307"/>
      <c r="I163" s="307"/>
      <c r="J163" s="307"/>
      <c r="L163" s="617"/>
      <c r="M163" s="617"/>
      <c r="N163" s="617"/>
      <c r="O163" s="617"/>
      <c r="P163" s="617"/>
      <c r="Q163" s="617"/>
      <c r="R163" s="617"/>
      <c r="S163" s="617"/>
    </row>
    <row r="164">
      <c r="B164" s="371"/>
      <c r="C164" s="307"/>
      <c r="D164" s="307"/>
      <c r="E164" s="307"/>
      <c r="F164" s="307"/>
      <c r="G164" s="307"/>
      <c r="H164" s="307"/>
      <c r="I164" s="307"/>
      <c r="J164" s="307"/>
      <c r="L164" s="617"/>
      <c r="M164" s="617"/>
      <c r="N164" s="617"/>
      <c r="O164" s="617"/>
      <c r="P164" s="617"/>
      <c r="Q164" s="617"/>
      <c r="R164" s="617"/>
      <c r="S164" s="617"/>
    </row>
    <row r="165">
      <c r="B165" s="371"/>
      <c r="C165" s="307"/>
      <c r="D165" s="307"/>
      <c r="E165" s="307"/>
      <c r="F165" s="307"/>
      <c r="G165" s="307"/>
      <c r="H165" s="307"/>
      <c r="I165" s="307"/>
      <c r="J165" s="307"/>
      <c r="L165" s="617"/>
      <c r="M165" s="617"/>
      <c r="N165" s="617"/>
      <c r="O165" s="617"/>
      <c r="P165" s="617"/>
      <c r="Q165" s="617"/>
      <c r="R165" s="617"/>
      <c r="S165" s="617"/>
    </row>
    <row r="166">
      <c r="B166" s="371"/>
      <c r="C166" s="307"/>
      <c r="D166" s="307"/>
      <c r="E166" s="307"/>
      <c r="F166" s="307"/>
      <c r="G166" s="307"/>
      <c r="H166" s="307"/>
      <c r="I166" s="307"/>
      <c r="J166" s="307"/>
      <c r="L166" s="617"/>
      <c r="M166" s="617"/>
      <c r="N166" s="617"/>
      <c r="O166" s="617"/>
      <c r="P166" s="617"/>
      <c r="Q166" s="617"/>
      <c r="R166" s="617"/>
      <c r="S166" s="617"/>
    </row>
    <row r="167">
      <c r="B167" s="371"/>
      <c r="C167" s="307"/>
      <c r="D167" s="307"/>
      <c r="E167" s="307"/>
      <c r="F167" s="307"/>
      <c r="G167" s="307"/>
      <c r="H167" s="307"/>
      <c r="I167" s="307"/>
      <c r="J167" s="307"/>
      <c r="L167" s="617"/>
      <c r="M167" s="617"/>
      <c r="N167" s="617"/>
      <c r="O167" s="617"/>
      <c r="P167" s="617"/>
      <c r="Q167" s="617"/>
      <c r="R167" s="617"/>
      <c r="S167" s="617"/>
    </row>
    <row r="168">
      <c r="B168" s="371"/>
      <c r="C168" s="307"/>
      <c r="D168" s="307"/>
      <c r="E168" s="307"/>
      <c r="F168" s="307"/>
      <c r="G168" s="307"/>
      <c r="H168" s="307"/>
      <c r="I168" s="307"/>
      <c r="J168" s="307"/>
      <c r="L168" s="617"/>
      <c r="M168" s="617"/>
      <c r="N168" s="617"/>
      <c r="O168" s="617"/>
      <c r="P168" s="617"/>
      <c r="Q168" s="617"/>
      <c r="R168" s="617"/>
      <c r="S168" s="617"/>
    </row>
    <row r="169">
      <c r="B169" s="371"/>
      <c r="C169" s="307"/>
      <c r="D169" s="307"/>
      <c r="E169" s="307"/>
      <c r="F169" s="307"/>
      <c r="G169" s="307"/>
      <c r="H169" s="307"/>
      <c r="I169" s="307"/>
      <c r="J169" s="307"/>
      <c r="L169" s="617"/>
      <c r="M169" s="617"/>
      <c r="N169" s="617"/>
      <c r="O169" s="617"/>
      <c r="P169" s="617"/>
      <c r="Q169" s="617"/>
      <c r="R169" s="617"/>
      <c r="S169" s="617"/>
    </row>
    <row r="170">
      <c r="B170" s="371"/>
      <c r="C170" s="307"/>
      <c r="D170" s="307"/>
      <c r="E170" s="307"/>
      <c r="F170" s="307"/>
      <c r="G170" s="307"/>
      <c r="H170" s="307"/>
      <c r="I170" s="307"/>
      <c r="J170" s="307"/>
      <c r="L170" s="617"/>
      <c r="M170" s="617"/>
      <c r="N170" s="617"/>
      <c r="O170" s="617"/>
      <c r="P170" s="617"/>
      <c r="Q170" s="617"/>
      <c r="R170" s="617"/>
      <c r="S170" s="617"/>
    </row>
    <row r="171">
      <c r="B171" s="371"/>
      <c r="C171" s="307"/>
      <c r="D171" s="307"/>
      <c r="E171" s="307"/>
      <c r="F171" s="307"/>
      <c r="G171" s="307"/>
      <c r="H171" s="307"/>
      <c r="I171" s="307"/>
      <c r="J171" s="307"/>
      <c r="L171" s="617"/>
      <c r="M171" s="617"/>
      <c r="N171" s="617"/>
      <c r="O171" s="617"/>
      <c r="P171" s="617"/>
      <c r="Q171" s="617"/>
      <c r="R171" s="617"/>
      <c r="S171" s="617"/>
    </row>
    <row r="172">
      <c r="B172" s="371"/>
      <c r="C172" s="307"/>
      <c r="D172" s="307"/>
      <c r="E172" s="307"/>
      <c r="F172" s="307"/>
      <c r="G172" s="307"/>
      <c r="H172" s="307"/>
      <c r="I172" s="307"/>
      <c r="J172" s="307"/>
      <c r="L172" s="617"/>
      <c r="M172" s="617"/>
      <c r="N172" s="617"/>
      <c r="O172" s="617"/>
      <c r="P172" s="617"/>
      <c r="Q172" s="617"/>
      <c r="R172" s="617"/>
      <c r="S172" s="617"/>
    </row>
    <row r="173">
      <c r="B173" s="371"/>
      <c r="C173" s="307"/>
      <c r="D173" s="307"/>
      <c r="E173" s="307"/>
      <c r="F173" s="307"/>
      <c r="G173" s="307"/>
      <c r="H173" s="307"/>
      <c r="I173" s="307"/>
      <c r="J173" s="307"/>
      <c r="L173" s="617"/>
      <c r="M173" s="617"/>
      <c r="N173" s="617"/>
      <c r="O173" s="617"/>
      <c r="P173" s="617"/>
      <c r="Q173" s="617"/>
      <c r="R173" s="617"/>
      <c r="S173" s="617"/>
    </row>
    <row r="174">
      <c r="B174" s="371"/>
      <c r="C174" s="307"/>
      <c r="D174" s="307"/>
      <c r="E174" s="307"/>
      <c r="F174" s="307"/>
      <c r="G174" s="307"/>
      <c r="H174" s="307"/>
      <c r="I174" s="307"/>
      <c r="J174" s="307"/>
      <c r="L174" s="617"/>
      <c r="M174" s="617"/>
      <c r="N174" s="617"/>
      <c r="O174" s="617"/>
      <c r="P174" s="617"/>
      <c r="Q174" s="617"/>
      <c r="R174" s="617"/>
      <c r="S174" s="617"/>
    </row>
    <row r="175">
      <c r="B175" s="371"/>
      <c r="C175" s="307"/>
      <c r="D175" s="307"/>
      <c r="E175" s="307"/>
      <c r="F175" s="307"/>
      <c r="G175" s="307"/>
      <c r="H175" s="307"/>
      <c r="I175" s="307"/>
      <c r="J175" s="307"/>
      <c r="L175" s="617"/>
      <c r="M175" s="617"/>
      <c r="N175" s="617"/>
      <c r="O175" s="617"/>
      <c r="P175" s="617"/>
      <c r="Q175" s="617"/>
      <c r="R175" s="617"/>
      <c r="S175" s="617"/>
    </row>
    <row r="176">
      <c r="B176" s="371"/>
      <c r="C176" s="307"/>
      <c r="D176" s="307"/>
      <c r="E176" s="307"/>
      <c r="F176" s="307"/>
      <c r="G176" s="307"/>
      <c r="H176" s="307"/>
      <c r="I176" s="307"/>
      <c r="J176" s="307"/>
      <c r="L176" s="617"/>
      <c r="M176" s="617"/>
      <c r="N176" s="617"/>
      <c r="O176" s="617"/>
      <c r="P176" s="617"/>
      <c r="Q176" s="617"/>
      <c r="R176" s="617"/>
      <c r="S176" s="617"/>
    </row>
    <row r="177">
      <c r="B177" s="371"/>
      <c r="C177" s="307"/>
      <c r="D177" s="307"/>
      <c r="E177" s="307"/>
      <c r="F177" s="307"/>
      <c r="G177" s="307"/>
      <c r="H177" s="307"/>
      <c r="I177" s="307"/>
      <c r="J177" s="307"/>
      <c r="L177" s="617"/>
      <c r="M177" s="617"/>
      <c r="N177" s="617"/>
      <c r="O177" s="617"/>
      <c r="P177" s="617"/>
      <c r="Q177" s="617"/>
      <c r="R177" s="617"/>
      <c r="S177" s="617"/>
    </row>
    <row r="178">
      <c r="B178" s="371"/>
      <c r="C178" s="307"/>
      <c r="D178" s="307"/>
      <c r="E178" s="307"/>
      <c r="F178" s="307"/>
      <c r="G178" s="307"/>
      <c r="H178" s="307"/>
      <c r="I178" s="307"/>
      <c r="J178" s="307"/>
      <c r="L178" s="617"/>
      <c r="M178" s="617"/>
      <c r="N178" s="617"/>
      <c r="O178" s="617"/>
      <c r="P178" s="617"/>
      <c r="Q178" s="617"/>
      <c r="R178" s="617"/>
      <c r="S178" s="617"/>
    </row>
    <row r="179">
      <c r="B179" s="371"/>
      <c r="C179" s="307"/>
      <c r="D179" s="307"/>
      <c r="E179" s="307"/>
      <c r="F179" s="307"/>
      <c r="G179" s="307"/>
      <c r="H179" s="307"/>
      <c r="I179" s="307"/>
      <c r="J179" s="307"/>
      <c r="L179" s="617"/>
      <c r="M179" s="617"/>
      <c r="N179" s="617"/>
      <c r="O179" s="617"/>
      <c r="P179" s="617"/>
      <c r="Q179" s="617"/>
      <c r="R179" s="617"/>
      <c r="S179" s="617"/>
    </row>
    <row r="180">
      <c r="B180" s="371"/>
      <c r="C180" s="307"/>
      <c r="D180" s="307"/>
      <c r="E180" s="307"/>
      <c r="F180" s="307"/>
      <c r="G180" s="307"/>
      <c r="H180" s="307"/>
      <c r="I180" s="307"/>
      <c r="J180" s="307"/>
      <c r="L180" s="617"/>
      <c r="M180" s="617"/>
      <c r="N180" s="617"/>
      <c r="O180" s="617"/>
      <c r="P180" s="617"/>
      <c r="Q180" s="617"/>
      <c r="R180" s="617"/>
      <c r="S180" s="617"/>
    </row>
    <row r="181">
      <c r="B181" s="371"/>
      <c r="C181" s="307"/>
      <c r="D181" s="307"/>
      <c r="E181" s="307"/>
      <c r="F181" s="307"/>
      <c r="G181" s="307"/>
      <c r="H181" s="307"/>
      <c r="I181" s="307"/>
      <c r="J181" s="307"/>
      <c r="L181" s="617"/>
      <c r="M181" s="617"/>
      <c r="N181" s="617"/>
      <c r="O181" s="617"/>
      <c r="P181" s="617"/>
      <c r="Q181" s="617"/>
      <c r="R181" s="617"/>
      <c r="S181" s="617"/>
    </row>
    <row r="182">
      <c r="B182" s="371"/>
      <c r="C182" s="307"/>
      <c r="D182" s="307"/>
      <c r="E182" s="307"/>
      <c r="F182" s="307"/>
      <c r="G182" s="307"/>
      <c r="H182" s="307"/>
      <c r="I182" s="307"/>
      <c r="J182" s="307"/>
      <c r="L182" s="617"/>
      <c r="M182" s="617"/>
      <c r="N182" s="617"/>
      <c r="O182" s="617"/>
      <c r="P182" s="617"/>
      <c r="Q182" s="617"/>
      <c r="R182" s="617"/>
      <c r="S182" s="617"/>
    </row>
    <row r="183">
      <c r="B183" s="371"/>
      <c r="C183" s="307"/>
      <c r="D183" s="307"/>
      <c r="E183" s="307"/>
      <c r="F183" s="307"/>
      <c r="G183" s="307"/>
      <c r="H183" s="307"/>
      <c r="I183" s="307"/>
      <c r="J183" s="307"/>
      <c r="L183" s="617"/>
      <c r="M183" s="617"/>
      <c r="N183" s="617"/>
      <c r="O183" s="617"/>
      <c r="P183" s="617"/>
      <c r="Q183" s="617"/>
      <c r="R183" s="617"/>
      <c r="S183" s="617"/>
    </row>
    <row r="184">
      <c r="B184" s="371"/>
      <c r="C184" s="307"/>
      <c r="D184" s="307"/>
      <c r="E184" s="307"/>
      <c r="F184" s="307"/>
      <c r="G184" s="307"/>
      <c r="H184" s="307"/>
      <c r="I184" s="307"/>
      <c r="J184" s="307"/>
      <c r="L184" s="617"/>
      <c r="M184" s="617"/>
      <c r="N184" s="617"/>
      <c r="O184" s="617"/>
      <c r="P184" s="617"/>
      <c r="Q184" s="617"/>
      <c r="R184" s="617"/>
      <c r="S184" s="617"/>
    </row>
    <row r="185">
      <c r="B185" s="371"/>
      <c r="C185" s="307"/>
      <c r="D185" s="307"/>
      <c r="E185" s="307"/>
      <c r="F185" s="307"/>
      <c r="G185" s="307"/>
      <c r="H185" s="307"/>
      <c r="I185" s="307"/>
      <c r="J185" s="307"/>
      <c r="L185" s="617"/>
      <c r="M185" s="617"/>
      <c r="N185" s="617"/>
      <c r="O185" s="617"/>
      <c r="P185" s="617"/>
      <c r="Q185" s="617"/>
      <c r="R185" s="617"/>
      <c r="S185" s="617"/>
    </row>
    <row r="186">
      <c r="B186" s="371"/>
      <c r="C186" s="307"/>
      <c r="D186" s="307"/>
      <c r="E186" s="307"/>
      <c r="F186" s="307"/>
      <c r="G186" s="307"/>
      <c r="H186" s="307"/>
      <c r="I186" s="307"/>
      <c r="J186" s="307"/>
      <c r="L186" s="617"/>
      <c r="M186" s="617"/>
      <c r="N186" s="617"/>
      <c r="O186" s="617"/>
      <c r="P186" s="617"/>
      <c r="Q186" s="617"/>
      <c r="R186" s="617"/>
      <c r="S186" s="617"/>
    </row>
    <row r="187">
      <c r="B187" s="371"/>
      <c r="C187" s="307"/>
      <c r="D187" s="307"/>
      <c r="E187" s="307"/>
      <c r="F187" s="307"/>
      <c r="G187" s="307"/>
      <c r="H187" s="307"/>
      <c r="I187" s="307"/>
      <c r="J187" s="307"/>
      <c r="L187" s="617"/>
      <c r="M187" s="617"/>
      <c r="N187" s="617"/>
      <c r="O187" s="617"/>
      <c r="P187" s="617"/>
      <c r="Q187" s="617"/>
      <c r="R187" s="617"/>
      <c r="S187" s="617"/>
    </row>
    <row r="188">
      <c r="B188" s="371"/>
      <c r="C188" s="307"/>
      <c r="D188" s="307"/>
      <c r="E188" s="307"/>
      <c r="F188" s="307"/>
      <c r="G188" s="307"/>
      <c r="H188" s="307"/>
      <c r="I188" s="307"/>
      <c r="J188" s="307"/>
      <c r="L188" s="617"/>
      <c r="M188" s="617"/>
      <c r="N188" s="617"/>
      <c r="O188" s="617"/>
      <c r="P188" s="617"/>
      <c r="Q188" s="617"/>
      <c r="R188" s="617"/>
      <c r="S188" s="617"/>
    </row>
    <row r="189">
      <c r="B189" s="371"/>
      <c r="C189" s="307"/>
      <c r="D189" s="307"/>
      <c r="E189" s="307"/>
      <c r="F189" s="307"/>
      <c r="G189" s="307"/>
      <c r="H189" s="307"/>
      <c r="I189" s="307"/>
      <c r="J189" s="307"/>
      <c r="L189" s="617"/>
      <c r="M189" s="617"/>
      <c r="N189" s="617"/>
      <c r="O189" s="617"/>
      <c r="P189" s="617"/>
      <c r="Q189" s="617"/>
      <c r="R189" s="617"/>
      <c r="S189" s="617"/>
    </row>
    <row r="190">
      <c r="B190" s="371"/>
      <c r="C190" s="307"/>
      <c r="D190" s="307"/>
      <c r="E190" s="307"/>
      <c r="F190" s="307"/>
      <c r="G190" s="307"/>
      <c r="H190" s="307"/>
      <c r="I190" s="307"/>
      <c r="J190" s="307"/>
      <c r="L190" s="617"/>
      <c r="M190" s="617"/>
      <c r="N190" s="617"/>
      <c r="O190" s="617"/>
      <c r="P190" s="617"/>
      <c r="Q190" s="617"/>
      <c r="R190" s="617"/>
      <c r="S190" s="617"/>
    </row>
    <row r="191">
      <c r="B191" s="371"/>
      <c r="C191" s="307"/>
      <c r="D191" s="307"/>
      <c r="E191" s="307"/>
      <c r="F191" s="307"/>
      <c r="G191" s="307"/>
      <c r="H191" s="307"/>
      <c r="I191" s="307"/>
      <c r="J191" s="307"/>
      <c r="L191" s="617"/>
      <c r="M191" s="617"/>
      <c r="N191" s="617"/>
      <c r="O191" s="617"/>
      <c r="P191" s="617"/>
      <c r="Q191" s="617"/>
      <c r="R191" s="617"/>
      <c r="S191" s="617"/>
    </row>
    <row r="192">
      <c r="B192" s="371"/>
      <c r="C192" s="307"/>
      <c r="D192" s="307"/>
      <c r="E192" s="307"/>
      <c r="F192" s="307"/>
      <c r="G192" s="307"/>
      <c r="H192" s="307"/>
      <c r="I192" s="307"/>
      <c r="J192" s="307"/>
      <c r="L192" s="617"/>
      <c r="M192" s="617"/>
      <c r="N192" s="617"/>
      <c r="O192" s="617"/>
      <c r="P192" s="617"/>
      <c r="Q192" s="617"/>
      <c r="R192" s="617"/>
      <c r="S192" s="617"/>
    </row>
    <row r="193">
      <c r="B193" s="371"/>
      <c r="C193" s="307"/>
      <c r="D193" s="307"/>
      <c r="E193" s="307"/>
      <c r="F193" s="307"/>
      <c r="G193" s="307"/>
      <c r="H193" s="307"/>
      <c r="I193" s="307"/>
      <c r="J193" s="307"/>
      <c r="L193" s="617"/>
      <c r="M193" s="617"/>
      <c r="N193" s="617"/>
      <c r="O193" s="617"/>
      <c r="P193" s="617"/>
      <c r="Q193" s="617"/>
      <c r="R193" s="617"/>
      <c r="S193" s="617"/>
    </row>
    <row r="194">
      <c r="B194" s="371"/>
      <c r="C194" s="307"/>
      <c r="D194" s="307"/>
      <c r="E194" s="307"/>
      <c r="F194" s="307"/>
      <c r="G194" s="307"/>
      <c r="H194" s="307"/>
      <c r="I194" s="307"/>
      <c r="J194" s="307"/>
      <c r="L194" s="617"/>
      <c r="M194" s="617"/>
      <c r="N194" s="617"/>
      <c r="O194" s="617"/>
      <c r="P194" s="617"/>
      <c r="Q194" s="617"/>
      <c r="R194" s="617"/>
      <c r="S194" s="617"/>
    </row>
    <row r="195">
      <c r="B195" s="371"/>
      <c r="C195" s="307"/>
      <c r="D195" s="307"/>
      <c r="E195" s="307"/>
      <c r="F195" s="307"/>
      <c r="G195" s="307"/>
      <c r="H195" s="307"/>
      <c r="I195" s="307"/>
      <c r="J195" s="307"/>
      <c r="L195" s="617"/>
      <c r="M195" s="617"/>
      <c r="N195" s="617"/>
      <c r="O195" s="617"/>
      <c r="P195" s="617"/>
      <c r="Q195" s="617"/>
      <c r="R195" s="617"/>
      <c r="S195" s="617"/>
    </row>
    <row r="196">
      <c r="B196" s="371"/>
      <c r="C196" s="307"/>
      <c r="D196" s="307"/>
      <c r="E196" s="307"/>
      <c r="F196" s="307"/>
      <c r="G196" s="307"/>
      <c r="H196" s="307"/>
      <c r="I196" s="307"/>
      <c r="J196" s="307"/>
      <c r="L196" s="617"/>
      <c r="M196" s="617"/>
      <c r="N196" s="617"/>
      <c r="O196" s="617"/>
      <c r="P196" s="617"/>
      <c r="Q196" s="617"/>
      <c r="R196" s="617"/>
      <c r="S196" s="617"/>
    </row>
    <row r="197">
      <c r="B197" s="371"/>
      <c r="C197" s="307"/>
      <c r="D197" s="307"/>
      <c r="E197" s="307"/>
      <c r="F197" s="307"/>
      <c r="G197" s="307"/>
      <c r="H197" s="307"/>
      <c r="I197" s="307"/>
      <c r="J197" s="307"/>
      <c r="L197" s="617"/>
      <c r="M197" s="617"/>
      <c r="N197" s="617"/>
      <c r="O197" s="617"/>
      <c r="P197" s="617"/>
      <c r="Q197" s="617"/>
      <c r="R197" s="617"/>
      <c r="S197" s="617"/>
    </row>
    <row r="198">
      <c r="B198" s="371"/>
      <c r="C198" s="307"/>
      <c r="D198" s="307"/>
      <c r="E198" s="307"/>
      <c r="F198" s="307"/>
      <c r="G198" s="307"/>
      <c r="H198" s="307"/>
      <c r="I198" s="307"/>
      <c r="J198" s="307"/>
      <c r="L198" s="617"/>
      <c r="M198" s="617"/>
      <c r="N198" s="617"/>
      <c r="O198" s="617"/>
      <c r="P198" s="617"/>
      <c r="Q198" s="617"/>
      <c r="R198" s="617"/>
      <c r="S198" s="617"/>
    </row>
    <row r="199">
      <c r="B199" s="371"/>
      <c r="C199" s="307"/>
      <c r="D199" s="307"/>
      <c r="E199" s="307"/>
      <c r="F199" s="307"/>
      <c r="G199" s="307"/>
      <c r="H199" s="307"/>
      <c r="I199" s="307"/>
      <c r="J199" s="307"/>
      <c r="L199" s="617"/>
      <c r="M199" s="617"/>
      <c r="N199" s="617"/>
      <c r="O199" s="617"/>
      <c r="P199" s="617"/>
      <c r="Q199" s="617"/>
      <c r="R199" s="617"/>
      <c r="S199" s="617"/>
    </row>
    <row r="200">
      <c r="B200" s="371"/>
      <c r="C200" s="307"/>
      <c r="D200" s="307"/>
      <c r="E200" s="307"/>
      <c r="F200" s="307"/>
      <c r="G200" s="307"/>
      <c r="H200" s="307"/>
      <c r="I200" s="307"/>
      <c r="J200" s="307"/>
      <c r="L200" s="617"/>
      <c r="M200" s="617"/>
      <c r="N200" s="617"/>
      <c r="O200" s="617"/>
      <c r="P200" s="617"/>
      <c r="Q200" s="617"/>
      <c r="R200" s="617"/>
      <c r="S200" s="617"/>
    </row>
    <row r="201">
      <c r="B201" s="371"/>
      <c r="C201" s="307"/>
      <c r="D201" s="307"/>
      <c r="E201" s="307"/>
      <c r="F201" s="307"/>
      <c r="G201" s="307"/>
      <c r="H201" s="307"/>
      <c r="I201" s="307"/>
      <c r="J201" s="307"/>
      <c r="L201" s="617"/>
      <c r="M201" s="617"/>
      <c r="N201" s="617"/>
      <c r="O201" s="617"/>
      <c r="P201" s="617"/>
      <c r="Q201" s="617"/>
      <c r="R201" s="617"/>
      <c r="S201" s="617"/>
    </row>
    <row r="202">
      <c r="B202" s="371"/>
      <c r="C202" s="307"/>
      <c r="D202" s="307"/>
      <c r="E202" s="307"/>
      <c r="F202" s="307"/>
      <c r="G202" s="307"/>
      <c r="H202" s="307"/>
      <c r="I202" s="307"/>
      <c r="J202" s="307"/>
      <c r="L202" s="617"/>
      <c r="M202" s="617"/>
      <c r="N202" s="617"/>
      <c r="O202" s="617"/>
      <c r="P202" s="617"/>
      <c r="Q202" s="617"/>
      <c r="R202" s="617"/>
      <c r="S202" s="617"/>
    </row>
    <row r="203">
      <c r="B203" s="371"/>
      <c r="C203" s="307"/>
      <c r="D203" s="307"/>
      <c r="E203" s="307"/>
      <c r="F203" s="307"/>
      <c r="G203" s="307"/>
      <c r="H203" s="307"/>
      <c r="I203" s="307"/>
      <c r="J203" s="307"/>
      <c r="L203" s="617"/>
      <c r="M203" s="617"/>
      <c r="N203" s="617"/>
      <c r="O203" s="617"/>
      <c r="P203" s="617"/>
      <c r="Q203" s="617"/>
      <c r="R203" s="617"/>
      <c r="S203" s="617"/>
    </row>
    <row r="204">
      <c r="B204" s="371"/>
      <c r="C204" s="307"/>
      <c r="D204" s="307"/>
      <c r="E204" s="307"/>
      <c r="F204" s="307"/>
      <c r="G204" s="307"/>
      <c r="H204" s="307"/>
      <c r="I204" s="307"/>
      <c r="J204" s="307"/>
      <c r="L204" s="617"/>
      <c r="M204" s="617"/>
      <c r="N204" s="617"/>
      <c r="O204" s="617"/>
      <c r="P204" s="617"/>
      <c r="Q204" s="617"/>
      <c r="R204" s="617"/>
      <c r="S204" s="617"/>
    </row>
    <row r="205">
      <c r="B205" s="371"/>
      <c r="C205" s="307"/>
      <c r="D205" s="307"/>
      <c r="E205" s="307"/>
      <c r="F205" s="307"/>
      <c r="G205" s="307"/>
      <c r="H205" s="307"/>
      <c r="I205" s="307"/>
      <c r="J205" s="307"/>
      <c r="L205" s="617"/>
      <c r="M205" s="617"/>
      <c r="N205" s="617"/>
      <c r="O205" s="617"/>
      <c r="P205" s="617"/>
      <c r="Q205" s="617"/>
      <c r="R205" s="617"/>
      <c r="S205" s="617"/>
    </row>
    <row r="206">
      <c r="B206" s="371"/>
      <c r="C206" s="307"/>
      <c r="D206" s="307"/>
      <c r="E206" s="307"/>
      <c r="F206" s="307"/>
      <c r="G206" s="307"/>
      <c r="H206" s="307"/>
      <c r="I206" s="307"/>
      <c r="J206" s="307"/>
      <c r="L206" s="617"/>
      <c r="M206" s="617"/>
      <c r="N206" s="617"/>
      <c r="O206" s="617"/>
      <c r="P206" s="617"/>
      <c r="Q206" s="617"/>
      <c r="R206" s="617"/>
      <c r="S206" s="617"/>
    </row>
    <row r="207">
      <c r="B207" s="371"/>
      <c r="C207" s="307"/>
      <c r="D207" s="307"/>
      <c r="E207" s="307"/>
      <c r="F207" s="307"/>
      <c r="G207" s="307"/>
      <c r="H207" s="307"/>
      <c r="I207" s="307"/>
      <c r="J207" s="307"/>
      <c r="L207" s="617"/>
      <c r="M207" s="617"/>
      <c r="N207" s="617"/>
      <c r="O207" s="617"/>
      <c r="P207" s="617"/>
      <c r="Q207" s="617"/>
      <c r="R207" s="617"/>
      <c r="S207" s="617"/>
    </row>
    <row r="208">
      <c r="B208" s="371"/>
      <c r="C208" s="307"/>
      <c r="D208" s="307"/>
      <c r="E208" s="307"/>
      <c r="F208" s="307"/>
      <c r="G208" s="307"/>
      <c r="H208" s="307"/>
      <c r="I208" s="307"/>
      <c r="J208" s="307"/>
      <c r="L208" s="617"/>
      <c r="M208" s="617"/>
      <c r="N208" s="617"/>
      <c r="O208" s="617"/>
      <c r="P208" s="617"/>
      <c r="Q208" s="617"/>
      <c r="R208" s="617"/>
      <c r="S208" s="617"/>
    </row>
    <row r="209">
      <c r="B209" s="371"/>
      <c r="C209" s="307"/>
      <c r="D209" s="307"/>
      <c r="E209" s="307"/>
      <c r="F209" s="307"/>
      <c r="G209" s="307"/>
      <c r="H209" s="307"/>
      <c r="I209" s="307"/>
      <c r="J209" s="307"/>
      <c r="L209" s="617"/>
      <c r="M209" s="617"/>
      <c r="N209" s="617"/>
      <c r="O209" s="617"/>
      <c r="P209" s="617"/>
      <c r="Q209" s="617"/>
      <c r="R209" s="617"/>
      <c r="S209" s="617"/>
    </row>
    <row r="210">
      <c r="B210" s="371"/>
      <c r="C210" s="307"/>
      <c r="D210" s="307"/>
      <c r="E210" s="307"/>
      <c r="F210" s="307"/>
      <c r="G210" s="307"/>
      <c r="H210" s="307"/>
      <c r="I210" s="307"/>
      <c r="J210" s="307"/>
      <c r="L210" s="617"/>
      <c r="M210" s="617"/>
      <c r="N210" s="617"/>
      <c r="O210" s="617"/>
      <c r="P210" s="617"/>
      <c r="Q210" s="617"/>
      <c r="R210" s="617"/>
      <c r="S210" s="617"/>
    </row>
    <row r="211">
      <c r="B211" s="371"/>
      <c r="C211" s="307"/>
      <c r="D211" s="307"/>
      <c r="E211" s="307"/>
      <c r="F211" s="307"/>
      <c r="G211" s="307"/>
      <c r="H211" s="307"/>
      <c r="I211" s="307"/>
      <c r="J211" s="307"/>
      <c r="L211" s="617"/>
      <c r="M211" s="617"/>
      <c r="N211" s="617"/>
      <c r="O211" s="617"/>
      <c r="P211" s="617"/>
      <c r="Q211" s="617"/>
      <c r="R211" s="617"/>
      <c r="S211" s="617"/>
    </row>
    <row r="212">
      <c r="B212" s="371"/>
      <c r="C212" s="307"/>
      <c r="D212" s="307"/>
      <c r="E212" s="307"/>
      <c r="F212" s="307"/>
      <c r="G212" s="307"/>
      <c r="H212" s="307"/>
      <c r="I212" s="307"/>
      <c r="J212" s="307"/>
      <c r="L212" s="617"/>
      <c r="M212" s="617"/>
      <c r="N212" s="617"/>
      <c r="O212" s="617"/>
      <c r="P212" s="617"/>
      <c r="Q212" s="617"/>
      <c r="R212" s="617"/>
      <c r="S212" s="617"/>
    </row>
    <row r="213">
      <c r="B213" s="371"/>
      <c r="C213" s="307"/>
      <c r="D213" s="307"/>
      <c r="E213" s="307"/>
      <c r="F213" s="307"/>
      <c r="G213" s="307"/>
      <c r="H213" s="307"/>
      <c r="I213" s="307"/>
      <c r="J213" s="307"/>
      <c r="L213" s="617"/>
      <c r="M213" s="617"/>
      <c r="N213" s="617"/>
      <c r="O213" s="617"/>
      <c r="P213" s="617"/>
      <c r="Q213" s="617"/>
      <c r="R213" s="617"/>
      <c r="S213" s="617"/>
    </row>
    <row r="214">
      <c r="B214" s="371"/>
      <c r="C214" s="307"/>
      <c r="D214" s="307"/>
      <c r="E214" s="307"/>
      <c r="F214" s="307"/>
      <c r="G214" s="307"/>
      <c r="H214" s="307"/>
      <c r="I214" s="307"/>
      <c r="J214" s="307"/>
      <c r="L214" s="617"/>
      <c r="M214" s="617"/>
      <c r="N214" s="617"/>
      <c r="O214" s="617"/>
      <c r="P214" s="617"/>
      <c r="Q214" s="617"/>
      <c r="R214" s="617"/>
      <c r="S214" s="617"/>
    </row>
    <row r="215">
      <c r="B215" s="371"/>
      <c r="C215" s="307"/>
      <c r="D215" s="307"/>
      <c r="E215" s="307"/>
      <c r="F215" s="307"/>
      <c r="G215" s="307"/>
      <c r="H215" s="307"/>
      <c r="I215" s="307"/>
      <c r="J215" s="307"/>
      <c r="L215" s="617"/>
      <c r="M215" s="617"/>
      <c r="N215" s="617"/>
      <c r="O215" s="617"/>
      <c r="P215" s="617"/>
      <c r="Q215" s="617"/>
      <c r="R215" s="617"/>
      <c r="S215" s="617"/>
    </row>
    <row r="216">
      <c r="B216" s="371"/>
      <c r="C216" s="307"/>
      <c r="D216" s="307"/>
      <c r="E216" s="307"/>
      <c r="F216" s="307"/>
      <c r="G216" s="307"/>
      <c r="H216" s="307"/>
      <c r="I216" s="307"/>
      <c r="J216" s="307"/>
      <c r="L216" s="617"/>
      <c r="M216" s="617"/>
      <c r="N216" s="617"/>
      <c r="O216" s="617"/>
      <c r="P216" s="617"/>
      <c r="Q216" s="617"/>
      <c r="R216" s="617"/>
      <c r="S216" s="617"/>
    </row>
    <row r="217">
      <c r="B217" s="371"/>
      <c r="C217" s="307"/>
      <c r="D217" s="307"/>
      <c r="E217" s="307"/>
      <c r="F217" s="307"/>
      <c r="G217" s="307"/>
      <c r="H217" s="307"/>
      <c r="I217" s="307"/>
      <c r="J217" s="307"/>
      <c r="L217" s="617"/>
      <c r="M217" s="617"/>
      <c r="N217" s="617"/>
      <c r="O217" s="617"/>
      <c r="P217" s="617"/>
      <c r="Q217" s="617"/>
      <c r="R217" s="617"/>
      <c r="S217" s="617"/>
    </row>
    <row r="218">
      <c r="B218" s="371"/>
      <c r="C218" s="307"/>
      <c r="D218" s="307"/>
      <c r="E218" s="307"/>
      <c r="F218" s="307"/>
      <c r="G218" s="307"/>
      <c r="H218" s="307"/>
      <c r="I218" s="307"/>
      <c r="J218" s="307"/>
      <c r="L218" s="617"/>
      <c r="M218" s="617"/>
      <c r="N218" s="617"/>
      <c r="O218" s="617"/>
      <c r="P218" s="617"/>
      <c r="Q218" s="617"/>
      <c r="R218" s="617"/>
      <c r="S218" s="617"/>
    </row>
    <row r="219">
      <c r="B219" s="371"/>
      <c r="C219" s="307"/>
      <c r="D219" s="307"/>
      <c r="E219" s="307"/>
      <c r="F219" s="307"/>
      <c r="G219" s="307"/>
      <c r="H219" s="307"/>
      <c r="I219" s="307"/>
      <c r="J219" s="307"/>
      <c r="L219" s="617"/>
      <c r="M219" s="617"/>
      <c r="N219" s="617"/>
      <c r="O219" s="617"/>
      <c r="P219" s="617"/>
      <c r="Q219" s="617"/>
      <c r="R219" s="617"/>
      <c r="S219" s="617"/>
    </row>
    <row r="220">
      <c r="B220" s="371"/>
      <c r="C220" s="307"/>
      <c r="D220" s="307"/>
      <c r="E220" s="307"/>
      <c r="F220" s="307"/>
      <c r="G220" s="307"/>
      <c r="H220" s="307"/>
      <c r="I220" s="307"/>
      <c r="J220" s="307"/>
      <c r="L220" s="617"/>
      <c r="M220" s="617"/>
      <c r="N220" s="617"/>
      <c r="O220" s="617"/>
      <c r="P220" s="617"/>
      <c r="Q220" s="617"/>
      <c r="R220" s="617"/>
      <c r="S220" s="617"/>
    </row>
    <row r="221">
      <c r="B221" s="371"/>
      <c r="C221" s="307"/>
      <c r="D221" s="307"/>
      <c r="E221" s="307"/>
      <c r="F221" s="307"/>
      <c r="G221" s="307"/>
      <c r="H221" s="307"/>
      <c r="I221" s="307"/>
      <c r="J221" s="307"/>
      <c r="L221" s="617"/>
      <c r="M221" s="617"/>
      <c r="N221" s="617"/>
      <c r="O221" s="617"/>
      <c r="P221" s="617"/>
      <c r="Q221" s="617"/>
      <c r="R221" s="617"/>
      <c r="S221" s="617"/>
    </row>
    <row r="222">
      <c r="B222" s="371"/>
      <c r="C222" s="307"/>
      <c r="D222" s="307"/>
      <c r="E222" s="307"/>
      <c r="F222" s="307"/>
      <c r="G222" s="307"/>
      <c r="H222" s="307"/>
      <c r="I222" s="307"/>
      <c r="J222" s="307"/>
      <c r="L222" s="617"/>
      <c r="M222" s="617"/>
      <c r="N222" s="617"/>
      <c r="O222" s="617"/>
      <c r="P222" s="617"/>
      <c r="Q222" s="617"/>
      <c r="R222" s="617"/>
      <c r="S222" s="617"/>
    </row>
    <row r="223">
      <c r="B223" s="371"/>
      <c r="C223" s="307"/>
      <c r="D223" s="307"/>
      <c r="E223" s="307"/>
      <c r="F223" s="307"/>
      <c r="G223" s="307"/>
      <c r="H223" s="307"/>
      <c r="I223" s="307"/>
      <c r="J223" s="307"/>
      <c r="L223" s="617"/>
      <c r="M223" s="617"/>
      <c r="N223" s="617"/>
      <c r="O223" s="617"/>
      <c r="P223" s="617"/>
      <c r="Q223" s="617"/>
      <c r="R223" s="617"/>
      <c r="S223" s="617"/>
    </row>
    <row r="224">
      <c r="B224" s="371"/>
      <c r="C224" s="307"/>
      <c r="D224" s="307"/>
      <c r="E224" s="307"/>
      <c r="F224" s="307"/>
      <c r="G224" s="307"/>
      <c r="H224" s="307"/>
      <c r="I224" s="307"/>
      <c r="J224" s="307"/>
      <c r="L224" s="617"/>
      <c r="M224" s="617"/>
      <c r="N224" s="617"/>
      <c r="O224" s="617"/>
      <c r="P224" s="617"/>
      <c r="Q224" s="617"/>
      <c r="R224" s="617"/>
      <c r="S224" s="617"/>
    </row>
    <row r="225">
      <c r="B225" s="371"/>
      <c r="C225" s="307"/>
      <c r="D225" s="307"/>
      <c r="E225" s="307"/>
      <c r="F225" s="307"/>
      <c r="G225" s="307"/>
      <c r="H225" s="307"/>
      <c r="I225" s="307"/>
      <c r="J225" s="307"/>
      <c r="L225" s="617"/>
      <c r="M225" s="617"/>
      <c r="N225" s="617"/>
      <c r="O225" s="617"/>
      <c r="P225" s="617"/>
      <c r="Q225" s="617"/>
      <c r="R225" s="617"/>
      <c r="S225" s="617"/>
    </row>
    <row r="226">
      <c r="B226" s="371"/>
      <c r="C226" s="307"/>
      <c r="D226" s="307"/>
      <c r="E226" s="307"/>
      <c r="F226" s="307"/>
      <c r="G226" s="307"/>
      <c r="H226" s="307"/>
      <c r="I226" s="307"/>
      <c r="J226" s="307"/>
      <c r="L226" s="617"/>
      <c r="M226" s="617"/>
      <c r="N226" s="617"/>
      <c r="O226" s="617"/>
      <c r="P226" s="617"/>
      <c r="Q226" s="617"/>
      <c r="R226" s="617"/>
      <c r="S226" s="617"/>
    </row>
    <row r="227">
      <c r="B227" s="371"/>
      <c r="C227" s="307"/>
      <c r="D227" s="307"/>
      <c r="E227" s="307"/>
      <c r="F227" s="307"/>
      <c r="G227" s="307"/>
      <c r="H227" s="307"/>
      <c r="I227" s="307"/>
      <c r="J227" s="307"/>
      <c r="L227" s="617"/>
      <c r="M227" s="617"/>
      <c r="N227" s="617"/>
      <c r="O227" s="617"/>
      <c r="P227" s="617"/>
      <c r="Q227" s="617"/>
      <c r="R227" s="617"/>
      <c r="S227" s="617"/>
    </row>
    <row r="228">
      <c r="B228" s="371"/>
      <c r="C228" s="307"/>
      <c r="D228" s="307"/>
      <c r="E228" s="307"/>
      <c r="F228" s="307"/>
      <c r="G228" s="307"/>
      <c r="H228" s="307"/>
      <c r="I228" s="307"/>
      <c r="J228" s="307"/>
      <c r="L228" s="617"/>
      <c r="M228" s="617"/>
      <c r="N228" s="617"/>
      <c r="O228" s="617"/>
      <c r="P228" s="617"/>
      <c r="Q228" s="617"/>
      <c r="R228" s="617"/>
      <c r="S228" s="617"/>
    </row>
    <row r="229">
      <c r="B229" s="371"/>
      <c r="C229" s="307"/>
      <c r="D229" s="307"/>
      <c r="E229" s="307"/>
      <c r="F229" s="307"/>
      <c r="G229" s="307"/>
      <c r="H229" s="307"/>
      <c r="I229" s="307"/>
      <c r="J229" s="307"/>
      <c r="L229" s="617"/>
      <c r="M229" s="617"/>
      <c r="N229" s="617"/>
      <c r="O229" s="617"/>
      <c r="P229" s="617"/>
      <c r="Q229" s="617"/>
      <c r="R229" s="617"/>
      <c r="S229" s="617"/>
    </row>
    <row r="230">
      <c r="B230" s="371"/>
      <c r="C230" s="307"/>
      <c r="D230" s="307"/>
      <c r="E230" s="307"/>
      <c r="F230" s="307"/>
      <c r="G230" s="307"/>
      <c r="H230" s="307"/>
      <c r="I230" s="307"/>
      <c r="J230" s="307"/>
      <c r="L230" s="617"/>
      <c r="M230" s="617"/>
      <c r="N230" s="617"/>
      <c r="O230" s="617"/>
      <c r="P230" s="617"/>
      <c r="Q230" s="617"/>
      <c r="R230" s="617"/>
      <c r="S230" s="617"/>
    </row>
    <row r="231">
      <c r="B231" s="371"/>
      <c r="C231" s="307"/>
      <c r="D231" s="307"/>
      <c r="E231" s="307"/>
      <c r="F231" s="307"/>
      <c r="G231" s="307"/>
      <c r="H231" s="307"/>
      <c r="I231" s="307"/>
      <c r="J231" s="307"/>
      <c r="L231" s="617"/>
      <c r="M231" s="617"/>
      <c r="N231" s="617"/>
      <c r="O231" s="617"/>
      <c r="P231" s="617"/>
      <c r="Q231" s="617"/>
      <c r="R231" s="617"/>
      <c r="S231" s="617"/>
    </row>
    <row r="232">
      <c r="B232" s="371"/>
      <c r="C232" s="307"/>
      <c r="D232" s="307"/>
      <c r="E232" s="307"/>
      <c r="F232" s="307"/>
      <c r="G232" s="307"/>
      <c r="H232" s="307"/>
      <c r="I232" s="307"/>
      <c r="J232" s="307"/>
      <c r="L232" s="617"/>
      <c r="M232" s="617"/>
      <c r="N232" s="617"/>
      <c r="O232" s="617"/>
      <c r="P232" s="617"/>
      <c r="Q232" s="617"/>
      <c r="R232" s="617"/>
      <c r="S232" s="617"/>
    </row>
    <row r="233">
      <c r="B233" s="371"/>
      <c r="C233" s="307"/>
      <c r="D233" s="307"/>
      <c r="E233" s="307"/>
      <c r="F233" s="307"/>
      <c r="G233" s="307"/>
      <c r="H233" s="307"/>
      <c r="I233" s="307"/>
      <c r="J233" s="307"/>
      <c r="L233" s="617"/>
      <c r="M233" s="617"/>
      <c r="N233" s="617"/>
      <c r="O233" s="617"/>
      <c r="P233" s="617"/>
      <c r="Q233" s="617"/>
      <c r="R233" s="617"/>
      <c r="S233" s="617"/>
    </row>
    <row r="234">
      <c r="B234" s="371"/>
      <c r="C234" s="307"/>
      <c r="D234" s="307"/>
      <c r="E234" s="307"/>
      <c r="F234" s="307"/>
      <c r="G234" s="307"/>
      <c r="H234" s="307"/>
      <c r="I234" s="307"/>
      <c r="J234" s="307"/>
      <c r="L234" s="617"/>
      <c r="M234" s="617"/>
      <c r="N234" s="617"/>
      <c r="O234" s="617"/>
      <c r="P234" s="617"/>
      <c r="Q234" s="617"/>
      <c r="R234" s="617"/>
      <c r="S234" s="617"/>
    </row>
    <row r="235">
      <c r="B235" s="371"/>
      <c r="C235" s="307"/>
      <c r="D235" s="307"/>
      <c r="E235" s="307"/>
      <c r="F235" s="307"/>
      <c r="G235" s="307"/>
      <c r="H235" s="307"/>
      <c r="I235" s="307"/>
      <c r="J235" s="307"/>
      <c r="L235" s="617"/>
      <c r="M235" s="617"/>
      <c r="N235" s="617"/>
      <c r="O235" s="617"/>
      <c r="P235" s="617"/>
      <c r="Q235" s="617"/>
      <c r="R235" s="617"/>
      <c r="S235" s="617"/>
    </row>
    <row r="236">
      <c r="B236" s="371"/>
      <c r="C236" s="307"/>
      <c r="D236" s="307"/>
      <c r="E236" s="307"/>
      <c r="F236" s="307"/>
      <c r="G236" s="307"/>
      <c r="H236" s="307"/>
      <c r="I236" s="307"/>
      <c r="J236" s="307"/>
      <c r="L236" s="617"/>
      <c r="M236" s="617"/>
      <c r="N236" s="617"/>
      <c r="O236" s="617"/>
      <c r="P236" s="617"/>
      <c r="Q236" s="617"/>
      <c r="R236" s="617"/>
      <c r="S236" s="617"/>
    </row>
    <row r="237">
      <c r="B237" s="371"/>
      <c r="C237" s="307"/>
      <c r="D237" s="307"/>
      <c r="E237" s="307"/>
      <c r="F237" s="307"/>
      <c r="G237" s="307"/>
      <c r="H237" s="307"/>
      <c r="I237" s="307"/>
      <c r="J237" s="307"/>
      <c r="L237" s="617"/>
      <c r="M237" s="617"/>
      <c r="N237" s="617"/>
      <c r="O237" s="617"/>
      <c r="P237" s="617"/>
      <c r="Q237" s="617"/>
      <c r="R237" s="617"/>
      <c r="S237" s="617"/>
    </row>
    <row r="238">
      <c r="B238" s="371"/>
      <c r="C238" s="307"/>
      <c r="D238" s="307"/>
      <c r="E238" s="307"/>
      <c r="F238" s="307"/>
      <c r="G238" s="307"/>
      <c r="H238" s="307"/>
      <c r="I238" s="307"/>
      <c r="J238" s="307"/>
      <c r="L238" s="617"/>
      <c r="M238" s="617"/>
      <c r="N238" s="617"/>
      <c r="O238" s="617"/>
      <c r="P238" s="617"/>
      <c r="Q238" s="617"/>
      <c r="R238" s="617"/>
      <c r="S238" s="617"/>
    </row>
    <row r="239">
      <c r="B239" s="371"/>
      <c r="C239" s="307"/>
      <c r="D239" s="307"/>
      <c r="E239" s="307"/>
      <c r="F239" s="307"/>
      <c r="G239" s="307"/>
      <c r="H239" s="307"/>
      <c r="I239" s="307"/>
      <c r="J239" s="307"/>
      <c r="L239" s="617"/>
      <c r="M239" s="617"/>
      <c r="N239" s="617"/>
      <c r="O239" s="617"/>
      <c r="P239" s="617"/>
      <c r="Q239" s="617"/>
      <c r="R239" s="617"/>
      <c r="S239" s="617"/>
    </row>
    <row r="240">
      <c r="B240" s="371"/>
      <c r="C240" s="307"/>
      <c r="D240" s="307"/>
      <c r="E240" s="307"/>
      <c r="F240" s="307"/>
      <c r="G240" s="307"/>
      <c r="H240" s="307"/>
      <c r="I240" s="307"/>
      <c r="J240" s="307"/>
      <c r="L240" s="617"/>
      <c r="M240" s="617"/>
      <c r="N240" s="617"/>
      <c r="O240" s="617"/>
      <c r="P240" s="617"/>
      <c r="Q240" s="617"/>
      <c r="R240" s="617"/>
      <c r="S240" s="617"/>
    </row>
    <row r="241">
      <c r="B241" s="371"/>
      <c r="C241" s="307"/>
      <c r="D241" s="307"/>
      <c r="E241" s="307"/>
      <c r="F241" s="307"/>
      <c r="G241" s="307"/>
      <c r="H241" s="307"/>
      <c r="I241" s="307"/>
      <c r="J241" s="307"/>
      <c r="L241" s="617"/>
      <c r="M241" s="617"/>
      <c r="N241" s="617"/>
      <c r="O241" s="617"/>
      <c r="P241" s="617"/>
      <c r="Q241" s="617"/>
      <c r="R241" s="617"/>
      <c r="S241" s="617"/>
    </row>
    <row r="242">
      <c r="B242" s="371"/>
      <c r="C242" s="307"/>
      <c r="D242" s="307"/>
      <c r="E242" s="307"/>
      <c r="F242" s="307"/>
      <c r="G242" s="307"/>
      <c r="H242" s="307"/>
      <c r="I242" s="307"/>
      <c r="J242" s="307"/>
      <c r="L242" s="617"/>
      <c r="M242" s="617"/>
      <c r="N242" s="617"/>
      <c r="O242" s="617"/>
      <c r="P242" s="617"/>
      <c r="Q242" s="617"/>
      <c r="R242" s="617"/>
      <c r="S242" s="617"/>
    </row>
    <row r="243">
      <c r="B243" s="371"/>
      <c r="C243" s="307"/>
      <c r="D243" s="307"/>
      <c r="E243" s="307"/>
      <c r="F243" s="307"/>
      <c r="G243" s="307"/>
      <c r="H243" s="307"/>
      <c r="I243" s="307"/>
      <c r="J243" s="307"/>
      <c r="L243" s="617"/>
      <c r="M243" s="617"/>
      <c r="N243" s="617"/>
      <c r="O243" s="617"/>
      <c r="P243" s="617"/>
      <c r="Q243" s="617"/>
      <c r="R243" s="617"/>
      <c r="S243" s="617"/>
    </row>
    <row r="244">
      <c r="B244" s="371"/>
      <c r="C244" s="307"/>
      <c r="D244" s="307"/>
      <c r="E244" s="307"/>
      <c r="F244" s="307"/>
      <c r="G244" s="307"/>
      <c r="H244" s="307"/>
      <c r="I244" s="307"/>
      <c r="J244" s="307"/>
      <c r="L244" s="617"/>
      <c r="M244" s="617"/>
      <c r="N244" s="617"/>
      <c r="O244" s="617"/>
      <c r="P244" s="617"/>
      <c r="Q244" s="617"/>
      <c r="R244" s="617"/>
      <c r="S244" s="617"/>
    </row>
    <row r="245">
      <c r="B245" s="371"/>
      <c r="C245" s="307"/>
      <c r="D245" s="307"/>
      <c r="E245" s="307"/>
      <c r="F245" s="307"/>
      <c r="G245" s="307"/>
      <c r="H245" s="307"/>
      <c r="I245" s="307"/>
      <c r="J245" s="307"/>
      <c r="L245" s="617"/>
      <c r="M245" s="617"/>
      <c r="N245" s="617"/>
      <c r="O245" s="617"/>
      <c r="P245" s="617"/>
      <c r="Q245" s="617"/>
      <c r="R245" s="617"/>
      <c r="S245" s="617"/>
    </row>
    <row r="246">
      <c r="B246" s="371"/>
      <c r="C246" s="307"/>
      <c r="D246" s="307"/>
      <c r="E246" s="307"/>
      <c r="F246" s="307"/>
      <c r="G246" s="307"/>
      <c r="H246" s="307"/>
      <c r="I246" s="307"/>
      <c r="J246" s="307"/>
      <c r="L246" s="617"/>
      <c r="M246" s="617"/>
      <c r="N246" s="617"/>
      <c r="O246" s="617"/>
      <c r="P246" s="617"/>
      <c r="Q246" s="617"/>
      <c r="R246" s="617"/>
      <c r="S246" s="617"/>
    </row>
    <row r="247">
      <c r="B247" s="371"/>
      <c r="C247" s="307"/>
      <c r="D247" s="307"/>
      <c r="E247" s="307"/>
      <c r="F247" s="307"/>
      <c r="G247" s="307"/>
      <c r="H247" s="307"/>
      <c r="I247" s="307"/>
      <c r="J247" s="307"/>
      <c r="L247" s="617"/>
      <c r="M247" s="617"/>
      <c r="N247" s="617"/>
      <c r="O247" s="617"/>
      <c r="P247" s="617"/>
      <c r="Q247" s="617"/>
      <c r="R247" s="617"/>
      <c r="S247" s="617"/>
    </row>
    <row r="248">
      <c r="B248" s="371"/>
      <c r="C248" s="307"/>
      <c r="D248" s="307"/>
      <c r="E248" s="307"/>
      <c r="F248" s="307"/>
      <c r="G248" s="307"/>
      <c r="H248" s="307"/>
      <c r="I248" s="307"/>
      <c r="J248" s="307"/>
      <c r="L248" s="617"/>
      <c r="M248" s="617"/>
      <c r="N248" s="617"/>
      <c r="O248" s="617"/>
      <c r="P248" s="617"/>
      <c r="Q248" s="617"/>
      <c r="R248" s="617"/>
      <c r="S248" s="617"/>
    </row>
    <row r="249">
      <c r="B249" s="371"/>
      <c r="C249" s="307"/>
      <c r="D249" s="307"/>
      <c r="E249" s="307"/>
      <c r="F249" s="307"/>
      <c r="G249" s="307"/>
      <c r="H249" s="307"/>
      <c r="I249" s="307"/>
      <c r="J249" s="307"/>
      <c r="L249" s="617"/>
      <c r="M249" s="617"/>
      <c r="N249" s="617"/>
      <c r="O249" s="617"/>
      <c r="P249" s="617"/>
      <c r="Q249" s="617"/>
      <c r="R249" s="617"/>
      <c r="S249" s="617"/>
    </row>
    <row r="250">
      <c r="B250" s="371"/>
      <c r="C250" s="307"/>
      <c r="D250" s="307"/>
      <c r="E250" s="307"/>
      <c r="F250" s="307"/>
      <c r="G250" s="307"/>
      <c r="H250" s="307"/>
      <c r="I250" s="307"/>
      <c r="J250" s="307"/>
      <c r="L250" s="617"/>
      <c r="M250" s="617"/>
      <c r="N250" s="617"/>
      <c r="O250" s="617"/>
      <c r="P250" s="617"/>
      <c r="Q250" s="617"/>
      <c r="R250" s="617"/>
      <c r="S250" s="617"/>
    </row>
    <row r="251">
      <c r="B251" s="371"/>
      <c r="C251" s="307"/>
      <c r="D251" s="307"/>
      <c r="E251" s="307"/>
      <c r="F251" s="307"/>
      <c r="G251" s="307"/>
      <c r="H251" s="307"/>
      <c r="I251" s="307"/>
      <c r="J251" s="307"/>
      <c r="L251" s="617"/>
      <c r="M251" s="617"/>
      <c r="N251" s="617"/>
      <c r="O251" s="617"/>
      <c r="P251" s="617"/>
      <c r="Q251" s="617"/>
      <c r="R251" s="617"/>
      <c r="S251" s="617"/>
    </row>
    <row r="252">
      <c r="B252" s="371"/>
      <c r="C252" s="307"/>
      <c r="D252" s="307"/>
      <c r="E252" s="307"/>
      <c r="F252" s="307"/>
      <c r="G252" s="307"/>
      <c r="H252" s="307"/>
      <c r="I252" s="307"/>
      <c r="J252" s="307"/>
      <c r="L252" s="617"/>
      <c r="M252" s="617"/>
      <c r="N252" s="617"/>
      <c r="O252" s="617"/>
      <c r="P252" s="617"/>
      <c r="Q252" s="617"/>
      <c r="R252" s="617"/>
      <c r="S252" s="617"/>
    </row>
    <row r="253">
      <c r="B253" s="371"/>
      <c r="C253" s="307"/>
      <c r="D253" s="307"/>
      <c r="E253" s="307"/>
      <c r="F253" s="307"/>
      <c r="G253" s="307"/>
      <c r="H253" s="307"/>
      <c r="I253" s="307"/>
      <c r="J253" s="307"/>
      <c r="L253" s="617"/>
      <c r="M253" s="617"/>
      <c r="N253" s="617"/>
      <c r="O253" s="617"/>
      <c r="P253" s="617"/>
      <c r="Q253" s="617"/>
      <c r="R253" s="617"/>
      <c r="S253" s="617"/>
    </row>
    <row r="254">
      <c r="B254" s="371"/>
      <c r="C254" s="307"/>
      <c r="D254" s="307"/>
      <c r="E254" s="307"/>
      <c r="F254" s="307"/>
      <c r="G254" s="307"/>
      <c r="H254" s="307"/>
      <c r="I254" s="307"/>
      <c r="J254" s="307"/>
      <c r="L254" s="617"/>
      <c r="M254" s="617"/>
      <c r="N254" s="617"/>
      <c r="O254" s="617"/>
      <c r="P254" s="617"/>
      <c r="Q254" s="617"/>
      <c r="R254" s="617"/>
      <c r="S254" s="617"/>
    </row>
    <row r="255">
      <c r="B255" s="371"/>
      <c r="C255" s="307"/>
      <c r="D255" s="307"/>
      <c r="E255" s="307"/>
      <c r="F255" s="307"/>
      <c r="G255" s="307"/>
      <c r="H255" s="307"/>
      <c r="I255" s="307"/>
      <c r="J255" s="307"/>
      <c r="L255" s="617"/>
      <c r="M255" s="617"/>
      <c r="N255" s="617"/>
      <c r="O255" s="617"/>
      <c r="P255" s="617"/>
      <c r="Q255" s="617"/>
      <c r="R255" s="617"/>
      <c r="S255" s="617"/>
    </row>
    <row r="256">
      <c r="B256" s="371"/>
      <c r="C256" s="307"/>
      <c r="D256" s="307"/>
      <c r="E256" s="307"/>
      <c r="F256" s="307"/>
      <c r="G256" s="307"/>
      <c r="H256" s="307"/>
      <c r="I256" s="307"/>
      <c r="J256" s="307"/>
      <c r="L256" s="617"/>
      <c r="M256" s="617"/>
      <c r="N256" s="617"/>
      <c r="O256" s="617"/>
      <c r="P256" s="617"/>
      <c r="Q256" s="617"/>
      <c r="R256" s="617"/>
      <c r="S256" s="617"/>
    </row>
    <row r="257">
      <c r="B257" s="371"/>
      <c r="C257" s="307"/>
      <c r="D257" s="307"/>
      <c r="E257" s="307"/>
      <c r="F257" s="307"/>
      <c r="G257" s="307"/>
      <c r="H257" s="307"/>
      <c r="I257" s="307"/>
      <c r="J257" s="307"/>
      <c r="L257" s="617"/>
      <c r="M257" s="617"/>
      <c r="N257" s="617"/>
      <c r="O257" s="617"/>
      <c r="P257" s="617"/>
      <c r="Q257" s="617"/>
      <c r="R257" s="617"/>
      <c r="S257" s="617"/>
    </row>
    <row r="258">
      <c r="B258" s="371"/>
      <c r="C258" s="307"/>
      <c r="D258" s="307"/>
      <c r="E258" s="307"/>
      <c r="F258" s="307"/>
      <c r="G258" s="307"/>
      <c r="H258" s="307"/>
      <c r="I258" s="307"/>
      <c r="J258" s="307"/>
      <c r="L258" s="617"/>
      <c r="M258" s="617"/>
      <c r="N258" s="617"/>
      <c r="O258" s="617"/>
      <c r="P258" s="617"/>
      <c r="Q258" s="617"/>
      <c r="R258" s="617"/>
      <c r="S258" s="617"/>
    </row>
    <row r="259">
      <c r="B259" s="371"/>
      <c r="C259" s="307"/>
      <c r="D259" s="307"/>
      <c r="E259" s="307"/>
      <c r="F259" s="307"/>
      <c r="G259" s="307"/>
      <c r="H259" s="307"/>
      <c r="I259" s="307"/>
      <c r="J259" s="307"/>
      <c r="L259" s="617"/>
      <c r="M259" s="617"/>
      <c r="N259" s="617"/>
      <c r="O259" s="617"/>
      <c r="P259" s="617"/>
      <c r="Q259" s="617"/>
      <c r="R259" s="617"/>
      <c r="S259" s="617"/>
    </row>
    <row r="260">
      <c r="B260" s="371"/>
      <c r="C260" s="307"/>
      <c r="D260" s="307"/>
      <c r="E260" s="307"/>
      <c r="F260" s="307"/>
      <c r="G260" s="307"/>
      <c r="H260" s="307"/>
      <c r="I260" s="307"/>
      <c r="J260" s="307"/>
      <c r="L260" s="617"/>
      <c r="M260" s="617"/>
      <c r="N260" s="617"/>
      <c r="O260" s="617"/>
      <c r="P260" s="617"/>
      <c r="Q260" s="617"/>
      <c r="R260" s="617"/>
      <c r="S260" s="617"/>
    </row>
    <row r="261">
      <c r="B261" s="371"/>
      <c r="C261" s="307"/>
      <c r="D261" s="307"/>
      <c r="E261" s="307"/>
      <c r="F261" s="307"/>
      <c r="G261" s="307"/>
      <c r="H261" s="307"/>
      <c r="I261" s="307"/>
      <c r="J261" s="307"/>
      <c r="L261" s="617"/>
      <c r="M261" s="617"/>
      <c r="N261" s="617"/>
      <c r="O261" s="617"/>
      <c r="P261" s="617"/>
      <c r="Q261" s="617"/>
      <c r="R261" s="617"/>
      <c r="S261" s="617"/>
    </row>
    <row r="262">
      <c r="B262" s="371"/>
      <c r="C262" s="307"/>
      <c r="D262" s="307"/>
      <c r="E262" s="307"/>
      <c r="F262" s="307"/>
      <c r="G262" s="307"/>
      <c r="H262" s="307"/>
      <c r="I262" s="307"/>
      <c r="J262" s="307"/>
      <c r="L262" s="617"/>
      <c r="M262" s="617"/>
      <c r="N262" s="617"/>
      <c r="O262" s="617"/>
      <c r="P262" s="617"/>
      <c r="Q262" s="617"/>
      <c r="R262" s="617"/>
      <c r="S262" s="617"/>
    </row>
    <row r="263">
      <c r="B263" s="371"/>
      <c r="C263" s="307"/>
      <c r="D263" s="307"/>
      <c r="E263" s="307"/>
      <c r="F263" s="307"/>
      <c r="G263" s="307"/>
      <c r="H263" s="307"/>
      <c r="I263" s="307"/>
      <c r="J263" s="307"/>
      <c r="L263" s="617"/>
      <c r="M263" s="617"/>
      <c r="N263" s="617"/>
      <c r="O263" s="617"/>
      <c r="P263" s="617"/>
      <c r="Q263" s="617"/>
      <c r="R263" s="617"/>
      <c r="S263" s="617"/>
    </row>
    <row r="264">
      <c r="B264" s="371"/>
      <c r="C264" s="307"/>
      <c r="D264" s="307"/>
      <c r="E264" s="307"/>
      <c r="F264" s="307"/>
      <c r="G264" s="307"/>
      <c r="H264" s="307"/>
      <c r="I264" s="307"/>
      <c r="J264" s="307"/>
      <c r="L264" s="617"/>
      <c r="M264" s="617"/>
      <c r="N264" s="617"/>
      <c r="O264" s="617"/>
      <c r="P264" s="617"/>
      <c r="Q264" s="617"/>
      <c r="R264" s="617"/>
      <c r="S264" s="617"/>
    </row>
    <row r="265">
      <c r="B265" s="371"/>
      <c r="C265" s="307"/>
      <c r="D265" s="307"/>
      <c r="E265" s="307"/>
      <c r="F265" s="307"/>
      <c r="G265" s="307"/>
      <c r="H265" s="307"/>
      <c r="I265" s="307"/>
      <c r="J265" s="307"/>
      <c r="L265" s="617"/>
      <c r="M265" s="617"/>
      <c r="N265" s="617"/>
      <c r="O265" s="617"/>
      <c r="P265" s="617"/>
      <c r="Q265" s="617"/>
      <c r="R265" s="617"/>
      <c r="S265" s="617"/>
    </row>
    <row r="266">
      <c r="B266" s="371"/>
      <c r="C266" s="307"/>
      <c r="D266" s="307"/>
      <c r="E266" s="307"/>
      <c r="F266" s="307"/>
      <c r="G266" s="307"/>
      <c r="H266" s="307"/>
      <c r="I266" s="307"/>
      <c r="J266" s="307"/>
      <c r="L266" s="617"/>
      <c r="M266" s="617"/>
      <c r="N266" s="617"/>
      <c r="O266" s="617"/>
      <c r="P266" s="617"/>
      <c r="Q266" s="617"/>
      <c r="R266" s="617"/>
      <c r="S266" s="617"/>
    </row>
    <row r="267">
      <c r="B267" s="371"/>
      <c r="C267" s="307"/>
      <c r="D267" s="307"/>
      <c r="E267" s="307"/>
      <c r="F267" s="307"/>
      <c r="G267" s="307"/>
      <c r="H267" s="307"/>
      <c r="I267" s="307"/>
      <c r="J267" s="307"/>
      <c r="L267" s="617"/>
      <c r="M267" s="617"/>
      <c r="N267" s="617"/>
      <c r="O267" s="617"/>
      <c r="P267" s="617"/>
      <c r="Q267" s="617"/>
      <c r="R267" s="617"/>
      <c r="S267" s="617"/>
    </row>
    <row r="268">
      <c r="B268" s="371"/>
      <c r="C268" s="307"/>
      <c r="D268" s="307"/>
      <c r="E268" s="307"/>
      <c r="F268" s="307"/>
      <c r="G268" s="307"/>
      <c r="H268" s="307"/>
      <c r="I268" s="307"/>
      <c r="J268" s="307"/>
      <c r="L268" s="617"/>
      <c r="M268" s="617"/>
      <c r="N268" s="617"/>
      <c r="O268" s="617"/>
      <c r="P268" s="617"/>
      <c r="Q268" s="617"/>
      <c r="R268" s="617"/>
      <c r="S268" s="617"/>
    </row>
    <row r="269">
      <c r="B269" s="371"/>
      <c r="C269" s="307"/>
      <c r="D269" s="307"/>
      <c r="E269" s="307"/>
      <c r="F269" s="307"/>
      <c r="G269" s="307"/>
      <c r="H269" s="307"/>
      <c r="I269" s="307"/>
      <c r="J269" s="307"/>
      <c r="L269" s="617"/>
      <c r="M269" s="617"/>
      <c r="N269" s="617"/>
      <c r="O269" s="617"/>
      <c r="P269" s="617"/>
      <c r="Q269" s="617"/>
      <c r="R269" s="617"/>
      <c r="S269" s="617"/>
    </row>
    <row r="270">
      <c r="B270" s="371"/>
      <c r="C270" s="307"/>
      <c r="D270" s="307"/>
      <c r="E270" s="307"/>
      <c r="F270" s="307"/>
      <c r="G270" s="307"/>
      <c r="H270" s="307"/>
      <c r="I270" s="307"/>
      <c r="J270" s="307"/>
      <c r="L270" s="617"/>
      <c r="M270" s="617"/>
      <c r="N270" s="617"/>
      <c r="O270" s="617"/>
      <c r="P270" s="617"/>
      <c r="Q270" s="617"/>
      <c r="R270" s="617"/>
      <c r="S270" s="617"/>
    </row>
    <row r="271">
      <c r="B271" s="371"/>
      <c r="C271" s="307"/>
      <c r="D271" s="307"/>
      <c r="E271" s="307"/>
      <c r="F271" s="307"/>
      <c r="G271" s="307"/>
      <c r="H271" s="307"/>
      <c r="I271" s="307"/>
      <c r="J271" s="307"/>
      <c r="L271" s="617"/>
      <c r="M271" s="617"/>
      <c r="N271" s="617"/>
      <c r="O271" s="617"/>
      <c r="P271" s="617"/>
      <c r="Q271" s="617"/>
      <c r="R271" s="617"/>
      <c r="S271" s="617"/>
    </row>
    <row r="272">
      <c r="B272" s="371"/>
      <c r="C272" s="307"/>
      <c r="D272" s="307"/>
      <c r="E272" s="307"/>
      <c r="F272" s="307"/>
      <c r="G272" s="307"/>
      <c r="H272" s="307"/>
      <c r="I272" s="307"/>
      <c r="J272" s="307"/>
      <c r="L272" s="617"/>
      <c r="M272" s="617"/>
      <c r="N272" s="617"/>
      <c r="O272" s="617"/>
      <c r="P272" s="617"/>
      <c r="Q272" s="617"/>
      <c r="R272" s="617"/>
      <c r="S272" s="617"/>
    </row>
    <row r="273">
      <c r="B273" s="371"/>
      <c r="C273" s="307"/>
      <c r="D273" s="307"/>
      <c r="E273" s="307"/>
      <c r="F273" s="307"/>
      <c r="G273" s="307"/>
      <c r="H273" s="307"/>
      <c r="I273" s="307"/>
      <c r="J273" s="307"/>
      <c r="L273" s="617"/>
      <c r="M273" s="617"/>
      <c r="N273" s="617"/>
      <c r="O273" s="617"/>
      <c r="P273" s="617"/>
      <c r="Q273" s="617"/>
      <c r="R273" s="617"/>
      <c r="S273" s="617"/>
    </row>
    <row r="274">
      <c r="B274" s="371"/>
      <c r="C274" s="307"/>
      <c r="D274" s="307"/>
      <c r="E274" s="307"/>
      <c r="F274" s="307"/>
      <c r="G274" s="307"/>
      <c r="H274" s="307"/>
      <c r="I274" s="307"/>
      <c r="J274" s="307"/>
      <c r="L274" s="617"/>
      <c r="M274" s="617"/>
      <c r="N274" s="617"/>
      <c r="O274" s="617"/>
      <c r="P274" s="617"/>
      <c r="Q274" s="617"/>
      <c r="R274" s="617"/>
      <c r="S274" s="617"/>
    </row>
    <row r="275">
      <c r="B275" s="371"/>
      <c r="C275" s="307"/>
      <c r="D275" s="307"/>
      <c r="E275" s="307"/>
      <c r="F275" s="307"/>
      <c r="G275" s="307"/>
      <c r="H275" s="307"/>
      <c r="I275" s="307"/>
      <c r="J275" s="307"/>
      <c r="L275" s="617"/>
      <c r="M275" s="617"/>
      <c r="N275" s="617"/>
      <c r="O275" s="617"/>
      <c r="P275" s="617"/>
      <c r="Q275" s="617"/>
      <c r="R275" s="617"/>
      <c r="S275" s="617"/>
    </row>
    <row r="276">
      <c r="B276" s="371"/>
      <c r="C276" s="307"/>
      <c r="D276" s="307"/>
      <c r="E276" s="307"/>
      <c r="F276" s="307"/>
      <c r="G276" s="307"/>
      <c r="H276" s="307"/>
      <c r="I276" s="307"/>
      <c r="J276" s="307"/>
      <c r="L276" s="617"/>
      <c r="M276" s="617"/>
      <c r="N276" s="617"/>
      <c r="O276" s="617"/>
      <c r="P276" s="617"/>
      <c r="Q276" s="617"/>
      <c r="R276" s="617"/>
      <c r="S276" s="617"/>
    </row>
    <row r="277">
      <c r="B277" s="371"/>
      <c r="C277" s="307"/>
      <c r="D277" s="307"/>
      <c r="E277" s="307"/>
      <c r="F277" s="307"/>
      <c r="G277" s="307"/>
      <c r="H277" s="307"/>
      <c r="I277" s="307"/>
      <c r="J277" s="307"/>
      <c r="L277" s="617"/>
      <c r="M277" s="617"/>
      <c r="N277" s="617"/>
      <c r="O277" s="617"/>
      <c r="P277" s="617"/>
      <c r="Q277" s="617"/>
      <c r="R277" s="617"/>
      <c r="S277" s="617"/>
    </row>
    <row r="278">
      <c r="B278" s="371"/>
      <c r="C278" s="307"/>
      <c r="D278" s="307"/>
      <c r="E278" s="307"/>
      <c r="F278" s="307"/>
      <c r="G278" s="307"/>
      <c r="H278" s="307"/>
      <c r="I278" s="307"/>
      <c r="J278" s="307"/>
      <c r="L278" s="617"/>
      <c r="M278" s="617"/>
      <c r="N278" s="617"/>
      <c r="O278" s="617"/>
      <c r="P278" s="617"/>
      <c r="Q278" s="617"/>
      <c r="R278" s="617"/>
      <c r="S278" s="617"/>
    </row>
    <row r="279">
      <c r="B279" s="371"/>
      <c r="C279" s="307"/>
      <c r="D279" s="307"/>
      <c r="E279" s="307"/>
      <c r="F279" s="307"/>
      <c r="G279" s="307"/>
      <c r="H279" s="307"/>
      <c r="I279" s="307"/>
      <c r="J279" s="307"/>
      <c r="L279" s="617"/>
      <c r="M279" s="617"/>
      <c r="N279" s="617"/>
      <c r="O279" s="617"/>
      <c r="P279" s="617"/>
      <c r="Q279" s="617"/>
      <c r="R279" s="617"/>
      <c r="S279" s="617"/>
    </row>
    <row r="280">
      <c r="B280" s="371"/>
      <c r="C280" s="307"/>
      <c r="D280" s="307"/>
      <c r="E280" s="307"/>
      <c r="F280" s="307"/>
      <c r="G280" s="307"/>
      <c r="H280" s="307"/>
      <c r="I280" s="307"/>
      <c r="J280" s="307"/>
      <c r="L280" s="617"/>
      <c r="M280" s="617"/>
      <c r="N280" s="617"/>
      <c r="O280" s="617"/>
      <c r="P280" s="617"/>
      <c r="Q280" s="617"/>
      <c r="R280" s="617"/>
      <c r="S280" s="617"/>
    </row>
    <row r="281">
      <c r="B281" s="371"/>
      <c r="C281" s="307"/>
      <c r="D281" s="307"/>
      <c r="E281" s="307"/>
      <c r="F281" s="307"/>
      <c r="G281" s="307"/>
      <c r="H281" s="307"/>
      <c r="I281" s="307"/>
      <c r="J281" s="307"/>
      <c r="L281" s="617"/>
      <c r="M281" s="617"/>
      <c r="N281" s="617"/>
      <c r="O281" s="617"/>
      <c r="P281" s="617"/>
      <c r="Q281" s="617"/>
      <c r="R281" s="617"/>
      <c r="S281" s="617"/>
    </row>
    <row r="282">
      <c r="B282" s="371"/>
      <c r="C282" s="307"/>
      <c r="D282" s="307"/>
      <c r="E282" s="307"/>
      <c r="F282" s="307"/>
      <c r="G282" s="307"/>
      <c r="H282" s="307"/>
      <c r="I282" s="307"/>
      <c r="J282" s="307"/>
      <c r="L282" s="617"/>
      <c r="M282" s="617"/>
      <c r="N282" s="617"/>
      <c r="O282" s="617"/>
      <c r="P282" s="617"/>
      <c r="Q282" s="617"/>
      <c r="R282" s="617"/>
      <c r="S282" s="617"/>
    </row>
    <row r="283">
      <c r="B283" s="371"/>
      <c r="C283" s="307"/>
      <c r="D283" s="307"/>
      <c r="E283" s="307"/>
      <c r="F283" s="307"/>
      <c r="G283" s="307"/>
      <c r="H283" s="307"/>
      <c r="I283" s="307"/>
      <c r="J283" s="307"/>
      <c r="L283" s="617"/>
      <c r="M283" s="617"/>
      <c r="N283" s="617"/>
      <c r="O283" s="617"/>
      <c r="P283" s="617"/>
      <c r="Q283" s="617"/>
      <c r="R283" s="617"/>
      <c r="S283" s="617"/>
    </row>
    <row r="284">
      <c r="B284" s="371"/>
      <c r="C284" s="307"/>
      <c r="D284" s="307"/>
      <c r="E284" s="307"/>
      <c r="F284" s="307"/>
      <c r="G284" s="307"/>
      <c r="H284" s="307"/>
      <c r="I284" s="307"/>
      <c r="J284" s="307"/>
      <c r="L284" s="617"/>
      <c r="M284" s="617"/>
      <c r="N284" s="617"/>
      <c r="O284" s="617"/>
      <c r="P284" s="617"/>
      <c r="Q284" s="617"/>
      <c r="R284" s="617"/>
      <c r="S284" s="617"/>
    </row>
    <row r="285">
      <c r="B285" s="371"/>
      <c r="C285" s="307"/>
      <c r="D285" s="307"/>
      <c r="E285" s="307"/>
      <c r="F285" s="307"/>
      <c r="G285" s="307"/>
      <c r="H285" s="307"/>
      <c r="I285" s="307"/>
      <c r="J285" s="307"/>
      <c r="L285" s="617"/>
      <c r="M285" s="617"/>
      <c r="N285" s="617"/>
      <c r="O285" s="617"/>
      <c r="P285" s="617"/>
      <c r="Q285" s="617"/>
      <c r="R285" s="617"/>
      <c r="S285" s="617"/>
    </row>
    <row r="286">
      <c r="B286" s="371"/>
      <c r="C286" s="307"/>
      <c r="D286" s="307"/>
      <c r="E286" s="307"/>
      <c r="F286" s="307"/>
      <c r="G286" s="307"/>
      <c r="H286" s="307"/>
      <c r="I286" s="307"/>
      <c r="J286" s="307"/>
      <c r="L286" s="617"/>
      <c r="M286" s="617"/>
      <c r="N286" s="617"/>
      <c r="O286" s="617"/>
      <c r="P286" s="617"/>
      <c r="Q286" s="617"/>
      <c r="R286" s="617"/>
      <c r="S286" s="617"/>
    </row>
    <row r="287">
      <c r="B287" s="371"/>
      <c r="C287" s="307"/>
      <c r="D287" s="307"/>
      <c r="E287" s="307"/>
      <c r="F287" s="307"/>
      <c r="G287" s="307"/>
      <c r="H287" s="307"/>
      <c r="I287" s="307"/>
      <c r="J287" s="307"/>
      <c r="L287" s="617"/>
      <c r="M287" s="617"/>
      <c r="N287" s="617"/>
      <c r="O287" s="617"/>
      <c r="P287" s="617"/>
      <c r="Q287" s="617"/>
      <c r="R287" s="617"/>
      <c r="S287" s="617"/>
    </row>
    <row r="288">
      <c r="B288" s="371"/>
      <c r="C288" s="307"/>
      <c r="D288" s="307"/>
      <c r="E288" s="307"/>
      <c r="F288" s="307"/>
      <c r="G288" s="307"/>
      <c r="H288" s="307"/>
      <c r="I288" s="307"/>
      <c r="J288" s="307"/>
      <c r="L288" s="617"/>
      <c r="M288" s="617"/>
      <c r="N288" s="617"/>
      <c r="O288" s="617"/>
      <c r="P288" s="617"/>
      <c r="Q288" s="617"/>
      <c r="R288" s="617"/>
      <c r="S288" s="617"/>
    </row>
    <row r="289">
      <c r="B289" s="371"/>
      <c r="C289" s="307"/>
      <c r="D289" s="307"/>
      <c r="E289" s="307"/>
      <c r="F289" s="307"/>
      <c r="G289" s="307"/>
      <c r="H289" s="307"/>
      <c r="I289" s="307"/>
      <c r="J289" s="307"/>
      <c r="L289" s="617"/>
      <c r="M289" s="617"/>
      <c r="N289" s="617"/>
      <c r="O289" s="617"/>
      <c r="P289" s="617"/>
      <c r="Q289" s="617"/>
      <c r="R289" s="617"/>
      <c r="S289" s="617"/>
    </row>
    <row r="290">
      <c r="B290" s="371"/>
      <c r="C290" s="307"/>
      <c r="D290" s="307"/>
      <c r="E290" s="307"/>
      <c r="F290" s="307"/>
      <c r="G290" s="307"/>
      <c r="H290" s="307"/>
      <c r="I290" s="307"/>
      <c r="J290" s="307"/>
      <c r="L290" s="617"/>
      <c r="M290" s="617"/>
      <c r="N290" s="617"/>
      <c r="O290" s="617"/>
      <c r="P290" s="617"/>
      <c r="Q290" s="617"/>
      <c r="R290" s="617"/>
      <c r="S290" s="617"/>
    </row>
    <row r="291">
      <c r="B291" s="371"/>
      <c r="C291" s="307"/>
      <c r="D291" s="307"/>
      <c r="E291" s="307"/>
      <c r="F291" s="307"/>
      <c r="G291" s="307"/>
      <c r="H291" s="307"/>
      <c r="I291" s="307"/>
      <c r="J291" s="307"/>
      <c r="L291" s="617"/>
      <c r="M291" s="617"/>
      <c r="N291" s="617"/>
      <c r="O291" s="617"/>
      <c r="P291" s="617"/>
      <c r="Q291" s="617"/>
      <c r="R291" s="617"/>
      <c r="S291" s="617"/>
    </row>
    <row r="292">
      <c r="B292" s="371"/>
      <c r="C292" s="307"/>
      <c r="D292" s="307"/>
      <c r="E292" s="307"/>
      <c r="F292" s="307"/>
      <c r="G292" s="307"/>
      <c r="H292" s="307"/>
      <c r="I292" s="307"/>
      <c r="J292" s="307"/>
      <c r="L292" s="617"/>
      <c r="M292" s="617"/>
      <c r="N292" s="617"/>
      <c r="O292" s="617"/>
      <c r="P292" s="617"/>
      <c r="Q292" s="617"/>
      <c r="R292" s="617"/>
      <c r="S292" s="617"/>
    </row>
    <row r="293">
      <c r="B293" s="371"/>
      <c r="C293" s="307"/>
      <c r="D293" s="307"/>
      <c r="E293" s="307"/>
      <c r="F293" s="307"/>
      <c r="G293" s="307"/>
      <c r="H293" s="307"/>
      <c r="I293" s="307"/>
      <c r="J293" s="307"/>
      <c r="L293" s="617"/>
      <c r="M293" s="617"/>
      <c r="N293" s="617"/>
      <c r="O293" s="617"/>
      <c r="P293" s="617"/>
      <c r="Q293" s="617"/>
      <c r="R293" s="617"/>
      <c r="S293" s="617"/>
    </row>
    <row r="294">
      <c r="B294" s="371"/>
      <c r="C294" s="307"/>
      <c r="D294" s="307"/>
      <c r="E294" s="307"/>
      <c r="F294" s="307"/>
      <c r="G294" s="307"/>
      <c r="H294" s="307"/>
      <c r="I294" s="307"/>
      <c r="J294" s="307"/>
      <c r="L294" s="617"/>
      <c r="M294" s="617"/>
      <c r="N294" s="617"/>
      <c r="O294" s="617"/>
      <c r="P294" s="617"/>
      <c r="Q294" s="617"/>
      <c r="R294" s="617"/>
      <c r="S294" s="617"/>
    </row>
    <row r="295">
      <c r="B295" s="371"/>
      <c r="C295" s="307"/>
      <c r="D295" s="307"/>
      <c r="E295" s="307"/>
      <c r="F295" s="307"/>
      <c r="G295" s="307"/>
      <c r="H295" s="307"/>
      <c r="I295" s="307"/>
      <c r="J295" s="307"/>
      <c r="L295" s="617"/>
      <c r="M295" s="617"/>
      <c r="N295" s="617"/>
      <c r="O295" s="617"/>
      <c r="P295" s="617"/>
      <c r="Q295" s="617"/>
      <c r="R295" s="617"/>
      <c r="S295" s="617"/>
    </row>
    <row r="296">
      <c r="B296" s="371"/>
      <c r="C296" s="307"/>
      <c r="D296" s="307"/>
      <c r="E296" s="307"/>
      <c r="F296" s="307"/>
      <c r="G296" s="307"/>
      <c r="H296" s="307"/>
      <c r="I296" s="307"/>
      <c r="J296" s="307"/>
      <c r="L296" s="617"/>
      <c r="M296" s="617"/>
      <c r="N296" s="617"/>
      <c r="O296" s="617"/>
      <c r="P296" s="617"/>
      <c r="Q296" s="617"/>
      <c r="R296" s="617"/>
      <c r="S296" s="617"/>
    </row>
    <row r="297">
      <c r="B297" s="371"/>
      <c r="C297" s="307"/>
      <c r="D297" s="307"/>
      <c r="E297" s="307"/>
      <c r="F297" s="307"/>
      <c r="G297" s="307"/>
      <c r="H297" s="307"/>
      <c r="I297" s="307"/>
      <c r="J297" s="307"/>
      <c r="L297" s="617"/>
      <c r="M297" s="617"/>
      <c r="N297" s="617"/>
      <c r="O297" s="617"/>
      <c r="P297" s="617"/>
      <c r="Q297" s="617"/>
      <c r="R297" s="617"/>
      <c r="S297" s="617"/>
    </row>
    <row r="298">
      <c r="B298" s="371"/>
      <c r="C298" s="307"/>
      <c r="D298" s="307"/>
      <c r="E298" s="307"/>
      <c r="F298" s="307"/>
      <c r="G298" s="307"/>
      <c r="H298" s="307"/>
      <c r="I298" s="307"/>
      <c r="J298" s="307"/>
      <c r="L298" s="617"/>
      <c r="M298" s="617"/>
      <c r="N298" s="617"/>
      <c r="O298" s="617"/>
      <c r="P298" s="617"/>
      <c r="Q298" s="617"/>
      <c r="R298" s="617"/>
      <c r="S298" s="617"/>
    </row>
    <row r="299">
      <c r="B299" s="371"/>
      <c r="C299" s="307"/>
      <c r="D299" s="307"/>
      <c r="E299" s="307"/>
      <c r="F299" s="307"/>
      <c r="G299" s="307"/>
      <c r="H299" s="307"/>
      <c r="I299" s="307"/>
      <c r="J299" s="307"/>
      <c r="L299" s="617"/>
      <c r="M299" s="617"/>
      <c r="N299" s="617"/>
      <c r="O299" s="617"/>
      <c r="P299" s="617"/>
      <c r="Q299" s="617"/>
      <c r="R299" s="617"/>
      <c r="S299" s="617"/>
    </row>
    <row r="300">
      <c r="B300" s="371"/>
      <c r="C300" s="307"/>
      <c r="D300" s="307"/>
      <c r="E300" s="307"/>
      <c r="F300" s="307"/>
      <c r="G300" s="307"/>
      <c r="H300" s="307"/>
      <c r="I300" s="307"/>
      <c r="J300" s="307"/>
      <c r="L300" s="617"/>
      <c r="M300" s="617"/>
      <c r="N300" s="617"/>
      <c r="O300" s="617"/>
      <c r="P300" s="617"/>
      <c r="Q300" s="617"/>
      <c r="R300" s="617"/>
      <c r="S300" s="617"/>
    </row>
    <row r="301">
      <c r="B301" s="371"/>
      <c r="C301" s="307"/>
      <c r="D301" s="307"/>
      <c r="E301" s="307"/>
      <c r="F301" s="307"/>
      <c r="G301" s="307"/>
      <c r="H301" s="307"/>
      <c r="I301" s="307"/>
      <c r="J301" s="307"/>
      <c r="L301" s="617"/>
      <c r="M301" s="617"/>
      <c r="N301" s="617"/>
      <c r="O301" s="617"/>
      <c r="P301" s="617"/>
      <c r="Q301" s="617"/>
      <c r="R301" s="617"/>
      <c r="S301" s="617"/>
    </row>
    <row r="302">
      <c r="B302" s="371"/>
      <c r="C302" s="307"/>
      <c r="D302" s="307"/>
      <c r="E302" s="307"/>
      <c r="F302" s="307"/>
      <c r="G302" s="307"/>
      <c r="H302" s="307"/>
      <c r="I302" s="307"/>
      <c r="J302" s="307"/>
      <c r="L302" s="617"/>
      <c r="M302" s="617"/>
      <c r="N302" s="617"/>
      <c r="O302" s="617"/>
      <c r="P302" s="617"/>
      <c r="Q302" s="617"/>
      <c r="R302" s="617"/>
      <c r="S302" s="617"/>
    </row>
    <row r="303">
      <c r="B303" s="371"/>
      <c r="C303" s="307"/>
      <c r="D303" s="307"/>
      <c r="E303" s="307"/>
      <c r="F303" s="307"/>
      <c r="G303" s="307"/>
      <c r="H303" s="307"/>
      <c r="I303" s="307"/>
      <c r="J303" s="307"/>
      <c r="L303" s="617"/>
      <c r="M303" s="617"/>
      <c r="N303" s="617"/>
      <c r="O303" s="617"/>
      <c r="P303" s="617"/>
      <c r="Q303" s="617"/>
      <c r="R303" s="617"/>
      <c r="S303" s="617"/>
    </row>
    <row r="304">
      <c r="B304" s="371"/>
      <c r="C304" s="307"/>
      <c r="D304" s="307"/>
      <c r="E304" s="307"/>
      <c r="F304" s="307"/>
      <c r="G304" s="307"/>
      <c r="H304" s="307"/>
      <c r="I304" s="307"/>
      <c r="J304" s="307"/>
      <c r="L304" s="617"/>
      <c r="M304" s="617"/>
      <c r="N304" s="617"/>
      <c r="O304" s="617"/>
      <c r="P304" s="617"/>
      <c r="Q304" s="617"/>
      <c r="R304" s="617"/>
      <c r="S304" s="617"/>
    </row>
    <row r="305">
      <c r="B305" s="371"/>
      <c r="C305" s="307"/>
      <c r="D305" s="307"/>
      <c r="E305" s="307"/>
      <c r="F305" s="307"/>
      <c r="G305" s="307"/>
      <c r="H305" s="307"/>
      <c r="I305" s="307"/>
      <c r="J305" s="307"/>
      <c r="L305" s="617"/>
      <c r="M305" s="617"/>
      <c r="N305" s="617"/>
      <c r="O305" s="617"/>
      <c r="P305" s="617"/>
      <c r="Q305" s="617"/>
      <c r="R305" s="617"/>
      <c r="S305" s="617"/>
    </row>
    <row r="306">
      <c r="B306" s="371"/>
      <c r="C306" s="307"/>
      <c r="D306" s="307"/>
      <c r="E306" s="307"/>
      <c r="F306" s="307"/>
      <c r="G306" s="307"/>
      <c r="H306" s="307"/>
      <c r="I306" s="307"/>
      <c r="J306" s="307"/>
      <c r="L306" s="617"/>
      <c r="M306" s="617"/>
      <c r="N306" s="617"/>
      <c r="O306" s="617"/>
      <c r="P306" s="617"/>
      <c r="Q306" s="617"/>
      <c r="R306" s="617"/>
      <c r="S306" s="617"/>
    </row>
    <row r="307">
      <c r="B307" s="371"/>
      <c r="C307" s="307"/>
      <c r="D307" s="307"/>
      <c r="E307" s="307"/>
      <c r="F307" s="307"/>
      <c r="G307" s="307"/>
      <c r="H307" s="307"/>
      <c r="I307" s="307"/>
      <c r="J307" s="307"/>
      <c r="L307" s="617"/>
      <c r="M307" s="617"/>
      <c r="N307" s="617"/>
      <c r="O307" s="617"/>
      <c r="P307" s="617"/>
      <c r="Q307" s="617"/>
      <c r="R307" s="617"/>
      <c r="S307" s="617"/>
    </row>
    <row r="308">
      <c r="B308" s="371"/>
      <c r="C308" s="307"/>
      <c r="D308" s="307"/>
      <c r="E308" s="307"/>
      <c r="F308" s="307"/>
      <c r="G308" s="307"/>
      <c r="H308" s="307"/>
      <c r="I308" s="307"/>
      <c r="J308" s="307"/>
      <c r="L308" s="617"/>
      <c r="M308" s="617"/>
      <c r="N308" s="617"/>
      <c r="O308" s="617"/>
      <c r="P308" s="617"/>
      <c r="Q308" s="617"/>
      <c r="R308" s="617"/>
      <c r="S308" s="617"/>
    </row>
    <row r="309">
      <c r="B309" s="371"/>
      <c r="C309" s="307"/>
      <c r="D309" s="307"/>
      <c r="E309" s="307"/>
      <c r="F309" s="307"/>
      <c r="G309" s="307"/>
      <c r="H309" s="307"/>
      <c r="I309" s="307"/>
      <c r="J309" s="307"/>
      <c r="L309" s="617"/>
      <c r="M309" s="617"/>
      <c r="N309" s="617"/>
      <c r="O309" s="617"/>
      <c r="P309" s="617"/>
      <c r="Q309" s="617"/>
      <c r="R309" s="617"/>
      <c r="S309" s="617"/>
    </row>
    <row r="310">
      <c r="B310" s="371"/>
      <c r="C310" s="307"/>
      <c r="D310" s="307"/>
      <c r="E310" s="307"/>
      <c r="F310" s="307"/>
      <c r="G310" s="307"/>
      <c r="H310" s="307"/>
      <c r="I310" s="307"/>
      <c r="J310" s="307"/>
      <c r="L310" s="617"/>
      <c r="M310" s="617"/>
      <c r="N310" s="617"/>
      <c r="O310" s="617"/>
      <c r="P310" s="617"/>
      <c r="Q310" s="617"/>
      <c r="R310" s="617"/>
      <c r="S310" s="617"/>
    </row>
    <row r="311">
      <c r="B311" s="371"/>
      <c r="C311" s="307"/>
      <c r="D311" s="307"/>
      <c r="E311" s="307"/>
      <c r="F311" s="307"/>
      <c r="G311" s="307"/>
      <c r="H311" s="307"/>
      <c r="I311" s="307"/>
      <c r="J311" s="307"/>
      <c r="L311" s="617"/>
      <c r="M311" s="617"/>
      <c r="N311" s="617"/>
      <c r="O311" s="617"/>
      <c r="P311" s="617"/>
      <c r="Q311" s="617"/>
      <c r="R311" s="617"/>
      <c r="S311" s="617"/>
    </row>
    <row r="312">
      <c r="B312" s="371"/>
      <c r="C312" s="307"/>
      <c r="D312" s="307"/>
      <c r="E312" s="307"/>
      <c r="F312" s="307"/>
      <c r="G312" s="307"/>
      <c r="H312" s="307"/>
      <c r="I312" s="307"/>
      <c r="J312" s="307"/>
      <c r="L312" s="617"/>
      <c r="M312" s="617"/>
      <c r="N312" s="617"/>
      <c r="O312" s="617"/>
      <c r="P312" s="617"/>
      <c r="Q312" s="617"/>
      <c r="R312" s="617"/>
      <c r="S312" s="617"/>
    </row>
    <row r="313">
      <c r="B313" s="371"/>
      <c r="C313" s="307"/>
      <c r="D313" s="307"/>
      <c r="E313" s="307"/>
      <c r="F313" s="307"/>
      <c r="G313" s="307"/>
      <c r="H313" s="307"/>
      <c r="I313" s="307"/>
      <c r="J313" s="307"/>
      <c r="L313" s="617"/>
      <c r="M313" s="617"/>
      <c r="N313" s="617"/>
      <c r="O313" s="617"/>
      <c r="P313" s="617"/>
      <c r="Q313" s="617"/>
      <c r="R313" s="617"/>
      <c r="S313" s="617"/>
    </row>
    <row r="314">
      <c r="B314" s="371"/>
      <c r="C314" s="307"/>
      <c r="D314" s="307"/>
      <c r="E314" s="307"/>
      <c r="F314" s="307"/>
      <c r="G314" s="307"/>
      <c r="H314" s="307"/>
      <c r="I314" s="307"/>
      <c r="J314" s="307"/>
      <c r="L314" s="617"/>
      <c r="M314" s="617"/>
      <c r="N314" s="617"/>
      <c r="O314" s="617"/>
      <c r="P314" s="617"/>
      <c r="Q314" s="617"/>
      <c r="R314" s="617"/>
      <c r="S314" s="617"/>
    </row>
    <row r="315">
      <c r="B315" s="371"/>
      <c r="C315" s="307"/>
      <c r="D315" s="307"/>
      <c r="E315" s="307"/>
      <c r="F315" s="307"/>
      <c r="G315" s="307"/>
      <c r="H315" s="307"/>
      <c r="I315" s="307"/>
      <c r="J315" s="307"/>
      <c r="L315" s="617"/>
      <c r="M315" s="617"/>
      <c r="N315" s="617"/>
      <c r="O315" s="617"/>
      <c r="P315" s="617"/>
      <c r="Q315" s="617"/>
      <c r="R315" s="617"/>
      <c r="S315" s="617"/>
    </row>
    <row r="316">
      <c r="B316" s="371"/>
      <c r="C316" s="307"/>
      <c r="D316" s="307"/>
      <c r="E316" s="307"/>
      <c r="F316" s="307"/>
      <c r="G316" s="307"/>
      <c r="H316" s="307"/>
      <c r="I316" s="307"/>
      <c r="J316" s="307"/>
      <c r="L316" s="617"/>
      <c r="M316" s="617"/>
      <c r="N316" s="617"/>
      <c r="O316" s="617"/>
      <c r="P316" s="617"/>
      <c r="Q316" s="617"/>
      <c r="R316" s="617"/>
      <c r="S316" s="617"/>
    </row>
    <row r="317">
      <c r="B317" s="371"/>
      <c r="C317" s="307"/>
      <c r="D317" s="307"/>
      <c r="E317" s="307"/>
      <c r="F317" s="307"/>
      <c r="G317" s="307"/>
      <c r="H317" s="307"/>
      <c r="I317" s="307"/>
      <c r="J317" s="307"/>
      <c r="L317" s="617"/>
      <c r="M317" s="617"/>
      <c r="N317" s="617"/>
      <c r="O317" s="617"/>
      <c r="P317" s="617"/>
      <c r="Q317" s="617"/>
      <c r="R317" s="617"/>
      <c r="S317" s="617"/>
    </row>
    <row r="318">
      <c r="B318" s="371"/>
      <c r="C318" s="307"/>
      <c r="D318" s="307"/>
      <c r="E318" s="307"/>
      <c r="F318" s="307"/>
      <c r="G318" s="307"/>
      <c r="H318" s="307"/>
      <c r="I318" s="307"/>
      <c r="J318" s="307"/>
      <c r="L318" s="617"/>
      <c r="M318" s="617"/>
      <c r="N318" s="617"/>
      <c r="O318" s="617"/>
      <c r="P318" s="617"/>
      <c r="Q318" s="617"/>
      <c r="R318" s="617"/>
      <c r="S318" s="617"/>
    </row>
    <row r="319">
      <c r="B319" s="371"/>
      <c r="C319" s="307"/>
      <c r="D319" s="307"/>
      <c r="E319" s="307"/>
      <c r="F319" s="307"/>
      <c r="G319" s="307"/>
      <c r="H319" s="307"/>
      <c r="I319" s="307"/>
      <c r="J319" s="307"/>
      <c r="L319" s="617"/>
      <c r="M319" s="617"/>
      <c r="N319" s="617"/>
      <c r="O319" s="617"/>
      <c r="P319" s="617"/>
      <c r="Q319" s="617"/>
      <c r="R319" s="617"/>
      <c r="S319" s="617"/>
    </row>
    <row r="320">
      <c r="B320" s="371"/>
      <c r="C320" s="307"/>
      <c r="D320" s="307"/>
      <c r="E320" s="307"/>
      <c r="F320" s="307"/>
      <c r="G320" s="307"/>
      <c r="H320" s="307"/>
      <c r="I320" s="307"/>
      <c r="J320" s="307"/>
      <c r="L320" s="617"/>
      <c r="M320" s="617"/>
      <c r="N320" s="617"/>
      <c r="O320" s="617"/>
      <c r="P320" s="617"/>
      <c r="Q320" s="617"/>
      <c r="R320" s="617"/>
      <c r="S320" s="617"/>
    </row>
    <row r="321">
      <c r="B321" s="371"/>
      <c r="C321" s="307"/>
      <c r="D321" s="307"/>
      <c r="E321" s="307"/>
      <c r="F321" s="307"/>
      <c r="G321" s="307"/>
      <c r="H321" s="307"/>
      <c r="I321" s="307"/>
      <c r="J321" s="307"/>
      <c r="L321" s="617"/>
      <c r="M321" s="617"/>
      <c r="N321" s="617"/>
      <c r="O321" s="617"/>
      <c r="P321" s="617"/>
      <c r="Q321" s="617"/>
      <c r="R321" s="617"/>
      <c r="S321" s="617"/>
    </row>
    <row r="322">
      <c r="B322" s="371"/>
      <c r="C322" s="307"/>
      <c r="D322" s="307"/>
      <c r="E322" s="307"/>
      <c r="F322" s="307"/>
      <c r="G322" s="307"/>
      <c r="H322" s="307"/>
      <c r="I322" s="307"/>
      <c r="J322" s="307"/>
      <c r="L322" s="617"/>
      <c r="M322" s="617"/>
      <c r="N322" s="617"/>
      <c r="O322" s="617"/>
      <c r="P322" s="617"/>
      <c r="Q322" s="617"/>
      <c r="R322" s="617"/>
      <c r="S322" s="617"/>
    </row>
    <row r="323">
      <c r="B323" s="371"/>
      <c r="C323" s="307"/>
      <c r="D323" s="307"/>
      <c r="E323" s="307"/>
      <c r="F323" s="307"/>
      <c r="G323" s="307"/>
      <c r="H323" s="307"/>
      <c r="I323" s="307"/>
      <c r="J323" s="307"/>
      <c r="L323" s="617"/>
      <c r="M323" s="617"/>
      <c r="N323" s="617"/>
      <c r="O323" s="617"/>
      <c r="P323" s="617"/>
      <c r="Q323" s="617"/>
      <c r="R323" s="617"/>
      <c r="S323" s="617"/>
    </row>
    <row r="324">
      <c r="B324" s="371"/>
      <c r="C324" s="307"/>
      <c r="D324" s="307"/>
      <c r="E324" s="307"/>
      <c r="F324" s="307"/>
      <c r="G324" s="307"/>
      <c r="H324" s="307"/>
      <c r="I324" s="307"/>
      <c r="J324" s="307"/>
      <c r="L324" s="617"/>
      <c r="M324" s="617"/>
      <c r="N324" s="617"/>
      <c r="O324" s="617"/>
      <c r="P324" s="617"/>
      <c r="Q324" s="617"/>
      <c r="R324" s="617"/>
      <c r="S324" s="617"/>
    </row>
    <row r="325">
      <c r="B325" s="371"/>
      <c r="C325" s="307"/>
      <c r="D325" s="307"/>
      <c r="E325" s="307"/>
      <c r="F325" s="307"/>
      <c r="G325" s="307"/>
      <c r="H325" s="307"/>
      <c r="I325" s="307"/>
      <c r="J325" s="307"/>
      <c r="L325" s="617"/>
      <c r="M325" s="617"/>
      <c r="N325" s="617"/>
      <c r="O325" s="617"/>
      <c r="P325" s="617"/>
      <c r="Q325" s="617"/>
      <c r="R325" s="617"/>
      <c r="S325" s="617"/>
    </row>
    <row r="326">
      <c r="B326" s="371"/>
      <c r="C326" s="307"/>
      <c r="D326" s="307"/>
      <c r="E326" s="307"/>
      <c r="F326" s="307"/>
      <c r="G326" s="307"/>
      <c r="H326" s="307"/>
      <c r="I326" s="307"/>
      <c r="J326" s="307"/>
      <c r="L326" s="617"/>
      <c r="M326" s="617"/>
      <c r="N326" s="617"/>
      <c r="O326" s="617"/>
      <c r="P326" s="617"/>
      <c r="Q326" s="617"/>
      <c r="R326" s="617"/>
      <c r="S326" s="617"/>
    </row>
    <row r="327">
      <c r="B327" s="371"/>
      <c r="C327" s="307"/>
      <c r="D327" s="307"/>
      <c r="E327" s="307"/>
      <c r="F327" s="307"/>
      <c r="G327" s="307"/>
      <c r="H327" s="307"/>
      <c r="I327" s="307"/>
      <c r="J327" s="307"/>
      <c r="L327" s="617"/>
      <c r="M327" s="617"/>
      <c r="N327" s="617"/>
      <c r="O327" s="617"/>
      <c r="P327" s="617"/>
      <c r="Q327" s="617"/>
      <c r="R327" s="617"/>
      <c r="S327" s="617"/>
    </row>
    <row r="328">
      <c r="B328" s="371"/>
      <c r="C328" s="307"/>
      <c r="D328" s="307"/>
      <c r="E328" s="307"/>
      <c r="F328" s="307"/>
      <c r="G328" s="307"/>
      <c r="H328" s="307"/>
      <c r="I328" s="307"/>
      <c r="J328" s="307"/>
      <c r="L328" s="617"/>
      <c r="M328" s="617"/>
      <c r="N328" s="617"/>
      <c r="O328" s="617"/>
      <c r="P328" s="617"/>
      <c r="Q328" s="617"/>
      <c r="R328" s="617"/>
      <c r="S328" s="617"/>
    </row>
    <row r="329">
      <c r="B329" s="371"/>
      <c r="C329" s="307"/>
      <c r="D329" s="307"/>
      <c r="E329" s="307"/>
      <c r="F329" s="307"/>
      <c r="G329" s="307"/>
      <c r="H329" s="307"/>
      <c r="I329" s="307"/>
      <c r="J329" s="307"/>
      <c r="L329" s="617"/>
      <c r="M329" s="617"/>
      <c r="N329" s="617"/>
      <c r="O329" s="617"/>
      <c r="P329" s="617"/>
      <c r="Q329" s="617"/>
      <c r="R329" s="617"/>
      <c r="S329" s="617"/>
    </row>
    <row r="330">
      <c r="B330" s="371"/>
      <c r="C330" s="307"/>
      <c r="D330" s="307"/>
      <c r="E330" s="307"/>
      <c r="F330" s="307"/>
      <c r="G330" s="307"/>
      <c r="H330" s="307"/>
      <c r="I330" s="307"/>
      <c r="J330" s="307"/>
      <c r="L330" s="617"/>
      <c r="M330" s="617"/>
      <c r="N330" s="617"/>
      <c r="O330" s="617"/>
      <c r="P330" s="617"/>
      <c r="Q330" s="617"/>
      <c r="R330" s="617"/>
      <c r="S330" s="617"/>
    </row>
    <row r="331">
      <c r="B331" s="371"/>
      <c r="C331" s="307"/>
      <c r="D331" s="307"/>
      <c r="E331" s="307"/>
      <c r="F331" s="307"/>
      <c r="G331" s="307"/>
      <c r="H331" s="307"/>
      <c r="I331" s="307"/>
      <c r="J331" s="307"/>
      <c r="L331" s="617"/>
      <c r="M331" s="617"/>
      <c r="N331" s="617"/>
      <c r="O331" s="617"/>
      <c r="P331" s="617"/>
      <c r="Q331" s="617"/>
      <c r="R331" s="617"/>
      <c r="S331" s="617"/>
    </row>
    <row r="332">
      <c r="B332" s="371"/>
      <c r="C332" s="307"/>
      <c r="D332" s="307"/>
      <c r="E332" s="307"/>
      <c r="F332" s="307"/>
      <c r="G332" s="307"/>
      <c r="H332" s="307"/>
      <c r="I332" s="307"/>
      <c r="J332" s="307"/>
      <c r="L332" s="617"/>
      <c r="M332" s="617"/>
      <c r="N332" s="617"/>
      <c r="O332" s="617"/>
      <c r="P332" s="617"/>
      <c r="Q332" s="617"/>
      <c r="R332" s="617"/>
      <c r="S332" s="617"/>
    </row>
    <row r="333">
      <c r="B333" s="371"/>
      <c r="C333" s="307"/>
      <c r="D333" s="307"/>
      <c r="E333" s="307"/>
      <c r="F333" s="307"/>
      <c r="G333" s="307"/>
      <c r="H333" s="307"/>
      <c r="I333" s="307"/>
      <c r="J333" s="307"/>
      <c r="L333" s="617"/>
      <c r="M333" s="617"/>
      <c r="N333" s="617"/>
      <c r="O333" s="617"/>
      <c r="P333" s="617"/>
      <c r="Q333" s="617"/>
      <c r="R333" s="617"/>
      <c r="S333" s="617"/>
    </row>
    <row r="334">
      <c r="B334" s="371"/>
      <c r="C334" s="307"/>
      <c r="D334" s="307"/>
      <c r="E334" s="307"/>
      <c r="F334" s="307"/>
      <c r="G334" s="307"/>
      <c r="H334" s="307"/>
      <c r="I334" s="307"/>
      <c r="J334" s="307"/>
      <c r="L334" s="617"/>
      <c r="M334" s="617"/>
      <c r="N334" s="617"/>
      <c r="O334" s="617"/>
      <c r="P334" s="617"/>
      <c r="Q334" s="617"/>
      <c r="R334" s="617"/>
      <c r="S334" s="617"/>
    </row>
    <row r="335">
      <c r="B335" s="371"/>
      <c r="C335" s="307"/>
      <c r="D335" s="307"/>
      <c r="E335" s="307"/>
      <c r="F335" s="307"/>
      <c r="G335" s="307"/>
      <c r="H335" s="307"/>
      <c r="I335" s="307"/>
      <c r="J335" s="307"/>
      <c r="L335" s="617"/>
      <c r="M335" s="617"/>
      <c r="N335" s="617"/>
      <c r="O335" s="617"/>
      <c r="P335" s="617"/>
      <c r="Q335" s="617"/>
      <c r="R335" s="617"/>
      <c r="S335" s="617"/>
    </row>
    <row r="336">
      <c r="B336" s="371"/>
      <c r="C336" s="307"/>
      <c r="D336" s="307"/>
      <c r="E336" s="307"/>
      <c r="F336" s="307"/>
      <c r="G336" s="307"/>
      <c r="H336" s="307"/>
      <c r="I336" s="307"/>
      <c r="J336" s="307"/>
      <c r="L336" s="617"/>
      <c r="M336" s="617"/>
      <c r="N336" s="617"/>
      <c r="O336" s="617"/>
      <c r="P336" s="617"/>
      <c r="Q336" s="617"/>
      <c r="R336" s="617"/>
      <c r="S336" s="617"/>
    </row>
    <row r="337">
      <c r="B337" s="371"/>
      <c r="C337" s="307"/>
      <c r="D337" s="307"/>
      <c r="E337" s="307"/>
      <c r="F337" s="307"/>
      <c r="G337" s="307"/>
      <c r="H337" s="307"/>
      <c r="I337" s="307"/>
      <c r="J337" s="307"/>
      <c r="L337" s="617"/>
      <c r="M337" s="617"/>
      <c r="N337" s="617"/>
      <c r="O337" s="617"/>
      <c r="P337" s="617"/>
      <c r="Q337" s="617"/>
      <c r="R337" s="617"/>
      <c r="S337" s="617"/>
    </row>
    <row r="338">
      <c r="B338" s="371"/>
      <c r="C338" s="307"/>
      <c r="D338" s="307"/>
      <c r="E338" s="307"/>
      <c r="F338" s="307"/>
      <c r="G338" s="307"/>
      <c r="H338" s="307"/>
      <c r="I338" s="307"/>
      <c r="J338" s="307"/>
      <c r="L338" s="617"/>
      <c r="M338" s="617"/>
      <c r="N338" s="617"/>
      <c r="O338" s="617"/>
      <c r="P338" s="617"/>
      <c r="Q338" s="617"/>
      <c r="R338" s="617"/>
      <c r="S338" s="617"/>
    </row>
    <row r="339">
      <c r="B339" s="371"/>
      <c r="C339" s="307"/>
      <c r="D339" s="307"/>
      <c r="E339" s="307"/>
      <c r="F339" s="307"/>
      <c r="G339" s="307"/>
      <c r="H339" s="307"/>
      <c r="I339" s="307"/>
      <c r="J339" s="307"/>
      <c r="L339" s="617"/>
      <c r="M339" s="617"/>
      <c r="N339" s="617"/>
      <c r="O339" s="617"/>
      <c r="P339" s="617"/>
      <c r="Q339" s="617"/>
      <c r="R339" s="617"/>
      <c r="S339" s="617"/>
    </row>
    <row r="340">
      <c r="B340" s="371"/>
      <c r="C340" s="307"/>
      <c r="D340" s="307"/>
      <c r="E340" s="307"/>
      <c r="F340" s="307"/>
      <c r="G340" s="307"/>
      <c r="H340" s="307"/>
      <c r="I340" s="307"/>
      <c r="J340" s="307"/>
      <c r="L340" s="617"/>
      <c r="M340" s="617"/>
      <c r="N340" s="617"/>
      <c r="O340" s="617"/>
      <c r="P340" s="617"/>
      <c r="Q340" s="617"/>
      <c r="R340" s="617"/>
      <c r="S340" s="617"/>
    </row>
    <row r="341">
      <c r="B341" s="371"/>
      <c r="C341" s="307"/>
      <c r="D341" s="307"/>
      <c r="E341" s="307"/>
      <c r="F341" s="307"/>
      <c r="G341" s="307"/>
      <c r="H341" s="307"/>
      <c r="I341" s="307"/>
      <c r="J341" s="307"/>
      <c r="L341" s="617"/>
      <c r="M341" s="617"/>
      <c r="N341" s="617"/>
      <c r="O341" s="617"/>
      <c r="P341" s="617"/>
      <c r="Q341" s="617"/>
      <c r="R341" s="617"/>
      <c r="S341" s="617"/>
    </row>
    <row r="342">
      <c r="B342" s="371"/>
      <c r="C342" s="307"/>
      <c r="D342" s="307"/>
      <c r="E342" s="307"/>
      <c r="F342" s="307"/>
      <c r="G342" s="307"/>
      <c r="H342" s="307"/>
      <c r="I342" s="307"/>
      <c r="J342" s="307"/>
      <c r="L342" s="617"/>
      <c r="M342" s="617"/>
      <c r="N342" s="617"/>
      <c r="O342" s="617"/>
      <c r="P342" s="617"/>
      <c r="Q342" s="617"/>
      <c r="R342" s="617"/>
      <c r="S342" s="617"/>
    </row>
    <row r="343">
      <c r="B343" s="371"/>
      <c r="C343" s="307"/>
      <c r="D343" s="307"/>
      <c r="E343" s="307"/>
      <c r="F343" s="307"/>
      <c r="G343" s="307"/>
      <c r="H343" s="307"/>
      <c r="I343" s="307"/>
      <c r="J343" s="307"/>
      <c r="L343" s="617"/>
      <c r="M343" s="617"/>
      <c r="N343" s="617"/>
      <c r="O343" s="617"/>
      <c r="P343" s="617"/>
      <c r="Q343" s="617"/>
      <c r="R343" s="617"/>
      <c r="S343" s="617"/>
    </row>
    <row r="344">
      <c r="B344" s="371"/>
      <c r="C344" s="307"/>
      <c r="D344" s="307"/>
      <c r="E344" s="307"/>
      <c r="F344" s="307"/>
      <c r="G344" s="307"/>
      <c r="H344" s="307"/>
      <c r="I344" s="307"/>
      <c r="J344" s="307"/>
      <c r="L344" s="617"/>
      <c r="M344" s="617"/>
      <c r="N344" s="617"/>
      <c r="O344" s="617"/>
      <c r="P344" s="617"/>
      <c r="Q344" s="617"/>
      <c r="R344" s="617"/>
      <c r="S344" s="617"/>
    </row>
    <row r="345">
      <c r="B345" s="371"/>
      <c r="C345" s="307"/>
      <c r="D345" s="307"/>
      <c r="E345" s="307"/>
      <c r="F345" s="307"/>
      <c r="G345" s="307"/>
      <c r="H345" s="307"/>
      <c r="I345" s="307"/>
      <c r="J345" s="307"/>
      <c r="L345" s="617"/>
      <c r="M345" s="617"/>
      <c r="N345" s="617"/>
      <c r="O345" s="617"/>
      <c r="P345" s="617"/>
      <c r="Q345" s="617"/>
      <c r="R345" s="617"/>
      <c r="S345" s="617"/>
    </row>
    <row r="346">
      <c r="B346" s="371"/>
      <c r="C346" s="307"/>
      <c r="D346" s="307"/>
      <c r="E346" s="307"/>
      <c r="F346" s="307"/>
      <c r="G346" s="307"/>
      <c r="H346" s="307"/>
      <c r="I346" s="307"/>
      <c r="J346" s="307"/>
      <c r="L346" s="617"/>
      <c r="M346" s="617"/>
      <c r="N346" s="617"/>
      <c r="O346" s="617"/>
      <c r="P346" s="617"/>
      <c r="Q346" s="617"/>
      <c r="R346" s="617"/>
      <c r="S346" s="617"/>
    </row>
    <row r="347">
      <c r="B347" s="371"/>
      <c r="C347" s="307"/>
      <c r="D347" s="307"/>
      <c r="E347" s="307"/>
      <c r="F347" s="307"/>
      <c r="G347" s="307"/>
      <c r="H347" s="307"/>
      <c r="I347" s="307"/>
      <c r="J347" s="307"/>
      <c r="L347" s="617"/>
      <c r="M347" s="617"/>
      <c r="N347" s="617"/>
      <c r="O347" s="617"/>
      <c r="P347" s="617"/>
      <c r="Q347" s="617"/>
      <c r="R347" s="617"/>
      <c r="S347" s="617"/>
    </row>
    <row r="348">
      <c r="B348" s="371"/>
      <c r="C348" s="307"/>
      <c r="D348" s="307"/>
      <c r="E348" s="307"/>
      <c r="F348" s="307"/>
      <c r="G348" s="307"/>
      <c r="H348" s="307"/>
      <c r="I348" s="307"/>
      <c r="J348" s="307"/>
      <c r="L348" s="617"/>
      <c r="M348" s="617"/>
      <c r="N348" s="617"/>
      <c r="O348" s="617"/>
      <c r="P348" s="617"/>
      <c r="Q348" s="617"/>
      <c r="R348" s="617"/>
      <c r="S348" s="617"/>
    </row>
    <row r="349">
      <c r="B349" s="371"/>
      <c r="C349" s="307"/>
      <c r="D349" s="307"/>
      <c r="E349" s="307"/>
      <c r="F349" s="307"/>
      <c r="G349" s="307"/>
      <c r="H349" s="307"/>
      <c r="I349" s="307"/>
      <c r="J349" s="307"/>
      <c r="L349" s="617"/>
      <c r="M349" s="617"/>
      <c r="N349" s="617"/>
      <c r="O349" s="617"/>
      <c r="P349" s="617"/>
      <c r="Q349" s="617"/>
      <c r="R349" s="617"/>
      <c r="S349" s="617"/>
    </row>
    <row r="350">
      <c r="B350" s="371"/>
      <c r="C350" s="307"/>
      <c r="D350" s="307"/>
      <c r="E350" s="307"/>
      <c r="F350" s="307"/>
      <c r="G350" s="307"/>
      <c r="H350" s="307"/>
      <c r="I350" s="307"/>
      <c r="J350" s="307"/>
      <c r="L350" s="617"/>
      <c r="M350" s="617"/>
      <c r="N350" s="617"/>
      <c r="O350" s="617"/>
      <c r="P350" s="617"/>
      <c r="Q350" s="617"/>
      <c r="R350" s="617"/>
      <c r="S350" s="617"/>
    </row>
    <row r="351">
      <c r="B351" s="371"/>
      <c r="C351" s="307"/>
      <c r="D351" s="307"/>
      <c r="E351" s="307"/>
      <c r="F351" s="307"/>
      <c r="G351" s="307"/>
      <c r="H351" s="307"/>
      <c r="I351" s="307"/>
      <c r="J351" s="307"/>
      <c r="L351" s="617"/>
      <c r="M351" s="617"/>
      <c r="N351" s="617"/>
      <c r="O351" s="617"/>
      <c r="P351" s="617"/>
      <c r="Q351" s="617"/>
      <c r="R351" s="617"/>
      <c r="S351" s="617"/>
    </row>
    <row r="352">
      <c r="B352" s="371"/>
      <c r="C352" s="307"/>
      <c r="D352" s="307"/>
      <c r="E352" s="307"/>
      <c r="F352" s="307"/>
      <c r="G352" s="307"/>
      <c r="H352" s="307"/>
      <c r="I352" s="307"/>
      <c r="J352" s="307"/>
      <c r="L352" s="617"/>
      <c r="M352" s="617"/>
      <c r="N352" s="617"/>
      <c r="O352" s="617"/>
      <c r="P352" s="617"/>
      <c r="Q352" s="617"/>
      <c r="R352" s="617"/>
      <c r="S352" s="617"/>
    </row>
    <row r="353">
      <c r="B353" s="371"/>
      <c r="C353" s="307"/>
      <c r="D353" s="307"/>
      <c r="E353" s="307"/>
      <c r="F353" s="307"/>
      <c r="G353" s="307"/>
      <c r="H353" s="307"/>
      <c r="I353" s="307"/>
      <c r="J353" s="307"/>
      <c r="L353" s="617"/>
      <c r="M353" s="617"/>
      <c r="N353" s="617"/>
      <c r="O353" s="617"/>
      <c r="P353" s="617"/>
      <c r="Q353" s="617"/>
      <c r="R353" s="617"/>
      <c r="S353" s="617"/>
    </row>
    <row r="354">
      <c r="B354" s="371"/>
      <c r="C354" s="307"/>
      <c r="D354" s="307"/>
      <c r="E354" s="307"/>
      <c r="F354" s="307"/>
      <c r="G354" s="307"/>
      <c r="H354" s="307"/>
      <c r="I354" s="307"/>
      <c r="J354" s="307"/>
      <c r="L354" s="617"/>
      <c r="M354" s="617"/>
      <c r="N354" s="617"/>
      <c r="O354" s="617"/>
      <c r="P354" s="617"/>
      <c r="Q354" s="617"/>
      <c r="R354" s="617"/>
      <c r="S354" s="617"/>
    </row>
    <row r="355">
      <c r="B355" s="371"/>
      <c r="C355" s="307"/>
      <c r="D355" s="307"/>
      <c r="E355" s="307"/>
      <c r="F355" s="307"/>
      <c r="G355" s="307"/>
      <c r="H355" s="307"/>
      <c r="I355" s="307"/>
      <c r="J355" s="307"/>
      <c r="L355" s="617"/>
      <c r="M355" s="617"/>
      <c r="N355" s="617"/>
      <c r="O355" s="617"/>
      <c r="P355" s="617"/>
      <c r="Q355" s="617"/>
      <c r="R355" s="617"/>
      <c r="S355" s="617"/>
    </row>
    <row r="356">
      <c r="B356" s="371"/>
      <c r="C356" s="307"/>
      <c r="D356" s="307"/>
      <c r="E356" s="307"/>
      <c r="F356" s="307"/>
      <c r="G356" s="307"/>
      <c r="H356" s="307"/>
      <c r="I356" s="307"/>
      <c r="J356" s="307"/>
      <c r="L356" s="617"/>
      <c r="M356" s="617"/>
      <c r="N356" s="617"/>
      <c r="O356" s="617"/>
      <c r="P356" s="617"/>
      <c r="Q356" s="617"/>
      <c r="R356" s="617"/>
      <c r="S356" s="617"/>
    </row>
    <row r="357">
      <c r="B357" s="371"/>
      <c r="C357" s="307"/>
      <c r="D357" s="307"/>
      <c r="E357" s="307"/>
      <c r="F357" s="307"/>
      <c r="G357" s="307"/>
      <c r="H357" s="307"/>
      <c r="I357" s="307"/>
      <c r="J357" s="307"/>
      <c r="L357" s="617"/>
      <c r="M357" s="617"/>
      <c r="N357" s="617"/>
      <c r="O357" s="617"/>
      <c r="P357" s="617"/>
      <c r="Q357" s="617"/>
      <c r="R357" s="617"/>
      <c r="S357" s="617"/>
    </row>
    <row r="358">
      <c r="B358" s="371"/>
      <c r="C358" s="307"/>
      <c r="D358" s="307"/>
      <c r="E358" s="307"/>
      <c r="F358" s="307"/>
      <c r="G358" s="307"/>
      <c r="H358" s="307"/>
      <c r="I358" s="307"/>
      <c r="J358" s="307"/>
      <c r="L358" s="617"/>
      <c r="M358" s="617"/>
      <c r="N358" s="617"/>
      <c r="O358" s="617"/>
      <c r="P358" s="617"/>
      <c r="Q358" s="617"/>
      <c r="R358" s="617"/>
      <c r="S358" s="617"/>
    </row>
    <row r="359">
      <c r="B359" s="371"/>
      <c r="C359" s="307"/>
      <c r="D359" s="307"/>
      <c r="E359" s="307"/>
      <c r="F359" s="307"/>
      <c r="G359" s="307"/>
      <c r="H359" s="307"/>
      <c r="I359" s="307"/>
      <c r="J359" s="307"/>
      <c r="L359" s="617"/>
      <c r="M359" s="617"/>
      <c r="N359" s="617"/>
      <c r="O359" s="617"/>
      <c r="P359" s="617"/>
      <c r="Q359" s="617"/>
      <c r="R359" s="617"/>
      <c r="S359" s="617"/>
    </row>
    <row r="360">
      <c r="B360" s="371"/>
      <c r="C360" s="307"/>
      <c r="D360" s="307"/>
      <c r="E360" s="307"/>
      <c r="F360" s="307"/>
      <c r="G360" s="307"/>
      <c r="H360" s="307"/>
      <c r="I360" s="307"/>
      <c r="J360" s="307"/>
      <c r="L360" s="617"/>
      <c r="M360" s="617"/>
      <c r="N360" s="617"/>
      <c r="O360" s="617"/>
      <c r="P360" s="617"/>
      <c r="Q360" s="617"/>
      <c r="R360" s="617"/>
      <c r="S360" s="617"/>
    </row>
    <row r="361">
      <c r="B361" s="371"/>
      <c r="C361" s="307"/>
      <c r="D361" s="307"/>
      <c r="E361" s="307"/>
      <c r="F361" s="307"/>
      <c r="G361" s="307"/>
      <c r="H361" s="307"/>
      <c r="I361" s="307"/>
      <c r="J361" s="307"/>
      <c r="L361" s="617"/>
      <c r="M361" s="617"/>
      <c r="N361" s="617"/>
      <c r="O361" s="617"/>
      <c r="P361" s="617"/>
      <c r="Q361" s="617"/>
      <c r="R361" s="617"/>
      <c r="S361" s="617"/>
    </row>
    <row r="362">
      <c r="B362" s="371"/>
      <c r="C362" s="307"/>
      <c r="D362" s="307"/>
      <c r="E362" s="307"/>
      <c r="F362" s="307"/>
      <c r="G362" s="307"/>
      <c r="H362" s="307"/>
      <c r="I362" s="307"/>
      <c r="J362" s="307"/>
      <c r="L362" s="617"/>
      <c r="M362" s="617"/>
      <c r="N362" s="617"/>
      <c r="O362" s="617"/>
      <c r="P362" s="617"/>
      <c r="Q362" s="617"/>
      <c r="R362" s="617"/>
      <c r="S362" s="617"/>
    </row>
    <row r="363">
      <c r="B363" s="371"/>
      <c r="C363" s="307"/>
      <c r="D363" s="307"/>
      <c r="E363" s="307"/>
      <c r="F363" s="307"/>
      <c r="G363" s="307"/>
      <c r="H363" s="307"/>
      <c r="I363" s="307"/>
      <c r="J363" s="307"/>
      <c r="L363" s="617"/>
      <c r="M363" s="617"/>
      <c r="N363" s="617"/>
      <c r="O363" s="617"/>
      <c r="P363" s="617"/>
      <c r="Q363" s="617"/>
      <c r="R363" s="617"/>
      <c r="S363" s="617"/>
    </row>
    <row r="364">
      <c r="B364" s="371"/>
      <c r="C364" s="307"/>
      <c r="D364" s="307"/>
      <c r="E364" s="307"/>
      <c r="F364" s="307"/>
      <c r="G364" s="307"/>
      <c r="H364" s="307"/>
      <c r="I364" s="307"/>
      <c r="J364" s="307"/>
      <c r="L364" s="617"/>
      <c r="M364" s="617"/>
      <c r="N364" s="617"/>
      <c r="O364" s="617"/>
      <c r="P364" s="617"/>
      <c r="Q364" s="617"/>
      <c r="R364" s="617"/>
      <c r="S364" s="617"/>
    </row>
    <row r="365">
      <c r="B365" s="371"/>
      <c r="C365" s="307"/>
      <c r="D365" s="307"/>
      <c r="E365" s="307"/>
      <c r="F365" s="307"/>
      <c r="G365" s="307"/>
      <c r="H365" s="307"/>
      <c r="I365" s="307"/>
      <c r="J365" s="307"/>
      <c r="L365" s="617"/>
      <c r="M365" s="617"/>
      <c r="N365" s="617"/>
      <c r="O365" s="617"/>
      <c r="P365" s="617"/>
      <c r="Q365" s="617"/>
      <c r="R365" s="617"/>
      <c r="S365" s="617"/>
    </row>
    <row r="366">
      <c r="B366" s="371"/>
      <c r="C366" s="307"/>
      <c r="D366" s="307"/>
      <c r="E366" s="307"/>
      <c r="F366" s="307"/>
      <c r="G366" s="307"/>
      <c r="H366" s="307"/>
      <c r="I366" s="307"/>
      <c r="J366" s="307"/>
      <c r="L366" s="617"/>
      <c r="M366" s="617"/>
      <c r="N366" s="617"/>
      <c r="O366" s="617"/>
      <c r="P366" s="617"/>
      <c r="Q366" s="617"/>
      <c r="R366" s="617"/>
      <c r="S366" s="617"/>
    </row>
    <row r="367">
      <c r="B367" s="371"/>
      <c r="C367" s="307"/>
      <c r="D367" s="307"/>
      <c r="E367" s="307"/>
      <c r="F367" s="307"/>
      <c r="G367" s="307"/>
      <c r="H367" s="307"/>
      <c r="I367" s="307"/>
      <c r="J367" s="307"/>
      <c r="L367" s="617"/>
      <c r="M367" s="617"/>
      <c r="N367" s="617"/>
      <c r="O367" s="617"/>
      <c r="P367" s="617"/>
      <c r="Q367" s="617"/>
      <c r="R367" s="617"/>
      <c r="S367" s="617"/>
    </row>
    <row r="368">
      <c r="B368" s="371"/>
      <c r="C368" s="307"/>
      <c r="D368" s="307"/>
      <c r="E368" s="307"/>
      <c r="F368" s="307"/>
      <c r="G368" s="307"/>
      <c r="H368" s="307"/>
      <c r="I368" s="307"/>
      <c r="J368" s="307"/>
      <c r="L368" s="617"/>
      <c r="M368" s="617"/>
      <c r="N368" s="617"/>
      <c r="O368" s="617"/>
      <c r="P368" s="617"/>
      <c r="Q368" s="617"/>
      <c r="R368" s="617"/>
      <c r="S368" s="617"/>
    </row>
    <row r="369">
      <c r="B369" s="371"/>
      <c r="C369" s="307"/>
      <c r="D369" s="307"/>
      <c r="E369" s="307"/>
      <c r="F369" s="307"/>
      <c r="G369" s="307"/>
      <c r="H369" s="307"/>
      <c r="I369" s="307"/>
      <c r="J369" s="307"/>
      <c r="L369" s="617"/>
      <c r="M369" s="617"/>
      <c r="N369" s="617"/>
      <c r="O369" s="617"/>
      <c r="P369" s="617"/>
      <c r="Q369" s="617"/>
      <c r="R369" s="617"/>
      <c r="S369" s="617"/>
    </row>
    <row r="370">
      <c r="B370" s="371"/>
      <c r="C370" s="307"/>
      <c r="D370" s="307"/>
      <c r="E370" s="307"/>
      <c r="F370" s="307"/>
      <c r="G370" s="307"/>
      <c r="H370" s="307"/>
      <c r="I370" s="307"/>
      <c r="J370" s="307"/>
      <c r="L370" s="617"/>
      <c r="M370" s="617"/>
      <c r="N370" s="617"/>
      <c r="O370" s="617"/>
      <c r="P370" s="617"/>
      <c r="Q370" s="617"/>
      <c r="R370" s="617"/>
      <c r="S370" s="617"/>
    </row>
    <row r="371">
      <c r="B371" s="371"/>
      <c r="C371" s="307"/>
      <c r="D371" s="307"/>
      <c r="E371" s="307"/>
      <c r="F371" s="307"/>
      <c r="G371" s="307"/>
      <c r="H371" s="307"/>
      <c r="I371" s="307"/>
      <c r="J371" s="307"/>
      <c r="L371" s="617"/>
      <c r="M371" s="617"/>
      <c r="N371" s="617"/>
      <c r="O371" s="617"/>
      <c r="P371" s="617"/>
      <c r="Q371" s="617"/>
      <c r="R371" s="617"/>
      <c r="S371" s="617"/>
    </row>
    <row r="372">
      <c r="B372" s="371"/>
      <c r="C372" s="307"/>
      <c r="D372" s="307"/>
      <c r="E372" s="307"/>
      <c r="F372" s="307"/>
      <c r="G372" s="307"/>
      <c r="H372" s="307"/>
      <c r="I372" s="307"/>
      <c r="J372" s="307"/>
      <c r="L372" s="617"/>
      <c r="M372" s="617"/>
      <c r="N372" s="617"/>
      <c r="O372" s="617"/>
      <c r="P372" s="617"/>
      <c r="Q372" s="617"/>
      <c r="R372" s="617"/>
      <c r="S372" s="617"/>
    </row>
    <row r="373">
      <c r="B373" s="371"/>
      <c r="C373" s="307"/>
      <c r="D373" s="307"/>
      <c r="E373" s="307"/>
      <c r="F373" s="307"/>
      <c r="G373" s="307"/>
      <c r="H373" s="307"/>
      <c r="I373" s="307"/>
      <c r="J373" s="307"/>
      <c r="L373" s="617"/>
      <c r="M373" s="617"/>
      <c r="N373" s="617"/>
      <c r="O373" s="617"/>
      <c r="P373" s="617"/>
      <c r="Q373" s="617"/>
      <c r="R373" s="617"/>
      <c r="S373" s="617"/>
    </row>
    <row r="374">
      <c r="B374" s="371"/>
      <c r="C374" s="307"/>
      <c r="D374" s="307"/>
      <c r="E374" s="307"/>
      <c r="F374" s="307"/>
      <c r="G374" s="307"/>
      <c r="H374" s="307"/>
      <c r="I374" s="307"/>
      <c r="J374" s="307"/>
      <c r="L374" s="617"/>
      <c r="M374" s="617"/>
      <c r="N374" s="617"/>
      <c r="O374" s="617"/>
      <c r="P374" s="617"/>
      <c r="Q374" s="617"/>
      <c r="R374" s="617"/>
      <c r="S374" s="617"/>
    </row>
    <row r="375">
      <c r="B375" s="371"/>
      <c r="C375" s="307"/>
      <c r="D375" s="307"/>
      <c r="E375" s="307"/>
      <c r="F375" s="307"/>
      <c r="G375" s="307"/>
      <c r="H375" s="307"/>
      <c r="I375" s="307"/>
      <c r="J375" s="307"/>
      <c r="L375" s="617"/>
      <c r="M375" s="617"/>
      <c r="N375" s="617"/>
      <c r="O375" s="617"/>
      <c r="P375" s="617"/>
      <c r="Q375" s="617"/>
      <c r="R375" s="617"/>
      <c r="S375" s="617"/>
    </row>
    <row r="376">
      <c r="B376" s="371"/>
      <c r="C376" s="307"/>
      <c r="D376" s="307"/>
      <c r="E376" s="307"/>
      <c r="F376" s="307"/>
      <c r="G376" s="307"/>
      <c r="H376" s="307"/>
      <c r="I376" s="307"/>
      <c r="J376" s="307"/>
      <c r="L376" s="617"/>
      <c r="M376" s="617"/>
      <c r="N376" s="617"/>
      <c r="O376" s="617"/>
      <c r="P376" s="617"/>
      <c r="Q376" s="617"/>
      <c r="R376" s="617"/>
      <c r="S376" s="617"/>
    </row>
    <row r="377">
      <c r="B377" s="371"/>
      <c r="C377" s="307"/>
      <c r="D377" s="307"/>
      <c r="E377" s="307"/>
      <c r="F377" s="307"/>
      <c r="G377" s="307"/>
      <c r="H377" s="307"/>
      <c r="I377" s="307"/>
      <c r="J377" s="307"/>
      <c r="L377" s="617"/>
      <c r="M377" s="617"/>
      <c r="N377" s="617"/>
      <c r="O377" s="617"/>
      <c r="P377" s="617"/>
      <c r="Q377" s="617"/>
      <c r="R377" s="617"/>
      <c r="S377" s="617"/>
    </row>
    <row r="378">
      <c r="B378" s="371"/>
      <c r="C378" s="307"/>
      <c r="D378" s="307"/>
      <c r="E378" s="307"/>
      <c r="F378" s="307"/>
      <c r="G378" s="307"/>
      <c r="H378" s="307"/>
      <c r="I378" s="307"/>
      <c r="J378" s="307"/>
      <c r="L378" s="617"/>
      <c r="M378" s="617"/>
      <c r="N378" s="617"/>
      <c r="O378" s="617"/>
      <c r="P378" s="617"/>
      <c r="Q378" s="617"/>
      <c r="R378" s="617"/>
      <c r="S378" s="617"/>
    </row>
    <row r="379">
      <c r="B379" s="371"/>
      <c r="C379" s="307"/>
      <c r="D379" s="307"/>
      <c r="E379" s="307"/>
      <c r="F379" s="307"/>
      <c r="G379" s="307"/>
      <c r="H379" s="307"/>
      <c r="I379" s="307"/>
      <c r="J379" s="307"/>
      <c r="L379" s="617"/>
      <c r="M379" s="617"/>
      <c r="N379" s="617"/>
      <c r="O379" s="617"/>
      <c r="P379" s="617"/>
      <c r="Q379" s="617"/>
      <c r="R379" s="617"/>
      <c r="S379" s="617"/>
    </row>
    <row r="380">
      <c r="B380" s="371"/>
      <c r="C380" s="307"/>
      <c r="D380" s="307"/>
      <c r="E380" s="307"/>
      <c r="F380" s="307"/>
      <c r="G380" s="307"/>
      <c r="H380" s="307"/>
      <c r="I380" s="307"/>
      <c r="J380" s="307"/>
      <c r="L380" s="617"/>
      <c r="M380" s="617"/>
      <c r="N380" s="617"/>
      <c r="O380" s="617"/>
      <c r="P380" s="617"/>
      <c r="Q380" s="617"/>
      <c r="R380" s="617"/>
      <c r="S380" s="617"/>
    </row>
    <row r="381">
      <c r="B381" s="371"/>
      <c r="C381" s="307"/>
      <c r="D381" s="307"/>
      <c r="E381" s="307"/>
      <c r="F381" s="307"/>
      <c r="G381" s="307"/>
      <c r="H381" s="307"/>
      <c r="I381" s="307"/>
      <c r="J381" s="307"/>
      <c r="L381" s="617"/>
      <c r="M381" s="617"/>
      <c r="N381" s="617"/>
      <c r="O381" s="617"/>
      <c r="P381" s="617"/>
      <c r="Q381" s="617"/>
      <c r="R381" s="617"/>
      <c r="S381" s="617"/>
    </row>
    <row r="382">
      <c r="B382" s="371"/>
      <c r="C382" s="307"/>
      <c r="D382" s="307"/>
      <c r="E382" s="307"/>
      <c r="F382" s="307"/>
      <c r="G382" s="307"/>
      <c r="H382" s="307"/>
      <c r="I382" s="307"/>
      <c r="J382" s="307"/>
      <c r="L382" s="617"/>
      <c r="M382" s="617"/>
      <c r="N382" s="617"/>
      <c r="O382" s="617"/>
      <c r="P382" s="617"/>
      <c r="Q382" s="617"/>
      <c r="R382" s="617"/>
      <c r="S382" s="617"/>
    </row>
    <row r="383">
      <c r="B383" s="371"/>
      <c r="C383" s="307"/>
      <c r="D383" s="307"/>
      <c r="E383" s="307"/>
      <c r="F383" s="307"/>
      <c r="G383" s="307"/>
      <c r="H383" s="307"/>
      <c r="I383" s="307"/>
      <c r="J383" s="307"/>
      <c r="L383" s="617"/>
      <c r="M383" s="617"/>
      <c r="N383" s="617"/>
      <c r="O383" s="617"/>
      <c r="P383" s="617"/>
      <c r="Q383" s="617"/>
      <c r="R383" s="617"/>
      <c r="S383" s="617"/>
    </row>
    <row r="384">
      <c r="B384" s="371"/>
      <c r="C384" s="307"/>
      <c r="D384" s="307"/>
      <c r="E384" s="307"/>
      <c r="F384" s="307"/>
      <c r="G384" s="307"/>
      <c r="H384" s="307"/>
      <c r="I384" s="307"/>
      <c r="J384" s="307"/>
      <c r="L384" s="617"/>
      <c r="M384" s="617"/>
      <c r="N384" s="617"/>
      <c r="O384" s="617"/>
      <c r="P384" s="617"/>
      <c r="Q384" s="617"/>
      <c r="R384" s="617"/>
      <c r="S384" s="617"/>
    </row>
    <row r="385">
      <c r="B385" s="371"/>
      <c r="C385" s="307"/>
      <c r="D385" s="307"/>
      <c r="E385" s="307"/>
      <c r="F385" s="307"/>
      <c r="G385" s="307"/>
      <c r="H385" s="307"/>
      <c r="I385" s="307"/>
      <c r="J385" s="307"/>
      <c r="L385" s="617"/>
      <c r="M385" s="617"/>
      <c r="N385" s="617"/>
      <c r="O385" s="617"/>
      <c r="P385" s="617"/>
      <c r="Q385" s="617"/>
      <c r="R385" s="617"/>
      <c r="S385" s="617"/>
    </row>
    <row r="386">
      <c r="B386" s="371"/>
      <c r="C386" s="307"/>
      <c r="D386" s="307"/>
      <c r="E386" s="307"/>
      <c r="F386" s="307"/>
      <c r="G386" s="307"/>
      <c r="H386" s="307"/>
      <c r="I386" s="307"/>
      <c r="J386" s="307"/>
      <c r="L386" s="617"/>
      <c r="M386" s="617"/>
      <c r="N386" s="617"/>
      <c r="O386" s="617"/>
      <c r="P386" s="617"/>
      <c r="Q386" s="617"/>
      <c r="R386" s="617"/>
      <c r="S386" s="617"/>
    </row>
    <row r="387">
      <c r="B387" s="371"/>
      <c r="C387" s="307"/>
      <c r="D387" s="307"/>
      <c r="E387" s="307"/>
      <c r="F387" s="307"/>
      <c r="G387" s="307"/>
      <c r="H387" s="307"/>
      <c r="I387" s="307"/>
      <c r="J387" s="307"/>
      <c r="L387" s="617"/>
      <c r="M387" s="617"/>
      <c r="N387" s="617"/>
      <c r="O387" s="617"/>
      <c r="P387" s="617"/>
      <c r="Q387" s="617"/>
      <c r="R387" s="617"/>
      <c r="S387" s="617"/>
    </row>
    <row r="388">
      <c r="B388" s="371"/>
      <c r="C388" s="307"/>
      <c r="D388" s="307"/>
      <c r="E388" s="307"/>
      <c r="F388" s="307"/>
      <c r="G388" s="307"/>
      <c r="H388" s="307"/>
      <c r="I388" s="307"/>
      <c r="J388" s="307"/>
      <c r="L388" s="617"/>
      <c r="M388" s="617"/>
      <c r="N388" s="617"/>
      <c r="O388" s="617"/>
      <c r="P388" s="617"/>
      <c r="Q388" s="617"/>
      <c r="R388" s="617"/>
      <c r="S388" s="617"/>
    </row>
    <row r="389">
      <c r="B389" s="371"/>
      <c r="C389" s="307"/>
      <c r="D389" s="307"/>
      <c r="E389" s="307"/>
      <c r="F389" s="307"/>
      <c r="G389" s="307"/>
      <c r="H389" s="307"/>
      <c r="I389" s="307"/>
      <c r="J389" s="307"/>
      <c r="L389" s="617"/>
      <c r="M389" s="617"/>
      <c r="N389" s="617"/>
      <c r="O389" s="617"/>
      <c r="P389" s="617"/>
      <c r="Q389" s="617"/>
      <c r="R389" s="617"/>
      <c r="S389" s="617"/>
    </row>
    <row r="390">
      <c r="B390" s="371"/>
      <c r="C390" s="307"/>
      <c r="D390" s="307"/>
      <c r="E390" s="307"/>
      <c r="F390" s="307"/>
      <c r="G390" s="307"/>
      <c r="H390" s="307"/>
      <c r="I390" s="307"/>
      <c r="J390" s="307"/>
      <c r="L390" s="617"/>
      <c r="M390" s="617"/>
      <c r="N390" s="617"/>
      <c r="O390" s="617"/>
      <c r="P390" s="617"/>
      <c r="Q390" s="617"/>
      <c r="R390" s="617"/>
      <c r="S390" s="617"/>
    </row>
    <row r="391">
      <c r="B391" s="371"/>
      <c r="C391" s="307"/>
      <c r="D391" s="307"/>
      <c r="E391" s="307"/>
      <c r="F391" s="307"/>
      <c r="G391" s="307"/>
      <c r="H391" s="307"/>
      <c r="I391" s="307"/>
      <c r="J391" s="307"/>
      <c r="L391" s="617"/>
      <c r="M391" s="617"/>
      <c r="N391" s="617"/>
      <c r="O391" s="617"/>
      <c r="P391" s="617"/>
      <c r="Q391" s="617"/>
      <c r="R391" s="617"/>
      <c r="S391" s="617"/>
    </row>
    <row r="392">
      <c r="B392" s="371"/>
      <c r="C392" s="307"/>
      <c r="D392" s="307"/>
      <c r="E392" s="307"/>
      <c r="F392" s="307"/>
      <c r="G392" s="307"/>
      <c r="H392" s="307"/>
      <c r="I392" s="307"/>
      <c r="J392" s="307"/>
      <c r="L392" s="617"/>
      <c r="M392" s="617"/>
      <c r="N392" s="617"/>
      <c r="O392" s="617"/>
      <c r="P392" s="617"/>
      <c r="Q392" s="617"/>
      <c r="R392" s="617"/>
      <c r="S392" s="617"/>
    </row>
    <row r="393">
      <c r="B393" s="371"/>
      <c r="C393" s="307"/>
      <c r="D393" s="307"/>
      <c r="E393" s="307"/>
      <c r="F393" s="307"/>
      <c r="G393" s="307"/>
      <c r="H393" s="307"/>
      <c r="I393" s="307"/>
      <c r="J393" s="307"/>
      <c r="L393" s="617"/>
      <c r="M393" s="617"/>
      <c r="N393" s="617"/>
      <c r="O393" s="617"/>
      <c r="P393" s="617"/>
      <c r="Q393" s="617"/>
      <c r="R393" s="617"/>
      <c r="S393" s="617"/>
    </row>
    <row r="394">
      <c r="B394" s="371"/>
      <c r="C394" s="307"/>
      <c r="D394" s="307"/>
      <c r="E394" s="307"/>
      <c r="F394" s="307"/>
      <c r="G394" s="307"/>
      <c r="H394" s="307"/>
      <c r="I394" s="307"/>
      <c r="J394" s="307"/>
      <c r="L394" s="617"/>
      <c r="M394" s="617"/>
      <c r="N394" s="617"/>
      <c r="O394" s="617"/>
      <c r="P394" s="617"/>
      <c r="Q394" s="617"/>
      <c r="R394" s="617"/>
      <c r="S394" s="617"/>
    </row>
    <row r="395">
      <c r="B395" s="371"/>
      <c r="C395" s="307"/>
      <c r="D395" s="307"/>
      <c r="E395" s="307"/>
      <c r="F395" s="307"/>
      <c r="G395" s="307"/>
      <c r="H395" s="307"/>
      <c r="I395" s="307"/>
      <c r="J395" s="307"/>
      <c r="L395" s="617"/>
      <c r="M395" s="617"/>
      <c r="N395" s="617"/>
      <c r="O395" s="617"/>
      <c r="P395" s="617"/>
      <c r="Q395" s="617"/>
      <c r="R395" s="617"/>
      <c r="S395" s="617"/>
    </row>
    <row r="396">
      <c r="B396" s="371"/>
      <c r="C396" s="307"/>
      <c r="D396" s="307"/>
      <c r="E396" s="307"/>
      <c r="F396" s="307"/>
      <c r="G396" s="307"/>
      <c r="H396" s="307"/>
      <c r="I396" s="307"/>
      <c r="J396" s="307"/>
      <c r="L396" s="617"/>
      <c r="M396" s="617"/>
      <c r="N396" s="617"/>
      <c r="O396" s="617"/>
      <c r="P396" s="617"/>
      <c r="Q396" s="617"/>
      <c r="R396" s="617"/>
      <c r="S396" s="617"/>
    </row>
    <row r="397">
      <c r="B397" s="371"/>
      <c r="C397" s="307"/>
      <c r="D397" s="307"/>
      <c r="E397" s="307"/>
      <c r="F397" s="307"/>
      <c r="G397" s="307"/>
      <c r="H397" s="307"/>
      <c r="I397" s="307"/>
      <c r="J397" s="307"/>
      <c r="L397" s="617"/>
      <c r="M397" s="617"/>
      <c r="N397" s="617"/>
      <c r="O397" s="617"/>
      <c r="P397" s="617"/>
      <c r="Q397" s="617"/>
      <c r="R397" s="617"/>
      <c r="S397" s="617"/>
    </row>
    <row r="398">
      <c r="B398" s="371"/>
      <c r="C398" s="307"/>
      <c r="D398" s="307"/>
      <c r="E398" s="307"/>
      <c r="F398" s="307"/>
      <c r="G398" s="307"/>
      <c r="H398" s="307"/>
      <c r="I398" s="307"/>
      <c r="J398" s="307"/>
      <c r="L398" s="617"/>
      <c r="M398" s="617"/>
      <c r="N398" s="617"/>
      <c r="O398" s="617"/>
      <c r="P398" s="617"/>
      <c r="Q398" s="617"/>
      <c r="R398" s="617"/>
      <c r="S398" s="617"/>
    </row>
    <row r="399">
      <c r="B399" s="371"/>
      <c r="C399" s="307"/>
      <c r="D399" s="307"/>
      <c r="E399" s="307"/>
      <c r="F399" s="307"/>
      <c r="G399" s="307"/>
      <c r="H399" s="307"/>
      <c r="I399" s="307"/>
      <c r="J399" s="307"/>
      <c r="L399" s="617"/>
      <c r="M399" s="617"/>
      <c r="N399" s="617"/>
      <c r="O399" s="617"/>
      <c r="P399" s="617"/>
      <c r="Q399" s="617"/>
      <c r="R399" s="617"/>
      <c r="S399" s="617"/>
    </row>
    <row r="400">
      <c r="B400" s="371"/>
      <c r="C400" s="307"/>
      <c r="D400" s="307"/>
      <c r="E400" s="307"/>
      <c r="F400" s="307"/>
      <c r="G400" s="307"/>
      <c r="H400" s="307"/>
      <c r="I400" s="307"/>
      <c r="J400" s="307"/>
      <c r="L400" s="617"/>
      <c r="M400" s="617"/>
      <c r="N400" s="617"/>
      <c r="O400" s="617"/>
      <c r="P400" s="617"/>
      <c r="Q400" s="617"/>
      <c r="R400" s="617"/>
      <c r="S400" s="617"/>
    </row>
    <row r="401">
      <c r="B401" s="371"/>
      <c r="C401" s="307"/>
      <c r="D401" s="307"/>
      <c r="E401" s="307"/>
      <c r="F401" s="307"/>
      <c r="G401" s="307"/>
      <c r="H401" s="307"/>
      <c r="I401" s="307"/>
      <c r="J401" s="307"/>
      <c r="L401" s="617"/>
      <c r="M401" s="617"/>
      <c r="N401" s="617"/>
      <c r="O401" s="617"/>
      <c r="P401" s="617"/>
      <c r="Q401" s="617"/>
      <c r="R401" s="617"/>
      <c r="S401" s="617"/>
    </row>
    <row r="402">
      <c r="B402" s="371"/>
      <c r="C402" s="307"/>
      <c r="D402" s="307"/>
      <c r="E402" s="307"/>
      <c r="F402" s="307"/>
      <c r="G402" s="307"/>
      <c r="H402" s="307"/>
      <c r="I402" s="307"/>
      <c r="J402" s="307"/>
      <c r="L402" s="617"/>
      <c r="M402" s="617"/>
      <c r="N402" s="617"/>
      <c r="O402" s="617"/>
      <c r="P402" s="617"/>
      <c r="Q402" s="617"/>
      <c r="R402" s="617"/>
      <c r="S402" s="617"/>
    </row>
    <row r="403">
      <c r="B403" s="371"/>
      <c r="C403" s="307"/>
      <c r="D403" s="307"/>
      <c r="E403" s="307"/>
      <c r="F403" s="307"/>
      <c r="G403" s="307"/>
      <c r="H403" s="307"/>
      <c r="I403" s="307"/>
      <c r="J403" s="307"/>
      <c r="L403" s="617"/>
      <c r="M403" s="617"/>
      <c r="N403" s="617"/>
      <c r="O403" s="617"/>
      <c r="P403" s="617"/>
      <c r="Q403" s="617"/>
      <c r="R403" s="617"/>
      <c r="S403" s="617"/>
    </row>
    <row r="404">
      <c r="B404" s="371"/>
      <c r="C404" s="307"/>
      <c r="D404" s="307"/>
      <c r="E404" s="307"/>
      <c r="F404" s="307"/>
      <c r="G404" s="307"/>
      <c r="H404" s="307"/>
      <c r="I404" s="307"/>
      <c r="J404" s="307"/>
      <c r="L404" s="617"/>
      <c r="M404" s="617"/>
      <c r="N404" s="617"/>
      <c r="O404" s="617"/>
      <c r="P404" s="617"/>
      <c r="Q404" s="617"/>
      <c r="R404" s="617"/>
      <c r="S404" s="617"/>
    </row>
    <row r="405">
      <c r="B405" s="371"/>
      <c r="C405" s="307"/>
      <c r="D405" s="307"/>
      <c r="E405" s="307"/>
      <c r="F405" s="307"/>
      <c r="G405" s="307"/>
      <c r="H405" s="307"/>
      <c r="I405" s="307"/>
      <c r="J405" s="307"/>
      <c r="L405" s="617"/>
      <c r="M405" s="617"/>
      <c r="N405" s="617"/>
      <c r="O405" s="617"/>
      <c r="P405" s="617"/>
      <c r="Q405" s="617"/>
      <c r="R405" s="617"/>
      <c r="S405" s="617"/>
    </row>
    <row r="406">
      <c r="B406" s="371"/>
      <c r="C406" s="307"/>
      <c r="D406" s="307"/>
      <c r="E406" s="307"/>
      <c r="F406" s="307"/>
      <c r="G406" s="307"/>
      <c r="H406" s="307"/>
      <c r="I406" s="307"/>
      <c r="J406" s="307"/>
      <c r="L406" s="617"/>
      <c r="M406" s="617"/>
      <c r="N406" s="617"/>
      <c r="O406" s="617"/>
      <c r="P406" s="617"/>
      <c r="Q406" s="617"/>
      <c r="R406" s="617"/>
      <c r="S406" s="617"/>
    </row>
    <row r="407">
      <c r="B407" s="371"/>
      <c r="C407" s="307"/>
      <c r="D407" s="307"/>
      <c r="E407" s="307"/>
      <c r="F407" s="307"/>
      <c r="G407" s="307"/>
      <c r="H407" s="307"/>
      <c r="I407" s="307"/>
      <c r="J407" s="307"/>
      <c r="L407" s="617"/>
      <c r="M407" s="617"/>
      <c r="N407" s="617"/>
      <c r="O407" s="617"/>
      <c r="P407" s="617"/>
      <c r="Q407" s="617"/>
      <c r="R407" s="617"/>
      <c r="S407" s="617"/>
    </row>
    <row r="408">
      <c r="B408" s="371"/>
      <c r="C408" s="307"/>
      <c r="D408" s="307"/>
      <c r="E408" s="307"/>
      <c r="F408" s="307"/>
      <c r="G408" s="307"/>
      <c r="H408" s="307"/>
      <c r="I408" s="307"/>
      <c r="J408" s="307"/>
      <c r="L408" s="617"/>
      <c r="M408" s="617"/>
      <c r="N408" s="617"/>
      <c r="O408" s="617"/>
      <c r="P408" s="617"/>
      <c r="Q408" s="617"/>
      <c r="R408" s="617"/>
      <c r="S408" s="617"/>
    </row>
    <row r="409">
      <c r="B409" s="371"/>
      <c r="C409" s="307"/>
      <c r="D409" s="307"/>
      <c r="E409" s="307"/>
      <c r="F409" s="307"/>
      <c r="G409" s="307"/>
      <c r="H409" s="307"/>
      <c r="I409" s="307"/>
      <c r="J409" s="307"/>
      <c r="L409" s="617"/>
      <c r="M409" s="617"/>
      <c r="N409" s="617"/>
      <c r="O409" s="617"/>
      <c r="P409" s="617"/>
      <c r="Q409" s="617"/>
      <c r="R409" s="617"/>
      <c r="S409" s="617"/>
    </row>
    <row r="410">
      <c r="B410" s="371"/>
      <c r="C410" s="307"/>
      <c r="D410" s="307"/>
      <c r="E410" s="307"/>
      <c r="F410" s="307"/>
      <c r="G410" s="307"/>
      <c r="H410" s="307"/>
      <c r="I410" s="307"/>
      <c r="J410" s="307"/>
      <c r="L410" s="617"/>
      <c r="M410" s="617"/>
      <c r="N410" s="617"/>
      <c r="O410" s="617"/>
      <c r="P410" s="617"/>
      <c r="Q410" s="617"/>
      <c r="R410" s="617"/>
      <c r="S410" s="617"/>
    </row>
    <row r="411">
      <c r="B411" s="371"/>
      <c r="C411" s="307"/>
      <c r="D411" s="307"/>
      <c r="E411" s="307"/>
      <c r="F411" s="307"/>
      <c r="G411" s="307"/>
      <c r="H411" s="307"/>
      <c r="I411" s="307"/>
      <c r="J411" s="307"/>
      <c r="L411" s="617"/>
      <c r="M411" s="617"/>
      <c r="N411" s="617"/>
      <c r="O411" s="617"/>
      <c r="P411" s="617"/>
      <c r="Q411" s="617"/>
      <c r="R411" s="617"/>
      <c r="S411" s="617"/>
    </row>
    <row r="412">
      <c r="B412" s="371"/>
      <c r="C412" s="307"/>
      <c r="D412" s="307"/>
      <c r="E412" s="307"/>
      <c r="F412" s="307"/>
      <c r="G412" s="307"/>
      <c r="H412" s="307"/>
      <c r="I412" s="307"/>
      <c r="J412" s="307"/>
      <c r="L412" s="617"/>
      <c r="M412" s="617"/>
      <c r="N412" s="617"/>
      <c r="O412" s="617"/>
      <c r="P412" s="617"/>
      <c r="Q412" s="617"/>
      <c r="R412" s="617"/>
      <c r="S412" s="617"/>
    </row>
    <row r="413">
      <c r="B413" s="371"/>
      <c r="C413" s="307"/>
      <c r="D413" s="307"/>
      <c r="E413" s="307"/>
      <c r="F413" s="307"/>
      <c r="G413" s="307"/>
      <c r="H413" s="307"/>
      <c r="I413" s="307"/>
      <c r="J413" s="307"/>
      <c r="L413" s="617"/>
      <c r="M413" s="617"/>
      <c r="N413" s="617"/>
      <c r="O413" s="617"/>
      <c r="P413" s="617"/>
      <c r="Q413" s="617"/>
      <c r="R413" s="617"/>
      <c r="S413" s="617"/>
    </row>
    <row r="414">
      <c r="B414" s="371"/>
      <c r="C414" s="307"/>
      <c r="D414" s="307"/>
      <c r="E414" s="307"/>
      <c r="F414" s="307"/>
      <c r="G414" s="307"/>
      <c r="H414" s="307"/>
      <c r="I414" s="307"/>
      <c r="J414" s="307"/>
      <c r="L414" s="617"/>
      <c r="M414" s="617"/>
      <c r="N414" s="617"/>
      <c r="O414" s="617"/>
      <c r="P414" s="617"/>
      <c r="Q414" s="617"/>
      <c r="R414" s="617"/>
      <c r="S414" s="617"/>
    </row>
    <row r="415">
      <c r="B415" s="371"/>
      <c r="C415" s="307"/>
      <c r="D415" s="307"/>
      <c r="E415" s="307"/>
      <c r="F415" s="307"/>
      <c r="G415" s="307"/>
      <c r="H415" s="307"/>
      <c r="I415" s="307"/>
      <c r="J415" s="307"/>
      <c r="L415" s="617"/>
      <c r="M415" s="617"/>
      <c r="N415" s="617"/>
      <c r="O415" s="617"/>
      <c r="P415" s="617"/>
      <c r="Q415" s="617"/>
      <c r="R415" s="617"/>
      <c r="S415" s="617"/>
    </row>
    <row r="416">
      <c r="B416" s="371"/>
      <c r="C416" s="307"/>
      <c r="D416" s="307"/>
      <c r="E416" s="307"/>
      <c r="F416" s="307"/>
      <c r="G416" s="307"/>
      <c r="H416" s="307"/>
      <c r="I416" s="307"/>
      <c r="J416" s="307"/>
      <c r="L416" s="617"/>
      <c r="M416" s="617"/>
      <c r="N416" s="617"/>
      <c r="O416" s="617"/>
      <c r="P416" s="617"/>
      <c r="Q416" s="617"/>
      <c r="R416" s="617"/>
      <c r="S416" s="617"/>
    </row>
    <row r="417">
      <c r="B417" s="371"/>
      <c r="C417" s="307"/>
      <c r="D417" s="307"/>
      <c r="E417" s="307"/>
      <c r="F417" s="307"/>
      <c r="G417" s="307"/>
      <c r="H417" s="307"/>
      <c r="I417" s="307"/>
      <c r="J417" s="307"/>
      <c r="L417" s="617"/>
      <c r="M417" s="617"/>
      <c r="N417" s="617"/>
      <c r="O417" s="617"/>
      <c r="P417" s="617"/>
      <c r="Q417" s="617"/>
      <c r="R417" s="617"/>
      <c r="S417" s="617"/>
    </row>
    <row r="418">
      <c r="B418" s="371"/>
      <c r="C418" s="307"/>
      <c r="D418" s="307"/>
      <c r="E418" s="307"/>
      <c r="F418" s="307"/>
      <c r="G418" s="307"/>
      <c r="H418" s="307"/>
      <c r="I418" s="307"/>
      <c r="J418" s="307"/>
      <c r="L418" s="617"/>
      <c r="M418" s="617"/>
      <c r="N418" s="617"/>
      <c r="O418" s="617"/>
      <c r="P418" s="617"/>
      <c r="Q418" s="617"/>
      <c r="R418" s="617"/>
      <c r="S418" s="617"/>
    </row>
    <row r="419">
      <c r="B419" s="371"/>
      <c r="C419" s="307"/>
      <c r="D419" s="307"/>
      <c r="E419" s="307"/>
      <c r="F419" s="307"/>
      <c r="G419" s="307"/>
      <c r="H419" s="307"/>
      <c r="I419" s="307"/>
      <c r="J419" s="307"/>
      <c r="L419" s="617"/>
      <c r="M419" s="617"/>
      <c r="N419" s="617"/>
      <c r="O419" s="617"/>
      <c r="P419" s="617"/>
      <c r="Q419" s="617"/>
      <c r="R419" s="617"/>
      <c r="S419" s="617"/>
    </row>
    <row r="420">
      <c r="B420" s="371"/>
      <c r="C420" s="307"/>
      <c r="D420" s="307"/>
      <c r="E420" s="307"/>
      <c r="F420" s="307"/>
      <c r="G420" s="307"/>
      <c r="H420" s="307"/>
      <c r="I420" s="307"/>
      <c r="J420" s="307"/>
      <c r="L420" s="617"/>
      <c r="M420" s="617"/>
      <c r="N420" s="617"/>
      <c r="O420" s="617"/>
      <c r="P420" s="617"/>
      <c r="Q420" s="617"/>
      <c r="R420" s="617"/>
      <c r="S420" s="617"/>
    </row>
    <row r="421">
      <c r="B421" s="371"/>
      <c r="C421" s="307"/>
      <c r="D421" s="307"/>
      <c r="E421" s="307"/>
      <c r="F421" s="307"/>
      <c r="G421" s="307"/>
      <c r="H421" s="307"/>
      <c r="I421" s="307"/>
      <c r="J421" s="307"/>
      <c r="L421" s="617"/>
      <c r="M421" s="617"/>
      <c r="N421" s="617"/>
      <c r="O421" s="617"/>
      <c r="P421" s="617"/>
      <c r="Q421" s="617"/>
      <c r="R421" s="617"/>
      <c r="S421" s="617"/>
    </row>
    <row r="422">
      <c r="B422" s="371"/>
      <c r="C422" s="307"/>
      <c r="D422" s="307"/>
      <c r="E422" s="307"/>
      <c r="F422" s="307"/>
      <c r="G422" s="307"/>
      <c r="H422" s="307"/>
      <c r="I422" s="307"/>
      <c r="J422" s="307"/>
      <c r="L422" s="617"/>
      <c r="M422" s="617"/>
      <c r="N422" s="617"/>
      <c r="O422" s="617"/>
      <c r="P422" s="617"/>
      <c r="Q422" s="617"/>
      <c r="R422" s="617"/>
      <c r="S422" s="617"/>
    </row>
    <row r="423">
      <c r="B423" s="371"/>
      <c r="C423" s="307"/>
      <c r="D423" s="307"/>
      <c r="E423" s="307"/>
      <c r="F423" s="307"/>
      <c r="G423" s="307"/>
      <c r="H423" s="307"/>
      <c r="I423" s="307"/>
      <c r="J423" s="307"/>
      <c r="L423" s="617"/>
      <c r="M423" s="617"/>
      <c r="N423" s="617"/>
      <c r="O423" s="617"/>
      <c r="P423" s="617"/>
      <c r="Q423" s="617"/>
      <c r="R423" s="617"/>
      <c r="S423" s="617"/>
    </row>
    <row r="424">
      <c r="B424" s="371"/>
      <c r="C424" s="307"/>
      <c r="D424" s="307"/>
      <c r="E424" s="307"/>
      <c r="F424" s="307"/>
      <c r="G424" s="307"/>
      <c r="H424" s="307"/>
      <c r="I424" s="307"/>
      <c r="J424" s="307"/>
      <c r="L424" s="617"/>
      <c r="M424" s="617"/>
      <c r="N424" s="617"/>
      <c r="O424" s="617"/>
      <c r="P424" s="617"/>
      <c r="Q424" s="617"/>
      <c r="R424" s="617"/>
      <c r="S424" s="617"/>
    </row>
    <row r="425">
      <c r="B425" s="371"/>
      <c r="C425" s="307"/>
      <c r="D425" s="307"/>
      <c r="E425" s="307"/>
      <c r="F425" s="307"/>
      <c r="G425" s="307"/>
      <c r="H425" s="307"/>
      <c r="I425" s="307"/>
      <c r="J425" s="307"/>
      <c r="L425" s="617"/>
      <c r="M425" s="617"/>
      <c r="N425" s="617"/>
      <c r="O425" s="617"/>
      <c r="P425" s="617"/>
      <c r="Q425" s="617"/>
      <c r="R425" s="617"/>
      <c r="S425" s="617"/>
    </row>
    <row r="426">
      <c r="B426" s="371"/>
      <c r="C426" s="307"/>
      <c r="D426" s="307"/>
      <c r="E426" s="307"/>
      <c r="F426" s="307"/>
      <c r="G426" s="307"/>
      <c r="H426" s="307"/>
      <c r="I426" s="307"/>
      <c r="J426" s="307"/>
      <c r="L426" s="617"/>
      <c r="M426" s="617"/>
      <c r="N426" s="617"/>
      <c r="O426" s="617"/>
      <c r="P426" s="617"/>
      <c r="Q426" s="617"/>
      <c r="R426" s="617"/>
      <c r="S426" s="617"/>
    </row>
    <row r="427">
      <c r="B427" s="371"/>
      <c r="C427" s="307"/>
      <c r="D427" s="307"/>
      <c r="E427" s="307"/>
      <c r="F427" s="307"/>
      <c r="G427" s="307"/>
      <c r="H427" s="307"/>
      <c r="I427" s="307"/>
      <c r="J427" s="307"/>
      <c r="L427" s="617"/>
      <c r="M427" s="617"/>
      <c r="N427" s="617"/>
      <c r="O427" s="617"/>
      <c r="P427" s="617"/>
      <c r="Q427" s="617"/>
      <c r="R427" s="617"/>
      <c r="S427" s="617"/>
    </row>
    <row r="428">
      <c r="B428" s="371"/>
      <c r="C428" s="307"/>
      <c r="D428" s="307"/>
      <c r="E428" s="307"/>
      <c r="F428" s="307"/>
      <c r="G428" s="307"/>
      <c r="H428" s="307"/>
      <c r="I428" s="307"/>
      <c r="J428" s="307"/>
      <c r="L428" s="617"/>
      <c r="M428" s="617"/>
      <c r="N428" s="617"/>
      <c r="O428" s="617"/>
      <c r="P428" s="617"/>
      <c r="Q428" s="617"/>
      <c r="R428" s="617"/>
      <c r="S428" s="617"/>
    </row>
    <row r="429">
      <c r="B429" s="371"/>
      <c r="C429" s="307"/>
      <c r="D429" s="307"/>
      <c r="E429" s="307"/>
      <c r="F429" s="307"/>
      <c r="G429" s="307"/>
      <c r="H429" s="307"/>
      <c r="I429" s="307"/>
      <c r="J429" s="307"/>
      <c r="L429" s="617"/>
      <c r="M429" s="617"/>
      <c r="N429" s="617"/>
      <c r="O429" s="617"/>
      <c r="P429" s="617"/>
      <c r="Q429" s="617"/>
      <c r="R429" s="617"/>
      <c r="S429" s="617"/>
    </row>
    <row r="430">
      <c r="B430" s="371"/>
      <c r="C430" s="307"/>
      <c r="D430" s="307"/>
      <c r="E430" s="307"/>
      <c r="F430" s="307"/>
      <c r="G430" s="307"/>
      <c r="H430" s="307"/>
      <c r="I430" s="307"/>
      <c r="J430" s="307"/>
      <c r="L430" s="617"/>
      <c r="M430" s="617"/>
      <c r="N430" s="617"/>
      <c r="O430" s="617"/>
      <c r="P430" s="617"/>
      <c r="Q430" s="617"/>
      <c r="R430" s="617"/>
      <c r="S430" s="617"/>
    </row>
    <row r="431">
      <c r="B431" s="371"/>
      <c r="C431" s="307"/>
      <c r="D431" s="307"/>
      <c r="E431" s="307"/>
      <c r="F431" s="307"/>
      <c r="G431" s="307"/>
      <c r="H431" s="307"/>
      <c r="I431" s="307"/>
      <c r="J431" s="307"/>
      <c r="L431" s="617"/>
      <c r="M431" s="617"/>
      <c r="N431" s="617"/>
      <c r="O431" s="617"/>
      <c r="P431" s="617"/>
      <c r="Q431" s="617"/>
      <c r="R431" s="617"/>
      <c r="S431" s="617"/>
    </row>
    <row r="432">
      <c r="B432" s="371"/>
      <c r="C432" s="307"/>
      <c r="D432" s="307"/>
      <c r="E432" s="307"/>
      <c r="F432" s="307"/>
      <c r="G432" s="307"/>
      <c r="H432" s="307"/>
      <c r="I432" s="307"/>
      <c r="J432" s="307"/>
      <c r="L432" s="617"/>
      <c r="M432" s="617"/>
      <c r="N432" s="617"/>
      <c r="O432" s="617"/>
      <c r="P432" s="617"/>
      <c r="Q432" s="617"/>
      <c r="R432" s="617"/>
      <c r="S432" s="617"/>
    </row>
    <row r="433">
      <c r="B433" s="371"/>
      <c r="C433" s="307"/>
      <c r="D433" s="307"/>
      <c r="E433" s="307"/>
      <c r="F433" s="307"/>
      <c r="G433" s="307"/>
      <c r="H433" s="307"/>
      <c r="I433" s="307"/>
      <c r="J433" s="307"/>
      <c r="L433" s="617"/>
      <c r="M433" s="617"/>
      <c r="N433" s="617"/>
      <c r="O433" s="617"/>
      <c r="P433" s="617"/>
      <c r="Q433" s="617"/>
      <c r="R433" s="617"/>
      <c r="S433" s="617"/>
    </row>
    <row r="434">
      <c r="B434" s="371"/>
      <c r="C434" s="307"/>
      <c r="D434" s="307"/>
      <c r="E434" s="307"/>
      <c r="F434" s="307"/>
      <c r="G434" s="307"/>
      <c r="H434" s="307"/>
      <c r="I434" s="307"/>
      <c r="J434" s="307"/>
      <c r="L434" s="617"/>
      <c r="M434" s="617"/>
      <c r="N434" s="617"/>
      <c r="O434" s="617"/>
      <c r="P434" s="617"/>
      <c r="Q434" s="617"/>
      <c r="R434" s="617"/>
      <c r="S434" s="617"/>
    </row>
    <row r="435">
      <c r="B435" s="371"/>
      <c r="C435" s="307"/>
      <c r="D435" s="307"/>
      <c r="E435" s="307"/>
      <c r="F435" s="307"/>
      <c r="G435" s="307"/>
      <c r="H435" s="307"/>
      <c r="I435" s="307"/>
      <c r="J435" s="307"/>
      <c r="L435" s="617"/>
      <c r="M435" s="617"/>
      <c r="N435" s="617"/>
      <c r="O435" s="617"/>
      <c r="P435" s="617"/>
      <c r="Q435" s="617"/>
      <c r="R435" s="617"/>
      <c r="S435" s="617"/>
    </row>
    <row r="436">
      <c r="B436" s="371"/>
      <c r="C436" s="307"/>
      <c r="D436" s="307"/>
      <c r="E436" s="307"/>
      <c r="F436" s="307"/>
      <c r="G436" s="307"/>
      <c r="H436" s="307"/>
      <c r="I436" s="307"/>
      <c r="J436" s="307"/>
      <c r="L436" s="617"/>
      <c r="M436" s="617"/>
      <c r="N436" s="617"/>
      <c r="O436" s="617"/>
      <c r="P436" s="617"/>
      <c r="Q436" s="617"/>
      <c r="R436" s="617"/>
      <c r="S436" s="617"/>
    </row>
    <row r="437">
      <c r="B437" s="371"/>
      <c r="C437" s="307"/>
      <c r="D437" s="307"/>
      <c r="E437" s="307"/>
      <c r="F437" s="307"/>
      <c r="G437" s="307"/>
      <c r="H437" s="307"/>
      <c r="I437" s="307"/>
      <c r="J437" s="307"/>
      <c r="L437" s="617"/>
      <c r="M437" s="617"/>
      <c r="N437" s="617"/>
      <c r="O437" s="617"/>
      <c r="P437" s="617"/>
      <c r="Q437" s="617"/>
      <c r="R437" s="617"/>
      <c r="S437" s="617"/>
    </row>
    <row r="438">
      <c r="B438" s="371"/>
      <c r="C438" s="307"/>
      <c r="D438" s="307"/>
      <c r="E438" s="307"/>
      <c r="F438" s="307"/>
      <c r="G438" s="307"/>
      <c r="H438" s="307"/>
      <c r="I438" s="307"/>
      <c r="J438" s="307"/>
      <c r="L438" s="617"/>
      <c r="M438" s="617"/>
      <c r="N438" s="617"/>
      <c r="O438" s="617"/>
      <c r="P438" s="617"/>
      <c r="Q438" s="617"/>
      <c r="R438" s="617"/>
      <c r="S438" s="617"/>
    </row>
    <row r="439">
      <c r="B439" s="371"/>
      <c r="C439" s="307"/>
      <c r="D439" s="307"/>
      <c r="E439" s="307"/>
      <c r="F439" s="307"/>
      <c r="G439" s="307"/>
      <c r="H439" s="307"/>
      <c r="I439" s="307"/>
      <c r="J439" s="307"/>
      <c r="L439" s="617"/>
      <c r="M439" s="617"/>
      <c r="N439" s="617"/>
      <c r="O439" s="617"/>
      <c r="P439" s="617"/>
      <c r="Q439" s="617"/>
      <c r="R439" s="617"/>
      <c r="S439" s="617"/>
    </row>
    <row r="440">
      <c r="B440" s="371"/>
      <c r="C440" s="307"/>
      <c r="D440" s="307"/>
      <c r="E440" s="307"/>
      <c r="F440" s="307"/>
      <c r="G440" s="307"/>
      <c r="H440" s="307"/>
      <c r="I440" s="307"/>
      <c r="J440" s="307"/>
      <c r="L440" s="617"/>
      <c r="M440" s="617"/>
      <c r="N440" s="617"/>
      <c r="O440" s="617"/>
      <c r="P440" s="617"/>
      <c r="Q440" s="617"/>
      <c r="R440" s="617"/>
      <c r="S440" s="617"/>
    </row>
    <row r="441">
      <c r="B441" s="371"/>
      <c r="C441" s="307"/>
      <c r="D441" s="307"/>
      <c r="E441" s="307"/>
      <c r="F441" s="307"/>
      <c r="G441" s="307"/>
      <c r="H441" s="307"/>
      <c r="I441" s="307"/>
      <c r="J441" s="307"/>
      <c r="L441" s="617"/>
      <c r="M441" s="617"/>
      <c r="N441" s="617"/>
      <c r="O441" s="617"/>
      <c r="P441" s="617"/>
      <c r="Q441" s="617"/>
      <c r="R441" s="617"/>
      <c r="S441" s="617"/>
    </row>
    <row r="442">
      <c r="B442" s="371"/>
      <c r="C442" s="307"/>
      <c r="D442" s="307"/>
      <c r="E442" s="307"/>
      <c r="F442" s="307"/>
      <c r="G442" s="307"/>
      <c r="H442" s="307"/>
      <c r="I442" s="307"/>
      <c r="J442" s="307"/>
      <c r="L442" s="617"/>
      <c r="M442" s="617"/>
      <c r="N442" s="617"/>
      <c r="O442" s="617"/>
      <c r="P442" s="617"/>
      <c r="Q442" s="617"/>
      <c r="R442" s="617"/>
      <c r="S442" s="617"/>
    </row>
    <row r="443">
      <c r="B443" s="371"/>
      <c r="C443" s="307"/>
      <c r="D443" s="307"/>
      <c r="E443" s="307"/>
      <c r="F443" s="307"/>
      <c r="G443" s="307"/>
      <c r="H443" s="307"/>
      <c r="I443" s="307"/>
      <c r="J443" s="307"/>
      <c r="L443" s="617"/>
      <c r="M443" s="617"/>
      <c r="N443" s="617"/>
      <c r="O443" s="617"/>
      <c r="P443" s="617"/>
      <c r="Q443" s="617"/>
      <c r="R443" s="617"/>
      <c r="S443" s="617"/>
    </row>
    <row r="444">
      <c r="B444" s="371"/>
      <c r="C444" s="307"/>
      <c r="D444" s="307"/>
      <c r="E444" s="307"/>
      <c r="F444" s="307"/>
      <c r="G444" s="307"/>
      <c r="H444" s="307"/>
      <c r="I444" s="307"/>
      <c r="J444" s="307"/>
      <c r="L444" s="617"/>
      <c r="M444" s="617"/>
      <c r="N444" s="617"/>
      <c r="O444" s="617"/>
      <c r="P444" s="617"/>
      <c r="Q444" s="617"/>
      <c r="R444" s="617"/>
      <c r="S444" s="617"/>
    </row>
    <row r="445">
      <c r="B445" s="371"/>
      <c r="C445" s="307"/>
      <c r="D445" s="307"/>
      <c r="E445" s="307"/>
      <c r="F445" s="307"/>
      <c r="G445" s="307"/>
      <c r="H445" s="307"/>
      <c r="I445" s="307"/>
      <c r="J445" s="307"/>
      <c r="L445" s="617"/>
      <c r="M445" s="617"/>
      <c r="N445" s="617"/>
      <c r="O445" s="617"/>
      <c r="P445" s="617"/>
      <c r="Q445" s="617"/>
      <c r="R445" s="617"/>
      <c r="S445" s="617"/>
    </row>
    <row r="446">
      <c r="B446" s="371"/>
      <c r="C446" s="307"/>
      <c r="D446" s="307"/>
      <c r="E446" s="307"/>
      <c r="F446" s="307"/>
      <c r="G446" s="307"/>
      <c r="H446" s="307"/>
      <c r="I446" s="307"/>
      <c r="J446" s="307"/>
      <c r="L446" s="617"/>
      <c r="M446" s="617"/>
      <c r="N446" s="617"/>
      <c r="O446" s="617"/>
      <c r="P446" s="617"/>
      <c r="Q446" s="617"/>
      <c r="R446" s="617"/>
      <c r="S446" s="617"/>
    </row>
    <row r="447">
      <c r="B447" s="371"/>
      <c r="C447" s="307"/>
      <c r="D447" s="307"/>
      <c r="E447" s="307"/>
      <c r="F447" s="307"/>
      <c r="G447" s="307"/>
      <c r="H447" s="307"/>
      <c r="I447" s="307"/>
      <c r="J447" s="307"/>
      <c r="L447" s="617"/>
      <c r="M447" s="617"/>
      <c r="N447" s="617"/>
      <c r="O447" s="617"/>
      <c r="P447" s="617"/>
      <c r="Q447" s="617"/>
      <c r="R447" s="617"/>
      <c r="S447" s="617"/>
    </row>
    <row r="448">
      <c r="B448" s="371"/>
      <c r="C448" s="307"/>
      <c r="D448" s="307"/>
      <c r="E448" s="307"/>
      <c r="F448" s="307"/>
      <c r="G448" s="307"/>
      <c r="H448" s="307"/>
      <c r="I448" s="307"/>
      <c r="J448" s="307"/>
      <c r="L448" s="617"/>
      <c r="M448" s="617"/>
      <c r="N448" s="617"/>
      <c r="O448" s="617"/>
      <c r="P448" s="617"/>
      <c r="Q448" s="617"/>
      <c r="R448" s="617"/>
      <c r="S448" s="617"/>
    </row>
    <row r="449">
      <c r="B449" s="371"/>
      <c r="C449" s="307"/>
      <c r="D449" s="307"/>
      <c r="E449" s="307"/>
      <c r="F449" s="307"/>
      <c r="G449" s="307"/>
      <c r="H449" s="307"/>
      <c r="I449" s="307"/>
      <c r="J449" s="307"/>
      <c r="L449" s="617"/>
      <c r="M449" s="617"/>
      <c r="N449" s="617"/>
      <c r="O449" s="617"/>
      <c r="P449" s="617"/>
      <c r="Q449" s="617"/>
      <c r="R449" s="617"/>
      <c r="S449" s="617"/>
    </row>
    <row r="450">
      <c r="B450" s="371"/>
      <c r="C450" s="307"/>
      <c r="D450" s="307"/>
      <c r="E450" s="307"/>
      <c r="F450" s="307"/>
      <c r="G450" s="307"/>
      <c r="H450" s="307"/>
      <c r="I450" s="307"/>
      <c r="J450" s="307"/>
      <c r="L450" s="617"/>
      <c r="M450" s="617"/>
      <c r="N450" s="617"/>
      <c r="O450" s="617"/>
      <c r="P450" s="617"/>
      <c r="Q450" s="617"/>
      <c r="R450" s="617"/>
      <c r="S450" s="617"/>
    </row>
    <row r="451">
      <c r="B451" s="371"/>
      <c r="C451" s="307"/>
      <c r="D451" s="307"/>
      <c r="E451" s="307"/>
      <c r="F451" s="307"/>
      <c r="G451" s="307"/>
      <c r="H451" s="307"/>
      <c r="I451" s="307"/>
      <c r="J451" s="307"/>
      <c r="L451" s="617"/>
      <c r="M451" s="617"/>
      <c r="N451" s="617"/>
      <c r="O451" s="617"/>
      <c r="P451" s="617"/>
      <c r="Q451" s="617"/>
      <c r="R451" s="617"/>
      <c r="S451" s="617"/>
    </row>
    <row r="452">
      <c r="B452" s="371"/>
      <c r="C452" s="307"/>
      <c r="D452" s="307"/>
      <c r="E452" s="307"/>
      <c r="F452" s="307"/>
      <c r="G452" s="307"/>
      <c r="H452" s="307"/>
      <c r="I452" s="307"/>
      <c r="J452" s="307"/>
      <c r="L452" s="617"/>
      <c r="M452" s="617"/>
      <c r="N452" s="617"/>
      <c r="O452" s="617"/>
      <c r="P452" s="617"/>
      <c r="Q452" s="617"/>
      <c r="R452" s="617"/>
      <c r="S452" s="617"/>
    </row>
    <row r="453">
      <c r="B453" s="371"/>
      <c r="C453" s="307"/>
      <c r="D453" s="307"/>
      <c r="E453" s="307"/>
      <c r="F453" s="307"/>
      <c r="G453" s="307"/>
      <c r="H453" s="307"/>
      <c r="I453" s="307"/>
      <c r="J453" s="307"/>
      <c r="L453" s="617"/>
      <c r="M453" s="617"/>
      <c r="N453" s="617"/>
      <c r="O453" s="617"/>
      <c r="P453" s="617"/>
      <c r="Q453" s="617"/>
      <c r="R453" s="617"/>
      <c r="S453" s="617"/>
    </row>
    <row r="454">
      <c r="B454" s="371"/>
      <c r="C454" s="307"/>
      <c r="D454" s="307"/>
      <c r="E454" s="307"/>
      <c r="F454" s="307"/>
      <c r="G454" s="307"/>
      <c r="H454" s="307"/>
      <c r="I454" s="307"/>
      <c r="J454" s="307"/>
      <c r="L454" s="617"/>
      <c r="M454" s="617"/>
      <c r="N454" s="617"/>
      <c r="O454" s="617"/>
      <c r="P454" s="617"/>
      <c r="Q454" s="617"/>
      <c r="R454" s="617"/>
      <c r="S454" s="617"/>
    </row>
    <row r="455">
      <c r="B455" s="371"/>
      <c r="C455" s="307"/>
      <c r="D455" s="307"/>
      <c r="E455" s="307"/>
      <c r="F455" s="307"/>
      <c r="G455" s="307"/>
      <c r="H455" s="307"/>
      <c r="I455" s="307"/>
      <c r="J455" s="307"/>
      <c r="L455" s="617"/>
      <c r="M455" s="617"/>
      <c r="N455" s="617"/>
      <c r="O455" s="617"/>
      <c r="P455" s="617"/>
      <c r="Q455" s="617"/>
      <c r="R455" s="617"/>
      <c r="S455" s="617"/>
    </row>
    <row r="456">
      <c r="B456" s="371"/>
      <c r="C456" s="307"/>
      <c r="D456" s="307"/>
      <c r="E456" s="307"/>
      <c r="F456" s="307"/>
      <c r="G456" s="307"/>
      <c r="H456" s="307"/>
      <c r="I456" s="307"/>
      <c r="J456" s="307"/>
      <c r="L456" s="617"/>
      <c r="M456" s="617"/>
      <c r="N456" s="617"/>
      <c r="O456" s="617"/>
      <c r="P456" s="617"/>
      <c r="Q456" s="617"/>
      <c r="R456" s="617"/>
      <c r="S456" s="617"/>
    </row>
    <row r="457">
      <c r="B457" s="371"/>
      <c r="C457" s="307"/>
      <c r="D457" s="307"/>
      <c r="E457" s="307"/>
      <c r="F457" s="307"/>
      <c r="G457" s="307"/>
      <c r="H457" s="307"/>
      <c r="I457" s="307"/>
      <c r="J457" s="307"/>
      <c r="L457" s="617"/>
      <c r="M457" s="617"/>
      <c r="N457" s="617"/>
      <c r="O457" s="617"/>
      <c r="P457" s="617"/>
      <c r="Q457" s="617"/>
      <c r="R457" s="617"/>
      <c r="S457" s="617"/>
    </row>
    <row r="458">
      <c r="B458" s="371"/>
      <c r="C458" s="307"/>
      <c r="D458" s="307"/>
      <c r="E458" s="307"/>
      <c r="F458" s="307"/>
      <c r="G458" s="307"/>
      <c r="H458" s="307"/>
      <c r="I458" s="307"/>
      <c r="J458" s="307"/>
      <c r="L458" s="617"/>
      <c r="M458" s="617"/>
      <c r="N458" s="617"/>
      <c r="O458" s="617"/>
      <c r="P458" s="617"/>
      <c r="Q458" s="617"/>
      <c r="R458" s="617"/>
      <c r="S458" s="617"/>
    </row>
    <row r="459">
      <c r="B459" s="371"/>
      <c r="C459" s="307"/>
      <c r="D459" s="307"/>
      <c r="E459" s="307"/>
      <c r="F459" s="307"/>
      <c r="G459" s="307"/>
      <c r="H459" s="307"/>
      <c r="I459" s="307"/>
      <c r="J459" s="307"/>
      <c r="L459" s="617"/>
      <c r="M459" s="617"/>
      <c r="N459" s="617"/>
      <c r="O459" s="617"/>
      <c r="P459" s="617"/>
      <c r="Q459" s="617"/>
      <c r="R459" s="617"/>
      <c r="S459" s="617"/>
    </row>
    <row r="460">
      <c r="B460" s="371"/>
      <c r="C460" s="307"/>
      <c r="D460" s="307"/>
      <c r="E460" s="307"/>
      <c r="F460" s="307"/>
      <c r="G460" s="307"/>
      <c r="H460" s="307"/>
      <c r="I460" s="307"/>
      <c r="J460" s="307"/>
      <c r="L460" s="617"/>
      <c r="M460" s="617"/>
      <c r="N460" s="617"/>
      <c r="O460" s="617"/>
      <c r="P460" s="617"/>
      <c r="Q460" s="617"/>
      <c r="R460" s="617"/>
      <c r="S460" s="617"/>
    </row>
    <row r="461">
      <c r="B461" s="371"/>
      <c r="C461" s="307"/>
      <c r="D461" s="307"/>
      <c r="E461" s="307"/>
      <c r="F461" s="307"/>
      <c r="G461" s="307"/>
      <c r="H461" s="307"/>
      <c r="I461" s="307"/>
      <c r="J461" s="307"/>
      <c r="L461" s="617"/>
      <c r="M461" s="617"/>
      <c r="N461" s="617"/>
      <c r="O461" s="617"/>
      <c r="P461" s="617"/>
      <c r="Q461" s="617"/>
      <c r="R461" s="617"/>
      <c r="S461" s="617"/>
    </row>
    <row r="462">
      <c r="B462" s="371"/>
      <c r="C462" s="307"/>
      <c r="D462" s="307"/>
      <c r="E462" s="307"/>
      <c r="F462" s="307"/>
      <c r="G462" s="307"/>
      <c r="H462" s="307"/>
      <c r="I462" s="307"/>
      <c r="J462" s="307"/>
      <c r="L462" s="617"/>
      <c r="M462" s="617"/>
      <c r="N462" s="617"/>
      <c r="O462" s="617"/>
      <c r="P462" s="617"/>
      <c r="Q462" s="617"/>
      <c r="R462" s="617"/>
      <c r="S462" s="617"/>
    </row>
    <row r="463">
      <c r="B463" s="371"/>
      <c r="C463" s="307"/>
      <c r="D463" s="307"/>
      <c r="E463" s="307"/>
      <c r="F463" s="307"/>
      <c r="G463" s="307"/>
      <c r="H463" s="307"/>
      <c r="I463" s="307"/>
      <c r="J463" s="307"/>
      <c r="L463" s="617"/>
      <c r="M463" s="617"/>
      <c r="N463" s="617"/>
      <c r="O463" s="617"/>
      <c r="P463" s="617"/>
      <c r="Q463" s="617"/>
      <c r="R463" s="617"/>
      <c r="S463" s="617"/>
    </row>
    <row r="464">
      <c r="B464" s="371"/>
      <c r="C464" s="307"/>
      <c r="D464" s="307"/>
      <c r="E464" s="307"/>
      <c r="F464" s="307"/>
      <c r="G464" s="307"/>
      <c r="H464" s="307"/>
      <c r="I464" s="307"/>
      <c r="J464" s="307"/>
      <c r="L464" s="617"/>
      <c r="M464" s="617"/>
      <c r="N464" s="617"/>
      <c r="O464" s="617"/>
      <c r="P464" s="617"/>
      <c r="Q464" s="617"/>
      <c r="R464" s="617"/>
      <c r="S464" s="617"/>
    </row>
    <row r="465">
      <c r="B465" s="371"/>
      <c r="C465" s="307"/>
      <c r="D465" s="307"/>
      <c r="E465" s="307"/>
      <c r="F465" s="307"/>
      <c r="G465" s="307"/>
      <c r="H465" s="307"/>
      <c r="I465" s="307"/>
      <c r="J465" s="307"/>
      <c r="L465" s="617"/>
      <c r="M465" s="617"/>
      <c r="N465" s="617"/>
      <c r="O465" s="617"/>
      <c r="P465" s="617"/>
      <c r="Q465" s="617"/>
      <c r="R465" s="617"/>
      <c r="S465" s="617"/>
    </row>
    <row r="466">
      <c r="B466" s="371"/>
      <c r="C466" s="307"/>
      <c r="D466" s="307"/>
      <c r="E466" s="307"/>
      <c r="F466" s="307"/>
      <c r="G466" s="307"/>
      <c r="H466" s="307"/>
      <c r="I466" s="307"/>
      <c r="J466" s="307"/>
      <c r="L466" s="617"/>
      <c r="M466" s="617"/>
      <c r="N466" s="617"/>
      <c r="O466" s="617"/>
      <c r="P466" s="617"/>
      <c r="Q466" s="617"/>
      <c r="R466" s="617"/>
      <c r="S466" s="617"/>
    </row>
    <row r="467">
      <c r="B467" s="371"/>
      <c r="C467" s="307"/>
      <c r="D467" s="307"/>
      <c r="E467" s="307"/>
      <c r="F467" s="307"/>
      <c r="G467" s="307"/>
      <c r="H467" s="307"/>
      <c r="I467" s="307"/>
      <c r="J467" s="307"/>
      <c r="L467" s="617"/>
      <c r="M467" s="617"/>
      <c r="N467" s="617"/>
      <c r="O467" s="617"/>
      <c r="P467" s="617"/>
      <c r="Q467" s="617"/>
      <c r="R467" s="617"/>
      <c r="S467" s="617"/>
    </row>
    <row r="468">
      <c r="B468" s="371"/>
      <c r="C468" s="307"/>
      <c r="D468" s="307"/>
      <c r="E468" s="307"/>
      <c r="F468" s="307"/>
      <c r="G468" s="307"/>
      <c r="H468" s="307"/>
      <c r="I468" s="307"/>
      <c r="J468" s="307"/>
      <c r="L468" s="617"/>
      <c r="M468" s="617"/>
      <c r="N468" s="617"/>
      <c r="O468" s="617"/>
      <c r="P468" s="617"/>
      <c r="Q468" s="617"/>
      <c r="R468" s="617"/>
      <c r="S468" s="617"/>
    </row>
    <row r="469">
      <c r="B469" s="371"/>
      <c r="C469" s="307"/>
      <c r="D469" s="307"/>
      <c r="E469" s="307"/>
      <c r="F469" s="307"/>
      <c r="G469" s="307"/>
      <c r="H469" s="307"/>
      <c r="I469" s="307"/>
      <c r="J469" s="307"/>
      <c r="L469" s="617"/>
      <c r="M469" s="617"/>
      <c r="N469" s="617"/>
      <c r="O469" s="617"/>
      <c r="P469" s="617"/>
      <c r="Q469" s="617"/>
      <c r="R469" s="617"/>
      <c r="S469" s="617"/>
    </row>
    <row r="470">
      <c r="B470" s="371"/>
      <c r="C470" s="307"/>
      <c r="D470" s="307"/>
      <c r="E470" s="307"/>
      <c r="F470" s="307"/>
      <c r="G470" s="307"/>
      <c r="H470" s="307"/>
      <c r="I470" s="307"/>
      <c r="J470" s="307"/>
      <c r="L470" s="617"/>
      <c r="M470" s="617"/>
      <c r="N470" s="617"/>
      <c r="O470" s="617"/>
      <c r="P470" s="617"/>
      <c r="Q470" s="617"/>
      <c r="R470" s="617"/>
      <c r="S470" s="617"/>
    </row>
    <row r="471">
      <c r="B471" s="371"/>
      <c r="C471" s="307"/>
      <c r="D471" s="307"/>
      <c r="E471" s="307"/>
      <c r="F471" s="307"/>
      <c r="G471" s="307"/>
      <c r="H471" s="307"/>
      <c r="I471" s="307"/>
      <c r="J471" s="307"/>
      <c r="L471" s="617"/>
      <c r="M471" s="617"/>
      <c r="N471" s="617"/>
      <c r="O471" s="617"/>
      <c r="P471" s="617"/>
      <c r="Q471" s="617"/>
      <c r="R471" s="617"/>
      <c r="S471" s="617"/>
    </row>
    <row r="472">
      <c r="B472" s="371"/>
      <c r="C472" s="307"/>
      <c r="D472" s="307"/>
      <c r="E472" s="307"/>
      <c r="F472" s="307"/>
      <c r="G472" s="307"/>
      <c r="H472" s="307"/>
      <c r="I472" s="307"/>
      <c r="J472" s="307"/>
      <c r="L472" s="617"/>
      <c r="M472" s="617"/>
      <c r="N472" s="617"/>
      <c r="O472" s="617"/>
      <c r="P472" s="617"/>
      <c r="Q472" s="617"/>
      <c r="R472" s="617"/>
      <c r="S472" s="617"/>
    </row>
    <row r="473">
      <c r="B473" s="371"/>
      <c r="C473" s="307"/>
      <c r="D473" s="307"/>
      <c r="E473" s="307"/>
      <c r="F473" s="307"/>
      <c r="G473" s="307"/>
      <c r="H473" s="307"/>
      <c r="I473" s="307"/>
      <c r="J473" s="307"/>
      <c r="L473" s="617"/>
      <c r="M473" s="617"/>
      <c r="N473" s="617"/>
      <c r="O473" s="617"/>
      <c r="P473" s="617"/>
      <c r="Q473" s="617"/>
      <c r="R473" s="617"/>
      <c r="S473" s="617"/>
    </row>
    <row r="474">
      <c r="B474" s="371"/>
      <c r="C474" s="307"/>
      <c r="D474" s="307"/>
      <c r="E474" s="307"/>
      <c r="F474" s="307"/>
      <c r="G474" s="307"/>
      <c r="H474" s="307"/>
      <c r="I474" s="307"/>
      <c r="J474" s="307"/>
      <c r="L474" s="617"/>
      <c r="M474" s="617"/>
      <c r="N474" s="617"/>
      <c r="O474" s="617"/>
      <c r="P474" s="617"/>
      <c r="Q474" s="617"/>
      <c r="R474" s="617"/>
      <c r="S474" s="617"/>
    </row>
    <row r="475">
      <c r="B475" s="371"/>
      <c r="C475" s="307"/>
      <c r="D475" s="307"/>
      <c r="E475" s="307"/>
      <c r="F475" s="307"/>
      <c r="G475" s="307"/>
      <c r="H475" s="307"/>
      <c r="I475" s="307"/>
      <c r="J475" s="307"/>
      <c r="L475" s="617"/>
      <c r="M475" s="617"/>
      <c r="N475" s="617"/>
      <c r="O475" s="617"/>
      <c r="P475" s="617"/>
      <c r="Q475" s="617"/>
      <c r="R475" s="617"/>
      <c r="S475" s="617"/>
    </row>
    <row r="476">
      <c r="B476" s="371"/>
      <c r="C476" s="307"/>
      <c r="D476" s="307"/>
      <c r="E476" s="307"/>
      <c r="F476" s="307"/>
      <c r="G476" s="307"/>
      <c r="H476" s="307"/>
      <c r="I476" s="307"/>
      <c r="J476" s="307"/>
      <c r="L476" s="617"/>
      <c r="M476" s="617"/>
      <c r="N476" s="617"/>
      <c r="O476" s="617"/>
      <c r="P476" s="617"/>
      <c r="Q476" s="617"/>
      <c r="R476" s="617"/>
      <c r="S476" s="617"/>
    </row>
    <row r="477">
      <c r="B477" s="371"/>
      <c r="C477" s="307"/>
      <c r="D477" s="307"/>
      <c r="E477" s="307"/>
      <c r="F477" s="307"/>
      <c r="G477" s="307"/>
      <c r="H477" s="307"/>
      <c r="I477" s="307"/>
      <c r="J477" s="307"/>
      <c r="L477" s="617"/>
      <c r="M477" s="617"/>
      <c r="N477" s="617"/>
      <c r="O477" s="617"/>
      <c r="P477" s="617"/>
      <c r="Q477" s="617"/>
      <c r="R477" s="617"/>
      <c r="S477" s="617"/>
    </row>
    <row r="478">
      <c r="B478" s="371"/>
      <c r="C478" s="307"/>
      <c r="D478" s="307"/>
      <c r="E478" s="307"/>
      <c r="F478" s="307"/>
      <c r="G478" s="307"/>
      <c r="H478" s="307"/>
      <c r="I478" s="307"/>
      <c r="J478" s="307"/>
      <c r="L478" s="617"/>
      <c r="M478" s="617"/>
      <c r="N478" s="617"/>
      <c r="O478" s="617"/>
      <c r="P478" s="617"/>
      <c r="Q478" s="617"/>
      <c r="R478" s="617"/>
      <c r="S478" s="617"/>
    </row>
    <row r="479">
      <c r="B479" s="371"/>
      <c r="C479" s="307"/>
      <c r="D479" s="307"/>
      <c r="E479" s="307"/>
      <c r="F479" s="307"/>
      <c r="G479" s="307"/>
      <c r="H479" s="307"/>
      <c r="I479" s="307"/>
      <c r="J479" s="307"/>
      <c r="L479" s="617"/>
      <c r="M479" s="617"/>
      <c r="N479" s="617"/>
      <c r="O479" s="617"/>
      <c r="P479" s="617"/>
      <c r="Q479" s="617"/>
      <c r="R479" s="617"/>
      <c r="S479" s="617"/>
    </row>
    <row r="480">
      <c r="B480" s="371"/>
      <c r="C480" s="307"/>
      <c r="D480" s="307"/>
      <c r="E480" s="307"/>
      <c r="F480" s="307"/>
      <c r="G480" s="307"/>
      <c r="H480" s="307"/>
      <c r="I480" s="307"/>
      <c r="J480" s="307"/>
      <c r="L480" s="617"/>
      <c r="M480" s="617"/>
      <c r="N480" s="617"/>
      <c r="O480" s="617"/>
      <c r="P480" s="617"/>
      <c r="Q480" s="617"/>
      <c r="R480" s="617"/>
      <c r="S480" s="617"/>
    </row>
    <row r="481">
      <c r="B481" s="371"/>
      <c r="C481" s="307"/>
      <c r="D481" s="307"/>
      <c r="E481" s="307"/>
      <c r="F481" s="307"/>
      <c r="G481" s="307"/>
      <c r="H481" s="307"/>
      <c r="I481" s="307"/>
      <c r="J481" s="307"/>
      <c r="L481" s="617"/>
      <c r="M481" s="617"/>
      <c r="N481" s="617"/>
      <c r="O481" s="617"/>
      <c r="P481" s="617"/>
      <c r="Q481" s="617"/>
      <c r="R481" s="617"/>
      <c r="S481" s="617"/>
    </row>
    <row r="482">
      <c r="B482" s="371"/>
      <c r="C482" s="307"/>
      <c r="D482" s="307"/>
      <c r="E482" s="307"/>
      <c r="F482" s="307"/>
      <c r="G482" s="307"/>
      <c r="H482" s="307"/>
      <c r="I482" s="307"/>
      <c r="J482" s="307"/>
      <c r="L482" s="617"/>
      <c r="M482" s="617"/>
      <c r="N482" s="617"/>
      <c r="O482" s="617"/>
      <c r="P482" s="617"/>
      <c r="Q482" s="617"/>
      <c r="R482" s="617"/>
      <c r="S482" s="617"/>
    </row>
    <row r="483">
      <c r="B483" s="371"/>
      <c r="C483" s="307"/>
      <c r="D483" s="307"/>
      <c r="E483" s="307"/>
      <c r="F483" s="307"/>
      <c r="G483" s="307"/>
      <c r="H483" s="307"/>
      <c r="I483" s="307"/>
      <c r="J483" s="307"/>
      <c r="L483" s="617"/>
      <c r="M483" s="617"/>
      <c r="N483" s="617"/>
      <c r="O483" s="617"/>
      <c r="P483" s="617"/>
      <c r="Q483" s="617"/>
      <c r="R483" s="617"/>
      <c r="S483" s="617"/>
    </row>
    <row r="484">
      <c r="B484" s="371"/>
      <c r="C484" s="307"/>
      <c r="D484" s="307"/>
      <c r="E484" s="307"/>
      <c r="F484" s="307"/>
      <c r="G484" s="307"/>
      <c r="H484" s="307"/>
      <c r="I484" s="307"/>
      <c r="J484" s="307"/>
      <c r="L484" s="617"/>
      <c r="M484" s="617"/>
      <c r="N484" s="617"/>
      <c r="O484" s="617"/>
      <c r="P484" s="617"/>
      <c r="Q484" s="617"/>
      <c r="R484" s="617"/>
      <c r="S484" s="617"/>
    </row>
    <row r="485">
      <c r="B485" s="371"/>
      <c r="C485" s="307"/>
      <c r="D485" s="307"/>
      <c r="E485" s="307"/>
      <c r="F485" s="307"/>
      <c r="G485" s="307"/>
      <c r="H485" s="307"/>
      <c r="I485" s="307"/>
      <c r="J485" s="307"/>
      <c r="L485" s="617"/>
      <c r="M485" s="617"/>
      <c r="N485" s="617"/>
      <c r="O485" s="617"/>
      <c r="P485" s="617"/>
      <c r="Q485" s="617"/>
      <c r="R485" s="617"/>
      <c r="S485" s="617"/>
    </row>
    <row r="486">
      <c r="B486" s="371"/>
      <c r="C486" s="307"/>
      <c r="D486" s="307"/>
      <c r="E486" s="307"/>
      <c r="F486" s="307"/>
      <c r="G486" s="307"/>
      <c r="H486" s="307"/>
      <c r="I486" s="307"/>
      <c r="J486" s="307"/>
      <c r="L486" s="617"/>
      <c r="M486" s="617"/>
      <c r="N486" s="617"/>
      <c r="O486" s="617"/>
      <c r="P486" s="617"/>
      <c r="Q486" s="617"/>
      <c r="R486" s="617"/>
      <c r="S486" s="617"/>
    </row>
    <row r="487">
      <c r="B487" s="371"/>
      <c r="C487" s="307"/>
      <c r="D487" s="307"/>
      <c r="E487" s="307"/>
      <c r="F487" s="307"/>
      <c r="G487" s="307"/>
      <c r="H487" s="307"/>
      <c r="I487" s="307"/>
      <c r="J487" s="307"/>
      <c r="L487" s="617"/>
      <c r="M487" s="617"/>
      <c r="N487" s="617"/>
      <c r="O487" s="617"/>
      <c r="P487" s="617"/>
      <c r="Q487" s="617"/>
      <c r="R487" s="617"/>
      <c r="S487" s="617"/>
    </row>
    <row r="488">
      <c r="B488" s="371"/>
      <c r="C488" s="307"/>
      <c r="D488" s="307"/>
      <c r="E488" s="307"/>
      <c r="F488" s="307"/>
      <c r="G488" s="307"/>
      <c r="H488" s="307"/>
      <c r="I488" s="307"/>
      <c r="J488" s="307"/>
      <c r="L488" s="617"/>
      <c r="M488" s="617"/>
      <c r="N488" s="617"/>
      <c r="O488" s="617"/>
      <c r="P488" s="617"/>
      <c r="Q488" s="617"/>
      <c r="R488" s="617"/>
      <c r="S488" s="617"/>
    </row>
    <row r="489">
      <c r="B489" s="371"/>
      <c r="C489" s="307"/>
      <c r="D489" s="307"/>
      <c r="E489" s="307"/>
      <c r="F489" s="307"/>
      <c r="G489" s="307"/>
      <c r="H489" s="307"/>
      <c r="I489" s="307"/>
      <c r="J489" s="307"/>
      <c r="L489" s="617"/>
      <c r="M489" s="617"/>
      <c r="N489" s="617"/>
      <c r="O489" s="617"/>
      <c r="P489" s="617"/>
      <c r="Q489" s="617"/>
      <c r="R489" s="617"/>
      <c r="S489" s="617"/>
    </row>
    <row r="490">
      <c r="B490" s="371"/>
      <c r="C490" s="307"/>
      <c r="D490" s="307"/>
      <c r="E490" s="307"/>
      <c r="F490" s="307"/>
      <c r="G490" s="307"/>
      <c r="H490" s="307"/>
      <c r="I490" s="307"/>
      <c r="J490" s="307"/>
      <c r="L490" s="617"/>
      <c r="M490" s="617"/>
      <c r="N490" s="617"/>
      <c r="O490" s="617"/>
      <c r="P490" s="617"/>
      <c r="Q490" s="617"/>
      <c r="R490" s="617"/>
      <c r="S490" s="617"/>
    </row>
    <row r="491">
      <c r="B491" s="371"/>
      <c r="C491" s="307"/>
      <c r="D491" s="307"/>
      <c r="E491" s="307"/>
      <c r="F491" s="307"/>
      <c r="G491" s="307"/>
      <c r="H491" s="307"/>
      <c r="I491" s="307"/>
      <c r="J491" s="307"/>
      <c r="L491" s="617"/>
      <c r="M491" s="617"/>
      <c r="N491" s="617"/>
      <c r="O491" s="617"/>
      <c r="P491" s="617"/>
      <c r="Q491" s="617"/>
      <c r="R491" s="617"/>
      <c r="S491" s="617"/>
    </row>
    <row r="492">
      <c r="B492" s="371"/>
      <c r="C492" s="307"/>
      <c r="D492" s="307"/>
      <c r="E492" s="307"/>
      <c r="F492" s="307"/>
      <c r="G492" s="307"/>
      <c r="H492" s="307"/>
      <c r="I492" s="307"/>
      <c r="J492" s="307"/>
      <c r="L492" s="617"/>
      <c r="M492" s="617"/>
      <c r="N492" s="617"/>
      <c r="O492" s="617"/>
      <c r="P492" s="617"/>
      <c r="Q492" s="617"/>
      <c r="R492" s="617"/>
      <c r="S492" s="617"/>
    </row>
    <row r="493">
      <c r="B493" s="371"/>
      <c r="C493" s="307"/>
      <c r="D493" s="307"/>
      <c r="E493" s="307"/>
      <c r="F493" s="307"/>
      <c r="G493" s="307"/>
      <c r="H493" s="307"/>
      <c r="I493" s="307"/>
      <c r="J493" s="307"/>
      <c r="L493" s="617"/>
      <c r="M493" s="617"/>
      <c r="N493" s="617"/>
      <c r="O493" s="617"/>
      <c r="P493" s="617"/>
      <c r="Q493" s="617"/>
      <c r="R493" s="617"/>
      <c r="S493" s="617"/>
    </row>
    <row r="494">
      <c r="B494" s="371"/>
      <c r="C494" s="307"/>
      <c r="D494" s="307"/>
      <c r="E494" s="307"/>
      <c r="F494" s="307"/>
      <c r="G494" s="307"/>
      <c r="H494" s="307"/>
      <c r="I494" s="307"/>
      <c r="J494" s="307"/>
      <c r="L494" s="617"/>
      <c r="M494" s="617"/>
      <c r="N494" s="617"/>
      <c r="O494" s="617"/>
      <c r="P494" s="617"/>
      <c r="Q494" s="617"/>
      <c r="R494" s="617"/>
      <c r="S494" s="617"/>
    </row>
    <row r="495">
      <c r="B495" s="371"/>
      <c r="C495" s="307"/>
      <c r="D495" s="307"/>
      <c r="E495" s="307"/>
      <c r="F495" s="307"/>
      <c r="G495" s="307"/>
      <c r="H495" s="307"/>
      <c r="I495" s="307"/>
      <c r="J495" s="307"/>
      <c r="L495" s="617"/>
      <c r="M495" s="617"/>
      <c r="N495" s="617"/>
      <c r="O495" s="617"/>
      <c r="P495" s="617"/>
      <c r="Q495" s="617"/>
      <c r="R495" s="617"/>
      <c r="S495" s="617"/>
    </row>
    <row r="496">
      <c r="B496" s="371"/>
      <c r="C496" s="307"/>
      <c r="D496" s="307"/>
      <c r="E496" s="307"/>
      <c r="F496" s="307"/>
      <c r="G496" s="307"/>
      <c r="H496" s="307"/>
      <c r="I496" s="307"/>
      <c r="J496" s="307"/>
      <c r="L496" s="617"/>
      <c r="M496" s="617"/>
      <c r="N496" s="617"/>
      <c r="O496" s="617"/>
      <c r="P496" s="617"/>
      <c r="Q496" s="617"/>
      <c r="R496" s="617"/>
      <c r="S496" s="617"/>
    </row>
    <row r="497">
      <c r="B497" s="371"/>
      <c r="C497" s="307"/>
      <c r="D497" s="307"/>
      <c r="E497" s="307"/>
      <c r="F497" s="307"/>
      <c r="G497" s="307"/>
      <c r="H497" s="307"/>
      <c r="I497" s="307"/>
      <c r="J497" s="307"/>
      <c r="L497" s="617"/>
      <c r="M497" s="617"/>
      <c r="N497" s="617"/>
      <c r="O497" s="617"/>
      <c r="P497" s="617"/>
      <c r="Q497" s="617"/>
      <c r="R497" s="617"/>
      <c r="S497" s="617"/>
    </row>
    <row r="498">
      <c r="B498" s="371"/>
      <c r="C498" s="307"/>
      <c r="D498" s="307"/>
      <c r="E498" s="307"/>
      <c r="F498" s="307"/>
      <c r="G498" s="307"/>
      <c r="H498" s="307"/>
      <c r="I498" s="307"/>
      <c r="J498" s="307"/>
      <c r="L498" s="617"/>
      <c r="M498" s="617"/>
      <c r="N498" s="617"/>
      <c r="O498" s="617"/>
      <c r="P498" s="617"/>
      <c r="Q498" s="617"/>
      <c r="R498" s="617"/>
      <c r="S498" s="617"/>
    </row>
    <row r="499">
      <c r="B499" s="371"/>
      <c r="C499" s="307"/>
      <c r="D499" s="307"/>
      <c r="E499" s="307"/>
      <c r="F499" s="307"/>
      <c r="G499" s="307"/>
      <c r="H499" s="307"/>
      <c r="I499" s="307"/>
      <c r="J499" s="307"/>
      <c r="L499" s="617"/>
      <c r="M499" s="617"/>
      <c r="N499" s="617"/>
      <c r="O499" s="617"/>
      <c r="P499" s="617"/>
      <c r="Q499" s="617"/>
      <c r="R499" s="617"/>
      <c r="S499" s="617"/>
    </row>
    <row r="500">
      <c r="B500" s="371"/>
      <c r="C500" s="307"/>
      <c r="D500" s="307"/>
      <c r="E500" s="307"/>
      <c r="F500" s="307"/>
      <c r="G500" s="307"/>
      <c r="H500" s="307"/>
      <c r="I500" s="307"/>
      <c r="J500" s="307"/>
      <c r="L500" s="617"/>
      <c r="M500" s="617"/>
      <c r="N500" s="617"/>
      <c r="O500" s="617"/>
      <c r="P500" s="617"/>
      <c r="Q500" s="617"/>
      <c r="R500" s="617"/>
      <c r="S500" s="617"/>
    </row>
    <row r="501">
      <c r="B501" s="371"/>
      <c r="C501" s="307"/>
      <c r="D501" s="307"/>
      <c r="E501" s="307"/>
      <c r="F501" s="307"/>
      <c r="G501" s="307"/>
      <c r="H501" s="307"/>
      <c r="I501" s="307"/>
      <c r="J501" s="307"/>
      <c r="L501" s="617"/>
      <c r="M501" s="617"/>
      <c r="N501" s="617"/>
      <c r="O501" s="617"/>
      <c r="P501" s="617"/>
      <c r="Q501" s="617"/>
      <c r="R501" s="617"/>
      <c r="S501" s="617"/>
    </row>
    <row r="502">
      <c r="B502" s="371"/>
      <c r="C502" s="307"/>
      <c r="D502" s="307"/>
      <c r="E502" s="307"/>
      <c r="F502" s="307"/>
      <c r="G502" s="307"/>
      <c r="H502" s="307"/>
      <c r="I502" s="307"/>
      <c r="J502" s="307"/>
      <c r="L502" s="617"/>
      <c r="M502" s="617"/>
      <c r="N502" s="617"/>
      <c r="O502" s="617"/>
      <c r="P502" s="617"/>
      <c r="Q502" s="617"/>
      <c r="R502" s="617"/>
      <c r="S502" s="617"/>
    </row>
    <row r="503">
      <c r="B503" s="371"/>
      <c r="C503" s="307"/>
      <c r="D503" s="307"/>
      <c r="E503" s="307"/>
      <c r="F503" s="307"/>
      <c r="G503" s="307"/>
      <c r="H503" s="307"/>
      <c r="I503" s="307"/>
      <c r="J503" s="307"/>
      <c r="L503" s="617"/>
      <c r="M503" s="617"/>
      <c r="N503" s="617"/>
      <c r="O503" s="617"/>
      <c r="P503" s="617"/>
      <c r="Q503" s="617"/>
      <c r="R503" s="617"/>
      <c r="S503" s="617"/>
    </row>
    <row r="504">
      <c r="B504" s="371"/>
      <c r="C504" s="307"/>
      <c r="D504" s="307"/>
      <c r="E504" s="307"/>
      <c r="F504" s="307"/>
      <c r="G504" s="307"/>
      <c r="H504" s="307"/>
      <c r="I504" s="307"/>
      <c r="J504" s="307"/>
      <c r="L504" s="617"/>
      <c r="M504" s="617"/>
      <c r="N504" s="617"/>
      <c r="O504" s="617"/>
      <c r="P504" s="617"/>
      <c r="Q504" s="617"/>
      <c r="R504" s="617"/>
      <c r="S504" s="617"/>
    </row>
    <row r="505">
      <c r="B505" s="371"/>
      <c r="C505" s="307"/>
      <c r="D505" s="307"/>
      <c r="E505" s="307"/>
      <c r="F505" s="307"/>
      <c r="G505" s="307"/>
      <c r="H505" s="307"/>
      <c r="I505" s="307"/>
      <c r="J505" s="307"/>
      <c r="L505" s="617"/>
      <c r="M505" s="617"/>
      <c r="N505" s="617"/>
      <c r="O505" s="617"/>
      <c r="P505" s="617"/>
      <c r="Q505" s="617"/>
      <c r="R505" s="617"/>
      <c r="S505" s="617"/>
    </row>
    <row r="506">
      <c r="B506" s="371"/>
      <c r="C506" s="307"/>
      <c r="D506" s="307"/>
      <c r="E506" s="307"/>
      <c r="F506" s="307"/>
      <c r="G506" s="307"/>
      <c r="H506" s="307"/>
      <c r="I506" s="307"/>
      <c r="J506" s="307"/>
      <c r="L506" s="617"/>
      <c r="M506" s="617"/>
      <c r="N506" s="617"/>
      <c r="O506" s="617"/>
      <c r="P506" s="617"/>
      <c r="Q506" s="617"/>
      <c r="R506" s="617"/>
      <c r="S506" s="617"/>
    </row>
    <row r="507">
      <c r="B507" s="371"/>
      <c r="C507" s="307"/>
      <c r="D507" s="307"/>
      <c r="E507" s="307"/>
      <c r="F507" s="307"/>
      <c r="G507" s="307"/>
      <c r="H507" s="307"/>
      <c r="I507" s="307"/>
      <c r="J507" s="307"/>
      <c r="L507" s="617"/>
      <c r="M507" s="617"/>
      <c r="N507" s="617"/>
      <c r="O507" s="617"/>
      <c r="P507" s="617"/>
      <c r="Q507" s="617"/>
      <c r="R507" s="617"/>
      <c r="S507" s="617"/>
    </row>
    <row r="508">
      <c r="B508" s="371"/>
      <c r="C508" s="307"/>
      <c r="D508" s="307"/>
      <c r="E508" s="307"/>
      <c r="F508" s="307"/>
      <c r="G508" s="307"/>
      <c r="H508" s="307"/>
      <c r="I508" s="307"/>
      <c r="J508" s="307"/>
      <c r="L508" s="617"/>
      <c r="M508" s="617"/>
      <c r="N508" s="617"/>
      <c r="O508" s="617"/>
      <c r="P508" s="617"/>
      <c r="Q508" s="617"/>
      <c r="R508" s="617"/>
      <c r="S508" s="617"/>
    </row>
    <row r="509">
      <c r="B509" s="371"/>
      <c r="C509" s="307"/>
      <c r="D509" s="307"/>
      <c r="E509" s="307"/>
      <c r="F509" s="307"/>
      <c r="G509" s="307"/>
      <c r="H509" s="307"/>
      <c r="I509" s="307"/>
      <c r="J509" s="307"/>
      <c r="L509" s="617"/>
      <c r="M509" s="617"/>
      <c r="N509" s="617"/>
      <c r="O509" s="617"/>
      <c r="P509" s="617"/>
      <c r="Q509" s="617"/>
      <c r="R509" s="617"/>
      <c r="S509" s="617"/>
    </row>
    <row r="510">
      <c r="B510" s="371"/>
      <c r="C510" s="307"/>
      <c r="D510" s="307"/>
      <c r="E510" s="307"/>
      <c r="F510" s="307"/>
      <c r="G510" s="307"/>
      <c r="H510" s="307"/>
      <c r="I510" s="307"/>
      <c r="J510" s="307"/>
      <c r="L510" s="617"/>
      <c r="M510" s="617"/>
      <c r="N510" s="617"/>
      <c r="O510" s="617"/>
      <c r="P510" s="617"/>
      <c r="Q510" s="617"/>
      <c r="R510" s="617"/>
      <c r="S510" s="617"/>
    </row>
    <row r="511">
      <c r="B511" s="371"/>
      <c r="C511" s="307"/>
      <c r="D511" s="307"/>
      <c r="E511" s="307"/>
      <c r="F511" s="307"/>
      <c r="G511" s="307"/>
      <c r="H511" s="307"/>
      <c r="I511" s="307"/>
      <c r="J511" s="307"/>
      <c r="L511" s="617"/>
      <c r="M511" s="617"/>
      <c r="N511" s="617"/>
      <c r="O511" s="617"/>
      <c r="P511" s="617"/>
      <c r="Q511" s="617"/>
      <c r="R511" s="617"/>
      <c r="S511" s="617"/>
    </row>
    <row r="512">
      <c r="B512" s="371"/>
      <c r="C512" s="307"/>
      <c r="D512" s="307"/>
      <c r="E512" s="307"/>
      <c r="F512" s="307"/>
      <c r="G512" s="307"/>
      <c r="H512" s="307"/>
      <c r="I512" s="307"/>
      <c r="J512" s="307"/>
      <c r="L512" s="617"/>
      <c r="M512" s="617"/>
      <c r="N512" s="617"/>
      <c r="O512" s="617"/>
      <c r="P512" s="617"/>
      <c r="Q512" s="617"/>
      <c r="R512" s="617"/>
      <c r="S512" s="617"/>
    </row>
    <row r="513">
      <c r="B513" s="371"/>
      <c r="C513" s="307"/>
      <c r="D513" s="307"/>
      <c r="E513" s="307"/>
      <c r="F513" s="307"/>
      <c r="G513" s="307"/>
      <c r="H513" s="307"/>
      <c r="I513" s="307"/>
      <c r="J513" s="307"/>
      <c r="L513" s="617"/>
      <c r="M513" s="617"/>
      <c r="N513" s="617"/>
      <c r="O513" s="617"/>
      <c r="P513" s="617"/>
      <c r="Q513" s="617"/>
      <c r="R513" s="617"/>
      <c r="S513" s="617"/>
    </row>
    <row r="514">
      <c r="B514" s="371"/>
      <c r="C514" s="307"/>
      <c r="D514" s="307"/>
      <c r="E514" s="307"/>
      <c r="F514" s="307"/>
      <c r="G514" s="307"/>
      <c r="H514" s="307"/>
      <c r="I514" s="307"/>
      <c r="J514" s="307"/>
      <c r="L514" s="617"/>
      <c r="M514" s="617"/>
      <c r="N514" s="617"/>
      <c r="O514" s="617"/>
      <c r="P514" s="617"/>
      <c r="Q514" s="617"/>
      <c r="R514" s="617"/>
      <c r="S514" s="617"/>
    </row>
    <row r="515">
      <c r="B515" s="371"/>
      <c r="C515" s="307"/>
      <c r="D515" s="307"/>
      <c r="E515" s="307"/>
      <c r="F515" s="307"/>
      <c r="G515" s="307"/>
      <c r="H515" s="307"/>
      <c r="I515" s="307"/>
      <c r="J515" s="307"/>
      <c r="L515" s="617"/>
      <c r="M515" s="617"/>
      <c r="N515" s="617"/>
      <c r="O515" s="617"/>
      <c r="P515" s="617"/>
      <c r="Q515" s="617"/>
      <c r="R515" s="617"/>
      <c r="S515" s="617"/>
    </row>
    <row r="516">
      <c r="B516" s="371"/>
      <c r="C516" s="307"/>
      <c r="D516" s="307"/>
      <c r="E516" s="307"/>
      <c r="F516" s="307"/>
      <c r="G516" s="307"/>
      <c r="H516" s="307"/>
      <c r="I516" s="307"/>
      <c r="J516" s="307"/>
      <c r="L516" s="617"/>
      <c r="M516" s="617"/>
      <c r="N516" s="617"/>
      <c r="O516" s="617"/>
      <c r="P516" s="617"/>
      <c r="Q516" s="617"/>
      <c r="R516" s="617"/>
      <c r="S516" s="617"/>
    </row>
    <row r="517">
      <c r="B517" s="371"/>
      <c r="C517" s="307"/>
      <c r="D517" s="307"/>
      <c r="E517" s="307"/>
      <c r="F517" s="307"/>
      <c r="G517" s="307"/>
      <c r="H517" s="307"/>
      <c r="I517" s="307"/>
      <c r="J517" s="307"/>
      <c r="L517" s="617"/>
      <c r="M517" s="617"/>
      <c r="N517" s="617"/>
      <c r="O517" s="617"/>
      <c r="P517" s="617"/>
      <c r="Q517" s="617"/>
      <c r="R517" s="617"/>
      <c r="S517" s="617"/>
    </row>
    <row r="518">
      <c r="B518" s="371"/>
      <c r="C518" s="307"/>
      <c r="D518" s="307"/>
      <c r="E518" s="307"/>
      <c r="F518" s="307"/>
      <c r="G518" s="307"/>
      <c r="H518" s="307"/>
      <c r="I518" s="307"/>
      <c r="J518" s="307"/>
      <c r="L518" s="617"/>
      <c r="M518" s="617"/>
      <c r="N518" s="617"/>
      <c r="O518" s="617"/>
      <c r="P518" s="617"/>
      <c r="Q518" s="617"/>
      <c r="R518" s="617"/>
      <c r="S518" s="617"/>
    </row>
    <row r="519">
      <c r="B519" s="371"/>
      <c r="C519" s="307"/>
      <c r="D519" s="307"/>
      <c r="E519" s="307"/>
      <c r="F519" s="307"/>
      <c r="G519" s="307"/>
      <c r="H519" s="307"/>
      <c r="I519" s="307"/>
      <c r="J519" s="307"/>
      <c r="L519" s="617"/>
      <c r="M519" s="617"/>
      <c r="N519" s="617"/>
      <c r="O519" s="617"/>
      <c r="P519" s="617"/>
      <c r="Q519" s="617"/>
      <c r="R519" s="617"/>
      <c r="S519" s="617"/>
    </row>
    <row r="520">
      <c r="B520" s="371"/>
      <c r="C520" s="307"/>
      <c r="D520" s="307"/>
      <c r="E520" s="307"/>
      <c r="F520" s="307"/>
      <c r="G520" s="307"/>
      <c r="H520" s="307"/>
      <c r="I520" s="307"/>
      <c r="J520" s="307"/>
      <c r="L520" s="617"/>
      <c r="M520" s="617"/>
      <c r="N520" s="617"/>
      <c r="O520" s="617"/>
      <c r="P520" s="617"/>
      <c r="Q520" s="617"/>
      <c r="R520" s="617"/>
      <c r="S520" s="617"/>
    </row>
    <row r="521">
      <c r="B521" s="371"/>
      <c r="C521" s="307"/>
      <c r="D521" s="307"/>
      <c r="E521" s="307"/>
      <c r="F521" s="307"/>
      <c r="G521" s="307"/>
      <c r="H521" s="307"/>
      <c r="I521" s="307"/>
      <c r="J521" s="307"/>
      <c r="L521" s="617"/>
      <c r="M521" s="617"/>
      <c r="N521" s="617"/>
      <c r="O521" s="617"/>
      <c r="P521" s="617"/>
      <c r="Q521" s="617"/>
      <c r="R521" s="617"/>
      <c r="S521" s="617"/>
    </row>
    <row r="522">
      <c r="B522" s="371"/>
      <c r="C522" s="307"/>
      <c r="D522" s="307"/>
      <c r="E522" s="307"/>
      <c r="F522" s="307"/>
      <c r="G522" s="307"/>
      <c r="H522" s="307"/>
      <c r="I522" s="307"/>
      <c r="J522" s="307"/>
      <c r="L522" s="617"/>
      <c r="M522" s="617"/>
      <c r="N522" s="617"/>
      <c r="O522" s="617"/>
      <c r="P522" s="617"/>
      <c r="Q522" s="617"/>
      <c r="R522" s="617"/>
      <c r="S522" s="617"/>
    </row>
    <row r="523">
      <c r="B523" s="371"/>
      <c r="C523" s="307"/>
      <c r="D523" s="307"/>
      <c r="E523" s="307"/>
      <c r="F523" s="307"/>
      <c r="G523" s="307"/>
      <c r="H523" s="307"/>
      <c r="I523" s="307"/>
      <c r="J523" s="307"/>
      <c r="L523" s="617"/>
      <c r="M523" s="617"/>
      <c r="N523" s="617"/>
      <c r="O523" s="617"/>
      <c r="P523" s="617"/>
      <c r="Q523" s="617"/>
      <c r="R523" s="617"/>
      <c r="S523" s="617"/>
    </row>
    <row r="524">
      <c r="B524" s="371"/>
      <c r="C524" s="307"/>
      <c r="D524" s="307"/>
      <c r="E524" s="307"/>
      <c r="F524" s="307"/>
      <c r="G524" s="307"/>
      <c r="H524" s="307"/>
      <c r="I524" s="307"/>
      <c r="J524" s="307"/>
      <c r="L524" s="617"/>
      <c r="M524" s="617"/>
      <c r="N524" s="617"/>
      <c r="O524" s="617"/>
      <c r="P524" s="617"/>
      <c r="Q524" s="617"/>
      <c r="R524" s="617"/>
      <c r="S524" s="617"/>
    </row>
    <row r="525">
      <c r="B525" s="371"/>
      <c r="C525" s="307"/>
      <c r="D525" s="307"/>
      <c r="E525" s="307"/>
      <c r="F525" s="307"/>
      <c r="G525" s="307"/>
      <c r="H525" s="307"/>
      <c r="I525" s="307"/>
      <c r="J525" s="307"/>
      <c r="L525" s="617"/>
      <c r="M525" s="617"/>
      <c r="N525" s="617"/>
      <c r="O525" s="617"/>
      <c r="P525" s="617"/>
      <c r="Q525" s="617"/>
      <c r="R525" s="617"/>
      <c r="S525" s="617"/>
    </row>
    <row r="526">
      <c r="B526" s="371"/>
      <c r="C526" s="307"/>
      <c r="D526" s="307"/>
      <c r="E526" s="307"/>
      <c r="F526" s="307"/>
      <c r="G526" s="307"/>
      <c r="H526" s="307"/>
      <c r="I526" s="307"/>
      <c r="J526" s="307"/>
      <c r="L526" s="617"/>
      <c r="M526" s="617"/>
      <c r="N526" s="617"/>
      <c r="O526" s="617"/>
      <c r="P526" s="617"/>
      <c r="Q526" s="617"/>
      <c r="R526" s="617"/>
      <c r="S526" s="617"/>
    </row>
    <row r="527">
      <c r="B527" s="371"/>
      <c r="C527" s="307"/>
      <c r="D527" s="307"/>
      <c r="E527" s="307"/>
      <c r="F527" s="307"/>
      <c r="G527" s="307"/>
      <c r="H527" s="307"/>
      <c r="I527" s="307"/>
      <c r="J527" s="307"/>
      <c r="L527" s="617"/>
      <c r="M527" s="617"/>
      <c r="N527" s="617"/>
      <c r="O527" s="617"/>
      <c r="P527" s="617"/>
      <c r="Q527" s="617"/>
      <c r="R527" s="617"/>
      <c r="S527" s="617"/>
    </row>
    <row r="528">
      <c r="B528" s="371"/>
      <c r="C528" s="307"/>
      <c r="D528" s="307"/>
      <c r="E528" s="307"/>
      <c r="F528" s="307"/>
      <c r="G528" s="307"/>
      <c r="H528" s="307"/>
      <c r="I528" s="307"/>
      <c r="J528" s="307"/>
      <c r="L528" s="617"/>
      <c r="M528" s="617"/>
      <c r="N528" s="617"/>
      <c r="O528" s="617"/>
      <c r="P528" s="617"/>
      <c r="Q528" s="617"/>
      <c r="R528" s="617"/>
      <c r="S528" s="617"/>
    </row>
    <row r="529">
      <c r="B529" s="371"/>
      <c r="C529" s="307"/>
      <c r="D529" s="307"/>
      <c r="E529" s="307"/>
      <c r="F529" s="307"/>
      <c r="G529" s="307"/>
      <c r="H529" s="307"/>
      <c r="I529" s="307"/>
      <c r="J529" s="307"/>
      <c r="L529" s="617"/>
      <c r="M529" s="617"/>
      <c r="N529" s="617"/>
      <c r="O529" s="617"/>
      <c r="P529" s="617"/>
      <c r="Q529" s="617"/>
      <c r="R529" s="617"/>
      <c r="S529" s="617"/>
    </row>
    <row r="530">
      <c r="B530" s="371"/>
      <c r="C530" s="307"/>
      <c r="D530" s="307"/>
      <c r="E530" s="307"/>
      <c r="F530" s="307"/>
      <c r="G530" s="307"/>
      <c r="H530" s="307"/>
      <c r="I530" s="307"/>
      <c r="J530" s="307"/>
      <c r="L530" s="617"/>
      <c r="M530" s="617"/>
      <c r="N530" s="617"/>
      <c r="O530" s="617"/>
      <c r="P530" s="617"/>
      <c r="Q530" s="617"/>
      <c r="R530" s="617"/>
      <c r="S530" s="617"/>
    </row>
    <row r="531">
      <c r="B531" s="371"/>
      <c r="C531" s="307"/>
      <c r="D531" s="307"/>
      <c r="E531" s="307"/>
      <c r="F531" s="307"/>
      <c r="G531" s="307"/>
      <c r="H531" s="307"/>
      <c r="I531" s="307"/>
      <c r="J531" s="307"/>
      <c r="L531" s="617"/>
      <c r="M531" s="617"/>
      <c r="N531" s="617"/>
      <c r="O531" s="617"/>
      <c r="P531" s="617"/>
      <c r="Q531" s="617"/>
      <c r="R531" s="617"/>
      <c r="S531" s="617"/>
    </row>
    <row r="532">
      <c r="B532" s="371"/>
      <c r="C532" s="307"/>
      <c r="D532" s="307"/>
      <c r="E532" s="307"/>
      <c r="F532" s="307"/>
      <c r="G532" s="307"/>
      <c r="H532" s="307"/>
      <c r="I532" s="307"/>
      <c r="J532" s="307"/>
      <c r="L532" s="617"/>
      <c r="M532" s="617"/>
      <c r="N532" s="617"/>
      <c r="O532" s="617"/>
      <c r="P532" s="617"/>
      <c r="Q532" s="617"/>
      <c r="R532" s="617"/>
      <c r="S532" s="617"/>
    </row>
    <row r="533">
      <c r="B533" s="371"/>
      <c r="C533" s="307"/>
      <c r="D533" s="307"/>
      <c r="E533" s="307"/>
      <c r="F533" s="307"/>
      <c r="G533" s="307"/>
      <c r="H533" s="307"/>
      <c r="I533" s="307"/>
      <c r="J533" s="307"/>
      <c r="L533" s="617"/>
      <c r="M533" s="617"/>
      <c r="N533" s="617"/>
      <c r="O533" s="617"/>
      <c r="P533" s="617"/>
      <c r="Q533" s="617"/>
      <c r="R533" s="617"/>
      <c r="S533" s="617"/>
    </row>
    <row r="534">
      <c r="B534" s="371"/>
      <c r="C534" s="307"/>
      <c r="D534" s="307"/>
      <c r="E534" s="307"/>
      <c r="F534" s="307"/>
      <c r="G534" s="307"/>
      <c r="H534" s="307"/>
      <c r="I534" s="307"/>
      <c r="J534" s="307"/>
      <c r="L534" s="617"/>
      <c r="M534" s="617"/>
      <c r="N534" s="617"/>
      <c r="O534" s="617"/>
      <c r="P534" s="617"/>
      <c r="Q534" s="617"/>
      <c r="R534" s="617"/>
      <c r="S534" s="617"/>
    </row>
    <row r="535">
      <c r="B535" s="371"/>
      <c r="C535" s="307"/>
      <c r="D535" s="307"/>
      <c r="E535" s="307"/>
      <c r="F535" s="307"/>
      <c r="G535" s="307"/>
      <c r="H535" s="307"/>
      <c r="I535" s="307"/>
      <c r="J535" s="307"/>
      <c r="L535" s="617"/>
      <c r="M535" s="617"/>
      <c r="N535" s="617"/>
      <c r="O535" s="617"/>
      <c r="P535" s="617"/>
      <c r="Q535" s="617"/>
      <c r="R535" s="617"/>
      <c r="S535" s="617"/>
    </row>
    <row r="536">
      <c r="B536" s="371"/>
      <c r="C536" s="307"/>
      <c r="D536" s="307"/>
      <c r="E536" s="307"/>
      <c r="F536" s="307"/>
      <c r="G536" s="307"/>
      <c r="H536" s="307"/>
      <c r="I536" s="307"/>
      <c r="J536" s="307"/>
      <c r="L536" s="617"/>
      <c r="M536" s="617"/>
      <c r="N536" s="617"/>
      <c r="O536" s="617"/>
      <c r="P536" s="617"/>
      <c r="Q536" s="617"/>
      <c r="R536" s="617"/>
      <c r="S536" s="617"/>
    </row>
    <row r="537">
      <c r="B537" s="371"/>
      <c r="C537" s="307"/>
      <c r="D537" s="307"/>
      <c r="E537" s="307"/>
      <c r="F537" s="307"/>
      <c r="G537" s="307"/>
      <c r="H537" s="307"/>
      <c r="I537" s="307"/>
      <c r="J537" s="307"/>
      <c r="L537" s="617"/>
      <c r="M537" s="617"/>
      <c r="N537" s="617"/>
      <c r="O537" s="617"/>
      <c r="P537" s="617"/>
      <c r="Q537" s="617"/>
      <c r="R537" s="617"/>
      <c r="S537" s="617"/>
    </row>
    <row r="538">
      <c r="B538" s="371"/>
      <c r="C538" s="307"/>
      <c r="D538" s="307"/>
      <c r="E538" s="307"/>
      <c r="F538" s="307"/>
      <c r="G538" s="307"/>
      <c r="H538" s="307"/>
      <c r="I538" s="307"/>
      <c r="J538" s="307"/>
      <c r="L538" s="617"/>
      <c r="M538" s="617"/>
      <c r="N538" s="617"/>
      <c r="O538" s="617"/>
      <c r="P538" s="617"/>
      <c r="Q538" s="617"/>
      <c r="R538" s="617"/>
      <c r="S538" s="617"/>
    </row>
    <row r="539">
      <c r="B539" s="371"/>
      <c r="C539" s="307"/>
      <c r="D539" s="307"/>
      <c r="E539" s="307"/>
      <c r="F539" s="307"/>
      <c r="G539" s="307"/>
      <c r="H539" s="307"/>
      <c r="I539" s="307"/>
      <c r="J539" s="307"/>
      <c r="L539" s="617"/>
      <c r="M539" s="617"/>
      <c r="N539" s="617"/>
      <c r="O539" s="617"/>
      <c r="P539" s="617"/>
      <c r="Q539" s="617"/>
      <c r="R539" s="617"/>
      <c r="S539" s="617"/>
    </row>
    <row r="540">
      <c r="B540" s="371"/>
      <c r="C540" s="307"/>
      <c r="D540" s="307"/>
      <c r="E540" s="307"/>
      <c r="F540" s="307"/>
      <c r="G540" s="307"/>
      <c r="H540" s="307"/>
      <c r="I540" s="307"/>
      <c r="J540" s="307"/>
      <c r="L540" s="617"/>
      <c r="M540" s="617"/>
      <c r="N540" s="617"/>
      <c r="O540" s="617"/>
      <c r="P540" s="617"/>
      <c r="Q540" s="617"/>
      <c r="R540" s="617"/>
      <c r="S540" s="617"/>
    </row>
    <row r="541">
      <c r="B541" s="371"/>
      <c r="C541" s="307"/>
      <c r="D541" s="307"/>
      <c r="E541" s="307"/>
      <c r="F541" s="307"/>
      <c r="G541" s="307"/>
      <c r="H541" s="307"/>
      <c r="I541" s="307"/>
      <c r="J541" s="307"/>
      <c r="L541" s="617"/>
      <c r="M541" s="617"/>
      <c r="N541" s="617"/>
      <c r="O541" s="617"/>
      <c r="P541" s="617"/>
      <c r="Q541" s="617"/>
      <c r="R541" s="617"/>
      <c r="S541" s="617"/>
    </row>
    <row r="542">
      <c r="B542" s="371"/>
      <c r="C542" s="307"/>
      <c r="D542" s="307"/>
      <c r="E542" s="307"/>
      <c r="F542" s="307"/>
      <c r="G542" s="307"/>
      <c r="H542" s="307"/>
      <c r="I542" s="307"/>
      <c r="J542" s="307"/>
      <c r="L542" s="617"/>
      <c r="M542" s="617"/>
      <c r="N542" s="617"/>
      <c r="O542" s="617"/>
      <c r="P542" s="617"/>
      <c r="Q542" s="617"/>
      <c r="R542" s="617"/>
      <c r="S542" s="617"/>
    </row>
    <row r="543">
      <c r="B543" s="371"/>
      <c r="C543" s="307"/>
      <c r="D543" s="307"/>
      <c r="E543" s="307"/>
      <c r="F543" s="307"/>
      <c r="G543" s="307"/>
      <c r="H543" s="307"/>
      <c r="I543" s="307"/>
      <c r="J543" s="307"/>
      <c r="L543" s="617"/>
      <c r="M543" s="617"/>
      <c r="N543" s="617"/>
      <c r="O543" s="617"/>
      <c r="P543" s="617"/>
      <c r="Q543" s="617"/>
      <c r="R543" s="617"/>
      <c r="S543" s="617"/>
    </row>
    <row r="544">
      <c r="B544" s="371"/>
      <c r="C544" s="307"/>
      <c r="D544" s="307"/>
      <c r="E544" s="307"/>
      <c r="F544" s="307"/>
      <c r="G544" s="307"/>
      <c r="H544" s="307"/>
      <c r="I544" s="307"/>
      <c r="J544" s="307"/>
      <c r="L544" s="617"/>
      <c r="M544" s="617"/>
      <c r="N544" s="617"/>
      <c r="O544" s="617"/>
      <c r="P544" s="617"/>
      <c r="Q544" s="617"/>
      <c r="R544" s="617"/>
      <c r="S544" s="617"/>
    </row>
    <row r="545">
      <c r="B545" s="371"/>
      <c r="C545" s="307"/>
      <c r="D545" s="307"/>
      <c r="E545" s="307"/>
      <c r="F545" s="307"/>
      <c r="G545" s="307"/>
      <c r="H545" s="307"/>
      <c r="I545" s="307"/>
      <c r="J545" s="307"/>
      <c r="L545" s="617"/>
      <c r="M545" s="617"/>
      <c r="N545" s="617"/>
      <c r="O545" s="617"/>
      <c r="P545" s="617"/>
      <c r="Q545" s="617"/>
      <c r="R545" s="617"/>
      <c r="S545" s="617"/>
    </row>
    <row r="546">
      <c r="B546" s="371"/>
      <c r="C546" s="307"/>
      <c r="D546" s="307"/>
      <c r="E546" s="307"/>
      <c r="F546" s="307"/>
      <c r="G546" s="307"/>
      <c r="H546" s="307"/>
      <c r="I546" s="307"/>
      <c r="J546" s="307"/>
      <c r="L546" s="617"/>
      <c r="M546" s="617"/>
      <c r="N546" s="617"/>
      <c r="O546" s="617"/>
      <c r="P546" s="617"/>
      <c r="Q546" s="617"/>
      <c r="R546" s="617"/>
      <c r="S546" s="617"/>
    </row>
    <row r="547">
      <c r="B547" s="371"/>
      <c r="C547" s="307"/>
      <c r="D547" s="307"/>
      <c r="E547" s="307"/>
      <c r="F547" s="307"/>
      <c r="G547" s="307"/>
      <c r="H547" s="307"/>
      <c r="I547" s="307"/>
      <c r="J547" s="307"/>
      <c r="L547" s="617"/>
      <c r="M547" s="617"/>
      <c r="N547" s="617"/>
      <c r="O547" s="617"/>
      <c r="P547" s="617"/>
      <c r="Q547" s="617"/>
      <c r="R547" s="617"/>
      <c r="S547" s="617"/>
    </row>
    <row r="548">
      <c r="B548" s="371"/>
      <c r="C548" s="307"/>
      <c r="D548" s="307"/>
      <c r="E548" s="307"/>
      <c r="F548" s="307"/>
      <c r="G548" s="307"/>
      <c r="H548" s="307"/>
      <c r="I548" s="307"/>
      <c r="J548" s="307"/>
      <c r="L548" s="617"/>
      <c r="M548" s="617"/>
      <c r="N548" s="617"/>
      <c r="O548" s="617"/>
      <c r="P548" s="617"/>
      <c r="Q548" s="617"/>
      <c r="R548" s="617"/>
      <c r="S548" s="617"/>
    </row>
    <row r="549">
      <c r="B549" s="371"/>
      <c r="C549" s="307"/>
      <c r="D549" s="307"/>
      <c r="E549" s="307"/>
      <c r="F549" s="307"/>
      <c r="G549" s="307"/>
      <c r="H549" s="307"/>
      <c r="I549" s="307"/>
      <c r="J549" s="307"/>
      <c r="L549" s="617"/>
      <c r="M549" s="617"/>
      <c r="N549" s="617"/>
      <c r="O549" s="617"/>
      <c r="P549" s="617"/>
      <c r="Q549" s="617"/>
      <c r="R549" s="617"/>
      <c r="S549" s="617"/>
    </row>
    <row r="550">
      <c r="B550" s="371"/>
      <c r="C550" s="307"/>
      <c r="D550" s="307"/>
      <c r="E550" s="307"/>
      <c r="F550" s="307"/>
      <c r="G550" s="307"/>
      <c r="H550" s="307"/>
      <c r="I550" s="307"/>
      <c r="J550" s="307"/>
      <c r="L550" s="617"/>
      <c r="M550" s="617"/>
      <c r="N550" s="617"/>
      <c r="O550" s="617"/>
      <c r="P550" s="617"/>
      <c r="Q550" s="617"/>
      <c r="R550" s="617"/>
      <c r="S550" s="617"/>
    </row>
    <row r="551">
      <c r="B551" s="371"/>
      <c r="C551" s="307"/>
      <c r="D551" s="307"/>
      <c r="E551" s="307"/>
      <c r="F551" s="307"/>
      <c r="G551" s="307"/>
      <c r="H551" s="307"/>
      <c r="I551" s="307"/>
      <c r="J551" s="307"/>
      <c r="L551" s="617"/>
      <c r="M551" s="617"/>
      <c r="N551" s="617"/>
      <c r="O551" s="617"/>
      <c r="P551" s="617"/>
      <c r="Q551" s="617"/>
      <c r="R551" s="617"/>
      <c r="S551" s="617"/>
    </row>
    <row r="552">
      <c r="B552" s="371"/>
      <c r="C552" s="307"/>
      <c r="D552" s="307"/>
      <c r="E552" s="307"/>
      <c r="F552" s="307"/>
      <c r="G552" s="307"/>
      <c r="H552" s="307"/>
      <c r="I552" s="307"/>
      <c r="J552" s="307"/>
      <c r="L552" s="617"/>
      <c r="M552" s="617"/>
      <c r="N552" s="617"/>
      <c r="O552" s="617"/>
      <c r="P552" s="617"/>
      <c r="Q552" s="617"/>
      <c r="R552" s="617"/>
      <c r="S552" s="617"/>
    </row>
    <row r="553">
      <c r="B553" s="371"/>
      <c r="C553" s="307"/>
      <c r="D553" s="307"/>
      <c r="E553" s="307"/>
      <c r="F553" s="307"/>
      <c r="G553" s="307"/>
      <c r="H553" s="307"/>
      <c r="I553" s="307"/>
      <c r="J553" s="307"/>
      <c r="L553" s="617"/>
      <c r="M553" s="617"/>
      <c r="N553" s="617"/>
      <c r="O553" s="617"/>
      <c r="P553" s="617"/>
      <c r="Q553" s="617"/>
      <c r="R553" s="617"/>
      <c r="S553" s="617"/>
    </row>
    <row r="554">
      <c r="B554" s="371"/>
      <c r="C554" s="307"/>
      <c r="D554" s="307"/>
      <c r="E554" s="307"/>
      <c r="F554" s="307"/>
      <c r="G554" s="307"/>
      <c r="H554" s="307"/>
      <c r="I554" s="307"/>
      <c r="J554" s="307"/>
      <c r="L554" s="617"/>
      <c r="M554" s="617"/>
      <c r="N554" s="617"/>
      <c r="O554" s="617"/>
      <c r="P554" s="617"/>
      <c r="Q554" s="617"/>
      <c r="R554" s="617"/>
      <c r="S554" s="617"/>
    </row>
    <row r="555">
      <c r="B555" s="371"/>
      <c r="C555" s="307"/>
      <c r="D555" s="307"/>
      <c r="E555" s="307"/>
      <c r="F555" s="307"/>
      <c r="G555" s="307"/>
      <c r="H555" s="307"/>
      <c r="I555" s="307"/>
      <c r="J555" s="307"/>
      <c r="L555" s="617"/>
      <c r="M555" s="617"/>
      <c r="N555" s="617"/>
      <c r="O555" s="617"/>
      <c r="P555" s="617"/>
      <c r="Q555" s="617"/>
      <c r="R555" s="617"/>
      <c r="S555" s="617"/>
    </row>
    <row r="556">
      <c r="B556" s="371"/>
      <c r="C556" s="307"/>
      <c r="D556" s="307"/>
      <c r="E556" s="307"/>
      <c r="F556" s="307"/>
      <c r="G556" s="307"/>
      <c r="H556" s="307"/>
      <c r="I556" s="307"/>
      <c r="J556" s="307"/>
      <c r="L556" s="617"/>
      <c r="M556" s="617"/>
      <c r="N556" s="617"/>
      <c r="O556" s="617"/>
      <c r="P556" s="617"/>
      <c r="Q556" s="617"/>
      <c r="R556" s="617"/>
      <c r="S556" s="617"/>
    </row>
    <row r="557">
      <c r="B557" s="371"/>
      <c r="C557" s="307"/>
      <c r="D557" s="307"/>
      <c r="E557" s="307"/>
      <c r="F557" s="307"/>
      <c r="G557" s="307"/>
      <c r="H557" s="307"/>
      <c r="I557" s="307"/>
      <c r="J557" s="307"/>
      <c r="L557" s="617"/>
      <c r="M557" s="617"/>
      <c r="N557" s="617"/>
      <c r="O557" s="617"/>
      <c r="P557" s="617"/>
      <c r="Q557" s="617"/>
      <c r="R557" s="617"/>
      <c r="S557" s="617"/>
    </row>
    <row r="558">
      <c r="B558" s="371"/>
      <c r="C558" s="307"/>
      <c r="D558" s="307"/>
      <c r="E558" s="307"/>
      <c r="F558" s="307"/>
      <c r="G558" s="307"/>
      <c r="H558" s="307"/>
      <c r="I558" s="307"/>
      <c r="J558" s="307"/>
      <c r="L558" s="617"/>
      <c r="M558" s="617"/>
      <c r="N558" s="617"/>
      <c r="O558" s="617"/>
      <c r="P558" s="617"/>
      <c r="Q558" s="617"/>
      <c r="R558" s="617"/>
      <c r="S558" s="617"/>
    </row>
    <row r="559">
      <c r="B559" s="371"/>
      <c r="C559" s="307"/>
      <c r="D559" s="307"/>
      <c r="E559" s="307"/>
      <c r="F559" s="307"/>
      <c r="G559" s="307"/>
      <c r="H559" s="307"/>
      <c r="I559" s="307"/>
      <c r="J559" s="307"/>
      <c r="L559" s="617"/>
      <c r="M559" s="617"/>
      <c r="N559" s="617"/>
      <c r="O559" s="617"/>
      <c r="P559" s="617"/>
      <c r="Q559" s="617"/>
      <c r="R559" s="617"/>
      <c r="S559" s="617"/>
    </row>
    <row r="560">
      <c r="B560" s="371"/>
      <c r="C560" s="307"/>
      <c r="D560" s="307"/>
      <c r="E560" s="307"/>
      <c r="F560" s="307"/>
      <c r="G560" s="307"/>
      <c r="H560" s="307"/>
      <c r="I560" s="307"/>
      <c r="J560" s="307"/>
      <c r="L560" s="617"/>
      <c r="M560" s="617"/>
      <c r="N560" s="617"/>
      <c r="O560" s="617"/>
      <c r="P560" s="617"/>
      <c r="Q560" s="617"/>
      <c r="R560" s="617"/>
      <c r="S560" s="617"/>
    </row>
    <row r="561">
      <c r="B561" s="371"/>
      <c r="C561" s="307"/>
      <c r="D561" s="307"/>
      <c r="E561" s="307"/>
      <c r="F561" s="307"/>
      <c r="G561" s="307"/>
      <c r="H561" s="307"/>
      <c r="I561" s="307"/>
      <c r="J561" s="307"/>
      <c r="L561" s="617"/>
      <c r="M561" s="617"/>
      <c r="N561" s="617"/>
      <c r="O561" s="617"/>
      <c r="P561" s="617"/>
      <c r="Q561" s="617"/>
      <c r="R561" s="617"/>
      <c r="S561" s="617"/>
    </row>
    <row r="562">
      <c r="B562" s="371"/>
      <c r="C562" s="307"/>
      <c r="D562" s="307"/>
      <c r="E562" s="307"/>
      <c r="F562" s="307"/>
      <c r="G562" s="307"/>
      <c r="H562" s="307"/>
      <c r="I562" s="307"/>
      <c r="J562" s="307"/>
      <c r="L562" s="617"/>
      <c r="M562" s="617"/>
      <c r="N562" s="617"/>
      <c r="O562" s="617"/>
      <c r="P562" s="617"/>
      <c r="Q562" s="617"/>
      <c r="R562" s="617"/>
      <c r="S562" s="617"/>
    </row>
    <row r="563">
      <c r="B563" s="371"/>
      <c r="C563" s="307"/>
      <c r="D563" s="307"/>
      <c r="E563" s="307"/>
      <c r="F563" s="307"/>
      <c r="G563" s="307"/>
      <c r="H563" s="307"/>
      <c r="I563" s="307"/>
      <c r="J563" s="307"/>
      <c r="L563" s="617"/>
      <c r="M563" s="617"/>
      <c r="N563" s="617"/>
      <c r="O563" s="617"/>
      <c r="P563" s="617"/>
      <c r="Q563" s="617"/>
      <c r="R563" s="617"/>
      <c r="S563" s="617"/>
    </row>
    <row r="564">
      <c r="B564" s="371"/>
      <c r="C564" s="307"/>
      <c r="D564" s="307"/>
      <c r="E564" s="307"/>
      <c r="F564" s="307"/>
      <c r="G564" s="307"/>
      <c r="H564" s="307"/>
      <c r="I564" s="307"/>
      <c r="J564" s="307"/>
      <c r="L564" s="617"/>
      <c r="M564" s="617"/>
      <c r="N564" s="617"/>
      <c r="O564" s="617"/>
      <c r="P564" s="617"/>
      <c r="Q564" s="617"/>
      <c r="R564" s="617"/>
      <c r="S564" s="617"/>
    </row>
    <row r="565">
      <c r="B565" s="371"/>
      <c r="C565" s="307"/>
      <c r="D565" s="307"/>
      <c r="E565" s="307"/>
      <c r="F565" s="307"/>
      <c r="G565" s="307"/>
      <c r="H565" s="307"/>
      <c r="I565" s="307"/>
      <c r="J565" s="307"/>
      <c r="L565" s="617"/>
      <c r="M565" s="617"/>
      <c r="N565" s="617"/>
      <c r="O565" s="617"/>
      <c r="P565" s="617"/>
      <c r="Q565" s="617"/>
      <c r="R565" s="617"/>
      <c r="S565" s="617"/>
    </row>
    <row r="566">
      <c r="B566" s="371"/>
      <c r="C566" s="307"/>
      <c r="D566" s="307"/>
      <c r="E566" s="307"/>
      <c r="F566" s="307"/>
      <c r="G566" s="307"/>
      <c r="H566" s="307"/>
      <c r="I566" s="307"/>
      <c r="J566" s="307"/>
      <c r="L566" s="617"/>
      <c r="M566" s="617"/>
      <c r="N566" s="617"/>
      <c r="O566" s="617"/>
      <c r="P566" s="617"/>
      <c r="Q566" s="617"/>
      <c r="R566" s="617"/>
      <c r="S566" s="617"/>
    </row>
    <row r="567">
      <c r="B567" s="371"/>
      <c r="C567" s="307"/>
      <c r="D567" s="307"/>
      <c r="E567" s="307"/>
      <c r="F567" s="307"/>
      <c r="G567" s="307"/>
      <c r="H567" s="307"/>
      <c r="I567" s="307"/>
      <c r="J567" s="307"/>
      <c r="L567" s="617"/>
      <c r="M567" s="617"/>
      <c r="N567" s="617"/>
      <c r="O567" s="617"/>
      <c r="P567" s="617"/>
      <c r="Q567" s="617"/>
      <c r="R567" s="617"/>
      <c r="S567" s="617"/>
    </row>
    <row r="568">
      <c r="B568" s="371"/>
      <c r="C568" s="307"/>
      <c r="D568" s="307"/>
      <c r="E568" s="307"/>
      <c r="F568" s="307"/>
      <c r="G568" s="307"/>
      <c r="H568" s="307"/>
      <c r="I568" s="307"/>
      <c r="J568" s="307"/>
      <c r="L568" s="617"/>
      <c r="M568" s="617"/>
      <c r="N568" s="617"/>
      <c r="O568" s="617"/>
      <c r="P568" s="617"/>
      <c r="Q568" s="617"/>
      <c r="R568" s="617"/>
      <c r="S568" s="617"/>
    </row>
    <row r="569">
      <c r="B569" s="371"/>
      <c r="C569" s="307"/>
      <c r="D569" s="307"/>
      <c r="E569" s="307"/>
      <c r="F569" s="307"/>
      <c r="G569" s="307"/>
      <c r="H569" s="307"/>
      <c r="I569" s="307"/>
      <c r="J569" s="307"/>
      <c r="L569" s="617"/>
      <c r="M569" s="617"/>
      <c r="N569" s="617"/>
      <c r="O569" s="617"/>
      <c r="P569" s="617"/>
      <c r="Q569" s="617"/>
      <c r="R569" s="617"/>
      <c r="S569" s="617"/>
    </row>
    <row r="570">
      <c r="B570" s="371"/>
      <c r="C570" s="307"/>
      <c r="D570" s="307"/>
      <c r="E570" s="307"/>
      <c r="F570" s="307"/>
      <c r="G570" s="307"/>
      <c r="H570" s="307"/>
      <c r="I570" s="307"/>
      <c r="J570" s="307"/>
      <c r="L570" s="617"/>
      <c r="M570" s="617"/>
      <c r="N570" s="617"/>
      <c r="O570" s="617"/>
      <c r="P570" s="617"/>
      <c r="Q570" s="617"/>
      <c r="R570" s="617"/>
      <c r="S570" s="617"/>
    </row>
    <row r="571">
      <c r="B571" s="371"/>
      <c r="C571" s="307"/>
      <c r="D571" s="307"/>
      <c r="E571" s="307"/>
      <c r="F571" s="307"/>
      <c r="G571" s="307"/>
      <c r="H571" s="307"/>
      <c r="I571" s="307"/>
      <c r="J571" s="307"/>
      <c r="L571" s="617"/>
      <c r="M571" s="617"/>
      <c r="N571" s="617"/>
      <c r="O571" s="617"/>
      <c r="P571" s="617"/>
      <c r="Q571" s="617"/>
      <c r="R571" s="617"/>
      <c r="S571" s="617"/>
    </row>
    <row r="572">
      <c r="B572" s="371"/>
      <c r="C572" s="307"/>
      <c r="D572" s="307"/>
      <c r="E572" s="307"/>
      <c r="F572" s="307"/>
      <c r="G572" s="307"/>
      <c r="H572" s="307"/>
      <c r="I572" s="307"/>
      <c r="J572" s="307"/>
      <c r="L572" s="617"/>
      <c r="M572" s="617"/>
      <c r="N572" s="617"/>
      <c r="O572" s="617"/>
      <c r="P572" s="617"/>
      <c r="Q572" s="617"/>
      <c r="R572" s="617"/>
      <c r="S572" s="617"/>
    </row>
    <row r="573">
      <c r="B573" s="371"/>
      <c r="C573" s="307"/>
      <c r="D573" s="307"/>
      <c r="E573" s="307"/>
      <c r="F573" s="307"/>
      <c r="G573" s="307"/>
      <c r="H573" s="307"/>
      <c r="I573" s="307"/>
      <c r="J573" s="307"/>
      <c r="L573" s="617"/>
      <c r="M573" s="617"/>
      <c r="N573" s="617"/>
      <c r="O573" s="617"/>
      <c r="P573" s="617"/>
      <c r="Q573" s="617"/>
      <c r="R573" s="617"/>
      <c r="S573" s="617"/>
    </row>
    <row r="574">
      <c r="B574" s="371"/>
      <c r="C574" s="307"/>
      <c r="D574" s="307"/>
      <c r="E574" s="307"/>
      <c r="F574" s="307"/>
      <c r="G574" s="307"/>
      <c r="H574" s="307"/>
      <c r="I574" s="307"/>
      <c r="J574" s="307"/>
      <c r="L574" s="617"/>
      <c r="M574" s="617"/>
      <c r="N574" s="617"/>
      <c r="O574" s="617"/>
      <c r="P574" s="617"/>
      <c r="Q574" s="617"/>
      <c r="R574" s="617"/>
      <c r="S574" s="617"/>
    </row>
    <row r="575">
      <c r="B575" s="371"/>
      <c r="C575" s="307"/>
      <c r="D575" s="307"/>
      <c r="E575" s="307"/>
      <c r="F575" s="307"/>
      <c r="G575" s="307"/>
      <c r="H575" s="307"/>
      <c r="I575" s="307"/>
      <c r="J575" s="307"/>
      <c r="L575" s="617"/>
      <c r="M575" s="617"/>
      <c r="N575" s="617"/>
      <c r="O575" s="617"/>
      <c r="P575" s="617"/>
      <c r="Q575" s="617"/>
      <c r="R575" s="617"/>
      <c r="S575" s="617"/>
    </row>
    <row r="576">
      <c r="B576" s="371"/>
      <c r="C576" s="307"/>
      <c r="D576" s="307"/>
      <c r="E576" s="307"/>
      <c r="F576" s="307"/>
      <c r="G576" s="307"/>
      <c r="H576" s="307"/>
      <c r="I576" s="307"/>
      <c r="J576" s="307"/>
      <c r="L576" s="617"/>
      <c r="M576" s="617"/>
      <c r="N576" s="617"/>
      <c r="O576" s="617"/>
      <c r="P576" s="617"/>
      <c r="Q576" s="617"/>
      <c r="R576" s="617"/>
      <c r="S576" s="617"/>
    </row>
    <row r="577">
      <c r="B577" s="371"/>
      <c r="C577" s="307"/>
      <c r="D577" s="307"/>
      <c r="E577" s="307"/>
      <c r="F577" s="307"/>
      <c r="G577" s="307"/>
      <c r="H577" s="307"/>
      <c r="I577" s="307"/>
      <c r="J577" s="307"/>
      <c r="L577" s="617"/>
      <c r="M577" s="617"/>
      <c r="N577" s="617"/>
      <c r="O577" s="617"/>
      <c r="P577" s="617"/>
      <c r="Q577" s="617"/>
      <c r="R577" s="617"/>
      <c r="S577" s="617"/>
    </row>
    <row r="578">
      <c r="B578" s="371"/>
      <c r="C578" s="307"/>
      <c r="D578" s="307"/>
      <c r="E578" s="307"/>
      <c r="F578" s="307"/>
      <c r="G578" s="307"/>
      <c r="H578" s="307"/>
      <c r="I578" s="307"/>
      <c r="J578" s="307"/>
      <c r="L578" s="617"/>
      <c r="M578" s="617"/>
      <c r="N578" s="617"/>
      <c r="O578" s="617"/>
      <c r="P578" s="617"/>
      <c r="Q578" s="617"/>
      <c r="R578" s="617"/>
      <c r="S578" s="617"/>
    </row>
    <row r="579">
      <c r="B579" s="371"/>
      <c r="C579" s="307"/>
      <c r="D579" s="307"/>
      <c r="E579" s="307"/>
      <c r="F579" s="307"/>
      <c r="G579" s="307"/>
      <c r="H579" s="307"/>
      <c r="I579" s="307"/>
      <c r="J579" s="307"/>
      <c r="L579" s="617"/>
      <c r="M579" s="617"/>
      <c r="N579" s="617"/>
      <c r="O579" s="617"/>
      <c r="P579" s="617"/>
      <c r="Q579" s="617"/>
      <c r="R579" s="617"/>
      <c r="S579" s="617"/>
    </row>
    <row r="580">
      <c r="B580" s="371"/>
      <c r="C580" s="307"/>
      <c r="D580" s="307"/>
      <c r="E580" s="307"/>
      <c r="F580" s="307"/>
      <c r="G580" s="307"/>
      <c r="H580" s="307"/>
      <c r="I580" s="307"/>
      <c r="J580" s="307"/>
      <c r="L580" s="617"/>
      <c r="M580" s="617"/>
      <c r="N580" s="617"/>
      <c r="O580" s="617"/>
      <c r="P580" s="617"/>
      <c r="Q580" s="617"/>
      <c r="R580" s="617"/>
      <c r="S580" s="617"/>
    </row>
    <row r="581">
      <c r="B581" s="371"/>
      <c r="C581" s="307"/>
      <c r="D581" s="307"/>
      <c r="E581" s="307"/>
      <c r="F581" s="307"/>
      <c r="G581" s="307"/>
      <c r="H581" s="307"/>
      <c r="I581" s="307"/>
      <c r="J581" s="307"/>
      <c r="L581" s="617"/>
      <c r="M581" s="617"/>
      <c r="N581" s="617"/>
      <c r="O581" s="617"/>
      <c r="P581" s="617"/>
      <c r="Q581" s="617"/>
      <c r="R581" s="617"/>
      <c r="S581" s="617"/>
    </row>
    <row r="582">
      <c r="B582" s="371"/>
      <c r="C582" s="307"/>
      <c r="D582" s="307"/>
      <c r="E582" s="307"/>
      <c r="F582" s="307"/>
      <c r="G582" s="307"/>
      <c r="H582" s="307"/>
      <c r="I582" s="307"/>
      <c r="J582" s="307"/>
      <c r="L582" s="617"/>
      <c r="M582" s="617"/>
      <c r="N582" s="617"/>
      <c r="O582" s="617"/>
      <c r="P582" s="617"/>
      <c r="Q582" s="617"/>
      <c r="R582" s="617"/>
      <c r="S582" s="617"/>
    </row>
    <row r="583">
      <c r="B583" s="371"/>
      <c r="C583" s="307"/>
      <c r="D583" s="307"/>
      <c r="E583" s="307"/>
      <c r="F583" s="307"/>
      <c r="G583" s="307"/>
      <c r="H583" s="307"/>
      <c r="I583" s="307"/>
      <c r="J583" s="307"/>
      <c r="L583" s="617"/>
      <c r="M583" s="617"/>
      <c r="N583" s="617"/>
      <c r="O583" s="617"/>
      <c r="P583" s="617"/>
      <c r="Q583" s="617"/>
      <c r="R583" s="617"/>
      <c r="S583" s="617"/>
    </row>
    <row r="584">
      <c r="B584" s="371"/>
      <c r="C584" s="307"/>
      <c r="D584" s="307"/>
      <c r="E584" s="307"/>
      <c r="F584" s="307"/>
      <c r="G584" s="307"/>
      <c r="H584" s="307"/>
      <c r="I584" s="307"/>
      <c r="J584" s="307"/>
      <c r="L584" s="617"/>
      <c r="M584" s="617"/>
      <c r="N584" s="617"/>
      <c r="O584" s="617"/>
      <c r="P584" s="617"/>
      <c r="Q584" s="617"/>
      <c r="R584" s="617"/>
      <c r="S584" s="617"/>
    </row>
    <row r="585">
      <c r="B585" s="371"/>
      <c r="C585" s="307"/>
      <c r="D585" s="307"/>
      <c r="E585" s="307"/>
      <c r="F585" s="307"/>
      <c r="G585" s="307"/>
      <c r="H585" s="307"/>
      <c r="I585" s="307"/>
      <c r="J585" s="307"/>
      <c r="L585" s="617"/>
      <c r="M585" s="617"/>
      <c r="N585" s="617"/>
      <c r="O585" s="617"/>
      <c r="P585" s="617"/>
      <c r="Q585" s="617"/>
      <c r="R585" s="617"/>
      <c r="S585" s="617"/>
    </row>
    <row r="586">
      <c r="B586" s="371"/>
      <c r="C586" s="307"/>
      <c r="D586" s="307"/>
      <c r="E586" s="307"/>
      <c r="F586" s="307"/>
      <c r="G586" s="307"/>
      <c r="H586" s="307"/>
      <c r="I586" s="307"/>
      <c r="J586" s="307"/>
      <c r="L586" s="617"/>
      <c r="M586" s="617"/>
      <c r="N586" s="617"/>
      <c r="O586" s="617"/>
      <c r="P586" s="617"/>
      <c r="Q586" s="617"/>
      <c r="R586" s="617"/>
      <c r="S586" s="617"/>
    </row>
    <row r="587">
      <c r="B587" s="371"/>
      <c r="C587" s="307"/>
      <c r="D587" s="307"/>
      <c r="E587" s="307"/>
      <c r="F587" s="307"/>
      <c r="G587" s="307"/>
      <c r="H587" s="307"/>
      <c r="I587" s="307"/>
      <c r="J587" s="307"/>
      <c r="L587" s="617"/>
      <c r="M587" s="617"/>
      <c r="N587" s="617"/>
      <c r="O587" s="617"/>
      <c r="P587" s="617"/>
      <c r="Q587" s="617"/>
      <c r="R587" s="617"/>
      <c r="S587" s="617"/>
    </row>
    <row r="588">
      <c r="B588" s="371"/>
      <c r="C588" s="307"/>
      <c r="D588" s="307"/>
      <c r="E588" s="307"/>
      <c r="F588" s="307"/>
      <c r="G588" s="307"/>
      <c r="H588" s="307"/>
      <c r="I588" s="307"/>
      <c r="J588" s="307"/>
      <c r="L588" s="617"/>
      <c r="M588" s="617"/>
      <c r="N588" s="617"/>
      <c r="O588" s="617"/>
      <c r="P588" s="617"/>
      <c r="Q588" s="617"/>
      <c r="R588" s="617"/>
      <c r="S588" s="617"/>
    </row>
    <row r="589">
      <c r="B589" s="371"/>
      <c r="C589" s="307"/>
      <c r="D589" s="307"/>
      <c r="E589" s="307"/>
      <c r="F589" s="307"/>
      <c r="G589" s="307"/>
      <c r="H589" s="307"/>
      <c r="I589" s="307"/>
      <c r="J589" s="307"/>
      <c r="L589" s="617"/>
      <c r="M589" s="617"/>
      <c r="N589" s="617"/>
      <c r="O589" s="617"/>
      <c r="P589" s="617"/>
      <c r="Q589" s="617"/>
      <c r="R589" s="617"/>
      <c r="S589" s="617"/>
    </row>
    <row r="590">
      <c r="B590" s="371"/>
      <c r="C590" s="307"/>
      <c r="D590" s="307"/>
      <c r="E590" s="307"/>
      <c r="F590" s="307"/>
      <c r="G590" s="307"/>
      <c r="H590" s="307"/>
      <c r="I590" s="307"/>
      <c r="J590" s="307"/>
      <c r="L590" s="617"/>
      <c r="M590" s="617"/>
      <c r="N590" s="617"/>
      <c r="O590" s="617"/>
      <c r="P590" s="617"/>
      <c r="Q590" s="617"/>
      <c r="R590" s="617"/>
      <c r="S590" s="617"/>
    </row>
    <row r="591">
      <c r="B591" s="371"/>
      <c r="C591" s="307"/>
      <c r="D591" s="307"/>
      <c r="E591" s="307"/>
      <c r="F591" s="307"/>
      <c r="G591" s="307"/>
      <c r="H591" s="307"/>
      <c r="I591" s="307"/>
      <c r="J591" s="307"/>
      <c r="L591" s="617"/>
      <c r="M591" s="617"/>
      <c r="N591" s="617"/>
      <c r="O591" s="617"/>
      <c r="P591" s="617"/>
      <c r="Q591" s="617"/>
      <c r="R591" s="617"/>
      <c r="S591" s="617"/>
    </row>
    <row r="592">
      <c r="B592" s="371"/>
      <c r="C592" s="307"/>
      <c r="D592" s="307"/>
      <c r="E592" s="307"/>
      <c r="F592" s="307"/>
      <c r="G592" s="307"/>
      <c r="H592" s="307"/>
      <c r="I592" s="307"/>
      <c r="J592" s="307"/>
      <c r="L592" s="617"/>
      <c r="M592" s="617"/>
      <c r="N592" s="617"/>
      <c r="O592" s="617"/>
      <c r="P592" s="617"/>
      <c r="Q592" s="617"/>
      <c r="R592" s="617"/>
      <c r="S592" s="617"/>
    </row>
    <row r="593">
      <c r="B593" s="371"/>
      <c r="C593" s="307"/>
      <c r="D593" s="307"/>
      <c r="E593" s="307"/>
      <c r="F593" s="307"/>
      <c r="G593" s="307"/>
      <c r="H593" s="307"/>
      <c r="I593" s="307"/>
      <c r="J593" s="307"/>
      <c r="L593" s="617"/>
      <c r="M593" s="617"/>
      <c r="N593" s="617"/>
      <c r="O593" s="617"/>
      <c r="P593" s="617"/>
      <c r="Q593" s="617"/>
      <c r="R593" s="617"/>
      <c r="S593" s="617"/>
    </row>
    <row r="594">
      <c r="B594" s="371"/>
      <c r="C594" s="307"/>
      <c r="D594" s="307"/>
      <c r="E594" s="307"/>
      <c r="F594" s="307"/>
      <c r="G594" s="307"/>
      <c r="H594" s="307"/>
      <c r="I594" s="307"/>
      <c r="J594" s="307"/>
      <c r="L594" s="617"/>
      <c r="M594" s="617"/>
      <c r="N594" s="617"/>
      <c r="O594" s="617"/>
      <c r="P594" s="617"/>
      <c r="Q594" s="617"/>
      <c r="R594" s="617"/>
      <c r="S594" s="617"/>
    </row>
    <row r="595">
      <c r="B595" s="371"/>
      <c r="C595" s="307"/>
      <c r="D595" s="307"/>
      <c r="E595" s="307"/>
      <c r="F595" s="307"/>
      <c r="G595" s="307"/>
      <c r="H595" s="307"/>
      <c r="I595" s="307"/>
      <c r="J595" s="307"/>
      <c r="L595" s="617"/>
      <c r="M595" s="617"/>
      <c r="N595" s="617"/>
      <c r="O595" s="617"/>
      <c r="P595" s="617"/>
      <c r="Q595" s="617"/>
      <c r="R595" s="617"/>
      <c r="S595" s="617"/>
    </row>
    <row r="596">
      <c r="B596" s="371"/>
      <c r="C596" s="307"/>
      <c r="D596" s="307"/>
      <c r="E596" s="307"/>
      <c r="F596" s="307"/>
      <c r="G596" s="307"/>
      <c r="H596" s="307"/>
      <c r="I596" s="307"/>
      <c r="J596" s="307"/>
      <c r="L596" s="617"/>
      <c r="M596" s="617"/>
      <c r="N596" s="617"/>
      <c r="O596" s="617"/>
      <c r="P596" s="617"/>
      <c r="Q596" s="617"/>
      <c r="R596" s="617"/>
      <c r="S596" s="617"/>
    </row>
    <row r="597">
      <c r="B597" s="371"/>
      <c r="C597" s="307"/>
      <c r="D597" s="307"/>
      <c r="E597" s="307"/>
      <c r="F597" s="307"/>
      <c r="G597" s="307"/>
      <c r="H597" s="307"/>
      <c r="I597" s="307"/>
      <c r="J597" s="307"/>
      <c r="L597" s="617"/>
      <c r="M597" s="617"/>
      <c r="N597" s="617"/>
      <c r="O597" s="617"/>
      <c r="P597" s="617"/>
      <c r="Q597" s="617"/>
      <c r="R597" s="617"/>
      <c r="S597" s="617"/>
    </row>
    <row r="598">
      <c r="B598" s="371"/>
      <c r="C598" s="307"/>
      <c r="D598" s="307"/>
      <c r="E598" s="307"/>
      <c r="F598" s="307"/>
      <c r="G598" s="307"/>
      <c r="H598" s="307"/>
      <c r="I598" s="307"/>
      <c r="J598" s="307"/>
      <c r="L598" s="617"/>
      <c r="M598" s="617"/>
      <c r="N598" s="617"/>
      <c r="O598" s="617"/>
      <c r="P598" s="617"/>
      <c r="Q598" s="617"/>
      <c r="R598" s="617"/>
      <c r="S598" s="617"/>
    </row>
    <row r="599">
      <c r="B599" s="371"/>
      <c r="C599" s="307"/>
      <c r="D599" s="307"/>
      <c r="E599" s="307"/>
      <c r="F599" s="307"/>
      <c r="G599" s="307"/>
      <c r="H599" s="307"/>
      <c r="I599" s="307"/>
      <c r="J599" s="307"/>
      <c r="L599" s="617"/>
      <c r="M599" s="617"/>
      <c r="N599" s="617"/>
      <c r="O599" s="617"/>
      <c r="P599" s="617"/>
      <c r="Q599" s="617"/>
      <c r="R599" s="617"/>
      <c r="S599" s="617"/>
    </row>
    <row r="600">
      <c r="B600" s="371"/>
      <c r="C600" s="307"/>
      <c r="D600" s="307"/>
      <c r="E600" s="307"/>
      <c r="F600" s="307"/>
      <c r="G600" s="307"/>
      <c r="H600" s="307"/>
      <c r="I600" s="307"/>
      <c r="J600" s="307"/>
      <c r="L600" s="617"/>
      <c r="M600" s="617"/>
      <c r="N600" s="617"/>
      <c r="O600" s="617"/>
      <c r="P600" s="617"/>
      <c r="Q600" s="617"/>
      <c r="R600" s="617"/>
      <c r="S600" s="617"/>
    </row>
    <row r="601">
      <c r="B601" s="371"/>
      <c r="C601" s="307"/>
      <c r="D601" s="307"/>
      <c r="E601" s="307"/>
      <c r="F601" s="307"/>
      <c r="G601" s="307"/>
      <c r="H601" s="307"/>
      <c r="I601" s="307"/>
      <c r="J601" s="307"/>
      <c r="L601" s="617"/>
      <c r="M601" s="617"/>
      <c r="N601" s="617"/>
      <c r="O601" s="617"/>
      <c r="P601" s="617"/>
      <c r="Q601" s="617"/>
      <c r="R601" s="617"/>
      <c r="S601" s="617"/>
    </row>
    <row r="602">
      <c r="B602" s="371"/>
      <c r="C602" s="307"/>
      <c r="D602" s="307"/>
      <c r="E602" s="307"/>
      <c r="F602" s="307"/>
      <c r="G602" s="307"/>
      <c r="H602" s="307"/>
      <c r="I602" s="307"/>
      <c r="J602" s="307"/>
      <c r="L602" s="617"/>
      <c r="M602" s="617"/>
      <c r="N602" s="617"/>
      <c r="O602" s="617"/>
      <c r="P602" s="617"/>
      <c r="Q602" s="617"/>
      <c r="R602" s="617"/>
      <c r="S602" s="617"/>
    </row>
    <row r="603">
      <c r="B603" s="371"/>
      <c r="C603" s="307"/>
      <c r="D603" s="307"/>
      <c r="E603" s="307"/>
      <c r="F603" s="307"/>
      <c r="G603" s="307"/>
      <c r="H603" s="307"/>
      <c r="I603" s="307"/>
      <c r="J603" s="307"/>
      <c r="L603" s="617"/>
      <c r="M603" s="617"/>
      <c r="N603" s="617"/>
      <c r="O603" s="617"/>
      <c r="P603" s="617"/>
      <c r="Q603" s="617"/>
      <c r="R603" s="617"/>
      <c r="S603" s="617"/>
    </row>
    <row r="604">
      <c r="B604" s="371"/>
      <c r="C604" s="307"/>
      <c r="D604" s="307"/>
      <c r="E604" s="307"/>
      <c r="F604" s="307"/>
      <c r="G604" s="307"/>
      <c r="H604" s="307"/>
      <c r="I604" s="307"/>
      <c r="J604" s="307"/>
      <c r="L604" s="617"/>
      <c r="M604" s="617"/>
      <c r="N604" s="617"/>
      <c r="O604" s="617"/>
      <c r="P604" s="617"/>
      <c r="Q604" s="617"/>
      <c r="R604" s="617"/>
      <c r="S604" s="617"/>
    </row>
    <row r="605">
      <c r="B605" s="371"/>
      <c r="C605" s="307"/>
      <c r="D605" s="307"/>
      <c r="E605" s="307"/>
      <c r="F605" s="307"/>
      <c r="G605" s="307"/>
      <c r="H605" s="307"/>
      <c r="I605" s="307"/>
      <c r="J605" s="307"/>
      <c r="L605" s="617"/>
      <c r="M605" s="617"/>
      <c r="N605" s="617"/>
      <c r="O605" s="617"/>
      <c r="P605" s="617"/>
      <c r="Q605" s="617"/>
      <c r="R605" s="617"/>
      <c r="S605" s="617"/>
    </row>
    <row r="606">
      <c r="B606" s="371"/>
      <c r="C606" s="307"/>
      <c r="D606" s="307"/>
      <c r="E606" s="307"/>
      <c r="F606" s="307"/>
      <c r="G606" s="307"/>
      <c r="H606" s="307"/>
      <c r="I606" s="307"/>
      <c r="J606" s="307"/>
      <c r="L606" s="617"/>
      <c r="M606" s="617"/>
      <c r="N606" s="617"/>
      <c r="O606" s="617"/>
      <c r="P606" s="617"/>
      <c r="Q606" s="617"/>
      <c r="R606" s="617"/>
      <c r="S606" s="617"/>
    </row>
    <row r="607">
      <c r="B607" s="371"/>
      <c r="C607" s="307"/>
      <c r="D607" s="307"/>
      <c r="E607" s="307"/>
      <c r="F607" s="307"/>
      <c r="G607" s="307"/>
      <c r="H607" s="307"/>
      <c r="I607" s="307"/>
      <c r="J607" s="307"/>
      <c r="L607" s="617"/>
      <c r="M607" s="617"/>
      <c r="N607" s="617"/>
      <c r="O607" s="617"/>
      <c r="P607" s="617"/>
      <c r="Q607" s="617"/>
      <c r="R607" s="617"/>
      <c r="S607" s="617"/>
    </row>
    <row r="608">
      <c r="B608" s="371"/>
      <c r="C608" s="307"/>
      <c r="D608" s="307"/>
      <c r="E608" s="307"/>
      <c r="F608" s="307"/>
      <c r="G608" s="307"/>
      <c r="H608" s="307"/>
      <c r="I608" s="307"/>
      <c r="J608" s="307"/>
      <c r="L608" s="617"/>
      <c r="M608" s="617"/>
      <c r="N608" s="617"/>
      <c r="O608" s="617"/>
      <c r="P608" s="617"/>
      <c r="Q608" s="617"/>
      <c r="R608" s="617"/>
      <c r="S608" s="617"/>
    </row>
    <row r="609">
      <c r="B609" s="371"/>
      <c r="C609" s="307"/>
      <c r="D609" s="307"/>
      <c r="E609" s="307"/>
      <c r="F609" s="307"/>
      <c r="G609" s="307"/>
      <c r="H609" s="307"/>
      <c r="I609" s="307"/>
      <c r="J609" s="307"/>
      <c r="L609" s="617"/>
      <c r="M609" s="617"/>
      <c r="N609" s="617"/>
      <c r="O609" s="617"/>
      <c r="P609" s="617"/>
      <c r="Q609" s="617"/>
      <c r="R609" s="617"/>
      <c r="S609" s="617"/>
    </row>
    <row r="610">
      <c r="B610" s="371"/>
      <c r="C610" s="307"/>
      <c r="D610" s="307"/>
      <c r="E610" s="307"/>
      <c r="F610" s="307"/>
      <c r="G610" s="307"/>
      <c r="H610" s="307"/>
      <c r="I610" s="307"/>
      <c r="J610" s="307"/>
      <c r="L610" s="617"/>
      <c r="M610" s="617"/>
      <c r="N610" s="617"/>
      <c r="O610" s="617"/>
      <c r="P610" s="617"/>
      <c r="Q610" s="617"/>
      <c r="R610" s="617"/>
      <c r="S610" s="617"/>
    </row>
    <row r="611">
      <c r="B611" s="371"/>
      <c r="C611" s="307"/>
      <c r="D611" s="307"/>
      <c r="E611" s="307"/>
      <c r="F611" s="307"/>
      <c r="G611" s="307"/>
      <c r="H611" s="307"/>
      <c r="I611" s="307"/>
      <c r="J611" s="307"/>
      <c r="L611" s="617"/>
      <c r="M611" s="617"/>
      <c r="N611" s="617"/>
      <c r="O611" s="617"/>
      <c r="P611" s="617"/>
      <c r="Q611" s="617"/>
      <c r="R611" s="617"/>
      <c r="S611" s="617"/>
    </row>
    <row r="612">
      <c r="B612" s="371"/>
      <c r="C612" s="307"/>
      <c r="D612" s="307"/>
      <c r="E612" s="307"/>
      <c r="F612" s="307"/>
      <c r="G612" s="307"/>
      <c r="H612" s="307"/>
      <c r="I612" s="307"/>
      <c r="J612" s="307"/>
      <c r="L612" s="617"/>
      <c r="M612" s="617"/>
      <c r="N612" s="617"/>
      <c r="O612" s="617"/>
      <c r="P612" s="617"/>
      <c r="Q612" s="617"/>
      <c r="R612" s="617"/>
      <c r="S612" s="617"/>
    </row>
    <row r="613">
      <c r="B613" s="371"/>
      <c r="C613" s="307"/>
      <c r="D613" s="307"/>
      <c r="E613" s="307"/>
      <c r="F613" s="307"/>
      <c r="G613" s="307"/>
      <c r="H613" s="307"/>
      <c r="I613" s="307"/>
      <c r="J613" s="307"/>
      <c r="L613" s="617"/>
      <c r="M613" s="617"/>
      <c r="N613" s="617"/>
      <c r="O613" s="617"/>
      <c r="P613" s="617"/>
      <c r="Q613" s="617"/>
      <c r="R613" s="617"/>
      <c r="S613" s="617"/>
    </row>
    <row r="614">
      <c r="B614" s="371"/>
      <c r="C614" s="307"/>
      <c r="D614" s="307"/>
      <c r="E614" s="307"/>
      <c r="F614" s="307"/>
      <c r="G614" s="307"/>
      <c r="H614" s="307"/>
      <c r="I614" s="307"/>
      <c r="J614" s="307"/>
      <c r="L614" s="617"/>
      <c r="M614" s="617"/>
      <c r="N614" s="617"/>
      <c r="O614" s="617"/>
      <c r="P614" s="617"/>
      <c r="Q614" s="617"/>
      <c r="R614" s="617"/>
      <c r="S614" s="617"/>
    </row>
    <row r="615">
      <c r="B615" s="371"/>
      <c r="C615" s="307"/>
      <c r="D615" s="307"/>
      <c r="E615" s="307"/>
      <c r="F615" s="307"/>
      <c r="G615" s="307"/>
      <c r="H615" s="307"/>
      <c r="I615" s="307"/>
      <c r="J615" s="307"/>
      <c r="L615" s="617"/>
      <c r="M615" s="617"/>
      <c r="N615" s="617"/>
      <c r="O615" s="617"/>
      <c r="P615" s="617"/>
      <c r="Q615" s="617"/>
      <c r="R615" s="617"/>
      <c r="S615" s="617"/>
    </row>
    <row r="616">
      <c r="B616" s="371"/>
      <c r="C616" s="307"/>
      <c r="D616" s="307"/>
      <c r="E616" s="307"/>
      <c r="F616" s="307"/>
      <c r="G616" s="307"/>
      <c r="H616" s="307"/>
      <c r="I616" s="307"/>
      <c r="J616" s="307"/>
      <c r="L616" s="617"/>
      <c r="M616" s="617"/>
      <c r="N616" s="617"/>
      <c r="O616" s="617"/>
      <c r="P616" s="617"/>
      <c r="Q616" s="617"/>
      <c r="R616" s="617"/>
      <c r="S616" s="617"/>
    </row>
    <row r="617">
      <c r="B617" s="371"/>
      <c r="C617" s="307"/>
      <c r="D617" s="307"/>
      <c r="E617" s="307"/>
      <c r="F617" s="307"/>
      <c r="G617" s="307"/>
      <c r="H617" s="307"/>
      <c r="I617" s="307"/>
      <c r="J617" s="307"/>
      <c r="L617" s="617"/>
      <c r="M617" s="617"/>
      <c r="N617" s="617"/>
      <c r="O617" s="617"/>
      <c r="P617" s="617"/>
      <c r="Q617" s="617"/>
      <c r="R617" s="617"/>
      <c r="S617" s="617"/>
    </row>
    <row r="618">
      <c r="B618" s="371"/>
      <c r="C618" s="307"/>
      <c r="D618" s="307"/>
      <c r="E618" s="307"/>
      <c r="F618" s="307"/>
      <c r="G618" s="307"/>
      <c r="H618" s="307"/>
      <c r="I618" s="307"/>
      <c r="J618" s="307"/>
      <c r="L618" s="617"/>
      <c r="M618" s="617"/>
      <c r="N618" s="617"/>
      <c r="O618" s="617"/>
      <c r="P618" s="617"/>
      <c r="Q618" s="617"/>
      <c r="R618" s="617"/>
      <c r="S618" s="617"/>
    </row>
    <row r="619">
      <c r="B619" s="371"/>
      <c r="C619" s="307"/>
      <c r="D619" s="307"/>
      <c r="E619" s="307"/>
      <c r="F619" s="307"/>
      <c r="G619" s="307"/>
      <c r="H619" s="307"/>
      <c r="I619" s="307"/>
      <c r="J619" s="307"/>
      <c r="L619" s="617"/>
      <c r="M619" s="617"/>
      <c r="N619" s="617"/>
      <c r="O619" s="617"/>
      <c r="P619" s="617"/>
      <c r="Q619" s="617"/>
      <c r="R619" s="617"/>
      <c r="S619" s="617"/>
    </row>
    <row r="620">
      <c r="B620" s="371"/>
      <c r="C620" s="307"/>
      <c r="D620" s="307"/>
      <c r="E620" s="307"/>
      <c r="F620" s="307"/>
      <c r="G620" s="307"/>
      <c r="H620" s="307"/>
      <c r="I620" s="307"/>
      <c r="J620" s="307"/>
      <c r="L620" s="617"/>
      <c r="M620" s="617"/>
      <c r="N620" s="617"/>
      <c r="O620" s="617"/>
      <c r="P620" s="617"/>
      <c r="Q620" s="617"/>
      <c r="R620" s="617"/>
      <c r="S620" s="617"/>
    </row>
    <row r="621">
      <c r="B621" s="371"/>
      <c r="C621" s="307"/>
      <c r="D621" s="307"/>
      <c r="E621" s="307"/>
      <c r="F621" s="307"/>
      <c r="G621" s="307"/>
      <c r="H621" s="307"/>
      <c r="I621" s="307"/>
      <c r="J621" s="307"/>
      <c r="L621" s="617"/>
      <c r="M621" s="617"/>
      <c r="N621" s="617"/>
      <c r="O621" s="617"/>
      <c r="P621" s="617"/>
      <c r="Q621" s="617"/>
      <c r="R621" s="617"/>
      <c r="S621" s="617"/>
    </row>
    <row r="622">
      <c r="B622" s="371"/>
      <c r="C622" s="307"/>
      <c r="D622" s="307"/>
      <c r="E622" s="307"/>
      <c r="F622" s="307"/>
      <c r="G622" s="307"/>
      <c r="H622" s="307"/>
      <c r="I622" s="307"/>
      <c r="J622" s="307"/>
      <c r="L622" s="617"/>
      <c r="M622" s="617"/>
      <c r="N622" s="617"/>
      <c r="O622" s="617"/>
      <c r="P622" s="617"/>
      <c r="Q622" s="617"/>
      <c r="R622" s="617"/>
      <c r="S622" s="617"/>
    </row>
    <row r="623">
      <c r="B623" s="371"/>
      <c r="C623" s="307"/>
      <c r="D623" s="307"/>
      <c r="E623" s="307"/>
      <c r="F623" s="307"/>
      <c r="G623" s="307"/>
      <c r="H623" s="307"/>
      <c r="I623" s="307"/>
      <c r="J623" s="307"/>
      <c r="L623" s="617"/>
      <c r="M623" s="617"/>
      <c r="N623" s="617"/>
      <c r="O623" s="617"/>
      <c r="P623" s="617"/>
      <c r="Q623" s="617"/>
      <c r="R623" s="617"/>
      <c r="S623" s="617"/>
    </row>
    <row r="624">
      <c r="B624" s="371"/>
      <c r="C624" s="307"/>
      <c r="D624" s="307"/>
      <c r="E624" s="307"/>
      <c r="F624" s="307"/>
      <c r="G624" s="307"/>
      <c r="H624" s="307"/>
      <c r="I624" s="307"/>
      <c r="J624" s="307"/>
      <c r="L624" s="617"/>
      <c r="M624" s="617"/>
      <c r="N624" s="617"/>
      <c r="O624" s="617"/>
      <c r="P624" s="617"/>
      <c r="Q624" s="617"/>
      <c r="R624" s="617"/>
      <c r="S624" s="617"/>
    </row>
    <row r="625">
      <c r="B625" s="371"/>
      <c r="C625" s="307"/>
      <c r="D625" s="307"/>
      <c r="E625" s="307"/>
      <c r="F625" s="307"/>
      <c r="G625" s="307"/>
      <c r="H625" s="307"/>
      <c r="I625" s="307"/>
      <c r="J625" s="307"/>
      <c r="L625" s="617"/>
      <c r="M625" s="617"/>
      <c r="N625" s="617"/>
      <c r="O625" s="617"/>
      <c r="P625" s="617"/>
      <c r="Q625" s="617"/>
      <c r="R625" s="617"/>
      <c r="S625" s="617"/>
    </row>
    <row r="626">
      <c r="B626" s="371"/>
      <c r="C626" s="307"/>
      <c r="D626" s="307"/>
      <c r="E626" s="307"/>
      <c r="F626" s="307"/>
      <c r="G626" s="307"/>
      <c r="H626" s="307"/>
      <c r="I626" s="307"/>
      <c r="J626" s="307"/>
      <c r="L626" s="617"/>
      <c r="M626" s="617"/>
      <c r="N626" s="617"/>
      <c r="O626" s="617"/>
      <c r="P626" s="617"/>
      <c r="Q626" s="617"/>
      <c r="R626" s="617"/>
      <c r="S626" s="617"/>
    </row>
    <row r="627">
      <c r="B627" s="371"/>
      <c r="C627" s="307"/>
      <c r="D627" s="307"/>
      <c r="E627" s="307"/>
      <c r="F627" s="307"/>
      <c r="G627" s="307"/>
      <c r="H627" s="307"/>
      <c r="I627" s="307"/>
      <c r="J627" s="307"/>
      <c r="L627" s="617"/>
      <c r="M627" s="617"/>
      <c r="N627" s="617"/>
      <c r="O627" s="617"/>
      <c r="P627" s="617"/>
      <c r="Q627" s="617"/>
      <c r="R627" s="617"/>
      <c r="S627" s="617"/>
    </row>
    <row r="628">
      <c r="B628" s="371"/>
      <c r="C628" s="307"/>
      <c r="D628" s="307"/>
      <c r="E628" s="307"/>
      <c r="F628" s="307"/>
      <c r="G628" s="307"/>
      <c r="H628" s="307"/>
      <c r="I628" s="307"/>
      <c r="J628" s="307"/>
      <c r="L628" s="617"/>
      <c r="M628" s="617"/>
      <c r="N628" s="617"/>
      <c r="O628" s="617"/>
      <c r="P628" s="617"/>
      <c r="Q628" s="617"/>
      <c r="R628" s="617"/>
      <c r="S628" s="617"/>
    </row>
    <row r="629">
      <c r="B629" s="371"/>
      <c r="C629" s="307"/>
      <c r="D629" s="307"/>
      <c r="E629" s="307"/>
      <c r="F629" s="307"/>
      <c r="G629" s="307"/>
      <c r="H629" s="307"/>
      <c r="I629" s="307"/>
      <c r="J629" s="307"/>
      <c r="L629" s="617"/>
      <c r="M629" s="617"/>
      <c r="N629" s="617"/>
      <c r="O629" s="617"/>
      <c r="P629" s="617"/>
      <c r="Q629" s="617"/>
      <c r="R629" s="617"/>
      <c r="S629" s="617"/>
    </row>
    <row r="630">
      <c r="B630" s="371"/>
      <c r="C630" s="307"/>
      <c r="D630" s="307"/>
      <c r="E630" s="307"/>
      <c r="F630" s="307"/>
      <c r="G630" s="307"/>
      <c r="H630" s="307"/>
      <c r="I630" s="307"/>
      <c r="J630" s="307"/>
      <c r="L630" s="617"/>
      <c r="M630" s="617"/>
      <c r="N630" s="617"/>
      <c r="O630" s="617"/>
      <c r="P630" s="617"/>
      <c r="Q630" s="617"/>
      <c r="R630" s="617"/>
      <c r="S630" s="617"/>
    </row>
    <row r="631">
      <c r="B631" s="371"/>
      <c r="C631" s="307"/>
      <c r="D631" s="307"/>
      <c r="E631" s="307"/>
      <c r="F631" s="307"/>
      <c r="G631" s="307"/>
      <c r="H631" s="307"/>
      <c r="I631" s="307"/>
      <c r="J631" s="307"/>
      <c r="L631" s="617"/>
      <c r="M631" s="617"/>
      <c r="N631" s="617"/>
      <c r="O631" s="617"/>
      <c r="P631" s="617"/>
      <c r="Q631" s="617"/>
      <c r="R631" s="617"/>
      <c r="S631" s="617"/>
    </row>
    <row r="632">
      <c r="B632" s="371"/>
      <c r="C632" s="307"/>
      <c r="D632" s="307"/>
      <c r="E632" s="307"/>
      <c r="F632" s="307"/>
      <c r="G632" s="307"/>
      <c r="H632" s="307"/>
      <c r="I632" s="307"/>
      <c r="J632" s="307"/>
      <c r="L632" s="617"/>
      <c r="M632" s="617"/>
      <c r="N632" s="617"/>
      <c r="O632" s="617"/>
      <c r="P632" s="617"/>
      <c r="Q632" s="617"/>
      <c r="R632" s="617"/>
      <c r="S632" s="617"/>
    </row>
    <row r="633">
      <c r="B633" s="371"/>
      <c r="C633" s="307"/>
      <c r="D633" s="307"/>
      <c r="E633" s="307"/>
      <c r="F633" s="307"/>
      <c r="G633" s="307"/>
      <c r="H633" s="307"/>
      <c r="I633" s="307"/>
      <c r="J633" s="307"/>
      <c r="L633" s="617"/>
      <c r="M633" s="617"/>
      <c r="N633" s="617"/>
      <c r="O633" s="617"/>
      <c r="P633" s="617"/>
      <c r="Q633" s="617"/>
      <c r="R633" s="617"/>
      <c r="S633" s="617"/>
    </row>
    <row r="634">
      <c r="B634" s="371"/>
      <c r="C634" s="307"/>
      <c r="D634" s="307"/>
      <c r="E634" s="307"/>
      <c r="F634" s="307"/>
      <c r="G634" s="307"/>
      <c r="H634" s="307"/>
      <c r="I634" s="307"/>
      <c r="J634" s="307"/>
      <c r="L634" s="617"/>
      <c r="M634" s="617"/>
      <c r="N634" s="617"/>
      <c r="O634" s="617"/>
      <c r="P634" s="617"/>
      <c r="Q634" s="617"/>
      <c r="R634" s="617"/>
      <c r="S634" s="617"/>
    </row>
    <row r="635">
      <c r="B635" s="371"/>
      <c r="C635" s="307"/>
      <c r="D635" s="307"/>
      <c r="E635" s="307"/>
      <c r="F635" s="307"/>
      <c r="G635" s="307"/>
      <c r="H635" s="307"/>
      <c r="I635" s="307"/>
      <c r="J635" s="307"/>
      <c r="L635" s="617"/>
      <c r="M635" s="617"/>
      <c r="N635" s="617"/>
      <c r="O635" s="617"/>
      <c r="P635" s="617"/>
      <c r="Q635" s="617"/>
      <c r="R635" s="617"/>
      <c r="S635" s="617"/>
    </row>
    <row r="636">
      <c r="B636" s="371"/>
      <c r="C636" s="307"/>
      <c r="D636" s="307"/>
      <c r="E636" s="307"/>
      <c r="F636" s="307"/>
      <c r="G636" s="307"/>
      <c r="H636" s="307"/>
      <c r="I636" s="307"/>
      <c r="J636" s="307"/>
      <c r="L636" s="617"/>
      <c r="M636" s="617"/>
      <c r="N636" s="617"/>
      <c r="O636" s="617"/>
      <c r="P636" s="617"/>
      <c r="Q636" s="617"/>
      <c r="R636" s="617"/>
      <c r="S636" s="617"/>
    </row>
    <row r="637">
      <c r="B637" s="371"/>
      <c r="C637" s="307"/>
      <c r="D637" s="307"/>
      <c r="E637" s="307"/>
      <c r="F637" s="307"/>
      <c r="G637" s="307"/>
      <c r="H637" s="307"/>
      <c r="I637" s="307"/>
      <c r="J637" s="307"/>
      <c r="L637" s="617"/>
      <c r="M637" s="617"/>
      <c r="N637" s="617"/>
      <c r="O637" s="617"/>
      <c r="P637" s="617"/>
      <c r="Q637" s="617"/>
      <c r="R637" s="617"/>
      <c r="S637" s="617"/>
    </row>
    <row r="638">
      <c r="B638" s="371"/>
      <c r="C638" s="307"/>
      <c r="D638" s="307"/>
      <c r="E638" s="307"/>
      <c r="F638" s="307"/>
      <c r="G638" s="307"/>
      <c r="H638" s="307"/>
      <c r="I638" s="307"/>
      <c r="J638" s="307"/>
      <c r="L638" s="617"/>
      <c r="M638" s="617"/>
      <c r="N638" s="617"/>
      <c r="O638" s="617"/>
      <c r="P638" s="617"/>
      <c r="Q638" s="617"/>
      <c r="R638" s="617"/>
      <c r="S638" s="617"/>
    </row>
    <row r="639">
      <c r="B639" s="371"/>
      <c r="C639" s="307"/>
      <c r="D639" s="307"/>
      <c r="E639" s="307"/>
      <c r="F639" s="307"/>
      <c r="G639" s="307"/>
      <c r="H639" s="307"/>
      <c r="I639" s="307"/>
      <c r="J639" s="307"/>
      <c r="L639" s="617"/>
      <c r="M639" s="617"/>
      <c r="N639" s="617"/>
      <c r="O639" s="617"/>
      <c r="P639" s="617"/>
      <c r="Q639" s="617"/>
      <c r="R639" s="617"/>
      <c r="S639" s="617"/>
    </row>
    <row r="640">
      <c r="B640" s="371"/>
      <c r="C640" s="307"/>
      <c r="D640" s="307"/>
      <c r="E640" s="307"/>
      <c r="F640" s="307"/>
      <c r="G640" s="307"/>
      <c r="H640" s="307"/>
      <c r="I640" s="307"/>
      <c r="J640" s="307"/>
      <c r="L640" s="617"/>
      <c r="M640" s="617"/>
      <c r="N640" s="617"/>
      <c r="O640" s="617"/>
      <c r="P640" s="617"/>
      <c r="Q640" s="617"/>
      <c r="R640" s="617"/>
      <c r="S640" s="617"/>
    </row>
    <row r="641">
      <c r="B641" s="371"/>
      <c r="C641" s="307"/>
      <c r="D641" s="307"/>
      <c r="E641" s="307"/>
      <c r="F641" s="307"/>
      <c r="G641" s="307"/>
      <c r="H641" s="307"/>
      <c r="I641" s="307"/>
      <c r="J641" s="307"/>
      <c r="L641" s="617"/>
      <c r="M641" s="617"/>
      <c r="N641" s="617"/>
      <c r="O641" s="617"/>
      <c r="P641" s="617"/>
      <c r="Q641" s="617"/>
      <c r="R641" s="617"/>
      <c r="S641" s="617"/>
    </row>
    <row r="642">
      <c r="B642" s="371"/>
      <c r="C642" s="307"/>
      <c r="D642" s="307"/>
      <c r="E642" s="307"/>
      <c r="F642" s="307"/>
      <c r="G642" s="307"/>
      <c r="H642" s="307"/>
      <c r="I642" s="307"/>
      <c r="J642" s="307"/>
      <c r="L642" s="617"/>
      <c r="M642" s="617"/>
      <c r="N642" s="617"/>
      <c r="O642" s="617"/>
      <c r="P642" s="617"/>
      <c r="Q642" s="617"/>
      <c r="R642" s="617"/>
      <c r="S642" s="617"/>
    </row>
    <row r="643">
      <c r="B643" s="371"/>
      <c r="C643" s="307"/>
      <c r="D643" s="307"/>
      <c r="E643" s="307"/>
      <c r="F643" s="307"/>
      <c r="G643" s="307"/>
      <c r="H643" s="307"/>
      <c r="I643" s="307"/>
      <c r="J643" s="307"/>
      <c r="L643" s="617"/>
      <c r="M643" s="617"/>
      <c r="N643" s="617"/>
      <c r="O643" s="617"/>
      <c r="P643" s="617"/>
      <c r="Q643" s="617"/>
      <c r="R643" s="617"/>
      <c r="S643" s="617"/>
    </row>
    <row r="644">
      <c r="B644" s="371"/>
      <c r="C644" s="307"/>
      <c r="D644" s="307"/>
      <c r="E644" s="307"/>
      <c r="F644" s="307"/>
      <c r="G644" s="307"/>
      <c r="H644" s="307"/>
      <c r="I644" s="307"/>
      <c r="J644" s="307"/>
      <c r="L644" s="617"/>
      <c r="M644" s="617"/>
      <c r="N644" s="617"/>
      <c r="O644" s="617"/>
      <c r="P644" s="617"/>
      <c r="Q644" s="617"/>
      <c r="R644" s="617"/>
      <c r="S644" s="617"/>
    </row>
    <row r="645">
      <c r="B645" s="371"/>
      <c r="C645" s="307"/>
      <c r="D645" s="307"/>
      <c r="E645" s="307"/>
      <c r="F645" s="307"/>
      <c r="G645" s="307"/>
      <c r="H645" s="307"/>
      <c r="I645" s="307"/>
      <c r="J645" s="307"/>
      <c r="L645" s="617"/>
      <c r="M645" s="617"/>
      <c r="N645" s="617"/>
      <c r="O645" s="617"/>
      <c r="P645" s="617"/>
      <c r="Q645" s="617"/>
      <c r="R645" s="617"/>
      <c r="S645" s="617"/>
    </row>
    <row r="646">
      <c r="B646" s="371"/>
      <c r="C646" s="307"/>
      <c r="D646" s="307"/>
      <c r="E646" s="307"/>
      <c r="F646" s="307"/>
      <c r="G646" s="307"/>
      <c r="H646" s="307"/>
      <c r="I646" s="307"/>
      <c r="J646" s="307"/>
      <c r="L646" s="617"/>
      <c r="M646" s="617"/>
      <c r="N646" s="617"/>
      <c r="O646" s="617"/>
      <c r="P646" s="617"/>
      <c r="Q646" s="617"/>
      <c r="R646" s="617"/>
      <c r="S646" s="617"/>
    </row>
    <row r="647">
      <c r="B647" s="371"/>
      <c r="C647" s="307"/>
      <c r="D647" s="307"/>
      <c r="E647" s="307"/>
      <c r="F647" s="307"/>
      <c r="G647" s="307"/>
      <c r="H647" s="307"/>
      <c r="I647" s="307"/>
      <c r="J647" s="307"/>
      <c r="L647" s="617"/>
      <c r="M647" s="617"/>
      <c r="N647" s="617"/>
      <c r="O647" s="617"/>
      <c r="P647" s="617"/>
      <c r="Q647" s="617"/>
      <c r="R647" s="617"/>
      <c r="S647" s="617"/>
    </row>
    <row r="648">
      <c r="B648" s="371"/>
      <c r="C648" s="307"/>
      <c r="D648" s="307"/>
      <c r="E648" s="307"/>
      <c r="F648" s="307"/>
      <c r="G648" s="307"/>
      <c r="H648" s="307"/>
      <c r="I648" s="307"/>
      <c r="J648" s="307"/>
      <c r="L648" s="617"/>
      <c r="M648" s="617"/>
      <c r="N648" s="617"/>
      <c r="O648" s="617"/>
      <c r="P648" s="617"/>
      <c r="Q648" s="617"/>
      <c r="R648" s="617"/>
      <c r="S648" s="617"/>
    </row>
    <row r="649">
      <c r="B649" s="371"/>
      <c r="C649" s="307"/>
      <c r="D649" s="307"/>
      <c r="E649" s="307"/>
      <c r="F649" s="307"/>
      <c r="G649" s="307"/>
      <c r="H649" s="307"/>
      <c r="I649" s="307"/>
      <c r="J649" s="307"/>
      <c r="L649" s="617"/>
      <c r="M649" s="617"/>
      <c r="N649" s="617"/>
      <c r="O649" s="617"/>
      <c r="P649" s="617"/>
      <c r="Q649" s="617"/>
      <c r="R649" s="617"/>
      <c r="S649" s="617"/>
    </row>
    <row r="650">
      <c r="B650" s="371"/>
      <c r="C650" s="307"/>
      <c r="D650" s="307"/>
      <c r="E650" s="307"/>
      <c r="F650" s="307"/>
      <c r="G650" s="307"/>
      <c r="H650" s="307"/>
      <c r="I650" s="307"/>
      <c r="J650" s="307"/>
      <c r="L650" s="617"/>
      <c r="M650" s="617"/>
      <c r="N650" s="617"/>
      <c r="O650" s="617"/>
      <c r="P650" s="617"/>
      <c r="Q650" s="617"/>
      <c r="R650" s="617"/>
      <c r="S650" s="617"/>
    </row>
    <row r="651">
      <c r="B651" s="371"/>
      <c r="C651" s="307"/>
      <c r="D651" s="307"/>
      <c r="E651" s="307"/>
      <c r="F651" s="307"/>
      <c r="G651" s="307"/>
      <c r="H651" s="307"/>
      <c r="I651" s="307"/>
      <c r="J651" s="307"/>
      <c r="L651" s="617"/>
      <c r="M651" s="617"/>
      <c r="N651" s="617"/>
      <c r="O651" s="617"/>
      <c r="P651" s="617"/>
      <c r="Q651" s="617"/>
      <c r="R651" s="617"/>
      <c r="S651" s="617"/>
    </row>
    <row r="652">
      <c r="B652" s="371"/>
      <c r="C652" s="307"/>
      <c r="D652" s="307"/>
      <c r="E652" s="307"/>
      <c r="F652" s="307"/>
      <c r="G652" s="307"/>
      <c r="H652" s="307"/>
      <c r="I652" s="307"/>
      <c r="J652" s="307"/>
      <c r="L652" s="617"/>
      <c r="M652" s="617"/>
      <c r="N652" s="617"/>
      <c r="O652" s="617"/>
      <c r="P652" s="617"/>
      <c r="Q652" s="617"/>
      <c r="R652" s="617"/>
      <c r="S652" s="617"/>
    </row>
    <row r="653">
      <c r="B653" s="371"/>
      <c r="C653" s="307"/>
      <c r="D653" s="307"/>
      <c r="E653" s="307"/>
      <c r="F653" s="307"/>
      <c r="G653" s="307"/>
      <c r="H653" s="307"/>
      <c r="I653" s="307"/>
      <c r="J653" s="307"/>
      <c r="L653" s="617"/>
      <c r="M653" s="617"/>
      <c r="N653" s="617"/>
      <c r="O653" s="617"/>
      <c r="P653" s="617"/>
      <c r="Q653" s="617"/>
      <c r="R653" s="617"/>
      <c r="S653" s="617"/>
    </row>
    <row r="654">
      <c r="B654" s="371"/>
      <c r="C654" s="307"/>
      <c r="D654" s="307"/>
      <c r="E654" s="307"/>
      <c r="F654" s="307"/>
      <c r="G654" s="307"/>
      <c r="H654" s="307"/>
      <c r="I654" s="307"/>
      <c r="J654" s="307"/>
      <c r="L654" s="617"/>
      <c r="M654" s="617"/>
      <c r="N654" s="617"/>
      <c r="O654" s="617"/>
      <c r="P654" s="617"/>
      <c r="Q654" s="617"/>
      <c r="R654" s="617"/>
      <c r="S654" s="617"/>
    </row>
    <row r="655">
      <c r="B655" s="371"/>
      <c r="C655" s="307"/>
      <c r="D655" s="307"/>
      <c r="E655" s="307"/>
      <c r="F655" s="307"/>
      <c r="G655" s="307"/>
      <c r="H655" s="307"/>
      <c r="I655" s="307"/>
      <c r="J655" s="307"/>
      <c r="L655" s="617"/>
      <c r="M655" s="617"/>
      <c r="N655" s="617"/>
      <c r="O655" s="617"/>
      <c r="P655" s="617"/>
      <c r="Q655" s="617"/>
      <c r="R655" s="617"/>
      <c r="S655" s="617"/>
    </row>
    <row r="656">
      <c r="B656" s="371"/>
      <c r="C656" s="307"/>
      <c r="D656" s="307"/>
      <c r="E656" s="307"/>
      <c r="F656" s="307"/>
      <c r="G656" s="307"/>
      <c r="H656" s="307"/>
      <c r="I656" s="307"/>
      <c r="J656" s="307"/>
      <c r="L656" s="617"/>
      <c r="M656" s="617"/>
      <c r="N656" s="617"/>
      <c r="O656" s="617"/>
      <c r="P656" s="617"/>
      <c r="Q656" s="617"/>
      <c r="R656" s="617"/>
      <c r="S656" s="617"/>
    </row>
    <row r="657">
      <c r="B657" s="371"/>
      <c r="C657" s="307"/>
      <c r="D657" s="307"/>
      <c r="E657" s="307"/>
      <c r="F657" s="307"/>
      <c r="G657" s="307"/>
      <c r="H657" s="307"/>
      <c r="I657" s="307"/>
      <c r="J657" s="307"/>
      <c r="L657" s="617"/>
      <c r="M657" s="617"/>
      <c r="N657" s="617"/>
      <c r="O657" s="617"/>
      <c r="P657" s="617"/>
      <c r="Q657" s="617"/>
      <c r="R657" s="617"/>
      <c r="S657" s="617"/>
    </row>
    <row r="658">
      <c r="B658" s="371"/>
      <c r="C658" s="307"/>
      <c r="D658" s="307"/>
      <c r="E658" s="307"/>
      <c r="F658" s="307"/>
      <c r="G658" s="307"/>
      <c r="H658" s="307"/>
      <c r="I658" s="307"/>
      <c r="J658" s="307"/>
      <c r="L658" s="617"/>
      <c r="M658" s="617"/>
      <c r="N658" s="617"/>
      <c r="O658" s="617"/>
      <c r="P658" s="617"/>
      <c r="Q658" s="617"/>
      <c r="R658" s="617"/>
      <c r="S658" s="617"/>
    </row>
    <row r="659">
      <c r="B659" s="371"/>
      <c r="C659" s="307"/>
      <c r="D659" s="307"/>
      <c r="E659" s="307"/>
      <c r="F659" s="307"/>
      <c r="G659" s="307"/>
      <c r="H659" s="307"/>
      <c r="I659" s="307"/>
      <c r="J659" s="307"/>
      <c r="L659" s="617"/>
      <c r="M659" s="617"/>
      <c r="N659" s="617"/>
      <c r="O659" s="617"/>
      <c r="P659" s="617"/>
      <c r="Q659" s="617"/>
      <c r="R659" s="617"/>
      <c r="S659" s="617"/>
    </row>
    <row r="660">
      <c r="B660" s="371"/>
      <c r="C660" s="307"/>
      <c r="D660" s="307"/>
      <c r="E660" s="307"/>
      <c r="F660" s="307"/>
      <c r="G660" s="307"/>
      <c r="H660" s="307"/>
      <c r="I660" s="307"/>
      <c r="J660" s="307"/>
      <c r="L660" s="617"/>
      <c r="M660" s="617"/>
      <c r="N660" s="617"/>
      <c r="O660" s="617"/>
      <c r="P660" s="617"/>
      <c r="Q660" s="617"/>
      <c r="R660" s="617"/>
      <c r="S660" s="617"/>
    </row>
    <row r="661">
      <c r="B661" s="371"/>
      <c r="C661" s="307"/>
      <c r="D661" s="307"/>
      <c r="E661" s="307"/>
      <c r="F661" s="307"/>
      <c r="G661" s="307"/>
      <c r="H661" s="307"/>
      <c r="I661" s="307"/>
      <c r="J661" s="307"/>
      <c r="L661" s="617"/>
      <c r="M661" s="617"/>
      <c r="N661" s="617"/>
      <c r="O661" s="617"/>
      <c r="P661" s="617"/>
      <c r="Q661" s="617"/>
      <c r="R661" s="617"/>
      <c r="S661" s="617"/>
    </row>
    <row r="662">
      <c r="B662" s="371"/>
      <c r="C662" s="307"/>
      <c r="D662" s="307"/>
      <c r="E662" s="307"/>
      <c r="F662" s="307"/>
      <c r="G662" s="307"/>
      <c r="H662" s="307"/>
      <c r="I662" s="307"/>
      <c r="J662" s="307"/>
      <c r="L662" s="617"/>
      <c r="M662" s="617"/>
      <c r="N662" s="617"/>
      <c r="O662" s="617"/>
      <c r="P662" s="617"/>
      <c r="Q662" s="617"/>
      <c r="R662" s="617"/>
      <c r="S662" s="617"/>
    </row>
    <row r="663">
      <c r="B663" s="371"/>
      <c r="C663" s="307"/>
      <c r="D663" s="307"/>
      <c r="E663" s="307"/>
      <c r="F663" s="307"/>
      <c r="G663" s="307"/>
      <c r="H663" s="307"/>
      <c r="I663" s="307"/>
      <c r="J663" s="307"/>
      <c r="L663" s="617"/>
      <c r="M663" s="617"/>
      <c r="N663" s="617"/>
      <c r="O663" s="617"/>
      <c r="P663" s="617"/>
      <c r="Q663" s="617"/>
      <c r="R663" s="617"/>
      <c r="S663" s="617"/>
    </row>
    <row r="664">
      <c r="B664" s="371"/>
      <c r="C664" s="307"/>
      <c r="D664" s="307"/>
      <c r="E664" s="307"/>
      <c r="F664" s="307"/>
      <c r="G664" s="307"/>
      <c r="H664" s="307"/>
      <c r="I664" s="307"/>
      <c r="J664" s="307"/>
      <c r="L664" s="617"/>
      <c r="M664" s="617"/>
      <c r="N664" s="617"/>
      <c r="O664" s="617"/>
      <c r="P664" s="617"/>
      <c r="Q664" s="617"/>
      <c r="R664" s="617"/>
      <c r="S664" s="617"/>
    </row>
    <row r="665">
      <c r="B665" s="371"/>
      <c r="C665" s="307"/>
      <c r="D665" s="307"/>
      <c r="E665" s="307"/>
      <c r="F665" s="307"/>
      <c r="G665" s="307"/>
      <c r="H665" s="307"/>
      <c r="I665" s="307"/>
      <c r="J665" s="307"/>
      <c r="L665" s="617"/>
      <c r="M665" s="617"/>
      <c r="N665" s="617"/>
      <c r="O665" s="617"/>
      <c r="P665" s="617"/>
      <c r="Q665" s="617"/>
      <c r="R665" s="617"/>
      <c r="S665" s="617"/>
    </row>
    <row r="666">
      <c r="B666" s="371"/>
      <c r="C666" s="307"/>
      <c r="D666" s="307"/>
      <c r="E666" s="307"/>
      <c r="F666" s="307"/>
      <c r="G666" s="307"/>
      <c r="H666" s="307"/>
      <c r="I666" s="307"/>
      <c r="J666" s="307"/>
      <c r="L666" s="617"/>
      <c r="M666" s="617"/>
      <c r="N666" s="617"/>
      <c r="O666" s="617"/>
      <c r="P666" s="617"/>
      <c r="Q666" s="617"/>
      <c r="R666" s="617"/>
      <c r="S666" s="617"/>
    </row>
    <row r="667">
      <c r="B667" s="371"/>
      <c r="C667" s="307"/>
      <c r="D667" s="307"/>
      <c r="E667" s="307"/>
      <c r="F667" s="307"/>
      <c r="G667" s="307"/>
      <c r="H667" s="307"/>
      <c r="I667" s="307"/>
      <c r="J667" s="307"/>
      <c r="L667" s="617"/>
      <c r="M667" s="617"/>
      <c r="N667" s="617"/>
      <c r="O667" s="617"/>
      <c r="P667" s="617"/>
      <c r="Q667" s="617"/>
      <c r="R667" s="617"/>
      <c r="S667" s="617"/>
    </row>
    <row r="668">
      <c r="B668" s="371"/>
      <c r="C668" s="307"/>
      <c r="D668" s="307"/>
      <c r="E668" s="307"/>
      <c r="F668" s="307"/>
      <c r="G668" s="307"/>
      <c r="H668" s="307"/>
      <c r="I668" s="307"/>
      <c r="J668" s="307"/>
      <c r="L668" s="617"/>
      <c r="M668" s="617"/>
      <c r="N668" s="617"/>
      <c r="O668" s="617"/>
      <c r="P668" s="617"/>
      <c r="Q668" s="617"/>
      <c r="R668" s="617"/>
      <c r="S668" s="617"/>
    </row>
    <row r="669">
      <c r="B669" s="371"/>
      <c r="C669" s="307"/>
      <c r="D669" s="307"/>
      <c r="E669" s="307"/>
      <c r="F669" s="307"/>
      <c r="G669" s="307"/>
      <c r="H669" s="307"/>
      <c r="I669" s="307"/>
      <c r="J669" s="307"/>
      <c r="L669" s="617"/>
      <c r="M669" s="617"/>
      <c r="N669" s="617"/>
      <c r="O669" s="617"/>
      <c r="P669" s="617"/>
      <c r="Q669" s="617"/>
      <c r="R669" s="617"/>
      <c r="S669" s="617"/>
    </row>
    <row r="670">
      <c r="B670" s="371"/>
      <c r="C670" s="307"/>
      <c r="D670" s="307"/>
      <c r="E670" s="307"/>
      <c r="F670" s="307"/>
      <c r="G670" s="307"/>
      <c r="H670" s="307"/>
      <c r="I670" s="307"/>
      <c r="J670" s="307"/>
      <c r="L670" s="617"/>
      <c r="M670" s="617"/>
      <c r="N670" s="617"/>
      <c r="O670" s="617"/>
      <c r="P670" s="617"/>
      <c r="Q670" s="617"/>
      <c r="R670" s="617"/>
      <c r="S670" s="617"/>
    </row>
    <row r="671">
      <c r="B671" s="371"/>
      <c r="C671" s="307"/>
      <c r="D671" s="307"/>
      <c r="E671" s="307"/>
      <c r="F671" s="307"/>
      <c r="G671" s="307"/>
      <c r="H671" s="307"/>
      <c r="I671" s="307"/>
      <c r="J671" s="307"/>
      <c r="L671" s="617"/>
      <c r="M671" s="617"/>
      <c r="N671" s="617"/>
      <c r="O671" s="617"/>
      <c r="P671" s="617"/>
      <c r="Q671" s="617"/>
      <c r="R671" s="617"/>
      <c r="S671" s="617"/>
    </row>
    <row r="672">
      <c r="B672" s="371"/>
      <c r="C672" s="307"/>
      <c r="D672" s="307"/>
      <c r="E672" s="307"/>
      <c r="F672" s="307"/>
      <c r="G672" s="307"/>
      <c r="H672" s="307"/>
      <c r="I672" s="307"/>
      <c r="J672" s="307"/>
      <c r="L672" s="617"/>
      <c r="M672" s="617"/>
      <c r="N672" s="617"/>
      <c r="O672" s="617"/>
      <c r="P672" s="617"/>
      <c r="Q672" s="617"/>
      <c r="R672" s="617"/>
      <c r="S672" s="617"/>
    </row>
    <row r="673">
      <c r="B673" s="371"/>
      <c r="C673" s="307"/>
      <c r="D673" s="307"/>
      <c r="E673" s="307"/>
      <c r="F673" s="307"/>
      <c r="G673" s="307"/>
      <c r="H673" s="307"/>
      <c r="I673" s="307"/>
      <c r="J673" s="307"/>
      <c r="L673" s="617"/>
      <c r="M673" s="617"/>
      <c r="N673" s="617"/>
      <c r="O673" s="617"/>
      <c r="P673" s="617"/>
      <c r="Q673" s="617"/>
      <c r="R673" s="617"/>
      <c r="S673" s="617"/>
    </row>
    <row r="674">
      <c r="B674" s="371"/>
      <c r="C674" s="307"/>
      <c r="D674" s="307"/>
      <c r="E674" s="307"/>
      <c r="F674" s="307"/>
      <c r="G674" s="307"/>
      <c r="H674" s="307"/>
      <c r="I674" s="307"/>
      <c r="J674" s="307"/>
      <c r="L674" s="617"/>
      <c r="M674" s="617"/>
      <c r="N674" s="617"/>
      <c r="O674" s="617"/>
      <c r="P674" s="617"/>
      <c r="Q674" s="617"/>
      <c r="R674" s="617"/>
      <c r="S674" s="617"/>
    </row>
    <row r="675">
      <c r="B675" s="371"/>
      <c r="C675" s="307"/>
      <c r="D675" s="307"/>
      <c r="E675" s="307"/>
      <c r="F675" s="307"/>
      <c r="G675" s="307"/>
      <c r="H675" s="307"/>
      <c r="I675" s="307"/>
      <c r="J675" s="307"/>
      <c r="L675" s="617"/>
      <c r="M675" s="617"/>
      <c r="N675" s="617"/>
      <c r="O675" s="617"/>
      <c r="P675" s="617"/>
      <c r="Q675" s="617"/>
      <c r="R675" s="617"/>
      <c r="S675" s="617"/>
    </row>
    <row r="676">
      <c r="B676" s="371"/>
      <c r="C676" s="307"/>
      <c r="D676" s="307"/>
      <c r="E676" s="307"/>
      <c r="F676" s="307"/>
      <c r="G676" s="307"/>
      <c r="H676" s="307"/>
      <c r="I676" s="307"/>
      <c r="J676" s="307"/>
      <c r="L676" s="617"/>
      <c r="M676" s="617"/>
      <c r="N676" s="617"/>
      <c r="O676" s="617"/>
      <c r="P676" s="617"/>
      <c r="Q676" s="617"/>
      <c r="R676" s="617"/>
      <c r="S676" s="617"/>
    </row>
    <row r="677">
      <c r="B677" s="371"/>
      <c r="C677" s="307"/>
      <c r="D677" s="307"/>
      <c r="E677" s="307"/>
      <c r="F677" s="307"/>
      <c r="G677" s="307"/>
      <c r="H677" s="307"/>
      <c r="I677" s="307"/>
      <c r="J677" s="307"/>
      <c r="L677" s="617"/>
      <c r="M677" s="617"/>
      <c r="N677" s="617"/>
      <c r="O677" s="617"/>
      <c r="P677" s="617"/>
      <c r="Q677" s="617"/>
      <c r="R677" s="617"/>
      <c r="S677" s="617"/>
    </row>
    <row r="678">
      <c r="B678" s="371"/>
      <c r="C678" s="307"/>
      <c r="D678" s="307"/>
      <c r="E678" s="307"/>
      <c r="F678" s="307"/>
      <c r="G678" s="307"/>
      <c r="H678" s="307"/>
      <c r="I678" s="307"/>
      <c r="J678" s="307"/>
      <c r="L678" s="617"/>
      <c r="M678" s="617"/>
      <c r="N678" s="617"/>
      <c r="O678" s="617"/>
      <c r="P678" s="617"/>
      <c r="Q678" s="617"/>
      <c r="R678" s="617"/>
      <c r="S678" s="617"/>
    </row>
    <row r="679">
      <c r="B679" s="371"/>
      <c r="C679" s="307"/>
      <c r="D679" s="307"/>
      <c r="E679" s="307"/>
      <c r="F679" s="307"/>
      <c r="G679" s="307"/>
      <c r="H679" s="307"/>
      <c r="I679" s="307"/>
      <c r="J679" s="307"/>
      <c r="L679" s="617"/>
      <c r="M679" s="617"/>
      <c r="N679" s="617"/>
      <c r="O679" s="617"/>
      <c r="P679" s="617"/>
      <c r="Q679" s="617"/>
      <c r="R679" s="617"/>
      <c r="S679" s="617"/>
    </row>
    <row r="680">
      <c r="B680" s="371"/>
      <c r="C680" s="307"/>
      <c r="D680" s="307"/>
      <c r="E680" s="307"/>
      <c r="F680" s="307"/>
      <c r="G680" s="307"/>
      <c r="H680" s="307"/>
      <c r="I680" s="307"/>
      <c r="J680" s="307"/>
      <c r="L680" s="617"/>
      <c r="M680" s="617"/>
      <c r="N680" s="617"/>
      <c r="O680" s="617"/>
      <c r="P680" s="617"/>
      <c r="Q680" s="617"/>
      <c r="R680" s="617"/>
      <c r="S680" s="617"/>
    </row>
    <row r="681">
      <c r="B681" s="371"/>
      <c r="C681" s="307"/>
      <c r="D681" s="307"/>
      <c r="E681" s="307"/>
      <c r="F681" s="307"/>
      <c r="G681" s="307"/>
      <c r="H681" s="307"/>
      <c r="I681" s="307"/>
      <c r="J681" s="307"/>
      <c r="L681" s="617"/>
      <c r="M681" s="617"/>
      <c r="N681" s="617"/>
      <c r="O681" s="617"/>
      <c r="P681" s="617"/>
      <c r="Q681" s="617"/>
      <c r="R681" s="617"/>
      <c r="S681" s="617"/>
    </row>
    <row r="682">
      <c r="B682" s="371"/>
      <c r="C682" s="307"/>
      <c r="D682" s="307"/>
      <c r="E682" s="307"/>
      <c r="F682" s="307"/>
      <c r="G682" s="307"/>
      <c r="H682" s="307"/>
      <c r="I682" s="307"/>
      <c r="J682" s="307"/>
      <c r="L682" s="617"/>
      <c r="M682" s="617"/>
      <c r="N682" s="617"/>
      <c r="O682" s="617"/>
      <c r="P682" s="617"/>
      <c r="Q682" s="617"/>
      <c r="R682" s="617"/>
      <c r="S682" s="617"/>
    </row>
    <row r="683">
      <c r="B683" s="371"/>
      <c r="C683" s="307"/>
      <c r="D683" s="307"/>
      <c r="E683" s="307"/>
      <c r="F683" s="307"/>
      <c r="G683" s="307"/>
      <c r="H683" s="307"/>
      <c r="I683" s="307"/>
      <c r="J683" s="307"/>
      <c r="L683" s="617"/>
      <c r="M683" s="617"/>
      <c r="N683" s="617"/>
      <c r="O683" s="617"/>
      <c r="P683" s="617"/>
      <c r="Q683" s="617"/>
      <c r="R683" s="617"/>
      <c r="S683" s="617"/>
    </row>
    <row r="684">
      <c r="B684" s="371"/>
      <c r="C684" s="307"/>
      <c r="D684" s="307"/>
      <c r="E684" s="307"/>
      <c r="F684" s="307"/>
      <c r="G684" s="307"/>
      <c r="H684" s="307"/>
      <c r="I684" s="307"/>
      <c r="J684" s="307"/>
      <c r="L684" s="617"/>
      <c r="M684" s="617"/>
      <c r="N684" s="617"/>
      <c r="O684" s="617"/>
      <c r="P684" s="617"/>
      <c r="Q684" s="617"/>
      <c r="R684" s="617"/>
      <c r="S684" s="617"/>
    </row>
    <row r="685">
      <c r="B685" s="371"/>
      <c r="C685" s="307"/>
      <c r="D685" s="307"/>
      <c r="E685" s="307"/>
      <c r="F685" s="307"/>
      <c r="G685" s="307"/>
      <c r="H685" s="307"/>
      <c r="I685" s="307"/>
      <c r="J685" s="307"/>
      <c r="L685" s="617"/>
      <c r="M685" s="617"/>
      <c r="N685" s="617"/>
      <c r="O685" s="617"/>
      <c r="P685" s="617"/>
      <c r="Q685" s="617"/>
      <c r="R685" s="617"/>
      <c r="S685" s="617"/>
    </row>
    <row r="686">
      <c r="B686" s="371"/>
      <c r="C686" s="307"/>
      <c r="D686" s="307"/>
      <c r="E686" s="307"/>
      <c r="F686" s="307"/>
      <c r="G686" s="307"/>
      <c r="H686" s="307"/>
      <c r="I686" s="307"/>
      <c r="J686" s="307"/>
      <c r="L686" s="617"/>
      <c r="M686" s="617"/>
      <c r="N686" s="617"/>
      <c r="O686" s="617"/>
      <c r="P686" s="617"/>
      <c r="Q686" s="617"/>
      <c r="R686" s="617"/>
      <c r="S686" s="617"/>
    </row>
    <row r="687">
      <c r="B687" s="371"/>
      <c r="C687" s="307"/>
      <c r="D687" s="307"/>
      <c r="E687" s="307"/>
      <c r="F687" s="307"/>
      <c r="G687" s="307"/>
      <c r="H687" s="307"/>
      <c r="I687" s="307"/>
      <c r="J687" s="307"/>
      <c r="L687" s="617"/>
      <c r="M687" s="617"/>
      <c r="N687" s="617"/>
      <c r="O687" s="617"/>
      <c r="P687" s="617"/>
      <c r="Q687" s="617"/>
      <c r="R687" s="617"/>
      <c r="S687" s="617"/>
    </row>
    <row r="688">
      <c r="B688" s="371"/>
      <c r="C688" s="307"/>
      <c r="D688" s="307"/>
      <c r="E688" s="307"/>
      <c r="F688" s="307"/>
      <c r="G688" s="307"/>
      <c r="H688" s="307"/>
      <c r="I688" s="307"/>
      <c r="J688" s="307"/>
      <c r="L688" s="617"/>
      <c r="M688" s="617"/>
      <c r="N688" s="617"/>
      <c r="O688" s="617"/>
      <c r="P688" s="617"/>
      <c r="Q688" s="617"/>
      <c r="R688" s="617"/>
      <c r="S688" s="617"/>
    </row>
    <row r="689">
      <c r="B689" s="371"/>
      <c r="C689" s="307"/>
      <c r="D689" s="307"/>
      <c r="E689" s="307"/>
      <c r="F689" s="307"/>
      <c r="G689" s="307"/>
      <c r="H689" s="307"/>
      <c r="I689" s="307"/>
      <c r="J689" s="307"/>
      <c r="L689" s="617"/>
      <c r="M689" s="617"/>
      <c r="N689" s="617"/>
      <c r="O689" s="617"/>
      <c r="P689" s="617"/>
      <c r="Q689" s="617"/>
      <c r="R689" s="617"/>
      <c r="S689" s="617"/>
    </row>
    <row r="690">
      <c r="B690" s="371"/>
      <c r="C690" s="307"/>
      <c r="D690" s="307"/>
      <c r="E690" s="307"/>
      <c r="F690" s="307"/>
      <c r="G690" s="307"/>
      <c r="H690" s="307"/>
      <c r="I690" s="307"/>
      <c r="J690" s="307"/>
      <c r="L690" s="617"/>
      <c r="M690" s="617"/>
      <c r="N690" s="617"/>
      <c r="O690" s="617"/>
      <c r="P690" s="617"/>
      <c r="Q690" s="617"/>
      <c r="R690" s="617"/>
      <c r="S690" s="617"/>
    </row>
    <row r="691">
      <c r="B691" s="371"/>
      <c r="C691" s="307"/>
      <c r="D691" s="307"/>
      <c r="E691" s="307"/>
      <c r="F691" s="307"/>
      <c r="G691" s="307"/>
      <c r="H691" s="307"/>
      <c r="I691" s="307"/>
      <c r="J691" s="307"/>
      <c r="L691" s="617"/>
      <c r="M691" s="617"/>
      <c r="N691" s="617"/>
      <c r="O691" s="617"/>
      <c r="P691" s="617"/>
      <c r="Q691" s="617"/>
      <c r="R691" s="617"/>
      <c r="S691" s="617"/>
    </row>
    <row r="692">
      <c r="B692" s="371"/>
      <c r="C692" s="307"/>
      <c r="D692" s="307"/>
      <c r="E692" s="307"/>
      <c r="F692" s="307"/>
      <c r="G692" s="307"/>
      <c r="H692" s="307"/>
      <c r="I692" s="307"/>
      <c r="J692" s="307"/>
      <c r="L692" s="617"/>
      <c r="M692" s="617"/>
      <c r="N692" s="617"/>
      <c r="O692" s="617"/>
      <c r="P692" s="617"/>
      <c r="Q692" s="617"/>
      <c r="R692" s="617"/>
      <c r="S692" s="617"/>
    </row>
    <row r="693">
      <c r="B693" s="371"/>
      <c r="C693" s="307"/>
      <c r="D693" s="307"/>
      <c r="E693" s="307"/>
      <c r="F693" s="307"/>
      <c r="G693" s="307"/>
      <c r="H693" s="307"/>
      <c r="I693" s="307"/>
      <c r="J693" s="307"/>
      <c r="L693" s="617"/>
      <c r="M693" s="617"/>
      <c r="N693" s="617"/>
      <c r="O693" s="617"/>
      <c r="P693" s="617"/>
      <c r="Q693" s="617"/>
      <c r="R693" s="617"/>
      <c r="S693" s="617"/>
    </row>
    <row r="694">
      <c r="B694" s="371"/>
      <c r="C694" s="307"/>
      <c r="D694" s="307"/>
      <c r="E694" s="307"/>
      <c r="F694" s="307"/>
      <c r="G694" s="307"/>
      <c r="H694" s="307"/>
      <c r="I694" s="307"/>
      <c r="J694" s="307"/>
      <c r="L694" s="617"/>
      <c r="M694" s="617"/>
      <c r="N694" s="617"/>
      <c r="O694" s="617"/>
      <c r="P694" s="617"/>
      <c r="Q694" s="617"/>
      <c r="R694" s="617"/>
      <c r="S694" s="617"/>
    </row>
    <row r="695">
      <c r="B695" s="371"/>
      <c r="C695" s="307"/>
      <c r="D695" s="307"/>
      <c r="E695" s="307"/>
      <c r="F695" s="307"/>
      <c r="G695" s="307"/>
      <c r="H695" s="307"/>
      <c r="I695" s="307"/>
      <c r="J695" s="307"/>
      <c r="L695" s="617"/>
      <c r="M695" s="617"/>
      <c r="N695" s="617"/>
      <c r="O695" s="617"/>
      <c r="P695" s="617"/>
      <c r="Q695" s="617"/>
      <c r="R695" s="617"/>
      <c r="S695" s="617"/>
    </row>
    <row r="696">
      <c r="B696" s="371"/>
      <c r="C696" s="307"/>
      <c r="D696" s="307"/>
      <c r="E696" s="307"/>
      <c r="F696" s="307"/>
      <c r="G696" s="307"/>
      <c r="H696" s="307"/>
      <c r="I696" s="307"/>
      <c r="J696" s="307"/>
      <c r="L696" s="617"/>
      <c r="M696" s="617"/>
      <c r="N696" s="617"/>
      <c r="O696" s="617"/>
      <c r="P696" s="617"/>
      <c r="Q696" s="617"/>
      <c r="R696" s="617"/>
      <c r="S696" s="617"/>
    </row>
    <row r="697">
      <c r="B697" s="371"/>
      <c r="C697" s="307"/>
      <c r="D697" s="307"/>
      <c r="E697" s="307"/>
      <c r="F697" s="307"/>
      <c r="G697" s="307"/>
      <c r="H697" s="307"/>
      <c r="I697" s="307"/>
      <c r="J697" s="307"/>
      <c r="L697" s="617"/>
      <c r="M697" s="617"/>
      <c r="N697" s="617"/>
      <c r="O697" s="617"/>
      <c r="P697" s="617"/>
      <c r="Q697" s="617"/>
      <c r="R697" s="617"/>
      <c r="S697" s="617"/>
    </row>
    <row r="698">
      <c r="B698" s="371"/>
      <c r="C698" s="307"/>
      <c r="D698" s="307"/>
      <c r="E698" s="307"/>
      <c r="F698" s="307"/>
      <c r="G698" s="307"/>
      <c r="H698" s="307"/>
      <c r="I698" s="307"/>
      <c r="J698" s="307"/>
      <c r="L698" s="617"/>
      <c r="M698" s="617"/>
      <c r="N698" s="617"/>
      <c r="O698" s="617"/>
      <c r="P698" s="617"/>
      <c r="Q698" s="617"/>
      <c r="R698" s="617"/>
      <c r="S698" s="617"/>
    </row>
    <row r="699">
      <c r="B699" s="371"/>
      <c r="C699" s="307"/>
      <c r="D699" s="307"/>
      <c r="E699" s="307"/>
      <c r="F699" s="307"/>
      <c r="G699" s="307"/>
      <c r="H699" s="307"/>
      <c r="I699" s="307"/>
      <c r="J699" s="307"/>
      <c r="L699" s="617"/>
      <c r="M699" s="617"/>
      <c r="N699" s="617"/>
      <c r="O699" s="617"/>
      <c r="P699" s="617"/>
      <c r="Q699" s="617"/>
      <c r="R699" s="617"/>
      <c r="S699" s="617"/>
    </row>
    <row r="700">
      <c r="B700" s="371"/>
      <c r="C700" s="307"/>
      <c r="D700" s="307"/>
      <c r="E700" s="307"/>
      <c r="F700" s="307"/>
      <c r="G700" s="307"/>
      <c r="H700" s="307"/>
      <c r="I700" s="307"/>
      <c r="J700" s="307"/>
      <c r="L700" s="617"/>
      <c r="M700" s="617"/>
      <c r="N700" s="617"/>
      <c r="O700" s="617"/>
      <c r="P700" s="617"/>
      <c r="Q700" s="617"/>
      <c r="R700" s="617"/>
      <c r="S700" s="617"/>
    </row>
    <row r="701">
      <c r="B701" s="371"/>
      <c r="C701" s="307"/>
      <c r="D701" s="307"/>
      <c r="E701" s="307"/>
      <c r="F701" s="307"/>
      <c r="G701" s="307"/>
      <c r="H701" s="307"/>
      <c r="I701" s="307"/>
      <c r="J701" s="307"/>
      <c r="L701" s="617"/>
      <c r="M701" s="617"/>
      <c r="N701" s="617"/>
      <c r="O701" s="617"/>
      <c r="P701" s="617"/>
      <c r="Q701" s="617"/>
      <c r="R701" s="617"/>
      <c r="S701" s="617"/>
    </row>
    <row r="702">
      <c r="B702" s="371"/>
      <c r="C702" s="307"/>
      <c r="D702" s="307"/>
      <c r="E702" s="307"/>
      <c r="F702" s="307"/>
      <c r="G702" s="307"/>
      <c r="H702" s="307"/>
      <c r="I702" s="307"/>
      <c r="J702" s="307"/>
      <c r="L702" s="617"/>
      <c r="M702" s="617"/>
      <c r="N702" s="617"/>
      <c r="O702" s="617"/>
      <c r="P702" s="617"/>
      <c r="Q702" s="617"/>
      <c r="R702" s="617"/>
      <c r="S702" s="617"/>
    </row>
    <row r="703">
      <c r="B703" s="371"/>
      <c r="C703" s="307"/>
      <c r="D703" s="307"/>
      <c r="E703" s="307"/>
      <c r="F703" s="307"/>
      <c r="G703" s="307"/>
      <c r="H703" s="307"/>
      <c r="I703" s="307"/>
      <c r="J703" s="307"/>
      <c r="L703" s="617"/>
      <c r="M703" s="617"/>
      <c r="N703" s="617"/>
      <c r="O703" s="617"/>
      <c r="P703" s="617"/>
      <c r="Q703" s="617"/>
      <c r="R703" s="617"/>
      <c r="S703" s="617"/>
    </row>
    <row r="704">
      <c r="B704" s="371"/>
      <c r="C704" s="307"/>
      <c r="D704" s="307"/>
      <c r="E704" s="307"/>
      <c r="F704" s="307"/>
      <c r="G704" s="307"/>
      <c r="H704" s="307"/>
      <c r="I704" s="307"/>
      <c r="J704" s="307"/>
      <c r="L704" s="617"/>
      <c r="M704" s="617"/>
      <c r="N704" s="617"/>
      <c r="O704" s="617"/>
      <c r="P704" s="617"/>
      <c r="Q704" s="617"/>
      <c r="R704" s="617"/>
      <c r="S704" s="617"/>
    </row>
    <row r="705">
      <c r="B705" s="371"/>
      <c r="C705" s="307"/>
      <c r="D705" s="307"/>
      <c r="E705" s="307"/>
      <c r="F705" s="307"/>
      <c r="G705" s="307"/>
      <c r="H705" s="307"/>
      <c r="I705" s="307"/>
      <c r="J705" s="307"/>
      <c r="L705" s="617"/>
      <c r="M705" s="617"/>
      <c r="N705" s="617"/>
      <c r="O705" s="617"/>
      <c r="P705" s="617"/>
      <c r="Q705" s="617"/>
      <c r="R705" s="617"/>
      <c r="S705" s="617"/>
    </row>
    <row r="706">
      <c r="B706" s="371"/>
      <c r="C706" s="307"/>
      <c r="D706" s="307"/>
      <c r="E706" s="307"/>
      <c r="F706" s="307"/>
      <c r="G706" s="307"/>
      <c r="H706" s="307"/>
      <c r="I706" s="307"/>
      <c r="J706" s="307"/>
      <c r="L706" s="617"/>
      <c r="M706" s="617"/>
      <c r="N706" s="617"/>
      <c r="O706" s="617"/>
      <c r="P706" s="617"/>
      <c r="Q706" s="617"/>
      <c r="R706" s="617"/>
      <c r="S706" s="617"/>
    </row>
    <row r="707">
      <c r="B707" s="371"/>
      <c r="C707" s="307"/>
      <c r="D707" s="307"/>
      <c r="E707" s="307"/>
      <c r="F707" s="307"/>
      <c r="G707" s="307"/>
      <c r="H707" s="307"/>
      <c r="I707" s="307"/>
      <c r="J707" s="307"/>
      <c r="L707" s="617"/>
      <c r="M707" s="617"/>
      <c r="N707" s="617"/>
      <c r="O707" s="617"/>
      <c r="P707" s="617"/>
      <c r="Q707" s="617"/>
      <c r="R707" s="617"/>
      <c r="S707" s="617"/>
    </row>
    <row r="708">
      <c r="B708" s="371"/>
      <c r="C708" s="307"/>
      <c r="D708" s="307"/>
      <c r="E708" s="307"/>
      <c r="F708" s="307"/>
      <c r="G708" s="307"/>
      <c r="H708" s="307"/>
      <c r="I708" s="307"/>
      <c r="J708" s="307"/>
      <c r="L708" s="617"/>
      <c r="M708" s="617"/>
      <c r="N708" s="617"/>
      <c r="O708" s="617"/>
      <c r="P708" s="617"/>
      <c r="Q708" s="617"/>
      <c r="R708" s="617"/>
      <c r="S708" s="617"/>
    </row>
    <row r="709">
      <c r="B709" s="371"/>
      <c r="C709" s="307"/>
      <c r="D709" s="307"/>
      <c r="E709" s="307"/>
      <c r="F709" s="307"/>
      <c r="G709" s="307"/>
      <c r="H709" s="307"/>
      <c r="I709" s="307"/>
      <c r="J709" s="307"/>
      <c r="L709" s="617"/>
      <c r="M709" s="617"/>
      <c r="N709" s="617"/>
      <c r="O709" s="617"/>
      <c r="P709" s="617"/>
      <c r="Q709" s="617"/>
      <c r="R709" s="617"/>
      <c r="S709" s="617"/>
    </row>
    <row r="710">
      <c r="B710" s="371"/>
      <c r="C710" s="307"/>
      <c r="D710" s="307"/>
      <c r="E710" s="307"/>
      <c r="F710" s="307"/>
      <c r="G710" s="307"/>
      <c r="H710" s="307"/>
      <c r="I710" s="307"/>
      <c r="J710" s="307"/>
      <c r="L710" s="617"/>
      <c r="M710" s="617"/>
      <c r="N710" s="617"/>
      <c r="O710" s="617"/>
      <c r="P710" s="617"/>
      <c r="Q710" s="617"/>
      <c r="R710" s="617"/>
      <c r="S710" s="617"/>
    </row>
    <row r="711">
      <c r="B711" s="371"/>
      <c r="C711" s="307"/>
      <c r="D711" s="307"/>
      <c r="E711" s="307"/>
      <c r="F711" s="307"/>
      <c r="G711" s="307"/>
      <c r="H711" s="307"/>
      <c r="I711" s="307"/>
      <c r="J711" s="307"/>
      <c r="L711" s="617"/>
      <c r="M711" s="617"/>
      <c r="N711" s="617"/>
      <c r="O711" s="617"/>
      <c r="P711" s="617"/>
      <c r="Q711" s="617"/>
      <c r="R711" s="617"/>
      <c r="S711" s="617"/>
    </row>
    <row r="712">
      <c r="B712" s="371"/>
      <c r="C712" s="307"/>
      <c r="D712" s="307"/>
      <c r="E712" s="307"/>
      <c r="F712" s="307"/>
      <c r="G712" s="307"/>
      <c r="H712" s="307"/>
      <c r="I712" s="307"/>
      <c r="J712" s="307"/>
      <c r="L712" s="617"/>
      <c r="M712" s="617"/>
      <c r="N712" s="617"/>
      <c r="O712" s="617"/>
      <c r="P712" s="617"/>
      <c r="Q712" s="617"/>
      <c r="R712" s="617"/>
      <c r="S712" s="617"/>
    </row>
    <row r="713">
      <c r="B713" s="371"/>
      <c r="C713" s="307"/>
      <c r="D713" s="307"/>
      <c r="E713" s="307"/>
      <c r="F713" s="307"/>
      <c r="G713" s="307"/>
      <c r="H713" s="307"/>
      <c r="I713" s="307"/>
      <c r="J713" s="307"/>
      <c r="L713" s="617"/>
      <c r="M713" s="617"/>
      <c r="N713" s="617"/>
      <c r="O713" s="617"/>
      <c r="P713" s="617"/>
      <c r="Q713" s="617"/>
      <c r="R713" s="617"/>
      <c r="S713" s="617"/>
    </row>
    <row r="714">
      <c r="B714" s="371"/>
      <c r="C714" s="307"/>
      <c r="D714" s="307"/>
      <c r="E714" s="307"/>
      <c r="F714" s="307"/>
      <c r="G714" s="307"/>
      <c r="H714" s="307"/>
      <c r="I714" s="307"/>
      <c r="J714" s="307"/>
      <c r="L714" s="617"/>
      <c r="M714" s="617"/>
      <c r="N714" s="617"/>
      <c r="O714" s="617"/>
      <c r="P714" s="617"/>
      <c r="Q714" s="617"/>
      <c r="R714" s="617"/>
      <c r="S714" s="617"/>
    </row>
    <row r="715">
      <c r="B715" s="371"/>
      <c r="C715" s="307"/>
      <c r="D715" s="307"/>
      <c r="E715" s="307"/>
      <c r="F715" s="307"/>
      <c r="G715" s="307"/>
      <c r="H715" s="307"/>
      <c r="I715" s="307"/>
      <c r="J715" s="307"/>
      <c r="L715" s="617"/>
      <c r="M715" s="617"/>
      <c r="N715" s="617"/>
      <c r="O715" s="617"/>
      <c r="P715" s="617"/>
      <c r="Q715" s="617"/>
      <c r="R715" s="617"/>
      <c r="S715" s="617"/>
    </row>
    <row r="716">
      <c r="B716" s="371"/>
      <c r="C716" s="307"/>
      <c r="D716" s="307"/>
      <c r="E716" s="307"/>
      <c r="F716" s="307"/>
      <c r="G716" s="307"/>
      <c r="H716" s="307"/>
      <c r="I716" s="307"/>
      <c r="J716" s="307"/>
      <c r="L716" s="617"/>
      <c r="M716" s="617"/>
      <c r="N716" s="617"/>
      <c r="O716" s="617"/>
      <c r="P716" s="617"/>
      <c r="Q716" s="617"/>
      <c r="R716" s="617"/>
      <c r="S716" s="617"/>
    </row>
    <row r="717">
      <c r="B717" s="371"/>
      <c r="C717" s="307"/>
      <c r="D717" s="307"/>
      <c r="E717" s="307"/>
      <c r="F717" s="307"/>
      <c r="G717" s="307"/>
      <c r="H717" s="307"/>
      <c r="I717" s="307"/>
      <c r="J717" s="307"/>
      <c r="L717" s="617"/>
      <c r="M717" s="617"/>
      <c r="N717" s="617"/>
      <c r="O717" s="617"/>
      <c r="P717" s="617"/>
      <c r="Q717" s="617"/>
      <c r="R717" s="617"/>
      <c r="S717" s="617"/>
    </row>
    <row r="718">
      <c r="B718" s="371"/>
      <c r="C718" s="307"/>
      <c r="D718" s="307"/>
      <c r="E718" s="307"/>
      <c r="F718" s="307"/>
      <c r="G718" s="307"/>
      <c r="H718" s="307"/>
      <c r="I718" s="307"/>
      <c r="J718" s="307"/>
      <c r="L718" s="617"/>
      <c r="M718" s="617"/>
      <c r="N718" s="617"/>
      <c r="O718" s="617"/>
      <c r="P718" s="617"/>
      <c r="Q718" s="617"/>
      <c r="R718" s="617"/>
      <c r="S718" s="617"/>
    </row>
    <row r="719">
      <c r="B719" s="371"/>
      <c r="C719" s="307"/>
      <c r="D719" s="307"/>
      <c r="E719" s="307"/>
      <c r="F719" s="307"/>
      <c r="G719" s="307"/>
      <c r="H719" s="307"/>
      <c r="I719" s="307"/>
      <c r="J719" s="307"/>
      <c r="L719" s="617"/>
      <c r="M719" s="617"/>
      <c r="N719" s="617"/>
      <c r="O719" s="617"/>
      <c r="P719" s="617"/>
      <c r="Q719" s="617"/>
      <c r="R719" s="617"/>
      <c r="S719" s="617"/>
    </row>
    <row r="720">
      <c r="B720" s="371"/>
      <c r="C720" s="307"/>
      <c r="D720" s="307"/>
      <c r="E720" s="307"/>
      <c r="F720" s="307"/>
      <c r="G720" s="307"/>
      <c r="H720" s="307"/>
      <c r="I720" s="307"/>
      <c r="J720" s="307"/>
      <c r="L720" s="617"/>
      <c r="M720" s="617"/>
      <c r="N720" s="617"/>
      <c r="O720" s="617"/>
      <c r="P720" s="617"/>
      <c r="Q720" s="617"/>
      <c r="R720" s="617"/>
      <c r="S720" s="617"/>
    </row>
    <row r="721">
      <c r="B721" s="371"/>
      <c r="C721" s="307"/>
      <c r="D721" s="307"/>
      <c r="E721" s="307"/>
      <c r="F721" s="307"/>
      <c r="G721" s="307"/>
      <c r="H721" s="307"/>
      <c r="I721" s="307"/>
      <c r="J721" s="307"/>
      <c r="L721" s="617"/>
      <c r="M721" s="617"/>
      <c r="N721" s="617"/>
      <c r="O721" s="617"/>
      <c r="P721" s="617"/>
      <c r="Q721" s="617"/>
      <c r="R721" s="617"/>
      <c r="S721" s="617"/>
    </row>
    <row r="722">
      <c r="B722" s="371"/>
      <c r="C722" s="307"/>
      <c r="D722" s="307"/>
      <c r="E722" s="307"/>
      <c r="F722" s="307"/>
      <c r="G722" s="307"/>
      <c r="H722" s="307"/>
      <c r="I722" s="307"/>
      <c r="J722" s="307"/>
      <c r="L722" s="617"/>
      <c r="M722" s="617"/>
      <c r="N722" s="617"/>
      <c r="O722" s="617"/>
      <c r="P722" s="617"/>
      <c r="Q722" s="617"/>
      <c r="R722" s="617"/>
      <c r="S722" s="617"/>
    </row>
    <row r="723">
      <c r="B723" s="371"/>
      <c r="C723" s="307"/>
      <c r="D723" s="307"/>
      <c r="E723" s="307"/>
      <c r="F723" s="307"/>
      <c r="G723" s="307"/>
      <c r="H723" s="307"/>
      <c r="I723" s="307"/>
      <c r="J723" s="307"/>
      <c r="L723" s="617"/>
      <c r="M723" s="617"/>
      <c r="N723" s="617"/>
      <c r="O723" s="617"/>
      <c r="P723" s="617"/>
      <c r="Q723" s="617"/>
      <c r="R723" s="617"/>
      <c r="S723" s="617"/>
    </row>
    <row r="724">
      <c r="B724" s="371"/>
      <c r="C724" s="307"/>
      <c r="D724" s="307"/>
      <c r="E724" s="307"/>
      <c r="F724" s="307"/>
      <c r="G724" s="307"/>
      <c r="H724" s="307"/>
      <c r="I724" s="307"/>
      <c r="J724" s="307"/>
      <c r="L724" s="617"/>
      <c r="M724" s="617"/>
      <c r="N724" s="617"/>
      <c r="O724" s="617"/>
      <c r="P724" s="617"/>
      <c r="Q724" s="617"/>
      <c r="R724" s="617"/>
      <c r="S724" s="617"/>
    </row>
    <row r="725">
      <c r="B725" s="371"/>
      <c r="C725" s="307"/>
      <c r="D725" s="307"/>
      <c r="E725" s="307"/>
      <c r="F725" s="307"/>
      <c r="G725" s="307"/>
      <c r="H725" s="307"/>
      <c r="I725" s="307"/>
      <c r="J725" s="307"/>
      <c r="L725" s="617"/>
      <c r="M725" s="617"/>
      <c r="N725" s="617"/>
      <c r="O725" s="617"/>
      <c r="P725" s="617"/>
      <c r="Q725" s="617"/>
      <c r="R725" s="617"/>
      <c r="S725" s="617"/>
    </row>
    <row r="726">
      <c r="B726" s="371"/>
      <c r="C726" s="307"/>
      <c r="D726" s="307"/>
      <c r="E726" s="307"/>
      <c r="F726" s="307"/>
      <c r="G726" s="307"/>
      <c r="H726" s="307"/>
      <c r="I726" s="307"/>
      <c r="J726" s="307"/>
      <c r="L726" s="617"/>
      <c r="M726" s="617"/>
      <c r="N726" s="617"/>
      <c r="O726" s="617"/>
      <c r="P726" s="617"/>
      <c r="Q726" s="617"/>
      <c r="R726" s="617"/>
      <c r="S726" s="617"/>
    </row>
    <row r="727">
      <c r="B727" s="371"/>
      <c r="C727" s="307"/>
      <c r="D727" s="307"/>
      <c r="E727" s="307"/>
      <c r="F727" s="307"/>
      <c r="G727" s="307"/>
      <c r="H727" s="307"/>
      <c r="I727" s="307"/>
      <c r="J727" s="307"/>
      <c r="L727" s="617"/>
      <c r="M727" s="617"/>
      <c r="N727" s="617"/>
      <c r="O727" s="617"/>
      <c r="P727" s="617"/>
      <c r="Q727" s="617"/>
      <c r="R727" s="617"/>
      <c r="S727" s="617"/>
    </row>
    <row r="728">
      <c r="B728" s="371"/>
      <c r="C728" s="307"/>
      <c r="D728" s="307"/>
      <c r="E728" s="307"/>
      <c r="F728" s="307"/>
      <c r="G728" s="307"/>
      <c r="H728" s="307"/>
      <c r="I728" s="307"/>
      <c r="J728" s="307"/>
      <c r="L728" s="617"/>
      <c r="M728" s="617"/>
      <c r="N728" s="617"/>
      <c r="O728" s="617"/>
      <c r="P728" s="617"/>
      <c r="Q728" s="617"/>
      <c r="R728" s="617"/>
      <c r="S728" s="617"/>
    </row>
    <row r="729">
      <c r="B729" s="371"/>
      <c r="C729" s="307"/>
      <c r="D729" s="307"/>
      <c r="E729" s="307"/>
      <c r="F729" s="307"/>
      <c r="G729" s="307"/>
      <c r="H729" s="307"/>
      <c r="I729" s="307"/>
      <c r="J729" s="307"/>
      <c r="L729" s="617"/>
      <c r="M729" s="617"/>
      <c r="N729" s="617"/>
      <c r="O729" s="617"/>
      <c r="P729" s="617"/>
      <c r="Q729" s="617"/>
      <c r="R729" s="617"/>
      <c r="S729" s="617"/>
    </row>
    <row r="730">
      <c r="B730" s="371"/>
      <c r="C730" s="307"/>
      <c r="D730" s="307"/>
      <c r="E730" s="307"/>
      <c r="F730" s="307"/>
      <c r="G730" s="307"/>
      <c r="H730" s="307"/>
      <c r="I730" s="307"/>
      <c r="J730" s="307"/>
      <c r="L730" s="617"/>
      <c r="M730" s="617"/>
      <c r="N730" s="617"/>
      <c r="O730" s="617"/>
      <c r="P730" s="617"/>
      <c r="Q730" s="617"/>
      <c r="R730" s="617"/>
      <c r="S730" s="617"/>
    </row>
    <row r="731">
      <c r="B731" s="371"/>
      <c r="C731" s="307"/>
      <c r="D731" s="307"/>
      <c r="E731" s="307"/>
      <c r="F731" s="307"/>
      <c r="G731" s="307"/>
      <c r="H731" s="307"/>
      <c r="I731" s="307"/>
      <c r="J731" s="307"/>
      <c r="L731" s="617"/>
      <c r="M731" s="617"/>
      <c r="N731" s="617"/>
      <c r="O731" s="617"/>
      <c r="P731" s="617"/>
      <c r="Q731" s="617"/>
      <c r="R731" s="617"/>
      <c r="S731" s="617"/>
    </row>
    <row r="732">
      <c r="B732" s="371"/>
      <c r="C732" s="307"/>
      <c r="D732" s="307"/>
      <c r="E732" s="307"/>
      <c r="F732" s="307"/>
      <c r="G732" s="307"/>
      <c r="H732" s="307"/>
      <c r="I732" s="307"/>
      <c r="J732" s="307"/>
      <c r="L732" s="617"/>
      <c r="M732" s="617"/>
      <c r="N732" s="617"/>
      <c r="O732" s="617"/>
      <c r="P732" s="617"/>
      <c r="Q732" s="617"/>
      <c r="R732" s="617"/>
      <c r="S732" s="617"/>
    </row>
    <row r="733">
      <c r="B733" s="371"/>
      <c r="C733" s="307"/>
      <c r="D733" s="307"/>
      <c r="E733" s="307"/>
      <c r="F733" s="307"/>
      <c r="G733" s="307"/>
      <c r="H733" s="307"/>
      <c r="I733" s="307"/>
      <c r="J733" s="307"/>
      <c r="L733" s="617"/>
      <c r="M733" s="617"/>
      <c r="N733" s="617"/>
      <c r="O733" s="617"/>
      <c r="P733" s="617"/>
      <c r="Q733" s="617"/>
      <c r="R733" s="617"/>
      <c r="S733" s="617"/>
    </row>
    <row r="734">
      <c r="B734" s="371"/>
      <c r="C734" s="307"/>
      <c r="D734" s="307"/>
      <c r="E734" s="307"/>
      <c r="F734" s="307"/>
      <c r="G734" s="307"/>
      <c r="H734" s="307"/>
      <c r="I734" s="307"/>
      <c r="J734" s="307"/>
      <c r="L734" s="617"/>
      <c r="M734" s="617"/>
      <c r="N734" s="617"/>
      <c r="O734" s="617"/>
      <c r="P734" s="617"/>
      <c r="Q734" s="617"/>
      <c r="R734" s="617"/>
      <c r="S734" s="617"/>
    </row>
    <row r="735">
      <c r="B735" s="371"/>
      <c r="C735" s="307"/>
      <c r="D735" s="307"/>
      <c r="E735" s="307"/>
      <c r="F735" s="307"/>
      <c r="G735" s="307"/>
      <c r="H735" s="307"/>
      <c r="I735" s="307"/>
      <c r="J735" s="307"/>
      <c r="L735" s="617"/>
      <c r="M735" s="617"/>
      <c r="N735" s="617"/>
      <c r="O735" s="617"/>
      <c r="P735" s="617"/>
      <c r="Q735" s="617"/>
      <c r="R735" s="617"/>
      <c r="S735" s="617"/>
    </row>
    <row r="736">
      <c r="B736" s="371"/>
      <c r="C736" s="307"/>
      <c r="D736" s="307"/>
      <c r="E736" s="307"/>
      <c r="F736" s="307"/>
      <c r="G736" s="307"/>
      <c r="H736" s="307"/>
      <c r="I736" s="307"/>
      <c r="J736" s="307"/>
      <c r="L736" s="617"/>
      <c r="M736" s="617"/>
      <c r="N736" s="617"/>
      <c r="O736" s="617"/>
      <c r="P736" s="617"/>
      <c r="Q736" s="617"/>
      <c r="R736" s="617"/>
      <c r="S736" s="617"/>
    </row>
    <row r="737">
      <c r="B737" s="371"/>
      <c r="C737" s="307"/>
      <c r="D737" s="307"/>
      <c r="E737" s="307"/>
      <c r="F737" s="307"/>
      <c r="G737" s="307"/>
      <c r="H737" s="307"/>
      <c r="I737" s="307"/>
      <c r="J737" s="307"/>
      <c r="L737" s="617"/>
      <c r="M737" s="617"/>
      <c r="N737" s="617"/>
      <c r="O737" s="617"/>
      <c r="P737" s="617"/>
      <c r="Q737" s="617"/>
      <c r="R737" s="617"/>
      <c r="S737" s="617"/>
    </row>
    <row r="738">
      <c r="B738" s="371"/>
      <c r="C738" s="307"/>
      <c r="D738" s="307"/>
      <c r="E738" s="307"/>
      <c r="F738" s="307"/>
      <c r="G738" s="307"/>
      <c r="H738" s="307"/>
      <c r="I738" s="307"/>
      <c r="J738" s="307"/>
      <c r="L738" s="617"/>
      <c r="M738" s="617"/>
      <c r="N738" s="617"/>
      <c r="O738" s="617"/>
      <c r="P738" s="617"/>
      <c r="Q738" s="617"/>
      <c r="R738" s="617"/>
      <c r="S738" s="617"/>
    </row>
    <row r="739">
      <c r="B739" s="371"/>
      <c r="C739" s="307"/>
      <c r="D739" s="307"/>
      <c r="E739" s="307"/>
      <c r="F739" s="307"/>
      <c r="G739" s="307"/>
      <c r="H739" s="307"/>
      <c r="I739" s="307"/>
      <c r="J739" s="307"/>
      <c r="L739" s="617"/>
      <c r="M739" s="617"/>
      <c r="N739" s="617"/>
      <c r="O739" s="617"/>
      <c r="P739" s="617"/>
      <c r="Q739" s="617"/>
      <c r="R739" s="617"/>
      <c r="S739" s="617"/>
    </row>
    <row r="740">
      <c r="B740" s="371"/>
      <c r="C740" s="307"/>
      <c r="D740" s="307"/>
      <c r="E740" s="307"/>
      <c r="F740" s="307"/>
      <c r="G740" s="307"/>
      <c r="H740" s="307"/>
      <c r="I740" s="307"/>
      <c r="J740" s="307"/>
      <c r="L740" s="617"/>
      <c r="M740" s="617"/>
      <c r="N740" s="617"/>
      <c r="O740" s="617"/>
      <c r="P740" s="617"/>
      <c r="Q740" s="617"/>
      <c r="R740" s="617"/>
      <c r="S740" s="617"/>
    </row>
    <row r="741">
      <c r="B741" s="371"/>
      <c r="C741" s="307"/>
      <c r="D741" s="307"/>
      <c r="E741" s="307"/>
      <c r="F741" s="307"/>
      <c r="G741" s="307"/>
      <c r="H741" s="307"/>
      <c r="I741" s="307"/>
      <c r="J741" s="307"/>
      <c r="L741" s="617"/>
      <c r="M741" s="617"/>
      <c r="N741" s="617"/>
      <c r="O741" s="617"/>
      <c r="P741" s="617"/>
      <c r="Q741" s="617"/>
      <c r="R741" s="617"/>
      <c r="S741" s="617"/>
    </row>
    <row r="742">
      <c r="B742" s="371"/>
      <c r="C742" s="307"/>
      <c r="D742" s="307"/>
      <c r="E742" s="307"/>
      <c r="F742" s="307"/>
      <c r="G742" s="307"/>
      <c r="H742" s="307"/>
      <c r="I742" s="307"/>
      <c r="J742" s="307"/>
      <c r="L742" s="617"/>
      <c r="M742" s="617"/>
      <c r="N742" s="617"/>
      <c r="O742" s="617"/>
      <c r="P742" s="617"/>
      <c r="Q742" s="617"/>
      <c r="R742" s="617"/>
      <c r="S742" s="617"/>
    </row>
    <row r="743">
      <c r="B743" s="371"/>
      <c r="C743" s="307"/>
      <c r="D743" s="307"/>
      <c r="E743" s="307"/>
      <c r="F743" s="307"/>
      <c r="G743" s="307"/>
      <c r="H743" s="307"/>
      <c r="I743" s="307"/>
      <c r="J743" s="307"/>
      <c r="L743" s="617"/>
      <c r="M743" s="617"/>
      <c r="N743" s="617"/>
      <c r="O743" s="617"/>
      <c r="P743" s="617"/>
      <c r="Q743" s="617"/>
      <c r="R743" s="617"/>
      <c r="S743" s="617"/>
    </row>
    <row r="744">
      <c r="B744" s="371"/>
      <c r="C744" s="307"/>
      <c r="D744" s="307"/>
      <c r="E744" s="307"/>
      <c r="F744" s="307"/>
      <c r="G744" s="307"/>
      <c r="H744" s="307"/>
      <c r="I744" s="307"/>
      <c r="J744" s="307"/>
      <c r="L744" s="617"/>
      <c r="M744" s="617"/>
      <c r="N744" s="617"/>
      <c r="O744" s="617"/>
      <c r="P744" s="617"/>
      <c r="Q744" s="617"/>
      <c r="R744" s="617"/>
      <c r="S744" s="617"/>
    </row>
    <row r="745">
      <c r="B745" s="371"/>
      <c r="C745" s="307"/>
      <c r="D745" s="307"/>
      <c r="E745" s="307"/>
      <c r="F745" s="307"/>
      <c r="G745" s="307"/>
      <c r="H745" s="307"/>
      <c r="I745" s="307"/>
      <c r="J745" s="307"/>
      <c r="L745" s="617"/>
      <c r="M745" s="617"/>
      <c r="N745" s="617"/>
      <c r="O745" s="617"/>
      <c r="P745" s="617"/>
      <c r="Q745" s="617"/>
      <c r="R745" s="617"/>
      <c r="S745" s="617"/>
    </row>
    <row r="746">
      <c r="B746" s="371"/>
      <c r="C746" s="307"/>
      <c r="D746" s="307"/>
      <c r="E746" s="307"/>
      <c r="F746" s="307"/>
      <c r="G746" s="307"/>
      <c r="H746" s="307"/>
      <c r="I746" s="307"/>
      <c r="J746" s="307"/>
      <c r="L746" s="617"/>
      <c r="M746" s="617"/>
      <c r="N746" s="617"/>
      <c r="O746" s="617"/>
      <c r="P746" s="617"/>
      <c r="Q746" s="617"/>
      <c r="R746" s="617"/>
      <c r="S746" s="617"/>
    </row>
    <row r="747">
      <c r="B747" s="371"/>
      <c r="C747" s="307"/>
      <c r="D747" s="307"/>
      <c r="E747" s="307"/>
      <c r="F747" s="307"/>
      <c r="G747" s="307"/>
      <c r="H747" s="307"/>
      <c r="I747" s="307"/>
      <c r="J747" s="307"/>
      <c r="L747" s="617"/>
      <c r="M747" s="617"/>
      <c r="N747" s="617"/>
      <c r="O747" s="617"/>
      <c r="P747" s="617"/>
      <c r="Q747" s="617"/>
      <c r="R747" s="617"/>
      <c r="S747" s="617"/>
    </row>
    <row r="748">
      <c r="B748" s="371"/>
      <c r="C748" s="307"/>
      <c r="D748" s="307"/>
      <c r="E748" s="307"/>
      <c r="F748" s="307"/>
      <c r="G748" s="307"/>
      <c r="H748" s="307"/>
      <c r="I748" s="307"/>
      <c r="J748" s="307"/>
      <c r="L748" s="617"/>
      <c r="M748" s="617"/>
      <c r="N748" s="617"/>
      <c r="O748" s="617"/>
      <c r="P748" s="617"/>
      <c r="Q748" s="617"/>
      <c r="R748" s="617"/>
      <c r="S748" s="617"/>
    </row>
    <row r="749">
      <c r="B749" s="371"/>
      <c r="C749" s="307"/>
      <c r="D749" s="307"/>
      <c r="E749" s="307"/>
      <c r="F749" s="307"/>
      <c r="G749" s="307"/>
      <c r="H749" s="307"/>
      <c r="I749" s="307"/>
      <c r="J749" s="307"/>
      <c r="L749" s="617"/>
      <c r="M749" s="617"/>
      <c r="N749" s="617"/>
      <c r="O749" s="617"/>
      <c r="P749" s="617"/>
      <c r="Q749" s="617"/>
      <c r="R749" s="617"/>
      <c r="S749" s="617"/>
    </row>
    <row r="750">
      <c r="B750" s="371"/>
      <c r="C750" s="307"/>
      <c r="D750" s="307"/>
      <c r="E750" s="307"/>
      <c r="F750" s="307"/>
      <c r="G750" s="307"/>
      <c r="H750" s="307"/>
      <c r="I750" s="307"/>
      <c r="J750" s="307"/>
      <c r="L750" s="617"/>
      <c r="M750" s="617"/>
      <c r="N750" s="617"/>
      <c r="O750" s="617"/>
      <c r="P750" s="617"/>
      <c r="Q750" s="617"/>
      <c r="R750" s="617"/>
      <c r="S750" s="617"/>
    </row>
    <row r="751">
      <c r="B751" s="371"/>
      <c r="C751" s="307"/>
      <c r="D751" s="307"/>
      <c r="E751" s="307"/>
      <c r="F751" s="307"/>
      <c r="G751" s="307"/>
      <c r="H751" s="307"/>
      <c r="I751" s="307"/>
      <c r="J751" s="307"/>
      <c r="L751" s="617"/>
      <c r="M751" s="617"/>
      <c r="N751" s="617"/>
      <c r="O751" s="617"/>
      <c r="P751" s="617"/>
      <c r="Q751" s="617"/>
      <c r="R751" s="617"/>
      <c r="S751" s="617"/>
    </row>
    <row r="752">
      <c r="B752" s="371"/>
      <c r="C752" s="307"/>
      <c r="D752" s="307"/>
      <c r="E752" s="307"/>
      <c r="F752" s="307"/>
      <c r="G752" s="307"/>
      <c r="H752" s="307"/>
      <c r="I752" s="307"/>
      <c r="J752" s="307"/>
      <c r="L752" s="617"/>
      <c r="M752" s="617"/>
      <c r="N752" s="617"/>
      <c r="O752" s="617"/>
      <c r="P752" s="617"/>
      <c r="Q752" s="617"/>
      <c r="R752" s="617"/>
      <c r="S752" s="617"/>
    </row>
    <row r="753">
      <c r="B753" s="371"/>
      <c r="C753" s="307"/>
      <c r="D753" s="307"/>
      <c r="E753" s="307"/>
      <c r="F753" s="307"/>
      <c r="G753" s="307"/>
      <c r="H753" s="307"/>
      <c r="I753" s="307"/>
      <c r="J753" s="307"/>
      <c r="L753" s="617"/>
      <c r="M753" s="617"/>
      <c r="N753" s="617"/>
      <c r="O753" s="617"/>
      <c r="P753" s="617"/>
      <c r="Q753" s="617"/>
      <c r="R753" s="617"/>
      <c r="S753" s="617"/>
    </row>
    <row r="754">
      <c r="B754" s="371"/>
      <c r="C754" s="307"/>
      <c r="D754" s="307"/>
      <c r="E754" s="307"/>
      <c r="F754" s="307"/>
      <c r="G754" s="307"/>
      <c r="H754" s="307"/>
      <c r="I754" s="307"/>
      <c r="J754" s="307"/>
      <c r="L754" s="617"/>
      <c r="M754" s="617"/>
      <c r="N754" s="617"/>
      <c r="O754" s="617"/>
      <c r="P754" s="617"/>
      <c r="Q754" s="617"/>
      <c r="R754" s="617"/>
      <c r="S754" s="617"/>
    </row>
    <row r="755">
      <c r="B755" s="371"/>
      <c r="C755" s="307"/>
      <c r="D755" s="307"/>
      <c r="E755" s="307"/>
      <c r="F755" s="307"/>
      <c r="G755" s="307"/>
      <c r="H755" s="307"/>
      <c r="I755" s="307"/>
      <c r="J755" s="307"/>
      <c r="L755" s="617"/>
      <c r="M755" s="617"/>
      <c r="N755" s="617"/>
      <c r="O755" s="617"/>
      <c r="P755" s="617"/>
      <c r="Q755" s="617"/>
      <c r="R755" s="617"/>
      <c r="S755" s="617"/>
    </row>
    <row r="756">
      <c r="B756" s="371"/>
      <c r="C756" s="307"/>
      <c r="D756" s="307"/>
      <c r="E756" s="307"/>
      <c r="F756" s="307"/>
      <c r="G756" s="307"/>
      <c r="H756" s="307"/>
      <c r="I756" s="307"/>
      <c r="J756" s="307"/>
      <c r="L756" s="617"/>
      <c r="M756" s="617"/>
      <c r="N756" s="617"/>
      <c r="O756" s="617"/>
      <c r="P756" s="617"/>
      <c r="Q756" s="617"/>
      <c r="R756" s="617"/>
      <c r="S756" s="617"/>
    </row>
    <row r="757">
      <c r="B757" s="371"/>
      <c r="C757" s="307"/>
      <c r="D757" s="307"/>
      <c r="E757" s="307"/>
      <c r="F757" s="307"/>
      <c r="G757" s="307"/>
      <c r="H757" s="307"/>
      <c r="I757" s="307"/>
      <c r="J757" s="307"/>
      <c r="L757" s="617"/>
      <c r="M757" s="617"/>
      <c r="N757" s="617"/>
      <c r="O757" s="617"/>
      <c r="P757" s="617"/>
      <c r="Q757" s="617"/>
      <c r="R757" s="617"/>
      <c r="S757" s="617"/>
    </row>
    <row r="758">
      <c r="B758" s="371"/>
      <c r="C758" s="307"/>
      <c r="D758" s="307"/>
      <c r="E758" s="307"/>
      <c r="F758" s="307"/>
      <c r="G758" s="307"/>
      <c r="H758" s="307"/>
      <c r="I758" s="307"/>
      <c r="J758" s="307"/>
      <c r="L758" s="617"/>
      <c r="M758" s="617"/>
      <c r="N758" s="617"/>
      <c r="O758" s="617"/>
      <c r="P758" s="617"/>
      <c r="Q758" s="617"/>
      <c r="R758" s="617"/>
      <c r="S758" s="617"/>
    </row>
    <row r="759">
      <c r="B759" s="371"/>
      <c r="C759" s="307"/>
      <c r="D759" s="307"/>
      <c r="E759" s="307"/>
      <c r="F759" s="307"/>
      <c r="G759" s="307"/>
      <c r="H759" s="307"/>
      <c r="I759" s="307"/>
      <c r="J759" s="307"/>
      <c r="L759" s="617"/>
      <c r="M759" s="617"/>
      <c r="N759" s="617"/>
      <c r="O759" s="617"/>
      <c r="P759" s="617"/>
      <c r="Q759" s="617"/>
      <c r="R759" s="617"/>
      <c r="S759" s="617"/>
    </row>
    <row r="760">
      <c r="B760" s="371"/>
      <c r="C760" s="307"/>
      <c r="D760" s="307"/>
      <c r="E760" s="307"/>
      <c r="F760" s="307"/>
      <c r="G760" s="307"/>
      <c r="H760" s="307"/>
      <c r="I760" s="307"/>
      <c r="J760" s="307"/>
      <c r="L760" s="617"/>
      <c r="M760" s="617"/>
      <c r="N760" s="617"/>
      <c r="O760" s="617"/>
      <c r="P760" s="617"/>
      <c r="Q760" s="617"/>
      <c r="R760" s="617"/>
      <c r="S760" s="617"/>
    </row>
    <row r="761">
      <c r="B761" s="371"/>
      <c r="C761" s="307"/>
      <c r="D761" s="307"/>
      <c r="E761" s="307"/>
      <c r="F761" s="307"/>
      <c r="G761" s="307"/>
      <c r="H761" s="307"/>
      <c r="I761" s="307"/>
      <c r="J761" s="307"/>
      <c r="L761" s="617"/>
      <c r="M761" s="617"/>
      <c r="N761" s="617"/>
      <c r="O761" s="617"/>
      <c r="P761" s="617"/>
      <c r="Q761" s="617"/>
      <c r="R761" s="617"/>
      <c r="S761" s="617"/>
    </row>
    <row r="762">
      <c r="B762" s="371"/>
      <c r="C762" s="307"/>
      <c r="D762" s="307"/>
      <c r="E762" s="307"/>
      <c r="F762" s="307"/>
      <c r="G762" s="307"/>
      <c r="H762" s="307"/>
      <c r="I762" s="307"/>
      <c r="J762" s="307"/>
      <c r="L762" s="617"/>
      <c r="M762" s="617"/>
      <c r="N762" s="617"/>
      <c r="O762" s="617"/>
      <c r="P762" s="617"/>
      <c r="Q762" s="617"/>
      <c r="R762" s="617"/>
      <c r="S762" s="617"/>
    </row>
    <row r="763">
      <c r="B763" s="371"/>
      <c r="C763" s="307"/>
      <c r="D763" s="307"/>
      <c r="E763" s="307"/>
      <c r="F763" s="307"/>
      <c r="G763" s="307"/>
      <c r="H763" s="307"/>
      <c r="I763" s="307"/>
      <c r="J763" s="307"/>
      <c r="L763" s="617"/>
      <c r="M763" s="617"/>
      <c r="N763" s="617"/>
      <c r="O763" s="617"/>
      <c r="P763" s="617"/>
      <c r="Q763" s="617"/>
      <c r="R763" s="617"/>
      <c r="S763" s="617"/>
    </row>
    <row r="764">
      <c r="B764" s="371"/>
      <c r="C764" s="307"/>
      <c r="D764" s="307"/>
      <c r="E764" s="307"/>
      <c r="F764" s="307"/>
      <c r="G764" s="307"/>
      <c r="H764" s="307"/>
      <c r="I764" s="307"/>
      <c r="J764" s="307"/>
      <c r="L764" s="617"/>
      <c r="M764" s="617"/>
      <c r="N764" s="617"/>
      <c r="O764" s="617"/>
      <c r="P764" s="617"/>
      <c r="Q764" s="617"/>
      <c r="R764" s="617"/>
      <c r="S764" s="617"/>
    </row>
    <row r="765">
      <c r="B765" s="371"/>
      <c r="C765" s="307"/>
      <c r="D765" s="307"/>
      <c r="E765" s="307"/>
      <c r="F765" s="307"/>
      <c r="G765" s="307"/>
      <c r="H765" s="307"/>
      <c r="I765" s="307"/>
      <c r="J765" s="307"/>
      <c r="L765" s="617"/>
      <c r="M765" s="617"/>
      <c r="N765" s="617"/>
      <c r="O765" s="617"/>
      <c r="P765" s="617"/>
      <c r="Q765" s="617"/>
      <c r="R765" s="617"/>
      <c r="S765" s="617"/>
    </row>
    <row r="766">
      <c r="B766" s="371"/>
      <c r="C766" s="307"/>
      <c r="D766" s="307"/>
      <c r="E766" s="307"/>
      <c r="F766" s="307"/>
      <c r="G766" s="307"/>
      <c r="H766" s="307"/>
      <c r="I766" s="307"/>
      <c r="J766" s="307"/>
      <c r="L766" s="617"/>
      <c r="M766" s="617"/>
      <c r="N766" s="617"/>
      <c r="O766" s="617"/>
      <c r="P766" s="617"/>
      <c r="Q766" s="617"/>
      <c r="R766" s="617"/>
      <c r="S766" s="617"/>
    </row>
    <row r="767">
      <c r="B767" s="371"/>
      <c r="C767" s="307"/>
      <c r="D767" s="307"/>
      <c r="E767" s="307"/>
      <c r="F767" s="307"/>
      <c r="G767" s="307"/>
      <c r="H767" s="307"/>
      <c r="I767" s="307"/>
      <c r="J767" s="307"/>
      <c r="L767" s="617"/>
      <c r="M767" s="617"/>
      <c r="N767" s="617"/>
      <c r="O767" s="617"/>
      <c r="P767" s="617"/>
      <c r="Q767" s="617"/>
      <c r="R767" s="617"/>
      <c r="S767" s="617"/>
    </row>
    <row r="768">
      <c r="B768" s="371"/>
      <c r="C768" s="307"/>
      <c r="D768" s="307"/>
      <c r="E768" s="307"/>
      <c r="F768" s="307"/>
      <c r="G768" s="307"/>
      <c r="H768" s="307"/>
      <c r="I768" s="307"/>
      <c r="J768" s="307"/>
      <c r="L768" s="617"/>
      <c r="M768" s="617"/>
      <c r="N768" s="617"/>
      <c r="O768" s="617"/>
      <c r="P768" s="617"/>
      <c r="Q768" s="617"/>
      <c r="R768" s="617"/>
      <c r="S768" s="617"/>
    </row>
    <row r="769">
      <c r="B769" s="371"/>
      <c r="C769" s="307"/>
      <c r="D769" s="307"/>
      <c r="E769" s="307"/>
      <c r="F769" s="307"/>
      <c r="G769" s="307"/>
      <c r="H769" s="307"/>
      <c r="I769" s="307"/>
      <c r="J769" s="307"/>
      <c r="L769" s="617"/>
      <c r="M769" s="617"/>
      <c r="N769" s="617"/>
      <c r="O769" s="617"/>
      <c r="P769" s="617"/>
      <c r="Q769" s="617"/>
      <c r="R769" s="617"/>
      <c r="S769" s="617"/>
    </row>
    <row r="770">
      <c r="B770" s="371"/>
      <c r="C770" s="307"/>
      <c r="D770" s="307"/>
      <c r="E770" s="307"/>
      <c r="F770" s="307"/>
      <c r="G770" s="307"/>
      <c r="H770" s="307"/>
      <c r="I770" s="307"/>
      <c r="J770" s="307"/>
      <c r="L770" s="617"/>
      <c r="M770" s="617"/>
      <c r="N770" s="617"/>
      <c r="O770" s="617"/>
      <c r="P770" s="617"/>
      <c r="Q770" s="617"/>
      <c r="R770" s="617"/>
      <c r="S770" s="617"/>
    </row>
    <row r="771">
      <c r="B771" s="371"/>
      <c r="C771" s="307"/>
      <c r="D771" s="307"/>
      <c r="E771" s="307"/>
      <c r="F771" s="307"/>
      <c r="G771" s="307"/>
      <c r="H771" s="307"/>
      <c r="I771" s="307"/>
      <c r="J771" s="307"/>
      <c r="L771" s="617"/>
      <c r="M771" s="617"/>
      <c r="N771" s="617"/>
      <c r="O771" s="617"/>
      <c r="P771" s="617"/>
      <c r="Q771" s="617"/>
      <c r="R771" s="617"/>
      <c r="S771" s="617"/>
    </row>
    <row r="772">
      <c r="B772" s="371"/>
      <c r="C772" s="307"/>
      <c r="D772" s="307"/>
      <c r="E772" s="307"/>
      <c r="F772" s="307"/>
      <c r="G772" s="307"/>
      <c r="H772" s="307"/>
      <c r="I772" s="307"/>
      <c r="J772" s="307"/>
      <c r="L772" s="617"/>
      <c r="M772" s="617"/>
      <c r="N772" s="617"/>
      <c r="O772" s="617"/>
      <c r="P772" s="617"/>
      <c r="Q772" s="617"/>
      <c r="R772" s="617"/>
      <c r="S772" s="617"/>
    </row>
    <row r="773">
      <c r="B773" s="371"/>
      <c r="C773" s="307"/>
      <c r="D773" s="307"/>
      <c r="E773" s="307"/>
      <c r="F773" s="307"/>
      <c r="G773" s="307"/>
      <c r="H773" s="307"/>
      <c r="I773" s="307"/>
      <c r="J773" s="307"/>
      <c r="L773" s="617"/>
      <c r="M773" s="617"/>
      <c r="N773" s="617"/>
      <c r="O773" s="617"/>
      <c r="P773" s="617"/>
      <c r="Q773" s="617"/>
      <c r="R773" s="617"/>
      <c r="S773" s="617"/>
    </row>
    <row r="774">
      <c r="B774" s="371"/>
      <c r="C774" s="307"/>
      <c r="D774" s="307"/>
      <c r="E774" s="307"/>
      <c r="F774" s="307"/>
      <c r="G774" s="307"/>
      <c r="H774" s="307"/>
      <c r="I774" s="307"/>
      <c r="J774" s="307"/>
      <c r="L774" s="617"/>
      <c r="M774" s="617"/>
      <c r="N774" s="617"/>
      <c r="O774" s="617"/>
      <c r="P774" s="617"/>
      <c r="Q774" s="617"/>
      <c r="R774" s="617"/>
      <c r="S774" s="617"/>
    </row>
    <row r="775">
      <c r="B775" s="371"/>
      <c r="C775" s="307"/>
      <c r="D775" s="307"/>
      <c r="E775" s="307"/>
      <c r="F775" s="307"/>
      <c r="G775" s="307"/>
      <c r="H775" s="307"/>
      <c r="I775" s="307"/>
      <c r="J775" s="307"/>
      <c r="L775" s="617"/>
      <c r="M775" s="617"/>
      <c r="N775" s="617"/>
      <c r="O775" s="617"/>
      <c r="P775" s="617"/>
      <c r="Q775" s="617"/>
      <c r="R775" s="617"/>
      <c r="S775" s="617"/>
    </row>
    <row r="776">
      <c r="B776" s="371"/>
      <c r="C776" s="307"/>
      <c r="D776" s="307"/>
      <c r="E776" s="307"/>
      <c r="F776" s="307"/>
      <c r="G776" s="307"/>
      <c r="H776" s="307"/>
      <c r="I776" s="307"/>
      <c r="J776" s="307"/>
      <c r="L776" s="617"/>
      <c r="M776" s="617"/>
      <c r="N776" s="617"/>
      <c r="O776" s="617"/>
      <c r="P776" s="617"/>
      <c r="Q776" s="617"/>
      <c r="R776" s="617"/>
      <c r="S776" s="617"/>
    </row>
    <row r="777">
      <c r="B777" s="371"/>
      <c r="C777" s="307"/>
      <c r="D777" s="307"/>
      <c r="E777" s="307"/>
      <c r="F777" s="307"/>
      <c r="G777" s="307"/>
      <c r="H777" s="307"/>
      <c r="I777" s="307"/>
      <c r="J777" s="307"/>
      <c r="L777" s="617"/>
      <c r="M777" s="617"/>
      <c r="N777" s="617"/>
      <c r="O777" s="617"/>
      <c r="P777" s="617"/>
      <c r="Q777" s="617"/>
      <c r="R777" s="617"/>
      <c r="S777" s="617"/>
    </row>
    <row r="778">
      <c r="B778" s="371"/>
      <c r="C778" s="307"/>
      <c r="D778" s="307"/>
      <c r="E778" s="307"/>
      <c r="F778" s="307"/>
      <c r="G778" s="307"/>
      <c r="H778" s="307"/>
      <c r="I778" s="307"/>
      <c r="J778" s="307"/>
      <c r="L778" s="617"/>
      <c r="M778" s="617"/>
      <c r="N778" s="617"/>
      <c r="O778" s="617"/>
      <c r="P778" s="617"/>
      <c r="Q778" s="617"/>
      <c r="R778" s="617"/>
      <c r="S778" s="617"/>
    </row>
    <row r="779">
      <c r="B779" s="371"/>
      <c r="C779" s="307"/>
      <c r="D779" s="307"/>
      <c r="E779" s="307"/>
      <c r="F779" s="307"/>
      <c r="G779" s="307"/>
      <c r="H779" s="307"/>
      <c r="I779" s="307"/>
      <c r="J779" s="307"/>
      <c r="L779" s="617"/>
      <c r="M779" s="617"/>
      <c r="N779" s="617"/>
      <c r="O779" s="617"/>
      <c r="P779" s="617"/>
      <c r="Q779" s="617"/>
      <c r="R779" s="617"/>
      <c r="S779" s="617"/>
    </row>
    <row r="780">
      <c r="B780" s="371"/>
      <c r="C780" s="307"/>
      <c r="D780" s="307"/>
      <c r="E780" s="307"/>
      <c r="F780" s="307"/>
      <c r="G780" s="307"/>
      <c r="H780" s="307"/>
      <c r="I780" s="307"/>
      <c r="J780" s="307"/>
      <c r="L780" s="617"/>
      <c r="M780" s="617"/>
      <c r="N780" s="617"/>
      <c r="O780" s="617"/>
      <c r="P780" s="617"/>
      <c r="Q780" s="617"/>
      <c r="R780" s="617"/>
      <c r="S780" s="617"/>
    </row>
    <row r="781">
      <c r="B781" s="371"/>
      <c r="C781" s="307"/>
      <c r="D781" s="307"/>
      <c r="E781" s="307"/>
      <c r="F781" s="307"/>
      <c r="G781" s="307"/>
      <c r="H781" s="307"/>
      <c r="I781" s="307"/>
      <c r="J781" s="307"/>
      <c r="L781" s="617"/>
      <c r="M781" s="617"/>
      <c r="N781" s="617"/>
      <c r="O781" s="617"/>
      <c r="P781" s="617"/>
      <c r="Q781" s="617"/>
      <c r="R781" s="617"/>
      <c r="S781" s="617"/>
    </row>
    <row r="782">
      <c r="B782" s="371"/>
      <c r="C782" s="307"/>
      <c r="D782" s="307"/>
      <c r="E782" s="307"/>
      <c r="F782" s="307"/>
      <c r="G782" s="307"/>
      <c r="H782" s="307"/>
      <c r="I782" s="307"/>
      <c r="J782" s="307"/>
      <c r="L782" s="617"/>
      <c r="M782" s="617"/>
      <c r="N782" s="617"/>
      <c r="O782" s="617"/>
      <c r="P782" s="617"/>
      <c r="Q782" s="617"/>
      <c r="R782" s="617"/>
      <c r="S782" s="617"/>
    </row>
    <row r="783">
      <c r="B783" s="371"/>
      <c r="C783" s="307"/>
      <c r="D783" s="307"/>
      <c r="E783" s="307"/>
      <c r="F783" s="307"/>
      <c r="G783" s="307"/>
      <c r="H783" s="307"/>
      <c r="I783" s="307"/>
      <c r="J783" s="307"/>
      <c r="L783" s="617"/>
      <c r="M783" s="617"/>
      <c r="N783" s="617"/>
      <c r="O783" s="617"/>
      <c r="P783" s="617"/>
      <c r="Q783" s="617"/>
      <c r="R783" s="617"/>
      <c r="S783" s="617"/>
    </row>
    <row r="784">
      <c r="B784" s="371"/>
      <c r="C784" s="307"/>
      <c r="D784" s="307"/>
      <c r="E784" s="307"/>
      <c r="F784" s="307"/>
      <c r="G784" s="307"/>
      <c r="H784" s="307"/>
      <c r="I784" s="307"/>
      <c r="J784" s="307"/>
      <c r="L784" s="617"/>
      <c r="M784" s="617"/>
      <c r="N784" s="617"/>
      <c r="O784" s="617"/>
      <c r="P784" s="617"/>
      <c r="Q784" s="617"/>
      <c r="R784" s="617"/>
      <c r="S784" s="617"/>
    </row>
    <row r="785">
      <c r="B785" s="371"/>
      <c r="C785" s="307"/>
      <c r="D785" s="307"/>
      <c r="E785" s="307"/>
      <c r="F785" s="307"/>
      <c r="G785" s="307"/>
      <c r="H785" s="307"/>
      <c r="I785" s="307"/>
      <c r="J785" s="307"/>
      <c r="L785" s="617"/>
      <c r="M785" s="617"/>
      <c r="N785" s="617"/>
      <c r="O785" s="617"/>
      <c r="P785" s="617"/>
      <c r="Q785" s="617"/>
      <c r="R785" s="617"/>
      <c r="S785" s="617"/>
    </row>
    <row r="786">
      <c r="B786" s="371"/>
      <c r="C786" s="307"/>
      <c r="D786" s="307"/>
      <c r="E786" s="307"/>
      <c r="F786" s="307"/>
      <c r="G786" s="307"/>
      <c r="H786" s="307"/>
      <c r="I786" s="307"/>
      <c r="J786" s="307"/>
      <c r="L786" s="617"/>
      <c r="M786" s="617"/>
      <c r="N786" s="617"/>
      <c r="O786" s="617"/>
      <c r="P786" s="617"/>
      <c r="Q786" s="617"/>
      <c r="R786" s="617"/>
      <c r="S786" s="617"/>
    </row>
    <row r="787">
      <c r="B787" s="371"/>
      <c r="C787" s="307"/>
      <c r="D787" s="307"/>
      <c r="E787" s="307"/>
      <c r="F787" s="307"/>
      <c r="G787" s="307"/>
      <c r="H787" s="307"/>
      <c r="I787" s="307"/>
      <c r="J787" s="307"/>
      <c r="L787" s="617"/>
      <c r="M787" s="617"/>
      <c r="N787" s="617"/>
      <c r="O787" s="617"/>
      <c r="P787" s="617"/>
      <c r="Q787" s="617"/>
      <c r="R787" s="617"/>
      <c r="S787" s="617"/>
    </row>
    <row r="788">
      <c r="B788" s="371"/>
      <c r="C788" s="307"/>
      <c r="D788" s="307"/>
      <c r="E788" s="307"/>
      <c r="F788" s="307"/>
      <c r="G788" s="307"/>
      <c r="H788" s="307"/>
      <c r="I788" s="307"/>
      <c r="J788" s="307"/>
      <c r="L788" s="617"/>
      <c r="M788" s="617"/>
      <c r="N788" s="617"/>
      <c r="O788" s="617"/>
      <c r="P788" s="617"/>
      <c r="Q788" s="617"/>
      <c r="R788" s="617"/>
      <c r="S788" s="617"/>
    </row>
    <row r="789">
      <c r="B789" s="371"/>
      <c r="C789" s="307"/>
      <c r="D789" s="307"/>
      <c r="E789" s="307"/>
      <c r="F789" s="307"/>
      <c r="G789" s="307"/>
      <c r="H789" s="307"/>
      <c r="I789" s="307"/>
      <c r="J789" s="307"/>
      <c r="L789" s="617"/>
      <c r="M789" s="617"/>
      <c r="N789" s="617"/>
      <c r="O789" s="617"/>
      <c r="P789" s="617"/>
      <c r="Q789" s="617"/>
      <c r="R789" s="617"/>
      <c r="S789" s="617"/>
    </row>
    <row r="790">
      <c r="B790" s="371"/>
      <c r="C790" s="307"/>
      <c r="D790" s="307"/>
      <c r="E790" s="307"/>
      <c r="F790" s="307"/>
      <c r="G790" s="307"/>
      <c r="H790" s="307"/>
      <c r="I790" s="307"/>
      <c r="J790" s="307"/>
      <c r="L790" s="617"/>
      <c r="M790" s="617"/>
      <c r="N790" s="617"/>
      <c r="O790" s="617"/>
      <c r="P790" s="617"/>
      <c r="Q790" s="617"/>
      <c r="R790" s="617"/>
      <c r="S790" s="617"/>
    </row>
    <row r="791">
      <c r="B791" s="371"/>
      <c r="C791" s="307"/>
      <c r="D791" s="307"/>
      <c r="E791" s="307"/>
      <c r="F791" s="307"/>
      <c r="G791" s="307"/>
      <c r="H791" s="307"/>
      <c r="I791" s="307"/>
      <c r="J791" s="307"/>
      <c r="L791" s="617"/>
      <c r="M791" s="617"/>
      <c r="N791" s="617"/>
      <c r="O791" s="617"/>
      <c r="P791" s="617"/>
      <c r="Q791" s="617"/>
      <c r="R791" s="617"/>
      <c r="S791" s="617"/>
    </row>
    <row r="792">
      <c r="B792" s="371"/>
      <c r="C792" s="307"/>
      <c r="D792" s="307"/>
      <c r="E792" s="307"/>
      <c r="F792" s="307"/>
      <c r="G792" s="307"/>
      <c r="H792" s="307"/>
      <c r="I792" s="307"/>
      <c r="J792" s="307"/>
      <c r="L792" s="617"/>
      <c r="M792" s="617"/>
      <c r="N792" s="617"/>
      <c r="O792" s="617"/>
      <c r="P792" s="617"/>
      <c r="Q792" s="617"/>
      <c r="R792" s="617"/>
      <c r="S792" s="617"/>
    </row>
    <row r="793">
      <c r="B793" s="371"/>
      <c r="C793" s="307"/>
      <c r="D793" s="307"/>
      <c r="E793" s="307"/>
      <c r="F793" s="307"/>
      <c r="G793" s="307"/>
      <c r="H793" s="307"/>
      <c r="I793" s="307"/>
      <c r="J793" s="307"/>
      <c r="L793" s="617"/>
      <c r="M793" s="617"/>
      <c r="N793" s="617"/>
      <c r="O793" s="617"/>
      <c r="P793" s="617"/>
      <c r="Q793" s="617"/>
      <c r="R793" s="617"/>
      <c r="S793" s="617"/>
    </row>
    <row r="794">
      <c r="B794" s="371"/>
      <c r="C794" s="307"/>
      <c r="D794" s="307"/>
      <c r="E794" s="307"/>
      <c r="F794" s="307"/>
      <c r="G794" s="307"/>
      <c r="H794" s="307"/>
      <c r="I794" s="307"/>
      <c r="J794" s="307"/>
      <c r="L794" s="617"/>
      <c r="M794" s="617"/>
      <c r="N794" s="617"/>
      <c r="O794" s="617"/>
      <c r="P794" s="617"/>
      <c r="Q794" s="617"/>
      <c r="R794" s="617"/>
      <c r="S794" s="617"/>
    </row>
    <row r="795">
      <c r="B795" s="371"/>
      <c r="C795" s="307"/>
      <c r="D795" s="307"/>
      <c r="E795" s="307"/>
      <c r="F795" s="307"/>
      <c r="G795" s="307"/>
      <c r="H795" s="307"/>
      <c r="I795" s="307"/>
      <c r="J795" s="307"/>
      <c r="L795" s="617"/>
      <c r="M795" s="617"/>
      <c r="N795" s="617"/>
      <c r="O795" s="617"/>
      <c r="P795" s="617"/>
      <c r="Q795" s="617"/>
      <c r="R795" s="617"/>
      <c r="S795" s="617"/>
    </row>
    <row r="796">
      <c r="B796" s="371"/>
      <c r="C796" s="307"/>
      <c r="D796" s="307"/>
      <c r="E796" s="307"/>
      <c r="F796" s="307"/>
      <c r="G796" s="307"/>
      <c r="H796" s="307"/>
      <c r="I796" s="307"/>
      <c r="J796" s="307"/>
      <c r="L796" s="617"/>
      <c r="M796" s="617"/>
      <c r="N796" s="617"/>
      <c r="O796" s="617"/>
      <c r="P796" s="617"/>
      <c r="Q796" s="617"/>
      <c r="R796" s="617"/>
      <c r="S796" s="617"/>
    </row>
    <row r="797">
      <c r="B797" s="371"/>
      <c r="C797" s="307"/>
      <c r="D797" s="307"/>
      <c r="E797" s="307"/>
      <c r="F797" s="307"/>
      <c r="G797" s="307"/>
      <c r="H797" s="307"/>
      <c r="I797" s="307"/>
      <c r="J797" s="307"/>
      <c r="L797" s="617"/>
      <c r="M797" s="617"/>
      <c r="N797" s="617"/>
      <c r="O797" s="617"/>
      <c r="P797" s="617"/>
      <c r="Q797" s="617"/>
      <c r="R797" s="617"/>
      <c r="S797" s="617"/>
    </row>
    <row r="798">
      <c r="B798" s="371"/>
      <c r="C798" s="307"/>
      <c r="D798" s="307"/>
      <c r="E798" s="307"/>
      <c r="F798" s="307"/>
      <c r="G798" s="307"/>
      <c r="H798" s="307"/>
      <c r="I798" s="307"/>
      <c r="J798" s="307"/>
      <c r="L798" s="617"/>
      <c r="M798" s="617"/>
      <c r="N798" s="617"/>
      <c r="O798" s="617"/>
      <c r="P798" s="617"/>
      <c r="Q798" s="617"/>
      <c r="R798" s="617"/>
      <c r="S798" s="617"/>
    </row>
    <row r="799">
      <c r="B799" s="371"/>
      <c r="C799" s="307"/>
      <c r="D799" s="307"/>
      <c r="E799" s="307"/>
      <c r="F799" s="307"/>
      <c r="G799" s="307"/>
      <c r="H799" s="307"/>
      <c r="I799" s="307"/>
      <c r="J799" s="307"/>
      <c r="L799" s="617"/>
      <c r="M799" s="617"/>
      <c r="N799" s="617"/>
      <c r="O799" s="617"/>
      <c r="P799" s="617"/>
      <c r="Q799" s="617"/>
      <c r="R799" s="617"/>
      <c r="S799" s="617"/>
    </row>
    <row r="800">
      <c r="B800" s="371"/>
      <c r="C800" s="307"/>
      <c r="D800" s="307"/>
      <c r="E800" s="307"/>
      <c r="F800" s="307"/>
      <c r="G800" s="307"/>
      <c r="H800" s="307"/>
      <c r="I800" s="307"/>
      <c r="J800" s="307"/>
      <c r="L800" s="617"/>
      <c r="M800" s="617"/>
      <c r="N800" s="617"/>
      <c r="O800" s="617"/>
      <c r="P800" s="617"/>
      <c r="Q800" s="617"/>
      <c r="R800" s="617"/>
      <c r="S800" s="617"/>
    </row>
    <row r="801">
      <c r="B801" s="371"/>
      <c r="C801" s="307"/>
      <c r="D801" s="307"/>
      <c r="E801" s="307"/>
      <c r="F801" s="307"/>
      <c r="G801" s="307"/>
      <c r="H801" s="307"/>
      <c r="I801" s="307"/>
      <c r="J801" s="307"/>
      <c r="L801" s="617"/>
      <c r="M801" s="617"/>
      <c r="N801" s="617"/>
      <c r="O801" s="617"/>
      <c r="P801" s="617"/>
      <c r="Q801" s="617"/>
      <c r="R801" s="617"/>
      <c r="S801" s="617"/>
    </row>
    <row r="802">
      <c r="B802" s="371"/>
      <c r="C802" s="307"/>
      <c r="D802" s="307"/>
      <c r="E802" s="307"/>
      <c r="F802" s="307"/>
      <c r="G802" s="307"/>
      <c r="H802" s="307"/>
      <c r="I802" s="307"/>
      <c r="J802" s="307"/>
      <c r="L802" s="617"/>
      <c r="M802" s="617"/>
      <c r="N802" s="617"/>
      <c r="O802" s="617"/>
      <c r="P802" s="617"/>
      <c r="Q802" s="617"/>
      <c r="R802" s="617"/>
      <c r="S802" s="617"/>
    </row>
    <row r="803">
      <c r="B803" s="371"/>
      <c r="C803" s="307"/>
      <c r="D803" s="307"/>
      <c r="E803" s="307"/>
      <c r="F803" s="307"/>
      <c r="G803" s="307"/>
      <c r="H803" s="307"/>
      <c r="I803" s="307"/>
      <c r="J803" s="307"/>
      <c r="L803" s="617"/>
      <c r="M803" s="617"/>
      <c r="N803" s="617"/>
      <c r="O803" s="617"/>
      <c r="P803" s="617"/>
      <c r="Q803" s="617"/>
      <c r="R803" s="617"/>
      <c r="S803" s="617"/>
    </row>
    <row r="804">
      <c r="B804" s="371"/>
      <c r="C804" s="307"/>
      <c r="D804" s="307"/>
      <c r="E804" s="307"/>
      <c r="F804" s="307"/>
      <c r="G804" s="307"/>
      <c r="H804" s="307"/>
      <c r="I804" s="307"/>
      <c r="J804" s="307"/>
      <c r="L804" s="617"/>
      <c r="M804" s="617"/>
      <c r="N804" s="617"/>
      <c r="O804" s="617"/>
      <c r="P804" s="617"/>
      <c r="Q804" s="617"/>
      <c r="R804" s="617"/>
      <c r="S804" s="617"/>
    </row>
    <row r="805">
      <c r="B805" s="371"/>
      <c r="C805" s="307"/>
      <c r="D805" s="307"/>
      <c r="E805" s="307"/>
      <c r="F805" s="307"/>
      <c r="G805" s="307"/>
      <c r="H805" s="307"/>
      <c r="I805" s="307"/>
      <c r="J805" s="307"/>
      <c r="L805" s="617"/>
      <c r="M805" s="617"/>
      <c r="N805" s="617"/>
      <c r="O805" s="617"/>
      <c r="P805" s="617"/>
      <c r="Q805" s="617"/>
      <c r="R805" s="617"/>
      <c r="S805" s="617"/>
    </row>
    <row r="806">
      <c r="B806" s="371"/>
      <c r="C806" s="307"/>
      <c r="D806" s="307"/>
      <c r="E806" s="307"/>
      <c r="F806" s="307"/>
      <c r="G806" s="307"/>
      <c r="H806" s="307"/>
      <c r="I806" s="307"/>
      <c r="J806" s="307"/>
      <c r="L806" s="617"/>
      <c r="M806" s="617"/>
      <c r="N806" s="617"/>
      <c r="O806" s="617"/>
      <c r="P806" s="617"/>
      <c r="Q806" s="617"/>
      <c r="R806" s="617"/>
      <c r="S806" s="617"/>
    </row>
    <row r="807">
      <c r="B807" s="371"/>
      <c r="C807" s="307"/>
      <c r="D807" s="307"/>
      <c r="E807" s="307"/>
      <c r="F807" s="307"/>
      <c r="G807" s="307"/>
      <c r="H807" s="307"/>
      <c r="I807" s="307"/>
      <c r="J807" s="307"/>
      <c r="L807" s="617"/>
      <c r="M807" s="617"/>
      <c r="N807" s="617"/>
      <c r="O807" s="617"/>
      <c r="P807" s="617"/>
      <c r="Q807" s="617"/>
      <c r="R807" s="617"/>
      <c r="S807" s="617"/>
    </row>
    <row r="808">
      <c r="B808" s="371"/>
      <c r="C808" s="307"/>
      <c r="D808" s="307"/>
      <c r="E808" s="307"/>
      <c r="F808" s="307"/>
      <c r="G808" s="307"/>
      <c r="H808" s="307"/>
      <c r="I808" s="307"/>
      <c r="J808" s="307"/>
      <c r="L808" s="617"/>
      <c r="M808" s="617"/>
      <c r="N808" s="617"/>
      <c r="O808" s="617"/>
      <c r="P808" s="617"/>
      <c r="Q808" s="617"/>
      <c r="R808" s="617"/>
      <c r="S808" s="617"/>
    </row>
    <row r="809">
      <c r="B809" s="371"/>
      <c r="C809" s="307"/>
      <c r="D809" s="307"/>
      <c r="E809" s="307"/>
      <c r="F809" s="307"/>
      <c r="G809" s="307"/>
      <c r="H809" s="307"/>
      <c r="I809" s="307"/>
      <c r="J809" s="307"/>
      <c r="L809" s="617"/>
      <c r="M809" s="617"/>
      <c r="N809" s="617"/>
      <c r="O809" s="617"/>
      <c r="P809" s="617"/>
      <c r="Q809" s="617"/>
      <c r="R809" s="617"/>
      <c r="S809" s="617"/>
    </row>
    <row r="810">
      <c r="B810" s="371"/>
      <c r="C810" s="307"/>
      <c r="D810" s="307"/>
      <c r="E810" s="307"/>
      <c r="F810" s="307"/>
      <c r="G810" s="307"/>
      <c r="H810" s="307"/>
      <c r="I810" s="307"/>
      <c r="J810" s="307"/>
      <c r="L810" s="617"/>
      <c r="M810" s="617"/>
      <c r="N810" s="617"/>
      <c r="O810" s="617"/>
      <c r="P810" s="617"/>
      <c r="Q810" s="617"/>
      <c r="R810" s="617"/>
      <c r="S810" s="617"/>
    </row>
    <row r="811">
      <c r="B811" s="371"/>
      <c r="C811" s="307"/>
      <c r="D811" s="307"/>
      <c r="E811" s="307"/>
      <c r="F811" s="307"/>
      <c r="G811" s="307"/>
      <c r="H811" s="307"/>
      <c r="I811" s="307"/>
      <c r="J811" s="307"/>
      <c r="L811" s="617"/>
      <c r="M811" s="617"/>
      <c r="N811" s="617"/>
      <c r="O811" s="617"/>
      <c r="P811" s="617"/>
      <c r="Q811" s="617"/>
      <c r="R811" s="617"/>
      <c r="S811" s="617"/>
    </row>
    <row r="812">
      <c r="B812" s="371"/>
      <c r="C812" s="307"/>
      <c r="D812" s="307"/>
      <c r="E812" s="307"/>
      <c r="F812" s="307"/>
      <c r="G812" s="307"/>
      <c r="H812" s="307"/>
      <c r="I812" s="307"/>
      <c r="J812" s="307"/>
      <c r="L812" s="617"/>
      <c r="M812" s="617"/>
      <c r="N812" s="617"/>
      <c r="O812" s="617"/>
      <c r="P812" s="617"/>
      <c r="Q812" s="617"/>
      <c r="R812" s="617"/>
      <c r="S812" s="617"/>
    </row>
    <row r="813">
      <c r="B813" s="371"/>
      <c r="C813" s="307"/>
      <c r="D813" s="307"/>
      <c r="E813" s="307"/>
      <c r="F813" s="307"/>
      <c r="G813" s="307"/>
      <c r="H813" s="307"/>
      <c r="I813" s="307"/>
      <c r="J813" s="307"/>
      <c r="L813" s="617"/>
      <c r="M813" s="617"/>
      <c r="N813" s="617"/>
      <c r="O813" s="617"/>
      <c r="P813" s="617"/>
      <c r="Q813" s="617"/>
      <c r="R813" s="617"/>
      <c r="S813" s="617"/>
    </row>
    <row r="814">
      <c r="B814" s="371"/>
      <c r="C814" s="307"/>
      <c r="D814" s="307"/>
      <c r="E814" s="307"/>
      <c r="F814" s="307"/>
      <c r="G814" s="307"/>
      <c r="H814" s="307"/>
      <c r="I814" s="307"/>
      <c r="J814" s="307"/>
      <c r="L814" s="617"/>
      <c r="M814" s="617"/>
      <c r="N814" s="617"/>
      <c r="O814" s="617"/>
      <c r="P814" s="617"/>
      <c r="Q814" s="617"/>
      <c r="R814" s="617"/>
      <c r="S814" s="617"/>
    </row>
    <row r="815">
      <c r="B815" s="371"/>
      <c r="C815" s="307"/>
      <c r="D815" s="307"/>
      <c r="E815" s="307"/>
      <c r="F815" s="307"/>
      <c r="G815" s="307"/>
      <c r="H815" s="307"/>
      <c r="I815" s="307"/>
      <c r="J815" s="307"/>
      <c r="L815" s="617"/>
      <c r="M815" s="617"/>
      <c r="N815" s="617"/>
      <c r="O815" s="617"/>
      <c r="P815" s="617"/>
      <c r="Q815" s="617"/>
      <c r="R815" s="617"/>
      <c r="S815" s="617"/>
    </row>
    <row r="816">
      <c r="B816" s="371"/>
      <c r="C816" s="307"/>
      <c r="D816" s="307"/>
      <c r="E816" s="307"/>
      <c r="F816" s="307"/>
      <c r="G816" s="307"/>
      <c r="H816" s="307"/>
      <c r="I816" s="307"/>
      <c r="J816" s="307"/>
      <c r="L816" s="617"/>
      <c r="M816" s="617"/>
      <c r="N816" s="617"/>
      <c r="O816" s="617"/>
      <c r="P816" s="617"/>
      <c r="Q816" s="617"/>
      <c r="R816" s="617"/>
      <c r="S816" s="617"/>
    </row>
    <row r="817">
      <c r="B817" s="371"/>
      <c r="C817" s="307"/>
      <c r="D817" s="307"/>
      <c r="E817" s="307"/>
      <c r="F817" s="307"/>
      <c r="G817" s="307"/>
      <c r="H817" s="307"/>
      <c r="I817" s="307"/>
      <c r="J817" s="307"/>
      <c r="L817" s="617"/>
      <c r="M817" s="617"/>
      <c r="N817" s="617"/>
      <c r="O817" s="617"/>
      <c r="P817" s="617"/>
      <c r="Q817" s="617"/>
      <c r="R817" s="617"/>
      <c r="S817" s="617"/>
    </row>
    <row r="818">
      <c r="B818" s="371"/>
      <c r="C818" s="307"/>
      <c r="D818" s="307"/>
      <c r="E818" s="307"/>
      <c r="F818" s="307"/>
      <c r="G818" s="307"/>
      <c r="H818" s="307"/>
      <c r="I818" s="307"/>
      <c r="J818" s="307"/>
      <c r="L818" s="617"/>
      <c r="M818" s="617"/>
      <c r="N818" s="617"/>
      <c r="O818" s="617"/>
      <c r="P818" s="617"/>
      <c r="Q818" s="617"/>
      <c r="R818" s="617"/>
      <c r="S818" s="617"/>
    </row>
    <row r="819">
      <c r="B819" s="371"/>
      <c r="C819" s="307"/>
      <c r="D819" s="307"/>
      <c r="E819" s="307"/>
      <c r="F819" s="307"/>
      <c r="G819" s="307"/>
      <c r="H819" s="307"/>
      <c r="I819" s="307"/>
      <c r="J819" s="307"/>
      <c r="L819" s="617"/>
      <c r="M819" s="617"/>
      <c r="N819" s="617"/>
      <c r="O819" s="617"/>
      <c r="P819" s="617"/>
      <c r="Q819" s="617"/>
      <c r="R819" s="617"/>
      <c r="S819" s="617"/>
    </row>
    <row r="820">
      <c r="B820" s="371"/>
      <c r="C820" s="307"/>
      <c r="D820" s="307"/>
      <c r="E820" s="307"/>
      <c r="F820" s="307"/>
      <c r="G820" s="307"/>
      <c r="H820" s="307"/>
      <c r="I820" s="307"/>
      <c r="J820" s="307"/>
      <c r="L820" s="617"/>
      <c r="M820" s="617"/>
      <c r="N820" s="617"/>
      <c r="O820" s="617"/>
      <c r="P820" s="617"/>
      <c r="Q820" s="617"/>
      <c r="R820" s="617"/>
      <c r="S820" s="617"/>
    </row>
    <row r="821">
      <c r="B821" s="371"/>
      <c r="C821" s="307"/>
      <c r="D821" s="307"/>
      <c r="E821" s="307"/>
      <c r="F821" s="307"/>
      <c r="G821" s="307"/>
      <c r="H821" s="307"/>
      <c r="I821" s="307"/>
      <c r="J821" s="307"/>
      <c r="L821" s="617"/>
      <c r="M821" s="617"/>
      <c r="N821" s="617"/>
      <c r="O821" s="617"/>
      <c r="P821" s="617"/>
      <c r="Q821" s="617"/>
      <c r="R821" s="617"/>
      <c r="S821" s="617"/>
    </row>
    <row r="822">
      <c r="B822" s="371"/>
      <c r="C822" s="307"/>
      <c r="D822" s="307"/>
      <c r="E822" s="307"/>
      <c r="F822" s="307"/>
      <c r="G822" s="307"/>
      <c r="H822" s="307"/>
      <c r="I822" s="307"/>
      <c r="J822" s="307"/>
      <c r="L822" s="617"/>
      <c r="M822" s="617"/>
      <c r="N822" s="617"/>
      <c r="O822" s="617"/>
      <c r="P822" s="617"/>
      <c r="Q822" s="617"/>
      <c r="R822" s="617"/>
      <c r="S822" s="617"/>
    </row>
    <row r="823">
      <c r="B823" s="371"/>
      <c r="C823" s="307"/>
      <c r="D823" s="307"/>
      <c r="E823" s="307"/>
      <c r="F823" s="307"/>
      <c r="G823" s="307"/>
      <c r="H823" s="307"/>
      <c r="I823" s="307"/>
      <c r="J823" s="307"/>
      <c r="L823" s="617"/>
      <c r="M823" s="617"/>
      <c r="N823" s="617"/>
      <c r="O823" s="617"/>
      <c r="P823" s="617"/>
      <c r="Q823" s="617"/>
      <c r="R823" s="617"/>
      <c r="S823" s="617"/>
    </row>
    <row r="824">
      <c r="B824" s="371"/>
      <c r="C824" s="307"/>
      <c r="D824" s="307"/>
      <c r="E824" s="307"/>
      <c r="F824" s="307"/>
      <c r="G824" s="307"/>
      <c r="H824" s="307"/>
      <c r="I824" s="307"/>
      <c r="J824" s="307"/>
      <c r="L824" s="617"/>
      <c r="M824" s="617"/>
      <c r="N824" s="617"/>
      <c r="O824" s="617"/>
      <c r="P824" s="617"/>
      <c r="Q824" s="617"/>
      <c r="R824" s="617"/>
      <c r="S824" s="617"/>
    </row>
    <row r="825">
      <c r="B825" s="371"/>
      <c r="C825" s="307"/>
      <c r="D825" s="307"/>
      <c r="E825" s="307"/>
      <c r="F825" s="307"/>
      <c r="G825" s="307"/>
      <c r="H825" s="307"/>
      <c r="I825" s="307"/>
      <c r="J825" s="307"/>
      <c r="L825" s="617"/>
      <c r="M825" s="617"/>
      <c r="N825" s="617"/>
      <c r="O825" s="617"/>
      <c r="P825" s="617"/>
      <c r="Q825" s="617"/>
      <c r="R825" s="617"/>
      <c r="S825" s="617"/>
    </row>
    <row r="826">
      <c r="B826" s="371"/>
      <c r="C826" s="307"/>
      <c r="D826" s="307"/>
      <c r="E826" s="307"/>
      <c r="F826" s="307"/>
      <c r="G826" s="307"/>
      <c r="H826" s="307"/>
      <c r="I826" s="307"/>
      <c r="J826" s="307"/>
      <c r="L826" s="617"/>
      <c r="M826" s="617"/>
      <c r="N826" s="617"/>
      <c r="O826" s="617"/>
      <c r="P826" s="617"/>
      <c r="Q826" s="617"/>
      <c r="R826" s="617"/>
      <c r="S826" s="617"/>
    </row>
    <row r="827">
      <c r="B827" s="371"/>
      <c r="C827" s="307"/>
      <c r="D827" s="307"/>
      <c r="E827" s="307"/>
      <c r="F827" s="307"/>
      <c r="G827" s="307"/>
      <c r="H827" s="307"/>
      <c r="I827" s="307"/>
      <c r="J827" s="307"/>
      <c r="L827" s="617"/>
      <c r="M827" s="617"/>
      <c r="N827" s="617"/>
      <c r="O827" s="617"/>
      <c r="P827" s="617"/>
      <c r="Q827" s="617"/>
      <c r="R827" s="617"/>
      <c r="S827" s="617"/>
    </row>
    <row r="828">
      <c r="B828" s="371"/>
      <c r="C828" s="307"/>
      <c r="D828" s="307"/>
      <c r="E828" s="307"/>
      <c r="F828" s="307"/>
      <c r="G828" s="307"/>
      <c r="H828" s="307"/>
      <c r="I828" s="307"/>
      <c r="J828" s="307"/>
      <c r="L828" s="617"/>
      <c r="M828" s="617"/>
      <c r="N828" s="617"/>
      <c r="O828" s="617"/>
      <c r="P828" s="617"/>
      <c r="Q828" s="617"/>
      <c r="R828" s="617"/>
      <c r="S828" s="617"/>
    </row>
    <row r="829">
      <c r="B829" s="371"/>
      <c r="C829" s="307"/>
      <c r="D829" s="307"/>
      <c r="E829" s="307"/>
      <c r="F829" s="307"/>
      <c r="G829" s="307"/>
      <c r="H829" s="307"/>
      <c r="I829" s="307"/>
      <c r="J829" s="307"/>
      <c r="L829" s="617"/>
      <c r="M829" s="617"/>
      <c r="N829" s="617"/>
      <c r="O829" s="617"/>
      <c r="P829" s="617"/>
      <c r="Q829" s="617"/>
      <c r="R829" s="617"/>
      <c r="S829" s="617"/>
    </row>
    <row r="830">
      <c r="B830" s="371"/>
      <c r="C830" s="307"/>
      <c r="D830" s="307"/>
      <c r="E830" s="307"/>
      <c r="F830" s="307"/>
      <c r="G830" s="307"/>
      <c r="H830" s="307"/>
      <c r="I830" s="307"/>
      <c r="J830" s="307"/>
      <c r="L830" s="617"/>
      <c r="M830" s="617"/>
      <c r="N830" s="617"/>
      <c r="O830" s="617"/>
      <c r="P830" s="617"/>
      <c r="Q830" s="617"/>
      <c r="R830" s="617"/>
      <c r="S830" s="617"/>
    </row>
    <row r="831">
      <c r="B831" s="371"/>
      <c r="C831" s="307"/>
      <c r="D831" s="307"/>
      <c r="E831" s="307"/>
      <c r="F831" s="307"/>
      <c r="G831" s="307"/>
      <c r="H831" s="307"/>
      <c r="I831" s="307"/>
      <c r="J831" s="307"/>
      <c r="L831" s="617"/>
      <c r="M831" s="617"/>
      <c r="N831" s="617"/>
      <c r="O831" s="617"/>
      <c r="P831" s="617"/>
      <c r="Q831" s="617"/>
      <c r="R831" s="617"/>
      <c r="S831" s="617"/>
    </row>
    <row r="832">
      <c r="B832" s="371"/>
      <c r="C832" s="307"/>
      <c r="D832" s="307"/>
      <c r="E832" s="307"/>
      <c r="F832" s="307"/>
      <c r="G832" s="307"/>
      <c r="H832" s="307"/>
      <c r="I832" s="307"/>
      <c r="J832" s="307"/>
      <c r="L832" s="617"/>
      <c r="M832" s="617"/>
      <c r="N832" s="617"/>
      <c r="O832" s="617"/>
      <c r="P832" s="617"/>
      <c r="Q832" s="617"/>
      <c r="R832" s="617"/>
      <c r="S832" s="617"/>
    </row>
    <row r="833">
      <c r="B833" s="371"/>
      <c r="C833" s="307"/>
      <c r="D833" s="307"/>
      <c r="E833" s="307"/>
      <c r="F833" s="307"/>
      <c r="G833" s="307"/>
      <c r="H833" s="307"/>
      <c r="I833" s="307"/>
      <c r="J833" s="307"/>
      <c r="L833" s="617"/>
      <c r="M833" s="617"/>
      <c r="N833" s="617"/>
      <c r="O833" s="617"/>
      <c r="P833" s="617"/>
      <c r="Q833" s="617"/>
      <c r="R833" s="617"/>
      <c r="S833" s="617"/>
    </row>
    <row r="834">
      <c r="B834" s="371"/>
      <c r="C834" s="307"/>
      <c r="D834" s="307"/>
      <c r="E834" s="307"/>
      <c r="F834" s="307"/>
      <c r="G834" s="307"/>
      <c r="H834" s="307"/>
      <c r="I834" s="307"/>
      <c r="J834" s="307"/>
      <c r="L834" s="617"/>
      <c r="M834" s="617"/>
      <c r="N834" s="617"/>
      <c r="O834" s="617"/>
      <c r="P834" s="617"/>
      <c r="Q834" s="617"/>
      <c r="R834" s="617"/>
      <c r="S834" s="617"/>
    </row>
    <row r="835">
      <c r="B835" s="371"/>
      <c r="C835" s="307"/>
      <c r="D835" s="307"/>
      <c r="E835" s="307"/>
      <c r="F835" s="307"/>
      <c r="G835" s="307"/>
      <c r="H835" s="307"/>
      <c r="I835" s="307"/>
      <c r="J835" s="307"/>
      <c r="L835" s="617"/>
      <c r="M835" s="617"/>
      <c r="N835" s="617"/>
      <c r="O835" s="617"/>
      <c r="P835" s="617"/>
      <c r="Q835" s="617"/>
      <c r="R835" s="617"/>
      <c r="S835" s="617"/>
    </row>
    <row r="836">
      <c r="B836" s="371"/>
      <c r="C836" s="307"/>
      <c r="D836" s="307"/>
      <c r="E836" s="307"/>
      <c r="F836" s="307"/>
      <c r="G836" s="307"/>
      <c r="H836" s="307"/>
      <c r="I836" s="307"/>
      <c r="J836" s="307"/>
      <c r="L836" s="617"/>
      <c r="M836" s="617"/>
      <c r="N836" s="617"/>
      <c r="O836" s="617"/>
      <c r="P836" s="617"/>
      <c r="Q836" s="617"/>
      <c r="R836" s="617"/>
      <c r="S836" s="617"/>
    </row>
    <row r="837">
      <c r="B837" s="371"/>
      <c r="C837" s="307"/>
      <c r="D837" s="307"/>
      <c r="E837" s="307"/>
      <c r="F837" s="307"/>
      <c r="G837" s="307"/>
      <c r="H837" s="307"/>
      <c r="I837" s="307"/>
      <c r="J837" s="307"/>
      <c r="L837" s="617"/>
      <c r="M837" s="617"/>
      <c r="N837" s="617"/>
      <c r="O837" s="617"/>
      <c r="P837" s="617"/>
      <c r="Q837" s="617"/>
      <c r="R837" s="617"/>
      <c r="S837" s="617"/>
    </row>
    <row r="838">
      <c r="B838" s="371"/>
      <c r="C838" s="307"/>
      <c r="D838" s="307"/>
      <c r="E838" s="307"/>
      <c r="F838" s="307"/>
      <c r="G838" s="307"/>
      <c r="H838" s="307"/>
      <c r="I838" s="307"/>
      <c r="J838" s="307"/>
      <c r="L838" s="617"/>
      <c r="M838" s="617"/>
      <c r="N838" s="617"/>
      <c r="O838" s="617"/>
      <c r="P838" s="617"/>
      <c r="Q838" s="617"/>
      <c r="R838" s="617"/>
      <c r="S838" s="617"/>
    </row>
    <row r="839">
      <c r="B839" s="371"/>
      <c r="C839" s="307"/>
      <c r="D839" s="307"/>
      <c r="E839" s="307"/>
      <c r="F839" s="307"/>
      <c r="G839" s="307"/>
      <c r="H839" s="307"/>
      <c r="I839" s="307"/>
      <c r="J839" s="307"/>
      <c r="L839" s="617"/>
      <c r="M839" s="617"/>
      <c r="N839" s="617"/>
      <c r="O839" s="617"/>
      <c r="P839" s="617"/>
      <c r="Q839" s="617"/>
      <c r="R839" s="617"/>
      <c r="S839" s="617"/>
    </row>
    <row r="840">
      <c r="B840" s="371"/>
      <c r="C840" s="307"/>
      <c r="D840" s="307"/>
      <c r="E840" s="307"/>
      <c r="F840" s="307"/>
      <c r="G840" s="307"/>
      <c r="H840" s="307"/>
      <c r="I840" s="307"/>
      <c r="J840" s="307"/>
      <c r="L840" s="617"/>
      <c r="M840" s="617"/>
      <c r="N840" s="617"/>
      <c r="O840" s="617"/>
      <c r="P840" s="617"/>
      <c r="Q840" s="617"/>
      <c r="R840" s="617"/>
      <c r="S840" s="617"/>
    </row>
    <row r="841">
      <c r="B841" s="371"/>
      <c r="C841" s="307"/>
      <c r="D841" s="307"/>
      <c r="E841" s="307"/>
      <c r="F841" s="307"/>
      <c r="G841" s="307"/>
      <c r="H841" s="307"/>
      <c r="I841" s="307"/>
      <c r="J841" s="307"/>
      <c r="L841" s="617"/>
      <c r="M841" s="617"/>
      <c r="N841" s="617"/>
      <c r="O841" s="617"/>
      <c r="P841" s="617"/>
      <c r="Q841" s="617"/>
      <c r="R841" s="617"/>
      <c r="S841" s="617"/>
    </row>
    <row r="842">
      <c r="B842" s="371"/>
      <c r="C842" s="307"/>
      <c r="D842" s="307"/>
      <c r="E842" s="307"/>
      <c r="F842" s="307"/>
      <c r="G842" s="307"/>
      <c r="H842" s="307"/>
      <c r="I842" s="307"/>
      <c r="J842" s="307"/>
      <c r="L842" s="617"/>
      <c r="M842" s="617"/>
      <c r="N842" s="617"/>
      <c r="O842" s="617"/>
      <c r="P842" s="617"/>
      <c r="Q842" s="617"/>
      <c r="R842" s="617"/>
      <c r="S842" s="617"/>
    </row>
    <row r="843">
      <c r="B843" s="371"/>
      <c r="C843" s="307"/>
      <c r="D843" s="307"/>
      <c r="E843" s="307"/>
      <c r="F843" s="307"/>
      <c r="G843" s="307"/>
      <c r="H843" s="307"/>
      <c r="I843" s="307"/>
      <c r="J843" s="307"/>
      <c r="L843" s="617"/>
      <c r="M843" s="617"/>
      <c r="N843" s="617"/>
      <c r="O843" s="617"/>
      <c r="P843" s="617"/>
      <c r="Q843" s="617"/>
      <c r="R843" s="617"/>
      <c r="S843" s="617"/>
    </row>
    <row r="844">
      <c r="B844" s="371"/>
      <c r="C844" s="307"/>
      <c r="D844" s="307"/>
      <c r="E844" s="307"/>
      <c r="F844" s="307"/>
      <c r="G844" s="307"/>
      <c r="H844" s="307"/>
      <c r="I844" s="307"/>
      <c r="J844" s="307"/>
      <c r="L844" s="617"/>
      <c r="M844" s="617"/>
      <c r="N844" s="617"/>
      <c r="O844" s="617"/>
      <c r="P844" s="617"/>
      <c r="Q844" s="617"/>
      <c r="R844" s="617"/>
      <c r="S844" s="617"/>
    </row>
    <row r="845">
      <c r="B845" s="371"/>
      <c r="C845" s="307"/>
      <c r="D845" s="307"/>
      <c r="E845" s="307"/>
      <c r="F845" s="307"/>
      <c r="G845" s="307"/>
      <c r="H845" s="307"/>
      <c r="I845" s="307"/>
      <c r="J845" s="307"/>
      <c r="L845" s="617"/>
      <c r="M845" s="617"/>
      <c r="N845" s="617"/>
      <c r="O845" s="617"/>
      <c r="P845" s="617"/>
      <c r="Q845" s="617"/>
      <c r="R845" s="617"/>
      <c r="S845" s="617"/>
    </row>
    <row r="846">
      <c r="B846" s="371"/>
      <c r="C846" s="307"/>
      <c r="D846" s="307"/>
      <c r="E846" s="307"/>
      <c r="F846" s="307"/>
      <c r="G846" s="307"/>
      <c r="H846" s="307"/>
      <c r="I846" s="307"/>
      <c r="J846" s="307"/>
      <c r="L846" s="617"/>
      <c r="M846" s="617"/>
      <c r="N846" s="617"/>
      <c r="O846" s="617"/>
      <c r="P846" s="617"/>
      <c r="Q846" s="617"/>
      <c r="R846" s="617"/>
      <c r="S846" s="617"/>
    </row>
    <row r="847">
      <c r="B847" s="371"/>
      <c r="C847" s="307"/>
      <c r="D847" s="307"/>
      <c r="E847" s="307"/>
      <c r="F847" s="307"/>
      <c r="G847" s="307"/>
      <c r="H847" s="307"/>
      <c r="I847" s="307"/>
      <c r="J847" s="307"/>
      <c r="L847" s="617"/>
      <c r="M847" s="617"/>
      <c r="N847" s="617"/>
      <c r="O847" s="617"/>
      <c r="P847" s="617"/>
      <c r="Q847" s="617"/>
      <c r="R847" s="617"/>
      <c r="S847" s="617"/>
    </row>
    <row r="848">
      <c r="B848" s="371"/>
      <c r="C848" s="307"/>
      <c r="D848" s="307"/>
      <c r="E848" s="307"/>
      <c r="F848" s="307"/>
      <c r="G848" s="307"/>
      <c r="H848" s="307"/>
      <c r="I848" s="307"/>
      <c r="J848" s="307"/>
      <c r="L848" s="617"/>
      <c r="M848" s="617"/>
      <c r="N848" s="617"/>
      <c r="O848" s="617"/>
      <c r="P848" s="617"/>
      <c r="Q848" s="617"/>
      <c r="R848" s="617"/>
      <c r="S848" s="617"/>
    </row>
    <row r="849">
      <c r="B849" s="371"/>
      <c r="C849" s="307"/>
      <c r="D849" s="307"/>
      <c r="E849" s="307"/>
      <c r="F849" s="307"/>
      <c r="G849" s="307"/>
      <c r="H849" s="307"/>
      <c r="I849" s="307"/>
      <c r="J849" s="307"/>
      <c r="L849" s="617"/>
      <c r="M849" s="617"/>
      <c r="N849" s="617"/>
      <c r="O849" s="617"/>
      <c r="P849" s="617"/>
      <c r="Q849" s="617"/>
      <c r="R849" s="617"/>
      <c r="S849" s="617"/>
    </row>
    <row r="850">
      <c r="B850" s="371"/>
      <c r="C850" s="307"/>
      <c r="D850" s="307"/>
      <c r="E850" s="307"/>
      <c r="F850" s="307"/>
      <c r="G850" s="307"/>
      <c r="H850" s="307"/>
      <c r="I850" s="307"/>
      <c r="J850" s="307"/>
      <c r="L850" s="617"/>
      <c r="M850" s="617"/>
      <c r="N850" s="617"/>
      <c r="O850" s="617"/>
      <c r="P850" s="617"/>
      <c r="Q850" s="617"/>
      <c r="R850" s="617"/>
      <c r="S850" s="617"/>
    </row>
    <row r="851">
      <c r="B851" s="371"/>
      <c r="C851" s="307"/>
      <c r="D851" s="307"/>
      <c r="E851" s="307"/>
      <c r="F851" s="307"/>
      <c r="G851" s="307"/>
      <c r="H851" s="307"/>
      <c r="I851" s="307"/>
      <c r="J851" s="307"/>
      <c r="L851" s="617"/>
      <c r="M851" s="617"/>
      <c r="N851" s="617"/>
      <c r="O851" s="617"/>
      <c r="P851" s="617"/>
      <c r="Q851" s="617"/>
      <c r="R851" s="617"/>
      <c r="S851" s="617"/>
    </row>
    <row r="852">
      <c r="B852" s="371"/>
      <c r="C852" s="307"/>
      <c r="D852" s="307"/>
      <c r="E852" s="307"/>
      <c r="F852" s="307"/>
      <c r="G852" s="307"/>
      <c r="H852" s="307"/>
      <c r="I852" s="307"/>
      <c r="J852" s="307"/>
      <c r="L852" s="617"/>
      <c r="M852" s="617"/>
      <c r="N852" s="617"/>
      <c r="O852" s="617"/>
      <c r="P852" s="617"/>
      <c r="Q852" s="617"/>
      <c r="R852" s="617"/>
      <c r="S852" s="617"/>
    </row>
    <row r="853">
      <c r="B853" s="371"/>
      <c r="C853" s="307"/>
      <c r="D853" s="307"/>
      <c r="E853" s="307"/>
      <c r="F853" s="307"/>
      <c r="G853" s="307"/>
      <c r="H853" s="307"/>
      <c r="I853" s="307"/>
      <c r="J853" s="307"/>
      <c r="L853" s="617"/>
      <c r="M853" s="617"/>
      <c r="N853" s="617"/>
      <c r="O853" s="617"/>
      <c r="P853" s="617"/>
      <c r="Q853" s="617"/>
      <c r="R853" s="617"/>
      <c r="S853" s="617"/>
    </row>
    <row r="854">
      <c r="B854" s="371"/>
      <c r="C854" s="307"/>
      <c r="D854" s="307"/>
      <c r="E854" s="307"/>
      <c r="F854" s="307"/>
      <c r="G854" s="307"/>
      <c r="H854" s="307"/>
      <c r="I854" s="307"/>
      <c r="J854" s="307"/>
      <c r="L854" s="617"/>
      <c r="M854" s="617"/>
      <c r="N854" s="617"/>
      <c r="O854" s="617"/>
      <c r="P854" s="617"/>
      <c r="Q854" s="617"/>
      <c r="R854" s="617"/>
      <c r="S854" s="617"/>
    </row>
    <row r="855">
      <c r="B855" s="371"/>
      <c r="C855" s="307"/>
      <c r="D855" s="307"/>
      <c r="E855" s="307"/>
      <c r="F855" s="307"/>
      <c r="G855" s="307"/>
      <c r="H855" s="307"/>
      <c r="I855" s="307"/>
      <c r="J855" s="307"/>
      <c r="L855" s="617"/>
      <c r="M855" s="617"/>
      <c r="N855" s="617"/>
      <c r="O855" s="617"/>
      <c r="P855" s="617"/>
      <c r="Q855" s="617"/>
      <c r="R855" s="617"/>
      <c r="S855" s="617"/>
    </row>
    <row r="856">
      <c r="B856" s="371"/>
      <c r="C856" s="307"/>
      <c r="D856" s="307"/>
      <c r="E856" s="307"/>
      <c r="F856" s="307"/>
      <c r="G856" s="307"/>
      <c r="H856" s="307"/>
      <c r="I856" s="307"/>
      <c r="J856" s="307"/>
      <c r="L856" s="617"/>
      <c r="M856" s="617"/>
      <c r="N856" s="617"/>
      <c r="O856" s="617"/>
      <c r="P856" s="617"/>
      <c r="Q856" s="617"/>
      <c r="R856" s="617"/>
      <c r="S856" s="617"/>
    </row>
    <row r="857">
      <c r="B857" s="371"/>
      <c r="C857" s="307"/>
      <c r="D857" s="307"/>
      <c r="E857" s="307"/>
      <c r="F857" s="307"/>
      <c r="G857" s="307"/>
      <c r="H857" s="307"/>
      <c r="I857" s="307"/>
      <c r="J857" s="307"/>
      <c r="L857" s="617"/>
      <c r="M857" s="617"/>
      <c r="N857" s="617"/>
      <c r="O857" s="617"/>
      <c r="P857" s="617"/>
      <c r="Q857" s="617"/>
      <c r="R857" s="617"/>
      <c r="S857" s="617"/>
    </row>
    <row r="858">
      <c r="B858" s="371"/>
      <c r="C858" s="307"/>
      <c r="D858" s="307"/>
      <c r="E858" s="307"/>
      <c r="F858" s="307"/>
      <c r="G858" s="307"/>
      <c r="H858" s="307"/>
      <c r="I858" s="307"/>
      <c r="J858" s="307"/>
      <c r="L858" s="617"/>
      <c r="M858" s="617"/>
      <c r="N858" s="617"/>
      <c r="O858" s="617"/>
      <c r="P858" s="617"/>
      <c r="Q858" s="617"/>
      <c r="R858" s="617"/>
      <c r="S858" s="617"/>
    </row>
    <row r="859">
      <c r="B859" s="371"/>
      <c r="C859" s="307"/>
      <c r="D859" s="307"/>
      <c r="E859" s="307"/>
      <c r="F859" s="307"/>
      <c r="G859" s="307"/>
      <c r="H859" s="307"/>
      <c r="I859" s="307"/>
      <c r="J859" s="307"/>
      <c r="L859" s="617"/>
      <c r="M859" s="617"/>
      <c r="N859" s="617"/>
      <c r="O859" s="617"/>
      <c r="P859" s="617"/>
      <c r="Q859" s="617"/>
      <c r="R859" s="617"/>
      <c r="S859" s="617"/>
    </row>
    <row r="860">
      <c r="B860" s="371"/>
      <c r="C860" s="307"/>
      <c r="D860" s="307"/>
      <c r="E860" s="307"/>
      <c r="F860" s="307"/>
      <c r="G860" s="307"/>
      <c r="H860" s="307"/>
      <c r="I860" s="307"/>
      <c r="J860" s="307"/>
      <c r="L860" s="617"/>
      <c r="M860" s="617"/>
      <c r="N860" s="617"/>
      <c r="O860" s="617"/>
      <c r="P860" s="617"/>
      <c r="Q860" s="617"/>
      <c r="R860" s="617"/>
      <c r="S860" s="617"/>
    </row>
    <row r="861">
      <c r="B861" s="371"/>
      <c r="C861" s="307"/>
      <c r="D861" s="307"/>
      <c r="E861" s="307"/>
      <c r="F861" s="307"/>
      <c r="G861" s="307"/>
      <c r="H861" s="307"/>
      <c r="I861" s="307"/>
      <c r="J861" s="307"/>
      <c r="L861" s="617"/>
      <c r="M861" s="617"/>
      <c r="N861" s="617"/>
      <c r="O861" s="617"/>
      <c r="P861" s="617"/>
      <c r="Q861" s="617"/>
      <c r="R861" s="617"/>
      <c r="S861" s="617"/>
    </row>
    <row r="862">
      <c r="B862" s="371"/>
      <c r="C862" s="307"/>
      <c r="D862" s="307"/>
      <c r="E862" s="307"/>
      <c r="F862" s="307"/>
      <c r="G862" s="307"/>
      <c r="H862" s="307"/>
      <c r="I862" s="307"/>
      <c r="J862" s="307"/>
      <c r="L862" s="617"/>
      <c r="M862" s="617"/>
      <c r="N862" s="617"/>
      <c r="O862" s="617"/>
      <c r="P862" s="617"/>
      <c r="Q862" s="617"/>
      <c r="R862" s="617"/>
      <c r="S862" s="617"/>
    </row>
    <row r="863">
      <c r="B863" s="371"/>
      <c r="C863" s="307"/>
      <c r="D863" s="307"/>
      <c r="E863" s="307"/>
      <c r="F863" s="307"/>
      <c r="G863" s="307"/>
      <c r="H863" s="307"/>
      <c r="I863" s="307"/>
      <c r="J863" s="307"/>
      <c r="L863" s="617"/>
      <c r="M863" s="617"/>
      <c r="N863" s="617"/>
      <c r="O863" s="617"/>
      <c r="P863" s="617"/>
      <c r="Q863" s="617"/>
      <c r="R863" s="617"/>
      <c r="S863" s="617"/>
    </row>
    <row r="864">
      <c r="B864" s="371"/>
      <c r="C864" s="307"/>
      <c r="D864" s="307"/>
      <c r="E864" s="307"/>
      <c r="F864" s="307"/>
      <c r="G864" s="307"/>
      <c r="H864" s="307"/>
      <c r="I864" s="307"/>
      <c r="J864" s="307"/>
      <c r="L864" s="617"/>
      <c r="M864" s="617"/>
      <c r="N864" s="617"/>
      <c r="O864" s="617"/>
      <c r="P864" s="617"/>
      <c r="Q864" s="617"/>
      <c r="R864" s="617"/>
      <c r="S864" s="617"/>
    </row>
    <row r="865">
      <c r="B865" s="371"/>
      <c r="C865" s="307"/>
      <c r="D865" s="307"/>
      <c r="E865" s="307"/>
      <c r="F865" s="307"/>
      <c r="G865" s="307"/>
      <c r="H865" s="307"/>
      <c r="I865" s="307"/>
      <c r="J865" s="307"/>
      <c r="L865" s="617"/>
      <c r="M865" s="617"/>
      <c r="N865" s="617"/>
      <c r="O865" s="617"/>
      <c r="P865" s="617"/>
      <c r="Q865" s="617"/>
      <c r="R865" s="617"/>
      <c r="S865" s="617"/>
    </row>
    <row r="866">
      <c r="B866" s="371"/>
      <c r="C866" s="307"/>
      <c r="D866" s="307"/>
      <c r="E866" s="307"/>
      <c r="F866" s="307"/>
      <c r="G866" s="307"/>
      <c r="H866" s="307"/>
      <c r="I866" s="307"/>
      <c r="J866" s="307"/>
      <c r="L866" s="617"/>
      <c r="M866" s="617"/>
      <c r="N866" s="617"/>
      <c r="O866" s="617"/>
      <c r="P866" s="617"/>
      <c r="Q866" s="617"/>
      <c r="R866" s="617"/>
      <c r="S866" s="617"/>
    </row>
    <row r="867">
      <c r="B867" s="371"/>
      <c r="C867" s="307"/>
      <c r="D867" s="307"/>
      <c r="E867" s="307"/>
      <c r="F867" s="307"/>
      <c r="G867" s="307"/>
      <c r="H867" s="307"/>
      <c r="I867" s="307"/>
      <c r="J867" s="307"/>
      <c r="L867" s="617"/>
      <c r="M867" s="617"/>
      <c r="N867" s="617"/>
      <c r="O867" s="617"/>
      <c r="P867" s="617"/>
      <c r="Q867" s="617"/>
      <c r="R867" s="617"/>
      <c r="S867" s="617"/>
    </row>
    <row r="868">
      <c r="B868" s="371"/>
      <c r="C868" s="307"/>
      <c r="D868" s="307"/>
      <c r="E868" s="307"/>
      <c r="F868" s="307"/>
      <c r="G868" s="307"/>
      <c r="H868" s="307"/>
      <c r="I868" s="307"/>
      <c r="J868" s="307"/>
      <c r="L868" s="617"/>
      <c r="M868" s="617"/>
      <c r="N868" s="617"/>
      <c r="O868" s="617"/>
      <c r="P868" s="617"/>
      <c r="Q868" s="617"/>
      <c r="R868" s="617"/>
      <c r="S868" s="617"/>
    </row>
    <row r="869">
      <c r="B869" s="371"/>
      <c r="C869" s="307"/>
      <c r="D869" s="307"/>
      <c r="E869" s="307"/>
      <c r="F869" s="307"/>
      <c r="G869" s="307"/>
      <c r="H869" s="307"/>
      <c r="I869" s="307"/>
      <c r="J869" s="307"/>
      <c r="L869" s="617"/>
      <c r="M869" s="617"/>
      <c r="N869" s="617"/>
      <c r="O869" s="617"/>
      <c r="P869" s="617"/>
      <c r="Q869" s="617"/>
      <c r="R869" s="617"/>
      <c r="S869" s="617"/>
    </row>
    <row r="870">
      <c r="B870" s="371"/>
      <c r="C870" s="307"/>
      <c r="D870" s="307"/>
      <c r="E870" s="307"/>
      <c r="F870" s="307"/>
      <c r="G870" s="307"/>
      <c r="H870" s="307"/>
      <c r="I870" s="307"/>
      <c r="J870" s="307"/>
      <c r="L870" s="617"/>
      <c r="M870" s="617"/>
      <c r="N870" s="617"/>
      <c r="O870" s="617"/>
      <c r="P870" s="617"/>
      <c r="Q870" s="617"/>
      <c r="R870" s="617"/>
      <c r="S870" s="617"/>
    </row>
    <row r="871">
      <c r="B871" s="371"/>
      <c r="C871" s="307"/>
      <c r="D871" s="307"/>
      <c r="E871" s="307"/>
      <c r="F871" s="307"/>
      <c r="G871" s="307"/>
      <c r="H871" s="307"/>
      <c r="I871" s="307"/>
      <c r="J871" s="307"/>
      <c r="L871" s="617"/>
      <c r="M871" s="617"/>
      <c r="N871" s="617"/>
      <c r="O871" s="617"/>
      <c r="P871" s="617"/>
      <c r="Q871" s="617"/>
      <c r="R871" s="617"/>
      <c r="S871" s="617"/>
    </row>
    <row r="872">
      <c r="B872" s="371"/>
      <c r="C872" s="307"/>
      <c r="D872" s="307"/>
      <c r="E872" s="307"/>
      <c r="F872" s="307"/>
      <c r="G872" s="307"/>
      <c r="H872" s="307"/>
      <c r="I872" s="307"/>
      <c r="J872" s="307"/>
      <c r="L872" s="617"/>
      <c r="M872" s="617"/>
      <c r="N872" s="617"/>
      <c r="O872" s="617"/>
      <c r="P872" s="617"/>
      <c r="Q872" s="617"/>
      <c r="R872" s="617"/>
      <c r="S872" s="617"/>
    </row>
    <row r="873">
      <c r="B873" s="371"/>
      <c r="C873" s="307"/>
      <c r="D873" s="307"/>
      <c r="E873" s="307"/>
      <c r="F873" s="307"/>
      <c r="G873" s="307"/>
      <c r="H873" s="307"/>
      <c r="I873" s="307"/>
      <c r="J873" s="307"/>
      <c r="L873" s="617"/>
      <c r="M873" s="617"/>
      <c r="N873" s="617"/>
      <c r="O873" s="617"/>
      <c r="P873" s="617"/>
      <c r="Q873" s="617"/>
      <c r="R873" s="617"/>
      <c r="S873" s="617"/>
    </row>
    <row r="874">
      <c r="B874" s="371"/>
      <c r="C874" s="307"/>
      <c r="D874" s="307"/>
      <c r="E874" s="307"/>
      <c r="F874" s="307"/>
      <c r="G874" s="307"/>
      <c r="H874" s="307"/>
      <c r="I874" s="307"/>
      <c r="J874" s="307"/>
      <c r="L874" s="617"/>
      <c r="M874" s="617"/>
      <c r="N874" s="617"/>
      <c r="O874" s="617"/>
      <c r="P874" s="617"/>
      <c r="Q874" s="617"/>
      <c r="R874" s="617"/>
      <c r="S874" s="617"/>
    </row>
    <row r="875">
      <c r="B875" s="371"/>
      <c r="C875" s="307"/>
      <c r="D875" s="307"/>
      <c r="E875" s="307"/>
      <c r="F875" s="307"/>
      <c r="G875" s="307"/>
      <c r="H875" s="307"/>
      <c r="I875" s="307"/>
      <c r="J875" s="307"/>
      <c r="L875" s="617"/>
      <c r="M875" s="617"/>
      <c r="N875" s="617"/>
      <c r="O875" s="617"/>
      <c r="P875" s="617"/>
      <c r="Q875" s="617"/>
      <c r="R875" s="617"/>
      <c r="S875" s="617"/>
    </row>
    <row r="876">
      <c r="B876" s="371"/>
      <c r="C876" s="307"/>
      <c r="D876" s="307"/>
      <c r="E876" s="307"/>
      <c r="F876" s="307"/>
      <c r="G876" s="307"/>
      <c r="H876" s="307"/>
      <c r="I876" s="307"/>
      <c r="J876" s="307"/>
      <c r="L876" s="617"/>
      <c r="M876" s="617"/>
      <c r="N876" s="617"/>
      <c r="O876" s="617"/>
      <c r="P876" s="617"/>
      <c r="Q876" s="617"/>
      <c r="R876" s="617"/>
      <c r="S876" s="617"/>
    </row>
    <row r="877">
      <c r="B877" s="371"/>
      <c r="C877" s="307"/>
      <c r="D877" s="307"/>
      <c r="E877" s="307"/>
      <c r="F877" s="307"/>
      <c r="G877" s="307"/>
      <c r="H877" s="307"/>
      <c r="I877" s="307"/>
      <c r="J877" s="307"/>
      <c r="L877" s="617"/>
      <c r="M877" s="617"/>
      <c r="N877" s="617"/>
      <c r="O877" s="617"/>
      <c r="P877" s="617"/>
      <c r="Q877" s="617"/>
      <c r="R877" s="617"/>
      <c r="S877" s="617"/>
    </row>
    <row r="878">
      <c r="B878" s="371"/>
      <c r="C878" s="307"/>
      <c r="D878" s="307"/>
      <c r="E878" s="307"/>
      <c r="F878" s="307"/>
      <c r="G878" s="307"/>
      <c r="H878" s="307"/>
      <c r="I878" s="307"/>
      <c r="J878" s="307"/>
      <c r="L878" s="617"/>
      <c r="M878" s="617"/>
      <c r="N878" s="617"/>
      <c r="O878" s="617"/>
      <c r="P878" s="617"/>
      <c r="Q878" s="617"/>
      <c r="R878" s="617"/>
      <c r="S878" s="617"/>
    </row>
    <row r="879">
      <c r="B879" s="371"/>
      <c r="C879" s="307"/>
      <c r="D879" s="307"/>
      <c r="E879" s="307"/>
      <c r="F879" s="307"/>
      <c r="G879" s="307"/>
      <c r="H879" s="307"/>
      <c r="I879" s="307"/>
      <c r="J879" s="307"/>
      <c r="L879" s="617"/>
      <c r="M879" s="617"/>
      <c r="N879" s="617"/>
      <c r="O879" s="617"/>
      <c r="P879" s="617"/>
      <c r="Q879" s="617"/>
      <c r="R879" s="617"/>
      <c r="S879" s="617"/>
    </row>
    <row r="880">
      <c r="B880" s="371"/>
      <c r="C880" s="307"/>
      <c r="D880" s="307"/>
      <c r="E880" s="307"/>
      <c r="F880" s="307"/>
      <c r="G880" s="307"/>
      <c r="H880" s="307"/>
      <c r="I880" s="307"/>
      <c r="J880" s="307"/>
      <c r="L880" s="617"/>
      <c r="M880" s="617"/>
      <c r="N880" s="617"/>
      <c r="O880" s="617"/>
      <c r="P880" s="617"/>
      <c r="Q880" s="617"/>
      <c r="R880" s="617"/>
      <c r="S880" s="617"/>
    </row>
    <row r="881">
      <c r="B881" s="371"/>
      <c r="C881" s="307"/>
      <c r="D881" s="307"/>
      <c r="E881" s="307"/>
      <c r="F881" s="307"/>
      <c r="G881" s="307"/>
      <c r="H881" s="307"/>
      <c r="I881" s="307"/>
      <c r="J881" s="307"/>
      <c r="L881" s="617"/>
      <c r="M881" s="617"/>
      <c r="N881" s="617"/>
      <c r="O881" s="617"/>
      <c r="P881" s="617"/>
      <c r="Q881" s="617"/>
      <c r="R881" s="617"/>
      <c r="S881" s="617"/>
    </row>
    <row r="882">
      <c r="B882" s="371"/>
      <c r="C882" s="307"/>
      <c r="D882" s="307"/>
      <c r="E882" s="307"/>
      <c r="F882" s="307"/>
      <c r="G882" s="307"/>
      <c r="H882" s="307"/>
      <c r="I882" s="307"/>
      <c r="J882" s="307"/>
      <c r="L882" s="617"/>
      <c r="M882" s="617"/>
      <c r="N882" s="617"/>
      <c r="O882" s="617"/>
      <c r="P882" s="617"/>
      <c r="Q882" s="617"/>
      <c r="R882" s="617"/>
      <c r="S882" s="617"/>
    </row>
    <row r="883">
      <c r="B883" s="371"/>
      <c r="C883" s="307"/>
      <c r="D883" s="307"/>
      <c r="E883" s="307"/>
      <c r="F883" s="307"/>
      <c r="G883" s="307"/>
      <c r="H883" s="307"/>
      <c r="I883" s="307"/>
      <c r="J883" s="307"/>
      <c r="L883" s="617"/>
      <c r="M883" s="617"/>
      <c r="N883" s="617"/>
      <c r="O883" s="617"/>
      <c r="P883" s="617"/>
      <c r="Q883" s="617"/>
      <c r="R883" s="617"/>
      <c r="S883" s="617"/>
    </row>
    <row r="884">
      <c r="B884" s="371"/>
      <c r="C884" s="307"/>
      <c r="D884" s="307"/>
      <c r="E884" s="307"/>
      <c r="F884" s="307"/>
      <c r="G884" s="307"/>
      <c r="H884" s="307"/>
      <c r="I884" s="307"/>
      <c r="J884" s="307"/>
      <c r="L884" s="617"/>
      <c r="M884" s="617"/>
      <c r="N884" s="617"/>
      <c r="O884" s="617"/>
      <c r="P884" s="617"/>
      <c r="Q884" s="617"/>
      <c r="R884" s="617"/>
      <c r="S884" s="617"/>
    </row>
    <row r="885">
      <c r="B885" s="371"/>
      <c r="C885" s="307"/>
      <c r="D885" s="307"/>
      <c r="E885" s="307"/>
      <c r="F885" s="307"/>
      <c r="G885" s="307"/>
      <c r="H885" s="307"/>
      <c r="I885" s="307"/>
      <c r="J885" s="307"/>
      <c r="L885" s="617"/>
      <c r="M885" s="617"/>
      <c r="N885" s="617"/>
      <c r="O885" s="617"/>
      <c r="P885" s="617"/>
      <c r="Q885" s="617"/>
      <c r="R885" s="617"/>
      <c r="S885" s="617"/>
    </row>
    <row r="886">
      <c r="B886" s="371"/>
      <c r="C886" s="307"/>
      <c r="D886" s="307"/>
      <c r="E886" s="307"/>
      <c r="F886" s="307"/>
      <c r="G886" s="307"/>
      <c r="H886" s="307"/>
      <c r="I886" s="307"/>
      <c r="J886" s="307"/>
      <c r="L886" s="617"/>
      <c r="M886" s="617"/>
      <c r="N886" s="617"/>
      <c r="O886" s="617"/>
      <c r="P886" s="617"/>
      <c r="Q886" s="617"/>
      <c r="R886" s="617"/>
      <c r="S886" s="617"/>
    </row>
    <row r="887">
      <c r="B887" s="371"/>
      <c r="C887" s="307"/>
      <c r="D887" s="307"/>
      <c r="E887" s="307"/>
      <c r="F887" s="307"/>
      <c r="G887" s="307"/>
      <c r="H887" s="307"/>
      <c r="I887" s="307"/>
      <c r="J887" s="307"/>
      <c r="L887" s="617"/>
      <c r="M887" s="617"/>
      <c r="N887" s="617"/>
      <c r="O887" s="617"/>
      <c r="P887" s="617"/>
      <c r="Q887" s="617"/>
      <c r="R887" s="617"/>
      <c r="S887" s="617"/>
    </row>
    <row r="888">
      <c r="B888" s="371"/>
      <c r="C888" s="307"/>
      <c r="D888" s="307"/>
      <c r="E888" s="307"/>
      <c r="F888" s="307"/>
      <c r="G888" s="307"/>
      <c r="H888" s="307"/>
      <c r="I888" s="307"/>
      <c r="J888" s="307"/>
      <c r="L888" s="617"/>
      <c r="M888" s="617"/>
      <c r="N888" s="617"/>
      <c r="O888" s="617"/>
      <c r="P888" s="617"/>
      <c r="Q888" s="617"/>
      <c r="R888" s="617"/>
      <c r="S888" s="617"/>
    </row>
    <row r="889">
      <c r="B889" s="371"/>
      <c r="C889" s="307"/>
      <c r="D889" s="307"/>
      <c r="E889" s="307"/>
      <c r="F889" s="307"/>
      <c r="G889" s="307"/>
      <c r="H889" s="307"/>
      <c r="I889" s="307"/>
      <c r="J889" s="307"/>
      <c r="L889" s="617"/>
      <c r="M889" s="617"/>
      <c r="N889" s="617"/>
      <c r="O889" s="617"/>
      <c r="P889" s="617"/>
      <c r="Q889" s="617"/>
      <c r="R889" s="617"/>
      <c r="S889" s="617"/>
    </row>
    <row r="890">
      <c r="B890" s="371"/>
      <c r="C890" s="307"/>
      <c r="D890" s="307"/>
      <c r="E890" s="307"/>
      <c r="F890" s="307"/>
      <c r="G890" s="307"/>
      <c r="H890" s="307"/>
      <c r="I890" s="307"/>
      <c r="J890" s="307"/>
      <c r="L890" s="617"/>
      <c r="M890" s="617"/>
      <c r="N890" s="617"/>
      <c r="O890" s="617"/>
      <c r="P890" s="617"/>
      <c r="Q890" s="617"/>
      <c r="R890" s="617"/>
      <c r="S890" s="617"/>
    </row>
    <row r="891">
      <c r="B891" s="371"/>
      <c r="C891" s="307"/>
      <c r="D891" s="307"/>
      <c r="E891" s="307"/>
      <c r="F891" s="307"/>
      <c r="G891" s="307"/>
      <c r="H891" s="307"/>
      <c r="I891" s="307"/>
      <c r="J891" s="307"/>
      <c r="L891" s="617"/>
      <c r="M891" s="617"/>
      <c r="N891" s="617"/>
      <c r="O891" s="617"/>
      <c r="P891" s="617"/>
      <c r="Q891" s="617"/>
      <c r="R891" s="617"/>
      <c r="S891" s="617"/>
    </row>
    <row r="892">
      <c r="B892" s="371"/>
      <c r="C892" s="307"/>
      <c r="D892" s="307"/>
      <c r="E892" s="307"/>
      <c r="F892" s="307"/>
      <c r="G892" s="307"/>
      <c r="H892" s="307"/>
      <c r="I892" s="307"/>
      <c r="J892" s="307"/>
      <c r="L892" s="617"/>
      <c r="M892" s="617"/>
      <c r="N892" s="617"/>
      <c r="O892" s="617"/>
      <c r="P892" s="617"/>
      <c r="Q892" s="617"/>
      <c r="R892" s="617"/>
      <c r="S892" s="617"/>
    </row>
    <row r="893">
      <c r="B893" s="371"/>
      <c r="C893" s="307"/>
      <c r="D893" s="307"/>
      <c r="E893" s="307"/>
      <c r="F893" s="307"/>
      <c r="G893" s="307"/>
      <c r="H893" s="307"/>
      <c r="I893" s="307"/>
      <c r="J893" s="307"/>
      <c r="L893" s="617"/>
      <c r="M893" s="617"/>
      <c r="N893" s="617"/>
      <c r="O893" s="617"/>
      <c r="P893" s="617"/>
      <c r="Q893" s="617"/>
      <c r="R893" s="617"/>
      <c r="S893" s="617"/>
    </row>
    <row r="894">
      <c r="B894" s="371"/>
      <c r="C894" s="307"/>
      <c r="D894" s="307"/>
      <c r="E894" s="307"/>
      <c r="F894" s="307"/>
      <c r="G894" s="307"/>
      <c r="H894" s="307"/>
      <c r="I894" s="307"/>
      <c r="J894" s="307"/>
      <c r="L894" s="617"/>
      <c r="M894" s="617"/>
      <c r="N894" s="617"/>
      <c r="O894" s="617"/>
      <c r="P894" s="617"/>
      <c r="Q894" s="617"/>
      <c r="R894" s="617"/>
      <c r="S894" s="617"/>
    </row>
    <row r="895">
      <c r="B895" s="371"/>
      <c r="C895" s="307"/>
      <c r="D895" s="307"/>
      <c r="E895" s="307"/>
      <c r="F895" s="307"/>
      <c r="G895" s="307"/>
      <c r="H895" s="307"/>
      <c r="I895" s="307"/>
      <c r="J895" s="307"/>
      <c r="L895" s="617"/>
      <c r="M895" s="617"/>
      <c r="N895" s="617"/>
      <c r="O895" s="617"/>
      <c r="P895" s="617"/>
      <c r="Q895" s="617"/>
      <c r="R895" s="617"/>
      <c r="S895" s="617"/>
    </row>
    <row r="896">
      <c r="B896" s="371"/>
      <c r="C896" s="307"/>
      <c r="D896" s="307"/>
      <c r="E896" s="307"/>
      <c r="F896" s="307"/>
      <c r="G896" s="307"/>
      <c r="H896" s="307"/>
      <c r="I896" s="307"/>
      <c r="J896" s="307"/>
      <c r="L896" s="617"/>
      <c r="M896" s="617"/>
      <c r="N896" s="617"/>
      <c r="O896" s="617"/>
      <c r="P896" s="617"/>
      <c r="Q896" s="617"/>
      <c r="R896" s="617"/>
      <c r="S896" s="617"/>
    </row>
    <row r="897">
      <c r="B897" s="371"/>
      <c r="C897" s="307"/>
      <c r="D897" s="307"/>
      <c r="E897" s="307"/>
      <c r="F897" s="307"/>
      <c r="G897" s="307"/>
      <c r="H897" s="307"/>
      <c r="I897" s="307"/>
      <c r="J897" s="307"/>
      <c r="L897" s="617"/>
      <c r="M897" s="617"/>
      <c r="N897" s="617"/>
      <c r="O897" s="617"/>
      <c r="P897" s="617"/>
      <c r="Q897" s="617"/>
      <c r="R897" s="617"/>
      <c r="S897" s="617"/>
    </row>
    <row r="898">
      <c r="B898" s="371"/>
      <c r="C898" s="307"/>
      <c r="D898" s="307"/>
      <c r="E898" s="307"/>
      <c r="F898" s="307"/>
      <c r="G898" s="307"/>
      <c r="H898" s="307"/>
      <c r="I898" s="307"/>
      <c r="J898" s="307"/>
      <c r="L898" s="617"/>
      <c r="M898" s="617"/>
      <c r="N898" s="617"/>
      <c r="O898" s="617"/>
      <c r="P898" s="617"/>
      <c r="Q898" s="617"/>
      <c r="R898" s="617"/>
      <c r="S898" s="617"/>
    </row>
    <row r="899">
      <c r="B899" s="371"/>
      <c r="C899" s="307"/>
      <c r="D899" s="307"/>
      <c r="E899" s="307"/>
      <c r="F899" s="307"/>
      <c r="G899" s="307"/>
      <c r="H899" s="307"/>
      <c r="I899" s="307"/>
      <c r="J899" s="307"/>
      <c r="L899" s="617"/>
      <c r="M899" s="617"/>
      <c r="N899" s="617"/>
      <c r="O899" s="617"/>
      <c r="P899" s="617"/>
      <c r="Q899" s="617"/>
      <c r="R899" s="617"/>
      <c r="S899" s="617"/>
    </row>
    <row r="900">
      <c r="B900" s="371"/>
      <c r="C900" s="307"/>
      <c r="D900" s="307"/>
      <c r="E900" s="307"/>
      <c r="F900" s="307"/>
      <c r="G900" s="307"/>
      <c r="H900" s="307"/>
      <c r="I900" s="307"/>
      <c r="J900" s="307"/>
      <c r="L900" s="617"/>
      <c r="M900" s="617"/>
      <c r="N900" s="617"/>
      <c r="O900" s="617"/>
      <c r="P900" s="617"/>
      <c r="Q900" s="617"/>
      <c r="R900" s="617"/>
      <c r="S900" s="617"/>
    </row>
    <row r="901">
      <c r="B901" s="371"/>
      <c r="C901" s="307"/>
      <c r="D901" s="307"/>
      <c r="E901" s="307"/>
      <c r="F901" s="307"/>
      <c r="G901" s="307"/>
      <c r="H901" s="307"/>
      <c r="I901" s="307"/>
      <c r="J901" s="307"/>
      <c r="L901" s="617"/>
      <c r="M901" s="617"/>
      <c r="N901" s="617"/>
      <c r="O901" s="617"/>
      <c r="P901" s="617"/>
      <c r="Q901" s="617"/>
      <c r="R901" s="617"/>
      <c r="S901" s="617"/>
    </row>
    <row r="902">
      <c r="B902" s="371"/>
      <c r="C902" s="307"/>
      <c r="D902" s="307"/>
      <c r="E902" s="307"/>
      <c r="F902" s="307"/>
      <c r="G902" s="307"/>
      <c r="H902" s="307"/>
      <c r="I902" s="307"/>
      <c r="J902" s="307"/>
      <c r="L902" s="617"/>
      <c r="M902" s="617"/>
      <c r="N902" s="617"/>
      <c r="O902" s="617"/>
      <c r="P902" s="617"/>
      <c r="Q902" s="617"/>
      <c r="R902" s="617"/>
      <c r="S902" s="617"/>
    </row>
    <row r="903">
      <c r="B903" s="371"/>
      <c r="C903" s="307"/>
      <c r="D903" s="307"/>
      <c r="E903" s="307"/>
      <c r="F903" s="307"/>
      <c r="G903" s="307"/>
      <c r="H903" s="307"/>
      <c r="I903" s="307"/>
      <c r="J903" s="307"/>
      <c r="L903" s="617"/>
      <c r="M903" s="617"/>
      <c r="N903" s="617"/>
      <c r="O903" s="617"/>
      <c r="P903" s="617"/>
      <c r="Q903" s="617"/>
      <c r="R903" s="617"/>
      <c r="S903" s="617"/>
    </row>
    <row r="904">
      <c r="B904" s="371"/>
      <c r="C904" s="307"/>
      <c r="D904" s="307"/>
      <c r="E904" s="307"/>
      <c r="F904" s="307"/>
      <c r="G904" s="307"/>
      <c r="H904" s="307"/>
      <c r="I904" s="307"/>
      <c r="J904" s="307"/>
      <c r="L904" s="617"/>
      <c r="M904" s="617"/>
      <c r="N904" s="617"/>
      <c r="O904" s="617"/>
      <c r="P904" s="617"/>
      <c r="Q904" s="617"/>
      <c r="R904" s="617"/>
      <c r="S904" s="617"/>
    </row>
    <row r="905">
      <c r="B905" s="371"/>
      <c r="C905" s="307"/>
      <c r="D905" s="307"/>
      <c r="E905" s="307"/>
      <c r="F905" s="307"/>
      <c r="G905" s="307"/>
      <c r="H905" s="307"/>
      <c r="I905" s="307"/>
      <c r="J905" s="307"/>
      <c r="L905" s="617"/>
      <c r="M905" s="617"/>
      <c r="N905" s="617"/>
      <c r="O905" s="617"/>
      <c r="P905" s="617"/>
      <c r="Q905" s="617"/>
      <c r="R905" s="617"/>
      <c r="S905" s="617"/>
    </row>
    <row r="906">
      <c r="B906" s="371"/>
      <c r="C906" s="307"/>
      <c r="D906" s="307"/>
      <c r="E906" s="307"/>
      <c r="F906" s="307"/>
      <c r="G906" s="307"/>
      <c r="H906" s="307"/>
      <c r="I906" s="307"/>
      <c r="J906" s="307"/>
      <c r="L906" s="617"/>
      <c r="M906" s="617"/>
      <c r="N906" s="617"/>
      <c r="O906" s="617"/>
      <c r="P906" s="617"/>
      <c r="Q906" s="617"/>
      <c r="R906" s="617"/>
      <c r="S906" s="617"/>
    </row>
    <row r="907">
      <c r="B907" s="371"/>
      <c r="C907" s="307"/>
      <c r="D907" s="307"/>
      <c r="E907" s="307"/>
      <c r="F907" s="307"/>
      <c r="G907" s="307"/>
      <c r="H907" s="307"/>
      <c r="I907" s="307"/>
      <c r="J907" s="307"/>
      <c r="L907" s="617"/>
      <c r="M907" s="617"/>
      <c r="N907" s="617"/>
      <c r="O907" s="617"/>
      <c r="P907" s="617"/>
      <c r="Q907" s="617"/>
      <c r="R907" s="617"/>
      <c r="S907" s="617"/>
    </row>
    <row r="908">
      <c r="B908" s="371"/>
      <c r="C908" s="307"/>
      <c r="D908" s="307"/>
      <c r="E908" s="307"/>
      <c r="F908" s="307"/>
      <c r="G908" s="307"/>
      <c r="H908" s="307"/>
      <c r="I908" s="307"/>
      <c r="J908" s="307"/>
      <c r="L908" s="617"/>
      <c r="M908" s="617"/>
      <c r="N908" s="617"/>
      <c r="O908" s="617"/>
      <c r="P908" s="617"/>
      <c r="Q908" s="617"/>
      <c r="R908" s="617"/>
      <c r="S908" s="617"/>
    </row>
    <row r="909">
      <c r="B909" s="371"/>
      <c r="C909" s="307"/>
      <c r="D909" s="307"/>
      <c r="E909" s="307"/>
      <c r="F909" s="307"/>
      <c r="G909" s="307"/>
      <c r="H909" s="307"/>
      <c r="I909" s="307"/>
      <c r="J909" s="307"/>
      <c r="L909" s="617"/>
      <c r="M909" s="617"/>
      <c r="N909" s="617"/>
      <c r="O909" s="617"/>
      <c r="P909" s="617"/>
      <c r="Q909" s="617"/>
      <c r="R909" s="617"/>
      <c r="S909" s="617"/>
    </row>
    <row r="910">
      <c r="B910" s="371"/>
      <c r="C910" s="307"/>
      <c r="D910" s="307"/>
      <c r="E910" s="307"/>
      <c r="F910" s="307"/>
      <c r="G910" s="307"/>
      <c r="H910" s="307"/>
      <c r="I910" s="307"/>
      <c r="J910" s="307"/>
      <c r="L910" s="617"/>
      <c r="M910" s="617"/>
      <c r="N910" s="617"/>
      <c r="O910" s="617"/>
      <c r="P910" s="617"/>
      <c r="Q910" s="617"/>
      <c r="R910" s="617"/>
      <c r="S910" s="617"/>
    </row>
    <row r="911">
      <c r="B911" s="371"/>
      <c r="C911" s="307"/>
      <c r="D911" s="307"/>
      <c r="E911" s="307"/>
      <c r="F911" s="307"/>
      <c r="G911" s="307"/>
      <c r="H911" s="307"/>
      <c r="I911" s="307"/>
      <c r="J911" s="307"/>
      <c r="L911" s="617"/>
      <c r="M911" s="617"/>
      <c r="N911" s="617"/>
      <c r="O911" s="617"/>
      <c r="P911" s="617"/>
      <c r="Q911" s="617"/>
      <c r="R911" s="617"/>
      <c r="S911" s="617"/>
    </row>
    <row r="912">
      <c r="B912" s="371"/>
      <c r="C912" s="307"/>
      <c r="D912" s="307"/>
      <c r="E912" s="307"/>
      <c r="F912" s="307"/>
      <c r="G912" s="307"/>
      <c r="H912" s="307"/>
      <c r="I912" s="307"/>
      <c r="J912" s="307"/>
      <c r="L912" s="617"/>
      <c r="M912" s="617"/>
      <c r="N912" s="617"/>
      <c r="O912" s="617"/>
      <c r="P912" s="617"/>
      <c r="Q912" s="617"/>
      <c r="R912" s="617"/>
      <c r="S912" s="617"/>
    </row>
    <row r="913">
      <c r="B913" s="371"/>
      <c r="C913" s="307"/>
      <c r="D913" s="307"/>
      <c r="E913" s="307"/>
      <c r="F913" s="307"/>
      <c r="G913" s="307"/>
      <c r="H913" s="307"/>
      <c r="I913" s="307"/>
      <c r="J913" s="307"/>
      <c r="L913" s="617"/>
      <c r="M913" s="617"/>
      <c r="N913" s="617"/>
      <c r="O913" s="617"/>
      <c r="P913" s="617"/>
      <c r="Q913" s="617"/>
      <c r="R913" s="617"/>
      <c r="S913" s="617"/>
    </row>
    <row r="914">
      <c r="B914" s="371"/>
      <c r="C914" s="307"/>
      <c r="D914" s="307"/>
      <c r="E914" s="307"/>
      <c r="F914" s="307"/>
      <c r="G914" s="307"/>
      <c r="H914" s="307"/>
      <c r="I914" s="307"/>
      <c r="J914" s="307"/>
      <c r="L914" s="617"/>
      <c r="M914" s="617"/>
      <c r="N914" s="617"/>
      <c r="O914" s="617"/>
      <c r="P914" s="617"/>
      <c r="Q914" s="617"/>
      <c r="R914" s="617"/>
      <c r="S914" s="617"/>
    </row>
    <row r="915">
      <c r="B915" s="371"/>
      <c r="C915" s="307"/>
      <c r="D915" s="307"/>
      <c r="E915" s="307"/>
      <c r="F915" s="307"/>
      <c r="G915" s="307"/>
      <c r="H915" s="307"/>
      <c r="I915" s="307"/>
      <c r="J915" s="307"/>
      <c r="L915" s="617"/>
      <c r="M915" s="617"/>
      <c r="N915" s="617"/>
      <c r="O915" s="617"/>
      <c r="P915" s="617"/>
      <c r="Q915" s="617"/>
      <c r="R915" s="617"/>
      <c r="S915" s="617"/>
    </row>
    <row r="916">
      <c r="B916" s="371"/>
      <c r="C916" s="307"/>
      <c r="D916" s="307"/>
      <c r="E916" s="307"/>
      <c r="F916" s="307"/>
      <c r="G916" s="307"/>
      <c r="H916" s="307"/>
      <c r="I916" s="307"/>
      <c r="J916" s="307"/>
      <c r="L916" s="617"/>
      <c r="M916" s="617"/>
      <c r="N916" s="617"/>
      <c r="O916" s="617"/>
      <c r="P916" s="617"/>
      <c r="Q916" s="617"/>
      <c r="R916" s="617"/>
      <c r="S916" s="617"/>
    </row>
    <row r="917">
      <c r="B917" s="371"/>
      <c r="C917" s="307"/>
      <c r="D917" s="307"/>
      <c r="E917" s="307"/>
      <c r="F917" s="307"/>
      <c r="G917" s="307"/>
      <c r="H917" s="307"/>
      <c r="I917" s="307"/>
      <c r="J917" s="307"/>
      <c r="L917" s="617"/>
      <c r="M917" s="617"/>
      <c r="N917" s="617"/>
      <c r="O917" s="617"/>
      <c r="P917" s="617"/>
      <c r="Q917" s="617"/>
      <c r="R917" s="617"/>
      <c r="S917" s="617"/>
    </row>
    <row r="918">
      <c r="B918" s="371"/>
      <c r="C918" s="307"/>
      <c r="D918" s="307"/>
      <c r="E918" s="307"/>
      <c r="F918" s="307"/>
      <c r="G918" s="307"/>
      <c r="H918" s="307"/>
      <c r="I918" s="307"/>
      <c r="J918" s="307"/>
      <c r="L918" s="617"/>
      <c r="M918" s="617"/>
      <c r="N918" s="617"/>
      <c r="O918" s="617"/>
      <c r="P918" s="617"/>
      <c r="Q918" s="617"/>
      <c r="R918" s="617"/>
      <c r="S918" s="617"/>
    </row>
    <row r="919">
      <c r="B919" s="371"/>
      <c r="C919" s="307"/>
      <c r="D919" s="307"/>
      <c r="E919" s="307"/>
      <c r="F919" s="307"/>
      <c r="G919" s="307"/>
      <c r="H919" s="307"/>
      <c r="I919" s="307"/>
      <c r="J919" s="307"/>
      <c r="L919" s="617"/>
      <c r="M919" s="617"/>
      <c r="N919" s="617"/>
      <c r="O919" s="617"/>
      <c r="P919" s="617"/>
      <c r="Q919" s="617"/>
      <c r="R919" s="617"/>
      <c r="S919" s="617"/>
    </row>
    <row r="920">
      <c r="B920" s="371"/>
      <c r="C920" s="307"/>
      <c r="D920" s="307"/>
      <c r="E920" s="307"/>
      <c r="F920" s="307"/>
      <c r="G920" s="307"/>
      <c r="H920" s="307"/>
      <c r="I920" s="307"/>
      <c r="J920" s="307"/>
      <c r="L920" s="617"/>
      <c r="M920" s="617"/>
      <c r="N920" s="617"/>
      <c r="O920" s="617"/>
      <c r="P920" s="617"/>
      <c r="Q920" s="617"/>
      <c r="R920" s="617"/>
      <c r="S920" s="617"/>
    </row>
    <row r="921">
      <c r="B921" s="371"/>
      <c r="C921" s="307"/>
      <c r="D921" s="307"/>
      <c r="E921" s="307"/>
      <c r="F921" s="307"/>
      <c r="G921" s="307"/>
      <c r="H921" s="307"/>
      <c r="I921" s="307"/>
      <c r="J921" s="307"/>
      <c r="L921" s="617"/>
      <c r="M921" s="617"/>
      <c r="N921" s="617"/>
      <c r="O921" s="617"/>
      <c r="P921" s="617"/>
      <c r="Q921" s="617"/>
      <c r="R921" s="617"/>
      <c r="S921" s="617"/>
    </row>
    <row r="922">
      <c r="B922" s="371"/>
      <c r="C922" s="307"/>
      <c r="D922" s="307"/>
      <c r="E922" s="307"/>
      <c r="F922" s="307"/>
      <c r="G922" s="307"/>
      <c r="H922" s="307"/>
      <c r="I922" s="307"/>
      <c r="J922" s="307"/>
      <c r="L922" s="617"/>
      <c r="M922" s="617"/>
      <c r="N922" s="617"/>
      <c r="O922" s="617"/>
      <c r="P922" s="617"/>
      <c r="Q922" s="617"/>
      <c r="R922" s="617"/>
      <c r="S922" s="617"/>
    </row>
    <row r="923">
      <c r="B923" s="371"/>
      <c r="C923" s="307"/>
      <c r="D923" s="307"/>
      <c r="E923" s="307"/>
      <c r="F923" s="307"/>
      <c r="G923" s="307"/>
      <c r="H923" s="307"/>
      <c r="I923" s="307"/>
      <c r="J923" s="307"/>
      <c r="L923" s="617"/>
      <c r="M923" s="617"/>
      <c r="N923" s="617"/>
      <c r="O923" s="617"/>
      <c r="P923" s="617"/>
      <c r="Q923" s="617"/>
      <c r="R923" s="617"/>
      <c r="S923" s="617"/>
    </row>
    <row r="924">
      <c r="B924" s="371"/>
      <c r="C924" s="307"/>
      <c r="D924" s="307"/>
      <c r="E924" s="307"/>
      <c r="F924" s="307"/>
      <c r="G924" s="307"/>
      <c r="H924" s="307"/>
      <c r="I924" s="307"/>
      <c r="J924" s="307"/>
      <c r="L924" s="617"/>
      <c r="M924" s="617"/>
      <c r="N924" s="617"/>
      <c r="O924" s="617"/>
      <c r="P924" s="617"/>
      <c r="Q924" s="617"/>
      <c r="R924" s="617"/>
      <c r="S924" s="617"/>
    </row>
    <row r="925">
      <c r="B925" s="371"/>
      <c r="C925" s="307"/>
      <c r="D925" s="307"/>
      <c r="E925" s="307"/>
      <c r="F925" s="307"/>
      <c r="G925" s="307"/>
      <c r="H925" s="307"/>
      <c r="I925" s="307"/>
      <c r="J925" s="307"/>
      <c r="L925" s="617"/>
      <c r="M925" s="617"/>
      <c r="N925" s="617"/>
      <c r="O925" s="617"/>
      <c r="P925" s="617"/>
      <c r="Q925" s="617"/>
      <c r="R925" s="617"/>
      <c r="S925" s="617"/>
    </row>
    <row r="926">
      <c r="B926" s="371"/>
      <c r="C926" s="307"/>
      <c r="D926" s="307"/>
      <c r="E926" s="307"/>
      <c r="F926" s="307"/>
      <c r="G926" s="307"/>
      <c r="H926" s="307"/>
      <c r="I926" s="307"/>
      <c r="J926" s="307"/>
      <c r="L926" s="617"/>
      <c r="M926" s="617"/>
      <c r="N926" s="617"/>
      <c r="O926" s="617"/>
      <c r="P926" s="617"/>
      <c r="Q926" s="617"/>
      <c r="R926" s="617"/>
      <c r="S926" s="617"/>
    </row>
    <row r="927">
      <c r="B927" s="371"/>
      <c r="C927" s="307"/>
      <c r="D927" s="307"/>
      <c r="E927" s="307"/>
      <c r="F927" s="307"/>
      <c r="G927" s="307"/>
      <c r="H927" s="307"/>
      <c r="I927" s="307"/>
      <c r="J927" s="307"/>
      <c r="L927" s="617"/>
      <c r="M927" s="617"/>
      <c r="N927" s="617"/>
      <c r="O927" s="617"/>
      <c r="P927" s="617"/>
      <c r="Q927" s="617"/>
      <c r="R927" s="617"/>
      <c r="S927" s="617"/>
    </row>
    <row r="928">
      <c r="B928" s="371"/>
      <c r="C928" s="307"/>
      <c r="D928" s="307"/>
      <c r="E928" s="307"/>
      <c r="F928" s="307"/>
      <c r="G928" s="307"/>
      <c r="H928" s="307"/>
      <c r="I928" s="307"/>
      <c r="J928" s="307"/>
      <c r="L928" s="617"/>
      <c r="M928" s="617"/>
      <c r="N928" s="617"/>
      <c r="O928" s="617"/>
      <c r="P928" s="617"/>
      <c r="Q928" s="617"/>
      <c r="R928" s="617"/>
      <c r="S928" s="617"/>
    </row>
    <row r="929">
      <c r="B929" s="371"/>
      <c r="C929" s="307"/>
      <c r="D929" s="307"/>
      <c r="E929" s="307"/>
      <c r="F929" s="307"/>
      <c r="G929" s="307"/>
      <c r="H929" s="307"/>
      <c r="I929" s="307"/>
      <c r="J929" s="307"/>
      <c r="L929" s="617"/>
      <c r="M929" s="617"/>
      <c r="N929" s="617"/>
      <c r="O929" s="617"/>
      <c r="P929" s="617"/>
      <c r="Q929" s="617"/>
      <c r="R929" s="617"/>
      <c r="S929" s="617"/>
    </row>
    <row r="930">
      <c r="B930" s="371"/>
      <c r="C930" s="307"/>
      <c r="D930" s="307"/>
      <c r="E930" s="307"/>
      <c r="F930" s="307"/>
      <c r="G930" s="307"/>
      <c r="H930" s="307"/>
      <c r="I930" s="307"/>
      <c r="J930" s="307"/>
      <c r="L930" s="617"/>
      <c r="M930" s="617"/>
      <c r="N930" s="617"/>
      <c r="O930" s="617"/>
      <c r="P930" s="617"/>
      <c r="Q930" s="617"/>
      <c r="R930" s="617"/>
      <c r="S930" s="617"/>
    </row>
    <row r="931">
      <c r="B931" s="371"/>
      <c r="C931" s="307"/>
      <c r="D931" s="307"/>
      <c r="E931" s="307"/>
      <c r="F931" s="307"/>
      <c r="G931" s="307"/>
      <c r="H931" s="307"/>
      <c r="I931" s="307"/>
      <c r="J931" s="307"/>
      <c r="L931" s="617"/>
      <c r="M931" s="617"/>
      <c r="N931" s="617"/>
      <c r="O931" s="617"/>
      <c r="P931" s="617"/>
      <c r="Q931" s="617"/>
      <c r="R931" s="617"/>
      <c r="S931" s="617"/>
    </row>
    <row r="932">
      <c r="B932" s="371"/>
      <c r="C932" s="307"/>
      <c r="D932" s="307"/>
      <c r="E932" s="307"/>
      <c r="F932" s="307"/>
      <c r="G932" s="307"/>
      <c r="H932" s="307"/>
      <c r="I932" s="307"/>
      <c r="J932" s="307"/>
      <c r="L932" s="617"/>
      <c r="M932" s="617"/>
      <c r="N932" s="617"/>
      <c r="O932" s="617"/>
      <c r="P932" s="617"/>
      <c r="Q932" s="617"/>
      <c r="R932" s="617"/>
      <c r="S932" s="617"/>
    </row>
    <row r="933">
      <c r="B933" s="371"/>
      <c r="C933" s="307"/>
      <c r="D933" s="307"/>
      <c r="E933" s="307"/>
      <c r="F933" s="307"/>
      <c r="G933" s="307"/>
      <c r="H933" s="307"/>
      <c r="I933" s="307"/>
      <c r="J933" s="307"/>
      <c r="L933" s="617"/>
      <c r="M933" s="617"/>
      <c r="N933" s="617"/>
      <c r="O933" s="617"/>
      <c r="P933" s="617"/>
      <c r="Q933" s="617"/>
      <c r="R933" s="617"/>
      <c r="S933" s="617"/>
    </row>
    <row r="934">
      <c r="B934" s="371"/>
      <c r="C934" s="307"/>
      <c r="D934" s="307"/>
      <c r="E934" s="307"/>
      <c r="F934" s="307"/>
      <c r="G934" s="307"/>
      <c r="H934" s="307"/>
      <c r="I934" s="307"/>
      <c r="J934" s="307"/>
      <c r="L934" s="617"/>
      <c r="M934" s="617"/>
      <c r="N934" s="617"/>
      <c r="O934" s="617"/>
      <c r="P934" s="617"/>
      <c r="Q934" s="617"/>
      <c r="R934" s="617"/>
      <c r="S934" s="617"/>
    </row>
    <row r="935">
      <c r="B935" s="371"/>
      <c r="C935" s="307"/>
      <c r="D935" s="307"/>
      <c r="E935" s="307"/>
      <c r="F935" s="307"/>
      <c r="G935" s="307"/>
      <c r="H935" s="307"/>
      <c r="I935" s="307"/>
      <c r="J935" s="307"/>
      <c r="L935" s="617"/>
      <c r="M935" s="617"/>
      <c r="N935" s="617"/>
      <c r="O935" s="617"/>
      <c r="P935" s="617"/>
      <c r="Q935" s="617"/>
      <c r="R935" s="617"/>
      <c r="S935" s="617"/>
    </row>
    <row r="936">
      <c r="B936" s="371"/>
      <c r="C936" s="307"/>
      <c r="D936" s="307"/>
      <c r="E936" s="307"/>
      <c r="F936" s="307"/>
      <c r="G936" s="307"/>
      <c r="H936" s="307"/>
      <c r="I936" s="307"/>
      <c r="J936" s="307"/>
      <c r="L936" s="617"/>
      <c r="M936" s="617"/>
      <c r="N936" s="617"/>
      <c r="O936" s="617"/>
      <c r="P936" s="617"/>
      <c r="Q936" s="617"/>
      <c r="R936" s="617"/>
      <c r="S936" s="617"/>
    </row>
    <row r="937">
      <c r="B937" s="371"/>
      <c r="C937" s="307"/>
      <c r="D937" s="307"/>
      <c r="E937" s="307"/>
      <c r="F937" s="307"/>
      <c r="G937" s="307"/>
      <c r="H937" s="307"/>
      <c r="I937" s="307"/>
      <c r="J937" s="307"/>
      <c r="L937" s="617"/>
      <c r="M937" s="617"/>
      <c r="N937" s="617"/>
      <c r="O937" s="617"/>
      <c r="P937" s="617"/>
      <c r="Q937" s="617"/>
      <c r="R937" s="617"/>
      <c r="S937" s="617"/>
    </row>
    <row r="938">
      <c r="B938" s="371"/>
      <c r="C938" s="307"/>
      <c r="D938" s="307"/>
      <c r="E938" s="307"/>
      <c r="F938" s="307"/>
      <c r="G938" s="307"/>
      <c r="H938" s="307"/>
      <c r="I938" s="307"/>
      <c r="J938" s="307"/>
      <c r="L938" s="617"/>
      <c r="M938" s="617"/>
      <c r="N938" s="617"/>
      <c r="O938" s="617"/>
      <c r="P938" s="617"/>
      <c r="Q938" s="617"/>
      <c r="R938" s="617"/>
      <c r="S938" s="617"/>
    </row>
    <row r="939">
      <c r="B939" s="371"/>
      <c r="C939" s="307"/>
      <c r="D939" s="307"/>
      <c r="E939" s="307"/>
      <c r="F939" s="307"/>
      <c r="G939" s="307"/>
      <c r="H939" s="307"/>
      <c r="I939" s="307"/>
      <c r="J939" s="307"/>
      <c r="L939" s="617"/>
      <c r="M939" s="617"/>
      <c r="N939" s="617"/>
      <c r="O939" s="617"/>
      <c r="P939" s="617"/>
      <c r="Q939" s="617"/>
      <c r="R939" s="617"/>
      <c r="S939" s="617"/>
    </row>
    <row r="940">
      <c r="B940" s="371"/>
      <c r="C940" s="307"/>
      <c r="D940" s="307"/>
      <c r="E940" s="307"/>
      <c r="F940" s="307"/>
      <c r="G940" s="307"/>
      <c r="H940" s="307"/>
      <c r="I940" s="307"/>
      <c r="J940" s="307"/>
      <c r="L940" s="617"/>
      <c r="M940" s="617"/>
      <c r="N940" s="617"/>
      <c r="O940" s="617"/>
      <c r="P940" s="617"/>
      <c r="Q940" s="617"/>
      <c r="R940" s="617"/>
      <c r="S940" s="617"/>
    </row>
    <row r="941">
      <c r="B941" s="371"/>
      <c r="C941" s="307"/>
      <c r="D941" s="307"/>
      <c r="E941" s="307"/>
      <c r="F941" s="307"/>
      <c r="G941" s="307"/>
      <c r="H941" s="307"/>
      <c r="I941" s="307"/>
      <c r="J941" s="307"/>
      <c r="L941" s="617"/>
      <c r="M941" s="617"/>
      <c r="N941" s="617"/>
      <c r="O941" s="617"/>
      <c r="P941" s="617"/>
      <c r="Q941" s="617"/>
      <c r="R941" s="617"/>
      <c r="S941" s="617"/>
    </row>
    <row r="942">
      <c r="B942" s="371"/>
      <c r="C942" s="307"/>
      <c r="D942" s="307"/>
      <c r="E942" s="307"/>
      <c r="F942" s="307"/>
      <c r="G942" s="307"/>
      <c r="H942" s="307"/>
      <c r="I942" s="307"/>
      <c r="J942" s="307"/>
      <c r="L942" s="617"/>
      <c r="M942" s="617"/>
      <c r="N942" s="617"/>
      <c r="O942" s="617"/>
      <c r="P942" s="617"/>
      <c r="Q942" s="617"/>
      <c r="R942" s="617"/>
      <c r="S942" s="617"/>
    </row>
    <row r="943">
      <c r="B943" s="371"/>
      <c r="C943" s="307"/>
      <c r="D943" s="307"/>
      <c r="E943" s="307"/>
      <c r="F943" s="307"/>
      <c r="G943" s="307"/>
      <c r="H943" s="307"/>
      <c r="I943" s="307"/>
      <c r="J943" s="307"/>
      <c r="L943" s="617"/>
      <c r="M943" s="617"/>
      <c r="N943" s="617"/>
      <c r="O943" s="617"/>
      <c r="P943" s="617"/>
      <c r="Q943" s="617"/>
      <c r="R943" s="617"/>
      <c r="S943" s="617"/>
    </row>
    <row r="944">
      <c r="B944" s="371"/>
      <c r="C944" s="307"/>
      <c r="D944" s="307"/>
      <c r="E944" s="307"/>
      <c r="F944" s="307"/>
      <c r="G944" s="307"/>
      <c r="H944" s="307"/>
      <c r="I944" s="307"/>
      <c r="J944" s="307"/>
      <c r="L944" s="617"/>
      <c r="M944" s="617"/>
      <c r="N944" s="617"/>
      <c r="O944" s="617"/>
      <c r="P944" s="617"/>
      <c r="Q944" s="617"/>
      <c r="R944" s="617"/>
      <c r="S944" s="617"/>
    </row>
    <row r="945">
      <c r="B945" s="371"/>
      <c r="C945" s="307"/>
      <c r="D945" s="307"/>
      <c r="E945" s="307"/>
      <c r="F945" s="307"/>
      <c r="G945" s="307"/>
      <c r="H945" s="307"/>
      <c r="I945" s="307"/>
      <c r="J945" s="307"/>
      <c r="L945" s="617"/>
      <c r="M945" s="617"/>
      <c r="N945" s="617"/>
      <c r="O945" s="617"/>
      <c r="P945" s="617"/>
      <c r="Q945" s="617"/>
      <c r="R945" s="617"/>
      <c r="S945" s="617"/>
    </row>
    <row r="946">
      <c r="B946" s="371"/>
      <c r="C946" s="307"/>
      <c r="D946" s="307"/>
      <c r="E946" s="307"/>
      <c r="F946" s="307"/>
      <c r="G946" s="307"/>
      <c r="H946" s="307"/>
      <c r="I946" s="307"/>
      <c r="J946" s="307"/>
      <c r="L946" s="617"/>
      <c r="M946" s="617"/>
      <c r="N946" s="617"/>
      <c r="O946" s="617"/>
      <c r="P946" s="617"/>
      <c r="Q946" s="617"/>
      <c r="R946" s="617"/>
      <c r="S946" s="617"/>
    </row>
    <row r="947">
      <c r="B947" s="371"/>
      <c r="C947" s="307"/>
      <c r="D947" s="307"/>
      <c r="E947" s="307"/>
      <c r="F947" s="307"/>
      <c r="G947" s="307"/>
      <c r="H947" s="307"/>
      <c r="I947" s="307"/>
      <c r="J947" s="307"/>
      <c r="L947" s="617"/>
      <c r="M947" s="617"/>
      <c r="N947" s="617"/>
      <c r="O947" s="617"/>
      <c r="P947" s="617"/>
      <c r="Q947" s="617"/>
      <c r="R947" s="617"/>
      <c r="S947" s="617"/>
    </row>
    <row r="948">
      <c r="B948" s="371"/>
      <c r="C948" s="307"/>
      <c r="D948" s="307"/>
      <c r="E948" s="307"/>
      <c r="F948" s="307"/>
      <c r="G948" s="307"/>
      <c r="H948" s="307"/>
      <c r="I948" s="307"/>
      <c r="J948" s="307"/>
      <c r="L948" s="617"/>
      <c r="M948" s="617"/>
      <c r="N948" s="617"/>
      <c r="O948" s="617"/>
      <c r="P948" s="617"/>
      <c r="Q948" s="617"/>
      <c r="R948" s="617"/>
      <c r="S948" s="617"/>
    </row>
    <row r="949">
      <c r="B949" s="371"/>
      <c r="C949" s="307"/>
      <c r="D949" s="307"/>
      <c r="E949" s="307"/>
      <c r="F949" s="307"/>
      <c r="G949" s="307"/>
      <c r="H949" s="307"/>
      <c r="I949" s="307"/>
      <c r="J949" s="307"/>
      <c r="L949" s="617"/>
      <c r="M949" s="617"/>
      <c r="N949" s="617"/>
      <c r="O949" s="617"/>
      <c r="P949" s="617"/>
      <c r="Q949" s="617"/>
      <c r="R949" s="617"/>
      <c r="S949" s="617"/>
    </row>
    <row r="950">
      <c r="B950" s="371"/>
      <c r="C950" s="307"/>
      <c r="D950" s="307"/>
      <c r="E950" s="307"/>
      <c r="F950" s="307"/>
      <c r="G950" s="307"/>
      <c r="H950" s="307"/>
      <c r="I950" s="307"/>
      <c r="J950" s="307"/>
      <c r="L950" s="617"/>
      <c r="M950" s="617"/>
      <c r="N950" s="617"/>
      <c r="O950" s="617"/>
      <c r="P950" s="617"/>
      <c r="Q950" s="617"/>
      <c r="R950" s="617"/>
      <c r="S950" s="617"/>
    </row>
    <row r="951">
      <c r="B951" s="371"/>
      <c r="C951" s="307"/>
      <c r="D951" s="307"/>
      <c r="E951" s="307"/>
      <c r="F951" s="307"/>
      <c r="G951" s="307"/>
      <c r="H951" s="307"/>
      <c r="I951" s="307"/>
      <c r="J951" s="307"/>
      <c r="L951" s="617"/>
      <c r="M951" s="617"/>
      <c r="N951" s="617"/>
      <c r="O951" s="617"/>
      <c r="P951" s="617"/>
      <c r="Q951" s="617"/>
      <c r="R951" s="617"/>
      <c r="S951" s="617"/>
    </row>
    <row r="952">
      <c r="B952" s="371"/>
      <c r="C952" s="307"/>
      <c r="D952" s="307"/>
      <c r="E952" s="307"/>
      <c r="F952" s="307"/>
      <c r="G952" s="307"/>
      <c r="H952" s="307"/>
      <c r="I952" s="307"/>
      <c r="J952" s="307"/>
      <c r="L952" s="617"/>
      <c r="M952" s="617"/>
      <c r="N952" s="617"/>
      <c r="O952" s="617"/>
      <c r="P952" s="617"/>
      <c r="Q952" s="617"/>
      <c r="R952" s="617"/>
      <c r="S952" s="617"/>
    </row>
    <row r="953">
      <c r="B953" s="371"/>
      <c r="C953" s="307"/>
      <c r="D953" s="307"/>
      <c r="E953" s="307"/>
      <c r="F953" s="307"/>
      <c r="G953" s="307"/>
      <c r="H953" s="307"/>
      <c r="I953" s="307"/>
      <c r="J953" s="307"/>
      <c r="L953" s="617"/>
      <c r="M953" s="617"/>
      <c r="N953" s="617"/>
      <c r="O953" s="617"/>
      <c r="P953" s="617"/>
      <c r="Q953" s="617"/>
      <c r="R953" s="617"/>
      <c r="S953" s="617"/>
    </row>
    <row r="954">
      <c r="B954" s="371"/>
      <c r="C954" s="307"/>
      <c r="D954" s="307"/>
      <c r="E954" s="307"/>
      <c r="F954" s="307"/>
      <c r="G954" s="307"/>
      <c r="H954" s="307"/>
      <c r="I954" s="307"/>
      <c r="J954" s="307"/>
      <c r="L954" s="617"/>
      <c r="M954" s="617"/>
      <c r="N954" s="617"/>
      <c r="O954" s="617"/>
      <c r="P954" s="617"/>
      <c r="Q954" s="617"/>
      <c r="R954" s="617"/>
      <c r="S954" s="617"/>
    </row>
    <row r="955">
      <c r="B955" s="371"/>
      <c r="C955" s="307"/>
      <c r="D955" s="307"/>
      <c r="E955" s="307"/>
      <c r="F955" s="307"/>
      <c r="G955" s="307"/>
      <c r="H955" s="307"/>
      <c r="I955" s="307"/>
      <c r="J955" s="307"/>
      <c r="L955" s="617"/>
      <c r="M955" s="617"/>
      <c r="N955" s="617"/>
      <c r="O955" s="617"/>
      <c r="P955" s="617"/>
      <c r="Q955" s="617"/>
      <c r="R955" s="617"/>
      <c r="S955" s="617"/>
    </row>
    <row r="956">
      <c r="B956" s="371"/>
      <c r="C956" s="307"/>
      <c r="D956" s="307"/>
      <c r="E956" s="307"/>
      <c r="F956" s="307"/>
      <c r="G956" s="307"/>
      <c r="H956" s="307"/>
      <c r="I956" s="307"/>
      <c r="J956" s="307"/>
      <c r="L956" s="617"/>
      <c r="M956" s="617"/>
      <c r="N956" s="617"/>
      <c r="O956" s="617"/>
      <c r="P956" s="617"/>
      <c r="Q956" s="617"/>
      <c r="R956" s="617"/>
      <c r="S956" s="617"/>
    </row>
    <row r="957">
      <c r="B957" s="371"/>
      <c r="C957" s="307"/>
      <c r="D957" s="307"/>
      <c r="E957" s="307"/>
      <c r="F957" s="307"/>
      <c r="G957" s="307"/>
      <c r="H957" s="307"/>
      <c r="I957" s="307"/>
      <c r="J957" s="307"/>
      <c r="L957" s="617"/>
      <c r="M957" s="617"/>
      <c r="N957" s="617"/>
      <c r="O957" s="617"/>
      <c r="P957" s="617"/>
      <c r="Q957" s="617"/>
      <c r="R957" s="617"/>
      <c r="S957" s="617"/>
    </row>
    <row r="958">
      <c r="B958" s="371"/>
      <c r="C958" s="307"/>
      <c r="D958" s="307"/>
      <c r="E958" s="307"/>
      <c r="F958" s="307"/>
      <c r="G958" s="307"/>
      <c r="H958" s="307"/>
      <c r="I958" s="307"/>
      <c r="J958" s="307"/>
      <c r="L958" s="617"/>
      <c r="M958" s="617"/>
      <c r="N958" s="617"/>
      <c r="O958" s="617"/>
      <c r="P958" s="617"/>
      <c r="Q958" s="617"/>
      <c r="R958" s="617"/>
      <c r="S958" s="617"/>
    </row>
    <row r="959">
      <c r="B959" s="371"/>
      <c r="C959" s="307"/>
      <c r="D959" s="307"/>
      <c r="E959" s="307"/>
      <c r="F959" s="307"/>
      <c r="G959" s="307"/>
      <c r="H959" s="307"/>
      <c r="I959" s="307"/>
      <c r="J959" s="307"/>
      <c r="L959" s="617"/>
      <c r="M959" s="617"/>
      <c r="N959" s="617"/>
      <c r="O959" s="617"/>
      <c r="P959" s="617"/>
      <c r="Q959" s="617"/>
      <c r="R959" s="617"/>
      <c r="S959" s="617"/>
    </row>
    <row r="960">
      <c r="B960" s="371"/>
      <c r="C960" s="307"/>
      <c r="D960" s="307"/>
      <c r="E960" s="307"/>
      <c r="F960" s="307"/>
      <c r="G960" s="307"/>
      <c r="H960" s="307"/>
      <c r="I960" s="307"/>
      <c r="J960" s="307"/>
      <c r="L960" s="617"/>
      <c r="M960" s="617"/>
      <c r="N960" s="617"/>
      <c r="O960" s="617"/>
      <c r="P960" s="617"/>
      <c r="Q960" s="617"/>
      <c r="R960" s="617"/>
      <c r="S960" s="617"/>
    </row>
    <row r="961">
      <c r="B961" s="371"/>
      <c r="C961" s="307"/>
      <c r="D961" s="307"/>
      <c r="E961" s="307"/>
      <c r="F961" s="307"/>
      <c r="G961" s="307"/>
      <c r="H961" s="307"/>
      <c r="I961" s="307"/>
      <c r="J961" s="307"/>
      <c r="L961" s="617"/>
      <c r="M961" s="617"/>
      <c r="N961" s="617"/>
      <c r="O961" s="617"/>
      <c r="P961" s="617"/>
      <c r="Q961" s="617"/>
      <c r="R961" s="617"/>
      <c r="S961" s="617"/>
    </row>
    <row r="962">
      <c r="B962" s="371"/>
      <c r="C962" s="307"/>
      <c r="D962" s="307"/>
      <c r="E962" s="307"/>
      <c r="F962" s="307"/>
      <c r="G962" s="307"/>
      <c r="H962" s="307"/>
      <c r="I962" s="307"/>
      <c r="J962" s="307"/>
      <c r="L962" s="617"/>
      <c r="M962" s="617"/>
      <c r="N962" s="617"/>
      <c r="O962" s="617"/>
      <c r="P962" s="617"/>
      <c r="Q962" s="617"/>
      <c r="R962" s="617"/>
      <c r="S962" s="617"/>
    </row>
    <row r="963">
      <c r="B963" s="371"/>
      <c r="C963" s="307"/>
      <c r="D963" s="307"/>
      <c r="E963" s="307"/>
      <c r="F963" s="307"/>
      <c r="G963" s="307"/>
      <c r="H963" s="307"/>
      <c r="I963" s="307"/>
      <c r="J963" s="307"/>
      <c r="L963" s="617"/>
      <c r="M963" s="617"/>
      <c r="N963" s="617"/>
      <c r="O963" s="617"/>
      <c r="P963" s="617"/>
      <c r="Q963" s="617"/>
      <c r="R963" s="617"/>
      <c r="S963" s="617"/>
    </row>
    <row r="964">
      <c r="B964" s="371"/>
      <c r="C964" s="307"/>
      <c r="D964" s="307"/>
      <c r="E964" s="307"/>
      <c r="F964" s="307"/>
      <c r="G964" s="307"/>
      <c r="H964" s="307"/>
      <c r="I964" s="307"/>
      <c r="J964" s="307"/>
      <c r="L964" s="617"/>
      <c r="M964" s="617"/>
      <c r="N964" s="617"/>
      <c r="O964" s="617"/>
      <c r="P964" s="617"/>
      <c r="Q964" s="617"/>
      <c r="R964" s="617"/>
      <c r="S964" s="617"/>
    </row>
    <row r="965">
      <c r="B965" s="371"/>
      <c r="C965" s="307"/>
      <c r="D965" s="307"/>
      <c r="E965" s="307"/>
      <c r="F965" s="307"/>
      <c r="G965" s="307"/>
      <c r="H965" s="307"/>
      <c r="I965" s="307"/>
      <c r="J965" s="307"/>
      <c r="L965" s="617"/>
      <c r="M965" s="617"/>
      <c r="N965" s="617"/>
      <c r="O965" s="617"/>
      <c r="P965" s="617"/>
      <c r="Q965" s="617"/>
      <c r="R965" s="617"/>
      <c r="S965" s="617"/>
    </row>
    <row r="966">
      <c r="B966" s="371"/>
      <c r="C966" s="307"/>
      <c r="D966" s="307"/>
      <c r="E966" s="307"/>
      <c r="F966" s="307"/>
      <c r="G966" s="307"/>
      <c r="H966" s="307"/>
      <c r="I966" s="307"/>
      <c r="J966" s="307"/>
      <c r="L966" s="617"/>
      <c r="M966" s="617"/>
      <c r="N966" s="617"/>
      <c r="O966" s="617"/>
      <c r="P966" s="617"/>
      <c r="Q966" s="617"/>
      <c r="R966" s="617"/>
      <c r="S966" s="617"/>
    </row>
    <row r="967">
      <c r="B967" s="371"/>
      <c r="C967" s="307"/>
      <c r="D967" s="307"/>
      <c r="E967" s="307"/>
      <c r="F967" s="307"/>
      <c r="G967" s="307"/>
      <c r="H967" s="307"/>
      <c r="I967" s="307"/>
      <c r="J967" s="307"/>
      <c r="L967" s="617"/>
      <c r="M967" s="617"/>
      <c r="N967" s="617"/>
      <c r="O967" s="617"/>
      <c r="P967" s="617"/>
      <c r="Q967" s="617"/>
      <c r="R967" s="617"/>
      <c r="S967" s="617"/>
    </row>
    <row r="968">
      <c r="B968" s="371"/>
      <c r="C968" s="307"/>
      <c r="D968" s="307"/>
      <c r="E968" s="307"/>
      <c r="F968" s="307"/>
      <c r="G968" s="307"/>
      <c r="H968" s="307"/>
      <c r="I968" s="307"/>
      <c r="J968" s="307"/>
      <c r="L968" s="617"/>
      <c r="M968" s="617"/>
      <c r="N968" s="617"/>
      <c r="O968" s="617"/>
      <c r="P968" s="617"/>
      <c r="Q968" s="617"/>
      <c r="R968" s="617"/>
      <c r="S968" s="617"/>
    </row>
    <row r="969">
      <c r="B969" s="371"/>
      <c r="C969" s="307"/>
      <c r="D969" s="307"/>
      <c r="E969" s="307"/>
      <c r="F969" s="307"/>
      <c r="G969" s="307"/>
      <c r="H969" s="307"/>
      <c r="I969" s="307"/>
      <c r="J969" s="307"/>
      <c r="L969" s="617"/>
      <c r="M969" s="617"/>
      <c r="N969" s="617"/>
      <c r="O969" s="617"/>
      <c r="P969" s="617"/>
      <c r="Q969" s="617"/>
      <c r="R969" s="617"/>
      <c r="S969" s="617"/>
    </row>
    <row r="970">
      <c r="B970" s="371"/>
      <c r="C970" s="307"/>
      <c r="D970" s="307"/>
      <c r="E970" s="307"/>
      <c r="F970" s="307"/>
      <c r="G970" s="307"/>
      <c r="H970" s="307"/>
      <c r="I970" s="307"/>
      <c r="J970" s="307"/>
      <c r="L970" s="617"/>
      <c r="M970" s="617"/>
      <c r="N970" s="617"/>
      <c r="O970" s="617"/>
      <c r="P970" s="617"/>
      <c r="Q970" s="617"/>
      <c r="R970" s="617"/>
      <c r="S970" s="617"/>
    </row>
    <row r="971">
      <c r="B971" s="371"/>
      <c r="C971" s="307"/>
      <c r="D971" s="307"/>
      <c r="E971" s="307"/>
      <c r="F971" s="307"/>
      <c r="G971" s="307"/>
      <c r="H971" s="307"/>
      <c r="I971" s="307"/>
      <c r="J971" s="307"/>
      <c r="L971" s="617"/>
      <c r="M971" s="617"/>
      <c r="N971" s="617"/>
      <c r="O971" s="617"/>
      <c r="P971" s="617"/>
      <c r="Q971" s="617"/>
      <c r="R971" s="617"/>
      <c r="S971" s="617"/>
    </row>
    <row r="972">
      <c r="B972" s="371"/>
      <c r="C972" s="307"/>
      <c r="D972" s="307"/>
      <c r="E972" s="307"/>
      <c r="F972" s="307"/>
      <c r="G972" s="307"/>
      <c r="H972" s="307"/>
      <c r="I972" s="307"/>
      <c r="J972" s="307"/>
      <c r="L972" s="617"/>
      <c r="M972" s="617"/>
      <c r="N972" s="617"/>
      <c r="O972" s="617"/>
      <c r="P972" s="617"/>
      <c r="Q972" s="617"/>
      <c r="R972" s="617"/>
      <c r="S972" s="617"/>
    </row>
    <row r="973">
      <c r="B973" s="371"/>
      <c r="C973" s="307"/>
      <c r="D973" s="307"/>
      <c r="E973" s="307"/>
      <c r="F973" s="307"/>
      <c r="G973" s="307"/>
      <c r="H973" s="307"/>
      <c r="I973" s="307"/>
      <c r="J973" s="307"/>
      <c r="L973" s="617"/>
      <c r="M973" s="617"/>
      <c r="N973" s="617"/>
      <c r="O973" s="617"/>
      <c r="P973" s="617"/>
      <c r="Q973" s="617"/>
      <c r="R973" s="617"/>
      <c r="S973" s="617"/>
    </row>
    <row r="974">
      <c r="B974" s="371"/>
      <c r="C974" s="307"/>
      <c r="D974" s="307"/>
      <c r="E974" s="307"/>
      <c r="F974" s="307"/>
      <c r="G974" s="307"/>
      <c r="H974" s="307"/>
      <c r="I974" s="307"/>
      <c r="J974" s="307"/>
      <c r="L974" s="617"/>
      <c r="M974" s="617"/>
      <c r="N974" s="617"/>
      <c r="O974" s="617"/>
      <c r="P974" s="617"/>
      <c r="Q974" s="617"/>
      <c r="R974" s="617"/>
      <c r="S974" s="617"/>
    </row>
    <row r="975">
      <c r="B975" s="371"/>
      <c r="C975" s="307"/>
      <c r="D975" s="307"/>
      <c r="E975" s="307"/>
      <c r="F975" s="307"/>
      <c r="G975" s="307"/>
      <c r="H975" s="307"/>
      <c r="I975" s="307"/>
      <c r="J975" s="307"/>
      <c r="L975" s="617"/>
      <c r="M975" s="617"/>
      <c r="N975" s="617"/>
      <c r="O975" s="617"/>
      <c r="P975" s="617"/>
      <c r="Q975" s="617"/>
      <c r="R975" s="617"/>
      <c r="S975" s="617"/>
    </row>
    <row r="976">
      <c r="B976" s="371"/>
      <c r="C976" s="307"/>
      <c r="D976" s="307"/>
      <c r="E976" s="307"/>
      <c r="F976" s="307"/>
      <c r="G976" s="307"/>
      <c r="H976" s="307"/>
      <c r="I976" s="307"/>
      <c r="J976" s="307"/>
      <c r="L976" s="617"/>
      <c r="M976" s="617"/>
      <c r="N976" s="617"/>
      <c r="O976" s="617"/>
      <c r="P976" s="617"/>
      <c r="Q976" s="617"/>
      <c r="R976" s="617"/>
      <c r="S976" s="617"/>
    </row>
    <row r="977">
      <c r="B977" s="371"/>
      <c r="C977" s="307"/>
      <c r="D977" s="307"/>
      <c r="E977" s="307"/>
      <c r="F977" s="307"/>
      <c r="G977" s="307"/>
      <c r="H977" s="307"/>
      <c r="I977" s="307"/>
      <c r="J977" s="307"/>
      <c r="L977" s="617"/>
      <c r="M977" s="617"/>
      <c r="N977" s="617"/>
      <c r="O977" s="617"/>
      <c r="P977" s="617"/>
      <c r="Q977" s="617"/>
      <c r="R977" s="617"/>
      <c r="S977" s="617"/>
    </row>
    <row r="978">
      <c r="B978" s="371"/>
      <c r="C978" s="307"/>
      <c r="D978" s="307"/>
      <c r="E978" s="307"/>
      <c r="F978" s="307"/>
      <c r="G978" s="307"/>
      <c r="H978" s="307"/>
      <c r="I978" s="307"/>
      <c r="J978" s="307"/>
      <c r="L978" s="617"/>
      <c r="M978" s="617"/>
      <c r="N978" s="617"/>
      <c r="O978" s="617"/>
      <c r="P978" s="617"/>
      <c r="Q978" s="617"/>
      <c r="R978" s="617"/>
      <c r="S978" s="617"/>
    </row>
    <row r="979">
      <c r="B979" s="371"/>
      <c r="C979" s="307"/>
      <c r="D979" s="307"/>
      <c r="E979" s="307"/>
      <c r="F979" s="307"/>
      <c r="G979" s="307"/>
      <c r="H979" s="307"/>
      <c r="I979" s="307"/>
      <c r="J979" s="307"/>
      <c r="L979" s="617"/>
      <c r="M979" s="617"/>
      <c r="N979" s="617"/>
      <c r="O979" s="617"/>
      <c r="P979" s="617"/>
      <c r="Q979" s="617"/>
      <c r="R979" s="617"/>
      <c r="S979" s="617"/>
    </row>
    <row r="980">
      <c r="B980" s="371"/>
      <c r="C980" s="307"/>
      <c r="D980" s="307"/>
      <c r="E980" s="307"/>
      <c r="F980" s="307"/>
      <c r="G980" s="307"/>
      <c r="H980" s="307"/>
      <c r="I980" s="307"/>
      <c r="J980" s="307"/>
      <c r="L980" s="617"/>
      <c r="M980" s="617"/>
      <c r="N980" s="617"/>
      <c r="O980" s="617"/>
      <c r="P980" s="617"/>
      <c r="Q980" s="617"/>
      <c r="R980" s="617"/>
      <c r="S980" s="617"/>
    </row>
    <row r="981">
      <c r="B981" s="371"/>
      <c r="C981" s="307"/>
      <c r="D981" s="307"/>
      <c r="E981" s="307"/>
      <c r="F981" s="307"/>
      <c r="G981" s="307"/>
      <c r="H981" s="307"/>
      <c r="I981" s="307"/>
      <c r="J981" s="307"/>
      <c r="L981" s="617"/>
      <c r="M981" s="617"/>
      <c r="N981" s="617"/>
      <c r="O981" s="617"/>
      <c r="P981" s="617"/>
      <c r="Q981" s="617"/>
      <c r="R981" s="617"/>
      <c r="S981" s="617"/>
    </row>
    <row r="982">
      <c r="B982" s="371"/>
      <c r="C982" s="307"/>
      <c r="D982" s="307"/>
      <c r="E982" s="307"/>
      <c r="F982" s="307"/>
      <c r="G982" s="307"/>
      <c r="H982" s="307"/>
      <c r="I982" s="307"/>
      <c r="J982" s="307"/>
      <c r="L982" s="617"/>
      <c r="M982" s="617"/>
      <c r="N982" s="617"/>
      <c r="O982" s="617"/>
      <c r="P982" s="617"/>
      <c r="Q982" s="617"/>
      <c r="R982" s="617"/>
      <c r="S982" s="617"/>
    </row>
    <row r="983">
      <c r="B983" s="371"/>
      <c r="C983" s="307"/>
      <c r="D983" s="307"/>
      <c r="E983" s="307"/>
      <c r="F983" s="307"/>
      <c r="G983" s="307"/>
      <c r="H983" s="307"/>
      <c r="I983" s="307"/>
      <c r="J983" s="307"/>
      <c r="L983" s="617"/>
      <c r="M983" s="617"/>
      <c r="N983" s="617"/>
      <c r="O983" s="617"/>
      <c r="P983" s="617"/>
      <c r="Q983" s="617"/>
      <c r="R983" s="617"/>
      <c r="S983" s="617"/>
    </row>
    <row r="984">
      <c r="B984" s="371"/>
      <c r="C984" s="307"/>
      <c r="D984" s="307"/>
      <c r="E984" s="307"/>
      <c r="F984" s="307"/>
      <c r="G984" s="307"/>
      <c r="H984" s="307"/>
      <c r="I984" s="307"/>
      <c r="J984" s="307"/>
      <c r="L984" s="617"/>
      <c r="M984" s="617"/>
      <c r="N984" s="617"/>
      <c r="O984" s="617"/>
      <c r="P984" s="617"/>
      <c r="Q984" s="617"/>
      <c r="R984" s="617"/>
      <c r="S984" s="617"/>
    </row>
    <row r="985">
      <c r="B985" s="371"/>
      <c r="C985" s="307"/>
      <c r="D985" s="307"/>
      <c r="E985" s="307"/>
      <c r="F985" s="307"/>
      <c r="G985" s="307"/>
      <c r="H985" s="307"/>
      <c r="I985" s="307"/>
      <c r="J985" s="307"/>
      <c r="L985" s="617"/>
      <c r="M985" s="617"/>
      <c r="N985" s="617"/>
      <c r="O985" s="617"/>
      <c r="P985" s="617"/>
      <c r="Q985" s="617"/>
      <c r="R985" s="617"/>
      <c r="S985" s="617"/>
    </row>
    <row r="986">
      <c r="B986" s="371"/>
      <c r="C986" s="307"/>
      <c r="D986" s="307"/>
      <c r="E986" s="307"/>
      <c r="F986" s="307"/>
      <c r="G986" s="307"/>
      <c r="H986" s="307"/>
      <c r="I986" s="307"/>
      <c r="J986" s="307"/>
      <c r="L986" s="617"/>
      <c r="M986" s="617"/>
      <c r="N986" s="617"/>
      <c r="O986" s="617"/>
      <c r="P986" s="617"/>
      <c r="Q986" s="617"/>
      <c r="R986" s="617"/>
      <c r="S986" s="617"/>
    </row>
    <row r="987">
      <c r="B987" s="371"/>
      <c r="C987" s="307"/>
      <c r="D987" s="307"/>
      <c r="E987" s="307"/>
      <c r="F987" s="307"/>
      <c r="G987" s="307"/>
      <c r="H987" s="307"/>
      <c r="I987" s="307"/>
      <c r="J987" s="307"/>
      <c r="L987" s="617"/>
      <c r="M987" s="617"/>
      <c r="N987" s="617"/>
      <c r="O987" s="617"/>
      <c r="P987" s="617"/>
      <c r="Q987" s="617"/>
      <c r="R987" s="617"/>
      <c r="S987" s="617"/>
    </row>
    <row r="988">
      <c r="B988" s="371"/>
      <c r="C988" s="307"/>
      <c r="D988" s="307"/>
      <c r="E988" s="307"/>
      <c r="F988" s="307"/>
      <c r="G988" s="307"/>
      <c r="H988" s="307"/>
      <c r="I988" s="307"/>
      <c r="J988" s="307"/>
      <c r="L988" s="617"/>
      <c r="M988" s="617"/>
      <c r="N988" s="617"/>
      <c r="O988" s="617"/>
      <c r="P988" s="617"/>
      <c r="Q988" s="617"/>
      <c r="R988" s="617"/>
      <c r="S988" s="617"/>
    </row>
    <row r="989">
      <c r="B989" s="371"/>
      <c r="C989" s="307"/>
      <c r="D989" s="307"/>
      <c r="E989" s="307"/>
      <c r="F989" s="307"/>
      <c r="G989" s="307"/>
      <c r="H989" s="307"/>
      <c r="I989" s="307"/>
      <c r="J989" s="307"/>
      <c r="L989" s="617"/>
      <c r="M989" s="617"/>
      <c r="N989" s="617"/>
      <c r="O989" s="617"/>
      <c r="P989" s="617"/>
      <c r="Q989" s="617"/>
      <c r="R989" s="617"/>
      <c r="S989" s="617"/>
    </row>
    <row r="990">
      <c r="B990" s="371"/>
      <c r="C990" s="307"/>
      <c r="D990" s="307"/>
      <c r="E990" s="307"/>
      <c r="F990" s="307"/>
      <c r="G990" s="307"/>
      <c r="H990" s="307"/>
      <c r="I990" s="307"/>
      <c r="J990" s="307"/>
      <c r="L990" s="617"/>
      <c r="M990" s="617"/>
      <c r="N990" s="617"/>
      <c r="O990" s="617"/>
      <c r="P990" s="617"/>
      <c r="Q990" s="617"/>
      <c r="R990" s="617"/>
      <c r="S990" s="617"/>
    </row>
    <row r="991">
      <c r="B991" s="371"/>
      <c r="C991" s="307"/>
      <c r="D991" s="307"/>
      <c r="E991" s="307"/>
      <c r="F991" s="307"/>
      <c r="G991" s="307"/>
      <c r="H991" s="307"/>
      <c r="I991" s="307"/>
      <c r="J991" s="307"/>
      <c r="L991" s="617"/>
      <c r="M991" s="617"/>
      <c r="N991" s="617"/>
      <c r="O991" s="617"/>
      <c r="P991" s="617"/>
      <c r="Q991" s="617"/>
      <c r="R991" s="617"/>
      <c r="S991" s="617"/>
    </row>
  </sheetData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7.25"/>
    <col customWidth="1" min="2" max="2" width="14.5"/>
    <col customWidth="1" min="3" max="3" width="10.88"/>
    <col customWidth="1" min="4" max="5" width="9.38"/>
    <col customWidth="1" min="6" max="6" width="9.88"/>
    <col customWidth="1" min="7" max="7" width="10.5"/>
    <col customWidth="1" min="8" max="25" width="9.38"/>
  </cols>
  <sheetData>
    <row r="1">
      <c r="A1" s="640" t="s">
        <v>3657</v>
      </c>
      <c r="B1" s="288" t="s">
        <v>2854</v>
      </c>
      <c r="C1" s="288" t="s">
        <v>2</v>
      </c>
      <c r="D1" s="288" t="s">
        <v>3658</v>
      </c>
      <c r="E1" s="288" t="s">
        <v>3659</v>
      </c>
      <c r="F1" s="288" t="s">
        <v>3660</v>
      </c>
      <c r="G1" s="641" t="s">
        <v>3661</v>
      </c>
    </row>
    <row r="2">
      <c r="A2" s="288">
        <v>11.0</v>
      </c>
      <c r="B2" s="288">
        <v>12.0</v>
      </c>
      <c r="C2" s="642">
        <v>0.0</v>
      </c>
      <c r="D2" s="288">
        <v>15.0</v>
      </c>
      <c r="E2" s="126"/>
      <c r="F2" s="288">
        <v>10.0</v>
      </c>
      <c r="G2" s="643">
        <f t="shared" ref="G2:G9" si="1">SUM(C2:F2)</f>
        <v>25</v>
      </c>
    </row>
    <row r="3">
      <c r="A3" s="288">
        <v>12.0</v>
      </c>
      <c r="B3" s="288">
        <v>14.0</v>
      </c>
      <c r="C3" s="644">
        <v>10.0</v>
      </c>
      <c r="D3" s="287"/>
      <c r="E3" s="126"/>
      <c r="F3" s="288">
        <v>10.0</v>
      </c>
      <c r="G3" s="643">
        <f t="shared" si="1"/>
        <v>20</v>
      </c>
    </row>
    <row r="4">
      <c r="A4" s="288">
        <v>13.0</v>
      </c>
      <c r="B4" s="288">
        <v>11.0</v>
      </c>
      <c r="C4" s="642">
        <v>10.0</v>
      </c>
      <c r="D4" s="287"/>
      <c r="E4" s="126"/>
      <c r="F4" s="288">
        <v>10.0</v>
      </c>
      <c r="G4" s="643">
        <f t="shared" si="1"/>
        <v>20</v>
      </c>
    </row>
    <row r="5">
      <c r="A5" s="288">
        <v>14.0</v>
      </c>
      <c r="B5" s="288">
        <v>16.0</v>
      </c>
      <c r="C5" s="644">
        <v>5.0</v>
      </c>
      <c r="D5" s="287"/>
      <c r="E5" s="126"/>
      <c r="F5" s="287"/>
      <c r="G5" s="643">
        <f t="shared" si="1"/>
        <v>5</v>
      </c>
    </row>
    <row r="6">
      <c r="A6" s="288">
        <v>15.0</v>
      </c>
      <c r="B6" s="288">
        <v>11.0</v>
      </c>
      <c r="C6" s="642">
        <v>5.0</v>
      </c>
      <c r="D6" s="287"/>
      <c r="E6" s="126"/>
      <c r="F6" s="287"/>
      <c r="G6" s="643">
        <f t="shared" si="1"/>
        <v>5</v>
      </c>
    </row>
    <row r="7">
      <c r="A7" s="288">
        <v>16.0</v>
      </c>
      <c r="B7" s="288">
        <v>10.0</v>
      </c>
      <c r="C7" s="642">
        <v>5.0</v>
      </c>
      <c r="D7" s="287"/>
      <c r="E7" s="126"/>
      <c r="F7" s="288">
        <v>10.0</v>
      </c>
      <c r="G7" s="643">
        <f t="shared" si="1"/>
        <v>15</v>
      </c>
    </row>
    <row r="8">
      <c r="A8" s="288">
        <v>17.0</v>
      </c>
      <c r="B8" s="288">
        <v>13.0</v>
      </c>
      <c r="C8" s="644">
        <v>5.0</v>
      </c>
      <c r="D8" s="287"/>
      <c r="E8" s="126"/>
      <c r="F8" s="287"/>
      <c r="G8" s="643">
        <f t="shared" si="1"/>
        <v>5</v>
      </c>
    </row>
    <row r="9">
      <c r="A9" s="288">
        <v>18.0</v>
      </c>
      <c r="B9" s="288">
        <v>19.0</v>
      </c>
      <c r="C9" s="644">
        <v>5.0</v>
      </c>
      <c r="D9" s="287"/>
      <c r="E9" s="126"/>
      <c r="F9" s="287"/>
      <c r="G9" s="643">
        <f t="shared" si="1"/>
        <v>5</v>
      </c>
    </row>
    <row r="10">
      <c r="A10" s="287"/>
      <c r="B10" s="287"/>
      <c r="C10" s="645"/>
      <c r="D10" s="287"/>
      <c r="E10" s="126"/>
      <c r="F10" s="287"/>
      <c r="G10" s="287"/>
    </row>
    <row r="11">
      <c r="A11" s="288">
        <v>21.0</v>
      </c>
      <c r="B11" s="288">
        <v>10.0</v>
      </c>
      <c r="C11" s="642">
        <v>0.0</v>
      </c>
      <c r="D11" s="288">
        <v>10.0</v>
      </c>
      <c r="E11" s="126"/>
      <c r="F11" s="288">
        <v>20.0</v>
      </c>
      <c r="G11" s="643">
        <f t="shared" ref="G11:G18" si="2">SUM(C11:F11)</f>
        <v>30</v>
      </c>
    </row>
    <row r="12">
      <c r="A12" s="288">
        <v>22.0</v>
      </c>
      <c r="B12" s="288">
        <v>15.0</v>
      </c>
      <c r="C12" s="644">
        <v>10.0</v>
      </c>
      <c r="D12" s="288">
        <v>5.0</v>
      </c>
      <c r="E12" s="126"/>
      <c r="F12" s="288">
        <v>10.0</v>
      </c>
      <c r="G12" s="643">
        <f t="shared" si="2"/>
        <v>25</v>
      </c>
    </row>
    <row r="13">
      <c r="A13" s="288">
        <v>23.0</v>
      </c>
      <c r="B13" s="288">
        <v>15.0</v>
      </c>
      <c r="C13" s="644">
        <v>0.0</v>
      </c>
      <c r="D13" s="288">
        <v>10.0</v>
      </c>
      <c r="E13" s="126"/>
      <c r="F13" s="288">
        <v>10.0</v>
      </c>
      <c r="G13" s="643">
        <f t="shared" si="2"/>
        <v>20</v>
      </c>
    </row>
    <row r="14">
      <c r="A14" s="288">
        <v>24.0</v>
      </c>
      <c r="B14" s="288">
        <v>16.0</v>
      </c>
      <c r="C14" s="644">
        <v>5.0</v>
      </c>
      <c r="D14" s="288">
        <v>10.0</v>
      </c>
      <c r="E14" s="126"/>
      <c r="F14" s="287"/>
      <c r="G14" s="643">
        <f t="shared" si="2"/>
        <v>15</v>
      </c>
    </row>
    <row r="15">
      <c r="A15" s="288">
        <v>25.0</v>
      </c>
      <c r="B15" s="288">
        <v>15.0</v>
      </c>
      <c r="C15" s="644">
        <v>0.0</v>
      </c>
      <c r="D15" s="288">
        <v>10.0</v>
      </c>
      <c r="E15" s="126"/>
      <c r="F15" s="288">
        <v>5.0</v>
      </c>
      <c r="G15" s="643">
        <f t="shared" si="2"/>
        <v>15</v>
      </c>
    </row>
    <row r="16">
      <c r="A16" s="288">
        <v>26.0</v>
      </c>
      <c r="B16" s="288">
        <v>13.0</v>
      </c>
      <c r="C16" s="644">
        <v>0.0</v>
      </c>
      <c r="D16" s="288">
        <v>10.0</v>
      </c>
      <c r="E16" s="126"/>
      <c r="F16" s="288">
        <v>5.0</v>
      </c>
      <c r="G16" s="643">
        <f t="shared" si="2"/>
        <v>15</v>
      </c>
    </row>
    <row r="17">
      <c r="A17" s="288">
        <v>27.0</v>
      </c>
      <c r="B17" s="288">
        <v>19.0</v>
      </c>
      <c r="C17" s="644">
        <v>0.0</v>
      </c>
      <c r="D17" s="287"/>
      <c r="E17" s="126"/>
      <c r="F17" s="287"/>
      <c r="G17" s="643">
        <f t="shared" si="2"/>
        <v>0</v>
      </c>
    </row>
    <row r="18">
      <c r="A18" s="288">
        <v>28.0</v>
      </c>
      <c r="B18" s="288">
        <v>7.0</v>
      </c>
      <c r="C18" s="642">
        <v>10.0</v>
      </c>
      <c r="D18" s="287"/>
      <c r="E18" s="126"/>
      <c r="F18" s="287"/>
      <c r="G18" s="643">
        <f t="shared" si="2"/>
        <v>10</v>
      </c>
    </row>
    <row r="19">
      <c r="A19" s="287"/>
      <c r="B19" s="287"/>
      <c r="C19" s="645"/>
      <c r="D19" s="287"/>
      <c r="E19" s="126"/>
      <c r="F19" s="287"/>
      <c r="G19" s="287"/>
    </row>
    <row r="20">
      <c r="A20" s="288">
        <v>31.0</v>
      </c>
      <c r="B20" s="288">
        <v>20.0</v>
      </c>
      <c r="C20" s="644">
        <v>10.0</v>
      </c>
      <c r="D20" s="287"/>
      <c r="E20" s="126"/>
      <c r="F20" s="287"/>
      <c r="G20" s="643">
        <f t="shared" ref="G20:G27" si="3">SUM(C20:F20)</f>
        <v>10</v>
      </c>
    </row>
    <row r="21">
      <c r="A21" s="288">
        <v>32.0</v>
      </c>
      <c r="B21" s="288">
        <v>19.0</v>
      </c>
      <c r="C21" s="644">
        <v>10.0</v>
      </c>
      <c r="D21" s="287"/>
      <c r="E21" s="126"/>
      <c r="F21" s="287"/>
      <c r="G21" s="643">
        <f t="shared" si="3"/>
        <v>10</v>
      </c>
    </row>
    <row r="22">
      <c r="A22" s="288">
        <v>33.0</v>
      </c>
      <c r="B22" s="288">
        <v>17.0</v>
      </c>
      <c r="C22" s="644">
        <v>10.0</v>
      </c>
      <c r="D22" s="287"/>
      <c r="E22" s="126"/>
      <c r="F22" s="287"/>
      <c r="G22" s="643">
        <f t="shared" si="3"/>
        <v>10</v>
      </c>
    </row>
    <row r="23">
      <c r="A23" s="288">
        <v>34.0</v>
      </c>
      <c r="B23" s="288">
        <v>16.0</v>
      </c>
      <c r="C23" s="644">
        <v>10.0</v>
      </c>
      <c r="D23" s="287"/>
      <c r="E23" s="126"/>
      <c r="F23" s="287"/>
      <c r="G23" s="643">
        <f t="shared" si="3"/>
        <v>10</v>
      </c>
    </row>
    <row r="24">
      <c r="A24" s="288">
        <v>35.0</v>
      </c>
      <c r="B24" s="288">
        <v>13.0</v>
      </c>
      <c r="C24" s="644">
        <v>5.0</v>
      </c>
      <c r="D24" s="288">
        <v>10.0</v>
      </c>
      <c r="E24" s="126"/>
      <c r="F24" s="287"/>
      <c r="G24" s="643">
        <f t="shared" si="3"/>
        <v>15</v>
      </c>
    </row>
    <row r="25">
      <c r="A25" s="288">
        <v>36.0</v>
      </c>
      <c r="B25" s="288">
        <v>8.0</v>
      </c>
      <c r="C25" s="642">
        <v>0.0</v>
      </c>
      <c r="D25" s="288">
        <v>20.0</v>
      </c>
      <c r="E25" s="126"/>
      <c r="F25" s="287"/>
      <c r="G25" s="643">
        <f t="shared" si="3"/>
        <v>20</v>
      </c>
    </row>
    <row r="26">
      <c r="A26" s="288">
        <v>37.0</v>
      </c>
      <c r="B26" s="288">
        <v>13.0</v>
      </c>
      <c r="C26" s="644">
        <v>0.0</v>
      </c>
      <c r="D26" s="288">
        <v>10.0</v>
      </c>
      <c r="E26" s="126"/>
      <c r="F26" s="287"/>
      <c r="G26" s="643">
        <f t="shared" si="3"/>
        <v>10</v>
      </c>
    </row>
    <row r="27">
      <c r="A27" s="288">
        <v>38.0</v>
      </c>
      <c r="B27" s="288">
        <v>10.0</v>
      </c>
      <c r="C27" s="642">
        <v>10.0</v>
      </c>
      <c r="D27" s="287"/>
      <c r="E27" s="126"/>
      <c r="F27" s="287"/>
      <c r="G27" s="643">
        <f t="shared" si="3"/>
        <v>10</v>
      </c>
    </row>
    <row r="28">
      <c r="A28" s="287"/>
      <c r="B28" s="287"/>
      <c r="C28" s="645"/>
      <c r="D28" s="287"/>
      <c r="E28" s="126"/>
      <c r="F28" s="287"/>
      <c r="G28" s="287"/>
    </row>
    <row r="29">
      <c r="A29" s="288">
        <v>41.0</v>
      </c>
      <c r="B29" s="288">
        <v>15.0</v>
      </c>
      <c r="C29" s="644">
        <v>10.0</v>
      </c>
      <c r="D29" s="287"/>
      <c r="E29" s="126"/>
      <c r="F29" s="287"/>
      <c r="G29" s="643">
        <f t="shared" ref="G29:G36" si="4">SUM(C29:F29)</f>
        <v>10</v>
      </c>
    </row>
    <row r="30">
      <c r="A30" s="288">
        <v>42.0</v>
      </c>
      <c r="B30" s="288">
        <v>15.0</v>
      </c>
      <c r="C30" s="644">
        <v>10.0</v>
      </c>
      <c r="D30" s="287"/>
      <c r="E30" s="126"/>
      <c r="F30" s="287"/>
      <c r="G30" s="643">
        <f t="shared" si="4"/>
        <v>10</v>
      </c>
    </row>
    <row r="31">
      <c r="A31" s="288">
        <v>43.0</v>
      </c>
      <c r="B31" s="288">
        <v>15.0</v>
      </c>
      <c r="C31" s="644">
        <v>10.0</v>
      </c>
      <c r="D31" s="287"/>
      <c r="E31" s="126"/>
      <c r="F31" s="287"/>
      <c r="G31" s="643">
        <f t="shared" si="4"/>
        <v>10</v>
      </c>
    </row>
    <row r="32">
      <c r="A32" s="288">
        <v>44.0</v>
      </c>
      <c r="B32" s="288">
        <v>14.0</v>
      </c>
      <c r="C32" s="644">
        <v>10.0</v>
      </c>
      <c r="D32" s="287"/>
      <c r="E32" s="126"/>
      <c r="F32" s="287"/>
      <c r="G32" s="643">
        <f t="shared" si="4"/>
        <v>10</v>
      </c>
    </row>
    <row r="33">
      <c r="A33" s="288">
        <v>45.0</v>
      </c>
      <c r="B33" s="288">
        <v>12.0</v>
      </c>
      <c r="C33" s="644">
        <v>10.0</v>
      </c>
      <c r="D33" s="287"/>
      <c r="E33" s="126"/>
      <c r="F33" s="287"/>
      <c r="G33" s="643">
        <f t="shared" si="4"/>
        <v>10</v>
      </c>
    </row>
    <row r="34">
      <c r="A34" s="288">
        <v>46.0</v>
      </c>
      <c r="B34" s="288">
        <v>12.0</v>
      </c>
      <c r="C34" s="644">
        <v>10.0</v>
      </c>
      <c r="D34" s="287"/>
      <c r="E34" s="126"/>
      <c r="F34" s="287"/>
      <c r="G34" s="643">
        <f t="shared" si="4"/>
        <v>10</v>
      </c>
    </row>
    <row r="35">
      <c r="A35" s="288">
        <v>47.0</v>
      </c>
      <c r="B35" s="288">
        <v>12.0</v>
      </c>
      <c r="C35" s="644">
        <v>5.0</v>
      </c>
      <c r="D35" s="287"/>
      <c r="E35" s="126"/>
      <c r="F35" s="287"/>
      <c r="G35" s="643">
        <f t="shared" si="4"/>
        <v>5</v>
      </c>
    </row>
    <row r="36">
      <c r="A36" s="288">
        <v>48.0</v>
      </c>
      <c r="B36" s="288">
        <v>10.0</v>
      </c>
      <c r="C36" s="644">
        <v>5.0</v>
      </c>
      <c r="D36" s="287"/>
      <c r="E36" s="126"/>
      <c r="F36" s="287"/>
      <c r="G36" s="643">
        <f t="shared" si="4"/>
        <v>5</v>
      </c>
    </row>
    <row r="37">
      <c r="A37" s="287"/>
      <c r="B37" s="287"/>
      <c r="C37" s="645"/>
      <c r="D37" s="287"/>
      <c r="E37" s="126"/>
      <c r="F37" s="287"/>
      <c r="G37" s="287"/>
    </row>
    <row r="38">
      <c r="A38" s="293" t="s">
        <v>3662</v>
      </c>
      <c r="B38" s="287"/>
      <c r="C38" s="126"/>
      <c r="D38" s="287"/>
      <c r="E38" s="646"/>
      <c r="F38" s="287"/>
      <c r="G38" s="287"/>
    </row>
    <row r="39">
      <c r="A39" s="288">
        <v>51.0</v>
      </c>
      <c r="B39" s="287"/>
      <c r="C39" s="126"/>
      <c r="D39" s="287"/>
      <c r="E39" s="647">
        <v>0.0</v>
      </c>
      <c r="F39" s="287"/>
      <c r="G39" s="643">
        <f t="shared" ref="G39:G44" si="5">SUM(C39:F39)</f>
        <v>0</v>
      </c>
    </row>
    <row r="40">
      <c r="A40" s="288">
        <v>52.0</v>
      </c>
      <c r="B40" s="287"/>
      <c r="C40" s="126"/>
      <c r="D40" s="287"/>
      <c r="E40" s="647">
        <v>0.0</v>
      </c>
      <c r="F40" s="287"/>
      <c r="G40" s="643">
        <f t="shared" si="5"/>
        <v>0</v>
      </c>
    </row>
    <row r="41">
      <c r="A41" s="288">
        <v>53.0</v>
      </c>
      <c r="B41" s="287"/>
      <c r="C41" s="126"/>
      <c r="D41" s="287"/>
      <c r="E41" s="647">
        <v>0.0</v>
      </c>
      <c r="F41" s="287"/>
      <c r="G41" s="643">
        <f t="shared" si="5"/>
        <v>0</v>
      </c>
    </row>
    <row r="42">
      <c r="A42" s="288">
        <v>54.0</v>
      </c>
      <c r="B42" s="287"/>
      <c r="C42" s="126"/>
      <c r="D42" s="287"/>
      <c r="E42" s="647">
        <v>10.0</v>
      </c>
      <c r="F42" s="288">
        <v>5.0</v>
      </c>
      <c r="G42" s="643">
        <f t="shared" si="5"/>
        <v>15</v>
      </c>
    </row>
    <row r="43">
      <c r="A43" s="288">
        <v>55.0</v>
      </c>
      <c r="B43" s="287"/>
      <c r="C43" s="126"/>
      <c r="D43" s="287"/>
      <c r="E43" s="647">
        <v>20.0</v>
      </c>
      <c r="F43" s="288">
        <v>10.0</v>
      </c>
      <c r="G43" s="643">
        <f t="shared" si="5"/>
        <v>30</v>
      </c>
    </row>
    <row r="44">
      <c r="A44" s="288">
        <v>56.0</v>
      </c>
      <c r="B44" s="287"/>
      <c r="C44" s="126"/>
      <c r="D44" s="287"/>
      <c r="E44" s="647">
        <v>20.0</v>
      </c>
      <c r="F44" s="288">
        <v>10.0</v>
      </c>
      <c r="G44" s="643">
        <f t="shared" si="5"/>
        <v>30</v>
      </c>
    </row>
    <row r="45">
      <c r="A45" s="288"/>
      <c r="B45" s="287"/>
      <c r="C45" s="126"/>
      <c r="D45" s="287"/>
      <c r="E45" s="648"/>
      <c r="F45" s="287"/>
      <c r="G45" s="287"/>
    </row>
    <row r="46">
      <c r="A46" s="288">
        <v>61.0</v>
      </c>
      <c r="B46" s="287"/>
      <c r="C46" s="126"/>
      <c r="D46" s="287"/>
      <c r="E46" s="647">
        <v>0.0</v>
      </c>
      <c r="F46" s="287"/>
      <c r="G46" s="643">
        <f t="shared" ref="G46:G51" si="6">SUM(C46:F46)</f>
        <v>0</v>
      </c>
    </row>
    <row r="47">
      <c r="A47" s="288">
        <v>62.0</v>
      </c>
      <c r="B47" s="287"/>
      <c r="C47" s="126"/>
      <c r="D47" s="287"/>
      <c r="E47" s="647">
        <v>0.0</v>
      </c>
      <c r="F47" s="287"/>
      <c r="G47" s="643">
        <f t="shared" si="6"/>
        <v>0</v>
      </c>
    </row>
    <row r="48">
      <c r="A48" s="288">
        <v>63.0</v>
      </c>
      <c r="B48" s="287"/>
      <c r="C48" s="126"/>
      <c r="D48" s="287"/>
      <c r="E48" s="647">
        <v>0.0</v>
      </c>
      <c r="F48" s="287"/>
      <c r="G48" s="643">
        <f t="shared" si="6"/>
        <v>0</v>
      </c>
    </row>
    <row r="49">
      <c r="A49" s="288">
        <v>64.0</v>
      </c>
      <c r="B49" s="287"/>
      <c r="C49" s="126"/>
      <c r="D49" s="287"/>
      <c r="E49" s="647">
        <v>10.0</v>
      </c>
      <c r="F49" s="288">
        <v>10.0</v>
      </c>
      <c r="G49" s="643">
        <f t="shared" si="6"/>
        <v>20</v>
      </c>
    </row>
    <row r="50">
      <c r="A50" s="288">
        <v>65.0</v>
      </c>
      <c r="B50" s="287"/>
      <c r="C50" s="126"/>
      <c r="D50" s="287"/>
      <c r="E50" s="647">
        <v>20.0</v>
      </c>
      <c r="F50" s="288">
        <v>15.0</v>
      </c>
      <c r="G50" s="643">
        <f t="shared" si="6"/>
        <v>35</v>
      </c>
    </row>
    <row r="51">
      <c r="A51" s="288">
        <v>66.0</v>
      </c>
      <c r="B51" s="287"/>
      <c r="C51" s="126"/>
      <c r="D51" s="287"/>
      <c r="E51" s="647">
        <v>10.0</v>
      </c>
      <c r="F51" s="288">
        <v>10.0</v>
      </c>
      <c r="G51" s="643">
        <f t="shared" si="6"/>
        <v>20</v>
      </c>
    </row>
    <row r="52">
      <c r="A52" s="287"/>
      <c r="B52" s="287"/>
      <c r="C52" s="126"/>
      <c r="D52" s="287"/>
      <c r="E52" s="648"/>
      <c r="F52" s="287"/>
      <c r="G52" s="287"/>
    </row>
    <row r="53">
      <c r="A53" s="288">
        <v>71.0</v>
      </c>
      <c r="B53" s="287"/>
      <c r="C53" s="126"/>
      <c r="D53" s="287"/>
      <c r="E53" s="647">
        <v>5.0</v>
      </c>
      <c r="F53" s="288">
        <v>15.0</v>
      </c>
      <c r="G53" s="643">
        <f t="shared" ref="G53:G58" si="7">SUM(C53:F53)</f>
        <v>20</v>
      </c>
    </row>
    <row r="54">
      <c r="A54" s="288">
        <v>72.0</v>
      </c>
      <c r="B54" s="287"/>
      <c r="C54" s="126"/>
      <c r="D54" s="287"/>
      <c r="E54" s="647">
        <v>5.0</v>
      </c>
      <c r="F54" s="288">
        <v>15.0</v>
      </c>
      <c r="G54" s="643">
        <f t="shared" si="7"/>
        <v>20</v>
      </c>
    </row>
    <row r="55">
      <c r="A55" s="288">
        <v>73.0</v>
      </c>
      <c r="B55" s="287"/>
      <c r="C55" s="126"/>
      <c r="D55" s="287"/>
      <c r="E55" s="647">
        <v>0.0</v>
      </c>
      <c r="F55" s="287"/>
      <c r="G55" s="643">
        <f t="shared" si="7"/>
        <v>0</v>
      </c>
    </row>
    <row r="56">
      <c r="A56" s="288">
        <v>74.0</v>
      </c>
      <c r="B56" s="287"/>
      <c r="C56" s="126"/>
      <c r="D56" s="287"/>
      <c r="E56" s="647">
        <v>20.0</v>
      </c>
      <c r="F56" s="288">
        <v>10.0</v>
      </c>
      <c r="G56" s="643">
        <f t="shared" si="7"/>
        <v>30</v>
      </c>
    </row>
    <row r="57">
      <c r="A57" s="288">
        <v>75.0</v>
      </c>
      <c r="B57" s="287"/>
      <c r="C57" s="126"/>
      <c r="D57" s="287"/>
      <c r="E57" s="647">
        <v>20.0</v>
      </c>
      <c r="F57" s="288">
        <v>10.0</v>
      </c>
      <c r="G57" s="643">
        <f t="shared" si="7"/>
        <v>30</v>
      </c>
    </row>
    <row r="58">
      <c r="A58" s="288">
        <v>76.0</v>
      </c>
      <c r="B58" s="287"/>
      <c r="C58" s="126"/>
      <c r="D58" s="287"/>
      <c r="E58" s="647">
        <v>5.0</v>
      </c>
      <c r="F58" s="288">
        <v>10.0</v>
      </c>
      <c r="G58" s="643">
        <f t="shared" si="7"/>
        <v>15</v>
      </c>
    </row>
    <row r="59">
      <c r="A59" s="287"/>
      <c r="B59" s="287"/>
      <c r="C59" s="126"/>
      <c r="D59" s="287"/>
      <c r="E59" s="648"/>
      <c r="F59" s="287"/>
      <c r="G59" s="287"/>
    </row>
    <row r="60">
      <c r="A60" s="288">
        <v>81.0</v>
      </c>
      <c r="B60" s="287"/>
      <c r="C60" s="126"/>
      <c r="D60" s="287"/>
      <c r="E60" s="647">
        <v>5.0</v>
      </c>
      <c r="F60" s="288">
        <v>15.0</v>
      </c>
      <c r="G60" s="643">
        <f t="shared" ref="G60:G65" si="8">SUM(C60:F60)</f>
        <v>20</v>
      </c>
    </row>
    <row r="61">
      <c r="A61" s="288">
        <v>82.0</v>
      </c>
      <c r="B61" s="287"/>
      <c r="C61" s="126"/>
      <c r="D61" s="287"/>
      <c r="E61" s="647">
        <v>5.0</v>
      </c>
      <c r="F61" s="288">
        <v>15.0</v>
      </c>
      <c r="G61" s="643">
        <f t="shared" si="8"/>
        <v>20</v>
      </c>
    </row>
    <row r="62">
      <c r="A62" s="288">
        <v>83.0</v>
      </c>
      <c r="B62" s="287"/>
      <c r="C62" s="126"/>
      <c r="D62" s="287"/>
      <c r="E62" s="647">
        <v>0.0</v>
      </c>
      <c r="F62" s="288">
        <v>10.0</v>
      </c>
      <c r="G62" s="643">
        <f t="shared" si="8"/>
        <v>10</v>
      </c>
    </row>
    <row r="63">
      <c r="A63" s="288">
        <v>84.0</v>
      </c>
      <c r="B63" s="287"/>
      <c r="C63" s="126"/>
      <c r="D63" s="287"/>
      <c r="E63" s="647">
        <v>5.0</v>
      </c>
      <c r="F63" s="288">
        <v>10.0</v>
      </c>
      <c r="G63" s="643">
        <f t="shared" si="8"/>
        <v>15</v>
      </c>
    </row>
    <row r="64">
      <c r="A64" s="288">
        <v>85.0</v>
      </c>
      <c r="B64" s="287"/>
      <c r="C64" s="126"/>
      <c r="D64" s="287"/>
      <c r="E64" s="647">
        <v>10.0</v>
      </c>
      <c r="F64" s="288">
        <v>10.0</v>
      </c>
      <c r="G64" s="643">
        <f t="shared" si="8"/>
        <v>20</v>
      </c>
    </row>
    <row r="65">
      <c r="A65" s="288">
        <v>86.0</v>
      </c>
      <c r="B65" s="287"/>
      <c r="C65" s="126"/>
      <c r="D65" s="287"/>
      <c r="E65" s="647">
        <v>10.0</v>
      </c>
      <c r="F65" s="288">
        <v>10.0</v>
      </c>
      <c r="G65" s="643">
        <f t="shared" si="8"/>
        <v>20</v>
      </c>
    </row>
    <row r="66">
      <c r="A66" s="287"/>
      <c r="B66" s="287"/>
      <c r="C66" s="126"/>
      <c r="D66" s="287"/>
      <c r="E66" s="287"/>
      <c r="F66" s="287"/>
      <c r="G66" s="287"/>
    </row>
    <row r="67">
      <c r="A67" s="280"/>
      <c r="B67" s="280"/>
      <c r="C67" s="280"/>
      <c r="D67" s="280"/>
      <c r="F67" s="280"/>
      <c r="G67" s="280"/>
    </row>
    <row r="68">
      <c r="A68" s="280"/>
      <c r="B68" s="280"/>
      <c r="C68" s="280"/>
      <c r="D68" s="280"/>
      <c r="F68" s="280"/>
      <c r="G68" s="280"/>
    </row>
    <row r="69">
      <c r="A69" s="280"/>
      <c r="B69" s="280"/>
      <c r="C69" s="280"/>
      <c r="D69" s="280"/>
      <c r="F69" s="280"/>
      <c r="G69" s="280"/>
    </row>
    <row r="70">
      <c r="A70" s="280"/>
      <c r="B70" s="280"/>
      <c r="C70" s="280"/>
      <c r="D70" s="280"/>
      <c r="F70" s="280"/>
      <c r="G70" s="280"/>
    </row>
    <row r="71">
      <c r="A71" s="280"/>
      <c r="B71" s="280"/>
      <c r="C71" s="280"/>
      <c r="D71" s="280"/>
      <c r="F71" s="280"/>
      <c r="G71" s="280"/>
    </row>
    <row r="72">
      <c r="A72" s="280"/>
      <c r="B72" s="280"/>
      <c r="C72" s="280"/>
      <c r="D72" s="280"/>
      <c r="F72" s="280"/>
      <c r="G72" s="280"/>
    </row>
    <row r="73">
      <c r="A73" s="280"/>
      <c r="B73" s="280"/>
      <c r="C73" s="280"/>
      <c r="D73" s="280"/>
      <c r="F73" s="280"/>
      <c r="G73" s="280"/>
    </row>
    <row r="74">
      <c r="A74" s="280"/>
      <c r="B74" s="280"/>
      <c r="C74" s="280"/>
      <c r="D74" s="280"/>
      <c r="F74" s="280"/>
      <c r="G74" s="280"/>
    </row>
    <row r="75">
      <c r="A75" s="280"/>
      <c r="B75" s="280"/>
      <c r="C75" s="280"/>
      <c r="D75" s="280"/>
      <c r="F75" s="280"/>
      <c r="G75" s="280"/>
    </row>
    <row r="76">
      <c r="A76" s="280"/>
      <c r="B76" s="280"/>
      <c r="C76" s="280"/>
      <c r="D76" s="280"/>
      <c r="F76" s="280"/>
      <c r="G76" s="280"/>
    </row>
    <row r="77">
      <c r="A77" s="280"/>
      <c r="B77" s="280"/>
      <c r="C77" s="280"/>
      <c r="D77" s="280"/>
      <c r="F77" s="280"/>
      <c r="G77" s="280"/>
    </row>
    <row r="78">
      <c r="A78" s="280"/>
      <c r="B78" s="280"/>
      <c r="C78" s="280"/>
      <c r="D78" s="280"/>
      <c r="F78" s="280"/>
      <c r="G78" s="280"/>
    </row>
    <row r="79">
      <c r="A79" s="280"/>
      <c r="B79" s="280"/>
      <c r="C79" s="280"/>
      <c r="D79" s="280"/>
      <c r="F79" s="280"/>
      <c r="G79" s="280"/>
    </row>
    <row r="80">
      <c r="A80" s="280"/>
      <c r="B80" s="280"/>
      <c r="C80" s="280"/>
      <c r="D80" s="280"/>
      <c r="F80" s="280"/>
      <c r="G80" s="280"/>
    </row>
    <row r="81">
      <c r="A81" s="280"/>
      <c r="B81" s="280"/>
      <c r="C81" s="280"/>
      <c r="D81" s="280"/>
      <c r="F81" s="280"/>
      <c r="G81" s="280"/>
    </row>
    <row r="82">
      <c r="A82" s="280"/>
      <c r="B82" s="280"/>
      <c r="C82" s="280"/>
      <c r="D82" s="280"/>
      <c r="F82" s="280"/>
      <c r="G82" s="280"/>
    </row>
    <row r="83">
      <c r="A83" s="280"/>
      <c r="B83" s="280"/>
      <c r="C83" s="280"/>
      <c r="D83" s="280"/>
      <c r="F83" s="280"/>
      <c r="G83" s="280"/>
    </row>
    <row r="84">
      <c r="A84" s="280"/>
      <c r="B84" s="280"/>
      <c r="C84" s="280"/>
      <c r="D84" s="280"/>
      <c r="F84" s="280"/>
      <c r="G84" s="280"/>
    </row>
    <row r="85">
      <c r="A85" s="280"/>
      <c r="B85" s="280"/>
      <c r="C85" s="280"/>
      <c r="D85" s="280"/>
      <c r="F85" s="280"/>
      <c r="G85" s="280"/>
    </row>
    <row r="86">
      <c r="A86" s="280"/>
      <c r="B86" s="280"/>
      <c r="C86" s="280"/>
      <c r="D86" s="280"/>
      <c r="F86" s="280"/>
      <c r="G86" s="280"/>
    </row>
    <row r="87">
      <c r="A87" s="280"/>
      <c r="B87" s="280"/>
      <c r="C87" s="280"/>
      <c r="D87" s="280"/>
      <c r="F87" s="280"/>
      <c r="G87" s="280"/>
    </row>
    <row r="88">
      <c r="A88" s="280"/>
      <c r="B88" s="280"/>
      <c r="C88" s="280"/>
      <c r="D88" s="280"/>
      <c r="F88" s="280"/>
      <c r="G88" s="280"/>
    </row>
    <row r="89">
      <c r="A89" s="280"/>
      <c r="B89" s="280"/>
      <c r="C89" s="280"/>
      <c r="D89" s="280"/>
      <c r="F89" s="280"/>
      <c r="G89" s="280"/>
    </row>
    <row r="90">
      <c r="A90" s="280"/>
      <c r="B90" s="280"/>
      <c r="C90" s="280"/>
      <c r="D90" s="280"/>
      <c r="F90" s="280"/>
      <c r="G90" s="280"/>
    </row>
    <row r="91">
      <c r="A91" s="280"/>
      <c r="B91" s="280"/>
      <c r="C91" s="280"/>
      <c r="D91" s="280"/>
      <c r="F91" s="280"/>
      <c r="G91" s="280"/>
    </row>
    <row r="92">
      <c r="A92" s="280"/>
      <c r="B92" s="280"/>
      <c r="C92" s="280"/>
      <c r="D92" s="280"/>
      <c r="F92" s="280"/>
      <c r="G92" s="280"/>
    </row>
    <row r="93">
      <c r="A93" s="280"/>
      <c r="B93" s="280"/>
      <c r="C93" s="280"/>
      <c r="D93" s="280"/>
      <c r="F93" s="280"/>
      <c r="G93" s="280"/>
    </row>
    <row r="94">
      <c r="A94" s="280"/>
      <c r="B94" s="280"/>
      <c r="C94" s="280"/>
      <c r="D94" s="280"/>
      <c r="F94" s="280"/>
      <c r="G94" s="280"/>
    </row>
    <row r="95">
      <c r="A95" s="280"/>
      <c r="B95" s="280"/>
      <c r="C95" s="280"/>
      <c r="D95" s="280"/>
      <c r="F95" s="280"/>
      <c r="G95" s="280"/>
    </row>
    <row r="96">
      <c r="A96" s="280"/>
      <c r="B96" s="280"/>
      <c r="C96" s="280"/>
      <c r="D96" s="280"/>
      <c r="F96" s="280"/>
      <c r="G96" s="280"/>
    </row>
    <row r="97">
      <c r="A97" s="280"/>
      <c r="B97" s="280"/>
      <c r="C97" s="280"/>
      <c r="D97" s="280"/>
      <c r="F97" s="280"/>
      <c r="G97" s="280"/>
    </row>
    <row r="98">
      <c r="A98" s="280"/>
      <c r="B98" s="280"/>
      <c r="C98" s="280"/>
      <c r="D98" s="280"/>
      <c r="F98" s="280"/>
      <c r="G98" s="280"/>
    </row>
    <row r="99">
      <c r="A99" s="280"/>
      <c r="B99" s="280"/>
      <c r="C99" s="280"/>
      <c r="D99" s="280"/>
      <c r="F99" s="280"/>
      <c r="G99" s="280"/>
    </row>
    <row r="100">
      <c r="A100" s="280"/>
      <c r="B100" s="280"/>
      <c r="C100" s="280"/>
      <c r="D100" s="280"/>
      <c r="F100" s="280"/>
      <c r="G100" s="280"/>
    </row>
    <row r="101">
      <c r="A101" s="280"/>
      <c r="B101" s="280"/>
      <c r="C101" s="280"/>
      <c r="D101" s="280"/>
      <c r="F101" s="280"/>
      <c r="G101" s="280"/>
    </row>
    <row r="102">
      <c r="A102" s="280"/>
      <c r="B102" s="280"/>
      <c r="C102" s="280"/>
      <c r="D102" s="280"/>
      <c r="F102" s="280"/>
      <c r="G102" s="280"/>
    </row>
    <row r="103">
      <c r="A103" s="280"/>
      <c r="B103" s="280"/>
      <c r="C103" s="280"/>
      <c r="D103" s="280"/>
      <c r="F103" s="280"/>
      <c r="G103" s="280"/>
    </row>
    <row r="104">
      <c r="A104" s="280"/>
      <c r="B104" s="280"/>
      <c r="C104" s="280"/>
      <c r="D104" s="280"/>
      <c r="F104" s="280"/>
      <c r="G104" s="280"/>
    </row>
    <row r="105">
      <c r="A105" s="280"/>
      <c r="B105" s="280"/>
      <c r="C105" s="280"/>
      <c r="D105" s="280"/>
      <c r="F105" s="280"/>
      <c r="G105" s="280"/>
    </row>
    <row r="106">
      <c r="A106" s="280"/>
      <c r="B106" s="280"/>
      <c r="C106" s="280"/>
      <c r="D106" s="280"/>
      <c r="F106" s="280"/>
      <c r="G106" s="280"/>
    </row>
    <row r="107">
      <c r="A107" s="280"/>
      <c r="B107" s="280"/>
      <c r="C107" s="280"/>
      <c r="D107" s="280"/>
      <c r="F107" s="280"/>
      <c r="G107" s="280"/>
    </row>
    <row r="108">
      <c r="A108" s="280"/>
      <c r="B108" s="280"/>
      <c r="C108" s="280"/>
      <c r="D108" s="280"/>
      <c r="F108" s="280"/>
      <c r="G108" s="280"/>
    </row>
    <row r="109">
      <c r="A109" s="280"/>
      <c r="B109" s="280"/>
      <c r="C109" s="280"/>
      <c r="D109" s="280"/>
      <c r="F109" s="280"/>
      <c r="G109" s="280"/>
    </row>
    <row r="110">
      <c r="A110" s="280"/>
      <c r="B110" s="280"/>
      <c r="C110" s="280"/>
      <c r="D110" s="280"/>
      <c r="F110" s="280"/>
      <c r="G110" s="280"/>
    </row>
    <row r="111">
      <c r="A111" s="280"/>
      <c r="B111" s="280"/>
      <c r="C111" s="280"/>
      <c r="D111" s="280"/>
      <c r="F111" s="280"/>
      <c r="G111" s="280"/>
    </row>
    <row r="112">
      <c r="A112" s="280"/>
      <c r="B112" s="280"/>
      <c r="C112" s="280"/>
      <c r="D112" s="280"/>
      <c r="F112" s="280"/>
      <c r="G112" s="280"/>
    </row>
    <row r="113">
      <c r="A113" s="280"/>
      <c r="B113" s="280"/>
      <c r="C113" s="280"/>
      <c r="D113" s="280"/>
      <c r="F113" s="280"/>
      <c r="G113" s="280"/>
    </row>
    <row r="114">
      <c r="A114" s="280"/>
      <c r="B114" s="280"/>
      <c r="C114" s="280"/>
      <c r="D114" s="280"/>
      <c r="F114" s="280"/>
      <c r="G114" s="280"/>
    </row>
    <row r="115">
      <c r="A115" s="280"/>
      <c r="B115" s="280"/>
      <c r="C115" s="280"/>
      <c r="D115" s="280"/>
      <c r="F115" s="280"/>
      <c r="G115" s="280"/>
    </row>
    <row r="116">
      <c r="A116" s="280"/>
      <c r="B116" s="280"/>
      <c r="C116" s="280"/>
      <c r="D116" s="280"/>
      <c r="F116" s="280"/>
      <c r="G116" s="280"/>
    </row>
    <row r="117">
      <c r="A117" s="280"/>
      <c r="B117" s="280"/>
      <c r="C117" s="280"/>
      <c r="D117" s="280"/>
      <c r="F117" s="280"/>
      <c r="G117" s="280"/>
    </row>
    <row r="118">
      <c r="A118" s="280"/>
      <c r="B118" s="280"/>
      <c r="C118" s="280"/>
      <c r="D118" s="280"/>
      <c r="F118" s="280"/>
      <c r="G118" s="280"/>
    </row>
    <row r="119">
      <c r="A119" s="280"/>
      <c r="B119" s="280"/>
      <c r="C119" s="280"/>
      <c r="D119" s="280"/>
      <c r="F119" s="280"/>
      <c r="G119" s="280"/>
    </row>
    <row r="120">
      <c r="A120" s="280"/>
      <c r="B120" s="280"/>
      <c r="C120" s="280"/>
      <c r="D120" s="280"/>
      <c r="F120" s="280"/>
      <c r="G120" s="280"/>
    </row>
    <row r="121">
      <c r="A121" s="280"/>
      <c r="B121" s="280"/>
      <c r="C121" s="280"/>
      <c r="D121" s="280"/>
      <c r="F121" s="280"/>
      <c r="G121" s="280"/>
    </row>
    <row r="122">
      <c r="A122" s="280"/>
      <c r="B122" s="280"/>
      <c r="C122" s="280"/>
      <c r="D122" s="280"/>
      <c r="F122" s="280"/>
      <c r="G122" s="280"/>
    </row>
    <row r="123">
      <c r="A123" s="280"/>
      <c r="B123" s="280"/>
      <c r="C123" s="280"/>
      <c r="D123" s="280"/>
      <c r="F123" s="280"/>
      <c r="G123" s="280"/>
    </row>
    <row r="124">
      <c r="A124" s="280"/>
      <c r="B124" s="280"/>
      <c r="C124" s="280"/>
      <c r="D124" s="280"/>
      <c r="F124" s="280"/>
      <c r="G124" s="280"/>
    </row>
    <row r="125">
      <c r="A125" s="280"/>
      <c r="B125" s="280"/>
      <c r="C125" s="280"/>
      <c r="D125" s="280"/>
      <c r="F125" s="280"/>
      <c r="G125" s="280"/>
    </row>
    <row r="126">
      <c r="A126" s="280"/>
      <c r="B126" s="280"/>
      <c r="C126" s="280"/>
      <c r="D126" s="280"/>
      <c r="F126" s="280"/>
      <c r="G126" s="280"/>
    </row>
    <row r="127">
      <c r="A127" s="280"/>
      <c r="B127" s="280"/>
      <c r="C127" s="280"/>
      <c r="D127" s="280"/>
      <c r="F127" s="280"/>
      <c r="G127" s="280"/>
    </row>
    <row r="128">
      <c r="A128" s="280"/>
      <c r="B128" s="280"/>
      <c r="C128" s="280"/>
      <c r="D128" s="280"/>
      <c r="F128" s="280"/>
      <c r="G128" s="280"/>
    </row>
    <row r="129">
      <c r="A129" s="280"/>
      <c r="B129" s="280"/>
      <c r="C129" s="280"/>
      <c r="D129" s="280"/>
      <c r="F129" s="280"/>
      <c r="G129" s="280"/>
    </row>
    <row r="130">
      <c r="A130" s="280"/>
      <c r="B130" s="280"/>
      <c r="C130" s="280"/>
      <c r="D130" s="280"/>
      <c r="F130" s="280"/>
      <c r="G130" s="280"/>
    </row>
    <row r="131">
      <c r="A131" s="280"/>
      <c r="B131" s="280"/>
      <c r="C131" s="280"/>
      <c r="D131" s="280"/>
      <c r="F131" s="280"/>
      <c r="G131" s="280"/>
    </row>
    <row r="132">
      <c r="A132" s="280"/>
      <c r="B132" s="280"/>
      <c r="C132" s="280"/>
      <c r="D132" s="280"/>
      <c r="F132" s="280"/>
      <c r="G132" s="280"/>
    </row>
    <row r="133">
      <c r="A133" s="280"/>
      <c r="B133" s="280"/>
      <c r="C133" s="280"/>
      <c r="D133" s="280"/>
      <c r="F133" s="280"/>
      <c r="G133" s="280"/>
    </row>
    <row r="134">
      <c r="A134" s="280"/>
      <c r="B134" s="280"/>
      <c r="C134" s="280"/>
      <c r="D134" s="280"/>
      <c r="F134" s="280"/>
      <c r="G134" s="280"/>
    </row>
    <row r="135">
      <c r="A135" s="280"/>
      <c r="B135" s="280"/>
      <c r="C135" s="280"/>
      <c r="D135" s="280"/>
      <c r="F135" s="280"/>
      <c r="G135" s="280"/>
    </row>
    <row r="136">
      <c r="A136" s="280"/>
      <c r="B136" s="280"/>
      <c r="C136" s="280"/>
      <c r="D136" s="280"/>
      <c r="F136" s="280"/>
      <c r="G136" s="280"/>
    </row>
    <row r="137">
      <c r="A137" s="280"/>
      <c r="B137" s="280"/>
      <c r="C137" s="280"/>
      <c r="D137" s="280"/>
      <c r="F137" s="280"/>
      <c r="G137" s="280"/>
    </row>
    <row r="138">
      <c r="A138" s="280"/>
      <c r="B138" s="280"/>
      <c r="C138" s="280"/>
      <c r="D138" s="280"/>
      <c r="F138" s="280"/>
      <c r="G138" s="280"/>
    </row>
    <row r="139">
      <c r="A139" s="280"/>
      <c r="B139" s="280"/>
      <c r="C139" s="280"/>
      <c r="D139" s="280"/>
      <c r="F139" s="280"/>
      <c r="G139" s="280"/>
    </row>
    <row r="140">
      <c r="A140" s="280"/>
      <c r="B140" s="280"/>
      <c r="C140" s="280"/>
      <c r="D140" s="280"/>
      <c r="F140" s="280"/>
      <c r="G140" s="280"/>
    </row>
    <row r="141">
      <c r="A141" s="280"/>
      <c r="B141" s="280"/>
      <c r="C141" s="280"/>
      <c r="D141" s="280"/>
      <c r="F141" s="280"/>
      <c r="G141" s="280"/>
    </row>
    <row r="142">
      <c r="A142" s="280"/>
      <c r="B142" s="280"/>
      <c r="C142" s="280"/>
      <c r="D142" s="280"/>
      <c r="F142" s="280"/>
      <c r="G142" s="280"/>
    </row>
    <row r="143">
      <c r="A143" s="280"/>
      <c r="B143" s="280"/>
      <c r="C143" s="280"/>
      <c r="D143" s="280"/>
      <c r="F143" s="280"/>
      <c r="G143" s="280"/>
    </row>
    <row r="144">
      <c r="A144" s="280"/>
      <c r="B144" s="280"/>
      <c r="C144" s="280"/>
      <c r="D144" s="280"/>
      <c r="F144" s="280"/>
      <c r="G144" s="280"/>
    </row>
    <row r="145">
      <c r="A145" s="280"/>
      <c r="B145" s="280"/>
      <c r="C145" s="280"/>
      <c r="D145" s="280"/>
      <c r="F145" s="280"/>
      <c r="G145" s="280"/>
    </row>
    <row r="146">
      <c r="A146" s="280"/>
      <c r="B146" s="280"/>
      <c r="C146" s="280"/>
      <c r="D146" s="280"/>
      <c r="F146" s="280"/>
      <c r="G146" s="280"/>
    </row>
    <row r="147">
      <c r="A147" s="280"/>
      <c r="B147" s="280"/>
      <c r="C147" s="280"/>
      <c r="D147" s="280"/>
      <c r="F147" s="280"/>
      <c r="G147" s="280"/>
    </row>
    <row r="148">
      <c r="A148" s="280"/>
      <c r="B148" s="280"/>
      <c r="C148" s="280"/>
      <c r="D148" s="280"/>
      <c r="F148" s="280"/>
      <c r="G148" s="280"/>
    </row>
    <row r="149">
      <c r="A149" s="280"/>
      <c r="B149" s="280"/>
      <c r="C149" s="280"/>
      <c r="D149" s="280"/>
      <c r="F149" s="280"/>
      <c r="G149" s="280"/>
    </row>
    <row r="150">
      <c r="A150" s="280"/>
      <c r="B150" s="280"/>
      <c r="C150" s="280"/>
      <c r="D150" s="280"/>
      <c r="F150" s="280"/>
      <c r="G150" s="280"/>
    </row>
    <row r="151">
      <c r="A151" s="280"/>
      <c r="B151" s="280"/>
      <c r="C151" s="280"/>
      <c r="D151" s="280"/>
      <c r="F151" s="280"/>
      <c r="G151" s="280"/>
    </row>
    <row r="152">
      <c r="A152" s="280"/>
      <c r="B152" s="280"/>
      <c r="C152" s="280"/>
      <c r="D152" s="280"/>
      <c r="F152" s="280"/>
      <c r="G152" s="280"/>
    </row>
    <row r="153">
      <c r="A153" s="280"/>
      <c r="B153" s="280"/>
      <c r="C153" s="280"/>
      <c r="D153" s="280"/>
      <c r="F153" s="280"/>
      <c r="G153" s="280"/>
    </row>
    <row r="154">
      <c r="A154" s="280"/>
      <c r="B154" s="280"/>
      <c r="C154" s="280"/>
      <c r="D154" s="280"/>
      <c r="F154" s="280"/>
      <c r="G154" s="280"/>
    </row>
    <row r="155">
      <c r="A155" s="280"/>
      <c r="B155" s="280"/>
      <c r="C155" s="280"/>
      <c r="D155" s="280"/>
      <c r="F155" s="280"/>
      <c r="G155" s="280"/>
    </row>
    <row r="156">
      <c r="A156" s="280"/>
      <c r="B156" s="280"/>
      <c r="C156" s="280"/>
      <c r="D156" s="280"/>
      <c r="F156" s="280"/>
      <c r="G156" s="280"/>
    </row>
    <row r="157">
      <c r="A157" s="280"/>
      <c r="B157" s="280"/>
      <c r="C157" s="280"/>
      <c r="D157" s="280"/>
      <c r="F157" s="280"/>
      <c r="G157" s="280"/>
    </row>
    <row r="158">
      <c r="A158" s="280"/>
      <c r="B158" s="280"/>
      <c r="C158" s="280"/>
      <c r="D158" s="280"/>
      <c r="F158" s="280"/>
      <c r="G158" s="280"/>
    </row>
    <row r="159">
      <c r="A159" s="280"/>
      <c r="B159" s="280"/>
      <c r="C159" s="280"/>
      <c r="D159" s="280"/>
      <c r="F159" s="280"/>
      <c r="G159" s="280"/>
    </row>
    <row r="160">
      <c r="A160" s="280"/>
      <c r="B160" s="280"/>
      <c r="C160" s="280"/>
      <c r="D160" s="280"/>
      <c r="F160" s="280"/>
      <c r="G160" s="280"/>
    </row>
    <row r="161">
      <c r="A161" s="280"/>
      <c r="B161" s="280"/>
      <c r="C161" s="280"/>
      <c r="D161" s="280"/>
      <c r="F161" s="280"/>
      <c r="G161" s="280"/>
    </row>
    <row r="162">
      <c r="A162" s="280"/>
      <c r="B162" s="280"/>
      <c r="C162" s="280"/>
      <c r="D162" s="280"/>
      <c r="F162" s="280"/>
      <c r="G162" s="280"/>
    </row>
    <row r="163">
      <c r="A163" s="280"/>
      <c r="B163" s="280"/>
      <c r="C163" s="280"/>
      <c r="D163" s="280"/>
      <c r="F163" s="280"/>
      <c r="G163" s="280"/>
    </row>
    <row r="164">
      <c r="A164" s="280"/>
      <c r="B164" s="280"/>
      <c r="C164" s="280"/>
      <c r="D164" s="280"/>
      <c r="F164" s="280"/>
      <c r="G164" s="280"/>
    </row>
    <row r="165">
      <c r="A165" s="280"/>
      <c r="B165" s="280"/>
      <c r="C165" s="280"/>
      <c r="D165" s="280"/>
      <c r="F165" s="280"/>
      <c r="G165" s="280"/>
    </row>
    <row r="166">
      <c r="A166" s="280"/>
      <c r="B166" s="280"/>
      <c r="C166" s="280"/>
      <c r="D166" s="280"/>
      <c r="F166" s="280"/>
      <c r="G166" s="280"/>
    </row>
    <row r="167">
      <c r="A167" s="280"/>
      <c r="B167" s="280"/>
      <c r="C167" s="280"/>
      <c r="D167" s="280"/>
      <c r="F167" s="280"/>
      <c r="G167" s="280"/>
    </row>
    <row r="168">
      <c r="A168" s="280"/>
      <c r="B168" s="280"/>
      <c r="C168" s="280"/>
      <c r="D168" s="280"/>
      <c r="F168" s="280"/>
      <c r="G168" s="280"/>
    </row>
    <row r="169">
      <c r="A169" s="280"/>
      <c r="B169" s="280"/>
      <c r="C169" s="280"/>
      <c r="D169" s="280"/>
      <c r="F169" s="280"/>
      <c r="G169" s="280"/>
    </row>
    <row r="170">
      <c r="A170" s="280"/>
      <c r="B170" s="280"/>
      <c r="C170" s="280"/>
      <c r="D170" s="280"/>
      <c r="F170" s="280"/>
      <c r="G170" s="280"/>
    </row>
    <row r="171">
      <c r="A171" s="280"/>
      <c r="B171" s="280"/>
      <c r="C171" s="280"/>
      <c r="D171" s="280"/>
      <c r="F171" s="280"/>
      <c r="G171" s="280"/>
    </row>
    <row r="172">
      <c r="A172" s="280"/>
      <c r="B172" s="280"/>
      <c r="C172" s="280"/>
      <c r="D172" s="280"/>
      <c r="F172" s="280"/>
      <c r="G172" s="280"/>
    </row>
    <row r="173">
      <c r="A173" s="280"/>
      <c r="B173" s="280"/>
      <c r="C173" s="280"/>
      <c r="D173" s="280"/>
      <c r="F173" s="280"/>
      <c r="G173" s="280"/>
    </row>
    <row r="174">
      <c r="A174" s="280"/>
      <c r="B174" s="280"/>
      <c r="C174" s="280"/>
      <c r="D174" s="280"/>
      <c r="F174" s="280"/>
      <c r="G174" s="280"/>
    </row>
    <row r="175">
      <c r="A175" s="280"/>
      <c r="B175" s="280"/>
      <c r="C175" s="280"/>
      <c r="D175" s="280"/>
      <c r="F175" s="280"/>
      <c r="G175" s="280"/>
    </row>
    <row r="176">
      <c r="A176" s="280"/>
      <c r="B176" s="280"/>
      <c r="C176" s="280"/>
      <c r="D176" s="280"/>
      <c r="F176" s="280"/>
      <c r="G176" s="280"/>
    </row>
    <row r="177">
      <c r="A177" s="280"/>
      <c r="B177" s="280"/>
      <c r="C177" s="280"/>
      <c r="D177" s="280"/>
      <c r="F177" s="280"/>
      <c r="G177" s="280"/>
    </row>
    <row r="178">
      <c r="A178" s="280"/>
      <c r="B178" s="280"/>
      <c r="C178" s="280"/>
      <c r="D178" s="280"/>
      <c r="F178" s="280"/>
      <c r="G178" s="280"/>
    </row>
    <row r="179">
      <c r="A179" s="280"/>
      <c r="B179" s="280"/>
      <c r="C179" s="280"/>
      <c r="D179" s="280"/>
      <c r="F179" s="280"/>
      <c r="G179" s="280"/>
    </row>
    <row r="180">
      <c r="A180" s="280"/>
      <c r="B180" s="280"/>
      <c r="C180" s="280"/>
      <c r="D180" s="280"/>
      <c r="F180" s="280"/>
      <c r="G180" s="280"/>
    </row>
    <row r="181">
      <c r="A181" s="280"/>
      <c r="B181" s="280"/>
      <c r="C181" s="280"/>
      <c r="D181" s="280"/>
      <c r="F181" s="280"/>
      <c r="G181" s="280"/>
    </row>
    <row r="182">
      <c r="A182" s="280"/>
      <c r="B182" s="280"/>
      <c r="C182" s="280"/>
      <c r="D182" s="280"/>
      <c r="F182" s="280"/>
      <c r="G182" s="280"/>
    </row>
    <row r="183">
      <c r="A183" s="280"/>
      <c r="B183" s="280"/>
      <c r="C183" s="280"/>
      <c r="D183" s="280"/>
      <c r="F183" s="280"/>
      <c r="G183" s="280"/>
    </row>
    <row r="184">
      <c r="A184" s="280"/>
      <c r="B184" s="280"/>
      <c r="C184" s="280"/>
      <c r="D184" s="280"/>
      <c r="F184" s="280"/>
      <c r="G184" s="280"/>
    </row>
    <row r="185">
      <c r="A185" s="280"/>
      <c r="B185" s="280"/>
      <c r="C185" s="280"/>
      <c r="D185" s="280"/>
      <c r="F185" s="280"/>
      <c r="G185" s="280"/>
    </row>
    <row r="186">
      <c r="A186" s="280"/>
      <c r="B186" s="280"/>
      <c r="C186" s="280"/>
      <c r="D186" s="280"/>
      <c r="F186" s="280"/>
      <c r="G186" s="280"/>
    </row>
    <row r="187">
      <c r="A187" s="280"/>
      <c r="B187" s="280"/>
      <c r="C187" s="280"/>
      <c r="D187" s="280"/>
      <c r="F187" s="280"/>
      <c r="G187" s="280"/>
    </row>
    <row r="188">
      <c r="A188" s="280"/>
      <c r="B188" s="280"/>
      <c r="C188" s="280"/>
      <c r="D188" s="280"/>
      <c r="F188" s="280"/>
      <c r="G188" s="280"/>
    </row>
    <row r="189">
      <c r="A189" s="280"/>
      <c r="B189" s="280"/>
      <c r="C189" s="280"/>
      <c r="D189" s="280"/>
      <c r="F189" s="280"/>
      <c r="G189" s="280"/>
    </row>
    <row r="190">
      <c r="A190" s="280"/>
      <c r="B190" s="280"/>
      <c r="C190" s="280"/>
      <c r="D190" s="280"/>
      <c r="F190" s="280"/>
      <c r="G190" s="280"/>
    </row>
    <row r="191">
      <c r="A191" s="280"/>
      <c r="B191" s="280"/>
      <c r="C191" s="280"/>
      <c r="D191" s="280"/>
      <c r="F191" s="280"/>
      <c r="G191" s="280"/>
    </row>
    <row r="192">
      <c r="A192" s="280"/>
      <c r="B192" s="280"/>
      <c r="C192" s="280"/>
      <c r="D192" s="280"/>
      <c r="F192" s="280"/>
      <c r="G192" s="280"/>
    </row>
    <row r="193">
      <c r="A193" s="280"/>
      <c r="B193" s="280"/>
      <c r="C193" s="280"/>
      <c r="D193" s="280"/>
      <c r="F193" s="280"/>
      <c r="G193" s="280"/>
    </row>
    <row r="194">
      <c r="A194" s="280"/>
      <c r="B194" s="280"/>
      <c r="C194" s="280"/>
      <c r="D194" s="280"/>
      <c r="F194" s="280"/>
      <c r="G194" s="280"/>
    </row>
    <row r="195">
      <c r="A195" s="280"/>
      <c r="B195" s="280"/>
      <c r="C195" s="280"/>
      <c r="D195" s="280"/>
      <c r="F195" s="280"/>
      <c r="G195" s="280"/>
    </row>
    <row r="196">
      <c r="A196" s="280"/>
      <c r="B196" s="280"/>
      <c r="C196" s="280"/>
      <c r="D196" s="280"/>
      <c r="F196" s="280"/>
      <c r="G196" s="280"/>
    </row>
    <row r="197">
      <c r="A197" s="280"/>
      <c r="B197" s="280"/>
      <c r="C197" s="280"/>
      <c r="D197" s="280"/>
      <c r="F197" s="280"/>
      <c r="G197" s="280"/>
    </row>
    <row r="198">
      <c r="A198" s="280"/>
      <c r="B198" s="280"/>
      <c r="C198" s="280"/>
      <c r="D198" s="280"/>
      <c r="F198" s="280"/>
      <c r="G198" s="280"/>
    </row>
    <row r="199">
      <c r="A199" s="280"/>
      <c r="B199" s="280"/>
      <c r="C199" s="280"/>
      <c r="D199" s="280"/>
      <c r="F199" s="280"/>
      <c r="G199" s="280"/>
    </row>
    <row r="200">
      <c r="A200" s="280"/>
      <c r="B200" s="280"/>
      <c r="C200" s="280"/>
      <c r="D200" s="280"/>
      <c r="F200" s="280"/>
      <c r="G200" s="280"/>
    </row>
    <row r="201">
      <c r="A201" s="280"/>
      <c r="B201" s="280"/>
      <c r="C201" s="280"/>
      <c r="D201" s="280"/>
      <c r="F201" s="280"/>
      <c r="G201" s="280"/>
    </row>
    <row r="202">
      <c r="A202" s="280"/>
      <c r="B202" s="280"/>
      <c r="C202" s="280"/>
      <c r="D202" s="280"/>
      <c r="F202" s="280"/>
      <c r="G202" s="280"/>
    </row>
    <row r="203">
      <c r="A203" s="280"/>
      <c r="B203" s="280"/>
      <c r="C203" s="280"/>
      <c r="D203" s="280"/>
      <c r="F203" s="280"/>
      <c r="G203" s="280"/>
    </row>
    <row r="204">
      <c r="A204" s="280"/>
      <c r="B204" s="280"/>
      <c r="C204" s="280"/>
      <c r="D204" s="280"/>
      <c r="F204" s="280"/>
      <c r="G204" s="280"/>
    </row>
    <row r="205">
      <c r="A205" s="280"/>
      <c r="B205" s="280"/>
      <c r="C205" s="280"/>
      <c r="D205" s="280"/>
      <c r="F205" s="280"/>
      <c r="G205" s="280"/>
    </row>
    <row r="206">
      <c r="A206" s="280"/>
      <c r="B206" s="280"/>
      <c r="C206" s="280"/>
      <c r="D206" s="280"/>
      <c r="F206" s="280"/>
      <c r="G206" s="280"/>
    </row>
    <row r="207">
      <c r="A207" s="280"/>
      <c r="B207" s="280"/>
      <c r="C207" s="280"/>
      <c r="D207" s="280"/>
      <c r="F207" s="280"/>
      <c r="G207" s="280"/>
    </row>
    <row r="208">
      <c r="A208" s="280"/>
      <c r="B208" s="280"/>
      <c r="C208" s="280"/>
      <c r="D208" s="280"/>
      <c r="F208" s="280"/>
      <c r="G208" s="280"/>
    </row>
    <row r="209">
      <c r="A209" s="280"/>
      <c r="B209" s="280"/>
      <c r="C209" s="280"/>
      <c r="D209" s="280"/>
      <c r="F209" s="280"/>
      <c r="G209" s="280"/>
    </row>
    <row r="210">
      <c r="A210" s="280"/>
      <c r="B210" s="280"/>
      <c r="C210" s="280"/>
      <c r="D210" s="280"/>
      <c r="F210" s="280"/>
      <c r="G210" s="280"/>
    </row>
    <row r="211">
      <c r="A211" s="280"/>
      <c r="B211" s="280"/>
      <c r="C211" s="280"/>
      <c r="D211" s="280"/>
      <c r="F211" s="280"/>
      <c r="G211" s="280"/>
    </row>
    <row r="212">
      <c r="A212" s="280"/>
      <c r="B212" s="280"/>
      <c r="C212" s="280"/>
      <c r="D212" s="280"/>
      <c r="F212" s="280"/>
      <c r="G212" s="280"/>
    </row>
    <row r="213">
      <c r="A213" s="280"/>
      <c r="B213" s="280"/>
      <c r="C213" s="280"/>
      <c r="D213" s="280"/>
      <c r="F213" s="280"/>
      <c r="G213" s="280"/>
    </row>
    <row r="214">
      <c r="A214" s="280"/>
      <c r="B214" s="280"/>
      <c r="C214" s="280"/>
      <c r="D214" s="280"/>
      <c r="F214" s="280"/>
      <c r="G214" s="280"/>
    </row>
    <row r="215">
      <c r="A215" s="280"/>
      <c r="B215" s="280"/>
      <c r="C215" s="280"/>
      <c r="D215" s="280"/>
      <c r="F215" s="280"/>
      <c r="G215" s="280"/>
    </row>
    <row r="216">
      <c r="A216" s="280"/>
      <c r="B216" s="280"/>
      <c r="C216" s="280"/>
      <c r="D216" s="280"/>
      <c r="F216" s="280"/>
      <c r="G216" s="280"/>
    </row>
    <row r="217">
      <c r="A217" s="280"/>
      <c r="B217" s="280"/>
      <c r="C217" s="280"/>
      <c r="D217" s="280"/>
      <c r="F217" s="280"/>
      <c r="G217" s="280"/>
    </row>
    <row r="218">
      <c r="A218" s="280"/>
      <c r="B218" s="280"/>
      <c r="C218" s="280"/>
      <c r="D218" s="280"/>
      <c r="F218" s="280"/>
      <c r="G218" s="280"/>
    </row>
    <row r="219">
      <c r="A219" s="280"/>
      <c r="B219" s="280"/>
      <c r="C219" s="280"/>
      <c r="D219" s="280"/>
      <c r="F219" s="280"/>
      <c r="G219" s="280"/>
    </row>
    <row r="220">
      <c r="A220" s="280"/>
      <c r="B220" s="280"/>
      <c r="C220" s="280"/>
      <c r="D220" s="280"/>
      <c r="F220" s="280"/>
      <c r="G220" s="280"/>
    </row>
    <row r="221">
      <c r="A221" s="280"/>
      <c r="B221" s="280"/>
      <c r="C221" s="280"/>
      <c r="D221" s="280"/>
      <c r="F221" s="280"/>
      <c r="G221" s="280"/>
    </row>
    <row r="222">
      <c r="A222" s="280"/>
      <c r="B222" s="280"/>
      <c r="C222" s="280"/>
      <c r="D222" s="280"/>
      <c r="F222" s="280"/>
      <c r="G222" s="280"/>
    </row>
    <row r="223">
      <c r="A223" s="280"/>
      <c r="B223" s="280"/>
      <c r="C223" s="280"/>
      <c r="D223" s="280"/>
      <c r="F223" s="280"/>
      <c r="G223" s="280"/>
    </row>
    <row r="224">
      <c r="A224" s="280"/>
      <c r="B224" s="280"/>
      <c r="C224" s="280"/>
      <c r="D224" s="280"/>
      <c r="F224" s="280"/>
      <c r="G224" s="280"/>
    </row>
    <row r="225">
      <c r="A225" s="280"/>
      <c r="B225" s="280"/>
      <c r="C225" s="280"/>
      <c r="D225" s="280"/>
      <c r="F225" s="280"/>
      <c r="G225" s="280"/>
    </row>
    <row r="226">
      <c r="A226" s="280"/>
      <c r="B226" s="280"/>
      <c r="C226" s="280"/>
      <c r="D226" s="280"/>
      <c r="F226" s="280"/>
      <c r="G226" s="280"/>
    </row>
    <row r="227">
      <c r="A227" s="280"/>
      <c r="B227" s="280"/>
      <c r="C227" s="280"/>
      <c r="D227" s="280"/>
      <c r="F227" s="280"/>
      <c r="G227" s="280"/>
    </row>
    <row r="228">
      <c r="A228" s="280"/>
      <c r="B228" s="280"/>
      <c r="C228" s="280"/>
      <c r="D228" s="280"/>
      <c r="F228" s="280"/>
      <c r="G228" s="280"/>
    </row>
    <row r="229">
      <c r="A229" s="280"/>
      <c r="B229" s="280"/>
      <c r="C229" s="280"/>
      <c r="D229" s="280"/>
      <c r="F229" s="280"/>
      <c r="G229" s="280"/>
    </row>
    <row r="230">
      <c r="A230" s="280"/>
      <c r="B230" s="280"/>
      <c r="C230" s="280"/>
      <c r="D230" s="280"/>
      <c r="F230" s="280"/>
      <c r="G230" s="280"/>
    </row>
    <row r="231">
      <c r="A231" s="280"/>
      <c r="B231" s="280"/>
      <c r="C231" s="280"/>
      <c r="D231" s="280"/>
      <c r="F231" s="280"/>
      <c r="G231" s="280"/>
    </row>
    <row r="232">
      <c r="A232" s="280"/>
      <c r="B232" s="280"/>
      <c r="C232" s="280"/>
      <c r="D232" s="280"/>
      <c r="F232" s="280"/>
      <c r="G232" s="280"/>
    </row>
    <row r="233">
      <c r="A233" s="280"/>
      <c r="B233" s="280"/>
      <c r="C233" s="280"/>
      <c r="D233" s="280"/>
      <c r="F233" s="280"/>
      <c r="G233" s="280"/>
    </row>
    <row r="234">
      <c r="A234" s="280"/>
      <c r="B234" s="280"/>
      <c r="C234" s="280"/>
      <c r="D234" s="280"/>
      <c r="F234" s="280"/>
      <c r="G234" s="280"/>
    </row>
    <row r="235">
      <c r="A235" s="280"/>
      <c r="B235" s="280"/>
      <c r="C235" s="280"/>
      <c r="D235" s="280"/>
      <c r="F235" s="280"/>
      <c r="G235" s="280"/>
    </row>
    <row r="236">
      <c r="A236" s="280"/>
      <c r="B236" s="280"/>
      <c r="C236" s="280"/>
      <c r="D236" s="280"/>
      <c r="F236" s="280"/>
      <c r="G236" s="280"/>
    </row>
    <row r="237">
      <c r="A237" s="280"/>
      <c r="B237" s="280"/>
      <c r="C237" s="280"/>
      <c r="D237" s="280"/>
      <c r="F237" s="280"/>
      <c r="G237" s="280"/>
    </row>
    <row r="238">
      <c r="A238" s="280"/>
      <c r="B238" s="280"/>
      <c r="C238" s="280"/>
      <c r="D238" s="280"/>
      <c r="F238" s="280"/>
      <c r="G238" s="280"/>
    </row>
    <row r="239">
      <c r="A239" s="280"/>
      <c r="B239" s="280"/>
      <c r="C239" s="280"/>
      <c r="D239" s="280"/>
      <c r="F239" s="280"/>
      <c r="G239" s="280"/>
    </row>
    <row r="240">
      <c r="A240" s="280"/>
      <c r="B240" s="280"/>
      <c r="C240" s="280"/>
      <c r="D240" s="280"/>
      <c r="F240" s="280"/>
      <c r="G240" s="280"/>
    </row>
    <row r="241">
      <c r="A241" s="280"/>
      <c r="B241" s="280"/>
      <c r="C241" s="280"/>
      <c r="D241" s="280"/>
      <c r="F241" s="280"/>
      <c r="G241" s="280"/>
    </row>
    <row r="242">
      <c r="A242" s="280"/>
      <c r="B242" s="280"/>
      <c r="C242" s="280"/>
      <c r="D242" s="280"/>
      <c r="F242" s="280"/>
      <c r="G242" s="280"/>
    </row>
    <row r="243">
      <c r="A243" s="280"/>
      <c r="B243" s="280"/>
      <c r="C243" s="280"/>
      <c r="D243" s="280"/>
      <c r="F243" s="280"/>
      <c r="G243" s="280"/>
    </row>
    <row r="244">
      <c r="A244" s="280"/>
      <c r="B244" s="280"/>
      <c r="C244" s="280"/>
      <c r="D244" s="280"/>
      <c r="F244" s="280"/>
      <c r="G244" s="280"/>
    </row>
    <row r="245">
      <c r="A245" s="280"/>
      <c r="B245" s="280"/>
      <c r="C245" s="280"/>
      <c r="D245" s="280"/>
      <c r="F245" s="280"/>
      <c r="G245" s="280"/>
    </row>
    <row r="246">
      <c r="A246" s="280"/>
      <c r="B246" s="280"/>
      <c r="C246" s="280"/>
      <c r="D246" s="280"/>
      <c r="F246" s="280"/>
      <c r="G246" s="280"/>
    </row>
    <row r="247">
      <c r="A247" s="280"/>
      <c r="B247" s="280"/>
      <c r="C247" s="280"/>
      <c r="D247" s="280"/>
      <c r="F247" s="280"/>
      <c r="G247" s="280"/>
    </row>
    <row r="248">
      <c r="A248" s="280"/>
      <c r="B248" s="280"/>
      <c r="C248" s="280"/>
      <c r="D248" s="280"/>
      <c r="F248" s="280"/>
      <c r="G248" s="280"/>
    </row>
    <row r="249">
      <c r="A249" s="280"/>
      <c r="B249" s="280"/>
      <c r="C249" s="280"/>
      <c r="D249" s="280"/>
      <c r="F249" s="280"/>
      <c r="G249" s="280"/>
    </row>
    <row r="250">
      <c r="A250" s="280"/>
      <c r="B250" s="280"/>
      <c r="C250" s="280"/>
      <c r="D250" s="280"/>
      <c r="F250" s="280"/>
      <c r="G250" s="280"/>
    </row>
    <row r="251">
      <c r="A251" s="280"/>
      <c r="B251" s="280"/>
      <c r="C251" s="280"/>
      <c r="D251" s="280"/>
      <c r="F251" s="280"/>
      <c r="G251" s="280"/>
    </row>
    <row r="252">
      <c r="A252" s="280"/>
      <c r="B252" s="280"/>
      <c r="C252" s="280"/>
      <c r="D252" s="280"/>
      <c r="F252" s="280"/>
      <c r="G252" s="280"/>
    </row>
    <row r="253">
      <c r="A253" s="280"/>
      <c r="B253" s="280"/>
      <c r="C253" s="280"/>
      <c r="D253" s="280"/>
      <c r="F253" s="280"/>
      <c r="G253" s="280"/>
    </row>
    <row r="254">
      <c r="A254" s="280"/>
      <c r="B254" s="280"/>
      <c r="C254" s="280"/>
      <c r="D254" s="280"/>
      <c r="F254" s="280"/>
      <c r="G254" s="280"/>
    </row>
    <row r="255">
      <c r="A255" s="280"/>
      <c r="B255" s="280"/>
      <c r="C255" s="280"/>
      <c r="D255" s="280"/>
      <c r="F255" s="280"/>
      <c r="G255" s="280"/>
    </row>
    <row r="256">
      <c r="A256" s="280"/>
      <c r="B256" s="280"/>
      <c r="C256" s="280"/>
      <c r="D256" s="280"/>
      <c r="F256" s="280"/>
      <c r="G256" s="280"/>
    </row>
    <row r="257">
      <c r="A257" s="280"/>
      <c r="B257" s="280"/>
      <c r="C257" s="280"/>
      <c r="D257" s="280"/>
      <c r="F257" s="280"/>
      <c r="G257" s="280"/>
    </row>
    <row r="258">
      <c r="A258" s="280"/>
      <c r="B258" s="280"/>
      <c r="C258" s="280"/>
      <c r="D258" s="280"/>
      <c r="F258" s="280"/>
      <c r="G258" s="280"/>
    </row>
    <row r="259">
      <c r="A259" s="280"/>
      <c r="B259" s="280"/>
      <c r="C259" s="280"/>
      <c r="D259" s="280"/>
      <c r="F259" s="280"/>
      <c r="G259" s="280"/>
    </row>
    <row r="260">
      <c r="A260" s="280"/>
      <c r="B260" s="280"/>
      <c r="C260" s="280"/>
      <c r="D260" s="280"/>
      <c r="F260" s="280"/>
      <c r="G260" s="280"/>
    </row>
    <row r="261">
      <c r="A261" s="280"/>
      <c r="B261" s="280"/>
      <c r="C261" s="280"/>
      <c r="D261" s="280"/>
      <c r="F261" s="280"/>
      <c r="G261" s="280"/>
    </row>
    <row r="262">
      <c r="A262" s="280"/>
      <c r="B262" s="280"/>
      <c r="C262" s="280"/>
      <c r="D262" s="280"/>
      <c r="F262" s="280"/>
      <c r="G262" s="280"/>
    </row>
    <row r="263">
      <c r="A263" s="280"/>
      <c r="B263" s="280"/>
      <c r="C263" s="280"/>
      <c r="D263" s="280"/>
      <c r="F263" s="280"/>
      <c r="G263" s="280"/>
    </row>
    <row r="264">
      <c r="A264" s="280"/>
      <c r="B264" s="280"/>
      <c r="C264" s="280"/>
      <c r="D264" s="280"/>
      <c r="F264" s="280"/>
      <c r="G264" s="280"/>
    </row>
    <row r="265">
      <c r="A265" s="280"/>
      <c r="B265" s="280"/>
      <c r="C265" s="280"/>
      <c r="D265" s="280"/>
      <c r="F265" s="280"/>
      <c r="G265" s="280"/>
    </row>
    <row r="266">
      <c r="A266" s="280"/>
      <c r="B266" s="280"/>
      <c r="C266" s="280"/>
      <c r="D266" s="280"/>
      <c r="F266" s="280"/>
      <c r="G266" s="280"/>
    </row>
    <row r="267">
      <c r="A267" s="280"/>
      <c r="B267" s="280"/>
      <c r="C267" s="280"/>
      <c r="D267" s="280"/>
      <c r="F267" s="280"/>
      <c r="G267" s="280"/>
    </row>
    <row r="268">
      <c r="A268" s="280"/>
      <c r="B268" s="280"/>
      <c r="C268" s="280"/>
      <c r="D268" s="280"/>
      <c r="F268" s="280"/>
      <c r="G268" s="280"/>
    </row>
    <row r="269">
      <c r="A269" s="280"/>
      <c r="B269" s="280"/>
      <c r="C269" s="280"/>
      <c r="D269" s="280"/>
      <c r="F269" s="280"/>
      <c r="G269" s="280"/>
    </row>
    <row r="270">
      <c r="A270" s="280"/>
      <c r="B270" s="280"/>
      <c r="C270" s="280"/>
      <c r="D270" s="280"/>
      <c r="F270" s="280"/>
      <c r="G270" s="280"/>
    </row>
    <row r="271">
      <c r="A271" s="280"/>
      <c r="B271" s="280"/>
      <c r="C271" s="280"/>
      <c r="D271" s="280"/>
      <c r="F271" s="280"/>
      <c r="G271" s="280"/>
    </row>
    <row r="272">
      <c r="A272" s="280"/>
      <c r="B272" s="280"/>
      <c r="C272" s="280"/>
      <c r="D272" s="280"/>
      <c r="F272" s="280"/>
      <c r="G272" s="280"/>
    </row>
    <row r="273">
      <c r="A273" s="280"/>
      <c r="B273" s="280"/>
      <c r="C273" s="280"/>
      <c r="D273" s="280"/>
      <c r="F273" s="280"/>
      <c r="G273" s="280"/>
    </row>
    <row r="274">
      <c r="A274" s="280"/>
      <c r="B274" s="280"/>
      <c r="C274" s="280"/>
      <c r="D274" s="280"/>
      <c r="F274" s="280"/>
      <c r="G274" s="280"/>
    </row>
    <row r="275">
      <c r="A275" s="280"/>
      <c r="B275" s="280"/>
      <c r="C275" s="280"/>
      <c r="D275" s="280"/>
      <c r="F275" s="280"/>
      <c r="G275" s="280"/>
    </row>
    <row r="276">
      <c r="A276" s="280"/>
      <c r="B276" s="280"/>
      <c r="C276" s="280"/>
      <c r="D276" s="280"/>
      <c r="F276" s="280"/>
      <c r="G276" s="280"/>
    </row>
    <row r="277">
      <c r="A277" s="280"/>
      <c r="B277" s="280"/>
      <c r="C277" s="280"/>
      <c r="D277" s="280"/>
      <c r="F277" s="280"/>
      <c r="G277" s="280"/>
    </row>
    <row r="278">
      <c r="A278" s="280"/>
      <c r="B278" s="280"/>
      <c r="C278" s="280"/>
      <c r="D278" s="280"/>
      <c r="F278" s="280"/>
      <c r="G278" s="280"/>
    </row>
    <row r="279">
      <c r="A279" s="280"/>
      <c r="B279" s="280"/>
      <c r="C279" s="280"/>
      <c r="D279" s="280"/>
      <c r="F279" s="280"/>
      <c r="G279" s="280"/>
    </row>
    <row r="280">
      <c r="A280" s="280"/>
      <c r="B280" s="280"/>
      <c r="C280" s="280"/>
      <c r="D280" s="280"/>
      <c r="F280" s="280"/>
      <c r="G280" s="280"/>
    </row>
    <row r="281">
      <c r="A281" s="280"/>
      <c r="B281" s="280"/>
      <c r="C281" s="280"/>
      <c r="D281" s="280"/>
      <c r="F281" s="280"/>
      <c r="G281" s="280"/>
    </row>
    <row r="282">
      <c r="A282" s="280"/>
      <c r="B282" s="280"/>
      <c r="C282" s="280"/>
      <c r="D282" s="280"/>
      <c r="F282" s="280"/>
      <c r="G282" s="280"/>
    </row>
    <row r="283">
      <c r="A283" s="280"/>
      <c r="B283" s="280"/>
      <c r="C283" s="280"/>
      <c r="D283" s="280"/>
      <c r="F283" s="280"/>
      <c r="G283" s="280"/>
    </row>
    <row r="284">
      <c r="A284" s="280"/>
      <c r="B284" s="280"/>
      <c r="C284" s="280"/>
      <c r="D284" s="280"/>
      <c r="F284" s="280"/>
      <c r="G284" s="280"/>
    </row>
    <row r="285">
      <c r="A285" s="280"/>
      <c r="B285" s="280"/>
      <c r="C285" s="280"/>
      <c r="D285" s="280"/>
      <c r="F285" s="280"/>
      <c r="G285" s="280"/>
    </row>
    <row r="286">
      <c r="A286" s="280"/>
      <c r="B286" s="280"/>
      <c r="C286" s="280"/>
      <c r="D286" s="280"/>
      <c r="F286" s="280"/>
      <c r="G286" s="280"/>
    </row>
    <row r="287">
      <c r="A287" s="280"/>
      <c r="B287" s="280"/>
      <c r="C287" s="280"/>
      <c r="D287" s="280"/>
      <c r="F287" s="280"/>
      <c r="G287" s="280"/>
    </row>
    <row r="288">
      <c r="A288" s="280"/>
      <c r="B288" s="280"/>
      <c r="C288" s="280"/>
      <c r="D288" s="280"/>
      <c r="F288" s="280"/>
      <c r="G288" s="280"/>
    </row>
    <row r="289">
      <c r="A289" s="280"/>
      <c r="B289" s="280"/>
      <c r="C289" s="280"/>
      <c r="D289" s="280"/>
      <c r="F289" s="280"/>
      <c r="G289" s="280"/>
    </row>
    <row r="290">
      <c r="A290" s="280"/>
      <c r="B290" s="280"/>
      <c r="C290" s="280"/>
      <c r="D290" s="280"/>
      <c r="F290" s="280"/>
      <c r="G290" s="280"/>
    </row>
    <row r="291">
      <c r="A291" s="280"/>
      <c r="B291" s="280"/>
      <c r="C291" s="280"/>
      <c r="D291" s="280"/>
      <c r="F291" s="280"/>
      <c r="G291" s="280"/>
    </row>
    <row r="292">
      <c r="A292" s="280"/>
      <c r="B292" s="280"/>
      <c r="C292" s="280"/>
      <c r="D292" s="280"/>
      <c r="F292" s="280"/>
      <c r="G292" s="280"/>
    </row>
    <row r="293">
      <c r="A293" s="280"/>
      <c r="B293" s="280"/>
      <c r="C293" s="280"/>
      <c r="D293" s="280"/>
      <c r="F293" s="280"/>
      <c r="G293" s="280"/>
    </row>
    <row r="294">
      <c r="A294" s="280"/>
      <c r="B294" s="280"/>
      <c r="C294" s="280"/>
      <c r="D294" s="280"/>
      <c r="F294" s="280"/>
      <c r="G294" s="280"/>
    </row>
    <row r="295">
      <c r="A295" s="280"/>
      <c r="B295" s="280"/>
      <c r="C295" s="280"/>
      <c r="D295" s="280"/>
      <c r="F295" s="280"/>
      <c r="G295" s="280"/>
    </row>
    <row r="296">
      <c r="A296" s="280"/>
      <c r="B296" s="280"/>
      <c r="C296" s="280"/>
      <c r="D296" s="280"/>
      <c r="F296" s="280"/>
      <c r="G296" s="280"/>
    </row>
    <row r="297">
      <c r="A297" s="280"/>
      <c r="B297" s="280"/>
      <c r="C297" s="280"/>
      <c r="D297" s="280"/>
      <c r="F297" s="280"/>
      <c r="G297" s="280"/>
    </row>
    <row r="298">
      <c r="A298" s="280"/>
      <c r="B298" s="280"/>
      <c r="C298" s="280"/>
      <c r="D298" s="280"/>
      <c r="F298" s="280"/>
      <c r="G298" s="280"/>
    </row>
    <row r="299">
      <c r="A299" s="280"/>
      <c r="B299" s="280"/>
      <c r="C299" s="280"/>
      <c r="D299" s="280"/>
      <c r="F299" s="280"/>
      <c r="G299" s="280"/>
    </row>
    <row r="300">
      <c r="A300" s="280"/>
      <c r="B300" s="280"/>
      <c r="C300" s="280"/>
      <c r="D300" s="280"/>
      <c r="F300" s="280"/>
      <c r="G300" s="280"/>
    </row>
    <row r="301">
      <c r="A301" s="280"/>
      <c r="B301" s="280"/>
      <c r="C301" s="280"/>
      <c r="D301" s="280"/>
      <c r="F301" s="280"/>
      <c r="G301" s="280"/>
    </row>
    <row r="302">
      <c r="A302" s="280"/>
      <c r="B302" s="280"/>
      <c r="C302" s="280"/>
      <c r="D302" s="280"/>
      <c r="F302" s="280"/>
      <c r="G302" s="280"/>
    </row>
    <row r="303">
      <c r="A303" s="280"/>
      <c r="B303" s="280"/>
      <c r="C303" s="280"/>
      <c r="D303" s="280"/>
      <c r="F303" s="280"/>
      <c r="G303" s="280"/>
    </row>
    <row r="304">
      <c r="A304" s="280"/>
      <c r="B304" s="280"/>
      <c r="C304" s="280"/>
      <c r="D304" s="280"/>
      <c r="F304" s="280"/>
      <c r="G304" s="280"/>
    </row>
    <row r="305">
      <c r="A305" s="280"/>
      <c r="B305" s="280"/>
      <c r="C305" s="280"/>
      <c r="D305" s="280"/>
      <c r="F305" s="280"/>
      <c r="G305" s="280"/>
    </row>
    <row r="306">
      <c r="A306" s="280"/>
      <c r="B306" s="280"/>
      <c r="C306" s="280"/>
      <c r="D306" s="280"/>
      <c r="F306" s="280"/>
      <c r="G306" s="280"/>
    </row>
    <row r="307">
      <c r="A307" s="280"/>
      <c r="B307" s="280"/>
      <c r="C307" s="280"/>
      <c r="D307" s="280"/>
      <c r="F307" s="280"/>
      <c r="G307" s="280"/>
    </row>
    <row r="308">
      <c r="A308" s="280"/>
      <c r="B308" s="280"/>
      <c r="C308" s="280"/>
      <c r="D308" s="280"/>
      <c r="F308" s="280"/>
      <c r="G308" s="280"/>
    </row>
    <row r="309">
      <c r="A309" s="280"/>
      <c r="B309" s="280"/>
      <c r="C309" s="280"/>
      <c r="D309" s="280"/>
      <c r="F309" s="280"/>
      <c r="G309" s="280"/>
    </row>
    <row r="310">
      <c r="A310" s="280"/>
      <c r="B310" s="280"/>
      <c r="C310" s="280"/>
      <c r="D310" s="280"/>
      <c r="F310" s="280"/>
      <c r="G310" s="280"/>
    </row>
    <row r="311">
      <c r="A311" s="280"/>
      <c r="B311" s="280"/>
      <c r="C311" s="280"/>
      <c r="D311" s="280"/>
      <c r="F311" s="280"/>
      <c r="G311" s="280"/>
    </row>
    <row r="312">
      <c r="A312" s="280"/>
      <c r="B312" s="280"/>
      <c r="C312" s="280"/>
      <c r="D312" s="280"/>
      <c r="F312" s="280"/>
      <c r="G312" s="280"/>
    </row>
    <row r="313">
      <c r="A313" s="280"/>
      <c r="B313" s="280"/>
      <c r="C313" s="280"/>
      <c r="D313" s="280"/>
      <c r="F313" s="280"/>
      <c r="G313" s="280"/>
    </row>
    <row r="314">
      <c r="A314" s="280"/>
      <c r="B314" s="280"/>
      <c r="C314" s="280"/>
      <c r="D314" s="280"/>
      <c r="F314" s="280"/>
      <c r="G314" s="280"/>
    </row>
    <row r="315">
      <c r="A315" s="280"/>
      <c r="B315" s="280"/>
      <c r="C315" s="280"/>
      <c r="D315" s="280"/>
      <c r="F315" s="280"/>
      <c r="G315" s="280"/>
    </row>
    <row r="316">
      <c r="A316" s="280"/>
      <c r="B316" s="280"/>
      <c r="C316" s="280"/>
      <c r="D316" s="280"/>
      <c r="F316" s="280"/>
      <c r="G316" s="280"/>
    </row>
    <row r="317">
      <c r="A317" s="280"/>
      <c r="B317" s="280"/>
      <c r="C317" s="280"/>
      <c r="D317" s="280"/>
      <c r="F317" s="280"/>
      <c r="G317" s="280"/>
    </row>
    <row r="318">
      <c r="A318" s="280"/>
      <c r="B318" s="280"/>
      <c r="C318" s="280"/>
      <c r="D318" s="280"/>
      <c r="F318" s="280"/>
      <c r="G318" s="280"/>
    </row>
    <row r="319">
      <c r="A319" s="280"/>
      <c r="B319" s="280"/>
      <c r="C319" s="280"/>
      <c r="D319" s="280"/>
      <c r="F319" s="280"/>
      <c r="G319" s="280"/>
    </row>
    <row r="320">
      <c r="A320" s="280"/>
      <c r="B320" s="280"/>
      <c r="C320" s="280"/>
      <c r="D320" s="280"/>
      <c r="F320" s="280"/>
      <c r="G320" s="280"/>
    </row>
    <row r="321">
      <c r="A321" s="280"/>
      <c r="B321" s="280"/>
      <c r="C321" s="280"/>
      <c r="D321" s="280"/>
      <c r="F321" s="280"/>
      <c r="G321" s="280"/>
    </row>
    <row r="322">
      <c r="A322" s="280"/>
      <c r="B322" s="280"/>
      <c r="C322" s="280"/>
      <c r="D322" s="280"/>
      <c r="F322" s="280"/>
      <c r="G322" s="280"/>
    </row>
    <row r="323">
      <c r="A323" s="280"/>
      <c r="B323" s="280"/>
      <c r="C323" s="280"/>
      <c r="D323" s="280"/>
      <c r="F323" s="280"/>
      <c r="G323" s="280"/>
    </row>
    <row r="324">
      <c r="A324" s="280"/>
      <c r="B324" s="280"/>
      <c r="C324" s="280"/>
      <c r="D324" s="280"/>
      <c r="F324" s="280"/>
      <c r="G324" s="280"/>
    </row>
    <row r="325">
      <c r="A325" s="280"/>
      <c r="B325" s="280"/>
      <c r="C325" s="280"/>
      <c r="D325" s="280"/>
      <c r="F325" s="280"/>
      <c r="G325" s="280"/>
    </row>
    <row r="326">
      <c r="A326" s="280"/>
      <c r="B326" s="280"/>
      <c r="C326" s="280"/>
      <c r="D326" s="280"/>
      <c r="F326" s="280"/>
      <c r="G326" s="280"/>
    </row>
    <row r="327">
      <c r="A327" s="280"/>
      <c r="B327" s="280"/>
      <c r="C327" s="280"/>
      <c r="D327" s="280"/>
      <c r="F327" s="280"/>
      <c r="G327" s="280"/>
    </row>
    <row r="328">
      <c r="A328" s="280"/>
      <c r="B328" s="280"/>
      <c r="C328" s="280"/>
      <c r="D328" s="280"/>
      <c r="F328" s="280"/>
      <c r="G328" s="280"/>
    </row>
    <row r="329">
      <c r="A329" s="280"/>
      <c r="B329" s="280"/>
      <c r="C329" s="280"/>
      <c r="D329" s="280"/>
      <c r="F329" s="280"/>
      <c r="G329" s="280"/>
    </row>
    <row r="330">
      <c r="A330" s="280"/>
      <c r="B330" s="280"/>
      <c r="C330" s="280"/>
      <c r="D330" s="280"/>
      <c r="F330" s="280"/>
      <c r="G330" s="280"/>
    </row>
    <row r="331">
      <c r="A331" s="280"/>
      <c r="B331" s="280"/>
      <c r="C331" s="280"/>
      <c r="D331" s="280"/>
      <c r="F331" s="280"/>
      <c r="G331" s="280"/>
    </row>
    <row r="332">
      <c r="A332" s="280"/>
      <c r="B332" s="280"/>
      <c r="C332" s="280"/>
      <c r="D332" s="280"/>
      <c r="F332" s="280"/>
      <c r="G332" s="280"/>
    </row>
    <row r="333">
      <c r="A333" s="280"/>
      <c r="B333" s="280"/>
      <c r="C333" s="280"/>
      <c r="D333" s="280"/>
      <c r="F333" s="280"/>
      <c r="G333" s="280"/>
    </row>
    <row r="334">
      <c r="A334" s="280"/>
      <c r="B334" s="280"/>
      <c r="C334" s="280"/>
      <c r="D334" s="280"/>
      <c r="F334" s="280"/>
      <c r="G334" s="280"/>
    </row>
    <row r="335">
      <c r="A335" s="280"/>
      <c r="B335" s="280"/>
      <c r="C335" s="280"/>
      <c r="D335" s="280"/>
      <c r="F335" s="280"/>
      <c r="G335" s="280"/>
    </row>
    <row r="336">
      <c r="A336" s="280"/>
      <c r="B336" s="280"/>
      <c r="C336" s="280"/>
      <c r="D336" s="280"/>
      <c r="F336" s="280"/>
      <c r="G336" s="280"/>
    </row>
    <row r="337">
      <c r="A337" s="280"/>
      <c r="B337" s="280"/>
      <c r="C337" s="280"/>
      <c r="D337" s="280"/>
      <c r="F337" s="280"/>
      <c r="G337" s="280"/>
    </row>
    <row r="338">
      <c r="A338" s="280"/>
      <c r="B338" s="280"/>
      <c r="C338" s="280"/>
      <c r="D338" s="280"/>
      <c r="F338" s="280"/>
      <c r="G338" s="280"/>
    </row>
    <row r="339">
      <c r="A339" s="280"/>
      <c r="B339" s="280"/>
      <c r="C339" s="280"/>
      <c r="D339" s="280"/>
      <c r="F339" s="280"/>
      <c r="G339" s="280"/>
    </row>
    <row r="340">
      <c r="A340" s="280"/>
      <c r="B340" s="280"/>
      <c r="C340" s="280"/>
      <c r="D340" s="280"/>
      <c r="F340" s="280"/>
      <c r="G340" s="280"/>
    </row>
    <row r="341">
      <c r="A341" s="280"/>
      <c r="B341" s="280"/>
      <c r="C341" s="280"/>
      <c r="D341" s="280"/>
      <c r="F341" s="280"/>
      <c r="G341" s="280"/>
    </row>
    <row r="342">
      <c r="A342" s="280"/>
      <c r="B342" s="280"/>
      <c r="C342" s="280"/>
      <c r="D342" s="280"/>
      <c r="F342" s="280"/>
      <c r="G342" s="280"/>
    </row>
    <row r="343">
      <c r="A343" s="280"/>
      <c r="B343" s="280"/>
      <c r="C343" s="280"/>
      <c r="D343" s="280"/>
      <c r="F343" s="280"/>
      <c r="G343" s="280"/>
    </row>
    <row r="344">
      <c r="A344" s="280"/>
      <c r="B344" s="280"/>
      <c r="C344" s="280"/>
      <c r="D344" s="280"/>
      <c r="F344" s="280"/>
      <c r="G344" s="280"/>
    </row>
    <row r="345">
      <c r="A345" s="280"/>
      <c r="B345" s="280"/>
      <c r="C345" s="280"/>
      <c r="D345" s="280"/>
      <c r="F345" s="280"/>
      <c r="G345" s="280"/>
    </row>
    <row r="346">
      <c r="A346" s="280"/>
      <c r="B346" s="280"/>
      <c r="C346" s="280"/>
      <c r="D346" s="280"/>
      <c r="F346" s="280"/>
      <c r="G346" s="280"/>
    </row>
    <row r="347">
      <c r="A347" s="280"/>
      <c r="B347" s="280"/>
      <c r="C347" s="280"/>
      <c r="D347" s="280"/>
      <c r="F347" s="280"/>
      <c r="G347" s="280"/>
    </row>
    <row r="348">
      <c r="A348" s="280"/>
      <c r="B348" s="280"/>
      <c r="C348" s="280"/>
      <c r="D348" s="280"/>
      <c r="F348" s="280"/>
      <c r="G348" s="280"/>
    </row>
    <row r="349">
      <c r="A349" s="280"/>
      <c r="B349" s="280"/>
      <c r="C349" s="280"/>
      <c r="D349" s="280"/>
      <c r="F349" s="280"/>
      <c r="G349" s="280"/>
    </row>
    <row r="350">
      <c r="A350" s="280"/>
      <c r="B350" s="280"/>
      <c r="C350" s="280"/>
      <c r="D350" s="280"/>
      <c r="F350" s="280"/>
      <c r="G350" s="280"/>
    </row>
    <row r="351">
      <c r="A351" s="280"/>
      <c r="B351" s="280"/>
      <c r="C351" s="280"/>
      <c r="D351" s="280"/>
      <c r="F351" s="280"/>
      <c r="G351" s="280"/>
    </row>
    <row r="352">
      <c r="A352" s="280"/>
      <c r="B352" s="280"/>
      <c r="C352" s="280"/>
      <c r="D352" s="280"/>
      <c r="F352" s="280"/>
      <c r="G352" s="280"/>
    </row>
    <row r="353">
      <c r="A353" s="280"/>
      <c r="B353" s="280"/>
      <c r="C353" s="280"/>
      <c r="D353" s="280"/>
      <c r="F353" s="280"/>
      <c r="G353" s="280"/>
    </row>
    <row r="354">
      <c r="A354" s="280"/>
      <c r="B354" s="280"/>
      <c r="C354" s="280"/>
      <c r="D354" s="280"/>
      <c r="F354" s="280"/>
      <c r="G354" s="280"/>
    </row>
    <row r="355">
      <c r="A355" s="280"/>
      <c r="B355" s="280"/>
      <c r="C355" s="280"/>
      <c r="D355" s="280"/>
      <c r="F355" s="280"/>
      <c r="G355" s="280"/>
    </row>
    <row r="356">
      <c r="A356" s="280"/>
      <c r="B356" s="280"/>
      <c r="C356" s="280"/>
      <c r="D356" s="280"/>
      <c r="F356" s="280"/>
      <c r="G356" s="280"/>
    </row>
    <row r="357">
      <c r="A357" s="280"/>
      <c r="B357" s="280"/>
      <c r="C357" s="280"/>
      <c r="D357" s="280"/>
      <c r="F357" s="280"/>
      <c r="G357" s="280"/>
    </row>
    <row r="358">
      <c r="A358" s="280"/>
      <c r="B358" s="280"/>
      <c r="C358" s="280"/>
      <c r="D358" s="280"/>
      <c r="F358" s="280"/>
      <c r="G358" s="280"/>
    </row>
    <row r="359">
      <c r="A359" s="280"/>
      <c r="B359" s="280"/>
      <c r="C359" s="280"/>
      <c r="D359" s="280"/>
      <c r="F359" s="280"/>
      <c r="G359" s="280"/>
    </row>
    <row r="360">
      <c r="A360" s="280"/>
      <c r="B360" s="280"/>
      <c r="C360" s="280"/>
      <c r="D360" s="280"/>
      <c r="F360" s="280"/>
      <c r="G360" s="280"/>
    </row>
    <row r="361">
      <c r="A361" s="280"/>
      <c r="B361" s="280"/>
      <c r="C361" s="280"/>
      <c r="D361" s="280"/>
      <c r="F361" s="280"/>
      <c r="G361" s="280"/>
    </row>
    <row r="362">
      <c r="A362" s="280"/>
      <c r="B362" s="280"/>
      <c r="C362" s="280"/>
      <c r="D362" s="280"/>
      <c r="F362" s="280"/>
      <c r="G362" s="280"/>
    </row>
    <row r="363">
      <c r="A363" s="280"/>
      <c r="B363" s="280"/>
      <c r="C363" s="280"/>
      <c r="D363" s="280"/>
      <c r="F363" s="280"/>
      <c r="G363" s="280"/>
    </row>
    <row r="364">
      <c r="A364" s="280"/>
      <c r="B364" s="280"/>
      <c r="C364" s="280"/>
      <c r="D364" s="280"/>
      <c r="F364" s="280"/>
      <c r="G364" s="280"/>
    </row>
    <row r="365">
      <c r="A365" s="280"/>
      <c r="B365" s="280"/>
      <c r="C365" s="280"/>
      <c r="D365" s="280"/>
      <c r="F365" s="280"/>
      <c r="G365" s="280"/>
    </row>
    <row r="366">
      <c r="A366" s="280"/>
      <c r="B366" s="280"/>
      <c r="C366" s="280"/>
      <c r="D366" s="280"/>
      <c r="F366" s="280"/>
      <c r="G366" s="280"/>
    </row>
    <row r="367">
      <c r="A367" s="280"/>
      <c r="B367" s="280"/>
      <c r="C367" s="280"/>
      <c r="D367" s="280"/>
      <c r="F367" s="280"/>
      <c r="G367" s="280"/>
    </row>
    <row r="368">
      <c r="A368" s="280"/>
      <c r="B368" s="280"/>
      <c r="C368" s="280"/>
      <c r="D368" s="280"/>
      <c r="F368" s="280"/>
      <c r="G368" s="280"/>
    </row>
    <row r="369">
      <c r="A369" s="280"/>
      <c r="B369" s="280"/>
      <c r="C369" s="280"/>
      <c r="D369" s="280"/>
      <c r="F369" s="280"/>
      <c r="G369" s="280"/>
    </row>
    <row r="370">
      <c r="A370" s="280"/>
      <c r="B370" s="280"/>
      <c r="C370" s="280"/>
      <c r="D370" s="280"/>
      <c r="F370" s="280"/>
      <c r="G370" s="280"/>
    </row>
    <row r="371">
      <c r="A371" s="280"/>
      <c r="B371" s="280"/>
      <c r="C371" s="280"/>
      <c r="D371" s="280"/>
      <c r="F371" s="280"/>
      <c r="G371" s="280"/>
    </row>
    <row r="372">
      <c r="A372" s="280"/>
      <c r="B372" s="280"/>
      <c r="C372" s="280"/>
      <c r="D372" s="280"/>
      <c r="F372" s="280"/>
      <c r="G372" s="280"/>
    </row>
    <row r="373">
      <c r="A373" s="280"/>
      <c r="B373" s="280"/>
      <c r="C373" s="280"/>
      <c r="D373" s="280"/>
      <c r="F373" s="280"/>
      <c r="G373" s="280"/>
    </row>
    <row r="374">
      <c r="A374" s="280"/>
      <c r="B374" s="280"/>
      <c r="C374" s="280"/>
      <c r="D374" s="280"/>
      <c r="F374" s="280"/>
      <c r="G374" s="280"/>
    </row>
    <row r="375">
      <c r="A375" s="280"/>
      <c r="B375" s="280"/>
      <c r="C375" s="280"/>
      <c r="D375" s="280"/>
      <c r="F375" s="280"/>
      <c r="G375" s="280"/>
    </row>
    <row r="376">
      <c r="A376" s="280"/>
      <c r="B376" s="280"/>
      <c r="C376" s="280"/>
      <c r="D376" s="280"/>
      <c r="F376" s="280"/>
      <c r="G376" s="280"/>
    </row>
    <row r="377">
      <c r="A377" s="280"/>
      <c r="B377" s="280"/>
      <c r="C377" s="280"/>
      <c r="D377" s="280"/>
      <c r="F377" s="280"/>
      <c r="G377" s="280"/>
    </row>
    <row r="378">
      <c r="A378" s="280"/>
      <c r="B378" s="280"/>
      <c r="C378" s="280"/>
      <c r="D378" s="280"/>
      <c r="F378" s="280"/>
      <c r="G378" s="280"/>
    </row>
    <row r="379">
      <c r="A379" s="280"/>
      <c r="B379" s="280"/>
      <c r="C379" s="280"/>
      <c r="D379" s="280"/>
      <c r="F379" s="280"/>
      <c r="G379" s="280"/>
    </row>
    <row r="380">
      <c r="A380" s="280"/>
      <c r="B380" s="280"/>
      <c r="C380" s="280"/>
      <c r="D380" s="280"/>
      <c r="F380" s="280"/>
      <c r="G380" s="280"/>
    </row>
    <row r="381">
      <c r="A381" s="280"/>
      <c r="B381" s="280"/>
      <c r="C381" s="280"/>
      <c r="D381" s="280"/>
      <c r="F381" s="280"/>
      <c r="G381" s="280"/>
    </row>
    <row r="382">
      <c r="A382" s="280"/>
      <c r="B382" s="280"/>
      <c r="C382" s="280"/>
      <c r="D382" s="280"/>
      <c r="F382" s="280"/>
      <c r="G382" s="280"/>
    </row>
    <row r="383">
      <c r="A383" s="280"/>
      <c r="B383" s="280"/>
      <c r="C383" s="280"/>
      <c r="D383" s="280"/>
      <c r="F383" s="280"/>
      <c r="G383" s="280"/>
    </row>
    <row r="384">
      <c r="A384" s="280"/>
      <c r="B384" s="280"/>
      <c r="C384" s="280"/>
      <c r="D384" s="280"/>
      <c r="F384" s="280"/>
      <c r="G384" s="280"/>
    </row>
    <row r="385">
      <c r="A385" s="280"/>
      <c r="B385" s="280"/>
      <c r="C385" s="280"/>
      <c r="D385" s="280"/>
      <c r="F385" s="280"/>
      <c r="G385" s="280"/>
    </row>
    <row r="386">
      <c r="A386" s="280"/>
      <c r="B386" s="280"/>
      <c r="C386" s="280"/>
      <c r="D386" s="280"/>
      <c r="F386" s="280"/>
      <c r="G386" s="280"/>
    </row>
    <row r="387">
      <c r="A387" s="280"/>
      <c r="B387" s="280"/>
      <c r="C387" s="280"/>
      <c r="D387" s="280"/>
      <c r="F387" s="280"/>
      <c r="G387" s="280"/>
    </row>
    <row r="388">
      <c r="A388" s="280"/>
      <c r="B388" s="280"/>
      <c r="C388" s="280"/>
      <c r="D388" s="280"/>
      <c r="F388" s="280"/>
      <c r="G388" s="280"/>
    </row>
    <row r="389">
      <c r="A389" s="280"/>
      <c r="B389" s="280"/>
      <c r="C389" s="280"/>
      <c r="D389" s="280"/>
      <c r="F389" s="280"/>
      <c r="G389" s="280"/>
    </row>
    <row r="390">
      <c r="A390" s="280"/>
      <c r="B390" s="280"/>
      <c r="C390" s="280"/>
      <c r="D390" s="280"/>
      <c r="F390" s="280"/>
      <c r="G390" s="280"/>
    </row>
    <row r="391">
      <c r="A391" s="280"/>
      <c r="B391" s="280"/>
      <c r="C391" s="280"/>
      <c r="D391" s="280"/>
      <c r="F391" s="280"/>
      <c r="G391" s="280"/>
    </row>
    <row r="392">
      <c r="A392" s="280"/>
      <c r="B392" s="280"/>
      <c r="C392" s="280"/>
      <c r="D392" s="280"/>
      <c r="F392" s="280"/>
      <c r="G392" s="280"/>
    </row>
    <row r="393">
      <c r="A393" s="280"/>
      <c r="B393" s="280"/>
      <c r="C393" s="280"/>
      <c r="D393" s="280"/>
      <c r="F393" s="280"/>
      <c r="G393" s="280"/>
    </row>
    <row r="394">
      <c r="A394" s="280"/>
      <c r="B394" s="280"/>
      <c r="C394" s="280"/>
      <c r="D394" s="280"/>
      <c r="F394" s="280"/>
      <c r="G394" s="280"/>
    </row>
    <row r="395">
      <c r="A395" s="280"/>
      <c r="B395" s="280"/>
      <c r="C395" s="280"/>
      <c r="D395" s="280"/>
      <c r="F395" s="280"/>
      <c r="G395" s="280"/>
    </row>
    <row r="396">
      <c r="A396" s="280"/>
      <c r="B396" s="280"/>
      <c r="C396" s="280"/>
      <c r="D396" s="280"/>
      <c r="F396" s="280"/>
      <c r="G396" s="280"/>
    </row>
    <row r="397">
      <c r="A397" s="280"/>
      <c r="B397" s="280"/>
      <c r="C397" s="280"/>
      <c r="D397" s="280"/>
      <c r="F397" s="280"/>
      <c r="G397" s="280"/>
    </row>
    <row r="398">
      <c r="A398" s="280"/>
      <c r="B398" s="280"/>
      <c r="C398" s="280"/>
      <c r="D398" s="280"/>
      <c r="F398" s="280"/>
      <c r="G398" s="280"/>
    </row>
    <row r="399">
      <c r="A399" s="280"/>
      <c r="B399" s="280"/>
      <c r="C399" s="280"/>
      <c r="D399" s="280"/>
      <c r="F399" s="280"/>
      <c r="G399" s="280"/>
    </row>
    <row r="400">
      <c r="A400" s="280"/>
      <c r="B400" s="280"/>
      <c r="C400" s="280"/>
      <c r="D400" s="280"/>
      <c r="F400" s="280"/>
      <c r="G400" s="280"/>
    </row>
    <row r="401">
      <c r="A401" s="280"/>
      <c r="B401" s="280"/>
      <c r="C401" s="280"/>
      <c r="D401" s="280"/>
      <c r="F401" s="280"/>
      <c r="G401" s="280"/>
    </row>
    <row r="402">
      <c r="A402" s="280"/>
      <c r="B402" s="280"/>
      <c r="C402" s="280"/>
      <c r="D402" s="280"/>
      <c r="F402" s="280"/>
      <c r="G402" s="280"/>
    </row>
    <row r="403">
      <c r="A403" s="280"/>
      <c r="B403" s="280"/>
      <c r="C403" s="280"/>
      <c r="D403" s="280"/>
      <c r="F403" s="280"/>
      <c r="G403" s="280"/>
    </row>
    <row r="404">
      <c r="A404" s="280"/>
      <c r="B404" s="280"/>
      <c r="C404" s="280"/>
      <c r="D404" s="280"/>
      <c r="F404" s="280"/>
      <c r="G404" s="280"/>
    </row>
    <row r="405">
      <c r="A405" s="280"/>
      <c r="B405" s="280"/>
      <c r="C405" s="280"/>
      <c r="D405" s="280"/>
      <c r="F405" s="280"/>
      <c r="G405" s="280"/>
    </row>
    <row r="406">
      <c r="A406" s="280"/>
      <c r="B406" s="280"/>
      <c r="C406" s="280"/>
      <c r="D406" s="280"/>
      <c r="F406" s="280"/>
      <c r="G406" s="280"/>
    </row>
    <row r="407">
      <c r="A407" s="280"/>
      <c r="B407" s="280"/>
      <c r="C407" s="280"/>
      <c r="D407" s="280"/>
      <c r="F407" s="280"/>
      <c r="G407" s="280"/>
    </row>
    <row r="408">
      <c r="A408" s="280"/>
      <c r="B408" s="280"/>
      <c r="C408" s="280"/>
      <c r="D408" s="280"/>
      <c r="F408" s="280"/>
      <c r="G408" s="280"/>
    </row>
    <row r="409">
      <c r="A409" s="280"/>
      <c r="B409" s="280"/>
      <c r="C409" s="280"/>
      <c r="D409" s="280"/>
      <c r="F409" s="280"/>
      <c r="G409" s="280"/>
    </row>
    <row r="410">
      <c r="A410" s="280"/>
      <c r="B410" s="280"/>
      <c r="C410" s="280"/>
      <c r="D410" s="280"/>
      <c r="F410" s="280"/>
      <c r="G410" s="280"/>
    </row>
    <row r="411">
      <c r="A411" s="280"/>
      <c r="B411" s="280"/>
      <c r="C411" s="280"/>
      <c r="D411" s="280"/>
      <c r="F411" s="280"/>
      <c r="G411" s="280"/>
    </row>
    <row r="412">
      <c r="A412" s="280"/>
      <c r="B412" s="280"/>
      <c r="C412" s="280"/>
      <c r="D412" s="280"/>
      <c r="F412" s="280"/>
      <c r="G412" s="280"/>
    </row>
    <row r="413">
      <c r="A413" s="280"/>
      <c r="B413" s="280"/>
      <c r="C413" s="280"/>
      <c r="D413" s="280"/>
      <c r="F413" s="280"/>
      <c r="G413" s="280"/>
    </row>
    <row r="414">
      <c r="A414" s="280"/>
      <c r="B414" s="280"/>
      <c r="C414" s="280"/>
      <c r="D414" s="280"/>
      <c r="F414" s="280"/>
      <c r="G414" s="280"/>
    </row>
    <row r="415">
      <c r="A415" s="280"/>
      <c r="B415" s="280"/>
      <c r="C415" s="280"/>
      <c r="D415" s="280"/>
      <c r="F415" s="280"/>
      <c r="G415" s="280"/>
    </row>
    <row r="416">
      <c r="A416" s="280"/>
      <c r="B416" s="280"/>
      <c r="C416" s="280"/>
      <c r="D416" s="280"/>
      <c r="F416" s="280"/>
      <c r="G416" s="280"/>
    </row>
    <row r="417">
      <c r="A417" s="280"/>
      <c r="B417" s="280"/>
      <c r="C417" s="280"/>
      <c r="D417" s="280"/>
      <c r="F417" s="280"/>
      <c r="G417" s="280"/>
    </row>
    <row r="418">
      <c r="A418" s="280"/>
      <c r="B418" s="280"/>
      <c r="C418" s="280"/>
      <c r="D418" s="280"/>
      <c r="F418" s="280"/>
      <c r="G418" s="280"/>
    </row>
    <row r="419">
      <c r="A419" s="280"/>
      <c r="B419" s="280"/>
      <c r="C419" s="280"/>
      <c r="D419" s="280"/>
      <c r="F419" s="280"/>
      <c r="G419" s="280"/>
    </row>
    <row r="420">
      <c r="A420" s="280"/>
      <c r="B420" s="280"/>
      <c r="C420" s="280"/>
      <c r="D420" s="280"/>
      <c r="F420" s="280"/>
      <c r="G420" s="280"/>
    </row>
    <row r="421">
      <c r="A421" s="280"/>
      <c r="B421" s="280"/>
      <c r="C421" s="280"/>
      <c r="D421" s="280"/>
      <c r="F421" s="280"/>
      <c r="G421" s="280"/>
    </row>
    <row r="422">
      <c r="A422" s="280"/>
      <c r="B422" s="280"/>
      <c r="C422" s="280"/>
      <c r="D422" s="280"/>
      <c r="F422" s="280"/>
      <c r="G422" s="280"/>
    </row>
    <row r="423">
      <c r="A423" s="280"/>
      <c r="B423" s="280"/>
      <c r="C423" s="280"/>
      <c r="D423" s="280"/>
      <c r="F423" s="280"/>
      <c r="G423" s="280"/>
    </row>
    <row r="424">
      <c r="A424" s="280"/>
      <c r="B424" s="280"/>
      <c r="C424" s="280"/>
      <c r="D424" s="280"/>
      <c r="F424" s="280"/>
      <c r="G424" s="280"/>
    </row>
    <row r="425">
      <c r="A425" s="280"/>
      <c r="B425" s="280"/>
      <c r="C425" s="280"/>
      <c r="D425" s="280"/>
      <c r="F425" s="280"/>
      <c r="G425" s="280"/>
    </row>
    <row r="426">
      <c r="A426" s="280"/>
      <c r="B426" s="280"/>
      <c r="C426" s="280"/>
      <c r="D426" s="280"/>
      <c r="F426" s="280"/>
      <c r="G426" s="280"/>
    </row>
    <row r="427">
      <c r="A427" s="280"/>
      <c r="B427" s="280"/>
      <c r="C427" s="280"/>
      <c r="D427" s="280"/>
      <c r="F427" s="280"/>
      <c r="G427" s="280"/>
    </row>
    <row r="428">
      <c r="A428" s="280"/>
      <c r="B428" s="280"/>
      <c r="C428" s="280"/>
      <c r="D428" s="280"/>
      <c r="F428" s="280"/>
      <c r="G428" s="280"/>
    </row>
    <row r="429">
      <c r="A429" s="280"/>
      <c r="B429" s="280"/>
      <c r="C429" s="280"/>
      <c r="D429" s="280"/>
      <c r="F429" s="280"/>
      <c r="G429" s="280"/>
    </row>
    <row r="430">
      <c r="A430" s="280"/>
      <c r="B430" s="280"/>
      <c r="C430" s="280"/>
      <c r="D430" s="280"/>
      <c r="F430" s="280"/>
      <c r="G430" s="280"/>
    </row>
    <row r="431">
      <c r="A431" s="280"/>
      <c r="B431" s="280"/>
      <c r="C431" s="280"/>
      <c r="D431" s="280"/>
      <c r="F431" s="280"/>
      <c r="G431" s="280"/>
    </row>
    <row r="432">
      <c r="A432" s="280"/>
      <c r="B432" s="280"/>
      <c r="C432" s="280"/>
      <c r="D432" s="280"/>
      <c r="F432" s="280"/>
      <c r="G432" s="280"/>
    </row>
    <row r="433">
      <c r="A433" s="280"/>
      <c r="B433" s="280"/>
      <c r="C433" s="280"/>
      <c r="D433" s="280"/>
      <c r="F433" s="280"/>
      <c r="G433" s="280"/>
    </row>
    <row r="434">
      <c r="A434" s="280"/>
      <c r="B434" s="280"/>
      <c r="C434" s="280"/>
      <c r="D434" s="280"/>
      <c r="F434" s="280"/>
      <c r="G434" s="280"/>
    </row>
    <row r="435">
      <c r="A435" s="280"/>
      <c r="B435" s="280"/>
      <c r="C435" s="280"/>
      <c r="D435" s="280"/>
      <c r="F435" s="280"/>
      <c r="G435" s="280"/>
    </row>
    <row r="436">
      <c r="A436" s="280"/>
      <c r="B436" s="280"/>
      <c r="C436" s="280"/>
      <c r="D436" s="280"/>
      <c r="F436" s="280"/>
      <c r="G436" s="280"/>
    </row>
    <row r="437">
      <c r="A437" s="280"/>
      <c r="B437" s="280"/>
      <c r="C437" s="280"/>
      <c r="D437" s="280"/>
      <c r="F437" s="280"/>
      <c r="G437" s="280"/>
    </row>
    <row r="438">
      <c r="A438" s="280"/>
      <c r="B438" s="280"/>
      <c r="C438" s="280"/>
      <c r="D438" s="280"/>
      <c r="F438" s="280"/>
      <c r="G438" s="280"/>
    </row>
    <row r="439">
      <c r="A439" s="280"/>
      <c r="B439" s="280"/>
      <c r="C439" s="280"/>
      <c r="D439" s="280"/>
      <c r="F439" s="280"/>
      <c r="G439" s="280"/>
    </row>
    <row r="440">
      <c r="A440" s="280"/>
      <c r="B440" s="280"/>
      <c r="C440" s="280"/>
      <c r="D440" s="280"/>
      <c r="F440" s="280"/>
      <c r="G440" s="280"/>
    </row>
    <row r="441">
      <c r="A441" s="280"/>
      <c r="B441" s="280"/>
      <c r="C441" s="280"/>
      <c r="D441" s="280"/>
      <c r="F441" s="280"/>
      <c r="G441" s="280"/>
    </row>
    <row r="442">
      <c r="A442" s="280"/>
      <c r="B442" s="280"/>
      <c r="C442" s="280"/>
      <c r="D442" s="280"/>
      <c r="F442" s="280"/>
      <c r="G442" s="280"/>
    </row>
    <row r="443">
      <c r="A443" s="280"/>
      <c r="B443" s="280"/>
      <c r="C443" s="280"/>
      <c r="D443" s="280"/>
      <c r="F443" s="280"/>
      <c r="G443" s="280"/>
    </row>
    <row r="444">
      <c r="A444" s="280"/>
      <c r="B444" s="280"/>
      <c r="C444" s="280"/>
      <c r="D444" s="280"/>
      <c r="F444" s="280"/>
      <c r="G444" s="280"/>
    </row>
    <row r="445">
      <c r="A445" s="280"/>
      <c r="B445" s="280"/>
      <c r="C445" s="280"/>
      <c r="D445" s="280"/>
      <c r="F445" s="280"/>
      <c r="G445" s="280"/>
    </row>
    <row r="446">
      <c r="A446" s="280"/>
      <c r="B446" s="280"/>
      <c r="C446" s="280"/>
      <c r="D446" s="280"/>
      <c r="F446" s="280"/>
      <c r="G446" s="280"/>
    </row>
    <row r="447">
      <c r="A447" s="280"/>
      <c r="B447" s="280"/>
      <c r="C447" s="280"/>
      <c r="D447" s="280"/>
      <c r="F447" s="280"/>
      <c r="G447" s="280"/>
    </row>
    <row r="448">
      <c r="A448" s="280"/>
      <c r="B448" s="280"/>
      <c r="C448" s="280"/>
      <c r="D448" s="280"/>
      <c r="F448" s="280"/>
      <c r="G448" s="280"/>
    </row>
    <row r="449">
      <c r="A449" s="280"/>
      <c r="B449" s="280"/>
      <c r="C449" s="280"/>
      <c r="D449" s="280"/>
      <c r="F449" s="280"/>
      <c r="G449" s="280"/>
    </row>
    <row r="450">
      <c r="A450" s="280"/>
      <c r="B450" s="280"/>
      <c r="C450" s="280"/>
      <c r="D450" s="280"/>
      <c r="F450" s="280"/>
      <c r="G450" s="280"/>
    </row>
    <row r="451">
      <c r="A451" s="280"/>
      <c r="B451" s="280"/>
      <c r="C451" s="280"/>
      <c r="D451" s="280"/>
      <c r="F451" s="280"/>
      <c r="G451" s="280"/>
    </row>
    <row r="452">
      <c r="A452" s="280"/>
      <c r="B452" s="280"/>
      <c r="C452" s="280"/>
      <c r="D452" s="280"/>
      <c r="F452" s="280"/>
      <c r="G452" s="280"/>
    </row>
    <row r="453">
      <c r="A453" s="280"/>
      <c r="B453" s="280"/>
      <c r="C453" s="280"/>
      <c r="D453" s="280"/>
      <c r="F453" s="280"/>
      <c r="G453" s="280"/>
    </row>
    <row r="454">
      <c r="A454" s="280"/>
      <c r="B454" s="280"/>
      <c r="C454" s="280"/>
      <c r="D454" s="280"/>
      <c r="F454" s="280"/>
      <c r="G454" s="280"/>
    </row>
    <row r="455">
      <c r="A455" s="280"/>
      <c r="B455" s="280"/>
      <c r="C455" s="280"/>
      <c r="D455" s="280"/>
      <c r="F455" s="280"/>
      <c r="G455" s="280"/>
    </row>
    <row r="456">
      <c r="A456" s="280"/>
      <c r="B456" s="280"/>
      <c r="C456" s="280"/>
      <c r="D456" s="280"/>
      <c r="F456" s="280"/>
      <c r="G456" s="280"/>
    </row>
    <row r="457">
      <c r="A457" s="280"/>
      <c r="B457" s="280"/>
      <c r="C457" s="280"/>
      <c r="D457" s="280"/>
      <c r="F457" s="280"/>
      <c r="G457" s="280"/>
    </row>
    <row r="458">
      <c r="A458" s="280"/>
      <c r="B458" s="280"/>
      <c r="C458" s="280"/>
      <c r="D458" s="280"/>
      <c r="F458" s="280"/>
      <c r="G458" s="280"/>
    </row>
    <row r="459">
      <c r="A459" s="280"/>
      <c r="B459" s="280"/>
      <c r="C459" s="280"/>
      <c r="D459" s="280"/>
      <c r="F459" s="280"/>
      <c r="G459" s="280"/>
    </row>
    <row r="460">
      <c r="A460" s="280"/>
      <c r="B460" s="280"/>
      <c r="C460" s="280"/>
      <c r="D460" s="280"/>
      <c r="F460" s="280"/>
      <c r="G460" s="280"/>
    </row>
    <row r="461">
      <c r="A461" s="280"/>
      <c r="B461" s="280"/>
      <c r="C461" s="280"/>
      <c r="D461" s="280"/>
      <c r="F461" s="280"/>
      <c r="G461" s="280"/>
    </row>
    <row r="462">
      <c r="A462" s="280"/>
      <c r="B462" s="280"/>
      <c r="C462" s="280"/>
      <c r="D462" s="280"/>
      <c r="F462" s="280"/>
      <c r="G462" s="280"/>
    </row>
    <row r="463">
      <c r="A463" s="280"/>
      <c r="B463" s="280"/>
      <c r="C463" s="280"/>
      <c r="D463" s="280"/>
      <c r="F463" s="280"/>
      <c r="G463" s="280"/>
    </row>
    <row r="464">
      <c r="A464" s="280"/>
      <c r="B464" s="280"/>
      <c r="C464" s="280"/>
      <c r="D464" s="280"/>
      <c r="F464" s="280"/>
      <c r="G464" s="280"/>
    </row>
    <row r="465">
      <c r="A465" s="280"/>
      <c r="B465" s="280"/>
      <c r="C465" s="280"/>
      <c r="D465" s="280"/>
      <c r="F465" s="280"/>
      <c r="G465" s="280"/>
    </row>
    <row r="466">
      <c r="A466" s="280"/>
      <c r="B466" s="280"/>
      <c r="C466" s="280"/>
      <c r="D466" s="280"/>
      <c r="F466" s="280"/>
      <c r="G466" s="280"/>
    </row>
    <row r="467">
      <c r="A467" s="280"/>
      <c r="B467" s="280"/>
      <c r="C467" s="280"/>
      <c r="D467" s="280"/>
      <c r="F467" s="280"/>
      <c r="G467" s="280"/>
    </row>
    <row r="468">
      <c r="A468" s="280"/>
      <c r="B468" s="280"/>
      <c r="C468" s="280"/>
      <c r="D468" s="280"/>
      <c r="F468" s="280"/>
      <c r="G468" s="280"/>
    </row>
    <row r="469">
      <c r="A469" s="280"/>
      <c r="B469" s="280"/>
      <c r="C469" s="280"/>
      <c r="D469" s="280"/>
      <c r="F469" s="280"/>
      <c r="G469" s="280"/>
    </row>
    <row r="470">
      <c r="A470" s="280"/>
      <c r="B470" s="280"/>
      <c r="C470" s="280"/>
      <c r="D470" s="280"/>
      <c r="F470" s="280"/>
      <c r="G470" s="280"/>
    </row>
    <row r="471">
      <c r="A471" s="280"/>
      <c r="B471" s="280"/>
      <c r="C471" s="280"/>
      <c r="D471" s="280"/>
      <c r="F471" s="280"/>
      <c r="G471" s="280"/>
    </row>
    <row r="472">
      <c r="A472" s="280"/>
      <c r="B472" s="280"/>
      <c r="C472" s="280"/>
      <c r="D472" s="280"/>
      <c r="F472" s="280"/>
      <c r="G472" s="280"/>
    </row>
    <row r="473">
      <c r="A473" s="280"/>
      <c r="B473" s="280"/>
      <c r="C473" s="280"/>
      <c r="D473" s="280"/>
      <c r="F473" s="280"/>
      <c r="G473" s="280"/>
    </row>
    <row r="474">
      <c r="A474" s="280"/>
      <c r="B474" s="280"/>
      <c r="C474" s="280"/>
      <c r="D474" s="280"/>
      <c r="F474" s="280"/>
      <c r="G474" s="280"/>
    </row>
    <row r="475">
      <c r="A475" s="280"/>
      <c r="B475" s="280"/>
      <c r="C475" s="280"/>
      <c r="D475" s="280"/>
      <c r="F475" s="280"/>
      <c r="G475" s="280"/>
    </row>
    <row r="476">
      <c r="A476" s="280"/>
      <c r="B476" s="280"/>
      <c r="C476" s="280"/>
      <c r="D476" s="280"/>
      <c r="F476" s="280"/>
      <c r="G476" s="280"/>
    </row>
    <row r="477">
      <c r="A477" s="280"/>
      <c r="B477" s="280"/>
      <c r="C477" s="280"/>
      <c r="D477" s="280"/>
      <c r="F477" s="280"/>
      <c r="G477" s="280"/>
    </row>
    <row r="478">
      <c r="A478" s="280"/>
      <c r="B478" s="280"/>
      <c r="C478" s="280"/>
      <c r="D478" s="280"/>
      <c r="F478" s="280"/>
      <c r="G478" s="280"/>
    </row>
    <row r="479">
      <c r="A479" s="280"/>
      <c r="B479" s="280"/>
      <c r="C479" s="280"/>
      <c r="D479" s="280"/>
      <c r="F479" s="280"/>
      <c r="G479" s="280"/>
    </row>
    <row r="480">
      <c r="A480" s="280"/>
      <c r="B480" s="280"/>
      <c r="C480" s="280"/>
      <c r="D480" s="280"/>
      <c r="F480" s="280"/>
      <c r="G480" s="280"/>
    </row>
    <row r="481">
      <c r="A481" s="280"/>
      <c r="B481" s="280"/>
      <c r="C481" s="280"/>
      <c r="D481" s="280"/>
      <c r="F481" s="280"/>
      <c r="G481" s="280"/>
    </row>
    <row r="482">
      <c r="A482" s="280"/>
      <c r="B482" s="280"/>
      <c r="C482" s="280"/>
      <c r="D482" s="280"/>
      <c r="F482" s="280"/>
      <c r="G482" s="280"/>
    </row>
    <row r="483">
      <c r="A483" s="280"/>
      <c r="B483" s="280"/>
      <c r="C483" s="280"/>
      <c r="D483" s="280"/>
      <c r="F483" s="280"/>
      <c r="G483" s="280"/>
    </row>
    <row r="484">
      <c r="A484" s="280"/>
      <c r="B484" s="280"/>
      <c r="C484" s="280"/>
      <c r="D484" s="280"/>
      <c r="F484" s="280"/>
      <c r="G484" s="280"/>
    </row>
    <row r="485">
      <c r="A485" s="280"/>
      <c r="B485" s="280"/>
      <c r="C485" s="280"/>
      <c r="D485" s="280"/>
      <c r="F485" s="280"/>
      <c r="G485" s="280"/>
    </row>
    <row r="486">
      <c r="A486" s="280"/>
      <c r="B486" s="280"/>
      <c r="C486" s="280"/>
      <c r="D486" s="280"/>
      <c r="F486" s="280"/>
      <c r="G486" s="280"/>
    </row>
    <row r="487">
      <c r="A487" s="280"/>
      <c r="B487" s="280"/>
      <c r="C487" s="280"/>
      <c r="D487" s="280"/>
      <c r="F487" s="280"/>
      <c r="G487" s="280"/>
    </row>
    <row r="488">
      <c r="A488" s="280"/>
      <c r="B488" s="280"/>
      <c r="C488" s="280"/>
      <c r="D488" s="280"/>
      <c r="F488" s="280"/>
      <c r="G488" s="280"/>
    </row>
    <row r="489">
      <c r="A489" s="280"/>
      <c r="B489" s="280"/>
      <c r="C489" s="280"/>
      <c r="D489" s="280"/>
      <c r="F489" s="280"/>
      <c r="G489" s="280"/>
    </row>
    <row r="490">
      <c r="A490" s="280"/>
      <c r="B490" s="280"/>
      <c r="C490" s="280"/>
      <c r="D490" s="280"/>
      <c r="F490" s="280"/>
      <c r="G490" s="280"/>
    </row>
    <row r="491">
      <c r="A491" s="280"/>
      <c r="B491" s="280"/>
      <c r="C491" s="280"/>
      <c r="D491" s="280"/>
      <c r="F491" s="280"/>
      <c r="G491" s="280"/>
    </row>
    <row r="492">
      <c r="A492" s="280"/>
      <c r="B492" s="280"/>
      <c r="C492" s="280"/>
      <c r="D492" s="280"/>
      <c r="F492" s="280"/>
      <c r="G492" s="280"/>
    </row>
    <row r="493">
      <c r="A493" s="280"/>
      <c r="B493" s="280"/>
      <c r="C493" s="280"/>
      <c r="D493" s="280"/>
      <c r="F493" s="280"/>
      <c r="G493" s="280"/>
    </row>
    <row r="494">
      <c r="A494" s="280"/>
      <c r="B494" s="280"/>
      <c r="C494" s="280"/>
      <c r="D494" s="280"/>
      <c r="F494" s="280"/>
      <c r="G494" s="280"/>
    </row>
    <row r="495">
      <c r="A495" s="280"/>
      <c r="B495" s="280"/>
      <c r="C495" s="280"/>
      <c r="D495" s="280"/>
      <c r="F495" s="280"/>
      <c r="G495" s="280"/>
    </row>
    <row r="496">
      <c r="A496" s="280"/>
      <c r="B496" s="280"/>
      <c r="C496" s="280"/>
      <c r="D496" s="280"/>
      <c r="F496" s="280"/>
      <c r="G496" s="280"/>
    </row>
    <row r="497">
      <c r="A497" s="280"/>
      <c r="B497" s="280"/>
      <c r="C497" s="280"/>
      <c r="D497" s="280"/>
      <c r="F497" s="280"/>
      <c r="G497" s="280"/>
    </row>
    <row r="498">
      <c r="A498" s="280"/>
      <c r="B498" s="280"/>
      <c r="C498" s="280"/>
      <c r="D498" s="280"/>
      <c r="F498" s="280"/>
      <c r="G498" s="280"/>
    </row>
    <row r="499">
      <c r="A499" s="280"/>
      <c r="B499" s="280"/>
      <c r="C499" s="280"/>
      <c r="D499" s="280"/>
      <c r="F499" s="280"/>
      <c r="G499" s="280"/>
    </row>
    <row r="500">
      <c r="A500" s="280"/>
      <c r="B500" s="280"/>
      <c r="C500" s="280"/>
      <c r="D500" s="280"/>
      <c r="F500" s="280"/>
      <c r="G500" s="280"/>
    </row>
    <row r="501">
      <c r="A501" s="280"/>
      <c r="B501" s="280"/>
      <c r="C501" s="280"/>
      <c r="D501" s="280"/>
      <c r="F501" s="280"/>
      <c r="G501" s="280"/>
    </row>
    <row r="502">
      <c r="A502" s="280"/>
      <c r="B502" s="280"/>
      <c r="C502" s="280"/>
      <c r="D502" s="280"/>
      <c r="F502" s="280"/>
      <c r="G502" s="280"/>
    </row>
    <row r="503">
      <c r="A503" s="280"/>
      <c r="B503" s="280"/>
      <c r="C503" s="280"/>
      <c r="D503" s="280"/>
      <c r="F503" s="280"/>
      <c r="G503" s="280"/>
    </row>
    <row r="504">
      <c r="A504" s="280"/>
      <c r="B504" s="280"/>
      <c r="C504" s="280"/>
      <c r="D504" s="280"/>
      <c r="F504" s="280"/>
      <c r="G504" s="280"/>
    </row>
    <row r="505">
      <c r="A505" s="280"/>
      <c r="B505" s="280"/>
      <c r="C505" s="280"/>
      <c r="D505" s="280"/>
      <c r="F505" s="280"/>
      <c r="G505" s="280"/>
    </row>
    <row r="506">
      <c r="A506" s="280"/>
      <c r="B506" s="280"/>
      <c r="C506" s="280"/>
      <c r="D506" s="280"/>
      <c r="F506" s="280"/>
      <c r="G506" s="280"/>
    </row>
    <row r="507">
      <c r="A507" s="280"/>
      <c r="B507" s="280"/>
      <c r="C507" s="280"/>
      <c r="D507" s="280"/>
      <c r="F507" s="280"/>
      <c r="G507" s="280"/>
    </row>
    <row r="508">
      <c r="A508" s="280"/>
      <c r="B508" s="280"/>
      <c r="C508" s="280"/>
      <c r="D508" s="280"/>
      <c r="F508" s="280"/>
      <c r="G508" s="280"/>
    </row>
    <row r="509">
      <c r="A509" s="280"/>
      <c r="B509" s="280"/>
      <c r="C509" s="280"/>
      <c r="D509" s="280"/>
      <c r="F509" s="280"/>
      <c r="G509" s="280"/>
    </row>
    <row r="510">
      <c r="A510" s="280"/>
      <c r="B510" s="280"/>
      <c r="C510" s="280"/>
      <c r="D510" s="280"/>
      <c r="F510" s="280"/>
      <c r="G510" s="280"/>
    </row>
    <row r="511">
      <c r="A511" s="280"/>
      <c r="B511" s="280"/>
      <c r="C511" s="280"/>
      <c r="D511" s="280"/>
      <c r="F511" s="280"/>
      <c r="G511" s="280"/>
    </row>
    <row r="512">
      <c r="A512" s="280"/>
      <c r="B512" s="280"/>
      <c r="C512" s="280"/>
      <c r="D512" s="280"/>
      <c r="F512" s="280"/>
      <c r="G512" s="280"/>
    </row>
    <row r="513">
      <c r="A513" s="280"/>
      <c r="B513" s="280"/>
      <c r="C513" s="280"/>
      <c r="D513" s="280"/>
      <c r="F513" s="280"/>
      <c r="G513" s="280"/>
    </row>
    <row r="514">
      <c r="A514" s="280"/>
      <c r="B514" s="280"/>
      <c r="C514" s="280"/>
      <c r="D514" s="280"/>
      <c r="F514" s="280"/>
      <c r="G514" s="280"/>
    </row>
    <row r="515">
      <c r="A515" s="280"/>
      <c r="B515" s="280"/>
      <c r="C515" s="280"/>
      <c r="D515" s="280"/>
      <c r="F515" s="280"/>
      <c r="G515" s="280"/>
    </row>
    <row r="516">
      <c r="A516" s="280"/>
      <c r="B516" s="280"/>
      <c r="C516" s="280"/>
      <c r="D516" s="280"/>
      <c r="F516" s="280"/>
      <c r="G516" s="280"/>
    </row>
    <row r="517">
      <c r="A517" s="280"/>
      <c r="B517" s="280"/>
      <c r="C517" s="280"/>
      <c r="D517" s="280"/>
      <c r="F517" s="280"/>
      <c r="G517" s="280"/>
    </row>
    <row r="518">
      <c r="A518" s="280"/>
      <c r="B518" s="280"/>
      <c r="C518" s="280"/>
      <c r="D518" s="280"/>
      <c r="F518" s="280"/>
      <c r="G518" s="280"/>
    </row>
    <row r="519">
      <c r="A519" s="280"/>
      <c r="B519" s="280"/>
      <c r="C519" s="280"/>
      <c r="D519" s="280"/>
      <c r="F519" s="280"/>
      <c r="G519" s="280"/>
    </row>
    <row r="520">
      <c r="A520" s="280"/>
      <c r="B520" s="280"/>
      <c r="C520" s="280"/>
      <c r="D520" s="280"/>
      <c r="F520" s="280"/>
      <c r="G520" s="280"/>
    </row>
    <row r="521">
      <c r="A521" s="280"/>
      <c r="B521" s="280"/>
      <c r="C521" s="280"/>
      <c r="D521" s="280"/>
      <c r="F521" s="280"/>
      <c r="G521" s="280"/>
    </row>
    <row r="522">
      <c r="A522" s="280"/>
      <c r="B522" s="280"/>
      <c r="C522" s="280"/>
      <c r="D522" s="280"/>
      <c r="F522" s="280"/>
      <c r="G522" s="280"/>
    </row>
    <row r="523">
      <c r="A523" s="280"/>
      <c r="B523" s="280"/>
      <c r="C523" s="280"/>
      <c r="D523" s="280"/>
      <c r="F523" s="280"/>
      <c r="G523" s="280"/>
    </row>
    <row r="524">
      <c r="A524" s="280"/>
      <c r="B524" s="280"/>
      <c r="C524" s="280"/>
      <c r="D524" s="280"/>
      <c r="F524" s="280"/>
      <c r="G524" s="280"/>
    </row>
    <row r="525">
      <c r="A525" s="280"/>
      <c r="B525" s="280"/>
      <c r="C525" s="280"/>
      <c r="D525" s="280"/>
      <c r="F525" s="280"/>
      <c r="G525" s="280"/>
    </row>
    <row r="526">
      <c r="A526" s="280"/>
      <c r="B526" s="280"/>
      <c r="C526" s="280"/>
      <c r="D526" s="280"/>
      <c r="F526" s="280"/>
      <c r="G526" s="280"/>
    </row>
    <row r="527">
      <c r="A527" s="280"/>
      <c r="B527" s="280"/>
      <c r="C527" s="280"/>
      <c r="D527" s="280"/>
      <c r="F527" s="280"/>
      <c r="G527" s="280"/>
    </row>
    <row r="528">
      <c r="A528" s="280"/>
      <c r="B528" s="280"/>
      <c r="C528" s="280"/>
      <c r="D528" s="280"/>
      <c r="F528" s="280"/>
      <c r="G528" s="280"/>
    </row>
    <row r="529">
      <c r="A529" s="280"/>
      <c r="B529" s="280"/>
      <c r="C529" s="280"/>
      <c r="D529" s="280"/>
      <c r="F529" s="280"/>
      <c r="G529" s="280"/>
    </row>
    <row r="530">
      <c r="A530" s="280"/>
      <c r="B530" s="280"/>
      <c r="C530" s="280"/>
      <c r="D530" s="280"/>
      <c r="F530" s="280"/>
      <c r="G530" s="280"/>
    </row>
    <row r="531">
      <c r="A531" s="280"/>
      <c r="B531" s="280"/>
      <c r="C531" s="280"/>
      <c r="D531" s="280"/>
      <c r="F531" s="280"/>
      <c r="G531" s="280"/>
    </row>
    <row r="532">
      <c r="A532" s="280"/>
      <c r="B532" s="280"/>
      <c r="C532" s="280"/>
      <c r="D532" s="280"/>
      <c r="F532" s="280"/>
      <c r="G532" s="280"/>
    </row>
    <row r="533">
      <c r="A533" s="280"/>
      <c r="B533" s="280"/>
      <c r="C533" s="280"/>
      <c r="D533" s="280"/>
      <c r="F533" s="280"/>
      <c r="G533" s="280"/>
    </row>
    <row r="534">
      <c r="A534" s="280"/>
      <c r="B534" s="280"/>
      <c r="C534" s="280"/>
      <c r="D534" s="280"/>
      <c r="F534" s="280"/>
      <c r="G534" s="280"/>
    </row>
    <row r="535">
      <c r="A535" s="280"/>
      <c r="B535" s="280"/>
      <c r="C535" s="280"/>
      <c r="D535" s="280"/>
      <c r="F535" s="280"/>
      <c r="G535" s="280"/>
    </row>
    <row r="536">
      <c r="A536" s="280"/>
      <c r="B536" s="280"/>
      <c r="C536" s="280"/>
      <c r="D536" s="280"/>
      <c r="F536" s="280"/>
      <c r="G536" s="280"/>
    </row>
    <row r="537">
      <c r="A537" s="280"/>
      <c r="B537" s="280"/>
      <c r="C537" s="280"/>
      <c r="D537" s="280"/>
      <c r="F537" s="280"/>
      <c r="G537" s="280"/>
    </row>
    <row r="538">
      <c r="A538" s="280"/>
      <c r="B538" s="280"/>
      <c r="C538" s="280"/>
      <c r="D538" s="280"/>
      <c r="F538" s="280"/>
      <c r="G538" s="280"/>
    </row>
    <row r="539">
      <c r="A539" s="280"/>
      <c r="B539" s="280"/>
      <c r="C539" s="280"/>
      <c r="D539" s="280"/>
      <c r="F539" s="280"/>
      <c r="G539" s="280"/>
    </row>
    <row r="540">
      <c r="A540" s="280"/>
      <c r="B540" s="280"/>
      <c r="C540" s="280"/>
      <c r="D540" s="280"/>
      <c r="F540" s="280"/>
      <c r="G540" s="280"/>
    </row>
    <row r="541">
      <c r="A541" s="280"/>
      <c r="B541" s="280"/>
      <c r="C541" s="280"/>
      <c r="D541" s="280"/>
      <c r="F541" s="280"/>
      <c r="G541" s="280"/>
    </row>
    <row r="542">
      <c r="A542" s="280"/>
      <c r="B542" s="280"/>
      <c r="C542" s="280"/>
      <c r="D542" s="280"/>
      <c r="F542" s="280"/>
      <c r="G542" s="280"/>
    </row>
    <row r="543">
      <c r="A543" s="280"/>
      <c r="B543" s="280"/>
      <c r="C543" s="280"/>
      <c r="D543" s="280"/>
      <c r="F543" s="280"/>
      <c r="G543" s="280"/>
    </row>
    <row r="544">
      <c r="A544" s="280"/>
      <c r="B544" s="280"/>
      <c r="C544" s="280"/>
      <c r="D544" s="280"/>
      <c r="F544" s="280"/>
      <c r="G544" s="280"/>
    </row>
    <row r="545">
      <c r="A545" s="280"/>
      <c r="B545" s="280"/>
      <c r="C545" s="280"/>
      <c r="D545" s="280"/>
      <c r="F545" s="280"/>
      <c r="G545" s="280"/>
    </row>
    <row r="546">
      <c r="A546" s="280"/>
      <c r="B546" s="280"/>
      <c r="C546" s="280"/>
      <c r="D546" s="280"/>
      <c r="F546" s="280"/>
      <c r="G546" s="280"/>
    </row>
    <row r="547">
      <c r="A547" s="280"/>
      <c r="B547" s="280"/>
      <c r="C547" s="280"/>
      <c r="D547" s="280"/>
      <c r="F547" s="280"/>
      <c r="G547" s="280"/>
    </row>
    <row r="548">
      <c r="A548" s="280"/>
      <c r="B548" s="280"/>
      <c r="C548" s="280"/>
      <c r="D548" s="280"/>
      <c r="F548" s="280"/>
      <c r="G548" s="280"/>
    </row>
    <row r="549">
      <c r="A549" s="280"/>
      <c r="B549" s="280"/>
      <c r="C549" s="280"/>
      <c r="D549" s="280"/>
      <c r="F549" s="280"/>
      <c r="G549" s="280"/>
    </row>
    <row r="550">
      <c r="A550" s="280"/>
      <c r="B550" s="280"/>
      <c r="C550" s="280"/>
      <c r="D550" s="280"/>
      <c r="F550" s="280"/>
      <c r="G550" s="280"/>
    </row>
    <row r="551">
      <c r="A551" s="280"/>
      <c r="B551" s="280"/>
      <c r="C551" s="280"/>
      <c r="D551" s="280"/>
      <c r="F551" s="280"/>
      <c r="G551" s="280"/>
    </row>
    <row r="552">
      <c r="A552" s="280"/>
      <c r="B552" s="280"/>
      <c r="C552" s="280"/>
      <c r="D552" s="280"/>
      <c r="F552" s="280"/>
      <c r="G552" s="280"/>
    </row>
    <row r="553">
      <c r="A553" s="280"/>
      <c r="B553" s="280"/>
      <c r="C553" s="280"/>
      <c r="D553" s="280"/>
      <c r="F553" s="280"/>
      <c r="G553" s="280"/>
    </row>
    <row r="554">
      <c r="A554" s="280"/>
      <c r="B554" s="280"/>
      <c r="C554" s="280"/>
      <c r="D554" s="280"/>
      <c r="F554" s="280"/>
      <c r="G554" s="280"/>
    </row>
    <row r="555">
      <c r="A555" s="280"/>
      <c r="B555" s="280"/>
      <c r="C555" s="280"/>
      <c r="D555" s="280"/>
      <c r="F555" s="280"/>
      <c r="G555" s="280"/>
    </row>
    <row r="556">
      <c r="A556" s="280"/>
      <c r="B556" s="280"/>
      <c r="C556" s="280"/>
      <c r="D556" s="280"/>
      <c r="F556" s="280"/>
      <c r="G556" s="280"/>
    </row>
    <row r="557">
      <c r="A557" s="280"/>
      <c r="B557" s="280"/>
      <c r="C557" s="280"/>
      <c r="D557" s="280"/>
      <c r="F557" s="280"/>
      <c r="G557" s="280"/>
    </row>
    <row r="558">
      <c r="A558" s="280"/>
      <c r="B558" s="280"/>
      <c r="C558" s="280"/>
      <c r="D558" s="280"/>
      <c r="F558" s="280"/>
      <c r="G558" s="280"/>
    </row>
    <row r="559">
      <c r="A559" s="280"/>
      <c r="B559" s="280"/>
      <c r="C559" s="280"/>
      <c r="D559" s="280"/>
      <c r="F559" s="280"/>
      <c r="G559" s="280"/>
    </row>
    <row r="560">
      <c r="A560" s="280"/>
      <c r="B560" s="280"/>
      <c r="C560" s="280"/>
      <c r="D560" s="280"/>
      <c r="F560" s="280"/>
      <c r="G560" s="280"/>
    </row>
    <row r="561">
      <c r="A561" s="280"/>
      <c r="B561" s="280"/>
      <c r="C561" s="280"/>
      <c r="D561" s="280"/>
      <c r="F561" s="280"/>
      <c r="G561" s="280"/>
    </row>
    <row r="562">
      <c r="A562" s="280"/>
      <c r="B562" s="280"/>
      <c r="C562" s="280"/>
      <c r="D562" s="280"/>
      <c r="F562" s="280"/>
      <c r="G562" s="280"/>
    </row>
    <row r="563">
      <c r="A563" s="280"/>
      <c r="B563" s="280"/>
      <c r="C563" s="280"/>
      <c r="D563" s="280"/>
      <c r="F563" s="280"/>
      <c r="G563" s="280"/>
    </row>
    <row r="564">
      <c r="A564" s="280"/>
      <c r="B564" s="280"/>
      <c r="C564" s="280"/>
      <c r="D564" s="280"/>
      <c r="F564" s="280"/>
      <c r="G564" s="280"/>
    </row>
    <row r="565">
      <c r="A565" s="280"/>
      <c r="B565" s="280"/>
      <c r="C565" s="280"/>
      <c r="D565" s="280"/>
      <c r="F565" s="280"/>
      <c r="G565" s="280"/>
    </row>
    <row r="566">
      <c r="A566" s="280"/>
      <c r="B566" s="280"/>
      <c r="C566" s="280"/>
      <c r="D566" s="280"/>
      <c r="F566" s="280"/>
      <c r="G566" s="280"/>
    </row>
    <row r="567">
      <c r="A567" s="280"/>
      <c r="B567" s="280"/>
      <c r="C567" s="280"/>
      <c r="D567" s="280"/>
      <c r="F567" s="280"/>
      <c r="G567" s="280"/>
    </row>
    <row r="568">
      <c r="A568" s="280"/>
      <c r="B568" s="280"/>
      <c r="C568" s="280"/>
      <c r="D568" s="280"/>
      <c r="F568" s="280"/>
      <c r="G568" s="280"/>
    </row>
    <row r="569">
      <c r="A569" s="280"/>
      <c r="B569" s="280"/>
      <c r="C569" s="280"/>
      <c r="D569" s="280"/>
      <c r="F569" s="280"/>
      <c r="G569" s="280"/>
    </row>
    <row r="570">
      <c r="A570" s="280"/>
      <c r="B570" s="280"/>
      <c r="C570" s="280"/>
      <c r="D570" s="280"/>
      <c r="F570" s="280"/>
      <c r="G570" s="280"/>
    </row>
    <row r="571">
      <c r="A571" s="280"/>
      <c r="B571" s="280"/>
      <c r="C571" s="280"/>
      <c r="D571" s="280"/>
      <c r="F571" s="280"/>
      <c r="G571" s="280"/>
    </row>
    <row r="572">
      <c r="A572" s="280"/>
      <c r="B572" s="280"/>
      <c r="C572" s="280"/>
      <c r="D572" s="280"/>
      <c r="F572" s="280"/>
      <c r="G572" s="280"/>
    </row>
    <row r="573">
      <c r="A573" s="280"/>
      <c r="B573" s="280"/>
      <c r="C573" s="280"/>
      <c r="D573" s="280"/>
      <c r="F573" s="280"/>
      <c r="G573" s="280"/>
    </row>
    <row r="574">
      <c r="A574" s="280"/>
      <c r="B574" s="280"/>
      <c r="C574" s="280"/>
      <c r="D574" s="280"/>
      <c r="F574" s="280"/>
      <c r="G574" s="280"/>
    </row>
    <row r="575">
      <c r="A575" s="280"/>
      <c r="B575" s="280"/>
      <c r="C575" s="280"/>
      <c r="D575" s="280"/>
      <c r="F575" s="280"/>
      <c r="G575" s="280"/>
    </row>
    <row r="576">
      <c r="A576" s="280"/>
      <c r="B576" s="280"/>
      <c r="C576" s="280"/>
      <c r="D576" s="280"/>
      <c r="F576" s="280"/>
      <c r="G576" s="280"/>
    </row>
    <row r="577">
      <c r="A577" s="280"/>
      <c r="B577" s="280"/>
      <c r="C577" s="280"/>
      <c r="D577" s="280"/>
      <c r="F577" s="280"/>
      <c r="G577" s="280"/>
    </row>
    <row r="578">
      <c r="A578" s="280"/>
      <c r="B578" s="280"/>
      <c r="C578" s="280"/>
      <c r="D578" s="280"/>
      <c r="F578" s="280"/>
      <c r="G578" s="280"/>
    </row>
    <row r="579">
      <c r="A579" s="280"/>
      <c r="B579" s="280"/>
      <c r="C579" s="280"/>
      <c r="D579" s="280"/>
      <c r="F579" s="280"/>
      <c r="G579" s="280"/>
    </row>
    <row r="580">
      <c r="A580" s="280"/>
      <c r="B580" s="280"/>
      <c r="C580" s="280"/>
      <c r="D580" s="280"/>
      <c r="F580" s="280"/>
      <c r="G580" s="280"/>
    </row>
    <row r="581">
      <c r="A581" s="280"/>
      <c r="B581" s="280"/>
      <c r="C581" s="280"/>
      <c r="D581" s="280"/>
      <c r="F581" s="280"/>
      <c r="G581" s="280"/>
    </row>
    <row r="582">
      <c r="A582" s="280"/>
      <c r="B582" s="280"/>
      <c r="C582" s="280"/>
      <c r="D582" s="280"/>
      <c r="F582" s="280"/>
      <c r="G582" s="280"/>
    </row>
    <row r="583">
      <c r="A583" s="280"/>
      <c r="B583" s="280"/>
      <c r="C583" s="280"/>
      <c r="D583" s="280"/>
      <c r="F583" s="280"/>
      <c r="G583" s="280"/>
    </row>
    <row r="584">
      <c r="A584" s="280"/>
      <c r="B584" s="280"/>
      <c r="C584" s="280"/>
      <c r="D584" s="280"/>
      <c r="F584" s="280"/>
      <c r="G584" s="280"/>
    </row>
    <row r="585">
      <c r="A585" s="280"/>
      <c r="B585" s="280"/>
      <c r="C585" s="280"/>
      <c r="D585" s="280"/>
      <c r="F585" s="280"/>
      <c r="G585" s="280"/>
    </row>
    <row r="586">
      <c r="A586" s="280"/>
      <c r="B586" s="280"/>
      <c r="C586" s="280"/>
      <c r="D586" s="280"/>
      <c r="F586" s="280"/>
      <c r="G586" s="280"/>
    </row>
    <row r="587">
      <c r="A587" s="280"/>
      <c r="B587" s="280"/>
      <c r="C587" s="280"/>
      <c r="D587" s="280"/>
      <c r="F587" s="280"/>
      <c r="G587" s="280"/>
    </row>
    <row r="588">
      <c r="A588" s="280"/>
      <c r="B588" s="280"/>
      <c r="C588" s="280"/>
      <c r="D588" s="280"/>
      <c r="F588" s="280"/>
      <c r="G588" s="280"/>
    </row>
    <row r="589">
      <c r="A589" s="280"/>
      <c r="B589" s="280"/>
      <c r="C589" s="280"/>
      <c r="D589" s="280"/>
      <c r="F589" s="280"/>
      <c r="G589" s="280"/>
    </row>
    <row r="590">
      <c r="A590" s="280"/>
      <c r="B590" s="280"/>
      <c r="C590" s="280"/>
      <c r="D590" s="280"/>
      <c r="F590" s="280"/>
      <c r="G590" s="280"/>
    </row>
    <row r="591">
      <c r="A591" s="280"/>
      <c r="B591" s="280"/>
      <c r="C591" s="280"/>
      <c r="D591" s="280"/>
      <c r="F591" s="280"/>
      <c r="G591" s="280"/>
    </row>
    <row r="592">
      <c r="A592" s="280"/>
      <c r="B592" s="280"/>
      <c r="C592" s="280"/>
      <c r="D592" s="280"/>
      <c r="F592" s="280"/>
      <c r="G592" s="280"/>
    </row>
    <row r="593">
      <c r="A593" s="280"/>
      <c r="B593" s="280"/>
      <c r="C593" s="280"/>
      <c r="D593" s="280"/>
      <c r="F593" s="280"/>
      <c r="G593" s="280"/>
    </row>
    <row r="594">
      <c r="A594" s="280"/>
      <c r="B594" s="280"/>
      <c r="C594" s="280"/>
      <c r="D594" s="280"/>
      <c r="F594" s="280"/>
      <c r="G594" s="280"/>
    </row>
    <row r="595">
      <c r="A595" s="280"/>
      <c r="B595" s="280"/>
      <c r="C595" s="280"/>
      <c r="D595" s="280"/>
      <c r="F595" s="280"/>
      <c r="G595" s="280"/>
    </row>
    <row r="596">
      <c r="A596" s="280"/>
      <c r="B596" s="280"/>
      <c r="C596" s="280"/>
      <c r="D596" s="280"/>
      <c r="F596" s="280"/>
      <c r="G596" s="280"/>
    </row>
    <row r="597">
      <c r="A597" s="280"/>
      <c r="B597" s="280"/>
      <c r="C597" s="280"/>
      <c r="D597" s="280"/>
      <c r="F597" s="280"/>
      <c r="G597" s="280"/>
    </row>
    <row r="598">
      <c r="A598" s="280"/>
      <c r="B598" s="280"/>
      <c r="C598" s="280"/>
      <c r="D598" s="280"/>
      <c r="F598" s="280"/>
      <c r="G598" s="280"/>
    </row>
    <row r="599">
      <c r="A599" s="280"/>
      <c r="B599" s="280"/>
      <c r="C599" s="280"/>
      <c r="D599" s="280"/>
      <c r="F599" s="280"/>
      <c r="G599" s="280"/>
    </row>
    <row r="600">
      <c r="A600" s="280"/>
      <c r="B600" s="280"/>
      <c r="C600" s="280"/>
      <c r="D600" s="280"/>
      <c r="F600" s="280"/>
      <c r="G600" s="280"/>
    </row>
    <row r="601">
      <c r="A601" s="280"/>
      <c r="B601" s="280"/>
      <c r="C601" s="280"/>
      <c r="D601" s="280"/>
      <c r="F601" s="280"/>
      <c r="G601" s="280"/>
    </row>
    <row r="602">
      <c r="A602" s="280"/>
      <c r="B602" s="280"/>
      <c r="C602" s="280"/>
      <c r="D602" s="280"/>
      <c r="F602" s="280"/>
      <c r="G602" s="280"/>
    </row>
    <row r="603">
      <c r="A603" s="280"/>
      <c r="B603" s="280"/>
      <c r="C603" s="280"/>
      <c r="D603" s="280"/>
      <c r="F603" s="280"/>
      <c r="G603" s="280"/>
    </row>
    <row r="604">
      <c r="A604" s="280"/>
      <c r="B604" s="280"/>
      <c r="C604" s="280"/>
      <c r="D604" s="280"/>
      <c r="F604" s="280"/>
      <c r="G604" s="280"/>
    </row>
    <row r="605">
      <c r="A605" s="280"/>
      <c r="B605" s="280"/>
      <c r="C605" s="280"/>
      <c r="D605" s="280"/>
      <c r="F605" s="280"/>
      <c r="G605" s="280"/>
    </row>
    <row r="606">
      <c r="A606" s="280"/>
      <c r="B606" s="280"/>
      <c r="C606" s="280"/>
      <c r="D606" s="280"/>
      <c r="F606" s="280"/>
      <c r="G606" s="280"/>
    </row>
    <row r="607">
      <c r="A607" s="280"/>
      <c r="B607" s="280"/>
      <c r="C607" s="280"/>
      <c r="D607" s="280"/>
      <c r="F607" s="280"/>
      <c r="G607" s="280"/>
    </row>
    <row r="608">
      <c r="A608" s="280"/>
      <c r="B608" s="280"/>
      <c r="C608" s="280"/>
      <c r="D608" s="280"/>
      <c r="F608" s="280"/>
      <c r="G608" s="280"/>
    </row>
    <row r="609">
      <c r="A609" s="280"/>
      <c r="B609" s="280"/>
      <c r="C609" s="280"/>
      <c r="D609" s="280"/>
      <c r="F609" s="280"/>
      <c r="G609" s="280"/>
    </row>
    <row r="610">
      <c r="A610" s="280"/>
      <c r="B610" s="280"/>
      <c r="C610" s="280"/>
      <c r="D610" s="280"/>
      <c r="F610" s="280"/>
      <c r="G610" s="280"/>
    </row>
    <row r="611">
      <c r="A611" s="280"/>
      <c r="B611" s="280"/>
      <c r="C611" s="280"/>
      <c r="D611" s="280"/>
      <c r="F611" s="280"/>
      <c r="G611" s="280"/>
    </row>
    <row r="612">
      <c r="A612" s="280"/>
      <c r="B612" s="280"/>
      <c r="C612" s="280"/>
      <c r="D612" s="280"/>
      <c r="F612" s="280"/>
      <c r="G612" s="280"/>
    </row>
    <row r="613">
      <c r="A613" s="280"/>
      <c r="B613" s="280"/>
      <c r="C613" s="280"/>
      <c r="D613" s="280"/>
      <c r="F613" s="280"/>
      <c r="G613" s="280"/>
    </row>
    <row r="614">
      <c r="A614" s="280"/>
      <c r="B614" s="280"/>
      <c r="C614" s="280"/>
      <c r="D614" s="280"/>
      <c r="F614" s="280"/>
      <c r="G614" s="280"/>
    </row>
    <row r="615">
      <c r="A615" s="280"/>
      <c r="B615" s="280"/>
      <c r="C615" s="280"/>
      <c r="D615" s="280"/>
      <c r="F615" s="280"/>
      <c r="G615" s="280"/>
    </row>
    <row r="616">
      <c r="A616" s="280"/>
      <c r="B616" s="280"/>
      <c r="C616" s="280"/>
      <c r="D616" s="280"/>
      <c r="F616" s="280"/>
      <c r="G616" s="280"/>
    </row>
    <row r="617">
      <c r="A617" s="280"/>
      <c r="B617" s="280"/>
      <c r="C617" s="280"/>
      <c r="D617" s="280"/>
      <c r="F617" s="280"/>
      <c r="G617" s="280"/>
    </row>
    <row r="618">
      <c r="A618" s="280"/>
      <c r="B618" s="280"/>
      <c r="C618" s="280"/>
      <c r="D618" s="280"/>
      <c r="F618" s="280"/>
      <c r="G618" s="280"/>
    </row>
    <row r="619">
      <c r="A619" s="280"/>
      <c r="B619" s="280"/>
      <c r="C619" s="280"/>
      <c r="D619" s="280"/>
      <c r="F619" s="280"/>
      <c r="G619" s="280"/>
    </row>
    <row r="620">
      <c r="A620" s="280"/>
      <c r="B620" s="280"/>
      <c r="C620" s="280"/>
      <c r="D620" s="280"/>
      <c r="F620" s="280"/>
      <c r="G620" s="280"/>
    </row>
    <row r="621">
      <c r="A621" s="280"/>
      <c r="B621" s="280"/>
      <c r="C621" s="280"/>
      <c r="D621" s="280"/>
      <c r="F621" s="280"/>
      <c r="G621" s="280"/>
    </row>
    <row r="622">
      <c r="A622" s="280"/>
      <c r="B622" s="280"/>
      <c r="C622" s="280"/>
      <c r="D622" s="280"/>
      <c r="F622" s="280"/>
      <c r="G622" s="280"/>
    </row>
    <row r="623">
      <c r="A623" s="280"/>
      <c r="B623" s="280"/>
      <c r="C623" s="280"/>
      <c r="D623" s="280"/>
      <c r="F623" s="280"/>
      <c r="G623" s="280"/>
    </row>
    <row r="624">
      <c r="A624" s="280"/>
      <c r="B624" s="280"/>
      <c r="C624" s="280"/>
      <c r="D624" s="280"/>
      <c r="F624" s="280"/>
      <c r="G624" s="280"/>
    </row>
    <row r="625">
      <c r="A625" s="280"/>
      <c r="B625" s="280"/>
      <c r="C625" s="280"/>
      <c r="D625" s="280"/>
      <c r="F625" s="280"/>
      <c r="G625" s="280"/>
    </row>
    <row r="626">
      <c r="A626" s="280"/>
      <c r="B626" s="280"/>
      <c r="C626" s="280"/>
      <c r="D626" s="280"/>
      <c r="F626" s="280"/>
      <c r="G626" s="280"/>
    </row>
    <row r="627">
      <c r="A627" s="280"/>
      <c r="B627" s="280"/>
      <c r="C627" s="280"/>
      <c r="D627" s="280"/>
      <c r="F627" s="280"/>
      <c r="G627" s="280"/>
    </row>
    <row r="628">
      <c r="A628" s="280"/>
      <c r="B628" s="280"/>
      <c r="C628" s="280"/>
      <c r="D628" s="280"/>
      <c r="F628" s="280"/>
      <c r="G628" s="280"/>
    </row>
    <row r="629">
      <c r="A629" s="280"/>
      <c r="B629" s="280"/>
      <c r="C629" s="280"/>
      <c r="D629" s="280"/>
      <c r="F629" s="280"/>
      <c r="G629" s="280"/>
    </row>
    <row r="630">
      <c r="A630" s="280"/>
      <c r="B630" s="280"/>
      <c r="C630" s="280"/>
      <c r="D630" s="280"/>
      <c r="F630" s="280"/>
      <c r="G630" s="280"/>
    </row>
    <row r="631">
      <c r="A631" s="280"/>
      <c r="B631" s="280"/>
      <c r="C631" s="280"/>
      <c r="D631" s="280"/>
      <c r="F631" s="280"/>
      <c r="G631" s="280"/>
    </row>
    <row r="632">
      <c r="A632" s="280"/>
      <c r="B632" s="280"/>
      <c r="C632" s="280"/>
      <c r="D632" s="280"/>
      <c r="F632" s="280"/>
      <c r="G632" s="280"/>
    </row>
    <row r="633">
      <c r="A633" s="280"/>
      <c r="B633" s="280"/>
      <c r="C633" s="280"/>
      <c r="D633" s="280"/>
      <c r="F633" s="280"/>
      <c r="G633" s="280"/>
    </row>
    <row r="634">
      <c r="A634" s="280"/>
      <c r="B634" s="280"/>
      <c r="C634" s="280"/>
      <c r="D634" s="280"/>
      <c r="F634" s="280"/>
      <c r="G634" s="280"/>
    </row>
    <row r="635">
      <c r="A635" s="280"/>
      <c r="B635" s="280"/>
      <c r="C635" s="280"/>
      <c r="D635" s="280"/>
      <c r="F635" s="280"/>
      <c r="G635" s="280"/>
    </row>
    <row r="636">
      <c r="A636" s="280"/>
      <c r="B636" s="280"/>
      <c r="C636" s="280"/>
      <c r="D636" s="280"/>
      <c r="F636" s="280"/>
      <c r="G636" s="280"/>
    </row>
    <row r="637">
      <c r="A637" s="280"/>
      <c r="B637" s="280"/>
      <c r="C637" s="280"/>
      <c r="D637" s="280"/>
      <c r="F637" s="280"/>
      <c r="G637" s="280"/>
    </row>
    <row r="638">
      <c r="A638" s="280"/>
      <c r="B638" s="280"/>
      <c r="C638" s="280"/>
      <c r="D638" s="280"/>
      <c r="F638" s="280"/>
      <c r="G638" s="280"/>
    </row>
    <row r="639">
      <c r="A639" s="280"/>
      <c r="B639" s="280"/>
      <c r="C639" s="280"/>
      <c r="D639" s="280"/>
      <c r="F639" s="280"/>
      <c r="G639" s="280"/>
    </row>
    <row r="640">
      <c r="A640" s="280"/>
      <c r="B640" s="280"/>
      <c r="C640" s="280"/>
      <c r="D640" s="280"/>
      <c r="F640" s="280"/>
      <c r="G640" s="280"/>
    </row>
    <row r="641">
      <c r="A641" s="280"/>
      <c r="B641" s="280"/>
      <c r="C641" s="280"/>
      <c r="D641" s="280"/>
      <c r="F641" s="280"/>
      <c r="G641" s="280"/>
    </row>
    <row r="642">
      <c r="A642" s="280"/>
      <c r="B642" s="280"/>
      <c r="C642" s="280"/>
      <c r="D642" s="280"/>
      <c r="F642" s="280"/>
      <c r="G642" s="280"/>
    </row>
    <row r="643">
      <c r="A643" s="280"/>
      <c r="B643" s="280"/>
      <c r="C643" s="280"/>
      <c r="D643" s="280"/>
      <c r="F643" s="280"/>
      <c r="G643" s="280"/>
    </row>
    <row r="644">
      <c r="A644" s="280"/>
      <c r="B644" s="280"/>
      <c r="C644" s="280"/>
      <c r="D644" s="280"/>
      <c r="F644" s="280"/>
      <c r="G644" s="280"/>
    </row>
    <row r="645">
      <c r="A645" s="280"/>
      <c r="B645" s="280"/>
      <c r="C645" s="280"/>
      <c r="D645" s="280"/>
      <c r="F645" s="280"/>
      <c r="G645" s="280"/>
    </row>
    <row r="646">
      <c r="A646" s="280"/>
      <c r="B646" s="280"/>
      <c r="C646" s="280"/>
      <c r="D646" s="280"/>
      <c r="F646" s="280"/>
      <c r="G646" s="280"/>
    </row>
    <row r="647">
      <c r="A647" s="280"/>
      <c r="B647" s="280"/>
      <c r="C647" s="280"/>
      <c r="D647" s="280"/>
      <c r="F647" s="280"/>
      <c r="G647" s="280"/>
    </row>
    <row r="648">
      <c r="A648" s="280"/>
      <c r="B648" s="280"/>
      <c r="C648" s="280"/>
      <c r="D648" s="280"/>
      <c r="F648" s="280"/>
      <c r="G648" s="280"/>
    </row>
    <row r="649">
      <c r="A649" s="280"/>
      <c r="B649" s="280"/>
      <c r="C649" s="280"/>
      <c r="D649" s="280"/>
      <c r="F649" s="280"/>
      <c r="G649" s="280"/>
    </row>
    <row r="650">
      <c r="A650" s="280"/>
      <c r="B650" s="280"/>
      <c r="C650" s="280"/>
      <c r="D650" s="280"/>
      <c r="F650" s="280"/>
      <c r="G650" s="280"/>
    </row>
    <row r="651">
      <c r="A651" s="280"/>
      <c r="B651" s="280"/>
      <c r="C651" s="280"/>
      <c r="D651" s="280"/>
      <c r="F651" s="280"/>
      <c r="G651" s="280"/>
    </row>
    <row r="652">
      <c r="A652" s="280"/>
      <c r="B652" s="280"/>
      <c r="C652" s="280"/>
      <c r="D652" s="280"/>
      <c r="F652" s="280"/>
      <c r="G652" s="280"/>
    </row>
    <row r="653">
      <c r="A653" s="280"/>
      <c r="B653" s="280"/>
      <c r="C653" s="280"/>
      <c r="D653" s="280"/>
      <c r="F653" s="280"/>
      <c r="G653" s="280"/>
    </row>
    <row r="654">
      <c r="A654" s="280"/>
      <c r="B654" s="280"/>
      <c r="C654" s="280"/>
      <c r="D654" s="280"/>
      <c r="F654" s="280"/>
      <c r="G654" s="280"/>
    </row>
    <row r="655">
      <c r="A655" s="280"/>
      <c r="B655" s="280"/>
      <c r="C655" s="280"/>
      <c r="D655" s="280"/>
      <c r="F655" s="280"/>
      <c r="G655" s="280"/>
    </row>
    <row r="656">
      <c r="A656" s="280"/>
      <c r="B656" s="280"/>
      <c r="C656" s="280"/>
      <c r="D656" s="280"/>
      <c r="F656" s="280"/>
      <c r="G656" s="280"/>
    </row>
    <row r="657">
      <c r="A657" s="280"/>
      <c r="B657" s="280"/>
      <c r="C657" s="280"/>
      <c r="D657" s="280"/>
      <c r="F657" s="280"/>
      <c r="G657" s="280"/>
    </row>
    <row r="658">
      <c r="A658" s="280"/>
      <c r="B658" s="280"/>
      <c r="C658" s="280"/>
      <c r="D658" s="280"/>
      <c r="F658" s="280"/>
      <c r="G658" s="280"/>
    </row>
    <row r="659">
      <c r="A659" s="280"/>
      <c r="B659" s="280"/>
      <c r="C659" s="280"/>
      <c r="D659" s="280"/>
      <c r="F659" s="280"/>
      <c r="G659" s="280"/>
    </row>
    <row r="660">
      <c r="A660" s="280"/>
      <c r="B660" s="280"/>
      <c r="C660" s="280"/>
      <c r="D660" s="280"/>
      <c r="F660" s="280"/>
      <c r="G660" s="280"/>
    </row>
    <row r="661">
      <c r="A661" s="280"/>
      <c r="B661" s="280"/>
      <c r="C661" s="280"/>
      <c r="D661" s="280"/>
      <c r="F661" s="280"/>
      <c r="G661" s="280"/>
    </row>
    <row r="662">
      <c r="A662" s="280"/>
      <c r="B662" s="280"/>
      <c r="C662" s="280"/>
      <c r="D662" s="280"/>
      <c r="F662" s="280"/>
      <c r="G662" s="280"/>
    </row>
    <row r="663">
      <c r="A663" s="280"/>
      <c r="B663" s="280"/>
      <c r="C663" s="280"/>
      <c r="D663" s="280"/>
      <c r="F663" s="280"/>
      <c r="G663" s="280"/>
    </row>
    <row r="664">
      <c r="A664" s="280"/>
      <c r="B664" s="280"/>
      <c r="C664" s="280"/>
      <c r="D664" s="280"/>
      <c r="F664" s="280"/>
      <c r="G664" s="280"/>
    </row>
    <row r="665">
      <c r="A665" s="280"/>
      <c r="B665" s="280"/>
      <c r="C665" s="280"/>
      <c r="D665" s="280"/>
      <c r="F665" s="280"/>
      <c r="G665" s="280"/>
    </row>
    <row r="666">
      <c r="A666" s="280"/>
      <c r="B666" s="280"/>
      <c r="C666" s="280"/>
      <c r="D666" s="280"/>
      <c r="F666" s="280"/>
      <c r="G666" s="280"/>
    </row>
    <row r="667">
      <c r="A667" s="280"/>
      <c r="B667" s="280"/>
      <c r="C667" s="280"/>
      <c r="D667" s="280"/>
      <c r="F667" s="280"/>
      <c r="G667" s="280"/>
    </row>
    <row r="668">
      <c r="A668" s="280"/>
      <c r="B668" s="280"/>
      <c r="C668" s="280"/>
      <c r="D668" s="280"/>
      <c r="F668" s="280"/>
      <c r="G668" s="280"/>
    </row>
    <row r="669">
      <c r="A669" s="280"/>
      <c r="B669" s="280"/>
      <c r="C669" s="280"/>
      <c r="D669" s="280"/>
      <c r="F669" s="280"/>
      <c r="G669" s="280"/>
    </row>
    <row r="670">
      <c r="A670" s="280"/>
      <c r="B670" s="280"/>
      <c r="C670" s="280"/>
      <c r="D670" s="280"/>
      <c r="F670" s="280"/>
      <c r="G670" s="280"/>
    </row>
    <row r="671">
      <c r="A671" s="280"/>
      <c r="B671" s="280"/>
      <c r="C671" s="280"/>
      <c r="D671" s="280"/>
      <c r="F671" s="280"/>
      <c r="G671" s="280"/>
    </row>
    <row r="672">
      <c r="A672" s="280"/>
      <c r="B672" s="280"/>
      <c r="C672" s="280"/>
      <c r="D672" s="280"/>
      <c r="F672" s="280"/>
      <c r="G672" s="280"/>
    </row>
    <row r="673">
      <c r="A673" s="280"/>
      <c r="B673" s="280"/>
      <c r="C673" s="280"/>
      <c r="D673" s="280"/>
      <c r="F673" s="280"/>
      <c r="G673" s="280"/>
    </row>
    <row r="674">
      <c r="A674" s="280"/>
      <c r="B674" s="280"/>
      <c r="C674" s="280"/>
      <c r="D674" s="280"/>
      <c r="F674" s="280"/>
      <c r="G674" s="280"/>
    </row>
    <row r="675">
      <c r="A675" s="280"/>
      <c r="B675" s="280"/>
      <c r="C675" s="280"/>
      <c r="D675" s="280"/>
      <c r="F675" s="280"/>
      <c r="G675" s="280"/>
    </row>
    <row r="676">
      <c r="A676" s="280"/>
      <c r="B676" s="280"/>
      <c r="C676" s="280"/>
      <c r="D676" s="280"/>
      <c r="F676" s="280"/>
      <c r="G676" s="280"/>
    </row>
    <row r="677">
      <c r="A677" s="280"/>
      <c r="B677" s="280"/>
      <c r="C677" s="280"/>
      <c r="D677" s="280"/>
      <c r="F677" s="280"/>
      <c r="G677" s="280"/>
    </row>
    <row r="678">
      <c r="A678" s="280"/>
      <c r="B678" s="280"/>
      <c r="C678" s="280"/>
      <c r="D678" s="280"/>
      <c r="F678" s="280"/>
      <c r="G678" s="280"/>
    </row>
    <row r="679">
      <c r="A679" s="280"/>
      <c r="B679" s="280"/>
      <c r="C679" s="280"/>
      <c r="D679" s="280"/>
      <c r="F679" s="280"/>
      <c r="G679" s="280"/>
    </row>
    <row r="680">
      <c r="A680" s="280"/>
      <c r="B680" s="280"/>
      <c r="C680" s="280"/>
      <c r="D680" s="280"/>
      <c r="F680" s="280"/>
      <c r="G680" s="280"/>
    </row>
    <row r="681">
      <c r="A681" s="280"/>
      <c r="B681" s="280"/>
      <c r="C681" s="280"/>
      <c r="D681" s="280"/>
      <c r="F681" s="280"/>
      <c r="G681" s="280"/>
    </row>
    <row r="682">
      <c r="A682" s="280"/>
      <c r="B682" s="280"/>
      <c r="C682" s="280"/>
      <c r="D682" s="280"/>
      <c r="F682" s="280"/>
      <c r="G682" s="280"/>
    </row>
    <row r="683">
      <c r="A683" s="280"/>
      <c r="B683" s="280"/>
      <c r="C683" s="280"/>
      <c r="D683" s="280"/>
      <c r="F683" s="280"/>
      <c r="G683" s="280"/>
    </row>
    <row r="684">
      <c r="A684" s="280"/>
      <c r="B684" s="280"/>
      <c r="C684" s="280"/>
      <c r="D684" s="280"/>
      <c r="F684" s="280"/>
      <c r="G684" s="280"/>
    </row>
    <row r="685">
      <c r="A685" s="280"/>
      <c r="B685" s="280"/>
      <c r="C685" s="280"/>
      <c r="D685" s="280"/>
      <c r="F685" s="280"/>
      <c r="G685" s="280"/>
    </row>
    <row r="686">
      <c r="A686" s="280"/>
      <c r="B686" s="280"/>
      <c r="C686" s="280"/>
      <c r="D686" s="280"/>
      <c r="F686" s="280"/>
      <c r="G686" s="280"/>
    </row>
    <row r="687">
      <c r="A687" s="280"/>
      <c r="B687" s="280"/>
      <c r="C687" s="280"/>
      <c r="D687" s="280"/>
      <c r="F687" s="280"/>
      <c r="G687" s="280"/>
    </row>
    <row r="688">
      <c r="A688" s="280"/>
      <c r="B688" s="280"/>
      <c r="C688" s="280"/>
      <c r="D688" s="280"/>
      <c r="F688" s="280"/>
      <c r="G688" s="280"/>
    </row>
    <row r="689">
      <c r="A689" s="280"/>
      <c r="B689" s="280"/>
      <c r="C689" s="280"/>
      <c r="D689" s="280"/>
      <c r="F689" s="280"/>
      <c r="G689" s="280"/>
    </row>
    <row r="690">
      <c r="A690" s="280"/>
      <c r="B690" s="280"/>
      <c r="C690" s="280"/>
      <c r="D690" s="280"/>
      <c r="F690" s="280"/>
      <c r="G690" s="280"/>
    </row>
    <row r="691">
      <c r="A691" s="280"/>
      <c r="B691" s="280"/>
      <c r="C691" s="280"/>
      <c r="D691" s="280"/>
      <c r="F691" s="280"/>
      <c r="G691" s="280"/>
    </row>
    <row r="692">
      <c r="A692" s="280"/>
      <c r="B692" s="280"/>
      <c r="C692" s="280"/>
      <c r="D692" s="280"/>
      <c r="F692" s="280"/>
      <c r="G692" s="280"/>
    </row>
    <row r="693">
      <c r="A693" s="280"/>
      <c r="B693" s="280"/>
      <c r="C693" s="280"/>
      <c r="D693" s="280"/>
      <c r="F693" s="280"/>
      <c r="G693" s="280"/>
    </row>
    <row r="694">
      <c r="A694" s="280"/>
      <c r="B694" s="280"/>
      <c r="C694" s="280"/>
      <c r="D694" s="280"/>
      <c r="F694" s="280"/>
      <c r="G694" s="280"/>
    </row>
    <row r="695">
      <c r="A695" s="280"/>
      <c r="B695" s="280"/>
      <c r="C695" s="280"/>
      <c r="D695" s="280"/>
      <c r="F695" s="280"/>
      <c r="G695" s="280"/>
    </row>
    <row r="696">
      <c r="A696" s="280"/>
      <c r="B696" s="280"/>
      <c r="C696" s="280"/>
      <c r="D696" s="280"/>
      <c r="F696" s="280"/>
      <c r="G696" s="280"/>
    </row>
    <row r="697">
      <c r="A697" s="280"/>
      <c r="B697" s="280"/>
      <c r="C697" s="280"/>
      <c r="D697" s="280"/>
      <c r="F697" s="280"/>
      <c r="G697" s="280"/>
    </row>
    <row r="698">
      <c r="A698" s="280"/>
      <c r="B698" s="280"/>
      <c r="C698" s="280"/>
      <c r="D698" s="280"/>
      <c r="F698" s="280"/>
      <c r="G698" s="280"/>
    </row>
    <row r="699">
      <c r="A699" s="280"/>
      <c r="B699" s="280"/>
      <c r="C699" s="280"/>
      <c r="D699" s="280"/>
      <c r="F699" s="280"/>
      <c r="G699" s="280"/>
    </row>
    <row r="700">
      <c r="A700" s="280"/>
      <c r="B700" s="280"/>
      <c r="C700" s="280"/>
      <c r="D700" s="280"/>
      <c r="F700" s="280"/>
      <c r="G700" s="280"/>
    </row>
    <row r="701">
      <c r="A701" s="280"/>
      <c r="B701" s="280"/>
      <c r="C701" s="280"/>
      <c r="D701" s="280"/>
      <c r="F701" s="280"/>
      <c r="G701" s="280"/>
    </row>
    <row r="702">
      <c r="A702" s="280"/>
      <c r="B702" s="280"/>
      <c r="C702" s="280"/>
      <c r="D702" s="280"/>
      <c r="F702" s="280"/>
      <c r="G702" s="280"/>
    </row>
    <row r="703">
      <c r="A703" s="280"/>
      <c r="B703" s="280"/>
      <c r="C703" s="280"/>
      <c r="D703" s="280"/>
      <c r="F703" s="280"/>
      <c r="G703" s="280"/>
    </row>
    <row r="704">
      <c r="A704" s="280"/>
      <c r="B704" s="280"/>
      <c r="C704" s="280"/>
      <c r="D704" s="280"/>
      <c r="F704" s="280"/>
      <c r="G704" s="280"/>
    </row>
    <row r="705">
      <c r="A705" s="280"/>
      <c r="B705" s="280"/>
      <c r="C705" s="280"/>
      <c r="D705" s="280"/>
      <c r="F705" s="280"/>
      <c r="G705" s="280"/>
    </row>
    <row r="706">
      <c r="A706" s="280"/>
      <c r="B706" s="280"/>
      <c r="C706" s="280"/>
      <c r="D706" s="280"/>
      <c r="F706" s="280"/>
      <c r="G706" s="280"/>
    </row>
    <row r="707">
      <c r="A707" s="280"/>
      <c r="B707" s="280"/>
      <c r="C707" s="280"/>
      <c r="D707" s="280"/>
      <c r="F707" s="280"/>
      <c r="G707" s="280"/>
    </row>
    <row r="708">
      <c r="A708" s="280"/>
      <c r="B708" s="280"/>
      <c r="C708" s="280"/>
      <c r="D708" s="280"/>
      <c r="F708" s="280"/>
      <c r="G708" s="280"/>
    </row>
    <row r="709">
      <c r="A709" s="280"/>
      <c r="B709" s="280"/>
      <c r="C709" s="280"/>
      <c r="D709" s="280"/>
      <c r="F709" s="280"/>
      <c r="G709" s="280"/>
    </row>
    <row r="710">
      <c r="A710" s="280"/>
      <c r="B710" s="280"/>
      <c r="C710" s="280"/>
      <c r="D710" s="280"/>
      <c r="F710" s="280"/>
      <c r="G710" s="280"/>
    </row>
    <row r="711">
      <c r="A711" s="280"/>
      <c r="B711" s="280"/>
      <c r="C711" s="280"/>
      <c r="D711" s="280"/>
      <c r="F711" s="280"/>
      <c r="G711" s="280"/>
    </row>
    <row r="712">
      <c r="A712" s="280"/>
      <c r="B712" s="280"/>
      <c r="C712" s="280"/>
      <c r="D712" s="280"/>
      <c r="F712" s="280"/>
      <c r="G712" s="280"/>
    </row>
    <row r="713">
      <c r="A713" s="280"/>
      <c r="B713" s="280"/>
      <c r="C713" s="280"/>
      <c r="D713" s="280"/>
      <c r="F713" s="280"/>
      <c r="G713" s="280"/>
    </row>
    <row r="714">
      <c r="A714" s="280"/>
      <c r="B714" s="280"/>
      <c r="C714" s="280"/>
      <c r="D714" s="280"/>
      <c r="F714" s="280"/>
      <c r="G714" s="280"/>
    </row>
    <row r="715">
      <c r="A715" s="280"/>
      <c r="B715" s="280"/>
      <c r="C715" s="280"/>
      <c r="D715" s="280"/>
      <c r="F715" s="280"/>
      <c r="G715" s="280"/>
    </row>
    <row r="716">
      <c r="A716" s="280"/>
      <c r="B716" s="280"/>
      <c r="C716" s="280"/>
      <c r="D716" s="280"/>
      <c r="F716" s="280"/>
      <c r="G716" s="280"/>
    </row>
    <row r="717">
      <c r="A717" s="280"/>
      <c r="B717" s="280"/>
      <c r="C717" s="280"/>
      <c r="D717" s="280"/>
      <c r="F717" s="280"/>
      <c r="G717" s="280"/>
    </row>
    <row r="718">
      <c r="A718" s="280"/>
      <c r="B718" s="280"/>
      <c r="C718" s="280"/>
      <c r="D718" s="280"/>
      <c r="F718" s="280"/>
      <c r="G718" s="280"/>
    </row>
    <row r="719">
      <c r="A719" s="280"/>
      <c r="B719" s="280"/>
      <c r="C719" s="280"/>
      <c r="D719" s="280"/>
      <c r="F719" s="280"/>
      <c r="G719" s="280"/>
    </row>
    <row r="720">
      <c r="A720" s="280"/>
      <c r="B720" s="280"/>
      <c r="C720" s="280"/>
      <c r="D720" s="280"/>
      <c r="F720" s="280"/>
      <c r="G720" s="280"/>
    </row>
    <row r="721">
      <c r="A721" s="280"/>
      <c r="B721" s="280"/>
      <c r="C721" s="280"/>
      <c r="D721" s="280"/>
      <c r="F721" s="280"/>
      <c r="G721" s="280"/>
    </row>
    <row r="722">
      <c r="A722" s="280"/>
      <c r="B722" s="280"/>
      <c r="C722" s="280"/>
      <c r="D722" s="280"/>
      <c r="F722" s="280"/>
      <c r="G722" s="280"/>
    </row>
    <row r="723">
      <c r="A723" s="280"/>
      <c r="B723" s="280"/>
      <c r="C723" s="280"/>
      <c r="D723" s="280"/>
      <c r="F723" s="280"/>
      <c r="G723" s="280"/>
    </row>
    <row r="724">
      <c r="A724" s="280"/>
      <c r="B724" s="280"/>
      <c r="C724" s="280"/>
      <c r="D724" s="280"/>
      <c r="F724" s="280"/>
      <c r="G724" s="280"/>
    </row>
    <row r="725">
      <c r="A725" s="280"/>
      <c r="B725" s="280"/>
      <c r="C725" s="280"/>
      <c r="D725" s="280"/>
      <c r="F725" s="280"/>
      <c r="G725" s="280"/>
    </row>
    <row r="726">
      <c r="A726" s="280"/>
      <c r="B726" s="280"/>
      <c r="C726" s="280"/>
      <c r="D726" s="280"/>
      <c r="F726" s="280"/>
      <c r="G726" s="280"/>
    </row>
    <row r="727">
      <c r="A727" s="280"/>
      <c r="B727" s="280"/>
      <c r="C727" s="280"/>
      <c r="D727" s="280"/>
      <c r="F727" s="280"/>
      <c r="G727" s="280"/>
    </row>
    <row r="728">
      <c r="A728" s="280"/>
      <c r="B728" s="280"/>
      <c r="C728" s="280"/>
      <c r="D728" s="280"/>
      <c r="F728" s="280"/>
      <c r="G728" s="280"/>
    </row>
    <row r="729">
      <c r="A729" s="280"/>
      <c r="B729" s="280"/>
      <c r="C729" s="280"/>
      <c r="D729" s="280"/>
      <c r="F729" s="280"/>
      <c r="G729" s="280"/>
    </row>
    <row r="730">
      <c r="A730" s="280"/>
      <c r="B730" s="280"/>
      <c r="C730" s="280"/>
      <c r="D730" s="280"/>
      <c r="F730" s="280"/>
      <c r="G730" s="280"/>
    </row>
    <row r="731">
      <c r="A731" s="280"/>
      <c r="B731" s="280"/>
      <c r="C731" s="280"/>
      <c r="D731" s="280"/>
      <c r="F731" s="280"/>
      <c r="G731" s="280"/>
    </row>
    <row r="732">
      <c r="A732" s="280"/>
      <c r="B732" s="280"/>
      <c r="C732" s="280"/>
      <c r="D732" s="280"/>
      <c r="F732" s="280"/>
      <c r="G732" s="280"/>
    </row>
    <row r="733">
      <c r="A733" s="280"/>
      <c r="B733" s="280"/>
      <c r="C733" s="280"/>
      <c r="D733" s="280"/>
      <c r="F733" s="280"/>
      <c r="G733" s="280"/>
    </row>
    <row r="734">
      <c r="A734" s="280"/>
      <c r="B734" s="280"/>
      <c r="C734" s="280"/>
      <c r="D734" s="280"/>
      <c r="F734" s="280"/>
      <c r="G734" s="280"/>
    </row>
    <row r="735">
      <c r="A735" s="280"/>
      <c r="B735" s="280"/>
      <c r="C735" s="280"/>
      <c r="D735" s="280"/>
      <c r="F735" s="280"/>
      <c r="G735" s="280"/>
    </row>
    <row r="736">
      <c r="A736" s="280"/>
      <c r="B736" s="280"/>
      <c r="C736" s="280"/>
      <c r="D736" s="280"/>
      <c r="F736" s="280"/>
      <c r="G736" s="280"/>
    </row>
    <row r="737">
      <c r="A737" s="280"/>
      <c r="B737" s="280"/>
      <c r="C737" s="280"/>
      <c r="D737" s="280"/>
      <c r="F737" s="280"/>
      <c r="G737" s="280"/>
    </row>
    <row r="738">
      <c r="A738" s="280"/>
      <c r="B738" s="280"/>
      <c r="C738" s="280"/>
      <c r="D738" s="280"/>
      <c r="F738" s="280"/>
      <c r="G738" s="280"/>
    </row>
    <row r="739">
      <c r="A739" s="280"/>
      <c r="B739" s="280"/>
      <c r="C739" s="280"/>
      <c r="D739" s="280"/>
      <c r="F739" s="280"/>
      <c r="G739" s="280"/>
    </row>
    <row r="740">
      <c r="A740" s="280"/>
      <c r="B740" s="280"/>
      <c r="C740" s="280"/>
      <c r="D740" s="280"/>
      <c r="F740" s="280"/>
      <c r="G740" s="280"/>
    </row>
    <row r="741">
      <c r="A741" s="280"/>
      <c r="B741" s="280"/>
      <c r="C741" s="280"/>
      <c r="D741" s="280"/>
      <c r="F741" s="280"/>
      <c r="G741" s="280"/>
    </row>
    <row r="742">
      <c r="A742" s="280"/>
      <c r="B742" s="280"/>
      <c r="C742" s="280"/>
      <c r="D742" s="280"/>
      <c r="F742" s="280"/>
      <c r="G742" s="280"/>
    </row>
    <row r="743">
      <c r="A743" s="280"/>
      <c r="B743" s="280"/>
      <c r="C743" s="280"/>
      <c r="D743" s="280"/>
      <c r="F743" s="280"/>
      <c r="G743" s="280"/>
    </row>
    <row r="744">
      <c r="A744" s="280"/>
      <c r="B744" s="280"/>
      <c r="C744" s="280"/>
      <c r="D744" s="280"/>
      <c r="F744" s="280"/>
      <c r="G744" s="280"/>
    </row>
    <row r="745">
      <c r="A745" s="280"/>
      <c r="B745" s="280"/>
      <c r="C745" s="280"/>
      <c r="D745" s="280"/>
      <c r="F745" s="280"/>
      <c r="G745" s="280"/>
    </row>
    <row r="746">
      <c r="A746" s="280"/>
      <c r="B746" s="280"/>
      <c r="C746" s="280"/>
      <c r="D746" s="280"/>
      <c r="F746" s="280"/>
      <c r="G746" s="280"/>
    </row>
    <row r="747">
      <c r="A747" s="280"/>
      <c r="B747" s="280"/>
      <c r="C747" s="280"/>
      <c r="D747" s="280"/>
      <c r="F747" s="280"/>
      <c r="G747" s="280"/>
    </row>
    <row r="748">
      <c r="A748" s="280"/>
      <c r="B748" s="280"/>
      <c r="C748" s="280"/>
      <c r="D748" s="280"/>
      <c r="F748" s="280"/>
      <c r="G748" s="280"/>
    </row>
    <row r="749">
      <c r="A749" s="280"/>
      <c r="B749" s="280"/>
      <c r="C749" s="280"/>
      <c r="D749" s="280"/>
      <c r="F749" s="280"/>
      <c r="G749" s="280"/>
    </row>
    <row r="750">
      <c r="A750" s="280"/>
      <c r="B750" s="280"/>
      <c r="C750" s="280"/>
      <c r="D750" s="280"/>
      <c r="F750" s="280"/>
      <c r="G750" s="280"/>
    </row>
    <row r="751">
      <c r="A751" s="280"/>
      <c r="B751" s="280"/>
      <c r="C751" s="280"/>
      <c r="D751" s="280"/>
      <c r="F751" s="280"/>
      <c r="G751" s="280"/>
    </row>
    <row r="752">
      <c r="A752" s="280"/>
      <c r="B752" s="280"/>
      <c r="C752" s="280"/>
      <c r="D752" s="280"/>
      <c r="F752" s="280"/>
      <c r="G752" s="280"/>
    </row>
    <row r="753">
      <c r="A753" s="280"/>
      <c r="B753" s="280"/>
      <c r="C753" s="280"/>
      <c r="D753" s="280"/>
      <c r="F753" s="280"/>
      <c r="G753" s="280"/>
    </row>
    <row r="754">
      <c r="A754" s="280"/>
      <c r="B754" s="280"/>
      <c r="C754" s="280"/>
      <c r="D754" s="280"/>
      <c r="F754" s="280"/>
      <c r="G754" s="280"/>
    </row>
    <row r="755">
      <c r="A755" s="280"/>
      <c r="B755" s="280"/>
      <c r="C755" s="280"/>
      <c r="D755" s="280"/>
      <c r="F755" s="280"/>
      <c r="G755" s="280"/>
    </row>
    <row r="756">
      <c r="A756" s="280"/>
      <c r="B756" s="280"/>
      <c r="C756" s="280"/>
      <c r="D756" s="280"/>
      <c r="F756" s="280"/>
      <c r="G756" s="280"/>
    </row>
    <row r="757">
      <c r="A757" s="280"/>
      <c r="B757" s="280"/>
      <c r="C757" s="280"/>
      <c r="D757" s="280"/>
      <c r="F757" s="280"/>
      <c r="G757" s="280"/>
    </row>
    <row r="758">
      <c r="A758" s="280"/>
      <c r="B758" s="280"/>
      <c r="C758" s="280"/>
      <c r="D758" s="280"/>
      <c r="F758" s="280"/>
      <c r="G758" s="280"/>
    </row>
    <row r="759">
      <c r="A759" s="280"/>
      <c r="B759" s="280"/>
      <c r="C759" s="280"/>
      <c r="D759" s="280"/>
      <c r="F759" s="280"/>
      <c r="G759" s="280"/>
    </row>
    <row r="760">
      <c r="A760" s="280"/>
      <c r="B760" s="280"/>
      <c r="C760" s="280"/>
      <c r="D760" s="280"/>
      <c r="F760" s="280"/>
      <c r="G760" s="280"/>
    </row>
    <row r="761">
      <c r="A761" s="280"/>
      <c r="B761" s="280"/>
      <c r="C761" s="280"/>
      <c r="D761" s="280"/>
      <c r="F761" s="280"/>
      <c r="G761" s="280"/>
    </row>
    <row r="762">
      <c r="A762" s="280"/>
      <c r="B762" s="280"/>
      <c r="C762" s="280"/>
      <c r="D762" s="280"/>
      <c r="F762" s="280"/>
      <c r="G762" s="280"/>
    </row>
    <row r="763">
      <c r="A763" s="280"/>
      <c r="B763" s="280"/>
      <c r="C763" s="280"/>
      <c r="D763" s="280"/>
      <c r="F763" s="280"/>
      <c r="G763" s="280"/>
    </row>
    <row r="764">
      <c r="A764" s="280"/>
      <c r="B764" s="280"/>
      <c r="C764" s="280"/>
      <c r="D764" s="280"/>
      <c r="F764" s="280"/>
      <c r="G764" s="280"/>
    </row>
    <row r="765">
      <c r="A765" s="280"/>
      <c r="B765" s="280"/>
      <c r="C765" s="280"/>
      <c r="D765" s="280"/>
      <c r="F765" s="280"/>
      <c r="G765" s="280"/>
    </row>
    <row r="766">
      <c r="A766" s="280"/>
      <c r="B766" s="280"/>
      <c r="C766" s="280"/>
      <c r="D766" s="280"/>
      <c r="F766" s="280"/>
      <c r="G766" s="280"/>
    </row>
    <row r="767">
      <c r="A767" s="280"/>
      <c r="B767" s="280"/>
      <c r="C767" s="280"/>
      <c r="D767" s="280"/>
      <c r="F767" s="280"/>
      <c r="G767" s="280"/>
    </row>
    <row r="768">
      <c r="A768" s="280"/>
      <c r="B768" s="280"/>
      <c r="C768" s="280"/>
      <c r="D768" s="280"/>
      <c r="F768" s="280"/>
      <c r="G768" s="280"/>
    </row>
    <row r="769">
      <c r="A769" s="280"/>
      <c r="B769" s="280"/>
      <c r="C769" s="280"/>
      <c r="D769" s="280"/>
      <c r="F769" s="280"/>
      <c r="G769" s="280"/>
    </row>
    <row r="770">
      <c r="A770" s="280"/>
      <c r="B770" s="280"/>
      <c r="C770" s="280"/>
      <c r="D770" s="280"/>
      <c r="F770" s="280"/>
      <c r="G770" s="280"/>
    </row>
    <row r="771">
      <c r="A771" s="280"/>
      <c r="B771" s="280"/>
      <c r="C771" s="280"/>
      <c r="D771" s="280"/>
      <c r="F771" s="280"/>
      <c r="G771" s="280"/>
    </row>
    <row r="772">
      <c r="A772" s="280"/>
      <c r="B772" s="280"/>
      <c r="C772" s="280"/>
      <c r="D772" s="280"/>
      <c r="F772" s="280"/>
      <c r="G772" s="280"/>
    </row>
    <row r="773">
      <c r="A773" s="280"/>
      <c r="B773" s="280"/>
      <c r="C773" s="280"/>
      <c r="D773" s="280"/>
      <c r="F773" s="280"/>
      <c r="G773" s="280"/>
    </row>
    <row r="774">
      <c r="A774" s="280"/>
      <c r="B774" s="280"/>
      <c r="C774" s="280"/>
      <c r="D774" s="280"/>
      <c r="F774" s="280"/>
      <c r="G774" s="280"/>
    </row>
    <row r="775">
      <c r="A775" s="280"/>
      <c r="B775" s="280"/>
      <c r="C775" s="280"/>
      <c r="D775" s="280"/>
      <c r="F775" s="280"/>
      <c r="G775" s="280"/>
    </row>
    <row r="776">
      <c r="A776" s="280"/>
      <c r="B776" s="280"/>
      <c r="C776" s="280"/>
      <c r="D776" s="280"/>
      <c r="F776" s="280"/>
      <c r="G776" s="280"/>
    </row>
    <row r="777">
      <c r="A777" s="280"/>
      <c r="B777" s="280"/>
      <c r="C777" s="280"/>
      <c r="D777" s="280"/>
      <c r="F777" s="280"/>
      <c r="G777" s="280"/>
    </row>
    <row r="778">
      <c r="A778" s="280"/>
      <c r="B778" s="280"/>
      <c r="C778" s="280"/>
      <c r="D778" s="280"/>
      <c r="F778" s="280"/>
      <c r="G778" s="280"/>
    </row>
    <row r="779">
      <c r="A779" s="280"/>
      <c r="B779" s="280"/>
      <c r="C779" s="280"/>
      <c r="D779" s="280"/>
      <c r="F779" s="280"/>
      <c r="G779" s="280"/>
    </row>
    <row r="780">
      <c r="A780" s="280"/>
      <c r="B780" s="280"/>
      <c r="C780" s="280"/>
      <c r="D780" s="280"/>
      <c r="F780" s="280"/>
      <c r="G780" s="280"/>
    </row>
    <row r="781">
      <c r="A781" s="280"/>
      <c r="B781" s="280"/>
      <c r="C781" s="280"/>
      <c r="D781" s="280"/>
      <c r="F781" s="280"/>
      <c r="G781" s="280"/>
    </row>
    <row r="782">
      <c r="A782" s="280"/>
      <c r="B782" s="280"/>
      <c r="C782" s="280"/>
      <c r="D782" s="280"/>
      <c r="F782" s="280"/>
      <c r="G782" s="280"/>
    </row>
    <row r="783">
      <c r="A783" s="280"/>
      <c r="B783" s="280"/>
      <c r="C783" s="280"/>
      <c r="D783" s="280"/>
      <c r="F783" s="280"/>
      <c r="G783" s="280"/>
    </row>
    <row r="784">
      <c r="A784" s="280"/>
      <c r="B784" s="280"/>
      <c r="C784" s="280"/>
      <c r="D784" s="280"/>
      <c r="F784" s="280"/>
      <c r="G784" s="280"/>
    </row>
    <row r="785">
      <c r="A785" s="280"/>
      <c r="B785" s="280"/>
      <c r="C785" s="280"/>
      <c r="D785" s="280"/>
      <c r="F785" s="280"/>
      <c r="G785" s="280"/>
    </row>
    <row r="786">
      <c r="A786" s="280"/>
      <c r="B786" s="280"/>
      <c r="C786" s="280"/>
      <c r="D786" s="280"/>
      <c r="F786" s="280"/>
      <c r="G786" s="280"/>
    </row>
    <row r="787">
      <c r="A787" s="280"/>
      <c r="B787" s="280"/>
      <c r="C787" s="280"/>
      <c r="D787" s="280"/>
      <c r="F787" s="280"/>
      <c r="G787" s="280"/>
    </row>
    <row r="788">
      <c r="A788" s="280"/>
      <c r="B788" s="280"/>
      <c r="C788" s="280"/>
      <c r="D788" s="280"/>
      <c r="F788" s="280"/>
      <c r="G788" s="280"/>
    </row>
    <row r="789">
      <c r="A789" s="280"/>
      <c r="B789" s="280"/>
      <c r="C789" s="280"/>
      <c r="D789" s="280"/>
      <c r="F789" s="280"/>
      <c r="G789" s="280"/>
    </row>
    <row r="790">
      <c r="A790" s="280"/>
      <c r="B790" s="280"/>
      <c r="C790" s="280"/>
      <c r="D790" s="280"/>
      <c r="F790" s="280"/>
      <c r="G790" s="280"/>
    </row>
    <row r="791">
      <c r="A791" s="280"/>
      <c r="B791" s="280"/>
      <c r="C791" s="280"/>
      <c r="D791" s="280"/>
      <c r="F791" s="280"/>
      <c r="G791" s="280"/>
    </row>
    <row r="792">
      <c r="A792" s="280"/>
      <c r="B792" s="280"/>
      <c r="C792" s="280"/>
      <c r="D792" s="280"/>
      <c r="F792" s="280"/>
      <c r="G792" s="280"/>
    </row>
    <row r="793">
      <c r="A793" s="280"/>
      <c r="B793" s="280"/>
      <c r="C793" s="280"/>
      <c r="D793" s="280"/>
      <c r="F793" s="280"/>
      <c r="G793" s="280"/>
    </row>
    <row r="794">
      <c r="A794" s="280"/>
      <c r="B794" s="280"/>
      <c r="C794" s="280"/>
      <c r="D794" s="280"/>
      <c r="F794" s="280"/>
      <c r="G794" s="280"/>
    </row>
    <row r="795">
      <c r="A795" s="280"/>
      <c r="B795" s="280"/>
      <c r="C795" s="280"/>
      <c r="D795" s="280"/>
      <c r="F795" s="280"/>
      <c r="G795" s="280"/>
    </row>
    <row r="796">
      <c r="A796" s="280"/>
      <c r="B796" s="280"/>
      <c r="C796" s="280"/>
      <c r="D796" s="280"/>
      <c r="F796" s="280"/>
      <c r="G796" s="280"/>
    </row>
    <row r="797">
      <c r="A797" s="280"/>
      <c r="B797" s="280"/>
      <c r="C797" s="280"/>
      <c r="D797" s="280"/>
      <c r="F797" s="280"/>
      <c r="G797" s="280"/>
    </row>
    <row r="798">
      <c r="A798" s="280"/>
      <c r="B798" s="280"/>
      <c r="C798" s="280"/>
      <c r="D798" s="280"/>
      <c r="F798" s="280"/>
      <c r="G798" s="280"/>
    </row>
    <row r="799">
      <c r="A799" s="280"/>
      <c r="B799" s="280"/>
      <c r="C799" s="280"/>
      <c r="D799" s="280"/>
      <c r="F799" s="280"/>
      <c r="G799" s="280"/>
    </row>
    <row r="800">
      <c r="A800" s="280"/>
      <c r="B800" s="280"/>
      <c r="C800" s="280"/>
      <c r="D800" s="280"/>
      <c r="F800" s="280"/>
      <c r="G800" s="280"/>
    </row>
    <row r="801">
      <c r="A801" s="280"/>
      <c r="B801" s="280"/>
      <c r="C801" s="280"/>
      <c r="D801" s="280"/>
      <c r="F801" s="280"/>
      <c r="G801" s="280"/>
    </row>
    <row r="802">
      <c r="A802" s="280"/>
      <c r="B802" s="280"/>
      <c r="C802" s="280"/>
      <c r="D802" s="280"/>
      <c r="F802" s="280"/>
      <c r="G802" s="280"/>
    </row>
    <row r="803">
      <c r="A803" s="280"/>
      <c r="B803" s="280"/>
      <c r="C803" s="280"/>
      <c r="D803" s="280"/>
      <c r="F803" s="280"/>
      <c r="G803" s="280"/>
    </row>
    <row r="804">
      <c r="A804" s="280"/>
      <c r="B804" s="280"/>
      <c r="C804" s="280"/>
      <c r="D804" s="280"/>
      <c r="F804" s="280"/>
      <c r="G804" s="280"/>
    </row>
    <row r="805">
      <c r="A805" s="280"/>
      <c r="B805" s="280"/>
      <c r="C805" s="280"/>
      <c r="D805" s="280"/>
      <c r="F805" s="280"/>
      <c r="G805" s="280"/>
    </row>
    <row r="806">
      <c r="A806" s="280"/>
      <c r="B806" s="280"/>
      <c r="C806" s="280"/>
      <c r="D806" s="280"/>
      <c r="F806" s="280"/>
      <c r="G806" s="280"/>
    </row>
    <row r="807">
      <c r="A807" s="280"/>
      <c r="B807" s="280"/>
      <c r="C807" s="280"/>
      <c r="D807" s="280"/>
      <c r="F807" s="280"/>
      <c r="G807" s="280"/>
    </row>
    <row r="808">
      <c r="A808" s="280"/>
      <c r="B808" s="280"/>
      <c r="C808" s="280"/>
      <c r="D808" s="280"/>
      <c r="F808" s="280"/>
      <c r="G808" s="280"/>
    </row>
    <row r="809">
      <c r="A809" s="280"/>
      <c r="B809" s="280"/>
      <c r="C809" s="280"/>
      <c r="D809" s="280"/>
      <c r="F809" s="280"/>
      <c r="G809" s="280"/>
    </row>
    <row r="810">
      <c r="A810" s="280"/>
      <c r="B810" s="280"/>
      <c r="C810" s="280"/>
      <c r="D810" s="280"/>
      <c r="F810" s="280"/>
      <c r="G810" s="280"/>
    </row>
    <row r="811">
      <c r="A811" s="280"/>
      <c r="B811" s="280"/>
      <c r="C811" s="280"/>
      <c r="D811" s="280"/>
      <c r="F811" s="280"/>
      <c r="G811" s="280"/>
    </row>
    <row r="812">
      <c r="A812" s="280"/>
      <c r="B812" s="280"/>
      <c r="C812" s="280"/>
      <c r="D812" s="280"/>
      <c r="F812" s="280"/>
      <c r="G812" s="280"/>
    </row>
    <row r="813">
      <c r="A813" s="280"/>
      <c r="B813" s="280"/>
      <c r="C813" s="280"/>
      <c r="D813" s="280"/>
      <c r="F813" s="280"/>
      <c r="G813" s="280"/>
    </row>
    <row r="814">
      <c r="A814" s="280"/>
      <c r="B814" s="280"/>
      <c r="C814" s="280"/>
      <c r="D814" s="280"/>
      <c r="F814" s="280"/>
      <c r="G814" s="280"/>
    </row>
    <row r="815">
      <c r="A815" s="280"/>
      <c r="B815" s="280"/>
      <c r="C815" s="280"/>
      <c r="D815" s="280"/>
      <c r="F815" s="280"/>
      <c r="G815" s="280"/>
    </row>
    <row r="816">
      <c r="A816" s="280"/>
      <c r="B816" s="280"/>
      <c r="C816" s="280"/>
      <c r="D816" s="280"/>
      <c r="F816" s="280"/>
      <c r="G816" s="280"/>
    </row>
    <row r="817">
      <c r="A817" s="280"/>
      <c r="B817" s="280"/>
      <c r="C817" s="280"/>
      <c r="D817" s="280"/>
      <c r="F817" s="280"/>
      <c r="G817" s="280"/>
    </row>
    <row r="818">
      <c r="A818" s="280"/>
      <c r="B818" s="280"/>
      <c r="C818" s="280"/>
      <c r="D818" s="280"/>
      <c r="F818" s="280"/>
      <c r="G818" s="280"/>
    </row>
    <row r="819">
      <c r="A819" s="280"/>
      <c r="B819" s="280"/>
      <c r="C819" s="280"/>
      <c r="D819" s="280"/>
      <c r="F819" s="280"/>
      <c r="G819" s="280"/>
    </row>
    <row r="820">
      <c r="A820" s="280"/>
      <c r="B820" s="280"/>
      <c r="C820" s="280"/>
      <c r="D820" s="280"/>
      <c r="F820" s="280"/>
      <c r="G820" s="280"/>
    </row>
    <row r="821">
      <c r="A821" s="280"/>
      <c r="B821" s="280"/>
      <c r="C821" s="280"/>
      <c r="D821" s="280"/>
      <c r="F821" s="280"/>
      <c r="G821" s="280"/>
    </row>
    <row r="822">
      <c r="A822" s="280"/>
      <c r="B822" s="280"/>
      <c r="C822" s="280"/>
      <c r="D822" s="280"/>
      <c r="F822" s="280"/>
      <c r="G822" s="280"/>
    </row>
    <row r="823">
      <c r="A823" s="280"/>
      <c r="B823" s="280"/>
      <c r="C823" s="280"/>
      <c r="D823" s="280"/>
      <c r="F823" s="280"/>
      <c r="G823" s="280"/>
    </row>
    <row r="824">
      <c r="A824" s="280"/>
      <c r="B824" s="280"/>
      <c r="C824" s="280"/>
      <c r="D824" s="280"/>
      <c r="F824" s="280"/>
      <c r="G824" s="280"/>
    </row>
    <row r="825">
      <c r="A825" s="280"/>
      <c r="B825" s="280"/>
      <c r="C825" s="280"/>
      <c r="D825" s="280"/>
      <c r="F825" s="280"/>
      <c r="G825" s="280"/>
    </row>
    <row r="826">
      <c r="A826" s="280"/>
      <c r="B826" s="280"/>
      <c r="C826" s="280"/>
      <c r="D826" s="280"/>
      <c r="F826" s="280"/>
      <c r="G826" s="280"/>
    </row>
    <row r="827">
      <c r="A827" s="280"/>
      <c r="B827" s="280"/>
      <c r="C827" s="280"/>
      <c r="D827" s="280"/>
      <c r="F827" s="280"/>
      <c r="G827" s="280"/>
    </row>
    <row r="828">
      <c r="A828" s="280"/>
      <c r="B828" s="280"/>
      <c r="C828" s="280"/>
      <c r="D828" s="280"/>
      <c r="F828" s="280"/>
      <c r="G828" s="280"/>
    </row>
    <row r="829">
      <c r="A829" s="280"/>
      <c r="B829" s="280"/>
      <c r="C829" s="280"/>
      <c r="D829" s="280"/>
      <c r="F829" s="280"/>
      <c r="G829" s="280"/>
    </row>
    <row r="830">
      <c r="A830" s="280"/>
      <c r="B830" s="280"/>
      <c r="C830" s="280"/>
      <c r="D830" s="280"/>
      <c r="F830" s="280"/>
      <c r="G830" s="280"/>
    </row>
    <row r="831">
      <c r="A831" s="280"/>
      <c r="B831" s="280"/>
      <c r="C831" s="280"/>
      <c r="D831" s="280"/>
      <c r="F831" s="280"/>
      <c r="G831" s="280"/>
    </row>
    <row r="832">
      <c r="A832" s="280"/>
      <c r="B832" s="280"/>
      <c r="C832" s="280"/>
      <c r="D832" s="280"/>
      <c r="F832" s="280"/>
      <c r="G832" s="280"/>
    </row>
    <row r="833">
      <c r="A833" s="280"/>
      <c r="B833" s="280"/>
      <c r="C833" s="280"/>
      <c r="D833" s="280"/>
      <c r="F833" s="280"/>
      <c r="G833" s="280"/>
    </row>
    <row r="834">
      <c r="A834" s="280"/>
      <c r="B834" s="280"/>
      <c r="C834" s="280"/>
      <c r="D834" s="280"/>
      <c r="F834" s="280"/>
      <c r="G834" s="280"/>
    </row>
    <row r="835">
      <c r="A835" s="280"/>
      <c r="B835" s="280"/>
      <c r="C835" s="280"/>
      <c r="D835" s="280"/>
      <c r="F835" s="280"/>
      <c r="G835" s="280"/>
    </row>
    <row r="836">
      <c r="A836" s="280"/>
      <c r="B836" s="280"/>
      <c r="C836" s="280"/>
      <c r="D836" s="280"/>
      <c r="F836" s="280"/>
      <c r="G836" s="280"/>
    </row>
    <row r="837">
      <c r="A837" s="280"/>
      <c r="B837" s="280"/>
      <c r="C837" s="280"/>
      <c r="D837" s="280"/>
      <c r="F837" s="280"/>
      <c r="G837" s="280"/>
    </row>
    <row r="838">
      <c r="A838" s="280"/>
      <c r="B838" s="280"/>
      <c r="C838" s="280"/>
      <c r="D838" s="280"/>
      <c r="F838" s="280"/>
      <c r="G838" s="280"/>
    </row>
    <row r="839">
      <c r="A839" s="280"/>
      <c r="B839" s="280"/>
      <c r="C839" s="280"/>
      <c r="D839" s="280"/>
      <c r="F839" s="280"/>
      <c r="G839" s="280"/>
    </row>
    <row r="840">
      <c r="A840" s="280"/>
      <c r="B840" s="280"/>
      <c r="C840" s="280"/>
      <c r="D840" s="280"/>
      <c r="F840" s="280"/>
      <c r="G840" s="280"/>
    </row>
    <row r="841">
      <c r="A841" s="280"/>
      <c r="B841" s="280"/>
      <c r="C841" s="280"/>
      <c r="D841" s="280"/>
      <c r="F841" s="280"/>
      <c r="G841" s="280"/>
    </row>
    <row r="842">
      <c r="A842" s="280"/>
      <c r="B842" s="280"/>
      <c r="C842" s="280"/>
      <c r="D842" s="280"/>
      <c r="F842" s="280"/>
      <c r="G842" s="280"/>
    </row>
    <row r="843">
      <c r="A843" s="280"/>
      <c r="B843" s="280"/>
      <c r="C843" s="280"/>
      <c r="D843" s="280"/>
      <c r="F843" s="280"/>
      <c r="G843" s="280"/>
    </row>
    <row r="844">
      <c r="A844" s="280"/>
      <c r="B844" s="280"/>
      <c r="C844" s="280"/>
      <c r="D844" s="280"/>
      <c r="F844" s="280"/>
      <c r="G844" s="280"/>
    </row>
    <row r="845">
      <c r="A845" s="280"/>
      <c r="B845" s="280"/>
      <c r="C845" s="280"/>
      <c r="D845" s="280"/>
      <c r="F845" s="280"/>
      <c r="G845" s="280"/>
    </row>
    <row r="846">
      <c r="A846" s="280"/>
      <c r="B846" s="280"/>
      <c r="C846" s="280"/>
      <c r="D846" s="280"/>
      <c r="F846" s="280"/>
      <c r="G846" s="280"/>
    </row>
    <row r="847">
      <c r="A847" s="280"/>
      <c r="B847" s="280"/>
      <c r="C847" s="280"/>
      <c r="D847" s="280"/>
      <c r="F847" s="280"/>
      <c r="G847" s="280"/>
    </row>
    <row r="848">
      <c r="A848" s="280"/>
      <c r="B848" s="280"/>
      <c r="C848" s="280"/>
      <c r="D848" s="280"/>
      <c r="F848" s="280"/>
      <c r="G848" s="280"/>
    </row>
    <row r="849">
      <c r="A849" s="280"/>
      <c r="B849" s="280"/>
      <c r="C849" s="280"/>
      <c r="D849" s="280"/>
      <c r="F849" s="280"/>
      <c r="G849" s="280"/>
    </row>
    <row r="850">
      <c r="A850" s="280"/>
      <c r="B850" s="280"/>
      <c r="C850" s="280"/>
      <c r="D850" s="280"/>
      <c r="F850" s="280"/>
      <c r="G850" s="280"/>
    </row>
    <row r="851">
      <c r="A851" s="280"/>
      <c r="B851" s="280"/>
      <c r="C851" s="280"/>
      <c r="D851" s="280"/>
      <c r="F851" s="280"/>
      <c r="G851" s="280"/>
    </row>
    <row r="852">
      <c r="A852" s="280"/>
      <c r="B852" s="280"/>
      <c r="C852" s="280"/>
      <c r="D852" s="280"/>
      <c r="F852" s="280"/>
      <c r="G852" s="280"/>
    </row>
    <row r="853">
      <c r="A853" s="280"/>
      <c r="B853" s="280"/>
      <c r="C853" s="280"/>
      <c r="D853" s="280"/>
      <c r="F853" s="280"/>
      <c r="G853" s="280"/>
    </row>
    <row r="854">
      <c r="A854" s="280"/>
      <c r="B854" s="280"/>
      <c r="C854" s="280"/>
      <c r="D854" s="280"/>
      <c r="F854" s="280"/>
      <c r="G854" s="280"/>
    </row>
    <row r="855">
      <c r="A855" s="280"/>
      <c r="B855" s="280"/>
      <c r="C855" s="280"/>
      <c r="D855" s="280"/>
      <c r="F855" s="280"/>
      <c r="G855" s="280"/>
    </row>
    <row r="856">
      <c r="A856" s="280"/>
      <c r="B856" s="280"/>
      <c r="C856" s="280"/>
      <c r="D856" s="280"/>
      <c r="F856" s="280"/>
      <c r="G856" s="280"/>
    </row>
    <row r="857">
      <c r="A857" s="280"/>
      <c r="B857" s="280"/>
      <c r="C857" s="280"/>
      <c r="D857" s="280"/>
      <c r="F857" s="280"/>
      <c r="G857" s="280"/>
    </row>
    <row r="858">
      <c r="A858" s="280"/>
      <c r="B858" s="280"/>
      <c r="C858" s="280"/>
      <c r="D858" s="280"/>
      <c r="F858" s="280"/>
      <c r="G858" s="280"/>
    </row>
    <row r="859">
      <c r="A859" s="280"/>
      <c r="B859" s="280"/>
      <c r="C859" s="280"/>
      <c r="D859" s="280"/>
      <c r="F859" s="280"/>
      <c r="G859" s="280"/>
    </row>
    <row r="860">
      <c r="A860" s="280"/>
      <c r="B860" s="280"/>
      <c r="C860" s="280"/>
      <c r="D860" s="280"/>
      <c r="F860" s="280"/>
      <c r="G860" s="280"/>
    </row>
    <row r="861">
      <c r="A861" s="280"/>
      <c r="B861" s="280"/>
      <c r="C861" s="280"/>
      <c r="D861" s="280"/>
      <c r="F861" s="280"/>
      <c r="G861" s="280"/>
    </row>
    <row r="862">
      <c r="A862" s="280"/>
      <c r="B862" s="280"/>
      <c r="C862" s="280"/>
      <c r="D862" s="280"/>
      <c r="F862" s="280"/>
      <c r="G862" s="280"/>
    </row>
    <row r="863">
      <c r="A863" s="280"/>
      <c r="B863" s="280"/>
      <c r="C863" s="280"/>
      <c r="D863" s="280"/>
      <c r="F863" s="280"/>
      <c r="G863" s="280"/>
    </row>
    <row r="864">
      <c r="A864" s="280"/>
      <c r="B864" s="280"/>
      <c r="C864" s="280"/>
      <c r="D864" s="280"/>
      <c r="F864" s="280"/>
      <c r="G864" s="280"/>
    </row>
    <row r="865">
      <c r="A865" s="280"/>
      <c r="B865" s="280"/>
      <c r="C865" s="280"/>
      <c r="D865" s="280"/>
      <c r="F865" s="280"/>
      <c r="G865" s="280"/>
    </row>
    <row r="866">
      <c r="A866" s="280"/>
      <c r="B866" s="280"/>
      <c r="C866" s="280"/>
      <c r="D866" s="280"/>
      <c r="F866" s="280"/>
      <c r="G866" s="280"/>
    </row>
    <row r="867">
      <c r="A867" s="280"/>
      <c r="B867" s="280"/>
      <c r="C867" s="280"/>
      <c r="D867" s="280"/>
      <c r="F867" s="280"/>
      <c r="G867" s="280"/>
    </row>
    <row r="868">
      <c r="A868" s="280"/>
      <c r="B868" s="280"/>
      <c r="C868" s="280"/>
      <c r="D868" s="280"/>
      <c r="F868" s="280"/>
      <c r="G868" s="280"/>
    </row>
    <row r="869">
      <c r="A869" s="280"/>
      <c r="B869" s="280"/>
      <c r="C869" s="280"/>
      <c r="D869" s="280"/>
      <c r="F869" s="280"/>
      <c r="G869" s="280"/>
    </row>
    <row r="870">
      <c r="A870" s="280"/>
      <c r="B870" s="280"/>
      <c r="C870" s="280"/>
      <c r="D870" s="280"/>
      <c r="F870" s="280"/>
      <c r="G870" s="280"/>
    </row>
    <row r="871">
      <c r="A871" s="280"/>
      <c r="B871" s="280"/>
      <c r="C871" s="280"/>
      <c r="D871" s="280"/>
      <c r="F871" s="280"/>
      <c r="G871" s="280"/>
    </row>
    <row r="872">
      <c r="A872" s="280"/>
      <c r="B872" s="280"/>
      <c r="C872" s="280"/>
      <c r="D872" s="280"/>
      <c r="F872" s="280"/>
      <c r="G872" s="280"/>
    </row>
    <row r="873">
      <c r="A873" s="280"/>
      <c r="B873" s="280"/>
      <c r="C873" s="280"/>
      <c r="D873" s="280"/>
      <c r="F873" s="280"/>
      <c r="G873" s="280"/>
    </row>
    <row r="874">
      <c r="A874" s="280"/>
      <c r="B874" s="280"/>
      <c r="C874" s="280"/>
      <c r="D874" s="280"/>
      <c r="F874" s="280"/>
      <c r="G874" s="280"/>
    </row>
    <row r="875">
      <c r="A875" s="280"/>
      <c r="B875" s="280"/>
      <c r="C875" s="280"/>
      <c r="D875" s="280"/>
      <c r="F875" s="280"/>
      <c r="G875" s="280"/>
    </row>
    <row r="876">
      <c r="A876" s="280"/>
      <c r="B876" s="280"/>
      <c r="C876" s="280"/>
      <c r="D876" s="280"/>
      <c r="F876" s="280"/>
      <c r="G876" s="280"/>
    </row>
    <row r="877">
      <c r="A877" s="280"/>
      <c r="B877" s="280"/>
      <c r="C877" s="280"/>
      <c r="D877" s="280"/>
      <c r="F877" s="280"/>
      <c r="G877" s="280"/>
    </row>
    <row r="878">
      <c r="A878" s="280"/>
      <c r="B878" s="280"/>
      <c r="C878" s="280"/>
      <c r="D878" s="280"/>
      <c r="F878" s="280"/>
      <c r="G878" s="280"/>
    </row>
    <row r="879">
      <c r="A879" s="280"/>
      <c r="B879" s="280"/>
      <c r="C879" s="280"/>
      <c r="D879" s="280"/>
      <c r="F879" s="280"/>
      <c r="G879" s="280"/>
    </row>
    <row r="880">
      <c r="A880" s="280"/>
      <c r="B880" s="280"/>
      <c r="C880" s="280"/>
      <c r="D880" s="280"/>
      <c r="F880" s="280"/>
      <c r="G880" s="280"/>
    </row>
    <row r="881">
      <c r="A881" s="280"/>
      <c r="B881" s="280"/>
      <c r="C881" s="280"/>
      <c r="D881" s="280"/>
      <c r="F881" s="280"/>
      <c r="G881" s="280"/>
    </row>
    <row r="882">
      <c r="A882" s="280"/>
      <c r="B882" s="280"/>
      <c r="C882" s="280"/>
      <c r="D882" s="280"/>
      <c r="F882" s="280"/>
      <c r="G882" s="280"/>
    </row>
    <row r="883">
      <c r="A883" s="280"/>
      <c r="B883" s="280"/>
      <c r="C883" s="280"/>
      <c r="D883" s="280"/>
      <c r="F883" s="280"/>
      <c r="G883" s="280"/>
    </row>
    <row r="884">
      <c r="A884" s="280"/>
      <c r="B884" s="280"/>
      <c r="C884" s="280"/>
      <c r="D884" s="280"/>
      <c r="F884" s="280"/>
      <c r="G884" s="280"/>
    </row>
    <row r="885">
      <c r="A885" s="280"/>
      <c r="B885" s="280"/>
      <c r="C885" s="280"/>
      <c r="D885" s="280"/>
      <c r="F885" s="280"/>
      <c r="G885" s="280"/>
    </row>
    <row r="886">
      <c r="A886" s="280"/>
      <c r="B886" s="280"/>
      <c r="C886" s="280"/>
      <c r="D886" s="280"/>
      <c r="F886" s="280"/>
      <c r="G886" s="280"/>
    </row>
    <row r="887">
      <c r="A887" s="280"/>
      <c r="B887" s="280"/>
      <c r="C887" s="280"/>
      <c r="D887" s="280"/>
      <c r="F887" s="280"/>
      <c r="G887" s="280"/>
    </row>
    <row r="888">
      <c r="A888" s="280"/>
      <c r="B888" s="280"/>
      <c r="C888" s="280"/>
      <c r="D888" s="280"/>
      <c r="F888" s="280"/>
      <c r="G888" s="280"/>
    </row>
    <row r="889">
      <c r="A889" s="280"/>
      <c r="B889" s="280"/>
      <c r="C889" s="280"/>
      <c r="D889" s="280"/>
      <c r="F889" s="280"/>
      <c r="G889" s="280"/>
    </row>
    <row r="890">
      <c r="A890" s="280"/>
      <c r="B890" s="280"/>
      <c r="C890" s="280"/>
      <c r="D890" s="280"/>
      <c r="F890" s="280"/>
      <c r="G890" s="280"/>
    </row>
    <row r="891">
      <c r="A891" s="280"/>
      <c r="B891" s="280"/>
      <c r="C891" s="280"/>
      <c r="D891" s="280"/>
      <c r="F891" s="280"/>
      <c r="G891" s="280"/>
    </row>
    <row r="892">
      <c r="A892" s="280"/>
      <c r="B892" s="280"/>
      <c r="C892" s="280"/>
      <c r="D892" s="280"/>
      <c r="F892" s="280"/>
      <c r="G892" s="280"/>
    </row>
    <row r="893">
      <c r="A893" s="280"/>
      <c r="B893" s="280"/>
      <c r="C893" s="280"/>
      <c r="D893" s="280"/>
      <c r="F893" s="280"/>
      <c r="G893" s="280"/>
    </row>
    <row r="894">
      <c r="A894" s="280"/>
      <c r="B894" s="280"/>
      <c r="C894" s="280"/>
      <c r="D894" s="280"/>
      <c r="F894" s="280"/>
      <c r="G894" s="280"/>
    </row>
    <row r="895">
      <c r="A895" s="280"/>
      <c r="B895" s="280"/>
      <c r="C895" s="280"/>
      <c r="D895" s="280"/>
      <c r="F895" s="280"/>
      <c r="G895" s="280"/>
    </row>
    <row r="896">
      <c r="A896" s="280"/>
      <c r="B896" s="280"/>
      <c r="C896" s="280"/>
      <c r="D896" s="280"/>
      <c r="F896" s="280"/>
      <c r="G896" s="280"/>
    </row>
    <row r="897">
      <c r="A897" s="280"/>
      <c r="B897" s="280"/>
      <c r="C897" s="280"/>
      <c r="D897" s="280"/>
      <c r="F897" s="280"/>
      <c r="G897" s="280"/>
    </row>
    <row r="898">
      <c r="A898" s="280"/>
      <c r="B898" s="280"/>
      <c r="C898" s="280"/>
      <c r="D898" s="280"/>
      <c r="F898" s="280"/>
      <c r="G898" s="280"/>
    </row>
    <row r="899">
      <c r="A899" s="280"/>
      <c r="B899" s="280"/>
      <c r="C899" s="280"/>
      <c r="D899" s="280"/>
      <c r="F899" s="280"/>
      <c r="G899" s="280"/>
    </row>
    <row r="900">
      <c r="A900" s="280"/>
      <c r="B900" s="280"/>
      <c r="C900" s="280"/>
      <c r="D900" s="280"/>
      <c r="F900" s="280"/>
      <c r="G900" s="280"/>
    </row>
    <row r="901">
      <c r="A901" s="280"/>
      <c r="B901" s="280"/>
      <c r="C901" s="280"/>
      <c r="D901" s="280"/>
      <c r="F901" s="280"/>
      <c r="G901" s="280"/>
    </row>
    <row r="902">
      <c r="A902" s="280"/>
      <c r="B902" s="280"/>
      <c r="C902" s="280"/>
      <c r="D902" s="280"/>
      <c r="F902" s="280"/>
      <c r="G902" s="280"/>
    </row>
    <row r="903">
      <c r="A903" s="280"/>
      <c r="B903" s="280"/>
      <c r="C903" s="280"/>
      <c r="D903" s="280"/>
      <c r="F903" s="280"/>
      <c r="G903" s="280"/>
    </row>
    <row r="904">
      <c r="A904" s="280"/>
      <c r="B904" s="280"/>
      <c r="C904" s="280"/>
      <c r="D904" s="280"/>
      <c r="F904" s="280"/>
      <c r="G904" s="280"/>
    </row>
    <row r="905">
      <c r="A905" s="280"/>
      <c r="B905" s="280"/>
      <c r="C905" s="280"/>
      <c r="D905" s="280"/>
      <c r="F905" s="280"/>
      <c r="G905" s="280"/>
    </row>
    <row r="906">
      <c r="A906" s="280"/>
      <c r="B906" s="280"/>
      <c r="C906" s="280"/>
      <c r="D906" s="280"/>
      <c r="F906" s="280"/>
      <c r="G906" s="280"/>
    </row>
    <row r="907">
      <c r="A907" s="280"/>
      <c r="B907" s="280"/>
      <c r="C907" s="280"/>
      <c r="D907" s="280"/>
      <c r="F907" s="280"/>
      <c r="G907" s="280"/>
    </row>
    <row r="908">
      <c r="A908" s="280"/>
      <c r="B908" s="280"/>
      <c r="C908" s="280"/>
      <c r="D908" s="280"/>
      <c r="F908" s="280"/>
      <c r="G908" s="280"/>
    </row>
    <row r="909">
      <c r="A909" s="280"/>
      <c r="B909" s="280"/>
      <c r="C909" s="280"/>
      <c r="D909" s="280"/>
      <c r="F909" s="280"/>
      <c r="G909" s="280"/>
    </row>
    <row r="910">
      <c r="A910" s="280"/>
      <c r="B910" s="280"/>
      <c r="C910" s="280"/>
      <c r="D910" s="280"/>
      <c r="F910" s="280"/>
      <c r="G910" s="280"/>
    </row>
    <row r="911">
      <c r="A911" s="280"/>
      <c r="B911" s="280"/>
      <c r="C911" s="280"/>
      <c r="D911" s="280"/>
      <c r="F911" s="280"/>
      <c r="G911" s="280"/>
    </row>
    <row r="912">
      <c r="A912" s="280"/>
      <c r="B912" s="280"/>
      <c r="C912" s="280"/>
      <c r="D912" s="280"/>
      <c r="F912" s="280"/>
      <c r="G912" s="280"/>
    </row>
    <row r="913">
      <c r="A913" s="280"/>
      <c r="B913" s="280"/>
      <c r="C913" s="280"/>
      <c r="D913" s="280"/>
      <c r="F913" s="280"/>
      <c r="G913" s="280"/>
    </row>
    <row r="914">
      <c r="A914" s="280"/>
      <c r="B914" s="280"/>
      <c r="C914" s="280"/>
      <c r="D914" s="280"/>
      <c r="F914" s="280"/>
      <c r="G914" s="280"/>
    </row>
    <row r="915">
      <c r="A915" s="280"/>
      <c r="B915" s="280"/>
      <c r="C915" s="280"/>
      <c r="D915" s="280"/>
      <c r="F915" s="280"/>
      <c r="G915" s="280"/>
    </row>
    <row r="916">
      <c r="A916" s="280"/>
      <c r="B916" s="280"/>
      <c r="C916" s="280"/>
      <c r="D916" s="280"/>
      <c r="F916" s="280"/>
      <c r="G916" s="280"/>
    </row>
    <row r="917">
      <c r="A917" s="280"/>
      <c r="B917" s="280"/>
      <c r="C917" s="280"/>
      <c r="D917" s="280"/>
      <c r="F917" s="280"/>
      <c r="G917" s="280"/>
    </row>
    <row r="918">
      <c r="A918" s="280"/>
      <c r="B918" s="280"/>
      <c r="C918" s="280"/>
      <c r="D918" s="280"/>
      <c r="F918" s="280"/>
      <c r="G918" s="280"/>
    </row>
    <row r="919">
      <c r="A919" s="280"/>
      <c r="B919" s="280"/>
      <c r="C919" s="280"/>
      <c r="D919" s="280"/>
      <c r="F919" s="280"/>
      <c r="G919" s="280"/>
    </row>
    <row r="920">
      <c r="A920" s="280"/>
      <c r="B920" s="280"/>
      <c r="C920" s="280"/>
      <c r="D920" s="280"/>
      <c r="F920" s="280"/>
      <c r="G920" s="280"/>
    </row>
    <row r="921">
      <c r="A921" s="280"/>
      <c r="B921" s="280"/>
      <c r="C921" s="280"/>
      <c r="D921" s="280"/>
      <c r="F921" s="280"/>
      <c r="G921" s="280"/>
    </row>
    <row r="922">
      <c r="A922" s="280"/>
      <c r="B922" s="280"/>
      <c r="C922" s="280"/>
      <c r="D922" s="280"/>
      <c r="F922" s="280"/>
      <c r="G922" s="280"/>
    </row>
    <row r="923">
      <c r="A923" s="280"/>
      <c r="B923" s="280"/>
      <c r="C923" s="280"/>
      <c r="D923" s="280"/>
      <c r="F923" s="280"/>
      <c r="G923" s="280"/>
    </row>
    <row r="924">
      <c r="A924" s="280"/>
      <c r="B924" s="280"/>
      <c r="C924" s="280"/>
      <c r="D924" s="280"/>
      <c r="F924" s="280"/>
      <c r="G924" s="280"/>
    </row>
    <row r="925">
      <c r="A925" s="280"/>
      <c r="B925" s="280"/>
      <c r="C925" s="280"/>
      <c r="D925" s="280"/>
      <c r="F925" s="280"/>
      <c r="G925" s="280"/>
    </row>
    <row r="926">
      <c r="A926" s="280"/>
      <c r="B926" s="280"/>
      <c r="C926" s="280"/>
      <c r="D926" s="280"/>
      <c r="F926" s="280"/>
      <c r="G926" s="280"/>
    </row>
    <row r="927">
      <c r="A927" s="280"/>
      <c r="B927" s="280"/>
      <c r="C927" s="280"/>
      <c r="D927" s="280"/>
      <c r="F927" s="280"/>
      <c r="G927" s="280"/>
    </row>
    <row r="928">
      <c r="A928" s="280"/>
      <c r="B928" s="280"/>
      <c r="C928" s="280"/>
      <c r="D928" s="280"/>
      <c r="F928" s="280"/>
      <c r="G928" s="280"/>
    </row>
    <row r="929">
      <c r="A929" s="280"/>
      <c r="B929" s="280"/>
      <c r="C929" s="280"/>
      <c r="D929" s="280"/>
      <c r="F929" s="280"/>
      <c r="G929" s="280"/>
    </row>
    <row r="930">
      <c r="A930" s="280"/>
      <c r="B930" s="280"/>
      <c r="C930" s="280"/>
      <c r="D930" s="280"/>
      <c r="F930" s="280"/>
      <c r="G930" s="280"/>
    </row>
    <row r="931">
      <c r="A931" s="280"/>
      <c r="B931" s="280"/>
      <c r="C931" s="280"/>
      <c r="D931" s="280"/>
      <c r="F931" s="280"/>
      <c r="G931" s="280"/>
    </row>
    <row r="932">
      <c r="A932" s="280"/>
      <c r="B932" s="280"/>
      <c r="C932" s="280"/>
      <c r="D932" s="280"/>
      <c r="F932" s="280"/>
      <c r="G932" s="280"/>
    </row>
    <row r="933">
      <c r="A933" s="280"/>
      <c r="B933" s="280"/>
      <c r="C933" s="280"/>
      <c r="D933" s="280"/>
      <c r="F933" s="280"/>
      <c r="G933" s="280"/>
    </row>
    <row r="934">
      <c r="A934" s="280"/>
      <c r="B934" s="280"/>
      <c r="C934" s="280"/>
      <c r="D934" s="280"/>
      <c r="F934" s="280"/>
      <c r="G934" s="280"/>
    </row>
    <row r="935">
      <c r="A935" s="280"/>
      <c r="B935" s="280"/>
      <c r="C935" s="280"/>
      <c r="D935" s="280"/>
      <c r="F935" s="280"/>
      <c r="G935" s="280"/>
    </row>
    <row r="936">
      <c r="A936" s="280"/>
      <c r="B936" s="280"/>
      <c r="C936" s="280"/>
      <c r="D936" s="280"/>
      <c r="F936" s="280"/>
      <c r="G936" s="280"/>
    </row>
    <row r="937">
      <c r="A937" s="280"/>
      <c r="B937" s="280"/>
      <c r="C937" s="280"/>
      <c r="D937" s="280"/>
      <c r="F937" s="280"/>
      <c r="G937" s="280"/>
    </row>
    <row r="938">
      <c r="A938" s="280"/>
      <c r="B938" s="280"/>
      <c r="C938" s="280"/>
      <c r="D938" s="280"/>
      <c r="F938" s="280"/>
      <c r="G938" s="280"/>
    </row>
    <row r="939">
      <c r="A939" s="280"/>
      <c r="B939" s="280"/>
      <c r="C939" s="280"/>
      <c r="D939" s="280"/>
      <c r="F939" s="280"/>
      <c r="G939" s="280"/>
    </row>
    <row r="940">
      <c r="A940" s="280"/>
      <c r="B940" s="280"/>
      <c r="C940" s="280"/>
      <c r="D940" s="280"/>
      <c r="F940" s="280"/>
      <c r="G940" s="280"/>
    </row>
    <row r="941">
      <c r="A941" s="280"/>
      <c r="B941" s="280"/>
      <c r="C941" s="280"/>
      <c r="D941" s="280"/>
      <c r="F941" s="280"/>
      <c r="G941" s="280"/>
    </row>
    <row r="942">
      <c r="A942" s="280"/>
      <c r="B942" s="280"/>
      <c r="C942" s="280"/>
      <c r="D942" s="280"/>
      <c r="F942" s="280"/>
      <c r="G942" s="280"/>
    </row>
    <row r="943">
      <c r="A943" s="280"/>
      <c r="B943" s="280"/>
      <c r="C943" s="280"/>
      <c r="D943" s="280"/>
      <c r="F943" s="280"/>
      <c r="G943" s="280"/>
    </row>
    <row r="944">
      <c r="A944" s="280"/>
      <c r="B944" s="280"/>
      <c r="C944" s="280"/>
      <c r="D944" s="280"/>
      <c r="F944" s="280"/>
      <c r="G944" s="280"/>
    </row>
    <row r="945">
      <c r="A945" s="280"/>
      <c r="B945" s="280"/>
      <c r="C945" s="280"/>
      <c r="D945" s="280"/>
      <c r="F945" s="280"/>
      <c r="G945" s="280"/>
    </row>
    <row r="946">
      <c r="A946" s="280"/>
      <c r="B946" s="280"/>
      <c r="C946" s="280"/>
      <c r="D946" s="280"/>
      <c r="F946" s="280"/>
      <c r="G946" s="280"/>
    </row>
    <row r="947">
      <c r="A947" s="280"/>
      <c r="B947" s="280"/>
      <c r="C947" s="280"/>
      <c r="D947" s="280"/>
      <c r="F947" s="280"/>
      <c r="G947" s="280"/>
    </row>
    <row r="948">
      <c r="A948" s="280"/>
      <c r="B948" s="280"/>
      <c r="C948" s="280"/>
      <c r="D948" s="280"/>
      <c r="F948" s="280"/>
      <c r="G948" s="280"/>
    </row>
    <row r="949">
      <c r="A949" s="280"/>
      <c r="B949" s="280"/>
      <c r="C949" s="280"/>
      <c r="D949" s="280"/>
      <c r="F949" s="280"/>
      <c r="G949" s="280"/>
    </row>
    <row r="950">
      <c r="A950" s="280"/>
      <c r="B950" s="280"/>
      <c r="C950" s="280"/>
      <c r="D950" s="280"/>
      <c r="F950" s="280"/>
      <c r="G950" s="280"/>
    </row>
    <row r="951">
      <c r="A951" s="280"/>
      <c r="B951" s="280"/>
      <c r="C951" s="280"/>
      <c r="D951" s="280"/>
      <c r="F951" s="280"/>
      <c r="G951" s="280"/>
    </row>
    <row r="952">
      <c r="A952" s="280"/>
      <c r="B952" s="280"/>
      <c r="C952" s="280"/>
      <c r="D952" s="280"/>
      <c r="F952" s="280"/>
      <c r="G952" s="280"/>
    </row>
    <row r="953">
      <c r="A953" s="280"/>
      <c r="B953" s="280"/>
      <c r="C953" s="280"/>
      <c r="D953" s="280"/>
      <c r="F953" s="280"/>
      <c r="G953" s="280"/>
    </row>
    <row r="954">
      <c r="A954" s="280"/>
      <c r="B954" s="280"/>
      <c r="C954" s="280"/>
      <c r="D954" s="280"/>
      <c r="F954" s="280"/>
      <c r="G954" s="280"/>
    </row>
    <row r="955">
      <c r="A955" s="280"/>
      <c r="B955" s="280"/>
      <c r="C955" s="280"/>
      <c r="D955" s="280"/>
      <c r="F955" s="280"/>
      <c r="G955" s="280"/>
    </row>
    <row r="956">
      <c r="A956" s="280"/>
      <c r="B956" s="280"/>
      <c r="C956" s="280"/>
      <c r="D956" s="280"/>
      <c r="F956" s="280"/>
      <c r="G956" s="280"/>
    </row>
    <row r="957">
      <c r="A957" s="280"/>
      <c r="B957" s="280"/>
      <c r="C957" s="280"/>
      <c r="D957" s="280"/>
      <c r="F957" s="280"/>
      <c r="G957" s="280"/>
    </row>
    <row r="958">
      <c r="A958" s="280"/>
      <c r="B958" s="280"/>
      <c r="C958" s="280"/>
      <c r="D958" s="280"/>
      <c r="F958" s="280"/>
      <c r="G958" s="280"/>
    </row>
    <row r="959">
      <c r="A959" s="280"/>
      <c r="B959" s="280"/>
      <c r="C959" s="280"/>
      <c r="D959" s="280"/>
      <c r="F959" s="280"/>
      <c r="G959" s="280"/>
    </row>
    <row r="960">
      <c r="A960" s="280"/>
      <c r="B960" s="280"/>
      <c r="C960" s="280"/>
      <c r="D960" s="280"/>
      <c r="F960" s="280"/>
      <c r="G960" s="280"/>
    </row>
    <row r="961">
      <c r="A961" s="280"/>
      <c r="B961" s="280"/>
      <c r="C961" s="280"/>
      <c r="D961" s="280"/>
      <c r="F961" s="280"/>
      <c r="G961" s="280"/>
    </row>
    <row r="962">
      <c r="A962" s="280"/>
      <c r="B962" s="280"/>
      <c r="C962" s="280"/>
      <c r="D962" s="280"/>
      <c r="F962" s="280"/>
      <c r="G962" s="280"/>
    </row>
    <row r="963">
      <c r="A963" s="280"/>
      <c r="B963" s="280"/>
      <c r="C963" s="280"/>
      <c r="D963" s="280"/>
      <c r="F963" s="280"/>
      <c r="G963" s="280"/>
    </row>
    <row r="964">
      <c r="A964" s="280"/>
      <c r="B964" s="280"/>
      <c r="C964" s="280"/>
      <c r="D964" s="280"/>
      <c r="F964" s="280"/>
      <c r="G964" s="280"/>
    </row>
    <row r="965">
      <c r="A965" s="280"/>
      <c r="B965" s="280"/>
      <c r="C965" s="280"/>
      <c r="D965" s="280"/>
      <c r="F965" s="280"/>
      <c r="G965" s="280"/>
    </row>
    <row r="966">
      <c r="A966" s="280"/>
      <c r="B966" s="280"/>
      <c r="C966" s="280"/>
      <c r="D966" s="280"/>
      <c r="F966" s="280"/>
      <c r="G966" s="280"/>
    </row>
    <row r="967">
      <c r="A967" s="280"/>
      <c r="B967" s="280"/>
      <c r="C967" s="280"/>
      <c r="D967" s="280"/>
      <c r="F967" s="280"/>
      <c r="G967" s="280"/>
    </row>
    <row r="968">
      <c r="A968" s="280"/>
      <c r="B968" s="280"/>
      <c r="C968" s="280"/>
      <c r="D968" s="280"/>
      <c r="F968" s="280"/>
      <c r="G968" s="280"/>
    </row>
    <row r="969">
      <c r="A969" s="280"/>
      <c r="B969" s="280"/>
      <c r="C969" s="280"/>
      <c r="D969" s="280"/>
      <c r="F969" s="280"/>
      <c r="G969" s="280"/>
    </row>
    <row r="970">
      <c r="A970" s="280"/>
      <c r="B970" s="280"/>
      <c r="C970" s="280"/>
      <c r="D970" s="280"/>
      <c r="F970" s="280"/>
      <c r="G970" s="280"/>
    </row>
    <row r="971">
      <c r="A971" s="280"/>
      <c r="B971" s="280"/>
      <c r="C971" s="280"/>
      <c r="D971" s="280"/>
      <c r="F971" s="280"/>
      <c r="G971" s="280"/>
    </row>
    <row r="972">
      <c r="A972" s="280"/>
      <c r="B972" s="280"/>
      <c r="C972" s="280"/>
      <c r="D972" s="280"/>
      <c r="F972" s="280"/>
      <c r="G972" s="280"/>
    </row>
    <row r="973">
      <c r="A973" s="280"/>
      <c r="B973" s="280"/>
      <c r="C973" s="280"/>
      <c r="D973" s="280"/>
      <c r="F973" s="280"/>
      <c r="G973" s="280"/>
    </row>
    <row r="974">
      <c r="A974" s="280"/>
      <c r="B974" s="280"/>
      <c r="C974" s="280"/>
      <c r="D974" s="280"/>
      <c r="F974" s="280"/>
      <c r="G974" s="280"/>
    </row>
    <row r="975">
      <c r="A975" s="280"/>
      <c r="B975" s="280"/>
      <c r="C975" s="280"/>
      <c r="D975" s="280"/>
      <c r="F975" s="280"/>
      <c r="G975" s="280"/>
    </row>
    <row r="976">
      <c r="A976" s="280"/>
      <c r="B976" s="280"/>
      <c r="C976" s="280"/>
      <c r="D976" s="280"/>
      <c r="F976" s="280"/>
      <c r="G976" s="280"/>
    </row>
    <row r="977">
      <c r="A977" s="280"/>
      <c r="B977" s="280"/>
      <c r="C977" s="280"/>
      <c r="D977" s="280"/>
      <c r="F977" s="280"/>
      <c r="G977" s="280"/>
    </row>
    <row r="978">
      <c r="A978" s="280"/>
      <c r="B978" s="280"/>
      <c r="C978" s="280"/>
      <c r="D978" s="280"/>
      <c r="F978" s="280"/>
      <c r="G978" s="280"/>
    </row>
    <row r="979">
      <c r="A979" s="280"/>
      <c r="B979" s="280"/>
      <c r="C979" s="280"/>
      <c r="D979" s="280"/>
      <c r="F979" s="280"/>
      <c r="G979" s="280"/>
    </row>
    <row r="980">
      <c r="A980" s="280"/>
      <c r="B980" s="280"/>
      <c r="C980" s="280"/>
      <c r="D980" s="280"/>
      <c r="F980" s="280"/>
      <c r="G980" s="280"/>
    </row>
    <row r="981">
      <c r="A981" s="280"/>
      <c r="B981" s="280"/>
      <c r="C981" s="280"/>
      <c r="D981" s="280"/>
      <c r="F981" s="280"/>
      <c r="G981" s="280"/>
    </row>
    <row r="982">
      <c r="A982" s="280"/>
      <c r="B982" s="280"/>
      <c r="C982" s="280"/>
      <c r="D982" s="280"/>
      <c r="F982" s="280"/>
      <c r="G982" s="280"/>
    </row>
    <row r="983">
      <c r="A983" s="280"/>
      <c r="B983" s="280"/>
      <c r="C983" s="280"/>
      <c r="D983" s="280"/>
      <c r="F983" s="280"/>
      <c r="G983" s="280"/>
    </row>
    <row r="984">
      <c r="A984" s="280"/>
      <c r="B984" s="280"/>
      <c r="C984" s="280"/>
      <c r="D984" s="280"/>
      <c r="F984" s="280"/>
      <c r="G984" s="280"/>
    </row>
    <row r="985">
      <c r="A985" s="280"/>
      <c r="B985" s="280"/>
      <c r="C985" s="280"/>
      <c r="D985" s="280"/>
      <c r="F985" s="280"/>
      <c r="G985" s="280"/>
    </row>
    <row r="986">
      <c r="A986" s="280"/>
      <c r="B986" s="280"/>
      <c r="C986" s="280"/>
      <c r="D986" s="280"/>
      <c r="F986" s="280"/>
      <c r="G986" s="280"/>
    </row>
    <row r="987">
      <c r="A987" s="280"/>
      <c r="B987" s="280"/>
      <c r="C987" s="280"/>
      <c r="D987" s="280"/>
      <c r="F987" s="280"/>
      <c r="G987" s="280"/>
    </row>
    <row r="988">
      <c r="A988" s="280"/>
      <c r="B988" s="280"/>
      <c r="C988" s="280"/>
      <c r="D988" s="280"/>
      <c r="F988" s="280"/>
      <c r="G988" s="280"/>
    </row>
    <row r="989">
      <c r="A989" s="280"/>
      <c r="B989" s="280"/>
      <c r="C989" s="280"/>
      <c r="D989" s="280"/>
      <c r="F989" s="280"/>
      <c r="G989" s="280"/>
    </row>
    <row r="990">
      <c r="A990" s="280"/>
      <c r="B990" s="280"/>
      <c r="C990" s="280"/>
      <c r="D990" s="280"/>
      <c r="F990" s="280"/>
      <c r="G990" s="280"/>
    </row>
    <row r="991">
      <c r="A991" s="280"/>
      <c r="B991" s="280"/>
      <c r="C991" s="280"/>
      <c r="D991" s="280"/>
      <c r="F991" s="280"/>
      <c r="G991" s="280"/>
    </row>
    <row r="992">
      <c r="A992" s="280"/>
      <c r="B992" s="280"/>
      <c r="C992" s="280"/>
      <c r="D992" s="280"/>
      <c r="F992" s="280"/>
      <c r="G992" s="280"/>
    </row>
    <row r="993">
      <c r="A993" s="280"/>
      <c r="B993" s="280"/>
      <c r="C993" s="280"/>
      <c r="D993" s="280"/>
      <c r="F993" s="280"/>
      <c r="G993" s="280"/>
    </row>
    <row r="994">
      <c r="A994" s="280"/>
      <c r="B994" s="280"/>
      <c r="C994" s="280"/>
      <c r="D994" s="280"/>
      <c r="F994" s="280"/>
      <c r="G994" s="280"/>
    </row>
    <row r="995">
      <c r="A995" s="280"/>
      <c r="B995" s="280"/>
      <c r="C995" s="280"/>
      <c r="D995" s="280"/>
      <c r="F995" s="280"/>
      <c r="G995" s="280"/>
    </row>
    <row r="996">
      <c r="A996" s="280"/>
      <c r="B996" s="280"/>
      <c r="C996" s="280"/>
      <c r="D996" s="280"/>
      <c r="F996" s="280"/>
      <c r="G996" s="280"/>
    </row>
    <row r="997">
      <c r="A997" s="280"/>
      <c r="B997" s="280"/>
      <c r="C997" s="280"/>
      <c r="D997" s="280"/>
      <c r="F997" s="280"/>
      <c r="G997" s="280"/>
    </row>
    <row r="998">
      <c r="A998" s="280"/>
      <c r="B998" s="280"/>
      <c r="C998" s="280"/>
      <c r="D998" s="280"/>
      <c r="F998" s="280"/>
      <c r="G998" s="280"/>
    </row>
    <row r="999">
      <c r="A999" s="280"/>
      <c r="B999" s="280"/>
      <c r="C999" s="280"/>
      <c r="D999" s="280"/>
      <c r="F999" s="280"/>
      <c r="G999" s="280"/>
    </row>
    <row r="1000">
      <c r="A1000" s="280"/>
      <c r="B1000" s="280"/>
      <c r="C1000" s="280"/>
      <c r="D1000" s="280"/>
      <c r="F1000" s="280"/>
      <c r="G1000" s="280"/>
    </row>
  </sheetData>
  <autoFilter ref="$A$1:$H$10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2.75"/>
  <cols>
    <col customWidth="1" min="1" max="2" width="7.0"/>
    <col customWidth="1" min="3" max="3" width="43.13"/>
    <col customWidth="1" min="4" max="5" width="10.25"/>
  </cols>
  <sheetData>
    <row r="1" ht="15.75" customHeight="1">
      <c r="A1" s="649"/>
      <c r="B1" s="649"/>
      <c r="C1" s="650"/>
      <c r="D1" s="651"/>
      <c r="E1" s="651"/>
    </row>
    <row r="2" ht="15.75" customHeight="1">
      <c r="A2" s="649"/>
      <c r="B2" s="652">
        <v>1.0</v>
      </c>
      <c r="C2" s="653" t="s">
        <v>2925</v>
      </c>
      <c r="D2" s="654">
        <v>7000.0</v>
      </c>
      <c r="E2" s="651"/>
    </row>
    <row r="3" ht="15.75" customHeight="1">
      <c r="A3" s="649"/>
      <c r="B3" s="655"/>
      <c r="C3" s="653" t="s">
        <v>3663</v>
      </c>
      <c r="D3" s="654">
        <v>14000.0</v>
      </c>
      <c r="E3" s="651"/>
    </row>
    <row r="4" ht="15.75" customHeight="1">
      <c r="A4" s="649"/>
      <c r="B4" s="399"/>
      <c r="C4" s="653" t="s">
        <v>3664</v>
      </c>
      <c r="D4" s="654">
        <v>14000.0</v>
      </c>
      <c r="E4" s="651"/>
    </row>
    <row r="5" ht="15.75" customHeight="1">
      <c r="A5" s="649"/>
      <c r="B5" s="652">
        <v>2.0</v>
      </c>
      <c r="C5" s="653" t="s">
        <v>3665</v>
      </c>
      <c r="D5" s="654">
        <v>30000.0</v>
      </c>
      <c r="E5" s="651"/>
    </row>
    <row r="6" ht="15.75" customHeight="1">
      <c r="A6" s="649"/>
      <c r="B6" s="399"/>
      <c r="C6" s="653" t="s">
        <v>3666</v>
      </c>
      <c r="D6" s="654">
        <v>24000.0</v>
      </c>
      <c r="E6" s="651"/>
    </row>
    <row r="7" ht="15.75" customHeight="1">
      <c r="A7" s="649"/>
      <c r="B7" s="652">
        <v>3.0</v>
      </c>
      <c r="C7" s="653" t="s">
        <v>3667</v>
      </c>
      <c r="D7" s="654">
        <v>10000.0</v>
      </c>
      <c r="E7" s="651"/>
    </row>
    <row r="8" ht="15.75" customHeight="1">
      <c r="A8" s="649"/>
      <c r="B8" s="655"/>
      <c r="C8" s="653" t="s">
        <v>3668</v>
      </c>
      <c r="D8" s="654">
        <v>10000.0</v>
      </c>
      <c r="E8" s="651"/>
    </row>
    <row r="9" ht="15.75" customHeight="1">
      <c r="A9" s="649"/>
      <c r="B9" s="399"/>
      <c r="C9" s="653" t="s">
        <v>3669</v>
      </c>
      <c r="D9" s="654">
        <v>7000.0</v>
      </c>
      <c r="E9" s="651"/>
    </row>
    <row r="10" ht="15.75" customHeight="1">
      <c r="A10" s="649"/>
      <c r="B10" s="652">
        <v>4.0</v>
      </c>
      <c r="C10" s="653" t="s">
        <v>3670</v>
      </c>
      <c r="D10" s="654">
        <v>24000.0</v>
      </c>
      <c r="E10" s="651"/>
    </row>
    <row r="11" ht="15.75" customHeight="1">
      <c r="A11" s="649"/>
      <c r="B11" s="655"/>
      <c r="C11" s="653" t="s">
        <v>3671</v>
      </c>
      <c r="D11" s="654">
        <v>24000.0</v>
      </c>
      <c r="E11" s="651"/>
    </row>
    <row r="12" ht="15.75" customHeight="1">
      <c r="A12" s="649"/>
      <c r="B12" s="399"/>
      <c r="C12" s="653" t="s">
        <v>3672</v>
      </c>
      <c r="D12" s="654">
        <v>24000.0</v>
      </c>
      <c r="E12" s="651"/>
    </row>
    <row r="13" ht="15.75" customHeight="1">
      <c r="A13" s="649"/>
      <c r="B13" s="652">
        <v>5.0</v>
      </c>
      <c r="C13" s="653" t="s">
        <v>3673</v>
      </c>
      <c r="D13" s="654">
        <v>42000.0</v>
      </c>
      <c r="E13" s="651"/>
    </row>
    <row r="14" ht="15.75" customHeight="1">
      <c r="A14" s="649"/>
      <c r="B14" s="655"/>
      <c r="C14" s="653" t="s">
        <v>3674</v>
      </c>
      <c r="D14" s="654">
        <v>42000.0</v>
      </c>
      <c r="E14" s="651"/>
    </row>
    <row r="15" ht="15.75" customHeight="1">
      <c r="A15" s="649"/>
      <c r="B15" s="655"/>
      <c r="C15" s="653" t="s">
        <v>2943</v>
      </c>
      <c r="D15" s="654">
        <v>10000.0</v>
      </c>
      <c r="E15" s="651"/>
    </row>
    <row r="16" ht="15.75" customHeight="1">
      <c r="A16" s="649"/>
      <c r="B16" s="399"/>
      <c r="C16" s="653" t="s">
        <v>2944</v>
      </c>
      <c r="D16" s="654">
        <v>10000.0</v>
      </c>
      <c r="E16" s="651"/>
    </row>
    <row r="17" ht="15.75" customHeight="1">
      <c r="A17" s="656"/>
      <c r="B17" s="657">
        <v>6.0</v>
      </c>
      <c r="C17" s="658" t="s">
        <v>3675</v>
      </c>
      <c r="D17" s="654">
        <v>9000.0</v>
      </c>
      <c r="E17" s="651"/>
    </row>
    <row r="18" ht="15.75" customHeight="1">
      <c r="A18" s="656"/>
      <c r="B18" s="655"/>
      <c r="C18" s="653" t="s">
        <v>2954</v>
      </c>
      <c r="D18" s="654">
        <v>13000.0</v>
      </c>
      <c r="E18" s="651"/>
    </row>
    <row r="19" ht="15.75" customHeight="1">
      <c r="A19" s="656"/>
      <c r="B19" s="399"/>
      <c r="C19" s="658" t="s">
        <v>3676</v>
      </c>
      <c r="D19" s="654">
        <v>9000.0</v>
      </c>
      <c r="E19" s="651"/>
    </row>
    <row r="20" ht="15.75" customHeight="1">
      <c r="A20" s="659"/>
      <c r="B20" s="660">
        <v>7.0</v>
      </c>
      <c r="C20" s="661" t="s">
        <v>3677</v>
      </c>
      <c r="D20" s="654">
        <v>9000.0</v>
      </c>
      <c r="E20" s="651"/>
    </row>
    <row r="21" ht="15.75" customHeight="1">
      <c r="A21" s="659"/>
      <c r="B21" s="655"/>
      <c r="C21" s="661" t="s">
        <v>3678</v>
      </c>
      <c r="D21" s="654">
        <v>9000.0</v>
      </c>
      <c r="E21" s="651"/>
    </row>
    <row r="22" ht="15.75" customHeight="1">
      <c r="A22" s="659"/>
      <c r="B22" s="655"/>
      <c r="C22" s="661" t="s">
        <v>3679</v>
      </c>
      <c r="D22" s="654">
        <v>9000.0</v>
      </c>
      <c r="E22" s="651"/>
    </row>
    <row r="23" ht="15.75" customHeight="1">
      <c r="A23" s="659"/>
      <c r="B23" s="655"/>
      <c r="C23" s="661" t="s">
        <v>3680</v>
      </c>
      <c r="D23" s="654">
        <v>9000.0</v>
      </c>
      <c r="E23" s="651"/>
    </row>
    <row r="24" ht="15.75" customHeight="1">
      <c r="A24" s="659"/>
      <c r="B24" s="655"/>
      <c r="C24" s="661" t="s">
        <v>3681</v>
      </c>
      <c r="D24" s="654">
        <v>9000.0</v>
      </c>
      <c r="E24" s="651"/>
    </row>
    <row r="25" ht="15.75" customHeight="1">
      <c r="A25" s="659"/>
      <c r="B25" s="655"/>
      <c r="C25" s="661" t="s">
        <v>3682</v>
      </c>
      <c r="D25" s="654">
        <v>9000.0</v>
      </c>
      <c r="E25" s="651"/>
    </row>
    <row r="26" ht="15.75" customHeight="1">
      <c r="A26" s="659"/>
      <c r="B26" s="655"/>
      <c r="C26" s="661" t="s">
        <v>3683</v>
      </c>
      <c r="D26" s="654">
        <v>9000.0</v>
      </c>
      <c r="E26" s="651"/>
    </row>
    <row r="27" ht="15.75" customHeight="1">
      <c r="A27" s="659"/>
      <c r="B27" s="655"/>
      <c r="C27" s="661" t="s">
        <v>3684</v>
      </c>
      <c r="D27" s="654">
        <v>9000.0</v>
      </c>
      <c r="E27" s="651"/>
    </row>
    <row r="28" ht="15.75" customHeight="1">
      <c r="A28" s="659"/>
      <c r="B28" s="399"/>
      <c r="C28" s="661" t="s">
        <v>3685</v>
      </c>
      <c r="D28" s="654">
        <v>9000.0</v>
      </c>
      <c r="E28" s="651"/>
    </row>
    <row r="29" ht="15.75" customHeight="1">
      <c r="A29" s="662"/>
      <c r="B29" s="663"/>
      <c r="C29" s="664" t="s">
        <v>3686</v>
      </c>
      <c r="D29" s="665">
        <v>24000.0</v>
      </c>
      <c r="E29" s="666"/>
    </row>
    <row r="30" ht="15.75" customHeight="1">
      <c r="A30" s="662"/>
      <c r="B30" s="655"/>
      <c r="C30" s="664" t="s">
        <v>3687</v>
      </c>
      <c r="D30" s="665">
        <v>24000.0</v>
      </c>
      <c r="E30" s="666"/>
    </row>
    <row r="31" ht="15.75" customHeight="1">
      <c r="A31" s="662"/>
      <c r="B31" s="655"/>
      <c r="C31" s="664" t="s">
        <v>3688</v>
      </c>
      <c r="D31" s="665">
        <v>24000.0</v>
      </c>
      <c r="E31" s="666"/>
    </row>
    <row r="32" ht="15.75" customHeight="1">
      <c r="A32" s="662"/>
      <c r="B32" s="655"/>
      <c r="C32" s="664" t="s">
        <v>3689</v>
      </c>
      <c r="D32" s="665">
        <v>24000.0</v>
      </c>
      <c r="E32" s="666"/>
    </row>
    <row r="33" ht="15.75" customHeight="1">
      <c r="A33" s="662"/>
      <c r="B33" s="655"/>
      <c r="C33" s="664" t="s">
        <v>3690</v>
      </c>
      <c r="D33" s="665">
        <v>24000.0</v>
      </c>
      <c r="E33" s="666"/>
    </row>
    <row r="34" ht="15.75" customHeight="1">
      <c r="A34" s="662"/>
      <c r="B34" s="399"/>
      <c r="C34" s="664" t="s">
        <v>3691</v>
      </c>
      <c r="D34" s="665">
        <v>24000.0</v>
      </c>
      <c r="E34" s="666"/>
    </row>
    <row r="35" ht="15.75" customHeight="1">
      <c r="A35" s="659"/>
      <c r="B35" s="660">
        <v>8.0</v>
      </c>
      <c r="C35" s="661" t="s">
        <v>3692</v>
      </c>
      <c r="D35" s="654">
        <v>24000.0</v>
      </c>
      <c r="E35" s="651"/>
    </row>
    <row r="36" ht="15.75" customHeight="1">
      <c r="A36" s="659"/>
      <c r="B36" s="655"/>
      <c r="C36" s="658" t="s">
        <v>3693</v>
      </c>
      <c r="D36" s="654">
        <v>28000.0</v>
      </c>
      <c r="E36" s="651"/>
    </row>
    <row r="37" ht="15.75" customHeight="1">
      <c r="A37" s="659"/>
      <c r="B37" s="399"/>
      <c r="C37" s="653" t="s">
        <v>3694</v>
      </c>
      <c r="D37" s="654">
        <v>9000.0</v>
      </c>
      <c r="E37" s="651"/>
    </row>
    <row r="38" ht="15.75" customHeight="1">
      <c r="A38" s="649"/>
      <c r="B38" s="652">
        <v>9.0</v>
      </c>
      <c r="C38" s="653" t="s">
        <v>2980</v>
      </c>
      <c r="D38" s="654">
        <v>9000.0</v>
      </c>
      <c r="E38" s="651"/>
    </row>
    <row r="39" ht="15.75" customHeight="1">
      <c r="A39" s="649"/>
      <c r="B39" s="655"/>
      <c r="C39" s="653" t="s">
        <v>3695</v>
      </c>
      <c r="D39" s="654">
        <v>9000.0</v>
      </c>
      <c r="E39" s="651"/>
    </row>
    <row r="40" ht="15.75" customHeight="1">
      <c r="A40" s="649"/>
      <c r="B40" s="399"/>
      <c r="C40" s="653" t="s">
        <v>3696</v>
      </c>
      <c r="D40" s="654">
        <v>4000.0</v>
      </c>
      <c r="E40" s="651"/>
    </row>
    <row r="41" ht="15.75" customHeight="1">
      <c r="A41" s="649"/>
      <c r="B41" s="652">
        <v>10.0</v>
      </c>
      <c r="C41" s="653" t="s">
        <v>3697</v>
      </c>
      <c r="D41" s="654">
        <v>9000.0</v>
      </c>
      <c r="E41" s="651"/>
    </row>
    <row r="42" ht="15.75" customHeight="1">
      <c r="A42" s="649"/>
      <c r="B42" s="655"/>
      <c r="C42" s="653" t="s">
        <v>3698</v>
      </c>
      <c r="D42" s="654">
        <v>4000.0</v>
      </c>
      <c r="E42" s="651"/>
    </row>
    <row r="43" ht="15.75" customHeight="1">
      <c r="A43" s="649"/>
      <c r="B43" s="399"/>
      <c r="C43" s="653" t="s">
        <v>2986</v>
      </c>
      <c r="D43" s="654">
        <v>9000.0</v>
      </c>
      <c r="E43" s="651"/>
    </row>
    <row r="44" ht="15.75" customHeight="1">
      <c r="A44" s="662"/>
      <c r="B44" s="663"/>
      <c r="C44" s="664" t="s">
        <v>3699</v>
      </c>
      <c r="D44" s="665">
        <v>42000.0</v>
      </c>
      <c r="E44" s="666"/>
    </row>
    <row r="45" ht="15.75" customHeight="1">
      <c r="A45" s="662"/>
      <c r="B45" s="399"/>
      <c r="C45" s="664" t="s">
        <v>3700</v>
      </c>
      <c r="D45" s="665">
        <v>42000.0</v>
      </c>
      <c r="E45" s="666"/>
    </row>
    <row r="46" ht="15.75" customHeight="1">
      <c r="A46" s="662"/>
      <c r="B46" s="663"/>
      <c r="C46" s="664" t="s">
        <v>3701</v>
      </c>
      <c r="D46" s="665">
        <v>42000.0</v>
      </c>
      <c r="E46" s="666"/>
    </row>
    <row r="47" ht="15.75" customHeight="1">
      <c r="A47" s="662"/>
      <c r="B47" s="399"/>
      <c r="C47" s="664" t="s">
        <v>3702</v>
      </c>
      <c r="D47" s="665">
        <v>42000.0</v>
      </c>
      <c r="E47" s="666"/>
    </row>
    <row r="48" ht="15.75" customHeight="1">
      <c r="A48" s="662"/>
      <c r="B48" s="663"/>
      <c r="C48" s="664" t="s">
        <v>3703</v>
      </c>
      <c r="D48" s="665">
        <v>42000.0</v>
      </c>
      <c r="E48" s="666"/>
    </row>
    <row r="49" ht="15.75" customHeight="1">
      <c r="A49" s="662"/>
      <c r="B49" s="399"/>
      <c r="C49" s="664" t="s">
        <v>3704</v>
      </c>
      <c r="D49" s="665">
        <v>42000.0</v>
      </c>
      <c r="E49" s="666"/>
    </row>
    <row r="50" ht="15.75" customHeight="1">
      <c r="A50" s="662"/>
      <c r="B50" s="667"/>
      <c r="C50" s="664" t="s">
        <v>3705</v>
      </c>
      <c r="D50" s="665">
        <v>42000.0</v>
      </c>
      <c r="E50" s="666"/>
    </row>
    <row r="51" ht="15.75" customHeight="1">
      <c r="A51" s="668"/>
      <c r="B51" s="669"/>
      <c r="C51" s="670" t="s">
        <v>3706</v>
      </c>
      <c r="D51" s="665">
        <v>40000.0</v>
      </c>
      <c r="E51" s="666"/>
    </row>
    <row r="52" ht="15.75" customHeight="1">
      <c r="A52" s="649"/>
      <c r="B52" s="652">
        <v>11.0</v>
      </c>
      <c r="C52" s="653" t="s">
        <v>3004</v>
      </c>
      <c r="D52" s="654">
        <v>9000.0</v>
      </c>
      <c r="E52" s="651"/>
    </row>
    <row r="53" ht="15.75" customHeight="1">
      <c r="A53" s="649"/>
      <c r="B53" s="655"/>
      <c r="C53" s="653" t="s">
        <v>3006</v>
      </c>
      <c r="D53" s="654">
        <v>9000.0</v>
      </c>
      <c r="E53" s="651"/>
    </row>
    <row r="54" ht="15.75" customHeight="1">
      <c r="A54" s="649"/>
      <c r="B54" s="655"/>
      <c r="C54" s="653" t="s">
        <v>3007</v>
      </c>
      <c r="D54" s="654">
        <v>9000.0</v>
      </c>
      <c r="E54" s="651"/>
    </row>
    <row r="55" ht="15.75" customHeight="1">
      <c r="A55" s="649"/>
      <c r="B55" s="655"/>
      <c r="C55" s="653" t="s">
        <v>3707</v>
      </c>
      <c r="D55" s="654">
        <v>9000.0</v>
      </c>
      <c r="E55" s="651"/>
    </row>
    <row r="56" ht="15.75" customHeight="1">
      <c r="A56" s="649"/>
      <c r="B56" s="655"/>
      <c r="C56" s="653" t="s">
        <v>3708</v>
      </c>
      <c r="D56" s="654">
        <v>9000.0</v>
      </c>
      <c r="E56" s="651"/>
    </row>
    <row r="57" ht="15.75" customHeight="1">
      <c r="A57" s="649"/>
      <c r="B57" s="399"/>
      <c r="C57" s="658" t="s">
        <v>3003</v>
      </c>
      <c r="D57" s="654">
        <v>9000.0</v>
      </c>
      <c r="E57" s="651"/>
    </row>
    <row r="58" ht="15.75" customHeight="1">
      <c r="A58" s="668"/>
      <c r="B58" s="669"/>
      <c r="C58" s="670" t="s">
        <v>3709</v>
      </c>
      <c r="D58" s="671">
        <v>34000.0</v>
      </c>
      <c r="E58" s="672"/>
    </row>
    <row r="59" ht="15.75" customHeight="1">
      <c r="A59" s="656"/>
      <c r="B59" s="657">
        <v>12.0</v>
      </c>
      <c r="C59" s="658" t="s">
        <v>3710</v>
      </c>
      <c r="D59" s="654">
        <v>9000.0</v>
      </c>
      <c r="E59" s="651"/>
    </row>
    <row r="60" ht="15.75" customHeight="1">
      <c r="A60" s="656"/>
      <c r="B60" s="399"/>
      <c r="C60" s="653" t="s">
        <v>3711</v>
      </c>
      <c r="D60" s="654">
        <v>9000.0</v>
      </c>
      <c r="E60" s="651"/>
    </row>
    <row r="61" ht="15.75" customHeight="1">
      <c r="A61" s="649"/>
      <c r="B61" s="652">
        <v>13.0</v>
      </c>
      <c r="C61" s="653" t="s">
        <v>3712</v>
      </c>
      <c r="D61" s="654">
        <v>5000.0</v>
      </c>
      <c r="E61" s="651"/>
    </row>
    <row r="62" ht="15.75" customHeight="1">
      <c r="A62" s="649"/>
      <c r="B62" s="399"/>
      <c r="C62" s="653" t="s">
        <v>3713</v>
      </c>
      <c r="D62" s="654">
        <v>7000.0</v>
      </c>
      <c r="E62" s="651"/>
    </row>
    <row r="63" ht="15.75" customHeight="1">
      <c r="A63" s="649"/>
      <c r="B63" s="652">
        <v>14.0</v>
      </c>
      <c r="C63" s="653" t="s">
        <v>3714</v>
      </c>
      <c r="D63" s="654">
        <v>9000.0</v>
      </c>
      <c r="E63" s="651"/>
    </row>
    <row r="64" ht="15.75" customHeight="1">
      <c r="A64" s="649"/>
      <c r="B64" s="399"/>
      <c r="C64" s="653" t="s">
        <v>3715</v>
      </c>
      <c r="D64" s="654">
        <v>9000.0</v>
      </c>
      <c r="E64" s="651"/>
    </row>
    <row r="65" ht="15.75" customHeight="1">
      <c r="A65" s="649"/>
      <c r="B65" s="652">
        <v>15.0</v>
      </c>
      <c r="C65" s="653" t="s">
        <v>3716</v>
      </c>
      <c r="D65" s="654">
        <v>13000.0</v>
      </c>
      <c r="E65" s="651"/>
    </row>
    <row r="66" ht="15.75" customHeight="1">
      <c r="A66" s="649"/>
      <c r="B66" s="399"/>
      <c r="C66" s="653" t="s">
        <v>3021</v>
      </c>
      <c r="D66" s="654">
        <v>48000.0</v>
      </c>
      <c r="E66" s="651"/>
    </row>
    <row r="67" ht="15.75" customHeight="1">
      <c r="A67" s="649"/>
      <c r="B67" s="673">
        <v>16.0</v>
      </c>
      <c r="C67" s="653" t="s">
        <v>3717</v>
      </c>
      <c r="D67" s="654">
        <v>34000.0</v>
      </c>
      <c r="E67" s="651"/>
    </row>
    <row r="68" ht="15.75" customHeight="1">
      <c r="A68" s="649"/>
      <c r="B68" s="673">
        <v>17.0</v>
      </c>
      <c r="C68" s="653" t="s">
        <v>3718</v>
      </c>
      <c r="D68" s="654">
        <v>38000.0</v>
      </c>
      <c r="E68" s="651"/>
    </row>
    <row r="69" ht="15.75" customHeight="1">
      <c r="A69" s="649"/>
      <c r="B69" s="673">
        <v>18.0</v>
      </c>
      <c r="C69" s="653" t="s">
        <v>3719</v>
      </c>
      <c r="D69" s="654">
        <v>34000.0</v>
      </c>
      <c r="E69" s="651"/>
    </row>
    <row r="70" ht="15.75" customHeight="1">
      <c r="A70" s="649"/>
      <c r="B70" s="673">
        <v>19.0</v>
      </c>
      <c r="C70" s="674" t="s">
        <v>3720</v>
      </c>
      <c r="D70" s="654">
        <v>34000.0</v>
      </c>
      <c r="E70" s="651"/>
    </row>
    <row r="71" ht="15.75" customHeight="1">
      <c r="A71" s="649"/>
      <c r="B71" s="673">
        <v>20.0</v>
      </c>
      <c r="C71" s="653" t="s">
        <v>3721</v>
      </c>
      <c r="D71" s="654">
        <v>34000.0</v>
      </c>
      <c r="E71" s="651"/>
    </row>
    <row r="72" ht="15.75" customHeight="1">
      <c r="A72" s="649"/>
      <c r="B72" s="652">
        <v>21.0</v>
      </c>
      <c r="C72" s="653" t="s">
        <v>3029</v>
      </c>
      <c r="D72" s="654">
        <v>9000.0</v>
      </c>
      <c r="E72" s="651"/>
    </row>
    <row r="73" ht="15.75" customHeight="1">
      <c r="A73" s="649"/>
      <c r="B73" s="399"/>
      <c r="C73" s="653" t="s">
        <v>3030</v>
      </c>
      <c r="D73" s="654">
        <v>9000.0</v>
      </c>
      <c r="E73" s="651"/>
    </row>
    <row r="74" ht="15.75" customHeight="1">
      <c r="A74" s="649"/>
      <c r="B74" s="652">
        <v>22.0</v>
      </c>
      <c r="C74" s="653" t="s">
        <v>3722</v>
      </c>
      <c r="D74" s="654">
        <v>20000.0</v>
      </c>
      <c r="E74" s="651"/>
    </row>
    <row r="75" ht="15.75" customHeight="1">
      <c r="A75" s="649"/>
      <c r="B75" s="655"/>
      <c r="C75" s="653" t="s">
        <v>3723</v>
      </c>
      <c r="D75" s="654">
        <v>18000.0</v>
      </c>
      <c r="E75" s="651"/>
    </row>
    <row r="76" ht="15.75" customHeight="1">
      <c r="A76" s="649"/>
      <c r="B76" s="399"/>
      <c r="C76" s="653" t="s">
        <v>3724</v>
      </c>
      <c r="D76" s="654">
        <v>14000.0</v>
      </c>
      <c r="E76" s="651"/>
    </row>
    <row r="77" ht="15.75" customHeight="1">
      <c r="A77" s="649"/>
      <c r="B77" s="673">
        <v>23.0</v>
      </c>
      <c r="C77" s="653" t="s">
        <v>3725</v>
      </c>
      <c r="D77" s="654">
        <v>38000.0</v>
      </c>
      <c r="E77" s="651"/>
    </row>
    <row r="78" ht="15.75" customHeight="1">
      <c r="A78" s="649"/>
      <c r="B78" s="652">
        <v>24.0</v>
      </c>
      <c r="C78" s="653" t="s">
        <v>3726</v>
      </c>
      <c r="D78" s="654">
        <v>14000.0</v>
      </c>
      <c r="E78" s="651"/>
    </row>
    <row r="79" ht="15.75" customHeight="1">
      <c r="A79" s="649"/>
      <c r="B79" s="399"/>
      <c r="C79" s="653" t="s">
        <v>3727</v>
      </c>
      <c r="D79" s="654">
        <v>14000.0</v>
      </c>
      <c r="E79" s="651"/>
    </row>
    <row r="80" ht="15.75" customHeight="1">
      <c r="A80" s="649"/>
      <c r="B80" s="652">
        <v>25.0</v>
      </c>
      <c r="C80" s="653" t="s">
        <v>3728</v>
      </c>
      <c r="D80" s="654">
        <v>14000.0</v>
      </c>
      <c r="E80" s="651"/>
    </row>
    <row r="81" ht="15.75" customHeight="1">
      <c r="A81" s="649"/>
      <c r="B81" s="399"/>
      <c r="C81" s="653" t="s">
        <v>3729</v>
      </c>
      <c r="D81" s="654">
        <v>14000.0</v>
      </c>
      <c r="E81" s="651"/>
    </row>
    <row r="82" ht="15.75" customHeight="1">
      <c r="A82" s="649"/>
      <c r="B82" s="652">
        <v>26.0</v>
      </c>
      <c r="C82" s="653" t="s">
        <v>3730</v>
      </c>
      <c r="D82" s="654">
        <v>42000.0</v>
      </c>
      <c r="E82" s="651"/>
    </row>
    <row r="83" ht="15.75" customHeight="1">
      <c r="A83" s="656"/>
      <c r="B83" s="675"/>
      <c r="C83" s="676" t="s">
        <v>3731</v>
      </c>
      <c r="D83" s="665">
        <v>54000.0</v>
      </c>
      <c r="E83" s="666"/>
    </row>
    <row r="84" ht="15.75" customHeight="1">
      <c r="A84" s="649"/>
      <c r="B84" s="673">
        <v>27.0</v>
      </c>
      <c r="C84" s="653" t="s">
        <v>3732</v>
      </c>
      <c r="D84" s="654">
        <v>16000.0</v>
      </c>
      <c r="E84" s="651"/>
    </row>
    <row r="85" ht="15.75" customHeight="1">
      <c r="A85" s="649"/>
      <c r="B85" s="652">
        <v>28.0</v>
      </c>
      <c r="C85" s="653" t="s">
        <v>3058</v>
      </c>
      <c r="D85" s="654">
        <v>12000.0</v>
      </c>
      <c r="E85" s="651"/>
    </row>
    <row r="86" ht="15.75" customHeight="1">
      <c r="A86" s="649"/>
      <c r="B86" s="399"/>
      <c r="C86" s="653" t="s">
        <v>3060</v>
      </c>
      <c r="D86" s="654">
        <v>12000.0</v>
      </c>
      <c r="E86" s="651"/>
    </row>
    <row r="87" ht="15.75" customHeight="1">
      <c r="A87" s="649"/>
      <c r="B87" s="652">
        <v>29.0</v>
      </c>
      <c r="C87" s="653" t="s">
        <v>3733</v>
      </c>
      <c r="D87" s="654">
        <v>12000.0</v>
      </c>
      <c r="E87" s="651"/>
    </row>
    <row r="88" ht="15.75" customHeight="1">
      <c r="A88" s="649"/>
      <c r="B88" s="399"/>
      <c r="C88" s="653" t="s">
        <v>3734</v>
      </c>
      <c r="D88" s="654">
        <v>12000.0</v>
      </c>
      <c r="E88" s="651"/>
    </row>
    <row r="89" ht="15.75" customHeight="1">
      <c r="A89" s="649"/>
      <c r="B89" s="652">
        <v>30.0</v>
      </c>
      <c r="C89" s="653" t="s">
        <v>3735</v>
      </c>
      <c r="D89" s="654">
        <v>12000.0</v>
      </c>
      <c r="E89" s="651"/>
    </row>
    <row r="90" ht="15.75" customHeight="1">
      <c r="A90" s="649"/>
      <c r="B90" s="655"/>
      <c r="C90" s="653" t="s">
        <v>3736</v>
      </c>
      <c r="D90" s="654">
        <v>12000.0</v>
      </c>
      <c r="E90" s="651"/>
    </row>
    <row r="91" ht="15.75" customHeight="1">
      <c r="A91" s="649"/>
      <c r="B91" s="399"/>
      <c r="C91" s="653" t="s">
        <v>3737</v>
      </c>
      <c r="D91" s="654">
        <v>12000.0</v>
      </c>
      <c r="E91" s="651"/>
    </row>
    <row r="92" ht="15.75" customHeight="1">
      <c r="A92" s="649"/>
      <c r="B92" s="652">
        <v>31.0</v>
      </c>
      <c r="C92" s="658" t="s">
        <v>3738</v>
      </c>
      <c r="D92" s="654">
        <v>12000.0</v>
      </c>
      <c r="E92" s="651"/>
    </row>
    <row r="93" ht="15.75" customHeight="1">
      <c r="A93" s="649"/>
      <c r="B93" s="399"/>
      <c r="C93" s="658" t="s">
        <v>3739</v>
      </c>
      <c r="D93" s="654">
        <v>12000.0</v>
      </c>
      <c r="E93" s="651"/>
    </row>
    <row r="94" ht="15.75" customHeight="1">
      <c r="A94" s="649"/>
      <c r="B94" s="652">
        <v>32.0</v>
      </c>
      <c r="C94" s="653" t="s">
        <v>3066</v>
      </c>
      <c r="D94" s="654">
        <v>12000.0</v>
      </c>
      <c r="E94" s="651"/>
    </row>
    <row r="95" ht="15.75" customHeight="1">
      <c r="A95" s="649"/>
      <c r="B95" s="399"/>
      <c r="C95" s="653" t="s">
        <v>3067</v>
      </c>
      <c r="D95" s="654">
        <v>12000.0</v>
      </c>
      <c r="E95" s="651"/>
    </row>
    <row r="96" ht="15.75" customHeight="1">
      <c r="A96" s="649"/>
      <c r="B96" s="652">
        <v>33.0</v>
      </c>
      <c r="C96" s="653" t="s">
        <v>3740</v>
      </c>
      <c r="D96" s="654">
        <v>9000.0</v>
      </c>
      <c r="E96" s="651"/>
    </row>
    <row r="97" ht="15.75" customHeight="1">
      <c r="A97" s="649"/>
      <c r="B97" s="655"/>
      <c r="C97" s="653" t="s">
        <v>3741</v>
      </c>
      <c r="D97" s="654">
        <v>9000.0</v>
      </c>
      <c r="E97" s="651"/>
    </row>
    <row r="98" ht="15.75" customHeight="1">
      <c r="A98" s="649"/>
      <c r="B98" s="399"/>
      <c r="C98" s="653" t="s">
        <v>3742</v>
      </c>
      <c r="D98" s="654">
        <v>9000.0</v>
      </c>
      <c r="E98" s="651"/>
    </row>
    <row r="99" ht="15.75" customHeight="1">
      <c r="A99" s="649"/>
      <c r="B99" s="652">
        <v>34.0</v>
      </c>
      <c r="C99" s="653" t="s">
        <v>2945</v>
      </c>
      <c r="D99" s="654">
        <v>9000.0</v>
      </c>
      <c r="E99" s="651"/>
    </row>
    <row r="100" ht="15.75" customHeight="1">
      <c r="A100" s="649"/>
      <c r="B100" s="399"/>
      <c r="C100" s="653" t="s">
        <v>3046</v>
      </c>
      <c r="D100" s="654">
        <v>17000.0</v>
      </c>
      <c r="E100" s="651"/>
    </row>
    <row r="101" ht="15.75" customHeight="1">
      <c r="A101" s="649"/>
      <c r="B101" s="673"/>
      <c r="C101" s="653"/>
      <c r="D101" s="654"/>
      <c r="E101" s="651"/>
    </row>
    <row r="102" ht="15.75" customHeight="1">
      <c r="A102" s="649"/>
      <c r="B102" s="673"/>
      <c r="C102" s="653"/>
      <c r="D102" s="654"/>
      <c r="E102" s="651"/>
    </row>
    <row r="103" ht="15.75" customHeight="1">
      <c r="A103" s="649"/>
      <c r="B103" s="652">
        <v>35.0</v>
      </c>
      <c r="C103" s="653" t="s">
        <v>3743</v>
      </c>
      <c r="D103" s="654">
        <v>9000.0</v>
      </c>
      <c r="E103" s="651"/>
    </row>
    <row r="104" ht="15.75" customHeight="1">
      <c r="A104" s="649"/>
      <c r="B104" s="655"/>
      <c r="C104" s="653" t="s">
        <v>3744</v>
      </c>
      <c r="D104" s="654">
        <v>9000.0</v>
      </c>
      <c r="E104" s="651"/>
    </row>
    <row r="105" ht="15.75" customHeight="1">
      <c r="A105" s="649"/>
      <c r="B105" s="655"/>
      <c r="C105" s="653" t="s">
        <v>3745</v>
      </c>
      <c r="D105" s="654">
        <v>9000.0</v>
      </c>
      <c r="E105" s="651"/>
    </row>
    <row r="106" ht="15.75" customHeight="1">
      <c r="A106" s="649"/>
      <c r="B106" s="399"/>
      <c r="C106" s="653" t="s">
        <v>3746</v>
      </c>
      <c r="D106" s="654">
        <v>9000.0</v>
      </c>
      <c r="E106" s="651"/>
    </row>
    <row r="107" ht="15.75" customHeight="1">
      <c r="A107" s="649"/>
      <c r="B107" s="652">
        <v>36.0</v>
      </c>
      <c r="C107" s="653" t="s">
        <v>3747</v>
      </c>
      <c r="D107" s="654">
        <v>40000.0</v>
      </c>
      <c r="E107" s="651"/>
    </row>
    <row r="108" ht="15.75" customHeight="1">
      <c r="A108" s="649"/>
      <c r="B108" s="399"/>
      <c r="C108" s="653" t="s">
        <v>3748</v>
      </c>
      <c r="D108" s="654">
        <v>80000.0</v>
      </c>
      <c r="E108" s="651"/>
    </row>
    <row r="109" ht="15.75" customHeight="1">
      <c r="A109" s="649"/>
      <c r="B109" s="652">
        <v>37.0</v>
      </c>
      <c r="C109" s="677" t="s">
        <v>3749</v>
      </c>
      <c r="D109" s="654">
        <v>48000.0</v>
      </c>
      <c r="E109" s="651"/>
    </row>
    <row r="110" ht="15.75" customHeight="1">
      <c r="A110" s="649"/>
      <c r="B110" s="399"/>
      <c r="C110" s="653" t="s">
        <v>3750</v>
      </c>
      <c r="D110" s="654">
        <v>34000.0</v>
      </c>
      <c r="E110" s="651"/>
    </row>
    <row r="111" ht="15.75" customHeight="1">
      <c r="A111" s="649"/>
      <c r="B111" s="652">
        <v>38.0</v>
      </c>
      <c r="C111" s="653" t="s">
        <v>3751</v>
      </c>
      <c r="D111" s="654">
        <v>38000.0</v>
      </c>
      <c r="E111" s="651"/>
    </row>
    <row r="112" ht="15.75" customHeight="1">
      <c r="A112" s="649"/>
      <c r="B112" s="399"/>
      <c r="C112" s="677" t="s">
        <v>3752</v>
      </c>
      <c r="D112" s="654">
        <v>34000.0</v>
      </c>
      <c r="E112" s="651"/>
    </row>
    <row r="113" ht="15.75" customHeight="1">
      <c r="A113" s="649"/>
      <c r="B113" s="652">
        <v>39.0</v>
      </c>
      <c r="C113" s="653" t="s">
        <v>3048</v>
      </c>
      <c r="D113" s="654">
        <v>46000.0</v>
      </c>
      <c r="E113" s="651"/>
    </row>
    <row r="114" ht="15.75" customHeight="1">
      <c r="A114" s="649"/>
      <c r="B114" s="399"/>
      <c r="C114" s="661" t="s">
        <v>3753</v>
      </c>
      <c r="D114" s="654">
        <v>38000.0</v>
      </c>
      <c r="E114" s="651"/>
    </row>
    <row r="115" ht="15.75" customHeight="1">
      <c r="A115" s="678"/>
      <c r="B115" s="679">
        <v>40.0</v>
      </c>
      <c r="C115" s="653" t="s">
        <v>3754</v>
      </c>
      <c r="D115" s="654">
        <v>22000.0</v>
      </c>
      <c r="E115" s="651"/>
    </row>
    <row r="116" ht="15.75" customHeight="1">
      <c r="A116" s="678"/>
      <c r="B116" s="399"/>
      <c r="C116" s="653" t="s">
        <v>3052</v>
      </c>
      <c r="D116" s="654">
        <v>16000.0</v>
      </c>
      <c r="E116" s="651"/>
    </row>
    <row r="117" ht="15.75" customHeight="1">
      <c r="A117" s="680"/>
      <c r="B117" s="680"/>
      <c r="C117" s="681"/>
      <c r="D117" s="682"/>
      <c r="E117" s="682"/>
    </row>
    <row r="118" ht="15.75" customHeight="1">
      <c r="A118" s="680"/>
      <c r="B118" s="680"/>
      <c r="C118" s="681"/>
      <c r="D118" s="682"/>
      <c r="E118" s="682"/>
    </row>
    <row r="119" ht="15.75" customHeight="1">
      <c r="A119" s="680"/>
      <c r="B119" s="680"/>
      <c r="C119" s="681"/>
      <c r="D119" s="682"/>
      <c r="E119" s="682"/>
    </row>
    <row r="120" ht="15.75" customHeight="1">
      <c r="A120" s="680"/>
      <c r="B120" s="680"/>
      <c r="C120" s="681"/>
      <c r="D120" s="682"/>
      <c r="E120" s="682"/>
    </row>
    <row r="121" ht="15.75" customHeight="1">
      <c r="A121" s="680"/>
      <c r="B121" s="680"/>
      <c r="C121" s="681"/>
      <c r="D121" s="682"/>
      <c r="E121" s="682"/>
    </row>
    <row r="122" ht="15.75" customHeight="1">
      <c r="A122" s="680"/>
      <c r="B122" s="680"/>
      <c r="C122" s="681"/>
      <c r="D122" s="682"/>
      <c r="E122" s="682"/>
    </row>
    <row r="123" ht="15.75" customHeight="1">
      <c r="A123" s="680"/>
      <c r="B123" s="680"/>
      <c r="C123" s="681"/>
      <c r="D123" s="682"/>
      <c r="E123" s="682"/>
    </row>
    <row r="124" ht="15.75" customHeight="1">
      <c r="A124" s="680"/>
      <c r="B124" s="680"/>
      <c r="C124" s="681"/>
      <c r="D124" s="682"/>
      <c r="E124" s="682"/>
    </row>
    <row r="125" ht="15.75" customHeight="1">
      <c r="A125" s="680"/>
      <c r="B125" s="680"/>
      <c r="C125" s="681"/>
      <c r="D125" s="682"/>
      <c r="E125" s="682"/>
    </row>
    <row r="126" ht="15.75" customHeight="1">
      <c r="A126" s="683"/>
      <c r="B126" s="683"/>
      <c r="C126" s="684"/>
      <c r="D126" s="682"/>
      <c r="E126" s="682"/>
    </row>
    <row r="127" ht="15.75" customHeight="1">
      <c r="A127" s="683"/>
      <c r="B127" s="683"/>
      <c r="C127" s="684"/>
      <c r="D127" s="682"/>
      <c r="E127" s="682"/>
    </row>
  </sheetData>
  <autoFilter ref="$B$1:$D$127"/>
  <mergeCells count="36">
    <mergeCell ref="B2:B4"/>
    <mergeCell ref="B5:B6"/>
    <mergeCell ref="B7:B9"/>
    <mergeCell ref="B10:B12"/>
    <mergeCell ref="B13:B16"/>
    <mergeCell ref="B17:B19"/>
    <mergeCell ref="B20:B28"/>
    <mergeCell ref="B29:B34"/>
    <mergeCell ref="B35:B37"/>
    <mergeCell ref="B38:B40"/>
    <mergeCell ref="B41:B43"/>
    <mergeCell ref="B44:B45"/>
    <mergeCell ref="B46:B47"/>
    <mergeCell ref="B48:B49"/>
    <mergeCell ref="B52:B57"/>
    <mergeCell ref="B59:B60"/>
    <mergeCell ref="B61:B62"/>
    <mergeCell ref="B63:B64"/>
    <mergeCell ref="B65:B66"/>
    <mergeCell ref="B72:B73"/>
    <mergeCell ref="B74:B76"/>
    <mergeCell ref="B96:B98"/>
    <mergeCell ref="B99:B100"/>
    <mergeCell ref="B103:B106"/>
    <mergeCell ref="B107:B108"/>
    <mergeCell ref="B109:B110"/>
    <mergeCell ref="B111:B112"/>
    <mergeCell ref="B113:B114"/>
    <mergeCell ref="B115:B116"/>
    <mergeCell ref="B78:B79"/>
    <mergeCell ref="B80:B81"/>
    <mergeCell ref="B85:B86"/>
    <mergeCell ref="B87:B88"/>
    <mergeCell ref="B89:B91"/>
    <mergeCell ref="B92:B93"/>
    <mergeCell ref="B94:B95"/>
  </mergeCells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6.0"/>
    <col customWidth="1" min="2" max="2" width="7.0"/>
    <col customWidth="1" min="3" max="3" width="4.5"/>
    <col customWidth="1" min="4" max="4" width="71.0"/>
    <col customWidth="1" min="5" max="5" width="4.75"/>
  </cols>
  <sheetData>
    <row r="1" ht="28.5" customHeight="1">
      <c r="A1" s="685"/>
      <c r="B1" s="685"/>
      <c r="C1" s="686"/>
      <c r="D1" s="686"/>
      <c r="E1" s="685"/>
    </row>
    <row r="2">
      <c r="A2" s="685"/>
      <c r="B2" s="687">
        <v>1.0</v>
      </c>
      <c r="C2" s="688"/>
      <c r="D2" s="689" t="s">
        <v>2925</v>
      </c>
      <c r="E2" s="690"/>
    </row>
    <row r="3">
      <c r="A3" s="685"/>
      <c r="B3" s="655"/>
      <c r="C3" s="688"/>
      <c r="D3" s="689" t="s">
        <v>3663</v>
      </c>
      <c r="E3" s="690"/>
    </row>
    <row r="4">
      <c r="A4" s="685"/>
      <c r="B4" s="399"/>
      <c r="C4" s="688"/>
      <c r="D4" s="689" t="s">
        <v>3664</v>
      </c>
      <c r="E4" s="685"/>
    </row>
    <row r="5">
      <c r="A5" s="685"/>
      <c r="B5" s="687">
        <v>2.0</v>
      </c>
      <c r="C5" s="688"/>
      <c r="D5" s="689" t="s">
        <v>3665</v>
      </c>
      <c r="E5" s="685"/>
    </row>
    <row r="6">
      <c r="A6" s="685"/>
      <c r="B6" s="655"/>
      <c r="C6" s="688"/>
      <c r="D6" s="689" t="s">
        <v>3666</v>
      </c>
      <c r="E6" s="685"/>
    </row>
    <row r="7">
      <c r="A7" s="685"/>
      <c r="B7" s="399"/>
      <c r="C7" s="688"/>
      <c r="D7" s="689" t="s">
        <v>3755</v>
      </c>
      <c r="E7" s="685"/>
    </row>
    <row r="8">
      <c r="A8" s="685"/>
      <c r="B8" s="687">
        <v>3.0</v>
      </c>
      <c r="C8" s="688"/>
      <c r="D8" s="689" t="s">
        <v>3667</v>
      </c>
      <c r="E8" s="685"/>
    </row>
    <row r="9">
      <c r="A9" s="685"/>
      <c r="B9" s="655"/>
      <c r="C9" s="688"/>
      <c r="D9" s="689" t="s">
        <v>3668</v>
      </c>
      <c r="E9" s="685"/>
    </row>
    <row r="10">
      <c r="A10" s="685"/>
      <c r="B10" s="399"/>
      <c r="C10" s="688"/>
      <c r="D10" s="689" t="s">
        <v>3669</v>
      </c>
      <c r="E10" s="685"/>
    </row>
    <row r="11">
      <c r="A11" s="685"/>
      <c r="B11" s="687">
        <v>4.0</v>
      </c>
      <c r="C11" s="688"/>
      <c r="D11" s="689" t="s">
        <v>3670</v>
      </c>
      <c r="E11" s="685"/>
    </row>
    <row r="12">
      <c r="A12" s="685"/>
      <c r="B12" s="655"/>
      <c r="C12" s="688"/>
      <c r="D12" s="689" t="s">
        <v>3671</v>
      </c>
      <c r="E12" s="685"/>
    </row>
    <row r="13">
      <c r="A13" s="685"/>
      <c r="B13" s="399"/>
      <c r="C13" s="688"/>
      <c r="D13" s="689" t="s">
        <v>3672</v>
      </c>
      <c r="E13" s="685"/>
    </row>
    <row r="14">
      <c r="A14" s="685"/>
      <c r="B14" s="687">
        <v>5.0</v>
      </c>
      <c r="C14" s="688"/>
      <c r="D14" s="689" t="s">
        <v>3673</v>
      </c>
      <c r="E14" s="685"/>
    </row>
    <row r="15">
      <c r="A15" s="685"/>
      <c r="B15" s="655"/>
      <c r="C15" s="688"/>
      <c r="D15" s="689" t="s">
        <v>3674</v>
      </c>
      <c r="E15" s="685"/>
    </row>
    <row r="16">
      <c r="A16" s="685"/>
      <c r="B16" s="655"/>
      <c r="C16" s="688"/>
      <c r="D16" s="689" t="s">
        <v>2943</v>
      </c>
      <c r="E16" s="685"/>
    </row>
    <row r="17">
      <c r="A17" s="685"/>
      <c r="B17" s="399"/>
      <c r="C17" s="688"/>
      <c r="D17" s="689" t="s">
        <v>2944</v>
      </c>
      <c r="E17" s="685"/>
    </row>
    <row r="18">
      <c r="A18" s="691"/>
      <c r="B18" s="692">
        <v>6.0</v>
      </c>
      <c r="C18" s="693"/>
      <c r="D18" s="694" t="s">
        <v>3675</v>
      </c>
      <c r="E18" s="685"/>
    </row>
    <row r="19">
      <c r="A19" s="685"/>
      <c r="B19" s="655"/>
      <c r="C19" s="688"/>
      <c r="D19" s="689" t="s">
        <v>2954</v>
      </c>
      <c r="E19" s="685"/>
    </row>
    <row r="20">
      <c r="A20" s="691"/>
      <c r="B20" s="399"/>
      <c r="C20" s="693"/>
      <c r="D20" s="694" t="s">
        <v>3676</v>
      </c>
      <c r="E20" s="685"/>
    </row>
    <row r="21">
      <c r="A21" s="695"/>
      <c r="B21" s="696">
        <v>7.0</v>
      </c>
      <c r="C21" s="697"/>
      <c r="D21" s="698" t="s">
        <v>3677</v>
      </c>
      <c r="E21" s="685"/>
    </row>
    <row r="22">
      <c r="A22" s="695"/>
      <c r="B22" s="655"/>
      <c r="C22" s="697"/>
      <c r="D22" s="698" t="s">
        <v>3756</v>
      </c>
      <c r="E22" s="685"/>
    </row>
    <row r="23">
      <c r="A23" s="695"/>
      <c r="B23" s="655"/>
      <c r="C23" s="697"/>
      <c r="D23" s="698" t="s">
        <v>3757</v>
      </c>
      <c r="E23" s="685"/>
    </row>
    <row r="24">
      <c r="A24" s="695"/>
      <c r="B24" s="655"/>
      <c r="C24" s="697"/>
      <c r="D24" s="698" t="s">
        <v>3758</v>
      </c>
      <c r="E24" s="685"/>
    </row>
    <row r="25">
      <c r="A25" s="695"/>
      <c r="B25" s="655"/>
      <c r="C25" s="697"/>
      <c r="D25" s="698" t="s">
        <v>3759</v>
      </c>
      <c r="E25" s="685"/>
    </row>
    <row r="26">
      <c r="A26" s="695"/>
      <c r="B26" s="655"/>
      <c r="C26" s="697"/>
      <c r="D26" s="698" t="s">
        <v>3678</v>
      </c>
      <c r="E26" s="685"/>
    </row>
    <row r="27">
      <c r="A27" s="695"/>
      <c r="B27" s="655"/>
      <c r="C27" s="697"/>
      <c r="D27" s="698" t="s">
        <v>3679</v>
      </c>
      <c r="E27" s="685"/>
    </row>
    <row r="28">
      <c r="A28" s="695"/>
      <c r="B28" s="655"/>
      <c r="C28" s="697"/>
      <c r="D28" s="698" t="s">
        <v>3680</v>
      </c>
      <c r="E28" s="685"/>
    </row>
    <row r="29">
      <c r="A29" s="695"/>
      <c r="B29" s="399"/>
      <c r="C29" s="697"/>
      <c r="D29" s="698" t="s">
        <v>3760</v>
      </c>
      <c r="E29" s="685"/>
    </row>
    <row r="30" ht="26.25" customHeight="1">
      <c r="A30" s="695"/>
      <c r="B30" s="699"/>
      <c r="C30" s="697"/>
      <c r="D30" s="698"/>
      <c r="E30" s="685"/>
    </row>
    <row r="31">
      <c r="A31" s="695"/>
      <c r="B31" s="696">
        <v>8.0</v>
      </c>
      <c r="C31" s="697"/>
      <c r="D31" s="698" t="s">
        <v>3761</v>
      </c>
      <c r="E31" s="685"/>
    </row>
    <row r="32">
      <c r="A32" s="695"/>
      <c r="B32" s="655"/>
      <c r="C32" s="697"/>
      <c r="D32" s="698" t="s">
        <v>3684</v>
      </c>
      <c r="E32" s="685"/>
    </row>
    <row r="33">
      <c r="A33" s="695"/>
      <c r="B33" s="655"/>
      <c r="C33" s="697"/>
      <c r="D33" s="698" t="s">
        <v>3762</v>
      </c>
      <c r="E33" s="685"/>
    </row>
    <row r="34">
      <c r="A34" s="695"/>
      <c r="B34" s="399"/>
      <c r="C34" s="697"/>
      <c r="D34" s="698" t="s">
        <v>3685</v>
      </c>
      <c r="E34" s="685"/>
    </row>
    <row r="35">
      <c r="A35" s="695"/>
      <c r="B35" s="696">
        <v>9.0</v>
      </c>
      <c r="C35" s="697"/>
      <c r="D35" s="698" t="s">
        <v>3686</v>
      </c>
      <c r="E35" s="685"/>
    </row>
    <row r="36">
      <c r="A36" s="695"/>
      <c r="B36" s="399"/>
      <c r="C36" s="697"/>
      <c r="D36" s="698" t="s">
        <v>3687</v>
      </c>
      <c r="E36" s="685"/>
    </row>
    <row r="37">
      <c r="A37" s="695"/>
      <c r="B37" s="696">
        <v>10.0</v>
      </c>
      <c r="C37" s="697"/>
      <c r="D37" s="698" t="s">
        <v>3688</v>
      </c>
      <c r="E37" s="685"/>
    </row>
    <row r="38">
      <c r="A38" s="695"/>
      <c r="B38" s="399"/>
      <c r="C38" s="697"/>
      <c r="D38" s="698" t="s">
        <v>3689</v>
      </c>
      <c r="E38" s="685"/>
    </row>
    <row r="39">
      <c r="A39" s="695"/>
      <c r="B39" s="696">
        <v>11.0</v>
      </c>
      <c r="C39" s="697"/>
      <c r="D39" s="698" t="s">
        <v>3690</v>
      </c>
      <c r="E39" s="685"/>
    </row>
    <row r="40">
      <c r="A40" s="695"/>
      <c r="B40" s="399"/>
      <c r="C40" s="697"/>
      <c r="D40" s="698" t="s">
        <v>3691</v>
      </c>
      <c r="E40" s="685"/>
    </row>
    <row r="41">
      <c r="A41" s="695"/>
      <c r="B41" s="699">
        <v>12.0</v>
      </c>
      <c r="C41" s="697"/>
      <c r="D41" s="698" t="s">
        <v>3692</v>
      </c>
      <c r="E41" s="685"/>
    </row>
    <row r="42">
      <c r="A42" s="691"/>
      <c r="B42" s="692">
        <v>13.0</v>
      </c>
      <c r="C42" s="693"/>
      <c r="D42" s="694" t="s">
        <v>3693</v>
      </c>
      <c r="E42" s="685"/>
    </row>
    <row r="43">
      <c r="A43" s="685"/>
      <c r="B43" s="399"/>
      <c r="C43" s="688"/>
      <c r="D43" s="689" t="s">
        <v>3694</v>
      </c>
      <c r="E43" s="685"/>
    </row>
    <row r="44">
      <c r="A44" s="685"/>
      <c r="B44" s="687">
        <v>14.0</v>
      </c>
      <c r="C44" s="688"/>
      <c r="D44" s="689" t="s">
        <v>2980</v>
      </c>
      <c r="E44" s="685"/>
    </row>
    <row r="45">
      <c r="A45" s="685"/>
      <c r="B45" s="399"/>
      <c r="C45" s="688"/>
      <c r="D45" s="689" t="s">
        <v>2982</v>
      </c>
      <c r="E45" s="685"/>
    </row>
    <row r="46">
      <c r="A46" s="685"/>
      <c r="B46" s="687">
        <v>15.0</v>
      </c>
      <c r="C46" s="688"/>
      <c r="D46" s="689" t="s">
        <v>3763</v>
      </c>
      <c r="E46" s="685"/>
    </row>
    <row r="47">
      <c r="A47" s="685"/>
      <c r="B47" s="655"/>
      <c r="C47" s="688"/>
      <c r="D47" s="689" t="s">
        <v>3698</v>
      </c>
      <c r="E47" s="685"/>
    </row>
    <row r="48">
      <c r="A48" s="685"/>
      <c r="B48" s="399"/>
      <c r="C48" s="688"/>
      <c r="D48" s="689" t="s">
        <v>2986</v>
      </c>
      <c r="E48" s="685"/>
    </row>
    <row r="49" ht="21.0" customHeight="1">
      <c r="A49" s="695"/>
      <c r="B49" s="699">
        <v>16.0</v>
      </c>
      <c r="C49" s="697"/>
      <c r="D49" s="698" t="s">
        <v>3764</v>
      </c>
      <c r="E49" s="685"/>
    </row>
    <row r="50" ht="19.5" customHeight="1">
      <c r="A50" s="695"/>
      <c r="B50" s="699">
        <v>17.0</v>
      </c>
      <c r="C50" s="697"/>
      <c r="D50" s="698" t="s">
        <v>3702</v>
      </c>
      <c r="E50" s="685"/>
    </row>
    <row r="51" ht="19.5" customHeight="1">
      <c r="A51" s="695"/>
      <c r="B51" s="699">
        <v>18.0</v>
      </c>
      <c r="C51" s="697"/>
      <c r="D51" s="698" t="s">
        <v>3705</v>
      </c>
      <c r="E51" s="685"/>
    </row>
    <row r="52">
      <c r="A52" s="695"/>
      <c r="B52" s="696">
        <v>19.0</v>
      </c>
      <c r="C52" s="697"/>
      <c r="D52" s="698" t="s">
        <v>3699</v>
      </c>
      <c r="E52" s="685"/>
    </row>
    <row r="53">
      <c r="A53" s="695"/>
      <c r="B53" s="399"/>
      <c r="C53" s="697"/>
      <c r="D53" s="698" t="s">
        <v>3700</v>
      </c>
      <c r="E53" s="685"/>
    </row>
    <row r="54">
      <c r="A54" s="695"/>
      <c r="B54" s="696">
        <v>20.0</v>
      </c>
      <c r="C54" s="697"/>
      <c r="D54" s="698" t="s">
        <v>3703</v>
      </c>
      <c r="E54" s="685"/>
    </row>
    <row r="55">
      <c r="A55" s="695"/>
      <c r="B55" s="399"/>
      <c r="C55" s="697"/>
      <c r="D55" s="698" t="s">
        <v>3704</v>
      </c>
      <c r="E55" s="685"/>
    </row>
    <row r="56">
      <c r="A56" s="695"/>
      <c r="B56" s="696">
        <v>21.0</v>
      </c>
      <c r="C56" s="697"/>
      <c r="D56" s="698" t="s">
        <v>3765</v>
      </c>
      <c r="E56" s="685"/>
    </row>
    <row r="57">
      <c r="A57" s="695"/>
      <c r="B57" s="399"/>
      <c r="C57" s="697"/>
      <c r="D57" s="698" t="s">
        <v>3766</v>
      </c>
      <c r="E57" s="685"/>
    </row>
    <row r="58" ht="27.0" customHeight="1">
      <c r="A58" s="695"/>
      <c r="B58" s="699"/>
      <c r="C58" s="688"/>
      <c r="D58" s="689"/>
      <c r="E58" s="685"/>
    </row>
    <row r="59" ht="26.25" customHeight="1">
      <c r="A59" s="695"/>
      <c r="B59" s="699"/>
      <c r="C59" s="688"/>
      <c r="D59" s="689"/>
      <c r="E59" s="685"/>
    </row>
    <row r="60">
      <c r="A60" s="695"/>
      <c r="B60" s="696">
        <v>22.0</v>
      </c>
      <c r="C60" s="688"/>
      <c r="D60" s="689" t="s">
        <v>3000</v>
      </c>
      <c r="E60" s="685"/>
    </row>
    <row r="61">
      <c r="A61" s="695"/>
      <c r="B61" s="655"/>
      <c r="C61" s="688"/>
      <c r="D61" s="689" t="s">
        <v>3767</v>
      </c>
      <c r="E61" s="685"/>
    </row>
    <row r="62">
      <c r="A62" s="691"/>
      <c r="B62" s="399"/>
      <c r="C62" s="693"/>
      <c r="D62" s="694" t="s">
        <v>3003</v>
      </c>
      <c r="E62" s="685"/>
    </row>
    <row r="63" ht="20.25" customHeight="1">
      <c r="A63" s="685"/>
      <c r="B63" s="700">
        <v>23.0</v>
      </c>
      <c r="C63" s="688"/>
      <c r="D63" s="689" t="s">
        <v>3706</v>
      </c>
      <c r="E63" s="685"/>
    </row>
    <row r="64">
      <c r="A64" s="685"/>
      <c r="B64" s="687">
        <v>24.0</v>
      </c>
      <c r="C64" s="688"/>
      <c r="D64" s="689" t="s">
        <v>3004</v>
      </c>
      <c r="E64" s="685"/>
    </row>
    <row r="65">
      <c r="A65" s="685"/>
      <c r="B65" s="655"/>
      <c r="C65" s="688"/>
      <c r="D65" s="689" t="s">
        <v>3006</v>
      </c>
      <c r="E65" s="685"/>
    </row>
    <row r="66">
      <c r="A66" s="685"/>
      <c r="B66" s="655"/>
      <c r="C66" s="688"/>
      <c r="D66" s="689" t="s">
        <v>3007</v>
      </c>
      <c r="E66" s="685"/>
    </row>
    <row r="67">
      <c r="A67" s="685"/>
      <c r="B67" s="655"/>
      <c r="C67" s="688"/>
      <c r="D67" s="689" t="s">
        <v>3707</v>
      </c>
      <c r="E67" s="685"/>
    </row>
    <row r="68">
      <c r="A68" s="685"/>
      <c r="B68" s="399"/>
      <c r="C68" s="688"/>
      <c r="D68" s="689" t="s">
        <v>3708</v>
      </c>
      <c r="E68" s="685"/>
    </row>
    <row r="69" ht="21.0" customHeight="1">
      <c r="A69" s="685"/>
      <c r="B69" s="700">
        <v>25.0</v>
      </c>
      <c r="C69" s="688"/>
      <c r="D69" s="689" t="s">
        <v>3768</v>
      </c>
      <c r="E69" s="685"/>
    </row>
    <row r="70" ht="19.5" customHeight="1">
      <c r="A70" s="685"/>
      <c r="B70" s="700">
        <v>26.0</v>
      </c>
      <c r="C70" s="688"/>
      <c r="D70" s="689" t="s">
        <v>3709</v>
      </c>
      <c r="E70" s="690"/>
    </row>
    <row r="71">
      <c r="A71" s="691"/>
      <c r="B71" s="692">
        <v>27.0</v>
      </c>
      <c r="C71" s="693"/>
      <c r="D71" s="694" t="s">
        <v>3769</v>
      </c>
      <c r="E71" s="690"/>
    </row>
    <row r="72">
      <c r="A72" s="685"/>
      <c r="B72" s="399"/>
      <c r="C72" s="688"/>
      <c r="D72" s="689" t="s">
        <v>3770</v>
      </c>
      <c r="E72" s="690"/>
    </row>
    <row r="73">
      <c r="A73" s="685"/>
      <c r="B73" s="687">
        <v>28.0</v>
      </c>
      <c r="C73" s="688"/>
      <c r="D73" s="689" t="s">
        <v>3771</v>
      </c>
      <c r="E73" s="690"/>
    </row>
    <row r="74">
      <c r="A74" s="685"/>
      <c r="B74" s="655"/>
      <c r="C74" s="688"/>
      <c r="D74" s="689" t="s">
        <v>3772</v>
      </c>
      <c r="E74" s="690"/>
    </row>
    <row r="75">
      <c r="A75" s="685"/>
      <c r="B75" s="399"/>
      <c r="C75" s="688"/>
      <c r="D75" s="689" t="s">
        <v>3773</v>
      </c>
      <c r="E75" s="690"/>
    </row>
    <row r="76">
      <c r="A76" s="685"/>
      <c r="B76" s="687">
        <v>29.0</v>
      </c>
      <c r="C76" s="688"/>
      <c r="D76" s="689" t="s">
        <v>3774</v>
      </c>
      <c r="E76" s="690"/>
    </row>
    <row r="77">
      <c r="A77" s="685"/>
      <c r="B77" s="399"/>
      <c r="C77" s="688"/>
      <c r="D77" s="689" t="s">
        <v>3026</v>
      </c>
      <c r="E77" s="690"/>
    </row>
    <row r="78">
      <c r="A78" s="685"/>
      <c r="B78" s="687">
        <v>30.0</v>
      </c>
      <c r="C78" s="688"/>
      <c r="D78" s="689" t="s">
        <v>3716</v>
      </c>
      <c r="E78" s="685"/>
    </row>
    <row r="79">
      <c r="A79" s="685"/>
      <c r="B79" s="399"/>
      <c r="C79" s="688"/>
      <c r="D79" s="689" t="s">
        <v>3021</v>
      </c>
      <c r="E79" s="685"/>
    </row>
    <row r="80" ht="19.5" customHeight="1">
      <c r="A80" s="685"/>
      <c r="B80" s="700">
        <v>31.0</v>
      </c>
      <c r="C80" s="688"/>
      <c r="D80" s="689" t="s">
        <v>3717</v>
      </c>
      <c r="E80" s="685"/>
    </row>
    <row r="81" ht="18.0" customHeight="1">
      <c r="A81" s="685"/>
      <c r="B81" s="700">
        <v>32.0</v>
      </c>
      <c r="C81" s="688"/>
      <c r="D81" s="689" t="s">
        <v>3718</v>
      </c>
      <c r="E81" s="685"/>
    </row>
    <row r="82" ht="19.5" customHeight="1">
      <c r="A82" s="685"/>
      <c r="B82" s="700">
        <v>33.0</v>
      </c>
      <c r="C82" s="688"/>
      <c r="D82" s="689" t="s">
        <v>3719</v>
      </c>
      <c r="E82" s="685"/>
    </row>
    <row r="83">
      <c r="A83" s="685"/>
      <c r="B83" s="687">
        <v>34.0</v>
      </c>
      <c r="C83" s="688"/>
      <c r="D83" s="689" t="s">
        <v>3720</v>
      </c>
      <c r="E83" s="685"/>
    </row>
    <row r="84">
      <c r="A84" s="685"/>
      <c r="B84" s="399"/>
      <c r="C84" s="688"/>
      <c r="D84" s="689" t="s">
        <v>3721</v>
      </c>
      <c r="E84" s="685"/>
    </row>
    <row r="85">
      <c r="A85" s="685"/>
      <c r="B85" s="687">
        <v>35.0</v>
      </c>
      <c r="C85" s="688"/>
      <c r="D85" s="689" t="s">
        <v>3029</v>
      </c>
      <c r="E85" s="685"/>
    </row>
    <row r="86">
      <c r="A86" s="685"/>
      <c r="B86" s="399"/>
      <c r="C86" s="688"/>
      <c r="D86" s="689" t="s">
        <v>3030</v>
      </c>
      <c r="E86" s="685"/>
    </row>
    <row r="87">
      <c r="A87" s="685"/>
      <c r="B87" s="687">
        <v>36.0</v>
      </c>
      <c r="C87" s="688"/>
      <c r="D87" s="689" t="s">
        <v>3723</v>
      </c>
      <c r="E87" s="685"/>
    </row>
    <row r="88">
      <c r="A88" s="685"/>
      <c r="B88" s="399"/>
      <c r="C88" s="688"/>
      <c r="D88" s="689" t="s">
        <v>3724</v>
      </c>
      <c r="E88" s="685"/>
    </row>
    <row r="89" ht="21.75" customHeight="1">
      <c r="A89" s="685"/>
      <c r="B89" s="700"/>
      <c r="C89" s="688"/>
      <c r="D89" s="689"/>
      <c r="E89" s="685"/>
    </row>
    <row r="90">
      <c r="A90" s="685"/>
      <c r="B90" s="700">
        <v>37.0</v>
      </c>
      <c r="C90" s="688"/>
      <c r="D90" s="689" t="s">
        <v>3725</v>
      </c>
      <c r="E90" s="685"/>
    </row>
    <row r="91">
      <c r="A91" s="685"/>
      <c r="B91" s="687">
        <v>38.0</v>
      </c>
      <c r="C91" s="688"/>
      <c r="D91" s="689" t="s">
        <v>3726</v>
      </c>
      <c r="E91" s="685"/>
    </row>
    <row r="92">
      <c r="A92" s="685"/>
      <c r="B92" s="399"/>
      <c r="C92" s="688"/>
      <c r="D92" s="689" t="s">
        <v>3727</v>
      </c>
      <c r="E92" s="685"/>
    </row>
    <row r="93">
      <c r="A93" s="685"/>
      <c r="B93" s="687">
        <v>39.0</v>
      </c>
      <c r="C93" s="688"/>
      <c r="D93" s="689" t="s">
        <v>3728</v>
      </c>
      <c r="E93" s="685"/>
    </row>
    <row r="94">
      <c r="A94" s="685"/>
      <c r="B94" s="399"/>
      <c r="C94" s="688"/>
      <c r="D94" s="689" t="s">
        <v>3729</v>
      </c>
      <c r="E94" s="685"/>
    </row>
    <row r="95">
      <c r="A95" s="685"/>
      <c r="B95" s="700"/>
      <c r="C95" s="688"/>
      <c r="D95" s="689"/>
      <c r="E95" s="685"/>
    </row>
    <row r="96">
      <c r="A96" s="685"/>
      <c r="B96" s="687">
        <v>40.0</v>
      </c>
      <c r="C96" s="688"/>
      <c r="D96" s="689" t="s">
        <v>3730</v>
      </c>
      <c r="E96" s="685"/>
    </row>
    <row r="97" ht="18.75" customHeight="1">
      <c r="A97" s="685"/>
      <c r="B97" s="399"/>
      <c r="C97" s="688"/>
      <c r="D97" s="689" t="s">
        <v>3722</v>
      </c>
      <c r="E97" s="685"/>
    </row>
    <row r="98" ht="22.5" customHeight="1">
      <c r="A98" s="691"/>
      <c r="B98" s="701">
        <v>41.0</v>
      </c>
      <c r="C98" s="693"/>
      <c r="D98" s="694" t="s">
        <v>3731</v>
      </c>
      <c r="E98" s="685"/>
    </row>
    <row r="99" ht="23.25" customHeight="1">
      <c r="A99" s="685"/>
      <c r="B99" s="700">
        <v>42.0</v>
      </c>
      <c r="C99" s="688"/>
      <c r="D99" s="689" t="s">
        <v>3732</v>
      </c>
      <c r="E99" s="685"/>
    </row>
    <row r="100">
      <c r="A100" s="685"/>
      <c r="B100" s="687">
        <v>43.0</v>
      </c>
      <c r="C100" s="688"/>
      <c r="D100" s="689" t="s">
        <v>3058</v>
      </c>
      <c r="E100" s="685"/>
    </row>
    <row r="101">
      <c r="A101" s="685"/>
      <c r="B101" s="399"/>
      <c r="C101" s="688"/>
      <c r="D101" s="689" t="s">
        <v>3060</v>
      </c>
      <c r="E101" s="685"/>
    </row>
    <row r="102">
      <c r="A102" s="685"/>
      <c r="B102" s="687">
        <v>44.0</v>
      </c>
      <c r="C102" s="688"/>
      <c r="D102" s="689" t="s">
        <v>3733</v>
      </c>
      <c r="E102" s="685"/>
    </row>
    <row r="103">
      <c r="A103" s="685"/>
      <c r="B103" s="399"/>
      <c r="C103" s="688"/>
      <c r="D103" s="689" t="s">
        <v>3734</v>
      </c>
      <c r="E103" s="685"/>
    </row>
    <row r="104">
      <c r="A104" s="685"/>
      <c r="B104" s="687">
        <v>45.0</v>
      </c>
      <c r="C104" s="688"/>
      <c r="D104" s="689" t="s">
        <v>3735</v>
      </c>
      <c r="E104" s="685"/>
    </row>
    <row r="105">
      <c r="A105" s="685"/>
      <c r="B105" s="655"/>
      <c r="C105" s="688"/>
      <c r="D105" s="689" t="s">
        <v>3736</v>
      </c>
      <c r="E105" s="685"/>
    </row>
    <row r="106">
      <c r="A106" s="685"/>
      <c r="B106" s="399"/>
      <c r="C106" s="688"/>
      <c r="D106" s="689" t="s">
        <v>3737</v>
      </c>
      <c r="E106" s="685"/>
    </row>
    <row r="107">
      <c r="A107" s="685"/>
      <c r="B107" s="687">
        <v>46.0</v>
      </c>
      <c r="C107" s="693"/>
      <c r="D107" s="694" t="s">
        <v>3738</v>
      </c>
      <c r="E107" s="685"/>
    </row>
    <row r="108">
      <c r="A108" s="685"/>
      <c r="B108" s="399"/>
      <c r="C108" s="693"/>
      <c r="D108" s="694" t="s">
        <v>3739</v>
      </c>
      <c r="E108" s="685"/>
    </row>
    <row r="109">
      <c r="A109" s="685"/>
      <c r="B109" s="687">
        <v>47.0</v>
      </c>
      <c r="C109" s="688"/>
      <c r="D109" s="689" t="s">
        <v>3066</v>
      </c>
      <c r="E109" s="685"/>
    </row>
    <row r="110">
      <c r="A110" s="685"/>
      <c r="B110" s="399"/>
      <c r="C110" s="688"/>
      <c r="D110" s="689" t="s">
        <v>3067</v>
      </c>
      <c r="E110" s="685"/>
    </row>
    <row r="111">
      <c r="A111" s="685"/>
      <c r="B111" s="687">
        <v>48.0</v>
      </c>
      <c r="C111" s="688"/>
      <c r="D111" s="689" t="s">
        <v>3740</v>
      </c>
      <c r="E111" s="690"/>
    </row>
    <row r="112">
      <c r="A112" s="685"/>
      <c r="B112" s="655"/>
      <c r="C112" s="688"/>
      <c r="D112" s="689" t="s">
        <v>3775</v>
      </c>
      <c r="E112" s="690"/>
    </row>
    <row r="113">
      <c r="A113" s="685"/>
      <c r="B113" s="655"/>
      <c r="C113" s="688"/>
      <c r="D113" s="689" t="s">
        <v>3776</v>
      </c>
      <c r="E113" s="690"/>
    </row>
    <row r="114">
      <c r="A114" s="685"/>
      <c r="B114" s="399"/>
      <c r="C114" s="688"/>
      <c r="D114" s="689" t="s">
        <v>3742</v>
      </c>
      <c r="E114" s="690"/>
    </row>
    <row r="115">
      <c r="A115" s="685"/>
      <c r="B115" s="687">
        <v>49.0</v>
      </c>
      <c r="C115" s="688"/>
      <c r="D115" s="689" t="s">
        <v>2945</v>
      </c>
      <c r="E115" s="690"/>
    </row>
    <row r="116">
      <c r="A116" s="685"/>
      <c r="B116" s="399"/>
      <c r="C116" s="688"/>
      <c r="D116" s="689" t="s">
        <v>3046</v>
      </c>
      <c r="E116" s="690"/>
    </row>
    <row r="117">
      <c r="A117" s="685"/>
      <c r="B117" s="687">
        <v>50.0</v>
      </c>
      <c r="C117" s="688"/>
      <c r="D117" s="689" t="s">
        <v>3743</v>
      </c>
      <c r="E117" s="690"/>
    </row>
    <row r="118">
      <c r="A118" s="685"/>
      <c r="B118" s="655"/>
      <c r="C118" s="688"/>
      <c r="D118" s="689" t="s">
        <v>3777</v>
      </c>
      <c r="E118" s="690"/>
    </row>
    <row r="119">
      <c r="A119" s="685"/>
      <c r="B119" s="655"/>
      <c r="C119" s="688"/>
      <c r="D119" s="689" t="s">
        <v>3778</v>
      </c>
      <c r="E119" s="690"/>
    </row>
    <row r="120">
      <c r="A120" s="685"/>
      <c r="B120" s="399"/>
      <c r="C120" s="688"/>
      <c r="D120" s="689" t="s">
        <v>3779</v>
      </c>
      <c r="E120" s="690"/>
    </row>
    <row r="121">
      <c r="A121" s="685"/>
      <c r="B121" s="687">
        <v>51.0</v>
      </c>
      <c r="C121" s="688"/>
      <c r="D121" s="689" t="s">
        <v>3747</v>
      </c>
      <c r="E121" s="690"/>
    </row>
    <row r="122">
      <c r="A122" s="685"/>
      <c r="B122" s="655"/>
      <c r="C122" s="688"/>
      <c r="D122" s="689" t="s">
        <v>3748</v>
      </c>
      <c r="E122" s="690"/>
    </row>
    <row r="123">
      <c r="A123" s="685"/>
      <c r="B123" s="399"/>
      <c r="C123" s="702"/>
      <c r="D123" s="703" t="s">
        <v>3749</v>
      </c>
      <c r="E123" s="690"/>
    </row>
    <row r="124">
      <c r="A124" s="685"/>
      <c r="B124" s="687">
        <v>52.0</v>
      </c>
      <c r="C124" s="688"/>
      <c r="D124" s="689" t="s">
        <v>3780</v>
      </c>
      <c r="E124" s="690"/>
    </row>
    <row r="125">
      <c r="A125" s="685"/>
      <c r="B125" s="655"/>
      <c r="C125" s="688"/>
      <c r="D125" s="689" t="s">
        <v>3750</v>
      </c>
      <c r="E125" s="690"/>
    </row>
    <row r="126">
      <c r="A126" s="685"/>
      <c r="B126" s="399"/>
      <c r="C126" s="688"/>
      <c r="D126" s="689" t="s">
        <v>3751</v>
      </c>
      <c r="E126" s="690"/>
    </row>
    <row r="127">
      <c r="A127" s="704"/>
      <c r="B127" s="705">
        <v>53.0</v>
      </c>
      <c r="C127" s="702"/>
      <c r="D127" s="703" t="s">
        <v>3752</v>
      </c>
      <c r="E127" s="690"/>
    </row>
    <row r="128">
      <c r="A128" s="685"/>
      <c r="B128" s="705">
        <v>53.0</v>
      </c>
      <c r="C128" s="697"/>
      <c r="D128" s="698" t="s">
        <v>3753</v>
      </c>
      <c r="E128" s="690"/>
    </row>
    <row r="129">
      <c r="A129" s="685"/>
      <c r="B129" s="705">
        <v>55.0</v>
      </c>
      <c r="C129" s="688"/>
      <c r="D129" s="689" t="s">
        <v>3781</v>
      </c>
      <c r="E129" s="685"/>
    </row>
    <row r="130">
      <c r="A130" s="685"/>
      <c r="B130" s="705">
        <v>55.0</v>
      </c>
      <c r="C130" s="688"/>
      <c r="D130" s="689" t="s">
        <v>3052</v>
      </c>
      <c r="E130" s="685"/>
    </row>
    <row r="131">
      <c r="A131" s="685"/>
      <c r="B131" s="705">
        <v>54.0</v>
      </c>
      <c r="C131" s="688"/>
      <c r="D131" s="689" t="s">
        <v>3782</v>
      </c>
      <c r="E131" s="690"/>
    </row>
    <row r="132">
      <c r="A132" s="685"/>
      <c r="B132" s="705">
        <v>54.0</v>
      </c>
      <c r="C132" s="688"/>
      <c r="D132" s="689" t="s">
        <v>3048</v>
      </c>
      <c r="E132" s="690"/>
    </row>
    <row r="133">
      <c r="A133" s="685"/>
      <c r="B133" s="705">
        <v>54.0</v>
      </c>
      <c r="C133" s="688"/>
      <c r="D133" s="689" t="s">
        <v>3783</v>
      </c>
      <c r="E133" s="690"/>
    </row>
    <row r="134">
      <c r="A134" s="706"/>
      <c r="B134" s="706"/>
      <c r="C134" s="707"/>
      <c r="D134" s="707"/>
      <c r="E134" s="706"/>
    </row>
    <row r="135">
      <c r="A135" s="706"/>
      <c r="B135" s="706"/>
      <c r="C135" s="707"/>
      <c r="D135" s="707"/>
      <c r="E135" s="706"/>
    </row>
    <row r="136">
      <c r="A136" s="706"/>
      <c r="B136" s="706"/>
      <c r="C136" s="707"/>
      <c r="D136" s="707"/>
      <c r="E136" s="706"/>
    </row>
    <row r="137">
      <c r="A137" s="706"/>
      <c r="B137" s="706"/>
      <c r="C137" s="707"/>
      <c r="D137" s="707"/>
      <c r="E137" s="706"/>
    </row>
    <row r="138">
      <c r="A138" s="706"/>
      <c r="B138" s="706"/>
      <c r="C138" s="707"/>
      <c r="D138" s="707"/>
      <c r="E138" s="706"/>
    </row>
    <row r="139">
      <c r="A139" s="706"/>
      <c r="B139" s="706"/>
      <c r="C139" s="707"/>
      <c r="D139" s="707"/>
      <c r="E139" s="706"/>
    </row>
    <row r="140">
      <c r="A140" s="706"/>
      <c r="B140" s="706"/>
      <c r="C140" s="707"/>
      <c r="D140" s="707"/>
      <c r="E140" s="706"/>
    </row>
    <row r="141">
      <c r="A141" s="706"/>
      <c r="B141" s="706"/>
      <c r="C141" s="707"/>
      <c r="D141" s="707"/>
      <c r="E141" s="706"/>
    </row>
    <row r="142">
      <c r="A142" s="706"/>
      <c r="B142" s="706"/>
      <c r="C142" s="707"/>
      <c r="D142" s="707"/>
      <c r="E142" s="706"/>
    </row>
    <row r="143">
      <c r="A143" s="706"/>
      <c r="B143" s="706"/>
      <c r="C143" s="707"/>
      <c r="D143" s="707"/>
      <c r="E143" s="706"/>
    </row>
    <row r="144">
      <c r="A144" s="706"/>
      <c r="B144" s="706"/>
      <c r="C144" s="707"/>
      <c r="D144" s="707"/>
      <c r="E144" s="706"/>
    </row>
    <row r="145">
      <c r="A145" s="706"/>
      <c r="B145" s="706"/>
      <c r="C145" s="707"/>
      <c r="D145" s="707"/>
      <c r="E145" s="706"/>
    </row>
    <row r="146">
      <c r="A146" s="706"/>
      <c r="B146" s="706"/>
      <c r="C146" s="707"/>
      <c r="D146" s="707"/>
      <c r="E146" s="706"/>
    </row>
    <row r="147">
      <c r="A147" s="706"/>
      <c r="B147" s="706"/>
      <c r="C147" s="707"/>
      <c r="D147" s="707"/>
      <c r="E147" s="706"/>
    </row>
    <row r="148">
      <c r="A148" s="706"/>
      <c r="B148" s="706"/>
      <c r="C148" s="707"/>
      <c r="D148" s="707"/>
      <c r="E148" s="706"/>
    </row>
    <row r="149">
      <c r="A149" s="706"/>
      <c r="B149" s="706"/>
      <c r="C149" s="707"/>
      <c r="D149" s="707"/>
      <c r="E149" s="706"/>
    </row>
    <row r="150">
      <c r="A150" s="706"/>
      <c r="B150" s="706"/>
      <c r="C150" s="707"/>
      <c r="D150" s="707"/>
      <c r="E150" s="706"/>
    </row>
    <row r="151">
      <c r="A151" s="706"/>
      <c r="B151" s="706"/>
      <c r="C151" s="707"/>
      <c r="D151" s="707"/>
      <c r="E151" s="706"/>
    </row>
    <row r="152">
      <c r="A152" s="706"/>
      <c r="B152" s="706"/>
      <c r="C152" s="707"/>
      <c r="D152" s="707"/>
      <c r="E152" s="706"/>
    </row>
    <row r="153">
      <c r="A153" s="706"/>
      <c r="B153" s="706"/>
      <c r="C153" s="707"/>
      <c r="D153" s="707"/>
      <c r="E153" s="706"/>
    </row>
    <row r="154">
      <c r="A154" s="706"/>
      <c r="B154" s="706"/>
      <c r="C154" s="707"/>
      <c r="D154" s="707"/>
      <c r="E154" s="706"/>
    </row>
    <row r="155">
      <c r="A155" s="706"/>
      <c r="B155" s="706"/>
      <c r="C155" s="707"/>
      <c r="D155" s="707"/>
      <c r="E155" s="706"/>
    </row>
    <row r="156">
      <c r="A156" s="706"/>
      <c r="B156" s="706"/>
      <c r="C156" s="707"/>
      <c r="D156" s="707"/>
      <c r="E156" s="706"/>
    </row>
    <row r="157">
      <c r="A157" s="706"/>
      <c r="B157" s="706"/>
      <c r="C157" s="707"/>
      <c r="D157" s="707"/>
      <c r="E157" s="706"/>
    </row>
    <row r="158">
      <c r="A158" s="706"/>
      <c r="B158" s="706"/>
      <c r="C158" s="707"/>
      <c r="D158" s="707"/>
      <c r="E158" s="706"/>
    </row>
    <row r="159">
      <c r="A159" s="706"/>
      <c r="B159" s="706"/>
      <c r="C159" s="707"/>
      <c r="D159" s="707"/>
      <c r="E159" s="706"/>
    </row>
    <row r="160">
      <c r="A160" s="706"/>
      <c r="B160" s="706"/>
      <c r="C160" s="707"/>
      <c r="D160" s="707"/>
      <c r="E160" s="706"/>
    </row>
    <row r="161">
      <c r="A161" s="706"/>
      <c r="B161" s="706"/>
      <c r="C161" s="707"/>
      <c r="D161" s="707"/>
      <c r="E161" s="706"/>
    </row>
    <row r="162">
      <c r="A162" s="706"/>
      <c r="B162" s="706"/>
      <c r="C162" s="707"/>
      <c r="D162" s="707"/>
      <c r="E162" s="706"/>
    </row>
    <row r="163">
      <c r="A163" s="706"/>
      <c r="B163" s="706"/>
      <c r="C163" s="707"/>
      <c r="D163" s="707"/>
      <c r="E163" s="706"/>
    </row>
    <row r="164">
      <c r="A164" s="706"/>
      <c r="B164" s="706"/>
      <c r="C164" s="707"/>
      <c r="D164" s="707"/>
      <c r="E164" s="706"/>
    </row>
    <row r="165">
      <c r="A165" s="706"/>
      <c r="B165" s="706"/>
      <c r="C165" s="707"/>
      <c r="D165" s="707"/>
      <c r="E165" s="706"/>
    </row>
    <row r="166">
      <c r="A166" s="706"/>
      <c r="B166" s="706"/>
      <c r="C166" s="707"/>
      <c r="D166" s="707"/>
      <c r="E166" s="706"/>
    </row>
    <row r="167">
      <c r="A167" s="706"/>
      <c r="B167" s="706"/>
      <c r="C167" s="707"/>
      <c r="D167" s="707"/>
      <c r="E167" s="706"/>
    </row>
    <row r="168">
      <c r="A168" s="706"/>
      <c r="B168" s="706"/>
      <c r="C168" s="707"/>
      <c r="D168" s="707"/>
      <c r="E168" s="706"/>
    </row>
    <row r="169">
      <c r="A169" s="706"/>
      <c r="B169" s="706"/>
      <c r="C169" s="707"/>
      <c r="D169" s="707"/>
      <c r="E169" s="706"/>
    </row>
    <row r="170">
      <c r="A170" s="706"/>
      <c r="B170" s="706"/>
      <c r="C170" s="707"/>
      <c r="D170" s="707"/>
      <c r="E170" s="706"/>
    </row>
    <row r="171">
      <c r="A171" s="706"/>
      <c r="B171" s="706"/>
      <c r="C171" s="707"/>
      <c r="D171" s="707"/>
      <c r="E171" s="706"/>
    </row>
    <row r="172">
      <c r="A172" s="706"/>
      <c r="B172" s="706"/>
      <c r="C172" s="707"/>
      <c r="D172" s="707"/>
      <c r="E172" s="706"/>
    </row>
    <row r="173">
      <c r="A173" s="706"/>
      <c r="B173" s="706"/>
      <c r="C173" s="707"/>
      <c r="D173" s="707"/>
      <c r="E173" s="706"/>
    </row>
    <row r="174">
      <c r="A174" s="706"/>
      <c r="B174" s="706"/>
      <c r="C174" s="707"/>
      <c r="D174" s="707"/>
      <c r="E174" s="706"/>
    </row>
    <row r="175">
      <c r="A175" s="706"/>
      <c r="B175" s="706"/>
      <c r="C175" s="707"/>
      <c r="D175" s="707"/>
      <c r="E175" s="706"/>
    </row>
    <row r="176">
      <c r="A176" s="706"/>
      <c r="B176" s="706"/>
      <c r="C176" s="707"/>
      <c r="D176" s="707"/>
      <c r="E176" s="706"/>
    </row>
    <row r="177">
      <c r="A177" s="706"/>
      <c r="B177" s="706"/>
      <c r="C177" s="707"/>
      <c r="D177" s="707"/>
      <c r="E177" s="706"/>
    </row>
    <row r="178">
      <c r="A178" s="706"/>
      <c r="B178" s="706"/>
      <c r="C178" s="707"/>
      <c r="D178" s="707"/>
      <c r="E178" s="706"/>
    </row>
    <row r="179">
      <c r="A179" s="706"/>
      <c r="B179" s="706"/>
      <c r="C179" s="707"/>
      <c r="D179" s="707"/>
      <c r="E179" s="706"/>
    </row>
    <row r="180">
      <c r="A180" s="706"/>
      <c r="B180" s="706"/>
      <c r="C180" s="707"/>
      <c r="D180" s="707"/>
      <c r="E180" s="706"/>
    </row>
    <row r="181">
      <c r="A181" s="706"/>
      <c r="B181" s="706"/>
      <c r="C181" s="707"/>
      <c r="D181" s="707"/>
      <c r="E181" s="706"/>
    </row>
    <row r="182">
      <c r="A182" s="706"/>
      <c r="B182" s="706"/>
      <c r="C182" s="707"/>
      <c r="D182" s="707"/>
      <c r="E182" s="706"/>
    </row>
    <row r="183">
      <c r="A183" s="706"/>
      <c r="B183" s="706"/>
      <c r="C183" s="707"/>
      <c r="D183" s="707"/>
      <c r="E183" s="706"/>
    </row>
    <row r="184">
      <c r="A184" s="706"/>
      <c r="B184" s="706"/>
      <c r="C184" s="707"/>
      <c r="D184" s="707"/>
      <c r="E184" s="706"/>
    </row>
    <row r="185">
      <c r="A185" s="706"/>
      <c r="B185" s="706"/>
      <c r="C185" s="707"/>
      <c r="D185" s="707"/>
      <c r="E185" s="706"/>
    </row>
    <row r="186">
      <c r="A186" s="706"/>
      <c r="B186" s="706"/>
      <c r="C186" s="707"/>
      <c r="D186" s="707"/>
      <c r="E186" s="706"/>
    </row>
    <row r="187">
      <c r="A187" s="706"/>
      <c r="B187" s="706"/>
      <c r="C187" s="707"/>
      <c r="D187" s="707"/>
      <c r="E187" s="706"/>
    </row>
    <row r="188">
      <c r="A188" s="706"/>
      <c r="B188" s="706"/>
      <c r="C188" s="707"/>
      <c r="D188" s="707"/>
      <c r="E188" s="706"/>
    </row>
    <row r="189">
      <c r="A189" s="706"/>
      <c r="B189" s="706"/>
      <c r="C189" s="707"/>
      <c r="D189" s="707"/>
      <c r="E189" s="706"/>
    </row>
    <row r="190">
      <c r="A190" s="706"/>
      <c r="B190" s="706"/>
      <c r="C190" s="707"/>
      <c r="D190" s="707"/>
      <c r="E190" s="706"/>
    </row>
    <row r="191">
      <c r="A191" s="706"/>
      <c r="B191" s="706"/>
      <c r="C191" s="707"/>
      <c r="D191" s="707"/>
      <c r="E191" s="706"/>
    </row>
    <row r="192">
      <c r="A192" s="706"/>
      <c r="B192" s="706"/>
      <c r="C192" s="707"/>
      <c r="D192" s="707"/>
      <c r="E192" s="706"/>
    </row>
    <row r="193">
      <c r="A193" s="706"/>
      <c r="B193" s="706"/>
      <c r="C193" s="707"/>
      <c r="D193" s="707"/>
      <c r="E193" s="706"/>
    </row>
    <row r="194">
      <c r="A194" s="706"/>
      <c r="B194" s="706"/>
      <c r="C194" s="707"/>
      <c r="D194" s="707"/>
      <c r="E194" s="706"/>
    </row>
    <row r="195">
      <c r="A195" s="706"/>
      <c r="B195" s="706"/>
      <c r="C195" s="707"/>
      <c r="D195" s="707"/>
      <c r="E195" s="706"/>
    </row>
    <row r="196">
      <c r="A196" s="706"/>
      <c r="B196" s="706"/>
      <c r="C196" s="707"/>
      <c r="D196" s="707"/>
      <c r="E196" s="706"/>
    </row>
    <row r="197">
      <c r="A197" s="706"/>
      <c r="B197" s="706"/>
      <c r="C197" s="707"/>
      <c r="D197" s="707"/>
      <c r="E197" s="706"/>
    </row>
    <row r="198">
      <c r="A198" s="706"/>
      <c r="B198" s="706"/>
      <c r="C198" s="707"/>
      <c r="D198" s="707"/>
      <c r="E198" s="706"/>
    </row>
    <row r="199">
      <c r="A199" s="706"/>
      <c r="B199" s="706"/>
      <c r="C199" s="707"/>
      <c r="D199" s="707"/>
      <c r="E199" s="706"/>
    </row>
    <row r="200">
      <c r="A200" s="706"/>
      <c r="B200" s="706"/>
      <c r="C200" s="707"/>
      <c r="D200" s="707"/>
      <c r="E200" s="706"/>
    </row>
    <row r="201">
      <c r="A201" s="706"/>
      <c r="B201" s="706"/>
      <c r="C201" s="707"/>
      <c r="D201" s="707"/>
      <c r="E201" s="706"/>
    </row>
    <row r="202">
      <c r="A202" s="706"/>
      <c r="B202" s="706"/>
      <c r="C202" s="707"/>
      <c r="D202" s="707"/>
      <c r="E202" s="706"/>
    </row>
    <row r="203">
      <c r="A203" s="706"/>
      <c r="B203" s="706"/>
      <c r="C203" s="707"/>
      <c r="D203" s="707"/>
      <c r="E203" s="706"/>
    </row>
    <row r="204">
      <c r="A204" s="706"/>
      <c r="B204" s="706"/>
      <c r="C204" s="707"/>
      <c r="D204" s="707"/>
      <c r="E204" s="706"/>
    </row>
    <row r="205">
      <c r="A205" s="706"/>
      <c r="B205" s="706"/>
      <c r="C205" s="707"/>
      <c r="D205" s="707"/>
      <c r="E205" s="706"/>
    </row>
    <row r="206">
      <c r="A206" s="706"/>
      <c r="B206" s="706"/>
      <c r="C206" s="707"/>
      <c r="D206" s="707"/>
      <c r="E206" s="706"/>
    </row>
    <row r="207">
      <c r="A207" s="706"/>
      <c r="B207" s="706"/>
      <c r="C207" s="707"/>
      <c r="D207" s="707"/>
      <c r="E207" s="706"/>
    </row>
    <row r="208">
      <c r="A208" s="706"/>
      <c r="B208" s="706"/>
      <c r="C208" s="707"/>
      <c r="D208" s="707"/>
      <c r="E208" s="706"/>
    </row>
    <row r="209">
      <c r="A209" s="706"/>
      <c r="B209" s="706"/>
      <c r="C209" s="707"/>
      <c r="D209" s="707"/>
      <c r="E209" s="706"/>
    </row>
    <row r="210">
      <c r="A210" s="706"/>
      <c r="B210" s="706"/>
      <c r="C210" s="707"/>
      <c r="D210" s="707"/>
      <c r="E210" s="706"/>
    </row>
    <row r="211">
      <c r="A211" s="706"/>
      <c r="B211" s="706"/>
      <c r="C211" s="707"/>
      <c r="D211" s="707"/>
      <c r="E211" s="706"/>
    </row>
    <row r="212">
      <c r="A212" s="706"/>
      <c r="B212" s="706"/>
      <c r="C212" s="707"/>
      <c r="D212" s="707"/>
      <c r="E212" s="706"/>
    </row>
    <row r="213">
      <c r="A213" s="706"/>
      <c r="B213" s="706"/>
      <c r="C213" s="707"/>
      <c r="D213" s="707"/>
      <c r="E213" s="706"/>
    </row>
    <row r="214">
      <c r="A214" s="706"/>
      <c r="B214" s="706"/>
      <c r="C214" s="707"/>
      <c r="D214" s="707"/>
      <c r="E214" s="706"/>
    </row>
    <row r="215">
      <c r="A215" s="706"/>
      <c r="B215" s="706"/>
      <c r="C215" s="707"/>
      <c r="D215" s="707"/>
      <c r="E215" s="706"/>
    </row>
    <row r="216">
      <c r="A216" s="706"/>
      <c r="B216" s="706"/>
      <c r="C216" s="707"/>
      <c r="D216" s="707"/>
      <c r="E216" s="706"/>
    </row>
    <row r="217">
      <c r="A217" s="706"/>
      <c r="B217" s="706"/>
      <c r="C217" s="707"/>
      <c r="D217" s="707"/>
      <c r="E217" s="706"/>
    </row>
    <row r="218">
      <c r="A218" s="706"/>
      <c r="B218" s="706"/>
      <c r="C218" s="707"/>
      <c r="D218" s="707"/>
      <c r="E218" s="706"/>
    </row>
    <row r="219">
      <c r="A219" s="706"/>
      <c r="B219" s="706"/>
      <c r="C219" s="707"/>
      <c r="D219" s="707"/>
      <c r="E219" s="706"/>
    </row>
    <row r="220">
      <c r="A220" s="706"/>
      <c r="B220" s="706"/>
      <c r="C220" s="707"/>
      <c r="D220" s="707"/>
      <c r="E220" s="706"/>
    </row>
    <row r="221">
      <c r="A221" s="706"/>
      <c r="B221" s="706"/>
      <c r="C221" s="707"/>
      <c r="D221" s="707"/>
      <c r="E221" s="706"/>
    </row>
    <row r="222">
      <c r="A222" s="706"/>
      <c r="B222" s="706"/>
      <c r="C222" s="707"/>
      <c r="D222" s="707"/>
      <c r="E222" s="706"/>
    </row>
    <row r="223">
      <c r="A223" s="706"/>
      <c r="B223" s="706"/>
      <c r="C223" s="707"/>
      <c r="D223" s="707"/>
      <c r="E223" s="706"/>
    </row>
    <row r="224">
      <c r="A224" s="706"/>
      <c r="B224" s="706"/>
      <c r="C224" s="707"/>
      <c r="D224" s="707"/>
      <c r="E224" s="706"/>
    </row>
    <row r="225">
      <c r="A225" s="706"/>
      <c r="B225" s="706"/>
      <c r="C225" s="707"/>
      <c r="D225" s="707"/>
      <c r="E225" s="706"/>
    </row>
    <row r="226">
      <c r="A226" s="706"/>
      <c r="B226" s="706"/>
      <c r="C226" s="707"/>
      <c r="D226" s="707"/>
      <c r="E226" s="706"/>
    </row>
    <row r="227">
      <c r="A227" s="706"/>
      <c r="B227" s="706"/>
      <c r="C227" s="707"/>
      <c r="D227" s="707"/>
      <c r="E227" s="706"/>
    </row>
    <row r="228">
      <c r="A228" s="706"/>
      <c r="B228" s="706"/>
      <c r="C228" s="707"/>
      <c r="D228" s="707"/>
      <c r="E228" s="706"/>
    </row>
    <row r="229">
      <c r="A229" s="706"/>
      <c r="B229" s="706"/>
      <c r="C229" s="707"/>
      <c r="D229" s="707"/>
      <c r="E229" s="706"/>
    </row>
    <row r="230">
      <c r="A230" s="706"/>
      <c r="B230" s="706"/>
      <c r="C230" s="707"/>
      <c r="D230" s="707"/>
      <c r="E230" s="706"/>
    </row>
    <row r="231">
      <c r="A231" s="706"/>
      <c r="B231" s="706"/>
      <c r="C231" s="707"/>
      <c r="D231" s="707"/>
      <c r="E231" s="706"/>
    </row>
    <row r="232">
      <c r="A232" s="706"/>
      <c r="B232" s="706"/>
      <c r="C232" s="707"/>
      <c r="D232" s="707"/>
      <c r="E232" s="706"/>
    </row>
    <row r="233">
      <c r="A233" s="706"/>
      <c r="B233" s="706"/>
      <c r="C233" s="707"/>
      <c r="D233" s="707"/>
      <c r="E233" s="706"/>
    </row>
    <row r="234">
      <c r="A234" s="706"/>
      <c r="B234" s="706"/>
      <c r="C234" s="707"/>
      <c r="D234" s="707"/>
      <c r="E234" s="706"/>
    </row>
    <row r="235">
      <c r="A235" s="706"/>
      <c r="B235" s="706"/>
      <c r="C235" s="707"/>
      <c r="D235" s="707"/>
      <c r="E235" s="706"/>
    </row>
    <row r="236">
      <c r="A236" s="706"/>
      <c r="B236" s="706"/>
      <c r="C236" s="707"/>
      <c r="D236" s="707"/>
      <c r="E236" s="706"/>
    </row>
    <row r="237">
      <c r="A237" s="706"/>
      <c r="B237" s="706"/>
      <c r="C237" s="707"/>
      <c r="D237" s="707"/>
      <c r="E237" s="706"/>
    </row>
    <row r="238">
      <c r="A238" s="706"/>
      <c r="B238" s="706"/>
      <c r="C238" s="707"/>
      <c r="D238" s="707"/>
      <c r="E238" s="706"/>
    </row>
    <row r="239">
      <c r="A239" s="706"/>
      <c r="B239" s="706"/>
      <c r="C239" s="707"/>
      <c r="D239" s="707"/>
      <c r="E239" s="706"/>
    </row>
    <row r="240">
      <c r="A240" s="706"/>
      <c r="B240" s="706"/>
      <c r="C240" s="707"/>
      <c r="D240" s="707"/>
      <c r="E240" s="706"/>
    </row>
    <row r="241">
      <c r="A241" s="706"/>
      <c r="B241" s="706"/>
      <c r="C241" s="707"/>
      <c r="D241" s="707"/>
      <c r="E241" s="706"/>
    </row>
    <row r="242">
      <c r="A242" s="706"/>
      <c r="B242" s="706"/>
      <c r="C242" s="707"/>
      <c r="D242" s="707"/>
      <c r="E242" s="706"/>
    </row>
    <row r="243">
      <c r="A243" s="706"/>
      <c r="B243" s="706"/>
      <c r="C243" s="707"/>
      <c r="D243" s="707"/>
      <c r="E243" s="706"/>
    </row>
    <row r="244">
      <c r="A244" s="706"/>
      <c r="B244" s="706"/>
      <c r="C244" s="707"/>
      <c r="D244" s="707"/>
      <c r="E244" s="706"/>
    </row>
    <row r="245">
      <c r="A245" s="706"/>
      <c r="B245" s="706"/>
      <c r="C245" s="707"/>
      <c r="D245" s="707"/>
      <c r="E245" s="706"/>
    </row>
    <row r="246">
      <c r="A246" s="706"/>
      <c r="B246" s="706"/>
      <c r="C246" s="707"/>
      <c r="D246" s="707"/>
      <c r="E246" s="706"/>
    </row>
    <row r="247">
      <c r="A247" s="706"/>
      <c r="B247" s="706"/>
      <c r="C247" s="707"/>
      <c r="D247" s="707"/>
      <c r="E247" s="706"/>
    </row>
    <row r="248">
      <c r="A248" s="706"/>
      <c r="B248" s="706"/>
      <c r="C248" s="707"/>
      <c r="D248" s="707"/>
      <c r="E248" s="706"/>
    </row>
    <row r="249">
      <c r="A249" s="706"/>
      <c r="B249" s="706"/>
      <c r="C249" s="707"/>
      <c r="D249" s="707"/>
      <c r="E249" s="706"/>
    </row>
    <row r="250">
      <c r="A250" s="706"/>
      <c r="B250" s="706"/>
      <c r="C250" s="707"/>
      <c r="D250" s="707"/>
      <c r="E250" s="706"/>
    </row>
    <row r="251">
      <c r="A251" s="706"/>
      <c r="B251" s="706"/>
      <c r="C251" s="707"/>
      <c r="D251" s="707"/>
      <c r="E251" s="706"/>
    </row>
    <row r="252">
      <c r="A252" s="706"/>
      <c r="B252" s="706"/>
      <c r="C252" s="707"/>
      <c r="D252" s="707"/>
      <c r="E252" s="706"/>
    </row>
    <row r="253">
      <c r="A253" s="706"/>
      <c r="B253" s="706"/>
      <c r="C253" s="707"/>
      <c r="D253" s="707"/>
      <c r="E253" s="706"/>
    </row>
    <row r="254">
      <c r="A254" s="706"/>
      <c r="B254" s="706"/>
      <c r="C254" s="707"/>
      <c r="D254" s="707"/>
      <c r="E254" s="706"/>
    </row>
    <row r="255">
      <c r="A255" s="706"/>
      <c r="B255" s="706"/>
      <c r="C255" s="707"/>
      <c r="D255" s="707"/>
      <c r="E255" s="706"/>
    </row>
    <row r="256">
      <c r="A256" s="706"/>
      <c r="B256" s="706"/>
      <c r="C256" s="707"/>
      <c r="D256" s="707"/>
      <c r="E256" s="706"/>
    </row>
    <row r="257">
      <c r="A257" s="706"/>
      <c r="B257" s="706"/>
      <c r="C257" s="707"/>
      <c r="D257" s="707"/>
      <c r="E257" s="706"/>
    </row>
    <row r="258">
      <c r="A258" s="706"/>
      <c r="B258" s="706"/>
      <c r="C258" s="707"/>
      <c r="D258" s="707"/>
      <c r="E258" s="706"/>
    </row>
    <row r="259">
      <c r="A259" s="706"/>
      <c r="B259" s="706"/>
      <c r="C259" s="707"/>
      <c r="D259" s="707"/>
      <c r="E259" s="706"/>
    </row>
    <row r="260">
      <c r="A260" s="706"/>
      <c r="B260" s="706"/>
      <c r="C260" s="707"/>
      <c r="D260" s="707"/>
      <c r="E260" s="706"/>
    </row>
    <row r="261">
      <c r="A261" s="706"/>
      <c r="B261" s="706"/>
      <c r="C261" s="707"/>
      <c r="D261" s="707"/>
      <c r="E261" s="706"/>
    </row>
    <row r="262">
      <c r="A262" s="706"/>
      <c r="B262" s="706"/>
      <c r="C262" s="707"/>
      <c r="D262" s="707"/>
      <c r="E262" s="706"/>
    </row>
    <row r="263">
      <c r="A263" s="706"/>
      <c r="B263" s="706"/>
      <c r="C263" s="707"/>
      <c r="D263" s="707"/>
      <c r="E263" s="706"/>
    </row>
    <row r="264">
      <c r="A264" s="706"/>
      <c r="B264" s="706"/>
      <c r="C264" s="707"/>
      <c r="D264" s="707"/>
      <c r="E264" s="706"/>
    </row>
    <row r="265">
      <c r="A265" s="706"/>
      <c r="B265" s="706"/>
      <c r="C265" s="707"/>
      <c r="D265" s="707"/>
      <c r="E265" s="706"/>
    </row>
    <row r="266">
      <c r="A266" s="706"/>
      <c r="B266" s="706"/>
      <c r="C266" s="707"/>
      <c r="D266" s="707"/>
      <c r="E266" s="706"/>
    </row>
    <row r="267">
      <c r="A267" s="706"/>
      <c r="B267" s="706"/>
      <c r="C267" s="707"/>
      <c r="D267" s="707"/>
      <c r="E267" s="706"/>
    </row>
    <row r="268">
      <c r="A268" s="706"/>
      <c r="B268" s="706"/>
      <c r="C268" s="707"/>
      <c r="D268" s="707"/>
      <c r="E268" s="706"/>
    </row>
    <row r="269">
      <c r="A269" s="706"/>
      <c r="B269" s="706"/>
      <c r="C269" s="707"/>
      <c r="D269" s="707"/>
      <c r="E269" s="706"/>
    </row>
    <row r="270">
      <c r="A270" s="706"/>
      <c r="B270" s="706"/>
      <c r="C270" s="707"/>
      <c r="D270" s="707"/>
      <c r="E270" s="706"/>
    </row>
    <row r="271">
      <c r="A271" s="706"/>
      <c r="B271" s="706"/>
      <c r="C271" s="707"/>
      <c r="D271" s="707"/>
      <c r="E271" s="706"/>
    </row>
    <row r="272">
      <c r="A272" s="706"/>
      <c r="B272" s="706"/>
      <c r="C272" s="707"/>
      <c r="D272" s="707"/>
      <c r="E272" s="706"/>
    </row>
    <row r="273">
      <c r="A273" s="706"/>
      <c r="B273" s="706"/>
      <c r="C273" s="707"/>
      <c r="D273" s="707"/>
      <c r="E273" s="706"/>
    </row>
    <row r="274">
      <c r="A274" s="706"/>
      <c r="B274" s="706"/>
      <c r="C274" s="707"/>
      <c r="D274" s="707"/>
      <c r="E274" s="706"/>
    </row>
    <row r="275">
      <c r="A275" s="706"/>
      <c r="B275" s="706"/>
      <c r="C275" s="707"/>
      <c r="D275" s="707"/>
      <c r="E275" s="706"/>
    </row>
    <row r="276">
      <c r="A276" s="706"/>
      <c r="B276" s="706"/>
      <c r="C276" s="707"/>
      <c r="D276" s="707"/>
      <c r="E276" s="706"/>
    </row>
    <row r="277">
      <c r="A277" s="706"/>
      <c r="B277" s="706"/>
      <c r="C277" s="707"/>
      <c r="D277" s="707"/>
      <c r="E277" s="706"/>
    </row>
    <row r="278">
      <c r="A278" s="706"/>
      <c r="B278" s="706"/>
      <c r="C278" s="707"/>
      <c r="D278" s="707"/>
      <c r="E278" s="706"/>
    </row>
    <row r="279">
      <c r="A279" s="706"/>
      <c r="B279" s="706"/>
      <c r="C279" s="707"/>
      <c r="D279" s="707"/>
      <c r="E279" s="706"/>
    </row>
    <row r="280">
      <c r="A280" s="706"/>
      <c r="B280" s="706"/>
      <c r="C280" s="707"/>
      <c r="D280" s="707"/>
      <c r="E280" s="706"/>
    </row>
    <row r="281">
      <c r="A281" s="706"/>
      <c r="B281" s="706"/>
      <c r="C281" s="707"/>
      <c r="D281" s="707"/>
      <c r="E281" s="706"/>
    </row>
    <row r="282">
      <c r="A282" s="706"/>
      <c r="B282" s="706"/>
      <c r="C282" s="707"/>
      <c r="D282" s="707"/>
      <c r="E282" s="706"/>
    </row>
    <row r="283">
      <c r="A283" s="706"/>
      <c r="B283" s="706"/>
      <c r="C283" s="707"/>
      <c r="D283" s="707"/>
      <c r="E283" s="706"/>
    </row>
    <row r="284">
      <c r="A284" s="706"/>
      <c r="B284" s="706"/>
      <c r="C284" s="707"/>
      <c r="D284" s="707"/>
      <c r="E284" s="706"/>
    </row>
    <row r="285">
      <c r="A285" s="706"/>
      <c r="B285" s="706"/>
      <c r="C285" s="707"/>
      <c r="D285" s="707"/>
      <c r="E285" s="706"/>
    </row>
    <row r="286">
      <c r="A286" s="706"/>
      <c r="B286" s="706"/>
      <c r="C286" s="707"/>
      <c r="D286" s="707"/>
      <c r="E286" s="706"/>
    </row>
    <row r="287">
      <c r="A287" s="706"/>
      <c r="B287" s="706"/>
      <c r="C287" s="707"/>
      <c r="D287" s="707"/>
      <c r="E287" s="706"/>
    </row>
    <row r="288">
      <c r="A288" s="706"/>
      <c r="B288" s="706"/>
      <c r="C288" s="707"/>
      <c r="D288" s="707"/>
      <c r="E288" s="706"/>
    </row>
    <row r="289">
      <c r="A289" s="706"/>
      <c r="B289" s="706"/>
      <c r="C289" s="707"/>
      <c r="D289" s="707"/>
      <c r="E289" s="706"/>
    </row>
    <row r="290">
      <c r="A290" s="706"/>
      <c r="B290" s="706"/>
      <c r="C290" s="707"/>
      <c r="D290" s="707"/>
      <c r="E290" s="706"/>
    </row>
    <row r="291">
      <c r="A291" s="706"/>
      <c r="B291" s="706"/>
      <c r="C291" s="707"/>
      <c r="D291" s="707"/>
      <c r="E291" s="706"/>
    </row>
    <row r="292">
      <c r="A292" s="706"/>
      <c r="B292" s="706"/>
      <c r="C292" s="707"/>
      <c r="D292" s="707"/>
      <c r="E292" s="706"/>
    </row>
    <row r="293">
      <c r="A293" s="706"/>
      <c r="B293" s="706"/>
      <c r="C293" s="707"/>
      <c r="D293" s="707"/>
      <c r="E293" s="706"/>
    </row>
    <row r="294">
      <c r="A294" s="706"/>
      <c r="B294" s="706"/>
      <c r="C294" s="707"/>
      <c r="D294" s="707"/>
      <c r="E294" s="706"/>
    </row>
    <row r="295">
      <c r="A295" s="706"/>
      <c r="B295" s="706"/>
      <c r="C295" s="707"/>
      <c r="D295" s="707"/>
      <c r="E295" s="706"/>
    </row>
    <row r="296">
      <c r="A296" s="706"/>
      <c r="B296" s="706"/>
      <c r="C296" s="707"/>
      <c r="D296" s="707"/>
      <c r="E296" s="706"/>
    </row>
    <row r="297">
      <c r="A297" s="706"/>
      <c r="B297" s="706"/>
      <c r="C297" s="707"/>
      <c r="D297" s="707"/>
      <c r="E297" s="706"/>
    </row>
    <row r="298">
      <c r="A298" s="706"/>
      <c r="B298" s="706"/>
      <c r="C298" s="707"/>
      <c r="D298" s="707"/>
      <c r="E298" s="706"/>
    </row>
    <row r="299">
      <c r="A299" s="706"/>
      <c r="B299" s="706"/>
      <c r="C299" s="707"/>
      <c r="D299" s="707"/>
      <c r="E299" s="706"/>
    </row>
    <row r="300">
      <c r="A300" s="706"/>
      <c r="B300" s="706"/>
      <c r="C300" s="707"/>
      <c r="D300" s="707"/>
      <c r="E300" s="706"/>
    </row>
    <row r="301">
      <c r="A301" s="706"/>
      <c r="B301" s="706"/>
      <c r="C301" s="707"/>
      <c r="D301" s="707"/>
      <c r="E301" s="706"/>
    </row>
    <row r="302">
      <c r="A302" s="706"/>
      <c r="B302" s="706"/>
      <c r="C302" s="707"/>
      <c r="D302" s="707"/>
      <c r="E302" s="706"/>
    </row>
    <row r="303">
      <c r="A303" s="706"/>
      <c r="B303" s="706"/>
      <c r="C303" s="707"/>
      <c r="D303" s="707"/>
      <c r="E303" s="706"/>
    </row>
    <row r="304">
      <c r="A304" s="706"/>
      <c r="B304" s="706"/>
      <c r="C304" s="707"/>
      <c r="D304" s="707"/>
      <c r="E304" s="706"/>
    </row>
    <row r="305">
      <c r="A305" s="706"/>
      <c r="B305" s="706"/>
      <c r="C305" s="707"/>
      <c r="D305" s="707"/>
      <c r="E305" s="706"/>
    </row>
    <row r="306">
      <c r="A306" s="706"/>
      <c r="B306" s="706"/>
      <c r="C306" s="707"/>
      <c r="D306" s="707"/>
      <c r="E306" s="706"/>
    </row>
    <row r="307">
      <c r="A307" s="706"/>
      <c r="B307" s="706"/>
      <c r="C307" s="707"/>
      <c r="D307" s="707"/>
      <c r="E307" s="706"/>
    </row>
    <row r="308">
      <c r="A308" s="706"/>
      <c r="B308" s="706"/>
      <c r="C308" s="707"/>
      <c r="D308" s="707"/>
      <c r="E308" s="706"/>
    </row>
    <row r="309">
      <c r="A309" s="706"/>
      <c r="B309" s="706"/>
      <c r="C309" s="707"/>
      <c r="D309" s="707"/>
      <c r="E309" s="706"/>
    </row>
    <row r="310">
      <c r="A310" s="706"/>
      <c r="B310" s="706"/>
      <c r="C310" s="707"/>
      <c r="D310" s="707"/>
      <c r="E310" s="706"/>
    </row>
    <row r="311">
      <c r="A311" s="706"/>
      <c r="B311" s="706"/>
      <c r="C311" s="707"/>
      <c r="D311" s="707"/>
      <c r="E311" s="706"/>
    </row>
    <row r="312">
      <c r="A312" s="706"/>
      <c r="B312" s="706"/>
      <c r="C312" s="707"/>
      <c r="D312" s="707"/>
      <c r="E312" s="706"/>
    </row>
    <row r="313">
      <c r="A313" s="706"/>
      <c r="B313" s="706"/>
      <c r="C313" s="707"/>
      <c r="D313" s="707"/>
      <c r="E313" s="706"/>
    </row>
    <row r="314">
      <c r="A314" s="706"/>
      <c r="B314" s="706"/>
      <c r="C314" s="707"/>
      <c r="D314" s="707"/>
      <c r="E314" s="706"/>
    </row>
    <row r="315">
      <c r="A315" s="706"/>
      <c r="B315" s="706"/>
      <c r="C315" s="707"/>
      <c r="D315" s="707"/>
      <c r="E315" s="706"/>
    </row>
    <row r="316">
      <c r="A316" s="706"/>
      <c r="B316" s="706"/>
      <c r="C316" s="707"/>
      <c r="D316" s="707"/>
      <c r="E316" s="706"/>
    </row>
    <row r="317">
      <c r="A317" s="706"/>
      <c r="B317" s="706"/>
      <c r="C317" s="707"/>
      <c r="D317" s="707"/>
      <c r="E317" s="706"/>
    </row>
    <row r="318">
      <c r="A318" s="706"/>
      <c r="B318" s="706"/>
      <c r="C318" s="707"/>
      <c r="D318" s="707"/>
      <c r="E318" s="706"/>
    </row>
    <row r="319">
      <c r="A319" s="706"/>
      <c r="B319" s="706"/>
      <c r="C319" s="707"/>
      <c r="D319" s="707"/>
      <c r="E319" s="706"/>
    </row>
    <row r="320">
      <c r="A320" s="706"/>
      <c r="B320" s="706"/>
      <c r="C320" s="707"/>
      <c r="D320" s="707"/>
      <c r="E320" s="706"/>
    </row>
    <row r="321">
      <c r="A321" s="706"/>
      <c r="B321" s="706"/>
      <c r="C321" s="707"/>
      <c r="D321" s="707"/>
      <c r="E321" s="706"/>
    </row>
    <row r="322">
      <c r="A322" s="706"/>
      <c r="B322" s="706"/>
      <c r="C322" s="707"/>
      <c r="D322" s="707"/>
      <c r="E322" s="706"/>
    </row>
    <row r="323">
      <c r="A323" s="706"/>
      <c r="B323" s="706"/>
      <c r="C323" s="707"/>
      <c r="D323" s="707"/>
      <c r="E323" s="706"/>
    </row>
    <row r="324">
      <c r="A324" s="706"/>
      <c r="B324" s="706"/>
      <c r="C324" s="707"/>
      <c r="D324" s="707"/>
      <c r="E324" s="706"/>
    </row>
    <row r="325">
      <c r="A325" s="706"/>
      <c r="B325" s="706"/>
      <c r="C325" s="707"/>
      <c r="D325" s="707"/>
      <c r="E325" s="706"/>
    </row>
    <row r="326">
      <c r="A326" s="706"/>
      <c r="B326" s="706"/>
      <c r="C326" s="707"/>
      <c r="D326" s="707"/>
      <c r="E326" s="706"/>
    </row>
    <row r="327">
      <c r="A327" s="706"/>
      <c r="B327" s="706"/>
      <c r="C327" s="707"/>
      <c r="D327" s="707"/>
      <c r="E327" s="706"/>
    </row>
    <row r="328">
      <c r="A328" s="706"/>
      <c r="B328" s="706"/>
      <c r="C328" s="707"/>
      <c r="D328" s="707"/>
      <c r="E328" s="706"/>
    </row>
    <row r="329">
      <c r="A329" s="706"/>
      <c r="B329" s="706"/>
      <c r="C329" s="707"/>
      <c r="D329" s="707"/>
      <c r="E329" s="706"/>
    </row>
    <row r="330">
      <c r="A330" s="706"/>
      <c r="B330" s="706"/>
      <c r="C330" s="707"/>
      <c r="D330" s="707"/>
      <c r="E330" s="706"/>
    </row>
    <row r="331">
      <c r="A331" s="706"/>
      <c r="B331" s="706"/>
      <c r="C331" s="707"/>
      <c r="D331" s="707"/>
      <c r="E331" s="706"/>
    </row>
    <row r="332">
      <c r="A332" s="706"/>
      <c r="B332" s="706"/>
      <c r="C332" s="707"/>
      <c r="D332" s="707"/>
      <c r="E332" s="706"/>
    </row>
    <row r="333">
      <c r="A333" s="706"/>
      <c r="B333" s="706"/>
      <c r="C333" s="707"/>
      <c r="D333" s="707"/>
      <c r="E333" s="706"/>
    </row>
    <row r="334">
      <c r="A334" s="706"/>
      <c r="B334" s="706"/>
      <c r="C334" s="707"/>
      <c r="D334" s="707"/>
      <c r="E334" s="706"/>
    </row>
    <row r="335">
      <c r="A335" s="706"/>
      <c r="B335" s="706"/>
      <c r="C335" s="707"/>
      <c r="D335" s="707"/>
      <c r="E335" s="706"/>
    </row>
    <row r="336">
      <c r="A336" s="706"/>
      <c r="B336" s="706"/>
      <c r="C336" s="707"/>
      <c r="D336" s="707"/>
      <c r="E336" s="706"/>
    </row>
    <row r="337">
      <c r="A337" s="706"/>
      <c r="B337" s="706"/>
      <c r="C337" s="707"/>
      <c r="D337" s="707"/>
      <c r="E337" s="706"/>
    </row>
    <row r="338">
      <c r="A338" s="706"/>
      <c r="B338" s="706"/>
      <c r="C338" s="707"/>
      <c r="D338" s="707"/>
      <c r="E338" s="706"/>
    </row>
    <row r="339">
      <c r="A339" s="706"/>
      <c r="B339" s="706"/>
      <c r="C339" s="707"/>
      <c r="D339" s="707"/>
      <c r="E339" s="706"/>
    </row>
    <row r="340">
      <c r="A340" s="706"/>
      <c r="B340" s="706"/>
      <c r="C340" s="707"/>
      <c r="D340" s="707"/>
      <c r="E340" s="706"/>
    </row>
    <row r="341">
      <c r="A341" s="706"/>
      <c r="B341" s="706"/>
      <c r="C341" s="707"/>
      <c r="D341" s="707"/>
      <c r="E341" s="706"/>
    </row>
    <row r="342">
      <c r="A342" s="706"/>
      <c r="B342" s="706"/>
      <c r="C342" s="707"/>
      <c r="D342" s="707"/>
      <c r="E342" s="706"/>
    </row>
    <row r="343">
      <c r="A343" s="706"/>
      <c r="B343" s="706"/>
      <c r="C343" s="707"/>
      <c r="D343" s="707"/>
      <c r="E343" s="706"/>
    </row>
    <row r="344">
      <c r="A344" s="706"/>
      <c r="B344" s="706"/>
      <c r="C344" s="707"/>
      <c r="D344" s="707"/>
      <c r="E344" s="706"/>
    </row>
    <row r="345">
      <c r="A345" s="706"/>
      <c r="B345" s="706"/>
      <c r="C345" s="707"/>
      <c r="D345" s="707"/>
      <c r="E345" s="706"/>
    </row>
    <row r="346">
      <c r="A346" s="706"/>
      <c r="B346" s="706"/>
      <c r="C346" s="707"/>
      <c r="D346" s="707"/>
      <c r="E346" s="706"/>
    </row>
    <row r="347">
      <c r="A347" s="706"/>
      <c r="B347" s="706"/>
      <c r="C347" s="707"/>
      <c r="D347" s="707"/>
      <c r="E347" s="706"/>
    </row>
    <row r="348">
      <c r="A348" s="706"/>
      <c r="B348" s="706"/>
      <c r="C348" s="707"/>
      <c r="D348" s="707"/>
      <c r="E348" s="706"/>
    </row>
    <row r="349">
      <c r="A349" s="706"/>
      <c r="B349" s="706"/>
      <c r="C349" s="707"/>
      <c r="D349" s="707"/>
      <c r="E349" s="706"/>
    </row>
    <row r="350">
      <c r="A350" s="706"/>
      <c r="B350" s="706"/>
      <c r="C350" s="707"/>
      <c r="D350" s="707"/>
      <c r="E350" s="706"/>
    </row>
    <row r="351">
      <c r="A351" s="706"/>
      <c r="B351" s="706"/>
      <c r="C351" s="707"/>
      <c r="D351" s="707"/>
      <c r="E351" s="706"/>
    </row>
    <row r="352">
      <c r="A352" s="706"/>
      <c r="B352" s="706"/>
      <c r="C352" s="707"/>
      <c r="D352" s="707"/>
      <c r="E352" s="706"/>
    </row>
    <row r="353">
      <c r="A353" s="706"/>
      <c r="B353" s="706"/>
      <c r="C353" s="707"/>
      <c r="D353" s="707"/>
      <c r="E353" s="706"/>
    </row>
    <row r="354">
      <c r="A354" s="706"/>
      <c r="B354" s="706"/>
      <c r="C354" s="707"/>
      <c r="D354" s="707"/>
      <c r="E354" s="706"/>
    </row>
    <row r="355">
      <c r="A355" s="706"/>
      <c r="B355" s="706"/>
      <c r="C355" s="707"/>
      <c r="D355" s="707"/>
      <c r="E355" s="706"/>
    </row>
    <row r="356">
      <c r="A356" s="706"/>
      <c r="B356" s="706"/>
      <c r="C356" s="707"/>
      <c r="D356" s="707"/>
      <c r="E356" s="706"/>
    </row>
    <row r="357">
      <c r="A357" s="706"/>
      <c r="B357" s="706"/>
      <c r="C357" s="707"/>
      <c r="D357" s="707"/>
      <c r="E357" s="706"/>
    </row>
    <row r="358">
      <c r="A358" s="706"/>
      <c r="B358" s="706"/>
      <c r="C358" s="707"/>
      <c r="D358" s="707"/>
      <c r="E358" s="706"/>
    </row>
    <row r="359">
      <c r="A359" s="706"/>
      <c r="B359" s="706"/>
      <c r="C359" s="707"/>
      <c r="D359" s="707"/>
      <c r="E359" s="706"/>
    </row>
    <row r="360">
      <c r="A360" s="706"/>
      <c r="B360" s="706"/>
      <c r="C360" s="707"/>
      <c r="D360" s="707"/>
      <c r="E360" s="706"/>
    </row>
    <row r="361">
      <c r="A361" s="706"/>
      <c r="B361" s="706"/>
      <c r="C361" s="707"/>
      <c r="D361" s="707"/>
      <c r="E361" s="706"/>
    </row>
    <row r="362">
      <c r="A362" s="706"/>
      <c r="B362" s="706"/>
      <c r="C362" s="707"/>
      <c r="D362" s="707"/>
      <c r="E362" s="706"/>
    </row>
    <row r="363">
      <c r="A363" s="706"/>
      <c r="B363" s="706"/>
      <c r="C363" s="707"/>
      <c r="D363" s="707"/>
      <c r="E363" s="706"/>
    </row>
    <row r="364">
      <c r="A364" s="706"/>
      <c r="B364" s="706"/>
      <c r="C364" s="707"/>
      <c r="D364" s="707"/>
      <c r="E364" s="706"/>
    </row>
    <row r="365">
      <c r="A365" s="706"/>
      <c r="B365" s="706"/>
      <c r="C365" s="707"/>
      <c r="D365" s="707"/>
      <c r="E365" s="706"/>
    </row>
    <row r="366">
      <c r="A366" s="706"/>
      <c r="B366" s="706"/>
      <c r="C366" s="707"/>
      <c r="D366" s="707"/>
      <c r="E366" s="706"/>
    </row>
    <row r="367">
      <c r="A367" s="706"/>
      <c r="B367" s="706"/>
      <c r="C367" s="707"/>
      <c r="D367" s="707"/>
      <c r="E367" s="706"/>
    </row>
    <row r="368">
      <c r="A368" s="706"/>
      <c r="B368" s="706"/>
      <c r="C368" s="707"/>
      <c r="D368" s="707"/>
      <c r="E368" s="706"/>
    </row>
    <row r="369">
      <c r="A369" s="706"/>
      <c r="B369" s="706"/>
      <c r="C369" s="707"/>
      <c r="D369" s="707"/>
      <c r="E369" s="706"/>
    </row>
    <row r="370">
      <c r="A370" s="706"/>
      <c r="B370" s="706"/>
      <c r="C370" s="707"/>
      <c r="D370" s="707"/>
      <c r="E370" s="706"/>
    </row>
    <row r="371">
      <c r="A371" s="706"/>
      <c r="B371" s="706"/>
      <c r="C371" s="707"/>
      <c r="D371" s="707"/>
      <c r="E371" s="706"/>
    </row>
    <row r="372">
      <c r="A372" s="706"/>
      <c r="B372" s="706"/>
      <c r="C372" s="707"/>
      <c r="D372" s="707"/>
      <c r="E372" s="706"/>
    </row>
    <row r="373">
      <c r="A373" s="706"/>
      <c r="B373" s="706"/>
      <c r="C373" s="707"/>
      <c r="D373" s="707"/>
      <c r="E373" s="706"/>
    </row>
    <row r="374">
      <c r="A374" s="706"/>
      <c r="B374" s="706"/>
      <c r="C374" s="707"/>
      <c r="D374" s="707"/>
      <c r="E374" s="706"/>
    </row>
    <row r="375">
      <c r="A375" s="706"/>
      <c r="B375" s="706"/>
      <c r="C375" s="707"/>
      <c r="D375" s="707"/>
      <c r="E375" s="706"/>
    </row>
    <row r="376">
      <c r="A376" s="706"/>
      <c r="B376" s="706"/>
      <c r="C376" s="707"/>
      <c r="D376" s="707"/>
      <c r="E376" s="706"/>
    </row>
    <row r="377">
      <c r="A377" s="706"/>
      <c r="B377" s="706"/>
      <c r="C377" s="707"/>
      <c r="D377" s="707"/>
      <c r="E377" s="706"/>
    </row>
    <row r="378">
      <c r="A378" s="706"/>
      <c r="B378" s="706"/>
      <c r="C378" s="707"/>
      <c r="D378" s="707"/>
      <c r="E378" s="706"/>
    </row>
    <row r="379">
      <c r="A379" s="706"/>
      <c r="B379" s="706"/>
      <c r="C379" s="707"/>
      <c r="D379" s="707"/>
      <c r="E379" s="706"/>
    </row>
    <row r="380">
      <c r="A380" s="706"/>
      <c r="B380" s="706"/>
      <c r="C380" s="707"/>
      <c r="D380" s="707"/>
      <c r="E380" s="706"/>
    </row>
    <row r="381">
      <c r="A381" s="706"/>
      <c r="B381" s="706"/>
      <c r="C381" s="707"/>
      <c r="D381" s="707"/>
      <c r="E381" s="706"/>
    </row>
    <row r="382">
      <c r="A382" s="706"/>
      <c r="B382" s="706"/>
      <c r="C382" s="707"/>
      <c r="D382" s="707"/>
      <c r="E382" s="706"/>
    </row>
    <row r="383">
      <c r="A383" s="706"/>
      <c r="B383" s="706"/>
      <c r="C383" s="707"/>
      <c r="D383" s="707"/>
      <c r="E383" s="706"/>
    </row>
    <row r="384">
      <c r="A384" s="706"/>
      <c r="B384" s="706"/>
      <c r="C384" s="707"/>
      <c r="D384" s="707"/>
      <c r="E384" s="706"/>
    </row>
    <row r="385">
      <c r="A385" s="706"/>
      <c r="B385" s="706"/>
      <c r="C385" s="707"/>
      <c r="D385" s="707"/>
      <c r="E385" s="706"/>
    </row>
    <row r="386">
      <c r="A386" s="706"/>
      <c r="B386" s="706"/>
      <c r="C386" s="707"/>
      <c r="D386" s="707"/>
      <c r="E386" s="706"/>
    </row>
    <row r="387">
      <c r="A387" s="706"/>
      <c r="B387" s="706"/>
      <c r="C387" s="707"/>
      <c r="D387" s="707"/>
      <c r="E387" s="706"/>
    </row>
    <row r="388">
      <c r="A388" s="706"/>
      <c r="B388" s="706"/>
      <c r="C388" s="707"/>
      <c r="D388" s="707"/>
      <c r="E388" s="706"/>
    </row>
    <row r="389">
      <c r="A389" s="706"/>
      <c r="B389" s="706"/>
      <c r="C389" s="707"/>
      <c r="D389" s="707"/>
      <c r="E389" s="706"/>
    </row>
    <row r="390">
      <c r="A390" s="706"/>
      <c r="B390" s="706"/>
      <c r="C390" s="707"/>
      <c r="D390" s="707"/>
      <c r="E390" s="706"/>
    </row>
    <row r="391">
      <c r="A391" s="706"/>
      <c r="B391" s="706"/>
      <c r="C391" s="707"/>
      <c r="D391" s="707"/>
      <c r="E391" s="706"/>
    </row>
    <row r="392">
      <c r="A392" s="706"/>
      <c r="B392" s="706"/>
      <c r="C392" s="707"/>
      <c r="D392" s="707"/>
      <c r="E392" s="706"/>
    </row>
    <row r="393">
      <c r="A393" s="706"/>
      <c r="B393" s="706"/>
      <c r="C393" s="707"/>
      <c r="D393" s="707"/>
      <c r="E393" s="706"/>
    </row>
    <row r="394">
      <c r="A394" s="706"/>
      <c r="B394" s="706"/>
      <c r="C394" s="707"/>
      <c r="D394" s="707"/>
      <c r="E394" s="706"/>
    </row>
    <row r="395">
      <c r="A395" s="706"/>
      <c r="B395" s="706"/>
      <c r="C395" s="707"/>
      <c r="D395" s="707"/>
      <c r="E395" s="706"/>
    </row>
    <row r="396">
      <c r="A396" s="706"/>
      <c r="B396" s="706"/>
      <c r="C396" s="707"/>
      <c r="D396" s="707"/>
      <c r="E396" s="706"/>
    </row>
    <row r="397">
      <c r="A397" s="706"/>
      <c r="B397" s="706"/>
      <c r="C397" s="707"/>
      <c r="D397" s="707"/>
      <c r="E397" s="706"/>
    </row>
    <row r="398">
      <c r="A398" s="706"/>
      <c r="B398" s="706"/>
      <c r="C398" s="707"/>
      <c r="D398" s="707"/>
      <c r="E398" s="706"/>
    </row>
    <row r="399">
      <c r="A399" s="706"/>
      <c r="B399" s="706"/>
      <c r="C399" s="707"/>
      <c r="D399" s="707"/>
      <c r="E399" s="706"/>
    </row>
    <row r="400">
      <c r="A400" s="706"/>
      <c r="B400" s="706"/>
      <c r="C400" s="707"/>
      <c r="D400" s="707"/>
      <c r="E400" s="706"/>
    </row>
    <row r="401">
      <c r="A401" s="706"/>
      <c r="B401" s="706"/>
      <c r="C401" s="707"/>
      <c r="D401" s="707"/>
      <c r="E401" s="706"/>
    </row>
    <row r="402">
      <c r="A402" s="706"/>
      <c r="B402" s="706"/>
      <c r="C402" s="707"/>
      <c r="D402" s="707"/>
      <c r="E402" s="706"/>
    </row>
    <row r="403">
      <c r="A403" s="706"/>
      <c r="B403" s="706"/>
      <c r="C403" s="707"/>
      <c r="D403" s="707"/>
      <c r="E403" s="706"/>
    </row>
    <row r="404">
      <c r="A404" s="706"/>
      <c r="B404" s="706"/>
      <c r="C404" s="707"/>
      <c r="D404" s="707"/>
      <c r="E404" s="706"/>
    </row>
    <row r="405">
      <c r="A405" s="706"/>
      <c r="B405" s="706"/>
      <c r="C405" s="707"/>
      <c r="D405" s="707"/>
      <c r="E405" s="706"/>
    </row>
    <row r="406">
      <c r="A406" s="706"/>
      <c r="B406" s="706"/>
      <c r="C406" s="707"/>
      <c r="D406" s="707"/>
      <c r="E406" s="706"/>
    </row>
    <row r="407">
      <c r="A407" s="706"/>
      <c r="B407" s="706"/>
      <c r="C407" s="707"/>
      <c r="D407" s="707"/>
      <c r="E407" s="706"/>
    </row>
    <row r="408">
      <c r="A408" s="706"/>
      <c r="B408" s="706"/>
      <c r="C408" s="707"/>
      <c r="D408" s="707"/>
      <c r="E408" s="706"/>
    </row>
    <row r="409">
      <c r="A409" s="706"/>
      <c r="B409" s="706"/>
      <c r="C409" s="707"/>
      <c r="D409" s="707"/>
      <c r="E409" s="706"/>
    </row>
    <row r="410">
      <c r="A410" s="706"/>
      <c r="B410" s="706"/>
      <c r="C410" s="707"/>
      <c r="D410" s="707"/>
      <c r="E410" s="706"/>
    </row>
    <row r="411">
      <c r="A411" s="706"/>
      <c r="B411" s="706"/>
      <c r="C411" s="707"/>
      <c r="D411" s="707"/>
      <c r="E411" s="706"/>
    </row>
    <row r="412">
      <c r="A412" s="706"/>
      <c r="B412" s="706"/>
      <c r="C412" s="707"/>
      <c r="D412" s="707"/>
      <c r="E412" s="706"/>
    </row>
    <row r="413">
      <c r="A413" s="706"/>
      <c r="B413" s="706"/>
      <c r="C413" s="707"/>
      <c r="D413" s="707"/>
      <c r="E413" s="706"/>
    </row>
    <row r="414">
      <c r="A414" s="706"/>
      <c r="B414" s="706"/>
      <c r="C414" s="707"/>
      <c r="D414" s="707"/>
      <c r="E414" s="706"/>
    </row>
    <row r="415">
      <c r="A415" s="706"/>
      <c r="B415" s="706"/>
      <c r="C415" s="707"/>
      <c r="D415" s="707"/>
      <c r="E415" s="706"/>
    </row>
    <row r="416">
      <c r="A416" s="706"/>
      <c r="B416" s="706"/>
      <c r="C416" s="707"/>
      <c r="D416" s="707"/>
      <c r="E416" s="706"/>
    </row>
    <row r="417">
      <c r="A417" s="706"/>
      <c r="B417" s="706"/>
      <c r="C417" s="707"/>
      <c r="D417" s="707"/>
      <c r="E417" s="706"/>
    </row>
    <row r="418">
      <c r="A418" s="706"/>
      <c r="B418" s="706"/>
      <c r="C418" s="707"/>
      <c r="D418" s="707"/>
      <c r="E418" s="706"/>
    </row>
    <row r="419">
      <c r="A419" s="706"/>
      <c r="B419" s="706"/>
      <c r="C419" s="707"/>
      <c r="D419" s="707"/>
      <c r="E419" s="706"/>
    </row>
    <row r="420">
      <c r="A420" s="706"/>
      <c r="B420" s="706"/>
      <c r="C420" s="707"/>
      <c r="D420" s="707"/>
      <c r="E420" s="706"/>
    </row>
    <row r="421">
      <c r="A421" s="706"/>
      <c r="B421" s="706"/>
      <c r="C421" s="707"/>
      <c r="D421" s="707"/>
      <c r="E421" s="706"/>
    </row>
    <row r="422">
      <c r="A422" s="706"/>
      <c r="B422" s="706"/>
      <c r="C422" s="707"/>
      <c r="D422" s="707"/>
      <c r="E422" s="706"/>
    </row>
    <row r="423">
      <c r="A423" s="706"/>
      <c r="B423" s="706"/>
      <c r="C423" s="707"/>
      <c r="D423" s="707"/>
      <c r="E423" s="706"/>
    </row>
    <row r="424">
      <c r="A424" s="706"/>
      <c r="B424" s="706"/>
      <c r="C424" s="707"/>
      <c r="D424" s="707"/>
      <c r="E424" s="706"/>
    </row>
    <row r="425">
      <c r="A425" s="706"/>
      <c r="B425" s="706"/>
      <c r="C425" s="707"/>
      <c r="D425" s="707"/>
      <c r="E425" s="706"/>
    </row>
    <row r="426">
      <c r="A426" s="706"/>
      <c r="B426" s="706"/>
      <c r="C426" s="707"/>
      <c r="D426" s="707"/>
      <c r="E426" s="706"/>
    </row>
    <row r="427">
      <c r="A427" s="706"/>
      <c r="B427" s="706"/>
      <c r="C427" s="707"/>
      <c r="D427" s="707"/>
      <c r="E427" s="706"/>
    </row>
    <row r="428">
      <c r="A428" s="706"/>
      <c r="B428" s="706"/>
      <c r="C428" s="707"/>
      <c r="D428" s="707"/>
      <c r="E428" s="706"/>
    </row>
    <row r="429">
      <c r="A429" s="706"/>
      <c r="B429" s="706"/>
      <c r="C429" s="707"/>
      <c r="D429" s="707"/>
      <c r="E429" s="706"/>
    </row>
    <row r="430">
      <c r="A430" s="706"/>
      <c r="B430" s="706"/>
      <c r="C430" s="707"/>
      <c r="D430" s="707"/>
      <c r="E430" s="706"/>
    </row>
    <row r="431">
      <c r="A431" s="706"/>
      <c r="B431" s="706"/>
      <c r="C431" s="707"/>
      <c r="D431" s="707"/>
      <c r="E431" s="706"/>
    </row>
    <row r="432">
      <c r="A432" s="706"/>
      <c r="B432" s="706"/>
      <c r="C432" s="707"/>
      <c r="D432" s="707"/>
      <c r="E432" s="706"/>
    </row>
    <row r="433">
      <c r="A433" s="706"/>
      <c r="B433" s="706"/>
      <c r="C433" s="707"/>
      <c r="D433" s="707"/>
      <c r="E433" s="706"/>
    </row>
    <row r="434">
      <c r="A434" s="706"/>
      <c r="B434" s="706"/>
      <c r="C434" s="707"/>
      <c r="D434" s="707"/>
      <c r="E434" s="706"/>
    </row>
    <row r="435">
      <c r="A435" s="706"/>
      <c r="B435" s="706"/>
      <c r="C435" s="707"/>
      <c r="D435" s="707"/>
      <c r="E435" s="706"/>
    </row>
    <row r="436">
      <c r="A436" s="706"/>
      <c r="B436" s="706"/>
      <c r="C436" s="707"/>
      <c r="D436" s="707"/>
      <c r="E436" s="706"/>
    </row>
    <row r="437">
      <c r="A437" s="706"/>
      <c r="B437" s="706"/>
      <c r="C437" s="707"/>
      <c r="D437" s="707"/>
      <c r="E437" s="706"/>
    </row>
    <row r="438">
      <c r="A438" s="706"/>
      <c r="B438" s="706"/>
      <c r="C438" s="707"/>
      <c r="D438" s="707"/>
      <c r="E438" s="706"/>
    </row>
    <row r="439">
      <c r="A439" s="706"/>
      <c r="B439" s="706"/>
      <c r="C439" s="707"/>
      <c r="D439" s="707"/>
      <c r="E439" s="706"/>
    </row>
    <row r="440">
      <c r="A440" s="706"/>
      <c r="B440" s="706"/>
      <c r="C440" s="707"/>
      <c r="D440" s="707"/>
      <c r="E440" s="706"/>
    </row>
    <row r="441">
      <c r="A441" s="706"/>
      <c r="B441" s="706"/>
      <c r="C441" s="707"/>
      <c r="D441" s="707"/>
      <c r="E441" s="706"/>
    </row>
    <row r="442">
      <c r="A442" s="706"/>
      <c r="B442" s="706"/>
      <c r="C442" s="707"/>
      <c r="D442" s="707"/>
      <c r="E442" s="706"/>
    </row>
    <row r="443">
      <c r="A443" s="706"/>
      <c r="B443" s="706"/>
      <c r="C443" s="707"/>
      <c r="D443" s="707"/>
      <c r="E443" s="706"/>
    </row>
    <row r="444">
      <c r="A444" s="706"/>
      <c r="B444" s="706"/>
      <c r="C444" s="707"/>
      <c r="D444" s="707"/>
      <c r="E444" s="706"/>
    </row>
    <row r="445">
      <c r="A445" s="706"/>
      <c r="B445" s="706"/>
      <c r="C445" s="707"/>
      <c r="D445" s="707"/>
      <c r="E445" s="706"/>
    </row>
    <row r="446">
      <c r="A446" s="706"/>
      <c r="B446" s="706"/>
      <c r="C446" s="707"/>
      <c r="D446" s="707"/>
      <c r="E446" s="706"/>
    </row>
    <row r="447">
      <c r="A447" s="706"/>
      <c r="B447" s="706"/>
      <c r="C447" s="707"/>
      <c r="D447" s="707"/>
      <c r="E447" s="706"/>
    </row>
    <row r="448">
      <c r="A448" s="706"/>
      <c r="B448" s="706"/>
      <c r="C448" s="707"/>
      <c r="D448" s="707"/>
      <c r="E448" s="706"/>
    </row>
    <row r="449">
      <c r="A449" s="706"/>
      <c r="B449" s="706"/>
      <c r="C449" s="707"/>
      <c r="D449" s="707"/>
      <c r="E449" s="706"/>
    </row>
    <row r="450">
      <c r="A450" s="706"/>
      <c r="B450" s="706"/>
      <c r="C450" s="707"/>
      <c r="D450" s="707"/>
      <c r="E450" s="706"/>
    </row>
    <row r="451">
      <c r="A451" s="706"/>
      <c r="B451" s="706"/>
      <c r="C451" s="707"/>
      <c r="D451" s="707"/>
      <c r="E451" s="706"/>
    </row>
    <row r="452">
      <c r="A452" s="706"/>
      <c r="B452" s="706"/>
      <c r="C452" s="707"/>
      <c r="D452" s="707"/>
      <c r="E452" s="706"/>
    </row>
    <row r="453">
      <c r="A453" s="706"/>
      <c r="B453" s="706"/>
      <c r="C453" s="707"/>
      <c r="D453" s="707"/>
      <c r="E453" s="706"/>
    </row>
    <row r="454">
      <c r="A454" s="706"/>
      <c r="B454" s="706"/>
      <c r="C454" s="707"/>
      <c r="D454" s="707"/>
      <c r="E454" s="706"/>
    </row>
    <row r="455">
      <c r="A455" s="706"/>
      <c r="B455" s="706"/>
      <c r="C455" s="707"/>
      <c r="D455" s="707"/>
      <c r="E455" s="706"/>
    </row>
    <row r="456">
      <c r="A456" s="706"/>
      <c r="B456" s="706"/>
      <c r="C456" s="707"/>
      <c r="D456" s="707"/>
      <c r="E456" s="706"/>
    </row>
    <row r="457">
      <c r="A457" s="706"/>
      <c r="B457" s="706"/>
      <c r="C457" s="707"/>
      <c r="D457" s="707"/>
      <c r="E457" s="706"/>
    </row>
    <row r="458">
      <c r="A458" s="706"/>
      <c r="B458" s="706"/>
      <c r="C458" s="707"/>
      <c r="D458" s="707"/>
      <c r="E458" s="706"/>
    </row>
    <row r="459">
      <c r="A459" s="706"/>
      <c r="B459" s="706"/>
      <c r="C459" s="707"/>
      <c r="D459" s="707"/>
      <c r="E459" s="706"/>
    </row>
    <row r="460">
      <c r="A460" s="706"/>
      <c r="B460" s="706"/>
      <c r="C460" s="707"/>
      <c r="D460" s="707"/>
      <c r="E460" s="706"/>
    </row>
    <row r="461">
      <c r="A461" s="706"/>
      <c r="B461" s="706"/>
      <c r="C461" s="707"/>
      <c r="D461" s="707"/>
      <c r="E461" s="706"/>
    </row>
    <row r="462">
      <c r="A462" s="706"/>
      <c r="B462" s="706"/>
      <c r="C462" s="707"/>
      <c r="D462" s="707"/>
      <c r="E462" s="706"/>
    </row>
    <row r="463">
      <c r="A463" s="706"/>
      <c r="B463" s="706"/>
      <c r="C463" s="707"/>
      <c r="D463" s="707"/>
      <c r="E463" s="706"/>
    </row>
    <row r="464">
      <c r="A464" s="706"/>
      <c r="B464" s="706"/>
      <c r="C464" s="707"/>
      <c r="D464" s="707"/>
      <c r="E464" s="706"/>
    </row>
    <row r="465">
      <c r="A465" s="706"/>
      <c r="B465" s="706"/>
      <c r="C465" s="707"/>
      <c r="D465" s="707"/>
      <c r="E465" s="706"/>
    </row>
    <row r="466">
      <c r="A466" s="706"/>
      <c r="B466" s="706"/>
      <c r="C466" s="707"/>
      <c r="D466" s="707"/>
      <c r="E466" s="706"/>
    </row>
    <row r="467">
      <c r="A467" s="706"/>
      <c r="B467" s="706"/>
      <c r="C467" s="707"/>
      <c r="D467" s="707"/>
      <c r="E467" s="706"/>
    </row>
    <row r="468">
      <c r="A468" s="706"/>
      <c r="B468" s="706"/>
      <c r="C468" s="707"/>
      <c r="D468" s="707"/>
      <c r="E468" s="706"/>
    </row>
    <row r="469">
      <c r="A469" s="706"/>
      <c r="B469" s="706"/>
      <c r="C469" s="707"/>
      <c r="D469" s="707"/>
      <c r="E469" s="706"/>
    </row>
    <row r="470">
      <c r="A470" s="706"/>
      <c r="B470" s="706"/>
      <c r="C470" s="707"/>
      <c r="D470" s="707"/>
      <c r="E470" s="706"/>
    </row>
    <row r="471">
      <c r="A471" s="706"/>
      <c r="B471" s="706"/>
      <c r="C471" s="707"/>
      <c r="D471" s="707"/>
      <c r="E471" s="706"/>
    </row>
    <row r="472">
      <c r="A472" s="706"/>
      <c r="B472" s="706"/>
      <c r="C472" s="707"/>
      <c r="D472" s="707"/>
      <c r="E472" s="706"/>
    </row>
    <row r="473">
      <c r="A473" s="706"/>
      <c r="B473" s="706"/>
      <c r="C473" s="707"/>
      <c r="D473" s="707"/>
      <c r="E473" s="706"/>
    </row>
    <row r="474">
      <c r="A474" s="706"/>
      <c r="B474" s="706"/>
      <c r="C474" s="707"/>
      <c r="D474" s="707"/>
      <c r="E474" s="706"/>
    </row>
    <row r="475">
      <c r="A475" s="706"/>
      <c r="B475" s="706"/>
      <c r="C475" s="707"/>
      <c r="D475" s="707"/>
      <c r="E475" s="706"/>
    </row>
    <row r="476">
      <c r="A476" s="706"/>
      <c r="B476" s="706"/>
      <c r="C476" s="707"/>
      <c r="D476" s="707"/>
      <c r="E476" s="706"/>
    </row>
    <row r="477">
      <c r="A477" s="706"/>
      <c r="B477" s="706"/>
      <c r="C477" s="707"/>
      <c r="D477" s="707"/>
      <c r="E477" s="706"/>
    </row>
    <row r="478">
      <c r="A478" s="706"/>
      <c r="B478" s="706"/>
      <c r="C478" s="707"/>
      <c r="D478" s="707"/>
      <c r="E478" s="706"/>
    </row>
    <row r="479">
      <c r="A479" s="706"/>
      <c r="B479" s="706"/>
      <c r="C479" s="707"/>
      <c r="D479" s="707"/>
      <c r="E479" s="706"/>
    </row>
    <row r="480">
      <c r="A480" s="706"/>
      <c r="B480" s="706"/>
      <c r="C480" s="707"/>
      <c r="D480" s="707"/>
      <c r="E480" s="706"/>
    </row>
    <row r="481">
      <c r="A481" s="706"/>
      <c r="B481" s="706"/>
      <c r="C481" s="707"/>
      <c r="D481" s="707"/>
      <c r="E481" s="706"/>
    </row>
    <row r="482">
      <c r="A482" s="706"/>
      <c r="B482" s="706"/>
      <c r="C482" s="707"/>
      <c r="D482" s="707"/>
      <c r="E482" s="706"/>
    </row>
    <row r="483">
      <c r="A483" s="706"/>
      <c r="B483" s="706"/>
      <c r="C483" s="707"/>
      <c r="D483" s="707"/>
      <c r="E483" s="706"/>
    </row>
    <row r="484">
      <c r="A484" s="706"/>
      <c r="B484" s="706"/>
      <c r="C484" s="707"/>
      <c r="D484" s="707"/>
      <c r="E484" s="706"/>
    </row>
    <row r="485">
      <c r="A485" s="706"/>
      <c r="B485" s="706"/>
      <c r="C485" s="707"/>
      <c r="D485" s="707"/>
      <c r="E485" s="706"/>
    </row>
    <row r="486">
      <c r="A486" s="706"/>
      <c r="B486" s="706"/>
      <c r="C486" s="707"/>
      <c r="D486" s="707"/>
      <c r="E486" s="706"/>
    </row>
    <row r="487">
      <c r="A487" s="706"/>
      <c r="B487" s="706"/>
      <c r="C487" s="707"/>
      <c r="D487" s="707"/>
      <c r="E487" s="706"/>
    </row>
    <row r="488">
      <c r="A488" s="706"/>
      <c r="B488" s="706"/>
      <c r="C488" s="707"/>
      <c r="D488" s="707"/>
      <c r="E488" s="706"/>
    </row>
    <row r="489">
      <c r="A489" s="706"/>
      <c r="B489" s="706"/>
      <c r="C489" s="707"/>
      <c r="D489" s="707"/>
      <c r="E489" s="706"/>
    </row>
    <row r="490">
      <c r="A490" s="706"/>
      <c r="B490" s="706"/>
      <c r="C490" s="707"/>
      <c r="D490" s="707"/>
      <c r="E490" s="706"/>
    </row>
    <row r="491">
      <c r="A491" s="706"/>
      <c r="B491" s="706"/>
      <c r="C491" s="707"/>
      <c r="D491" s="707"/>
      <c r="E491" s="706"/>
    </row>
    <row r="492">
      <c r="A492" s="706"/>
      <c r="B492" s="706"/>
      <c r="C492" s="707"/>
      <c r="D492" s="707"/>
      <c r="E492" s="706"/>
    </row>
    <row r="493">
      <c r="A493" s="706"/>
      <c r="B493" s="706"/>
      <c r="C493" s="707"/>
      <c r="D493" s="707"/>
      <c r="E493" s="706"/>
    </row>
    <row r="494">
      <c r="A494" s="706"/>
      <c r="B494" s="706"/>
      <c r="C494" s="707"/>
      <c r="D494" s="707"/>
      <c r="E494" s="706"/>
    </row>
    <row r="495">
      <c r="A495" s="706"/>
      <c r="B495" s="706"/>
      <c r="C495" s="707"/>
      <c r="D495" s="707"/>
      <c r="E495" s="706"/>
    </row>
    <row r="496">
      <c r="A496" s="706"/>
      <c r="B496" s="706"/>
      <c r="C496" s="707"/>
      <c r="D496" s="707"/>
      <c r="E496" s="706"/>
    </row>
    <row r="497">
      <c r="A497" s="706"/>
      <c r="B497" s="706"/>
      <c r="C497" s="707"/>
      <c r="D497" s="707"/>
      <c r="E497" s="706"/>
    </row>
    <row r="498">
      <c r="A498" s="706"/>
      <c r="B498" s="706"/>
      <c r="C498" s="707"/>
      <c r="D498" s="707"/>
      <c r="E498" s="706"/>
    </row>
    <row r="499">
      <c r="A499" s="706"/>
      <c r="B499" s="706"/>
      <c r="C499" s="707"/>
      <c r="D499" s="707"/>
      <c r="E499" s="706"/>
    </row>
    <row r="500">
      <c r="A500" s="706"/>
      <c r="B500" s="706"/>
      <c r="C500" s="707"/>
      <c r="D500" s="707"/>
      <c r="E500" s="706"/>
    </row>
    <row r="501">
      <c r="A501" s="706"/>
      <c r="B501" s="706"/>
      <c r="C501" s="707"/>
      <c r="D501" s="707"/>
      <c r="E501" s="706"/>
    </row>
    <row r="502">
      <c r="A502" s="706"/>
      <c r="B502" s="706"/>
      <c r="C502" s="707"/>
      <c r="D502" s="707"/>
      <c r="E502" s="706"/>
    </row>
    <row r="503">
      <c r="A503" s="706"/>
      <c r="B503" s="706"/>
      <c r="C503" s="707"/>
      <c r="D503" s="707"/>
      <c r="E503" s="706"/>
    </row>
    <row r="504">
      <c r="A504" s="706"/>
      <c r="B504" s="706"/>
      <c r="C504" s="707"/>
      <c r="D504" s="707"/>
      <c r="E504" s="706"/>
    </row>
    <row r="505">
      <c r="A505" s="706"/>
      <c r="B505" s="706"/>
      <c r="C505" s="707"/>
      <c r="D505" s="707"/>
      <c r="E505" s="706"/>
    </row>
    <row r="506">
      <c r="A506" s="706"/>
      <c r="B506" s="706"/>
      <c r="C506" s="707"/>
      <c r="D506" s="707"/>
      <c r="E506" s="706"/>
    </row>
    <row r="507">
      <c r="A507" s="706"/>
      <c r="B507" s="706"/>
      <c r="C507" s="707"/>
      <c r="D507" s="707"/>
      <c r="E507" s="706"/>
    </row>
    <row r="508">
      <c r="A508" s="706"/>
      <c r="B508" s="706"/>
      <c r="C508" s="707"/>
      <c r="D508" s="707"/>
      <c r="E508" s="706"/>
    </row>
    <row r="509">
      <c r="A509" s="706"/>
      <c r="B509" s="706"/>
      <c r="C509" s="707"/>
      <c r="D509" s="707"/>
      <c r="E509" s="706"/>
    </row>
    <row r="510">
      <c r="A510" s="706"/>
      <c r="B510" s="706"/>
      <c r="C510" s="707"/>
      <c r="D510" s="707"/>
      <c r="E510" s="706"/>
    </row>
    <row r="511">
      <c r="A511" s="706"/>
      <c r="B511" s="706"/>
      <c r="C511" s="707"/>
      <c r="D511" s="707"/>
      <c r="E511" s="706"/>
    </row>
    <row r="512">
      <c r="A512" s="706"/>
      <c r="B512" s="706"/>
      <c r="C512" s="707"/>
      <c r="D512" s="707"/>
      <c r="E512" s="706"/>
    </row>
    <row r="513">
      <c r="A513" s="706"/>
      <c r="B513" s="706"/>
      <c r="C513" s="707"/>
      <c r="D513" s="707"/>
      <c r="E513" s="706"/>
    </row>
    <row r="514">
      <c r="A514" s="706"/>
      <c r="B514" s="706"/>
      <c r="C514" s="707"/>
      <c r="D514" s="707"/>
      <c r="E514" s="706"/>
    </row>
    <row r="515">
      <c r="A515" s="706"/>
      <c r="B515" s="706"/>
      <c r="C515" s="707"/>
      <c r="D515" s="707"/>
      <c r="E515" s="706"/>
    </row>
    <row r="516">
      <c r="A516" s="706"/>
      <c r="B516" s="706"/>
      <c r="C516" s="707"/>
      <c r="D516" s="707"/>
      <c r="E516" s="706"/>
    </row>
    <row r="517">
      <c r="A517" s="706"/>
      <c r="B517" s="706"/>
      <c r="C517" s="707"/>
      <c r="D517" s="707"/>
      <c r="E517" s="706"/>
    </row>
    <row r="518">
      <c r="A518" s="706"/>
      <c r="B518" s="706"/>
      <c r="C518" s="707"/>
      <c r="D518" s="707"/>
      <c r="E518" s="706"/>
    </row>
    <row r="519">
      <c r="A519" s="706"/>
      <c r="B519" s="706"/>
      <c r="C519" s="707"/>
      <c r="D519" s="707"/>
      <c r="E519" s="706"/>
    </row>
    <row r="520">
      <c r="A520" s="706"/>
      <c r="B520" s="706"/>
      <c r="C520" s="707"/>
      <c r="D520" s="707"/>
      <c r="E520" s="706"/>
    </row>
    <row r="521">
      <c r="A521" s="706"/>
      <c r="B521" s="706"/>
      <c r="C521" s="707"/>
      <c r="D521" s="707"/>
      <c r="E521" s="706"/>
    </row>
    <row r="522">
      <c r="A522" s="706"/>
      <c r="B522" s="706"/>
      <c r="C522" s="707"/>
      <c r="D522" s="707"/>
      <c r="E522" s="706"/>
    </row>
    <row r="523">
      <c r="A523" s="706"/>
      <c r="B523" s="706"/>
      <c r="C523" s="707"/>
      <c r="D523" s="707"/>
      <c r="E523" s="706"/>
    </row>
    <row r="524">
      <c r="A524" s="706"/>
      <c r="B524" s="706"/>
      <c r="C524" s="707"/>
      <c r="D524" s="707"/>
      <c r="E524" s="706"/>
    </row>
    <row r="525">
      <c r="A525" s="706"/>
      <c r="B525" s="706"/>
      <c r="C525" s="707"/>
      <c r="D525" s="707"/>
      <c r="E525" s="706"/>
    </row>
    <row r="526">
      <c r="A526" s="706"/>
      <c r="B526" s="706"/>
      <c r="C526" s="707"/>
      <c r="D526" s="707"/>
      <c r="E526" s="706"/>
    </row>
    <row r="527">
      <c r="A527" s="706"/>
      <c r="B527" s="706"/>
      <c r="C527" s="707"/>
      <c r="D527" s="707"/>
      <c r="E527" s="706"/>
    </row>
    <row r="528">
      <c r="A528" s="706"/>
      <c r="B528" s="706"/>
      <c r="C528" s="707"/>
      <c r="D528" s="707"/>
      <c r="E528" s="706"/>
    </row>
    <row r="529">
      <c r="A529" s="706"/>
      <c r="B529" s="706"/>
      <c r="C529" s="707"/>
      <c r="D529" s="707"/>
      <c r="E529" s="706"/>
    </row>
    <row r="530">
      <c r="A530" s="706"/>
      <c r="B530" s="706"/>
      <c r="C530" s="707"/>
      <c r="D530" s="707"/>
      <c r="E530" s="706"/>
    </row>
    <row r="531">
      <c r="A531" s="706"/>
      <c r="B531" s="706"/>
      <c r="C531" s="707"/>
      <c r="D531" s="707"/>
      <c r="E531" s="706"/>
    </row>
    <row r="532">
      <c r="A532" s="706"/>
      <c r="B532" s="706"/>
      <c r="C532" s="707"/>
      <c r="D532" s="707"/>
      <c r="E532" s="706"/>
    </row>
    <row r="533">
      <c r="A533" s="706"/>
      <c r="B533" s="706"/>
      <c r="C533" s="707"/>
      <c r="D533" s="707"/>
      <c r="E533" s="706"/>
    </row>
    <row r="534">
      <c r="A534" s="706"/>
      <c r="B534" s="706"/>
      <c r="C534" s="707"/>
      <c r="D534" s="707"/>
      <c r="E534" s="706"/>
    </row>
    <row r="535">
      <c r="A535" s="706"/>
      <c r="B535" s="706"/>
      <c r="C535" s="707"/>
      <c r="D535" s="707"/>
      <c r="E535" s="706"/>
    </row>
    <row r="536">
      <c r="A536" s="706"/>
      <c r="B536" s="706"/>
      <c r="C536" s="707"/>
      <c r="D536" s="707"/>
      <c r="E536" s="706"/>
    </row>
    <row r="537">
      <c r="A537" s="706"/>
      <c r="B537" s="706"/>
      <c r="C537" s="707"/>
      <c r="D537" s="707"/>
      <c r="E537" s="706"/>
    </row>
    <row r="538">
      <c r="A538" s="706"/>
      <c r="B538" s="706"/>
      <c r="C538" s="707"/>
      <c r="D538" s="707"/>
      <c r="E538" s="706"/>
    </row>
    <row r="539">
      <c r="A539" s="706"/>
      <c r="B539" s="706"/>
      <c r="C539" s="707"/>
      <c r="D539" s="707"/>
      <c r="E539" s="706"/>
    </row>
    <row r="540">
      <c r="A540" s="706"/>
      <c r="B540" s="706"/>
      <c r="C540" s="707"/>
      <c r="D540" s="707"/>
      <c r="E540" s="706"/>
    </row>
    <row r="541">
      <c r="A541" s="706"/>
      <c r="B541" s="706"/>
      <c r="C541" s="707"/>
      <c r="D541" s="707"/>
      <c r="E541" s="706"/>
    </row>
    <row r="542">
      <c r="A542" s="706"/>
      <c r="B542" s="706"/>
      <c r="C542" s="707"/>
      <c r="D542" s="707"/>
      <c r="E542" s="706"/>
    </row>
    <row r="543">
      <c r="A543" s="706"/>
      <c r="B543" s="706"/>
      <c r="C543" s="707"/>
      <c r="D543" s="707"/>
      <c r="E543" s="706"/>
    </row>
    <row r="544">
      <c r="A544" s="706"/>
      <c r="B544" s="706"/>
      <c r="C544" s="707"/>
      <c r="D544" s="707"/>
      <c r="E544" s="706"/>
    </row>
    <row r="545">
      <c r="A545" s="706"/>
      <c r="B545" s="706"/>
      <c r="C545" s="707"/>
      <c r="D545" s="707"/>
      <c r="E545" s="706"/>
    </row>
    <row r="546">
      <c r="A546" s="706"/>
      <c r="B546" s="706"/>
      <c r="C546" s="707"/>
      <c r="D546" s="707"/>
      <c r="E546" s="706"/>
    </row>
    <row r="547">
      <c r="A547" s="706"/>
      <c r="B547" s="706"/>
      <c r="C547" s="707"/>
      <c r="D547" s="707"/>
      <c r="E547" s="706"/>
    </row>
    <row r="548">
      <c r="A548" s="706"/>
      <c r="B548" s="706"/>
      <c r="C548" s="707"/>
      <c r="D548" s="707"/>
      <c r="E548" s="706"/>
    </row>
    <row r="549">
      <c r="A549" s="706"/>
      <c r="B549" s="706"/>
      <c r="C549" s="707"/>
      <c r="D549" s="707"/>
      <c r="E549" s="706"/>
    </row>
    <row r="550">
      <c r="A550" s="706"/>
      <c r="B550" s="706"/>
      <c r="C550" s="707"/>
      <c r="D550" s="707"/>
      <c r="E550" s="706"/>
    </row>
    <row r="551">
      <c r="A551" s="706"/>
      <c r="B551" s="706"/>
      <c r="C551" s="707"/>
      <c r="D551" s="707"/>
      <c r="E551" s="706"/>
    </row>
    <row r="552">
      <c r="A552" s="706"/>
      <c r="B552" s="706"/>
      <c r="C552" s="707"/>
      <c r="D552" s="707"/>
      <c r="E552" s="706"/>
    </row>
    <row r="553">
      <c r="A553" s="706"/>
      <c r="B553" s="706"/>
      <c r="C553" s="707"/>
      <c r="D553" s="707"/>
      <c r="E553" s="706"/>
    </row>
    <row r="554">
      <c r="A554" s="706"/>
      <c r="B554" s="706"/>
      <c r="C554" s="707"/>
      <c r="D554" s="707"/>
      <c r="E554" s="706"/>
    </row>
    <row r="555">
      <c r="A555" s="706"/>
      <c r="B555" s="706"/>
      <c r="C555" s="707"/>
      <c r="D555" s="707"/>
      <c r="E555" s="706"/>
    </row>
    <row r="556">
      <c r="A556" s="706"/>
      <c r="B556" s="706"/>
      <c r="C556" s="707"/>
      <c r="D556" s="707"/>
      <c r="E556" s="706"/>
    </row>
    <row r="557">
      <c r="A557" s="706"/>
      <c r="B557" s="706"/>
      <c r="C557" s="707"/>
      <c r="D557" s="707"/>
      <c r="E557" s="706"/>
    </row>
    <row r="558">
      <c r="A558" s="706"/>
      <c r="B558" s="706"/>
      <c r="C558" s="707"/>
      <c r="D558" s="707"/>
      <c r="E558" s="706"/>
    </row>
    <row r="559">
      <c r="A559" s="706"/>
      <c r="B559" s="706"/>
      <c r="C559" s="707"/>
      <c r="D559" s="707"/>
      <c r="E559" s="706"/>
    </row>
    <row r="560">
      <c r="A560" s="706"/>
      <c r="B560" s="706"/>
      <c r="C560" s="707"/>
      <c r="D560" s="707"/>
      <c r="E560" s="706"/>
    </row>
    <row r="561">
      <c r="A561" s="706"/>
      <c r="B561" s="706"/>
      <c r="C561" s="707"/>
      <c r="D561" s="707"/>
      <c r="E561" s="706"/>
    </row>
    <row r="562">
      <c r="A562" s="706"/>
      <c r="B562" s="706"/>
      <c r="C562" s="707"/>
      <c r="D562" s="707"/>
      <c r="E562" s="706"/>
    </row>
    <row r="563">
      <c r="A563" s="706"/>
      <c r="B563" s="706"/>
      <c r="C563" s="707"/>
      <c r="D563" s="707"/>
      <c r="E563" s="706"/>
    </row>
    <row r="564">
      <c r="A564" s="706"/>
      <c r="B564" s="706"/>
      <c r="C564" s="707"/>
      <c r="D564" s="707"/>
      <c r="E564" s="706"/>
    </row>
    <row r="565">
      <c r="A565" s="706"/>
      <c r="B565" s="706"/>
      <c r="C565" s="707"/>
      <c r="D565" s="707"/>
      <c r="E565" s="706"/>
    </row>
    <row r="566">
      <c r="A566" s="706"/>
      <c r="B566" s="706"/>
      <c r="C566" s="707"/>
      <c r="D566" s="707"/>
      <c r="E566" s="706"/>
    </row>
    <row r="567">
      <c r="A567" s="706"/>
      <c r="B567" s="706"/>
      <c r="C567" s="707"/>
      <c r="D567" s="707"/>
      <c r="E567" s="706"/>
    </row>
    <row r="568">
      <c r="A568" s="706"/>
      <c r="B568" s="706"/>
      <c r="C568" s="707"/>
      <c r="D568" s="707"/>
      <c r="E568" s="706"/>
    </row>
    <row r="569">
      <c r="A569" s="706"/>
      <c r="B569" s="706"/>
      <c r="C569" s="707"/>
      <c r="D569" s="707"/>
      <c r="E569" s="706"/>
    </row>
    <row r="570">
      <c r="A570" s="706"/>
      <c r="B570" s="706"/>
      <c r="C570" s="707"/>
      <c r="D570" s="707"/>
      <c r="E570" s="706"/>
    </row>
    <row r="571">
      <c r="A571" s="706"/>
      <c r="B571" s="706"/>
      <c r="C571" s="707"/>
      <c r="D571" s="707"/>
      <c r="E571" s="706"/>
    </row>
    <row r="572">
      <c r="A572" s="706"/>
      <c r="B572" s="706"/>
      <c r="C572" s="707"/>
      <c r="D572" s="707"/>
      <c r="E572" s="706"/>
    </row>
    <row r="573">
      <c r="A573" s="706"/>
      <c r="B573" s="706"/>
      <c r="C573" s="707"/>
      <c r="D573" s="707"/>
      <c r="E573" s="706"/>
    </row>
    <row r="574">
      <c r="A574" s="706"/>
      <c r="B574" s="706"/>
      <c r="C574" s="707"/>
      <c r="D574" s="707"/>
      <c r="E574" s="706"/>
    </row>
    <row r="575">
      <c r="A575" s="706"/>
      <c r="B575" s="706"/>
      <c r="C575" s="707"/>
      <c r="D575" s="707"/>
      <c r="E575" s="706"/>
    </row>
    <row r="576">
      <c r="A576" s="706"/>
      <c r="B576" s="706"/>
      <c r="C576" s="707"/>
      <c r="D576" s="707"/>
      <c r="E576" s="706"/>
    </row>
    <row r="577">
      <c r="A577" s="706"/>
      <c r="B577" s="706"/>
      <c r="C577" s="707"/>
      <c r="D577" s="707"/>
      <c r="E577" s="706"/>
    </row>
    <row r="578">
      <c r="A578" s="706"/>
      <c r="B578" s="706"/>
      <c r="C578" s="707"/>
      <c r="D578" s="707"/>
      <c r="E578" s="706"/>
    </row>
    <row r="579">
      <c r="A579" s="706"/>
      <c r="B579" s="706"/>
      <c r="C579" s="707"/>
      <c r="D579" s="707"/>
      <c r="E579" s="706"/>
    </row>
    <row r="580">
      <c r="A580" s="706"/>
      <c r="B580" s="706"/>
      <c r="C580" s="707"/>
      <c r="D580" s="707"/>
      <c r="E580" s="706"/>
    </row>
    <row r="581">
      <c r="A581" s="706"/>
      <c r="B581" s="706"/>
      <c r="C581" s="707"/>
      <c r="D581" s="707"/>
      <c r="E581" s="706"/>
    </row>
    <row r="582">
      <c r="A582" s="706"/>
      <c r="B582" s="706"/>
      <c r="C582" s="707"/>
      <c r="D582" s="707"/>
      <c r="E582" s="706"/>
    </row>
    <row r="583">
      <c r="A583" s="706"/>
      <c r="B583" s="706"/>
      <c r="C583" s="707"/>
      <c r="D583" s="707"/>
      <c r="E583" s="706"/>
    </row>
    <row r="584">
      <c r="A584" s="706"/>
      <c r="B584" s="706"/>
      <c r="C584" s="707"/>
      <c r="D584" s="707"/>
      <c r="E584" s="706"/>
    </row>
    <row r="585">
      <c r="A585" s="706"/>
      <c r="B585" s="706"/>
      <c r="C585" s="707"/>
      <c r="D585" s="707"/>
      <c r="E585" s="706"/>
    </row>
    <row r="586">
      <c r="A586" s="706"/>
      <c r="B586" s="706"/>
      <c r="C586" s="707"/>
      <c r="D586" s="707"/>
      <c r="E586" s="706"/>
    </row>
    <row r="587">
      <c r="A587" s="706"/>
      <c r="B587" s="706"/>
      <c r="C587" s="707"/>
      <c r="D587" s="707"/>
      <c r="E587" s="706"/>
    </row>
    <row r="588">
      <c r="A588" s="706"/>
      <c r="B588" s="706"/>
      <c r="C588" s="707"/>
      <c r="D588" s="707"/>
      <c r="E588" s="706"/>
    </row>
    <row r="589">
      <c r="A589" s="706"/>
      <c r="B589" s="706"/>
      <c r="C589" s="707"/>
      <c r="D589" s="707"/>
      <c r="E589" s="706"/>
    </row>
    <row r="590">
      <c r="A590" s="706"/>
      <c r="B590" s="706"/>
      <c r="C590" s="707"/>
      <c r="D590" s="707"/>
      <c r="E590" s="706"/>
    </row>
    <row r="591">
      <c r="A591" s="706"/>
      <c r="B591" s="706"/>
      <c r="C591" s="707"/>
      <c r="D591" s="707"/>
      <c r="E591" s="706"/>
    </row>
    <row r="592">
      <c r="A592" s="706"/>
      <c r="B592" s="706"/>
      <c r="C592" s="707"/>
      <c r="D592" s="707"/>
      <c r="E592" s="706"/>
    </row>
    <row r="593">
      <c r="A593" s="706"/>
      <c r="B593" s="706"/>
      <c r="C593" s="707"/>
      <c r="D593" s="707"/>
      <c r="E593" s="706"/>
    </row>
    <row r="594">
      <c r="A594" s="706"/>
      <c r="B594" s="706"/>
      <c r="C594" s="707"/>
      <c r="D594" s="707"/>
      <c r="E594" s="706"/>
    </row>
    <row r="595">
      <c r="A595" s="706"/>
      <c r="B595" s="706"/>
      <c r="C595" s="707"/>
      <c r="D595" s="707"/>
      <c r="E595" s="706"/>
    </row>
    <row r="596">
      <c r="A596" s="706"/>
      <c r="B596" s="706"/>
      <c r="C596" s="707"/>
      <c r="D596" s="707"/>
      <c r="E596" s="706"/>
    </row>
    <row r="597">
      <c r="A597" s="706"/>
      <c r="B597" s="706"/>
      <c r="C597" s="707"/>
      <c r="D597" s="707"/>
      <c r="E597" s="706"/>
    </row>
    <row r="598">
      <c r="A598" s="706"/>
      <c r="B598" s="706"/>
      <c r="C598" s="707"/>
      <c r="D598" s="707"/>
      <c r="E598" s="706"/>
    </row>
    <row r="599">
      <c r="A599" s="706"/>
      <c r="B599" s="706"/>
      <c r="C599" s="707"/>
      <c r="D599" s="707"/>
      <c r="E599" s="706"/>
    </row>
    <row r="600">
      <c r="A600" s="706"/>
      <c r="B600" s="706"/>
      <c r="C600" s="707"/>
      <c r="D600" s="707"/>
      <c r="E600" s="706"/>
    </row>
    <row r="601">
      <c r="A601" s="706"/>
      <c r="B601" s="706"/>
      <c r="C601" s="707"/>
      <c r="D601" s="707"/>
      <c r="E601" s="706"/>
    </row>
    <row r="602">
      <c r="A602" s="706"/>
      <c r="B602" s="706"/>
      <c r="C602" s="707"/>
      <c r="D602" s="707"/>
      <c r="E602" s="706"/>
    </row>
    <row r="603">
      <c r="A603" s="706"/>
      <c r="B603" s="706"/>
      <c r="C603" s="707"/>
      <c r="D603" s="707"/>
      <c r="E603" s="706"/>
    </row>
    <row r="604">
      <c r="A604" s="706"/>
      <c r="B604" s="706"/>
      <c r="C604" s="707"/>
      <c r="D604" s="707"/>
      <c r="E604" s="706"/>
    </row>
    <row r="605">
      <c r="A605" s="706"/>
      <c r="B605" s="706"/>
      <c r="C605" s="707"/>
      <c r="D605" s="707"/>
      <c r="E605" s="706"/>
    </row>
    <row r="606">
      <c r="A606" s="706"/>
      <c r="B606" s="706"/>
      <c r="C606" s="707"/>
      <c r="D606" s="707"/>
      <c r="E606" s="706"/>
    </row>
    <row r="607">
      <c r="A607" s="706"/>
      <c r="B607" s="706"/>
      <c r="C607" s="707"/>
      <c r="D607" s="707"/>
      <c r="E607" s="706"/>
    </row>
    <row r="608">
      <c r="A608" s="706"/>
      <c r="B608" s="706"/>
      <c r="C608" s="707"/>
      <c r="D608" s="707"/>
      <c r="E608" s="706"/>
    </row>
    <row r="609">
      <c r="A609" s="706"/>
      <c r="B609" s="706"/>
      <c r="C609" s="707"/>
      <c r="D609" s="707"/>
      <c r="E609" s="706"/>
    </row>
    <row r="610">
      <c r="A610" s="706"/>
      <c r="B610" s="706"/>
      <c r="C610" s="707"/>
      <c r="D610" s="707"/>
      <c r="E610" s="706"/>
    </row>
    <row r="611">
      <c r="A611" s="706"/>
      <c r="B611" s="706"/>
      <c r="C611" s="707"/>
      <c r="D611" s="707"/>
      <c r="E611" s="706"/>
    </row>
    <row r="612">
      <c r="A612" s="706"/>
      <c r="B612" s="706"/>
      <c r="C612" s="707"/>
      <c r="D612" s="707"/>
      <c r="E612" s="706"/>
    </row>
    <row r="613">
      <c r="A613" s="706"/>
      <c r="B613" s="706"/>
      <c r="C613" s="707"/>
      <c r="D613" s="707"/>
      <c r="E613" s="706"/>
    </row>
    <row r="614">
      <c r="A614" s="706"/>
      <c r="B614" s="706"/>
      <c r="C614" s="707"/>
      <c r="D614" s="707"/>
      <c r="E614" s="706"/>
    </row>
    <row r="615">
      <c r="A615" s="706"/>
      <c r="B615" s="706"/>
      <c r="C615" s="707"/>
      <c r="D615" s="707"/>
      <c r="E615" s="706"/>
    </row>
    <row r="616">
      <c r="A616" s="706"/>
      <c r="B616" s="706"/>
      <c r="C616" s="707"/>
      <c r="D616" s="707"/>
      <c r="E616" s="706"/>
    </row>
    <row r="617">
      <c r="A617" s="706"/>
      <c r="B617" s="706"/>
      <c r="C617" s="707"/>
      <c r="D617" s="707"/>
      <c r="E617" s="706"/>
    </row>
    <row r="618">
      <c r="A618" s="706"/>
      <c r="B618" s="706"/>
      <c r="C618" s="707"/>
      <c r="D618" s="707"/>
      <c r="E618" s="706"/>
    </row>
    <row r="619">
      <c r="A619" s="706"/>
      <c r="B619" s="706"/>
      <c r="C619" s="707"/>
      <c r="D619" s="707"/>
      <c r="E619" s="706"/>
    </row>
    <row r="620">
      <c r="A620" s="706"/>
      <c r="B620" s="706"/>
      <c r="C620" s="707"/>
      <c r="D620" s="707"/>
      <c r="E620" s="706"/>
    </row>
    <row r="621">
      <c r="A621" s="706"/>
      <c r="B621" s="706"/>
      <c r="C621" s="707"/>
      <c r="D621" s="707"/>
      <c r="E621" s="706"/>
    </row>
    <row r="622">
      <c r="A622" s="706"/>
      <c r="B622" s="706"/>
      <c r="C622" s="707"/>
      <c r="D622" s="707"/>
      <c r="E622" s="706"/>
    </row>
    <row r="623">
      <c r="A623" s="706"/>
      <c r="B623" s="706"/>
      <c r="C623" s="707"/>
      <c r="D623" s="707"/>
      <c r="E623" s="706"/>
    </row>
    <row r="624">
      <c r="A624" s="706"/>
      <c r="B624" s="706"/>
      <c r="C624" s="707"/>
      <c r="D624" s="707"/>
      <c r="E624" s="706"/>
    </row>
    <row r="625">
      <c r="A625" s="706"/>
      <c r="B625" s="706"/>
      <c r="C625" s="707"/>
      <c r="D625" s="707"/>
      <c r="E625" s="706"/>
    </row>
    <row r="626">
      <c r="A626" s="706"/>
      <c r="B626" s="706"/>
      <c r="C626" s="707"/>
      <c r="D626" s="707"/>
      <c r="E626" s="706"/>
    </row>
    <row r="627">
      <c r="A627" s="706"/>
      <c r="B627" s="706"/>
      <c r="C627" s="707"/>
      <c r="D627" s="707"/>
      <c r="E627" s="706"/>
    </row>
    <row r="628">
      <c r="A628" s="706"/>
      <c r="B628" s="706"/>
      <c r="C628" s="707"/>
      <c r="D628" s="707"/>
      <c r="E628" s="706"/>
    </row>
    <row r="629">
      <c r="A629" s="706"/>
      <c r="B629" s="706"/>
      <c r="C629" s="707"/>
      <c r="D629" s="707"/>
      <c r="E629" s="706"/>
    </row>
    <row r="630">
      <c r="A630" s="706"/>
      <c r="B630" s="706"/>
      <c r="C630" s="707"/>
      <c r="D630" s="707"/>
      <c r="E630" s="706"/>
    </row>
    <row r="631">
      <c r="A631" s="706"/>
      <c r="B631" s="706"/>
      <c r="C631" s="707"/>
      <c r="D631" s="707"/>
      <c r="E631" s="706"/>
    </row>
    <row r="632">
      <c r="A632" s="706"/>
      <c r="B632" s="706"/>
      <c r="C632" s="707"/>
      <c r="D632" s="707"/>
      <c r="E632" s="706"/>
    </row>
    <row r="633">
      <c r="A633" s="706"/>
      <c r="B633" s="706"/>
      <c r="C633" s="707"/>
      <c r="D633" s="707"/>
      <c r="E633" s="706"/>
    </row>
    <row r="634">
      <c r="A634" s="706"/>
      <c r="B634" s="706"/>
      <c r="C634" s="707"/>
      <c r="D634" s="707"/>
      <c r="E634" s="706"/>
    </row>
    <row r="635">
      <c r="A635" s="706"/>
      <c r="B635" s="706"/>
      <c r="C635" s="707"/>
      <c r="D635" s="707"/>
      <c r="E635" s="706"/>
    </row>
    <row r="636">
      <c r="A636" s="706"/>
      <c r="B636" s="706"/>
      <c r="C636" s="707"/>
      <c r="D636" s="707"/>
      <c r="E636" s="706"/>
    </row>
    <row r="637">
      <c r="A637" s="706"/>
      <c r="B637" s="706"/>
      <c r="C637" s="707"/>
      <c r="D637" s="707"/>
      <c r="E637" s="706"/>
    </row>
    <row r="638">
      <c r="A638" s="706"/>
      <c r="B638" s="706"/>
      <c r="C638" s="707"/>
      <c r="D638" s="707"/>
      <c r="E638" s="706"/>
    </row>
    <row r="639">
      <c r="A639" s="706"/>
      <c r="B639" s="706"/>
      <c r="C639" s="707"/>
      <c r="D639" s="707"/>
      <c r="E639" s="706"/>
    </row>
    <row r="640">
      <c r="A640" s="706"/>
      <c r="B640" s="706"/>
      <c r="C640" s="707"/>
      <c r="D640" s="707"/>
      <c r="E640" s="706"/>
    </row>
    <row r="641">
      <c r="A641" s="706"/>
      <c r="B641" s="706"/>
      <c r="C641" s="707"/>
      <c r="D641" s="707"/>
      <c r="E641" s="706"/>
    </row>
    <row r="642">
      <c r="A642" s="706"/>
      <c r="B642" s="706"/>
      <c r="C642" s="707"/>
      <c r="D642" s="707"/>
      <c r="E642" s="706"/>
    </row>
    <row r="643">
      <c r="A643" s="706"/>
      <c r="B643" s="706"/>
      <c r="C643" s="707"/>
      <c r="D643" s="707"/>
      <c r="E643" s="706"/>
    </row>
    <row r="644">
      <c r="A644" s="706"/>
      <c r="B644" s="706"/>
      <c r="C644" s="707"/>
      <c r="D644" s="707"/>
      <c r="E644" s="706"/>
    </row>
    <row r="645">
      <c r="A645" s="706"/>
      <c r="B645" s="706"/>
      <c r="C645" s="707"/>
      <c r="D645" s="707"/>
      <c r="E645" s="706"/>
    </row>
    <row r="646">
      <c r="A646" s="706"/>
      <c r="B646" s="706"/>
      <c r="C646" s="707"/>
      <c r="D646" s="707"/>
      <c r="E646" s="706"/>
    </row>
    <row r="647">
      <c r="A647" s="706"/>
      <c r="B647" s="706"/>
      <c r="C647" s="707"/>
      <c r="D647" s="707"/>
      <c r="E647" s="706"/>
    </row>
    <row r="648">
      <c r="A648" s="706"/>
      <c r="B648" s="706"/>
      <c r="C648" s="707"/>
      <c r="D648" s="707"/>
      <c r="E648" s="706"/>
    </row>
    <row r="649">
      <c r="A649" s="706"/>
      <c r="B649" s="706"/>
      <c r="C649" s="707"/>
      <c r="D649" s="707"/>
      <c r="E649" s="706"/>
    </row>
    <row r="650">
      <c r="A650" s="706"/>
      <c r="B650" s="706"/>
      <c r="C650" s="707"/>
      <c r="D650" s="707"/>
      <c r="E650" s="706"/>
    </row>
    <row r="651">
      <c r="A651" s="706"/>
      <c r="B651" s="706"/>
      <c r="C651" s="707"/>
      <c r="D651" s="707"/>
      <c r="E651" s="706"/>
    </row>
    <row r="652">
      <c r="A652" s="706"/>
      <c r="B652" s="706"/>
      <c r="C652" s="707"/>
      <c r="D652" s="707"/>
      <c r="E652" s="706"/>
    </row>
    <row r="653">
      <c r="A653" s="706"/>
      <c r="B653" s="706"/>
      <c r="C653" s="707"/>
      <c r="D653" s="707"/>
      <c r="E653" s="706"/>
    </row>
    <row r="654">
      <c r="A654" s="706"/>
      <c r="B654" s="706"/>
      <c r="C654" s="707"/>
      <c r="D654" s="707"/>
      <c r="E654" s="706"/>
    </row>
    <row r="655">
      <c r="A655" s="706"/>
      <c r="B655" s="706"/>
      <c r="C655" s="707"/>
      <c r="D655" s="707"/>
      <c r="E655" s="706"/>
    </row>
    <row r="656">
      <c r="A656" s="706"/>
      <c r="B656" s="706"/>
      <c r="C656" s="707"/>
      <c r="D656" s="707"/>
      <c r="E656" s="706"/>
    </row>
    <row r="657">
      <c r="A657" s="706"/>
      <c r="B657" s="706"/>
      <c r="C657" s="707"/>
      <c r="D657" s="707"/>
      <c r="E657" s="706"/>
    </row>
    <row r="658">
      <c r="A658" s="706"/>
      <c r="B658" s="706"/>
      <c r="C658" s="707"/>
      <c r="D658" s="707"/>
      <c r="E658" s="706"/>
    </row>
    <row r="659">
      <c r="A659" s="706"/>
      <c r="B659" s="706"/>
      <c r="C659" s="707"/>
      <c r="D659" s="707"/>
      <c r="E659" s="706"/>
    </row>
    <row r="660">
      <c r="A660" s="706"/>
      <c r="B660" s="706"/>
      <c r="C660" s="707"/>
      <c r="D660" s="707"/>
      <c r="E660" s="706"/>
    </row>
    <row r="661">
      <c r="A661" s="706"/>
      <c r="B661" s="706"/>
      <c r="C661" s="707"/>
      <c r="D661" s="707"/>
      <c r="E661" s="706"/>
    </row>
    <row r="662">
      <c r="A662" s="706"/>
      <c r="B662" s="706"/>
      <c r="C662" s="707"/>
      <c r="D662" s="707"/>
      <c r="E662" s="706"/>
    </row>
    <row r="663">
      <c r="A663" s="706"/>
      <c r="B663" s="706"/>
      <c r="C663" s="707"/>
      <c r="D663" s="707"/>
      <c r="E663" s="706"/>
    </row>
    <row r="664">
      <c r="A664" s="706"/>
      <c r="B664" s="706"/>
      <c r="C664" s="707"/>
      <c r="D664" s="707"/>
      <c r="E664" s="706"/>
    </row>
    <row r="665">
      <c r="A665" s="706"/>
      <c r="B665" s="706"/>
      <c r="C665" s="707"/>
      <c r="D665" s="707"/>
      <c r="E665" s="706"/>
    </row>
    <row r="666">
      <c r="A666" s="706"/>
      <c r="B666" s="706"/>
      <c r="C666" s="707"/>
      <c r="D666" s="707"/>
      <c r="E666" s="706"/>
    </row>
    <row r="667">
      <c r="A667" s="706"/>
      <c r="B667" s="706"/>
      <c r="C667" s="707"/>
      <c r="D667" s="707"/>
      <c r="E667" s="706"/>
    </row>
    <row r="668">
      <c r="A668" s="706"/>
      <c r="B668" s="706"/>
      <c r="C668" s="707"/>
      <c r="D668" s="707"/>
      <c r="E668" s="706"/>
    </row>
    <row r="669">
      <c r="A669" s="706"/>
      <c r="B669" s="706"/>
      <c r="C669" s="707"/>
      <c r="D669" s="707"/>
      <c r="E669" s="706"/>
    </row>
    <row r="670">
      <c r="A670" s="706"/>
      <c r="B670" s="706"/>
      <c r="C670" s="707"/>
      <c r="D670" s="707"/>
      <c r="E670" s="706"/>
    </row>
    <row r="671">
      <c r="A671" s="706"/>
      <c r="B671" s="706"/>
      <c r="C671" s="707"/>
      <c r="D671" s="707"/>
      <c r="E671" s="706"/>
    </row>
    <row r="672">
      <c r="A672" s="706"/>
      <c r="B672" s="706"/>
      <c r="C672" s="707"/>
      <c r="D672" s="707"/>
      <c r="E672" s="706"/>
    </row>
    <row r="673">
      <c r="A673" s="706"/>
      <c r="B673" s="706"/>
      <c r="C673" s="707"/>
      <c r="D673" s="707"/>
      <c r="E673" s="706"/>
    </row>
    <row r="674">
      <c r="A674" s="706"/>
      <c r="B674" s="706"/>
      <c r="C674" s="707"/>
      <c r="D674" s="707"/>
      <c r="E674" s="706"/>
    </row>
    <row r="675">
      <c r="A675" s="706"/>
      <c r="B675" s="706"/>
      <c r="C675" s="707"/>
      <c r="D675" s="707"/>
      <c r="E675" s="706"/>
    </row>
    <row r="676">
      <c r="A676" s="706"/>
      <c r="B676" s="706"/>
      <c r="C676" s="707"/>
      <c r="D676" s="707"/>
      <c r="E676" s="706"/>
    </row>
    <row r="677">
      <c r="A677" s="706"/>
      <c r="B677" s="706"/>
      <c r="C677" s="707"/>
      <c r="D677" s="707"/>
      <c r="E677" s="706"/>
    </row>
    <row r="678">
      <c r="A678" s="706"/>
      <c r="B678" s="706"/>
      <c r="C678" s="707"/>
      <c r="D678" s="707"/>
      <c r="E678" s="706"/>
    </row>
    <row r="679">
      <c r="A679" s="706"/>
      <c r="B679" s="706"/>
      <c r="C679" s="707"/>
      <c r="D679" s="707"/>
      <c r="E679" s="706"/>
    </row>
    <row r="680">
      <c r="A680" s="706"/>
      <c r="B680" s="706"/>
      <c r="C680" s="707"/>
      <c r="D680" s="707"/>
      <c r="E680" s="706"/>
    </row>
    <row r="681">
      <c r="A681" s="706"/>
      <c r="B681" s="706"/>
      <c r="C681" s="707"/>
      <c r="D681" s="707"/>
      <c r="E681" s="706"/>
    </row>
    <row r="682">
      <c r="A682" s="706"/>
      <c r="B682" s="706"/>
      <c r="C682" s="707"/>
      <c r="D682" s="707"/>
      <c r="E682" s="706"/>
    </row>
    <row r="683">
      <c r="A683" s="706"/>
      <c r="B683" s="706"/>
      <c r="C683" s="707"/>
      <c r="D683" s="707"/>
      <c r="E683" s="706"/>
    </row>
    <row r="684">
      <c r="A684" s="706"/>
      <c r="B684" s="706"/>
      <c r="C684" s="707"/>
      <c r="D684" s="707"/>
      <c r="E684" s="706"/>
    </row>
    <row r="685">
      <c r="A685" s="706"/>
      <c r="B685" s="706"/>
      <c r="C685" s="707"/>
      <c r="D685" s="707"/>
      <c r="E685" s="706"/>
    </row>
    <row r="686">
      <c r="A686" s="706"/>
      <c r="B686" s="706"/>
      <c r="C686" s="707"/>
      <c r="D686" s="707"/>
      <c r="E686" s="706"/>
    </row>
    <row r="687">
      <c r="A687" s="706"/>
      <c r="B687" s="706"/>
      <c r="C687" s="707"/>
      <c r="D687" s="707"/>
      <c r="E687" s="706"/>
    </row>
    <row r="688">
      <c r="A688" s="706"/>
      <c r="B688" s="706"/>
      <c r="C688" s="707"/>
      <c r="D688" s="707"/>
      <c r="E688" s="706"/>
    </row>
    <row r="689">
      <c r="A689" s="706"/>
      <c r="B689" s="706"/>
      <c r="C689" s="707"/>
      <c r="D689" s="707"/>
      <c r="E689" s="706"/>
    </row>
    <row r="690">
      <c r="A690" s="706"/>
      <c r="B690" s="706"/>
      <c r="C690" s="707"/>
      <c r="D690" s="707"/>
      <c r="E690" s="706"/>
    </row>
    <row r="691">
      <c r="A691" s="706"/>
      <c r="B691" s="706"/>
      <c r="C691" s="707"/>
      <c r="D691" s="707"/>
      <c r="E691" s="706"/>
    </row>
    <row r="692">
      <c r="A692" s="706"/>
      <c r="B692" s="706"/>
      <c r="C692" s="707"/>
      <c r="D692" s="707"/>
      <c r="E692" s="706"/>
    </row>
    <row r="693">
      <c r="A693" s="706"/>
      <c r="B693" s="706"/>
      <c r="C693" s="707"/>
      <c r="D693" s="707"/>
      <c r="E693" s="706"/>
    </row>
    <row r="694">
      <c r="A694" s="706"/>
      <c r="B694" s="706"/>
      <c r="C694" s="707"/>
      <c r="D694" s="707"/>
      <c r="E694" s="706"/>
    </row>
    <row r="695">
      <c r="A695" s="706"/>
      <c r="B695" s="706"/>
      <c r="C695" s="707"/>
      <c r="D695" s="707"/>
      <c r="E695" s="706"/>
    </row>
    <row r="696">
      <c r="A696" s="706"/>
      <c r="B696" s="706"/>
      <c r="C696" s="707"/>
      <c r="D696" s="707"/>
      <c r="E696" s="706"/>
    </row>
    <row r="697">
      <c r="A697" s="706"/>
      <c r="B697" s="706"/>
      <c r="C697" s="707"/>
      <c r="D697" s="707"/>
      <c r="E697" s="706"/>
    </row>
    <row r="698">
      <c r="A698" s="706"/>
      <c r="B698" s="706"/>
      <c r="C698" s="707"/>
      <c r="D698" s="707"/>
      <c r="E698" s="706"/>
    </row>
    <row r="699">
      <c r="A699" s="706"/>
      <c r="B699" s="706"/>
      <c r="C699" s="707"/>
      <c r="D699" s="707"/>
      <c r="E699" s="706"/>
    </row>
    <row r="700">
      <c r="A700" s="706"/>
      <c r="B700" s="706"/>
      <c r="C700" s="707"/>
      <c r="D700" s="707"/>
      <c r="E700" s="706"/>
    </row>
    <row r="701">
      <c r="A701" s="706"/>
      <c r="B701" s="706"/>
      <c r="C701" s="707"/>
      <c r="D701" s="707"/>
      <c r="E701" s="706"/>
    </row>
    <row r="702">
      <c r="A702" s="706"/>
      <c r="B702" s="706"/>
      <c r="C702" s="707"/>
      <c r="D702" s="707"/>
      <c r="E702" s="706"/>
    </row>
    <row r="703">
      <c r="A703" s="706"/>
      <c r="B703" s="706"/>
      <c r="C703" s="707"/>
      <c r="D703" s="707"/>
      <c r="E703" s="706"/>
    </row>
    <row r="704">
      <c r="A704" s="706"/>
      <c r="B704" s="706"/>
      <c r="C704" s="707"/>
      <c r="D704" s="707"/>
      <c r="E704" s="706"/>
    </row>
    <row r="705">
      <c r="A705" s="706"/>
      <c r="B705" s="706"/>
      <c r="C705" s="707"/>
      <c r="D705" s="707"/>
      <c r="E705" s="706"/>
    </row>
    <row r="706">
      <c r="A706" s="706"/>
      <c r="B706" s="706"/>
      <c r="C706" s="707"/>
      <c r="D706" s="707"/>
      <c r="E706" s="706"/>
    </row>
    <row r="707">
      <c r="A707" s="706"/>
      <c r="B707" s="706"/>
      <c r="C707" s="707"/>
      <c r="D707" s="707"/>
      <c r="E707" s="706"/>
    </row>
    <row r="708">
      <c r="A708" s="706"/>
      <c r="B708" s="706"/>
      <c r="C708" s="707"/>
      <c r="D708" s="707"/>
      <c r="E708" s="706"/>
    </row>
    <row r="709">
      <c r="A709" s="706"/>
      <c r="B709" s="706"/>
      <c r="C709" s="707"/>
      <c r="D709" s="707"/>
      <c r="E709" s="706"/>
    </row>
    <row r="710">
      <c r="A710" s="706"/>
      <c r="B710" s="706"/>
      <c r="C710" s="707"/>
      <c r="D710" s="707"/>
      <c r="E710" s="706"/>
    </row>
    <row r="711">
      <c r="A711" s="706"/>
      <c r="B711" s="706"/>
      <c r="C711" s="707"/>
      <c r="D711" s="707"/>
      <c r="E711" s="706"/>
    </row>
    <row r="712">
      <c r="A712" s="706"/>
      <c r="B712" s="706"/>
      <c r="C712" s="707"/>
      <c r="D712" s="707"/>
      <c r="E712" s="706"/>
    </row>
    <row r="713">
      <c r="A713" s="706"/>
      <c r="B713" s="706"/>
      <c r="C713" s="707"/>
      <c r="D713" s="707"/>
      <c r="E713" s="706"/>
    </row>
    <row r="714">
      <c r="A714" s="706"/>
      <c r="B714" s="706"/>
      <c r="C714" s="707"/>
      <c r="D714" s="707"/>
      <c r="E714" s="706"/>
    </row>
    <row r="715">
      <c r="A715" s="706"/>
      <c r="B715" s="706"/>
      <c r="C715" s="707"/>
      <c r="D715" s="707"/>
      <c r="E715" s="706"/>
    </row>
    <row r="716">
      <c r="A716" s="706"/>
      <c r="B716" s="706"/>
      <c r="C716" s="707"/>
      <c r="D716" s="707"/>
      <c r="E716" s="706"/>
    </row>
    <row r="717">
      <c r="A717" s="706"/>
      <c r="B717" s="706"/>
      <c r="C717" s="707"/>
      <c r="D717" s="707"/>
      <c r="E717" s="706"/>
    </row>
    <row r="718">
      <c r="A718" s="706"/>
      <c r="B718" s="706"/>
      <c r="C718" s="707"/>
      <c r="D718" s="707"/>
      <c r="E718" s="706"/>
    </row>
    <row r="719">
      <c r="A719" s="706"/>
      <c r="B719" s="706"/>
      <c r="C719" s="707"/>
      <c r="D719" s="707"/>
      <c r="E719" s="706"/>
    </row>
    <row r="720">
      <c r="A720" s="706"/>
      <c r="B720" s="706"/>
      <c r="C720" s="707"/>
      <c r="D720" s="707"/>
      <c r="E720" s="706"/>
    </row>
    <row r="721">
      <c r="A721" s="706"/>
      <c r="B721" s="706"/>
      <c r="C721" s="707"/>
      <c r="D721" s="707"/>
      <c r="E721" s="706"/>
    </row>
    <row r="722">
      <c r="A722" s="706"/>
      <c r="B722" s="706"/>
      <c r="C722" s="707"/>
      <c r="D722" s="707"/>
      <c r="E722" s="706"/>
    </row>
    <row r="723">
      <c r="A723" s="706"/>
      <c r="B723" s="706"/>
      <c r="C723" s="707"/>
      <c r="D723" s="707"/>
      <c r="E723" s="706"/>
    </row>
    <row r="724">
      <c r="A724" s="706"/>
      <c r="B724" s="706"/>
      <c r="C724" s="707"/>
      <c r="D724" s="707"/>
      <c r="E724" s="706"/>
    </row>
    <row r="725">
      <c r="A725" s="706"/>
      <c r="B725" s="706"/>
      <c r="C725" s="707"/>
      <c r="D725" s="707"/>
      <c r="E725" s="706"/>
    </row>
    <row r="726">
      <c r="A726" s="706"/>
      <c r="B726" s="706"/>
      <c r="C726" s="707"/>
      <c r="D726" s="707"/>
      <c r="E726" s="706"/>
    </row>
    <row r="727">
      <c r="A727" s="706"/>
      <c r="B727" s="706"/>
      <c r="C727" s="707"/>
      <c r="D727" s="707"/>
      <c r="E727" s="706"/>
    </row>
    <row r="728">
      <c r="A728" s="706"/>
      <c r="B728" s="706"/>
      <c r="C728" s="707"/>
      <c r="D728" s="707"/>
      <c r="E728" s="706"/>
    </row>
    <row r="729">
      <c r="A729" s="706"/>
      <c r="B729" s="706"/>
      <c r="C729" s="707"/>
      <c r="D729" s="707"/>
      <c r="E729" s="706"/>
    </row>
    <row r="730">
      <c r="A730" s="706"/>
      <c r="B730" s="706"/>
      <c r="C730" s="707"/>
      <c r="D730" s="707"/>
      <c r="E730" s="706"/>
    </row>
    <row r="731">
      <c r="A731" s="706"/>
      <c r="B731" s="706"/>
      <c r="C731" s="707"/>
      <c r="D731" s="707"/>
      <c r="E731" s="706"/>
    </row>
    <row r="732">
      <c r="A732" s="706"/>
      <c r="B732" s="706"/>
      <c r="C732" s="707"/>
      <c r="D732" s="707"/>
      <c r="E732" s="706"/>
    </row>
    <row r="733">
      <c r="A733" s="706"/>
      <c r="B733" s="706"/>
      <c r="C733" s="707"/>
      <c r="D733" s="707"/>
      <c r="E733" s="706"/>
    </row>
    <row r="734">
      <c r="A734" s="706"/>
      <c r="B734" s="706"/>
      <c r="C734" s="707"/>
      <c r="D734" s="707"/>
      <c r="E734" s="706"/>
    </row>
    <row r="735">
      <c r="A735" s="706"/>
      <c r="B735" s="706"/>
      <c r="C735" s="707"/>
      <c r="D735" s="707"/>
      <c r="E735" s="706"/>
    </row>
    <row r="736">
      <c r="A736" s="706"/>
      <c r="B736" s="706"/>
      <c r="C736" s="707"/>
      <c r="D736" s="707"/>
      <c r="E736" s="706"/>
    </row>
    <row r="737">
      <c r="A737" s="706"/>
      <c r="B737" s="706"/>
      <c r="C737" s="707"/>
      <c r="D737" s="707"/>
      <c r="E737" s="706"/>
    </row>
    <row r="738">
      <c r="A738" s="706"/>
      <c r="B738" s="706"/>
      <c r="C738" s="707"/>
      <c r="D738" s="707"/>
      <c r="E738" s="706"/>
    </row>
    <row r="739">
      <c r="A739" s="706"/>
      <c r="B739" s="706"/>
      <c r="C739" s="707"/>
      <c r="D739" s="707"/>
      <c r="E739" s="706"/>
    </row>
    <row r="740">
      <c r="A740" s="706"/>
      <c r="B740" s="706"/>
      <c r="C740" s="707"/>
      <c r="D740" s="707"/>
      <c r="E740" s="706"/>
    </row>
    <row r="741">
      <c r="A741" s="706"/>
      <c r="B741" s="706"/>
      <c r="C741" s="707"/>
      <c r="D741" s="707"/>
      <c r="E741" s="706"/>
    </row>
    <row r="742">
      <c r="A742" s="706"/>
      <c r="B742" s="706"/>
      <c r="C742" s="707"/>
      <c r="D742" s="707"/>
      <c r="E742" s="706"/>
    </row>
    <row r="743">
      <c r="A743" s="706"/>
      <c r="B743" s="706"/>
      <c r="C743" s="707"/>
      <c r="D743" s="707"/>
      <c r="E743" s="706"/>
    </row>
    <row r="744">
      <c r="A744" s="706"/>
      <c r="B744" s="706"/>
      <c r="C744" s="707"/>
      <c r="D744" s="707"/>
      <c r="E744" s="706"/>
    </row>
    <row r="745">
      <c r="A745" s="706"/>
      <c r="B745" s="706"/>
      <c r="C745" s="707"/>
      <c r="D745" s="707"/>
      <c r="E745" s="706"/>
    </row>
    <row r="746">
      <c r="A746" s="706"/>
      <c r="B746" s="706"/>
      <c r="C746" s="707"/>
      <c r="D746" s="707"/>
      <c r="E746" s="706"/>
    </row>
    <row r="747">
      <c r="A747" s="706"/>
      <c r="B747" s="706"/>
      <c r="C747" s="707"/>
      <c r="D747" s="707"/>
      <c r="E747" s="706"/>
    </row>
    <row r="748">
      <c r="A748" s="706"/>
      <c r="B748" s="706"/>
      <c r="C748" s="707"/>
      <c r="D748" s="707"/>
      <c r="E748" s="706"/>
    </row>
    <row r="749">
      <c r="A749" s="706"/>
      <c r="B749" s="706"/>
      <c r="C749" s="707"/>
      <c r="D749" s="707"/>
      <c r="E749" s="706"/>
    </row>
    <row r="750">
      <c r="A750" s="706"/>
      <c r="B750" s="706"/>
      <c r="C750" s="707"/>
      <c r="D750" s="707"/>
      <c r="E750" s="706"/>
    </row>
    <row r="751">
      <c r="A751" s="706"/>
      <c r="B751" s="706"/>
      <c r="C751" s="707"/>
      <c r="D751" s="707"/>
      <c r="E751" s="706"/>
    </row>
    <row r="752">
      <c r="A752" s="706"/>
      <c r="B752" s="706"/>
      <c r="C752" s="707"/>
      <c r="D752" s="707"/>
      <c r="E752" s="706"/>
    </row>
    <row r="753">
      <c r="A753" s="706"/>
      <c r="B753" s="706"/>
      <c r="C753" s="707"/>
      <c r="D753" s="707"/>
      <c r="E753" s="706"/>
    </row>
    <row r="754">
      <c r="A754" s="706"/>
      <c r="B754" s="706"/>
      <c r="C754" s="707"/>
      <c r="D754" s="707"/>
      <c r="E754" s="706"/>
    </row>
    <row r="755">
      <c r="A755" s="706"/>
      <c r="B755" s="706"/>
      <c r="C755" s="707"/>
      <c r="D755" s="707"/>
      <c r="E755" s="706"/>
    </row>
    <row r="756">
      <c r="A756" s="706"/>
      <c r="B756" s="706"/>
      <c r="C756" s="707"/>
      <c r="D756" s="707"/>
      <c r="E756" s="706"/>
    </row>
    <row r="757">
      <c r="A757" s="706"/>
      <c r="B757" s="706"/>
      <c r="C757" s="707"/>
      <c r="D757" s="707"/>
      <c r="E757" s="706"/>
    </row>
    <row r="758">
      <c r="A758" s="706"/>
      <c r="B758" s="706"/>
      <c r="C758" s="707"/>
      <c r="D758" s="707"/>
      <c r="E758" s="706"/>
    </row>
    <row r="759">
      <c r="A759" s="706"/>
      <c r="B759" s="706"/>
      <c r="C759" s="707"/>
      <c r="D759" s="707"/>
      <c r="E759" s="706"/>
    </row>
    <row r="760">
      <c r="A760" s="706"/>
      <c r="B760" s="706"/>
      <c r="C760" s="707"/>
      <c r="D760" s="707"/>
      <c r="E760" s="706"/>
    </row>
    <row r="761">
      <c r="A761" s="706"/>
      <c r="B761" s="706"/>
      <c r="C761" s="707"/>
      <c r="D761" s="707"/>
      <c r="E761" s="706"/>
    </row>
    <row r="762">
      <c r="A762" s="706"/>
      <c r="B762" s="706"/>
      <c r="C762" s="707"/>
      <c r="D762" s="707"/>
      <c r="E762" s="706"/>
    </row>
    <row r="763">
      <c r="A763" s="706"/>
      <c r="B763" s="706"/>
      <c r="C763" s="707"/>
      <c r="D763" s="707"/>
      <c r="E763" s="706"/>
    </row>
    <row r="764">
      <c r="A764" s="706"/>
      <c r="B764" s="706"/>
      <c r="C764" s="707"/>
      <c r="D764" s="707"/>
      <c r="E764" s="706"/>
    </row>
    <row r="765">
      <c r="A765" s="706"/>
      <c r="B765" s="706"/>
      <c r="C765" s="707"/>
      <c r="D765" s="707"/>
      <c r="E765" s="706"/>
    </row>
    <row r="766">
      <c r="A766" s="706"/>
      <c r="B766" s="706"/>
      <c r="C766" s="707"/>
      <c r="D766" s="707"/>
      <c r="E766" s="706"/>
    </row>
    <row r="767">
      <c r="A767" s="706"/>
      <c r="B767" s="706"/>
      <c r="C767" s="707"/>
      <c r="D767" s="707"/>
      <c r="E767" s="706"/>
    </row>
    <row r="768">
      <c r="A768" s="706"/>
      <c r="B768" s="706"/>
      <c r="C768" s="707"/>
      <c r="D768" s="707"/>
      <c r="E768" s="706"/>
    </row>
    <row r="769">
      <c r="A769" s="706"/>
      <c r="B769" s="706"/>
      <c r="C769" s="707"/>
      <c r="D769" s="707"/>
      <c r="E769" s="706"/>
    </row>
    <row r="770">
      <c r="A770" s="706"/>
      <c r="B770" s="706"/>
      <c r="C770" s="707"/>
      <c r="D770" s="707"/>
      <c r="E770" s="706"/>
    </row>
    <row r="771">
      <c r="A771" s="706"/>
      <c r="B771" s="706"/>
      <c r="C771" s="707"/>
      <c r="D771" s="707"/>
      <c r="E771" s="706"/>
    </row>
    <row r="772">
      <c r="A772" s="706"/>
      <c r="B772" s="706"/>
      <c r="C772" s="707"/>
      <c r="D772" s="707"/>
      <c r="E772" s="706"/>
    </row>
    <row r="773">
      <c r="A773" s="706"/>
      <c r="B773" s="706"/>
      <c r="C773" s="707"/>
      <c r="D773" s="707"/>
      <c r="E773" s="706"/>
    </row>
    <row r="774">
      <c r="A774" s="706"/>
      <c r="B774" s="706"/>
      <c r="C774" s="707"/>
      <c r="D774" s="707"/>
      <c r="E774" s="706"/>
    </row>
    <row r="775">
      <c r="A775" s="706"/>
      <c r="B775" s="706"/>
      <c r="C775" s="707"/>
      <c r="D775" s="707"/>
      <c r="E775" s="706"/>
    </row>
    <row r="776">
      <c r="A776" s="706"/>
      <c r="B776" s="706"/>
      <c r="C776" s="707"/>
      <c r="D776" s="707"/>
      <c r="E776" s="706"/>
    </row>
    <row r="777">
      <c r="A777" s="706"/>
      <c r="B777" s="706"/>
      <c r="C777" s="707"/>
      <c r="D777" s="707"/>
      <c r="E777" s="706"/>
    </row>
    <row r="778">
      <c r="A778" s="706"/>
      <c r="B778" s="706"/>
      <c r="C778" s="707"/>
      <c r="D778" s="707"/>
      <c r="E778" s="706"/>
    </row>
    <row r="779">
      <c r="A779" s="706"/>
      <c r="B779" s="706"/>
      <c r="C779" s="707"/>
      <c r="D779" s="707"/>
      <c r="E779" s="706"/>
    </row>
    <row r="780">
      <c r="A780" s="706"/>
      <c r="B780" s="706"/>
      <c r="C780" s="707"/>
      <c r="D780" s="707"/>
      <c r="E780" s="706"/>
    </row>
    <row r="781">
      <c r="A781" s="706"/>
      <c r="B781" s="706"/>
      <c r="C781" s="707"/>
      <c r="D781" s="707"/>
      <c r="E781" s="706"/>
    </row>
    <row r="782">
      <c r="A782" s="706"/>
      <c r="B782" s="706"/>
      <c r="C782" s="707"/>
      <c r="D782" s="707"/>
      <c r="E782" s="706"/>
    </row>
    <row r="783">
      <c r="A783" s="706"/>
      <c r="B783" s="706"/>
      <c r="C783" s="707"/>
      <c r="D783" s="707"/>
      <c r="E783" s="706"/>
    </row>
    <row r="784">
      <c r="A784" s="706"/>
      <c r="B784" s="706"/>
      <c r="C784" s="707"/>
      <c r="D784" s="707"/>
      <c r="E784" s="706"/>
    </row>
    <row r="785">
      <c r="A785" s="706"/>
      <c r="B785" s="706"/>
      <c r="C785" s="707"/>
      <c r="D785" s="707"/>
      <c r="E785" s="706"/>
    </row>
    <row r="786">
      <c r="A786" s="706"/>
      <c r="B786" s="706"/>
      <c r="C786" s="707"/>
      <c r="D786" s="707"/>
      <c r="E786" s="706"/>
    </row>
    <row r="787">
      <c r="A787" s="706"/>
      <c r="B787" s="706"/>
      <c r="C787" s="707"/>
      <c r="D787" s="707"/>
      <c r="E787" s="706"/>
    </row>
    <row r="788">
      <c r="A788" s="706"/>
      <c r="B788" s="706"/>
      <c r="C788" s="707"/>
      <c r="D788" s="707"/>
      <c r="E788" s="706"/>
    </row>
    <row r="789">
      <c r="A789" s="706"/>
      <c r="B789" s="706"/>
      <c r="C789" s="707"/>
      <c r="D789" s="707"/>
      <c r="E789" s="706"/>
    </row>
    <row r="790">
      <c r="A790" s="706"/>
      <c r="B790" s="706"/>
      <c r="C790" s="707"/>
      <c r="D790" s="707"/>
      <c r="E790" s="706"/>
    </row>
    <row r="791">
      <c r="A791" s="706"/>
      <c r="B791" s="706"/>
      <c r="C791" s="707"/>
      <c r="D791" s="707"/>
      <c r="E791" s="706"/>
    </row>
    <row r="792">
      <c r="A792" s="706"/>
      <c r="B792" s="706"/>
      <c r="C792" s="707"/>
      <c r="D792" s="707"/>
      <c r="E792" s="706"/>
    </row>
    <row r="793">
      <c r="A793" s="706"/>
      <c r="B793" s="706"/>
      <c r="C793" s="707"/>
      <c r="D793" s="707"/>
      <c r="E793" s="706"/>
    </row>
    <row r="794">
      <c r="A794" s="706"/>
      <c r="B794" s="706"/>
      <c r="C794" s="707"/>
      <c r="D794" s="707"/>
      <c r="E794" s="706"/>
    </row>
    <row r="795">
      <c r="A795" s="706"/>
      <c r="B795" s="706"/>
      <c r="C795" s="707"/>
      <c r="D795" s="707"/>
      <c r="E795" s="706"/>
    </row>
    <row r="796">
      <c r="A796" s="706"/>
      <c r="B796" s="706"/>
      <c r="C796" s="707"/>
      <c r="D796" s="707"/>
      <c r="E796" s="706"/>
    </row>
    <row r="797">
      <c r="A797" s="706"/>
      <c r="B797" s="706"/>
      <c r="C797" s="707"/>
      <c r="D797" s="707"/>
      <c r="E797" s="706"/>
    </row>
    <row r="798">
      <c r="A798" s="706"/>
      <c r="B798" s="706"/>
      <c r="C798" s="707"/>
      <c r="D798" s="707"/>
      <c r="E798" s="706"/>
    </row>
    <row r="799">
      <c r="A799" s="706"/>
      <c r="B799" s="706"/>
      <c r="C799" s="707"/>
      <c r="D799" s="707"/>
      <c r="E799" s="706"/>
    </row>
    <row r="800">
      <c r="A800" s="706"/>
      <c r="B800" s="706"/>
      <c r="C800" s="707"/>
      <c r="D800" s="707"/>
      <c r="E800" s="706"/>
    </row>
    <row r="801">
      <c r="A801" s="706"/>
      <c r="B801" s="706"/>
      <c r="C801" s="707"/>
      <c r="D801" s="707"/>
      <c r="E801" s="706"/>
    </row>
    <row r="802">
      <c r="A802" s="706"/>
      <c r="B802" s="706"/>
      <c r="C802" s="707"/>
      <c r="D802" s="707"/>
      <c r="E802" s="706"/>
    </row>
    <row r="803">
      <c r="A803" s="706"/>
      <c r="B803" s="706"/>
      <c r="C803" s="707"/>
      <c r="D803" s="707"/>
      <c r="E803" s="706"/>
    </row>
    <row r="804">
      <c r="A804" s="706"/>
      <c r="B804" s="706"/>
      <c r="C804" s="707"/>
      <c r="D804" s="707"/>
      <c r="E804" s="706"/>
    </row>
    <row r="805">
      <c r="A805" s="706"/>
      <c r="B805" s="706"/>
      <c r="C805" s="707"/>
      <c r="D805" s="707"/>
      <c r="E805" s="706"/>
    </row>
    <row r="806">
      <c r="A806" s="706"/>
      <c r="B806" s="706"/>
      <c r="C806" s="707"/>
      <c r="D806" s="707"/>
      <c r="E806" s="706"/>
    </row>
    <row r="807">
      <c r="A807" s="706"/>
      <c r="B807" s="706"/>
      <c r="C807" s="707"/>
      <c r="D807" s="707"/>
      <c r="E807" s="706"/>
    </row>
    <row r="808">
      <c r="A808" s="706"/>
      <c r="B808" s="706"/>
      <c r="C808" s="707"/>
      <c r="D808" s="707"/>
      <c r="E808" s="706"/>
    </row>
    <row r="809">
      <c r="A809" s="706"/>
      <c r="B809" s="706"/>
      <c r="C809" s="707"/>
      <c r="D809" s="707"/>
      <c r="E809" s="706"/>
    </row>
    <row r="810">
      <c r="A810" s="706"/>
      <c r="B810" s="706"/>
      <c r="C810" s="707"/>
      <c r="D810" s="707"/>
      <c r="E810" s="706"/>
    </row>
    <row r="811">
      <c r="A811" s="706"/>
      <c r="B811" s="706"/>
      <c r="C811" s="707"/>
      <c r="D811" s="707"/>
      <c r="E811" s="706"/>
    </row>
    <row r="812">
      <c r="A812" s="706"/>
      <c r="B812" s="706"/>
      <c r="C812" s="707"/>
      <c r="D812" s="707"/>
      <c r="E812" s="706"/>
    </row>
    <row r="813">
      <c r="A813" s="706"/>
      <c r="B813" s="706"/>
      <c r="C813" s="707"/>
      <c r="D813" s="707"/>
      <c r="E813" s="706"/>
    </row>
    <row r="814">
      <c r="A814" s="706"/>
      <c r="B814" s="706"/>
      <c r="C814" s="707"/>
      <c r="D814" s="707"/>
      <c r="E814" s="706"/>
    </row>
    <row r="815">
      <c r="A815" s="706"/>
      <c r="B815" s="706"/>
      <c r="C815" s="707"/>
      <c r="D815" s="707"/>
      <c r="E815" s="706"/>
    </row>
    <row r="816">
      <c r="A816" s="706"/>
      <c r="B816" s="706"/>
      <c r="C816" s="707"/>
      <c r="D816" s="707"/>
      <c r="E816" s="706"/>
    </row>
    <row r="817">
      <c r="A817" s="706"/>
      <c r="B817" s="706"/>
      <c r="C817" s="707"/>
      <c r="D817" s="707"/>
      <c r="E817" s="706"/>
    </row>
    <row r="818">
      <c r="A818" s="706"/>
      <c r="B818" s="706"/>
      <c r="C818" s="707"/>
      <c r="D818" s="707"/>
      <c r="E818" s="706"/>
    </row>
    <row r="819">
      <c r="A819" s="706"/>
      <c r="B819" s="706"/>
      <c r="C819" s="707"/>
      <c r="D819" s="707"/>
      <c r="E819" s="706"/>
    </row>
    <row r="820">
      <c r="A820" s="706"/>
      <c r="B820" s="706"/>
      <c r="C820" s="707"/>
      <c r="D820" s="707"/>
      <c r="E820" s="706"/>
    </row>
    <row r="821">
      <c r="A821" s="706"/>
      <c r="B821" s="706"/>
      <c r="C821" s="707"/>
      <c r="D821" s="707"/>
      <c r="E821" s="706"/>
    </row>
    <row r="822">
      <c r="A822" s="706"/>
      <c r="B822" s="706"/>
      <c r="C822" s="707"/>
      <c r="D822" s="707"/>
      <c r="E822" s="706"/>
    </row>
    <row r="823">
      <c r="A823" s="706"/>
      <c r="B823" s="706"/>
      <c r="C823" s="707"/>
      <c r="D823" s="707"/>
      <c r="E823" s="706"/>
    </row>
    <row r="824">
      <c r="A824" s="706"/>
      <c r="B824" s="706"/>
      <c r="C824" s="707"/>
      <c r="D824" s="707"/>
      <c r="E824" s="706"/>
    </row>
    <row r="825">
      <c r="A825" s="706"/>
      <c r="B825" s="706"/>
      <c r="C825" s="707"/>
      <c r="D825" s="707"/>
      <c r="E825" s="706"/>
    </row>
    <row r="826">
      <c r="A826" s="706"/>
      <c r="B826" s="706"/>
      <c r="C826" s="707"/>
      <c r="D826" s="707"/>
      <c r="E826" s="706"/>
    </row>
    <row r="827">
      <c r="A827" s="706"/>
      <c r="B827" s="706"/>
      <c r="C827" s="707"/>
      <c r="D827" s="707"/>
      <c r="E827" s="706"/>
    </row>
    <row r="828">
      <c r="A828" s="706"/>
      <c r="B828" s="706"/>
      <c r="C828" s="707"/>
      <c r="D828" s="707"/>
      <c r="E828" s="706"/>
    </row>
    <row r="829">
      <c r="A829" s="706"/>
      <c r="B829" s="706"/>
      <c r="C829" s="707"/>
      <c r="D829" s="707"/>
      <c r="E829" s="706"/>
    </row>
    <row r="830">
      <c r="A830" s="706"/>
      <c r="B830" s="706"/>
      <c r="C830" s="707"/>
      <c r="D830" s="707"/>
      <c r="E830" s="706"/>
    </row>
    <row r="831">
      <c r="A831" s="706"/>
      <c r="B831" s="706"/>
      <c r="C831" s="707"/>
      <c r="D831" s="707"/>
      <c r="E831" s="706"/>
    </row>
    <row r="832">
      <c r="A832" s="706"/>
      <c r="B832" s="706"/>
      <c r="C832" s="707"/>
      <c r="D832" s="707"/>
      <c r="E832" s="706"/>
    </row>
    <row r="833">
      <c r="A833" s="706"/>
      <c r="B833" s="706"/>
      <c r="C833" s="707"/>
      <c r="D833" s="707"/>
      <c r="E833" s="706"/>
    </row>
    <row r="834">
      <c r="A834" s="706"/>
      <c r="B834" s="706"/>
      <c r="C834" s="707"/>
      <c r="D834" s="707"/>
      <c r="E834" s="706"/>
    </row>
    <row r="835">
      <c r="A835" s="706"/>
      <c r="B835" s="706"/>
      <c r="C835" s="707"/>
      <c r="D835" s="707"/>
      <c r="E835" s="706"/>
    </row>
    <row r="836">
      <c r="A836" s="706"/>
      <c r="B836" s="706"/>
      <c r="C836" s="707"/>
      <c r="D836" s="707"/>
      <c r="E836" s="706"/>
    </row>
    <row r="837">
      <c r="A837" s="706"/>
      <c r="B837" s="706"/>
      <c r="C837" s="707"/>
      <c r="D837" s="707"/>
      <c r="E837" s="706"/>
    </row>
    <row r="838">
      <c r="A838" s="706"/>
      <c r="B838" s="706"/>
      <c r="C838" s="707"/>
      <c r="D838" s="707"/>
      <c r="E838" s="706"/>
    </row>
    <row r="839">
      <c r="A839" s="706"/>
      <c r="B839" s="706"/>
      <c r="C839" s="707"/>
      <c r="D839" s="707"/>
      <c r="E839" s="706"/>
    </row>
    <row r="840">
      <c r="A840" s="706"/>
      <c r="B840" s="706"/>
      <c r="C840" s="707"/>
      <c r="D840" s="707"/>
      <c r="E840" s="706"/>
    </row>
    <row r="841">
      <c r="A841" s="706"/>
      <c r="B841" s="706"/>
      <c r="C841" s="707"/>
      <c r="D841" s="707"/>
      <c r="E841" s="706"/>
    </row>
    <row r="842">
      <c r="A842" s="706"/>
      <c r="B842" s="706"/>
      <c r="C842" s="707"/>
      <c r="D842" s="707"/>
      <c r="E842" s="706"/>
    </row>
    <row r="843">
      <c r="A843" s="706"/>
      <c r="B843" s="706"/>
      <c r="C843" s="707"/>
      <c r="D843" s="707"/>
      <c r="E843" s="706"/>
    </row>
    <row r="844">
      <c r="A844" s="706"/>
      <c r="B844" s="706"/>
      <c r="C844" s="707"/>
      <c r="D844" s="707"/>
      <c r="E844" s="706"/>
    </row>
    <row r="845">
      <c r="A845" s="706"/>
      <c r="B845" s="706"/>
      <c r="C845" s="707"/>
      <c r="D845" s="707"/>
      <c r="E845" s="706"/>
    </row>
    <row r="846">
      <c r="A846" s="706"/>
      <c r="B846" s="706"/>
      <c r="C846" s="707"/>
      <c r="D846" s="707"/>
      <c r="E846" s="706"/>
    </row>
    <row r="847">
      <c r="A847" s="706"/>
      <c r="B847" s="706"/>
      <c r="C847" s="707"/>
      <c r="D847" s="707"/>
      <c r="E847" s="706"/>
    </row>
    <row r="848">
      <c r="A848" s="706"/>
      <c r="B848" s="706"/>
      <c r="C848" s="707"/>
      <c r="D848" s="707"/>
      <c r="E848" s="706"/>
    </row>
    <row r="849">
      <c r="A849" s="706"/>
      <c r="B849" s="706"/>
      <c r="C849" s="707"/>
      <c r="D849" s="707"/>
      <c r="E849" s="706"/>
    </row>
    <row r="850">
      <c r="A850" s="706"/>
      <c r="B850" s="706"/>
      <c r="C850" s="707"/>
      <c r="D850" s="707"/>
      <c r="E850" s="706"/>
    </row>
    <row r="851">
      <c r="A851" s="706"/>
      <c r="B851" s="706"/>
      <c r="C851" s="707"/>
      <c r="D851" s="707"/>
      <c r="E851" s="706"/>
    </row>
    <row r="852">
      <c r="A852" s="706"/>
      <c r="B852" s="706"/>
      <c r="C852" s="707"/>
      <c r="D852" s="707"/>
      <c r="E852" s="706"/>
    </row>
    <row r="853">
      <c r="A853" s="706"/>
      <c r="B853" s="706"/>
      <c r="C853" s="707"/>
      <c r="D853" s="707"/>
      <c r="E853" s="706"/>
    </row>
    <row r="854">
      <c r="A854" s="706"/>
      <c r="B854" s="706"/>
      <c r="C854" s="707"/>
      <c r="D854" s="707"/>
      <c r="E854" s="706"/>
    </row>
    <row r="855">
      <c r="A855" s="706"/>
      <c r="B855" s="706"/>
      <c r="C855" s="707"/>
      <c r="D855" s="707"/>
      <c r="E855" s="706"/>
    </row>
    <row r="856">
      <c r="A856" s="706"/>
      <c r="B856" s="706"/>
      <c r="C856" s="707"/>
      <c r="D856" s="707"/>
      <c r="E856" s="706"/>
    </row>
    <row r="857">
      <c r="A857" s="706"/>
      <c r="B857" s="706"/>
      <c r="C857" s="707"/>
      <c r="D857" s="707"/>
      <c r="E857" s="706"/>
    </row>
    <row r="858">
      <c r="A858" s="706"/>
      <c r="B858" s="706"/>
      <c r="C858" s="707"/>
      <c r="D858" s="707"/>
      <c r="E858" s="706"/>
    </row>
    <row r="859">
      <c r="A859" s="706"/>
      <c r="B859" s="706"/>
      <c r="C859" s="707"/>
      <c r="D859" s="707"/>
      <c r="E859" s="706"/>
    </row>
    <row r="860">
      <c r="A860" s="706"/>
      <c r="B860" s="706"/>
      <c r="C860" s="707"/>
      <c r="D860" s="707"/>
      <c r="E860" s="706"/>
    </row>
    <row r="861">
      <c r="A861" s="706"/>
      <c r="B861" s="706"/>
      <c r="C861" s="707"/>
      <c r="D861" s="707"/>
      <c r="E861" s="706"/>
    </row>
    <row r="862">
      <c r="A862" s="706"/>
      <c r="B862" s="706"/>
      <c r="C862" s="707"/>
      <c r="D862" s="707"/>
      <c r="E862" s="706"/>
    </row>
    <row r="863">
      <c r="A863" s="706"/>
      <c r="B863" s="706"/>
      <c r="C863" s="707"/>
      <c r="D863" s="707"/>
      <c r="E863" s="706"/>
    </row>
    <row r="864">
      <c r="A864" s="706"/>
      <c r="B864" s="706"/>
      <c r="C864" s="707"/>
      <c r="D864" s="707"/>
      <c r="E864" s="706"/>
    </row>
    <row r="865">
      <c r="A865" s="706"/>
      <c r="B865" s="706"/>
      <c r="C865" s="707"/>
      <c r="D865" s="707"/>
      <c r="E865" s="706"/>
    </row>
    <row r="866">
      <c r="A866" s="706"/>
      <c r="B866" s="706"/>
      <c r="C866" s="707"/>
      <c r="D866" s="707"/>
      <c r="E866" s="706"/>
    </row>
    <row r="867">
      <c r="A867" s="706"/>
      <c r="B867" s="706"/>
      <c r="C867" s="707"/>
      <c r="D867" s="707"/>
      <c r="E867" s="706"/>
    </row>
    <row r="868">
      <c r="A868" s="706"/>
      <c r="B868" s="706"/>
      <c r="C868" s="707"/>
      <c r="D868" s="707"/>
      <c r="E868" s="706"/>
    </row>
    <row r="869">
      <c r="A869" s="706"/>
      <c r="B869" s="706"/>
      <c r="C869" s="707"/>
      <c r="D869" s="707"/>
      <c r="E869" s="706"/>
    </row>
    <row r="870">
      <c r="A870" s="706"/>
      <c r="B870" s="706"/>
      <c r="C870" s="707"/>
      <c r="D870" s="707"/>
      <c r="E870" s="706"/>
    </row>
    <row r="871">
      <c r="A871" s="706"/>
      <c r="B871" s="706"/>
      <c r="C871" s="707"/>
      <c r="D871" s="707"/>
      <c r="E871" s="706"/>
    </row>
    <row r="872">
      <c r="A872" s="706"/>
      <c r="B872" s="706"/>
      <c r="C872" s="707"/>
      <c r="D872" s="707"/>
      <c r="E872" s="706"/>
    </row>
    <row r="873">
      <c r="A873" s="706"/>
      <c r="B873" s="706"/>
      <c r="C873" s="707"/>
      <c r="D873" s="707"/>
      <c r="E873" s="706"/>
    </row>
    <row r="874">
      <c r="A874" s="706"/>
      <c r="B874" s="706"/>
      <c r="C874" s="707"/>
      <c r="D874" s="707"/>
      <c r="E874" s="706"/>
    </row>
    <row r="875">
      <c r="A875" s="706"/>
      <c r="B875" s="706"/>
      <c r="C875" s="707"/>
      <c r="D875" s="707"/>
      <c r="E875" s="706"/>
    </row>
    <row r="876">
      <c r="A876" s="706"/>
      <c r="B876" s="706"/>
      <c r="C876" s="707"/>
      <c r="D876" s="707"/>
      <c r="E876" s="706"/>
    </row>
    <row r="877">
      <c r="A877" s="706"/>
      <c r="B877" s="706"/>
      <c r="C877" s="707"/>
      <c r="D877" s="707"/>
      <c r="E877" s="706"/>
    </row>
    <row r="878">
      <c r="A878" s="706"/>
      <c r="B878" s="706"/>
      <c r="C878" s="707"/>
      <c r="D878" s="707"/>
      <c r="E878" s="706"/>
    </row>
    <row r="879">
      <c r="A879" s="706"/>
      <c r="B879" s="706"/>
      <c r="C879" s="707"/>
      <c r="D879" s="707"/>
      <c r="E879" s="706"/>
    </row>
    <row r="880">
      <c r="A880" s="706"/>
      <c r="B880" s="706"/>
      <c r="C880" s="707"/>
      <c r="D880" s="707"/>
      <c r="E880" s="706"/>
    </row>
    <row r="881">
      <c r="A881" s="706"/>
      <c r="B881" s="706"/>
      <c r="C881" s="707"/>
      <c r="D881" s="707"/>
      <c r="E881" s="706"/>
    </row>
    <row r="882">
      <c r="A882" s="706"/>
      <c r="B882" s="706"/>
      <c r="C882" s="707"/>
      <c r="D882" s="707"/>
      <c r="E882" s="706"/>
    </row>
    <row r="883">
      <c r="A883" s="706"/>
      <c r="B883" s="706"/>
      <c r="C883" s="707"/>
      <c r="D883" s="707"/>
      <c r="E883" s="706"/>
    </row>
    <row r="884">
      <c r="A884" s="706"/>
      <c r="B884" s="706"/>
      <c r="C884" s="707"/>
      <c r="D884" s="707"/>
      <c r="E884" s="706"/>
    </row>
    <row r="885">
      <c r="A885" s="706"/>
      <c r="B885" s="706"/>
      <c r="C885" s="707"/>
      <c r="D885" s="707"/>
      <c r="E885" s="706"/>
    </row>
    <row r="886">
      <c r="A886" s="706"/>
      <c r="B886" s="706"/>
      <c r="C886" s="707"/>
      <c r="D886" s="707"/>
      <c r="E886" s="706"/>
    </row>
    <row r="887">
      <c r="A887" s="706"/>
      <c r="B887" s="706"/>
      <c r="C887" s="707"/>
      <c r="D887" s="707"/>
      <c r="E887" s="706"/>
    </row>
    <row r="888">
      <c r="A888" s="706"/>
      <c r="B888" s="706"/>
      <c r="C888" s="707"/>
      <c r="D888" s="707"/>
      <c r="E888" s="706"/>
    </row>
    <row r="889">
      <c r="A889" s="706"/>
      <c r="B889" s="706"/>
      <c r="C889" s="707"/>
      <c r="D889" s="707"/>
      <c r="E889" s="706"/>
    </row>
    <row r="890">
      <c r="A890" s="706"/>
      <c r="B890" s="706"/>
      <c r="C890" s="707"/>
      <c r="D890" s="707"/>
      <c r="E890" s="706"/>
    </row>
    <row r="891">
      <c r="A891" s="706"/>
      <c r="B891" s="706"/>
      <c r="C891" s="707"/>
      <c r="D891" s="707"/>
      <c r="E891" s="706"/>
    </row>
    <row r="892">
      <c r="A892" s="706"/>
      <c r="B892" s="706"/>
      <c r="C892" s="707"/>
      <c r="D892" s="707"/>
      <c r="E892" s="706"/>
    </row>
    <row r="893">
      <c r="A893" s="706"/>
      <c r="B893" s="706"/>
      <c r="C893" s="707"/>
      <c r="D893" s="707"/>
      <c r="E893" s="706"/>
    </row>
    <row r="894">
      <c r="A894" s="706"/>
      <c r="B894" s="706"/>
      <c r="C894" s="707"/>
      <c r="D894" s="707"/>
      <c r="E894" s="706"/>
    </row>
    <row r="895">
      <c r="A895" s="706"/>
      <c r="B895" s="706"/>
      <c r="C895" s="707"/>
      <c r="D895" s="707"/>
      <c r="E895" s="706"/>
    </row>
    <row r="896">
      <c r="A896" s="706"/>
      <c r="B896" s="706"/>
      <c r="C896" s="707"/>
      <c r="D896" s="707"/>
      <c r="E896" s="706"/>
    </row>
    <row r="897">
      <c r="A897" s="706"/>
      <c r="B897" s="706"/>
      <c r="C897" s="707"/>
      <c r="D897" s="707"/>
      <c r="E897" s="706"/>
    </row>
    <row r="898">
      <c r="A898" s="706"/>
      <c r="B898" s="706"/>
      <c r="C898" s="707"/>
      <c r="D898" s="707"/>
      <c r="E898" s="706"/>
    </row>
    <row r="899">
      <c r="A899" s="706"/>
      <c r="B899" s="706"/>
      <c r="C899" s="707"/>
      <c r="D899" s="707"/>
      <c r="E899" s="706"/>
    </row>
    <row r="900">
      <c r="A900" s="706"/>
      <c r="B900" s="706"/>
      <c r="C900" s="707"/>
      <c r="D900" s="707"/>
      <c r="E900" s="706"/>
    </row>
    <row r="901">
      <c r="A901" s="706"/>
      <c r="B901" s="706"/>
      <c r="C901" s="707"/>
      <c r="D901" s="707"/>
      <c r="E901" s="706"/>
    </row>
    <row r="902">
      <c r="A902" s="706"/>
      <c r="B902" s="706"/>
      <c r="C902" s="707"/>
      <c r="D902" s="707"/>
      <c r="E902" s="706"/>
    </row>
    <row r="903">
      <c r="A903" s="706"/>
      <c r="B903" s="706"/>
      <c r="C903" s="707"/>
      <c r="D903" s="707"/>
      <c r="E903" s="706"/>
    </row>
    <row r="904">
      <c r="A904" s="706"/>
      <c r="B904" s="706"/>
      <c r="C904" s="707"/>
      <c r="D904" s="707"/>
      <c r="E904" s="706"/>
    </row>
    <row r="905">
      <c r="A905" s="706"/>
      <c r="B905" s="706"/>
      <c r="C905" s="707"/>
      <c r="D905" s="707"/>
      <c r="E905" s="706"/>
    </row>
    <row r="906">
      <c r="A906" s="706"/>
      <c r="B906" s="706"/>
      <c r="C906" s="707"/>
      <c r="D906" s="707"/>
      <c r="E906" s="706"/>
    </row>
    <row r="907">
      <c r="A907" s="706"/>
      <c r="B907" s="706"/>
      <c r="C907" s="707"/>
      <c r="D907" s="707"/>
      <c r="E907" s="706"/>
    </row>
    <row r="908">
      <c r="A908" s="706"/>
      <c r="B908" s="706"/>
      <c r="C908" s="707"/>
      <c r="D908" s="707"/>
      <c r="E908" s="706"/>
    </row>
    <row r="909">
      <c r="A909" s="706"/>
      <c r="B909" s="706"/>
      <c r="C909" s="707"/>
      <c r="D909" s="707"/>
      <c r="E909" s="706"/>
    </row>
    <row r="910">
      <c r="A910" s="706"/>
      <c r="B910" s="706"/>
      <c r="C910" s="707"/>
      <c r="D910" s="707"/>
      <c r="E910" s="706"/>
    </row>
    <row r="911">
      <c r="A911" s="706"/>
      <c r="B911" s="706"/>
      <c r="C911" s="707"/>
      <c r="D911" s="707"/>
      <c r="E911" s="706"/>
    </row>
    <row r="912">
      <c r="A912" s="706"/>
      <c r="B912" s="706"/>
      <c r="C912" s="707"/>
      <c r="D912" s="707"/>
      <c r="E912" s="706"/>
    </row>
    <row r="913">
      <c r="A913" s="706"/>
      <c r="B913" s="706"/>
      <c r="C913" s="707"/>
      <c r="D913" s="707"/>
      <c r="E913" s="706"/>
    </row>
    <row r="914">
      <c r="A914" s="706"/>
      <c r="B914" s="706"/>
      <c r="C914" s="707"/>
      <c r="D914" s="707"/>
      <c r="E914" s="706"/>
    </row>
    <row r="915">
      <c r="A915" s="706"/>
      <c r="B915" s="706"/>
      <c r="C915" s="707"/>
      <c r="D915" s="707"/>
      <c r="E915" s="706"/>
    </row>
    <row r="916">
      <c r="A916" s="706"/>
      <c r="B916" s="706"/>
      <c r="C916" s="707"/>
      <c r="D916" s="707"/>
      <c r="E916" s="706"/>
    </row>
    <row r="917">
      <c r="A917" s="706"/>
      <c r="B917" s="706"/>
      <c r="C917" s="707"/>
      <c r="D917" s="707"/>
      <c r="E917" s="706"/>
    </row>
    <row r="918">
      <c r="A918" s="706"/>
      <c r="B918" s="706"/>
      <c r="C918" s="707"/>
      <c r="D918" s="707"/>
      <c r="E918" s="706"/>
    </row>
    <row r="919">
      <c r="A919" s="706"/>
      <c r="B919" s="706"/>
      <c r="C919" s="707"/>
      <c r="D919" s="707"/>
      <c r="E919" s="706"/>
    </row>
    <row r="920">
      <c r="A920" s="706"/>
      <c r="B920" s="706"/>
      <c r="C920" s="707"/>
      <c r="D920" s="707"/>
      <c r="E920" s="706"/>
    </row>
    <row r="921">
      <c r="A921" s="706"/>
      <c r="B921" s="706"/>
      <c r="C921" s="707"/>
      <c r="D921" s="707"/>
      <c r="E921" s="706"/>
    </row>
    <row r="922">
      <c r="A922" s="706"/>
      <c r="B922" s="706"/>
      <c r="C922" s="707"/>
      <c r="D922" s="707"/>
      <c r="E922" s="706"/>
    </row>
    <row r="923">
      <c r="A923" s="706"/>
      <c r="B923" s="706"/>
      <c r="C923" s="707"/>
      <c r="D923" s="707"/>
      <c r="E923" s="706"/>
    </row>
    <row r="924">
      <c r="A924" s="706"/>
      <c r="B924" s="706"/>
      <c r="C924" s="707"/>
      <c r="D924" s="707"/>
      <c r="E924" s="706"/>
    </row>
    <row r="925">
      <c r="A925" s="706"/>
      <c r="B925" s="706"/>
      <c r="C925" s="707"/>
      <c r="D925" s="707"/>
      <c r="E925" s="706"/>
    </row>
    <row r="926">
      <c r="A926" s="706"/>
      <c r="B926" s="706"/>
      <c r="C926" s="707"/>
      <c r="D926" s="707"/>
      <c r="E926" s="706"/>
    </row>
    <row r="927">
      <c r="A927" s="706"/>
      <c r="B927" s="706"/>
      <c r="C927" s="707"/>
      <c r="D927" s="707"/>
      <c r="E927" s="706"/>
    </row>
    <row r="928">
      <c r="A928" s="706"/>
      <c r="B928" s="706"/>
      <c r="C928" s="707"/>
      <c r="D928" s="707"/>
      <c r="E928" s="706"/>
    </row>
    <row r="929">
      <c r="A929" s="706"/>
      <c r="B929" s="706"/>
      <c r="C929" s="707"/>
      <c r="D929" s="707"/>
      <c r="E929" s="706"/>
    </row>
    <row r="930">
      <c r="A930" s="706"/>
      <c r="B930" s="706"/>
      <c r="C930" s="707"/>
      <c r="D930" s="707"/>
      <c r="E930" s="706"/>
    </row>
    <row r="931">
      <c r="A931" s="706"/>
      <c r="B931" s="706"/>
      <c r="C931" s="707"/>
      <c r="D931" s="707"/>
      <c r="E931" s="706"/>
    </row>
    <row r="932">
      <c r="A932" s="706"/>
      <c r="B932" s="706"/>
      <c r="C932" s="707"/>
      <c r="D932" s="707"/>
      <c r="E932" s="706"/>
    </row>
    <row r="933">
      <c r="A933" s="706"/>
      <c r="B933" s="706"/>
      <c r="C933" s="707"/>
      <c r="D933" s="707"/>
      <c r="E933" s="706"/>
    </row>
    <row r="934">
      <c r="A934" s="706"/>
      <c r="B934" s="706"/>
      <c r="C934" s="707"/>
      <c r="D934" s="707"/>
      <c r="E934" s="706"/>
    </row>
    <row r="935">
      <c r="A935" s="706"/>
      <c r="B935" s="706"/>
      <c r="C935" s="707"/>
      <c r="D935" s="707"/>
      <c r="E935" s="706"/>
    </row>
    <row r="936">
      <c r="A936" s="706"/>
      <c r="B936" s="706"/>
      <c r="C936" s="707"/>
      <c r="D936" s="707"/>
      <c r="E936" s="706"/>
    </row>
    <row r="937">
      <c r="A937" s="706"/>
      <c r="B937" s="706"/>
      <c r="C937" s="707"/>
      <c r="D937" s="707"/>
      <c r="E937" s="706"/>
    </row>
    <row r="938">
      <c r="A938" s="706"/>
      <c r="B938" s="706"/>
      <c r="C938" s="707"/>
      <c r="D938" s="707"/>
      <c r="E938" s="706"/>
    </row>
    <row r="939">
      <c r="A939" s="706"/>
      <c r="B939" s="706"/>
      <c r="C939" s="707"/>
      <c r="D939" s="707"/>
      <c r="E939" s="706"/>
    </row>
    <row r="940">
      <c r="A940" s="706"/>
      <c r="B940" s="706"/>
      <c r="C940" s="707"/>
      <c r="D940" s="707"/>
      <c r="E940" s="706"/>
    </row>
    <row r="941">
      <c r="A941" s="706"/>
      <c r="B941" s="706"/>
      <c r="C941" s="707"/>
      <c r="D941" s="707"/>
      <c r="E941" s="706"/>
    </row>
    <row r="942">
      <c r="A942" s="706"/>
      <c r="B942" s="706"/>
      <c r="C942" s="707"/>
      <c r="D942" s="707"/>
      <c r="E942" s="706"/>
    </row>
    <row r="943">
      <c r="A943" s="706"/>
      <c r="B943" s="706"/>
      <c r="C943" s="707"/>
      <c r="D943" s="707"/>
      <c r="E943" s="706"/>
    </row>
    <row r="944">
      <c r="A944" s="706"/>
      <c r="B944" s="706"/>
      <c r="C944" s="707"/>
      <c r="D944" s="707"/>
      <c r="E944" s="706"/>
    </row>
    <row r="945">
      <c r="A945" s="706"/>
      <c r="B945" s="706"/>
      <c r="C945" s="707"/>
      <c r="D945" s="707"/>
      <c r="E945" s="706"/>
    </row>
    <row r="946">
      <c r="A946" s="706"/>
      <c r="B946" s="706"/>
      <c r="C946" s="707"/>
      <c r="D946" s="707"/>
      <c r="E946" s="706"/>
    </row>
    <row r="947">
      <c r="A947" s="706"/>
      <c r="B947" s="706"/>
      <c r="C947" s="707"/>
      <c r="D947" s="707"/>
      <c r="E947" s="706"/>
    </row>
    <row r="948">
      <c r="A948" s="706"/>
      <c r="B948" s="706"/>
      <c r="C948" s="707"/>
      <c r="D948" s="707"/>
      <c r="E948" s="706"/>
    </row>
    <row r="949">
      <c r="A949" s="706"/>
      <c r="B949" s="706"/>
      <c r="C949" s="707"/>
      <c r="D949" s="707"/>
      <c r="E949" s="706"/>
    </row>
    <row r="950">
      <c r="A950" s="706"/>
      <c r="B950" s="706"/>
      <c r="C950" s="707"/>
      <c r="D950" s="707"/>
      <c r="E950" s="706"/>
    </row>
    <row r="951">
      <c r="A951" s="706"/>
      <c r="B951" s="706"/>
      <c r="C951" s="707"/>
      <c r="D951" s="707"/>
      <c r="E951" s="706"/>
    </row>
    <row r="952">
      <c r="A952" s="706"/>
      <c r="B952" s="706"/>
      <c r="C952" s="707"/>
      <c r="D952" s="707"/>
      <c r="E952" s="706"/>
    </row>
    <row r="953">
      <c r="A953" s="706"/>
      <c r="B953" s="706"/>
      <c r="C953" s="707"/>
      <c r="D953" s="707"/>
      <c r="E953" s="706"/>
    </row>
    <row r="954">
      <c r="A954" s="706"/>
      <c r="B954" s="706"/>
      <c r="C954" s="707"/>
      <c r="D954" s="707"/>
      <c r="E954" s="706"/>
    </row>
    <row r="955">
      <c r="A955" s="706"/>
      <c r="B955" s="706"/>
      <c r="C955" s="707"/>
      <c r="D955" s="707"/>
      <c r="E955" s="706"/>
    </row>
    <row r="956">
      <c r="A956" s="706"/>
      <c r="B956" s="706"/>
      <c r="C956" s="707"/>
      <c r="D956" s="707"/>
      <c r="E956" s="706"/>
    </row>
    <row r="957">
      <c r="A957" s="706"/>
      <c r="B957" s="706"/>
      <c r="C957" s="707"/>
      <c r="D957" s="707"/>
      <c r="E957" s="706"/>
    </row>
    <row r="958">
      <c r="A958" s="706"/>
      <c r="B958" s="706"/>
      <c r="C958" s="707"/>
      <c r="D958" s="707"/>
      <c r="E958" s="706"/>
    </row>
    <row r="959">
      <c r="A959" s="706"/>
      <c r="B959" s="706"/>
      <c r="C959" s="707"/>
      <c r="D959" s="707"/>
      <c r="E959" s="706"/>
    </row>
    <row r="960">
      <c r="A960" s="706"/>
      <c r="B960" s="706"/>
      <c r="C960" s="707"/>
      <c r="D960" s="707"/>
      <c r="E960" s="706"/>
    </row>
    <row r="961">
      <c r="A961" s="706"/>
      <c r="B961" s="706"/>
      <c r="C961" s="707"/>
      <c r="D961" s="707"/>
      <c r="E961" s="706"/>
    </row>
    <row r="962">
      <c r="A962" s="706"/>
      <c r="B962" s="706"/>
      <c r="C962" s="707"/>
      <c r="D962" s="707"/>
      <c r="E962" s="706"/>
    </row>
    <row r="963">
      <c r="A963" s="706"/>
      <c r="B963" s="706"/>
      <c r="C963" s="707"/>
      <c r="D963" s="707"/>
      <c r="E963" s="706"/>
    </row>
    <row r="964">
      <c r="A964" s="706"/>
      <c r="B964" s="706"/>
      <c r="C964" s="707"/>
      <c r="D964" s="707"/>
      <c r="E964" s="706"/>
    </row>
    <row r="965">
      <c r="A965" s="706"/>
      <c r="B965" s="706"/>
      <c r="C965" s="707"/>
      <c r="D965" s="707"/>
      <c r="E965" s="706"/>
    </row>
    <row r="966">
      <c r="A966" s="706"/>
      <c r="B966" s="706"/>
      <c r="C966" s="707"/>
      <c r="D966" s="707"/>
      <c r="E966" s="706"/>
    </row>
    <row r="967">
      <c r="A967" s="706"/>
      <c r="B967" s="706"/>
      <c r="C967" s="707"/>
      <c r="D967" s="707"/>
      <c r="E967" s="706"/>
    </row>
    <row r="968">
      <c r="A968" s="706"/>
      <c r="B968" s="706"/>
      <c r="C968" s="707"/>
      <c r="D968" s="707"/>
      <c r="E968" s="706"/>
    </row>
    <row r="969">
      <c r="A969" s="706"/>
      <c r="B969" s="706"/>
      <c r="C969" s="707"/>
      <c r="D969" s="707"/>
      <c r="E969" s="706"/>
    </row>
    <row r="970">
      <c r="A970" s="706"/>
      <c r="B970" s="706"/>
      <c r="C970" s="707"/>
      <c r="D970" s="707"/>
      <c r="E970" s="706"/>
    </row>
    <row r="971">
      <c r="A971" s="706"/>
      <c r="B971" s="706"/>
      <c r="C971" s="707"/>
      <c r="D971" s="707"/>
      <c r="E971" s="706"/>
    </row>
    <row r="972">
      <c r="A972" s="706"/>
      <c r="B972" s="706"/>
      <c r="C972" s="707"/>
      <c r="D972" s="707"/>
      <c r="E972" s="706"/>
    </row>
    <row r="973">
      <c r="A973" s="706"/>
      <c r="B973" s="706"/>
      <c r="C973" s="707"/>
      <c r="D973" s="707"/>
      <c r="E973" s="706"/>
    </row>
    <row r="974">
      <c r="A974" s="706"/>
      <c r="B974" s="706"/>
      <c r="C974" s="707"/>
      <c r="D974" s="707"/>
      <c r="E974" s="706"/>
    </row>
    <row r="975">
      <c r="A975" s="706"/>
      <c r="B975" s="706"/>
      <c r="C975" s="707"/>
      <c r="D975" s="707"/>
      <c r="E975" s="706"/>
    </row>
    <row r="976">
      <c r="A976" s="706"/>
      <c r="B976" s="706"/>
      <c r="C976" s="707"/>
      <c r="D976" s="707"/>
      <c r="E976" s="706"/>
    </row>
    <row r="977">
      <c r="A977" s="706"/>
      <c r="B977" s="706"/>
      <c r="C977" s="707"/>
      <c r="D977" s="707"/>
      <c r="E977" s="706"/>
    </row>
    <row r="978">
      <c r="A978" s="706"/>
      <c r="B978" s="706"/>
      <c r="C978" s="707"/>
      <c r="D978" s="707"/>
      <c r="E978" s="706"/>
    </row>
    <row r="979">
      <c r="A979" s="706"/>
      <c r="B979" s="706"/>
      <c r="C979" s="707"/>
      <c r="D979" s="707"/>
      <c r="E979" s="706"/>
    </row>
    <row r="980">
      <c r="A980" s="706"/>
      <c r="B980" s="706"/>
      <c r="C980" s="707"/>
      <c r="D980" s="707"/>
      <c r="E980" s="706"/>
    </row>
    <row r="981">
      <c r="A981" s="706"/>
      <c r="B981" s="706"/>
      <c r="C981" s="707"/>
      <c r="D981" s="707"/>
      <c r="E981" s="706"/>
    </row>
    <row r="982">
      <c r="A982" s="706"/>
      <c r="B982" s="706"/>
      <c r="C982" s="707"/>
      <c r="D982" s="707"/>
      <c r="E982" s="706"/>
    </row>
    <row r="983">
      <c r="A983" s="706"/>
      <c r="B983" s="706"/>
      <c r="C983" s="707"/>
      <c r="D983" s="707"/>
      <c r="E983" s="706"/>
    </row>
    <row r="984">
      <c r="A984" s="706"/>
      <c r="B984" s="706"/>
      <c r="C984" s="707"/>
      <c r="D984" s="707"/>
      <c r="E984" s="706"/>
    </row>
    <row r="985">
      <c r="A985" s="706"/>
      <c r="B985" s="706"/>
      <c r="C985" s="707"/>
      <c r="D985" s="707"/>
      <c r="E985" s="706"/>
    </row>
    <row r="986">
      <c r="A986" s="706"/>
      <c r="B986" s="706"/>
      <c r="C986" s="707"/>
      <c r="D986" s="707"/>
      <c r="E986" s="706"/>
    </row>
    <row r="987">
      <c r="A987" s="706"/>
      <c r="B987" s="706"/>
      <c r="C987" s="707"/>
      <c r="D987" s="707"/>
      <c r="E987" s="706"/>
    </row>
    <row r="988">
      <c r="A988" s="706"/>
      <c r="B988" s="706"/>
      <c r="C988" s="707"/>
      <c r="D988" s="707"/>
      <c r="E988" s="706"/>
    </row>
    <row r="989">
      <c r="A989" s="706"/>
      <c r="B989" s="706"/>
      <c r="C989" s="707"/>
      <c r="D989" s="707"/>
      <c r="E989" s="706"/>
    </row>
    <row r="990">
      <c r="A990" s="706"/>
      <c r="B990" s="706"/>
      <c r="C990" s="707"/>
      <c r="D990" s="707"/>
      <c r="E990" s="706"/>
    </row>
    <row r="991">
      <c r="A991" s="706"/>
      <c r="B991" s="706"/>
      <c r="C991" s="707"/>
      <c r="D991" s="707"/>
      <c r="E991" s="706"/>
    </row>
    <row r="992">
      <c r="A992" s="706"/>
      <c r="B992" s="706"/>
      <c r="C992" s="707"/>
      <c r="D992" s="707"/>
      <c r="E992" s="706"/>
    </row>
    <row r="993">
      <c r="A993" s="706"/>
      <c r="B993" s="706"/>
      <c r="C993" s="707"/>
      <c r="D993" s="707"/>
      <c r="E993" s="706"/>
    </row>
    <row r="994">
      <c r="A994" s="706"/>
      <c r="B994" s="706"/>
      <c r="C994" s="707"/>
      <c r="D994" s="707"/>
      <c r="E994" s="706"/>
    </row>
    <row r="995">
      <c r="A995" s="706"/>
      <c r="B995" s="706"/>
      <c r="C995" s="707"/>
      <c r="D995" s="707"/>
      <c r="E995" s="706"/>
    </row>
    <row r="996">
      <c r="A996" s="706"/>
      <c r="B996" s="706"/>
      <c r="C996" s="707"/>
      <c r="D996" s="707"/>
      <c r="E996" s="706"/>
    </row>
    <row r="997">
      <c r="A997" s="706"/>
      <c r="B997" s="706"/>
      <c r="C997" s="707"/>
      <c r="D997" s="707"/>
      <c r="E997" s="706"/>
    </row>
    <row r="998">
      <c r="A998" s="706"/>
      <c r="B998" s="706"/>
      <c r="C998" s="707"/>
      <c r="D998" s="707"/>
      <c r="E998" s="706"/>
    </row>
    <row r="999">
      <c r="A999" s="706"/>
      <c r="B999" s="706"/>
      <c r="C999" s="707"/>
      <c r="D999" s="707"/>
      <c r="E999" s="706"/>
    </row>
    <row r="1000">
      <c r="A1000" s="706"/>
      <c r="B1000" s="706"/>
      <c r="C1000" s="707"/>
      <c r="D1000" s="707"/>
      <c r="E1000" s="706"/>
    </row>
    <row r="1001">
      <c r="A1001" s="706"/>
      <c r="B1001" s="706"/>
      <c r="C1001" s="707"/>
      <c r="D1001" s="707"/>
      <c r="E1001" s="706"/>
    </row>
    <row r="1002">
      <c r="A1002" s="706"/>
      <c r="B1002" s="706"/>
      <c r="C1002" s="707"/>
      <c r="D1002" s="707"/>
      <c r="E1002" s="706"/>
    </row>
    <row r="1003">
      <c r="A1003" s="706"/>
      <c r="B1003" s="706"/>
      <c r="C1003" s="707"/>
      <c r="D1003" s="707"/>
      <c r="E1003" s="706"/>
    </row>
    <row r="1004">
      <c r="A1004" s="706"/>
      <c r="B1004" s="706"/>
      <c r="C1004" s="707"/>
      <c r="D1004" s="707"/>
      <c r="E1004" s="706"/>
    </row>
    <row r="1005">
      <c r="A1005" s="706"/>
      <c r="B1005" s="706"/>
      <c r="C1005" s="707"/>
      <c r="D1005" s="707"/>
      <c r="E1005" s="706"/>
    </row>
    <row r="1006">
      <c r="A1006" s="706"/>
      <c r="B1006" s="706"/>
      <c r="C1006" s="707"/>
      <c r="D1006" s="707"/>
      <c r="E1006" s="706"/>
    </row>
    <row r="1007">
      <c r="A1007" s="706"/>
      <c r="B1007" s="706"/>
      <c r="C1007" s="707"/>
      <c r="D1007" s="707"/>
      <c r="E1007" s="706"/>
    </row>
    <row r="1008">
      <c r="A1008" s="706"/>
      <c r="B1008" s="706"/>
      <c r="C1008" s="707"/>
      <c r="D1008" s="707"/>
      <c r="E1008" s="706"/>
    </row>
    <row r="1009">
      <c r="A1009" s="706"/>
      <c r="B1009" s="706"/>
      <c r="C1009" s="707"/>
      <c r="D1009" s="707"/>
      <c r="E1009" s="706"/>
    </row>
    <row r="1010">
      <c r="A1010" s="706"/>
      <c r="B1010" s="706"/>
      <c r="C1010" s="707"/>
      <c r="D1010" s="707"/>
      <c r="E1010" s="706"/>
    </row>
    <row r="1011">
      <c r="A1011" s="706"/>
      <c r="B1011" s="706"/>
      <c r="C1011" s="707"/>
      <c r="D1011" s="707"/>
      <c r="E1011" s="706"/>
    </row>
    <row r="1012">
      <c r="A1012" s="706"/>
      <c r="B1012" s="706"/>
      <c r="C1012" s="707"/>
      <c r="D1012" s="707"/>
      <c r="E1012" s="706"/>
    </row>
    <row r="1013">
      <c r="A1013" s="706"/>
      <c r="B1013" s="706"/>
      <c r="C1013" s="707"/>
      <c r="D1013" s="707"/>
      <c r="E1013" s="706"/>
    </row>
    <row r="1014">
      <c r="A1014" s="706"/>
      <c r="B1014" s="706"/>
      <c r="C1014" s="707"/>
      <c r="D1014" s="707"/>
      <c r="E1014" s="706"/>
    </row>
    <row r="1015">
      <c r="A1015" s="706"/>
      <c r="B1015" s="706"/>
      <c r="C1015" s="707"/>
      <c r="D1015" s="707"/>
      <c r="E1015" s="706"/>
    </row>
    <row r="1016">
      <c r="A1016" s="706"/>
      <c r="B1016" s="706"/>
      <c r="C1016" s="707"/>
      <c r="D1016" s="707"/>
      <c r="E1016" s="706"/>
    </row>
    <row r="1017">
      <c r="A1017" s="706"/>
      <c r="B1017" s="706"/>
      <c r="C1017" s="707"/>
      <c r="D1017" s="707"/>
      <c r="E1017" s="706"/>
    </row>
    <row r="1018">
      <c r="A1018" s="706"/>
      <c r="B1018" s="706"/>
      <c r="C1018" s="707"/>
      <c r="D1018" s="707"/>
      <c r="E1018" s="706"/>
    </row>
    <row r="1019">
      <c r="A1019" s="706"/>
      <c r="B1019" s="706"/>
      <c r="C1019" s="707"/>
      <c r="D1019" s="707"/>
      <c r="E1019" s="706"/>
    </row>
    <row r="1020">
      <c r="A1020" s="706"/>
      <c r="B1020" s="706"/>
      <c r="C1020" s="707"/>
      <c r="D1020" s="707"/>
      <c r="E1020" s="706"/>
    </row>
    <row r="1021">
      <c r="A1021" s="706"/>
      <c r="B1021" s="706"/>
      <c r="C1021" s="707"/>
      <c r="D1021" s="707"/>
      <c r="E1021" s="706"/>
    </row>
    <row r="1022">
      <c r="A1022" s="706"/>
      <c r="B1022" s="706"/>
      <c r="C1022" s="707"/>
      <c r="D1022" s="707"/>
      <c r="E1022" s="706"/>
    </row>
    <row r="1023">
      <c r="A1023" s="706"/>
      <c r="B1023" s="706"/>
      <c r="C1023" s="707"/>
      <c r="D1023" s="707"/>
      <c r="E1023" s="706"/>
    </row>
    <row r="1024">
      <c r="A1024" s="706"/>
      <c r="B1024" s="706"/>
      <c r="C1024" s="707"/>
      <c r="D1024" s="707"/>
      <c r="E1024" s="706"/>
    </row>
    <row r="1025">
      <c r="A1025" s="706"/>
      <c r="B1025" s="706"/>
      <c r="C1025" s="707"/>
      <c r="D1025" s="707"/>
      <c r="E1025" s="706"/>
    </row>
    <row r="1026">
      <c r="A1026" s="706"/>
      <c r="B1026" s="706"/>
      <c r="C1026" s="707"/>
      <c r="D1026" s="707"/>
      <c r="E1026" s="706"/>
    </row>
    <row r="1027">
      <c r="A1027" s="706"/>
      <c r="B1027" s="706"/>
      <c r="C1027" s="707"/>
      <c r="D1027" s="707"/>
      <c r="E1027" s="706"/>
    </row>
    <row r="1028">
      <c r="A1028" s="706"/>
      <c r="B1028" s="706"/>
      <c r="C1028" s="707"/>
      <c r="D1028" s="707"/>
      <c r="E1028" s="706"/>
    </row>
    <row r="1029">
      <c r="A1029" s="706"/>
      <c r="B1029" s="706"/>
      <c r="C1029" s="707"/>
      <c r="D1029" s="707"/>
      <c r="E1029" s="706"/>
    </row>
    <row r="1030">
      <c r="A1030" s="706"/>
      <c r="B1030" s="706"/>
      <c r="C1030" s="707"/>
      <c r="D1030" s="707"/>
      <c r="E1030" s="706"/>
    </row>
    <row r="1031">
      <c r="A1031" s="706"/>
      <c r="B1031" s="706"/>
      <c r="C1031" s="707"/>
      <c r="D1031" s="707"/>
      <c r="E1031" s="706"/>
    </row>
    <row r="1032">
      <c r="A1032" s="706"/>
      <c r="B1032" s="706"/>
      <c r="C1032" s="707"/>
      <c r="D1032" s="707"/>
      <c r="E1032" s="706"/>
    </row>
    <row r="1033">
      <c r="A1033" s="706"/>
      <c r="B1033" s="706"/>
      <c r="C1033" s="707"/>
      <c r="D1033" s="707"/>
      <c r="E1033" s="706"/>
    </row>
    <row r="1034">
      <c r="A1034" s="706"/>
      <c r="B1034" s="706"/>
      <c r="C1034" s="707"/>
      <c r="D1034" s="707"/>
      <c r="E1034" s="706"/>
    </row>
    <row r="1035">
      <c r="A1035" s="706"/>
      <c r="B1035" s="706"/>
      <c r="C1035" s="707"/>
      <c r="D1035" s="707"/>
      <c r="E1035" s="706"/>
    </row>
    <row r="1036">
      <c r="A1036" s="706"/>
      <c r="B1036" s="706"/>
      <c r="C1036" s="707"/>
      <c r="D1036" s="707"/>
      <c r="E1036" s="706"/>
    </row>
    <row r="1037">
      <c r="A1037" s="706"/>
      <c r="B1037" s="706"/>
      <c r="C1037" s="707"/>
      <c r="D1037" s="707"/>
      <c r="E1037" s="706"/>
    </row>
    <row r="1038">
      <c r="A1038" s="706"/>
      <c r="B1038" s="706"/>
      <c r="C1038" s="707"/>
      <c r="D1038" s="707"/>
      <c r="E1038" s="706"/>
    </row>
    <row r="1039">
      <c r="A1039" s="706"/>
      <c r="B1039" s="706"/>
      <c r="C1039" s="707"/>
      <c r="D1039" s="707"/>
      <c r="E1039" s="706"/>
    </row>
    <row r="1040">
      <c r="A1040" s="706"/>
      <c r="B1040" s="706"/>
      <c r="C1040" s="707"/>
      <c r="D1040" s="707"/>
      <c r="E1040" s="706"/>
    </row>
    <row r="1041">
      <c r="A1041" s="706"/>
      <c r="B1041" s="706"/>
      <c r="C1041" s="707"/>
      <c r="D1041" s="707"/>
      <c r="E1041" s="706"/>
    </row>
    <row r="1042">
      <c r="A1042" s="706"/>
      <c r="B1042" s="706"/>
      <c r="C1042" s="707"/>
      <c r="D1042" s="707"/>
      <c r="E1042" s="706"/>
    </row>
    <row r="1043">
      <c r="A1043" s="706"/>
      <c r="B1043" s="706"/>
      <c r="C1043" s="707"/>
      <c r="D1043" s="707"/>
      <c r="E1043" s="706"/>
    </row>
    <row r="1044">
      <c r="A1044" s="706"/>
      <c r="B1044" s="706"/>
      <c r="C1044" s="707"/>
      <c r="D1044" s="707"/>
      <c r="E1044" s="706"/>
    </row>
    <row r="1045">
      <c r="A1045" s="706"/>
      <c r="B1045" s="706"/>
      <c r="C1045" s="707"/>
      <c r="D1045" s="707"/>
      <c r="E1045" s="706"/>
    </row>
    <row r="1046">
      <c r="A1046" s="706"/>
      <c r="B1046" s="706"/>
      <c r="C1046" s="707"/>
      <c r="D1046" s="707"/>
      <c r="E1046" s="706"/>
    </row>
    <row r="1047">
      <c r="A1047" s="706"/>
      <c r="B1047" s="706"/>
      <c r="C1047" s="707"/>
      <c r="D1047" s="707"/>
      <c r="E1047" s="706"/>
    </row>
    <row r="1048">
      <c r="A1048" s="706"/>
      <c r="B1048" s="706"/>
      <c r="C1048" s="707"/>
      <c r="D1048" s="707"/>
      <c r="E1048" s="706"/>
    </row>
    <row r="1049">
      <c r="A1049" s="706"/>
      <c r="B1049" s="706"/>
      <c r="C1049" s="707"/>
      <c r="D1049" s="707"/>
      <c r="E1049" s="706"/>
    </row>
    <row r="1050">
      <c r="A1050" s="706"/>
      <c r="B1050" s="706"/>
      <c r="C1050" s="707"/>
      <c r="D1050" s="707"/>
      <c r="E1050" s="706"/>
    </row>
    <row r="1051">
      <c r="A1051" s="706"/>
      <c r="B1051" s="706"/>
      <c r="C1051" s="707"/>
      <c r="D1051" s="707"/>
      <c r="E1051" s="706"/>
    </row>
    <row r="1052">
      <c r="A1052" s="706"/>
      <c r="B1052" s="706"/>
      <c r="C1052" s="707"/>
      <c r="D1052" s="707"/>
      <c r="E1052" s="706"/>
    </row>
    <row r="1053">
      <c r="A1053" s="706"/>
      <c r="B1053" s="706"/>
      <c r="C1053" s="707"/>
      <c r="D1053" s="707"/>
      <c r="E1053" s="706"/>
    </row>
    <row r="1054">
      <c r="A1054" s="706"/>
      <c r="B1054" s="706"/>
      <c r="C1054" s="707"/>
      <c r="D1054" s="707"/>
      <c r="E1054" s="706"/>
    </row>
    <row r="1055">
      <c r="A1055" s="706"/>
      <c r="B1055" s="706"/>
      <c r="C1055" s="707"/>
      <c r="D1055" s="707"/>
      <c r="E1055" s="706"/>
    </row>
    <row r="1056">
      <c r="A1056" s="706"/>
      <c r="B1056" s="706"/>
      <c r="C1056" s="707"/>
      <c r="D1056" s="707"/>
      <c r="E1056" s="706"/>
    </row>
    <row r="1057">
      <c r="A1057" s="706"/>
      <c r="B1057" s="706"/>
      <c r="C1057" s="707"/>
      <c r="D1057" s="707"/>
      <c r="E1057" s="706"/>
    </row>
    <row r="1058">
      <c r="A1058" s="706"/>
      <c r="B1058" s="706"/>
      <c r="C1058" s="707"/>
      <c r="D1058" s="707"/>
      <c r="E1058" s="706"/>
    </row>
    <row r="1059">
      <c r="A1059" s="706"/>
      <c r="B1059" s="706"/>
      <c r="C1059" s="707"/>
      <c r="D1059" s="707"/>
      <c r="E1059" s="706"/>
    </row>
    <row r="1060">
      <c r="A1060" s="706"/>
      <c r="B1060" s="706"/>
      <c r="C1060" s="707"/>
      <c r="D1060" s="707"/>
      <c r="E1060" s="706"/>
    </row>
    <row r="1061">
      <c r="A1061" s="706"/>
      <c r="B1061" s="706"/>
      <c r="C1061" s="707"/>
      <c r="D1061" s="707"/>
      <c r="E1061" s="706"/>
    </row>
    <row r="1062">
      <c r="A1062" s="706"/>
      <c r="B1062" s="706"/>
      <c r="C1062" s="707"/>
      <c r="D1062" s="707"/>
      <c r="E1062" s="706"/>
    </row>
    <row r="1063">
      <c r="A1063" s="706"/>
      <c r="B1063" s="706"/>
      <c r="C1063" s="707"/>
      <c r="D1063" s="707"/>
      <c r="E1063" s="706"/>
    </row>
    <row r="1064">
      <c r="A1064" s="706"/>
      <c r="B1064" s="706"/>
      <c r="C1064" s="707"/>
      <c r="D1064" s="707"/>
      <c r="E1064" s="706"/>
    </row>
    <row r="1065">
      <c r="A1065" s="706"/>
      <c r="B1065" s="706"/>
      <c r="C1065" s="707"/>
      <c r="D1065" s="707"/>
      <c r="E1065" s="706"/>
    </row>
    <row r="1066">
      <c r="A1066" s="706"/>
      <c r="B1066" s="706"/>
      <c r="C1066" s="707"/>
      <c r="D1066" s="707"/>
      <c r="E1066" s="706"/>
    </row>
    <row r="1067">
      <c r="A1067" s="706"/>
      <c r="B1067" s="706"/>
      <c r="C1067" s="707"/>
      <c r="D1067" s="707"/>
      <c r="E1067" s="706"/>
    </row>
    <row r="1068">
      <c r="A1068" s="706"/>
      <c r="B1068" s="706"/>
      <c r="C1068" s="707"/>
      <c r="D1068" s="707"/>
      <c r="E1068" s="706"/>
    </row>
    <row r="1069">
      <c r="A1069" s="706"/>
      <c r="B1069" s="706"/>
      <c r="C1069" s="707"/>
      <c r="D1069" s="707"/>
      <c r="E1069" s="706"/>
    </row>
    <row r="1070">
      <c r="A1070" s="706"/>
      <c r="B1070" s="706"/>
      <c r="C1070" s="707"/>
      <c r="D1070" s="707"/>
      <c r="E1070" s="706"/>
    </row>
    <row r="1071">
      <c r="A1071" s="706"/>
      <c r="B1071" s="706"/>
      <c r="C1071" s="707"/>
      <c r="D1071" s="707"/>
      <c r="E1071" s="706"/>
    </row>
    <row r="1072">
      <c r="A1072" s="706"/>
      <c r="B1072" s="706"/>
      <c r="C1072" s="707"/>
      <c r="D1072" s="707"/>
      <c r="E1072" s="706"/>
    </row>
    <row r="1073">
      <c r="A1073" s="706"/>
      <c r="B1073" s="706"/>
      <c r="C1073" s="707"/>
      <c r="D1073" s="707"/>
      <c r="E1073" s="706"/>
    </row>
    <row r="1074">
      <c r="A1074" s="706"/>
      <c r="B1074" s="706"/>
      <c r="C1074" s="707"/>
      <c r="D1074" s="707"/>
      <c r="E1074" s="706"/>
    </row>
    <row r="1075">
      <c r="A1075" s="706"/>
      <c r="B1075" s="706"/>
      <c r="C1075" s="707"/>
      <c r="D1075" s="707"/>
      <c r="E1075" s="706"/>
    </row>
    <row r="1076">
      <c r="A1076" s="706"/>
      <c r="B1076" s="706"/>
      <c r="C1076" s="707"/>
      <c r="D1076" s="707"/>
      <c r="E1076" s="706"/>
    </row>
    <row r="1077">
      <c r="A1077" s="706"/>
      <c r="B1077" s="706"/>
      <c r="C1077" s="707"/>
      <c r="D1077" s="707"/>
      <c r="E1077" s="706"/>
    </row>
    <row r="1078">
      <c r="A1078" s="706"/>
      <c r="B1078" s="706"/>
      <c r="C1078" s="707"/>
      <c r="D1078" s="707"/>
      <c r="E1078" s="706"/>
    </row>
    <row r="1079">
      <c r="A1079" s="706"/>
      <c r="B1079" s="706"/>
      <c r="C1079" s="707"/>
      <c r="D1079" s="707"/>
      <c r="E1079" s="706"/>
    </row>
    <row r="1080">
      <c r="A1080" s="706"/>
      <c r="B1080" s="706"/>
      <c r="C1080" s="707"/>
      <c r="D1080" s="707"/>
      <c r="E1080" s="706"/>
    </row>
    <row r="1081">
      <c r="A1081" s="706"/>
      <c r="B1081" s="706"/>
      <c r="C1081" s="707"/>
      <c r="D1081" s="707"/>
      <c r="E1081" s="706"/>
    </row>
    <row r="1082">
      <c r="A1082" s="706"/>
      <c r="B1082" s="706"/>
      <c r="C1082" s="707"/>
      <c r="D1082" s="707"/>
      <c r="E1082" s="706"/>
    </row>
    <row r="1083">
      <c r="A1083" s="706"/>
      <c r="B1083" s="706"/>
      <c r="C1083" s="707"/>
      <c r="D1083" s="707"/>
      <c r="E1083" s="706"/>
    </row>
    <row r="1084">
      <c r="A1084" s="706"/>
      <c r="B1084" s="706"/>
      <c r="C1084" s="707"/>
      <c r="D1084" s="707"/>
      <c r="E1084" s="706"/>
    </row>
    <row r="1085">
      <c r="A1085" s="706"/>
      <c r="B1085" s="706"/>
      <c r="C1085" s="707"/>
      <c r="D1085" s="707"/>
      <c r="E1085" s="706"/>
    </row>
    <row r="1086">
      <c r="A1086" s="706"/>
      <c r="B1086" s="706"/>
      <c r="C1086" s="707"/>
      <c r="D1086" s="707"/>
      <c r="E1086" s="706"/>
    </row>
    <row r="1087">
      <c r="A1087" s="706"/>
      <c r="B1087" s="706"/>
      <c r="C1087" s="707"/>
      <c r="D1087" s="707"/>
      <c r="E1087" s="706"/>
    </row>
    <row r="1088">
      <c r="A1088" s="706"/>
      <c r="B1088" s="706"/>
      <c r="C1088" s="707"/>
      <c r="D1088" s="707"/>
      <c r="E1088" s="706"/>
    </row>
    <row r="1089">
      <c r="A1089" s="706"/>
      <c r="B1089" s="706"/>
      <c r="C1089" s="707"/>
      <c r="D1089" s="707"/>
      <c r="E1089" s="706"/>
    </row>
    <row r="1090">
      <c r="A1090" s="706"/>
      <c r="B1090" s="706"/>
      <c r="C1090" s="707"/>
      <c r="D1090" s="707"/>
      <c r="E1090" s="706"/>
    </row>
    <row r="1091">
      <c r="A1091" s="706"/>
      <c r="B1091" s="706"/>
      <c r="C1091" s="707"/>
      <c r="D1091" s="707"/>
      <c r="E1091" s="706"/>
    </row>
    <row r="1092">
      <c r="A1092" s="706"/>
      <c r="B1092" s="706"/>
      <c r="C1092" s="707"/>
      <c r="D1092" s="707"/>
      <c r="E1092" s="706"/>
    </row>
    <row r="1093">
      <c r="A1093" s="706"/>
      <c r="B1093" s="706"/>
      <c r="C1093" s="707"/>
      <c r="D1093" s="707"/>
      <c r="E1093" s="706"/>
    </row>
    <row r="1094">
      <c r="A1094" s="706"/>
      <c r="B1094" s="706"/>
      <c r="C1094" s="707"/>
      <c r="D1094" s="707"/>
      <c r="E1094" s="706"/>
    </row>
    <row r="1095">
      <c r="A1095" s="706"/>
      <c r="B1095" s="706"/>
      <c r="C1095" s="707"/>
      <c r="D1095" s="707"/>
      <c r="E1095" s="706"/>
    </row>
    <row r="1096">
      <c r="A1096" s="706"/>
      <c r="B1096" s="706"/>
      <c r="C1096" s="707"/>
      <c r="D1096" s="707"/>
      <c r="E1096" s="706"/>
    </row>
    <row r="1097">
      <c r="A1097" s="706"/>
      <c r="B1097" s="706"/>
      <c r="C1097" s="707"/>
      <c r="D1097" s="707"/>
      <c r="E1097" s="706"/>
    </row>
    <row r="1098">
      <c r="A1098" s="706"/>
      <c r="B1098" s="706"/>
      <c r="C1098" s="707"/>
      <c r="D1098" s="707"/>
      <c r="E1098" s="706"/>
    </row>
    <row r="1099">
      <c r="A1099" s="706"/>
      <c r="B1099" s="706"/>
      <c r="C1099" s="707"/>
      <c r="D1099" s="707"/>
      <c r="E1099" s="706"/>
    </row>
    <row r="1100">
      <c r="A1100" s="706"/>
      <c r="B1100" s="706"/>
      <c r="C1100" s="707"/>
      <c r="D1100" s="707"/>
      <c r="E1100" s="706"/>
    </row>
    <row r="1101">
      <c r="A1101" s="706"/>
      <c r="B1101" s="706"/>
      <c r="C1101" s="707"/>
      <c r="D1101" s="707"/>
      <c r="E1101" s="706"/>
    </row>
    <row r="1102">
      <c r="A1102" s="706"/>
      <c r="B1102" s="706"/>
      <c r="C1102" s="707"/>
      <c r="D1102" s="707"/>
      <c r="E1102" s="706"/>
    </row>
  </sheetData>
  <autoFilter ref="$A$1:$E$1102">
    <sortState ref="A1:E1102">
      <sortCondition ref="B1:B1102"/>
      <sortCondition ref="D1:D1102"/>
    </sortState>
  </autoFilter>
  <mergeCells count="39">
    <mergeCell ref="B2:B4"/>
    <mergeCell ref="B5:B7"/>
    <mergeCell ref="B8:B10"/>
    <mergeCell ref="B11:B13"/>
    <mergeCell ref="B14:B17"/>
    <mergeCell ref="B18:B20"/>
    <mergeCell ref="B21:B29"/>
    <mergeCell ref="B31:B34"/>
    <mergeCell ref="B35:B36"/>
    <mergeCell ref="B37:B38"/>
    <mergeCell ref="B39:B40"/>
    <mergeCell ref="B42:B43"/>
    <mergeCell ref="B44:B45"/>
    <mergeCell ref="B46:B48"/>
    <mergeCell ref="B52:B53"/>
    <mergeCell ref="B54:B55"/>
    <mergeCell ref="B56:B57"/>
    <mergeCell ref="B60:B62"/>
    <mergeCell ref="B64:B68"/>
    <mergeCell ref="B71:B72"/>
    <mergeCell ref="B73:B75"/>
    <mergeCell ref="B76:B77"/>
    <mergeCell ref="B78:B79"/>
    <mergeCell ref="B83:B84"/>
    <mergeCell ref="B85:B86"/>
    <mergeCell ref="B87:B88"/>
    <mergeCell ref="B91:B92"/>
    <mergeCell ref="B93:B94"/>
    <mergeCell ref="B115:B116"/>
    <mergeCell ref="B117:B120"/>
    <mergeCell ref="B121:B123"/>
    <mergeCell ref="B124:B126"/>
    <mergeCell ref="B96:B97"/>
    <mergeCell ref="B100:B101"/>
    <mergeCell ref="B102:B103"/>
    <mergeCell ref="B104:B106"/>
    <mergeCell ref="B107:B108"/>
    <mergeCell ref="B109:B110"/>
    <mergeCell ref="B111:B114"/>
  </mergeCells>
  <printOptions gridLines="1" horizontalCentered="1"/>
  <pageMargins bottom="0.75" footer="0.0" header="0.0" left="0.25" right="0.25" top="0.75"/>
  <pageSetup fitToHeight="0"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2.5"/>
    <col customWidth="1" min="2" max="2" width="8.13"/>
    <col customWidth="1" min="3" max="3" width="11.13"/>
    <col customWidth="1" min="4" max="21" width="9.38"/>
  </cols>
  <sheetData>
    <row r="1">
      <c r="A1" s="708" t="s">
        <v>3657</v>
      </c>
      <c r="B1" s="709" t="s">
        <v>2830</v>
      </c>
      <c r="C1" s="709" t="s">
        <v>2828</v>
      </c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R1" s="710"/>
      <c r="S1" s="710"/>
      <c r="T1" s="710"/>
      <c r="U1" s="710"/>
    </row>
    <row r="2">
      <c r="A2" s="288">
        <v>11.0</v>
      </c>
      <c r="B2" s="126"/>
      <c r="C2" s="288">
        <v>10.0</v>
      </c>
    </row>
    <row r="3">
      <c r="A3" s="288">
        <v>12.0</v>
      </c>
      <c r="B3" s="126"/>
      <c r="C3" s="288">
        <v>10.0</v>
      </c>
    </row>
    <row r="4">
      <c r="A4" s="288">
        <v>13.0</v>
      </c>
      <c r="B4" s="126"/>
      <c r="C4" s="288">
        <v>10.0</v>
      </c>
    </row>
    <row r="5">
      <c r="A5" s="288">
        <v>16.0</v>
      </c>
      <c r="B5" s="126"/>
      <c r="C5" s="288">
        <v>10.0</v>
      </c>
    </row>
    <row r="6">
      <c r="A6" s="288">
        <v>21.0</v>
      </c>
      <c r="B6" s="126"/>
      <c r="C6" s="288">
        <v>20.0</v>
      </c>
    </row>
    <row r="7">
      <c r="A7" s="288">
        <v>22.0</v>
      </c>
      <c r="B7" s="126"/>
      <c r="C7" s="288">
        <v>10.0</v>
      </c>
    </row>
    <row r="8">
      <c r="A8" s="288">
        <v>23.0</v>
      </c>
      <c r="B8" s="126"/>
      <c r="C8" s="288">
        <v>10.0</v>
      </c>
    </row>
    <row r="9">
      <c r="A9" s="288">
        <v>25.0</v>
      </c>
      <c r="B9" s="126"/>
      <c r="C9" s="288">
        <v>5.0</v>
      </c>
    </row>
    <row r="10">
      <c r="A10" s="288">
        <v>26.0</v>
      </c>
      <c r="B10" s="126"/>
      <c r="C10" s="288">
        <v>5.0</v>
      </c>
    </row>
    <row r="11">
      <c r="A11" s="288">
        <v>54.0</v>
      </c>
      <c r="B11" s="647">
        <v>10.0</v>
      </c>
      <c r="C11" s="288">
        <v>5.0</v>
      </c>
    </row>
    <row r="12">
      <c r="A12" s="288">
        <v>55.0</v>
      </c>
      <c r="B12" s="647">
        <v>20.0</v>
      </c>
      <c r="C12" s="288">
        <v>10.0</v>
      </c>
    </row>
    <row r="13">
      <c r="A13" s="288">
        <v>56.0</v>
      </c>
      <c r="B13" s="647">
        <v>20.0</v>
      </c>
      <c r="C13" s="288">
        <v>10.0</v>
      </c>
    </row>
    <row r="14">
      <c r="A14" s="288">
        <v>64.0</v>
      </c>
      <c r="B14" s="647">
        <v>10.0</v>
      </c>
      <c r="C14" s="288">
        <v>10.0</v>
      </c>
    </row>
    <row r="15">
      <c r="A15" s="288">
        <v>65.0</v>
      </c>
      <c r="B15" s="647">
        <v>20.0</v>
      </c>
      <c r="C15" s="288">
        <v>15.0</v>
      </c>
    </row>
    <row r="16">
      <c r="A16" s="288">
        <v>66.0</v>
      </c>
      <c r="B16" s="647">
        <v>10.0</v>
      </c>
      <c r="C16" s="288">
        <v>10.0</v>
      </c>
    </row>
    <row r="17">
      <c r="A17" s="288">
        <v>71.0</v>
      </c>
      <c r="B17" s="647">
        <v>5.0</v>
      </c>
      <c r="C17" s="288">
        <v>15.0</v>
      </c>
    </row>
    <row r="18">
      <c r="A18" s="288">
        <v>72.0</v>
      </c>
      <c r="B18" s="647">
        <v>5.0</v>
      </c>
      <c r="C18" s="288">
        <v>15.0</v>
      </c>
    </row>
    <row r="19">
      <c r="A19" s="288">
        <v>74.0</v>
      </c>
      <c r="B19" s="647">
        <v>20.0</v>
      </c>
      <c r="C19" s="288">
        <v>10.0</v>
      </c>
    </row>
    <row r="20">
      <c r="A20" s="288">
        <v>75.0</v>
      </c>
      <c r="B20" s="647">
        <v>20.0</v>
      </c>
      <c r="C20" s="288">
        <v>10.0</v>
      </c>
    </row>
    <row r="21">
      <c r="A21" s="288">
        <v>76.0</v>
      </c>
      <c r="B21" s="647">
        <v>5.0</v>
      </c>
      <c r="C21" s="288">
        <v>10.0</v>
      </c>
    </row>
    <row r="22">
      <c r="A22" s="288">
        <v>81.0</v>
      </c>
      <c r="B22" s="647">
        <v>5.0</v>
      </c>
      <c r="C22" s="288">
        <v>15.0</v>
      </c>
    </row>
    <row r="23">
      <c r="A23" s="288">
        <v>82.0</v>
      </c>
      <c r="B23" s="647">
        <v>5.0</v>
      </c>
      <c r="C23" s="288">
        <v>15.0</v>
      </c>
    </row>
    <row r="24">
      <c r="A24" s="288">
        <v>83.0</v>
      </c>
      <c r="B24" s="647">
        <v>0.0</v>
      </c>
      <c r="C24" s="288">
        <v>10.0</v>
      </c>
    </row>
    <row r="25">
      <c r="A25" s="288">
        <v>84.0</v>
      </c>
      <c r="B25" s="647">
        <v>5.0</v>
      </c>
      <c r="C25" s="288">
        <v>10.0</v>
      </c>
    </row>
    <row r="26">
      <c r="A26" s="288">
        <v>85.0</v>
      </c>
      <c r="B26" s="647">
        <v>10.0</v>
      </c>
      <c r="C26" s="288">
        <v>10.0</v>
      </c>
    </row>
    <row r="27">
      <c r="A27" s="288">
        <v>86.0</v>
      </c>
      <c r="B27" s="647">
        <v>10.0</v>
      </c>
      <c r="C27" s="288">
        <v>10.0</v>
      </c>
    </row>
    <row r="28">
      <c r="A28" s="288"/>
      <c r="B28" s="126"/>
      <c r="C28" s="287"/>
    </row>
    <row r="29">
      <c r="A29" s="288"/>
      <c r="B29" s="126"/>
      <c r="C29" s="287"/>
    </row>
    <row r="30">
      <c r="A30" s="288"/>
      <c r="B30" s="126"/>
      <c r="C30" s="287"/>
    </row>
    <row r="31">
      <c r="A31" s="288"/>
      <c r="B31" s="126"/>
      <c r="C31" s="287"/>
    </row>
    <row r="32">
      <c r="A32" s="287"/>
      <c r="B32" s="126"/>
      <c r="C32" s="287"/>
    </row>
    <row r="33">
      <c r="A33" s="288"/>
      <c r="B33" s="126"/>
      <c r="C33" s="287"/>
    </row>
    <row r="34">
      <c r="A34" s="288"/>
      <c r="B34" s="126"/>
      <c r="C34" s="287"/>
    </row>
    <row r="35">
      <c r="A35" s="288"/>
      <c r="B35" s="126"/>
      <c r="C35" s="287"/>
    </row>
    <row r="36">
      <c r="A36" s="287"/>
      <c r="B36" s="126"/>
      <c r="C36" s="287"/>
    </row>
    <row r="37">
      <c r="A37" s="288"/>
      <c r="B37" s="126"/>
      <c r="C37" s="287"/>
    </row>
    <row r="38">
      <c r="A38" s="288"/>
      <c r="B38" s="126"/>
      <c r="C38" s="287"/>
    </row>
    <row r="39">
      <c r="A39" s="288"/>
      <c r="B39" s="126"/>
      <c r="C39" s="287"/>
    </row>
    <row r="40">
      <c r="A40" s="288"/>
      <c r="B40" s="126"/>
      <c r="C40" s="287"/>
    </row>
    <row r="41">
      <c r="A41" s="288"/>
      <c r="B41" s="126"/>
      <c r="C41" s="287"/>
    </row>
    <row r="42">
      <c r="A42" s="288"/>
      <c r="B42" s="126"/>
      <c r="C42" s="287"/>
    </row>
    <row r="43">
      <c r="A43" s="288"/>
      <c r="B43" s="126"/>
      <c r="C43" s="287"/>
    </row>
    <row r="44">
      <c r="A44" s="288"/>
      <c r="B44" s="126"/>
      <c r="C44" s="287"/>
    </row>
    <row r="45">
      <c r="A45" s="287"/>
      <c r="B45" s="126"/>
      <c r="C45" s="287"/>
    </row>
    <row r="46">
      <c r="A46" s="288"/>
      <c r="B46" s="126"/>
      <c r="C46" s="287"/>
    </row>
    <row r="47">
      <c r="A47" s="288"/>
      <c r="B47" s="126"/>
      <c r="C47" s="287"/>
    </row>
    <row r="48">
      <c r="A48" s="288"/>
      <c r="B48" s="126"/>
      <c r="C48" s="287"/>
    </row>
    <row r="49">
      <c r="A49" s="288"/>
      <c r="B49" s="126"/>
      <c r="C49" s="287"/>
    </row>
    <row r="50">
      <c r="A50" s="288"/>
      <c r="B50" s="126"/>
      <c r="C50" s="287"/>
    </row>
    <row r="51">
      <c r="A51" s="288"/>
      <c r="B51" s="126"/>
      <c r="C51" s="287"/>
    </row>
    <row r="52">
      <c r="A52" s="288"/>
      <c r="B52" s="126"/>
      <c r="C52" s="287"/>
    </row>
    <row r="53">
      <c r="A53" s="288"/>
      <c r="B53" s="126"/>
      <c r="C53" s="287"/>
    </row>
    <row r="54">
      <c r="A54" s="287"/>
      <c r="B54" s="126"/>
      <c r="C54" s="287"/>
    </row>
    <row r="55">
      <c r="A55" s="293"/>
      <c r="B55" s="646"/>
      <c r="C55" s="287"/>
    </row>
    <row r="56">
      <c r="A56" s="288"/>
      <c r="B56" s="647"/>
      <c r="C56" s="287"/>
    </row>
    <row r="57">
      <c r="A57" s="288"/>
      <c r="B57" s="647"/>
      <c r="C57" s="287"/>
    </row>
    <row r="58">
      <c r="A58" s="288"/>
      <c r="B58" s="647"/>
      <c r="C58" s="287"/>
    </row>
    <row r="59">
      <c r="A59" s="288"/>
      <c r="B59" s="648"/>
      <c r="C59" s="287"/>
    </row>
    <row r="60">
      <c r="A60" s="288"/>
      <c r="B60" s="647"/>
      <c r="C60" s="287"/>
    </row>
    <row r="61">
      <c r="A61" s="288"/>
      <c r="B61" s="647"/>
      <c r="C61" s="287"/>
    </row>
    <row r="62">
      <c r="A62" s="288"/>
      <c r="B62" s="647"/>
      <c r="C62" s="287"/>
    </row>
    <row r="63">
      <c r="A63" s="287"/>
      <c r="B63" s="648"/>
      <c r="C63" s="287"/>
    </row>
    <row r="64">
      <c r="A64" s="288"/>
      <c r="B64" s="647"/>
      <c r="C64" s="287"/>
    </row>
    <row r="65">
      <c r="A65" s="287"/>
      <c r="B65" s="648"/>
      <c r="C65" s="287"/>
    </row>
    <row r="66">
      <c r="A66" s="287"/>
      <c r="B66" s="287"/>
      <c r="C66" s="287"/>
    </row>
    <row r="67">
      <c r="A67" s="280"/>
      <c r="C67" s="280"/>
    </row>
    <row r="68">
      <c r="A68" s="280"/>
      <c r="C68" s="280"/>
    </row>
    <row r="69">
      <c r="A69" s="280"/>
      <c r="C69" s="280"/>
    </row>
    <row r="70">
      <c r="A70" s="280"/>
      <c r="C70" s="280"/>
    </row>
    <row r="71">
      <c r="A71" s="280"/>
      <c r="C71" s="280"/>
    </row>
    <row r="72">
      <c r="A72" s="280"/>
      <c r="C72" s="280"/>
    </row>
    <row r="73">
      <c r="A73" s="280"/>
      <c r="C73" s="280"/>
    </row>
    <row r="74">
      <c r="A74" s="280"/>
      <c r="C74" s="280"/>
    </row>
    <row r="75">
      <c r="A75" s="280"/>
      <c r="C75" s="280"/>
    </row>
    <row r="76">
      <c r="A76" s="280"/>
      <c r="C76" s="280"/>
    </row>
    <row r="77">
      <c r="A77" s="280"/>
      <c r="C77" s="280"/>
    </row>
    <row r="78">
      <c r="A78" s="280"/>
      <c r="C78" s="280"/>
    </row>
    <row r="79">
      <c r="A79" s="280"/>
      <c r="C79" s="280"/>
    </row>
    <row r="80">
      <c r="A80" s="280"/>
      <c r="C80" s="280"/>
    </row>
    <row r="81">
      <c r="A81" s="280"/>
      <c r="C81" s="280"/>
    </row>
    <row r="82">
      <c r="A82" s="280"/>
      <c r="C82" s="280"/>
    </row>
    <row r="83">
      <c r="A83" s="280"/>
      <c r="C83" s="280"/>
    </row>
    <row r="84">
      <c r="A84" s="280"/>
      <c r="C84" s="280"/>
    </row>
    <row r="85">
      <c r="A85" s="280"/>
      <c r="C85" s="280"/>
    </row>
    <row r="86">
      <c r="A86" s="280"/>
      <c r="C86" s="280"/>
    </row>
    <row r="87">
      <c r="A87" s="280"/>
      <c r="C87" s="280"/>
    </row>
    <row r="88">
      <c r="A88" s="280"/>
      <c r="C88" s="280"/>
    </row>
    <row r="89">
      <c r="A89" s="280"/>
      <c r="C89" s="280"/>
    </row>
    <row r="90">
      <c r="A90" s="280"/>
      <c r="C90" s="280"/>
    </row>
    <row r="91">
      <c r="A91" s="280"/>
      <c r="C91" s="280"/>
    </row>
    <row r="92">
      <c r="A92" s="280"/>
      <c r="C92" s="280"/>
    </row>
    <row r="93">
      <c r="A93" s="280"/>
      <c r="C93" s="280"/>
    </row>
    <row r="94">
      <c r="A94" s="280"/>
      <c r="C94" s="280"/>
    </row>
    <row r="95">
      <c r="A95" s="280"/>
      <c r="C95" s="280"/>
    </row>
    <row r="96">
      <c r="A96" s="280"/>
      <c r="C96" s="280"/>
    </row>
    <row r="97">
      <c r="A97" s="280"/>
      <c r="C97" s="280"/>
    </row>
    <row r="98">
      <c r="A98" s="280"/>
      <c r="C98" s="280"/>
    </row>
    <row r="99">
      <c r="A99" s="280"/>
      <c r="C99" s="280"/>
    </row>
    <row r="100">
      <c r="A100" s="280"/>
      <c r="C100" s="280"/>
    </row>
    <row r="101">
      <c r="A101" s="280"/>
      <c r="C101" s="280"/>
    </row>
    <row r="102">
      <c r="A102" s="280"/>
      <c r="C102" s="280"/>
    </row>
    <row r="103">
      <c r="A103" s="280"/>
      <c r="C103" s="280"/>
    </row>
    <row r="104">
      <c r="A104" s="280"/>
      <c r="C104" s="280"/>
    </row>
    <row r="105">
      <c r="A105" s="280"/>
      <c r="C105" s="280"/>
    </row>
    <row r="106">
      <c r="A106" s="280"/>
      <c r="C106" s="280"/>
    </row>
    <row r="107">
      <c r="A107" s="280"/>
      <c r="C107" s="280"/>
    </row>
    <row r="108">
      <c r="A108" s="280"/>
      <c r="C108" s="280"/>
    </row>
    <row r="109">
      <c r="A109" s="280"/>
      <c r="C109" s="280"/>
    </row>
    <row r="110">
      <c r="A110" s="280"/>
      <c r="C110" s="280"/>
    </row>
    <row r="111">
      <c r="A111" s="280"/>
      <c r="C111" s="280"/>
    </row>
    <row r="112">
      <c r="A112" s="280"/>
      <c r="C112" s="280"/>
    </row>
    <row r="113">
      <c r="A113" s="280"/>
      <c r="C113" s="280"/>
    </row>
    <row r="114">
      <c r="A114" s="280"/>
      <c r="C114" s="280"/>
    </row>
    <row r="115">
      <c r="A115" s="280"/>
      <c r="C115" s="280"/>
    </row>
    <row r="116">
      <c r="A116" s="280"/>
      <c r="C116" s="280"/>
    </row>
    <row r="117">
      <c r="A117" s="280"/>
      <c r="C117" s="280"/>
    </row>
    <row r="118">
      <c r="A118" s="280"/>
      <c r="C118" s="280"/>
    </row>
    <row r="119">
      <c r="A119" s="280"/>
      <c r="C119" s="280"/>
    </row>
    <row r="120">
      <c r="A120" s="280"/>
      <c r="C120" s="280"/>
    </row>
    <row r="121">
      <c r="A121" s="280"/>
      <c r="C121" s="280"/>
    </row>
    <row r="122">
      <c r="A122" s="280"/>
      <c r="C122" s="280"/>
    </row>
    <row r="123">
      <c r="A123" s="280"/>
      <c r="C123" s="280"/>
    </row>
    <row r="124">
      <c r="A124" s="280"/>
      <c r="C124" s="280"/>
    </row>
    <row r="125">
      <c r="A125" s="280"/>
      <c r="C125" s="280"/>
    </row>
    <row r="126">
      <c r="A126" s="280"/>
      <c r="C126" s="280"/>
    </row>
    <row r="127">
      <c r="A127" s="280"/>
      <c r="C127" s="280"/>
    </row>
    <row r="128">
      <c r="A128" s="280"/>
      <c r="C128" s="280"/>
    </row>
    <row r="129">
      <c r="A129" s="280"/>
      <c r="C129" s="280"/>
    </row>
    <row r="130">
      <c r="A130" s="280"/>
      <c r="C130" s="280"/>
    </row>
    <row r="131">
      <c r="A131" s="280"/>
      <c r="C131" s="280"/>
    </row>
    <row r="132">
      <c r="A132" s="280"/>
      <c r="C132" s="280"/>
    </row>
    <row r="133">
      <c r="A133" s="280"/>
      <c r="C133" s="280"/>
    </row>
    <row r="134">
      <c r="A134" s="280"/>
      <c r="C134" s="280"/>
    </row>
    <row r="135">
      <c r="A135" s="280"/>
      <c r="C135" s="280"/>
    </row>
    <row r="136">
      <c r="A136" s="280"/>
      <c r="C136" s="280"/>
    </row>
    <row r="137">
      <c r="A137" s="280"/>
      <c r="C137" s="280"/>
    </row>
    <row r="138">
      <c r="A138" s="280"/>
      <c r="C138" s="280"/>
    </row>
    <row r="139">
      <c r="A139" s="280"/>
      <c r="C139" s="280"/>
    </row>
    <row r="140">
      <c r="A140" s="280"/>
      <c r="C140" s="280"/>
    </row>
    <row r="141">
      <c r="A141" s="280"/>
      <c r="C141" s="280"/>
    </row>
    <row r="142">
      <c r="A142" s="280"/>
      <c r="C142" s="280"/>
    </row>
    <row r="143">
      <c r="A143" s="280"/>
      <c r="C143" s="280"/>
    </row>
    <row r="144">
      <c r="A144" s="280"/>
      <c r="C144" s="280"/>
    </row>
    <row r="145">
      <c r="A145" s="280"/>
      <c r="C145" s="280"/>
    </row>
    <row r="146">
      <c r="A146" s="280"/>
      <c r="C146" s="280"/>
    </row>
    <row r="147">
      <c r="A147" s="280"/>
      <c r="C147" s="280"/>
    </row>
    <row r="148">
      <c r="A148" s="280"/>
      <c r="C148" s="280"/>
    </row>
    <row r="149">
      <c r="A149" s="280"/>
      <c r="C149" s="280"/>
    </row>
    <row r="150">
      <c r="A150" s="280"/>
      <c r="C150" s="280"/>
    </row>
    <row r="151">
      <c r="A151" s="280"/>
      <c r="C151" s="280"/>
    </row>
    <row r="152">
      <c r="A152" s="280"/>
      <c r="C152" s="280"/>
    </row>
    <row r="153">
      <c r="A153" s="280"/>
      <c r="C153" s="280"/>
    </row>
    <row r="154">
      <c r="A154" s="280"/>
      <c r="C154" s="280"/>
    </row>
    <row r="155">
      <c r="A155" s="280"/>
      <c r="C155" s="280"/>
    </row>
    <row r="156">
      <c r="A156" s="280"/>
      <c r="C156" s="280"/>
    </row>
    <row r="157">
      <c r="A157" s="280"/>
      <c r="C157" s="280"/>
    </row>
    <row r="158">
      <c r="A158" s="280"/>
      <c r="C158" s="280"/>
    </row>
    <row r="159">
      <c r="A159" s="280"/>
      <c r="C159" s="280"/>
    </row>
    <row r="160">
      <c r="A160" s="280"/>
      <c r="C160" s="280"/>
    </row>
    <row r="161">
      <c r="A161" s="280"/>
      <c r="C161" s="280"/>
    </row>
    <row r="162">
      <c r="A162" s="280"/>
      <c r="C162" s="280"/>
    </row>
    <row r="163">
      <c r="A163" s="280"/>
      <c r="C163" s="280"/>
    </row>
    <row r="164">
      <c r="A164" s="280"/>
      <c r="C164" s="280"/>
    </row>
    <row r="165">
      <c r="A165" s="280"/>
      <c r="C165" s="280"/>
    </row>
    <row r="166">
      <c r="A166" s="280"/>
      <c r="C166" s="280"/>
    </row>
    <row r="167">
      <c r="A167" s="280"/>
      <c r="C167" s="280"/>
    </row>
    <row r="168">
      <c r="A168" s="280"/>
      <c r="C168" s="280"/>
    </row>
    <row r="169">
      <c r="A169" s="280"/>
      <c r="C169" s="280"/>
    </row>
    <row r="170">
      <c r="A170" s="280"/>
      <c r="C170" s="280"/>
    </row>
    <row r="171">
      <c r="A171" s="280"/>
      <c r="C171" s="280"/>
    </row>
    <row r="172">
      <c r="A172" s="280"/>
      <c r="C172" s="280"/>
    </row>
    <row r="173">
      <c r="A173" s="280"/>
      <c r="C173" s="280"/>
    </row>
    <row r="174">
      <c r="A174" s="280"/>
      <c r="C174" s="280"/>
    </row>
    <row r="175">
      <c r="A175" s="280"/>
      <c r="C175" s="280"/>
    </row>
    <row r="176">
      <c r="A176" s="280"/>
      <c r="C176" s="280"/>
    </row>
    <row r="177">
      <c r="A177" s="280"/>
      <c r="C177" s="280"/>
    </row>
    <row r="178">
      <c r="A178" s="280"/>
      <c r="C178" s="280"/>
    </row>
    <row r="179">
      <c r="A179" s="280"/>
      <c r="C179" s="280"/>
    </row>
    <row r="180">
      <c r="A180" s="280"/>
      <c r="C180" s="280"/>
    </row>
    <row r="181">
      <c r="A181" s="280"/>
      <c r="C181" s="280"/>
    </row>
    <row r="182">
      <c r="A182" s="280"/>
      <c r="C182" s="280"/>
    </row>
    <row r="183">
      <c r="A183" s="280"/>
      <c r="C183" s="280"/>
    </row>
    <row r="184">
      <c r="A184" s="280"/>
      <c r="C184" s="280"/>
    </row>
    <row r="185">
      <c r="A185" s="280"/>
      <c r="C185" s="280"/>
    </row>
    <row r="186">
      <c r="A186" s="280"/>
      <c r="C186" s="280"/>
    </row>
    <row r="187">
      <c r="A187" s="280"/>
      <c r="C187" s="280"/>
    </row>
    <row r="188">
      <c r="A188" s="280"/>
      <c r="C188" s="280"/>
    </row>
    <row r="189">
      <c r="A189" s="280"/>
      <c r="C189" s="280"/>
    </row>
    <row r="190">
      <c r="A190" s="280"/>
      <c r="C190" s="280"/>
    </row>
    <row r="191">
      <c r="A191" s="280"/>
      <c r="C191" s="280"/>
    </row>
    <row r="192">
      <c r="A192" s="280"/>
      <c r="C192" s="280"/>
    </row>
    <row r="193">
      <c r="A193" s="280"/>
      <c r="C193" s="280"/>
    </row>
    <row r="194">
      <c r="A194" s="280"/>
      <c r="C194" s="280"/>
    </row>
    <row r="195">
      <c r="A195" s="280"/>
      <c r="C195" s="280"/>
    </row>
    <row r="196">
      <c r="A196" s="280"/>
      <c r="C196" s="280"/>
    </row>
    <row r="197">
      <c r="A197" s="280"/>
      <c r="C197" s="280"/>
    </row>
    <row r="198">
      <c r="A198" s="280"/>
      <c r="C198" s="280"/>
    </row>
    <row r="199">
      <c r="A199" s="280"/>
      <c r="C199" s="280"/>
    </row>
    <row r="200">
      <c r="A200" s="280"/>
      <c r="C200" s="280"/>
    </row>
    <row r="201">
      <c r="A201" s="280"/>
      <c r="C201" s="280"/>
    </row>
    <row r="202">
      <c r="A202" s="280"/>
      <c r="C202" s="280"/>
    </row>
    <row r="203">
      <c r="A203" s="280"/>
      <c r="C203" s="280"/>
    </row>
    <row r="204">
      <c r="A204" s="280"/>
      <c r="C204" s="280"/>
    </row>
    <row r="205">
      <c r="A205" s="280"/>
      <c r="C205" s="280"/>
    </row>
    <row r="206">
      <c r="A206" s="280"/>
      <c r="C206" s="280"/>
    </row>
    <row r="207">
      <c r="A207" s="280"/>
      <c r="C207" s="280"/>
    </row>
    <row r="208">
      <c r="A208" s="280"/>
      <c r="C208" s="280"/>
    </row>
    <row r="209">
      <c r="A209" s="280"/>
      <c r="C209" s="280"/>
    </row>
    <row r="210">
      <c r="A210" s="280"/>
      <c r="C210" s="280"/>
    </row>
    <row r="211">
      <c r="A211" s="280"/>
      <c r="C211" s="280"/>
    </row>
    <row r="212">
      <c r="A212" s="280"/>
      <c r="C212" s="280"/>
    </row>
    <row r="213">
      <c r="A213" s="280"/>
      <c r="C213" s="280"/>
    </row>
    <row r="214">
      <c r="A214" s="280"/>
      <c r="C214" s="280"/>
    </row>
    <row r="215">
      <c r="A215" s="280"/>
      <c r="C215" s="280"/>
    </row>
    <row r="216">
      <c r="A216" s="280"/>
      <c r="C216" s="280"/>
    </row>
    <row r="217">
      <c r="A217" s="280"/>
      <c r="C217" s="280"/>
    </row>
    <row r="218">
      <c r="A218" s="280"/>
      <c r="C218" s="280"/>
    </row>
    <row r="219">
      <c r="A219" s="280"/>
      <c r="C219" s="280"/>
    </row>
    <row r="220">
      <c r="A220" s="280"/>
      <c r="C220" s="280"/>
    </row>
    <row r="221">
      <c r="A221" s="280"/>
      <c r="C221" s="280"/>
    </row>
    <row r="222">
      <c r="A222" s="280"/>
      <c r="C222" s="280"/>
    </row>
    <row r="223">
      <c r="A223" s="280"/>
      <c r="C223" s="280"/>
    </row>
    <row r="224">
      <c r="A224" s="280"/>
      <c r="C224" s="280"/>
    </row>
    <row r="225">
      <c r="A225" s="280"/>
      <c r="C225" s="280"/>
    </row>
    <row r="226">
      <c r="A226" s="280"/>
      <c r="C226" s="280"/>
    </row>
    <row r="227">
      <c r="A227" s="280"/>
      <c r="C227" s="280"/>
    </row>
    <row r="228">
      <c r="A228" s="280"/>
      <c r="C228" s="280"/>
    </row>
    <row r="229">
      <c r="A229" s="280"/>
      <c r="C229" s="280"/>
    </row>
    <row r="230">
      <c r="A230" s="280"/>
      <c r="C230" s="280"/>
    </row>
    <row r="231">
      <c r="A231" s="280"/>
      <c r="C231" s="280"/>
    </row>
    <row r="232">
      <c r="A232" s="280"/>
      <c r="C232" s="280"/>
    </row>
    <row r="233">
      <c r="A233" s="280"/>
      <c r="C233" s="280"/>
    </row>
    <row r="234">
      <c r="A234" s="280"/>
      <c r="C234" s="280"/>
    </row>
    <row r="235">
      <c r="A235" s="280"/>
      <c r="C235" s="280"/>
    </row>
    <row r="236">
      <c r="A236" s="280"/>
      <c r="C236" s="280"/>
    </row>
    <row r="237">
      <c r="A237" s="280"/>
      <c r="C237" s="280"/>
    </row>
    <row r="238">
      <c r="A238" s="280"/>
      <c r="C238" s="280"/>
    </row>
    <row r="239">
      <c r="A239" s="280"/>
      <c r="C239" s="280"/>
    </row>
    <row r="240">
      <c r="A240" s="280"/>
      <c r="C240" s="280"/>
    </row>
    <row r="241">
      <c r="A241" s="280"/>
      <c r="C241" s="280"/>
    </row>
    <row r="242">
      <c r="A242" s="280"/>
      <c r="C242" s="280"/>
    </row>
    <row r="243">
      <c r="A243" s="280"/>
      <c r="C243" s="280"/>
    </row>
    <row r="244">
      <c r="A244" s="280"/>
      <c r="C244" s="280"/>
    </row>
    <row r="245">
      <c r="A245" s="280"/>
      <c r="C245" s="280"/>
    </row>
    <row r="246">
      <c r="A246" s="280"/>
      <c r="C246" s="280"/>
    </row>
    <row r="247">
      <c r="A247" s="280"/>
      <c r="C247" s="280"/>
    </row>
    <row r="248">
      <c r="A248" s="280"/>
      <c r="C248" s="280"/>
    </row>
    <row r="249">
      <c r="A249" s="280"/>
      <c r="C249" s="280"/>
    </row>
    <row r="250">
      <c r="A250" s="280"/>
      <c r="C250" s="280"/>
    </row>
    <row r="251">
      <c r="A251" s="280"/>
      <c r="C251" s="280"/>
    </row>
    <row r="252">
      <c r="A252" s="280"/>
      <c r="C252" s="280"/>
    </row>
    <row r="253">
      <c r="A253" s="280"/>
      <c r="C253" s="280"/>
    </row>
    <row r="254">
      <c r="A254" s="280"/>
      <c r="C254" s="280"/>
    </row>
    <row r="255">
      <c r="A255" s="280"/>
      <c r="C255" s="280"/>
    </row>
    <row r="256">
      <c r="A256" s="280"/>
      <c r="C256" s="280"/>
    </row>
    <row r="257">
      <c r="A257" s="280"/>
      <c r="C257" s="280"/>
    </row>
    <row r="258">
      <c r="A258" s="280"/>
      <c r="C258" s="280"/>
    </row>
    <row r="259">
      <c r="A259" s="280"/>
      <c r="C259" s="280"/>
    </row>
    <row r="260">
      <c r="A260" s="280"/>
      <c r="C260" s="280"/>
    </row>
    <row r="261">
      <c r="A261" s="280"/>
      <c r="C261" s="280"/>
    </row>
    <row r="262">
      <c r="A262" s="280"/>
      <c r="C262" s="280"/>
    </row>
    <row r="263">
      <c r="A263" s="280"/>
      <c r="C263" s="280"/>
    </row>
    <row r="264">
      <c r="A264" s="280"/>
      <c r="C264" s="280"/>
    </row>
    <row r="265">
      <c r="A265" s="280"/>
      <c r="C265" s="280"/>
    </row>
    <row r="266">
      <c r="A266" s="280"/>
      <c r="C266" s="280"/>
    </row>
    <row r="267">
      <c r="A267" s="280"/>
      <c r="C267" s="280"/>
    </row>
    <row r="268">
      <c r="A268" s="280"/>
      <c r="C268" s="280"/>
    </row>
    <row r="269">
      <c r="A269" s="280"/>
      <c r="C269" s="280"/>
    </row>
    <row r="270">
      <c r="A270" s="280"/>
      <c r="C270" s="280"/>
    </row>
    <row r="271">
      <c r="A271" s="280"/>
      <c r="C271" s="280"/>
    </row>
    <row r="272">
      <c r="A272" s="280"/>
      <c r="C272" s="280"/>
    </row>
    <row r="273">
      <c r="A273" s="280"/>
      <c r="C273" s="280"/>
    </row>
    <row r="274">
      <c r="A274" s="280"/>
      <c r="C274" s="280"/>
    </row>
    <row r="275">
      <c r="A275" s="280"/>
      <c r="C275" s="280"/>
    </row>
    <row r="276">
      <c r="A276" s="280"/>
      <c r="C276" s="280"/>
    </row>
    <row r="277">
      <c r="A277" s="280"/>
      <c r="C277" s="280"/>
    </row>
    <row r="278">
      <c r="A278" s="280"/>
      <c r="C278" s="280"/>
    </row>
    <row r="279">
      <c r="A279" s="280"/>
      <c r="C279" s="280"/>
    </row>
    <row r="280">
      <c r="A280" s="280"/>
      <c r="C280" s="280"/>
    </row>
    <row r="281">
      <c r="A281" s="280"/>
      <c r="C281" s="280"/>
    </row>
    <row r="282">
      <c r="A282" s="280"/>
      <c r="C282" s="280"/>
    </row>
    <row r="283">
      <c r="A283" s="280"/>
      <c r="C283" s="280"/>
    </row>
    <row r="284">
      <c r="A284" s="280"/>
      <c r="C284" s="280"/>
    </row>
    <row r="285">
      <c r="A285" s="280"/>
      <c r="C285" s="280"/>
    </row>
    <row r="286">
      <c r="A286" s="280"/>
      <c r="C286" s="280"/>
    </row>
    <row r="287">
      <c r="A287" s="280"/>
      <c r="C287" s="280"/>
    </row>
    <row r="288">
      <c r="A288" s="280"/>
      <c r="C288" s="280"/>
    </row>
    <row r="289">
      <c r="A289" s="280"/>
      <c r="C289" s="280"/>
    </row>
    <row r="290">
      <c r="A290" s="280"/>
      <c r="C290" s="280"/>
    </row>
    <row r="291">
      <c r="A291" s="280"/>
      <c r="C291" s="280"/>
    </row>
    <row r="292">
      <c r="A292" s="280"/>
      <c r="C292" s="280"/>
    </row>
    <row r="293">
      <c r="A293" s="280"/>
      <c r="C293" s="280"/>
    </row>
    <row r="294">
      <c r="A294" s="280"/>
      <c r="C294" s="280"/>
    </row>
    <row r="295">
      <c r="A295" s="280"/>
      <c r="C295" s="280"/>
    </row>
    <row r="296">
      <c r="A296" s="280"/>
      <c r="C296" s="280"/>
    </row>
    <row r="297">
      <c r="A297" s="280"/>
      <c r="C297" s="280"/>
    </row>
    <row r="298">
      <c r="A298" s="280"/>
      <c r="C298" s="280"/>
    </row>
    <row r="299">
      <c r="A299" s="280"/>
      <c r="C299" s="280"/>
    </row>
    <row r="300">
      <c r="A300" s="280"/>
      <c r="C300" s="280"/>
    </row>
    <row r="301">
      <c r="A301" s="280"/>
      <c r="C301" s="280"/>
    </row>
    <row r="302">
      <c r="A302" s="280"/>
      <c r="C302" s="280"/>
    </row>
    <row r="303">
      <c r="A303" s="280"/>
      <c r="C303" s="280"/>
    </row>
    <row r="304">
      <c r="A304" s="280"/>
      <c r="C304" s="280"/>
    </row>
    <row r="305">
      <c r="A305" s="280"/>
      <c r="C305" s="280"/>
    </row>
    <row r="306">
      <c r="A306" s="280"/>
      <c r="C306" s="280"/>
    </row>
    <row r="307">
      <c r="A307" s="280"/>
      <c r="C307" s="280"/>
    </row>
    <row r="308">
      <c r="A308" s="280"/>
      <c r="C308" s="280"/>
    </row>
    <row r="309">
      <c r="A309" s="280"/>
      <c r="C309" s="280"/>
    </row>
    <row r="310">
      <c r="A310" s="280"/>
      <c r="C310" s="280"/>
    </row>
    <row r="311">
      <c r="A311" s="280"/>
      <c r="C311" s="280"/>
    </row>
    <row r="312">
      <c r="A312" s="280"/>
      <c r="C312" s="280"/>
    </row>
    <row r="313">
      <c r="A313" s="280"/>
      <c r="C313" s="280"/>
    </row>
    <row r="314">
      <c r="A314" s="280"/>
      <c r="C314" s="280"/>
    </row>
    <row r="315">
      <c r="A315" s="280"/>
      <c r="C315" s="280"/>
    </row>
    <row r="316">
      <c r="A316" s="280"/>
      <c r="C316" s="280"/>
    </row>
    <row r="317">
      <c r="A317" s="280"/>
      <c r="C317" s="280"/>
    </row>
    <row r="318">
      <c r="A318" s="280"/>
      <c r="C318" s="280"/>
    </row>
    <row r="319">
      <c r="A319" s="280"/>
      <c r="C319" s="280"/>
    </row>
    <row r="320">
      <c r="A320" s="280"/>
      <c r="C320" s="280"/>
    </row>
    <row r="321">
      <c r="A321" s="280"/>
      <c r="C321" s="280"/>
    </row>
    <row r="322">
      <c r="A322" s="280"/>
      <c r="C322" s="280"/>
    </row>
    <row r="323">
      <c r="A323" s="280"/>
      <c r="C323" s="280"/>
    </row>
    <row r="324">
      <c r="A324" s="280"/>
      <c r="C324" s="280"/>
    </row>
    <row r="325">
      <c r="A325" s="280"/>
      <c r="C325" s="280"/>
    </row>
    <row r="326">
      <c r="A326" s="280"/>
      <c r="C326" s="280"/>
    </row>
    <row r="327">
      <c r="A327" s="280"/>
      <c r="C327" s="280"/>
    </row>
    <row r="328">
      <c r="A328" s="280"/>
      <c r="C328" s="280"/>
    </row>
    <row r="329">
      <c r="A329" s="280"/>
      <c r="C329" s="280"/>
    </row>
    <row r="330">
      <c r="A330" s="280"/>
      <c r="C330" s="280"/>
    </row>
    <row r="331">
      <c r="A331" s="280"/>
      <c r="C331" s="280"/>
    </row>
    <row r="332">
      <c r="A332" s="280"/>
      <c r="C332" s="280"/>
    </row>
    <row r="333">
      <c r="A333" s="280"/>
      <c r="C333" s="280"/>
    </row>
    <row r="334">
      <c r="A334" s="280"/>
      <c r="C334" s="280"/>
    </row>
    <row r="335">
      <c r="A335" s="280"/>
      <c r="C335" s="280"/>
    </row>
    <row r="336">
      <c r="A336" s="280"/>
      <c r="C336" s="280"/>
    </row>
    <row r="337">
      <c r="A337" s="280"/>
      <c r="C337" s="280"/>
    </row>
    <row r="338">
      <c r="A338" s="280"/>
      <c r="C338" s="280"/>
    </row>
    <row r="339">
      <c r="A339" s="280"/>
      <c r="C339" s="280"/>
    </row>
    <row r="340">
      <c r="A340" s="280"/>
      <c r="C340" s="280"/>
    </row>
    <row r="341">
      <c r="A341" s="280"/>
      <c r="C341" s="280"/>
    </row>
    <row r="342">
      <c r="A342" s="280"/>
      <c r="C342" s="280"/>
    </row>
    <row r="343">
      <c r="A343" s="280"/>
      <c r="C343" s="280"/>
    </row>
    <row r="344">
      <c r="A344" s="280"/>
      <c r="C344" s="280"/>
    </row>
    <row r="345">
      <c r="A345" s="280"/>
      <c r="C345" s="280"/>
    </row>
    <row r="346">
      <c r="A346" s="280"/>
      <c r="C346" s="280"/>
    </row>
    <row r="347">
      <c r="A347" s="280"/>
      <c r="C347" s="280"/>
    </row>
    <row r="348">
      <c r="A348" s="280"/>
      <c r="C348" s="280"/>
    </row>
    <row r="349">
      <c r="A349" s="280"/>
      <c r="C349" s="280"/>
    </row>
    <row r="350">
      <c r="A350" s="280"/>
      <c r="C350" s="280"/>
    </row>
    <row r="351">
      <c r="A351" s="280"/>
      <c r="C351" s="280"/>
    </row>
    <row r="352">
      <c r="A352" s="280"/>
      <c r="C352" s="280"/>
    </row>
    <row r="353">
      <c r="A353" s="280"/>
      <c r="C353" s="280"/>
    </row>
    <row r="354">
      <c r="A354" s="280"/>
      <c r="C354" s="280"/>
    </row>
    <row r="355">
      <c r="A355" s="280"/>
      <c r="C355" s="280"/>
    </row>
    <row r="356">
      <c r="A356" s="280"/>
      <c r="C356" s="280"/>
    </row>
    <row r="357">
      <c r="A357" s="280"/>
      <c r="C357" s="280"/>
    </row>
    <row r="358">
      <c r="A358" s="280"/>
      <c r="C358" s="280"/>
    </row>
    <row r="359">
      <c r="A359" s="280"/>
      <c r="C359" s="280"/>
    </row>
    <row r="360">
      <c r="A360" s="280"/>
      <c r="C360" s="280"/>
    </row>
    <row r="361">
      <c r="A361" s="280"/>
      <c r="C361" s="280"/>
    </row>
    <row r="362">
      <c r="A362" s="280"/>
      <c r="C362" s="280"/>
    </row>
    <row r="363">
      <c r="A363" s="280"/>
      <c r="C363" s="280"/>
    </row>
    <row r="364">
      <c r="A364" s="280"/>
      <c r="C364" s="280"/>
    </row>
    <row r="365">
      <c r="A365" s="280"/>
      <c r="C365" s="280"/>
    </row>
    <row r="366">
      <c r="A366" s="280"/>
      <c r="C366" s="280"/>
    </row>
    <row r="367">
      <c r="A367" s="280"/>
      <c r="C367" s="280"/>
    </row>
    <row r="368">
      <c r="A368" s="280"/>
      <c r="C368" s="280"/>
    </row>
    <row r="369">
      <c r="A369" s="280"/>
      <c r="C369" s="280"/>
    </row>
    <row r="370">
      <c r="A370" s="280"/>
      <c r="C370" s="280"/>
    </row>
    <row r="371">
      <c r="A371" s="280"/>
      <c r="C371" s="280"/>
    </row>
    <row r="372">
      <c r="A372" s="280"/>
      <c r="C372" s="280"/>
    </row>
    <row r="373">
      <c r="A373" s="280"/>
      <c r="C373" s="280"/>
    </row>
    <row r="374">
      <c r="A374" s="280"/>
      <c r="C374" s="280"/>
    </row>
    <row r="375">
      <c r="A375" s="280"/>
      <c r="C375" s="280"/>
    </row>
    <row r="376">
      <c r="A376" s="280"/>
      <c r="C376" s="280"/>
    </row>
    <row r="377">
      <c r="A377" s="280"/>
      <c r="C377" s="280"/>
    </row>
    <row r="378">
      <c r="A378" s="280"/>
      <c r="C378" s="280"/>
    </row>
    <row r="379">
      <c r="A379" s="280"/>
      <c r="C379" s="280"/>
    </row>
    <row r="380">
      <c r="A380" s="280"/>
      <c r="C380" s="280"/>
    </row>
    <row r="381">
      <c r="A381" s="280"/>
      <c r="C381" s="280"/>
    </row>
    <row r="382">
      <c r="A382" s="280"/>
      <c r="C382" s="280"/>
    </row>
    <row r="383">
      <c r="A383" s="280"/>
      <c r="C383" s="280"/>
    </row>
    <row r="384">
      <c r="A384" s="280"/>
      <c r="C384" s="280"/>
    </row>
    <row r="385">
      <c r="A385" s="280"/>
      <c r="C385" s="280"/>
    </row>
    <row r="386">
      <c r="A386" s="280"/>
      <c r="C386" s="280"/>
    </row>
    <row r="387">
      <c r="A387" s="280"/>
      <c r="C387" s="280"/>
    </row>
    <row r="388">
      <c r="A388" s="280"/>
      <c r="C388" s="280"/>
    </row>
    <row r="389">
      <c r="A389" s="280"/>
      <c r="C389" s="280"/>
    </row>
    <row r="390">
      <c r="A390" s="280"/>
      <c r="C390" s="280"/>
    </row>
    <row r="391">
      <c r="A391" s="280"/>
      <c r="C391" s="280"/>
    </row>
    <row r="392">
      <c r="A392" s="280"/>
      <c r="C392" s="280"/>
    </row>
    <row r="393">
      <c r="A393" s="280"/>
      <c r="C393" s="280"/>
    </row>
    <row r="394">
      <c r="A394" s="280"/>
      <c r="C394" s="280"/>
    </row>
    <row r="395">
      <c r="A395" s="280"/>
      <c r="C395" s="280"/>
    </row>
    <row r="396">
      <c r="A396" s="280"/>
      <c r="C396" s="280"/>
    </row>
    <row r="397">
      <c r="A397" s="280"/>
      <c r="C397" s="280"/>
    </row>
    <row r="398">
      <c r="A398" s="280"/>
      <c r="C398" s="280"/>
    </row>
    <row r="399">
      <c r="A399" s="280"/>
      <c r="C399" s="280"/>
    </row>
    <row r="400">
      <c r="A400" s="280"/>
      <c r="C400" s="280"/>
    </row>
    <row r="401">
      <c r="A401" s="280"/>
      <c r="C401" s="280"/>
    </row>
    <row r="402">
      <c r="A402" s="280"/>
      <c r="C402" s="280"/>
    </row>
    <row r="403">
      <c r="A403" s="280"/>
      <c r="C403" s="280"/>
    </row>
    <row r="404">
      <c r="A404" s="280"/>
      <c r="C404" s="280"/>
    </row>
    <row r="405">
      <c r="A405" s="280"/>
      <c r="C405" s="280"/>
    </row>
    <row r="406">
      <c r="A406" s="280"/>
      <c r="C406" s="280"/>
    </row>
    <row r="407">
      <c r="A407" s="280"/>
      <c r="C407" s="280"/>
    </row>
    <row r="408">
      <c r="A408" s="280"/>
      <c r="C408" s="280"/>
    </row>
    <row r="409">
      <c r="A409" s="280"/>
      <c r="C409" s="280"/>
    </row>
    <row r="410">
      <c r="A410" s="280"/>
      <c r="C410" s="280"/>
    </row>
    <row r="411">
      <c r="A411" s="280"/>
      <c r="C411" s="280"/>
    </row>
    <row r="412">
      <c r="A412" s="280"/>
      <c r="C412" s="280"/>
    </row>
    <row r="413">
      <c r="A413" s="280"/>
      <c r="C413" s="280"/>
    </row>
    <row r="414">
      <c r="A414" s="280"/>
      <c r="C414" s="280"/>
    </row>
    <row r="415">
      <c r="A415" s="280"/>
      <c r="C415" s="280"/>
    </row>
    <row r="416">
      <c r="A416" s="280"/>
      <c r="C416" s="280"/>
    </row>
    <row r="417">
      <c r="A417" s="280"/>
      <c r="C417" s="280"/>
    </row>
    <row r="418">
      <c r="A418" s="280"/>
      <c r="C418" s="280"/>
    </row>
    <row r="419">
      <c r="A419" s="280"/>
      <c r="C419" s="280"/>
    </row>
    <row r="420">
      <c r="A420" s="280"/>
      <c r="C420" s="280"/>
    </row>
    <row r="421">
      <c r="A421" s="280"/>
      <c r="C421" s="280"/>
    </row>
    <row r="422">
      <c r="A422" s="280"/>
      <c r="C422" s="280"/>
    </row>
    <row r="423">
      <c r="A423" s="280"/>
      <c r="C423" s="280"/>
    </row>
    <row r="424">
      <c r="A424" s="280"/>
      <c r="C424" s="280"/>
    </row>
    <row r="425">
      <c r="A425" s="280"/>
      <c r="C425" s="280"/>
    </row>
    <row r="426">
      <c r="A426" s="280"/>
      <c r="C426" s="280"/>
    </row>
    <row r="427">
      <c r="A427" s="280"/>
      <c r="C427" s="280"/>
    </row>
    <row r="428">
      <c r="A428" s="280"/>
      <c r="C428" s="280"/>
    </row>
    <row r="429">
      <c r="A429" s="280"/>
      <c r="C429" s="280"/>
    </row>
    <row r="430">
      <c r="A430" s="280"/>
      <c r="C430" s="280"/>
    </row>
    <row r="431">
      <c r="A431" s="280"/>
      <c r="C431" s="280"/>
    </row>
    <row r="432">
      <c r="A432" s="280"/>
      <c r="C432" s="280"/>
    </row>
    <row r="433">
      <c r="A433" s="280"/>
      <c r="C433" s="280"/>
    </row>
    <row r="434">
      <c r="A434" s="280"/>
      <c r="C434" s="280"/>
    </row>
    <row r="435">
      <c r="A435" s="280"/>
      <c r="C435" s="280"/>
    </row>
    <row r="436">
      <c r="A436" s="280"/>
      <c r="C436" s="280"/>
    </row>
    <row r="437">
      <c r="A437" s="280"/>
      <c r="C437" s="280"/>
    </row>
    <row r="438">
      <c r="A438" s="280"/>
      <c r="C438" s="280"/>
    </row>
    <row r="439">
      <c r="A439" s="280"/>
      <c r="C439" s="280"/>
    </row>
    <row r="440">
      <c r="A440" s="280"/>
      <c r="C440" s="280"/>
    </row>
    <row r="441">
      <c r="A441" s="280"/>
      <c r="C441" s="280"/>
    </row>
    <row r="442">
      <c r="A442" s="280"/>
      <c r="C442" s="280"/>
    </row>
    <row r="443">
      <c r="A443" s="280"/>
      <c r="C443" s="280"/>
    </row>
    <row r="444">
      <c r="A444" s="280"/>
      <c r="C444" s="280"/>
    </row>
    <row r="445">
      <c r="A445" s="280"/>
      <c r="C445" s="280"/>
    </row>
    <row r="446">
      <c r="A446" s="280"/>
      <c r="C446" s="280"/>
    </row>
    <row r="447">
      <c r="A447" s="280"/>
      <c r="C447" s="280"/>
    </row>
    <row r="448">
      <c r="A448" s="280"/>
      <c r="C448" s="280"/>
    </row>
    <row r="449">
      <c r="A449" s="280"/>
      <c r="C449" s="280"/>
    </row>
    <row r="450">
      <c r="A450" s="280"/>
      <c r="C450" s="280"/>
    </row>
    <row r="451">
      <c r="A451" s="280"/>
      <c r="C451" s="280"/>
    </row>
    <row r="452">
      <c r="A452" s="280"/>
      <c r="C452" s="280"/>
    </row>
    <row r="453">
      <c r="A453" s="280"/>
      <c r="C453" s="280"/>
    </row>
    <row r="454">
      <c r="A454" s="280"/>
      <c r="C454" s="280"/>
    </row>
    <row r="455">
      <c r="A455" s="280"/>
      <c r="C455" s="280"/>
    </row>
    <row r="456">
      <c r="A456" s="280"/>
      <c r="C456" s="280"/>
    </row>
    <row r="457">
      <c r="A457" s="280"/>
      <c r="C457" s="280"/>
    </row>
    <row r="458">
      <c r="A458" s="280"/>
      <c r="C458" s="280"/>
    </row>
    <row r="459">
      <c r="A459" s="280"/>
      <c r="C459" s="280"/>
    </row>
    <row r="460">
      <c r="A460" s="280"/>
      <c r="C460" s="280"/>
    </row>
    <row r="461">
      <c r="A461" s="280"/>
      <c r="C461" s="280"/>
    </row>
    <row r="462">
      <c r="A462" s="280"/>
      <c r="C462" s="280"/>
    </row>
    <row r="463">
      <c r="A463" s="280"/>
      <c r="C463" s="280"/>
    </row>
    <row r="464">
      <c r="A464" s="280"/>
      <c r="C464" s="280"/>
    </row>
    <row r="465">
      <c r="A465" s="280"/>
      <c r="C465" s="280"/>
    </row>
    <row r="466">
      <c r="A466" s="280"/>
      <c r="C466" s="280"/>
    </row>
    <row r="467">
      <c r="A467" s="280"/>
      <c r="C467" s="280"/>
    </row>
    <row r="468">
      <c r="A468" s="280"/>
      <c r="C468" s="280"/>
    </row>
    <row r="469">
      <c r="A469" s="280"/>
      <c r="C469" s="280"/>
    </row>
    <row r="470">
      <c r="A470" s="280"/>
      <c r="C470" s="280"/>
    </row>
    <row r="471">
      <c r="A471" s="280"/>
      <c r="C471" s="280"/>
    </row>
    <row r="472">
      <c r="A472" s="280"/>
      <c r="C472" s="280"/>
    </row>
    <row r="473">
      <c r="A473" s="280"/>
      <c r="C473" s="280"/>
    </row>
    <row r="474">
      <c r="A474" s="280"/>
      <c r="C474" s="280"/>
    </row>
    <row r="475">
      <c r="A475" s="280"/>
      <c r="C475" s="280"/>
    </row>
    <row r="476">
      <c r="A476" s="280"/>
      <c r="C476" s="280"/>
    </row>
    <row r="477">
      <c r="A477" s="280"/>
      <c r="C477" s="280"/>
    </row>
    <row r="478">
      <c r="A478" s="280"/>
      <c r="C478" s="280"/>
    </row>
    <row r="479">
      <c r="A479" s="280"/>
      <c r="C479" s="280"/>
    </row>
    <row r="480">
      <c r="A480" s="280"/>
      <c r="C480" s="280"/>
    </row>
    <row r="481">
      <c r="A481" s="280"/>
      <c r="C481" s="280"/>
    </row>
    <row r="482">
      <c r="A482" s="280"/>
      <c r="C482" s="280"/>
    </row>
    <row r="483">
      <c r="A483" s="280"/>
      <c r="C483" s="280"/>
    </row>
    <row r="484">
      <c r="A484" s="280"/>
      <c r="C484" s="280"/>
    </row>
    <row r="485">
      <c r="A485" s="280"/>
      <c r="C485" s="280"/>
    </row>
    <row r="486">
      <c r="A486" s="280"/>
      <c r="C486" s="280"/>
    </row>
    <row r="487">
      <c r="A487" s="280"/>
      <c r="C487" s="280"/>
    </row>
    <row r="488">
      <c r="A488" s="280"/>
      <c r="C488" s="280"/>
    </row>
    <row r="489">
      <c r="A489" s="280"/>
      <c r="C489" s="280"/>
    </row>
    <row r="490">
      <c r="A490" s="280"/>
      <c r="C490" s="280"/>
    </row>
    <row r="491">
      <c r="A491" s="280"/>
      <c r="C491" s="280"/>
    </row>
    <row r="492">
      <c r="A492" s="280"/>
      <c r="C492" s="280"/>
    </row>
    <row r="493">
      <c r="A493" s="280"/>
      <c r="C493" s="280"/>
    </row>
    <row r="494">
      <c r="A494" s="280"/>
      <c r="C494" s="280"/>
    </row>
    <row r="495">
      <c r="A495" s="280"/>
      <c r="C495" s="280"/>
    </row>
    <row r="496">
      <c r="A496" s="280"/>
      <c r="C496" s="280"/>
    </row>
    <row r="497">
      <c r="A497" s="280"/>
      <c r="C497" s="280"/>
    </row>
    <row r="498">
      <c r="A498" s="280"/>
      <c r="C498" s="280"/>
    </row>
    <row r="499">
      <c r="A499" s="280"/>
      <c r="C499" s="280"/>
    </row>
    <row r="500">
      <c r="A500" s="280"/>
      <c r="C500" s="280"/>
    </row>
    <row r="501">
      <c r="A501" s="280"/>
      <c r="C501" s="280"/>
    </row>
    <row r="502">
      <c r="A502" s="280"/>
      <c r="C502" s="280"/>
    </row>
    <row r="503">
      <c r="A503" s="280"/>
      <c r="C503" s="280"/>
    </row>
    <row r="504">
      <c r="A504" s="280"/>
      <c r="C504" s="280"/>
    </row>
    <row r="505">
      <c r="A505" s="280"/>
      <c r="C505" s="280"/>
    </row>
    <row r="506">
      <c r="A506" s="280"/>
      <c r="C506" s="280"/>
    </row>
    <row r="507">
      <c r="A507" s="280"/>
      <c r="C507" s="280"/>
    </row>
    <row r="508">
      <c r="A508" s="280"/>
      <c r="C508" s="280"/>
    </row>
    <row r="509">
      <c r="A509" s="280"/>
      <c r="C509" s="280"/>
    </row>
    <row r="510">
      <c r="A510" s="280"/>
      <c r="C510" s="280"/>
    </row>
    <row r="511">
      <c r="A511" s="280"/>
      <c r="C511" s="280"/>
    </row>
    <row r="512">
      <c r="A512" s="280"/>
      <c r="C512" s="280"/>
    </row>
    <row r="513">
      <c r="A513" s="280"/>
      <c r="C513" s="280"/>
    </row>
    <row r="514">
      <c r="A514" s="280"/>
      <c r="C514" s="280"/>
    </row>
    <row r="515">
      <c r="A515" s="280"/>
      <c r="C515" s="280"/>
    </row>
    <row r="516">
      <c r="A516" s="280"/>
      <c r="C516" s="280"/>
    </row>
    <row r="517">
      <c r="A517" s="280"/>
      <c r="C517" s="280"/>
    </row>
    <row r="518">
      <c r="A518" s="280"/>
      <c r="C518" s="280"/>
    </row>
    <row r="519">
      <c r="A519" s="280"/>
      <c r="C519" s="280"/>
    </row>
    <row r="520">
      <c r="A520" s="280"/>
      <c r="C520" s="280"/>
    </row>
    <row r="521">
      <c r="A521" s="280"/>
      <c r="C521" s="280"/>
    </row>
    <row r="522">
      <c r="A522" s="280"/>
      <c r="C522" s="280"/>
    </row>
    <row r="523">
      <c r="A523" s="280"/>
      <c r="C523" s="280"/>
    </row>
    <row r="524">
      <c r="A524" s="280"/>
      <c r="C524" s="280"/>
    </row>
    <row r="525">
      <c r="A525" s="280"/>
      <c r="C525" s="280"/>
    </row>
    <row r="526">
      <c r="A526" s="280"/>
      <c r="C526" s="280"/>
    </row>
    <row r="527">
      <c r="A527" s="280"/>
      <c r="C527" s="280"/>
    </row>
    <row r="528">
      <c r="A528" s="280"/>
      <c r="C528" s="280"/>
    </row>
    <row r="529">
      <c r="A529" s="280"/>
      <c r="C529" s="280"/>
    </row>
    <row r="530">
      <c r="A530" s="280"/>
      <c r="C530" s="280"/>
    </row>
    <row r="531">
      <c r="A531" s="280"/>
      <c r="C531" s="280"/>
    </row>
    <row r="532">
      <c r="A532" s="280"/>
      <c r="C532" s="280"/>
    </row>
    <row r="533">
      <c r="A533" s="280"/>
      <c r="C533" s="280"/>
    </row>
    <row r="534">
      <c r="A534" s="280"/>
      <c r="C534" s="280"/>
    </row>
    <row r="535">
      <c r="A535" s="280"/>
      <c r="C535" s="280"/>
    </row>
    <row r="536">
      <c r="A536" s="280"/>
      <c r="C536" s="280"/>
    </row>
    <row r="537">
      <c r="A537" s="280"/>
      <c r="C537" s="280"/>
    </row>
    <row r="538">
      <c r="A538" s="280"/>
      <c r="C538" s="280"/>
    </row>
    <row r="539">
      <c r="A539" s="280"/>
      <c r="C539" s="280"/>
    </row>
    <row r="540">
      <c r="A540" s="280"/>
      <c r="C540" s="280"/>
    </row>
    <row r="541">
      <c r="A541" s="280"/>
      <c r="C541" s="280"/>
    </row>
    <row r="542">
      <c r="A542" s="280"/>
      <c r="C542" s="280"/>
    </row>
    <row r="543">
      <c r="A543" s="280"/>
      <c r="C543" s="280"/>
    </row>
    <row r="544">
      <c r="A544" s="280"/>
      <c r="C544" s="280"/>
    </row>
    <row r="545">
      <c r="A545" s="280"/>
      <c r="C545" s="280"/>
    </row>
    <row r="546">
      <c r="A546" s="280"/>
      <c r="C546" s="280"/>
    </row>
    <row r="547">
      <c r="A547" s="280"/>
      <c r="C547" s="280"/>
    </row>
    <row r="548">
      <c r="A548" s="280"/>
      <c r="C548" s="280"/>
    </row>
    <row r="549">
      <c r="A549" s="280"/>
      <c r="C549" s="280"/>
    </row>
    <row r="550">
      <c r="A550" s="280"/>
      <c r="C550" s="280"/>
    </row>
    <row r="551">
      <c r="A551" s="280"/>
      <c r="C551" s="280"/>
    </row>
    <row r="552">
      <c r="A552" s="280"/>
      <c r="C552" s="280"/>
    </row>
    <row r="553">
      <c r="A553" s="280"/>
      <c r="C553" s="280"/>
    </row>
    <row r="554">
      <c r="A554" s="280"/>
      <c r="C554" s="280"/>
    </row>
    <row r="555">
      <c r="A555" s="280"/>
      <c r="C555" s="280"/>
    </row>
    <row r="556">
      <c r="A556" s="280"/>
      <c r="C556" s="280"/>
    </row>
    <row r="557">
      <c r="A557" s="280"/>
      <c r="C557" s="280"/>
    </row>
    <row r="558">
      <c r="A558" s="280"/>
      <c r="C558" s="280"/>
    </row>
    <row r="559">
      <c r="A559" s="280"/>
      <c r="C559" s="280"/>
    </row>
    <row r="560">
      <c r="A560" s="280"/>
      <c r="C560" s="280"/>
    </row>
    <row r="561">
      <c r="A561" s="280"/>
      <c r="C561" s="280"/>
    </row>
    <row r="562">
      <c r="A562" s="280"/>
      <c r="C562" s="280"/>
    </row>
    <row r="563">
      <c r="A563" s="280"/>
      <c r="C563" s="280"/>
    </row>
    <row r="564">
      <c r="A564" s="280"/>
      <c r="C564" s="280"/>
    </row>
    <row r="565">
      <c r="A565" s="280"/>
      <c r="C565" s="280"/>
    </row>
    <row r="566">
      <c r="A566" s="280"/>
      <c r="C566" s="280"/>
    </row>
    <row r="567">
      <c r="A567" s="280"/>
      <c r="C567" s="280"/>
    </row>
    <row r="568">
      <c r="A568" s="280"/>
      <c r="C568" s="280"/>
    </row>
    <row r="569">
      <c r="A569" s="280"/>
      <c r="C569" s="280"/>
    </row>
    <row r="570">
      <c r="A570" s="280"/>
      <c r="C570" s="280"/>
    </row>
    <row r="571">
      <c r="A571" s="280"/>
      <c r="C571" s="280"/>
    </row>
    <row r="572">
      <c r="A572" s="280"/>
      <c r="C572" s="280"/>
    </row>
    <row r="573">
      <c r="A573" s="280"/>
      <c r="C573" s="280"/>
    </row>
    <row r="574">
      <c r="A574" s="280"/>
      <c r="C574" s="280"/>
    </row>
    <row r="575">
      <c r="A575" s="280"/>
      <c r="C575" s="280"/>
    </row>
    <row r="576">
      <c r="A576" s="280"/>
      <c r="C576" s="280"/>
    </row>
    <row r="577">
      <c r="A577" s="280"/>
      <c r="C577" s="280"/>
    </row>
    <row r="578">
      <c r="A578" s="280"/>
      <c r="C578" s="280"/>
    </row>
    <row r="579">
      <c r="A579" s="280"/>
      <c r="C579" s="280"/>
    </row>
    <row r="580">
      <c r="A580" s="280"/>
      <c r="C580" s="280"/>
    </row>
    <row r="581">
      <c r="A581" s="280"/>
      <c r="C581" s="280"/>
    </row>
    <row r="582">
      <c r="A582" s="280"/>
      <c r="C582" s="280"/>
    </row>
    <row r="583">
      <c r="A583" s="280"/>
      <c r="C583" s="280"/>
    </row>
    <row r="584">
      <c r="A584" s="280"/>
      <c r="C584" s="280"/>
    </row>
    <row r="585">
      <c r="A585" s="280"/>
      <c r="C585" s="280"/>
    </row>
    <row r="586">
      <c r="A586" s="280"/>
      <c r="C586" s="280"/>
    </row>
    <row r="587">
      <c r="A587" s="280"/>
      <c r="C587" s="280"/>
    </row>
    <row r="588">
      <c r="A588" s="280"/>
      <c r="C588" s="280"/>
    </row>
    <row r="589">
      <c r="A589" s="280"/>
      <c r="C589" s="280"/>
    </row>
    <row r="590">
      <c r="A590" s="280"/>
      <c r="C590" s="280"/>
    </row>
    <row r="591">
      <c r="A591" s="280"/>
      <c r="C591" s="280"/>
    </row>
    <row r="592">
      <c r="A592" s="280"/>
      <c r="C592" s="280"/>
    </row>
    <row r="593">
      <c r="A593" s="280"/>
      <c r="C593" s="280"/>
    </row>
    <row r="594">
      <c r="A594" s="280"/>
      <c r="C594" s="280"/>
    </row>
    <row r="595">
      <c r="A595" s="280"/>
      <c r="C595" s="280"/>
    </row>
    <row r="596">
      <c r="A596" s="280"/>
      <c r="C596" s="280"/>
    </row>
    <row r="597">
      <c r="A597" s="280"/>
      <c r="C597" s="280"/>
    </row>
    <row r="598">
      <c r="A598" s="280"/>
      <c r="C598" s="280"/>
    </row>
    <row r="599">
      <c r="A599" s="280"/>
      <c r="C599" s="280"/>
    </row>
    <row r="600">
      <c r="A600" s="280"/>
      <c r="C600" s="280"/>
    </row>
    <row r="601">
      <c r="A601" s="280"/>
      <c r="C601" s="280"/>
    </row>
    <row r="602">
      <c r="A602" s="280"/>
      <c r="C602" s="280"/>
    </row>
    <row r="603">
      <c r="A603" s="280"/>
      <c r="C603" s="280"/>
    </row>
    <row r="604">
      <c r="A604" s="280"/>
      <c r="C604" s="280"/>
    </row>
    <row r="605">
      <c r="A605" s="280"/>
      <c r="C605" s="280"/>
    </row>
    <row r="606">
      <c r="A606" s="280"/>
      <c r="C606" s="280"/>
    </row>
    <row r="607">
      <c r="A607" s="280"/>
      <c r="C607" s="280"/>
    </row>
    <row r="608">
      <c r="A608" s="280"/>
      <c r="C608" s="280"/>
    </row>
    <row r="609">
      <c r="A609" s="280"/>
      <c r="C609" s="280"/>
    </row>
    <row r="610">
      <c r="A610" s="280"/>
      <c r="C610" s="280"/>
    </row>
    <row r="611">
      <c r="A611" s="280"/>
      <c r="C611" s="280"/>
    </row>
    <row r="612">
      <c r="A612" s="280"/>
      <c r="C612" s="280"/>
    </row>
    <row r="613">
      <c r="A613" s="280"/>
      <c r="C613" s="280"/>
    </row>
    <row r="614">
      <c r="A614" s="280"/>
      <c r="C614" s="280"/>
    </row>
    <row r="615">
      <c r="A615" s="280"/>
      <c r="C615" s="280"/>
    </row>
    <row r="616">
      <c r="A616" s="280"/>
      <c r="C616" s="280"/>
    </row>
    <row r="617">
      <c r="A617" s="280"/>
      <c r="C617" s="280"/>
    </row>
    <row r="618">
      <c r="A618" s="280"/>
      <c r="C618" s="280"/>
    </row>
    <row r="619">
      <c r="A619" s="280"/>
      <c r="C619" s="280"/>
    </row>
    <row r="620">
      <c r="A620" s="280"/>
      <c r="C620" s="280"/>
    </row>
    <row r="621">
      <c r="A621" s="280"/>
      <c r="C621" s="280"/>
    </row>
    <row r="622">
      <c r="A622" s="280"/>
      <c r="C622" s="280"/>
    </row>
    <row r="623">
      <c r="A623" s="280"/>
      <c r="C623" s="280"/>
    </row>
    <row r="624">
      <c r="A624" s="280"/>
      <c r="C624" s="280"/>
    </row>
    <row r="625">
      <c r="A625" s="280"/>
      <c r="C625" s="280"/>
    </row>
    <row r="626">
      <c r="A626" s="280"/>
      <c r="C626" s="280"/>
    </row>
    <row r="627">
      <c r="A627" s="280"/>
      <c r="C627" s="280"/>
    </row>
    <row r="628">
      <c r="A628" s="280"/>
      <c r="C628" s="280"/>
    </row>
    <row r="629">
      <c r="A629" s="280"/>
      <c r="C629" s="280"/>
    </row>
    <row r="630">
      <c r="A630" s="280"/>
      <c r="C630" s="280"/>
    </row>
    <row r="631">
      <c r="A631" s="280"/>
      <c r="C631" s="280"/>
    </row>
    <row r="632">
      <c r="A632" s="280"/>
      <c r="C632" s="280"/>
    </row>
    <row r="633">
      <c r="A633" s="280"/>
      <c r="C633" s="280"/>
    </row>
    <row r="634">
      <c r="A634" s="280"/>
      <c r="C634" s="280"/>
    </row>
    <row r="635">
      <c r="A635" s="280"/>
      <c r="C635" s="280"/>
    </row>
    <row r="636">
      <c r="A636" s="280"/>
      <c r="C636" s="280"/>
    </row>
    <row r="637">
      <c r="A637" s="280"/>
      <c r="C637" s="280"/>
    </row>
    <row r="638">
      <c r="A638" s="280"/>
      <c r="C638" s="280"/>
    </row>
    <row r="639">
      <c r="A639" s="280"/>
      <c r="C639" s="280"/>
    </row>
    <row r="640">
      <c r="A640" s="280"/>
      <c r="C640" s="280"/>
    </row>
    <row r="641">
      <c r="A641" s="280"/>
      <c r="C641" s="280"/>
    </row>
    <row r="642">
      <c r="A642" s="280"/>
      <c r="C642" s="280"/>
    </row>
    <row r="643">
      <c r="A643" s="280"/>
      <c r="C643" s="280"/>
    </row>
    <row r="644">
      <c r="A644" s="280"/>
      <c r="C644" s="280"/>
    </row>
    <row r="645">
      <c r="A645" s="280"/>
      <c r="C645" s="280"/>
    </row>
    <row r="646">
      <c r="A646" s="280"/>
      <c r="C646" s="280"/>
    </row>
    <row r="647">
      <c r="A647" s="280"/>
      <c r="C647" s="280"/>
    </row>
    <row r="648">
      <c r="A648" s="280"/>
      <c r="C648" s="280"/>
    </row>
    <row r="649">
      <c r="A649" s="280"/>
      <c r="C649" s="280"/>
    </row>
    <row r="650">
      <c r="A650" s="280"/>
      <c r="C650" s="280"/>
    </row>
    <row r="651">
      <c r="A651" s="280"/>
      <c r="C651" s="280"/>
    </row>
    <row r="652">
      <c r="A652" s="280"/>
      <c r="C652" s="280"/>
    </row>
    <row r="653">
      <c r="A653" s="280"/>
      <c r="C653" s="280"/>
    </row>
    <row r="654">
      <c r="A654" s="280"/>
      <c r="C654" s="280"/>
    </row>
    <row r="655">
      <c r="A655" s="280"/>
      <c r="C655" s="280"/>
    </row>
    <row r="656">
      <c r="A656" s="280"/>
      <c r="C656" s="280"/>
    </row>
    <row r="657">
      <c r="A657" s="280"/>
      <c r="C657" s="280"/>
    </row>
    <row r="658">
      <c r="A658" s="280"/>
      <c r="C658" s="280"/>
    </row>
    <row r="659">
      <c r="A659" s="280"/>
      <c r="C659" s="280"/>
    </row>
    <row r="660">
      <c r="A660" s="280"/>
      <c r="C660" s="280"/>
    </row>
    <row r="661">
      <c r="A661" s="280"/>
      <c r="C661" s="280"/>
    </row>
    <row r="662">
      <c r="A662" s="280"/>
      <c r="C662" s="280"/>
    </row>
    <row r="663">
      <c r="A663" s="280"/>
      <c r="C663" s="280"/>
    </row>
    <row r="664">
      <c r="A664" s="280"/>
      <c r="C664" s="280"/>
    </row>
    <row r="665">
      <c r="A665" s="280"/>
      <c r="C665" s="280"/>
    </row>
    <row r="666">
      <c r="A666" s="280"/>
      <c r="C666" s="280"/>
    </row>
    <row r="667">
      <c r="A667" s="280"/>
      <c r="C667" s="280"/>
    </row>
    <row r="668">
      <c r="A668" s="280"/>
      <c r="C668" s="280"/>
    </row>
    <row r="669">
      <c r="A669" s="280"/>
      <c r="C669" s="280"/>
    </row>
    <row r="670">
      <c r="A670" s="280"/>
      <c r="C670" s="280"/>
    </row>
    <row r="671">
      <c r="A671" s="280"/>
      <c r="C671" s="280"/>
    </row>
    <row r="672">
      <c r="A672" s="280"/>
      <c r="C672" s="280"/>
    </row>
    <row r="673">
      <c r="A673" s="280"/>
      <c r="C673" s="280"/>
    </row>
    <row r="674">
      <c r="A674" s="280"/>
      <c r="C674" s="280"/>
    </row>
    <row r="675">
      <c r="A675" s="280"/>
      <c r="C675" s="280"/>
    </row>
    <row r="676">
      <c r="A676" s="280"/>
      <c r="C676" s="280"/>
    </row>
    <row r="677">
      <c r="A677" s="280"/>
      <c r="C677" s="280"/>
    </row>
    <row r="678">
      <c r="A678" s="280"/>
      <c r="C678" s="280"/>
    </row>
    <row r="679">
      <c r="A679" s="280"/>
      <c r="C679" s="280"/>
    </row>
    <row r="680">
      <c r="A680" s="280"/>
      <c r="C680" s="280"/>
    </row>
    <row r="681">
      <c r="A681" s="280"/>
      <c r="C681" s="280"/>
    </row>
    <row r="682">
      <c r="A682" s="280"/>
      <c r="C682" s="280"/>
    </row>
    <row r="683">
      <c r="A683" s="280"/>
      <c r="C683" s="280"/>
    </row>
    <row r="684">
      <c r="A684" s="280"/>
      <c r="C684" s="280"/>
    </row>
    <row r="685">
      <c r="A685" s="280"/>
      <c r="C685" s="280"/>
    </row>
    <row r="686">
      <c r="A686" s="280"/>
      <c r="C686" s="280"/>
    </row>
    <row r="687">
      <c r="A687" s="280"/>
      <c r="C687" s="280"/>
    </row>
    <row r="688">
      <c r="A688" s="280"/>
      <c r="C688" s="280"/>
    </row>
    <row r="689">
      <c r="A689" s="280"/>
      <c r="C689" s="280"/>
    </row>
    <row r="690">
      <c r="A690" s="280"/>
      <c r="C690" s="280"/>
    </row>
    <row r="691">
      <c r="A691" s="280"/>
      <c r="C691" s="280"/>
    </row>
    <row r="692">
      <c r="A692" s="280"/>
      <c r="C692" s="280"/>
    </row>
    <row r="693">
      <c r="A693" s="280"/>
      <c r="C693" s="280"/>
    </row>
    <row r="694">
      <c r="A694" s="280"/>
      <c r="C694" s="280"/>
    </row>
    <row r="695">
      <c r="A695" s="280"/>
      <c r="C695" s="280"/>
    </row>
    <row r="696">
      <c r="A696" s="280"/>
      <c r="C696" s="280"/>
    </row>
    <row r="697">
      <c r="A697" s="280"/>
      <c r="C697" s="280"/>
    </row>
    <row r="698">
      <c r="A698" s="280"/>
      <c r="C698" s="280"/>
    </row>
    <row r="699">
      <c r="A699" s="280"/>
      <c r="C699" s="280"/>
    </row>
    <row r="700">
      <c r="A700" s="280"/>
      <c r="C700" s="280"/>
    </row>
    <row r="701">
      <c r="A701" s="280"/>
      <c r="C701" s="280"/>
    </row>
    <row r="702">
      <c r="A702" s="280"/>
      <c r="C702" s="280"/>
    </row>
    <row r="703">
      <c r="A703" s="280"/>
      <c r="C703" s="280"/>
    </row>
    <row r="704">
      <c r="A704" s="280"/>
      <c r="C704" s="280"/>
    </row>
    <row r="705">
      <c r="A705" s="280"/>
      <c r="C705" s="280"/>
    </row>
    <row r="706">
      <c r="A706" s="280"/>
      <c r="C706" s="280"/>
    </row>
    <row r="707">
      <c r="A707" s="280"/>
      <c r="C707" s="280"/>
    </row>
    <row r="708">
      <c r="A708" s="280"/>
      <c r="C708" s="280"/>
    </row>
    <row r="709">
      <c r="A709" s="280"/>
      <c r="C709" s="280"/>
    </row>
    <row r="710">
      <c r="A710" s="280"/>
      <c r="C710" s="280"/>
    </row>
    <row r="711">
      <c r="A711" s="280"/>
      <c r="C711" s="280"/>
    </row>
    <row r="712">
      <c r="A712" s="280"/>
      <c r="C712" s="280"/>
    </row>
    <row r="713">
      <c r="A713" s="280"/>
      <c r="C713" s="280"/>
    </row>
    <row r="714">
      <c r="A714" s="280"/>
      <c r="C714" s="280"/>
    </row>
    <row r="715">
      <c r="A715" s="280"/>
      <c r="C715" s="280"/>
    </row>
    <row r="716">
      <c r="A716" s="280"/>
      <c r="C716" s="280"/>
    </row>
    <row r="717">
      <c r="A717" s="280"/>
      <c r="C717" s="280"/>
    </row>
    <row r="718">
      <c r="A718" s="280"/>
      <c r="C718" s="280"/>
    </row>
    <row r="719">
      <c r="A719" s="280"/>
      <c r="C719" s="280"/>
    </row>
    <row r="720">
      <c r="A720" s="280"/>
      <c r="C720" s="280"/>
    </row>
    <row r="721">
      <c r="A721" s="280"/>
      <c r="C721" s="280"/>
    </row>
    <row r="722">
      <c r="A722" s="280"/>
      <c r="C722" s="280"/>
    </row>
    <row r="723">
      <c r="A723" s="280"/>
      <c r="C723" s="280"/>
    </row>
    <row r="724">
      <c r="A724" s="280"/>
      <c r="C724" s="280"/>
    </row>
    <row r="725">
      <c r="A725" s="280"/>
      <c r="C725" s="280"/>
    </row>
    <row r="726">
      <c r="A726" s="280"/>
      <c r="C726" s="280"/>
    </row>
    <row r="727">
      <c r="A727" s="280"/>
      <c r="C727" s="280"/>
    </row>
    <row r="728">
      <c r="A728" s="280"/>
      <c r="C728" s="280"/>
    </row>
    <row r="729">
      <c r="A729" s="280"/>
      <c r="C729" s="280"/>
    </row>
    <row r="730">
      <c r="A730" s="280"/>
      <c r="C730" s="280"/>
    </row>
    <row r="731">
      <c r="A731" s="280"/>
      <c r="C731" s="280"/>
    </row>
    <row r="732">
      <c r="A732" s="280"/>
      <c r="C732" s="280"/>
    </row>
    <row r="733">
      <c r="A733" s="280"/>
      <c r="C733" s="280"/>
    </row>
    <row r="734">
      <c r="A734" s="280"/>
      <c r="C734" s="280"/>
    </row>
    <row r="735">
      <c r="A735" s="280"/>
      <c r="C735" s="280"/>
    </row>
    <row r="736">
      <c r="A736" s="280"/>
      <c r="C736" s="280"/>
    </row>
    <row r="737">
      <c r="A737" s="280"/>
      <c r="C737" s="280"/>
    </row>
    <row r="738">
      <c r="A738" s="280"/>
      <c r="C738" s="280"/>
    </row>
    <row r="739">
      <c r="A739" s="280"/>
      <c r="C739" s="280"/>
    </row>
    <row r="740">
      <c r="A740" s="280"/>
      <c r="C740" s="280"/>
    </row>
    <row r="741">
      <c r="A741" s="280"/>
      <c r="C741" s="280"/>
    </row>
    <row r="742">
      <c r="A742" s="280"/>
      <c r="C742" s="280"/>
    </row>
    <row r="743">
      <c r="A743" s="280"/>
      <c r="C743" s="280"/>
    </row>
    <row r="744">
      <c r="A744" s="280"/>
      <c r="C744" s="280"/>
    </row>
    <row r="745">
      <c r="A745" s="280"/>
      <c r="C745" s="280"/>
    </row>
    <row r="746">
      <c r="A746" s="280"/>
      <c r="C746" s="280"/>
    </row>
    <row r="747">
      <c r="A747" s="280"/>
      <c r="C747" s="280"/>
    </row>
    <row r="748">
      <c r="A748" s="280"/>
      <c r="C748" s="280"/>
    </row>
    <row r="749">
      <c r="A749" s="280"/>
      <c r="C749" s="280"/>
    </row>
    <row r="750">
      <c r="A750" s="280"/>
      <c r="C750" s="280"/>
    </row>
    <row r="751">
      <c r="A751" s="280"/>
      <c r="C751" s="280"/>
    </row>
    <row r="752">
      <c r="A752" s="280"/>
      <c r="C752" s="280"/>
    </row>
    <row r="753">
      <c r="A753" s="280"/>
      <c r="C753" s="280"/>
    </row>
    <row r="754">
      <c r="A754" s="280"/>
      <c r="C754" s="280"/>
    </row>
    <row r="755">
      <c r="A755" s="280"/>
      <c r="C755" s="280"/>
    </row>
    <row r="756">
      <c r="A756" s="280"/>
      <c r="C756" s="280"/>
    </row>
    <row r="757">
      <c r="A757" s="280"/>
      <c r="C757" s="280"/>
    </row>
    <row r="758">
      <c r="A758" s="280"/>
      <c r="C758" s="280"/>
    </row>
    <row r="759">
      <c r="A759" s="280"/>
      <c r="C759" s="280"/>
    </row>
    <row r="760">
      <c r="A760" s="280"/>
      <c r="C760" s="280"/>
    </row>
    <row r="761">
      <c r="A761" s="280"/>
      <c r="C761" s="280"/>
    </row>
    <row r="762">
      <c r="A762" s="280"/>
      <c r="C762" s="280"/>
    </row>
    <row r="763">
      <c r="A763" s="280"/>
      <c r="C763" s="280"/>
    </row>
    <row r="764">
      <c r="A764" s="280"/>
      <c r="C764" s="280"/>
    </row>
    <row r="765">
      <c r="A765" s="280"/>
      <c r="C765" s="280"/>
    </row>
    <row r="766">
      <c r="A766" s="280"/>
      <c r="C766" s="280"/>
    </row>
    <row r="767">
      <c r="A767" s="280"/>
      <c r="C767" s="280"/>
    </row>
    <row r="768">
      <c r="A768" s="280"/>
      <c r="C768" s="280"/>
    </row>
    <row r="769">
      <c r="A769" s="280"/>
      <c r="C769" s="280"/>
    </row>
    <row r="770">
      <c r="A770" s="280"/>
      <c r="C770" s="280"/>
    </row>
    <row r="771">
      <c r="A771" s="280"/>
      <c r="C771" s="280"/>
    </row>
    <row r="772">
      <c r="A772" s="280"/>
      <c r="C772" s="280"/>
    </row>
    <row r="773">
      <c r="A773" s="280"/>
      <c r="C773" s="280"/>
    </row>
    <row r="774">
      <c r="A774" s="280"/>
      <c r="C774" s="280"/>
    </row>
    <row r="775">
      <c r="A775" s="280"/>
      <c r="C775" s="280"/>
    </row>
    <row r="776">
      <c r="A776" s="280"/>
      <c r="C776" s="280"/>
    </row>
    <row r="777">
      <c r="A777" s="280"/>
      <c r="C777" s="280"/>
    </row>
    <row r="778">
      <c r="A778" s="280"/>
      <c r="C778" s="280"/>
    </row>
    <row r="779">
      <c r="A779" s="280"/>
      <c r="C779" s="280"/>
    </row>
    <row r="780">
      <c r="A780" s="280"/>
      <c r="C780" s="280"/>
    </row>
    <row r="781">
      <c r="A781" s="280"/>
      <c r="C781" s="280"/>
    </row>
    <row r="782">
      <c r="A782" s="280"/>
      <c r="C782" s="280"/>
    </row>
    <row r="783">
      <c r="A783" s="280"/>
      <c r="C783" s="280"/>
    </row>
    <row r="784">
      <c r="A784" s="280"/>
      <c r="C784" s="280"/>
    </row>
    <row r="785">
      <c r="A785" s="280"/>
      <c r="C785" s="280"/>
    </row>
    <row r="786">
      <c r="A786" s="280"/>
      <c r="C786" s="280"/>
    </row>
    <row r="787">
      <c r="A787" s="280"/>
      <c r="C787" s="280"/>
    </row>
    <row r="788">
      <c r="A788" s="280"/>
      <c r="C788" s="280"/>
    </row>
    <row r="789">
      <c r="A789" s="280"/>
      <c r="C789" s="280"/>
    </row>
    <row r="790">
      <c r="A790" s="280"/>
      <c r="C790" s="280"/>
    </row>
    <row r="791">
      <c r="A791" s="280"/>
      <c r="C791" s="280"/>
    </row>
    <row r="792">
      <c r="A792" s="280"/>
      <c r="C792" s="280"/>
    </row>
    <row r="793">
      <c r="A793" s="280"/>
      <c r="C793" s="280"/>
    </row>
    <row r="794">
      <c r="A794" s="280"/>
      <c r="C794" s="280"/>
    </row>
    <row r="795">
      <c r="A795" s="280"/>
      <c r="C795" s="280"/>
    </row>
    <row r="796">
      <c r="A796" s="280"/>
      <c r="C796" s="280"/>
    </row>
    <row r="797">
      <c r="A797" s="280"/>
      <c r="C797" s="280"/>
    </row>
    <row r="798">
      <c r="A798" s="280"/>
      <c r="C798" s="280"/>
    </row>
    <row r="799">
      <c r="A799" s="280"/>
      <c r="C799" s="280"/>
    </row>
    <row r="800">
      <c r="A800" s="280"/>
      <c r="C800" s="280"/>
    </row>
    <row r="801">
      <c r="A801" s="280"/>
      <c r="C801" s="280"/>
    </row>
    <row r="802">
      <c r="A802" s="280"/>
      <c r="C802" s="280"/>
    </row>
    <row r="803">
      <c r="A803" s="280"/>
      <c r="C803" s="280"/>
    </row>
    <row r="804">
      <c r="A804" s="280"/>
      <c r="C804" s="280"/>
    </row>
    <row r="805">
      <c r="A805" s="280"/>
      <c r="C805" s="280"/>
    </row>
    <row r="806">
      <c r="A806" s="280"/>
      <c r="C806" s="280"/>
    </row>
    <row r="807">
      <c r="A807" s="280"/>
      <c r="C807" s="280"/>
    </row>
    <row r="808">
      <c r="A808" s="280"/>
      <c r="C808" s="280"/>
    </row>
    <row r="809">
      <c r="A809" s="280"/>
      <c r="C809" s="280"/>
    </row>
    <row r="810">
      <c r="A810" s="280"/>
      <c r="C810" s="280"/>
    </row>
    <row r="811">
      <c r="A811" s="280"/>
      <c r="C811" s="280"/>
    </row>
    <row r="812">
      <c r="A812" s="280"/>
      <c r="C812" s="280"/>
    </row>
    <row r="813">
      <c r="A813" s="280"/>
      <c r="C813" s="280"/>
    </row>
    <row r="814">
      <c r="A814" s="280"/>
      <c r="C814" s="280"/>
    </row>
    <row r="815">
      <c r="A815" s="280"/>
      <c r="C815" s="280"/>
    </row>
    <row r="816">
      <c r="A816" s="280"/>
      <c r="C816" s="280"/>
    </row>
    <row r="817">
      <c r="A817" s="280"/>
      <c r="C817" s="280"/>
    </row>
    <row r="818">
      <c r="A818" s="280"/>
      <c r="C818" s="280"/>
    </row>
    <row r="819">
      <c r="A819" s="280"/>
      <c r="C819" s="280"/>
    </row>
    <row r="820">
      <c r="A820" s="280"/>
      <c r="C820" s="280"/>
    </row>
    <row r="821">
      <c r="A821" s="280"/>
      <c r="C821" s="280"/>
    </row>
    <row r="822">
      <c r="A822" s="280"/>
      <c r="C822" s="280"/>
    </row>
    <row r="823">
      <c r="A823" s="280"/>
      <c r="C823" s="280"/>
    </row>
    <row r="824">
      <c r="A824" s="280"/>
      <c r="C824" s="280"/>
    </row>
    <row r="825">
      <c r="A825" s="280"/>
      <c r="C825" s="280"/>
    </row>
    <row r="826">
      <c r="A826" s="280"/>
      <c r="C826" s="280"/>
    </row>
    <row r="827">
      <c r="A827" s="280"/>
      <c r="C827" s="280"/>
    </row>
    <row r="828">
      <c r="A828" s="280"/>
      <c r="C828" s="280"/>
    </row>
    <row r="829">
      <c r="A829" s="280"/>
      <c r="C829" s="280"/>
    </row>
    <row r="830">
      <c r="A830" s="280"/>
      <c r="C830" s="280"/>
    </row>
    <row r="831">
      <c r="A831" s="280"/>
      <c r="C831" s="280"/>
    </row>
    <row r="832">
      <c r="A832" s="280"/>
      <c r="C832" s="280"/>
    </row>
    <row r="833">
      <c r="A833" s="280"/>
      <c r="C833" s="280"/>
    </row>
    <row r="834">
      <c r="A834" s="280"/>
      <c r="C834" s="280"/>
    </row>
    <row r="835">
      <c r="A835" s="280"/>
      <c r="C835" s="280"/>
    </row>
    <row r="836">
      <c r="A836" s="280"/>
      <c r="C836" s="280"/>
    </row>
    <row r="837">
      <c r="A837" s="280"/>
      <c r="C837" s="280"/>
    </row>
    <row r="838">
      <c r="A838" s="280"/>
      <c r="C838" s="280"/>
    </row>
    <row r="839">
      <c r="A839" s="280"/>
      <c r="C839" s="280"/>
    </row>
    <row r="840">
      <c r="A840" s="280"/>
      <c r="C840" s="280"/>
    </row>
    <row r="841">
      <c r="A841" s="280"/>
      <c r="C841" s="280"/>
    </row>
    <row r="842">
      <c r="A842" s="280"/>
      <c r="C842" s="280"/>
    </row>
    <row r="843">
      <c r="A843" s="280"/>
      <c r="C843" s="280"/>
    </row>
    <row r="844">
      <c r="A844" s="280"/>
      <c r="C844" s="280"/>
    </row>
    <row r="845">
      <c r="A845" s="280"/>
      <c r="C845" s="280"/>
    </row>
    <row r="846">
      <c r="A846" s="280"/>
      <c r="C846" s="280"/>
    </row>
    <row r="847">
      <c r="A847" s="280"/>
      <c r="C847" s="280"/>
    </row>
    <row r="848">
      <c r="A848" s="280"/>
      <c r="C848" s="280"/>
    </row>
    <row r="849">
      <c r="A849" s="280"/>
      <c r="C849" s="280"/>
    </row>
    <row r="850">
      <c r="A850" s="280"/>
      <c r="C850" s="280"/>
    </row>
    <row r="851">
      <c r="A851" s="280"/>
      <c r="C851" s="280"/>
    </row>
    <row r="852">
      <c r="A852" s="280"/>
      <c r="C852" s="280"/>
    </row>
    <row r="853">
      <c r="A853" s="280"/>
      <c r="C853" s="280"/>
    </row>
    <row r="854">
      <c r="A854" s="280"/>
      <c r="C854" s="280"/>
    </row>
    <row r="855">
      <c r="A855" s="280"/>
      <c r="C855" s="280"/>
    </row>
    <row r="856">
      <c r="A856" s="280"/>
      <c r="C856" s="280"/>
    </row>
    <row r="857">
      <c r="A857" s="280"/>
      <c r="C857" s="280"/>
    </row>
    <row r="858">
      <c r="A858" s="280"/>
      <c r="C858" s="280"/>
    </row>
    <row r="859">
      <c r="A859" s="280"/>
      <c r="C859" s="280"/>
    </row>
    <row r="860">
      <c r="A860" s="280"/>
      <c r="C860" s="280"/>
    </row>
    <row r="861">
      <c r="A861" s="280"/>
      <c r="C861" s="280"/>
    </row>
    <row r="862">
      <c r="A862" s="280"/>
      <c r="C862" s="280"/>
    </row>
    <row r="863">
      <c r="A863" s="280"/>
      <c r="C863" s="280"/>
    </row>
    <row r="864">
      <c r="A864" s="280"/>
      <c r="C864" s="280"/>
    </row>
    <row r="865">
      <c r="A865" s="280"/>
      <c r="C865" s="280"/>
    </row>
    <row r="866">
      <c r="A866" s="280"/>
      <c r="C866" s="280"/>
    </row>
    <row r="867">
      <c r="A867" s="280"/>
      <c r="C867" s="280"/>
    </row>
    <row r="868">
      <c r="A868" s="280"/>
      <c r="C868" s="280"/>
    </row>
    <row r="869">
      <c r="A869" s="280"/>
      <c r="C869" s="280"/>
    </row>
    <row r="870">
      <c r="A870" s="280"/>
      <c r="C870" s="280"/>
    </row>
    <row r="871">
      <c r="A871" s="280"/>
      <c r="C871" s="280"/>
    </row>
    <row r="872">
      <c r="A872" s="280"/>
      <c r="C872" s="280"/>
    </row>
    <row r="873">
      <c r="A873" s="280"/>
      <c r="C873" s="280"/>
    </row>
    <row r="874">
      <c r="A874" s="280"/>
      <c r="C874" s="280"/>
    </row>
    <row r="875">
      <c r="A875" s="280"/>
      <c r="C875" s="280"/>
    </row>
    <row r="876">
      <c r="A876" s="280"/>
      <c r="C876" s="280"/>
    </row>
    <row r="877">
      <c r="A877" s="280"/>
      <c r="C877" s="280"/>
    </row>
    <row r="878">
      <c r="A878" s="280"/>
      <c r="C878" s="280"/>
    </row>
    <row r="879">
      <c r="A879" s="280"/>
      <c r="C879" s="280"/>
    </row>
    <row r="880">
      <c r="A880" s="280"/>
      <c r="C880" s="280"/>
    </row>
    <row r="881">
      <c r="A881" s="280"/>
      <c r="C881" s="280"/>
    </row>
    <row r="882">
      <c r="A882" s="280"/>
      <c r="C882" s="280"/>
    </row>
    <row r="883">
      <c r="A883" s="280"/>
      <c r="C883" s="280"/>
    </row>
    <row r="884">
      <c r="A884" s="280"/>
      <c r="C884" s="280"/>
    </row>
    <row r="885">
      <c r="A885" s="280"/>
      <c r="C885" s="280"/>
    </row>
    <row r="886">
      <c r="A886" s="280"/>
      <c r="C886" s="280"/>
    </row>
    <row r="887">
      <c r="A887" s="280"/>
      <c r="C887" s="280"/>
    </row>
    <row r="888">
      <c r="A888" s="280"/>
      <c r="C888" s="280"/>
    </row>
    <row r="889">
      <c r="A889" s="280"/>
      <c r="C889" s="280"/>
    </row>
    <row r="890">
      <c r="A890" s="280"/>
      <c r="C890" s="280"/>
    </row>
    <row r="891">
      <c r="A891" s="280"/>
      <c r="C891" s="280"/>
    </row>
    <row r="892">
      <c r="A892" s="280"/>
      <c r="C892" s="280"/>
    </row>
    <row r="893">
      <c r="A893" s="280"/>
      <c r="C893" s="280"/>
    </row>
    <row r="894">
      <c r="A894" s="280"/>
      <c r="C894" s="280"/>
    </row>
    <row r="895">
      <c r="A895" s="280"/>
      <c r="C895" s="280"/>
    </row>
    <row r="896">
      <c r="A896" s="280"/>
      <c r="C896" s="280"/>
    </row>
    <row r="897">
      <c r="A897" s="280"/>
      <c r="C897" s="280"/>
    </row>
    <row r="898">
      <c r="A898" s="280"/>
      <c r="C898" s="280"/>
    </row>
    <row r="899">
      <c r="A899" s="280"/>
      <c r="C899" s="280"/>
    </row>
    <row r="900">
      <c r="A900" s="280"/>
      <c r="C900" s="280"/>
    </row>
    <row r="901">
      <c r="A901" s="280"/>
      <c r="C901" s="280"/>
    </row>
    <row r="902">
      <c r="A902" s="280"/>
      <c r="C902" s="280"/>
    </row>
    <row r="903">
      <c r="A903" s="280"/>
      <c r="C903" s="280"/>
    </row>
    <row r="904">
      <c r="A904" s="280"/>
      <c r="C904" s="280"/>
    </row>
    <row r="905">
      <c r="A905" s="280"/>
      <c r="C905" s="280"/>
    </row>
    <row r="906">
      <c r="A906" s="280"/>
      <c r="C906" s="280"/>
    </row>
    <row r="907">
      <c r="A907" s="280"/>
      <c r="C907" s="280"/>
    </row>
    <row r="908">
      <c r="A908" s="280"/>
      <c r="C908" s="280"/>
    </row>
    <row r="909">
      <c r="A909" s="280"/>
      <c r="C909" s="280"/>
    </row>
    <row r="910">
      <c r="A910" s="280"/>
      <c r="C910" s="280"/>
    </row>
    <row r="911">
      <c r="A911" s="280"/>
      <c r="C911" s="280"/>
    </row>
    <row r="912">
      <c r="A912" s="280"/>
      <c r="C912" s="280"/>
    </row>
    <row r="913">
      <c r="A913" s="280"/>
      <c r="C913" s="280"/>
    </row>
    <row r="914">
      <c r="A914" s="280"/>
      <c r="C914" s="280"/>
    </row>
    <row r="915">
      <c r="A915" s="280"/>
      <c r="C915" s="280"/>
    </row>
    <row r="916">
      <c r="A916" s="280"/>
      <c r="C916" s="280"/>
    </row>
    <row r="917">
      <c r="A917" s="280"/>
      <c r="C917" s="280"/>
    </row>
    <row r="918">
      <c r="A918" s="280"/>
      <c r="C918" s="280"/>
    </row>
    <row r="919">
      <c r="A919" s="280"/>
      <c r="C919" s="280"/>
    </row>
    <row r="920">
      <c r="A920" s="280"/>
      <c r="C920" s="280"/>
    </row>
    <row r="921">
      <c r="A921" s="280"/>
      <c r="C921" s="280"/>
    </row>
    <row r="922">
      <c r="A922" s="280"/>
      <c r="C922" s="280"/>
    </row>
    <row r="923">
      <c r="A923" s="280"/>
      <c r="C923" s="280"/>
    </row>
    <row r="924">
      <c r="A924" s="280"/>
      <c r="C924" s="280"/>
    </row>
    <row r="925">
      <c r="A925" s="280"/>
      <c r="C925" s="280"/>
    </row>
    <row r="926">
      <c r="A926" s="280"/>
      <c r="C926" s="280"/>
    </row>
    <row r="927">
      <c r="A927" s="280"/>
      <c r="C927" s="280"/>
    </row>
    <row r="928">
      <c r="A928" s="280"/>
      <c r="C928" s="280"/>
    </row>
    <row r="929">
      <c r="A929" s="280"/>
      <c r="C929" s="280"/>
    </row>
    <row r="930">
      <c r="A930" s="280"/>
      <c r="C930" s="280"/>
    </row>
    <row r="931">
      <c r="A931" s="280"/>
      <c r="C931" s="280"/>
    </row>
    <row r="932">
      <c r="A932" s="280"/>
      <c r="C932" s="280"/>
    </row>
    <row r="933">
      <c r="A933" s="280"/>
      <c r="C933" s="280"/>
    </row>
    <row r="934">
      <c r="A934" s="280"/>
      <c r="C934" s="280"/>
    </row>
    <row r="935">
      <c r="A935" s="280"/>
      <c r="C935" s="280"/>
    </row>
    <row r="936">
      <c r="A936" s="280"/>
      <c r="C936" s="280"/>
    </row>
    <row r="937">
      <c r="A937" s="280"/>
      <c r="C937" s="280"/>
    </row>
    <row r="938">
      <c r="A938" s="280"/>
      <c r="C938" s="280"/>
    </row>
    <row r="939">
      <c r="A939" s="280"/>
      <c r="C939" s="280"/>
    </row>
    <row r="940">
      <c r="A940" s="280"/>
      <c r="C940" s="280"/>
    </row>
    <row r="941">
      <c r="A941" s="280"/>
      <c r="C941" s="280"/>
    </row>
    <row r="942">
      <c r="A942" s="280"/>
      <c r="C942" s="280"/>
    </row>
    <row r="943">
      <c r="A943" s="280"/>
      <c r="C943" s="280"/>
    </row>
    <row r="944">
      <c r="A944" s="280"/>
      <c r="C944" s="280"/>
    </row>
    <row r="945">
      <c r="A945" s="280"/>
      <c r="C945" s="280"/>
    </row>
    <row r="946">
      <c r="A946" s="280"/>
      <c r="C946" s="280"/>
    </row>
    <row r="947">
      <c r="A947" s="280"/>
      <c r="C947" s="280"/>
    </row>
    <row r="948">
      <c r="A948" s="280"/>
      <c r="C948" s="280"/>
    </row>
    <row r="949">
      <c r="A949" s="280"/>
      <c r="C949" s="280"/>
    </row>
    <row r="950">
      <c r="A950" s="280"/>
      <c r="C950" s="280"/>
    </row>
    <row r="951">
      <c r="A951" s="280"/>
      <c r="C951" s="280"/>
    </row>
    <row r="952">
      <c r="A952" s="280"/>
      <c r="C952" s="280"/>
    </row>
    <row r="953">
      <c r="A953" s="280"/>
      <c r="C953" s="280"/>
    </row>
    <row r="954">
      <c r="A954" s="280"/>
      <c r="C954" s="280"/>
    </row>
    <row r="955">
      <c r="A955" s="280"/>
      <c r="C955" s="280"/>
    </row>
    <row r="956">
      <c r="A956" s="280"/>
      <c r="C956" s="280"/>
    </row>
    <row r="957">
      <c r="A957" s="280"/>
      <c r="C957" s="280"/>
    </row>
    <row r="958">
      <c r="A958" s="280"/>
      <c r="C958" s="280"/>
    </row>
    <row r="959">
      <c r="A959" s="280"/>
      <c r="C959" s="280"/>
    </row>
    <row r="960">
      <c r="A960" s="280"/>
      <c r="C960" s="280"/>
    </row>
    <row r="961">
      <c r="A961" s="280"/>
      <c r="C961" s="280"/>
    </row>
    <row r="962">
      <c r="A962" s="280"/>
      <c r="C962" s="280"/>
    </row>
    <row r="963">
      <c r="A963" s="280"/>
      <c r="C963" s="280"/>
    </row>
    <row r="964">
      <c r="A964" s="280"/>
      <c r="C964" s="280"/>
    </row>
    <row r="965">
      <c r="A965" s="280"/>
      <c r="C965" s="280"/>
    </row>
    <row r="966">
      <c r="A966" s="280"/>
      <c r="C966" s="280"/>
    </row>
    <row r="967">
      <c r="A967" s="280"/>
      <c r="C967" s="280"/>
    </row>
    <row r="968">
      <c r="A968" s="280"/>
      <c r="C968" s="280"/>
    </row>
    <row r="969">
      <c r="A969" s="280"/>
      <c r="C969" s="280"/>
    </row>
    <row r="970">
      <c r="A970" s="280"/>
      <c r="C970" s="280"/>
    </row>
    <row r="971">
      <c r="A971" s="280"/>
      <c r="C971" s="280"/>
    </row>
    <row r="972">
      <c r="A972" s="280"/>
      <c r="C972" s="280"/>
    </row>
    <row r="973">
      <c r="A973" s="280"/>
      <c r="C973" s="280"/>
    </row>
    <row r="974">
      <c r="A974" s="280"/>
      <c r="C974" s="280"/>
    </row>
    <row r="975">
      <c r="A975" s="280"/>
      <c r="C975" s="280"/>
    </row>
    <row r="976">
      <c r="A976" s="280"/>
      <c r="C976" s="280"/>
    </row>
    <row r="977">
      <c r="A977" s="280"/>
      <c r="C977" s="280"/>
    </row>
    <row r="978">
      <c r="A978" s="280"/>
      <c r="C978" s="280"/>
    </row>
    <row r="979">
      <c r="A979" s="280"/>
      <c r="C979" s="280"/>
    </row>
    <row r="980">
      <c r="A980" s="280"/>
      <c r="C980" s="280"/>
    </row>
    <row r="981">
      <c r="A981" s="280"/>
      <c r="C981" s="280"/>
    </row>
    <row r="982">
      <c r="A982" s="280"/>
      <c r="C982" s="280"/>
    </row>
    <row r="983">
      <c r="A983" s="280"/>
      <c r="C983" s="280"/>
    </row>
    <row r="984">
      <c r="A984" s="280"/>
      <c r="C984" s="280"/>
    </row>
    <row r="985">
      <c r="A985" s="280"/>
      <c r="C985" s="280"/>
    </row>
    <row r="986">
      <c r="A986" s="280"/>
      <c r="C986" s="280"/>
    </row>
    <row r="987">
      <c r="A987" s="280"/>
      <c r="C987" s="280"/>
    </row>
    <row r="988">
      <c r="A988" s="280"/>
      <c r="C988" s="280"/>
    </row>
    <row r="989">
      <c r="A989" s="280"/>
      <c r="C989" s="280"/>
    </row>
    <row r="990">
      <c r="A990" s="280"/>
      <c r="C990" s="280"/>
    </row>
    <row r="991">
      <c r="A991" s="280"/>
      <c r="C991" s="280"/>
    </row>
    <row r="992">
      <c r="A992" s="280"/>
      <c r="C992" s="280"/>
    </row>
    <row r="993">
      <c r="A993" s="280"/>
      <c r="C993" s="280"/>
    </row>
    <row r="994">
      <c r="A994" s="280"/>
      <c r="C994" s="280"/>
    </row>
    <row r="995">
      <c r="A995" s="280"/>
      <c r="C995" s="280"/>
    </row>
    <row r="996">
      <c r="A996" s="280"/>
      <c r="C996" s="280"/>
    </row>
    <row r="997">
      <c r="A997" s="280"/>
      <c r="C997" s="280"/>
    </row>
    <row r="998">
      <c r="A998" s="280"/>
      <c r="C998" s="280"/>
    </row>
    <row r="999">
      <c r="A999" s="280"/>
      <c r="C999" s="280"/>
    </row>
    <row r="1000">
      <c r="A1000" s="280"/>
      <c r="C1000" s="280"/>
    </row>
  </sheetData>
  <autoFilter ref="$A$1:$D$1000">
    <sortState ref="A1:D1000">
      <sortCondition ref="A1:A1000"/>
    </sortState>
  </autoFil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" width="17.5"/>
    <col customWidth="1" min="3" max="3" width="17.13"/>
    <col customWidth="1" min="4" max="4" width="15.0"/>
    <col customWidth="1" min="5" max="26" width="17.5"/>
  </cols>
  <sheetData>
    <row r="1" ht="27.75" customHeight="1">
      <c r="A1" s="711">
        <v>79.0</v>
      </c>
      <c r="B1" s="288" t="s">
        <v>3784</v>
      </c>
      <c r="C1" s="288" t="s">
        <v>3785</v>
      </c>
      <c r="D1" s="712" t="s">
        <v>3786</v>
      </c>
      <c r="E1" s="288" t="s">
        <v>3660</v>
      </c>
      <c r="F1" s="287"/>
      <c r="G1" s="287"/>
      <c r="H1" s="287"/>
      <c r="I1" s="287"/>
      <c r="J1" s="287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</row>
    <row r="2">
      <c r="A2" s="288">
        <v>11.0</v>
      </c>
      <c r="B2" s="288">
        <v>35.0</v>
      </c>
      <c r="C2" s="288">
        <v>50.0</v>
      </c>
      <c r="D2" s="713">
        <v>0.0</v>
      </c>
      <c r="E2" s="288">
        <v>20.0</v>
      </c>
      <c r="F2" s="287"/>
      <c r="G2" s="287"/>
      <c r="H2" s="287"/>
      <c r="I2" s="287"/>
      <c r="J2" s="287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</row>
    <row r="3">
      <c r="A3" s="288">
        <v>12.0</v>
      </c>
      <c r="B3" s="288">
        <v>52.0</v>
      </c>
      <c r="C3" s="288">
        <v>40.0</v>
      </c>
      <c r="D3" s="713">
        <v>50.0</v>
      </c>
      <c r="E3" s="287"/>
      <c r="F3" s="287"/>
      <c r="G3" s="287"/>
      <c r="H3" s="287"/>
      <c r="I3" s="287"/>
      <c r="J3" s="287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</row>
    <row r="4">
      <c r="A4" s="288">
        <v>13.0</v>
      </c>
      <c r="B4" s="288">
        <v>28.0</v>
      </c>
      <c r="C4" s="288">
        <v>50.0</v>
      </c>
      <c r="D4" s="713">
        <v>20.0</v>
      </c>
      <c r="E4" s="287"/>
      <c r="F4" s="287"/>
      <c r="G4" s="287"/>
      <c r="H4" s="287"/>
      <c r="I4" s="287"/>
      <c r="J4" s="287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</row>
    <row r="5">
      <c r="A5" s="288">
        <v>14.0</v>
      </c>
      <c r="B5" s="288">
        <v>40.0</v>
      </c>
      <c r="C5" s="288">
        <v>50.0</v>
      </c>
      <c r="D5" s="288">
        <v>0.0</v>
      </c>
      <c r="E5" s="287"/>
      <c r="F5" s="287"/>
      <c r="G5" s="287"/>
      <c r="H5" s="287"/>
      <c r="I5" s="287"/>
      <c r="J5" s="287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</row>
    <row r="6">
      <c r="A6" s="288">
        <v>15.0</v>
      </c>
      <c r="B6" s="288">
        <v>40.0</v>
      </c>
      <c r="C6" s="288">
        <v>50.0</v>
      </c>
      <c r="D6" s="288">
        <v>0.0</v>
      </c>
      <c r="E6" s="287"/>
      <c r="F6" s="287"/>
      <c r="G6" s="287"/>
      <c r="H6" s="287"/>
      <c r="I6" s="287"/>
      <c r="J6" s="287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</row>
    <row r="7">
      <c r="A7" s="288">
        <v>16.0</v>
      </c>
      <c r="B7" s="288">
        <v>62.0</v>
      </c>
      <c r="C7" s="288">
        <v>50.0</v>
      </c>
      <c r="D7" s="713">
        <v>50.0</v>
      </c>
      <c r="E7" s="288">
        <v>5.0</v>
      </c>
      <c r="F7" s="287"/>
      <c r="G7" s="288"/>
      <c r="H7" s="287"/>
      <c r="I7" s="287"/>
      <c r="J7" s="287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</row>
    <row r="8">
      <c r="A8" s="288">
        <v>17.0</v>
      </c>
      <c r="B8" s="288">
        <v>15.0</v>
      </c>
      <c r="C8" s="288">
        <v>10.0</v>
      </c>
      <c r="D8" s="713">
        <v>20.0</v>
      </c>
      <c r="E8" s="288">
        <v>10.0</v>
      </c>
      <c r="F8" s="287"/>
      <c r="G8" s="287"/>
      <c r="H8" s="287"/>
      <c r="I8" s="287"/>
      <c r="J8" s="287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</row>
    <row r="9">
      <c r="A9" s="288">
        <v>18.0</v>
      </c>
      <c r="B9" s="288">
        <v>35.0</v>
      </c>
      <c r="C9" s="288">
        <v>20.0</v>
      </c>
      <c r="D9" s="288">
        <v>0.0</v>
      </c>
      <c r="E9" s="287"/>
      <c r="F9" s="287"/>
      <c r="G9" s="287"/>
      <c r="H9" s="287"/>
      <c r="I9" s="287"/>
      <c r="J9" s="287"/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</row>
    <row r="10">
      <c r="A10" s="287"/>
      <c r="B10" s="288"/>
      <c r="C10" s="287"/>
      <c r="D10" s="288"/>
      <c r="E10" s="287"/>
      <c r="F10" s="287"/>
      <c r="G10" s="287"/>
      <c r="H10" s="287"/>
      <c r="I10" s="287"/>
      <c r="J10" s="287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</row>
    <row r="11">
      <c r="A11" s="288">
        <v>21.0</v>
      </c>
      <c r="B11" s="288">
        <v>45.0</v>
      </c>
      <c r="C11" s="288">
        <v>40.0</v>
      </c>
      <c r="D11" s="713">
        <v>80.0</v>
      </c>
      <c r="E11" s="288">
        <v>15.0</v>
      </c>
      <c r="F11" s="287"/>
      <c r="G11" s="287"/>
      <c r="H11" s="287"/>
      <c r="I11" s="287"/>
      <c r="J11" s="287"/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</row>
    <row r="12">
      <c r="A12" s="288">
        <v>22.0</v>
      </c>
      <c r="B12" s="288">
        <v>10.0</v>
      </c>
      <c r="C12" s="288">
        <v>20.0</v>
      </c>
      <c r="D12" s="713">
        <v>20.0</v>
      </c>
      <c r="E12" s="287"/>
      <c r="F12" s="287"/>
      <c r="G12" s="287"/>
      <c r="H12" s="287"/>
      <c r="I12" s="287"/>
      <c r="J12" s="287"/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</row>
    <row r="13">
      <c r="A13" s="288">
        <v>23.0</v>
      </c>
      <c r="B13" s="288">
        <v>20.0</v>
      </c>
      <c r="C13" s="288">
        <v>20.0</v>
      </c>
      <c r="D13" s="713">
        <v>20.0</v>
      </c>
      <c r="E13" s="287"/>
      <c r="F13" s="287"/>
      <c r="G13" s="287"/>
      <c r="H13" s="287"/>
      <c r="I13" s="287"/>
      <c r="J13" s="287"/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</row>
    <row r="14">
      <c r="A14" s="288">
        <v>24.0</v>
      </c>
      <c r="B14" s="288">
        <v>35.0</v>
      </c>
      <c r="C14" s="288">
        <v>20.0</v>
      </c>
      <c r="D14" s="713">
        <v>20.0</v>
      </c>
      <c r="E14" s="288">
        <v>5.0</v>
      </c>
      <c r="F14" s="287"/>
      <c r="G14" s="287"/>
      <c r="H14" s="287"/>
      <c r="I14" s="287"/>
      <c r="J14" s="287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</row>
    <row r="15">
      <c r="A15" s="288">
        <v>25.0</v>
      </c>
      <c r="B15" s="288">
        <v>39.0</v>
      </c>
      <c r="C15" s="288">
        <v>20.0</v>
      </c>
      <c r="D15" s="288">
        <v>0.0</v>
      </c>
      <c r="E15" s="287"/>
      <c r="F15" s="287"/>
      <c r="G15" s="287"/>
      <c r="H15" s="287"/>
      <c r="I15" s="287"/>
      <c r="J15" s="287"/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</row>
    <row r="16">
      <c r="A16" s="288">
        <v>26.0</v>
      </c>
      <c r="B16" s="288">
        <v>55.0</v>
      </c>
      <c r="C16" s="288">
        <v>40.0</v>
      </c>
      <c r="D16" s="713">
        <v>50.0</v>
      </c>
      <c r="E16" s="288">
        <v>15.0</v>
      </c>
      <c r="F16" s="287"/>
      <c r="G16" s="287"/>
      <c r="H16" s="287"/>
      <c r="I16" s="287"/>
      <c r="J16" s="287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</row>
    <row r="17">
      <c r="A17" s="288">
        <v>27.0</v>
      </c>
      <c r="B17" s="288">
        <v>24.0</v>
      </c>
      <c r="C17" s="288">
        <v>20.0</v>
      </c>
      <c r="D17" s="713">
        <v>20.0</v>
      </c>
      <c r="E17" s="288">
        <v>5.0</v>
      </c>
      <c r="F17" s="287"/>
      <c r="G17" s="287"/>
      <c r="H17" s="287"/>
      <c r="I17" s="287"/>
      <c r="J17" s="287"/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</row>
    <row r="18">
      <c r="A18" s="288">
        <v>28.0</v>
      </c>
      <c r="B18" s="288">
        <v>25.0</v>
      </c>
      <c r="C18" s="288">
        <v>10.0</v>
      </c>
      <c r="D18" s="288">
        <v>0.0</v>
      </c>
      <c r="E18" s="287"/>
      <c r="F18" s="287"/>
      <c r="G18" s="287"/>
      <c r="H18" s="287"/>
      <c r="I18" s="287"/>
      <c r="J18" s="287"/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</row>
    <row r="19">
      <c r="A19" s="287"/>
      <c r="B19" s="288"/>
      <c r="C19" s="287"/>
      <c r="D19" s="287"/>
      <c r="E19" s="287"/>
      <c r="F19" s="287"/>
      <c r="G19" s="287"/>
      <c r="H19" s="287"/>
      <c r="I19" s="287"/>
      <c r="J19" s="287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</row>
    <row r="20">
      <c r="A20" s="288">
        <v>31.0</v>
      </c>
      <c r="B20" s="288">
        <v>66.0</v>
      </c>
      <c r="C20" s="288">
        <v>0.0</v>
      </c>
      <c r="D20" s="713">
        <v>20.0</v>
      </c>
      <c r="E20" s="287"/>
      <c r="F20" s="287"/>
      <c r="G20" s="287"/>
      <c r="H20" s="287"/>
      <c r="I20" s="287"/>
      <c r="J20" s="287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</row>
    <row r="21">
      <c r="A21" s="288">
        <v>32.0</v>
      </c>
      <c r="B21" s="288">
        <v>79.0</v>
      </c>
      <c r="C21" s="288">
        <v>0.0</v>
      </c>
      <c r="D21" s="713">
        <v>20.0</v>
      </c>
      <c r="E21" s="287"/>
      <c r="F21" s="287"/>
      <c r="G21" s="287"/>
      <c r="H21" s="287"/>
      <c r="I21" s="287"/>
      <c r="J21" s="287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</row>
    <row r="22">
      <c r="A22" s="288">
        <v>33.0</v>
      </c>
      <c r="B22" s="288">
        <v>46.0</v>
      </c>
      <c r="C22" s="288">
        <v>10.0</v>
      </c>
      <c r="D22" s="288">
        <v>0.0</v>
      </c>
      <c r="E22" s="287"/>
      <c r="F22" s="287"/>
      <c r="G22" s="287"/>
      <c r="H22" s="287"/>
      <c r="I22" s="287"/>
      <c r="J22" s="287"/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</row>
    <row r="23">
      <c r="A23" s="288">
        <v>34.0</v>
      </c>
      <c r="B23" s="288">
        <v>52.0</v>
      </c>
      <c r="C23" s="288">
        <v>10.0</v>
      </c>
      <c r="D23" s="713">
        <v>20.0</v>
      </c>
      <c r="E23" s="287"/>
      <c r="F23" s="287"/>
      <c r="G23" s="287"/>
      <c r="H23" s="287"/>
      <c r="I23" s="287"/>
      <c r="J23" s="287"/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</row>
    <row r="24">
      <c r="A24" s="288">
        <v>35.0</v>
      </c>
      <c r="B24" s="288">
        <v>31.0</v>
      </c>
      <c r="C24" s="288">
        <v>10.0</v>
      </c>
      <c r="D24" s="288">
        <v>0.0</v>
      </c>
      <c r="E24" s="287"/>
      <c r="F24" s="287"/>
      <c r="G24" s="287"/>
      <c r="H24" s="287"/>
      <c r="I24" s="287"/>
      <c r="J24" s="287"/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</row>
    <row r="25">
      <c r="A25" s="288">
        <v>36.0</v>
      </c>
      <c r="B25" s="288">
        <v>75.0</v>
      </c>
      <c r="C25" s="288">
        <v>10.0</v>
      </c>
      <c r="D25" s="713">
        <v>80.0</v>
      </c>
      <c r="E25" s="287"/>
      <c r="F25" s="287"/>
      <c r="G25" s="287"/>
      <c r="H25" s="287"/>
      <c r="I25" s="287"/>
      <c r="J25" s="287"/>
      <c r="K25" s="280"/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</row>
    <row r="26">
      <c r="A26" s="288">
        <v>37.0</v>
      </c>
      <c r="B26" s="288">
        <v>20.0</v>
      </c>
      <c r="C26" s="288">
        <v>20.0</v>
      </c>
      <c r="D26" s="713">
        <v>20.0</v>
      </c>
      <c r="E26" s="288">
        <v>10.0</v>
      </c>
      <c r="F26" s="287"/>
      <c r="G26" s="287"/>
      <c r="H26" s="287"/>
      <c r="I26" s="287"/>
      <c r="J26" s="287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</row>
    <row r="27">
      <c r="A27" s="288">
        <v>38.0</v>
      </c>
      <c r="B27" s="288">
        <v>12.0</v>
      </c>
      <c r="C27" s="288">
        <v>10.0</v>
      </c>
      <c r="D27" s="713">
        <v>20.0</v>
      </c>
      <c r="E27" s="287"/>
      <c r="F27" s="287"/>
      <c r="G27" s="287"/>
      <c r="H27" s="287"/>
      <c r="I27" s="287"/>
      <c r="J27" s="287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</row>
    <row r="28">
      <c r="A28" s="287"/>
      <c r="B28" s="288"/>
      <c r="C28" s="287"/>
      <c r="D28" s="287"/>
      <c r="E28" s="287"/>
      <c r="F28" s="287"/>
      <c r="G28" s="287"/>
      <c r="H28" s="287"/>
      <c r="I28" s="287"/>
      <c r="J28" s="287"/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</row>
    <row r="29">
      <c r="A29" s="288">
        <v>41.0</v>
      </c>
      <c r="B29" s="288">
        <v>63.0</v>
      </c>
      <c r="C29" s="288">
        <v>0.0</v>
      </c>
      <c r="D29" s="713">
        <v>20.0</v>
      </c>
      <c r="E29" s="288">
        <v>10.0</v>
      </c>
      <c r="F29" s="287"/>
      <c r="G29" s="287"/>
      <c r="H29" s="287"/>
      <c r="I29" s="287"/>
      <c r="J29" s="287"/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</row>
    <row r="30">
      <c r="A30" s="288">
        <v>42.0</v>
      </c>
      <c r="B30" s="288">
        <v>52.0</v>
      </c>
      <c r="C30" s="288">
        <v>10.0</v>
      </c>
      <c r="D30" s="288">
        <v>0.0</v>
      </c>
      <c r="E30" s="287"/>
      <c r="F30" s="287"/>
      <c r="G30" s="287"/>
      <c r="H30" s="287"/>
      <c r="I30" s="287"/>
      <c r="J30" s="287"/>
      <c r="K30" s="280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</row>
    <row r="31">
      <c r="A31" s="288">
        <v>43.0</v>
      </c>
      <c r="B31" s="288">
        <v>45.0</v>
      </c>
      <c r="C31" s="288">
        <v>10.0</v>
      </c>
      <c r="D31" s="288">
        <v>0.0</v>
      </c>
      <c r="E31" s="287"/>
      <c r="F31" s="287"/>
      <c r="G31" s="287"/>
      <c r="H31" s="287"/>
      <c r="I31" s="287"/>
      <c r="J31" s="287"/>
      <c r="K31" s="280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</row>
    <row r="32">
      <c r="A32" s="288">
        <v>44.0</v>
      </c>
      <c r="B32" s="288">
        <v>47.0</v>
      </c>
      <c r="C32" s="288">
        <v>10.0</v>
      </c>
      <c r="D32" s="713">
        <v>20.0</v>
      </c>
      <c r="E32" s="287"/>
      <c r="F32" s="287"/>
      <c r="G32" s="287"/>
      <c r="H32" s="287"/>
      <c r="I32" s="287"/>
      <c r="J32" s="287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</row>
    <row r="33">
      <c r="A33" s="288">
        <v>45.0</v>
      </c>
      <c r="B33" s="288">
        <v>35.0</v>
      </c>
      <c r="C33" s="288">
        <v>10.0</v>
      </c>
      <c r="D33" s="713">
        <v>20.0</v>
      </c>
      <c r="E33" s="287"/>
      <c r="F33" s="287"/>
      <c r="G33" s="287"/>
      <c r="H33" s="287"/>
      <c r="I33" s="287"/>
      <c r="J33" s="287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</row>
    <row r="34">
      <c r="A34" s="288">
        <v>46.0</v>
      </c>
      <c r="B34" s="288">
        <v>52.0</v>
      </c>
      <c r="C34" s="288">
        <v>20.0</v>
      </c>
      <c r="D34" s="713">
        <v>50.0</v>
      </c>
      <c r="E34" s="287"/>
      <c r="F34" s="287"/>
      <c r="G34" s="287"/>
      <c r="H34" s="287"/>
      <c r="I34" s="287"/>
      <c r="J34" s="287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</row>
    <row r="35">
      <c r="A35" s="288">
        <v>47.0</v>
      </c>
      <c r="B35" s="288">
        <v>10.0</v>
      </c>
      <c r="C35" s="288">
        <v>20.0</v>
      </c>
      <c r="D35" s="288">
        <v>0.0</v>
      </c>
      <c r="E35" s="287"/>
      <c r="F35" s="287"/>
      <c r="G35" s="287"/>
      <c r="H35" s="287"/>
      <c r="I35" s="287"/>
      <c r="J35" s="287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</row>
    <row r="36">
      <c r="A36" s="288">
        <v>48.0</v>
      </c>
      <c r="B36" s="288">
        <v>30.0</v>
      </c>
      <c r="C36" s="288">
        <v>20.0</v>
      </c>
      <c r="D36" s="288">
        <v>0.0</v>
      </c>
      <c r="E36" s="287"/>
      <c r="F36" s="287"/>
      <c r="G36" s="287"/>
      <c r="H36" s="287"/>
      <c r="I36" s="287"/>
      <c r="J36" s="287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</row>
    <row r="37">
      <c r="A37" s="287"/>
      <c r="B37" s="287"/>
      <c r="C37" s="287"/>
      <c r="D37" s="287"/>
      <c r="E37" s="287"/>
      <c r="F37" s="287"/>
      <c r="G37" s="287"/>
      <c r="H37" s="287"/>
      <c r="I37" s="287"/>
      <c r="J37" s="287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</row>
    <row r="38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</row>
    <row r="39">
      <c r="A39" s="280"/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</row>
    <row r="40">
      <c r="A40" s="280"/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</row>
    <row r="41">
      <c r="A41" s="280"/>
      <c r="B41" s="280"/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</row>
    <row r="42">
      <c r="A42" s="280"/>
      <c r="B42" s="280"/>
      <c r="C42" s="280"/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Y42" s="280"/>
      <c r="Z42" s="280"/>
    </row>
    <row r="43">
      <c r="A43" s="280"/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0"/>
    </row>
    <row r="44">
      <c r="A44" s="280"/>
      <c r="B44" s="280"/>
      <c r="C44" s="280"/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</row>
    <row r="45">
      <c r="A45" s="280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</row>
    <row r="46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</row>
    <row r="47">
      <c r="A47" s="280"/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</row>
    <row r="48">
      <c r="A48" s="280"/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</row>
    <row r="49">
      <c r="A49" s="280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</row>
    <row r="50">
      <c r="A50" s="280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</row>
    <row r="51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</row>
    <row r="52">
      <c r="A52" s="280"/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</row>
    <row r="53">
      <c r="A53" s="280"/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</row>
    <row r="54">
      <c r="A54" s="280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</row>
    <row r="55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</row>
    <row r="56">
      <c r="A56" s="280"/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</row>
    <row r="57">
      <c r="A57" s="280"/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</row>
    <row r="58">
      <c r="A58" s="280"/>
      <c r="B58" s="280"/>
      <c r="C58" s="280"/>
      <c r="D58" s="280"/>
      <c r="E58" s="280"/>
      <c r="F58" s="280"/>
      <c r="G58" s="280"/>
      <c r="H58" s="280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</row>
    <row r="59">
      <c r="A59" s="280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</row>
    <row r="60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Y60" s="280"/>
      <c r="Z60" s="280"/>
    </row>
    <row r="61">
      <c r="A61" s="280"/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</row>
    <row r="62">
      <c r="A62" s="280"/>
      <c r="B62" s="280"/>
      <c r="C62" s="280"/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</row>
    <row r="63">
      <c r="A63" s="280"/>
      <c r="B63" s="280"/>
      <c r="C63" s="280"/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</row>
    <row r="64">
      <c r="A64" s="280"/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</row>
    <row r="65">
      <c r="A65" s="280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  <c r="Z65" s="280"/>
    </row>
    <row r="66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</row>
    <row r="67">
      <c r="A67" s="280"/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</row>
    <row r="68">
      <c r="A68" s="280"/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</row>
    <row r="69">
      <c r="A69" s="280"/>
      <c r="B69" s="280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</row>
    <row r="70">
      <c r="A70" s="280"/>
      <c r="B70" s="280"/>
      <c r="C70" s="280"/>
      <c r="D70" s="280"/>
      <c r="E70" s="280"/>
      <c r="F70" s="280"/>
      <c r="G70" s="280"/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</row>
    <row r="71">
      <c r="A71" s="280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</row>
    <row r="7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</row>
    <row r="73">
      <c r="A73" s="280"/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</row>
    <row r="74">
      <c r="A74" s="280"/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</row>
    <row r="75">
      <c r="A75" s="280"/>
      <c r="B75" s="280"/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</row>
    <row r="76">
      <c r="A76" s="280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</row>
    <row r="77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  <c r="Z77" s="280"/>
    </row>
    <row r="78">
      <c r="A78" s="280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</row>
    <row r="79">
      <c r="A79" s="280"/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</row>
    <row r="80">
      <c r="A80" s="280"/>
      <c r="B80" s="280"/>
      <c r="C80" s="280"/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</row>
    <row r="81">
      <c r="A81" s="280"/>
      <c r="B81" s="280"/>
      <c r="C81" s="280"/>
      <c r="D81" s="280"/>
      <c r="E81" s="280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</row>
    <row r="82">
      <c r="A82" s="280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</row>
    <row r="83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</row>
    <row r="84">
      <c r="A84" s="280"/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</row>
    <row r="85">
      <c r="A85" s="280"/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</row>
    <row r="86">
      <c r="A86" s="280"/>
      <c r="B86" s="280"/>
      <c r="C86" s="280"/>
      <c r="D86" s="280"/>
      <c r="E86" s="280"/>
      <c r="F86" s="280"/>
      <c r="G86" s="280"/>
      <c r="H86" s="280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</row>
    <row r="87">
      <c r="A87" s="280"/>
      <c r="B87" s="280"/>
      <c r="C87" s="280"/>
      <c r="D87" s="280"/>
      <c r="E87" s="280"/>
      <c r="F87" s="280"/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  <c r="Z87" s="280"/>
    </row>
    <row r="88">
      <c r="A88" s="280"/>
      <c r="B88" s="280"/>
      <c r="C88" s="280"/>
      <c r="D88" s="280"/>
      <c r="E88" s="280"/>
      <c r="F88" s="280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</row>
    <row r="89">
      <c r="A89" s="280"/>
      <c r="B89" s="280"/>
      <c r="C89" s="280"/>
      <c r="D89" s="280"/>
      <c r="E89" s="280"/>
      <c r="F89" s="280"/>
      <c r="G89" s="280"/>
      <c r="H89" s="280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0"/>
    </row>
    <row r="90">
      <c r="A90" s="280"/>
      <c r="B90" s="280"/>
      <c r="C90" s="280"/>
      <c r="D90" s="280"/>
      <c r="E90" s="280"/>
      <c r="F90" s="280"/>
      <c r="G90" s="280"/>
      <c r="H90" s="280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0"/>
    </row>
    <row r="91">
      <c r="A91" s="280"/>
      <c r="B91" s="280"/>
      <c r="C91" s="280"/>
      <c r="D91" s="280"/>
      <c r="E91" s="280"/>
      <c r="F91" s="280"/>
      <c r="G91" s="280"/>
      <c r="H91" s="280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</row>
    <row r="92">
      <c r="A92" s="280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  <c r="Z92" s="280"/>
    </row>
    <row r="93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  <c r="Z93" s="280"/>
    </row>
    <row r="94">
      <c r="A94" s="280"/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</row>
    <row r="95">
      <c r="A95" s="280"/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</row>
    <row r="96">
      <c r="A96" s="280"/>
      <c r="B96" s="280"/>
      <c r="C96" s="280"/>
      <c r="D96" s="280"/>
      <c r="E96" s="280"/>
      <c r="F96" s="280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</row>
    <row r="97">
      <c r="A97" s="280"/>
      <c r="B97" s="280"/>
      <c r="C97" s="280"/>
      <c r="D97" s="280"/>
      <c r="E97" s="280"/>
      <c r="F97" s="280"/>
      <c r="G97" s="280"/>
      <c r="H97" s="280"/>
      <c r="I97" s="280"/>
      <c r="J97" s="280"/>
      <c r="K97" s="280"/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  <c r="X97" s="280"/>
      <c r="Y97" s="280"/>
      <c r="Z97" s="280"/>
    </row>
    <row r="98">
      <c r="A98" s="280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</row>
    <row r="99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  <c r="X99" s="280"/>
      <c r="Y99" s="280"/>
      <c r="Z99" s="280"/>
    </row>
    <row r="100">
      <c r="A100" s="280"/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</row>
    <row r="101">
      <c r="A101" s="280"/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</row>
    <row r="102">
      <c r="A102" s="280"/>
      <c r="B102" s="280"/>
      <c r="C102" s="280"/>
      <c r="D102" s="280"/>
      <c r="E102" s="280"/>
      <c r="F102" s="280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</row>
    <row r="103">
      <c r="A103" s="280"/>
      <c r="B103" s="280"/>
      <c r="C103" s="280"/>
      <c r="D103" s="280"/>
      <c r="E103" s="280"/>
      <c r="F103" s="280"/>
      <c r="G103" s="280"/>
      <c r="H103" s="280"/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  <c r="X103" s="280"/>
      <c r="Y103" s="280"/>
      <c r="Z103" s="280"/>
    </row>
    <row r="104">
      <c r="A104" s="280"/>
      <c r="B104" s="280"/>
      <c r="C104" s="280"/>
      <c r="D104" s="280"/>
      <c r="E104" s="280"/>
      <c r="F104" s="280"/>
      <c r="G104" s="280"/>
      <c r="H104" s="280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</row>
    <row r="105">
      <c r="A105" s="280"/>
      <c r="B105" s="280"/>
      <c r="C105" s="280"/>
      <c r="D105" s="280"/>
      <c r="E105" s="280"/>
      <c r="F105" s="280"/>
      <c r="G105" s="280"/>
      <c r="H105" s="280"/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</row>
    <row r="106">
      <c r="A106" s="280"/>
      <c r="B106" s="280"/>
      <c r="C106" s="280"/>
      <c r="D106" s="280"/>
      <c r="E106" s="280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</row>
    <row r="107">
      <c r="A107" s="280"/>
      <c r="B107" s="280"/>
      <c r="C107" s="280"/>
      <c r="D107" s="280"/>
      <c r="E107" s="280"/>
      <c r="F107" s="280"/>
      <c r="G107" s="280"/>
      <c r="H107" s="280"/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  <c r="Z107" s="280"/>
    </row>
    <row r="108">
      <c r="A108" s="280"/>
      <c r="B108" s="280"/>
      <c r="C108" s="280"/>
      <c r="D108" s="280"/>
      <c r="E108" s="280"/>
      <c r="F108" s="280"/>
      <c r="G108" s="280"/>
      <c r="H108" s="280"/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  <c r="X108" s="280"/>
      <c r="Y108" s="280"/>
      <c r="Z108" s="280"/>
    </row>
    <row r="109">
      <c r="A109" s="280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  <c r="X109" s="280"/>
      <c r="Y109" s="280"/>
      <c r="Z109" s="280"/>
    </row>
    <row r="110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  <c r="X110" s="280"/>
      <c r="Y110" s="280"/>
      <c r="Z110" s="280"/>
    </row>
    <row r="111">
      <c r="A111" s="280"/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</row>
    <row r="112">
      <c r="A112" s="280"/>
      <c r="B112" s="280"/>
      <c r="C112" s="280"/>
      <c r="D112" s="280"/>
      <c r="E112" s="280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</row>
    <row r="113">
      <c r="A113" s="280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</row>
    <row r="114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  <c r="X114" s="280"/>
      <c r="Y114" s="280"/>
      <c r="Z114" s="280"/>
    </row>
    <row r="115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</row>
    <row r="116">
      <c r="A116" s="280"/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</row>
    <row r="117">
      <c r="A117" s="280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  <c r="Z117" s="280"/>
    </row>
    <row r="118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</row>
    <row r="119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</row>
    <row r="120">
      <c r="A120" s="280"/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</row>
    <row r="121">
      <c r="A121" s="280"/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</row>
    <row r="122">
      <c r="A122" s="280"/>
      <c r="B122" s="280"/>
      <c r="C122" s="280"/>
      <c r="D122" s="280"/>
      <c r="E122" s="280"/>
      <c r="F122" s="280"/>
      <c r="G122" s="280"/>
      <c r="H122" s="280"/>
      <c r="I122" s="280"/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  <c r="X122" s="280"/>
      <c r="Y122" s="280"/>
      <c r="Z122" s="280"/>
    </row>
    <row r="123">
      <c r="A123" s="280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</row>
    <row r="124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</row>
    <row r="125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</row>
    <row r="126">
      <c r="A126" s="280"/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</row>
    <row r="127">
      <c r="A127" s="280"/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</row>
    <row r="128">
      <c r="A128" s="280"/>
      <c r="B128" s="280"/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</row>
    <row r="129">
      <c r="A129" s="280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  <c r="Z129" s="280"/>
    </row>
    <row r="130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</row>
    <row r="131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</row>
    <row r="132">
      <c r="A132" s="280"/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</row>
    <row r="133">
      <c r="A133" s="280"/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</row>
    <row r="134">
      <c r="A134" s="280"/>
      <c r="B134" s="280"/>
      <c r="C134" s="280"/>
      <c r="D134" s="280"/>
      <c r="E134" s="280"/>
      <c r="F134" s="280"/>
      <c r="G134" s="280"/>
      <c r="H134" s="280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  <c r="X134" s="280"/>
      <c r="Y134" s="280"/>
      <c r="Z134" s="280"/>
    </row>
    <row r="135">
      <c r="A135" s="280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  <c r="X135" s="280"/>
      <c r="Y135" s="280"/>
      <c r="Z135" s="280"/>
    </row>
    <row r="136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  <c r="X136" s="280"/>
      <c r="Y136" s="280"/>
      <c r="Z136" s="280"/>
    </row>
    <row r="137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</row>
    <row r="138">
      <c r="A138" s="280"/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</row>
    <row r="139">
      <c r="A139" s="280"/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</row>
    <row r="140">
      <c r="A140" s="280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  <c r="X140" s="280"/>
      <c r="Y140" s="280"/>
      <c r="Z140" s="280"/>
    </row>
    <row r="141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  <c r="X141" s="280"/>
      <c r="Y141" s="280"/>
      <c r="Z141" s="280"/>
    </row>
    <row r="142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</row>
    <row r="143">
      <c r="A143" s="280"/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</row>
    <row r="144">
      <c r="A144" s="280"/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</row>
    <row r="145">
      <c r="A145" s="280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  <c r="X145" s="280"/>
      <c r="Y145" s="280"/>
      <c r="Z145" s="280"/>
    </row>
    <row r="146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  <c r="X146" s="280"/>
      <c r="Y146" s="280"/>
      <c r="Z146" s="280"/>
    </row>
    <row r="147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</row>
    <row r="148">
      <c r="A148" s="280"/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</row>
    <row r="149">
      <c r="A149" s="280"/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</row>
    <row r="150">
      <c r="A150" s="280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  <c r="X150" s="280"/>
      <c r="Y150" s="280"/>
      <c r="Z150" s="280"/>
    </row>
    <row r="151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  <c r="X151" s="280"/>
      <c r="Y151" s="280"/>
      <c r="Z151" s="280"/>
    </row>
    <row r="152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</row>
    <row r="153">
      <c r="A153" s="280"/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</row>
    <row r="154">
      <c r="A154" s="280"/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</row>
    <row r="155">
      <c r="A155" s="280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</row>
    <row r="156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</row>
    <row r="157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</row>
    <row r="158">
      <c r="A158" s="280"/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</row>
    <row r="159">
      <c r="A159" s="280"/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</row>
    <row r="160">
      <c r="A160" s="280"/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</row>
    <row r="161">
      <c r="A161" s="280"/>
      <c r="B161" s="280"/>
      <c r="C161" s="280"/>
      <c r="D161" s="280"/>
      <c r="E161" s="280"/>
      <c r="F161" s="280"/>
      <c r="G161" s="280"/>
      <c r="H161" s="280"/>
      <c r="I161" s="280"/>
      <c r="J161" s="280"/>
      <c r="K161" s="280"/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  <c r="X161" s="280"/>
      <c r="Y161" s="280"/>
      <c r="Z161" s="280"/>
    </row>
    <row r="162">
      <c r="A162" s="280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  <c r="X162" s="280"/>
      <c r="Y162" s="280"/>
      <c r="Z162" s="280"/>
    </row>
    <row r="163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  <c r="Z163" s="280"/>
    </row>
    <row r="164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  <c r="X164" s="280"/>
      <c r="Y164" s="280"/>
      <c r="Z164" s="280"/>
    </row>
    <row r="165">
      <c r="A165" s="280"/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</row>
    <row r="166">
      <c r="A166" s="280"/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</row>
    <row r="167">
      <c r="A167" s="280"/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</row>
    <row r="168">
      <c r="A168" s="280"/>
      <c r="B168" s="280"/>
      <c r="C168" s="280"/>
      <c r="D168" s="280"/>
      <c r="E168" s="280"/>
      <c r="F168" s="280"/>
      <c r="G168" s="280"/>
      <c r="H168" s="280"/>
      <c r="I168" s="280"/>
      <c r="J168" s="280"/>
      <c r="K168" s="280"/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  <c r="X168" s="280"/>
      <c r="Y168" s="280"/>
      <c r="Z168" s="280"/>
    </row>
    <row r="169">
      <c r="A169" s="280"/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</row>
    <row r="170">
      <c r="A170" s="280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</row>
    <row r="171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  <c r="Z171" s="280"/>
    </row>
    <row r="172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</row>
    <row r="173">
      <c r="A173" s="280"/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</row>
    <row r="174">
      <c r="A174" s="280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  <c r="Z174" s="280"/>
    </row>
    <row r="175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  <c r="X175" s="280"/>
      <c r="Y175" s="280"/>
      <c r="Z175" s="280"/>
    </row>
    <row r="176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</row>
    <row r="177">
      <c r="A177" s="280"/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</row>
    <row r="178">
      <c r="A178" s="280"/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</row>
    <row r="179">
      <c r="A179" s="280"/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</row>
    <row r="180">
      <c r="A180" s="280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  <c r="Z180" s="280"/>
    </row>
    <row r="181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  <c r="X181" s="280"/>
      <c r="Y181" s="280"/>
      <c r="Z181" s="280"/>
    </row>
    <row r="182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</row>
    <row r="183">
      <c r="A183" s="280"/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</row>
    <row r="184">
      <c r="A184" s="280"/>
      <c r="B184" s="280"/>
      <c r="C184" s="280"/>
      <c r="D184" s="280"/>
      <c r="E184" s="280"/>
      <c r="F184" s="280"/>
      <c r="G184" s="280"/>
      <c r="H184" s="280"/>
      <c r="I184" s="280"/>
      <c r="J184" s="280"/>
      <c r="K184" s="280"/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  <c r="X184" s="280"/>
      <c r="Y184" s="280"/>
      <c r="Z184" s="280"/>
    </row>
    <row r="185">
      <c r="A185" s="280"/>
      <c r="B185" s="280"/>
      <c r="C185" s="280"/>
      <c r="D185" s="280"/>
      <c r="E185" s="280"/>
      <c r="F185" s="280"/>
      <c r="G185" s="280"/>
      <c r="H185" s="280"/>
      <c r="I185" s="280"/>
      <c r="J185" s="280"/>
      <c r="K185" s="280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  <c r="X185" s="280"/>
      <c r="Y185" s="280"/>
      <c r="Z185" s="280"/>
    </row>
    <row r="186">
      <c r="A186" s="280"/>
      <c r="B186" s="280"/>
      <c r="C186" s="280"/>
      <c r="D186" s="280"/>
      <c r="E186" s="280"/>
      <c r="F186" s="280"/>
      <c r="G186" s="280"/>
      <c r="H186" s="280"/>
      <c r="I186" s="280"/>
      <c r="J186" s="280"/>
      <c r="K186" s="280"/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  <c r="X186" s="280"/>
      <c r="Y186" s="280"/>
      <c r="Z186" s="280"/>
    </row>
    <row r="187">
      <c r="A187" s="280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0"/>
      <c r="Y187" s="280"/>
      <c r="Z187" s="280"/>
    </row>
    <row r="188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</row>
    <row r="189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</row>
    <row r="190">
      <c r="A190" s="280"/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</row>
    <row r="191">
      <c r="A191" s="280"/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</row>
    <row r="192">
      <c r="A192" s="280"/>
      <c r="B192" s="280"/>
      <c r="C192" s="280"/>
      <c r="D192" s="280"/>
      <c r="E192" s="280"/>
      <c r="F192" s="280"/>
      <c r="G192" s="280"/>
      <c r="H192" s="280"/>
      <c r="I192" s="280"/>
      <c r="J192" s="280"/>
      <c r="K192" s="280"/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  <c r="X192" s="280"/>
      <c r="Y192" s="280"/>
      <c r="Z192" s="280"/>
    </row>
    <row r="193">
      <c r="A193" s="280"/>
      <c r="B193" s="280"/>
      <c r="C193" s="280"/>
      <c r="D193" s="280"/>
      <c r="E193" s="280"/>
      <c r="F193" s="280"/>
      <c r="G193" s="280"/>
      <c r="H193" s="280"/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  <c r="Z193" s="280"/>
    </row>
    <row r="194">
      <c r="A194" s="280"/>
      <c r="B194" s="280"/>
      <c r="C194" s="280"/>
      <c r="D194" s="280"/>
      <c r="E194" s="280"/>
      <c r="F194" s="280"/>
      <c r="G194" s="280"/>
      <c r="H194" s="280"/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  <c r="X194" s="280"/>
      <c r="Y194" s="280"/>
      <c r="Z194" s="280"/>
    </row>
    <row r="195">
      <c r="A195" s="280"/>
      <c r="B195" s="280"/>
      <c r="C195" s="280"/>
      <c r="D195" s="280"/>
      <c r="E195" s="280"/>
      <c r="F195" s="280"/>
      <c r="G195" s="280"/>
      <c r="H195" s="280"/>
      <c r="I195" s="280"/>
      <c r="J195" s="280"/>
      <c r="K195" s="280"/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  <c r="X195" s="280"/>
      <c r="Y195" s="280"/>
      <c r="Z195" s="280"/>
    </row>
    <row r="196">
      <c r="A196" s="280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  <c r="Z196" s="280"/>
    </row>
    <row r="197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</row>
    <row r="198">
      <c r="A198" s="280"/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</row>
    <row r="199">
      <c r="A199" s="280"/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</row>
    <row r="200">
      <c r="A200" s="280"/>
      <c r="B200" s="280"/>
      <c r="C200" s="280"/>
      <c r="D200" s="28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</row>
    <row r="201">
      <c r="A201" s="280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</row>
    <row r="20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</row>
    <row r="203">
      <c r="A203" s="280"/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</row>
    <row r="204">
      <c r="A204" s="280"/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</row>
    <row r="205">
      <c r="A205" s="280"/>
      <c r="B205" s="280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</row>
    <row r="206">
      <c r="A206" s="280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</row>
    <row r="207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</row>
    <row r="208">
      <c r="A208" s="280"/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</row>
    <row r="209">
      <c r="A209" s="280"/>
      <c r="B209" s="280"/>
      <c r="C209" s="280"/>
      <c r="D209" s="280"/>
      <c r="E209" s="280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</row>
    <row r="210">
      <c r="A210" s="280"/>
      <c r="B210" s="280"/>
      <c r="C210" s="280"/>
      <c r="D210" s="280"/>
      <c r="E210" s="280"/>
      <c r="F210" s="280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</row>
    <row r="211">
      <c r="A211" s="280"/>
      <c r="B211" s="280"/>
      <c r="C211" s="280"/>
      <c r="D211" s="280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</row>
    <row r="212">
      <c r="A212" s="280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</row>
    <row r="213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</row>
    <row r="214">
      <c r="A214" s="280"/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</row>
    <row r="215">
      <c r="A215" s="280"/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</row>
    <row r="216">
      <c r="A216" s="280"/>
      <c r="B216" s="280"/>
      <c r="C216" s="280"/>
      <c r="D216" s="280"/>
      <c r="E216" s="280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</row>
    <row r="217">
      <c r="A217" s="280"/>
      <c r="B217" s="280"/>
      <c r="C217" s="280"/>
      <c r="D217" s="280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</row>
    <row r="218">
      <c r="A218" s="280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</row>
    <row r="219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</row>
    <row r="220">
      <c r="A220" s="280"/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</row>
    <row r="221">
      <c r="A221" s="280"/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</row>
    <row r="222">
      <c r="A222" s="280"/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</row>
    <row r="223">
      <c r="A223" s="280"/>
      <c r="B223" s="280"/>
      <c r="C223" s="280"/>
      <c r="D223" s="28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</row>
    <row r="224">
      <c r="A224" s="280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</row>
    <row r="225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</row>
    <row r="226">
      <c r="A226" s="280"/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</row>
    <row r="227">
      <c r="A227" s="280"/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</row>
    <row r="228">
      <c r="A228" s="280"/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</row>
    <row r="229">
      <c r="A229" s="280"/>
      <c r="B229" s="280"/>
      <c r="C229" s="280"/>
      <c r="D229" s="28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</row>
    <row r="230">
      <c r="A230" s="280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</row>
    <row r="231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  <c r="Z231" s="280"/>
    </row>
    <row r="232">
      <c r="A232" s="280"/>
      <c r="B232" s="280"/>
      <c r="C232" s="280"/>
      <c r="D232" s="28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</row>
    <row r="233">
      <c r="A233" s="280"/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</row>
    <row r="234">
      <c r="A234" s="280"/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</row>
    <row r="235">
      <c r="A235" s="280"/>
      <c r="B235" s="280"/>
      <c r="C235" s="280"/>
      <c r="D235" s="28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</row>
    <row r="236">
      <c r="A236" s="280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</row>
    <row r="237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</row>
    <row r="238">
      <c r="A238" s="280"/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</row>
    <row r="239">
      <c r="A239" s="280"/>
      <c r="B239" s="280"/>
      <c r="C239" s="280"/>
      <c r="D239" s="28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</row>
    <row r="240">
      <c r="A240" s="280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</row>
    <row r="241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  <c r="Z241" s="280"/>
    </row>
    <row r="242">
      <c r="A242" s="280"/>
      <c r="B242" s="280"/>
      <c r="C242" s="280"/>
      <c r="D242" s="28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</row>
    <row r="243">
      <c r="A243" s="280"/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</row>
    <row r="244">
      <c r="A244" s="280"/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</row>
    <row r="245">
      <c r="A245" s="280"/>
      <c r="B245" s="280"/>
      <c r="C245" s="280"/>
      <c r="D245" s="280"/>
      <c r="E245" s="280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</row>
    <row r="246">
      <c r="A246" s="280"/>
      <c r="B246" s="280"/>
      <c r="C246" s="280"/>
      <c r="D246" s="280"/>
      <c r="E246" s="280"/>
      <c r="F246" s="280"/>
      <c r="G246" s="280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</row>
    <row r="247">
      <c r="A247" s="280"/>
      <c r="B247" s="280"/>
      <c r="C247" s="280"/>
      <c r="D247" s="280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</row>
    <row r="248">
      <c r="A248" s="280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</row>
    <row r="249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</row>
    <row r="250">
      <c r="A250" s="280"/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</row>
    <row r="251">
      <c r="A251" s="280"/>
      <c r="B251" s="280"/>
      <c r="C251" s="280"/>
      <c r="D251" s="280"/>
      <c r="E251" s="280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</row>
    <row r="252">
      <c r="A252" s="280"/>
      <c r="B252" s="280"/>
      <c r="C252" s="280"/>
      <c r="D252" s="28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</row>
    <row r="253">
      <c r="A253" s="280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</row>
    <row r="254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</row>
    <row r="255">
      <c r="A255" s="280"/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</row>
    <row r="256">
      <c r="A256" s="280"/>
      <c r="B256" s="280"/>
      <c r="C256" s="280"/>
      <c r="D256" s="280"/>
      <c r="E256" s="280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</row>
    <row r="257">
      <c r="A257" s="280"/>
      <c r="B257" s="280"/>
      <c r="C257" s="280"/>
      <c r="D257" s="280"/>
      <c r="E257" s="280"/>
      <c r="F257" s="280"/>
      <c r="G257" s="280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  <c r="Z257" s="280"/>
    </row>
    <row r="258">
      <c r="A258" s="280"/>
      <c r="B258" s="280"/>
      <c r="C258" s="280"/>
      <c r="D258" s="280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  <c r="Z258" s="280"/>
    </row>
    <row r="259">
      <c r="A259" s="280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  <c r="Z259" s="280"/>
    </row>
    <row r="260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</row>
    <row r="261">
      <c r="A261" s="280"/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</row>
    <row r="262">
      <c r="A262" s="280"/>
      <c r="B262" s="280"/>
      <c r="C262" s="280"/>
      <c r="D262" s="280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</row>
    <row r="263">
      <c r="A263" s="280"/>
      <c r="B263" s="280"/>
      <c r="C263" s="280"/>
      <c r="D263" s="280"/>
      <c r="E263" s="280"/>
      <c r="F263" s="280"/>
      <c r="G263" s="280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  <c r="Z263" s="280"/>
    </row>
    <row r="264">
      <c r="A264" s="280"/>
      <c r="B264" s="280"/>
      <c r="C264" s="280"/>
      <c r="D264" s="280"/>
      <c r="E264" s="280"/>
      <c r="F264" s="280"/>
      <c r="G264" s="280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  <c r="Z264" s="280"/>
    </row>
    <row r="265">
      <c r="A265" s="280"/>
      <c r="B265" s="280"/>
      <c r="C265" s="280"/>
      <c r="D265" s="280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</row>
    <row r="266">
      <c r="A266" s="280"/>
      <c r="B266" s="280"/>
      <c r="C266" s="280"/>
      <c r="D266" s="280"/>
      <c r="E266" s="280"/>
      <c r="F266" s="280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  <c r="Z266" s="280"/>
    </row>
    <row r="267">
      <c r="A267" s="280"/>
      <c r="B267" s="280"/>
      <c r="C267" s="280"/>
      <c r="D267" s="280"/>
      <c r="E267" s="280"/>
      <c r="F267" s="280"/>
      <c r="G267" s="280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  <c r="Z267" s="280"/>
    </row>
    <row r="268">
      <c r="A268" s="280"/>
      <c r="B268" s="280"/>
      <c r="C268" s="280"/>
      <c r="D268" s="280"/>
      <c r="E268" s="280"/>
      <c r="F268" s="280"/>
      <c r="G268" s="280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  <c r="Z268" s="280"/>
    </row>
    <row r="269">
      <c r="A269" s="280"/>
      <c r="B269" s="280"/>
      <c r="C269" s="280"/>
      <c r="D269" s="280"/>
      <c r="E269" s="280"/>
      <c r="F269" s="280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  <c r="Z269" s="280"/>
    </row>
    <row r="270">
      <c r="A270" s="280"/>
      <c r="B270" s="280"/>
      <c r="C270" s="280"/>
      <c r="D270" s="280"/>
      <c r="E270" s="280"/>
      <c r="F270" s="280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  <c r="Z270" s="280"/>
    </row>
    <row r="271">
      <c r="A271" s="280"/>
      <c r="B271" s="280"/>
      <c r="C271" s="280"/>
      <c r="D271" s="280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  <c r="Z271" s="280"/>
    </row>
    <row r="272">
      <c r="A272" s="280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  <c r="Z272" s="280"/>
    </row>
    <row r="273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  <c r="Z273" s="280"/>
    </row>
    <row r="274">
      <c r="A274" s="280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</row>
    <row r="275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</row>
    <row r="276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  <c r="Z276" s="280"/>
    </row>
    <row r="277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</row>
    <row r="278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  <c r="Z278" s="280"/>
    </row>
    <row r="279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  <c r="Z279" s="280"/>
    </row>
    <row r="280">
      <c r="A280" s="280"/>
      <c r="B280" s="280"/>
      <c r="C280" s="280"/>
      <c r="D280" s="280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</row>
    <row r="281">
      <c r="A281" s="280"/>
      <c r="B281" s="280"/>
      <c r="C281" s="280"/>
      <c r="D281" s="280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  <c r="Z281" s="280"/>
    </row>
    <row r="282">
      <c r="A282" s="280"/>
      <c r="B282" s="280"/>
      <c r="C282" s="280"/>
      <c r="D282" s="280"/>
      <c r="E282" s="280"/>
      <c r="F282" s="280"/>
      <c r="G282" s="280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</row>
    <row r="283">
      <c r="A283" s="280"/>
      <c r="B283" s="280"/>
      <c r="C283" s="280"/>
      <c r="D283" s="280"/>
      <c r="E283" s="280"/>
      <c r="F283" s="280"/>
      <c r="G283" s="280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  <c r="Z283" s="280"/>
    </row>
    <row r="284">
      <c r="A284" s="280"/>
      <c r="B284" s="280"/>
      <c r="C284" s="280"/>
      <c r="D284" s="280"/>
      <c r="E284" s="280"/>
      <c r="F284" s="280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  <c r="Z284" s="280"/>
    </row>
    <row r="285">
      <c r="A285" s="280"/>
      <c r="B285" s="280"/>
      <c r="C285" s="280"/>
      <c r="D285" s="280"/>
      <c r="E285" s="280"/>
      <c r="F285" s="280"/>
      <c r="G285" s="280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</row>
    <row r="286">
      <c r="A286" s="280"/>
      <c r="B286" s="280"/>
      <c r="C286" s="280"/>
      <c r="D286" s="280"/>
      <c r="E286" s="280"/>
      <c r="F286" s="280"/>
      <c r="G286" s="280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  <c r="Z286" s="280"/>
    </row>
    <row r="287">
      <c r="A287" s="280"/>
      <c r="B287" s="280"/>
      <c r="C287" s="280"/>
      <c r="D287" s="280"/>
      <c r="E287" s="280"/>
      <c r="F287" s="280"/>
      <c r="G287" s="280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  <c r="Z287" s="280"/>
    </row>
    <row r="288">
      <c r="A288" s="280"/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</row>
    <row r="289">
      <c r="A289" s="280"/>
      <c r="B289" s="280"/>
      <c r="C289" s="280"/>
      <c r="D289" s="280"/>
      <c r="E289" s="280"/>
      <c r="F289" s="280"/>
      <c r="G289" s="280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  <c r="Z289" s="280"/>
    </row>
    <row r="290">
      <c r="A290" s="280"/>
      <c r="B290" s="280"/>
      <c r="C290" s="280"/>
      <c r="D290" s="280"/>
      <c r="E290" s="280"/>
      <c r="F290" s="280"/>
      <c r="G290" s="280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  <c r="Z290" s="280"/>
    </row>
    <row r="291">
      <c r="A291" s="280"/>
      <c r="B291" s="280"/>
      <c r="C291" s="280"/>
      <c r="D291" s="280"/>
      <c r="E291" s="280"/>
      <c r="F291" s="280"/>
      <c r="G291" s="280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  <c r="Z291" s="280"/>
    </row>
    <row r="292">
      <c r="A292" s="280"/>
      <c r="B292" s="280"/>
      <c r="C292" s="280"/>
      <c r="D292" s="280"/>
      <c r="E292" s="280"/>
      <c r="F292" s="280"/>
      <c r="G292" s="280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  <c r="Z292" s="280"/>
    </row>
    <row r="293">
      <c r="A293" s="280"/>
      <c r="B293" s="280"/>
      <c r="C293" s="280"/>
      <c r="D293" s="280"/>
      <c r="E293" s="280"/>
      <c r="F293" s="280"/>
      <c r="G293" s="280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  <c r="Z293" s="280"/>
    </row>
    <row r="294">
      <c r="A294" s="280"/>
      <c r="B294" s="280"/>
      <c r="C294" s="280"/>
      <c r="D294" s="280"/>
      <c r="E294" s="280"/>
      <c r="F294" s="280"/>
      <c r="G294" s="280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  <c r="Z294" s="280"/>
    </row>
    <row r="295">
      <c r="A295" s="280"/>
      <c r="B295" s="280"/>
      <c r="C295" s="280"/>
      <c r="D295" s="280"/>
      <c r="E295" s="280"/>
      <c r="F295" s="280"/>
      <c r="G295" s="280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  <c r="Z295" s="280"/>
    </row>
    <row r="296">
      <c r="A296" s="280"/>
      <c r="B296" s="280"/>
      <c r="C296" s="280"/>
      <c r="D296" s="280"/>
      <c r="E296" s="280"/>
      <c r="F296" s="280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</row>
    <row r="297">
      <c r="A297" s="280"/>
      <c r="B297" s="280"/>
      <c r="C297" s="280"/>
      <c r="D297" s="280"/>
      <c r="E297" s="280"/>
      <c r="F297" s="280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</row>
    <row r="298">
      <c r="A298" s="280"/>
      <c r="B298" s="280"/>
      <c r="C298" s="280"/>
      <c r="D298" s="280"/>
      <c r="E298" s="280"/>
      <c r="F298" s="280"/>
      <c r="G298" s="280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  <c r="Z298" s="280"/>
    </row>
    <row r="299">
      <c r="A299" s="280"/>
      <c r="B299" s="280"/>
      <c r="C299" s="280"/>
      <c r="D299" s="280"/>
      <c r="E299" s="280"/>
      <c r="F299" s="280"/>
      <c r="G299" s="280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  <c r="Z299" s="280"/>
    </row>
    <row r="300">
      <c r="A300" s="280"/>
      <c r="B300" s="280"/>
      <c r="C300" s="280"/>
      <c r="D300" s="280"/>
      <c r="E300" s="280"/>
      <c r="F300" s="280"/>
      <c r="G300" s="280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  <c r="Z300" s="280"/>
    </row>
    <row r="301">
      <c r="A301" s="280"/>
      <c r="B301" s="280"/>
      <c r="C301" s="280"/>
      <c r="D301" s="280"/>
      <c r="E301" s="280"/>
      <c r="F301" s="280"/>
      <c r="G301" s="280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  <c r="Z301" s="280"/>
    </row>
    <row r="302">
      <c r="A302" s="280"/>
      <c r="B302" s="280"/>
      <c r="C302" s="280"/>
      <c r="D302" s="280"/>
      <c r="E302" s="280"/>
      <c r="F302" s="280"/>
      <c r="G302" s="280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  <c r="Z302" s="280"/>
    </row>
    <row r="303">
      <c r="A303" s="280"/>
      <c r="B303" s="280"/>
      <c r="C303" s="280"/>
      <c r="D303" s="280"/>
      <c r="E303" s="280"/>
      <c r="F303" s="280"/>
      <c r="G303" s="280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  <c r="Z303" s="280"/>
    </row>
    <row r="304">
      <c r="A304" s="280"/>
      <c r="B304" s="280"/>
      <c r="C304" s="280"/>
      <c r="D304" s="280"/>
      <c r="E304" s="280"/>
      <c r="F304" s="280"/>
      <c r="G304" s="280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  <c r="Z304" s="280"/>
    </row>
    <row r="305">
      <c r="A305" s="280"/>
      <c r="B305" s="280"/>
      <c r="C305" s="280"/>
      <c r="D305" s="280"/>
      <c r="E305" s="280"/>
      <c r="F305" s="280"/>
      <c r="G305" s="280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  <c r="Z305" s="280"/>
    </row>
    <row r="306">
      <c r="A306" s="280"/>
      <c r="B306" s="280"/>
      <c r="C306" s="280"/>
      <c r="D306" s="280"/>
      <c r="E306" s="280"/>
      <c r="F306" s="280"/>
      <c r="G306" s="280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  <c r="Z306" s="280"/>
    </row>
    <row r="307">
      <c r="A307" s="280"/>
      <c r="B307" s="280"/>
      <c r="C307" s="280"/>
      <c r="D307" s="280"/>
      <c r="E307" s="280"/>
      <c r="F307" s="280"/>
      <c r="G307" s="280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</row>
    <row r="308">
      <c r="A308" s="280"/>
      <c r="B308" s="280"/>
      <c r="C308" s="280"/>
      <c r="D308" s="280"/>
      <c r="E308" s="280"/>
      <c r="F308" s="280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</row>
    <row r="309">
      <c r="A309" s="280"/>
      <c r="B309" s="280"/>
      <c r="C309" s="280"/>
      <c r="D309" s="280"/>
      <c r="E309" s="280"/>
      <c r="F309" s="280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  <c r="Z309" s="280"/>
    </row>
    <row r="310">
      <c r="A310" s="280"/>
      <c r="B310" s="280"/>
      <c r="C310" s="280"/>
      <c r="D310" s="280"/>
      <c r="E310" s="280"/>
      <c r="F310" s="280"/>
      <c r="G310" s="280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</row>
    <row r="311">
      <c r="A311" s="280"/>
      <c r="B311" s="280"/>
      <c r="C311" s="280"/>
      <c r="D311" s="280"/>
      <c r="E311" s="280"/>
      <c r="F311" s="280"/>
      <c r="G311" s="280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  <c r="Z311" s="280"/>
    </row>
    <row r="312">
      <c r="A312" s="280"/>
      <c r="B312" s="280"/>
      <c r="C312" s="280"/>
      <c r="D312" s="280"/>
      <c r="E312" s="280"/>
      <c r="F312" s="280"/>
      <c r="G312" s="280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  <c r="Z312" s="280"/>
    </row>
    <row r="313">
      <c r="A313" s="280"/>
      <c r="B313" s="280"/>
      <c r="C313" s="280"/>
      <c r="D313" s="280"/>
      <c r="E313" s="280"/>
      <c r="F313" s="280"/>
      <c r="G313" s="280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  <c r="Z313" s="280"/>
    </row>
    <row r="314">
      <c r="A314" s="280"/>
      <c r="B314" s="280"/>
      <c r="C314" s="280"/>
      <c r="D314" s="280"/>
      <c r="E314" s="280"/>
      <c r="F314" s="280"/>
      <c r="G314" s="280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  <c r="Z314" s="280"/>
    </row>
    <row r="315">
      <c r="A315" s="280"/>
      <c r="B315" s="280"/>
      <c r="C315" s="280"/>
      <c r="D315" s="280"/>
      <c r="E315" s="280"/>
      <c r="F315" s="280"/>
      <c r="G315" s="280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  <c r="Z315" s="280"/>
    </row>
    <row r="316">
      <c r="A316" s="280"/>
      <c r="B316" s="280"/>
      <c r="C316" s="280"/>
      <c r="D316" s="280"/>
      <c r="E316" s="280"/>
      <c r="F316" s="280"/>
      <c r="G316" s="280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  <c r="Z316" s="280"/>
    </row>
    <row r="317">
      <c r="A317" s="280"/>
      <c r="B317" s="280"/>
      <c r="C317" s="280"/>
      <c r="D317" s="280"/>
      <c r="E317" s="280"/>
      <c r="F317" s="280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</row>
    <row r="318">
      <c r="A318" s="280"/>
      <c r="B318" s="280"/>
      <c r="C318" s="280"/>
      <c r="D318" s="280"/>
      <c r="E318" s="280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</row>
    <row r="319">
      <c r="A319" s="280"/>
      <c r="B319" s="280"/>
      <c r="C319" s="280"/>
      <c r="D319" s="280"/>
      <c r="E319" s="280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</row>
    <row r="320">
      <c r="A320" s="280"/>
      <c r="B320" s="280"/>
      <c r="C320" s="280"/>
      <c r="D320" s="280"/>
      <c r="E320" s="280"/>
      <c r="F320" s="280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  <c r="Z320" s="280"/>
    </row>
    <row r="321">
      <c r="A321" s="280"/>
      <c r="B321" s="280"/>
      <c r="C321" s="280"/>
      <c r="D321" s="280"/>
      <c r="E321" s="280"/>
      <c r="F321" s="280"/>
      <c r="G321" s="280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  <c r="Z321" s="280"/>
    </row>
    <row r="322">
      <c r="A322" s="280"/>
      <c r="B322" s="280"/>
      <c r="C322" s="280"/>
      <c r="D322" s="280"/>
      <c r="E322" s="280"/>
      <c r="F322" s="280"/>
      <c r="G322" s="280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  <c r="Z322" s="280"/>
    </row>
    <row r="323">
      <c r="A323" s="280"/>
      <c r="B323" s="280"/>
      <c r="C323" s="280"/>
      <c r="D323" s="280"/>
      <c r="E323" s="280"/>
      <c r="F323" s="280"/>
      <c r="G323" s="280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  <c r="Z323" s="280"/>
    </row>
    <row r="324">
      <c r="A324" s="280"/>
      <c r="B324" s="280"/>
      <c r="C324" s="280"/>
      <c r="D324" s="280"/>
      <c r="E324" s="280"/>
      <c r="F324" s="280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  <c r="Z324" s="280"/>
    </row>
    <row r="325">
      <c r="A325" s="280"/>
      <c r="B325" s="280"/>
      <c r="C325" s="280"/>
      <c r="D325" s="280"/>
      <c r="E325" s="280"/>
      <c r="F325" s="280"/>
      <c r="G325" s="280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  <c r="Z325" s="280"/>
    </row>
    <row r="326">
      <c r="A326" s="280"/>
      <c r="B326" s="280"/>
      <c r="C326" s="280"/>
      <c r="D326" s="280"/>
      <c r="E326" s="280"/>
      <c r="F326" s="280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  <c r="Z326" s="280"/>
    </row>
    <row r="327">
      <c r="A327" s="280"/>
      <c r="B327" s="280"/>
      <c r="C327" s="280"/>
      <c r="D327" s="280"/>
      <c r="E327" s="280"/>
      <c r="F327" s="280"/>
      <c r="G327" s="280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  <c r="Z327" s="280"/>
    </row>
    <row r="328">
      <c r="A328" s="280"/>
      <c r="B328" s="280"/>
      <c r="C328" s="280"/>
      <c r="D328" s="280"/>
      <c r="E328" s="280"/>
      <c r="F328" s="280"/>
      <c r="G328" s="280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  <c r="Z328" s="280"/>
    </row>
    <row r="329">
      <c r="A329" s="280"/>
      <c r="B329" s="280"/>
      <c r="C329" s="280"/>
      <c r="D329" s="280"/>
      <c r="E329" s="280"/>
      <c r="F329" s="280"/>
      <c r="G329" s="280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  <c r="Z329" s="280"/>
    </row>
    <row r="330">
      <c r="A330" s="280"/>
      <c r="B330" s="280"/>
      <c r="C330" s="280"/>
      <c r="D330" s="280"/>
      <c r="E330" s="280"/>
      <c r="F330" s="280"/>
      <c r="G330" s="280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  <c r="Z330" s="280"/>
    </row>
    <row r="331">
      <c r="A331" s="280"/>
      <c r="B331" s="280"/>
      <c r="C331" s="280"/>
      <c r="D331" s="280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</row>
    <row r="332">
      <c r="A332" s="280"/>
      <c r="B332" s="280"/>
      <c r="C332" s="280"/>
      <c r="D332" s="280"/>
      <c r="E332" s="280"/>
      <c r="F332" s="280"/>
      <c r="G332" s="280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  <c r="Z332" s="280"/>
    </row>
    <row r="333">
      <c r="A333" s="280"/>
      <c r="B333" s="280"/>
      <c r="C333" s="280"/>
      <c r="D333" s="280"/>
      <c r="E333" s="280"/>
      <c r="F333" s="280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</row>
    <row r="334">
      <c r="A334" s="280"/>
      <c r="B334" s="280"/>
      <c r="C334" s="280"/>
      <c r="D334" s="280"/>
      <c r="E334" s="280"/>
      <c r="F334" s="280"/>
      <c r="G334" s="280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  <c r="Z334" s="280"/>
    </row>
    <row r="335">
      <c r="A335" s="280"/>
      <c r="B335" s="280"/>
      <c r="C335" s="280"/>
      <c r="D335" s="280"/>
      <c r="E335" s="280"/>
      <c r="F335" s="280"/>
      <c r="G335" s="280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  <c r="Z335" s="280"/>
    </row>
    <row r="336">
      <c r="A336" s="280"/>
      <c r="B336" s="280"/>
      <c r="C336" s="280"/>
      <c r="D336" s="280"/>
      <c r="E336" s="280"/>
      <c r="F336" s="280"/>
      <c r="G336" s="280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  <c r="Z336" s="280"/>
    </row>
    <row r="337">
      <c r="A337" s="280"/>
      <c r="B337" s="280"/>
      <c r="C337" s="280"/>
      <c r="D337" s="280"/>
      <c r="E337" s="280"/>
      <c r="F337" s="280"/>
      <c r="G337" s="280"/>
      <c r="H337" s="280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  <c r="Z337" s="280"/>
    </row>
    <row r="338">
      <c r="A338" s="280"/>
      <c r="B338" s="280"/>
      <c r="C338" s="280"/>
      <c r="D338" s="280"/>
      <c r="E338" s="280"/>
      <c r="F338" s="280"/>
      <c r="G338" s="280"/>
      <c r="H338" s="280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  <c r="Z338" s="280"/>
    </row>
    <row r="339">
      <c r="A339" s="280"/>
      <c r="B339" s="280"/>
      <c r="C339" s="280"/>
      <c r="D339" s="280"/>
      <c r="E339" s="280"/>
      <c r="F339" s="280"/>
      <c r="G339" s="280"/>
      <c r="H339" s="280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  <c r="Z339" s="280"/>
    </row>
    <row r="340">
      <c r="A340" s="280"/>
      <c r="B340" s="280"/>
      <c r="C340" s="280"/>
      <c r="D340" s="280"/>
      <c r="E340" s="280"/>
      <c r="F340" s="280"/>
      <c r="G340" s="280"/>
      <c r="H340" s="280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  <c r="Z340" s="280"/>
    </row>
    <row r="341">
      <c r="A341" s="280"/>
      <c r="B341" s="280"/>
      <c r="C341" s="280"/>
      <c r="D341" s="280"/>
      <c r="E341" s="280"/>
      <c r="F341" s="280"/>
      <c r="G341" s="280"/>
      <c r="H341" s="280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  <c r="Z341" s="280"/>
    </row>
    <row r="342">
      <c r="A342" s="280"/>
      <c r="B342" s="280"/>
      <c r="C342" s="280"/>
      <c r="D342" s="280"/>
      <c r="E342" s="280"/>
      <c r="F342" s="280"/>
      <c r="G342" s="280"/>
      <c r="H342" s="280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  <c r="Z342" s="280"/>
    </row>
    <row r="343">
      <c r="A343" s="280"/>
      <c r="B343" s="280"/>
      <c r="C343" s="280"/>
      <c r="D343" s="280"/>
      <c r="E343" s="280"/>
      <c r="F343" s="280"/>
      <c r="G343" s="280"/>
      <c r="H343" s="280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  <c r="Z343" s="280"/>
    </row>
    <row r="344">
      <c r="A344" s="280"/>
      <c r="B344" s="280"/>
      <c r="C344" s="280"/>
      <c r="D344" s="280"/>
      <c r="E344" s="280"/>
      <c r="F344" s="280"/>
      <c r="G344" s="280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  <c r="Z344" s="280"/>
    </row>
    <row r="345">
      <c r="A345" s="280"/>
      <c r="B345" s="280"/>
      <c r="C345" s="280"/>
      <c r="D345" s="280"/>
      <c r="E345" s="280"/>
      <c r="F345" s="280"/>
      <c r="G345" s="280"/>
      <c r="H345" s="280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  <c r="Z345" s="280"/>
    </row>
    <row r="346">
      <c r="A346" s="280"/>
      <c r="B346" s="280"/>
      <c r="C346" s="280"/>
      <c r="D346" s="280"/>
      <c r="E346" s="280"/>
      <c r="F346" s="280"/>
      <c r="G346" s="280"/>
      <c r="H346" s="280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  <c r="Z346" s="280"/>
    </row>
    <row r="347">
      <c r="A347" s="280"/>
      <c r="B347" s="280"/>
      <c r="C347" s="280"/>
      <c r="D347" s="280"/>
      <c r="E347" s="280"/>
      <c r="F347" s="280"/>
      <c r="G347" s="280"/>
      <c r="H347" s="280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  <c r="Z347" s="280"/>
    </row>
    <row r="348">
      <c r="A348" s="280"/>
      <c r="B348" s="280"/>
      <c r="C348" s="280"/>
      <c r="D348" s="280"/>
      <c r="E348" s="280"/>
      <c r="F348" s="280"/>
      <c r="G348" s="280"/>
      <c r="H348" s="280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  <c r="Z348" s="280"/>
    </row>
    <row r="349">
      <c r="A349" s="280"/>
      <c r="B349" s="280"/>
      <c r="C349" s="280"/>
      <c r="D349" s="280"/>
      <c r="E349" s="280"/>
      <c r="F349" s="280"/>
      <c r="G349" s="280"/>
      <c r="H349" s="280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  <c r="Z349" s="280"/>
    </row>
    <row r="350">
      <c r="A350" s="280"/>
      <c r="B350" s="280"/>
      <c r="C350" s="280"/>
      <c r="D350" s="280"/>
      <c r="E350" s="280"/>
      <c r="F350" s="280"/>
      <c r="G350" s="280"/>
      <c r="H350" s="280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  <c r="Z350" s="280"/>
    </row>
    <row r="351">
      <c r="A351" s="280"/>
      <c r="B351" s="280"/>
      <c r="C351" s="280"/>
      <c r="D351" s="280"/>
      <c r="E351" s="280"/>
      <c r="F351" s="280"/>
      <c r="G351" s="280"/>
      <c r="H351" s="280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  <c r="Z351" s="280"/>
    </row>
    <row r="352">
      <c r="A352" s="280"/>
      <c r="B352" s="280"/>
      <c r="C352" s="280"/>
      <c r="D352" s="280"/>
      <c r="E352" s="280"/>
      <c r="F352" s="280"/>
      <c r="G352" s="280"/>
      <c r="H352" s="280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  <c r="Z352" s="280"/>
    </row>
    <row r="353">
      <c r="A353" s="280"/>
      <c r="B353" s="280"/>
      <c r="C353" s="280"/>
      <c r="D353" s="280"/>
      <c r="E353" s="280"/>
      <c r="F353" s="280"/>
      <c r="G353" s="280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  <c r="Z353" s="280"/>
    </row>
    <row r="354">
      <c r="A354" s="280"/>
      <c r="B354" s="280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  <c r="Z354" s="280"/>
    </row>
    <row r="355">
      <c r="A355" s="280"/>
      <c r="B355" s="280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  <c r="Z355" s="280"/>
    </row>
    <row r="356">
      <c r="A356" s="280"/>
      <c r="B356" s="280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  <c r="Z356" s="280"/>
    </row>
    <row r="357">
      <c r="A357" s="280"/>
      <c r="B357" s="280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  <c r="Z357" s="280"/>
    </row>
    <row r="358">
      <c r="A358" s="280"/>
      <c r="B358" s="280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  <c r="Z358" s="280"/>
    </row>
    <row r="359">
      <c r="A359" s="280"/>
      <c r="B359" s="280"/>
      <c r="C359" s="280"/>
      <c r="D359" s="280"/>
      <c r="E359" s="280"/>
      <c r="F359" s="280"/>
      <c r="G359" s="280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  <c r="Z359" s="280"/>
    </row>
    <row r="360">
      <c r="A360" s="280"/>
      <c r="B360" s="280"/>
      <c r="C360" s="280"/>
      <c r="D360" s="280"/>
      <c r="E360" s="280"/>
      <c r="F360" s="280"/>
      <c r="G360" s="280"/>
      <c r="H360" s="280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  <c r="Z360" s="280"/>
    </row>
    <row r="361">
      <c r="A361" s="280"/>
      <c r="B361" s="280"/>
      <c r="C361" s="280"/>
      <c r="D361" s="280"/>
      <c r="E361" s="280"/>
      <c r="F361" s="280"/>
      <c r="G361" s="280"/>
      <c r="H361" s="280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  <c r="Z361" s="280"/>
    </row>
    <row r="362">
      <c r="A362" s="280"/>
      <c r="B362" s="280"/>
      <c r="C362" s="280"/>
      <c r="D362" s="280"/>
      <c r="E362" s="280"/>
      <c r="F362" s="280"/>
      <c r="G362" s="280"/>
      <c r="H362" s="280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  <c r="Z362" s="280"/>
    </row>
    <row r="363">
      <c r="A363" s="280"/>
      <c r="B363" s="280"/>
      <c r="C363" s="280"/>
      <c r="D363" s="280"/>
      <c r="E363" s="280"/>
      <c r="F363" s="280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  <c r="Z363" s="280"/>
    </row>
    <row r="364">
      <c r="A364" s="280"/>
      <c r="B364" s="280"/>
      <c r="C364" s="280"/>
      <c r="D364" s="280"/>
      <c r="E364" s="280"/>
      <c r="F364" s="280"/>
      <c r="G364" s="280"/>
      <c r="H364" s="280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  <c r="Z364" s="280"/>
    </row>
    <row r="365">
      <c r="A365" s="280"/>
      <c r="B365" s="280"/>
      <c r="C365" s="280"/>
      <c r="D365" s="280"/>
      <c r="E365" s="280"/>
      <c r="F365" s="280"/>
      <c r="G365" s="280"/>
      <c r="H365" s="280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  <c r="Z365" s="280"/>
    </row>
    <row r="366">
      <c r="A366" s="280"/>
      <c r="B366" s="280"/>
      <c r="C366" s="280"/>
      <c r="D366" s="280"/>
      <c r="E366" s="280"/>
      <c r="F366" s="280"/>
      <c r="G366" s="280"/>
      <c r="H366" s="280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  <c r="Z366" s="280"/>
    </row>
    <row r="367">
      <c r="A367" s="280"/>
      <c r="B367" s="280"/>
      <c r="C367" s="280"/>
      <c r="D367" s="280"/>
      <c r="E367" s="280"/>
      <c r="F367" s="280"/>
      <c r="G367" s="280"/>
      <c r="H367" s="280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  <c r="Z367" s="280"/>
    </row>
    <row r="368">
      <c r="A368" s="280"/>
      <c r="B368" s="280"/>
      <c r="C368" s="280"/>
      <c r="D368" s="280"/>
      <c r="E368" s="280"/>
      <c r="F368" s="280"/>
      <c r="G368" s="280"/>
      <c r="H368" s="280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  <c r="Z368" s="280"/>
    </row>
    <row r="369">
      <c r="A369" s="280"/>
      <c r="B369" s="280"/>
      <c r="C369" s="280"/>
      <c r="D369" s="280"/>
      <c r="E369" s="280"/>
      <c r="F369" s="280"/>
      <c r="G369" s="280"/>
      <c r="H369" s="280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  <c r="Z369" s="280"/>
    </row>
    <row r="370">
      <c r="A370" s="280"/>
      <c r="B370" s="280"/>
      <c r="C370" s="280"/>
      <c r="D370" s="280"/>
      <c r="E370" s="280"/>
      <c r="F370" s="280"/>
      <c r="G370" s="280"/>
      <c r="H370" s="280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  <c r="Z370" s="280"/>
    </row>
    <row r="371">
      <c r="A371" s="280"/>
      <c r="B371" s="280"/>
      <c r="C371" s="280"/>
      <c r="D371" s="280"/>
      <c r="E371" s="280"/>
      <c r="F371" s="280"/>
      <c r="G371" s="280"/>
      <c r="H371" s="280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</row>
    <row r="372">
      <c r="A372" s="280"/>
      <c r="B372" s="280"/>
      <c r="C372" s="280"/>
      <c r="D372" s="280"/>
      <c r="E372" s="280"/>
      <c r="F372" s="280"/>
      <c r="G372" s="280"/>
      <c r="H372" s="280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  <c r="Z372" s="280"/>
    </row>
    <row r="373">
      <c r="A373" s="280"/>
      <c r="B373" s="280"/>
      <c r="C373" s="280"/>
      <c r="D373" s="280"/>
      <c r="E373" s="280"/>
      <c r="F373" s="280"/>
      <c r="G373" s="280"/>
      <c r="H373" s="280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  <c r="Z373" s="280"/>
    </row>
    <row r="374">
      <c r="A374" s="280"/>
      <c r="B374" s="280"/>
      <c r="C374" s="280"/>
      <c r="D374" s="280"/>
      <c r="E374" s="280"/>
      <c r="F374" s="280"/>
      <c r="G374" s="280"/>
      <c r="H374" s="280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  <c r="Z374" s="280"/>
    </row>
    <row r="375">
      <c r="A375" s="280"/>
      <c r="B375" s="280"/>
      <c r="C375" s="280"/>
      <c r="D375" s="280"/>
      <c r="E375" s="280"/>
      <c r="F375" s="280"/>
      <c r="G375" s="280"/>
      <c r="H375" s="280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  <c r="Z375" s="280"/>
    </row>
    <row r="376">
      <c r="A376" s="280"/>
      <c r="B376" s="280"/>
      <c r="C376" s="280"/>
      <c r="D376" s="280"/>
      <c r="E376" s="280"/>
      <c r="F376" s="280"/>
      <c r="G376" s="280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  <c r="Z376" s="280"/>
    </row>
    <row r="377">
      <c r="A377" s="280"/>
      <c r="B377" s="280"/>
      <c r="C377" s="280"/>
      <c r="D377" s="280"/>
      <c r="E377" s="280"/>
      <c r="F377" s="280"/>
      <c r="G377" s="280"/>
      <c r="H377" s="280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  <c r="Z377" s="280"/>
    </row>
    <row r="378">
      <c r="A378" s="280"/>
      <c r="B378" s="280"/>
      <c r="C378" s="280"/>
      <c r="D378" s="280"/>
      <c r="E378" s="280"/>
      <c r="F378" s="280"/>
      <c r="G378" s="280"/>
      <c r="H378" s="280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</row>
    <row r="379">
      <c r="A379" s="280"/>
      <c r="B379" s="280"/>
      <c r="C379" s="280"/>
      <c r="D379" s="280"/>
      <c r="E379" s="280"/>
      <c r="F379" s="280"/>
      <c r="G379" s="280"/>
      <c r="H379" s="280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  <c r="Z379" s="280"/>
    </row>
    <row r="380">
      <c r="A380" s="280"/>
      <c r="B380" s="280"/>
      <c r="C380" s="280"/>
      <c r="D380" s="280"/>
      <c r="E380" s="280"/>
      <c r="F380" s="280"/>
      <c r="G380" s="280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</row>
    <row r="381">
      <c r="A381" s="280"/>
      <c r="B381" s="280"/>
      <c r="C381" s="280"/>
      <c r="D381" s="280"/>
      <c r="E381" s="280"/>
      <c r="F381" s="280"/>
      <c r="G381" s="280"/>
      <c r="H381" s="280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  <c r="Z381" s="280"/>
    </row>
    <row r="382">
      <c r="A382" s="280"/>
      <c r="B382" s="280"/>
      <c r="C382" s="280"/>
      <c r="D382" s="280"/>
      <c r="E382" s="280"/>
      <c r="F382" s="280"/>
      <c r="G382" s="280"/>
      <c r="H382" s="280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  <c r="Z382" s="280"/>
    </row>
    <row r="383">
      <c r="A383" s="280"/>
      <c r="B383" s="280"/>
      <c r="C383" s="280"/>
      <c r="D383" s="280"/>
      <c r="E383" s="280"/>
      <c r="F383" s="280"/>
      <c r="G383" s="280"/>
      <c r="H383" s="280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  <c r="Z383" s="280"/>
    </row>
    <row r="384">
      <c r="A384" s="280"/>
      <c r="B384" s="280"/>
      <c r="C384" s="280"/>
      <c r="D384" s="280"/>
      <c r="E384" s="280"/>
      <c r="F384" s="280"/>
      <c r="G384" s="280"/>
      <c r="H384" s="280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  <c r="Z384" s="280"/>
    </row>
    <row r="385">
      <c r="A385" s="280"/>
      <c r="B385" s="280"/>
      <c r="C385" s="280"/>
      <c r="D385" s="280"/>
      <c r="E385" s="280"/>
      <c r="F385" s="280"/>
      <c r="G385" s="280"/>
      <c r="H385" s="280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  <c r="Z385" s="280"/>
    </row>
    <row r="386">
      <c r="A386" s="280"/>
      <c r="B386" s="280"/>
      <c r="C386" s="280"/>
      <c r="D386" s="280"/>
      <c r="E386" s="280"/>
      <c r="F386" s="280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  <c r="Z386" s="280"/>
    </row>
    <row r="387">
      <c r="A387" s="280"/>
      <c r="B387" s="280"/>
      <c r="C387" s="280"/>
      <c r="D387" s="280"/>
      <c r="E387" s="280"/>
      <c r="F387" s="280"/>
      <c r="G387" s="280"/>
      <c r="H387" s="280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  <c r="Z387" s="280"/>
    </row>
    <row r="388">
      <c r="A388" s="280"/>
      <c r="B388" s="280"/>
      <c r="C388" s="280"/>
      <c r="D388" s="280"/>
      <c r="E388" s="280"/>
      <c r="F388" s="280"/>
      <c r="G388" s="280"/>
      <c r="H388" s="280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  <c r="Z388" s="280"/>
    </row>
    <row r="389">
      <c r="A389" s="280"/>
      <c r="B389" s="280"/>
      <c r="C389" s="280"/>
      <c r="D389" s="280"/>
      <c r="E389" s="280"/>
      <c r="F389" s="280"/>
      <c r="G389" s="280"/>
      <c r="H389" s="280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  <c r="Z389" s="280"/>
    </row>
    <row r="390">
      <c r="A390" s="280"/>
      <c r="B390" s="280"/>
      <c r="C390" s="280"/>
      <c r="D390" s="280"/>
      <c r="E390" s="280"/>
      <c r="F390" s="280"/>
      <c r="G390" s="280"/>
      <c r="H390" s="280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  <c r="Z390" s="280"/>
    </row>
    <row r="391">
      <c r="A391" s="280"/>
      <c r="B391" s="280"/>
      <c r="C391" s="280"/>
      <c r="D391" s="280"/>
      <c r="E391" s="280"/>
      <c r="F391" s="280"/>
      <c r="G391" s="280"/>
      <c r="H391" s="280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  <c r="Z391" s="280"/>
    </row>
    <row r="392">
      <c r="A392" s="280"/>
      <c r="B392" s="280"/>
      <c r="C392" s="280"/>
      <c r="D392" s="280"/>
      <c r="E392" s="280"/>
      <c r="F392" s="280"/>
      <c r="G392" s="280"/>
      <c r="H392" s="280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  <c r="Z392" s="280"/>
    </row>
    <row r="393">
      <c r="A393" s="280"/>
      <c r="B393" s="280"/>
      <c r="C393" s="280"/>
      <c r="D393" s="280"/>
      <c r="E393" s="280"/>
      <c r="F393" s="280"/>
      <c r="G393" s="280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  <c r="Z393" s="280"/>
    </row>
    <row r="394">
      <c r="A394" s="280"/>
      <c r="B394" s="280"/>
      <c r="C394" s="280"/>
      <c r="D394" s="280"/>
      <c r="E394" s="280"/>
      <c r="F394" s="280"/>
      <c r="G394" s="280"/>
      <c r="H394" s="280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  <c r="Z394" s="280"/>
    </row>
    <row r="395">
      <c r="A395" s="280"/>
      <c r="B395" s="280"/>
      <c r="C395" s="280"/>
      <c r="D395" s="280"/>
      <c r="E395" s="280"/>
      <c r="F395" s="280"/>
      <c r="G395" s="280"/>
      <c r="H395" s="280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  <c r="Z395" s="280"/>
    </row>
    <row r="396">
      <c r="A396" s="280"/>
      <c r="B396" s="280"/>
      <c r="C396" s="280"/>
      <c r="D396" s="280"/>
      <c r="E396" s="280"/>
      <c r="F396" s="280"/>
      <c r="G396" s="280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  <c r="Z396" s="280"/>
    </row>
    <row r="397">
      <c r="A397" s="280"/>
      <c r="B397" s="280"/>
      <c r="C397" s="280"/>
      <c r="D397" s="280"/>
      <c r="E397" s="280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</row>
    <row r="398">
      <c r="A398" s="280"/>
      <c r="B398" s="280"/>
      <c r="C398" s="280"/>
      <c r="D398" s="280"/>
      <c r="E398" s="280"/>
      <c r="F398" s="280"/>
      <c r="G398" s="280"/>
      <c r="H398" s="280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  <c r="Z398" s="280"/>
    </row>
    <row r="399">
      <c r="A399" s="280"/>
      <c r="B399" s="280"/>
      <c r="C399" s="280"/>
      <c r="D399" s="280"/>
      <c r="E399" s="280"/>
      <c r="F399" s="280"/>
      <c r="G399" s="280"/>
      <c r="H399" s="280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  <c r="Z399" s="280"/>
    </row>
    <row r="400">
      <c r="A400" s="280"/>
      <c r="B400" s="280"/>
      <c r="C400" s="280"/>
      <c r="D400" s="280"/>
      <c r="E400" s="280"/>
      <c r="F400" s="280"/>
      <c r="G400" s="280"/>
      <c r="H400" s="280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  <c r="Z400" s="280"/>
    </row>
    <row r="401">
      <c r="A401" s="280"/>
      <c r="B401" s="280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  <c r="Z401" s="280"/>
    </row>
    <row r="402">
      <c r="A402" s="280"/>
      <c r="B402" s="280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  <c r="Z402" s="280"/>
    </row>
    <row r="403">
      <c r="A403" s="280"/>
      <c r="B403" s="280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  <c r="Z403" s="280"/>
    </row>
    <row r="404">
      <c r="A404" s="280"/>
      <c r="B404" s="280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</row>
    <row r="405">
      <c r="A405" s="280"/>
      <c r="B405" s="280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  <c r="Z405" s="280"/>
    </row>
    <row r="406">
      <c r="A406" s="280"/>
      <c r="B406" s="280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  <c r="Z406" s="280"/>
    </row>
    <row r="407">
      <c r="A407" s="280"/>
      <c r="B407" s="280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  <c r="Z407" s="280"/>
    </row>
    <row r="408">
      <c r="A408" s="280"/>
      <c r="B408" s="280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  <c r="Z408" s="280"/>
    </row>
    <row r="409">
      <c r="A409" s="280"/>
      <c r="B409" s="280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  <c r="Z409" s="280"/>
    </row>
    <row r="410">
      <c r="A410" s="280"/>
      <c r="B410" s="280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  <c r="Z410" s="280"/>
    </row>
    <row r="411">
      <c r="A411" s="280"/>
      <c r="B411" s="280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</row>
    <row r="412">
      <c r="A412" s="280"/>
      <c r="B412" s="280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  <c r="Z412" s="280"/>
    </row>
    <row r="413">
      <c r="A413" s="280"/>
      <c r="B413" s="280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  <c r="Z413" s="280"/>
    </row>
    <row r="414">
      <c r="A414" s="280"/>
      <c r="B414" s="280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  <c r="Z414" s="280"/>
    </row>
    <row r="415">
      <c r="A415" s="280"/>
      <c r="B415" s="280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  <c r="Z415" s="280"/>
    </row>
    <row r="416">
      <c r="A416" s="280"/>
      <c r="B416" s="280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  <c r="Z416" s="280"/>
    </row>
    <row r="417">
      <c r="A417" s="280"/>
      <c r="B417" s="280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  <c r="Z417" s="280"/>
    </row>
    <row r="418">
      <c r="A418" s="280"/>
      <c r="B418" s="280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  <c r="Z418" s="280"/>
    </row>
    <row r="419">
      <c r="A419" s="280"/>
      <c r="B419" s="280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  <c r="Z419" s="280"/>
    </row>
    <row r="420">
      <c r="A420" s="280"/>
      <c r="B420" s="280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  <c r="Z420" s="280"/>
    </row>
    <row r="421">
      <c r="A421" s="280"/>
      <c r="B421" s="280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  <c r="Z421" s="280"/>
    </row>
    <row r="422">
      <c r="A422" s="280"/>
      <c r="B422" s="280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</row>
    <row r="423">
      <c r="A423" s="280"/>
      <c r="B423" s="280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  <c r="Z423" s="280"/>
    </row>
    <row r="424">
      <c r="A424" s="280"/>
      <c r="B424" s="280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  <c r="Z424" s="280"/>
    </row>
    <row r="425">
      <c r="A425" s="280"/>
      <c r="B425" s="280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  <c r="Z425" s="280"/>
    </row>
    <row r="426">
      <c r="A426" s="280"/>
      <c r="B426" s="280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  <c r="Z426" s="280"/>
    </row>
    <row r="427">
      <c r="A427" s="280"/>
      <c r="B427" s="280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</row>
    <row r="428">
      <c r="A428" s="280"/>
      <c r="B428" s="280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  <c r="Z428" s="280"/>
    </row>
    <row r="429">
      <c r="A429" s="280"/>
      <c r="B429" s="280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  <c r="Z429" s="280"/>
    </row>
    <row r="430">
      <c r="A430" s="280"/>
      <c r="B430" s="280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  <c r="Z430" s="280"/>
    </row>
    <row r="431">
      <c r="A431" s="280"/>
      <c r="B431" s="280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  <c r="Z431" s="280"/>
    </row>
    <row r="432">
      <c r="A432" s="280"/>
      <c r="B432" s="280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</row>
    <row r="433">
      <c r="A433" s="280"/>
      <c r="B433" s="280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  <c r="Z433" s="280"/>
    </row>
    <row r="434">
      <c r="A434" s="280"/>
      <c r="B434" s="280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  <c r="Z434" s="280"/>
    </row>
    <row r="435">
      <c r="A435" s="280"/>
      <c r="B435" s="280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  <c r="Z435" s="280"/>
    </row>
    <row r="436">
      <c r="A436" s="280"/>
      <c r="B436" s="280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  <c r="Z436" s="280"/>
    </row>
    <row r="437">
      <c r="A437" s="280"/>
      <c r="B437" s="280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  <c r="Z437" s="280"/>
    </row>
    <row r="438">
      <c r="A438" s="280"/>
      <c r="B438" s="280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  <c r="Z438" s="280"/>
    </row>
    <row r="439">
      <c r="A439" s="280"/>
      <c r="B439" s="280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  <c r="Z439" s="280"/>
    </row>
    <row r="440">
      <c r="A440" s="280"/>
      <c r="B440" s="280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  <c r="Z440" s="280"/>
    </row>
    <row r="441">
      <c r="A441" s="280"/>
      <c r="B441" s="280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  <c r="Z441" s="280"/>
    </row>
    <row r="442">
      <c r="A442" s="280"/>
      <c r="B442" s="280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  <c r="Z442" s="280"/>
    </row>
    <row r="443">
      <c r="A443" s="280"/>
      <c r="B443" s="280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  <c r="Z443" s="280"/>
    </row>
    <row r="444">
      <c r="A444" s="280"/>
      <c r="B444" s="280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  <c r="Z444" s="280"/>
    </row>
    <row r="445">
      <c r="A445" s="280"/>
      <c r="B445" s="280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  <c r="Z445" s="280"/>
    </row>
    <row r="446">
      <c r="A446" s="280"/>
      <c r="B446" s="280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  <c r="Z446" s="280"/>
    </row>
    <row r="447">
      <c r="A447" s="280"/>
      <c r="B447" s="280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  <c r="Z447" s="280"/>
    </row>
    <row r="448">
      <c r="A448" s="280"/>
      <c r="B448" s="280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  <c r="Z448" s="280"/>
    </row>
    <row r="449">
      <c r="A449" s="280"/>
      <c r="B449" s="280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  <c r="Z449" s="280"/>
    </row>
    <row r="450">
      <c r="A450" s="280"/>
      <c r="B450" s="280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  <c r="Z450" s="280"/>
    </row>
    <row r="451">
      <c r="A451" s="280"/>
      <c r="B451" s="280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  <c r="Z451" s="280"/>
    </row>
    <row r="452">
      <c r="A452" s="280"/>
      <c r="B452" s="280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  <c r="Z452" s="280"/>
    </row>
    <row r="453">
      <c r="A453" s="280"/>
      <c r="B453" s="280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  <c r="Z453" s="280"/>
    </row>
    <row r="454">
      <c r="A454" s="280"/>
      <c r="B454" s="280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  <c r="Z454" s="280"/>
    </row>
    <row r="455">
      <c r="A455" s="280"/>
      <c r="B455" s="280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  <c r="Z455" s="280"/>
    </row>
    <row r="456">
      <c r="A456" s="280"/>
      <c r="B456" s="280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  <c r="Z456" s="280"/>
    </row>
    <row r="457">
      <c r="A457" s="280"/>
      <c r="B457" s="280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  <c r="Z457" s="280"/>
    </row>
    <row r="458">
      <c r="A458" s="280"/>
      <c r="B458" s="280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  <c r="Z458" s="280"/>
    </row>
    <row r="459">
      <c r="A459" s="280"/>
      <c r="B459" s="280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  <c r="Z459" s="280"/>
    </row>
    <row r="460">
      <c r="A460" s="280"/>
      <c r="B460" s="280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  <c r="Z460" s="280"/>
    </row>
    <row r="461">
      <c r="A461" s="280"/>
      <c r="B461" s="280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  <c r="Z461" s="280"/>
    </row>
    <row r="462">
      <c r="A462" s="280"/>
      <c r="B462" s="280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  <c r="Z462" s="280"/>
    </row>
    <row r="463">
      <c r="A463" s="280"/>
      <c r="B463" s="280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</row>
    <row r="464">
      <c r="A464" s="280"/>
      <c r="B464" s="280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  <c r="Z464" s="280"/>
    </row>
    <row r="465">
      <c r="A465" s="280"/>
      <c r="B465" s="280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  <c r="Z465" s="280"/>
    </row>
    <row r="466">
      <c r="A466" s="280"/>
      <c r="B466" s="280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  <c r="Z466" s="280"/>
    </row>
    <row r="467">
      <c r="A467" s="280"/>
      <c r="B467" s="280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  <c r="Z467" s="280"/>
    </row>
    <row r="468">
      <c r="A468" s="280"/>
      <c r="B468" s="280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  <c r="Z468" s="280"/>
    </row>
    <row r="469">
      <c r="A469" s="280"/>
      <c r="B469" s="280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  <c r="Z469" s="280"/>
    </row>
    <row r="470">
      <c r="A470" s="280"/>
      <c r="B470" s="280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  <c r="Z470" s="280"/>
    </row>
    <row r="471">
      <c r="A471" s="280"/>
      <c r="B471" s="280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</row>
    <row r="472">
      <c r="A472" s="280"/>
      <c r="B472" s="280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  <c r="Z472" s="280"/>
    </row>
    <row r="473">
      <c r="A473" s="280"/>
      <c r="B473" s="280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  <c r="Z473" s="280"/>
    </row>
    <row r="474">
      <c r="A474" s="280"/>
      <c r="B474" s="280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  <c r="Z474" s="280"/>
    </row>
    <row r="475">
      <c r="A475" s="280"/>
      <c r="B475" s="280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  <c r="Z475" s="280"/>
    </row>
    <row r="476">
      <c r="A476" s="280"/>
      <c r="B476" s="280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  <c r="Z476" s="280"/>
    </row>
    <row r="477">
      <c r="A477" s="280"/>
      <c r="B477" s="280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  <c r="Z477" s="280"/>
    </row>
    <row r="478">
      <c r="A478" s="280"/>
      <c r="B478" s="280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  <c r="Z478" s="280"/>
    </row>
    <row r="479">
      <c r="A479" s="280"/>
      <c r="B479" s="280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  <c r="Z479" s="280"/>
    </row>
    <row r="480">
      <c r="A480" s="280"/>
      <c r="B480" s="280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  <c r="Z480" s="280"/>
    </row>
    <row r="481">
      <c r="A481" s="280"/>
      <c r="B481" s="280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  <c r="Z481" s="280"/>
    </row>
    <row r="482">
      <c r="A482" s="280"/>
      <c r="B482" s="280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  <c r="Z482" s="280"/>
    </row>
    <row r="483">
      <c r="A483" s="280"/>
      <c r="B483" s="280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  <c r="Z483" s="280"/>
    </row>
    <row r="484">
      <c r="A484" s="280"/>
      <c r="B484" s="280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  <c r="Z484" s="280"/>
    </row>
    <row r="485">
      <c r="A485" s="280"/>
      <c r="B485" s="280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  <c r="Z485" s="280"/>
    </row>
    <row r="486">
      <c r="A486" s="280"/>
      <c r="B486" s="280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  <c r="Z486" s="280"/>
    </row>
    <row r="487">
      <c r="A487" s="280"/>
      <c r="B487" s="280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  <c r="Z487" s="280"/>
    </row>
    <row r="488">
      <c r="A488" s="280"/>
      <c r="B488" s="280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  <c r="Z488" s="280"/>
    </row>
    <row r="489">
      <c r="A489" s="280"/>
      <c r="B489" s="280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  <c r="Z489" s="280"/>
    </row>
    <row r="490">
      <c r="A490" s="280"/>
      <c r="B490" s="280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  <c r="Z490" s="280"/>
    </row>
    <row r="491">
      <c r="A491" s="280"/>
      <c r="B491" s="280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  <c r="Z491" s="280"/>
    </row>
    <row r="492">
      <c r="A492" s="280"/>
      <c r="B492" s="280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  <c r="Z492" s="280"/>
    </row>
    <row r="493">
      <c r="A493" s="280"/>
      <c r="B493" s="280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</row>
    <row r="494">
      <c r="A494" s="280"/>
      <c r="B494" s="280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  <c r="Z494" s="280"/>
    </row>
    <row r="495">
      <c r="A495" s="280"/>
      <c r="B495" s="280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  <c r="Z495" s="280"/>
    </row>
    <row r="496">
      <c r="A496" s="280"/>
      <c r="B496" s="280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  <c r="Z496" s="280"/>
    </row>
    <row r="497">
      <c r="A497" s="280"/>
      <c r="B497" s="280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  <c r="Z497" s="280"/>
    </row>
    <row r="498">
      <c r="A498" s="280"/>
      <c r="B498" s="280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  <c r="Z498" s="280"/>
    </row>
    <row r="499">
      <c r="A499" s="280"/>
      <c r="B499" s="280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  <c r="Z499" s="280"/>
    </row>
    <row r="500">
      <c r="A500" s="280"/>
      <c r="B500" s="280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  <c r="Z500" s="280"/>
    </row>
    <row r="501">
      <c r="A501" s="280"/>
      <c r="B501" s="280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  <c r="Z501" s="280"/>
    </row>
    <row r="502">
      <c r="A502" s="280"/>
      <c r="B502" s="280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  <c r="Z502" s="280"/>
    </row>
    <row r="503">
      <c r="A503" s="280"/>
      <c r="B503" s="280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  <c r="Z503" s="280"/>
    </row>
    <row r="504">
      <c r="A504" s="280"/>
      <c r="B504" s="280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  <c r="Z504" s="280"/>
    </row>
    <row r="505">
      <c r="A505" s="280"/>
      <c r="B505" s="280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  <c r="Z505" s="280"/>
    </row>
    <row r="506">
      <c r="A506" s="280"/>
      <c r="B506" s="280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  <c r="Z506" s="280"/>
    </row>
    <row r="507">
      <c r="A507" s="280"/>
      <c r="B507" s="280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  <c r="Z507" s="280"/>
    </row>
    <row r="508">
      <c r="A508" s="280"/>
      <c r="B508" s="280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  <c r="Z508" s="280"/>
    </row>
    <row r="509">
      <c r="A509" s="280"/>
      <c r="B509" s="280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  <c r="Z509" s="280"/>
    </row>
    <row r="510">
      <c r="A510" s="280"/>
      <c r="B510" s="280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  <c r="Z510" s="280"/>
    </row>
    <row r="511">
      <c r="A511" s="280"/>
      <c r="B511" s="280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  <c r="Z511" s="280"/>
    </row>
    <row r="512">
      <c r="A512" s="280"/>
      <c r="B512" s="280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  <c r="Z512" s="280"/>
    </row>
    <row r="513">
      <c r="A513" s="280"/>
      <c r="B513" s="280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  <c r="Z513" s="280"/>
    </row>
    <row r="514">
      <c r="A514" s="280"/>
      <c r="B514" s="280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  <c r="Z514" s="280"/>
    </row>
    <row r="515">
      <c r="A515" s="280"/>
      <c r="B515" s="280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  <c r="Z515" s="280"/>
    </row>
    <row r="516">
      <c r="A516" s="280"/>
      <c r="B516" s="280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  <c r="Z516" s="280"/>
    </row>
    <row r="517">
      <c r="A517" s="280"/>
      <c r="B517" s="280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  <c r="Z517" s="280"/>
    </row>
    <row r="518">
      <c r="A518" s="280"/>
      <c r="B518" s="280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  <c r="Z518" s="280"/>
    </row>
    <row r="519">
      <c r="A519" s="280"/>
      <c r="B519" s="280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  <c r="Z519" s="280"/>
    </row>
    <row r="520">
      <c r="A520" s="280"/>
      <c r="B520" s="280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  <c r="Z520" s="280"/>
    </row>
    <row r="521">
      <c r="A521" s="280"/>
      <c r="B521" s="280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  <c r="Z521" s="280"/>
    </row>
    <row r="522">
      <c r="A522" s="280"/>
      <c r="B522" s="280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  <c r="Z522" s="280"/>
    </row>
    <row r="523">
      <c r="A523" s="280"/>
      <c r="B523" s="280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  <c r="Z523" s="280"/>
    </row>
    <row r="524">
      <c r="A524" s="280"/>
      <c r="B524" s="280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  <c r="Z524" s="280"/>
    </row>
    <row r="525">
      <c r="A525" s="280"/>
      <c r="B525" s="280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  <c r="Z525" s="280"/>
    </row>
    <row r="526">
      <c r="A526" s="280"/>
      <c r="B526" s="280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  <c r="Z526" s="280"/>
    </row>
    <row r="527">
      <c r="A527" s="280"/>
      <c r="B527" s="280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  <c r="Z527" s="280"/>
    </row>
    <row r="528">
      <c r="A528" s="280"/>
      <c r="B528" s="280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  <c r="Z528" s="280"/>
    </row>
    <row r="529">
      <c r="A529" s="280"/>
      <c r="B529" s="280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</row>
    <row r="530">
      <c r="A530" s="280"/>
      <c r="B530" s="280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  <c r="Z530" s="280"/>
    </row>
    <row r="531">
      <c r="A531" s="280"/>
      <c r="B531" s="280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  <c r="Z531" s="280"/>
    </row>
    <row r="532">
      <c r="A532" s="280"/>
      <c r="B532" s="280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  <c r="Z532" s="280"/>
    </row>
    <row r="533">
      <c r="A533" s="280"/>
      <c r="B533" s="280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  <c r="Z533" s="280"/>
    </row>
    <row r="534">
      <c r="A534" s="280"/>
      <c r="B534" s="280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  <c r="Z534" s="280"/>
    </row>
    <row r="535">
      <c r="A535" s="280"/>
      <c r="B535" s="280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  <c r="Z535" s="280"/>
    </row>
    <row r="536">
      <c r="A536" s="280"/>
      <c r="B536" s="280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  <c r="Z536" s="280"/>
    </row>
    <row r="537">
      <c r="A537" s="280"/>
      <c r="B537" s="280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  <c r="Z537" s="280"/>
    </row>
    <row r="538">
      <c r="A538" s="280"/>
      <c r="B538" s="280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  <c r="Z538" s="280"/>
    </row>
    <row r="539">
      <c r="A539" s="280"/>
      <c r="B539" s="280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  <c r="Z539" s="280"/>
    </row>
    <row r="540">
      <c r="A540" s="280"/>
      <c r="B540" s="280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  <c r="Z540" s="280"/>
    </row>
    <row r="541">
      <c r="A541" s="280"/>
      <c r="B541" s="280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  <c r="Z541" s="280"/>
    </row>
    <row r="542">
      <c r="A542" s="280"/>
      <c r="B542" s="280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  <c r="Z542" s="280"/>
    </row>
    <row r="543">
      <c r="A543" s="280"/>
      <c r="B543" s="280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  <c r="Z543" s="280"/>
    </row>
    <row r="544">
      <c r="A544" s="280"/>
      <c r="B544" s="280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  <c r="Z544" s="280"/>
    </row>
    <row r="545">
      <c r="A545" s="280"/>
      <c r="B545" s="280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  <c r="Z545" s="280"/>
    </row>
    <row r="546">
      <c r="A546" s="280"/>
      <c r="B546" s="280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  <c r="Z546" s="280"/>
    </row>
    <row r="547">
      <c r="A547" s="280"/>
      <c r="B547" s="280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  <c r="Z547" s="280"/>
    </row>
    <row r="548">
      <c r="A548" s="280"/>
      <c r="B548" s="280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  <c r="Z548" s="280"/>
    </row>
    <row r="549">
      <c r="A549" s="280"/>
      <c r="B549" s="280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  <c r="Z549" s="280"/>
    </row>
    <row r="550">
      <c r="A550" s="280"/>
      <c r="B550" s="280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  <c r="Z550" s="280"/>
    </row>
    <row r="551">
      <c r="A551" s="280"/>
      <c r="B551" s="280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  <c r="Z551" s="280"/>
    </row>
    <row r="552">
      <c r="A552" s="280"/>
      <c r="B552" s="280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  <c r="Z552" s="280"/>
    </row>
    <row r="553">
      <c r="A553" s="280"/>
      <c r="B553" s="280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  <c r="Z553" s="280"/>
    </row>
    <row r="554">
      <c r="A554" s="280"/>
      <c r="B554" s="280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</row>
    <row r="555">
      <c r="A555" s="280"/>
      <c r="B555" s="280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  <c r="Z555" s="280"/>
    </row>
    <row r="556">
      <c r="A556" s="280"/>
      <c r="B556" s="280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  <c r="Z556" s="280"/>
    </row>
    <row r="557">
      <c r="A557" s="280"/>
      <c r="B557" s="280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  <c r="Z557" s="280"/>
    </row>
    <row r="558">
      <c r="A558" s="280"/>
      <c r="B558" s="280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  <c r="Z558" s="280"/>
    </row>
    <row r="559">
      <c r="A559" s="280"/>
      <c r="B559" s="280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  <c r="Z559" s="280"/>
    </row>
    <row r="560">
      <c r="A560" s="280"/>
      <c r="B560" s="280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  <c r="Z560" s="280"/>
    </row>
    <row r="561">
      <c r="A561" s="280"/>
      <c r="B561" s="280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  <c r="Z561" s="280"/>
    </row>
    <row r="562">
      <c r="A562" s="280"/>
      <c r="B562" s="280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  <c r="Z562" s="280"/>
    </row>
    <row r="563">
      <c r="A563" s="280"/>
      <c r="B563" s="280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  <c r="Z563" s="280"/>
    </row>
    <row r="564">
      <c r="A564" s="280"/>
      <c r="B564" s="280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  <c r="Z564" s="280"/>
    </row>
    <row r="565">
      <c r="A565" s="280"/>
      <c r="B565" s="280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  <c r="Z565" s="280"/>
    </row>
    <row r="566">
      <c r="A566" s="280"/>
      <c r="B566" s="280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  <c r="Z566" s="280"/>
    </row>
    <row r="567">
      <c r="A567" s="280"/>
      <c r="B567" s="280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  <c r="Z567" s="280"/>
    </row>
    <row r="568">
      <c r="A568" s="280"/>
      <c r="B568" s="280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  <c r="Z568" s="280"/>
    </row>
    <row r="569">
      <c r="A569" s="280"/>
      <c r="B569" s="280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  <c r="Z569" s="280"/>
    </row>
    <row r="570">
      <c r="A570" s="280"/>
      <c r="B570" s="280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</row>
    <row r="571">
      <c r="A571" s="280"/>
      <c r="B571" s="280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  <c r="Z571" s="280"/>
    </row>
    <row r="572">
      <c r="A572" s="280"/>
      <c r="B572" s="280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  <c r="Z572" s="280"/>
    </row>
    <row r="573">
      <c r="A573" s="280"/>
      <c r="B573" s="280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</row>
    <row r="574">
      <c r="A574" s="280"/>
      <c r="B574" s="280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  <c r="Z574" s="280"/>
    </row>
    <row r="575">
      <c r="A575" s="280"/>
      <c r="B575" s="280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  <c r="Z575" s="280"/>
    </row>
    <row r="576">
      <c r="A576" s="280"/>
      <c r="B576" s="280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  <c r="Z576" s="280"/>
    </row>
    <row r="577">
      <c r="A577" s="280"/>
      <c r="B577" s="280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  <c r="Z577" s="280"/>
    </row>
    <row r="578">
      <c r="A578" s="280"/>
      <c r="B578" s="280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  <c r="Z578" s="280"/>
    </row>
    <row r="579">
      <c r="A579" s="280"/>
      <c r="B579" s="280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  <c r="Z579" s="280"/>
    </row>
    <row r="580">
      <c r="A580" s="280"/>
      <c r="B580" s="280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  <c r="Z580" s="280"/>
    </row>
    <row r="581">
      <c r="A581" s="280"/>
      <c r="B581" s="280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  <c r="Z581" s="280"/>
    </row>
    <row r="582">
      <c r="A582" s="280"/>
      <c r="B582" s="280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  <c r="Z582" s="280"/>
    </row>
    <row r="583">
      <c r="A583" s="280"/>
      <c r="B583" s="280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  <c r="Z583" s="280"/>
    </row>
    <row r="584">
      <c r="A584" s="280"/>
      <c r="B584" s="280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  <c r="Z584" s="280"/>
    </row>
    <row r="585">
      <c r="A585" s="280"/>
      <c r="B585" s="280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  <c r="Z585" s="280"/>
    </row>
    <row r="586">
      <c r="A586" s="280"/>
      <c r="B586" s="280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  <c r="Z586" s="280"/>
    </row>
    <row r="587">
      <c r="A587" s="280"/>
      <c r="B587" s="280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  <c r="Z587" s="280"/>
    </row>
    <row r="588">
      <c r="A588" s="280"/>
      <c r="B588" s="280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  <c r="Z588" s="280"/>
    </row>
    <row r="589">
      <c r="A589" s="280"/>
      <c r="B589" s="280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</row>
    <row r="590">
      <c r="A590" s="280"/>
      <c r="B590" s="280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  <c r="Z590" s="280"/>
    </row>
    <row r="591">
      <c r="A591" s="280"/>
      <c r="B591" s="280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  <c r="Z591" s="280"/>
    </row>
    <row r="592">
      <c r="A592" s="280"/>
      <c r="B592" s="280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  <c r="Z592" s="280"/>
    </row>
    <row r="593">
      <c r="A593" s="280"/>
      <c r="B593" s="280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  <c r="Z593" s="280"/>
    </row>
    <row r="594">
      <c r="A594" s="280"/>
      <c r="B594" s="280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  <c r="Z594" s="280"/>
    </row>
    <row r="595">
      <c r="A595" s="280"/>
      <c r="B595" s="280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  <c r="Z595" s="280"/>
    </row>
    <row r="596">
      <c r="A596" s="280"/>
      <c r="B596" s="280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  <c r="Z596" s="280"/>
    </row>
    <row r="597">
      <c r="A597" s="280"/>
      <c r="B597" s="280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  <c r="Z597" s="280"/>
    </row>
    <row r="598">
      <c r="A598" s="280"/>
      <c r="B598" s="280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  <c r="Z598" s="280"/>
    </row>
    <row r="599">
      <c r="A599" s="280"/>
      <c r="B599" s="280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  <c r="Z599" s="280"/>
    </row>
    <row r="600">
      <c r="A600" s="280"/>
      <c r="B600" s="280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  <c r="Z600" s="280"/>
    </row>
    <row r="601">
      <c r="A601" s="280"/>
      <c r="B601" s="280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  <c r="Z601" s="280"/>
    </row>
    <row r="602">
      <c r="A602" s="280"/>
      <c r="B602" s="280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  <c r="Z602" s="280"/>
    </row>
    <row r="603">
      <c r="A603" s="280"/>
      <c r="B603" s="280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  <c r="Z603" s="280"/>
    </row>
    <row r="604">
      <c r="A604" s="280"/>
      <c r="B604" s="280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  <c r="Z604" s="280"/>
    </row>
    <row r="605">
      <c r="A605" s="280"/>
      <c r="B605" s="280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  <c r="Z605" s="280"/>
    </row>
    <row r="606">
      <c r="A606" s="280"/>
      <c r="B606" s="280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  <c r="Z606" s="280"/>
    </row>
    <row r="607">
      <c r="A607" s="280"/>
      <c r="B607" s="280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  <c r="Z607" s="280"/>
    </row>
    <row r="608">
      <c r="A608" s="280"/>
      <c r="B608" s="280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  <c r="Z608" s="280"/>
    </row>
    <row r="609">
      <c r="A609" s="280"/>
      <c r="B609" s="280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  <c r="Z609" s="280"/>
    </row>
    <row r="610">
      <c r="A610" s="280"/>
      <c r="B610" s="280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  <c r="Z610" s="280"/>
    </row>
    <row r="611">
      <c r="A611" s="280"/>
      <c r="B611" s="280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  <c r="Z611" s="280"/>
    </row>
    <row r="612">
      <c r="A612" s="280"/>
      <c r="B612" s="280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  <c r="Z612" s="280"/>
    </row>
    <row r="613">
      <c r="A613" s="280"/>
      <c r="B613" s="280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  <c r="Z613" s="280"/>
    </row>
    <row r="614">
      <c r="A614" s="280"/>
      <c r="B614" s="280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  <c r="Z614" s="280"/>
    </row>
    <row r="615">
      <c r="A615" s="280"/>
      <c r="B615" s="280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</row>
    <row r="616">
      <c r="A616" s="280"/>
      <c r="B616" s="280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  <c r="Z616" s="280"/>
    </row>
    <row r="617">
      <c r="A617" s="280"/>
      <c r="B617" s="280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  <c r="Z617" s="280"/>
    </row>
    <row r="618">
      <c r="A618" s="280"/>
      <c r="B618" s="280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  <c r="Z618" s="280"/>
    </row>
    <row r="619">
      <c r="A619" s="280"/>
      <c r="B619" s="280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  <c r="Z619" s="280"/>
    </row>
    <row r="620">
      <c r="A620" s="280"/>
      <c r="B620" s="280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  <c r="Z620" s="280"/>
    </row>
    <row r="621">
      <c r="A621" s="280"/>
      <c r="B621" s="280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  <c r="Z621" s="280"/>
    </row>
    <row r="622">
      <c r="A622" s="280"/>
      <c r="B622" s="280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  <c r="Z622" s="280"/>
    </row>
    <row r="623">
      <c r="A623" s="280"/>
      <c r="B623" s="280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  <c r="Z623" s="280"/>
    </row>
    <row r="624">
      <c r="A624" s="280"/>
      <c r="B624" s="280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  <c r="Z624" s="280"/>
    </row>
    <row r="625">
      <c r="A625" s="280"/>
      <c r="B625" s="280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  <c r="Z625" s="280"/>
    </row>
    <row r="626">
      <c r="A626" s="280"/>
      <c r="B626" s="280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  <c r="Z626" s="280"/>
    </row>
    <row r="627">
      <c r="A627" s="280"/>
      <c r="B627" s="280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  <c r="Z627" s="280"/>
    </row>
    <row r="628">
      <c r="A628" s="280"/>
      <c r="B628" s="280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  <c r="Z628" s="280"/>
    </row>
    <row r="629">
      <c r="A629" s="280"/>
      <c r="B629" s="280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  <c r="Z629" s="280"/>
    </row>
    <row r="630">
      <c r="A630" s="280"/>
      <c r="B630" s="280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  <c r="Z630" s="280"/>
    </row>
    <row r="631">
      <c r="A631" s="280"/>
      <c r="B631" s="280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  <c r="Z631" s="280"/>
    </row>
    <row r="632">
      <c r="A632" s="280"/>
      <c r="B632" s="280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  <c r="Z632" s="280"/>
    </row>
    <row r="633">
      <c r="A633" s="280"/>
      <c r="B633" s="280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  <c r="Z633" s="280"/>
    </row>
    <row r="634">
      <c r="A634" s="280"/>
      <c r="B634" s="280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  <c r="Z634" s="280"/>
    </row>
    <row r="635">
      <c r="A635" s="280"/>
      <c r="B635" s="280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  <c r="Z635" s="280"/>
    </row>
    <row r="636">
      <c r="A636" s="280"/>
      <c r="B636" s="280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  <c r="Z636" s="280"/>
    </row>
    <row r="637">
      <c r="A637" s="280"/>
      <c r="B637" s="280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  <c r="Z637" s="280"/>
    </row>
    <row r="638">
      <c r="A638" s="280"/>
      <c r="B638" s="280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  <c r="Z638" s="280"/>
    </row>
    <row r="639">
      <c r="A639" s="280"/>
      <c r="B639" s="280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  <c r="Z639" s="280"/>
    </row>
    <row r="640">
      <c r="A640" s="280"/>
      <c r="B640" s="280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  <c r="Z640" s="280"/>
    </row>
    <row r="641">
      <c r="A641" s="280"/>
      <c r="B641" s="280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  <c r="Z641" s="280"/>
    </row>
    <row r="642">
      <c r="A642" s="280"/>
      <c r="B642" s="280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  <c r="Z642" s="280"/>
    </row>
    <row r="643">
      <c r="A643" s="280"/>
      <c r="B643" s="280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  <c r="Z643" s="280"/>
    </row>
    <row r="644">
      <c r="A644" s="280"/>
      <c r="B644" s="280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  <c r="Z644" s="280"/>
    </row>
    <row r="645">
      <c r="A645" s="280"/>
      <c r="B645" s="280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  <c r="Z645" s="280"/>
    </row>
    <row r="646">
      <c r="A646" s="280"/>
      <c r="B646" s="280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  <c r="Z646" s="280"/>
    </row>
    <row r="647">
      <c r="A647" s="280"/>
      <c r="B647" s="280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  <c r="Z647" s="280"/>
    </row>
    <row r="648">
      <c r="A648" s="280"/>
      <c r="B648" s="280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  <c r="Z648" s="280"/>
    </row>
    <row r="649">
      <c r="A649" s="280"/>
      <c r="B649" s="280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  <c r="Z649" s="280"/>
    </row>
    <row r="650">
      <c r="A650" s="280"/>
      <c r="B650" s="280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  <c r="Z650" s="280"/>
    </row>
    <row r="651">
      <c r="A651" s="280"/>
      <c r="B651" s="280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  <c r="Z651" s="280"/>
    </row>
    <row r="652">
      <c r="A652" s="280"/>
      <c r="B652" s="280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  <c r="Z652" s="280"/>
    </row>
    <row r="653">
      <c r="A653" s="280"/>
      <c r="B653" s="280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  <c r="Z653" s="280"/>
    </row>
    <row r="654">
      <c r="A654" s="280"/>
      <c r="B654" s="280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  <c r="Z654" s="280"/>
    </row>
    <row r="655">
      <c r="A655" s="280"/>
      <c r="B655" s="280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  <c r="Z655" s="280"/>
    </row>
    <row r="656">
      <c r="A656" s="280"/>
      <c r="B656" s="280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  <c r="Z656" s="280"/>
    </row>
    <row r="657">
      <c r="A657" s="280"/>
      <c r="B657" s="280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  <c r="Z657" s="280"/>
    </row>
    <row r="658">
      <c r="A658" s="280"/>
      <c r="B658" s="280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  <c r="Z658" s="280"/>
    </row>
    <row r="659">
      <c r="A659" s="280"/>
      <c r="B659" s="280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  <c r="Z659" s="280"/>
    </row>
    <row r="660">
      <c r="A660" s="280"/>
      <c r="B660" s="280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  <c r="Z660" s="280"/>
    </row>
    <row r="661">
      <c r="A661" s="280"/>
      <c r="B661" s="280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  <c r="Z661" s="280"/>
    </row>
    <row r="662">
      <c r="A662" s="280"/>
      <c r="B662" s="280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</row>
    <row r="663">
      <c r="A663" s="280"/>
      <c r="B663" s="280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  <c r="Z663" s="280"/>
    </row>
    <row r="664">
      <c r="A664" s="280"/>
      <c r="B664" s="280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  <c r="Z664" s="280"/>
    </row>
    <row r="665">
      <c r="A665" s="280"/>
      <c r="B665" s="280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  <c r="Z665" s="280"/>
    </row>
    <row r="666">
      <c r="A666" s="280"/>
      <c r="B666" s="280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  <c r="Z666" s="280"/>
    </row>
    <row r="667">
      <c r="A667" s="280"/>
      <c r="B667" s="280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  <c r="Z667" s="280"/>
    </row>
    <row r="668">
      <c r="A668" s="280"/>
      <c r="B668" s="280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  <c r="Z668" s="280"/>
    </row>
    <row r="669">
      <c r="A669" s="280"/>
      <c r="B669" s="280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  <c r="Z669" s="280"/>
    </row>
    <row r="670">
      <c r="A670" s="280"/>
      <c r="B670" s="280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  <c r="Z670" s="280"/>
    </row>
    <row r="671">
      <c r="A671" s="280"/>
      <c r="B671" s="280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  <c r="Z671" s="280"/>
    </row>
    <row r="672">
      <c r="A672" s="280"/>
      <c r="B672" s="280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  <c r="Z672" s="280"/>
    </row>
    <row r="673">
      <c r="A673" s="280"/>
      <c r="B673" s="280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  <c r="Z673" s="280"/>
    </row>
    <row r="674">
      <c r="A674" s="280"/>
      <c r="B674" s="280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  <c r="Z674" s="280"/>
    </row>
    <row r="675">
      <c r="A675" s="280"/>
      <c r="B675" s="280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  <c r="Z675" s="280"/>
    </row>
    <row r="676">
      <c r="A676" s="280"/>
      <c r="B676" s="280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</row>
    <row r="677">
      <c r="A677" s="280"/>
      <c r="B677" s="280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  <c r="Z677" s="280"/>
    </row>
    <row r="678">
      <c r="A678" s="280"/>
      <c r="B678" s="280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  <c r="Z678" s="280"/>
    </row>
    <row r="679">
      <c r="A679" s="280"/>
      <c r="B679" s="280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  <c r="Z679" s="280"/>
    </row>
    <row r="680">
      <c r="A680" s="280"/>
      <c r="B680" s="280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  <c r="Z680" s="280"/>
    </row>
    <row r="681">
      <c r="A681" s="280"/>
      <c r="B681" s="280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  <c r="Z681" s="280"/>
    </row>
    <row r="682">
      <c r="A682" s="280"/>
      <c r="B682" s="280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  <c r="Z682" s="280"/>
    </row>
    <row r="683">
      <c r="A683" s="280"/>
      <c r="B683" s="280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  <c r="Z683" s="280"/>
    </row>
    <row r="684">
      <c r="A684" s="280"/>
      <c r="B684" s="280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  <c r="Z684" s="280"/>
    </row>
    <row r="685">
      <c r="A685" s="280"/>
      <c r="B685" s="280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  <c r="Z685" s="280"/>
    </row>
    <row r="686">
      <c r="A686" s="280"/>
      <c r="B686" s="280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  <c r="Z686" s="280"/>
    </row>
    <row r="687">
      <c r="A687" s="280"/>
      <c r="B687" s="280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  <c r="Z687" s="280"/>
    </row>
    <row r="688">
      <c r="A688" s="280"/>
      <c r="B688" s="280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  <c r="Z688" s="280"/>
    </row>
    <row r="689">
      <c r="A689" s="280"/>
      <c r="B689" s="280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  <c r="Z689" s="280"/>
    </row>
    <row r="690">
      <c r="A690" s="280"/>
      <c r="B690" s="280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  <c r="Z690" s="280"/>
    </row>
    <row r="691">
      <c r="A691" s="280"/>
      <c r="B691" s="280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  <c r="Z691" s="280"/>
    </row>
    <row r="692">
      <c r="A692" s="280"/>
      <c r="B692" s="280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  <c r="Z692" s="280"/>
    </row>
    <row r="693">
      <c r="A693" s="280"/>
      <c r="B693" s="280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  <c r="Z693" s="280"/>
    </row>
    <row r="694">
      <c r="A694" s="280"/>
      <c r="B694" s="280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  <c r="Z694" s="280"/>
    </row>
    <row r="695">
      <c r="A695" s="280"/>
      <c r="B695" s="280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  <c r="Z695" s="280"/>
    </row>
    <row r="696">
      <c r="A696" s="280"/>
      <c r="B696" s="280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  <c r="Z696" s="280"/>
    </row>
    <row r="697">
      <c r="A697" s="280"/>
      <c r="B697" s="280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  <c r="Z697" s="280"/>
    </row>
    <row r="698">
      <c r="A698" s="280"/>
      <c r="B698" s="280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  <c r="Z698" s="280"/>
    </row>
    <row r="699">
      <c r="A699" s="280"/>
      <c r="B699" s="280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  <c r="Z699" s="280"/>
    </row>
    <row r="700">
      <c r="A700" s="280"/>
      <c r="B700" s="280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  <c r="Z700" s="280"/>
    </row>
    <row r="701">
      <c r="A701" s="280"/>
      <c r="B701" s="280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  <c r="Z701" s="280"/>
    </row>
    <row r="702">
      <c r="A702" s="280"/>
      <c r="B702" s="280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  <c r="Z702" s="280"/>
    </row>
    <row r="703">
      <c r="A703" s="280"/>
      <c r="B703" s="280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  <c r="Z703" s="280"/>
    </row>
    <row r="704">
      <c r="A704" s="280"/>
      <c r="B704" s="280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  <c r="Z704" s="280"/>
    </row>
    <row r="705">
      <c r="A705" s="280"/>
      <c r="B705" s="280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  <c r="Z705" s="280"/>
    </row>
    <row r="706">
      <c r="A706" s="280"/>
      <c r="B706" s="280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  <c r="Z706" s="280"/>
    </row>
    <row r="707">
      <c r="A707" s="280"/>
      <c r="B707" s="280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  <c r="Z707" s="280"/>
    </row>
    <row r="708">
      <c r="A708" s="280"/>
      <c r="B708" s="280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  <c r="Z708" s="280"/>
    </row>
    <row r="709">
      <c r="A709" s="280"/>
      <c r="B709" s="280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  <c r="Z709" s="280"/>
    </row>
    <row r="710">
      <c r="A710" s="280"/>
      <c r="B710" s="280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  <c r="Z710" s="280"/>
    </row>
    <row r="711">
      <c r="A711" s="280"/>
      <c r="B711" s="280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  <c r="Z711" s="280"/>
    </row>
    <row r="712">
      <c r="A712" s="280"/>
      <c r="B712" s="280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  <c r="Z712" s="280"/>
    </row>
    <row r="713">
      <c r="A713" s="280"/>
      <c r="B713" s="280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  <c r="Z713" s="280"/>
    </row>
    <row r="714">
      <c r="A714" s="280"/>
      <c r="B714" s="280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  <c r="Z714" s="280"/>
    </row>
    <row r="715">
      <c r="A715" s="280"/>
      <c r="B715" s="280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  <c r="Z715" s="280"/>
    </row>
    <row r="716">
      <c r="A716" s="280"/>
      <c r="B716" s="280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  <c r="Z716" s="280"/>
    </row>
    <row r="717">
      <c r="A717" s="280"/>
      <c r="B717" s="280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  <c r="Z717" s="280"/>
    </row>
    <row r="718">
      <c r="A718" s="280"/>
      <c r="B718" s="280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  <c r="Z718" s="280"/>
    </row>
    <row r="719">
      <c r="A719" s="280"/>
      <c r="B719" s="280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  <c r="Z719" s="280"/>
    </row>
    <row r="720">
      <c r="A720" s="280"/>
      <c r="B720" s="280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  <c r="Z720" s="280"/>
    </row>
    <row r="721">
      <c r="A721" s="280"/>
      <c r="B721" s="280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  <c r="Z721" s="280"/>
    </row>
    <row r="722">
      <c r="A722" s="280"/>
      <c r="B722" s="280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</row>
    <row r="723">
      <c r="A723" s="280"/>
      <c r="B723" s="280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  <c r="Z723" s="280"/>
    </row>
    <row r="724">
      <c r="A724" s="280"/>
      <c r="B724" s="280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  <c r="Z724" s="280"/>
    </row>
    <row r="725">
      <c r="A725" s="280"/>
      <c r="B725" s="280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  <c r="Z725" s="280"/>
    </row>
    <row r="726">
      <c r="A726" s="280"/>
      <c r="B726" s="280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  <c r="Z726" s="280"/>
    </row>
    <row r="727">
      <c r="A727" s="280"/>
      <c r="B727" s="280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  <c r="Z727" s="280"/>
    </row>
    <row r="728">
      <c r="A728" s="280"/>
      <c r="B728" s="280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  <c r="Z728" s="280"/>
    </row>
    <row r="729">
      <c r="A729" s="280"/>
      <c r="B729" s="280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  <c r="Z729" s="280"/>
    </row>
    <row r="730">
      <c r="A730" s="280"/>
      <c r="B730" s="280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  <c r="Z730" s="280"/>
    </row>
    <row r="731">
      <c r="A731" s="280"/>
      <c r="B731" s="280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  <c r="Z731" s="280"/>
    </row>
    <row r="732">
      <c r="A732" s="280"/>
      <c r="B732" s="280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  <c r="Z732" s="280"/>
    </row>
    <row r="733">
      <c r="A733" s="280"/>
      <c r="B733" s="280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  <c r="Z733" s="280"/>
    </row>
    <row r="734">
      <c r="A734" s="280"/>
      <c r="B734" s="280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  <c r="Z734" s="280"/>
    </row>
    <row r="735">
      <c r="A735" s="280"/>
      <c r="B735" s="280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  <c r="Z735" s="280"/>
    </row>
    <row r="736">
      <c r="A736" s="280"/>
      <c r="B736" s="280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  <c r="Z736" s="280"/>
    </row>
    <row r="737">
      <c r="A737" s="280"/>
      <c r="B737" s="280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  <c r="Z737" s="280"/>
    </row>
    <row r="738">
      <c r="A738" s="280"/>
      <c r="B738" s="280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  <c r="Z738" s="280"/>
    </row>
    <row r="739">
      <c r="A739" s="280"/>
      <c r="B739" s="280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  <c r="Z739" s="280"/>
    </row>
    <row r="740">
      <c r="A740" s="280"/>
      <c r="B740" s="280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  <c r="Z740" s="280"/>
    </row>
    <row r="741">
      <c r="A741" s="280"/>
      <c r="B741" s="280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  <c r="Z741" s="280"/>
    </row>
    <row r="742">
      <c r="A742" s="280"/>
      <c r="B742" s="280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  <c r="Z742" s="280"/>
    </row>
    <row r="743">
      <c r="A743" s="280"/>
      <c r="B743" s="280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  <c r="Z743" s="280"/>
    </row>
    <row r="744">
      <c r="A744" s="280"/>
      <c r="B744" s="280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  <c r="Z744" s="280"/>
    </row>
    <row r="745">
      <c r="A745" s="280"/>
      <c r="B745" s="280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  <c r="Z745" s="280"/>
    </row>
    <row r="746">
      <c r="A746" s="280"/>
      <c r="B746" s="280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  <c r="Z746" s="280"/>
    </row>
    <row r="747">
      <c r="A747" s="280"/>
      <c r="B747" s="280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  <c r="Z747" s="280"/>
    </row>
    <row r="748">
      <c r="A748" s="280"/>
      <c r="B748" s="280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  <c r="Z748" s="280"/>
    </row>
    <row r="749">
      <c r="A749" s="280"/>
      <c r="B749" s="280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  <c r="Z749" s="280"/>
    </row>
    <row r="750">
      <c r="A750" s="280"/>
      <c r="B750" s="280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  <c r="Z750" s="280"/>
    </row>
    <row r="751">
      <c r="A751" s="280"/>
      <c r="B751" s="280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  <c r="Z751" s="280"/>
    </row>
    <row r="752">
      <c r="A752" s="280"/>
      <c r="B752" s="280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  <c r="Z752" s="280"/>
    </row>
    <row r="753">
      <c r="A753" s="280"/>
      <c r="B753" s="280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  <c r="Z753" s="280"/>
    </row>
    <row r="754">
      <c r="A754" s="280"/>
      <c r="B754" s="280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  <c r="Z754" s="280"/>
    </row>
    <row r="755">
      <c r="A755" s="280"/>
      <c r="B755" s="280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  <c r="Z755" s="280"/>
    </row>
    <row r="756">
      <c r="A756" s="280"/>
      <c r="B756" s="280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  <c r="Z756" s="280"/>
    </row>
    <row r="757">
      <c r="A757" s="280"/>
      <c r="B757" s="280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  <c r="Z757" s="280"/>
    </row>
    <row r="758">
      <c r="A758" s="280"/>
      <c r="B758" s="280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  <c r="Z758" s="280"/>
    </row>
    <row r="759">
      <c r="A759" s="280"/>
      <c r="B759" s="280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  <c r="Z759" s="280"/>
    </row>
    <row r="760">
      <c r="A760" s="280"/>
      <c r="B760" s="280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  <c r="Z760" s="280"/>
    </row>
    <row r="761">
      <c r="A761" s="280"/>
      <c r="B761" s="280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  <c r="Z761" s="280"/>
    </row>
    <row r="762">
      <c r="A762" s="280"/>
      <c r="B762" s="280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  <c r="Z762" s="280"/>
    </row>
    <row r="763">
      <c r="A763" s="280"/>
      <c r="B763" s="280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  <c r="Z763" s="280"/>
    </row>
    <row r="764">
      <c r="A764" s="280"/>
      <c r="B764" s="280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  <c r="Z764" s="280"/>
    </row>
    <row r="765">
      <c r="A765" s="280"/>
      <c r="B765" s="280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  <c r="Z765" s="280"/>
    </row>
    <row r="766">
      <c r="A766" s="280"/>
      <c r="B766" s="280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  <c r="Z766" s="280"/>
    </row>
    <row r="767">
      <c r="A767" s="280"/>
      <c r="B767" s="280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  <c r="Z767" s="280"/>
    </row>
    <row r="768">
      <c r="A768" s="280"/>
      <c r="B768" s="280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  <c r="Z768" s="280"/>
    </row>
    <row r="769">
      <c r="A769" s="280"/>
      <c r="B769" s="280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  <c r="Z769" s="280"/>
    </row>
    <row r="770">
      <c r="A770" s="280"/>
      <c r="B770" s="280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  <c r="Z770" s="280"/>
    </row>
    <row r="771">
      <c r="A771" s="280"/>
      <c r="B771" s="280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  <c r="Z771" s="280"/>
    </row>
    <row r="772">
      <c r="A772" s="280"/>
      <c r="B772" s="280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  <c r="Z772" s="280"/>
    </row>
    <row r="773">
      <c r="A773" s="280"/>
      <c r="B773" s="280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  <c r="Z773" s="280"/>
    </row>
    <row r="774">
      <c r="A774" s="280"/>
      <c r="B774" s="280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  <c r="Z774" s="280"/>
    </row>
    <row r="775">
      <c r="A775" s="280"/>
      <c r="B775" s="280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  <c r="Z775" s="280"/>
    </row>
    <row r="776">
      <c r="A776" s="280"/>
      <c r="B776" s="280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  <c r="Z776" s="280"/>
    </row>
    <row r="777">
      <c r="A777" s="280"/>
      <c r="B777" s="280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  <c r="Z777" s="280"/>
    </row>
    <row r="778">
      <c r="A778" s="280"/>
      <c r="B778" s="280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  <c r="Z778" s="280"/>
    </row>
    <row r="779">
      <c r="A779" s="280"/>
      <c r="B779" s="280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  <c r="Z779" s="280"/>
    </row>
    <row r="780">
      <c r="A780" s="280"/>
      <c r="B780" s="280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  <c r="Z780" s="280"/>
    </row>
    <row r="781">
      <c r="A781" s="280"/>
      <c r="B781" s="280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  <c r="Z781" s="280"/>
    </row>
    <row r="782">
      <c r="A782" s="280"/>
      <c r="B782" s="280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  <c r="Z782" s="280"/>
    </row>
    <row r="783">
      <c r="A783" s="280"/>
      <c r="B783" s="280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  <c r="Z783" s="280"/>
    </row>
    <row r="784">
      <c r="A784" s="280"/>
      <c r="B784" s="280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  <c r="Z784" s="280"/>
    </row>
    <row r="785">
      <c r="A785" s="280"/>
      <c r="B785" s="280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  <c r="Z785" s="280"/>
    </row>
    <row r="786">
      <c r="A786" s="280"/>
      <c r="B786" s="280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  <c r="Z786" s="280"/>
    </row>
    <row r="787">
      <c r="A787" s="280"/>
      <c r="B787" s="280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  <c r="Z787" s="280"/>
    </row>
    <row r="788">
      <c r="A788" s="280"/>
      <c r="B788" s="280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  <c r="Z788" s="280"/>
    </row>
    <row r="789">
      <c r="A789" s="280"/>
      <c r="B789" s="280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</row>
    <row r="790">
      <c r="A790" s="280"/>
      <c r="B790" s="280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  <c r="Z790" s="280"/>
    </row>
    <row r="791">
      <c r="A791" s="280"/>
      <c r="B791" s="280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  <c r="Z791" s="280"/>
    </row>
    <row r="792">
      <c r="A792" s="280"/>
      <c r="B792" s="280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  <c r="Z792" s="280"/>
    </row>
    <row r="793">
      <c r="A793" s="280"/>
      <c r="B793" s="280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  <c r="Z793" s="280"/>
    </row>
    <row r="794">
      <c r="A794" s="280"/>
      <c r="B794" s="280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  <c r="Z794" s="280"/>
    </row>
    <row r="795">
      <c r="A795" s="280"/>
      <c r="B795" s="280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  <c r="Z795" s="280"/>
    </row>
    <row r="796">
      <c r="A796" s="280"/>
      <c r="B796" s="280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  <c r="Z796" s="280"/>
    </row>
    <row r="797">
      <c r="A797" s="280"/>
      <c r="B797" s="280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  <c r="Z797" s="280"/>
    </row>
    <row r="798">
      <c r="A798" s="280"/>
      <c r="B798" s="280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  <c r="Z798" s="280"/>
    </row>
    <row r="799">
      <c r="A799" s="280"/>
      <c r="B799" s="280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  <c r="Z799" s="280"/>
    </row>
    <row r="800">
      <c r="A800" s="280"/>
      <c r="B800" s="280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  <c r="Z800" s="280"/>
    </row>
    <row r="801">
      <c r="A801" s="280"/>
      <c r="B801" s="280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  <c r="Z801" s="280"/>
    </row>
    <row r="802">
      <c r="A802" s="280"/>
      <c r="B802" s="280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  <c r="Z802" s="280"/>
    </row>
    <row r="803">
      <c r="A803" s="280"/>
      <c r="B803" s="280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  <c r="Z803" s="280"/>
    </row>
    <row r="804">
      <c r="A804" s="280"/>
      <c r="B804" s="280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  <c r="Z804" s="280"/>
    </row>
    <row r="805">
      <c r="A805" s="280"/>
      <c r="B805" s="280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  <c r="Z805" s="280"/>
    </row>
    <row r="806">
      <c r="A806" s="280"/>
      <c r="B806" s="280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  <c r="Z806" s="280"/>
    </row>
    <row r="807">
      <c r="A807" s="280"/>
      <c r="B807" s="280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  <c r="Z807" s="280"/>
    </row>
    <row r="808">
      <c r="A808" s="280"/>
      <c r="B808" s="280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  <c r="Z808" s="280"/>
    </row>
    <row r="809">
      <c r="A809" s="280"/>
      <c r="B809" s="280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  <c r="Z809" s="280"/>
    </row>
    <row r="810">
      <c r="A810" s="280"/>
      <c r="B810" s="280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  <c r="Z810" s="280"/>
    </row>
    <row r="811">
      <c r="A811" s="280"/>
      <c r="B811" s="280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  <c r="Z811" s="280"/>
    </row>
    <row r="812">
      <c r="A812" s="280"/>
      <c r="B812" s="280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  <c r="Z812" s="280"/>
    </row>
    <row r="813">
      <c r="A813" s="280"/>
      <c r="B813" s="280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  <c r="Z813" s="280"/>
    </row>
    <row r="814">
      <c r="A814" s="280"/>
      <c r="B814" s="280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  <c r="Z814" s="280"/>
    </row>
    <row r="815">
      <c r="A815" s="280"/>
      <c r="B815" s="280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  <c r="Z815" s="280"/>
    </row>
    <row r="816">
      <c r="A816" s="280"/>
      <c r="B816" s="280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  <c r="Z816" s="280"/>
    </row>
    <row r="817">
      <c r="A817" s="280"/>
      <c r="B817" s="280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  <c r="Z817" s="280"/>
    </row>
    <row r="818">
      <c r="A818" s="280"/>
      <c r="B818" s="280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  <c r="Z818" s="280"/>
    </row>
    <row r="819">
      <c r="A819" s="280"/>
      <c r="B819" s="280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  <c r="Z819" s="280"/>
    </row>
    <row r="820">
      <c r="A820" s="280"/>
      <c r="B820" s="280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  <c r="Z820" s="280"/>
    </row>
    <row r="821">
      <c r="A821" s="280"/>
      <c r="B821" s="280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  <c r="Z821" s="280"/>
    </row>
    <row r="822">
      <c r="A822" s="280"/>
      <c r="B822" s="280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  <c r="Z822" s="280"/>
    </row>
    <row r="823">
      <c r="A823" s="280"/>
      <c r="B823" s="280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  <c r="Z823" s="280"/>
    </row>
    <row r="824">
      <c r="A824" s="280"/>
      <c r="B824" s="280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  <c r="Z824" s="280"/>
    </row>
    <row r="825">
      <c r="A825" s="280"/>
      <c r="B825" s="280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  <c r="Z825" s="280"/>
    </row>
    <row r="826">
      <c r="A826" s="280"/>
      <c r="B826" s="280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  <c r="Z826" s="280"/>
    </row>
    <row r="827">
      <c r="A827" s="280"/>
      <c r="B827" s="280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  <c r="Z827" s="280"/>
    </row>
    <row r="828">
      <c r="A828" s="280"/>
      <c r="B828" s="280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  <c r="Z828" s="280"/>
    </row>
    <row r="829">
      <c r="A829" s="280"/>
      <c r="B829" s="280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  <c r="Z829" s="280"/>
    </row>
    <row r="830">
      <c r="A830" s="280"/>
      <c r="B830" s="280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  <c r="Z830" s="280"/>
    </row>
    <row r="831">
      <c r="A831" s="280"/>
      <c r="B831" s="280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  <c r="Z831" s="280"/>
    </row>
    <row r="832">
      <c r="A832" s="280"/>
      <c r="B832" s="280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  <c r="Z832" s="280"/>
    </row>
    <row r="833">
      <c r="A833" s="280"/>
      <c r="B833" s="280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  <c r="Z833" s="280"/>
    </row>
    <row r="834">
      <c r="A834" s="280"/>
      <c r="B834" s="280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  <c r="Z834" s="280"/>
    </row>
    <row r="835">
      <c r="A835" s="280"/>
      <c r="B835" s="280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  <c r="Z835" s="280"/>
    </row>
    <row r="836">
      <c r="A836" s="280"/>
      <c r="B836" s="280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  <c r="Z836" s="280"/>
    </row>
    <row r="837">
      <c r="A837" s="280"/>
      <c r="B837" s="280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  <c r="Z837" s="280"/>
    </row>
    <row r="838">
      <c r="A838" s="280"/>
      <c r="B838" s="280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</row>
    <row r="839">
      <c r="A839" s="280"/>
      <c r="B839" s="280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  <c r="Z839" s="280"/>
    </row>
    <row r="840">
      <c r="A840" s="280"/>
      <c r="B840" s="280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  <c r="Z840" s="280"/>
    </row>
    <row r="841">
      <c r="A841" s="280"/>
      <c r="B841" s="280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  <c r="Z841" s="280"/>
    </row>
    <row r="842">
      <c r="A842" s="280"/>
      <c r="B842" s="280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  <c r="Z842" s="280"/>
    </row>
    <row r="843">
      <c r="A843" s="280"/>
      <c r="B843" s="280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  <c r="Z843" s="280"/>
    </row>
    <row r="844">
      <c r="A844" s="280"/>
      <c r="B844" s="280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  <c r="Z844" s="280"/>
    </row>
    <row r="845">
      <c r="A845" s="280"/>
      <c r="B845" s="280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  <c r="Z845" s="280"/>
    </row>
    <row r="846">
      <c r="A846" s="280"/>
      <c r="B846" s="280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  <c r="Z846" s="280"/>
    </row>
    <row r="847">
      <c r="A847" s="280"/>
      <c r="B847" s="280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  <c r="Z847" s="280"/>
    </row>
    <row r="848">
      <c r="A848" s="280"/>
      <c r="B848" s="280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  <c r="Z848" s="280"/>
    </row>
    <row r="849">
      <c r="A849" s="280"/>
      <c r="B849" s="280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</row>
    <row r="850">
      <c r="A850" s="280"/>
      <c r="B850" s="280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  <c r="Z850" s="280"/>
    </row>
    <row r="851">
      <c r="A851" s="280"/>
      <c r="B851" s="280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  <c r="Z851" s="280"/>
    </row>
    <row r="852">
      <c r="A852" s="280"/>
      <c r="B852" s="280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  <c r="Z852" s="280"/>
    </row>
    <row r="853">
      <c r="A853" s="280"/>
      <c r="B853" s="280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  <c r="Z853" s="280"/>
    </row>
    <row r="854">
      <c r="A854" s="280"/>
      <c r="B854" s="280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  <c r="Z854" s="280"/>
    </row>
    <row r="855">
      <c r="A855" s="280"/>
      <c r="B855" s="280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  <c r="Z855" s="280"/>
    </row>
    <row r="856">
      <c r="A856" s="280"/>
      <c r="B856" s="280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  <c r="Z856" s="280"/>
    </row>
    <row r="857">
      <c r="A857" s="280"/>
      <c r="B857" s="280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  <c r="Z857" s="280"/>
    </row>
    <row r="858">
      <c r="A858" s="280"/>
      <c r="B858" s="280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  <c r="Z858" s="280"/>
    </row>
    <row r="859">
      <c r="A859" s="280"/>
      <c r="B859" s="280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  <c r="Z859" s="280"/>
    </row>
    <row r="860">
      <c r="A860" s="280"/>
      <c r="B860" s="280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  <c r="Z860" s="280"/>
    </row>
    <row r="861">
      <c r="A861" s="280"/>
      <c r="B861" s="280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  <c r="Z861" s="280"/>
    </row>
    <row r="862">
      <c r="A862" s="280"/>
      <c r="B862" s="280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  <c r="Z862" s="280"/>
    </row>
    <row r="863">
      <c r="A863" s="280"/>
      <c r="B863" s="280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  <c r="Z863" s="280"/>
    </row>
    <row r="864">
      <c r="A864" s="280"/>
      <c r="B864" s="280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  <c r="Z864" s="280"/>
    </row>
    <row r="865">
      <c r="A865" s="280"/>
      <c r="B865" s="280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  <c r="Z865" s="280"/>
    </row>
    <row r="866">
      <c r="A866" s="280"/>
      <c r="B866" s="280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  <c r="Z866" s="280"/>
    </row>
    <row r="867">
      <c r="A867" s="280"/>
      <c r="B867" s="280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  <c r="Z867" s="280"/>
    </row>
    <row r="868">
      <c r="A868" s="280"/>
      <c r="B868" s="280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  <c r="Z868" s="280"/>
    </row>
    <row r="869">
      <c r="A869" s="280"/>
      <c r="B869" s="280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  <c r="Z869" s="280"/>
    </row>
    <row r="870">
      <c r="A870" s="280"/>
      <c r="B870" s="280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  <c r="Z870" s="280"/>
    </row>
    <row r="871">
      <c r="A871" s="280"/>
      <c r="B871" s="280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  <c r="Z871" s="280"/>
    </row>
    <row r="872">
      <c r="A872" s="280"/>
      <c r="B872" s="280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  <c r="Z872" s="280"/>
    </row>
    <row r="873">
      <c r="A873" s="280"/>
      <c r="B873" s="280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  <c r="Z873" s="280"/>
    </row>
    <row r="874">
      <c r="A874" s="280"/>
      <c r="B874" s="280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  <c r="Z874" s="280"/>
    </row>
    <row r="875">
      <c r="A875" s="280"/>
      <c r="B875" s="280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  <c r="Z875" s="280"/>
    </row>
    <row r="876">
      <c r="A876" s="280"/>
      <c r="B876" s="280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  <c r="Z876" s="280"/>
    </row>
    <row r="877">
      <c r="A877" s="280"/>
      <c r="B877" s="280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  <c r="Z877" s="280"/>
    </row>
    <row r="878">
      <c r="A878" s="280"/>
      <c r="B878" s="280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  <c r="Z878" s="280"/>
    </row>
    <row r="879">
      <c r="A879" s="280"/>
      <c r="B879" s="280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  <c r="Z879" s="280"/>
    </row>
    <row r="880">
      <c r="A880" s="280"/>
      <c r="B880" s="280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  <c r="Z880" s="280"/>
    </row>
    <row r="881">
      <c r="A881" s="280"/>
      <c r="B881" s="280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  <c r="Z881" s="280"/>
    </row>
    <row r="882">
      <c r="A882" s="280"/>
      <c r="B882" s="280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  <c r="Z882" s="280"/>
    </row>
    <row r="883">
      <c r="A883" s="280"/>
      <c r="B883" s="280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  <c r="Z883" s="280"/>
    </row>
    <row r="884">
      <c r="A884" s="280"/>
      <c r="B884" s="280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  <c r="Z884" s="280"/>
    </row>
    <row r="885">
      <c r="A885" s="280"/>
      <c r="B885" s="280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  <c r="Z885" s="280"/>
    </row>
    <row r="886">
      <c r="A886" s="280"/>
      <c r="B886" s="280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  <c r="Z886" s="280"/>
    </row>
    <row r="887">
      <c r="A887" s="280"/>
      <c r="B887" s="280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  <c r="Z887" s="280"/>
    </row>
    <row r="888">
      <c r="A888" s="280"/>
      <c r="B888" s="280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  <c r="Z888" s="280"/>
    </row>
    <row r="889">
      <c r="A889" s="280"/>
      <c r="B889" s="280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  <c r="Z889" s="280"/>
    </row>
    <row r="890">
      <c r="A890" s="280"/>
      <c r="B890" s="280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  <c r="Z890" s="280"/>
    </row>
    <row r="891">
      <c r="A891" s="280"/>
      <c r="B891" s="280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  <c r="Z891" s="280"/>
    </row>
    <row r="892">
      <c r="A892" s="280"/>
      <c r="B892" s="280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  <c r="Z892" s="280"/>
    </row>
    <row r="893">
      <c r="A893" s="280"/>
      <c r="B893" s="280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  <c r="Z893" s="280"/>
    </row>
    <row r="894">
      <c r="A894" s="280"/>
      <c r="B894" s="280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  <c r="Z894" s="280"/>
    </row>
    <row r="895">
      <c r="A895" s="280"/>
      <c r="B895" s="280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  <c r="Z895" s="280"/>
    </row>
    <row r="896">
      <c r="A896" s="280"/>
      <c r="B896" s="280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  <c r="Z896" s="280"/>
    </row>
    <row r="897">
      <c r="A897" s="280"/>
      <c r="B897" s="280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  <c r="Z897" s="280"/>
    </row>
    <row r="898">
      <c r="A898" s="280"/>
      <c r="B898" s="280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  <c r="Z898" s="280"/>
    </row>
    <row r="899">
      <c r="A899" s="280"/>
      <c r="B899" s="280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  <c r="Z899" s="280"/>
    </row>
    <row r="900">
      <c r="A900" s="280"/>
      <c r="B900" s="280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  <c r="Z900" s="280"/>
    </row>
    <row r="901">
      <c r="A901" s="280"/>
      <c r="B901" s="280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  <c r="Z901" s="280"/>
    </row>
    <row r="902">
      <c r="A902" s="280"/>
      <c r="B902" s="280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  <c r="Z902" s="280"/>
    </row>
    <row r="903">
      <c r="A903" s="280"/>
      <c r="B903" s="280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  <c r="Z903" s="280"/>
    </row>
    <row r="904">
      <c r="A904" s="280"/>
      <c r="B904" s="280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  <c r="Z904" s="280"/>
    </row>
    <row r="905">
      <c r="A905" s="280"/>
      <c r="B905" s="280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  <c r="Z905" s="280"/>
    </row>
    <row r="906">
      <c r="A906" s="280"/>
      <c r="B906" s="280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  <c r="Z906" s="280"/>
    </row>
    <row r="907">
      <c r="A907" s="280"/>
      <c r="B907" s="280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  <c r="Z907" s="280"/>
    </row>
    <row r="908">
      <c r="A908" s="280"/>
      <c r="B908" s="280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  <c r="Z908" s="280"/>
    </row>
    <row r="909">
      <c r="A909" s="280"/>
      <c r="B909" s="280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  <c r="Z909" s="280"/>
    </row>
    <row r="910">
      <c r="A910" s="280"/>
      <c r="B910" s="280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  <c r="Z910" s="280"/>
    </row>
    <row r="911">
      <c r="A911" s="280"/>
      <c r="B911" s="280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  <c r="Z911" s="280"/>
    </row>
    <row r="912">
      <c r="A912" s="280"/>
      <c r="B912" s="280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  <c r="Z912" s="280"/>
    </row>
    <row r="913">
      <c r="A913" s="280"/>
      <c r="B913" s="280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  <c r="Z913" s="280"/>
    </row>
    <row r="914">
      <c r="A914" s="280"/>
      <c r="B914" s="280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  <c r="Z914" s="280"/>
    </row>
    <row r="915">
      <c r="A915" s="280"/>
      <c r="B915" s="280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  <c r="Z915" s="280"/>
    </row>
    <row r="916">
      <c r="A916" s="280"/>
      <c r="B916" s="280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  <c r="Z916" s="280"/>
    </row>
    <row r="917">
      <c r="A917" s="280"/>
      <c r="B917" s="280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  <c r="Z917" s="280"/>
    </row>
    <row r="918">
      <c r="A918" s="280"/>
      <c r="B918" s="280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  <c r="Z918" s="280"/>
    </row>
    <row r="919">
      <c r="A919" s="280"/>
      <c r="B919" s="280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  <c r="Z919" s="280"/>
    </row>
    <row r="920">
      <c r="A920" s="280"/>
      <c r="B920" s="280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  <c r="Z920" s="280"/>
    </row>
    <row r="921">
      <c r="A921" s="280"/>
      <c r="B921" s="280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  <c r="Z921" s="280"/>
    </row>
    <row r="922">
      <c r="A922" s="280"/>
      <c r="B922" s="280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  <c r="Z922" s="280"/>
    </row>
    <row r="923">
      <c r="A923" s="280"/>
      <c r="B923" s="280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</row>
    <row r="924">
      <c r="A924" s="280"/>
      <c r="B924" s="280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  <c r="Z924" s="280"/>
    </row>
    <row r="925">
      <c r="A925" s="280"/>
      <c r="B925" s="280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  <c r="Z925" s="280"/>
    </row>
    <row r="926">
      <c r="A926" s="280"/>
      <c r="B926" s="280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  <c r="Z926" s="280"/>
    </row>
    <row r="927">
      <c r="A927" s="280"/>
      <c r="B927" s="280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  <c r="Z927" s="280"/>
    </row>
    <row r="928">
      <c r="A928" s="280"/>
      <c r="B928" s="280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  <c r="Z928" s="280"/>
    </row>
    <row r="929">
      <c r="A929" s="280"/>
      <c r="B929" s="280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  <c r="Z929" s="280"/>
    </row>
    <row r="930">
      <c r="A930" s="280"/>
      <c r="B930" s="280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  <c r="Z930" s="280"/>
    </row>
    <row r="931">
      <c r="A931" s="280"/>
      <c r="B931" s="280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  <c r="Z931" s="280"/>
    </row>
    <row r="932">
      <c r="A932" s="280"/>
      <c r="B932" s="280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  <c r="Z932" s="280"/>
    </row>
    <row r="933">
      <c r="A933" s="280"/>
      <c r="B933" s="280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  <c r="Z933" s="280"/>
    </row>
    <row r="934">
      <c r="A934" s="280"/>
      <c r="B934" s="280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  <c r="Z934" s="280"/>
    </row>
    <row r="935">
      <c r="A935" s="280"/>
      <c r="B935" s="280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  <c r="Z935" s="280"/>
    </row>
    <row r="936">
      <c r="A936" s="280"/>
      <c r="B936" s="280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  <c r="Z936" s="280"/>
    </row>
    <row r="937">
      <c r="A937" s="280"/>
      <c r="B937" s="280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  <c r="Z937" s="280"/>
    </row>
    <row r="938">
      <c r="A938" s="280"/>
      <c r="B938" s="280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  <c r="Z938" s="280"/>
    </row>
    <row r="939">
      <c r="A939" s="280"/>
      <c r="B939" s="280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  <c r="Z939" s="280"/>
    </row>
    <row r="940">
      <c r="A940" s="280"/>
      <c r="B940" s="280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  <c r="Z940" s="280"/>
    </row>
    <row r="941">
      <c r="A941" s="280"/>
      <c r="B941" s="280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  <c r="Z941" s="280"/>
    </row>
    <row r="942">
      <c r="A942" s="280"/>
      <c r="B942" s="280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  <c r="Z942" s="280"/>
    </row>
    <row r="943">
      <c r="A943" s="280"/>
      <c r="B943" s="280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  <c r="Z943" s="280"/>
    </row>
    <row r="944">
      <c r="A944" s="280"/>
      <c r="B944" s="280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  <c r="Z944" s="280"/>
    </row>
    <row r="945">
      <c r="A945" s="280"/>
      <c r="B945" s="280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  <c r="Z945" s="280"/>
    </row>
    <row r="946">
      <c r="A946" s="280"/>
      <c r="B946" s="280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  <c r="Z946" s="280"/>
    </row>
    <row r="947">
      <c r="A947" s="280"/>
      <c r="B947" s="280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  <c r="Z947" s="280"/>
    </row>
    <row r="948">
      <c r="A948" s="280"/>
      <c r="B948" s="280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  <c r="Z948" s="280"/>
    </row>
    <row r="949">
      <c r="A949" s="280"/>
      <c r="B949" s="280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  <c r="Z949" s="280"/>
    </row>
    <row r="950">
      <c r="A950" s="280"/>
      <c r="B950" s="280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  <c r="Z950" s="280"/>
    </row>
    <row r="951">
      <c r="A951" s="280"/>
      <c r="B951" s="280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  <c r="Z951" s="280"/>
    </row>
    <row r="952">
      <c r="A952" s="280"/>
      <c r="B952" s="280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  <c r="Z952" s="280"/>
    </row>
    <row r="953">
      <c r="A953" s="280"/>
      <c r="B953" s="280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  <c r="Z953" s="280"/>
    </row>
    <row r="954">
      <c r="A954" s="280"/>
      <c r="B954" s="280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  <c r="Z954" s="280"/>
    </row>
    <row r="955">
      <c r="A955" s="280"/>
      <c r="B955" s="280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  <c r="Z955" s="280"/>
    </row>
    <row r="956">
      <c r="A956" s="280"/>
      <c r="B956" s="280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  <c r="Z956" s="280"/>
    </row>
    <row r="957">
      <c r="A957" s="280"/>
      <c r="B957" s="280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  <c r="Z957" s="280"/>
    </row>
    <row r="958">
      <c r="A958" s="280"/>
      <c r="B958" s="280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  <c r="Z958" s="280"/>
    </row>
    <row r="959">
      <c r="A959" s="280"/>
      <c r="B959" s="280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  <c r="Z959" s="280"/>
    </row>
    <row r="960">
      <c r="A960" s="280"/>
      <c r="B960" s="280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  <c r="Z960" s="280"/>
    </row>
    <row r="961">
      <c r="A961" s="280"/>
      <c r="B961" s="280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  <c r="Z961" s="280"/>
    </row>
    <row r="962">
      <c r="A962" s="280"/>
      <c r="B962" s="280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  <c r="Z962" s="280"/>
    </row>
    <row r="963">
      <c r="A963" s="280"/>
      <c r="B963" s="280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  <c r="Z963" s="280"/>
    </row>
    <row r="964">
      <c r="A964" s="280"/>
      <c r="B964" s="280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  <c r="X964" s="280"/>
      <c r="Y964" s="280"/>
      <c r="Z964" s="280"/>
    </row>
    <row r="965">
      <c r="A965" s="280"/>
      <c r="B965" s="280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  <c r="X965" s="280"/>
      <c r="Y965" s="280"/>
      <c r="Z965" s="280"/>
    </row>
    <row r="966">
      <c r="A966" s="280"/>
      <c r="B966" s="280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  <c r="X966" s="280"/>
      <c r="Y966" s="280"/>
      <c r="Z966" s="280"/>
    </row>
    <row r="967">
      <c r="A967" s="280"/>
      <c r="B967" s="280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  <c r="X967" s="280"/>
      <c r="Y967" s="280"/>
      <c r="Z967" s="280"/>
    </row>
    <row r="968">
      <c r="A968" s="280"/>
      <c r="B968" s="280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  <c r="X968" s="280"/>
      <c r="Y968" s="280"/>
      <c r="Z968" s="280"/>
    </row>
    <row r="969">
      <c r="A969" s="280"/>
      <c r="B969" s="280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  <c r="X969" s="280"/>
      <c r="Y969" s="280"/>
      <c r="Z969" s="280"/>
    </row>
    <row r="970">
      <c r="A970" s="280"/>
      <c r="B970" s="280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  <c r="X970" s="280"/>
      <c r="Y970" s="280"/>
      <c r="Z970" s="280"/>
    </row>
  </sheetData>
  <autoFilter ref="$A$1:$J$66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7.5"/>
    <col customWidth="1" min="2" max="2" width="9.75"/>
  </cols>
  <sheetData>
    <row r="1">
      <c r="B1" t="s">
        <v>3787</v>
      </c>
      <c r="C1" s="614" t="s">
        <v>3788</v>
      </c>
      <c r="D1" s="614" t="s">
        <v>3789</v>
      </c>
    </row>
    <row r="2">
      <c r="A2" s="312" t="s">
        <v>3790</v>
      </c>
      <c r="B2">
        <v>1.0</v>
      </c>
      <c r="C2" s="614">
        <v>180000.0</v>
      </c>
      <c r="D2" s="370">
        <f t="shared" ref="D2:D16" si="1">C2*B2</f>
        <v>180000</v>
      </c>
    </row>
    <row r="3">
      <c r="A3" s="312" t="s">
        <v>3791</v>
      </c>
      <c r="B3">
        <v>1.0</v>
      </c>
      <c r="C3" s="614">
        <v>45000.0</v>
      </c>
      <c r="D3" s="370">
        <f t="shared" si="1"/>
        <v>45000</v>
      </c>
    </row>
    <row r="4">
      <c r="A4" s="312" t="s">
        <v>3792</v>
      </c>
      <c r="B4" s="312">
        <v>10.0</v>
      </c>
      <c r="C4" s="614">
        <v>7000.0</v>
      </c>
      <c r="D4" s="370">
        <f t="shared" si="1"/>
        <v>70000</v>
      </c>
    </row>
    <row r="5">
      <c r="A5" s="312" t="s">
        <v>3793</v>
      </c>
      <c r="B5" s="312">
        <v>4.0</v>
      </c>
      <c r="C5" s="614">
        <v>32000.0</v>
      </c>
      <c r="D5" s="370">
        <f t="shared" si="1"/>
        <v>128000</v>
      </c>
    </row>
    <row r="6">
      <c r="A6" s="312" t="s">
        <v>3794</v>
      </c>
      <c r="B6" s="312">
        <v>0.0</v>
      </c>
      <c r="C6" s="614">
        <v>4000.0</v>
      </c>
      <c r="D6" s="370">
        <f t="shared" si="1"/>
        <v>0</v>
      </c>
    </row>
    <row r="7">
      <c r="A7" s="312" t="s">
        <v>3795</v>
      </c>
      <c r="B7" s="312">
        <v>0.0</v>
      </c>
      <c r="C7" s="370"/>
      <c r="D7" s="370">
        <f t="shared" si="1"/>
        <v>0</v>
      </c>
    </row>
    <row r="8">
      <c r="A8" s="312" t="s">
        <v>3796</v>
      </c>
      <c r="B8" s="312">
        <v>2.0</v>
      </c>
      <c r="C8" s="614">
        <v>42000.0</v>
      </c>
      <c r="D8" s="370">
        <f t="shared" si="1"/>
        <v>84000</v>
      </c>
    </row>
    <row r="9">
      <c r="A9" s="312" t="s">
        <v>3797</v>
      </c>
      <c r="B9" s="312">
        <v>2.0</v>
      </c>
      <c r="C9" s="614">
        <v>42000.0</v>
      </c>
      <c r="D9" s="370">
        <f t="shared" si="1"/>
        <v>84000</v>
      </c>
    </row>
    <row r="10">
      <c r="A10" s="312" t="s">
        <v>3798</v>
      </c>
      <c r="B10" s="312">
        <v>1.0</v>
      </c>
      <c r="C10" s="614">
        <v>20000.0</v>
      </c>
      <c r="D10" s="370">
        <f t="shared" si="1"/>
        <v>20000</v>
      </c>
    </row>
    <row r="11">
      <c r="A11" s="312" t="s">
        <v>3799</v>
      </c>
      <c r="C11" s="370"/>
      <c r="D11" s="370">
        <f t="shared" si="1"/>
        <v>0</v>
      </c>
    </row>
    <row r="12">
      <c r="A12" s="312" t="s">
        <v>3800</v>
      </c>
      <c r="C12" s="370"/>
      <c r="D12" s="370">
        <f t="shared" si="1"/>
        <v>0</v>
      </c>
    </row>
    <row r="13">
      <c r="A13" s="312" t="s">
        <v>3801</v>
      </c>
      <c r="B13" s="312">
        <v>1.0</v>
      </c>
      <c r="C13" s="614">
        <v>36000.0</v>
      </c>
      <c r="D13" s="370">
        <f t="shared" si="1"/>
        <v>36000</v>
      </c>
    </row>
    <row r="14">
      <c r="A14" s="312" t="s">
        <v>906</v>
      </c>
      <c r="B14" s="312">
        <v>0.0</v>
      </c>
      <c r="C14" s="614">
        <v>8000.0</v>
      </c>
      <c r="D14" s="370">
        <f t="shared" si="1"/>
        <v>0</v>
      </c>
    </row>
    <row r="15">
      <c r="A15" s="312" t="s">
        <v>3802</v>
      </c>
      <c r="B15" s="312">
        <v>4.0</v>
      </c>
      <c r="C15" s="614">
        <v>18000.0</v>
      </c>
      <c r="D15" s="370">
        <f t="shared" si="1"/>
        <v>72000</v>
      </c>
    </row>
    <row r="16">
      <c r="A16" s="312" t="s">
        <v>3803</v>
      </c>
      <c r="B16" s="312">
        <v>6.0</v>
      </c>
      <c r="C16" s="614">
        <v>4000.0</v>
      </c>
      <c r="D16" s="370">
        <f t="shared" si="1"/>
        <v>24000</v>
      </c>
    </row>
    <row r="17">
      <c r="C17" s="370"/>
      <c r="D17" s="370"/>
    </row>
    <row r="18">
      <c r="C18" s="614" t="s">
        <v>3083</v>
      </c>
      <c r="D18" s="370">
        <f>SUM(D2:D16)</f>
        <v>743000</v>
      </c>
    </row>
    <row r="19">
      <c r="C19" s="370"/>
      <c r="D19" s="370"/>
    </row>
    <row r="20">
      <c r="C20" s="370"/>
      <c r="D20" s="370"/>
    </row>
    <row r="21">
      <c r="B21" t="s">
        <v>3787</v>
      </c>
      <c r="C21" s="614" t="s">
        <v>3788</v>
      </c>
      <c r="D21" s="614" t="s">
        <v>3789</v>
      </c>
    </row>
    <row r="22">
      <c r="A22" s="312" t="s">
        <v>3804</v>
      </c>
      <c r="B22" s="312">
        <v>1.0</v>
      </c>
      <c r="C22" s="614">
        <v>120000.0</v>
      </c>
      <c r="D22" s="370">
        <f>C22*B22</f>
        <v>120000</v>
      </c>
    </row>
    <row r="23">
      <c r="A23" s="312" t="s">
        <v>3805</v>
      </c>
      <c r="B23" s="312">
        <v>1.0</v>
      </c>
      <c r="C23" s="614" t="s">
        <v>3806</v>
      </c>
      <c r="D23" s="370"/>
    </row>
    <row r="24">
      <c r="A24" s="312" t="s">
        <v>3807</v>
      </c>
      <c r="B24" s="312">
        <v>4.0</v>
      </c>
      <c r="C24" s="614">
        <v>110000.0</v>
      </c>
      <c r="D24" s="370">
        <f t="shared" ref="D24:D36" si="2">C24*B24</f>
        <v>440000</v>
      </c>
    </row>
    <row r="25">
      <c r="A25" s="312" t="s">
        <v>3808</v>
      </c>
      <c r="B25" s="312">
        <v>1.0</v>
      </c>
      <c r="C25" s="614">
        <v>140000.0</v>
      </c>
      <c r="D25" s="370">
        <f t="shared" si="2"/>
        <v>140000</v>
      </c>
    </row>
    <row r="26">
      <c r="A26" s="312" t="s">
        <v>3809</v>
      </c>
      <c r="B26" s="312">
        <v>1.0</v>
      </c>
      <c r="C26" s="614">
        <v>60000.0</v>
      </c>
      <c r="D26" s="370">
        <f t="shared" si="2"/>
        <v>60000</v>
      </c>
    </row>
    <row r="27">
      <c r="A27" s="312" t="s">
        <v>3810</v>
      </c>
      <c r="B27" s="312">
        <v>1.0</v>
      </c>
      <c r="C27" s="614">
        <v>60000.0</v>
      </c>
      <c r="D27" s="370">
        <f t="shared" si="2"/>
        <v>60000</v>
      </c>
    </row>
    <row r="28">
      <c r="A28" s="312" t="s">
        <v>3811</v>
      </c>
      <c r="B28" s="312">
        <v>1.0</v>
      </c>
      <c r="C28" s="614">
        <v>165000.0</v>
      </c>
      <c r="D28" s="370">
        <f t="shared" si="2"/>
        <v>165000</v>
      </c>
    </row>
    <row r="29">
      <c r="A29" s="312" t="s">
        <v>3791</v>
      </c>
      <c r="B29">
        <v>1.0</v>
      </c>
      <c r="C29" s="614">
        <v>45000.0</v>
      </c>
      <c r="D29" s="370">
        <f t="shared" si="2"/>
        <v>45000</v>
      </c>
    </row>
    <row r="30">
      <c r="A30" s="312" t="s">
        <v>3812</v>
      </c>
      <c r="B30" s="312">
        <v>1.0</v>
      </c>
      <c r="C30" s="614">
        <v>54000.0</v>
      </c>
      <c r="D30" s="370">
        <f t="shared" si="2"/>
        <v>54000</v>
      </c>
    </row>
    <row r="31">
      <c r="A31" s="312" t="s">
        <v>3813</v>
      </c>
      <c r="B31" s="312">
        <v>1.0</v>
      </c>
      <c r="C31" s="614">
        <v>74000.0</v>
      </c>
      <c r="D31" s="370">
        <f t="shared" si="2"/>
        <v>74000</v>
      </c>
    </row>
    <row r="32">
      <c r="A32" s="312" t="s">
        <v>3814</v>
      </c>
      <c r="B32" s="312">
        <v>1.0</v>
      </c>
      <c r="C32" s="614">
        <v>63000.0</v>
      </c>
      <c r="D32" s="370">
        <f t="shared" si="2"/>
        <v>63000</v>
      </c>
    </row>
    <row r="33">
      <c r="A33" s="312" t="s">
        <v>3815</v>
      </c>
      <c r="C33" s="370"/>
      <c r="D33" s="370">
        <f t="shared" si="2"/>
        <v>0</v>
      </c>
    </row>
    <row r="34">
      <c r="A34" s="312" t="s">
        <v>3816</v>
      </c>
      <c r="B34" s="312">
        <v>1.0</v>
      </c>
      <c r="C34" s="614">
        <v>270000.0</v>
      </c>
      <c r="D34" s="370">
        <f t="shared" si="2"/>
        <v>270000</v>
      </c>
    </row>
    <row r="35">
      <c r="A35" s="312" t="s">
        <v>3817</v>
      </c>
      <c r="B35" s="312">
        <v>6.0</v>
      </c>
      <c r="C35" s="614">
        <v>229000.0</v>
      </c>
      <c r="D35" s="370">
        <f t="shared" si="2"/>
        <v>1374000</v>
      </c>
    </row>
    <row r="36">
      <c r="C36" s="370"/>
      <c r="D36" s="370">
        <f t="shared" si="2"/>
        <v>0</v>
      </c>
    </row>
    <row r="37">
      <c r="C37" s="614" t="s">
        <v>3083</v>
      </c>
      <c r="D37" s="370">
        <f>SUM(D22:D35)</f>
        <v>2865000</v>
      </c>
    </row>
    <row r="38">
      <c r="C38" s="370"/>
      <c r="D38" s="370"/>
    </row>
    <row r="39">
      <c r="C39" s="370"/>
      <c r="D39" s="370"/>
    </row>
    <row r="40">
      <c r="C40" s="370"/>
      <c r="D40" s="370"/>
    </row>
    <row r="41">
      <c r="B41" s="280" t="s">
        <v>3787</v>
      </c>
      <c r="C41" s="595" t="s">
        <v>3788</v>
      </c>
      <c r="D41" s="595" t="s">
        <v>3789</v>
      </c>
    </row>
    <row r="42">
      <c r="A42" s="312" t="s">
        <v>3818</v>
      </c>
      <c r="B42" s="312">
        <v>1.0</v>
      </c>
      <c r="C42" s="614">
        <v>130000.0</v>
      </c>
      <c r="D42" s="370">
        <f t="shared" ref="D42:D53" si="3">C42*B42</f>
        <v>130000</v>
      </c>
    </row>
    <row r="43">
      <c r="A43" s="312" t="s">
        <v>3819</v>
      </c>
      <c r="B43" s="312">
        <v>1.0</v>
      </c>
      <c r="C43" s="614">
        <v>130000.0</v>
      </c>
      <c r="D43" s="370">
        <f t="shared" si="3"/>
        <v>130000</v>
      </c>
    </row>
    <row r="44">
      <c r="A44" s="312" t="s">
        <v>3820</v>
      </c>
      <c r="B44" s="312">
        <v>2.0</v>
      </c>
      <c r="C44" s="614">
        <v>130000.0</v>
      </c>
      <c r="D44" s="370">
        <f t="shared" si="3"/>
        <v>260000</v>
      </c>
    </row>
    <row r="45">
      <c r="A45" s="312" t="s">
        <v>3821</v>
      </c>
      <c r="B45" s="312">
        <v>1.0</v>
      </c>
      <c r="C45" s="614">
        <v>130000.0</v>
      </c>
      <c r="D45" s="370">
        <f t="shared" si="3"/>
        <v>130000</v>
      </c>
    </row>
    <row r="46">
      <c r="A46" s="312" t="s">
        <v>3822</v>
      </c>
      <c r="B46" s="312">
        <v>12.0</v>
      </c>
      <c r="C46" s="614">
        <v>26000.0</v>
      </c>
      <c r="D46" s="370">
        <f t="shared" si="3"/>
        <v>312000</v>
      </c>
    </row>
    <row r="47">
      <c r="A47" s="312" t="s">
        <v>3823</v>
      </c>
      <c r="B47" s="312">
        <v>1.0</v>
      </c>
      <c r="C47" s="614">
        <v>325000.0</v>
      </c>
      <c r="D47" s="370">
        <f t="shared" si="3"/>
        <v>325000</v>
      </c>
    </row>
    <row r="48">
      <c r="A48" s="312" t="s">
        <v>3824</v>
      </c>
      <c r="B48" s="312">
        <v>6.0</v>
      </c>
      <c r="C48" s="614">
        <v>15000.0</v>
      </c>
      <c r="D48" s="370">
        <f t="shared" si="3"/>
        <v>90000</v>
      </c>
    </row>
    <row r="49">
      <c r="A49" s="312" t="s">
        <v>3825</v>
      </c>
      <c r="B49" s="312">
        <v>6.0</v>
      </c>
      <c r="C49" s="614">
        <v>15000.0</v>
      </c>
      <c r="D49" s="370">
        <f t="shared" si="3"/>
        <v>90000</v>
      </c>
    </row>
    <row r="50">
      <c r="A50" s="312" t="s">
        <v>3826</v>
      </c>
      <c r="B50" s="312">
        <v>2.0</v>
      </c>
      <c r="C50" s="614">
        <v>27000.0</v>
      </c>
      <c r="D50" s="370">
        <f t="shared" si="3"/>
        <v>54000</v>
      </c>
    </row>
    <row r="51">
      <c r="A51" s="312" t="s">
        <v>3827</v>
      </c>
      <c r="B51" s="312">
        <v>1.0</v>
      </c>
      <c r="C51" s="614">
        <v>32000.0</v>
      </c>
      <c r="D51" s="370">
        <f t="shared" si="3"/>
        <v>32000</v>
      </c>
    </row>
    <row r="52">
      <c r="A52" s="312" t="s">
        <v>3828</v>
      </c>
      <c r="B52" s="312">
        <v>1.0</v>
      </c>
      <c r="C52" s="614">
        <v>16000.0</v>
      </c>
      <c r="D52" s="370">
        <f t="shared" si="3"/>
        <v>16000</v>
      </c>
    </row>
    <row r="53">
      <c r="A53" s="312" t="s">
        <v>3829</v>
      </c>
      <c r="B53" s="312">
        <v>2.0</v>
      </c>
      <c r="C53" s="614">
        <v>4000.0</v>
      </c>
      <c r="D53" s="370">
        <f t="shared" si="3"/>
        <v>8000</v>
      </c>
    </row>
    <row r="54">
      <c r="C54" s="614" t="s">
        <v>3083</v>
      </c>
      <c r="D54" s="370">
        <f>SUM(D42:D53)</f>
        <v>1577000</v>
      </c>
    </row>
    <row r="55">
      <c r="C55" s="370"/>
      <c r="D55" s="370"/>
    </row>
    <row r="56">
      <c r="C56" s="370"/>
      <c r="D56" s="370"/>
    </row>
    <row r="57">
      <c r="C57" s="370"/>
      <c r="D57" s="370"/>
    </row>
    <row r="58">
      <c r="C58" s="370"/>
      <c r="D58" s="370"/>
    </row>
    <row r="59">
      <c r="C59" s="370"/>
      <c r="D59" s="370"/>
    </row>
    <row r="60">
      <c r="C60" s="370"/>
      <c r="D60" s="370"/>
    </row>
    <row r="61">
      <c r="C61" s="370"/>
      <c r="D61" s="370"/>
    </row>
    <row r="62">
      <c r="C62" s="370"/>
      <c r="D62" s="370"/>
    </row>
    <row r="63">
      <c r="C63" s="370"/>
      <c r="D63" s="370"/>
    </row>
    <row r="64">
      <c r="C64" s="370"/>
      <c r="D64" s="370"/>
    </row>
    <row r="65">
      <c r="C65" s="370"/>
      <c r="D65" s="370"/>
    </row>
    <row r="66">
      <c r="C66" s="370"/>
      <c r="D66" s="370"/>
    </row>
    <row r="67">
      <c r="C67" s="370"/>
      <c r="D67" s="370"/>
    </row>
    <row r="68">
      <c r="C68" s="370"/>
      <c r="D68" s="370"/>
    </row>
    <row r="69">
      <c r="C69" s="370"/>
      <c r="D69" s="370"/>
    </row>
    <row r="70">
      <c r="C70" s="370"/>
      <c r="D70" s="370"/>
    </row>
    <row r="71">
      <c r="C71" s="370"/>
      <c r="D71" s="370"/>
    </row>
    <row r="72">
      <c r="C72" s="370"/>
      <c r="D72" s="370"/>
    </row>
    <row r="73">
      <c r="C73" s="370"/>
      <c r="D73" s="370"/>
    </row>
    <row r="74">
      <c r="C74" s="370"/>
      <c r="D74" s="370"/>
    </row>
    <row r="75">
      <c r="C75" s="370"/>
      <c r="D75" s="370"/>
    </row>
    <row r="76">
      <c r="C76" s="370"/>
      <c r="D76" s="370"/>
    </row>
    <row r="77">
      <c r="C77" s="370"/>
      <c r="D77" s="370"/>
    </row>
    <row r="78">
      <c r="C78" s="370"/>
      <c r="D78" s="370"/>
    </row>
    <row r="79">
      <c r="C79" s="370"/>
      <c r="D79" s="370"/>
    </row>
    <row r="80">
      <c r="C80" s="370"/>
      <c r="D80" s="370"/>
    </row>
    <row r="81">
      <c r="C81" s="370"/>
      <c r="D81" s="370"/>
    </row>
    <row r="82">
      <c r="C82" s="370"/>
      <c r="D82" s="370"/>
    </row>
    <row r="83">
      <c r="C83" s="370"/>
      <c r="D83" s="370"/>
    </row>
    <row r="84">
      <c r="C84" s="370"/>
      <c r="D84" s="370"/>
    </row>
    <row r="85">
      <c r="C85" s="370"/>
      <c r="D85" s="370"/>
    </row>
    <row r="86">
      <c r="C86" s="370"/>
      <c r="D86" s="370"/>
    </row>
    <row r="87">
      <c r="C87" s="370"/>
      <c r="D87" s="370"/>
    </row>
    <row r="88">
      <c r="C88" s="370"/>
      <c r="D88" s="370"/>
    </row>
    <row r="89">
      <c r="C89" s="370"/>
      <c r="D89" s="370"/>
    </row>
    <row r="90">
      <c r="C90" s="370"/>
      <c r="D90" s="370"/>
    </row>
    <row r="91">
      <c r="C91" s="370"/>
      <c r="D91" s="370"/>
    </row>
    <row r="92">
      <c r="C92" s="370"/>
      <c r="D92" s="370"/>
    </row>
    <row r="93">
      <c r="C93" s="370"/>
      <c r="D93" s="370"/>
    </row>
    <row r="94">
      <c r="C94" s="370"/>
      <c r="D94" s="370"/>
    </row>
    <row r="95">
      <c r="C95" s="370"/>
      <c r="D95" s="370"/>
    </row>
    <row r="96">
      <c r="C96" s="370"/>
      <c r="D96" s="370"/>
    </row>
    <row r="97">
      <c r="C97" s="370"/>
      <c r="D97" s="370"/>
    </row>
    <row r="98">
      <c r="C98" s="370"/>
      <c r="D98" s="370"/>
    </row>
    <row r="99">
      <c r="C99" s="370"/>
      <c r="D99" s="370"/>
    </row>
    <row r="100">
      <c r="C100" s="370"/>
      <c r="D100" s="370"/>
    </row>
    <row r="101">
      <c r="C101" s="370"/>
      <c r="D101" s="370"/>
    </row>
    <row r="102">
      <c r="C102" s="370"/>
      <c r="D102" s="370"/>
    </row>
    <row r="103">
      <c r="C103" s="370"/>
      <c r="D103" s="370"/>
    </row>
    <row r="104">
      <c r="C104" s="370"/>
      <c r="D104" s="370"/>
    </row>
    <row r="105">
      <c r="C105" s="370"/>
      <c r="D105" s="370"/>
    </row>
    <row r="106">
      <c r="C106" s="370"/>
      <c r="D106" s="370"/>
    </row>
    <row r="107">
      <c r="C107" s="370"/>
      <c r="D107" s="370"/>
    </row>
    <row r="108">
      <c r="C108" s="370"/>
      <c r="D108" s="370"/>
    </row>
    <row r="109">
      <c r="C109" s="370"/>
      <c r="D109" s="370"/>
    </row>
    <row r="110">
      <c r="C110" s="370"/>
      <c r="D110" s="370"/>
    </row>
    <row r="111">
      <c r="C111" s="370"/>
      <c r="D111" s="370"/>
    </row>
    <row r="112">
      <c r="C112" s="370"/>
      <c r="D112" s="370"/>
    </row>
    <row r="113">
      <c r="C113" s="370"/>
      <c r="D113" s="370"/>
    </row>
    <row r="114">
      <c r="C114" s="370"/>
      <c r="D114" s="370"/>
    </row>
    <row r="115">
      <c r="C115" s="370"/>
      <c r="D115" s="370"/>
    </row>
    <row r="116">
      <c r="C116" s="370"/>
      <c r="D116" s="370"/>
    </row>
    <row r="117">
      <c r="C117" s="370"/>
      <c r="D117" s="370"/>
    </row>
    <row r="118">
      <c r="C118" s="370"/>
      <c r="D118" s="370"/>
    </row>
    <row r="119">
      <c r="C119" s="370"/>
      <c r="D119" s="370"/>
    </row>
    <row r="120">
      <c r="C120" s="370"/>
      <c r="D120" s="370"/>
    </row>
    <row r="121">
      <c r="C121" s="370"/>
      <c r="D121" s="370"/>
    </row>
    <row r="122">
      <c r="C122" s="370"/>
      <c r="D122" s="370"/>
    </row>
    <row r="123">
      <c r="C123" s="370"/>
      <c r="D123" s="370"/>
    </row>
    <row r="124">
      <c r="C124" s="370"/>
      <c r="D124" s="370"/>
    </row>
    <row r="125">
      <c r="C125" s="370"/>
      <c r="D125" s="370"/>
    </row>
    <row r="126">
      <c r="C126" s="370"/>
      <c r="D126" s="370"/>
    </row>
    <row r="127">
      <c r="C127" s="370"/>
      <c r="D127" s="370"/>
    </row>
    <row r="128">
      <c r="C128" s="370"/>
      <c r="D128" s="370"/>
    </row>
    <row r="129">
      <c r="C129" s="370"/>
      <c r="D129" s="370"/>
    </row>
    <row r="130">
      <c r="C130" s="370"/>
      <c r="D130" s="370"/>
    </row>
    <row r="131">
      <c r="C131" s="370"/>
      <c r="D131" s="370"/>
    </row>
    <row r="132">
      <c r="C132" s="370"/>
      <c r="D132" s="370"/>
    </row>
    <row r="133">
      <c r="C133" s="370"/>
      <c r="D133" s="370"/>
    </row>
    <row r="134">
      <c r="C134" s="370"/>
      <c r="D134" s="370"/>
    </row>
    <row r="135">
      <c r="C135" s="370"/>
      <c r="D135" s="370"/>
    </row>
    <row r="136">
      <c r="C136" s="370"/>
      <c r="D136" s="370"/>
    </row>
    <row r="137">
      <c r="C137" s="370"/>
      <c r="D137" s="370"/>
    </row>
    <row r="138">
      <c r="C138" s="370"/>
      <c r="D138" s="370"/>
    </row>
    <row r="139">
      <c r="C139" s="370"/>
      <c r="D139" s="370"/>
    </row>
    <row r="140">
      <c r="C140" s="370"/>
      <c r="D140" s="370"/>
    </row>
    <row r="141">
      <c r="C141" s="370"/>
      <c r="D141" s="370"/>
    </row>
    <row r="142">
      <c r="C142" s="370"/>
      <c r="D142" s="370"/>
    </row>
    <row r="143">
      <c r="C143" s="370"/>
      <c r="D143" s="370"/>
    </row>
    <row r="144">
      <c r="C144" s="370"/>
      <c r="D144" s="370"/>
    </row>
    <row r="145">
      <c r="C145" s="370"/>
      <c r="D145" s="370"/>
    </row>
    <row r="146">
      <c r="C146" s="370"/>
      <c r="D146" s="370"/>
    </row>
    <row r="147">
      <c r="C147" s="370"/>
      <c r="D147" s="370"/>
    </row>
    <row r="148">
      <c r="C148" s="370"/>
      <c r="D148" s="370"/>
    </row>
    <row r="149">
      <c r="C149" s="370"/>
      <c r="D149" s="370"/>
    </row>
    <row r="150">
      <c r="C150" s="370"/>
      <c r="D150" s="370"/>
    </row>
    <row r="151">
      <c r="C151" s="370"/>
      <c r="D151" s="370"/>
    </row>
    <row r="152">
      <c r="C152" s="370"/>
      <c r="D152" s="370"/>
    </row>
    <row r="153">
      <c r="C153" s="370"/>
      <c r="D153" s="370"/>
    </row>
    <row r="154">
      <c r="C154" s="370"/>
      <c r="D154" s="370"/>
    </row>
    <row r="155">
      <c r="C155" s="370"/>
      <c r="D155" s="370"/>
    </row>
    <row r="156">
      <c r="C156" s="370"/>
      <c r="D156" s="370"/>
    </row>
    <row r="157">
      <c r="C157" s="370"/>
      <c r="D157" s="370"/>
    </row>
    <row r="158">
      <c r="C158" s="370"/>
      <c r="D158" s="370"/>
    </row>
    <row r="159">
      <c r="C159" s="370"/>
      <c r="D159" s="370"/>
    </row>
    <row r="160">
      <c r="C160" s="370"/>
      <c r="D160" s="370"/>
    </row>
    <row r="161">
      <c r="C161" s="370"/>
      <c r="D161" s="370"/>
    </row>
    <row r="162">
      <c r="C162" s="370"/>
      <c r="D162" s="370"/>
    </row>
    <row r="163">
      <c r="C163" s="370"/>
      <c r="D163" s="370"/>
    </row>
    <row r="164">
      <c r="C164" s="370"/>
      <c r="D164" s="370"/>
    </row>
    <row r="165">
      <c r="C165" s="370"/>
      <c r="D165" s="370"/>
    </row>
    <row r="166">
      <c r="C166" s="370"/>
      <c r="D166" s="370"/>
    </row>
    <row r="167">
      <c r="C167" s="370"/>
      <c r="D167" s="370"/>
    </row>
    <row r="168">
      <c r="C168" s="370"/>
      <c r="D168" s="370"/>
    </row>
    <row r="169">
      <c r="C169" s="370"/>
      <c r="D169" s="370"/>
    </row>
    <row r="170">
      <c r="C170" s="370"/>
      <c r="D170" s="370"/>
    </row>
    <row r="171">
      <c r="C171" s="370"/>
      <c r="D171" s="370"/>
    </row>
    <row r="172">
      <c r="C172" s="370"/>
      <c r="D172" s="370"/>
    </row>
    <row r="173">
      <c r="C173" s="370"/>
      <c r="D173" s="370"/>
    </row>
    <row r="174">
      <c r="C174" s="370"/>
      <c r="D174" s="370"/>
    </row>
    <row r="175">
      <c r="C175" s="370"/>
      <c r="D175" s="370"/>
    </row>
    <row r="176">
      <c r="C176" s="370"/>
      <c r="D176" s="370"/>
    </row>
    <row r="177">
      <c r="C177" s="370"/>
      <c r="D177" s="370"/>
    </row>
    <row r="178">
      <c r="C178" s="370"/>
      <c r="D178" s="370"/>
    </row>
    <row r="179">
      <c r="C179" s="370"/>
      <c r="D179" s="370"/>
    </row>
    <row r="180">
      <c r="C180" s="370"/>
      <c r="D180" s="370"/>
    </row>
    <row r="181">
      <c r="C181" s="370"/>
      <c r="D181" s="370"/>
    </row>
    <row r="182">
      <c r="C182" s="370"/>
      <c r="D182" s="370"/>
    </row>
    <row r="183">
      <c r="C183" s="370"/>
      <c r="D183" s="370"/>
    </row>
    <row r="184">
      <c r="C184" s="370"/>
      <c r="D184" s="370"/>
    </row>
    <row r="185">
      <c r="C185" s="370"/>
      <c r="D185" s="370"/>
    </row>
    <row r="186">
      <c r="C186" s="370"/>
      <c r="D186" s="370"/>
    </row>
    <row r="187">
      <c r="C187" s="370"/>
      <c r="D187" s="370"/>
    </row>
    <row r="188">
      <c r="C188" s="370"/>
      <c r="D188" s="370"/>
    </row>
    <row r="189">
      <c r="C189" s="370"/>
      <c r="D189" s="370"/>
    </row>
    <row r="190">
      <c r="C190" s="370"/>
      <c r="D190" s="370"/>
    </row>
    <row r="191">
      <c r="C191" s="370"/>
      <c r="D191" s="370"/>
    </row>
    <row r="192">
      <c r="C192" s="370"/>
      <c r="D192" s="370"/>
    </row>
    <row r="193">
      <c r="C193" s="370"/>
      <c r="D193" s="370"/>
    </row>
    <row r="194">
      <c r="C194" s="370"/>
      <c r="D194" s="370"/>
    </row>
    <row r="195">
      <c r="C195" s="370"/>
      <c r="D195" s="370"/>
    </row>
    <row r="196">
      <c r="C196" s="370"/>
      <c r="D196" s="370"/>
    </row>
    <row r="197">
      <c r="C197" s="370"/>
      <c r="D197" s="370"/>
    </row>
    <row r="198">
      <c r="C198" s="370"/>
      <c r="D198" s="370"/>
    </row>
    <row r="199">
      <c r="C199" s="370"/>
      <c r="D199" s="370"/>
    </row>
    <row r="200">
      <c r="C200" s="370"/>
      <c r="D200" s="370"/>
    </row>
    <row r="201">
      <c r="C201" s="370"/>
      <c r="D201" s="370"/>
    </row>
    <row r="202">
      <c r="C202" s="370"/>
      <c r="D202" s="370"/>
    </row>
    <row r="203">
      <c r="C203" s="370"/>
      <c r="D203" s="370"/>
    </row>
    <row r="204">
      <c r="C204" s="370"/>
      <c r="D204" s="370"/>
    </row>
    <row r="205">
      <c r="C205" s="370"/>
      <c r="D205" s="370"/>
    </row>
    <row r="206">
      <c r="C206" s="370"/>
      <c r="D206" s="370"/>
    </row>
    <row r="207">
      <c r="C207" s="370"/>
      <c r="D207" s="370"/>
    </row>
    <row r="208">
      <c r="C208" s="370"/>
      <c r="D208" s="370"/>
    </row>
    <row r="209">
      <c r="C209" s="370"/>
      <c r="D209" s="370"/>
    </row>
    <row r="210">
      <c r="C210" s="370"/>
      <c r="D210" s="370"/>
    </row>
    <row r="211">
      <c r="C211" s="370"/>
      <c r="D211" s="370"/>
    </row>
    <row r="212">
      <c r="C212" s="370"/>
      <c r="D212" s="370"/>
    </row>
    <row r="213">
      <c r="C213" s="370"/>
      <c r="D213" s="370"/>
    </row>
    <row r="214">
      <c r="C214" s="370"/>
      <c r="D214" s="370"/>
    </row>
    <row r="215">
      <c r="C215" s="370"/>
      <c r="D215" s="370"/>
    </row>
    <row r="216">
      <c r="C216" s="370"/>
      <c r="D216" s="370"/>
    </row>
    <row r="217">
      <c r="C217" s="370"/>
      <c r="D217" s="370"/>
    </row>
    <row r="218">
      <c r="C218" s="370"/>
      <c r="D218" s="370"/>
    </row>
    <row r="219">
      <c r="C219" s="370"/>
      <c r="D219" s="370"/>
    </row>
    <row r="220">
      <c r="C220" s="370"/>
      <c r="D220" s="370"/>
    </row>
    <row r="221">
      <c r="C221" s="370"/>
      <c r="D221" s="370"/>
    </row>
    <row r="222">
      <c r="C222" s="370"/>
      <c r="D222" s="370"/>
    </row>
    <row r="223">
      <c r="C223" s="370"/>
      <c r="D223" s="370"/>
    </row>
    <row r="224">
      <c r="C224" s="370"/>
      <c r="D224" s="370"/>
    </row>
    <row r="225">
      <c r="C225" s="370"/>
      <c r="D225" s="370"/>
    </row>
    <row r="226">
      <c r="C226" s="370"/>
      <c r="D226" s="370"/>
    </row>
    <row r="227">
      <c r="C227" s="370"/>
      <c r="D227" s="370"/>
    </row>
    <row r="228">
      <c r="C228" s="370"/>
      <c r="D228" s="370"/>
    </row>
    <row r="229">
      <c r="C229" s="370"/>
      <c r="D229" s="370"/>
    </row>
    <row r="230">
      <c r="C230" s="370"/>
      <c r="D230" s="370"/>
    </row>
    <row r="231">
      <c r="C231" s="370"/>
      <c r="D231" s="370"/>
    </row>
    <row r="232">
      <c r="C232" s="370"/>
      <c r="D232" s="370"/>
    </row>
    <row r="233">
      <c r="C233" s="370"/>
      <c r="D233" s="370"/>
    </row>
    <row r="234">
      <c r="C234" s="370"/>
      <c r="D234" s="370"/>
    </row>
    <row r="235">
      <c r="C235" s="370"/>
      <c r="D235" s="370"/>
    </row>
    <row r="236">
      <c r="C236" s="370"/>
      <c r="D236" s="370"/>
    </row>
    <row r="237">
      <c r="C237" s="370"/>
      <c r="D237" s="370"/>
    </row>
    <row r="238">
      <c r="C238" s="370"/>
      <c r="D238" s="370"/>
    </row>
    <row r="239">
      <c r="C239" s="370"/>
      <c r="D239" s="370"/>
    </row>
    <row r="240">
      <c r="C240" s="370"/>
      <c r="D240" s="370"/>
    </row>
    <row r="241">
      <c r="C241" s="370"/>
      <c r="D241" s="370"/>
    </row>
    <row r="242">
      <c r="C242" s="370"/>
      <c r="D242" s="370"/>
    </row>
    <row r="243">
      <c r="C243" s="370"/>
      <c r="D243" s="370"/>
    </row>
    <row r="244">
      <c r="C244" s="370"/>
      <c r="D244" s="370"/>
    </row>
    <row r="245">
      <c r="C245" s="370"/>
      <c r="D245" s="370"/>
    </row>
    <row r="246">
      <c r="C246" s="370"/>
      <c r="D246" s="370"/>
    </row>
    <row r="247">
      <c r="C247" s="370"/>
      <c r="D247" s="370"/>
    </row>
    <row r="248">
      <c r="C248" s="370"/>
      <c r="D248" s="370"/>
    </row>
    <row r="249">
      <c r="C249" s="370"/>
      <c r="D249" s="370"/>
    </row>
    <row r="250">
      <c r="C250" s="370"/>
      <c r="D250" s="370"/>
    </row>
    <row r="251">
      <c r="C251" s="370"/>
      <c r="D251" s="370"/>
    </row>
    <row r="252">
      <c r="C252" s="370"/>
      <c r="D252" s="370"/>
    </row>
    <row r="253">
      <c r="C253" s="370"/>
      <c r="D253" s="370"/>
    </row>
    <row r="254">
      <c r="C254" s="370"/>
      <c r="D254" s="370"/>
    </row>
    <row r="255">
      <c r="C255" s="370"/>
      <c r="D255" s="370"/>
    </row>
    <row r="256">
      <c r="C256" s="370"/>
      <c r="D256" s="370"/>
    </row>
    <row r="257">
      <c r="C257" s="370"/>
      <c r="D257" s="370"/>
    </row>
    <row r="258">
      <c r="C258" s="370"/>
      <c r="D258" s="370"/>
    </row>
    <row r="259">
      <c r="C259" s="370"/>
      <c r="D259" s="370"/>
    </row>
    <row r="260">
      <c r="C260" s="370"/>
      <c r="D260" s="370"/>
    </row>
    <row r="261">
      <c r="C261" s="370"/>
      <c r="D261" s="370"/>
    </row>
    <row r="262">
      <c r="C262" s="370"/>
      <c r="D262" s="370"/>
    </row>
    <row r="263">
      <c r="C263" s="370"/>
      <c r="D263" s="370"/>
    </row>
    <row r="264">
      <c r="C264" s="370"/>
      <c r="D264" s="370"/>
    </row>
    <row r="265">
      <c r="C265" s="370"/>
      <c r="D265" s="370"/>
    </row>
    <row r="266">
      <c r="C266" s="370"/>
      <c r="D266" s="370"/>
    </row>
    <row r="267">
      <c r="C267" s="370"/>
      <c r="D267" s="370"/>
    </row>
    <row r="268">
      <c r="C268" s="370"/>
      <c r="D268" s="370"/>
    </row>
    <row r="269">
      <c r="C269" s="370"/>
      <c r="D269" s="370"/>
    </row>
    <row r="270">
      <c r="C270" s="370"/>
      <c r="D270" s="370"/>
    </row>
    <row r="271">
      <c r="C271" s="370"/>
      <c r="D271" s="370"/>
    </row>
    <row r="272">
      <c r="C272" s="370"/>
      <c r="D272" s="370"/>
    </row>
    <row r="273">
      <c r="C273" s="370"/>
      <c r="D273" s="370"/>
    </row>
    <row r="274">
      <c r="C274" s="370"/>
      <c r="D274" s="370"/>
    </row>
    <row r="275">
      <c r="C275" s="370"/>
      <c r="D275" s="370"/>
    </row>
    <row r="276">
      <c r="C276" s="370"/>
      <c r="D276" s="370"/>
    </row>
    <row r="277">
      <c r="C277" s="370"/>
      <c r="D277" s="370"/>
    </row>
    <row r="278">
      <c r="C278" s="370"/>
      <c r="D278" s="370"/>
    </row>
    <row r="279">
      <c r="C279" s="370"/>
      <c r="D279" s="370"/>
    </row>
    <row r="280">
      <c r="C280" s="370"/>
      <c r="D280" s="370"/>
    </row>
    <row r="281">
      <c r="C281" s="370"/>
      <c r="D281" s="370"/>
    </row>
    <row r="282">
      <c r="C282" s="370"/>
      <c r="D282" s="370"/>
    </row>
    <row r="283">
      <c r="C283" s="370"/>
      <c r="D283" s="370"/>
    </row>
    <row r="284">
      <c r="C284" s="370"/>
      <c r="D284" s="370"/>
    </row>
    <row r="285">
      <c r="C285" s="370"/>
      <c r="D285" s="370"/>
    </row>
    <row r="286">
      <c r="C286" s="370"/>
      <c r="D286" s="370"/>
    </row>
    <row r="287">
      <c r="C287" s="370"/>
      <c r="D287" s="370"/>
    </row>
    <row r="288">
      <c r="C288" s="370"/>
      <c r="D288" s="370"/>
    </row>
    <row r="289">
      <c r="C289" s="370"/>
      <c r="D289" s="370"/>
    </row>
    <row r="290">
      <c r="C290" s="370"/>
      <c r="D290" s="370"/>
    </row>
    <row r="291">
      <c r="C291" s="370"/>
      <c r="D291" s="370"/>
    </row>
    <row r="292">
      <c r="C292" s="370"/>
      <c r="D292" s="370"/>
    </row>
    <row r="293">
      <c r="C293" s="370"/>
      <c r="D293" s="370"/>
    </row>
    <row r="294">
      <c r="C294" s="370"/>
      <c r="D294" s="370"/>
    </row>
    <row r="295">
      <c r="C295" s="370"/>
      <c r="D295" s="370"/>
    </row>
    <row r="296">
      <c r="C296" s="370"/>
      <c r="D296" s="370"/>
    </row>
    <row r="297">
      <c r="C297" s="370"/>
      <c r="D297" s="370"/>
    </row>
    <row r="298">
      <c r="C298" s="370"/>
      <c r="D298" s="370"/>
    </row>
    <row r="299">
      <c r="C299" s="370"/>
      <c r="D299" s="370"/>
    </row>
    <row r="300">
      <c r="C300" s="370"/>
      <c r="D300" s="370"/>
    </row>
    <row r="301">
      <c r="C301" s="370"/>
      <c r="D301" s="370"/>
    </row>
    <row r="302">
      <c r="C302" s="370"/>
      <c r="D302" s="370"/>
    </row>
    <row r="303">
      <c r="C303" s="370"/>
      <c r="D303" s="370"/>
    </row>
    <row r="304">
      <c r="C304" s="370"/>
      <c r="D304" s="370"/>
    </row>
    <row r="305">
      <c r="C305" s="370"/>
      <c r="D305" s="370"/>
    </row>
    <row r="306">
      <c r="C306" s="370"/>
      <c r="D306" s="370"/>
    </row>
    <row r="307">
      <c r="C307" s="370"/>
      <c r="D307" s="370"/>
    </row>
    <row r="308">
      <c r="C308" s="370"/>
      <c r="D308" s="370"/>
    </row>
    <row r="309">
      <c r="C309" s="370"/>
      <c r="D309" s="370"/>
    </row>
    <row r="310">
      <c r="C310" s="370"/>
      <c r="D310" s="370"/>
    </row>
    <row r="311">
      <c r="C311" s="370"/>
      <c r="D311" s="370"/>
    </row>
    <row r="312">
      <c r="C312" s="370"/>
      <c r="D312" s="370"/>
    </row>
    <row r="313">
      <c r="C313" s="370"/>
      <c r="D313" s="370"/>
    </row>
    <row r="314">
      <c r="C314" s="370"/>
      <c r="D314" s="370"/>
    </row>
    <row r="315">
      <c r="C315" s="370"/>
      <c r="D315" s="370"/>
    </row>
    <row r="316">
      <c r="C316" s="370"/>
      <c r="D316" s="370"/>
    </row>
    <row r="317">
      <c r="C317" s="370"/>
      <c r="D317" s="370"/>
    </row>
    <row r="318">
      <c r="C318" s="370"/>
      <c r="D318" s="370"/>
    </row>
    <row r="319">
      <c r="C319" s="370"/>
      <c r="D319" s="370"/>
    </row>
    <row r="320">
      <c r="C320" s="370"/>
      <c r="D320" s="370"/>
    </row>
    <row r="321">
      <c r="C321" s="370"/>
      <c r="D321" s="370"/>
    </row>
    <row r="322">
      <c r="C322" s="370"/>
      <c r="D322" s="370"/>
    </row>
    <row r="323">
      <c r="C323" s="370"/>
      <c r="D323" s="370"/>
    </row>
    <row r="324">
      <c r="C324" s="370"/>
      <c r="D324" s="370"/>
    </row>
    <row r="325">
      <c r="C325" s="370"/>
      <c r="D325" s="370"/>
    </row>
    <row r="326">
      <c r="C326" s="370"/>
      <c r="D326" s="370"/>
    </row>
    <row r="327">
      <c r="C327" s="370"/>
      <c r="D327" s="370"/>
    </row>
    <row r="328">
      <c r="C328" s="370"/>
      <c r="D328" s="370"/>
    </row>
    <row r="329">
      <c r="C329" s="370"/>
      <c r="D329" s="370"/>
    </row>
    <row r="330">
      <c r="C330" s="370"/>
      <c r="D330" s="370"/>
    </row>
    <row r="331">
      <c r="C331" s="370"/>
      <c r="D331" s="370"/>
    </row>
    <row r="332">
      <c r="C332" s="370"/>
      <c r="D332" s="370"/>
    </row>
    <row r="333">
      <c r="C333" s="370"/>
      <c r="D333" s="370"/>
    </row>
    <row r="334">
      <c r="C334" s="370"/>
      <c r="D334" s="370"/>
    </row>
    <row r="335">
      <c r="C335" s="370"/>
      <c r="D335" s="370"/>
    </row>
    <row r="336">
      <c r="C336" s="370"/>
      <c r="D336" s="370"/>
    </row>
    <row r="337">
      <c r="C337" s="370"/>
      <c r="D337" s="370"/>
    </row>
    <row r="338">
      <c r="C338" s="370"/>
      <c r="D338" s="370"/>
    </row>
    <row r="339">
      <c r="C339" s="370"/>
      <c r="D339" s="370"/>
    </row>
    <row r="340">
      <c r="C340" s="370"/>
      <c r="D340" s="370"/>
    </row>
    <row r="341">
      <c r="C341" s="370"/>
      <c r="D341" s="370"/>
    </row>
    <row r="342">
      <c r="C342" s="370"/>
      <c r="D342" s="370"/>
    </row>
    <row r="343">
      <c r="C343" s="370"/>
      <c r="D343" s="370"/>
    </row>
    <row r="344">
      <c r="C344" s="370"/>
      <c r="D344" s="370"/>
    </row>
    <row r="345">
      <c r="C345" s="370"/>
      <c r="D345" s="370"/>
    </row>
    <row r="346">
      <c r="C346" s="370"/>
      <c r="D346" s="370"/>
    </row>
    <row r="347">
      <c r="C347" s="370"/>
      <c r="D347" s="370"/>
    </row>
    <row r="348">
      <c r="C348" s="370"/>
      <c r="D348" s="370"/>
    </row>
    <row r="349">
      <c r="C349" s="370"/>
      <c r="D349" s="370"/>
    </row>
    <row r="350">
      <c r="C350" s="370"/>
      <c r="D350" s="370"/>
    </row>
    <row r="351">
      <c r="C351" s="370"/>
      <c r="D351" s="370"/>
    </row>
    <row r="352">
      <c r="C352" s="370"/>
      <c r="D352" s="370"/>
    </row>
    <row r="353">
      <c r="C353" s="370"/>
      <c r="D353" s="370"/>
    </row>
    <row r="354">
      <c r="C354" s="370"/>
      <c r="D354" s="370"/>
    </row>
    <row r="355">
      <c r="C355" s="370"/>
      <c r="D355" s="370"/>
    </row>
    <row r="356">
      <c r="C356" s="370"/>
      <c r="D356" s="370"/>
    </row>
    <row r="357">
      <c r="C357" s="370"/>
      <c r="D357" s="370"/>
    </row>
    <row r="358">
      <c r="C358" s="370"/>
      <c r="D358" s="370"/>
    </row>
    <row r="359">
      <c r="C359" s="370"/>
      <c r="D359" s="370"/>
    </row>
    <row r="360">
      <c r="C360" s="370"/>
      <c r="D360" s="370"/>
    </row>
    <row r="361">
      <c r="C361" s="370"/>
      <c r="D361" s="370"/>
    </row>
    <row r="362">
      <c r="C362" s="370"/>
      <c r="D362" s="370"/>
    </row>
    <row r="363">
      <c r="C363" s="370"/>
      <c r="D363" s="370"/>
    </row>
    <row r="364">
      <c r="C364" s="370"/>
      <c r="D364" s="370"/>
    </row>
    <row r="365">
      <c r="C365" s="370"/>
      <c r="D365" s="370"/>
    </row>
    <row r="366">
      <c r="C366" s="370"/>
      <c r="D366" s="370"/>
    </row>
    <row r="367">
      <c r="C367" s="370"/>
      <c r="D367" s="370"/>
    </row>
    <row r="368">
      <c r="C368" s="370"/>
      <c r="D368" s="370"/>
    </row>
    <row r="369">
      <c r="C369" s="370"/>
      <c r="D369" s="370"/>
    </row>
    <row r="370">
      <c r="C370" s="370"/>
      <c r="D370" s="370"/>
    </row>
    <row r="371">
      <c r="C371" s="370"/>
      <c r="D371" s="370"/>
    </row>
    <row r="372">
      <c r="C372" s="370"/>
      <c r="D372" s="370"/>
    </row>
    <row r="373">
      <c r="C373" s="370"/>
      <c r="D373" s="370"/>
    </row>
    <row r="374">
      <c r="C374" s="370"/>
      <c r="D374" s="370"/>
    </row>
    <row r="375">
      <c r="C375" s="370"/>
      <c r="D375" s="370"/>
    </row>
    <row r="376">
      <c r="C376" s="370"/>
      <c r="D376" s="370"/>
    </row>
    <row r="377">
      <c r="C377" s="370"/>
      <c r="D377" s="370"/>
    </row>
    <row r="378">
      <c r="C378" s="370"/>
      <c r="D378" s="370"/>
    </row>
    <row r="379">
      <c r="C379" s="370"/>
      <c r="D379" s="370"/>
    </row>
    <row r="380">
      <c r="C380" s="370"/>
      <c r="D380" s="370"/>
    </row>
    <row r="381">
      <c r="C381" s="370"/>
      <c r="D381" s="370"/>
    </row>
    <row r="382">
      <c r="C382" s="370"/>
      <c r="D382" s="370"/>
    </row>
    <row r="383">
      <c r="C383" s="370"/>
      <c r="D383" s="370"/>
    </row>
    <row r="384">
      <c r="C384" s="370"/>
      <c r="D384" s="370"/>
    </row>
    <row r="385">
      <c r="C385" s="370"/>
      <c r="D385" s="370"/>
    </row>
    <row r="386">
      <c r="C386" s="370"/>
      <c r="D386" s="370"/>
    </row>
    <row r="387">
      <c r="C387" s="370"/>
      <c r="D387" s="370"/>
    </row>
    <row r="388">
      <c r="C388" s="370"/>
      <c r="D388" s="370"/>
    </row>
    <row r="389">
      <c r="C389" s="370"/>
      <c r="D389" s="370"/>
    </row>
    <row r="390">
      <c r="C390" s="370"/>
      <c r="D390" s="370"/>
    </row>
    <row r="391">
      <c r="C391" s="370"/>
      <c r="D391" s="370"/>
    </row>
    <row r="392">
      <c r="C392" s="370"/>
      <c r="D392" s="370"/>
    </row>
    <row r="393">
      <c r="C393" s="370"/>
      <c r="D393" s="370"/>
    </row>
    <row r="394">
      <c r="C394" s="370"/>
      <c r="D394" s="370"/>
    </row>
    <row r="395">
      <c r="C395" s="370"/>
      <c r="D395" s="370"/>
    </row>
    <row r="396">
      <c r="C396" s="370"/>
      <c r="D396" s="370"/>
    </row>
    <row r="397">
      <c r="C397" s="370"/>
      <c r="D397" s="370"/>
    </row>
    <row r="398">
      <c r="C398" s="370"/>
      <c r="D398" s="370"/>
    </row>
    <row r="399">
      <c r="C399" s="370"/>
      <c r="D399" s="370"/>
    </row>
    <row r="400">
      <c r="C400" s="370"/>
      <c r="D400" s="370"/>
    </row>
    <row r="401">
      <c r="C401" s="370"/>
      <c r="D401" s="370"/>
    </row>
    <row r="402">
      <c r="C402" s="370"/>
      <c r="D402" s="370"/>
    </row>
    <row r="403">
      <c r="C403" s="370"/>
      <c r="D403" s="370"/>
    </row>
    <row r="404">
      <c r="C404" s="370"/>
      <c r="D404" s="370"/>
    </row>
    <row r="405">
      <c r="C405" s="370"/>
      <c r="D405" s="370"/>
    </row>
    <row r="406">
      <c r="C406" s="370"/>
      <c r="D406" s="370"/>
    </row>
    <row r="407">
      <c r="C407" s="370"/>
      <c r="D407" s="370"/>
    </row>
    <row r="408">
      <c r="C408" s="370"/>
      <c r="D408" s="370"/>
    </row>
    <row r="409">
      <c r="C409" s="370"/>
      <c r="D409" s="370"/>
    </row>
    <row r="410">
      <c r="C410" s="370"/>
      <c r="D410" s="370"/>
    </row>
    <row r="411">
      <c r="C411" s="370"/>
      <c r="D411" s="370"/>
    </row>
    <row r="412">
      <c r="C412" s="370"/>
      <c r="D412" s="370"/>
    </row>
    <row r="413">
      <c r="C413" s="370"/>
      <c r="D413" s="370"/>
    </row>
    <row r="414">
      <c r="C414" s="370"/>
      <c r="D414" s="370"/>
    </row>
    <row r="415">
      <c r="C415" s="370"/>
      <c r="D415" s="370"/>
    </row>
    <row r="416">
      <c r="C416" s="370"/>
      <c r="D416" s="370"/>
    </row>
    <row r="417">
      <c r="C417" s="370"/>
      <c r="D417" s="370"/>
    </row>
    <row r="418">
      <c r="C418" s="370"/>
      <c r="D418" s="370"/>
    </row>
    <row r="419">
      <c r="C419" s="370"/>
      <c r="D419" s="370"/>
    </row>
    <row r="420">
      <c r="C420" s="370"/>
      <c r="D420" s="370"/>
    </row>
    <row r="421">
      <c r="C421" s="370"/>
      <c r="D421" s="370"/>
    </row>
    <row r="422">
      <c r="C422" s="370"/>
      <c r="D422" s="370"/>
    </row>
    <row r="423">
      <c r="C423" s="370"/>
      <c r="D423" s="370"/>
    </row>
    <row r="424">
      <c r="C424" s="370"/>
      <c r="D424" s="370"/>
    </row>
    <row r="425">
      <c r="C425" s="370"/>
      <c r="D425" s="370"/>
    </row>
    <row r="426">
      <c r="C426" s="370"/>
      <c r="D426" s="370"/>
    </row>
    <row r="427">
      <c r="C427" s="370"/>
      <c r="D427" s="370"/>
    </row>
    <row r="428">
      <c r="C428" s="370"/>
      <c r="D428" s="370"/>
    </row>
    <row r="429">
      <c r="C429" s="370"/>
      <c r="D429" s="370"/>
    </row>
    <row r="430">
      <c r="C430" s="370"/>
      <c r="D430" s="370"/>
    </row>
    <row r="431">
      <c r="C431" s="370"/>
      <c r="D431" s="370"/>
    </row>
    <row r="432">
      <c r="C432" s="370"/>
      <c r="D432" s="370"/>
    </row>
    <row r="433">
      <c r="C433" s="370"/>
      <c r="D433" s="370"/>
    </row>
    <row r="434">
      <c r="C434" s="370"/>
      <c r="D434" s="370"/>
    </row>
    <row r="435">
      <c r="C435" s="370"/>
      <c r="D435" s="370"/>
    </row>
    <row r="436">
      <c r="C436" s="370"/>
      <c r="D436" s="370"/>
    </row>
    <row r="437">
      <c r="C437" s="370"/>
      <c r="D437" s="370"/>
    </row>
    <row r="438">
      <c r="C438" s="370"/>
      <c r="D438" s="370"/>
    </row>
    <row r="439">
      <c r="C439" s="370"/>
      <c r="D439" s="370"/>
    </row>
    <row r="440">
      <c r="C440" s="370"/>
      <c r="D440" s="370"/>
    </row>
    <row r="441">
      <c r="C441" s="370"/>
      <c r="D441" s="370"/>
    </row>
    <row r="442">
      <c r="C442" s="370"/>
      <c r="D442" s="370"/>
    </row>
    <row r="443">
      <c r="C443" s="370"/>
      <c r="D443" s="370"/>
    </row>
    <row r="444">
      <c r="C444" s="370"/>
      <c r="D444" s="370"/>
    </row>
    <row r="445">
      <c r="C445" s="370"/>
      <c r="D445" s="370"/>
    </row>
    <row r="446">
      <c r="C446" s="370"/>
      <c r="D446" s="370"/>
    </row>
    <row r="447">
      <c r="C447" s="370"/>
      <c r="D447" s="370"/>
    </row>
    <row r="448">
      <c r="C448" s="370"/>
      <c r="D448" s="370"/>
    </row>
    <row r="449">
      <c r="C449" s="370"/>
      <c r="D449" s="370"/>
    </row>
    <row r="450">
      <c r="C450" s="370"/>
      <c r="D450" s="370"/>
    </row>
    <row r="451">
      <c r="C451" s="370"/>
      <c r="D451" s="370"/>
    </row>
    <row r="452">
      <c r="C452" s="370"/>
      <c r="D452" s="370"/>
    </row>
    <row r="453">
      <c r="C453" s="370"/>
      <c r="D453" s="370"/>
    </row>
    <row r="454">
      <c r="C454" s="370"/>
      <c r="D454" s="370"/>
    </row>
    <row r="455">
      <c r="C455" s="370"/>
      <c r="D455" s="370"/>
    </row>
    <row r="456">
      <c r="C456" s="370"/>
      <c r="D456" s="370"/>
    </row>
    <row r="457">
      <c r="C457" s="370"/>
      <c r="D457" s="370"/>
    </row>
    <row r="458">
      <c r="C458" s="370"/>
      <c r="D458" s="370"/>
    </row>
    <row r="459">
      <c r="C459" s="370"/>
      <c r="D459" s="370"/>
    </row>
    <row r="460">
      <c r="C460" s="370"/>
      <c r="D460" s="370"/>
    </row>
    <row r="461">
      <c r="C461" s="370"/>
      <c r="D461" s="370"/>
    </row>
    <row r="462">
      <c r="C462" s="370"/>
      <c r="D462" s="370"/>
    </row>
    <row r="463">
      <c r="C463" s="370"/>
      <c r="D463" s="370"/>
    </row>
    <row r="464">
      <c r="C464" s="370"/>
      <c r="D464" s="370"/>
    </row>
    <row r="465">
      <c r="C465" s="370"/>
      <c r="D465" s="370"/>
    </row>
    <row r="466">
      <c r="C466" s="370"/>
      <c r="D466" s="370"/>
    </row>
    <row r="467">
      <c r="C467" s="370"/>
      <c r="D467" s="370"/>
    </row>
    <row r="468">
      <c r="C468" s="370"/>
      <c r="D468" s="370"/>
    </row>
    <row r="469">
      <c r="C469" s="370"/>
      <c r="D469" s="370"/>
    </row>
    <row r="470">
      <c r="C470" s="370"/>
      <c r="D470" s="370"/>
    </row>
    <row r="471">
      <c r="C471" s="370"/>
      <c r="D471" s="370"/>
    </row>
    <row r="472">
      <c r="C472" s="370"/>
      <c r="D472" s="370"/>
    </row>
    <row r="473">
      <c r="C473" s="370"/>
      <c r="D473" s="370"/>
    </row>
    <row r="474">
      <c r="C474" s="370"/>
      <c r="D474" s="370"/>
    </row>
    <row r="475">
      <c r="C475" s="370"/>
      <c r="D475" s="370"/>
    </row>
    <row r="476">
      <c r="C476" s="370"/>
      <c r="D476" s="370"/>
    </row>
    <row r="477">
      <c r="C477" s="370"/>
      <c r="D477" s="370"/>
    </row>
    <row r="478">
      <c r="C478" s="370"/>
      <c r="D478" s="370"/>
    </row>
    <row r="479">
      <c r="C479" s="370"/>
      <c r="D479" s="370"/>
    </row>
    <row r="480">
      <c r="C480" s="370"/>
      <c r="D480" s="370"/>
    </row>
    <row r="481">
      <c r="C481" s="370"/>
      <c r="D481" s="370"/>
    </row>
    <row r="482">
      <c r="C482" s="370"/>
      <c r="D482" s="370"/>
    </row>
    <row r="483">
      <c r="C483" s="370"/>
      <c r="D483" s="370"/>
    </row>
    <row r="484">
      <c r="C484" s="370"/>
      <c r="D484" s="370"/>
    </row>
    <row r="485">
      <c r="C485" s="370"/>
      <c r="D485" s="370"/>
    </row>
    <row r="486">
      <c r="C486" s="370"/>
      <c r="D486" s="370"/>
    </row>
    <row r="487">
      <c r="C487" s="370"/>
      <c r="D487" s="370"/>
    </row>
    <row r="488">
      <c r="C488" s="370"/>
      <c r="D488" s="370"/>
    </row>
    <row r="489">
      <c r="C489" s="370"/>
      <c r="D489" s="370"/>
    </row>
    <row r="490">
      <c r="C490" s="370"/>
      <c r="D490" s="370"/>
    </row>
    <row r="491">
      <c r="C491" s="370"/>
      <c r="D491" s="370"/>
    </row>
    <row r="492">
      <c r="C492" s="370"/>
      <c r="D492" s="370"/>
    </row>
    <row r="493">
      <c r="C493" s="370"/>
      <c r="D493" s="370"/>
    </row>
    <row r="494">
      <c r="C494" s="370"/>
      <c r="D494" s="370"/>
    </row>
    <row r="495">
      <c r="C495" s="370"/>
      <c r="D495" s="370"/>
    </row>
    <row r="496">
      <c r="C496" s="370"/>
      <c r="D496" s="370"/>
    </row>
    <row r="497">
      <c r="C497" s="370"/>
      <c r="D497" s="370"/>
    </row>
    <row r="498">
      <c r="C498" s="370"/>
      <c r="D498" s="370"/>
    </row>
    <row r="499">
      <c r="C499" s="370"/>
      <c r="D499" s="370"/>
    </row>
    <row r="500">
      <c r="C500" s="370"/>
      <c r="D500" s="370"/>
    </row>
    <row r="501">
      <c r="C501" s="370"/>
      <c r="D501" s="370"/>
    </row>
    <row r="502">
      <c r="C502" s="370"/>
      <c r="D502" s="370"/>
    </row>
    <row r="503">
      <c r="C503" s="370"/>
      <c r="D503" s="370"/>
    </row>
    <row r="504">
      <c r="C504" s="370"/>
      <c r="D504" s="370"/>
    </row>
    <row r="505">
      <c r="C505" s="370"/>
      <c r="D505" s="370"/>
    </row>
    <row r="506">
      <c r="C506" s="370"/>
      <c r="D506" s="370"/>
    </row>
    <row r="507">
      <c r="C507" s="370"/>
      <c r="D507" s="370"/>
    </row>
    <row r="508">
      <c r="C508" s="370"/>
      <c r="D508" s="370"/>
    </row>
    <row r="509">
      <c r="C509" s="370"/>
      <c r="D509" s="370"/>
    </row>
    <row r="510">
      <c r="C510" s="370"/>
      <c r="D510" s="370"/>
    </row>
    <row r="511">
      <c r="C511" s="370"/>
      <c r="D511" s="370"/>
    </row>
    <row r="512">
      <c r="C512" s="370"/>
      <c r="D512" s="370"/>
    </row>
    <row r="513">
      <c r="C513" s="370"/>
      <c r="D513" s="370"/>
    </row>
    <row r="514">
      <c r="C514" s="370"/>
      <c r="D514" s="370"/>
    </row>
    <row r="515">
      <c r="C515" s="370"/>
      <c r="D515" s="370"/>
    </row>
    <row r="516">
      <c r="C516" s="370"/>
      <c r="D516" s="370"/>
    </row>
    <row r="517">
      <c r="C517" s="370"/>
      <c r="D517" s="370"/>
    </row>
    <row r="518">
      <c r="C518" s="370"/>
      <c r="D518" s="370"/>
    </row>
    <row r="519">
      <c r="C519" s="370"/>
      <c r="D519" s="370"/>
    </row>
    <row r="520">
      <c r="C520" s="370"/>
      <c r="D520" s="370"/>
    </row>
    <row r="521">
      <c r="C521" s="370"/>
      <c r="D521" s="370"/>
    </row>
    <row r="522">
      <c r="C522" s="370"/>
      <c r="D522" s="370"/>
    </row>
    <row r="523">
      <c r="C523" s="370"/>
      <c r="D523" s="370"/>
    </row>
    <row r="524">
      <c r="C524" s="370"/>
      <c r="D524" s="370"/>
    </row>
    <row r="525">
      <c r="C525" s="370"/>
      <c r="D525" s="370"/>
    </row>
    <row r="526">
      <c r="C526" s="370"/>
      <c r="D526" s="370"/>
    </row>
    <row r="527">
      <c r="C527" s="370"/>
      <c r="D527" s="370"/>
    </row>
    <row r="528">
      <c r="C528" s="370"/>
      <c r="D528" s="370"/>
    </row>
    <row r="529">
      <c r="C529" s="370"/>
      <c r="D529" s="370"/>
    </row>
    <row r="530">
      <c r="C530" s="370"/>
      <c r="D530" s="370"/>
    </row>
    <row r="531">
      <c r="C531" s="370"/>
      <c r="D531" s="370"/>
    </row>
    <row r="532">
      <c r="C532" s="370"/>
      <c r="D532" s="370"/>
    </row>
    <row r="533">
      <c r="C533" s="370"/>
      <c r="D533" s="370"/>
    </row>
    <row r="534">
      <c r="C534" s="370"/>
      <c r="D534" s="370"/>
    </row>
    <row r="535">
      <c r="C535" s="370"/>
      <c r="D535" s="370"/>
    </row>
    <row r="536">
      <c r="C536" s="370"/>
      <c r="D536" s="370"/>
    </row>
    <row r="537">
      <c r="C537" s="370"/>
      <c r="D537" s="370"/>
    </row>
    <row r="538">
      <c r="C538" s="370"/>
      <c r="D538" s="370"/>
    </row>
    <row r="539">
      <c r="C539" s="370"/>
      <c r="D539" s="370"/>
    </row>
    <row r="540">
      <c r="C540" s="370"/>
      <c r="D540" s="370"/>
    </row>
    <row r="541">
      <c r="C541" s="370"/>
      <c r="D541" s="370"/>
    </row>
    <row r="542">
      <c r="C542" s="370"/>
      <c r="D542" s="370"/>
    </row>
    <row r="543">
      <c r="C543" s="370"/>
      <c r="D543" s="370"/>
    </row>
    <row r="544">
      <c r="C544" s="370"/>
      <c r="D544" s="370"/>
    </row>
    <row r="545">
      <c r="C545" s="370"/>
      <c r="D545" s="370"/>
    </row>
    <row r="546">
      <c r="C546" s="370"/>
      <c r="D546" s="370"/>
    </row>
    <row r="547">
      <c r="C547" s="370"/>
      <c r="D547" s="370"/>
    </row>
    <row r="548">
      <c r="C548" s="370"/>
      <c r="D548" s="370"/>
    </row>
    <row r="549">
      <c r="C549" s="370"/>
      <c r="D549" s="370"/>
    </row>
    <row r="550">
      <c r="C550" s="370"/>
      <c r="D550" s="370"/>
    </row>
    <row r="551">
      <c r="C551" s="370"/>
      <c r="D551" s="370"/>
    </row>
    <row r="552">
      <c r="C552" s="370"/>
      <c r="D552" s="370"/>
    </row>
    <row r="553">
      <c r="C553" s="370"/>
      <c r="D553" s="370"/>
    </row>
    <row r="554">
      <c r="C554" s="370"/>
      <c r="D554" s="370"/>
    </row>
    <row r="555">
      <c r="C555" s="370"/>
      <c r="D555" s="370"/>
    </row>
    <row r="556">
      <c r="C556" s="370"/>
      <c r="D556" s="370"/>
    </row>
    <row r="557">
      <c r="C557" s="370"/>
      <c r="D557" s="370"/>
    </row>
    <row r="558">
      <c r="C558" s="370"/>
      <c r="D558" s="370"/>
    </row>
    <row r="559">
      <c r="C559" s="370"/>
      <c r="D559" s="370"/>
    </row>
    <row r="560">
      <c r="C560" s="370"/>
      <c r="D560" s="370"/>
    </row>
    <row r="561">
      <c r="C561" s="370"/>
      <c r="D561" s="370"/>
    </row>
    <row r="562">
      <c r="C562" s="370"/>
      <c r="D562" s="370"/>
    </row>
    <row r="563">
      <c r="C563" s="370"/>
      <c r="D563" s="370"/>
    </row>
    <row r="564">
      <c r="C564" s="370"/>
      <c r="D564" s="370"/>
    </row>
    <row r="565">
      <c r="C565" s="370"/>
      <c r="D565" s="370"/>
    </row>
    <row r="566">
      <c r="C566" s="370"/>
      <c r="D566" s="370"/>
    </row>
    <row r="567">
      <c r="C567" s="370"/>
      <c r="D567" s="370"/>
    </row>
    <row r="568">
      <c r="C568" s="370"/>
      <c r="D568" s="370"/>
    </row>
    <row r="569">
      <c r="C569" s="370"/>
      <c r="D569" s="370"/>
    </row>
    <row r="570">
      <c r="C570" s="370"/>
      <c r="D570" s="370"/>
    </row>
    <row r="571">
      <c r="C571" s="370"/>
      <c r="D571" s="370"/>
    </row>
    <row r="572">
      <c r="C572" s="370"/>
      <c r="D572" s="370"/>
    </row>
    <row r="573">
      <c r="C573" s="370"/>
      <c r="D573" s="370"/>
    </row>
    <row r="574">
      <c r="C574" s="370"/>
      <c r="D574" s="370"/>
    </row>
    <row r="575">
      <c r="C575" s="370"/>
      <c r="D575" s="370"/>
    </row>
    <row r="576">
      <c r="C576" s="370"/>
      <c r="D576" s="370"/>
    </row>
    <row r="577">
      <c r="C577" s="370"/>
      <c r="D577" s="370"/>
    </row>
    <row r="578">
      <c r="C578" s="370"/>
      <c r="D578" s="370"/>
    </row>
    <row r="579">
      <c r="C579" s="370"/>
      <c r="D579" s="370"/>
    </row>
    <row r="580">
      <c r="C580" s="370"/>
      <c r="D580" s="370"/>
    </row>
    <row r="581">
      <c r="C581" s="370"/>
      <c r="D581" s="370"/>
    </row>
    <row r="582">
      <c r="C582" s="370"/>
      <c r="D582" s="370"/>
    </row>
    <row r="583">
      <c r="C583" s="370"/>
      <c r="D583" s="370"/>
    </row>
    <row r="584">
      <c r="C584" s="370"/>
      <c r="D584" s="370"/>
    </row>
    <row r="585">
      <c r="C585" s="370"/>
      <c r="D585" s="370"/>
    </row>
    <row r="586">
      <c r="C586" s="370"/>
      <c r="D586" s="370"/>
    </row>
    <row r="587">
      <c r="C587" s="370"/>
      <c r="D587" s="370"/>
    </row>
    <row r="588">
      <c r="C588" s="370"/>
      <c r="D588" s="370"/>
    </row>
    <row r="589">
      <c r="C589" s="370"/>
      <c r="D589" s="370"/>
    </row>
    <row r="590">
      <c r="C590" s="370"/>
      <c r="D590" s="370"/>
    </row>
    <row r="591">
      <c r="C591" s="370"/>
      <c r="D591" s="370"/>
    </row>
    <row r="592">
      <c r="C592" s="370"/>
      <c r="D592" s="370"/>
    </row>
    <row r="593">
      <c r="C593" s="370"/>
      <c r="D593" s="370"/>
    </row>
    <row r="594">
      <c r="C594" s="370"/>
      <c r="D594" s="370"/>
    </row>
    <row r="595">
      <c r="C595" s="370"/>
      <c r="D595" s="370"/>
    </row>
    <row r="596">
      <c r="C596" s="370"/>
      <c r="D596" s="370"/>
    </row>
    <row r="597">
      <c r="C597" s="370"/>
      <c r="D597" s="370"/>
    </row>
    <row r="598">
      <c r="C598" s="370"/>
      <c r="D598" s="370"/>
    </row>
    <row r="599">
      <c r="C599" s="370"/>
      <c r="D599" s="370"/>
    </row>
    <row r="600">
      <c r="C600" s="370"/>
      <c r="D600" s="370"/>
    </row>
    <row r="601">
      <c r="C601" s="370"/>
      <c r="D601" s="370"/>
    </row>
    <row r="602">
      <c r="C602" s="370"/>
      <c r="D602" s="370"/>
    </row>
    <row r="603">
      <c r="C603" s="370"/>
      <c r="D603" s="370"/>
    </row>
    <row r="604">
      <c r="C604" s="370"/>
      <c r="D604" s="370"/>
    </row>
    <row r="605">
      <c r="C605" s="370"/>
      <c r="D605" s="370"/>
    </row>
    <row r="606">
      <c r="C606" s="370"/>
      <c r="D606" s="370"/>
    </row>
    <row r="607">
      <c r="C607" s="370"/>
      <c r="D607" s="370"/>
    </row>
    <row r="608">
      <c r="C608" s="370"/>
      <c r="D608" s="370"/>
    </row>
    <row r="609">
      <c r="C609" s="370"/>
      <c r="D609" s="370"/>
    </row>
    <row r="610">
      <c r="C610" s="370"/>
      <c r="D610" s="370"/>
    </row>
    <row r="611">
      <c r="C611" s="370"/>
      <c r="D611" s="370"/>
    </row>
    <row r="612">
      <c r="C612" s="370"/>
      <c r="D612" s="370"/>
    </row>
    <row r="613">
      <c r="C613" s="370"/>
      <c r="D613" s="370"/>
    </row>
    <row r="614">
      <c r="C614" s="370"/>
      <c r="D614" s="370"/>
    </row>
    <row r="615">
      <c r="C615" s="370"/>
      <c r="D615" s="370"/>
    </row>
    <row r="616">
      <c r="C616" s="370"/>
      <c r="D616" s="370"/>
    </row>
    <row r="617">
      <c r="C617" s="370"/>
      <c r="D617" s="370"/>
    </row>
    <row r="618">
      <c r="C618" s="370"/>
      <c r="D618" s="370"/>
    </row>
    <row r="619">
      <c r="C619" s="370"/>
      <c r="D619" s="370"/>
    </row>
    <row r="620">
      <c r="C620" s="370"/>
      <c r="D620" s="370"/>
    </row>
    <row r="621">
      <c r="C621" s="370"/>
      <c r="D621" s="370"/>
    </row>
    <row r="622">
      <c r="C622" s="370"/>
      <c r="D622" s="370"/>
    </row>
    <row r="623">
      <c r="C623" s="370"/>
      <c r="D623" s="370"/>
    </row>
    <row r="624">
      <c r="C624" s="370"/>
      <c r="D624" s="370"/>
    </row>
    <row r="625">
      <c r="C625" s="370"/>
      <c r="D625" s="370"/>
    </row>
    <row r="626">
      <c r="C626" s="370"/>
      <c r="D626" s="370"/>
    </row>
    <row r="627">
      <c r="C627" s="370"/>
      <c r="D627" s="370"/>
    </row>
    <row r="628">
      <c r="C628" s="370"/>
      <c r="D628" s="370"/>
    </row>
    <row r="629">
      <c r="C629" s="370"/>
      <c r="D629" s="370"/>
    </row>
    <row r="630">
      <c r="C630" s="370"/>
      <c r="D630" s="370"/>
    </row>
    <row r="631">
      <c r="C631" s="370"/>
      <c r="D631" s="370"/>
    </row>
    <row r="632">
      <c r="C632" s="370"/>
      <c r="D632" s="370"/>
    </row>
    <row r="633">
      <c r="C633" s="370"/>
      <c r="D633" s="370"/>
    </row>
    <row r="634">
      <c r="C634" s="370"/>
      <c r="D634" s="370"/>
    </row>
    <row r="635">
      <c r="C635" s="370"/>
      <c r="D635" s="370"/>
    </row>
    <row r="636">
      <c r="C636" s="370"/>
      <c r="D636" s="370"/>
    </row>
    <row r="637">
      <c r="C637" s="370"/>
      <c r="D637" s="370"/>
    </row>
    <row r="638">
      <c r="C638" s="370"/>
      <c r="D638" s="370"/>
    </row>
    <row r="639">
      <c r="C639" s="370"/>
      <c r="D639" s="370"/>
    </row>
    <row r="640">
      <c r="C640" s="370"/>
      <c r="D640" s="370"/>
    </row>
    <row r="641">
      <c r="C641" s="370"/>
      <c r="D641" s="370"/>
    </row>
    <row r="642">
      <c r="C642" s="370"/>
      <c r="D642" s="370"/>
    </row>
    <row r="643">
      <c r="C643" s="370"/>
      <c r="D643" s="370"/>
    </row>
    <row r="644">
      <c r="C644" s="370"/>
      <c r="D644" s="370"/>
    </row>
    <row r="645">
      <c r="C645" s="370"/>
      <c r="D645" s="370"/>
    </row>
    <row r="646">
      <c r="C646" s="370"/>
      <c r="D646" s="370"/>
    </row>
    <row r="647">
      <c r="C647" s="370"/>
      <c r="D647" s="370"/>
    </row>
    <row r="648">
      <c r="C648" s="370"/>
      <c r="D648" s="370"/>
    </row>
    <row r="649">
      <c r="C649" s="370"/>
      <c r="D649" s="370"/>
    </row>
    <row r="650">
      <c r="C650" s="370"/>
      <c r="D650" s="370"/>
    </row>
    <row r="651">
      <c r="C651" s="370"/>
      <c r="D651" s="370"/>
    </row>
    <row r="652">
      <c r="C652" s="370"/>
      <c r="D652" s="370"/>
    </row>
    <row r="653">
      <c r="C653" s="370"/>
      <c r="D653" s="370"/>
    </row>
    <row r="654">
      <c r="C654" s="370"/>
      <c r="D654" s="370"/>
    </row>
    <row r="655">
      <c r="C655" s="370"/>
      <c r="D655" s="370"/>
    </row>
    <row r="656">
      <c r="C656" s="370"/>
      <c r="D656" s="370"/>
    </row>
    <row r="657">
      <c r="C657" s="370"/>
      <c r="D657" s="370"/>
    </row>
    <row r="658">
      <c r="C658" s="370"/>
      <c r="D658" s="370"/>
    </row>
    <row r="659">
      <c r="C659" s="370"/>
      <c r="D659" s="370"/>
    </row>
    <row r="660">
      <c r="C660" s="370"/>
      <c r="D660" s="370"/>
    </row>
    <row r="661">
      <c r="C661" s="370"/>
      <c r="D661" s="370"/>
    </row>
    <row r="662">
      <c r="C662" s="370"/>
      <c r="D662" s="370"/>
    </row>
    <row r="663">
      <c r="C663" s="370"/>
      <c r="D663" s="370"/>
    </row>
    <row r="664">
      <c r="C664" s="370"/>
      <c r="D664" s="370"/>
    </row>
    <row r="665">
      <c r="C665" s="370"/>
      <c r="D665" s="370"/>
    </row>
    <row r="666">
      <c r="C666" s="370"/>
      <c r="D666" s="370"/>
    </row>
    <row r="667">
      <c r="C667" s="370"/>
      <c r="D667" s="370"/>
    </row>
    <row r="668">
      <c r="C668" s="370"/>
      <c r="D668" s="370"/>
    </row>
    <row r="669">
      <c r="C669" s="370"/>
      <c r="D669" s="370"/>
    </row>
    <row r="670">
      <c r="C670" s="370"/>
      <c r="D670" s="370"/>
    </row>
    <row r="671">
      <c r="C671" s="370"/>
      <c r="D671" s="370"/>
    </row>
    <row r="672">
      <c r="C672" s="370"/>
      <c r="D672" s="370"/>
    </row>
    <row r="673">
      <c r="C673" s="370"/>
      <c r="D673" s="370"/>
    </row>
    <row r="674">
      <c r="C674" s="370"/>
      <c r="D674" s="370"/>
    </row>
    <row r="675">
      <c r="C675" s="370"/>
      <c r="D675" s="370"/>
    </row>
    <row r="676">
      <c r="C676" s="370"/>
      <c r="D676" s="370"/>
    </row>
    <row r="677">
      <c r="C677" s="370"/>
      <c r="D677" s="370"/>
    </row>
    <row r="678">
      <c r="C678" s="370"/>
      <c r="D678" s="370"/>
    </row>
    <row r="679">
      <c r="C679" s="370"/>
      <c r="D679" s="370"/>
    </row>
    <row r="680">
      <c r="C680" s="370"/>
      <c r="D680" s="370"/>
    </row>
    <row r="681">
      <c r="C681" s="370"/>
      <c r="D681" s="370"/>
    </row>
    <row r="682">
      <c r="C682" s="370"/>
      <c r="D682" s="370"/>
    </row>
    <row r="683">
      <c r="C683" s="370"/>
      <c r="D683" s="370"/>
    </row>
    <row r="684">
      <c r="C684" s="370"/>
      <c r="D684" s="370"/>
    </row>
    <row r="685">
      <c r="C685" s="370"/>
      <c r="D685" s="370"/>
    </row>
    <row r="686">
      <c r="C686" s="370"/>
      <c r="D686" s="370"/>
    </row>
    <row r="687">
      <c r="C687" s="370"/>
      <c r="D687" s="370"/>
    </row>
    <row r="688">
      <c r="C688" s="370"/>
      <c r="D688" s="370"/>
    </row>
    <row r="689">
      <c r="C689" s="370"/>
      <c r="D689" s="370"/>
    </row>
    <row r="690">
      <c r="C690" s="370"/>
      <c r="D690" s="370"/>
    </row>
    <row r="691">
      <c r="C691" s="370"/>
      <c r="D691" s="370"/>
    </row>
    <row r="692">
      <c r="C692" s="370"/>
      <c r="D692" s="370"/>
    </row>
    <row r="693">
      <c r="C693" s="370"/>
      <c r="D693" s="370"/>
    </row>
    <row r="694">
      <c r="C694" s="370"/>
      <c r="D694" s="370"/>
    </row>
    <row r="695">
      <c r="C695" s="370"/>
      <c r="D695" s="370"/>
    </row>
    <row r="696">
      <c r="C696" s="370"/>
      <c r="D696" s="370"/>
    </row>
    <row r="697">
      <c r="C697" s="370"/>
      <c r="D697" s="370"/>
    </row>
    <row r="698">
      <c r="C698" s="370"/>
      <c r="D698" s="370"/>
    </row>
    <row r="699">
      <c r="C699" s="370"/>
      <c r="D699" s="370"/>
    </row>
    <row r="700">
      <c r="C700" s="370"/>
      <c r="D700" s="370"/>
    </row>
    <row r="701">
      <c r="C701" s="370"/>
      <c r="D701" s="370"/>
    </row>
    <row r="702">
      <c r="C702" s="370"/>
      <c r="D702" s="370"/>
    </row>
    <row r="703">
      <c r="C703" s="370"/>
      <c r="D703" s="370"/>
    </row>
    <row r="704">
      <c r="C704" s="370"/>
      <c r="D704" s="370"/>
    </row>
    <row r="705">
      <c r="C705" s="370"/>
      <c r="D705" s="370"/>
    </row>
    <row r="706">
      <c r="C706" s="370"/>
      <c r="D706" s="370"/>
    </row>
    <row r="707">
      <c r="C707" s="370"/>
      <c r="D707" s="370"/>
    </row>
    <row r="708">
      <c r="C708" s="370"/>
      <c r="D708" s="370"/>
    </row>
    <row r="709">
      <c r="C709" s="370"/>
      <c r="D709" s="370"/>
    </row>
    <row r="710">
      <c r="C710" s="370"/>
      <c r="D710" s="370"/>
    </row>
    <row r="711">
      <c r="C711" s="370"/>
      <c r="D711" s="370"/>
    </row>
    <row r="712">
      <c r="C712" s="370"/>
      <c r="D712" s="370"/>
    </row>
    <row r="713">
      <c r="C713" s="370"/>
      <c r="D713" s="370"/>
    </row>
    <row r="714">
      <c r="C714" s="370"/>
      <c r="D714" s="370"/>
    </row>
    <row r="715">
      <c r="C715" s="370"/>
      <c r="D715" s="370"/>
    </row>
    <row r="716">
      <c r="C716" s="370"/>
      <c r="D716" s="370"/>
    </row>
    <row r="717">
      <c r="C717" s="370"/>
      <c r="D717" s="370"/>
    </row>
    <row r="718">
      <c r="C718" s="370"/>
      <c r="D718" s="370"/>
    </row>
    <row r="719">
      <c r="C719" s="370"/>
      <c r="D719" s="370"/>
    </row>
    <row r="720">
      <c r="C720" s="370"/>
      <c r="D720" s="370"/>
    </row>
    <row r="721">
      <c r="C721" s="370"/>
      <c r="D721" s="370"/>
    </row>
    <row r="722">
      <c r="C722" s="370"/>
      <c r="D722" s="370"/>
    </row>
    <row r="723">
      <c r="C723" s="370"/>
      <c r="D723" s="370"/>
    </row>
    <row r="724">
      <c r="C724" s="370"/>
      <c r="D724" s="370"/>
    </row>
    <row r="725">
      <c r="C725" s="370"/>
      <c r="D725" s="370"/>
    </row>
    <row r="726">
      <c r="C726" s="370"/>
      <c r="D726" s="370"/>
    </row>
    <row r="727">
      <c r="C727" s="370"/>
      <c r="D727" s="370"/>
    </row>
    <row r="728">
      <c r="C728" s="370"/>
      <c r="D728" s="370"/>
    </row>
    <row r="729">
      <c r="C729" s="370"/>
      <c r="D729" s="370"/>
    </row>
    <row r="730">
      <c r="C730" s="370"/>
      <c r="D730" s="370"/>
    </row>
    <row r="731">
      <c r="C731" s="370"/>
      <c r="D731" s="370"/>
    </row>
    <row r="732">
      <c r="C732" s="370"/>
      <c r="D732" s="370"/>
    </row>
    <row r="733">
      <c r="C733" s="370"/>
      <c r="D733" s="370"/>
    </row>
    <row r="734">
      <c r="C734" s="370"/>
      <c r="D734" s="370"/>
    </row>
    <row r="735">
      <c r="C735" s="370"/>
      <c r="D735" s="370"/>
    </row>
    <row r="736">
      <c r="C736" s="370"/>
      <c r="D736" s="370"/>
    </row>
    <row r="737">
      <c r="C737" s="370"/>
      <c r="D737" s="370"/>
    </row>
    <row r="738">
      <c r="C738" s="370"/>
      <c r="D738" s="370"/>
    </row>
    <row r="739">
      <c r="C739" s="370"/>
      <c r="D739" s="370"/>
    </row>
    <row r="740">
      <c r="C740" s="370"/>
      <c r="D740" s="370"/>
    </row>
    <row r="741">
      <c r="C741" s="370"/>
      <c r="D741" s="370"/>
    </row>
    <row r="742">
      <c r="C742" s="370"/>
      <c r="D742" s="370"/>
    </row>
    <row r="743">
      <c r="C743" s="370"/>
      <c r="D743" s="370"/>
    </row>
    <row r="744">
      <c r="C744" s="370"/>
      <c r="D744" s="370"/>
    </row>
    <row r="745">
      <c r="C745" s="370"/>
      <c r="D745" s="370"/>
    </row>
    <row r="746">
      <c r="C746" s="370"/>
      <c r="D746" s="370"/>
    </row>
    <row r="747">
      <c r="C747" s="370"/>
      <c r="D747" s="370"/>
    </row>
    <row r="748">
      <c r="C748" s="370"/>
      <c r="D748" s="370"/>
    </row>
    <row r="749">
      <c r="C749" s="370"/>
      <c r="D749" s="370"/>
    </row>
    <row r="750">
      <c r="C750" s="370"/>
      <c r="D750" s="370"/>
    </row>
    <row r="751">
      <c r="C751" s="370"/>
      <c r="D751" s="370"/>
    </row>
    <row r="752">
      <c r="C752" s="370"/>
      <c r="D752" s="370"/>
    </row>
    <row r="753">
      <c r="C753" s="370"/>
      <c r="D753" s="370"/>
    </row>
    <row r="754">
      <c r="C754" s="370"/>
      <c r="D754" s="370"/>
    </row>
    <row r="755">
      <c r="C755" s="370"/>
      <c r="D755" s="370"/>
    </row>
    <row r="756">
      <c r="C756" s="370"/>
      <c r="D756" s="370"/>
    </row>
    <row r="757">
      <c r="C757" s="370"/>
      <c r="D757" s="370"/>
    </row>
    <row r="758">
      <c r="C758" s="370"/>
      <c r="D758" s="370"/>
    </row>
    <row r="759">
      <c r="C759" s="370"/>
      <c r="D759" s="370"/>
    </row>
    <row r="760">
      <c r="C760" s="370"/>
      <c r="D760" s="370"/>
    </row>
    <row r="761">
      <c r="C761" s="370"/>
      <c r="D761" s="370"/>
    </row>
    <row r="762">
      <c r="C762" s="370"/>
      <c r="D762" s="370"/>
    </row>
    <row r="763">
      <c r="C763" s="370"/>
      <c r="D763" s="370"/>
    </row>
    <row r="764">
      <c r="C764" s="370"/>
      <c r="D764" s="370"/>
    </row>
    <row r="765">
      <c r="C765" s="370"/>
      <c r="D765" s="370"/>
    </row>
    <row r="766">
      <c r="C766" s="370"/>
      <c r="D766" s="370"/>
    </row>
    <row r="767">
      <c r="C767" s="370"/>
      <c r="D767" s="370"/>
    </row>
    <row r="768">
      <c r="C768" s="370"/>
      <c r="D768" s="370"/>
    </row>
    <row r="769">
      <c r="C769" s="370"/>
      <c r="D769" s="370"/>
    </row>
    <row r="770">
      <c r="C770" s="370"/>
      <c r="D770" s="370"/>
    </row>
    <row r="771">
      <c r="C771" s="370"/>
      <c r="D771" s="370"/>
    </row>
    <row r="772">
      <c r="C772" s="370"/>
      <c r="D772" s="370"/>
    </row>
    <row r="773">
      <c r="C773" s="370"/>
      <c r="D773" s="370"/>
    </row>
    <row r="774">
      <c r="C774" s="370"/>
      <c r="D774" s="370"/>
    </row>
    <row r="775">
      <c r="C775" s="370"/>
      <c r="D775" s="370"/>
    </row>
    <row r="776">
      <c r="C776" s="370"/>
      <c r="D776" s="370"/>
    </row>
    <row r="777">
      <c r="C777" s="370"/>
      <c r="D777" s="370"/>
    </row>
    <row r="778">
      <c r="C778" s="370"/>
      <c r="D778" s="370"/>
    </row>
    <row r="779">
      <c r="C779" s="370"/>
      <c r="D779" s="370"/>
    </row>
    <row r="780">
      <c r="C780" s="370"/>
      <c r="D780" s="370"/>
    </row>
    <row r="781">
      <c r="C781" s="370"/>
      <c r="D781" s="370"/>
    </row>
    <row r="782">
      <c r="C782" s="370"/>
      <c r="D782" s="370"/>
    </row>
    <row r="783">
      <c r="C783" s="370"/>
      <c r="D783" s="370"/>
    </row>
    <row r="784">
      <c r="C784" s="370"/>
      <c r="D784" s="370"/>
    </row>
    <row r="785">
      <c r="C785" s="370"/>
      <c r="D785" s="370"/>
    </row>
    <row r="786">
      <c r="C786" s="370"/>
      <c r="D786" s="370"/>
    </row>
    <row r="787">
      <c r="C787" s="370"/>
      <c r="D787" s="370"/>
    </row>
    <row r="788">
      <c r="C788" s="370"/>
      <c r="D788" s="370"/>
    </row>
    <row r="789">
      <c r="C789" s="370"/>
      <c r="D789" s="370"/>
    </row>
    <row r="790">
      <c r="C790" s="370"/>
      <c r="D790" s="370"/>
    </row>
    <row r="791">
      <c r="C791" s="370"/>
      <c r="D791" s="370"/>
    </row>
    <row r="792">
      <c r="C792" s="370"/>
      <c r="D792" s="370"/>
    </row>
    <row r="793">
      <c r="C793" s="370"/>
      <c r="D793" s="370"/>
    </row>
    <row r="794">
      <c r="C794" s="370"/>
      <c r="D794" s="370"/>
    </row>
    <row r="795">
      <c r="C795" s="370"/>
      <c r="D795" s="370"/>
    </row>
    <row r="796">
      <c r="C796" s="370"/>
      <c r="D796" s="370"/>
    </row>
    <row r="797">
      <c r="C797" s="370"/>
      <c r="D797" s="370"/>
    </row>
    <row r="798">
      <c r="C798" s="370"/>
      <c r="D798" s="370"/>
    </row>
    <row r="799">
      <c r="C799" s="370"/>
      <c r="D799" s="370"/>
    </row>
    <row r="800">
      <c r="C800" s="370"/>
      <c r="D800" s="370"/>
    </row>
    <row r="801">
      <c r="C801" s="370"/>
      <c r="D801" s="370"/>
    </row>
    <row r="802">
      <c r="C802" s="370"/>
      <c r="D802" s="370"/>
    </row>
    <row r="803">
      <c r="C803" s="370"/>
      <c r="D803" s="370"/>
    </row>
    <row r="804">
      <c r="C804" s="370"/>
      <c r="D804" s="370"/>
    </row>
    <row r="805">
      <c r="C805" s="370"/>
      <c r="D805" s="370"/>
    </row>
    <row r="806">
      <c r="C806" s="370"/>
      <c r="D806" s="370"/>
    </row>
    <row r="807">
      <c r="C807" s="370"/>
      <c r="D807" s="370"/>
    </row>
    <row r="808">
      <c r="C808" s="370"/>
      <c r="D808" s="370"/>
    </row>
    <row r="809">
      <c r="C809" s="370"/>
      <c r="D809" s="370"/>
    </row>
    <row r="810">
      <c r="C810" s="370"/>
      <c r="D810" s="370"/>
    </row>
    <row r="811">
      <c r="C811" s="370"/>
      <c r="D811" s="370"/>
    </row>
    <row r="812">
      <c r="C812" s="370"/>
      <c r="D812" s="370"/>
    </row>
    <row r="813">
      <c r="C813" s="370"/>
      <c r="D813" s="370"/>
    </row>
    <row r="814">
      <c r="C814" s="370"/>
      <c r="D814" s="370"/>
    </row>
    <row r="815">
      <c r="C815" s="370"/>
      <c r="D815" s="370"/>
    </row>
    <row r="816">
      <c r="C816" s="370"/>
      <c r="D816" s="370"/>
    </row>
    <row r="817">
      <c r="C817" s="370"/>
      <c r="D817" s="370"/>
    </row>
    <row r="818">
      <c r="C818" s="370"/>
      <c r="D818" s="370"/>
    </row>
    <row r="819">
      <c r="C819" s="370"/>
      <c r="D819" s="370"/>
    </row>
    <row r="820">
      <c r="C820" s="370"/>
      <c r="D820" s="370"/>
    </row>
    <row r="821">
      <c r="C821" s="370"/>
      <c r="D821" s="370"/>
    </row>
    <row r="822">
      <c r="C822" s="370"/>
      <c r="D822" s="370"/>
    </row>
    <row r="823">
      <c r="C823" s="370"/>
      <c r="D823" s="370"/>
    </row>
    <row r="824">
      <c r="C824" s="370"/>
      <c r="D824" s="370"/>
    </row>
    <row r="825">
      <c r="C825" s="370"/>
      <c r="D825" s="370"/>
    </row>
    <row r="826">
      <c r="C826" s="370"/>
      <c r="D826" s="370"/>
    </row>
    <row r="827">
      <c r="C827" s="370"/>
      <c r="D827" s="370"/>
    </row>
    <row r="828">
      <c r="C828" s="370"/>
      <c r="D828" s="370"/>
    </row>
    <row r="829">
      <c r="C829" s="370"/>
      <c r="D829" s="370"/>
    </row>
    <row r="830">
      <c r="C830" s="370"/>
      <c r="D830" s="370"/>
    </row>
    <row r="831">
      <c r="C831" s="370"/>
      <c r="D831" s="370"/>
    </row>
    <row r="832">
      <c r="C832" s="370"/>
      <c r="D832" s="370"/>
    </row>
    <row r="833">
      <c r="C833" s="370"/>
      <c r="D833" s="370"/>
    </row>
    <row r="834">
      <c r="C834" s="370"/>
      <c r="D834" s="370"/>
    </row>
    <row r="835">
      <c r="C835" s="370"/>
      <c r="D835" s="370"/>
    </row>
    <row r="836">
      <c r="C836" s="370"/>
      <c r="D836" s="370"/>
    </row>
    <row r="837">
      <c r="C837" s="370"/>
      <c r="D837" s="370"/>
    </row>
    <row r="838">
      <c r="C838" s="370"/>
      <c r="D838" s="370"/>
    </row>
    <row r="839">
      <c r="C839" s="370"/>
      <c r="D839" s="370"/>
    </row>
    <row r="840">
      <c r="C840" s="370"/>
      <c r="D840" s="370"/>
    </row>
    <row r="841">
      <c r="C841" s="370"/>
      <c r="D841" s="370"/>
    </row>
    <row r="842">
      <c r="C842" s="370"/>
      <c r="D842" s="370"/>
    </row>
    <row r="843">
      <c r="C843" s="370"/>
      <c r="D843" s="370"/>
    </row>
    <row r="844">
      <c r="C844" s="370"/>
      <c r="D844" s="370"/>
    </row>
    <row r="845">
      <c r="C845" s="370"/>
      <c r="D845" s="370"/>
    </row>
    <row r="846">
      <c r="C846" s="370"/>
      <c r="D846" s="370"/>
    </row>
    <row r="847">
      <c r="C847" s="370"/>
      <c r="D847" s="370"/>
    </row>
    <row r="848">
      <c r="C848" s="370"/>
      <c r="D848" s="370"/>
    </row>
    <row r="849">
      <c r="C849" s="370"/>
      <c r="D849" s="370"/>
    </row>
    <row r="850">
      <c r="C850" s="370"/>
      <c r="D850" s="370"/>
    </row>
    <row r="851">
      <c r="C851" s="370"/>
      <c r="D851" s="370"/>
    </row>
    <row r="852">
      <c r="C852" s="370"/>
      <c r="D852" s="370"/>
    </row>
    <row r="853">
      <c r="C853" s="370"/>
      <c r="D853" s="370"/>
    </row>
    <row r="854">
      <c r="C854" s="370"/>
      <c r="D854" s="370"/>
    </row>
    <row r="855">
      <c r="C855" s="370"/>
      <c r="D855" s="370"/>
    </row>
    <row r="856">
      <c r="C856" s="370"/>
      <c r="D856" s="370"/>
    </row>
    <row r="857">
      <c r="C857" s="370"/>
      <c r="D857" s="370"/>
    </row>
    <row r="858">
      <c r="C858" s="370"/>
      <c r="D858" s="370"/>
    </row>
    <row r="859">
      <c r="C859" s="370"/>
      <c r="D859" s="370"/>
    </row>
    <row r="860">
      <c r="C860" s="370"/>
      <c r="D860" s="370"/>
    </row>
    <row r="861">
      <c r="C861" s="370"/>
      <c r="D861" s="370"/>
    </row>
    <row r="862">
      <c r="C862" s="370"/>
      <c r="D862" s="370"/>
    </row>
    <row r="863">
      <c r="C863" s="370"/>
      <c r="D863" s="370"/>
    </row>
    <row r="864">
      <c r="C864" s="370"/>
      <c r="D864" s="370"/>
    </row>
    <row r="865">
      <c r="C865" s="370"/>
      <c r="D865" s="370"/>
    </row>
    <row r="866">
      <c r="C866" s="370"/>
      <c r="D866" s="370"/>
    </row>
    <row r="867">
      <c r="C867" s="370"/>
      <c r="D867" s="370"/>
    </row>
    <row r="868">
      <c r="C868" s="370"/>
      <c r="D868" s="370"/>
    </row>
    <row r="869">
      <c r="C869" s="370"/>
      <c r="D869" s="370"/>
    </row>
    <row r="870">
      <c r="C870" s="370"/>
      <c r="D870" s="370"/>
    </row>
    <row r="871">
      <c r="C871" s="370"/>
      <c r="D871" s="370"/>
    </row>
    <row r="872">
      <c r="C872" s="370"/>
      <c r="D872" s="370"/>
    </row>
    <row r="873">
      <c r="C873" s="370"/>
      <c r="D873" s="370"/>
    </row>
    <row r="874">
      <c r="C874" s="370"/>
      <c r="D874" s="370"/>
    </row>
    <row r="875">
      <c r="C875" s="370"/>
      <c r="D875" s="370"/>
    </row>
    <row r="876">
      <c r="C876" s="370"/>
      <c r="D876" s="370"/>
    </row>
    <row r="877">
      <c r="C877" s="370"/>
      <c r="D877" s="370"/>
    </row>
    <row r="878">
      <c r="C878" s="370"/>
      <c r="D878" s="370"/>
    </row>
    <row r="879">
      <c r="C879" s="370"/>
      <c r="D879" s="370"/>
    </row>
    <row r="880">
      <c r="C880" s="370"/>
      <c r="D880" s="370"/>
    </row>
    <row r="881">
      <c r="C881" s="370"/>
      <c r="D881" s="370"/>
    </row>
    <row r="882">
      <c r="C882" s="370"/>
      <c r="D882" s="370"/>
    </row>
    <row r="883">
      <c r="C883" s="370"/>
      <c r="D883" s="370"/>
    </row>
    <row r="884">
      <c r="C884" s="370"/>
      <c r="D884" s="370"/>
    </row>
    <row r="885">
      <c r="C885" s="370"/>
      <c r="D885" s="370"/>
    </row>
    <row r="886">
      <c r="C886" s="370"/>
      <c r="D886" s="370"/>
    </row>
    <row r="887">
      <c r="C887" s="370"/>
      <c r="D887" s="370"/>
    </row>
    <row r="888">
      <c r="C888" s="370"/>
      <c r="D888" s="370"/>
    </row>
    <row r="889">
      <c r="C889" s="370"/>
      <c r="D889" s="370"/>
    </row>
    <row r="890">
      <c r="C890" s="370"/>
      <c r="D890" s="370"/>
    </row>
    <row r="891">
      <c r="C891" s="370"/>
      <c r="D891" s="370"/>
    </row>
    <row r="892">
      <c r="C892" s="370"/>
      <c r="D892" s="370"/>
    </row>
    <row r="893">
      <c r="C893" s="370"/>
      <c r="D893" s="370"/>
    </row>
    <row r="894">
      <c r="C894" s="370"/>
      <c r="D894" s="370"/>
    </row>
    <row r="895">
      <c r="C895" s="370"/>
      <c r="D895" s="370"/>
    </row>
    <row r="896">
      <c r="C896" s="370"/>
      <c r="D896" s="370"/>
    </row>
    <row r="897">
      <c r="C897" s="370"/>
      <c r="D897" s="370"/>
    </row>
    <row r="898">
      <c r="C898" s="370"/>
      <c r="D898" s="370"/>
    </row>
    <row r="899">
      <c r="C899" s="370"/>
      <c r="D899" s="370"/>
    </row>
    <row r="900">
      <c r="C900" s="370"/>
      <c r="D900" s="370"/>
    </row>
    <row r="901">
      <c r="C901" s="370"/>
      <c r="D901" s="370"/>
    </row>
    <row r="902">
      <c r="C902" s="370"/>
      <c r="D902" s="370"/>
    </row>
    <row r="903">
      <c r="C903" s="370"/>
      <c r="D903" s="370"/>
    </row>
    <row r="904">
      <c r="C904" s="370"/>
      <c r="D904" s="370"/>
    </row>
    <row r="905">
      <c r="C905" s="370"/>
      <c r="D905" s="370"/>
    </row>
    <row r="906">
      <c r="C906" s="370"/>
      <c r="D906" s="370"/>
    </row>
    <row r="907">
      <c r="C907" s="370"/>
      <c r="D907" s="370"/>
    </row>
    <row r="908">
      <c r="C908" s="370"/>
      <c r="D908" s="370"/>
    </row>
    <row r="909">
      <c r="C909" s="370"/>
      <c r="D909" s="370"/>
    </row>
    <row r="910">
      <c r="C910" s="370"/>
      <c r="D910" s="370"/>
    </row>
    <row r="911">
      <c r="C911" s="370"/>
      <c r="D911" s="370"/>
    </row>
    <row r="912">
      <c r="C912" s="370"/>
      <c r="D912" s="370"/>
    </row>
    <row r="913">
      <c r="C913" s="370"/>
      <c r="D913" s="370"/>
    </row>
    <row r="914">
      <c r="C914" s="370"/>
      <c r="D914" s="370"/>
    </row>
    <row r="915">
      <c r="C915" s="370"/>
      <c r="D915" s="370"/>
    </row>
    <row r="916">
      <c r="C916" s="370"/>
      <c r="D916" s="370"/>
    </row>
    <row r="917">
      <c r="C917" s="370"/>
      <c r="D917" s="370"/>
    </row>
    <row r="918">
      <c r="C918" s="370"/>
      <c r="D918" s="370"/>
    </row>
    <row r="919">
      <c r="C919" s="370"/>
      <c r="D919" s="370"/>
    </row>
    <row r="920">
      <c r="C920" s="370"/>
      <c r="D920" s="370"/>
    </row>
    <row r="921">
      <c r="C921" s="370"/>
      <c r="D921" s="370"/>
    </row>
    <row r="922">
      <c r="C922" s="370"/>
      <c r="D922" s="370"/>
    </row>
    <row r="923">
      <c r="C923" s="370"/>
      <c r="D923" s="370"/>
    </row>
    <row r="924">
      <c r="C924" s="370"/>
      <c r="D924" s="370"/>
    </row>
    <row r="925">
      <c r="C925" s="370"/>
      <c r="D925" s="370"/>
    </row>
    <row r="926">
      <c r="C926" s="370"/>
      <c r="D926" s="370"/>
    </row>
    <row r="927">
      <c r="C927" s="370"/>
      <c r="D927" s="370"/>
    </row>
    <row r="928">
      <c r="C928" s="370"/>
      <c r="D928" s="370"/>
    </row>
    <row r="929">
      <c r="C929" s="370"/>
      <c r="D929" s="370"/>
    </row>
    <row r="930">
      <c r="C930" s="370"/>
      <c r="D930" s="370"/>
    </row>
    <row r="931">
      <c r="C931" s="370"/>
      <c r="D931" s="370"/>
    </row>
    <row r="932">
      <c r="C932" s="370"/>
      <c r="D932" s="370"/>
    </row>
    <row r="933">
      <c r="C933" s="370"/>
      <c r="D933" s="370"/>
    </row>
    <row r="934">
      <c r="C934" s="370"/>
      <c r="D934" s="370"/>
    </row>
    <row r="935">
      <c r="C935" s="370"/>
      <c r="D935" s="370"/>
    </row>
    <row r="936">
      <c r="C936" s="370"/>
      <c r="D936" s="370"/>
    </row>
    <row r="937">
      <c r="C937" s="370"/>
      <c r="D937" s="370"/>
    </row>
    <row r="938">
      <c r="C938" s="370"/>
      <c r="D938" s="370"/>
    </row>
    <row r="939">
      <c r="C939" s="370"/>
      <c r="D939" s="370"/>
    </row>
    <row r="940">
      <c r="C940" s="370"/>
      <c r="D940" s="370"/>
    </row>
    <row r="941">
      <c r="C941" s="370"/>
      <c r="D941" s="370"/>
    </row>
    <row r="942">
      <c r="C942" s="370"/>
      <c r="D942" s="370"/>
    </row>
    <row r="943">
      <c r="C943" s="370"/>
      <c r="D943" s="370"/>
    </row>
    <row r="944">
      <c r="C944" s="370"/>
      <c r="D944" s="370"/>
    </row>
    <row r="945">
      <c r="C945" s="370"/>
      <c r="D945" s="370"/>
    </row>
    <row r="946">
      <c r="C946" s="370"/>
      <c r="D946" s="370"/>
    </row>
    <row r="947">
      <c r="C947" s="370"/>
      <c r="D947" s="370"/>
    </row>
    <row r="948">
      <c r="C948" s="370"/>
      <c r="D948" s="370"/>
    </row>
    <row r="949">
      <c r="C949" s="370"/>
      <c r="D949" s="370"/>
    </row>
    <row r="950">
      <c r="C950" s="370"/>
      <c r="D950" s="370"/>
    </row>
    <row r="951">
      <c r="C951" s="370"/>
      <c r="D951" s="370"/>
    </row>
    <row r="952">
      <c r="C952" s="370"/>
      <c r="D952" s="370"/>
    </row>
    <row r="953">
      <c r="C953" s="370"/>
      <c r="D953" s="370"/>
    </row>
    <row r="954">
      <c r="C954" s="370"/>
      <c r="D954" s="370"/>
    </row>
    <row r="955">
      <c r="C955" s="370"/>
      <c r="D955" s="370"/>
    </row>
    <row r="956">
      <c r="C956" s="370"/>
      <c r="D956" s="370"/>
    </row>
    <row r="957">
      <c r="C957" s="370"/>
      <c r="D957" s="370"/>
    </row>
    <row r="958">
      <c r="C958" s="370"/>
      <c r="D958" s="370"/>
    </row>
    <row r="959">
      <c r="C959" s="370"/>
      <c r="D959" s="370"/>
    </row>
    <row r="960">
      <c r="C960" s="370"/>
      <c r="D960" s="370"/>
    </row>
    <row r="961">
      <c r="C961" s="370"/>
      <c r="D961" s="370"/>
    </row>
    <row r="962">
      <c r="C962" s="370"/>
      <c r="D962" s="370"/>
    </row>
    <row r="963">
      <c r="C963" s="370"/>
      <c r="D963" s="370"/>
    </row>
    <row r="964">
      <c r="C964" s="370"/>
      <c r="D964" s="370"/>
    </row>
    <row r="965">
      <c r="C965" s="370"/>
      <c r="D965" s="370"/>
    </row>
    <row r="966">
      <c r="C966" s="370"/>
      <c r="D966" s="370"/>
    </row>
    <row r="967">
      <c r="C967" s="370"/>
      <c r="D967" s="370"/>
    </row>
    <row r="968">
      <c r="C968" s="370"/>
      <c r="D968" s="370"/>
    </row>
    <row r="969">
      <c r="C969" s="370"/>
      <c r="D969" s="370"/>
    </row>
    <row r="970">
      <c r="C970" s="370"/>
      <c r="D970" s="370"/>
    </row>
    <row r="971">
      <c r="C971" s="370"/>
      <c r="D971" s="370"/>
    </row>
    <row r="972">
      <c r="C972" s="370"/>
      <c r="D972" s="370"/>
    </row>
    <row r="973">
      <c r="C973" s="370"/>
      <c r="D973" s="370"/>
    </row>
    <row r="974">
      <c r="C974" s="370"/>
      <c r="D974" s="370"/>
    </row>
    <row r="975">
      <c r="C975" s="370"/>
      <c r="D975" s="370"/>
    </row>
    <row r="976">
      <c r="C976" s="370"/>
      <c r="D976" s="370"/>
    </row>
    <row r="977">
      <c r="C977" s="370"/>
      <c r="D977" s="370"/>
    </row>
    <row r="978">
      <c r="C978" s="370"/>
      <c r="D978" s="370"/>
    </row>
    <row r="979">
      <c r="C979" s="370"/>
      <c r="D979" s="370"/>
    </row>
    <row r="980">
      <c r="C980" s="370"/>
      <c r="D980" s="370"/>
    </row>
    <row r="981">
      <c r="C981" s="370"/>
      <c r="D981" s="370"/>
    </row>
    <row r="982">
      <c r="C982" s="370"/>
      <c r="D982" s="370"/>
    </row>
    <row r="983">
      <c r="C983" s="370"/>
      <c r="D983" s="370"/>
    </row>
    <row r="984">
      <c r="C984" s="370"/>
      <c r="D984" s="370"/>
    </row>
    <row r="985">
      <c r="C985" s="370"/>
      <c r="D985" s="370"/>
    </row>
    <row r="986">
      <c r="C986" s="370"/>
      <c r="D986" s="370"/>
    </row>
    <row r="987">
      <c r="C987" s="370"/>
      <c r="D987" s="370"/>
    </row>
    <row r="988">
      <c r="C988" s="370"/>
      <c r="D988" s="370"/>
    </row>
    <row r="989">
      <c r="C989" s="370"/>
      <c r="D989" s="370"/>
    </row>
    <row r="990">
      <c r="C990" s="370"/>
      <c r="D990" s="370"/>
    </row>
    <row r="991">
      <c r="C991" s="370"/>
      <c r="D991" s="370"/>
    </row>
    <row r="992">
      <c r="C992" s="370"/>
      <c r="D992" s="370"/>
    </row>
    <row r="993">
      <c r="C993" s="370"/>
      <c r="D993" s="370"/>
    </row>
    <row r="994">
      <c r="C994" s="370"/>
      <c r="D994" s="370"/>
    </row>
    <row r="995">
      <c r="C995" s="370"/>
      <c r="D995" s="370"/>
    </row>
    <row r="996">
      <c r="C996" s="370"/>
      <c r="D996" s="370"/>
    </row>
    <row r="997">
      <c r="C997" s="370"/>
      <c r="D997" s="370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7.75"/>
  </cols>
  <sheetData>
    <row r="1">
      <c r="A1" s="714"/>
      <c r="B1" s="715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  <c r="Y1" s="716"/>
      <c r="Z1" s="716"/>
    </row>
    <row r="2">
      <c r="A2" s="714" t="s">
        <v>3830</v>
      </c>
      <c r="B2" s="715">
        <v>1200000.0</v>
      </c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6"/>
      <c r="R2" s="716"/>
      <c r="S2" s="716"/>
      <c r="T2" s="716"/>
      <c r="U2" s="716"/>
      <c r="V2" s="716"/>
      <c r="W2" s="716"/>
      <c r="X2" s="716"/>
      <c r="Y2" s="716"/>
      <c r="Z2" s="716"/>
    </row>
    <row r="3">
      <c r="A3" s="714" t="s">
        <v>3831</v>
      </c>
      <c r="B3" s="717">
        <f>1200000+1500000+1100000+1000000+1200000+1100000+1100000</f>
        <v>8200000</v>
      </c>
      <c r="C3" s="716"/>
      <c r="D3" s="716"/>
      <c r="E3" s="716"/>
      <c r="F3" s="716"/>
      <c r="G3" s="716"/>
      <c r="H3" s="716"/>
      <c r="I3" s="716"/>
      <c r="J3" s="716"/>
      <c r="K3" s="716"/>
      <c r="L3" s="716"/>
      <c r="M3" s="716"/>
      <c r="N3" s="716"/>
      <c r="O3" s="716"/>
      <c r="P3" s="716"/>
      <c r="Q3" s="716"/>
      <c r="R3" s="716"/>
      <c r="S3" s="716"/>
      <c r="T3" s="716"/>
      <c r="U3" s="716"/>
      <c r="V3" s="716"/>
      <c r="W3" s="716"/>
      <c r="X3" s="716"/>
      <c r="Y3" s="716"/>
      <c r="Z3" s="716"/>
    </row>
    <row r="4">
      <c r="A4" s="714" t="s">
        <v>3832</v>
      </c>
      <c r="B4" s="715">
        <v>450000.0</v>
      </c>
      <c r="C4" s="716"/>
      <c r="D4" s="716"/>
      <c r="E4" s="716"/>
      <c r="F4" s="716"/>
      <c r="G4" s="716"/>
      <c r="H4" s="716"/>
      <c r="I4" s="716"/>
      <c r="J4" s="716"/>
      <c r="K4" s="716"/>
      <c r="L4" s="716"/>
      <c r="M4" s="716"/>
      <c r="N4" s="716"/>
      <c r="O4" s="716"/>
      <c r="P4" s="716"/>
      <c r="Q4" s="716"/>
      <c r="R4" s="716"/>
      <c r="S4" s="716"/>
      <c r="T4" s="716"/>
      <c r="U4" s="716"/>
      <c r="V4" s="716"/>
      <c r="W4" s="716"/>
      <c r="X4" s="716"/>
      <c r="Y4" s="716"/>
      <c r="Z4" s="716"/>
    </row>
    <row r="5">
      <c r="A5" s="714" t="s">
        <v>3833</v>
      </c>
      <c r="B5" s="715">
        <v>1.2E7</v>
      </c>
      <c r="C5" s="716"/>
      <c r="D5" s="716"/>
      <c r="E5" s="716"/>
      <c r="F5" s="716"/>
      <c r="G5" s="716"/>
      <c r="H5" s="716"/>
      <c r="I5" s="716"/>
      <c r="J5" s="716"/>
      <c r="K5" s="716"/>
      <c r="L5" s="716"/>
      <c r="M5" s="716"/>
      <c r="N5" s="716"/>
      <c r="O5" s="716"/>
      <c r="P5" s="716"/>
      <c r="Q5" s="716"/>
      <c r="R5" s="716"/>
      <c r="S5" s="716"/>
      <c r="T5" s="716"/>
      <c r="U5" s="716"/>
      <c r="V5" s="716"/>
      <c r="W5" s="716"/>
      <c r="X5" s="716"/>
      <c r="Y5" s="716"/>
      <c r="Z5" s="716"/>
    </row>
    <row r="6">
      <c r="A6" s="714" t="s">
        <v>3834</v>
      </c>
      <c r="B6" s="715">
        <v>500000.0</v>
      </c>
      <c r="C6" s="716"/>
      <c r="D6" s="716"/>
      <c r="E6" s="716"/>
      <c r="F6" s="716"/>
      <c r="G6" s="716"/>
      <c r="H6" s="716"/>
      <c r="I6" s="716"/>
      <c r="J6" s="716"/>
      <c r="K6" s="716"/>
      <c r="L6" s="716"/>
      <c r="M6" s="716"/>
      <c r="N6" s="716"/>
      <c r="O6" s="716"/>
      <c r="P6" s="716"/>
      <c r="Q6" s="716"/>
      <c r="R6" s="716"/>
      <c r="S6" s="716"/>
      <c r="T6" s="716"/>
      <c r="U6" s="716"/>
      <c r="V6" s="716"/>
      <c r="W6" s="716"/>
      <c r="X6" s="716"/>
      <c r="Y6" s="716"/>
      <c r="Z6" s="716"/>
    </row>
    <row r="7">
      <c r="A7" s="714" t="s">
        <v>3835</v>
      </c>
      <c r="B7" s="715">
        <v>3100000.0</v>
      </c>
      <c r="C7" s="716"/>
      <c r="D7" s="716"/>
      <c r="E7" s="716"/>
      <c r="F7" s="716"/>
      <c r="G7" s="716"/>
      <c r="H7" s="716"/>
      <c r="I7" s="716"/>
      <c r="J7" s="716"/>
      <c r="K7" s="716"/>
      <c r="L7" s="716"/>
      <c r="M7" s="716"/>
      <c r="N7" s="716"/>
      <c r="O7" s="716"/>
      <c r="P7" s="716"/>
      <c r="Q7" s="716"/>
      <c r="R7" s="716"/>
      <c r="S7" s="716"/>
      <c r="T7" s="716"/>
      <c r="U7" s="716"/>
      <c r="V7" s="716"/>
      <c r="W7" s="716"/>
      <c r="X7" s="716"/>
      <c r="Y7" s="716"/>
      <c r="Z7" s="716"/>
    </row>
    <row r="8">
      <c r="A8" s="714" t="s">
        <v>3830</v>
      </c>
      <c r="B8" s="715">
        <v>662000.0</v>
      </c>
      <c r="C8" s="716"/>
      <c r="D8" s="716"/>
      <c r="E8" s="716"/>
      <c r="F8" s="716"/>
      <c r="G8" s="716"/>
      <c r="H8" s="716"/>
      <c r="I8" s="716"/>
      <c r="J8" s="716"/>
      <c r="K8" s="716"/>
      <c r="L8" s="716"/>
      <c r="M8" s="716"/>
      <c r="N8" s="716"/>
      <c r="O8" s="716"/>
      <c r="P8" s="716"/>
      <c r="Q8" s="716"/>
      <c r="R8" s="716"/>
      <c r="S8" s="716"/>
      <c r="T8" s="716"/>
      <c r="U8" s="716"/>
      <c r="V8" s="716"/>
      <c r="W8" s="716"/>
      <c r="X8" s="716"/>
      <c r="Y8" s="716"/>
      <c r="Z8" s="716"/>
    </row>
    <row r="9">
      <c r="A9" s="714" t="s">
        <v>3836</v>
      </c>
      <c r="B9" s="715">
        <v>1063000.0</v>
      </c>
      <c r="C9" s="716"/>
      <c r="D9" s="716"/>
      <c r="E9" s="716"/>
      <c r="F9" s="716"/>
      <c r="G9" s="716"/>
      <c r="H9" s="716"/>
      <c r="I9" s="716"/>
      <c r="J9" s="716"/>
      <c r="K9" s="716"/>
      <c r="L9" s="716"/>
      <c r="M9" s="716"/>
      <c r="N9" s="716"/>
      <c r="O9" s="716"/>
      <c r="P9" s="716"/>
      <c r="Q9" s="716"/>
      <c r="R9" s="716"/>
      <c r="S9" s="716"/>
      <c r="T9" s="716"/>
      <c r="U9" s="716"/>
      <c r="V9" s="716"/>
      <c r="W9" s="716"/>
      <c r="X9" s="716"/>
      <c r="Y9" s="716"/>
      <c r="Z9" s="716"/>
    </row>
    <row r="10">
      <c r="A10" s="714" t="s">
        <v>3837</v>
      </c>
      <c r="B10" s="715">
        <v>460000.0</v>
      </c>
      <c r="C10" s="716"/>
      <c r="D10" s="716"/>
      <c r="E10" s="716"/>
      <c r="F10" s="716"/>
      <c r="G10" s="716"/>
      <c r="H10" s="716"/>
      <c r="I10" s="716"/>
      <c r="J10" s="716"/>
      <c r="K10" s="716"/>
      <c r="L10" s="716"/>
      <c r="M10" s="716"/>
      <c r="N10" s="716"/>
      <c r="O10" s="716"/>
      <c r="P10" s="716"/>
      <c r="Q10" s="716"/>
      <c r="R10" s="716"/>
      <c r="S10" s="716"/>
      <c r="T10" s="716"/>
      <c r="U10" s="716"/>
      <c r="V10" s="716"/>
      <c r="W10" s="716"/>
      <c r="X10" s="716"/>
      <c r="Y10" s="716"/>
      <c r="Z10" s="716"/>
    </row>
    <row r="11">
      <c r="A11" s="714" t="s">
        <v>3838</v>
      </c>
      <c r="B11" s="715">
        <v>330000.0</v>
      </c>
      <c r="C11" s="716"/>
      <c r="D11" s="716"/>
      <c r="E11" s="716"/>
      <c r="F11" s="716"/>
      <c r="G11" s="716"/>
      <c r="H11" s="716"/>
      <c r="I11" s="716"/>
      <c r="J11" s="716"/>
      <c r="K11" s="716"/>
      <c r="L11" s="716"/>
      <c r="M11" s="716"/>
      <c r="N11" s="716"/>
      <c r="O11" s="716"/>
      <c r="P11" s="716"/>
      <c r="Q11" s="716"/>
      <c r="R11" s="716"/>
      <c r="S11" s="716"/>
      <c r="T11" s="716"/>
      <c r="U11" s="716"/>
      <c r="V11" s="716"/>
      <c r="W11" s="716"/>
      <c r="X11" s="716"/>
      <c r="Y11" s="716"/>
      <c r="Z11" s="716"/>
    </row>
    <row r="12">
      <c r="A12" s="714" t="s">
        <v>3839</v>
      </c>
      <c r="B12" s="715">
        <v>50000.0</v>
      </c>
      <c r="C12" s="716"/>
      <c r="D12" s="716"/>
      <c r="E12" s="716"/>
      <c r="F12" s="716"/>
      <c r="G12" s="716"/>
      <c r="H12" s="716"/>
      <c r="I12" s="716"/>
      <c r="J12" s="716"/>
      <c r="K12" s="716"/>
      <c r="L12" s="716"/>
      <c r="M12" s="716"/>
      <c r="N12" s="716"/>
      <c r="O12" s="716"/>
      <c r="P12" s="716"/>
      <c r="Q12" s="716"/>
      <c r="R12" s="716"/>
      <c r="S12" s="716"/>
      <c r="T12" s="716"/>
      <c r="U12" s="716"/>
      <c r="V12" s="716"/>
      <c r="W12" s="716"/>
      <c r="X12" s="716"/>
      <c r="Y12" s="716"/>
      <c r="Z12" s="716"/>
    </row>
    <row r="13">
      <c r="A13" s="714" t="s">
        <v>3840</v>
      </c>
      <c r="B13" s="715">
        <v>100000.0</v>
      </c>
      <c r="C13" s="716"/>
      <c r="D13" s="716"/>
      <c r="E13" s="716"/>
      <c r="F13" s="716"/>
      <c r="G13" s="716"/>
      <c r="H13" s="716"/>
      <c r="I13" s="716"/>
      <c r="J13" s="716"/>
      <c r="K13" s="716"/>
      <c r="L13" s="716"/>
      <c r="M13" s="716"/>
      <c r="N13" s="716"/>
      <c r="O13" s="716"/>
      <c r="P13" s="716"/>
      <c r="Q13" s="716"/>
      <c r="R13" s="716"/>
      <c r="S13" s="716"/>
      <c r="T13" s="716"/>
      <c r="U13" s="716"/>
      <c r="V13" s="716"/>
      <c r="W13" s="716"/>
      <c r="X13" s="716"/>
      <c r="Y13" s="716"/>
      <c r="Z13" s="716"/>
    </row>
    <row r="14">
      <c r="A14" s="714" t="s">
        <v>3841</v>
      </c>
      <c r="B14" s="715">
        <f>400000+200000+250000</f>
        <v>850000</v>
      </c>
      <c r="C14" s="716"/>
      <c r="D14" s="716"/>
      <c r="E14" s="716"/>
      <c r="F14" s="716"/>
      <c r="G14" s="716"/>
      <c r="H14" s="716"/>
      <c r="I14" s="716"/>
      <c r="J14" s="716"/>
      <c r="K14" s="716"/>
      <c r="L14" s="716"/>
      <c r="M14" s="716"/>
      <c r="N14" s="716"/>
      <c r="O14" s="716"/>
      <c r="P14" s="716"/>
      <c r="Q14" s="716"/>
      <c r="R14" s="716"/>
      <c r="S14" s="716"/>
      <c r="T14" s="716"/>
      <c r="U14" s="716"/>
      <c r="V14" s="716"/>
      <c r="W14" s="716"/>
      <c r="X14" s="716"/>
      <c r="Y14" s="716"/>
      <c r="Z14" s="716"/>
    </row>
    <row r="15">
      <c r="A15" s="714" t="s">
        <v>3842</v>
      </c>
      <c r="B15" s="715">
        <v>150000.0</v>
      </c>
      <c r="C15" s="716"/>
      <c r="D15" s="716"/>
      <c r="E15" s="716"/>
      <c r="F15" s="716"/>
      <c r="G15" s="716"/>
      <c r="H15" s="716"/>
      <c r="I15" s="716"/>
      <c r="J15" s="716"/>
      <c r="K15" s="716"/>
      <c r="L15" s="716"/>
      <c r="M15" s="716"/>
      <c r="N15" s="716"/>
      <c r="O15" s="716"/>
      <c r="P15" s="716"/>
      <c r="Q15" s="716"/>
      <c r="R15" s="716"/>
      <c r="S15" s="716"/>
      <c r="T15" s="716"/>
      <c r="U15" s="716"/>
      <c r="V15" s="716"/>
      <c r="W15" s="716"/>
      <c r="X15" s="716"/>
      <c r="Y15" s="716"/>
      <c r="Z15" s="716"/>
    </row>
    <row r="16">
      <c r="A16" s="714" t="s">
        <v>3843</v>
      </c>
      <c r="B16" s="715">
        <v>117000.0</v>
      </c>
      <c r="C16" s="716"/>
      <c r="D16" s="716"/>
      <c r="E16" s="716"/>
      <c r="F16" s="716"/>
      <c r="G16" s="716"/>
      <c r="H16" s="716"/>
      <c r="I16" s="716"/>
      <c r="J16" s="716"/>
      <c r="K16" s="716"/>
      <c r="L16" s="716"/>
      <c r="M16" s="716"/>
      <c r="N16" s="716"/>
      <c r="O16" s="716"/>
      <c r="P16" s="716"/>
      <c r="Q16" s="716"/>
      <c r="R16" s="716"/>
      <c r="S16" s="716"/>
      <c r="T16" s="716"/>
      <c r="U16" s="716"/>
      <c r="V16" s="716"/>
      <c r="W16" s="716"/>
      <c r="X16" s="716"/>
      <c r="Y16" s="716"/>
      <c r="Z16" s="716"/>
    </row>
    <row r="17">
      <c r="A17" s="714" t="s">
        <v>3844</v>
      </c>
      <c r="B17" s="715">
        <v>100000.0</v>
      </c>
      <c r="C17" s="716"/>
      <c r="D17" s="716"/>
      <c r="E17" s="716"/>
      <c r="F17" s="716"/>
      <c r="G17" s="716"/>
      <c r="H17" s="716"/>
      <c r="I17" s="716"/>
      <c r="J17" s="716"/>
      <c r="K17" s="716"/>
      <c r="L17" s="716"/>
      <c r="M17" s="716"/>
      <c r="N17" s="716"/>
      <c r="O17" s="716"/>
      <c r="P17" s="716"/>
      <c r="Q17" s="716"/>
      <c r="R17" s="716"/>
      <c r="S17" s="716"/>
      <c r="T17" s="716"/>
      <c r="U17" s="716"/>
      <c r="V17" s="716"/>
      <c r="W17" s="716"/>
      <c r="X17" s="716"/>
      <c r="Y17" s="716"/>
      <c r="Z17" s="716"/>
    </row>
    <row r="18">
      <c r="A18" s="714" t="s">
        <v>3845</v>
      </c>
      <c r="B18" s="715">
        <v>1550000.0</v>
      </c>
      <c r="C18" s="716"/>
      <c r="D18" s="716"/>
      <c r="E18" s="716"/>
      <c r="F18" s="716"/>
      <c r="G18" s="716"/>
      <c r="H18" s="716"/>
      <c r="I18" s="716"/>
      <c r="J18" s="716"/>
      <c r="K18" s="716"/>
      <c r="L18" s="716"/>
      <c r="M18" s="716"/>
      <c r="N18" s="716"/>
      <c r="O18" s="716"/>
      <c r="P18" s="716"/>
      <c r="Q18" s="716"/>
      <c r="R18" s="716"/>
      <c r="S18" s="716"/>
      <c r="T18" s="716"/>
      <c r="U18" s="716"/>
      <c r="V18" s="716"/>
      <c r="W18" s="716"/>
      <c r="X18" s="716"/>
      <c r="Y18" s="716"/>
      <c r="Z18" s="716"/>
    </row>
    <row r="19">
      <c r="A19" s="714" t="s">
        <v>3846</v>
      </c>
      <c r="B19" s="715">
        <v>70000.0</v>
      </c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</row>
    <row r="20">
      <c r="A20" s="714" t="s">
        <v>3847</v>
      </c>
      <c r="B20" s="715">
        <v>4100000.0</v>
      </c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6"/>
      <c r="N20" s="716"/>
      <c r="O20" s="716"/>
      <c r="P20" s="716"/>
      <c r="Q20" s="716"/>
      <c r="R20" s="716"/>
      <c r="S20" s="716"/>
      <c r="T20" s="716"/>
      <c r="U20" s="716"/>
      <c r="V20" s="716"/>
      <c r="W20" s="716"/>
      <c r="X20" s="716"/>
      <c r="Y20" s="716"/>
      <c r="Z20" s="716"/>
    </row>
    <row r="21">
      <c r="A21" s="714" t="s">
        <v>3848</v>
      </c>
      <c r="B21" s="715">
        <v>90000.0</v>
      </c>
      <c r="C21" s="716"/>
      <c r="D21" s="716"/>
      <c r="E21" s="716"/>
      <c r="F21" s="716"/>
      <c r="G21" s="716"/>
      <c r="H21" s="716"/>
      <c r="I21" s="716"/>
      <c r="J21" s="716"/>
      <c r="K21" s="716"/>
      <c r="L21" s="716"/>
      <c r="M21" s="716"/>
      <c r="N21" s="716"/>
      <c r="O21" s="716"/>
      <c r="P21" s="716"/>
      <c r="Q21" s="716"/>
      <c r="R21" s="716"/>
      <c r="S21" s="716"/>
      <c r="T21" s="716"/>
      <c r="U21" s="716"/>
      <c r="V21" s="716"/>
      <c r="W21" s="716"/>
      <c r="X21" s="716"/>
      <c r="Y21" s="716"/>
      <c r="Z21" s="716"/>
    </row>
    <row r="22">
      <c r="A22" s="714" t="s">
        <v>3849</v>
      </c>
      <c r="B22" s="715">
        <v>150000.0</v>
      </c>
      <c r="C22" s="716"/>
      <c r="D22" s="716"/>
      <c r="E22" s="716"/>
      <c r="F22" s="716"/>
      <c r="G22" s="716"/>
      <c r="H22" s="716"/>
      <c r="I22" s="716"/>
      <c r="J22" s="716"/>
      <c r="K22" s="716"/>
      <c r="L22" s="716"/>
      <c r="M22" s="716"/>
      <c r="N22" s="716"/>
      <c r="O22" s="716"/>
      <c r="P22" s="716"/>
      <c r="Q22" s="716"/>
      <c r="R22" s="716"/>
      <c r="S22" s="716"/>
      <c r="T22" s="716"/>
      <c r="U22" s="716"/>
      <c r="V22" s="716"/>
      <c r="W22" s="716"/>
      <c r="X22" s="716"/>
      <c r="Y22" s="716"/>
      <c r="Z22" s="716"/>
    </row>
    <row r="23">
      <c r="A23" s="714" t="s">
        <v>2746</v>
      </c>
      <c r="B23" s="717">
        <f>55000+42000+155000+55000</f>
        <v>307000</v>
      </c>
      <c r="C23" s="716"/>
      <c r="D23" s="716"/>
      <c r="E23" s="716"/>
      <c r="F23" s="716"/>
      <c r="G23" s="716"/>
      <c r="H23" s="716"/>
      <c r="I23" s="716"/>
      <c r="J23" s="716"/>
      <c r="K23" s="716"/>
      <c r="L23" s="716"/>
      <c r="M23" s="716"/>
      <c r="N23" s="716"/>
      <c r="O23" s="716"/>
      <c r="P23" s="716"/>
      <c r="Q23" s="716"/>
      <c r="R23" s="716"/>
      <c r="S23" s="716"/>
      <c r="T23" s="716"/>
      <c r="U23" s="716"/>
      <c r="V23" s="716"/>
      <c r="W23" s="716"/>
      <c r="X23" s="716"/>
      <c r="Y23" s="716"/>
      <c r="Z23" s="716"/>
    </row>
    <row r="24">
      <c r="A24" s="714" t="s">
        <v>3850</v>
      </c>
      <c r="B24" s="715">
        <v>50000.0</v>
      </c>
      <c r="C24" s="716"/>
      <c r="D24" s="716"/>
      <c r="E24" s="716"/>
      <c r="F24" s="716"/>
      <c r="G24" s="716"/>
      <c r="H24" s="716"/>
      <c r="I24" s="716"/>
      <c r="J24" s="716"/>
      <c r="K24" s="716"/>
      <c r="L24" s="716"/>
      <c r="M24" s="716"/>
      <c r="N24" s="716"/>
      <c r="O24" s="716"/>
      <c r="P24" s="716"/>
      <c r="Q24" s="716"/>
      <c r="R24" s="716"/>
      <c r="S24" s="716"/>
      <c r="T24" s="716"/>
      <c r="U24" s="716"/>
      <c r="V24" s="716"/>
      <c r="W24" s="716"/>
      <c r="X24" s="716"/>
      <c r="Y24" s="716"/>
      <c r="Z24" s="716"/>
    </row>
    <row r="25">
      <c r="A25" s="714" t="s">
        <v>3851</v>
      </c>
      <c r="B25" s="715">
        <v>160000.0</v>
      </c>
      <c r="C25" s="716"/>
      <c r="D25" s="716"/>
      <c r="E25" s="716"/>
      <c r="F25" s="716"/>
      <c r="G25" s="716"/>
      <c r="H25" s="716"/>
      <c r="I25" s="716"/>
      <c r="J25" s="716"/>
      <c r="K25" s="716"/>
      <c r="L25" s="716"/>
      <c r="M25" s="716"/>
      <c r="N25" s="716"/>
      <c r="O25" s="716"/>
      <c r="P25" s="716"/>
      <c r="Q25" s="716"/>
      <c r="R25" s="716"/>
      <c r="S25" s="716"/>
      <c r="T25" s="716"/>
      <c r="U25" s="716"/>
      <c r="V25" s="716"/>
      <c r="W25" s="716"/>
      <c r="X25" s="716"/>
      <c r="Y25" s="716"/>
      <c r="Z25" s="716"/>
    </row>
    <row r="26">
      <c r="A26" s="714" t="s">
        <v>3852</v>
      </c>
      <c r="B26" s="715">
        <f>600000+460000</f>
        <v>1060000</v>
      </c>
      <c r="C26" s="716"/>
      <c r="D26" s="716"/>
      <c r="E26" s="716"/>
      <c r="F26" s="716"/>
      <c r="G26" s="716"/>
      <c r="H26" s="716"/>
      <c r="I26" s="716"/>
      <c r="J26" s="716"/>
      <c r="K26" s="716"/>
      <c r="L26" s="716"/>
      <c r="M26" s="716"/>
      <c r="N26" s="716"/>
      <c r="O26" s="716"/>
      <c r="P26" s="716"/>
      <c r="Q26" s="716"/>
      <c r="R26" s="716"/>
      <c r="S26" s="716"/>
      <c r="T26" s="716"/>
      <c r="U26" s="716"/>
      <c r="V26" s="716"/>
      <c r="W26" s="716"/>
      <c r="X26" s="716"/>
      <c r="Y26" s="716"/>
      <c r="Z26" s="716"/>
    </row>
    <row r="27">
      <c r="A27" s="714" t="s">
        <v>3853</v>
      </c>
      <c r="B27" s="715">
        <v>930000.0</v>
      </c>
      <c r="C27" s="716"/>
      <c r="D27" s="716"/>
      <c r="E27" s="716"/>
      <c r="F27" s="716"/>
      <c r="G27" s="716"/>
      <c r="H27" s="716"/>
      <c r="I27" s="716"/>
      <c r="J27" s="716"/>
      <c r="K27" s="716"/>
      <c r="L27" s="716"/>
      <c r="M27" s="716"/>
      <c r="N27" s="716"/>
      <c r="O27" s="716"/>
      <c r="P27" s="716"/>
      <c r="Q27" s="716"/>
      <c r="R27" s="716"/>
      <c r="S27" s="716"/>
      <c r="T27" s="716"/>
      <c r="U27" s="716"/>
      <c r="V27" s="716"/>
      <c r="W27" s="716"/>
      <c r="X27" s="716"/>
      <c r="Y27" s="716"/>
      <c r="Z27" s="716"/>
    </row>
    <row r="28">
      <c r="A28" s="714" t="s">
        <v>3854</v>
      </c>
      <c r="B28" s="715">
        <v>300000.0</v>
      </c>
      <c r="C28" s="716"/>
      <c r="D28" s="716"/>
      <c r="E28" s="716"/>
      <c r="F28" s="716"/>
      <c r="G28" s="716"/>
      <c r="H28" s="716"/>
      <c r="I28" s="716"/>
      <c r="J28" s="716"/>
      <c r="K28" s="716"/>
      <c r="L28" s="716"/>
      <c r="M28" s="716"/>
      <c r="N28" s="716"/>
      <c r="O28" s="716"/>
      <c r="P28" s="716"/>
      <c r="Q28" s="716"/>
      <c r="R28" s="716"/>
      <c r="S28" s="716"/>
      <c r="T28" s="716"/>
      <c r="U28" s="716"/>
      <c r="V28" s="716"/>
      <c r="W28" s="716"/>
      <c r="X28" s="716"/>
      <c r="Y28" s="716"/>
      <c r="Z28" s="716"/>
    </row>
    <row r="29">
      <c r="A29" s="714" t="s">
        <v>3855</v>
      </c>
      <c r="B29" s="715">
        <v>55000.0</v>
      </c>
      <c r="C29" s="716"/>
      <c r="D29" s="716"/>
      <c r="E29" s="716"/>
      <c r="F29" s="716"/>
      <c r="G29" s="716"/>
      <c r="H29" s="716"/>
      <c r="I29" s="716"/>
      <c r="J29" s="716"/>
      <c r="K29" s="716"/>
      <c r="L29" s="716"/>
      <c r="M29" s="716"/>
      <c r="N29" s="716"/>
      <c r="O29" s="716"/>
      <c r="P29" s="716"/>
      <c r="Q29" s="716"/>
      <c r="R29" s="716"/>
      <c r="S29" s="716"/>
      <c r="T29" s="716"/>
      <c r="U29" s="716"/>
      <c r="V29" s="716"/>
      <c r="W29" s="716"/>
      <c r="X29" s="716"/>
      <c r="Y29" s="716"/>
      <c r="Z29" s="716"/>
    </row>
    <row r="30">
      <c r="A30" s="714" t="s">
        <v>3856</v>
      </c>
      <c r="B30" s="715">
        <v>220000.0</v>
      </c>
      <c r="C30" s="716"/>
      <c r="D30" s="716"/>
      <c r="E30" s="716"/>
      <c r="F30" s="716"/>
      <c r="G30" s="716"/>
      <c r="H30" s="716"/>
      <c r="I30" s="716"/>
      <c r="J30" s="716"/>
      <c r="K30" s="716"/>
      <c r="L30" s="716"/>
      <c r="M30" s="716"/>
      <c r="N30" s="716"/>
      <c r="O30" s="716"/>
      <c r="P30" s="716"/>
      <c r="Q30" s="716"/>
      <c r="R30" s="716"/>
      <c r="S30" s="716"/>
      <c r="T30" s="716"/>
      <c r="U30" s="716"/>
      <c r="V30" s="716"/>
      <c r="W30" s="716"/>
      <c r="X30" s="716"/>
      <c r="Y30" s="716"/>
      <c r="Z30" s="716"/>
    </row>
    <row r="31">
      <c r="A31" s="714" t="s">
        <v>3857</v>
      </c>
      <c r="B31" s="715">
        <v>1500000.0</v>
      </c>
      <c r="C31" s="716"/>
      <c r="D31" s="716"/>
      <c r="E31" s="716"/>
      <c r="F31" s="716"/>
      <c r="G31" s="716"/>
      <c r="H31" s="716"/>
      <c r="I31" s="716"/>
      <c r="J31" s="716"/>
      <c r="K31" s="716"/>
      <c r="L31" s="716"/>
      <c r="M31" s="716"/>
      <c r="N31" s="716"/>
      <c r="O31" s="716"/>
      <c r="P31" s="716"/>
      <c r="Q31" s="716"/>
      <c r="R31" s="716"/>
      <c r="S31" s="716"/>
      <c r="T31" s="716"/>
      <c r="U31" s="716"/>
      <c r="V31" s="716"/>
      <c r="W31" s="716"/>
      <c r="X31" s="716"/>
      <c r="Y31" s="716"/>
      <c r="Z31" s="716"/>
    </row>
    <row r="32">
      <c r="A32" s="714" t="s">
        <v>3858</v>
      </c>
      <c r="B32" s="715">
        <v>700000.0</v>
      </c>
      <c r="C32" s="716"/>
      <c r="D32" s="716"/>
      <c r="E32" s="716"/>
      <c r="F32" s="716"/>
      <c r="G32" s="716"/>
      <c r="H32" s="716"/>
      <c r="I32" s="716"/>
      <c r="J32" s="716"/>
      <c r="K32" s="716"/>
      <c r="L32" s="716"/>
      <c r="M32" s="716"/>
      <c r="N32" s="716"/>
      <c r="O32" s="716"/>
      <c r="P32" s="716"/>
      <c r="Q32" s="716"/>
      <c r="R32" s="716"/>
      <c r="S32" s="716"/>
      <c r="T32" s="716"/>
      <c r="U32" s="716"/>
      <c r="V32" s="716"/>
      <c r="W32" s="716"/>
      <c r="X32" s="716"/>
      <c r="Y32" s="716"/>
      <c r="Z32" s="716"/>
    </row>
    <row r="33">
      <c r="A33" s="714" t="s">
        <v>3859</v>
      </c>
      <c r="B33" s="715">
        <v>54000.0</v>
      </c>
      <c r="C33" s="716"/>
      <c r="D33" s="716"/>
      <c r="E33" s="716"/>
      <c r="F33" s="716"/>
      <c r="G33" s="716"/>
      <c r="H33" s="716"/>
      <c r="I33" s="716"/>
      <c r="J33" s="716"/>
      <c r="K33" s="716"/>
      <c r="L33" s="716"/>
      <c r="M33" s="716"/>
      <c r="N33" s="716"/>
      <c r="O33" s="716"/>
      <c r="P33" s="716"/>
      <c r="Q33" s="716"/>
      <c r="R33" s="716"/>
      <c r="S33" s="716"/>
      <c r="T33" s="716"/>
      <c r="U33" s="716"/>
      <c r="V33" s="716"/>
      <c r="W33" s="716"/>
      <c r="X33" s="716"/>
      <c r="Y33" s="716"/>
      <c r="Z33" s="716"/>
    </row>
    <row r="34">
      <c r="A34" s="714" t="s">
        <v>3860</v>
      </c>
      <c r="B34" s="715">
        <v>580000.0</v>
      </c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</row>
    <row r="35">
      <c r="A35" s="714" t="s">
        <v>3861</v>
      </c>
      <c r="B35" s="715">
        <v>70000.0</v>
      </c>
      <c r="C35" s="716"/>
      <c r="D35" s="716"/>
      <c r="E35" s="716"/>
      <c r="F35" s="716"/>
      <c r="G35" s="716"/>
      <c r="H35" s="716"/>
      <c r="I35" s="716"/>
      <c r="J35" s="716"/>
      <c r="K35" s="716"/>
      <c r="L35" s="716"/>
      <c r="M35" s="716"/>
      <c r="N35" s="716"/>
      <c r="O35" s="716"/>
      <c r="P35" s="716"/>
      <c r="Q35" s="716"/>
      <c r="R35" s="716"/>
      <c r="S35" s="716"/>
      <c r="T35" s="716"/>
      <c r="U35" s="716"/>
      <c r="V35" s="716"/>
      <c r="W35" s="716"/>
      <c r="X35" s="716"/>
      <c r="Y35" s="716"/>
      <c r="Z35" s="716"/>
    </row>
    <row r="36">
      <c r="A36" s="714" t="s">
        <v>3860</v>
      </c>
      <c r="B36" s="715">
        <v>72000.0</v>
      </c>
      <c r="C36" s="716"/>
      <c r="D36" s="716"/>
      <c r="E36" s="716"/>
      <c r="F36" s="716"/>
      <c r="G36" s="716"/>
      <c r="H36" s="716"/>
      <c r="I36" s="716"/>
      <c r="J36" s="716"/>
      <c r="K36" s="716"/>
      <c r="L36" s="716"/>
      <c r="M36" s="716"/>
      <c r="N36" s="716"/>
      <c r="O36" s="716"/>
      <c r="P36" s="716"/>
      <c r="Q36" s="716"/>
      <c r="R36" s="716"/>
      <c r="S36" s="716"/>
      <c r="T36" s="716"/>
      <c r="U36" s="716"/>
      <c r="V36" s="716"/>
      <c r="W36" s="716"/>
      <c r="X36" s="716"/>
      <c r="Y36" s="716"/>
      <c r="Z36" s="716"/>
    </row>
    <row r="37">
      <c r="A37" s="714" t="s">
        <v>3862</v>
      </c>
      <c r="B37" s="717">
        <f>290000+270000</f>
        <v>560000</v>
      </c>
      <c r="C37" s="716"/>
      <c r="D37" s="716"/>
      <c r="E37" s="716"/>
      <c r="F37" s="716"/>
      <c r="G37" s="716"/>
      <c r="H37" s="716"/>
      <c r="I37" s="716"/>
      <c r="J37" s="716"/>
      <c r="K37" s="716"/>
      <c r="L37" s="716"/>
      <c r="M37" s="716"/>
      <c r="N37" s="716"/>
      <c r="O37" s="716"/>
      <c r="P37" s="716"/>
      <c r="Q37" s="716"/>
      <c r="R37" s="716"/>
      <c r="S37" s="716"/>
      <c r="T37" s="716"/>
      <c r="U37" s="716"/>
      <c r="V37" s="716"/>
      <c r="W37" s="716"/>
      <c r="X37" s="716"/>
      <c r="Y37" s="716"/>
      <c r="Z37" s="716"/>
    </row>
    <row r="38">
      <c r="A38" s="714" t="s">
        <v>3830</v>
      </c>
      <c r="B38" s="715">
        <v>197000.0</v>
      </c>
      <c r="C38" s="716"/>
      <c r="D38" s="716"/>
      <c r="E38" s="716"/>
      <c r="F38" s="716"/>
      <c r="G38" s="716"/>
      <c r="H38" s="716"/>
      <c r="I38" s="716"/>
      <c r="J38" s="716"/>
      <c r="K38" s="716"/>
      <c r="L38" s="716"/>
      <c r="M38" s="716"/>
      <c r="N38" s="716"/>
      <c r="O38" s="716"/>
      <c r="P38" s="716"/>
      <c r="Q38" s="716"/>
      <c r="R38" s="716"/>
      <c r="S38" s="716"/>
      <c r="T38" s="716"/>
      <c r="U38" s="716"/>
      <c r="V38" s="716"/>
      <c r="W38" s="716"/>
      <c r="X38" s="716"/>
      <c r="Y38" s="716"/>
      <c r="Z38" s="716"/>
    </row>
    <row r="39">
      <c r="A39" s="714" t="s">
        <v>3863</v>
      </c>
      <c r="B39" s="715">
        <v>750000.0</v>
      </c>
      <c r="C39" s="716"/>
      <c r="D39" s="716"/>
      <c r="E39" s="716"/>
      <c r="F39" s="716"/>
      <c r="G39" s="716"/>
      <c r="H39" s="716"/>
      <c r="I39" s="716"/>
      <c r="J39" s="716"/>
      <c r="K39" s="716"/>
      <c r="L39" s="716"/>
      <c r="M39" s="716"/>
      <c r="N39" s="716"/>
      <c r="O39" s="716"/>
      <c r="P39" s="716"/>
      <c r="Q39" s="716"/>
      <c r="R39" s="716"/>
      <c r="S39" s="716"/>
      <c r="T39" s="716"/>
      <c r="U39" s="716"/>
      <c r="V39" s="716"/>
      <c r="W39" s="716"/>
      <c r="X39" s="716"/>
      <c r="Y39" s="716"/>
      <c r="Z39" s="716"/>
    </row>
    <row r="40">
      <c r="A40" s="714" t="s">
        <v>3864</v>
      </c>
      <c r="B40" s="715">
        <v>60000.0</v>
      </c>
      <c r="C40" s="716"/>
      <c r="D40" s="716"/>
      <c r="E40" s="716"/>
      <c r="F40" s="716"/>
      <c r="G40" s="716"/>
      <c r="H40" s="716"/>
      <c r="I40" s="716"/>
      <c r="J40" s="716"/>
      <c r="K40" s="716"/>
      <c r="L40" s="716"/>
      <c r="M40" s="716"/>
      <c r="N40" s="716"/>
      <c r="O40" s="716"/>
      <c r="P40" s="716"/>
      <c r="Q40" s="716"/>
      <c r="R40" s="716"/>
      <c r="S40" s="716"/>
      <c r="T40" s="716"/>
      <c r="U40" s="716"/>
      <c r="V40" s="716"/>
      <c r="W40" s="716"/>
      <c r="X40" s="716"/>
      <c r="Y40" s="716"/>
      <c r="Z40" s="716"/>
    </row>
    <row r="41">
      <c r="A41" s="714" t="s">
        <v>3865</v>
      </c>
      <c r="B41" s="715">
        <v>380000.0</v>
      </c>
      <c r="C41" s="716"/>
      <c r="D41" s="716"/>
      <c r="E41" s="716"/>
      <c r="F41" s="716"/>
      <c r="G41" s="716"/>
      <c r="H41" s="716"/>
      <c r="I41" s="716"/>
      <c r="J41" s="716"/>
      <c r="K41" s="716"/>
      <c r="L41" s="716"/>
      <c r="M41" s="716"/>
      <c r="N41" s="716"/>
      <c r="O41" s="716"/>
      <c r="P41" s="716"/>
      <c r="Q41" s="716"/>
      <c r="R41" s="716"/>
      <c r="S41" s="716"/>
      <c r="T41" s="716"/>
      <c r="U41" s="716"/>
      <c r="V41" s="716"/>
      <c r="W41" s="716"/>
      <c r="X41" s="716"/>
      <c r="Y41" s="716"/>
      <c r="Z41" s="716"/>
    </row>
    <row r="42">
      <c r="A42" s="714" t="s">
        <v>3866</v>
      </c>
      <c r="B42" s="715">
        <v>40000.0</v>
      </c>
      <c r="C42" s="716"/>
      <c r="D42" s="716"/>
      <c r="E42" s="716"/>
      <c r="F42" s="716"/>
      <c r="G42" s="716"/>
      <c r="H42" s="716"/>
      <c r="I42" s="716"/>
      <c r="J42" s="716"/>
      <c r="K42" s="716"/>
      <c r="L42" s="716"/>
      <c r="M42" s="716"/>
      <c r="N42" s="716"/>
      <c r="O42" s="716"/>
      <c r="P42" s="716"/>
      <c r="Q42" s="716"/>
      <c r="R42" s="716"/>
      <c r="S42" s="716"/>
      <c r="T42" s="716"/>
      <c r="U42" s="716"/>
      <c r="V42" s="716"/>
      <c r="W42" s="716"/>
      <c r="X42" s="716"/>
      <c r="Y42" s="716"/>
      <c r="Z42" s="716"/>
    </row>
    <row r="43">
      <c r="A43" s="714" t="s">
        <v>3867</v>
      </c>
      <c r="B43" s="715">
        <v>150000.0</v>
      </c>
      <c r="C43" s="716"/>
      <c r="D43" s="716"/>
      <c r="E43" s="716"/>
      <c r="F43" s="716"/>
      <c r="G43" s="716"/>
      <c r="H43" s="716"/>
      <c r="I43" s="716"/>
      <c r="J43" s="716"/>
      <c r="K43" s="716"/>
      <c r="L43" s="716"/>
      <c r="M43" s="716"/>
      <c r="N43" s="716"/>
      <c r="O43" s="716"/>
      <c r="P43" s="716"/>
      <c r="Q43" s="716"/>
      <c r="R43" s="716"/>
      <c r="S43" s="716"/>
      <c r="T43" s="716"/>
      <c r="U43" s="716"/>
      <c r="V43" s="716"/>
      <c r="W43" s="716"/>
      <c r="X43" s="716"/>
      <c r="Y43" s="716"/>
      <c r="Z43" s="716"/>
    </row>
    <row r="44">
      <c r="A44" s="714" t="s">
        <v>3861</v>
      </c>
      <c r="B44" s="715">
        <v>15000.0</v>
      </c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</row>
    <row r="45">
      <c r="A45" s="714" t="s">
        <v>3868</v>
      </c>
      <c r="B45" s="715">
        <v>2460000.0</v>
      </c>
      <c r="C45" s="716"/>
      <c r="D45" s="716"/>
      <c r="E45" s="716"/>
      <c r="F45" s="716"/>
      <c r="G45" s="716"/>
      <c r="H45" s="716"/>
      <c r="I45" s="716"/>
      <c r="J45" s="716"/>
      <c r="K45" s="716"/>
      <c r="L45" s="716"/>
      <c r="M45" s="716"/>
      <c r="N45" s="716"/>
      <c r="O45" s="716"/>
      <c r="P45" s="716"/>
      <c r="Q45" s="716"/>
      <c r="R45" s="716"/>
      <c r="S45" s="716"/>
      <c r="T45" s="716"/>
      <c r="U45" s="716"/>
      <c r="V45" s="716"/>
      <c r="W45" s="716"/>
      <c r="X45" s="716"/>
      <c r="Y45" s="716"/>
      <c r="Z45" s="716"/>
    </row>
    <row r="46">
      <c r="A46" s="714" t="s">
        <v>3869</v>
      </c>
      <c r="B46" s="715">
        <v>90000.0</v>
      </c>
      <c r="C46" s="716"/>
      <c r="D46" s="716"/>
      <c r="E46" s="716"/>
      <c r="F46" s="716"/>
      <c r="G46" s="716"/>
      <c r="H46" s="716"/>
      <c r="I46" s="716"/>
      <c r="J46" s="716"/>
      <c r="K46" s="716"/>
      <c r="L46" s="716"/>
      <c r="M46" s="716"/>
      <c r="N46" s="716"/>
      <c r="O46" s="716"/>
      <c r="P46" s="716"/>
      <c r="Q46" s="716"/>
      <c r="R46" s="716"/>
      <c r="S46" s="716"/>
      <c r="T46" s="716"/>
      <c r="U46" s="716"/>
      <c r="V46" s="716"/>
      <c r="W46" s="716"/>
      <c r="X46" s="716"/>
      <c r="Y46" s="716"/>
      <c r="Z46" s="716"/>
    </row>
    <row r="47">
      <c r="A47" s="714" t="s">
        <v>3870</v>
      </c>
      <c r="B47" s="715">
        <v>381000.0</v>
      </c>
      <c r="C47" s="716"/>
      <c r="D47" s="716"/>
      <c r="E47" s="716"/>
      <c r="F47" s="716"/>
      <c r="G47" s="716"/>
      <c r="H47" s="716"/>
      <c r="I47" s="716"/>
      <c r="J47" s="716"/>
      <c r="K47" s="716"/>
      <c r="L47" s="716"/>
      <c r="M47" s="716"/>
      <c r="N47" s="716"/>
      <c r="O47" s="716"/>
      <c r="P47" s="716"/>
      <c r="Q47" s="716"/>
      <c r="R47" s="716"/>
      <c r="S47" s="716"/>
      <c r="T47" s="716"/>
      <c r="U47" s="716"/>
      <c r="V47" s="716"/>
      <c r="W47" s="716"/>
      <c r="X47" s="716"/>
      <c r="Y47" s="716"/>
      <c r="Z47" s="716"/>
    </row>
    <row r="48">
      <c r="A48" s="714" t="s">
        <v>3871</v>
      </c>
      <c r="B48" s="715">
        <v>2500000.0</v>
      </c>
      <c r="C48" s="716"/>
      <c r="D48" s="716"/>
      <c r="E48" s="716"/>
      <c r="F48" s="714"/>
      <c r="G48" s="714"/>
      <c r="H48" s="714"/>
      <c r="I48" s="716"/>
      <c r="J48" s="716"/>
      <c r="K48" s="716"/>
      <c r="L48" s="716"/>
      <c r="M48" s="716"/>
      <c r="N48" s="716"/>
      <c r="O48" s="716"/>
      <c r="P48" s="716"/>
      <c r="Q48" s="716"/>
      <c r="R48" s="716"/>
      <c r="S48" s="716"/>
      <c r="T48" s="716"/>
      <c r="U48" s="716"/>
      <c r="V48" s="716"/>
      <c r="W48" s="716"/>
      <c r="X48" s="716"/>
      <c r="Y48" s="716"/>
      <c r="Z48" s="716"/>
    </row>
    <row r="49">
      <c r="A49" s="714" t="s">
        <v>3860</v>
      </c>
      <c r="B49" s="715">
        <v>320000.0</v>
      </c>
      <c r="C49" s="716"/>
      <c r="D49" s="716"/>
      <c r="E49" s="716"/>
      <c r="F49" s="716"/>
      <c r="G49" s="716"/>
      <c r="H49" s="716"/>
      <c r="I49" s="716"/>
      <c r="J49" s="716"/>
      <c r="K49" s="716"/>
      <c r="L49" s="716"/>
      <c r="M49" s="716"/>
      <c r="N49" s="716"/>
      <c r="O49" s="716"/>
      <c r="P49" s="716"/>
      <c r="Q49" s="716"/>
      <c r="R49" s="716"/>
      <c r="S49" s="716"/>
      <c r="T49" s="716"/>
      <c r="U49" s="716"/>
      <c r="V49" s="716"/>
      <c r="W49" s="716"/>
      <c r="X49" s="716"/>
      <c r="Y49" s="716"/>
      <c r="Z49" s="716"/>
    </row>
    <row r="50">
      <c r="A50" s="714" t="s">
        <v>3872</v>
      </c>
      <c r="B50" s="715">
        <v>195000.0</v>
      </c>
      <c r="C50" s="716"/>
      <c r="D50" s="716"/>
      <c r="E50" s="716"/>
      <c r="F50" s="716"/>
      <c r="G50" s="716"/>
      <c r="H50" s="716"/>
      <c r="I50" s="716"/>
      <c r="J50" s="716"/>
      <c r="K50" s="716"/>
      <c r="L50" s="716"/>
      <c r="M50" s="716"/>
      <c r="N50" s="716"/>
      <c r="O50" s="716"/>
      <c r="P50" s="716"/>
      <c r="Q50" s="716"/>
      <c r="R50" s="716"/>
      <c r="S50" s="716"/>
      <c r="T50" s="716"/>
      <c r="U50" s="716"/>
      <c r="V50" s="716"/>
      <c r="W50" s="716"/>
      <c r="X50" s="716"/>
      <c r="Y50" s="716"/>
      <c r="Z50" s="716"/>
    </row>
    <row r="51">
      <c r="A51" s="714" t="s">
        <v>3836</v>
      </c>
      <c r="B51" s="715">
        <v>200000.0</v>
      </c>
      <c r="C51" s="716"/>
      <c r="D51" s="716"/>
      <c r="E51" s="716"/>
      <c r="F51" s="716"/>
      <c r="G51" s="716"/>
      <c r="H51" s="716"/>
      <c r="I51" s="716"/>
      <c r="J51" s="716"/>
      <c r="K51" s="716"/>
      <c r="L51" s="716"/>
      <c r="M51" s="716"/>
      <c r="N51" s="716"/>
      <c r="O51" s="716"/>
      <c r="P51" s="716"/>
      <c r="Q51" s="716"/>
      <c r="R51" s="716"/>
      <c r="S51" s="716"/>
      <c r="T51" s="716"/>
      <c r="U51" s="716"/>
      <c r="V51" s="716"/>
      <c r="W51" s="716"/>
      <c r="X51" s="716"/>
      <c r="Y51" s="716"/>
      <c r="Z51" s="716"/>
    </row>
    <row r="52">
      <c r="A52" s="714" t="s">
        <v>3873</v>
      </c>
      <c r="B52" s="715">
        <v>1550000.0</v>
      </c>
      <c r="C52" s="716"/>
      <c r="D52" s="716"/>
      <c r="E52" s="716"/>
      <c r="F52" s="716"/>
      <c r="G52" s="716"/>
      <c r="H52" s="716"/>
      <c r="I52" s="716"/>
      <c r="J52" s="716"/>
      <c r="K52" s="716"/>
      <c r="L52" s="716"/>
      <c r="M52" s="716"/>
      <c r="N52" s="716"/>
      <c r="O52" s="716"/>
      <c r="P52" s="716"/>
      <c r="Q52" s="716"/>
      <c r="R52" s="716"/>
      <c r="S52" s="716"/>
      <c r="T52" s="716"/>
      <c r="U52" s="716"/>
      <c r="V52" s="716"/>
      <c r="W52" s="716"/>
      <c r="X52" s="716"/>
      <c r="Y52" s="716"/>
      <c r="Z52" s="716"/>
    </row>
    <row r="53">
      <c r="A53" s="714" t="s">
        <v>3874</v>
      </c>
      <c r="B53" s="717">
        <f>240000</f>
        <v>240000</v>
      </c>
      <c r="C53" s="716"/>
      <c r="D53" s="716"/>
      <c r="E53" s="716"/>
      <c r="F53" s="716"/>
      <c r="G53" s="716"/>
      <c r="H53" s="716"/>
      <c r="I53" s="716"/>
      <c r="J53" s="716"/>
      <c r="K53" s="716"/>
      <c r="L53" s="716"/>
      <c r="M53" s="716"/>
      <c r="N53" s="716"/>
      <c r="O53" s="716"/>
      <c r="P53" s="716"/>
      <c r="Q53" s="716"/>
      <c r="R53" s="716"/>
      <c r="S53" s="716"/>
      <c r="T53" s="716"/>
      <c r="U53" s="716"/>
      <c r="V53" s="716"/>
      <c r="W53" s="716"/>
      <c r="X53" s="716"/>
      <c r="Y53" s="716"/>
      <c r="Z53" s="716"/>
    </row>
    <row r="54">
      <c r="A54" s="714" t="s">
        <v>3875</v>
      </c>
      <c r="B54" s="717">
        <f>650000+250000</f>
        <v>900000</v>
      </c>
      <c r="C54" s="716"/>
      <c r="D54" s="716"/>
      <c r="E54" s="716"/>
      <c r="F54" s="716"/>
      <c r="G54" s="716"/>
      <c r="H54" s="716"/>
      <c r="I54" s="716"/>
      <c r="J54" s="716"/>
      <c r="K54" s="716"/>
      <c r="L54" s="716"/>
      <c r="M54" s="716"/>
      <c r="N54" s="716"/>
      <c r="O54" s="716"/>
      <c r="P54" s="716"/>
      <c r="Q54" s="716"/>
      <c r="R54" s="716"/>
      <c r="S54" s="716"/>
      <c r="T54" s="716"/>
      <c r="U54" s="716"/>
      <c r="V54" s="716"/>
      <c r="W54" s="716"/>
      <c r="X54" s="716"/>
      <c r="Y54" s="716"/>
      <c r="Z54" s="716"/>
    </row>
    <row r="55">
      <c r="A55" s="716"/>
      <c r="B55" s="717"/>
      <c r="C55" s="716"/>
      <c r="D55" s="716"/>
      <c r="E55" s="716"/>
      <c r="F55" s="716"/>
      <c r="G55" s="716"/>
      <c r="H55" s="716"/>
      <c r="I55" s="716"/>
      <c r="J55" s="716"/>
      <c r="K55" s="716"/>
      <c r="L55" s="716"/>
      <c r="M55" s="716"/>
      <c r="N55" s="716"/>
      <c r="O55" s="716"/>
      <c r="P55" s="716"/>
      <c r="Q55" s="716"/>
      <c r="R55" s="716"/>
      <c r="S55" s="716"/>
      <c r="T55" s="716"/>
      <c r="U55" s="716"/>
      <c r="V55" s="716"/>
      <c r="W55" s="716"/>
      <c r="X55" s="716"/>
      <c r="Y55" s="716"/>
      <c r="Z55" s="716"/>
    </row>
    <row r="56">
      <c r="A56" s="716"/>
      <c r="B56" s="717"/>
      <c r="C56" s="716"/>
      <c r="D56" s="716"/>
      <c r="E56" s="716"/>
      <c r="F56" s="716"/>
      <c r="G56" s="716"/>
      <c r="H56" s="716"/>
      <c r="I56" s="716"/>
      <c r="J56" s="716"/>
      <c r="K56" s="716"/>
      <c r="L56" s="716"/>
      <c r="M56" s="716"/>
      <c r="N56" s="716"/>
      <c r="O56" s="716"/>
      <c r="P56" s="716"/>
      <c r="Q56" s="716"/>
      <c r="R56" s="716"/>
      <c r="S56" s="716"/>
      <c r="T56" s="716"/>
      <c r="U56" s="716"/>
      <c r="V56" s="716"/>
      <c r="W56" s="716"/>
      <c r="X56" s="716"/>
      <c r="Y56" s="716"/>
      <c r="Z56" s="716"/>
    </row>
    <row r="57">
      <c r="A57" s="716"/>
      <c r="B57" s="717"/>
      <c r="C57" s="716"/>
      <c r="D57" s="716"/>
      <c r="E57" s="716"/>
      <c r="F57" s="716"/>
      <c r="G57" s="716"/>
      <c r="H57" s="716"/>
      <c r="I57" s="716"/>
      <c r="J57" s="716"/>
      <c r="K57" s="716"/>
      <c r="L57" s="716"/>
      <c r="M57" s="716"/>
      <c r="N57" s="716"/>
      <c r="O57" s="716"/>
      <c r="P57" s="716"/>
      <c r="Q57" s="716"/>
      <c r="R57" s="716"/>
      <c r="S57" s="716"/>
      <c r="T57" s="716"/>
      <c r="U57" s="716"/>
      <c r="V57" s="716"/>
      <c r="W57" s="716"/>
      <c r="X57" s="716"/>
      <c r="Y57" s="716"/>
      <c r="Z57" s="716"/>
    </row>
    <row r="58">
      <c r="A58" s="716"/>
      <c r="B58" s="717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6"/>
      <c r="R58" s="716"/>
      <c r="S58" s="716"/>
      <c r="T58" s="716"/>
      <c r="U58" s="716"/>
      <c r="V58" s="716"/>
      <c r="W58" s="716"/>
      <c r="X58" s="716"/>
      <c r="Y58" s="716"/>
      <c r="Z58" s="716"/>
    </row>
    <row r="59">
      <c r="A59" s="716"/>
      <c r="B59" s="717"/>
      <c r="C59" s="716"/>
      <c r="D59" s="716"/>
      <c r="E59" s="716"/>
      <c r="F59" s="716"/>
      <c r="G59" s="716"/>
      <c r="H59" s="716"/>
      <c r="I59" s="716"/>
      <c r="J59" s="716"/>
      <c r="K59" s="716"/>
      <c r="L59" s="716"/>
      <c r="M59" s="716"/>
      <c r="N59" s="716"/>
      <c r="O59" s="716"/>
      <c r="P59" s="716"/>
      <c r="Q59" s="716"/>
      <c r="R59" s="716"/>
      <c r="S59" s="716"/>
      <c r="T59" s="716"/>
      <c r="U59" s="716"/>
      <c r="V59" s="716"/>
      <c r="W59" s="716"/>
      <c r="X59" s="716"/>
      <c r="Y59" s="716"/>
      <c r="Z59" s="716"/>
    </row>
    <row r="60">
      <c r="A60" s="716"/>
      <c r="B60" s="717">
        <f>SUM(B2:B59)</f>
        <v>52338000</v>
      </c>
      <c r="C60" s="716"/>
      <c r="D60" s="716"/>
      <c r="E60" s="716"/>
      <c r="F60" s="716"/>
      <c r="G60" s="716"/>
      <c r="H60" s="716"/>
      <c r="I60" s="716"/>
      <c r="J60" s="716"/>
      <c r="K60" s="716"/>
      <c r="L60" s="716"/>
      <c r="M60" s="716"/>
      <c r="N60" s="716"/>
      <c r="O60" s="716"/>
      <c r="P60" s="716"/>
      <c r="Q60" s="716"/>
      <c r="R60" s="716"/>
      <c r="S60" s="716"/>
      <c r="T60" s="716"/>
      <c r="U60" s="716"/>
      <c r="V60" s="716"/>
      <c r="W60" s="716"/>
      <c r="X60" s="716"/>
      <c r="Y60" s="716"/>
      <c r="Z60" s="716"/>
    </row>
    <row r="61">
      <c r="A61" s="716"/>
      <c r="B61" s="717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6"/>
      <c r="S61" s="716"/>
      <c r="T61" s="716"/>
      <c r="U61" s="716"/>
      <c r="V61" s="716"/>
      <c r="W61" s="716"/>
      <c r="X61" s="716"/>
      <c r="Y61" s="716"/>
      <c r="Z61" s="716"/>
    </row>
    <row r="62">
      <c r="A62" s="716"/>
      <c r="B62" s="717"/>
      <c r="C62" s="716"/>
      <c r="D62" s="716"/>
      <c r="E62" s="716"/>
      <c r="F62" s="716"/>
      <c r="G62" s="716"/>
      <c r="H62" s="716"/>
      <c r="I62" s="716"/>
      <c r="J62" s="716"/>
      <c r="K62" s="716"/>
      <c r="L62" s="716"/>
      <c r="M62" s="716"/>
      <c r="N62" s="716"/>
      <c r="O62" s="716"/>
      <c r="P62" s="716"/>
      <c r="Q62" s="716"/>
      <c r="R62" s="716"/>
      <c r="S62" s="716"/>
      <c r="T62" s="716"/>
      <c r="U62" s="716"/>
      <c r="V62" s="716"/>
      <c r="W62" s="716"/>
      <c r="X62" s="716"/>
      <c r="Y62" s="716"/>
      <c r="Z62" s="716"/>
    </row>
    <row r="63">
      <c r="A63" s="716"/>
      <c r="B63" s="717"/>
      <c r="C63" s="716"/>
      <c r="D63" s="716"/>
      <c r="E63" s="716"/>
      <c r="F63" s="716"/>
      <c r="G63" s="716"/>
      <c r="H63" s="716"/>
      <c r="I63" s="716"/>
      <c r="J63" s="716"/>
      <c r="K63" s="716"/>
      <c r="L63" s="716"/>
      <c r="M63" s="716"/>
      <c r="N63" s="716"/>
      <c r="O63" s="716"/>
      <c r="P63" s="716"/>
      <c r="Q63" s="716"/>
      <c r="R63" s="716"/>
      <c r="S63" s="716"/>
      <c r="T63" s="716"/>
      <c r="U63" s="716"/>
      <c r="V63" s="716"/>
      <c r="W63" s="716"/>
      <c r="X63" s="716"/>
      <c r="Y63" s="716"/>
      <c r="Z63" s="716"/>
    </row>
    <row r="64">
      <c r="A64" s="716"/>
      <c r="B64" s="717"/>
      <c r="C64" s="716"/>
      <c r="D64" s="716"/>
      <c r="E64" s="716"/>
      <c r="F64" s="716"/>
      <c r="G64" s="716"/>
      <c r="H64" s="716"/>
      <c r="I64" s="716"/>
      <c r="J64" s="716"/>
      <c r="K64" s="716"/>
      <c r="L64" s="716"/>
      <c r="M64" s="716"/>
      <c r="N64" s="716"/>
      <c r="O64" s="716"/>
      <c r="P64" s="716"/>
      <c r="Q64" s="716"/>
      <c r="R64" s="716"/>
      <c r="S64" s="716"/>
      <c r="T64" s="716"/>
      <c r="U64" s="716"/>
      <c r="V64" s="716"/>
      <c r="W64" s="716"/>
      <c r="X64" s="716"/>
      <c r="Y64" s="716"/>
      <c r="Z64" s="716"/>
    </row>
    <row r="65">
      <c r="A65" s="716"/>
      <c r="B65" s="717"/>
      <c r="C65" s="716"/>
      <c r="D65" s="716"/>
      <c r="E65" s="716"/>
      <c r="F65" s="716"/>
      <c r="G65" s="716"/>
      <c r="H65" s="716"/>
      <c r="I65" s="716"/>
      <c r="J65" s="716"/>
      <c r="K65" s="716"/>
      <c r="L65" s="716"/>
      <c r="M65" s="716"/>
      <c r="N65" s="716"/>
      <c r="O65" s="716"/>
      <c r="P65" s="716"/>
      <c r="Q65" s="716"/>
      <c r="R65" s="716"/>
      <c r="S65" s="716"/>
      <c r="T65" s="716"/>
      <c r="U65" s="716"/>
      <c r="V65" s="716"/>
      <c r="W65" s="716"/>
      <c r="X65" s="716"/>
      <c r="Y65" s="716"/>
      <c r="Z65" s="716"/>
    </row>
    <row r="66">
      <c r="A66" s="716"/>
      <c r="B66" s="717"/>
      <c r="C66" s="716"/>
      <c r="D66" s="716"/>
      <c r="E66" s="716"/>
      <c r="F66" s="716"/>
      <c r="G66" s="716"/>
      <c r="H66" s="716"/>
      <c r="I66" s="716"/>
      <c r="J66" s="716"/>
      <c r="K66" s="716"/>
      <c r="L66" s="716"/>
      <c r="M66" s="716"/>
      <c r="N66" s="716"/>
      <c r="O66" s="716"/>
      <c r="P66" s="716"/>
      <c r="Q66" s="716"/>
      <c r="R66" s="716"/>
      <c r="S66" s="716"/>
      <c r="T66" s="716"/>
      <c r="U66" s="716"/>
      <c r="V66" s="716"/>
      <c r="W66" s="716"/>
      <c r="X66" s="716"/>
      <c r="Y66" s="716"/>
      <c r="Z66" s="716"/>
    </row>
    <row r="67">
      <c r="A67" s="716"/>
      <c r="B67" s="717"/>
      <c r="C67" s="716"/>
      <c r="D67" s="716"/>
      <c r="E67" s="716"/>
      <c r="F67" s="716"/>
      <c r="G67" s="716"/>
      <c r="H67" s="716"/>
      <c r="I67" s="716"/>
      <c r="J67" s="716"/>
      <c r="K67" s="716"/>
      <c r="L67" s="716"/>
      <c r="M67" s="716"/>
      <c r="N67" s="716"/>
      <c r="O67" s="716"/>
      <c r="P67" s="716"/>
      <c r="Q67" s="716"/>
      <c r="R67" s="716"/>
      <c r="S67" s="716"/>
      <c r="T67" s="716"/>
      <c r="U67" s="716"/>
      <c r="V67" s="716"/>
      <c r="W67" s="716"/>
      <c r="X67" s="716"/>
      <c r="Y67" s="716"/>
      <c r="Z67" s="716"/>
    </row>
    <row r="68">
      <c r="A68" s="716"/>
      <c r="B68" s="717"/>
      <c r="C68" s="716"/>
      <c r="D68" s="716"/>
      <c r="E68" s="716"/>
      <c r="F68" s="716"/>
      <c r="G68" s="716"/>
      <c r="H68" s="716"/>
      <c r="I68" s="716"/>
      <c r="J68" s="716"/>
      <c r="K68" s="716"/>
      <c r="L68" s="716"/>
      <c r="M68" s="716"/>
      <c r="N68" s="716"/>
      <c r="O68" s="716"/>
      <c r="P68" s="716"/>
      <c r="Q68" s="716"/>
      <c r="R68" s="716"/>
      <c r="S68" s="716"/>
      <c r="T68" s="716"/>
      <c r="U68" s="716"/>
      <c r="V68" s="716"/>
      <c r="W68" s="716"/>
      <c r="X68" s="716"/>
      <c r="Y68" s="716"/>
      <c r="Z68" s="716"/>
    </row>
    <row r="69">
      <c r="A69" s="716"/>
      <c r="B69" s="717"/>
      <c r="C69" s="716"/>
      <c r="D69" s="716"/>
      <c r="E69" s="716"/>
      <c r="F69" s="716"/>
      <c r="G69" s="716"/>
      <c r="H69" s="716"/>
      <c r="I69" s="716"/>
      <c r="J69" s="716"/>
      <c r="K69" s="716"/>
      <c r="L69" s="716"/>
      <c r="M69" s="716"/>
      <c r="N69" s="716"/>
      <c r="O69" s="716"/>
      <c r="P69" s="716"/>
      <c r="Q69" s="716"/>
      <c r="R69" s="716"/>
      <c r="S69" s="716"/>
      <c r="T69" s="716"/>
      <c r="U69" s="716"/>
      <c r="V69" s="716"/>
      <c r="W69" s="716"/>
      <c r="X69" s="716"/>
      <c r="Y69" s="716"/>
      <c r="Z69" s="716"/>
    </row>
    <row r="70">
      <c r="A70" s="716"/>
      <c r="B70" s="717"/>
      <c r="C70" s="716"/>
      <c r="D70" s="716"/>
      <c r="E70" s="716"/>
      <c r="F70" s="716"/>
      <c r="G70" s="716"/>
      <c r="H70" s="716"/>
      <c r="I70" s="716"/>
      <c r="J70" s="716"/>
      <c r="K70" s="716"/>
      <c r="L70" s="716"/>
      <c r="M70" s="716"/>
      <c r="N70" s="716"/>
      <c r="O70" s="716"/>
      <c r="P70" s="716"/>
      <c r="Q70" s="716"/>
      <c r="R70" s="716"/>
      <c r="S70" s="716"/>
      <c r="T70" s="716"/>
      <c r="U70" s="716"/>
      <c r="V70" s="716"/>
      <c r="W70" s="716"/>
      <c r="X70" s="716"/>
      <c r="Y70" s="716"/>
      <c r="Z70" s="716"/>
    </row>
    <row r="71">
      <c r="A71" s="716"/>
      <c r="B71" s="717"/>
      <c r="C71" s="716"/>
      <c r="D71" s="716"/>
      <c r="E71" s="716"/>
      <c r="F71" s="716"/>
      <c r="G71" s="716"/>
      <c r="H71" s="716"/>
      <c r="I71" s="716"/>
      <c r="J71" s="716"/>
      <c r="K71" s="716"/>
      <c r="L71" s="716"/>
      <c r="M71" s="716"/>
      <c r="N71" s="716"/>
      <c r="O71" s="716"/>
      <c r="P71" s="716"/>
      <c r="Q71" s="716"/>
      <c r="R71" s="716"/>
      <c r="S71" s="716"/>
      <c r="T71" s="716"/>
      <c r="U71" s="716"/>
      <c r="V71" s="716"/>
      <c r="W71" s="716"/>
      <c r="X71" s="716"/>
      <c r="Y71" s="716"/>
      <c r="Z71" s="716"/>
    </row>
    <row r="72">
      <c r="A72" s="716"/>
      <c r="B72" s="717"/>
      <c r="C72" s="716"/>
      <c r="D72" s="716"/>
      <c r="E72" s="716"/>
      <c r="F72" s="716"/>
      <c r="G72" s="716"/>
      <c r="H72" s="716"/>
      <c r="I72" s="716"/>
      <c r="J72" s="716"/>
      <c r="K72" s="716"/>
      <c r="L72" s="716"/>
      <c r="M72" s="716"/>
      <c r="N72" s="716"/>
      <c r="O72" s="716"/>
      <c r="P72" s="716"/>
      <c r="Q72" s="716"/>
      <c r="R72" s="716"/>
      <c r="S72" s="716"/>
      <c r="T72" s="716"/>
      <c r="U72" s="716"/>
      <c r="V72" s="716"/>
      <c r="W72" s="716"/>
      <c r="X72" s="716"/>
      <c r="Y72" s="716"/>
      <c r="Z72" s="716"/>
    </row>
    <row r="73">
      <c r="A73" s="716"/>
      <c r="B73" s="717"/>
      <c r="C73" s="716"/>
      <c r="D73" s="716"/>
      <c r="E73" s="716"/>
      <c r="F73" s="716"/>
      <c r="G73" s="716"/>
      <c r="H73" s="716"/>
      <c r="I73" s="716"/>
      <c r="J73" s="716"/>
      <c r="K73" s="716"/>
      <c r="L73" s="716"/>
      <c r="M73" s="716"/>
      <c r="N73" s="716"/>
      <c r="O73" s="716"/>
      <c r="P73" s="716"/>
      <c r="Q73" s="716"/>
      <c r="R73" s="716"/>
      <c r="S73" s="716"/>
      <c r="T73" s="716"/>
      <c r="U73" s="716"/>
      <c r="V73" s="716"/>
      <c r="W73" s="716"/>
      <c r="X73" s="716"/>
      <c r="Y73" s="716"/>
      <c r="Z73" s="716"/>
    </row>
    <row r="74">
      <c r="A74" s="716"/>
      <c r="B74" s="717"/>
      <c r="C74" s="716"/>
      <c r="D74" s="716"/>
      <c r="E74" s="716"/>
      <c r="F74" s="716"/>
      <c r="G74" s="716"/>
      <c r="H74" s="716"/>
      <c r="I74" s="716"/>
      <c r="J74" s="716"/>
      <c r="K74" s="716"/>
      <c r="L74" s="716"/>
      <c r="M74" s="716"/>
      <c r="N74" s="716"/>
      <c r="O74" s="716"/>
      <c r="P74" s="716"/>
      <c r="Q74" s="716"/>
      <c r="R74" s="716"/>
      <c r="S74" s="716"/>
      <c r="T74" s="716"/>
      <c r="U74" s="716"/>
      <c r="V74" s="716"/>
      <c r="W74" s="716"/>
      <c r="X74" s="716"/>
      <c r="Y74" s="716"/>
      <c r="Z74" s="716"/>
    </row>
    <row r="75">
      <c r="A75" s="716"/>
      <c r="B75" s="717"/>
      <c r="C75" s="716"/>
      <c r="D75" s="716"/>
      <c r="E75" s="716"/>
      <c r="F75" s="716"/>
      <c r="G75" s="716"/>
      <c r="H75" s="716"/>
      <c r="I75" s="716"/>
      <c r="J75" s="716"/>
      <c r="K75" s="716"/>
      <c r="L75" s="716"/>
      <c r="M75" s="716"/>
      <c r="N75" s="716"/>
      <c r="O75" s="716"/>
      <c r="P75" s="716"/>
      <c r="Q75" s="716"/>
      <c r="R75" s="716"/>
      <c r="S75" s="716"/>
      <c r="T75" s="716"/>
      <c r="U75" s="716"/>
      <c r="V75" s="716"/>
      <c r="W75" s="716"/>
      <c r="X75" s="716"/>
      <c r="Y75" s="716"/>
      <c r="Z75" s="716"/>
    </row>
    <row r="76">
      <c r="A76" s="716"/>
      <c r="B76" s="717"/>
      <c r="C76" s="716"/>
      <c r="D76" s="716"/>
      <c r="E76" s="716"/>
      <c r="F76" s="716"/>
      <c r="G76" s="716"/>
      <c r="H76" s="716"/>
      <c r="I76" s="716"/>
      <c r="J76" s="716"/>
      <c r="K76" s="716"/>
      <c r="L76" s="716"/>
      <c r="M76" s="716"/>
      <c r="N76" s="716"/>
      <c r="O76" s="716"/>
      <c r="P76" s="716"/>
      <c r="Q76" s="716"/>
      <c r="R76" s="716"/>
      <c r="S76" s="716"/>
      <c r="T76" s="716"/>
      <c r="U76" s="716"/>
      <c r="V76" s="716"/>
      <c r="W76" s="716"/>
      <c r="X76" s="716"/>
      <c r="Y76" s="716"/>
      <c r="Z76" s="716"/>
    </row>
    <row r="77">
      <c r="A77" s="716"/>
      <c r="B77" s="717"/>
      <c r="C77" s="716"/>
      <c r="D77" s="716"/>
      <c r="E77" s="716"/>
      <c r="F77" s="716"/>
      <c r="G77" s="716"/>
      <c r="H77" s="716"/>
      <c r="I77" s="716"/>
      <c r="J77" s="716"/>
      <c r="K77" s="716"/>
      <c r="L77" s="716"/>
      <c r="M77" s="716"/>
      <c r="N77" s="716"/>
      <c r="O77" s="716"/>
      <c r="P77" s="716"/>
      <c r="Q77" s="716"/>
      <c r="R77" s="716"/>
      <c r="S77" s="716"/>
      <c r="T77" s="716"/>
      <c r="U77" s="716"/>
      <c r="V77" s="716"/>
      <c r="W77" s="716"/>
      <c r="X77" s="716"/>
      <c r="Y77" s="716"/>
      <c r="Z77" s="716"/>
    </row>
    <row r="78">
      <c r="A78" s="716"/>
      <c r="B78" s="717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  <c r="Y78" s="716"/>
      <c r="Z78" s="716"/>
    </row>
    <row r="79">
      <c r="A79" s="716"/>
      <c r="B79" s="717"/>
      <c r="C79" s="716"/>
      <c r="D79" s="716"/>
      <c r="E79" s="716"/>
      <c r="F79" s="716"/>
      <c r="G79" s="716"/>
      <c r="H79" s="716"/>
      <c r="I79" s="716"/>
      <c r="J79" s="716"/>
      <c r="K79" s="716"/>
      <c r="L79" s="716"/>
      <c r="M79" s="716"/>
      <c r="N79" s="716"/>
      <c r="O79" s="716"/>
      <c r="P79" s="716"/>
      <c r="Q79" s="716"/>
      <c r="R79" s="716"/>
      <c r="S79" s="716"/>
      <c r="T79" s="716"/>
      <c r="U79" s="716"/>
      <c r="V79" s="716"/>
      <c r="W79" s="716"/>
      <c r="X79" s="716"/>
      <c r="Y79" s="716"/>
      <c r="Z79" s="716"/>
    </row>
    <row r="80">
      <c r="A80" s="716"/>
      <c r="B80" s="717"/>
      <c r="C80" s="716"/>
      <c r="D80" s="716"/>
      <c r="E80" s="716"/>
      <c r="F80" s="716"/>
      <c r="G80" s="716"/>
      <c r="H80" s="716"/>
      <c r="I80" s="716"/>
      <c r="J80" s="716"/>
      <c r="K80" s="716"/>
      <c r="L80" s="716"/>
      <c r="M80" s="716"/>
      <c r="N80" s="716"/>
      <c r="O80" s="716"/>
      <c r="P80" s="716"/>
      <c r="Q80" s="716"/>
      <c r="R80" s="716"/>
      <c r="S80" s="716"/>
      <c r="T80" s="716"/>
      <c r="U80" s="716"/>
      <c r="V80" s="716"/>
      <c r="W80" s="716"/>
      <c r="X80" s="716"/>
      <c r="Y80" s="716"/>
      <c r="Z80" s="716"/>
    </row>
    <row r="81">
      <c r="A81" s="716"/>
      <c r="B81" s="717"/>
      <c r="C81" s="716"/>
      <c r="D81" s="716"/>
      <c r="E81" s="716"/>
      <c r="F81" s="716"/>
      <c r="G81" s="716"/>
      <c r="H81" s="716"/>
      <c r="I81" s="716"/>
      <c r="J81" s="716"/>
      <c r="K81" s="716"/>
      <c r="L81" s="716"/>
      <c r="M81" s="716"/>
      <c r="N81" s="716"/>
      <c r="O81" s="716"/>
      <c r="P81" s="716"/>
      <c r="Q81" s="716"/>
      <c r="R81" s="716"/>
      <c r="S81" s="716"/>
      <c r="T81" s="716"/>
      <c r="U81" s="716"/>
      <c r="V81" s="716"/>
      <c r="W81" s="716"/>
      <c r="X81" s="716"/>
      <c r="Y81" s="716"/>
      <c r="Z81" s="716"/>
    </row>
    <row r="82">
      <c r="A82" s="716"/>
      <c r="B82" s="717"/>
      <c r="C82" s="716"/>
      <c r="D82" s="716"/>
      <c r="E82" s="716"/>
      <c r="F82" s="716"/>
      <c r="G82" s="716"/>
      <c r="H82" s="716"/>
      <c r="I82" s="716"/>
      <c r="J82" s="716"/>
      <c r="K82" s="716"/>
      <c r="L82" s="716"/>
      <c r="M82" s="716"/>
      <c r="N82" s="716"/>
      <c r="O82" s="716"/>
      <c r="P82" s="716"/>
      <c r="Q82" s="716"/>
      <c r="R82" s="716"/>
      <c r="S82" s="716"/>
      <c r="T82" s="716"/>
      <c r="U82" s="716"/>
      <c r="V82" s="716"/>
      <c r="W82" s="716"/>
      <c r="X82" s="716"/>
      <c r="Y82" s="716"/>
      <c r="Z82" s="716"/>
    </row>
    <row r="83">
      <c r="A83" s="716"/>
      <c r="B83" s="717"/>
      <c r="C83" s="716"/>
      <c r="D83" s="716"/>
      <c r="E83" s="716"/>
      <c r="F83" s="716"/>
      <c r="G83" s="716"/>
      <c r="H83" s="716"/>
      <c r="I83" s="716"/>
      <c r="J83" s="716"/>
      <c r="K83" s="716"/>
      <c r="L83" s="716"/>
      <c r="M83" s="716"/>
      <c r="N83" s="716"/>
      <c r="O83" s="716"/>
      <c r="P83" s="716"/>
      <c r="Q83" s="716"/>
      <c r="R83" s="716"/>
      <c r="S83" s="716"/>
      <c r="T83" s="716"/>
      <c r="U83" s="716"/>
      <c r="V83" s="716"/>
      <c r="W83" s="716"/>
      <c r="X83" s="716"/>
      <c r="Y83" s="716"/>
      <c r="Z83" s="716"/>
    </row>
    <row r="84">
      <c r="A84" s="716"/>
      <c r="B84" s="717"/>
      <c r="C84" s="716"/>
      <c r="D84" s="716"/>
      <c r="E84" s="716"/>
      <c r="F84" s="716"/>
      <c r="G84" s="716"/>
      <c r="H84" s="716"/>
      <c r="I84" s="716"/>
      <c r="J84" s="716"/>
      <c r="K84" s="716"/>
      <c r="L84" s="716"/>
      <c r="M84" s="716"/>
      <c r="N84" s="716"/>
      <c r="O84" s="716"/>
      <c r="P84" s="716"/>
      <c r="Q84" s="716"/>
      <c r="R84" s="716"/>
      <c r="S84" s="716"/>
      <c r="T84" s="716"/>
      <c r="U84" s="716"/>
      <c r="V84" s="716"/>
      <c r="W84" s="716"/>
      <c r="X84" s="716"/>
      <c r="Y84" s="716"/>
      <c r="Z84" s="716"/>
    </row>
    <row r="85">
      <c r="A85" s="716"/>
      <c r="B85" s="717"/>
      <c r="C85" s="716"/>
      <c r="D85" s="716"/>
      <c r="E85" s="716"/>
      <c r="F85" s="716"/>
      <c r="G85" s="716"/>
      <c r="H85" s="716"/>
      <c r="I85" s="716"/>
      <c r="J85" s="716"/>
      <c r="K85" s="716"/>
      <c r="L85" s="716"/>
      <c r="M85" s="716"/>
      <c r="N85" s="716"/>
      <c r="O85" s="716"/>
      <c r="P85" s="716"/>
      <c r="Q85" s="716"/>
      <c r="R85" s="716"/>
      <c r="S85" s="716"/>
      <c r="T85" s="716"/>
      <c r="U85" s="716"/>
      <c r="V85" s="716"/>
      <c r="W85" s="716"/>
      <c r="X85" s="716"/>
      <c r="Y85" s="716"/>
      <c r="Z85" s="716"/>
    </row>
    <row r="86">
      <c r="A86" s="716"/>
      <c r="B86" s="717"/>
      <c r="C86" s="716"/>
      <c r="D86" s="716"/>
      <c r="E86" s="716"/>
      <c r="F86" s="716"/>
      <c r="G86" s="716"/>
      <c r="H86" s="716"/>
      <c r="I86" s="716"/>
      <c r="J86" s="716"/>
      <c r="K86" s="716"/>
      <c r="L86" s="716"/>
      <c r="M86" s="716"/>
      <c r="N86" s="716"/>
      <c r="O86" s="716"/>
      <c r="P86" s="716"/>
      <c r="Q86" s="716"/>
      <c r="R86" s="716"/>
      <c r="S86" s="716"/>
      <c r="T86" s="716"/>
      <c r="U86" s="716"/>
      <c r="V86" s="716"/>
      <c r="W86" s="716"/>
      <c r="X86" s="716"/>
      <c r="Y86" s="716"/>
      <c r="Z86" s="716"/>
    </row>
    <row r="87">
      <c r="A87" s="716"/>
      <c r="B87" s="717"/>
      <c r="C87" s="716"/>
      <c r="D87" s="716"/>
      <c r="E87" s="716"/>
      <c r="F87" s="716"/>
      <c r="G87" s="716"/>
      <c r="H87" s="716"/>
      <c r="I87" s="716"/>
      <c r="J87" s="716"/>
      <c r="K87" s="716"/>
      <c r="L87" s="716"/>
      <c r="M87" s="716"/>
      <c r="N87" s="716"/>
      <c r="O87" s="716"/>
      <c r="P87" s="716"/>
      <c r="Q87" s="716"/>
      <c r="R87" s="716"/>
      <c r="S87" s="716"/>
      <c r="T87" s="716"/>
      <c r="U87" s="716"/>
      <c r="V87" s="716"/>
      <c r="W87" s="716"/>
      <c r="X87" s="716"/>
      <c r="Y87" s="716"/>
      <c r="Z87" s="716"/>
    </row>
    <row r="88">
      <c r="A88" s="716"/>
      <c r="B88" s="717"/>
      <c r="C88" s="716"/>
      <c r="D88" s="716"/>
      <c r="E88" s="716"/>
      <c r="F88" s="716"/>
      <c r="G88" s="716"/>
      <c r="H88" s="716"/>
      <c r="I88" s="716"/>
      <c r="J88" s="716"/>
      <c r="K88" s="716"/>
      <c r="L88" s="716"/>
      <c r="M88" s="716"/>
      <c r="N88" s="716"/>
      <c r="O88" s="716"/>
      <c r="P88" s="716"/>
      <c r="Q88" s="716"/>
      <c r="R88" s="716"/>
      <c r="S88" s="716"/>
      <c r="T88" s="716"/>
      <c r="U88" s="716"/>
      <c r="V88" s="716"/>
      <c r="W88" s="716"/>
      <c r="X88" s="716"/>
      <c r="Y88" s="716"/>
      <c r="Z88" s="716"/>
    </row>
    <row r="89">
      <c r="A89" s="716"/>
      <c r="B89" s="717"/>
      <c r="C89" s="716"/>
      <c r="D89" s="716"/>
      <c r="E89" s="716"/>
      <c r="F89" s="716"/>
      <c r="G89" s="716"/>
      <c r="H89" s="716"/>
      <c r="I89" s="716"/>
      <c r="J89" s="716"/>
      <c r="K89" s="716"/>
      <c r="L89" s="716"/>
      <c r="M89" s="716"/>
      <c r="N89" s="716"/>
      <c r="O89" s="716"/>
      <c r="P89" s="716"/>
      <c r="Q89" s="716"/>
      <c r="R89" s="716"/>
      <c r="S89" s="716"/>
      <c r="T89" s="716"/>
      <c r="U89" s="716"/>
      <c r="V89" s="716"/>
      <c r="W89" s="716"/>
      <c r="X89" s="716"/>
      <c r="Y89" s="716"/>
      <c r="Z89" s="716"/>
    </row>
    <row r="90">
      <c r="A90" s="716"/>
      <c r="B90" s="717"/>
      <c r="C90" s="716"/>
      <c r="D90" s="716"/>
      <c r="E90" s="716"/>
      <c r="F90" s="716"/>
      <c r="G90" s="716"/>
      <c r="H90" s="716"/>
      <c r="I90" s="716"/>
      <c r="J90" s="716"/>
      <c r="K90" s="716"/>
      <c r="L90" s="716"/>
      <c r="M90" s="716"/>
      <c r="N90" s="716"/>
      <c r="O90" s="716"/>
      <c r="P90" s="716"/>
      <c r="Q90" s="716"/>
      <c r="R90" s="716"/>
      <c r="S90" s="716"/>
      <c r="T90" s="716"/>
      <c r="U90" s="716"/>
      <c r="V90" s="716"/>
      <c r="W90" s="716"/>
      <c r="X90" s="716"/>
      <c r="Y90" s="716"/>
      <c r="Z90" s="716"/>
    </row>
    <row r="91">
      <c r="A91" s="716"/>
      <c r="B91" s="717"/>
      <c r="C91" s="716"/>
      <c r="D91" s="716"/>
      <c r="E91" s="716"/>
      <c r="F91" s="716"/>
      <c r="G91" s="716"/>
      <c r="H91" s="716"/>
      <c r="I91" s="716"/>
      <c r="J91" s="716"/>
      <c r="K91" s="716"/>
      <c r="L91" s="716"/>
      <c r="M91" s="716"/>
      <c r="N91" s="716"/>
      <c r="O91" s="716"/>
      <c r="P91" s="716"/>
      <c r="Q91" s="716"/>
      <c r="R91" s="716"/>
      <c r="S91" s="716"/>
      <c r="T91" s="716"/>
      <c r="U91" s="716"/>
      <c r="V91" s="716"/>
      <c r="W91" s="716"/>
      <c r="X91" s="716"/>
      <c r="Y91" s="716"/>
      <c r="Z91" s="716"/>
    </row>
    <row r="92">
      <c r="A92" s="716"/>
      <c r="B92" s="717"/>
      <c r="C92" s="716"/>
      <c r="D92" s="716"/>
      <c r="E92" s="716"/>
      <c r="F92" s="716"/>
      <c r="G92" s="716"/>
      <c r="H92" s="716"/>
      <c r="I92" s="716"/>
      <c r="J92" s="716"/>
      <c r="K92" s="716"/>
      <c r="L92" s="716"/>
      <c r="M92" s="716"/>
      <c r="N92" s="716"/>
      <c r="O92" s="716"/>
      <c r="P92" s="716"/>
      <c r="Q92" s="716"/>
      <c r="R92" s="716"/>
      <c r="S92" s="716"/>
      <c r="T92" s="716"/>
      <c r="U92" s="716"/>
      <c r="V92" s="716"/>
      <c r="W92" s="716"/>
      <c r="X92" s="716"/>
      <c r="Y92" s="716"/>
      <c r="Z92" s="716"/>
    </row>
    <row r="93">
      <c r="A93" s="716"/>
      <c r="B93" s="717"/>
      <c r="C93" s="716"/>
      <c r="D93" s="716"/>
      <c r="E93" s="716"/>
      <c r="F93" s="716"/>
      <c r="G93" s="716"/>
      <c r="H93" s="716"/>
      <c r="I93" s="716"/>
      <c r="J93" s="716"/>
      <c r="K93" s="716"/>
      <c r="L93" s="716"/>
      <c r="M93" s="716"/>
      <c r="N93" s="716"/>
      <c r="O93" s="716"/>
      <c r="P93" s="716"/>
      <c r="Q93" s="716"/>
      <c r="R93" s="716"/>
      <c r="S93" s="716"/>
      <c r="T93" s="716"/>
      <c r="U93" s="716"/>
      <c r="V93" s="716"/>
      <c r="W93" s="716"/>
      <c r="X93" s="716"/>
      <c r="Y93" s="716"/>
      <c r="Z93" s="716"/>
    </row>
    <row r="94">
      <c r="A94" s="716"/>
      <c r="B94" s="717"/>
      <c r="C94" s="716"/>
      <c r="D94" s="716"/>
      <c r="E94" s="716"/>
      <c r="F94" s="716"/>
      <c r="G94" s="716"/>
      <c r="H94" s="716"/>
      <c r="I94" s="716"/>
      <c r="J94" s="716"/>
      <c r="K94" s="716"/>
      <c r="L94" s="716"/>
      <c r="M94" s="716"/>
      <c r="N94" s="716"/>
      <c r="O94" s="716"/>
      <c r="P94" s="716"/>
      <c r="Q94" s="716"/>
      <c r="R94" s="716"/>
      <c r="S94" s="716"/>
      <c r="T94" s="716"/>
      <c r="U94" s="716"/>
      <c r="V94" s="716"/>
      <c r="W94" s="716"/>
      <c r="X94" s="716"/>
      <c r="Y94" s="716"/>
      <c r="Z94" s="716"/>
    </row>
    <row r="95">
      <c r="A95" s="716"/>
      <c r="B95" s="717"/>
      <c r="C95" s="716"/>
      <c r="D95" s="716"/>
      <c r="E95" s="716"/>
      <c r="F95" s="716"/>
      <c r="G95" s="716"/>
      <c r="H95" s="716"/>
      <c r="I95" s="716"/>
      <c r="J95" s="716"/>
      <c r="K95" s="716"/>
      <c r="L95" s="716"/>
      <c r="M95" s="716"/>
      <c r="N95" s="716"/>
      <c r="O95" s="716"/>
      <c r="P95" s="716"/>
      <c r="Q95" s="716"/>
      <c r="R95" s="716"/>
      <c r="S95" s="716"/>
      <c r="T95" s="716"/>
      <c r="U95" s="716"/>
      <c r="V95" s="716"/>
      <c r="W95" s="716"/>
      <c r="X95" s="716"/>
      <c r="Y95" s="716"/>
      <c r="Z95" s="716"/>
    </row>
    <row r="96">
      <c r="A96" s="716"/>
      <c r="B96" s="717"/>
      <c r="C96" s="716"/>
      <c r="D96" s="716"/>
      <c r="E96" s="716"/>
      <c r="F96" s="716"/>
      <c r="G96" s="716"/>
      <c r="H96" s="716"/>
      <c r="I96" s="716"/>
      <c r="J96" s="716"/>
      <c r="K96" s="716"/>
      <c r="L96" s="716"/>
      <c r="M96" s="716"/>
      <c r="N96" s="716"/>
      <c r="O96" s="716"/>
      <c r="P96" s="716"/>
      <c r="Q96" s="716"/>
      <c r="R96" s="716"/>
      <c r="S96" s="716"/>
      <c r="T96" s="716"/>
      <c r="U96" s="716"/>
      <c r="V96" s="716"/>
      <c r="W96" s="716"/>
      <c r="X96" s="716"/>
      <c r="Y96" s="716"/>
      <c r="Z96" s="716"/>
    </row>
    <row r="97">
      <c r="A97" s="716"/>
      <c r="B97" s="717"/>
      <c r="C97" s="716"/>
      <c r="D97" s="716"/>
      <c r="E97" s="716"/>
      <c r="F97" s="716"/>
      <c r="G97" s="716"/>
      <c r="H97" s="716"/>
      <c r="I97" s="716"/>
      <c r="J97" s="716"/>
      <c r="K97" s="716"/>
      <c r="L97" s="716"/>
      <c r="M97" s="716"/>
      <c r="N97" s="716"/>
      <c r="O97" s="716"/>
      <c r="P97" s="716"/>
      <c r="Q97" s="716"/>
      <c r="R97" s="716"/>
      <c r="S97" s="716"/>
      <c r="T97" s="716"/>
      <c r="U97" s="716"/>
      <c r="V97" s="716"/>
      <c r="W97" s="716"/>
      <c r="X97" s="716"/>
      <c r="Y97" s="716"/>
      <c r="Z97" s="716"/>
    </row>
    <row r="98">
      <c r="A98" s="716"/>
      <c r="B98" s="717"/>
      <c r="C98" s="716"/>
      <c r="D98" s="716"/>
      <c r="E98" s="716"/>
      <c r="F98" s="716"/>
      <c r="G98" s="716"/>
      <c r="H98" s="716"/>
      <c r="I98" s="716"/>
      <c r="J98" s="716"/>
      <c r="K98" s="716"/>
      <c r="L98" s="716"/>
      <c r="M98" s="716"/>
      <c r="N98" s="716"/>
      <c r="O98" s="716"/>
      <c r="P98" s="716"/>
      <c r="Q98" s="716"/>
      <c r="R98" s="716"/>
      <c r="S98" s="716"/>
      <c r="T98" s="716"/>
      <c r="U98" s="716"/>
      <c r="V98" s="716"/>
      <c r="W98" s="716"/>
      <c r="X98" s="716"/>
      <c r="Y98" s="716"/>
      <c r="Z98" s="716"/>
    </row>
    <row r="99">
      <c r="A99" s="716"/>
      <c r="B99" s="717"/>
      <c r="C99" s="716"/>
      <c r="D99" s="716"/>
      <c r="E99" s="716"/>
      <c r="F99" s="716"/>
      <c r="G99" s="716"/>
      <c r="H99" s="716"/>
      <c r="I99" s="716"/>
      <c r="J99" s="716"/>
      <c r="K99" s="716"/>
      <c r="L99" s="716"/>
      <c r="M99" s="716"/>
      <c r="N99" s="716"/>
      <c r="O99" s="716"/>
      <c r="P99" s="716"/>
      <c r="Q99" s="716"/>
      <c r="R99" s="716"/>
      <c r="S99" s="716"/>
      <c r="T99" s="716"/>
      <c r="U99" s="716"/>
      <c r="V99" s="716"/>
      <c r="W99" s="716"/>
      <c r="X99" s="716"/>
      <c r="Y99" s="716"/>
      <c r="Z99" s="716"/>
    </row>
    <row r="100">
      <c r="A100" s="716"/>
      <c r="B100" s="717"/>
      <c r="C100" s="716"/>
      <c r="D100" s="716"/>
      <c r="E100" s="716"/>
      <c r="F100" s="716"/>
      <c r="G100" s="716"/>
      <c r="H100" s="716"/>
      <c r="I100" s="716"/>
      <c r="J100" s="716"/>
      <c r="K100" s="716"/>
      <c r="L100" s="716"/>
      <c r="M100" s="716"/>
      <c r="N100" s="716"/>
      <c r="O100" s="716"/>
      <c r="P100" s="716"/>
      <c r="Q100" s="716"/>
      <c r="R100" s="716"/>
      <c r="S100" s="716"/>
      <c r="T100" s="716"/>
      <c r="U100" s="716"/>
      <c r="V100" s="716"/>
      <c r="W100" s="716"/>
      <c r="X100" s="716"/>
      <c r="Y100" s="716"/>
      <c r="Z100" s="716"/>
    </row>
    <row r="101">
      <c r="A101" s="716"/>
      <c r="B101" s="717"/>
      <c r="C101" s="716"/>
      <c r="D101" s="716"/>
      <c r="E101" s="716"/>
      <c r="F101" s="716"/>
      <c r="G101" s="716"/>
      <c r="H101" s="716"/>
      <c r="I101" s="716"/>
      <c r="J101" s="716"/>
      <c r="K101" s="716"/>
      <c r="L101" s="716"/>
      <c r="M101" s="716"/>
      <c r="N101" s="716"/>
      <c r="O101" s="716"/>
      <c r="P101" s="716"/>
      <c r="Q101" s="716"/>
      <c r="R101" s="716"/>
      <c r="S101" s="716"/>
      <c r="T101" s="716"/>
      <c r="U101" s="716"/>
      <c r="V101" s="716"/>
      <c r="W101" s="716"/>
      <c r="X101" s="716"/>
      <c r="Y101" s="716"/>
      <c r="Z101" s="716"/>
    </row>
    <row r="102">
      <c r="A102" s="716"/>
      <c r="B102" s="717"/>
      <c r="C102" s="716"/>
      <c r="D102" s="716"/>
      <c r="E102" s="716"/>
      <c r="F102" s="716"/>
      <c r="G102" s="716"/>
      <c r="H102" s="716"/>
      <c r="I102" s="716"/>
      <c r="J102" s="716"/>
      <c r="K102" s="716"/>
      <c r="L102" s="716"/>
      <c r="M102" s="716"/>
      <c r="N102" s="716"/>
      <c r="O102" s="716"/>
      <c r="P102" s="716"/>
      <c r="Q102" s="716"/>
      <c r="R102" s="716"/>
      <c r="S102" s="716"/>
      <c r="T102" s="716"/>
      <c r="U102" s="716"/>
      <c r="V102" s="716"/>
      <c r="W102" s="716"/>
      <c r="X102" s="716"/>
      <c r="Y102" s="716"/>
      <c r="Z102" s="716"/>
    </row>
    <row r="103">
      <c r="A103" s="716"/>
      <c r="B103" s="717"/>
      <c r="C103" s="716"/>
      <c r="D103" s="716"/>
      <c r="E103" s="716"/>
      <c r="F103" s="716"/>
      <c r="G103" s="716"/>
      <c r="H103" s="716"/>
      <c r="I103" s="716"/>
      <c r="J103" s="716"/>
      <c r="K103" s="716"/>
      <c r="L103" s="716"/>
      <c r="M103" s="716"/>
      <c r="N103" s="716"/>
      <c r="O103" s="716"/>
      <c r="P103" s="716"/>
      <c r="Q103" s="716"/>
      <c r="R103" s="716"/>
      <c r="S103" s="716"/>
      <c r="T103" s="716"/>
      <c r="U103" s="716"/>
      <c r="V103" s="716"/>
      <c r="W103" s="716"/>
      <c r="X103" s="716"/>
      <c r="Y103" s="716"/>
      <c r="Z103" s="716"/>
    </row>
    <row r="104">
      <c r="A104" s="716"/>
      <c r="B104" s="717"/>
      <c r="C104" s="716"/>
      <c r="D104" s="716"/>
      <c r="E104" s="716"/>
      <c r="F104" s="716"/>
      <c r="G104" s="716"/>
      <c r="H104" s="716"/>
      <c r="I104" s="716"/>
      <c r="J104" s="716"/>
      <c r="K104" s="716"/>
      <c r="L104" s="716"/>
      <c r="M104" s="716"/>
      <c r="N104" s="716"/>
      <c r="O104" s="716"/>
      <c r="P104" s="716"/>
      <c r="Q104" s="716"/>
      <c r="R104" s="716"/>
      <c r="S104" s="716"/>
      <c r="T104" s="716"/>
      <c r="U104" s="716"/>
      <c r="V104" s="716"/>
      <c r="W104" s="716"/>
      <c r="X104" s="716"/>
      <c r="Y104" s="716"/>
      <c r="Z104" s="716"/>
    </row>
    <row r="105">
      <c r="A105" s="716"/>
      <c r="B105" s="717"/>
      <c r="C105" s="716"/>
      <c r="D105" s="716"/>
      <c r="E105" s="716"/>
      <c r="F105" s="716"/>
      <c r="G105" s="716"/>
      <c r="H105" s="716"/>
      <c r="I105" s="716"/>
      <c r="J105" s="716"/>
      <c r="K105" s="716"/>
      <c r="L105" s="716"/>
      <c r="M105" s="716"/>
      <c r="N105" s="716"/>
      <c r="O105" s="716"/>
      <c r="P105" s="716"/>
      <c r="Q105" s="716"/>
      <c r="R105" s="716"/>
      <c r="S105" s="716"/>
      <c r="T105" s="716"/>
      <c r="U105" s="716"/>
      <c r="V105" s="716"/>
      <c r="W105" s="716"/>
      <c r="X105" s="716"/>
      <c r="Y105" s="716"/>
      <c r="Z105" s="716"/>
    </row>
    <row r="106">
      <c r="A106" s="716"/>
      <c r="B106" s="717"/>
      <c r="C106" s="716"/>
      <c r="D106" s="716"/>
      <c r="E106" s="716"/>
      <c r="F106" s="716"/>
      <c r="G106" s="716"/>
      <c r="H106" s="716"/>
      <c r="I106" s="716"/>
      <c r="J106" s="716"/>
      <c r="K106" s="716"/>
      <c r="L106" s="716"/>
      <c r="M106" s="716"/>
      <c r="N106" s="716"/>
      <c r="O106" s="716"/>
      <c r="P106" s="716"/>
      <c r="Q106" s="716"/>
      <c r="R106" s="716"/>
      <c r="S106" s="716"/>
      <c r="T106" s="716"/>
      <c r="U106" s="716"/>
      <c r="V106" s="716"/>
      <c r="W106" s="716"/>
      <c r="X106" s="716"/>
      <c r="Y106" s="716"/>
      <c r="Z106" s="716"/>
    </row>
    <row r="107">
      <c r="A107" s="716"/>
      <c r="B107" s="717"/>
      <c r="C107" s="716"/>
      <c r="D107" s="716"/>
      <c r="E107" s="716"/>
      <c r="F107" s="716"/>
      <c r="G107" s="716"/>
      <c r="H107" s="716"/>
      <c r="I107" s="716"/>
      <c r="J107" s="716"/>
      <c r="K107" s="716"/>
      <c r="L107" s="716"/>
      <c r="M107" s="716"/>
      <c r="N107" s="716"/>
      <c r="O107" s="716"/>
      <c r="P107" s="716"/>
      <c r="Q107" s="716"/>
      <c r="R107" s="716"/>
      <c r="S107" s="716"/>
      <c r="T107" s="716"/>
      <c r="U107" s="716"/>
      <c r="V107" s="716"/>
      <c r="W107" s="716"/>
      <c r="X107" s="716"/>
      <c r="Y107" s="716"/>
      <c r="Z107" s="716"/>
    </row>
    <row r="108">
      <c r="A108" s="716"/>
      <c r="B108" s="717"/>
      <c r="C108" s="716"/>
      <c r="D108" s="716"/>
      <c r="E108" s="716"/>
      <c r="F108" s="716"/>
      <c r="G108" s="716"/>
      <c r="H108" s="716"/>
      <c r="I108" s="716"/>
      <c r="J108" s="716"/>
      <c r="K108" s="716"/>
      <c r="L108" s="716"/>
      <c r="M108" s="716"/>
      <c r="N108" s="716"/>
      <c r="O108" s="716"/>
      <c r="P108" s="716"/>
      <c r="Q108" s="716"/>
      <c r="R108" s="716"/>
      <c r="S108" s="716"/>
      <c r="T108" s="716"/>
      <c r="U108" s="716"/>
      <c r="V108" s="716"/>
      <c r="W108" s="716"/>
      <c r="X108" s="716"/>
      <c r="Y108" s="716"/>
      <c r="Z108" s="716"/>
    </row>
    <row r="109">
      <c r="A109" s="716"/>
      <c r="B109" s="717"/>
      <c r="C109" s="716"/>
      <c r="D109" s="716"/>
      <c r="E109" s="716"/>
      <c r="F109" s="716"/>
      <c r="G109" s="716"/>
      <c r="H109" s="716"/>
      <c r="I109" s="716"/>
      <c r="J109" s="716"/>
      <c r="K109" s="716"/>
      <c r="L109" s="716"/>
      <c r="M109" s="716"/>
      <c r="N109" s="716"/>
      <c r="O109" s="716"/>
      <c r="P109" s="716"/>
      <c r="Q109" s="716"/>
      <c r="R109" s="716"/>
      <c r="S109" s="716"/>
      <c r="T109" s="716"/>
      <c r="U109" s="716"/>
      <c r="V109" s="716"/>
      <c r="W109" s="716"/>
      <c r="X109" s="716"/>
      <c r="Y109" s="716"/>
      <c r="Z109" s="716"/>
    </row>
    <row r="110">
      <c r="A110" s="716"/>
      <c r="B110" s="717"/>
      <c r="C110" s="716"/>
      <c r="D110" s="716"/>
      <c r="E110" s="716"/>
      <c r="F110" s="716"/>
      <c r="G110" s="716"/>
      <c r="H110" s="716"/>
      <c r="I110" s="716"/>
      <c r="J110" s="716"/>
      <c r="K110" s="716"/>
      <c r="L110" s="716"/>
      <c r="M110" s="716"/>
      <c r="N110" s="716"/>
      <c r="O110" s="716"/>
      <c r="P110" s="716"/>
      <c r="Q110" s="716"/>
      <c r="R110" s="716"/>
      <c r="S110" s="716"/>
      <c r="T110" s="716"/>
      <c r="U110" s="716"/>
      <c r="V110" s="716"/>
      <c r="W110" s="716"/>
      <c r="X110" s="716"/>
      <c r="Y110" s="716"/>
      <c r="Z110" s="716"/>
    </row>
    <row r="111">
      <c r="A111" s="716"/>
      <c r="B111" s="717"/>
      <c r="C111" s="716"/>
      <c r="D111" s="716"/>
      <c r="E111" s="716"/>
      <c r="F111" s="716"/>
      <c r="G111" s="716"/>
      <c r="H111" s="716"/>
      <c r="I111" s="716"/>
      <c r="J111" s="716"/>
      <c r="K111" s="716"/>
      <c r="L111" s="716"/>
      <c r="M111" s="716"/>
      <c r="N111" s="716"/>
      <c r="O111" s="716"/>
      <c r="P111" s="716"/>
      <c r="Q111" s="716"/>
      <c r="R111" s="716"/>
      <c r="S111" s="716"/>
      <c r="T111" s="716"/>
      <c r="U111" s="716"/>
      <c r="V111" s="716"/>
      <c r="W111" s="716"/>
      <c r="X111" s="716"/>
      <c r="Y111" s="716"/>
      <c r="Z111" s="716"/>
    </row>
    <row r="112">
      <c r="A112" s="716"/>
      <c r="B112" s="717"/>
      <c r="C112" s="716"/>
      <c r="D112" s="716"/>
      <c r="E112" s="716"/>
      <c r="F112" s="716"/>
      <c r="G112" s="716"/>
      <c r="H112" s="716"/>
      <c r="I112" s="716"/>
      <c r="J112" s="716"/>
      <c r="K112" s="716"/>
      <c r="L112" s="716"/>
      <c r="M112" s="716"/>
      <c r="N112" s="716"/>
      <c r="O112" s="716"/>
      <c r="P112" s="716"/>
      <c r="Q112" s="716"/>
      <c r="R112" s="716"/>
      <c r="S112" s="716"/>
      <c r="T112" s="716"/>
      <c r="U112" s="716"/>
      <c r="V112" s="716"/>
      <c r="W112" s="716"/>
      <c r="X112" s="716"/>
      <c r="Y112" s="716"/>
      <c r="Z112" s="716"/>
    </row>
    <row r="113">
      <c r="A113" s="716"/>
      <c r="B113" s="717"/>
      <c r="C113" s="716"/>
      <c r="D113" s="716"/>
      <c r="E113" s="716"/>
      <c r="F113" s="716"/>
      <c r="G113" s="716"/>
      <c r="H113" s="716"/>
      <c r="I113" s="716"/>
      <c r="J113" s="716"/>
      <c r="K113" s="716"/>
      <c r="L113" s="716"/>
      <c r="M113" s="716"/>
      <c r="N113" s="716"/>
      <c r="O113" s="716"/>
      <c r="P113" s="716"/>
      <c r="Q113" s="716"/>
      <c r="R113" s="716"/>
      <c r="S113" s="716"/>
      <c r="T113" s="716"/>
      <c r="U113" s="716"/>
      <c r="V113" s="716"/>
      <c r="W113" s="716"/>
      <c r="X113" s="716"/>
      <c r="Y113" s="716"/>
      <c r="Z113" s="716"/>
    </row>
    <row r="114">
      <c r="A114" s="716"/>
      <c r="B114" s="717"/>
      <c r="C114" s="716"/>
      <c r="D114" s="716"/>
      <c r="E114" s="716"/>
      <c r="F114" s="716"/>
      <c r="G114" s="716"/>
      <c r="H114" s="716"/>
      <c r="I114" s="716"/>
      <c r="J114" s="716"/>
      <c r="K114" s="716"/>
      <c r="L114" s="716"/>
      <c r="M114" s="716"/>
      <c r="N114" s="716"/>
      <c r="O114" s="716"/>
      <c r="P114" s="716"/>
      <c r="Q114" s="716"/>
      <c r="R114" s="716"/>
      <c r="S114" s="716"/>
      <c r="T114" s="716"/>
      <c r="U114" s="716"/>
      <c r="V114" s="716"/>
      <c r="W114" s="716"/>
      <c r="X114" s="716"/>
      <c r="Y114" s="716"/>
      <c r="Z114" s="716"/>
    </row>
    <row r="115">
      <c r="A115" s="716"/>
      <c r="B115" s="717"/>
      <c r="C115" s="716"/>
      <c r="D115" s="716"/>
      <c r="E115" s="716"/>
      <c r="F115" s="716"/>
      <c r="G115" s="716"/>
      <c r="H115" s="716"/>
      <c r="I115" s="716"/>
      <c r="J115" s="716"/>
      <c r="K115" s="716"/>
      <c r="L115" s="716"/>
      <c r="M115" s="716"/>
      <c r="N115" s="716"/>
      <c r="O115" s="716"/>
      <c r="P115" s="716"/>
      <c r="Q115" s="716"/>
      <c r="R115" s="716"/>
      <c r="S115" s="716"/>
      <c r="T115" s="716"/>
      <c r="U115" s="716"/>
      <c r="V115" s="716"/>
      <c r="W115" s="716"/>
      <c r="X115" s="716"/>
      <c r="Y115" s="716"/>
      <c r="Z115" s="716"/>
    </row>
    <row r="116">
      <c r="A116" s="716"/>
      <c r="B116" s="717"/>
      <c r="C116" s="716"/>
      <c r="D116" s="716"/>
      <c r="E116" s="716"/>
      <c r="F116" s="716"/>
      <c r="G116" s="716"/>
      <c r="H116" s="716"/>
      <c r="I116" s="716"/>
      <c r="J116" s="716"/>
      <c r="K116" s="716"/>
      <c r="L116" s="716"/>
      <c r="M116" s="716"/>
      <c r="N116" s="716"/>
      <c r="O116" s="716"/>
      <c r="P116" s="716"/>
      <c r="Q116" s="716"/>
      <c r="R116" s="716"/>
      <c r="S116" s="716"/>
      <c r="T116" s="716"/>
      <c r="U116" s="716"/>
      <c r="V116" s="716"/>
      <c r="W116" s="716"/>
      <c r="X116" s="716"/>
      <c r="Y116" s="716"/>
      <c r="Z116" s="716"/>
    </row>
    <row r="117">
      <c r="A117" s="716"/>
      <c r="B117" s="717"/>
      <c r="C117" s="716"/>
      <c r="D117" s="716"/>
      <c r="E117" s="716"/>
      <c r="F117" s="716"/>
      <c r="G117" s="716"/>
      <c r="H117" s="716"/>
      <c r="I117" s="716"/>
      <c r="J117" s="716"/>
      <c r="K117" s="716"/>
      <c r="L117" s="716"/>
      <c r="M117" s="716"/>
      <c r="N117" s="716"/>
      <c r="O117" s="716"/>
      <c r="P117" s="716"/>
      <c r="Q117" s="716"/>
      <c r="R117" s="716"/>
      <c r="S117" s="716"/>
      <c r="T117" s="716"/>
      <c r="U117" s="716"/>
      <c r="V117" s="716"/>
      <c r="W117" s="716"/>
      <c r="X117" s="716"/>
      <c r="Y117" s="716"/>
      <c r="Z117" s="716"/>
    </row>
    <row r="118">
      <c r="A118" s="716"/>
      <c r="B118" s="717"/>
      <c r="C118" s="716"/>
      <c r="D118" s="716"/>
      <c r="E118" s="716"/>
      <c r="F118" s="716"/>
      <c r="G118" s="716"/>
      <c r="H118" s="716"/>
      <c r="I118" s="716"/>
      <c r="J118" s="716"/>
      <c r="K118" s="716"/>
      <c r="L118" s="716"/>
      <c r="M118" s="716"/>
      <c r="N118" s="716"/>
      <c r="O118" s="716"/>
      <c r="P118" s="716"/>
      <c r="Q118" s="716"/>
      <c r="R118" s="716"/>
      <c r="S118" s="716"/>
      <c r="T118" s="716"/>
      <c r="U118" s="716"/>
      <c r="V118" s="716"/>
      <c r="W118" s="716"/>
      <c r="X118" s="716"/>
      <c r="Y118" s="716"/>
      <c r="Z118" s="716"/>
    </row>
    <row r="119">
      <c r="A119" s="716"/>
      <c r="B119" s="717"/>
      <c r="C119" s="716"/>
      <c r="D119" s="716"/>
      <c r="E119" s="716"/>
      <c r="F119" s="716"/>
      <c r="G119" s="716"/>
      <c r="H119" s="716"/>
      <c r="I119" s="716"/>
      <c r="J119" s="716"/>
      <c r="K119" s="716"/>
      <c r="L119" s="716"/>
      <c r="M119" s="716"/>
      <c r="N119" s="716"/>
      <c r="O119" s="716"/>
      <c r="P119" s="716"/>
      <c r="Q119" s="716"/>
      <c r="R119" s="716"/>
      <c r="S119" s="716"/>
      <c r="T119" s="716"/>
      <c r="U119" s="716"/>
      <c r="V119" s="716"/>
      <c r="W119" s="716"/>
      <c r="X119" s="716"/>
      <c r="Y119" s="716"/>
      <c r="Z119" s="716"/>
    </row>
    <row r="120">
      <c r="A120" s="716"/>
      <c r="B120" s="717"/>
      <c r="C120" s="716"/>
      <c r="D120" s="716"/>
      <c r="E120" s="716"/>
      <c r="F120" s="716"/>
      <c r="G120" s="716"/>
      <c r="H120" s="716"/>
      <c r="I120" s="716"/>
      <c r="J120" s="716"/>
      <c r="K120" s="716"/>
      <c r="L120" s="716"/>
      <c r="M120" s="716"/>
      <c r="N120" s="716"/>
      <c r="O120" s="716"/>
      <c r="P120" s="716"/>
      <c r="Q120" s="716"/>
      <c r="R120" s="716"/>
      <c r="S120" s="716"/>
      <c r="T120" s="716"/>
      <c r="U120" s="716"/>
      <c r="V120" s="716"/>
      <c r="W120" s="716"/>
      <c r="X120" s="716"/>
      <c r="Y120" s="716"/>
      <c r="Z120" s="716"/>
    </row>
    <row r="121">
      <c r="A121" s="716"/>
      <c r="B121" s="717"/>
      <c r="C121" s="716"/>
      <c r="D121" s="716"/>
      <c r="E121" s="716"/>
      <c r="F121" s="716"/>
      <c r="G121" s="716"/>
      <c r="H121" s="716"/>
      <c r="I121" s="716"/>
      <c r="J121" s="716"/>
      <c r="K121" s="716"/>
      <c r="L121" s="716"/>
      <c r="M121" s="716"/>
      <c r="N121" s="716"/>
      <c r="O121" s="716"/>
      <c r="P121" s="716"/>
      <c r="Q121" s="716"/>
      <c r="R121" s="716"/>
      <c r="S121" s="716"/>
      <c r="T121" s="716"/>
      <c r="U121" s="716"/>
      <c r="V121" s="716"/>
      <c r="W121" s="716"/>
      <c r="X121" s="716"/>
      <c r="Y121" s="716"/>
      <c r="Z121" s="716"/>
    </row>
    <row r="122">
      <c r="A122" s="716"/>
      <c r="B122" s="717"/>
      <c r="C122" s="716"/>
      <c r="D122" s="716"/>
      <c r="E122" s="716"/>
      <c r="F122" s="716"/>
      <c r="G122" s="716"/>
      <c r="H122" s="716"/>
      <c r="I122" s="716"/>
      <c r="J122" s="716"/>
      <c r="K122" s="716"/>
      <c r="L122" s="716"/>
      <c r="M122" s="716"/>
      <c r="N122" s="716"/>
      <c r="O122" s="716"/>
      <c r="P122" s="716"/>
      <c r="Q122" s="716"/>
      <c r="R122" s="716"/>
      <c r="S122" s="716"/>
      <c r="T122" s="716"/>
      <c r="U122" s="716"/>
      <c r="V122" s="716"/>
      <c r="W122" s="716"/>
      <c r="X122" s="716"/>
      <c r="Y122" s="716"/>
      <c r="Z122" s="716"/>
    </row>
    <row r="123">
      <c r="A123" s="716"/>
      <c r="B123" s="717"/>
      <c r="C123" s="716"/>
      <c r="D123" s="716"/>
      <c r="E123" s="716"/>
      <c r="F123" s="716"/>
      <c r="G123" s="716"/>
      <c r="H123" s="716"/>
      <c r="I123" s="716"/>
      <c r="J123" s="716"/>
      <c r="K123" s="716"/>
      <c r="L123" s="716"/>
      <c r="M123" s="716"/>
      <c r="N123" s="716"/>
      <c r="O123" s="716"/>
      <c r="P123" s="716"/>
      <c r="Q123" s="716"/>
      <c r="R123" s="716"/>
      <c r="S123" s="716"/>
      <c r="T123" s="716"/>
      <c r="U123" s="716"/>
      <c r="V123" s="716"/>
      <c r="W123" s="716"/>
      <c r="X123" s="716"/>
      <c r="Y123" s="716"/>
      <c r="Z123" s="716"/>
    </row>
    <row r="124">
      <c r="A124" s="716"/>
      <c r="B124" s="717"/>
      <c r="C124" s="716"/>
      <c r="D124" s="716"/>
      <c r="E124" s="716"/>
      <c r="F124" s="716"/>
      <c r="G124" s="716"/>
      <c r="H124" s="716"/>
      <c r="I124" s="716"/>
      <c r="J124" s="716"/>
      <c r="K124" s="716"/>
      <c r="L124" s="716"/>
      <c r="M124" s="716"/>
      <c r="N124" s="716"/>
      <c r="O124" s="716"/>
      <c r="P124" s="716"/>
      <c r="Q124" s="716"/>
      <c r="R124" s="716"/>
      <c r="S124" s="716"/>
      <c r="T124" s="716"/>
      <c r="U124" s="716"/>
      <c r="V124" s="716"/>
      <c r="W124" s="716"/>
      <c r="X124" s="716"/>
      <c r="Y124" s="716"/>
      <c r="Z124" s="716"/>
    </row>
    <row r="125">
      <c r="A125" s="716"/>
      <c r="B125" s="717"/>
      <c r="C125" s="716"/>
      <c r="D125" s="716"/>
      <c r="E125" s="716"/>
      <c r="F125" s="716"/>
      <c r="G125" s="716"/>
      <c r="H125" s="716"/>
      <c r="I125" s="716"/>
      <c r="J125" s="716"/>
      <c r="K125" s="716"/>
      <c r="L125" s="716"/>
      <c r="M125" s="716"/>
      <c r="N125" s="716"/>
      <c r="O125" s="716"/>
      <c r="P125" s="716"/>
      <c r="Q125" s="716"/>
      <c r="R125" s="716"/>
      <c r="S125" s="716"/>
      <c r="T125" s="716"/>
      <c r="U125" s="716"/>
      <c r="V125" s="716"/>
      <c r="W125" s="716"/>
      <c r="X125" s="716"/>
      <c r="Y125" s="716"/>
      <c r="Z125" s="716"/>
    </row>
    <row r="126">
      <c r="A126" s="716"/>
      <c r="B126" s="717"/>
      <c r="C126" s="716"/>
      <c r="D126" s="716"/>
      <c r="E126" s="716"/>
      <c r="F126" s="716"/>
      <c r="G126" s="716"/>
      <c r="H126" s="716"/>
      <c r="I126" s="716"/>
      <c r="J126" s="716"/>
      <c r="K126" s="716"/>
      <c r="L126" s="716"/>
      <c r="M126" s="716"/>
      <c r="N126" s="716"/>
      <c r="O126" s="716"/>
      <c r="P126" s="716"/>
      <c r="Q126" s="716"/>
      <c r="R126" s="716"/>
      <c r="S126" s="716"/>
      <c r="T126" s="716"/>
      <c r="U126" s="716"/>
      <c r="V126" s="716"/>
      <c r="W126" s="716"/>
      <c r="X126" s="716"/>
      <c r="Y126" s="716"/>
      <c r="Z126" s="716"/>
    </row>
    <row r="127">
      <c r="A127" s="716"/>
      <c r="B127" s="717"/>
      <c r="C127" s="716"/>
      <c r="D127" s="716"/>
      <c r="E127" s="716"/>
      <c r="F127" s="716"/>
      <c r="G127" s="716"/>
      <c r="H127" s="716"/>
      <c r="I127" s="716"/>
      <c r="J127" s="716"/>
      <c r="K127" s="716"/>
      <c r="L127" s="716"/>
      <c r="M127" s="716"/>
      <c r="N127" s="716"/>
      <c r="O127" s="716"/>
      <c r="P127" s="716"/>
      <c r="Q127" s="716"/>
      <c r="R127" s="716"/>
      <c r="S127" s="716"/>
      <c r="T127" s="716"/>
      <c r="U127" s="716"/>
      <c r="V127" s="716"/>
      <c r="W127" s="716"/>
      <c r="X127" s="716"/>
      <c r="Y127" s="716"/>
      <c r="Z127" s="716"/>
    </row>
    <row r="128">
      <c r="A128" s="716"/>
      <c r="B128" s="717"/>
      <c r="C128" s="716"/>
      <c r="D128" s="716"/>
      <c r="E128" s="716"/>
      <c r="F128" s="716"/>
      <c r="G128" s="716"/>
      <c r="H128" s="716"/>
      <c r="I128" s="716"/>
      <c r="J128" s="716"/>
      <c r="K128" s="716"/>
      <c r="L128" s="716"/>
      <c r="M128" s="716"/>
      <c r="N128" s="716"/>
      <c r="O128" s="716"/>
      <c r="P128" s="716"/>
      <c r="Q128" s="716"/>
      <c r="R128" s="716"/>
      <c r="S128" s="716"/>
      <c r="T128" s="716"/>
      <c r="U128" s="716"/>
      <c r="V128" s="716"/>
      <c r="W128" s="716"/>
      <c r="X128" s="716"/>
      <c r="Y128" s="716"/>
      <c r="Z128" s="716"/>
    </row>
    <row r="129">
      <c r="A129" s="716"/>
      <c r="B129" s="717"/>
      <c r="C129" s="716"/>
      <c r="D129" s="716"/>
      <c r="E129" s="716"/>
      <c r="F129" s="716"/>
      <c r="G129" s="716"/>
      <c r="H129" s="716"/>
      <c r="I129" s="716"/>
      <c r="J129" s="716"/>
      <c r="K129" s="716"/>
      <c r="L129" s="716"/>
      <c r="M129" s="716"/>
      <c r="N129" s="716"/>
      <c r="O129" s="716"/>
      <c r="P129" s="716"/>
      <c r="Q129" s="716"/>
      <c r="R129" s="716"/>
      <c r="S129" s="716"/>
      <c r="T129" s="716"/>
      <c r="U129" s="716"/>
      <c r="V129" s="716"/>
      <c r="W129" s="716"/>
      <c r="X129" s="716"/>
      <c r="Y129" s="716"/>
      <c r="Z129" s="716"/>
    </row>
    <row r="130">
      <c r="A130" s="716"/>
      <c r="B130" s="717"/>
      <c r="C130" s="716"/>
      <c r="D130" s="716"/>
      <c r="E130" s="716"/>
      <c r="F130" s="716"/>
      <c r="G130" s="716"/>
      <c r="H130" s="716"/>
      <c r="I130" s="716"/>
      <c r="J130" s="716"/>
      <c r="K130" s="716"/>
      <c r="L130" s="716"/>
      <c r="M130" s="716"/>
      <c r="N130" s="716"/>
      <c r="O130" s="716"/>
      <c r="P130" s="716"/>
      <c r="Q130" s="716"/>
      <c r="R130" s="716"/>
      <c r="S130" s="716"/>
      <c r="T130" s="716"/>
      <c r="U130" s="716"/>
      <c r="V130" s="716"/>
      <c r="W130" s="716"/>
      <c r="X130" s="716"/>
      <c r="Y130" s="716"/>
      <c r="Z130" s="716"/>
    </row>
    <row r="131">
      <c r="A131" s="716"/>
      <c r="B131" s="717"/>
      <c r="C131" s="716"/>
      <c r="D131" s="716"/>
      <c r="E131" s="716"/>
      <c r="F131" s="716"/>
      <c r="G131" s="716"/>
      <c r="H131" s="716"/>
      <c r="I131" s="716"/>
      <c r="J131" s="716"/>
      <c r="K131" s="716"/>
      <c r="L131" s="716"/>
      <c r="M131" s="716"/>
      <c r="N131" s="716"/>
      <c r="O131" s="716"/>
      <c r="P131" s="716"/>
      <c r="Q131" s="716"/>
      <c r="R131" s="716"/>
      <c r="S131" s="716"/>
      <c r="T131" s="716"/>
      <c r="U131" s="716"/>
      <c r="V131" s="716"/>
      <c r="W131" s="716"/>
      <c r="X131" s="716"/>
      <c r="Y131" s="716"/>
      <c r="Z131" s="716"/>
    </row>
    <row r="132">
      <c r="A132" s="716"/>
      <c r="B132" s="717"/>
      <c r="C132" s="716"/>
      <c r="D132" s="716"/>
      <c r="E132" s="716"/>
      <c r="F132" s="716"/>
      <c r="G132" s="716"/>
      <c r="H132" s="716"/>
      <c r="I132" s="716"/>
      <c r="J132" s="716"/>
      <c r="K132" s="716"/>
      <c r="L132" s="716"/>
      <c r="M132" s="716"/>
      <c r="N132" s="716"/>
      <c r="O132" s="716"/>
      <c r="P132" s="716"/>
      <c r="Q132" s="716"/>
      <c r="R132" s="716"/>
      <c r="S132" s="716"/>
      <c r="T132" s="716"/>
      <c r="U132" s="716"/>
      <c r="V132" s="716"/>
      <c r="W132" s="716"/>
      <c r="X132" s="716"/>
      <c r="Y132" s="716"/>
      <c r="Z132" s="716"/>
    </row>
    <row r="133">
      <c r="A133" s="716"/>
      <c r="B133" s="717"/>
      <c r="C133" s="716"/>
      <c r="D133" s="716"/>
      <c r="E133" s="716"/>
      <c r="F133" s="716"/>
      <c r="G133" s="716"/>
      <c r="H133" s="716"/>
      <c r="I133" s="716"/>
      <c r="J133" s="716"/>
      <c r="K133" s="716"/>
      <c r="L133" s="716"/>
      <c r="M133" s="716"/>
      <c r="N133" s="716"/>
      <c r="O133" s="716"/>
      <c r="P133" s="716"/>
      <c r="Q133" s="716"/>
      <c r="R133" s="716"/>
      <c r="S133" s="716"/>
      <c r="T133" s="716"/>
      <c r="U133" s="716"/>
      <c r="V133" s="716"/>
      <c r="W133" s="716"/>
      <c r="X133" s="716"/>
      <c r="Y133" s="716"/>
      <c r="Z133" s="716"/>
    </row>
    <row r="134">
      <c r="A134" s="716"/>
      <c r="B134" s="717"/>
      <c r="C134" s="716"/>
      <c r="D134" s="716"/>
      <c r="E134" s="716"/>
      <c r="F134" s="716"/>
      <c r="G134" s="716"/>
      <c r="H134" s="716"/>
      <c r="I134" s="716"/>
      <c r="J134" s="716"/>
      <c r="K134" s="716"/>
      <c r="L134" s="716"/>
      <c r="M134" s="716"/>
      <c r="N134" s="716"/>
      <c r="O134" s="716"/>
      <c r="P134" s="716"/>
      <c r="Q134" s="716"/>
      <c r="R134" s="716"/>
      <c r="S134" s="716"/>
      <c r="T134" s="716"/>
      <c r="U134" s="716"/>
      <c r="V134" s="716"/>
      <c r="W134" s="716"/>
      <c r="X134" s="716"/>
      <c r="Y134" s="716"/>
      <c r="Z134" s="716"/>
    </row>
    <row r="135">
      <c r="A135" s="716"/>
      <c r="B135" s="717"/>
      <c r="C135" s="716"/>
      <c r="D135" s="716"/>
      <c r="E135" s="716"/>
      <c r="F135" s="716"/>
      <c r="G135" s="716"/>
      <c r="H135" s="716"/>
      <c r="I135" s="716"/>
      <c r="J135" s="716"/>
      <c r="K135" s="716"/>
      <c r="L135" s="716"/>
      <c r="M135" s="716"/>
      <c r="N135" s="716"/>
      <c r="O135" s="716"/>
      <c r="P135" s="716"/>
      <c r="Q135" s="716"/>
      <c r="R135" s="716"/>
      <c r="S135" s="716"/>
      <c r="T135" s="716"/>
      <c r="U135" s="716"/>
      <c r="V135" s="716"/>
      <c r="W135" s="716"/>
      <c r="X135" s="716"/>
      <c r="Y135" s="716"/>
      <c r="Z135" s="716"/>
    </row>
    <row r="136">
      <c r="A136" s="716"/>
      <c r="B136" s="717"/>
      <c r="C136" s="716"/>
      <c r="D136" s="716"/>
      <c r="E136" s="716"/>
      <c r="F136" s="716"/>
      <c r="G136" s="716"/>
      <c r="H136" s="716"/>
      <c r="I136" s="716"/>
      <c r="J136" s="716"/>
      <c r="K136" s="716"/>
      <c r="L136" s="716"/>
      <c r="M136" s="716"/>
      <c r="N136" s="716"/>
      <c r="O136" s="716"/>
      <c r="P136" s="716"/>
      <c r="Q136" s="716"/>
      <c r="R136" s="716"/>
      <c r="S136" s="716"/>
      <c r="T136" s="716"/>
      <c r="U136" s="716"/>
      <c r="V136" s="716"/>
      <c r="W136" s="716"/>
      <c r="X136" s="716"/>
      <c r="Y136" s="716"/>
      <c r="Z136" s="716"/>
    </row>
    <row r="137">
      <c r="A137" s="716"/>
      <c r="B137" s="717"/>
      <c r="C137" s="716"/>
      <c r="D137" s="716"/>
      <c r="E137" s="716"/>
      <c r="F137" s="716"/>
      <c r="G137" s="716"/>
      <c r="H137" s="716"/>
      <c r="I137" s="716"/>
      <c r="J137" s="716"/>
      <c r="K137" s="716"/>
      <c r="L137" s="716"/>
      <c r="M137" s="716"/>
      <c r="N137" s="716"/>
      <c r="O137" s="716"/>
      <c r="P137" s="716"/>
      <c r="Q137" s="716"/>
      <c r="R137" s="716"/>
      <c r="S137" s="716"/>
      <c r="T137" s="716"/>
      <c r="U137" s="716"/>
      <c r="V137" s="716"/>
      <c r="W137" s="716"/>
      <c r="X137" s="716"/>
      <c r="Y137" s="716"/>
      <c r="Z137" s="716"/>
    </row>
    <row r="138">
      <c r="A138" s="716"/>
      <c r="B138" s="717"/>
      <c r="C138" s="716"/>
      <c r="D138" s="716"/>
      <c r="E138" s="716"/>
      <c r="F138" s="716"/>
      <c r="G138" s="716"/>
      <c r="H138" s="716"/>
      <c r="I138" s="716"/>
      <c r="J138" s="716"/>
      <c r="K138" s="716"/>
      <c r="L138" s="716"/>
      <c r="M138" s="716"/>
      <c r="N138" s="716"/>
      <c r="O138" s="716"/>
      <c r="P138" s="716"/>
      <c r="Q138" s="716"/>
      <c r="R138" s="716"/>
      <c r="S138" s="716"/>
      <c r="T138" s="716"/>
      <c r="U138" s="716"/>
      <c r="V138" s="716"/>
      <c r="W138" s="716"/>
      <c r="X138" s="716"/>
      <c r="Y138" s="716"/>
      <c r="Z138" s="716"/>
    </row>
    <row r="139">
      <c r="A139" s="716"/>
      <c r="B139" s="717"/>
      <c r="C139" s="716"/>
      <c r="D139" s="716"/>
      <c r="E139" s="716"/>
      <c r="F139" s="716"/>
      <c r="G139" s="716"/>
      <c r="H139" s="716"/>
      <c r="I139" s="716"/>
      <c r="J139" s="716"/>
      <c r="K139" s="716"/>
      <c r="L139" s="716"/>
      <c r="M139" s="716"/>
      <c r="N139" s="716"/>
      <c r="O139" s="716"/>
      <c r="P139" s="716"/>
      <c r="Q139" s="716"/>
      <c r="R139" s="716"/>
      <c r="S139" s="716"/>
      <c r="T139" s="716"/>
      <c r="U139" s="716"/>
      <c r="V139" s="716"/>
      <c r="W139" s="716"/>
      <c r="X139" s="716"/>
      <c r="Y139" s="716"/>
      <c r="Z139" s="716"/>
    </row>
    <row r="140">
      <c r="A140" s="716"/>
      <c r="B140" s="717"/>
      <c r="C140" s="716"/>
      <c r="D140" s="716"/>
      <c r="E140" s="716"/>
      <c r="F140" s="716"/>
      <c r="G140" s="716"/>
      <c r="H140" s="716"/>
      <c r="I140" s="716"/>
      <c r="J140" s="716"/>
      <c r="K140" s="716"/>
      <c r="L140" s="716"/>
      <c r="M140" s="716"/>
      <c r="N140" s="716"/>
      <c r="O140" s="716"/>
      <c r="P140" s="716"/>
      <c r="Q140" s="716"/>
      <c r="R140" s="716"/>
      <c r="S140" s="716"/>
      <c r="T140" s="716"/>
      <c r="U140" s="716"/>
      <c r="V140" s="716"/>
      <c r="W140" s="716"/>
      <c r="X140" s="716"/>
      <c r="Y140" s="716"/>
      <c r="Z140" s="716"/>
    </row>
    <row r="141">
      <c r="A141" s="716"/>
      <c r="B141" s="717"/>
      <c r="C141" s="716"/>
      <c r="D141" s="716"/>
      <c r="E141" s="716"/>
      <c r="F141" s="716"/>
      <c r="G141" s="716"/>
      <c r="H141" s="716"/>
      <c r="I141" s="716"/>
      <c r="J141" s="716"/>
      <c r="K141" s="716"/>
      <c r="L141" s="716"/>
      <c r="M141" s="716"/>
      <c r="N141" s="716"/>
      <c r="O141" s="716"/>
      <c r="P141" s="716"/>
      <c r="Q141" s="716"/>
      <c r="R141" s="716"/>
      <c r="S141" s="716"/>
      <c r="T141" s="716"/>
      <c r="U141" s="716"/>
      <c r="V141" s="716"/>
      <c r="W141" s="716"/>
      <c r="X141" s="716"/>
      <c r="Y141" s="716"/>
      <c r="Z141" s="716"/>
    </row>
    <row r="142">
      <c r="A142" s="716"/>
      <c r="B142" s="717"/>
      <c r="C142" s="716"/>
      <c r="D142" s="716"/>
      <c r="E142" s="716"/>
      <c r="F142" s="716"/>
      <c r="G142" s="716"/>
      <c r="H142" s="716"/>
      <c r="I142" s="716"/>
      <c r="J142" s="716"/>
      <c r="K142" s="716"/>
      <c r="L142" s="716"/>
      <c r="M142" s="716"/>
      <c r="N142" s="716"/>
      <c r="O142" s="716"/>
      <c r="P142" s="716"/>
      <c r="Q142" s="716"/>
      <c r="R142" s="716"/>
      <c r="S142" s="716"/>
      <c r="T142" s="716"/>
      <c r="U142" s="716"/>
      <c r="V142" s="716"/>
      <c r="W142" s="716"/>
      <c r="X142" s="716"/>
      <c r="Y142" s="716"/>
      <c r="Z142" s="716"/>
    </row>
    <row r="143">
      <c r="A143" s="716"/>
      <c r="B143" s="717"/>
      <c r="C143" s="716"/>
      <c r="D143" s="716"/>
      <c r="E143" s="716"/>
      <c r="F143" s="716"/>
      <c r="G143" s="716"/>
      <c r="H143" s="716"/>
      <c r="I143" s="716"/>
      <c r="J143" s="716"/>
      <c r="K143" s="716"/>
      <c r="L143" s="716"/>
      <c r="M143" s="716"/>
      <c r="N143" s="716"/>
      <c r="O143" s="716"/>
      <c r="P143" s="716"/>
      <c r="Q143" s="716"/>
      <c r="R143" s="716"/>
      <c r="S143" s="716"/>
      <c r="T143" s="716"/>
      <c r="U143" s="716"/>
      <c r="V143" s="716"/>
      <c r="W143" s="716"/>
      <c r="X143" s="716"/>
      <c r="Y143" s="716"/>
      <c r="Z143" s="716"/>
    </row>
    <row r="144">
      <c r="A144" s="716"/>
      <c r="B144" s="717"/>
      <c r="C144" s="716"/>
      <c r="D144" s="716"/>
      <c r="E144" s="716"/>
      <c r="F144" s="716"/>
      <c r="G144" s="716"/>
      <c r="H144" s="716"/>
      <c r="I144" s="716"/>
      <c r="J144" s="716"/>
      <c r="K144" s="716"/>
      <c r="L144" s="716"/>
      <c r="M144" s="716"/>
      <c r="N144" s="716"/>
      <c r="O144" s="716"/>
      <c r="P144" s="716"/>
      <c r="Q144" s="716"/>
      <c r="R144" s="716"/>
      <c r="S144" s="716"/>
      <c r="T144" s="716"/>
      <c r="U144" s="716"/>
      <c r="V144" s="716"/>
      <c r="W144" s="716"/>
      <c r="X144" s="716"/>
      <c r="Y144" s="716"/>
      <c r="Z144" s="716"/>
    </row>
    <row r="145">
      <c r="A145" s="716"/>
      <c r="B145" s="717"/>
      <c r="C145" s="716"/>
      <c r="D145" s="716"/>
      <c r="E145" s="716"/>
      <c r="F145" s="716"/>
      <c r="G145" s="716"/>
      <c r="H145" s="716"/>
      <c r="I145" s="716"/>
      <c r="J145" s="716"/>
      <c r="K145" s="716"/>
      <c r="L145" s="716"/>
      <c r="M145" s="716"/>
      <c r="N145" s="716"/>
      <c r="O145" s="716"/>
      <c r="P145" s="716"/>
      <c r="Q145" s="716"/>
      <c r="R145" s="716"/>
      <c r="S145" s="716"/>
      <c r="T145" s="716"/>
      <c r="U145" s="716"/>
      <c r="V145" s="716"/>
      <c r="W145" s="716"/>
      <c r="X145" s="716"/>
      <c r="Y145" s="716"/>
      <c r="Z145" s="716"/>
    </row>
    <row r="146">
      <c r="A146" s="716"/>
      <c r="B146" s="717"/>
      <c r="C146" s="716"/>
      <c r="D146" s="716"/>
      <c r="E146" s="716"/>
      <c r="F146" s="716"/>
      <c r="G146" s="716"/>
      <c r="H146" s="716"/>
      <c r="I146" s="716"/>
      <c r="J146" s="716"/>
      <c r="K146" s="716"/>
      <c r="L146" s="716"/>
      <c r="M146" s="716"/>
      <c r="N146" s="716"/>
      <c r="O146" s="716"/>
      <c r="P146" s="716"/>
      <c r="Q146" s="716"/>
      <c r="R146" s="716"/>
      <c r="S146" s="716"/>
      <c r="T146" s="716"/>
      <c r="U146" s="716"/>
      <c r="V146" s="716"/>
      <c r="W146" s="716"/>
      <c r="X146" s="716"/>
      <c r="Y146" s="716"/>
      <c r="Z146" s="716"/>
    </row>
    <row r="147">
      <c r="A147" s="716"/>
      <c r="B147" s="717"/>
      <c r="C147" s="716"/>
      <c r="D147" s="716"/>
      <c r="E147" s="716"/>
      <c r="F147" s="716"/>
      <c r="G147" s="716"/>
      <c r="H147" s="716"/>
      <c r="I147" s="716"/>
      <c r="J147" s="716"/>
      <c r="K147" s="716"/>
      <c r="L147" s="716"/>
      <c r="M147" s="716"/>
      <c r="N147" s="716"/>
      <c r="O147" s="716"/>
      <c r="P147" s="716"/>
      <c r="Q147" s="716"/>
      <c r="R147" s="716"/>
      <c r="S147" s="716"/>
      <c r="T147" s="716"/>
      <c r="U147" s="716"/>
      <c r="V147" s="716"/>
      <c r="W147" s="716"/>
      <c r="X147" s="716"/>
      <c r="Y147" s="716"/>
      <c r="Z147" s="716"/>
    </row>
    <row r="148">
      <c r="A148" s="716"/>
      <c r="B148" s="717"/>
      <c r="C148" s="716"/>
      <c r="D148" s="716"/>
      <c r="E148" s="716"/>
      <c r="F148" s="716"/>
      <c r="G148" s="716"/>
      <c r="H148" s="716"/>
      <c r="I148" s="716"/>
      <c r="J148" s="716"/>
      <c r="K148" s="716"/>
      <c r="L148" s="716"/>
      <c r="M148" s="716"/>
      <c r="N148" s="716"/>
      <c r="O148" s="716"/>
      <c r="P148" s="716"/>
      <c r="Q148" s="716"/>
      <c r="R148" s="716"/>
      <c r="S148" s="716"/>
      <c r="T148" s="716"/>
      <c r="U148" s="716"/>
      <c r="V148" s="716"/>
      <c r="W148" s="716"/>
      <c r="X148" s="716"/>
      <c r="Y148" s="716"/>
      <c r="Z148" s="716"/>
    </row>
    <row r="149">
      <c r="A149" s="716"/>
      <c r="B149" s="717"/>
      <c r="C149" s="716"/>
      <c r="D149" s="716"/>
      <c r="E149" s="716"/>
      <c r="F149" s="716"/>
      <c r="G149" s="716"/>
      <c r="H149" s="716"/>
      <c r="I149" s="716"/>
      <c r="J149" s="716"/>
      <c r="K149" s="716"/>
      <c r="L149" s="716"/>
      <c r="M149" s="716"/>
      <c r="N149" s="716"/>
      <c r="O149" s="716"/>
      <c r="P149" s="716"/>
      <c r="Q149" s="716"/>
      <c r="R149" s="716"/>
      <c r="S149" s="716"/>
      <c r="T149" s="716"/>
      <c r="U149" s="716"/>
      <c r="V149" s="716"/>
      <c r="W149" s="716"/>
      <c r="X149" s="716"/>
      <c r="Y149" s="716"/>
      <c r="Z149" s="716"/>
    </row>
    <row r="150">
      <c r="A150" s="716"/>
      <c r="B150" s="717"/>
      <c r="C150" s="716"/>
      <c r="D150" s="716"/>
      <c r="E150" s="716"/>
      <c r="F150" s="716"/>
      <c r="G150" s="716"/>
      <c r="H150" s="716"/>
      <c r="I150" s="716"/>
      <c r="J150" s="716"/>
      <c r="K150" s="716"/>
      <c r="L150" s="716"/>
      <c r="M150" s="716"/>
      <c r="N150" s="716"/>
      <c r="O150" s="716"/>
      <c r="P150" s="716"/>
      <c r="Q150" s="716"/>
      <c r="R150" s="716"/>
      <c r="S150" s="716"/>
      <c r="T150" s="716"/>
      <c r="U150" s="716"/>
      <c r="V150" s="716"/>
      <c r="W150" s="716"/>
      <c r="X150" s="716"/>
      <c r="Y150" s="716"/>
      <c r="Z150" s="716"/>
    </row>
    <row r="151">
      <c r="A151" s="716"/>
      <c r="B151" s="717"/>
      <c r="C151" s="716"/>
      <c r="D151" s="716"/>
      <c r="E151" s="716"/>
      <c r="F151" s="716"/>
      <c r="G151" s="716"/>
      <c r="H151" s="716"/>
      <c r="I151" s="716"/>
      <c r="J151" s="716"/>
      <c r="K151" s="716"/>
      <c r="L151" s="716"/>
      <c r="M151" s="716"/>
      <c r="N151" s="716"/>
      <c r="O151" s="716"/>
      <c r="P151" s="716"/>
      <c r="Q151" s="716"/>
      <c r="R151" s="716"/>
      <c r="S151" s="716"/>
      <c r="T151" s="716"/>
      <c r="U151" s="716"/>
      <c r="V151" s="716"/>
      <c r="W151" s="716"/>
      <c r="X151" s="716"/>
      <c r="Y151" s="716"/>
      <c r="Z151" s="716"/>
    </row>
    <row r="152">
      <c r="A152" s="716"/>
      <c r="B152" s="717"/>
      <c r="C152" s="716"/>
      <c r="D152" s="716"/>
      <c r="E152" s="716"/>
      <c r="F152" s="716"/>
      <c r="G152" s="716"/>
      <c r="H152" s="716"/>
      <c r="I152" s="716"/>
      <c r="J152" s="716"/>
      <c r="K152" s="716"/>
      <c r="L152" s="716"/>
      <c r="M152" s="716"/>
      <c r="N152" s="716"/>
      <c r="O152" s="716"/>
      <c r="P152" s="716"/>
      <c r="Q152" s="716"/>
      <c r="R152" s="716"/>
      <c r="S152" s="716"/>
      <c r="T152" s="716"/>
      <c r="U152" s="716"/>
      <c r="V152" s="716"/>
      <c r="W152" s="716"/>
      <c r="X152" s="716"/>
      <c r="Y152" s="716"/>
      <c r="Z152" s="716"/>
    </row>
    <row r="153">
      <c r="A153" s="716"/>
      <c r="B153" s="717"/>
      <c r="C153" s="716"/>
      <c r="D153" s="716"/>
      <c r="E153" s="716"/>
      <c r="F153" s="716"/>
      <c r="G153" s="716"/>
      <c r="H153" s="716"/>
      <c r="I153" s="716"/>
      <c r="J153" s="716"/>
      <c r="K153" s="716"/>
      <c r="L153" s="716"/>
      <c r="M153" s="716"/>
      <c r="N153" s="716"/>
      <c r="O153" s="716"/>
      <c r="P153" s="716"/>
      <c r="Q153" s="716"/>
      <c r="R153" s="716"/>
      <c r="S153" s="716"/>
      <c r="T153" s="716"/>
      <c r="U153" s="716"/>
      <c r="V153" s="716"/>
      <c r="W153" s="716"/>
      <c r="X153" s="716"/>
      <c r="Y153" s="716"/>
      <c r="Z153" s="716"/>
    </row>
    <row r="154">
      <c r="A154" s="716"/>
      <c r="B154" s="717"/>
      <c r="C154" s="716"/>
      <c r="D154" s="716"/>
      <c r="E154" s="716"/>
      <c r="F154" s="716"/>
      <c r="G154" s="716"/>
      <c r="H154" s="716"/>
      <c r="I154" s="716"/>
      <c r="J154" s="716"/>
      <c r="K154" s="716"/>
      <c r="L154" s="716"/>
      <c r="M154" s="716"/>
      <c r="N154" s="716"/>
      <c r="O154" s="716"/>
      <c r="P154" s="716"/>
      <c r="Q154" s="716"/>
      <c r="R154" s="716"/>
      <c r="S154" s="716"/>
      <c r="T154" s="716"/>
      <c r="U154" s="716"/>
      <c r="V154" s="716"/>
      <c r="W154" s="716"/>
      <c r="X154" s="716"/>
      <c r="Y154" s="716"/>
      <c r="Z154" s="716"/>
    </row>
    <row r="155">
      <c r="A155" s="716"/>
      <c r="B155" s="717"/>
      <c r="C155" s="716"/>
      <c r="D155" s="716"/>
      <c r="E155" s="716"/>
      <c r="F155" s="716"/>
      <c r="G155" s="716"/>
      <c r="H155" s="716"/>
      <c r="I155" s="716"/>
      <c r="J155" s="716"/>
      <c r="K155" s="716"/>
      <c r="L155" s="716"/>
      <c r="M155" s="716"/>
      <c r="N155" s="716"/>
      <c r="O155" s="716"/>
      <c r="P155" s="716"/>
      <c r="Q155" s="716"/>
      <c r="R155" s="716"/>
      <c r="S155" s="716"/>
      <c r="T155" s="716"/>
      <c r="U155" s="716"/>
      <c r="V155" s="716"/>
      <c r="W155" s="716"/>
      <c r="X155" s="716"/>
      <c r="Y155" s="716"/>
      <c r="Z155" s="716"/>
    </row>
    <row r="156">
      <c r="A156" s="716"/>
      <c r="B156" s="717"/>
      <c r="C156" s="716"/>
      <c r="D156" s="716"/>
      <c r="E156" s="716"/>
      <c r="F156" s="716"/>
      <c r="G156" s="716"/>
      <c r="H156" s="716"/>
      <c r="I156" s="716"/>
      <c r="J156" s="716"/>
      <c r="K156" s="716"/>
      <c r="L156" s="716"/>
      <c r="M156" s="716"/>
      <c r="N156" s="716"/>
      <c r="O156" s="716"/>
      <c r="P156" s="716"/>
      <c r="Q156" s="716"/>
      <c r="R156" s="716"/>
      <c r="S156" s="716"/>
      <c r="T156" s="716"/>
      <c r="U156" s="716"/>
      <c r="V156" s="716"/>
      <c r="W156" s="716"/>
      <c r="X156" s="716"/>
      <c r="Y156" s="716"/>
      <c r="Z156" s="716"/>
    </row>
    <row r="157">
      <c r="A157" s="716"/>
      <c r="B157" s="717"/>
      <c r="C157" s="716"/>
      <c r="D157" s="716"/>
      <c r="E157" s="716"/>
      <c r="F157" s="716"/>
      <c r="G157" s="716"/>
      <c r="H157" s="716"/>
      <c r="I157" s="716"/>
      <c r="J157" s="716"/>
      <c r="K157" s="716"/>
      <c r="L157" s="716"/>
      <c r="M157" s="716"/>
      <c r="N157" s="716"/>
      <c r="O157" s="716"/>
      <c r="P157" s="716"/>
      <c r="Q157" s="716"/>
      <c r="R157" s="716"/>
      <c r="S157" s="716"/>
      <c r="T157" s="716"/>
      <c r="U157" s="716"/>
      <c r="V157" s="716"/>
      <c r="W157" s="716"/>
      <c r="X157" s="716"/>
      <c r="Y157" s="716"/>
      <c r="Z157" s="716"/>
    </row>
    <row r="158">
      <c r="A158" s="716"/>
      <c r="B158" s="717"/>
      <c r="C158" s="716"/>
      <c r="D158" s="716"/>
      <c r="E158" s="716"/>
      <c r="F158" s="716"/>
      <c r="G158" s="716"/>
      <c r="H158" s="716"/>
      <c r="I158" s="716"/>
      <c r="J158" s="716"/>
      <c r="K158" s="716"/>
      <c r="L158" s="716"/>
      <c r="M158" s="716"/>
      <c r="N158" s="716"/>
      <c r="O158" s="716"/>
      <c r="P158" s="716"/>
      <c r="Q158" s="716"/>
      <c r="R158" s="716"/>
      <c r="S158" s="716"/>
      <c r="T158" s="716"/>
      <c r="U158" s="716"/>
      <c r="V158" s="716"/>
      <c r="W158" s="716"/>
      <c r="X158" s="716"/>
      <c r="Y158" s="716"/>
      <c r="Z158" s="716"/>
    </row>
    <row r="159">
      <c r="A159" s="716"/>
      <c r="B159" s="717"/>
      <c r="C159" s="716"/>
      <c r="D159" s="716"/>
      <c r="E159" s="716"/>
      <c r="F159" s="716"/>
      <c r="G159" s="716"/>
      <c r="H159" s="716"/>
      <c r="I159" s="716"/>
      <c r="J159" s="716"/>
      <c r="K159" s="716"/>
      <c r="L159" s="716"/>
      <c r="M159" s="716"/>
      <c r="N159" s="716"/>
      <c r="O159" s="716"/>
      <c r="P159" s="716"/>
      <c r="Q159" s="716"/>
      <c r="R159" s="716"/>
      <c r="S159" s="716"/>
      <c r="T159" s="716"/>
      <c r="U159" s="716"/>
      <c r="V159" s="716"/>
      <c r="W159" s="716"/>
      <c r="X159" s="716"/>
      <c r="Y159" s="716"/>
      <c r="Z159" s="716"/>
    </row>
    <row r="160">
      <c r="A160" s="716"/>
      <c r="B160" s="717"/>
      <c r="C160" s="716"/>
      <c r="D160" s="716"/>
      <c r="E160" s="716"/>
      <c r="F160" s="716"/>
      <c r="G160" s="716"/>
      <c r="H160" s="716"/>
      <c r="I160" s="716"/>
      <c r="J160" s="716"/>
      <c r="K160" s="716"/>
      <c r="L160" s="716"/>
      <c r="M160" s="716"/>
      <c r="N160" s="716"/>
      <c r="O160" s="716"/>
      <c r="P160" s="716"/>
      <c r="Q160" s="716"/>
      <c r="R160" s="716"/>
      <c r="S160" s="716"/>
      <c r="T160" s="716"/>
      <c r="U160" s="716"/>
      <c r="V160" s="716"/>
      <c r="W160" s="716"/>
      <c r="X160" s="716"/>
      <c r="Y160" s="716"/>
      <c r="Z160" s="716"/>
    </row>
    <row r="161">
      <c r="A161" s="716"/>
      <c r="B161" s="717"/>
      <c r="C161" s="716"/>
      <c r="D161" s="716"/>
      <c r="E161" s="716"/>
      <c r="F161" s="716"/>
      <c r="G161" s="716"/>
      <c r="H161" s="716"/>
      <c r="I161" s="716"/>
      <c r="J161" s="716"/>
      <c r="K161" s="716"/>
      <c r="L161" s="716"/>
      <c r="M161" s="716"/>
      <c r="N161" s="716"/>
      <c r="O161" s="716"/>
      <c r="P161" s="716"/>
      <c r="Q161" s="716"/>
      <c r="R161" s="716"/>
      <c r="S161" s="716"/>
      <c r="T161" s="716"/>
      <c r="U161" s="716"/>
      <c r="V161" s="716"/>
      <c r="W161" s="716"/>
      <c r="X161" s="716"/>
      <c r="Y161" s="716"/>
      <c r="Z161" s="716"/>
    </row>
    <row r="162">
      <c r="A162" s="716"/>
      <c r="B162" s="717"/>
      <c r="C162" s="716"/>
      <c r="D162" s="716"/>
      <c r="E162" s="716"/>
      <c r="F162" s="716"/>
      <c r="G162" s="716"/>
      <c r="H162" s="716"/>
      <c r="I162" s="716"/>
      <c r="J162" s="716"/>
      <c r="K162" s="716"/>
      <c r="L162" s="716"/>
      <c r="M162" s="716"/>
      <c r="N162" s="716"/>
      <c r="O162" s="716"/>
      <c r="P162" s="716"/>
      <c r="Q162" s="716"/>
      <c r="R162" s="716"/>
      <c r="S162" s="716"/>
      <c r="T162" s="716"/>
      <c r="U162" s="716"/>
      <c r="V162" s="716"/>
      <c r="W162" s="716"/>
      <c r="X162" s="716"/>
      <c r="Y162" s="716"/>
      <c r="Z162" s="716"/>
    </row>
    <row r="163">
      <c r="A163" s="716"/>
      <c r="B163" s="717"/>
      <c r="C163" s="716"/>
      <c r="D163" s="716"/>
      <c r="E163" s="716"/>
      <c r="F163" s="716"/>
      <c r="G163" s="716"/>
      <c r="H163" s="716"/>
      <c r="I163" s="716"/>
      <c r="J163" s="716"/>
      <c r="K163" s="716"/>
      <c r="L163" s="716"/>
      <c r="M163" s="716"/>
      <c r="N163" s="716"/>
      <c r="O163" s="716"/>
      <c r="P163" s="716"/>
      <c r="Q163" s="716"/>
      <c r="R163" s="716"/>
      <c r="S163" s="716"/>
      <c r="T163" s="716"/>
      <c r="U163" s="716"/>
      <c r="V163" s="716"/>
      <c r="W163" s="716"/>
      <c r="X163" s="716"/>
      <c r="Y163" s="716"/>
      <c r="Z163" s="716"/>
    </row>
    <row r="164">
      <c r="A164" s="716"/>
      <c r="B164" s="717"/>
      <c r="C164" s="716"/>
      <c r="D164" s="716"/>
      <c r="E164" s="716"/>
      <c r="F164" s="716"/>
      <c r="G164" s="716"/>
      <c r="H164" s="716"/>
      <c r="I164" s="716"/>
      <c r="J164" s="716"/>
      <c r="K164" s="716"/>
      <c r="L164" s="716"/>
      <c r="M164" s="716"/>
      <c r="N164" s="716"/>
      <c r="O164" s="716"/>
      <c r="P164" s="716"/>
      <c r="Q164" s="716"/>
      <c r="R164" s="716"/>
      <c r="S164" s="716"/>
      <c r="T164" s="716"/>
      <c r="U164" s="716"/>
      <c r="V164" s="716"/>
      <c r="W164" s="716"/>
      <c r="X164" s="716"/>
      <c r="Y164" s="716"/>
      <c r="Z164" s="716"/>
    </row>
    <row r="165">
      <c r="A165" s="716"/>
      <c r="B165" s="717"/>
      <c r="C165" s="716"/>
      <c r="D165" s="716"/>
      <c r="E165" s="716"/>
      <c r="F165" s="716"/>
      <c r="G165" s="716"/>
      <c r="H165" s="716"/>
      <c r="I165" s="716"/>
      <c r="J165" s="716"/>
      <c r="K165" s="716"/>
      <c r="L165" s="716"/>
      <c r="M165" s="716"/>
      <c r="N165" s="716"/>
      <c r="O165" s="716"/>
      <c r="P165" s="716"/>
      <c r="Q165" s="716"/>
      <c r="R165" s="716"/>
      <c r="S165" s="716"/>
      <c r="T165" s="716"/>
      <c r="U165" s="716"/>
      <c r="V165" s="716"/>
      <c r="W165" s="716"/>
      <c r="X165" s="716"/>
      <c r="Y165" s="716"/>
      <c r="Z165" s="716"/>
    </row>
    <row r="166">
      <c r="A166" s="716"/>
      <c r="B166" s="717"/>
      <c r="C166" s="716"/>
      <c r="D166" s="716"/>
      <c r="E166" s="716"/>
      <c r="F166" s="716"/>
      <c r="G166" s="716"/>
      <c r="H166" s="716"/>
      <c r="I166" s="716"/>
      <c r="J166" s="716"/>
      <c r="K166" s="716"/>
      <c r="L166" s="716"/>
      <c r="M166" s="716"/>
      <c r="N166" s="716"/>
      <c r="O166" s="716"/>
      <c r="P166" s="716"/>
      <c r="Q166" s="716"/>
      <c r="R166" s="716"/>
      <c r="S166" s="716"/>
      <c r="T166" s="716"/>
      <c r="U166" s="716"/>
      <c r="V166" s="716"/>
      <c r="W166" s="716"/>
      <c r="X166" s="716"/>
      <c r="Y166" s="716"/>
      <c r="Z166" s="716"/>
    </row>
    <row r="167">
      <c r="A167" s="716"/>
      <c r="B167" s="717"/>
      <c r="C167" s="716"/>
      <c r="D167" s="716"/>
      <c r="E167" s="716"/>
      <c r="F167" s="716"/>
      <c r="G167" s="716"/>
      <c r="H167" s="716"/>
      <c r="I167" s="716"/>
      <c r="J167" s="716"/>
      <c r="K167" s="716"/>
      <c r="L167" s="716"/>
      <c r="M167" s="716"/>
      <c r="N167" s="716"/>
      <c r="O167" s="716"/>
      <c r="P167" s="716"/>
      <c r="Q167" s="716"/>
      <c r="R167" s="716"/>
      <c r="S167" s="716"/>
      <c r="T167" s="716"/>
      <c r="U167" s="716"/>
      <c r="V167" s="716"/>
      <c r="W167" s="716"/>
      <c r="X167" s="716"/>
      <c r="Y167" s="716"/>
      <c r="Z167" s="716"/>
    </row>
    <row r="168">
      <c r="A168" s="716"/>
      <c r="B168" s="717"/>
      <c r="C168" s="716"/>
      <c r="D168" s="716"/>
      <c r="E168" s="716"/>
      <c r="F168" s="716"/>
      <c r="G168" s="716"/>
      <c r="H168" s="716"/>
      <c r="I168" s="716"/>
      <c r="J168" s="716"/>
      <c r="K168" s="716"/>
      <c r="L168" s="716"/>
      <c r="M168" s="716"/>
      <c r="N168" s="716"/>
      <c r="O168" s="716"/>
      <c r="P168" s="716"/>
      <c r="Q168" s="716"/>
      <c r="R168" s="716"/>
      <c r="S168" s="716"/>
      <c r="T168" s="716"/>
      <c r="U168" s="716"/>
      <c r="V168" s="716"/>
      <c r="W168" s="716"/>
      <c r="X168" s="716"/>
      <c r="Y168" s="716"/>
      <c r="Z168" s="716"/>
    </row>
    <row r="169">
      <c r="A169" s="716"/>
      <c r="B169" s="717"/>
      <c r="C169" s="716"/>
      <c r="D169" s="716"/>
      <c r="E169" s="716"/>
      <c r="F169" s="716"/>
      <c r="G169" s="716"/>
      <c r="H169" s="716"/>
      <c r="I169" s="716"/>
      <c r="J169" s="716"/>
      <c r="K169" s="716"/>
      <c r="L169" s="716"/>
      <c r="M169" s="716"/>
      <c r="N169" s="716"/>
      <c r="O169" s="716"/>
      <c r="P169" s="716"/>
      <c r="Q169" s="716"/>
      <c r="R169" s="716"/>
      <c r="S169" s="716"/>
      <c r="T169" s="716"/>
      <c r="U169" s="716"/>
      <c r="V169" s="716"/>
      <c r="W169" s="716"/>
      <c r="X169" s="716"/>
      <c r="Y169" s="716"/>
      <c r="Z169" s="716"/>
    </row>
    <row r="170">
      <c r="A170" s="716"/>
      <c r="B170" s="717"/>
      <c r="C170" s="716"/>
      <c r="D170" s="716"/>
      <c r="E170" s="716"/>
      <c r="F170" s="716"/>
      <c r="G170" s="716"/>
      <c r="H170" s="716"/>
      <c r="I170" s="716"/>
      <c r="J170" s="716"/>
      <c r="K170" s="716"/>
      <c r="L170" s="716"/>
      <c r="M170" s="716"/>
      <c r="N170" s="716"/>
      <c r="O170" s="716"/>
      <c r="P170" s="716"/>
      <c r="Q170" s="716"/>
      <c r="R170" s="716"/>
      <c r="S170" s="716"/>
      <c r="T170" s="716"/>
      <c r="U170" s="716"/>
      <c r="V170" s="716"/>
      <c r="W170" s="716"/>
      <c r="X170" s="716"/>
      <c r="Y170" s="716"/>
      <c r="Z170" s="716"/>
    </row>
    <row r="171">
      <c r="A171" s="716"/>
      <c r="B171" s="717"/>
      <c r="C171" s="716"/>
      <c r="D171" s="716"/>
      <c r="E171" s="716"/>
      <c r="F171" s="716"/>
      <c r="G171" s="716"/>
      <c r="H171" s="716"/>
      <c r="I171" s="716"/>
      <c r="J171" s="716"/>
      <c r="K171" s="716"/>
      <c r="L171" s="716"/>
      <c r="M171" s="716"/>
      <c r="N171" s="716"/>
      <c r="O171" s="716"/>
      <c r="P171" s="716"/>
      <c r="Q171" s="716"/>
      <c r="R171" s="716"/>
      <c r="S171" s="716"/>
      <c r="T171" s="716"/>
      <c r="U171" s="716"/>
      <c r="V171" s="716"/>
      <c r="W171" s="716"/>
      <c r="X171" s="716"/>
      <c r="Y171" s="716"/>
      <c r="Z171" s="716"/>
    </row>
    <row r="172">
      <c r="A172" s="716"/>
      <c r="B172" s="717"/>
      <c r="C172" s="716"/>
      <c r="D172" s="716"/>
      <c r="E172" s="716"/>
      <c r="F172" s="716"/>
      <c r="G172" s="716"/>
      <c r="H172" s="716"/>
      <c r="I172" s="716"/>
      <c r="J172" s="716"/>
      <c r="K172" s="716"/>
      <c r="L172" s="716"/>
      <c r="M172" s="716"/>
      <c r="N172" s="716"/>
      <c r="O172" s="716"/>
      <c r="P172" s="716"/>
      <c r="Q172" s="716"/>
      <c r="R172" s="716"/>
      <c r="S172" s="716"/>
      <c r="T172" s="716"/>
      <c r="U172" s="716"/>
      <c r="V172" s="716"/>
      <c r="W172" s="716"/>
      <c r="X172" s="716"/>
      <c r="Y172" s="716"/>
      <c r="Z172" s="716"/>
    </row>
    <row r="173">
      <c r="A173" s="716"/>
      <c r="B173" s="717"/>
      <c r="C173" s="716"/>
      <c r="D173" s="716"/>
      <c r="E173" s="716"/>
      <c r="F173" s="716"/>
      <c r="G173" s="716"/>
      <c r="H173" s="716"/>
      <c r="I173" s="716"/>
      <c r="J173" s="716"/>
      <c r="K173" s="716"/>
      <c r="L173" s="716"/>
      <c r="M173" s="716"/>
      <c r="N173" s="716"/>
      <c r="O173" s="716"/>
      <c r="P173" s="716"/>
      <c r="Q173" s="716"/>
      <c r="R173" s="716"/>
      <c r="S173" s="716"/>
      <c r="T173" s="716"/>
      <c r="U173" s="716"/>
      <c r="V173" s="716"/>
      <c r="W173" s="716"/>
      <c r="X173" s="716"/>
      <c r="Y173" s="716"/>
      <c r="Z173" s="716"/>
    </row>
    <row r="174">
      <c r="A174" s="716"/>
      <c r="B174" s="717"/>
      <c r="C174" s="716"/>
      <c r="D174" s="716"/>
      <c r="E174" s="716"/>
      <c r="F174" s="716"/>
      <c r="G174" s="716"/>
      <c r="H174" s="716"/>
      <c r="I174" s="716"/>
      <c r="J174" s="716"/>
      <c r="K174" s="716"/>
      <c r="L174" s="716"/>
      <c r="M174" s="716"/>
      <c r="N174" s="716"/>
      <c r="O174" s="716"/>
      <c r="P174" s="716"/>
      <c r="Q174" s="716"/>
      <c r="R174" s="716"/>
      <c r="S174" s="716"/>
      <c r="T174" s="716"/>
      <c r="U174" s="716"/>
      <c r="V174" s="716"/>
      <c r="W174" s="716"/>
      <c r="X174" s="716"/>
      <c r="Y174" s="716"/>
      <c r="Z174" s="716"/>
    </row>
    <row r="175">
      <c r="A175" s="716"/>
      <c r="B175" s="717"/>
      <c r="C175" s="716"/>
      <c r="D175" s="716"/>
      <c r="E175" s="716"/>
      <c r="F175" s="716"/>
      <c r="G175" s="716"/>
      <c r="H175" s="716"/>
      <c r="I175" s="716"/>
      <c r="J175" s="716"/>
      <c r="K175" s="716"/>
      <c r="L175" s="716"/>
      <c r="M175" s="716"/>
      <c r="N175" s="716"/>
      <c r="O175" s="716"/>
      <c r="P175" s="716"/>
      <c r="Q175" s="716"/>
      <c r="R175" s="716"/>
      <c r="S175" s="716"/>
      <c r="T175" s="716"/>
      <c r="U175" s="716"/>
      <c r="V175" s="716"/>
      <c r="W175" s="716"/>
      <c r="X175" s="716"/>
      <c r="Y175" s="716"/>
      <c r="Z175" s="716"/>
    </row>
    <row r="176">
      <c r="A176" s="716"/>
      <c r="B176" s="717"/>
      <c r="C176" s="716"/>
      <c r="D176" s="716"/>
      <c r="E176" s="716"/>
      <c r="F176" s="716"/>
      <c r="G176" s="716"/>
      <c r="H176" s="716"/>
      <c r="I176" s="716"/>
      <c r="J176" s="716"/>
      <c r="K176" s="716"/>
      <c r="L176" s="716"/>
      <c r="M176" s="716"/>
      <c r="N176" s="716"/>
      <c r="O176" s="716"/>
      <c r="P176" s="716"/>
      <c r="Q176" s="716"/>
      <c r="R176" s="716"/>
      <c r="S176" s="716"/>
      <c r="T176" s="716"/>
      <c r="U176" s="716"/>
      <c r="V176" s="716"/>
      <c r="W176" s="716"/>
      <c r="X176" s="716"/>
      <c r="Y176" s="716"/>
      <c r="Z176" s="716"/>
    </row>
    <row r="177">
      <c r="A177" s="716"/>
      <c r="B177" s="717"/>
      <c r="C177" s="716"/>
      <c r="D177" s="716"/>
      <c r="E177" s="716"/>
      <c r="F177" s="716"/>
      <c r="G177" s="716"/>
      <c r="H177" s="716"/>
      <c r="I177" s="716"/>
      <c r="J177" s="716"/>
      <c r="K177" s="716"/>
      <c r="L177" s="716"/>
      <c r="M177" s="716"/>
      <c r="N177" s="716"/>
      <c r="O177" s="716"/>
      <c r="P177" s="716"/>
      <c r="Q177" s="716"/>
      <c r="R177" s="716"/>
      <c r="S177" s="716"/>
      <c r="T177" s="716"/>
      <c r="U177" s="716"/>
      <c r="V177" s="716"/>
      <c r="W177" s="716"/>
      <c r="X177" s="716"/>
      <c r="Y177" s="716"/>
      <c r="Z177" s="716"/>
    </row>
    <row r="178">
      <c r="A178" s="716"/>
      <c r="B178" s="717"/>
      <c r="C178" s="716"/>
      <c r="D178" s="716"/>
      <c r="E178" s="716"/>
      <c r="F178" s="716"/>
      <c r="G178" s="716"/>
      <c r="H178" s="716"/>
      <c r="I178" s="716"/>
      <c r="J178" s="716"/>
      <c r="K178" s="716"/>
      <c r="L178" s="716"/>
      <c r="M178" s="716"/>
      <c r="N178" s="716"/>
      <c r="O178" s="716"/>
      <c r="P178" s="716"/>
      <c r="Q178" s="716"/>
      <c r="R178" s="716"/>
      <c r="S178" s="716"/>
      <c r="T178" s="716"/>
      <c r="U178" s="716"/>
      <c r="V178" s="716"/>
      <c r="W178" s="716"/>
      <c r="X178" s="716"/>
      <c r="Y178" s="716"/>
      <c r="Z178" s="716"/>
    </row>
    <row r="179">
      <c r="A179" s="716"/>
      <c r="B179" s="717"/>
      <c r="C179" s="716"/>
      <c r="D179" s="716"/>
      <c r="E179" s="716"/>
      <c r="F179" s="716"/>
      <c r="G179" s="716"/>
      <c r="H179" s="716"/>
      <c r="I179" s="716"/>
      <c r="J179" s="716"/>
      <c r="K179" s="716"/>
      <c r="L179" s="716"/>
      <c r="M179" s="716"/>
      <c r="N179" s="716"/>
      <c r="O179" s="716"/>
      <c r="P179" s="716"/>
      <c r="Q179" s="716"/>
      <c r="R179" s="716"/>
      <c r="S179" s="716"/>
      <c r="T179" s="716"/>
      <c r="U179" s="716"/>
      <c r="V179" s="716"/>
      <c r="W179" s="716"/>
      <c r="X179" s="716"/>
      <c r="Y179" s="716"/>
      <c r="Z179" s="716"/>
    </row>
    <row r="180">
      <c r="A180" s="716"/>
      <c r="B180" s="717"/>
      <c r="C180" s="716"/>
      <c r="D180" s="716"/>
      <c r="E180" s="716"/>
      <c r="F180" s="716"/>
      <c r="G180" s="716"/>
      <c r="H180" s="716"/>
      <c r="I180" s="716"/>
      <c r="J180" s="716"/>
      <c r="K180" s="716"/>
      <c r="L180" s="716"/>
      <c r="M180" s="716"/>
      <c r="N180" s="716"/>
      <c r="O180" s="716"/>
      <c r="P180" s="716"/>
      <c r="Q180" s="716"/>
      <c r="R180" s="716"/>
      <c r="S180" s="716"/>
      <c r="T180" s="716"/>
      <c r="U180" s="716"/>
      <c r="V180" s="716"/>
      <c r="W180" s="716"/>
      <c r="X180" s="716"/>
      <c r="Y180" s="716"/>
      <c r="Z180" s="716"/>
    </row>
    <row r="181">
      <c r="A181" s="716"/>
      <c r="B181" s="717"/>
      <c r="C181" s="716"/>
      <c r="D181" s="716"/>
      <c r="E181" s="716"/>
      <c r="F181" s="716"/>
      <c r="G181" s="716"/>
      <c r="H181" s="716"/>
      <c r="I181" s="716"/>
      <c r="J181" s="716"/>
      <c r="K181" s="716"/>
      <c r="L181" s="716"/>
      <c r="M181" s="716"/>
      <c r="N181" s="716"/>
      <c r="O181" s="716"/>
      <c r="P181" s="716"/>
      <c r="Q181" s="716"/>
      <c r="R181" s="716"/>
      <c r="S181" s="716"/>
      <c r="T181" s="716"/>
      <c r="U181" s="716"/>
      <c r="V181" s="716"/>
      <c r="W181" s="716"/>
      <c r="X181" s="716"/>
      <c r="Y181" s="716"/>
      <c r="Z181" s="716"/>
    </row>
    <row r="182">
      <c r="A182" s="716"/>
      <c r="B182" s="717"/>
      <c r="C182" s="716"/>
      <c r="D182" s="716"/>
      <c r="E182" s="716"/>
      <c r="F182" s="716"/>
      <c r="G182" s="716"/>
      <c r="H182" s="716"/>
      <c r="I182" s="716"/>
      <c r="J182" s="716"/>
      <c r="K182" s="716"/>
      <c r="L182" s="716"/>
      <c r="M182" s="716"/>
      <c r="N182" s="716"/>
      <c r="O182" s="716"/>
      <c r="P182" s="716"/>
      <c r="Q182" s="716"/>
      <c r="R182" s="716"/>
      <c r="S182" s="716"/>
      <c r="T182" s="716"/>
      <c r="U182" s="716"/>
      <c r="V182" s="716"/>
      <c r="W182" s="716"/>
      <c r="X182" s="716"/>
      <c r="Y182" s="716"/>
      <c r="Z182" s="716"/>
    </row>
    <row r="183">
      <c r="A183" s="716"/>
      <c r="B183" s="717"/>
      <c r="C183" s="716"/>
      <c r="D183" s="716"/>
      <c r="E183" s="716"/>
      <c r="F183" s="716"/>
      <c r="G183" s="716"/>
      <c r="H183" s="716"/>
      <c r="I183" s="716"/>
      <c r="J183" s="716"/>
      <c r="K183" s="716"/>
      <c r="L183" s="716"/>
      <c r="M183" s="716"/>
      <c r="N183" s="716"/>
      <c r="O183" s="716"/>
      <c r="P183" s="716"/>
      <c r="Q183" s="716"/>
      <c r="R183" s="716"/>
      <c r="S183" s="716"/>
      <c r="T183" s="716"/>
      <c r="U183" s="716"/>
      <c r="V183" s="716"/>
      <c r="W183" s="716"/>
      <c r="X183" s="716"/>
      <c r="Y183" s="716"/>
      <c r="Z183" s="716"/>
    </row>
    <row r="184">
      <c r="A184" s="716"/>
      <c r="B184" s="717"/>
      <c r="C184" s="716"/>
      <c r="D184" s="716"/>
      <c r="E184" s="716"/>
      <c r="F184" s="716"/>
      <c r="G184" s="716"/>
      <c r="H184" s="716"/>
      <c r="I184" s="716"/>
      <c r="J184" s="716"/>
      <c r="K184" s="716"/>
      <c r="L184" s="716"/>
      <c r="M184" s="716"/>
      <c r="N184" s="716"/>
      <c r="O184" s="716"/>
      <c r="P184" s="716"/>
      <c r="Q184" s="716"/>
      <c r="R184" s="716"/>
      <c r="S184" s="716"/>
      <c r="T184" s="716"/>
      <c r="U184" s="716"/>
      <c r="V184" s="716"/>
      <c r="W184" s="716"/>
      <c r="X184" s="716"/>
      <c r="Y184" s="716"/>
      <c r="Z184" s="716"/>
    </row>
    <row r="185">
      <c r="A185" s="716"/>
      <c r="B185" s="717"/>
      <c r="C185" s="716"/>
      <c r="D185" s="716"/>
      <c r="E185" s="716"/>
      <c r="F185" s="716"/>
      <c r="G185" s="716"/>
      <c r="H185" s="716"/>
      <c r="I185" s="716"/>
      <c r="J185" s="716"/>
      <c r="K185" s="716"/>
      <c r="L185" s="716"/>
      <c r="M185" s="716"/>
      <c r="N185" s="716"/>
      <c r="O185" s="716"/>
      <c r="P185" s="716"/>
      <c r="Q185" s="716"/>
      <c r="R185" s="716"/>
      <c r="S185" s="716"/>
      <c r="T185" s="716"/>
      <c r="U185" s="716"/>
      <c r="V185" s="716"/>
      <c r="W185" s="716"/>
      <c r="X185" s="716"/>
      <c r="Y185" s="716"/>
      <c r="Z185" s="716"/>
    </row>
    <row r="186">
      <c r="A186" s="716"/>
      <c r="B186" s="717"/>
      <c r="C186" s="716"/>
      <c r="D186" s="716"/>
      <c r="E186" s="716"/>
      <c r="F186" s="716"/>
      <c r="G186" s="716"/>
      <c r="H186" s="716"/>
      <c r="I186" s="716"/>
      <c r="J186" s="716"/>
      <c r="K186" s="716"/>
      <c r="L186" s="716"/>
      <c r="M186" s="716"/>
      <c r="N186" s="716"/>
      <c r="O186" s="716"/>
      <c r="P186" s="716"/>
      <c r="Q186" s="716"/>
      <c r="R186" s="716"/>
      <c r="S186" s="716"/>
      <c r="T186" s="716"/>
      <c r="U186" s="716"/>
      <c r="V186" s="716"/>
      <c r="W186" s="716"/>
      <c r="X186" s="716"/>
      <c r="Y186" s="716"/>
      <c r="Z186" s="716"/>
    </row>
    <row r="187">
      <c r="A187" s="716"/>
      <c r="B187" s="717"/>
      <c r="C187" s="716"/>
      <c r="D187" s="716"/>
      <c r="E187" s="716"/>
      <c r="F187" s="716"/>
      <c r="G187" s="716"/>
      <c r="H187" s="716"/>
      <c r="I187" s="716"/>
      <c r="J187" s="716"/>
      <c r="K187" s="716"/>
      <c r="L187" s="716"/>
      <c r="M187" s="716"/>
      <c r="N187" s="716"/>
      <c r="O187" s="716"/>
      <c r="P187" s="716"/>
      <c r="Q187" s="716"/>
      <c r="R187" s="716"/>
      <c r="S187" s="716"/>
      <c r="T187" s="716"/>
      <c r="U187" s="716"/>
      <c r="V187" s="716"/>
      <c r="W187" s="716"/>
      <c r="X187" s="716"/>
      <c r="Y187" s="716"/>
      <c r="Z187" s="716"/>
    </row>
    <row r="188">
      <c r="A188" s="716"/>
      <c r="B188" s="717"/>
      <c r="C188" s="716"/>
      <c r="D188" s="716"/>
      <c r="E188" s="716"/>
      <c r="F188" s="716"/>
      <c r="G188" s="716"/>
      <c r="H188" s="716"/>
      <c r="I188" s="716"/>
      <c r="J188" s="716"/>
      <c r="K188" s="716"/>
      <c r="L188" s="716"/>
      <c r="M188" s="716"/>
      <c r="N188" s="716"/>
      <c r="O188" s="716"/>
      <c r="P188" s="716"/>
      <c r="Q188" s="716"/>
      <c r="R188" s="716"/>
      <c r="S188" s="716"/>
      <c r="T188" s="716"/>
      <c r="U188" s="716"/>
      <c r="V188" s="716"/>
      <c r="W188" s="716"/>
      <c r="X188" s="716"/>
      <c r="Y188" s="716"/>
      <c r="Z188" s="716"/>
    </row>
    <row r="189">
      <c r="A189" s="716"/>
      <c r="B189" s="717"/>
      <c r="C189" s="716"/>
      <c r="D189" s="716"/>
      <c r="E189" s="716"/>
      <c r="F189" s="716"/>
      <c r="G189" s="716"/>
      <c r="H189" s="716"/>
      <c r="I189" s="716"/>
      <c r="J189" s="716"/>
      <c r="K189" s="716"/>
      <c r="L189" s="716"/>
      <c r="M189" s="716"/>
      <c r="N189" s="716"/>
      <c r="O189" s="716"/>
      <c r="P189" s="716"/>
      <c r="Q189" s="716"/>
      <c r="R189" s="716"/>
      <c r="S189" s="716"/>
      <c r="T189" s="716"/>
      <c r="U189" s="716"/>
      <c r="V189" s="716"/>
      <c r="W189" s="716"/>
      <c r="X189" s="716"/>
      <c r="Y189" s="716"/>
      <c r="Z189" s="716"/>
    </row>
    <row r="190">
      <c r="A190" s="716"/>
      <c r="B190" s="717"/>
      <c r="C190" s="716"/>
      <c r="D190" s="716"/>
      <c r="E190" s="716"/>
      <c r="F190" s="716"/>
      <c r="G190" s="716"/>
      <c r="H190" s="716"/>
      <c r="I190" s="716"/>
      <c r="J190" s="716"/>
      <c r="K190" s="716"/>
      <c r="L190" s="716"/>
      <c r="M190" s="716"/>
      <c r="N190" s="716"/>
      <c r="O190" s="716"/>
      <c r="P190" s="716"/>
      <c r="Q190" s="716"/>
      <c r="R190" s="716"/>
      <c r="S190" s="716"/>
      <c r="T190" s="716"/>
      <c r="U190" s="716"/>
      <c r="V190" s="716"/>
      <c r="W190" s="716"/>
      <c r="X190" s="716"/>
      <c r="Y190" s="716"/>
      <c r="Z190" s="716"/>
    </row>
    <row r="191">
      <c r="A191" s="716"/>
      <c r="B191" s="717"/>
      <c r="C191" s="716"/>
      <c r="D191" s="716"/>
      <c r="E191" s="716"/>
      <c r="F191" s="716"/>
      <c r="G191" s="716"/>
      <c r="H191" s="716"/>
      <c r="I191" s="716"/>
      <c r="J191" s="716"/>
      <c r="K191" s="716"/>
      <c r="L191" s="716"/>
      <c r="M191" s="716"/>
      <c r="N191" s="716"/>
      <c r="O191" s="716"/>
      <c r="P191" s="716"/>
      <c r="Q191" s="716"/>
      <c r="R191" s="716"/>
      <c r="S191" s="716"/>
      <c r="T191" s="716"/>
      <c r="U191" s="716"/>
      <c r="V191" s="716"/>
      <c r="W191" s="716"/>
      <c r="X191" s="716"/>
      <c r="Y191" s="716"/>
      <c r="Z191" s="716"/>
    </row>
    <row r="192">
      <c r="A192" s="716"/>
      <c r="B192" s="717"/>
      <c r="C192" s="716"/>
      <c r="D192" s="716"/>
      <c r="E192" s="716"/>
      <c r="F192" s="716"/>
      <c r="G192" s="716"/>
      <c r="H192" s="716"/>
      <c r="I192" s="716"/>
      <c r="J192" s="716"/>
      <c r="K192" s="716"/>
      <c r="L192" s="716"/>
      <c r="M192" s="716"/>
      <c r="N192" s="716"/>
      <c r="O192" s="716"/>
      <c r="P192" s="716"/>
      <c r="Q192" s="716"/>
      <c r="R192" s="716"/>
      <c r="S192" s="716"/>
      <c r="T192" s="716"/>
      <c r="U192" s="716"/>
      <c r="V192" s="716"/>
      <c r="W192" s="716"/>
      <c r="X192" s="716"/>
      <c r="Y192" s="716"/>
      <c r="Z192" s="716"/>
    </row>
    <row r="193">
      <c r="A193" s="716"/>
      <c r="B193" s="717"/>
      <c r="C193" s="716"/>
      <c r="D193" s="716"/>
      <c r="E193" s="716"/>
      <c r="F193" s="716"/>
      <c r="G193" s="716"/>
      <c r="H193" s="716"/>
      <c r="I193" s="716"/>
      <c r="J193" s="716"/>
      <c r="K193" s="716"/>
      <c r="L193" s="716"/>
      <c r="M193" s="716"/>
      <c r="N193" s="716"/>
      <c r="O193" s="716"/>
      <c r="P193" s="716"/>
      <c r="Q193" s="716"/>
      <c r="R193" s="716"/>
      <c r="S193" s="716"/>
      <c r="T193" s="716"/>
      <c r="U193" s="716"/>
      <c r="V193" s="716"/>
      <c r="W193" s="716"/>
      <c r="X193" s="716"/>
      <c r="Y193" s="716"/>
      <c r="Z193" s="716"/>
    </row>
    <row r="194">
      <c r="A194" s="716"/>
      <c r="B194" s="717"/>
      <c r="C194" s="716"/>
      <c r="D194" s="716"/>
      <c r="E194" s="716"/>
      <c r="F194" s="716"/>
      <c r="G194" s="716"/>
      <c r="H194" s="716"/>
      <c r="I194" s="716"/>
      <c r="J194" s="716"/>
      <c r="K194" s="716"/>
      <c r="L194" s="716"/>
      <c r="M194" s="716"/>
      <c r="N194" s="716"/>
      <c r="O194" s="716"/>
      <c r="P194" s="716"/>
      <c r="Q194" s="716"/>
      <c r="R194" s="716"/>
      <c r="S194" s="716"/>
      <c r="T194" s="716"/>
      <c r="U194" s="716"/>
      <c r="V194" s="716"/>
      <c r="W194" s="716"/>
      <c r="X194" s="716"/>
      <c r="Y194" s="716"/>
      <c r="Z194" s="716"/>
    </row>
    <row r="195">
      <c r="A195" s="716"/>
      <c r="B195" s="717"/>
      <c r="C195" s="716"/>
      <c r="D195" s="716"/>
      <c r="E195" s="716"/>
      <c r="F195" s="716"/>
      <c r="G195" s="716"/>
      <c r="H195" s="716"/>
      <c r="I195" s="716"/>
      <c r="J195" s="716"/>
      <c r="K195" s="716"/>
      <c r="L195" s="716"/>
      <c r="M195" s="716"/>
      <c r="N195" s="716"/>
      <c r="O195" s="716"/>
      <c r="P195" s="716"/>
      <c r="Q195" s="716"/>
      <c r="R195" s="716"/>
      <c r="S195" s="716"/>
      <c r="T195" s="716"/>
      <c r="U195" s="716"/>
      <c r="V195" s="716"/>
      <c r="W195" s="716"/>
      <c r="X195" s="716"/>
      <c r="Y195" s="716"/>
      <c r="Z195" s="716"/>
    </row>
    <row r="196">
      <c r="A196" s="716"/>
      <c r="B196" s="717"/>
      <c r="C196" s="716"/>
      <c r="D196" s="716"/>
      <c r="E196" s="716"/>
      <c r="F196" s="716"/>
      <c r="G196" s="716"/>
      <c r="H196" s="716"/>
      <c r="I196" s="716"/>
      <c r="J196" s="716"/>
      <c r="K196" s="716"/>
      <c r="L196" s="716"/>
      <c r="M196" s="716"/>
      <c r="N196" s="716"/>
      <c r="O196" s="716"/>
      <c r="P196" s="716"/>
      <c r="Q196" s="716"/>
      <c r="R196" s="716"/>
      <c r="S196" s="716"/>
      <c r="T196" s="716"/>
      <c r="U196" s="716"/>
      <c r="V196" s="716"/>
      <c r="W196" s="716"/>
      <c r="X196" s="716"/>
      <c r="Y196" s="716"/>
      <c r="Z196" s="716"/>
    </row>
    <row r="197">
      <c r="A197" s="716"/>
      <c r="B197" s="717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</row>
    <row r="198">
      <c r="A198" s="716"/>
      <c r="B198" s="717"/>
      <c r="C198" s="716"/>
      <c r="D198" s="716"/>
      <c r="E198" s="716"/>
      <c r="F198" s="716"/>
      <c r="G198" s="716"/>
      <c r="H198" s="716"/>
      <c r="I198" s="716"/>
      <c r="J198" s="716"/>
      <c r="K198" s="716"/>
      <c r="L198" s="716"/>
      <c r="M198" s="716"/>
      <c r="N198" s="716"/>
      <c r="O198" s="716"/>
      <c r="P198" s="716"/>
      <c r="Q198" s="716"/>
      <c r="R198" s="716"/>
      <c r="S198" s="716"/>
      <c r="T198" s="716"/>
      <c r="U198" s="716"/>
      <c r="V198" s="716"/>
      <c r="W198" s="716"/>
      <c r="X198" s="716"/>
      <c r="Y198" s="716"/>
      <c r="Z198" s="716"/>
    </row>
    <row r="199">
      <c r="A199" s="716"/>
      <c r="B199" s="717"/>
      <c r="C199" s="716"/>
      <c r="D199" s="716"/>
      <c r="E199" s="716"/>
      <c r="F199" s="716"/>
      <c r="G199" s="716"/>
      <c r="H199" s="716"/>
      <c r="I199" s="716"/>
      <c r="J199" s="716"/>
      <c r="K199" s="716"/>
      <c r="L199" s="716"/>
      <c r="M199" s="716"/>
      <c r="N199" s="716"/>
      <c r="O199" s="716"/>
      <c r="P199" s="716"/>
      <c r="Q199" s="716"/>
      <c r="R199" s="716"/>
      <c r="S199" s="716"/>
      <c r="T199" s="716"/>
      <c r="U199" s="716"/>
      <c r="V199" s="716"/>
      <c r="W199" s="716"/>
      <c r="X199" s="716"/>
      <c r="Y199" s="716"/>
      <c r="Z199" s="716"/>
    </row>
    <row r="200">
      <c r="A200" s="716"/>
      <c r="B200" s="717"/>
      <c r="C200" s="716"/>
      <c r="D200" s="716"/>
      <c r="E200" s="716"/>
      <c r="F200" s="716"/>
      <c r="G200" s="716"/>
      <c r="H200" s="716"/>
      <c r="I200" s="716"/>
      <c r="J200" s="716"/>
      <c r="K200" s="716"/>
      <c r="L200" s="716"/>
      <c r="M200" s="716"/>
      <c r="N200" s="716"/>
      <c r="O200" s="716"/>
      <c r="P200" s="716"/>
      <c r="Q200" s="716"/>
      <c r="R200" s="716"/>
      <c r="S200" s="716"/>
      <c r="T200" s="716"/>
      <c r="U200" s="716"/>
      <c r="V200" s="716"/>
      <c r="W200" s="716"/>
      <c r="X200" s="716"/>
      <c r="Y200" s="716"/>
      <c r="Z200" s="716"/>
    </row>
    <row r="201">
      <c r="A201" s="716"/>
      <c r="B201" s="717"/>
      <c r="C201" s="716"/>
      <c r="D201" s="716"/>
      <c r="E201" s="716"/>
      <c r="F201" s="716"/>
      <c r="G201" s="716"/>
      <c r="H201" s="716"/>
      <c r="I201" s="716"/>
      <c r="J201" s="716"/>
      <c r="K201" s="716"/>
      <c r="L201" s="716"/>
      <c r="M201" s="716"/>
      <c r="N201" s="716"/>
      <c r="O201" s="716"/>
      <c r="P201" s="716"/>
      <c r="Q201" s="716"/>
      <c r="R201" s="716"/>
      <c r="S201" s="716"/>
      <c r="T201" s="716"/>
      <c r="U201" s="716"/>
      <c r="V201" s="716"/>
      <c r="W201" s="716"/>
      <c r="X201" s="716"/>
      <c r="Y201" s="716"/>
      <c r="Z201" s="716"/>
    </row>
    <row r="202">
      <c r="A202" s="716"/>
      <c r="B202" s="717"/>
      <c r="C202" s="716"/>
      <c r="D202" s="716"/>
      <c r="E202" s="716"/>
      <c r="F202" s="716"/>
      <c r="G202" s="716"/>
      <c r="H202" s="716"/>
      <c r="I202" s="716"/>
      <c r="J202" s="716"/>
      <c r="K202" s="716"/>
      <c r="L202" s="716"/>
      <c r="M202" s="716"/>
      <c r="N202" s="716"/>
      <c r="O202" s="716"/>
      <c r="P202" s="716"/>
      <c r="Q202" s="716"/>
      <c r="R202" s="716"/>
      <c r="S202" s="716"/>
      <c r="T202" s="716"/>
      <c r="U202" s="716"/>
      <c r="V202" s="716"/>
      <c r="W202" s="716"/>
      <c r="X202" s="716"/>
      <c r="Y202" s="716"/>
      <c r="Z202" s="716"/>
    </row>
    <row r="203">
      <c r="A203" s="716"/>
      <c r="B203" s="717"/>
      <c r="C203" s="716"/>
      <c r="D203" s="716"/>
      <c r="E203" s="716"/>
      <c r="F203" s="716"/>
      <c r="G203" s="716"/>
      <c r="H203" s="716"/>
      <c r="I203" s="716"/>
      <c r="J203" s="716"/>
      <c r="K203" s="716"/>
      <c r="L203" s="716"/>
      <c r="M203" s="716"/>
      <c r="N203" s="716"/>
      <c r="O203" s="716"/>
      <c r="P203" s="716"/>
      <c r="Q203" s="716"/>
      <c r="R203" s="716"/>
      <c r="S203" s="716"/>
      <c r="T203" s="716"/>
      <c r="U203" s="716"/>
      <c r="V203" s="716"/>
      <c r="W203" s="716"/>
      <c r="X203" s="716"/>
      <c r="Y203" s="716"/>
      <c r="Z203" s="716"/>
    </row>
    <row r="204">
      <c r="A204" s="716"/>
      <c r="B204" s="717"/>
      <c r="C204" s="716"/>
      <c r="D204" s="716"/>
      <c r="E204" s="716"/>
      <c r="F204" s="716"/>
      <c r="G204" s="716"/>
      <c r="H204" s="716"/>
      <c r="I204" s="716"/>
      <c r="J204" s="716"/>
      <c r="K204" s="716"/>
      <c r="L204" s="716"/>
      <c r="M204" s="716"/>
      <c r="N204" s="716"/>
      <c r="O204" s="716"/>
      <c r="P204" s="716"/>
      <c r="Q204" s="716"/>
      <c r="R204" s="716"/>
      <c r="S204" s="716"/>
      <c r="T204" s="716"/>
      <c r="U204" s="716"/>
      <c r="V204" s="716"/>
      <c r="W204" s="716"/>
      <c r="X204" s="716"/>
      <c r="Y204" s="716"/>
      <c r="Z204" s="716"/>
    </row>
    <row r="205">
      <c r="A205" s="716"/>
      <c r="B205" s="717"/>
      <c r="C205" s="716"/>
      <c r="D205" s="716"/>
      <c r="E205" s="716"/>
      <c r="F205" s="716"/>
      <c r="G205" s="716"/>
      <c r="H205" s="716"/>
      <c r="I205" s="716"/>
      <c r="J205" s="716"/>
      <c r="K205" s="716"/>
      <c r="L205" s="716"/>
      <c r="M205" s="716"/>
      <c r="N205" s="716"/>
      <c r="O205" s="716"/>
      <c r="P205" s="716"/>
      <c r="Q205" s="716"/>
      <c r="R205" s="716"/>
      <c r="S205" s="716"/>
      <c r="T205" s="716"/>
      <c r="U205" s="716"/>
      <c r="V205" s="716"/>
      <c r="W205" s="716"/>
      <c r="X205" s="716"/>
      <c r="Y205" s="716"/>
      <c r="Z205" s="716"/>
    </row>
    <row r="206">
      <c r="A206" s="716"/>
      <c r="B206" s="717"/>
      <c r="C206" s="716"/>
      <c r="D206" s="716"/>
      <c r="E206" s="716"/>
      <c r="F206" s="716"/>
      <c r="G206" s="716"/>
      <c r="H206" s="716"/>
      <c r="I206" s="716"/>
      <c r="J206" s="716"/>
      <c r="K206" s="716"/>
      <c r="L206" s="716"/>
      <c r="M206" s="716"/>
      <c r="N206" s="716"/>
      <c r="O206" s="716"/>
      <c r="P206" s="716"/>
      <c r="Q206" s="716"/>
      <c r="R206" s="716"/>
      <c r="S206" s="716"/>
      <c r="T206" s="716"/>
      <c r="U206" s="716"/>
      <c r="V206" s="716"/>
      <c r="W206" s="716"/>
      <c r="X206" s="716"/>
      <c r="Y206" s="716"/>
      <c r="Z206" s="716"/>
    </row>
    <row r="207">
      <c r="A207" s="716"/>
      <c r="B207" s="717"/>
      <c r="C207" s="716"/>
      <c r="D207" s="716"/>
      <c r="E207" s="716"/>
      <c r="F207" s="716"/>
      <c r="G207" s="716"/>
      <c r="H207" s="716"/>
      <c r="I207" s="716"/>
      <c r="J207" s="716"/>
      <c r="K207" s="716"/>
      <c r="L207" s="716"/>
      <c r="M207" s="716"/>
      <c r="N207" s="716"/>
      <c r="O207" s="716"/>
      <c r="P207" s="716"/>
      <c r="Q207" s="716"/>
      <c r="R207" s="716"/>
      <c r="S207" s="716"/>
      <c r="T207" s="716"/>
      <c r="U207" s="716"/>
      <c r="V207" s="716"/>
      <c r="W207" s="716"/>
      <c r="X207" s="716"/>
      <c r="Y207" s="716"/>
      <c r="Z207" s="716"/>
    </row>
    <row r="208">
      <c r="A208" s="716"/>
      <c r="B208" s="717"/>
      <c r="C208" s="716"/>
      <c r="D208" s="716"/>
      <c r="E208" s="716"/>
      <c r="F208" s="716"/>
      <c r="G208" s="716"/>
      <c r="H208" s="716"/>
      <c r="I208" s="716"/>
      <c r="J208" s="716"/>
      <c r="K208" s="716"/>
      <c r="L208" s="716"/>
      <c r="M208" s="716"/>
      <c r="N208" s="716"/>
      <c r="O208" s="716"/>
      <c r="P208" s="716"/>
      <c r="Q208" s="716"/>
      <c r="R208" s="716"/>
      <c r="S208" s="716"/>
      <c r="T208" s="716"/>
      <c r="U208" s="716"/>
      <c r="V208" s="716"/>
      <c r="W208" s="716"/>
      <c r="X208" s="716"/>
      <c r="Y208" s="716"/>
      <c r="Z208" s="716"/>
    </row>
    <row r="209">
      <c r="A209" s="716"/>
      <c r="B209" s="717"/>
      <c r="C209" s="716"/>
      <c r="D209" s="716"/>
      <c r="E209" s="716"/>
      <c r="F209" s="716"/>
      <c r="G209" s="716"/>
      <c r="H209" s="716"/>
      <c r="I209" s="716"/>
      <c r="J209" s="716"/>
      <c r="K209" s="716"/>
      <c r="L209" s="716"/>
      <c r="M209" s="716"/>
      <c r="N209" s="716"/>
      <c r="O209" s="716"/>
      <c r="P209" s="716"/>
      <c r="Q209" s="716"/>
      <c r="R209" s="716"/>
      <c r="S209" s="716"/>
      <c r="T209" s="716"/>
      <c r="U209" s="716"/>
      <c r="V209" s="716"/>
      <c r="W209" s="716"/>
      <c r="X209" s="716"/>
      <c r="Y209" s="716"/>
      <c r="Z209" s="716"/>
    </row>
    <row r="210">
      <c r="A210" s="716"/>
      <c r="B210" s="717"/>
      <c r="C210" s="716"/>
      <c r="D210" s="716"/>
      <c r="E210" s="716"/>
      <c r="F210" s="716"/>
      <c r="G210" s="716"/>
      <c r="H210" s="716"/>
      <c r="I210" s="716"/>
      <c r="J210" s="716"/>
      <c r="K210" s="716"/>
      <c r="L210" s="716"/>
      <c r="M210" s="716"/>
      <c r="N210" s="716"/>
      <c r="O210" s="716"/>
      <c r="P210" s="716"/>
      <c r="Q210" s="716"/>
      <c r="R210" s="716"/>
      <c r="S210" s="716"/>
      <c r="T210" s="716"/>
      <c r="U210" s="716"/>
      <c r="V210" s="716"/>
      <c r="W210" s="716"/>
      <c r="X210" s="716"/>
      <c r="Y210" s="716"/>
      <c r="Z210" s="716"/>
    </row>
    <row r="211">
      <c r="A211" s="716"/>
      <c r="B211" s="717"/>
      <c r="C211" s="716"/>
      <c r="D211" s="716"/>
      <c r="E211" s="716"/>
      <c r="F211" s="716"/>
      <c r="G211" s="716"/>
      <c r="H211" s="716"/>
      <c r="I211" s="716"/>
      <c r="J211" s="716"/>
      <c r="K211" s="716"/>
      <c r="L211" s="716"/>
      <c r="M211" s="716"/>
      <c r="N211" s="716"/>
      <c r="O211" s="716"/>
      <c r="P211" s="716"/>
      <c r="Q211" s="716"/>
      <c r="R211" s="716"/>
      <c r="S211" s="716"/>
      <c r="T211" s="716"/>
      <c r="U211" s="716"/>
      <c r="V211" s="716"/>
      <c r="W211" s="716"/>
      <c r="X211" s="716"/>
      <c r="Y211" s="716"/>
      <c r="Z211" s="716"/>
    </row>
    <row r="212">
      <c r="A212" s="716"/>
      <c r="B212" s="717"/>
      <c r="C212" s="716"/>
      <c r="D212" s="716"/>
      <c r="E212" s="716"/>
      <c r="F212" s="716"/>
      <c r="G212" s="716"/>
      <c r="H212" s="716"/>
      <c r="I212" s="716"/>
      <c r="J212" s="716"/>
      <c r="K212" s="716"/>
      <c r="L212" s="716"/>
      <c r="M212" s="716"/>
      <c r="N212" s="716"/>
      <c r="O212" s="716"/>
      <c r="P212" s="716"/>
      <c r="Q212" s="716"/>
      <c r="R212" s="716"/>
      <c r="S212" s="716"/>
      <c r="T212" s="716"/>
      <c r="U212" s="716"/>
      <c r="V212" s="716"/>
      <c r="W212" s="716"/>
      <c r="X212" s="716"/>
      <c r="Y212" s="716"/>
      <c r="Z212" s="716"/>
    </row>
    <row r="213">
      <c r="A213" s="716"/>
      <c r="B213" s="717"/>
      <c r="C213" s="716"/>
      <c r="D213" s="716"/>
      <c r="E213" s="716"/>
      <c r="F213" s="716"/>
      <c r="G213" s="716"/>
      <c r="H213" s="716"/>
      <c r="I213" s="716"/>
      <c r="J213" s="716"/>
      <c r="K213" s="716"/>
      <c r="L213" s="716"/>
      <c r="M213" s="716"/>
      <c r="N213" s="716"/>
      <c r="O213" s="716"/>
      <c r="P213" s="716"/>
      <c r="Q213" s="716"/>
      <c r="R213" s="716"/>
      <c r="S213" s="716"/>
      <c r="T213" s="716"/>
      <c r="U213" s="716"/>
      <c r="V213" s="716"/>
      <c r="W213" s="716"/>
      <c r="X213" s="716"/>
      <c r="Y213" s="716"/>
      <c r="Z213" s="716"/>
    </row>
    <row r="214">
      <c r="A214" s="716"/>
      <c r="B214" s="717"/>
      <c r="C214" s="716"/>
      <c r="D214" s="716"/>
      <c r="E214" s="716"/>
      <c r="F214" s="716"/>
      <c r="G214" s="716"/>
      <c r="H214" s="716"/>
      <c r="I214" s="716"/>
      <c r="J214" s="716"/>
      <c r="K214" s="716"/>
      <c r="L214" s="716"/>
      <c r="M214" s="716"/>
      <c r="N214" s="716"/>
      <c r="O214" s="716"/>
      <c r="P214" s="716"/>
      <c r="Q214" s="716"/>
      <c r="R214" s="716"/>
      <c r="S214" s="716"/>
      <c r="T214" s="716"/>
      <c r="U214" s="716"/>
      <c r="V214" s="716"/>
      <c r="W214" s="716"/>
      <c r="X214" s="716"/>
      <c r="Y214" s="716"/>
      <c r="Z214" s="716"/>
    </row>
    <row r="215">
      <c r="A215" s="716"/>
      <c r="B215" s="717"/>
      <c r="C215" s="716"/>
      <c r="D215" s="716"/>
      <c r="E215" s="716"/>
      <c r="F215" s="716"/>
      <c r="G215" s="716"/>
      <c r="H215" s="716"/>
      <c r="I215" s="716"/>
      <c r="J215" s="716"/>
      <c r="K215" s="716"/>
      <c r="L215" s="716"/>
      <c r="M215" s="716"/>
      <c r="N215" s="716"/>
      <c r="O215" s="716"/>
      <c r="P215" s="716"/>
      <c r="Q215" s="716"/>
      <c r="R215" s="716"/>
      <c r="S215" s="716"/>
      <c r="T215" s="716"/>
      <c r="U215" s="716"/>
      <c r="V215" s="716"/>
      <c r="W215" s="716"/>
      <c r="X215" s="716"/>
      <c r="Y215" s="716"/>
      <c r="Z215" s="716"/>
    </row>
    <row r="216">
      <c r="A216" s="716"/>
      <c r="B216" s="717"/>
      <c r="C216" s="716"/>
      <c r="D216" s="716"/>
      <c r="E216" s="716"/>
      <c r="F216" s="716"/>
      <c r="G216" s="716"/>
      <c r="H216" s="716"/>
      <c r="I216" s="716"/>
      <c r="J216" s="716"/>
      <c r="K216" s="716"/>
      <c r="L216" s="716"/>
      <c r="M216" s="716"/>
      <c r="N216" s="716"/>
      <c r="O216" s="716"/>
      <c r="P216" s="716"/>
      <c r="Q216" s="716"/>
      <c r="R216" s="716"/>
      <c r="S216" s="716"/>
      <c r="T216" s="716"/>
      <c r="U216" s="716"/>
      <c r="V216" s="716"/>
      <c r="W216" s="716"/>
      <c r="X216" s="716"/>
      <c r="Y216" s="716"/>
      <c r="Z216" s="716"/>
    </row>
    <row r="217">
      <c r="A217" s="716"/>
      <c r="B217" s="717"/>
      <c r="C217" s="716"/>
      <c r="D217" s="716"/>
      <c r="E217" s="716"/>
      <c r="F217" s="716"/>
      <c r="G217" s="716"/>
      <c r="H217" s="716"/>
      <c r="I217" s="716"/>
      <c r="J217" s="716"/>
      <c r="K217" s="716"/>
      <c r="L217" s="716"/>
      <c r="M217" s="716"/>
      <c r="N217" s="716"/>
      <c r="O217" s="716"/>
      <c r="P217" s="716"/>
      <c r="Q217" s="716"/>
      <c r="R217" s="716"/>
      <c r="S217" s="716"/>
      <c r="T217" s="716"/>
      <c r="U217" s="716"/>
      <c r="V217" s="716"/>
      <c r="W217" s="716"/>
      <c r="X217" s="716"/>
      <c r="Y217" s="716"/>
      <c r="Z217" s="716"/>
    </row>
    <row r="218">
      <c r="A218" s="716"/>
      <c r="B218" s="717"/>
      <c r="C218" s="716"/>
      <c r="D218" s="716"/>
      <c r="E218" s="716"/>
      <c r="F218" s="716"/>
      <c r="G218" s="716"/>
      <c r="H218" s="716"/>
      <c r="I218" s="716"/>
      <c r="J218" s="716"/>
      <c r="K218" s="716"/>
      <c r="L218" s="716"/>
      <c r="M218" s="716"/>
      <c r="N218" s="716"/>
      <c r="O218" s="716"/>
      <c r="P218" s="716"/>
      <c r="Q218" s="716"/>
      <c r="R218" s="716"/>
      <c r="S218" s="716"/>
      <c r="T218" s="716"/>
      <c r="U218" s="716"/>
      <c r="V218" s="716"/>
      <c r="W218" s="716"/>
      <c r="X218" s="716"/>
      <c r="Y218" s="716"/>
      <c r="Z218" s="716"/>
    </row>
    <row r="219">
      <c r="A219" s="716"/>
      <c r="B219" s="717"/>
      <c r="C219" s="716"/>
      <c r="D219" s="716"/>
      <c r="E219" s="716"/>
      <c r="F219" s="716"/>
      <c r="G219" s="716"/>
      <c r="H219" s="716"/>
      <c r="I219" s="716"/>
      <c r="J219" s="716"/>
      <c r="K219" s="716"/>
      <c r="L219" s="716"/>
      <c r="M219" s="716"/>
      <c r="N219" s="716"/>
      <c r="O219" s="716"/>
      <c r="P219" s="716"/>
      <c r="Q219" s="716"/>
      <c r="R219" s="716"/>
      <c r="S219" s="716"/>
      <c r="T219" s="716"/>
      <c r="U219" s="716"/>
      <c r="V219" s="716"/>
      <c r="W219" s="716"/>
      <c r="X219" s="716"/>
      <c r="Y219" s="716"/>
      <c r="Z219" s="716"/>
    </row>
    <row r="220">
      <c r="A220" s="716"/>
      <c r="B220" s="717"/>
      <c r="C220" s="716"/>
      <c r="D220" s="716"/>
      <c r="E220" s="716"/>
      <c r="F220" s="716"/>
      <c r="G220" s="716"/>
      <c r="H220" s="716"/>
      <c r="I220" s="716"/>
      <c r="J220" s="716"/>
      <c r="K220" s="716"/>
      <c r="L220" s="716"/>
      <c r="M220" s="716"/>
      <c r="N220" s="716"/>
      <c r="O220" s="716"/>
      <c r="P220" s="716"/>
      <c r="Q220" s="716"/>
      <c r="R220" s="716"/>
      <c r="S220" s="716"/>
      <c r="T220" s="716"/>
      <c r="U220" s="716"/>
      <c r="V220" s="716"/>
      <c r="W220" s="716"/>
      <c r="X220" s="716"/>
      <c r="Y220" s="716"/>
      <c r="Z220" s="716"/>
    </row>
    <row r="221">
      <c r="A221" s="716"/>
      <c r="B221" s="717"/>
      <c r="C221" s="716"/>
      <c r="D221" s="716"/>
      <c r="E221" s="716"/>
      <c r="F221" s="716"/>
      <c r="G221" s="716"/>
      <c r="H221" s="716"/>
      <c r="I221" s="716"/>
      <c r="J221" s="716"/>
      <c r="K221" s="716"/>
      <c r="L221" s="716"/>
      <c r="M221" s="716"/>
      <c r="N221" s="716"/>
      <c r="O221" s="716"/>
      <c r="P221" s="716"/>
      <c r="Q221" s="716"/>
      <c r="R221" s="716"/>
      <c r="S221" s="716"/>
      <c r="T221" s="716"/>
      <c r="U221" s="716"/>
      <c r="V221" s="716"/>
      <c r="W221" s="716"/>
      <c r="X221" s="716"/>
      <c r="Y221" s="716"/>
      <c r="Z221" s="716"/>
    </row>
    <row r="222">
      <c r="A222" s="716"/>
      <c r="B222" s="717"/>
      <c r="C222" s="716"/>
      <c r="D222" s="716"/>
      <c r="E222" s="716"/>
      <c r="F222" s="716"/>
      <c r="G222" s="716"/>
      <c r="H222" s="716"/>
      <c r="I222" s="716"/>
      <c r="J222" s="716"/>
      <c r="K222" s="716"/>
      <c r="L222" s="716"/>
      <c r="M222" s="716"/>
      <c r="N222" s="716"/>
      <c r="O222" s="716"/>
      <c r="P222" s="716"/>
      <c r="Q222" s="716"/>
      <c r="R222" s="716"/>
      <c r="S222" s="716"/>
      <c r="T222" s="716"/>
      <c r="U222" s="716"/>
      <c r="V222" s="716"/>
      <c r="W222" s="716"/>
      <c r="X222" s="716"/>
      <c r="Y222" s="716"/>
      <c r="Z222" s="716"/>
    </row>
    <row r="223">
      <c r="A223" s="716"/>
      <c r="B223" s="717"/>
      <c r="C223" s="716"/>
      <c r="D223" s="716"/>
      <c r="E223" s="716"/>
      <c r="F223" s="716"/>
      <c r="G223" s="716"/>
      <c r="H223" s="716"/>
      <c r="I223" s="716"/>
      <c r="J223" s="716"/>
      <c r="K223" s="716"/>
      <c r="L223" s="716"/>
      <c r="M223" s="716"/>
      <c r="N223" s="716"/>
      <c r="O223" s="716"/>
      <c r="P223" s="716"/>
      <c r="Q223" s="716"/>
      <c r="R223" s="716"/>
      <c r="S223" s="716"/>
      <c r="T223" s="716"/>
      <c r="U223" s="716"/>
      <c r="V223" s="716"/>
      <c r="W223" s="716"/>
      <c r="X223" s="716"/>
      <c r="Y223" s="716"/>
      <c r="Z223" s="716"/>
    </row>
    <row r="224">
      <c r="A224" s="716"/>
      <c r="B224" s="717"/>
      <c r="C224" s="716"/>
      <c r="D224" s="716"/>
      <c r="E224" s="716"/>
      <c r="F224" s="716"/>
      <c r="G224" s="716"/>
      <c r="H224" s="716"/>
      <c r="I224" s="716"/>
      <c r="J224" s="716"/>
      <c r="K224" s="716"/>
      <c r="L224" s="716"/>
      <c r="M224" s="716"/>
      <c r="N224" s="716"/>
      <c r="O224" s="716"/>
      <c r="P224" s="716"/>
      <c r="Q224" s="716"/>
      <c r="R224" s="716"/>
      <c r="S224" s="716"/>
      <c r="T224" s="716"/>
      <c r="U224" s="716"/>
      <c r="V224" s="716"/>
      <c r="W224" s="716"/>
      <c r="X224" s="716"/>
      <c r="Y224" s="716"/>
      <c r="Z224" s="716"/>
    </row>
    <row r="225">
      <c r="A225" s="716"/>
      <c r="B225" s="717"/>
      <c r="C225" s="716"/>
      <c r="D225" s="716"/>
      <c r="E225" s="716"/>
      <c r="F225" s="716"/>
      <c r="G225" s="716"/>
      <c r="H225" s="716"/>
      <c r="I225" s="716"/>
      <c r="J225" s="716"/>
      <c r="K225" s="716"/>
      <c r="L225" s="716"/>
      <c r="M225" s="716"/>
      <c r="N225" s="716"/>
      <c r="O225" s="716"/>
      <c r="P225" s="716"/>
      <c r="Q225" s="716"/>
      <c r="R225" s="716"/>
      <c r="S225" s="716"/>
      <c r="T225" s="716"/>
      <c r="U225" s="716"/>
      <c r="V225" s="716"/>
      <c r="W225" s="716"/>
      <c r="X225" s="716"/>
      <c r="Y225" s="716"/>
      <c r="Z225" s="716"/>
    </row>
    <row r="226">
      <c r="A226" s="716"/>
      <c r="B226" s="717"/>
      <c r="C226" s="716"/>
      <c r="D226" s="716"/>
      <c r="E226" s="716"/>
      <c r="F226" s="716"/>
      <c r="G226" s="716"/>
      <c r="H226" s="716"/>
      <c r="I226" s="716"/>
      <c r="J226" s="716"/>
      <c r="K226" s="716"/>
      <c r="L226" s="716"/>
      <c r="M226" s="716"/>
      <c r="N226" s="716"/>
      <c r="O226" s="716"/>
      <c r="P226" s="716"/>
      <c r="Q226" s="716"/>
      <c r="R226" s="716"/>
      <c r="S226" s="716"/>
      <c r="T226" s="716"/>
      <c r="U226" s="716"/>
      <c r="V226" s="716"/>
      <c r="W226" s="716"/>
      <c r="X226" s="716"/>
      <c r="Y226" s="716"/>
      <c r="Z226" s="716"/>
    </row>
    <row r="227">
      <c r="A227" s="716"/>
      <c r="B227" s="717"/>
      <c r="C227" s="716"/>
      <c r="D227" s="716"/>
      <c r="E227" s="716"/>
      <c r="F227" s="716"/>
      <c r="G227" s="716"/>
      <c r="H227" s="716"/>
      <c r="I227" s="716"/>
      <c r="J227" s="716"/>
      <c r="K227" s="716"/>
      <c r="L227" s="716"/>
      <c r="M227" s="716"/>
      <c r="N227" s="716"/>
      <c r="O227" s="716"/>
      <c r="P227" s="716"/>
      <c r="Q227" s="716"/>
      <c r="R227" s="716"/>
      <c r="S227" s="716"/>
      <c r="T227" s="716"/>
      <c r="U227" s="716"/>
      <c r="V227" s="716"/>
      <c r="W227" s="716"/>
      <c r="X227" s="716"/>
      <c r="Y227" s="716"/>
      <c r="Z227" s="716"/>
    </row>
    <row r="228">
      <c r="A228" s="716"/>
      <c r="B228" s="717"/>
      <c r="C228" s="716"/>
      <c r="D228" s="716"/>
      <c r="E228" s="716"/>
      <c r="F228" s="716"/>
      <c r="G228" s="716"/>
      <c r="H228" s="716"/>
      <c r="I228" s="716"/>
      <c r="J228" s="716"/>
      <c r="K228" s="716"/>
      <c r="L228" s="716"/>
      <c r="M228" s="716"/>
      <c r="N228" s="716"/>
      <c r="O228" s="716"/>
      <c r="P228" s="716"/>
      <c r="Q228" s="716"/>
      <c r="R228" s="716"/>
      <c r="S228" s="716"/>
      <c r="T228" s="716"/>
      <c r="U228" s="716"/>
      <c r="V228" s="716"/>
      <c r="W228" s="716"/>
      <c r="X228" s="716"/>
      <c r="Y228" s="716"/>
      <c r="Z228" s="716"/>
    </row>
    <row r="229">
      <c r="A229" s="716"/>
      <c r="B229" s="717"/>
      <c r="C229" s="716"/>
      <c r="D229" s="716"/>
      <c r="E229" s="716"/>
      <c r="F229" s="716"/>
      <c r="G229" s="716"/>
      <c r="H229" s="716"/>
      <c r="I229" s="716"/>
      <c r="J229" s="716"/>
      <c r="K229" s="716"/>
      <c r="L229" s="716"/>
      <c r="M229" s="716"/>
      <c r="N229" s="716"/>
      <c r="O229" s="716"/>
      <c r="P229" s="716"/>
      <c r="Q229" s="716"/>
      <c r="R229" s="716"/>
      <c r="S229" s="716"/>
      <c r="T229" s="716"/>
      <c r="U229" s="716"/>
      <c r="V229" s="716"/>
      <c r="W229" s="716"/>
      <c r="X229" s="716"/>
      <c r="Y229" s="716"/>
      <c r="Z229" s="716"/>
    </row>
    <row r="230">
      <c r="A230" s="716"/>
      <c r="B230" s="717"/>
      <c r="C230" s="716"/>
      <c r="D230" s="716"/>
      <c r="E230" s="716"/>
      <c r="F230" s="716"/>
      <c r="G230" s="716"/>
      <c r="H230" s="716"/>
      <c r="I230" s="716"/>
      <c r="J230" s="716"/>
      <c r="K230" s="716"/>
      <c r="L230" s="716"/>
      <c r="M230" s="716"/>
      <c r="N230" s="716"/>
      <c r="O230" s="716"/>
      <c r="P230" s="716"/>
      <c r="Q230" s="716"/>
      <c r="R230" s="716"/>
      <c r="S230" s="716"/>
      <c r="T230" s="716"/>
      <c r="U230" s="716"/>
      <c r="V230" s="716"/>
      <c r="W230" s="716"/>
      <c r="X230" s="716"/>
      <c r="Y230" s="716"/>
      <c r="Z230" s="716"/>
    </row>
    <row r="231">
      <c r="A231" s="716"/>
      <c r="B231" s="717"/>
      <c r="C231" s="716"/>
      <c r="D231" s="716"/>
      <c r="E231" s="716"/>
      <c r="F231" s="716"/>
      <c r="G231" s="716"/>
      <c r="H231" s="716"/>
      <c r="I231" s="716"/>
      <c r="J231" s="716"/>
      <c r="K231" s="716"/>
      <c r="L231" s="716"/>
      <c r="M231" s="716"/>
      <c r="N231" s="716"/>
      <c r="O231" s="716"/>
      <c r="P231" s="716"/>
      <c r="Q231" s="716"/>
      <c r="R231" s="716"/>
      <c r="S231" s="716"/>
      <c r="T231" s="716"/>
      <c r="U231" s="716"/>
      <c r="V231" s="716"/>
      <c r="W231" s="716"/>
      <c r="X231" s="716"/>
      <c r="Y231" s="716"/>
      <c r="Z231" s="716"/>
    </row>
    <row r="232">
      <c r="A232" s="716"/>
      <c r="B232" s="717"/>
      <c r="C232" s="716"/>
      <c r="D232" s="716"/>
      <c r="E232" s="716"/>
      <c r="F232" s="716"/>
      <c r="G232" s="716"/>
      <c r="H232" s="716"/>
      <c r="I232" s="716"/>
      <c r="J232" s="716"/>
      <c r="K232" s="716"/>
      <c r="L232" s="716"/>
      <c r="M232" s="716"/>
      <c r="N232" s="716"/>
      <c r="O232" s="716"/>
      <c r="P232" s="716"/>
      <c r="Q232" s="716"/>
      <c r="R232" s="716"/>
      <c r="S232" s="716"/>
      <c r="T232" s="716"/>
      <c r="U232" s="716"/>
      <c r="V232" s="716"/>
      <c r="W232" s="716"/>
      <c r="X232" s="716"/>
      <c r="Y232" s="716"/>
      <c r="Z232" s="716"/>
    </row>
    <row r="233">
      <c r="A233" s="716"/>
      <c r="B233" s="717"/>
      <c r="C233" s="716"/>
      <c r="D233" s="716"/>
      <c r="E233" s="716"/>
      <c r="F233" s="716"/>
      <c r="G233" s="716"/>
      <c r="H233" s="716"/>
      <c r="I233" s="716"/>
      <c r="J233" s="716"/>
      <c r="K233" s="716"/>
      <c r="L233" s="716"/>
      <c r="M233" s="716"/>
      <c r="N233" s="716"/>
      <c r="O233" s="716"/>
      <c r="P233" s="716"/>
      <c r="Q233" s="716"/>
      <c r="R233" s="716"/>
      <c r="S233" s="716"/>
      <c r="T233" s="716"/>
      <c r="U233" s="716"/>
      <c r="V233" s="716"/>
      <c r="W233" s="716"/>
      <c r="X233" s="716"/>
      <c r="Y233" s="716"/>
      <c r="Z233" s="716"/>
    </row>
    <row r="234">
      <c r="A234" s="716"/>
      <c r="B234" s="717"/>
      <c r="C234" s="716"/>
      <c r="D234" s="716"/>
      <c r="E234" s="716"/>
      <c r="F234" s="716"/>
      <c r="G234" s="716"/>
      <c r="H234" s="716"/>
      <c r="I234" s="716"/>
      <c r="J234" s="716"/>
      <c r="K234" s="716"/>
      <c r="L234" s="716"/>
      <c r="M234" s="716"/>
      <c r="N234" s="716"/>
      <c r="O234" s="716"/>
      <c r="P234" s="716"/>
      <c r="Q234" s="716"/>
      <c r="R234" s="716"/>
      <c r="S234" s="716"/>
      <c r="T234" s="716"/>
      <c r="U234" s="716"/>
      <c r="V234" s="716"/>
      <c r="W234" s="716"/>
      <c r="X234" s="716"/>
      <c r="Y234" s="716"/>
      <c r="Z234" s="716"/>
    </row>
    <row r="235">
      <c r="A235" s="716"/>
      <c r="B235" s="717"/>
      <c r="C235" s="716"/>
      <c r="D235" s="716"/>
      <c r="E235" s="716"/>
      <c r="F235" s="716"/>
      <c r="G235" s="716"/>
      <c r="H235" s="716"/>
      <c r="I235" s="716"/>
      <c r="J235" s="716"/>
      <c r="K235" s="716"/>
      <c r="L235" s="716"/>
      <c r="M235" s="716"/>
      <c r="N235" s="716"/>
      <c r="O235" s="716"/>
      <c r="P235" s="716"/>
      <c r="Q235" s="716"/>
      <c r="R235" s="716"/>
      <c r="S235" s="716"/>
      <c r="T235" s="716"/>
      <c r="U235" s="716"/>
      <c r="V235" s="716"/>
      <c r="W235" s="716"/>
      <c r="X235" s="716"/>
      <c r="Y235" s="716"/>
      <c r="Z235" s="716"/>
    </row>
    <row r="236">
      <c r="A236" s="716"/>
      <c r="B236" s="717"/>
      <c r="C236" s="716"/>
      <c r="D236" s="716"/>
      <c r="E236" s="716"/>
      <c r="F236" s="716"/>
      <c r="G236" s="716"/>
      <c r="H236" s="716"/>
      <c r="I236" s="716"/>
      <c r="J236" s="716"/>
      <c r="K236" s="716"/>
      <c r="L236" s="716"/>
      <c r="M236" s="716"/>
      <c r="N236" s="716"/>
      <c r="O236" s="716"/>
      <c r="P236" s="716"/>
      <c r="Q236" s="716"/>
      <c r="R236" s="716"/>
      <c r="S236" s="716"/>
      <c r="T236" s="716"/>
      <c r="U236" s="716"/>
      <c r="V236" s="716"/>
      <c r="W236" s="716"/>
      <c r="X236" s="716"/>
      <c r="Y236" s="716"/>
      <c r="Z236" s="716"/>
    </row>
    <row r="237">
      <c r="A237" s="716"/>
      <c r="B237" s="717"/>
      <c r="C237" s="716"/>
      <c r="D237" s="716"/>
      <c r="E237" s="716"/>
      <c r="F237" s="716"/>
      <c r="G237" s="716"/>
      <c r="H237" s="716"/>
      <c r="I237" s="716"/>
      <c r="J237" s="716"/>
      <c r="K237" s="716"/>
      <c r="L237" s="716"/>
      <c r="M237" s="716"/>
      <c r="N237" s="716"/>
      <c r="O237" s="716"/>
      <c r="P237" s="716"/>
      <c r="Q237" s="716"/>
      <c r="R237" s="716"/>
      <c r="S237" s="716"/>
      <c r="T237" s="716"/>
      <c r="U237" s="716"/>
      <c r="V237" s="716"/>
      <c r="W237" s="716"/>
      <c r="X237" s="716"/>
      <c r="Y237" s="716"/>
      <c r="Z237" s="716"/>
    </row>
    <row r="238">
      <c r="A238" s="716"/>
      <c r="B238" s="717"/>
      <c r="C238" s="716"/>
      <c r="D238" s="716"/>
      <c r="E238" s="716"/>
      <c r="F238" s="716"/>
      <c r="G238" s="716"/>
      <c r="H238" s="716"/>
      <c r="I238" s="716"/>
      <c r="J238" s="716"/>
      <c r="K238" s="716"/>
      <c r="L238" s="716"/>
      <c r="M238" s="716"/>
      <c r="N238" s="716"/>
      <c r="O238" s="716"/>
      <c r="P238" s="716"/>
      <c r="Q238" s="716"/>
      <c r="R238" s="716"/>
      <c r="S238" s="716"/>
      <c r="T238" s="716"/>
      <c r="U238" s="716"/>
      <c r="V238" s="716"/>
      <c r="W238" s="716"/>
      <c r="X238" s="716"/>
      <c r="Y238" s="716"/>
      <c r="Z238" s="716"/>
    </row>
    <row r="239">
      <c r="A239" s="716"/>
      <c r="B239" s="717"/>
      <c r="C239" s="716"/>
      <c r="D239" s="716"/>
      <c r="E239" s="716"/>
      <c r="F239" s="716"/>
      <c r="G239" s="716"/>
      <c r="H239" s="716"/>
      <c r="I239" s="716"/>
      <c r="J239" s="716"/>
      <c r="K239" s="716"/>
      <c r="L239" s="716"/>
      <c r="M239" s="716"/>
      <c r="N239" s="716"/>
      <c r="O239" s="716"/>
      <c r="P239" s="716"/>
      <c r="Q239" s="716"/>
      <c r="R239" s="716"/>
      <c r="S239" s="716"/>
      <c r="T239" s="716"/>
      <c r="U239" s="716"/>
      <c r="V239" s="716"/>
      <c r="W239" s="716"/>
      <c r="X239" s="716"/>
      <c r="Y239" s="716"/>
      <c r="Z239" s="716"/>
    </row>
    <row r="240">
      <c r="A240" s="716"/>
      <c r="B240" s="717"/>
      <c r="C240" s="716"/>
      <c r="D240" s="716"/>
      <c r="E240" s="716"/>
      <c r="F240" s="716"/>
      <c r="G240" s="716"/>
      <c r="H240" s="716"/>
      <c r="I240" s="716"/>
      <c r="J240" s="716"/>
      <c r="K240" s="716"/>
      <c r="L240" s="716"/>
      <c r="M240" s="716"/>
      <c r="N240" s="716"/>
      <c r="O240" s="716"/>
      <c r="P240" s="716"/>
      <c r="Q240" s="716"/>
      <c r="R240" s="716"/>
      <c r="S240" s="716"/>
      <c r="T240" s="716"/>
      <c r="U240" s="716"/>
      <c r="V240" s="716"/>
      <c r="W240" s="716"/>
      <c r="X240" s="716"/>
      <c r="Y240" s="716"/>
      <c r="Z240" s="716"/>
    </row>
    <row r="241">
      <c r="A241" s="716"/>
      <c r="B241" s="717"/>
      <c r="C241" s="716"/>
      <c r="D241" s="716"/>
      <c r="E241" s="716"/>
      <c r="F241" s="716"/>
      <c r="G241" s="716"/>
      <c r="H241" s="716"/>
      <c r="I241" s="716"/>
      <c r="J241" s="716"/>
      <c r="K241" s="716"/>
      <c r="L241" s="716"/>
      <c r="M241" s="716"/>
      <c r="N241" s="716"/>
      <c r="O241" s="716"/>
      <c r="P241" s="716"/>
      <c r="Q241" s="716"/>
      <c r="R241" s="716"/>
      <c r="S241" s="716"/>
      <c r="T241" s="716"/>
      <c r="U241" s="716"/>
      <c r="V241" s="716"/>
      <c r="W241" s="716"/>
      <c r="X241" s="716"/>
      <c r="Y241" s="716"/>
      <c r="Z241" s="716"/>
    </row>
    <row r="242">
      <c r="A242" s="716"/>
      <c r="B242" s="717"/>
      <c r="C242" s="716"/>
      <c r="D242" s="716"/>
      <c r="E242" s="716"/>
      <c r="F242" s="716"/>
      <c r="G242" s="716"/>
      <c r="H242" s="716"/>
      <c r="I242" s="716"/>
      <c r="J242" s="716"/>
      <c r="K242" s="716"/>
      <c r="L242" s="716"/>
      <c r="M242" s="716"/>
      <c r="N242" s="716"/>
      <c r="O242" s="716"/>
      <c r="P242" s="716"/>
      <c r="Q242" s="716"/>
      <c r="R242" s="716"/>
      <c r="S242" s="716"/>
      <c r="T242" s="716"/>
      <c r="U242" s="716"/>
      <c r="V242" s="716"/>
      <c r="W242" s="716"/>
      <c r="X242" s="716"/>
      <c r="Y242" s="716"/>
      <c r="Z242" s="716"/>
    </row>
    <row r="243">
      <c r="A243" s="716"/>
      <c r="B243" s="717"/>
      <c r="C243" s="716"/>
      <c r="D243" s="716"/>
      <c r="E243" s="716"/>
      <c r="F243" s="716"/>
      <c r="G243" s="716"/>
      <c r="H243" s="716"/>
      <c r="I243" s="716"/>
      <c r="J243" s="716"/>
      <c r="K243" s="716"/>
      <c r="L243" s="716"/>
      <c r="M243" s="716"/>
      <c r="N243" s="716"/>
      <c r="O243" s="716"/>
      <c r="P243" s="716"/>
      <c r="Q243" s="716"/>
      <c r="R243" s="716"/>
      <c r="S243" s="716"/>
      <c r="T243" s="716"/>
      <c r="U243" s="716"/>
      <c r="V243" s="716"/>
      <c r="W243" s="716"/>
      <c r="X243" s="716"/>
      <c r="Y243" s="716"/>
      <c r="Z243" s="716"/>
    </row>
    <row r="244">
      <c r="A244" s="716"/>
      <c r="B244" s="717"/>
      <c r="C244" s="716"/>
      <c r="D244" s="716"/>
      <c r="E244" s="716"/>
      <c r="F244" s="716"/>
      <c r="G244" s="716"/>
      <c r="H244" s="716"/>
      <c r="I244" s="716"/>
      <c r="J244" s="716"/>
      <c r="K244" s="716"/>
      <c r="L244" s="716"/>
      <c r="M244" s="716"/>
      <c r="N244" s="716"/>
      <c r="O244" s="716"/>
      <c r="P244" s="716"/>
      <c r="Q244" s="716"/>
      <c r="R244" s="716"/>
      <c r="S244" s="716"/>
      <c r="T244" s="716"/>
      <c r="U244" s="716"/>
      <c r="V244" s="716"/>
      <c r="W244" s="716"/>
      <c r="X244" s="716"/>
      <c r="Y244" s="716"/>
      <c r="Z244" s="716"/>
    </row>
    <row r="245">
      <c r="A245" s="716"/>
      <c r="B245" s="717"/>
      <c r="C245" s="716"/>
      <c r="D245" s="716"/>
      <c r="E245" s="716"/>
      <c r="F245" s="716"/>
      <c r="G245" s="716"/>
      <c r="H245" s="716"/>
      <c r="I245" s="716"/>
      <c r="J245" s="716"/>
      <c r="K245" s="716"/>
      <c r="L245" s="716"/>
      <c r="M245" s="716"/>
      <c r="N245" s="716"/>
      <c r="O245" s="716"/>
      <c r="P245" s="716"/>
      <c r="Q245" s="716"/>
      <c r="R245" s="716"/>
      <c r="S245" s="716"/>
      <c r="T245" s="716"/>
      <c r="U245" s="716"/>
      <c r="V245" s="716"/>
      <c r="W245" s="716"/>
      <c r="X245" s="716"/>
      <c r="Y245" s="716"/>
      <c r="Z245" s="716"/>
    </row>
    <row r="246">
      <c r="A246" s="716"/>
      <c r="B246" s="717"/>
      <c r="C246" s="716"/>
      <c r="D246" s="716"/>
      <c r="E246" s="716"/>
      <c r="F246" s="716"/>
      <c r="G246" s="716"/>
      <c r="H246" s="716"/>
      <c r="I246" s="716"/>
      <c r="J246" s="716"/>
      <c r="K246" s="716"/>
      <c r="L246" s="716"/>
      <c r="M246" s="716"/>
      <c r="N246" s="716"/>
      <c r="O246" s="716"/>
      <c r="P246" s="716"/>
      <c r="Q246" s="716"/>
      <c r="R246" s="716"/>
      <c r="S246" s="716"/>
      <c r="T246" s="716"/>
      <c r="U246" s="716"/>
      <c r="V246" s="716"/>
      <c r="W246" s="716"/>
      <c r="X246" s="716"/>
      <c r="Y246" s="716"/>
      <c r="Z246" s="716"/>
    </row>
    <row r="247">
      <c r="A247" s="716"/>
      <c r="B247" s="717"/>
      <c r="C247" s="716"/>
      <c r="D247" s="716"/>
      <c r="E247" s="716"/>
      <c r="F247" s="716"/>
      <c r="G247" s="716"/>
      <c r="H247" s="716"/>
      <c r="I247" s="716"/>
      <c r="J247" s="716"/>
      <c r="K247" s="716"/>
      <c r="L247" s="716"/>
      <c r="M247" s="716"/>
      <c r="N247" s="716"/>
      <c r="O247" s="716"/>
      <c r="P247" s="716"/>
      <c r="Q247" s="716"/>
      <c r="R247" s="716"/>
      <c r="S247" s="716"/>
      <c r="T247" s="716"/>
      <c r="U247" s="716"/>
      <c r="V247" s="716"/>
      <c r="W247" s="716"/>
      <c r="X247" s="716"/>
      <c r="Y247" s="716"/>
      <c r="Z247" s="716"/>
    </row>
    <row r="248">
      <c r="A248" s="716"/>
      <c r="B248" s="717"/>
      <c r="C248" s="716"/>
      <c r="D248" s="716"/>
      <c r="E248" s="716"/>
      <c r="F248" s="716"/>
      <c r="G248" s="716"/>
      <c r="H248" s="716"/>
      <c r="I248" s="716"/>
      <c r="J248" s="716"/>
      <c r="K248" s="716"/>
      <c r="L248" s="716"/>
      <c r="M248" s="716"/>
      <c r="N248" s="716"/>
      <c r="O248" s="716"/>
      <c r="P248" s="716"/>
      <c r="Q248" s="716"/>
      <c r="R248" s="716"/>
      <c r="S248" s="716"/>
      <c r="T248" s="716"/>
      <c r="U248" s="716"/>
      <c r="V248" s="716"/>
      <c r="W248" s="716"/>
      <c r="X248" s="716"/>
      <c r="Y248" s="716"/>
      <c r="Z248" s="716"/>
    </row>
    <row r="249">
      <c r="A249" s="716"/>
      <c r="B249" s="717"/>
      <c r="C249" s="716"/>
      <c r="D249" s="716"/>
      <c r="E249" s="716"/>
      <c r="F249" s="716"/>
      <c r="G249" s="716"/>
      <c r="H249" s="716"/>
      <c r="I249" s="716"/>
      <c r="J249" s="716"/>
      <c r="K249" s="716"/>
      <c r="L249" s="716"/>
      <c r="M249" s="716"/>
      <c r="N249" s="716"/>
      <c r="O249" s="716"/>
      <c r="P249" s="716"/>
      <c r="Q249" s="716"/>
      <c r="R249" s="716"/>
      <c r="S249" s="716"/>
      <c r="T249" s="716"/>
      <c r="U249" s="716"/>
      <c r="V249" s="716"/>
      <c r="W249" s="716"/>
      <c r="X249" s="716"/>
      <c r="Y249" s="716"/>
      <c r="Z249" s="716"/>
    </row>
    <row r="250">
      <c r="A250" s="716"/>
      <c r="B250" s="717"/>
      <c r="C250" s="716"/>
      <c r="D250" s="716"/>
      <c r="E250" s="716"/>
      <c r="F250" s="716"/>
      <c r="G250" s="716"/>
      <c r="H250" s="716"/>
      <c r="I250" s="716"/>
      <c r="J250" s="716"/>
      <c r="K250" s="716"/>
      <c r="L250" s="716"/>
      <c r="M250" s="716"/>
      <c r="N250" s="716"/>
      <c r="O250" s="716"/>
      <c r="P250" s="716"/>
      <c r="Q250" s="716"/>
      <c r="R250" s="716"/>
      <c r="S250" s="716"/>
      <c r="T250" s="716"/>
      <c r="U250" s="716"/>
      <c r="V250" s="716"/>
      <c r="W250" s="716"/>
      <c r="X250" s="716"/>
      <c r="Y250" s="716"/>
      <c r="Z250" s="716"/>
    </row>
    <row r="251">
      <c r="A251" s="716"/>
      <c r="B251" s="717"/>
      <c r="C251" s="716"/>
      <c r="D251" s="716"/>
      <c r="E251" s="716"/>
      <c r="F251" s="716"/>
      <c r="G251" s="716"/>
      <c r="H251" s="716"/>
      <c r="I251" s="716"/>
      <c r="J251" s="716"/>
      <c r="K251" s="716"/>
      <c r="L251" s="716"/>
      <c r="M251" s="716"/>
      <c r="N251" s="716"/>
      <c r="O251" s="716"/>
      <c r="P251" s="716"/>
      <c r="Q251" s="716"/>
      <c r="R251" s="716"/>
      <c r="S251" s="716"/>
      <c r="T251" s="716"/>
      <c r="U251" s="716"/>
      <c r="V251" s="716"/>
      <c r="W251" s="716"/>
      <c r="X251" s="716"/>
      <c r="Y251" s="716"/>
      <c r="Z251" s="716"/>
    </row>
    <row r="252">
      <c r="A252" s="716"/>
      <c r="B252" s="717"/>
      <c r="C252" s="716"/>
      <c r="D252" s="716"/>
      <c r="E252" s="716"/>
      <c r="F252" s="716"/>
      <c r="G252" s="716"/>
      <c r="H252" s="716"/>
      <c r="I252" s="716"/>
      <c r="J252" s="716"/>
      <c r="K252" s="716"/>
      <c r="L252" s="716"/>
      <c r="M252" s="716"/>
      <c r="N252" s="716"/>
      <c r="O252" s="716"/>
      <c r="P252" s="716"/>
      <c r="Q252" s="716"/>
      <c r="R252" s="716"/>
      <c r="S252" s="716"/>
      <c r="T252" s="716"/>
      <c r="U252" s="716"/>
      <c r="V252" s="716"/>
      <c r="W252" s="716"/>
      <c r="X252" s="716"/>
      <c r="Y252" s="716"/>
      <c r="Z252" s="716"/>
    </row>
    <row r="253">
      <c r="A253" s="716"/>
      <c r="B253" s="717"/>
      <c r="C253" s="716"/>
      <c r="D253" s="716"/>
      <c r="E253" s="716"/>
      <c r="F253" s="716"/>
      <c r="G253" s="716"/>
      <c r="H253" s="716"/>
      <c r="I253" s="716"/>
      <c r="J253" s="716"/>
      <c r="K253" s="716"/>
      <c r="L253" s="716"/>
      <c r="M253" s="716"/>
      <c r="N253" s="716"/>
      <c r="O253" s="716"/>
      <c r="P253" s="716"/>
      <c r="Q253" s="716"/>
      <c r="R253" s="716"/>
      <c r="S253" s="716"/>
      <c r="T253" s="716"/>
      <c r="U253" s="716"/>
      <c r="V253" s="716"/>
      <c r="W253" s="716"/>
      <c r="X253" s="716"/>
      <c r="Y253" s="716"/>
      <c r="Z253" s="716"/>
    </row>
    <row r="254">
      <c r="A254" s="716"/>
      <c r="B254" s="717"/>
      <c r="C254" s="716"/>
      <c r="D254" s="716"/>
      <c r="E254" s="716"/>
      <c r="F254" s="716"/>
      <c r="G254" s="716"/>
      <c r="H254" s="716"/>
      <c r="I254" s="716"/>
      <c r="J254" s="716"/>
      <c r="K254" s="716"/>
      <c r="L254" s="716"/>
      <c r="M254" s="716"/>
      <c r="N254" s="716"/>
      <c r="O254" s="716"/>
      <c r="P254" s="716"/>
      <c r="Q254" s="716"/>
      <c r="R254" s="716"/>
      <c r="S254" s="716"/>
      <c r="T254" s="716"/>
      <c r="U254" s="716"/>
      <c r="V254" s="716"/>
      <c r="W254" s="716"/>
      <c r="X254" s="716"/>
      <c r="Y254" s="716"/>
      <c r="Z254" s="716"/>
    </row>
    <row r="255">
      <c r="A255" s="716"/>
      <c r="B255" s="717"/>
      <c r="C255" s="716"/>
      <c r="D255" s="716"/>
      <c r="E255" s="716"/>
      <c r="F255" s="716"/>
      <c r="G255" s="716"/>
      <c r="H255" s="716"/>
      <c r="I255" s="716"/>
      <c r="J255" s="716"/>
      <c r="K255" s="716"/>
      <c r="L255" s="716"/>
      <c r="M255" s="716"/>
      <c r="N255" s="716"/>
      <c r="O255" s="716"/>
      <c r="P255" s="716"/>
      <c r="Q255" s="716"/>
      <c r="R255" s="716"/>
      <c r="S255" s="716"/>
      <c r="T255" s="716"/>
      <c r="U255" s="716"/>
      <c r="V255" s="716"/>
      <c r="W255" s="716"/>
      <c r="X255" s="716"/>
      <c r="Y255" s="716"/>
      <c r="Z255" s="716"/>
    </row>
    <row r="256">
      <c r="A256" s="716"/>
      <c r="B256" s="717"/>
      <c r="C256" s="716"/>
      <c r="D256" s="716"/>
      <c r="E256" s="716"/>
      <c r="F256" s="716"/>
      <c r="G256" s="716"/>
      <c r="H256" s="716"/>
      <c r="I256" s="716"/>
      <c r="J256" s="716"/>
      <c r="K256" s="716"/>
      <c r="L256" s="716"/>
      <c r="M256" s="716"/>
      <c r="N256" s="716"/>
      <c r="O256" s="716"/>
      <c r="P256" s="716"/>
      <c r="Q256" s="716"/>
      <c r="R256" s="716"/>
      <c r="S256" s="716"/>
      <c r="T256" s="716"/>
      <c r="U256" s="716"/>
      <c r="V256" s="716"/>
      <c r="W256" s="716"/>
      <c r="X256" s="716"/>
      <c r="Y256" s="716"/>
      <c r="Z256" s="716"/>
    </row>
    <row r="257">
      <c r="A257" s="716"/>
      <c r="B257" s="717"/>
      <c r="C257" s="716"/>
      <c r="D257" s="716"/>
      <c r="E257" s="716"/>
      <c r="F257" s="716"/>
      <c r="G257" s="716"/>
      <c r="H257" s="716"/>
      <c r="I257" s="716"/>
      <c r="J257" s="716"/>
      <c r="K257" s="716"/>
      <c r="L257" s="716"/>
      <c r="M257" s="716"/>
      <c r="N257" s="716"/>
      <c r="O257" s="716"/>
      <c r="P257" s="716"/>
      <c r="Q257" s="716"/>
      <c r="R257" s="716"/>
      <c r="S257" s="716"/>
      <c r="T257" s="716"/>
      <c r="U257" s="716"/>
      <c r="V257" s="716"/>
      <c r="W257" s="716"/>
      <c r="X257" s="716"/>
      <c r="Y257" s="716"/>
      <c r="Z257" s="716"/>
    </row>
    <row r="258">
      <c r="A258" s="716"/>
      <c r="B258" s="717"/>
      <c r="C258" s="716"/>
      <c r="D258" s="716"/>
      <c r="E258" s="716"/>
      <c r="F258" s="716"/>
      <c r="G258" s="716"/>
      <c r="H258" s="716"/>
      <c r="I258" s="716"/>
      <c r="J258" s="716"/>
      <c r="K258" s="716"/>
      <c r="L258" s="716"/>
      <c r="M258" s="716"/>
      <c r="N258" s="716"/>
      <c r="O258" s="716"/>
      <c r="P258" s="716"/>
      <c r="Q258" s="716"/>
      <c r="R258" s="716"/>
      <c r="S258" s="716"/>
      <c r="T258" s="716"/>
      <c r="U258" s="716"/>
      <c r="V258" s="716"/>
      <c r="W258" s="716"/>
      <c r="X258" s="716"/>
      <c r="Y258" s="716"/>
      <c r="Z258" s="716"/>
    </row>
    <row r="259">
      <c r="A259" s="716"/>
      <c r="B259" s="717"/>
      <c r="C259" s="716"/>
      <c r="D259" s="716"/>
      <c r="E259" s="716"/>
      <c r="F259" s="716"/>
      <c r="G259" s="716"/>
      <c r="H259" s="716"/>
      <c r="I259" s="716"/>
      <c r="J259" s="716"/>
      <c r="K259" s="716"/>
      <c r="L259" s="716"/>
      <c r="M259" s="716"/>
      <c r="N259" s="716"/>
      <c r="O259" s="716"/>
      <c r="P259" s="716"/>
      <c r="Q259" s="716"/>
      <c r="R259" s="716"/>
      <c r="S259" s="716"/>
      <c r="T259" s="716"/>
      <c r="U259" s="716"/>
      <c r="V259" s="716"/>
      <c r="W259" s="716"/>
      <c r="X259" s="716"/>
      <c r="Y259" s="716"/>
      <c r="Z259" s="716"/>
    </row>
    <row r="260">
      <c r="A260" s="716"/>
      <c r="B260" s="717"/>
      <c r="C260" s="716"/>
      <c r="D260" s="716"/>
      <c r="E260" s="716"/>
      <c r="F260" s="716"/>
      <c r="G260" s="716"/>
      <c r="H260" s="716"/>
      <c r="I260" s="716"/>
      <c r="J260" s="716"/>
      <c r="K260" s="716"/>
      <c r="L260" s="716"/>
      <c r="M260" s="716"/>
      <c r="N260" s="716"/>
      <c r="O260" s="716"/>
      <c r="P260" s="716"/>
      <c r="Q260" s="716"/>
      <c r="R260" s="716"/>
      <c r="S260" s="716"/>
      <c r="T260" s="716"/>
      <c r="U260" s="716"/>
      <c r="V260" s="716"/>
      <c r="W260" s="716"/>
      <c r="X260" s="716"/>
      <c r="Y260" s="716"/>
      <c r="Z260" s="716"/>
    </row>
    <row r="261">
      <c r="A261" s="716"/>
      <c r="B261" s="717"/>
      <c r="C261" s="716"/>
      <c r="D261" s="716"/>
      <c r="E261" s="716"/>
      <c r="F261" s="716"/>
      <c r="G261" s="716"/>
      <c r="H261" s="716"/>
      <c r="I261" s="716"/>
      <c r="J261" s="716"/>
      <c r="K261" s="716"/>
      <c r="L261" s="716"/>
      <c r="M261" s="716"/>
      <c r="N261" s="716"/>
      <c r="O261" s="716"/>
      <c r="P261" s="716"/>
      <c r="Q261" s="716"/>
      <c r="R261" s="716"/>
      <c r="S261" s="716"/>
      <c r="T261" s="716"/>
      <c r="U261" s="716"/>
      <c r="V261" s="716"/>
      <c r="W261" s="716"/>
      <c r="X261" s="716"/>
      <c r="Y261" s="716"/>
      <c r="Z261" s="716"/>
    </row>
    <row r="262">
      <c r="A262" s="716"/>
      <c r="B262" s="717"/>
      <c r="C262" s="716"/>
      <c r="D262" s="716"/>
      <c r="E262" s="716"/>
      <c r="F262" s="716"/>
      <c r="G262" s="716"/>
      <c r="H262" s="716"/>
      <c r="I262" s="716"/>
      <c r="J262" s="716"/>
      <c r="K262" s="716"/>
      <c r="L262" s="716"/>
      <c r="M262" s="716"/>
      <c r="N262" s="716"/>
      <c r="O262" s="716"/>
      <c r="P262" s="716"/>
      <c r="Q262" s="716"/>
      <c r="R262" s="716"/>
      <c r="S262" s="716"/>
      <c r="T262" s="716"/>
      <c r="U262" s="716"/>
      <c r="V262" s="716"/>
      <c r="W262" s="716"/>
      <c r="X262" s="716"/>
      <c r="Y262" s="716"/>
      <c r="Z262" s="716"/>
    </row>
    <row r="263">
      <c r="A263" s="716"/>
      <c r="B263" s="717"/>
      <c r="C263" s="716"/>
      <c r="D263" s="716"/>
      <c r="E263" s="716"/>
      <c r="F263" s="716"/>
      <c r="G263" s="716"/>
      <c r="H263" s="716"/>
      <c r="I263" s="716"/>
      <c r="J263" s="716"/>
      <c r="K263" s="716"/>
      <c r="L263" s="716"/>
      <c r="M263" s="716"/>
      <c r="N263" s="716"/>
      <c r="O263" s="716"/>
      <c r="P263" s="716"/>
      <c r="Q263" s="716"/>
      <c r="R263" s="716"/>
      <c r="S263" s="716"/>
      <c r="T263" s="716"/>
      <c r="U263" s="716"/>
      <c r="V263" s="716"/>
      <c r="W263" s="716"/>
      <c r="X263" s="716"/>
      <c r="Y263" s="716"/>
      <c r="Z263" s="716"/>
    </row>
    <row r="264">
      <c r="A264" s="716"/>
      <c r="B264" s="717"/>
      <c r="C264" s="716"/>
      <c r="D264" s="716"/>
      <c r="E264" s="716"/>
      <c r="F264" s="716"/>
      <c r="G264" s="716"/>
      <c r="H264" s="716"/>
      <c r="I264" s="716"/>
      <c r="J264" s="716"/>
      <c r="K264" s="716"/>
      <c r="L264" s="716"/>
      <c r="M264" s="716"/>
      <c r="N264" s="716"/>
      <c r="O264" s="716"/>
      <c r="P264" s="716"/>
      <c r="Q264" s="716"/>
      <c r="R264" s="716"/>
      <c r="S264" s="716"/>
      <c r="T264" s="716"/>
      <c r="U264" s="716"/>
      <c r="V264" s="716"/>
      <c r="W264" s="716"/>
      <c r="X264" s="716"/>
      <c r="Y264" s="716"/>
      <c r="Z264" s="716"/>
    </row>
    <row r="265">
      <c r="A265" s="716"/>
      <c r="B265" s="717"/>
      <c r="C265" s="716"/>
      <c r="D265" s="716"/>
      <c r="E265" s="716"/>
      <c r="F265" s="716"/>
      <c r="G265" s="716"/>
      <c r="H265" s="716"/>
      <c r="I265" s="716"/>
      <c r="J265" s="716"/>
      <c r="K265" s="716"/>
      <c r="L265" s="716"/>
      <c r="M265" s="716"/>
      <c r="N265" s="716"/>
      <c r="O265" s="716"/>
      <c r="P265" s="716"/>
      <c r="Q265" s="716"/>
      <c r="R265" s="716"/>
      <c r="S265" s="716"/>
      <c r="T265" s="716"/>
      <c r="U265" s="716"/>
      <c r="V265" s="716"/>
      <c r="W265" s="716"/>
      <c r="X265" s="716"/>
      <c r="Y265" s="716"/>
      <c r="Z265" s="716"/>
    </row>
    <row r="266">
      <c r="A266" s="716"/>
      <c r="B266" s="717"/>
      <c r="C266" s="716"/>
      <c r="D266" s="716"/>
      <c r="E266" s="716"/>
      <c r="F266" s="716"/>
      <c r="G266" s="716"/>
      <c r="H266" s="716"/>
      <c r="I266" s="716"/>
      <c r="J266" s="716"/>
      <c r="K266" s="716"/>
      <c r="L266" s="716"/>
      <c r="M266" s="716"/>
      <c r="N266" s="716"/>
      <c r="O266" s="716"/>
      <c r="P266" s="716"/>
      <c r="Q266" s="716"/>
      <c r="R266" s="716"/>
      <c r="S266" s="716"/>
      <c r="T266" s="716"/>
      <c r="U266" s="716"/>
      <c r="V266" s="716"/>
      <c r="W266" s="716"/>
      <c r="X266" s="716"/>
      <c r="Y266" s="716"/>
      <c r="Z266" s="716"/>
    </row>
    <row r="267">
      <c r="A267" s="716"/>
      <c r="B267" s="717"/>
      <c r="C267" s="716"/>
      <c r="D267" s="716"/>
      <c r="E267" s="716"/>
      <c r="F267" s="716"/>
      <c r="G267" s="716"/>
      <c r="H267" s="716"/>
      <c r="I267" s="716"/>
      <c r="J267" s="716"/>
      <c r="K267" s="716"/>
      <c r="L267" s="716"/>
      <c r="M267" s="716"/>
      <c r="N267" s="716"/>
      <c r="O267" s="716"/>
      <c r="P267" s="716"/>
      <c r="Q267" s="716"/>
      <c r="R267" s="716"/>
      <c r="S267" s="716"/>
      <c r="T267" s="716"/>
      <c r="U267" s="716"/>
      <c r="V267" s="716"/>
      <c r="W267" s="716"/>
      <c r="X267" s="716"/>
      <c r="Y267" s="716"/>
      <c r="Z267" s="716"/>
    </row>
    <row r="268">
      <c r="A268" s="716"/>
      <c r="B268" s="717"/>
      <c r="C268" s="716"/>
      <c r="D268" s="716"/>
      <c r="E268" s="716"/>
      <c r="F268" s="716"/>
      <c r="G268" s="716"/>
      <c r="H268" s="716"/>
      <c r="I268" s="716"/>
      <c r="J268" s="716"/>
      <c r="K268" s="716"/>
      <c r="L268" s="716"/>
      <c r="M268" s="716"/>
      <c r="N268" s="716"/>
      <c r="O268" s="716"/>
      <c r="P268" s="716"/>
      <c r="Q268" s="716"/>
      <c r="R268" s="716"/>
      <c r="S268" s="716"/>
      <c r="T268" s="716"/>
      <c r="U268" s="716"/>
      <c r="V268" s="716"/>
      <c r="W268" s="716"/>
      <c r="X268" s="716"/>
      <c r="Y268" s="716"/>
      <c r="Z268" s="716"/>
    </row>
    <row r="269">
      <c r="A269" s="716"/>
      <c r="B269" s="717"/>
      <c r="C269" s="716"/>
      <c r="D269" s="716"/>
      <c r="E269" s="716"/>
      <c r="F269" s="716"/>
      <c r="G269" s="716"/>
      <c r="H269" s="716"/>
      <c r="I269" s="716"/>
      <c r="J269" s="716"/>
      <c r="K269" s="716"/>
      <c r="L269" s="716"/>
      <c r="M269" s="716"/>
      <c r="N269" s="716"/>
      <c r="O269" s="716"/>
      <c r="P269" s="716"/>
      <c r="Q269" s="716"/>
      <c r="R269" s="716"/>
      <c r="S269" s="716"/>
      <c r="T269" s="716"/>
      <c r="U269" s="716"/>
      <c r="V269" s="716"/>
      <c r="W269" s="716"/>
      <c r="X269" s="716"/>
      <c r="Y269" s="716"/>
      <c r="Z269" s="716"/>
    </row>
    <row r="270">
      <c r="A270" s="716"/>
      <c r="B270" s="717"/>
      <c r="C270" s="716"/>
      <c r="D270" s="716"/>
      <c r="E270" s="716"/>
      <c r="F270" s="716"/>
      <c r="G270" s="716"/>
      <c r="H270" s="716"/>
      <c r="I270" s="716"/>
      <c r="J270" s="716"/>
      <c r="K270" s="716"/>
      <c r="L270" s="716"/>
      <c r="M270" s="716"/>
      <c r="N270" s="716"/>
      <c r="O270" s="716"/>
      <c r="P270" s="716"/>
      <c r="Q270" s="716"/>
      <c r="R270" s="716"/>
      <c r="S270" s="716"/>
      <c r="T270" s="716"/>
      <c r="U270" s="716"/>
      <c r="V270" s="716"/>
      <c r="W270" s="716"/>
      <c r="X270" s="716"/>
      <c r="Y270" s="716"/>
      <c r="Z270" s="716"/>
    </row>
    <row r="271">
      <c r="A271" s="716"/>
      <c r="B271" s="717"/>
      <c r="C271" s="716"/>
      <c r="D271" s="716"/>
      <c r="E271" s="716"/>
      <c r="F271" s="716"/>
      <c r="G271" s="716"/>
      <c r="H271" s="716"/>
      <c r="I271" s="716"/>
      <c r="J271" s="716"/>
      <c r="K271" s="716"/>
      <c r="L271" s="716"/>
      <c r="M271" s="716"/>
      <c r="N271" s="716"/>
      <c r="O271" s="716"/>
      <c r="P271" s="716"/>
      <c r="Q271" s="716"/>
      <c r="R271" s="716"/>
      <c r="S271" s="716"/>
      <c r="T271" s="716"/>
      <c r="U271" s="716"/>
      <c r="V271" s="716"/>
      <c r="W271" s="716"/>
      <c r="X271" s="716"/>
      <c r="Y271" s="716"/>
      <c r="Z271" s="716"/>
    </row>
    <row r="272">
      <c r="A272" s="716"/>
      <c r="B272" s="717"/>
      <c r="C272" s="716"/>
      <c r="D272" s="716"/>
      <c r="E272" s="716"/>
      <c r="F272" s="716"/>
      <c r="G272" s="716"/>
      <c r="H272" s="716"/>
      <c r="I272" s="716"/>
      <c r="J272" s="716"/>
      <c r="K272" s="716"/>
      <c r="L272" s="716"/>
      <c r="M272" s="716"/>
      <c r="N272" s="716"/>
      <c r="O272" s="716"/>
      <c r="P272" s="716"/>
      <c r="Q272" s="716"/>
      <c r="R272" s="716"/>
      <c r="S272" s="716"/>
      <c r="T272" s="716"/>
      <c r="U272" s="716"/>
      <c r="V272" s="716"/>
      <c r="W272" s="716"/>
      <c r="X272" s="716"/>
      <c r="Y272" s="716"/>
      <c r="Z272" s="716"/>
    </row>
    <row r="273">
      <c r="A273" s="716"/>
      <c r="B273" s="717"/>
      <c r="C273" s="716"/>
      <c r="D273" s="716"/>
      <c r="E273" s="716"/>
      <c r="F273" s="716"/>
      <c r="G273" s="716"/>
      <c r="H273" s="716"/>
      <c r="I273" s="716"/>
      <c r="J273" s="716"/>
      <c r="K273" s="716"/>
      <c r="L273" s="716"/>
      <c r="M273" s="716"/>
      <c r="N273" s="716"/>
      <c r="O273" s="716"/>
      <c r="P273" s="716"/>
      <c r="Q273" s="716"/>
      <c r="R273" s="716"/>
      <c r="S273" s="716"/>
      <c r="T273" s="716"/>
      <c r="U273" s="716"/>
      <c r="V273" s="716"/>
      <c r="W273" s="716"/>
      <c r="X273" s="716"/>
      <c r="Y273" s="716"/>
      <c r="Z273" s="716"/>
    </row>
    <row r="274">
      <c r="A274" s="716"/>
      <c r="B274" s="717"/>
      <c r="C274" s="716"/>
      <c r="D274" s="716"/>
      <c r="E274" s="716"/>
      <c r="F274" s="716"/>
      <c r="G274" s="716"/>
      <c r="H274" s="716"/>
      <c r="I274" s="716"/>
      <c r="J274" s="716"/>
      <c r="K274" s="716"/>
      <c r="L274" s="716"/>
      <c r="M274" s="716"/>
      <c r="N274" s="716"/>
      <c r="O274" s="716"/>
      <c r="P274" s="716"/>
      <c r="Q274" s="716"/>
      <c r="R274" s="716"/>
      <c r="S274" s="716"/>
      <c r="T274" s="716"/>
      <c r="U274" s="716"/>
      <c r="V274" s="716"/>
      <c r="W274" s="716"/>
      <c r="X274" s="716"/>
      <c r="Y274" s="716"/>
      <c r="Z274" s="716"/>
    </row>
    <row r="275">
      <c r="A275" s="716"/>
      <c r="B275" s="717"/>
      <c r="C275" s="716"/>
      <c r="D275" s="716"/>
      <c r="E275" s="716"/>
      <c r="F275" s="716"/>
      <c r="G275" s="716"/>
      <c r="H275" s="716"/>
      <c r="I275" s="716"/>
      <c r="J275" s="716"/>
      <c r="K275" s="716"/>
      <c r="L275" s="716"/>
      <c r="M275" s="716"/>
      <c r="N275" s="716"/>
      <c r="O275" s="716"/>
      <c r="P275" s="716"/>
      <c r="Q275" s="716"/>
      <c r="R275" s="716"/>
      <c r="S275" s="716"/>
      <c r="T275" s="716"/>
      <c r="U275" s="716"/>
      <c r="V275" s="716"/>
      <c r="W275" s="716"/>
      <c r="X275" s="716"/>
      <c r="Y275" s="716"/>
      <c r="Z275" s="716"/>
    </row>
    <row r="276">
      <c r="A276" s="716"/>
      <c r="B276" s="717"/>
      <c r="C276" s="716"/>
      <c r="D276" s="716"/>
      <c r="E276" s="716"/>
      <c r="F276" s="716"/>
      <c r="G276" s="716"/>
      <c r="H276" s="716"/>
      <c r="I276" s="716"/>
      <c r="J276" s="716"/>
      <c r="K276" s="716"/>
      <c r="L276" s="716"/>
      <c r="M276" s="716"/>
      <c r="N276" s="716"/>
      <c r="O276" s="716"/>
      <c r="P276" s="716"/>
      <c r="Q276" s="716"/>
      <c r="R276" s="716"/>
      <c r="S276" s="716"/>
      <c r="T276" s="716"/>
      <c r="U276" s="716"/>
      <c r="V276" s="716"/>
      <c r="W276" s="716"/>
      <c r="X276" s="716"/>
      <c r="Y276" s="716"/>
      <c r="Z276" s="716"/>
    </row>
    <row r="277">
      <c r="A277" s="716"/>
      <c r="B277" s="717"/>
      <c r="C277" s="716"/>
      <c r="D277" s="716"/>
      <c r="E277" s="716"/>
      <c r="F277" s="716"/>
      <c r="G277" s="716"/>
      <c r="H277" s="716"/>
      <c r="I277" s="716"/>
      <c r="J277" s="716"/>
      <c r="K277" s="716"/>
      <c r="L277" s="716"/>
      <c r="M277" s="716"/>
      <c r="N277" s="716"/>
      <c r="O277" s="716"/>
      <c r="P277" s="716"/>
      <c r="Q277" s="716"/>
      <c r="R277" s="716"/>
      <c r="S277" s="716"/>
      <c r="T277" s="716"/>
      <c r="U277" s="716"/>
      <c r="V277" s="716"/>
      <c r="W277" s="716"/>
      <c r="X277" s="716"/>
      <c r="Y277" s="716"/>
      <c r="Z277" s="716"/>
    </row>
    <row r="278">
      <c r="A278" s="716"/>
      <c r="B278" s="717"/>
      <c r="C278" s="716"/>
      <c r="D278" s="716"/>
      <c r="E278" s="716"/>
      <c r="F278" s="716"/>
      <c r="G278" s="716"/>
      <c r="H278" s="716"/>
      <c r="I278" s="716"/>
      <c r="J278" s="716"/>
      <c r="K278" s="716"/>
      <c r="L278" s="716"/>
      <c r="M278" s="716"/>
      <c r="N278" s="716"/>
      <c r="O278" s="716"/>
      <c r="P278" s="716"/>
      <c r="Q278" s="716"/>
      <c r="R278" s="716"/>
      <c r="S278" s="716"/>
      <c r="T278" s="716"/>
      <c r="U278" s="716"/>
      <c r="V278" s="716"/>
      <c r="W278" s="716"/>
      <c r="X278" s="716"/>
      <c r="Y278" s="716"/>
      <c r="Z278" s="716"/>
    </row>
    <row r="279">
      <c r="A279" s="716"/>
      <c r="B279" s="717"/>
      <c r="C279" s="716"/>
      <c r="D279" s="716"/>
      <c r="E279" s="716"/>
      <c r="F279" s="716"/>
      <c r="G279" s="716"/>
      <c r="H279" s="716"/>
      <c r="I279" s="716"/>
      <c r="J279" s="716"/>
      <c r="K279" s="716"/>
      <c r="L279" s="716"/>
      <c r="M279" s="716"/>
      <c r="N279" s="716"/>
      <c r="O279" s="716"/>
      <c r="P279" s="716"/>
      <c r="Q279" s="716"/>
      <c r="R279" s="716"/>
      <c r="S279" s="716"/>
      <c r="T279" s="716"/>
      <c r="U279" s="716"/>
      <c r="V279" s="716"/>
      <c r="W279" s="716"/>
      <c r="X279" s="716"/>
      <c r="Y279" s="716"/>
      <c r="Z279" s="716"/>
    </row>
    <row r="280">
      <c r="A280" s="716"/>
      <c r="B280" s="717"/>
      <c r="C280" s="716"/>
      <c r="D280" s="716"/>
      <c r="E280" s="716"/>
      <c r="F280" s="716"/>
      <c r="G280" s="716"/>
      <c r="H280" s="716"/>
      <c r="I280" s="716"/>
      <c r="J280" s="716"/>
      <c r="K280" s="716"/>
      <c r="L280" s="716"/>
      <c r="M280" s="716"/>
      <c r="N280" s="716"/>
      <c r="O280" s="716"/>
      <c r="P280" s="716"/>
      <c r="Q280" s="716"/>
      <c r="R280" s="716"/>
      <c r="S280" s="716"/>
      <c r="T280" s="716"/>
      <c r="U280" s="716"/>
      <c r="V280" s="716"/>
      <c r="W280" s="716"/>
      <c r="X280" s="716"/>
      <c r="Y280" s="716"/>
      <c r="Z280" s="716"/>
    </row>
    <row r="281">
      <c r="A281" s="716"/>
      <c r="B281" s="717"/>
      <c r="C281" s="716"/>
      <c r="D281" s="716"/>
      <c r="E281" s="716"/>
      <c r="F281" s="716"/>
      <c r="G281" s="716"/>
      <c r="H281" s="716"/>
      <c r="I281" s="716"/>
      <c r="J281" s="716"/>
      <c r="K281" s="716"/>
      <c r="L281" s="716"/>
      <c r="M281" s="716"/>
      <c r="N281" s="716"/>
      <c r="O281" s="716"/>
      <c r="P281" s="716"/>
      <c r="Q281" s="716"/>
      <c r="R281" s="716"/>
      <c r="S281" s="716"/>
      <c r="T281" s="716"/>
      <c r="U281" s="716"/>
      <c r="V281" s="716"/>
      <c r="W281" s="716"/>
      <c r="X281" s="716"/>
      <c r="Y281" s="716"/>
      <c r="Z281" s="716"/>
    </row>
    <row r="282">
      <c r="A282" s="716"/>
      <c r="B282" s="717"/>
      <c r="C282" s="716"/>
      <c r="D282" s="716"/>
      <c r="E282" s="716"/>
      <c r="F282" s="716"/>
      <c r="G282" s="716"/>
      <c r="H282" s="716"/>
      <c r="I282" s="716"/>
      <c r="J282" s="716"/>
      <c r="K282" s="716"/>
      <c r="L282" s="716"/>
      <c r="M282" s="716"/>
      <c r="N282" s="716"/>
      <c r="O282" s="716"/>
      <c r="P282" s="716"/>
      <c r="Q282" s="716"/>
      <c r="R282" s="716"/>
      <c r="S282" s="716"/>
      <c r="T282" s="716"/>
      <c r="U282" s="716"/>
      <c r="V282" s="716"/>
      <c r="W282" s="716"/>
      <c r="X282" s="716"/>
      <c r="Y282" s="716"/>
      <c r="Z282" s="716"/>
    </row>
    <row r="283">
      <c r="A283" s="716"/>
      <c r="B283" s="717"/>
      <c r="C283" s="716"/>
      <c r="D283" s="716"/>
      <c r="E283" s="716"/>
      <c r="F283" s="716"/>
      <c r="G283" s="716"/>
      <c r="H283" s="716"/>
      <c r="I283" s="716"/>
      <c r="J283" s="716"/>
      <c r="K283" s="716"/>
      <c r="L283" s="716"/>
      <c r="M283" s="716"/>
      <c r="N283" s="716"/>
      <c r="O283" s="716"/>
      <c r="P283" s="716"/>
      <c r="Q283" s="716"/>
      <c r="R283" s="716"/>
      <c r="S283" s="716"/>
      <c r="T283" s="716"/>
      <c r="U283" s="716"/>
      <c r="V283" s="716"/>
      <c r="W283" s="716"/>
      <c r="X283" s="716"/>
      <c r="Y283" s="716"/>
      <c r="Z283" s="716"/>
    </row>
    <row r="284">
      <c r="A284" s="716"/>
      <c r="B284" s="717"/>
      <c r="C284" s="716"/>
      <c r="D284" s="716"/>
      <c r="E284" s="716"/>
      <c r="F284" s="716"/>
      <c r="G284" s="716"/>
      <c r="H284" s="716"/>
      <c r="I284" s="716"/>
      <c r="J284" s="716"/>
      <c r="K284" s="716"/>
      <c r="L284" s="716"/>
      <c r="M284" s="716"/>
      <c r="N284" s="716"/>
      <c r="O284" s="716"/>
      <c r="P284" s="716"/>
      <c r="Q284" s="716"/>
      <c r="R284" s="716"/>
      <c r="S284" s="716"/>
      <c r="T284" s="716"/>
      <c r="U284" s="716"/>
      <c r="V284" s="716"/>
      <c r="W284" s="716"/>
      <c r="X284" s="716"/>
      <c r="Y284" s="716"/>
      <c r="Z284" s="716"/>
    </row>
    <row r="285">
      <c r="A285" s="716"/>
      <c r="B285" s="717"/>
      <c r="C285" s="716"/>
      <c r="D285" s="716"/>
      <c r="E285" s="716"/>
      <c r="F285" s="716"/>
      <c r="G285" s="716"/>
      <c r="H285" s="716"/>
      <c r="I285" s="716"/>
      <c r="J285" s="716"/>
      <c r="K285" s="716"/>
      <c r="L285" s="716"/>
      <c r="M285" s="716"/>
      <c r="N285" s="716"/>
      <c r="O285" s="716"/>
      <c r="P285" s="716"/>
      <c r="Q285" s="716"/>
      <c r="R285" s="716"/>
      <c r="S285" s="716"/>
      <c r="T285" s="716"/>
      <c r="U285" s="716"/>
      <c r="V285" s="716"/>
      <c r="W285" s="716"/>
      <c r="X285" s="716"/>
      <c r="Y285" s="716"/>
      <c r="Z285" s="716"/>
    </row>
    <row r="286">
      <c r="A286" s="716"/>
      <c r="B286" s="717"/>
      <c r="C286" s="716"/>
      <c r="D286" s="716"/>
      <c r="E286" s="716"/>
      <c r="F286" s="716"/>
      <c r="G286" s="716"/>
      <c r="H286" s="716"/>
      <c r="I286" s="716"/>
      <c r="J286" s="716"/>
      <c r="K286" s="716"/>
      <c r="L286" s="716"/>
      <c r="M286" s="716"/>
      <c r="N286" s="716"/>
      <c r="O286" s="716"/>
      <c r="P286" s="716"/>
      <c r="Q286" s="716"/>
      <c r="R286" s="716"/>
      <c r="S286" s="716"/>
      <c r="T286" s="716"/>
      <c r="U286" s="716"/>
      <c r="V286" s="716"/>
      <c r="W286" s="716"/>
      <c r="X286" s="716"/>
      <c r="Y286" s="716"/>
      <c r="Z286" s="716"/>
    </row>
    <row r="287">
      <c r="A287" s="716"/>
      <c r="B287" s="717"/>
      <c r="C287" s="716"/>
      <c r="D287" s="716"/>
      <c r="E287" s="716"/>
      <c r="F287" s="716"/>
      <c r="G287" s="716"/>
      <c r="H287" s="716"/>
      <c r="I287" s="716"/>
      <c r="J287" s="716"/>
      <c r="K287" s="716"/>
      <c r="L287" s="716"/>
      <c r="M287" s="716"/>
      <c r="N287" s="716"/>
      <c r="O287" s="716"/>
      <c r="P287" s="716"/>
      <c r="Q287" s="716"/>
      <c r="R287" s="716"/>
      <c r="S287" s="716"/>
      <c r="T287" s="716"/>
      <c r="U287" s="716"/>
      <c r="V287" s="716"/>
      <c r="W287" s="716"/>
      <c r="X287" s="716"/>
      <c r="Y287" s="716"/>
      <c r="Z287" s="716"/>
    </row>
    <row r="288">
      <c r="A288" s="716"/>
      <c r="B288" s="717"/>
      <c r="C288" s="716"/>
      <c r="D288" s="716"/>
      <c r="E288" s="716"/>
      <c r="F288" s="716"/>
      <c r="G288" s="716"/>
      <c r="H288" s="716"/>
      <c r="I288" s="716"/>
      <c r="J288" s="716"/>
      <c r="K288" s="716"/>
      <c r="L288" s="716"/>
      <c r="M288" s="716"/>
      <c r="N288" s="716"/>
      <c r="O288" s="716"/>
      <c r="P288" s="716"/>
      <c r="Q288" s="716"/>
      <c r="R288" s="716"/>
      <c r="S288" s="716"/>
      <c r="T288" s="716"/>
      <c r="U288" s="716"/>
      <c r="V288" s="716"/>
      <c r="W288" s="716"/>
      <c r="X288" s="716"/>
      <c r="Y288" s="716"/>
      <c r="Z288" s="716"/>
    </row>
    <row r="289">
      <c r="A289" s="716"/>
      <c r="B289" s="717"/>
      <c r="C289" s="716"/>
      <c r="D289" s="716"/>
      <c r="E289" s="716"/>
      <c r="F289" s="716"/>
      <c r="G289" s="716"/>
      <c r="H289" s="716"/>
      <c r="I289" s="716"/>
      <c r="J289" s="716"/>
      <c r="K289" s="716"/>
      <c r="L289" s="716"/>
      <c r="M289" s="716"/>
      <c r="N289" s="716"/>
      <c r="O289" s="716"/>
      <c r="P289" s="716"/>
      <c r="Q289" s="716"/>
      <c r="R289" s="716"/>
      <c r="S289" s="716"/>
      <c r="T289" s="716"/>
      <c r="U289" s="716"/>
      <c r="V289" s="716"/>
      <c r="W289" s="716"/>
      <c r="X289" s="716"/>
      <c r="Y289" s="716"/>
      <c r="Z289" s="716"/>
    </row>
    <row r="290">
      <c r="A290" s="716"/>
      <c r="B290" s="717"/>
      <c r="C290" s="716"/>
      <c r="D290" s="716"/>
      <c r="E290" s="716"/>
      <c r="F290" s="716"/>
      <c r="G290" s="716"/>
      <c r="H290" s="716"/>
      <c r="I290" s="716"/>
      <c r="J290" s="716"/>
      <c r="K290" s="716"/>
      <c r="L290" s="716"/>
      <c r="M290" s="716"/>
      <c r="N290" s="716"/>
      <c r="O290" s="716"/>
      <c r="P290" s="716"/>
      <c r="Q290" s="716"/>
      <c r="R290" s="716"/>
      <c r="S290" s="716"/>
      <c r="T290" s="716"/>
      <c r="U290" s="716"/>
      <c r="V290" s="716"/>
      <c r="W290" s="716"/>
      <c r="X290" s="716"/>
      <c r="Y290" s="716"/>
      <c r="Z290" s="716"/>
    </row>
    <row r="291">
      <c r="A291" s="716"/>
      <c r="B291" s="717"/>
      <c r="C291" s="716"/>
      <c r="D291" s="716"/>
      <c r="E291" s="716"/>
      <c r="F291" s="716"/>
      <c r="G291" s="716"/>
      <c r="H291" s="716"/>
      <c r="I291" s="716"/>
      <c r="J291" s="716"/>
      <c r="K291" s="716"/>
      <c r="L291" s="716"/>
      <c r="M291" s="716"/>
      <c r="N291" s="716"/>
      <c r="O291" s="716"/>
      <c r="P291" s="716"/>
      <c r="Q291" s="716"/>
      <c r="R291" s="716"/>
      <c r="S291" s="716"/>
      <c r="T291" s="716"/>
      <c r="U291" s="716"/>
      <c r="V291" s="716"/>
      <c r="W291" s="716"/>
      <c r="X291" s="716"/>
      <c r="Y291" s="716"/>
      <c r="Z291" s="716"/>
    </row>
    <row r="292">
      <c r="A292" s="716"/>
      <c r="B292" s="717"/>
      <c r="C292" s="716"/>
      <c r="D292" s="716"/>
      <c r="E292" s="716"/>
      <c r="F292" s="716"/>
      <c r="G292" s="716"/>
      <c r="H292" s="716"/>
      <c r="I292" s="716"/>
      <c r="J292" s="716"/>
      <c r="K292" s="716"/>
      <c r="L292" s="716"/>
      <c r="M292" s="716"/>
      <c r="N292" s="716"/>
      <c r="O292" s="716"/>
      <c r="P292" s="716"/>
      <c r="Q292" s="716"/>
      <c r="R292" s="716"/>
      <c r="S292" s="716"/>
      <c r="T292" s="716"/>
      <c r="U292" s="716"/>
      <c r="V292" s="716"/>
      <c r="W292" s="716"/>
      <c r="X292" s="716"/>
      <c r="Y292" s="716"/>
      <c r="Z292" s="716"/>
    </row>
    <row r="293">
      <c r="A293" s="716"/>
      <c r="B293" s="717"/>
      <c r="C293" s="716"/>
      <c r="D293" s="716"/>
      <c r="E293" s="716"/>
      <c r="F293" s="716"/>
      <c r="G293" s="716"/>
      <c r="H293" s="716"/>
      <c r="I293" s="716"/>
      <c r="J293" s="716"/>
      <c r="K293" s="716"/>
      <c r="L293" s="716"/>
      <c r="M293" s="716"/>
      <c r="N293" s="716"/>
      <c r="O293" s="716"/>
      <c r="P293" s="716"/>
      <c r="Q293" s="716"/>
      <c r="R293" s="716"/>
      <c r="S293" s="716"/>
      <c r="T293" s="716"/>
      <c r="U293" s="716"/>
      <c r="V293" s="716"/>
      <c r="W293" s="716"/>
      <c r="X293" s="716"/>
      <c r="Y293" s="716"/>
      <c r="Z293" s="716"/>
    </row>
    <row r="294">
      <c r="A294" s="716"/>
      <c r="B294" s="717"/>
      <c r="C294" s="716"/>
      <c r="D294" s="716"/>
      <c r="E294" s="716"/>
      <c r="F294" s="716"/>
      <c r="G294" s="716"/>
      <c r="H294" s="716"/>
      <c r="I294" s="716"/>
      <c r="J294" s="716"/>
      <c r="K294" s="716"/>
      <c r="L294" s="716"/>
      <c r="M294" s="716"/>
      <c r="N294" s="716"/>
      <c r="O294" s="716"/>
      <c r="P294" s="716"/>
      <c r="Q294" s="716"/>
      <c r="R294" s="716"/>
      <c r="S294" s="716"/>
      <c r="T294" s="716"/>
      <c r="U294" s="716"/>
      <c r="V294" s="716"/>
      <c r="W294" s="716"/>
      <c r="X294" s="716"/>
      <c r="Y294" s="716"/>
      <c r="Z294" s="716"/>
    </row>
    <row r="295">
      <c r="A295" s="716"/>
      <c r="B295" s="717"/>
      <c r="C295" s="716"/>
      <c r="D295" s="716"/>
      <c r="E295" s="716"/>
      <c r="F295" s="716"/>
      <c r="G295" s="716"/>
      <c r="H295" s="716"/>
      <c r="I295" s="716"/>
      <c r="J295" s="716"/>
      <c r="K295" s="716"/>
      <c r="L295" s="716"/>
      <c r="M295" s="716"/>
      <c r="N295" s="716"/>
      <c r="O295" s="716"/>
      <c r="P295" s="716"/>
      <c r="Q295" s="716"/>
      <c r="R295" s="716"/>
      <c r="S295" s="716"/>
      <c r="T295" s="716"/>
      <c r="U295" s="716"/>
      <c r="V295" s="716"/>
      <c r="W295" s="716"/>
      <c r="X295" s="716"/>
      <c r="Y295" s="716"/>
      <c r="Z295" s="716"/>
    </row>
    <row r="296">
      <c r="A296" s="716"/>
      <c r="B296" s="717"/>
      <c r="C296" s="716"/>
      <c r="D296" s="716"/>
      <c r="E296" s="716"/>
      <c r="F296" s="716"/>
      <c r="G296" s="716"/>
      <c r="H296" s="716"/>
      <c r="I296" s="716"/>
      <c r="J296" s="716"/>
      <c r="K296" s="716"/>
      <c r="L296" s="716"/>
      <c r="M296" s="716"/>
      <c r="N296" s="716"/>
      <c r="O296" s="716"/>
      <c r="P296" s="716"/>
      <c r="Q296" s="716"/>
      <c r="R296" s="716"/>
      <c r="S296" s="716"/>
      <c r="T296" s="716"/>
      <c r="U296" s="716"/>
      <c r="V296" s="716"/>
      <c r="W296" s="716"/>
      <c r="X296" s="716"/>
      <c r="Y296" s="716"/>
      <c r="Z296" s="716"/>
    </row>
    <row r="297">
      <c r="A297" s="716"/>
      <c r="B297" s="717"/>
      <c r="C297" s="716"/>
      <c r="D297" s="716"/>
      <c r="E297" s="716"/>
      <c r="F297" s="716"/>
      <c r="G297" s="716"/>
      <c r="H297" s="716"/>
      <c r="I297" s="716"/>
      <c r="J297" s="716"/>
      <c r="K297" s="716"/>
      <c r="L297" s="716"/>
      <c r="M297" s="716"/>
      <c r="N297" s="716"/>
      <c r="O297" s="716"/>
      <c r="P297" s="716"/>
      <c r="Q297" s="716"/>
      <c r="R297" s="716"/>
      <c r="S297" s="716"/>
      <c r="T297" s="716"/>
      <c r="U297" s="716"/>
      <c r="V297" s="716"/>
      <c r="W297" s="716"/>
      <c r="X297" s="716"/>
      <c r="Y297" s="716"/>
      <c r="Z297" s="716"/>
    </row>
    <row r="298">
      <c r="A298" s="716"/>
      <c r="B298" s="717"/>
      <c r="C298" s="716"/>
      <c r="D298" s="716"/>
      <c r="E298" s="716"/>
      <c r="F298" s="716"/>
      <c r="G298" s="716"/>
      <c r="H298" s="716"/>
      <c r="I298" s="716"/>
      <c r="J298" s="716"/>
      <c r="K298" s="716"/>
      <c r="L298" s="716"/>
      <c r="M298" s="716"/>
      <c r="N298" s="716"/>
      <c r="O298" s="716"/>
      <c r="P298" s="716"/>
      <c r="Q298" s="716"/>
      <c r="R298" s="716"/>
      <c r="S298" s="716"/>
      <c r="T298" s="716"/>
      <c r="U298" s="716"/>
      <c r="V298" s="716"/>
      <c r="W298" s="716"/>
      <c r="X298" s="716"/>
      <c r="Y298" s="716"/>
      <c r="Z298" s="716"/>
    </row>
    <row r="299">
      <c r="A299" s="716"/>
      <c r="B299" s="717"/>
      <c r="C299" s="716"/>
      <c r="D299" s="716"/>
      <c r="E299" s="716"/>
      <c r="F299" s="716"/>
      <c r="G299" s="716"/>
      <c r="H299" s="716"/>
      <c r="I299" s="716"/>
      <c r="J299" s="716"/>
      <c r="K299" s="716"/>
      <c r="L299" s="716"/>
      <c r="M299" s="716"/>
      <c r="N299" s="716"/>
      <c r="O299" s="716"/>
      <c r="P299" s="716"/>
      <c r="Q299" s="716"/>
      <c r="R299" s="716"/>
      <c r="S299" s="716"/>
      <c r="T299" s="716"/>
      <c r="U299" s="716"/>
      <c r="V299" s="716"/>
      <c r="W299" s="716"/>
      <c r="X299" s="716"/>
      <c r="Y299" s="716"/>
      <c r="Z299" s="716"/>
    </row>
    <row r="300">
      <c r="A300" s="716"/>
      <c r="B300" s="717"/>
      <c r="C300" s="716"/>
      <c r="D300" s="716"/>
      <c r="E300" s="716"/>
      <c r="F300" s="716"/>
      <c r="G300" s="716"/>
      <c r="H300" s="716"/>
      <c r="I300" s="716"/>
      <c r="J300" s="716"/>
      <c r="K300" s="716"/>
      <c r="L300" s="716"/>
      <c r="M300" s="716"/>
      <c r="N300" s="716"/>
      <c r="O300" s="716"/>
      <c r="P300" s="716"/>
      <c r="Q300" s="716"/>
      <c r="R300" s="716"/>
      <c r="S300" s="716"/>
      <c r="T300" s="716"/>
      <c r="U300" s="716"/>
      <c r="V300" s="716"/>
      <c r="W300" s="716"/>
      <c r="X300" s="716"/>
      <c r="Y300" s="716"/>
      <c r="Z300" s="716"/>
    </row>
    <row r="301">
      <c r="A301" s="716"/>
      <c r="B301" s="717"/>
      <c r="C301" s="716"/>
      <c r="D301" s="716"/>
      <c r="E301" s="716"/>
      <c r="F301" s="716"/>
      <c r="G301" s="716"/>
      <c r="H301" s="716"/>
      <c r="I301" s="716"/>
      <c r="J301" s="716"/>
      <c r="K301" s="716"/>
      <c r="L301" s="716"/>
      <c r="M301" s="716"/>
      <c r="N301" s="716"/>
      <c r="O301" s="716"/>
      <c r="P301" s="716"/>
      <c r="Q301" s="716"/>
      <c r="R301" s="716"/>
      <c r="S301" s="716"/>
      <c r="T301" s="716"/>
      <c r="U301" s="716"/>
      <c r="V301" s="716"/>
      <c r="W301" s="716"/>
      <c r="X301" s="716"/>
      <c r="Y301" s="716"/>
      <c r="Z301" s="716"/>
    </row>
    <row r="302">
      <c r="A302" s="716"/>
      <c r="B302" s="717"/>
      <c r="C302" s="716"/>
      <c r="D302" s="716"/>
      <c r="E302" s="716"/>
      <c r="F302" s="716"/>
      <c r="G302" s="716"/>
      <c r="H302" s="716"/>
      <c r="I302" s="716"/>
      <c r="J302" s="716"/>
      <c r="K302" s="716"/>
      <c r="L302" s="716"/>
      <c r="M302" s="716"/>
      <c r="N302" s="716"/>
      <c r="O302" s="716"/>
      <c r="P302" s="716"/>
      <c r="Q302" s="716"/>
      <c r="R302" s="716"/>
      <c r="S302" s="716"/>
      <c r="T302" s="716"/>
      <c r="U302" s="716"/>
      <c r="V302" s="716"/>
      <c r="W302" s="716"/>
      <c r="X302" s="716"/>
      <c r="Y302" s="716"/>
      <c r="Z302" s="716"/>
    </row>
    <row r="303">
      <c r="A303" s="716"/>
      <c r="B303" s="717"/>
      <c r="C303" s="716"/>
      <c r="D303" s="716"/>
      <c r="E303" s="716"/>
      <c r="F303" s="716"/>
      <c r="G303" s="716"/>
      <c r="H303" s="716"/>
      <c r="I303" s="716"/>
      <c r="J303" s="716"/>
      <c r="K303" s="716"/>
      <c r="L303" s="716"/>
      <c r="M303" s="716"/>
      <c r="N303" s="716"/>
      <c r="O303" s="716"/>
      <c r="P303" s="716"/>
      <c r="Q303" s="716"/>
      <c r="R303" s="716"/>
      <c r="S303" s="716"/>
      <c r="T303" s="716"/>
      <c r="U303" s="716"/>
      <c r="V303" s="716"/>
      <c r="W303" s="716"/>
      <c r="X303" s="716"/>
      <c r="Y303" s="716"/>
      <c r="Z303" s="716"/>
    </row>
    <row r="304">
      <c r="A304" s="716"/>
      <c r="B304" s="717"/>
      <c r="C304" s="716"/>
      <c r="D304" s="716"/>
      <c r="E304" s="716"/>
      <c r="F304" s="716"/>
      <c r="G304" s="716"/>
      <c r="H304" s="716"/>
      <c r="I304" s="716"/>
      <c r="J304" s="716"/>
      <c r="K304" s="716"/>
      <c r="L304" s="716"/>
      <c r="M304" s="716"/>
      <c r="N304" s="716"/>
      <c r="O304" s="716"/>
      <c r="P304" s="716"/>
      <c r="Q304" s="716"/>
      <c r="R304" s="716"/>
      <c r="S304" s="716"/>
      <c r="T304" s="716"/>
      <c r="U304" s="716"/>
      <c r="V304" s="716"/>
      <c r="W304" s="716"/>
      <c r="X304" s="716"/>
      <c r="Y304" s="716"/>
      <c r="Z304" s="716"/>
    </row>
    <row r="305">
      <c r="A305" s="716"/>
      <c r="B305" s="717"/>
      <c r="C305" s="716"/>
      <c r="D305" s="716"/>
      <c r="E305" s="716"/>
      <c r="F305" s="716"/>
      <c r="G305" s="716"/>
      <c r="H305" s="716"/>
      <c r="I305" s="716"/>
      <c r="J305" s="716"/>
      <c r="K305" s="716"/>
      <c r="L305" s="716"/>
      <c r="M305" s="716"/>
      <c r="N305" s="716"/>
      <c r="O305" s="716"/>
      <c r="P305" s="716"/>
      <c r="Q305" s="716"/>
      <c r="R305" s="716"/>
      <c r="S305" s="716"/>
      <c r="T305" s="716"/>
      <c r="U305" s="716"/>
      <c r="V305" s="716"/>
      <c r="W305" s="716"/>
      <c r="X305" s="716"/>
      <c r="Y305" s="716"/>
      <c r="Z305" s="716"/>
    </row>
    <row r="306">
      <c r="A306" s="716"/>
      <c r="B306" s="717"/>
      <c r="C306" s="716"/>
      <c r="D306" s="716"/>
      <c r="E306" s="716"/>
      <c r="F306" s="716"/>
      <c r="G306" s="716"/>
      <c r="H306" s="716"/>
      <c r="I306" s="716"/>
      <c r="J306" s="716"/>
      <c r="K306" s="716"/>
      <c r="L306" s="716"/>
      <c r="M306" s="716"/>
      <c r="N306" s="716"/>
      <c r="O306" s="716"/>
      <c r="P306" s="716"/>
      <c r="Q306" s="716"/>
      <c r="R306" s="716"/>
      <c r="S306" s="716"/>
      <c r="T306" s="716"/>
      <c r="U306" s="716"/>
      <c r="V306" s="716"/>
      <c r="W306" s="716"/>
      <c r="X306" s="716"/>
      <c r="Y306" s="716"/>
      <c r="Z306" s="716"/>
    </row>
    <row r="307">
      <c r="A307" s="716"/>
      <c r="B307" s="717"/>
      <c r="C307" s="716"/>
      <c r="D307" s="716"/>
      <c r="E307" s="716"/>
      <c r="F307" s="716"/>
      <c r="G307" s="716"/>
      <c r="H307" s="716"/>
      <c r="I307" s="716"/>
      <c r="J307" s="716"/>
      <c r="K307" s="716"/>
      <c r="L307" s="716"/>
      <c r="M307" s="716"/>
      <c r="N307" s="716"/>
      <c r="O307" s="716"/>
      <c r="P307" s="716"/>
      <c r="Q307" s="716"/>
      <c r="R307" s="716"/>
      <c r="S307" s="716"/>
      <c r="T307" s="716"/>
      <c r="U307" s="716"/>
      <c r="V307" s="716"/>
      <c r="W307" s="716"/>
      <c r="X307" s="716"/>
      <c r="Y307" s="716"/>
      <c r="Z307" s="716"/>
    </row>
    <row r="308">
      <c r="A308" s="716"/>
      <c r="B308" s="717"/>
      <c r="C308" s="716"/>
      <c r="D308" s="716"/>
      <c r="E308" s="716"/>
      <c r="F308" s="716"/>
      <c r="G308" s="716"/>
      <c r="H308" s="716"/>
      <c r="I308" s="716"/>
      <c r="J308" s="716"/>
      <c r="K308" s="716"/>
      <c r="L308" s="716"/>
      <c r="M308" s="716"/>
      <c r="N308" s="716"/>
      <c r="O308" s="716"/>
      <c r="P308" s="716"/>
      <c r="Q308" s="716"/>
      <c r="R308" s="716"/>
      <c r="S308" s="716"/>
      <c r="T308" s="716"/>
      <c r="U308" s="716"/>
      <c r="V308" s="716"/>
      <c r="W308" s="716"/>
      <c r="X308" s="716"/>
      <c r="Y308" s="716"/>
      <c r="Z308" s="716"/>
    </row>
    <row r="309">
      <c r="A309" s="716"/>
      <c r="B309" s="717"/>
      <c r="C309" s="716"/>
      <c r="D309" s="716"/>
      <c r="E309" s="716"/>
      <c r="F309" s="716"/>
      <c r="G309" s="716"/>
      <c r="H309" s="716"/>
      <c r="I309" s="716"/>
      <c r="J309" s="716"/>
      <c r="K309" s="716"/>
      <c r="L309" s="716"/>
      <c r="M309" s="716"/>
      <c r="N309" s="716"/>
      <c r="O309" s="716"/>
      <c r="P309" s="716"/>
      <c r="Q309" s="716"/>
      <c r="R309" s="716"/>
      <c r="S309" s="716"/>
      <c r="T309" s="716"/>
      <c r="U309" s="716"/>
      <c r="V309" s="716"/>
      <c r="W309" s="716"/>
      <c r="X309" s="716"/>
      <c r="Y309" s="716"/>
      <c r="Z309" s="716"/>
    </row>
    <row r="310">
      <c r="A310" s="716"/>
      <c r="B310" s="717"/>
      <c r="C310" s="716"/>
      <c r="D310" s="716"/>
      <c r="E310" s="716"/>
      <c r="F310" s="716"/>
      <c r="G310" s="716"/>
      <c r="H310" s="716"/>
      <c r="I310" s="716"/>
      <c r="J310" s="716"/>
      <c r="K310" s="716"/>
      <c r="L310" s="716"/>
      <c r="M310" s="716"/>
      <c r="N310" s="716"/>
      <c r="O310" s="716"/>
      <c r="P310" s="716"/>
      <c r="Q310" s="716"/>
      <c r="R310" s="716"/>
      <c r="S310" s="716"/>
      <c r="T310" s="716"/>
      <c r="U310" s="716"/>
      <c r="V310" s="716"/>
      <c r="W310" s="716"/>
      <c r="X310" s="716"/>
      <c r="Y310" s="716"/>
      <c r="Z310" s="716"/>
    </row>
    <row r="311">
      <c r="A311" s="716"/>
      <c r="B311" s="717"/>
      <c r="C311" s="716"/>
      <c r="D311" s="716"/>
      <c r="E311" s="716"/>
      <c r="F311" s="716"/>
      <c r="G311" s="716"/>
      <c r="H311" s="716"/>
      <c r="I311" s="716"/>
      <c r="J311" s="716"/>
      <c r="K311" s="716"/>
      <c r="L311" s="716"/>
      <c r="M311" s="716"/>
      <c r="N311" s="716"/>
      <c r="O311" s="716"/>
      <c r="P311" s="716"/>
      <c r="Q311" s="716"/>
      <c r="R311" s="716"/>
      <c r="S311" s="716"/>
      <c r="T311" s="716"/>
      <c r="U311" s="716"/>
      <c r="V311" s="716"/>
      <c r="W311" s="716"/>
      <c r="X311" s="716"/>
      <c r="Y311" s="716"/>
      <c r="Z311" s="716"/>
    </row>
    <row r="312">
      <c r="A312" s="716"/>
      <c r="B312" s="717"/>
      <c r="C312" s="716"/>
      <c r="D312" s="716"/>
      <c r="E312" s="716"/>
      <c r="F312" s="716"/>
      <c r="G312" s="716"/>
      <c r="H312" s="716"/>
      <c r="I312" s="716"/>
      <c r="J312" s="716"/>
      <c r="K312" s="716"/>
      <c r="L312" s="716"/>
      <c r="M312" s="716"/>
      <c r="N312" s="716"/>
      <c r="O312" s="716"/>
      <c r="P312" s="716"/>
      <c r="Q312" s="716"/>
      <c r="R312" s="716"/>
      <c r="S312" s="716"/>
      <c r="T312" s="716"/>
      <c r="U312" s="716"/>
      <c r="V312" s="716"/>
      <c r="W312" s="716"/>
      <c r="X312" s="716"/>
      <c r="Y312" s="716"/>
      <c r="Z312" s="716"/>
    </row>
    <row r="313">
      <c r="A313" s="716"/>
      <c r="B313" s="717"/>
      <c r="C313" s="716"/>
      <c r="D313" s="716"/>
      <c r="E313" s="716"/>
      <c r="F313" s="716"/>
      <c r="G313" s="716"/>
      <c r="H313" s="716"/>
      <c r="I313" s="716"/>
      <c r="J313" s="716"/>
      <c r="K313" s="716"/>
      <c r="L313" s="716"/>
      <c r="M313" s="716"/>
      <c r="N313" s="716"/>
      <c r="O313" s="716"/>
      <c r="P313" s="716"/>
      <c r="Q313" s="716"/>
      <c r="R313" s="716"/>
      <c r="S313" s="716"/>
      <c r="T313" s="716"/>
      <c r="U313" s="716"/>
      <c r="V313" s="716"/>
      <c r="W313" s="716"/>
      <c r="X313" s="716"/>
      <c r="Y313" s="716"/>
      <c r="Z313" s="716"/>
    </row>
    <row r="314">
      <c r="A314" s="716"/>
      <c r="B314" s="717"/>
      <c r="C314" s="716"/>
      <c r="D314" s="716"/>
      <c r="E314" s="716"/>
      <c r="F314" s="716"/>
      <c r="G314" s="716"/>
      <c r="H314" s="716"/>
      <c r="I314" s="716"/>
      <c r="J314" s="716"/>
      <c r="K314" s="716"/>
      <c r="L314" s="716"/>
      <c r="M314" s="716"/>
      <c r="N314" s="716"/>
      <c r="O314" s="716"/>
      <c r="P314" s="716"/>
      <c r="Q314" s="716"/>
      <c r="R314" s="716"/>
      <c r="S314" s="716"/>
      <c r="T314" s="716"/>
      <c r="U314" s="716"/>
      <c r="V314" s="716"/>
      <c r="W314" s="716"/>
      <c r="X314" s="716"/>
      <c r="Y314" s="716"/>
      <c r="Z314" s="716"/>
    </row>
    <row r="315">
      <c r="A315" s="716"/>
      <c r="B315" s="717"/>
      <c r="C315" s="716"/>
      <c r="D315" s="716"/>
      <c r="E315" s="716"/>
      <c r="F315" s="716"/>
      <c r="G315" s="716"/>
      <c r="H315" s="716"/>
      <c r="I315" s="716"/>
      <c r="J315" s="716"/>
      <c r="K315" s="716"/>
      <c r="L315" s="716"/>
      <c r="M315" s="716"/>
      <c r="N315" s="716"/>
      <c r="O315" s="716"/>
      <c r="P315" s="716"/>
      <c r="Q315" s="716"/>
      <c r="R315" s="716"/>
      <c r="S315" s="716"/>
      <c r="T315" s="716"/>
      <c r="U315" s="716"/>
      <c r="V315" s="716"/>
      <c r="W315" s="716"/>
      <c r="X315" s="716"/>
      <c r="Y315" s="716"/>
      <c r="Z315" s="716"/>
    </row>
    <row r="316">
      <c r="A316" s="716"/>
      <c r="B316" s="717"/>
      <c r="C316" s="716"/>
      <c r="D316" s="716"/>
      <c r="E316" s="716"/>
      <c r="F316" s="716"/>
      <c r="G316" s="716"/>
      <c r="H316" s="716"/>
      <c r="I316" s="716"/>
      <c r="J316" s="716"/>
      <c r="K316" s="716"/>
      <c r="L316" s="716"/>
      <c r="M316" s="716"/>
      <c r="N316" s="716"/>
      <c r="O316" s="716"/>
      <c r="P316" s="716"/>
      <c r="Q316" s="716"/>
      <c r="R316" s="716"/>
      <c r="S316" s="716"/>
      <c r="T316" s="716"/>
      <c r="U316" s="716"/>
      <c r="V316" s="716"/>
      <c r="W316" s="716"/>
      <c r="X316" s="716"/>
      <c r="Y316" s="716"/>
      <c r="Z316" s="716"/>
    </row>
    <row r="317">
      <c r="A317" s="716"/>
      <c r="B317" s="717"/>
      <c r="C317" s="716"/>
      <c r="D317" s="716"/>
      <c r="E317" s="716"/>
      <c r="F317" s="716"/>
      <c r="G317" s="716"/>
      <c r="H317" s="716"/>
      <c r="I317" s="716"/>
      <c r="J317" s="716"/>
      <c r="K317" s="716"/>
      <c r="L317" s="716"/>
      <c r="M317" s="716"/>
      <c r="N317" s="716"/>
      <c r="O317" s="716"/>
      <c r="P317" s="716"/>
      <c r="Q317" s="716"/>
      <c r="R317" s="716"/>
      <c r="S317" s="716"/>
      <c r="T317" s="716"/>
      <c r="U317" s="716"/>
      <c r="V317" s="716"/>
      <c r="W317" s="716"/>
      <c r="X317" s="716"/>
      <c r="Y317" s="716"/>
      <c r="Z317" s="716"/>
    </row>
    <row r="318">
      <c r="A318" s="716"/>
      <c r="B318" s="717"/>
      <c r="C318" s="716"/>
      <c r="D318" s="716"/>
      <c r="E318" s="716"/>
      <c r="F318" s="716"/>
      <c r="G318" s="716"/>
      <c r="H318" s="716"/>
      <c r="I318" s="716"/>
      <c r="J318" s="716"/>
      <c r="K318" s="716"/>
      <c r="L318" s="716"/>
      <c r="M318" s="716"/>
      <c r="N318" s="716"/>
      <c r="O318" s="716"/>
      <c r="P318" s="716"/>
      <c r="Q318" s="716"/>
      <c r="R318" s="716"/>
      <c r="S318" s="716"/>
      <c r="T318" s="716"/>
      <c r="U318" s="716"/>
      <c r="V318" s="716"/>
      <c r="W318" s="716"/>
      <c r="X318" s="716"/>
      <c r="Y318" s="716"/>
      <c r="Z318" s="716"/>
    </row>
    <row r="319">
      <c r="A319" s="716"/>
      <c r="B319" s="717"/>
      <c r="C319" s="716"/>
      <c r="D319" s="716"/>
      <c r="E319" s="716"/>
      <c r="F319" s="716"/>
      <c r="G319" s="716"/>
      <c r="H319" s="716"/>
      <c r="I319" s="716"/>
      <c r="J319" s="716"/>
      <c r="K319" s="716"/>
      <c r="L319" s="716"/>
      <c r="M319" s="716"/>
      <c r="N319" s="716"/>
      <c r="O319" s="716"/>
      <c r="P319" s="716"/>
      <c r="Q319" s="716"/>
      <c r="R319" s="716"/>
      <c r="S319" s="716"/>
      <c r="T319" s="716"/>
      <c r="U319" s="716"/>
      <c r="V319" s="716"/>
      <c r="W319" s="716"/>
      <c r="X319" s="716"/>
      <c r="Y319" s="716"/>
      <c r="Z319" s="716"/>
    </row>
    <row r="320">
      <c r="A320" s="716"/>
      <c r="B320" s="717"/>
      <c r="C320" s="716"/>
      <c r="D320" s="716"/>
      <c r="E320" s="716"/>
      <c r="F320" s="716"/>
      <c r="G320" s="716"/>
      <c r="H320" s="716"/>
      <c r="I320" s="716"/>
      <c r="J320" s="716"/>
      <c r="K320" s="716"/>
      <c r="L320" s="716"/>
      <c r="M320" s="716"/>
      <c r="N320" s="716"/>
      <c r="O320" s="716"/>
      <c r="P320" s="716"/>
      <c r="Q320" s="716"/>
      <c r="R320" s="716"/>
      <c r="S320" s="716"/>
      <c r="T320" s="716"/>
      <c r="U320" s="716"/>
      <c r="V320" s="716"/>
      <c r="W320" s="716"/>
      <c r="X320" s="716"/>
      <c r="Y320" s="716"/>
      <c r="Z320" s="716"/>
    </row>
    <row r="321">
      <c r="A321" s="716"/>
      <c r="B321" s="717"/>
      <c r="C321" s="716"/>
      <c r="D321" s="716"/>
      <c r="E321" s="716"/>
      <c r="F321" s="716"/>
      <c r="G321" s="716"/>
      <c r="H321" s="716"/>
      <c r="I321" s="716"/>
      <c r="J321" s="716"/>
      <c r="K321" s="716"/>
      <c r="L321" s="716"/>
      <c r="M321" s="716"/>
      <c r="N321" s="716"/>
      <c r="O321" s="716"/>
      <c r="P321" s="716"/>
      <c r="Q321" s="716"/>
      <c r="R321" s="716"/>
      <c r="S321" s="716"/>
      <c r="T321" s="716"/>
      <c r="U321" s="716"/>
      <c r="V321" s="716"/>
      <c r="W321" s="716"/>
      <c r="X321" s="716"/>
      <c r="Y321" s="716"/>
      <c r="Z321" s="716"/>
    </row>
    <row r="322">
      <c r="A322" s="716"/>
      <c r="B322" s="717"/>
      <c r="C322" s="716"/>
      <c r="D322" s="716"/>
      <c r="E322" s="716"/>
      <c r="F322" s="716"/>
      <c r="G322" s="716"/>
      <c r="H322" s="716"/>
      <c r="I322" s="716"/>
      <c r="J322" s="716"/>
      <c r="K322" s="716"/>
      <c r="L322" s="716"/>
      <c r="M322" s="716"/>
      <c r="N322" s="716"/>
      <c r="O322" s="716"/>
      <c r="P322" s="716"/>
      <c r="Q322" s="716"/>
      <c r="R322" s="716"/>
      <c r="S322" s="716"/>
      <c r="T322" s="716"/>
      <c r="U322" s="716"/>
      <c r="V322" s="716"/>
      <c r="W322" s="716"/>
      <c r="X322" s="716"/>
      <c r="Y322" s="716"/>
      <c r="Z322" s="716"/>
    </row>
    <row r="323">
      <c r="A323" s="716"/>
      <c r="B323" s="717"/>
      <c r="C323" s="716"/>
      <c r="D323" s="716"/>
      <c r="E323" s="716"/>
      <c r="F323" s="716"/>
      <c r="G323" s="716"/>
      <c r="H323" s="716"/>
      <c r="I323" s="716"/>
      <c r="J323" s="716"/>
      <c r="K323" s="716"/>
      <c r="L323" s="716"/>
      <c r="M323" s="716"/>
      <c r="N323" s="716"/>
      <c r="O323" s="716"/>
      <c r="P323" s="716"/>
      <c r="Q323" s="716"/>
      <c r="R323" s="716"/>
      <c r="S323" s="716"/>
      <c r="T323" s="716"/>
      <c r="U323" s="716"/>
      <c r="V323" s="716"/>
      <c r="W323" s="716"/>
      <c r="X323" s="716"/>
      <c r="Y323" s="716"/>
      <c r="Z323" s="716"/>
    </row>
    <row r="324">
      <c r="A324" s="716"/>
      <c r="B324" s="717"/>
      <c r="C324" s="716"/>
      <c r="D324" s="716"/>
      <c r="E324" s="716"/>
      <c r="F324" s="716"/>
      <c r="G324" s="716"/>
      <c r="H324" s="716"/>
      <c r="I324" s="716"/>
      <c r="J324" s="716"/>
      <c r="K324" s="716"/>
      <c r="L324" s="716"/>
      <c r="M324" s="716"/>
      <c r="N324" s="716"/>
      <c r="O324" s="716"/>
      <c r="P324" s="716"/>
      <c r="Q324" s="716"/>
      <c r="R324" s="716"/>
      <c r="S324" s="716"/>
      <c r="T324" s="716"/>
      <c r="U324" s="716"/>
      <c r="V324" s="716"/>
      <c r="W324" s="716"/>
      <c r="X324" s="716"/>
      <c r="Y324" s="716"/>
      <c r="Z324" s="716"/>
    </row>
    <row r="325">
      <c r="A325" s="716"/>
      <c r="B325" s="717"/>
      <c r="C325" s="716"/>
      <c r="D325" s="716"/>
      <c r="E325" s="716"/>
      <c r="F325" s="716"/>
      <c r="G325" s="716"/>
      <c r="H325" s="716"/>
      <c r="I325" s="716"/>
      <c r="J325" s="716"/>
      <c r="K325" s="716"/>
      <c r="L325" s="716"/>
      <c r="M325" s="716"/>
      <c r="N325" s="716"/>
      <c r="O325" s="716"/>
      <c r="P325" s="716"/>
      <c r="Q325" s="716"/>
      <c r="R325" s="716"/>
      <c r="S325" s="716"/>
      <c r="T325" s="716"/>
      <c r="U325" s="716"/>
      <c r="V325" s="716"/>
      <c r="W325" s="716"/>
      <c r="X325" s="716"/>
      <c r="Y325" s="716"/>
      <c r="Z325" s="716"/>
    </row>
    <row r="326">
      <c r="A326" s="716"/>
      <c r="B326" s="717"/>
      <c r="C326" s="716"/>
      <c r="D326" s="716"/>
      <c r="E326" s="716"/>
      <c r="F326" s="716"/>
      <c r="G326" s="716"/>
      <c r="H326" s="716"/>
      <c r="I326" s="716"/>
      <c r="J326" s="716"/>
      <c r="K326" s="716"/>
      <c r="L326" s="716"/>
      <c r="M326" s="716"/>
      <c r="N326" s="716"/>
      <c r="O326" s="716"/>
      <c r="P326" s="716"/>
      <c r="Q326" s="716"/>
      <c r="R326" s="716"/>
      <c r="S326" s="716"/>
      <c r="T326" s="716"/>
      <c r="U326" s="716"/>
      <c r="V326" s="716"/>
      <c r="W326" s="716"/>
      <c r="X326" s="716"/>
      <c r="Y326" s="716"/>
      <c r="Z326" s="716"/>
    </row>
    <row r="327">
      <c r="A327" s="716"/>
      <c r="B327" s="717"/>
      <c r="C327" s="716"/>
      <c r="D327" s="716"/>
      <c r="E327" s="716"/>
      <c r="F327" s="716"/>
      <c r="G327" s="716"/>
      <c r="H327" s="716"/>
      <c r="I327" s="716"/>
      <c r="J327" s="716"/>
      <c r="K327" s="716"/>
      <c r="L327" s="716"/>
      <c r="M327" s="716"/>
      <c r="N327" s="716"/>
      <c r="O327" s="716"/>
      <c r="P327" s="716"/>
      <c r="Q327" s="716"/>
      <c r="R327" s="716"/>
      <c r="S327" s="716"/>
      <c r="T327" s="716"/>
      <c r="U327" s="716"/>
      <c r="V327" s="716"/>
      <c r="W327" s="716"/>
      <c r="X327" s="716"/>
      <c r="Y327" s="716"/>
      <c r="Z327" s="716"/>
    </row>
    <row r="328">
      <c r="A328" s="716"/>
      <c r="B328" s="717"/>
      <c r="C328" s="716"/>
      <c r="D328" s="716"/>
      <c r="E328" s="716"/>
      <c r="F328" s="716"/>
      <c r="G328" s="716"/>
      <c r="H328" s="716"/>
      <c r="I328" s="716"/>
      <c r="J328" s="716"/>
      <c r="K328" s="716"/>
      <c r="L328" s="716"/>
      <c r="M328" s="716"/>
      <c r="N328" s="716"/>
      <c r="O328" s="716"/>
      <c r="P328" s="716"/>
      <c r="Q328" s="716"/>
      <c r="R328" s="716"/>
      <c r="S328" s="716"/>
      <c r="T328" s="716"/>
      <c r="U328" s="716"/>
      <c r="V328" s="716"/>
      <c r="W328" s="716"/>
      <c r="X328" s="716"/>
      <c r="Y328" s="716"/>
      <c r="Z328" s="716"/>
    </row>
    <row r="329">
      <c r="A329" s="716"/>
      <c r="B329" s="717"/>
      <c r="C329" s="716"/>
      <c r="D329" s="716"/>
      <c r="E329" s="716"/>
      <c r="F329" s="716"/>
      <c r="G329" s="716"/>
      <c r="H329" s="716"/>
      <c r="I329" s="716"/>
      <c r="J329" s="716"/>
      <c r="K329" s="716"/>
      <c r="L329" s="716"/>
      <c r="M329" s="716"/>
      <c r="N329" s="716"/>
      <c r="O329" s="716"/>
      <c r="P329" s="716"/>
      <c r="Q329" s="716"/>
      <c r="R329" s="716"/>
      <c r="S329" s="716"/>
      <c r="T329" s="716"/>
      <c r="U329" s="716"/>
      <c r="V329" s="716"/>
      <c r="W329" s="716"/>
      <c r="X329" s="716"/>
      <c r="Y329" s="716"/>
      <c r="Z329" s="716"/>
    </row>
    <row r="330">
      <c r="A330" s="716"/>
      <c r="B330" s="717"/>
      <c r="C330" s="716"/>
      <c r="D330" s="716"/>
      <c r="E330" s="716"/>
      <c r="F330" s="716"/>
      <c r="G330" s="716"/>
      <c r="H330" s="716"/>
      <c r="I330" s="716"/>
      <c r="J330" s="716"/>
      <c r="K330" s="716"/>
      <c r="L330" s="716"/>
      <c r="M330" s="716"/>
      <c r="N330" s="716"/>
      <c r="O330" s="716"/>
      <c r="P330" s="716"/>
      <c r="Q330" s="716"/>
      <c r="R330" s="716"/>
      <c r="S330" s="716"/>
      <c r="T330" s="716"/>
      <c r="U330" s="716"/>
      <c r="V330" s="716"/>
      <c r="W330" s="716"/>
      <c r="X330" s="716"/>
      <c r="Y330" s="716"/>
      <c r="Z330" s="716"/>
    </row>
    <row r="331">
      <c r="A331" s="716"/>
      <c r="B331" s="717"/>
      <c r="C331" s="716"/>
      <c r="D331" s="716"/>
      <c r="E331" s="716"/>
      <c r="F331" s="716"/>
      <c r="G331" s="716"/>
      <c r="H331" s="716"/>
      <c r="I331" s="716"/>
      <c r="J331" s="716"/>
      <c r="K331" s="716"/>
      <c r="L331" s="716"/>
      <c r="M331" s="716"/>
      <c r="N331" s="716"/>
      <c r="O331" s="716"/>
      <c r="P331" s="716"/>
      <c r="Q331" s="716"/>
      <c r="R331" s="716"/>
      <c r="S331" s="716"/>
      <c r="T331" s="716"/>
      <c r="U331" s="716"/>
      <c r="V331" s="716"/>
      <c r="W331" s="716"/>
      <c r="X331" s="716"/>
      <c r="Y331" s="716"/>
      <c r="Z331" s="716"/>
    </row>
    <row r="332">
      <c r="A332" s="716"/>
      <c r="B332" s="717"/>
      <c r="C332" s="716"/>
      <c r="D332" s="716"/>
      <c r="E332" s="716"/>
      <c r="F332" s="716"/>
      <c r="G332" s="716"/>
      <c r="H332" s="716"/>
      <c r="I332" s="716"/>
      <c r="J332" s="716"/>
      <c r="K332" s="716"/>
      <c r="L332" s="716"/>
      <c r="M332" s="716"/>
      <c r="N332" s="716"/>
      <c r="O332" s="716"/>
      <c r="P332" s="716"/>
      <c r="Q332" s="716"/>
      <c r="R332" s="716"/>
      <c r="S332" s="716"/>
      <c r="T332" s="716"/>
      <c r="U332" s="716"/>
      <c r="V332" s="716"/>
      <c r="W332" s="716"/>
      <c r="X332" s="716"/>
      <c r="Y332" s="716"/>
      <c r="Z332" s="716"/>
    </row>
    <row r="333">
      <c r="A333" s="716"/>
      <c r="B333" s="717"/>
      <c r="C333" s="716"/>
      <c r="D333" s="716"/>
      <c r="E333" s="716"/>
      <c r="F333" s="716"/>
      <c r="G333" s="716"/>
      <c r="H333" s="716"/>
      <c r="I333" s="716"/>
      <c r="J333" s="716"/>
      <c r="K333" s="716"/>
      <c r="L333" s="716"/>
      <c r="M333" s="716"/>
      <c r="N333" s="716"/>
      <c r="O333" s="716"/>
      <c r="P333" s="716"/>
      <c r="Q333" s="716"/>
      <c r="R333" s="716"/>
      <c r="S333" s="716"/>
      <c r="T333" s="716"/>
      <c r="U333" s="716"/>
      <c r="V333" s="716"/>
      <c r="W333" s="716"/>
      <c r="X333" s="716"/>
      <c r="Y333" s="716"/>
      <c r="Z333" s="716"/>
    </row>
    <row r="334">
      <c r="A334" s="716"/>
      <c r="B334" s="717"/>
      <c r="C334" s="716"/>
      <c r="D334" s="716"/>
      <c r="E334" s="716"/>
      <c r="F334" s="716"/>
      <c r="G334" s="716"/>
      <c r="H334" s="716"/>
      <c r="I334" s="716"/>
      <c r="J334" s="716"/>
      <c r="K334" s="716"/>
      <c r="L334" s="716"/>
      <c r="M334" s="716"/>
      <c r="N334" s="716"/>
      <c r="O334" s="716"/>
      <c r="P334" s="716"/>
      <c r="Q334" s="716"/>
      <c r="R334" s="716"/>
      <c r="S334" s="716"/>
      <c r="T334" s="716"/>
      <c r="U334" s="716"/>
      <c r="V334" s="716"/>
      <c r="W334" s="716"/>
      <c r="X334" s="716"/>
      <c r="Y334" s="716"/>
      <c r="Z334" s="716"/>
    </row>
    <row r="335">
      <c r="A335" s="716"/>
      <c r="B335" s="717"/>
      <c r="C335" s="716"/>
      <c r="D335" s="716"/>
      <c r="E335" s="716"/>
      <c r="F335" s="716"/>
      <c r="G335" s="716"/>
      <c r="H335" s="716"/>
      <c r="I335" s="716"/>
      <c r="J335" s="716"/>
      <c r="K335" s="716"/>
      <c r="L335" s="716"/>
      <c r="M335" s="716"/>
      <c r="N335" s="716"/>
      <c r="O335" s="716"/>
      <c r="P335" s="716"/>
      <c r="Q335" s="716"/>
      <c r="R335" s="716"/>
      <c r="S335" s="716"/>
      <c r="T335" s="716"/>
      <c r="U335" s="716"/>
      <c r="V335" s="716"/>
      <c r="W335" s="716"/>
      <c r="X335" s="716"/>
      <c r="Y335" s="716"/>
      <c r="Z335" s="716"/>
    </row>
    <row r="336">
      <c r="A336" s="716"/>
      <c r="B336" s="717"/>
      <c r="C336" s="716"/>
      <c r="D336" s="716"/>
      <c r="E336" s="716"/>
      <c r="F336" s="716"/>
      <c r="G336" s="716"/>
      <c r="H336" s="716"/>
      <c r="I336" s="716"/>
      <c r="J336" s="716"/>
      <c r="K336" s="716"/>
      <c r="L336" s="716"/>
      <c r="M336" s="716"/>
      <c r="N336" s="716"/>
      <c r="O336" s="716"/>
      <c r="P336" s="716"/>
      <c r="Q336" s="716"/>
      <c r="R336" s="716"/>
      <c r="S336" s="716"/>
      <c r="T336" s="716"/>
      <c r="U336" s="716"/>
      <c r="V336" s="716"/>
      <c r="W336" s="716"/>
      <c r="X336" s="716"/>
      <c r="Y336" s="716"/>
      <c r="Z336" s="716"/>
    </row>
    <row r="337">
      <c r="A337" s="716"/>
      <c r="B337" s="717"/>
      <c r="C337" s="716"/>
      <c r="D337" s="716"/>
      <c r="E337" s="716"/>
      <c r="F337" s="716"/>
      <c r="G337" s="716"/>
      <c r="H337" s="716"/>
      <c r="I337" s="716"/>
      <c r="J337" s="716"/>
      <c r="K337" s="716"/>
      <c r="L337" s="716"/>
      <c r="M337" s="716"/>
      <c r="N337" s="716"/>
      <c r="O337" s="716"/>
      <c r="P337" s="716"/>
      <c r="Q337" s="716"/>
      <c r="R337" s="716"/>
      <c r="S337" s="716"/>
      <c r="T337" s="716"/>
      <c r="U337" s="716"/>
      <c r="V337" s="716"/>
      <c r="W337" s="716"/>
      <c r="X337" s="716"/>
      <c r="Y337" s="716"/>
      <c r="Z337" s="716"/>
    </row>
    <row r="338">
      <c r="A338" s="716"/>
      <c r="B338" s="717"/>
      <c r="C338" s="716"/>
      <c r="D338" s="716"/>
      <c r="E338" s="716"/>
      <c r="F338" s="716"/>
      <c r="G338" s="716"/>
      <c r="H338" s="716"/>
      <c r="I338" s="716"/>
      <c r="J338" s="716"/>
      <c r="K338" s="716"/>
      <c r="L338" s="716"/>
      <c r="M338" s="716"/>
      <c r="N338" s="716"/>
      <c r="O338" s="716"/>
      <c r="P338" s="716"/>
      <c r="Q338" s="716"/>
      <c r="R338" s="716"/>
      <c r="S338" s="716"/>
      <c r="T338" s="716"/>
      <c r="U338" s="716"/>
      <c r="V338" s="716"/>
      <c r="W338" s="716"/>
      <c r="X338" s="716"/>
      <c r="Y338" s="716"/>
      <c r="Z338" s="716"/>
    </row>
    <row r="339">
      <c r="A339" s="716"/>
      <c r="B339" s="717"/>
      <c r="C339" s="716"/>
      <c r="D339" s="716"/>
      <c r="E339" s="716"/>
      <c r="F339" s="716"/>
      <c r="G339" s="716"/>
      <c r="H339" s="716"/>
      <c r="I339" s="716"/>
      <c r="J339" s="716"/>
      <c r="K339" s="716"/>
      <c r="L339" s="716"/>
      <c r="M339" s="716"/>
      <c r="N339" s="716"/>
      <c r="O339" s="716"/>
      <c r="P339" s="716"/>
      <c r="Q339" s="716"/>
      <c r="R339" s="716"/>
      <c r="S339" s="716"/>
      <c r="T339" s="716"/>
      <c r="U339" s="716"/>
      <c r="V339" s="716"/>
      <c r="W339" s="716"/>
      <c r="X339" s="716"/>
      <c r="Y339" s="716"/>
      <c r="Z339" s="716"/>
    </row>
    <row r="340">
      <c r="A340" s="716"/>
      <c r="B340" s="717"/>
      <c r="C340" s="716"/>
      <c r="D340" s="716"/>
      <c r="E340" s="716"/>
      <c r="F340" s="716"/>
      <c r="G340" s="716"/>
      <c r="H340" s="716"/>
      <c r="I340" s="716"/>
      <c r="J340" s="716"/>
      <c r="K340" s="716"/>
      <c r="L340" s="716"/>
      <c r="M340" s="716"/>
      <c r="N340" s="716"/>
      <c r="O340" s="716"/>
      <c r="P340" s="716"/>
      <c r="Q340" s="716"/>
      <c r="R340" s="716"/>
      <c r="S340" s="716"/>
      <c r="T340" s="716"/>
      <c r="U340" s="716"/>
      <c r="V340" s="716"/>
      <c r="W340" s="716"/>
      <c r="X340" s="716"/>
      <c r="Y340" s="716"/>
      <c r="Z340" s="716"/>
    </row>
    <row r="341">
      <c r="A341" s="716"/>
      <c r="B341" s="717"/>
      <c r="C341" s="716"/>
      <c r="D341" s="716"/>
      <c r="E341" s="716"/>
      <c r="F341" s="716"/>
      <c r="G341" s="716"/>
      <c r="H341" s="716"/>
      <c r="I341" s="716"/>
      <c r="J341" s="716"/>
      <c r="K341" s="716"/>
      <c r="L341" s="716"/>
      <c r="M341" s="716"/>
      <c r="N341" s="716"/>
      <c r="O341" s="716"/>
      <c r="P341" s="716"/>
      <c r="Q341" s="716"/>
      <c r="R341" s="716"/>
      <c r="S341" s="716"/>
      <c r="T341" s="716"/>
      <c r="U341" s="716"/>
      <c r="V341" s="716"/>
      <c r="W341" s="716"/>
      <c r="X341" s="716"/>
      <c r="Y341" s="716"/>
      <c r="Z341" s="716"/>
    </row>
    <row r="342">
      <c r="A342" s="716"/>
      <c r="B342" s="717"/>
      <c r="C342" s="716"/>
      <c r="D342" s="716"/>
      <c r="E342" s="716"/>
      <c r="F342" s="716"/>
      <c r="G342" s="716"/>
      <c r="H342" s="716"/>
      <c r="I342" s="716"/>
      <c r="J342" s="716"/>
      <c r="K342" s="716"/>
      <c r="L342" s="716"/>
      <c r="M342" s="716"/>
      <c r="N342" s="716"/>
      <c r="O342" s="716"/>
      <c r="P342" s="716"/>
      <c r="Q342" s="716"/>
      <c r="R342" s="716"/>
      <c r="S342" s="716"/>
      <c r="T342" s="716"/>
      <c r="U342" s="716"/>
      <c r="V342" s="716"/>
      <c r="W342" s="716"/>
      <c r="X342" s="716"/>
      <c r="Y342" s="716"/>
      <c r="Z342" s="716"/>
    </row>
    <row r="343">
      <c r="A343" s="716"/>
      <c r="B343" s="717"/>
      <c r="C343" s="716"/>
      <c r="D343" s="716"/>
      <c r="E343" s="716"/>
      <c r="F343" s="716"/>
      <c r="G343" s="716"/>
      <c r="H343" s="716"/>
      <c r="I343" s="716"/>
      <c r="J343" s="716"/>
      <c r="K343" s="716"/>
      <c r="L343" s="716"/>
      <c r="M343" s="716"/>
      <c r="N343" s="716"/>
      <c r="O343" s="716"/>
      <c r="P343" s="716"/>
      <c r="Q343" s="716"/>
      <c r="R343" s="716"/>
      <c r="S343" s="716"/>
      <c r="T343" s="716"/>
      <c r="U343" s="716"/>
      <c r="V343" s="716"/>
      <c r="W343" s="716"/>
      <c r="X343" s="716"/>
      <c r="Y343" s="716"/>
      <c r="Z343" s="716"/>
    </row>
    <row r="344">
      <c r="A344" s="716"/>
      <c r="B344" s="717"/>
      <c r="C344" s="716"/>
      <c r="D344" s="716"/>
      <c r="E344" s="716"/>
      <c r="F344" s="716"/>
      <c r="G344" s="716"/>
      <c r="H344" s="716"/>
      <c r="I344" s="716"/>
      <c r="J344" s="716"/>
      <c r="K344" s="716"/>
      <c r="L344" s="716"/>
      <c r="M344" s="716"/>
      <c r="N344" s="716"/>
      <c r="O344" s="716"/>
      <c r="P344" s="716"/>
      <c r="Q344" s="716"/>
      <c r="R344" s="716"/>
      <c r="S344" s="716"/>
      <c r="T344" s="716"/>
      <c r="U344" s="716"/>
      <c r="V344" s="716"/>
      <c r="W344" s="716"/>
      <c r="X344" s="716"/>
      <c r="Y344" s="716"/>
      <c r="Z344" s="716"/>
    </row>
    <row r="345">
      <c r="A345" s="716"/>
      <c r="B345" s="717"/>
      <c r="C345" s="716"/>
      <c r="D345" s="716"/>
      <c r="E345" s="716"/>
      <c r="F345" s="716"/>
      <c r="G345" s="716"/>
      <c r="H345" s="716"/>
      <c r="I345" s="716"/>
      <c r="J345" s="716"/>
      <c r="K345" s="716"/>
      <c r="L345" s="716"/>
      <c r="M345" s="716"/>
      <c r="N345" s="716"/>
      <c r="O345" s="716"/>
      <c r="P345" s="716"/>
      <c r="Q345" s="716"/>
      <c r="R345" s="716"/>
      <c r="S345" s="716"/>
      <c r="T345" s="716"/>
      <c r="U345" s="716"/>
      <c r="V345" s="716"/>
      <c r="W345" s="716"/>
      <c r="X345" s="716"/>
      <c r="Y345" s="716"/>
      <c r="Z345" s="716"/>
    </row>
    <row r="346">
      <c r="A346" s="716"/>
      <c r="B346" s="717"/>
      <c r="C346" s="716"/>
      <c r="D346" s="716"/>
      <c r="E346" s="716"/>
      <c r="F346" s="716"/>
      <c r="G346" s="716"/>
      <c r="H346" s="716"/>
      <c r="I346" s="716"/>
      <c r="J346" s="716"/>
      <c r="K346" s="716"/>
      <c r="L346" s="716"/>
      <c r="M346" s="716"/>
      <c r="N346" s="716"/>
      <c r="O346" s="716"/>
      <c r="P346" s="716"/>
      <c r="Q346" s="716"/>
      <c r="R346" s="716"/>
      <c r="S346" s="716"/>
      <c r="T346" s="716"/>
      <c r="U346" s="716"/>
      <c r="V346" s="716"/>
      <c r="W346" s="716"/>
      <c r="X346" s="716"/>
      <c r="Y346" s="716"/>
      <c r="Z346" s="716"/>
    </row>
    <row r="347">
      <c r="A347" s="716"/>
      <c r="B347" s="717"/>
      <c r="C347" s="716"/>
      <c r="D347" s="716"/>
      <c r="E347" s="716"/>
      <c r="F347" s="716"/>
      <c r="G347" s="716"/>
      <c r="H347" s="716"/>
      <c r="I347" s="716"/>
      <c r="J347" s="716"/>
      <c r="K347" s="716"/>
      <c r="L347" s="716"/>
      <c r="M347" s="716"/>
      <c r="N347" s="716"/>
      <c r="O347" s="716"/>
      <c r="P347" s="716"/>
      <c r="Q347" s="716"/>
      <c r="R347" s="716"/>
      <c r="S347" s="716"/>
      <c r="T347" s="716"/>
      <c r="U347" s="716"/>
      <c r="V347" s="716"/>
      <c r="W347" s="716"/>
      <c r="X347" s="716"/>
      <c r="Y347" s="716"/>
      <c r="Z347" s="716"/>
    </row>
    <row r="348">
      <c r="A348" s="716"/>
      <c r="B348" s="717"/>
      <c r="C348" s="716"/>
      <c r="D348" s="716"/>
      <c r="E348" s="716"/>
      <c r="F348" s="716"/>
      <c r="G348" s="716"/>
      <c r="H348" s="716"/>
      <c r="I348" s="716"/>
      <c r="J348" s="716"/>
      <c r="K348" s="716"/>
      <c r="L348" s="716"/>
      <c r="M348" s="716"/>
      <c r="N348" s="716"/>
      <c r="O348" s="716"/>
      <c r="P348" s="716"/>
      <c r="Q348" s="716"/>
      <c r="R348" s="716"/>
      <c r="S348" s="716"/>
      <c r="T348" s="716"/>
      <c r="U348" s="716"/>
      <c r="V348" s="716"/>
      <c r="W348" s="716"/>
      <c r="X348" s="716"/>
      <c r="Y348" s="716"/>
      <c r="Z348" s="716"/>
    </row>
    <row r="349">
      <c r="A349" s="716"/>
      <c r="B349" s="717"/>
      <c r="C349" s="716"/>
      <c r="D349" s="716"/>
      <c r="E349" s="716"/>
      <c r="F349" s="716"/>
      <c r="G349" s="716"/>
      <c r="H349" s="716"/>
      <c r="I349" s="716"/>
      <c r="J349" s="716"/>
      <c r="K349" s="716"/>
      <c r="L349" s="716"/>
      <c r="M349" s="716"/>
      <c r="N349" s="716"/>
      <c r="O349" s="716"/>
      <c r="P349" s="716"/>
      <c r="Q349" s="716"/>
      <c r="R349" s="716"/>
      <c r="S349" s="716"/>
      <c r="T349" s="716"/>
      <c r="U349" s="716"/>
      <c r="V349" s="716"/>
      <c r="W349" s="716"/>
      <c r="X349" s="716"/>
      <c r="Y349" s="716"/>
      <c r="Z349" s="716"/>
    </row>
    <row r="350">
      <c r="A350" s="716"/>
      <c r="B350" s="717"/>
      <c r="C350" s="716"/>
      <c r="D350" s="716"/>
      <c r="E350" s="716"/>
      <c r="F350" s="716"/>
      <c r="G350" s="716"/>
      <c r="H350" s="716"/>
      <c r="I350" s="716"/>
      <c r="J350" s="716"/>
      <c r="K350" s="716"/>
      <c r="L350" s="716"/>
      <c r="M350" s="716"/>
      <c r="N350" s="716"/>
      <c r="O350" s="716"/>
      <c r="P350" s="716"/>
      <c r="Q350" s="716"/>
      <c r="R350" s="716"/>
      <c r="S350" s="716"/>
      <c r="T350" s="716"/>
      <c r="U350" s="716"/>
      <c r="V350" s="716"/>
      <c r="W350" s="716"/>
      <c r="X350" s="716"/>
      <c r="Y350" s="716"/>
      <c r="Z350" s="716"/>
    </row>
    <row r="351">
      <c r="A351" s="716"/>
      <c r="B351" s="717"/>
      <c r="C351" s="716"/>
      <c r="D351" s="716"/>
      <c r="E351" s="716"/>
      <c r="F351" s="716"/>
      <c r="G351" s="716"/>
      <c r="H351" s="716"/>
      <c r="I351" s="716"/>
      <c r="J351" s="716"/>
      <c r="K351" s="716"/>
      <c r="L351" s="716"/>
      <c r="M351" s="716"/>
      <c r="N351" s="716"/>
      <c r="O351" s="716"/>
      <c r="P351" s="716"/>
      <c r="Q351" s="716"/>
      <c r="R351" s="716"/>
      <c r="S351" s="716"/>
      <c r="T351" s="716"/>
      <c r="U351" s="716"/>
      <c r="V351" s="716"/>
      <c r="W351" s="716"/>
      <c r="X351" s="716"/>
      <c r="Y351" s="716"/>
      <c r="Z351" s="716"/>
    </row>
    <row r="352">
      <c r="A352" s="716"/>
      <c r="B352" s="717"/>
      <c r="C352" s="716"/>
      <c r="D352" s="716"/>
      <c r="E352" s="716"/>
      <c r="F352" s="716"/>
      <c r="G352" s="716"/>
      <c r="H352" s="716"/>
      <c r="I352" s="716"/>
      <c r="J352" s="716"/>
      <c r="K352" s="716"/>
      <c r="L352" s="716"/>
      <c r="M352" s="716"/>
      <c r="N352" s="716"/>
      <c r="O352" s="716"/>
      <c r="P352" s="716"/>
      <c r="Q352" s="716"/>
      <c r="R352" s="716"/>
      <c r="S352" s="716"/>
      <c r="T352" s="716"/>
      <c r="U352" s="716"/>
      <c r="V352" s="716"/>
      <c r="W352" s="716"/>
      <c r="X352" s="716"/>
      <c r="Y352" s="716"/>
      <c r="Z352" s="716"/>
    </row>
    <row r="353">
      <c r="A353" s="716"/>
      <c r="B353" s="717"/>
      <c r="C353" s="716"/>
      <c r="D353" s="716"/>
      <c r="E353" s="716"/>
      <c r="F353" s="716"/>
      <c r="G353" s="716"/>
      <c r="H353" s="716"/>
      <c r="I353" s="716"/>
      <c r="J353" s="716"/>
      <c r="K353" s="716"/>
      <c r="L353" s="716"/>
      <c r="M353" s="716"/>
      <c r="N353" s="716"/>
      <c r="O353" s="716"/>
      <c r="P353" s="716"/>
      <c r="Q353" s="716"/>
      <c r="R353" s="716"/>
      <c r="S353" s="716"/>
      <c r="T353" s="716"/>
      <c r="U353" s="716"/>
      <c r="V353" s="716"/>
      <c r="W353" s="716"/>
      <c r="X353" s="716"/>
      <c r="Y353" s="716"/>
      <c r="Z353" s="716"/>
    </row>
    <row r="354">
      <c r="A354" s="716"/>
      <c r="B354" s="717"/>
      <c r="C354" s="716"/>
      <c r="D354" s="716"/>
      <c r="E354" s="716"/>
      <c r="F354" s="716"/>
      <c r="G354" s="716"/>
      <c r="H354" s="716"/>
      <c r="I354" s="716"/>
      <c r="J354" s="716"/>
      <c r="K354" s="716"/>
      <c r="L354" s="716"/>
      <c r="M354" s="716"/>
      <c r="N354" s="716"/>
      <c r="O354" s="716"/>
      <c r="P354" s="716"/>
      <c r="Q354" s="716"/>
      <c r="R354" s="716"/>
      <c r="S354" s="716"/>
      <c r="T354" s="716"/>
      <c r="U354" s="716"/>
      <c r="V354" s="716"/>
      <c r="W354" s="716"/>
      <c r="X354" s="716"/>
      <c r="Y354" s="716"/>
      <c r="Z354" s="716"/>
    </row>
    <row r="355">
      <c r="A355" s="716"/>
      <c r="B355" s="717"/>
      <c r="C355" s="716"/>
      <c r="D355" s="716"/>
      <c r="E355" s="716"/>
      <c r="F355" s="716"/>
      <c r="G355" s="716"/>
      <c r="H355" s="716"/>
      <c r="I355" s="716"/>
      <c r="J355" s="716"/>
      <c r="K355" s="716"/>
      <c r="L355" s="716"/>
      <c r="M355" s="716"/>
      <c r="N355" s="716"/>
      <c r="O355" s="716"/>
      <c r="P355" s="716"/>
      <c r="Q355" s="716"/>
      <c r="R355" s="716"/>
      <c r="S355" s="716"/>
      <c r="T355" s="716"/>
      <c r="U355" s="716"/>
      <c r="V355" s="716"/>
      <c r="W355" s="716"/>
      <c r="X355" s="716"/>
      <c r="Y355" s="716"/>
      <c r="Z355" s="716"/>
    </row>
    <row r="356">
      <c r="A356" s="716"/>
      <c r="B356" s="717"/>
      <c r="C356" s="716"/>
      <c r="D356" s="716"/>
      <c r="E356" s="716"/>
      <c r="F356" s="716"/>
      <c r="G356" s="716"/>
      <c r="H356" s="716"/>
      <c r="I356" s="716"/>
      <c r="J356" s="716"/>
      <c r="K356" s="716"/>
      <c r="L356" s="716"/>
      <c r="M356" s="716"/>
      <c r="N356" s="716"/>
      <c r="O356" s="716"/>
      <c r="P356" s="716"/>
      <c r="Q356" s="716"/>
      <c r="R356" s="716"/>
      <c r="S356" s="716"/>
      <c r="T356" s="716"/>
      <c r="U356" s="716"/>
      <c r="V356" s="716"/>
      <c r="W356" s="716"/>
      <c r="X356" s="716"/>
      <c r="Y356" s="716"/>
      <c r="Z356" s="716"/>
    </row>
    <row r="357">
      <c r="A357" s="716"/>
      <c r="B357" s="717"/>
      <c r="C357" s="716"/>
      <c r="D357" s="716"/>
      <c r="E357" s="716"/>
      <c r="F357" s="716"/>
      <c r="G357" s="716"/>
      <c r="H357" s="716"/>
      <c r="I357" s="716"/>
      <c r="J357" s="716"/>
      <c r="K357" s="716"/>
      <c r="L357" s="716"/>
      <c r="M357" s="716"/>
      <c r="N357" s="716"/>
      <c r="O357" s="716"/>
      <c r="P357" s="716"/>
      <c r="Q357" s="716"/>
      <c r="R357" s="716"/>
      <c r="S357" s="716"/>
      <c r="T357" s="716"/>
      <c r="U357" s="716"/>
      <c r="V357" s="716"/>
      <c r="W357" s="716"/>
      <c r="X357" s="716"/>
      <c r="Y357" s="716"/>
      <c r="Z357" s="716"/>
    </row>
    <row r="358">
      <c r="A358" s="716"/>
      <c r="B358" s="717"/>
      <c r="C358" s="716"/>
      <c r="D358" s="716"/>
      <c r="E358" s="716"/>
      <c r="F358" s="716"/>
      <c r="G358" s="716"/>
      <c r="H358" s="716"/>
      <c r="I358" s="716"/>
      <c r="J358" s="716"/>
      <c r="K358" s="716"/>
      <c r="L358" s="716"/>
      <c r="M358" s="716"/>
      <c r="N358" s="716"/>
      <c r="O358" s="716"/>
      <c r="P358" s="716"/>
      <c r="Q358" s="716"/>
      <c r="R358" s="716"/>
      <c r="S358" s="716"/>
      <c r="T358" s="716"/>
      <c r="U358" s="716"/>
      <c r="V358" s="716"/>
      <c r="W358" s="716"/>
      <c r="X358" s="716"/>
      <c r="Y358" s="716"/>
      <c r="Z358" s="716"/>
    </row>
    <row r="359">
      <c r="A359" s="716"/>
      <c r="B359" s="717"/>
      <c r="C359" s="716"/>
      <c r="D359" s="716"/>
      <c r="E359" s="716"/>
      <c r="F359" s="716"/>
      <c r="G359" s="716"/>
      <c r="H359" s="716"/>
      <c r="I359" s="716"/>
      <c r="J359" s="716"/>
      <c r="K359" s="716"/>
      <c r="L359" s="716"/>
      <c r="M359" s="716"/>
      <c r="N359" s="716"/>
      <c r="O359" s="716"/>
      <c r="P359" s="716"/>
      <c r="Q359" s="716"/>
      <c r="R359" s="716"/>
      <c r="S359" s="716"/>
      <c r="T359" s="716"/>
      <c r="U359" s="716"/>
      <c r="V359" s="716"/>
      <c r="W359" s="716"/>
      <c r="X359" s="716"/>
      <c r="Y359" s="716"/>
      <c r="Z359" s="716"/>
    </row>
    <row r="360">
      <c r="A360" s="716"/>
      <c r="B360" s="717"/>
      <c r="C360" s="716"/>
      <c r="D360" s="716"/>
      <c r="E360" s="716"/>
      <c r="F360" s="716"/>
      <c r="G360" s="716"/>
      <c r="H360" s="716"/>
      <c r="I360" s="716"/>
      <c r="J360" s="716"/>
      <c r="K360" s="716"/>
      <c r="L360" s="716"/>
      <c r="M360" s="716"/>
      <c r="N360" s="716"/>
      <c r="O360" s="716"/>
      <c r="P360" s="716"/>
      <c r="Q360" s="716"/>
      <c r="R360" s="716"/>
      <c r="S360" s="716"/>
      <c r="T360" s="716"/>
      <c r="U360" s="716"/>
      <c r="V360" s="716"/>
      <c r="W360" s="716"/>
      <c r="X360" s="716"/>
      <c r="Y360" s="716"/>
      <c r="Z360" s="716"/>
    </row>
    <row r="361">
      <c r="A361" s="716"/>
      <c r="B361" s="717"/>
      <c r="C361" s="716"/>
      <c r="D361" s="716"/>
      <c r="E361" s="716"/>
      <c r="F361" s="716"/>
      <c r="G361" s="716"/>
      <c r="H361" s="716"/>
      <c r="I361" s="716"/>
      <c r="J361" s="716"/>
      <c r="K361" s="716"/>
      <c r="L361" s="716"/>
      <c r="M361" s="716"/>
      <c r="N361" s="716"/>
      <c r="O361" s="716"/>
      <c r="P361" s="716"/>
      <c r="Q361" s="716"/>
      <c r="R361" s="716"/>
      <c r="S361" s="716"/>
      <c r="T361" s="716"/>
      <c r="U361" s="716"/>
      <c r="V361" s="716"/>
      <c r="W361" s="716"/>
      <c r="X361" s="716"/>
      <c r="Y361" s="716"/>
      <c r="Z361" s="716"/>
    </row>
    <row r="362">
      <c r="A362" s="716"/>
      <c r="B362" s="717"/>
      <c r="C362" s="716"/>
      <c r="D362" s="716"/>
      <c r="E362" s="716"/>
      <c r="F362" s="716"/>
      <c r="G362" s="716"/>
      <c r="H362" s="716"/>
      <c r="I362" s="716"/>
      <c r="J362" s="716"/>
      <c r="K362" s="716"/>
      <c r="L362" s="716"/>
      <c r="M362" s="716"/>
      <c r="N362" s="716"/>
      <c r="O362" s="716"/>
      <c r="P362" s="716"/>
      <c r="Q362" s="716"/>
      <c r="R362" s="716"/>
      <c r="S362" s="716"/>
      <c r="T362" s="716"/>
      <c r="U362" s="716"/>
      <c r="V362" s="716"/>
      <c r="W362" s="716"/>
      <c r="X362" s="716"/>
      <c r="Y362" s="716"/>
      <c r="Z362" s="716"/>
    </row>
    <row r="363">
      <c r="A363" s="716"/>
      <c r="B363" s="717"/>
      <c r="C363" s="716"/>
      <c r="D363" s="716"/>
      <c r="E363" s="716"/>
      <c r="F363" s="716"/>
      <c r="G363" s="716"/>
      <c r="H363" s="716"/>
      <c r="I363" s="716"/>
      <c r="J363" s="716"/>
      <c r="K363" s="716"/>
      <c r="L363" s="716"/>
      <c r="M363" s="716"/>
      <c r="N363" s="716"/>
      <c r="O363" s="716"/>
      <c r="P363" s="716"/>
      <c r="Q363" s="716"/>
      <c r="R363" s="716"/>
      <c r="S363" s="716"/>
      <c r="T363" s="716"/>
      <c r="U363" s="716"/>
      <c r="V363" s="716"/>
      <c r="W363" s="716"/>
      <c r="X363" s="716"/>
      <c r="Y363" s="716"/>
      <c r="Z363" s="716"/>
    </row>
    <row r="364">
      <c r="A364" s="716"/>
      <c r="B364" s="717"/>
      <c r="C364" s="716"/>
      <c r="D364" s="716"/>
      <c r="E364" s="716"/>
      <c r="F364" s="716"/>
      <c r="G364" s="716"/>
      <c r="H364" s="716"/>
      <c r="I364" s="716"/>
      <c r="J364" s="716"/>
      <c r="K364" s="716"/>
      <c r="L364" s="716"/>
      <c r="M364" s="716"/>
      <c r="N364" s="716"/>
      <c r="O364" s="716"/>
      <c r="P364" s="716"/>
      <c r="Q364" s="716"/>
      <c r="R364" s="716"/>
      <c r="S364" s="716"/>
      <c r="T364" s="716"/>
      <c r="U364" s="716"/>
      <c r="V364" s="716"/>
      <c r="W364" s="716"/>
      <c r="X364" s="716"/>
      <c r="Y364" s="716"/>
      <c r="Z364" s="716"/>
    </row>
    <row r="365">
      <c r="A365" s="716"/>
      <c r="B365" s="717"/>
      <c r="C365" s="716"/>
      <c r="D365" s="716"/>
      <c r="E365" s="716"/>
      <c r="F365" s="716"/>
      <c r="G365" s="716"/>
      <c r="H365" s="716"/>
      <c r="I365" s="716"/>
      <c r="J365" s="716"/>
      <c r="K365" s="716"/>
      <c r="L365" s="716"/>
      <c r="M365" s="716"/>
      <c r="N365" s="716"/>
      <c r="O365" s="716"/>
      <c r="P365" s="716"/>
      <c r="Q365" s="716"/>
      <c r="R365" s="716"/>
      <c r="S365" s="716"/>
      <c r="T365" s="716"/>
      <c r="U365" s="716"/>
      <c r="V365" s="716"/>
      <c r="W365" s="716"/>
      <c r="X365" s="716"/>
      <c r="Y365" s="716"/>
      <c r="Z365" s="716"/>
    </row>
    <row r="366">
      <c r="A366" s="716"/>
      <c r="B366" s="717"/>
      <c r="C366" s="716"/>
      <c r="D366" s="716"/>
      <c r="E366" s="716"/>
      <c r="F366" s="716"/>
      <c r="G366" s="716"/>
      <c r="H366" s="716"/>
      <c r="I366" s="716"/>
      <c r="J366" s="716"/>
      <c r="K366" s="716"/>
      <c r="L366" s="716"/>
      <c r="M366" s="716"/>
      <c r="N366" s="716"/>
      <c r="O366" s="716"/>
      <c r="P366" s="716"/>
      <c r="Q366" s="716"/>
      <c r="R366" s="716"/>
      <c r="S366" s="716"/>
      <c r="T366" s="716"/>
      <c r="U366" s="716"/>
      <c r="V366" s="716"/>
      <c r="W366" s="716"/>
      <c r="X366" s="716"/>
      <c r="Y366" s="716"/>
      <c r="Z366" s="716"/>
    </row>
    <row r="367">
      <c r="A367" s="716"/>
      <c r="B367" s="717"/>
      <c r="C367" s="716"/>
      <c r="D367" s="716"/>
      <c r="E367" s="716"/>
      <c r="F367" s="716"/>
      <c r="G367" s="716"/>
      <c r="H367" s="716"/>
      <c r="I367" s="716"/>
      <c r="J367" s="716"/>
      <c r="K367" s="716"/>
      <c r="L367" s="716"/>
      <c r="M367" s="716"/>
      <c r="N367" s="716"/>
      <c r="O367" s="716"/>
      <c r="P367" s="716"/>
      <c r="Q367" s="716"/>
      <c r="R367" s="716"/>
      <c r="S367" s="716"/>
      <c r="T367" s="716"/>
      <c r="U367" s="716"/>
      <c r="V367" s="716"/>
      <c r="W367" s="716"/>
      <c r="X367" s="716"/>
      <c r="Y367" s="716"/>
      <c r="Z367" s="716"/>
    </row>
    <row r="368">
      <c r="A368" s="716"/>
      <c r="B368" s="717"/>
      <c r="C368" s="716"/>
      <c r="D368" s="716"/>
      <c r="E368" s="716"/>
      <c r="F368" s="716"/>
      <c r="G368" s="716"/>
      <c r="H368" s="716"/>
      <c r="I368" s="716"/>
      <c r="J368" s="716"/>
      <c r="K368" s="716"/>
      <c r="L368" s="716"/>
      <c r="M368" s="716"/>
      <c r="N368" s="716"/>
      <c r="O368" s="716"/>
      <c r="P368" s="716"/>
      <c r="Q368" s="716"/>
      <c r="R368" s="716"/>
      <c r="S368" s="716"/>
      <c r="T368" s="716"/>
      <c r="U368" s="716"/>
      <c r="V368" s="716"/>
      <c r="W368" s="716"/>
      <c r="X368" s="716"/>
      <c r="Y368" s="716"/>
      <c r="Z368" s="716"/>
    </row>
    <row r="369">
      <c r="A369" s="716"/>
      <c r="B369" s="717"/>
      <c r="C369" s="716"/>
      <c r="D369" s="716"/>
      <c r="E369" s="716"/>
      <c r="F369" s="716"/>
      <c r="G369" s="716"/>
      <c r="H369" s="716"/>
      <c r="I369" s="716"/>
      <c r="J369" s="716"/>
      <c r="K369" s="716"/>
      <c r="L369" s="716"/>
      <c r="M369" s="716"/>
      <c r="N369" s="716"/>
      <c r="O369" s="716"/>
      <c r="P369" s="716"/>
      <c r="Q369" s="716"/>
      <c r="R369" s="716"/>
      <c r="S369" s="716"/>
      <c r="T369" s="716"/>
      <c r="U369" s="716"/>
      <c r="V369" s="716"/>
      <c r="W369" s="716"/>
      <c r="X369" s="716"/>
      <c r="Y369" s="716"/>
      <c r="Z369" s="716"/>
    </row>
    <row r="370">
      <c r="A370" s="716"/>
      <c r="B370" s="717"/>
      <c r="C370" s="716"/>
      <c r="D370" s="716"/>
      <c r="E370" s="716"/>
      <c r="F370" s="716"/>
      <c r="G370" s="716"/>
      <c r="H370" s="716"/>
      <c r="I370" s="716"/>
      <c r="J370" s="716"/>
      <c r="K370" s="716"/>
      <c r="L370" s="716"/>
      <c r="M370" s="716"/>
      <c r="N370" s="716"/>
      <c r="O370" s="716"/>
      <c r="P370" s="716"/>
      <c r="Q370" s="716"/>
      <c r="R370" s="716"/>
      <c r="S370" s="716"/>
      <c r="T370" s="716"/>
      <c r="U370" s="716"/>
      <c r="V370" s="716"/>
      <c r="W370" s="716"/>
      <c r="X370" s="716"/>
      <c r="Y370" s="716"/>
      <c r="Z370" s="716"/>
    </row>
    <row r="371">
      <c r="A371" s="716"/>
      <c r="B371" s="717"/>
      <c r="C371" s="716"/>
      <c r="D371" s="716"/>
      <c r="E371" s="716"/>
      <c r="F371" s="716"/>
      <c r="G371" s="716"/>
      <c r="H371" s="716"/>
      <c r="I371" s="716"/>
      <c r="J371" s="716"/>
      <c r="K371" s="716"/>
      <c r="L371" s="716"/>
      <c r="M371" s="716"/>
      <c r="N371" s="716"/>
      <c r="O371" s="716"/>
      <c r="P371" s="716"/>
      <c r="Q371" s="716"/>
      <c r="R371" s="716"/>
      <c r="S371" s="716"/>
      <c r="T371" s="716"/>
      <c r="U371" s="716"/>
      <c r="V371" s="716"/>
      <c r="W371" s="716"/>
      <c r="X371" s="716"/>
      <c r="Y371" s="716"/>
      <c r="Z371" s="716"/>
    </row>
    <row r="372">
      <c r="A372" s="716"/>
      <c r="B372" s="717"/>
      <c r="C372" s="716"/>
      <c r="D372" s="716"/>
      <c r="E372" s="716"/>
      <c r="F372" s="716"/>
      <c r="G372" s="716"/>
      <c r="H372" s="716"/>
      <c r="I372" s="716"/>
      <c r="J372" s="716"/>
      <c r="K372" s="716"/>
      <c r="L372" s="716"/>
      <c r="M372" s="716"/>
      <c r="N372" s="716"/>
      <c r="O372" s="716"/>
      <c r="P372" s="716"/>
      <c r="Q372" s="716"/>
      <c r="R372" s="716"/>
      <c r="S372" s="716"/>
      <c r="T372" s="716"/>
      <c r="U372" s="716"/>
      <c r="V372" s="716"/>
      <c r="W372" s="716"/>
      <c r="X372" s="716"/>
      <c r="Y372" s="716"/>
      <c r="Z372" s="716"/>
    </row>
    <row r="373">
      <c r="A373" s="716"/>
      <c r="B373" s="717"/>
      <c r="C373" s="716"/>
      <c r="D373" s="716"/>
      <c r="E373" s="716"/>
      <c r="F373" s="716"/>
      <c r="G373" s="716"/>
      <c r="H373" s="716"/>
      <c r="I373" s="716"/>
      <c r="J373" s="716"/>
      <c r="K373" s="716"/>
      <c r="L373" s="716"/>
      <c r="M373" s="716"/>
      <c r="N373" s="716"/>
      <c r="O373" s="716"/>
      <c r="P373" s="716"/>
      <c r="Q373" s="716"/>
      <c r="R373" s="716"/>
      <c r="S373" s="716"/>
      <c r="T373" s="716"/>
      <c r="U373" s="716"/>
      <c r="V373" s="716"/>
      <c r="W373" s="716"/>
      <c r="X373" s="716"/>
      <c r="Y373" s="716"/>
      <c r="Z373" s="716"/>
    </row>
    <row r="374">
      <c r="A374" s="716"/>
      <c r="B374" s="717"/>
      <c r="C374" s="716"/>
      <c r="D374" s="716"/>
      <c r="E374" s="716"/>
      <c r="F374" s="716"/>
      <c r="G374" s="716"/>
      <c r="H374" s="716"/>
      <c r="I374" s="716"/>
      <c r="J374" s="716"/>
      <c r="K374" s="716"/>
      <c r="L374" s="716"/>
      <c r="M374" s="716"/>
      <c r="N374" s="716"/>
      <c r="O374" s="716"/>
      <c r="P374" s="716"/>
      <c r="Q374" s="716"/>
      <c r="R374" s="716"/>
      <c r="S374" s="716"/>
      <c r="T374" s="716"/>
      <c r="U374" s="716"/>
      <c r="V374" s="716"/>
      <c r="W374" s="716"/>
      <c r="X374" s="716"/>
      <c r="Y374" s="716"/>
      <c r="Z374" s="716"/>
    </row>
    <row r="375">
      <c r="A375" s="716"/>
      <c r="B375" s="717"/>
      <c r="C375" s="716"/>
      <c r="D375" s="716"/>
      <c r="E375" s="716"/>
      <c r="F375" s="716"/>
      <c r="G375" s="716"/>
      <c r="H375" s="716"/>
      <c r="I375" s="716"/>
      <c r="J375" s="716"/>
      <c r="K375" s="716"/>
      <c r="L375" s="716"/>
      <c r="M375" s="716"/>
      <c r="N375" s="716"/>
      <c r="O375" s="716"/>
      <c r="P375" s="716"/>
      <c r="Q375" s="716"/>
      <c r="R375" s="716"/>
      <c r="S375" s="716"/>
      <c r="T375" s="716"/>
      <c r="U375" s="716"/>
      <c r="V375" s="716"/>
      <c r="W375" s="716"/>
      <c r="X375" s="716"/>
      <c r="Y375" s="716"/>
      <c r="Z375" s="716"/>
    </row>
    <row r="376">
      <c r="A376" s="716"/>
      <c r="B376" s="717"/>
      <c r="C376" s="716"/>
      <c r="D376" s="716"/>
      <c r="E376" s="716"/>
      <c r="F376" s="716"/>
      <c r="G376" s="716"/>
      <c r="H376" s="716"/>
      <c r="I376" s="716"/>
      <c r="J376" s="716"/>
      <c r="K376" s="716"/>
      <c r="L376" s="716"/>
      <c r="M376" s="716"/>
      <c r="N376" s="716"/>
      <c r="O376" s="716"/>
      <c r="P376" s="716"/>
      <c r="Q376" s="716"/>
      <c r="R376" s="716"/>
      <c r="S376" s="716"/>
      <c r="T376" s="716"/>
      <c r="U376" s="716"/>
      <c r="V376" s="716"/>
      <c r="W376" s="716"/>
      <c r="X376" s="716"/>
      <c r="Y376" s="716"/>
      <c r="Z376" s="716"/>
    </row>
    <row r="377">
      <c r="A377" s="716"/>
      <c r="B377" s="717"/>
      <c r="C377" s="716"/>
      <c r="D377" s="716"/>
      <c r="E377" s="716"/>
      <c r="F377" s="716"/>
      <c r="G377" s="716"/>
      <c r="H377" s="716"/>
      <c r="I377" s="716"/>
      <c r="J377" s="716"/>
      <c r="K377" s="716"/>
      <c r="L377" s="716"/>
      <c r="M377" s="716"/>
      <c r="N377" s="716"/>
      <c r="O377" s="716"/>
      <c r="P377" s="716"/>
      <c r="Q377" s="716"/>
      <c r="R377" s="716"/>
      <c r="S377" s="716"/>
      <c r="T377" s="716"/>
      <c r="U377" s="716"/>
      <c r="V377" s="716"/>
      <c r="W377" s="716"/>
      <c r="X377" s="716"/>
      <c r="Y377" s="716"/>
      <c r="Z377" s="716"/>
    </row>
    <row r="378">
      <c r="A378" s="716"/>
      <c r="B378" s="717"/>
      <c r="C378" s="716"/>
      <c r="D378" s="716"/>
      <c r="E378" s="716"/>
      <c r="F378" s="716"/>
      <c r="G378" s="716"/>
      <c r="H378" s="716"/>
      <c r="I378" s="716"/>
      <c r="J378" s="716"/>
      <c r="K378" s="716"/>
      <c r="L378" s="716"/>
      <c r="M378" s="716"/>
      <c r="N378" s="716"/>
      <c r="O378" s="716"/>
      <c r="P378" s="716"/>
      <c r="Q378" s="716"/>
      <c r="R378" s="716"/>
      <c r="S378" s="716"/>
      <c r="T378" s="716"/>
      <c r="U378" s="716"/>
      <c r="V378" s="716"/>
      <c r="W378" s="716"/>
      <c r="X378" s="716"/>
      <c r="Y378" s="716"/>
      <c r="Z378" s="716"/>
    </row>
    <row r="379">
      <c r="A379" s="716"/>
      <c r="B379" s="717"/>
      <c r="C379" s="716"/>
      <c r="D379" s="716"/>
      <c r="E379" s="716"/>
      <c r="F379" s="716"/>
      <c r="G379" s="716"/>
      <c r="H379" s="716"/>
      <c r="I379" s="716"/>
      <c r="J379" s="716"/>
      <c r="K379" s="716"/>
      <c r="L379" s="716"/>
      <c r="M379" s="716"/>
      <c r="N379" s="716"/>
      <c r="O379" s="716"/>
      <c r="P379" s="716"/>
      <c r="Q379" s="716"/>
      <c r="R379" s="716"/>
      <c r="S379" s="716"/>
      <c r="T379" s="716"/>
      <c r="U379" s="716"/>
      <c r="V379" s="716"/>
      <c r="W379" s="716"/>
      <c r="X379" s="716"/>
      <c r="Y379" s="716"/>
      <c r="Z379" s="716"/>
    </row>
    <row r="380">
      <c r="A380" s="716"/>
      <c r="B380" s="717"/>
      <c r="C380" s="716"/>
      <c r="D380" s="716"/>
      <c r="E380" s="716"/>
      <c r="F380" s="716"/>
      <c r="G380" s="716"/>
      <c r="H380" s="716"/>
      <c r="I380" s="716"/>
      <c r="J380" s="716"/>
      <c r="K380" s="716"/>
      <c r="L380" s="716"/>
      <c r="M380" s="716"/>
      <c r="N380" s="716"/>
      <c r="O380" s="716"/>
      <c r="P380" s="716"/>
      <c r="Q380" s="716"/>
      <c r="R380" s="716"/>
      <c r="S380" s="716"/>
      <c r="T380" s="716"/>
      <c r="U380" s="716"/>
      <c r="V380" s="716"/>
      <c r="W380" s="716"/>
      <c r="X380" s="716"/>
      <c r="Y380" s="716"/>
      <c r="Z380" s="716"/>
    </row>
    <row r="381">
      <c r="A381" s="716"/>
      <c r="B381" s="717"/>
      <c r="C381" s="716"/>
      <c r="D381" s="716"/>
      <c r="E381" s="716"/>
      <c r="F381" s="716"/>
      <c r="G381" s="716"/>
      <c r="H381" s="716"/>
      <c r="I381" s="716"/>
      <c r="J381" s="716"/>
      <c r="K381" s="716"/>
      <c r="L381" s="716"/>
      <c r="M381" s="716"/>
      <c r="N381" s="716"/>
      <c r="O381" s="716"/>
      <c r="P381" s="716"/>
      <c r="Q381" s="716"/>
      <c r="R381" s="716"/>
      <c r="S381" s="716"/>
      <c r="T381" s="716"/>
      <c r="U381" s="716"/>
      <c r="V381" s="716"/>
      <c r="W381" s="716"/>
      <c r="X381" s="716"/>
      <c r="Y381" s="716"/>
      <c r="Z381" s="716"/>
    </row>
    <row r="382">
      <c r="A382" s="716"/>
      <c r="B382" s="717"/>
      <c r="C382" s="716"/>
      <c r="D382" s="716"/>
      <c r="E382" s="716"/>
      <c r="F382" s="716"/>
      <c r="G382" s="716"/>
      <c r="H382" s="716"/>
      <c r="I382" s="716"/>
      <c r="J382" s="716"/>
      <c r="K382" s="716"/>
      <c r="L382" s="716"/>
      <c r="M382" s="716"/>
      <c r="N382" s="716"/>
      <c r="O382" s="716"/>
      <c r="P382" s="716"/>
      <c r="Q382" s="716"/>
      <c r="R382" s="716"/>
      <c r="S382" s="716"/>
      <c r="T382" s="716"/>
      <c r="U382" s="716"/>
      <c r="V382" s="716"/>
      <c r="W382" s="716"/>
      <c r="X382" s="716"/>
      <c r="Y382" s="716"/>
      <c r="Z382" s="716"/>
    </row>
    <row r="383">
      <c r="A383" s="716"/>
      <c r="B383" s="717"/>
      <c r="C383" s="716"/>
      <c r="D383" s="716"/>
      <c r="E383" s="716"/>
      <c r="F383" s="716"/>
      <c r="G383" s="716"/>
      <c r="H383" s="716"/>
      <c r="I383" s="716"/>
      <c r="J383" s="716"/>
      <c r="K383" s="716"/>
      <c r="L383" s="716"/>
      <c r="M383" s="716"/>
      <c r="N383" s="716"/>
      <c r="O383" s="716"/>
      <c r="P383" s="716"/>
      <c r="Q383" s="716"/>
      <c r="R383" s="716"/>
      <c r="S383" s="716"/>
      <c r="T383" s="716"/>
      <c r="U383" s="716"/>
      <c r="V383" s="716"/>
      <c r="W383" s="716"/>
      <c r="X383" s="716"/>
      <c r="Y383" s="716"/>
      <c r="Z383" s="716"/>
    </row>
    <row r="384">
      <c r="A384" s="716"/>
      <c r="B384" s="717"/>
      <c r="C384" s="716"/>
      <c r="D384" s="716"/>
      <c r="E384" s="716"/>
      <c r="F384" s="716"/>
      <c r="G384" s="716"/>
      <c r="H384" s="716"/>
      <c r="I384" s="716"/>
      <c r="J384" s="716"/>
      <c r="K384" s="716"/>
      <c r="L384" s="716"/>
      <c r="M384" s="716"/>
      <c r="N384" s="716"/>
      <c r="O384" s="716"/>
      <c r="P384" s="716"/>
      <c r="Q384" s="716"/>
      <c r="R384" s="716"/>
      <c r="S384" s="716"/>
      <c r="T384" s="716"/>
      <c r="U384" s="716"/>
      <c r="V384" s="716"/>
      <c r="W384" s="716"/>
      <c r="X384" s="716"/>
      <c r="Y384" s="716"/>
      <c r="Z384" s="716"/>
    </row>
    <row r="385">
      <c r="A385" s="716"/>
      <c r="B385" s="717"/>
      <c r="C385" s="716"/>
      <c r="D385" s="716"/>
      <c r="E385" s="716"/>
      <c r="F385" s="716"/>
      <c r="G385" s="716"/>
      <c r="H385" s="716"/>
      <c r="I385" s="716"/>
      <c r="J385" s="716"/>
      <c r="K385" s="716"/>
      <c r="L385" s="716"/>
      <c r="M385" s="716"/>
      <c r="N385" s="716"/>
      <c r="O385" s="716"/>
      <c r="P385" s="716"/>
      <c r="Q385" s="716"/>
      <c r="R385" s="716"/>
      <c r="S385" s="716"/>
      <c r="T385" s="716"/>
      <c r="U385" s="716"/>
      <c r="V385" s="716"/>
      <c r="W385" s="716"/>
      <c r="X385" s="716"/>
      <c r="Y385" s="716"/>
      <c r="Z385" s="716"/>
    </row>
    <row r="386">
      <c r="A386" s="716"/>
      <c r="B386" s="717"/>
      <c r="C386" s="716"/>
      <c r="D386" s="716"/>
      <c r="E386" s="716"/>
      <c r="F386" s="716"/>
      <c r="G386" s="716"/>
      <c r="H386" s="716"/>
      <c r="I386" s="716"/>
      <c r="J386" s="716"/>
      <c r="K386" s="716"/>
      <c r="L386" s="716"/>
      <c r="M386" s="716"/>
      <c r="N386" s="716"/>
      <c r="O386" s="716"/>
      <c r="P386" s="716"/>
      <c r="Q386" s="716"/>
      <c r="R386" s="716"/>
      <c r="S386" s="716"/>
      <c r="T386" s="716"/>
      <c r="U386" s="716"/>
      <c r="V386" s="716"/>
      <c r="W386" s="716"/>
      <c r="X386" s="716"/>
      <c r="Y386" s="716"/>
      <c r="Z386" s="716"/>
    </row>
    <row r="387">
      <c r="A387" s="716"/>
      <c r="B387" s="717"/>
      <c r="C387" s="716"/>
      <c r="D387" s="716"/>
      <c r="E387" s="716"/>
      <c r="F387" s="716"/>
      <c r="G387" s="716"/>
      <c r="H387" s="716"/>
      <c r="I387" s="716"/>
      <c r="J387" s="716"/>
      <c r="K387" s="716"/>
      <c r="L387" s="716"/>
      <c r="M387" s="716"/>
      <c r="N387" s="716"/>
      <c r="O387" s="716"/>
      <c r="P387" s="716"/>
      <c r="Q387" s="716"/>
      <c r="R387" s="716"/>
      <c r="S387" s="716"/>
      <c r="T387" s="716"/>
      <c r="U387" s="716"/>
      <c r="V387" s="716"/>
      <c r="W387" s="716"/>
      <c r="X387" s="716"/>
      <c r="Y387" s="716"/>
      <c r="Z387" s="716"/>
    </row>
    <row r="388">
      <c r="A388" s="716"/>
      <c r="B388" s="717"/>
      <c r="C388" s="716"/>
      <c r="D388" s="716"/>
      <c r="E388" s="716"/>
      <c r="F388" s="716"/>
      <c r="G388" s="716"/>
      <c r="H388" s="716"/>
      <c r="I388" s="716"/>
      <c r="J388" s="716"/>
      <c r="K388" s="716"/>
      <c r="L388" s="716"/>
      <c r="M388" s="716"/>
      <c r="N388" s="716"/>
      <c r="O388" s="716"/>
      <c r="P388" s="716"/>
      <c r="Q388" s="716"/>
      <c r="R388" s="716"/>
      <c r="S388" s="716"/>
      <c r="T388" s="716"/>
      <c r="U388" s="716"/>
      <c r="V388" s="716"/>
      <c r="W388" s="716"/>
      <c r="X388" s="716"/>
      <c r="Y388" s="716"/>
      <c r="Z388" s="716"/>
    </row>
    <row r="389">
      <c r="A389" s="716"/>
      <c r="B389" s="717"/>
      <c r="C389" s="716"/>
      <c r="D389" s="716"/>
      <c r="E389" s="716"/>
      <c r="F389" s="716"/>
      <c r="G389" s="716"/>
      <c r="H389" s="716"/>
      <c r="I389" s="716"/>
      <c r="J389" s="716"/>
      <c r="K389" s="716"/>
      <c r="L389" s="716"/>
      <c r="M389" s="716"/>
      <c r="N389" s="716"/>
      <c r="O389" s="716"/>
      <c r="P389" s="716"/>
      <c r="Q389" s="716"/>
      <c r="R389" s="716"/>
      <c r="S389" s="716"/>
      <c r="T389" s="716"/>
      <c r="U389" s="716"/>
      <c r="V389" s="716"/>
      <c r="W389" s="716"/>
      <c r="X389" s="716"/>
      <c r="Y389" s="716"/>
      <c r="Z389" s="716"/>
    </row>
    <row r="390">
      <c r="A390" s="716"/>
      <c r="B390" s="717"/>
      <c r="C390" s="716"/>
      <c r="D390" s="716"/>
      <c r="E390" s="716"/>
      <c r="F390" s="716"/>
      <c r="G390" s="716"/>
      <c r="H390" s="716"/>
      <c r="I390" s="716"/>
      <c r="J390" s="716"/>
      <c r="K390" s="716"/>
      <c r="L390" s="716"/>
      <c r="M390" s="716"/>
      <c r="N390" s="716"/>
      <c r="O390" s="716"/>
      <c r="P390" s="716"/>
      <c r="Q390" s="716"/>
      <c r="R390" s="716"/>
      <c r="S390" s="716"/>
      <c r="T390" s="716"/>
      <c r="U390" s="716"/>
      <c r="V390" s="716"/>
      <c r="W390" s="716"/>
      <c r="X390" s="716"/>
      <c r="Y390" s="716"/>
      <c r="Z390" s="716"/>
    </row>
    <row r="391">
      <c r="A391" s="716"/>
      <c r="B391" s="717"/>
      <c r="C391" s="716"/>
      <c r="D391" s="716"/>
      <c r="E391" s="716"/>
      <c r="F391" s="716"/>
      <c r="G391" s="716"/>
      <c r="H391" s="716"/>
      <c r="I391" s="716"/>
      <c r="J391" s="716"/>
      <c r="K391" s="716"/>
      <c r="L391" s="716"/>
      <c r="M391" s="716"/>
      <c r="N391" s="716"/>
      <c r="O391" s="716"/>
      <c r="P391" s="716"/>
      <c r="Q391" s="716"/>
      <c r="R391" s="716"/>
      <c r="S391" s="716"/>
      <c r="T391" s="716"/>
      <c r="U391" s="716"/>
      <c r="V391" s="716"/>
      <c r="W391" s="716"/>
      <c r="X391" s="716"/>
      <c r="Y391" s="716"/>
      <c r="Z391" s="716"/>
    </row>
    <row r="392">
      <c r="A392" s="716"/>
      <c r="B392" s="717"/>
      <c r="C392" s="716"/>
      <c r="D392" s="716"/>
      <c r="E392" s="716"/>
      <c r="F392" s="716"/>
      <c r="G392" s="716"/>
      <c r="H392" s="716"/>
      <c r="I392" s="716"/>
      <c r="J392" s="716"/>
      <c r="K392" s="716"/>
      <c r="L392" s="716"/>
      <c r="M392" s="716"/>
      <c r="N392" s="716"/>
      <c r="O392" s="716"/>
      <c r="P392" s="716"/>
      <c r="Q392" s="716"/>
      <c r="R392" s="716"/>
      <c r="S392" s="716"/>
      <c r="T392" s="716"/>
      <c r="U392" s="716"/>
      <c r="V392" s="716"/>
      <c r="W392" s="716"/>
      <c r="X392" s="716"/>
      <c r="Y392" s="716"/>
      <c r="Z392" s="716"/>
    </row>
    <row r="393">
      <c r="A393" s="716"/>
      <c r="B393" s="717"/>
      <c r="C393" s="716"/>
      <c r="D393" s="716"/>
      <c r="E393" s="716"/>
      <c r="F393" s="716"/>
      <c r="G393" s="716"/>
      <c r="H393" s="716"/>
      <c r="I393" s="716"/>
      <c r="J393" s="716"/>
      <c r="K393" s="716"/>
      <c r="L393" s="716"/>
      <c r="M393" s="716"/>
      <c r="N393" s="716"/>
      <c r="O393" s="716"/>
      <c r="P393" s="716"/>
      <c r="Q393" s="716"/>
      <c r="R393" s="716"/>
      <c r="S393" s="716"/>
      <c r="T393" s="716"/>
      <c r="U393" s="716"/>
      <c r="V393" s="716"/>
      <c r="W393" s="716"/>
      <c r="X393" s="716"/>
      <c r="Y393" s="716"/>
      <c r="Z393" s="716"/>
    </row>
    <row r="394">
      <c r="A394" s="716"/>
      <c r="B394" s="717"/>
      <c r="C394" s="716"/>
      <c r="D394" s="716"/>
      <c r="E394" s="716"/>
      <c r="F394" s="716"/>
      <c r="G394" s="716"/>
      <c r="H394" s="716"/>
      <c r="I394" s="716"/>
      <c r="J394" s="716"/>
      <c r="K394" s="716"/>
      <c r="L394" s="716"/>
      <c r="M394" s="716"/>
      <c r="N394" s="716"/>
      <c r="O394" s="716"/>
      <c r="P394" s="716"/>
      <c r="Q394" s="716"/>
      <c r="R394" s="716"/>
      <c r="S394" s="716"/>
      <c r="T394" s="716"/>
      <c r="U394" s="716"/>
      <c r="V394" s="716"/>
      <c r="W394" s="716"/>
      <c r="X394" s="716"/>
      <c r="Y394" s="716"/>
      <c r="Z394" s="716"/>
    </row>
    <row r="395">
      <c r="A395" s="716"/>
      <c r="B395" s="717"/>
      <c r="C395" s="716"/>
      <c r="D395" s="716"/>
      <c r="E395" s="716"/>
      <c r="F395" s="716"/>
      <c r="G395" s="716"/>
      <c r="H395" s="716"/>
      <c r="I395" s="716"/>
      <c r="J395" s="716"/>
      <c r="K395" s="716"/>
      <c r="L395" s="716"/>
      <c r="M395" s="716"/>
      <c r="N395" s="716"/>
      <c r="O395" s="716"/>
      <c r="P395" s="716"/>
      <c r="Q395" s="716"/>
      <c r="R395" s="716"/>
      <c r="S395" s="716"/>
      <c r="T395" s="716"/>
      <c r="U395" s="716"/>
      <c r="V395" s="716"/>
      <c r="W395" s="716"/>
      <c r="X395" s="716"/>
      <c r="Y395" s="716"/>
      <c r="Z395" s="716"/>
    </row>
    <row r="396">
      <c r="A396" s="716"/>
      <c r="B396" s="717"/>
      <c r="C396" s="716"/>
      <c r="D396" s="716"/>
      <c r="E396" s="716"/>
      <c r="F396" s="716"/>
      <c r="G396" s="716"/>
      <c r="H396" s="716"/>
      <c r="I396" s="716"/>
      <c r="J396" s="716"/>
      <c r="K396" s="716"/>
      <c r="L396" s="716"/>
      <c r="M396" s="716"/>
      <c r="N396" s="716"/>
      <c r="O396" s="716"/>
      <c r="P396" s="716"/>
      <c r="Q396" s="716"/>
      <c r="R396" s="716"/>
      <c r="S396" s="716"/>
      <c r="T396" s="716"/>
      <c r="U396" s="716"/>
      <c r="V396" s="716"/>
      <c r="W396" s="716"/>
      <c r="X396" s="716"/>
      <c r="Y396" s="716"/>
      <c r="Z396" s="716"/>
    </row>
    <row r="397">
      <c r="A397" s="716"/>
      <c r="B397" s="717"/>
      <c r="C397" s="716"/>
      <c r="D397" s="716"/>
      <c r="E397" s="716"/>
      <c r="F397" s="716"/>
      <c r="G397" s="716"/>
      <c r="H397" s="716"/>
      <c r="I397" s="716"/>
      <c r="J397" s="716"/>
      <c r="K397" s="716"/>
      <c r="L397" s="716"/>
      <c r="M397" s="716"/>
      <c r="N397" s="716"/>
      <c r="O397" s="716"/>
      <c r="P397" s="716"/>
      <c r="Q397" s="716"/>
      <c r="R397" s="716"/>
      <c r="S397" s="716"/>
      <c r="T397" s="716"/>
      <c r="U397" s="716"/>
      <c r="V397" s="716"/>
      <c r="W397" s="716"/>
      <c r="X397" s="716"/>
      <c r="Y397" s="716"/>
      <c r="Z397" s="716"/>
    </row>
    <row r="398">
      <c r="A398" s="716"/>
      <c r="B398" s="717"/>
      <c r="C398" s="716"/>
      <c r="D398" s="716"/>
      <c r="E398" s="716"/>
      <c r="F398" s="716"/>
      <c r="G398" s="716"/>
      <c r="H398" s="716"/>
      <c r="I398" s="716"/>
      <c r="J398" s="716"/>
      <c r="K398" s="716"/>
      <c r="L398" s="716"/>
      <c r="M398" s="716"/>
      <c r="N398" s="716"/>
      <c r="O398" s="716"/>
      <c r="P398" s="716"/>
      <c r="Q398" s="716"/>
      <c r="R398" s="716"/>
      <c r="S398" s="716"/>
      <c r="T398" s="716"/>
      <c r="U398" s="716"/>
      <c r="V398" s="716"/>
      <c r="W398" s="716"/>
      <c r="X398" s="716"/>
      <c r="Y398" s="716"/>
      <c r="Z398" s="716"/>
    </row>
    <row r="399">
      <c r="A399" s="716"/>
      <c r="B399" s="717"/>
      <c r="C399" s="716"/>
      <c r="D399" s="716"/>
      <c r="E399" s="716"/>
      <c r="F399" s="716"/>
      <c r="G399" s="716"/>
      <c r="H399" s="716"/>
      <c r="I399" s="716"/>
      <c r="J399" s="716"/>
      <c r="K399" s="716"/>
      <c r="L399" s="716"/>
      <c r="M399" s="716"/>
      <c r="N399" s="716"/>
      <c r="O399" s="716"/>
      <c r="P399" s="716"/>
      <c r="Q399" s="716"/>
      <c r="R399" s="716"/>
      <c r="S399" s="716"/>
      <c r="T399" s="716"/>
      <c r="U399" s="716"/>
      <c r="V399" s="716"/>
      <c r="W399" s="716"/>
      <c r="X399" s="716"/>
      <c r="Y399" s="716"/>
      <c r="Z399" s="716"/>
    </row>
    <row r="400">
      <c r="A400" s="716"/>
      <c r="B400" s="717"/>
      <c r="C400" s="716"/>
      <c r="D400" s="716"/>
      <c r="E400" s="716"/>
      <c r="F400" s="716"/>
      <c r="G400" s="716"/>
      <c r="H400" s="716"/>
      <c r="I400" s="716"/>
      <c r="J400" s="716"/>
      <c r="K400" s="716"/>
      <c r="L400" s="716"/>
      <c r="M400" s="716"/>
      <c r="N400" s="716"/>
      <c r="O400" s="716"/>
      <c r="P400" s="716"/>
      <c r="Q400" s="716"/>
      <c r="R400" s="716"/>
      <c r="S400" s="716"/>
      <c r="T400" s="716"/>
      <c r="U400" s="716"/>
      <c r="V400" s="716"/>
      <c r="W400" s="716"/>
      <c r="X400" s="716"/>
      <c r="Y400" s="716"/>
      <c r="Z400" s="716"/>
    </row>
    <row r="401">
      <c r="A401" s="716"/>
      <c r="B401" s="717"/>
      <c r="C401" s="716"/>
      <c r="D401" s="716"/>
      <c r="E401" s="716"/>
      <c r="F401" s="716"/>
      <c r="G401" s="716"/>
      <c r="H401" s="716"/>
      <c r="I401" s="716"/>
      <c r="J401" s="716"/>
      <c r="K401" s="716"/>
      <c r="L401" s="716"/>
      <c r="M401" s="716"/>
      <c r="N401" s="716"/>
      <c r="O401" s="716"/>
      <c r="P401" s="716"/>
      <c r="Q401" s="716"/>
      <c r="R401" s="716"/>
      <c r="S401" s="716"/>
      <c r="T401" s="716"/>
      <c r="U401" s="716"/>
      <c r="V401" s="716"/>
      <c r="W401" s="716"/>
      <c r="X401" s="716"/>
      <c r="Y401" s="716"/>
      <c r="Z401" s="716"/>
    </row>
    <row r="402">
      <c r="A402" s="716"/>
      <c r="B402" s="717"/>
      <c r="C402" s="716"/>
      <c r="D402" s="716"/>
      <c r="E402" s="716"/>
      <c r="F402" s="716"/>
      <c r="G402" s="716"/>
      <c r="H402" s="716"/>
      <c r="I402" s="716"/>
      <c r="J402" s="716"/>
      <c r="K402" s="716"/>
      <c r="L402" s="716"/>
      <c r="M402" s="716"/>
      <c r="N402" s="716"/>
      <c r="O402" s="716"/>
      <c r="P402" s="716"/>
      <c r="Q402" s="716"/>
      <c r="R402" s="716"/>
      <c r="S402" s="716"/>
      <c r="T402" s="716"/>
      <c r="U402" s="716"/>
      <c r="V402" s="716"/>
      <c r="W402" s="716"/>
      <c r="X402" s="716"/>
      <c r="Y402" s="716"/>
      <c r="Z402" s="716"/>
    </row>
    <row r="403">
      <c r="A403" s="716"/>
      <c r="B403" s="717"/>
      <c r="C403" s="716"/>
      <c r="D403" s="716"/>
      <c r="E403" s="716"/>
      <c r="F403" s="716"/>
      <c r="G403" s="716"/>
      <c r="H403" s="716"/>
      <c r="I403" s="716"/>
      <c r="J403" s="716"/>
      <c r="K403" s="716"/>
      <c r="L403" s="716"/>
      <c r="M403" s="716"/>
      <c r="N403" s="716"/>
      <c r="O403" s="716"/>
      <c r="P403" s="716"/>
      <c r="Q403" s="716"/>
      <c r="R403" s="716"/>
      <c r="S403" s="716"/>
      <c r="T403" s="716"/>
      <c r="U403" s="716"/>
      <c r="V403" s="716"/>
      <c r="W403" s="716"/>
      <c r="X403" s="716"/>
      <c r="Y403" s="716"/>
      <c r="Z403" s="716"/>
    </row>
    <row r="404">
      <c r="A404" s="716"/>
      <c r="B404" s="717"/>
      <c r="C404" s="716"/>
      <c r="D404" s="716"/>
      <c r="E404" s="716"/>
      <c r="F404" s="716"/>
      <c r="G404" s="716"/>
      <c r="H404" s="716"/>
      <c r="I404" s="716"/>
      <c r="J404" s="716"/>
      <c r="K404" s="716"/>
      <c r="L404" s="716"/>
      <c r="M404" s="716"/>
      <c r="N404" s="716"/>
      <c r="O404" s="716"/>
      <c r="P404" s="716"/>
      <c r="Q404" s="716"/>
      <c r="R404" s="716"/>
      <c r="S404" s="716"/>
      <c r="T404" s="716"/>
      <c r="U404" s="716"/>
      <c r="V404" s="716"/>
      <c r="W404" s="716"/>
      <c r="X404" s="716"/>
      <c r="Y404" s="716"/>
      <c r="Z404" s="716"/>
    </row>
    <row r="405">
      <c r="A405" s="716"/>
      <c r="B405" s="717"/>
      <c r="C405" s="716"/>
      <c r="D405" s="716"/>
      <c r="E405" s="716"/>
      <c r="F405" s="716"/>
      <c r="G405" s="716"/>
      <c r="H405" s="716"/>
      <c r="I405" s="716"/>
      <c r="J405" s="716"/>
      <c r="K405" s="716"/>
      <c r="L405" s="716"/>
      <c r="M405" s="716"/>
      <c r="N405" s="716"/>
      <c r="O405" s="716"/>
      <c r="P405" s="716"/>
      <c r="Q405" s="716"/>
      <c r="R405" s="716"/>
      <c r="S405" s="716"/>
      <c r="T405" s="716"/>
      <c r="U405" s="716"/>
      <c r="V405" s="716"/>
      <c r="W405" s="716"/>
      <c r="X405" s="716"/>
      <c r="Y405" s="716"/>
      <c r="Z405" s="716"/>
    </row>
    <row r="406">
      <c r="A406" s="716"/>
      <c r="B406" s="717"/>
      <c r="C406" s="716"/>
      <c r="D406" s="716"/>
      <c r="E406" s="716"/>
      <c r="F406" s="716"/>
      <c r="G406" s="716"/>
      <c r="H406" s="716"/>
      <c r="I406" s="716"/>
      <c r="J406" s="716"/>
      <c r="K406" s="716"/>
      <c r="L406" s="716"/>
      <c r="M406" s="716"/>
      <c r="N406" s="716"/>
      <c r="O406" s="716"/>
      <c r="P406" s="716"/>
      <c r="Q406" s="716"/>
      <c r="R406" s="716"/>
      <c r="S406" s="716"/>
      <c r="T406" s="716"/>
      <c r="U406" s="716"/>
      <c r="V406" s="716"/>
      <c r="W406" s="716"/>
      <c r="X406" s="716"/>
      <c r="Y406" s="716"/>
      <c r="Z406" s="716"/>
    </row>
    <row r="407">
      <c r="A407" s="716"/>
      <c r="B407" s="717"/>
      <c r="C407" s="716"/>
      <c r="D407" s="716"/>
      <c r="E407" s="716"/>
      <c r="F407" s="716"/>
      <c r="G407" s="716"/>
      <c r="H407" s="716"/>
      <c r="I407" s="716"/>
      <c r="J407" s="716"/>
      <c r="K407" s="716"/>
      <c r="L407" s="716"/>
      <c r="M407" s="716"/>
      <c r="N407" s="716"/>
      <c r="O407" s="716"/>
      <c r="P407" s="716"/>
      <c r="Q407" s="716"/>
      <c r="R407" s="716"/>
      <c r="S407" s="716"/>
      <c r="T407" s="716"/>
      <c r="U407" s="716"/>
      <c r="V407" s="716"/>
      <c r="W407" s="716"/>
      <c r="X407" s="716"/>
      <c r="Y407" s="716"/>
      <c r="Z407" s="716"/>
    </row>
    <row r="408">
      <c r="A408" s="716"/>
      <c r="B408" s="717"/>
      <c r="C408" s="716"/>
      <c r="D408" s="716"/>
      <c r="E408" s="716"/>
      <c r="F408" s="716"/>
      <c r="G408" s="716"/>
      <c r="H408" s="716"/>
      <c r="I408" s="716"/>
      <c r="J408" s="716"/>
      <c r="K408" s="716"/>
      <c r="L408" s="716"/>
      <c r="M408" s="716"/>
      <c r="N408" s="716"/>
      <c r="O408" s="716"/>
      <c r="P408" s="716"/>
      <c r="Q408" s="716"/>
      <c r="R408" s="716"/>
      <c r="S408" s="716"/>
      <c r="T408" s="716"/>
      <c r="U408" s="716"/>
      <c r="V408" s="716"/>
      <c r="W408" s="716"/>
      <c r="X408" s="716"/>
      <c r="Y408" s="716"/>
      <c r="Z408" s="716"/>
    </row>
    <row r="409">
      <c r="A409" s="716"/>
      <c r="B409" s="717"/>
      <c r="C409" s="716"/>
      <c r="D409" s="716"/>
      <c r="E409" s="716"/>
      <c r="F409" s="716"/>
      <c r="G409" s="716"/>
      <c r="H409" s="716"/>
      <c r="I409" s="716"/>
      <c r="J409" s="716"/>
      <c r="K409" s="716"/>
      <c r="L409" s="716"/>
      <c r="M409" s="716"/>
      <c r="N409" s="716"/>
      <c r="O409" s="716"/>
      <c r="P409" s="716"/>
      <c r="Q409" s="716"/>
      <c r="R409" s="716"/>
      <c r="S409" s="716"/>
      <c r="T409" s="716"/>
      <c r="U409" s="716"/>
      <c r="V409" s="716"/>
      <c r="W409" s="716"/>
      <c r="X409" s="716"/>
      <c r="Y409" s="716"/>
      <c r="Z409" s="716"/>
    </row>
    <row r="410">
      <c r="A410" s="716"/>
      <c r="B410" s="717"/>
      <c r="C410" s="716"/>
      <c r="D410" s="716"/>
      <c r="E410" s="716"/>
      <c r="F410" s="716"/>
      <c r="G410" s="716"/>
      <c r="H410" s="716"/>
      <c r="I410" s="716"/>
      <c r="J410" s="716"/>
      <c r="K410" s="716"/>
      <c r="L410" s="716"/>
      <c r="M410" s="716"/>
      <c r="N410" s="716"/>
      <c r="O410" s="716"/>
      <c r="P410" s="716"/>
      <c r="Q410" s="716"/>
      <c r="R410" s="716"/>
      <c r="S410" s="716"/>
      <c r="T410" s="716"/>
      <c r="U410" s="716"/>
      <c r="V410" s="716"/>
      <c r="W410" s="716"/>
      <c r="X410" s="716"/>
      <c r="Y410" s="716"/>
      <c r="Z410" s="716"/>
    </row>
    <row r="411">
      <c r="A411" s="716"/>
      <c r="B411" s="717"/>
      <c r="C411" s="716"/>
      <c r="D411" s="716"/>
      <c r="E411" s="716"/>
      <c r="F411" s="716"/>
      <c r="G411" s="716"/>
      <c r="H411" s="716"/>
      <c r="I411" s="716"/>
      <c r="J411" s="716"/>
      <c r="K411" s="716"/>
      <c r="L411" s="716"/>
      <c r="M411" s="716"/>
      <c r="N411" s="716"/>
      <c r="O411" s="716"/>
      <c r="P411" s="716"/>
      <c r="Q411" s="716"/>
      <c r="R411" s="716"/>
      <c r="S411" s="716"/>
      <c r="T411" s="716"/>
      <c r="U411" s="716"/>
      <c r="V411" s="716"/>
      <c r="W411" s="716"/>
      <c r="X411" s="716"/>
      <c r="Y411" s="716"/>
      <c r="Z411" s="716"/>
    </row>
    <row r="412">
      <c r="A412" s="716"/>
      <c r="B412" s="717"/>
      <c r="C412" s="716"/>
      <c r="D412" s="716"/>
      <c r="E412" s="716"/>
      <c r="F412" s="716"/>
      <c r="G412" s="716"/>
      <c r="H412" s="716"/>
      <c r="I412" s="716"/>
      <c r="J412" s="716"/>
      <c r="K412" s="716"/>
      <c r="L412" s="716"/>
      <c r="M412" s="716"/>
      <c r="N412" s="716"/>
      <c r="O412" s="716"/>
      <c r="P412" s="716"/>
      <c r="Q412" s="716"/>
      <c r="R412" s="716"/>
      <c r="S412" s="716"/>
      <c r="T412" s="716"/>
      <c r="U412" s="716"/>
      <c r="V412" s="716"/>
      <c r="W412" s="716"/>
      <c r="X412" s="716"/>
      <c r="Y412" s="716"/>
      <c r="Z412" s="716"/>
    </row>
    <row r="413">
      <c r="A413" s="716"/>
      <c r="B413" s="717"/>
      <c r="C413" s="716"/>
      <c r="D413" s="716"/>
      <c r="E413" s="716"/>
      <c r="F413" s="716"/>
      <c r="G413" s="716"/>
      <c r="H413" s="716"/>
      <c r="I413" s="716"/>
      <c r="J413" s="716"/>
      <c r="K413" s="716"/>
      <c r="L413" s="716"/>
      <c r="M413" s="716"/>
      <c r="N413" s="716"/>
      <c r="O413" s="716"/>
      <c r="P413" s="716"/>
      <c r="Q413" s="716"/>
      <c r="R413" s="716"/>
      <c r="S413" s="716"/>
      <c r="T413" s="716"/>
      <c r="U413" s="716"/>
      <c r="V413" s="716"/>
      <c r="W413" s="716"/>
      <c r="X413" s="716"/>
      <c r="Y413" s="716"/>
      <c r="Z413" s="716"/>
    </row>
    <row r="414">
      <c r="A414" s="716"/>
      <c r="B414" s="717"/>
      <c r="C414" s="716"/>
      <c r="D414" s="716"/>
      <c r="E414" s="716"/>
      <c r="F414" s="716"/>
      <c r="G414" s="716"/>
      <c r="H414" s="716"/>
      <c r="I414" s="716"/>
      <c r="J414" s="716"/>
      <c r="K414" s="716"/>
      <c r="L414" s="716"/>
      <c r="M414" s="716"/>
      <c r="N414" s="716"/>
      <c r="O414" s="716"/>
      <c r="P414" s="716"/>
      <c r="Q414" s="716"/>
      <c r="R414" s="716"/>
      <c r="S414" s="716"/>
      <c r="T414" s="716"/>
      <c r="U414" s="716"/>
      <c r="V414" s="716"/>
      <c r="W414" s="716"/>
      <c r="X414" s="716"/>
      <c r="Y414" s="716"/>
      <c r="Z414" s="716"/>
    </row>
    <row r="415">
      <c r="A415" s="716"/>
      <c r="B415" s="717"/>
      <c r="C415" s="716"/>
      <c r="D415" s="716"/>
      <c r="E415" s="716"/>
      <c r="F415" s="716"/>
      <c r="G415" s="716"/>
      <c r="H415" s="716"/>
      <c r="I415" s="716"/>
      <c r="J415" s="716"/>
      <c r="K415" s="716"/>
      <c r="L415" s="716"/>
      <c r="M415" s="716"/>
      <c r="N415" s="716"/>
      <c r="O415" s="716"/>
      <c r="P415" s="716"/>
      <c r="Q415" s="716"/>
      <c r="R415" s="716"/>
      <c r="S415" s="716"/>
      <c r="T415" s="716"/>
      <c r="U415" s="716"/>
      <c r="V415" s="716"/>
      <c r="W415" s="716"/>
      <c r="X415" s="716"/>
      <c r="Y415" s="716"/>
      <c r="Z415" s="716"/>
    </row>
    <row r="416">
      <c r="A416" s="716"/>
      <c r="B416" s="717"/>
      <c r="C416" s="716"/>
      <c r="D416" s="716"/>
      <c r="E416" s="716"/>
      <c r="F416" s="716"/>
      <c r="G416" s="716"/>
      <c r="H416" s="716"/>
      <c r="I416" s="716"/>
      <c r="J416" s="716"/>
      <c r="K416" s="716"/>
      <c r="L416" s="716"/>
      <c r="M416" s="716"/>
      <c r="N416" s="716"/>
      <c r="O416" s="716"/>
      <c r="P416" s="716"/>
      <c r="Q416" s="716"/>
      <c r="R416" s="716"/>
      <c r="S416" s="716"/>
      <c r="T416" s="716"/>
      <c r="U416" s="716"/>
      <c r="V416" s="716"/>
      <c r="W416" s="716"/>
      <c r="X416" s="716"/>
      <c r="Y416" s="716"/>
      <c r="Z416" s="716"/>
    </row>
    <row r="417">
      <c r="A417" s="716"/>
      <c r="B417" s="717"/>
      <c r="C417" s="716"/>
      <c r="D417" s="716"/>
      <c r="E417" s="716"/>
      <c r="F417" s="716"/>
      <c r="G417" s="716"/>
      <c r="H417" s="716"/>
      <c r="I417" s="716"/>
      <c r="J417" s="716"/>
      <c r="K417" s="716"/>
      <c r="L417" s="716"/>
      <c r="M417" s="716"/>
      <c r="N417" s="716"/>
      <c r="O417" s="716"/>
      <c r="P417" s="716"/>
      <c r="Q417" s="716"/>
      <c r="R417" s="716"/>
      <c r="S417" s="716"/>
      <c r="T417" s="716"/>
      <c r="U417" s="716"/>
      <c r="V417" s="716"/>
      <c r="W417" s="716"/>
      <c r="X417" s="716"/>
      <c r="Y417" s="716"/>
      <c r="Z417" s="716"/>
    </row>
    <row r="418">
      <c r="A418" s="716"/>
      <c r="B418" s="717"/>
      <c r="C418" s="716"/>
      <c r="D418" s="716"/>
      <c r="E418" s="716"/>
      <c r="F418" s="716"/>
      <c r="G418" s="716"/>
      <c r="H418" s="716"/>
      <c r="I418" s="716"/>
      <c r="J418" s="716"/>
      <c r="K418" s="716"/>
      <c r="L418" s="716"/>
      <c r="M418" s="716"/>
      <c r="N418" s="716"/>
      <c r="O418" s="716"/>
      <c r="P418" s="716"/>
      <c r="Q418" s="716"/>
      <c r="R418" s="716"/>
      <c r="S418" s="716"/>
      <c r="T418" s="716"/>
      <c r="U418" s="716"/>
      <c r="V418" s="716"/>
      <c r="W418" s="716"/>
      <c r="X418" s="716"/>
      <c r="Y418" s="716"/>
      <c r="Z418" s="716"/>
    </row>
    <row r="419">
      <c r="A419" s="716"/>
      <c r="B419" s="717"/>
      <c r="C419" s="716"/>
      <c r="D419" s="716"/>
      <c r="E419" s="716"/>
      <c r="F419" s="716"/>
      <c r="G419" s="716"/>
      <c r="H419" s="716"/>
      <c r="I419" s="716"/>
      <c r="J419" s="716"/>
      <c r="K419" s="716"/>
      <c r="L419" s="716"/>
      <c r="M419" s="716"/>
      <c r="N419" s="716"/>
      <c r="O419" s="716"/>
      <c r="P419" s="716"/>
      <c r="Q419" s="716"/>
      <c r="R419" s="716"/>
      <c r="S419" s="716"/>
      <c r="T419" s="716"/>
      <c r="U419" s="716"/>
      <c r="V419" s="716"/>
      <c r="W419" s="716"/>
      <c r="X419" s="716"/>
      <c r="Y419" s="716"/>
      <c r="Z419" s="716"/>
    </row>
    <row r="420">
      <c r="A420" s="716"/>
      <c r="B420" s="717"/>
      <c r="C420" s="716"/>
      <c r="D420" s="716"/>
      <c r="E420" s="716"/>
      <c r="F420" s="716"/>
      <c r="G420" s="716"/>
      <c r="H420" s="716"/>
      <c r="I420" s="716"/>
      <c r="J420" s="716"/>
      <c r="K420" s="716"/>
      <c r="L420" s="716"/>
      <c r="M420" s="716"/>
      <c r="N420" s="716"/>
      <c r="O420" s="716"/>
      <c r="P420" s="716"/>
      <c r="Q420" s="716"/>
      <c r="R420" s="716"/>
      <c r="S420" s="716"/>
      <c r="T420" s="716"/>
      <c r="U420" s="716"/>
      <c r="V420" s="716"/>
      <c r="W420" s="716"/>
      <c r="X420" s="716"/>
      <c r="Y420" s="716"/>
      <c r="Z420" s="716"/>
    </row>
    <row r="421">
      <c r="A421" s="716"/>
      <c r="B421" s="717"/>
      <c r="C421" s="716"/>
      <c r="D421" s="716"/>
      <c r="E421" s="716"/>
      <c r="F421" s="716"/>
      <c r="G421" s="716"/>
      <c r="H421" s="716"/>
      <c r="I421" s="716"/>
      <c r="J421" s="716"/>
      <c r="K421" s="716"/>
      <c r="L421" s="716"/>
      <c r="M421" s="716"/>
      <c r="N421" s="716"/>
      <c r="O421" s="716"/>
      <c r="P421" s="716"/>
      <c r="Q421" s="716"/>
      <c r="R421" s="716"/>
      <c r="S421" s="716"/>
      <c r="T421" s="716"/>
      <c r="U421" s="716"/>
      <c r="V421" s="716"/>
      <c r="W421" s="716"/>
      <c r="X421" s="716"/>
      <c r="Y421" s="716"/>
      <c r="Z421" s="716"/>
    </row>
    <row r="422">
      <c r="A422" s="716"/>
      <c r="B422" s="717"/>
      <c r="C422" s="716"/>
      <c r="D422" s="716"/>
      <c r="E422" s="716"/>
      <c r="F422" s="716"/>
      <c r="G422" s="716"/>
      <c r="H422" s="716"/>
      <c r="I422" s="716"/>
      <c r="J422" s="716"/>
      <c r="K422" s="716"/>
      <c r="L422" s="716"/>
      <c r="M422" s="716"/>
      <c r="N422" s="716"/>
      <c r="O422" s="716"/>
      <c r="P422" s="716"/>
      <c r="Q422" s="716"/>
      <c r="R422" s="716"/>
      <c r="S422" s="716"/>
      <c r="T422" s="716"/>
      <c r="U422" s="716"/>
      <c r="V422" s="716"/>
      <c r="W422" s="716"/>
      <c r="X422" s="716"/>
      <c r="Y422" s="716"/>
      <c r="Z422" s="716"/>
    </row>
    <row r="423">
      <c r="A423" s="716"/>
      <c r="B423" s="717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</row>
    <row r="424">
      <c r="A424" s="716"/>
      <c r="B424" s="717"/>
      <c r="C424" s="716"/>
      <c r="D424" s="716"/>
      <c r="E424" s="716"/>
      <c r="F424" s="716"/>
      <c r="G424" s="716"/>
      <c r="H424" s="716"/>
      <c r="I424" s="716"/>
      <c r="J424" s="716"/>
      <c r="K424" s="716"/>
      <c r="L424" s="716"/>
      <c r="M424" s="716"/>
      <c r="N424" s="716"/>
      <c r="O424" s="716"/>
      <c r="P424" s="716"/>
      <c r="Q424" s="716"/>
      <c r="R424" s="716"/>
      <c r="S424" s="716"/>
      <c r="T424" s="716"/>
      <c r="U424" s="716"/>
      <c r="V424" s="716"/>
      <c r="W424" s="716"/>
      <c r="X424" s="716"/>
      <c r="Y424" s="716"/>
      <c r="Z424" s="716"/>
    </row>
    <row r="425">
      <c r="A425" s="716"/>
      <c r="B425" s="717"/>
      <c r="C425" s="716"/>
      <c r="D425" s="716"/>
      <c r="E425" s="716"/>
      <c r="F425" s="716"/>
      <c r="G425" s="716"/>
      <c r="H425" s="716"/>
      <c r="I425" s="716"/>
      <c r="J425" s="716"/>
      <c r="K425" s="716"/>
      <c r="L425" s="716"/>
      <c r="M425" s="716"/>
      <c r="N425" s="716"/>
      <c r="O425" s="716"/>
      <c r="P425" s="716"/>
      <c r="Q425" s="716"/>
      <c r="R425" s="716"/>
      <c r="S425" s="716"/>
      <c r="T425" s="716"/>
      <c r="U425" s="716"/>
      <c r="V425" s="716"/>
      <c r="W425" s="716"/>
      <c r="X425" s="716"/>
      <c r="Y425" s="716"/>
      <c r="Z425" s="716"/>
    </row>
    <row r="426">
      <c r="A426" s="716"/>
      <c r="B426" s="717"/>
      <c r="C426" s="716"/>
      <c r="D426" s="716"/>
      <c r="E426" s="716"/>
      <c r="F426" s="716"/>
      <c r="G426" s="716"/>
      <c r="H426" s="716"/>
      <c r="I426" s="716"/>
      <c r="J426" s="716"/>
      <c r="K426" s="716"/>
      <c r="L426" s="716"/>
      <c r="M426" s="716"/>
      <c r="N426" s="716"/>
      <c r="O426" s="716"/>
      <c r="P426" s="716"/>
      <c r="Q426" s="716"/>
      <c r="R426" s="716"/>
      <c r="S426" s="716"/>
      <c r="T426" s="716"/>
      <c r="U426" s="716"/>
      <c r="V426" s="716"/>
      <c r="W426" s="716"/>
      <c r="X426" s="716"/>
      <c r="Y426" s="716"/>
      <c r="Z426" s="716"/>
    </row>
    <row r="427">
      <c r="A427" s="716"/>
      <c r="B427" s="717"/>
      <c r="C427" s="716"/>
      <c r="D427" s="716"/>
      <c r="E427" s="716"/>
      <c r="F427" s="716"/>
      <c r="G427" s="716"/>
      <c r="H427" s="716"/>
      <c r="I427" s="716"/>
      <c r="J427" s="716"/>
      <c r="K427" s="716"/>
      <c r="L427" s="716"/>
      <c r="M427" s="716"/>
      <c r="N427" s="716"/>
      <c r="O427" s="716"/>
      <c r="P427" s="716"/>
      <c r="Q427" s="716"/>
      <c r="R427" s="716"/>
      <c r="S427" s="716"/>
      <c r="T427" s="716"/>
      <c r="U427" s="716"/>
      <c r="V427" s="716"/>
      <c r="W427" s="716"/>
      <c r="X427" s="716"/>
      <c r="Y427" s="716"/>
      <c r="Z427" s="716"/>
    </row>
    <row r="428">
      <c r="A428" s="716"/>
      <c r="B428" s="717"/>
      <c r="C428" s="716"/>
      <c r="D428" s="716"/>
      <c r="E428" s="716"/>
      <c r="F428" s="716"/>
      <c r="G428" s="716"/>
      <c r="H428" s="716"/>
      <c r="I428" s="716"/>
      <c r="J428" s="716"/>
      <c r="K428" s="716"/>
      <c r="L428" s="716"/>
      <c r="M428" s="716"/>
      <c r="N428" s="716"/>
      <c r="O428" s="716"/>
      <c r="P428" s="716"/>
      <c r="Q428" s="716"/>
      <c r="R428" s="716"/>
      <c r="S428" s="716"/>
      <c r="T428" s="716"/>
      <c r="U428" s="716"/>
      <c r="V428" s="716"/>
      <c r="W428" s="716"/>
      <c r="X428" s="716"/>
      <c r="Y428" s="716"/>
      <c r="Z428" s="716"/>
    </row>
    <row r="429">
      <c r="A429" s="716"/>
      <c r="B429" s="717"/>
      <c r="C429" s="716"/>
      <c r="D429" s="716"/>
      <c r="E429" s="716"/>
      <c r="F429" s="716"/>
      <c r="G429" s="716"/>
      <c r="H429" s="716"/>
      <c r="I429" s="716"/>
      <c r="J429" s="716"/>
      <c r="K429" s="716"/>
      <c r="L429" s="716"/>
      <c r="M429" s="716"/>
      <c r="N429" s="716"/>
      <c r="O429" s="716"/>
      <c r="P429" s="716"/>
      <c r="Q429" s="716"/>
      <c r="R429" s="716"/>
      <c r="S429" s="716"/>
      <c r="T429" s="716"/>
      <c r="U429" s="716"/>
      <c r="V429" s="716"/>
      <c r="W429" s="716"/>
      <c r="X429" s="716"/>
      <c r="Y429" s="716"/>
      <c r="Z429" s="716"/>
    </row>
    <row r="430">
      <c r="A430" s="716"/>
      <c r="B430" s="717"/>
      <c r="C430" s="716"/>
      <c r="D430" s="716"/>
      <c r="E430" s="716"/>
      <c r="F430" s="716"/>
      <c r="G430" s="716"/>
      <c r="H430" s="716"/>
      <c r="I430" s="716"/>
      <c r="J430" s="716"/>
      <c r="K430" s="716"/>
      <c r="L430" s="716"/>
      <c r="M430" s="716"/>
      <c r="N430" s="716"/>
      <c r="O430" s="716"/>
      <c r="P430" s="716"/>
      <c r="Q430" s="716"/>
      <c r="R430" s="716"/>
      <c r="S430" s="716"/>
      <c r="T430" s="716"/>
      <c r="U430" s="716"/>
      <c r="V430" s="716"/>
      <c r="W430" s="716"/>
      <c r="X430" s="716"/>
      <c r="Y430" s="716"/>
      <c r="Z430" s="716"/>
    </row>
    <row r="431">
      <c r="A431" s="716"/>
      <c r="B431" s="717"/>
      <c r="C431" s="716"/>
      <c r="D431" s="716"/>
      <c r="E431" s="716"/>
      <c r="F431" s="716"/>
      <c r="G431" s="716"/>
      <c r="H431" s="716"/>
      <c r="I431" s="716"/>
      <c r="J431" s="716"/>
      <c r="K431" s="716"/>
      <c r="L431" s="716"/>
      <c r="M431" s="716"/>
      <c r="N431" s="716"/>
      <c r="O431" s="716"/>
      <c r="P431" s="716"/>
      <c r="Q431" s="716"/>
      <c r="R431" s="716"/>
      <c r="S431" s="716"/>
      <c r="T431" s="716"/>
      <c r="U431" s="716"/>
      <c r="V431" s="716"/>
      <c r="W431" s="716"/>
      <c r="X431" s="716"/>
      <c r="Y431" s="716"/>
      <c r="Z431" s="716"/>
    </row>
    <row r="432">
      <c r="A432" s="716"/>
      <c r="B432" s="717"/>
      <c r="C432" s="716"/>
      <c r="D432" s="716"/>
      <c r="E432" s="716"/>
      <c r="F432" s="716"/>
      <c r="G432" s="716"/>
      <c r="H432" s="716"/>
      <c r="I432" s="716"/>
      <c r="J432" s="716"/>
      <c r="K432" s="716"/>
      <c r="L432" s="716"/>
      <c r="M432" s="716"/>
      <c r="N432" s="716"/>
      <c r="O432" s="716"/>
      <c r="P432" s="716"/>
      <c r="Q432" s="716"/>
      <c r="R432" s="716"/>
      <c r="S432" s="716"/>
      <c r="T432" s="716"/>
      <c r="U432" s="716"/>
      <c r="V432" s="716"/>
      <c r="W432" s="716"/>
      <c r="X432" s="716"/>
      <c r="Y432" s="716"/>
      <c r="Z432" s="716"/>
    </row>
    <row r="433">
      <c r="A433" s="716"/>
      <c r="B433" s="717"/>
      <c r="C433" s="716"/>
      <c r="D433" s="716"/>
      <c r="E433" s="716"/>
      <c r="F433" s="716"/>
      <c r="G433" s="716"/>
      <c r="H433" s="716"/>
      <c r="I433" s="716"/>
      <c r="J433" s="716"/>
      <c r="K433" s="716"/>
      <c r="L433" s="716"/>
      <c r="M433" s="716"/>
      <c r="N433" s="716"/>
      <c r="O433" s="716"/>
      <c r="P433" s="716"/>
      <c r="Q433" s="716"/>
      <c r="R433" s="716"/>
      <c r="S433" s="716"/>
      <c r="T433" s="716"/>
      <c r="U433" s="716"/>
      <c r="V433" s="716"/>
      <c r="W433" s="716"/>
      <c r="X433" s="716"/>
      <c r="Y433" s="716"/>
      <c r="Z433" s="716"/>
    </row>
    <row r="434">
      <c r="A434" s="716"/>
      <c r="B434" s="717"/>
      <c r="C434" s="716"/>
      <c r="D434" s="716"/>
      <c r="E434" s="716"/>
      <c r="F434" s="716"/>
      <c r="G434" s="716"/>
      <c r="H434" s="716"/>
      <c r="I434" s="716"/>
      <c r="J434" s="716"/>
      <c r="K434" s="716"/>
      <c r="L434" s="716"/>
      <c r="M434" s="716"/>
      <c r="N434" s="716"/>
      <c r="O434" s="716"/>
      <c r="P434" s="716"/>
      <c r="Q434" s="716"/>
      <c r="R434" s="716"/>
      <c r="S434" s="716"/>
      <c r="T434" s="716"/>
      <c r="U434" s="716"/>
      <c r="V434" s="716"/>
      <c r="W434" s="716"/>
      <c r="X434" s="716"/>
      <c r="Y434" s="716"/>
      <c r="Z434" s="716"/>
    </row>
    <row r="435">
      <c r="A435" s="716"/>
      <c r="B435" s="717"/>
      <c r="C435" s="716"/>
      <c r="D435" s="716"/>
      <c r="E435" s="716"/>
      <c r="F435" s="716"/>
      <c r="G435" s="716"/>
      <c r="H435" s="716"/>
      <c r="I435" s="716"/>
      <c r="J435" s="716"/>
      <c r="K435" s="716"/>
      <c r="L435" s="716"/>
      <c r="M435" s="716"/>
      <c r="N435" s="716"/>
      <c r="O435" s="716"/>
      <c r="P435" s="716"/>
      <c r="Q435" s="716"/>
      <c r="R435" s="716"/>
      <c r="S435" s="716"/>
      <c r="T435" s="716"/>
      <c r="U435" s="716"/>
      <c r="V435" s="716"/>
      <c r="W435" s="716"/>
      <c r="X435" s="716"/>
      <c r="Y435" s="716"/>
      <c r="Z435" s="716"/>
    </row>
    <row r="436">
      <c r="A436" s="716"/>
      <c r="B436" s="717"/>
      <c r="C436" s="716"/>
      <c r="D436" s="716"/>
      <c r="E436" s="716"/>
      <c r="F436" s="716"/>
      <c r="G436" s="716"/>
      <c r="H436" s="716"/>
      <c r="I436" s="716"/>
      <c r="J436" s="716"/>
      <c r="K436" s="716"/>
      <c r="L436" s="716"/>
      <c r="M436" s="716"/>
      <c r="N436" s="716"/>
      <c r="O436" s="716"/>
      <c r="P436" s="716"/>
      <c r="Q436" s="716"/>
      <c r="R436" s="716"/>
      <c r="S436" s="716"/>
      <c r="T436" s="716"/>
      <c r="U436" s="716"/>
      <c r="V436" s="716"/>
      <c r="W436" s="716"/>
      <c r="X436" s="716"/>
      <c r="Y436" s="716"/>
      <c r="Z436" s="716"/>
    </row>
    <row r="437">
      <c r="A437" s="716"/>
      <c r="B437" s="717"/>
      <c r="C437" s="716"/>
      <c r="D437" s="716"/>
      <c r="E437" s="716"/>
      <c r="F437" s="716"/>
      <c r="G437" s="716"/>
      <c r="H437" s="716"/>
      <c r="I437" s="716"/>
      <c r="J437" s="716"/>
      <c r="K437" s="716"/>
      <c r="L437" s="716"/>
      <c r="M437" s="716"/>
      <c r="N437" s="716"/>
      <c r="O437" s="716"/>
      <c r="P437" s="716"/>
      <c r="Q437" s="716"/>
      <c r="R437" s="716"/>
      <c r="S437" s="716"/>
      <c r="T437" s="716"/>
      <c r="U437" s="716"/>
      <c r="V437" s="716"/>
      <c r="W437" s="716"/>
      <c r="X437" s="716"/>
      <c r="Y437" s="716"/>
      <c r="Z437" s="716"/>
    </row>
    <row r="438">
      <c r="A438" s="716"/>
      <c r="B438" s="717"/>
      <c r="C438" s="716"/>
      <c r="D438" s="716"/>
      <c r="E438" s="716"/>
      <c r="F438" s="716"/>
      <c r="G438" s="716"/>
      <c r="H438" s="716"/>
      <c r="I438" s="716"/>
      <c r="J438" s="716"/>
      <c r="K438" s="716"/>
      <c r="L438" s="716"/>
      <c r="M438" s="716"/>
      <c r="N438" s="716"/>
      <c r="O438" s="716"/>
      <c r="P438" s="716"/>
      <c r="Q438" s="716"/>
      <c r="R438" s="716"/>
      <c r="S438" s="716"/>
      <c r="T438" s="716"/>
      <c r="U438" s="716"/>
      <c r="V438" s="716"/>
      <c r="W438" s="716"/>
      <c r="X438" s="716"/>
      <c r="Y438" s="716"/>
      <c r="Z438" s="716"/>
    </row>
    <row r="439">
      <c r="A439" s="716"/>
      <c r="B439" s="717"/>
      <c r="C439" s="716"/>
      <c r="D439" s="716"/>
      <c r="E439" s="716"/>
      <c r="F439" s="716"/>
      <c r="G439" s="716"/>
      <c r="H439" s="716"/>
      <c r="I439" s="716"/>
      <c r="J439" s="716"/>
      <c r="K439" s="716"/>
      <c r="L439" s="716"/>
      <c r="M439" s="716"/>
      <c r="N439" s="716"/>
      <c r="O439" s="716"/>
      <c r="P439" s="716"/>
      <c r="Q439" s="716"/>
      <c r="R439" s="716"/>
      <c r="S439" s="716"/>
      <c r="T439" s="716"/>
      <c r="U439" s="716"/>
      <c r="V439" s="716"/>
      <c r="W439" s="716"/>
      <c r="X439" s="716"/>
      <c r="Y439" s="716"/>
      <c r="Z439" s="716"/>
    </row>
    <row r="440">
      <c r="A440" s="716"/>
      <c r="B440" s="717"/>
      <c r="C440" s="716"/>
      <c r="D440" s="716"/>
      <c r="E440" s="716"/>
      <c r="F440" s="716"/>
      <c r="G440" s="716"/>
      <c r="H440" s="716"/>
      <c r="I440" s="716"/>
      <c r="J440" s="716"/>
      <c r="K440" s="716"/>
      <c r="L440" s="716"/>
      <c r="M440" s="716"/>
      <c r="N440" s="716"/>
      <c r="O440" s="716"/>
      <c r="P440" s="716"/>
      <c r="Q440" s="716"/>
      <c r="R440" s="716"/>
      <c r="S440" s="716"/>
      <c r="T440" s="716"/>
      <c r="U440" s="716"/>
      <c r="V440" s="716"/>
      <c r="W440" s="716"/>
      <c r="X440" s="716"/>
      <c r="Y440" s="716"/>
      <c r="Z440" s="716"/>
    </row>
    <row r="441">
      <c r="A441" s="716"/>
      <c r="B441" s="717"/>
      <c r="C441" s="716"/>
      <c r="D441" s="716"/>
      <c r="E441" s="716"/>
      <c r="F441" s="716"/>
      <c r="G441" s="716"/>
      <c r="H441" s="716"/>
      <c r="I441" s="716"/>
      <c r="J441" s="716"/>
      <c r="K441" s="716"/>
      <c r="L441" s="716"/>
      <c r="M441" s="716"/>
      <c r="N441" s="716"/>
      <c r="O441" s="716"/>
      <c r="P441" s="716"/>
      <c r="Q441" s="716"/>
      <c r="R441" s="716"/>
      <c r="S441" s="716"/>
      <c r="T441" s="716"/>
      <c r="U441" s="716"/>
      <c r="V441" s="716"/>
      <c r="W441" s="716"/>
      <c r="X441" s="716"/>
      <c r="Y441" s="716"/>
      <c r="Z441" s="716"/>
    </row>
    <row r="442">
      <c r="A442" s="716"/>
      <c r="B442" s="717"/>
      <c r="C442" s="716"/>
      <c r="D442" s="716"/>
      <c r="E442" s="716"/>
      <c r="F442" s="716"/>
      <c r="G442" s="716"/>
      <c r="H442" s="716"/>
      <c r="I442" s="716"/>
      <c r="J442" s="716"/>
      <c r="K442" s="716"/>
      <c r="L442" s="716"/>
      <c r="M442" s="716"/>
      <c r="N442" s="716"/>
      <c r="O442" s="716"/>
      <c r="P442" s="716"/>
      <c r="Q442" s="716"/>
      <c r="R442" s="716"/>
      <c r="S442" s="716"/>
      <c r="T442" s="716"/>
      <c r="U442" s="716"/>
      <c r="V442" s="716"/>
      <c r="W442" s="716"/>
      <c r="X442" s="716"/>
      <c r="Y442" s="716"/>
      <c r="Z442" s="716"/>
    </row>
    <row r="443">
      <c r="A443" s="716"/>
      <c r="B443" s="717"/>
      <c r="C443" s="716"/>
      <c r="D443" s="716"/>
      <c r="E443" s="716"/>
      <c r="F443" s="716"/>
      <c r="G443" s="716"/>
      <c r="H443" s="716"/>
      <c r="I443" s="716"/>
      <c r="J443" s="716"/>
      <c r="K443" s="716"/>
      <c r="L443" s="716"/>
      <c r="M443" s="716"/>
      <c r="N443" s="716"/>
      <c r="O443" s="716"/>
      <c r="P443" s="716"/>
      <c r="Q443" s="716"/>
      <c r="R443" s="716"/>
      <c r="S443" s="716"/>
      <c r="T443" s="716"/>
      <c r="U443" s="716"/>
      <c r="V443" s="716"/>
      <c r="W443" s="716"/>
      <c r="X443" s="716"/>
      <c r="Y443" s="716"/>
      <c r="Z443" s="716"/>
    </row>
    <row r="444">
      <c r="A444" s="716"/>
      <c r="B444" s="717"/>
      <c r="C444" s="716"/>
      <c r="D444" s="716"/>
      <c r="E444" s="716"/>
      <c r="F444" s="716"/>
      <c r="G444" s="716"/>
      <c r="H444" s="716"/>
      <c r="I444" s="716"/>
      <c r="J444" s="716"/>
      <c r="K444" s="716"/>
      <c r="L444" s="716"/>
      <c r="M444" s="716"/>
      <c r="N444" s="716"/>
      <c r="O444" s="716"/>
      <c r="P444" s="716"/>
      <c r="Q444" s="716"/>
      <c r="R444" s="716"/>
      <c r="S444" s="716"/>
      <c r="T444" s="716"/>
      <c r="U444" s="716"/>
      <c r="V444" s="716"/>
      <c r="W444" s="716"/>
      <c r="X444" s="716"/>
      <c r="Y444" s="716"/>
      <c r="Z444" s="716"/>
    </row>
    <row r="445">
      <c r="A445" s="716"/>
      <c r="B445" s="717"/>
      <c r="C445" s="716"/>
      <c r="D445" s="716"/>
      <c r="E445" s="716"/>
      <c r="F445" s="716"/>
      <c r="G445" s="716"/>
      <c r="H445" s="716"/>
      <c r="I445" s="716"/>
      <c r="J445" s="716"/>
      <c r="K445" s="716"/>
      <c r="L445" s="716"/>
      <c r="M445" s="716"/>
      <c r="N445" s="716"/>
      <c r="O445" s="716"/>
      <c r="P445" s="716"/>
      <c r="Q445" s="716"/>
      <c r="R445" s="716"/>
      <c r="S445" s="716"/>
      <c r="T445" s="716"/>
      <c r="U445" s="716"/>
      <c r="V445" s="716"/>
      <c r="W445" s="716"/>
      <c r="X445" s="716"/>
      <c r="Y445" s="716"/>
      <c r="Z445" s="716"/>
    </row>
    <row r="446">
      <c r="A446" s="716"/>
      <c r="B446" s="717"/>
      <c r="C446" s="716"/>
      <c r="D446" s="716"/>
      <c r="E446" s="716"/>
      <c r="F446" s="716"/>
      <c r="G446" s="716"/>
      <c r="H446" s="716"/>
      <c r="I446" s="716"/>
      <c r="J446" s="716"/>
      <c r="K446" s="716"/>
      <c r="L446" s="716"/>
      <c r="M446" s="716"/>
      <c r="N446" s="716"/>
      <c r="O446" s="716"/>
      <c r="P446" s="716"/>
      <c r="Q446" s="716"/>
      <c r="R446" s="716"/>
      <c r="S446" s="716"/>
      <c r="T446" s="716"/>
      <c r="U446" s="716"/>
      <c r="V446" s="716"/>
      <c r="W446" s="716"/>
      <c r="X446" s="716"/>
      <c r="Y446" s="716"/>
      <c r="Z446" s="716"/>
    </row>
    <row r="447">
      <c r="A447" s="716"/>
      <c r="B447" s="717"/>
      <c r="C447" s="716"/>
      <c r="D447" s="716"/>
      <c r="E447" s="716"/>
      <c r="F447" s="716"/>
      <c r="G447" s="716"/>
      <c r="H447" s="716"/>
      <c r="I447" s="716"/>
      <c r="J447" s="716"/>
      <c r="K447" s="716"/>
      <c r="L447" s="716"/>
      <c r="M447" s="716"/>
      <c r="N447" s="716"/>
      <c r="O447" s="716"/>
      <c r="P447" s="716"/>
      <c r="Q447" s="716"/>
      <c r="R447" s="716"/>
      <c r="S447" s="716"/>
      <c r="T447" s="716"/>
      <c r="U447" s="716"/>
      <c r="V447" s="716"/>
      <c r="W447" s="716"/>
      <c r="X447" s="716"/>
      <c r="Y447" s="716"/>
      <c r="Z447" s="716"/>
    </row>
    <row r="448">
      <c r="A448" s="716"/>
      <c r="B448" s="717"/>
      <c r="C448" s="716"/>
      <c r="D448" s="716"/>
      <c r="E448" s="716"/>
      <c r="F448" s="716"/>
      <c r="G448" s="716"/>
      <c r="H448" s="716"/>
      <c r="I448" s="716"/>
      <c r="J448" s="716"/>
      <c r="K448" s="716"/>
      <c r="L448" s="716"/>
      <c r="M448" s="716"/>
      <c r="N448" s="716"/>
      <c r="O448" s="716"/>
      <c r="P448" s="716"/>
      <c r="Q448" s="716"/>
      <c r="R448" s="716"/>
      <c r="S448" s="716"/>
      <c r="T448" s="716"/>
      <c r="U448" s="716"/>
      <c r="V448" s="716"/>
      <c r="W448" s="716"/>
      <c r="X448" s="716"/>
      <c r="Y448" s="716"/>
      <c r="Z448" s="716"/>
    </row>
    <row r="449">
      <c r="A449" s="716"/>
      <c r="B449" s="717"/>
      <c r="C449" s="716"/>
      <c r="D449" s="716"/>
      <c r="E449" s="716"/>
      <c r="F449" s="716"/>
      <c r="G449" s="716"/>
      <c r="H449" s="716"/>
      <c r="I449" s="716"/>
      <c r="J449" s="716"/>
      <c r="K449" s="716"/>
      <c r="L449" s="716"/>
      <c r="M449" s="716"/>
      <c r="N449" s="716"/>
      <c r="O449" s="716"/>
      <c r="P449" s="716"/>
      <c r="Q449" s="716"/>
      <c r="R449" s="716"/>
      <c r="S449" s="716"/>
      <c r="T449" s="716"/>
      <c r="U449" s="716"/>
      <c r="V449" s="716"/>
      <c r="W449" s="716"/>
      <c r="X449" s="716"/>
      <c r="Y449" s="716"/>
      <c r="Z449" s="716"/>
    </row>
    <row r="450">
      <c r="A450" s="716"/>
      <c r="B450" s="717"/>
      <c r="C450" s="716"/>
      <c r="D450" s="716"/>
      <c r="E450" s="716"/>
      <c r="F450" s="716"/>
      <c r="G450" s="716"/>
      <c r="H450" s="716"/>
      <c r="I450" s="716"/>
      <c r="J450" s="716"/>
      <c r="K450" s="716"/>
      <c r="L450" s="716"/>
      <c r="M450" s="716"/>
      <c r="N450" s="716"/>
      <c r="O450" s="716"/>
      <c r="P450" s="716"/>
      <c r="Q450" s="716"/>
      <c r="R450" s="716"/>
      <c r="S450" s="716"/>
      <c r="T450" s="716"/>
      <c r="U450" s="716"/>
      <c r="V450" s="716"/>
      <c r="W450" s="716"/>
      <c r="X450" s="716"/>
      <c r="Y450" s="716"/>
      <c r="Z450" s="716"/>
    </row>
    <row r="451">
      <c r="A451" s="716"/>
      <c r="B451" s="717"/>
      <c r="C451" s="716"/>
      <c r="D451" s="716"/>
      <c r="E451" s="716"/>
      <c r="F451" s="716"/>
      <c r="G451" s="716"/>
      <c r="H451" s="716"/>
      <c r="I451" s="716"/>
      <c r="J451" s="716"/>
      <c r="K451" s="716"/>
      <c r="L451" s="716"/>
      <c r="M451" s="716"/>
      <c r="N451" s="716"/>
      <c r="O451" s="716"/>
      <c r="P451" s="716"/>
      <c r="Q451" s="716"/>
      <c r="R451" s="716"/>
      <c r="S451" s="716"/>
      <c r="T451" s="716"/>
      <c r="U451" s="716"/>
      <c r="V451" s="716"/>
      <c r="W451" s="716"/>
      <c r="X451" s="716"/>
      <c r="Y451" s="716"/>
      <c r="Z451" s="716"/>
    </row>
    <row r="452">
      <c r="A452" s="716"/>
      <c r="B452" s="717"/>
      <c r="C452" s="716"/>
      <c r="D452" s="716"/>
      <c r="E452" s="716"/>
      <c r="F452" s="716"/>
      <c r="G452" s="716"/>
      <c r="H452" s="716"/>
      <c r="I452" s="716"/>
      <c r="J452" s="716"/>
      <c r="K452" s="716"/>
      <c r="L452" s="716"/>
      <c r="M452" s="716"/>
      <c r="N452" s="716"/>
      <c r="O452" s="716"/>
      <c r="P452" s="716"/>
      <c r="Q452" s="716"/>
      <c r="R452" s="716"/>
      <c r="S452" s="716"/>
      <c r="T452" s="716"/>
      <c r="U452" s="716"/>
      <c r="V452" s="716"/>
      <c r="W452" s="716"/>
      <c r="X452" s="716"/>
      <c r="Y452" s="716"/>
      <c r="Z452" s="716"/>
    </row>
    <row r="453">
      <c r="A453" s="716"/>
      <c r="B453" s="717"/>
      <c r="C453" s="716"/>
      <c r="D453" s="716"/>
      <c r="E453" s="716"/>
      <c r="F453" s="716"/>
      <c r="G453" s="716"/>
      <c r="H453" s="716"/>
      <c r="I453" s="716"/>
      <c r="J453" s="716"/>
      <c r="K453" s="716"/>
      <c r="L453" s="716"/>
      <c r="M453" s="716"/>
      <c r="N453" s="716"/>
      <c r="O453" s="716"/>
      <c r="P453" s="716"/>
      <c r="Q453" s="716"/>
      <c r="R453" s="716"/>
      <c r="S453" s="716"/>
      <c r="T453" s="716"/>
      <c r="U453" s="716"/>
      <c r="V453" s="716"/>
      <c r="W453" s="716"/>
      <c r="X453" s="716"/>
      <c r="Y453" s="716"/>
      <c r="Z453" s="716"/>
    </row>
    <row r="454">
      <c r="A454" s="716"/>
      <c r="B454" s="717"/>
      <c r="C454" s="716"/>
      <c r="D454" s="716"/>
      <c r="E454" s="716"/>
      <c r="F454" s="716"/>
      <c r="G454" s="716"/>
      <c r="H454" s="716"/>
      <c r="I454" s="716"/>
      <c r="J454" s="716"/>
      <c r="K454" s="716"/>
      <c r="L454" s="716"/>
      <c r="M454" s="716"/>
      <c r="N454" s="716"/>
      <c r="O454" s="716"/>
      <c r="P454" s="716"/>
      <c r="Q454" s="716"/>
      <c r="R454" s="716"/>
      <c r="S454" s="716"/>
      <c r="T454" s="716"/>
      <c r="U454" s="716"/>
      <c r="V454" s="716"/>
      <c r="W454" s="716"/>
      <c r="X454" s="716"/>
      <c r="Y454" s="716"/>
      <c r="Z454" s="716"/>
    </row>
    <row r="455">
      <c r="A455" s="716"/>
      <c r="B455" s="717"/>
      <c r="C455" s="716"/>
      <c r="D455" s="716"/>
      <c r="E455" s="716"/>
      <c r="F455" s="716"/>
      <c r="G455" s="716"/>
      <c r="H455" s="716"/>
      <c r="I455" s="716"/>
      <c r="J455" s="716"/>
      <c r="K455" s="716"/>
      <c r="L455" s="716"/>
      <c r="M455" s="716"/>
      <c r="N455" s="716"/>
      <c r="O455" s="716"/>
      <c r="P455" s="716"/>
      <c r="Q455" s="716"/>
      <c r="R455" s="716"/>
      <c r="S455" s="716"/>
      <c r="T455" s="716"/>
      <c r="U455" s="716"/>
      <c r="V455" s="716"/>
      <c r="W455" s="716"/>
      <c r="X455" s="716"/>
      <c r="Y455" s="716"/>
      <c r="Z455" s="716"/>
    </row>
    <row r="456">
      <c r="A456" s="716"/>
      <c r="B456" s="717"/>
      <c r="C456" s="716"/>
      <c r="D456" s="716"/>
      <c r="E456" s="716"/>
      <c r="F456" s="716"/>
      <c r="G456" s="716"/>
      <c r="H456" s="716"/>
      <c r="I456" s="716"/>
      <c r="J456" s="716"/>
      <c r="K456" s="716"/>
      <c r="L456" s="716"/>
      <c r="M456" s="716"/>
      <c r="N456" s="716"/>
      <c r="O456" s="716"/>
      <c r="P456" s="716"/>
      <c r="Q456" s="716"/>
      <c r="R456" s="716"/>
      <c r="S456" s="716"/>
      <c r="T456" s="716"/>
      <c r="U456" s="716"/>
      <c r="V456" s="716"/>
      <c r="W456" s="716"/>
      <c r="X456" s="716"/>
      <c r="Y456" s="716"/>
      <c r="Z456" s="716"/>
    </row>
    <row r="457">
      <c r="A457" s="716"/>
      <c r="B457" s="717"/>
      <c r="C457" s="716"/>
      <c r="D457" s="716"/>
      <c r="E457" s="716"/>
      <c r="F457" s="716"/>
      <c r="G457" s="716"/>
      <c r="H457" s="716"/>
      <c r="I457" s="716"/>
      <c r="J457" s="716"/>
      <c r="K457" s="716"/>
      <c r="L457" s="716"/>
      <c r="M457" s="716"/>
      <c r="N457" s="716"/>
      <c r="O457" s="716"/>
      <c r="P457" s="716"/>
      <c r="Q457" s="716"/>
      <c r="R457" s="716"/>
      <c r="S457" s="716"/>
      <c r="T457" s="716"/>
      <c r="U457" s="716"/>
      <c r="V457" s="716"/>
      <c r="W457" s="716"/>
      <c r="X457" s="716"/>
      <c r="Y457" s="716"/>
      <c r="Z457" s="716"/>
    </row>
    <row r="458">
      <c r="A458" s="716"/>
      <c r="B458" s="717"/>
      <c r="C458" s="716"/>
      <c r="D458" s="716"/>
      <c r="E458" s="716"/>
      <c r="F458" s="716"/>
      <c r="G458" s="716"/>
      <c r="H458" s="716"/>
      <c r="I458" s="716"/>
      <c r="J458" s="716"/>
      <c r="K458" s="716"/>
      <c r="L458" s="716"/>
      <c r="M458" s="716"/>
      <c r="N458" s="716"/>
      <c r="O458" s="716"/>
      <c r="P458" s="716"/>
      <c r="Q458" s="716"/>
      <c r="R458" s="716"/>
      <c r="S458" s="716"/>
      <c r="T458" s="716"/>
      <c r="U458" s="716"/>
      <c r="V458" s="716"/>
      <c r="W458" s="716"/>
      <c r="X458" s="716"/>
      <c r="Y458" s="716"/>
      <c r="Z458" s="716"/>
    </row>
    <row r="459">
      <c r="A459" s="716"/>
      <c r="B459" s="717"/>
      <c r="C459" s="716"/>
      <c r="D459" s="716"/>
      <c r="E459" s="716"/>
      <c r="F459" s="716"/>
      <c r="G459" s="716"/>
      <c r="H459" s="716"/>
      <c r="I459" s="716"/>
      <c r="J459" s="716"/>
      <c r="K459" s="716"/>
      <c r="L459" s="716"/>
      <c r="M459" s="716"/>
      <c r="N459" s="716"/>
      <c r="O459" s="716"/>
      <c r="P459" s="716"/>
      <c r="Q459" s="716"/>
      <c r="R459" s="716"/>
      <c r="S459" s="716"/>
      <c r="T459" s="716"/>
      <c r="U459" s="716"/>
      <c r="V459" s="716"/>
      <c r="W459" s="716"/>
      <c r="X459" s="716"/>
      <c r="Y459" s="716"/>
      <c r="Z459" s="716"/>
    </row>
    <row r="460">
      <c r="A460" s="716"/>
      <c r="B460" s="717"/>
      <c r="C460" s="716"/>
      <c r="D460" s="716"/>
      <c r="E460" s="716"/>
      <c r="F460" s="716"/>
      <c r="G460" s="716"/>
      <c r="H460" s="716"/>
      <c r="I460" s="716"/>
      <c r="J460" s="716"/>
      <c r="K460" s="716"/>
      <c r="L460" s="716"/>
      <c r="M460" s="716"/>
      <c r="N460" s="716"/>
      <c r="O460" s="716"/>
      <c r="P460" s="716"/>
      <c r="Q460" s="716"/>
      <c r="R460" s="716"/>
      <c r="S460" s="716"/>
      <c r="T460" s="716"/>
      <c r="U460" s="716"/>
      <c r="V460" s="716"/>
      <c r="W460" s="716"/>
      <c r="X460" s="716"/>
      <c r="Y460" s="716"/>
      <c r="Z460" s="716"/>
    </row>
    <row r="461">
      <c r="A461" s="716"/>
      <c r="B461" s="717"/>
      <c r="C461" s="716"/>
      <c r="D461" s="716"/>
      <c r="E461" s="716"/>
      <c r="F461" s="716"/>
      <c r="G461" s="716"/>
      <c r="H461" s="716"/>
      <c r="I461" s="716"/>
      <c r="J461" s="716"/>
      <c r="K461" s="716"/>
      <c r="L461" s="716"/>
      <c r="M461" s="716"/>
      <c r="N461" s="716"/>
      <c r="O461" s="716"/>
      <c r="P461" s="716"/>
      <c r="Q461" s="716"/>
      <c r="R461" s="716"/>
      <c r="S461" s="716"/>
      <c r="T461" s="716"/>
      <c r="U461" s="716"/>
      <c r="V461" s="716"/>
      <c r="W461" s="716"/>
      <c r="X461" s="716"/>
      <c r="Y461" s="716"/>
      <c r="Z461" s="716"/>
    </row>
    <row r="462">
      <c r="A462" s="716"/>
      <c r="B462" s="717"/>
      <c r="C462" s="716"/>
      <c r="D462" s="716"/>
      <c r="E462" s="716"/>
      <c r="F462" s="716"/>
      <c r="G462" s="716"/>
      <c r="H462" s="716"/>
      <c r="I462" s="716"/>
      <c r="J462" s="716"/>
      <c r="K462" s="716"/>
      <c r="L462" s="716"/>
      <c r="M462" s="716"/>
      <c r="N462" s="716"/>
      <c r="O462" s="716"/>
      <c r="P462" s="716"/>
      <c r="Q462" s="716"/>
      <c r="R462" s="716"/>
      <c r="S462" s="716"/>
      <c r="T462" s="716"/>
      <c r="U462" s="716"/>
      <c r="V462" s="716"/>
      <c r="W462" s="716"/>
      <c r="X462" s="716"/>
      <c r="Y462" s="716"/>
      <c r="Z462" s="716"/>
    </row>
    <row r="463">
      <c r="A463" s="716"/>
      <c r="B463" s="717"/>
      <c r="C463" s="716"/>
      <c r="D463" s="716"/>
      <c r="E463" s="716"/>
      <c r="F463" s="716"/>
      <c r="G463" s="716"/>
      <c r="H463" s="716"/>
      <c r="I463" s="716"/>
      <c r="J463" s="716"/>
      <c r="K463" s="716"/>
      <c r="L463" s="716"/>
      <c r="M463" s="716"/>
      <c r="N463" s="716"/>
      <c r="O463" s="716"/>
      <c r="P463" s="716"/>
      <c r="Q463" s="716"/>
      <c r="R463" s="716"/>
      <c r="S463" s="716"/>
      <c r="T463" s="716"/>
      <c r="U463" s="716"/>
      <c r="V463" s="716"/>
      <c r="W463" s="716"/>
      <c r="X463" s="716"/>
      <c r="Y463" s="716"/>
      <c r="Z463" s="716"/>
    </row>
    <row r="464">
      <c r="A464" s="716"/>
      <c r="B464" s="717"/>
      <c r="C464" s="716"/>
      <c r="D464" s="716"/>
      <c r="E464" s="716"/>
      <c r="F464" s="716"/>
      <c r="G464" s="716"/>
      <c r="H464" s="716"/>
      <c r="I464" s="716"/>
      <c r="J464" s="716"/>
      <c r="K464" s="716"/>
      <c r="L464" s="716"/>
      <c r="M464" s="716"/>
      <c r="N464" s="716"/>
      <c r="O464" s="716"/>
      <c r="P464" s="716"/>
      <c r="Q464" s="716"/>
      <c r="R464" s="716"/>
      <c r="S464" s="716"/>
      <c r="T464" s="716"/>
      <c r="U464" s="716"/>
      <c r="V464" s="716"/>
      <c r="W464" s="716"/>
      <c r="X464" s="716"/>
      <c r="Y464" s="716"/>
      <c r="Z464" s="716"/>
    </row>
    <row r="465">
      <c r="A465" s="716"/>
      <c r="B465" s="717"/>
      <c r="C465" s="716"/>
      <c r="D465" s="716"/>
      <c r="E465" s="716"/>
      <c r="F465" s="716"/>
      <c r="G465" s="716"/>
      <c r="H465" s="716"/>
      <c r="I465" s="716"/>
      <c r="J465" s="716"/>
      <c r="K465" s="716"/>
      <c r="L465" s="716"/>
      <c r="M465" s="716"/>
      <c r="N465" s="716"/>
      <c r="O465" s="716"/>
      <c r="P465" s="716"/>
      <c r="Q465" s="716"/>
      <c r="R465" s="716"/>
      <c r="S465" s="716"/>
      <c r="T465" s="716"/>
      <c r="U465" s="716"/>
      <c r="V465" s="716"/>
      <c r="W465" s="716"/>
      <c r="X465" s="716"/>
      <c r="Y465" s="716"/>
      <c r="Z465" s="716"/>
    </row>
    <row r="466">
      <c r="A466" s="716"/>
      <c r="B466" s="717"/>
      <c r="C466" s="716"/>
      <c r="D466" s="716"/>
      <c r="E466" s="716"/>
      <c r="F466" s="716"/>
      <c r="G466" s="716"/>
      <c r="H466" s="716"/>
      <c r="I466" s="716"/>
      <c r="J466" s="716"/>
      <c r="K466" s="716"/>
      <c r="L466" s="716"/>
      <c r="M466" s="716"/>
      <c r="N466" s="716"/>
      <c r="O466" s="716"/>
      <c r="P466" s="716"/>
      <c r="Q466" s="716"/>
      <c r="R466" s="716"/>
      <c r="S466" s="716"/>
      <c r="T466" s="716"/>
      <c r="U466" s="716"/>
      <c r="V466" s="716"/>
      <c r="W466" s="716"/>
      <c r="X466" s="716"/>
      <c r="Y466" s="716"/>
      <c r="Z466" s="716"/>
    </row>
    <row r="467">
      <c r="A467" s="716"/>
      <c r="B467" s="717"/>
      <c r="C467" s="716"/>
      <c r="D467" s="716"/>
      <c r="E467" s="716"/>
      <c r="F467" s="716"/>
      <c r="G467" s="716"/>
      <c r="H467" s="716"/>
      <c r="I467" s="716"/>
      <c r="J467" s="716"/>
      <c r="K467" s="716"/>
      <c r="L467" s="716"/>
      <c r="M467" s="716"/>
      <c r="N467" s="716"/>
      <c r="O467" s="716"/>
      <c r="P467" s="716"/>
      <c r="Q467" s="716"/>
      <c r="R467" s="716"/>
      <c r="S467" s="716"/>
      <c r="T467" s="716"/>
      <c r="U467" s="716"/>
      <c r="V467" s="716"/>
      <c r="W467" s="716"/>
      <c r="X467" s="716"/>
      <c r="Y467" s="716"/>
      <c r="Z467" s="716"/>
    </row>
    <row r="468">
      <c r="A468" s="716"/>
      <c r="B468" s="717"/>
      <c r="C468" s="716"/>
      <c r="D468" s="716"/>
      <c r="E468" s="716"/>
      <c r="F468" s="716"/>
      <c r="G468" s="716"/>
      <c r="H468" s="716"/>
      <c r="I468" s="716"/>
      <c r="J468" s="716"/>
      <c r="K468" s="716"/>
      <c r="L468" s="716"/>
      <c r="M468" s="716"/>
      <c r="N468" s="716"/>
      <c r="O468" s="716"/>
      <c r="P468" s="716"/>
      <c r="Q468" s="716"/>
      <c r="R468" s="716"/>
      <c r="S468" s="716"/>
      <c r="T468" s="716"/>
      <c r="U468" s="716"/>
      <c r="V468" s="716"/>
      <c r="W468" s="716"/>
      <c r="X468" s="716"/>
      <c r="Y468" s="716"/>
      <c r="Z468" s="716"/>
    </row>
    <row r="469">
      <c r="A469" s="716"/>
      <c r="B469" s="717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</row>
    <row r="470">
      <c r="A470" s="716"/>
      <c r="B470" s="717"/>
      <c r="C470" s="716"/>
      <c r="D470" s="716"/>
      <c r="E470" s="716"/>
      <c r="F470" s="716"/>
      <c r="G470" s="716"/>
      <c r="H470" s="716"/>
      <c r="I470" s="716"/>
      <c r="J470" s="716"/>
      <c r="K470" s="716"/>
      <c r="L470" s="716"/>
      <c r="M470" s="716"/>
      <c r="N470" s="716"/>
      <c r="O470" s="716"/>
      <c r="P470" s="716"/>
      <c r="Q470" s="716"/>
      <c r="R470" s="716"/>
      <c r="S470" s="716"/>
      <c r="T470" s="716"/>
      <c r="U470" s="716"/>
      <c r="V470" s="716"/>
      <c r="W470" s="716"/>
      <c r="X470" s="716"/>
      <c r="Y470" s="716"/>
      <c r="Z470" s="716"/>
    </row>
    <row r="471">
      <c r="A471" s="716"/>
      <c r="B471" s="717"/>
      <c r="C471" s="716"/>
      <c r="D471" s="716"/>
      <c r="E471" s="716"/>
      <c r="F471" s="716"/>
      <c r="G471" s="716"/>
      <c r="H471" s="716"/>
      <c r="I471" s="716"/>
      <c r="J471" s="716"/>
      <c r="K471" s="716"/>
      <c r="L471" s="716"/>
      <c r="M471" s="716"/>
      <c r="N471" s="716"/>
      <c r="O471" s="716"/>
      <c r="P471" s="716"/>
      <c r="Q471" s="716"/>
      <c r="R471" s="716"/>
      <c r="S471" s="716"/>
      <c r="T471" s="716"/>
      <c r="U471" s="716"/>
      <c r="V471" s="716"/>
      <c r="W471" s="716"/>
      <c r="X471" s="716"/>
      <c r="Y471" s="716"/>
      <c r="Z471" s="716"/>
    </row>
    <row r="472">
      <c r="A472" s="716"/>
      <c r="B472" s="717"/>
      <c r="C472" s="716"/>
      <c r="D472" s="716"/>
      <c r="E472" s="716"/>
      <c r="F472" s="716"/>
      <c r="G472" s="716"/>
      <c r="H472" s="716"/>
      <c r="I472" s="716"/>
      <c r="J472" s="716"/>
      <c r="K472" s="716"/>
      <c r="L472" s="716"/>
      <c r="M472" s="716"/>
      <c r="N472" s="716"/>
      <c r="O472" s="716"/>
      <c r="P472" s="716"/>
      <c r="Q472" s="716"/>
      <c r="R472" s="716"/>
      <c r="S472" s="716"/>
      <c r="T472" s="716"/>
      <c r="U472" s="716"/>
      <c r="V472" s="716"/>
      <c r="W472" s="716"/>
      <c r="X472" s="716"/>
      <c r="Y472" s="716"/>
      <c r="Z472" s="716"/>
    </row>
    <row r="473">
      <c r="A473" s="716"/>
      <c r="B473" s="717"/>
      <c r="C473" s="716"/>
      <c r="D473" s="716"/>
      <c r="E473" s="716"/>
      <c r="F473" s="716"/>
      <c r="G473" s="716"/>
      <c r="H473" s="716"/>
      <c r="I473" s="716"/>
      <c r="J473" s="716"/>
      <c r="K473" s="716"/>
      <c r="L473" s="716"/>
      <c r="M473" s="716"/>
      <c r="N473" s="716"/>
      <c r="O473" s="716"/>
      <c r="P473" s="716"/>
      <c r="Q473" s="716"/>
      <c r="R473" s="716"/>
      <c r="S473" s="716"/>
      <c r="T473" s="716"/>
      <c r="U473" s="716"/>
      <c r="V473" s="716"/>
      <c r="W473" s="716"/>
      <c r="X473" s="716"/>
      <c r="Y473" s="716"/>
      <c r="Z473" s="716"/>
    </row>
    <row r="474">
      <c r="A474" s="716"/>
      <c r="B474" s="717"/>
      <c r="C474" s="716"/>
      <c r="D474" s="716"/>
      <c r="E474" s="716"/>
      <c r="F474" s="716"/>
      <c r="G474" s="716"/>
      <c r="H474" s="716"/>
      <c r="I474" s="716"/>
      <c r="J474" s="716"/>
      <c r="K474" s="716"/>
      <c r="L474" s="716"/>
      <c r="M474" s="716"/>
      <c r="N474" s="716"/>
      <c r="O474" s="716"/>
      <c r="P474" s="716"/>
      <c r="Q474" s="716"/>
      <c r="R474" s="716"/>
      <c r="S474" s="716"/>
      <c r="T474" s="716"/>
      <c r="U474" s="716"/>
      <c r="V474" s="716"/>
      <c r="W474" s="716"/>
      <c r="X474" s="716"/>
      <c r="Y474" s="716"/>
      <c r="Z474" s="716"/>
    </row>
    <row r="475">
      <c r="A475" s="716"/>
      <c r="B475" s="717"/>
      <c r="C475" s="716"/>
      <c r="D475" s="716"/>
      <c r="E475" s="716"/>
      <c r="F475" s="716"/>
      <c r="G475" s="716"/>
      <c r="H475" s="716"/>
      <c r="I475" s="716"/>
      <c r="J475" s="716"/>
      <c r="K475" s="716"/>
      <c r="L475" s="716"/>
      <c r="M475" s="716"/>
      <c r="N475" s="716"/>
      <c r="O475" s="716"/>
      <c r="P475" s="716"/>
      <c r="Q475" s="716"/>
      <c r="R475" s="716"/>
      <c r="S475" s="716"/>
      <c r="T475" s="716"/>
      <c r="U475" s="716"/>
      <c r="V475" s="716"/>
      <c r="W475" s="716"/>
      <c r="X475" s="716"/>
      <c r="Y475" s="716"/>
      <c r="Z475" s="716"/>
    </row>
    <row r="476">
      <c r="A476" s="716"/>
      <c r="B476" s="717"/>
      <c r="C476" s="716"/>
      <c r="D476" s="716"/>
      <c r="E476" s="716"/>
      <c r="F476" s="716"/>
      <c r="G476" s="716"/>
      <c r="H476" s="716"/>
      <c r="I476" s="716"/>
      <c r="J476" s="716"/>
      <c r="K476" s="716"/>
      <c r="L476" s="716"/>
      <c r="M476" s="716"/>
      <c r="N476" s="716"/>
      <c r="O476" s="716"/>
      <c r="P476" s="716"/>
      <c r="Q476" s="716"/>
      <c r="R476" s="716"/>
      <c r="S476" s="716"/>
      <c r="T476" s="716"/>
      <c r="U476" s="716"/>
      <c r="V476" s="716"/>
      <c r="W476" s="716"/>
      <c r="X476" s="716"/>
      <c r="Y476" s="716"/>
      <c r="Z476" s="716"/>
    </row>
    <row r="477">
      <c r="A477" s="716"/>
      <c r="B477" s="717"/>
      <c r="C477" s="716"/>
      <c r="D477" s="716"/>
      <c r="E477" s="716"/>
      <c r="F477" s="716"/>
      <c r="G477" s="716"/>
      <c r="H477" s="716"/>
      <c r="I477" s="716"/>
      <c r="J477" s="716"/>
      <c r="K477" s="716"/>
      <c r="L477" s="716"/>
      <c r="M477" s="716"/>
      <c r="N477" s="716"/>
      <c r="O477" s="716"/>
      <c r="P477" s="716"/>
      <c r="Q477" s="716"/>
      <c r="R477" s="716"/>
      <c r="S477" s="716"/>
      <c r="T477" s="716"/>
      <c r="U477" s="716"/>
      <c r="V477" s="716"/>
      <c r="W477" s="716"/>
      <c r="X477" s="716"/>
      <c r="Y477" s="716"/>
      <c r="Z477" s="716"/>
    </row>
    <row r="478">
      <c r="A478" s="716"/>
      <c r="B478" s="717"/>
      <c r="C478" s="716"/>
      <c r="D478" s="716"/>
      <c r="E478" s="716"/>
      <c r="F478" s="716"/>
      <c r="G478" s="716"/>
      <c r="H478" s="716"/>
      <c r="I478" s="716"/>
      <c r="J478" s="716"/>
      <c r="K478" s="716"/>
      <c r="L478" s="716"/>
      <c r="M478" s="716"/>
      <c r="N478" s="716"/>
      <c r="O478" s="716"/>
      <c r="P478" s="716"/>
      <c r="Q478" s="716"/>
      <c r="R478" s="716"/>
      <c r="S478" s="716"/>
      <c r="T478" s="716"/>
      <c r="U478" s="716"/>
      <c r="V478" s="716"/>
      <c r="W478" s="716"/>
      <c r="X478" s="716"/>
      <c r="Y478" s="716"/>
      <c r="Z478" s="716"/>
    </row>
    <row r="479">
      <c r="A479" s="716"/>
      <c r="B479" s="717"/>
      <c r="C479" s="716"/>
      <c r="D479" s="716"/>
      <c r="E479" s="716"/>
      <c r="F479" s="716"/>
      <c r="G479" s="716"/>
      <c r="H479" s="716"/>
      <c r="I479" s="716"/>
      <c r="J479" s="716"/>
      <c r="K479" s="716"/>
      <c r="L479" s="716"/>
      <c r="M479" s="716"/>
      <c r="N479" s="716"/>
      <c r="O479" s="716"/>
      <c r="P479" s="716"/>
      <c r="Q479" s="716"/>
      <c r="R479" s="716"/>
      <c r="S479" s="716"/>
      <c r="T479" s="716"/>
      <c r="U479" s="716"/>
      <c r="V479" s="716"/>
      <c r="W479" s="716"/>
      <c r="X479" s="716"/>
      <c r="Y479" s="716"/>
      <c r="Z479" s="716"/>
    </row>
    <row r="480">
      <c r="A480" s="716"/>
      <c r="B480" s="717"/>
      <c r="C480" s="716"/>
      <c r="D480" s="716"/>
      <c r="E480" s="716"/>
      <c r="F480" s="716"/>
      <c r="G480" s="716"/>
      <c r="H480" s="716"/>
      <c r="I480" s="716"/>
      <c r="J480" s="716"/>
      <c r="K480" s="716"/>
      <c r="L480" s="716"/>
      <c r="M480" s="716"/>
      <c r="N480" s="716"/>
      <c r="O480" s="716"/>
      <c r="P480" s="716"/>
      <c r="Q480" s="716"/>
      <c r="R480" s="716"/>
      <c r="S480" s="716"/>
      <c r="T480" s="716"/>
      <c r="U480" s="716"/>
      <c r="V480" s="716"/>
      <c r="W480" s="716"/>
      <c r="X480" s="716"/>
      <c r="Y480" s="716"/>
      <c r="Z480" s="716"/>
    </row>
    <row r="481">
      <c r="A481" s="716"/>
      <c r="B481" s="717"/>
      <c r="C481" s="716"/>
      <c r="D481" s="716"/>
      <c r="E481" s="716"/>
      <c r="F481" s="716"/>
      <c r="G481" s="716"/>
      <c r="H481" s="716"/>
      <c r="I481" s="716"/>
      <c r="J481" s="716"/>
      <c r="K481" s="716"/>
      <c r="L481" s="716"/>
      <c r="M481" s="716"/>
      <c r="N481" s="716"/>
      <c r="O481" s="716"/>
      <c r="P481" s="716"/>
      <c r="Q481" s="716"/>
      <c r="R481" s="716"/>
      <c r="S481" s="716"/>
      <c r="T481" s="716"/>
      <c r="U481" s="716"/>
      <c r="V481" s="716"/>
      <c r="W481" s="716"/>
      <c r="X481" s="716"/>
      <c r="Y481" s="716"/>
      <c r="Z481" s="716"/>
    </row>
    <row r="482">
      <c r="A482" s="716"/>
      <c r="B482" s="717"/>
      <c r="C482" s="716"/>
      <c r="D482" s="716"/>
      <c r="E482" s="716"/>
      <c r="F482" s="716"/>
      <c r="G482" s="716"/>
      <c r="H482" s="716"/>
      <c r="I482" s="716"/>
      <c r="J482" s="716"/>
      <c r="K482" s="716"/>
      <c r="L482" s="716"/>
      <c r="M482" s="716"/>
      <c r="N482" s="716"/>
      <c r="O482" s="716"/>
      <c r="P482" s="716"/>
      <c r="Q482" s="716"/>
      <c r="R482" s="716"/>
      <c r="S482" s="716"/>
      <c r="T482" s="716"/>
      <c r="U482" s="716"/>
      <c r="V482" s="716"/>
      <c r="W482" s="716"/>
      <c r="X482" s="716"/>
      <c r="Y482" s="716"/>
      <c r="Z482" s="716"/>
    </row>
    <row r="483">
      <c r="A483" s="716"/>
      <c r="B483" s="717"/>
      <c r="C483" s="716"/>
      <c r="D483" s="716"/>
      <c r="E483" s="716"/>
      <c r="F483" s="716"/>
      <c r="G483" s="716"/>
      <c r="H483" s="716"/>
      <c r="I483" s="716"/>
      <c r="J483" s="716"/>
      <c r="K483" s="716"/>
      <c r="L483" s="716"/>
      <c r="M483" s="716"/>
      <c r="N483" s="716"/>
      <c r="O483" s="716"/>
      <c r="P483" s="716"/>
      <c r="Q483" s="716"/>
      <c r="R483" s="716"/>
      <c r="S483" s="716"/>
      <c r="T483" s="716"/>
      <c r="U483" s="716"/>
      <c r="V483" s="716"/>
      <c r="W483" s="716"/>
      <c r="X483" s="716"/>
      <c r="Y483" s="716"/>
      <c r="Z483" s="716"/>
    </row>
    <row r="484">
      <c r="A484" s="716"/>
      <c r="B484" s="717"/>
      <c r="C484" s="716"/>
      <c r="D484" s="716"/>
      <c r="E484" s="716"/>
      <c r="F484" s="716"/>
      <c r="G484" s="716"/>
      <c r="H484" s="716"/>
      <c r="I484" s="716"/>
      <c r="J484" s="716"/>
      <c r="K484" s="716"/>
      <c r="L484" s="716"/>
      <c r="M484" s="716"/>
      <c r="N484" s="716"/>
      <c r="O484" s="716"/>
      <c r="P484" s="716"/>
      <c r="Q484" s="716"/>
      <c r="R484" s="716"/>
      <c r="S484" s="716"/>
      <c r="T484" s="716"/>
      <c r="U484" s="716"/>
      <c r="V484" s="716"/>
      <c r="W484" s="716"/>
      <c r="X484" s="716"/>
      <c r="Y484" s="716"/>
      <c r="Z484" s="716"/>
    </row>
    <row r="485">
      <c r="A485" s="716"/>
      <c r="B485" s="717"/>
      <c r="C485" s="716"/>
      <c r="D485" s="716"/>
      <c r="E485" s="716"/>
      <c r="F485" s="716"/>
      <c r="G485" s="716"/>
      <c r="H485" s="716"/>
      <c r="I485" s="716"/>
      <c r="J485" s="716"/>
      <c r="K485" s="716"/>
      <c r="L485" s="716"/>
      <c r="M485" s="716"/>
      <c r="N485" s="716"/>
      <c r="O485" s="716"/>
      <c r="P485" s="716"/>
      <c r="Q485" s="716"/>
      <c r="R485" s="716"/>
      <c r="S485" s="716"/>
      <c r="T485" s="716"/>
      <c r="U485" s="716"/>
      <c r="V485" s="716"/>
      <c r="W485" s="716"/>
      <c r="X485" s="716"/>
      <c r="Y485" s="716"/>
      <c r="Z485" s="716"/>
    </row>
    <row r="486">
      <c r="A486" s="716"/>
      <c r="B486" s="717"/>
      <c r="C486" s="716"/>
      <c r="D486" s="716"/>
      <c r="E486" s="716"/>
      <c r="F486" s="716"/>
      <c r="G486" s="716"/>
      <c r="H486" s="716"/>
      <c r="I486" s="716"/>
      <c r="J486" s="716"/>
      <c r="K486" s="716"/>
      <c r="L486" s="716"/>
      <c r="M486" s="716"/>
      <c r="N486" s="716"/>
      <c r="O486" s="716"/>
      <c r="P486" s="716"/>
      <c r="Q486" s="716"/>
      <c r="R486" s="716"/>
      <c r="S486" s="716"/>
      <c r="T486" s="716"/>
      <c r="U486" s="716"/>
      <c r="V486" s="716"/>
      <c r="W486" s="716"/>
      <c r="X486" s="716"/>
      <c r="Y486" s="716"/>
      <c r="Z486" s="716"/>
    </row>
    <row r="487">
      <c r="A487" s="716"/>
      <c r="B487" s="717"/>
      <c r="C487" s="716"/>
      <c r="D487" s="716"/>
      <c r="E487" s="716"/>
      <c r="F487" s="716"/>
      <c r="G487" s="716"/>
      <c r="H487" s="716"/>
      <c r="I487" s="716"/>
      <c r="J487" s="716"/>
      <c r="K487" s="716"/>
      <c r="L487" s="716"/>
      <c r="M487" s="716"/>
      <c r="N487" s="716"/>
      <c r="O487" s="716"/>
      <c r="P487" s="716"/>
      <c r="Q487" s="716"/>
      <c r="R487" s="716"/>
      <c r="S487" s="716"/>
      <c r="T487" s="716"/>
      <c r="U487" s="716"/>
      <c r="V487" s="716"/>
      <c r="W487" s="716"/>
      <c r="X487" s="716"/>
      <c r="Y487" s="716"/>
      <c r="Z487" s="716"/>
    </row>
    <row r="488">
      <c r="A488" s="716"/>
      <c r="B488" s="717"/>
      <c r="C488" s="716"/>
      <c r="D488" s="716"/>
      <c r="E488" s="716"/>
      <c r="F488" s="716"/>
      <c r="G488" s="716"/>
      <c r="H488" s="716"/>
      <c r="I488" s="716"/>
      <c r="J488" s="716"/>
      <c r="K488" s="716"/>
      <c r="L488" s="716"/>
      <c r="M488" s="716"/>
      <c r="N488" s="716"/>
      <c r="O488" s="716"/>
      <c r="P488" s="716"/>
      <c r="Q488" s="716"/>
      <c r="R488" s="716"/>
      <c r="S488" s="716"/>
      <c r="T488" s="716"/>
      <c r="U488" s="716"/>
      <c r="V488" s="716"/>
      <c r="W488" s="716"/>
      <c r="X488" s="716"/>
      <c r="Y488" s="716"/>
      <c r="Z488" s="716"/>
    </row>
    <row r="489">
      <c r="A489" s="716"/>
      <c r="B489" s="717"/>
      <c r="C489" s="716"/>
      <c r="D489" s="716"/>
      <c r="E489" s="716"/>
      <c r="F489" s="716"/>
      <c r="G489" s="716"/>
      <c r="H489" s="716"/>
      <c r="I489" s="716"/>
      <c r="J489" s="716"/>
      <c r="K489" s="716"/>
      <c r="L489" s="716"/>
      <c r="M489" s="716"/>
      <c r="N489" s="716"/>
      <c r="O489" s="716"/>
      <c r="P489" s="716"/>
      <c r="Q489" s="716"/>
      <c r="R489" s="716"/>
      <c r="S489" s="716"/>
      <c r="T489" s="716"/>
      <c r="U489" s="716"/>
      <c r="V489" s="716"/>
      <c r="W489" s="716"/>
      <c r="X489" s="716"/>
      <c r="Y489" s="716"/>
      <c r="Z489" s="716"/>
    </row>
    <row r="490">
      <c r="A490" s="716"/>
      <c r="B490" s="717"/>
      <c r="C490" s="716"/>
      <c r="D490" s="716"/>
      <c r="E490" s="716"/>
      <c r="F490" s="716"/>
      <c r="G490" s="716"/>
      <c r="H490" s="716"/>
      <c r="I490" s="716"/>
      <c r="J490" s="716"/>
      <c r="K490" s="716"/>
      <c r="L490" s="716"/>
      <c r="M490" s="716"/>
      <c r="N490" s="716"/>
      <c r="O490" s="716"/>
      <c r="P490" s="716"/>
      <c r="Q490" s="716"/>
      <c r="R490" s="716"/>
      <c r="S490" s="716"/>
      <c r="T490" s="716"/>
      <c r="U490" s="716"/>
      <c r="V490" s="716"/>
      <c r="W490" s="716"/>
      <c r="X490" s="716"/>
      <c r="Y490" s="716"/>
      <c r="Z490" s="716"/>
    </row>
    <row r="491">
      <c r="A491" s="716"/>
      <c r="B491" s="717"/>
      <c r="C491" s="716"/>
      <c r="D491" s="716"/>
      <c r="E491" s="716"/>
      <c r="F491" s="716"/>
      <c r="G491" s="716"/>
      <c r="H491" s="716"/>
      <c r="I491" s="716"/>
      <c r="J491" s="716"/>
      <c r="K491" s="716"/>
      <c r="L491" s="716"/>
      <c r="M491" s="716"/>
      <c r="N491" s="716"/>
      <c r="O491" s="716"/>
      <c r="P491" s="716"/>
      <c r="Q491" s="716"/>
      <c r="R491" s="716"/>
      <c r="S491" s="716"/>
      <c r="T491" s="716"/>
      <c r="U491" s="716"/>
      <c r="V491" s="716"/>
      <c r="W491" s="716"/>
      <c r="X491" s="716"/>
      <c r="Y491" s="716"/>
      <c r="Z491" s="716"/>
    </row>
    <row r="492">
      <c r="A492" s="716"/>
      <c r="B492" s="717"/>
      <c r="C492" s="716"/>
      <c r="D492" s="716"/>
      <c r="E492" s="716"/>
      <c r="F492" s="716"/>
      <c r="G492" s="716"/>
      <c r="H492" s="716"/>
      <c r="I492" s="716"/>
      <c r="J492" s="716"/>
      <c r="K492" s="716"/>
      <c r="L492" s="716"/>
      <c r="M492" s="716"/>
      <c r="N492" s="716"/>
      <c r="O492" s="716"/>
      <c r="P492" s="716"/>
      <c r="Q492" s="716"/>
      <c r="R492" s="716"/>
      <c r="S492" s="716"/>
      <c r="T492" s="716"/>
      <c r="U492" s="716"/>
      <c r="V492" s="716"/>
      <c r="W492" s="716"/>
      <c r="X492" s="716"/>
      <c r="Y492" s="716"/>
      <c r="Z492" s="716"/>
    </row>
    <row r="493">
      <c r="A493" s="716"/>
      <c r="B493" s="717"/>
      <c r="C493" s="716"/>
      <c r="D493" s="716"/>
      <c r="E493" s="716"/>
      <c r="F493" s="716"/>
      <c r="G493" s="716"/>
      <c r="H493" s="716"/>
      <c r="I493" s="716"/>
      <c r="J493" s="716"/>
      <c r="K493" s="716"/>
      <c r="L493" s="716"/>
      <c r="M493" s="716"/>
      <c r="N493" s="716"/>
      <c r="O493" s="716"/>
      <c r="P493" s="716"/>
      <c r="Q493" s="716"/>
      <c r="R493" s="716"/>
      <c r="S493" s="716"/>
      <c r="T493" s="716"/>
      <c r="U493" s="716"/>
      <c r="V493" s="716"/>
      <c r="W493" s="716"/>
      <c r="X493" s="716"/>
      <c r="Y493" s="716"/>
      <c r="Z493" s="716"/>
    </row>
    <row r="494">
      <c r="A494" s="716"/>
      <c r="B494" s="717"/>
      <c r="C494" s="716"/>
      <c r="D494" s="716"/>
      <c r="E494" s="716"/>
      <c r="F494" s="716"/>
      <c r="G494" s="716"/>
      <c r="H494" s="716"/>
      <c r="I494" s="716"/>
      <c r="J494" s="716"/>
      <c r="K494" s="716"/>
      <c r="L494" s="716"/>
      <c r="M494" s="716"/>
      <c r="N494" s="716"/>
      <c r="O494" s="716"/>
      <c r="P494" s="716"/>
      <c r="Q494" s="716"/>
      <c r="R494" s="716"/>
      <c r="S494" s="716"/>
      <c r="T494" s="716"/>
      <c r="U494" s="716"/>
      <c r="V494" s="716"/>
      <c r="W494" s="716"/>
      <c r="X494" s="716"/>
      <c r="Y494" s="716"/>
      <c r="Z494" s="716"/>
    </row>
    <row r="495">
      <c r="A495" s="716"/>
      <c r="B495" s="717"/>
      <c r="C495" s="716"/>
      <c r="D495" s="716"/>
      <c r="E495" s="716"/>
      <c r="F495" s="716"/>
      <c r="G495" s="716"/>
      <c r="H495" s="716"/>
      <c r="I495" s="716"/>
      <c r="J495" s="716"/>
      <c r="K495" s="716"/>
      <c r="L495" s="716"/>
      <c r="M495" s="716"/>
      <c r="N495" s="716"/>
      <c r="O495" s="716"/>
      <c r="P495" s="716"/>
      <c r="Q495" s="716"/>
      <c r="R495" s="716"/>
      <c r="S495" s="716"/>
      <c r="T495" s="716"/>
      <c r="U495" s="716"/>
      <c r="V495" s="716"/>
      <c r="W495" s="716"/>
      <c r="X495" s="716"/>
      <c r="Y495" s="716"/>
      <c r="Z495" s="716"/>
    </row>
    <row r="496">
      <c r="A496" s="716"/>
      <c r="B496" s="717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</row>
    <row r="497">
      <c r="A497" s="716"/>
      <c r="B497" s="717"/>
      <c r="C497" s="716"/>
      <c r="D497" s="716"/>
      <c r="E497" s="716"/>
      <c r="F497" s="716"/>
      <c r="G497" s="716"/>
      <c r="H497" s="716"/>
      <c r="I497" s="716"/>
      <c r="J497" s="716"/>
      <c r="K497" s="716"/>
      <c r="L497" s="716"/>
      <c r="M497" s="716"/>
      <c r="N497" s="716"/>
      <c r="O497" s="716"/>
      <c r="P497" s="716"/>
      <c r="Q497" s="716"/>
      <c r="R497" s="716"/>
      <c r="S497" s="716"/>
      <c r="T497" s="716"/>
      <c r="U497" s="716"/>
      <c r="V497" s="716"/>
      <c r="W497" s="716"/>
      <c r="X497" s="716"/>
      <c r="Y497" s="716"/>
      <c r="Z497" s="716"/>
    </row>
    <row r="498">
      <c r="A498" s="716"/>
      <c r="B498" s="717"/>
      <c r="C498" s="716"/>
      <c r="D498" s="716"/>
      <c r="E498" s="716"/>
      <c r="F498" s="716"/>
      <c r="G498" s="716"/>
      <c r="H498" s="716"/>
      <c r="I498" s="716"/>
      <c r="J498" s="716"/>
      <c r="K498" s="716"/>
      <c r="L498" s="716"/>
      <c r="M498" s="716"/>
      <c r="N498" s="716"/>
      <c r="O498" s="716"/>
      <c r="P498" s="716"/>
      <c r="Q498" s="716"/>
      <c r="R498" s="716"/>
      <c r="S498" s="716"/>
      <c r="T498" s="716"/>
      <c r="U498" s="716"/>
      <c r="V498" s="716"/>
      <c r="W498" s="716"/>
      <c r="X498" s="716"/>
      <c r="Y498" s="716"/>
      <c r="Z498" s="716"/>
    </row>
    <row r="499">
      <c r="A499" s="716"/>
      <c r="B499" s="717"/>
      <c r="C499" s="716"/>
      <c r="D499" s="716"/>
      <c r="E499" s="716"/>
      <c r="F499" s="716"/>
      <c r="G499" s="716"/>
      <c r="H499" s="716"/>
      <c r="I499" s="716"/>
      <c r="J499" s="716"/>
      <c r="K499" s="716"/>
      <c r="L499" s="716"/>
      <c r="M499" s="716"/>
      <c r="N499" s="716"/>
      <c r="O499" s="716"/>
      <c r="P499" s="716"/>
      <c r="Q499" s="716"/>
      <c r="R499" s="716"/>
      <c r="S499" s="716"/>
      <c r="T499" s="716"/>
      <c r="U499" s="716"/>
      <c r="V499" s="716"/>
      <c r="W499" s="716"/>
      <c r="X499" s="716"/>
      <c r="Y499" s="716"/>
      <c r="Z499" s="716"/>
    </row>
    <row r="500">
      <c r="A500" s="716"/>
      <c r="B500" s="717"/>
      <c r="C500" s="716"/>
      <c r="D500" s="716"/>
      <c r="E500" s="716"/>
      <c r="F500" s="716"/>
      <c r="G500" s="716"/>
      <c r="H500" s="716"/>
      <c r="I500" s="716"/>
      <c r="J500" s="716"/>
      <c r="K500" s="716"/>
      <c r="L500" s="716"/>
      <c r="M500" s="716"/>
      <c r="N500" s="716"/>
      <c r="O500" s="716"/>
      <c r="P500" s="716"/>
      <c r="Q500" s="716"/>
      <c r="R500" s="716"/>
      <c r="S500" s="716"/>
      <c r="T500" s="716"/>
      <c r="U500" s="716"/>
      <c r="V500" s="716"/>
      <c r="W500" s="716"/>
      <c r="X500" s="716"/>
      <c r="Y500" s="716"/>
      <c r="Z500" s="716"/>
    </row>
    <row r="501">
      <c r="A501" s="716"/>
      <c r="B501" s="717"/>
      <c r="C501" s="716"/>
      <c r="D501" s="716"/>
      <c r="E501" s="716"/>
      <c r="F501" s="716"/>
      <c r="G501" s="716"/>
      <c r="H501" s="716"/>
      <c r="I501" s="716"/>
      <c r="J501" s="716"/>
      <c r="K501" s="716"/>
      <c r="L501" s="716"/>
      <c r="M501" s="716"/>
      <c r="N501" s="716"/>
      <c r="O501" s="716"/>
      <c r="P501" s="716"/>
      <c r="Q501" s="716"/>
      <c r="R501" s="716"/>
      <c r="S501" s="716"/>
      <c r="T501" s="716"/>
      <c r="U501" s="716"/>
      <c r="V501" s="716"/>
      <c r="W501" s="716"/>
      <c r="X501" s="716"/>
      <c r="Y501" s="716"/>
      <c r="Z501" s="716"/>
    </row>
    <row r="502">
      <c r="A502" s="716"/>
      <c r="B502" s="717"/>
      <c r="C502" s="716"/>
      <c r="D502" s="716"/>
      <c r="E502" s="716"/>
      <c r="F502" s="716"/>
      <c r="G502" s="716"/>
      <c r="H502" s="716"/>
      <c r="I502" s="716"/>
      <c r="J502" s="716"/>
      <c r="K502" s="716"/>
      <c r="L502" s="716"/>
      <c r="M502" s="716"/>
      <c r="N502" s="716"/>
      <c r="O502" s="716"/>
      <c r="P502" s="716"/>
      <c r="Q502" s="716"/>
      <c r="R502" s="716"/>
      <c r="S502" s="716"/>
      <c r="T502" s="716"/>
      <c r="U502" s="716"/>
      <c r="V502" s="716"/>
      <c r="W502" s="716"/>
      <c r="X502" s="716"/>
      <c r="Y502" s="716"/>
      <c r="Z502" s="716"/>
    </row>
    <row r="503">
      <c r="A503" s="716"/>
      <c r="B503" s="717"/>
      <c r="C503" s="716"/>
      <c r="D503" s="716"/>
      <c r="E503" s="716"/>
      <c r="F503" s="716"/>
      <c r="G503" s="716"/>
      <c r="H503" s="716"/>
      <c r="I503" s="716"/>
      <c r="J503" s="716"/>
      <c r="K503" s="716"/>
      <c r="L503" s="716"/>
      <c r="M503" s="716"/>
      <c r="N503" s="716"/>
      <c r="O503" s="716"/>
      <c r="P503" s="716"/>
      <c r="Q503" s="716"/>
      <c r="R503" s="716"/>
      <c r="S503" s="716"/>
      <c r="T503" s="716"/>
      <c r="U503" s="716"/>
      <c r="V503" s="716"/>
      <c r="W503" s="716"/>
      <c r="X503" s="716"/>
      <c r="Y503" s="716"/>
      <c r="Z503" s="716"/>
    </row>
    <row r="504">
      <c r="A504" s="716"/>
      <c r="B504" s="717"/>
      <c r="C504" s="716"/>
      <c r="D504" s="716"/>
      <c r="E504" s="716"/>
      <c r="F504" s="716"/>
      <c r="G504" s="716"/>
      <c r="H504" s="716"/>
      <c r="I504" s="716"/>
      <c r="J504" s="716"/>
      <c r="K504" s="716"/>
      <c r="L504" s="716"/>
      <c r="M504" s="716"/>
      <c r="N504" s="716"/>
      <c r="O504" s="716"/>
      <c r="P504" s="716"/>
      <c r="Q504" s="716"/>
      <c r="R504" s="716"/>
      <c r="S504" s="716"/>
      <c r="T504" s="716"/>
      <c r="U504" s="716"/>
      <c r="V504" s="716"/>
      <c r="W504" s="716"/>
      <c r="X504" s="716"/>
      <c r="Y504" s="716"/>
      <c r="Z504" s="716"/>
    </row>
    <row r="505">
      <c r="A505" s="716"/>
      <c r="B505" s="717"/>
      <c r="C505" s="716"/>
      <c r="D505" s="716"/>
      <c r="E505" s="716"/>
      <c r="F505" s="716"/>
      <c r="G505" s="716"/>
      <c r="H505" s="716"/>
      <c r="I505" s="716"/>
      <c r="J505" s="716"/>
      <c r="K505" s="716"/>
      <c r="L505" s="716"/>
      <c r="M505" s="716"/>
      <c r="N505" s="716"/>
      <c r="O505" s="716"/>
      <c r="P505" s="716"/>
      <c r="Q505" s="716"/>
      <c r="R505" s="716"/>
      <c r="S505" s="716"/>
      <c r="T505" s="716"/>
      <c r="U505" s="716"/>
      <c r="V505" s="716"/>
      <c r="W505" s="716"/>
      <c r="X505" s="716"/>
      <c r="Y505" s="716"/>
      <c r="Z505" s="716"/>
    </row>
    <row r="506">
      <c r="A506" s="716"/>
      <c r="B506" s="717"/>
      <c r="C506" s="716"/>
      <c r="D506" s="716"/>
      <c r="E506" s="716"/>
      <c r="F506" s="716"/>
      <c r="G506" s="716"/>
      <c r="H506" s="716"/>
      <c r="I506" s="716"/>
      <c r="J506" s="716"/>
      <c r="K506" s="716"/>
      <c r="L506" s="716"/>
      <c r="M506" s="716"/>
      <c r="N506" s="716"/>
      <c r="O506" s="716"/>
      <c r="P506" s="716"/>
      <c r="Q506" s="716"/>
      <c r="R506" s="716"/>
      <c r="S506" s="716"/>
      <c r="T506" s="716"/>
      <c r="U506" s="716"/>
      <c r="V506" s="716"/>
      <c r="W506" s="716"/>
      <c r="X506" s="716"/>
      <c r="Y506" s="716"/>
      <c r="Z506" s="716"/>
    </row>
    <row r="507">
      <c r="A507" s="716"/>
      <c r="B507" s="717"/>
      <c r="C507" s="716"/>
      <c r="D507" s="716"/>
      <c r="E507" s="716"/>
      <c r="F507" s="716"/>
      <c r="G507" s="716"/>
      <c r="H507" s="716"/>
      <c r="I507" s="716"/>
      <c r="J507" s="716"/>
      <c r="K507" s="716"/>
      <c r="L507" s="716"/>
      <c r="M507" s="716"/>
      <c r="N507" s="716"/>
      <c r="O507" s="716"/>
      <c r="P507" s="716"/>
      <c r="Q507" s="716"/>
      <c r="R507" s="716"/>
      <c r="S507" s="716"/>
      <c r="T507" s="716"/>
      <c r="U507" s="716"/>
      <c r="V507" s="716"/>
      <c r="W507" s="716"/>
      <c r="X507" s="716"/>
      <c r="Y507" s="716"/>
      <c r="Z507" s="716"/>
    </row>
    <row r="508">
      <c r="A508" s="716"/>
      <c r="B508" s="717"/>
      <c r="C508" s="716"/>
      <c r="D508" s="716"/>
      <c r="E508" s="716"/>
      <c r="F508" s="716"/>
      <c r="G508" s="716"/>
      <c r="H508" s="716"/>
      <c r="I508" s="716"/>
      <c r="J508" s="716"/>
      <c r="K508" s="716"/>
      <c r="L508" s="716"/>
      <c r="M508" s="716"/>
      <c r="N508" s="716"/>
      <c r="O508" s="716"/>
      <c r="P508" s="716"/>
      <c r="Q508" s="716"/>
      <c r="R508" s="716"/>
      <c r="S508" s="716"/>
      <c r="T508" s="716"/>
      <c r="U508" s="716"/>
      <c r="V508" s="716"/>
      <c r="W508" s="716"/>
      <c r="X508" s="716"/>
      <c r="Y508" s="716"/>
      <c r="Z508" s="716"/>
    </row>
    <row r="509">
      <c r="A509" s="716"/>
      <c r="B509" s="717"/>
      <c r="C509" s="716"/>
      <c r="D509" s="716"/>
      <c r="E509" s="716"/>
      <c r="F509" s="716"/>
      <c r="G509" s="716"/>
      <c r="H509" s="716"/>
      <c r="I509" s="716"/>
      <c r="J509" s="716"/>
      <c r="K509" s="716"/>
      <c r="L509" s="716"/>
      <c r="M509" s="716"/>
      <c r="N509" s="716"/>
      <c r="O509" s="716"/>
      <c r="P509" s="716"/>
      <c r="Q509" s="716"/>
      <c r="R509" s="716"/>
      <c r="S509" s="716"/>
      <c r="T509" s="716"/>
      <c r="U509" s="716"/>
      <c r="V509" s="716"/>
      <c r="W509" s="716"/>
      <c r="X509" s="716"/>
      <c r="Y509" s="716"/>
      <c r="Z509" s="716"/>
    </row>
    <row r="510">
      <c r="A510" s="716"/>
      <c r="B510" s="717"/>
      <c r="C510" s="716"/>
      <c r="D510" s="716"/>
      <c r="E510" s="716"/>
      <c r="F510" s="716"/>
      <c r="G510" s="716"/>
      <c r="H510" s="716"/>
      <c r="I510" s="716"/>
      <c r="J510" s="716"/>
      <c r="K510" s="716"/>
      <c r="L510" s="716"/>
      <c r="M510" s="716"/>
      <c r="N510" s="716"/>
      <c r="O510" s="716"/>
      <c r="P510" s="716"/>
      <c r="Q510" s="716"/>
      <c r="R510" s="716"/>
      <c r="S510" s="716"/>
      <c r="T510" s="716"/>
      <c r="U510" s="716"/>
      <c r="V510" s="716"/>
      <c r="W510" s="716"/>
      <c r="X510" s="716"/>
      <c r="Y510" s="716"/>
      <c r="Z510" s="716"/>
    </row>
    <row r="511">
      <c r="A511" s="716"/>
      <c r="B511" s="717"/>
      <c r="C511" s="716"/>
      <c r="D511" s="716"/>
      <c r="E511" s="716"/>
      <c r="F511" s="716"/>
      <c r="G511" s="716"/>
      <c r="H511" s="716"/>
      <c r="I511" s="716"/>
      <c r="J511" s="716"/>
      <c r="K511" s="716"/>
      <c r="L511" s="716"/>
      <c r="M511" s="716"/>
      <c r="N511" s="716"/>
      <c r="O511" s="716"/>
      <c r="P511" s="716"/>
      <c r="Q511" s="716"/>
      <c r="R511" s="716"/>
      <c r="S511" s="716"/>
      <c r="T511" s="716"/>
      <c r="U511" s="716"/>
      <c r="V511" s="716"/>
      <c r="W511" s="716"/>
      <c r="X511" s="716"/>
      <c r="Y511" s="716"/>
      <c r="Z511" s="716"/>
    </row>
    <row r="512">
      <c r="A512" s="716"/>
      <c r="B512" s="717"/>
      <c r="C512" s="716"/>
      <c r="D512" s="716"/>
      <c r="E512" s="716"/>
      <c r="F512" s="716"/>
      <c r="G512" s="716"/>
      <c r="H512" s="716"/>
      <c r="I512" s="716"/>
      <c r="J512" s="716"/>
      <c r="K512" s="716"/>
      <c r="L512" s="716"/>
      <c r="M512" s="716"/>
      <c r="N512" s="716"/>
      <c r="O512" s="716"/>
      <c r="P512" s="716"/>
      <c r="Q512" s="716"/>
      <c r="R512" s="716"/>
      <c r="S512" s="716"/>
      <c r="T512" s="716"/>
      <c r="U512" s="716"/>
      <c r="V512" s="716"/>
      <c r="W512" s="716"/>
      <c r="X512" s="716"/>
      <c r="Y512" s="716"/>
      <c r="Z512" s="716"/>
    </row>
    <row r="513">
      <c r="A513" s="716"/>
      <c r="B513" s="717"/>
      <c r="C513" s="716"/>
      <c r="D513" s="716"/>
      <c r="E513" s="716"/>
      <c r="F513" s="716"/>
      <c r="G513" s="716"/>
      <c r="H513" s="716"/>
      <c r="I513" s="716"/>
      <c r="J513" s="716"/>
      <c r="K513" s="716"/>
      <c r="L513" s="716"/>
      <c r="M513" s="716"/>
      <c r="N513" s="716"/>
      <c r="O513" s="716"/>
      <c r="P513" s="716"/>
      <c r="Q513" s="716"/>
      <c r="R513" s="716"/>
      <c r="S513" s="716"/>
      <c r="T513" s="716"/>
      <c r="U513" s="716"/>
      <c r="V513" s="716"/>
      <c r="W513" s="716"/>
      <c r="X513" s="716"/>
      <c r="Y513" s="716"/>
      <c r="Z513" s="716"/>
    </row>
    <row r="514">
      <c r="A514" s="716"/>
      <c r="B514" s="717"/>
      <c r="C514" s="716"/>
      <c r="D514" s="716"/>
      <c r="E514" s="716"/>
      <c r="F514" s="716"/>
      <c r="G514" s="716"/>
      <c r="H514" s="716"/>
      <c r="I514" s="716"/>
      <c r="J514" s="716"/>
      <c r="K514" s="716"/>
      <c r="L514" s="716"/>
      <c r="M514" s="716"/>
      <c r="N514" s="716"/>
      <c r="O514" s="716"/>
      <c r="P514" s="716"/>
      <c r="Q514" s="716"/>
      <c r="R514" s="716"/>
      <c r="S514" s="716"/>
      <c r="T514" s="716"/>
      <c r="U514" s="716"/>
      <c r="V514" s="716"/>
      <c r="W514" s="716"/>
      <c r="X514" s="716"/>
      <c r="Y514" s="716"/>
      <c r="Z514" s="716"/>
    </row>
    <row r="515">
      <c r="A515" s="716"/>
      <c r="B515" s="717"/>
      <c r="C515" s="716"/>
      <c r="D515" s="716"/>
      <c r="E515" s="716"/>
      <c r="F515" s="716"/>
      <c r="G515" s="716"/>
      <c r="H515" s="716"/>
      <c r="I515" s="716"/>
      <c r="J515" s="716"/>
      <c r="K515" s="716"/>
      <c r="L515" s="716"/>
      <c r="M515" s="716"/>
      <c r="N515" s="716"/>
      <c r="O515" s="716"/>
      <c r="P515" s="716"/>
      <c r="Q515" s="716"/>
      <c r="R515" s="716"/>
      <c r="S515" s="716"/>
      <c r="T515" s="716"/>
      <c r="U515" s="716"/>
      <c r="V515" s="716"/>
      <c r="W515" s="716"/>
      <c r="X515" s="716"/>
      <c r="Y515" s="716"/>
      <c r="Z515" s="716"/>
    </row>
    <row r="516">
      <c r="A516" s="716"/>
      <c r="B516" s="717"/>
      <c r="C516" s="716"/>
      <c r="D516" s="716"/>
      <c r="E516" s="716"/>
      <c r="F516" s="716"/>
      <c r="G516" s="716"/>
      <c r="H516" s="716"/>
      <c r="I516" s="716"/>
      <c r="J516" s="716"/>
      <c r="K516" s="716"/>
      <c r="L516" s="716"/>
      <c r="M516" s="716"/>
      <c r="N516" s="716"/>
      <c r="O516" s="716"/>
      <c r="P516" s="716"/>
      <c r="Q516" s="716"/>
      <c r="R516" s="716"/>
      <c r="S516" s="716"/>
      <c r="T516" s="716"/>
      <c r="U516" s="716"/>
      <c r="V516" s="716"/>
      <c r="W516" s="716"/>
      <c r="X516" s="716"/>
      <c r="Y516" s="716"/>
      <c r="Z516" s="716"/>
    </row>
    <row r="517">
      <c r="A517" s="716"/>
      <c r="B517" s="717"/>
      <c r="C517" s="716"/>
      <c r="D517" s="716"/>
      <c r="E517" s="716"/>
      <c r="F517" s="716"/>
      <c r="G517" s="716"/>
      <c r="H517" s="716"/>
      <c r="I517" s="716"/>
      <c r="J517" s="716"/>
      <c r="K517" s="716"/>
      <c r="L517" s="716"/>
      <c r="M517" s="716"/>
      <c r="N517" s="716"/>
      <c r="O517" s="716"/>
      <c r="P517" s="716"/>
      <c r="Q517" s="716"/>
      <c r="R517" s="716"/>
      <c r="S517" s="716"/>
      <c r="T517" s="716"/>
      <c r="U517" s="716"/>
      <c r="V517" s="716"/>
      <c r="W517" s="716"/>
      <c r="X517" s="716"/>
      <c r="Y517" s="716"/>
      <c r="Z517" s="716"/>
    </row>
    <row r="518">
      <c r="A518" s="716"/>
      <c r="B518" s="717"/>
      <c r="C518" s="716"/>
      <c r="D518" s="716"/>
      <c r="E518" s="716"/>
      <c r="F518" s="716"/>
      <c r="G518" s="716"/>
      <c r="H518" s="716"/>
      <c r="I518" s="716"/>
      <c r="J518" s="716"/>
      <c r="K518" s="716"/>
      <c r="L518" s="716"/>
      <c r="M518" s="716"/>
      <c r="N518" s="716"/>
      <c r="O518" s="716"/>
      <c r="P518" s="716"/>
      <c r="Q518" s="716"/>
      <c r="R518" s="716"/>
      <c r="S518" s="716"/>
      <c r="T518" s="716"/>
      <c r="U518" s="716"/>
      <c r="V518" s="716"/>
      <c r="W518" s="716"/>
      <c r="X518" s="716"/>
      <c r="Y518" s="716"/>
      <c r="Z518" s="716"/>
    </row>
    <row r="519">
      <c r="A519" s="716"/>
      <c r="B519" s="717"/>
      <c r="C519" s="716"/>
      <c r="D519" s="716"/>
      <c r="E519" s="716"/>
      <c r="F519" s="716"/>
      <c r="G519" s="716"/>
      <c r="H519" s="716"/>
      <c r="I519" s="716"/>
      <c r="J519" s="716"/>
      <c r="K519" s="716"/>
      <c r="L519" s="716"/>
      <c r="M519" s="716"/>
      <c r="N519" s="716"/>
      <c r="O519" s="716"/>
      <c r="P519" s="716"/>
      <c r="Q519" s="716"/>
      <c r="R519" s="716"/>
      <c r="S519" s="716"/>
      <c r="T519" s="716"/>
      <c r="U519" s="716"/>
      <c r="V519" s="716"/>
      <c r="W519" s="716"/>
      <c r="X519" s="716"/>
      <c r="Y519" s="716"/>
      <c r="Z519" s="716"/>
    </row>
    <row r="520">
      <c r="A520" s="716"/>
      <c r="B520" s="717"/>
      <c r="C520" s="716"/>
      <c r="D520" s="716"/>
      <c r="E520" s="716"/>
      <c r="F520" s="716"/>
      <c r="G520" s="716"/>
      <c r="H520" s="716"/>
      <c r="I520" s="716"/>
      <c r="J520" s="716"/>
      <c r="K520" s="716"/>
      <c r="L520" s="716"/>
      <c r="M520" s="716"/>
      <c r="N520" s="716"/>
      <c r="O520" s="716"/>
      <c r="P520" s="716"/>
      <c r="Q520" s="716"/>
      <c r="R520" s="716"/>
      <c r="S520" s="716"/>
      <c r="T520" s="716"/>
      <c r="U520" s="716"/>
      <c r="V520" s="716"/>
      <c r="W520" s="716"/>
      <c r="X520" s="716"/>
      <c r="Y520" s="716"/>
      <c r="Z520" s="716"/>
    </row>
    <row r="521">
      <c r="A521" s="716"/>
      <c r="B521" s="717"/>
      <c r="C521" s="716"/>
      <c r="D521" s="716"/>
      <c r="E521" s="716"/>
      <c r="F521" s="716"/>
      <c r="G521" s="716"/>
      <c r="H521" s="716"/>
      <c r="I521" s="716"/>
      <c r="J521" s="716"/>
      <c r="K521" s="716"/>
      <c r="L521" s="716"/>
      <c r="M521" s="716"/>
      <c r="N521" s="716"/>
      <c r="O521" s="716"/>
      <c r="P521" s="716"/>
      <c r="Q521" s="716"/>
      <c r="R521" s="716"/>
      <c r="S521" s="716"/>
      <c r="T521" s="716"/>
      <c r="U521" s="716"/>
      <c r="V521" s="716"/>
      <c r="W521" s="716"/>
      <c r="X521" s="716"/>
      <c r="Y521" s="716"/>
      <c r="Z521" s="716"/>
    </row>
    <row r="522">
      <c r="A522" s="716"/>
      <c r="B522" s="717"/>
      <c r="C522" s="716"/>
      <c r="D522" s="716"/>
      <c r="E522" s="716"/>
      <c r="F522" s="716"/>
      <c r="G522" s="716"/>
      <c r="H522" s="716"/>
      <c r="I522" s="716"/>
      <c r="J522" s="716"/>
      <c r="K522" s="716"/>
      <c r="L522" s="716"/>
      <c r="M522" s="716"/>
      <c r="N522" s="716"/>
      <c r="O522" s="716"/>
      <c r="P522" s="716"/>
      <c r="Q522" s="716"/>
      <c r="R522" s="716"/>
      <c r="S522" s="716"/>
      <c r="T522" s="716"/>
      <c r="U522" s="716"/>
      <c r="V522" s="716"/>
      <c r="W522" s="716"/>
      <c r="X522" s="716"/>
      <c r="Y522" s="716"/>
      <c r="Z522" s="716"/>
    </row>
    <row r="523">
      <c r="A523" s="716"/>
      <c r="B523" s="717"/>
      <c r="C523" s="716"/>
      <c r="D523" s="716"/>
      <c r="E523" s="716"/>
      <c r="F523" s="716"/>
      <c r="G523" s="716"/>
      <c r="H523" s="716"/>
      <c r="I523" s="716"/>
      <c r="J523" s="716"/>
      <c r="K523" s="716"/>
      <c r="L523" s="716"/>
      <c r="M523" s="716"/>
      <c r="N523" s="716"/>
      <c r="O523" s="716"/>
      <c r="P523" s="716"/>
      <c r="Q523" s="716"/>
      <c r="R523" s="716"/>
      <c r="S523" s="716"/>
      <c r="T523" s="716"/>
      <c r="U523" s="716"/>
      <c r="V523" s="716"/>
      <c r="W523" s="716"/>
      <c r="X523" s="716"/>
      <c r="Y523" s="716"/>
      <c r="Z523" s="716"/>
    </row>
    <row r="524">
      <c r="A524" s="716"/>
      <c r="B524" s="717"/>
      <c r="C524" s="716"/>
      <c r="D524" s="716"/>
      <c r="E524" s="716"/>
      <c r="F524" s="716"/>
      <c r="G524" s="716"/>
      <c r="H524" s="716"/>
      <c r="I524" s="716"/>
      <c r="J524" s="716"/>
      <c r="K524" s="716"/>
      <c r="L524" s="716"/>
      <c r="M524" s="716"/>
      <c r="N524" s="716"/>
      <c r="O524" s="716"/>
      <c r="P524" s="716"/>
      <c r="Q524" s="716"/>
      <c r="R524" s="716"/>
      <c r="S524" s="716"/>
      <c r="T524" s="716"/>
      <c r="U524" s="716"/>
      <c r="V524" s="716"/>
      <c r="W524" s="716"/>
      <c r="X524" s="716"/>
      <c r="Y524" s="716"/>
      <c r="Z524" s="716"/>
    </row>
    <row r="525">
      <c r="A525" s="716"/>
      <c r="B525" s="717"/>
      <c r="C525" s="716"/>
      <c r="D525" s="716"/>
      <c r="E525" s="716"/>
      <c r="F525" s="716"/>
      <c r="G525" s="716"/>
      <c r="H525" s="716"/>
      <c r="I525" s="716"/>
      <c r="J525" s="716"/>
      <c r="K525" s="716"/>
      <c r="L525" s="716"/>
      <c r="M525" s="716"/>
      <c r="N525" s="716"/>
      <c r="O525" s="716"/>
      <c r="P525" s="716"/>
      <c r="Q525" s="716"/>
      <c r="R525" s="716"/>
      <c r="S525" s="716"/>
      <c r="T525" s="716"/>
      <c r="U525" s="716"/>
      <c r="V525" s="716"/>
      <c r="W525" s="716"/>
      <c r="X525" s="716"/>
      <c r="Y525" s="716"/>
      <c r="Z525" s="716"/>
    </row>
    <row r="526">
      <c r="A526" s="716"/>
      <c r="B526" s="717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</row>
    <row r="527">
      <c r="A527" s="716"/>
      <c r="B527" s="717"/>
      <c r="C527" s="716"/>
      <c r="D527" s="716"/>
      <c r="E527" s="716"/>
      <c r="F527" s="716"/>
      <c r="G527" s="716"/>
      <c r="H527" s="716"/>
      <c r="I527" s="716"/>
      <c r="J527" s="716"/>
      <c r="K527" s="716"/>
      <c r="L527" s="716"/>
      <c r="M527" s="716"/>
      <c r="N527" s="716"/>
      <c r="O527" s="716"/>
      <c r="P527" s="716"/>
      <c r="Q527" s="716"/>
      <c r="R527" s="716"/>
      <c r="S527" s="716"/>
      <c r="T527" s="716"/>
      <c r="U527" s="716"/>
      <c r="V527" s="716"/>
      <c r="W527" s="716"/>
      <c r="X527" s="716"/>
      <c r="Y527" s="716"/>
      <c r="Z527" s="716"/>
    </row>
    <row r="528">
      <c r="A528" s="716"/>
      <c r="B528" s="717"/>
      <c r="C528" s="716"/>
      <c r="D528" s="716"/>
      <c r="E528" s="716"/>
      <c r="F528" s="716"/>
      <c r="G528" s="716"/>
      <c r="H528" s="716"/>
      <c r="I528" s="716"/>
      <c r="J528" s="716"/>
      <c r="K528" s="716"/>
      <c r="L528" s="716"/>
      <c r="M528" s="716"/>
      <c r="N528" s="716"/>
      <c r="O528" s="716"/>
      <c r="P528" s="716"/>
      <c r="Q528" s="716"/>
      <c r="R528" s="716"/>
      <c r="S528" s="716"/>
      <c r="T528" s="716"/>
      <c r="U528" s="716"/>
      <c r="V528" s="716"/>
      <c r="W528" s="716"/>
      <c r="X528" s="716"/>
      <c r="Y528" s="716"/>
      <c r="Z528" s="716"/>
    </row>
    <row r="529">
      <c r="A529" s="716"/>
      <c r="B529" s="717"/>
      <c r="C529" s="716"/>
      <c r="D529" s="716"/>
      <c r="E529" s="716"/>
      <c r="F529" s="716"/>
      <c r="G529" s="716"/>
      <c r="H529" s="716"/>
      <c r="I529" s="716"/>
      <c r="J529" s="716"/>
      <c r="K529" s="716"/>
      <c r="L529" s="716"/>
      <c r="M529" s="716"/>
      <c r="N529" s="716"/>
      <c r="O529" s="716"/>
      <c r="P529" s="716"/>
      <c r="Q529" s="716"/>
      <c r="R529" s="716"/>
      <c r="S529" s="716"/>
      <c r="T529" s="716"/>
      <c r="U529" s="716"/>
      <c r="V529" s="716"/>
      <c r="W529" s="716"/>
      <c r="X529" s="716"/>
      <c r="Y529" s="716"/>
      <c r="Z529" s="716"/>
    </row>
    <row r="530">
      <c r="A530" s="716"/>
      <c r="B530" s="717"/>
      <c r="C530" s="716"/>
      <c r="D530" s="716"/>
      <c r="E530" s="716"/>
      <c r="F530" s="716"/>
      <c r="G530" s="716"/>
      <c r="H530" s="716"/>
      <c r="I530" s="716"/>
      <c r="J530" s="716"/>
      <c r="K530" s="716"/>
      <c r="L530" s="716"/>
      <c r="M530" s="716"/>
      <c r="N530" s="716"/>
      <c r="O530" s="716"/>
      <c r="P530" s="716"/>
      <c r="Q530" s="716"/>
      <c r="R530" s="716"/>
      <c r="S530" s="716"/>
      <c r="T530" s="716"/>
      <c r="U530" s="716"/>
      <c r="V530" s="716"/>
      <c r="W530" s="716"/>
      <c r="X530" s="716"/>
      <c r="Y530" s="716"/>
      <c r="Z530" s="716"/>
    </row>
    <row r="531">
      <c r="A531" s="716"/>
      <c r="B531" s="717"/>
      <c r="C531" s="716"/>
      <c r="D531" s="716"/>
      <c r="E531" s="716"/>
      <c r="F531" s="716"/>
      <c r="G531" s="716"/>
      <c r="H531" s="716"/>
      <c r="I531" s="716"/>
      <c r="J531" s="716"/>
      <c r="K531" s="716"/>
      <c r="L531" s="716"/>
      <c r="M531" s="716"/>
      <c r="N531" s="716"/>
      <c r="O531" s="716"/>
      <c r="P531" s="716"/>
      <c r="Q531" s="716"/>
      <c r="R531" s="716"/>
      <c r="S531" s="716"/>
      <c r="T531" s="716"/>
      <c r="U531" s="716"/>
      <c r="V531" s="716"/>
      <c r="W531" s="716"/>
      <c r="X531" s="716"/>
      <c r="Y531" s="716"/>
      <c r="Z531" s="716"/>
    </row>
    <row r="532">
      <c r="A532" s="716"/>
      <c r="B532" s="717"/>
      <c r="C532" s="716"/>
      <c r="D532" s="716"/>
      <c r="E532" s="716"/>
      <c r="F532" s="716"/>
      <c r="G532" s="716"/>
      <c r="H532" s="716"/>
      <c r="I532" s="716"/>
      <c r="J532" s="716"/>
      <c r="K532" s="716"/>
      <c r="L532" s="716"/>
      <c r="M532" s="716"/>
      <c r="N532" s="716"/>
      <c r="O532" s="716"/>
      <c r="P532" s="716"/>
      <c r="Q532" s="716"/>
      <c r="R532" s="716"/>
      <c r="S532" s="716"/>
      <c r="T532" s="716"/>
      <c r="U532" s="716"/>
      <c r="V532" s="716"/>
      <c r="W532" s="716"/>
      <c r="X532" s="716"/>
      <c r="Y532" s="716"/>
      <c r="Z532" s="716"/>
    </row>
    <row r="533">
      <c r="A533" s="716"/>
      <c r="B533" s="717"/>
      <c r="C533" s="716"/>
      <c r="D533" s="716"/>
      <c r="E533" s="716"/>
      <c r="F533" s="716"/>
      <c r="G533" s="716"/>
      <c r="H533" s="716"/>
      <c r="I533" s="716"/>
      <c r="J533" s="716"/>
      <c r="K533" s="716"/>
      <c r="L533" s="716"/>
      <c r="M533" s="716"/>
      <c r="N533" s="716"/>
      <c r="O533" s="716"/>
      <c r="P533" s="716"/>
      <c r="Q533" s="716"/>
      <c r="R533" s="716"/>
      <c r="S533" s="716"/>
      <c r="T533" s="716"/>
      <c r="U533" s="716"/>
      <c r="V533" s="716"/>
      <c r="W533" s="716"/>
      <c r="X533" s="716"/>
      <c r="Y533" s="716"/>
      <c r="Z533" s="716"/>
    </row>
    <row r="534">
      <c r="A534" s="716"/>
      <c r="B534" s="717"/>
      <c r="C534" s="716"/>
      <c r="D534" s="716"/>
      <c r="E534" s="716"/>
      <c r="F534" s="716"/>
      <c r="G534" s="716"/>
      <c r="H534" s="716"/>
      <c r="I534" s="716"/>
      <c r="J534" s="716"/>
      <c r="K534" s="716"/>
      <c r="L534" s="716"/>
      <c r="M534" s="716"/>
      <c r="N534" s="716"/>
      <c r="O534" s="716"/>
      <c r="P534" s="716"/>
      <c r="Q534" s="716"/>
      <c r="R534" s="716"/>
      <c r="S534" s="716"/>
      <c r="T534" s="716"/>
      <c r="U534" s="716"/>
      <c r="V534" s="716"/>
      <c r="W534" s="716"/>
      <c r="X534" s="716"/>
      <c r="Y534" s="716"/>
      <c r="Z534" s="716"/>
    </row>
    <row r="535">
      <c r="A535" s="716"/>
      <c r="B535" s="717"/>
      <c r="C535" s="716"/>
      <c r="D535" s="716"/>
      <c r="E535" s="716"/>
      <c r="F535" s="716"/>
      <c r="G535" s="716"/>
      <c r="H535" s="716"/>
      <c r="I535" s="716"/>
      <c r="J535" s="716"/>
      <c r="K535" s="716"/>
      <c r="L535" s="716"/>
      <c r="M535" s="716"/>
      <c r="N535" s="716"/>
      <c r="O535" s="716"/>
      <c r="P535" s="716"/>
      <c r="Q535" s="716"/>
      <c r="R535" s="716"/>
      <c r="S535" s="716"/>
      <c r="T535" s="716"/>
      <c r="U535" s="716"/>
      <c r="V535" s="716"/>
      <c r="W535" s="716"/>
      <c r="X535" s="716"/>
      <c r="Y535" s="716"/>
      <c r="Z535" s="716"/>
    </row>
    <row r="536">
      <c r="A536" s="716"/>
      <c r="B536" s="717"/>
      <c r="C536" s="716"/>
      <c r="D536" s="716"/>
      <c r="E536" s="716"/>
      <c r="F536" s="716"/>
      <c r="G536" s="716"/>
      <c r="H536" s="716"/>
      <c r="I536" s="716"/>
      <c r="J536" s="716"/>
      <c r="K536" s="716"/>
      <c r="L536" s="716"/>
      <c r="M536" s="716"/>
      <c r="N536" s="716"/>
      <c r="O536" s="716"/>
      <c r="P536" s="716"/>
      <c r="Q536" s="716"/>
      <c r="R536" s="716"/>
      <c r="S536" s="716"/>
      <c r="T536" s="716"/>
      <c r="U536" s="716"/>
      <c r="V536" s="716"/>
      <c r="W536" s="716"/>
      <c r="X536" s="716"/>
      <c r="Y536" s="716"/>
      <c r="Z536" s="716"/>
    </row>
    <row r="537">
      <c r="A537" s="716"/>
      <c r="B537" s="717"/>
      <c r="C537" s="716"/>
      <c r="D537" s="716"/>
      <c r="E537" s="716"/>
      <c r="F537" s="716"/>
      <c r="G537" s="716"/>
      <c r="H537" s="716"/>
      <c r="I537" s="716"/>
      <c r="J537" s="716"/>
      <c r="K537" s="716"/>
      <c r="L537" s="716"/>
      <c r="M537" s="716"/>
      <c r="N537" s="716"/>
      <c r="O537" s="716"/>
      <c r="P537" s="716"/>
      <c r="Q537" s="716"/>
      <c r="R537" s="716"/>
      <c r="S537" s="716"/>
      <c r="T537" s="716"/>
      <c r="U537" s="716"/>
      <c r="V537" s="716"/>
      <c r="W537" s="716"/>
      <c r="X537" s="716"/>
      <c r="Y537" s="716"/>
      <c r="Z537" s="716"/>
    </row>
    <row r="538">
      <c r="A538" s="716"/>
      <c r="B538" s="717"/>
      <c r="C538" s="716"/>
      <c r="D538" s="716"/>
      <c r="E538" s="716"/>
      <c r="F538" s="716"/>
      <c r="G538" s="716"/>
      <c r="H538" s="716"/>
      <c r="I538" s="716"/>
      <c r="J538" s="716"/>
      <c r="K538" s="716"/>
      <c r="L538" s="716"/>
      <c r="M538" s="716"/>
      <c r="N538" s="716"/>
      <c r="O538" s="716"/>
      <c r="P538" s="716"/>
      <c r="Q538" s="716"/>
      <c r="R538" s="716"/>
      <c r="S538" s="716"/>
      <c r="T538" s="716"/>
      <c r="U538" s="716"/>
      <c r="V538" s="716"/>
      <c r="W538" s="716"/>
      <c r="X538" s="716"/>
      <c r="Y538" s="716"/>
      <c r="Z538" s="716"/>
    </row>
    <row r="539">
      <c r="A539" s="716"/>
      <c r="B539" s="717"/>
      <c r="C539" s="716"/>
      <c r="D539" s="716"/>
      <c r="E539" s="716"/>
      <c r="F539" s="716"/>
      <c r="G539" s="716"/>
      <c r="H539" s="716"/>
      <c r="I539" s="716"/>
      <c r="J539" s="716"/>
      <c r="K539" s="716"/>
      <c r="L539" s="716"/>
      <c r="M539" s="716"/>
      <c r="N539" s="716"/>
      <c r="O539" s="716"/>
      <c r="P539" s="716"/>
      <c r="Q539" s="716"/>
      <c r="R539" s="716"/>
      <c r="S539" s="716"/>
      <c r="T539" s="716"/>
      <c r="U539" s="716"/>
      <c r="V539" s="716"/>
      <c r="W539" s="716"/>
      <c r="X539" s="716"/>
      <c r="Y539" s="716"/>
      <c r="Z539" s="716"/>
    </row>
    <row r="540">
      <c r="A540" s="716"/>
      <c r="B540" s="717"/>
      <c r="C540" s="716"/>
      <c r="D540" s="716"/>
      <c r="E540" s="716"/>
      <c r="F540" s="716"/>
      <c r="G540" s="716"/>
      <c r="H540" s="716"/>
      <c r="I540" s="716"/>
      <c r="J540" s="716"/>
      <c r="K540" s="716"/>
      <c r="L540" s="716"/>
      <c r="M540" s="716"/>
      <c r="N540" s="716"/>
      <c r="O540" s="716"/>
      <c r="P540" s="716"/>
      <c r="Q540" s="716"/>
      <c r="R540" s="716"/>
      <c r="S540" s="716"/>
      <c r="T540" s="716"/>
      <c r="U540" s="716"/>
      <c r="V540" s="716"/>
      <c r="W540" s="716"/>
      <c r="X540" s="716"/>
      <c r="Y540" s="716"/>
      <c r="Z540" s="716"/>
    </row>
    <row r="541">
      <c r="A541" s="716"/>
      <c r="B541" s="717"/>
      <c r="C541" s="716"/>
      <c r="D541" s="716"/>
      <c r="E541" s="716"/>
      <c r="F541" s="716"/>
      <c r="G541" s="716"/>
      <c r="H541" s="716"/>
      <c r="I541" s="716"/>
      <c r="J541" s="716"/>
      <c r="K541" s="716"/>
      <c r="L541" s="716"/>
      <c r="M541" s="716"/>
      <c r="N541" s="716"/>
      <c r="O541" s="716"/>
      <c r="P541" s="716"/>
      <c r="Q541" s="716"/>
      <c r="R541" s="716"/>
      <c r="S541" s="716"/>
      <c r="T541" s="716"/>
      <c r="U541" s="716"/>
      <c r="V541" s="716"/>
      <c r="W541" s="716"/>
      <c r="X541" s="716"/>
      <c r="Y541" s="716"/>
      <c r="Z541" s="716"/>
    </row>
    <row r="542">
      <c r="A542" s="716"/>
      <c r="B542" s="717"/>
      <c r="C542" s="716"/>
      <c r="D542" s="716"/>
      <c r="E542" s="716"/>
      <c r="F542" s="716"/>
      <c r="G542" s="716"/>
      <c r="H542" s="716"/>
      <c r="I542" s="716"/>
      <c r="J542" s="716"/>
      <c r="K542" s="716"/>
      <c r="L542" s="716"/>
      <c r="M542" s="716"/>
      <c r="N542" s="716"/>
      <c r="O542" s="716"/>
      <c r="P542" s="716"/>
      <c r="Q542" s="716"/>
      <c r="R542" s="716"/>
      <c r="S542" s="716"/>
      <c r="T542" s="716"/>
      <c r="U542" s="716"/>
      <c r="V542" s="716"/>
      <c r="W542" s="716"/>
      <c r="X542" s="716"/>
      <c r="Y542" s="716"/>
      <c r="Z542" s="716"/>
    </row>
    <row r="543">
      <c r="A543" s="716"/>
      <c r="B543" s="717"/>
      <c r="C543" s="716"/>
      <c r="D543" s="716"/>
      <c r="E543" s="716"/>
      <c r="F543" s="716"/>
      <c r="G543" s="716"/>
      <c r="H543" s="716"/>
      <c r="I543" s="716"/>
      <c r="J543" s="716"/>
      <c r="K543" s="716"/>
      <c r="L543" s="716"/>
      <c r="M543" s="716"/>
      <c r="N543" s="716"/>
      <c r="O543" s="716"/>
      <c r="P543" s="716"/>
      <c r="Q543" s="716"/>
      <c r="R543" s="716"/>
      <c r="S543" s="716"/>
      <c r="T543" s="716"/>
      <c r="U543" s="716"/>
      <c r="V543" s="716"/>
      <c r="W543" s="716"/>
      <c r="X543" s="716"/>
      <c r="Y543" s="716"/>
      <c r="Z543" s="716"/>
    </row>
    <row r="544">
      <c r="A544" s="716"/>
      <c r="B544" s="717"/>
      <c r="C544" s="716"/>
      <c r="D544" s="716"/>
      <c r="E544" s="716"/>
      <c r="F544" s="716"/>
      <c r="G544" s="716"/>
      <c r="H544" s="716"/>
      <c r="I544" s="716"/>
      <c r="J544" s="716"/>
      <c r="K544" s="716"/>
      <c r="L544" s="716"/>
      <c r="M544" s="716"/>
      <c r="N544" s="716"/>
      <c r="O544" s="716"/>
      <c r="P544" s="716"/>
      <c r="Q544" s="716"/>
      <c r="R544" s="716"/>
      <c r="S544" s="716"/>
      <c r="T544" s="716"/>
      <c r="U544" s="716"/>
      <c r="V544" s="716"/>
      <c r="W544" s="716"/>
      <c r="X544" s="716"/>
      <c r="Y544" s="716"/>
      <c r="Z544" s="716"/>
    </row>
    <row r="545">
      <c r="A545" s="716"/>
      <c r="B545" s="717"/>
      <c r="C545" s="716"/>
      <c r="D545" s="716"/>
      <c r="E545" s="716"/>
      <c r="F545" s="716"/>
      <c r="G545" s="716"/>
      <c r="H545" s="716"/>
      <c r="I545" s="716"/>
      <c r="J545" s="716"/>
      <c r="K545" s="716"/>
      <c r="L545" s="716"/>
      <c r="M545" s="716"/>
      <c r="N545" s="716"/>
      <c r="O545" s="716"/>
      <c r="P545" s="716"/>
      <c r="Q545" s="716"/>
      <c r="R545" s="716"/>
      <c r="S545" s="716"/>
      <c r="T545" s="716"/>
      <c r="U545" s="716"/>
      <c r="V545" s="716"/>
      <c r="W545" s="716"/>
      <c r="X545" s="716"/>
      <c r="Y545" s="716"/>
      <c r="Z545" s="716"/>
    </row>
    <row r="546">
      <c r="A546" s="716"/>
      <c r="B546" s="717"/>
      <c r="C546" s="716"/>
      <c r="D546" s="716"/>
      <c r="E546" s="716"/>
      <c r="F546" s="716"/>
      <c r="G546" s="716"/>
      <c r="H546" s="716"/>
      <c r="I546" s="716"/>
      <c r="J546" s="716"/>
      <c r="K546" s="716"/>
      <c r="L546" s="716"/>
      <c r="M546" s="716"/>
      <c r="N546" s="716"/>
      <c r="O546" s="716"/>
      <c r="P546" s="716"/>
      <c r="Q546" s="716"/>
      <c r="R546" s="716"/>
      <c r="S546" s="716"/>
      <c r="T546" s="716"/>
      <c r="U546" s="716"/>
      <c r="V546" s="716"/>
      <c r="W546" s="716"/>
      <c r="X546" s="716"/>
      <c r="Y546" s="716"/>
      <c r="Z546" s="716"/>
    </row>
    <row r="547">
      <c r="A547" s="716"/>
      <c r="B547" s="717"/>
      <c r="C547" s="716"/>
      <c r="D547" s="716"/>
      <c r="E547" s="716"/>
      <c r="F547" s="716"/>
      <c r="G547" s="716"/>
      <c r="H547" s="716"/>
      <c r="I547" s="716"/>
      <c r="J547" s="716"/>
      <c r="K547" s="716"/>
      <c r="L547" s="716"/>
      <c r="M547" s="716"/>
      <c r="N547" s="716"/>
      <c r="O547" s="716"/>
      <c r="P547" s="716"/>
      <c r="Q547" s="716"/>
      <c r="R547" s="716"/>
      <c r="S547" s="716"/>
      <c r="T547" s="716"/>
      <c r="U547" s="716"/>
      <c r="V547" s="716"/>
      <c r="W547" s="716"/>
      <c r="X547" s="716"/>
      <c r="Y547" s="716"/>
      <c r="Z547" s="716"/>
    </row>
    <row r="548">
      <c r="A548" s="716"/>
      <c r="B548" s="717"/>
      <c r="C548" s="716"/>
      <c r="D548" s="716"/>
      <c r="E548" s="716"/>
      <c r="F548" s="716"/>
      <c r="G548" s="716"/>
      <c r="H548" s="716"/>
      <c r="I548" s="716"/>
      <c r="J548" s="716"/>
      <c r="K548" s="716"/>
      <c r="L548" s="716"/>
      <c r="M548" s="716"/>
      <c r="N548" s="716"/>
      <c r="O548" s="716"/>
      <c r="P548" s="716"/>
      <c r="Q548" s="716"/>
      <c r="R548" s="716"/>
      <c r="S548" s="716"/>
      <c r="T548" s="716"/>
      <c r="U548" s="716"/>
      <c r="V548" s="716"/>
      <c r="W548" s="716"/>
      <c r="X548" s="716"/>
      <c r="Y548" s="716"/>
      <c r="Z548" s="716"/>
    </row>
    <row r="549">
      <c r="A549" s="716"/>
      <c r="B549" s="717"/>
      <c r="C549" s="716"/>
      <c r="D549" s="716"/>
      <c r="E549" s="716"/>
      <c r="F549" s="716"/>
      <c r="G549" s="716"/>
      <c r="H549" s="716"/>
      <c r="I549" s="716"/>
      <c r="J549" s="716"/>
      <c r="K549" s="716"/>
      <c r="L549" s="716"/>
      <c r="M549" s="716"/>
      <c r="N549" s="716"/>
      <c r="O549" s="716"/>
      <c r="P549" s="716"/>
      <c r="Q549" s="716"/>
      <c r="R549" s="716"/>
      <c r="S549" s="716"/>
      <c r="T549" s="716"/>
      <c r="U549" s="716"/>
      <c r="V549" s="716"/>
      <c r="W549" s="716"/>
      <c r="X549" s="716"/>
      <c r="Y549" s="716"/>
      <c r="Z549" s="716"/>
    </row>
    <row r="550">
      <c r="A550" s="716"/>
      <c r="B550" s="717"/>
      <c r="C550" s="716"/>
      <c r="D550" s="716"/>
      <c r="E550" s="716"/>
      <c r="F550" s="716"/>
      <c r="G550" s="716"/>
      <c r="H550" s="716"/>
      <c r="I550" s="716"/>
      <c r="J550" s="716"/>
      <c r="K550" s="716"/>
      <c r="L550" s="716"/>
      <c r="M550" s="716"/>
      <c r="N550" s="716"/>
      <c r="O550" s="716"/>
      <c r="P550" s="716"/>
      <c r="Q550" s="716"/>
      <c r="R550" s="716"/>
      <c r="S550" s="716"/>
      <c r="T550" s="716"/>
      <c r="U550" s="716"/>
      <c r="V550" s="716"/>
      <c r="W550" s="716"/>
      <c r="X550" s="716"/>
      <c r="Y550" s="716"/>
      <c r="Z550" s="716"/>
    </row>
    <row r="551">
      <c r="A551" s="716"/>
      <c r="B551" s="717"/>
      <c r="C551" s="716"/>
      <c r="D551" s="716"/>
      <c r="E551" s="716"/>
      <c r="F551" s="716"/>
      <c r="G551" s="716"/>
      <c r="H551" s="716"/>
      <c r="I551" s="716"/>
      <c r="J551" s="716"/>
      <c r="K551" s="716"/>
      <c r="L551" s="716"/>
      <c r="M551" s="716"/>
      <c r="N551" s="716"/>
      <c r="O551" s="716"/>
      <c r="P551" s="716"/>
      <c r="Q551" s="716"/>
      <c r="R551" s="716"/>
      <c r="S551" s="716"/>
      <c r="T551" s="716"/>
      <c r="U551" s="716"/>
      <c r="V551" s="716"/>
      <c r="W551" s="716"/>
      <c r="X551" s="716"/>
      <c r="Y551" s="716"/>
      <c r="Z551" s="716"/>
    </row>
    <row r="552">
      <c r="A552" s="716"/>
      <c r="B552" s="717"/>
      <c r="C552" s="716"/>
      <c r="D552" s="716"/>
      <c r="E552" s="716"/>
      <c r="F552" s="716"/>
      <c r="G552" s="716"/>
      <c r="H552" s="716"/>
      <c r="I552" s="716"/>
      <c r="J552" s="716"/>
      <c r="K552" s="716"/>
      <c r="L552" s="716"/>
      <c r="M552" s="716"/>
      <c r="N552" s="716"/>
      <c r="O552" s="716"/>
      <c r="P552" s="716"/>
      <c r="Q552" s="716"/>
      <c r="R552" s="716"/>
      <c r="S552" s="716"/>
      <c r="T552" s="716"/>
      <c r="U552" s="716"/>
      <c r="V552" s="716"/>
      <c r="W552" s="716"/>
      <c r="X552" s="716"/>
      <c r="Y552" s="716"/>
      <c r="Z552" s="716"/>
    </row>
    <row r="553">
      <c r="A553" s="716"/>
      <c r="B553" s="717"/>
      <c r="C553" s="716"/>
      <c r="D553" s="716"/>
      <c r="E553" s="716"/>
      <c r="F553" s="716"/>
      <c r="G553" s="716"/>
      <c r="H553" s="716"/>
      <c r="I553" s="716"/>
      <c r="J553" s="716"/>
      <c r="K553" s="716"/>
      <c r="L553" s="716"/>
      <c r="M553" s="716"/>
      <c r="N553" s="716"/>
      <c r="O553" s="716"/>
      <c r="P553" s="716"/>
      <c r="Q553" s="716"/>
      <c r="R553" s="716"/>
      <c r="S553" s="716"/>
      <c r="T553" s="716"/>
      <c r="U553" s="716"/>
      <c r="V553" s="716"/>
      <c r="W553" s="716"/>
      <c r="X553" s="716"/>
      <c r="Y553" s="716"/>
      <c r="Z553" s="716"/>
    </row>
    <row r="554">
      <c r="A554" s="716"/>
      <c r="B554" s="717"/>
      <c r="C554" s="716"/>
      <c r="D554" s="716"/>
      <c r="E554" s="716"/>
      <c r="F554" s="716"/>
      <c r="G554" s="716"/>
      <c r="H554" s="716"/>
      <c r="I554" s="716"/>
      <c r="J554" s="716"/>
      <c r="K554" s="716"/>
      <c r="L554" s="716"/>
      <c r="M554" s="716"/>
      <c r="N554" s="716"/>
      <c r="O554" s="716"/>
      <c r="P554" s="716"/>
      <c r="Q554" s="716"/>
      <c r="R554" s="716"/>
      <c r="S554" s="716"/>
      <c r="T554" s="716"/>
      <c r="U554" s="716"/>
      <c r="V554" s="716"/>
      <c r="W554" s="716"/>
      <c r="X554" s="716"/>
      <c r="Y554" s="716"/>
      <c r="Z554" s="716"/>
    </row>
    <row r="555">
      <c r="A555" s="716"/>
      <c r="B555" s="717"/>
      <c r="C555" s="716"/>
      <c r="D555" s="716"/>
      <c r="E555" s="716"/>
      <c r="F555" s="716"/>
      <c r="G555" s="716"/>
      <c r="H555" s="716"/>
      <c r="I555" s="716"/>
      <c r="J555" s="716"/>
      <c r="K555" s="716"/>
      <c r="L555" s="716"/>
      <c r="M555" s="716"/>
      <c r="N555" s="716"/>
      <c r="O555" s="716"/>
      <c r="P555" s="716"/>
      <c r="Q555" s="716"/>
      <c r="R555" s="716"/>
      <c r="S555" s="716"/>
      <c r="T555" s="716"/>
      <c r="U555" s="716"/>
      <c r="V555" s="716"/>
      <c r="W555" s="716"/>
      <c r="X555" s="716"/>
      <c r="Y555" s="716"/>
      <c r="Z555" s="716"/>
    </row>
    <row r="556">
      <c r="A556" s="716"/>
      <c r="B556" s="717"/>
      <c r="C556" s="716"/>
      <c r="D556" s="716"/>
      <c r="E556" s="716"/>
      <c r="F556" s="716"/>
      <c r="G556" s="716"/>
      <c r="H556" s="716"/>
      <c r="I556" s="716"/>
      <c r="J556" s="716"/>
      <c r="K556" s="716"/>
      <c r="L556" s="716"/>
      <c r="M556" s="716"/>
      <c r="N556" s="716"/>
      <c r="O556" s="716"/>
      <c r="P556" s="716"/>
      <c r="Q556" s="716"/>
      <c r="R556" s="716"/>
      <c r="S556" s="716"/>
      <c r="T556" s="716"/>
      <c r="U556" s="716"/>
      <c r="V556" s="716"/>
      <c r="W556" s="716"/>
      <c r="X556" s="716"/>
      <c r="Y556" s="716"/>
      <c r="Z556" s="716"/>
    </row>
    <row r="557">
      <c r="A557" s="716"/>
      <c r="B557" s="717"/>
      <c r="C557" s="716"/>
      <c r="D557" s="716"/>
      <c r="E557" s="716"/>
      <c r="F557" s="716"/>
      <c r="G557" s="716"/>
      <c r="H557" s="716"/>
      <c r="I557" s="716"/>
      <c r="J557" s="716"/>
      <c r="K557" s="716"/>
      <c r="L557" s="716"/>
      <c r="M557" s="716"/>
      <c r="N557" s="716"/>
      <c r="O557" s="716"/>
      <c r="P557" s="716"/>
      <c r="Q557" s="716"/>
      <c r="R557" s="716"/>
      <c r="S557" s="716"/>
      <c r="T557" s="716"/>
      <c r="U557" s="716"/>
      <c r="V557" s="716"/>
      <c r="W557" s="716"/>
      <c r="X557" s="716"/>
      <c r="Y557" s="716"/>
      <c r="Z557" s="716"/>
    </row>
    <row r="558">
      <c r="A558" s="716"/>
      <c r="B558" s="717"/>
      <c r="C558" s="716"/>
      <c r="D558" s="716"/>
      <c r="E558" s="716"/>
      <c r="F558" s="716"/>
      <c r="G558" s="716"/>
      <c r="H558" s="716"/>
      <c r="I558" s="716"/>
      <c r="J558" s="716"/>
      <c r="K558" s="716"/>
      <c r="L558" s="716"/>
      <c r="M558" s="716"/>
      <c r="N558" s="716"/>
      <c r="O558" s="716"/>
      <c r="P558" s="716"/>
      <c r="Q558" s="716"/>
      <c r="R558" s="716"/>
      <c r="S558" s="716"/>
      <c r="T558" s="716"/>
      <c r="U558" s="716"/>
      <c r="V558" s="716"/>
      <c r="W558" s="716"/>
      <c r="X558" s="716"/>
      <c r="Y558" s="716"/>
      <c r="Z558" s="716"/>
    </row>
    <row r="559">
      <c r="A559" s="716"/>
      <c r="B559" s="717"/>
      <c r="C559" s="716"/>
      <c r="D559" s="716"/>
      <c r="E559" s="716"/>
      <c r="F559" s="716"/>
      <c r="G559" s="716"/>
      <c r="H559" s="716"/>
      <c r="I559" s="716"/>
      <c r="J559" s="716"/>
      <c r="K559" s="716"/>
      <c r="L559" s="716"/>
      <c r="M559" s="716"/>
      <c r="N559" s="716"/>
      <c r="O559" s="716"/>
      <c r="P559" s="716"/>
      <c r="Q559" s="716"/>
      <c r="R559" s="716"/>
      <c r="S559" s="716"/>
      <c r="T559" s="716"/>
      <c r="U559" s="716"/>
      <c r="V559" s="716"/>
      <c r="W559" s="716"/>
      <c r="X559" s="716"/>
      <c r="Y559" s="716"/>
      <c r="Z559" s="716"/>
    </row>
    <row r="560">
      <c r="A560" s="716"/>
      <c r="B560" s="717"/>
      <c r="C560" s="716"/>
      <c r="D560" s="716"/>
      <c r="E560" s="716"/>
      <c r="F560" s="716"/>
      <c r="G560" s="716"/>
      <c r="H560" s="716"/>
      <c r="I560" s="716"/>
      <c r="J560" s="716"/>
      <c r="K560" s="716"/>
      <c r="L560" s="716"/>
      <c r="M560" s="716"/>
      <c r="N560" s="716"/>
      <c r="O560" s="716"/>
      <c r="P560" s="716"/>
      <c r="Q560" s="716"/>
      <c r="R560" s="716"/>
      <c r="S560" s="716"/>
      <c r="T560" s="716"/>
      <c r="U560" s="716"/>
      <c r="V560" s="716"/>
      <c r="W560" s="716"/>
      <c r="X560" s="716"/>
      <c r="Y560" s="716"/>
      <c r="Z560" s="716"/>
    </row>
    <row r="561">
      <c r="A561" s="716"/>
      <c r="B561" s="717"/>
      <c r="C561" s="716"/>
      <c r="D561" s="716"/>
      <c r="E561" s="716"/>
      <c r="F561" s="716"/>
      <c r="G561" s="716"/>
      <c r="H561" s="716"/>
      <c r="I561" s="716"/>
      <c r="J561" s="716"/>
      <c r="K561" s="716"/>
      <c r="L561" s="716"/>
      <c r="M561" s="716"/>
      <c r="N561" s="716"/>
      <c r="O561" s="716"/>
      <c r="P561" s="716"/>
      <c r="Q561" s="716"/>
      <c r="R561" s="716"/>
      <c r="S561" s="716"/>
      <c r="T561" s="716"/>
      <c r="U561" s="716"/>
      <c r="V561" s="716"/>
      <c r="W561" s="716"/>
      <c r="X561" s="716"/>
      <c r="Y561" s="716"/>
      <c r="Z561" s="716"/>
    </row>
    <row r="562">
      <c r="A562" s="716"/>
      <c r="B562" s="717"/>
      <c r="C562" s="716"/>
      <c r="D562" s="716"/>
      <c r="E562" s="716"/>
      <c r="F562" s="716"/>
      <c r="G562" s="716"/>
      <c r="H562" s="716"/>
      <c r="I562" s="716"/>
      <c r="J562" s="716"/>
      <c r="K562" s="716"/>
      <c r="L562" s="716"/>
      <c r="M562" s="716"/>
      <c r="N562" s="716"/>
      <c r="O562" s="716"/>
      <c r="P562" s="716"/>
      <c r="Q562" s="716"/>
      <c r="R562" s="716"/>
      <c r="S562" s="716"/>
      <c r="T562" s="716"/>
      <c r="U562" s="716"/>
      <c r="V562" s="716"/>
      <c r="W562" s="716"/>
      <c r="X562" s="716"/>
      <c r="Y562" s="716"/>
      <c r="Z562" s="716"/>
    </row>
    <row r="563">
      <c r="A563" s="716"/>
      <c r="B563" s="717"/>
      <c r="C563" s="716"/>
      <c r="D563" s="716"/>
      <c r="E563" s="716"/>
      <c r="F563" s="716"/>
      <c r="G563" s="716"/>
      <c r="H563" s="716"/>
      <c r="I563" s="716"/>
      <c r="J563" s="716"/>
      <c r="K563" s="716"/>
      <c r="L563" s="716"/>
      <c r="M563" s="716"/>
      <c r="N563" s="716"/>
      <c r="O563" s="716"/>
      <c r="P563" s="716"/>
      <c r="Q563" s="716"/>
      <c r="R563" s="716"/>
      <c r="S563" s="716"/>
      <c r="T563" s="716"/>
      <c r="U563" s="716"/>
      <c r="V563" s="716"/>
      <c r="W563" s="716"/>
      <c r="X563" s="716"/>
      <c r="Y563" s="716"/>
      <c r="Z563" s="716"/>
    </row>
    <row r="564">
      <c r="A564" s="716"/>
      <c r="B564" s="717"/>
      <c r="C564" s="716"/>
      <c r="D564" s="716"/>
      <c r="E564" s="716"/>
      <c r="F564" s="716"/>
      <c r="G564" s="716"/>
      <c r="H564" s="716"/>
      <c r="I564" s="716"/>
      <c r="J564" s="716"/>
      <c r="K564" s="716"/>
      <c r="L564" s="716"/>
      <c r="M564" s="716"/>
      <c r="N564" s="716"/>
      <c r="O564" s="716"/>
      <c r="P564" s="716"/>
      <c r="Q564" s="716"/>
      <c r="R564" s="716"/>
      <c r="S564" s="716"/>
      <c r="T564" s="716"/>
      <c r="U564" s="716"/>
      <c r="V564" s="716"/>
      <c r="W564" s="716"/>
      <c r="X564" s="716"/>
      <c r="Y564" s="716"/>
      <c r="Z564" s="716"/>
    </row>
    <row r="565">
      <c r="A565" s="716"/>
      <c r="B565" s="717"/>
      <c r="C565" s="716"/>
      <c r="D565" s="716"/>
      <c r="E565" s="716"/>
      <c r="F565" s="716"/>
      <c r="G565" s="716"/>
      <c r="H565" s="716"/>
      <c r="I565" s="716"/>
      <c r="J565" s="716"/>
      <c r="K565" s="716"/>
      <c r="L565" s="716"/>
      <c r="M565" s="716"/>
      <c r="N565" s="716"/>
      <c r="O565" s="716"/>
      <c r="P565" s="716"/>
      <c r="Q565" s="716"/>
      <c r="R565" s="716"/>
      <c r="S565" s="716"/>
      <c r="T565" s="716"/>
      <c r="U565" s="716"/>
      <c r="V565" s="716"/>
      <c r="W565" s="716"/>
      <c r="X565" s="716"/>
      <c r="Y565" s="716"/>
      <c r="Z565" s="716"/>
    </row>
    <row r="566">
      <c r="A566" s="716"/>
      <c r="B566" s="717"/>
      <c r="C566" s="716"/>
      <c r="D566" s="716"/>
      <c r="E566" s="716"/>
      <c r="F566" s="716"/>
      <c r="G566" s="716"/>
      <c r="H566" s="716"/>
      <c r="I566" s="716"/>
      <c r="J566" s="716"/>
      <c r="K566" s="716"/>
      <c r="L566" s="716"/>
      <c r="M566" s="716"/>
      <c r="N566" s="716"/>
      <c r="O566" s="716"/>
      <c r="P566" s="716"/>
      <c r="Q566" s="716"/>
      <c r="R566" s="716"/>
      <c r="S566" s="716"/>
      <c r="T566" s="716"/>
      <c r="U566" s="716"/>
      <c r="V566" s="716"/>
      <c r="W566" s="716"/>
      <c r="X566" s="716"/>
      <c r="Y566" s="716"/>
      <c r="Z566" s="716"/>
    </row>
    <row r="567">
      <c r="A567" s="716"/>
      <c r="B567" s="717"/>
      <c r="C567" s="716"/>
      <c r="D567" s="716"/>
      <c r="E567" s="716"/>
      <c r="F567" s="716"/>
      <c r="G567" s="716"/>
      <c r="H567" s="716"/>
      <c r="I567" s="716"/>
      <c r="J567" s="716"/>
      <c r="K567" s="716"/>
      <c r="L567" s="716"/>
      <c r="M567" s="716"/>
      <c r="N567" s="716"/>
      <c r="O567" s="716"/>
      <c r="P567" s="716"/>
      <c r="Q567" s="716"/>
      <c r="R567" s="716"/>
      <c r="S567" s="716"/>
      <c r="T567" s="716"/>
      <c r="U567" s="716"/>
      <c r="V567" s="716"/>
      <c r="W567" s="716"/>
      <c r="X567" s="716"/>
      <c r="Y567" s="716"/>
      <c r="Z567" s="716"/>
    </row>
    <row r="568">
      <c r="A568" s="716"/>
      <c r="B568" s="717"/>
      <c r="C568" s="716"/>
      <c r="D568" s="716"/>
      <c r="E568" s="716"/>
      <c r="F568" s="716"/>
      <c r="G568" s="716"/>
      <c r="H568" s="716"/>
      <c r="I568" s="716"/>
      <c r="J568" s="716"/>
      <c r="K568" s="716"/>
      <c r="L568" s="716"/>
      <c r="M568" s="716"/>
      <c r="N568" s="716"/>
      <c r="O568" s="716"/>
      <c r="P568" s="716"/>
      <c r="Q568" s="716"/>
      <c r="R568" s="716"/>
      <c r="S568" s="716"/>
      <c r="T568" s="716"/>
      <c r="U568" s="716"/>
      <c r="V568" s="716"/>
      <c r="W568" s="716"/>
      <c r="X568" s="716"/>
      <c r="Y568" s="716"/>
      <c r="Z568" s="716"/>
    </row>
    <row r="569">
      <c r="A569" s="716"/>
      <c r="B569" s="717"/>
      <c r="C569" s="716"/>
      <c r="D569" s="716"/>
      <c r="E569" s="716"/>
      <c r="F569" s="716"/>
      <c r="G569" s="716"/>
      <c r="H569" s="716"/>
      <c r="I569" s="716"/>
      <c r="J569" s="716"/>
      <c r="K569" s="716"/>
      <c r="L569" s="716"/>
      <c r="M569" s="716"/>
      <c r="N569" s="716"/>
      <c r="O569" s="716"/>
      <c r="P569" s="716"/>
      <c r="Q569" s="716"/>
      <c r="R569" s="716"/>
      <c r="S569" s="716"/>
      <c r="T569" s="716"/>
      <c r="U569" s="716"/>
      <c r="V569" s="716"/>
      <c r="W569" s="716"/>
      <c r="X569" s="716"/>
      <c r="Y569" s="716"/>
      <c r="Z569" s="716"/>
    </row>
    <row r="570">
      <c r="A570" s="716"/>
      <c r="B570" s="717"/>
      <c r="C570" s="716"/>
      <c r="D570" s="716"/>
      <c r="E570" s="716"/>
      <c r="F570" s="716"/>
      <c r="G570" s="716"/>
      <c r="H570" s="716"/>
      <c r="I570" s="716"/>
      <c r="J570" s="716"/>
      <c r="K570" s="716"/>
      <c r="L570" s="716"/>
      <c r="M570" s="716"/>
      <c r="N570" s="716"/>
      <c r="O570" s="716"/>
      <c r="P570" s="716"/>
      <c r="Q570" s="716"/>
      <c r="R570" s="716"/>
      <c r="S570" s="716"/>
      <c r="T570" s="716"/>
      <c r="U570" s="716"/>
      <c r="V570" s="716"/>
      <c r="W570" s="716"/>
      <c r="X570" s="716"/>
      <c r="Y570" s="716"/>
      <c r="Z570" s="716"/>
    </row>
    <row r="571">
      <c r="A571" s="716"/>
      <c r="B571" s="717"/>
      <c r="C571" s="716"/>
      <c r="D571" s="716"/>
      <c r="E571" s="716"/>
      <c r="F571" s="716"/>
      <c r="G571" s="716"/>
      <c r="H571" s="716"/>
      <c r="I571" s="716"/>
      <c r="J571" s="716"/>
      <c r="K571" s="716"/>
      <c r="L571" s="716"/>
      <c r="M571" s="716"/>
      <c r="N571" s="716"/>
      <c r="O571" s="716"/>
      <c r="P571" s="716"/>
      <c r="Q571" s="716"/>
      <c r="R571" s="716"/>
      <c r="S571" s="716"/>
      <c r="T571" s="716"/>
      <c r="U571" s="716"/>
      <c r="V571" s="716"/>
      <c r="W571" s="716"/>
      <c r="X571" s="716"/>
      <c r="Y571" s="716"/>
      <c r="Z571" s="716"/>
    </row>
    <row r="572">
      <c r="A572" s="716"/>
      <c r="B572" s="717"/>
      <c r="C572" s="716"/>
      <c r="D572" s="716"/>
      <c r="E572" s="716"/>
      <c r="F572" s="716"/>
      <c r="G572" s="716"/>
      <c r="H572" s="716"/>
      <c r="I572" s="716"/>
      <c r="J572" s="716"/>
      <c r="K572" s="716"/>
      <c r="L572" s="716"/>
      <c r="M572" s="716"/>
      <c r="N572" s="716"/>
      <c r="O572" s="716"/>
      <c r="P572" s="716"/>
      <c r="Q572" s="716"/>
      <c r="R572" s="716"/>
      <c r="S572" s="716"/>
      <c r="T572" s="716"/>
      <c r="U572" s="716"/>
      <c r="V572" s="716"/>
      <c r="W572" s="716"/>
      <c r="X572" s="716"/>
      <c r="Y572" s="716"/>
      <c r="Z572" s="716"/>
    </row>
    <row r="573">
      <c r="A573" s="716"/>
      <c r="B573" s="717"/>
      <c r="C573" s="716"/>
      <c r="D573" s="716"/>
      <c r="E573" s="716"/>
      <c r="F573" s="716"/>
      <c r="G573" s="716"/>
      <c r="H573" s="716"/>
      <c r="I573" s="716"/>
      <c r="J573" s="716"/>
      <c r="K573" s="716"/>
      <c r="L573" s="716"/>
      <c r="M573" s="716"/>
      <c r="N573" s="716"/>
      <c r="O573" s="716"/>
      <c r="P573" s="716"/>
      <c r="Q573" s="716"/>
      <c r="R573" s="716"/>
      <c r="S573" s="716"/>
      <c r="T573" s="716"/>
      <c r="U573" s="716"/>
      <c r="V573" s="716"/>
      <c r="W573" s="716"/>
      <c r="X573" s="716"/>
      <c r="Y573" s="716"/>
      <c r="Z573" s="716"/>
    </row>
    <row r="574">
      <c r="A574" s="716"/>
      <c r="B574" s="717"/>
      <c r="C574" s="716"/>
      <c r="D574" s="716"/>
      <c r="E574" s="716"/>
      <c r="F574" s="716"/>
      <c r="G574" s="716"/>
      <c r="H574" s="716"/>
      <c r="I574" s="716"/>
      <c r="J574" s="716"/>
      <c r="K574" s="716"/>
      <c r="L574" s="716"/>
      <c r="M574" s="716"/>
      <c r="N574" s="716"/>
      <c r="O574" s="716"/>
      <c r="P574" s="716"/>
      <c r="Q574" s="716"/>
      <c r="R574" s="716"/>
      <c r="S574" s="716"/>
      <c r="T574" s="716"/>
      <c r="U574" s="716"/>
      <c r="V574" s="716"/>
      <c r="W574" s="716"/>
      <c r="X574" s="716"/>
      <c r="Y574" s="716"/>
      <c r="Z574" s="716"/>
    </row>
    <row r="575">
      <c r="A575" s="716"/>
      <c r="B575" s="717"/>
      <c r="C575" s="716"/>
      <c r="D575" s="716"/>
      <c r="E575" s="716"/>
      <c r="F575" s="716"/>
      <c r="G575" s="716"/>
      <c r="H575" s="716"/>
      <c r="I575" s="716"/>
      <c r="J575" s="716"/>
      <c r="K575" s="716"/>
      <c r="L575" s="716"/>
      <c r="M575" s="716"/>
      <c r="N575" s="716"/>
      <c r="O575" s="716"/>
      <c r="P575" s="716"/>
      <c r="Q575" s="716"/>
      <c r="R575" s="716"/>
      <c r="S575" s="716"/>
      <c r="T575" s="716"/>
      <c r="U575" s="716"/>
      <c r="V575" s="716"/>
      <c r="W575" s="716"/>
      <c r="X575" s="716"/>
      <c r="Y575" s="716"/>
      <c r="Z575" s="716"/>
    </row>
    <row r="576">
      <c r="A576" s="716"/>
      <c r="B576" s="717"/>
      <c r="C576" s="716"/>
      <c r="D576" s="716"/>
      <c r="E576" s="716"/>
      <c r="F576" s="716"/>
      <c r="G576" s="716"/>
      <c r="H576" s="716"/>
      <c r="I576" s="716"/>
      <c r="J576" s="716"/>
      <c r="K576" s="716"/>
      <c r="L576" s="716"/>
      <c r="M576" s="716"/>
      <c r="N576" s="716"/>
      <c r="O576" s="716"/>
      <c r="P576" s="716"/>
      <c r="Q576" s="716"/>
      <c r="R576" s="716"/>
      <c r="S576" s="716"/>
      <c r="T576" s="716"/>
      <c r="U576" s="716"/>
      <c r="V576" s="716"/>
      <c r="W576" s="716"/>
      <c r="X576" s="716"/>
      <c r="Y576" s="716"/>
      <c r="Z576" s="716"/>
    </row>
    <row r="577">
      <c r="A577" s="716"/>
      <c r="B577" s="717"/>
      <c r="C577" s="716"/>
      <c r="D577" s="716"/>
      <c r="E577" s="716"/>
      <c r="F577" s="716"/>
      <c r="G577" s="716"/>
      <c r="H577" s="716"/>
      <c r="I577" s="716"/>
      <c r="J577" s="716"/>
      <c r="K577" s="716"/>
      <c r="L577" s="716"/>
      <c r="M577" s="716"/>
      <c r="N577" s="716"/>
      <c r="O577" s="716"/>
      <c r="P577" s="716"/>
      <c r="Q577" s="716"/>
      <c r="R577" s="716"/>
      <c r="S577" s="716"/>
      <c r="T577" s="716"/>
      <c r="U577" s="716"/>
      <c r="V577" s="716"/>
      <c r="W577" s="716"/>
      <c r="X577" s="716"/>
      <c r="Y577" s="716"/>
      <c r="Z577" s="716"/>
    </row>
    <row r="578">
      <c r="A578" s="716"/>
      <c r="B578" s="717"/>
      <c r="C578" s="716"/>
      <c r="D578" s="716"/>
      <c r="E578" s="716"/>
      <c r="F578" s="716"/>
      <c r="G578" s="716"/>
      <c r="H578" s="716"/>
      <c r="I578" s="716"/>
      <c r="J578" s="716"/>
      <c r="K578" s="716"/>
      <c r="L578" s="716"/>
      <c r="M578" s="716"/>
      <c r="N578" s="716"/>
      <c r="O578" s="716"/>
      <c r="P578" s="716"/>
      <c r="Q578" s="716"/>
      <c r="R578" s="716"/>
      <c r="S578" s="716"/>
      <c r="T578" s="716"/>
      <c r="U578" s="716"/>
      <c r="V578" s="716"/>
      <c r="W578" s="716"/>
      <c r="X578" s="716"/>
      <c r="Y578" s="716"/>
      <c r="Z578" s="716"/>
    </row>
    <row r="579">
      <c r="A579" s="716"/>
      <c r="B579" s="717"/>
      <c r="C579" s="716"/>
      <c r="D579" s="716"/>
      <c r="E579" s="716"/>
      <c r="F579" s="716"/>
      <c r="G579" s="716"/>
      <c r="H579" s="716"/>
      <c r="I579" s="716"/>
      <c r="J579" s="716"/>
      <c r="K579" s="716"/>
      <c r="L579" s="716"/>
      <c r="M579" s="716"/>
      <c r="N579" s="716"/>
      <c r="O579" s="716"/>
      <c r="P579" s="716"/>
      <c r="Q579" s="716"/>
      <c r="R579" s="716"/>
      <c r="S579" s="716"/>
      <c r="T579" s="716"/>
      <c r="U579" s="716"/>
      <c r="V579" s="716"/>
      <c r="W579" s="716"/>
      <c r="X579" s="716"/>
      <c r="Y579" s="716"/>
      <c r="Z579" s="716"/>
    </row>
    <row r="580">
      <c r="A580" s="716"/>
      <c r="B580" s="717"/>
      <c r="C580" s="716"/>
      <c r="D580" s="716"/>
      <c r="E580" s="716"/>
      <c r="F580" s="716"/>
      <c r="G580" s="716"/>
      <c r="H580" s="716"/>
      <c r="I580" s="716"/>
      <c r="J580" s="716"/>
      <c r="K580" s="716"/>
      <c r="L580" s="716"/>
      <c r="M580" s="716"/>
      <c r="N580" s="716"/>
      <c r="O580" s="716"/>
      <c r="P580" s="716"/>
      <c r="Q580" s="716"/>
      <c r="R580" s="716"/>
      <c r="S580" s="716"/>
      <c r="T580" s="716"/>
      <c r="U580" s="716"/>
      <c r="V580" s="716"/>
      <c r="W580" s="716"/>
      <c r="X580" s="716"/>
      <c r="Y580" s="716"/>
      <c r="Z580" s="716"/>
    </row>
    <row r="581">
      <c r="A581" s="716"/>
      <c r="B581" s="717"/>
      <c r="C581" s="716"/>
      <c r="D581" s="716"/>
      <c r="E581" s="716"/>
      <c r="F581" s="716"/>
      <c r="G581" s="716"/>
      <c r="H581" s="716"/>
      <c r="I581" s="716"/>
      <c r="J581" s="716"/>
      <c r="K581" s="716"/>
      <c r="L581" s="716"/>
      <c r="M581" s="716"/>
      <c r="N581" s="716"/>
      <c r="O581" s="716"/>
      <c r="P581" s="716"/>
      <c r="Q581" s="716"/>
      <c r="R581" s="716"/>
      <c r="S581" s="716"/>
      <c r="T581" s="716"/>
      <c r="U581" s="716"/>
      <c r="V581" s="716"/>
      <c r="W581" s="716"/>
      <c r="X581" s="716"/>
      <c r="Y581" s="716"/>
      <c r="Z581" s="716"/>
    </row>
    <row r="582">
      <c r="A582" s="716"/>
      <c r="B582" s="717"/>
      <c r="C582" s="716"/>
      <c r="D582" s="716"/>
      <c r="E582" s="716"/>
      <c r="F582" s="716"/>
      <c r="G582" s="716"/>
      <c r="H582" s="716"/>
      <c r="I582" s="716"/>
      <c r="J582" s="716"/>
      <c r="K582" s="716"/>
      <c r="L582" s="716"/>
      <c r="M582" s="716"/>
      <c r="N582" s="716"/>
      <c r="O582" s="716"/>
      <c r="P582" s="716"/>
      <c r="Q582" s="716"/>
      <c r="R582" s="716"/>
      <c r="S582" s="716"/>
      <c r="T582" s="716"/>
      <c r="U582" s="716"/>
      <c r="V582" s="716"/>
      <c r="W582" s="716"/>
      <c r="X582" s="716"/>
      <c r="Y582" s="716"/>
      <c r="Z582" s="716"/>
    </row>
    <row r="583">
      <c r="A583" s="716"/>
      <c r="B583" s="717"/>
      <c r="C583" s="716"/>
      <c r="D583" s="716"/>
      <c r="E583" s="716"/>
      <c r="F583" s="716"/>
      <c r="G583" s="716"/>
      <c r="H583" s="716"/>
      <c r="I583" s="716"/>
      <c r="J583" s="716"/>
      <c r="K583" s="716"/>
      <c r="L583" s="716"/>
      <c r="M583" s="716"/>
      <c r="N583" s="716"/>
      <c r="O583" s="716"/>
      <c r="P583" s="716"/>
      <c r="Q583" s="716"/>
      <c r="R583" s="716"/>
      <c r="S583" s="716"/>
      <c r="T583" s="716"/>
      <c r="U583" s="716"/>
      <c r="V583" s="716"/>
      <c r="W583" s="716"/>
      <c r="X583" s="716"/>
      <c r="Y583" s="716"/>
      <c r="Z583" s="716"/>
    </row>
    <row r="584">
      <c r="A584" s="716"/>
      <c r="B584" s="717"/>
      <c r="C584" s="716"/>
      <c r="D584" s="716"/>
      <c r="E584" s="716"/>
      <c r="F584" s="716"/>
      <c r="G584" s="716"/>
      <c r="H584" s="716"/>
      <c r="I584" s="716"/>
      <c r="J584" s="716"/>
      <c r="K584" s="716"/>
      <c r="L584" s="716"/>
      <c r="M584" s="716"/>
      <c r="N584" s="716"/>
      <c r="O584" s="716"/>
      <c r="P584" s="716"/>
      <c r="Q584" s="716"/>
      <c r="R584" s="716"/>
      <c r="S584" s="716"/>
      <c r="T584" s="716"/>
      <c r="U584" s="716"/>
      <c r="V584" s="716"/>
      <c r="W584" s="716"/>
      <c r="X584" s="716"/>
      <c r="Y584" s="716"/>
      <c r="Z584" s="716"/>
    </row>
    <row r="585">
      <c r="A585" s="716"/>
      <c r="B585" s="717"/>
      <c r="C585" s="716"/>
      <c r="D585" s="716"/>
      <c r="E585" s="716"/>
      <c r="F585" s="716"/>
      <c r="G585" s="716"/>
      <c r="H585" s="716"/>
      <c r="I585" s="716"/>
      <c r="J585" s="716"/>
      <c r="K585" s="716"/>
      <c r="L585" s="716"/>
      <c r="M585" s="716"/>
      <c r="N585" s="716"/>
      <c r="O585" s="716"/>
      <c r="P585" s="716"/>
      <c r="Q585" s="716"/>
      <c r="R585" s="716"/>
      <c r="S585" s="716"/>
      <c r="T585" s="716"/>
      <c r="U585" s="716"/>
      <c r="V585" s="716"/>
      <c r="W585" s="716"/>
      <c r="X585" s="716"/>
      <c r="Y585" s="716"/>
      <c r="Z585" s="716"/>
    </row>
    <row r="586">
      <c r="A586" s="716"/>
      <c r="B586" s="717"/>
      <c r="C586" s="716"/>
      <c r="D586" s="716"/>
      <c r="E586" s="716"/>
      <c r="F586" s="716"/>
      <c r="G586" s="716"/>
      <c r="H586" s="716"/>
      <c r="I586" s="716"/>
      <c r="J586" s="716"/>
      <c r="K586" s="716"/>
      <c r="L586" s="716"/>
      <c r="M586" s="716"/>
      <c r="N586" s="716"/>
      <c r="O586" s="716"/>
      <c r="P586" s="716"/>
      <c r="Q586" s="716"/>
      <c r="R586" s="716"/>
      <c r="S586" s="716"/>
      <c r="T586" s="716"/>
      <c r="U586" s="716"/>
      <c r="V586" s="716"/>
      <c r="W586" s="716"/>
      <c r="X586" s="716"/>
      <c r="Y586" s="716"/>
      <c r="Z586" s="716"/>
    </row>
    <row r="587">
      <c r="A587" s="716"/>
      <c r="B587" s="717"/>
      <c r="C587" s="716"/>
      <c r="D587" s="716"/>
      <c r="E587" s="716"/>
      <c r="F587" s="716"/>
      <c r="G587" s="716"/>
      <c r="H587" s="716"/>
      <c r="I587" s="716"/>
      <c r="J587" s="716"/>
      <c r="K587" s="716"/>
      <c r="L587" s="716"/>
      <c r="M587" s="716"/>
      <c r="N587" s="716"/>
      <c r="O587" s="716"/>
      <c r="P587" s="716"/>
      <c r="Q587" s="716"/>
      <c r="R587" s="716"/>
      <c r="S587" s="716"/>
      <c r="T587" s="716"/>
      <c r="U587" s="716"/>
      <c r="V587" s="716"/>
      <c r="W587" s="716"/>
      <c r="X587" s="716"/>
      <c r="Y587" s="716"/>
      <c r="Z587" s="716"/>
    </row>
    <row r="588">
      <c r="A588" s="716"/>
      <c r="B588" s="717"/>
      <c r="C588" s="716"/>
      <c r="D588" s="716"/>
      <c r="E588" s="716"/>
      <c r="F588" s="716"/>
      <c r="G588" s="716"/>
      <c r="H588" s="716"/>
      <c r="I588" s="716"/>
      <c r="J588" s="716"/>
      <c r="K588" s="716"/>
      <c r="L588" s="716"/>
      <c r="M588" s="716"/>
      <c r="N588" s="716"/>
      <c r="O588" s="716"/>
      <c r="P588" s="716"/>
      <c r="Q588" s="716"/>
      <c r="R588" s="716"/>
      <c r="S588" s="716"/>
      <c r="T588" s="716"/>
      <c r="U588" s="716"/>
      <c r="V588" s="716"/>
      <c r="W588" s="716"/>
      <c r="X588" s="716"/>
      <c r="Y588" s="716"/>
      <c r="Z588" s="716"/>
    </row>
    <row r="589">
      <c r="A589" s="716"/>
      <c r="B589" s="717"/>
      <c r="C589" s="716"/>
      <c r="D589" s="716"/>
      <c r="E589" s="716"/>
      <c r="F589" s="716"/>
      <c r="G589" s="716"/>
      <c r="H589" s="716"/>
      <c r="I589" s="716"/>
      <c r="J589" s="716"/>
      <c r="K589" s="716"/>
      <c r="L589" s="716"/>
      <c r="M589" s="716"/>
      <c r="N589" s="716"/>
      <c r="O589" s="716"/>
      <c r="P589" s="716"/>
      <c r="Q589" s="716"/>
      <c r="R589" s="716"/>
      <c r="S589" s="716"/>
      <c r="T589" s="716"/>
      <c r="U589" s="716"/>
      <c r="V589" s="716"/>
      <c r="W589" s="716"/>
      <c r="X589" s="716"/>
      <c r="Y589" s="716"/>
      <c r="Z589" s="716"/>
    </row>
    <row r="590">
      <c r="A590" s="716"/>
      <c r="B590" s="717"/>
      <c r="C590" s="716"/>
      <c r="D590" s="716"/>
      <c r="E590" s="716"/>
      <c r="F590" s="716"/>
      <c r="G590" s="716"/>
      <c r="H590" s="716"/>
      <c r="I590" s="716"/>
      <c r="J590" s="716"/>
      <c r="K590" s="716"/>
      <c r="L590" s="716"/>
      <c r="M590" s="716"/>
      <c r="N590" s="716"/>
      <c r="O590" s="716"/>
      <c r="P590" s="716"/>
      <c r="Q590" s="716"/>
      <c r="R590" s="716"/>
      <c r="S590" s="716"/>
      <c r="T590" s="716"/>
      <c r="U590" s="716"/>
      <c r="V590" s="716"/>
      <c r="W590" s="716"/>
      <c r="X590" s="716"/>
      <c r="Y590" s="716"/>
      <c r="Z590" s="716"/>
    </row>
    <row r="591">
      <c r="A591" s="716"/>
      <c r="B591" s="717"/>
      <c r="C591" s="716"/>
      <c r="D591" s="716"/>
      <c r="E591" s="716"/>
      <c r="F591" s="716"/>
      <c r="G591" s="716"/>
      <c r="H591" s="716"/>
      <c r="I591" s="716"/>
      <c r="J591" s="716"/>
      <c r="K591" s="716"/>
      <c r="L591" s="716"/>
      <c r="M591" s="716"/>
      <c r="N591" s="716"/>
      <c r="O591" s="716"/>
      <c r="P591" s="716"/>
      <c r="Q591" s="716"/>
      <c r="R591" s="716"/>
      <c r="S591" s="716"/>
      <c r="T591" s="716"/>
      <c r="U591" s="716"/>
      <c r="V591" s="716"/>
      <c r="W591" s="716"/>
      <c r="X591" s="716"/>
      <c r="Y591" s="716"/>
      <c r="Z591" s="716"/>
    </row>
    <row r="592">
      <c r="A592" s="716"/>
      <c r="B592" s="717"/>
      <c r="C592" s="716"/>
      <c r="D592" s="716"/>
      <c r="E592" s="716"/>
      <c r="F592" s="716"/>
      <c r="G592" s="716"/>
      <c r="H592" s="716"/>
      <c r="I592" s="716"/>
      <c r="J592" s="716"/>
      <c r="K592" s="716"/>
      <c r="L592" s="716"/>
      <c r="M592" s="716"/>
      <c r="N592" s="716"/>
      <c r="O592" s="716"/>
      <c r="P592" s="716"/>
      <c r="Q592" s="716"/>
      <c r="R592" s="716"/>
      <c r="S592" s="716"/>
      <c r="T592" s="716"/>
      <c r="U592" s="716"/>
      <c r="V592" s="716"/>
      <c r="W592" s="716"/>
      <c r="X592" s="716"/>
      <c r="Y592" s="716"/>
      <c r="Z592" s="716"/>
    </row>
    <row r="593">
      <c r="A593" s="716"/>
      <c r="B593" s="717"/>
      <c r="C593" s="716"/>
      <c r="D593" s="716"/>
      <c r="E593" s="716"/>
      <c r="F593" s="716"/>
      <c r="G593" s="716"/>
      <c r="H593" s="716"/>
      <c r="I593" s="716"/>
      <c r="J593" s="716"/>
      <c r="K593" s="716"/>
      <c r="L593" s="716"/>
      <c r="M593" s="716"/>
      <c r="N593" s="716"/>
      <c r="O593" s="716"/>
      <c r="P593" s="716"/>
      <c r="Q593" s="716"/>
      <c r="R593" s="716"/>
      <c r="S593" s="716"/>
      <c r="T593" s="716"/>
      <c r="U593" s="716"/>
      <c r="V593" s="716"/>
      <c r="W593" s="716"/>
      <c r="X593" s="716"/>
      <c r="Y593" s="716"/>
      <c r="Z593" s="716"/>
    </row>
    <row r="594">
      <c r="A594" s="716"/>
      <c r="B594" s="717"/>
      <c r="C594" s="716"/>
      <c r="D594" s="716"/>
      <c r="E594" s="716"/>
      <c r="F594" s="716"/>
      <c r="G594" s="716"/>
      <c r="H594" s="716"/>
      <c r="I594" s="716"/>
      <c r="J594" s="716"/>
      <c r="K594" s="716"/>
      <c r="L594" s="716"/>
      <c r="M594" s="716"/>
      <c r="N594" s="716"/>
      <c r="O594" s="716"/>
      <c r="P594" s="716"/>
      <c r="Q594" s="716"/>
      <c r="R594" s="716"/>
      <c r="S594" s="716"/>
      <c r="T594" s="716"/>
      <c r="U594" s="716"/>
      <c r="V594" s="716"/>
      <c r="W594" s="716"/>
      <c r="X594" s="716"/>
      <c r="Y594" s="716"/>
      <c r="Z594" s="716"/>
    </row>
    <row r="595">
      <c r="A595" s="716"/>
      <c r="B595" s="717"/>
      <c r="C595" s="716"/>
      <c r="D595" s="716"/>
      <c r="E595" s="716"/>
      <c r="F595" s="716"/>
      <c r="G595" s="716"/>
      <c r="H595" s="716"/>
      <c r="I595" s="716"/>
      <c r="J595" s="716"/>
      <c r="K595" s="716"/>
      <c r="L595" s="716"/>
      <c r="M595" s="716"/>
      <c r="N595" s="716"/>
      <c r="O595" s="716"/>
      <c r="P595" s="716"/>
      <c r="Q595" s="716"/>
      <c r="R595" s="716"/>
      <c r="S595" s="716"/>
      <c r="T595" s="716"/>
      <c r="U595" s="716"/>
      <c r="V595" s="716"/>
      <c r="W595" s="716"/>
      <c r="X595" s="716"/>
      <c r="Y595" s="716"/>
      <c r="Z595" s="716"/>
    </row>
    <row r="596">
      <c r="A596" s="716"/>
      <c r="B596" s="717"/>
      <c r="C596" s="716"/>
      <c r="D596" s="716"/>
      <c r="E596" s="716"/>
      <c r="F596" s="716"/>
      <c r="G596" s="716"/>
      <c r="H596" s="716"/>
      <c r="I596" s="716"/>
      <c r="J596" s="716"/>
      <c r="K596" s="716"/>
      <c r="L596" s="716"/>
      <c r="M596" s="716"/>
      <c r="N596" s="716"/>
      <c r="O596" s="716"/>
      <c r="P596" s="716"/>
      <c r="Q596" s="716"/>
      <c r="R596" s="716"/>
      <c r="S596" s="716"/>
      <c r="T596" s="716"/>
      <c r="U596" s="716"/>
      <c r="V596" s="716"/>
      <c r="W596" s="716"/>
      <c r="X596" s="716"/>
      <c r="Y596" s="716"/>
      <c r="Z596" s="716"/>
    </row>
    <row r="597">
      <c r="A597" s="716"/>
      <c r="B597" s="717"/>
      <c r="C597" s="716"/>
      <c r="D597" s="716"/>
      <c r="E597" s="716"/>
      <c r="F597" s="716"/>
      <c r="G597" s="716"/>
      <c r="H597" s="716"/>
      <c r="I597" s="716"/>
      <c r="J597" s="716"/>
      <c r="K597" s="716"/>
      <c r="L597" s="716"/>
      <c r="M597" s="716"/>
      <c r="N597" s="716"/>
      <c r="O597" s="716"/>
      <c r="P597" s="716"/>
      <c r="Q597" s="716"/>
      <c r="R597" s="716"/>
      <c r="S597" s="716"/>
      <c r="T597" s="716"/>
      <c r="U597" s="716"/>
      <c r="V597" s="716"/>
      <c r="W597" s="716"/>
      <c r="X597" s="716"/>
      <c r="Y597" s="716"/>
      <c r="Z597" s="716"/>
    </row>
    <row r="598">
      <c r="A598" s="716"/>
      <c r="B598" s="717"/>
      <c r="C598" s="716"/>
      <c r="D598" s="716"/>
      <c r="E598" s="716"/>
      <c r="F598" s="716"/>
      <c r="G598" s="716"/>
      <c r="H598" s="716"/>
      <c r="I598" s="716"/>
      <c r="J598" s="716"/>
      <c r="K598" s="716"/>
      <c r="L598" s="716"/>
      <c r="M598" s="716"/>
      <c r="N598" s="716"/>
      <c r="O598" s="716"/>
      <c r="P598" s="716"/>
      <c r="Q598" s="716"/>
      <c r="R598" s="716"/>
      <c r="S598" s="716"/>
      <c r="T598" s="716"/>
      <c r="U598" s="716"/>
      <c r="V598" s="716"/>
      <c r="W598" s="716"/>
      <c r="X598" s="716"/>
      <c r="Y598" s="716"/>
      <c r="Z598" s="716"/>
    </row>
    <row r="599">
      <c r="A599" s="716"/>
      <c r="B599" s="717"/>
      <c r="C599" s="716"/>
      <c r="D599" s="716"/>
      <c r="E599" s="716"/>
      <c r="F599" s="716"/>
      <c r="G599" s="716"/>
      <c r="H599" s="716"/>
      <c r="I599" s="716"/>
      <c r="J599" s="716"/>
      <c r="K599" s="716"/>
      <c r="L599" s="716"/>
      <c r="M599" s="716"/>
      <c r="N599" s="716"/>
      <c r="O599" s="716"/>
      <c r="P599" s="716"/>
      <c r="Q599" s="716"/>
      <c r="R599" s="716"/>
      <c r="S599" s="716"/>
      <c r="T599" s="716"/>
      <c r="U599" s="716"/>
      <c r="V599" s="716"/>
      <c r="W599" s="716"/>
      <c r="X599" s="716"/>
      <c r="Y599" s="716"/>
      <c r="Z599" s="716"/>
    </row>
    <row r="600">
      <c r="A600" s="716"/>
      <c r="B600" s="717"/>
      <c r="C600" s="716"/>
      <c r="D600" s="716"/>
      <c r="E600" s="716"/>
      <c r="F600" s="716"/>
      <c r="G600" s="716"/>
      <c r="H600" s="716"/>
      <c r="I600" s="716"/>
      <c r="J600" s="716"/>
      <c r="K600" s="716"/>
      <c r="L600" s="716"/>
      <c r="M600" s="716"/>
      <c r="N600" s="716"/>
      <c r="O600" s="716"/>
      <c r="P600" s="716"/>
      <c r="Q600" s="716"/>
      <c r="R600" s="716"/>
      <c r="S600" s="716"/>
      <c r="T600" s="716"/>
      <c r="U600" s="716"/>
      <c r="V600" s="716"/>
      <c r="W600" s="716"/>
      <c r="X600" s="716"/>
      <c r="Y600" s="716"/>
      <c r="Z600" s="716"/>
    </row>
    <row r="601">
      <c r="A601" s="716"/>
      <c r="B601" s="717"/>
      <c r="C601" s="716"/>
      <c r="D601" s="716"/>
      <c r="E601" s="716"/>
      <c r="F601" s="716"/>
      <c r="G601" s="716"/>
      <c r="H601" s="716"/>
      <c r="I601" s="716"/>
      <c r="J601" s="716"/>
      <c r="K601" s="716"/>
      <c r="L601" s="716"/>
      <c r="M601" s="716"/>
      <c r="N601" s="716"/>
      <c r="O601" s="716"/>
      <c r="P601" s="716"/>
      <c r="Q601" s="716"/>
      <c r="R601" s="716"/>
      <c r="S601" s="716"/>
      <c r="T601" s="716"/>
      <c r="U601" s="716"/>
      <c r="V601" s="716"/>
      <c r="W601" s="716"/>
      <c r="X601" s="716"/>
      <c r="Y601" s="716"/>
      <c r="Z601" s="716"/>
    </row>
    <row r="602">
      <c r="A602" s="716"/>
      <c r="B602" s="717"/>
      <c r="C602" s="716"/>
      <c r="D602" s="716"/>
      <c r="E602" s="716"/>
      <c r="F602" s="716"/>
      <c r="G602" s="716"/>
      <c r="H602" s="716"/>
      <c r="I602" s="716"/>
      <c r="J602" s="716"/>
      <c r="K602" s="716"/>
      <c r="L602" s="716"/>
      <c r="M602" s="716"/>
      <c r="N602" s="716"/>
      <c r="O602" s="716"/>
      <c r="P602" s="716"/>
      <c r="Q602" s="716"/>
      <c r="R602" s="716"/>
      <c r="S602" s="716"/>
      <c r="T602" s="716"/>
      <c r="U602" s="716"/>
      <c r="V602" s="716"/>
      <c r="W602" s="716"/>
      <c r="X602" s="716"/>
      <c r="Y602" s="716"/>
      <c r="Z602" s="716"/>
    </row>
    <row r="603">
      <c r="A603" s="716"/>
      <c r="B603" s="717"/>
      <c r="C603" s="716"/>
      <c r="D603" s="716"/>
      <c r="E603" s="716"/>
      <c r="F603" s="716"/>
      <c r="G603" s="716"/>
      <c r="H603" s="716"/>
      <c r="I603" s="716"/>
      <c r="J603" s="716"/>
      <c r="K603" s="716"/>
      <c r="L603" s="716"/>
      <c r="M603" s="716"/>
      <c r="N603" s="716"/>
      <c r="O603" s="716"/>
      <c r="P603" s="716"/>
      <c r="Q603" s="716"/>
      <c r="R603" s="716"/>
      <c r="S603" s="716"/>
      <c r="T603" s="716"/>
      <c r="U603" s="716"/>
      <c r="V603" s="716"/>
      <c r="W603" s="716"/>
      <c r="X603" s="716"/>
      <c r="Y603" s="716"/>
      <c r="Z603" s="716"/>
    </row>
    <row r="604">
      <c r="A604" s="716"/>
      <c r="B604" s="717"/>
      <c r="C604" s="716"/>
      <c r="D604" s="716"/>
      <c r="E604" s="716"/>
      <c r="F604" s="716"/>
      <c r="G604" s="716"/>
      <c r="H604" s="716"/>
      <c r="I604" s="716"/>
      <c r="J604" s="716"/>
      <c r="K604" s="716"/>
      <c r="L604" s="716"/>
      <c r="M604" s="716"/>
      <c r="N604" s="716"/>
      <c r="O604" s="716"/>
      <c r="P604" s="716"/>
      <c r="Q604" s="716"/>
      <c r="R604" s="716"/>
      <c r="S604" s="716"/>
      <c r="T604" s="716"/>
      <c r="U604" s="716"/>
      <c r="V604" s="716"/>
      <c r="W604" s="716"/>
      <c r="X604" s="716"/>
      <c r="Y604" s="716"/>
      <c r="Z604" s="716"/>
    </row>
    <row r="605">
      <c r="A605" s="716"/>
      <c r="B605" s="717"/>
      <c r="C605" s="716"/>
      <c r="D605" s="716"/>
      <c r="E605" s="716"/>
      <c r="F605" s="716"/>
      <c r="G605" s="716"/>
      <c r="H605" s="716"/>
      <c r="I605" s="716"/>
      <c r="J605" s="716"/>
      <c r="K605" s="716"/>
      <c r="L605" s="716"/>
      <c r="M605" s="716"/>
      <c r="N605" s="716"/>
      <c r="O605" s="716"/>
      <c r="P605" s="716"/>
      <c r="Q605" s="716"/>
      <c r="R605" s="716"/>
      <c r="S605" s="716"/>
      <c r="T605" s="716"/>
      <c r="U605" s="716"/>
      <c r="V605" s="716"/>
      <c r="W605" s="716"/>
      <c r="X605" s="716"/>
      <c r="Y605" s="716"/>
      <c r="Z605" s="716"/>
    </row>
    <row r="606">
      <c r="A606" s="716"/>
      <c r="B606" s="717"/>
      <c r="C606" s="716"/>
      <c r="D606" s="716"/>
      <c r="E606" s="716"/>
      <c r="F606" s="716"/>
      <c r="G606" s="716"/>
      <c r="H606" s="716"/>
      <c r="I606" s="716"/>
      <c r="J606" s="716"/>
      <c r="K606" s="716"/>
      <c r="L606" s="716"/>
      <c r="M606" s="716"/>
      <c r="N606" s="716"/>
      <c r="O606" s="716"/>
      <c r="P606" s="716"/>
      <c r="Q606" s="716"/>
      <c r="R606" s="716"/>
      <c r="S606" s="716"/>
      <c r="T606" s="716"/>
      <c r="U606" s="716"/>
      <c r="V606" s="716"/>
      <c r="W606" s="716"/>
      <c r="X606" s="716"/>
      <c r="Y606" s="716"/>
      <c r="Z606" s="716"/>
    </row>
    <row r="607">
      <c r="A607" s="716"/>
      <c r="B607" s="717"/>
      <c r="C607" s="716"/>
      <c r="D607" s="716"/>
      <c r="E607" s="716"/>
      <c r="F607" s="716"/>
      <c r="G607" s="716"/>
      <c r="H607" s="716"/>
      <c r="I607" s="716"/>
      <c r="J607" s="716"/>
      <c r="K607" s="716"/>
      <c r="L607" s="716"/>
      <c r="M607" s="716"/>
      <c r="N607" s="716"/>
      <c r="O607" s="716"/>
      <c r="P607" s="716"/>
      <c r="Q607" s="716"/>
      <c r="R607" s="716"/>
      <c r="S607" s="716"/>
      <c r="T607" s="716"/>
      <c r="U607" s="716"/>
      <c r="V607" s="716"/>
      <c r="W607" s="716"/>
      <c r="X607" s="716"/>
      <c r="Y607" s="716"/>
      <c r="Z607" s="716"/>
    </row>
    <row r="608">
      <c r="A608" s="716"/>
      <c r="B608" s="717"/>
      <c r="C608" s="716"/>
      <c r="D608" s="716"/>
      <c r="E608" s="716"/>
      <c r="F608" s="716"/>
      <c r="G608" s="716"/>
      <c r="H608" s="716"/>
      <c r="I608" s="716"/>
      <c r="J608" s="716"/>
      <c r="K608" s="716"/>
      <c r="L608" s="716"/>
      <c r="M608" s="716"/>
      <c r="N608" s="716"/>
      <c r="O608" s="716"/>
      <c r="P608" s="716"/>
      <c r="Q608" s="716"/>
      <c r="R608" s="716"/>
      <c r="S608" s="716"/>
      <c r="T608" s="716"/>
      <c r="U608" s="716"/>
      <c r="V608" s="716"/>
      <c r="W608" s="716"/>
      <c r="X608" s="716"/>
      <c r="Y608" s="716"/>
      <c r="Z608" s="716"/>
    </row>
    <row r="609">
      <c r="A609" s="716"/>
      <c r="B609" s="717"/>
      <c r="C609" s="716"/>
      <c r="D609" s="716"/>
      <c r="E609" s="716"/>
      <c r="F609" s="716"/>
      <c r="G609" s="716"/>
      <c r="H609" s="716"/>
      <c r="I609" s="716"/>
      <c r="J609" s="716"/>
      <c r="K609" s="716"/>
      <c r="L609" s="716"/>
      <c r="M609" s="716"/>
      <c r="N609" s="716"/>
      <c r="O609" s="716"/>
      <c r="P609" s="716"/>
      <c r="Q609" s="716"/>
      <c r="R609" s="716"/>
      <c r="S609" s="716"/>
      <c r="T609" s="716"/>
      <c r="U609" s="716"/>
      <c r="V609" s="716"/>
      <c r="W609" s="716"/>
      <c r="X609" s="716"/>
      <c r="Y609" s="716"/>
      <c r="Z609" s="716"/>
    </row>
    <row r="610">
      <c r="A610" s="716"/>
      <c r="B610" s="717"/>
      <c r="C610" s="716"/>
      <c r="D610" s="716"/>
      <c r="E610" s="716"/>
      <c r="F610" s="716"/>
      <c r="G610" s="716"/>
      <c r="H610" s="716"/>
      <c r="I610" s="716"/>
      <c r="J610" s="716"/>
      <c r="K610" s="716"/>
      <c r="L610" s="716"/>
      <c r="M610" s="716"/>
      <c r="N610" s="716"/>
      <c r="O610" s="716"/>
      <c r="P610" s="716"/>
      <c r="Q610" s="716"/>
      <c r="R610" s="716"/>
      <c r="S610" s="716"/>
      <c r="T610" s="716"/>
      <c r="U610" s="716"/>
      <c r="V610" s="716"/>
      <c r="W610" s="716"/>
      <c r="X610" s="716"/>
      <c r="Y610" s="716"/>
      <c r="Z610" s="716"/>
    </row>
    <row r="611">
      <c r="A611" s="716"/>
      <c r="B611" s="717"/>
      <c r="C611" s="716"/>
      <c r="D611" s="716"/>
      <c r="E611" s="716"/>
      <c r="F611" s="716"/>
      <c r="G611" s="716"/>
      <c r="H611" s="716"/>
      <c r="I611" s="716"/>
      <c r="J611" s="716"/>
      <c r="K611" s="716"/>
      <c r="L611" s="716"/>
      <c r="M611" s="716"/>
      <c r="N611" s="716"/>
      <c r="O611" s="716"/>
      <c r="P611" s="716"/>
      <c r="Q611" s="716"/>
      <c r="R611" s="716"/>
      <c r="S611" s="716"/>
      <c r="T611" s="716"/>
      <c r="U611" s="716"/>
      <c r="V611" s="716"/>
      <c r="W611" s="716"/>
      <c r="X611" s="716"/>
      <c r="Y611" s="716"/>
      <c r="Z611" s="716"/>
    </row>
    <row r="612">
      <c r="A612" s="716"/>
      <c r="B612" s="717"/>
      <c r="C612" s="716"/>
      <c r="D612" s="716"/>
      <c r="E612" s="716"/>
      <c r="F612" s="716"/>
      <c r="G612" s="716"/>
      <c r="H612" s="716"/>
      <c r="I612" s="716"/>
      <c r="J612" s="716"/>
      <c r="K612" s="716"/>
      <c r="L612" s="716"/>
      <c r="M612" s="716"/>
      <c r="N612" s="716"/>
      <c r="O612" s="716"/>
      <c r="P612" s="716"/>
      <c r="Q612" s="716"/>
      <c r="R612" s="716"/>
      <c r="S612" s="716"/>
      <c r="T612" s="716"/>
      <c r="U612" s="716"/>
      <c r="V612" s="716"/>
      <c r="W612" s="716"/>
      <c r="X612" s="716"/>
      <c r="Y612" s="716"/>
      <c r="Z612" s="716"/>
    </row>
    <row r="613">
      <c r="A613" s="716"/>
      <c r="B613" s="717"/>
      <c r="C613" s="716"/>
      <c r="D613" s="716"/>
      <c r="E613" s="716"/>
      <c r="F613" s="716"/>
      <c r="G613" s="716"/>
      <c r="H613" s="716"/>
      <c r="I613" s="716"/>
      <c r="J613" s="716"/>
      <c r="K613" s="716"/>
      <c r="L613" s="716"/>
      <c r="M613" s="716"/>
      <c r="N613" s="716"/>
      <c r="O613" s="716"/>
      <c r="P613" s="716"/>
      <c r="Q613" s="716"/>
      <c r="R613" s="716"/>
      <c r="S613" s="716"/>
      <c r="T613" s="716"/>
      <c r="U613" s="716"/>
      <c r="V613" s="716"/>
      <c r="W613" s="716"/>
      <c r="X613" s="716"/>
      <c r="Y613" s="716"/>
      <c r="Z613" s="716"/>
    </row>
    <row r="614">
      <c r="A614" s="716"/>
      <c r="B614" s="717"/>
      <c r="C614" s="716"/>
      <c r="D614" s="716"/>
      <c r="E614" s="716"/>
      <c r="F614" s="716"/>
      <c r="G614" s="716"/>
      <c r="H614" s="716"/>
      <c r="I614" s="716"/>
      <c r="J614" s="716"/>
      <c r="K614" s="716"/>
      <c r="L614" s="716"/>
      <c r="M614" s="716"/>
      <c r="N614" s="716"/>
      <c r="O614" s="716"/>
      <c r="P614" s="716"/>
      <c r="Q614" s="716"/>
      <c r="R614" s="716"/>
      <c r="S614" s="716"/>
      <c r="T614" s="716"/>
      <c r="U614" s="716"/>
      <c r="V614" s="716"/>
      <c r="W614" s="716"/>
      <c r="X614" s="716"/>
      <c r="Y614" s="716"/>
      <c r="Z614" s="716"/>
    </row>
    <row r="615">
      <c r="A615" s="716"/>
      <c r="B615" s="717"/>
      <c r="C615" s="716"/>
      <c r="D615" s="716"/>
      <c r="E615" s="716"/>
      <c r="F615" s="716"/>
      <c r="G615" s="716"/>
      <c r="H615" s="716"/>
      <c r="I615" s="716"/>
      <c r="J615" s="716"/>
      <c r="K615" s="716"/>
      <c r="L615" s="716"/>
      <c r="M615" s="716"/>
      <c r="N615" s="716"/>
      <c r="O615" s="716"/>
      <c r="P615" s="716"/>
      <c r="Q615" s="716"/>
      <c r="R615" s="716"/>
      <c r="S615" s="716"/>
      <c r="T615" s="716"/>
      <c r="U615" s="716"/>
      <c r="V615" s="716"/>
      <c r="W615" s="716"/>
      <c r="X615" s="716"/>
      <c r="Y615" s="716"/>
      <c r="Z615" s="716"/>
    </row>
    <row r="616">
      <c r="A616" s="716"/>
      <c r="B616" s="717"/>
      <c r="C616" s="716"/>
      <c r="D616" s="716"/>
      <c r="E616" s="716"/>
      <c r="F616" s="716"/>
      <c r="G616" s="716"/>
      <c r="H616" s="716"/>
      <c r="I616" s="716"/>
      <c r="J616" s="716"/>
      <c r="K616" s="716"/>
      <c r="L616" s="716"/>
      <c r="M616" s="716"/>
      <c r="N616" s="716"/>
      <c r="O616" s="716"/>
      <c r="P616" s="716"/>
      <c r="Q616" s="716"/>
      <c r="R616" s="716"/>
      <c r="S616" s="716"/>
      <c r="T616" s="716"/>
      <c r="U616" s="716"/>
      <c r="V616" s="716"/>
      <c r="W616" s="716"/>
      <c r="X616" s="716"/>
      <c r="Y616" s="716"/>
      <c r="Z616" s="716"/>
    </row>
    <row r="617">
      <c r="A617" s="716"/>
      <c r="B617" s="717"/>
      <c r="C617" s="716"/>
      <c r="D617" s="716"/>
      <c r="E617" s="716"/>
      <c r="F617" s="716"/>
      <c r="G617" s="716"/>
      <c r="H617" s="716"/>
      <c r="I617" s="716"/>
      <c r="J617" s="716"/>
      <c r="K617" s="716"/>
      <c r="L617" s="716"/>
      <c r="M617" s="716"/>
      <c r="N617" s="716"/>
      <c r="O617" s="716"/>
      <c r="P617" s="716"/>
      <c r="Q617" s="716"/>
      <c r="R617" s="716"/>
      <c r="S617" s="716"/>
      <c r="T617" s="716"/>
      <c r="U617" s="716"/>
      <c r="V617" s="716"/>
      <c r="W617" s="716"/>
      <c r="X617" s="716"/>
      <c r="Y617" s="716"/>
      <c r="Z617" s="716"/>
    </row>
    <row r="618">
      <c r="A618" s="716"/>
      <c r="B618" s="717"/>
      <c r="C618" s="716"/>
      <c r="D618" s="716"/>
      <c r="E618" s="716"/>
      <c r="F618" s="716"/>
      <c r="G618" s="716"/>
      <c r="H618" s="716"/>
      <c r="I618" s="716"/>
      <c r="J618" s="716"/>
      <c r="K618" s="716"/>
      <c r="L618" s="716"/>
      <c r="M618" s="716"/>
      <c r="N618" s="716"/>
      <c r="O618" s="716"/>
      <c r="P618" s="716"/>
      <c r="Q618" s="716"/>
      <c r="R618" s="716"/>
      <c r="S618" s="716"/>
      <c r="T618" s="716"/>
      <c r="U618" s="716"/>
      <c r="V618" s="716"/>
      <c r="W618" s="716"/>
      <c r="X618" s="716"/>
      <c r="Y618" s="716"/>
      <c r="Z618" s="716"/>
    </row>
    <row r="619">
      <c r="A619" s="716"/>
      <c r="B619" s="717"/>
      <c r="C619" s="716"/>
      <c r="D619" s="716"/>
      <c r="E619" s="716"/>
      <c r="F619" s="716"/>
      <c r="G619" s="716"/>
      <c r="H619" s="716"/>
      <c r="I619" s="716"/>
      <c r="J619" s="716"/>
      <c r="K619" s="716"/>
      <c r="L619" s="716"/>
      <c r="M619" s="716"/>
      <c r="N619" s="716"/>
      <c r="O619" s="716"/>
      <c r="P619" s="716"/>
      <c r="Q619" s="716"/>
      <c r="R619" s="716"/>
      <c r="S619" s="716"/>
      <c r="T619" s="716"/>
      <c r="U619" s="716"/>
      <c r="V619" s="716"/>
      <c r="W619" s="716"/>
      <c r="X619" s="716"/>
      <c r="Y619" s="716"/>
      <c r="Z619" s="716"/>
    </row>
    <row r="620">
      <c r="A620" s="716"/>
      <c r="B620" s="717"/>
      <c r="C620" s="716"/>
      <c r="D620" s="716"/>
      <c r="E620" s="716"/>
      <c r="F620" s="716"/>
      <c r="G620" s="716"/>
      <c r="H620" s="716"/>
      <c r="I620" s="716"/>
      <c r="J620" s="716"/>
      <c r="K620" s="716"/>
      <c r="L620" s="716"/>
      <c r="M620" s="716"/>
      <c r="N620" s="716"/>
      <c r="O620" s="716"/>
      <c r="P620" s="716"/>
      <c r="Q620" s="716"/>
      <c r="R620" s="716"/>
      <c r="S620" s="716"/>
      <c r="T620" s="716"/>
      <c r="U620" s="716"/>
      <c r="V620" s="716"/>
      <c r="W620" s="716"/>
      <c r="X620" s="716"/>
      <c r="Y620" s="716"/>
      <c r="Z620" s="716"/>
    </row>
    <row r="621">
      <c r="A621" s="716"/>
      <c r="B621" s="717"/>
      <c r="C621" s="716"/>
      <c r="D621" s="716"/>
      <c r="E621" s="716"/>
      <c r="F621" s="716"/>
      <c r="G621" s="716"/>
      <c r="H621" s="716"/>
      <c r="I621" s="716"/>
      <c r="J621" s="716"/>
      <c r="K621" s="716"/>
      <c r="L621" s="716"/>
      <c r="M621" s="716"/>
      <c r="N621" s="716"/>
      <c r="O621" s="716"/>
      <c r="P621" s="716"/>
      <c r="Q621" s="716"/>
      <c r="R621" s="716"/>
      <c r="S621" s="716"/>
      <c r="T621" s="716"/>
      <c r="U621" s="716"/>
      <c r="V621" s="716"/>
      <c r="W621" s="716"/>
      <c r="X621" s="716"/>
      <c r="Y621" s="716"/>
      <c r="Z621" s="716"/>
    </row>
    <row r="622">
      <c r="A622" s="716"/>
      <c r="B622" s="717"/>
      <c r="C622" s="716"/>
      <c r="D622" s="716"/>
      <c r="E622" s="716"/>
      <c r="F622" s="716"/>
      <c r="G622" s="716"/>
      <c r="H622" s="716"/>
      <c r="I622" s="716"/>
      <c r="J622" s="716"/>
      <c r="K622" s="716"/>
      <c r="L622" s="716"/>
      <c r="M622" s="716"/>
      <c r="N622" s="716"/>
      <c r="O622" s="716"/>
      <c r="P622" s="716"/>
      <c r="Q622" s="716"/>
      <c r="R622" s="716"/>
      <c r="S622" s="716"/>
      <c r="T622" s="716"/>
      <c r="U622" s="716"/>
      <c r="V622" s="716"/>
      <c r="W622" s="716"/>
      <c r="X622" s="716"/>
      <c r="Y622" s="716"/>
      <c r="Z622" s="716"/>
    </row>
    <row r="623">
      <c r="A623" s="716"/>
      <c r="B623" s="717"/>
      <c r="C623" s="716"/>
      <c r="D623" s="716"/>
      <c r="E623" s="716"/>
      <c r="F623" s="716"/>
      <c r="G623" s="716"/>
      <c r="H623" s="716"/>
      <c r="I623" s="716"/>
      <c r="J623" s="716"/>
      <c r="K623" s="716"/>
      <c r="L623" s="716"/>
      <c r="M623" s="716"/>
      <c r="N623" s="716"/>
      <c r="O623" s="716"/>
      <c r="P623" s="716"/>
      <c r="Q623" s="716"/>
      <c r="R623" s="716"/>
      <c r="S623" s="716"/>
      <c r="T623" s="716"/>
      <c r="U623" s="716"/>
      <c r="V623" s="716"/>
      <c r="W623" s="716"/>
      <c r="X623" s="716"/>
      <c r="Y623" s="716"/>
      <c r="Z623" s="716"/>
    </row>
    <row r="624">
      <c r="A624" s="716"/>
      <c r="B624" s="717"/>
      <c r="C624" s="716"/>
      <c r="D624" s="716"/>
      <c r="E624" s="716"/>
      <c r="F624" s="716"/>
      <c r="G624" s="716"/>
      <c r="H624" s="716"/>
      <c r="I624" s="716"/>
      <c r="J624" s="716"/>
      <c r="K624" s="716"/>
      <c r="L624" s="716"/>
      <c r="M624" s="716"/>
      <c r="N624" s="716"/>
      <c r="O624" s="716"/>
      <c r="P624" s="716"/>
      <c r="Q624" s="716"/>
      <c r="R624" s="716"/>
      <c r="S624" s="716"/>
      <c r="T624" s="716"/>
      <c r="U624" s="716"/>
      <c r="V624" s="716"/>
      <c r="W624" s="716"/>
      <c r="X624" s="716"/>
      <c r="Y624" s="716"/>
      <c r="Z624" s="716"/>
    </row>
    <row r="625">
      <c r="A625" s="716"/>
      <c r="B625" s="717"/>
      <c r="C625" s="716"/>
      <c r="D625" s="716"/>
      <c r="E625" s="716"/>
      <c r="F625" s="716"/>
      <c r="G625" s="716"/>
      <c r="H625" s="716"/>
      <c r="I625" s="716"/>
      <c r="J625" s="716"/>
      <c r="K625" s="716"/>
      <c r="L625" s="716"/>
      <c r="M625" s="716"/>
      <c r="N625" s="716"/>
      <c r="O625" s="716"/>
      <c r="P625" s="716"/>
      <c r="Q625" s="716"/>
      <c r="R625" s="716"/>
      <c r="S625" s="716"/>
      <c r="T625" s="716"/>
      <c r="U625" s="716"/>
      <c r="V625" s="716"/>
      <c r="W625" s="716"/>
      <c r="X625" s="716"/>
      <c r="Y625" s="716"/>
      <c r="Z625" s="716"/>
    </row>
    <row r="626">
      <c r="A626" s="716"/>
      <c r="B626" s="717"/>
      <c r="C626" s="716"/>
      <c r="D626" s="716"/>
      <c r="E626" s="716"/>
      <c r="F626" s="716"/>
      <c r="G626" s="716"/>
      <c r="H626" s="716"/>
      <c r="I626" s="716"/>
      <c r="J626" s="716"/>
      <c r="K626" s="716"/>
      <c r="L626" s="716"/>
      <c r="M626" s="716"/>
      <c r="N626" s="716"/>
      <c r="O626" s="716"/>
      <c r="P626" s="716"/>
      <c r="Q626" s="716"/>
      <c r="R626" s="716"/>
      <c r="S626" s="716"/>
      <c r="T626" s="716"/>
      <c r="U626" s="716"/>
      <c r="V626" s="716"/>
      <c r="W626" s="716"/>
      <c r="X626" s="716"/>
      <c r="Y626" s="716"/>
      <c r="Z626" s="716"/>
    </row>
    <row r="627">
      <c r="A627" s="716"/>
      <c r="B627" s="717"/>
      <c r="C627" s="716"/>
      <c r="D627" s="716"/>
      <c r="E627" s="716"/>
      <c r="F627" s="716"/>
      <c r="G627" s="716"/>
      <c r="H627" s="716"/>
      <c r="I627" s="716"/>
      <c r="J627" s="716"/>
      <c r="K627" s="716"/>
      <c r="L627" s="716"/>
      <c r="M627" s="716"/>
      <c r="N627" s="716"/>
      <c r="O627" s="716"/>
      <c r="P627" s="716"/>
      <c r="Q627" s="716"/>
      <c r="R627" s="716"/>
      <c r="S627" s="716"/>
      <c r="T627" s="716"/>
      <c r="U627" s="716"/>
      <c r="V627" s="716"/>
      <c r="W627" s="716"/>
      <c r="X627" s="716"/>
      <c r="Y627" s="716"/>
      <c r="Z627" s="716"/>
    </row>
    <row r="628">
      <c r="A628" s="716"/>
      <c r="B628" s="717"/>
      <c r="C628" s="716"/>
      <c r="D628" s="716"/>
      <c r="E628" s="716"/>
      <c r="F628" s="716"/>
      <c r="G628" s="716"/>
      <c r="H628" s="716"/>
      <c r="I628" s="716"/>
      <c r="J628" s="716"/>
      <c r="K628" s="716"/>
      <c r="L628" s="716"/>
      <c r="M628" s="716"/>
      <c r="N628" s="716"/>
      <c r="O628" s="716"/>
      <c r="P628" s="716"/>
      <c r="Q628" s="716"/>
      <c r="R628" s="716"/>
      <c r="S628" s="716"/>
      <c r="T628" s="716"/>
      <c r="U628" s="716"/>
      <c r="V628" s="716"/>
      <c r="W628" s="716"/>
      <c r="X628" s="716"/>
      <c r="Y628" s="716"/>
      <c r="Z628" s="716"/>
    </row>
    <row r="629">
      <c r="A629" s="716"/>
      <c r="B629" s="717"/>
      <c r="C629" s="716"/>
      <c r="D629" s="716"/>
      <c r="E629" s="716"/>
      <c r="F629" s="716"/>
      <c r="G629" s="716"/>
      <c r="H629" s="716"/>
      <c r="I629" s="716"/>
      <c r="J629" s="716"/>
      <c r="K629" s="716"/>
      <c r="L629" s="716"/>
      <c r="M629" s="716"/>
      <c r="N629" s="716"/>
      <c r="O629" s="716"/>
      <c r="P629" s="716"/>
      <c r="Q629" s="716"/>
      <c r="R629" s="716"/>
      <c r="S629" s="716"/>
      <c r="T629" s="716"/>
      <c r="U629" s="716"/>
      <c r="V629" s="716"/>
      <c r="W629" s="716"/>
      <c r="X629" s="716"/>
      <c r="Y629" s="716"/>
      <c r="Z629" s="716"/>
    </row>
    <row r="630">
      <c r="A630" s="716"/>
      <c r="B630" s="717"/>
      <c r="C630" s="716"/>
      <c r="D630" s="716"/>
      <c r="E630" s="716"/>
      <c r="F630" s="716"/>
      <c r="G630" s="716"/>
      <c r="H630" s="716"/>
      <c r="I630" s="716"/>
      <c r="J630" s="716"/>
      <c r="K630" s="716"/>
      <c r="L630" s="716"/>
      <c r="M630" s="716"/>
      <c r="N630" s="716"/>
      <c r="O630" s="716"/>
      <c r="P630" s="716"/>
      <c r="Q630" s="716"/>
      <c r="R630" s="716"/>
      <c r="S630" s="716"/>
      <c r="T630" s="716"/>
      <c r="U630" s="716"/>
      <c r="V630" s="716"/>
      <c r="W630" s="716"/>
      <c r="X630" s="716"/>
      <c r="Y630" s="716"/>
      <c r="Z630" s="716"/>
    </row>
    <row r="631">
      <c r="A631" s="716"/>
      <c r="B631" s="717"/>
      <c r="C631" s="716"/>
      <c r="D631" s="716"/>
      <c r="E631" s="716"/>
      <c r="F631" s="716"/>
      <c r="G631" s="716"/>
      <c r="H631" s="716"/>
      <c r="I631" s="716"/>
      <c r="J631" s="716"/>
      <c r="K631" s="716"/>
      <c r="L631" s="716"/>
      <c r="M631" s="716"/>
      <c r="N631" s="716"/>
      <c r="O631" s="716"/>
      <c r="P631" s="716"/>
      <c r="Q631" s="716"/>
      <c r="R631" s="716"/>
      <c r="S631" s="716"/>
      <c r="T631" s="716"/>
      <c r="U631" s="716"/>
      <c r="V631" s="716"/>
      <c r="W631" s="716"/>
      <c r="X631" s="716"/>
      <c r="Y631" s="716"/>
      <c r="Z631" s="716"/>
    </row>
    <row r="632">
      <c r="A632" s="716"/>
      <c r="B632" s="717"/>
      <c r="C632" s="716"/>
      <c r="D632" s="716"/>
      <c r="E632" s="716"/>
      <c r="F632" s="716"/>
      <c r="G632" s="716"/>
      <c r="H632" s="716"/>
      <c r="I632" s="716"/>
      <c r="J632" s="716"/>
      <c r="K632" s="716"/>
      <c r="L632" s="716"/>
      <c r="M632" s="716"/>
      <c r="N632" s="716"/>
      <c r="O632" s="716"/>
      <c r="P632" s="716"/>
      <c r="Q632" s="716"/>
      <c r="R632" s="716"/>
      <c r="S632" s="716"/>
      <c r="T632" s="716"/>
      <c r="U632" s="716"/>
      <c r="V632" s="716"/>
      <c r="W632" s="716"/>
      <c r="X632" s="716"/>
      <c r="Y632" s="716"/>
      <c r="Z632" s="716"/>
    </row>
    <row r="633">
      <c r="A633" s="716"/>
      <c r="B633" s="717"/>
      <c r="C633" s="716"/>
      <c r="D633" s="716"/>
      <c r="E633" s="716"/>
      <c r="F633" s="716"/>
      <c r="G633" s="716"/>
      <c r="H633" s="716"/>
      <c r="I633" s="716"/>
      <c r="J633" s="716"/>
      <c r="K633" s="716"/>
      <c r="L633" s="716"/>
      <c r="M633" s="716"/>
      <c r="N633" s="716"/>
      <c r="O633" s="716"/>
      <c r="P633" s="716"/>
      <c r="Q633" s="716"/>
      <c r="R633" s="716"/>
      <c r="S633" s="716"/>
      <c r="T633" s="716"/>
      <c r="U633" s="716"/>
      <c r="V633" s="716"/>
      <c r="W633" s="716"/>
      <c r="X633" s="716"/>
      <c r="Y633" s="716"/>
      <c r="Z633" s="716"/>
    </row>
    <row r="634">
      <c r="A634" s="716"/>
      <c r="B634" s="717"/>
      <c r="C634" s="716"/>
      <c r="D634" s="716"/>
      <c r="E634" s="716"/>
      <c r="F634" s="716"/>
      <c r="G634" s="716"/>
      <c r="H634" s="716"/>
      <c r="I634" s="716"/>
      <c r="J634" s="716"/>
      <c r="K634" s="716"/>
      <c r="L634" s="716"/>
      <c r="M634" s="716"/>
      <c r="N634" s="716"/>
      <c r="O634" s="716"/>
      <c r="P634" s="716"/>
      <c r="Q634" s="716"/>
      <c r="R634" s="716"/>
      <c r="S634" s="716"/>
      <c r="T634" s="716"/>
      <c r="U634" s="716"/>
      <c r="V634" s="716"/>
      <c r="W634" s="716"/>
      <c r="X634" s="716"/>
      <c r="Y634" s="716"/>
      <c r="Z634" s="716"/>
    </row>
    <row r="635">
      <c r="A635" s="716"/>
      <c r="B635" s="717"/>
      <c r="C635" s="716"/>
      <c r="D635" s="716"/>
      <c r="E635" s="716"/>
      <c r="F635" s="716"/>
      <c r="G635" s="716"/>
      <c r="H635" s="716"/>
      <c r="I635" s="716"/>
      <c r="J635" s="716"/>
      <c r="K635" s="716"/>
      <c r="L635" s="716"/>
      <c r="M635" s="716"/>
      <c r="N635" s="716"/>
      <c r="O635" s="716"/>
      <c r="P635" s="716"/>
      <c r="Q635" s="716"/>
      <c r="R635" s="716"/>
      <c r="S635" s="716"/>
      <c r="T635" s="716"/>
      <c r="U635" s="716"/>
      <c r="V635" s="716"/>
      <c r="W635" s="716"/>
      <c r="X635" s="716"/>
      <c r="Y635" s="716"/>
      <c r="Z635" s="716"/>
    </row>
    <row r="636">
      <c r="A636" s="716"/>
      <c r="B636" s="717"/>
      <c r="C636" s="716"/>
      <c r="D636" s="716"/>
      <c r="E636" s="716"/>
      <c r="F636" s="716"/>
      <c r="G636" s="716"/>
      <c r="H636" s="716"/>
      <c r="I636" s="716"/>
      <c r="J636" s="716"/>
      <c r="K636" s="716"/>
      <c r="L636" s="716"/>
      <c r="M636" s="716"/>
      <c r="N636" s="716"/>
      <c r="O636" s="716"/>
      <c r="P636" s="716"/>
      <c r="Q636" s="716"/>
      <c r="R636" s="716"/>
      <c r="S636" s="716"/>
      <c r="T636" s="716"/>
      <c r="U636" s="716"/>
      <c r="V636" s="716"/>
      <c r="W636" s="716"/>
      <c r="X636" s="716"/>
      <c r="Y636" s="716"/>
      <c r="Z636" s="716"/>
    </row>
    <row r="637">
      <c r="A637" s="716"/>
      <c r="B637" s="717"/>
      <c r="C637" s="716"/>
      <c r="D637" s="716"/>
      <c r="E637" s="716"/>
      <c r="F637" s="716"/>
      <c r="G637" s="716"/>
      <c r="H637" s="716"/>
      <c r="I637" s="716"/>
      <c r="J637" s="716"/>
      <c r="K637" s="716"/>
      <c r="L637" s="716"/>
      <c r="M637" s="716"/>
      <c r="N637" s="716"/>
      <c r="O637" s="716"/>
      <c r="P637" s="716"/>
      <c r="Q637" s="716"/>
      <c r="R637" s="716"/>
      <c r="S637" s="716"/>
      <c r="T637" s="716"/>
      <c r="U637" s="716"/>
      <c r="V637" s="716"/>
      <c r="W637" s="716"/>
      <c r="X637" s="716"/>
      <c r="Y637" s="716"/>
      <c r="Z637" s="716"/>
    </row>
    <row r="638">
      <c r="A638" s="716"/>
      <c r="B638" s="717"/>
      <c r="C638" s="716"/>
      <c r="D638" s="716"/>
      <c r="E638" s="716"/>
      <c r="F638" s="716"/>
      <c r="G638" s="716"/>
      <c r="H638" s="716"/>
      <c r="I638" s="716"/>
      <c r="J638" s="716"/>
      <c r="K638" s="716"/>
      <c r="L638" s="716"/>
      <c r="M638" s="716"/>
      <c r="N638" s="716"/>
      <c r="O638" s="716"/>
      <c r="P638" s="716"/>
      <c r="Q638" s="716"/>
      <c r="R638" s="716"/>
      <c r="S638" s="716"/>
      <c r="T638" s="716"/>
      <c r="U638" s="716"/>
      <c r="V638" s="716"/>
      <c r="W638" s="716"/>
      <c r="X638" s="716"/>
      <c r="Y638" s="716"/>
      <c r="Z638" s="716"/>
    </row>
    <row r="639">
      <c r="A639" s="716"/>
      <c r="B639" s="717"/>
      <c r="C639" s="716"/>
      <c r="D639" s="716"/>
      <c r="E639" s="716"/>
      <c r="F639" s="716"/>
      <c r="G639" s="716"/>
      <c r="H639" s="716"/>
      <c r="I639" s="716"/>
      <c r="J639" s="716"/>
      <c r="K639" s="716"/>
      <c r="L639" s="716"/>
      <c r="M639" s="716"/>
      <c r="N639" s="716"/>
      <c r="O639" s="716"/>
      <c r="P639" s="716"/>
      <c r="Q639" s="716"/>
      <c r="R639" s="716"/>
      <c r="S639" s="716"/>
      <c r="T639" s="716"/>
      <c r="U639" s="716"/>
      <c r="V639" s="716"/>
      <c r="W639" s="716"/>
      <c r="X639" s="716"/>
      <c r="Y639" s="716"/>
      <c r="Z639" s="716"/>
    </row>
    <row r="640">
      <c r="A640" s="716"/>
      <c r="B640" s="717"/>
      <c r="C640" s="716"/>
      <c r="D640" s="716"/>
      <c r="E640" s="716"/>
      <c r="F640" s="716"/>
      <c r="G640" s="716"/>
      <c r="H640" s="716"/>
      <c r="I640" s="716"/>
      <c r="J640" s="716"/>
      <c r="K640" s="716"/>
      <c r="L640" s="716"/>
      <c r="M640" s="716"/>
      <c r="N640" s="716"/>
      <c r="O640" s="716"/>
      <c r="P640" s="716"/>
      <c r="Q640" s="716"/>
      <c r="R640" s="716"/>
      <c r="S640" s="716"/>
      <c r="T640" s="716"/>
      <c r="U640" s="716"/>
      <c r="V640" s="716"/>
      <c r="W640" s="716"/>
      <c r="X640" s="716"/>
      <c r="Y640" s="716"/>
      <c r="Z640" s="716"/>
    </row>
    <row r="641">
      <c r="A641" s="716"/>
      <c r="B641" s="717"/>
      <c r="C641" s="716"/>
      <c r="D641" s="716"/>
      <c r="E641" s="716"/>
      <c r="F641" s="716"/>
      <c r="G641" s="716"/>
      <c r="H641" s="716"/>
      <c r="I641" s="716"/>
      <c r="J641" s="716"/>
      <c r="K641" s="716"/>
      <c r="L641" s="716"/>
      <c r="M641" s="716"/>
      <c r="N641" s="716"/>
      <c r="O641" s="716"/>
      <c r="P641" s="716"/>
      <c r="Q641" s="716"/>
      <c r="R641" s="716"/>
      <c r="S641" s="716"/>
      <c r="T641" s="716"/>
      <c r="U641" s="716"/>
      <c r="V641" s="716"/>
      <c r="W641" s="716"/>
      <c r="X641" s="716"/>
      <c r="Y641" s="716"/>
      <c r="Z641" s="716"/>
    </row>
    <row r="642">
      <c r="A642" s="716"/>
      <c r="B642" s="717"/>
      <c r="C642" s="716"/>
      <c r="D642" s="716"/>
      <c r="E642" s="716"/>
      <c r="F642" s="716"/>
      <c r="G642" s="716"/>
      <c r="H642" s="716"/>
      <c r="I642" s="716"/>
      <c r="J642" s="716"/>
      <c r="K642" s="716"/>
      <c r="L642" s="716"/>
      <c r="M642" s="716"/>
      <c r="N642" s="716"/>
      <c r="O642" s="716"/>
      <c r="P642" s="716"/>
      <c r="Q642" s="716"/>
      <c r="R642" s="716"/>
      <c r="S642" s="716"/>
      <c r="T642" s="716"/>
      <c r="U642" s="716"/>
      <c r="V642" s="716"/>
      <c r="W642" s="716"/>
      <c r="X642" s="716"/>
      <c r="Y642" s="716"/>
      <c r="Z642" s="716"/>
    </row>
    <row r="643">
      <c r="A643" s="716"/>
      <c r="B643" s="717"/>
      <c r="C643" s="716"/>
      <c r="D643" s="716"/>
      <c r="E643" s="716"/>
      <c r="F643" s="716"/>
      <c r="G643" s="716"/>
      <c r="H643" s="716"/>
      <c r="I643" s="716"/>
      <c r="J643" s="716"/>
      <c r="K643" s="716"/>
      <c r="L643" s="716"/>
      <c r="M643" s="716"/>
      <c r="N643" s="716"/>
      <c r="O643" s="716"/>
      <c r="P643" s="716"/>
      <c r="Q643" s="716"/>
      <c r="R643" s="716"/>
      <c r="S643" s="716"/>
      <c r="T643" s="716"/>
      <c r="U643" s="716"/>
      <c r="V643" s="716"/>
      <c r="W643" s="716"/>
      <c r="X643" s="716"/>
      <c r="Y643" s="716"/>
      <c r="Z643" s="716"/>
    </row>
    <row r="644">
      <c r="A644" s="716"/>
      <c r="B644" s="717"/>
      <c r="C644" s="716"/>
      <c r="D644" s="716"/>
      <c r="E644" s="716"/>
      <c r="F644" s="716"/>
      <c r="G644" s="716"/>
      <c r="H644" s="716"/>
      <c r="I644" s="716"/>
      <c r="J644" s="716"/>
      <c r="K644" s="716"/>
      <c r="L644" s="716"/>
      <c r="M644" s="716"/>
      <c r="N644" s="716"/>
      <c r="O644" s="716"/>
      <c r="P644" s="716"/>
      <c r="Q644" s="716"/>
      <c r="R644" s="716"/>
      <c r="S644" s="716"/>
      <c r="T644" s="716"/>
      <c r="U644" s="716"/>
      <c r="V644" s="716"/>
      <c r="W644" s="716"/>
      <c r="X644" s="716"/>
      <c r="Y644" s="716"/>
      <c r="Z644" s="716"/>
    </row>
    <row r="645">
      <c r="A645" s="716"/>
      <c r="B645" s="717"/>
      <c r="C645" s="716"/>
      <c r="D645" s="716"/>
      <c r="E645" s="716"/>
      <c r="F645" s="716"/>
      <c r="G645" s="716"/>
      <c r="H645" s="716"/>
      <c r="I645" s="716"/>
      <c r="J645" s="716"/>
      <c r="K645" s="716"/>
      <c r="L645" s="716"/>
      <c r="M645" s="716"/>
      <c r="N645" s="716"/>
      <c r="O645" s="716"/>
      <c r="P645" s="716"/>
      <c r="Q645" s="716"/>
      <c r="R645" s="716"/>
      <c r="S645" s="716"/>
      <c r="T645" s="716"/>
      <c r="U645" s="716"/>
      <c r="V645" s="716"/>
      <c r="W645" s="716"/>
      <c r="X645" s="716"/>
      <c r="Y645" s="716"/>
      <c r="Z645" s="716"/>
    </row>
    <row r="646">
      <c r="A646" s="716"/>
      <c r="B646" s="717"/>
      <c r="C646" s="716"/>
      <c r="D646" s="716"/>
      <c r="E646" s="716"/>
      <c r="F646" s="716"/>
      <c r="G646" s="716"/>
      <c r="H646" s="716"/>
      <c r="I646" s="716"/>
      <c r="J646" s="716"/>
      <c r="K646" s="716"/>
      <c r="L646" s="716"/>
      <c r="M646" s="716"/>
      <c r="N646" s="716"/>
      <c r="O646" s="716"/>
      <c r="P646" s="716"/>
      <c r="Q646" s="716"/>
      <c r="R646" s="716"/>
      <c r="S646" s="716"/>
      <c r="T646" s="716"/>
      <c r="U646" s="716"/>
      <c r="V646" s="716"/>
      <c r="W646" s="716"/>
      <c r="X646" s="716"/>
      <c r="Y646" s="716"/>
      <c r="Z646" s="716"/>
    </row>
    <row r="647">
      <c r="A647" s="716"/>
      <c r="B647" s="717"/>
      <c r="C647" s="716"/>
      <c r="D647" s="716"/>
      <c r="E647" s="716"/>
      <c r="F647" s="716"/>
      <c r="G647" s="716"/>
      <c r="H647" s="716"/>
      <c r="I647" s="716"/>
      <c r="J647" s="716"/>
      <c r="K647" s="716"/>
      <c r="L647" s="716"/>
      <c r="M647" s="716"/>
      <c r="N647" s="716"/>
      <c r="O647" s="716"/>
      <c r="P647" s="716"/>
      <c r="Q647" s="716"/>
      <c r="R647" s="716"/>
      <c r="S647" s="716"/>
      <c r="T647" s="716"/>
      <c r="U647" s="716"/>
      <c r="V647" s="716"/>
      <c r="W647" s="716"/>
      <c r="X647" s="716"/>
      <c r="Y647" s="716"/>
      <c r="Z647" s="716"/>
    </row>
    <row r="648">
      <c r="A648" s="716"/>
      <c r="B648" s="717"/>
      <c r="C648" s="716"/>
      <c r="D648" s="716"/>
      <c r="E648" s="716"/>
      <c r="F648" s="716"/>
      <c r="G648" s="716"/>
      <c r="H648" s="716"/>
      <c r="I648" s="716"/>
      <c r="J648" s="716"/>
      <c r="K648" s="716"/>
      <c r="L648" s="716"/>
      <c r="M648" s="716"/>
      <c r="N648" s="716"/>
      <c r="O648" s="716"/>
      <c r="P648" s="716"/>
      <c r="Q648" s="716"/>
      <c r="R648" s="716"/>
      <c r="S648" s="716"/>
      <c r="T648" s="716"/>
      <c r="U648" s="716"/>
      <c r="V648" s="716"/>
      <c r="W648" s="716"/>
      <c r="X648" s="716"/>
      <c r="Y648" s="716"/>
      <c r="Z648" s="716"/>
    </row>
    <row r="649">
      <c r="A649" s="716"/>
      <c r="B649" s="717"/>
      <c r="C649" s="716"/>
      <c r="D649" s="716"/>
      <c r="E649" s="716"/>
      <c r="F649" s="716"/>
      <c r="G649" s="716"/>
      <c r="H649" s="716"/>
      <c r="I649" s="716"/>
      <c r="J649" s="716"/>
      <c r="K649" s="716"/>
      <c r="L649" s="716"/>
      <c r="M649" s="716"/>
      <c r="N649" s="716"/>
      <c r="O649" s="716"/>
      <c r="P649" s="716"/>
      <c r="Q649" s="716"/>
      <c r="R649" s="716"/>
      <c r="S649" s="716"/>
      <c r="T649" s="716"/>
      <c r="U649" s="716"/>
      <c r="V649" s="716"/>
      <c r="W649" s="716"/>
      <c r="X649" s="716"/>
      <c r="Y649" s="716"/>
      <c r="Z649" s="716"/>
    </row>
    <row r="650">
      <c r="A650" s="716"/>
      <c r="B650" s="717"/>
      <c r="C650" s="716"/>
      <c r="D650" s="716"/>
      <c r="E650" s="716"/>
      <c r="F650" s="716"/>
      <c r="G650" s="716"/>
      <c r="H650" s="716"/>
      <c r="I650" s="716"/>
      <c r="J650" s="716"/>
      <c r="K650" s="716"/>
      <c r="L650" s="716"/>
      <c r="M650" s="716"/>
      <c r="N650" s="716"/>
      <c r="O650" s="716"/>
      <c r="P650" s="716"/>
      <c r="Q650" s="716"/>
      <c r="R650" s="716"/>
      <c r="S650" s="716"/>
      <c r="T650" s="716"/>
      <c r="U650" s="716"/>
      <c r="V650" s="716"/>
      <c r="W650" s="716"/>
      <c r="X650" s="716"/>
      <c r="Y650" s="716"/>
      <c r="Z650" s="716"/>
    </row>
    <row r="651">
      <c r="A651" s="716"/>
      <c r="B651" s="717"/>
      <c r="C651" s="716"/>
      <c r="D651" s="716"/>
      <c r="E651" s="716"/>
      <c r="F651" s="716"/>
      <c r="G651" s="716"/>
      <c r="H651" s="716"/>
      <c r="I651" s="716"/>
      <c r="J651" s="716"/>
      <c r="K651" s="716"/>
      <c r="L651" s="716"/>
      <c r="M651" s="716"/>
      <c r="N651" s="716"/>
      <c r="O651" s="716"/>
      <c r="P651" s="716"/>
      <c r="Q651" s="716"/>
      <c r="R651" s="716"/>
      <c r="S651" s="716"/>
      <c r="T651" s="716"/>
      <c r="U651" s="716"/>
      <c r="V651" s="716"/>
      <c r="W651" s="716"/>
      <c r="X651" s="716"/>
      <c r="Y651" s="716"/>
      <c r="Z651" s="716"/>
    </row>
    <row r="652">
      <c r="A652" s="716"/>
      <c r="B652" s="717"/>
      <c r="C652" s="716"/>
      <c r="D652" s="716"/>
      <c r="E652" s="716"/>
      <c r="F652" s="716"/>
      <c r="G652" s="716"/>
      <c r="H652" s="716"/>
      <c r="I652" s="716"/>
      <c r="J652" s="716"/>
      <c r="K652" s="716"/>
      <c r="L652" s="716"/>
      <c r="M652" s="716"/>
      <c r="N652" s="716"/>
      <c r="O652" s="716"/>
      <c r="P652" s="716"/>
      <c r="Q652" s="716"/>
      <c r="R652" s="716"/>
      <c r="S652" s="716"/>
      <c r="T652" s="716"/>
      <c r="U652" s="716"/>
      <c r="V652" s="716"/>
      <c r="W652" s="716"/>
      <c r="X652" s="716"/>
      <c r="Y652" s="716"/>
      <c r="Z652" s="716"/>
    </row>
    <row r="653">
      <c r="A653" s="716"/>
      <c r="B653" s="717"/>
      <c r="C653" s="716"/>
      <c r="D653" s="716"/>
      <c r="E653" s="716"/>
      <c r="F653" s="716"/>
      <c r="G653" s="716"/>
      <c r="H653" s="716"/>
      <c r="I653" s="716"/>
      <c r="J653" s="716"/>
      <c r="K653" s="716"/>
      <c r="L653" s="716"/>
      <c r="M653" s="716"/>
      <c r="N653" s="716"/>
      <c r="O653" s="716"/>
      <c r="P653" s="716"/>
      <c r="Q653" s="716"/>
      <c r="R653" s="716"/>
      <c r="S653" s="716"/>
      <c r="T653" s="716"/>
      <c r="U653" s="716"/>
      <c r="V653" s="716"/>
      <c r="W653" s="716"/>
      <c r="X653" s="716"/>
      <c r="Y653" s="716"/>
      <c r="Z653" s="716"/>
    </row>
    <row r="654">
      <c r="A654" s="716"/>
      <c r="B654" s="717"/>
      <c r="C654" s="716"/>
      <c r="D654" s="716"/>
      <c r="E654" s="716"/>
      <c r="F654" s="716"/>
      <c r="G654" s="716"/>
      <c r="H654" s="716"/>
      <c r="I654" s="716"/>
      <c r="J654" s="716"/>
      <c r="K654" s="716"/>
      <c r="L654" s="716"/>
      <c r="M654" s="716"/>
      <c r="N654" s="716"/>
      <c r="O654" s="716"/>
      <c r="P654" s="716"/>
      <c r="Q654" s="716"/>
      <c r="R654" s="716"/>
      <c r="S654" s="716"/>
      <c r="T654" s="716"/>
      <c r="U654" s="716"/>
      <c r="V654" s="716"/>
      <c r="W654" s="716"/>
      <c r="X654" s="716"/>
      <c r="Y654" s="716"/>
      <c r="Z654" s="716"/>
    </row>
    <row r="655">
      <c r="A655" s="716"/>
      <c r="B655" s="717"/>
      <c r="C655" s="716"/>
      <c r="D655" s="716"/>
      <c r="E655" s="716"/>
      <c r="F655" s="716"/>
      <c r="G655" s="716"/>
      <c r="H655" s="716"/>
      <c r="I655" s="716"/>
      <c r="J655" s="716"/>
      <c r="K655" s="716"/>
      <c r="L655" s="716"/>
      <c r="M655" s="716"/>
      <c r="N655" s="716"/>
      <c r="O655" s="716"/>
      <c r="P655" s="716"/>
      <c r="Q655" s="716"/>
      <c r="R655" s="716"/>
      <c r="S655" s="716"/>
      <c r="T655" s="716"/>
      <c r="U655" s="716"/>
      <c r="V655" s="716"/>
      <c r="W655" s="716"/>
      <c r="X655" s="716"/>
      <c r="Y655" s="716"/>
      <c r="Z655" s="716"/>
    </row>
    <row r="656">
      <c r="A656" s="716"/>
      <c r="B656" s="717"/>
      <c r="C656" s="716"/>
      <c r="D656" s="716"/>
      <c r="E656" s="716"/>
      <c r="F656" s="716"/>
      <c r="G656" s="716"/>
      <c r="H656" s="716"/>
      <c r="I656" s="716"/>
      <c r="J656" s="716"/>
      <c r="K656" s="716"/>
      <c r="L656" s="716"/>
      <c r="M656" s="716"/>
      <c r="N656" s="716"/>
      <c r="O656" s="716"/>
      <c r="P656" s="716"/>
      <c r="Q656" s="716"/>
      <c r="R656" s="716"/>
      <c r="S656" s="716"/>
      <c r="T656" s="716"/>
      <c r="U656" s="716"/>
      <c r="V656" s="716"/>
      <c r="W656" s="716"/>
      <c r="X656" s="716"/>
      <c r="Y656" s="716"/>
      <c r="Z656" s="716"/>
    </row>
    <row r="657">
      <c r="A657" s="716"/>
      <c r="B657" s="717"/>
      <c r="C657" s="716"/>
      <c r="D657" s="716"/>
      <c r="E657" s="716"/>
      <c r="F657" s="716"/>
      <c r="G657" s="716"/>
      <c r="H657" s="716"/>
      <c r="I657" s="716"/>
      <c r="J657" s="716"/>
      <c r="K657" s="716"/>
      <c r="L657" s="716"/>
      <c r="M657" s="716"/>
      <c r="N657" s="716"/>
      <c r="O657" s="716"/>
      <c r="P657" s="716"/>
      <c r="Q657" s="716"/>
      <c r="R657" s="716"/>
      <c r="S657" s="716"/>
      <c r="T657" s="716"/>
      <c r="U657" s="716"/>
      <c r="V657" s="716"/>
      <c r="W657" s="716"/>
      <c r="X657" s="716"/>
      <c r="Y657" s="716"/>
      <c r="Z657" s="716"/>
    </row>
    <row r="658">
      <c r="A658" s="716"/>
      <c r="B658" s="717"/>
      <c r="C658" s="716"/>
      <c r="D658" s="716"/>
      <c r="E658" s="716"/>
      <c r="F658" s="716"/>
      <c r="G658" s="716"/>
      <c r="H658" s="716"/>
      <c r="I658" s="716"/>
      <c r="J658" s="716"/>
      <c r="K658" s="716"/>
      <c r="L658" s="716"/>
      <c r="M658" s="716"/>
      <c r="N658" s="716"/>
      <c r="O658" s="716"/>
      <c r="P658" s="716"/>
      <c r="Q658" s="716"/>
      <c r="R658" s="716"/>
      <c r="S658" s="716"/>
      <c r="T658" s="716"/>
      <c r="U658" s="716"/>
      <c r="V658" s="716"/>
      <c r="W658" s="716"/>
      <c r="X658" s="716"/>
      <c r="Y658" s="716"/>
      <c r="Z658" s="716"/>
    </row>
    <row r="659">
      <c r="A659" s="716"/>
      <c r="B659" s="717"/>
      <c r="C659" s="716"/>
      <c r="D659" s="716"/>
      <c r="E659" s="716"/>
      <c r="F659" s="716"/>
      <c r="G659" s="716"/>
      <c r="H659" s="716"/>
      <c r="I659" s="716"/>
      <c r="J659" s="716"/>
      <c r="K659" s="716"/>
      <c r="L659" s="716"/>
      <c r="M659" s="716"/>
      <c r="N659" s="716"/>
      <c r="O659" s="716"/>
      <c r="P659" s="716"/>
      <c r="Q659" s="716"/>
      <c r="R659" s="716"/>
      <c r="S659" s="716"/>
      <c r="T659" s="716"/>
      <c r="U659" s="716"/>
      <c r="V659" s="716"/>
      <c r="W659" s="716"/>
      <c r="X659" s="716"/>
      <c r="Y659" s="716"/>
      <c r="Z659" s="716"/>
    </row>
    <row r="660">
      <c r="A660" s="716"/>
      <c r="B660" s="717"/>
      <c r="C660" s="716"/>
      <c r="D660" s="716"/>
      <c r="E660" s="716"/>
      <c r="F660" s="716"/>
      <c r="G660" s="716"/>
      <c r="H660" s="716"/>
      <c r="I660" s="716"/>
      <c r="J660" s="716"/>
      <c r="K660" s="716"/>
      <c r="L660" s="716"/>
      <c r="M660" s="716"/>
      <c r="N660" s="716"/>
      <c r="O660" s="716"/>
      <c r="P660" s="716"/>
      <c r="Q660" s="716"/>
      <c r="R660" s="716"/>
      <c r="S660" s="716"/>
      <c r="T660" s="716"/>
      <c r="U660" s="716"/>
      <c r="V660" s="716"/>
      <c r="W660" s="716"/>
      <c r="X660" s="716"/>
      <c r="Y660" s="716"/>
      <c r="Z660" s="716"/>
    </row>
    <row r="661">
      <c r="A661" s="716"/>
      <c r="B661" s="717"/>
      <c r="C661" s="716"/>
      <c r="D661" s="716"/>
      <c r="E661" s="716"/>
      <c r="F661" s="716"/>
      <c r="G661" s="716"/>
      <c r="H661" s="716"/>
      <c r="I661" s="716"/>
      <c r="J661" s="716"/>
      <c r="K661" s="716"/>
      <c r="L661" s="716"/>
      <c r="M661" s="716"/>
      <c r="N661" s="716"/>
      <c r="O661" s="716"/>
      <c r="P661" s="716"/>
      <c r="Q661" s="716"/>
      <c r="R661" s="716"/>
      <c r="S661" s="716"/>
      <c r="T661" s="716"/>
      <c r="U661" s="716"/>
      <c r="V661" s="716"/>
      <c r="W661" s="716"/>
      <c r="X661" s="716"/>
      <c r="Y661" s="716"/>
      <c r="Z661" s="716"/>
    </row>
    <row r="662">
      <c r="A662" s="716"/>
      <c r="B662" s="717"/>
      <c r="C662" s="716"/>
      <c r="D662" s="716"/>
      <c r="E662" s="716"/>
      <c r="F662" s="716"/>
      <c r="G662" s="716"/>
      <c r="H662" s="716"/>
      <c r="I662" s="716"/>
      <c r="J662" s="716"/>
      <c r="K662" s="716"/>
      <c r="L662" s="716"/>
      <c r="M662" s="716"/>
      <c r="N662" s="716"/>
      <c r="O662" s="716"/>
      <c r="P662" s="716"/>
      <c r="Q662" s="716"/>
      <c r="R662" s="716"/>
      <c r="S662" s="716"/>
      <c r="T662" s="716"/>
      <c r="U662" s="716"/>
      <c r="V662" s="716"/>
      <c r="W662" s="716"/>
      <c r="X662" s="716"/>
      <c r="Y662" s="716"/>
      <c r="Z662" s="716"/>
    </row>
    <row r="663">
      <c r="A663" s="716"/>
      <c r="B663" s="717"/>
      <c r="C663" s="716"/>
      <c r="D663" s="716"/>
      <c r="E663" s="716"/>
      <c r="F663" s="716"/>
      <c r="G663" s="716"/>
      <c r="H663" s="716"/>
      <c r="I663" s="716"/>
      <c r="J663" s="716"/>
      <c r="K663" s="716"/>
      <c r="L663" s="716"/>
      <c r="M663" s="716"/>
      <c r="N663" s="716"/>
      <c r="O663" s="716"/>
      <c r="P663" s="716"/>
      <c r="Q663" s="716"/>
      <c r="R663" s="716"/>
      <c r="S663" s="716"/>
      <c r="T663" s="716"/>
      <c r="U663" s="716"/>
      <c r="V663" s="716"/>
      <c r="W663" s="716"/>
      <c r="X663" s="716"/>
      <c r="Y663" s="716"/>
      <c r="Z663" s="716"/>
    </row>
    <row r="664">
      <c r="A664" s="716"/>
      <c r="B664" s="717"/>
      <c r="C664" s="716"/>
      <c r="D664" s="716"/>
      <c r="E664" s="716"/>
      <c r="F664" s="716"/>
      <c r="G664" s="716"/>
      <c r="H664" s="716"/>
      <c r="I664" s="716"/>
      <c r="J664" s="716"/>
      <c r="K664" s="716"/>
      <c r="L664" s="716"/>
      <c r="M664" s="716"/>
      <c r="N664" s="716"/>
      <c r="O664" s="716"/>
      <c r="P664" s="716"/>
      <c r="Q664" s="716"/>
      <c r="R664" s="716"/>
      <c r="S664" s="716"/>
      <c r="T664" s="716"/>
      <c r="U664" s="716"/>
      <c r="V664" s="716"/>
      <c r="W664" s="716"/>
      <c r="X664" s="716"/>
      <c r="Y664" s="716"/>
      <c r="Z664" s="716"/>
    </row>
    <row r="665">
      <c r="A665" s="716"/>
      <c r="B665" s="717"/>
      <c r="C665" s="716"/>
      <c r="D665" s="716"/>
      <c r="E665" s="716"/>
      <c r="F665" s="716"/>
      <c r="G665" s="716"/>
      <c r="H665" s="716"/>
      <c r="I665" s="716"/>
      <c r="J665" s="716"/>
      <c r="K665" s="716"/>
      <c r="L665" s="716"/>
      <c r="M665" s="716"/>
      <c r="N665" s="716"/>
      <c r="O665" s="716"/>
      <c r="P665" s="716"/>
      <c r="Q665" s="716"/>
      <c r="R665" s="716"/>
      <c r="S665" s="716"/>
      <c r="T665" s="716"/>
      <c r="U665" s="716"/>
      <c r="V665" s="716"/>
      <c r="W665" s="716"/>
      <c r="X665" s="716"/>
      <c r="Y665" s="716"/>
      <c r="Z665" s="716"/>
    </row>
    <row r="666">
      <c r="A666" s="716"/>
      <c r="B666" s="717"/>
      <c r="C666" s="716"/>
      <c r="D666" s="716"/>
      <c r="E666" s="716"/>
      <c r="F666" s="716"/>
      <c r="G666" s="716"/>
      <c r="H666" s="716"/>
      <c r="I666" s="716"/>
      <c r="J666" s="716"/>
      <c r="K666" s="716"/>
      <c r="L666" s="716"/>
      <c r="M666" s="716"/>
      <c r="N666" s="716"/>
      <c r="O666" s="716"/>
      <c r="P666" s="716"/>
      <c r="Q666" s="716"/>
      <c r="R666" s="716"/>
      <c r="S666" s="716"/>
      <c r="T666" s="716"/>
      <c r="U666" s="716"/>
      <c r="V666" s="716"/>
      <c r="W666" s="716"/>
      <c r="X666" s="716"/>
      <c r="Y666" s="716"/>
      <c r="Z666" s="716"/>
    </row>
    <row r="667">
      <c r="A667" s="716"/>
      <c r="B667" s="717"/>
      <c r="C667" s="716"/>
      <c r="D667" s="716"/>
      <c r="E667" s="716"/>
      <c r="F667" s="716"/>
      <c r="G667" s="716"/>
      <c r="H667" s="716"/>
      <c r="I667" s="716"/>
      <c r="J667" s="716"/>
      <c r="K667" s="716"/>
      <c r="L667" s="716"/>
      <c r="M667" s="716"/>
      <c r="N667" s="716"/>
      <c r="O667" s="716"/>
      <c r="P667" s="716"/>
      <c r="Q667" s="716"/>
      <c r="R667" s="716"/>
      <c r="S667" s="716"/>
      <c r="T667" s="716"/>
      <c r="U667" s="716"/>
      <c r="V667" s="716"/>
      <c r="W667" s="716"/>
      <c r="X667" s="716"/>
      <c r="Y667" s="716"/>
      <c r="Z667" s="716"/>
    </row>
    <row r="668">
      <c r="A668" s="716"/>
      <c r="B668" s="717"/>
      <c r="C668" s="716"/>
      <c r="D668" s="716"/>
      <c r="E668" s="716"/>
      <c r="F668" s="716"/>
      <c r="G668" s="716"/>
      <c r="H668" s="716"/>
      <c r="I668" s="716"/>
      <c r="J668" s="716"/>
      <c r="K668" s="716"/>
      <c r="L668" s="716"/>
      <c r="M668" s="716"/>
      <c r="N668" s="716"/>
      <c r="O668" s="716"/>
      <c r="P668" s="716"/>
      <c r="Q668" s="716"/>
      <c r="R668" s="716"/>
      <c r="S668" s="716"/>
      <c r="T668" s="716"/>
      <c r="U668" s="716"/>
      <c r="V668" s="716"/>
      <c r="W668" s="716"/>
      <c r="X668" s="716"/>
      <c r="Y668" s="716"/>
      <c r="Z668" s="716"/>
    </row>
    <row r="669">
      <c r="A669" s="716"/>
      <c r="B669" s="717"/>
      <c r="C669" s="716"/>
      <c r="D669" s="716"/>
      <c r="E669" s="716"/>
      <c r="F669" s="716"/>
      <c r="G669" s="716"/>
      <c r="H669" s="716"/>
      <c r="I669" s="716"/>
      <c r="J669" s="716"/>
      <c r="K669" s="716"/>
      <c r="L669" s="716"/>
      <c r="M669" s="716"/>
      <c r="N669" s="716"/>
      <c r="O669" s="716"/>
      <c r="P669" s="716"/>
      <c r="Q669" s="716"/>
      <c r="R669" s="716"/>
      <c r="S669" s="716"/>
      <c r="T669" s="716"/>
      <c r="U669" s="716"/>
      <c r="V669" s="716"/>
      <c r="W669" s="716"/>
      <c r="X669" s="716"/>
      <c r="Y669" s="716"/>
      <c r="Z669" s="716"/>
    </row>
    <row r="670">
      <c r="A670" s="716"/>
      <c r="B670" s="717"/>
      <c r="C670" s="716"/>
      <c r="D670" s="716"/>
      <c r="E670" s="716"/>
      <c r="F670" s="716"/>
      <c r="G670" s="716"/>
      <c r="H670" s="716"/>
      <c r="I670" s="716"/>
      <c r="J670" s="716"/>
      <c r="K670" s="716"/>
      <c r="L670" s="716"/>
      <c r="M670" s="716"/>
      <c r="N670" s="716"/>
      <c r="O670" s="716"/>
      <c r="P670" s="716"/>
      <c r="Q670" s="716"/>
      <c r="R670" s="716"/>
      <c r="S670" s="716"/>
      <c r="T670" s="716"/>
      <c r="U670" s="716"/>
      <c r="V670" s="716"/>
      <c r="W670" s="716"/>
      <c r="X670" s="716"/>
      <c r="Y670" s="716"/>
      <c r="Z670" s="716"/>
    </row>
    <row r="671">
      <c r="A671" s="716"/>
      <c r="B671" s="717"/>
      <c r="C671" s="716"/>
      <c r="D671" s="716"/>
      <c r="E671" s="716"/>
      <c r="F671" s="716"/>
      <c r="G671" s="716"/>
      <c r="H671" s="716"/>
      <c r="I671" s="716"/>
      <c r="J671" s="716"/>
      <c r="K671" s="716"/>
      <c r="L671" s="716"/>
      <c r="M671" s="716"/>
      <c r="N671" s="716"/>
      <c r="O671" s="716"/>
      <c r="P671" s="716"/>
      <c r="Q671" s="716"/>
      <c r="R671" s="716"/>
      <c r="S671" s="716"/>
      <c r="T671" s="716"/>
      <c r="U671" s="716"/>
      <c r="V671" s="716"/>
      <c r="W671" s="716"/>
      <c r="X671" s="716"/>
      <c r="Y671" s="716"/>
      <c r="Z671" s="716"/>
    </row>
    <row r="672">
      <c r="A672" s="716"/>
      <c r="B672" s="717"/>
      <c r="C672" s="716"/>
      <c r="D672" s="716"/>
      <c r="E672" s="716"/>
      <c r="F672" s="716"/>
      <c r="G672" s="716"/>
      <c r="H672" s="716"/>
      <c r="I672" s="716"/>
      <c r="J672" s="716"/>
      <c r="K672" s="716"/>
      <c r="L672" s="716"/>
      <c r="M672" s="716"/>
      <c r="N672" s="716"/>
      <c r="O672" s="716"/>
      <c r="P672" s="716"/>
      <c r="Q672" s="716"/>
      <c r="R672" s="716"/>
      <c r="S672" s="716"/>
      <c r="T672" s="716"/>
      <c r="U672" s="716"/>
      <c r="V672" s="716"/>
      <c r="W672" s="716"/>
      <c r="X672" s="716"/>
      <c r="Y672" s="716"/>
      <c r="Z672" s="716"/>
    </row>
    <row r="673">
      <c r="A673" s="716"/>
      <c r="B673" s="717"/>
      <c r="C673" s="716"/>
      <c r="D673" s="716"/>
      <c r="E673" s="716"/>
      <c r="F673" s="716"/>
      <c r="G673" s="716"/>
      <c r="H673" s="716"/>
      <c r="I673" s="716"/>
      <c r="J673" s="716"/>
      <c r="K673" s="716"/>
      <c r="L673" s="716"/>
      <c r="M673" s="716"/>
      <c r="N673" s="716"/>
      <c r="O673" s="716"/>
      <c r="P673" s="716"/>
      <c r="Q673" s="716"/>
      <c r="R673" s="716"/>
      <c r="S673" s="716"/>
      <c r="T673" s="716"/>
      <c r="U673" s="716"/>
      <c r="V673" s="716"/>
      <c r="W673" s="716"/>
      <c r="X673" s="716"/>
      <c r="Y673" s="716"/>
      <c r="Z673" s="716"/>
    </row>
    <row r="674">
      <c r="A674" s="716"/>
      <c r="B674" s="717"/>
      <c r="C674" s="716"/>
      <c r="D674" s="716"/>
      <c r="E674" s="716"/>
      <c r="F674" s="716"/>
      <c r="G674" s="716"/>
      <c r="H674" s="716"/>
      <c r="I674" s="716"/>
      <c r="J674" s="716"/>
      <c r="K674" s="716"/>
      <c r="L674" s="716"/>
      <c r="M674" s="716"/>
      <c r="N674" s="716"/>
      <c r="O674" s="716"/>
      <c r="P674" s="716"/>
      <c r="Q674" s="716"/>
      <c r="R674" s="716"/>
      <c r="S674" s="716"/>
      <c r="T674" s="716"/>
      <c r="U674" s="716"/>
      <c r="V674" s="716"/>
      <c r="W674" s="716"/>
      <c r="X674" s="716"/>
      <c r="Y674" s="716"/>
      <c r="Z674" s="716"/>
    </row>
    <row r="675">
      <c r="A675" s="716"/>
      <c r="B675" s="717"/>
      <c r="C675" s="716"/>
      <c r="D675" s="716"/>
      <c r="E675" s="716"/>
      <c r="F675" s="716"/>
      <c r="G675" s="716"/>
      <c r="H675" s="716"/>
      <c r="I675" s="716"/>
      <c r="J675" s="716"/>
      <c r="K675" s="716"/>
      <c r="L675" s="716"/>
      <c r="M675" s="716"/>
      <c r="N675" s="716"/>
      <c r="O675" s="716"/>
      <c r="P675" s="716"/>
      <c r="Q675" s="716"/>
      <c r="R675" s="716"/>
      <c r="S675" s="716"/>
      <c r="T675" s="716"/>
      <c r="U675" s="716"/>
      <c r="V675" s="716"/>
      <c r="W675" s="716"/>
      <c r="X675" s="716"/>
      <c r="Y675" s="716"/>
      <c r="Z675" s="716"/>
    </row>
    <row r="676">
      <c r="A676" s="716"/>
      <c r="B676" s="717"/>
      <c r="C676" s="716"/>
      <c r="D676" s="716"/>
      <c r="E676" s="716"/>
      <c r="F676" s="716"/>
      <c r="G676" s="716"/>
      <c r="H676" s="716"/>
      <c r="I676" s="716"/>
      <c r="J676" s="716"/>
      <c r="K676" s="716"/>
      <c r="L676" s="716"/>
      <c r="M676" s="716"/>
      <c r="N676" s="716"/>
      <c r="O676" s="716"/>
      <c r="P676" s="716"/>
      <c r="Q676" s="716"/>
      <c r="R676" s="716"/>
      <c r="S676" s="716"/>
      <c r="T676" s="716"/>
      <c r="U676" s="716"/>
      <c r="V676" s="716"/>
      <c r="W676" s="716"/>
      <c r="X676" s="716"/>
      <c r="Y676" s="716"/>
      <c r="Z676" s="716"/>
    </row>
    <row r="677">
      <c r="A677" s="716"/>
      <c r="B677" s="717"/>
      <c r="C677" s="716"/>
      <c r="D677" s="716"/>
      <c r="E677" s="716"/>
      <c r="F677" s="716"/>
      <c r="G677" s="716"/>
      <c r="H677" s="716"/>
      <c r="I677" s="716"/>
      <c r="J677" s="716"/>
      <c r="K677" s="716"/>
      <c r="L677" s="716"/>
      <c r="M677" s="716"/>
      <c r="N677" s="716"/>
      <c r="O677" s="716"/>
      <c r="P677" s="716"/>
      <c r="Q677" s="716"/>
      <c r="R677" s="716"/>
      <c r="S677" s="716"/>
      <c r="T677" s="716"/>
      <c r="U677" s="716"/>
      <c r="V677" s="716"/>
      <c r="W677" s="716"/>
      <c r="X677" s="716"/>
      <c r="Y677" s="716"/>
      <c r="Z677" s="716"/>
    </row>
    <row r="678">
      <c r="A678" s="716"/>
      <c r="B678" s="717"/>
      <c r="C678" s="716"/>
      <c r="D678" s="716"/>
      <c r="E678" s="716"/>
      <c r="F678" s="716"/>
      <c r="G678" s="716"/>
      <c r="H678" s="716"/>
      <c r="I678" s="716"/>
      <c r="J678" s="716"/>
      <c r="K678" s="716"/>
      <c r="L678" s="716"/>
      <c r="M678" s="716"/>
      <c r="N678" s="716"/>
      <c r="O678" s="716"/>
      <c r="P678" s="716"/>
      <c r="Q678" s="716"/>
      <c r="R678" s="716"/>
      <c r="S678" s="716"/>
      <c r="T678" s="716"/>
      <c r="U678" s="716"/>
      <c r="V678" s="716"/>
      <c r="W678" s="716"/>
      <c r="X678" s="716"/>
      <c r="Y678" s="716"/>
      <c r="Z678" s="716"/>
    </row>
    <row r="679">
      <c r="A679" s="716"/>
      <c r="B679" s="717"/>
      <c r="C679" s="716"/>
      <c r="D679" s="716"/>
      <c r="E679" s="716"/>
      <c r="F679" s="716"/>
      <c r="G679" s="716"/>
      <c r="H679" s="716"/>
      <c r="I679" s="716"/>
      <c r="J679" s="716"/>
      <c r="K679" s="716"/>
      <c r="L679" s="716"/>
      <c r="M679" s="716"/>
      <c r="N679" s="716"/>
      <c r="O679" s="716"/>
      <c r="P679" s="716"/>
      <c r="Q679" s="716"/>
      <c r="R679" s="716"/>
      <c r="S679" s="716"/>
      <c r="T679" s="716"/>
      <c r="U679" s="716"/>
      <c r="V679" s="716"/>
      <c r="W679" s="716"/>
      <c r="X679" s="716"/>
      <c r="Y679" s="716"/>
      <c r="Z679" s="716"/>
    </row>
    <row r="680">
      <c r="A680" s="716"/>
      <c r="B680" s="717"/>
      <c r="C680" s="716"/>
      <c r="D680" s="716"/>
      <c r="E680" s="716"/>
      <c r="F680" s="716"/>
      <c r="G680" s="716"/>
      <c r="H680" s="716"/>
      <c r="I680" s="716"/>
      <c r="J680" s="716"/>
      <c r="K680" s="716"/>
      <c r="L680" s="716"/>
      <c r="M680" s="716"/>
      <c r="N680" s="716"/>
      <c r="O680" s="716"/>
      <c r="P680" s="716"/>
      <c r="Q680" s="716"/>
      <c r="R680" s="716"/>
      <c r="S680" s="716"/>
      <c r="T680" s="716"/>
      <c r="U680" s="716"/>
      <c r="V680" s="716"/>
      <c r="W680" s="716"/>
      <c r="X680" s="716"/>
      <c r="Y680" s="716"/>
      <c r="Z680" s="716"/>
    </row>
    <row r="681">
      <c r="A681" s="716"/>
      <c r="B681" s="717"/>
      <c r="C681" s="716"/>
      <c r="D681" s="716"/>
      <c r="E681" s="716"/>
      <c r="F681" s="716"/>
      <c r="G681" s="716"/>
      <c r="H681" s="716"/>
      <c r="I681" s="716"/>
      <c r="J681" s="716"/>
      <c r="K681" s="716"/>
      <c r="L681" s="716"/>
      <c r="M681" s="716"/>
      <c r="N681" s="716"/>
      <c r="O681" s="716"/>
      <c r="P681" s="716"/>
      <c r="Q681" s="716"/>
      <c r="R681" s="716"/>
      <c r="S681" s="716"/>
      <c r="T681" s="716"/>
      <c r="U681" s="716"/>
      <c r="V681" s="716"/>
      <c r="W681" s="716"/>
      <c r="X681" s="716"/>
      <c r="Y681" s="716"/>
      <c r="Z681" s="716"/>
    </row>
    <row r="682">
      <c r="A682" s="716"/>
      <c r="B682" s="717"/>
      <c r="C682" s="716"/>
      <c r="D682" s="716"/>
      <c r="E682" s="716"/>
      <c r="F682" s="716"/>
      <c r="G682" s="716"/>
      <c r="H682" s="716"/>
      <c r="I682" s="716"/>
      <c r="J682" s="716"/>
      <c r="K682" s="716"/>
      <c r="L682" s="716"/>
      <c r="M682" s="716"/>
      <c r="N682" s="716"/>
      <c r="O682" s="716"/>
      <c r="P682" s="716"/>
      <c r="Q682" s="716"/>
      <c r="R682" s="716"/>
      <c r="S682" s="716"/>
      <c r="T682" s="716"/>
      <c r="U682" s="716"/>
      <c r="V682" s="716"/>
      <c r="W682" s="716"/>
      <c r="X682" s="716"/>
      <c r="Y682" s="716"/>
      <c r="Z682" s="716"/>
    </row>
    <row r="683">
      <c r="A683" s="716"/>
      <c r="B683" s="717"/>
      <c r="C683" s="716"/>
      <c r="D683" s="716"/>
      <c r="E683" s="716"/>
      <c r="F683" s="716"/>
      <c r="G683" s="716"/>
      <c r="H683" s="716"/>
      <c r="I683" s="716"/>
      <c r="J683" s="716"/>
      <c r="K683" s="716"/>
      <c r="L683" s="716"/>
      <c r="M683" s="716"/>
      <c r="N683" s="716"/>
      <c r="O683" s="716"/>
      <c r="P683" s="716"/>
      <c r="Q683" s="716"/>
      <c r="R683" s="716"/>
      <c r="S683" s="716"/>
      <c r="T683" s="716"/>
      <c r="U683" s="716"/>
      <c r="V683" s="716"/>
      <c r="W683" s="716"/>
      <c r="X683" s="716"/>
      <c r="Y683" s="716"/>
      <c r="Z683" s="716"/>
    </row>
    <row r="684">
      <c r="A684" s="716"/>
      <c r="B684" s="717"/>
      <c r="C684" s="716"/>
      <c r="D684" s="716"/>
      <c r="E684" s="716"/>
      <c r="F684" s="716"/>
      <c r="G684" s="716"/>
      <c r="H684" s="716"/>
      <c r="I684" s="716"/>
      <c r="J684" s="716"/>
      <c r="K684" s="716"/>
      <c r="L684" s="716"/>
      <c r="M684" s="716"/>
      <c r="N684" s="716"/>
      <c r="O684" s="716"/>
      <c r="P684" s="716"/>
      <c r="Q684" s="716"/>
      <c r="R684" s="716"/>
      <c r="S684" s="716"/>
      <c r="T684" s="716"/>
      <c r="U684" s="716"/>
      <c r="V684" s="716"/>
      <c r="W684" s="716"/>
      <c r="X684" s="716"/>
      <c r="Y684" s="716"/>
      <c r="Z684" s="716"/>
    </row>
    <row r="685">
      <c r="A685" s="716"/>
      <c r="B685" s="717"/>
      <c r="C685" s="716"/>
      <c r="D685" s="716"/>
      <c r="E685" s="716"/>
      <c r="F685" s="716"/>
      <c r="G685" s="716"/>
      <c r="H685" s="716"/>
      <c r="I685" s="716"/>
      <c r="J685" s="716"/>
      <c r="K685" s="716"/>
      <c r="L685" s="716"/>
      <c r="M685" s="716"/>
      <c r="N685" s="716"/>
      <c r="O685" s="716"/>
      <c r="P685" s="716"/>
      <c r="Q685" s="716"/>
      <c r="R685" s="716"/>
      <c r="S685" s="716"/>
      <c r="T685" s="716"/>
      <c r="U685" s="716"/>
      <c r="V685" s="716"/>
      <c r="W685" s="716"/>
      <c r="X685" s="716"/>
      <c r="Y685" s="716"/>
      <c r="Z685" s="716"/>
    </row>
    <row r="686">
      <c r="A686" s="716"/>
      <c r="B686" s="717"/>
      <c r="C686" s="716"/>
      <c r="D686" s="716"/>
      <c r="E686" s="716"/>
      <c r="F686" s="716"/>
      <c r="G686" s="716"/>
      <c r="H686" s="716"/>
      <c r="I686" s="716"/>
      <c r="J686" s="716"/>
      <c r="K686" s="716"/>
      <c r="L686" s="716"/>
      <c r="M686" s="716"/>
      <c r="N686" s="716"/>
      <c r="O686" s="716"/>
      <c r="P686" s="716"/>
      <c r="Q686" s="716"/>
      <c r="R686" s="716"/>
      <c r="S686" s="716"/>
      <c r="T686" s="716"/>
      <c r="U686" s="716"/>
      <c r="V686" s="716"/>
      <c r="W686" s="716"/>
      <c r="X686" s="716"/>
      <c r="Y686" s="716"/>
      <c r="Z686" s="716"/>
    </row>
    <row r="687">
      <c r="A687" s="716"/>
      <c r="B687" s="717"/>
      <c r="C687" s="716"/>
      <c r="D687" s="716"/>
      <c r="E687" s="716"/>
      <c r="F687" s="716"/>
      <c r="G687" s="716"/>
      <c r="H687" s="716"/>
      <c r="I687" s="716"/>
      <c r="J687" s="716"/>
      <c r="K687" s="716"/>
      <c r="L687" s="716"/>
      <c r="M687" s="716"/>
      <c r="N687" s="716"/>
      <c r="O687" s="716"/>
      <c r="P687" s="716"/>
      <c r="Q687" s="716"/>
      <c r="R687" s="716"/>
      <c r="S687" s="716"/>
      <c r="T687" s="716"/>
      <c r="U687" s="716"/>
      <c r="V687" s="716"/>
      <c r="W687" s="716"/>
      <c r="X687" s="716"/>
      <c r="Y687" s="716"/>
      <c r="Z687" s="716"/>
    </row>
    <row r="688">
      <c r="A688" s="716"/>
      <c r="B688" s="717"/>
      <c r="C688" s="716"/>
      <c r="D688" s="716"/>
      <c r="E688" s="716"/>
      <c r="F688" s="716"/>
      <c r="G688" s="716"/>
      <c r="H688" s="716"/>
      <c r="I688" s="716"/>
      <c r="J688" s="716"/>
      <c r="K688" s="716"/>
      <c r="L688" s="716"/>
      <c r="M688" s="716"/>
      <c r="N688" s="716"/>
      <c r="O688" s="716"/>
      <c r="P688" s="716"/>
      <c r="Q688" s="716"/>
      <c r="R688" s="716"/>
      <c r="S688" s="716"/>
      <c r="T688" s="716"/>
      <c r="U688" s="716"/>
      <c r="V688" s="716"/>
      <c r="W688" s="716"/>
      <c r="X688" s="716"/>
      <c r="Y688" s="716"/>
      <c r="Z688" s="716"/>
    </row>
    <row r="689">
      <c r="A689" s="716"/>
      <c r="B689" s="717"/>
      <c r="C689" s="716"/>
      <c r="D689" s="716"/>
      <c r="E689" s="716"/>
      <c r="F689" s="716"/>
      <c r="G689" s="716"/>
      <c r="H689" s="716"/>
      <c r="I689" s="716"/>
      <c r="J689" s="716"/>
      <c r="K689" s="716"/>
      <c r="L689" s="716"/>
      <c r="M689" s="716"/>
      <c r="N689" s="716"/>
      <c r="O689" s="716"/>
      <c r="P689" s="716"/>
      <c r="Q689" s="716"/>
      <c r="R689" s="716"/>
      <c r="S689" s="716"/>
      <c r="T689" s="716"/>
      <c r="U689" s="716"/>
      <c r="V689" s="716"/>
      <c r="W689" s="716"/>
      <c r="X689" s="716"/>
      <c r="Y689" s="716"/>
      <c r="Z689" s="716"/>
    </row>
    <row r="690">
      <c r="A690" s="716"/>
      <c r="B690" s="717"/>
      <c r="C690" s="716"/>
      <c r="D690" s="716"/>
      <c r="E690" s="716"/>
      <c r="F690" s="716"/>
      <c r="G690" s="716"/>
      <c r="H690" s="716"/>
      <c r="I690" s="716"/>
      <c r="J690" s="716"/>
      <c r="K690" s="716"/>
      <c r="L690" s="716"/>
      <c r="M690" s="716"/>
      <c r="N690" s="716"/>
      <c r="O690" s="716"/>
      <c r="P690" s="716"/>
      <c r="Q690" s="716"/>
      <c r="R690" s="716"/>
      <c r="S690" s="716"/>
      <c r="T690" s="716"/>
      <c r="U690" s="716"/>
      <c r="V690" s="716"/>
      <c r="W690" s="716"/>
      <c r="X690" s="716"/>
      <c r="Y690" s="716"/>
      <c r="Z690" s="716"/>
    </row>
    <row r="691">
      <c r="A691" s="716"/>
      <c r="B691" s="717"/>
      <c r="C691" s="716"/>
      <c r="D691" s="716"/>
      <c r="E691" s="716"/>
      <c r="F691" s="716"/>
      <c r="G691" s="716"/>
      <c r="H691" s="716"/>
      <c r="I691" s="716"/>
      <c r="J691" s="716"/>
      <c r="K691" s="716"/>
      <c r="L691" s="716"/>
      <c r="M691" s="716"/>
      <c r="N691" s="716"/>
      <c r="O691" s="716"/>
      <c r="P691" s="716"/>
      <c r="Q691" s="716"/>
      <c r="R691" s="716"/>
      <c r="S691" s="716"/>
      <c r="T691" s="716"/>
      <c r="U691" s="716"/>
      <c r="V691" s="716"/>
      <c r="W691" s="716"/>
      <c r="X691" s="716"/>
      <c r="Y691" s="716"/>
      <c r="Z691" s="716"/>
    </row>
    <row r="692">
      <c r="A692" s="716"/>
      <c r="B692" s="717"/>
      <c r="C692" s="716"/>
      <c r="D692" s="716"/>
      <c r="E692" s="716"/>
      <c r="F692" s="716"/>
      <c r="G692" s="716"/>
      <c r="H692" s="716"/>
      <c r="I692" s="716"/>
      <c r="J692" s="716"/>
      <c r="K692" s="716"/>
      <c r="L692" s="716"/>
      <c r="M692" s="716"/>
      <c r="N692" s="716"/>
      <c r="O692" s="716"/>
      <c r="P692" s="716"/>
      <c r="Q692" s="716"/>
      <c r="R692" s="716"/>
      <c r="S692" s="716"/>
      <c r="T692" s="716"/>
      <c r="U692" s="716"/>
      <c r="V692" s="716"/>
      <c r="W692" s="716"/>
      <c r="X692" s="716"/>
      <c r="Y692" s="716"/>
      <c r="Z692" s="716"/>
    </row>
    <row r="693">
      <c r="A693" s="716"/>
      <c r="B693" s="717"/>
      <c r="C693" s="716"/>
      <c r="D693" s="716"/>
      <c r="E693" s="716"/>
      <c r="F693" s="716"/>
      <c r="G693" s="716"/>
      <c r="H693" s="716"/>
      <c r="I693" s="716"/>
      <c r="J693" s="716"/>
      <c r="K693" s="716"/>
      <c r="L693" s="716"/>
      <c r="M693" s="716"/>
      <c r="N693" s="716"/>
      <c r="O693" s="716"/>
      <c r="P693" s="716"/>
      <c r="Q693" s="716"/>
      <c r="R693" s="716"/>
      <c r="S693" s="716"/>
      <c r="T693" s="716"/>
      <c r="U693" s="716"/>
      <c r="V693" s="716"/>
      <c r="W693" s="716"/>
      <c r="X693" s="716"/>
      <c r="Y693" s="716"/>
      <c r="Z693" s="716"/>
    </row>
    <row r="694">
      <c r="A694" s="716"/>
      <c r="B694" s="717"/>
      <c r="C694" s="716"/>
      <c r="D694" s="716"/>
      <c r="E694" s="716"/>
      <c r="F694" s="716"/>
      <c r="G694" s="716"/>
      <c r="H694" s="716"/>
      <c r="I694" s="716"/>
      <c r="J694" s="716"/>
      <c r="K694" s="716"/>
      <c r="L694" s="716"/>
      <c r="M694" s="716"/>
      <c r="N694" s="716"/>
      <c r="O694" s="716"/>
      <c r="P694" s="716"/>
      <c r="Q694" s="716"/>
      <c r="R694" s="716"/>
      <c r="S694" s="716"/>
      <c r="T694" s="716"/>
      <c r="U694" s="716"/>
      <c r="V694" s="716"/>
      <c r="W694" s="716"/>
      <c r="X694" s="716"/>
      <c r="Y694" s="716"/>
      <c r="Z694" s="716"/>
    </row>
    <row r="695">
      <c r="A695" s="716"/>
      <c r="B695" s="717"/>
      <c r="C695" s="716"/>
      <c r="D695" s="716"/>
      <c r="E695" s="716"/>
      <c r="F695" s="716"/>
      <c r="G695" s="716"/>
      <c r="H695" s="716"/>
      <c r="I695" s="716"/>
      <c r="J695" s="716"/>
      <c r="K695" s="716"/>
      <c r="L695" s="716"/>
      <c r="M695" s="716"/>
      <c r="N695" s="716"/>
      <c r="O695" s="716"/>
      <c r="P695" s="716"/>
      <c r="Q695" s="716"/>
      <c r="R695" s="716"/>
      <c r="S695" s="716"/>
      <c r="T695" s="716"/>
      <c r="U695" s="716"/>
      <c r="V695" s="716"/>
      <c r="W695" s="716"/>
      <c r="X695" s="716"/>
      <c r="Y695" s="716"/>
      <c r="Z695" s="716"/>
    </row>
    <row r="696">
      <c r="A696" s="716"/>
      <c r="B696" s="717"/>
      <c r="C696" s="716"/>
      <c r="D696" s="716"/>
      <c r="E696" s="716"/>
      <c r="F696" s="716"/>
      <c r="G696" s="716"/>
      <c r="H696" s="716"/>
      <c r="I696" s="716"/>
      <c r="J696" s="716"/>
      <c r="K696" s="716"/>
      <c r="L696" s="716"/>
      <c r="M696" s="716"/>
      <c r="N696" s="716"/>
      <c r="O696" s="716"/>
      <c r="P696" s="716"/>
      <c r="Q696" s="716"/>
      <c r="R696" s="716"/>
      <c r="S696" s="716"/>
      <c r="T696" s="716"/>
      <c r="U696" s="716"/>
      <c r="V696" s="716"/>
      <c r="W696" s="716"/>
      <c r="X696" s="716"/>
      <c r="Y696" s="716"/>
      <c r="Z696" s="716"/>
    </row>
    <row r="697">
      <c r="A697" s="716"/>
      <c r="B697" s="717"/>
      <c r="C697" s="716"/>
      <c r="D697" s="716"/>
      <c r="E697" s="716"/>
      <c r="F697" s="716"/>
      <c r="G697" s="716"/>
      <c r="H697" s="716"/>
      <c r="I697" s="716"/>
      <c r="J697" s="716"/>
      <c r="K697" s="716"/>
      <c r="L697" s="716"/>
      <c r="M697" s="716"/>
      <c r="N697" s="716"/>
      <c r="O697" s="716"/>
      <c r="P697" s="716"/>
      <c r="Q697" s="716"/>
      <c r="R697" s="716"/>
      <c r="S697" s="716"/>
      <c r="T697" s="716"/>
      <c r="U697" s="716"/>
      <c r="V697" s="716"/>
      <c r="W697" s="716"/>
      <c r="X697" s="716"/>
      <c r="Y697" s="716"/>
      <c r="Z697" s="716"/>
    </row>
    <row r="698">
      <c r="A698" s="716"/>
      <c r="B698" s="717"/>
      <c r="C698" s="716"/>
      <c r="D698" s="716"/>
      <c r="E698" s="716"/>
      <c r="F698" s="716"/>
      <c r="G698" s="716"/>
      <c r="H698" s="716"/>
      <c r="I698" s="716"/>
      <c r="J698" s="716"/>
      <c r="K698" s="716"/>
      <c r="L698" s="716"/>
      <c r="M698" s="716"/>
      <c r="N698" s="716"/>
      <c r="O698" s="716"/>
      <c r="P698" s="716"/>
      <c r="Q698" s="716"/>
      <c r="R698" s="716"/>
      <c r="S698" s="716"/>
      <c r="T698" s="716"/>
      <c r="U698" s="716"/>
      <c r="V698" s="716"/>
      <c r="W698" s="716"/>
      <c r="X698" s="716"/>
      <c r="Y698" s="716"/>
      <c r="Z698" s="716"/>
    </row>
    <row r="699">
      <c r="A699" s="716"/>
      <c r="B699" s="717"/>
      <c r="C699" s="716"/>
      <c r="D699" s="716"/>
      <c r="E699" s="716"/>
      <c r="F699" s="716"/>
      <c r="G699" s="716"/>
      <c r="H699" s="716"/>
      <c r="I699" s="716"/>
      <c r="J699" s="716"/>
      <c r="K699" s="716"/>
      <c r="L699" s="716"/>
      <c r="M699" s="716"/>
      <c r="N699" s="716"/>
      <c r="O699" s="716"/>
      <c r="P699" s="716"/>
      <c r="Q699" s="716"/>
      <c r="R699" s="716"/>
      <c r="S699" s="716"/>
      <c r="T699" s="716"/>
      <c r="U699" s="716"/>
      <c r="V699" s="716"/>
      <c r="W699" s="716"/>
      <c r="X699" s="716"/>
      <c r="Y699" s="716"/>
      <c r="Z699" s="716"/>
    </row>
    <row r="700">
      <c r="A700" s="716"/>
      <c r="B700" s="717"/>
      <c r="C700" s="716"/>
      <c r="D700" s="716"/>
      <c r="E700" s="716"/>
      <c r="F700" s="716"/>
      <c r="G700" s="716"/>
      <c r="H700" s="716"/>
      <c r="I700" s="716"/>
      <c r="J700" s="716"/>
      <c r="K700" s="716"/>
      <c r="L700" s="716"/>
      <c r="M700" s="716"/>
      <c r="N700" s="716"/>
      <c r="O700" s="716"/>
      <c r="P700" s="716"/>
      <c r="Q700" s="716"/>
      <c r="R700" s="716"/>
      <c r="S700" s="716"/>
      <c r="T700" s="716"/>
      <c r="U700" s="716"/>
      <c r="V700" s="716"/>
      <c r="W700" s="716"/>
      <c r="X700" s="716"/>
      <c r="Y700" s="716"/>
      <c r="Z700" s="716"/>
    </row>
    <row r="701">
      <c r="A701" s="716"/>
      <c r="B701" s="717"/>
      <c r="C701" s="716"/>
      <c r="D701" s="716"/>
      <c r="E701" s="716"/>
      <c r="F701" s="716"/>
      <c r="G701" s="716"/>
      <c r="H701" s="716"/>
      <c r="I701" s="716"/>
      <c r="J701" s="716"/>
      <c r="K701" s="716"/>
      <c r="L701" s="716"/>
      <c r="M701" s="716"/>
      <c r="N701" s="716"/>
      <c r="O701" s="716"/>
      <c r="P701" s="716"/>
      <c r="Q701" s="716"/>
      <c r="R701" s="716"/>
      <c r="S701" s="716"/>
      <c r="T701" s="716"/>
      <c r="U701" s="716"/>
      <c r="V701" s="716"/>
      <c r="W701" s="716"/>
      <c r="X701" s="716"/>
      <c r="Y701" s="716"/>
      <c r="Z701" s="716"/>
    </row>
    <row r="702">
      <c r="A702" s="716"/>
      <c r="B702" s="717"/>
      <c r="C702" s="716"/>
      <c r="D702" s="716"/>
      <c r="E702" s="716"/>
      <c r="F702" s="716"/>
      <c r="G702" s="716"/>
      <c r="H702" s="716"/>
      <c r="I702" s="716"/>
      <c r="J702" s="716"/>
      <c r="K702" s="716"/>
      <c r="L702" s="716"/>
      <c r="M702" s="716"/>
      <c r="N702" s="716"/>
      <c r="O702" s="716"/>
      <c r="P702" s="716"/>
      <c r="Q702" s="716"/>
      <c r="R702" s="716"/>
      <c r="S702" s="716"/>
      <c r="T702" s="716"/>
      <c r="U702" s="716"/>
      <c r="V702" s="716"/>
      <c r="W702" s="716"/>
      <c r="X702" s="716"/>
      <c r="Y702" s="716"/>
      <c r="Z702" s="716"/>
    </row>
    <row r="703">
      <c r="A703" s="716"/>
      <c r="B703" s="717"/>
      <c r="C703" s="716"/>
      <c r="D703" s="716"/>
      <c r="E703" s="716"/>
      <c r="F703" s="716"/>
      <c r="G703" s="716"/>
      <c r="H703" s="716"/>
      <c r="I703" s="716"/>
      <c r="J703" s="716"/>
      <c r="K703" s="716"/>
      <c r="L703" s="716"/>
      <c r="M703" s="716"/>
      <c r="N703" s="716"/>
      <c r="O703" s="716"/>
      <c r="P703" s="716"/>
      <c r="Q703" s="716"/>
      <c r="R703" s="716"/>
      <c r="S703" s="716"/>
      <c r="T703" s="716"/>
      <c r="U703" s="716"/>
      <c r="V703" s="716"/>
      <c r="W703" s="716"/>
      <c r="X703" s="716"/>
      <c r="Y703" s="716"/>
      <c r="Z703" s="716"/>
    </row>
    <row r="704">
      <c r="A704" s="716"/>
      <c r="B704" s="717"/>
      <c r="C704" s="716"/>
      <c r="D704" s="716"/>
      <c r="E704" s="716"/>
      <c r="F704" s="716"/>
      <c r="G704" s="716"/>
      <c r="H704" s="716"/>
      <c r="I704" s="716"/>
      <c r="J704" s="716"/>
      <c r="K704" s="716"/>
      <c r="L704" s="716"/>
      <c r="M704" s="716"/>
      <c r="N704" s="716"/>
      <c r="O704" s="716"/>
      <c r="P704" s="716"/>
      <c r="Q704" s="716"/>
      <c r="R704" s="716"/>
      <c r="S704" s="716"/>
      <c r="T704" s="716"/>
      <c r="U704" s="716"/>
      <c r="V704" s="716"/>
      <c r="W704" s="716"/>
      <c r="X704" s="716"/>
      <c r="Y704" s="716"/>
      <c r="Z704" s="716"/>
    </row>
    <row r="705">
      <c r="A705" s="716"/>
      <c r="B705" s="717"/>
      <c r="C705" s="716"/>
      <c r="D705" s="716"/>
      <c r="E705" s="716"/>
      <c r="F705" s="716"/>
      <c r="G705" s="716"/>
      <c r="H705" s="716"/>
      <c r="I705" s="716"/>
      <c r="J705" s="716"/>
      <c r="K705" s="716"/>
      <c r="L705" s="716"/>
      <c r="M705" s="716"/>
      <c r="N705" s="716"/>
      <c r="O705" s="716"/>
      <c r="P705" s="716"/>
      <c r="Q705" s="716"/>
      <c r="R705" s="716"/>
      <c r="S705" s="716"/>
      <c r="T705" s="716"/>
      <c r="U705" s="716"/>
      <c r="V705" s="716"/>
      <c r="W705" s="716"/>
      <c r="X705" s="716"/>
      <c r="Y705" s="716"/>
      <c r="Z705" s="716"/>
    </row>
    <row r="706">
      <c r="A706" s="716"/>
      <c r="B706" s="717"/>
      <c r="C706" s="716"/>
      <c r="D706" s="716"/>
      <c r="E706" s="716"/>
      <c r="F706" s="716"/>
      <c r="G706" s="716"/>
      <c r="H706" s="716"/>
      <c r="I706" s="716"/>
      <c r="J706" s="716"/>
      <c r="K706" s="716"/>
      <c r="L706" s="716"/>
      <c r="M706" s="716"/>
      <c r="N706" s="716"/>
      <c r="O706" s="716"/>
      <c r="P706" s="716"/>
      <c r="Q706" s="716"/>
      <c r="R706" s="716"/>
      <c r="S706" s="716"/>
      <c r="T706" s="716"/>
      <c r="U706" s="716"/>
      <c r="V706" s="716"/>
      <c r="W706" s="716"/>
      <c r="X706" s="716"/>
      <c r="Y706" s="716"/>
      <c r="Z706" s="716"/>
    </row>
    <row r="707">
      <c r="A707" s="716"/>
      <c r="B707" s="717"/>
      <c r="C707" s="716"/>
      <c r="D707" s="716"/>
      <c r="E707" s="716"/>
      <c r="F707" s="716"/>
      <c r="G707" s="716"/>
      <c r="H707" s="716"/>
      <c r="I707" s="716"/>
      <c r="J707" s="716"/>
      <c r="K707" s="716"/>
      <c r="L707" s="716"/>
      <c r="M707" s="716"/>
      <c r="N707" s="716"/>
      <c r="O707" s="716"/>
      <c r="P707" s="716"/>
      <c r="Q707" s="716"/>
      <c r="R707" s="716"/>
      <c r="S707" s="716"/>
      <c r="T707" s="716"/>
      <c r="U707" s="716"/>
      <c r="V707" s="716"/>
      <c r="W707" s="716"/>
      <c r="X707" s="716"/>
      <c r="Y707" s="716"/>
      <c r="Z707" s="716"/>
    </row>
    <row r="708">
      <c r="A708" s="716"/>
      <c r="B708" s="717"/>
      <c r="C708" s="716"/>
      <c r="D708" s="716"/>
      <c r="E708" s="716"/>
      <c r="F708" s="716"/>
      <c r="G708" s="716"/>
      <c r="H708" s="716"/>
      <c r="I708" s="716"/>
      <c r="J708" s="716"/>
      <c r="K708" s="716"/>
      <c r="L708" s="716"/>
      <c r="M708" s="716"/>
      <c r="N708" s="716"/>
      <c r="O708" s="716"/>
      <c r="P708" s="716"/>
      <c r="Q708" s="716"/>
      <c r="R708" s="716"/>
      <c r="S708" s="716"/>
      <c r="T708" s="716"/>
      <c r="U708" s="716"/>
      <c r="V708" s="716"/>
      <c r="W708" s="716"/>
      <c r="X708" s="716"/>
      <c r="Y708" s="716"/>
      <c r="Z708" s="716"/>
    </row>
    <row r="709">
      <c r="A709" s="716"/>
      <c r="B709" s="717"/>
      <c r="C709" s="716"/>
      <c r="D709" s="716"/>
      <c r="E709" s="716"/>
      <c r="F709" s="716"/>
      <c r="G709" s="716"/>
      <c r="H709" s="716"/>
      <c r="I709" s="716"/>
      <c r="J709" s="716"/>
      <c r="K709" s="716"/>
      <c r="L709" s="716"/>
      <c r="M709" s="716"/>
      <c r="N709" s="716"/>
      <c r="O709" s="716"/>
      <c r="P709" s="716"/>
      <c r="Q709" s="716"/>
      <c r="R709" s="716"/>
      <c r="S709" s="716"/>
      <c r="T709" s="716"/>
      <c r="U709" s="716"/>
      <c r="V709" s="716"/>
      <c r="W709" s="716"/>
      <c r="X709" s="716"/>
      <c r="Y709" s="716"/>
      <c r="Z709" s="716"/>
    </row>
    <row r="710">
      <c r="A710" s="716"/>
      <c r="B710" s="717"/>
      <c r="C710" s="716"/>
      <c r="D710" s="716"/>
      <c r="E710" s="716"/>
      <c r="F710" s="716"/>
      <c r="G710" s="716"/>
      <c r="H710" s="716"/>
      <c r="I710" s="716"/>
      <c r="J710" s="716"/>
      <c r="K710" s="716"/>
      <c r="L710" s="716"/>
      <c r="M710" s="716"/>
      <c r="N710" s="716"/>
      <c r="O710" s="716"/>
      <c r="P710" s="716"/>
      <c r="Q710" s="716"/>
      <c r="R710" s="716"/>
      <c r="S710" s="716"/>
      <c r="T710" s="716"/>
      <c r="U710" s="716"/>
      <c r="V710" s="716"/>
      <c r="W710" s="716"/>
      <c r="X710" s="716"/>
      <c r="Y710" s="716"/>
      <c r="Z710" s="716"/>
    </row>
    <row r="711">
      <c r="A711" s="716"/>
      <c r="B711" s="717"/>
      <c r="C711" s="716"/>
      <c r="D711" s="716"/>
      <c r="E711" s="716"/>
      <c r="F711" s="716"/>
      <c r="G711" s="716"/>
      <c r="H711" s="716"/>
      <c r="I711" s="716"/>
      <c r="J711" s="716"/>
      <c r="K711" s="716"/>
      <c r="L711" s="716"/>
      <c r="M711" s="716"/>
      <c r="N711" s="716"/>
      <c r="O711" s="716"/>
      <c r="P711" s="716"/>
      <c r="Q711" s="716"/>
      <c r="R711" s="716"/>
      <c r="S711" s="716"/>
      <c r="T711" s="716"/>
      <c r="U711" s="716"/>
      <c r="V711" s="716"/>
      <c r="W711" s="716"/>
      <c r="X711" s="716"/>
      <c r="Y711" s="716"/>
      <c r="Z711" s="716"/>
    </row>
    <row r="712">
      <c r="A712" s="716"/>
      <c r="B712" s="717"/>
      <c r="C712" s="716"/>
      <c r="D712" s="716"/>
      <c r="E712" s="716"/>
      <c r="F712" s="716"/>
      <c r="G712" s="716"/>
      <c r="H712" s="716"/>
      <c r="I712" s="716"/>
      <c r="J712" s="716"/>
      <c r="K712" s="716"/>
      <c r="L712" s="716"/>
      <c r="M712" s="716"/>
      <c r="N712" s="716"/>
      <c r="O712" s="716"/>
      <c r="P712" s="716"/>
      <c r="Q712" s="716"/>
      <c r="R712" s="716"/>
      <c r="S712" s="716"/>
      <c r="T712" s="716"/>
      <c r="U712" s="716"/>
      <c r="V712" s="716"/>
      <c r="W712" s="716"/>
      <c r="X712" s="716"/>
      <c r="Y712" s="716"/>
      <c r="Z712" s="716"/>
    </row>
    <row r="713">
      <c r="A713" s="716"/>
      <c r="B713" s="717"/>
      <c r="C713" s="716"/>
      <c r="D713" s="716"/>
      <c r="E713" s="716"/>
      <c r="F713" s="716"/>
      <c r="G713" s="716"/>
      <c r="H713" s="716"/>
      <c r="I713" s="716"/>
      <c r="J713" s="716"/>
      <c r="K713" s="716"/>
      <c r="L713" s="716"/>
      <c r="M713" s="716"/>
      <c r="N713" s="716"/>
      <c r="O713" s="716"/>
      <c r="P713" s="716"/>
      <c r="Q713" s="716"/>
      <c r="R713" s="716"/>
      <c r="S713" s="716"/>
      <c r="T713" s="716"/>
      <c r="U713" s="716"/>
      <c r="V713" s="716"/>
      <c r="W713" s="716"/>
      <c r="X713" s="716"/>
      <c r="Y713" s="716"/>
      <c r="Z713" s="716"/>
    </row>
    <row r="714">
      <c r="A714" s="716"/>
      <c r="B714" s="717"/>
      <c r="C714" s="716"/>
      <c r="D714" s="716"/>
      <c r="E714" s="716"/>
      <c r="F714" s="716"/>
      <c r="G714" s="716"/>
      <c r="H714" s="716"/>
      <c r="I714" s="716"/>
      <c r="J714" s="716"/>
      <c r="K714" s="716"/>
      <c r="L714" s="716"/>
      <c r="M714" s="716"/>
      <c r="N714" s="716"/>
      <c r="O714" s="716"/>
      <c r="P714" s="716"/>
      <c r="Q714" s="716"/>
      <c r="R714" s="716"/>
      <c r="S714" s="716"/>
      <c r="T714" s="716"/>
      <c r="U714" s="716"/>
      <c r="V714" s="716"/>
      <c r="W714" s="716"/>
      <c r="X714" s="716"/>
      <c r="Y714" s="716"/>
      <c r="Z714" s="716"/>
    </row>
    <row r="715">
      <c r="A715" s="716"/>
      <c r="B715" s="717"/>
      <c r="C715" s="716"/>
      <c r="D715" s="716"/>
      <c r="E715" s="716"/>
      <c r="F715" s="716"/>
      <c r="G715" s="716"/>
      <c r="H715" s="716"/>
      <c r="I715" s="716"/>
      <c r="J715" s="716"/>
      <c r="K715" s="716"/>
      <c r="L715" s="716"/>
      <c r="M715" s="716"/>
      <c r="N715" s="716"/>
      <c r="O715" s="716"/>
      <c r="P715" s="716"/>
      <c r="Q715" s="716"/>
      <c r="R715" s="716"/>
      <c r="S715" s="716"/>
      <c r="T715" s="716"/>
      <c r="U715" s="716"/>
      <c r="V715" s="716"/>
      <c r="W715" s="716"/>
      <c r="X715" s="716"/>
      <c r="Y715" s="716"/>
      <c r="Z715" s="716"/>
    </row>
    <row r="716">
      <c r="A716" s="716"/>
      <c r="B716" s="717"/>
      <c r="C716" s="716"/>
      <c r="D716" s="716"/>
      <c r="E716" s="716"/>
      <c r="F716" s="716"/>
      <c r="G716" s="716"/>
      <c r="H716" s="716"/>
      <c r="I716" s="716"/>
      <c r="J716" s="716"/>
      <c r="K716" s="716"/>
      <c r="L716" s="716"/>
      <c r="M716" s="716"/>
      <c r="N716" s="716"/>
      <c r="O716" s="716"/>
      <c r="P716" s="716"/>
      <c r="Q716" s="716"/>
      <c r="R716" s="716"/>
      <c r="S716" s="716"/>
      <c r="T716" s="716"/>
      <c r="U716" s="716"/>
      <c r="V716" s="716"/>
      <c r="W716" s="716"/>
      <c r="X716" s="716"/>
      <c r="Y716" s="716"/>
      <c r="Z716" s="716"/>
    </row>
    <row r="717">
      <c r="A717" s="716"/>
      <c r="B717" s="717"/>
      <c r="C717" s="716"/>
      <c r="D717" s="716"/>
      <c r="E717" s="716"/>
      <c r="F717" s="716"/>
      <c r="G717" s="716"/>
      <c r="H717" s="716"/>
      <c r="I717" s="716"/>
      <c r="J717" s="716"/>
      <c r="K717" s="716"/>
      <c r="L717" s="716"/>
      <c r="M717" s="716"/>
      <c r="N717" s="716"/>
      <c r="O717" s="716"/>
      <c r="P717" s="716"/>
      <c r="Q717" s="716"/>
      <c r="R717" s="716"/>
      <c r="S717" s="716"/>
      <c r="T717" s="716"/>
      <c r="U717" s="716"/>
      <c r="V717" s="716"/>
      <c r="W717" s="716"/>
      <c r="X717" s="716"/>
      <c r="Y717" s="716"/>
      <c r="Z717" s="716"/>
    </row>
    <row r="718">
      <c r="A718" s="716"/>
      <c r="B718" s="717"/>
      <c r="C718" s="716"/>
      <c r="D718" s="716"/>
      <c r="E718" s="716"/>
      <c r="F718" s="716"/>
      <c r="G718" s="716"/>
      <c r="H718" s="716"/>
      <c r="I718" s="716"/>
      <c r="J718" s="716"/>
      <c r="K718" s="716"/>
      <c r="L718" s="716"/>
      <c r="M718" s="716"/>
      <c r="N718" s="716"/>
      <c r="O718" s="716"/>
      <c r="P718" s="716"/>
      <c r="Q718" s="716"/>
      <c r="R718" s="716"/>
      <c r="S718" s="716"/>
      <c r="T718" s="716"/>
      <c r="U718" s="716"/>
      <c r="V718" s="716"/>
      <c r="W718" s="716"/>
      <c r="X718" s="716"/>
      <c r="Y718" s="716"/>
      <c r="Z718" s="716"/>
    </row>
    <row r="719">
      <c r="A719" s="716"/>
      <c r="B719" s="717"/>
      <c r="C719" s="716"/>
      <c r="D719" s="716"/>
      <c r="E719" s="716"/>
      <c r="F719" s="716"/>
      <c r="G719" s="716"/>
      <c r="H719" s="716"/>
      <c r="I719" s="716"/>
      <c r="J719" s="716"/>
      <c r="K719" s="716"/>
      <c r="L719" s="716"/>
      <c r="M719" s="716"/>
      <c r="N719" s="716"/>
      <c r="O719" s="716"/>
      <c r="P719" s="716"/>
      <c r="Q719" s="716"/>
      <c r="R719" s="716"/>
      <c r="S719" s="716"/>
      <c r="T719" s="716"/>
      <c r="U719" s="716"/>
      <c r="V719" s="716"/>
      <c r="W719" s="716"/>
      <c r="X719" s="716"/>
      <c r="Y719" s="716"/>
      <c r="Z719" s="716"/>
    </row>
    <row r="720">
      <c r="A720" s="716"/>
      <c r="B720" s="717"/>
      <c r="C720" s="716"/>
      <c r="D720" s="716"/>
      <c r="E720" s="716"/>
      <c r="F720" s="716"/>
      <c r="G720" s="716"/>
      <c r="H720" s="716"/>
      <c r="I720" s="716"/>
      <c r="J720" s="716"/>
      <c r="K720" s="716"/>
      <c r="L720" s="716"/>
      <c r="M720" s="716"/>
      <c r="N720" s="716"/>
      <c r="O720" s="716"/>
      <c r="P720" s="716"/>
      <c r="Q720" s="716"/>
      <c r="R720" s="716"/>
      <c r="S720" s="716"/>
      <c r="T720" s="716"/>
      <c r="U720" s="716"/>
      <c r="V720" s="716"/>
      <c r="W720" s="716"/>
      <c r="X720" s="716"/>
      <c r="Y720" s="716"/>
      <c r="Z720" s="716"/>
    </row>
    <row r="721">
      <c r="A721" s="716"/>
      <c r="B721" s="717"/>
      <c r="C721" s="716"/>
      <c r="D721" s="716"/>
      <c r="E721" s="716"/>
      <c r="F721" s="716"/>
      <c r="G721" s="716"/>
      <c r="H721" s="716"/>
      <c r="I721" s="716"/>
      <c r="J721" s="716"/>
      <c r="K721" s="716"/>
      <c r="L721" s="716"/>
      <c r="M721" s="716"/>
      <c r="N721" s="716"/>
      <c r="O721" s="716"/>
      <c r="P721" s="716"/>
      <c r="Q721" s="716"/>
      <c r="R721" s="716"/>
      <c r="S721" s="716"/>
      <c r="T721" s="716"/>
      <c r="U721" s="716"/>
      <c r="V721" s="716"/>
      <c r="W721" s="716"/>
      <c r="X721" s="716"/>
      <c r="Y721" s="716"/>
      <c r="Z721" s="716"/>
    </row>
    <row r="722">
      <c r="A722" s="716"/>
      <c r="B722" s="717"/>
      <c r="C722" s="716"/>
      <c r="D722" s="716"/>
      <c r="E722" s="716"/>
      <c r="F722" s="716"/>
      <c r="G722" s="716"/>
      <c r="H722" s="716"/>
      <c r="I722" s="716"/>
      <c r="J722" s="716"/>
      <c r="K722" s="716"/>
      <c r="L722" s="716"/>
      <c r="M722" s="716"/>
      <c r="N722" s="716"/>
      <c r="O722" s="716"/>
      <c r="P722" s="716"/>
      <c r="Q722" s="716"/>
      <c r="R722" s="716"/>
      <c r="S722" s="716"/>
      <c r="T722" s="716"/>
      <c r="U722" s="716"/>
      <c r="V722" s="716"/>
      <c r="W722" s="716"/>
      <c r="X722" s="716"/>
      <c r="Y722" s="716"/>
      <c r="Z722" s="716"/>
    </row>
    <row r="723">
      <c r="A723" s="716"/>
      <c r="B723" s="717"/>
      <c r="C723" s="716"/>
      <c r="D723" s="716"/>
      <c r="E723" s="716"/>
      <c r="F723" s="716"/>
      <c r="G723" s="716"/>
      <c r="H723" s="716"/>
      <c r="I723" s="716"/>
      <c r="J723" s="716"/>
      <c r="K723" s="716"/>
      <c r="L723" s="716"/>
      <c r="M723" s="716"/>
      <c r="N723" s="716"/>
      <c r="O723" s="716"/>
      <c r="P723" s="716"/>
      <c r="Q723" s="716"/>
      <c r="R723" s="716"/>
      <c r="S723" s="716"/>
      <c r="T723" s="716"/>
      <c r="U723" s="716"/>
      <c r="V723" s="716"/>
      <c r="W723" s="716"/>
      <c r="X723" s="716"/>
      <c r="Y723" s="716"/>
      <c r="Z723" s="716"/>
    </row>
    <row r="724">
      <c r="A724" s="716"/>
      <c r="B724" s="717"/>
      <c r="C724" s="716"/>
      <c r="D724" s="716"/>
      <c r="E724" s="716"/>
      <c r="F724" s="716"/>
      <c r="G724" s="716"/>
      <c r="H724" s="716"/>
      <c r="I724" s="716"/>
      <c r="J724" s="716"/>
      <c r="K724" s="716"/>
      <c r="L724" s="716"/>
      <c r="M724" s="716"/>
      <c r="N724" s="716"/>
      <c r="O724" s="716"/>
      <c r="P724" s="716"/>
      <c r="Q724" s="716"/>
      <c r="R724" s="716"/>
      <c r="S724" s="716"/>
      <c r="T724" s="716"/>
      <c r="U724" s="716"/>
      <c r="V724" s="716"/>
      <c r="W724" s="716"/>
      <c r="X724" s="716"/>
      <c r="Y724" s="716"/>
      <c r="Z724" s="716"/>
    </row>
    <row r="725">
      <c r="A725" s="716"/>
      <c r="B725" s="717"/>
      <c r="C725" s="716"/>
      <c r="D725" s="716"/>
      <c r="E725" s="716"/>
      <c r="F725" s="716"/>
      <c r="G725" s="716"/>
      <c r="H725" s="716"/>
      <c r="I725" s="716"/>
      <c r="J725" s="716"/>
      <c r="K725" s="716"/>
      <c r="L725" s="716"/>
      <c r="M725" s="716"/>
      <c r="N725" s="716"/>
      <c r="O725" s="716"/>
      <c r="P725" s="716"/>
      <c r="Q725" s="716"/>
      <c r="R725" s="716"/>
      <c r="S725" s="716"/>
      <c r="T725" s="716"/>
      <c r="U725" s="716"/>
      <c r="V725" s="716"/>
      <c r="W725" s="716"/>
      <c r="X725" s="716"/>
      <c r="Y725" s="716"/>
      <c r="Z725" s="716"/>
    </row>
    <row r="726">
      <c r="A726" s="716"/>
      <c r="B726" s="717"/>
      <c r="C726" s="716"/>
      <c r="D726" s="716"/>
      <c r="E726" s="716"/>
      <c r="F726" s="716"/>
      <c r="G726" s="716"/>
      <c r="H726" s="716"/>
      <c r="I726" s="716"/>
      <c r="J726" s="716"/>
      <c r="K726" s="716"/>
      <c r="L726" s="716"/>
      <c r="M726" s="716"/>
      <c r="N726" s="716"/>
      <c r="O726" s="716"/>
      <c r="P726" s="716"/>
      <c r="Q726" s="716"/>
      <c r="R726" s="716"/>
      <c r="S726" s="716"/>
      <c r="T726" s="716"/>
      <c r="U726" s="716"/>
      <c r="V726" s="716"/>
      <c r="W726" s="716"/>
      <c r="X726" s="716"/>
      <c r="Y726" s="716"/>
      <c r="Z726" s="716"/>
    </row>
    <row r="727">
      <c r="A727" s="716"/>
      <c r="B727" s="717"/>
      <c r="C727" s="716"/>
      <c r="D727" s="716"/>
      <c r="E727" s="716"/>
      <c r="F727" s="716"/>
      <c r="G727" s="716"/>
      <c r="H727" s="716"/>
      <c r="I727" s="716"/>
      <c r="J727" s="716"/>
      <c r="K727" s="716"/>
      <c r="L727" s="716"/>
      <c r="M727" s="716"/>
      <c r="N727" s="716"/>
      <c r="O727" s="716"/>
      <c r="P727" s="716"/>
      <c r="Q727" s="716"/>
      <c r="R727" s="716"/>
      <c r="S727" s="716"/>
      <c r="T727" s="716"/>
      <c r="U727" s="716"/>
      <c r="V727" s="716"/>
      <c r="W727" s="716"/>
      <c r="X727" s="716"/>
      <c r="Y727" s="716"/>
      <c r="Z727" s="716"/>
    </row>
    <row r="728">
      <c r="A728" s="716"/>
      <c r="B728" s="717"/>
      <c r="C728" s="716"/>
      <c r="D728" s="716"/>
      <c r="E728" s="716"/>
      <c r="F728" s="716"/>
      <c r="G728" s="716"/>
      <c r="H728" s="716"/>
      <c r="I728" s="716"/>
      <c r="J728" s="716"/>
      <c r="K728" s="716"/>
      <c r="L728" s="716"/>
      <c r="M728" s="716"/>
      <c r="N728" s="716"/>
      <c r="O728" s="716"/>
      <c r="P728" s="716"/>
      <c r="Q728" s="716"/>
      <c r="R728" s="716"/>
      <c r="S728" s="716"/>
      <c r="T728" s="716"/>
      <c r="U728" s="716"/>
      <c r="V728" s="716"/>
      <c r="W728" s="716"/>
      <c r="X728" s="716"/>
      <c r="Y728" s="716"/>
      <c r="Z728" s="716"/>
    </row>
    <row r="729">
      <c r="A729" s="716"/>
      <c r="B729" s="717"/>
      <c r="C729" s="716"/>
      <c r="D729" s="716"/>
      <c r="E729" s="716"/>
      <c r="F729" s="716"/>
      <c r="G729" s="716"/>
      <c r="H729" s="716"/>
      <c r="I729" s="716"/>
      <c r="J729" s="716"/>
      <c r="K729" s="716"/>
      <c r="L729" s="716"/>
      <c r="M729" s="716"/>
      <c r="N729" s="716"/>
      <c r="O729" s="716"/>
      <c r="P729" s="716"/>
      <c r="Q729" s="716"/>
      <c r="R729" s="716"/>
      <c r="S729" s="716"/>
      <c r="T729" s="716"/>
      <c r="U729" s="716"/>
      <c r="V729" s="716"/>
      <c r="W729" s="716"/>
      <c r="X729" s="716"/>
      <c r="Y729" s="716"/>
      <c r="Z729" s="716"/>
    </row>
    <row r="730">
      <c r="A730" s="716"/>
      <c r="B730" s="717"/>
      <c r="C730" s="716"/>
      <c r="D730" s="716"/>
      <c r="E730" s="716"/>
      <c r="F730" s="716"/>
      <c r="G730" s="716"/>
      <c r="H730" s="716"/>
      <c r="I730" s="716"/>
      <c r="J730" s="716"/>
      <c r="K730" s="716"/>
      <c r="L730" s="716"/>
      <c r="M730" s="716"/>
      <c r="N730" s="716"/>
      <c r="O730" s="716"/>
      <c r="P730" s="716"/>
      <c r="Q730" s="716"/>
      <c r="R730" s="716"/>
      <c r="S730" s="716"/>
      <c r="T730" s="716"/>
      <c r="U730" s="716"/>
      <c r="V730" s="716"/>
      <c r="W730" s="716"/>
      <c r="X730" s="716"/>
      <c r="Y730" s="716"/>
      <c r="Z730" s="716"/>
    </row>
    <row r="731">
      <c r="A731" s="716"/>
      <c r="B731" s="717"/>
      <c r="C731" s="716"/>
      <c r="D731" s="716"/>
      <c r="E731" s="716"/>
      <c r="F731" s="716"/>
      <c r="G731" s="716"/>
      <c r="H731" s="716"/>
      <c r="I731" s="716"/>
      <c r="J731" s="716"/>
      <c r="K731" s="716"/>
      <c r="L731" s="716"/>
      <c r="M731" s="716"/>
      <c r="N731" s="716"/>
      <c r="O731" s="716"/>
      <c r="P731" s="716"/>
      <c r="Q731" s="716"/>
      <c r="R731" s="716"/>
      <c r="S731" s="716"/>
      <c r="T731" s="716"/>
      <c r="U731" s="716"/>
      <c r="V731" s="716"/>
      <c r="W731" s="716"/>
      <c r="X731" s="716"/>
      <c r="Y731" s="716"/>
      <c r="Z731" s="716"/>
    </row>
    <row r="732">
      <c r="A732" s="716"/>
      <c r="B732" s="717"/>
      <c r="C732" s="716"/>
      <c r="D732" s="716"/>
      <c r="E732" s="716"/>
      <c r="F732" s="716"/>
      <c r="G732" s="716"/>
      <c r="H732" s="716"/>
      <c r="I732" s="716"/>
      <c r="J732" s="716"/>
      <c r="K732" s="716"/>
      <c r="L732" s="716"/>
      <c r="M732" s="716"/>
      <c r="N732" s="716"/>
      <c r="O732" s="716"/>
      <c r="P732" s="716"/>
      <c r="Q732" s="716"/>
      <c r="R732" s="716"/>
      <c r="S732" s="716"/>
      <c r="T732" s="716"/>
      <c r="U732" s="716"/>
      <c r="V732" s="716"/>
      <c r="W732" s="716"/>
      <c r="X732" s="716"/>
      <c r="Y732" s="716"/>
      <c r="Z732" s="716"/>
    </row>
    <row r="733">
      <c r="A733" s="716"/>
      <c r="B733" s="717"/>
      <c r="C733" s="716"/>
      <c r="D733" s="716"/>
      <c r="E733" s="716"/>
      <c r="F733" s="716"/>
      <c r="G733" s="716"/>
      <c r="H733" s="716"/>
      <c r="I733" s="716"/>
      <c r="J733" s="716"/>
      <c r="K733" s="716"/>
      <c r="L733" s="716"/>
      <c r="M733" s="716"/>
      <c r="N733" s="716"/>
      <c r="O733" s="716"/>
      <c r="P733" s="716"/>
      <c r="Q733" s="716"/>
      <c r="R733" s="716"/>
      <c r="S733" s="716"/>
      <c r="T733" s="716"/>
      <c r="U733" s="716"/>
      <c r="V733" s="716"/>
      <c r="W733" s="716"/>
      <c r="X733" s="716"/>
      <c r="Y733" s="716"/>
      <c r="Z733" s="716"/>
    </row>
    <row r="734">
      <c r="A734" s="716"/>
      <c r="B734" s="717"/>
      <c r="C734" s="716"/>
      <c r="D734" s="716"/>
      <c r="E734" s="716"/>
      <c r="F734" s="716"/>
      <c r="G734" s="716"/>
      <c r="H734" s="716"/>
      <c r="I734" s="716"/>
      <c r="J734" s="716"/>
      <c r="K734" s="716"/>
      <c r="L734" s="716"/>
      <c r="M734" s="716"/>
      <c r="N734" s="716"/>
      <c r="O734" s="716"/>
      <c r="P734" s="716"/>
      <c r="Q734" s="716"/>
      <c r="R734" s="716"/>
      <c r="S734" s="716"/>
      <c r="T734" s="716"/>
      <c r="U734" s="716"/>
      <c r="V734" s="716"/>
      <c r="W734" s="716"/>
      <c r="X734" s="716"/>
      <c r="Y734" s="716"/>
      <c r="Z734" s="716"/>
    </row>
    <row r="735">
      <c r="A735" s="716"/>
      <c r="B735" s="717"/>
      <c r="C735" s="716"/>
      <c r="D735" s="716"/>
      <c r="E735" s="716"/>
      <c r="F735" s="716"/>
      <c r="G735" s="716"/>
      <c r="H735" s="716"/>
      <c r="I735" s="716"/>
      <c r="J735" s="716"/>
      <c r="K735" s="716"/>
      <c r="L735" s="716"/>
      <c r="M735" s="716"/>
      <c r="N735" s="716"/>
      <c r="O735" s="716"/>
      <c r="P735" s="716"/>
      <c r="Q735" s="716"/>
      <c r="R735" s="716"/>
      <c r="S735" s="716"/>
      <c r="T735" s="716"/>
      <c r="U735" s="716"/>
      <c r="V735" s="716"/>
      <c r="W735" s="716"/>
      <c r="X735" s="716"/>
      <c r="Y735" s="716"/>
      <c r="Z735" s="716"/>
    </row>
    <row r="736">
      <c r="A736" s="716"/>
      <c r="B736" s="717"/>
      <c r="C736" s="716"/>
      <c r="D736" s="716"/>
      <c r="E736" s="716"/>
      <c r="F736" s="716"/>
      <c r="G736" s="716"/>
      <c r="H736" s="716"/>
      <c r="I736" s="716"/>
      <c r="J736" s="716"/>
      <c r="K736" s="716"/>
      <c r="L736" s="716"/>
      <c r="M736" s="716"/>
      <c r="N736" s="716"/>
      <c r="O736" s="716"/>
      <c r="P736" s="716"/>
      <c r="Q736" s="716"/>
      <c r="R736" s="716"/>
      <c r="S736" s="716"/>
      <c r="T736" s="716"/>
      <c r="U736" s="716"/>
      <c r="V736" s="716"/>
      <c r="W736" s="716"/>
      <c r="X736" s="716"/>
      <c r="Y736" s="716"/>
      <c r="Z736" s="716"/>
    </row>
    <row r="737">
      <c r="A737" s="716"/>
      <c r="B737" s="717"/>
      <c r="C737" s="716"/>
      <c r="D737" s="716"/>
      <c r="E737" s="716"/>
      <c r="F737" s="716"/>
      <c r="G737" s="716"/>
      <c r="H737" s="716"/>
      <c r="I737" s="716"/>
      <c r="J737" s="716"/>
      <c r="K737" s="716"/>
      <c r="L737" s="716"/>
      <c r="M737" s="716"/>
      <c r="N737" s="716"/>
      <c r="O737" s="716"/>
      <c r="P737" s="716"/>
      <c r="Q737" s="716"/>
      <c r="R737" s="716"/>
      <c r="S737" s="716"/>
      <c r="T737" s="716"/>
      <c r="U737" s="716"/>
      <c r="V737" s="716"/>
      <c r="W737" s="716"/>
      <c r="X737" s="716"/>
      <c r="Y737" s="716"/>
      <c r="Z737" s="716"/>
    </row>
    <row r="738">
      <c r="A738" s="716"/>
      <c r="B738" s="717"/>
      <c r="C738" s="716"/>
      <c r="D738" s="716"/>
      <c r="E738" s="716"/>
      <c r="F738" s="716"/>
      <c r="G738" s="716"/>
      <c r="H738" s="716"/>
      <c r="I738" s="716"/>
      <c r="J738" s="716"/>
      <c r="K738" s="716"/>
      <c r="L738" s="716"/>
      <c r="M738" s="716"/>
      <c r="N738" s="716"/>
      <c r="O738" s="716"/>
      <c r="P738" s="716"/>
      <c r="Q738" s="716"/>
      <c r="R738" s="716"/>
      <c r="S738" s="716"/>
      <c r="T738" s="716"/>
      <c r="U738" s="716"/>
      <c r="V738" s="716"/>
      <c r="W738" s="716"/>
      <c r="X738" s="716"/>
      <c r="Y738" s="716"/>
      <c r="Z738" s="716"/>
    </row>
    <row r="739">
      <c r="A739" s="716"/>
      <c r="B739" s="717"/>
      <c r="C739" s="716"/>
      <c r="D739" s="716"/>
      <c r="E739" s="716"/>
      <c r="F739" s="716"/>
      <c r="G739" s="716"/>
      <c r="H739" s="716"/>
      <c r="I739" s="716"/>
      <c r="J739" s="716"/>
      <c r="K739" s="716"/>
      <c r="L739" s="716"/>
      <c r="M739" s="716"/>
      <c r="N739" s="716"/>
      <c r="O739" s="716"/>
      <c r="P739" s="716"/>
      <c r="Q739" s="716"/>
      <c r="R739" s="716"/>
      <c r="S739" s="716"/>
      <c r="T739" s="716"/>
      <c r="U739" s="716"/>
      <c r="V739" s="716"/>
      <c r="W739" s="716"/>
      <c r="X739" s="716"/>
      <c r="Y739" s="716"/>
      <c r="Z739" s="716"/>
    </row>
    <row r="740">
      <c r="A740" s="716"/>
      <c r="B740" s="717"/>
      <c r="C740" s="716"/>
      <c r="D740" s="716"/>
      <c r="E740" s="716"/>
      <c r="F740" s="716"/>
      <c r="G740" s="716"/>
      <c r="H740" s="716"/>
      <c r="I740" s="716"/>
      <c r="J740" s="716"/>
      <c r="K740" s="716"/>
      <c r="L740" s="716"/>
      <c r="M740" s="716"/>
      <c r="N740" s="716"/>
      <c r="O740" s="716"/>
      <c r="P740" s="716"/>
      <c r="Q740" s="716"/>
      <c r="R740" s="716"/>
      <c r="S740" s="716"/>
      <c r="T740" s="716"/>
      <c r="U740" s="716"/>
      <c r="V740" s="716"/>
      <c r="W740" s="716"/>
      <c r="X740" s="716"/>
      <c r="Y740" s="716"/>
      <c r="Z740" s="716"/>
    </row>
    <row r="741">
      <c r="A741" s="716"/>
      <c r="B741" s="717"/>
      <c r="C741" s="716"/>
      <c r="D741" s="716"/>
      <c r="E741" s="716"/>
      <c r="F741" s="716"/>
      <c r="G741" s="716"/>
      <c r="H741" s="716"/>
      <c r="I741" s="716"/>
      <c r="J741" s="716"/>
      <c r="K741" s="716"/>
      <c r="L741" s="716"/>
      <c r="M741" s="716"/>
      <c r="N741" s="716"/>
      <c r="O741" s="716"/>
      <c r="P741" s="716"/>
      <c r="Q741" s="716"/>
      <c r="R741" s="716"/>
      <c r="S741" s="716"/>
      <c r="T741" s="716"/>
      <c r="U741" s="716"/>
      <c r="V741" s="716"/>
      <c r="W741" s="716"/>
      <c r="X741" s="716"/>
      <c r="Y741" s="716"/>
      <c r="Z741" s="716"/>
    </row>
    <row r="742">
      <c r="A742" s="716"/>
      <c r="B742" s="717"/>
      <c r="C742" s="716"/>
      <c r="D742" s="716"/>
      <c r="E742" s="716"/>
      <c r="F742" s="716"/>
      <c r="G742" s="716"/>
      <c r="H742" s="716"/>
      <c r="I742" s="716"/>
      <c r="J742" s="716"/>
      <c r="K742" s="716"/>
      <c r="L742" s="716"/>
      <c r="M742" s="716"/>
      <c r="N742" s="716"/>
      <c r="O742" s="716"/>
      <c r="P742" s="716"/>
      <c r="Q742" s="716"/>
      <c r="R742" s="716"/>
      <c r="S742" s="716"/>
      <c r="T742" s="716"/>
      <c r="U742" s="716"/>
      <c r="V742" s="716"/>
      <c r="W742" s="716"/>
      <c r="X742" s="716"/>
      <c r="Y742" s="716"/>
      <c r="Z742" s="716"/>
    </row>
    <row r="743">
      <c r="A743" s="716"/>
      <c r="B743" s="717"/>
      <c r="C743" s="716"/>
      <c r="D743" s="716"/>
      <c r="E743" s="716"/>
      <c r="F743" s="716"/>
      <c r="G743" s="716"/>
      <c r="H743" s="716"/>
      <c r="I743" s="716"/>
      <c r="J743" s="716"/>
      <c r="K743" s="716"/>
      <c r="L743" s="716"/>
      <c r="M743" s="716"/>
      <c r="N743" s="716"/>
      <c r="O743" s="716"/>
      <c r="P743" s="716"/>
      <c r="Q743" s="716"/>
      <c r="R743" s="716"/>
      <c r="S743" s="716"/>
      <c r="T743" s="716"/>
      <c r="U743" s="716"/>
      <c r="V743" s="716"/>
      <c r="W743" s="716"/>
      <c r="X743" s="716"/>
      <c r="Y743" s="716"/>
      <c r="Z743" s="716"/>
    </row>
    <row r="744">
      <c r="A744" s="716"/>
      <c r="B744" s="717"/>
      <c r="C744" s="716"/>
      <c r="D744" s="716"/>
      <c r="E744" s="716"/>
      <c r="F744" s="716"/>
      <c r="G744" s="716"/>
      <c r="H744" s="716"/>
      <c r="I744" s="716"/>
      <c r="J744" s="716"/>
      <c r="K744" s="716"/>
      <c r="L744" s="716"/>
      <c r="M744" s="716"/>
      <c r="N744" s="716"/>
      <c r="O744" s="716"/>
      <c r="P744" s="716"/>
      <c r="Q744" s="716"/>
      <c r="R744" s="716"/>
      <c r="S744" s="716"/>
      <c r="T744" s="716"/>
      <c r="U744" s="716"/>
      <c r="V744" s="716"/>
      <c r="W744" s="716"/>
      <c r="X744" s="716"/>
      <c r="Y744" s="716"/>
      <c r="Z744" s="716"/>
    </row>
    <row r="745">
      <c r="A745" s="716"/>
      <c r="B745" s="717"/>
      <c r="C745" s="716"/>
      <c r="D745" s="716"/>
      <c r="E745" s="716"/>
      <c r="F745" s="716"/>
      <c r="G745" s="716"/>
      <c r="H745" s="716"/>
      <c r="I745" s="716"/>
      <c r="J745" s="716"/>
      <c r="K745" s="716"/>
      <c r="L745" s="716"/>
      <c r="M745" s="716"/>
      <c r="N745" s="716"/>
      <c r="O745" s="716"/>
      <c r="P745" s="716"/>
      <c r="Q745" s="716"/>
      <c r="R745" s="716"/>
      <c r="S745" s="716"/>
      <c r="T745" s="716"/>
      <c r="U745" s="716"/>
      <c r="V745" s="716"/>
      <c r="W745" s="716"/>
      <c r="X745" s="716"/>
      <c r="Y745" s="716"/>
      <c r="Z745" s="716"/>
    </row>
    <row r="746">
      <c r="A746" s="716"/>
      <c r="B746" s="717"/>
      <c r="C746" s="716"/>
      <c r="D746" s="716"/>
      <c r="E746" s="716"/>
      <c r="F746" s="716"/>
      <c r="G746" s="716"/>
      <c r="H746" s="716"/>
      <c r="I746" s="716"/>
      <c r="J746" s="716"/>
      <c r="K746" s="716"/>
      <c r="L746" s="716"/>
      <c r="M746" s="716"/>
      <c r="N746" s="716"/>
      <c r="O746" s="716"/>
      <c r="P746" s="716"/>
      <c r="Q746" s="716"/>
      <c r="R746" s="716"/>
      <c r="S746" s="716"/>
      <c r="T746" s="716"/>
      <c r="U746" s="716"/>
      <c r="V746" s="716"/>
      <c r="W746" s="716"/>
      <c r="X746" s="716"/>
      <c r="Y746" s="716"/>
      <c r="Z746" s="716"/>
    </row>
    <row r="747">
      <c r="A747" s="716"/>
      <c r="B747" s="717"/>
      <c r="C747" s="716"/>
      <c r="D747" s="716"/>
      <c r="E747" s="716"/>
      <c r="F747" s="716"/>
      <c r="G747" s="716"/>
      <c r="H747" s="716"/>
      <c r="I747" s="716"/>
      <c r="J747" s="716"/>
      <c r="K747" s="716"/>
      <c r="L747" s="716"/>
      <c r="M747" s="716"/>
      <c r="N747" s="716"/>
      <c r="O747" s="716"/>
      <c r="P747" s="716"/>
      <c r="Q747" s="716"/>
      <c r="R747" s="716"/>
      <c r="S747" s="716"/>
      <c r="T747" s="716"/>
      <c r="U747" s="716"/>
      <c r="V747" s="716"/>
      <c r="W747" s="716"/>
      <c r="X747" s="716"/>
      <c r="Y747" s="716"/>
      <c r="Z747" s="716"/>
    </row>
    <row r="748">
      <c r="A748" s="716"/>
      <c r="B748" s="717"/>
      <c r="C748" s="716"/>
      <c r="D748" s="716"/>
      <c r="E748" s="716"/>
      <c r="F748" s="716"/>
      <c r="G748" s="716"/>
      <c r="H748" s="716"/>
      <c r="I748" s="716"/>
      <c r="J748" s="716"/>
      <c r="K748" s="716"/>
      <c r="L748" s="716"/>
      <c r="M748" s="716"/>
      <c r="N748" s="716"/>
      <c r="O748" s="716"/>
      <c r="P748" s="716"/>
      <c r="Q748" s="716"/>
      <c r="R748" s="716"/>
      <c r="S748" s="716"/>
      <c r="T748" s="716"/>
      <c r="U748" s="716"/>
      <c r="V748" s="716"/>
      <c r="W748" s="716"/>
      <c r="X748" s="716"/>
      <c r="Y748" s="716"/>
      <c r="Z748" s="716"/>
    </row>
    <row r="749">
      <c r="A749" s="716"/>
      <c r="B749" s="717"/>
      <c r="C749" s="716"/>
      <c r="D749" s="716"/>
      <c r="E749" s="716"/>
      <c r="F749" s="716"/>
      <c r="G749" s="716"/>
      <c r="H749" s="716"/>
      <c r="I749" s="716"/>
      <c r="J749" s="716"/>
      <c r="K749" s="716"/>
      <c r="L749" s="716"/>
      <c r="M749" s="716"/>
      <c r="N749" s="716"/>
      <c r="O749" s="716"/>
      <c r="P749" s="716"/>
      <c r="Q749" s="716"/>
      <c r="R749" s="716"/>
      <c r="S749" s="716"/>
      <c r="T749" s="716"/>
      <c r="U749" s="716"/>
      <c r="V749" s="716"/>
      <c r="W749" s="716"/>
      <c r="X749" s="716"/>
      <c r="Y749" s="716"/>
      <c r="Z749" s="716"/>
    </row>
    <row r="750">
      <c r="A750" s="716"/>
      <c r="B750" s="717"/>
      <c r="C750" s="716"/>
      <c r="D750" s="716"/>
      <c r="E750" s="716"/>
      <c r="F750" s="716"/>
      <c r="G750" s="716"/>
      <c r="H750" s="716"/>
      <c r="I750" s="716"/>
      <c r="J750" s="716"/>
      <c r="K750" s="716"/>
      <c r="L750" s="716"/>
      <c r="M750" s="716"/>
      <c r="N750" s="716"/>
      <c r="O750" s="716"/>
      <c r="P750" s="716"/>
      <c r="Q750" s="716"/>
      <c r="R750" s="716"/>
      <c r="S750" s="716"/>
      <c r="T750" s="716"/>
      <c r="U750" s="716"/>
      <c r="V750" s="716"/>
      <c r="W750" s="716"/>
      <c r="X750" s="716"/>
      <c r="Y750" s="716"/>
      <c r="Z750" s="716"/>
    </row>
    <row r="751">
      <c r="A751" s="716"/>
      <c r="B751" s="717"/>
      <c r="C751" s="716"/>
      <c r="D751" s="716"/>
      <c r="E751" s="716"/>
      <c r="F751" s="716"/>
      <c r="G751" s="716"/>
      <c r="H751" s="716"/>
      <c r="I751" s="716"/>
      <c r="J751" s="716"/>
      <c r="K751" s="716"/>
      <c r="L751" s="716"/>
      <c r="M751" s="716"/>
      <c r="N751" s="716"/>
      <c r="O751" s="716"/>
      <c r="P751" s="716"/>
      <c r="Q751" s="716"/>
      <c r="R751" s="716"/>
      <c r="S751" s="716"/>
      <c r="T751" s="716"/>
      <c r="U751" s="716"/>
      <c r="V751" s="716"/>
      <c r="W751" s="716"/>
      <c r="X751" s="716"/>
      <c r="Y751" s="716"/>
      <c r="Z751" s="716"/>
    </row>
    <row r="752">
      <c r="A752" s="716"/>
      <c r="B752" s="717"/>
      <c r="C752" s="716"/>
      <c r="D752" s="716"/>
      <c r="E752" s="716"/>
      <c r="F752" s="716"/>
      <c r="G752" s="716"/>
      <c r="H752" s="716"/>
      <c r="I752" s="716"/>
      <c r="J752" s="716"/>
      <c r="K752" s="716"/>
      <c r="L752" s="716"/>
      <c r="M752" s="716"/>
      <c r="N752" s="716"/>
      <c r="O752" s="716"/>
      <c r="P752" s="716"/>
      <c r="Q752" s="716"/>
      <c r="R752" s="716"/>
      <c r="S752" s="716"/>
      <c r="T752" s="716"/>
      <c r="U752" s="716"/>
      <c r="V752" s="716"/>
      <c r="W752" s="716"/>
      <c r="X752" s="716"/>
      <c r="Y752" s="716"/>
      <c r="Z752" s="716"/>
    </row>
    <row r="753">
      <c r="A753" s="716"/>
      <c r="B753" s="717"/>
      <c r="C753" s="716"/>
      <c r="D753" s="716"/>
      <c r="E753" s="716"/>
      <c r="F753" s="716"/>
      <c r="G753" s="716"/>
      <c r="H753" s="716"/>
      <c r="I753" s="716"/>
      <c r="J753" s="716"/>
      <c r="K753" s="716"/>
      <c r="L753" s="716"/>
      <c r="M753" s="716"/>
      <c r="N753" s="716"/>
      <c r="O753" s="716"/>
      <c r="P753" s="716"/>
      <c r="Q753" s="716"/>
      <c r="R753" s="716"/>
      <c r="S753" s="716"/>
      <c r="T753" s="716"/>
      <c r="U753" s="716"/>
      <c r="V753" s="716"/>
      <c r="W753" s="716"/>
      <c r="X753" s="716"/>
      <c r="Y753" s="716"/>
      <c r="Z753" s="716"/>
    </row>
    <row r="754">
      <c r="A754" s="716"/>
      <c r="B754" s="717"/>
      <c r="C754" s="716"/>
      <c r="D754" s="716"/>
      <c r="E754" s="716"/>
      <c r="F754" s="716"/>
      <c r="G754" s="716"/>
      <c r="H754" s="716"/>
      <c r="I754" s="716"/>
      <c r="J754" s="716"/>
      <c r="K754" s="716"/>
      <c r="L754" s="716"/>
      <c r="M754" s="716"/>
      <c r="N754" s="716"/>
      <c r="O754" s="716"/>
      <c r="P754" s="716"/>
      <c r="Q754" s="716"/>
      <c r="R754" s="716"/>
      <c r="S754" s="716"/>
      <c r="T754" s="716"/>
      <c r="U754" s="716"/>
      <c r="V754" s="716"/>
      <c r="W754" s="716"/>
      <c r="X754" s="716"/>
      <c r="Y754" s="716"/>
      <c r="Z754" s="716"/>
    </row>
    <row r="755">
      <c r="A755" s="716"/>
      <c r="B755" s="717"/>
      <c r="C755" s="716"/>
      <c r="D755" s="716"/>
      <c r="E755" s="716"/>
      <c r="F755" s="716"/>
      <c r="G755" s="716"/>
      <c r="H755" s="716"/>
      <c r="I755" s="716"/>
      <c r="J755" s="716"/>
      <c r="K755" s="716"/>
      <c r="L755" s="716"/>
      <c r="M755" s="716"/>
      <c r="N755" s="716"/>
      <c r="O755" s="716"/>
      <c r="P755" s="716"/>
      <c r="Q755" s="716"/>
      <c r="R755" s="716"/>
      <c r="S755" s="716"/>
      <c r="T755" s="716"/>
      <c r="U755" s="716"/>
      <c r="V755" s="716"/>
      <c r="W755" s="716"/>
      <c r="X755" s="716"/>
      <c r="Y755" s="716"/>
      <c r="Z755" s="716"/>
    </row>
    <row r="756">
      <c r="A756" s="716"/>
      <c r="B756" s="717"/>
      <c r="C756" s="716"/>
      <c r="D756" s="716"/>
      <c r="E756" s="716"/>
      <c r="F756" s="716"/>
      <c r="G756" s="716"/>
      <c r="H756" s="716"/>
      <c r="I756" s="716"/>
      <c r="J756" s="716"/>
      <c r="K756" s="716"/>
      <c r="L756" s="716"/>
      <c r="M756" s="716"/>
      <c r="N756" s="716"/>
      <c r="O756" s="716"/>
      <c r="P756" s="716"/>
      <c r="Q756" s="716"/>
      <c r="R756" s="716"/>
      <c r="S756" s="716"/>
      <c r="T756" s="716"/>
      <c r="U756" s="716"/>
      <c r="V756" s="716"/>
      <c r="W756" s="716"/>
      <c r="X756" s="716"/>
      <c r="Y756" s="716"/>
      <c r="Z756" s="716"/>
    </row>
    <row r="757">
      <c r="A757" s="716"/>
      <c r="B757" s="717"/>
      <c r="C757" s="716"/>
      <c r="D757" s="716"/>
      <c r="E757" s="716"/>
      <c r="F757" s="716"/>
      <c r="G757" s="716"/>
      <c r="H757" s="716"/>
      <c r="I757" s="716"/>
      <c r="J757" s="716"/>
      <c r="K757" s="716"/>
      <c r="L757" s="716"/>
      <c r="M757" s="716"/>
      <c r="N757" s="716"/>
      <c r="O757" s="716"/>
      <c r="P757" s="716"/>
      <c r="Q757" s="716"/>
      <c r="R757" s="716"/>
      <c r="S757" s="716"/>
      <c r="T757" s="716"/>
      <c r="U757" s="716"/>
      <c r="V757" s="716"/>
      <c r="W757" s="716"/>
      <c r="X757" s="716"/>
      <c r="Y757" s="716"/>
      <c r="Z757" s="716"/>
    </row>
    <row r="758">
      <c r="A758" s="716"/>
      <c r="B758" s="717"/>
      <c r="C758" s="716"/>
      <c r="D758" s="716"/>
      <c r="E758" s="716"/>
      <c r="F758" s="716"/>
      <c r="G758" s="716"/>
      <c r="H758" s="716"/>
      <c r="I758" s="716"/>
      <c r="J758" s="716"/>
      <c r="K758" s="716"/>
      <c r="L758" s="716"/>
      <c r="M758" s="716"/>
      <c r="N758" s="716"/>
      <c r="O758" s="716"/>
      <c r="P758" s="716"/>
      <c r="Q758" s="716"/>
      <c r="R758" s="716"/>
      <c r="S758" s="716"/>
      <c r="T758" s="716"/>
      <c r="U758" s="716"/>
      <c r="V758" s="716"/>
      <c r="W758" s="716"/>
      <c r="X758" s="716"/>
      <c r="Y758" s="716"/>
      <c r="Z758" s="716"/>
    </row>
    <row r="759">
      <c r="A759" s="716"/>
      <c r="B759" s="717"/>
      <c r="C759" s="716"/>
      <c r="D759" s="716"/>
      <c r="E759" s="716"/>
      <c r="F759" s="716"/>
      <c r="G759" s="716"/>
      <c r="H759" s="716"/>
      <c r="I759" s="716"/>
      <c r="J759" s="716"/>
      <c r="K759" s="716"/>
      <c r="L759" s="716"/>
      <c r="M759" s="716"/>
      <c r="N759" s="716"/>
      <c r="O759" s="716"/>
      <c r="P759" s="716"/>
      <c r="Q759" s="716"/>
      <c r="R759" s="716"/>
      <c r="S759" s="716"/>
      <c r="T759" s="716"/>
      <c r="U759" s="716"/>
      <c r="V759" s="716"/>
      <c r="W759" s="716"/>
      <c r="X759" s="716"/>
      <c r="Y759" s="716"/>
      <c r="Z759" s="716"/>
    </row>
    <row r="760">
      <c r="A760" s="716"/>
      <c r="B760" s="717"/>
      <c r="C760" s="716"/>
      <c r="D760" s="716"/>
      <c r="E760" s="716"/>
      <c r="F760" s="716"/>
      <c r="G760" s="716"/>
      <c r="H760" s="716"/>
      <c r="I760" s="716"/>
      <c r="J760" s="716"/>
      <c r="K760" s="716"/>
      <c r="L760" s="716"/>
      <c r="M760" s="716"/>
      <c r="N760" s="716"/>
      <c r="O760" s="716"/>
      <c r="P760" s="716"/>
      <c r="Q760" s="716"/>
      <c r="R760" s="716"/>
      <c r="S760" s="716"/>
      <c r="T760" s="716"/>
      <c r="U760" s="716"/>
      <c r="V760" s="716"/>
      <c r="W760" s="716"/>
      <c r="X760" s="716"/>
      <c r="Y760" s="716"/>
      <c r="Z760" s="716"/>
    </row>
    <row r="761">
      <c r="A761" s="716"/>
      <c r="B761" s="717"/>
      <c r="C761" s="716"/>
      <c r="D761" s="716"/>
      <c r="E761" s="716"/>
      <c r="F761" s="716"/>
      <c r="G761" s="716"/>
      <c r="H761" s="716"/>
      <c r="I761" s="716"/>
      <c r="J761" s="716"/>
      <c r="K761" s="716"/>
      <c r="L761" s="716"/>
      <c r="M761" s="716"/>
      <c r="N761" s="716"/>
      <c r="O761" s="716"/>
      <c r="P761" s="716"/>
      <c r="Q761" s="716"/>
      <c r="R761" s="716"/>
      <c r="S761" s="716"/>
      <c r="T761" s="716"/>
      <c r="U761" s="716"/>
      <c r="V761" s="716"/>
      <c r="W761" s="716"/>
      <c r="X761" s="716"/>
      <c r="Y761" s="716"/>
      <c r="Z761" s="716"/>
    </row>
    <row r="762">
      <c r="A762" s="716"/>
      <c r="B762" s="717"/>
      <c r="C762" s="716"/>
      <c r="D762" s="716"/>
      <c r="E762" s="716"/>
      <c r="F762" s="716"/>
      <c r="G762" s="716"/>
      <c r="H762" s="716"/>
      <c r="I762" s="716"/>
      <c r="J762" s="716"/>
      <c r="K762" s="716"/>
      <c r="L762" s="716"/>
      <c r="M762" s="716"/>
      <c r="N762" s="716"/>
      <c r="O762" s="716"/>
      <c r="P762" s="716"/>
      <c r="Q762" s="716"/>
      <c r="R762" s="716"/>
      <c r="S762" s="716"/>
      <c r="T762" s="716"/>
      <c r="U762" s="716"/>
      <c r="V762" s="716"/>
      <c r="W762" s="716"/>
      <c r="X762" s="716"/>
      <c r="Y762" s="716"/>
      <c r="Z762" s="716"/>
    </row>
    <row r="763">
      <c r="A763" s="716"/>
      <c r="B763" s="717"/>
      <c r="C763" s="716"/>
      <c r="D763" s="716"/>
      <c r="E763" s="716"/>
      <c r="F763" s="716"/>
      <c r="G763" s="716"/>
      <c r="H763" s="716"/>
      <c r="I763" s="716"/>
      <c r="J763" s="716"/>
      <c r="K763" s="716"/>
      <c r="L763" s="716"/>
      <c r="M763" s="716"/>
      <c r="N763" s="716"/>
      <c r="O763" s="716"/>
      <c r="P763" s="716"/>
      <c r="Q763" s="716"/>
      <c r="R763" s="716"/>
      <c r="S763" s="716"/>
      <c r="T763" s="716"/>
      <c r="U763" s="716"/>
      <c r="V763" s="716"/>
      <c r="W763" s="716"/>
      <c r="X763" s="716"/>
      <c r="Y763" s="716"/>
      <c r="Z763" s="716"/>
    </row>
    <row r="764">
      <c r="A764" s="716"/>
      <c r="B764" s="717"/>
      <c r="C764" s="716"/>
      <c r="D764" s="716"/>
      <c r="E764" s="716"/>
      <c r="F764" s="716"/>
      <c r="G764" s="716"/>
      <c r="H764" s="716"/>
      <c r="I764" s="716"/>
      <c r="J764" s="716"/>
      <c r="K764" s="716"/>
      <c r="L764" s="716"/>
      <c r="M764" s="716"/>
      <c r="N764" s="716"/>
      <c r="O764" s="716"/>
      <c r="P764" s="716"/>
      <c r="Q764" s="716"/>
      <c r="R764" s="716"/>
      <c r="S764" s="716"/>
      <c r="T764" s="716"/>
      <c r="U764" s="716"/>
      <c r="V764" s="716"/>
      <c r="W764" s="716"/>
      <c r="X764" s="716"/>
      <c r="Y764" s="716"/>
      <c r="Z764" s="716"/>
    </row>
    <row r="765">
      <c r="A765" s="716"/>
      <c r="B765" s="717"/>
      <c r="C765" s="716"/>
      <c r="D765" s="716"/>
      <c r="E765" s="716"/>
      <c r="F765" s="716"/>
      <c r="G765" s="716"/>
      <c r="H765" s="716"/>
      <c r="I765" s="716"/>
      <c r="J765" s="716"/>
      <c r="K765" s="716"/>
      <c r="L765" s="716"/>
      <c r="M765" s="716"/>
      <c r="N765" s="716"/>
      <c r="O765" s="716"/>
      <c r="P765" s="716"/>
      <c r="Q765" s="716"/>
      <c r="R765" s="716"/>
      <c r="S765" s="716"/>
      <c r="T765" s="716"/>
      <c r="U765" s="716"/>
      <c r="V765" s="716"/>
      <c r="W765" s="716"/>
      <c r="X765" s="716"/>
      <c r="Y765" s="716"/>
      <c r="Z765" s="716"/>
    </row>
    <row r="766">
      <c r="A766" s="716"/>
      <c r="B766" s="717"/>
      <c r="C766" s="716"/>
      <c r="D766" s="716"/>
      <c r="E766" s="716"/>
      <c r="F766" s="716"/>
      <c r="G766" s="716"/>
      <c r="H766" s="716"/>
      <c r="I766" s="716"/>
      <c r="J766" s="716"/>
      <c r="K766" s="716"/>
      <c r="L766" s="716"/>
      <c r="M766" s="716"/>
      <c r="N766" s="716"/>
      <c r="O766" s="716"/>
      <c r="P766" s="716"/>
      <c r="Q766" s="716"/>
      <c r="R766" s="716"/>
      <c r="S766" s="716"/>
      <c r="T766" s="716"/>
      <c r="U766" s="716"/>
      <c r="V766" s="716"/>
      <c r="W766" s="716"/>
      <c r="X766" s="716"/>
      <c r="Y766" s="716"/>
      <c r="Z766" s="716"/>
    </row>
    <row r="767">
      <c r="A767" s="716"/>
      <c r="B767" s="717"/>
      <c r="C767" s="716"/>
      <c r="D767" s="716"/>
      <c r="E767" s="716"/>
      <c r="F767" s="716"/>
      <c r="G767" s="716"/>
      <c r="H767" s="716"/>
      <c r="I767" s="716"/>
      <c r="J767" s="716"/>
      <c r="K767" s="716"/>
      <c r="L767" s="716"/>
      <c r="M767" s="716"/>
      <c r="N767" s="716"/>
      <c r="O767" s="716"/>
      <c r="P767" s="716"/>
      <c r="Q767" s="716"/>
      <c r="R767" s="716"/>
      <c r="S767" s="716"/>
      <c r="T767" s="716"/>
      <c r="U767" s="716"/>
      <c r="V767" s="716"/>
      <c r="W767" s="716"/>
      <c r="X767" s="716"/>
      <c r="Y767" s="716"/>
      <c r="Z767" s="716"/>
    </row>
    <row r="768">
      <c r="A768" s="716"/>
      <c r="B768" s="717"/>
      <c r="C768" s="716"/>
      <c r="D768" s="716"/>
      <c r="E768" s="716"/>
      <c r="F768" s="716"/>
      <c r="G768" s="716"/>
      <c r="H768" s="716"/>
      <c r="I768" s="716"/>
      <c r="J768" s="716"/>
      <c r="K768" s="716"/>
      <c r="L768" s="716"/>
      <c r="M768" s="716"/>
      <c r="N768" s="716"/>
      <c r="O768" s="716"/>
      <c r="P768" s="716"/>
      <c r="Q768" s="716"/>
      <c r="R768" s="716"/>
      <c r="S768" s="716"/>
      <c r="T768" s="716"/>
      <c r="U768" s="716"/>
      <c r="V768" s="716"/>
      <c r="W768" s="716"/>
      <c r="X768" s="716"/>
      <c r="Y768" s="716"/>
      <c r="Z768" s="716"/>
    </row>
    <row r="769">
      <c r="A769" s="716"/>
      <c r="B769" s="717"/>
      <c r="C769" s="716"/>
      <c r="D769" s="716"/>
      <c r="E769" s="716"/>
      <c r="F769" s="716"/>
      <c r="G769" s="716"/>
      <c r="H769" s="716"/>
      <c r="I769" s="716"/>
      <c r="J769" s="716"/>
      <c r="K769" s="716"/>
      <c r="L769" s="716"/>
      <c r="M769" s="716"/>
      <c r="N769" s="716"/>
      <c r="O769" s="716"/>
      <c r="P769" s="716"/>
      <c r="Q769" s="716"/>
      <c r="R769" s="716"/>
      <c r="S769" s="716"/>
      <c r="T769" s="716"/>
      <c r="U769" s="716"/>
      <c r="V769" s="716"/>
      <c r="W769" s="716"/>
      <c r="X769" s="716"/>
      <c r="Y769" s="716"/>
      <c r="Z769" s="716"/>
    </row>
    <row r="770">
      <c r="A770" s="716"/>
      <c r="B770" s="717"/>
      <c r="C770" s="716"/>
      <c r="D770" s="716"/>
      <c r="E770" s="716"/>
      <c r="F770" s="716"/>
      <c r="G770" s="716"/>
      <c r="H770" s="716"/>
      <c r="I770" s="716"/>
      <c r="J770" s="716"/>
      <c r="K770" s="716"/>
      <c r="L770" s="716"/>
      <c r="M770" s="716"/>
      <c r="N770" s="716"/>
      <c r="O770" s="716"/>
      <c r="P770" s="716"/>
      <c r="Q770" s="716"/>
      <c r="R770" s="716"/>
      <c r="S770" s="716"/>
      <c r="T770" s="716"/>
      <c r="U770" s="716"/>
      <c r="V770" s="716"/>
      <c r="W770" s="716"/>
      <c r="X770" s="716"/>
      <c r="Y770" s="716"/>
      <c r="Z770" s="716"/>
    </row>
    <row r="771">
      <c r="A771" s="716"/>
      <c r="B771" s="717"/>
      <c r="C771" s="716"/>
      <c r="D771" s="716"/>
      <c r="E771" s="716"/>
      <c r="F771" s="716"/>
      <c r="G771" s="716"/>
      <c r="H771" s="716"/>
      <c r="I771" s="716"/>
      <c r="J771" s="716"/>
      <c r="K771" s="716"/>
      <c r="L771" s="716"/>
      <c r="M771" s="716"/>
      <c r="N771" s="716"/>
      <c r="O771" s="716"/>
      <c r="P771" s="716"/>
      <c r="Q771" s="716"/>
      <c r="R771" s="716"/>
      <c r="S771" s="716"/>
      <c r="T771" s="716"/>
      <c r="U771" s="716"/>
      <c r="V771" s="716"/>
      <c r="W771" s="716"/>
      <c r="X771" s="716"/>
      <c r="Y771" s="716"/>
      <c r="Z771" s="716"/>
    </row>
    <row r="772">
      <c r="A772" s="716"/>
      <c r="B772" s="717"/>
      <c r="C772" s="716"/>
      <c r="D772" s="716"/>
      <c r="E772" s="716"/>
      <c r="F772" s="716"/>
      <c r="G772" s="716"/>
      <c r="H772" s="716"/>
      <c r="I772" s="716"/>
      <c r="J772" s="716"/>
      <c r="K772" s="716"/>
      <c r="L772" s="716"/>
      <c r="M772" s="716"/>
      <c r="N772" s="716"/>
      <c r="O772" s="716"/>
      <c r="P772" s="716"/>
      <c r="Q772" s="716"/>
      <c r="R772" s="716"/>
      <c r="S772" s="716"/>
      <c r="T772" s="716"/>
      <c r="U772" s="716"/>
      <c r="V772" s="716"/>
      <c r="W772" s="716"/>
      <c r="X772" s="716"/>
      <c r="Y772" s="716"/>
      <c r="Z772" s="716"/>
    </row>
    <row r="773">
      <c r="A773" s="716"/>
      <c r="B773" s="717"/>
      <c r="C773" s="716"/>
      <c r="D773" s="716"/>
      <c r="E773" s="716"/>
      <c r="F773" s="716"/>
      <c r="G773" s="716"/>
      <c r="H773" s="716"/>
      <c r="I773" s="716"/>
      <c r="J773" s="716"/>
      <c r="K773" s="716"/>
      <c r="L773" s="716"/>
      <c r="M773" s="716"/>
      <c r="N773" s="716"/>
      <c r="O773" s="716"/>
      <c r="P773" s="716"/>
      <c r="Q773" s="716"/>
      <c r="R773" s="716"/>
      <c r="S773" s="716"/>
      <c r="T773" s="716"/>
      <c r="U773" s="716"/>
      <c r="V773" s="716"/>
      <c r="W773" s="716"/>
      <c r="X773" s="716"/>
      <c r="Y773" s="716"/>
      <c r="Z773" s="716"/>
    </row>
    <row r="774">
      <c r="A774" s="716"/>
      <c r="B774" s="717"/>
      <c r="C774" s="716"/>
      <c r="D774" s="716"/>
      <c r="E774" s="716"/>
      <c r="F774" s="716"/>
      <c r="G774" s="716"/>
      <c r="H774" s="716"/>
      <c r="I774" s="716"/>
      <c r="J774" s="716"/>
      <c r="K774" s="716"/>
      <c r="L774" s="716"/>
      <c r="M774" s="716"/>
      <c r="N774" s="716"/>
      <c r="O774" s="716"/>
      <c r="P774" s="716"/>
      <c r="Q774" s="716"/>
      <c r="R774" s="716"/>
      <c r="S774" s="716"/>
      <c r="T774" s="716"/>
      <c r="U774" s="716"/>
      <c r="V774" s="716"/>
      <c r="W774" s="716"/>
      <c r="X774" s="716"/>
      <c r="Y774" s="716"/>
      <c r="Z774" s="716"/>
    </row>
    <row r="775">
      <c r="A775" s="716"/>
      <c r="B775" s="717"/>
      <c r="C775" s="716"/>
      <c r="D775" s="716"/>
      <c r="E775" s="716"/>
      <c r="F775" s="716"/>
      <c r="G775" s="716"/>
      <c r="H775" s="716"/>
      <c r="I775" s="716"/>
      <c r="J775" s="716"/>
      <c r="K775" s="716"/>
      <c r="L775" s="716"/>
      <c r="M775" s="716"/>
      <c r="N775" s="716"/>
      <c r="O775" s="716"/>
      <c r="P775" s="716"/>
      <c r="Q775" s="716"/>
      <c r="R775" s="716"/>
      <c r="S775" s="716"/>
      <c r="T775" s="716"/>
      <c r="U775" s="716"/>
      <c r="V775" s="716"/>
      <c r="W775" s="716"/>
      <c r="X775" s="716"/>
      <c r="Y775" s="716"/>
      <c r="Z775" s="716"/>
    </row>
    <row r="776">
      <c r="A776" s="716"/>
      <c r="B776" s="717"/>
      <c r="C776" s="716"/>
      <c r="D776" s="716"/>
      <c r="E776" s="716"/>
      <c r="F776" s="716"/>
      <c r="G776" s="716"/>
      <c r="H776" s="716"/>
      <c r="I776" s="716"/>
      <c r="J776" s="716"/>
      <c r="K776" s="716"/>
      <c r="L776" s="716"/>
      <c r="M776" s="716"/>
      <c r="N776" s="716"/>
      <c r="O776" s="716"/>
      <c r="P776" s="716"/>
      <c r="Q776" s="716"/>
      <c r="R776" s="716"/>
      <c r="S776" s="716"/>
      <c r="T776" s="716"/>
      <c r="U776" s="716"/>
      <c r="V776" s="716"/>
      <c r="W776" s="716"/>
      <c r="X776" s="716"/>
      <c r="Y776" s="716"/>
      <c r="Z776" s="716"/>
    </row>
    <row r="777">
      <c r="A777" s="716"/>
      <c r="B777" s="717"/>
      <c r="C777" s="716"/>
      <c r="D777" s="716"/>
      <c r="E777" s="716"/>
      <c r="F777" s="716"/>
      <c r="G777" s="716"/>
      <c r="H777" s="716"/>
      <c r="I777" s="716"/>
      <c r="J777" s="716"/>
      <c r="K777" s="716"/>
      <c r="L777" s="716"/>
      <c r="M777" s="716"/>
      <c r="N777" s="716"/>
      <c r="O777" s="716"/>
      <c r="P777" s="716"/>
      <c r="Q777" s="716"/>
      <c r="R777" s="716"/>
      <c r="S777" s="716"/>
      <c r="T777" s="716"/>
      <c r="U777" s="716"/>
      <c r="V777" s="716"/>
      <c r="W777" s="716"/>
      <c r="X777" s="716"/>
      <c r="Y777" s="716"/>
      <c r="Z777" s="716"/>
    </row>
    <row r="778">
      <c r="A778" s="716"/>
      <c r="B778" s="717"/>
      <c r="C778" s="716"/>
      <c r="D778" s="716"/>
      <c r="E778" s="716"/>
      <c r="F778" s="716"/>
      <c r="G778" s="716"/>
      <c r="H778" s="716"/>
      <c r="I778" s="716"/>
      <c r="J778" s="716"/>
      <c r="K778" s="716"/>
      <c r="L778" s="716"/>
      <c r="M778" s="716"/>
      <c r="N778" s="716"/>
      <c r="O778" s="716"/>
      <c r="P778" s="716"/>
      <c r="Q778" s="716"/>
      <c r="R778" s="716"/>
      <c r="S778" s="716"/>
      <c r="T778" s="716"/>
      <c r="U778" s="716"/>
      <c r="V778" s="716"/>
      <c r="W778" s="716"/>
      <c r="X778" s="716"/>
      <c r="Y778" s="716"/>
      <c r="Z778" s="716"/>
    </row>
    <row r="779">
      <c r="A779" s="716"/>
      <c r="B779" s="717"/>
      <c r="C779" s="716"/>
      <c r="D779" s="716"/>
      <c r="E779" s="716"/>
      <c r="F779" s="716"/>
      <c r="G779" s="716"/>
      <c r="H779" s="716"/>
      <c r="I779" s="716"/>
      <c r="J779" s="716"/>
      <c r="K779" s="716"/>
      <c r="L779" s="716"/>
      <c r="M779" s="716"/>
      <c r="N779" s="716"/>
      <c r="O779" s="716"/>
      <c r="P779" s="716"/>
      <c r="Q779" s="716"/>
      <c r="R779" s="716"/>
      <c r="S779" s="716"/>
      <c r="T779" s="716"/>
      <c r="U779" s="716"/>
      <c r="V779" s="716"/>
      <c r="W779" s="716"/>
      <c r="X779" s="716"/>
      <c r="Y779" s="716"/>
      <c r="Z779" s="716"/>
    </row>
    <row r="780">
      <c r="A780" s="716"/>
      <c r="B780" s="717"/>
      <c r="C780" s="716"/>
      <c r="D780" s="716"/>
      <c r="E780" s="716"/>
      <c r="F780" s="716"/>
      <c r="G780" s="716"/>
      <c r="H780" s="716"/>
      <c r="I780" s="716"/>
      <c r="J780" s="716"/>
      <c r="K780" s="716"/>
      <c r="L780" s="716"/>
      <c r="M780" s="716"/>
      <c r="N780" s="716"/>
      <c r="O780" s="716"/>
      <c r="P780" s="716"/>
      <c r="Q780" s="716"/>
      <c r="R780" s="716"/>
      <c r="S780" s="716"/>
      <c r="T780" s="716"/>
      <c r="U780" s="716"/>
      <c r="V780" s="716"/>
      <c r="W780" s="716"/>
      <c r="X780" s="716"/>
      <c r="Y780" s="716"/>
      <c r="Z780" s="716"/>
    </row>
    <row r="781">
      <c r="A781" s="716"/>
      <c r="B781" s="717"/>
      <c r="C781" s="716"/>
      <c r="D781" s="716"/>
      <c r="E781" s="716"/>
      <c r="F781" s="716"/>
      <c r="G781" s="716"/>
      <c r="H781" s="716"/>
      <c r="I781" s="716"/>
      <c r="J781" s="716"/>
      <c r="K781" s="716"/>
      <c r="L781" s="716"/>
      <c r="M781" s="716"/>
      <c r="N781" s="716"/>
      <c r="O781" s="716"/>
      <c r="P781" s="716"/>
      <c r="Q781" s="716"/>
      <c r="R781" s="716"/>
      <c r="S781" s="716"/>
      <c r="T781" s="716"/>
      <c r="U781" s="716"/>
      <c r="V781" s="716"/>
      <c r="W781" s="716"/>
      <c r="X781" s="716"/>
      <c r="Y781" s="716"/>
      <c r="Z781" s="716"/>
    </row>
    <row r="782">
      <c r="A782" s="716"/>
      <c r="B782" s="717"/>
      <c r="C782" s="716"/>
      <c r="D782" s="716"/>
      <c r="E782" s="716"/>
      <c r="F782" s="716"/>
      <c r="G782" s="716"/>
      <c r="H782" s="716"/>
      <c r="I782" s="716"/>
      <c r="J782" s="716"/>
      <c r="K782" s="716"/>
      <c r="L782" s="716"/>
      <c r="M782" s="716"/>
      <c r="N782" s="716"/>
      <c r="O782" s="716"/>
      <c r="P782" s="716"/>
      <c r="Q782" s="716"/>
      <c r="R782" s="716"/>
      <c r="S782" s="716"/>
      <c r="T782" s="716"/>
      <c r="U782" s="716"/>
      <c r="V782" s="716"/>
      <c r="W782" s="716"/>
      <c r="X782" s="716"/>
      <c r="Y782" s="716"/>
      <c r="Z782" s="716"/>
    </row>
    <row r="783">
      <c r="A783" s="716"/>
      <c r="B783" s="717"/>
      <c r="C783" s="716"/>
      <c r="D783" s="716"/>
      <c r="E783" s="716"/>
      <c r="F783" s="716"/>
      <c r="G783" s="716"/>
      <c r="H783" s="716"/>
      <c r="I783" s="716"/>
      <c r="J783" s="716"/>
      <c r="K783" s="716"/>
      <c r="L783" s="716"/>
      <c r="M783" s="716"/>
      <c r="N783" s="716"/>
      <c r="O783" s="716"/>
      <c r="P783" s="716"/>
      <c r="Q783" s="716"/>
      <c r="R783" s="716"/>
      <c r="S783" s="716"/>
      <c r="T783" s="716"/>
      <c r="U783" s="716"/>
      <c r="V783" s="716"/>
      <c r="W783" s="716"/>
      <c r="X783" s="716"/>
      <c r="Y783" s="716"/>
      <c r="Z783" s="716"/>
    </row>
    <row r="784">
      <c r="A784" s="716"/>
      <c r="B784" s="717"/>
      <c r="C784" s="716"/>
      <c r="D784" s="716"/>
      <c r="E784" s="716"/>
      <c r="F784" s="716"/>
      <c r="G784" s="716"/>
      <c r="H784" s="716"/>
      <c r="I784" s="716"/>
      <c r="J784" s="716"/>
      <c r="K784" s="716"/>
      <c r="L784" s="716"/>
      <c r="M784" s="716"/>
      <c r="N784" s="716"/>
      <c r="O784" s="716"/>
      <c r="P784" s="716"/>
      <c r="Q784" s="716"/>
      <c r="R784" s="716"/>
      <c r="S784" s="716"/>
      <c r="T784" s="716"/>
      <c r="U784" s="716"/>
      <c r="V784" s="716"/>
      <c r="W784" s="716"/>
      <c r="X784" s="716"/>
      <c r="Y784" s="716"/>
      <c r="Z784" s="716"/>
    </row>
    <row r="785">
      <c r="A785" s="716"/>
      <c r="B785" s="717"/>
      <c r="C785" s="716"/>
      <c r="D785" s="716"/>
      <c r="E785" s="716"/>
      <c r="F785" s="716"/>
      <c r="G785" s="716"/>
      <c r="H785" s="716"/>
      <c r="I785" s="716"/>
      <c r="J785" s="716"/>
      <c r="K785" s="716"/>
      <c r="L785" s="716"/>
      <c r="M785" s="716"/>
      <c r="N785" s="716"/>
      <c r="O785" s="716"/>
      <c r="P785" s="716"/>
      <c r="Q785" s="716"/>
      <c r="R785" s="716"/>
      <c r="S785" s="716"/>
      <c r="T785" s="716"/>
      <c r="U785" s="716"/>
      <c r="V785" s="716"/>
      <c r="W785" s="716"/>
      <c r="X785" s="716"/>
      <c r="Y785" s="716"/>
      <c r="Z785" s="716"/>
    </row>
    <row r="786">
      <c r="A786" s="716"/>
      <c r="B786" s="717"/>
      <c r="C786" s="716"/>
      <c r="D786" s="716"/>
      <c r="E786" s="716"/>
      <c r="F786" s="716"/>
      <c r="G786" s="716"/>
      <c r="H786" s="716"/>
      <c r="I786" s="716"/>
      <c r="J786" s="716"/>
      <c r="K786" s="716"/>
      <c r="L786" s="716"/>
      <c r="M786" s="716"/>
      <c r="N786" s="716"/>
      <c r="O786" s="716"/>
      <c r="P786" s="716"/>
      <c r="Q786" s="716"/>
      <c r="R786" s="716"/>
      <c r="S786" s="716"/>
      <c r="T786" s="716"/>
      <c r="U786" s="716"/>
      <c r="V786" s="716"/>
      <c r="W786" s="716"/>
      <c r="X786" s="716"/>
      <c r="Y786" s="716"/>
      <c r="Z786" s="716"/>
    </row>
    <row r="787">
      <c r="A787" s="716"/>
      <c r="B787" s="717"/>
      <c r="C787" s="716"/>
      <c r="D787" s="716"/>
      <c r="E787" s="716"/>
      <c r="F787" s="716"/>
      <c r="G787" s="716"/>
      <c r="H787" s="716"/>
      <c r="I787" s="716"/>
      <c r="J787" s="716"/>
      <c r="K787" s="716"/>
      <c r="L787" s="716"/>
      <c r="M787" s="716"/>
      <c r="N787" s="716"/>
      <c r="O787" s="716"/>
      <c r="P787" s="716"/>
      <c r="Q787" s="716"/>
      <c r="R787" s="716"/>
      <c r="S787" s="716"/>
      <c r="T787" s="716"/>
      <c r="U787" s="716"/>
      <c r="V787" s="716"/>
      <c r="W787" s="716"/>
      <c r="X787" s="716"/>
      <c r="Y787" s="716"/>
      <c r="Z787" s="716"/>
    </row>
    <row r="788">
      <c r="A788" s="716"/>
      <c r="B788" s="717"/>
      <c r="C788" s="716"/>
      <c r="D788" s="716"/>
      <c r="E788" s="716"/>
      <c r="F788" s="716"/>
      <c r="G788" s="716"/>
      <c r="H788" s="716"/>
      <c r="I788" s="716"/>
      <c r="J788" s="716"/>
      <c r="K788" s="716"/>
      <c r="L788" s="716"/>
      <c r="M788" s="716"/>
      <c r="N788" s="716"/>
      <c r="O788" s="716"/>
      <c r="P788" s="716"/>
      <c r="Q788" s="716"/>
      <c r="R788" s="716"/>
      <c r="S788" s="716"/>
      <c r="T788" s="716"/>
      <c r="U788" s="716"/>
      <c r="V788" s="716"/>
      <c r="W788" s="716"/>
      <c r="X788" s="716"/>
      <c r="Y788" s="716"/>
      <c r="Z788" s="716"/>
    </row>
    <row r="789">
      <c r="A789" s="716"/>
      <c r="B789" s="717"/>
      <c r="C789" s="716"/>
      <c r="D789" s="716"/>
      <c r="E789" s="716"/>
      <c r="F789" s="716"/>
      <c r="G789" s="716"/>
      <c r="H789" s="716"/>
      <c r="I789" s="716"/>
      <c r="J789" s="716"/>
      <c r="K789" s="716"/>
      <c r="L789" s="716"/>
      <c r="M789" s="716"/>
      <c r="N789" s="716"/>
      <c r="O789" s="716"/>
      <c r="P789" s="716"/>
      <c r="Q789" s="716"/>
      <c r="R789" s="716"/>
      <c r="S789" s="716"/>
      <c r="T789" s="716"/>
      <c r="U789" s="716"/>
      <c r="V789" s="716"/>
      <c r="W789" s="716"/>
      <c r="X789" s="716"/>
      <c r="Y789" s="716"/>
      <c r="Z789" s="716"/>
    </row>
    <row r="790">
      <c r="A790" s="716"/>
      <c r="B790" s="717"/>
      <c r="C790" s="716"/>
      <c r="D790" s="716"/>
      <c r="E790" s="716"/>
      <c r="F790" s="716"/>
      <c r="G790" s="716"/>
      <c r="H790" s="716"/>
      <c r="I790" s="716"/>
      <c r="J790" s="716"/>
      <c r="K790" s="716"/>
      <c r="L790" s="716"/>
      <c r="M790" s="716"/>
      <c r="N790" s="716"/>
      <c r="O790" s="716"/>
      <c r="P790" s="716"/>
      <c r="Q790" s="716"/>
      <c r="R790" s="716"/>
      <c r="S790" s="716"/>
      <c r="T790" s="716"/>
      <c r="U790" s="716"/>
      <c r="V790" s="716"/>
      <c r="W790" s="716"/>
      <c r="X790" s="716"/>
      <c r="Y790" s="716"/>
      <c r="Z790" s="716"/>
    </row>
    <row r="791">
      <c r="A791" s="716"/>
      <c r="B791" s="717"/>
      <c r="C791" s="716"/>
      <c r="D791" s="716"/>
      <c r="E791" s="716"/>
      <c r="F791" s="716"/>
      <c r="G791" s="716"/>
      <c r="H791" s="716"/>
      <c r="I791" s="716"/>
      <c r="J791" s="716"/>
      <c r="K791" s="716"/>
      <c r="L791" s="716"/>
      <c r="M791" s="716"/>
      <c r="N791" s="716"/>
      <c r="O791" s="716"/>
      <c r="P791" s="716"/>
      <c r="Q791" s="716"/>
      <c r="R791" s="716"/>
      <c r="S791" s="716"/>
      <c r="T791" s="716"/>
      <c r="U791" s="716"/>
      <c r="V791" s="716"/>
      <c r="W791" s="716"/>
      <c r="X791" s="716"/>
      <c r="Y791" s="716"/>
      <c r="Z791" s="716"/>
    </row>
    <row r="792">
      <c r="A792" s="716"/>
      <c r="B792" s="717"/>
      <c r="C792" s="716"/>
      <c r="D792" s="716"/>
      <c r="E792" s="716"/>
      <c r="F792" s="716"/>
      <c r="G792" s="716"/>
      <c r="H792" s="716"/>
      <c r="I792" s="716"/>
      <c r="J792" s="716"/>
      <c r="K792" s="716"/>
      <c r="L792" s="716"/>
      <c r="M792" s="716"/>
      <c r="N792" s="716"/>
      <c r="O792" s="716"/>
      <c r="P792" s="716"/>
      <c r="Q792" s="716"/>
      <c r="R792" s="716"/>
      <c r="S792" s="716"/>
      <c r="T792" s="716"/>
      <c r="U792" s="716"/>
      <c r="V792" s="716"/>
      <c r="W792" s="716"/>
      <c r="X792" s="716"/>
      <c r="Y792" s="716"/>
      <c r="Z792" s="716"/>
    </row>
    <row r="793">
      <c r="A793" s="716"/>
      <c r="B793" s="717"/>
      <c r="C793" s="716"/>
      <c r="D793" s="716"/>
      <c r="E793" s="716"/>
      <c r="F793" s="716"/>
      <c r="G793" s="716"/>
      <c r="H793" s="716"/>
      <c r="I793" s="716"/>
      <c r="J793" s="716"/>
      <c r="K793" s="716"/>
      <c r="L793" s="716"/>
      <c r="M793" s="716"/>
      <c r="N793" s="716"/>
      <c r="O793" s="716"/>
      <c r="P793" s="716"/>
      <c r="Q793" s="716"/>
      <c r="R793" s="716"/>
      <c r="S793" s="716"/>
      <c r="T793" s="716"/>
      <c r="U793" s="716"/>
      <c r="V793" s="716"/>
      <c r="W793" s="716"/>
      <c r="X793" s="716"/>
      <c r="Y793" s="716"/>
      <c r="Z793" s="716"/>
    </row>
    <row r="794">
      <c r="A794" s="716"/>
      <c r="B794" s="717"/>
      <c r="C794" s="716"/>
      <c r="D794" s="716"/>
      <c r="E794" s="716"/>
      <c r="F794" s="716"/>
      <c r="G794" s="716"/>
      <c r="H794" s="716"/>
      <c r="I794" s="716"/>
      <c r="J794" s="716"/>
      <c r="K794" s="716"/>
      <c r="L794" s="716"/>
      <c r="M794" s="716"/>
      <c r="N794" s="716"/>
      <c r="O794" s="716"/>
      <c r="P794" s="716"/>
      <c r="Q794" s="716"/>
      <c r="R794" s="716"/>
      <c r="S794" s="716"/>
      <c r="T794" s="716"/>
      <c r="U794" s="716"/>
      <c r="V794" s="716"/>
      <c r="W794" s="716"/>
      <c r="X794" s="716"/>
      <c r="Y794" s="716"/>
      <c r="Z794" s="716"/>
    </row>
    <row r="795">
      <c r="A795" s="716"/>
      <c r="B795" s="717"/>
      <c r="C795" s="716"/>
      <c r="D795" s="716"/>
      <c r="E795" s="716"/>
      <c r="F795" s="716"/>
      <c r="G795" s="716"/>
      <c r="H795" s="716"/>
      <c r="I795" s="716"/>
      <c r="J795" s="716"/>
      <c r="K795" s="716"/>
      <c r="L795" s="716"/>
      <c r="M795" s="716"/>
      <c r="N795" s="716"/>
      <c r="O795" s="716"/>
      <c r="P795" s="716"/>
      <c r="Q795" s="716"/>
      <c r="R795" s="716"/>
      <c r="S795" s="716"/>
      <c r="T795" s="716"/>
      <c r="U795" s="716"/>
      <c r="V795" s="716"/>
      <c r="W795" s="716"/>
      <c r="X795" s="716"/>
      <c r="Y795" s="716"/>
      <c r="Z795" s="716"/>
    </row>
    <row r="796">
      <c r="A796" s="716"/>
      <c r="B796" s="717"/>
      <c r="C796" s="716"/>
      <c r="D796" s="716"/>
      <c r="E796" s="716"/>
      <c r="F796" s="716"/>
      <c r="G796" s="716"/>
      <c r="H796" s="716"/>
      <c r="I796" s="716"/>
      <c r="J796" s="716"/>
      <c r="K796" s="716"/>
      <c r="L796" s="716"/>
      <c r="M796" s="716"/>
      <c r="N796" s="716"/>
      <c r="O796" s="716"/>
      <c r="P796" s="716"/>
      <c r="Q796" s="716"/>
      <c r="R796" s="716"/>
      <c r="S796" s="716"/>
      <c r="T796" s="716"/>
      <c r="U796" s="716"/>
      <c r="V796" s="716"/>
      <c r="W796" s="716"/>
      <c r="X796" s="716"/>
      <c r="Y796" s="716"/>
      <c r="Z796" s="716"/>
    </row>
    <row r="797">
      <c r="A797" s="716"/>
      <c r="B797" s="717"/>
      <c r="C797" s="716"/>
      <c r="D797" s="716"/>
      <c r="E797" s="716"/>
      <c r="F797" s="716"/>
      <c r="G797" s="716"/>
      <c r="H797" s="716"/>
      <c r="I797" s="716"/>
      <c r="J797" s="716"/>
      <c r="K797" s="716"/>
      <c r="L797" s="716"/>
      <c r="M797" s="716"/>
      <c r="N797" s="716"/>
      <c r="O797" s="716"/>
      <c r="P797" s="716"/>
      <c r="Q797" s="716"/>
      <c r="R797" s="716"/>
      <c r="S797" s="716"/>
      <c r="T797" s="716"/>
      <c r="U797" s="716"/>
      <c r="V797" s="716"/>
      <c r="W797" s="716"/>
      <c r="X797" s="716"/>
      <c r="Y797" s="716"/>
      <c r="Z797" s="716"/>
    </row>
    <row r="798">
      <c r="A798" s="716"/>
      <c r="B798" s="717"/>
      <c r="C798" s="716"/>
      <c r="D798" s="716"/>
      <c r="E798" s="716"/>
      <c r="F798" s="716"/>
      <c r="G798" s="716"/>
      <c r="H798" s="716"/>
      <c r="I798" s="716"/>
      <c r="J798" s="716"/>
      <c r="K798" s="716"/>
      <c r="L798" s="716"/>
      <c r="M798" s="716"/>
      <c r="N798" s="716"/>
      <c r="O798" s="716"/>
      <c r="P798" s="716"/>
      <c r="Q798" s="716"/>
      <c r="R798" s="716"/>
      <c r="S798" s="716"/>
      <c r="T798" s="716"/>
      <c r="U798" s="716"/>
      <c r="V798" s="716"/>
      <c r="W798" s="716"/>
      <c r="X798" s="716"/>
      <c r="Y798" s="716"/>
      <c r="Z798" s="716"/>
    </row>
    <row r="799">
      <c r="A799" s="716"/>
      <c r="B799" s="717"/>
      <c r="C799" s="716"/>
      <c r="D799" s="716"/>
      <c r="E799" s="716"/>
      <c r="F799" s="716"/>
      <c r="G799" s="716"/>
      <c r="H799" s="716"/>
      <c r="I799" s="716"/>
      <c r="J799" s="716"/>
      <c r="K799" s="716"/>
      <c r="L799" s="716"/>
      <c r="M799" s="716"/>
      <c r="N799" s="716"/>
      <c r="O799" s="716"/>
      <c r="P799" s="716"/>
      <c r="Q799" s="716"/>
      <c r="R799" s="716"/>
      <c r="S799" s="716"/>
      <c r="T799" s="716"/>
      <c r="U799" s="716"/>
      <c r="V799" s="716"/>
      <c r="W799" s="716"/>
      <c r="X799" s="716"/>
      <c r="Y799" s="716"/>
      <c r="Z799" s="716"/>
    </row>
    <row r="800">
      <c r="A800" s="716"/>
      <c r="B800" s="717"/>
      <c r="C800" s="716"/>
      <c r="D800" s="716"/>
      <c r="E800" s="716"/>
      <c r="F800" s="716"/>
      <c r="G800" s="716"/>
      <c r="H800" s="716"/>
      <c r="I800" s="716"/>
      <c r="J800" s="716"/>
      <c r="K800" s="716"/>
      <c r="L800" s="716"/>
      <c r="M800" s="716"/>
      <c r="N800" s="716"/>
      <c r="O800" s="716"/>
      <c r="P800" s="716"/>
      <c r="Q800" s="716"/>
      <c r="R800" s="716"/>
      <c r="S800" s="716"/>
      <c r="T800" s="716"/>
      <c r="U800" s="716"/>
      <c r="V800" s="716"/>
      <c r="W800" s="716"/>
      <c r="X800" s="716"/>
      <c r="Y800" s="716"/>
      <c r="Z800" s="716"/>
    </row>
    <row r="801">
      <c r="A801" s="716"/>
      <c r="B801" s="717"/>
      <c r="C801" s="716"/>
      <c r="D801" s="716"/>
      <c r="E801" s="716"/>
      <c r="F801" s="716"/>
      <c r="G801" s="716"/>
      <c r="H801" s="716"/>
      <c r="I801" s="716"/>
      <c r="J801" s="716"/>
      <c r="K801" s="716"/>
      <c r="L801" s="716"/>
      <c r="M801" s="716"/>
      <c r="N801" s="716"/>
      <c r="O801" s="716"/>
      <c r="P801" s="716"/>
      <c r="Q801" s="716"/>
      <c r="R801" s="716"/>
      <c r="S801" s="716"/>
      <c r="T801" s="716"/>
      <c r="U801" s="716"/>
      <c r="V801" s="716"/>
      <c r="W801" s="716"/>
      <c r="X801" s="716"/>
      <c r="Y801" s="716"/>
      <c r="Z801" s="716"/>
    </row>
    <row r="802">
      <c r="A802" s="716"/>
      <c r="B802" s="717"/>
      <c r="C802" s="716"/>
      <c r="D802" s="716"/>
      <c r="E802" s="716"/>
      <c r="F802" s="716"/>
      <c r="G802" s="716"/>
      <c r="H802" s="716"/>
      <c r="I802" s="716"/>
      <c r="J802" s="716"/>
      <c r="K802" s="716"/>
      <c r="L802" s="716"/>
      <c r="M802" s="716"/>
      <c r="N802" s="716"/>
      <c r="O802" s="716"/>
      <c r="P802" s="716"/>
      <c r="Q802" s="716"/>
      <c r="R802" s="716"/>
      <c r="S802" s="716"/>
      <c r="T802" s="716"/>
      <c r="U802" s="716"/>
      <c r="V802" s="716"/>
      <c r="W802" s="716"/>
      <c r="X802" s="716"/>
      <c r="Y802" s="716"/>
      <c r="Z802" s="716"/>
    </row>
    <row r="803">
      <c r="A803" s="716"/>
      <c r="B803" s="717"/>
      <c r="C803" s="716"/>
      <c r="D803" s="716"/>
      <c r="E803" s="716"/>
      <c r="F803" s="716"/>
      <c r="G803" s="716"/>
      <c r="H803" s="716"/>
      <c r="I803" s="716"/>
      <c r="J803" s="716"/>
      <c r="K803" s="716"/>
      <c r="L803" s="716"/>
      <c r="M803" s="716"/>
      <c r="N803" s="716"/>
      <c r="O803" s="716"/>
      <c r="P803" s="716"/>
      <c r="Q803" s="716"/>
      <c r="R803" s="716"/>
      <c r="S803" s="716"/>
      <c r="T803" s="716"/>
      <c r="U803" s="716"/>
      <c r="V803" s="716"/>
      <c r="W803" s="716"/>
      <c r="X803" s="716"/>
      <c r="Y803" s="716"/>
      <c r="Z803" s="716"/>
    </row>
    <row r="804">
      <c r="A804" s="716"/>
      <c r="B804" s="717"/>
      <c r="C804" s="716"/>
      <c r="D804" s="716"/>
      <c r="E804" s="716"/>
      <c r="F804" s="716"/>
      <c r="G804" s="716"/>
      <c r="H804" s="716"/>
      <c r="I804" s="716"/>
      <c r="J804" s="716"/>
      <c r="K804" s="716"/>
      <c r="L804" s="716"/>
      <c r="M804" s="716"/>
      <c r="N804" s="716"/>
      <c r="O804" s="716"/>
      <c r="P804" s="716"/>
      <c r="Q804" s="716"/>
      <c r="R804" s="716"/>
      <c r="S804" s="716"/>
      <c r="T804" s="716"/>
      <c r="U804" s="716"/>
      <c r="V804" s="716"/>
      <c r="W804" s="716"/>
      <c r="X804" s="716"/>
      <c r="Y804" s="716"/>
      <c r="Z804" s="716"/>
    </row>
    <row r="805">
      <c r="A805" s="716"/>
      <c r="B805" s="717"/>
      <c r="C805" s="716"/>
      <c r="D805" s="716"/>
      <c r="E805" s="716"/>
      <c r="F805" s="716"/>
      <c r="G805" s="716"/>
      <c r="H805" s="716"/>
      <c r="I805" s="716"/>
      <c r="J805" s="716"/>
      <c r="K805" s="716"/>
      <c r="L805" s="716"/>
      <c r="M805" s="716"/>
      <c r="N805" s="716"/>
      <c r="O805" s="716"/>
      <c r="P805" s="716"/>
      <c r="Q805" s="716"/>
      <c r="R805" s="716"/>
      <c r="S805" s="716"/>
      <c r="T805" s="716"/>
      <c r="U805" s="716"/>
      <c r="V805" s="716"/>
      <c r="W805" s="716"/>
      <c r="X805" s="716"/>
      <c r="Y805" s="716"/>
      <c r="Z805" s="716"/>
    </row>
    <row r="806">
      <c r="A806" s="716"/>
      <c r="B806" s="717"/>
      <c r="C806" s="716"/>
      <c r="D806" s="716"/>
      <c r="E806" s="716"/>
      <c r="F806" s="716"/>
      <c r="G806" s="716"/>
      <c r="H806" s="716"/>
      <c r="I806" s="716"/>
      <c r="J806" s="716"/>
      <c r="K806" s="716"/>
      <c r="L806" s="716"/>
      <c r="M806" s="716"/>
      <c r="N806" s="716"/>
      <c r="O806" s="716"/>
      <c r="P806" s="716"/>
      <c r="Q806" s="716"/>
      <c r="R806" s="716"/>
      <c r="S806" s="716"/>
      <c r="T806" s="716"/>
      <c r="U806" s="716"/>
      <c r="V806" s="716"/>
      <c r="W806" s="716"/>
      <c r="X806" s="716"/>
      <c r="Y806" s="716"/>
      <c r="Z806" s="716"/>
    </row>
    <row r="807">
      <c r="A807" s="716"/>
      <c r="B807" s="717"/>
      <c r="C807" s="716"/>
      <c r="D807" s="716"/>
      <c r="E807" s="716"/>
      <c r="F807" s="716"/>
      <c r="G807" s="716"/>
      <c r="H807" s="716"/>
      <c r="I807" s="716"/>
      <c r="J807" s="716"/>
      <c r="K807" s="716"/>
      <c r="L807" s="716"/>
      <c r="M807" s="716"/>
      <c r="N807" s="716"/>
      <c r="O807" s="716"/>
      <c r="P807" s="716"/>
      <c r="Q807" s="716"/>
      <c r="R807" s="716"/>
      <c r="S807" s="716"/>
      <c r="T807" s="716"/>
      <c r="U807" s="716"/>
      <c r="V807" s="716"/>
      <c r="W807" s="716"/>
      <c r="X807" s="716"/>
      <c r="Y807" s="716"/>
      <c r="Z807" s="716"/>
    </row>
    <row r="808">
      <c r="A808" s="716"/>
      <c r="B808" s="717"/>
      <c r="C808" s="716"/>
      <c r="D808" s="716"/>
      <c r="E808" s="716"/>
      <c r="F808" s="716"/>
      <c r="G808" s="716"/>
      <c r="H808" s="716"/>
      <c r="I808" s="716"/>
      <c r="J808" s="716"/>
      <c r="K808" s="716"/>
      <c r="L808" s="716"/>
      <c r="M808" s="716"/>
      <c r="N808" s="716"/>
      <c r="O808" s="716"/>
      <c r="P808" s="716"/>
      <c r="Q808" s="716"/>
      <c r="R808" s="716"/>
      <c r="S808" s="716"/>
      <c r="T808" s="716"/>
      <c r="U808" s="716"/>
      <c r="V808" s="716"/>
      <c r="W808" s="716"/>
      <c r="X808" s="716"/>
      <c r="Y808" s="716"/>
      <c r="Z808" s="716"/>
    </row>
    <row r="809">
      <c r="A809" s="716"/>
      <c r="B809" s="717"/>
      <c r="C809" s="716"/>
      <c r="D809" s="716"/>
      <c r="E809" s="716"/>
      <c r="F809" s="716"/>
      <c r="G809" s="716"/>
      <c r="H809" s="716"/>
      <c r="I809" s="716"/>
      <c r="J809" s="716"/>
      <c r="K809" s="716"/>
      <c r="L809" s="716"/>
      <c r="M809" s="716"/>
      <c r="N809" s="716"/>
      <c r="O809" s="716"/>
      <c r="P809" s="716"/>
      <c r="Q809" s="716"/>
      <c r="R809" s="716"/>
      <c r="S809" s="716"/>
      <c r="T809" s="716"/>
      <c r="U809" s="716"/>
      <c r="V809" s="716"/>
      <c r="W809" s="716"/>
      <c r="X809" s="716"/>
      <c r="Y809" s="716"/>
      <c r="Z809" s="716"/>
    </row>
    <row r="810">
      <c r="A810" s="716"/>
      <c r="B810" s="717"/>
      <c r="C810" s="716"/>
      <c r="D810" s="716"/>
      <c r="E810" s="716"/>
      <c r="F810" s="716"/>
      <c r="G810" s="716"/>
      <c r="H810" s="716"/>
      <c r="I810" s="716"/>
      <c r="J810" s="716"/>
      <c r="K810" s="716"/>
      <c r="L810" s="716"/>
      <c r="M810" s="716"/>
      <c r="N810" s="716"/>
      <c r="O810" s="716"/>
      <c r="P810" s="716"/>
      <c r="Q810" s="716"/>
      <c r="R810" s="716"/>
      <c r="S810" s="716"/>
      <c r="T810" s="716"/>
      <c r="U810" s="716"/>
      <c r="V810" s="716"/>
      <c r="W810" s="716"/>
      <c r="X810" s="716"/>
      <c r="Y810" s="716"/>
      <c r="Z810" s="716"/>
    </row>
    <row r="811">
      <c r="A811" s="716"/>
      <c r="B811" s="717"/>
      <c r="C811" s="716"/>
      <c r="D811" s="716"/>
      <c r="E811" s="716"/>
      <c r="F811" s="716"/>
      <c r="G811" s="716"/>
      <c r="H811" s="716"/>
      <c r="I811" s="716"/>
      <c r="J811" s="716"/>
      <c r="K811" s="716"/>
      <c r="L811" s="716"/>
      <c r="M811" s="716"/>
      <c r="N811" s="716"/>
      <c r="O811" s="716"/>
      <c r="P811" s="716"/>
      <c r="Q811" s="716"/>
      <c r="R811" s="716"/>
      <c r="S811" s="716"/>
      <c r="T811" s="716"/>
      <c r="U811" s="716"/>
      <c r="V811" s="716"/>
      <c r="W811" s="716"/>
      <c r="X811" s="716"/>
      <c r="Y811" s="716"/>
      <c r="Z811" s="716"/>
    </row>
    <row r="812">
      <c r="A812" s="716"/>
      <c r="B812" s="717"/>
      <c r="C812" s="716"/>
      <c r="D812" s="716"/>
      <c r="E812" s="716"/>
      <c r="F812" s="716"/>
      <c r="G812" s="716"/>
      <c r="H812" s="716"/>
      <c r="I812" s="716"/>
      <c r="J812" s="716"/>
      <c r="K812" s="716"/>
      <c r="L812" s="716"/>
      <c r="M812" s="716"/>
      <c r="N812" s="716"/>
      <c r="O812" s="716"/>
      <c r="P812" s="716"/>
      <c r="Q812" s="716"/>
      <c r="R812" s="716"/>
      <c r="S812" s="716"/>
      <c r="T812" s="716"/>
      <c r="U812" s="716"/>
      <c r="V812" s="716"/>
      <c r="W812" s="716"/>
      <c r="X812" s="716"/>
      <c r="Y812" s="716"/>
      <c r="Z812" s="716"/>
    </row>
    <row r="813">
      <c r="A813" s="716"/>
      <c r="B813" s="717"/>
      <c r="C813" s="716"/>
      <c r="D813" s="716"/>
      <c r="E813" s="716"/>
      <c r="F813" s="716"/>
      <c r="G813" s="716"/>
      <c r="H813" s="716"/>
      <c r="I813" s="716"/>
      <c r="J813" s="716"/>
      <c r="K813" s="716"/>
      <c r="L813" s="716"/>
      <c r="M813" s="716"/>
      <c r="N813" s="716"/>
      <c r="O813" s="716"/>
      <c r="P813" s="716"/>
      <c r="Q813" s="716"/>
      <c r="R813" s="716"/>
      <c r="S813" s="716"/>
      <c r="T813" s="716"/>
      <c r="U813" s="716"/>
      <c r="V813" s="716"/>
      <c r="W813" s="716"/>
      <c r="X813" s="716"/>
      <c r="Y813" s="716"/>
      <c r="Z813" s="716"/>
    </row>
    <row r="814">
      <c r="A814" s="716"/>
      <c r="B814" s="717"/>
      <c r="C814" s="716"/>
      <c r="D814" s="716"/>
      <c r="E814" s="716"/>
      <c r="F814" s="716"/>
      <c r="G814" s="716"/>
      <c r="H814" s="716"/>
      <c r="I814" s="716"/>
      <c r="J814" s="716"/>
      <c r="K814" s="716"/>
      <c r="L814" s="716"/>
      <c r="M814" s="716"/>
      <c r="N814" s="716"/>
      <c r="O814" s="716"/>
      <c r="P814" s="716"/>
      <c r="Q814" s="716"/>
      <c r="R814" s="716"/>
      <c r="S814" s="716"/>
      <c r="T814" s="716"/>
      <c r="U814" s="716"/>
      <c r="V814" s="716"/>
      <c r="W814" s="716"/>
      <c r="X814" s="716"/>
      <c r="Y814" s="716"/>
      <c r="Z814" s="716"/>
    </row>
    <row r="815">
      <c r="A815" s="716"/>
      <c r="B815" s="717"/>
      <c r="C815" s="716"/>
      <c r="D815" s="716"/>
      <c r="E815" s="716"/>
      <c r="F815" s="716"/>
      <c r="G815" s="716"/>
      <c r="H815" s="716"/>
      <c r="I815" s="716"/>
      <c r="J815" s="716"/>
      <c r="K815" s="716"/>
      <c r="L815" s="716"/>
      <c r="M815" s="716"/>
      <c r="N815" s="716"/>
      <c r="O815" s="716"/>
      <c r="P815" s="716"/>
      <c r="Q815" s="716"/>
      <c r="R815" s="716"/>
      <c r="S815" s="716"/>
      <c r="T815" s="716"/>
      <c r="U815" s="716"/>
      <c r="V815" s="716"/>
      <c r="W815" s="716"/>
      <c r="X815" s="716"/>
      <c r="Y815" s="716"/>
      <c r="Z815" s="716"/>
    </row>
    <row r="816">
      <c r="A816" s="716"/>
      <c r="B816" s="717"/>
      <c r="C816" s="716"/>
      <c r="D816" s="716"/>
      <c r="E816" s="716"/>
      <c r="F816" s="716"/>
      <c r="G816" s="716"/>
      <c r="H816" s="716"/>
      <c r="I816" s="716"/>
      <c r="J816" s="716"/>
      <c r="K816" s="716"/>
      <c r="L816" s="716"/>
      <c r="M816" s="716"/>
      <c r="N816" s="716"/>
      <c r="O816" s="716"/>
      <c r="P816" s="716"/>
      <c r="Q816" s="716"/>
      <c r="R816" s="716"/>
      <c r="S816" s="716"/>
      <c r="T816" s="716"/>
      <c r="U816" s="716"/>
      <c r="V816" s="716"/>
      <c r="W816" s="716"/>
      <c r="X816" s="716"/>
      <c r="Y816" s="716"/>
      <c r="Z816" s="716"/>
    </row>
    <row r="817">
      <c r="A817" s="716"/>
      <c r="B817" s="717"/>
      <c r="C817" s="716"/>
      <c r="D817" s="716"/>
      <c r="E817" s="716"/>
      <c r="F817" s="716"/>
      <c r="G817" s="716"/>
      <c r="H817" s="716"/>
      <c r="I817" s="716"/>
      <c r="J817" s="716"/>
      <c r="K817" s="716"/>
      <c r="L817" s="716"/>
      <c r="M817" s="716"/>
      <c r="N817" s="716"/>
      <c r="O817" s="716"/>
      <c r="P817" s="716"/>
      <c r="Q817" s="716"/>
      <c r="R817" s="716"/>
      <c r="S817" s="716"/>
      <c r="T817" s="716"/>
      <c r="U817" s="716"/>
      <c r="V817" s="716"/>
      <c r="W817" s="716"/>
      <c r="X817" s="716"/>
      <c r="Y817" s="716"/>
      <c r="Z817" s="716"/>
    </row>
    <row r="818">
      <c r="A818" s="716"/>
      <c r="B818" s="717"/>
      <c r="C818" s="716"/>
      <c r="D818" s="716"/>
      <c r="E818" s="716"/>
      <c r="F818" s="716"/>
      <c r="G818" s="716"/>
      <c r="H818" s="716"/>
      <c r="I818" s="716"/>
      <c r="J818" s="716"/>
      <c r="K818" s="716"/>
      <c r="L818" s="716"/>
      <c r="M818" s="716"/>
      <c r="N818" s="716"/>
      <c r="O818" s="716"/>
      <c r="P818" s="716"/>
      <c r="Q818" s="716"/>
      <c r="R818" s="716"/>
      <c r="S818" s="716"/>
      <c r="T818" s="716"/>
      <c r="U818" s="716"/>
      <c r="V818" s="716"/>
      <c r="W818" s="716"/>
      <c r="X818" s="716"/>
      <c r="Y818" s="716"/>
      <c r="Z818" s="716"/>
    </row>
    <row r="819">
      <c r="A819" s="716"/>
      <c r="B819" s="717"/>
      <c r="C819" s="716"/>
      <c r="D819" s="716"/>
      <c r="E819" s="716"/>
      <c r="F819" s="716"/>
      <c r="G819" s="716"/>
      <c r="H819" s="716"/>
      <c r="I819" s="716"/>
      <c r="J819" s="716"/>
      <c r="K819" s="716"/>
      <c r="L819" s="716"/>
      <c r="M819" s="716"/>
      <c r="N819" s="716"/>
      <c r="O819" s="716"/>
      <c r="P819" s="716"/>
      <c r="Q819" s="716"/>
      <c r="R819" s="716"/>
      <c r="S819" s="716"/>
      <c r="T819" s="716"/>
      <c r="U819" s="716"/>
      <c r="V819" s="716"/>
      <c r="W819" s="716"/>
      <c r="X819" s="716"/>
      <c r="Y819" s="716"/>
      <c r="Z819" s="716"/>
    </row>
    <row r="820">
      <c r="A820" s="716"/>
      <c r="B820" s="717"/>
      <c r="C820" s="716"/>
      <c r="D820" s="716"/>
      <c r="E820" s="716"/>
      <c r="F820" s="716"/>
      <c r="G820" s="716"/>
      <c r="H820" s="716"/>
      <c r="I820" s="716"/>
      <c r="J820" s="716"/>
      <c r="K820" s="716"/>
      <c r="L820" s="716"/>
      <c r="M820" s="716"/>
      <c r="N820" s="716"/>
      <c r="O820" s="716"/>
      <c r="P820" s="716"/>
      <c r="Q820" s="716"/>
      <c r="R820" s="716"/>
      <c r="S820" s="716"/>
      <c r="T820" s="716"/>
      <c r="U820" s="716"/>
      <c r="V820" s="716"/>
      <c r="W820" s="716"/>
      <c r="X820" s="716"/>
      <c r="Y820" s="716"/>
      <c r="Z820" s="716"/>
    </row>
    <row r="821">
      <c r="A821" s="716"/>
      <c r="B821" s="717"/>
      <c r="C821" s="716"/>
      <c r="D821" s="716"/>
      <c r="E821" s="716"/>
      <c r="F821" s="716"/>
      <c r="G821" s="716"/>
      <c r="H821" s="716"/>
      <c r="I821" s="716"/>
      <c r="J821" s="716"/>
      <c r="K821" s="716"/>
      <c r="L821" s="716"/>
      <c r="M821" s="716"/>
      <c r="N821" s="716"/>
      <c r="O821" s="716"/>
      <c r="P821" s="716"/>
      <c r="Q821" s="716"/>
      <c r="R821" s="716"/>
      <c r="S821" s="716"/>
      <c r="T821" s="716"/>
      <c r="U821" s="716"/>
      <c r="V821" s="716"/>
      <c r="W821" s="716"/>
      <c r="X821" s="716"/>
      <c r="Y821" s="716"/>
      <c r="Z821" s="716"/>
    </row>
    <row r="822">
      <c r="A822" s="716"/>
      <c r="B822" s="717"/>
      <c r="C822" s="716"/>
      <c r="D822" s="716"/>
      <c r="E822" s="716"/>
      <c r="F822" s="716"/>
      <c r="G822" s="716"/>
      <c r="H822" s="716"/>
      <c r="I822" s="716"/>
      <c r="J822" s="716"/>
      <c r="K822" s="716"/>
      <c r="L822" s="716"/>
      <c r="M822" s="716"/>
      <c r="N822" s="716"/>
      <c r="O822" s="716"/>
      <c r="P822" s="716"/>
      <c r="Q822" s="716"/>
      <c r="R822" s="716"/>
      <c r="S822" s="716"/>
      <c r="T822" s="716"/>
      <c r="U822" s="716"/>
      <c r="V822" s="716"/>
      <c r="W822" s="716"/>
      <c r="X822" s="716"/>
      <c r="Y822" s="716"/>
      <c r="Z822" s="716"/>
    </row>
    <row r="823">
      <c r="A823" s="716"/>
      <c r="B823" s="717"/>
      <c r="C823" s="716"/>
      <c r="D823" s="716"/>
      <c r="E823" s="716"/>
      <c r="F823" s="716"/>
      <c r="G823" s="716"/>
      <c r="H823" s="716"/>
      <c r="I823" s="716"/>
      <c r="J823" s="716"/>
      <c r="K823" s="716"/>
      <c r="L823" s="716"/>
      <c r="M823" s="716"/>
      <c r="N823" s="716"/>
      <c r="O823" s="716"/>
      <c r="P823" s="716"/>
      <c r="Q823" s="716"/>
      <c r="R823" s="716"/>
      <c r="S823" s="716"/>
      <c r="T823" s="716"/>
      <c r="U823" s="716"/>
      <c r="V823" s="716"/>
      <c r="W823" s="716"/>
      <c r="X823" s="716"/>
      <c r="Y823" s="716"/>
      <c r="Z823" s="716"/>
    </row>
    <row r="824">
      <c r="A824" s="716"/>
      <c r="B824" s="717"/>
      <c r="C824" s="716"/>
      <c r="D824" s="716"/>
      <c r="E824" s="716"/>
      <c r="F824" s="716"/>
      <c r="G824" s="716"/>
      <c r="H824" s="716"/>
      <c r="I824" s="716"/>
      <c r="J824" s="716"/>
      <c r="K824" s="716"/>
      <c r="L824" s="716"/>
      <c r="M824" s="716"/>
      <c r="N824" s="716"/>
      <c r="O824" s="716"/>
      <c r="P824" s="716"/>
      <c r="Q824" s="716"/>
      <c r="R824" s="716"/>
      <c r="S824" s="716"/>
      <c r="T824" s="716"/>
      <c r="U824" s="716"/>
      <c r="V824" s="716"/>
      <c r="W824" s="716"/>
      <c r="X824" s="716"/>
      <c r="Y824" s="716"/>
      <c r="Z824" s="716"/>
    </row>
    <row r="825">
      <c r="A825" s="716"/>
      <c r="B825" s="717"/>
      <c r="C825" s="716"/>
      <c r="D825" s="716"/>
      <c r="E825" s="716"/>
      <c r="F825" s="716"/>
      <c r="G825" s="716"/>
      <c r="H825" s="716"/>
      <c r="I825" s="716"/>
      <c r="J825" s="716"/>
      <c r="K825" s="716"/>
      <c r="L825" s="716"/>
      <c r="M825" s="716"/>
      <c r="N825" s="716"/>
      <c r="O825" s="716"/>
      <c r="P825" s="716"/>
      <c r="Q825" s="716"/>
      <c r="R825" s="716"/>
      <c r="S825" s="716"/>
      <c r="T825" s="716"/>
      <c r="U825" s="716"/>
      <c r="V825" s="716"/>
      <c r="W825" s="716"/>
      <c r="X825" s="716"/>
      <c r="Y825" s="716"/>
      <c r="Z825" s="716"/>
    </row>
    <row r="826">
      <c r="A826" s="716"/>
      <c r="B826" s="717"/>
      <c r="C826" s="716"/>
      <c r="D826" s="716"/>
      <c r="E826" s="716"/>
      <c r="F826" s="716"/>
      <c r="G826" s="716"/>
      <c r="H826" s="716"/>
      <c r="I826" s="716"/>
      <c r="J826" s="716"/>
      <c r="K826" s="716"/>
      <c r="L826" s="716"/>
      <c r="M826" s="716"/>
      <c r="N826" s="716"/>
      <c r="O826" s="716"/>
      <c r="P826" s="716"/>
      <c r="Q826" s="716"/>
      <c r="R826" s="716"/>
      <c r="S826" s="716"/>
      <c r="T826" s="716"/>
      <c r="U826" s="716"/>
      <c r="V826" s="716"/>
      <c r="W826" s="716"/>
      <c r="X826" s="716"/>
      <c r="Y826" s="716"/>
      <c r="Z826" s="716"/>
    </row>
    <row r="827">
      <c r="A827" s="716"/>
      <c r="B827" s="717"/>
      <c r="C827" s="716"/>
      <c r="D827" s="716"/>
      <c r="E827" s="716"/>
      <c r="F827" s="716"/>
      <c r="G827" s="716"/>
      <c r="H827" s="716"/>
      <c r="I827" s="716"/>
      <c r="J827" s="716"/>
      <c r="K827" s="716"/>
      <c r="L827" s="716"/>
      <c r="M827" s="716"/>
      <c r="N827" s="716"/>
      <c r="O827" s="716"/>
      <c r="P827" s="716"/>
      <c r="Q827" s="716"/>
      <c r="R827" s="716"/>
      <c r="S827" s="716"/>
      <c r="T827" s="716"/>
      <c r="U827" s="716"/>
      <c r="V827" s="716"/>
      <c r="W827" s="716"/>
      <c r="X827" s="716"/>
      <c r="Y827" s="716"/>
      <c r="Z827" s="716"/>
    </row>
    <row r="828">
      <c r="A828" s="716"/>
      <c r="B828" s="717"/>
      <c r="C828" s="716"/>
      <c r="D828" s="716"/>
      <c r="E828" s="716"/>
      <c r="F828" s="716"/>
      <c r="G828" s="716"/>
      <c r="H828" s="716"/>
      <c r="I828" s="716"/>
      <c r="J828" s="716"/>
      <c r="K828" s="716"/>
      <c r="L828" s="716"/>
      <c r="M828" s="716"/>
      <c r="N828" s="716"/>
      <c r="O828" s="716"/>
      <c r="P828" s="716"/>
      <c r="Q828" s="716"/>
      <c r="R828" s="716"/>
      <c r="S828" s="716"/>
      <c r="T828" s="716"/>
      <c r="U828" s="716"/>
      <c r="V828" s="716"/>
      <c r="W828" s="716"/>
      <c r="X828" s="716"/>
      <c r="Y828" s="716"/>
      <c r="Z828" s="716"/>
    </row>
    <row r="829">
      <c r="A829" s="716"/>
      <c r="B829" s="717"/>
      <c r="C829" s="716"/>
      <c r="D829" s="716"/>
      <c r="E829" s="716"/>
      <c r="F829" s="716"/>
      <c r="G829" s="716"/>
      <c r="H829" s="716"/>
      <c r="I829" s="716"/>
      <c r="J829" s="716"/>
      <c r="K829" s="716"/>
      <c r="L829" s="716"/>
      <c r="M829" s="716"/>
      <c r="N829" s="716"/>
      <c r="O829" s="716"/>
      <c r="P829" s="716"/>
      <c r="Q829" s="716"/>
      <c r="R829" s="716"/>
      <c r="S829" s="716"/>
      <c r="T829" s="716"/>
      <c r="U829" s="716"/>
      <c r="V829" s="716"/>
      <c r="W829" s="716"/>
      <c r="X829" s="716"/>
      <c r="Y829" s="716"/>
      <c r="Z829" s="716"/>
    </row>
    <row r="830">
      <c r="A830" s="716"/>
      <c r="B830" s="717"/>
      <c r="C830" s="716"/>
      <c r="D830" s="716"/>
      <c r="E830" s="716"/>
      <c r="F830" s="716"/>
      <c r="G830" s="716"/>
      <c r="H830" s="716"/>
      <c r="I830" s="716"/>
      <c r="J830" s="716"/>
      <c r="K830" s="716"/>
      <c r="L830" s="716"/>
      <c r="M830" s="716"/>
      <c r="N830" s="716"/>
      <c r="O830" s="716"/>
      <c r="P830" s="716"/>
      <c r="Q830" s="716"/>
      <c r="R830" s="716"/>
      <c r="S830" s="716"/>
      <c r="T830" s="716"/>
      <c r="U830" s="716"/>
      <c r="V830" s="716"/>
      <c r="W830" s="716"/>
      <c r="X830" s="716"/>
      <c r="Y830" s="716"/>
      <c r="Z830" s="716"/>
    </row>
    <row r="831">
      <c r="A831" s="716"/>
      <c r="B831" s="717"/>
      <c r="C831" s="716"/>
      <c r="D831" s="716"/>
      <c r="E831" s="716"/>
      <c r="F831" s="716"/>
      <c r="G831" s="716"/>
      <c r="H831" s="716"/>
      <c r="I831" s="716"/>
      <c r="J831" s="716"/>
      <c r="K831" s="716"/>
      <c r="L831" s="716"/>
      <c r="M831" s="716"/>
      <c r="N831" s="716"/>
      <c r="O831" s="716"/>
      <c r="P831" s="716"/>
      <c r="Q831" s="716"/>
      <c r="R831" s="716"/>
      <c r="S831" s="716"/>
      <c r="T831" s="716"/>
      <c r="U831" s="716"/>
      <c r="V831" s="716"/>
      <c r="W831" s="716"/>
      <c r="X831" s="716"/>
      <c r="Y831" s="716"/>
      <c r="Z831" s="716"/>
    </row>
    <row r="832">
      <c r="A832" s="716"/>
      <c r="B832" s="717"/>
      <c r="C832" s="716"/>
      <c r="D832" s="716"/>
      <c r="E832" s="716"/>
      <c r="F832" s="716"/>
      <c r="G832" s="716"/>
      <c r="H832" s="716"/>
      <c r="I832" s="716"/>
      <c r="J832" s="716"/>
      <c r="K832" s="716"/>
      <c r="L832" s="716"/>
      <c r="M832" s="716"/>
      <c r="N832" s="716"/>
      <c r="O832" s="716"/>
      <c r="P832" s="716"/>
      <c r="Q832" s="716"/>
      <c r="R832" s="716"/>
      <c r="S832" s="716"/>
      <c r="T832" s="716"/>
      <c r="U832" s="716"/>
      <c r="V832" s="716"/>
      <c r="W832" s="716"/>
      <c r="X832" s="716"/>
      <c r="Y832" s="716"/>
      <c r="Z832" s="716"/>
    </row>
    <row r="833">
      <c r="A833" s="716"/>
      <c r="B833" s="717"/>
      <c r="C833" s="716"/>
      <c r="D833" s="716"/>
      <c r="E833" s="716"/>
      <c r="F833" s="716"/>
      <c r="G833" s="716"/>
      <c r="H833" s="716"/>
      <c r="I833" s="716"/>
      <c r="J833" s="716"/>
      <c r="K833" s="716"/>
      <c r="L833" s="716"/>
      <c r="M833" s="716"/>
      <c r="N833" s="716"/>
      <c r="O833" s="716"/>
      <c r="P833" s="716"/>
      <c r="Q833" s="716"/>
      <c r="R833" s="716"/>
      <c r="S833" s="716"/>
      <c r="T833" s="716"/>
      <c r="U833" s="716"/>
      <c r="V833" s="716"/>
      <c r="W833" s="716"/>
      <c r="X833" s="716"/>
      <c r="Y833" s="716"/>
      <c r="Z833" s="716"/>
    </row>
    <row r="834">
      <c r="A834" s="716"/>
      <c r="B834" s="717"/>
      <c r="C834" s="716"/>
      <c r="D834" s="716"/>
      <c r="E834" s="716"/>
      <c r="F834" s="716"/>
      <c r="G834" s="716"/>
      <c r="H834" s="716"/>
      <c r="I834" s="716"/>
      <c r="J834" s="716"/>
      <c r="K834" s="716"/>
      <c r="L834" s="716"/>
      <c r="M834" s="716"/>
      <c r="N834" s="716"/>
      <c r="O834" s="716"/>
      <c r="P834" s="716"/>
      <c r="Q834" s="716"/>
      <c r="R834" s="716"/>
      <c r="S834" s="716"/>
      <c r="T834" s="716"/>
      <c r="U834" s="716"/>
      <c r="V834" s="716"/>
      <c r="W834" s="716"/>
      <c r="X834" s="716"/>
      <c r="Y834" s="716"/>
      <c r="Z834" s="716"/>
    </row>
    <row r="835">
      <c r="A835" s="716"/>
      <c r="B835" s="717"/>
      <c r="C835" s="716"/>
      <c r="D835" s="716"/>
      <c r="E835" s="716"/>
      <c r="F835" s="716"/>
      <c r="G835" s="716"/>
      <c r="H835" s="716"/>
      <c r="I835" s="716"/>
      <c r="J835" s="716"/>
      <c r="K835" s="716"/>
      <c r="L835" s="716"/>
      <c r="M835" s="716"/>
      <c r="N835" s="716"/>
      <c r="O835" s="716"/>
      <c r="P835" s="716"/>
      <c r="Q835" s="716"/>
      <c r="R835" s="716"/>
      <c r="S835" s="716"/>
      <c r="T835" s="716"/>
      <c r="U835" s="716"/>
      <c r="V835" s="716"/>
      <c r="W835" s="716"/>
      <c r="X835" s="716"/>
      <c r="Y835" s="716"/>
      <c r="Z835" s="716"/>
    </row>
    <row r="836">
      <c r="A836" s="716"/>
      <c r="B836" s="717"/>
      <c r="C836" s="716"/>
      <c r="D836" s="716"/>
      <c r="E836" s="716"/>
      <c r="F836" s="716"/>
      <c r="G836" s="716"/>
      <c r="H836" s="716"/>
      <c r="I836" s="716"/>
      <c r="J836" s="716"/>
      <c r="K836" s="716"/>
      <c r="L836" s="716"/>
      <c r="M836" s="716"/>
      <c r="N836" s="716"/>
      <c r="O836" s="716"/>
      <c r="P836" s="716"/>
      <c r="Q836" s="716"/>
      <c r="R836" s="716"/>
      <c r="S836" s="716"/>
      <c r="T836" s="716"/>
      <c r="U836" s="716"/>
      <c r="V836" s="716"/>
      <c r="W836" s="716"/>
      <c r="X836" s="716"/>
      <c r="Y836" s="716"/>
      <c r="Z836" s="716"/>
    </row>
    <row r="837">
      <c r="A837" s="716"/>
      <c r="B837" s="717"/>
      <c r="C837" s="716"/>
      <c r="D837" s="716"/>
      <c r="E837" s="716"/>
      <c r="F837" s="716"/>
      <c r="G837" s="716"/>
      <c r="H837" s="716"/>
      <c r="I837" s="716"/>
      <c r="J837" s="716"/>
      <c r="K837" s="716"/>
      <c r="L837" s="716"/>
      <c r="M837" s="716"/>
      <c r="N837" s="716"/>
      <c r="O837" s="716"/>
      <c r="P837" s="716"/>
      <c r="Q837" s="716"/>
      <c r="R837" s="716"/>
      <c r="S837" s="716"/>
      <c r="T837" s="716"/>
      <c r="U837" s="716"/>
      <c r="V837" s="716"/>
      <c r="W837" s="716"/>
      <c r="X837" s="716"/>
      <c r="Y837" s="716"/>
      <c r="Z837" s="716"/>
    </row>
    <row r="838">
      <c r="A838" s="716"/>
      <c r="B838" s="717"/>
      <c r="C838" s="716"/>
      <c r="D838" s="716"/>
      <c r="E838" s="716"/>
      <c r="F838" s="716"/>
      <c r="G838" s="716"/>
      <c r="H838" s="716"/>
      <c r="I838" s="716"/>
      <c r="J838" s="716"/>
      <c r="K838" s="716"/>
      <c r="L838" s="716"/>
      <c r="M838" s="716"/>
      <c r="N838" s="716"/>
      <c r="O838" s="716"/>
      <c r="P838" s="716"/>
      <c r="Q838" s="716"/>
      <c r="R838" s="716"/>
      <c r="S838" s="716"/>
      <c r="T838" s="716"/>
      <c r="U838" s="716"/>
      <c r="V838" s="716"/>
      <c r="W838" s="716"/>
      <c r="X838" s="716"/>
      <c r="Y838" s="716"/>
      <c r="Z838" s="716"/>
    </row>
    <row r="839">
      <c r="A839" s="716"/>
      <c r="B839" s="717"/>
      <c r="C839" s="716"/>
      <c r="D839" s="716"/>
      <c r="E839" s="716"/>
      <c r="F839" s="716"/>
      <c r="G839" s="716"/>
      <c r="H839" s="716"/>
      <c r="I839" s="716"/>
      <c r="J839" s="716"/>
      <c r="K839" s="716"/>
      <c r="L839" s="716"/>
      <c r="M839" s="716"/>
      <c r="N839" s="716"/>
      <c r="O839" s="716"/>
      <c r="P839" s="716"/>
      <c r="Q839" s="716"/>
      <c r="R839" s="716"/>
      <c r="S839" s="716"/>
      <c r="T839" s="716"/>
      <c r="U839" s="716"/>
      <c r="V839" s="716"/>
      <c r="W839" s="716"/>
      <c r="X839" s="716"/>
      <c r="Y839" s="716"/>
      <c r="Z839" s="716"/>
    </row>
    <row r="840">
      <c r="A840" s="716"/>
      <c r="B840" s="717"/>
      <c r="C840" s="716"/>
      <c r="D840" s="716"/>
      <c r="E840" s="716"/>
      <c r="F840" s="716"/>
      <c r="G840" s="716"/>
      <c r="H840" s="716"/>
      <c r="I840" s="716"/>
      <c r="J840" s="716"/>
      <c r="K840" s="716"/>
      <c r="L840" s="716"/>
      <c r="M840" s="716"/>
      <c r="N840" s="716"/>
      <c r="O840" s="716"/>
      <c r="P840" s="716"/>
      <c r="Q840" s="716"/>
      <c r="R840" s="716"/>
      <c r="S840" s="716"/>
      <c r="T840" s="716"/>
      <c r="U840" s="716"/>
      <c r="V840" s="716"/>
      <c r="W840" s="716"/>
      <c r="X840" s="716"/>
      <c r="Y840" s="716"/>
      <c r="Z840" s="716"/>
    </row>
    <row r="841">
      <c r="A841" s="716"/>
      <c r="B841" s="717"/>
      <c r="C841" s="716"/>
      <c r="D841" s="716"/>
      <c r="E841" s="716"/>
      <c r="F841" s="716"/>
      <c r="G841" s="716"/>
      <c r="H841" s="716"/>
      <c r="I841" s="716"/>
      <c r="J841" s="716"/>
      <c r="K841" s="716"/>
      <c r="L841" s="716"/>
      <c r="M841" s="716"/>
      <c r="N841" s="716"/>
      <c r="O841" s="716"/>
      <c r="P841" s="716"/>
      <c r="Q841" s="716"/>
      <c r="R841" s="716"/>
      <c r="S841" s="716"/>
      <c r="T841" s="716"/>
      <c r="U841" s="716"/>
      <c r="V841" s="716"/>
      <c r="W841" s="716"/>
      <c r="X841" s="716"/>
      <c r="Y841" s="716"/>
      <c r="Z841" s="716"/>
    </row>
    <row r="842">
      <c r="A842" s="716"/>
      <c r="B842" s="717"/>
      <c r="C842" s="716"/>
      <c r="D842" s="716"/>
      <c r="E842" s="716"/>
      <c r="F842" s="716"/>
      <c r="G842" s="716"/>
      <c r="H842" s="716"/>
      <c r="I842" s="716"/>
      <c r="J842" s="716"/>
      <c r="K842" s="716"/>
      <c r="L842" s="716"/>
      <c r="M842" s="716"/>
      <c r="N842" s="716"/>
      <c r="O842" s="716"/>
      <c r="P842" s="716"/>
      <c r="Q842" s="716"/>
      <c r="R842" s="716"/>
      <c r="S842" s="716"/>
      <c r="T842" s="716"/>
      <c r="U842" s="716"/>
      <c r="V842" s="716"/>
      <c r="W842" s="716"/>
      <c r="X842" s="716"/>
      <c r="Y842" s="716"/>
      <c r="Z842" s="716"/>
    </row>
    <row r="843">
      <c r="A843" s="716"/>
      <c r="B843" s="717"/>
      <c r="C843" s="716"/>
      <c r="D843" s="716"/>
      <c r="E843" s="716"/>
      <c r="F843" s="716"/>
      <c r="G843" s="716"/>
      <c r="H843" s="716"/>
      <c r="I843" s="716"/>
      <c r="J843" s="716"/>
      <c r="K843" s="716"/>
      <c r="L843" s="716"/>
      <c r="M843" s="716"/>
      <c r="N843" s="716"/>
      <c r="O843" s="716"/>
      <c r="P843" s="716"/>
      <c r="Q843" s="716"/>
      <c r="R843" s="716"/>
      <c r="S843" s="716"/>
      <c r="T843" s="716"/>
      <c r="U843" s="716"/>
      <c r="V843" s="716"/>
      <c r="W843" s="716"/>
      <c r="X843" s="716"/>
      <c r="Y843" s="716"/>
      <c r="Z843" s="716"/>
    </row>
    <row r="844">
      <c r="A844" s="716"/>
      <c r="B844" s="717"/>
      <c r="C844" s="716"/>
      <c r="D844" s="716"/>
      <c r="E844" s="716"/>
      <c r="F844" s="716"/>
      <c r="G844" s="716"/>
      <c r="H844" s="716"/>
      <c r="I844" s="716"/>
      <c r="J844" s="716"/>
      <c r="K844" s="716"/>
      <c r="L844" s="716"/>
      <c r="M844" s="716"/>
      <c r="N844" s="716"/>
      <c r="O844" s="716"/>
      <c r="P844" s="716"/>
      <c r="Q844" s="716"/>
      <c r="R844" s="716"/>
      <c r="S844" s="716"/>
      <c r="T844" s="716"/>
      <c r="U844" s="716"/>
      <c r="V844" s="716"/>
      <c r="W844" s="716"/>
      <c r="X844" s="716"/>
      <c r="Y844" s="716"/>
      <c r="Z844" s="716"/>
    </row>
    <row r="845">
      <c r="A845" s="716"/>
      <c r="B845" s="717"/>
      <c r="C845" s="716"/>
      <c r="D845" s="716"/>
      <c r="E845" s="716"/>
      <c r="F845" s="716"/>
      <c r="G845" s="716"/>
      <c r="H845" s="716"/>
      <c r="I845" s="716"/>
      <c r="J845" s="716"/>
      <c r="K845" s="716"/>
      <c r="L845" s="716"/>
      <c r="M845" s="716"/>
      <c r="N845" s="716"/>
      <c r="O845" s="716"/>
      <c r="P845" s="716"/>
      <c r="Q845" s="716"/>
      <c r="R845" s="716"/>
      <c r="S845" s="716"/>
      <c r="T845" s="716"/>
      <c r="U845" s="716"/>
      <c r="V845" s="716"/>
      <c r="W845" s="716"/>
      <c r="X845" s="716"/>
      <c r="Y845" s="716"/>
      <c r="Z845" s="716"/>
    </row>
    <row r="846">
      <c r="A846" s="716"/>
      <c r="B846" s="717"/>
      <c r="C846" s="716"/>
      <c r="D846" s="716"/>
      <c r="E846" s="716"/>
      <c r="F846" s="716"/>
      <c r="G846" s="716"/>
      <c r="H846" s="716"/>
      <c r="I846" s="716"/>
      <c r="J846" s="716"/>
      <c r="K846" s="716"/>
      <c r="L846" s="716"/>
      <c r="M846" s="716"/>
      <c r="N846" s="716"/>
      <c r="O846" s="716"/>
      <c r="P846" s="716"/>
      <c r="Q846" s="716"/>
      <c r="R846" s="716"/>
      <c r="S846" s="716"/>
      <c r="T846" s="716"/>
      <c r="U846" s="716"/>
      <c r="V846" s="716"/>
      <c r="W846" s="716"/>
      <c r="X846" s="716"/>
      <c r="Y846" s="716"/>
      <c r="Z846" s="716"/>
    </row>
    <row r="847">
      <c r="A847" s="716"/>
      <c r="B847" s="717"/>
      <c r="C847" s="716"/>
      <c r="D847" s="716"/>
      <c r="E847" s="716"/>
      <c r="F847" s="716"/>
      <c r="G847" s="716"/>
      <c r="H847" s="716"/>
      <c r="I847" s="716"/>
      <c r="J847" s="716"/>
      <c r="K847" s="716"/>
      <c r="L847" s="716"/>
      <c r="M847" s="716"/>
      <c r="N847" s="716"/>
      <c r="O847" s="716"/>
      <c r="P847" s="716"/>
      <c r="Q847" s="716"/>
      <c r="R847" s="716"/>
      <c r="S847" s="716"/>
      <c r="T847" s="716"/>
      <c r="U847" s="716"/>
      <c r="V847" s="716"/>
      <c r="W847" s="716"/>
      <c r="X847" s="716"/>
      <c r="Y847" s="716"/>
      <c r="Z847" s="716"/>
    </row>
    <row r="848">
      <c r="A848" s="716"/>
      <c r="B848" s="717"/>
      <c r="C848" s="716"/>
      <c r="D848" s="716"/>
      <c r="E848" s="716"/>
      <c r="F848" s="716"/>
      <c r="G848" s="716"/>
      <c r="H848" s="716"/>
      <c r="I848" s="716"/>
      <c r="J848" s="716"/>
      <c r="K848" s="716"/>
      <c r="L848" s="716"/>
      <c r="M848" s="716"/>
      <c r="N848" s="716"/>
      <c r="O848" s="716"/>
      <c r="P848" s="716"/>
      <c r="Q848" s="716"/>
      <c r="R848" s="716"/>
      <c r="S848" s="716"/>
      <c r="T848" s="716"/>
      <c r="U848" s="716"/>
      <c r="V848" s="716"/>
      <c r="W848" s="716"/>
      <c r="X848" s="716"/>
      <c r="Y848" s="716"/>
      <c r="Z848" s="716"/>
    </row>
    <row r="849">
      <c r="A849" s="716"/>
      <c r="B849" s="717"/>
      <c r="C849" s="716"/>
      <c r="D849" s="716"/>
      <c r="E849" s="716"/>
      <c r="F849" s="716"/>
      <c r="G849" s="716"/>
      <c r="H849" s="716"/>
      <c r="I849" s="716"/>
      <c r="J849" s="716"/>
      <c r="K849" s="716"/>
      <c r="L849" s="716"/>
      <c r="M849" s="716"/>
      <c r="N849" s="716"/>
      <c r="O849" s="716"/>
      <c r="P849" s="716"/>
      <c r="Q849" s="716"/>
      <c r="R849" s="716"/>
      <c r="S849" s="716"/>
      <c r="T849" s="716"/>
      <c r="U849" s="716"/>
      <c r="V849" s="716"/>
      <c r="W849" s="716"/>
      <c r="X849" s="716"/>
      <c r="Y849" s="716"/>
      <c r="Z849" s="716"/>
    </row>
    <row r="850">
      <c r="A850" s="716"/>
      <c r="B850" s="717"/>
      <c r="C850" s="716"/>
      <c r="D850" s="716"/>
      <c r="E850" s="716"/>
      <c r="F850" s="716"/>
      <c r="G850" s="716"/>
      <c r="H850" s="716"/>
      <c r="I850" s="716"/>
      <c r="J850" s="716"/>
      <c r="K850" s="716"/>
      <c r="L850" s="716"/>
      <c r="M850" s="716"/>
      <c r="N850" s="716"/>
      <c r="O850" s="716"/>
      <c r="P850" s="716"/>
      <c r="Q850" s="716"/>
      <c r="R850" s="716"/>
      <c r="S850" s="716"/>
      <c r="T850" s="716"/>
      <c r="U850" s="716"/>
      <c r="V850" s="716"/>
      <c r="W850" s="716"/>
      <c r="X850" s="716"/>
      <c r="Y850" s="716"/>
      <c r="Z850" s="716"/>
    </row>
    <row r="851">
      <c r="A851" s="716"/>
      <c r="B851" s="717"/>
      <c r="C851" s="716"/>
      <c r="D851" s="716"/>
      <c r="E851" s="716"/>
      <c r="F851" s="716"/>
      <c r="G851" s="716"/>
      <c r="H851" s="716"/>
      <c r="I851" s="716"/>
      <c r="J851" s="716"/>
      <c r="K851" s="716"/>
      <c r="L851" s="716"/>
      <c r="M851" s="716"/>
      <c r="N851" s="716"/>
      <c r="O851" s="716"/>
      <c r="P851" s="716"/>
      <c r="Q851" s="716"/>
      <c r="R851" s="716"/>
      <c r="S851" s="716"/>
      <c r="T851" s="716"/>
      <c r="U851" s="716"/>
      <c r="V851" s="716"/>
      <c r="W851" s="716"/>
      <c r="X851" s="716"/>
      <c r="Y851" s="716"/>
      <c r="Z851" s="716"/>
    </row>
    <row r="852">
      <c r="A852" s="716"/>
      <c r="B852" s="717"/>
      <c r="C852" s="716"/>
      <c r="D852" s="716"/>
      <c r="E852" s="716"/>
      <c r="F852" s="716"/>
      <c r="G852" s="716"/>
      <c r="H852" s="716"/>
      <c r="I852" s="716"/>
      <c r="J852" s="716"/>
      <c r="K852" s="716"/>
      <c r="L852" s="716"/>
      <c r="M852" s="716"/>
      <c r="N852" s="716"/>
      <c r="O852" s="716"/>
      <c r="P852" s="716"/>
      <c r="Q852" s="716"/>
      <c r="R852" s="716"/>
      <c r="S852" s="716"/>
      <c r="T852" s="716"/>
      <c r="U852" s="716"/>
      <c r="V852" s="716"/>
      <c r="W852" s="716"/>
      <c r="X852" s="716"/>
      <c r="Y852" s="716"/>
      <c r="Z852" s="716"/>
    </row>
    <row r="853">
      <c r="A853" s="716"/>
      <c r="B853" s="717"/>
      <c r="C853" s="716"/>
      <c r="D853" s="716"/>
      <c r="E853" s="716"/>
      <c r="F853" s="716"/>
      <c r="G853" s="716"/>
      <c r="H853" s="716"/>
      <c r="I853" s="716"/>
      <c r="J853" s="716"/>
      <c r="K853" s="716"/>
      <c r="L853" s="716"/>
      <c r="M853" s="716"/>
      <c r="N853" s="716"/>
      <c r="O853" s="716"/>
      <c r="P853" s="716"/>
      <c r="Q853" s="716"/>
      <c r="R853" s="716"/>
      <c r="S853" s="716"/>
      <c r="T853" s="716"/>
      <c r="U853" s="716"/>
      <c r="V853" s="716"/>
      <c r="W853" s="716"/>
      <c r="X853" s="716"/>
      <c r="Y853" s="716"/>
      <c r="Z853" s="716"/>
    </row>
    <row r="854">
      <c r="A854" s="716"/>
      <c r="B854" s="717"/>
      <c r="C854" s="716"/>
      <c r="D854" s="716"/>
      <c r="E854" s="716"/>
      <c r="F854" s="716"/>
      <c r="G854" s="716"/>
      <c r="H854" s="716"/>
      <c r="I854" s="716"/>
      <c r="J854" s="716"/>
      <c r="K854" s="716"/>
      <c r="L854" s="716"/>
      <c r="M854" s="716"/>
      <c r="N854" s="716"/>
      <c r="O854" s="716"/>
      <c r="P854" s="716"/>
      <c r="Q854" s="716"/>
      <c r="R854" s="716"/>
      <c r="S854" s="716"/>
      <c r="T854" s="716"/>
      <c r="U854" s="716"/>
      <c r="V854" s="716"/>
      <c r="W854" s="716"/>
      <c r="X854" s="716"/>
      <c r="Y854" s="716"/>
      <c r="Z854" s="716"/>
    </row>
    <row r="855">
      <c r="A855" s="716"/>
      <c r="B855" s="717"/>
      <c r="C855" s="716"/>
      <c r="D855" s="716"/>
      <c r="E855" s="716"/>
      <c r="F855" s="716"/>
      <c r="G855" s="716"/>
      <c r="H855" s="716"/>
      <c r="I855" s="716"/>
      <c r="J855" s="716"/>
      <c r="K855" s="716"/>
      <c r="L855" s="716"/>
      <c r="M855" s="716"/>
      <c r="N855" s="716"/>
      <c r="O855" s="716"/>
      <c r="P855" s="716"/>
      <c r="Q855" s="716"/>
      <c r="R855" s="716"/>
      <c r="S855" s="716"/>
      <c r="T855" s="716"/>
      <c r="U855" s="716"/>
      <c r="V855" s="716"/>
      <c r="W855" s="716"/>
      <c r="X855" s="716"/>
      <c r="Y855" s="716"/>
      <c r="Z855" s="716"/>
    </row>
    <row r="856">
      <c r="A856" s="716"/>
      <c r="B856" s="717"/>
      <c r="C856" s="716"/>
      <c r="D856" s="716"/>
      <c r="E856" s="716"/>
      <c r="F856" s="716"/>
      <c r="G856" s="716"/>
      <c r="H856" s="716"/>
      <c r="I856" s="716"/>
      <c r="J856" s="716"/>
      <c r="K856" s="716"/>
      <c r="L856" s="716"/>
      <c r="M856" s="716"/>
      <c r="N856" s="716"/>
      <c r="O856" s="716"/>
      <c r="P856" s="716"/>
      <c r="Q856" s="716"/>
      <c r="R856" s="716"/>
      <c r="S856" s="716"/>
      <c r="T856" s="716"/>
      <c r="U856" s="716"/>
      <c r="V856" s="716"/>
      <c r="W856" s="716"/>
      <c r="X856" s="716"/>
      <c r="Y856" s="716"/>
      <c r="Z856" s="716"/>
    </row>
    <row r="857">
      <c r="A857" s="716"/>
      <c r="B857" s="717"/>
      <c r="C857" s="716"/>
      <c r="D857" s="716"/>
      <c r="E857" s="716"/>
      <c r="F857" s="716"/>
      <c r="G857" s="716"/>
      <c r="H857" s="716"/>
      <c r="I857" s="716"/>
      <c r="J857" s="716"/>
      <c r="K857" s="716"/>
      <c r="L857" s="716"/>
      <c r="M857" s="716"/>
      <c r="N857" s="716"/>
      <c r="O857" s="716"/>
      <c r="P857" s="716"/>
      <c r="Q857" s="716"/>
      <c r="R857" s="716"/>
      <c r="S857" s="716"/>
      <c r="T857" s="716"/>
      <c r="U857" s="716"/>
      <c r="V857" s="716"/>
      <c r="W857" s="716"/>
      <c r="X857" s="716"/>
      <c r="Y857" s="716"/>
      <c r="Z857" s="716"/>
    </row>
    <row r="858">
      <c r="A858" s="716"/>
      <c r="B858" s="717"/>
      <c r="C858" s="716"/>
      <c r="D858" s="716"/>
      <c r="E858" s="716"/>
      <c r="F858" s="716"/>
      <c r="G858" s="716"/>
      <c r="H858" s="716"/>
      <c r="I858" s="716"/>
      <c r="J858" s="716"/>
      <c r="K858" s="716"/>
      <c r="L858" s="716"/>
      <c r="M858" s="716"/>
      <c r="N858" s="716"/>
      <c r="O858" s="716"/>
      <c r="P858" s="716"/>
      <c r="Q858" s="716"/>
      <c r="R858" s="716"/>
      <c r="S858" s="716"/>
      <c r="T858" s="716"/>
      <c r="U858" s="716"/>
      <c r="V858" s="716"/>
      <c r="W858" s="716"/>
      <c r="X858" s="716"/>
      <c r="Y858" s="716"/>
      <c r="Z858" s="716"/>
    </row>
    <row r="859">
      <c r="A859" s="716"/>
      <c r="B859" s="717"/>
      <c r="C859" s="716"/>
      <c r="D859" s="716"/>
      <c r="E859" s="716"/>
      <c r="F859" s="716"/>
      <c r="G859" s="716"/>
      <c r="H859" s="716"/>
      <c r="I859" s="716"/>
      <c r="J859" s="716"/>
      <c r="K859" s="716"/>
      <c r="L859" s="716"/>
      <c r="M859" s="716"/>
      <c r="N859" s="716"/>
      <c r="O859" s="716"/>
      <c r="P859" s="716"/>
      <c r="Q859" s="716"/>
      <c r="R859" s="716"/>
      <c r="S859" s="716"/>
      <c r="T859" s="716"/>
      <c r="U859" s="716"/>
      <c r="V859" s="716"/>
      <c r="W859" s="716"/>
      <c r="X859" s="716"/>
      <c r="Y859" s="716"/>
      <c r="Z859" s="716"/>
    </row>
    <row r="860">
      <c r="A860" s="716"/>
      <c r="B860" s="717"/>
      <c r="C860" s="716"/>
      <c r="D860" s="716"/>
      <c r="E860" s="716"/>
      <c r="F860" s="716"/>
      <c r="G860" s="716"/>
      <c r="H860" s="716"/>
      <c r="I860" s="716"/>
      <c r="J860" s="716"/>
      <c r="K860" s="716"/>
      <c r="L860" s="716"/>
      <c r="M860" s="716"/>
      <c r="N860" s="716"/>
      <c r="O860" s="716"/>
      <c r="P860" s="716"/>
      <c r="Q860" s="716"/>
      <c r="R860" s="716"/>
      <c r="S860" s="716"/>
      <c r="T860" s="716"/>
      <c r="U860" s="716"/>
      <c r="V860" s="716"/>
      <c r="W860" s="716"/>
      <c r="X860" s="716"/>
      <c r="Y860" s="716"/>
      <c r="Z860" s="716"/>
    </row>
    <row r="861">
      <c r="A861" s="716"/>
      <c r="B861" s="717"/>
      <c r="C861" s="716"/>
      <c r="D861" s="716"/>
      <c r="E861" s="716"/>
      <c r="F861" s="716"/>
      <c r="G861" s="716"/>
      <c r="H861" s="716"/>
      <c r="I861" s="716"/>
      <c r="J861" s="716"/>
      <c r="K861" s="716"/>
      <c r="L861" s="716"/>
      <c r="M861" s="716"/>
      <c r="N861" s="716"/>
      <c r="O861" s="716"/>
      <c r="P861" s="716"/>
      <c r="Q861" s="716"/>
      <c r="R861" s="716"/>
      <c r="S861" s="716"/>
      <c r="T861" s="716"/>
      <c r="U861" s="716"/>
      <c r="V861" s="716"/>
      <c r="W861" s="716"/>
      <c r="X861" s="716"/>
      <c r="Y861" s="716"/>
      <c r="Z861" s="716"/>
    </row>
    <row r="862">
      <c r="A862" s="716"/>
      <c r="B862" s="717"/>
      <c r="C862" s="716"/>
      <c r="D862" s="716"/>
      <c r="E862" s="716"/>
      <c r="F862" s="716"/>
      <c r="G862" s="716"/>
      <c r="H862" s="716"/>
      <c r="I862" s="716"/>
      <c r="J862" s="716"/>
      <c r="K862" s="716"/>
      <c r="L862" s="716"/>
      <c r="M862" s="716"/>
      <c r="N862" s="716"/>
      <c r="O862" s="716"/>
      <c r="P862" s="716"/>
      <c r="Q862" s="716"/>
      <c r="R862" s="716"/>
      <c r="S862" s="716"/>
      <c r="T862" s="716"/>
      <c r="U862" s="716"/>
      <c r="V862" s="716"/>
      <c r="W862" s="716"/>
      <c r="X862" s="716"/>
      <c r="Y862" s="716"/>
      <c r="Z862" s="716"/>
    </row>
    <row r="863">
      <c r="A863" s="716"/>
      <c r="B863" s="717"/>
      <c r="C863" s="716"/>
      <c r="D863" s="716"/>
      <c r="E863" s="716"/>
      <c r="F863" s="716"/>
      <c r="G863" s="716"/>
      <c r="H863" s="716"/>
      <c r="I863" s="716"/>
      <c r="J863" s="716"/>
      <c r="K863" s="716"/>
      <c r="L863" s="716"/>
      <c r="M863" s="716"/>
      <c r="N863" s="716"/>
      <c r="O863" s="716"/>
      <c r="P863" s="716"/>
      <c r="Q863" s="716"/>
      <c r="R863" s="716"/>
      <c r="S863" s="716"/>
      <c r="T863" s="716"/>
      <c r="U863" s="716"/>
      <c r="V863" s="716"/>
      <c r="W863" s="716"/>
      <c r="X863" s="716"/>
      <c r="Y863" s="716"/>
      <c r="Z863" s="716"/>
    </row>
    <row r="864">
      <c r="A864" s="716"/>
      <c r="B864" s="717"/>
      <c r="C864" s="716"/>
      <c r="D864" s="716"/>
      <c r="E864" s="716"/>
      <c r="F864" s="716"/>
      <c r="G864" s="716"/>
      <c r="H864" s="716"/>
      <c r="I864" s="716"/>
      <c r="J864" s="716"/>
      <c r="K864" s="716"/>
      <c r="L864" s="716"/>
      <c r="M864" s="716"/>
      <c r="N864" s="716"/>
      <c r="O864" s="716"/>
      <c r="P864" s="716"/>
      <c r="Q864" s="716"/>
      <c r="R864" s="716"/>
      <c r="S864" s="716"/>
      <c r="T864" s="716"/>
      <c r="U864" s="716"/>
      <c r="V864" s="716"/>
      <c r="W864" s="716"/>
      <c r="X864" s="716"/>
      <c r="Y864" s="716"/>
      <c r="Z864" s="716"/>
    </row>
    <row r="865">
      <c r="A865" s="716"/>
      <c r="B865" s="717"/>
      <c r="C865" s="716"/>
      <c r="D865" s="716"/>
      <c r="E865" s="716"/>
      <c r="F865" s="716"/>
      <c r="G865" s="716"/>
      <c r="H865" s="716"/>
      <c r="I865" s="716"/>
      <c r="J865" s="716"/>
      <c r="K865" s="716"/>
      <c r="L865" s="716"/>
      <c r="M865" s="716"/>
      <c r="N865" s="716"/>
      <c r="O865" s="716"/>
      <c r="P865" s="716"/>
      <c r="Q865" s="716"/>
      <c r="R865" s="716"/>
      <c r="S865" s="716"/>
      <c r="T865" s="716"/>
      <c r="U865" s="716"/>
      <c r="V865" s="716"/>
      <c r="W865" s="716"/>
      <c r="X865" s="716"/>
      <c r="Y865" s="716"/>
      <c r="Z865" s="716"/>
    </row>
    <row r="866">
      <c r="A866" s="716"/>
      <c r="B866" s="717"/>
      <c r="C866" s="716"/>
      <c r="D866" s="716"/>
      <c r="E866" s="716"/>
      <c r="F866" s="716"/>
      <c r="G866" s="716"/>
      <c r="H866" s="716"/>
      <c r="I866" s="716"/>
      <c r="J866" s="716"/>
      <c r="K866" s="716"/>
      <c r="L866" s="716"/>
      <c r="M866" s="716"/>
      <c r="N866" s="716"/>
      <c r="O866" s="716"/>
      <c r="P866" s="716"/>
      <c r="Q866" s="716"/>
      <c r="R866" s="716"/>
      <c r="S866" s="716"/>
      <c r="T866" s="716"/>
      <c r="U866" s="716"/>
      <c r="V866" s="716"/>
      <c r="W866" s="716"/>
      <c r="X866" s="716"/>
      <c r="Y866" s="716"/>
      <c r="Z866" s="716"/>
    </row>
    <row r="867">
      <c r="A867" s="716"/>
      <c r="B867" s="717"/>
      <c r="C867" s="716"/>
      <c r="D867" s="716"/>
      <c r="E867" s="716"/>
      <c r="F867" s="716"/>
      <c r="G867" s="716"/>
      <c r="H867" s="716"/>
      <c r="I867" s="716"/>
      <c r="J867" s="716"/>
      <c r="K867" s="716"/>
      <c r="L867" s="716"/>
      <c r="M867" s="716"/>
      <c r="N867" s="716"/>
      <c r="O867" s="716"/>
      <c r="P867" s="716"/>
      <c r="Q867" s="716"/>
      <c r="R867" s="716"/>
      <c r="S867" s="716"/>
      <c r="T867" s="716"/>
      <c r="U867" s="716"/>
      <c r="V867" s="716"/>
      <c r="W867" s="716"/>
      <c r="X867" s="716"/>
      <c r="Y867" s="716"/>
      <c r="Z867" s="716"/>
    </row>
    <row r="868">
      <c r="A868" s="716"/>
      <c r="B868" s="717"/>
      <c r="C868" s="716"/>
      <c r="D868" s="716"/>
      <c r="E868" s="716"/>
      <c r="F868" s="716"/>
      <c r="G868" s="716"/>
      <c r="H868" s="716"/>
      <c r="I868" s="716"/>
      <c r="J868" s="716"/>
      <c r="K868" s="716"/>
      <c r="L868" s="716"/>
      <c r="M868" s="716"/>
      <c r="N868" s="716"/>
      <c r="O868" s="716"/>
      <c r="P868" s="716"/>
      <c r="Q868" s="716"/>
      <c r="R868" s="716"/>
      <c r="S868" s="716"/>
      <c r="T868" s="716"/>
      <c r="U868" s="716"/>
      <c r="V868" s="716"/>
      <c r="W868" s="716"/>
      <c r="X868" s="716"/>
      <c r="Y868" s="716"/>
      <c r="Z868" s="716"/>
    </row>
    <row r="869">
      <c r="A869" s="716"/>
      <c r="B869" s="717"/>
      <c r="C869" s="716"/>
      <c r="D869" s="716"/>
      <c r="E869" s="716"/>
      <c r="F869" s="716"/>
      <c r="G869" s="716"/>
      <c r="H869" s="716"/>
      <c r="I869" s="716"/>
      <c r="J869" s="716"/>
      <c r="K869" s="716"/>
      <c r="L869" s="716"/>
      <c r="M869" s="716"/>
      <c r="N869" s="716"/>
      <c r="O869" s="716"/>
      <c r="P869" s="716"/>
      <c r="Q869" s="716"/>
      <c r="R869" s="716"/>
      <c r="S869" s="716"/>
      <c r="T869" s="716"/>
      <c r="U869" s="716"/>
      <c r="V869" s="716"/>
      <c r="W869" s="716"/>
      <c r="X869" s="716"/>
      <c r="Y869" s="716"/>
      <c r="Z869" s="716"/>
    </row>
    <row r="870">
      <c r="A870" s="716"/>
      <c r="B870" s="717"/>
      <c r="C870" s="716"/>
      <c r="D870" s="716"/>
      <c r="E870" s="716"/>
      <c r="F870" s="716"/>
      <c r="G870" s="716"/>
      <c r="H870" s="716"/>
      <c r="I870" s="716"/>
      <c r="J870" s="716"/>
      <c r="K870" s="716"/>
      <c r="L870" s="716"/>
      <c r="M870" s="716"/>
      <c r="N870" s="716"/>
      <c r="O870" s="716"/>
      <c r="P870" s="716"/>
      <c r="Q870" s="716"/>
      <c r="R870" s="716"/>
      <c r="S870" s="716"/>
      <c r="T870" s="716"/>
      <c r="U870" s="716"/>
      <c r="V870" s="716"/>
      <c r="W870" s="716"/>
      <c r="X870" s="716"/>
      <c r="Y870" s="716"/>
      <c r="Z870" s="716"/>
    </row>
    <row r="871">
      <c r="A871" s="716"/>
      <c r="B871" s="717"/>
      <c r="C871" s="716"/>
      <c r="D871" s="716"/>
      <c r="E871" s="716"/>
      <c r="F871" s="716"/>
      <c r="G871" s="716"/>
      <c r="H871" s="716"/>
      <c r="I871" s="716"/>
      <c r="J871" s="716"/>
      <c r="K871" s="716"/>
      <c r="L871" s="716"/>
      <c r="M871" s="716"/>
      <c r="N871" s="716"/>
      <c r="O871" s="716"/>
      <c r="P871" s="716"/>
      <c r="Q871" s="716"/>
      <c r="R871" s="716"/>
      <c r="S871" s="716"/>
      <c r="T871" s="716"/>
      <c r="U871" s="716"/>
      <c r="V871" s="716"/>
      <c r="W871" s="716"/>
      <c r="X871" s="716"/>
      <c r="Y871" s="716"/>
      <c r="Z871" s="716"/>
    </row>
    <row r="872">
      <c r="A872" s="716"/>
      <c r="B872" s="717"/>
      <c r="C872" s="716"/>
      <c r="D872" s="716"/>
      <c r="E872" s="716"/>
      <c r="F872" s="716"/>
      <c r="G872" s="716"/>
      <c r="H872" s="716"/>
      <c r="I872" s="716"/>
      <c r="J872" s="716"/>
      <c r="K872" s="716"/>
      <c r="L872" s="716"/>
      <c r="M872" s="716"/>
      <c r="N872" s="716"/>
      <c r="O872" s="716"/>
      <c r="P872" s="716"/>
      <c r="Q872" s="716"/>
      <c r="R872" s="716"/>
      <c r="S872" s="716"/>
      <c r="T872" s="716"/>
      <c r="U872" s="716"/>
      <c r="V872" s="716"/>
      <c r="W872" s="716"/>
      <c r="X872" s="716"/>
      <c r="Y872" s="716"/>
      <c r="Z872" s="716"/>
    </row>
    <row r="873">
      <c r="A873" s="716"/>
      <c r="B873" s="717"/>
      <c r="C873" s="716"/>
      <c r="D873" s="716"/>
      <c r="E873" s="716"/>
      <c r="F873" s="716"/>
      <c r="G873" s="716"/>
      <c r="H873" s="716"/>
      <c r="I873" s="716"/>
      <c r="J873" s="716"/>
      <c r="K873" s="716"/>
      <c r="L873" s="716"/>
      <c r="M873" s="716"/>
      <c r="N873" s="716"/>
      <c r="O873" s="716"/>
      <c r="P873" s="716"/>
      <c r="Q873" s="716"/>
      <c r="R873" s="716"/>
      <c r="S873" s="716"/>
      <c r="T873" s="716"/>
      <c r="U873" s="716"/>
      <c r="V873" s="716"/>
      <c r="W873" s="716"/>
      <c r="X873" s="716"/>
      <c r="Y873" s="716"/>
      <c r="Z873" s="716"/>
    </row>
    <row r="874">
      <c r="A874" s="716"/>
      <c r="B874" s="717"/>
      <c r="C874" s="716"/>
      <c r="D874" s="716"/>
      <c r="E874" s="716"/>
      <c r="F874" s="716"/>
      <c r="G874" s="716"/>
      <c r="H874" s="716"/>
      <c r="I874" s="716"/>
      <c r="J874" s="716"/>
      <c r="K874" s="716"/>
      <c r="L874" s="716"/>
      <c r="M874" s="716"/>
      <c r="N874" s="716"/>
      <c r="O874" s="716"/>
      <c r="P874" s="716"/>
      <c r="Q874" s="716"/>
      <c r="R874" s="716"/>
      <c r="S874" s="716"/>
      <c r="T874" s="716"/>
      <c r="U874" s="716"/>
      <c r="V874" s="716"/>
      <c r="W874" s="716"/>
      <c r="X874" s="716"/>
      <c r="Y874" s="716"/>
      <c r="Z874" s="716"/>
    </row>
    <row r="875">
      <c r="A875" s="716"/>
      <c r="B875" s="717"/>
      <c r="C875" s="716"/>
      <c r="D875" s="716"/>
      <c r="E875" s="716"/>
      <c r="F875" s="716"/>
      <c r="G875" s="716"/>
      <c r="H875" s="716"/>
      <c r="I875" s="716"/>
      <c r="J875" s="716"/>
      <c r="K875" s="716"/>
      <c r="L875" s="716"/>
      <c r="M875" s="716"/>
      <c r="N875" s="716"/>
      <c r="O875" s="716"/>
      <c r="P875" s="716"/>
      <c r="Q875" s="716"/>
      <c r="R875" s="716"/>
      <c r="S875" s="716"/>
      <c r="T875" s="716"/>
      <c r="U875" s="716"/>
      <c r="V875" s="716"/>
      <c r="W875" s="716"/>
      <c r="X875" s="716"/>
      <c r="Y875" s="716"/>
      <c r="Z875" s="716"/>
    </row>
    <row r="876">
      <c r="A876" s="716"/>
      <c r="B876" s="717"/>
      <c r="C876" s="716"/>
      <c r="D876" s="716"/>
      <c r="E876" s="716"/>
      <c r="F876" s="716"/>
      <c r="G876" s="716"/>
      <c r="H876" s="716"/>
      <c r="I876" s="716"/>
      <c r="J876" s="716"/>
      <c r="K876" s="716"/>
      <c r="L876" s="716"/>
      <c r="M876" s="716"/>
      <c r="N876" s="716"/>
      <c r="O876" s="716"/>
      <c r="P876" s="716"/>
      <c r="Q876" s="716"/>
      <c r="R876" s="716"/>
      <c r="S876" s="716"/>
      <c r="T876" s="716"/>
      <c r="U876" s="716"/>
      <c r="V876" s="716"/>
      <c r="W876" s="716"/>
      <c r="X876" s="716"/>
      <c r="Y876" s="716"/>
      <c r="Z876" s="716"/>
    </row>
    <row r="877">
      <c r="A877" s="716"/>
      <c r="B877" s="717"/>
      <c r="C877" s="716"/>
      <c r="D877" s="716"/>
      <c r="E877" s="716"/>
      <c r="F877" s="716"/>
      <c r="G877" s="716"/>
      <c r="H877" s="716"/>
      <c r="I877" s="716"/>
      <c r="J877" s="716"/>
      <c r="K877" s="716"/>
      <c r="L877" s="716"/>
      <c r="M877" s="716"/>
      <c r="N877" s="716"/>
      <c r="O877" s="716"/>
      <c r="P877" s="716"/>
      <c r="Q877" s="716"/>
      <c r="R877" s="716"/>
      <c r="S877" s="716"/>
      <c r="T877" s="716"/>
      <c r="U877" s="716"/>
      <c r="V877" s="716"/>
      <c r="W877" s="716"/>
      <c r="X877" s="716"/>
      <c r="Y877" s="716"/>
      <c r="Z877" s="716"/>
    </row>
    <row r="878">
      <c r="A878" s="716"/>
      <c r="B878" s="717"/>
      <c r="C878" s="716"/>
      <c r="D878" s="716"/>
      <c r="E878" s="716"/>
      <c r="F878" s="716"/>
      <c r="G878" s="716"/>
      <c r="H878" s="716"/>
      <c r="I878" s="716"/>
      <c r="J878" s="716"/>
      <c r="K878" s="716"/>
      <c r="L878" s="716"/>
      <c r="M878" s="716"/>
      <c r="N878" s="716"/>
      <c r="O878" s="716"/>
      <c r="P878" s="716"/>
      <c r="Q878" s="716"/>
      <c r="R878" s="716"/>
      <c r="S878" s="716"/>
      <c r="T878" s="716"/>
      <c r="U878" s="716"/>
      <c r="V878" s="716"/>
      <c r="W878" s="716"/>
      <c r="X878" s="716"/>
      <c r="Y878" s="716"/>
      <c r="Z878" s="716"/>
    </row>
    <row r="879">
      <c r="A879" s="716"/>
      <c r="B879" s="717"/>
      <c r="C879" s="716"/>
      <c r="D879" s="716"/>
      <c r="E879" s="716"/>
      <c r="F879" s="716"/>
      <c r="G879" s="716"/>
      <c r="H879" s="716"/>
      <c r="I879" s="716"/>
      <c r="J879" s="716"/>
      <c r="K879" s="716"/>
      <c r="L879" s="716"/>
      <c r="M879" s="716"/>
      <c r="N879" s="716"/>
      <c r="O879" s="716"/>
      <c r="P879" s="716"/>
      <c r="Q879" s="716"/>
      <c r="R879" s="716"/>
      <c r="S879" s="716"/>
      <c r="T879" s="716"/>
      <c r="U879" s="716"/>
      <c r="V879" s="716"/>
      <c r="W879" s="716"/>
      <c r="X879" s="716"/>
      <c r="Y879" s="716"/>
      <c r="Z879" s="716"/>
    </row>
    <row r="880">
      <c r="A880" s="716"/>
      <c r="B880" s="717"/>
      <c r="C880" s="716"/>
      <c r="D880" s="716"/>
      <c r="E880" s="716"/>
      <c r="F880" s="716"/>
      <c r="G880" s="716"/>
      <c r="H880" s="716"/>
      <c r="I880" s="716"/>
      <c r="J880" s="716"/>
      <c r="K880" s="716"/>
      <c r="L880" s="716"/>
      <c r="M880" s="716"/>
      <c r="N880" s="716"/>
      <c r="O880" s="716"/>
      <c r="P880" s="716"/>
      <c r="Q880" s="716"/>
      <c r="R880" s="716"/>
      <c r="S880" s="716"/>
      <c r="T880" s="716"/>
      <c r="U880" s="716"/>
      <c r="V880" s="716"/>
      <c r="W880" s="716"/>
      <c r="X880" s="716"/>
      <c r="Y880" s="716"/>
      <c r="Z880" s="716"/>
    </row>
    <row r="881">
      <c r="A881" s="716"/>
      <c r="B881" s="717"/>
      <c r="C881" s="716"/>
      <c r="D881" s="716"/>
      <c r="E881" s="716"/>
      <c r="F881" s="716"/>
      <c r="G881" s="716"/>
      <c r="H881" s="716"/>
      <c r="I881" s="716"/>
      <c r="J881" s="716"/>
      <c r="K881" s="716"/>
      <c r="L881" s="716"/>
      <c r="M881" s="716"/>
      <c r="N881" s="716"/>
      <c r="O881" s="716"/>
      <c r="P881" s="716"/>
      <c r="Q881" s="716"/>
      <c r="R881" s="716"/>
      <c r="S881" s="716"/>
      <c r="T881" s="716"/>
      <c r="U881" s="716"/>
      <c r="V881" s="716"/>
      <c r="W881" s="716"/>
      <c r="X881" s="716"/>
      <c r="Y881" s="716"/>
      <c r="Z881" s="716"/>
    </row>
    <row r="882">
      <c r="A882" s="716"/>
      <c r="B882" s="717"/>
      <c r="C882" s="716"/>
      <c r="D882" s="716"/>
      <c r="E882" s="716"/>
      <c r="F882" s="716"/>
      <c r="G882" s="716"/>
      <c r="H882" s="716"/>
      <c r="I882" s="716"/>
      <c r="J882" s="716"/>
      <c r="K882" s="716"/>
      <c r="L882" s="716"/>
      <c r="M882" s="716"/>
      <c r="N882" s="716"/>
      <c r="O882" s="716"/>
      <c r="P882" s="716"/>
      <c r="Q882" s="716"/>
      <c r="R882" s="716"/>
      <c r="S882" s="716"/>
      <c r="T882" s="716"/>
      <c r="U882" s="716"/>
      <c r="V882" s="716"/>
      <c r="W882" s="716"/>
      <c r="X882" s="716"/>
      <c r="Y882" s="716"/>
      <c r="Z882" s="716"/>
    </row>
    <row r="883">
      <c r="A883" s="716"/>
      <c r="B883" s="717"/>
      <c r="C883" s="716"/>
      <c r="D883" s="716"/>
      <c r="E883" s="716"/>
      <c r="F883" s="716"/>
      <c r="G883" s="716"/>
      <c r="H883" s="716"/>
      <c r="I883" s="716"/>
      <c r="J883" s="716"/>
      <c r="K883" s="716"/>
      <c r="L883" s="716"/>
      <c r="M883" s="716"/>
      <c r="N883" s="716"/>
      <c r="O883" s="716"/>
      <c r="P883" s="716"/>
      <c r="Q883" s="716"/>
      <c r="R883" s="716"/>
      <c r="S883" s="716"/>
      <c r="T883" s="716"/>
      <c r="U883" s="716"/>
      <c r="V883" s="716"/>
      <c r="W883" s="716"/>
      <c r="X883" s="716"/>
      <c r="Y883" s="716"/>
      <c r="Z883" s="716"/>
    </row>
    <row r="884">
      <c r="A884" s="716"/>
      <c r="B884" s="717"/>
      <c r="C884" s="716"/>
      <c r="D884" s="716"/>
      <c r="E884" s="716"/>
      <c r="F884" s="716"/>
      <c r="G884" s="716"/>
      <c r="H884" s="716"/>
      <c r="I884" s="716"/>
      <c r="J884" s="716"/>
      <c r="K884" s="716"/>
      <c r="L884" s="716"/>
      <c r="M884" s="716"/>
      <c r="N884" s="716"/>
      <c r="O884" s="716"/>
      <c r="P884" s="716"/>
      <c r="Q884" s="716"/>
      <c r="R884" s="716"/>
      <c r="S884" s="716"/>
      <c r="T884" s="716"/>
      <c r="U884" s="716"/>
      <c r="V884" s="716"/>
      <c r="W884" s="716"/>
      <c r="X884" s="716"/>
      <c r="Y884" s="716"/>
      <c r="Z884" s="716"/>
    </row>
    <row r="885">
      <c r="A885" s="716"/>
      <c r="B885" s="717"/>
      <c r="C885" s="716"/>
      <c r="D885" s="716"/>
      <c r="E885" s="716"/>
      <c r="F885" s="716"/>
      <c r="G885" s="716"/>
      <c r="H885" s="716"/>
      <c r="I885" s="716"/>
      <c r="J885" s="716"/>
      <c r="K885" s="716"/>
      <c r="L885" s="716"/>
      <c r="M885" s="716"/>
      <c r="N885" s="716"/>
      <c r="O885" s="716"/>
      <c r="P885" s="716"/>
      <c r="Q885" s="716"/>
      <c r="R885" s="716"/>
      <c r="S885" s="716"/>
      <c r="T885" s="716"/>
      <c r="U885" s="716"/>
      <c r="V885" s="716"/>
      <c r="W885" s="716"/>
      <c r="X885" s="716"/>
      <c r="Y885" s="716"/>
      <c r="Z885" s="716"/>
    </row>
    <row r="886">
      <c r="A886" s="716"/>
      <c r="B886" s="717"/>
      <c r="C886" s="716"/>
      <c r="D886" s="716"/>
      <c r="E886" s="716"/>
      <c r="F886" s="716"/>
      <c r="G886" s="716"/>
      <c r="H886" s="716"/>
      <c r="I886" s="716"/>
      <c r="J886" s="716"/>
      <c r="K886" s="716"/>
      <c r="L886" s="716"/>
      <c r="M886" s="716"/>
      <c r="N886" s="716"/>
      <c r="O886" s="716"/>
      <c r="P886" s="716"/>
      <c r="Q886" s="716"/>
      <c r="R886" s="716"/>
      <c r="S886" s="716"/>
      <c r="T886" s="716"/>
      <c r="U886" s="716"/>
      <c r="V886" s="716"/>
      <c r="W886" s="716"/>
      <c r="X886" s="716"/>
      <c r="Y886" s="716"/>
      <c r="Z886" s="716"/>
    </row>
    <row r="887">
      <c r="A887" s="716"/>
      <c r="B887" s="717"/>
      <c r="C887" s="716"/>
      <c r="D887" s="716"/>
      <c r="E887" s="716"/>
      <c r="F887" s="716"/>
      <c r="G887" s="716"/>
      <c r="H887" s="716"/>
      <c r="I887" s="716"/>
      <c r="J887" s="716"/>
      <c r="K887" s="716"/>
      <c r="L887" s="716"/>
      <c r="M887" s="716"/>
      <c r="N887" s="716"/>
      <c r="O887" s="716"/>
      <c r="P887" s="716"/>
      <c r="Q887" s="716"/>
      <c r="R887" s="716"/>
      <c r="S887" s="716"/>
      <c r="T887" s="716"/>
      <c r="U887" s="716"/>
      <c r="V887" s="716"/>
      <c r="W887" s="716"/>
      <c r="X887" s="716"/>
      <c r="Y887" s="716"/>
      <c r="Z887" s="716"/>
    </row>
    <row r="888">
      <c r="A888" s="716"/>
      <c r="B888" s="717"/>
      <c r="C888" s="716"/>
      <c r="D888" s="716"/>
      <c r="E888" s="716"/>
      <c r="F888" s="716"/>
      <c r="G888" s="716"/>
      <c r="H888" s="716"/>
      <c r="I888" s="716"/>
      <c r="J888" s="716"/>
      <c r="K888" s="716"/>
      <c r="L888" s="716"/>
      <c r="M888" s="716"/>
      <c r="N888" s="716"/>
      <c r="O888" s="716"/>
      <c r="P888" s="716"/>
      <c r="Q888" s="716"/>
      <c r="R888" s="716"/>
      <c r="S888" s="716"/>
      <c r="T888" s="716"/>
      <c r="U888" s="716"/>
      <c r="V888" s="716"/>
      <c r="W888" s="716"/>
      <c r="X888" s="716"/>
      <c r="Y888" s="716"/>
      <c r="Z888" s="716"/>
    </row>
    <row r="889">
      <c r="A889" s="716"/>
      <c r="B889" s="717"/>
      <c r="C889" s="716"/>
      <c r="D889" s="716"/>
      <c r="E889" s="716"/>
      <c r="F889" s="716"/>
      <c r="G889" s="716"/>
      <c r="H889" s="716"/>
      <c r="I889" s="716"/>
      <c r="J889" s="716"/>
      <c r="K889" s="716"/>
      <c r="L889" s="716"/>
      <c r="M889" s="716"/>
      <c r="N889" s="716"/>
      <c r="O889" s="716"/>
      <c r="P889" s="716"/>
      <c r="Q889" s="716"/>
      <c r="R889" s="716"/>
      <c r="S889" s="716"/>
      <c r="T889" s="716"/>
      <c r="U889" s="716"/>
      <c r="V889" s="716"/>
      <c r="W889" s="716"/>
      <c r="X889" s="716"/>
      <c r="Y889" s="716"/>
      <c r="Z889" s="716"/>
    </row>
    <row r="890">
      <c r="A890" s="716"/>
      <c r="B890" s="717"/>
      <c r="C890" s="716"/>
      <c r="D890" s="716"/>
      <c r="E890" s="716"/>
      <c r="F890" s="716"/>
      <c r="G890" s="716"/>
      <c r="H890" s="716"/>
      <c r="I890" s="716"/>
      <c r="J890" s="716"/>
      <c r="K890" s="716"/>
      <c r="L890" s="716"/>
      <c r="M890" s="716"/>
      <c r="N890" s="716"/>
      <c r="O890" s="716"/>
      <c r="P890" s="716"/>
      <c r="Q890" s="716"/>
      <c r="R890" s="716"/>
      <c r="S890" s="716"/>
      <c r="T890" s="716"/>
      <c r="U890" s="716"/>
      <c r="V890" s="716"/>
      <c r="W890" s="716"/>
      <c r="X890" s="716"/>
      <c r="Y890" s="716"/>
      <c r="Z890" s="716"/>
    </row>
    <row r="891">
      <c r="A891" s="716"/>
      <c r="B891" s="717"/>
      <c r="C891" s="716"/>
      <c r="D891" s="716"/>
      <c r="E891" s="716"/>
      <c r="F891" s="716"/>
      <c r="G891" s="716"/>
      <c r="H891" s="716"/>
      <c r="I891" s="716"/>
      <c r="J891" s="716"/>
      <c r="K891" s="716"/>
      <c r="L891" s="716"/>
      <c r="M891" s="716"/>
      <c r="N891" s="716"/>
      <c r="O891" s="716"/>
      <c r="P891" s="716"/>
      <c r="Q891" s="716"/>
      <c r="R891" s="716"/>
      <c r="S891" s="716"/>
      <c r="T891" s="716"/>
      <c r="U891" s="716"/>
      <c r="V891" s="716"/>
      <c r="W891" s="716"/>
      <c r="X891" s="716"/>
      <c r="Y891" s="716"/>
      <c r="Z891" s="716"/>
    </row>
    <row r="892">
      <c r="A892" s="716"/>
      <c r="B892" s="717"/>
      <c r="C892" s="716"/>
      <c r="D892" s="716"/>
      <c r="E892" s="716"/>
      <c r="F892" s="716"/>
      <c r="G892" s="716"/>
      <c r="H892" s="716"/>
      <c r="I892" s="716"/>
      <c r="J892" s="716"/>
      <c r="K892" s="716"/>
      <c r="L892" s="716"/>
      <c r="M892" s="716"/>
      <c r="N892" s="716"/>
      <c r="O892" s="716"/>
      <c r="P892" s="716"/>
      <c r="Q892" s="716"/>
      <c r="R892" s="716"/>
      <c r="S892" s="716"/>
      <c r="T892" s="716"/>
      <c r="U892" s="716"/>
      <c r="V892" s="716"/>
      <c r="W892" s="716"/>
      <c r="X892" s="716"/>
      <c r="Y892" s="716"/>
      <c r="Z892" s="716"/>
    </row>
    <row r="893">
      <c r="A893" s="716"/>
      <c r="B893" s="717"/>
      <c r="C893" s="716"/>
      <c r="D893" s="716"/>
      <c r="E893" s="716"/>
      <c r="F893" s="716"/>
      <c r="G893" s="716"/>
      <c r="H893" s="716"/>
      <c r="I893" s="716"/>
      <c r="J893" s="716"/>
      <c r="K893" s="716"/>
      <c r="L893" s="716"/>
      <c r="M893" s="716"/>
      <c r="N893" s="716"/>
      <c r="O893" s="716"/>
      <c r="P893" s="716"/>
      <c r="Q893" s="716"/>
      <c r="R893" s="716"/>
      <c r="S893" s="716"/>
      <c r="T893" s="716"/>
      <c r="U893" s="716"/>
      <c r="V893" s="716"/>
      <c r="W893" s="716"/>
      <c r="X893" s="716"/>
      <c r="Y893" s="716"/>
      <c r="Z893" s="716"/>
    </row>
    <row r="894">
      <c r="A894" s="716"/>
      <c r="B894" s="717"/>
      <c r="C894" s="716"/>
      <c r="D894" s="716"/>
      <c r="E894" s="716"/>
      <c r="F894" s="716"/>
      <c r="G894" s="716"/>
      <c r="H894" s="716"/>
      <c r="I894" s="716"/>
      <c r="J894" s="716"/>
      <c r="K894" s="716"/>
      <c r="L894" s="716"/>
      <c r="M894" s="716"/>
      <c r="N894" s="716"/>
      <c r="O894" s="716"/>
      <c r="P894" s="716"/>
      <c r="Q894" s="716"/>
      <c r="R894" s="716"/>
      <c r="S894" s="716"/>
      <c r="T894" s="716"/>
      <c r="U894" s="716"/>
      <c r="V894" s="716"/>
      <c r="W894" s="716"/>
      <c r="X894" s="716"/>
      <c r="Y894" s="716"/>
      <c r="Z894" s="716"/>
    </row>
    <row r="895">
      <c r="A895" s="716"/>
      <c r="B895" s="717"/>
      <c r="C895" s="716"/>
      <c r="D895" s="716"/>
      <c r="E895" s="716"/>
      <c r="F895" s="716"/>
      <c r="G895" s="716"/>
      <c r="H895" s="716"/>
      <c r="I895" s="716"/>
      <c r="J895" s="716"/>
      <c r="K895" s="716"/>
      <c r="L895" s="716"/>
      <c r="M895" s="716"/>
      <c r="N895" s="716"/>
      <c r="O895" s="716"/>
      <c r="P895" s="716"/>
      <c r="Q895" s="716"/>
      <c r="R895" s="716"/>
      <c r="S895" s="716"/>
      <c r="T895" s="716"/>
      <c r="U895" s="716"/>
      <c r="V895" s="716"/>
      <c r="W895" s="716"/>
      <c r="X895" s="716"/>
      <c r="Y895" s="716"/>
      <c r="Z895" s="716"/>
    </row>
    <row r="896">
      <c r="A896" s="716"/>
      <c r="B896" s="717"/>
      <c r="C896" s="716"/>
      <c r="D896" s="716"/>
      <c r="E896" s="716"/>
      <c r="F896" s="716"/>
      <c r="G896" s="716"/>
      <c r="H896" s="716"/>
      <c r="I896" s="716"/>
      <c r="J896" s="716"/>
      <c r="K896" s="716"/>
      <c r="L896" s="716"/>
      <c r="M896" s="716"/>
      <c r="N896" s="716"/>
      <c r="O896" s="716"/>
      <c r="P896" s="716"/>
      <c r="Q896" s="716"/>
      <c r="R896" s="716"/>
      <c r="S896" s="716"/>
      <c r="T896" s="716"/>
      <c r="U896" s="716"/>
      <c r="V896" s="716"/>
      <c r="W896" s="716"/>
      <c r="X896" s="716"/>
      <c r="Y896" s="716"/>
      <c r="Z896" s="716"/>
    </row>
    <row r="897">
      <c r="A897" s="716"/>
      <c r="B897" s="717"/>
      <c r="C897" s="716"/>
      <c r="D897" s="716"/>
      <c r="E897" s="716"/>
      <c r="F897" s="716"/>
      <c r="G897" s="716"/>
      <c r="H897" s="716"/>
      <c r="I897" s="716"/>
      <c r="J897" s="716"/>
      <c r="K897" s="716"/>
      <c r="L897" s="716"/>
      <c r="M897" s="716"/>
      <c r="N897" s="716"/>
      <c r="O897" s="716"/>
      <c r="P897" s="716"/>
      <c r="Q897" s="716"/>
      <c r="R897" s="716"/>
      <c r="S897" s="716"/>
      <c r="T897" s="716"/>
      <c r="U897" s="716"/>
      <c r="V897" s="716"/>
      <c r="W897" s="716"/>
      <c r="X897" s="716"/>
      <c r="Y897" s="716"/>
      <c r="Z897" s="716"/>
    </row>
    <row r="898">
      <c r="A898" s="716"/>
      <c r="B898" s="717"/>
      <c r="C898" s="716"/>
      <c r="D898" s="716"/>
      <c r="E898" s="716"/>
      <c r="F898" s="716"/>
      <c r="G898" s="716"/>
      <c r="H898" s="716"/>
      <c r="I898" s="716"/>
      <c r="J898" s="716"/>
      <c r="K898" s="716"/>
      <c r="L898" s="716"/>
      <c r="M898" s="716"/>
      <c r="N898" s="716"/>
      <c r="O898" s="716"/>
      <c r="P898" s="716"/>
      <c r="Q898" s="716"/>
      <c r="R898" s="716"/>
      <c r="S898" s="716"/>
      <c r="T898" s="716"/>
      <c r="U898" s="716"/>
      <c r="V898" s="716"/>
      <c r="W898" s="716"/>
      <c r="X898" s="716"/>
      <c r="Y898" s="716"/>
      <c r="Z898" s="716"/>
    </row>
    <row r="899">
      <c r="A899" s="716"/>
      <c r="B899" s="717"/>
      <c r="C899" s="716"/>
      <c r="D899" s="716"/>
      <c r="E899" s="716"/>
      <c r="F899" s="716"/>
      <c r="G899" s="716"/>
      <c r="H899" s="716"/>
      <c r="I899" s="716"/>
      <c r="J899" s="716"/>
      <c r="K899" s="716"/>
      <c r="L899" s="716"/>
      <c r="M899" s="716"/>
      <c r="N899" s="716"/>
      <c r="O899" s="716"/>
      <c r="P899" s="716"/>
      <c r="Q899" s="716"/>
      <c r="R899" s="716"/>
      <c r="S899" s="716"/>
      <c r="T899" s="716"/>
      <c r="U899" s="716"/>
      <c r="V899" s="716"/>
      <c r="W899" s="716"/>
      <c r="X899" s="716"/>
      <c r="Y899" s="716"/>
      <c r="Z899" s="716"/>
    </row>
    <row r="900">
      <c r="A900" s="716"/>
      <c r="B900" s="717"/>
      <c r="C900" s="716"/>
      <c r="D900" s="716"/>
      <c r="E900" s="716"/>
      <c r="F900" s="716"/>
      <c r="G900" s="716"/>
      <c r="H900" s="716"/>
      <c r="I900" s="716"/>
      <c r="J900" s="716"/>
      <c r="K900" s="716"/>
      <c r="L900" s="716"/>
      <c r="M900" s="716"/>
      <c r="N900" s="716"/>
      <c r="O900" s="716"/>
      <c r="P900" s="716"/>
      <c r="Q900" s="716"/>
      <c r="R900" s="716"/>
      <c r="S900" s="716"/>
      <c r="T900" s="716"/>
      <c r="U900" s="716"/>
      <c r="V900" s="716"/>
      <c r="W900" s="716"/>
      <c r="X900" s="716"/>
      <c r="Y900" s="716"/>
      <c r="Z900" s="716"/>
    </row>
    <row r="901">
      <c r="A901" s="716"/>
      <c r="B901" s="717"/>
      <c r="C901" s="716"/>
      <c r="D901" s="716"/>
      <c r="E901" s="716"/>
      <c r="F901" s="716"/>
      <c r="G901" s="716"/>
      <c r="H901" s="716"/>
      <c r="I901" s="716"/>
      <c r="J901" s="716"/>
      <c r="K901" s="716"/>
      <c r="L901" s="716"/>
      <c r="M901" s="716"/>
      <c r="N901" s="716"/>
      <c r="O901" s="716"/>
      <c r="P901" s="716"/>
      <c r="Q901" s="716"/>
      <c r="R901" s="716"/>
      <c r="S901" s="716"/>
      <c r="T901" s="716"/>
      <c r="U901" s="716"/>
      <c r="V901" s="716"/>
      <c r="W901" s="716"/>
      <c r="X901" s="716"/>
      <c r="Y901" s="716"/>
      <c r="Z901" s="716"/>
    </row>
    <row r="902">
      <c r="A902" s="716"/>
      <c r="B902" s="717"/>
      <c r="C902" s="716"/>
      <c r="D902" s="716"/>
      <c r="E902" s="716"/>
      <c r="F902" s="716"/>
      <c r="G902" s="716"/>
      <c r="H902" s="716"/>
      <c r="I902" s="716"/>
      <c r="J902" s="716"/>
      <c r="K902" s="716"/>
      <c r="L902" s="716"/>
      <c r="M902" s="716"/>
      <c r="N902" s="716"/>
      <c r="O902" s="716"/>
      <c r="P902" s="716"/>
      <c r="Q902" s="716"/>
      <c r="R902" s="716"/>
      <c r="S902" s="716"/>
      <c r="T902" s="716"/>
      <c r="U902" s="716"/>
      <c r="V902" s="716"/>
      <c r="W902" s="716"/>
      <c r="X902" s="716"/>
      <c r="Y902" s="716"/>
      <c r="Z902" s="716"/>
    </row>
    <row r="903">
      <c r="A903" s="716"/>
      <c r="B903" s="717"/>
      <c r="C903" s="716"/>
      <c r="D903" s="716"/>
      <c r="E903" s="716"/>
      <c r="F903" s="716"/>
      <c r="G903" s="716"/>
      <c r="H903" s="716"/>
      <c r="I903" s="716"/>
      <c r="J903" s="716"/>
      <c r="K903" s="716"/>
      <c r="L903" s="716"/>
      <c r="M903" s="716"/>
      <c r="N903" s="716"/>
      <c r="O903" s="716"/>
      <c r="P903" s="716"/>
      <c r="Q903" s="716"/>
      <c r="R903" s="716"/>
      <c r="S903" s="716"/>
      <c r="T903" s="716"/>
      <c r="U903" s="716"/>
      <c r="V903" s="716"/>
      <c r="W903" s="716"/>
      <c r="X903" s="716"/>
      <c r="Y903" s="716"/>
      <c r="Z903" s="716"/>
    </row>
    <row r="904">
      <c r="A904" s="716"/>
      <c r="B904" s="717"/>
      <c r="C904" s="716"/>
      <c r="D904" s="716"/>
      <c r="E904" s="716"/>
      <c r="F904" s="716"/>
      <c r="G904" s="716"/>
      <c r="H904" s="716"/>
      <c r="I904" s="716"/>
      <c r="J904" s="716"/>
      <c r="K904" s="716"/>
      <c r="L904" s="716"/>
      <c r="M904" s="716"/>
      <c r="N904" s="716"/>
      <c r="O904" s="716"/>
      <c r="P904" s="716"/>
      <c r="Q904" s="716"/>
      <c r="R904" s="716"/>
      <c r="S904" s="716"/>
      <c r="T904" s="716"/>
      <c r="U904" s="716"/>
      <c r="V904" s="716"/>
      <c r="W904" s="716"/>
      <c r="X904" s="716"/>
      <c r="Y904" s="716"/>
      <c r="Z904" s="716"/>
    </row>
    <row r="905">
      <c r="A905" s="716"/>
      <c r="B905" s="717"/>
      <c r="C905" s="716"/>
      <c r="D905" s="716"/>
      <c r="E905" s="716"/>
      <c r="F905" s="716"/>
      <c r="G905" s="716"/>
      <c r="H905" s="716"/>
      <c r="I905" s="716"/>
      <c r="J905" s="716"/>
      <c r="K905" s="716"/>
      <c r="L905" s="716"/>
      <c r="M905" s="716"/>
      <c r="N905" s="716"/>
      <c r="O905" s="716"/>
      <c r="P905" s="716"/>
      <c r="Q905" s="716"/>
      <c r="R905" s="716"/>
      <c r="S905" s="716"/>
      <c r="T905" s="716"/>
      <c r="U905" s="716"/>
      <c r="V905" s="716"/>
      <c r="W905" s="716"/>
      <c r="X905" s="716"/>
      <c r="Y905" s="716"/>
      <c r="Z905" s="716"/>
    </row>
    <row r="906">
      <c r="A906" s="716"/>
      <c r="B906" s="717"/>
      <c r="C906" s="716"/>
      <c r="D906" s="716"/>
      <c r="E906" s="716"/>
      <c r="F906" s="716"/>
      <c r="G906" s="716"/>
      <c r="H906" s="716"/>
      <c r="I906" s="716"/>
      <c r="J906" s="716"/>
      <c r="K906" s="716"/>
      <c r="L906" s="716"/>
      <c r="M906" s="716"/>
      <c r="N906" s="716"/>
      <c r="O906" s="716"/>
      <c r="P906" s="716"/>
      <c r="Q906" s="716"/>
      <c r="R906" s="716"/>
      <c r="S906" s="716"/>
      <c r="T906" s="716"/>
      <c r="U906" s="716"/>
      <c r="V906" s="716"/>
      <c r="W906" s="716"/>
      <c r="X906" s="716"/>
      <c r="Y906" s="716"/>
      <c r="Z906" s="716"/>
    </row>
    <row r="907">
      <c r="A907" s="716"/>
      <c r="B907" s="717"/>
      <c r="C907" s="716"/>
      <c r="D907" s="716"/>
      <c r="E907" s="716"/>
      <c r="F907" s="716"/>
      <c r="G907" s="716"/>
      <c r="H907" s="716"/>
      <c r="I907" s="716"/>
      <c r="J907" s="716"/>
      <c r="K907" s="716"/>
      <c r="L907" s="716"/>
      <c r="M907" s="716"/>
      <c r="N907" s="716"/>
      <c r="O907" s="716"/>
      <c r="P907" s="716"/>
      <c r="Q907" s="716"/>
      <c r="R907" s="716"/>
      <c r="S907" s="716"/>
      <c r="T907" s="716"/>
      <c r="U907" s="716"/>
      <c r="V907" s="716"/>
      <c r="W907" s="716"/>
      <c r="X907" s="716"/>
      <c r="Y907" s="716"/>
      <c r="Z907" s="716"/>
    </row>
    <row r="908">
      <c r="A908" s="716"/>
      <c r="B908" s="717"/>
      <c r="C908" s="716"/>
      <c r="D908" s="716"/>
      <c r="E908" s="716"/>
      <c r="F908" s="716"/>
      <c r="G908" s="716"/>
      <c r="H908" s="716"/>
      <c r="I908" s="716"/>
      <c r="J908" s="716"/>
      <c r="K908" s="716"/>
      <c r="L908" s="716"/>
      <c r="M908" s="716"/>
      <c r="N908" s="716"/>
      <c r="O908" s="716"/>
      <c r="P908" s="716"/>
      <c r="Q908" s="716"/>
      <c r="R908" s="716"/>
      <c r="S908" s="716"/>
      <c r="T908" s="716"/>
      <c r="U908" s="716"/>
      <c r="V908" s="716"/>
      <c r="W908" s="716"/>
      <c r="X908" s="716"/>
      <c r="Y908" s="716"/>
      <c r="Z908" s="716"/>
    </row>
    <row r="909">
      <c r="A909" s="716"/>
      <c r="B909" s="717"/>
      <c r="C909" s="716"/>
      <c r="D909" s="716"/>
      <c r="E909" s="716"/>
      <c r="F909" s="716"/>
      <c r="G909" s="716"/>
      <c r="H909" s="716"/>
      <c r="I909" s="716"/>
      <c r="J909" s="716"/>
      <c r="K909" s="716"/>
      <c r="L909" s="716"/>
      <c r="M909" s="716"/>
      <c r="N909" s="716"/>
      <c r="O909" s="716"/>
      <c r="P909" s="716"/>
      <c r="Q909" s="716"/>
      <c r="R909" s="716"/>
      <c r="S909" s="716"/>
      <c r="T909" s="716"/>
      <c r="U909" s="716"/>
      <c r="V909" s="716"/>
      <c r="W909" s="716"/>
      <c r="X909" s="716"/>
      <c r="Y909" s="716"/>
      <c r="Z909" s="716"/>
    </row>
    <row r="910">
      <c r="A910" s="716"/>
      <c r="B910" s="717"/>
      <c r="C910" s="716"/>
      <c r="D910" s="716"/>
      <c r="E910" s="716"/>
      <c r="F910" s="716"/>
      <c r="G910" s="716"/>
      <c r="H910" s="716"/>
      <c r="I910" s="716"/>
      <c r="J910" s="716"/>
      <c r="K910" s="716"/>
      <c r="L910" s="716"/>
      <c r="M910" s="716"/>
      <c r="N910" s="716"/>
      <c r="O910" s="716"/>
      <c r="P910" s="716"/>
      <c r="Q910" s="716"/>
      <c r="R910" s="716"/>
      <c r="S910" s="716"/>
      <c r="T910" s="716"/>
      <c r="U910" s="716"/>
      <c r="V910" s="716"/>
      <c r="W910" s="716"/>
      <c r="X910" s="716"/>
      <c r="Y910" s="716"/>
      <c r="Z910" s="716"/>
    </row>
    <row r="911">
      <c r="A911" s="716"/>
      <c r="B911" s="717"/>
      <c r="C911" s="716"/>
      <c r="D911" s="716"/>
      <c r="E911" s="716"/>
      <c r="F911" s="716"/>
      <c r="G911" s="716"/>
      <c r="H911" s="716"/>
      <c r="I911" s="716"/>
      <c r="J911" s="716"/>
      <c r="K911" s="716"/>
      <c r="L911" s="716"/>
      <c r="M911" s="716"/>
      <c r="N911" s="716"/>
      <c r="O911" s="716"/>
      <c r="P911" s="716"/>
      <c r="Q911" s="716"/>
      <c r="R911" s="716"/>
      <c r="S911" s="716"/>
      <c r="T911" s="716"/>
      <c r="U911" s="716"/>
      <c r="V911" s="716"/>
      <c r="W911" s="716"/>
      <c r="X911" s="716"/>
      <c r="Y911" s="716"/>
      <c r="Z911" s="716"/>
    </row>
    <row r="912">
      <c r="A912" s="716"/>
      <c r="B912" s="717"/>
      <c r="C912" s="716"/>
      <c r="D912" s="716"/>
      <c r="E912" s="716"/>
      <c r="F912" s="716"/>
      <c r="G912" s="716"/>
      <c r="H912" s="716"/>
      <c r="I912" s="716"/>
      <c r="J912" s="716"/>
      <c r="K912" s="716"/>
      <c r="L912" s="716"/>
      <c r="M912" s="716"/>
      <c r="N912" s="716"/>
      <c r="O912" s="716"/>
      <c r="P912" s="716"/>
      <c r="Q912" s="716"/>
      <c r="R912" s="716"/>
      <c r="S912" s="716"/>
      <c r="T912" s="716"/>
      <c r="U912" s="716"/>
      <c r="V912" s="716"/>
      <c r="W912" s="716"/>
      <c r="X912" s="716"/>
      <c r="Y912" s="716"/>
      <c r="Z912" s="716"/>
    </row>
    <row r="913">
      <c r="A913" s="716"/>
      <c r="B913" s="717"/>
      <c r="C913" s="716"/>
      <c r="D913" s="716"/>
      <c r="E913" s="716"/>
      <c r="F913" s="716"/>
      <c r="G913" s="716"/>
      <c r="H913" s="716"/>
      <c r="I913" s="716"/>
      <c r="J913" s="716"/>
      <c r="K913" s="716"/>
      <c r="L913" s="716"/>
      <c r="M913" s="716"/>
      <c r="N913" s="716"/>
      <c r="O913" s="716"/>
      <c r="P913" s="716"/>
      <c r="Q913" s="716"/>
      <c r="R913" s="716"/>
      <c r="S913" s="716"/>
      <c r="T913" s="716"/>
      <c r="U913" s="716"/>
      <c r="V913" s="716"/>
      <c r="W913" s="716"/>
      <c r="X913" s="716"/>
      <c r="Y913" s="716"/>
      <c r="Z913" s="716"/>
    </row>
    <row r="914">
      <c r="A914" s="716"/>
      <c r="B914" s="717"/>
      <c r="C914" s="716"/>
      <c r="D914" s="716"/>
      <c r="E914" s="716"/>
      <c r="F914" s="716"/>
      <c r="G914" s="716"/>
      <c r="H914" s="716"/>
      <c r="I914" s="716"/>
      <c r="J914" s="716"/>
      <c r="K914" s="716"/>
      <c r="L914" s="716"/>
      <c r="M914" s="716"/>
      <c r="N914" s="716"/>
      <c r="O914" s="716"/>
      <c r="P914" s="716"/>
      <c r="Q914" s="716"/>
      <c r="R914" s="716"/>
      <c r="S914" s="716"/>
      <c r="T914" s="716"/>
      <c r="U914" s="716"/>
      <c r="V914" s="716"/>
      <c r="W914" s="716"/>
      <c r="X914" s="716"/>
      <c r="Y914" s="716"/>
      <c r="Z914" s="716"/>
    </row>
    <row r="915">
      <c r="A915" s="716"/>
      <c r="B915" s="717"/>
      <c r="C915" s="716"/>
      <c r="D915" s="716"/>
      <c r="E915" s="716"/>
      <c r="F915" s="716"/>
      <c r="G915" s="716"/>
      <c r="H915" s="716"/>
      <c r="I915" s="716"/>
      <c r="J915" s="716"/>
      <c r="K915" s="716"/>
      <c r="L915" s="716"/>
      <c r="M915" s="716"/>
      <c r="N915" s="716"/>
      <c r="O915" s="716"/>
      <c r="P915" s="716"/>
      <c r="Q915" s="716"/>
      <c r="R915" s="716"/>
      <c r="S915" s="716"/>
      <c r="T915" s="716"/>
      <c r="U915" s="716"/>
      <c r="V915" s="716"/>
      <c r="W915" s="716"/>
      <c r="X915" s="716"/>
      <c r="Y915" s="716"/>
      <c r="Z915" s="716"/>
    </row>
    <row r="916">
      <c r="A916" s="716"/>
      <c r="B916" s="717"/>
      <c r="C916" s="716"/>
      <c r="D916" s="716"/>
      <c r="E916" s="716"/>
      <c r="F916" s="716"/>
      <c r="G916" s="716"/>
      <c r="H916" s="716"/>
      <c r="I916" s="716"/>
      <c r="J916" s="716"/>
      <c r="K916" s="716"/>
      <c r="L916" s="716"/>
      <c r="M916" s="716"/>
      <c r="N916" s="716"/>
      <c r="O916" s="716"/>
      <c r="P916" s="716"/>
      <c r="Q916" s="716"/>
      <c r="R916" s="716"/>
      <c r="S916" s="716"/>
      <c r="T916" s="716"/>
      <c r="U916" s="716"/>
      <c r="V916" s="716"/>
      <c r="W916" s="716"/>
      <c r="X916" s="716"/>
      <c r="Y916" s="716"/>
      <c r="Z916" s="716"/>
    </row>
    <row r="917">
      <c r="A917" s="716"/>
      <c r="B917" s="717"/>
      <c r="C917" s="716"/>
      <c r="D917" s="716"/>
      <c r="E917" s="716"/>
      <c r="F917" s="716"/>
      <c r="G917" s="716"/>
      <c r="H917" s="716"/>
      <c r="I917" s="716"/>
      <c r="J917" s="716"/>
      <c r="K917" s="716"/>
      <c r="L917" s="716"/>
      <c r="M917" s="716"/>
      <c r="N917" s="716"/>
      <c r="O917" s="716"/>
      <c r="P917" s="716"/>
      <c r="Q917" s="716"/>
      <c r="R917" s="716"/>
      <c r="S917" s="716"/>
      <c r="T917" s="716"/>
      <c r="U917" s="716"/>
      <c r="V917" s="716"/>
      <c r="W917" s="716"/>
      <c r="X917" s="716"/>
      <c r="Y917" s="716"/>
      <c r="Z917" s="716"/>
    </row>
    <row r="918">
      <c r="A918" s="716"/>
      <c r="B918" s="717"/>
      <c r="C918" s="716"/>
      <c r="D918" s="716"/>
      <c r="E918" s="716"/>
      <c r="F918" s="716"/>
      <c r="G918" s="716"/>
      <c r="H918" s="716"/>
      <c r="I918" s="716"/>
      <c r="J918" s="716"/>
      <c r="K918" s="716"/>
      <c r="L918" s="716"/>
      <c r="M918" s="716"/>
      <c r="N918" s="716"/>
      <c r="O918" s="716"/>
      <c r="P918" s="716"/>
      <c r="Q918" s="716"/>
      <c r="R918" s="716"/>
      <c r="S918" s="716"/>
      <c r="T918" s="716"/>
      <c r="U918" s="716"/>
      <c r="V918" s="716"/>
      <c r="W918" s="716"/>
      <c r="X918" s="716"/>
      <c r="Y918" s="716"/>
      <c r="Z918" s="716"/>
    </row>
    <row r="919">
      <c r="A919" s="716"/>
      <c r="B919" s="717"/>
      <c r="C919" s="716"/>
      <c r="D919" s="716"/>
      <c r="E919" s="716"/>
      <c r="F919" s="716"/>
      <c r="G919" s="716"/>
      <c r="H919" s="716"/>
      <c r="I919" s="716"/>
      <c r="J919" s="716"/>
      <c r="K919" s="716"/>
      <c r="L919" s="716"/>
      <c r="M919" s="716"/>
      <c r="N919" s="716"/>
      <c r="O919" s="716"/>
      <c r="P919" s="716"/>
      <c r="Q919" s="716"/>
      <c r="R919" s="716"/>
      <c r="S919" s="716"/>
      <c r="T919" s="716"/>
      <c r="U919" s="716"/>
      <c r="V919" s="716"/>
      <c r="W919" s="716"/>
      <c r="X919" s="716"/>
      <c r="Y919" s="716"/>
      <c r="Z919" s="716"/>
    </row>
    <row r="920">
      <c r="A920" s="716"/>
      <c r="B920" s="717"/>
      <c r="C920" s="716"/>
      <c r="D920" s="716"/>
      <c r="E920" s="716"/>
      <c r="F920" s="716"/>
      <c r="G920" s="716"/>
      <c r="H920" s="716"/>
      <c r="I920" s="716"/>
      <c r="J920" s="716"/>
      <c r="K920" s="716"/>
      <c r="L920" s="716"/>
      <c r="M920" s="716"/>
      <c r="N920" s="716"/>
      <c r="O920" s="716"/>
      <c r="P920" s="716"/>
      <c r="Q920" s="716"/>
      <c r="R920" s="716"/>
      <c r="S920" s="716"/>
      <c r="T920" s="716"/>
      <c r="U920" s="716"/>
      <c r="V920" s="716"/>
      <c r="W920" s="716"/>
      <c r="X920" s="716"/>
      <c r="Y920" s="716"/>
      <c r="Z920" s="716"/>
    </row>
    <row r="921">
      <c r="A921" s="716"/>
      <c r="B921" s="717"/>
      <c r="C921" s="716"/>
      <c r="D921" s="716"/>
      <c r="E921" s="716"/>
      <c r="F921" s="716"/>
      <c r="G921" s="716"/>
      <c r="H921" s="716"/>
      <c r="I921" s="716"/>
      <c r="J921" s="716"/>
      <c r="K921" s="716"/>
      <c r="L921" s="716"/>
      <c r="M921" s="716"/>
      <c r="N921" s="716"/>
      <c r="O921" s="716"/>
      <c r="P921" s="716"/>
      <c r="Q921" s="716"/>
      <c r="R921" s="716"/>
      <c r="S921" s="716"/>
      <c r="T921" s="716"/>
      <c r="U921" s="716"/>
      <c r="V921" s="716"/>
      <c r="W921" s="716"/>
      <c r="X921" s="716"/>
      <c r="Y921" s="716"/>
      <c r="Z921" s="716"/>
    </row>
    <row r="922">
      <c r="A922" s="716"/>
      <c r="B922" s="717"/>
      <c r="C922" s="716"/>
      <c r="D922" s="716"/>
      <c r="E922" s="716"/>
      <c r="F922" s="716"/>
      <c r="G922" s="716"/>
      <c r="H922" s="716"/>
      <c r="I922" s="716"/>
      <c r="J922" s="716"/>
      <c r="K922" s="716"/>
      <c r="L922" s="716"/>
      <c r="M922" s="716"/>
      <c r="N922" s="716"/>
      <c r="O922" s="716"/>
      <c r="P922" s="716"/>
      <c r="Q922" s="716"/>
      <c r="R922" s="716"/>
      <c r="S922" s="716"/>
      <c r="T922" s="716"/>
      <c r="U922" s="716"/>
      <c r="V922" s="716"/>
      <c r="W922" s="716"/>
      <c r="X922" s="716"/>
      <c r="Y922" s="716"/>
      <c r="Z922" s="716"/>
    </row>
    <row r="923">
      <c r="A923" s="716"/>
      <c r="B923" s="717"/>
      <c r="C923" s="716"/>
      <c r="D923" s="716"/>
      <c r="E923" s="716"/>
      <c r="F923" s="716"/>
      <c r="G923" s="716"/>
      <c r="H923" s="716"/>
      <c r="I923" s="716"/>
      <c r="J923" s="716"/>
      <c r="K923" s="716"/>
      <c r="L923" s="716"/>
      <c r="M923" s="716"/>
      <c r="N923" s="716"/>
      <c r="O923" s="716"/>
      <c r="P923" s="716"/>
      <c r="Q923" s="716"/>
      <c r="R923" s="716"/>
      <c r="S923" s="716"/>
      <c r="T923" s="716"/>
      <c r="U923" s="716"/>
      <c r="V923" s="716"/>
      <c r="W923" s="716"/>
      <c r="X923" s="716"/>
      <c r="Y923" s="716"/>
      <c r="Z923" s="716"/>
    </row>
    <row r="924">
      <c r="A924" s="716"/>
      <c r="B924" s="717"/>
      <c r="C924" s="716"/>
      <c r="D924" s="716"/>
      <c r="E924" s="716"/>
      <c r="F924" s="716"/>
      <c r="G924" s="716"/>
      <c r="H924" s="716"/>
      <c r="I924" s="716"/>
      <c r="J924" s="716"/>
      <c r="K924" s="716"/>
      <c r="L924" s="716"/>
      <c r="M924" s="716"/>
      <c r="N924" s="716"/>
      <c r="O924" s="716"/>
      <c r="P924" s="716"/>
      <c r="Q924" s="716"/>
      <c r="R924" s="716"/>
      <c r="S924" s="716"/>
      <c r="T924" s="716"/>
      <c r="U924" s="716"/>
      <c r="V924" s="716"/>
      <c r="W924" s="716"/>
      <c r="X924" s="716"/>
      <c r="Y924" s="716"/>
      <c r="Z924" s="716"/>
    </row>
    <row r="925">
      <c r="A925" s="716"/>
      <c r="B925" s="717"/>
      <c r="C925" s="716"/>
      <c r="D925" s="716"/>
      <c r="E925" s="716"/>
      <c r="F925" s="716"/>
      <c r="G925" s="716"/>
      <c r="H925" s="716"/>
      <c r="I925" s="716"/>
      <c r="J925" s="716"/>
      <c r="K925" s="716"/>
      <c r="L925" s="716"/>
      <c r="M925" s="716"/>
      <c r="N925" s="716"/>
      <c r="O925" s="716"/>
      <c r="P925" s="716"/>
      <c r="Q925" s="716"/>
      <c r="R925" s="716"/>
      <c r="S925" s="716"/>
      <c r="T925" s="716"/>
      <c r="U925" s="716"/>
      <c r="V925" s="716"/>
      <c r="W925" s="716"/>
      <c r="X925" s="716"/>
      <c r="Y925" s="716"/>
      <c r="Z925" s="716"/>
    </row>
    <row r="926">
      <c r="A926" s="716"/>
      <c r="B926" s="717"/>
      <c r="C926" s="716"/>
      <c r="D926" s="716"/>
      <c r="E926" s="716"/>
      <c r="F926" s="716"/>
      <c r="G926" s="716"/>
      <c r="H926" s="716"/>
      <c r="I926" s="716"/>
      <c r="J926" s="716"/>
      <c r="K926" s="716"/>
      <c r="L926" s="716"/>
      <c r="M926" s="716"/>
      <c r="N926" s="716"/>
      <c r="O926" s="716"/>
      <c r="P926" s="716"/>
      <c r="Q926" s="716"/>
      <c r="R926" s="716"/>
      <c r="S926" s="716"/>
      <c r="T926" s="716"/>
      <c r="U926" s="716"/>
      <c r="V926" s="716"/>
      <c r="W926" s="716"/>
      <c r="X926" s="716"/>
      <c r="Y926" s="716"/>
      <c r="Z926" s="716"/>
    </row>
    <row r="927">
      <c r="A927" s="716"/>
      <c r="B927" s="717"/>
      <c r="C927" s="716"/>
      <c r="D927" s="716"/>
      <c r="E927" s="716"/>
      <c r="F927" s="716"/>
      <c r="G927" s="716"/>
      <c r="H927" s="716"/>
      <c r="I927" s="716"/>
      <c r="J927" s="716"/>
      <c r="K927" s="716"/>
      <c r="L927" s="716"/>
      <c r="M927" s="716"/>
      <c r="N927" s="716"/>
      <c r="O927" s="716"/>
      <c r="P927" s="716"/>
      <c r="Q927" s="716"/>
      <c r="R927" s="716"/>
      <c r="S927" s="716"/>
      <c r="T927" s="716"/>
      <c r="U927" s="716"/>
      <c r="V927" s="716"/>
      <c r="W927" s="716"/>
      <c r="X927" s="716"/>
      <c r="Y927" s="716"/>
      <c r="Z927" s="716"/>
    </row>
    <row r="928">
      <c r="A928" s="716"/>
      <c r="B928" s="717"/>
      <c r="C928" s="716"/>
      <c r="D928" s="716"/>
      <c r="E928" s="716"/>
      <c r="F928" s="716"/>
      <c r="G928" s="716"/>
      <c r="H928" s="716"/>
      <c r="I928" s="716"/>
      <c r="J928" s="716"/>
      <c r="K928" s="716"/>
      <c r="L928" s="716"/>
      <c r="M928" s="716"/>
      <c r="N928" s="716"/>
      <c r="O928" s="716"/>
      <c r="P928" s="716"/>
      <c r="Q928" s="716"/>
      <c r="R928" s="716"/>
      <c r="S928" s="716"/>
      <c r="T928" s="716"/>
      <c r="U928" s="716"/>
      <c r="V928" s="716"/>
      <c r="W928" s="716"/>
      <c r="X928" s="716"/>
      <c r="Y928" s="716"/>
      <c r="Z928" s="716"/>
    </row>
    <row r="929">
      <c r="A929" s="716"/>
      <c r="B929" s="717"/>
      <c r="C929" s="716"/>
      <c r="D929" s="716"/>
      <c r="E929" s="716"/>
      <c r="F929" s="716"/>
      <c r="G929" s="716"/>
      <c r="H929" s="716"/>
      <c r="I929" s="716"/>
      <c r="J929" s="716"/>
      <c r="K929" s="716"/>
      <c r="L929" s="716"/>
      <c r="M929" s="716"/>
      <c r="N929" s="716"/>
      <c r="O929" s="716"/>
      <c r="P929" s="716"/>
      <c r="Q929" s="716"/>
      <c r="R929" s="716"/>
      <c r="S929" s="716"/>
      <c r="T929" s="716"/>
      <c r="U929" s="716"/>
      <c r="V929" s="716"/>
      <c r="W929" s="716"/>
      <c r="X929" s="716"/>
      <c r="Y929" s="716"/>
      <c r="Z929" s="716"/>
    </row>
    <row r="930">
      <c r="A930" s="716"/>
      <c r="B930" s="717"/>
      <c r="C930" s="716"/>
      <c r="D930" s="716"/>
      <c r="E930" s="716"/>
      <c r="F930" s="716"/>
      <c r="G930" s="716"/>
      <c r="H930" s="716"/>
      <c r="I930" s="716"/>
      <c r="J930" s="716"/>
      <c r="K930" s="716"/>
      <c r="L930" s="716"/>
      <c r="M930" s="716"/>
      <c r="N930" s="716"/>
      <c r="O930" s="716"/>
      <c r="P930" s="716"/>
      <c r="Q930" s="716"/>
      <c r="R930" s="716"/>
      <c r="S930" s="716"/>
      <c r="T930" s="716"/>
      <c r="U930" s="716"/>
      <c r="V930" s="716"/>
      <c r="W930" s="716"/>
      <c r="X930" s="716"/>
      <c r="Y930" s="716"/>
      <c r="Z930" s="716"/>
    </row>
    <row r="931">
      <c r="A931" s="716"/>
      <c r="B931" s="717"/>
      <c r="C931" s="716"/>
      <c r="D931" s="716"/>
      <c r="E931" s="716"/>
      <c r="F931" s="716"/>
      <c r="G931" s="716"/>
      <c r="H931" s="716"/>
      <c r="I931" s="716"/>
      <c r="J931" s="716"/>
      <c r="K931" s="716"/>
      <c r="L931" s="716"/>
      <c r="M931" s="716"/>
      <c r="N931" s="716"/>
      <c r="O931" s="716"/>
      <c r="P931" s="716"/>
      <c r="Q931" s="716"/>
      <c r="R931" s="716"/>
      <c r="S931" s="716"/>
      <c r="T931" s="716"/>
      <c r="U931" s="716"/>
      <c r="V931" s="716"/>
      <c r="W931" s="716"/>
      <c r="X931" s="716"/>
      <c r="Y931" s="716"/>
      <c r="Z931" s="716"/>
    </row>
    <row r="932">
      <c r="A932" s="716"/>
      <c r="B932" s="717"/>
      <c r="C932" s="716"/>
      <c r="D932" s="716"/>
      <c r="E932" s="716"/>
      <c r="F932" s="716"/>
      <c r="G932" s="716"/>
      <c r="H932" s="716"/>
      <c r="I932" s="716"/>
      <c r="J932" s="716"/>
      <c r="K932" s="716"/>
      <c r="L932" s="716"/>
      <c r="M932" s="716"/>
      <c r="N932" s="716"/>
      <c r="O932" s="716"/>
      <c r="P932" s="716"/>
      <c r="Q932" s="716"/>
      <c r="R932" s="716"/>
      <c r="S932" s="716"/>
      <c r="T932" s="716"/>
      <c r="U932" s="716"/>
      <c r="V932" s="716"/>
      <c r="W932" s="716"/>
      <c r="X932" s="716"/>
      <c r="Y932" s="716"/>
      <c r="Z932" s="716"/>
    </row>
    <row r="933">
      <c r="A933" s="716"/>
      <c r="B933" s="717"/>
      <c r="C933" s="716"/>
      <c r="D933" s="716"/>
      <c r="E933" s="716"/>
      <c r="F933" s="716"/>
      <c r="G933" s="716"/>
      <c r="H933" s="716"/>
      <c r="I933" s="716"/>
      <c r="J933" s="716"/>
      <c r="K933" s="716"/>
      <c r="L933" s="716"/>
      <c r="M933" s="716"/>
      <c r="N933" s="716"/>
      <c r="O933" s="716"/>
      <c r="P933" s="716"/>
      <c r="Q933" s="716"/>
      <c r="R933" s="716"/>
      <c r="S933" s="716"/>
      <c r="T933" s="716"/>
      <c r="U933" s="716"/>
      <c r="V933" s="716"/>
      <c r="W933" s="716"/>
      <c r="X933" s="716"/>
      <c r="Y933" s="716"/>
      <c r="Z933" s="716"/>
    </row>
    <row r="934">
      <c r="A934" s="716"/>
      <c r="B934" s="717"/>
      <c r="C934" s="716"/>
      <c r="D934" s="716"/>
      <c r="E934" s="716"/>
      <c r="F934" s="716"/>
      <c r="G934" s="716"/>
      <c r="H934" s="716"/>
      <c r="I934" s="716"/>
      <c r="J934" s="716"/>
      <c r="K934" s="716"/>
      <c r="L934" s="716"/>
      <c r="M934" s="716"/>
      <c r="N934" s="716"/>
      <c r="O934" s="716"/>
      <c r="P934" s="716"/>
      <c r="Q934" s="716"/>
      <c r="R934" s="716"/>
      <c r="S934" s="716"/>
      <c r="T934" s="716"/>
      <c r="U934" s="716"/>
      <c r="V934" s="716"/>
      <c r="W934" s="716"/>
      <c r="X934" s="716"/>
      <c r="Y934" s="716"/>
      <c r="Z934" s="716"/>
    </row>
    <row r="935">
      <c r="A935" s="716"/>
      <c r="B935" s="717"/>
      <c r="C935" s="716"/>
      <c r="D935" s="716"/>
      <c r="E935" s="716"/>
      <c r="F935" s="716"/>
      <c r="G935" s="716"/>
      <c r="H935" s="716"/>
      <c r="I935" s="716"/>
      <c r="J935" s="716"/>
      <c r="K935" s="716"/>
      <c r="L935" s="716"/>
      <c r="M935" s="716"/>
      <c r="N935" s="716"/>
      <c r="O935" s="716"/>
      <c r="P935" s="716"/>
      <c r="Q935" s="716"/>
      <c r="R935" s="716"/>
      <c r="S935" s="716"/>
      <c r="T935" s="716"/>
      <c r="U935" s="716"/>
      <c r="V935" s="716"/>
      <c r="W935" s="716"/>
      <c r="X935" s="716"/>
      <c r="Y935" s="716"/>
      <c r="Z935" s="716"/>
    </row>
    <row r="936">
      <c r="A936" s="716"/>
      <c r="B936" s="717"/>
      <c r="C936" s="716"/>
      <c r="D936" s="716"/>
      <c r="E936" s="716"/>
      <c r="F936" s="716"/>
      <c r="G936" s="716"/>
      <c r="H936" s="716"/>
      <c r="I936" s="716"/>
      <c r="J936" s="716"/>
      <c r="K936" s="716"/>
      <c r="L936" s="716"/>
      <c r="M936" s="716"/>
      <c r="N936" s="716"/>
      <c r="O936" s="716"/>
      <c r="P936" s="716"/>
      <c r="Q936" s="716"/>
      <c r="R936" s="716"/>
      <c r="S936" s="716"/>
      <c r="T936" s="716"/>
      <c r="U936" s="716"/>
      <c r="V936" s="716"/>
      <c r="W936" s="716"/>
      <c r="X936" s="716"/>
      <c r="Y936" s="716"/>
      <c r="Z936" s="716"/>
    </row>
    <row r="937">
      <c r="A937" s="716"/>
      <c r="B937" s="717"/>
      <c r="C937" s="716"/>
      <c r="D937" s="716"/>
      <c r="E937" s="716"/>
      <c r="F937" s="716"/>
      <c r="G937" s="716"/>
      <c r="H937" s="716"/>
      <c r="I937" s="716"/>
      <c r="J937" s="716"/>
      <c r="K937" s="716"/>
      <c r="L937" s="716"/>
      <c r="M937" s="716"/>
      <c r="N937" s="716"/>
      <c r="O937" s="716"/>
      <c r="P937" s="716"/>
      <c r="Q937" s="716"/>
      <c r="R937" s="716"/>
      <c r="S937" s="716"/>
      <c r="T937" s="716"/>
      <c r="U937" s="716"/>
      <c r="V937" s="716"/>
      <c r="W937" s="716"/>
      <c r="X937" s="716"/>
      <c r="Y937" s="716"/>
      <c r="Z937" s="716"/>
    </row>
    <row r="938">
      <c r="A938" s="716"/>
      <c r="B938" s="717"/>
      <c r="C938" s="716"/>
      <c r="D938" s="716"/>
      <c r="E938" s="716"/>
      <c r="F938" s="716"/>
      <c r="G938" s="716"/>
      <c r="H938" s="716"/>
      <c r="I938" s="716"/>
      <c r="J938" s="716"/>
      <c r="K938" s="716"/>
      <c r="L938" s="716"/>
      <c r="M938" s="716"/>
      <c r="N938" s="716"/>
      <c r="O938" s="716"/>
      <c r="P938" s="716"/>
      <c r="Q938" s="716"/>
      <c r="R938" s="716"/>
      <c r="S938" s="716"/>
      <c r="T938" s="716"/>
      <c r="U938" s="716"/>
      <c r="V938" s="716"/>
      <c r="W938" s="716"/>
      <c r="X938" s="716"/>
      <c r="Y938" s="716"/>
      <c r="Z938" s="716"/>
    </row>
    <row r="939">
      <c r="A939" s="716"/>
      <c r="B939" s="717"/>
      <c r="C939" s="716"/>
      <c r="D939" s="716"/>
      <c r="E939" s="716"/>
      <c r="F939" s="716"/>
      <c r="G939" s="716"/>
      <c r="H939" s="716"/>
      <c r="I939" s="716"/>
      <c r="J939" s="716"/>
      <c r="K939" s="716"/>
      <c r="L939" s="716"/>
      <c r="M939" s="716"/>
      <c r="N939" s="716"/>
      <c r="O939" s="716"/>
      <c r="P939" s="716"/>
      <c r="Q939" s="716"/>
      <c r="R939" s="716"/>
      <c r="S939" s="716"/>
      <c r="T939" s="716"/>
      <c r="U939" s="716"/>
      <c r="V939" s="716"/>
      <c r="W939" s="716"/>
      <c r="X939" s="716"/>
      <c r="Y939" s="716"/>
      <c r="Z939" s="716"/>
    </row>
    <row r="940">
      <c r="A940" s="716"/>
      <c r="B940" s="717"/>
      <c r="C940" s="716"/>
      <c r="D940" s="716"/>
      <c r="E940" s="716"/>
      <c r="F940" s="716"/>
      <c r="G940" s="716"/>
      <c r="H940" s="716"/>
      <c r="I940" s="716"/>
      <c r="J940" s="716"/>
      <c r="K940" s="716"/>
      <c r="L940" s="716"/>
      <c r="M940" s="716"/>
      <c r="N940" s="716"/>
      <c r="O940" s="716"/>
      <c r="P940" s="716"/>
      <c r="Q940" s="716"/>
      <c r="R940" s="716"/>
      <c r="S940" s="716"/>
      <c r="T940" s="716"/>
      <c r="U940" s="716"/>
      <c r="V940" s="716"/>
      <c r="W940" s="716"/>
      <c r="X940" s="716"/>
      <c r="Y940" s="716"/>
      <c r="Z940" s="716"/>
    </row>
    <row r="941">
      <c r="A941" s="716"/>
      <c r="B941" s="717"/>
      <c r="C941" s="716"/>
      <c r="D941" s="716"/>
      <c r="E941" s="716"/>
      <c r="F941" s="716"/>
      <c r="G941" s="716"/>
      <c r="H941" s="716"/>
      <c r="I941" s="716"/>
      <c r="J941" s="716"/>
      <c r="K941" s="716"/>
      <c r="L941" s="716"/>
      <c r="M941" s="716"/>
      <c r="N941" s="716"/>
      <c r="O941" s="716"/>
      <c r="P941" s="716"/>
      <c r="Q941" s="716"/>
      <c r="R941" s="716"/>
      <c r="S941" s="716"/>
      <c r="T941" s="716"/>
      <c r="U941" s="716"/>
      <c r="V941" s="716"/>
      <c r="W941" s="716"/>
      <c r="X941" s="716"/>
      <c r="Y941" s="716"/>
      <c r="Z941" s="716"/>
    </row>
    <row r="942">
      <c r="A942" s="716"/>
      <c r="B942" s="717"/>
      <c r="C942" s="716"/>
      <c r="D942" s="716"/>
      <c r="E942" s="716"/>
      <c r="F942" s="716"/>
      <c r="G942" s="716"/>
      <c r="H942" s="716"/>
      <c r="I942" s="716"/>
      <c r="J942" s="716"/>
      <c r="K942" s="716"/>
      <c r="L942" s="716"/>
      <c r="M942" s="716"/>
      <c r="N942" s="716"/>
      <c r="O942" s="716"/>
      <c r="P942" s="716"/>
      <c r="Q942" s="716"/>
      <c r="R942" s="716"/>
      <c r="S942" s="716"/>
      <c r="T942" s="716"/>
      <c r="U942" s="716"/>
      <c r="V942" s="716"/>
      <c r="W942" s="716"/>
      <c r="X942" s="716"/>
      <c r="Y942" s="716"/>
      <c r="Z942" s="716"/>
    </row>
    <row r="943">
      <c r="A943" s="716"/>
      <c r="B943" s="717"/>
      <c r="C943" s="716"/>
      <c r="D943" s="716"/>
      <c r="E943" s="716"/>
      <c r="F943" s="716"/>
      <c r="G943" s="716"/>
      <c r="H943" s="716"/>
      <c r="I943" s="716"/>
      <c r="J943" s="716"/>
      <c r="K943" s="716"/>
      <c r="L943" s="716"/>
      <c r="M943" s="716"/>
      <c r="N943" s="716"/>
      <c r="O943" s="716"/>
      <c r="P943" s="716"/>
      <c r="Q943" s="716"/>
      <c r="R943" s="716"/>
      <c r="S943" s="716"/>
      <c r="T943" s="716"/>
      <c r="U943" s="716"/>
      <c r="V943" s="716"/>
      <c r="W943" s="716"/>
      <c r="X943" s="716"/>
      <c r="Y943" s="716"/>
      <c r="Z943" s="716"/>
    </row>
    <row r="944">
      <c r="A944" s="716"/>
      <c r="B944" s="717"/>
      <c r="C944" s="716"/>
      <c r="D944" s="716"/>
      <c r="E944" s="716"/>
      <c r="F944" s="716"/>
      <c r="G944" s="716"/>
      <c r="H944" s="716"/>
      <c r="I944" s="716"/>
      <c r="J944" s="716"/>
      <c r="K944" s="716"/>
      <c r="L944" s="716"/>
      <c r="M944" s="716"/>
      <c r="N944" s="716"/>
      <c r="O944" s="716"/>
      <c r="P944" s="716"/>
      <c r="Q944" s="716"/>
      <c r="R944" s="716"/>
      <c r="S944" s="716"/>
      <c r="T944" s="716"/>
      <c r="U944" s="716"/>
      <c r="V944" s="716"/>
      <c r="W944" s="716"/>
      <c r="X944" s="716"/>
      <c r="Y944" s="716"/>
      <c r="Z944" s="716"/>
    </row>
    <row r="945">
      <c r="A945" s="716"/>
      <c r="B945" s="717"/>
      <c r="C945" s="716"/>
      <c r="D945" s="716"/>
      <c r="E945" s="716"/>
      <c r="F945" s="716"/>
      <c r="G945" s="716"/>
      <c r="H945" s="716"/>
      <c r="I945" s="716"/>
      <c r="J945" s="716"/>
      <c r="K945" s="716"/>
      <c r="L945" s="716"/>
      <c r="M945" s="716"/>
      <c r="N945" s="716"/>
      <c r="O945" s="716"/>
      <c r="P945" s="716"/>
      <c r="Q945" s="716"/>
      <c r="R945" s="716"/>
      <c r="S945" s="716"/>
      <c r="T945" s="716"/>
      <c r="U945" s="716"/>
      <c r="V945" s="716"/>
      <c r="W945" s="716"/>
      <c r="X945" s="716"/>
      <c r="Y945" s="716"/>
      <c r="Z945" s="716"/>
    </row>
    <row r="946">
      <c r="A946" s="716"/>
      <c r="B946" s="717"/>
      <c r="C946" s="716"/>
      <c r="D946" s="716"/>
      <c r="E946" s="716"/>
      <c r="F946" s="716"/>
      <c r="G946" s="716"/>
      <c r="H946" s="716"/>
      <c r="I946" s="716"/>
      <c r="J946" s="716"/>
      <c r="K946" s="716"/>
      <c r="L946" s="716"/>
      <c r="M946" s="716"/>
      <c r="N946" s="716"/>
      <c r="O946" s="716"/>
      <c r="P946" s="716"/>
      <c r="Q946" s="716"/>
      <c r="R946" s="716"/>
      <c r="S946" s="716"/>
      <c r="T946" s="716"/>
      <c r="U946" s="716"/>
      <c r="V946" s="716"/>
      <c r="W946" s="716"/>
      <c r="X946" s="716"/>
      <c r="Y946" s="716"/>
      <c r="Z946" s="716"/>
    </row>
    <row r="947">
      <c r="A947" s="716"/>
      <c r="B947" s="717"/>
      <c r="C947" s="716"/>
      <c r="D947" s="716"/>
      <c r="E947" s="716"/>
      <c r="F947" s="716"/>
      <c r="G947" s="716"/>
      <c r="H947" s="716"/>
      <c r="I947" s="716"/>
      <c r="J947" s="716"/>
      <c r="K947" s="716"/>
      <c r="L947" s="716"/>
      <c r="M947" s="716"/>
      <c r="N947" s="716"/>
      <c r="O947" s="716"/>
      <c r="P947" s="716"/>
      <c r="Q947" s="716"/>
      <c r="R947" s="716"/>
      <c r="S947" s="716"/>
      <c r="T947" s="716"/>
      <c r="U947" s="716"/>
      <c r="V947" s="716"/>
      <c r="W947" s="716"/>
      <c r="X947" s="716"/>
      <c r="Y947" s="716"/>
      <c r="Z947" s="716"/>
    </row>
    <row r="948">
      <c r="A948" s="716"/>
      <c r="B948" s="717"/>
      <c r="C948" s="716"/>
      <c r="D948" s="716"/>
      <c r="E948" s="716"/>
      <c r="F948" s="716"/>
      <c r="G948" s="716"/>
      <c r="H948" s="716"/>
      <c r="I948" s="716"/>
      <c r="J948" s="716"/>
      <c r="K948" s="716"/>
      <c r="L948" s="716"/>
      <c r="M948" s="716"/>
      <c r="N948" s="716"/>
      <c r="O948" s="716"/>
      <c r="P948" s="716"/>
      <c r="Q948" s="716"/>
      <c r="R948" s="716"/>
      <c r="S948" s="716"/>
      <c r="T948" s="716"/>
      <c r="U948" s="716"/>
      <c r="V948" s="716"/>
      <c r="W948" s="716"/>
      <c r="X948" s="716"/>
      <c r="Y948" s="716"/>
      <c r="Z948" s="716"/>
    </row>
    <row r="949">
      <c r="A949" s="716"/>
      <c r="B949" s="717"/>
      <c r="C949" s="716"/>
      <c r="D949" s="716"/>
      <c r="E949" s="716"/>
      <c r="F949" s="716"/>
      <c r="G949" s="716"/>
      <c r="H949" s="716"/>
      <c r="I949" s="716"/>
      <c r="J949" s="716"/>
      <c r="K949" s="716"/>
      <c r="L949" s="716"/>
      <c r="M949" s="716"/>
      <c r="N949" s="716"/>
      <c r="O949" s="716"/>
      <c r="P949" s="716"/>
      <c r="Q949" s="716"/>
      <c r="R949" s="716"/>
      <c r="S949" s="716"/>
      <c r="T949" s="716"/>
      <c r="U949" s="716"/>
      <c r="V949" s="716"/>
      <c r="W949" s="716"/>
      <c r="X949" s="716"/>
      <c r="Y949" s="716"/>
      <c r="Z949" s="716"/>
    </row>
    <row r="950">
      <c r="A950" s="716"/>
      <c r="B950" s="717"/>
      <c r="C950" s="716"/>
      <c r="D950" s="716"/>
      <c r="E950" s="716"/>
      <c r="F950" s="716"/>
      <c r="G950" s="716"/>
      <c r="H950" s="716"/>
      <c r="I950" s="716"/>
      <c r="J950" s="716"/>
      <c r="K950" s="716"/>
      <c r="L950" s="716"/>
      <c r="M950" s="716"/>
      <c r="N950" s="716"/>
      <c r="O950" s="716"/>
      <c r="P950" s="716"/>
      <c r="Q950" s="716"/>
      <c r="R950" s="716"/>
      <c r="S950" s="716"/>
      <c r="T950" s="716"/>
      <c r="U950" s="716"/>
      <c r="V950" s="716"/>
      <c r="W950" s="716"/>
      <c r="X950" s="716"/>
      <c r="Y950" s="716"/>
      <c r="Z950" s="716"/>
    </row>
    <row r="951">
      <c r="A951" s="716"/>
      <c r="B951" s="717"/>
      <c r="C951" s="716"/>
      <c r="D951" s="716"/>
      <c r="E951" s="716"/>
      <c r="F951" s="716"/>
      <c r="G951" s="716"/>
      <c r="H951" s="716"/>
      <c r="I951" s="716"/>
      <c r="J951" s="716"/>
      <c r="K951" s="716"/>
      <c r="L951" s="716"/>
      <c r="M951" s="716"/>
      <c r="N951" s="716"/>
      <c r="O951" s="716"/>
      <c r="P951" s="716"/>
      <c r="Q951" s="716"/>
      <c r="R951" s="716"/>
      <c r="S951" s="716"/>
      <c r="T951" s="716"/>
      <c r="U951" s="716"/>
      <c r="V951" s="716"/>
      <c r="W951" s="716"/>
      <c r="X951" s="716"/>
      <c r="Y951" s="716"/>
      <c r="Z951" s="716"/>
    </row>
    <row r="952">
      <c r="A952" s="716"/>
      <c r="B952" s="717"/>
      <c r="C952" s="716"/>
      <c r="D952" s="716"/>
      <c r="E952" s="716"/>
      <c r="F952" s="716"/>
      <c r="G952" s="716"/>
      <c r="H952" s="716"/>
      <c r="I952" s="716"/>
      <c r="J952" s="716"/>
      <c r="K952" s="716"/>
      <c r="L952" s="716"/>
      <c r="M952" s="716"/>
      <c r="N952" s="716"/>
      <c r="O952" s="716"/>
      <c r="P952" s="716"/>
      <c r="Q952" s="716"/>
      <c r="R952" s="716"/>
      <c r="S952" s="716"/>
      <c r="T952" s="716"/>
      <c r="U952" s="716"/>
      <c r="V952" s="716"/>
      <c r="W952" s="716"/>
      <c r="X952" s="716"/>
      <c r="Y952" s="716"/>
      <c r="Z952" s="716"/>
    </row>
    <row r="953">
      <c r="A953" s="716"/>
      <c r="B953" s="717"/>
      <c r="C953" s="716"/>
      <c r="D953" s="716"/>
      <c r="E953" s="716"/>
      <c r="F953" s="716"/>
      <c r="G953" s="716"/>
      <c r="H953" s="716"/>
      <c r="I953" s="716"/>
      <c r="J953" s="716"/>
      <c r="K953" s="716"/>
      <c r="L953" s="716"/>
      <c r="M953" s="716"/>
      <c r="N953" s="716"/>
      <c r="O953" s="716"/>
      <c r="P953" s="716"/>
      <c r="Q953" s="716"/>
      <c r="R953" s="716"/>
      <c r="S953" s="716"/>
      <c r="T953" s="716"/>
      <c r="U953" s="716"/>
      <c r="V953" s="716"/>
      <c r="W953" s="716"/>
      <c r="X953" s="716"/>
      <c r="Y953" s="716"/>
      <c r="Z953" s="716"/>
    </row>
    <row r="954">
      <c r="A954" s="716"/>
      <c r="B954" s="717"/>
      <c r="C954" s="716"/>
      <c r="D954" s="716"/>
      <c r="E954" s="716"/>
      <c r="F954" s="716"/>
      <c r="G954" s="716"/>
      <c r="H954" s="716"/>
      <c r="I954" s="716"/>
      <c r="J954" s="716"/>
      <c r="K954" s="716"/>
      <c r="L954" s="716"/>
      <c r="M954" s="716"/>
      <c r="N954" s="716"/>
      <c r="O954" s="716"/>
      <c r="P954" s="716"/>
      <c r="Q954" s="716"/>
      <c r="R954" s="716"/>
      <c r="S954" s="716"/>
      <c r="T954" s="716"/>
      <c r="U954" s="716"/>
      <c r="V954" s="716"/>
      <c r="W954" s="716"/>
      <c r="X954" s="716"/>
      <c r="Y954" s="716"/>
      <c r="Z954" s="716"/>
    </row>
    <row r="955">
      <c r="A955" s="716"/>
      <c r="B955" s="717"/>
      <c r="C955" s="716"/>
      <c r="D955" s="716"/>
      <c r="E955" s="716"/>
      <c r="F955" s="716"/>
      <c r="G955" s="716"/>
      <c r="H955" s="716"/>
      <c r="I955" s="716"/>
      <c r="J955" s="716"/>
      <c r="K955" s="716"/>
      <c r="L955" s="716"/>
      <c r="M955" s="716"/>
      <c r="N955" s="716"/>
      <c r="O955" s="716"/>
      <c r="P955" s="716"/>
      <c r="Q955" s="716"/>
      <c r="R955" s="716"/>
      <c r="S955" s="716"/>
      <c r="T955" s="716"/>
      <c r="U955" s="716"/>
      <c r="V955" s="716"/>
      <c r="W955" s="716"/>
      <c r="X955" s="716"/>
      <c r="Y955" s="716"/>
      <c r="Z955" s="716"/>
    </row>
    <row r="956">
      <c r="A956" s="716"/>
      <c r="B956" s="717"/>
      <c r="C956" s="716"/>
      <c r="D956" s="716"/>
      <c r="E956" s="716"/>
      <c r="F956" s="716"/>
      <c r="G956" s="716"/>
      <c r="H956" s="716"/>
      <c r="I956" s="716"/>
      <c r="J956" s="716"/>
      <c r="K956" s="716"/>
      <c r="L956" s="716"/>
      <c r="M956" s="716"/>
      <c r="N956" s="716"/>
      <c r="O956" s="716"/>
      <c r="P956" s="716"/>
      <c r="Q956" s="716"/>
      <c r="R956" s="716"/>
      <c r="S956" s="716"/>
      <c r="T956" s="716"/>
      <c r="U956" s="716"/>
      <c r="V956" s="716"/>
      <c r="W956" s="716"/>
      <c r="X956" s="716"/>
      <c r="Y956" s="716"/>
      <c r="Z956" s="716"/>
    </row>
    <row r="957">
      <c r="A957" s="716"/>
      <c r="B957" s="717"/>
      <c r="C957" s="716"/>
      <c r="D957" s="716"/>
      <c r="E957" s="716"/>
      <c r="F957" s="716"/>
      <c r="G957" s="716"/>
      <c r="H957" s="716"/>
      <c r="I957" s="716"/>
      <c r="J957" s="716"/>
      <c r="K957" s="716"/>
      <c r="L957" s="716"/>
      <c r="M957" s="716"/>
      <c r="N957" s="716"/>
      <c r="O957" s="716"/>
      <c r="P957" s="716"/>
      <c r="Q957" s="716"/>
      <c r="R957" s="716"/>
      <c r="S957" s="716"/>
      <c r="T957" s="716"/>
      <c r="U957" s="716"/>
      <c r="V957" s="716"/>
      <c r="W957" s="716"/>
      <c r="X957" s="716"/>
      <c r="Y957" s="716"/>
      <c r="Z957" s="716"/>
    </row>
    <row r="958">
      <c r="A958" s="716"/>
      <c r="B958" s="717"/>
      <c r="C958" s="716"/>
      <c r="D958" s="716"/>
      <c r="E958" s="716"/>
      <c r="F958" s="716"/>
      <c r="G958" s="716"/>
      <c r="H958" s="716"/>
      <c r="I958" s="716"/>
      <c r="J958" s="716"/>
      <c r="K958" s="716"/>
      <c r="L958" s="716"/>
      <c r="M958" s="716"/>
      <c r="N958" s="716"/>
      <c r="O958" s="716"/>
      <c r="P958" s="716"/>
      <c r="Q958" s="716"/>
      <c r="R958" s="716"/>
      <c r="S958" s="716"/>
      <c r="T958" s="716"/>
      <c r="U958" s="716"/>
      <c r="V958" s="716"/>
      <c r="W958" s="716"/>
      <c r="X958" s="716"/>
      <c r="Y958" s="716"/>
      <c r="Z958" s="716"/>
    </row>
    <row r="959">
      <c r="A959" s="716"/>
      <c r="B959" s="717"/>
      <c r="C959" s="716"/>
      <c r="D959" s="716"/>
      <c r="E959" s="716"/>
      <c r="F959" s="716"/>
      <c r="G959" s="716"/>
      <c r="H959" s="716"/>
      <c r="I959" s="716"/>
      <c r="J959" s="716"/>
      <c r="K959" s="716"/>
      <c r="L959" s="716"/>
      <c r="M959" s="716"/>
      <c r="N959" s="716"/>
      <c r="O959" s="716"/>
      <c r="P959" s="716"/>
      <c r="Q959" s="716"/>
      <c r="R959" s="716"/>
      <c r="S959" s="716"/>
      <c r="T959" s="716"/>
      <c r="U959" s="716"/>
      <c r="V959" s="716"/>
      <c r="W959" s="716"/>
      <c r="X959" s="716"/>
      <c r="Y959" s="716"/>
      <c r="Z959" s="716"/>
    </row>
    <row r="960">
      <c r="A960" s="716"/>
      <c r="B960" s="717"/>
      <c r="C960" s="716"/>
      <c r="D960" s="716"/>
      <c r="E960" s="716"/>
      <c r="F960" s="716"/>
      <c r="G960" s="716"/>
      <c r="H960" s="716"/>
      <c r="I960" s="716"/>
      <c r="J960" s="716"/>
      <c r="K960" s="716"/>
      <c r="L960" s="716"/>
      <c r="M960" s="716"/>
      <c r="N960" s="716"/>
      <c r="O960" s="716"/>
      <c r="P960" s="716"/>
      <c r="Q960" s="716"/>
      <c r="R960" s="716"/>
      <c r="S960" s="716"/>
      <c r="T960" s="716"/>
      <c r="U960" s="716"/>
      <c r="V960" s="716"/>
      <c r="W960" s="716"/>
      <c r="X960" s="716"/>
      <c r="Y960" s="716"/>
      <c r="Z960" s="716"/>
    </row>
    <row r="961">
      <c r="A961" s="716"/>
      <c r="B961" s="717"/>
      <c r="C961" s="716"/>
      <c r="D961" s="716"/>
      <c r="E961" s="716"/>
      <c r="F961" s="716"/>
      <c r="G961" s="716"/>
      <c r="H961" s="716"/>
      <c r="I961" s="716"/>
      <c r="J961" s="716"/>
      <c r="K961" s="716"/>
      <c r="L961" s="716"/>
      <c r="M961" s="716"/>
      <c r="N961" s="716"/>
      <c r="O961" s="716"/>
      <c r="P961" s="716"/>
      <c r="Q961" s="716"/>
      <c r="R961" s="716"/>
      <c r="S961" s="716"/>
      <c r="T961" s="716"/>
      <c r="U961" s="716"/>
      <c r="V961" s="716"/>
      <c r="W961" s="716"/>
      <c r="X961" s="716"/>
      <c r="Y961" s="716"/>
      <c r="Z961" s="716"/>
    </row>
    <row r="962">
      <c r="A962" s="716"/>
      <c r="B962" s="717"/>
      <c r="C962" s="716"/>
      <c r="D962" s="716"/>
      <c r="E962" s="716"/>
      <c r="F962" s="716"/>
      <c r="G962" s="716"/>
      <c r="H962" s="716"/>
      <c r="I962" s="716"/>
      <c r="J962" s="716"/>
      <c r="K962" s="716"/>
      <c r="L962" s="716"/>
      <c r="M962" s="716"/>
      <c r="N962" s="716"/>
      <c r="O962" s="716"/>
      <c r="P962" s="716"/>
      <c r="Q962" s="716"/>
      <c r="R962" s="716"/>
      <c r="S962" s="716"/>
      <c r="T962" s="716"/>
      <c r="U962" s="716"/>
      <c r="V962" s="716"/>
      <c r="W962" s="716"/>
      <c r="X962" s="716"/>
      <c r="Y962" s="716"/>
      <c r="Z962" s="716"/>
    </row>
    <row r="963">
      <c r="A963" s="716"/>
      <c r="B963" s="717"/>
      <c r="C963" s="716"/>
      <c r="D963" s="716"/>
      <c r="E963" s="716"/>
      <c r="F963" s="716"/>
      <c r="G963" s="716"/>
      <c r="H963" s="716"/>
      <c r="I963" s="716"/>
      <c r="J963" s="716"/>
      <c r="K963" s="716"/>
      <c r="L963" s="716"/>
      <c r="M963" s="716"/>
      <c r="N963" s="716"/>
      <c r="O963" s="716"/>
      <c r="P963" s="716"/>
      <c r="Q963" s="716"/>
      <c r="R963" s="716"/>
      <c r="S963" s="716"/>
      <c r="T963" s="716"/>
      <c r="U963" s="716"/>
      <c r="V963" s="716"/>
      <c r="W963" s="716"/>
      <c r="X963" s="716"/>
      <c r="Y963" s="716"/>
      <c r="Z963" s="716"/>
    </row>
    <row r="964">
      <c r="A964" s="716"/>
      <c r="B964" s="717"/>
      <c r="C964" s="716"/>
      <c r="D964" s="716"/>
      <c r="E964" s="716"/>
      <c r="F964" s="716"/>
      <c r="G964" s="716"/>
      <c r="H964" s="716"/>
      <c r="I964" s="716"/>
      <c r="J964" s="716"/>
      <c r="K964" s="716"/>
      <c r="L964" s="716"/>
      <c r="M964" s="716"/>
      <c r="N964" s="716"/>
      <c r="O964" s="716"/>
      <c r="P964" s="716"/>
      <c r="Q964" s="716"/>
      <c r="R964" s="716"/>
      <c r="S964" s="716"/>
      <c r="T964" s="716"/>
      <c r="U964" s="716"/>
      <c r="V964" s="716"/>
      <c r="W964" s="716"/>
      <c r="X964" s="716"/>
      <c r="Y964" s="716"/>
      <c r="Z964" s="716"/>
    </row>
    <row r="965">
      <c r="A965" s="716"/>
      <c r="B965" s="717"/>
      <c r="C965" s="716"/>
      <c r="D965" s="716"/>
      <c r="E965" s="716"/>
      <c r="F965" s="716"/>
      <c r="G965" s="716"/>
      <c r="H965" s="716"/>
      <c r="I965" s="716"/>
      <c r="J965" s="716"/>
      <c r="K965" s="716"/>
      <c r="L965" s="716"/>
      <c r="M965" s="716"/>
      <c r="N965" s="716"/>
      <c r="O965" s="716"/>
      <c r="P965" s="716"/>
      <c r="Q965" s="716"/>
      <c r="R965" s="716"/>
      <c r="S965" s="716"/>
      <c r="T965" s="716"/>
      <c r="U965" s="716"/>
      <c r="V965" s="716"/>
      <c r="W965" s="716"/>
      <c r="X965" s="716"/>
      <c r="Y965" s="716"/>
      <c r="Z965" s="716"/>
    </row>
    <row r="966">
      <c r="A966" s="716"/>
      <c r="B966" s="717"/>
      <c r="C966" s="716"/>
      <c r="D966" s="716"/>
      <c r="E966" s="716"/>
      <c r="F966" s="716"/>
      <c r="G966" s="716"/>
      <c r="H966" s="716"/>
      <c r="I966" s="716"/>
      <c r="J966" s="716"/>
      <c r="K966" s="716"/>
      <c r="L966" s="716"/>
      <c r="M966" s="716"/>
      <c r="N966" s="716"/>
      <c r="O966" s="716"/>
      <c r="P966" s="716"/>
      <c r="Q966" s="716"/>
      <c r="R966" s="716"/>
      <c r="S966" s="716"/>
      <c r="T966" s="716"/>
      <c r="U966" s="716"/>
      <c r="V966" s="716"/>
      <c r="W966" s="716"/>
      <c r="X966" s="716"/>
      <c r="Y966" s="716"/>
      <c r="Z966" s="716"/>
    </row>
    <row r="967">
      <c r="A967" s="716"/>
      <c r="B967" s="717"/>
      <c r="C967" s="716"/>
      <c r="D967" s="716"/>
      <c r="E967" s="716"/>
      <c r="F967" s="716"/>
      <c r="G967" s="716"/>
      <c r="H967" s="716"/>
      <c r="I967" s="716"/>
      <c r="J967" s="716"/>
      <c r="K967" s="716"/>
      <c r="L967" s="716"/>
      <c r="M967" s="716"/>
      <c r="N967" s="716"/>
      <c r="O967" s="716"/>
      <c r="P967" s="716"/>
      <c r="Q967" s="716"/>
      <c r="R967" s="716"/>
      <c r="S967" s="716"/>
      <c r="T967" s="716"/>
      <c r="U967" s="716"/>
      <c r="V967" s="716"/>
      <c r="W967" s="716"/>
      <c r="X967" s="716"/>
      <c r="Y967" s="716"/>
      <c r="Z967" s="716"/>
    </row>
    <row r="968">
      <c r="A968" s="716"/>
      <c r="B968" s="717"/>
      <c r="C968" s="716"/>
      <c r="D968" s="716"/>
      <c r="E968" s="716"/>
      <c r="F968" s="716"/>
      <c r="G968" s="716"/>
      <c r="H968" s="716"/>
      <c r="I968" s="716"/>
      <c r="J968" s="716"/>
      <c r="K968" s="716"/>
      <c r="L968" s="716"/>
      <c r="M968" s="716"/>
      <c r="N968" s="716"/>
      <c r="O968" s="716"/>
      <c r="P968" s="716"/>
      <c r="Q968" s="716"/>
      <c r="R968" s="716"/>
      <c r="S968" s="716"/>
      <c r="T968" s="716"/>
      <c r="U968" s="716"/>
      <c r="V968" s="716"/>
      <c r="W968" s="716"/>
      <c r="X968" s="716"/>
      <c r="Y968" s="716"/>
      <c r="Z968" s="716"/>
    </row>
    <row r="969">
      <c r="A969" s="716"/>
      <c r="B969" s="717"/>
      <c r="C969" s="716"/>
      <c r="D969" s="716"/>
      <c r="E969" s="716"/>
      <c r="F969" s="716"/>
      <c r="G969" s="716"/>
      <c r="H969" s="716"/>
      <c r="I969" s="716"/>
      <c r="J969" s="716"/>
      <c r="K969" s="716"/>
      <c r="L969" s="716"/>
      <c r="M969" s="716"/>
      <c r="N969" s="716"/>
      <c r="O969" s="716"/>
      <c r="P969" s="716"/>
      <c r="Q969" s="716"/>
      <c r="R969" s="716"/>
      <c r="S969" s="716"/>
      <c r="T969" s="716"/>
      <c r="U969" s="716"/>
      <c r="V969" s="716"/>
      <c r="W969" s="716"/>
      <c r="X969" s="716"/>
      <c r="Y969" s="716"/>
      <c r="Z969" s="716"/>
    </row>
    <row r="970">
      <c r="A970" s="716"/>
      <c r="B970" s="717"/>
      <c r="C970" s="716"/>
      <c r="D970" s="716"/>
      <c r="E970" s="716"/>
      <c r="F970" s="716"/>
      <c r="G970" s="716"/>
      <c r="H970" s="716"/>
      <c r="I970" s="716"/>
      <c r="J970" s="716"/>
      <c r="K970" s="716"/>
      <c r="L970" s="716"/>
      <c r="M970" s="716"/>
      <c r="N970" s="716"/>
      <c r="O970" s="716"/>
      <c r="P970" s="716"/>
      <c r="Q970" s="716"/>
      <c r="R970" s="716"/>
      <c r="S970" s="716"/>
      <c r="T970" s="716"/>
      <c r="U970" s="716"/>
      <c r="V970" s="716"/>
      <c r="W970" s="716"/>
      <c r="X970" s="716"/>
      <c r="Y970" s="716"/>
      <c r="Z970" s="716"/>
    </row>
    <row r="971">
      <c r="A971" s="716"/>
      <c r="B971" s="717"/>
      <c r="C971" s="716"/>
      <c r="D971" s="716"/>
      <c r="E971" s="716"/>
      <c r="F971" s="716"/>
      <c r="G971" s="716"/>
      <c r="H971" s="716"/>
      <c r="I971" s="716"/>
      <c r="J971" s="716"/>
      <c r="K971" s="716"/>
      <c r="L971" s="716"/>
      <c r="M971" s="716"/>
      <c r="N971" s="716"/>
      <c r="O971" s="716"/>
      <c r="P971" s="716"/>
      <c r="Q971" s="716"/>
      <c r="R971" s="716"/>
      <c r="S971" s="716"/>
      <c r="T971" s="716"/>
      <c r="U971" s="716"/>
      <c r="V971" s="716"/>
      <c r="W971" s="716"/>
      <c r="X971" s="716"/>
      <c r="Y971" s="716"/>
      <c r="Z971" s="716"/>
    </row>
    <row r="972">
      <c r="A972" s="716"/>
      <c r="B972" s="717"/>
      <c r="C972" s="716"/>
      <c r="D972" s="716"/>
      <c r="E972" s="716"/>
      <c r="F972" s="716"/>
      <c r="G972" s="716"/>
      <c r="H972" s="716"/>
      <c r="I972" s="716"/>
      <c r="J972" s="716"/>
      <c r="K972" s="716"/>
      <c r="L972" s="716"/>
      <c r="M972" s="716"/>
      <c r="N972" s="716"/>
      <c r="O972" s="716"/>
      <c r="P972" s="716"/>
      <c r="Q972" s="716"/>
      <c r="R972" s="716"/>
      <c r="S972" s="716"/>
      <c r="T972" s="716"/>
      <c r="U972" s="716"/>
      <c r="V972" s="716"/>
      <c r="W972" s="716"/>
      <c r="X972" s="716"/>
      <c r="Y972" s="716"/>
      <c r="Z972" s="716"/>
    </row>
    <row r="973">
      <c r="A973" s="716"/>
      <c r="B973" s="717"/>
      <c r="C973" s="716"/>
      <c r="D973" s="716"/>
      <c r="E973" s="716"/>
      <c r="F973" s="716"/>
      <c r="G973" s="716"/>
      <c r="H973" s="716"/>
      <c r="I973" s="716"/>
      <c r="J973" s="716"/>
      <c r="K973" s="716"/>
      <c r="L973" s="716"/>
      <c r="M973" s="716"/>
      <c r="N973" s="716"/>
      <c r="O973" s="716"/>
      <c r="P973" s="716"/>
      <c r="Q973" s="716"/>
      <c r="R973" s="716"/>
      <c r="S973" s="716"/>
      <c r="T973" s="716"/>
      <c r="U973" s="716"/>
      <c r="V973" s="716"/>
      <c r="W973" s="716"/>
      <c r="X973" s="716"/>
      <c r="Y973" s="716"/>
      <c r="Z973" s="716"/>
    </row>
    <row r="974">
      <c r="A974" s="716"/>
      <c r="B974" s="717"/>
      <c r="C974" s="716"/>
      <c r="D974" s="716"/>
      <c r="E974" s="716"/>
      <c r="F974" s="716"/>
      <c r="G974" s="716"/>
      <c r="H974" s="716"/>
      <c r="I974" s="716"/>
      <c r="J974" s="716"/>
      <c r="K974" s="716"/>
      <c r="L974" s="716"/>
      <c r="M974" s="716"/>
      <c r="N974" s="716"/>
      <c r="O974" s="716"/>
      <c r="P974" s="716"/>
      <c r="Q974" s="716"/>
      <c r="R974" s="716"/>
      <c r="S974" s="716"/>
      <c r="T974" s="716"/>
      <c r="U974" s="716"/>
      <c r="V974" s="716"/>
      <c r="W974" s="716"/>
      <c r="X974" s="716"/>
      <c r="Y974" s="716"/>
      <c r="Z974" s="716"/>
    </row>
    <row r="975">
      <c r="A975" s="716"/>
      <c r="B975" s="717"/>
      <c r="C975" s="716"/>
      <c r="D975" s="716"/>
      <c r="E975" s="716"/>
      <c r="F975" s="716"/>
      <c r="G975" s="716"/>
      <c r="H975" s="716"/>
      <c r="I975" s="716"/>
      <c r="J975" s="716"/>
      <c r="K975" s="716"/>
      <c r="L975" s="716"/>
      <c r="M975" s="716"/>
      <c r="N975" s="716"/>
      <c r="O975" s="716"/>
      <c r="P975" s="716"/>
      <c r="Q975" s="716"/>
      <c r="R975" s="716"/>
      <c r="S975" s="716"/>
      <c r="T975" s="716"/>
      <c r="U975" s="716"/>
      <c r="V975" s="716"/>
      <c r="W975" s="716"/>
      <c r="X975" s="716"/>
      <c r="Y975" s="716"/>
      <c r="Z975" s="716"/>
    </row>
    <row r="976">
      <c r="A976" s="716"/>
      <c r="B976" s="717"/>
      <c r="C976" s="716"/>
      <c r="D976" s="716"/>
      <c r="E976" s="716"/>
      <c r="F976" s="716"/>
      <c r="G976" s="716"/>
      <c r="H976" s="716"/>
      <c r="I976" s="716"/>
      <c r="J976" s="716"/>
      <c r="K976" s="716"/>
      <c r="L976" s="716"/>
      <c r="M976" s="716"/>
      <c r="N976" s="716"/>
      <c r="O976" s="716"/>
      <c r="P976" s="716"/>
      <c r="Q976" s="716"/>
      <c r="R976" s="716"/>
      <c r="S976" s="716"/>
      <c r="T976" s="716"/>
      <c r="U976" s="716"/>
      <c r="V976" s="716"/>
      <c r="W976" s="716"/>
      <c r="X976" s="716"/>
      <c r="Y976" s="716"/>
      <c r="Z976" s="716"/>
    </row>
    <row r="977">
      <c r="A977" s="716"/>
      <c r="B977" s="717"/>
      <c r="C977" s="716"/>
      <c r="D977" s="716"/>
      <c r="E977" s="716"/>
      <c r="F977" s="716"/>
      <c r="G977" s="716"/>
      <c r="H977" s="716"/>
      <c r="I977" s="716"/>
      <c r="J977" s="716"/>
      <c r="K977" s="716"/>
      <c r="L977" s="716"/>
      <c r="M977" s="716"/>
      <c r="N977" s="716"/>
      <c r="O977" s="716"/>
      <c r="P977" s="716"/>
      <c r="Q977" s="716"/>
      <c r="R977" s="716"/>
      <c r="S977" s="716"/>
      <c r="T977" s="716"/>
      <c r="U977" s="716"/>
      <c r="V977" s="716"/>
      <c r="W977" s="716"/>
      <c r="X977" s="716"/>
      <c r="Y977" s="716"/>
      <c r="Z977" s="716"/>
    </row>
    <row r="978">
      <c r="A978" s="716"/>
      <c r="B978" s="717"/>
      <c r="C978" s="716"/>
      <c r="D978" s="716"/>
      <c r="E978" s="716"/>
      <c r="F978" s="716"/>
      <c r="G978" s="716"/>
      <c r="H978" s="716"/>
      <c r="I978" s="716"/>
      <c r="J978" s="716"/>
      <c r="K978" s="716"/>
      <c r="L978" s="716"/>
      <c r="M978" s="716"/>
      <c r="N978" s="716"/>
      <c r="O978" s="716"/>
      <c r="P978" s="716"/>
      <c r="Q978" s="716"/>
      <c r="R978" s="716"/>
      <c r="S978" s="716"/>
      <c r="T978" s="716"/>
      <c r="U978" s="716"/>
      <c r="V978" s="716"/>
      <c r="W978" s="716"/>
      <c r="X978" s="716"/>
      <c r="Y978" s="716"/>
      <c r="Z978" s="716"/>
    </row>
    <row r="979">
      <c r="A979" s="716"/>
      <c r="B979" s="717"/>
      <c r="C979" s="716"/>
      <c r="D979" s="716"/>
      <c r="E979" s="716"/>
      <c r="F979" s="716"/>
      <c r="G979" s="716"/>
      <c r="H979" s="716"/>
      <c r="I979" s="716"/>
      <c r="J979" s="716"/>
      <c r="K979" s="716"/>
      <c r="L979" s="716"/>
      <c r="M979" s="716"/>
      <c r="N979" s="716"/>
      <c r="O979" s="716"/>
      <c r="P979" s="716"/>
      <c r="Q979" s="716"/>
      <c r="R979" s="716"/>
      <c r="S979" s="716"/>
      <c r="T979" s="716"/>
      <c r="U979" s="716"/>
      <c r="V979" s="716"/>
      <c r="W979" s="716"/>
      <c r="X979" s="716"/>
      <c r="Y979" s="716"/>
      <c r="Z979" s="716"/>
    </row>
    <row r="980">
      <c r="A980" s="716"/>
      <c r="B980" s="717"/>
      <c r="C980" s="716"/>
      <c r="D980" s="716"/>
      <c r="E980" s="716"/>
      <c r="F980" s="716"/>
      <c r="G980" s="716"/>
      <c r="H980" s="716"/>
      <c r="I980" s="716"/>
      <c r="J980" s="716"/>
      <c r="K980" s="716"/>
      <c r="L980" s="716"/>
      <c r="M980" s="716"/>
      <c r="N980" s="716"/>
      <c r="O980" s="716"/>
      <c r="P980" s="716"/>
      <c r="Q980" s="716"/>
      <c r="R980" s="716"/>
      <c r="S980" s="716"/>
      <c r="T980" s="716"/>
      <c r="U980" s="716"/>
      <c r="V980" s="716"/>
      <c r="W980" s="716"/>
      <c r="X980" s="716"/>
      <c r="Y980" s="716"/>
      <c r="Z980" s="716"/>
    </row>
    <row r="981">
      <c r="A981" s="716"/>
      <c r="B981" s="717"/>
      <c r="C981" s="716"/>
      <c r="D981" s="716"/>
      <c r="E981" s="716"/>
      <c r="F981" s="716"/>
      <c r="G981" s="716"/>
      <c r="H981" s="716"/>
      <c r="I981" s="716"/>
      <c r="J981" s="716"/>
      <c r="K981" s="716"/>
      <c r="L981" s="716"/>
      <c r="M981" s="716"/>
      <c r="N981" s="716"/>
      <c r="O981" s="716"/>
      <c r="P981" s="716"/>
      <c r="Q981" s="716"/>
      <c r="R981" s="716"/>
      <c r="S981" s="716"/>
      <c r="T981" s="716"/>
      <c r="U981" s="716"/>
      <c r="V981" s="716"/>
      <c r="W981" s="716"/>
      <c r="X981" s="716"/>
      <c r="Y981" s="716"/>
      <c r="Z981" s="716"/>
    </row>
    <row r="982">
      <c r="A982" s="716"/>
      <c r="B982" s="717"/>
      <c r="C982" s="716"/>
      <c r="D982" s="716"/>
      <c r="E982" s="716"/>
      <c r="F982" s="716"/>
      <c r="G982" s="716"/>
      <c r="H982" s="716"/>
      <c r="I982" s="716"/>
      <c r="J982" s="716"/>
      <c r="K982" s="716"/>
      <c r="L982" s="716"/>
      <c r="M982" s="716"/>
      <c r="N982" s="716"/>
      <c r="O982" s="716"/>
      <c r="P982" s="716"/>
      <c r="Q982" s="716"/>
      <c r="R982" s="716"/>
      <c r="S982" s="716"/>
      <c r="T982" s="716"/>
      <c r="U982" s="716"/>
      <c r="V982" s="716"/>
      <c r="W982" s="716"/>
      <c r="X982" s="716"/>
      <c r="Y982" s="716"/>
      <c r="Z982" s="716"/>
    </row>
    <row r="983">
      <c r="A983" s="716"/>
      <c r="B983" s="717"/>
      <c r="C983" s="716"/>
      <c r="D983" s="716"/>
      <c r="E983" s="716"/>
      <c r="F983" s="716"/>
      <c r="G983" s="716"/>
      <c r="H983" s="716"/>
      <c r="I983" s="716"/>
      <c r="J983" s="716"/>
      <c r="K983" s="716"/>
      <c r="L983" s="716"/>
      <c r="M983" s="716"/>
      <c r="N983" s="716"/>
      <c r="O983" s="716"/>
      <c r="P983" s="716"/>
      <c r="Q983" s="716"/>
      <c r="R983" s="716"/>
      <c r="S983" s="716"/>
      <c r="T983" s="716"/>
      <c r="U983" s="716"/>
      <c r="V983" s="716"/>
      <c r="W983" s="716"/>
      <c r="X983" s="716"/>
      <c r="Y983" s="716"/>
      <c r="Z983" s="716"/>
    </row>
    <row r="984">
      <c r="A984" s="716"/>
      <c r="B984" s="717"/>
      <c r="C984" s="716"/>
      <c r="D984" s="716"/>
      <c r="E984" s="716"/>
      <c r="F984" s="716"/>
      <c r="G984" s="716"/>
      <c r="H984" s="716"/>
      <c r="I984" s="716"/>
      <c r="J984" s="716"/>
      <c r="K984" s="716"/>
      <c r="L984" s="716"/>
      <c r="M984" s="716"/>
      <c r="N984" s="716"/>
      <c r="O984" s="716"/>
      <c r="P984" s="716"/>
      <c r="Q984" s="716"/>
      <c r="R984" s="716"/>
      <c r="S984" s="716"/>
      <c r="T984" s="716"/>
      <c r="U984" s="716"/>
      <c r="V984" s="716"/>
      <c r="W984" s="716"/>
      <c r="X984" s="716"/>
      <c r="Y984" s="716"/>
      <c r="Z984" s="716"/>
    </row>
    <row r="985">
      <c r="A985" s="716"/>
      <c r="B985" s="717"/>
      <c r="C985" s="716"/>
      <c r="D985" s="716"/>
      <c r="E985" s="716"/>
      <c r="F985" s="716"/>
      <c r="G985" s="716"/>
      <c r="H985" s="716"/>
      <c r="I985" s="716"/>
      <c r="J985" s="716"/>
      <c r="K985" s="716"/>
      <c r="L985" s="716"/>
      <c r="M985" s="716"/>
      <c r="N985" s="716"/>
      <c r="O985" s="716"/>
      <c r="P985" s="716"/>
      <c r="Q985" s="716"/>
      <c r="R985" s="716"/>
      <c r="S985" s="716"/>
      <c r="T985" s="716"/>
      <c r="U985" s="716"/>
      <c r="V985" s="716"/>
      <c r="W985" s="716"/>
      <c r="X985" s="716"/>
      <c r="Y985" s="716"/>
      <c r="Z985" s="716"/>
    </row>
    <row r="986">
      <c r="A986" s="716"/>
      <c r="B986" s="717"/>
      <c r="C986" s="716"/>
      <c r="D986" s="716"/>
      <c r="E986" s="716"/>
      <c r="F986" s="716"/>
      <c r="G986" s="716"/>
      <c r="H986" s="716"/>
      <c r="I986" s="716"/>
      <c r="J986" s="716"/>
      <c r="K986" s="716"/>
      <c r="L986" s="716"/>
      <c r="M986" s="716"/>
      <c r="N986" s="716"/>
      <c r="O986" s="716"/>
      <c r="P986" s="716"/>
      <c r="Q986" s="716"/>
      <c r="R986" s="716"/>
      <c r="S986" s="716"/>
      <c r="T986" s="716"/>
      <c r="U986" s="716"/>
      <c r="V986" s="716"/>
      <c r="W986" s="716"/>
      <c r="X986" s="716"/>
      <c r="Y986" s="716"/>
      <c r="Z986" s="716"/>
    </row>
    <row r="987">
      <c r="A987" s="716"/>
      <c r="B987" s="717"/>
      <c r="C987" s="716"/>
      <c r="D987" s="716"/>
      <c r="E987" s="716"/>
      <c r="F987" s="716"/>
      <c r="G987" s="716"/>
      <c r="H987" s="716"/>
      <c r="I987" s="716"/>
      <c r="J987" s="716"/>
      <c r="K987" s="716"/>
      <c r="L987" s="716"/>
      <c r="M987" s="716"/>
      <c r="N987" s="716"/>
      <c r="O987" s="716"/>
      <c r="P987" s="716"/>
      <c r="Q987" s="716"/>
      <c r="R987" s="716"/>
      <c r="S987" s="716"/>
      <c r="T987" s="716"/>
      <c r="U987" s="716"/>
      <c r="V987" s="716"/>
      <c r="W987" s="716"/>
      <c r="X987" s="716"/>
      <c r="Y987" s="716"/>
      <c r="Z987" s="716"/>
    </row>
    <row r="988">
      <c r="A988" s="716"/>
      <c r="B988" s="717"/>
      <c r="C988" s="716"/>
      <c r="D988" s="716"/>
      <c r="E988" s="716"/>
      <c r="F988" s="716"/>
      <c r="G988" s="716"/>
      <c r="H988" s="716"/>
      <c r="I988" s="716"/>
      <c r="J988" s="716"/>
      <c r="K988" s="716"/>
      <c r="L988" s="716"/>
      <c r="M988" s="716"/>
      <c r="N988" s="716"/>
      <c r="O988" s="716"/>
      <c r="P988" s="716"/>
      <c r="Q988" s="716"/>
      <c r="R988" s="716"/>
      <c r="S988" s="716"/>
      <c r="T988" s="716"/>
      <c r="U988" s="716"/>
      <c r="V988" s="716"/>
      <c r="W988" s="716"/>
      <c r="X988" s="716"/>
      <c r="Y988" s="716"/>
      <c r="Z988" s="716"/>
    </row>
    <row r="989">
      <c r="A989" s="716"/>
      <c r="B989" s="717"/>
      <c r="C989" s="716"/>
      <c r="D989" s="716"/>
      <c r="E989" s="716"/>
      <c r="F989" s="716"/>
      <c r="G989" s="716"/>
      <c r="H989" s="716"/>
      <c r="I989" s="716"/>
      <c r="J989" s="716"/>
      <c r="K989" s="716"/>
      <c r="L989" s="716"/>
      <c r="M989" s="716"/>
      <c r="N989" s="716"/>
      <c r="O989" s="716"/>
      <c r="P989" s="716"/>
      <c r="Q989" s="716"/>
      <c r="R989" s="716"/>
      <c r="S989" s="716"/>
      <c r="T989" s="716"/>
      <c r="U989" s="716"/>
      <c r="V989" s="716"/>
      <c r="W989" s="716"/>
      <c r="X989" s="716"/>
      <c r="Y989" s="716"/>
      <c r="Z989" s="716"/>
    </row>
    <row r="990">
      <c r="A990" s="716"/>
      <c r="B990" s="717"/>
      <c r="C990" s="716"/>
      <c r="D990" s="716"/>
      <c r="E990" s="716"/>
      <c r="F990" s="716"/>
      <c r="G990" s="716"/>
      <c r="H990" s="716"/>
      <c r="I990" s="716"/>
      <c r="J990" s="716"/>
      <c r="K990" s="716"/>
      <c r="L990" s="716"/>
      <c r="M990" s="716"/>
      <c r="N990" s="716"/>
      <c r="O990" s="716"/>
      <c r="P990" s="716"/>
      <c r="Q990" s="716"/>
      <c r="R990" s="716"/>
      <c r="S990" s="716"/>
      <c r="T990" s="716"/>
      <c r="U990" s="716"/>
      <c r="V990" s="716"/>
      <c r="W990" s="716"/>
      <c r="X990" s="716"/>
      <c r="Y990" s="716"/>
      <c r="Z990" s="716"/>
    </row>
    <row r="991">
      <c r="A991" s="716"/>
      <c r="B991" s="717"/>
      <c r="C991" s="716"/>
      <c r="D991" s="716"/>
      <c r="E991" s="716"/>
      <c r="F991" s="716"/>
      <c r="G991" s="716"/>
      <c r="H991" s="716"/>
      <c r="I991" s="716"/>
      <c r="J991" s="716"/>
      <c r="K991" s="716"/>
      <c r="L991" s="716"/>
      <c r="M991" s="716"/>
      <c r="N991" s="716"/>
      <c r="O991" s="716"/>
      <c r="P991" s="716"/>
      <c r="Q991" s="716"/>
      <c r="R991" s="716"/>
      <c r="S991" s="716"/>
      <c r="T991" s="716"/>
      <c r="U991" s="716"/>
      <c r="V991" s="716"/>
      <c r="W991" s="716"/>
      <c r="X991" s="716"/>
      <c r="Y991" s="716"/>
      <c r="Z991" s="716"/>
    </row>
    <row r="992">
      <c r="A992" s="716"/>
      <c r="B992" s="717"/>
      <c r="C992" s="716"/>
      <c r="D992" s="716"/>
      <c r="E992" s="716"/>
      <c r="F992" s="716"/>
      <c r="G992" s="716"/>
      <c r="H992" s="716"/>
      <c r="I992" s="716"/>
      <c r="J992" s="716"/>
      <c r="K992" s="716"/>
      <c r="L992" s="716"/>
      <c r="M992" s="716"/>
      <c r="N992" s="716"/>
      <c r="O992" s="716"/>
      <c r="P992" s="716"/>
      <c r="Q992" s="716"/>
      <c r="R992" s="716"/>
      <c r="S992" s="716"/>
      <c r="T992" s="716"/>
      <c r="U992" s="716"/>
      <c r="V992" s="716"/>
      <c r="W992" s="716"/>
      <c r="X992" s="716"/>
      <c r="Y992" s="716"/>
      <c r="Z992" s="716"/>
    </row>
    <row r="993">
      <c r="A993" s="716"/>
      <c r="B993" s="717"/>
      <c r="C993" s="716"/>
      <c r="D993" s="716"/>
      <c r="E993" s="716"/>
      <c r="F993" s="716"/>
      <c r="G993" s="716"/>
      <c r="H993" s="716"/>
      <c r="I993" s="716"/>
      <c r="J993" s="716"/>
      <c r="K993" s="716"/>
      <c r="L993" s="716"/>
      <c r="M993" s="716"/>
      <c r="N993" s="716"/>
      <c r="O993" s="716"/>
      <c r="P993" s="716"/>
      <c r="Q993" s="716"/>
      <c r="R993" s="716"/>
      <c r="S993" s="716"/>
      <c r="T993" s="716"/>
      <c r="U993" s="716"/>
      <c r="V993" s="716"/>
      <c r="W993" s="716"/>
      <c r="X993" s="716"/>
      <c r="Y993" s="716"/>
      <c r="Z993" s="716"/>
    </row>
    <row r="994">
      <c r="A994" s="716"/>
      <c r="B994" s="717"/>
      <c r="C994" s="716"/>
      <c r="D994" s="716"/>
      <c r="E994" s="716"/>
      <c r="F994" s="716"/>
      <c r="G994" s="716"/>
      <c r="H994" s="716"/>
      <c r="I994" s="716"/>
      <c r="J994" s="716"/>
      <c r="K994" s="716"/>
      <c r="L994" s="716"/>
      <c r="M994" s="716"/>
      <c r="N994" s="716"/>
      <c r="O994" s="716"/>
      <c r="P994" s="716"/>
      <c r="Q994" s="716"/>
      <c r="R994" s="716"/>
      <c r="S994" s="716"/>
      <c r="T994" s="716"/>
      <c r="U994" s="716"/>
      <c r="V994" s="716"/>
      <c r="W994" s="716"/>
      <c r="X994" s="716"/>
      <c r="Y994" s="716"/>
      <c r="Z994" s="716"/>
    </row>
    <row r="995">
      <c r="A995" s="716"/>
      <c r="B995" s="717"/>
      <c r="C995" s="716"/>
      <c r="D995" s="716"/>
      <c r="E995" s="716"/>
      <c r="F995" s="716"/>
      <c r="G995" s="716"/>
      <c r="H995" s="716"/>
      <c r="I995" s="716"/>
      <c r="J995" s="716"/>
      <c r="K995" s="716"/>
      <c r="L995" s="716"/>
      <c r="M995" s="716"/>
      <c r="N995" s="716"/>
      <c r="O995" s="716"/>
      <c r="P995" s="716"/>
      <c r="Q995" s="716"/>
      <c r="R995" s="716"/>
      <c r="S995" s="716"/>
      <c r="T995" s="716"/>
      <c r="U995" s="716"/>
      <c r="V995" s="716"/>
      <c r="W995" s="716"/>
      <c r="X995" s="716"/>
      <c r="Y995" s="716"/>
      <c r="Z995" s="716"/>
    </row>
    <row r="996">
      <c r="A996" s="716"/>
      <c r="B996" s="717"/>
      <c r="C996" s="716"/>
      <c r="D996" s="716"/>
      <c r="E996" s="716"/>
      <c r="F996" s="716"/>
      <c r="G996" s="716"/>
      <c r="H996" s="716"/>
      <c r="I996" s="716"/>
      <c r="J996" s="716"/>
      <c r="K996" s="716"/>
      <c r="L996" s="716"/>
      <c r="M996" s="716"/>
      <c r="N996" s="716"/>
      <c r="O996" s="716"/>
      <c r="P996" s="716"/>
      <c r="Q996" s="716"/>
      <c r="R996" s="716"/>
      <c r="S996" s="716"/>
      <c r="T996" s="716"/>
      <c r="U996" s="716"/>
      <c r="V996" s="716"/>
      <c r="W996" s="716"/>
      <c r="X996" s="716"/>
      <c r="Y996" s="716"/>
      <c r="Z996" s="716"/>
    </row>
    <row r="997">
      <c r="A997" s="716"/>
      <c r="B997" s="717"/>
      <c r="C997" s="716"/>
      <c r="D997" s="716"/>
      <c r="E997" s="716"/>
      <c r="F997" s="716"/>
      <c r="G997" s="716"/>
      <c r="H997" s="716"/>
      <c r="I997" s="716"/>
      <c r="J997" s="716"/>
      <c r="K997" s="716"/>
      <c r="L997" s="716"/>
      <c r="M997" s="716"/>
      <c r="N997" s="716"/>
      <c r="O997" s="716"/>
      <c r="P997" s="716"/>
      <c r="Q997" s="716"/>
      <c r="R997" s="716"/>
      <c r="S997" s="716"/>
      <c r="T997" s="716"/>
      <c r="U997" s="716"/>
      <c r="V997" s="716"/>
      <c r="W997" s="716"/>
      <c r="X997" s="716"/>
      <c r="Y997" s="716"/>
      <c r="Z997" s="716"/>
    </row>
    <row r="998">
      <c r="A998" s="716"/>
      <c r="B998" s="717"/>
      <c r="C998" s="716"/>
      <c r="D998" s="716"/>
      <c r="E998" s="716"/>
      <c r="F998" s="716"/>
      <c r="G998" s="716"/>
      <c r="H998" s="716"/>
      <c r="I998" s="716"/>
      <c r="J998" s="716"/>
      <c r="K998" s="716"/>
      <c r="L998" s="716"/>
      <c r="M998" s="716"/>
      <c r="N998" s="716"/>
      <c r="O998" s="716"/>
      <c r="P998" s="716"/>
      <c r="Q998" s="716"/>
      <c r="R998" s="716"/>
      <c r="S998" s="716"/>
      <c r="T998" s="716"/>
      <c r="U998" s="716"/>
      <c r="V998" s="716"/>
      <c r="W998" s="716"/>
      <c r="X998" s="716"/>
      <c r="Y998" s="716"/>
      <c r="Z998" s="716"/>
    </row>
    <row r="999">
      <c r="A999" s="716"/>
      <c r="B999" s="717"/>
      <c r="C999" s="716"/>
      <c r="D999" s="716"/>
      <c r="E999" s="716"/>
      <c r="F999" s="716"/>
      <c r="G999" s="716"/>
      <c r="H999" s="716"/>
      <c r="I999" s="716"/>
      <c r="J999" s="716"/>
      <c r="K999" s="716"/>
      <c r="L999" s="716"/>
      <c r="M999" s="716"/>
      <c r="N999" s="716"/>
      <c r="O999" s="716"/>
      <c r="P999" s="716"/>
      <c r="Q999" s="716"/>
      <c r="R999" s="716"/>
      <c r="S999" s="716"/>
      <c r="T999" s="716"/>
      <c r="U999" s="716"/>
      <c r="V999" s="716"/>
      <c r="W999" s="716"/>
      <c r="X999" s="716"/>
      <c r="Y999" s="716"/>
      <c r="Z999" s="716"/>
    </row>
    <row r="1000">
      <c r="A1000" s="716"/>
      <c r="B1000" s="717"/>
      <c r="C1000" s="716"/>
      <c r="D1000" s="716"/>
      <c r="E1000" s="716"/>
      <c r="F1000" s="716"/>
      <c r="G1000" s="716"/>
      <c r="H1000" s="716"/>
      <c r="I1000" s="716"/>
      <c r="J1000" s="716"/>
      <c r="K1000" s="716"/>
      <c r="L1000" s="716"/>
      <c r="M1000" s="716"/>
      <c r="N1000" s="716"/>
      <c r="O1000" s="716"/>
      <c r="P1000" s="716"/>
      <c r="Q1000" s="716"/>
      <c r="R1000" s="716"/>
      <c r="S1000" s="716"/>
      <c r="T1000" s="716"/>
      <c r="U1000" s="716"/>
      <c r="V1000" s="716"/>
      <c r="W1000" s="716"/>
      <c r="X1000" s="716"/>
      <c r="Y1000" s="716"/>
      <c r="Z1000" s="716"/>
    </row>
    <row r="1001">
      <c r="A1001" s="716"/>
      <c r="B1001" s="717"/>
      <c r="C1001" s="716"/>
      <c r="D1001" s="716"/>
      <c r="E1001" s="716"/>
      <c r="F1001" s="716"/>
      <c r="G1001" s="716"/>
      <c r="H1001" s="716"/>
      <c r="I1001" s="716"/>
      <c r="J1001" s="716"/>
      <c r="K1001" s="716"/>
      <c r="L1001" s="716"/>
      <c r="M1001" s="716"/>
      <c r="N1001" s="716"/>
      <c r="O1001" s="716"/>
      <c r="P1001" s="716"/>
      <c r="Q1001" s="716"/>
      <c r="R1001" s="716"/>
      <c r="S1001" s="716"/>
      <c r="T1001" s="716"/>
      <c r="U1001" s="716"/>
      <c r="V1001" s="716"/>
      <c r="W1001" s="716"/>
      <c r="X1001" s="716"/>
      <c r="Y1001" s="716"/>
      <c r="Z1001" s="716"/>
    </row>
    <row r="1002">
      <c r="A1002" s="716"/>
      <c r="B1002" s="717"/>
      <c r="C1002" s="716"/>
      <c r="D1002" s="716"/>
      <c r="E1002" s="716"/>
      <c r="F1002" s="716"/>
      <c r="G1002" s="716"/>
      <c r="H1002" s="716"/>
      <c r="I1002" s="716"/>
      <c r="J1002" s="716"/>
      <c r="K1002" s="716"/>
      <c r="L1002" s="716"/>
      <c r="M1002" s="716"/>
      <c r="N1002" s="716"/>
      <c r="O1002" s="716"/>
      <c r="P1002" s="716"/>
      <c r="Q1002" s="716"/>
      <c r="R1002" s="716"/>
      <c r="S1002" s="716"/>
      <c r="T1002" s="716"/>
      <c r="U1002" s="716"/>
      <c r="V1002" s="716"/>
      <c r="W1002" s="716"/>
      <c r="X1002" s="716"/>
      <c r="Y1002" s="716"/>
      <c r="Z1002" s="716"/>
    </row>
    <row r="1003">
      <c r="A1003" s="716"/>
      <c r="B1003" s="717"/>
      <c r="C1003" s="716"/>
      <c r="D1003" s="716"/>
      <c r="E1003" s="716"/>
      <c r="F1003" s="716"/>
      <c r="G1003" s="716"/>
      <c r="H1003" s="716"/>
      <c r="I1003" s="716"/>
      <c r="J1003" s="716"/>
      <c r="K1003" s="716"/>
      <c r="L1003" s="716"/>
      <c r="M1003" s="716"/>
      <c r="N1003" s="716"/>
      <c r="O1003" s="716"/>
      <c r="P1003" s="716"/>
      <c r="Q1003" s="716"/>
      <c r="R1003" s="716"/>
      <c r="S1003" s="716"/>
      <c r="T1003" s="716"/>
      <c r="U1003" s="716"/>
      <c r="V1003" s="716"/>
      <c r="W1003" s="716"/>
      <c r="X1003" s="716"/>
      <c r="Y1003" s="716"/>
      <c r="Z1003" s="716"/>
    </row>
    <row r="1004">
      <c r="A1004" s="716"/>
      <c r="B1004" s="717"/>
      <c r="C1004" s="716"/>
      <c r="D1004" s="716"/>
      <c r="E1004" s="716"/>
      <c r="F1004" s="716"/>
      <c r="G1004" s="716"/>
      <c r="H1004" s="716"/>
      <c r="I1004" s="716"/>
      <c r="J1004" s="716"/>
      <c r="K1004" s="716"/>
      <c r="L1004" s="716"/>
      <c r="M1004" s="716"/>
      <c r="N1004" s="716"/>
      <c r="O1004" s="716"/>
      <c r="P1004" s="716"/>
      <c r="Q1004" s="716"/>
      <c r="R1004" s="716"/>
      <c r="S1004" s="716"/>
      <c r="T1004" s="716"/>
      <c r="U1004" s="716"/>
      <c r="V1004" s="716"/>
      <c r="W1004" s="716"/>
      <c r="X1004" s="716"/>
      <c r="Y1004" s="716"/>
      <c r="Z1004" s="716"/>
    </row>
    <row r="1005">
      <c r="A1005" s="716"/>
      <c r="B1005" s="717"/>
      <c r="C1005" s="716"/>
      <c r="D1005" s="716"/>
      <c r="E1005" s="716"/>
      <c r="F1005" s="716"/>
      <c r="G1005" s="716"/>
      <c r="H1005" s="716"/>
      <c r="I1005" s="716"/>
      <c r="J1005" s="716"/>
      <c r="K1005" s="716"/>
      <c r="L1005" s="716"/>
      <c r="M1005" s="716"/>
      <c r="N1005" s="716"/>
      <c r="O1005" s="716"/>
      <c r="P1005" s="716"/>
      <c r="Q1005" s="716"/>
      <c r="R1005" s="716"/>
      <c r="S1005" s="716"/>
      <c r="T1005" s="716"/>
      <c r="U1005" s="716"/>
      <c r="V1005" s="716"/>
      <c r="W1005" s="716"/>
      <c r="X1005" s="716"/>
      <c r="Y1005" s="716"/>
      <c r="Z1005" s="716"/>
    </row>
  </sheetData>
  <autoFilter ref="$A$1:$C$100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.75"/>
    <col customWidth="1" min="3" max="3" width="10.88"/>
    <col customWidth="1" min="4" max="4" width="13.88"/>
    <col customWidth="1" min="8" max="8" width="4.38"/>
    <col customWidth="1" min="9" max="9" width="7.38"/>
    <col customWidth="1" min="12" max="12" width="4.75"/>
  </cols>
  <sheetData>
    <row r="1">
      <c r="A1" s="548" t="s">
        <v>704</v>
      </c>
      <c r="B1" s="280"/>
      <c r="C1" s="280"/>
      <c r="D1" s="587"/>
      <c r="E1" s="587"/>
      <c r="F1" s="587"/>
      <c r="G1" s="587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</row>
    <row r="2">
      <c r="A2" s="280"/>
      <c r="B2" s="280"/>
      <c r="C2" s="280"/>
      <c r="D2" s="587"/>
      <c r="E2" s="587"/>
      <c r="F2" s="587"/>
      <c r="G2" s="587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</row>
    <row r="3">
      <c r="A3" s="307"/>
      <c r="B3" s="329"/>
      <c r="C3" s="385" t="s">
        <v>2834</v>
      </c>
      <c r="D3" s="197" t="s">
        <v>485</v>
      </c>
      <c r="E3" s="197" t="s">
        <v>3876</v>
      </c>
      <c r="F3" s="197" t="s">
        <v>3877</v>
      </c>
      <c r="G3" s="197" t="s">
        <v>3878</v>
      </c>
      <c r="H3" s="307"/>
      <c r="I3" s="305" t="s">
        <v>3879</v>
      </c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</row>
    <row r="4">
      <c r="A4" s="280"/>
      <c r="B4" s="288" t="s">
        <v>3880</v>
      </c>
      <c r="C4" s="718">
        <v>45323.0</v>
      </c>
      <c r="D4" s="163">
        <f t="shared" ref="D4:D9" si="1">58080*1.19</f>
        <v>69115.2</v>
      </c>
      <c r="E4" s="589">
        <f>121800*0.8*1.19</f>
        <v>115953.6</v>
      </c>
      <c r="F4" s="163">
        <v>133600.0</v>
      </c>
      <c r="G4" s="719" t="s">
        <v>3881</v>
      </c>
      <c r="H4" s="548"/>
      <c r="I4" s="288">
        <v>3.0</v>
      </c>
      <c r="J4" s="288" t="s">
        <v>3880</v>
      </c>
      <c r="K4" s="718">
        <v>45323.0</v>
      </c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</row>
    <row r="5">
      <c r="A5" s="280"/>
      <c r="B5" s="288" t="s">
        <v>3880</v>
      </c>
      <c r="C5" s="718">
        <v>45385.0</v>
      </c>
      <c r="D5" s="163">
        <f t="shared" si="1"/>
        <v>69115.2</v>
      </c>
      <c r="E5" s="589">
        <f>112000*0.8*1.19</f>
        <v>106624</v>
      </c>
      <c r="F5" s="163">
        <v>133600.0</v>
      </c>
      <c r="G5" s="163">
        <v>87160.0</v>
      </c>
      <c r="H5" s="548"/>
      <c r="I5" s="288">
        <v>3.0</v>
      </c>
      <c r="J5" s="288" t="s">
        <v>3880</v>
      </c>
      <c r="K5" s="718">
        <v>45385.0</v>
      </c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</row>
    <row r="6">
      <c r="A6" s="280"/>
      <c r="B6" s="288" t="s">
        <v>3880</v>
      </c>
      <c r="C6" s="718">
        <v>45448.0</v>
      </c>
      <c r="D6" s="163">
        <f t="shared" si="1"/>
        <v>69115.2</v>
      </c>
      <c r="E6" s="589">
        <f t="shared" ref="E6:E7" si="2">121800*0.8*1.19</f>
        <v>115953.6</v>
      </c>
      <c r="F6" s="163">
        <v>133600.0</v>
      </c>
      <c r="G6" s="163">
        <v>87160.0</v>
      </c>
      <c r="H6" s="548"/>
      <c r="I6" s="288">
        <v>3.0</v>
      </c>
      <c r="J6" s="288" t="s">
        <v>3880</v>
      </c>
      <c r="K6" s="718">
        <v>45448.0</v>
      </c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</row>
    <row r="7">
      <c r="A7" s="280"/>
      <c r="B7" s="288" t="s">
        <v>3880</v>
      </c>
      <c r="C7" s="718">
        <v>45574.0</v>
      </c>
      <c r="D7" s="163">
        <f t="shared" si="1"/>
        <v>69115.2</v>
      </c>
      <c r="E7" s="589">
        <f t="shared" si="2"/>
        <v>115953.6</v>
      </c>
      <c r="F7" s="719" t="s">
        <v>3881</v>
      </c>
      <c r="G7" s="163">
        <v>87160.0</v>
      </c>
      <c r="H7" s="548"/>
      <c r="I7" s="288">
        <v>3.0</v>
      </c>
      <c r="J7" s="288" t="s">
        <v>3880</v>
      </c>
      <c r="K7" s="718">
        <v>45574.0</v>
      </c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</row>
    <row r="8">
      <c r="A8" s="280"/>
      <c r="B8" s="288" t="s">
        <v>3880</v>
      </c>
      <c r="C8" s="718">
        <v>45637.0</v>
      </c>
      <c r="D8" s="163">
        <f t="shared" si="1"/>
        <v>69115.2</v>
      </c>
      <c r="E8" s="589">
        <f>112000*0.8*1.19</f>
        <v>106624</v>
      </c>
      <c r="F8" s="163">
        <v>133600.0</v>
      </c>
      <c r="G8" s="163">
        <v>87160.0</v>
      </c>
      <c r="H8" s="548"/>
      <c r="I8" s="288">
        <v>3.0</v>
      </c>
      <c r="J8" s="288" t="s">
        <v>3880</v>
      </c>
      <c r="K8" s="718">
        <v>45637.0</v>
      </c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</row>
    <row r="9">
      <c r="A9" s="280"/>
      <c r="B9" s="288" t="s">
        <v>3880</v>
      </c>
      <c r="C9" s="288" t="s">
        <v>3882</v>
      </c>
      <c r="D9" s="163">
        <f t="shared" si="1"/>
        <v>69115.2</v>
      </c>
      <c r="E9" s="719" t="s">
        <v>3881</v>
      </c>
      <c r="F9" s="163">
        <v>133600.0</v>
      </c>
      <c r="G9" s="163">
        <v>87160.0</v>
      </c>
      <c r="H9" s="548"/>
      <c r="I9" s="288">
        <v>3.0</v>
      </c>
      <c r="J9" s="288" t="s">
        <v>3880</v>
      </c>
      <c r="K9" s="288" t="s">
        <v>3882</v>
      </c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</row>
    <row r="10">
      <c r="A10" s="280"/>
      <c r="B10" s="287"/>
      <c r="C10" s="287"/>
      <c r="D10" s="163"/>
      <c r="E10" s="589"/>
      <c r="F10" s="163"/>
      <c r="G10" s="163"/>
      <c r="H10" s="280"/>
      <c r="I10" s="287"/>
      <c r="J10" s="287"/>
      <c r="K10" s="287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</row>
    <row r="11">
      <c r="A11" s="280"/>
      <c r="B11" s="288" t="s">
        <v>3883</v>
      </c>
      <c r="C11" s="288" t="s">
        <v>3882</v>
      </c>
      <c r="D11" s="163">
        <f t="shared" ref="D11:D12" si="3">58080*1.19</f>
        <v>69115.2</v>
      </c>
      <c r="E11" s="719" t="s">
        <v>3881</v>
      </c>
      <c r="F11" s="163">
        <v>133600.0</v>
      </c>
      <c r="G11" s="163">
        <v>87160.0</v>
      </c>
      <c r="H11" s="548"/>
      <c r="I11" s="288">
        <v>2.0</v>
      </c>
      <c r="J11" s="288" t="s">
        <v>3883</v>
      </c>
      <c r="K11" s="288" t="s">
        <v>3882</v>
      </c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</row>
    <row r="12">
      <c r="A12" s="280"/>
      <c r="B12" s="288" t="s">
        <v>3883</v>
      </c>
      <c r="C12" s="288" t="s">
        <v>3884</v>
      </c>
      <c r="D12" s="163">
        <f t="shared" si="3"/>
        <v>69115.2</v>
      </c>
      <c r="E12" s="719" t="s">
        <v>3881</v>
      </c>
      <c r="F12" s="163">
        <v>133600.0</v>
      </c>
      <c r="G12" s="163">
        <v>87160.0</v>
      </c>
      <c r="H12" s="548"/>
      <c r="I12" s="288">
        <v>3.0</v>
      </c>
      <c r="J12" s="288" t="s">
        <v>3883</v>
      </c>
      <c r="K12" s="288" t="s">
        <v>3884</v>
      </c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</row>
    <row r="13">
      <c r="A13" s="280"/>
      <c r="B13" s="280"/>
      <c r="C13" s="280"/>
      <c r="D13" s="587"/>
      <c r="E13" s="587"/>
      <c r="F13" s="587"/>
      <c r="G13" s="587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</row>
    <row r="14">
      <c r="A14" s="280"/>
      <c r="B14" s="280"/>
      <c r="C14" s="280"/>
      <c r="D14" s="587"/>
      <c r="E14" s="587"/>
      <c r="F14" s="587"/>
      <c r="G14" s="587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</row>
    <row r="15">
      <c r="A15" s="280"/>
      <c r="B15" s="280"/>
      <c r="C15" s="280"/>
      <c r="D15" s="587"/>
      <c r="E15" s="587"/>
      <c r="F15" s="587"/>
      <c r="G15" s="587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</row>
    <row r="16">
      <c r="A16" s="280"/>
      <c r="B16" s="329"/>
      <c r="C16" s="575" t="s">
        <v>2835</v>
      </c>
      <c r="D16" s="197" t="s">
        <v>485</v>
      </c>
      <c r="E16" s="197" t="s">
        <v>3876</v>
      </c>
      <c r="F16" s="197" t="s">
        <v>3877</v>
      </c>
      <c r="G16" s="197" t="s">
        <v>3878</v>
      </c>
      <c r="H16" s="548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</row>
    <row r="17">
      <c r="A17" s="280"/>
      <c r="B17" s="288" t="s">
        <v>3880</v>
      </c>
      <c r="C17" s="718">
        <v>45323.0</v>
      </c>
      <c r="D17" s="163">
        <v>105000.0</v>
      </c>
      <c r="E17" s="163">
        <v>170000.0</v>
      </c>
      <c r="F17" s="163">
        <v>167000.0</v>
      </c>
      <c r="G17" s="720">
        <v>109000.0</v>
      </c>
      <c r="H17" s="548">
        <v>140.0</v>
      </c>
      <c r="I17" s="548">
        <v>140.0</v>
      </c>
      <c r="J17" s="548">
        <v>2.0</v>
      </c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</row>
    <row r="18">
      <c r="A18" s="280"/>
      <c r="B18" s="288" t="s">
        <v>3880</v>
      </c>
      <c r="C18" s="721">
        <v>45385.0</v>
      </c>
      <c r="D18" s="163">
        <v>105000.0</v>
      </c>
      <c r="E18" s="163">
        <v>170000.0</v>
      </c>
      <c r="F18" s="163">
        <v>167000.0</v>
      </c>
      <c r="G18" s="163">
        <v>109000.0</v>
      </c>
      <c r="H18" s="548"/>
      <c r="I18" s="548">
        <v>109.0</v>
      </c>
      <c r="J18" s="548">
        <v>2.0</v>
      </c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</row>
    <row r="19">
      <c r="A19" s="280"/>
      <c r="B19" s="288" t="s">
        <v>3880</v>
      </c>
      <c r="C19" s="721">
        <v>45448.0</v>
      </c>
      <c r="D19" s="163">
        <v>105000.0</v>
      </c>
      <c r="E19" s="163">
        <v>170000.0</v>
      </c>
      <c r="F19" s="163">
        <v>167000.0</v>
      </c>
      <c r="G19" s="163">
        <v>109000.0</v>
      </c>
      <c r="H19" s="548">
        <v>140.0</v>
      </c>
      <c r="I19" s="548">
        <v>140.0</v>
      </c>
      <c r="J19" s="548">
        <v>2.0</v>
      </c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</row>
    <row r="20">
      <c r="A20" s="280"/>
      <c r="B20" s="288" t="s">
        <v>3880</v>
      </c>
      <c r="C20" s="718">
        <v>45574.0</v>
      </c>
      <c r="D20" s="163">
        <v>105000.0</v>
      </c>
      <c r="E20" s="163">
        <v>170000.0</v>
      </c>
      <c r="F20" s="163">
        <v>167000.0</v>
      </c>
      <c r="G20" s="163">
        <v>109000.0</v>
      </c>
      <c r="H20" s="548">
        <v>140.0</v>
      </c>
      <c r="I20" s="548">
        <v>140.0</v>
      </c>
      <c r="J20" s="548">
        <v>2.0</v>
      </c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</row>
    <row r="21">
      <c r="A21" s="280"/>
      <c r="B21" s="288" t="s">
        <v>3880</v>
      </c>
      <c r="C21" s="718">
        <v>45637.0</v>
      </c>
      <c r="D21" s="163">
        <v>105000.0</v>
      </c>
      <c r="E21" s="163">
        <v>170000.0</v>
      </c>
      <c r="F21" s="163">
        <v>167000.0</v>
      </c>
      <c r="G21" s="163">
        <v>109000.0</v>
      </c>
      <c r="H21" s="548">
        <v>140.0</v>
      </c>
      <c r="I21" s="548">
        <v>109.0</v>
      </c>
      <c r="J21" s="548">
        <v>2.0</v>
      </c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</row>
    <row r="22">
      <c r="A22" s="280"/>
      <c r="B22" s="288" t="s">
        <v>3880</v>
      </c>
      <c r="C22" s="288" t="s">
        <v>3882</v>
      </c>
      <c r="D22" s="163">
        <v>105000.0</v>
      </c>
      <c r="E22" s="720">
        <v>100000.0</v>
      </c>
      <c r="F22" s="163">
        <v>167000.0</v>
      </c>
      <c r="G22" s="163">
        <v>109000.0</v>
      </c>
      <c r="H22" s="548">
        <v>140.0</v>
      </c>
      <c r="I22" s="548">
        <v>109.0</v>
      </c>
      <c r="J22" s="548">
        <v>2.0</v>
      </c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</row>
    <row r="23">
      <c r="A23" s="280"/>
      <c r="B23" s="287"/>
      <c r="C23" s="287"/>
      <c r="D23" s="163"/>
      <c r="E23" s="589"/>
      <c r="F23" s="163"/>
      <c r="G23" s="163"/>
      <c r="H23" s="548"/>
      <c r="I23" s="280"/>
      <c r="J23" s="548"/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</row>
    <row r="24">
      <c r="A24" s="280"/>
      <c r="B24" s="288" t="s">
        <v>3883</v>
      </c>
      <c r="C24" s="288" t="s">
        <v>3882</v>
      </c>
      <c r="D24" s="163">
        <v>105000.0</v>
      </c>
      <c r="E24" s="720">
        <v>100000.0</v>
      </c>
      <c r="F24" s="163">
        <v>167000.0</v>
      </c>
      <c r="G24" s="163">
        <v>109000.0</v>
      </c>
      <c r="H24" s="548">
        <v>140.0</v>
      </c>
      <c r="I24" s="548">
        <v>109.0</v>
      </c>
      <c r="J24" s="548">
        <v>2.0</v>
      </c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</row>
    <row r="25">
      <c r="A25" s="280"/>
      <c r="B25" s="288" t="s">
        <v>3883</v>
      </c>
      <c r="C25" s="288" t="s">
        <v>3884</v>
      </c>
      <c r="D25" s="163">
        <v>105000.0</v>
      </c>
      <c r="E25" s="720">
        <v>100000.0</v>
      </c>
      <c r="F25" s="163">
        <v>167000.0</v>
      </c>
      <c r="G25" s="163">
        <v>109000.0</v>
      </c>
      <c r="H25" s="548">
        <v>140.0</v>
      </c>
      <c r="I25" s="548">
        <v>109.0</v>
      </c>
      <c r="J25" s="548">
        <v>2.0</v>
      </c>
      <c r="K25" s="280"/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</row>
    <row r="26">
      <c r="A26" s="280"/>
      <c r="B26" s="280"/>
      <c r="C26" s="280"/>
      <c r="D26" s="587"/>
      <c r="E26" s="587"/>
      <c r="F26" s="587"/>
      <c r="G26" s="587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</row>
    <row r="27">
      <c r="A27" s="280"/>
      <c r="B27" s="280"/>
      <c r="C27" s="722" t="s">
        <v>3885</v>
      </c>
      <c r="D27" s="592">
        <v>780000.0</v>
      </c>
      <c r="E27" s="592">
        <v>1150000.0</v>
      </c>
      <c r="F27" s="592">
        <f>SUM(F17:F25)</f>
        <v>1336000</v>
      </c>
      <c r="G27" s="592">
        <v>820000.0</v>
      </c>
      <c r="H27" s="548">
        <v>980.0</v>
      </c>
      <c r="I27" s="548">
        <f>SUM(I17:I25)</f>
        <v>965</v>
      </c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</row>
    <row r="28">
      <c r="A28" s="280"/>
      <c r="B28" s="280"/>
      <c r="C28" s="280"/>
      <c r="D28" s="587"/>
      <c r="E28" s="587"/>
      <c r="F28" s="587"/>
      <c r="G28" s="587"/>
      <c r="H28" s="280"/>
      <c r="I28" s="280"/>
      <c r="J28" s="280"/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</row>
    <row r="29">
      <c r="A29" s="280"/>
      <c r="B29" s="280"/>
      <c r="C29" s="280"/>
      <c r="D29" s="587"/>
      <c r="E29" s="587"/>
      <c r="F29" s="587"/>
      <c r="G29" s="587"/>
      <c r="H29" s="280"/>
      <c r="I29" s="280"/>
      <c r="J29" s="280"/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</row>
    <row r="30">
      <c r="A30" s="280"/>
      <c r="B30" s="280"/>
      <c r="C30" s="280"/>
      <c r="D30" s="587"/>
      <c r="E30" s="587"/>
      <c r="F30" s="587"/>
      <c r="G30" s="587"/>
      <c r="H30" s="280"/>
      <c r="I30" s="280"/>
      <c r="J30" s="280"/>
      <c r="K30" s="280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</row>
    <row r="31">
      <c r="A31" s="280"/>
      <c r="B31" s="288"/>
      <c r="C31" s="723"/>
      <c r="D31" s="288"/>
      <c r="E31" s="595"/>
      <c r="F31" s="587"/>
      <c r="G31" s="587"/>
      <c r="H31" s="280"/>
      <c r="I31" s="280"/>
      <c r="J31" s="280"/>
      <c r="K31" s="280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</row>
    <row r="32">
      <c r="A32" s="280"/>
      <c r="B32" s="288" t="s">
        <v>3880</v>
      </c>
      <c r="C32" s="718">
        <v>45323.0</v>
      </c>
      <c r="D32" s="288">
        <v>2.0</v>
      </c>
      <c r="E32" s="595" t="s">
        <v>3886</v>
      </c>
      <c r="F32" s="548"/>
      <c r="G32" s="587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</row>
    <row r="33">
      <c r="A33" s="280"/>
      <c r="B33" s="288"/>
      <c r="C33" s="718"/>
      <c r="D33" s="288"/>
      <c r="E33" s="587"/>
      <c r="F33" s="724"/>
      <c r="G33" s="587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</row>
    <row r="34" hidden="1">
      <c r="A34" s="280"/>
      <c r="B34" s="288" t="s">
        <v>3880</v>
      </c>
      <c r="C34" s="718">
        <v>45385.0</v>
      </c>
      <c r="D34" s="288">
        <v>0.0</v>
      </c>
      <c r="E34" s="595" t="s">
        <v>3887</v>
      </c>
      <c r="F34" s="548"/>
      <c r="G34" s="587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</row>
    <row r="35" hidden="1">
      <c r="A35" s="280"/>
      <c r="B35" s="288" t="s">
        <v>3880</v>
      </c>
      <c r="C35" s="718">
        <v>45448.0</v>
      </c>
      <c r="D35" s="288">
        <v>0.0</v>
      </c>
      <c r="E35" s="595" t="s">
        <v>3887</v>
      </c>
      <c r="F35" s="548"/>
      <c r="G35" s="587"/>
      <c r="H35" s="2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</row>
    <row r="36">
      <c r="A36" s="280"/>
      <c r="B36" s="288" t="s">
        <v>3880</v>
      </c>
      <c r="C36" s="718">
        <v>45574.0</v>
      </c>
      <c r="D36" s="288">
        <v>1.0</v>
      </c>
      <c r="E36" s="595" t="s">
        <v>3886</v>
      </c>
      <c r="F36" s="548"/>
      <c r="G36" s="587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</row>
    <row r="37" hidden="1">
      <c r="A37" s="280"/>
      <c r="B37" s="288" t="s">
        <v>3880</v>
      </c>
      <c r="C37" s="718">
        <v>45637.0</v>
      </c>
      <c r="D37" s="288">
        <v>0.0</v>
      </c>
      <c r="E37" s="595" t="s">
        <v>3887</v>
      </c>
      <c r="F37" s="548"/>
      <c r="G37" s="587"/>
      <c r="H37" s="2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</row>
    <row r="38">
      <c r="A38" s="280"/>
      <c r="B38" s="288" t="s">
        <v>3880</v>
      </c>
      <c r="C38" s="288" t="s">
        <v>3882</v>
      </c>
      <c r="D38" s="288">
        <v>2.0</v>
      </c>
      <c r="E38" s="595" t="s">
        <v>3886</v>
      </c>
      <c r="F38" s="548"/>
      <c r="G38" s="587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</row>
    <row r="39">
      <c r="A39" s="280"/>
      <c r="B39" s="287"/>
      <c r="C39" s="287"/>
      <c r="D39" s="725"/>
      <c r="E39" s="587"/>
      <c r="F39" s="724"/>
      <c r="G39" s="587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</row>
    <row r="40">
      <c r="A40" s="280"/>
      <c r="B40" s="288" t="s">
        <v>3883</v>
      </c>
      <c r="C40" s="288" t="s">
        <v>3882</v>
      </c>
      <c r="D40" s="288">
        <v>1.0</v>
      </c>
      <c r="E40" s="595" t="s">
        <v>3887</v>
      </c>
      <c r="F40" s="548"/>
      <c r="G40" s="587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</row>
    <row r="41">
      <c r="A41" s="280"/>
      <c r="B41" s="288" t="s">
        <v>3883</v>
      </c>
      <c r="C41" s="288" t="s">
        <v>3884</v>
      </c>
      <c r="D41" s="288">
        <v>1.0</v>
      </c>
      <c r="E41" s="595" t="s">
        <v>3887</v>
      </c>
      <c r="F41" s="548"/>
      <c r="G41" s="587"/>
      <c r="H41" s="280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</row>
    <row r="42">
      <c r="A42" s="280"/>
      <c r="B42" s="280"/>
      <c r="C42" s="280"/>
      <c r="D42" s="724"/>
      <c r="E42" s="587"/>
      <c r="F42" s="587"/>
      <c r="G42" s="587"/>
      <c r="H42" s="280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</row>
    <row r="43">
      <c r="A43" s="280"/>
      <c r="B43" s="280"/>
      <c r="C43" s="280"/>
      <c r="D43" s="587"/>
      <c r="E43" s="587"/>
      <c r="F43" s="587"/>
      <c r="G43" s="587"/>
      <c r="H43" s="280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</row>
    <row r="44">
      <c r="A44" s="280"/>
      <c r="B44" s="280"/>
      <c r="C44" s="280"/>
      <c r="D44" s="587"/>
      <c r="E44" s="587"/>
      <c r="F44" s="587"/>
      <c r="G44" s="587"/>
      <c r="H44" s="280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</row>
    <row r="45">
      <c r="A45" s="280"/>
      <c r="B45" s="280"/>
      <c r="C45" s="280"/>
      <c r="D45" s="587"/>
      <c r="E45" s="587"/>
      <c r="F45" s="587"/>
      <c r="G45" s="587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</row>
    <row r="46">
      <c r="A46" s="280"/>
      <c r="B46" s="280"/>
      <c r="C46" s="280"/>
      <c r="D46" s="587"/>
      <c r="E46" s="587"/>
      <c r="F46" s="587"/>
      <c r="G46" s="587"/>
      <c r="H46" s="28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</row>
    <row r="47">
      <c r="A47" s="280"/>
      <c r="B47" s="280"/>
      <c r="C47" s="280"/>
      <c r="D47" s="587"/>
      <c r="E47" s="587"/>
      <c r="F47" s="587"/>
      <c r="G47" s="587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</row>
    <row r="48">
      <c r="A48" s="280"/>
      <c r="B48" s="280"/>
      <c r="C48" s="280"/>
      <c r="D48" s="587"/>
      <c r="E48" s="587"/>
      <c r="F48" s="587"/>
      <c r="G48" s="587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</row>
    <row r="49">
      <c r="A49" s="280"/>
      <c r="B49" s="280"/>
      <c r="C49" s="280"/>
      <c r="D49" s="587"/>
      <c r="E49" s="587"/>
      <c r="F49" s="587"/>
      <c r="G49" s="587"/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</row>
    <row r="50">
      <c r="A50" s="280"/>
      <c r="B50" s="280"/>
      <c r="C50" s="280"/>
      <c r="D50" s="587"/>
      <c r="E50" s="587"/>
      <c r="F50" s="587"/>
      <c r="G50" s="587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</row>
    <row r="51">
      <c r="A51" s="280"/>
      <c r="B51" s="280"/>
      <c r="C51" s="280"/>
      <c r="D51" s="587"/>
      <c r="E51" s="587"/>
      <c r="F51" s="587"/>
      <c r="G51" s="587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</row>
    <row r="52">
      <c r="A52" s="280"/>
      <c r="B52" s="280"/>
      <c r="C52" s="280"/>
      <c r="D52" s="587"/>
      <c r="E52" s="587"/>
      <c r="F52" s="587"/>
      <c r="G52" s="587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</row>
    <row r="53">
      <c r="A53" s="280"/>
      <c r="B53" s="280"/>
      <c r="C53" s="280"/>
      <c r="D53" s="587"/>
      <c r="E53" s="587"/>
      <c r="F53" s="587"/>
      <c r="G53" s="587"/>
      <c r="H53" s="28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</row>
    <row r="54">
      <c r="A54" s="280"/>
      <c r="B54" s="280"/>
      <c r="C54" s="280"/>
      <c r="D54" s="587"/>
      <c r="E54" s="587"/>
      <c r="F54" s="587"/>
      <c r="G54" s="587"/>
      <c r="H54" s="280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</row>
    <row r="55">
      <c r="A55" s="280"/>
      <c r="B55" s="280"/>
      <c r="C55" s="280"/>
      <c r="D55" s="587"/>
      <c r="E55" s="587"/>
      <c r="F55" s="587"/>
      <c r="G55" s="587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</row>
    <row r="56">
      <c r="A56" s="280"/>
      <c r="B56" s="280"/>
      <c r="C56" s="280"/>
      <c r="D56" s="587"/>
      <c r="E56" s="587"/>
      <c r="F56" s="587"/>
      <c r="G56" s="587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</row>
    <row r="57">
      <c r="A57" s="280"/>
      <c r="B57" s="280"/>
      <c r="C57" s="280"/>
      <c r="D57" s="587"/>
      <c r="E57" s="587"/>
      <c r="F57" s="587"/>
      <c r="G57" s="587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</row>
    <row r="58">
      <c r="A58" s="280"/>
      <c r="B58" s="280"/>
      <c r="C58" s="280"/>
      <c r="D58" s="587"/>
      <c r="E58" s="587"/>
      <c r="F58" s="587"/>
      <c r="G58" s="587"/>
      <c r="H58" s="280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</row>
    <row r="59">
      <c r="A59" s="280"/>
      <c r="B59" s="280"/>
      <c r="C59" s="280"/>
      <c r="D59" s="587"/>
      <c r="E59" s="587"/>
      <c r="F59" s="587"/>
      <c r="G59" s="587"/>
      <c r="H59" s="28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</row>
    <row r="60">
      <c r="A60" s="280"/>
      <c r="B60" s="280"/>
      <c r="C60" s="280"/>
      <c r="D60" s="587"/>
      <c r="E60" s="587"/>
      <c r="F60" s="587"/>
      <c r="G60" s="587"/>
      <c r="H60" s="280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</row>
    <row r="61">
      <c r="A61" s="280"/>
      <c r="B61" s="280"/>
      <c r="C61" s="280"/>
      <c r="D61" s="587"/>
      <c r="E61" s="587"/>
      <c r="F61" s="587"/>
      <c r="G61" s="587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</row>
    <row r="62">
      <c r="A62" s="280"/>
      <c r="B62" s="280"/>
      <c r="C62" s="280"/>
      <c r="D62" s="587"/>
      <c r="E62" s="587"/>
      <c r="F62" s="587"/>
      <c r="G62" s="587"/>
      <c r="H62" s="280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</row>
    <row r="63">
      <c r="A63" s="280"/>
      <c r="B63" s="280"/>
      <c r="C63" s="280"/>
      <c r="D63" s="587"/>
      <c r="E63" s="587"/>
      <c r="F63" s="587"/>
      <c r="G63" s="587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</row>
    <row r="64">
      <c r="A64" s="280"/>
      <c r="B64" s="280"/>
      <c r="C64" s="280"/>
      <c r="D64" s="587"/>
      <c r="E64" s="587"/>
      <c r="F64" s="587"/>
      <c r="G64" s="587"/>
      <c r="H64" s="28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</row>
    <row r="65">
      <c r="A65" s="280"/>
      <c r="B65" s="280"/>
      <c r="C65" s="280"/>
      <c r="D65" s="587"/>
      <c r="E65" s="587"/>
      <c r="F65" s="587"/>
      <c r="G65" s="587"/>
      <c r="H65" s="280"/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</row>
    <row r="66">
      <c r="A66" s="280"/>
      <c r="B66" s="280"/>
      <c r="C66" s="280"/>
      <c r="D66" s="587"/>
      <c r="E66" s="587"/>
      <c r="F66" s="587"/>
      <c r="G66" s="587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</row>
    <row r="67">
      <c r="A67" s="280"/>
      <c r="B67" s="280"/>
      <c r="C67" s="280"/>
      <c r="D67" s="587"/>
      <c r="E67" s="587"/>
      <c r="F67" s="587"/>
      <c r="G67" s="587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</row>
    <row r="68">
      <c r="A68" s="280"/>
      <c r="B68" s="280"/>
      <c r="C68" s="280"/>
      <c r="D68" s="587"/>
      <c r="E68" s="587"/>
      <c r="F68" s="587"/>
      <c r="G68" s="587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</row>
    <row r="69">
      <c r="A69" s="280"/>
      <c r="B69" s="280"/>
      <c r="C69" s="280"/>
      <c r="D69" s="587"/>
      <c r="E69" s="587"/>
      <c r="F69" s="587"/>
      <c r="G69" s="587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</row>
    <row r="70">
      <c r="A70" s="280"/>
      <c r="B70" s="280"/>
      <c r="C70" s="280"/>
      <c r="D70" s="587"/>
      <c r="E70" s="587"/>
      <c r="F70" s="587"/>
      <c r="G70" s="587"/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0"/>
      <c r="U70" s="280"/>
      <c r="V70" s="280"/>
      <c r="W70" s="280"/>
    </row>
    <row r="71">
      <c r="A71" s="280"/>
      <c r="B71" s="280"/>
      <c r="C71" s="280"/>
      <c r="D71" s="587"/>
      <c r="E71" s="587"/>
      <c r="F71" s="587"/>
      <c r="G71" s="587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</row>
    <row r="72">
      <c r="A72" s="280"/>
      <c r="B72" s="280"/>
      <c r="C72" s="280"/>
      <c r="D72" s="587"/>
      <c r="E72" s="587"/>
      <c r="F72" s="587"/>
      <c r="G72" s="587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</row>
    <row r="73">
      <c r="A73" s="280"/>
      <c r="B73" s="280"/>
      <c r="C73" s="280"/>
      <c r="D73" s="587"/>
      <c r="E73" s="587"/>
      <c r="F73" s="587"/>
      <c r="G73" s="587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</row>
    <row r="74">
      <c r="A74" s="280"/>
      <c r="B74" s="280"/>
      <c r="C74" s="280"/>
      <c r="D74" s="587"/>
      <c r="E74" s="587"/>
      <c r="F74" s="587"/>
      <c r="G74" s="587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</row>
    <row r="75">
      <c r="A75" s="280"/>
      <c r="B75" s="280"/>
      <c r="C75" s="280"/>
      <c r="D75" s="587"/>
      <c r="E75" s="587"/>
      <c r="F75" s="587"/>
      <c r="G75" s="587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</row>
    <row r="76">
      <c r="A76" s="280"/>
      <c r="B76" s="280"/>
      <c r="C76" s="280"/>
      <c r="D76" s="587"/>
      <c r="E76" s="587"/>
      <c r="F76" s="587"/>
      <c r="G76" s="587"/>
      <c r="H76" s="280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</row>
    <row r="77">
      <c r="A77" s="280"/>
      <c r="B77" s="280"/>
      <c r="C77" s="280"/>
      <c r="D77" s="587"/>
      <c r="E77" s="587"/>
      <c r="F77" s="587"/>
      <c r="G77" s="587"/>
      <c r="H77" s="280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</row>
    <row r="78">
      <c r="A78" s="280"/>
      <c r="B78" s="280"/>
      <c r="C78" s="280"/>
      <c r="D78" s="587"/>
      <c r="E78" s="587"/>
      <c r="F78" s="587"/>
      <c r="G78" s="587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</row>
    <row r="79">
      <c r="A79" s="280"/>
      <c r="B79" s="280"/>
      <c r="C79" s="280"/>
      <c r="D79" s="587"/>
      <c r="E79" s="587"/>
      <c r="F79" s="587"/>
      <c r="G79" s="587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</row>
    <row r="80">
      <c r="A80" s="280"/>
      <c r="B80" s="280"/>
      <c r="C80" s="280"/>
      <c r="D80" s="587"/>
      <c r="E80" s="587"/>
      <c r="F80" s="587"/>
      <c r="G80" s="587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</row>
    <row r="81">
      <c r="A81" s="280"/>
      <c r="B81" s="280"/>
      <c r="C81" s="280"/>
      <c r="D81" s="587"/>
      <c r="E81" s="587"/>
      <c r="F81" s="587"/>
      <c r="G81" s="587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</row>
    <row r="82">
      <c r="A82" s="280"/>
      <c r="B82" s="280"/>
      <c r="C82" s="280"/>
      <c r="D82" s="587"/>
      <c r="E82" s="587"/>
      <c r="F82" s="587"/>
      <c r="G82" s="587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</row>
    <row r="83">
      <c r="A83" s="280"/>
      <c r="B83" s="280"/>
      <c r="C83" s="280"/>
      <c r="D83" s="587"/>
      <c r="E83" s="587"/>
      <c r="F83" s="587"/>
      <c r="G83" s="587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</row>
    <row r="84">
      <c r="A84" s="280"/>
      <c r="B84" s="280"/>
      <c r="C84" s="280"/>
      <c r="D84" s="587"/>
      <c r="E84" s="587"/>
      <c r="F84" s="587"/>
      <c r="G84" s="587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</row>
    <row r="85">
      <c r="A85" s="280"/>
      <c r="B85" s="280"/>
      <c r="C85" s="280"/>
      <c r="D85" s="587"/>
      <c r="E85" s="587"/>
      <c r="F85" s="587"/>
      <c r="G85" s="587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</row>
    <row r="86">
      <c r="A86" s="280"/>
      <c r="B86" s="280"/>
      <c r="C86" s="280"/>
      <c r="D86" s="587"/>
      <c r="E86" s="587"/>
      <c r="F86" s="587"/>
      <c r="G86" s="587"/>
      <c r="H86" s="280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</row>
    <row r="87">
      <c r="A87" s="280"/>
      <c r="B87" s="280"/>
      <c r="C87" s="280"/>
      <c r="D87" s="587"/>
      <c r="E87" s="587"/>
      <c r="F87" s="587"/>
      <c r="G87" s="587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</row>
    <row r="88">
      <c r="A88" s="280"/>
      <c r="B88" s="280"/>
      <c r="C88" s="280"/>
      <c r="D88" s="587"/>
      <c r="E88" s="587"/>
      <c r="F88" s="587"/>
      <c r="G88" s="587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</row>
    <row r="89">
      <c r="A89" s="280"/>
      <c r="B89" s="280"/>
      <c r="C89" s="280"/>
      <c r="D89" s="587"/>
      <c r="E89" s="587"/>
      <c r="F89" s="587"/>
      <c r="G89" s="587"/>
      <c r="H89" s="280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</row>
    <row r="90">
      <c r="A90" s="280"/>
      <c r="B90" s="280"/>
      <c r="C90" s="280"/>
      <c r="D90" s="587"/>
      <c r="E90" s="587"/>
      <c r="F90" s="587"/>
      <c r="G90" s="587"/>
      <c r="H90" s="280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</row>
    <row r="91">
      <c r="A91" s="280"/>
      <c r="B91" s="280"/>
      <c r="C91" s="280"/>
      <c r="D91" s="587"/>
      <c r="E91" s="587"/>
      <c r="F91" s="587"/>
      <c r="G91" s="587"/>
      <c r="H91" s="280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</row>
    <row r="92">
      <c r="A92" s="280"/>
      <c r="B92" s="280"/>
      <c r="C92" s="280"/>
      <c r="D92" s="587"/>
      <c r="E92" s="587"/>
      <c r="F92" s="587"/>
      <c r="G92" s="587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</row>
    <row r="93">
      <c r="A93" s="280"/>
      <c r="B93" s="280"/>
      <c r="C93" s="280"/>
      <c r="D93" s="587"/>
      <c r="E93" s="587"/>
      <c r="F93" s="587"/>
      <c r="G93" s="587"/>
      <c r="H93" s="280"/>
      <c r="I93" s="280"/>
      <c r="J93" s="280"/>
      <c r="K93" s="280"/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</row>
    <row r="94">
      <c r="A94" s="280"/>
      <c r="B94" s="280"/>
      <c r="C94" s="280"/>
      <c r="D94" s="587"/>
      <c r="E94" s="587"/>
      <c r="F94" s="587"/>
      <c r="G94" s="587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</row>
    <row r="95">
      <c r="A95" s="280"/>
      <c r="B95" s="280"/>
      <c r="C95" s="280"/>
      <c r="D95" s="587"/>
      <c r="E95" s="587"/>
      <c r="F95" s="587"/>
      <c r="G95" s="587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</row>
    <row r="96">
      <c r="A96" s="280"/>
      <c r="B96" s="280"/>
      <c r="C96" s="280"/>
      <c r="D96" s="587"/>
      <c r="E96" s="587"/>
      <c r="F96" s="587"/>
      <c r="G96" s="587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</row>
    <row r="97">
      <c r="A97" s="280"/>
      <c r="B97" s="280"/>
      <c r="C97" s="280"/>
      <c r="D97" s="587"/>
      <c r="E97" s="587"/>
      <c r="F97" s="587"/>
      <c r="G97" s="587"/>
      <c r="H97" s="280"/>
      <c r="I97" s="280"/>
      <c r="J97" s="280"/>
      <c r="K97" s="280"/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</row>
    <row r="98">
      <c r="A98" s="280"/>
      <c r="B98" s="280"/>
      <c r="C98" s="280"/>
      <c r="D98" s="587"/>
      <c r="E98" s="587"/>
      <c r="F98" s="587"/>
      <c r="G98" s="587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</row>
    <row r="99">
      <c r="A99" s="280"/>
      <c r="B99" s="280"/>
      <c r="C99" s="280"/>
      <c r="D99" s="587"/>
      <c r="E99" s="587"/>
      <c r="F99" s="587"/>
      <c r="G99" s="587"/>
      <c r="H99" s="280"/>
      <c r="I99" s="280"/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</row>
    <row r="100">
      <c r="A100" s="280"/>
      <c r="B100" s="280"/>
      <c r="C100" s="280"/>
      <c r="D100" s="587"/>
      <c r="E100" s="587"/>
      <c r="F100" s="587"/>
      <c r="G100" s="587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</row>
    <row r="101">
      <c r="A101" s="280"/>
      <c r="B101" s="280"/>
      <c r="C101" s="280"/>
      <c r="D101" s="587"/>
      <c r="E101" s="587"/>
      <c r="F101" s="587"/>
      <c r="G101" s="587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</row>
    <row r="102">
      <c r="A102" s="280"/>
      <c r="B102" s="280"/>
      <c r="C102" s="280"/>
      <c r="D102" s="587"/>
      <c r="E102" s="587"/>
      <c r="F102" s="587"/>
      <c r="G102" s="587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</row>
    <row r="103">
      <c r="A103" s="280"/>
      <c r="B103" s="280"/>
      <c r="C103" s="280"/>
      <c r="D103" s="587"/>
      <c r="E103" s="587"/>
      <c r="F103" s="587"/>
      <c r="G103" s="587"/>
      <c r="H103" s="280"/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</row>
    <row r="104">
      <c r="A104" s="280"/>
      <c r="B104" s="280"/>
      <c r="C104" s="280"/>
      <c r="D104" s="587"/>
      <c r="E104" s="587"/>
      <c r="F104" s="587"/>
      <c r="G104" s="587"/>
      <c r="H104" s="280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</row>
    <row r="105">
      <c r="A105" s="280"/>
      <c r="B105" s="280"/>
      <c r="C105" s="280"/>
      <c r="D105" s="587"/>
      <c r="E105" s="587"/>
      <c r="F105" s="587"/>
      <c r="G105" s="587"/>
      <c r="H105" s="280"/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</row>
    <row r="106">
      <c r="A106" s="280"/>
      <c r="B106" s="280"/>
      <c r="C106" s="280"/>
      <c r="D106" s="587"/>
      <c r="E106" s="587"/>
      <c r="F106" s="587"/>
      <c r="G106" s="587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</row>
    <row r="107">
      <c r="A107" s="280"/>
      <c r="B107" s="280"/>
      <c r="C107" s="280"/>
      <c r="D107" s="587"/>
      <c r="E107" s="587"/>
      <c r="F107" s="587"/>
      <c r="G107" s="587"/>
      <c r="H107" s="280"/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</row>
    <row r="108">
      <c r="A108" s="280"/>
      <c r="B108" s="280"/>
      <c r="C108" s="280"/>
      <c r="D108" s="587"/>
      <c r="E108" s="587"/>
      <c r="F108" s="587"/>
      <c r="G108" s="587"/>
      <c r="H108" s="280"/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</row>
    <row r="109">
      <c r="A109" s="280"/>
      <c r="B109" s="280"/>
      <c r="C109" s="280"/>
      <c r="D109" s="587"/>
      <c r="E109" s="587"/>
      <c r="F109" s="587"/>
      <c r="G109" s="587"/>
      <c r="H109" s="280"/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</row>
    <row r="110">
      <c r="A110" s="280"/>
      <c r="B110" s="280"/>
      <c r="C110" s="280"/>
      <c r="D110" s="587"/>
      <c r="E110" s="587"/>
      <c r="F110" s="587"/>
      <c r="G110" s="587"/>
      <c r="H110" s="280"/>
      <c r="I110" s="280"/>
      <c r="J110" s="280"/>
      <c r="K110" s="280"/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</row>
    <row r="111">
      <c r="A111" s="280"/>
      <c r="B111" s="280"/>
      <c r="C111" s="280"/>
      <c r="D111" s="587"/>
      <c r="E111" s="587"/>
      <c r="F111" s="587"/>
      <c r="G111" s="587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</row>
    <row r="112">
      <c r="A112" s="280"/>
      <c r="B112" s="280"/>
      <c r="C112" s="280"/>
      <c r="D112" s="587"/>
      <c r="E112" s="587"/>
      <c r="F112" s="587"/>
      <c r="G112" s="587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</row>
    <row r="113">
      <c r="A113" s="280"/>
      <c r="B113" s="280"/>
      <c r="C113" s="280"/>
      <c r="D113" s="587"/>
      <c r="E113" s="587"/>
      <c r="F113" s="587"/>
      <c r="G113" s="587"/>
      <c r="H113" s="280"/>
      <c r="I113" s="280"/>
      <c r="J113" s="280"/>
      <c r="K113" s="280"/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</row>
    <row r="114">
      <c r="A114" s="280"/>
      <c r="B114" s="280"/>
      <c r="C114" s="280"/>
      <c r="D114" s="587"/>
      <c r="E114" s="587"/>
      <c r="F114" s="587"/>
      <c r="G114" s="587"/>
      <c r="H114" s="280"/>
      <c r="I114" s="280"/>
      <c r="J114" s="280"/>
      <c r="K114" s="280"/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</row>
    <row r="115">
      <c r="A115" s="280"/>
      <c r="B115" s="280"/>
      <c r="C115" s="280"/>
      <c r="D115" s="587"/>
      <c r="E115" s="587"/>
      <c r="F115" s="587"/>
      <c r="G115" s="587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</row>
    <row r="116">
      <c r="A116" s="280"/>
      <c r="B116" s="280"/>
      <c r="C116" s="280"/>
      <c r="D116" s="587"/>
      <c r="E116" s="587"/>
      <c r="F116" s="587"/>
      <c r="G116" s="587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</row>
    <row r="117">
      <c r="A117" s="280"/>
      <c r="B117" s="280"/>
      <c r="C117" s="280"/>
      <c r="D117" s="587"/>
      <c r="E117" s="587"/>
      <c r="F117" s="587"/>
      <c r="G117" s="587"/>
      <c r="H117" s="280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</row>
    <row r="118">
      <c r="A118" s="280"/>
      <c r="B118" s="280"/>
      <c r="C118" s="280"/>
      <c r="D118" s="587"/>
      <c r="E118" s="587"/>
      <c r="F118" s="587"/>
      <c r="G118" s="587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</row>
    <row r="119">
      <c r="A119" s="280"/>
      <c r="B119" s="280"/>
      <c r="C119" s="280"/>
      <c r="D119" s="587"/>
      <c r="E119" s="587"/>
      <c r="F119" s="587"/>
      <c r="G119" s="587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</row>
    <row r="120">
      <c r="A120" s="280"/>
      <c r="B120" s="280"/>
      <c r="C120" s="280"/>
      <c r="D120" s="587"/>
      <c r="E120" s="587"/>
      <c r="F120" s="587"/>
      <c r="G120" s="587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</row>
    <row r="121">
      <c r="A121" s="280"/>
      <c r="B121" s="280"/>
      <c r="C121" s="280"/>
      <c r="D121" s="587"/>
      <c r="E121" s="587"/>
      <c r="F121" s="587"/>
      <c r="G121" s="587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</row>
    <row r="122">
      <c r="A122" s="280"/>
      <c r="B122" s="280"/>
      <c r="C122" s="280"/>
      <c r="D122" s="587"/>
      <c r="E122" s="587"/>
      <c r="F122" s="587"/>
      <c r="G122" s="587"/>
      <c r="H122" s="280"/>
      <c r="I122" s="280"/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</row>
    <row r="123">
      <c r="A123" s="280"/>
      <c r="B123" s="280"/>
      <c r="C123" s="280"/>
      <c r="D123" s="587"/>
      <c r="E123" s="587"/>
      <c r="F123" s="587"/>
      <c r="G123" s="587"/>
      <c r="H123" s="280"/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</row>
    <row r="124">
      <c r="A124" s="280"/>
      <c r="B124" s="280"/>
      <c r="C124" s="280"/>
      <c r="D124" s="587"/>
      <c r="E124" s="587"/>
      <c r="F124" s="587"/>
      <c r="G124" s="587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</row>
    <row r="125">
      <c r="A125" s="280"/>
      <c r="B125" s="280"/>
      <c r="C125" s="280"/>
      <c r="D125" s="587"/>
      <c r="E125" s="587"/>
      <c r="F125" s="587"/>
      <c r="G125" s="587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</row>
    <row r="126">
      <c r="A126" s="280"/>
      <c r="B126" s="280"/>
      <c r="C126" s="280"/>
      <c r="D126" s="587"/>
      <c r="E126" s="587"/>
      <c r="F126" s="587"/>
      <c r="G126" s="587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</row>
    <row r="127">
      <c r="A127" s="280"/>
      <c r="B127" s="280"/>
      <c r="C127" s="280"/>
      <c r="D127" s="587"/>
      <c r="E127" s="587"/>
      <c r="F127" s="587"/>
      <c r="G127" s="587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</row>
    <row r="128">
      <c r="A128" s="280"/>
      <c r="B128" s="280"/>
      <c r="C128" s="280"/>
      <c r="D128" s="587"/>
      <c r="E128" s="587"/>
      <c r="F128" s="587"/>
      <c r="G128" s="587"/>
      <c r="H128" s="280"/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</row>
    <row r="129">
      <c r="A129" s="280"/>
      <c r="B129" s="280"/>
      <c r="C129" s="280"/>
      <c r="D129" s="587"/>
      <c r="E129" s="587"/>
      <c r="F129" s="587"/>
      <c r="G129" s="587"/>
      <c r="H129" s="280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</row>
    <row r="130">
      <c r="A130" s="280"/>
      <c r="B130" s="280"/>
      <c r="C130" s="280"/>
      <c r="D130" s="587"/>
      <c r="E130" s="587"/>
      <c r="F130" s="587"/>
      <c r="G130" s="587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</row>
    <row r="131">
      <c r="A131" s="280"/>
      <c r="B131" s="280"/>
      <c r="C131" s="280"/>
      <c r="D131" s="587"/>
      <c r="E131" s="587"/>
      <c r="F131" s="587"/>
      <c r="G131" s="587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</row>
    <row r="132">
      <c r="A132" s="280"/>
      <c r="B132" s="280"/>
      <c r="C132" s="280"/>
      <c r="D132" s="587"/>
      <c r="E132" s="587"/>
      <c r="F132" s="587"/>
      <c r="G132" s="587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</row>
    <row r="133">
      <c r="A133" s="280"/>
      <c r="B133" s="280"/>
      <c r="C133" s="280"/>
      <c r="D133" s="587"/>
      <c r="E133" s="587"/>
      <c r="F133" s="587"/>
      <c r="G133" s="587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</row>
    <row r="134">
      <c r="A134" s="280"/>
      <c r="B134" s="280"/>
      <c r="C134" s="280"/>
      <c r="D134" s="587"/>
      <c r="E134" s="587"/>
      <c r="F134" s="587"/>
      <c r="G134" s="587"/>
      <c r="H134" s="280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</row>
    <row r="135">
      <c r="A135" s="280"/>
      <c r="B135" s="280"/>
      <c r="C135" s="280"/>
      <c r="D135" s="587"/>
      <c r="E135" s="587"/>
      <c r="F135" s="587"/>
      <c r="G135" s="587"/>
      <c r="H135" s="280"/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</row>
    <row r="136">
      <c r="A136" s="280"/>
      <c r="B136" s="280"/>
      <c r="C136" s="280"/>
      <c r="D136" s="587"/>
      <c r="E136" s="587"/>
      <c r="F136" s="587"/>
      <c r="G136" s="587"/>
      <c r="H136" s="280"/>
      <c r="I136" s="280"/>
      <c r="J136" s="280"/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</row>
    <row r="137">
      <c r="A137" s="280"/>
      <c r="B137" s="280"/>
      <c r="C137" s="280"/>
      <c r="D137" s="587"/>
      <c r="E137" s="587"/>
      <c r="F137" s="587"/>
      <c r="G137" s="587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</row>
    <row r="138">
      <c r="A138" s="280"/>
      <c r="B138" s="280"/>
      <c r="C138" s="280"/>
      <c r="D138" s="587"/>
      <c r="E138" s="587"/>
      <c r="F138" s="587"/>
      <c r="G138" s="587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</row>
    <row r="139">
      <c r="A139" s="280"/>
      <c r="B139" s="280"/>
      <c r="C139" s="280"/>
      <c r="D139" s="587"/>
      <c r="E139" s="587"/>
      <c r="F139" s="587"/>
      <c r="G139" s="587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</row>
    <row r="140">
      <c r="A140" s="280"/>
      <c r="B140" s="280"/>
      <c r="C140" s="280"/>
      <c r="D140" s="587"/>
      <c r="E140" s="587"/>
      <c r="F140" s="587"/>
      <c r="G140" s="587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</row>
    <row r="141">
      <c r="A141" s="280"/>
      <c r="B141" s="280"/>
      <c r="C141" s="280"/>
      <c r="D141" s="587"/>
      <c r="E141" s="587"/>
      <c r="F141" s="587"/>
      <c r="G141" s="587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</row>
    <row r="142">
      <c r="A142" s="280"/>
      <c r="B142" s="280"/>
      <c r="C142" s="280"/>
      <c r="D142" s="587"/>
      <c r="E142" s="587"/>
      <c r="F142" s="587"/>
      <c r="G142" s="587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</row>
    <row r="143">
      <c r="A143" s="280"/>
      <c r="B143" s="280"/>
      <c r="C143" s="280"/>
      <c r="D143" s="587"/>
      <c r="E143" s="587"/>
      <c r="F143" s="587"/>
      <c r="G143" s="587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</row>
    <row r="144">
      <c r="A144" s="280"/>
      <c r="B144" s="280"/>
      <c r="C144" s="280"/>
      <c r="D144" s="587"/>
      <c r="E144" s="587"/>
      <c r="F144" s="587"/>
      <c r="G144" s="587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</row>
    <row r="145">
      <c r="A145" s="280"/>
      <c r="B145" s="280"/>
      <c r="C145" s="280"/>
      <c r="D145" s="587"/>
      <c r="E145" s="587"/>
      <c r="F145" s="587"/>
      <c r="G145" s="587"/>
      <c r="H145" s="280"/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</row>
    <row r="146">
      <c r="A146" s="280"/>
      <c r="B146" s="280"/>
      <c r="C146" s="280"/>
      <c r="D146" s="587"/>
      <c r="E146" s="587"/>
      <c r="F146" s="587"/>
      <c r="G146" s="587"/>
      <c r="H146" s="280"/>
      <c r="I146" s="280"/>
      <c r="J146" s="280"/>
      <c r="K146" s="280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</row>
    <row r="147">
      <c r="A147" s="280"/>
      <c r="B147" s="280"/>
      <c r="C147" s="280"/>
      <c r="D147" s="587"/>
      <c r="E147" s="587"/>
      <c r="F147" s="587"/>
      <c r="G147" s="587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</row>
    <row r="148">
      <c r="A148" s="280"/>
      <c r="B148" s="280"/>
      <c r="C148" s="280"/>
      <c r="D148" s="587"/>
      <c r="E148" s="587"/>
      <c r="F148" s="587"/>
      <c r="G148" s="587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</row>
    <row r="149">
      <c r="A149" s="280"/>
      <c r="B149" s="280"/>
      <c r="C149" s="280"/>
      <c r="D149" s="587"/>
      <c r="E149" s="587"/>
      <c r="F149" s="587"/>
      <c r="G149" s="587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</row>
    <row r="150">
      <c r="A150" s="280"/>
      <c r="B150" s="280"/>
      <c r="C150" s="280"/>
      <c r="D150" s="587"/>
      <c r="E150" s="587"/>
      <c r="F150" s="587"/>
      <c r="G150" s="587"/>
      <c r="H150" s="280"/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</row>
    <row r="151">
      <c r="A151" s="280"/>
      <c r="B151" s="280"/>
      <c r="C151" s="280"/>
      <c r="D151" s="587"/>
      <c r="E151" s="587"/>
      <c r="F151" s="587"/>
      <c r="G151" s="587"/>
      <c r="H151" s="280"/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</row>
    <row r="152">
      <c r="A152" s="280"/>
      <c r="B152" s="280"/>
      <c r="C152" s="280"/>
      <c r="D152" s="587"/>
      <c r="E152" s="587"/>
      <c r="F152" s="587"/>
      <c r="G152" s="587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</row>
    <row r="153">
      <c r="A153" s="280"/>
      <c r="B153" s="280"/>
      <c r="C153" s="280"/>
      <c r="D153" s="587"/>
      <c r="E153" s="587"/>
      <c r="F153" s="587"/>
      <c r="G153" s="587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</row>
    <row r="154">
      <c r="A154" s="280"/>
      <c r="B154" s="280"/>
      <c r="C154" s="280"/>
      <c r="D154" s="587"/>
      <c r="E154" s="587"/>
      <c r="F154" s="587"/>
      <c r="G154" s="587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</row>
    <row r="155">
      <c r="A155" s="280"/>
      <c r="B155" s="280"/>
      <c r="C155" s="280"/>
      <c r="D155" s="587"/>
      <c r="E155" s="587"/>
      <c r="F155" s="587"/>
      <c r="G155" s="587"/>
      <c r="H155" s="280"/>
      <c r="I155" s="280"/>
      <c r="J155" s="280"/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</row>
    <row r="156">
      <c r="A156" s="280"/>
      <c r="B156" s="280"/>
      <c r="C156" s="280"/>
      <c r="D156" s="587"/>
      <c r="E156" s="587"/>
      <c r="F156" s="587"/>
      <c r="G156" s="587"/>
      <c r="H156" s="280"/>
      <c r="I156" s="280"/>
      <c r="J156" s="280"/>
      <c r="K156" s="280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</row>
    <row r="157">
      <c r="A157" s="280"/>
      <c r="B157" s="280"/>
      <c r="C157" s="280"/>
      <c r="D157" s="587"/>
      <c r="E157" s="587"/>
      <c r="F157" s="587"/>
      <c r="G157" s="587"/>
      <c r="H157" s="280"/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</row>
    <row r="158">
      <c r="A158" s="280"/>
      <c r="B158" s="280"/>
      <c r="C158" s="280"/>
      <c r="D158" s="587"/>
      <c r="E158" s="587"/>
      <c r="F158" s="587"/>
      <c r="G158" s="587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</row>
    <row r="159">
      <c r="A159" s="280"/>
      <c r="B159" s="280"/>
      <c r="C159" s="280"/>
      <c r="D159" s="587"/>
      <c r="E159" s="587"/>
      <c r="F159" s="587"/>
      <c r="G159" s="587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</row>
    <row r="160">
      <c r="A160" s="280"/>
      <c r="B160" s="280"/>
      <c r="C160" s="280"/>
      <c r="D160" s="587"/>
      <c r="E160" s="587"/>
      <c r="F160" s="587"/>
      <c r="G160" s="587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</row>
    <row r="161">
      <c r="A161" s="280"/>
      <c r="B161" s="280"/>
      <c r="C161" s="280"/>
      <c r="D161" s="587"/>
      <c r="E161" s="587"/>
      <c r="F161" s="587"/>
      <c r="G161" s="587"/>
      <c r="H161" s="280"/>
      <c r="I161" s="280"/>
      <c r="J161" s="280"/>
      <c r="K161" s="280"/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</row>
    <row r="162">
      <c r="A162" s="280"/>
      <c r="B162" s="280"/>
      <c r="C162" s="280"/>
      <c r="D162" s="587"/>
      <c r="E162" s="587"/>
      <c r="F162" s="587"/>
      <c r="G162" s="587"/>
      <c r="H162" s="280"/>
      <c r="I162" s="280"/>
      <c r="J162" s="280"/>
      <c r="K162" s="280"/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</row>
    <row r="163">
      <c r="A163" s="280"/>
      <c r="B163" s="280"/>
      <c r="C163" s="280"/>
      <c r="D163" s="587"/>
      <c r="E163" s="587"/>
      <c r="F163" s="587"/>
      <c r="G163" s="587"/>
      <c r="H163" s="280"/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</row>
    <row r="164">
      <c r="A164" s="280"/>
      <c r="B164" s="280"/>
      <c r="C164" s="280"/>
      <c r="D164" s="587"/>
      <c r="E164" s="587"/>
      <c r="F164" s="587"/>
      <c r="G164" s="587"/>
      <c r="H164" s="280"/>
      <c r="I164" s="280"/>
      <c r="J164" s="280"/>
      <c r="K164" s="280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</row>
    <row r="165">
      <c r="A165" s="280"/>
      <c r="B165" s="280"/>
      <c r="C165" s="280"/>
      <c r="D165" s="587"/>
      <c r="E165" s="587"/>
      <c r="F165" s="587"/>
      <c r="G165" s="587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</row>
    <row r="166">
      <c r="A166" s="280"/>
      <c r="B166" s="280"/>
      <c r="C166" s="280"/>
      <c r="D166" s="587"/>
      <c r="E166" s="587"/>
      <c r="F166" s="587"/>
      <c r="G166" s="587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</row>
    <row r="167">
      <c r="A167" s="280"/>
      <c r="B167" s="280"/>
      <c r="C167" s="280"/>
      <c r="D167" s="587"/>
      <c r="E167" s="587"/>
      <c r="F167" s="587"/>
      <c r="G167" s="587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</row>
    <row r="168">
      <c r="A168" s="280"/>
      <c r="B168" s="280"/>
      <c r="C168" s="280"/>
      <c r="D168" s="587"/>
      <c r="E168" s="587"/>
      <c r="F168" s="587"/>
      <c r="G168" s="587"/>
      <c r="H168" s="280"/>
      <c r="I168" s="280"/>
      <c r="J168" s="280"/>
      <c r="K168" s="280"/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</row>
    <row r="169">
      <c r="A169" s="280"/>
      <c r="B169" s="280"/>
      <c r="C169" s="280"/>
      <c r="D169" s="587"/>
      <c r="E169" s="587"/>
      <c r="F169" s="587"/>
      <c r="G169" s="587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</row>
    <row r="170">
      <c r="A170" s="280"/>
      <c r="B170" s="280"/>
      <c r="C170" s="280"/>
      <c r="D170" s="587"/>
      <c r="E170" s="587"/>
      <c r="F170" s="587"/>
      <c r="G170" s="587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</row>
    <row r="171">
      <c r="A171" s="280"/>
      <c r="B171" s="280"/>
      <c r="C171" s="280"/>
      <c r="D171" s="587"/>
      <c r="E171" s="587"/>
      <c r="F171" s="587"/>
      <c r="G171" s="587"/>
      <c r="H171" s="280"/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</row>
    <row r="172">
      <c r="A172" s="280"/>
      <c r="B172" s="280"/>
      <c r="C172" s="280"/>
      <c r="D172" s="587"/>
      <c r="E172" s="587"/>
      <c r="F172" s="587"/>
      <c r="G172" s="587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</row>
    <row r="173">
      <c r="A173" s="280"/>
      <c r="B173" s="280"/>
      <c r="C173" s="280"/>
      <c r="D173" s="587"/>
      <c r="E173" s="587"/>
      <c r="F173" s="587"/>
      <c r="G173" s="587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</row>
    <row r="174">
      <c r="A174" s="280"/>
      <c r="B174" s="280"/>
      <c r="C174" s="280"/>
      <c r="D174" s="587"/>
      <c r="E174" s="587"/>
      <c r="F174" s="587"/>
      <c r="G174" s="587"/>
      <c r="H174" s="280"/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</row>
    <row r="175">
      <c r="A175" s="280"/>
      <c r="B175" s="280"/>
      <c r="C175" s="280"/>
      <c r="D175" s="587"/>
      <c r="E175" s="587"/>
      <c r="F175" s="587"/>
      <c r="G175" s="587"/>
      <c r="H175" s="280"/>
      <c r="I175" s="280"/>
      <c r="J175" s="280"/>
      <c r="K175" s="280"/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</row>
    <row r="176">
      <c r="A176" s="280"/>
      <c r="B176" s="280"/>
      <c r="C176" s="280"/>
      <c r="D176" s="587"/>
      <c r="E176" s="587"/>
      <c r="F176" s="587"/>
      <c r="G176" s="587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</row>
    <row r="177">
      <c r="A177" s="280"/>
      <c r="B177" s="280"/>
      <c r="C177" s="280"/>
      <c r="D177" s="587"/>
      <c r="E177" s="587"/>
      <c r="F177" s="587"/>
      <c r="G177" s="587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</row>
    <row r="178">
      <c r="A178" s="280"/>
      <c r="B178" s="280"/>
      <c r="C178" s="280"/>
      <c r="D178" s="587"/>
      <c r="E178" s="587"/>
      <c r="F178" s="587"/>
      <c r="G178" s="587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</row>
    <row r="179">
      <c r="A179" s="280"/>
      <c r="B179" s="280"/>
      <c r="C179" s="280"/>
      <c r="D179" s="587"/>
      <c r="E179" s="587"/>
      <c r="F179" s="587"/>
      <c r="G179" s="587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</row>
    <row r="180">
      <c r="A180" s="280"/>
      <c r="B180" s="280"/>
      <c r="C180" s="280"/>
      <c r="D180" s="587"/>
      <c r="E180" s="587"/>
      <c r="F180" s="587"/>
      <c r="G180" s="587"/>
      <c r="H180" s="280"/>
      <c r="I180" s="280"/>
      <c r="J180" s="280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</row>
    <row r="181">
      <c r="A181" s="280"/>
      <c r="B181" s="280"/>
      <c r="C181" s="280"/>
      <c r="D181" s="587"/>
      <c r="E181" s="587"/>
      <c r="F181" s="587"/>
      <c r="G181" s="587"/>
      <c r="H181" s="280"/>
      <c r="I181" s="280"/>
      <c r="J181" s="280"/>
      <c r="K181" s="280"/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</row>
    <row r="182">
      <c r="A182" s="280"/>
      <c r="B182" s="280"/>
      <c r="C182" s="280"/>
      <c r="D182" s="587"/>
      <c r="E182" s="587"/>
      <c r="F182" s="587"/>
      <c r="G182" s="587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</row>
    <row r="183">
      <c r="A183" s="280"/>
      <c r="B183" s="280"/>
      <c r="C183" s="280"/>
      <c r="D183" s="587"/>
      <c r="E183" s="587"/>
      <c r="F183" s="587"/>
      <c r="G183" s="587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</row>
    <row r="184">
      <c r="A184" s="280"/>
      <c r="B184" s="280"/>
      <c r="C184" s="280"/>
      <c r="D184" s="587"/>
      <c r="E184" s="587"/>
      <c r="F184" s="587"/>
      <c r="G184" s="587"/>
      <c r="H184" s="280"/>
      <c r="I184" s="280"/>
      <c r="J184" s="280"/>
      <c r="K184" s="280"/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</row>
    <row r="185">
      <c r="A185" s="280"/>
      <c r="B185" s="280"/>
      <c r="C185" s="280"/>
      <c r="D185" s="587"/>
      <c r="E185" s="587"/>
      <c r="F185" s="587"/>
      <c r="G185" s="587"/>
      <c r="H185" s="280"/>
      <c r="I185" s="280"/>
      <c r="J185" s="280"/>
      <c r="K185" s="280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</row>
    <row r="186">
      <c r="A186" s="280"/>
      <c r="B186" s="280"/>
      <c r="C186" s="280"/>
      <c r="D186" s="587"/>
      <c r="E186" s="587"/>
      <c r="F186" s="587"/>
      <c r="G186" s="587"/>
      <c r="H186" s="280"/>
      <c r="I186" s="280"/>
      <c r="J186" s="280"/>
      <c r="K186" s="280"/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</row>
    <row r="187">
      <c r="A187" s="280"/>
      <c r="B187" s="280"/>
      <c r="C187" s="280"/>
      <c r="D187" s="587"/>
      <c r="E187" s="587"/>
      <c r="F187" s="587"/>
      <c r="G187" s="587"/>
      <c r="H187" s="280"/>
      <c r="I187" s="280"/>
      <c r="J187" s="280"/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</row>
    <row r="188">
      <c r="A188" s="280"/>
      <c r="B188" s="280"/>
      <c r="C188" s="280"/>
      <c r="D188" s="587"/>
      <c r="E188" s="587"/>
      <c r="F188" s="587"/>
      <c r="G188" s="587"/>
      <c r="H188" s="280"/>
      <c r="I188" s="280"/>
      <c r="J188" s="280"/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</row>
    <row r="189">
      <c r="A189" s="280"/>
      <c r="B189" s="280"/>
      <c r="C189" s="280"/>
      <c r="D189" s="587"/>
      <c r="E189" s="587"/>
      <c r="F189" s="587"/>
      <c r="G189" s="587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</row>
    <row r="190">
      <c r="A190" s="280"/>
      <c r="B190" s="280"/>
      <c r="C190" s="280"/>
      <c r="D190" s="587"/>
      <c r="E190" s="587"/>
      <c r="F190" s="587"/>
      <c r="G190" s="587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</row>
    <row r="191">
      <c r="A191" s="280"/>
      <c r="B191" s="280"/>
      <c r="C191" s="280"/>
      <c r="D191" s="587"/>
      <c r="E191" s="587"/>
      <c r="F191" s="587"/>
      <c r="G191" s="587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</row>
    <row r="192">
      <c r="A192" s="280"/>
      <c r="B192" s="280"/>
      <c r="C192" s="280"/>
      <c r="D192" s="587"/>
      <c r="E192" s="587"/>
      <c r="F192" s="587"/>
      <c r="G192" s="587"/>
      <c r="H192" s="280"/>
      <c r="I192" s="280"/>
      <c r="J192" s="280"/>
      <c r="K192" s="280"/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</row>
    <row r="193">
      <c r="A193" s="280"/>
      <c r="B193" s="280"/>
      <c r="C193" s="280"/>
      <c r="D193" s="587"/>
      <c r="E193" s="587"/>
      <c r="F193" s="587"/>
      <c r="G193" s="587"/>
      <c r="H193" s="280"/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</row>
    <row r="194">
      <c r="A194" s="280"/>
      <c r="B194" s="280"/>
      <c r="C194" s="280"/>
      <c r="D194" s="587"/>
      <c r="E194" s="587"/>
      <c r="F194" s="587"/>
      <c r="G194" s="587"/>
      <c r="H194" s="280"/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</row>
    <row r="195">
      <c r="A195" s="280"/>
      <c r="B195" s="280"/>
      <c r="C195" s="280"/>
      <c r="D195" s="587"/>
      <c r="E195" s="587"/>
      <c r="F195" s="587"/>
      <c r="G195" s="587"/>
      <c r="H195" s="280"/>
      <c r="I195" s="280"/>
      <c r="J195" s="280"/>
      <c r="K195" s="280"/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</row>
    <row r="196">
      <c r="A196" s="280"/>
      <c r="B196" s="280"/>
      <c r="C196" s="280"/>
      <c r="D196" s="587"/>
      <c r="E196" s="587"/>
      <c r="F196" s="587"/>
      <c r="G196" s="587"/>
      <c r="H196" s="280"/>
      <c r="I196" s="280"/>
      <c r="J196" s="280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</row>
    <row r="197">
      <c r="A197" s="280"/>
      <c r="B197" s="280"/>
      <c r="C197" s="280"/>
      <c r="D197" s="587"/>
      <c r="E197" s="587"/>
      <c r="F197" s="587"/>
      <c r="G197" s="587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</row>
    <row r="198">
      <c r="A198" s="280"/>
      <c r="B198" s="280"/>
      <c r="C198" s="280"/>
      <c r="D198" s="587"/>
      <c r="E198" s="587"/>
      <c r="F198" s="587"/>
      <c r="G198" s="587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</row>
    <row r="199">
      <c r="A199" s="280"/>
      <c r="B199" s="280"/>
      <c r="C199" s="280"/>
      <c r="D199" s="587"/>
      <c r="E199" s="587"/>
      <c r="F199" s="587"/>
      <c r="G199" s="587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</row>
    <row r="200">
      <c r="A200" s="280"/>
      <c r="B200" s="280"/>
      <c r="C200" s="280"/>
      <c r="D200" s="587"/>
      <c r="E200" s="587"/>
      <c r="F200" s="587"/>
      <c r="G200" s="587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</row>
    <row r="201">
      <c r="A201" s="280"/>
      <c r="B201" s="280"/>
      <c r="C201" s="280"/>
      <c r="D201" s="587"/>
      <c r="E201" s="587"/>
      <c r="F201" s="587"/>
      <c r="G201" s="587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</row>
    <row r="202">
      <c r="A202" s="280"/>
      <c r="B202" s="280"/>
      <c r="C202" s="280"/>
      <c r="D202" s="587"/>
      <c r="E202" s="587"/>
      <c r="F202" s="587"/>
      <c r="G202" s="587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</row>
    <row r="203">
      <c r="A203" s="280"/>
      <c r="B203" s="280"/>
      <c r="C203" s="280"/>
      <c r="D203" s="587"/>
      <c r="E203" s="587"/>
      <c r="F203" s="587"/>
      <c r="G203" s="587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</row>
    <row r="204">
      <c r="A204" s="280"/>
      <c r="B204" s="280"/>
      <c r="C204" s="280"/>
      <c r="D204" s="587"/>
      <c r="E204" s="587"/>
      <c r="F204" s="587"/>
      <c r="G204" s="587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</row>
    <row r="205">
      <c r="A205" s="280"/>
      <c r="B205" s="280"/>
      <c r="C205" s="280"/>
      <c r="D205" s="587"/>
      <c r="E205" s="587"/>
      <c r="F205" s="587"/>
      <c r="G205" s="587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</row>
    <row r="206">
      <c r="A206" s="280"/>
      <c r="B206" s="280"/>
      <c r="C206" s="280"/>
      <c r="D206" s="587"/>
      <c r="E206" s="587"/>
      <c r="F206" s="587"/>
      <c r="G206" s="587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</row>
    <row r="207">
      <c r="A207" s="280"/>
      <c r="B207" s="280"/>
      <c r="C207" s="280"/>
      <c r="D207" s="587"/>
      <c r="E207" s="587"/>
      <c r="F207" s="587"/>
      <c r="G207" s="587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</row>
    <row r="208">
      <c r="A208" s="280"/>
      <c r="B208" s="280"/>
      <c r="C208" s="280"/>
      <c r="D208" s="587"/>
      <c r="E208" s="587"/>
      <c r="F208" s="587"/>
      <c r="G208" s="587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</row>
    <row r="209">
      <c r="A209" s="280"/>
      <c r="B209" s="280"/>
      <c r="C209" s="280"/>
      <c r="D209" s="587"/>
      <c r="E209" s="587"/>
      <c r="F209" s="587"/>
      <c r="G209" s="587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</row>
    <row r="210">
      <c r="A210" s="280"/>
      <c r="B210" s="280"/>
      <c r="C210" s="280"/>
      <c r="D210" s="587"/>
      <c r="E210" s="587"/>
      <c r="F210" s="587"/>
      <c r="G210" s="587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</row>
    <row r="211">
      <c r="A211" s="280"/>
      <c r="B211" s="280"/>
      <c r="C211" s="280"/>
      <c r="D211" s="587"/>
      <c r="E211" s="587"/>
      <c r="F211" s="587"/>
      <c r="G211" s="587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</row>
    <row r="212">
      <c r="A212" s="280"/>
      <c r="B212" s="280"/>
      <c r="C212" s="280"/>
      <c r="D212" s="587"/>
      <c r="E212" s="587"/>
      <c r="F212" s="587"/>
      <c r="G212" s="587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</row>
    <row r="213">
      <c r="A213" s="280"/>
      <c r="B213" s="280"/>
      <c r="C213" s="280"/>
      <c r="D213" s="587"/>
      <c r="E213" s="587"/>
      <c r="F213" s="587"/>
      <c r="G213" s="587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</row>
    <row r="214">
      <c r="A214" s="280"/>
      <c r="B214" s="280"/>
      <c r="C214" s="280"/>
      <c r="D214" s="587"/>
      <c r="E214" s="587"/>
      <c r="F214" s="587"/>
      <c r="G214" s="587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</row>
    <row r="215">
      <c r="A215" s="280"/>
      <c r="B215" s="280"/>
      <c r="C215" s="280"/>
      <c r="D215" s="587"/>
      <c r="E215" s="587"/>
      <c r="F215" s="587"/>
      <c r="G215" s="587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</row>
    <row r="216">
      <c r="A216" s="280"/>
      <c r="B216" s="280"/>
      <c r="C216" s="280"/>
      <c r="D216" s="587"/>
      <c r="E216" s="587"/>
      <c r="F216" s="587"/>
      <c r="G216" s="587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</row>
    <row r="217">
      <c r="A217" s="280"/>
      <c r="B217" s="280"/>
      <c r="C217" s="280"/>
      <c r="D217" s="587"/>
      <c r="E217" s="587"/>
      <c r="F217" s="587"/>
      <c r="G217" s="587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</row>
    <row r="218">
      <c r="A218" s="280"/>
      <c r="B218" s="280"/>
      <c r="C218" s="280"/>
      <c r="D218" s="587"/>
      <c r="E218" s="587"/>
      <c r="F218" s="587"/>
      <c r="G218" s="587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</row>
    <row r="219">
      <c r="A219" s="280"/>
      <c r="B219" s="280"/>
      <c r="C219" s="280"/>
      <c r="D219" s="587"/>
      <c r="E219" s="587"/>
      <c r="F219" s="587"/>
      <c r="G219" s="587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</row>
    <row r="220">
      <c r="A220" s="280"/>
      <c r="B220" s="280"/>
      <c r="C220" s="280"/>
      <c r="D220" s="587"/>
      <c r="E220" s="587"/>
      <c r="F220" s="587"/>
      <c r="G220" s="587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</row>
    <row r="221">
      <c r="A221" s="280"/>
      <c r="B221" s="280"/>
      <c r="C221" s="280"/>
      <c r="D221" s="587"/>
      <c r="E221" s="587"/>
      <c r="F221" s="587"/>
      <c r="G221" s="587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</row>
    <row r="222">
      <c r="A222" s="280"/>
      <c r="B222" s="280"/>
      <c r="C222" s="280"/>
      <c r="D222" s="587"/>
      <c r="E222" s="587"/>
      <c r="F222" s="587"/>
      <c r="G222" s="587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</row>
    <row r="223">
      <c r="A223" s="280"/>
      <c r="B223" s="280"/>
      <c r="C223" s="280"/>
      <c r="D223" s="587"/>
      <c r="E223" s="587"/>
      <c r="F223" s="587"/>
      <c r="G223" s="587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</row>
    <row r="224">
      <c r="A224" s="280"/>
      <c r="B224" s="280"/>
      <c r="C224" s="280"/>
      <c r="D224" s="587"/>
      <c r="E224" s="587"/>
      <c r="F224" s="587"/>
      <c r="G224" s="587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</row>
    <row r="225">
      <c r="A225" s="280"/>
      <c r="B225" s="280"/>
      <c r="C225" s="280"/>
      <c r="D225" s="587"/>
      <c r="E225" s="587"/>
      <c r="F225" s="587"/>
      <c r="G225" s="587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</row>
    <row r="226">
      <c r="A226" s="280"/>
      <c r="B226" s="280"/>
      <c r="C226" s="280"/>
      <c r="D226" s="587"/>
      <c r="E226" s="587"/>
      <c r="F226" s="587"/>
      <c r="G226" s="587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</row>
    <row r="227">
      <c r="A227" s="280"/>
      <c r="B227" s="280"/>
      <c r="C227" s="280"/>
      <c r="D227" s="587"/>
      <c r="E227" s="587"/>
      <c r="F227" s="587"/>
      <c r="G227" s="587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</row>
    <row r="228">
      <c r="A228" s="280"/>
      <c r="B228" s="280"/>
      <c r="C228" s="280"/>
      <c r="D228" s="587"/>
      <c r="E228" s="587"/>
      <c r="F228" s="587"/>
      <c r="G228" s="587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</row>
    <row r="229">
      <c r="A229" s="280"/>
      <c r="B229" s="280"/>
      <c r="C229" s="280"/>
      <c r="D229" s="587"/>
      <c r="E229" s="587"/>
      <c r="F229" s="587"/>
      <c r="G229" s="587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</row>
    <row r="230">
      <c r="A230" s="280"/>
      <c r="B230" s="280"/>
      <c r="C230" s="280"/>
      <c r="D230" s="587"/>
      <c r="E230" s="587"/>
      <c r="F230" s="587"/>
      <c r="G230" s="587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</row>
    <row r="231">
      <c r="A231" s="280"/>
      <c r="B231" s="280"/>
      <c r="C231" s="280"/>
      <c r="D231" s="587"/>
      <c r="E231" s="587"/>
      <c r="F231" s="587"/>
      <c r="G231" s="587"/>
      <c r="H231" s="280"/>
      <c r="I231" s="280"/>
      <c r="J231" s="280"/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</row>
    <row r="232">
      <c r="A232" s="280"/>
      <c r="B232" s="280"/>
      <c r="C232" s="280"/>
      <c r="D232" s="587"/>
      <c r="E232" s="587"/>
      <c r="F232" s="587"/>
      <c r="G232" s="587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</row>
    <row r="233">
      <c r="A233" s="280"/>
      <c r="B233" s="280"/>
      <c r="C233" s="280"/>
      <c r="D233" s="587"/>
      <c r="E233" s="587"/>
      <c r="F233" s="587"/>
      <c r="G233" s="587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</row>
    <row r="234">
      <c r="A234" s="280"/>
      <c r="B234" s="280"/>
      <c r="C234" s="280"/>
      <c r="D234" s="587"/>
      <c r="E234" s="587"/>
      <c r="F234" s="587"/>
      <c r="G234" s="587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</row>
    <row r="235">
      <c r="A235" s="280"/>
      <c r="B235" s="280"/>
      <c r="C235" s="280"/>
      <c r="D235" s="587"/>
      <c r="E235" s="587"/>
      <c r="F235" s="587"/>
      <c r="G235" s="587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</row>
    <row r="236">
      <c r="A236" s="280"/>
      <c r="B236" s="280"/>
      <c r="C236" s="280"/>
      <c r="D236" s="587"/>
      <c r="E236" s="587"/>
      <c r="F236" s="587"/>
      <c r="G236" s="587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</row>
    <row r="237">
      <c r="A237" s="280"/>
      <c r="B237" s="280"/>
      <c r="C237" s="280"/>
      <c r="D237" s="587"/>
      <c r="E237" s="587"/>
      <c r="F237" s="587"/>
      <c r="G237" s="587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</row>
    <row r="238">
      <c r="A238" s="280"/>
      <c r="B238" s="280"/>
      <c r="C238" s="280"/>
      <c r="D238" s="587"/>
      <c r="E238" s="587"/>
      <c r="F238" s="587"/>
      <c r="G238" s="587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</row>
    <row r="239">
      <c r="A239" s="280"/>
      <c r="B239" s="280"/>
      <c r="C239" s="280"/>
      <c r="D239" s="587"/>
      <c r="E239" s="587"/>
      <c r="F239" s="587"/>
      <c r="G239" s="587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</row>
    <row r="240">
      <c r="A240" s="280"/>
      <c r="B240" s="280"/>
      <c r="C240" s="280"/>
      <c r="D240" s="587"/>
      <c r="E240" s="587"/>
      <c r="F240" s="587"/>
      <c r="G240" s="587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</row>
    <row r="241">
      <c r="A241" s="280"/>
      <c r="B241" s="280"/>
      <c r="C241" s="280"/>
      <c r="D241" s="587"/>
      <c r="E241" s="587"/>
      <c r="F241" s="587"/>
      <c r="G241" s="587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</row>
    <row r="242">
      <c r="A242" s="280"/>
      <c r="B242" s="280"/>
      <c r="C242" s="280"/>
      <c r="D242" s="587"/>
      <c r="E242" s="587"/>
      <c r="F242" s="587"/>
      <c r="G242" s="587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</row>
    <row r="243">
      <c r="A243" s="280"/>
      <c r="B243" s="280"/>
      <c r="C243" s="280"/>
      <c r="D243" s="587"/>
      <c r="E243" s="587"/>
      <c r="F243" s="587"/>
      <c r="G243" s="587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</row>
    <row r="244">
      <c r="A244" s="280"/>
      <c r="B244" s="280"/>
      <c r="C244" s="280"/>
      <c r="D244" s="587"/>
      <c r="E244" s="587"/>
      <c r="F244" s="587"/>
      <c r="G244" s="587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</row>
    <row r="245">
      <c r="A245" s="280"/>
      <c r="B245" s="280"/>
      <c r="C245" s="280"/>
      <c r="D245" s="587"/>
      <c r="E245" s="587"/>
      <c r="F245" s="587"/>
      <c r="G245" s="587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</row>
    <row r="246">
      <c r="A246" s="280"/>
      <c r="B246" s="280"/>
      <c r="C246" s="280"/>
      <c r="D246" s="587"/>
      <c r="E246" s="587"/>
      <c r="F246" s="587"/>
      <c r="G246" s="587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</row>
    <row r="247">
      <c r="A247" s="280"/>
      <c r="B247" s="280"/>
      <c r="C247" s="280"/>
      <c r="D247" s="587"/>
      <c r="E247" s="587"/>
      <c r="F247" s="587"/>
      <c r="G247" s="587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</row>
    <row r="248">
      <c r="A248" s="280"/>
      <c r="B248" s="280"/>
      <c r="C248" s="280"/>
      <c r="D248" s="587"/>
      <c r="E248" s="587"/>
      <c r="F248" s="587"/>
      <c r="G248" s="587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</row>
    <row r="249">
      <c r="A249" s="280"/>
      <c r="B249" s="280"/>
      <c r="C249" s="280"/>
      <c r="D249" s="587"/>
      <c r="E249" s="587"/>
      <c r="F249" s="587"/>
      <c r="G249" s="587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</row>
    <row r="250">
      <c r="A250" s="280"/>
      <c r="B250" s="280"/>
      <c r="C250" s="280"/>
      <c r="D250" s="587"/>
      <c r="E250" s="587"/>
      <c r="F250" s="587"/>
      <c r="G250" s="587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</row>
    <row r="251">
      <c r="A251" s="280"/>
      <c r="B251" s="280"/>
      <c r="C251" s="280"/>
      <c r="D251" s="587"/>
      <c r="E251" s="587"/>
      <c r="F251" s="587"/>
      <c r="G251" s="587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</row>
    <row r="252">
      <c r="A252" s="280"/>
      <c r="B252" s="280"/>
      <c r="C252" s="280"/>
      <c r="D252" s="587"/>
      <c r="E252" s="587"/>
      <c r="F252" s="587"/>
      <c r="G252" s="587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</row>
    <row r="253">
      <c r="A253" s="280"/>
      <c r="B253" s="280"/>
      <c r="C253" s="280"/>
      <c r="D253" s="587"/>
      <c r="E253" s="587"/>
      <c r="F253" s="587"/>
      <c r="G253" s="587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</row>
    <row r="254">
      <c r="A254" s="280"/>
      <c r="B254" s="280"/>
      <c r="C254" s="280"/>
      <c r="D254" s="587"/>
      <c r="E254" s="587"/>
      <c r="F254" s="587"/>
      <c r="G254" s="587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</row>
    <row r="255">
      <c r="A255" s="280"/>
      <c r="B255" s="280"/>
      <c r="C255" s="280"/>
      <c r="D255" s="587"/>
      <c r="E255" s="587"/>
      <c r="F255" s="587"/>
      <c r="G255" s="587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</row>
    <row r="256">
      <c r="A256" s="280"/>
      <c r="B256" s="280"/>
      <c r="C256" s="280"/>
      <c r="D256" s="587"/>
      <c r="E256" s="587"/>
      <c r="F256" s="587"/>
      <c r="G256" s="587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</row>
    <row r="257">
      <c r="A257" s="280"/>
      <c r="B257" s="280"/>
      <c r="C257" s="280"/>
      <c r="D257" s="587"/>
      <c r="E257" s="587"/>
      <c r="F257" s="587"/>
      <c r="G257" s="587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</row>
    <row r="258">
      <c r="A258" s="280"/>
      <c r="B258" s="280"/>
      <c r="C258" s="280"/>
      <c r="D258" s="587"/>
      <c r="E258" s="587"/>
      <c r="F258" s="587"/>
      <c r="G258" s="587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</row>
    <row r="259">
      <c r="A259" s="280"/>
      <c r="B259" s="280"/>
      <c r="C259" s="280"/>
      <c r="D259" s="587"/>
      <c r="E259" s="587"/>
      <c r="F259" s="587"/>
      <c r="G259" s="587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</row>
    <row r="260">
      <c r="A260" s="280"/>
      <c r="B260" s="280"/>
      <c r="C260" s="280"/>
      <c r="D260" s="587"/>
      <c r="E260" s="587"/>
      <c r="F260" s="587"/>
      <c r="G260" s="587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</row>
    <row r="261">
      <c r="A261" s="280"/>
      <c r="B261" s="280"/>
      <c r="C261" s="280"/>
      <c r="D261" s="587"/>
      <c r="E261" s="587"/>
      <c r="F261" s="587"/>
      <c r="G261" s="587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</row>
    <row r="262">
      <c r="A262" s="280"/>
      <c r="B262" s="280"/>
      <c r="C262" s="280"/>
      <c r="D262" s="587"/>
      <c r="E262" s="587"/>
      <c r="F262" s="587"/>
      <c r="G262" s="587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</row>
    <row r="263">
      <c r="A263" s="280"/>
      <c r="B263" s="280"/>
      <c r="C263" s="280"/>
      <c r="D263" s="587"/>
      <c r="E263" s="587"/>
      <c r="F263" s="587"/>
      <c r="G263" s="587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</row>
    <row r="264">
      <c r="A264" s="280"/>
      <c r="B264" s="280"/>
      <c r="C264" s="280"/>
      <c r="D264" s="587"/>
      <c r="E264" s="587"/>
      <c r="F264" s="587"/>
      <c r="G264" s="587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</row>
    <row r="265">
      <c r="A265" s="280"/>
      <c r="B265" s="280"/>
      <c r="C265" s="280"/>
      <c r="D265" s="587"/>
      <c r="E265" s="587"/>
      <c r="F265" s="587"/>
      <c r="G265" s="587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</row>
    <row r="266">
      <c r="A266" s="280"/>
      <c r="B266" s="280"/>
      <c r="C266" s="280"/>
      <c r="D266" s="587"/>
      <c r="E266" s="587"/>
      <c r="F266" s="587"/>
      <c r="G266" s="587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</row>
    <row r="267">
      <c r="A267" s="280"/>
      <c r="B267" s="280"/>
      <c r="C267" s="280"/>
      <c r="D267" s="587"/>
      <c r="E267" s="587"/>
      <c r="F267" s="587"/>
      <c r="G267" s="587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</row>
    <row r="268">
      <c r="A268" s="280"/>
      <c r="B268" s="280"/>
      <c r="C268" s="280"/>
      <c r="D268" s="587"/>
      <c r="E268" s="587"/>
      <c r="F268" s="587"/>
      <c r="G268" s="587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</row>
    <row r="269">
      <c r="A269" s="280"/>
      <c r="B269" s="280"/>
      <c r="C269" s="280"/>
      <c r="D269" s="587"/>
      <c r="E269" s="587"/>
      <c r="F269" s="587"/>
      <c r="G269" s="587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</row>
    <row r="270">
      <c r="A270" s="280"/>
      <c r="B270" s="280"/>
      <c r="C270" s="280"/>
      <c r="D270" s="587"/>
      <c r="E270" s="587"/>
      <c r="F270" s="587"/>
      <c r="G270" s="587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</row>
    <row r="271">
      <c r="A271" s="280"/>
      <c r="B271" s="280"/>
      <c r="C271" s="280"/>
      <c r="D271" s="587"/>
      <c r="E271" s="587"/>
      <c r="F271" s="587"/>
      <c r="G271" s="587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</row>
    <row r="272">
      <c r="A272" s="280"/>
      <c r="B272" s="280"/>
      <c r="C272" s="280"/>
      <c r="D272" s="587"/>
      <c r="E272" s="587"/>
      <c r="F272" s="587"/>
      <c r="G272" s="587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</row>
    <row r="273">
      <c r="A273" s="280"/>
      <c r="B273" s="280"/>
      <c r="C273" s="280"/>
      <c r="D273" s="587"/>
      <c r="E273" s="587"/>
      <c r="F273" s="587"/>
      <c r="G273" s="587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</row>
    <row r="274">
      <c r="A274" s="280"/>
      <c r="B274" s="280"/>
      <c r="C274" s="280"/>
      <c r="D274" s="587"/>
      <c r="E274" s="587"/>
      <c r="F274" s="587"/>
      <c r="G274" s="587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</row>
    <row r="275">
      <c r="A275" s="280"/>
      <c r="B275" s="280"/>
      <c r="C275" s="280"/>
      <c r="D275" s="587"/>
      <c r="E275" s="587"/>
      <c r="F275" s="587"/>
      <c r="G275" s="587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</row>
    <row r="276">
      <c r="A276" s="280"/>
      <c r="B276" s="280"/>
      <c r="C276" s="280"/>
      <c r="D276" s="587"/>
      <c r="E276" s="587"/>
      <c r="F276" s="587"/>
      <c r="G276" s="587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</row>
    <row r="277">
      <c r="A277" s="280"/>
      <c r="B277" s="280"/>
      <c r="C277" s="280"/>
      <c r="D277" s="587"/>
      <c r="E277" s="587"/>
      <c r="F277" s="587"/>
      <c r="G277" s="587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</row>
    <row r="278">
      <c r="A278" s="280"/>
      <c r="B278" s="280"/>
      <c r="C278" s="280"/>
      <c r="D278" s="587"/>
      <c r="E278" s="587"/>
      <c r="F278" s="587"/>
      <c r="G278" s="587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</row>
    <row r="279">
      <c r="A279" s="280"/>
      <c r="B279" s="280"/>
      <c r="C279" s="280"/>
      <c r="D279" s="587"/>
      <c r="E279" s="587"/>
      <c r="F279" s="587"/>
      <c r="G279" s="587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</row>
    <row r="280">
      <c r="A280" s="280"/>
      <c r="B280" s="280"/>
      <c r="C280" s="280"/>
      <c r="D280" s="587"/>
      <c r="E280" s="587"/>
      <c r="F280" s="587"/>
      <c r="G280" s="587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</row>
    <row r="281">
      <c r="A281" s="280"/>
      <c r="B281" s="280"/>
      <c r="C281" s="280"/>
      <c r="D281" s="587"/>
      <c r="E281" s="587"/>
      <c r="F281" s="587"/>
      <c r="G281" s="587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</row>
    <row r="282">
      <c r="A282" s="280"/>
      <c r="B282" s="280"/>
      <c r="C282" s="280"/>
      <c r="D282" s="587"/>
      <c r="E282" s="587"/>
      <c r="F282" s="587"/>
      <c r="G282" s="587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</row>
    <row r="283">
      <c r="A283" s="280"/>
      <c r="B283" s="280"/>
      <c r="C283" s="280"/>
      <c r="D283" s="587"/>
      <c r="E283" s="587"/>
      <c r="F283" s="587"/>
      <c r="G283" s="587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</row>
    <row r="284">
      <c r="A284" s="280"/>
      <c r="B284" s="280"/>
      <c r="C284" s="280"/>
      <c r="D284" s="587"/>
      <c r="E284" s="587"/>
      <c r="F284" s="587"/>
      <c r="G284" s="587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</row>
    <row r="285">
      <c r="A285" s="280"/>
      <c r="B285" s="280"/>
      <c r="C285" s="280"/>
      <c r="D285" s="587"/>
      <c r="E285" s="587"/>
      <c r="F285" s="587"/>
      <c r="G285" s="587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</row>
    <row r="286">
      <c r="A286" s="280"/>
      <c r="B286" s="280"/>
      <c r="C286" s="280"/>
      <c r="D286" s="587"/>
      <c r="E286" s="587"/>
      <c r="F286" s="587"/>
      <c r="G286" s="587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</row>
    <row r="287">
      <c r="A287" s="280"/>
      <c r="B287" s="280"/>
      <c r="C287" s="280"/>
      <c r="D287" s="587"/>
      <c r="E287" s="587"/>
      <c r="F287" s="587"/>
      <c r="G287" s="587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</row>
    <row r="288">
      <c r="A288" s="280"/>
      <c r="B288" s="280"/>
      <c r="C288" s="280"/>
      <c r="D288" s="587"/>
      <c r="E288" s="587"/>
      <c r="F288" s="587"/>
      <c r="G288" s="587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</row>
    <row r="289">
      <c r="A289" s="280"/>
      <c r="B289" s="280"/>
      <c r="C289" s="280"/>
      <c r="D289" s="587"/>
      <c r="E289" s="587"/>
      <c r="F289" s="587"/>
      <c r="G289" s="587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</row>
    <row r="290">
      <c r="A290" s="280"/>
      <c r="B290" s="280"/>
      <c r="C290" s="280"/>
      <c r="D290" s="587"/>
      <c r="E290" s="587"/>
      <c r="F290" s="587"/>
      <c r="G290" s="587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</row>
    <row r="291">
      <c r="A291" s="280"/>
      <c r="B291" s="280"/>
      <c r="C291" s="280"/>
      <c r="D291" s="587"/>
      <c r="E291" s="587"/>
      <c r="F291" s="587"/>
      <c r="G291" s="587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</row>
    <row r="292">
      <c r="A292" s="280"/>
      <c r="B292" s="280"/>
      <c r="C292" s="280"/>
      <c r="D292" s="587"/>
      <c r="E292" s="587"/>
      <c r="F292" s="587"/>
      <c r="G292" s="587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</row>
    <row r="293">
      <c r="A293" s="280"/>
      <c r="B293" s="280"/>
      <c r="C293" s="280"/>
      <c r="D293" s="587"/>
      <c r="E293" s="587"/>
      <c r="F293" s="587"/>
      <c r="G293" s="587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</row>
    <row r="294">
      <c r="A294" s="280"/>
      <c r="B294" s="280"/>
      <c r="C294" s="280"/>
      <c r="D294" s="587"/>
      <c r="E294" s="587"/>
      <c r="F294" s="587"/>
      <c r="G294" s="587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</row>
    <row r="295">
      <c r="A295" s="280"/>
      <c r="B295" s="280"/>
      <c r="C295" s="280"/>
      <c r="D295" s="587"/>
      <c r="E295" s="587"/>
      <c r="F295" s="587"/>
      <c r="G295" s="587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</row>
    <row r="296">
      <c r="A296" s="280"/>
      <c r="B296" s="280"/>
      <c r="C296" s="280"/>
      <c r="D296" s="587"/>
      <c r="E296" s="587"/>
      <c r="F296" s="587"/>
      <c r="G296" s="587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</row>
    <row r="297">
      <c r="A297" s="280"/>
      <c r="B297" s="280"/>
      <c r="C297" s="280"/>
      <c r="D297" s="587"/>
      <c r="E297" s="587"/>
      <c r="F297" s="587"/>
      <c r="G297" s="587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</row>
    <row r="298">
      <c r="A298" s="280"/>
      <c r="B298" s="280"/>
      <c r="C298" s="280"/>
      <c r="D298" s="587"/>
      <c r="E298" s="587"/>
      <c r="F298" s="587"/>
      <c r="G298" s="587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</row>
    <row r="299">
      <c r="A299" s="280"/>
      <c r="B299" s="280"/>
      <c r="C299" s="280"/>
      <c r="D299" s="587"/>
      <c r="E299" s="587"/>
      <c r="F299" s="587"/>
      <c r="G299" s="587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</row>
    <row r="300">
      <c r="A300" s="280"/>
      <c r="B300" s="280"/>
      <c r="C300" s="280"/>
      <c r="D300" s="587"/>
      <c r="E300" s="587"/>
      <c r="F300" s="587"/>
      <c r="G300" s="587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</row>
    <row r="301">
      <c r="A301" s="280"/>
      <c r="B301" s="280"/>
      <c r="C301" s="280"/>
      <c r="D301" s="587"/>
      <c r="E301" s="587"/>
      <c r="F301" s="587"/>
      <c r="G301" s="587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</row>
    <row r="302">
      <c r="A302" s="280"/>
      <c r="B302" s="280"/>
      <c r="C302" s="280"/>
      <c r="D302" s="587"/>
      <c r="E302" s="587"/>
      <c r="F302" s="587"/>
      <c r="G302" s="587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</row>
    <row r="303">
      <c r="A303" s="280"/>
      <c r="B303" s="280"/>
      <c r="C303" s="280"/>
      <c r="D303" s="587"/>
      <c r="E303" s="587"/>
      <c r="F303" s="587"/>
      <c r="G303" s="587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</row>
    <row r="304">
      <c r="A304" s="280"/>
      <c r="B304" s="280"/>
      <c r="C304" s="280"/>
      <c r="D304" s="587"/>
      <c r="E304" s="587"/>
      <c r="F304" s="587"/>
      <c r="G304" s="587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</row>
    <row r="305">
      <c r="A305" s="280"/>
      <c r="B305" s="280"/>
      <c r="C305" s="280"/>
      <c r="D305" s="587"/>
      <c r="E305" s="587"/>
      <c r="F305" s="587"/>
      <c r="G305" s="587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</row>
    <row r="306">
      <c r="A306" s="280"/>
      <c r="B306" s="280"/>
      <c r="C306" s="280"/>
      <c r="D306" s="587"/>
      <c r="E306" s="587"/>
      <c r="F306" s="587"/>
      <c r="G306" s="587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</row>
    <row r="307">
      <c r="A307" s="280"/>
      <c r="B307" s="280"/>
      <c r="C307" s="280"/>
      <c r="D307" s="587"/>
      <c r="E307" s="587"/>
      <c r="F307" s="587"/>
      <c r="G307" s="587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</row>
    <row r="308">
      <c r="A308" s="280"/>
      <c r="B308" s="280"/>
      <c r="C308" s="280"/>
      <c r="D308" s="587"/>
      <c r="E308" s="587"/>
      <c r="F308" s="587"/>
      <c r="G308" s="587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</row>
    <row r="309">
      <c r="A309" s="280"/>
      <c r="B309" s="280"/>
      <c r="C309" s="280"/>
      <c r="D309" s="587"/>
      <c r="E309" s="587"/>
      <c r="F309" s="587"/>
      <c r="G309" s="587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</row>
    <row r="310">
      <c r="A310" s="280"/>
      <c r="B310" s="280"/>
      <c r="C310" s="280"/>
      <c r="D310" s="587"/>
      <c r="E310" s="587"/>
      <c r="F310" s="587"/>
      <c r="G310" s="587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</row>
    <row r="311">
      <c r="A311" s="280"/>
      <c r="B311" s="280"/>
      <c r="C311" s="280"/>
      <c r="D311" s="587"/>
      <c r="E311" s="587"/>
      <c r="F311" s="587"/>
      <c r="G311" s="587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</row>
    <row r="312">
      <c r="A312" s="280"/>
      <c r="B312" s="280"/>
      <c r="C312" s="280"/>
      <c r="D312" s="587"/>
      <c r="E312" s="587"/>
      <c r="F312" s="587"/>
      <c r="G312" s="587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</row>
    <row r="313">
      <c r="A313" s="280"/>
      <c r="B313" s="280"/>
      <c r="C313" s="280"/>
      <c r="D313" s="587"/>
      <c r="E313" s="587"/>
      <c r="F313" s="587"/>
      <c r="G313" s="587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</row>
    <row r="314">
      <c r="A314" s="280"/>
      <c r="B314" s="280"/>
      <c r="C314" s="280"/>
      <c r="D314" s="587"/>
      <c r="E314" s="587"/>
      <c r="F314" s="587"/>
      <c r="G314" s="587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</row>
    <row r="315">
      <c r="A315" s="280"/>
      <c r="B315" s="280"/>
      <c r="C315" s="280"/>
      <c r="D315" s="587"/>
      <c r="E315" s="587"/>
      <c r="F315" s="587"/>
      <c r="G315" s="587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</row>
    <row r="316">
      <c r="A316" s="280"/>
      <c r="B316" s="280"/>
      <c r="C316" s="280"/>
      <c r="D316" s="587"/>
      <c r="E316" s="587"/>
      <c r="F316" s="587"/>
      <c r="G316" s="587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</row>
    <row r="317">
      <c r="A317" s="280"/>
      <c r="B317" s="280"/>
      <c r="C317" s="280"/>
      <c r="D317" s="587"/>
      <c r="E317" s="587"/>
      <c r="F317" s="587"/>
      <c r="G317" s="587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</row>
    <row r="318">
      <c r="A318" s="280"/>
      <c r="B318" s="280"/>
      <c r="C318" s="280"/>
      <c r="D318" s="587"/>
      <c r="E318" s="587"/>
      <c r="F318" s="587"/>
      <c r="G318" s="587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</row>
    <row r="319">
      <c r="A319" s="280"/>
      <c r="B319" s="280"/>
      <c r="C319" s="280"/>
      <c r="D319" s="587"/>
      <c r="E319" s="587"/>
      <c r="F319" s="587"/>
      <c r="G319" s="587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</row>
    <row r="320">
      <c r="A320" s="280"/>
      <c r="B320" s="280"/>
      <c r="C320" s="280"/>
      <c r="D320" s="587"/>
      <c r="E320" s="587"/>
      <c r="F320" s="587"/>
      <c r="G320" s="587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</row>
    <row r="321">
      <c r="A321" s="280"/>
      <c r="B321" s="280"/>
      <c r="C321" s="280"/>
      <c r="D321" s="587"/>
      <c r="E321" s="587"/>
      <c r="F321" s="587"/>
      <c r="G321" s="587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</row>
    <row r="322">
      <c r="A322" s="280"/>
      <c r="B322" s="280"/>
      <c r="C322" s="280"/>
      <c r="D322" s="587"/>
      <c r="E322" s="587"/>
      <c r="F322" s="587"/>
      <c r="G322" s="587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</row>
    <row r="323">
      <c r="A323" s="280"/>
      <c r="B323" s="280"/>
      <c r="C323" s="280"/>
      <c r="D323" s="587"/>
      <c r="E323" s="587"/>
      <c r="F323" s="587"/>
      <c r="G323" s="587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</row>
    <row r="324">
      <c r="A324" s="280"/>
      <c r="B324" s="280"/>
      <c r="C324" s="280"/>
      <c r="D324" s="587"/>
      <c r="E324" s="587"/>
      <c r="F324" s="587"/>
      <c r="G324" s="587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</row>
    <row r="325">
      <c r="A325" s="280"/>
      <c r="B325" s="280"/>
      <c r="C325" s="280"/>
      <c r="D325" s="587"/>
      <c r="E325" s="587"/>
      <c r="F325" s="587"/>
      <c r="G325" s="587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</row>
    <row r="326">
      <c r="A326" s="280"/>
      <c r="B326" s="280"/>
      <c r="C326" s="280"/>
      <c r="D326" s="587"/>
      <c r="E326" s="587"/>
      <c r="F326" s="587"/>
      <c r="G326" s="587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</row>
    <row r="327">
      <c r="A327" s="280"/>
      <c r="B327" s="280"/>
      <c r="C327" s="280"/>
      <c r="D327" s="587"/>
      <c r="E327" s="587"/>
      <c r="F327" s="587"/>
      <c r="G327" s="587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</row>
    <row r="328">
      <c r="A328" s="280"/>
      <c r="B328" s="280"/>
      <c r="C328" s="280"/>
      <c r="D328" s="587"/>
      <c r="E328" s="587"/>
      <c r="F328" s="587"/>
      <c r="G328" s="587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</row>
    <row r="329">
      <c r="A329" s="280"/>
      <c r="B329" s="280"/>
      <c r="C329" s="280"/>
      <c r="D329" s="587"/>
      <c r="E329" s="587"/>
      <c r="F329" s="587"/>
      <c r="G329" s="587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</row>
    <row r="330">
      <c r="A330" s="280"/>
      <c r="B330" s="280"/>
      <c r="C330" s="280"/>
      <c r="D330" s="587"/>
      <c r="E330" s="587"/>
      <c r="F330" s="587"/>
      <c r="G330" s="587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</row>
    <row r="331">
      <c r="A331" s="280"/>
      <c r="B331" s="280"/>
      <c r="C331" s="280"/>
      <c r="D331" s="587"/>
      <c r="E331" s="587"/>
      <c r="F331" s="587"/>
      <c r="G331" s="587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</row>
    <row r="332">
      <c r="A332" s="280"/>
      <c r="B332" s="280"/>
      <c r="C332" s="280"/>
      <c r="D332" s="587"/>
      <c r="E332" s="587"/>
      <c r="F332" s="587"/>
      <c r="G332" s="587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</row>
    <row r="333">
      <c r="A333" s="280"/>
      <c r="B333" s="280"/>
      <c r="C333" s="280"/>
      <c r="D333" s="587"/>
      <c r="E333" s="587"/>
      <c r="F333" s="587"/>
      <c r="G333" s="587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</row>
    <row r="334">
      <c r="A334" s="280"/>
      <c r="B334" s="280"/>
      <c r="C334" s="280"/>
      <c r="D334" s="587"/>
      <c r="E334" s="587"/>
      <c r="F334" s="587"/>
      <c r="G334" s="587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</row>
    <row r="335">
      <c r="A335" s="280"/>
      <c r="B335" s="280"/>
      <c r="C335" s="280"/>
      <c r="D335" s="587"/>
      <c r="E335" s="587"/>
      <c r="F335" s="587"/>
      <c r="G335" s="587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</row>
    <row r="336">
      <c r="A336" s="280"/>
      <c r="B336" s="280"/>
      <c r="C336" s="280"/>
      <c r="D336" s="587"/>
      <c r="E336" s="587"/>
      <c r="F336" s="587"/>
      <c r="G336" s="587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</row>
    <row r="337">
      <c r="A337" s="280"/>
      <c r="B337" s="280"/>
      <c r="C337" s="280"/>
      <c r="D337" s="587"/>
      <c r="E337" s="587"/>
      <c r="F337" s="587"/>
      <c r="G337" s="587"/>
      <c r="H337" s="280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</row>
    <row r="338">
      <c r="A338" s="280"/>
      <c r="B338" s="280"/>
      <c r="C338" s="280"/>
      <c r="D338" s="587"/>
      <c r="E338" s="587"/>
      <c r="F338" s="587"/>
      <c r="G338" s="587"/>
      <c r="H338" s="280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</row>
    <row r="339">
      <c r="A339" s="280"/>
      <c r="B339" s="280"/>
      <c r="C339" s="280"/>
      <c r="D339" s="587"/>
      <c r="E339" s="587"/>
      <c r="F339" s="587"/>
      <c r="G339" s="587"/>
      <c r="H339" s="280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</row>
    <row r="340">
      <c r="A340" s="280"/>
      <c r="B340" s="280"/>
      <c r="C340" s="280"/>
      <c r="D340" s="587"/>
      <c r="E340" s="587"/>
      <c r="F340" s="587"/>
      <c r="G340" s="587"/>
      <c r="H340" s="280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</row>
    <row r="341">
      <c r="A341" s="280"/>
      <c r="B341" s="280"/>
      <c r="C341" s="280"/>
      <c r="D341" s="587"/>
      <c r="E341" s="587"/>
      <c r="F341" s="587"/>
      <c r="G341" s="587"/>
      <c r="H341" s="280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</row>
    <row r="342">
      <c r="A342" s="280"/>
      <c r="B342" s="280"/>
      <c r="C342" s="280"/>
      <c r="D342" s="587"/>
      <c r="E342" s="587"/>
      <c r="F342" s="587"/>
      <c r="G342" s="587"/>
      <c r="H342" s="280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</row>
    <row r="343">
      <c r="A343" s="280"/>
      <c r="B343" s="280"/>
      <c r="C343" s="280"/>
      <c r="D343" s="587"/>
      <c r="E343" s="587"/>
      <c r="F343" s="587"/>
      <c r="G343" s="587"/>
      <c r="H343" s="280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</row>
    <row r="344">
      <c r="A344" s="280"/>
      <c r="B344" s="280"/>
      <c r="C344" s="280"/>
      <c r="D344" s="587"/>
      <c r="E344" s="587"/>
      <c r="F344" s="587"/>
      <c r="G344" s="587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</row>
    <row r="345">
      <c r="A345" s="280"/>
      <c r="B345" s="280"/>
      <c r="C345" s="280"/>
      <c r="D345" s="587"/>
      <c r="E345" s="587"/>
      <c r="F345" s="587"/>
      <c r="G345" s="587"/>
      <c r="H345" s="280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</row>
    <row r="346">
      <c r="A346" s="280"/>
      <c r="B346" s="280"/>
      <c r="C346" s="280"/>
      <c r="D346" s="587"/>
      <c r="E346" s="587"/>
      <c r="F346" s="587"/>
      <c r="G346" s="587"/>
      <c r="H346" s="280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</row>
    <row r="347">
      <c r="A347" s="280"/>
      <c r="B347" s="280"/>
      <c r="C347" s="280"/>
      <c r="D347" s="587"/>
      <c r="E347" s="587"/>
      <c r="F347" s="587"/>
      <c r="G347" s="587"/>
      <c r="H347" s="280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</row>
    <row r="348">
      <c r="A348" s="280"/>
      <c r="B348" s="280"/>
      <c r="C348" s="280"/>
      <c r="D348" s="587"/>
      <c r="E348" s="587"/>
      <c r="F348" s="587"/>
      <c r="G348" s="587"/>
      <c r="H348" s="280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</row>
    <row r="349">
      <c r="A349" s="280"/>
      <c r="B349" s="280"/>
      <c r="C349" s="280"/>
      <c r="D349" s="587"/>
      <c r="E349" s="587"/>
      <c r="F349" s="587"/>
      <c r="G349" s="587"/>
      <c r="H349" s="280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</row>
    <row r="350">
      <c r="A350" s="280"/>
      <c r="B350" s="280"/>
      <c r="C350" s="280"/>
      <c r="D350" s="587"/>
      <c r="E350" s="587"/>
      <c r="F350" s="587"/>
      <c r="G350" s="587"/>
      <c r="H350" s="280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</row>
    <row r="351">
      <c r="A351" s="280"/>
      <c r="B351" s="280"/>
      <c r="C351" s="280"/>
      <c r="D351" s="587"/>
      <c r="E351" s="587"/>
      <c r="F351" s="587"/>
      <c r="G351" s="587"/>
      <c r="H351" s="280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</row>
    <row r="352">
      <c r="A352" s="280"/>
      <c r="B352" s="280"/>
      <c r="C352" s="280"/>
      <c r="D352" s="587"/>
      <c r="E352" s="587"/>
      <c r="F352" s="587"/>
      <c r="G352" s="587"/>
      <c r="H352" s="280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</row>
    <row r="353">
      <c r="A353" s="280"/>
      <c r="B353" s="280"/>
      <c r="C353" s="280"/>
      <c r="D353" s="587"/>
      <c r="E353" s="587"/>
      <c r="F353" s="587"/>
      <c r="G353" s="587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</row>
    <row r="354">
      <c r="A354" s="280"/>
      <c r="B354" s="280"/>
      <c r="C354" s="280"/>
      <c r="D354" s="587"/>
      <c r="E354" s="587"/>
      <c r="F354" s="587"/>
      <c r="G354" s="587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</row>
    <row r="355">
      <c r="A355" s="280"/>
      <c r="B355" s="280"/>
      <c r="C355" s="280"/>
      <c r="D355" s="587"/>
      <c r="E355" s="587"/>
      <c r="F355" s="587"/>
      <c r="G355" s="587"/>
      <c r="H355" s="280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</row>
    <row r="356">
      <c r="A356" s="280"/>
      <c r="B356" s="280"/>
      <c r="C356" s="280"/>
      <c r="D356" s="587"/>
      <c r="E356" s="587"/>
      <c r="F356" s="587"/>
      <c r="G356" s="587"/>
      <c r="H356" s="280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</row>
    <row r="357">
      <c r="A357" s="280"/>
      <c r="B357" s="280"/>
      <c r="C357" s="280"/>
      <c r="D357" s="587"/>
      <c r="E357" s="587"/>
      <c r="F357" s="587"/>
      <c r="G357" s="587"/>
      <c r="H357" s="280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</row>
    <row r="358">
      <c r="A358" s="280"/>
      <c r="B358" s="280"/>
      <c r="C358" s="280"/>
      <c r="D358" s="587"/>
      <c r="E358" s="587"/>
      <c r="F358" s="587"/>
      <c r="G358" s="587"/>
      <c r="H358" s="280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</row>
    <row r="359">
      <c r="A359" s="280"/>
      <c r="B359" s="280"/>
      <c r="C359" s="280"/>
      <c r="D359" s="587"/>
      <c r="E359" s="587"/>
      <c r="F359" s="587"/>
      <c r="G359" s="587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</row>
    <row r="360">
      <c r="A360" s="280"/>
      <c r="B360" s="280"/>
      <c r="C360" s="280"/>
      <c r="D360" s="587"/>
      <c r="E360" s="587"/>
      <c r="F360" s="587"/>
      <c r="G360" s="587"/>
      <c r="H360" s="280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</row>
    <row r="361">
      <c r="A361" s="280"/>
      <c r="B361" s="280"/>
      <c r="C361" s="280"/>
      <c r="D361" s="587"/>
      <c r="E361" s="587"/>
      <c r="F361" s="587"/>
      <c r="G361" s="587"/>
      <c r="H361" s="280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</row>
    <row r="362">
      <c r="A362" s="280"/>
      <c r="B362" s="280"/>
      <c r="C362" s="280"/>
      <c r="D362" s="587"/>
      <c r="E362" s="587"/>
      <c r="F362" s="587"/>
      <c r="G362" s="587"/>
      <c r="H362" s="280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</row>
    <row r="363">
      <c r="A363" s="280"/>
      <c r="B363" s="280"/>
      <c r="C363" s="280"/>
      <c r="D363" s="587"/>
      <c r="E363" s="587"/>
      <c r="F363" s="587"/>
      <c r="G363" s="587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</row>
    <row r="364">
      <c r="A364" s="280"/>
      <c r="B364" s="280"/>
      <c r="C364" s="280"/>
      <c r="D364" s="587"/>
      <c r="E364" s="587"/>
      <c r="F364" s="587"/>
      <c r="G364" s="587"/>
      <c r="H364" s="280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</row>
    <row r="365">
      <c r="A365" s="280"/>
      <c r="B365" s="280"/>
      <c r="C365" s="280"/>
      <c r="D365" s="587"/>
      <c r="E365" s="587"/>
      <c r="F365" s="587"/>
      <c r="G365" s="587"/>
      <c r="H365" s="280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</row>
    <row r="366">
      <c r="A366" s="280"/>
      <c r="B366" s="280"/>
      <c r="C366" s="280"/>
      <c r="D366" s="587"/>
      <c r="E366" s="587"/>
      <c r="F366" s="587"/>
      <c r="G366" s="587"/>
      <c r="H366" s="280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</row>
    <row r="367">
      <c r="A367" s="280"/>
      <c r="B367" s="280"/>
      <c r="C367" s="280"/>
      <c r="D367" s="587"/>
      <c r="E367" s="587"/>
      <c r="F367" s="587"/>
      <c r="G367" s="587"/>
      <c r="H367" s="280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</row>
    <row r="368">
      <c r="A368" s="280"/>
      <c r="B368" s="280"/>
      <c r="C368" s="280"/>
      <c r="D368" s="587"/>
      <c r="E368" s="587"/>
      <c r="F368" s="587"/>
      <c r="G368" s="587"/>
      <c r="H368" s="280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</row>
    <row r="369">
      <c r="A369" s="280"/>
      <c r="B369" s="280"/>
      <c r="C369" s="280"/>
      <c r="D369" s="587"/>
      <c r="E369" s="587"/>
      <c r="F369" s="587"/>
      <c r="G369" s="587"/>
      <c r="H369" s="280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</row>
    <row r="370">
      <c r="A370" s="280"/>
      <c r="B370" s="280"/>
      <c r="C370" s="280"/>
      <c r="D370" s="587"/>
      <c r="E370" s="587"/>
      <c r="F370" s="587"/>
      <c r="G370" s="587"/>
      <c r="H370" s="280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</row>
    <row r="371">
      <c r="A371" s="280"/>
      <c r="B371" s="280"/>
      <c r="C371" s="280"/>
      <c r="D371" s="587"/>
      <c r="E371" s="587"/>
      <c r="F371" s="587"/>
      <c r="G371" s="587"/>
      <c r="H371" s="280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</row>
    <row r="372">
      <c r="A372" s="280"/>
      <c r="B372" s="280"/>
      <c r="C372" s="280"/>
      <c r="D372" s="587"/>
      <c r="E372" s="587"/>
      <c r="F372" s="587"/>
      <c r="G372" s="587"/>
      <c r="H372" s="280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</row>
    <row r="373">
      <c r="A373" s="280"/>
      <c r="B373" s="280"/>
      <c r="C373" s="280"/>
      <c r="D373" s="587"/>
      <c r="E373" s="587"/>
      <c r="F373" s="587"/>
      <c r="G373" s="587"/>
      <c r="H373" s="280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</row>
    <row r="374">
      <c r="A374" s="280"/>
      <c r="B374" s="280"/>
      <c r="C374" s="280"/>
      <c r="D374" s="587"/>
      <c r="E374" s="587"/>
      <c r="F374" s="587"/>
      <c r="G374" s="587"/>
      <c r="H374" s="280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</row>
    <row r="375">
      <c r="A375" s="280"/>
      <c r="B375" s="280"/>
      <c r="C375" s="280"/>
      <c r="D375" s="587"/>
      <c r="E375" s="587"/>
      <c r="F375" s="587"/>
      <c r="G375" s="587"/>
      <c r="H375" s="280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</row>
    <row r="376">
      <c r="A376" s="280"/>
      <c r="B376" s="280"/>
      <c r="C376" s="280"/>
      <c r="D376" s="587"/>
      <c r="E376" s="587"/>
      <c r="F376" s="587"/>
      <c r="G376" s="587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</row>
    <row r="377">
      <c r="A377" s="280"/>
      <c r="B377" s="280"/>
      <c r="C377" s="280"/>
      <c r="D377" s="587"/>
      <c r="E377" s="587"/>
      <c r="F377" s="587"/>
      <c r="G377" s="587"/>
      <c r="H377" s="280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</row>
    <row r="378">
      <c r="A378" s="280"/>
      <c r="B378" s="280"/>
      <c r="C378" s="280"/>
      <c r="D378" s="587"/>
      <c r="E378" s="587"/>
      <c r="F378" s="587"/>
      <c r="G378" s="587"/>
      <c r="H378" s="280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</row>
    <row r="379">
      <c r="A379" s="280"/>
      <c r="B379" s="280"/>
      <c r="C379" s="280"/>
      <c r="D379" s="587"/>
      <c r="E379" s="587"/>
      <c r="F379" s="587"/>
      <c r="G379" s="587"/>
      <c r="H379" s="280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</row>
    <row r="380">
      <c r="A380" s="280"/>
      <c r="B380" s="280"/>
      <c r="C380" s="280"/>
      <c r="D380" s="587"/>
      <c r="E380" s="587"/>
      <c r="F380" s="587"/>
      <c r="G380" s="587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</row>
    <row r="381">
      <c r="A381" s="280"/>
      <c r="B381" s="280"/>
      <c r="C381" s="280"/>
      <c r="D381" s="587"/>
      <c r="E381" s="587"/>
      <c r="F381" s="587"/>
      <c r="G381" s="587"/>
      <c r="H381" s="280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</row>
    <row r="382">
      <c r="A382" s="280"/>
      <c r="B382" s="280"/>
      <c r="C382" s="280"/>
      <c r="D382" s="587"/>
      <c r="E382" s="587"/>
      <c r="F382" s="587"/>
      <c r="G382" s="587"/>
      <c r="H382" s="280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</row>
    <row r="383">
      <c r="A383" s="280"/>
      <c r="B383" s="280"/>
      <c r="C383" s="280"/>
      <c r="D383" s="587"/>
      <c r="E383" s="587"/>
      <c r="F383" s="587"/>
      <c r="G383" s="587"/>
      <c r="H383" s="280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</row>
    <row r="384">
      <c r="A384" s="280"/>
      <c r="B384" s="280"/>
      <c r="C384" s="280"/>
      <c r="D384" s="587"/>
      <c r="E384" s="587"/>
      <c r="F384" s="587"/>
      <c r="G384" s="587"/>
      <c r="H384" s="280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</row>
    <row r="385">
      <c r="A385" s="280"/>
      <c r="B385" s="280"/>
      <c r="C385" s="280"/>
      <c r="D385" s="587"/>
      <c r="E385" s="587"/>
      <c r="F385" s="587"/>
      <c r="G385" s="587"/>
      <c r="H385" s="280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</row>
    <row r="386">
      <c r="A386" s="280"/>
      <c r="B386" s="280"/>
      <c r="C386" s="280"/>
      <c r="D386" s="587"/>
      <c r="E386" s="587"/>
      <c r="F386" s="587"/>
      <c r="G386" s="587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</row>
    <row r="387">
      <c r="A387" s="280"/>
      <c r="B387" s="280"/>
      <c r="C387" s="280"/>
      <c r="D387" s="587"/>
      <c r="E387" s="587"/>
      <c r="F387" s="587"/>
      <c r="G387" s="587"/>
      <c r="H387" s="280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</row>
    <row r="388">
      <c r="A388" s="280"/>
      <c r="B388" s="280"/>
      <c r="C388" s="280"/>
      <c r="D388" s="587"/>
      <c r="E388" s="587"/>
      <c r="F388" s="587"/>
      <c r="G388" s="587"/>
      <c r="H388" s="280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</row>
    <row r="389">
      <c r="A389" s="280"/>
      <c r="B389" s="280"/>
      <c r="C389" s="280"/>
      <c r="D389" s="587"/>
      <c r="E389" s="587"/>
      <c r="F389" s="587"/>
      <c r="G389" s="587"/>
      <c r="H389" s="280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</row>
    <row r="390">
      <c r="A390" s="280"/>
      <c r="B390" s="280"/>
      <c r="C390" s="280"/>
      <c r="D390" s="587"/>
      <c r="E390" s="587"/>
      <c r="F390" s="587"/>
      <c r="G390" s="587"/>
      <c r="H390" s="280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</row>
    <row r="391">
      <c r="A391" s="280"/>
      <c r="B391" s="280"/>
      <c r="C391" s="280"/>
      <c r="D391" s="587"/>
      <c r="E391" s="587"/>
      <c r="F391" s="587"/>
      <c r="G391" s="587"/>
      <c r="H391" s="280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</row>
    <row r="392">
      <c r="A392" s="280"/>
      <c r="B392" s="280"/>
      <c r="C392" s="280"/>
      <c r="D392" s="587"/>
      <c r="E392" s="587"/>
      <c r="F392" s="587"/>
      <c r="G392" s="587"/>
      <c r="H392" s="280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</row>
    <row r="393">
      <c r="A393" s="280"/>
      <c r="B393" s="280"/>
      <c r="C393" s="280"/>
      <c r="D393" s="587"/>
      <c r="E393" s="587"/>
      <c r="F393" s="587"/>
      <c r="G393" s="587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</row>
    <row r="394">
      <c r="A394" s="280"/>
      <c r="B394" s="280"/>
      <c r="C394" s="280"/>
      <c r="D394" s="587"/>
      <c r="E394" s="587"/>
      <c r="F394" s="587"/>
      <c r="G394" s="587"/>
      <c r="H394" s="280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</row>
    <row r="395">
      <c r="A395" s="280"/>
      <c r="B395" s="280"/>
      <c r="C395" s="280"/>
      <c r="D395" s="587"/>
      <c r="E395" s="587"/>
      <c r="F395" s="587"/>
      <c r="G395" s="587"/>
      <c r="H395" s="280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</row>
    <row r="396">
      <c r="A396" s="280"/>
      <c r="B396" s="280"/>
      <c r="C396" s="280"/>
      <c r="D396" s="587"/>
      <c r="E396" s="587"/>
      <c r="F396" s="587"/>
      <c r="G396" s="587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</row>
    <row r="397">
      <c r="A397" s="280"/>
      <c r="B397" s="280"/>
      <c r="C397" s="280"/>
      <c r="D397" s="587"/>
      <c r="E397" s="587"/>
      <c r="F397" s="587"/>
      <c r="G397" s="587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</row>
    <row r="398">
      <c r="A398" s="280"/>
      <c r="B398" s="280"/>
      <c r="C398" s="280"/>
      <c r="D398" s="587"/>
      <c r="E398" s="587"/>
      <c r="F398" s="587"/>
      <c r="G398" s="587"/>
      <c r="H398" s="280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</row>
    <row r="399">
      <c r="A399" s="280"/>
      <c r="B399" s="280"/>
      <c r="C399" s="280"/>
      <c r="D399" s="587"/>
      <c r="E399" s="587"/>
      <c r="F399" s="587"/>
      <c r="G399" s="587"/>
      <c r="H399" s="280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</row>
    <row r="400">
      <c r="A400" s="280"/>
      <c r="B400" s="280"/>
      <c r="C400" s="280"/>
      <c r="D400" s="587"/>
      <c r="E400" s="587"/>
      <c r="F400" s="587"/>
      <c r="G400" s="587"/>
      <c r="H400" s="280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</row>
    <row r="401">
      <c r="A401" s="280"/>
      <c r="B401" s="280"/>
      <c r="C401" s="280"/>
      <c r="D401" s="587"/>
      <c r="E401" s="587"/>
      <c r="F401" s="587"/>
      <c r="G401" s="587"/>
      <c r="H401" s="280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</row>
    <row r="402">
      <c r="A402" s="280"/>
      <c r="B402" s="280"/>
      <c r="C402" s="280"/>
      <c r="D402" s="587"/>
      <c r="E402" s="587"/>
      <c r="F402" s="587"/>
      <c r="G402" s="587"/>
      <c r="H402" s="280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</row>
    <row r="403">
      <c r="A403" s="280"/>
      <c r="B403" s="280"/>
      <c r="C403" s="280"/>
      <c r="D403" s="587"/>
      <c r="E403" s="587"/>
      <c r="F403" s="587"/>
      <c r="G403" s="587"/>
      <c r="H403" s="280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</row>
    <row r="404">
      <c r="A404" s="280"/>
      <c r="B404" s="280"/>
      <c r="C404" s="280"/>
      <c r="D404" s="587"/>
      <c r="E404" s="587"/>
      <c r="F404" s="587"/>
      <c r="G404" s="587"/>
      <c r="H404" s="280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</row>
    <row r="405">
      <c r="A405" s="280"/>
      <c r="B405" s="280"/>
      <c r="C405" s="280"/>
      <c r="D405" s="587"/>
      <c r="E405" s="587"/>
      <c r="F405" s="587"/>
      <c r="G405" s="587"/>
      <c r="H405" s="280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</row>
    <row r="406">
      <c r="A406" s="280"/>
      <c r="B406" s="280"/>
      <c r="C406" s="280"/>
      <c r="D406" s="587"/>
      <c r="E406" s="587"/>
      <c r="F406" s="587"/>
      <c r="G406" s="587"/>
      <c r="H406" s="280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</row>
    <row r="407">
      <c r="A407" s="280"/>
      <c r="B407" s="280"/>
      <c r="C407" s="280"/>
      <c r="D407" s="587"/>
      <c r="E407" s="587"/>
      <c r="F407" s="587"/>
      <c r="G407" s="587"/>
      <c r="H407" s="280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</row>
    <row r="408">
      <c r="A408" s="280"/>
      <c r="B408" s="280"/>
      <c r="C408" s="280"/>
      <c r="D408" s="587"/>
      <c r="E408" s="587"/>
      <c r="F408" s="587"/>
      <c r="G408" s="587"/>
      <c r="H408" s="280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</row>
    <row r="409">
      <c r="A409" s="280"/>
      <c r="B409" s="280"/>
      <c r="C409" s="280"/>
      <c r="D409" s="587"/>
      <c r="E409" s="587"/>
      <c r="F409" s="587"/>
      <c r="G409" s="587"/>
      <c r="H409" s="280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</row>
    <row r="410">
      <c r="A410" s="280"/>
      <c r="B410" s="280"/>
      <c r="C410" s="280"/>
      <c r="D410" s="587"/>
      <c r="E410" s="587"/>
      <c r="F410" s="587"/>
      <c r="G410" s="587"/>
      <c r="H410" s="280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</row>
    <row r="411">
      <c r="A411" s="280"/>
      <c r="B411" s="280"/>
      <c r="C411" s="280"/>
      <c r="D411" s="587"/>
      <c r="E411" s="587"/>
      <c r="F411" s="587"/>
      <c r="G411" s="587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</row>
    <row r="412">
      <c r="A412" s="280"/>
      <c r="B412" s="280"/>
      <c r="C412" s="280"/>
      <c r="D412" s="587"/>
      <c r="E412" s="587"/>
      <c r="F412" s="587"/>
      <c r="G412" s="587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</row>
    <row r="413">
      <c r="A413" s="280"/>
      <c r="B413" s="280"/>
      <c r="C413" s="280"/>
      <c r="D413" s="587"/>
      <c r="E413" s="587"/>
      <c r="F413" s="587"/>
      <c r="G413" s="587"/>
      <c r="H413" s="280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</row>
    <row r="414">
      <c r="A414" s="280"/>
      <c r="B414" s="280"/>
      <c r="C414" s="280"/>
      <c r="D414" s="587"/>
      <c r="E414" s="587"/>
      <c r="F414" s="587"/>
      <c r="G414" s="587"/>
      <c r="H414" s="280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</row>
    <row r="415">
      <c r="A415" s="280"/>
      <c r="B415" s="280"/>
      <c r="C415" s="280"/>
      <c r="D415" s="587"/>
      <c r="E415" s="587"/>
      <c r="F415" s="587"/>
      <c r="G415" s="587"/>
      <c r="H415" s="280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</row>
    <row r="416">
      <c r="A416" s="280"/>
      <c r="B416" s="280"/>
      <c r="C416" s="280"/>
      <c r="D416" s="587"/>
      <c r="E416" s="587"/>
      <c r="F416" s="587"/>
      <c r="G416" s="587"/>
      <c r="H416" s="280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</row>
    <row r="417">
      <c r="A417" s="280"/>
      <c r="B417" s="280"/>
      <c r="C417" s="280"/>
      <c r="D417" s="587"/>
      <c r="E417" s="587"/>
      <c r="F417" s="587"/>
      <c r="G417" s="587"/>
      <c r="H417" s="280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</row>
    <row r="418">
      <c r="A418" s="280"/>
      <c r="B418" s="280"/>
      <c r="C418" s="280"/>
      <c r="D418" s="587"/>
      <c r="E418" s="587"/>
      <c r="F418" s="587"/>
      <c r="G418" s="587"/>
      <c r="H418" s="280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</row>
    <row r="419">
      <c r="A419" s="280"/>
      <c r="B419" s="280"/>
      <c r="C419" s="280"/>
      <c r="D419" s="587"/>
      <c r="E419" s="587"/>
      <c r="F419" s="587"/>
      <c r="G419" s="587"/>
      <c r="H419" s="280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</row>
    <row r="420">
      <c r="A420" s="280"/>
      <c r="B420" s="280"/>
      <c r="C420" s="280"/>
      <c r="D420" s="587"/>
      <c r="E420" s="587"/>
      <c r="F420" s="587"/>
      <c r="G420" s="587"/>
      <c r="H420" s="280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</row>
    <row r="421">
      <c r="A421" s="280"/>
      <c r="B421" s="280"/>
      <c r="C421" s="280"/>
      <c r="D421" s="587"/>
      <c r="E421" s="587"/>
      <c r="F421" s="587"/>
      <c r="G421" s="587"/>
      <c r="H421" s="280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</row>
    <row r="422">
      <c r="A422" s="280"/>
      <c r="B422" s="280"/>
      <c r="C422" s="280"/>
      <c r="D422" s="587"/>
      <c r="E422" s="587"/>
      <c r="F422" s="587"/>
      <c r="G422" s="587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</row>
    <row r="423">
      <c r="A423" s="280"/>
      <c r="B423" s="280"/>
      <c r="C423" s="280"/>
      <c r="D423" s="587"/>
      <c r="E423" s="587"/>
      <c r="F423" s="587"/>
      <c r="G423" s="587"/>
      <c r="H423" s="280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</row>
    <row r="424">
      <c r="A424" s="280"/>
      <c r="B424" s="280"/>
      <c r="C424" s="280"/>
      <c r="D424" s="587"/>
      <c r="E424" s="587"/>
      <c r="F424" s="587"/>
      <c r="G424" s="587"/>
      <c r="H424" s="280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</row>
    <row r="425">
      <c r="A425" s="280"/>
      <c r="B425" s="280"/>
      <c r="C425" s="280"/>
      <c r="D425" s="587"/>
      <c r="E425" s="587"/>
      <c r="F425" s="587"/>
      <c r="G425" s="587"/>
      <c r="H425" s="280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</row>
    <row r="426">
      <c r="A426" s="280"/>
      <c r="B426" s="280"/>
      <c r="C426" s="280"/>
      <c r="D426" s="587"/>
      <c r="E426" s="587"/>
      <c r="F426" s="587"/>
      <c r="G426" s="587"/>
      <c r="H426" s="280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</row>
    <row r="427">
      <c r="A427" s="280"/>
      <c r="B427" s="280"/>
      <c r="C427" s="280"/>
      <c r="D427" s="587"/>
      <c r="E427" s="587"/>
      <c r="F427" s="587"/>
      <c r="G427" s="587"/>
      <c r="H427" s="280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</row>
    <row r="428">
      <c r="A428" s="280"/>
      <c r="B428" s="280"/>
      <c r="C428" s="280"/>
      <c r="D428" s="587"/>
      <c r="E428" s="587"/>
      <c r="F428" s="587"/>
      <c r="G428" s="587"/>
      <c r="H428" s="280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</row>
    <row r="429">
      <c r="A429" s="280"/>
      <c r="B429" s="280"/>
      <c r="C429" s="280"/>
      <c r="D429" s="587"/>
      <c r="E429" s="587"/>
      <c r="F429" s="587"/>
      <c r="G429" s="587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</row>
    <row r="430">
      <c r="A430" s="280"/>
      <c r="B430" s="280"/>
      <c r="C430" s="280"/>
      <c r="D430" s="587"/>
      <c r="E430" s="587"/>
      <c r="F430" s="587"/>
      <c r="G430" s="587"/>
      <c r="H430" s="280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</row>
    <row r="431">
      <c r="A431" s="280"/>
      <c r="B431" s="280"/>
      <c r="C431" s="280"/>
      <c r="D431" s="587"/>
      <c r="E431" s="587"/>
      <c r="F431" s="587"/>
      <c r="G431" s="587"/>
      <c r="H431" s="280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</row>
    <row r="432">
      <c r="A432" s="280"/>
      <c r="B432" s="280"/>
      <c r="C432" s="280"/>
      <c r="D432" s="587"/>
      <c r="E432" s="587"/>
      <c r="F432" s="587"/>
      <c r="G432" s="587"/>
      <c r="H432" s="280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</row>
    <row r="433">
      <c r="A433" s="280"/>
      <c r="B433" s="280"/>
      <c r="C433" s="280"/>
      <c r="D433" s="587"/>
      <c r="E433" s="587"/>
      <c r="F433" s="587"/>
      <c r="G433" s="587"/>
      <c r="H433" s="280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</row>
    <row r="434">
      <c r="A434" s="280"/>
      <c r="B434" s="280"/>
      <c r="C434" s="280"/>
      <c r="D434" s="587"/>
      <c r="E434" s="587"/>
      <c r="F434" s="587"/>
      <c r="G434" s="587"/>
      <c r="H434" s="280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</row>
    <row r="435">
      <c r="A435" s="280"/>
      <c r="B435" s="280"/>
      <c r="C435" s="280"/>
      <c r="D435" s="587"/>
      <c r="E435" s="587"/>
      <c r="F435" s="587"/>
      <c r="G435" s="587"/>
      <c r="H435" s="280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</row>
    <row r="436">
      <c r="A436" s="280"/>
      <c r="B436" s="280"/>
      <c r="C436" s="280"/>
      <c r="D436" s="587"/>
      <c r="E436" s="587"/>
      <c r="F436" s="587"/>
      <c r="G436" s="587"/>
      <c r="H436" s="280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</row>
    <row r="437">
      <c r="A437" s="280"/>
      <c r="B437" s="280"/>
      <c r="C437" s="280"/>
      <c r="D437" s="587"/>
      <c r="E437" s="587"/>
      <c r="F437" s="587"/>
      <c r="G437" s="587"/>
      <c r="H437" s="280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</row>
    <row r="438">
      <c r="A438" s="280"/>
      <c r="B438" s="280"/>
      <c r="C438" s="280"/>
      <c r="D438" s="587"/>
      <c r="E438" s="587"/>
      <c r="F438" s="587"/>
      <c r="G438" s="587"/>
      <c r="H438" s="280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</row>
    <row r="439">
      <c r="A439" s="280"/>
      <c r="B439" s="280"/>
      <c r="C439" s="280"/>
      <c r="D439" s="587"/>
      <c r="E439" s="587"/>
      <c r="F439" s="587"/>
      <c r="G439" s="587"/>
      <c r="H439" s="280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</row>
    <row r="440">
      <c r="A440" s="280"/>
      <c r="B440" s="280"/>
      <c r="C440" s="280"/>
      <c r="D440" s="587"/>
      <c r="E440" s="587"/>
      <c r="F440" s="587"/>
      <c r="G440" s="587"/>
      <c r="H440" s="280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</row>
    <row r="441">
      <c r="A441" s="280"/>
      <c r="B441" s="280"/>
      <c r="C441" s="280"/>
      <c r="D441" s="587"/>
      <c r="E441" s="587"/>
      <c r="F441" s="587"/>
      <c r="G441" s="587"/>
      <c r="H441" s="280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</row>
    <row r="442">
      <c r="A442" s="280"/>
      <c r="B442" s="280"/>
      <c r="C442" s="280"/>
      <c r="D442" s="587"/>
      <c r="E442" s="587"/>
      <c r="F442" s="587"/>
      <c r="G442" s="587"/>
      <c r="H442" s="280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</row>
    <row r="443">
      <c r="A443" s="280"/>
      <c r="B443" s="280"/>
      <c r="C443" s="280"/>
      <c r="D443" s="587"/>
      <c r="E443" s="587"/>
      <c r="F443" s="587"/>
      <c r="G443" s="587"/>
      <c r="H443" s="280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</row>
    <row r="444">
      <c r="A444" s="280"/>
      <c r="B444" s="280"/>
      <c r="C444" s="280"/>
      <c r="D444" s="587"/>
      <c r="E444" s="587"/>
      <c r="F444" s="587"/>
      <c r="G444" s="587"/>
      <c r="H444" s="280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</row>
    <row r="445">
      <c r="A445" s="280"/>
      <c r="B445" s="280"/>
      <c r="C445" s="280"/>
      <c r="D445" s="587"/>
      <c r="E445" s="587"/>
      <c r="F445" s="587"/>
      <c r="G445" s="587"/>
      <c r="H445" s="280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</row>
    <row r="446">
      <c r="A446" s="280"/>
      <c r="B446" s="280"/>
      <c r="C446" s="280"/>
      <c r="D446" s="587"/>
      <c r="E446" s="587"/>
      <c r="F446" s="587"/>
      <c r="G446" s="587"/>
      <c r="H446" s="280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</row>
    <row r="447">
      <c r="A447" s="280"/>
      <c r="B447" s="280"/>
      <c r="C447" s="280"/>
      <c r="D447" s="587"/>
      <c r="E447" s="587"/>
      <c r="F447" s="587"/>
      <c r="G447" s="587"/>
      <c r="H447" s="280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</row>
    <row r="448">
      <c r="A448" s="280"/>
      <c r="B448" s="280"/>
      <c r="C448" s="280"/>
      <c r="D448" s="587"/>
      <c r="E448" s="587"/>
      <c r="F448" s="587"/>
      <c r="G448" s="587"/>
      <c r="H448" s="280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</row>
    <row r="449">
      <c r="A449" s="280"/>
      <c r="B449" s="280"/>
      <c r="C449" s="280"/>
      <c r="D449" s="587"/>
      <c r="E449" s="587"/>
      <c r="F449" s="587"/>
      <c r="G449" s="587"/>
      <c r="H449" s="280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</row>
    <row r="450">
      <c r="A450" s="280"/>
      <c r="B450" s="280"/>
      <c r="C450" s="280"/>
      <c r="D450" s="587"/>
      <c r="E450" s="587"/>
      <c r="F450" s="587"/>
      <c r="G450" s="587"/>
      <c r="H450" s="280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</row>
    <row r="451">
      <c r="A451" s="280"/>
      <c r="B451" s="280"/>
      <c r="C451" s="280"/>
      <c r="D451" s="587"/>
      <c r="E451" s="587"/>
      <c r="F451" s="587"/>
      <c r="G451" s="587"/>
      <c r="H451" s="280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</row>
    <row r="452">
      <c r="A452" s="280"/>
      <c r="B452" s="280"/>
      <c r="C452" s="280"/>
      <c r="D452" s="587"/>
      <c r="E452" s="587"/>
      <c r="F452" s="587"/>
      <c r="G452" s="587"/>
      <c r="H452" s="280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</row>
    <row r="453">
      <c r="A453" s="280"/>
      <c r="B453" s="280"/>
      <c r="C453" s="280"/>
      <c r="D453" s="587"/>
      <c r="E453" s="587"/>
      <c r="F453" s="587"/>
      <c r="G453" s="587"/>
      <c r="H453" s="280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</row>
    <row r="454">
      <c r="A454" s="280"/>
      <c r="B454" s="280"/>
      <c r="C454" s="280"/>
      <c r="D454" s="587"/>
      <c r="E454" s="587"/>
      <c r="F454" s="587"/>
      <c r="G454" s="587"/>
      <c r="H454" s="280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</row>
    <row r="455">
      <c r="A455" s="280"/>
      <c r="B455" s="280"/>
      <c r="C455" s="280"/>
      <c r="D455" s="587"/>
      <c r="E455" s="587"/>
      <c r="F455" s="587"/>
      <c r="G455" s="587"/>
      <c r="H455" s="280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</row>
    <row r="456">
      <c r="A456" s="280"/>
      <c r="B456" s="280"/>
      <c r="C456" s="280"/>
      <c r="D456" s="587"/>
      <c r="E456" s="587"/>
      <c r="F456" s="587"/>
      <c r="G456" s="587"/>
      <c r="H456" s="280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</row>
    <row r="457">
      <c r="A457" s="280"/>
      <c r="B457" s="280"/>
      <c r="C457" s="280"/>
      <c r="D457" s="587"/>
      <c r="E457" s="587"/>
      <c r="F457" s="587"/>
      <c r="G457" s="587"/>
      <c r="H457" s="280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</row>
    <row r="458">
      <c r="A458" s="280"/>
      <c r="B458" s="280"/>
      <c r="C458" s="280"/>
      <c r="D458" s="587"/>
      <c r="E458" s="587"/>
      <c r="F458" s="587"/>
      <c r="G458" s="587"/>
      <c r="H458" s="280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</row>
    <row r="459">
      <c r="A459" s="280"/>
      <c r="B459" s="280"/>
      <c r="C459" s="280"/>
      <c r="D459" s="587"/>
      <c r="E459" s="587"/>
      <c r="F459" s="587"/>
      <c r="G459" s="587"/>
      <c r="H459" s="280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</row>
    <row r="460">
      <c r="A460" s="280"/>
      <c r="B460" s="280"/>
      <c r="C460" s="280"/>
      <c r="D460" s="587"/>
      <c r="E460" s="587"/>
      <c r="F460" s="587"/>
      <c r="G460" s="587"/>
      <c r="H460" s="280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</row>
    <row r="461">
      <c r="A461" s="280"/>
      <c r="B461" s="280"/>
      <c r="C461" s="280"/>
      <c r="D461" s="587"/>
      <c r="E461" s="587"/>
      <c r="F461" s="587"/>
      <c r="G461" s="587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</row>
    <row r="462">
      <c r="A462" s="280"/>
      <c r="B462" s="280"/>
      <c r="C462" s="280"/>
      <c r="D462" s="587"/>
      <c r="E462" s="587"/>
      <c r="F462" s="587"/>
      <c r="G462" s="587"/>
      <c r="H462" s="280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</row>
    <row r="463">
      <c r="A463" s="280"/>
      <c r="B463" s="280"/>
      <c r="C463" s="280"/>
      <c r="D463" s="587"/>
      <c r="E463" s="587"/>
      <c r="F463" s="587"/>
      <c r="G463" s="587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</row>
    <row r="464">
      <c r="A464" s="280"/>
      <c r="B464" s="280"/>
      <c r="C464" s="280"/>
      <c r="D464" s="587"/>
      <c r="E464" s="587"/>
      <c r="F464" s="587"/>
      <c r="G464" s="587"/>
      <c r="H464" s="280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</row>
    <row r="465">
      <c r="A465" s="280"/>
      <c r="B465" s="280"/>
      <c r="C465" s="280"/>
      <c r="D465" s="587"/>
      <c r="E465" s="587"/>
      <c r="F465" s="587"/>
      <c r="G465" s="587"/>
      <c r="H465" s="280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</row>
    <row r="466">
      <c r="A466" s="280"/>
      <c r="B466" s="280"/>
      <c r="C466" s="280"/>
      <c r="D466" s="587"/>
      <c r="E466" s="587"/>
      <c r="F466" s="587"/>
      <c r="G466" s="587"/>
      <c r="H466" s="280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</row>
    <row r="467">
      <c r="A467" s="280"/>
      <c r="B467" s="280"/>
      <c r="C467" s="280"/>
      <c r="D467" s="587"/>
      <c r="E467" s="587"/>
      <c r="F467" s="587"/>
      <c r="G467" s="587"/>
      <c r="H467" s="280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</row>
    <row r="468">
      <c r="A468" s="280"/>
      <c r="B468" s="280"/>
      <c r="C468" s="280"/>
      <c r="D468" s="587"/>
      <c r="E468" s="587"/>
      <c r="F468" s="587"/>
      <c r="G468" s="587"/>
      <c r="H468" s="280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</row>
    <row r="469">
      <c r="A469" s="280"/>
      <c r="B469" s="280"/>
      <c r="C469" s="280"/>
      <c r="D469" s="587"/>
      <c r="E469" s="587"/>
      <c r="F469" s="587"/>
      <c r="G469" s="587"/>
      <c r="H469" s="280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</row>
    <row r="470">
      <c r="A470" s="280"/>
      <c r="B470" s="280"/>
      <c r="C470" s="280"/>
      <c r="D470" s="587"/>
      <c r="E470" s="587"/>
      <c r="F470" s="587"/>
      <c r="G470" s="587"/>
      <c r="H470" s="280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</row>
    <row r="471">
      <c r="A471" s="280"/>
      <c r="B471" s="280"/>
      <c r="C471" s="280"/>
      <c r="D471" s="587"/>
      <c r="E471" s="587"/>
      <c r="F471" s="587"/>
      <c r="G471" s="587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</row>
    <row r="472">
      <c r="A472" s="280"/>
      <c r="B472" s="280"/>
      <c r="C472" s="280"/>
      <c r="D472" s="587"/>
      <c r="E472" s="587"/>
      <c r="F472" s="587"/>
      <c r="G472" s="587"/>
      <c r="H472" s="280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</row>
    <row r="473">
      <c r="A473" s="280"/>
      <c r="B473" s="280"/>
      <c r="C473" s="280"/>
      <c r="D473" s="587"/>
      <c r="E473" s="587"/>
      <c r="F473" s="587"/>
      <c r="G473" s="587"/>
      <c r="H473" s="280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</row>
    <row r="474">
      <c r="A474" s="280"/>
      <c r="B474" s="280"/>
      <c r="C474" s="280"/>
      <c r="D474" s="587"/>
      <c r="E474" s="587"/>
      <c r="F474" s="587"/>
      <c r="G474" s="587"/>
      <c r="H474" s="280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</row>
    <row r="475">
      <c r="A475" s="280"/>
      <c r="B475" s="280"/>
      <c r="C475" s="280"/>
      <c r="D475" s="587"/>
      <c r="E475" s="587"/>
      <c r="F475" s="587"/>
      <c r="G475" s="587"/>
      <c r="H475" s="280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</row>
    <row r="476">
      <c r="A476" s="280"/>
      <c r="B476" s="280"/>
      <c r="C476" s="280"/>
      <c r="D476" s="587"/>
      <c r="E476" s="587"/>
      <c r="F476" s="587"/>
      <c r="G476" s="587"/>
      <c r="H476" s="280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</row>
    <row r="477">
      <c r="A477" s="280"/>
      <c r="B477" s="280"/>
      <c r="C477" s="280"/>
      <c r="D477" s="587"/>
      <c r="E477" s="587"/>
      <c r="F477" s="587"/>
      <c r="G477" s="587"/>
      <c r="H477" s="280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</row>
    <row r="478">
      <c r="A478" s="280"/>
      <c r="B478" s="280"/>
      <c r="C478" s="280"/>
      <c r="D478" s="587"/>
      <c r="E478" s="587"/>
      <c r="F478" s="587"/>
      <c r="G478" s="587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</row>
    <row r="479">
      <c r="A479" s="280"/>
      <c r="B479" s="280"/>
      <c r="C479" s="280"/>
      <c r="D479" s="587"/>
      <c r="E479" s="587"/>
      <c r="F479" s="587"/>
      <c r="G479" s="587"/>
      <c r="H479" s="280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</row>
    <row r="480">
      <c r="A480" s="280"/>
      <c r="B480" s="280"/>
      <c r="C480" s="280"/>
      <c r="D480" s="587"/>
      <c r="E480" s="587"/>
      <c r="F480" s="587"/>
      <c r="G480" s="587"/>
      <c r="H480" s="280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</row>
    <row r="481">
      <c r="A481" s="280"/>
      <c r="B481" s="280"/>
      <c r="C481" s="280"/>
      <c r="D481" s="587"/>
      <c r="E481" s="587"/>
      <c r="F481" s="587"/>
      <c r="G481" s="587"/>
      <c r="H481" s="280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</row>
    <row r="482">
      <c r="A482" s="280"/>
      <c r="B482" s="280"/>
      <c r="C482" s="280"/>
      <c r="D482" s="587"/>
      <c r="E482" s="587"/>
      <c r="F482" s="587"/>
      <c r="G482" s="587"/>
      <c r="H482" s="280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</row>
    <row r="483">
      <c r="A483" s="280"/>
      <c r="B483" s="280"/>
      <c r="C483" s="280"/>
      <c r="D483" s="587"/>
      <c r="E483" s="587"/>
      <c r="F483" s="587"/>
      <c r="G483" s="587"/>
      <c r="H483" s="280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</row>
    <row r="484">
      <c r="A484" s="280"/>
      <c r="B484" s="280"/>
      <c r="C484" s="280"/>
      <c r="D484" s="587"/>
      <c r="E484" s="587"/>
      <c r="F484" s="587"/>
      <c r="G484" s="587"/>
      <c r="H484" s="280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</row>
    <row r="485">
      <c r="A485" s="280"/>
      <c r="B485" s="280"/>
      <c r="C485" s="280"/>
      <c r="D485" s="587"/>
      <c r="E485" s="587"/>
      <c r="F485" s="587"/>
      <c r="G485" s="587"/>
      <c r="H485" s="280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</row>
    <row r="486">
      <c r="A486" s="280"/>
      <c r="B486" s="280"/>
      <c r="C486" s="280"/>
      <c r="D486" s="587"/>
      <c r="E486" s="587"/>
      <c r="F486" s="587"/>
      <c r="G486" s="587"/>
      <c r="H486" s="280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</row>
    <row r="487">
      <c r="A487" s="280"/>
      <c r="B487" s="280"/>
      <c r="C487" s="280"/>
      <c r="D487" s="587"/>
      <c r="E487" s="587"/>
      <c r="F487" s="587"/>
      <c r="G487" s="587"/>
      <c r="H487" s="280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</row>
    <row r="488">
      <c r="A488" s="280"/>
      <c r="B488" s="280"/>
      <c r="C488" s="280"/>
      <c r="D488" s="587"/>
      <c r="E488" s="587"/>
      <c r="F488" s="587"/>
      <c r="G488" s="587"/>
      <c r="H488" s="280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</row>
    <row r="489">
      <c r="A489" s="280"/>
      <c r="B489" s="280"/>
      <c r="C489" s="280"/>
      <c r="D489" s="587"/>
      <c r="E489" s="587"/>
      <c r="F489" s="587"/>
      <c r="G489" s="587"/>
      <c r="H489" s="280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</row>
    <row r="490">
      <c r="A490" s="280"/>
      <c r="B490" s="280"/>
      <c r="C490" s="280"/>
      <c r="D490" s="587"/>
      <c r="E490" s="587"/>
      <c r="F490" s="587"/>
      <c r="G490" s="587"/>
      <c r="H490" s="280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</row>
    <row r="491">
      <c r="A491" s="280"/>
      <c r="B491" s="280"/>
      <c r="C491" s="280"/>
      <c r="D491" s="587"/>
      <c r="E491" s="587"/>
      <c r="F491" s="587"/>
      <c r="G491" s="587"/>
      <c r="H491" s="280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</row>
    <row r="492">
      <c r="A492" s="280"/>
      <c r="B492" s="280"/>
      <c r="C492" s="280"/>
      <c r="D492" s="587"/>
      <c r="E492" s="587"/>
      <c r="F492" s="587"/>
      <c r="G492" s="587"/>
      <c r="H492" s="280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</row>
    <row r="493">
      <c r="A493" s="280"/>
      <c r="B493" s="280"/>
      <c r="C493" s="280"/>
      <c r="D493" s="587"/>
      <c r="E493" s="587"/>
      <c r="F493" s="587"/>
      <c r="G493" s="587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</row>
    <row r="494">
      <c r="A494" s="280"/>
      <c r="B494" s="280"/>
      <c r="C494" s="280"/>
      <c r="D494" s="587"/>
      <c r="E494" s="587"/>
      <c r="F494" s="587"/>
      <c r="G494" s="587"/>
      <c r="H494" s="280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</row>
    <row r="495">
      <c r="A495" s="280"/>
      <c r="B495" s="280"/>
      <c r="C495" s="280"/>
      <c r="D495" s="587"/>
      <c r="E495" s="587"/>
      <c r="F495" s="587"/>
      <c r="G495" s="587"/>
      <c r="H495" s="280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</row>
    <row r="496">
      <c r="A496" s="280"/>
      <c r="B496" s="280"/>
      <c r="C496" s="280"/>
      <c r="D496" s="587"/>
      <c r="E496" s="587"/>
      <c r="F496" s="587"/>
      <c r="G496" s="587"/>
      <c r="H496" s="280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</row>
    <row r="497">
      <c r="A497" s="280"/>
      <c r="B497" s="280"/>
      <c r="C497" s="280"/>
      <c r="D497" s="587"/>
      <c r="E497" s="587"/>
      <c r="F497" s="587"/>
      <c r="G497" s="587"/>
      <c r="H497" s="280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</row>
    <row r="498">
      <c r="A498" s="280"/>
      <c r="B498" s="280"/>
      <c r="C498" s="280"/>
      <c r="D498" s="587"/>
      <c r="E498" s="587"/>
      <c r="F498" s="587"/>
      <c r="G498" s="587"/>
      <c r="H498" s="280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</row>
    <row r="499">
      <c r="A499" s="280"/>
      <c r="B499" s="280"/>
      <c r="C499" s="280"/>
      <c r="D499" s="587"/>
      <c r="E499" s="587"/>
      <c r="F499" s="587"/>
      <c r="G499" s="587"/>
      <c r="H499" s="280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</row>
    <row r="500">
      <c r="A500" s="280"/>
      <c r="B500" s="280"/>
      <c r="C500" s="280"/>
      <c r="D500" s="587"/>
      <c r="E500" s="587"/>
      <c r="F500" s="587"/>
      <c r="G500" s="587"/>
      <c r="H500" s="280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</row>
    <row r="501">
      <c r="A501" s="280"/>
      <c r="B501" s="280"/>
      <c r="C501" s="280"/>
      <c r="D501" s="587"/>
      <c r="E501" s="587"/>
      <c r="F501" s="587"/>
      <c r="G501" s="587"/>
      <c r="H501" s="280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</row>
    <row r="502">
      <c r="A502" s="280"/>
      <c r="B502" s="280"/>
      <c r="C502" s="280"/>
      <c r="D502" s="587"/>
      <c r="E502" s="587"/>
      <c r="F502" s="587"/>
      <c r="G502" s="587"/>
      <c r="H502" s="280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</row>
    <row r="503">
      <c r="A503" s="280"/>
      <c r="B503" s="280"/>
      <c r="C503" s="280"/>
      <c r="D503" s="587"/>
      <c r="E503" s="587"/>
      <c r="F503" s="587"/>
      <c r="G503" s="587"/>
      <c r="H503" s="280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</row>
    <row r="504">
      <c r="A504" s="280"/>
      <c r="B504" s="280"/>
      <c r="C504" s="280"/>
      <c r="D504" s="587"/>
      <c r="E504" s="587"/>
      <c r="F504" s="587"/>
      <c r="G504" s="587"/>
      <c r="H504" s="280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</row>
    <row r="505">
      <c r="A505" s="280"/>
      <c r="B505" s="280"/>
      <c r="C505" s="280"/>
      <c r="D505" s="587"/>
      <c r="E505" s="587"/>
      <c r="F505" s="587"/>
      <c r="G505" s="587"/>
      <c r="H505" s="280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</row>
    <row r="506">
      <c r="A506" s="280"/>
      <c r="B506" s="280"/>
      <c r="C506" s="280"/>
      <c r="D506" s="587"/>
      <c r="E506" s="587"/>
      <c r="F506" s="587"/>
      <c r="G506" s="587"/>
      <c r="H506" s="280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</row>
    <row r="507">
      <c r="A507" s="280"/>
      <c r="B507" s="280"/>
      <c r="C507" s="280"/>
      <c r="D507" s="587"/>
      <c r="E507" s="587"/>
      <c r="F507" s="587"/>
      <c r="G507" s="587"/>
      <c r="H507" s="280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</row>
    <row r="508">
      <c r="A508" s="280"/>
      <c r="B508" s="280"/>
      <c r="C508" s="280"/>
      <c r="D508" s="587"/>
      <c r="E508" s="587"/>
      <c r="F508" s="587"/>
      <c r="G508" s="587"/>
      <c r="H508" s="280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</row>
    <row r="509">
      <c r="A509" s="280"/>
      <c r="B509" s="280"/>
      <c r="C509" s="280"/>
      <c r="D509" s="587"/>
      <c r="E509" s="587"/>
      <c r="F509" s="587"/>
      <c r="G509" s="587"/>
      <c r="H509" s="280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</row>
    <row r="510">
      <c r="A510" s="280"/>
      <c r="B510" s="280"/>
      <c r="C510" s="280"/>
      <c r="D510" s="587"/>
      <c r="E510" s="587"/>
      <c r="F510" s="587"/>
      <c r="G510" s="587"/>
      <c r="H510" s="280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</row>
    <row r="511">
      <c r="A511" s="280"/>
      <c r="B511" s="280"/>
      <c r="C511" s="280"/>
      <c r="D511" s="587"/>
      <c r="E511" s="587"/>
      <c r="F511" s="587"/>
      <c r="G511" s="587"/>
      <c r="H511" s="280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</row>
    <row r="512">
      <c r="A512" s="280"/>
      <c r="B512" s="280"/>
      <c r="C512" s="280"/>
      <c r="D512" s="587"/>
      <c r="E512" s="587"/>
      <c r="F512" s="587"/>
      <c r="G512" s="587"/>
      <c r="H512" s="280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</row>
    <row r="513">
      <c r="A513" s="280"/>
      <c r="B513" s="280"/>
      <c r="C513" s="280"/>
      <c r="D513" s="587"/>
      <c r="E513" s="587"/>
      <c r="F513" s="587"/>
      <c r="G513" s="587"/>
      <c r="H513" s="280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</row>
    <row r="514">
      <c r="A514" s="280"/>
      <c r="B514" s="280"/>
      <c r="C514" s="280"/>
      <c r="D514" s="587"/>
      <c r="E514" s="587"/>
      <c r="F514" s="587"/>
      <c r="G514" s="587"/>
      <c r="H514" s="280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</row>
    <row r="515">
      <c r="A515" s="280"/>
      <c r="B515" s="280"/>
      <c r="C515" s="280"/>
      <c r="D515" s="587"/>
      <c r="E515" s="587"/>
      <c r="F515" s="587"/>
      <c r="G515" s="587"/>
      <c r="H515" s="280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</row>
    <row r="516">
      <c r="A516" s="280"/>
      <c r="B516" s="280"/>
      <c r="C516" s="280"/>
      <c r="D516" s="587"/>
      <c r="E516" s="587"/>
      <c r="F516" s="587"/>
      <c r="G516" s="587"/>
      <c r="H516" s="280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</row>
    <row r="517">
      <c r="A517" s="280"/>
      <c r="B517" s="280"/>
      <c r="C517" s="280"/>
      <c r="D517" s="587"/>
      <c r="E517" s="587"/>
      <c r="F517" s="587"/>
      <c r="G517" s="587"/>
      <c r="H517" s="280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</row>
    <row r="518">
      <c r="A518" s="280"/>
      <c r="B518" s="280"/>
      <c r="C518" s="280"/>
      <c r="D518" s="587"/>
      <c r="E518" s="587"/>
      <c r="F518" s="587"/>
      <c r="G518" s="587"/>
      <c r="H518" s="280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</row>
    <row r="519">
      <c r="A519" s="280"/>
      <c r="B519" s="280"/>
      <c r="C519" s="280"/>
      <c r="D519" s="587"/>
      <c r="E519" s="587"/>
      <c r="F519" s="587"/>
      <c r="G519" s="587"/>
      <c r="H519" s="280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</row>
    <row r="520">
      <c r="A520" s="280"/>
      <c r="B520" s="280"/>
      <c r="C520" s="280"/>
      <c r="D520" s="587"/>
      <c r="E520" s="587"/>
      <c r="F520" s="587"/>
      <c r="G520" s="587"/>
      <c r="H520" s="280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</row>
    <row r="521">
      <c r="A521" s="280"/>
      <c r="B521" s="280"/>
      <c r="C521" s="280"/>
      <c r="D521" s="587"/>
      <c r="E521" s="587"/>
      <c r="F521" s="587"/>
      <c r="G521" s="587"/>
      <c r="H521" s="280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</row>
    <row r="522">
      <c r="A522" s="280"/>
      <c r="B522" s="280"/>
      <c r="C522" s="280"/>
      <c r="D522" s="587"/>
      <c r="E522" s="587"/>
      <c r="F522" s="587"/>
      <c r="G522" s="587"/>
      <c r="H522" s="280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</row>
    <row r="523">
      <c r="A523" s="280"/>
      <c r="B523" s="280"/>
      <c r="C523" s="280"/>
      <c r="D523" s="587"/>
      <c r="E523" s="587"/>
      <c r="F523" s="587"/>
      <c r="G523" s="587"/>
      <c r="H523" s="280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</row>
    <row r="524">
      <c r="A524" s="280"/>
      <c r="B524" s="280"/>
      <c r="C524" s="280"/>
      <c r="D524" s="587"/>
      <c r="E524" s="587"/>
      <c r="F524" s="587"/>
      <c r="G524" s="587"/>
      <c r="H524" s="280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</row>
    <row r="525">
      <c r="A525" s="280"/>
      <c r="B525" s="280"/>
      <c r="C525" s="280"/>
      <c r="D525" s="587"/>
      <c r="E525" s="587"/>
      <c r="F525" s="587"/>
      <c r="G525" s="587"/>
      <c r="H525" s="280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</row>
    <row r="526">
      <c r="A526" s="280"/>
      <c r="B526" s="280"/>
      <c r="C526" s="280"/>
      <c r="D526" s="587"/>
      <c r="E526" s="587"/>
      <c r="F526" s="587"/>
      <c r="G526" s="587"/>
      <c r="H526" s="280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</row>
    <row r="527">
      <c r="A527" s="280"/>
      <c r="B527" s="280"/>
      <c r="C527" s="280"/>
      <c r="D527" s="587"/>
      <c r="E527" s="587"/>
      <c r="F527" s="587"/>
      <c r="G527" s="587"/>
      <c r="H527" s="280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</row>
    <row r="528">
      <c r="A528" s="280"/>
      <c r="B528" s="280"/>
      <c r="C528" s="280"/>
      <c r="D528" s="587"/>
      <c r="E528" s="587"/>
      <c r="F528" s="587"/>
      <c r="G528" s="587"/>
      <c r="H528" s="280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</row>
    <row r="529">
      <c r="A529" s="280"/>
      <c r="B529" s="280"/>
      <c r="C529" s="280"/>
      <c r="D529" s="587"/>
      <c r="E529" s="587"/>
      <c r="F529" s="587"/>
      <c r="G529" s="587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</row>
    <row r="530">
      <c r="A530" s="280"/>
      <c r="B530" s="280"/>
      <c r="C530" s="280"/>
      <c r="D530" s="587"/>
      <c r="E530" s="587"/>
      <c r="F530" s="587"/>
      <c r="G530" s="587"/>
      <c r="H530" s="280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</row>
    <row r="531">
      <c r="A531" s="280"/>
      <c r="B531" s="280"/>
      <c r="C531" s="280"/>
      <c r="D531" s="587"/>
      <c r="E531" s="587"/>
      <c r="F531" s="587"/>
      <c r="G531" s="587"/>
      <c r="H531" s="280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</row>
    <row r="532">
      <c r="A532" s="280"/>
      <c r="B532" s="280"/>
      <c r="C532" s="280"/>
      <c r="D532" s="587"/>
      <c r="E532" s="587"/>
      <c r="F532" s="587"/>
      <c r="G532" s="587"/>
      <c r="H532" s="280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</row>
    <row r="533">
      <c r="A533" s="280"/>
      <c r="B533" s="280"/>
      <c r="C533" s="280"/>
      <c r="D533" s="587"/>
      <c r="E533" s="587"/>
      <c r="F533" s="587"/>
      <c r="G533" s="587"/>
      <c r="H533" s="280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</row>
    <row r="534">
      <c r="A534" s="280"/>
      <c r="B534" s="280"/>
      <c r="C534" s="280"/>
      <c r="D534" s="587"/>
      <c r="E534" s="587"/>
      <c r="F534" s="587"/>
      <c r="G534" s="587"/>
      <c r="H534" s="280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</row>
    <row r="535">
      <c r="A535" s="280"/>
      <c r="B535" s="280"/>
      <c r="C535" s="280"/>
      <c r="D535" s="587"/>
      <c r="E535" s="587"/>
      <c r="F535" s="587"/>
      <c r="G535" s="587"/>
      <c r="H535" s="280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</row>
    <row r="536">
      <c r="A536" s="280"/>
      <c r="B536" s="280"/>
      <c r="C536" s="280"/>
      <c r="D536" s="587"/>
      <c r="E536" s="587"/>
      <c r="F536" s="587"/>
      <c r="G536" s="587"/>
      <c r="H536" s="280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</row>
    <row r="537">
      <c r="A537" s="280"/>
      <c r="B537" s="280"/>
      <c r="C537" s="280"/>
      <c r="D537" s="587"/>
      <c r="E537" s="587"/>
      <c r="F537" s="587"/>
      <c r="G537" s="587"/>
      <c r="H537" s="280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</row>
    <row r="538">
      <c r="A538" s="280"/>
      <c r="B538" s="280"/>
      <c r="C538" s="280"/>
      <c r="D538" s="587"/>
      <c r="E538" s="587"/>
      <c r="F538" s="587"/>
      <c r="G538" s="587"/>
      <c r="H538" s="280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</row>
    <row r="539">
      <c r="A539" s="280"/>
      <c r="B539" s="280"/>
      <c r="C539" s="280"/>
      <c r="D539" s="587"/>
      <c r="E539" s="587"/>
      <c r="F539" s="587"/>
      <c r="G539" s="587"/>
      <c r="H539" s="280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</row>
    <row r="540">
      <c r="A540" s="280"/>
      <c r="B540" s="280"/>
      <c r="C540" s="280"/>
      <c r="D540" s="587"/>
      <c r="E540" s="587"/>
      <c r="F540" s="587"/>
      <c r="G540" s="587"/>
      <c r="H540" s="280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</row>
    <row r="541">
      <c r="A541" s="280"/>
      <c r="B541" s="280"/>
      <c r="C541" s="280"/>
      <c r="D541" s="587"/>
      <c r="E541" s="587"/>
      <c r="F541" s="587"/>
      <c r="G541" s="587"/>
      <c r="H541" s="280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</row>
    <row r="542">
      <c r="A542" s="280"/>
      <c r="B542" s="280"/>
      <c r="C542" s="280"/>
      <c r="D542" s="587"/>
      <c r="E542" s="587"/>
      <c r="F542" s="587"/>
      <c r="G542" s="587"/>
      <c r="H542" s="280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</row>
    <row r="543">
      <c r="A543" s="280"/>
      <c r="B543" s="280"/>
      <c r="C543" s="280"/>
      <c r="D543" s="587"/>
      <c r="E543" s="587"/>
      <c r="F543" s="587"/>
      <c r="G543" s="587"/>
      <c r="H543" s="280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</row>
    <row r="544">
      <c r="A544" s="280"/>
      <c r="B544" s="280"/>
      <c r="C544" s="280"/>
      <c r="D544" s="587"/>
      <c r="E544" s="587"/>
      <c r="F544" s="587"/>
      <c r="G544" s="587"/>
      <c r="H544" s="280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</row>
    <row r="545">
      <c r="A545" s="280"/>
      <c r="B545" s="280"/>
      <c r="C545" s="280"/>
      <c r="D545" s="587"/>
      <c r="E545" s="587"/>
      <c r="F545" s="587"/>
      <c r="G545" s="587"/>
      <c r="H545" s="280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</row>
    <row r="546">
      <c r="A546" s="280"/>
      <c r="B546" s="280"/>
      <c r="C546" s="280"/>
      <c r="D546" s="587"/>
      <c r="E546" s="587"/>
      <c r="F546" s="587"/>
      <c r="G546" s="587"/>
      <c r="H546" s="280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</row>
    <row r="547">
      <c r="A547" s="280"/>
      <c r="B547" s="280"/>
      <c r="C547" s="280"/>
      <c r="D547" s="587"/>
      <c r="E547" s="587"/>
      <c r="F547" s="587"/>
      <c r="G547" s="587"/>
      <c r="H547" s="280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</row>
    <row r="548">
      <c r="A548" s="280"/>
      <c r="B548" s="280"/>
      <c r="C548" s="280"/>
      <c r="D548" s="587"/>
      <c r="E548" s="587"/>
      <c r="F548" s="587"/>
      <c r="G548" s="587"/>
      <c r="H548" s="280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</row>
    <row r="549">
      <c r="A549" s="280"/>
      <c r="B549" s="280"/>
      <c r="C549" s="280"/>
      <c r="D549" s="587"/>
      <c r="E549" s="587"/>
      <c r="F549" s="587"/>
      <c r="G549" s="587"/>
      <c r="H549" s="280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</row>
    <row r="550">
      <c r="A550" s="280"/>
      <c r="B550" s="280"/>
      <c r="C550" s="280"/>
      <c r="D550" s="587"/>
      <c r="E550" s="587"/>
      <c r="F550" s="587"/>
      <c r="G550" s="587"/>
      <c r="H550" s="280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</row>
    <row r="551">
      <c r="A551" s="280"/>
      <c r="B551" s="280"/>
      <c r="C551" s="280"/>
      <c r="D551" s="587"/>
      <c r="E551" s="587"/>
      <c r="F551" s="587"/>
      <c r="G551" s="587"/>
      <c r="H551" s="280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</row>
    <row r="552">
      <c r="A552" s="280"/>
      <c r="B552" s="280"/>
      <c r="C552" s="280"/>
      <c r="D552" s="587"/>
      <c r="E552" s="587"/>
      <c r="F552" s="587"/>
      <c r="G552" s="587"/>
      <c r="H552" s="280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</row>
    <row r="553">
      <c r="A553" s="280"/>
      <c r="B553" s="280"/>
      <c r="C553" s="280"/>
      <c r="D553" s="587"/>
      <c r="E553" s="587"/>
      <c r="F553" s="587"/>
      <c r="G553" s="587"/>
      <c r="H553" s="280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</row>
    <row r="554">
      <c r="A554" s="280"/>
      <c r="B554" s="280"/>
      <c r="C554" s="280"/>
      <c r="D554" s="587"/>
      <c r="E554" s="587"/>
      <c r="F554" s="587"/>
      <c r="G554" s="587"/>
      <c r="H554" s="280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</row>
    <row r="555">
      <c r="A555" s="280"/>
      <c r="B555" s="280"/>
      <c r="C555" s="280"/>
      <c r="D555" s="587"/>
      <c r="E555" s="587"/>
      <c r="F555" s="587"/>
      <c r="G555" s="587"/>
      <c r="H555" s="280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</row>
    <row r="556">
      <c r="A556" s="280"/>
      <c r="B556" s="280"/>
      <c r="C556" s="280"/>
      <c r="D556" s="587"/>
      <c r="E556" s="587"/>
      <c r="F556" s="587"/>
      <c r="G556" s="587"/>
      <c r="H556" s="280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</row>
    <row r="557">
      <c r="A557" s="280"/>
      <c r="B557" s="280"/>
      <c r="C557" s="280"/>
      <c r="D557" s="587"/>
      <c r="E557" s="587"/>
      <c r="F557" s="587"/>
      <c r="G557" s="587"/>
      <c r="H557" s="280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</row>
    <row r="558">
      <c r="A558" s="280"/>
      <c r="B558" s="280"/>
      <c r="C558" s="280"/>
      <c r="D558" s="587"/>
      <c r="E558" s="587"/>
      <c r="F558" s="587"/>
      <c r="G558" s="587"/>
      <c r="H558" s="280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</row>
    <row r="559">
      <c r="A559" s="280"/>
      <c r="B559" s="280"/>
      <c r="C559" s="280"/>
      <c r="D559" s="587"/>
      <c r="E559" s="587"/>
      <c r="F559" s="587"/>
      <c r="G559" s="587"/>
      <c r="H559" s="280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</row>
    <row r="560">
      <c r="A560" s="280"/>
      <c r="B560" s="280"/>
      <c r="C560" s="280"/>
      <c r="D560" s="587"/>
      <c r="E560" s="587"/>
      <c r="F560" s="587"/>
      <c r="G560" s="587"/>
      <c r="H560" s="280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</row>
    <row r="561">
      <c r="A561" s="280"/>
      <c r="B561" s="280"/>
      <c r="C561" s="280"/>
      <c r="D561" s="587"/>
      <c r="E561" s="587"/>
      <c r="F561" s="587"/>
      <c r="G561" s="587"/>
      <c r="H561" s="280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</row>
    <row r="562">
      <c r="A562" s="280"/>
      <c r="B562" s="280"/>
      <c r="C562" s="280"/>
      <c r="D562" s="587"/>
      <c r="E562" s="587"/>
      <c r="F562" s="587"/>
      <c r="G562" s="587"/>
      <c r="H562" s="280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</row>
    <row r="563">
      <c r="A563" s="280"/>
      <c r="B563" s="280"/>
      <c r="C563" s="280"/>
      <c r="D563" s="587"/>
      <c r="E563" s="587"/>
      <c r="F563" s="587"/>
      <c r="G563" s="587"/>
      <c r="H563" s="280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</row>
    <row r="564">
      <c r="A564" s="280"/>
      <c r="B564" s="280"/>
      <c r="C564" s="280"/>
      <c r="D564" s="587"/>
      <c r="E564" s="587"/>
      <c r="F564" s="587"/>
      <c r="G564" s="587"/>
      <c r="H564" s="280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</row>
    <row r="565">
      <c r="A565" s="280"/>
      <c r="B565" s="280"/>
      <c r="C565" s="280"/>
      <c r="D565" s="587"/>
      <c r="E565" s="587"/>
      <c r="F565" s="587"/>
      <c r="G565" s="587"/>
      <c r="H565" s="280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</row>
    <row r="566">
      <c r="A566" s="280"/>
      <c r="B566" s="280"/>
      <c r="C566" s="280"/>
      <c r="D566" s="587"/>
      <c r="E566" s="587"/>
      <c r="F566" s="587"/>
      <c r="G566" s="587"/>
      <c r="H566" s="280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</row>
    <row r="567">
      <c r="A567" s="280"/>
      <c r="B567" s="280"/>
      <c r="C567" s="280"/>
      <c r="D567" s="587"/>
      <c r="E567" s="587"/>
      <c r="F567" s="587"/>
      <c r="G567" s="587"/>
      <c r="H567" s="280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</row>
    <row r="568">
      <c r="A568" s="280"/>
      <c r="B568" s="280"/>
      <c r="C568" s="280"/>
      <c r="D568" s="587"/>
      <c r="E568" s="587"/>
      <c r="F568" s="587"/>
      <c r="G568" s="587"/>
      <c r="H568" s="280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</row>
    <row r="569">
      <c r="A569" s="280"/>
      <c r="B569" s="280"/>
      <c r="C569" s="280"/>
      <c r="D569" s="587"/>
      <c r="E569" s="587"/>
      <c r="F569" s="587"/>
      <c r="G569" s="587"/>
      <c r="H569" s="280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</row>
    <row r="570">
      <c r="A570" s="280"/>
      <c r="B570" s="280"/>
      <c r="C570" s="280"/>
      <c r="D570" s="587"/>
      <c r="E570" s="587"/>
      <c r="F570" s="587"/>
      <c r="G570" s="587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</row>
    <row r="571">
      <c r="A571" s="280"/>
      <c r="B571" s="280"/>
      <c r="C571" s="280"/>
      <c r="D571" s="587"/>
      <c r="E571" s="587"/>
      <c r="F571" s="587"/>
      <c r="G571" s="587"/>
      <c r="H571" s="280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</row>
    <row r="572">
      <c r="A572" s="280"/>
      <c r="B572" s="280"/>
      <c r="C572" s="280"/>
      <c r="D572" s="587"/>
      <c r="E572" s="587"/>
      <c r="F572" s="587"/>
      <c r="G572" s="587"/>
      <c r="H572" s="280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</row>
    <row r="573">
      <c r="A573" s="280"/>
      <c r="B573" s="280"/>
      <c r="C573" s="280"/>
      <c r="D573" s="587"/>
      <c r="E573" s="587"/>
      <c r="F573" s="587"/>
      <c r="G573" s="587"/>
      <c r="H573" s="280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</row>
    <row r="574">
      <c r="A574" s="280"/>
      <c r="B574" s="280"/>
      <c r="C574" s="280"/>
      <c r="D574" s="587"/>
      <c r="E574" s="587"/>
      <c r="F574" s="587"/>
      <c r="G574" s="587"/>
      <c r="H574" s="280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</row>
    <row r="575">
      <c r="A575" s="280"/>
      <c r="B575" s="280"/>
      <c r="C575" s="280"/>
      <c r="D575" s="587"/>
      <c r="E575" s="587"/>
      <c r="F575" s="587"/>
      <c r="G575" s="587"/>
      <c r="H575" s="280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</row>
    <row r="576">
      <c r="A576" s="280"/>
      <c r="B576" s="280"/>
      <c r="C576" s="280"/>
      <c r="D576" s="587"/>
      <c r="E576" s="587"/>
      <c r="F576" s="587"/>
      <c r="G576" s="587"/>
      <c r="H576" s="280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</row>
    <row r="577">
      <c r="A577" s="280"/>
      <c r="B577" s="280"/>
      <c r="C577" s="280"/>
      <c r="D577" s="587"/>
      <c r="E577" s="587"/>
      <c r="F577" s="587"/>
      <c r="G577" s="587"/>
      <c r="H577" s="280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</row>
    <row r="578">
      <c r="A578" s="280"/>
      <c r="B578" s="280"/>
      <c r="C578" s="280"/>
      <c r="D578" s="587"/>
      <c r="E578" s="587"/>
      <c r="F578" s="587"/>
      <c r="G578" s="587"/>
      <c r="H578" s="280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</row>
    <row r="579">
      <c r="A579" s="280"/>
      <c r="B579" s="280"/>
      <c r="C579" s="280"/>
      <c r="D579" s="587"/>
      <c r="E579" s="587"/>
      <c r="F579" s="587"/>
      <c r="G579" s="587"/>
      <c r="H579" s="280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</row>
    <row r="580">
      <c r="A580" s="280"/>
      <c r="B580" s="280"/>
      <c r="C580" s="280"/>
      <c r="D580" s="587"/>
      <c r="E580" s="587"/>
      <c r="F580" s="587"/>
      <c r="G580" s="587"/>
      <c r="H580" s="280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</row>
    <row r="581">
      <c r="A581" s="280"/>
      <c r="B581" s="280"/>
      <c r="C581" s="280"/>
      <c r="D581" s="587"/>
      <c r="E581" s="587"/>
      <c r="F581" s="587"/>
      <c r="G581" s="587"/>
      <c r="H581" s="280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</row>
    <row r="582">
      <c r="A582" s="280"/>
      <c r="B582" s="280"/>
      <c r="C582" s="280"/>
      <c r="D582" s="587"/>
      <c r="E582" s="587"/>
      <c r="F582" s="587"/>
      <c r="G582" s="587"/>
      <c r="H582" s="280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</row>
    <row r="583">
      <c r="A583" s="280"/>
      <c r="B583" s="280"/>
      <c r="C583" s="280"/>
      <c r="D583" s="587"/>
      <c r="E583" s="587"/>
      <c r="F583" s="587"/>
      <c r="G583" s="587"/>
      <c r="H583" s="280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</row>
    <row r="584">
      <c r="A584" s="280"/>
      <c r="B584" s="280"/>
      <c r="C584" s="280"/>
      <c r="D584" s="587"/>
      <c r="E584" s="587"/>
      <c r="F584" s="587"/>
      <c r="G584" s="587"/>
      <c r="H584" s="280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</row>
    <row r="585">
      <c r="A585" s="280"/>
      <c r="B585" s="280"/>
      <c r="C585" s="280"/>
      <c r="D585" s="587"/>
      <c r="E585" s="587"/>
      <c r="F585" s="587"/>
      <c r="G585" s="587"/>
      <c r="H585" s="280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</row>
    <row r="586">
      <c r="A586" s="280"/>
      <c r="B586" s="280"/>
      <c r="C586" s="280"/>
      <c r="D586" s="587"/>
      <c r="E586" s="587"/>
      <c r="F586" s="587"/>
      <c r="G586" s="587"/>
      <c r="H586" s="280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</row>
    <row r="587">
      <c r="A587" s="280"/>
      <c r="B587" s="280"/>
      <c r="C587" s="280"/>
      <c r="D587" s="587"/>
      <c r="E587" s="587"/>
      <c r="F587" s="587"/>
      <c r="G587" s="587"/>
      <c r="H587" s="280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</row>
    <row r="588">
      <c r="A588" s="280"/>
      <c r="B588" s="280"/>
      <c r="C588" s="280"/>
      <c r="D588" s="587"/>
      <c r="E588" s="587"/>
      <c r="F588" s="587"/>
      <c r="G588" s="587"/>
      <c r="H588" s="280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</row>
    <row r="589">
      <c r="A589" s="280"/>
      <c r="B589" s="280"/>
      <c r="C589" s="280"/>
      <c r="D589" s="587"/>
      <c r="E589" s="587"/>
      <c r="F589" s="587"/>
      <c r="G589" s="587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</row>
    <row r="590">
      <c r="A590" s="280"/>
      <c r="B590" s="280"/>
      <c r="C590" s="280"/>
      <c r="D590" s="587"/>
      <c r="E590" s="587"/>
      <c r="F590" s="587"/>
      <c r="G590" s="587"/>
      <c r="H590" s="280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</row>
    <row r="591">
      <c r="A591" s="280"/>
      <c r="B591" s="280"/>
      <c r="C591" s="280"/>
      <c r="D591" s="587"/>
      <c r="E591" s="587"/>
      <c r="F591" s="587"/>
      <c r="G591" s="587"/>
      <c r="H591" s="280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</row>
    <row r="592">
      <c r="A592" s="280"/>
      <c r="B592" s="280"/>
      <c r="C592" s="280"/>
      <c r="D592" s="587"/>
      <c r="E592" s="587"/>
      <c r="F592" s="587"/>
      <c r="G592" s="587"/>
      <c r="H592" s="280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</row>
    <row r="593">
      <c r="A593" s="280"/>
      <c r="B593" s="280"/>
      <c r="C593" s="280"/>
      <c r="D593" s="587"/>
      <c r="E593" s="587"/>
      <c r="F593" s="587"/>
      <c r="G593" s="587"/>
      <c r="H593" s="280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</row>
    <row r="594">
      <c r="A594" s="280"/>
      <c r="B594" s="280"/>
      <c r="C594" s="280"/>
      <c r="D594" s="587"/>
      <c r="E594" s="587"/>
      <c r="F594" s="587"/>
      <c r="G594" s="587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</row>
    <row r="595">
      <c r="A595" s="280"/>
      <c r="B595" s="280"/>
      <c r="C595" s="280"/>
      <c r="D595" s="587"/>
      <c r="E595" s="587"/>
      <c r="F595" s="587"/>
      <c r="G595" s="587"/>
      <c r="H595" s="280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</row>
    <row r="596">
      <c r="A596" s="280"/>
      <c r="B596" s="280"/>
      <c r="C596" s="280"/>
      <c r="D596" s="587"/>
      <c r="E596" s="587"/>
      <c r="F596" s="587"/>
      <c r="G596" s="587"/>
      <c r="H596" s="280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</row>
    <row r="597">
      <c r="A597" s="280"/>
      <c r="B597" s="280"/>
      <c r="C597" s="280"/>
      <c r="D597" s="587"/>
      <c r="E597" s="587"/>
      <c r="F597" s="587"/>
      <c r="G597" s="587"/>
      <c r="H597" s="280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</row>
    <row r="598">
      <c r="A598" s="280"/>
      <c r="B598" s="280"/>
      <c r="C598" s="280"/>
      <c r="D598" s="587"/>
      <c r="E598" s="587"/>
      <c r="F598" s="587"/>
      <c r="G598" s="587"/>
      <c r="H598" s="280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</row>
    <row r="599">
      <c r="A599" s="280"/>
      <c r="B599" s="280"/>
      <c r="C599" s="280"/>
      <c r="D599" s="587"/>
      <c r="E599" s="587"/>
      <c r="F599" s="587"/>
      <c r="G599" s="587"/>
      <c r="H599" s="280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</row>
    <row r="600">
      <c r="A600" s="280"/>
      <c r="B600" s="280"/>
      <c r="C600" s="280"/>
      <c r="D600" s="587"/>
      <c r="E600" s="587"/>
      <c r="F600" s="587"/>
      <c r="G600" s="587"/>
      <c r="H600" s="280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</row>
    <row r="601">
      <c r="A601" s="280"/>
      <c r="B601" s="280"/>
      <c r="C601" s="280"/>
      <c r="D601" s="587"/>
      <c r="E601" s="587"/>
      <c r="F601" s="587"/>
      <c r="G601" s="587"/>
      <c r="H601" s="280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</row>
    <row r="602">
      <c r="A602" s="280"/>
      <c r="B602" s="280"/>
      <c r="C602" s="280"/>
      <c r="D602" s="587"/>
      <c r="E602" s="587"/>
      <c r="F602" s="587"/>
      <c r="G602" s="587"/>
      <c r="H602" s="280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</row>
    <row r="603">
      <c r="A603" s="280"/>
      <c r="B603" s="280"/>
      <c r="C603" s="280"/>
      <c r="D603" s="587"/>
      <c r="E603" s="587"/>
      <c r="F603" s="587"/>
      <c r="G603" s="587"/>
      <c r="H603" s="280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</row>
    <row r="604">
      <c r="A604" s="280"/>
      <c r="B604" s="280"/>
      <c r="C604" s="280"/>
      <c r="D604" s="587"/>
      <c r="E604" s="587"/>
      <c r="F604" s="587"/>
      <c r="G604" s="587"/>
      <c r="H604" s="280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</row>
    <row r="605">
      <c r="A605" s="280"/>
      <c r="B605" s="280"/>
      <c r="C605" s="280"/>
      <c r="D605" s="587"/>
      <c r="E605" s="587"/>
      <c r="F605" s="587"/>
      <c r="G605" s="587"/>
      <c r="H605" s="280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</row>
    <row r="606">
      <c r="A606" s="280"/>
      <c r="B606" s="280"/>
      <c r="C606" s="280"/>
      <c r="D606" s="587"/>
      <c r="E606" s="587"/>
      <c r="F606" s="587"/>
      <c r="G606" s="587"/>
      <c r="H606" s="280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</row>
    <row r="607">
      <c r="A607" s="280"/>
      <c r="B607" s="280"/>
      <c r="C607" s="280"/>
      <c r="D607" s="587"/>
      <c r="E607" s="587"/>
      <c r="F607" s="587"/>
      <c r="G607" s="587"/>
      <c r="H607" s="280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</row>
    <row r="608">
      <c r="A608" s="280"/>
      <c r="B608" s="280"/>
      <c r="C608" s="280"/>
      <c r="D608" s="587"/>
      <c r="E608" s="587"/>
      <c r="F608" s="587"/>
      <c r="G608" s="587"/>
      <c r="H608" s="280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</row>
    <row r="609">
      <c r="A609" s="280"/>
      <c r="B609" s="280"/>
      <c r="C609" s="280"/>
      <c r="D609" s="587"/>
      <c r="E609" s="587"/>
      <c r="F609" s="587"/>
      <c r="G609" s="587"/>
      <c r="H609" s="280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</row>
    <row r="610">
      <c r="A610" s="280"/>
      <c r="B610" s="280"/>
      <c r="C610" s="280"/>
      <c r="D610" s="587"/>
      <c r="E610" s="587"/>
      <c r="F610" s="587"/>
      <c r="G610" s="587"/>
      <c r="H610" s="280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</row>
    <row r="611">
      <c r="A611" s="280"/>
      <c r="B611" s="280"/>
      <c r="C611" s="280"/>
      <c r="D611" s="587"/>
      <c r="E611" s="587"/>
      <c r="F611" s="587"/>
      <c r="G611" s="587"/>
      <c r="H611" s="280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</row>
    <row r="612">
      <c r="A612" s="280"/>
      <c r="B612" s="280"/>
      <c r="C612" s="280"/>
      <c r="D612" s="587"/>
      <c r="E612" s="587"/>
      <c r="F612" s="587"/>
      <c r="G612" s="587"/>
      <c r="H612" s="280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</row>
    <row r="613">
      <c r="A613" s="280"/>
      <c r="B613" s="280"/>
      <c r="C613" s="280"/>
      <c r="D613" s="587"/>
      <c r="E613" s="587"/>
      <c r="F613" s="587"/>
      <c r="G613" s="587"/>
      <c r="H613" s="280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</row>
    <row r="614">
      <c r="A614" s="280"/>
      <c r="B614" s="280"/>
      <c r="C614" s="280"/>
      <c r="D614" s="587"/>
      <c r="E614" s="587"/>
      <c r="F614" s="587"/>
      <c r="G614" s="587"/>
      <c r="H614" s="280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</row>
    <row r="615">
      <c r="A615" s="280"/>
      <c r="B615" s="280"/>
      <c r="C615" s="280"/>
      <c r="D615" s="587"/>
      <c r="E615" s="587"/>
      <c r="F615" s="587"/>
      <c r="G615" s="587"/>
      <c r="H615" s="280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</row>
    <row r="616">
      <c r="A616" s="280"/>
      <c r="B616" s="280"/>
      <c r="C616" s="280"/>
      <c r="D616" s="587"/>
      <c r="E616" s="587"/>
      <c r="F616" s="587"/>
      <c r="G616" s="587"/>
      <c r="H616" s="280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</row>
    <row r="617">
      <c r="A617" s="280"/>
      <c r="B617" s="280"/>
      <c r="C617" s="280"/>
      <c r="D617" s="587"/>
      <c r="E617" s="587"/>
      <c r="F617" s="587"/>
      <c r="G617" s="587"/>
      <c r="H617" s="280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</row>
    <row r="618">
      <c r="A618" s="280"/>
      <c r="B618" s="280"/>
      <c r="C618" s="280"/>
      <c r="D618" s="587"/>
      <c r="E618" s="587"/>
      <c r="F618" s="587"/>
      <c r="G618" s="587"/>
      <c r="H618" s="280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</row>
    <row r="619">
      <c r="A619" s="280"/>
      <c r="B619" s="280"/>
      <c r="C619" s="280"/>
      <c r="D619" s="587"/>
      <c r="E619" s="587"/>
      <c r="F619" s="587"/>
      <c r="G619" s="587"/>
      <c r="H619" s="280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</row>
    <row r="620">
      <c r="A620" s="280"/>
      <c r="B620" s="280"/>
      <c r="C620" s="280"/>
      <c r="D620" s="587"/>
      <c r="E620" s="587"/>
      <c r="F620" s="587"/>
      <c r="G620" s="587"/>
      <c r="H620" s="280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</row>
    <row r="621">
      <c r="A621" s="280"/>
      <c r="B621" s="280"/>
      <c r="C621" s="280"/>
      <c r="D621" s="587"/>
      <c r="E621" s="587"/>
      <c r="F621" s="587"/>
      <c r="G621" s="587"/>
      <c r="H621" s="280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</row>
    <row r="622">
      <c r="A622" s="280"/>
      <c r="B622" s="280"/>
      <c r="C622" s="280"/>
      <c r="D622" s="587"/>
      <c r="E622" s="587"/>
      <c r="F622" s="587"/>
      <c r="G622" s="587"/>
      <c r="H622" s="280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</row>
    <row r="623">
      <c r="A623" s="280"/>
      <c r="B623" s="280"/>
      <c r="C623" s="280"/>
      <c r="D623" s="587"/>
      <c r="E623" s="587"/>
      <c r="F623" s="587"/>
      <c r="G623" s="587"/>
      <c r="H623" s="280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</row>
    <row r="624">
      <c r="A624" s="280"/>
      <c r="B624" s="280"/>
      <c r="C624" s="280"/>
      <c r="D624" s="587"/>
      <c r="E624" s="587"/>
      <c r="F624" s="587"/>
      <c r="G624" s="587"/>
      <c r="H624" s="280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</row>
    <row r="625">
      <c r="A625" s="280"/>
      <c r="B625" s="280"/>
      <c r="C625" s="280"/>
      <c r="D625" s="587"/>
      <c r="E625" s="587"/>
      <c r="F625" s="587"/>
      <c r="G625" s="587"/>
      <c r="H625" s="280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</row>
    <row r="626">
      <c r="A626" s="280"/>
      <c r="B626" s="280"/>
      <c r="C626" s="280"/>
      <c r="D626" s="587"/>
      <c r="E626" s="587"/>
      <c r="F626" s="587"/>
      <c r="G626" s="587"/>
      <c r="H626" s="280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</row>
    <row r="627">
      <c r="A627" s="280"/>
      <c r="B627" s="280"/>
      <c r="C627" s="280"/>
      <c r="D627" s="587"/>
      <c r="E627" s="587"/>
      <c r="F627" s="587"/>
      <c r="G627" s="587"/>
      <c r="H627" s="280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</row>
    <row r="628">
      <c r="A628" s="280"/>
      <c r="B628" s="280"/>
      <c r="C628" s="280"/>
      <c r="D628" s="587"/>
      <c r="E628" s="587"/>
      <c r="F628" s="587"/>
      <c r="G628" s="587"/>
      <c r="H628" s="280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</row>
    <row r="629">
      <c r="A629" s="280"/>
      <c r="B629" s="280"/>
      <c r="C629" s="280"/>
      <c r="D629" s="587"/>
      <c r="E629" s="587"/>
      <c r="F629" s="587"/>
      <c r="G629" s="587"/>
      <c r="H629" s="280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</row>
    <row r="630">
      <c r="A630" s="280"/>
      <c r="B630" s="280"/>
      <c r="C630" s="280"/>
      <c r="D630" s="587"/>
      <c r="E630" s="587"/>
      <c r="F630" s="587"/>
      <c r="G630" s="587"/>
      <c r="H630" s="280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</row>
    <row r="631">
      <c r="A631" s="280"/>
      <c r="B631" s="280"/>
      <c r="C631" s="280"/>
      <c r="D631" s="587"/>
      <c r="E631" s="587"/>
      <c r="F631" s="587"/>
      <c r="G631" s="587"/>
      <c r="H631" s="280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</row>
    <row r="632">
      <c r="A632" s="280"/>
      <c r="B632" s="280"/>
      <c r="C632" s="280"/>
      <c r="D632" s="587"/>
      <c r="E632" s="587"/>
      <c r="F632" s="587"/>
      <c r="G632" s="587"/>
      <c r="H632" s="280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</row>
    <row r="633">
      <c r="A633" s="280"/>
      <c r="B633" s="280"/>
      <c r="C633" s="280"/>
      <c r="D633" s="587"/>
      <c r="E633" s="587"/>
      <c r="F633" s="587"/>
      <c r="G633" s="587"/>
      <c r="H633" s="280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</row>
    <row r="634">
      <c r="A634" s="280"/>
      <c r="B634" s="280"/>
      <c r="C634" s="280"/>
      <c r="D634" s="587"/>
      <c r="E634" s="587"/>
      <c r="F634" s="587"/>
      <c r="G634" s="587"/>
      <c r="H634" s="280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</row>
    <row r="635">
      <c r="A635" s="280"/>
      <c r="B635" s="280"/>
      <c r="C635" s="280"/>
      <c r="D635" s="587"/>
      <c r="E635" s="587"/>
      <c r="F635" s="587"/>
      <c r="G635" s="587"/>
      <c r="H635" s="280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</row>
    <row r="636">
      <c r="A636" s="280"/>
      <c r="B636" s="280"/>
      <c r="C636" s="280"/>
      <c r="D636" s="587"/>
      <c r="E636" s="587"/>
      <c r="F636" s="587"/>
      <c r="G636" s="587"/>
      <c r="H636" s="280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</row>
    <row r="637">
      <c r="A637" s="280"/>
      <c r="B637" s="280"/>
      <c r="C637" s="280"/>
      <c r="D637" s="587"/>
      <c r="E637" s="587"/>
      <c r="F637" s="587"/>
      <c r="G637" s="587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</row>
    <row r="638">
      <c r="A638" s="280"/>
      <c r="B638" s="280"/>
      <c r="C638" s="280"/>
      <c r="D638" s="587"/>
      <c r="E638" s="587"/>
      <c r="F638" s="587"/>
      <c r="G638" s="587"/>
      <c r="H638" s="280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</row>
    <row r="639">
      <c r="A639" s="280"/>
      <c r="B639" s="280"/>
      <c r="C639" s="280"/>
      <c r="D639" s="587"/>
      <c r="E639" s="587"/>
      <c r="F639" s="587"/>
      <c r="G639" s="587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</row>
    <row r="640">
      <c r="A640" s="280"/>
      <c r="B640" s="280"/>
      <c r="C640" s="280"/>
      <c r="D640" s="587"/>
      <c r="E640" s="587"/>
      <c r="F640" s="587"/>
      <c r="G640" s="587"/>
      <c r="H640" s="280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</row>
    <row r="641">
      <c r="A641" s="280"/>
      <c r="B641" s="280"/>
      <c r="C641" s="280"/>
      <c r="D641" s="587"/>
      <c r="E641" s="587"/>
      <c r="F641" s="587"/>
      <c r="G641" s="587"/>
      <c r="H641" s="280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</row>
    <row r="642">
      <c r="A642" s="280"/>
      <c r="B642" s="280"/>
      <c r="C642" s="280"/>
      <c r="D642" s="587"/>
      <c r="E642" s="587"/>
      <c r="F642" s="587"/>
      <c r="G642" s="587"/>
      <c r="H642" s="280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</row>
    <row r="643">
      <c r="A643" s="280"/>
      <c r="B643" s="280"/>
      <c r="C643" s="280"/>
      <c r="D643" s="587"/>
      <c r="E643" s="587"/>
      <c r="F643" s="587"/>
      <c r="G643" s="587"/>
      <c r="H643" s="280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</row>
    <row r="644">
      <c r="A644" s="280"/>
      <c r="B644" s="280"/>
      <c r="C644" s="280"/>
      <c r="D644" s="587"/>
      <c r="E644" s="587"/>
      <c r="F644" s="587"/>
      <c r="G644" s="587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</row>
    <row r="645">
      <c r="A645" s="280"/>
      <c r="B645" s="280"/>
      <c r="C645" s="280"/>
      <c r="D645" s="587"/>
      <c r="E645" s="587"/>
      <c r="F645" s="587"/>
      <c r="G645" s="587"/>
      <c r="H645" s="280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</row>
    <row r="646">
      <c r="A646" s="280"/>
      <c r="B646" s="280"/>
      <c r="C646" s="280"/>
      <c r="D646" s="587"/>
      <c r="E646" s="587"/>
      <c r="F646" s="587"/>
      <c r="G646" s="587"/>
      <c r="H646" s="280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</row>
    <row r="647">
      <c r="A647" s="280"/>
      <c r="B647" s="280"/>
      <c r="C647" s="280"/>
      <c r="D647" s="587"/>
      <c r="E647" s="587"/>
      <c r="F647" s="587"/>
      <c r="G647" s="587"/>
      <c r="H647" s="280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</row>
    <row r="648">
      <c r="A648" s="280"/>
      <c r="B648" s="280"/>
      <c r="C648" s="280"/>
      <c r="D648" s="587"/>
      <c r="E648" s="587"/>
      <c r="F648" s="587"/>
      <c r="G648" s="587"/>
      <c r="H648" s="280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</row>
    <row r="649">
      <c r="A649" s="280"/>
      <c r="B649" s="280"/>
      <c r="C649" s="280"/>
      <c r="D649" s="587"/>
      <c r="E649" s="587"/>
      <c r="F649" s="587"/>
      <c r="G649" s="587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</row>
    <row r="650">
      <c r="A650" s="280"/>
      <c r="B650" s="280"/>
      <c r="C650" s="280"/>
      <c r="D650" s="587"/>
      <c r="E650" s="587"/>
      <c r="F650" s="587"/>
      <c r="G650" s="587"/>
      <c r="H650" s="280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</row>
    <row r="651">
      <c r="A651" s="280"/>
      <c r="B651" s="280"/>
      <c r="C651" s="280"/>
      <c r="D651" s="587"/>
      <c r="E651" s="587"/>
      <c r="F651" s="587"/>
      <c r="G651" s="587"/>
      <c r="H651" s="280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</row>
    <row r="652">
      <c r="A652" s="280"/>
      <c r="B652" s="280"/>
      <c r="C652" s="280"/>
      <c r="D652" s="587"/>
      <c r="E652" s="587"/>
      <c r="F652" s="587"/>
      <c r="G652" s="587"/>
      <c r="H652" s="280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</row>
    <row r="653">
      <c r="A653" s="280"/>
      <c r="B653" s="280"/>
      <c r="C653" s="280"/>
      <c r="D653" s="587"/>
      <c r="E653" s="587"/>
      <c r="F653" s="587"/>
      <c r="G653" s="587"/>
      <c r="H653" s="280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</row>
    <row r="654">
      <c r="A654" s="280"/>
      <c r="B654" s="280"/>
      <c r="C654" s="280"/>
      <c r="D654" s="587"/>
      <c r="E654" s="587"/>
      <c r="F654" s="587"/>
      <c r="G654" s="587"/>
      <c r="H654" s="280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</row>
    <row r="655">
      <c r="A655" s="280"/>
      <c r="B655" s="280"/>
      <c r="C655" s="280"/>
      <c r="D655" s="587"/>
      <c r="E655" s="587"/>
      <c r="F655" s="587"/>
      <c r="G655" s="587"/>
      <c r="H655" s="280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</row>
    <row r="656">
      <c r="A656" s="280"/>
      <c r="B656" s="280"/>
      <c r="C656" s="280"/>
      <c r="D656" s="587"/>
      <c r="E656" s="587"/>
      <c r="F656" s="587"/>
      <c r="G656" s="587"/>
      <c r="H656" s="280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</row>
    <row r="657">
      <c r="A657" s="280"/>
      <c r="B657" s="280"/>
      <c r="C657" s="280"/>
      <c r="D657" s="587"/>
      <c r="E657" s="587"/>
      <c r="F657" s="587"/>
      <c r="G657" s="587"/>
      <c r="H657" s="280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</row>
    <row r="658">
      <c r="A658" s="280"/>
      <c r="B658" s="280"/>
      <c r="C658" s="280"/>
      <c r="D658" s="587"/>
      <c r="E658" s="587"/>
      <c r="F658" s="587"/>
      <c r="G658" s="587"/>
      <c r="H658" s="280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</row>
    <row r="659">
      <c r="A659" s="280"/>
      <c r="B659" s="280"/>
      <c r="C659" s="280"/>
      <c r="D659" s="587"/>
      <c r="E659" s="587"/>
      <c r="F659" s="587"/>
      <c r="G659" s="587"/>
      <c r="H659" s="280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</row>
    <row r="660">
      <c r="A660" s="280"/>
      <c r="B660" s="280"/>
      <c r="C660" s="280"/>
      <c r="D660" s="587"/>
      <c r="E660" s="587"/>
      <c r="F660" s="587"/>
      <c r="G660" s="587"/>
      <c r="H660" s="280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</row>
    <row r="661">
      <c r="A661" s="280"/>
      <c r="B661" s="280"/>
      <c r="C661" s="280"/>
      <c r="D661" s="587"/>
      <c r="E661" s="587"/>
      <c r="F661" s="587"/>
      <c r="G661" s="587"/>
      <c r="H661" s="280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</row>
    <row r="662">
      <c r="A662" s="280"/>
      <c r="B662" s="280"/>
      <c r="C662" s="280"/>
      <c r="D662" s="587"/>
      <c r="E662" s="587"/>
      <c r="F662" s="587"/>
      <c r="G662" s="587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</row>
    <row r="663">
      <c r="A663" s="280"/>
      <c r="B663" s="280"/>
      <c r="C663" s="280"/>
      <c r="D663" s="587"/>
      <c r="E663" s="587"/>
      <c r="F663" s="587"/>
      <c r="G663" s="587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</row>
    <row r="664">
      <c r="A664" s="280"/>
      <c r="B664" s="280"/>
      <c r="C664" s="280"/>
      <c r="D664" s="587"/>
      <c r="E664" s="587"/>
      <c r="F664" s="587"/>
      <c r="G664" s="587"/>
      <c r="H664" s="280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</row>
    <row r="665">
      <c r="A665" s="280"/>
      <c r="B665" s="280"/>
      <c r="C665" s="280"/>
      <c r="D665" s="587"/>
      <c r="E665" s="587"/>
      <c r="F665" s="587"/>
      <c r="G665" s="587"/>
      <c r="H665" s="280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</row>
    <row r="666">
      <c r="A666" s="280"/>
      <c r="B666" s="280"/>
      <c r="C666" s="280"/>
      <c r="D666" s="587"/>
      <c r="E666" s="587"/>
      <c r="F666" s="587"/>
      <c r="G666" s="587"/>
      <c r="H666" s="280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</row>
    <row r="667">
      <c r="A667" s="280"/>
      <c r="B667" s="280"/>
      <c r="C667" s="280"/>
      <c r="D667" s="587"/>
      <c r="E667" s="587"/>
      <c r="F667" s="587"/>
      <c r="G667" s="587"/>
      <c r="H667" s="280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</row>
    <row r="668">
      <c r="A668" s="280"/>
      <c r="B668" s="280"/>
      <c r="C668" s="280"/>
      <c r="D668" s="587"/>
      <c r="E668" s="587"/>
      <c r="F668" s="587"/>
      <c r="G668" s="587"/>
      <c r="H668" s="280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</row>
    <row r="669">
      <c r="A669" s="280"/>
      <c r="B669" s="280"/>
      <c r="C669" s="280"/>
      <c r="D669" s="587"/>
      <c r="E669" s="587"/>
      <c r="F669" s="587"/>
      <c r="G669" s="587"/>
      <c r="H669" s="280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</row>
    <row r="670">
      <c r="A670" s="280"/>
      <c r="B670" s="280"/>
      <c r="C670" s="280"/>
      <c r="D670" s="587"/>
      <c r="E670" s="587"/>
      <c r="F670" s="587"/>
      <c r="G670" s="587"/>
      <c r="H670" s="280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</row>
    <row r="671">
      <c r="A671" s="280"/>
      <c r="B671" s="280"/>
      <c r="C671" s="280"/>
      <c r="D671" s="587"/>
      <c r="E671" s="587"/>
      <c r="F671" s="587"/>
      <c r="G671" s="587"/>
      <c r="H671" s="280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</row>
    <row r="672">
      <c r="A672" s="280"/>
      <c r="B672" s="280"/>
      <c r="C672" s="280"/>
      <c r="D672" s="587"/>
      <c r="E672" s="587"/>
      <c r="F672" s="587"/>
      <c r="G672" s="587"/>
      <c r="H672" s="280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</row>
    <row r="673">
      <c r="A673" s="280"/>
      <c r="B673" s="280"/>
      <c r="C673" s="280"/>
      <c r="D673" s="587"/>
      <c r="E673" s="587"/>
      <c r="F673" s="587"/>
      <c r="G673" s="587"/>
      <c r="H673" s="280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</row>
    <row r="674">
      <c r="A674" s="280"/>
      <c r="B674" s="280"/>
      <c r="C674" s="280"/>
      <c r="D674" s="587"/>
      <c r="E674" s="587"/>
      <c r="F674" s="587"/>
      <c r="G674" s="587"/>
      <c r="H674" s="280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</row>
    <row r="675">
      <c r="A675" s="280"/>
      <c r="B675" s="280"/>
      <c r="C675" s="280"/>
      <c r="D675" s="587"/>
      <c r="E675" s="587"/>
      <c r="F675" s="587"/>
      <c r="G675" s="587"/>
      <c r="H675" s="280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</row>
    <row r="676">
      <c r="A676" s="280"/>
      <c r="B676" s="280"/>
      <c r="C676" s="280"/>
      <c r="D676" s="587"/>
      <c r="E676" s="587"/>
      <c r="F676" s="587"/>
      <c r="G676" s="587"/>
      <c r="H676" s="280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</row>
    <row r="677">
      <c r="A677" s="280"/>
      <c r="B677" s="280"/>
      <c r="C677" s="280"/>
      <c r="D677" s="587"/>
      <c r="E677" s="587"/>
      <c r="F677" s="587"/>
      <c r="G677" s="587"/>
      <c r="H677" s="280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</row>
    <row r="678">
      <c r="A678" s="280"/>
      <c r="B678" s="280"/>
      <c r="C678" s="280"/>
      <c r="D678" s="587"/>
      <c r="E678" s="587"/>
      <c r="F678" s="587"/>
      <c r="G678" s="587"/>
      <c r="H678" s="280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</row>
    <row r="679">
      <c r="A679" s="280"/>
      <c r="B679" s="280"/>
      <c r="C679" s="280"/>
      <c r="D679" s="587"/>
      <c r="E679" s="587"/>
      <c r="F679" s="587"/>
      <c r="G679" s="587"/>
      <c r="H679" s="280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</row>
    <row r="680">
      <c r="A680" s="280"/>
      <c r="B680" s="280"/>
      <c r="C680" s="280"/>
      <c r="D680" s="587"/>
      <c r="E680" s="587"/>
      <c r="F680" s="587"/>
      <c r="G680" s="587"/>
      <c r="H680" s="280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</row>
    <row r="681">
      <c r="A681" s="280"/>
      <c r="B681" s="280"/>
      <c r="C681" s="280"/>
      <c r="D681" s="587"/>
      <c r="E681" s="587"/>
      <c r="F681" s="587"/>
      <c r="G681" s="587"/>
      <c r="H681" s="280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</row>
    <row r="682">
      <c r="A682" s="280"/>
      <c r="B682" s="280"/>
      <c r="C682" s="280"/>
      <c r="D682" s="587"/>
      <c r="E682" s="587"/>
      <c r="F682" s="587"/>
      <c r="G682" s="587"/>
      <c r="H682" s="280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</row>
    <row r="683">
      <c r="A683" s="280"/>
      <c r="B683" s="280"/>
      <c r="C683" s="280"/>
      <c r="D683" s="587"/>
      <c r="E683" s="587"/>
      <c r="F683" s="587"/>
      <c r="G683" s="587"/>
      <c r="H683" s="280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</row>
    <row r="684">
      <c r="A684" s="280"/>
      <c r="B684" s="280"/>
      <c r="C684" s="280"/>
      <c r="D684" s="587"/>
      <c r="E684" s="587"/>
      <c r="F684" s="587"/>
      <c r="G684" s="587"/>
      <c r="H684" s="280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</row>
    <row r="685">
      <c r="A685" s="280"/>
      <c r="B685" s="280"/>
      <c r="C685" s="280"/>
      <c r="D685" s="587"/>
      <c r="E685" s="587"/>
      <c r="F685" s="587"/>
      <c r="G685" s="587"/>
      <c r="H685" s="280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</row>
    <row r="686">
      <c r="A686" s="280"/>
      <c r="B686" s="280"/>
      <c r="C686" s="280"/>
      <c r="D686" s="587"/>
      <c r="E686" s="587"/>
      <c r="F686" s="587"/>
      <c r="G686" s="587"/>
      <c r="H686" s="280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</row>
    <row r="687">
      <c r="A687" s="280"/>
      <c r="B687" s="280"/>
      <c r="C687" s="280"/>
      <c r="D687" s="587"/>
      <c r="E687" s="587"/>
      <c r="F687" s="587"/>
      <c r="G687" s="587"/>
      <c r="H687" s="280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</row>
    <row r="688">
      <c r="A688" s="280"/>
      <c r="B688" s="280"/>
      <c r="C688" s="280"/>
      <c r="D688" s="587"/>
      <c r="E688" s="587"/>
      <c r="F688" s="587"/>
      <c r="G688" s="587"/>
      <c r="H688" s="280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</row>
    <row r="689">
      <c r="A689" s="280"/>
      <c r="B689" s="280"/>
      <c r="C689" s="280"/>
      <c r="D689" s="587"/>
      <c r="E689" s="587"/>
      <c r="F689" s="587"/>
      <c r="G689" s="587"/>
      <c r="H689" s="280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</row>
    <row r="690">
      <c r="A690" s="280"/>
      <c r="B690" s="280"/>
      <c r="C690" s="280"/>
      <c r="D690" s="587"/>
      <c r="E690" s="587"/>
      <c r="F690" s="587"/>
      <c r="G690" s="587"/>
      <c r="H690" s="280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</row>
    <row r="691">
      <c r="A691" s="280"/>
      <c r="B691" s="280"/>
      <c r="C691" s="280"/>
      <c r="D691" s="587"/>
      <c r="E691" s="587"/>
      <c r="F691" s="587"/>
      <c r="G691" s="587"/>
      <c r="H691" s="280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</row>
    <row r="692">
      <c r="A692" s="280"/>
      <c r="B692" s="280"/>
      <c r="C692" s="280"/>
      <c r="D692" s="587"/>
      <c r="E692" s="587"/>
      <c r="F692" s="587"/>
      <c r="G692" s="587"/>
      <c r="H692" s="280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</row>
    <row r="693">
      <c r="A693" s="280"/>
      <c r="B693" s="280"/>
      <c r="C693" s="280"/>
      <c r="D693" s="587"/>
      <c r="E693" s="587"/>
      <c r="F693" s="587"/>
      <c r="G693" s="587"/>
      <c r="H693" s="280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</row>
    <row r="694">
      <c r="A694" s="280"/>
      <c r="B694" s="280"/>
      <c r="C694" s="280"/>
      <c r="D694" s="587"/>
      <c r="E694" s="587"/>
      <c r="F694" s="587"/>
      <c r="G694" s="587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</row>
    <row r="695">
      <c r="A695" s="280"/>
      <c r="B695" s="280"/>
      <c r="C695" s="280"/>
      <c r="D695" s="587"/>
      <c r="E695" s="587"/>
      <c r="F695" s="587"/>
      <c r="G695" s="587"/>
      <c r="H695" s="280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</row>
    <row r="696">
      <c r="A696" s="280"/>
      <c r="B696" s="280"/>
      <c r="C696" s="280"/>
      <c r="D696" s="587"/>
      <c r="E696" s="587"/>
      <c r="F696" s="587"/>
      <c r="G696" s="587"/>
      <c r="H696" s="280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</row>
    <row r="697">
      <c r="A697" s="280"/>
      <c r="B697" s="280"/>
      <c r="C697" s="280"/>
      <c r="D697" s="587"/>
      <c r="E697" s="587"/>
      <c r="F697" s="587"/>
      <c r="G697" s="587"/>
      <c r="H697" s="280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</row>
    <row r="698">
      <c r="A698" s="280"/>
      <c r="B698" s="280"/>
      <c r="C698" s="280"/>
      <c r="D698" s="587"/>
      <c r="E698" s="587"/>
      <c r="F698" s="587"/>
      <c r="G698" s="587"/>
      <c r="H698" s="280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</row>
    <row r="699">
      <c r="A699" s="280"/>
      <c r="B699" s="280"/>
      <c r="C699" s="280"/>
      <c r="D699" s="587"/>
      <c r="E699" s="587"/>
      <c r="F699" s="587"/>
      <c r="G699" s="587"/>
      <c r="H699" s="280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</row>
    <row r="700">
      <c r="A700" s="280"/>
      <c r="B700" s="280"/>
      <c r="C700" s="280"/>
      <c r="D700" s="587"/>
      <c r="E700" s="587"/>
      <c r="F700" s="587"/>
      <c r="G700" s="587"/>
      <c r="H700" s="280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</row>
    <row r="701">
      <c r="A701" s="280"/>
      <c r="B701" s="280"/>
      <c r="C701" s="280"/>
      <c r="D701" s="587"/>
      <c r="E701" s="587"/>
      <c r="F701" s="587"/>
      <c r="G701" s="587"/>
      <c r="H701" s="280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</row>
    <row r="702">
      <c r="A702" s="280"/>
      <c r="B702" s="280"/>
      <c r="C702" s="280"/>
      <c r="D702" s="587"/>
      <c r="E702" s="587"/>
      <c r="F702" s="587"/>
      <c r="G702" s="587"/>
      <c r="H702" s="280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</row>
    <row r="703">
      <c r="A703" s="280"/>
      <c r="B703" s="280"/>
      <c r="C703" s="280"/>
      <c r="D703" s="587"/>
      <c r="E703" s="587"/>
      <c r="F703" s="587"/>
      <c r="G703" s="587"/>
      <c r="H703" s="280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</row>
    <row r="704">
      <c r="A704" s="280"/>
      <c r="B704" s="280"/>
      <c r="C704" s="280"/>
      <c r="D704" s="587"/>
      <c r="E704" s="587"/>
      <c r="F704" s="587"/>
      <c r="G704" s="587"/>
      <c r="H704" s="280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</row>
    <row r="705">
      <c r="A705" s="280"/>
      <c r="B705" s="280"/>
      <c r="C705" s="280"/>
      <c r="D705" s="587"/>
      <c r="E705" s="587"/>
      <c r="F705" s="587"/>
      <c r="G705" s="587"/>
      <c r="H705" s="280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</row>
    <row r="706">
      <c r="A706" s="280"/>
      <c r="B706" s="280"/>
      <c r="C706" s="280"/>
      <c r="D706" s="587"/>
      <c r="E706" s="587"/>
      <c r="F706" s="587"/>
      <c r="G706" s="587"/>
      <c r="H706" s="280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</row>
    <row r="707">
      <c r="A707" s="280"/>
      <c r="B707" s="280"/>
      <c r="C707" s="280"/>
      <c r="D707" s="587"/>
      <c r="E707" s="587"/>
      <c r="F707" s="587"/>
      <c r="G707" s="587"/>
      <c r="H707" s="280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</row>
    <row r="708">
      <c r="A708" s="280"/>
      <c r="B708" s="280"/>
      <c r="C708" s="280"/>
      <c r="D708" s="587"/>
      <c r="E708" s="587"/>
      <c r="F708" s="587"/>
      <c r="G708" s="587"/>
      <c r="H708" s="280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</row>
    <row r="709">
      <c r="A709" s="280"/>
      <c r="B709" s="280"/>
      <c r="C709" s="280"/>
      <c r="D709" s="587"/>
      <c r="E709" s="587"/>
      <c r="F709" s="587"/>
      <c r="G709" s="587"/>
      <c r="H709" s="280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</row>
    <row r="710">
      <c r="A710" s="280"/>
      <c r="B710" s="280"/>
      <c r="C710" s="280"/>
      <c r="D710" s="587"/>
      <c r="E710" s="587"/>
      <c r="F710" s="587"/>
      <c r="G710" s="587"/>
      <c r="H710" s="280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</row>
    <row r="711">
      <c r="A711" s="280"/>
      <c r="B711" s="280"/>
      <c r="C711" s="280"/>
      <c r="D711" s="587"/>
      <c r="E711" s="587"/>
      <c r="F711" s="587"/>
      <c r="G711" s="587"/>
      <c r="H711" s="280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</row>
    <row r="712">
      <c r="A712" s="280"/>
      <c r="B712" s="280"/>
      <c r="C712" s="280"/>
      <c r="D712" s="587"/>
      <c r="E712" s="587"/>
      <c r="F712" s="587"/>
      <c r="G712" s="587"/>
      <c r="H712" s="280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</row>
    <row r="713">
      <c r="A713" s="280"/>
      <c r="B713" s="280"/>
      <c r="C713" s="280"/>
      <c r="D713" s="587"/>
      <c r="E713" s="587"/>
      <c r="F713" s="587"/>
      <c r="G713" s="587"/>
      <c r="H713" s="280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</row>
    <row r="714">
      <c r="A714" s="280"/>
      <c r="B714" s="280"/>
      <c r="C714" s="280"/>
      <c r="D714" s="587"/>
      <c r="E714" s="587"/>
      <c r="F714" s="587"/>
      <c r="G714" s="587"/>
      <c r="H714" s="280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</row>
    <row r="715">
      <c r="A715" s="280"/>
      <c r="B715" s="280"/>
      <c r="C715" s="280"/>
      <c r="D715" s="587"/>
      <c r="E715" s="587"/>
      <c r="F715" s="587"/>
      <c r="G715" s="587"/>
      <c r="H715" s="280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</row>
    <row r="716">
      <c r="A716" s="280"/>
      <c r="B716" s="280"/>
      <c r="C716" s="280"/>
      <c r="D716" s="587"/>
      <c r="E716" s="587"/>
      <c r="F716" s="587"/>
      <c r="G716" s="587"/>
      <c r="H716" s="280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</row>
    <row r="717">
      <c r="A717" s="280"/>
      <c r="B717" s="280"/>
      <c r="C717" s="280"/>
      <c r="D717" s="587"/>
      <c r="E717" s="587"/>
      <c r="F717" s="587"/>
      <c r="G717" s="587"/>
      <c r="H717" s="280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</row>
    <row r="718">
      <c r="A718" s="280"/>
      <c r="B718" s="280"/>
      <c r="C718" s="280"/>
      <c r="D718" s="587"/>
      <c r="E718" s="587"/>
      <c r="F718" s="587"/>
      <c r="G718" s="587"/>
      <c r="H718" s="280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</row>
    <row r="719">
      <c r="A719" s="280"/>
      <c r="B719" s="280"/>
      <c r="C719" s="280"/>
      <c r="D719" s="587"/>
      <c r="E719" s="587"/>
      <c r="F719" s="587"/>
      <c r="G719" s="587"/>
      <c r="H719" s="280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</row>
    <row r="720">
      <c r="A720" s="280"/>
      <c r="B720" s="280"/>
      <c r="C720" s="280"/>
      <c r="D720" s="587"/>
      <c r="E720" s="587"/>
      <c r="F720" s="587"/>
      <c r="G720" s="587"/>
      <c r="H720" s="280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</row>
    <row r="721">
      <c r="A721" s="280"/>
      <c r="B721" s="280"/>
      <c r="C721" s="280"/>
      <c r="D721" s="587"/>
      <c r="E721" s="587"/>
      <c r="F721" s="587"/>
      <c r="G721" s="587"/>
      <c r="H721" s="280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</row>
    <row r="722">
      <c r="A722" s="280"/>
      <c r="B722" s="280"/>
      <c r="C722" s="280"/>
      <c r="D722" s="587"/>
      <c r="E722" s="587"/>
      <c r="F722" s="587"/>
      <c r="G722" s="587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</row>
    <row r="723">
      <c r="A723" s="280"/>
      <c r="B723" s="280"/>
      <c r="C723" s="280"/>
      <c r="D723" s="587"/>
      <c r="E723" s="587"/>
      <c r="F723" s="587"/>
      <c r="G723" s="587"/>
      <c r="H723" s="280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</row>
    <row r="724">
      <c r="A724" s="280"/>
      <c r="B724" s="280"/>
      <c r="C724" s="280"/>
      <c r="D724" s="587"/>
      <c r="E724" s="587"/>
      <c r="F724" s="587"/>
      <c r="G724" s="587"/>
      <c r="H724" s="280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</row>
    <row r="725">
      <c r="A725" s="280"/>
      <c r="B725" s="280"/>
      <c r="C725" s="280"/>
      <c r="D725" s="587"/>
      <c r="E725" s="587"/>
      <c r="F725" s="587"/>
      <c r="G725" s="587"/>
      <c r="H725" s="280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</row>
    <row r="726">
      <c r="A726" s="280"/>
      <c r="B726" s="280"/>
      <c r="C726" s="280"/>
      <c r="D726" s="587"/>
      <c r="E726" s="587"/>
      <c r="F726" s="587"/>
      <c r="G726" s="587"/>
      <c r="H726" s="280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</row>
    <row r="727">
      <c r="A727" s="280"/>
      <c r="B727" s="280"/>
      <c r="C727" s="280"/>
      <c r="D727" s="587"/>
      <c r="E727" s="587"/>
      <c r="F727" s="587"/>
      <c r="G727" s="587"/>
      <c r="H727" s="280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</row>
    <row r="728">
      <c r="A728" s="280"/>
      <c r="B728" s="280"/>
      <c r="C728" s="280"/>
      <c r="D728" s="587"/>
      <c r="E728" s="587"/>
      <c r="F728" s="587"/>
      <c r="G728" s="587"/>
      <c r="H728" s="280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</row>
    <row r="729">
      <c r="A729" s="280"/>
      <c r="B729" s="280"/>
      <c r="C729" s="280"/>
      <c r="D729" s="587"/>
      <c r="E729" s="587"/>
      <c r="F729" s="587"/>
      <c r="G729" s="587"/>
      <c r="H729" s="280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</row>
    <row r="730">
      <c r="A730" s="280"/>
      <c r="B730" s="280"/>
      <c r="C730" s="280"/>
      <c r="D730" s="587"/>
      <c r="E730" s="587"/>
      <c r="F730" s="587"/>
      <c r="G730" s="587"/>
      <c r="H730" s="280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</row>
    <row r="731">
      <c r="A731" s="280"/>
      <c r="B731" s="280"/>
      <c r="C731" s="280"/>
      <c r="D731" s="587"/>
      <c r="E731" s="587"/>
      <c r="F731" s="587"/>
      <c r="G731" s="587"/>
      <c r="H731" s="280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</row>
    <row r="732">
      <c r="A732" s="280"/>
      <c r="B732" s="280"/>
      <c r="C732" s="280"/>
      <c r="D732" s="587"/>
      <c r="E732" s="587"/>
      <c r="F732" s="587"/>
      <c r="G732" s="587"/>
      <c r="H732" s="280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</row>
    <row r="733">
      <c r="A733" s="280"/>
      <c r="B733" s="280"/>
      <c r="C733" s="280"/>
      <c r="D733" s="587"/>
      <c r="E733" s="587"/>
      <c r="F733" s="587"/>
      <c r="G733" s="587"/>
      <c r="H733" s="280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</row>
    <row r="734">
      <c r="A734" s="280"/>
      <c r="B734" s="280"/>
      <c r="C734" s="280"/>
      <c r="D734" s="587"/>
      <c r="E734" s="587"/>
      <c r="F734" s="587"/>
      <c r="G734" s="587"/>
      <c r="H734" s="280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</row>
    <row r="735">
      <c r="A735" s="280"/>
      <c r="B735" s="280"/>
      <c r="C735" s="280"/>
      <c r="D735" s="587"/>
      <c r="E735" s="587"/>
      <c r="F735" s="587"/>
      <c r="G735" s="587"/>
      <c r="H735" s="280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</row>
    <row r="736">
      <c r="A736" s="280"/>
      <c r="B736" s="280"/>
      <c r="C736" s="280"/>
      <c r="D736" s="587"/>
      <c r="E736" s="587"/>
      <c r="F736" s="587"/>
      <c r="G736" s="587"/>
      <c r="H736" s="280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</row>
    <row r="737">
      <c r="A737" s="280"/>
      <c r="B737" s="280"/>
      <c r="C737" s="280"/>
      <c r="D737" s="587"/>
      <c r="E737" s="587"/>
      <c r="F737" s="587"/>
      <c r="G737" s="587"/>
      <c r="H737" s="280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</row>
    <row r="738">
      <c r="A738" s="280"/>
      <c r="B738" s="280"/>
      <c r="C738" s="280"/>
      <c r="D738" s="587"/>
      <c r="E738" s="587"/>
      <c r="F738" s="587"/>
      <c r="G738" s="587"/>
      <c r="H738" s="280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</row>
    <row r="739">
      <c r="A739" s="280"/>
      <c r="B739" s="280"/>
      <c r="C739" s="280"/>
      <c r="D739" s="587"/>
      <c r="E739" s="587"/>
      <c r="F739" s="587"/>
      <c r="G739" s="587"/>
      <c r="H739" s="280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</row>
    <row r="740">
      <c r="A740" s="280"/>
      <c r="B740" s="280"/>
      <c r="C740" s="280"/>
      <c r="D740" s="587"/>
      <c r="E740" s="587"/>
      <c r="F740" s="587"/>
      <c r="G740" s="587"/>
      <c r="H740" s="280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</row>
    <row r="741">
      <c r="A741" s="280"/>
      <c r="B741" s="280"/>
      <c r="C741" s="280"/>
      <c r="D741" s="587"/>
      <c r="E741" s="587"/>
      <c r="F741" s="587"/>
      <c r="G741" s="587"/>
      <c r="H741" s="280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</row>
    <row r="742">
      <c r="A742" s="280"/>
      <c r="B742" s="280"/>
      <c r="C742" s="280"/>
      <c r="D742" s="587"/>
      <c r="E742" s="587"/>
      <c r="F742" s="587"/>
      <c r="G742" s="587"/>
      <c r="H742" s="280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</row>
    <row r="743">
      <c r="A743" s="280"/>
      <c r="B743" s="280"/>
      <c r="C743" s="280"/>
      <c r="D743" s="587"/>
      <c r="E743" s="587"/>
      <c r="F743" s="587"/>
      <c r="G743" s="587"/>
      <c r="H743" s="280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</row>
    <row r="744">
      <c r="A744" s="280"/>
      <c r="B744" s="280"/>
      <c r="C744" s="280"/>
      <c r="D744" s="587"/>
      <c r="E744" s="587"/>
      <c r="F744" s="587"/>
      <c r="G744" s="587"/>
      <c r="H744" s="280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</row>
    <row r="745">
      <c r="A745" s="280"/>
      <c r="B745" s="280"/>
      <c r="C745" s="280"/>
      <c r="D745" s="587"/>
      <c r="E745" s="587"/>
      <c r="F745" s="587"/>
      <c r="G745" s="587"/>
      <c r="H745" s="280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</row>
    <row r="746">
      <c r="A746" s="280"/>
      <c r="B746" s="280"/>
      <c r="C746" s="280"/>
      <c r="D746" s="587"/>
      <c r="E746" s="587"/>
      <c r="F746" s="587"/>
      <c r="G746" s="587"/>
      <c r="H746" s="280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</row>
    <row r="747">
      <c r="A747" s="280"/>
      <c r="B747" s="280"/>
      <c r="C747" s="280"/>
      <c r="D747" s="587"/>
      <c r="E747" s="587"/>
      <c r="F747" s="587"/>
      <c r="G747" s="587"/>
      <c r="H747" s="280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</row>
    <row r="748">
      <c r="A748" s="280"/>
      <c r="B748" s="280"/>
      <c r="C748" s="280"/>
      <c r="D748" s="587"/>
      <c r="E748" s="587"/>
      <c r="F748" s="587"/>
      <c r="G748" s="587"/>
      <c r="H748" s="280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</row>
    <row r="749">
      <c r="A749" s="280"/>
      <c r="B749" s="280"/>
      <c r="C749" s="280"/>
      <c r="D749" s="587"/>
      <c r="E749" s="587"/>
      <c r="F749" s="587"/>
      <c r="G749" s="587"/>
      <c r="H749" s="280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</row>
    <row r="750">
      <c r="A750" s="280"/>
      <c r="B750" s="280"/>
      <c r="C750" s="280"/>
      <c r="D750" s="587"/>
      <c r="E750" s="587"/>
      <c r="F750" s="587"/>
      <c r="G750" s="587"/>
      <c r="H750" s="280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</row>
    <row r="751">
      <c r="A751" s="280"/>
      <c r="B751" s="280"/>
      <c r="C751" s="280"/>
      <c r="D751" s="587"/>
      <c r="E751" s="587"/>
      <c r="F751" s="587"/>
      <c r="G751" s="587"/>
      <c r="H751" s="280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</row>
    <row r="752">
      <c r="A752" s="280"/>
      <c r="B752" s="280"/>
      <c r="C752" s="280"/>
      <c r="D752" s="587"/>
      <c r="E752" s="587"/>
      <c r="F752" s="587"/>
      <c r="G752" s="587"/>
      <c r="H752" s="280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</row>
    <row r="753">
      <c r="A753" s="280"/>
      <c r="B753" s="280"/>
      <c r="C753" s="280"/>
      <c r="D753" s="587"/>
      <c r="E753" s="587"/>
      <c r="F753" s="587"/>
      <c r="G753" s="587"/>
      <c r="H753" s="280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</row>
    <row r="754">
      <c r="A754" s="280"/>
      <c r="B754" s="280"/>
      <c r="C754" s="280"/>
      <c r="D754" s="587"/>
      <c r="E754" s="587"/>
      <c r="F754" s="587"/>
      <c r="G754" s="587"/>
      <c r="H754" s="280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</row>
    <row r="755">
      <c r="A755" s="280"/>
      <c r="B755" s="280"/>
      <c r="C755" s="280"/>
      <c r="D755" s="587"/>
      <c r="E755" s="587"/>
      <c r="F755" s="587"/>
      <c r="G755" s="587"/>
      <c r="H755" s="280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</row>
    <row r="756">
      <c r="A756" s="280"/>
      <c r="B756" s="280"/>
      <c r="C756" s="280"/>
      <c r="D756" s="587"/>
      <c r="E756" s="587"/>
      <c r="F756" s="587"/>
      <c r="G756" s="587"/>
      <c r="H756" s="280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</row>
    <row r="757">
      <c r="A757" s="280"/>
      <c r="B757" s="280"/>
      <c r="C757" s="280"/>
      <c r="D757" s="587"/>
      <c r="E757" s="587"/>
      <c r="F757" s="587"/>
      <c r="G757" s="587"/>
      <c r="H757" s="280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</row>
    <row r="758">
      <c r="A758" s="280"/>
      <c r="B758" s="280"/>
      <c r="C758" s="280"/>
      <c r="D758" s="587"/>
      <c r="E758" s="587"/>
      <c r="F758" s="587"/>
      <c r="G758" s="587"/>
      <c r="H758" s="280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</row>
    <row r="759">
      <c r="A759" s="280"/>
      <c r="B759" s="280"/>
      <c r="C759" s="280"/>
      <c r="D759" s="587"/>
      <c r="E759" s="587"/>
      <c r="F759" s="587"/>
      <c r="G759" s="587"/>
      <c r="H759" s="280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</row>
    <row r="760">
      <c r="A760" s="280"/>
      <c r="B760" s="280"/>
      <c r="C760" s="280"/>
      <c r="D760" s="587"/>
      <c r="E760" s="587"/>
      <c r="F760" s="587"/>
      <c r="G760" s="587"/>
      <c r="H760" s="280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</row>
    <row r="761">
      <c r="A761" s="280"/>
      <c r="B761" s="280"/>
      <c r="C761" s="280"/>
      <c r="D761" s="587"/>
      <c r="E761" s="587"/>
      <c r="F761" s="587"/>
      <c r="G761" s="587"/>
      <c r="H761" s="280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</row>
    <row r="762">
      <c r="A762" s="280"/>
      <c r="B762" s="280"/>
      <c r="C762" s="280"/>
      <c r="D762" s="587"/>
      <c r="E762" s="587"/>
      <c r="F762" s="587"/>
      <c r="G762" s="587"/>
      <c r="H762" s="280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</row>
    <row r="763">
      <c r="A763" s="280"/>
      <c r="B763" s="280"/>
      <c r="C763" s="280"/>
      <c r="D763" s="587"/>
      <c r="E763" s="587"/>
      <c r="F763" s="587"/>
      <c r="G763" s="587"/>
      <c r="H763" s="280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</row>
    <row r="764">
      <c r="A764" s="280"/>
      <c r="B764" s="280"/>
      <c r="C764" s="280"/>
      <c r="D764" s="587"/>
      <c r="E764" s="587"/>
      <c r="F764" s="587"/>
      <c r="G764" s="587"/>
      <c r="H764" s="280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</row>
    <row r="765">
      <c r="A765" s="280"/>
      <c r="B765" s="280"/>
      <c r="C765" s="280"/>
      <c r="D765" s="587"/>
      <c r="E765" s="587"/>
      <c r="F765" s="587"/>
      <c r="G765" s="587"/>
      <c r="H765" s="280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</row>
    <row r="766">
      <c r="A766" s="280"/>
      <c r="B766" s="280"/>
      <c r="C766" s="280"/>
      <c r="D766" s="587"/>
      <c r="E766" s="587"/>
      <c r="F766" s="587"/>
      <c r="G766" s="587"/>
      <c r="H766" s="280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</row>
    <row r="767">
      <c r="A767" s="280"/>
      <c r="B767" s="280"/>
      <c r="C767" s="280"/>
      <c r="D767" s="587"/>
      <c r="E767" s="587"/>
      <c r="F767" s="587"/>
      <c r="G767" s="587"/>
      <c r="H767" s="280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</row>
    <row r="768">
      <c r="A768" s="280"/>
      <c r="B768" s="280"/>
      <c r="C768" s="280"/>
      <c r="D768" s="587"/>
      <c r="E768" s="587"/>
      <c r="F768" s="587"/>
      <c r="G768" s="587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</row>
    <row r="769">
      <c r="A769" s="280"/>
      <c r="B769" s="280"/>
      <c r="C769" s="280"/>
      <c r="D769" s="587"/>
      <c r="E769" s="587"/>
      <c r="F769" s="587"/>
      <c r="G769" s="587"/>
      <c r="H769" s="280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</row>
    <row r="770">
      <c r="A770" s="280"/>
      <c r="B770" s="280"/>
      <c r="C770" s="280"/>
      <c r="D770" s="587"/>
      <c r="E770" s="587"/>
      <c r="F770" s="587"/>
      <c r="G770" s="587"/>
      <c r="H770" s="280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</row>
    <row r="771">
      <c r="A771" s="280"/>
      <c r="B771" s="280"/>
      <c r="C771" s="280"/>
      <c r="D771" s="587"/>
      <c r="E771" s="587"/>
      <c r="F771" s="587"/>
      <c r="G771" s="587"/>
      <c r="H771" s="280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</row>
    <row r="772">
      <c r="A772" s="280"/>
      <c r="B772" s="280"/>
      <c r="C772" s="280"/>
      <c r="D772" s="587"/>
      <c r="E772" s="587"/>
      <c r="F772" s="587"/>
      <c r="G772" s="587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</row>
    <row r="773">
      <c r="A773" s="280"/>
      <c r="B773" s="280"/>
      <c r="C773" s="280"/>
      <c r="D773" s="587"/>
      <c r="E773" s="587"/>
      <c r="F773" s="587"/>
      <c r="G773" s="587"/>
      <c r="H773" s="280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</row>
    <row r="774">
      <c r="A774" s="280"/>
      <c r="B774" s="280"/>
      <c r="C774" s="280"/>
      <c r="D774" s="587"/>
      <c r="E774" s="587"/>
      <c r="F774" s="587"/>
      <c r="G774" s="587"/>
      <c r="H774" s="280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</row>
    <row r="775">
      <c r="A775" s="280"/>
      <c r="B775" s="280"/>
      <c r="C775" s="280"/>
      <c r="D775" s="587"/>
      <c r="E775" s="587"/>
      <c r="F775" s="587"/>
      <c r="G775" s="587"/>
      <c r="H775" s="280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</row>
    <row r="776">
      <c r="A776" s="280"/>
      <c r="B776" s="280"/>
      <c r="C776" s="280"/>
      <c r="D776" s="587"/>
      <c r="E776" s="587"/>
      <c r="F776" s="587"/>
      <c r="G776" s="587"/>
      <c r="H776" s="280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</row>
    <row r="777">
      <c r="A777" s="280"/>
      <c r="B777" s="280"/>
      <c r="C777" s="280"/>
      <c r="D777" s="587"/>
      <c r="E777" s="587"/>
      <c r="F777" s="587"/>
      <c r="G777" s="587"/>
      <c r="H777" s="280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</row>
    <row r="778">
      <c r="A778" s="280"/>
      <c r="B778" s="280"/>
      <c r="C778" s="280"/>
      <c r="D778" s="587"/>
      <c r="E778" s="587"/>
      <c r="F778" s="587"/>
      <c r="G778" s="587"/>
      <c r="H778" s="280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</row>
    <row r="779">
      <c r="A779" s="280"/>
      <c r="B779" s="280"/>
      <c r="C779" s="280"/>
      <c r="D779" s="587"/>
      <c r="E779" s="587"/>
      <c r="F779" s="587"/>
      <c r="G779" s="587"/>
      <c r="H779" s="280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</row>
    <row r="780">
      <c r="A780" s="280"/>
      <c r="B780" s="280"/>
      <c r="C780" s="280"/>
      <c r="D780" s="587"/>
      <c r="E780" s="587"/>
      <c r="F780" s="587"/>
      <c r="G780" s="587"/>
      <c r="H780" s="280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</row>
    <row r="781">
      <c r="A781" s="280"/>
      <c r="B781" s="280"/>
      <c r="C781" s="280"/>
      <c r="D781" s="587"/>
      <c r="E781" s="587"/>
      <c r="F781" s="587"/>
      <c r="G781" s="587"/>
      <c r="H781" s="280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</row>
    <row r="782">
      <c r="A782" s="280"/>
      <c r="B782" s="280"/>
      <c r="C782" s="280"/>
      <c r="D782" s="587"/>
      <c r="E782" s="587"/>
      <c r="F782" s="587"/>
      <c r="G782" s="587"/>
      <c r="H782" s="280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</row>
    <row r="783">
      <c r="A783" s="280"/>
      <c r="B783" s="280"/>
      <c r="C783" s="280"/>
      <c r="D783" s="587"/>
      <c r="E783" s="587"/>
      <c r="F783" s="587"/>
      <c r="G783" s="587"/>
      <c r="H783" s="280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</row>
    <row r="784">
      <c r="A784" s="280"/>
      <c r="B784" s="280"/>
      <c r="C784" s="280"/>
      <c r="D784" s="587"/>
      <c r="E784" s="587"/>
      <c r="F784" s="587"/>
      <c r="G784" s="587"/>
      <c r="H784" s="280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</row>
    <row r="785">
      <c r="A785" s="280"/>
      <c r="B785" s="280"/>
      <c r="C785" s="280"/>
      <c r="D785" s="587"/>
      <c r="E785" s="587"/>
      <c r="F785" s="587"/>
      <c r="G785" s="587"/>
      <c r="H785" s="280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</row>
    <row r="786">
      <c r="A786" s="280"/>
      <c r="B786" s="280"/>
      <c r="C786" s="280"/>
      <c r="D786" s="587"/>
      <c r="E786" s="587"/>
      <c r="F786" s="587"/>
      <c r="G786" s="587"/>
      <c r="H786" s="280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</row>
    <row r="787">
      <c r="A787" s="280"/>
      <c r="B787" s="280"/>
      <c r="C787" s="280"/>
      <c r="D787" s="587"/>
      <c r="E787" s="587"/>
      <c r="F787" s="587"/>
      <c r="G787" s="587"/>
      <c r="H787" s="280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</row>
    <row r="788">
      <c r="A788" s="280"/>
      <c r="B788" s="280"/>
      <c r="C788" s="280"/>
      <c r="D788" s="587"/>
      <c r="E788" s="587"/>
      <c r="F788" s="587"/>
      <c r="G788" s="587"/>
      <c r="H788" s="280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</row>
    <row r="789">
      <c r="A789" s="280"/>
      <c r="B789" s="280"/>
      <c r="C789" s="280"/>
      <c r="D789" s="587"/>
      <c r="E789" s="587"/>
      <c r="F789" s="587"/>
      <c r="G789" s="587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</row>
    <row r="790">
      <c r="A790" s="280"/>
      <c r="B790" s="280"/>
      <c r="C790" s="280"/>
      <c r="D790" s="587"/>
      <c r="E790" s="587"/>
      <c r="F790" s="587"/>
      <c r="G790" s="587"/>
      <c r="H790" s="280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</row>
    <row r="791">
      <c r="A791" s="280"/>
      <c r="B791" s="280"/>
      <c r="C791" s="280"/>
      <c r="D791" s="587"/>
      <c r="E791" s="587"/>
      <c r="F791" s="587"/>
      <c r="G791" s="587"/>
      <c r="H791" s="280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</row>
    <row r="792">
      <c r="A792" s="280"/>
      <c r="B792" s="280"/>
      <c r="C792" s="280"/>
      <c r="D792" s="587"/>
      <c r="E792" s="587"/>
      <c r="F792" s="587"/>
      <c r="G792" s="587"/>
      <c r="H792" s="280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</row>
    <row r="793">
      <c r="A793" s="280"/>
      <c r="B793" s="280"/>
      <c r="C793" s="280"/>
      <c r="D793" s="587"/>
      <c r="E793" s="587"/>
      <c r="F793" s="587"/>
      <c r="G793" s="587"/>
      <c r="H793" s="280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</row>
    <row r="794">
      <c r="A794" s="280"/>
      <c r="B794" s="280"/>
      <c r="C794" s="280"/>
      <c r="D794" s="587"/>
      <c r="E794" s="587"/>
      <c r="F794" s="587"/>
      <c r="G794" s="587"/>
      <c r="H794" s="280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</row>
    <row r="795">
      <c r="A795" s="280"/>
      <c r="B795" s="280"/>
      <c r="C795" s="280"/>
      <c r="D795" s="587"/>
      <c r="E795" s="587"/>
      <c r="F795" s="587"/>
      <c r="G795" s="587"/>
      <c r="H795" s="280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</row>
    <row r="796">
      <c r="A796" s="280"/>
      <c r="B796" s="280"/>
      <c r="C796" s="280"/>
      <c r="D796" s="587"/>
      <c r="E796" s="587"/>
      <c r="F796" s="587"/>
      <c r="G796" s="587"/>
      <c r="H796" s="280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</row>
    <row r="797">
      <c r="A797" s="280"/>
      <c r="B797" s="280"/>
      <c r="C797" s="280"/>
      <c r="D797" s="587"/>
      <c r="E797" s="587"/>
      <c r="F797" s="587"/>
      <c r="G797" s="587"/>
      <c r="H797" s="280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</row>
    <row r="798">
      <c r="A798" s="280"/>
      <c r="B798" s="280"/>
      <c r="C798" s="280"/>
      <c r="D798" s="587"/>
      <c r="E798" s="587"/>
      <c r="F798" s="587"/>
      <c r="G798" s="587"/>
      <c r="H798" s="280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</row>
    <row r="799">
      <c r="A799" s="280"/>
      <c r="B799" s="280"/>
      <c r="C799" s="280"/>
      <c r="D799" s="587"/>
      <c r="E799" s="587"/>
      <c r="F799" s="587"/>
      <c r="G799" s="587"/>
      <c r="H799" s="280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</row>
    <row r="800">
      <c r="A800" s="280"/>
      <c r="B800" s="280"/>
      <c r="C800" s="280"/>
      <c r="D800" s="587"/>
      <c r="E800" s="587"/>
      <c r="F800" s="587"/>
      <c r="G800" s="587"/>
      <c r="H800" s="280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</row>
    <row r="801">
      <c r="A801" s="280"/>
      <c r="B801" s="280"/>
      <c r="C801" s="280"/>
      <c r="D801" s="587"/>
      <c r="E801" s="587"/>
      <c r="F801" s="587"/>
      <c r="G801" s="587"/>
      <c r="H801" s="280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</row>
    <row r="802">
      <c r="A802" s="280"/>
      <c r="B802" s="280"/>
      <c r="C802" s="280"/>
      <c r="D802" s="587"/>
      <c r="E802" s="587"/>
      <c r="F802" s="587"/>
      <c r="G802" s="587"/>
      <c r="H802" s="280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</row>
    <row r="803">
      <c r="A803" s="280"/>
      <c r="B803" s="280"/>
      <c r="C803" s="280"/>
      <c r="D803" s="587"/>
      <c r="E803" s="587"/>
      <c r="F803" s="587"/>
      <c r="G803" s="587"/>
      <c r="H803" s="280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</row>
    <row r="804">
      <c r="A804" s="280"/>
      <c r="B804" s="280"/>
      <c r="C804" s="280"/>
      <c r="D804" s="587"/>
      <c r="E804" s="587"/>
      <c r="F804" s="587"/>
      <c r="G804" s="587"/>
      <c r="H804" s="280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</row>
    <row r="805">
      <c r="A805" s="280"/>
      <c r="B805" s="280"/>
      <c r="C805" s="280"/>
      <c r="D805" s="587"/>
      <c r="E805" s="587"/>
      <c r="F805" s="587"/>
      <c r="G805" s="587"/>
      <c r="H805" s="280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</row>
    <row r="806">
      <c r="A806" s="280"/>
      <c r="B806" s="280"/>
      <c r="C806" s="280"/>
      <c r="D806" s="587"/>
      <c r="E806" s="587"/>
      <c r="F806" s="587"/>
      <c r="G806" s="587"/>
      <c r="H806" s="280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</row>
    <row r="807">
      <c r="A807" s="280"/>
      <c r="B807" s="280"/>
      <c r="C807" s="280"/>
      <c r="D807" s="587"/>
      <c r="E807" s="587"/>
      <c r="F807" s="587"/>
      <c r="G807" s="587"/>
      <c r="H807" s="280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</row>
    <row r="808">
      <c r="A808" s="280"/>
      <c r="B808" s="280"/>
      <c r="C808" s="280"/>
      <c r="D808" s="587"/>
      <c r="E808" s="587"/>
      <c r="F808" s="587"/>
      <c r="G808" s="587"/>
      <c r="H808" s="280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</row>
    <row r="809">
      <c r="A809" s="280"/>
      <c r="B809" s="280"/>
      <c r="C809" s="280"/>
      <c r="D809" s="587"/>
      <c r="E809" s="587"/>
      <c r="F809" s="587"/>
      <c r="G809" s="587"/>
      <c r="H809" s="280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</row>
    <row r="810">
      <c r="A810" s="280"/>
      <c r="B810" s="280"/>
      <c r="C810" s="280"/>
      <c r="D810" s="587"/>
      <c r="E810" s="587"/>
      <c r="F810" s="587"/>
      <c r="G810" s="587"/>
      <c r="H810" s="280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</row>
    <row r="811">
      <c r="A811" s="280"/>
      <c r="B811" s="280"/>
      <c r="C811" s="280"/>
      <c r="D811" s="587"/>
      <c r="E811" s="587"/>
      <c r="F811" s="587"/>
      <c r="G811" s="587"/>
      <c r="H811" s="280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</row>
    <row r="812">
      <c r="A812" s="280"/>
      <c r="B812" s="280"/>
      <c r="C812" s="280"/>
      <c r="D812" s="587"/>
      <c r="E812" s="587"/>
      <c r="F812" s="587"/>
      <c r="G812" s="587"/>
      <c r="H812" s="280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</row>
    <row r="813">
      <c r="A813" s="280"/>
      <c r="B813" s="280"/>
      <c r="C813" s="280"/>
      <c r="D813" s="587"/>
      <c r="E813" s="587"/>
      <c r="F813" s="587"/>
      <c r="G813" s="587"/>
      <c r="H813" s="280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</row>
    <row r="814">
      <c r="A814" s="280"/>
      <c r="B814" s="280"/>
      <c r="C814" s="280"/>
      <c r="D814" s="587"/>
      <c r="E814" s="587"/>
      <c r="F814" s="587"/>
      <c r="G814" s="587"/>
      <c r="H814" s="280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</row>
    <row r="815">
      <c r="A815" s="280"/>
      <c r="B815" s="280"/>
      <c r="C815" s="280"/>
      <c r="D815" s="587"/>
      <c r="E815" s="587"/>
      <c r="F815" s="587"/>
      <c r="G815" s="587"/>
      <c r="H815" s="280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</row>
    <row r="816">
      <c r="A816" s="280"/>
      <c r="B816" s="280"/>
      <c r="C816" s="280"/>
      <c r="D816" s="587"/>
      <c r="E816" s="587"/>
      <c r="F816" s="587"/>
      <c r="G816" s="587"/>
      <c r="H816" s="280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</row>
    <row r="817">
      <c r="A817" s="280"/>
      <c r="B817" s="280"/>
      <c r="C817" s="280"/>
      <c r="D817" s="587"/>
      <c r="E817" s="587"/>
      <c r="F817" s="587"/>
      <c r="G817" s="587"/>
      <c r="H817" s="280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</row>
    <row r="818">
      <c r="A818" s="280"/>
      <c r="B818" s="280"/>
      <c r="C818" s="280"/>
      <c r="D818" s="587"/>
      <c r="E818" s="587"/>
      <c r="F818" s="587"/>
      <c r="G818" s="587"/>
      <c r="H818" s="280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</row>
    <row r="819">
      <c r="A819" s="280"/>
      <c r="B819" s="280"/>
      <c r="C819" s="280"/>
      <c r="D819" s="587"/>
      <c r="E819" s="587"/>
      <c r="F819" s="587"/>
      <c r="G819" s="587"/>
      <c r="H819" s="280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</row>
    <row r="820">
      <c r="A820" s="280"/>
      <c r="B820" s="280"/>
      <c r="C820" s="280"/>
      <c r="D820" s="587"/>
      <c r="E820" s="587"/>
      <c r="F820" s="587"/>
      <c r="G820" s="587"/>
      <c r="H820" s="280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</row>
    <row r="821">
      <c r="A821" s="280"/>
      <c r="B821" s="280"/>
      <c r="C821" s="280"/>
      <c r="D821" s="587"/>
      <c r="E821" s="587"/>
      <c r="F821" s="587"/>
      <c r="G821" s="587"/>
      <c r="H821" s="280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</row>
    <row r="822">
      <c r="A822" s="280"/>
      <c r="B822" s="280"/>
      <c r="C822" s="280"/>
      <c r="D822" s="587"/>
      <c r="E822" s="587"/>
      <c r="F822" s="587"/>
      <c r="G822" s="587"/>
      <c r="H822" s="280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</row>
    <row r="823">
      <c r="A823" s="280"/>
      <c r="B823" s="280"/>
      <c r="C823" s="280"/>
      <c r="D823" s="587"/>
      <c r="E823" s="587"/>
      <c r="F823" s="587"/>
      <c r="G823" s="587"/>
      <c r="H823" s="280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</row>
    <row r="824">
      <c r="A824" s="280"/>
      <c r="B824" s="280"/>
      <c r="C824" s="280"/>
      <c r="D824" s="587"/>
      <c r="E824" s="587"/>
      <c r="F824" s="587"/>
      <c r="G824" s="587"/>
      <c r="H824" s="280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</row>
    <row r="825">
      <c r="A825" s="280"/>
      <c r="B825" s="280"/>
      <c r="C825" s="280"/>
      <c r="D825" s="587"/>
      <c r="E825" s="587"/>
      <c r="F825" s="587"/>
      <c r="G825" s="587"/>
      <c r="H825" s="280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</row>
    <row r="826">
      <c r="A826" s="280"/>
      <c r="B826" s="280"/>
      <c r="C826" s="280"/>
      <c r="D826" s="587"/>
      <c r="E826" s="587"/>
      <c r="F826" s="587"/>
      <c r="G826" s="587"/>
      <c r="H826" s="280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</row>
    <row r="827">
      <c r="A827" s="280"/>
      <c r="B827" s="280"/>
      <c r="C827" s="280"/>
      <c r="D827" s="587"/>
      <c r="E827" s="587"/>
      <c r="F827" s="587"/>
      <c r="G827" s="587"/>
      <c r="H827" s="280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</row>
    <row r="828">
      <c r="A828" s="280"/>
      <c r="B828" s="280"/>
      <c r="C828" s="280"/>
      <c r="D828" s="587"/>
      <c r="E828" s="587"/>
      <c r="F828" s="587"/>
      <c r="G828" s="587"/>
      <c r="H828" s="280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</row>
    <row r="829">
      <c r="A829" s="280"/>
      <c r="B829" s="280"/>
      <c r="C829" s="280"/>
      <c r="D829" s="587"/>
      <c r="E829" s="587"/>
      <c r="F829" s="587"/>
      <c r="G829" s="587"/>
      <c r="H829" s="280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</row>
    <row r="830">
      <c r="A830" s="280"/>
      <c r="B830" s="280"/>
      <c r="C830" s="280"/>
      <c r="D830" s="587"/>
      <c r="E830" s="587"/>
      <c r="F830" s="587"/>
      <c r="G830" s="587"/>
      <c r="H830" s="280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</row>
    <row r="831">
      <c r="A831" s="280"/>
      <c r="B831" s="280"/>
      <c r="C831" s="280"/>
      <c r="D831" s="587"/>
      <c r="E831" s="587"/>
      <c r="F831" s="587"/>
      <c r="G831" s="587"/>
      <c r="H831" s="280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</row>
    <row r="832">
      <c r="A832" s="280"/>
      <c r="B832" s="280"/>
      <c r="C832" s="280"/>
      <c r="D832" s="587"/>
      <c r="E832" s="587"/>
      <c r="F832" s="587"/>
      <c r="G832" s="587"/>
      <c r="H832" s="280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</row>
    <row r="833">
      <c r="A833" s="280"/>
      <c r="B833" s="280"/>
      <c r="C833" s="280"/>
      <c r="D833" s="587"/>
      <c r="E833" s="587"/>
      <c r="F833" s="587"/>
      <c r="G833" s="587"/>
      <c r="H833" s="280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</row>
    <row r="834">
      <c r="A834" s="280"/>
      <c r="B834" s="280"/>
      <c r="C834" s="280"/>
      <c r="D834" s="587"/>
      <c r="E834" s="587"/>
      <c r="F834" s="587"/>
      <c r="G834" s="587"/>
      <c r="H834" s="280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</row>
    <row r="835">
      <c r="A835" s="280"/>
      <c r="B835" s="280"/>
      <c r="C835" s="280"/>
      <c r="D835" s="587"/>
      <c r="E835" s="587"/>
      <c r="F835" s="587"/>
      <c r="G835" s="587"/>
      <c r="H835" s="280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</row>
    <row r="836">
      <c r="A836" s="280"/>
      <c r="B836" s="280"/>
      <c r="C836" s="280"/>
      <c r="D836" s="587"/>
      <c r="E836" s="587"/>
      <c r="F836" s="587"/>
      <c r="G836" s="587"/>
      <c r="H836" s="280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</row>
    <row r="837">
      <c r="A837" s="280"/>
      <c r="B837" s="280"/>
      <c r="C837" s="280"/>
      <c r="D837" s="587"/>
      <c r="E837" s="587"/>
      <c r="F837" s="587"/>
      <c r="G837" s="587"/>
      <c r="H837" s="280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</row>
    <row r="838">
      <c r="A838" s="280"/>
      <c r="B838" s="280"/>
      <c r="C838" s="280"/>
      <c r="D838" s="587"/>
      <c r="E838" s="587"/>
      <c r="F838" s="587"/>
      <c r="G838" s="587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</row>
    <row r="839">
      <c r="A839" s="280"/>
      <c r="B839" s="280"/>
      <c r="C839" s="280"/>
      <c r="D839" s="587"/>
      <c r="E839" s="587"/>
      <c r="F839" s="587"/>
      <c r="G839" s="587"/>
      <c r="H839" s="280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</row>
    <row r="840">
      <c r="A840" s="280"/>
      <c r="B840" s="280"/>
      <c r="C840" s="280"/>
      <c r="D840" s="587"/>
      <c r="E840" s="587"/>
      <c r="F840" s="587"/>
      <c r="G840" s="587"/>
      <c r="H840" s="280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</row>
    <row r="841">
      <c r="A841" s="280"/>
      <c r="B841" s="280"/>
      <c r="C841" s="280"/>
      <c r="D841" s="587"/>
      <c r="E841" s="587"/>
      <c r="F841" s="587"/>
      <c r="G841" s="587"/>
      <c r="H841" s="280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</row>
    <row r="842">
      <c r="A842" s="280"/>
      <c r="B842" s="280"/>
      <c r="C842" s="280"/>
      <c r="D842" s="587"/>
      <c r="E842" s="587"/>
      <c r="F842" s="587"/>
      <c r="G842" s="587"/>
      <c r="H842" s="280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</row>
    <row r="843">
      <c r="A843" s="280"/>
      <c r="B843" s="280"/>
      <c r="C843" s="280"/>
      <c r="D843" s="587"/>
      <c r="E843" s="587"/>
      <c r="F843" s="587"/>
      <c r="G843" s="587"/>
      <c r="H843" s="280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</row>
    <row r="844">
      <c r="A844" s="280"/>
      <c r="B844" s="280"/>
      <c r="C844" s="280"/>
      <c r="D844" s="587"/>
      <c r="E844" s="587"/>
      <c r="F844" s="587"/>
      <c r="G844" s="587"/>
      <c r="H844" s="280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</row>
    <row r="845">
      <c r="A845" s="280"/>
      <c r="B845" s="280"/>
      <c r="C845" s="280"/>
      <c r="D845" s="587"/>
      <c r="E845" s="587"/>
      <c r="F845" s="587"/>
      <c r="G845" s="587"/>
      <c r="H845" s="280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</row>
    <row r="846">
      <c r="A846" s="280"/>
      <c r="B846" s="280"/>
      <c r="C846" s="280"/>
      <c r="D846" s="587"/>
      <c r="E846" s="587"/>
      <c r="F846" s="587"/>
      <c r="G846" s="587"/>
      <c r="H846" s="280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</row>
    <row r="847">
      <c r="A847" s="280"/>
      <c r="B847" s="280"/>
      <c r="C847" s="280"/>
      <c r="D847" s="587"/>
      <c r="E847" s="587"/>
      <c r="F847" s="587"/>
      <c r="G847" s="587"/>
      <c r="H847" s="280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</row>
    <row r="848">
      <c r="A848" s="280"/>
      <c r="B848" s="280"/>
      <c r="C848" s="280"/>
      <c r="D848" s="587"/>
      <c r="E848" s="587"/>
      <c r="F848" s="587"/>
      <c r="G848" s="587"/>
      <c r="H848" s="280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</row>
    <row r="849">
      <c r="A849" s="280"/>
      <c r="B849" s="280"/>
      <c r="C849" s="280"/>
      <c r="D849" s="587"/>
      <c r="E849" s="587"/>
      <c r="F849" s="587"/>
      <c r="G849" s="587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</row>
    <row r="850">
      <c r="A850" s="280"/>
      <c r="B850" s="280"/>
      <c r="C850" s="280"/>
      <c r="D850" s="587"/>
      <c r="E850" s="587"/>
      <c r="F850" s="587"/>
      <c r="G850" s="587"/>
      <c r="H850" s="280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</row>
    <row r="851">
      <c r="A851" s="280"/>
      <c r="B851" s="280"/>
      <c r="C851" s="280"/>
      <c r="D851" s="587"/>
      <c r="E851" s="587"/>
      <c r="F851" s="587"/>
      <c r="G851" s="587"/>
      <c r="H851" s="280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</row>
    <row r="852">
      <c r="A852" s="280"/>
      <c r="B852" s="280"/>
      <c r="C852" s="280"/>
      <c r="D852" s="587"/>
      <c r="E852" s="587"/>
      <c r="F852" s="587"/>
      <c r="G852" s="587"/>
      <c r="H852" s="280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</row>
    <row r="853">
      <c r="A853" s="280"/>
      <c r="B853" s="280"/>
      <c r="C853" s="280"/>
      <c r="D853" s="587"/>
      <c r="E853" s="587"/>
      <c r="F853" s="587"/>
      <c r="G853" s="587"/>
      <c r="H853" s="280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</row>
    <row r="854">
      <c r="A854" s="280"/>
      <c r="B854" s="280"/>
      <c r="C854" s="280"/>
      <c r="D854" s="587"/>
      <c r="E854" s="587"/>
      <c r="F854" s="587"/>
      <c r="G854" s="587"/>
      <c r="H854" s="280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</row>
    <row r="855">
      <c r="A855" s="280"/>
      <c r="B855" s="280"/>
      <c r="C855" s="280"/>
      <c r="D855" s="587"/>
      <c r="E855" s="587"/>
      <c r="F855" s="587"/>
      <c r="G855" s="587"/>
      <c r="H855" s="280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</row>
    <row r="856">
      <c r="A856" s="280"/>
      <c r="B856" s="280"/>
      <c r="C856" s="280"/>
      <c r="D856" s="587"/>
      <c r="E856" s="587"/>
      <c r="F856" s="587"/>
      <c r="G856" s="587"/>
      <c r="H856" s="280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</row>
    <row r="857">
      <c r="A857" s="280"/>
      <c r="B857" s="280"/>
      <c r="C857" s="280"/>
      <c r="D857" s="587"/>
      <c r="E857" s="587"/>
      <c r="F857" s="587"/>
      <c r="G857" s="587"/>
      <c r="H857" s="280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</row>
    <row r="858">
      <c r="A858" s="280"/>
      <c r="B858" s="280"/>
      <c r="C858" s="280"/>
      <c r="D858" s="587"/>
      <c r="E858" s="587"/>
      <c r="F858" s="587"/>
      <c r="G858" s="587"/>
      <c r="H858" s="280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</row>
    <row r="859">
      <c r="A859" s="280"/>
      <c r="B859" s="280"/>
      <c r="C859" s="280"/>
      <c r="D859" s="587"/>
      <c r="E859" s="587"/>
      <c r="F859" s="587"/>
      <c r="G859" s="587"/>
      <c r="H859" s="280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</row>
    <row r="860">
      <c r="A860" s="280"/>
      <c r="B860" s="280"/>
      <c r="C860" s="280"/>
      <c r="D860" s="587"/>
      <c r="E860" s="587"/>
      <c r="F860" s="587"/>
      <c r="G860" s="587"/>
      <c r="H860" s="280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</row>
    <row r="861">
      <c r="A861" s="280"/>
      <c r="B861" s="280"/>
      <c r="C861" s="280"/>
      <c r="D861" s="587"/>
      <c r="E861" s="587"/>
      <c r="F861" s="587"/>
      <c r="G861" s="587"/>
      <c r="H861" s="280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</row>
    <row r="862">
      <c r="A862" s="280"/>
      <c r="B862" s="280"/>
      <c r="C862" s="280"/>
      <c r="D862" s="587"/>
      <c r="E862" s="587"/>
      <c r="F862" s="587"/>
      <c r="G862" s="587"/>
      <c r="H862" s="280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</row>
    <row r="863">
      <c r="A863" s="280"/>
      <c r="B863" s="280"/>
      <c r="C863" s="280"/>
      <c r="D863" s="587"/>
      <c r="E863" s="587"/>
      <c r="F863" s="587"/>
      <c r="G863" s="587"/>
      <c r="H863" s="280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</row>
    <row r="864">
      <c r="A864" s="280"/>
      <c r="B864" s="280"/>
      <c r="C864" s="280"/>
      <c r="D864" s="587"/>
      <c r="E864" s="587"/>
      <c r="F864" s="587"/>
      <c r="G864" s="587"/>
      <c r="H864" s="280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</row>
    <row r="865">
      <c r="A865" s="280"/>
      <c r="B865" s="280"/>
      <c r="C865" s="280"/>
      <c r="D865" s="587"/>
      <c r="E865" s="587"/>
      <c r="F865" s="587"/>
      <c r="G865" s="587"/>
      <c r="H865" s="280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</row>
    <row r="866">
      <c r="A866" s="280"/>
      <c r="B866" s="280"/>
      <c r="C866" s="280"/>
      <c r="D866" s="587"/>
      <c r="E866" s="587"/>
      <c r="F866" s="587"/>
      <c r="G866" s="587"/>
      <c r="H866" s="280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</row>
    <row r="867">
      <c r="A867" s="280"/>
      <c r="B867" s="280"/>
      <c r="C867" s="280"/>
      <c r="D867" s="587"/>
      <c r="E867" s="587"/>
      <c r="F867" s="587"/>
      <c r="G867" s="587"/>
      <c r="H867" s="280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</row>
    <row r="868">
      <c r="A868" s="280"/>
      <c r="B868" s="280"/>
      <c r="C868" s="280"/>
      <c r="D868" s="587"/>
      <c r="E868" s="587"/>
      <c r="F868" s="587"/>
      <c r="G868" s="587"/>
      <c r="H868" s="280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</row>
    <row r="869">
      <c r="A869" s="280"/>
      <c r="B869" s="280"/>
      <c r="C869" s="280"/>
      <c r="D869" s="587"/>
      <c r="E869" s="587"/>
      <c r="F869" s="587"/>
      <c r="G869" s="587"/>
      <c r="H869" s="280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</row>
    <row r="870">
      <c r="A870" s="280"/>
      <c r="B870" s="280"/>
      <c r="C870" s="280"/>
      <c r="D870" s="587"/>
      <c r="E870" s="587"/>
      <c r="F870" s="587"/>
      <c r="G870" s="587"/>
      <c r="H870" s="280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</row>
    <row r="871">
      <c r="A871" s="280"/>
      <c r="B871" s="280"/>
      <c r="C871" s="280"/>
      <c r="D871" s="587"/>
      <c r="E871" s="587"/>
      <c r="F871" s="587"/>
      <c r="G871" s="587"/>
      <c r="H871" s="280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</row>
    <row r="872">
      <c r="A872" s="280"/>
      <c r="B872" s="280"/>
      <c r="C872" s="280"/>
      <c r="D872" s="587"/>
      <c r="E872" s="587"/>
      <c r="F872" s="587"/>
      <c r="G872" s="587"/>
      <c r="H872" s="280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</row>
    <row r="873">
      <c r="A873" s="280"/>
      <c r="B873" s="280"/>
      <c r="C873" s="280"/>
      <c r="D873" s="587"/>
      <c r="E873" s="587"/>
      <c r="F873" s="587"/>
      <c r="G873" s="587"/>
      <c r="H873" s="280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</row>
    <row r="874">
      <c r="A874" s="280"/>
      <c r="B874" s="280"/>
      <c r="C874" s="280"/>
      <c r="D874" s="587"/>
      <c r="E874" s="587"/>
      <c r="F874" s="587"/>
      <c r="G874" s="587"/>
      <c r="H874" s="280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</row>
    <row r="875">
      <c r="A875" s="280"/>
      <c r="B875" s="280"/>
      <c r="C875" s="280"/>
      <c r="D875" s="587"/>
      <c r="E875" s="587"/>
      <c r="F875" s="587"/>
      <c r="G875" s="587"/>
      <c r="H875" s="280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</row>
    <row r="876">
      <c r="A876" s="280"/>
      <c r="B876" s="280"/>
      <c r="C876" s="280"/>
      <c r="D876" s="587"/>
      <c r="E876" s="587"/>
      <c r="F876" s="587"/>
      <c r="G876" s="587"/>
      <c r="H876" s="280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</row>
    <row r="877">
      <c r="A877" s="280"/>
      <c r="B877" s="280"/>
      <c r="C877" s="280"/>
      <c r="D877" s="587"/>
      <c r="E877" s="587"/>
      <c r="F877" s="587"/>
      <c r="G877" s="587"/>
      <c r="H877" s="280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</row>
    <row r="878">
      <c r="A878" s="280"/>
      <c r="B878" s="280"/>
      <c r="C878" s="280"/>
      <c r="D878" s="587"/>
      <c r="E878" s="587"/>
      <c r="F878" s="587"/>
      <c r="G878" s="587"/>
      <c r="H878" s="280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</row>
    <row r="879">
      <c r="A879" s="280"/>
      <c r="B879" s="280"/>
      <c r="C879" s="280"/>
      <c r="D879" s="587"/>
      <c r="E879" s="587"/>
      <c r="F879" s="587"/>
      <c r="G879" s="587"/>
      <c r="H879" s="280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</row>
    <row r="880">
      <c r="A880" s="280"/>
      <c r="B880" s="280"/>
      <c r="C880" s="280"/>
      <c r="D880" s="587"/>
      <c r="E880" s="587"/>
      <c r="F880" s="587"/>
      <c r="G880" s="587"/>
      <c r="H880" s="280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</row>
    <row r="881">
      <c r="A881" s="280"/>
      <c r="B881" s="280"/>
      <c r="C881" s="280"/>
      <c r="D881" s="587"/>
      <c r="E881" s="587"/>
      <c r="F881" s="587"/>
      <c r="G881" s="587"/>
      <c r="H881" s="280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</row>
    <row r="882">
      <c r="A882" s="280"/>
      <c r="B882" s="280"/>
      <c r="C882" s="280"/>
      <c r="D882" s="587"/>
      <c r="E882" s="587"/>
      <c r="F882" s="587"/>
      <c r="G882" s="587"/>
      <c r="H882" s="280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</row>
    <row r="883">
      <c r="A883" s="280"/>
      <c r="B883" s="280"/>
      <c r="C883" s="280"/>
      <c r="D883" s="587"/>
      <c r="E883" s="587"/>
      <c r="F883" s="587"/>
      <c r="G883" s="587"/>
      <c r="H883" s="280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</row>
    <row r="884">
      <c r="A884" s="280"/>
      <c r="B884" s="280"/>
      <c r="C884" s="280"/>
      <c r="D884" s="587"/>
      <c r="E884" s="587"/>
      <c r="F884" s="587"/>
      <c r="G884" s="587"/>
      <c r="H884" s="280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</row>
    <row r="885">
      <c r="A885" s="280"/>
      <c r="B885" s="280"/>
      <c r="C885" s="280"/>
      <c r="D885" s="587"/>
      <c r="E885" s="587"/>
      <c r="F885" s="587"/>
      <c r="G885" s="587"/>
      <c r="H885" s="280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</row>
    <row r="886">
      <c r="A886" s="280"/>
      <c r="B886" s="280"/>
      <c r="C886" s="280"/>
      <c r="D886" s="587"/>
      <c r="E886" s="587"/>
      <c r="F886" s="587"/>
      <c r="G886" s="587"/>
      <c r="H886" s="280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</row>
    <row r="887">
      <c r="A887" s="280"/>
      <c r="B887" s="280"/>
      <c r="C887" s="280"/>
      <c r="D887" s="587"/>
      <c r="E887" s="587"/>
      <c r="F887" s="587"/>
      <c r="G887" s="587"/>
      <c r="H887" s="280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</row>
    <row r="888">
      <c r="A888" s="280"/>
      <c r="B888" s="280"/>
      <c r="C888" s="280"/>
      <c r="D888" s="587"/>
      <c r="E888" s="587"/>
      <c r="F888" s="587"/>
      <c r="G888" s="587"/>
      <c r="H888" s="280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</row>
    <row r="889">
      <c r="A889" s="280"/>
      <c r="B889" s="280"/>
      <c r="C889" s="280"/>
      <c r="D889" s="587"/>
      <c r="E889" s="587"/>
      <c r="F889" s="587"/>
      <c r="G889" s="587"/>
      <c r="H889" s="280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</row>
    <row r="890">
      <c r="A890" s="280"/>
      <c r="B890" s="280"/>
      <c r="C890" s="280"/>
      <c r="D890" s="587"/>
      <c r="E890" s="587"/>
      <c r="F890" s="587"/>
      <c r="G890" s="587"/>
      <c r="H890" s="280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</row>
    <row r="891">
      <c r="A891" s="280"/>
      <c r="B891" s="280"/>
      <c r="C891" s="280"/>
      <c r="D891" s="587"/>
      <c r="E891" s="587"/>
      <c r="F891" s="587"/>
      <c r="G891" s="587"/>
      <c r="H891" s="280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</row>
    <row r="892">
      <c r="A892" s="280"/>
      <c r="B892" s="280"/>
      <c r="C892" s="280"/>
      <c r="D892" s="587"/>
      <c r="E892" s="587"/>
      <c r="F892" s="587"/>
      <c r="G892" s="587"/>
      <c r="H892" s="280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</row>
    <row r="893">
      <c r="A893" s="280"/>
      <c r="B893" s="280"/>
      <c r="C893" s="280"/>
      <c r="D893" s="587"/>
      <c r="E893" s="587"/>
      <c r="F893" s="587"/>
      <c r="G893" s="587"/>
      <c r="H893" s="280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</row>
    <row r="894">
      <c r="A894" s="280"/>
      <c r="B894" s="280"/>
      <c r="C894" s="280"/>
      <c r="D894" s="587"/>
      <c r="E894" s="587"/>
      <c r="F894" s="587"/>
      <c r="G894" s="587"/>
      <c r="H894" s="280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</row>
    <row r="895">
      <c r="A895" s="280"/>
      <c r="B895" s="280"/>
      <c r="C895" s="280"/>
      <c r="D895" s="587"/>
      <c r="E895" s="587"/>
      <c r="F895" s="587"/>
      <c r="G895" s="587"/>
      <c r="H895" s="280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</row>
    <row r="896">
      <c r="A896" s="280"/>
      <c r="B896" s="280"/>
      <c r="C896" s="280"/>
      <c r="D896" s="587"/>
      <c r="E896" s="587"/>
      <c r="F896" s="587"/>
      <c r="G896" s="587"/>
      <c r="H896" s="280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</row>
    <row r="897">
      <c r="A897" s="280"/>
      <c r="B897" s="280"/>
      <c r="C897" s="280"/>
      <c r="D897" s="587"/>
      <c r="E897" s="587"/>
      <c r="F897" s="587"/>
      <c r="G897" s="587"/>
      <c r="H897" s="280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</row>
    <row r="898">
      <c r="A898" s="280"/>
      <c r="B898" s="280"/>
      <c r="C898" s="280"/>
      <c r="D898" s="587"/>
      <c r="E898" s="587"/>
      <c r="F898" s="587"/>
      <c r="G898" s="587"/>
      <c r="H898" s="280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</row>
    <row r="899">
      <c r="A899" s="280"/>
      <c r="B899" s="280"/>
      <c r="C899" s="280"/>
      <c r="D899" s="587"/>
      <c r="E899" s="587"/>
      <c r="F899" s="587"/>
      <c r="G899" s="587"/>
      <c r="H899" s="280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</row>
    <row r="900">
      <c r="A900" s="280"/>
      <c r="B900" s="280"/>
      <c r="C900" s="280"/>
      <c r="D900" s="587"/>
      <c r="E900" s="587"/>
      <c r="F900" s="587"/>
      <c r="G900" s="587"/>
      <c r="H900" s="280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</row>
    <row r="901">
      <c r="A901" s="280"/>
      <c r="B901" s="280"/>
      <c r="C901" s="280"/>
      <c r="D901" s="587"/>
      <c r="E901" s="587"/>
      <c r="F901" s="587"/>
      <c r="G901" s="587"/>
      <c r="H901" s="280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</row>
    <row r="902">
      <c r="A902" s="280"/>
      <c r="B902" s="280"/>
      <c r="C902" s="280"/>
      <c r="D902" s="587"/>
      <c r="E902" s="587"/>
      <c r="F902" s="587"/>
      <c r="G902" s="587"/>
      <c r="H902" s="280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</row>
    <row r="903">
      <c r="A903" s="280"/>
      <c r="B903" s="280"/>
      <c r="C903" s="280"/>
      <c r="D903" s="587"/>
      <c r="E903" s="587"/>
      <c r="F903" s="587"/>
      <c r="G903" s="587"/>
      <c r="H903" s="280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</row>
    <row r="904">
      <c r="A904" s="280"/>
      <c r="B904" s="280"/>
      <c r="C904" s="280"/>
      <c r="D904" s="587"/>
      <c r="E904" s="587"/>
      <c r="F904" s="587"/>
      <c r="G904" s="587"/>
      <c r="H904" s="280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</row>
    <row r="905">
      <c r="A905" s="280"/>
      <c r="B905" s="280"/>
      <c r="C905" s="280"/>
      <c r="D905" s="587"/>
      <c r="E905" s="587"/>
      <c r="F905" s="587"/>
      <c r="G905" s="587"/>
      <c r="H905" s="280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</row>
    <row r="906">
      <c r="A906" s="280"/>
      <c r="B906" s="280"/>
      <c r="C906" s="280"/>
      <c r="D906" s="587"/>
      <c r="E906" s="587"/>
      <c r="F906" s="587"/>
      <c r="G906" s="587"/>
      <c r="H906" s="280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</row>
    <row r="907">
      <c r="A907" s="280"/>
      <c r="B907" s="280"/>
      <c r="C907" s="280"/>
      <c r="D907" s="587"/>
      <c r="E907" s="587"/>
      <c r="F907" s="587"/>
      <c r="G907" s="587"/>
      <c r="H907" s="280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</row>
    <row r="908">
      <c r="A908" s="280"/>
      <c r="B908" s="280"/>
      <c r="C908" s="280"/>
      <c r="D908" s="587"/>
      <c r="E908" s="587"/>
      <c r="F908" s="587"/>
      <c r="G908" s="587"/>
      <c r="H908" s="280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</row>
    <row r="909">
      <c r="A909" s="280"/>
      <c r="B909" s="280"/>
      <c r="C909" s="280"/>
      <c r="D909" s="587"/>
      <c r="E909" s="587"/>
      <c r="F909" s="587"/>
      <c r="G909" s="587"/>
      <c r="H909" s="280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</row>
    <row r="910">
      <c r="A910" s="280"/>
      <c r="B910" s="280"/>
      <c r="C910" s="280"/>
      <c r="D910" s="587"/>
      <c r="E910" s="587"/>
      <c r="F910" s="587"/>
      <c r="G910" s="587"/>
      <c r="H910" s="280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</row>
    <row r="911">
      <c r="A911" s="280"/>
      <c r="B911" s="280"/>
      <c r="C911" s="280"/>
      <c r="D911" s="587"/>
      <c r="E911" s="587"/>
      <c r="F911" s="587"/>
      <c r="G911" s="587"/>
      <c r="H911" s="280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</row>
    <row r="912">
      <c r="A912" s="280"/>
      <c r="B912" s="280"/>
      <c r="C912" s="280"/>
      <c r="D912" s="587"/>
      <c r="E912" s="587"/>
      <c r="F912" s="587"/>
      <c r="G912" s="587"/>
      <c r="H912" s="280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</row>
    <row r="913">
      <c r="A913" s="280"/>
      <c r="B913" s="280"/>
      <c r="C913" s="280"/>
      <c r="D913" s="587"/>
      <c r="E913" s="587"/>
      <c r="F913" s="587"/>
      <c r="G913" s="587"/>
      <c r="H913" s="280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</row>
    <row r="914">
      <c r="A914" s="280"/>
      <c r="B914" s="280"/>
      <c r="C914" s="280"/>
      <c r="D914" s="587"/>
      <c r="E914" s="587"/>
      <c r="F914" s="587"/>
      <c r="G914" s="587"/>
      <c r="H914" s="280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</row>
    <row r="915">
      <c r="A915" s="280"/>
      <c r="B915" s="280"/>
      <c r="C915" s="280"/>
      <c r="D915" s="587"/>
      <c r="E915" s="587"/>
      <c r="F915" s="587"/>
      <c r="G915" s="587"/>
      <c r="H915" s="280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</row>
    <row r="916">
      <c r="A916" s="280"/>
      <c r="B916" s="280"/>
      <c r="C916" s="280"/>
      <c r="D916" s="587"/>
      <c r="E916" s="587"/>
      <c r="F916" s="587"/>
      <c r="G916" s="587"/>
      <c r="H916" s="280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</row>
    <row r="917">
      <c r="A917" s="280"/>
      <c r="B917" s="280"/>
      <c r="C917" s="280"/>
      <c r="D917" s="587"/>
      <c r="E917" s="587"/>
      <c r="F917" s="587"/>
      <c r="G917" s="587"/>
      <c r="H917" s="280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</row>
    <row r="918">
      <c r="A918" s="280"/>
      <c r="B918" s="280"/>
      <c r="C918" s="280"/>
      <c r="D918" s="587"/>
      <c r="E918" s="587"/>
      <c r="F918" s="587"/>
      <c r="G918" s="587"/>
      <c r="H918" s="280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</row>
    <row r="919">
      <c r="A919" s="280"/>
      <c r="B919" s="280"/>
      <c r="C919" s="280"/>
      <c r="D919" s="587"/>
      <c r="E919" s="587"/>
      <c r="F919" s="587"/>
      <c r="G919" s="587"/>
      <c r="H919" s="280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</row>
    <row r="920">
      <c r="A920" s="280"/>
      <c r="B920" s="280"/>
      <c r="C920" s="280"/>
      <c r="D920" s="587"/>
      <c r="E920" s="587"/>
      <c r="F920" s="587"/>
      <c r="G920" s="587"/>
      <c r="H920" s="280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</row>
    <row r="921">
      <c r="A921" s="280"/>
      <c r="B921" s="280"/>
      <c r="C921" s="280"/>
      <c r="D921" s="587"/>
      <c r="E921" s="587"/>
      <c r="F921" s="587"/>
      <c r="G921" s="587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</row>
    <row r="922">
      <c r="A922" s="280"/>
      <c r="B922" s="280"/>
      <c r="C922" s="280"/>
      <c r="D922" s="587"/>
      <c r="E922" s="587"/>
      <c r="F922" s="587"/>
      <c r="G922" s="587"/>
      <c r="H922" s="280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</row>
    <row r="923">
      <c r="A923" s="280"/>
      <c r="B923" s="280"/>
      <c r="C923" s="280"/>
      <c r="D923" s="587"/>
      <c r="E923" s="587"/>
      <c r="F923" s="587"/>
      <c r="G923" s="587"/>
      <c r="H923" s="280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</row>
    <row r="924">
      <c r="A924" s="280"/>
      <c r="B924" s="280"/>
      <c r="C924" s="280"/>
      <c r="D924" s="587"/>
      <c r="E924" s="587"/>
      <c r="F924" s="587"/>
      <c r="G924" s="587"/>
      <c r="H924" s="280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</row>
    <row r="925">
      <c r="A925" s="280"/>
      <c r="B925" s="280"/>
      <c r="C925" s="280"/>
      <c r="D925" s="587"/>
      <c r="E925" s="587"/>
      <c r="F925" s="587"/>
      <c r="G925" s="587"/>
      <c r="H925" s="280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</row>
    <row r="926">
      <c r="A926" s="280"/>
      <c r="B926" s="280"/>
      <c r="C926" s="280"/>
      <c r="D926" s="587"/>
      <c r="E926" s="587"/>
      <c r="F926" s="587"/>
      <c r="G926" s="587"/>
      <c r="H926" s="280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</row>
    <row r="927">
      <c r="A927" s="280"/>
      <c r="B927" s="280"/>
      <c r="C927" s="280"/>
      <c r="D927" s="587"/>
      <c r="E927" s="587"/>
      <c r="F927" s="587"/>
      <c r="G927" s="587"/>
      <c r="H927" s="280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</row>
    <row r="928">
      <c r="A928" s="280"/>
      <c r="B928" s="280"/>
      <c r="C928" s="280"/>
      <c r="D928" s="587"/>
      <c r="E928" s="587"/>
      <c r="F928" s="587"/>
      <c r="G928" s="587"/>
      <c r="H928" s="280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</row>
    <row r="929">
      <c r="A929" s="280"/>
      <c r="B929" s="280"/>
      <c r="C929" s="280"/>
      <c r="D929" s="587"/>
      <c r="E929" s="587"/>
      <c r="F929" s="587"/>
      <c r="G929" s="587"/>
      <c r="H929" s="280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</row>
    <row r="930">
      <c r="A930" s="280"/>
      <c r="B930" s="280"/>
      <c r="C930" s="280"/>
      <c r="D930" s="587"/>
      <c r="E930" s="587"/>
      <c r="F930" s="587"/>
      <c r="G930" s="587"/>
      <c r="H930" s="280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</row>
    <row r="931">
      <c r="A931" s="280"/>
      <c r="B931" s="280"/>
      <c r="C931" s="280"/>
      <c r="D931" s="587"/>
      <c r="E931" s="587"/>
      <c r="F931" s="587"/>
      <c r="G931" s="587"/>
      <c r="H931" s="280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</row>
    <row r="932">
      <c r="A932" s="280"/>
      <c r="B932" s="280"/>
      <c r="C932" s="280"/>
      <c r="D932" s="587"/>
      <c r="E932" s="587"/>
      <c r="F932" s="587"/>
      <c r="G932" s="587"/>
      <c r="H932" s="280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</row>
    <row r="933">
      <c r="A933" s="280"/>
      <c r="B933" s="280"/>
      <c r="C933" s="280"/>
      <c r="D933" s="587"/>
      <c r="E933" s="587"/>
      <c r="F933" s="587"/>
      <c r="G933" s="587"/>
      <c r="H933" s="280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</row>
    <row r="934">
      <c r="A934" s="280"/>
      <c r="B934" s="280"/>
      <c r="C934" s="280"/>
      <c r="D934" s="587"/>
      <c r="E934" s="587"/>
      <c r="F934" s="587"/>
      <c r="G934" s="587"/>
      <c r="H934" s="280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</row>
    <row r="935">
      <c r="A935" s="280"/>
      <c r="B935" s="280"/>
      <c r="C935" s="280"/>
      <c r="D935" s="587"/>
      <c r="E935" s="587"/>
      <c r="F935" s="587"/>
      <c r="G935" s="587"/>
      <c r="H935" s="280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</row>
    <row r="936">
      <c r="A936" s="280"/>
      <c r="B936" s="280"/>
      <c r="C936" s="280"/>
      <c r="D936" s="587"/>
      <c r="E936" s="587"/>
      <c r="F936" s="587"/>
      <c r="G936" s="587"/>
      <c r="H936" s="280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</row>
    <row r="937">
      <c r="A937" s="280"/>
      <c r="B937" s="280"/>
      <c r="C937" s="280"/>
      <c r="D937" s="587"/>
      <c r="E937" s="587"/>
      <c r="F937" s="587"/>
      <c r="G937" s="587"/>
      <c r="H937" s="280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</row>
    <row r="938">
      <c r="A938" s="280"/>
      <c r="B938" s="280"/>
      <c r="C938" s="280"/>
      <c r="D938" s="587"/>
      <c r="E938" s="587"/>
      <c r="F938" s="587"/>
      <c r="G938" s="587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</row>
    <row r="939">
      <c r="A939" s="280"/>
      <c r="B939" s="280"/>
      <c r="C939" s="280"/>
      <c r="D939" s="587"/>
      <c r="E939" s="587"/>
      <c r="F939" s="587"/>
      <c r="G939" s="587"/>
      <c r="H939" s="280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</row>
    <row r="940">
      <c r="A940" s="280"/>
      <c r="B940" s="280"/>
      <c r="C940" s="280"/>
      <c r="D940" s="587"/>
      <c r="E940" s="587"/>
      <c r="F940" s="587"/>
      <c r="G940" s="587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</row>
    <row r="941">
      <c r="A941" s="280"/>
      <c r="B941" s="280"/>
      <c r="C941" s="280"/>
      <c r="D941" s="587"/>
      <c r="E941" s="587"/>
      <c r="F941" s="587"/>
      <c r="G941" s="587"/>
      <c r="H941" s="280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</row>
    <row r="942">
      <c r="A942" s="280"/>
      <c r="B942" s="280"/>
      <c r="C942" s="280"/>
      <c r="D942" s="587"/>
      <c r="E942" s="587"/>
      <c r="F942" s="587"/>
      <c r="G942" s="587"/>
      <c r="H942" s="280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</row>
    <row r="943">
      <c r="A943" s="280"/>
      <c r="B943" s="280"/>
      <c r="C943" s="280"/>
      <c r="D943" s="587"/>
      <c r="E943" s="587"/>
      <c r="F943" s="587"/>
      <c r="G943" s="587"/>
      <c r="H943" s="280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</row>
    <row r="944">
      <c r="A944" s="280"/>
      <c r="B944" s="280"/>
      <c r="C944" s="280"/>
      <c r="D944" s="587"/>
      <c r="E944" s="587"/>
      <c r="F944" s="587"/>
      <c r="G944" s="587"/>
      <c r="H944" s="280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</row>
    <row r="945">
      <c r="A945" s="280"/>
      <c r="B945" s="280"/>
      <c r="C945" s="280"/>
      <c r="D945" s="587"/>
      <c r="E945" s="587"/>
      <c r="F945" s="587"/>
      <c r="G945" s="587"/>
      <c r="H945" s="280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</row>
    <row r="946">
      <c r="A946" s="280"/>
      <c r="B946" s="280"/>
      <c r="C946" s="280"/>
      <c r="D946" s="587"/>
      <c r="E946" s="587"/>
      <c r="F946" s="587"/>
      <c r="G946" s="587"/>
      <c r="H946" s="280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</row>
    <row r="947">
      <c r="A947" s="280"/>
      <c r="B947" s="280"/>
      <c r="C947" s="280"/>
      <c r="D947" s="587"/>
      <c r="E947" s="587"/>
      <c r="F947" s="587"/>
      <c r="G947" s="587"/>
      <c r="H947" s="280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</row>
    <row r="948">
      <c r="A948" s="280"/>
      <c r="B948" s="280"/>
      <c r="C948" s="280"/>
      <c r="D948" s="587"/>
      <c r="E948" s="587"/>
      <c r="F948" s="587"/>
      <c r="G948" s="587"/>
      <c r="H948" s="280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</row>
    <row r="949">
      <c r="A949" s="280"/>
      <c r="B949" s="280"/>
      <c r="C949" s="280"/>
      <c r="D949" s="587"/>
      <c r="E949" s="587"/>
      <c r="F949" s="587"/>
      <c r="G949" s="587"/>
      <c r="H949" s="280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</row>
    <row r="950">
      <c r="A950" s="280"/>
      <c r="B950" s="280"/>
      <c r="C950" s="280"/>
      <c r="D950" s="587"/>
      <c r="E950" s="587"/>
      <c r="F950" s="587"/>
      <c r="G950" s="587"/>
      <c r="H950" s="280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</row>
    <row r="951">
      <c r="A951" s="280"/>
      <c r="B951" s="280"/>
      <c r="C951" s="280"/>
      <c r="D951" s="587"/>
      <c r="E951" s="587"/>
      <c r="F951" s="587"/>
      <c r="G951" s="587"/>
      <c r="H951" s="280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</row>
    <row r="952">
      <c r="A952" s="280"/>
      <c r="B952" s="280"/>
      <c r="C952" s="280"/>
      <c r="D952" s="587"/>
      <c r="E952" s="587"/>
      <c r="F952" s="587"/>
      <c r="G952" s="587"/>
      <c r="H952" s="280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</row>
    <row r="953">
      <c r="A953" s="280"/>
      <c r="B953" s="280"/>
      <c r="C953" s="280"/>
      <c r="D953" s="587"/>
      <c r="E953" s="587"/>
      <c r="F953" s="587"/>
      <c r="G953" s="587"/>
      <c r="H953" s="280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</row>
    <row r="954">
      <c r="A954" s="280"/>
      <c r="B954" s="280"/>
      <c r="C954" s="280"/>
      <c r="D954" s="587"/>
      <c r="E954" s="587"/>
      <c r="F954" s="587"/>
      <c r="G954" s="587"/>
      <c r="H954" s="280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</row>
    <row r="955">
      <c r="A955" s="280"/>
      <c r="B955" s="280"/>
      <c r="C955" s="280"/>
      <c r="D955" s="587"/>
      <c r="E955" s="587"/>
      <c r="F955" s="587"/>
      <c r="G955" s="587"/>
      <c r="H955" s="280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</row>
    <row r="956">
      <c r="A956" s="280"/>
      <c r="B956" s="280"/>
      <c r="C956" s="280"/>
      <c r="D956" s="587"/>
      <c r="E956" s="587"/>
      <c r="F956" s="587"/>
      <c r="G956" s="587"/>
      <c r="H956" s="280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</row>
    <row r="957">
      <c r="A957" s="280"/>
      <c r="B957" s="280"/>
      <c r="C957" s="280"/>
      <c r="D957" s="587"/>
      <c r="E957" s="587"/>
      <c r="F957" s="587"/>
      <c r="G957" s="587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</row>
    <row r="958">
      <c r="A958" s="280"/>
      <c r="B958" s="280"/>
      <c r="C958" s="280"/>
      <c r="D958" s="587"/>
      <c r="E958" s="587"/>
      <c r="F958" s="587"/>
      <c r="G958" s="587"/>
      <c r="H958" s="280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</row>
    <row r="959">
      <c r="A959" s="280"/>
      <c r="B959" s="280"/>
      <c r="C959" s="280"/>
      <c r="D959" s="587"/>
      <c r="E959" s="587"/>
      <c r="F959" s="587"/>
      <c r="G959" s="587"/>
      <c r="H959" s="280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</row>
    <row r="960">
      <c r="A960" s="280"/>
      <c r="B960" s="280"/>
      <c r="C960" s="280"/>
      <c r="D960" s="587"/>
      <c r="E960" s="587"/>
      <c r="F960" s="587"/>
      <c r="G960" s="587"/>
      <c r="H960" s="280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</row>
    <row r="961">
      <c r="A961" s="280"/>
      <c r="B961" s="280"/>
      <c r="C961" s="280"/>
      <c r="D961" s="587"/>
      <c r="E961" s="587"/>
      <c r="F961" s="587"/>
      <c r="G961" s="587"/>
      <c r="H961" s="280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</row>
    <row r="962">
      <c r="A962" s="280"/>
      <c r="B962" s="280"/>
      <c r="C962" s="280"/>
      <c r="D962" s="587"/>
      <c r="E962" s="587"/>
      <c r="F962" s="587"/>
      <c r="G962" s="587"/>
      <c r="H962" s="280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</row>
    <row r="963">
      <c r="A963" s="280"/>
      <c r="B963" s="280"/>
      <c r="C963" s="280"/>
      <c r="D963" s="587"/>
      <c r="E963" s="587"/>
      <c r="F963" s="587"/>
      <c r="G963" s="587"/>
      <c r="H963" s="280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</row>
    <row r="964">
      <c r="A964" s="280"/>
      <c r="B964" s="280"/>
      <c r="C964" s="280"/>
      <c r="D964" s="587"/>
      <c r="E964" s="587"/>
      <c r="F964" s="587"/>
      <c r="G964" s="587"/>
      <c r="H964" s="280"/>
      <c r="I964" s="280"/>
      <c r="J964" s="280"/>
      <c r="K964" s="280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</row>
    <row r="965">
      <c r="A965" s="280"/>
      <c r="B965" s="280"/>
      <c r="C965" s="280"/>
      <c r="D965" s="587"/>
      <c r="E965" s="587"/>
      <c r="F965" s="587"/>
      <c r="G965" s="587"/>
      <c r="H965" s="280"/>
      <c r="I965" s="280"/>
      <c r="J965" s="280"/>
      <c r="K965" s="280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</row>
    <row r="966">
      <c r="A966" s="280"/>
      <c r="B966" s="280"/>
      <c r="C966" s="280"/>
      <c r="D966" s="587"/>
      <c r="E966" s="587"/>
      <c r="F966" s="587"/>
      <c r="G966" s="587"/>
      <c r="H966" s="280"/>
      <c r="I966" s="280"/>
      <c r="J966" s="280"/>
      <c r="K966" s="280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</row>
    <row r="967">
      <c r="A967" s="280"/>
      <c r="B967" s="280"/>
      <c r="C967" s="280"/>
      <c r="D967" s="587"/>
      <c r="E967" s="587"/>
      <c r="F967" s="587"/>
      <c r="G967" s="587"/>
      <c r="H967" s="280"/>
      <c r="I967" s="280"/>
      <c r="J967" s="280"/>
      <c r="K967" s="280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</row>
    <row r="968">
      <c r="A968" s="280"/>
      <c r="B968" s="280"/>
      <c r="C968" s="280"/>
      <c r="D968" s="587"/>
      <c r="E968" s="587"/>
      <c r="F968" s="587"/>
      <c r="G968" s="587"/>
      <c r="H968" s="280"/>
      <c r="I968" s="280"/>
      <c r="J968" s="280"/>
      <c r="K968" s="280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</row>
    <row r="969">
      <c r="A969" s="280"/>
      <c r="B969" s="280"/>
      <c r="C969" s="280"/>
      <c r="D969" s="587"/>
      <c r="E969" s="587"/>
      <c r="F969" s="587"/>
      <c r="G969" s="587"/>
      <c r="H969" s="280"/>
      <c r="I969" s="280"/>
      <c r="J969" s="280"/>
      <c r="K969" s="280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</row>
    <row r="970">
      <c r="A970" s="280"/>
      <c r="B970" s="280"/>
      <c r="C970" s="280"/>
      <c r="D970" s="587"/>
      <c r="E970" s="587"/>
      <c r="F970" s="587"/>
      <c r="G970" s="587"/>
      <c r="H970" s="280"/>
      <c r="I970" s="280"/>
      <c r="J970" s="280"/>
      <c r="K970" s="280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</row>
    <row r="971">
      <c r="A971" s="280"/>
      <c r="B971" s="280"/>
      <c r="C971" s="280"/>
      <c r="D971" s="587"/>
      <c r="E971" s="587"/>
      <c r="F971" s="587"/>
      <c r="G971" s="587"/>
      <c r="H971" s="280"/>
      <c r="I971" s="280"/>
      <c r="J971" s="280"/>
      <c r="K971" s="280"/>
      <c r="L971" s="280"/>
      <c r="M971" s="280"/>
      <c r="N971" s="280"/>
      <c r="O971" s="280"/>
      <c r="P971" s="280"/>
      <c r="Q971" s="280"/>
      <c r="R971" s="280"/>
      <c r="S971" s="280"/>
      <c r="T971" s="280"/>
      <c r="U971" s="280"/>
      <c r="V971" s="280"/>
      <c r="W971" s="280"/>
    </row>
    <row r="972">
      <c r="A972" s="280"/>
      <c r="B972" s="280"/>
      <c r="C972" s="280"/>
      <c r="D972" s="587"/>
      <c r="E972" s="587"/>
      <c r="F972" s="587"/>
      <c r="G972" s="587"/>
      <c r="H972" s="280"/>
      <c r="I972" s="280"/>
      <c r="J972" s="280"/>
      <c r="K972" s="280"/>
      <c r="L972" s="280"/>
      <c r="M972" s="280"/>
      <c r="N972" s="280"/>
      <c r="O972" s="280"/>
      <c r="P972" s="280"/>
      <c r="Q972" s="280"/>
      <c r="R972" s="280"/>
      <c r="S972" s="280"/>
      <c r="T972" s="280"/>
      <c r="U972" s="280"/>
      <c r="V972" s="280"/>
      <c r="W972" s="280"/>
    </row>
    <row r="973">
      <c r="A973" s="280"/>
      <c r="B973" s="280"/>
      <c r="C973" s="280"/>
      <c r="D973" s="587"/>
      <c r="E973" s="587"/>
      <c r="F973" s="587"/>
      <c r="G973" s="587"/>
      <c r="H973" s="280"/>
      <c r="I973" s="280"/>
      <c r="J973" s="280"/>
      <c r="K973" s="280"/>
      <c r="L973" s="280"/>
      <c r="M973" s="280"/>
      <c r="N973" s="280"/>
      <c r="O973" s="280"/>
      <c r="P973" s="280"/>
      <c r="Q973" s="280"/>
      <c r="R973" s="280"/>
      <c r="S973" s="280"/>
      <c r="T973" s="280"/>
      <c r="U973" s="280"/>
      <c r="V973" s="280"/>
      <c r="W973" s="280"/>
    </row>
    <row r="974">
      <c r="A974" s="280"/>
      <c r="B974" s="280"/>
      <c r="C974" s="280"/>
      <c r="D974" s="587"/>
      <c r="E974" s="587"/>
      <c r="F974" s="587"/>
      <c r="G974" s="587"/>
      <c r="H974" s="280"/>
      <c r="I974" s="280"/>
      <c r="J974" s="280"/>
      <c r="K974" s="280"/>
      <c r="L974" s="280"/>
      <c r="M974" s="280"/>
      <c r="N974" s="280"/>
      <c r="O974" s="280"/>
      <c r="P974" s="280"/>
      <c r="Q974" s="280"/>
      <c r="R974" s="280"/>
      <c r="S974" s="280"/>
      <c r="T974" s="280"/>
      <c r="U974" s="280"/>
      <c r="V974" s="280"/>
      <c r="W974" s="280"/>
    </row>
    <row r="975">
      <c r="A975" s="280"/>
      <c r="B975" s="280"/>
      <c r="C975" s="280"/>
      <c r="D975" s="587"/>
      <c r="E975" s="587"/>
      <c r="F975" s="587"/>
      <c r="G975" s="587"/>
      <c r="H975" s="280"/>
      <c r="I975" s="280"/>
      <c r="J975" s="280"/>
      <c r="K975" s="280"/>
      <c r="L975" s="280"/>
      <c r="M975" s="280"/>
      <c r="N975" s="280"/>
      <c r="O975" s="280"/>
      <c r="P975" s="280"/>
      <c r="Q975" s="280"/>
      <c r="R975" s="280"/>
      <c r="S975" s="280"/>
      <c r="T975" s="280"/>
      <c r="U975" s="280"/>
      <c r="V975" s="280"/>
      <c r="W975" s="280"/>
    </row>
    <row r="976">
      <c r="A976" s="280"/>
      <c r="B976" s="280"/>
      <c r="C976" s="280"/>
      <c r="D976" s="587"/>
      <c r="E976" s="587"/>
      <c r="F976" s="587"/>
      <c r="G976" s="587"/>
      <c r="H976" s="280"/>
      <c r="I976" s="280"/>
      <c r="J976" s="280"/>
      <c r="K976" s="280"/>
      <c r="L976" s="280"/>
      <c r="M976" s="280"/>
      <c r="N976" s="280"/>
      <c r="O976" s="280"/>
      <c r="P976" s="280"/>
      <c r="Q976" s="280"/>
      <c r="R976" s="280"/>
      <c r="S976" s="280"/>
      <c r="T976" s="280"/>
      <c r="U976" s="280"/>
      <c r="V976" s="280"/>
      <c r="W976" s="280"/>
    </row>
    <row r="977">
      <c r="A977" s="280"/>
      <c r="B977" s="280"/>
      <c r="C977" s="280"/>
      <c r="D977" s="587"/>
      <c r="E977" s="587"/>
      <c r="F977" s="587"/>
      <c r="G977" s="587"/>
      <c r="H977" s="280"/>
      <c r="I977" s="280"/>
      <c r="J977" s="280"/>
      <c r="K977" s="280"/>
      <c r="L977" s="280"/>
      <c r="M977" s="280"/>
      <c r="N977" s="280"/>
      <c r="O977" s="280"/>
      <c r="P977" s="280"/>
      <c r="Q977" s="280"/>
      <c r="R977" s="280"/>
      <c r="S977" s="280"/>
      <c r="T977" s="280"/>
      <c r="U977" s="280"/>
      <c r="V977" s="280"/>
      <c r="W977" s="280"/>
    </row>
    <row r="978">
      <c r="A978" s="280"/>
      <c r="B978" s="280"/>
      <c r="C978" s="280"/>
      <c r="D978" s="587"/>
      <c r="E978" s="587"/>
      <c r="F978" s="587"/>
      <c r="G978" s="587"/>
      <c r="H978" s="280"/>
      <c r="I978" s="280"/>
      <c r="J978" s="280"/>
      <c r="K978" s="280"/>
      <c r="L978" s="280"/>
      <c r="M978" s="280"/>
      <c r="N978" s="280"/>
      <c r="O978" s="280"/>
      <c r="P978" s="280"/>
      <c r="Q978" s="280"/>
      <c r="R978" s="280"/>
      <c r="S978" s="280"/>
      <c r="T978" s="280"/>
      <c r="U978" s="280"/>
      <c r="V978" s="280"/>
      <c r="W978" s="280"/>
    </row>
    <row r="979">
      <c r="A979" s="280"/>
      <c r="B979" s="280"/>
      <c r="C979" s="280"/>
      <c r="D979" s="587"/>
      <c r="E979" s="587"/>
      <c r="F979" s="587"/>
      <c r="G979" s="587"/>
      <c r="H979" s="280"/>
      <c r="I979" s="280"/>
      <c r="J979" s="280"/>
      <c r="K979" s="280"/>
      <c r="L979" s="280"/>
      <c r="M979" s="280"/>
      <c r="N979" s="280"/>
      <c r="O979" s="280"/>
      <c r="P979" s="280"/>
      <c r="Q979" s="280"/>
      <c r="R979" s="280"/>
      <c r="S979" s="280"/>
      <c r="T979" s="280"/>
      <c r="U979" s="280"/>
      <c r="V979" s="280"/>
      <c r="W979" s="280"/>
    </row>
    <row r="980">
      <c r="A980" s="280"/>
      <c r="B980" s="280"/>
      <c r="C980" s="280"/>
      <c r="D980" s="587"/>
      <c r="E980" s="587"/>
      <c r="F980" s="587"/>
      <c r="G980" s="587"/>
      <c r="H980" s="280"/>
      <c r="I980" s="280"/>
      <c r="J980" s="280"/>
      <c r="K980" s="280"/>
      <c r="L980" s="280"/>
      <c r="M980" s="280"/>
      <c r="N980" s="280"/>
      <c r="O980" s="280"/>
      <c r="P980" s="280"/>
      <c r="Q980" s="280"/>
      <c r="R980" s="280"/>
      <c r="S980" s="280"/>
      <c r="T980" s="280"/>
      <c r="U980" s="280"/>
      <c r="V980" s="280"/>
      <c r="W980" s="280"/>
    </row>
    <row r="981">
      <c r="A981" s="280"/>
      <c r="B981" s="280"/>
      <c r="C981" s="280"/>
      <c r="D981" s="587"/>
      <c r="E981" s="587"/>
      <c r="F981" s="587"/>
      <c r="G981" s="587"/>
      <c r="H981" s="280"/>
      <c r="I981" s="280"/>
      <c r="J981" s="280"/>
      <c r="K981" s="280"/>
      <c r="L981" s="280"/>
      <c r="M981" s="280"/>
      <c r="N981" s="280"/>
      <c r="O981" s="280"/>
      <c r="P981" s="280"/>
      <c r="Q981" s="280"/>
      <c r="R981" s="280"/>
      <c r="S981" s="280"/>
      <c r="T981" s="280"/>
      <c r="U981" s="280"/>
      <c r="V981" s="280"/>
      <c r="W981" s="280"/>
    </row>
    <row r="982">
      <c r="A982" s="280"/>
      <c r="B982" s="280"/>
      <c r="C982" s="280"/>
      <c r="D982" s="587"/>
      <c r="E982" s="587"/>
      <c r="F982" s="587"/>
      <c r="G982" s="587"/>
      <c r="H982" s="280"/>
      <c r="I982" s="280"/>
      <c r="J982" s="280"/>
      <c r="K982" s="280"/>
      <c r="L982" s="280"/>
      <c r="M982" s="280"/>
      <c r="N982" s="280"/>
      <c r="O982" s="280"/>
      <c r="P982" s="280"/>
      <c r="Q982" s="280"/>
      <c r="R982" s="280"/>
      <c r="S982" s="280"/>
      <c r="T982" s="280"/>
      <c r="U982" s="280"/>
      <c r="V982" s="280"/>
      <c r="W982" s="280"/>
    </row>
    <row r="983">
      <c r="A983" s="280"/>
      <c r="B983" s="280"/>
      <c r="C983" s="280"/>
      <c r="D983" s="587"/>
      <c r="E983" s="587"/>
      <c r="F983" s="587"/>
      <c r="G983" s="587"/>
      <c r="H983" s="280"/>
      <c r="I983" s="280"/>
      <c r="J983" s="280"/>
      <c r="K983" s="280"/>
      <c r="L983" s="280"/>
      <c r="M983" s="280"/>
      <c r="N983" s="280"/>
      <c r="O983" s="280"/>
      <c r="P983" s="280"/>
      <c r="Q983" s="280"/>
      <c r="R983" s="280"/>
      <c r="S983" s="280"/>
      <c r="T983" s="280"/>
      <c r="U983" s="280"/>
      <c r="V983" s="280"/>
      <c r="W983" s="280"/>
    </row>
    <row r="984">
      <c r="A984" s="280"/>
      <c r="B984" s="280"/>
      <c r="C984" s="280"/>
      <c r="D984" s="587"/>
      <c r="E984" s="587"/>
      <c r="F984" s="587"/>
      <c r="G984" s="587"/>
      <c r="H984" s="280"/>
      <c r="I984" s="280"/>
      <c r="J984" s="280"/>
      <c r="K984" s="280"/>
      <c r="L984" s="280"/>
      <c r="M984" s="280"/>
      <c r="N984" s="280"/>
      <c r="O984" s="280"/>
      <c r="P984" s="280"/>
      <c r="Q984" s="280"/>
      <c r="R984" s="280"/>
      <c r="S984" s="280"/>
      <c r="T984" s="280"/>
      <c r="U984" s="280"/>
      <c r="V984" s="280"/>
      <c r="W984" s="280"/>
    </row>
    <row r="985">
      <c r="A985" s="280"/>
      <c r="B985" s="280"/>
      <c r="C985" s="280"/>
      <c r="D985" s="587"/>
      <c r="E985" s="587"/>
      <c r="F985" s="587"/>
      <c r="G985" s="587"/>
      <c r="H985" s="280"/>
      <c r="I985" s="280"/>
      <c r="J985" s="280"/>
      <c r="K985" s="280"/>
      <c r="L985" s="280"/>
      <c r="M985" s="280"/>
      <c r="N985" s="280"/>
      <c r="O985" s="280"/>
      <c r="P985" s="280"/>
      <c r="Q985" s="280"/>
      <c r="R985" s="280"/>
      <c r="S985" s="280"/>
      <c r="T985" s="280"/>
      <c r="U985" s="280"/>
      <c r="V985" s="280"/>
      <c r="W985" s="280"/>
    </row>
    <row r="986">
      <c r="A986" s="280"/>
      <c r="B986" s="280"/>
      <c r="C986" s="280"/>
      <c r="D986" s="587"/>
      <c r="E986" s="587"/>
      <c r="F986" s="587"/>
      <c r="G986" s="587"/>
      <c r="H986" s="280"/>
      <c r="I986" s="280"/>
      <c r="J986" s="280"/>
      <c r="K986" s="280"/>
      <c r="L986" s="280"/>
      <c r="M986" s="280"/>
      <c r="N986" s="280"/>
      <c r="O986" s="280"/>
      <c r="P986" s="280"/>
      <c r="Q986" s="280"/>
      <c r="R986" s="280"/>
      <c r="S986" s="280"/>
      <c r="T986" s="280"/>
      <c r="U986" s="280"/>
      <c r="V986" s="280"/>
      <c r="W986" s="280"/>
    </row>
    <row r="987">
      <c r="A987" s="280"/>
      <c r="B987" s="280"/>
      <c r="C987" s="280"/>
      <c r="D987" s="587"/>
      <c r="E987" s="587"/>
      <c r="F987" s="587"/>
      <c r="G987" s="587"/>
      <c r="H987" s="280"/>
      <c r="I987" s="280"/>
      <c r="J987" s="280"/>
      <c r="K987" s="280"/>
      <c r="L987" s="280"/>
      <c r="M987" s="280"/>
      <c r="N987" s="280"/>
      <c r="O987" s="280"/>
      <c r="P987" s="280"/>
      <c r="Q987" s="280"/>
      <c r="R987" s="280"/>
      <c r="S987" s="280"/>
      <c r="T987" s="280"/>
      <c r="U987" s="280"/>
      <c r="V987" s="280"/>
      <c r="W987" s="280"/>
    </row>
    <row r="988">
      <c r="A988" s="280"/>
      <c r="B988" s="280"/>
      <c r="C988" s="280"/>
      <c r="D988" s="587"/>
      <c r="E988" s="587"/>
      <c r="F988" s="587"/>
      <c r="G988" s="587"/>
      <c r="H988" s="280"/>
      <c r="I988" s="280"/>
      <c r="J988" s="280"/>
      <c r="K988" s="280"/>
      <c r="L988" s="280"/>
      <c r="M988" s="280"/>
      <c r="N988" s="280"/>
      <c r="O988" s="280"/>
      <c r="P988" s="280"/>
      <c r="Q988" s="280"/>
      <c r="R988" s="280"/>
      <c r="S988" s="280"/>
      <c r="T988" s="280"/>
      <c r="U988" s="280"/>
      <c r="V988" s="280"/>
      <c r="W988" s="280"/>
    </row>
    <row r="989">
      <c r="A989" s="280"/>
      <c r="B989" s="280"/>
      <c r="C989" s="280"/>
      <c r="D989" s="587"/>
      <c r="E989" s="587"/>
      <c r="F989" s="587"/>
      <c r="G989" s="587"/>
      <c r="H989" s="280"/>
      <c r="I989" s="280"/>
      <c r="J989" s="280"/>
      <c r="K989" s="280"/>
      <c r="L989" s="280"/>
      <c r="M989" s="280"/>
      <c r="N989" s="280"/>
      <c r="O989" s="280"/>
      <c r="P989" s="280"/>
      <c r="Q989" s="280"/>
      <c r="R989" s="280"/>
      <c r="S989" s="280"/>
      <c r="T989" s="280"/>
      <c r="U989" s="280"/>
      <c r="V989" s="280"/>
      <c r="W989" s="280"/>
    </row>
    <row r="990">
      <c r="A990" s="280"/>
      <c r="B990" s="280"/>
      <c r="C990" s="280"/>
      <c r="D990" s="587"/>
      <c r="E990" s="587"/>
      <c r="F990" s="587"/>
      <c r="G990" s="587"/>
      <c r="H990" s="280"/>
      <c r="I990" s="280"/>
      <c r="J990" s="280"/>
      <c r="K990" s="280"/>
      <c r="L990" s="280"/>
      <c r="M990" s="280"/>
      <c r="N990" s="280"/>
      <c r="O990" s="280"/>
      <c r="P990" s="280"/>
      <c r="Q990" s="280"/>
      <c r="R990" s="280"/>
      <c r="S990" s="280"/>
      <c r="T990" s="280"/>
      <c r="U990" s="280"/>
      <c r="V990" s="280"/>
      <c r="W990" s="280"/>
    </row>
    <row r="991">
      <c r="A991" s="280"/>
      <c r="B991" s="280"/>
      <c r="C991" s="280"/>
      <c r="D991" s="587"/>
      <c r="E991" s="587"/>
      <c r="F991" s="587"/>
      <c r="G991" s="587"/>
      <c r="H991" s="280"/>
      <c r="I991" s="280"/>
      <c r="J991" s="280"/>
      <c r="K991" s="280"/>
      <c r="L991" s="280"/>
      <c r="M991" s="280"/>
      <c r="N991" s="280"/>
      <c r="O991" s="280"/>
      <c r="P991" s="280"/>
      <c r="Q991" s="280"/>
      <c r="R991" s="280"/>
      <c r="S991" s="280"/>
      <c r="T991" s="280"/>
      <c r="U991" s="280"/>
      <c r="V991" s="280"/>
      <c r="W991" s="280"/>
    </row>
    <row r="992">
      <c r="A992" s="280"/>
      <c r="B992" s="280"/>
      <c r="C992" s="280"/>
      <c r="D992" s="587"/>
      <c r="E992" s="587"/>
      <c r="F992" s="587"/>
      <c r="G992" s="587"/>
      <c r="H992" s="280"/>
      <c r="I992" s="280"/>
      <c r="J992" s="280"/>
      <c r="K992" s="280"/>
      <c r="L992" s="280"/>
      <c r="M992" s="280"/>
      <c r="N992" s="280"/>
      <c r="O992" s="280"/>
      <c r="P992" s="280"/>
      <c r="Q992" s="280"/>
      <c r="R992" s="280"/>
      <c r="S992" s="280"/>
      <c r="T992" s="280"/>
      <c r="U992" s="280"/>
      <c r="V992" s="280"/>
      <c r="W992" s="280"/>
    </row>
    <row r="993">
      <c r="A993" s="280"/>
      <c r="B993" s="280"/>
      <c r="C993" s="280"/>
      <c r="D993" s="587"/>
      <c r="E993" s="587"/>
      <c r="F993" s="587"/>
      <c r="G993" s="587"/>
      <c r="H993" s="280"/>
      <c r="I993" s="280"/>
      <c r="J993" s="280"/>
      <c r="K993" s="280"/>
      <c r="L993" s="280"/>
      <c r="M993" s="280"/>
      <c r="N993" s="280"/>
      <c r="O993" s="280"/>
      <c r="P993" s="280"/>
      <c r="Q993" s="280"/>
      <c r="R993" s="280"/>
      <c r="S993" s="280"/>
      <c r="T993" s="280"/>
      <c r="U993" s="280"/>
      <c r="V993" s="280"/>
      <c r="W993" s="280"/>
    </row>
    <row r="994">
      <c r="A994" s="280"/>
      <c r="B994" s="280"/>
      <c r="C994" s="280"/>
      <c r="D994" s="587"/>
      <c r="E994" s="587"/>
      <c r="F994" s="587"/>
      <c r="G994" s="587"/>
      <c r="H994" s="280"/>
      <c r="I994" s="280"/>
      <c r="J994" s="280"/>
      <c r="K994" s="280"/>
      <c r="L994" s="280"/>
      <c r="M994" s="280"/>
      <c r="N994" s="280"/>
      <c r="O994" s="280"/>
      <c r="P994" s="280"/>
      <c r="Q994" s="280"/>
      <c r="R994" s="280"/>
      <c r="S994" s="280"/>
      <c r="T994" s="280"/>
      <c r="U994" s="280"/>
      <c r="V994" s="280"/>
      <c r="W994" s="280"/>
    </row>
    <row r="995">
      <c r="A995" s="280"/>
      <c r="B995" s="280"/>
      <c r="C995" s="280"/>
      <c r="D995" s="587"/>
      <c r="E995" s="587"/>
      <c r="F995" s="587"/>
      <c r="G995" s="587"/>
      <c r="H995" s="280"/>
      <c r="I995" s="280"/>
      <c r="J995" s="280"/>
      <c r="K995" s="280"/>
      <c r="L995" s="280"/>
      <c r="M995" s="280"/>
      <c r="N995" s="280"/>
      <c r="O995" s="280"/>
      <c r="P995" s="280"/>
      <c r="Q995" s="280"/>
      <c r="R995" s="280"/>
      <c r="S995" s="280"/>
      <c r="T995" s="280"/>
      <c r="U995" s="280"/>
      <c r="V995" s="280"/>
      <c r="W995" s="280"/>
    </row>
    <row r="996">
      <c r="A996" s="280"/>
      <c r="B996" s="280"/>
      <c r="C996" s="280"/>
      <c r="D996" s="587"/>
      <c r="E996" s="587"/>
      <c r="F996" s="587"/>
      <c r="G996" s="587"/>
      <c r="H996" s="280"/>
      <c r="I996" s="280"/>
      <c r="J996" s="280"/>
      <c r="K996" s="280"/>
      <c r="L996" s="280"/>
      <c r="M996" s="280"/>
      <c r="N996" s="280"/>
      <c r="O996" s="280"/>
      <c r="P996" s="280"/>
      <c r="Q996" s="280"/>
      <c r="R996" s="280"/>
      <c r="S996" s="280"/>
      <c r="T996" s="280"/>
      <c r="U996" s="280"/>
      <c r="V996" s="280"/>
      <c r="W996" s="280"/>
    </row>
    <row r="997">
      <c r="A997" s="280"/>
      <c r="B997" s="280"/>
      <c r="C997" s="280"/>
      <c r="D997" s="587"/>
      <c r="E997" s="587"/>
      <c r="F997" s="587"/>
      <c r="G997" s="587"/>
      <c r="H997" s="280"/>
      <c r="I997" s="280"/>
      <c r="J997" s="280"/>
      <c r="K997" s="280"/>
      <c r="L997" s="280"/>
      <c r="M997" s="280"/>
      <c r="N997" s="280"/>
      <c r="O997" s="280"/>
      <c r="P997" s="280"/>
      <c r="Q997" s="280"/>
      <c r="R997" s="280"/>
      <c r="S997" s="280"/>
      <c r="T997" s="280"/>
      <c r="U997" s="280"/>
      <c r="V997" s="280"/>
      <c r="W997" s="280"/>
    </row>
    <row r="998">
      <c r="A998" s="280"/>
      <c r="B998" s="280"/>
      <c r="C998" s="280"/>
      <c r="D998" s="587"/>
      <c r="E998" s="587"/>
      <c r="F998" s="587"/>
      <c r="G998" s="587"/>
      <c r="H998" s="280"/>
      <c r="I998" s="280"/>
      <c r="J998" s="280"/>
      <c r="K998" s="280"/>
      <c r="L998" s="280"/>
      <c r="M998" s="280"/>
      <c r="N998" s="280"/>
      <c r="O998" s="280"/>
      <c r="P998" s="280"/>
      <c r="Q998" s="280"/>
      <c r="R998" s="280"/>
      <c r="S998" s="280"/>
      <c r="T998" s="280"/>
      <c r="U998" s="280"/>
      <c r="V998" s="280"/>
      <c r="W998" s="280"/>
    </row>
    <row r="999">
      <c r="A999" s="280"/>
      <c r="B999" s="280"/>
      <c r="C999" s="280"/>
      <c r="D999" s="587"/>
      <c r="E999" s="587"/>
      <c r="F999" s="587"/>
      <c r="G999" s="587"/>
      <c r="H999" s="280"/>
      <c r="I999" s="280"/>
      <c r="J999" s="280"/>
      <c r="K999" s="280"/>
      <c r="L999" s="280"/>
      <c r="M999" s="280"/>
      <c r="N999" s="280"/>
      <c r="O999" s="280"/>
      <c r="P999" s="280"/>
      <c r="Q999" s="280"/>
      <c r="R999" s="280"/>
      <c r="S999" s="280"/>
      <c r="T999" s="280"/>
      <c r="U999" s="280"/>
      <c r="V999" s="280"/>
      <c r="W999" s="280"/>
    </row>
    <row r="1000">
      <c r="A1000" s="280"/>
      <c r="B1000" s="280"/>
      <c r="C1000" s="280"/>
      <c r="D1000" s="587"/>
      <c r="E1000" s="587"/>
      <c r="F1000" s="587"/>
      <c r="G1000" s="587"/>
      <c r="H1000" s="280"/>
      <c r="I1000" s="280"/>
      <c r="J1000" s="280"/>
      <c r="K1000" s="280"/>
      <c r="L1000" s="280"/>
      <c r="M1000" s="280"/>
      <c r="N1000" s="280"/>
      <c r="O1000" s="280"/>
      <c r="P1000" s="280"/>
      <c r="Q1000" s="280"/>
      <c r="R1000" s="280"/>
      <c r="S1000" s="280"/>
      <c r="T1000" s="280"/>
      <c r="U1000" s="280"/>
      <c r="V1000" s="280"/>
      <c r="W1000" s="280"/>
    </row>
    <row r="1001">
      <c r="A1001" s="280"/>
      <c r="B1001" s="280"/>
      <c r="C1001" s="280"/>
      <c r="D1001" s="587"/>
      <c r="E1001" s="587"/>
      <c r="F1001" s="587"/>
      <c r="G1001" s="587"/>
      <c r="H1001" s="280"/>
      <c r="I1001" s="280"/>
      <c r="J1001" s="280"/>
      <c r="K1001" s="280"/>
      <c r="L1001" s="280"/>
      <c r="M1001" s="280"/>
      <c r="N1001" s="280"/>
      <c r="O1001" s="280"/>
      <c r="P1001" s="280"/>
      <c r="Q1001" s="280"/>
      <c r="R1001" s="280"/>
      <c r="S1001" s="280"/>
      <c r="T1001" s="280"/>
      <c r="U1001" s="280"/>
      <c r="V1001" s="280"/>
      <c r="W1001" s="280"/>
    </row>
    <row r="1002">
      <c r="A1002" s="280"/>
      <c r="B1002" s="280"/>
      <c r="C1002" s="280"/>
      <c r="D1002" s="587"/>
      <c r="E1002" s="587"/>
      <c r="F1002" s="587"/>
      <c r="G1002" s="587"/>
      <c r="H1002" s="280"/>
      <c r="I1002" s="280"/>
      <c r="J1002" s="280"/>
      <c r="K1002" s="280"/>
      <c r="L1002" s="280"/>
      <c r="M1002" s="280"/>
      <c r="N1002" s="280"/>
      <c r="O1002" s="280"/>
      <c r="P1002" s="280"/>
      <c r="Q1002" s="280"/>
      <c r="R1002" s="280"/>
      <c r="S1002" s="280"/>
      <c r="T1002" s="280"/>
      <c r="U1002" s="280"/>
      <c r="V1002" s="280"/>
      <c r="W1002" s="280"/>
    </row>
    <row r="1003">
      <c r="A1003" s="280"/>
      <c r="B1003" s="280"/>
      <c r="C1003" s="280"/>
      <c r="D1003" s="587"/>
      <c r="E1003" s="587"/>
      <c r="F1003" s="587"/>
      <c r="G1003" s="587"/>
      <c r="H1003" s="280"/>
      <c r="I1003" s="280"/>
      <c r="J1003" s="280"/>
      <c r="K1003" s="280"/>
      <c r="L1003" s="280"/>
      <c r="M1003" s="280"/>
      <c r="N1003" s="280"/>
      <c r="O1003" s="280"/>
      <c r="P1003" s="280"/>
      <c r="Q1003" s="280"/>
      <c r="R1003" s="280"/>
      <c r="S1003" s="280"/>
      <c r="T1003" s="280"/>
      <c r="U1003" s="280"/>
      <c r="V1003" s="280"/>
      <c r="W1003" s="280"/>
    </row>
  </sheetData>
  <autoFilter ref="$B$31:$E$42">
    <filterColumn colId="2">
      <filters blank="1">
        <filter val="1"/>
        <filter val="2"/>
      </filters>
    </filterColumn>
  </autoFil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4.38"/>
    <col customWidth="1" min="2" max="2" width="82.88"/>
    <col customWidth="1" min="5" max="5" width="17.5"/>
    <col customWidth="1" min="6" max="6" width="3.38"/>
    <col customWidth="1" min="7" max="7" width="11.25"/>
    <col customWidth="1" min="9" max="10" width="10.75"/>
  </cols>
  <sheetData>
    <row r="1">
      <c r="A1" s="287"/>
      <c r="B1" s="126"/>
      <c r="C1" s="102" t="s">
        <v>3888</v>
      </c>
      <c r="D1" s="102" t="s">
        <v>3889</v>
      </c>
      <c r="E1" s="720" t="s">
        <v>3890</v>
      </c>
      <c r="F1" s="126"/>
      <c r="G1" s="287"/>
      <c r="H1" s="726" t="s">
        <v>2855</v>
      </c>
    </row>
    <row r="2">
      <c r="A2" s="126"/>
      <c r="B2" s="167" t="s">
        <v>3891</v>
      </c>
      <c r="C2" s="39">
        <f>20000*1.19</f>
        <v>23800</v>
      </c>
      <c r="D2" s="102">
        <f>21000*1.19</f>
        <v>24990</v>
      </c>
      <c r="E2" s="163">
        <v>23086.0</v>
      </c>
      <c r="F2" s="126"/>
      <c r="G2" s="589">
        <f>C2-E2</f>
        <v>714</v>
      </c>
      <c r="H2" s="727"/>
    </row>
    <row r="3">
      <c r="A3" s="126"/>
      <c r="B3" s="16"/>
      <c r="C3" s="39"/>
      <c r="D3" s="39"/>
      <c r="E3" s="589"/>
      <c r="F3" s="126"/>
      <c r="G3" s="287"/>
      <c r="H3" s="727"/>
    </row>
    <row r="4">
      <c r="A4" s="126"/>
      <c r="B4" s="16"/>
      <c r="C4" s="102" t="s">
        <v>3892</v>
      </c>
      <c r="D4" s="102" t="s">
        <v>3893</v>
      </c>
      <c r="E4" s="589"/>
      <c r="F4" s="126"/>
      <c r="G4" s="287"/>
      <c r="H4" s="727"/>
    </row>
    <row r="5">
      <c r="A5" s="126"/>
      <c r="B5" s="16" t="s">
        <v>3894</v>
      </c>
      <c r="C5" s="39">
        <f>170000*1.19</f>
        <v>202300</v>
      </c>
      <c r="D5" s="39">
        <f>175000*1.19</f>
        <v>208250</v>
      </c>
      <c r="E5" s="163">
        <v>180000.0</v>
      </c>
      <c r="F5" s="126"/>
      <c r="G5" s="589">
        <f t="shared" ref="G5:G10" si="1">D5-E5</f>
        <v>28250</v>
      </c>
      <c r="H5" s="727"/>
    </row>
    <row r="6">
      <c r="A6" s="126"/>
      <c r="B6" s="16" t="s">
        <v>3895</v>
      </c>
      <c r="C6" s="102">
        <f t="shared" ref="C6:C7" si="2">80000*1.19</f>
        <v>95200</v>
      </c>
      <c r="D6" s="39">
        <f t="shared" ref="D6:D7" si="3">85000*1.19</f>
        <v>101150</v>
      </c>
      <c r="E6" s="163">
        <v>95000.0</v>
      </c>
      <c r="F6" s="126"/>
      <c r="G6" s="589">
        <f t="shared" si="1"/>
        <v>6150</v>
      </c>
      <c r="H6" s="727"/>
    </row>
    <row r="7">
      <c r="A7" s="126"/>
      <c r="B7" s="16" t="s">
        <v>3896</v>
      </c>
      <c r="C7" s="102">
        <f t="shared" si="2"/>
        <v>95200</v>
      </c>
      <c r="D7" s="39">
        <f t="shared" si="3"/>
        <v>101150</v>
      </c>
      <c r="E7" s="163">
        <v>96000.0</v>
      </c>
      <c r="F7" s="126"/>
      <c r="G7" s="589">
        <f t="shared" si="1"/>
        <v>5150</v>
      </c>
      <c r="H7" s="727"/>
    </row>
    <row r="8">
      <c r="A8" s="126"/>
      <c r="B8" s="16" t="s">
        <v>3897</v>
      </c>
      <c r="C8" s="39">
        <f>85000*1.19</f>
        <v>101150</v>
      </c>
      <c r="D8" s="39">
        <f>95000*1.19</f>
        <v>113050</v>
      </c>
      <c r="E8" s="163">
        <v>96000.0</v>
      </c>
      <c r="F8" s="126"/>
      <c r="G8" s="589">
        <f t="shared" si="1"/>
        <v>17050</v>
      </c>
      <c r="H8" s="727"/>
    </row>
    <row r="9">
      <c r="A9" s="126"/>
      <c r="B9" s="52" t="s">
        <v>3898</v>
      </c>
      <c r="C9" s="39">
        <f t="shared" ref="C9:C10" si="4">35000*1.19</f>
        <v>41650</v>
      </c>
      <c r="D9" s="39">
        <f t="shared" ref="D9:D10" si="5">40000*1.19</f>
        <v>47600</v>
      </c>
      <c r="E9" s="163">
        <v>45000.0</v>
      </c>
      <c r="F9" s="126"/>
      <c r="G9" s="589">
        <f t="shared" si="1"/>
        <v>2600</v>
      </c>
      <c r="H9" s="727"/>
    </row>
    <row r="10">
      <c r="A10" s="126"/>
      <c r="B10" s="52" t="s">
        <v>3899</v>
      </c>
      <c r="C10" s="39">
        <f t="shared" si="4"/>
        <v>41650</v>
      </c>
      <c r="D10" s="39">
        <f t="shared" si="5"/>
        <v>47600</v>
      </c>
      <c r="E10" s="163">
        <v>45000.0</v>
      </c>
      <c r="F10" s="126"/>
      <c r="G10" s="589">
        <f t="shared" si="1"/>
        <v>2600</v>
      </c>
      <c r="H10" s="727"/>
    </row>
    <row r="11">
      <c r="A11" s="126"/>
      <c r="B11" s="126"/>
      <c r="C11" s="39"/>
      <c r="D11" s="39"/>
      <c r="E11" s="589"/>
      <c r="F11" s="126"/>
      <c r="G11" s="287"/>
      <c r="H11" s="727"/>
    </row>
    <row r="12">
      <c r="A12" s="126"/>
      <c r="B12" s="126"/>
      <c r="C12" s="102" t="s">
        <v>3900</v>
      </c>
      <c r="D12" s="102" t="s">
        <v>3901</v>
      </c>
      <c r="E12" s="589"/>
      <c r="F12" s="126"/>
      <c r="G12" s="287"/>
      <c r="H12" s="727"/>
    </row>
    <row r="13">
      <c r="A13" s="126"/>
      <c r="B13" s="167" t="s">
        <v>3902</v>
      </c>
      <c r="C13" s="39">
        <f>1100*1.19</f>
        <v>1309</v>
      </c>
      <c r="D13" s="39">
        <f>1200*1.19</f>
        <v>1428</v>
      </c>
      <c r="E13" s="163">
        <v>1200.0</v>
      </c>
      <c r="F13" s="126"/>
      <c r="G13" s="589">
        <f t="shared" ref="G13:G16" si="6">C13-E13</f>
        <v>109</v>
      </c>
      <c r="H13" s="727"/>
    </row>
    <row r="14">
      <c r="A14" s="126"/>
      <c r="B14" s="728" t="s">
        <v>3903</v>
      </c>
      <c r="C14" s="729">
        <f t="shared" ref="C14:C16" si="7">900*1.19</f>
        <v>1071</v>
      </c>
      <c r="D14" s="729">
        <f>950*1.19</f>
        <v>1130.5</v>
      </c>
      <c r="E14" s="720">
        <v>1200.0</v>
      </c>
      <c r="F14" s="730"/>
      <c r="G14" s="590">
        <f t="shared" si="6"/>
        <v>-129</v>
      </c>
      <c r="H14" s="726"/>
    </row>
    <row r="15">
      <c r="A15" s="126"/>
      <c r="B15" s="728" t="s">
        <v>3904</v>
      </c>
      <c r="C15" s="729">
        <f t="shared" si="7"/>
        <v>1071</v>
      </c>
      <c r="D15" s="729">
        <f>1200+1.19</f>
        <v>1201.19</v>
      </c>
      <c r="E15" s="720">
        <v>1200.0</v>
      </c>
      <c r="F15" s="730"/>
      <c r="G15" s="590">
        <f t="shared" si="6"/>
        <v>-129</v>
      </c>
      <c r="H15" s="727"/>
    </row>
    <row r="16">
      <c r="A16" s="126"/>
      <c r="B16" s="728" t="s">
        <v>3905</v>
      </c>
      <c r="C16" s="729">
        <f t="shared" si="7"/>
        <v>1071</v>
      </c>
      <c r="D16" s="729">
        <f>950*1.19</f>
        <v>1130.5</v>
      </c>
      <c r="E16" s="720">
        <v>1200.0</v>
      </c>
      <c r="F16" s="730"/>
      <c r="G16" s="590">
        <f t="shared" si="6"/>
        <v>-129</v>
      </c>
      <c r="H16" s="727"/>
    </row>
    <row r="17">
      <c r="A17" s="126"/>
      <c r="B17" s="126"/>
      <c r="C17" s="39"/>
      <c r="D17" s="39"/>
      <c r="E17" s="589"/>
      <c r="F17" s="126"/>
      <c r="G17" s="287"/>
      <c r="H17" s="727"/>
    </row>
    <row r="18">
      <c r="A18" s="126"/>
      <c r="B18" s="126"/>
      <c r="C18" s="102" t="s">
        <v>3906</v>
      </c>
      <c r="D18" s="102" t="s">
        <v>3907</v>
      </c>
      <c r="E18" s="589"/>
      <c r="F18" s="126"/>
      <c r="G18" s="287"/>
      <c r="H18" s="727"/>
    </row>
    <row r="19">
      <c r="A19" s="288">
        <v>120.0</v>
      </c>
      <c r="B19" s="167" t="s">
        <v>3908</v>
      </c>
      <c r="C19" s="39">
        <f>12000*1.19</f>
        <v>14280</v>
      </c>
      <c r="D19" s="39">
        <f>13000*1.19</f>
        <v>15470</v>
      </c>
      <c r="E19" s="163">
        <v>16000.0</v>
      </c>
      <c r="F19" s="126"/>
      <c r="G19" s="589">
        <f>C19-E19</f>
        <v>-1720</v>
      </c>
      <c r="H19" s="726">
        <v>120.0</v>
      </c>
      <c r="I19" s="370">
        <f>C19*H19</f>
        <v>1713600</v>
      </c>
    </row>
    <row r="20">
      <c r="A20" s="126"/>
      <c r="B20" s="167"/>
      <c r="C20" s="39"/>
      <c r="D20" s="39"/>
      <c r="E20" s="589"/>
      <c r="F20" s="126"/>
      <c r="G20" s="287"/>
      <c r="H20" s="727"/>
    </row>
    <row r="21">
      <c r="A21" s="126"/>
      <c r="B21" s="167"/>
      <c r="C21" s="102" t="s">
        <v>3909</v>
      </c>
      <c r="D21" s="102" t="s">
        <v>3910</v>
      </c>
      <c r="E21" s="589"/>
      <c r="F21" s="126"/>
      <c r="G21" s="287"/>
      <c r="H21" s="727"/>
    </row>
    <row r="22">
      <c r="A22" s="126"/>
      <c r="B22" s="167" t="s">
        <v>3911</v>
      </c>
      <c r="C22" s="39">
        <f>72600*1.19</f>
        <v>86394</v>
      </c>
      <c r="D22" s="39">
        <f>78600*1.19</f>
        <v>93534</v>
      </c>
      <c r="E22" s="163" t="s">
        <v>3912</v>
      </c>
      <c r="F22" s="126"/>
      <c r="G22" s="287"/>
      <c r="H22" s="727"/>
    </row>
    <row r="23">
      <c r="A23" s="126"/>
      <c r="B23" s="126"/>
      <c r="C23" s="39"/>
      <c r="D23" s="39"/>
      <c r="E23" s="163"/>
      <c r="F23" s="126"/>
      <c r="G23" s="287"/>
      <c r="H23" s="727"/>
    </row>
    <row r="24">
      <c r="A24" s="126"/>
      <c r="B24" s="126"/>
      <c r="C24" s="102" t="s">
        <v>3888</v>
      </c>
      <c r="D24" s="102" t="s">
        <v>3913</v>
      </c>
      <c r="E24" s="163" t="s">
        <v>3912</v>
      </c>
      <c r="F24" s="126"/>
      <c r="G24" s="287"/>
      <c r="H24" s="727"/>
    </row>
    <row r="25">
      <c r="A25" s="126"/>
      <c r="B25" s="167" t="s">
        <v>3914</v>
      </c>
      <c r="C25" s="39">
        <f t="shared" ref="C25:C26" si="8">1800*1.19</f>
        <v>2142</v>
      </c>
      <c r="D25" s="39">
        <f>1900*1.19</f>
        <v>2261</v>
      </c>
      <c r="E25" s="163" t="s">
        <v>3912</v>
      </c>
      <c r="F25" s="126"/>
      <c r="G25" s="287"/>
      <c r="H25" s="727"/>
    </row>
    <row r="26">
      <c r="A26" s="126"/>
      <c r="B26" s="167" t="s">
        <v>3915</v>
      </c>
      <c r="C26" s="39">
        <f t="shared" si="8"/>
        <v>2142</v>
      </c>
      <c r="D26" s="39">
        <f>2000*1.19</f>
        <v>2380</v>
      </c>
      <c r="E26" s="163" t="s">
        <v>3912</v>
      </c>
      <c r="F26" s="126"/>
      <c r="G26" s="287"/>
      <c r="H26" s="727"/>
    </row>
    <row r="27">
      <c r="A27" s="126"/>
      <c r="B27" s="167" t="s">
        <v>3916</v>
      </c>
      <c r="C27" s="39">
        <f>1900*1.19</f>
        <v>2261</v>
      </c>
      <c r="D27" s="39">
        <f>2200*1.19</f>
        <v>2618</v>
      </c>
      <c r="E27" s="163" t="s">
        <v>3912</v>
      </c>
      <c r="F27" s="126"/>
      <c r="G27" s="287"/>
      <c r="H27" s="727"/>
    </row>
    <row r="28">
      <c r="A28" s="126"/>
      <c r="B28" s="126"/>
      <c r="C28" s="39"/>
      <c r="D28" s="39"/>
      <c r="E28" s="589"/>
      <c r="F28" s="126"/>
      <c r="G28" s="287"/>
      <c r="H28" s="727"/>
    </row>
    <row r="29">
      <c r="A29" s="126"/>
      <c r="B29" s="167"/>
      <c r="C29" s="102" t="s">
        <v>3888</v>
      </c>
      <c r="D29" s="102" t="s">
        <v>3917</v>
      </c>
      <c r="E29" s="589"/>
      <c r="F29" s="126"/>
      <c r="G29" s="287"/>
      <c r="H29" s="727"/>
    </row>
    <row r="30">
      <c r="A30" s="126"/>
      <c r="B30" s="167" t="s">
        <v>3918</v>
      </c>
      <c r="C30" s="39">
        <f t="shared" ref="C30:C31" si="9">950*1.19</f>
        <v>1130.5</v>
      </c>
      <c r="D30" s="102">
        <f t="shared" ref="D30:D31" si="10">1100*1.19</f>
        <v>1309</v>
      </c>
      <c r="E30" s="163">
        <v>1083.0</v>
      </c>
      <c r="F30" s="126"/>
      <c r="G30" s="589">
        <f t="shared" ref="G30:G31" si="11">C30-E30</f>
        <v>47.5</v>
      </c>
      <c r="H30" s="727"/>
    </row>
    <row r="31">
      <c r="A31" s="126"/>
      <c r="B31" s="167" t="s">
        <v>3919</v>
      </c>
      <c r="C31" s="39">
        <f t="shared" si="9"/>
        <v>1130.5</v>
      </c>
      <c r="D31" s="39">
        <f t="shared" si="10"/>
        <v>1309</v>
      </c>
      <c r="E31" s="163">
        <v>1083.0</v>
      </c>
      <c r="F31" s="126"/>
      <c r="G31" s="589">
        <f t="shared" si="11"/>
        <v>47.5</v>
      </c>
      <c r="H31" s="727"/>
    </row>
    <row r="32">
      <c r="A32" s="126"/>
      <c r="B32" s="167"/>
      <c r="C32" s="39"/>
      <c r="D32" s="39"/>
      <c r="E32" s="589"/>
      <c r="F32" s="126"/>
      <c r="G32" s="287"/>
      <c r="H32" s="727"/>
    </row>
    <row r="33">
      <c r="A33" s="126"/>
      <c r="B33" s="167"/>
      <c r="C33" s="102" t="s">
        <v>3888</v>
      </c>
      <c r="D33" s="102" t="s">
        <v>3913</v>
      </c>
      <c r="E33" s="589"/>
      <c r="F33" s="126"/>
      <c r="G33" s="287"/>
      <c r="H33" s="727"/>
    </row>
    <row r="34">
      <c r="A34" s="126"/>
      <c r="B34" s="167" t="s">
        <v>3920</v>
      </c>
      <c r="C34" s="39">
        <f>2200*1.19+2500*1.19</f>
        <v>5593</v>
      </c>
      <c r="D34" s="39">
        <f>2500*1.19</f>
        <v>2975</v>
      </c>
      <c r="E34" s="163" t="s">
        <v>3912</v>
      </c>
      <c r="F34" s="126"/>
      <c r="G34" s="287"/>
      <c r="H34" s="727"/>
    </row>
    <row r="35">
      <c r="A35" s="126"/>
      <c r="B35" s="167"/>
      <c r="C35" s="39"/>
      <c r="D35" s="39"/>
      <c r="E35" s="589"/>
      <c r="F35" s="126"/>
      <c r="G35" s="287"/>
      <c r="H35" s="727"/>
    </row>
    <row r="36">
      <c r="A36" s="126"/>
      <c r="B36" s="167"/>
      <c r="C36" s="102" t="s">
        <v>3892</v>
      </c>
      <c r="D36" s="102" t="s">
        <v>3921</v>
      </c>
      <c r="E36" s="589"/>
      <c r="F36" s="126"/>
      <c r="G36" s="287"/>
      <c r="H36" s="727"/>
    </row>
    <row r="37">
      <c r="A37" s="288">
        <v>50.0</v>
      </c>
      <c r="B37" s="728" t="s">
        <v>3922</v>
      </c>
      <c r="C37" s="729">
        <f>5800*1.19</f>
        <v>6902</v>
      </c>
      <c r="D37" s="729">
        <f>6200*1.19</f>
        <v>7378</v>
      </c>
      <c r="E37" s="720">
        <v>8000.0</v>
      </c>
      <c r="F37" s="730"/>
      <c r="G37" s="590">
        <f>C37-E37</f>
        <v>-1098</v>
      </c>
      <c r="H37" s="726">
        <v>50.0</v>
      </c>
      <c r="I37" s="370">
        <f>C37*H37</f>
        <v>345100</v>
      </c>
    </row>
    <row r="38">
      <c r="A38" s="126"/>
      <c r="B38" s="167"/>
      <c r="C38" s="39"/>
      <c r="D38" s="39"/>
      <c r="E38" s="589"/>
      <c r="F38" s="126"/>
      <c r="G38" s="287"/>
      <c r="H38" s="727"/>
    </row>
    <row r="39">
      <c r="A39" s="126"/>
      <c r="B39" s="167"/>
      <c r="C39" s="102" t="s">
        <v>3888</v>
      </c>
      <c r="D39" s="102" t="s">
        <v>3913</v>
      </c>
      <c r="E39" s="589"/>
      <c r="F39" s="126"/>
      <c r="G39" s="287"/>
      <c r="H39" s="727"/>
    </row>
    <row r="40">
      <c r="A40" s="288">
        <v>50.0</v>
      </c>
      <c r="B40" s="728" t="s">
        <v>3923</v>
      </c>
      <c r="C40" s="729">
        <f>2100*1.19</f>
        <v>2499</v>
      </c>
      <c r="D40" s="729">
        <f>2300*1.19</f>
        <v>2737</v>
      </c>
      <c r="E40" s="720">
        <v>3451.0</v>
      </c>
      <c r="F40" s="730"/>
      <c r="G40" s="590">
        <f t="shared" ref="G40:G41" si="12">C40-E40</f>
        <v>-952</v>
      </c>
      <c r="H40" s="726">
        <v>50.0</v>
      </c>
      <c r="I40" s="370">
        <f t="shared" ref="I40:I41" si="13">C40*H40</f>
        <v>124950</v>
      </c>
    </row>
    <row r="41">
      <c r="A41" s="288">
        <v>50.0</v>
      </c>
      <c r="B41" s="728" t="s">
        <v>3924</v>
      </c>
      <c r="C41" s="729">
        <f>1900*1.19</f>
        <v>2261</v>
      </c>
      <c r="D41" s="729">
        <f>2100*1.19</f>
        <v>2499</v>
      </c>
      <c r="E41" s="720">
        <v>2975.0</v>
      </c>
      <c r="F41" s="730"/>
      <c r="G41" s="590">
        <f t="shared" si="12"/>
        <v>-714</v>
      </c>
      <c r="H41" s="726">
        <v>50.0</v>
      </c>
      <c r="I41" s="370">
        <f t="shared" si="13"/>
        <v>113050</v>
      </c>
    </row>
    <row r="42">
      <c r="A42" s="126"/>
      <c r="B42" s="167"/>
      <c r="C42" s="39"/>
      <c r="D42" s="39"/>
      <c r="E42" s="589"/>
      <c r="F42" s="126"/>
      <c r="G42" s="287"/>
      <c r="H42" s="727"/>
    </row>
    <row r="43">
      <c r="A43" s="126"/>
      <c r="B43" s="167"/>
      <c r="C43" s="102" t="s">
        <v>3888</v>
      </c>
      <c r="D43" s="102" t="s">
        <v>3913</v>
      </c>
      <c r="E43" s="589"/>
      <c r="F43" s="126"/>
      <c r="G43" s="287"/>
      <c r="H43" s="727"/>
    </row>
    <row r="44">
      <c r="A44" s="126"/>
      <c r="B44" s="728" t="s">
        <v>3925</v>
      </c>
      <c r="C44" s="729">
        <f>950*1.19</f>
        <v>1130.5</v>
      </c>
      <c r="D44" s="729">
        <f>1100*1.19</f>
        <v>1309</v>
      </c>
      <c r="E44" s="720">
        <v>1154.0</v>
      </c>
      <c r="F44" s="730"/>
      <c r="G44" s="590">
        <f>C44-E44</f>
        <v>-23.5</v>
      </c>
      <c r="H44" s="726"/>
    </row>
    <row r="45">
      <c r="A45" s="126"/>
      <c r="B45" s="167"/>
      <c r="C45" s="126"/>
      <c r="D45" s="39"/>
      <c r="E45" s="589"/>
      <c r="F45" s="126"/>
      <c r="G45" s="287"/>
      <c r="H45" s="727"/>
    </row>
    <row r="46">
      <c r="A46" s="126"/>
      <c r="B46" s="167"/>
      <c r="C46" s="102" t="s">
        <v>3892</v>
      </c>
      <c r="D46" s="102" t="s">
        <v>3921</v>
      </c>
      <c r="E46" s="589"/>
      <c r="F46" s="126"/>
      <c r="G46" s="287"/>
      <c r="H46" s="727"/>
    </row>
    <row r="47">
      <c r="A47" s="126"/>
      <c r="B47" s="167" t="s">
        <v>3926</v>
      </c>
      <c r="C47" s="39">
        <f>2300*1.19</f>
        <v>2737</v>
      </c>
      <c r="D47" s="102">
        <f>2600*1.19</f>
        <v>3094</v>
      </c>
      <c r="E47" s="163">
        <v>2630.0</v>
      </c>
      <c r="F47" s="126"/>
      <c r="G47" s="589">
        <f>C47-E47</f>
        <v>107</v>
      </c>
      <c r="H47" s="727"/>
    </row>
    <row r="48">
      <c r="A48" s="126"/>
      <c r="B48" s="167"/>
      <c r="C48" s="39"/>
      <c r="D48" s="39"/>
      <c r="E48" s="589"/>
      <c r="F48" s="126"/>
      <c r="G48" s="287"/>
      <c r="H48" s="727"/>
    </row>
    <row r="49">
      <c r="A49" s="126"/>
      <c r="B49" s="167"/>
      <c r="C49" s="102" t="s">
        <v>3888</v>
      </c>
      <c r="D49" s="102" t="s">
        <v>3913</v>
      </c>
      <c r="E49" s="589"/>
      <c r="F49" s="126"/>
      <c r="G49" s="287"/>
      <c r="H49" s="727"/>
    </row>
    <row r="50">
      <c r="A50" s="288">
        <v>50.0</v>
      </c>
      <c r="B50" s="728" t="s">
        <v>3927</v>
      </c>
      <c r="C50" s="729">
        <f>2900*1.19</f>
        <v>3451</v>
      </c>
      <c r="D50" s="729">
        <f>3300*1.19</f>
        <v>3927</v>
      </c>
      <c r="E50" s="720">
        <v>4879.0</v>
      </c>
      <c r="F50" s="730"/>
      <c r="G50" s="590">
        <f t="shared" ref="G50:G51" si="14">C50-E50</f>
        <v>-1428</v>
      </c>
      <c r="H50" s="726">
        <v>50.0</v>
      </c>
      <c r="I50" s="370">
        <f t="shared" ref="I50:I51" si="15">C50*H50</f>
        <v>172550</v>
      </c>
    </row>
    <row r="51">
      <c r="A51" s="288">
        <v>50.0</v>
      </c>
      <c r="B51" s="728" t="s">
        <v>3928</v>
      </c>
      <c r="C51" s="729">
        <f>2600*1.19</f>
        <v>3094</v>
      </c>
      <c r="D51" s="729">
        <f>2900*1.19</f>
        <v>3451</v>
      </c>
      <c r="E51" s="720">
        <v>4070.0</v>
      </c>
      <c r="F51" s="730"/>
      <c r="G51" s="590">
        <f t="shared" si="14"/>
        <v>-976</v>
      </c>
      <c r="H51" s="726">
        <v>50.0</v>
      </c>
      <c r="I51" s="370">
        <f t="shared" si="15"/>
        <v>154700</v>
      </c>
    </row>
    <row r="52">
      <c r="A52" s="126"/>
      <c r="B52" s="126"/>
      <c r="C52" s="39"/>
      <c r="D52" s="39"/>
      <c r="E52" s="589"/>
      <c r="F52" s="126"/>
      <c r="G52" s="287"/>
      <c r="H52" s="727"/>
    </row>
    <row r="53">
      <c r="A53" s="126"/>
      <c r="B53" s="126"/>
      <c r="C53" s="39"/>
      <c r="D53" s="39"/>
      <c r="E53" s="589"/>
      <c r="F53" s="126"/>
      <c r="G53" s="287"/>
      <c r="H53" s="727"/>
    </row>
    <row r="54">
      <c r="A54" s="287"/>
      <c r="B54" s="167" t="s">
        <v>3929</v>
      </c>
      <c r="C54" s="102">
        <v>2000.0</v>
      </c>
      <c r="D54" s="39"/>
      <c r="E54" s="719">
        <v>2200.0</v>
      </c>
      <c r="F54" s="126"/>
      <c r="G54" s="589">
        <f>C54-E54</f>
        <v>-200</v>
      </c>
      <c r="H54" s="726">
        <v>50.0</v>
      </c>
      <c r="I54" s="370">
        <f>C54*H54</f>
        <v>100000</v>
      </c>
    </row>
    <row r="55">
      <c r="A55" s="126"/>
      <c r="B55" s="167"/>
      <c r="C55" s="39"/>
      <c r="D55" s="39"/>
      <c r="E55" s="589"/>
      <c r="F55" s="126"/>
      <c r="G55" s="287"/>
      <c r="H55" s="726"/>
    </row>
    <row r="56">
      <c r="A56" s="126"/>
      <c r="B56" s="167"/>
      <c r="C56" s="102" t="s">
        <v>3930</v>
      </c>
      <c r="D56" s="731">
        <v>45599.0</v>
      </c>
      <c r="E56" s="589"/>
      <c r="F56" s="126"/>
      <c r="G56" s="287"/>
      <c r="H56" s="726"/>
    </row>
    <row r="57">
      <c r="A57" s="126"/>
      <c r="B57" s="167" t="s">
        <v>3931</v>
      </c>
      <c r="C57" s="39">
        <f>35000*1.19</f>
        <v>41650</v>
      </c>
      <c r="D57" s="39"/>
      <c r="E57" s="719">
        <v>45000.0</v>
      </c>
      <c r="F57" s="126"/>
      <c r="G57" s="589">
        <f>C57-E57</f>
        <v>-3350</v>
      </c>
      <c r="H57" s="726">
        <v>0.0</v>
      </c>
      <c r="I57" s="370">
        <f>C57*H57</f>
        <v>0</v>
      </c>
    </row>
    <row r="58">
      <c r="A58" s="126"/>
      <c r="B58" s="126"/>
      <c r="C58" s="39"/>
      <c r="D58" s="39"/>
      <c r="E58" s="589"/>
      <c r="F58" s="126"/>
      <c r="G58" s="287"/>
      <c r="H58" s="726"/>
    </row>
    <row r="59">
      <c r="A59" s="126"/>
      <c r="B59" s="167" t="s">
        <v>3932</v>
      </c>
      <c r="C59" s="102">
        <v>27000.0</v>
      </c>
      <c r="D59" s="39"/>
      <c r="E59" s="719">
        <v>27000.0</v>
      </c>
      <c r="F59" s="126"/>
      <c r="G59" s="589">
        <f>C59-E59</f>
        <v>0</v>
      </c>
      <c r="H59" s="726">
        <v>0.0</v>
      </c>
      <c r="I59" s="370">
        <f>C59*H59</f>
        <v>0</v>
      </c>
    </row>
    <row r="60">
      <c r="A60" s="126"/>
      <c r="B60" s="126"/>
      <c r="C60" s="39"/>
      <c r="D60" s="39"/>
      <c r="E60" s="589"/>
      <c r="F60" s="126"/>
      <c r="G60" s="287"/>
      <c r="H60" s="727"/>
    </row>
    <row r="61">
      <c r="A61" s="126"/>
      <c r="B61" s="126"/>
      <c r="C61" s="39"/>
      <c r="D61" s="39"/>
      <c r="E61" s="589"/>
      <c r="F61" s="126"/>
      <c r="G61" s="287"/>
      <c r="H61" s="727"/>
    </row>
    <row r="62">
      <c r="A62" s="126"/>
      <c r="B62" s="732" t="s">
        <v>3933</v>
      </c>
      <c r="C62" s="729">
        <f>4400*1.19</f>
        <v>5236</v>
      </c>
      <c r="D62" s="729">
        <f>4600*1.19</f>
        <v>5474</v>
      </c>
      <c r="E62" s="733">
        <v>7259.0</v>
      </c>
      <c r="F62" s="730"/>
      <c r="G62" s="590">
        <f>C62-E62</f>
        <v>-2023</v>
      </c>
      <c r="H62" s="726">
        <v>0.0</v>
      </c>
      <c r="I62" s="370">
        <f>C62*H62</f>
        <v>0</v>
      </c>
    </row>
    <row r="63">
      <c r="C63" s="370"/>
      <c r="D63" s="370"/>
      <c r="E63" s="587"/>
      <c r="G63" s="280"/>
      <c r="H63" s="280"/>
    </row>
    <row r="64">
      <c r="A64" s="280"/>
      <c r="C64" s="370"/>
      <c r="D64" s="370"/>
      <c r="E64" s="587"/>
      <c r="G64" s="280"/>
      <c r="H64" s="548" t="s">
        <v>3083</v>
      </c>
      <c r="I64" s="734">
        <f>SUM(I1:I62)</f>
        <v>2723950</v>
      </c>
    </row>
    <row r="65">
      <c r="C65" s="370"/>
      <c r="D65" s="370"/>
      <c r="E65" s="587"/>
      <c r="G65" s="280"/>
      <c r="H65" s="280"/>
    </row>
    <row r="66">
      <c r="C66" s="370"/>
      <c r="D66" s="370"/>
      <c r="E66" s="587"/>
      <c r="G66" s="280"/>
      <c r="H66" s="280"/>
    </row>
    <row r="67">
      <c r="C67" s="370"/>
      <c r="D67" s="370"/>
      <c r="E67" s="587"/>
      <c r="G67" s="280"/>
      <c r="H67" s="280"/>
    </row>
    <row r="68">
      <c r="C68" s="370"/>
      <c r="D68" s="370"/>
      <c r="E68" s="587"/>
      <c r="G68" s="280"/>
      <c r="H68" s="280"/>
    </row>
    <row r="69">
      <c r="C69" s="370"/>
      <c r="D69" s="370"/>
      <c r="E69" s="587"/>
      <c r="G69" s="280"/>
      <c r="H69" s="280"/>
    </row>
    <row r="70">
      <c r="C70" s="370"/>
      <c r="D70" s="370"/>
      <c r="E70" s="587"/>
      <c r="G70" s="280"/>
      <c r="H70" s="280"/>
    </row>
    <row r="71">
      <c r="C71" s="370"/>
      <c r="D71" s="370"/>
      <c r="E71" s="587"/>
      <c r="G71" s="280"/>
      <c r="H71" s="280"/>
    </row>
    <row r="72">
      <c r="C72" s="370"/>
      <c r="D72" s="370"/>
      <c r="E72" s="587"/>
      <c r="G72" s="280"/>
      <c r="H72" s="280"/>
    </row>
    <row r="73">
      <c r="C73" s="370"/>
      <c r="D73" s="370"/>
      <c r="E73" s="587"/>
      <c r="G73" s="280"/>
      <c r="H73" s="280"/>
    </row>
    <row r="74">
      <c r="C74" s="370"/>
      <c r="D74" s="370"/>
      <c r="E74" s="587"/>
      <c r="G74" s="280"/>
      <c r="H74" s="280"/>
    </row>
    <row r="75">
      <c r="C75" s="370"/>
      <c r="D75" s="370"/>
      <c r="E75" s="587"/>
      <c r="G75" s="280"/>
      <c r="H75" s="280"/>
    </row>
    <row r="76">
      <c r="C76" s="370"/>
      <c r="D76" s="370"/>
      <c r="E76" s="587"/>
      <c r="G76" s="280"/>
      <c r="H76" s="280"/>
    </row>
    <row r="77">
      <c r="C77" s="370"/>
      <c r="D77" s="370"/>
      <c r="E77" s="587"/>
      <c r="G77" s="280"/>
      <c r="H77" s="280"/>
    </row>
    <row r="78">
      <c r="C78" s="370"/>
      <c r="D78" s="370"/>
      <c r="E78" s="587"/>
      <c r="G78" s="280"/>
      <c r="H78" s="280"/>
    </row>
    <row r="79">
      <c r="C79" s="370"/>
      <c r="D79" s="370"/>
      <c r="E79" s="587"/>
      <c r="G79" s="280"/>
      <c r="H79" s="280"/>
    </row>
    <row r="80">
      <c r="C80" s="370"/>
      <c r="D80" s="370"/>
      <c r="E80" s="587"/>
      <c r="G80" s="280"/>
      <c r="H80" s="280"/>
    </row>
    <row r="81">
      <c r="C81" s="370"/>
      <c r="D81" s="370"/>
      <c r="E81" s="587"/>
      <c r="G81" s="280"/>
      <c r="H81" s="280"/>
    </row>
    <row r="82">
      <c r="C82" s="370"/>
      <c r="D82" s="370"/>
      <c r="E82" s="587"/>
      <c r="G82" s="280"/>
      <c r="H82" s="280"/>
    </row>
    <row r="83">
      <c r="C83" s="370"/>
      <c r="D83" s="370"/>
      <c r="E83" s="587"/>
      <c r="G83" s="280"/>
      <c r="H83" s="280"/>
    </row>
    <row r="84">
      <c r="C84" s="370"/>
      <c r="D84" s="370"/>
      <c r="E84" s="587"/>
      <c r="G84" s="280"/>
      <c r="H84" s="280"/>
    </row>
    <row r="85">
      <c r="C85" s="370"/>
      <c r="D85" s="370"/>
      <c r="E85" s="587"/>
      <c r="G85" s="280"/>
      <c r="H85" s="280"/>
    </row>
    <row r="86">
      <c r="C86" s="370"/>
      <c r="D86" s="370"/>
      <c r="E86" s="587"/>
      <c r="G86" s="280"/>
      <c r="H86" s="280"/>
    </row>
    <row r="87">
      <c r="C87" s="370"/>
      <c r="D87" s="370"/>
      <c r="E87" s="587"/>
      <c r="G87" s="280"/>
      <c r="H87" s="280"/>
    </row>
    <row r="88">
      <c r="C88" s="370"/>
      <c r="D88" s="370"/>
      <c r="E88" s="587"/>
      <c r="G88" s="280"/>
      <c r="H88" s="280"/>
    </row>
    <row r="89">
      <c r="C89" s="370"/>
      <c r="D89" s="370"/>
      <c r="E89" s="587"/>
      <c r="G89" s="280"/>
      <c r="H89" s="280"/>
    </row>
    <row r="90">
      <c r="C90" s="370"/>
      <c r="D90" s="370"/>
      <c r="E90" s="587"/>
      <c r="G90" s="280"/>
      <c r="H90" s="280"/>
    </row>
    <row r="91">
      <c r="C91" s="370"/>
      <c r="D91" s="370"/>
      <c r="E91" s="587"/>
      <c r="G91" s="280"/>
      <c r="H91" s="280"/>
    </row>
    <row r="92">
      <c r="C92" s="370"/>
      <c r="D92" s="370"/>
      <c r="E92" s="587"/>
      <c r="G92" s="280"/>
      <c r="H92" s="280"/>
    </row>
    <row r="93">
      <c r="C93" s="370"/>
      <c r="D93" s="370"/>
      <c r="E93" s="587"/>
      <c r="G93" s="280"/>
      <c r="H93" s="280"/>
    </row>
    <row r="94">
      <c r="C94" s="370"/>
      <c r="D94" s="370"/>
      <c r="E94" s="587"/>
      <c r="G94" s="280"/>
      <c r="H94" s="280"/>
    </row>
    <row r="95">
      <c r="C95" s="370"/>
      <c r="D95" s="370"/>
      <c r="E95" s="587"/>
      <c r="G95" s="280"/>
      <c r="H95" s="280"/>
    </row>
    <row r="96">
      <c r="C96" s="370"/>
      <c r="D96" s="370"/>
      <c r="E96" s="587"/>
      <c r="G96" s="280"/>
      <c r="H96" s="280"/>
    </row>
    <row r="97">
      <c r="C97" s="370"/>
      <c r="D97" s="370"/>
      <c r="E97" s="587"/>
      <c r="G97" s="280"/>
      <c r="H97" s="280"/>
    </row>
    <row r="98">
      <c r="C98" s="370"/>
      <c r="D98" s="370"/>
      <c r="E98" s="587"/>
      <c r="G98" s="280"/>
      <c r="H98" s="280"/>
    </row>
    <row r="99">
      <c r="C99" s="370"/>
      <c r="D99" s="370"/>
      <c r="E99" s="587"/>
      <c r="G99" s="280"/>
      <c r="H99" s="280"/>
    </row>
    <row r="100">
      <c r="C100" s="370"/>
      <c r="D100" s="370"/>
      <c r="E100" s="587"/>
      <c r="G100" s="280"/>
      <c r="H100" s="280"/>
    </row>
    <row r="101">
      <c r="C101" s="370"/>
      <c r="D101" s="370"/>
      <c r="E101" s="587"/>
      <c r="G101" s="280"/>
      <c r="H101" s="280"/>
    </row>
    <row r="102">
      <c r="C102" s="370"/>
      <c r="D102" s="370"/>
      <c r="E102" s="587"/>
      <c r="G102" s="280"/>
      <c r="H102" s="280"/>
    </row>
    <row r="103">
      <c r="C103" s="370"/>
      <c r="D103" s="370"/>
      <c r="E103" s="587"/>
      <c r="G103" s="280"/>
      <c r="H103" s="280"/>
    </row>
    <row r="104">
      <c r="C104" s="370"/>
      <c r="D104" s="370"/>
      <c r="E104" s="587"/>
      <c r="G104" s="280"/>
      <c r="H104" s="280"/>
    </row>
    <row r="105">
      <c r="C105" s="370"/>
      <c r="D105" s="370"/>
      <c r="E105" s="587"/>
      <c r="G105" s="280"/>
      <c r="H105" s="280"/>
    </row>
    <row r="106">
      <c r="C106" s="370"/>
      <c r="D106" s="370"/>
      <c r="E106" s="587"/>
      <c r="G106" s="280"/>
      <c r="H106" s="280"/>
    </row>
    <row r="107">
      <c r="C107" s="370"/>
      <c r="D107" s="370"/>
      <c r="E107" s="587"/>
      <c r="G107" s="280"/>
      <c r="H107" s="280"/>
    </row>
    <row r="108">
      <c r="C108" s="370"/>
      <c r="D108" s="370"/>
      <c r="E108" s="587"/>
      <c r="G108" s="280"/>
      <c r="H108" s="280"/>
    </row>
    <row r="109">
      <c r="C109" s="370"/>
      <c r="D109" s="370"/>
      <c r="E109" s="587"/>
      <c r="G109" s="280"/>
      <c r="H109" s="280"/>
    </row>
    <row r="110">
      <c r="C110" s="370"/>
      <c r="D110" s="370"/>
      <c r="E110" s="587"/>
      <c r="G110" s="280"/>
      <c r="H110" s="280"/>
    </row>
    <row r="111">
      <c r="C111" s="370"/>
      <c r="D111" s="370"/>
      <c r="E111" s="587"/>
      <c r="G111" s="280"/>
      <c r="H111" s="280"/>
    </row>
    <row r="112">
      <c r="C112" s="370"/>
      <c r="D112" s="370"/>
      <c r="E112" s="587"/>
      <c r="G112" s="280"/>
      <c r="H112" s="280"/>
    </row>
    <row r="113">
      <c r="C113" s="370"/>
      <c r="D113" s="370"/>
      <c r="E113" s="587"/>
      <c r="G113" s="280"/>
      <c r="H113" s="280"/>
    </row>
    <row r="114">
      <c r="C114" s="370"/>
      <c r="D114" s="370"/>
      <c r="E114" s="587"/>
      <c r="G114" s="280"/>
      <c r="H114" s="280"/>
    </row>
    <row r="115">
      <c r="C115" s="370"/>
      <c r="D115" s="370"/>
      <c r="E115" s="587"/>
      <c r="G115" s="280"/>
      <c r="H115" s="280"/>
    </row>
    <row r="116">
      <c r="C116" s="370"/>
      <c r="D116" s="370"/>
      <c r="E116" s="587"/>
      <c r="G116" s="280"/>
      <c r="H116" s="280"/>
    </row>
    <row r="117">
      <c r="C117" s="370"/>
      <c r="D117" s="370"/>
      <c r="E117" s="587"/>
      <c r="G117" s="280"/>
      <c r="H117" s="280"/>
    </row>
    <row r="118">
      <c r="C118" s="370"/>
      <c r="D118" s="370"/>
      <c r="E118" s="587"/>
      <c r="G118" s="280"/>
      <c r="H118" s="280"/>
    </row>
    <row r="119">
      <c r="C119" s="370"/>
      <c r="D119" s="370"/>
      <c r="E119" s="587"/>
      <c r="G119" s="280"/>
      <c r="H119" s="280"/>
    </row>
    <row r="120">
      <c r="C120" s="370"/>
      <c r="D120" s="370"/>
      <c r="E120" s="587"/>
      <c r="G120" s="280"/>
      <c r="H120" s="280"/>
    </row>
    <row r="121">
      <c r="C121" s="370"/>
      <c r="D121" s="370"/>
      <c r="E121" s="587"/>
      <c r="G121" s="280"/>
      <c r="H121" s="280"/>
    </row>
    <row r="122">
      <c r="C122" s="370"/>
      <c r="D122" s="370"/>
      <c r="E122" s="587"/>
      <c r="G122" s="280"/>
      <c r="H122" s="280"/>
    </row>
    <row r="123">
      <c r="C123" s="370"/>
      <c r="D123" s="370"/>
      <c r="E123" s="587"/>
      <c r="G123" s="280"/>
      <c r="H123" s="280"/>
    </row>
    <row r="124">
      <c r="C124" s="370"/>
      <c r="D124" s="370"/>
      <c r="E124" s="587"/>
      <c r="G124" s="280"/>
      <c r="H124" s="280"/>
    </row>
    <row r="125">
      <c r="C125" s="370"/>
      <c r="D125" s="370"/>
      <c r="E125" s="587"/>
      <c r="G125" s="280"/>
      <c r="H125" s="280"/>
    </row>
    <row r="126">
      <c r="C126" s="370"/>
      <c r="D126" s="370"/>
      <c r="E126" s="587"/>
      <c r="G126" s="280"/>
      <c r="H126" s="280"/>
    </row>
    <row r="127">
      <c r="C127" s="370"/>
      <c r="D127" s="370"/>
      <c r="E127" s="587"/>
      <c r="G127" s="280"/>
      <c r="H127" s="280"/>
    </row>
    <row r="128">
      <c r="C128" s="370"/>
      <c r="D128" s="370"/>
      <c r="E128" s="587"/>
      <c r="G128" s="280"/>
      <c r="H128" s="280"/>
    </row>
    <row r="129">
      <c r="C129" s="370"/>
      <c r="D129" s="370"/>
      <c r="E129" s="587"/>
      <c r="G129" s="280"/>
      <c r="H129" s="280"/>
    </row>
    <row r="130">
      <c r="C130" s="370"/>
      <c r="D130" s="370"/>
      <c r="E130" s="587"/>
      <c r="G130" s="280"/>
      <c r="H130" s="280"/>
    </row>
    <row r="131">
      <c r="C131" s="370"/>
      <c r="D131" s="370"/>
      <c r="E131" s="587"/>
      <c r="G131" s="280"/>
      <c r="H131" s="280"/>
    </row>
    <row r="132">
      <c r="C132" s="370"/>
      <c r="D132" s="370"/>
      <c r="E132" s="587"/>
      <c r="G132" s="280"/>
      <c r="H132" s="280"/>
    </row>
    <row r="133">
      <c r="C133" s="370"/>
      <c r="D133" s="370"/>
      <c r="E133" s="587"/>
      <c r="G133" s="280"/>
      <c r="H133" s="280"/>
    </row>
    <row r="134">
      <c r="C134" s="370"/>
      <c r="D134" s="370"/>
      <c r="E134" s="587"/>
      <c r="G134" s="280"/>
      <c r="H134" s="280"/>
    </row>
    <row r="135">
      <c r="C135" s="370"/>
      <c r="D135" s="370"/>
      <c r="E135" s="587"/>
      <c r="G135" s="280"/>
      <c r="H135" s="280"/>
    </row>
    <row r="136">
      <c r="C136" s="370"/>
      <c r="D136" s="370"/>
      <c r="E136" s="587"/>
      <c r="G136" s="280"/>
      <c r="H136" s="280"/>
    </row>
    <row r="137">
      <c r="C137" s="370"/>
      <c r="D137" s="370"/>
      <c r="E137" s="587"/>
      <c r="G137" s="280"/>
      <c r="H137" s="280"/>
    </row>
    <row r="138">
      <c r="C138" s="370"/>
      <c r="D138" s="370"/>
      <c r="E138" s="587"/>
      <c r="G138" s="280"/>
      <c r="H138" s="280"/>
    </row>
    <row r="139">
      <c r="C139" s="370"/>
      <c r="D139" s="370"/>
      <c r="E139" s="587"/>
      <c r="G139" s="280"/>
      <c r="H139" s="280"/>
    </row>
    <row r="140">
      <c r="C140" s="370"/>
      <c r="D140" s="370"/>
      <c r="E140" s="587"/>
      <c r="G140" s="280"/>
      <c r="H140" s="280"/>
    </row>
    <row r="141">
      <c r="C141" s="370"/>
      <c r="D141" s="370"/>
      <c r="E141" s="587"/>
      <c r="G141" s="280"/>
      <c r="H141" s="280"/>
    </row>
    <row r="142">
      <c r="C142" s="370"/>
      <c r="D142" s="370"/>
      <c r="E142" s="587"/>
      <c r="G142" s="280"/>
      <c r="H142" s="280"/>
    </row>
    <row r="143">
      <c r="C143" s="370"/>
      <c r="D143" s="370"/>
      <c r="E143" s="587"/>
      <c r="G143" s="280"/>
      <c r="H143" s="280"/>
    </row>
    <row r="144">
      <c r="C144" s="370"/>
      <c r="D144" s="370"/>
      <c r="E144" s="587"/>
      <c r="G144" s="280"/>
      <c r="H144" s="280"/>
    </row>
    <row r="145">
      <c r="C145" s="370"/>
      <c r="D145" s="370"/>
      <c r="E145" s="587"/>
      <c r="G145" s="280"/>
      <c r="H145" s="280"/>
    </row>
    <row r="146">
      <c r="C146" s="370"/>
      <c r="D146" s="370"/>
      <c r="E146" s="587"/>
      <c r="G146" s="280"/>
      <c r="H146" s="280"/>
    </row>
    <row r="147">
      <c r="C147" s="370"/>
      <c r="D147" s="370"/>
      <c r="E147" s="587"/>
      <c r="G147" s="280"/>
      <c r="H147" s="280"/>
    </row>
    <row r="148">
      <c r="C148" s="370"/>
      <c r="D148" s="370"/>
      <c r="E148" s="587"/>
      <c r="G148" s="280"/>
      <c r="H148" s="280"/>
    </row>
    <row r="149">
      <c r="C149" s="370"/>
      <c r="D149" s="370"/>
      <c r="E149" s="587"/>
      <c r="G149" s="280"/>
      <c r="H149" s="280"/>
    </row>
    <row r="150">
      <c r="C150" s="370"/>
      <c r="D150" s="370"/>
      <c r="E150" s="587"/>
      <c r="G150" s="280"/>
      <c r="H150" s="280"/>
    </row>
    <row r="151">
      <c r="C151" s="370"/>
      <c r="D151" s="370"/>
      <c r="E151" s="587"/>
      <c r="G151" s="280"/>
      <c r="H151" s="280"/>
    </row>
    <row r="152">
      <c r="C152" s="370"/>
      <c r="D152" s="370"/>
      <c r="E152" s="587"/>
      <c r="G152" s="280"/>
      <c r="H152" s="280"/>
    </row>
    <row r="153">
      <c r="C153" s="370"/>
      <c r="D153" s="370"/>
      <c r="E153" s="587"/>
      <c r="G153" s="280"/>
      <c r="H153" s="280"/>
    </row>
    <row r="154">
      <c r="C154" s="370"/>
      <c r="D154" s="370"/>
      <c r="E154" s="587"/>
      <c r="G154" s="280"/>
      <c r="H154" s="280"/>
    </row>
    <row r="155">
      <c r="C155" s="370"/>
      <c r="D155" s="370"/>
      <c r="E155" s="587"/>
      <c r="G155" s="280"/>
      <c r="H155" s="280"/>
    </row>
    <row r="156">
      <c r="C156" s="370"/>
      <c r="D156" s="370"/>
      <c r="E156" s="587"/>
      <c r="G156" s="280"/>
      <c r="H156" s="280"/>
    </row>
    <row r="157">
      <c r="C157" s="370"/>
      <c r="D157" s="370"/>
      <c r="E157" s="587"/>
      <c r="G157" s="280"/>
      <c r="H157" s="280"/>
    </row>
    <row r="158">
      <c r="C158" s="370"/>
      <c r="D158" s="370"/>
      <c r="E158" s="587"/>
      <c r="G158" s="280"/>
      <c r="H158" s="280"/>
    </row>
    <row r="159">
      <c r="C159" s="370"/>
      <c r="D159" s="370"/>
      <c r="E159" s="587"/>
      <c r="G159" s="280"/>
      <c r="H159" s="280"/>
    </row>
    <row r="160">
      <c r="C160" s="370"/>
      <c r="D160" s="370"/>
      <c r="E160" s="587"/>
      <c r="G160" s="280"/>
      <c r="H160" s="280"/>
    </row>
    <row r="161">
      <c r="C161" s="370"/>
      <c r="D161" s="370"/>
      <c r="E161" s="587"/>
      <c r="G161" s="280"/>
      <c r="H161" s="280"/>
    </row>
    <row r="162">
      <c r="C162" s="370"/>
      <c r="D162" s="370"/>
      <c r="E162" s="587"/>
      <c r="G162" s="280"/>
      <c r="H162" s="280"/>
    </row>
    <row r="163">
      <c r="C163" s="370"/>
      <c r="D163" s="370"/>
      <c r="E163" s="587"/>
      <c r="G163" s="280"/>
      <c r="H163" s="280"/>
    </row>
    <row r="164">
      <c r="C164" s="370"/>
      <c r="D164" s="370"/>
      <c r="E164" s="587"/>
      <c r="G164" s="280"/>
      <c r="H164" s="280"/>
    </row>
    <row r="165">
      <c r="C165" s="370"/>
      <c r="D165" s="370"/>
      <c r="E165" s="587"/>
      <c r="G165" s="280"/>
      <c r="H165" s="280"/>
    </row>
    <row r="166">
      <c r="C166" s="370"/>
      <c r="D166" s="370"/>
      <c r="E166" s="587"/>
      <c r="G166" s="280"/>
      <c r="H166" s="280"/>
    </row>
    <row r="167">
      <c r="C167" s="370"/>
      <c r="D167" s="370"/>
      <c r="E167" s="587"/>
      <c r="G167" s="280"/>
      <c r="H167" s="280"/>
    </row>
    <row r="168">
      <c r="C168" s="370"/>
      <c r="D168" s="370"/>
      <c r="E168" s="587"/>
      <c r="G168" s="280"/>
      <c r="H168" s="280"/>
    </row>
    <row r="169">
      <c r="C169" s="370"/>
      <c r="D169" s="370"/>
      <c r="E169" s="587"/>
      <c r="G169" s="280"/>
      <c r="H169" s="280"/>
    </row>
    <row r="170">
      <c r="C170" s="370"/>
      <c r="D170" s="370"/>
      <c r="E170" s="587"/>
      <c r="G170" s="280"/>
      <c r="H170" s="280"/>
    </row>
    <row r="171">
      <c r="C171" s="370"/>
      <c r="D171" s="370"/>
      <c r="E171" s="587"/>
      <c r="G171" s="280"/>
      <c r="H171" s="280"/>
    </row>
    <row r="172">
      <c r="C172" s="370"/>
      <c r="D172" s="370"/>
      <c r="E172" s="587"/>
      <c r="G172" s="280"/>
      <c r="H172" s="280"/>
    </row>
    <row r="173">
      <c r="C173" s="370"/>
      <c r="D173" s="370"/>
      <c r="E173" s="587"/>
      <c r="G173" s="280"/>
      <c r="H173" s="280"/>
    </row>
    <row r="174">
      <c r="C174" s="370"/>
      <c r="D174" s="370"/>
      <c r="E174" s="587"/>
      <c r="G174" s="280"/>
      <c r="H174" s="280"/>
    </row>
    <row r="175">
      <c r="C175" s="370"/>
      <c r="D175" s="370"/>
      <c r="E175" s="587"/>
      <c r="G175" s="280"/>
      <c r="H175" s="280"/>
    </row>
    <row r="176">
      <c r="C176" s="370"/>
      <c r="D176" s="370"/>
      <c r="E176" s="587"/>
      <c r="G176" s="280"/>
      <c r="H176" s="280"/>
    </row>
    <row r="177">
      <c r="C177" s="370"/>
      <c r="D177" s="370"/>
      <c r="E177" s="587"/>
      <c r="G177" s="280"/>
      <c r="H177" s="280"/>
    </row>
    <row r="178">
      <c r="C178" s="370"/>
      <c r="D178" s="370"/>
      <c r="E178" s="587"/>
      <c r="G178" s="280"/>
      <c r="H178" s="280"/>
    </row>
    <row r="179">
      <c r="C179" s="370"/>
      <c r="D179" s="370"/>
      <c r="E179" s="587"/>
      <c r="G179" s="280"/>
      <c r="H179" s="280"/>
    </row>
    <row r="180">
      <c r="C180" s="370"/>
      <c r="D180" s="370"/>
      <c r="E180" s="587"/>
      <c r="G180" s="280"/>
      <c r="H180" s="280"/>
    </row>
    <row r="181">
      <c r="C181" s="370"/>
      <c r="D181" s="370"/>
      <c r="E181" s="587"/>
      <c r="G181" s="280"/>
      <c r="H181" s="280"/>
    </row>
    <row r="182">
      <c r="C182" s="370"/>
      <c r="D182" s="370"/>
      <c r="E182" s="587"/>
      <c r="G182" s="280"/>
      <c r="H182" s="280"/>
    </row>
    <row r="183">
      <c r="C183" s="370"/>
      <c r="D183" s="370"/>
      <c r="E183" s="587"/>
      <c r="G183" s="280"/>
      <c r="H183" s="280"/>
    </row>
    <row r="184">
      <c r="C184" s="370"/>
      <c r="D184" s="370"/>
      <c r="E184" s="587"/>
      <c r="G184" s="280"/>
      <c r="H184" s="280"/>
    </row>
    <row r="185">
      <c r="C185" s="370"/>
      <c r="D185" s="370"/>
      <c r="E185" s="587"/>
      <c r="G185" s="280"/>
      <c r="H185" s="280"/>
    </row>
    <row r="186">
      <c r="C186" s="370"/>
      <c r="D186" s="370"/>
      <c r="E186" s="587"/>
      <c r="G186" s="280"/>
      <c r="H186" s="280"/>
    </row>
    <row r="187">
      <c r="C187" s="370"/>
      <c r="D187" s="370"/>
      <c r="E187" s="587"/>
      <c r="G187" s="280"/>
      <c r="H187" s="280"/>
    </row>
    <row r="188">
      <c r="C188" s="370"/>
      <c r="D188" s="370"/>
      <c r="E188" s="587"/>
      <c r="G188" s="280"/>
      <c r="H188" s="280"/>
    </row>
    <row r="189">
      <c r="C189" s="370"/>
      <c r="D189" s="370"/>
      <c r="E189" s="587"/>
      <c r="G189" s="280"/>
      <c r="H189" s="280"/>
    </row>
    <row r="190">
      <c r="C190" s="370"/>
      <c r="D190" s="370"/>
      <c r="E190" s="587"/>
      <c r="G190" s="280"/>
      <c r="H190" s="280"/>
    </row>
    <row r="191">
      <c r="C191" s="370"/>
      <c r="D191" s="370"/>
      <c r="E191" s="587"/>
      <c r="G191" s="280"/>
      <c r="H191" s="280"/>
    </row>
    <row r="192">
      <c r="C192" s="370"/>
      <c r="D192" s="370"/>
      <c r="E192" s="587"/>
      <c r="G192" s="280"/>
      <c r="H192" s="280"/>
    </row>
    <row r="193">
      <c r="C193" s="370"/>
      <c r="D193" s="370"/>
      <c r="E193" s="587"/>
      <c r="G193" s="280"/>
      <c r="H193" s="280"/>
    </row>
    <row r="194">
      <c r="C194" s="370"/>
      <c r="D194" s="370"/>
      <c r="E194" s="587"/>
      <c r="G194" s="280"/>
      <c r="H194" s="280"/>
    </row>
    <row r="195">
      <c r="C195" s="370"/>
      <c r="D195" s="370"/>
      <c r="E195" s="587"/>
      <c r="G195" s="280"/>
      <c r="H195" s="280"/>
    </row>
    <row r="196">
      <c r="C196" s="370"/>
      <c r="D196" s="370"/>
      <c r="E196" s="587"/>
      <c r="G196" s="280"/>
      <c r="H196" s="280"/>
    </row>
    <row r="197">
      <c r="C197" s="370"/>
      <c r="D197" s="370"/>
      <c r="E197" s="587"/>
      <c r="G197" s="280"/>
      <c r="H197" s="280"/>
    </row>
    <row r="198">
      <c r="C198" s="370"/>
      <c r="D198" s="370"/>
      <c r="E198" s="587"/>
      <c r="G198" s="280"/>
      <c r="H198" s="280"/>
    </row>
    <row r="199">
      <c r="C199" s="370"/>
      <c r="D199" s="370"/>
      <c r="E199" s="587"/>
      <c r="G199" s="280"/>
      <c r="H199" s="280"/>
    </row>
    <row r="200">
      <c r="C200" s="370"/>
      <c r="D200" s="370"/>
      <c r="E200" s="587"/>
      <c r="G200" s="280"/>
      <c r="H200" s="280"/>
    </row>
    <row r="201">
      <c r="C201" s="370"/>
      <c r="D201" s="370"/>
      <c r="E201" s="587"/>
      <c r="G201" s="280"/>
      <c r="H201" s="280"/>
    </row>
    <row r="202">
      <c r="C202" s="370"/>
      <c r="D202" s="370"/>
      <c r="E202" s="587"/>
      <c r="G202" s="280"/>
      <c r="H202" s="280"/>
    </row>
    <row r="203">
      <c r="C203" s="370"/>
      <c r="D203" s="370"/>
      <c r="E203" s="587"/>
      <c r="G203" s="280"/>
      <c r="H203" s="280"/>
    </row>
    <row r="204">
      <c r="C204" s="370"/>
      <c r="D204" s="370"/>
      <c r="E204" s="587"/>
      <c r="G204" s="280"/>
      <c r="H204" s="280"/>
    </row>
    <row r="205">
      <c r="C205" s="370"/>
      <c r="D205" s="370"/>
      <c r="E205" s="587"/>
      <c r="G205" s="280"/>
      <c r="H205" s="280"/>
    </row>
    <row r="206">
      <c r="C206" s="370"/>
      <c r="D206" s="370"/>
      <c r="E206" s="587"/>
      <c r="G206" s="280"/>
      <c r="H206" s="280"/>
    </row>
    <row r="207">
      <c r="C207" s="370"/>
      <c r="D207" s="370"/>
      <c r="E207" s="587"/>
      <c r="G207" s="280"/>
      <c r="H207" s="280"/>
    </row>
    <row r="208">
      <c r="C208" s="370"/>
      <c r="D208" s="370"/>
      <c r="E208" s="587"/>
      <c r="G208" s="280"/>
      <c r="H208" s="280"/>
    </row>
    <row r="209">
      <c r="C209" s="370"/>
      <c r="D209" s="370"/>
      <c r="E209" s="587"/>
      <c r="G209" s="280"/>
      <c r="H209" s="280"/>
    </row>
    <row r="210">
      <c r="C210" s="370"/>
      <c r="D210" s="370"/>
      <c r="E210" s="587"/>
      <c r="G210" s="280"/>
      <c r="H210" s="280"/>
    </row>
    <row r="211">
      <c r="C211" s="370"/>
      <c r="D211" s="370"/>
      <c r="E211" s="587"/>
      <c r="G211" s="280"/>
      <c r="H211" s="280"/>
    </row>
    <row r="212">
      <c r="C212" s="370"/>
      <c r="D212" s="370"/>
      <c r="E212" s="587"/>
      <c r="G212" s="280"/>
      <c r="H212" s="280"/>
    </row>
    <row r="213">
      <c r="C213" s="370"/>
      <c r="D213" s="370"/>
      <c r="E213" s="587"/>
      <c r="G213" s="280"/>
      <c r="H213" s="280"/>
    </row>
    <row r="214">
      <c r="C214" s="370"/>
      <c r="D214" s="370"/>
      <c r="E214" s="587"/>
      <c r="G214" s="280"/>
      <c r="H214" s="280"/>
    </row>
    <row r="215">
      <c r="C215" s="370"/>
      <c r="D215" s="370"/>
      <c r="E215" s="587"/>
      <c r="G215" s="280"/>
      <c r="H215" s="280"/>
    </row>
    <row r="216">
      <c r="C216" s="370"/>
      <c r="D216" s="370"/>
      <c r="E216" s="587"/>
      <c r="G216" s="280"/>
      <c r="H216" s="280"/>
    </row>
    <row r="217">
      <c r="C217" s="370"/>
      <c r="D217" s="370"/>
      <c r="E217" s="587"/>
      <c r="G217" s="280"/>
      <c r="H217" s="280"/>
    </row>
    <row r="218">
      <c r="C218" s="370"/>
      <c r="D218" s="370"/>
      <c r="E218" s="587"/>
      <c r="G218" s="280"/>
      <c r="H218" s="280"/>
    </row>
    <row r="219">
      <c r="C219" s="370"/>
      <c r="D219" s="370"/>
      <c r="E219" s="587"/>
      <c r="G219" s="280"/>
      <c r="H219" s="280"/>
    </row>
    <row r="220">
      <c r="C220" s="370"/>
      <c r="D220" s="370"/>
      <c r="E220" s="587"/>
      <c r="G220" s="280"/>
      <c r="H220" s="280"/>
    </row>
    <row r="221">
      <c r="C221" s="370"/>
      <c r="D221" s="370"/>
      <c r="E221" s="587"/>
      <c r="G221" s="280"/>
      <c r="H221" s="280"/>
    </row>
    <row r="222">
      <c r="C222" s="370"/>
      <c r="D222" s="370"/>
      <c r="E222" s="587"/>
      <c r="G222" s="280"/>
      <c r="H222" s="280"/>
    </row>
    <row r="223">
      <c r="C223" s="370"/>
      <c r="D223" s="370"/>
      <c r="E223" s="587"/>
      <c r="G223" s="280"/>
      <c r="H223" s="280"/>
    </row>
    <row r="224">
      <c r="C224" s="370"/>
      <c r="D224" s="370"/>
      <c r="E224" s="587"/>
      <c r="G224" s="280"/>
      <c r="H224" s="280"/>
    </row>
    <row r="225">
      <c r="C225" s="370"/>
      <c r="D225" s="370"/>
      <c r="E225" s="587"/>
      <c r="G225" s="280"/>
      <c r="H225" s="280"/>
    </row>
    <row r="226">
      <c r="C226" s="370"/>
      <c r="D226" s="370"/>
      <c r="E226" s="587"/>
      <c r="G226" s="280"/>
      <c r="H226" s="280"/>
    </row>
    <row r="227">
      <c r="C227" s="370"/>
      <c r="D227" s="370"/>
      <c r="E227" s="587"/>
      <c r="G227" s="280"/>
      <c r="H227" s="280"/>
    </row>
    <row r="228">
      <c r="C228" s="370"/>
      <c r="D228" s="370"/>
      <c r="E228" s="587"/>
      <c r="G228" s="280"/>
      <c r="H228" s="280"/>
    </row>
    <row r="229">
      <c r="C229" s="370"/>
      <c r="D229" s="370"/>
      <c r="E229" s="587"/>
      <c r="G229" s="280"/>
      <c r="H229" s="280"/>
    </row>
    <row r="230">
      <c r="C230" s="370"/>
      <c r="D230" s="370"/>
      <c r="E230" s="587"/>
      <c r="G230" s="280"/>
      <c r="H230" s="280"/>
    </row>
    <row r="231">
      <c r="C231" s="370"/>
      <c r="D231" s="370"/>
      <c r="E231" s="587"/>
      <c r="G231" s="280"/>
      <c r="H231" s="280"/>
    </row>
    <row r="232">
      <c r="C232" s="370"/>
      <c r="D232" s="370"/>
      <c r="E232" s="587"/>
      <c r="G232" s="280"/>
      <c r="H232" s="280"/>
    </row>
    <row r="233">
      <c r="C233" s="370"/>
      <c r="D233" s="370"/>
      <c r="E233" s="587"/>
      <c r="G233" s="280"/>
      <c r="H233" s="280"/>
    </row>
    <row r="234">
      <c r="C234" s="370"/>
      <c r="D234" s="370"/>
      <c r="E234" s="587"/>
      <c r="G234" s="280"/>
      <c r="H234" s="280"/>
    </row>
    <row r="235">
      <c r="C235" s="370"/>
      <c r="D235" s="370"/>
      <c r="E235" s="587"/>
      <c r="G235" s="280"/>
      <c r="H235" s="280"/>
    </row>
    <row r="236">
      <c r="C236" s="370"/>
      <c r="D236" s="370"/>
      <c r="E236" s="587"/>
      <c r="G236" s="280"/>
      <c r="H236" s="280"/>
    </row>
    <row r="237">
      <c r="C237" s="370"/>
      <c r="D237" s="370"/>
      <c r="E237" s="587"/>
      <c r="G237" s="280"/>
      <c r="H237" s="280"/>
    </row>
    <row r="238">
      <c r="C238" s="370"/>
      <c r="D238" s="370"/>
      <c r="E238" s="587"/>
      <c r="G238" s="280"/>
      <c r="H238" s="280"/>
    </row>
    <row r="239">
      <c r="C239" s="370"/>
      <c r="D239" s="370"/>
      <c r="E239" s="587"/>
      <c r="G239" s="280"/>
      <c r="H239" s="280"/>
    </row>
    <row r="240">
      <c r="C240" s="370"/>
      <c r="D240" s="370"/>
      <c r="E240" s="587"/>
      <c r="G240" s="280"/>
      <c r="H240" s="280"/>
    </row>
    <row r="241">
      <c r="C241" s="370"/>
      <c r="D241" s="370"/>
      <c r="E241" s="587"/>
      <c r="G241" s="280"/>
      <c r="H241" s="280"/>
    </row>
    <row r="242">
      <c r="C242" s="370"/>
      <c r="D242" s="370"/>
      <c r="E242" s="587"/>
      <c r="G242" s="280"/>
      <c r="H242" s="280"/>
    </row>
    <row r="243">
      <c r="C243" s="370"/>
      <c r="D243" s="370"/>
      <c r="E243" s="587"/>
      <c r="G243" s="280"/>
      <c r="H243" s="280"/>
    </row>
    <row r="244">
      <c r="C244" s="370"/>
      <c r="D244" s="370"/>
      <c r="E244" s="587"/>
      <c r="G244" s="280"/>
      <c r="H244" s="280"/>
    </row>
    <row r="245">
      <c r="C245" s="370"/>
      <c r="D245" s="370"/>
      <c r="E245" s="587"/>
      <c r="G245" s="280"/>
      <c r="H245" s="280"/>
    </row>
    <row r="246">
      <c r="C246" s="370"/>
      <c r="D246" s="370"/>
      <c r="E246" s="587"/>
      <c r="G246" s="280"/>
      <c r="H246" s="280"/>
    </row>
    <row r="247">
      <c r="C247" s="370"/>
      <c r="D247" s="370"/>
      <c r="E247" s="587"/>
      <c r="G247" s="280"/>
      <c r="H247" s="280"/>
    </row>
    <row r="248">
      <c r="C248" s="370"/>
      <c r="D248" s="370"/>
      <c r="E248" s="587"/>
      <c r="G248" s="280"/>
      <c r="H248" s="280"/>
    </row>
    <row r="249">
      <c r="C249" s="370"/>
      <c r="D249" s="370"/>
      <c r="E249" s="587"/>
      <c r="G249" s="280"/>
      <c r="H249" s="280"/>
    </row>
    <row r="250">
      <c r="C250" s="370"/>
      <c r="D250" s="370"/>
      <c r="E250" s="587"/>
      <c r="G250" s="280"/>
      <c r="H250" s="280"/>
    </row>
    <row r="251">
      <c r="C251" s="370"/>
      <c r="D251" s="370"/>
      <c r="E251" s="587"/>
      <c r="G251" s="280"/>
      <c r="H251" s="280"/>
    </row>
    <row r="252">
      <c r="C252" s="370"/>
      <c r="D252" s="370"/>
      <c r="E252" s="587"/>
      <c r="G252" s="280"/>
      <c r="H252" s="280"/>
    </row>
    <row r="253">
      <c r="C253" s="370"/>
      <c r="D253" s="370"/>
      <c r="E253" s="587"/>
      <c r="G253" s="280"/>
      <c r="H253" s="280"/>
    </row>
    <row r="254">
      <c r="C254" s="370"/>
      <c r="D254" s="370"/>
      <c r="E254" s="587"/>
      <c r="G254" s="280"/>
      <c r="H254" s="280"/>
    </row>
    <row r="255">
      <c r="C255" s="370"/>
      <c r="D255" s="370"/>
      <c r="E255" s="587"/>
      <c r="G255" s="280"/>
      <c r="H255" s="280"/>
    </row>
    <row r="256">
      <c r="C256" s="370"/>
      <c r="D256" s="370"/>
      <c r="E256" s="587"/>
      <c r="G256" s="280"/>
      <c r="H256" s="280"/>
    </row>
    <row r="257">
      <c r="C257" s="370"/>
      <c r="D257" s="370"/>
      <c r="E257" s="587"/>
      <c r="G257" s="280"/>
      <c r="H257" s="280"/>
    </row>
    <row r="258">
      <c r="C258" s="370"/>
      <c r="D258" s="370"/>
      <c r="E258" s="587"/>
      <c r="G258" s="280"/>
      <c r="H258" s="280"/>
    </row>
    <row r="259">
      <c r="C259" s="370"/>
      <c r="D259" s="370"/>
      <c r="E259" s="587"/>
      <c r="G259" s="280"/>
      <c r="H259" s="280"/>
    </row>
    <row r="260">
      <c r="C260" s="370"/>
      <c r="D260" s="370"/>
      <c r="E260" s="587"/>
      <c r="G260" s="280"/>
      <c r="H260" s="280"/>
    </row>
    <row r="261">
      <c r="C261" s="370"/>
      <c r="D261" s="370"/>
      <c r="E261" s="587"/>
      <c r="G261" s="280"/>
      <c r="H261" s="280"/>
    </row>
    <row r="262">
      <c r="C262" s="370"/>
      <c r="D262" s="370"/>
      <c r="E262" s="587"/>
      <c r="G262" s="280"/>
      <c r="H262" s="280"/>
    </row>
    <row r="263">
      <c r="C263" s="370"/>
      <c r="D263" s="370"/>
      <c r="E263" s="587"/>
      <c r="G263" s="280"/>
      <c r="H263" s="280"/>
    </row>
    <row r="264">
      <c r="C264" s="370"/>
      <c r="D264" s="370"/>
      <c r="E264" s="587"/>
      <c r="G264" s="280"/>
      <c r="H264" s="280"/>
    </row>
    <row r="265">
      <c r="C265" s="370"/>
      <c r="D265" s="370"/>
      <c r="E265" s="587"/>
      <c r="G265" s="280"/>
      <c r="H265" s="280"/>
    </row>
    <row r="266">
      <c r="C266" s="370"/>
      <c r="D266" s="370"/>
      <c r="E266" s="587"/>
      <c r="G266" s="280"/>
      <c r="H266" s="280"/>
    </row>
    <row r="267">
      <c r="C267" s="370"/>
      <c r="D267" s="370"/>
      <c r="E267" s="587"/>
      <c r="G267" s="280"/>
      <c r="H267" s="280"/>
    </row>
    <row r="268">
      <c r="C268" s="370"/>
      <c r="D268" s="370"/>
      <c r="E268" s="587"/>
      <c r="G268" s="280"/>
      <c r="H268" s="280"/>
    </row>
    <row r="269">
      <c r="C269" s="370"/>
      <c r="D269" s="370"/>
      <c r="E269" s="587"/>
      <c r="G269" s="280"/>
      <c r="H269" s="280"/>
    </row>
    <row r="270">
      <c r="C270" s="370"/>
      <c r="D270" s="370"/>
      <c r="E270" s="587"/>
      <c r="G270" s="280"/>
      <c r="H270" s="280"/>
    </row>
    <row r="271">
      <c r="C271" s="370"/>
      <c r="D271" s="370"/>
      <c r="E271" s="587"/>
      <c r="G271" s="280"/>
      <c r="H271" s="280"/>
    </row>
    <row r="272">
      <c r="C272" s="370"/>
      <c r="D272" s="370"/>
      <c r="E272" s="587"/>
      <c r="G272" s="280"/>
      <c r="H272" s="280"/>
    </row>
    <row r="273">
      <c r="C273" s="370"/>
      <c r="D273" s="370"/>
      <c r="E273" s="587"/>
      <c r="G273" s="280"/>
      <c r="H273" s="280"/>
    </row>
    <row r="274">
      <c r="C274" s="370"/>
      <c r="D274" s="370"/>
      <c r="E274" s="587"/>
      <c r="G274" s="280"/>
      <c r="H274" s="280"/>
    </row>
    <row r="275">
      <c r="C275" s="370"/>
      <c r="D275" s="370"/>
      <c r="E275" s="587"/>
      <c r="G275" s="280"/>
      <c r="H275" s="280"/>
    </row>
    <row r="276">
      <c r="C276" s="370"/>
      <c r="D276" s="370"/>
      <c r="E276" s="587"/>
      <c r="G276" s="280"/>
      <c r="H276" s="280"/>
    </row>
    <row r="277">
      <c r="C277" s="370"/>
      <c r="D277" s="370"/>
      <c r="E277" s="587"/>
      <c r="G277" s="280"/>
      <c r="H277" s="280"/>
    </row>
    <row r="278">
      <c r="C278" s="370"/>
      <c r="D278" s="370"/>
      <c r="E278" s="587"/>
      <c r="G278" s="280"/>
      <c r="H278" s="280"/>
    </row>
    <row r="279">
      <c r="C279" s="370"/>
      <c r="D279" s="370"/>
      <c r="E279" s="587"/>
      <c r="G279" s="280"/>
      <c r="H279" s="280"/>
    </row>
    <row r="280">
      <c r="C280" s="370"/>
      <c r="D280" s="370"/>
      <c r="E280" s="587"/>
      <c r="G280" s="280"/>
      <c r="H280" s="280"/>
    </row>
    <row r="281">
      <c r="C281" s="370"/>
      <c r="D281" s="370"/>
      <c r="E281" s="587"/>
      <c r="G281" s="280"/>
      <c r="H281" s="280"/>
    </row>
    <row r="282">
      <c r="C282" s="370"/>
      <c r="D282" s="370"/>
      <c r="E282" s="587"/>
      <c r="G282" s="280"/>
      <c r="H282" s="280"/>
    </row>
    <row r="283">
      <c r="C283" s="370"/>
      <c r="D283" s="370"/>
      <c r="E283" s="587"/>
      <c r="G283" s="280"/>
      <c r="H283" s="280"/>
    </row>
    <row r="284">
      <c r="C284" s="370"/>
      <c r="D284" s="370"/>
      <c r="E284" s="587"/>
      <c r="G284" s="280"/>
      <c r="H284" s="280"/>
    </row>
    <row r="285">
      <c r="C285" s="370"/>
      <c r="D285" s="370"/>
      <c r="E285" s="587"/>
      <c r="G285" s="280"/>
      <c r="H285" s="280"/>
    </row>
    <row r="286">
      <c r="C286" s="370"/>
      <c r="D286" s="370"/>
      <c r="E286" s="587"/>
      <c r="G286" s="280"/>
      <c r="H286" s="280"/>
    </row>
    <row r="287">
      <c r="C287" s="370"/>
      <c r="D287" s="370"/>
      <c r="E287" s="587"/>
      <c r="G287" s="280"/>
      <c r="H287" s="280"/>
    </row>
    <row r="288">
      <c r="C288" s="370"/>
      <c r="D288" s="370"/>
      <c r="E288" s="587"/>
      <c r="G288" s="280"/>
      <c r="H288" s="280"/>
    </row>
    <row r="289">
      <c r="C289" s="370"/>
      <c r="D289" s="370"/>
      <c r="E289" s="587"/>
      <c r="G289" s="280"/>
      <c r="H289" s="280"/>
    </row>
    <row r="290">
      <c r="C290" s="370"/>
      <c r="D290" s="370"/>
      <c r="E290" s="587"/>
      <c r="G290" s="280"/>
      <c r="H290" s="280"/>
    </row>
    <row r="291">
      <c r="C291" s="370"/>
      <c r="D291" s="370"/>
      <c r="E291" s="587"/>
      <c r="G291" s="280"/>
      <c r="H291" s="280"/>
    </row>
    <row r="292">
      <c r="C292" s="370"/>
      <c r="D292" s="370"/>
      <c r="E292" s="587"/>
      <c r="G292" s="280"/>
      <c r="H292" s="280"/>
    </row>
    <row r="293">
      <c r="C293" s="370"/>
      <c r="D293" s="370"/>
      <c r="E293" s="587"/>
      <c r="G293" s="280"/>
      <c r="H293" s="280"/>
    </row>
    <row r="294">
      <c r="C294" s="370"/>
      <c r="D294" s="370"/>
      <c r="E294" s="587"/>
      <c r="G294" s="280"/>
      <c r="H294" s="280"/>
    </row>
    <row r="295">
      <c r="C295" s="370"/>
      <c r="D295" s="370"/>
      <c r="E295" s="587"/>
      <c r="G295" s="280"/>
      <c r="H295" s="280"/>
    </row>
    <row r="296">
      <c r="C296" s="370"/>
      <c r="D296" s="370"/>
      <c r="E296" s="587"/>
      <c r="G296" s="280"/>
      <c r="H296" s="280"/>
    </row>
    <row r="297">
      <c r="C297" s="370"/>
      <c r="D297" s="370"/>
      <c r="E297" s="587"/>
      <c r="G297" s="280"/>
      <c r="H297" s="280"/>
    </row>
    <row r="298">
      <c r="C298" s="370"/>
      <c r="D298" s="370"/>
      <c r="E298" s="587"/>
      <c r="G298" s="280"/>
      <c r="H298" s="280"/>
    </row>
    <row r="299">
      <c r="C299" s="370"/>
      <c r="D299" s="370"/>
      <c r="E299" s="587"/>
      <c r="G299" s="280"/>
      <c r="H299" s="280"/>
    </row>
    <row r="300">
      <c r="C300" s="370"/>
      <c r="D300" s="370"/>
      <c r="E300" s="587"/>
      <c r="G300" s="280"/>
      <c r="H300" s="280"/>
    </row>
    <row r="301">
      <c r="C301" s="370"/>
      <c r="D301" s="370"/>
      <c r="E301" s="587"/>
      <c r="G301" s="280"/>
      <c r="H301" s="280"/>
    </row>
    <row r="302">
      <c r="C302" s="370"/>
      <c r="D302" s="370"/>
      <c r="E302" s="587"/>
      <c r="G302" s="280"/>
      <c r="H302" s="280"/>
    </row>
    <row r="303">
      <c r="C303" s="370"/>
      <c r="D303" s="370"/>
      <c r="E303" s="587"/>
      <c r="G303" s="280"/>
      <c r="H303" s="280"/>
    </row>
    <row r="304">
      <c r="C304" s="370"/>
      <c r="D304" s="370"/>
      <c r="E304" s="587"/>
      <c r="G304" s="280"/>
      <c r="H304" s="280"/>
    </row>
    <row r="305">
      <c r="C305" s="370"/>
      <c r="D305" s="370"/>
      <c r="E305" s="587"/>
      <c r="G305" s="280"/>
      <c r="H305" s="280"/>
    </row>
    <row r="306">
      <c r="C306" s="370"/>
      <c r="D306" s="370"/>
      <c r="E306" s="587"/>
      <c r="G306" s="280"/>
      <c r="H306" s="280"/>
    </row>
    <row r="307">
      <c r="C307" s="370"/>
      <c r="D307" s="370"/>
      <c r="E307" s="587"/>
      <c r="G307" s="280"/>
      <c r="H307" s="280"/>
    </row>
    <row r="308">
      <c r="C308" s="370"/>
      <c r="D308" s="370"/>
      <c r="E308" s="587"/>
      <c r="G308" s="280"/>
      <c r="H308" s="280"/>
    </row>
    <row r="309">
      <c r="C309" s="370"/>
      <c r="D309" s="370"/>
      <c r="E309" s="587"/>
      <c r="G309" s="280"/>
      <c r="H309" s="280"/>
    </row>
    <row r="310">
      <c r="C310" s="370"/>
      <c r="D310" s="370"/>
      <c r="E310" s="587"/>
      <c r="G310" s="280"/>
      <c r="H310" s="280"/>
    </row>
    <row r="311">
      <c r="C311" s="370"/>
      <c r="D311" s="370"/>
      <c r="E311" s="587"/>
      <c r="G311" s="280"/>
      <c r="H311" s="280"/>
    </row>
    <row r="312">
      <c r="C312" s="370"/>
      <c r="D312" s="370"/>
      <c r="E312" s="587"/>
      <c r="G312" s="280"/>
      <c r="H312" s="280"/>
    </row>
    <row r="313">
      <c r="C313" s="370"/>
      <c r="D313" s="370"/>
      <c r="E313" s="587"/>
      <c r="G313" s="280"/>
      <c r="H313" s="280"/>
    </row>
    <row r="314">
      <c r="C314" s="370"/>
      <c r="D314" s="370"/>
      <c r="E314" s="587"/>
      <c r="G314" s="280"/>
      <c r="H314" s="280"/>
    </row>
    <row r="315">
      <c r="C315" s="370"/>
      <c r="D315" s="370"/>
      <c r="E315" s="587"/>
      <c r="G315" s="280"/>
      <c r="H315" s="280"/>
    </row>
    <row r="316">
      <c r="C316" s="370"/>
      <c r="D316" s="370"/>
      <c r="E316" s="587"/>
      <c r="G316" s="280"/>
      <c r="H316" s="280"/>
    </row>
    <row r="317">
      <c r="C317" s="370"/>
      <c r="D317" s="370"/>
      <c r="E317" s="587"/>
      <c r="G317" s="280"/>
      <c r="H317" s="280"/>
    </row>
    <row r="318">
      <c r="C318" s="370"/>
      <c r="D318" s="370"/>
      <c r="E318" s="587"/>
      <c r="G318" s="280"/>
      <c r="H318" s="280"/>
    </row>
    <row r="319">
      <c r="C319" s="370"/>
      <c r="D319" s="370"/>
      <c r="E319" s="587"/>
      <c r="G319" s="280"/>
      <c r="H319" s="280"/>
    </row>
    <row r="320">
      <c r="C320" s="370"/>
      <c r="D320" s="370"/>
      <c r="E320" s="587"/>
      <c r="G320" s="280"/>
      <c r="H320" s="280"/>
    </row>
    <row r="321">
      <c r="C321" s="370"/>
      <c r="D321" s="370"/>
      <c r="E321" s="587"/>
      <c r="G321" s="280"/>
      <c r="H321" s="280"/>
    </row>
    <row r="322">
      <c r="C322" s="370"/>
      <c r="D322" s="370"/>
      <c r="E322" s="587"/>
      <c r="G322" s="280"/>
      <c r="H322" s="280"/>
    </row>
    <row r="323">
      <c r="C323" s="370"/>
      <c r="D323" s="370"/>
      <c r="E323" s="587"/>
      <c r="G323" s="280"/>
      <c r="H323" s="280"/>
    </row>
    <row r="324">
      <c r="C324" s="370"/>
      <c r="D324" s="370"/>
      <c r="E324" s="587"/>
      <c r="G324" s="280"/>
      <c r="H324" s="280"/>
    </row>
    <row r="325">
      <c r="C325" s="370"/>
      <c r="D325" s="370"/>
      <c r="E325" s="587"/>
      <c r="G325" s="280"/>
      <c r="H325" s="280"/>
    </row>
    <row r="326">
      <c r="C326" s="370"/>
      <c r="D326" s="370"/>
      <c r="E326" s="587"/>
      <c r="G326" s="280"/>
      <c r="H326" s="280"/>
    </row>
    <row r="327">
      <c r="C327" s="370"/>
      <c r="D327" s="370"/>
      <c r="E327" s="587"/>
      <c r="G327" s="280"/>
      <c r="H327" s="280"/>
    </row>
    <row r="328">
      <c r="C328" s="370"/>
      <c r="D328" s="370"/>
      <c r="E328" s="587"/>
      <c r="G328" s="280"/>
      <c r="H328" s="280"/>
    </row>
    <row r="329">
      <c r="C329" s="370"/>
      <c r="D329" s="370"/>
      <c r="E329" s="587"/>
      <c r="G329" s="280"/>
      <c r="H329" s="280"/>
    </row>
    <row r="330">
      <c r="C330" s="370"/>
      <c r="D330" s="370"/>
      <c r="E330" s="587"/>
      <c r="G330" s="280"/>
      <c r="H330" s="280"/>
    </row>
    <row r="331">
      <c r="C331" s="370"/>
      <c r="D331" s="370"/>
      <c r="E331" s="587"/>
      <c r="G331" s="280"/>
      <c r="H331" s="280"/>
    </row>
    <row r="332">
      <c r="C332" s="370"/>
      <c r="D332" s="370"/>
      <c r="E332" s="587"/>
      <c r="G332" s="280"/>
      <c r="H332" s="280"/>
    </row>
    <row r="333">
      <c r="C333" s="370"/>
      <c r="D333" s="370"/>
      <c r="E333" s="587"/>
      <c r="G333" s="280"/>
      <c r="H333" s="280"/>
    </row>
    <row r="334">
      <c r="C334" s="370"/>
      <c r="D334" s="370"/>
      <c r="E334" s="587"/>
      <c r="G334" s="280"/>
      <c r="H334" s="280"/>
    </row>
    <row r="335">
      <c r="C335" s="370"/>
      <c r="D335" s="370"/>
      <c r="E335" s="587"/>
      <c r="G335" s="280"/>
      <c r="H335" s="280"/>
    </row>
    <row r="336">
      <c r="C336" s="370"/>
      <c r="D336" s="370"/>
      <c r="E336" s="587"/>
      <c r="G336" s="280"/>
      <c r="H336" s="280"/>
    </row>
    <row r="337">
      <c r="C337" s="370"/>
      <c r="D337" s="370"/>
      <c r="E337" s="587"/>
      <c r="G337" s="280"/>
      <c r="H337" s="280"/>
    </row>
    <row r="338">
      <c r="C338" s="370"/>
      <c r="D338" s="370"/>
      <c r="E338" s="587"/>
      <c r="G338" s="280"/>
      <c r="H338" s="280"/>
    </row>
    <row r="339">
      <c r="C339" s="370"/>
      <c r="D339" s="370"/>
      <c r="E339" s="587"/>
      <c r="G339" s="280"/>
      <c r="H339" s="280"/>
    </row>
    <row r="340">
      <c r="C340" s="370"/>
      <c r="D340" s="370"/>
      <c r="E340" s="587"/>
      <c r="G340" s="280"/>
      <c r="H340" s="280"/>
    </row>
    <row r="341">
      <c r="C341" s="370"/>
      <c r="D341" s="370"/>
      <c r="E341" s="587"/>
      <c r="G341" s="280"/>
      <c r="H341" s="280"/>
    </row>
    <row r="342">
      <c r="C342" s="370"/>
      <c r="D342" s="370"/>
      <c r="E342" s="587"/>
      <c r="G342" s="280"/>
      <c r="H342" s="280"/>
    </row>
    <row r="343">
      <c r="C343" s="370"/>
      <c r="D343" s="370"/>
      <c r="E343" s="587"/>
      <c r="G343" s="280"/>
      <c r="H343" s="280"/>
    </row>
    <row r="344">
      <c r="C344" s="370"/>
      <c r="D344" s="370"/>
      <c r="E344" s="587"/>
      <c r="G344" s="280"/>
      <c r="H344" s="280"/>
    </row>
    <row r="345">
      <c r="C345" s="370"/>
      <c r="D345" s="370"/>
      <c r="E345" s="587"/>
      <c r="G345" s="280"/>
      <c r="H345" s="280"/>
    </row>
    <row r="346">
      <c r="C346" s="370"/>
      <c r="D346" s="370"/>
      <c r="E346" s="587"/>
      <c r="G346" s="280"/>
      <c r="H346" s="280"/>
    </row>
    <row r="347">
      <c r="C347" s="370"/>
      <c r="D347" s="370"/>
      <c r="E347" s="587"/>
      <c r="G347" s="280"/>
      <c r="H347" s="280"/>
    </row>
    <row r="348">
      <c r="C348" s="370"/>
      <c r="D348" s="370"/>
      <c r="E348" s="587"/>
      <c r="G348" s="280"/>
      <c r="H348" s="280"/>
    </row>
    <row r="349">
      <c r="C349" s="370"/>
      <c r="D349" s="370"/>
      <c r="E349" s="587"/>
      <c r="G349" s="280"/>
      <c r="H349" s="280"/>
    </row>
    <row r="350">
      <c r="C350" s="370"/>
      <c r="D350" s="370"/>
      <c r="E350" s="587"/>
      <c r="G350" s="280"/>
      <c r="H350" s="280"/>
    </row>
    <row r="351">
      <c r="C351" s="370"/>
      <c r="D351" s="370"/>
      <c r="E351" s="587"/>
      <c r="G351" s="280"/>
      <c r="H351" s="280"/>
    </row>
    <row r="352">
      <c r="C352" s="370"/>
      <c r="D352" s="370"/>
      <c r="E352" s="587"/>
      <c r="G352" s="280"/>
      <c r="H352" s="280"/>
    </row>
    <row r="353">
      <c r="C353" s="370"/>
      <c r="D353" s="370"/>
      <c r="E353" s="587"/>
      <c r="G353" s="280"/>
      <c r="H353" s="280"/>
    </row>
    <row r="354">
      <c r="C354" s="370"/>
      <c r="D354" s="370"/>
      <c r="E354" s="587"/>
      <c r="G354" s="280"/>
      <c r="H354" s="280"/>
    </row>
    <row r="355">
      <c r="C355" s="370"/>
      <c r="D355" s="370"/>
      <c r="E355" s="587"/>
      <c r="G355" s="280"/>
      <c r="H355" s="280"/>
    </row>
    <row r="356">
      <c r="C356" s="370"/>
      <c r="D356" s="370"/>
      <c r="E356" s="587"/>
      <c r="G356" s="280"/>
      <c r="H356" s="280"/>
    </row>
    <row r="357">
      <c r="C357" s="370"/>
      <c r="D357" s="370"/>
      <c r="E357" s="587"/>
      <c r="G357" s="280"/>
      <c r="H357" s="280"/>
    </row>
    <row r="358">
      <c r="C358" s="370"/>
      <c r="D358" s="370"/>
      <c r="E358" s="587"/>
      <c r="G358" s="280"/>
      <c r="H358" s="280"/>
    </row>
    <row r="359">
      <c r="C359" s="370"/>
      <c r="D359" s="370"/>
      <c r="E359" s="587"/>
      <c r="G359" s="280"/>
      <c r="H359" s="280"/>
    </row>
    <row r="360">
      <c r="C360" s="370"/>
      <c r="D360" s="370"/>
      <c r="E360" s="587"/>
      <c r="G360" s="280"/>
      <c r="H360" s="280"/>
    </row>
    <row r="361">
      <c r="C361" s="370"/>
      <c r="D361" s="370"/>
      <c r="E361" s="587"/>
      <c r="G361" s="280"/>
      <c r="H361" s="280"/>
    </row>
    <row r="362">
      <c r="C362" s="370"/>
      <c r="D362" s="370"/>
      <c r="E362" s="587"/>
      <c r="G362" s="280"/>
      <c r="H362" s="280"/>
    </row>
    <row r="363">
      <c r="C363" s="370"/>
      <c r="D363" s="370"/>
      <c r="E363" s="587"/>
      <c r="G363" s="280"/>
      <c r="H363" s="280"/>
    </row>
    <row r="364">
      <c r="C364" s="370"/>
      <c r="D364" s="370"/>
      <c r="E364" s="587"/>
      <c r="G364" s="280"/>
      <c r="H364" s="280"/>
    </row>
    <row r="365">
      <c r="C365" s="370"/>
      <c r="D365" s="370"/>
      <c r="E365" s="587"/>
      <c r="G365" s="280"/>
      <c r="H365" s="280"/>
    </row>
    <row r="366">
      <c r="C366" s="370"/>
      <c r="D366" s="370"/>
      <c r="E366" s="587"/>
      <c r="G366" s="280"/>
      <c r="H366" s="280"/>
    </row>
    <row r="367">
      <c r="C367" s="370"/>
      <c r="D367" s="370"/>
      <c r="E367" s="587"/>
      <c r="G367" s="280"/>
      <c r="H367" s="280"/>
    </row>
    <row r="368">
      <c r="C368" s="370"/>
      <c r="D368" s="370"/>
      <c r="E368" s="587"/>
      <c r="G368" s="280"/>
      <c r="H368" s="280"/>
    </row>
    <row r="369">
      <c r="C369" s="370"/>
      <c r="D369" s="370"/>
      <c r="E369" s="587"/>
      <c r="G369" s="280"/>
      <c r="H369" s="280"/>
    </row>
    <row r="370">
      <c r="C370" s="370"/>
      <c r="D370" s="370"/>
      <c r="E370" s="587"/>
      <c r="G370" s="280"/>
      <c r="H370" s="280"/>
    </row>
    <row r="371">
      <c r="C371" s="370"/>
      <c r="D371" s="370"/>
      <c r="E371" s="587"/>
      <c r="G371" s="280"/>
      <c r="H371" s="280"/>
    </row>
    <row r="372">
      <c r="C372" s="370"/>
      <c r="D372" s="370"/>
      <c r="E372" s="587"/>
      <c r="G372" s="280"/>
      <c r="H372" s="280"/>
    </row>
    <row r="373">
      <c r="C373" s="370"/>
      <c r="D373" s="370"/>
      <c r="E373" s="587"/>
      <c r="G373" s="280"/>
      <c r="H373" s="280"/>
    </row>
    <row r="374">
      <c r="C374" s="370"/>
      <c r="D374" s="370"/>
      <c r="E374" s="587"/>
      <c r="G374" s="280"/>
      <c r="H374" s="280"/>
    </row>
    <row r="375">
      <c r="C375" s="370"/>
      <c r="D375" s="370"/>
      <c r="E375" s="587"/>
      <c r="G375" s="280"/>
      <c r="H375" s="280"/>
    </row>
    <row r="376">
      <c r="C376" s="370"/>
      <c r="D376" s="370"/>
      <c r="E376" s="587"/>
      <c r="G376" s="280"/>
      <c r="H376" s="280"/>
    </row>
    <row r="377">
      <c r="C377" s="370"/>
      <c r="D377" s="370"/>
      <c r="E377" s="587"/>
      <c r="G377" s="280"/>
      <c r="H377" s="280"/>
    </row>
    <row r="378">
      <c r="C378" s="370"/>
      <c r="D378" s="370"/>
      <c r="E378" s="587"/>
      <c r="G378" s="280"/>
      <c r="H378" s="280"/>
    </row>
    <row r="379">
      <c r="C379" s="370"/>
      <c r="D379" s="370"/>
      <c r="E379" s="587"/>
      <c r="G379" s="280"/>
      <c r="H379" s="280"/>
    </row>
    <row r="380">
      <c r="C380" s="370"/>
      <c r="D380" s="370"/>
      <c r="E380" s="587"/>
      <c r="G380" s="280"/>
      <c r="H380" s="280"/>
    </row>
    <row r="381">
      <c r="C381" s="370"/>
      <c r="D381" s="370"/>
      <c r="E381" s="587"/>
      <c r="G381" s="280"/>
      <c r="H381" s="280"/>
    </row>
    <row r="382">
      <c r="C382" s="370"/>
      <c r="D382" s="370"/>
      <c r="E382" s="587"/>
      <c r="G382" s="280"/>
      <c r="H382" s="280"/>
    </row>
    <row r="383">
      <c r="C383" s="370"/>
      <c r="D383" s="370"/>
      <c r="E383" s="587"/>
      <c r="G383" s="280"/>
      <c r="H383" s="280"/>
    </row>
    <row r="384">
      <c r="C384" s="370"/>
      <c r="D384" s="370"/>
      <c r="E384" s="587"/>
      <c r="G384" s="280"/>
      <c r="H384" s="280"/>
    </row>
    <row r="385">
      <c r="C385" s="370"/>
      <c r="D385" s="370"/>
      <c r="E385" s="587"/>
      <c r="G385" s="280"/>
      <c r="H385" s="280"/>
    </row>
    <row r="386">
      <c r="C386" s="370"/>
      <c r="D386" s="370"/>
      <c r="E386" s="587"/>
      <c r="G386" s="280"/>
      <c r="H386" s="280"/>
    </row>
    <row r="387">
      <c r="C387" s="370"/>
      <c r="D387" s="370"/>
      <c r="E387" s="587"/>
      <c r="G387" s="280"/>
      <c r="H387" s="280"/>
    </row>
    <row r="388">
      <c r="C388" s="370"/>
      <c r="D388" s="370"/>
      <c r="E388" s="587"/>
      <c r="G388" s="280"/>
      <c r="H388" s="280"/>
    </row>
    <row r="389">
      <c r="C389" s="370"/>
      <c r="D389" s="370"/>
      <c r="E389" s="587"/>
      <c r="G389" s="280"/>
      <c r="H389" s="280"/>
    </row>
    <row r="390">
      <c r="C390" s="370"/>
      <c r="D390" s="370"/>
      <c r="E390" s="587"/>
      <c r="G390" s="280"/>
      <c r="H390" s="280"/>
    </row>
    <row r="391">
      <c r="C391" s="370"/>
      <c r="D391" s="370"/>
      <c r="E391" s="587"/>
      <c r="G391" s="280"/>
      <c r="H391" s="280"/>
    </row>
    <row r="392">
      <c r="C392" s="370"/>
      <c r="D392" s="370"/>
      <c r="E392" s="587"/>
      <c r="G392" s="280"/>
      <c r="H392" s="280"/>
    </row>
    <row r="393">
      <c r="C393" s="370"/>
      <c r="D393" s="370"/>
      <c r="E393" s="587"/>
      <c r="G393" s="280"/>
      <c r="H393" s="280"/>
    </row>
    <row r="394">
      <c r="C394" s="370"/>
      <c r="D394" s="370"/>
      <c r="E394" s="587"/>
      <c r="G394" s="280"/>
      <c r="H394" s="280"/>
    </row>
    <row r="395">
      <c r="C395" s="370"/>
      <c r="D395" s="370"/>
      <c r="E395" s="587"/>
      <c r="G395" s="280"/>
      <c r="H395" s="280"/>
    </row>
    <row r="396">
      <c r="C396" s="370"/>
      <c r="D396" s="370"/>
      <c r="E396" s="587"/>
      <c r="G396" s="280"/>
      <c r="H396" s="280"/>
    </row>
    <row r="397">
      <c r="C397" s="370"/>
      <c r="D397" s="370"/>
      <c r="E397" s="587"/>
      <c r="G397" s="280"/>
      <c r="H397" s="280"/>
    </row>
    <row r="398">
      <c r="C398" s="370"/>
      <c r="D398" s="370"/>
      <c r="E398" s="587"/>
      <c r="G398" s="280"/>
      <c r="H398" s="280"/>
    </row>
    <row r="399">
      <c r="C399" s="370"/>
      <c r="D399" s="370"/>
      <c r="E399" s="587"/>
      <c r="G399" s="280"/>
      <c r="H399" s="280"/>
    </row>
    <row r="400">
      <c r="C400" s="370"/>
      <c r="D400" s="370"/>
      <c r="E400" s="587"/>
      <c r="G400" s="280"/>
      <c r="H400" s="280"/>
    </row>
    <row r="401">
      <c r="C401" s="370"/>
      <c r="D401" s="370"/>
      <c r="E401" s="587"/>
      <c r="G401" s="280"/>
      <c r="H401" s="280"/>
    </row>
    <row r="402">
      <c r="C402" s="370"/>
      <c r="D402" s="370"/>
      <c r="E402" s="587"/>
      <c r="G402" s="280"/>
      <c r="H402" s="280"/>
    </row>
    <row r="403">
      <c r="C403" s="370"/>
      <c r="D403" s="370"/>
      <c r="E403" s="587"/>
      <c r="G403" s="280"/>
      <c r="H403" s="280"/>
    </row>
    <row r="404">
      <c r="C404" s="370"/>
      <c r="D404" s="370"/>
      <c r="E404" s="587"/>
      <c r="G404" s="280"/>
      <c r="H404" s="280"/>
    </row>
    <row r="405">
      <c r="C405" s="370"/>
      <c r="D405" s="370"/>
      <c r="E405" s="587"/>
      <c r="G405" s="280"/>
      <c r="H405" s="280"/>
    </row>
    <row r="406">
      <c r="C406" s="370"/>
      <c r="D406" s="370"/>
      <c r="E406" s="587"/>
      <c r="G406" s="280"/>
      <c r="H406" s="280"/>
    </row>
    <row r="407">
      <c r="C407" s="370"/>
      <c r="D407" s="370"/>
      <c r="E407" s="587"/>
      <c r="G407" s="280"/>
      <c r="H407" s="280"/>
    </row>
    <row r="408">
      <c r="C408" s="370"/>
      <c r="D408" s="370"/>
      <c r="E408" s="587"/>
      <c r="G408" s="280"/>
      <c r="H408" s="280"/>
    </row>
    <row r="409">
      <c r="C409" s="370"/>
      <c r="D409" s="370"/>
      <c r="E409" s="587"/>
      <c r="G409" s="280"/>
      <c r="H409" s="280"/>
    </row>
    <row r="410">
      <c r="C410" s="370"/>
      <c r="D410" s="370"/>
      <c r="E410" s="587"/>
      <c r="G410" s="280"/>
      <c r="H410" s="280"/>
    </row>
    <row r="411">
      <c r="C411" s="370"/>
      <c r="D411" s="370"/>
      <c r="E411" s="587"/>
      <c r="G411" s="280"/>
      <c r="H411" s="280"/>
    </row>
    <row r="412">
      <c r="C412" s="370"/>
      <c r="D412" s="370"/>
      <c r="E412" s="587"/>
      <c r="G412" s="280"/>
      <c r="H412" s="280"/>
    </row>
    <row r="413">
      <c r="C413" s="370"/>
      <c r="D413" s="370"/>
      <c r="E413" s="587"/>
      <c r="G413" s="280"/>
      <c r="H413" s="280"/>
    </row>
    <row r="414">
      <c r="C414" s="370"/>
      <c r="D414" s="370"/>
      <c r="E414" s="587"/>
      <c r="G414" s="280"/>
      <c r="H414" s="280"/>
    </row>
    <row r="415">
      <c r="C415" s="370"/>
      <c r="D415" s="370"/>
      <c r="E415" s="587"/>
      <c r="G415" s="280"/>
      <c r="H415" s="280"/>
    </row>
    <row r="416">
      <c r="C416" s="370"/>
      <c r="D416" s="370"/>
      <c r="E416" s="587"/>
      <c r="G416" s="280"/>
      <c r="H416" s="280"/>
    </row>
    <row r="417">
      <c r="C417" s="370"/>
      <c r="D417" s="370"/>
      <c r="E417" s="587"/>
      <c r="G417" s="280"/>
      <c r="H417" s="280"/>
    </row>
    <row r="418">
      <c r="C418" s="370"/>
      <c r="D418" s="370"/>
      <c r="E418" s="587"/>
      <c r="G418" s="280"/>
      <c r="H418" s="280"/>
    </row>
    <row r="419">
      <c r="C419" s="370"/>
      <c r="D419" s="370"/>
      <c r="E419" s="587"/>
      <c r="G419" s="280"/>
      <c r="H419" s="280"/>
    </row>
    <row r="420">
      <c r="C420" s="370"/>
      <c r="D420" s="370"/>
      <c r="E420" s="587"/>
      <c r="G420" s="280"/>
      <c r="H420" s="280"/>
    </row>
    <row r="421">
      <c r="C421" s="370"/>
      <c r="D421" s="370"/>
      <c r="E421" s="587"/>
      <c r="G421" s="280"/>
      <c r="H421" s="280"/>
    </row>
    <row r="422">
      <c r="C422" s="370"/>
      <c r="D422" s="370"/>
      <c r="E422" s="587"/>
      <c r="G422" s="280"/>
      <c r="H422" s="280"/>
    </row>
    <row r="423">
      <c r="C423" s="370"/>
      <c r="D423" s="370"/>
      <c r="E423" s="587"/>
      <c r="G423" s="280"/>
      <c r="H423" s="280"/>
    </row>
    <row r="424">
      <c r="C424" s="370"/>
      <c r="D424" s="370"/>
      <c r="E424" s="587"/>
      <c r="G424" s="280"/>
      <c r="H424" s="280"/>
    </row>
    <row r="425">
      <c r="C425" s="370"/>
      <c r="D425" s="370"/>
      <c r="E425" s="587"/>
      <c r="G425" s="280"/>
      <c r="H425" s="280"/>
    </row>
    <row r="426">
      <c r="C426" s="370"/>
      <c r="D426" s="370"/>
      <c r="E426" s="587"/>
      <c r="G426" s="280"/>
      <c r="H426" s="280"/>
    </row>
    <row r="427">
      <c r="C427" s="370"/>
      <c r="D427" s="370"/>
      <c r="E427" s="587"/>
      <c r="G427" s="280"/>
      <c r="H427" s="280"/>
    </row>
    <row r="428">
      <c r="C428" s="370"/>
      <c r="D428" s="370"/>
      <c r="E428" s="587"/>
      <c r="G428" s="280"/>
      <c r="H428" s="280"/>
    </row>
    <row r="429">
      <c r="C429" s="370"/>
      <c r="D429" s="370"/>
      <c r="E429" s="587"/>
      <c r="G429" s="280"/>
      <c r="H429" s="280"/>
    </row>
    <row r="430">
      <c r="C430" s="370"/>
      <c r="D430" s="370"/>
      <c r="E430" s="587"/>
      <c r="G430" s="280"/>
      <c r="H430" s="280"/>
    </row>
    <row r="431">
      <c r="C431" s="370"/>
      <c r="D431" s="370"/>
      <c r="E431" s="587"/>
      <c r="G431" s="280"/>
      <c r="H431" s="280"/>
    </row>
    <row r="432">
      <c r="C432" s="370"/>
      <c r="D432" s="370"/>
      <c r="E432" s="587"/>
      <c r="G432" s="280"/>
      <c r="H432" s="280"/>
    </row>
    <row r="433">
      <c r="C433" s="370"/>
      <c r="D433" s="370"/>
      <c r="E433" s="587"/>
      <c r="G433" s="280"/>
      <c r="H433" s="280"/>
    </row>
    <row r="434">
      <c r="C434" s="370"/>
      <c r="D434" s="370"/>
      <c r="E434" s="587"/>
      <c r="G434" s="280"/>
      <c r="H434" s="280"/>
    </row>
    <row r="435">
      <c r="C435" s="370"/>
      <c r="D435" s="370"/>
      <c r="E435" s="587"/>
      <c r="G435" s="280"/>
      <c r="H435" s="280"/>
    </row>
    <row r="436">
      <c r="C436" s="370"/>
      <c r="D436" s="370"/>
      <c r="E436" s="587"/>
      <c r="G436" s="280"/>
      <c r="H436" s="280"/>
    </row>
    <row r="437">
      <c r="C437" s="370"/>
      <c r="D437" s="370"/>
      <c r="E437" s="587"/>
      <c r="G437" s="280"/>
      <c r="H437" s="280"/>
    </row>
    <row r="438">
      <c r="C438" s="370"/>
      <c r="D438" s="370"/>
      <c r="E438" s="587"/>
      <c r="G438" s="280"/>
      <c r="H438" s="280"/>
    </row>
    <row r="439">
      <c r="C439" s="370"/>
      <c r="D439" s="370"/>
      <c r="E439" s="587"/>
      <c r="G439" s="280"/>
      <c r="H439" s="280"/>
    </row>
    <row r="440">
      <c r="C440" s="370"/>
      <c r="D440" s="370"/>
      <c r="E440" s="587"/>
      <c r="G440" s="280"/>
      <c r="H440" s="280"/>
    </row>
    <row r="441">
      <c r="C441" s="370"/>
      <c r="D441" s="370"/>
      <c r="E441" s="587"/>
      <c r="G441" s="280"/>
      <c r="H441" s="280"/>
    </row>
    <row r="442">
      <c r="C442" s="370"/>
      <c r="D442" s="370"/>
      <c r="E442" s="587"/>
      <c r="G442" s="280"/>
      <c r="H442" s="280"/>
    </row>
    <row r="443">
      <c r="C443" s="370"/>
      <c r="D443" s="370"/>
      <c r="E443" s="587"/>
      <c r="G443" s="280"/>
      <c r="H443" s="280"/>
    </row>
    <row r="444">
      <c r="C444" s="370"/>
      <c r="D444" s="370"/>
      <c r="E444" s="587"/>
      <c r="G444" s="280"/>
      <c r="H444" s="280"/>
    </row>
    <row r="445">
      <c r="C445" s="370"/>
      <c r="D445" s="370"/>
      <c r="E445" s="587"/>
      <c r="G445" s="280"/>
      <c r="H445" s="280"/>
    </row>
    <row r="446">
      <c r="C446" s="370"/>
      <c r="D446" s="370"/>
      <c r="E446" s="587"/>
      <c r="G446" s="280"/>
      <c r="H446" s="280"/>
    </row>
    <row r="447">
      <c r="C447" s="370"/>
      <c r="D447" s="370"/>
      <c r="E447" s="587"/>
      <c r="G447" s="280"/>
      <c r="H447" s="280"/>
    </row>
    <row r="448">
      <c r="C448" s="370"/>
      <c r="D448" s="370"/>
      <c r="E448" s="587"/>
      <c r="G448" s="280"/>
      <c r="H448" s="280"/>
    </row>
    <row r="449">
      <c r="C449" s="370"/>
      <c r="D449" s="370"/>
      <c r="E449" s="587"/>
      <c r="G449" s="280"/>
      <c r="H449" s="280"/>
    </row>
    <row r="450">
      <c r="C450" s="370"/>
      <c r="D450" s="370"/>
      <c r="E450" s="587"/>
      <c r="G450" s="280"/>
      <c r="H450" s="280"/>
    </row>
    <row r="451">
      <c r="C451" s="370"/>
      <c r="D451" s="370"/>
      <c r="E451" s="587"/>
      <c r="G451" s="280"/>
      <c r="H451" s="280"/>
    </row>
    <row r="452">
      <c r="C452" s="370"/>
      <c r="D452" s="370"/>
      <c r="E452" s="587"/>
      <c r="G452" s="280"/>
      <c r="H452" s="280"/>
    </row>
    <row r="453">
      <c r="C453" s="370"/>
      <c r="D453" s="370"/>
      <c r="E453" s="587"/>
      <c r="G453" s="280"/>
      <c r="H453" s="280"/>
    </row>
    <row r="454">
      <c r="C454" s="370"/>
      <c r="D454" s="370"/>
      <c r="E454" s="587"/>
      <c r="G454" s="280"/>
      <c r="H454" s="280"/>
    </row>
    <row r="455">
      <c r="C455" s="370"/>
      <c r="D455" s="370"/>
      <c r="E455" s="587"/>
      <c r="G455" s="280"/>
      <c r="H455" s="280"/>
    </row>
    <row r="456">
      <c r="C456" s="370"/>
      <c r="D456" s="370"/>
      <c r="E456" s="587"/>
      <c r="G456" s="280"/>
      <c r="H456" s="280"/>
    </row>
    <row r="457">
      <c r="C457" s="370"/>
      <c r="D457" s="370"/>
      <c r="E457" s="587"/>
      <c r="G457" s="280"/>
      <c r="H457" s="280"/>
    </row>
    <row r="458">
      <c r="C458" s="370"/>
      <c r="D458" s="370"/>
      <c r="E458" s="587"/>
      <c r="G458" s="280"/>
      <c r="H458" s="280"/>
    </row>
    <row r="459">
      <c r="C459" s="370"/>
      <c r="D459" s="370"/>
      <c r="E459" s="587"/>
      <c r="G459" s="280"/>
      <c r="H459" s="280"/>
    </row>
    <row r="460">
      <c r="C460" s="370"/>
      <c r="D460" s="370"/>
      <c r="E460" s="587"/>
      <c r="G460" s="280"/>
      <c r="H460" s="280"/>
    </row>
    <row r="461">
      <c r="C461" s="370"/>
      <c r="D461" s="370"/>
      <c r="E461" s="587"/>
      <c r="G461" s="280"/>
      <c r="H461" s="280"/>
    </row>
    <row r="462">
      <c r="C462" s="370"/>
      <c r="D462" s="370"/>
      <c r="E462" s="587"/>
      <c r="G462" s="280"/>
      <c r="H462" s="280"/>
    </row>
    <row r="463">
      <c r="C463" s="370"/>
      <c r="D463" s="370"/>
      <c r="E463" s="587"/>
      <c r="G463" s="280"/>
      <c r="H463" s="280"/>
    </row>
    <row r="464">
      <c r="C464" s="370"/>
      <c r="D464" s="370"/>
      <c r="E464" s="587"/>
      <c r="G464" s="280"/>
      <c r="H464" s="280"/>
    </row>
    <row r="465">
      <c r="C465" s="370"/>
      <c r="D465" s="370"/>
      <c r="E465" s="587"/>
      <c r="G465" s="280"/>
      <c r="H465" s="280"/>
    </row>
    <row r="466">
      <c r="C466" s="370"/>
      <c r="D466" s="370"/>
      <c r="E466" s="587"/>
      <c r="G466" s="280"/>
      <c r="H466" s="280"/>
    </row>
    <row r="467">
      <c r="C467" s="370"/>
      <c r="D467" s="370"/>
      <c r="E467" s="587"/>
      <c r="G467" s="280"/>
      <c r="H467" s="280"/>
    </row>
    <row r="468">
      <c r="C468" s="370"/>
      <c r="D468" s="370"/>
      <c r="E468" s="587"/>
      <c r="G468" s="280"/>
      <c r="H468" s="280"/>
    </row>
    <row r="469">
      <c r="C469" s="370"/>
      <c r="D469" s="370"/>
      <c r="E469" s="587"/>
      <c r="G469" s="280"/>
      <c r="H469" s="280"/>
    </row>
    <row r="470">
      <c r="C470" s="370"/>
      <c r="D470" s="370"/>
      <c r="E470" s="587"/>
      <c r="G470" s="280"/>
      <c r="H470" s="280"/>
    </row>
    <row r="471">
      <c r="C471" s="370"/>
      <c r="D471" s="370"/>
      <c r="E471" s="587"/>
      <c r="G471" s="280"/>
      <c r="H471" s="280"/>
    </row>
    <row r="472">
      <c r="C472" s="370"/>
      <c r="D472" s="370"/>
      <c r="E472" s="587"/>
      <c r="G472" s="280"/>
      <c r="H472" s="280"/>
    </row>
    <row r="473">
      <c r="C473" s="370"/>
      <c r="D473" s="370"/>
      <c r="E473" s="587"/>
      <c r="G473" s="280"/>
      <c r="H473" s="280"/>
    </row>
    <row r="474">
      <c r="C474" s="370"/>
      <c r="D474" s="370"/>
      <c r="E474" s="587"/>
      <c r="G474" s="280"/>
      <c r="H474" s="280"/>
    </row>
    <row r="475">
      <c r="C475" s="370"/>
      <c r="D475" s="370"/>
      <c r="E475" s="587"/>
      <c r="G475" s="280"/>
      <c r="H475" s="280"/>
    </row>
    <row r="476">
      <c r="C476" s="370"/>
      <c r="D476" s="370"/>
      <c r="E476" s="587"/>
      <c r="G476" s="280"/>
      <c r="H476" s="280"/>
    </row>
    <row r="477">
      <c r="C477" s="370"/>
      <c r="D477" s="370"/>
      <c r="E477" s="587"/>
      <c r="G477" s="280"/>
      <c r="H477" s="280"/>
    </row>
    <row r="478">
      <c r="C478" s="370"/>
      <c r="D478" s="370"/>
      <c r="E478" s="587"/>
      <c r="G478" s="280"/>
      <c r="H478" s="280"/>
    </row>
    <row r="479">
      <c r="C479" s="370"/>
      <c r="D479" s="370"/>
      <c r="E479" s="587"/>
      <c r="G479" s="280"/>
      <c r="H479" s="280"/>
    </row>
    <row r="480">
      <c r="C480" s="370"/>
      <c r="D480" s="370"/>
      <c r="E480" s="587"/>
      <c r="G480" s="280"/>
      <c r="H480" s="280"/>
    </row>
    <row r="481">
      <c r="C481" s="370"/>
      <c r="D481" s="370"/>
      <c r="E481" s="587"/>
      <c r="G481" s="280"/>
      <c r="H481" s="280"/>
    </row>
    <row r="482">
      <c r="C482" s="370"/>
      <c r="D482" s="370"/>
      <c r="E482" s="587"/>
      <c r="G482" s="280"/>
      <c r="H482" s="280"/>
    </row>
    <row r="483">
      <c r="C483" s="370"/>
      <c r="D483" s="370"/>
      <c r="E483" s="587"/>
      <c r="G483" s="280"/>
      <c r="H483" s="280"/>
    </row>
    <row r="484">
      <c r="C484" s="370"/>
      <c r="D484" s="370"/>
      <c r="E484" s="587"/>
      <c r="G484" s="280"/>
      <c r="H484" s="280"/>
    </row>
    <row r="485">
      <c r="C485" s="370"/>
      <c r="D485" s="370"/>
      <c r="E485" s="587"/>
      <c r="G485" s="280"/>
      <c r="H485" s="280"/>
    </row>
    <row r="486">
      <c r="C486" s="370"/>
      <c r="D486" s="370"/>
      <c r="E486" s="587"/>
      <c r="G486" s="280"/>
      <c r="H486" s="280"/>
    </row>
    <row r="487">
      <c r="C487" s="370"/>
      <c r="D487" s="370"/>
      <c r="E487" s="587"/>
      <c r="G487" s="280"/>
      <c r="H487" s="280"/>
    </row>
    <row r="488">
      <c r="C488" s="370"/>
      <c r="D488" s="370"/>
      <c r="E488" s="587"/>
      <c r="G488" s="280"/>
      <c r="H488" s="280"/>
    </row>
    <row r="489">
      <c r="C489" s="370"/>
      <c r="D489" s="370"/>
      <c r="E489" s="587"/>
      <c r="G489" s="280"/>
      <c r="H489" s="280"/>
    </row>
    <row r="490">
      <c r="C490" s="370"/>
      <c r="D490" s="370"/>
      <c r="E490" s="587"/>
      <c r="G490" s="280"/>
      <c r="H490" s="280"/>
    </row>
    <row r="491">
      <c r="C491" s="370"/>
      <c r="D491" s="370"/>
      <c r="E491" s="587"/>
      <c r="G491" s="280"/>
      <c r="H491" s="280"/>
    </row>
    <row r="492">
      <c r="C492" s="370"/>
      <c r="D492" s="370"/>
      <c r="E492" s="587"/>
      <c r="G492" s="280"/>
      <c r="H492" s="280"/>
    </row>
    <row r="493">
      <c r="C493" s="370"/>
      <c r="D493" s="370"/>
      <c r="E493" s="587"/>
      <c r="G493" s="280"/>
      <c r="H493" s="280"/>
    </row>
    <row r="494">
      <c r="C494" s="370"/>
      <c r="D494" s="370"/>
      <c r="E494" s="587"/>
      <c r="G494" s="280"/>
      <c r="H494" s="280"/>
    </row>
    <row r="495">
      <c r="C495" s="370"/>
      <c r="D495" s="370"/>
      <c r="E495" s="587"/>
      <c r="G495" s="280"/>
      <c r="H495" s="280"/>
    </row>
    <row r="496">
      <c r="C496" s="370"/>
      <c r="D496" s="370"/>
      <c r="E496" s="587"/>
      <c r="G496" s="280"/>
      <c r="H496" s="280"/>
    </row>
    <row r="497">
      <c r="C497" s="370"/>
      <c r="D497" s="370"/>
      <c r="E497" s="587"/>
      <c r="G497" s="280"/>
      <c r="H497" s="280"/>
    </row>
    <row r="498">
      <c r="C498" s="370"/>
      <c r="D498" s="370"/>
      <c r="E498" s="587"/>
      <c r="G498" s="280"/>
      <c r="H498" s="280"/>
    </row>
    <row r="499">
      <c r="C499" s="370"/>
      <c r="D499" s="370"/>
      <c r="E499" s="587"/>
      <c r="G499" s="280"/>
      <c r="H499" s="280"/>
    </row>
    <row r="500">
      <c r="C500" s="370"/>
      <c r="D500" s="370"/>
      <c r="E500" s="587"/>
      <c r="G500" s="280"/>
      <c r="H500" s="280"/>
    </row>
    <row r="501">
      <c r="C501" s="370"/>
      <c r="D501" s="370"/>
      <c r="E501" s="587"/>
      <c r="G501" s="280"/>
      <c r="H501" s="280"/>
    </row>
    <row r="502">
      <c r="C502" s="370"/>
      <c r="D502" s="370"/>
      <c r="E502" s="587"/>
      <c r="G502" s="280"/>
      <c r="H502" s="280"/>
    </row>
    <row r="503">
      <c r="C503" s="370"/>
      <c r="D503" s="370"/>
      <c r="E503" s="587"/>
      <c r="G503" s="280"/>
      <c r="H503" s="280"/>
    </row>
    <row r="504">
      <c r="C504" s="370"/>
      <c r="D504" s="370"/>
      <c r="E504" s="587"/>
      <c r="G504" s="280"/>
      <c r="H504" s="280"/>
    </row>
    <row r="505">
      <c r="C505" s="370"/>
      <c r="D505" s="370"/>
      <c r="E505" s="587"/>
      <c r="G505" s="280"/>
      <c r="H505" s="280"/>
    </row>
    <row r="506">
      <c r="C506" s="370"/>
      <c r="D506" s="370"/>
      <c r="E506" s="587"/>
      <c r="G506" s="280"/>
      <c r="H506" s="280"/>
    </row>
    <row r="507">
      <c r="C507" s="370"/>
      <c r="D507" s="370"/>
      <c r="E507" s="587"/>
      <c r="G507" s="280"/>
      <c r="H507" s="280"/>
    </row>
    <row r="508">
      <c r="C508" s="370"/>
      <c r="D508" s="370"/>
      <c r="E508" s="587"/>
      <c r="G508" s="280"/>
      <c r="H508" s="280"/>
    </row>
    <row r="509">
      <c r="C509" s="370"/>
      <c r="D509" s="370"/>
      <c r="E509" s="587"/>
      <c r="G509" s="280"/>
      <c r="H509" s="280"/>
    </row>
    <row r="510">
      <c r="C510" s="370"/>
      <c r="D510" s="370"/>
      <c r="E510" s="587"/>
      <c r="G510" s="280"/>
      <c r="H510" s="280"/>
    </row>
    <row r="511">
      <c r="C511" s="370"/>
      <c r="D511" s="370"/>
      <c r="E511" s="587"/>
      <c r="G511" s="280"/>
      <c r="H511" s="280"/>
    </row>
    <row r="512">
      <c r="C512" s="370"/>
      <c r="D512" s="370"/>
      <c r="E512" s="587"/>
      <c r="G512" s="280"/>
      <c r="H512" s="280"/>
    </row>
    <row r="513">
      <c r="C513" s="370"/>
      <c r="D513" s="370"/>
      <c r="E513" s="587"/>
      <c r="G513" s="280"/>
      <c r="H513" s="280"/>
    </row>
    <row r="514">
      <c r="C514" s="370"/>
      <c r="D514" s="370"/>
      <c r="E514" s="587"/>
      <c r="G514" s="280"/>
      <c r="H514" s="280"/>
    </row>
    <row r="515">
      <c r="C515" s="370"/>
      <c r="D515" s="370"/>
      <c r="E515" s="587"/>
      <c r="G515" s="280"/>
      <c r="H515" s="280"/>
    </row>
    <row r="516">
      <c r="C516" s="370"/>
      <c r="D516" s="370"/>
      <c r="E516" s="587"/>
      <c r="G516" s="280"/>
      <c r="H516" s="280"/>
    </row>
    <row r="517">
      <c r="C517" s="370"/>
      <c r="D517" s="370"/>
      <c r="E517" s="587"/>
      <c r="G517" s="280"/>
      <c r="H517" s="280"/>
    </row>
    <row r="518">
      <c r="C518" s="370"/>
      <c r="D518" s="370"/>
      <c r="E518" s="587"/>
      <c r="G518" s="280"/>
      <c r="H518" s="280"/>
    </row>
    <row r="519">
      <c r="C519" s="370"/>
      <c r="D519" s="370"/>
      <c r="E519" s="587"/>
      <c r="G519" s="280"/>
      <c r="H519" s="280"/>
    </row>
    <row r="520">
      <c r="C520" s="370"/>
      <c r="D520" s="370"/>
      <c r="E520" s="587"/>
      <c r="G520" s="280"/>
      <c r="H520" s="280"/>
    </row>
    <row r="521">
      <c r="C521" s="370"/>
      <c r="D521" s="370"/>
      <c r="E521" s="587"/>
      <c r="G521" s="280"/>
      <c r="H521" s="280"/>
    </row>
    <row r="522">
      <c r="C522" s="370"/>
      <c r="D522" s="370"/>
      <c r="E522" s="587"/>
      <c r="G522" s="280"/>
      <c r="H522" s="280"/>
    </row>
    <row r="523">
      <c r="C523" s="370"/>
      <c r="D523" s="370"/>
      <c r="E523" s="587"/>
      <c r="G523" s="280"/>
      <c r="H523" s="280"/>
    </row>
    <row r="524">
      <c r="C524" s="370"/>
      <c r="D524" s="370"/>
      <c r="E524" s="587"/>
      <c r="G524" s="280"/>
      <c r="H524" s="280"/>
    </row>
    <row r="525">
      <c r="C525" s="370"/>
      <c r="D525" s="370"/>
      <c r="E525" s="587"/>
      <c r="G525" s="280"/>
      <c r="H525" s="280"/>
    </row>
    <row r="526">
      <c r="C526" s="370"/>
      <c r="D526" s="370"/>
      <c r="E526" s="587"/>
      <c r="G526" s="280"/>
      <c r="H526" s="280"/>
    </row>
    <row r="527">
      <c r="C527" s="370"/>
      <c r="D527" s="370"/>
      <c r="E527" s="587"/>
      <c r="G527" s="280"/>
      <c r="H527" s="280"/>
    </row>
    <row r="528">
      <c r="C528" s="370"/>
      <c r="D528" s="370"/>
      <c r="E528" s="587"/>
      <c r="G528" s="280"/>
      <c r="H528" s="280"/>
    </row>
    <row r="529">
      <c r="C529" s="370"/>
      <c r="D529" s="370"/>
      <c r="E529" s="587"/>
      <c r="G529" s="280"/>
      <c r="H529" s="280"/>
    </row>
    <row r="530">
      <c r="C530" s="370"/>
      <c r="D530" s="370"/>
      <c r="E530" s="587"/>
      <c r="G530" s="280"/>
      <c r="H530" s="280"/>
    </row>
    <row r="531">
      <c r="C531" s="370"/>
      <c r="D531" s="370"/>
      <c r="E531" s="587"/>
      <c r="G531" s="280"/>
      <c r="H531" s="280"/>
    </row>
    <row r="532">
      <c r="C532" s="370"/>
      <c r="D532" s="370"/>
      <c r="E532" s="587"/>
      <c r="G532" s="280"/>
      <c r="H532" s="280"/>
    </row>
    <row r="533">
      <c r="C533" s="370"/>
      <c r="D533" s="370"/>
      <c r="E533" s="587"/>
      <c r="G533" s="280"/>
      <c r="H533" s="280"/>
    </row>
    <row r="534">
      <c r="C534" s="370"/>
      <c r="D534" s="370"/>
      <c r="E534" s="587"/>
      <c r="G534" s="280"/>
      <c r="H534" s="280"/>
    </row>
    <row r="535">
      <c r="C535" s="370"/>
      <c r="D535" s="370"/>
      <c r="E535" s="587"/>
      <c r="G535" s="280"/>
      <c r="H535" s="280"/>
    </row>
    <row r="536">
      <c r="C536" s="370"/>
      <c r="D536" s="370"/>
      <c r="E536" s="587"/>
      <c r="G536" s="280"/>
      <c r="H536" s="280"/>
    </row>
    <row r="537">
      <c r="C537" s="370"/>
      <c r="D537" s="370"/>
      <c r="E537" s="587"/>
      <c r="G537" s="280"/>
      <c r="H537" s="280"/>
    </row>
    <row r="538">
      <c r="C538" s="370"/>
      <c r="D538" s="370"/>
      <c r="E538" s="587"/>
      <c r="G538" s="280"/>
      <c r="H538" s="280"/>
    </row>
    <row r="539">
      <c r="C539" s="370"/>
      <c r="D539" s="370"/>
      <c r="E539" s="587"/>
      <c r="G539" s="280"/>
      <c r="H539" s="280"/>
    </row>
    <row r="540">
      <c r="C540" s="370"/>
      <c r="D540" s="370"/>
      <c r="E540" s="587"/>
      <c r="G540" s="280"/>
      <c r="H540" s="280"/>
    </row>
    <row r="541">
      <c r="C541" s="370"/>
      <c r="D541" s="370"/>
      <c r="E541" s="587"/>
      <c r="G541" s="280"/>
      <c r="H541" s="280"/>
    </row>
    <row r="542">
      <c r="C542" s="370"/>
      <c r="D542" s="370"/>
      <c r="E542" s="587"/>
      <c r="G542" s="280"/>
      <c r="H542" s="280"/>
    </row>
    <row r="543">
      <c r="C543" s="370"/>
      <c r="D543" s="370"/>
      <c r="E543" s="587"/>
      <c r="G543" s="280"/>
      <c r="H543" s="280"/>
    </row>
    <row r="544">
      <c r="C544" s="370"/>
      <c r="D544" s="370"/>
      <c r="E544" s="587"/>
      <c r="G544" s="280"/>
      <c r="H544" s="280"/>
    </row>
    <row r="545">
      <c r="C545" s="370"/>
      <c r="D545" s="370"/>
      <c r="E545" s="587"/>
      <c r="G545" s="280"/>
      <c r="H545" s="280"/>
    </row>
    <row r="546">
      <c r="C546" s="370"/>
      <c r="D546" s="370"/>
      <c r="E546" s="587"/>
      <c r="G546" s="280"/>
      <c r="H546" s="280"/>
    </row>
    <row r="547">
      <c r="C547" s="370"/>
      <c r="D547" s="370"/>
      <c r="E547" s="587"/>
      <c r="G547" s="280"/>
      <c r="H547" s="280"/>
    </row>
    <row r="548">
      <c r="C548" s="370"/>
      <c r="D548" s="370"/>
      <c r="E548" s="587"/>
      <c r="G548" s="280"/>
      <c r="H548" s="280"/>
    </row>
    <row r="549">
      <c r="C549" s="370"/>
      <c r="D549" s="370"/>
      <c r="E549" s="587"/>
      <c r="G549" s="280"/>
      <c r="H549" s="280"/>
    </row>
    <row r="550">
      <c r="C550" s="370"/>
      <c r="D550" s="370"/>
      <c r="E550" s="587"/>
      <c r="G550" s="280"/>
      <c r="H550" s="280"/>
    </row>
    <row r="551">
      <c r="C551" s="370"/>
      <c r="D551" s="370"/>
      <c r="E551" s="587"/>
      <c r="G551" s="280"/>
      <c r="H551" s="280"/>
    </row>
    <row r="552">
      <c r="C552" s="370"/>
      <c r="D552" s="370"/>
      <c r="E552" s="587"/>
      <c r="G552" s="280"/>
      <c r="H552" s="280"/>
    </row>
    <row r="553">
      <c r="C553" s="370"/>
      <c r="D553" s="370"/>
      <c r="E553" s="587"/>
      <c r="G553" s="280"/>
      <c r="H553" s="280"/>
    </row>
    <row r="554">
      <c r="C554" s="370"/>
      <c r="D554" s="370"/>
      <c r="E554" s="587"/>
      <c r="G554" s="280"/>
      <c r="H554" s="280"/>
    </row>
    <row r="555">
      <c r="C555" s="370"/>
      <c r="D555" s="370"/>
      <c r="E555" s="587"/>
      <c r="G555" s="280"/>
      <c r="H555" s="280"/>
    </row>
    <row r="556">
      <c r="C556" s="370"/>
      <c r="D556" s="370"/>
      <c r="E556" s="587"/>
      <c r="G556" s="280"/>
      <c r="H556" s="280"/>
    </row>
    <row r="557">
      <c r="C557" s="370"/>
      <c r="D557" s="370"/>
      <c r="E557" s="587"/>
      <c r="G557" s="280"/>
      <c r="H557" s="280"/>
    </row>
    <row r="558">
      <c r="C558" s="370"/>
      <c r="D558" s="370"/>
      <c r="E558" s="587"/>
      <c r="G558" s="280"/>
      <c r="H558" s="280"/>
    </row>
    <row r="559">
      <c r="C559" s="370"/>
      <c r="D559" s="370"/>
      <c r="E559" s="587"/>
      <c r="G559" s="280"/>
      <c r="H559" s="280"/>
    </row>
    <row r="560">
      <c r="C560" s="370"/>
      <c r="D560" s="370"/>
      <c r="E560" s="587"/>
      <c r="G560" s="280"/>
      <c r="H560" s="280"/>
    </row>
    <row r="561">
      <c r="C561" s="370"/>
      <c r="D561" s="370"/>
      <c r="E561" s="587"/>
      <c r="G561" s="280"/>
      <c r="H561" s="280"/>
    </row>
    <row r="562">
      <c r="C562" s="370"/>
      <c r="D562" s="370"/>
      <c r="E562" s="587"/>
      <c r="G562" s="280"/>
      <c r="H562" s="280"/>
    </row>
    <row r="563">
      <c r="C563" s="370"/>
      <c r="D563" s="370"/>
      <c r="E563" s="587"/>
      <c r="G563" s="280"/>
      <c r="H563" s="280"/>
    </row>
    <row r="564">
      <c r="C564" s="370"/>
      <c r="D564" s="370"/>
      <c r="E564" s="587"/>
      <c r="G564" s="280"/>
      <c r="H564" s="280"/>
    </row>
    <row r="565">
      <c r="C565" s="370"/>
      <c r="D565" s="370"/>
      <c r="E565" s="587"/>
      <c r="G565" s="280"/>
      <c r="H565" s="280"/>
    </row>
    <row r="566">
      <c r="C566" s="370"/>
      <c r="D566" s="370"/>
      <c r="E566" s="587"/>
      <c r="G566" s="280"/>
      <c r="H566" s="280"/>
    </row>
    <row r="567">
      <c r="C567" s="370"/>
      <c r="D567" s="370"/>
      <c r="E567" s="587"/>
      <c r="G567" s="280"/>
      <c r="H567" s="280"/>
    </row>
    <row r="568">
      <c r="C568" s="370"/>
      <c r="D568" s="370"/>
      <c r="E568" s="587"/>
      <c r="G568" s="280"/>
      <c r="H568" s="280"/>
    </row>
    <row r="569">
      <c r="C569" s="370"/>
      <c r="D569" s="370"/>
      <c r="E569" s="587"/>
      <c r="G569" s="280"/>
      <c r="H569" s="280"/>
    </row>
    <row r="570">
      <c r="C570" s="370"/>
      <c r="D570" s="370"/>
      <c r="E570" s="587"/>
      <c r="G570" s="280"/>
      <c r="H570" s="280"/>
    </row>
    <row r="571">
      <c r="C571" s="370"/>
      <c r="D571" s="370"/>
      <c r="E571" s="587"/>
      <c r="G571" s="280"/>
      <c r="H571" s="280"/>
    </row>
    <row r="572">
      <c r="C572" s="370"/>
      <c r="D572" s="370"/>
      <c r="E572" s="587"/>
      <c r="G572" s="280"/>
      <c r="H572" s="280"/>
    </row>
    <row r="573">
      <c r="C573" s="370"/>
      <c r="D573" s="370"/>
      <c r="E573" s="587"/>
      <c r="G573" s="280"/>
      <c r="H573" s="280"/>
    </row>
    <row r="574">
      <c r="C574" s="370"/>
      <c r="D574" s="370"/>
      <c r="E574" s="587"/>
      <c r="G574" s="280"/>
      <c r="H574" s="280"/>
    </row>
    <row r="575">
      <c r="C575" s="370"/>
      <c r="D575" s="370"/>
      <c r="E575" s="587"/>
      <c r="G575" s="280"/>
      <c r="H575" s="280"/>
    </row>
    <row r="576">
      <c r="C576" s="370"/>
      <c r="D576" s="370"/>
      <c r="E576" s="587"/>
      <c r="G576" s="280"/>
      <c r="H576" s="280"/>
    </row>
    <row r="577">
      <c r="C577" s="370"/>
      <c r="D577" s="370"/>
      <c r="E577" s="587"/>
      <c r="G577" s="280"/>
      <c r="H577" s="280"/>
    </row>
    <row r="578">
      <c r="C578" s="370"/>
      <c r="D578" s="370"/>
      <c r="E578" s="587"/>
      <c r="G578" s="280"/>
      <c r="H578" s="280"/>
    </row>
    <row r="579">
      <c r="C579" s="370"/>
      <c r="D579" s="370"/>
      <c r="E579" s="587"/>
      <c r="G579" s="280"/>
      <c r="H579" s="280"/>
    </row>
    <row r="580">
      <c r="C580" s="370"/>
      <c r="D580" s="370"/>
      <c r="E580" s="587"/>
      <c r="G580" s="280"/>
      <c r="H580" s="280"/>
    </row>
    <row r="581">
      <c r="C581" s="370"/>
      <c r="D581" s="370"/>
      <c r="E581" s="587"/>
      <c r="G581" s="280"/>
      <c r="H581" s="280"/>
    </row>
    <row r="582">
      <c r="C582" s="370"/>
      <c r="D582" s="370"/>
      <c r="E582" s="587"/>
      <c r="G582" s="280"/>
      <c r="H582" s="280"/>
    </row>
    <row r="583">
      <c r="C583" s="370"/>
      <c r="D583" s="370"/>
      <c r="E583" s="587"/>
      <c r="G583" s="280"/>
      <c r="H583" s="280"/>
    </row>
    <row r="584">
      <c r="C584" s="370"/>
      <c r="D584" s="370"/>
      <c r="E584" s="587"/>
      <c r="G584" s="280"/>
      <c r="H584" s="280"/>
    </row>
    <row r="585">
      <c r="C585" s="370"/>
      <c r="D585" s="370"/>
      <c r="E585" s="587"/>
      <c r="G585" s="280"/>
      <c r="H585" s="280"/>
    </row>
    <row r="586">
      <c r="C586" s="370"/>
      <c r="D586" s="370"/>
      <c r="E586" s="587"/>
      <c r="G586" s="280"/>
      <c r="H586" s="280"/>
    </row>
    <row r="587">
      <c r="C587" s="370"/>
      <c r="D587" s="370"/>
      <c r="E587" s="587"/>
      <c r="G587" s="280"/>
      <c r="H587" s="280"/>
    </row>
    <row r="588">
      <c r="C588" s="370"/>
      <c r="D588" s="370"/>
      <c r="E588" s="587"/>
      <c r="G588" s="280"/>
      <c r="H588" s="280"/>
    </row>
    <row r="589">
      <c r="C589" s="370"/>
      <c r="D589" s="370"/>
      <c r="E589" s="587"/>
      <c r="G589" s="280"/>
      <c r="H589" s="280"/>
    </row>
    <row r="590">
      <c r="C590" s="370"/>
      <c r="D590" s="370"/>
      <c r="E590" s="587"/>
      <c r="G590" s="280"/>
      <c r="H590" s="280"/>
    </row>
    <row r="591">
      <c r="C591" s="370"/>
      <c r="D591" s="370"/>
      <c r="E591" s="587"/>
      <c r="G591" s="280"/>
      <c r="H591" s="280"/>
    </row>
    <row r="592">
      <c r="C592" s="370"/>
      <c r="D592" s="370"/>
      <c r="E592" s="587"/>
      <c r="G592" s="280"/>
      <c r="H592" s="280"/>
    </row>
    <row r="593">
      <c r="C593" s="370"/>
      <c r="D593" s="370"/>
      <c r="E593" s="587"/>
      <c r="G593" s="280"/>
      <c r="H593" s="280"/>
    </row>
    <row r="594">
      <c r="C594" s="370"/>
      <c r="D594" s="370"/>
      <c r="E594" s="587"/>
      <c r="G594" s="280"/>
      <c r="H594" s="280"/>
    </row>
    <row r="595">
      <c r="C595" s="370"/>
      <c r="D595" s="370"/>
      <c r="E595" s="587"/>
      <c r="G595" s="280"/>
      <c r="H595" s="280"/>
    </row>
    <row r="596">
      <c r="C596" s="370"/>
      <c r="D596" s="370"/>
      <c r="E596" s="587"/>
      <c r="G596" s="280"/>
      <c r="H596" s="280"/>
    </row>
    <row r="597">
      <c r="C597" s="370"/>
      <c r="D597" s="370"/>
      <c r="E597" s="587"/>
      <c r="G597" s="280"/>
      <c r="H597" s="280"/>
    </row>
    <row r="598">
      <c r="C598" s="370"/>
      <c r="D598" s="370"/>
      <c r="E598" s="587"/>
      <c r="G598" s="280"/>
      <c r="H598" s="280"/>
    </row>
    <row r="599">
      <c r="C599" s="370"/>
      <c r="D599" s="370"/>
      <c r="E599" s="587"/>
      <c r="G599" s="280"/>
      <c r="H599" s="280"/>
    </row>
    <row r="600">
      <c r="C600" s="370"/>
      <c r="D600" s="370"/>
      <c r="E600" s="587"/>
      <c r="G600" s="280"/>
      <c r="H600" s="280"/>
    </row>
    <row r="601">
      <c r="C601" s="370"/>
      <c r="D601" s="370"/>
      <c r="E601" s="587"/>
      <c r="G601" s="280"/>
      <c r="H601" s="280"/>
    </row>
    <row r="602">
      <c r="C602" s="370"/>
      <c r="D602" s="370"/>
      <c r="E602" s="587"/>
      <c r="G602" s="280"/>
      <c r="H602" s="280"/>
    </row>
    <row r="603">
      <c r="C603" s="370"/>
      <c r="D603" s="370"/>
      <c r="E603" s="587"/>
      <c r="G603" s="280"/>
      <c r="H603" s="280"/>
    </row>
    <row r="604">
      <c r="C604" s="370"/>
      <c r="D604" s="370"/>
      <c r="E604" s="587"/>
      <c r="G604" s="280"/>
      <c r="H604" s="280"/>
    </row>
    <row r="605">
      <c r="C605" s="370"/>
      <c r="D605" s="370"/>
      <c r="E605" s="587"/>
      <c r="G605" s="280"/>
      <c r="H605" s="280"/>
    </row>
    <row r="606">
      <c r="C606" s="370"/>
      <c r="D606" s="370"/>
      <c r="E606" s="587"/>
      <c r="G606" s="280"/>
      <c r="H606" s="280"/>
    </row>
    <row r="607">
      <c r="C607" s="370"/>
      <c r="D607" s="370"/>
      <c r="E607" s="587"/>
      <c r="G607" s="280"/>
      <c r="H607" s="280"/>
    </row>
    <row r="608">
      <c r="C608" s="370"/>
      <c r="D608" s="370"/>
      <c r="E608" s="587"/>
      <c r="G608" s="280"/>
      <c r="H608" s="280"/>
    </row>
    <row r="609">
      <c r="C609" s="370"/>
      <c r="D609" s="370"/>
      <c r="E609" s="587"/>
      <c r="G609" s="280"/>
      <c r="H609" s="280"/>
    </row>
    <row r="610">
      <c r="C610" s="370"/>
      <c r="D610" s="370"/>
      <c r="E610" s="587"/>
      <c r="G610" s="280"/>
      <c r="H610" s="280"/>
    </row>
    <row r="611">
      <c r="C611" s="370"/>
      <c r="D611" s="370"/>
      <c r="E611" s="587"/>
      <c r="G611" s="280"/>
      <c r="H611" s="280"/>
    </row>
    <row r="612">
      <c r="C612" s="370"/>
      <c r="D612" s="370"/>
      <c r="E612" s="587"/>
      <c r="G612" s="280"/>
      <c r="H612" s="280"/>
    </row>
    <row r="613">
      <c r="C613" s="370"/>
      <c r="D613" s="370"/>
      <c r="E613" s="587"/>
      <c r="G613" s="280"/>
      <c r="H613" s="280"/>
    </row>
    <row r="614">
      <c r="C614" s="370"/>
      <c r="D614" s="370"/>
      <c r="E614" s="587"/>
      <c r="G614" s="280"/>
      <c r="H614" s="280"/>
    </row>
    <row r="615">
      <c r="C615" s="370"/>
      <c r="D615" s="370"/>
      <c r="E615" s="587"/>
      <c r="G615" s="280"/>
      <c r="H615" s="280"/>
    </row>
    <row r="616">
      <c r="C616" s="370"/>
      <c r="D616" s="370"/>
      <c r="E616" s="587"/>
      <c r="G616" s="280"/>
      <c r="H616" s="280"/>
    </row>
    <row r="617">
      <c r="C617" s="370"/>
      <c r="D617" s="370"/>
      <c r="E617" s="587"/>
      <c r="G617" s="280"/>
      <c r="H617" s="280"/>
    </row>
    <row r="618">
      <c r="C618" s="370"/>
      <c r="D618" s="370"/>
      <c r="E618" s="587"/>
      <c r="G618" s="280"/>
      <c r="H618" s="280"/>
    </row>
    <row r="619">
      <c r="C619" s="370"/>
      <c r="D619" s="370"/>
      <c r="E619" s="587"/>
      <c r="G619" s="280"/>
      <c r="H619" s="280"/>
    </row>
    <row r="620">
      <c r="C620" s="370"/>
      <c r="D620" s="370"/>
      <c r="E620" s="587"/>
      <c r="G620" s="280"/>
      <c r="H620" s="280"/>
    </row>
    <row r="621">
      <c r="C621" s="370"/>
      <c r="D621" s="370"/>
      <c r="E621" s="587"/>
      <c r="G621" s="280"/>
      <c r="H621" s="280"/>
    </row>
    <row r="622">
      <c r="C622" s="370"/>
      <c r="D622" s="370"/>
      <c r="E622" s="587"/>
      <c r="G622" s="280"/>
      <c r="H622" s="280"/>
    </row>
    <row r="623">
      <c r="C623" s="370"/>
      <c r="D623" s="370"/>
      <c r="E623" s="587"/>
      <c r="G623" s="280"/>
      <c r="H623" s="280"/>
    </row>
    <row r="624">
      <c r="C624" s="370"/>
      <c r="D624" s="370"/>
      <c r="E624" s="587"/>
      <c r="G624" s="280"/>
      <c r="H624" s="280"/>
    </row>
    <row r="625">
      <c r="C625" s="370"/>
      <c r="D625" s="370"/>
      <c r="E625" s="587"/>
      <c r="G625" s="280"/>
      <c r="H625" s="280"/>
    </row>
    <row r="626">
      <c r="C626" s="370"/>
      <c r="D626" s="370"/>
      <c r="E626" s="587"/>
      <c r="G626" s="280"/>
      <c r="H626" s="280"/>
    </row>
    <row r="627">
      <c r="C627" s="370"/>
      <c r="D627" s="370"/>
      <c r="E627" s="587"/>
      <c r="G627" s="280"/>
      <c r="H627" s="280"/>
    </row>
    <row r="628">
      <c r="C628" s="370"/>
      <c r="D628" s="370"/>
      <c r="E628" s="587"/>
      <c r="G628" s="280"/>
      <c r="H628" s="280"/>
    </row>
    <row r="629">
      <c r="C629" s="370"/>
      <c r="D629" s="370"/>
      <c r="E629" s="587"/>
      <c r="G629" s="280"/>
      <c r="H629" s="280"/>
    </row>
    <row r="630">
      <c r="C630" s="370"/>
      <c r="D630" s="370"/>
      <c r="E630" s="587"/>
      <c r="G630" s="280"/>
      <c r="H630" s="280"/>
    </row>
    <row r="631">
      <c r="C631" s="370"/>
      <c r="D631" s="370"/>
      <c r="E631" s="587"/>
      <c r="G631" s="280"/>
      <c r="H631" s="280"/>
    </row>
    <row r="632">
      <c r="C632" s="370"/>
      <c r="D632" s="370"/>
      <c r="E632" s="587"/>
      <c r="G632" s="280"/>
      <c r="H632" s="280"/>
    </row>
    <row r="633">
      <c r="C633" s="370"/>
      <c r="D633" s="370"/>
      <c r="E633" s="587"/>
      <c r="G633" s="280"/>
      <c r="H633" s="280"/>
    </row>
    <row r="634">
      <c r="C634" s="370"/>
      <c r="D634" s="370"/>
      <c r="E634" s="587"/>
      <c r="G634" s="280"/>
      <c r="H634" s="280"/>
    </row>
    <row r="635">
      <c r="C635" s="370"/>
      <c r="D635" s="370"/>
      <c r="E635" s="587"/>
      <c r="G635" s="280"/>
      <c r="H635" s="280"/>
    </row>
    <row r="636">
      <c r="C636" s="370"/>
      <c r="D636" s="370"/>
      <c r="E636" s="587"/>
      <c r="G636" s="280"/>
      <c r="H636" s="280"/>
    </row>
    <row r="637">
      <c r="C637" s="370"/>
      <c r="D637" s="370"/>
      <c r="E637" s="587"/>
      <c r="G637" s="280"/>
      <c r="H637" s="280"/>
    </row>
    <row r="638">
      <c r="C638" s="370"/>
      <c r="D638" s="370"/>
      <c r="E638" s="587"/>
      <c r="G638" s="280"/>
      <c r="H638" s="280"/>
    </row>
    <row r="639">
      <c r="C639" s="370"/>
      <c r="D639" s="370"/>
      <c r="E639" s="587"/>
      <c r="G639" s="280"/>
      <c r="H639" s="280"/>
    </row>
    <row r="640">
      <c r="C640" s="370"/>
      <c r="D640" s="370"/>
      <c r="E640" s="587"/>
      <c r="G640" s="280"/>
      <c r="H640" s="280"/>
    </row>
    <row r="641">
      <c r="C641" s="370"/>
      <c r="D641" s="370"/>
      <c r="E641" s="587"/>
      <c r="G641" s="280"/>
      <c r="H641" s="280"/>
    </row>
    <row r="642">
      <c r="C642" s="370"/>
      <c r="D642" s="370"/>
      <c r="E642" s="587"/>
      <c r="G642" s="280"/>
      <c r="H642" s="280"/>
    </row>
    <row r="643">
      <c r="C643" s="370"/>
      <c r="D643" s="370"/>
      <c r="E643" s="587"/>
      <c r="G643" s="280"/>
      <c r="H643" s="280"/>
    </row>
    <row r="644">
      <c r="C644" s="370"/>
      <c r="D644" s="370"/>
      <c r="E644" s="587"/>
      <c r="G644" s="280"/>
      <c r="H644" s="280"/>
    </row>
    <row r="645">
      <c r="C645" s="370"/>
      <c r="D645" s="370"/>
      <c r="E645" s="587"/>
      <c r="G645" s="280"/>
      <c r="H645" s="280"/>
    </row>
    <row r="646">
      <c r="C646" s="370"/>
      <c r="D646" s="370"/>
      <c r="E646" s="587"/>
      <c r="G646" s="280"/>
      <c r="H646" s="280"/>
    </row>
    <row r="647">
      <c r="C647" s="370"/>
      <c r="D647" s="370"/>
      <c r="E647" s="587"/>
      <c r="G647" s="280"/>
      <c r="H647" s="280"/>
    </row>
    <row r="648">
      <c r="C648" s="370"/>
      <c r="D648" s="370"/>
      <c r="E648" s="587"/>
      <c r="G648" s="280"/>
      <c r="H648" s="280"/>
    </row>
    <row r="649">
      <c r="C649" s="370"/>
      <c r="D649" s="370"/>
      <c r="E649" s="587"/>
      <c r="G649" s="280"/>
      <c r="H649" s="280"/>
    </row>
    <row r="650">
      <c r="C650" s="370"/>
      <c r="D650" s="370"/>
      <c r="E650" s="587"/>
      <c r="G650" s="280"/>
      <c r="H650" s="280"/>
    </row>
    <row r="651">
      <c r="C651" s="370"/>
      <c r="D651" s="370"/>
      <c r="E651" s="587"/>
      <c r="G651" s="280"/>
      <c r="H651" s="280"/>
    </row>
    <row r="652">
      <c r="C652" s="370"/>
      <c r="D652" s="370"/>
      <c r="E652" s="587"/>
      <c r="G652" s="280"/>
      <c r="H652" s="280"/>
    </row>
    <row r="653">
      <c r="C653" s="370"/>
      <c r="D653" s="370"/>
      <c r="E653" s="587"/>
      <c r="G653" s="280"/>
      <c r="H653" s="280"/>
    </row>
    <row r="654">
      <c r="C654" s="370"/>
      <c r="D654" s="370"/>
      <c r="E654" s="587"/>
      <c r="G654" s="280"/>
      <c r="H654" s="280"/>
    </row>
    <row r="655">
      <c r="C655" s="370"/>
      <c r="D655" s="370"/>
      <c r="E655" s="587"/>
      <c r="G655" s="280"/>
      <c r="H655" s="280"/>
    </row>
    <row r="656">
      <c r="C656" s="370"/>
      <c r="D656" s="370"/>
      <c r="E656" s="587"/>
      <c r="G656" s="280"/>
      <c r="H656" s="280"/>
    </row>
    <row r="657">
      <c r="C657" s="370"/>
      <c r="D657" s="370"/>
      <c r="E657" s="587"/>
      <c r="G657" s="280"/>
      <c r="H657" s="280"/>
    </row>
    <row r="658">
      <c r="C658" s="370"/>
      <c r="D658" s="370"/>
      <c r="E658" s="587"/>
      <c r="G658" s="280"/>
      <c r="H658" s="280"/>
    </row>
    <row r="659">
      <c r="C659" s="370"/>
      <c r="D659" s="370"/>
      <c r="E659" s="587"/>
      <c r="G659" s="280"/>
      <c r="H659" s="280"/>
    </row>
    <row r="660">
      <c r="C660" s="370"/>
      <c r="D660" s="370"/>
      <c r="E660" s="587"/>
      <c r="G660" s="280"/>
      <c r="H660" s="280"/>
    </row>
    <row r="661">
      <c r="C661" s="370"/>
      <c r="D661" s="370"/>
      <c r="E661" s="587"/>
      <c r="G661" s="280"/>
      <c r="H661" s="280"/>
    </row>
    <row r="662">
      <c r="C662" s="370"/>
      <c r="D662" s="370"/>
      <c r="E662" s="587"/>
      <c r="G662" s="280"/>
      <c r="H662" s="280"/>
    </row>
    <row r="663">
      <c r="C663" s="370"/>
      <c r="D663" s="370"/>
      <c r="E663" s="587"/>
      <c r="G663" s="280"/>
      <c r="H663" s="280"/>
    </row>
    <row r="664">
      <c r="C664" s="370"/>
      <c r="D664" s="370"/>
      <c r="E664" s="587"/>
      <c r="G664" s="280"/>
      <c r="H664" s="280"/>
    </row>
    <row r="665">
      <c r="C665" s="370"/>
      <c r="D665" s="370"/>
      <c r="E665" s="587"/>
      <c r="G665" s="280"/>
      <c r="H665" s="280"/>
    </row>
    <row r="666">
      <c r="C666" s="370"/>
      <c r="D666" s="370"/>
      <c r="E666" s="587"/>
      <c r="G666" s="280"/>
      <c r="H666" s="280"/>
    </row>
    <row r="667">
      <c r="C667" s="370"/>
      <c r="D667" s="370"/>
      <c r="E667" s="587"/>
      <c r="G667" s="280"/>
      <c r="H667" s="280"/>
    </row>
    <row r="668">
      <c r="C668" s="370"/>
      <c r="D668" s="370"/>
      <c r="E668" s="587"/>
      <c r="G668" s="280"/>
      <c r="H668" s="280"/>
    </row>
    <row r="669">
      <c r="C669" s="370"/>
      <c r="D669" s="370"/>
      <c r="E669" s="587"/>
      <c r="G669" s="280"/>
      <c r="H669" s="280"/>
    </row>
    <row r="670">
      <c r="C670" s="370"/>
      <c r="D670" s="370"/>
      <c r="E670" s="587"/>
      <c r="G670" s="280"/>
      <c r="H670" s="280"/>
    </row>
    <row r="671">
      <c r="C671" s="370"/>
      <c r="D671" s="370"/>
      <c r="E671" s="587"/>
      <c r="G671" s="280"/>
      <c r="H671" s="280"/>
    </row>
    <row r="672">
      <c r="C672" s="370"/>
      <c r="D672" s="370"/>
      <c r="E672" s="587"/>
      <c r="G672" s="280"/>
      <c r="H672" s="280"/>
    </row>
    <row r="673">
      <c r="C673" s="370"/>
      <c r="D673" s="370"/>
      <c r="E673" s="587"/>
      <c r="G673" s="280"/>
      <c r="H673" s="280"/>
    </row>
    <row r="674">
      <c r="C674" s="370"/>
      <c r="D674" s="370"/>
      <c r="E674" s="587"/>
      <c r="G674" s="280"/>
      <c r="H674" s="280"/>
    </row>
    <row r="675">
      <c r="C675" s="370"/>
      <c r="D675" s="370"/>
      <c r="E675" s="587"/>
      <c r="G675" s="280"/>
      <c r="H675" s="280"/>
    </row>
    <row r="676">
      <c r="C676" s="370"/>
      <c r="D676" s="370"/>
      <c r="E676" s="587"/>
      <c r="G676" s="280"/>
      <c r="H676" s="280"/>
    </row>
    <row r="677">
      <c r="C677" s="370"/>
      <c r="D677" s="370"/>
      <c r="E677" s="587"/>
      <c r="G677" s="280"/>
      <c r="H677" s="280"/>
    </row>
    <row r="678">
      <c r="C678" s="370"/>
      <c r="D678" s="370"/>
      <c r="E678" s="587"/>
      <c r="G678" s="280"/>
      <c r="H678" s="280"/>
    </row>
    <row r="679">
      <c r="C679" s="370"/>
      <c r="D679" s="370"/>
      <c r="E679" s="587"/>
      <c r="G679" s="280"/>
      <c r="H679" s="280"/>
    </row>
    <row r="680">
      <c r="C680" s="370"/>
      <c r="D680" s="370"/>
      <c r="E680" s="587"/>
      <c r="G680" s="280"/>
      <c r="H680" s="280"/>
    </row>
    <row r="681">
      <c r="C681" s="370"/>
      <c r="D681" s="370"/>
      <c r="E681" s="587"/>
      <c r="G681" s="280"/>
      <c r="H681" s="280"/>
    </row>
    <row r="682">
      <c r="C682" s="370"/>
      <c r="D682" s="370"/>
      <c r="E682" s="587"/>
      <c r="G682" s="280"/>
      <c r="H682" s="280"/>
    </row>
    <row r="683">
      <c r="C683" s="370"/>
      <c r="D683" s="370"/>
      <c r="E683" s="587"/>
      <c r="G683" s="280"/>
      <c r="H683" s="280"/>
    </row>
    <row r="684">
      <c r="C684" s="370"/>
      <c r="D684" s="370"/>
      <c r="E684" s="587"/>
      <c r="G684" s="280"/>
      <c r="H684" s="280"/>
    </row>
    <row r="685">
      <c r="C685" s="370"/>
      <c r="D685" s="370"/>
      <c r="E685" s="587"/>
      <c r="G685" s="280"/>
      <c r="H685" s="280"/>
    </row>
    <row r="686">
      <c r="C686" s="370"/>
      <c r="D686" s="370"/>
      <c r="E686" s="587"/>
      <c r="G686" s="280"/>
      <c r="H686" s="280"/>
    </row>
    <row r="687">
      <c r="C687" s="370"/>
      <c r="D687" s="370"/>
      <c r="E687" s="587"/>
      <c r="G687" s="280"/>
      <c r="H687" s="280"/>
    </row>
    <row r="688">
      <c r="C688" s="370"/>
      <c r="D688" s="370"/>
      <c r="E688" s="587"/>
      <c r="G688" s="280"/>
      <c r="H688" s="280"/>
    </row>
    <row r="689">
      <c r="C689" s="370"/>
      <c r="D689" s="370"/>
      <c r="E689" s="587"/>
      <c r="G689" s="280"/>
      <c r="H689" s="280"/>
    </row>
    <row r="690">
      <c r="C690" s="370"/>
      <c r="D690" s="370"/>
      <c r="E690" s="587"/>
      <c r="G690" s="280"/>
      <c r="H690" s="280"/>
    </row>
    <row r="691">
      <c r="C691" s="370"/>
      <c r="D691" s="370"/>
      <c r="E691" s="587"/>
      <c r="G691" s="280"/>
      <c r="H691" s="280"/>
    </row>
    <row r="692">
      <c r="C692" s="370"/>
      <c r="D692" s="370"/>
      <c r="E692" s="587"/>
      <c r="G692" s="280"/>
      <c r="H692" s="280"/>
    </row>
    <row r="693">
      <c r="C693" s="370"/>
      <c r="D693" s="370"/>
      <c r="E693" s="587"/>
      <c r="G693" s="280"/>
      <c r="H693" s="280"/>
    </row>
    <row r="694">
      <c r="C694" s="370"/>
      <c r="D694" s="370"/>
      <c r="E694" s="587"/>
      <c r="G694" s="280"/>
      <c r="H694" s="280"/>
    </row>
    <row r="695">
      <c r="C695" s="370"/>
      <c r="D695" s="370"/>
      <c r="E695" s="587"/>
      <c r="G695" s="280"/>
      <c r="H695" s="280"/>
    </row>
    <row r="696">
      <c r="C696" s="370"/>
      <c r="D696" s="370"/>
      <c r="E696" s="587"/>
      <c r="G696" s="280"/>
      <c r="H696" s="280"/>
    </row>
    <row r="697">
      <c r="C697" s="370"/>
      <c r="D697" s="370"/>
      <c r="E697" s="587"/>
      <c r="G697" s="280"/>
      <c r="H697" s="280"/>
    </row>
    <row r="698">
      <c r="C698" s="370"/>
      <c r="D698" s="370"/>
      <c r="E698" s="587"/>
      <c r="G698" s="280"/>
      <c r="H698" s="280"/>
    </row>
    <row r="699">
      <c r="C699" s="370"/>
      <c r="D699" s="370"/>
      <c r="E699" s="587"/>
      <c r="G699" s="280"/>
      <c r="H699" s="280"/>
    </row>
    <row r="700">
      <c r="C700" s="370"/>
      <c r="D700" s="370"/>
      <c r="E700" s="587"/>
      <c r="G700" s="280"/>
      <c r="H700" s="280"/>
    </row>
    <row r="701">
      <c r="C701" s="370"/>
      <c r="D701" s="370"/>
      <c r="E701" s="587"/>
      <c r="G701" s="280"/>
      <c r="H701" s="280"/>
    </row>
    <row r="702">
      <c r="C702" s="370"/>
      <c r="D702" s="370"/>
      <c r="E702" s="587"/>
      <c r="G702" s="280"/>
      <c r="H702" s="280"/>
    </row>
    <row r="703">
      <c r="C703" s="370"/>
      <c r="D703" s="370"/>
      <c r="E703" s="587"/>
      <c r="G703" s="280"/>
      <c r="H703" s="280"/>
    </row>
    <row r="704">
      <c r="C704" s="370"/>
      <c r="D704" s="370"/>
      <c r="E704" s="587"/>
      <c r="G704" s="280"/>
      <c r="H704" s="280"/>
    </row>
    <row r="705">
      <c r="C705" s="370"/>
      <c r="D705" s="370"/>
      <c r="E705" s="587"/>
      <c r="G705" s="280"/>
      <c r="H705" s="280"/>
    </row>
    <row r="706">
      <c r="C706" s="370"/>
      <c r="D706" s="370"/>
      <c r="E706" s="587"/>
      <c r="G706" s="280"/>
      <c r="H706" s="280"/>
    </row>
    <row r="707">
      <c r="C707" s="370"/>
      <c r="D707" s="370"/>
      <c r="E707" s="587"/>
      <c r="G707" s="280"/>
      <c r="H707" s="280"/>
    </row>
    <row r="708">
      <c r="C708" s="370"/>
      <c r="D708" s="370"/>
      <c r="E708" s="587"/>
      <c r="G708" s="280"/>
      <c r="H708" s="280"/>
    </row>
    <row r="709">
      <c r="C709" s="370"/>
      <c r="D709" s="370"/>
      <c r="E709" s="587"/>
      <c r="G709" s="280"/>
      <c r="H709" s="280"/>
    </row>
    <row r="710">
      <c r="C710" s="370"/>
      <c r="D710" s="370"/>
      <c r="E710" s="587"/>
      <c r="G710" s="280"/>
      <c r="H710" s="280"/>
    </row>
    <row r="711">
      <c r="C711" s="370"/>
      <c r="D711" s="370"/>
      <c r="E711" s="587"/>
      <c r="G711" s="280"/>
      <c r="H711" s="280"/>
    </row>
    <row r="712">
      <c r="C712" s="370"/>
      <c r="D712" s="370"/>
      <c r="E712" s="587"/>
      <c r="G712" s="280"/>
      <c r="H712" s="280"/>
    </row>
    <row r="713">
      <c r="C713" s="370"/>
      <c r="D713" s="370"/>
      <c r="E713" s="587"/>
      <c r="G713" s="280"/>
      <c r="H713" s="280"/>
    </row>
    <row r="714">
      <c r="C714" s="370"/>
      <c r="D714" s="370"/>
      <c r="E714" s="587"/>
      <c r="G714" s="280"/>
      <c r="H714" s="280"/>
    </row>
    <row r="715">
      <c r="C715" s="370"/>
      <c r="D715" s="370"/>
      <c r="E715" s="587"/>
      <c r="G715" s="280"/>
      <c r="H715" s="280"/>
    </row>
    <row r="716">
      <c r="C716" s="370"/>
      <c r="D716" s="370"/>
      <c r="E716" s="587"/>
      <c r="G716" s="280"/>
      <c r="H716" s="280"/>
    </row>
    <row r="717">
      <c r="C717" s="370"/>
      <c r="D717" s="370"/>
      <c r="E717" s="587"/>
      <c r="G717" s="280"/>
      <c r="H717" s="280"/>
    </row>
    <row r="718">
      <c r="C718" s="370"/>
      <c r="D718" s="370"/>
      <c r="E718" s="587"/>
      <c r="G718" s="280"/>
      <c r="H718" s="280"/>
    </row>
    <row r="719">
      <c r="C719" s="370"/>
      <c r="D719" s="370"/>
      <c r="E719" s="587"/>
      <c r="G719" s="280"/>
      <c r="H719" s="280"/>
    </row>
    <row r="720">
      <c r="C720" s="370"/>
      <c r="D720" s="370"/>
      <c r="E720" s="587"/>
      <c r="G720" s="280"/>
      <c r="H720" s="280"/>
    </row>
    <row r="721">
      <c r="C721" s="370"/>
      <c r="D721" s="370"/>
      <c r="E721" s="587"/>
      <c r="G721" s="280"/>
      <c r="H721" s="280"/>
    </row>
    <row r="722">
      <c r="C722" s="370"/>
      <c r="D722" s="370"/>
      <c r="E722" s="587"/>
      <c r="G722" s="280"/>
      <c r="H722" s="280"/>
    </row>
    <row r="723">
      <c r="C723" s="370"/>
      <c r="D723" s="370"/>
      <c r="E723" s="587"/>
      <c r="G723" s="280"/>
      <c r="H723" s="280"/>
    </row>
    <row r="724">
      <c r="C724" s="370"/>
      <c r="D724" s="370"/>
      <c r="E724" s="587"/>
      <c r="G724" s="280"/>
      <c r="H724" s="280"/>
    </row>
    <row r="725">
      <c r="C725" s="370"/>
      <c r="D725" s="370"/>
      <c r="E725" s="587"/>
      <c r="G725" s="280"/>
      <c r="H725" s="280"/>
    </row>
    <row r="726">
      <c r="C726" s="370"/>
      <c r="D726" s="370"/>
      <c r="E726" s="587"/>
      <c r="G726" s="280"/>
      <c r="H726" s="280"/>
    </row>
    <row r="727">
      <c r="C727" s="370"/>
      <c r="D727" s="370"/>
      <c r="E727" s="587"/>
      <c r="G727" s="280"/>
      <c r="H727" s="280"/>
    </row>
    <row r="728">
      <c r="C728" s="370"/>
      <c r="D728" s="370"/>
      <c r="E728" s="587"/>
      <c r="G728" s="280"/>
      <c r="H728" s="280"/>
    </row>
    <row r="729">
      <c r="C729" s="370"/>
      <c r="D729" s="370"/>
      <c r="E729" s="587"/>
      <c r="G729" s="280"/>
      <c r="H729" s="280"/>
    </row>
    <row r="730">
      <c r="C730" s="370"/>
      <c r="D730" s="370"/>
      <c r="E730" s="587"/>
      <c r="G730" s="280"/>
      <c r="H730" s="280"/>
    </row>
    <row r="731">
      <c r="C731" s="370"/>
      <c r="D731" s="370"/>
      <c r="E731" s="587"/>
      <c r="G731" s="280"/>
      <c r="H731" s="280"/>
    </row>
    <row r="732">
      <c r="C732" s="370"/>
      <c r="D732" s="370"/>
      <c r="E732" s="587"/>
      <c r="G732" s="280"/>
      <c r="H732" s="280"/>
    </row>
    <row r="733">
      <c r="C733" s="370"/>
      <c r="D733" s="370"/>
      <c r="E733" s="587"/>
      <c r="G733" s="280"/>
      <c r="H733" s="280"/>
    </row>
    <row r="734">
      <c r="C734" s="370"/>
      <c r="D734" s="370"/>
      <c r="E734" s="587"/>
      <c r="G734" s="280"/>
      <c r="H734" s="280"/>
    </row>
    <row r="735">
      <c r="C735" s="370"/>
      <c r="D735" s="370"/>
      <c r="E735" s="587"/>
      <c r="G735" s="280"/>
      <c r="H735" s="280"/>
    </row>
    <row r="736">
      <c r="C736" s="370"/>
      <c r="D736" s="370"/>
      <c r="E736" s="587"/>
      <c r="G736" s="280"/>
      <c r="H736" s="280"/>
    </row>
    <row r="737">
      <c r="C737" s="370"/>
      <c r="D737" s="370"/>
      <c r="E737" s="587"/>
      <c r="G737" s="280"/>
      <c r="H737" s="280"/>
    </row>
    <row r="738">
      <c r="C738" s="370"/>
      <c r="D738" s="370"/>
      <c r="E738" s="587"/>
      <c r="G738" s="280"/>
      <c r="H738" s="280"/>
    </row>
    <row r="739">
      <c r="C739" s="370"/>
      <c r="D739" s="370"/>
      <c r="E739" s="587"/>
      <c r="G739" s="280"/>
      <c r="H739" s="280"/>
    </row>
    <row r="740">
      <c r="C740" s="370"/>
      <c r="D740" s="370"/>
      <c r="E740" s="587"/>
      <c r="G740" s="280"/>
      <c r="H740" s="280"/>
    </row>
    <row r="741">
      <c r="C741" s="370"/>
      <c r="D741" s="370"/>
      <c r="E741" s="587"/>
      <c r="G741" s="280"/>
      <c r="H741" s="280"/>
    </row>
    <row r="742">
      <c r="C742" s="370"/>
      <c r="D742" s="370"/>
      <c r="E742" s="587"/>
      <c r="G742" s="280"/>
      <c r="H742" s="280"/>
    </row>
    <row r="743">
      <c r="C743" s="370"/>
      <c r="D743" s="370"/>
      <c r="E743" s="587"/>
      <c r="G743" s="280"/>
      <c r="H743" s="280"/>
    </row>
    <row r="744">
      <c r="C744" s="370"/>
      <c r="D744" s="370"/>
      <c r="E744" s="587"/>
      <c r="G744" s="280"/>
      <c r="H744" s="280"/>
    </row>
    <row r="745">
      <c r="C745" s="370"/>
      <c r="D745" s="370"/>
      <c r="E745" s="587"/>
      <c r="G745" s="280"/>
      <c r="H745" s="280"/>
    </row>
    <row r="746">
      <c r="C746" s="370"/>
      <c r="D746" s="370"/>
      <c r="E746" s="587"/>
      <c r="G746" s="280"/>
      <c r="H746" s="280"/>
    </row>
    <row r="747">
      <c r="C747" s="370"/>
      <c r="D747" s="370"/>
      <c r="E747" s="587"/>
      <c r="G747" s="280"/>
      <c r="H747" s="280"/>
    </row>
    <row r="748">
      <c r="C748" s="370"/>
      <c r="D748" s="370"/>
      <c r="E748" s="587"/>
      <c r="G748" s="280"/>
      <c r="H748" s="280"/>
    </row>
    <row r="749">
      <c r="C749" s="370"/>
      <c r="D749" s="370"/>
      <c r="E749" s="587"/>
      <c r="G749" s="280"/>
      <c r="H749" s="280"/>
    </row>
    <row r="750">
      <c r="C750" s="370"/>
      <c r="D750" s="370"/>
      <c r="E750" s="587"/>
      <c r="G750" s="280"/>
      <c r="H750" s="280"/>
    </row>
    <row r="751">
      <c r="C751" s="370"/>
      <c r="D751" s="370"/>
      <c r="E751" s="587"/>
      <c r="G751" s="280"/>
      <c r="H751" s="280"/>
    </row>
    <row r="752">
      <c r="C752" s="370"/>
      <c r="D752" s="370"/>
      <c r="E752" s="587"/>
      <c r="G752" s="280"/>
      <c r="H752" s="280"/>
    </row>
    <row r="753">
      <c r="C753" s="370"/>
      <c r="D753" s="370"/>
      <c r="E753" s="587"/>
      <c r="G753" s="280"/>
      <c r="H753" s="280"/>
    </row>
    <row r="754">
      <c r="C754" s="370"/>
      <c r="D754" s="370"/>
      <c r="E754" s="587"/>
      <c r="G754" s="280"/>
      <c r="H754" s="280"/>
    </row>
    <row r="755">
      <c r="C755" s="370"/>
      <c r="D755" s="370"/>
      <c r="E755" s="587"/>
      <c r="G755" s="280"/>
      <c r="H755" s="280"/>
    </row>
    <row r="756">
      <c r="C756" s="370"/>
      <c r="D756" s="370"/>
      <c r="E756" s="587"/>
      <c r="G756" s="280"/>
      <c r="H756" s="280"/>
    </row>
    <row r="757">
      <c r="C757" s="370"/>
      <c r="D757" s="370"/>
      <c r="E757" s="587"/>
      <c r="G757" s="280"/>
      <c r="H757" s="280"/>
    </row>
    <row r="758">
      <c r="C758" s="370"/>
      <c r="D758" s="370"/>
      <c r="E758" s="587"/>
      <c r="G758" s="280"/>
      <c r="H758" s="280"/>
    </row>
    <row r="759">
      <c r="C759" s="370"/>
      <c r="D759" s="370"/>
      <c r="E759" s="587"/>
      <c r="G759" s="280"/>
      <c r="H759" s="280"/>
    </row>
    <row r="760">
      <c r="C760" s="370"/>
      <c r="D760" s="370"/>
      <c r="E760" s="587"/>
      <c r="G760" s="280"/>
      <c r="H760" s="280"/>
    </row>
    <row r="761">
      <c r="C761" s="370"/>
      <c r="D761" s="370"/>
      <c r="E761" s="587"/>
      <c r="G761" s="280"/>
      <c r="H761" s="280"/>
    </row>
    <row r="762">
      <c r="C762" s="370"/>
      <c r="D762" s="370"/>
      <c r="E762" s="587"/>
      <c r="G762" s="280"/>
      <c r="H762" s="280"/>
    </row>
    <row r="763">
      <c r="C763" s="370"/>
      <c r="D763" s="370"/>
      <c r="E763" s="587"/>
      <c r="G763" s="280"/>
      <c r="H763" s="280"/>
    </row>
    <row r="764">
      <c r="C764" s="370"/>
      <c r="D764" s="370"/>
      <c r="E764" s="587"/>
      <c r="G764" s="280"/>
      <c r="H764" s="280"/>
    </row>
    <row r="765">
      <c r="C765" s="370"/>
      <c r="D765" s="370"/>
      <c r="E765" s="587"/>
      <c r="G765" s="280"/>
      <c r="H765" s="280"/>
    </row>
    <row r="766">
      <c r="C766" s="370"/>
      <c r="D766" s="370"/>
      <c r="E766" s="587"/>
      <c r="G766" s="280"/>
      <c r="H766" s="280"/>
    </row>
    <row r="767">
      <c r="C767" s="370"/>
      <c r="D767" s="370"/>
      <c r="E767" s="587"/>
      <c r="G767" s="280"/>
      <c r="H767" s="280"/>
    </row>
    <row r="768">
      <c r="C768" s="370"/>
      <c r="D768" s="370"/>
      <c r="E768" s="587"/>
      <c r="G768" s="280"/>
      <c r="H768" s="280"/>
    </row>
    <row r="769">
      <c r="C769" s="370"/>
      <c r="D769" s="370"/>
      <c r="E769" s="587"/>
      <c r="G769" s="280"/>
      <c r="H769" s="280"/>
    </row>
    <row r="770">
      <c r="C770" s="370"/>
      <c r="D770" s="370"/>
      <c r="E770" s="587"/>
      <c r="G770" s="280"/>
      <c r="H770" s="280"/>
    </row>
    <row r="771">
      <c r="C771" s="370"/>
      <c r="D771" s="370"/>
      <c r="E771" s="587"/>
      <c r="G771" s="280"/>
      <c r="H771" s="280"/>
    </row>
    <row r="772">
      <c r="C772" s="370"/>
      <c r="D772" s="370"/>
      <c r="E772" s="587"/>
      <c r="G772" s="280"/>
      <c r="H772" s="280"/>
    </row>
    <row r="773">
      <c r="C773" s="370"/>
      <c r="D773" s="370"/>
      <c r="E773" s="587"/>
      <c r="G773" s="280"/>
      <c r="H773" s="280"/>
    </row>
    <row r="774">
      <c r="C774" s="370"/>
      <c r="D774" s="370"/>
      <c r="E774" s="587"/>
      <c r="G774" s="280"/>
      <c r="H774" s="280"/>
    </row>
    <row r="775">
      <c r="C775" s="370"/>
      <c r="D775" s="370"/>
      <c r="E775" s="587"/>
      <c r="G775" s="280"/>
      <c r="H775" s="280"/>
    </row>
    <row r="776">
      <c r="C776" s="370"/>
      <c r="D776" s="370"/>
      <c r="E776" s="587"/>
      <c r="G776" s="280"/>
      <c r="H776" s="280"/>
    </row>
    <row r="777">
      <c r="C777" s="370"/>
      <c r="D777" s="370"/>
      <c r="E777" s="587"/>
      <c r="G777" s="280"/>
      <c r="H777" s="280"/>
    </row>
    <row r="778">
      <c r="C778" s="370"/>
      <c r="D778" s="370"/>
      <c r="E778" s="587"/>
      <c r="G778" s="280"/>
      <c r="H778" s="280"/>
    </row>
    <row r="779">
      <c r="C779" s="370"/>
      <c r="D779" s="370"/>
      <c r="E779" s="587"/>
      <c r="G779" s="280"/>
      <c r="H779" s="280"/>
    </row>
    <row r="780">
      <c r="C780" s="370"/>
      <c r="D780" s="370"/>
      <c r="E780" s="587"/>
      <c r="G780" s="280"/>
      <c r="H780" s="280"/>
    </row>
    <row r="781">
      <c r="C781" s="370"/>
      <c r="D781" s="370"/>
      <c r="E781" s="587"/>
      <c r="G781" s="280"/>
      <c r="H781" s="280"/>
    </row>
    <row r="782">
      <c r="C782" s="370"/>
      <c r="D782" s="370"/>
      <c r="E782" s="587"/>
      <c r="G782" s="280"/>
      <c r="H782" s="280"/>
    </row>
    <row r="783">
      <c r="C783" s="370"/>
      <c r="D783" s="370"/>
      <c r="E783" s="587"/>
      <c r="G783" s="280"/>
      <c r="H783" s="280"/>
    </row>
    <row r="784">
      <c r="C784" s="370"/>
      <c r="D784" s="370"/>
      <c r="E784" s="587"/>
      <c r="G784" s="280"/>
      <c r="H784" s="280"/>
    </row>
    <row r="785">
      <c r="C785" s="370"/>
      <c r="D785" s="370"/>
      <c r="E785" s="587"/>
      <c r="G785" s="280"/>
      <c r="H785" s="280"/>
    </row>
    <row r="786">
      <c r="C786" s="370"/>
      <c r="D786" s="370"/>
      <c r="E786" s="587"/>
      <c r="G786" s="280"/>
      <c r="H786" s="280"/>
    </row>
    <row r="787">
      <c r="C787" s="370"/>
      <c r="D787" s="370"/>
      <c r="E787" s="587"/>
      <c r="G787" s="280"/>
      <c r="H787" s="280"/>
    </row>
    <row r="788">
      <c r="C788" s="370"/>
      <c r="D788" s="370"/>
      <c r="E788" s="587"/>
      <c r="G788" s="280"/>
      <c r="H788" s="280"/>
    </row>
    <row r="789">
      <c r="C789" s="370"/>
      <c r="D789" s="370"/>
      <c r="E789" s="587"/>
      <c r="G789" s="280"/>
      <c r="H789" s="280"/>
    </row>
    <row r="790">
      <c r="C790" s="370"/>
      <c r="D790" s="370"/>
      <c r="E790" s="587"/>
      <c r="G790" s="280"/>
      <c r="H790" s="280"/>
    </row>
    <row r="791">
      <c r="C791" s="370"/>
      <c r="D791" s="370"/>
      <c r="E791" s="587"/>
      <c r="G791" s="280"/>
      <c r="H791" s="280"/>
    </row>
    <row r="792">
      <c r="C792" s="370"/>
      <c r="D792" s="370"/>
      <c r="E792" s="587"/>
      <c r="G792" s="280"/>
      <c r="H792" s="280"/>
    </row>
    <row r="793">
      <c r="C793" s="370"/>
      <c r="D793" s="370"/>
      <c r="E793" s="587"/>
      <c r="G793" s="280"/>
      <c r="H793" s="280"/>
    </row>
    <row r="794">
      <c r="C794" s="370"/>
      <c r="D794" s="370"/>
      <c r="E794" s="587"/>
      <c r="G794" s="280"/>
      <c r="H794" s="280"/>
    </row>
    <row r="795">
      <c r="C795" s="370"/>
      <c r="D795" s="370"/>
      <c r="E795" s="587"/>
      <c r="G795" s="280"/>
      <c r="H795" s="280"/>
    </row>
    <row r="796">
      <c r="C796" s="370"/>
      <c r="D796" s="370"/>
      <c r="E796" s="587"/>
      <c r="G796" s="280"/>
      <c r="H796" s="280"/>
    </row>
    <row r="797">
      <c r="C797" s="370"/>
      <c r="D797" s="370"/>
      <c r="E797" s="587"/>
      <c r="G797" s="280"/>
      <c r="H797" s="280"/>
    </row>
    <row r="798">
      <c r="C798" s="370"/>
      <c r="D798" s="370"/>
      <c r="E798" s="587"/>
      <c r="G798" s="280"/>
      <c r="H798" s="280"/>
    </row>
    <row r="799">
      <c r="C799" s="370"/>
      <c r="D799" s="370"/>
      <c r="E799" s="587"/>
      <c r="G799" s="280"/>
      <c r="H799" s="280"/>
    </row>
    <row r="800">
      <c r="C800" s="370"/>
      <c r="D800" s="370"/>
      <c r="E800" s="587"/>
      <c r="G800" s="280"/>
      <c r="H800" s="280"/>
    </row>
    <row r="801">
      <c r="C801" s="370"/>
      <c r="D801" s="370"/>
      <c r="E801" s="587"/>
      <c r="G801" s="280"/>
      <c r="H801" s="280"/>
    </row>
    <row r="802">
      <c r="C802" s="370"/>
      <c r="D802" s="370"/>
      <c r="E802" s="587"/>
      <c r="G802" s="280"/>
      <c r="H802" s="280"/>
    </row>
    <row r="803">
      <c r="C803" s="370"/>
      <c r="D803" s="370"/>
      <c r="E803" s="587"/>
      <c r="G803" s="280"/>
      <c r="H803" s="280"/>
    </row>
    <row r="804">
      <c r="C804" s="370"/>
      <c r="D804" s="370"/>
      <c r="E804" s="587"/>
      <c r="G804" s="280"/>
      <c r="H804" s="280"/>
    </row>
    <row r="805">
      <c r="C805" s="370"/>
      <c r="D805" s="370"/>
      <c r="E805" s="587"/>
      <c r="G805" s="280"/>
      <c r="H805" s="280"/>
    </row>
    <row r="806">
      <c r="C806" s="370"/>
      <c r="D806" s="370"/>
      <c r="E806" s="587"/>
      <c r="G806" s="280"/>
      <c r="H806" s="280"/>
    </row>
    <row r="807">
      <c r="C807" s="370"/>
      <c r="D807" s="370"/>
      <c r="E807" s="587"/>
      <c r="G807" s="280"/>
      <c r="H807" s="280"/>
    </row>
    <row r="808">
      <c r="C808" s="370"/>
      <c r="D808" s="370"/>
      <c r="E808" s="587"/>
      <c r="G808" s="280"/>
      <c r="H808" s="280"/>
    </row>
    <row r="809">
      <c r="C809" s="370"/>
      <c r="D809" s="370"/>
      <c r="E809" s="587"/>
      <c r="G809" s="280"/>
      <c r="H809" s="280"/>
    </row>
    <row r="810">
      <c r="C810" s="370"/>
      <c r="D810" s="370"/>
      <c r="E810" s="587"/>
      <c r="G810" s="280"/>
      <c r="H810" s="280"/>
    </row>
    <row r="811">
      <c r="C811" s="370"/>
      <c r="D811" s="370"/>
      <c r="E811" s="587"/>
      <c r="G811" s="280"/>
      <c r="H811" s="280"/>
    </row>
    <row r="812">
      <c r="C812" s="370"/>
      <c r="D812" s="370"/>
      <c r="E812" s="587"/>
      <c r="G812" s="280"/>
      <c r="H812" s="280"/>
    </row>
    <row r="813">
      <c r="C813" s="370"/>
      <c r="D813" s="370"/>
      <c r="E813" s="587"/>
      <c r="G813" s="280"/>
      <c r="H813" s="280"/>
    </row>
    <row r="814">
      <c r="C814" s="370"/>
      <c r="D814" s="370"/>
      <c r="E814" s="587"/>
      <c r="G814" s="280"/>
      <c r="H814" s="280"/>
    </row>
    <row r="815">
      <c r="C815" s="370"/>
      <c r="D815" s="370"/>
      <c r="E815" s="587"/>
      <c r="G815" s="280"/>
      <c r="H815" s="280"/>
    </row>
    <row r="816">
      <c r="C816" s="370"/>
      <c r="D816" s="370"/>
      <c r="E816" s="587"/>
      <c r="G816" s="280"/>
      <c r="H816" s="280"/>
    </row>
    <row r="817">
      <c r="C817" s="370"/>
      <c r="D817" s="370"/>
      <c r="E817" s="587"/>
      <c r="G817" s="280"/>
      <c r="H817" s="280"/>
    </row>
    <row r="818">
      <c r="C818" s="370"/>
      <c r="D818" s="370"/>
      <c r="E818" s="587"/>
      <c r="G818" s="280"/>
      <c r="H818" s="280"/>
    </row>
    <row r="819">
      <c r="C819" s="370"/>
      <c r="D819" s="370"/>
      <c r="E819" s="587"/>
      <c r="G819" s="280"/>
      <c r="H819" s="280"/>
    </row>
    <row r="820">
      <c r="C820" s="370"/>
      <c r="D820" s="370"/>
      <c r="E820" s="587"/>
      <c r="G820" s="280"/>
      <c r="H820" s="280"/>
    </row>
    <row r="821">
      <c r="C821" s="370"/>
      <c r="D821" s="370"/>
      <c r="E821" s="587"/>
      <c r="G821" s="280"/>
      <c r="H821" s="280"/>
    </row>
    <row r="822">
      <c r="C822" s="370"/>
      <c r="D822" s="370"/>
      <c r="E822" s="587"/>
      <c r="G822" s="280"/>
      <c r="H822" s="280"/>
    </row>
    <row r="823">
      <c r="C823" s="370"/>
      <c r="D823" s="370"/>
      <c r="E823" s="587"/>
      <c r="G823" s="280"/>
      <c r="H823" s="280"/>
    </row>
    <row r="824">
      <c r="C824" s="370"/>
      <c r="D824" s="370"/>
      <c r="E824" s="587"/>
      <c r="G824" s="280"/>
      <c r="H824" s="280"/>
    </row>
    <row r="825">
      <c r="C825" s="370"/>
      <c r="D825" s="370"/>
      <c r="E825" s="587"/>
      <c r="G825" s="280"/>
      <c r="H825" s="280"/>
    </row>
    <row r="826">
      <c r="C826" s="370"/>
      <c r="D826" s="370"/>
      <c r="E826" s="587"/>
      <c r="G826" s="280"/>
      <c r="H826" s="280"/>
    </row>
    <row r="827">
      <c r="C827" s="370"/>
      <c r="D827" s="370"/>
      <c r="E827" s="587"/>
      <c r="G827" s="280"/>
      <c r="H827" s="280"/>
    </row>
    <row r="828">
      <c r="C828" s="370"/>
      <c r="D828" s="370"/>
      <c r="E828" s="587"/>
      <c r="G828" s="280"/>
      <c r="H828" s="280"/>
    </row>
    <row r="829">
      <c r="C829" s="370"/>
      <c r="D829" s="370"/>
      <c r="E829" s="587"/>
      <c r="G829" s="280"/>
      <c r="H829" s="280"/>
    </row>
    <row r="830">
      <c r="C830" s="370"/>
      <c r="D830" s="370"/>
      <c r="E830" s="587"/>
      <c r="G830" s="280"/>
      <c r="H830" s="280"/>
    </row>
    <row r="831">
      <c r="C831" s="370"/>
      <c r="D831" s="370"/>
      <c r="E831" s="587"/>
      <c r="G831" s="280"/>
      <c r="H831" s="280"/>
    </row>
    <row r="832">
      <c r="C832" s="370"/>
      <c r="D832" s="370"/>
      <c r="E832" s="587"/>
      <c r="G832" s="280"/>
      <c r="H832" s="280"/>
    </row>
    <row r="833">
      <c r="C833" s="370"/>
      <c r="D833" s="370"/>
      <c r="E833" s="587"/>
      <c r="G833" s="280"/>
      <c r="H833" s="280"/>
    </row>
    <row r="834">
      <c r="C834" s="370"/>
      <c r="D834" s="370"/>
      <c r="E834" s="587"/>
      <c r="G834" s="280"/>
      <c r="H834" s="280"/>
    </row>
    <row r="835">
      <c r="C835" s="370"/>
      <c r="D835" s="370"/>
      <c r="E835" s="587"/>
      <c r="G835" s="280"/>
      <c r="H835" s="280"/>
    </row>
    <row r="836">
      <c r="C836" s="370"/>
      <c r="D836" s="370"/>
      <c r="E836" s="587"/>
      <c r="G836" s="280"/>
      <c r="H836" s="280"/>
    </row>
    <row r="837">
      <c r="C837" s="370"/>
      <c r="D837" s="370"/>
      <c r="E837" s="587"/>
      <c r="G837" s="280"/>
      <c r="H837" s="280"/>
    </row>
    <row r="838">
      <c r="C838" s="370"/>
      <c r="D838" s="370"/>
      <c r="E838" s="587"/>
      <c r="G838" s="280"/>
      <c r="H838" s="280"/>
    </row>
    <row r="839">
      <c r="C839" s="370"/>
      <c r="D839" s="370"/>
      <c r="E839" s="587"/>
      <c r="G839" s="280"/>
      <c r="H839" s="280"/>
    </row>
    <row r="840">
      <c r="C840" s="370"/>
      <c r="D840" s="370"/>
      <c r="E840" s="587"/>
      <c r="G840" s="280"/>
      <c r="H840" s="280"/>
    </row>
    <row r="841">
      <c r="C841" s="370"/>
      <c r="D841" s="370"/>
      <c r="E841" s="587"/>
      <c r="G841" s="280"/>
      <c r="H841" s="280"/>
    </row>
    <row r="842">
      <c r="C842" s="370"/>
      <c r="D842" s="370"/>
      <c r="E842" s="587"/>
      <c r="G842" s="280"/>
      <c r="H842" s="280"/>
    </row>
    <row r="843">
      <c r="C843" s="370"/>
      <c r="D843" s="370"/>
      <c r="E843" s="587"/>
      <c r="G843" s="280"/>
      <c r="H843" s="280"/>
    </row>
    <row r="844">
      <c r="C844" s="370"/>
      <c r="D844" s="370"/>
      <c r="E844" s="587"/>
      <c r="G844" s="280"/>
      <c r="H844" s="280"/>
    </row>
    <row r="845">
      <c r="C845" s="370"/>
      <c r="D845" s="370"/>
      <c r="E845" s="587"/>
      <c r="G845" s="280"/>
      <c r="H845" s="280"/>
    </row>
    <row r="846">
      <c r="C846" s="370"/>
      <c r="D846" s="370"/>
      <c r="E846" s="587"/>
      <c r="G846" s="280"/>
      <c r="H846" s="280"/>
    </row>
    <row r="847">
      <c r="C847" s="370"/>
      <c r="D847" s="370"/>
      <c r="E847" s="587"/>
      <c r="G847" s="280"/>
      <c r="H847" s="280"/>
    </row>
    <row r="848">
      <c r="C848" s="370"/>
      <c r="D848" s="370"/>
      <c r="E848" s="587"/>
      <c r="G848" s="280"/>
      <c r="H848" s="280"/>
    </row>
    <row r="849">
      <c r="C849" s="370"/>
      <c r="D849" s="370"/>
      <c r="E849" s="587"/>
      <c r="G849" s="280"/>
      <c r="H849" s="280"/>
    </row>
    <row r="850">
      <c r="C850" s="370"/>
      <c r="D850" s="370"/>
      <c r="E850" s="587"/>
      <c r="G850" s="280"/>
      <c r="H850" s="280"/>
    </row>
    <row r="851">
      <c r="C851" s="370"/>
      <c r="D851" s="370"/>
      <c r="E851" s="587"/>
      <c r="G851" s="280"/>
      <c r="H851" s="280"/>
    </row>
    <row r="852">
      <c r="C852" s="370"/>
      <c r="D852" s="370"/>
      <c r="E852" s="587"/>
      <c r="G852" s="280"/>
      <c r="H852" s="280"/>
    </row>
    <row r="853">
      <c r="C853" s="370"/>
      <c r="D853" s="370"/>
      <c r="E853" s="587"/>
      <c r="G853" s="280"/>
      <c r="H853" s="280"/>
    </row>
    <row r="854">
      <c r="C854" s="370"/>
      <c r="D854" s="370"/>
      <c r="E854" s="587"/>
      <c r="G854" s="280"/>
      <c r="H854" s="280"/>
    </row>
    <row r="855">
      <c r="C855" s="370"/>
      <c r="D855" s="370"/>
      <c r="E855" s="587"/>
      <c r="G855" s="280"/>
      <c r="H855" s="280"/>
    </row>
    <row r="856">
      <c r="C856" s="370"/>
      <c r="D856" s="370"/>
      <c r="E856" s="587"/>
      <c r="G856" s="280"/>
      <c r="H856" s="280"/>
    </row>
    <row r="857">
      <c r="C857" s="370"/>
      <c r="D857" s="370"/>
      <c r="E857" s="587"/>
      <c r="G857" s="280"/>
      <c r="H857" s="280"/>
    </row>
    <row r="858">
      <c r="C858" s="370"/>
      <c r="D858" s="370"/>
      <c r="E858" s="587"/>
      <c r="G858" s="280"/>
      <c r="H858" s="280"/>
    </row>
    <row r="859">
      <c r="C859" s="370"/>
      <c r="D859" s="370"/>
      <c r="E859" s="587"/>
      <c r="G859" s="280"/>
      <c r="H859" s="280"/>
    </row>
    <row r="860">
      <c r="C860" s="370"/>
      <c r="D860" s="370"/>
      <c r="E860" s="587"/>
      <c r="G860" s="280"/>
      <c r="H860" s="280"/>
    </row>
    <row r="861">
      <c r="C861" s="370"/>
      <c r="D861" s="370"/>
      <c r="E861" s="587"/>
      <c r="G861" s="280"/>
      <c r="H861" s="280"/>
    </row>
    <row r="862">
      <c r="C862" s="370"/>
      <c r="D862" s="370"/>
      <c r="E862" s="587"/>
      <c r="G862" s="280"/>
      <c r="H862" s="280"/>
    </row>
    <row r="863">
      <c r="C863" s="370"/>
      <c r="D863" s="370"/>
      <c r="E863" s="587"/>
      <c r="G863" s="280"/>
      <c r="H863" s="280"/>
    </row>
    <row r="864">
      <c r="C864" s="370"/>
      <c r="D864" s="370"/>
      <c r="E864" s="587"/>
      <c r="G864" s="280"/>
      <c r="H864" s="280"/>
    </row>
    <row r="865">
      <c r="C865" s="370"/>
      <c r="D865" s="370"/>
      <c r="E865" s="587"/>
      <c r="G865" s="280"/>
      <c r="H865" s="280"/>
    </row>
    <row r="866">
      <c r="C866" s="370"/>
      <c r="D866" s="370"/>
      <c r="E866" s="587"/>
      <c r="G866" s="280"/>
      <c r="H866" s="280"/>
    </row>
    <row r="867">
      <c r="C867" s="370"/>
      <c r="D867" s="370"/>
      <c r="E867" s="587"/>
      <c r="G867" s="280"/>
      <c r="H867" s="280"/>
    </row>
    <row r="868">
      <c r="C868" s="370"/>
      <c r="D868" s="370"/>
      <c r="E868" s="587"/>
      <c r="G868" s="280"/>
      <c r="H868" s="280"/>
    </row>
    <row r="869">
      <c r="C869" s="370"/>
      <c r="D869" s="370"/>
      <c r="E869" s="587"/>
      <c r="G869" s="280"/>
      <c r="H869" s="280"/>
    </row>
    <row r="870">
      <c r="C870" s="370"/>
      <c r="D870" s="370"/>
      <c r="E870" s="587"/>
      <c r="G870" s="280"/>
      <c r="H870" s="280"/>
    </row>
    <row r="871">
      <c r="C871" s="370"/>
      <c r="D871" s="370"/>
      <c r="E871" s="587"/>
      <c r="G871" s="280"/>
      <c r="H871" s="280"/>
    </row>
    <row r="872">
      <c r="C872" s="370"/>
      <c r="D872" s="370"/>
      <c r="E872" s="587"/>
      <c r="G872" s="280"/>
      <c r="H872" s="280"/>
    </row>
    <row r="873">
      <c r="C873" s="370"/>
      <c r="D873" s="370"/>
      <c r="E873" s="587"/>
      <c r="G873" s="280"/>
      <c r="H873" s="280"/>
    </row>
    <row r="874">
      <c r="C874" s="370"/>
      <c r="D874" s="370"/>
      <c r="E874" s="587"/>
      <c r="G874" s="280"/>
      <c r="H874" s="280"/>
    </row>
    <row r="875">
      <c r="C875" s="370"/>
      <c r="D875" s="370"/>
      <c r="E875" s="587"/>
      <c r="G875" s="280"/>
      <c r="H875" s="280"/>
    </row>
    <row r="876">
      <c r="C876" s="370"/>
      <c r="D876" s="370"/>
      <c r="E876" s="587"/>
      <c r="G876" s="280"/>
      <c r="H876" s="280"/>
    </row>
    <row r="877">
      <c r="C877" s="370"/>
      <c r="D877" s="370"/>
      <c r="E877" s="587"/>
      <c r="G877" s="280"/>
      <c r="H877" s="280"/>
    </row>
    <row r="878">
      <c r="C878" s="370"/>
      <c r="D878" s="370"/>
      <c r="E878" s="587"/>
      <c r="G878" s="280"/>
      <c r="H878" s="280"/>
    </row>
    <row r="879">
      <c r="C879" s="370"/>
      <c r="D879" s="370"/>
      <c r="E879" s="587"/>
      <c r="G879" s="280"/>
      <c r="H879" s="280"/>
    </row>
    <row r="880">
      <c r="C880" s="370"/>
      <c r="D880" s="370"/>
      <c r="E880" s="587"/>
      <c r="G880" s="280"/>
      <c r="H880" s="280"/>
    </row>
    <row r="881">
      <c r="C881" s="370"/>
      <c r="D881" s="370"/>
      <c r="E881" s="587"/>
      <c r="G881" s="280"/>
      <c r="H881" s="280"/>
    </row>
    <row r="882">
      <c r="C882" s="370"/>
      <c r="D882" s="370"/>
      <c r="E882" s="587"/>
      <c r="G882" s="280"/>
      <c r="H882" s="280"/>
    </row>
    <row r="883">
      <c r="C883" s="370"/>
      <c r="D883" s="370"/>
      <c r="E883" s="587"/>
      <c r="G883" s="280"/>
      <c r="H883" s="280"/>
    </row>
    <row r="884">
      <c r="C884" s="370"/>
      <c r="D884" s="370"/>
      <c r="E884" s="587"/>
      <c r="G884" s="280"/>
      <c r="H884" s="280"/>
    </row>
    <row r="885">
      <c r="C885" s="370"/>
      <c r="D885" s="370"/>
      <c r="E885" s="587"/>
      <c r="G885" s="280"/>
      <c r="H885" s="280"/>
    </row>
    <row r="886">
      <c r="C886" s="370"/>
      <c r="D886" s="370"/>
      <c r="E886" s="587"/>
      <c r="G886" s="280"/>
      <c r="H886" s="280"/>
    </row>
    <row r="887">
      <c r="C887" s="370"/>
      <c r="D887" s="370"/>
      <c r="E887" s="587"/>
      <c r="G887" s="280"/>
      <c r="H887" s="280"/>
    </row>
    <row r="888">
      <c r="C888" s="370"/>
      <c r="D888" s="370"/>
      <c r="E888" s="587"/>
      <c r="G888" s="280"/>
      <c r="H888" s="280"/>
    </row>
    <row r="889">
      <c r="C889" s="370"/>
      <c r="D889" s="370"/>
      <c r="E889" s="587"/>
      <c r="G889" s="280"/>
      <c r="H889" s="280"/>
    </row>
    <row r="890">
      <c r="C890" s="370"/>
      <c r="D890" s="370"/>
      <c r="E890" s="587"/>
      <c r="G890" s="280"/>
      <c r="H890" s="280"/>
    </row>
    <row r="891">
      <c r="C891" s="370"/>
      <c r="D891" s="370"/>
      <c r="E891" s="587"/>
      <c r="G891" s="280"/>
      <c r="H891" s="280"/>
    </row>
    <row r="892">
      <c r="C892" s="370"/>
      <c r="D892" s="370"/>
      <c r="E892" s="587"/>
      <c r="G892" s="280"/>
      <c r="H892" s="280"/>
    </row>
    <row r="893">
      <c r="C893" s="370"/>
      <c r="D893" s="370"/>
      <c r="E893" s="587"/>
      <c r="G893" s="280"/>
      <c r="H893" s="280"/>
    </row>
    <row r="894">
      <c r="C894" s="370"/>
      <c r="D894" s="370"/>
      <c r="E894" s="587"/>
      <c r="G894" s="280"/>
      <c r="H894" s="280"/>
    </row>
    <row r="895">
      <c r="C895" s="370"/>
      <c r="D895" s="370"/>
      <c r="E895" s="587"/>
      <c r="G895" s="280"/>
      <c r="H895" s="280"/>
    </row>
    <row r="896">
      <c r="C896" s="370"/>
      <c r="D896" s="370"/>
      <c r="E896" s="587"/>
      <c r="G896" s="280"/>
      <c r="H896" s="280"/>
    </row>
    <row r="897">
      <c r="C897" s="370"/>
      <c r="D897" s="370"/>
      <c r="E897" s="587"/>
      <c r="G897" s="280"/>
      <c r="H897" s="280"/>
    </row>
    <row r="898">
      <c r="C898" s="370"/>
      <c r="D898" s="370"/>
      <c r="E898" s="587"/>
      <c r="G898" s="280"/>
      <c r="H898" s="280"/>
    </row>
    <row r="899">
      <c r="C899" s="370"/>
      <c r="D899" s="370"/>
      <c r="E899" s="587"/>
      <c r="G899" s="280"/>
      <c r="H899" s="280"/>
    </row>
    <row r="900">
      <c r="C900" s="370"/>
      <c r="D900" s="370"/>
      <c r="E900" s="587"/>
      <c r="G900" s="280"/>
      <c r="H900" s="280"/>
    </row>
    <row r="901">
      <c r="C901" s="370"/>
      <c r="D901" s="370"/>
      <c r="E901" s="587"/>
      <c r="G901" s="280"/>
      <c r="H901" s="280"/>
    </row>
    <row r="902">
      <c r="C902" s="370"/>
      <c r="D902" s="370"/>
      <c r="E902" s="587"/>
      <c r="G902" s="280"/>
      <c r="H902" s="280"/>
    </row>
    <row r="903">
      <c r="C903" s="370"/>
      <c r="D903" s="370"/>
      <c r="E903" s="587"/>
      <c r="G903" s="280"/>
      <c r="H903" s="280"/>
    </row>
    <row r="904">
      <c r="C904" s="370"/>
      <c r="D904" s="370"/>
      <c r="E904" s="587"/>
      <c r="G904" s="280"/>
      <c r="H904" s="280"/>
    </row>
    <row r="905">
      <c r="C905" s="370"/>
      <c r="D905" s="370"/>
      <c r="E905" s="587"/>
      <c r="G905" s="280"/>
      <c r="H905" s="280"/>
    </row>
    <row r="906">
      <c r="C906" s="370"/>
      <c r="D906" s="370"/>
      <c r="E906" s="587"/>
      <c r="G906" s="280"/>
      <c r="H906" s="280"/>
    </row>
    <row r="907">
      <c r="C907" s="370"/>
      <c r="D907" s="370"/>
      <c r="E907" s="587"/>
      <c r="G907" s="280"/>
      <c r="H907" s="280"/>
    </row>
    <row r="908">
      <c r="C908" s="370"/>
      <c r="D908" s="370"/>
      <c r="E908" s="587"/>
      <c r="G908" s="280"/>
      <c r="H908" s="280"/>
    </row>
    <row r="909">
      <c r="C909" s="370"/>
      <c r="D909" s="370"/>
      <c r="E909" s="587"/>
      <c r="G909" s="280"/>
      <c r="H909" s="280"/>
    </row>
    <row r="910">
      <c r="C910" s="370"/>
      <c r="D910" s="370"/>
      <c r="E910" s="587"/>
      <c r="G910" s="280"/>
      <c r="H910" s="280"/>
    </row>
    <row r="911">
      <c r="C911" s="370"/>
      <c r="D911" s="370"/>
      <c r="E911" s="587"/>
      <c r="G911" s="280"/>
      <c r="H911" s="280"/>
    </row>
    <row r="912">
      <c r="C912" s="370"/>
      <c r="D912" s="370"/>
      <c r="E912" s="587"/>
      <c r="G912" s="280"/>
      <c r="H912" s="280"/>
    </row>
    <row r="913">
      <c r="C913" s="370"/>
      <c r="D913" s="370"/>
      <c r="E913" s="587"/>
      <c r="G913" s="280"/>
      <c r="H913" s="280"/>
    </row>
    <row r="914">
      <c r="C914" s="370"/>
      <c r="D914" s="370"/>
      <c r="E914" s="587"/>
      <c r="G914" s="280"/>
      <c r="H914" s="280"/>
    </row>
    <row r="915">
      <c r="C915" s="370"/>
      <c r="D915" s="370"/>
      <c r="E915" s="587"/>
      <c r="G915" s="280"/>
      <c r="H915" s="280"/>
    </row>
    <row r="916">
      <c r="C916" s="370"/>
      <c r="D916" s="370"/>
      <c r="E916" s="587"/>
      <c r="G916" s="280"/>
      <c r="H916" s="280"/>
    </row>
    <row r="917">
      <c r="C917" s="370"/>
      <c r="D917" s="370"/>
      <c r="E917" s="587"/>
      <c r="G917" s="280"/>
      <c r="H917" s="280"/>
    </row>
    <row r="918">
      <c r="C918" s="370"/>
      <c r="D918" s="370"/>
      <c r="E918" s="587"/>
      <c r="G918" s="280"/>
      <c r="H918" s="280"/>
    </row>
    <row r="919">
      <c r="C919" s="370"/>
      <c r="D919" s="370"/>
      <c r="E919" s="587"/>
      <c r="G919" s="280"/>
      <c r="H919" s="280"/>
    </row>
    <row r="920">
      <c r="C920" s="370"/>
      <c r="D920" s="370"/>
      <c r="E920" s="587"/>
      <c r="G920" s="280"/>
      <c r="H920" s="280"/>
    </row>
    <row r="921">
      <c r="C921" s="370"/>
      <c r="D921" s="370"/>
      <c r="E921" s="587"/>
      <c r="G921" s="280"/>
      <c r="H921" s="280"/>
    </row>
    <row r="922">
      <c r="C922" s="370"/>
      <c r="D922" s="370"/>
      <c r="E922" s="587"/>
      <c r="G922" s="280"/>
      <c r="H922" s="280"/>
    </row>
    <row r="923">
      <c r="C923" s="370"/>
      <c r="D923" s="370"/>
      <c r="E923" s="587"/>
      <c r="G923" s="280"/>
      <c r="H923" s="280"/>
    </row>
    <row r="924">
      <c r="C924" s="370"/>
      <c r="D924" s="370"/>
      <c r="E924" s="587"/>
      <c r="G924" s="280"/>
      <c r="H924" s="280"/>
    </row>
    <row r="925">
      <c r="C925" s="370"/>
      <c r="D925" s="370"/>
      <c r="E925" s="587"/>
      <c r="G925" s="280"/>
      <c r="H925" s="280"/>
    </row>
    <row r="926">
      <c r="C926" s="370"/>
      <c r="D926" s="370"/>
      <c r="E926" s="587"/>
      <c r="G926" s="280"/>
      <c r="H926" s="280"/>
    </row>
    <row r="927">
      <c r="C927" s="370"/>
      <c r="D927" s="370"/>
      <c r="E927" s="587"/>
      <c r="G927" s="280"/>
      <c r="H927" s="280"/>
    </row>
    <row r="928">
      <c r="C928" s="370"/>
      <c r="D928" s="370"/>
      <c r="E928" s="587"/>
      <c r="G928" s="280"/>
      <c r="H928" s="280"/>
    </row>
    <row r="929">
      <c r="C929" s="370"/>
      <c r="D929" s="370"/>
      <c r="E929" s="587"/>
      <c r="G929" s="280"/>
      <c r="H929" s="280"/>
    </row>
    <row r="930">
      <c r="C930" s="370"/>
      <c r="D930" s="370"/>
      <c r="E930" s="587"/>
      <c r="G930" s="280"/>
      <c r="H930" s="280"/>
    </row>
    <row r="931">
      <c r="C931" s="370"/>
      <c r="D931" s="370"/>
      <c r="E931" s="587"/>
      <c r="G931" s="280"/>
      <c r="H931" s="280"/>
    </row>
    <row r="932">
      <c r="C932" s="370"/>
      <c r="D932" s="370"/>
      <c r="E932" s="587"/>
      <c r="G932" s="280"/>
      <c r="H932" s="280"/>
    </row>
    <row r="933">
      <c r="C933" s="370"/>
      <c r="D933" s="370"/>
      <c r="E933" s="587"/>
      <c r="G933" s="280"/>
      <c r="H933" s="280"/>
    </row>
    <row r="934">
      <c r="C934" s="370"/>
      <c r="D934" s="370"/>
      <c r="E934" s="587"/>
      <c r="G934" s="280"/>
      <c r="H934" s="280"/>
    </row>
    <row r="935">
      <c r="C935" s="370"/>
      <c r="D935" s="370"/>
      <c r="E935" s="587"/>
      <c r="G935" s="280"/>
      <c r="H935" s="280"/>
    </row>
    <row r="936">
      <c r="C936" s="370"/>
      <c r="D936" s="370"/>
      <c r="E936" s="587"/>
      <c r="G936" s="280"/>
      <c r="H936" s="280"/>
    </row>
    <row r="937">
      <c r="C937" s="370"/>
      <c r="D937" s="370"/>
      <c r="E937" s="587"/>
      <c r="G937" s="280"/>
      <c r="H937" s="280"/>
    </row>
    <row r="938">
      <c r="C938" s="370"/>
      <c r="D938" s="370"/>
      <c r="E938" s="587"/>
      <c r="G938" s="280"/>
      <c r="H938" s="280"/>
    </row>
    <row r="939">
      <c r="C939" s="370"/>
      <c r="D939" s="370"/>
      <c r="E939" s="587"/>
      <c r="G939" s="280"/>
      <c r="H939" s="280"/>
    </row>
    <row r="940">
      <c r="C940" s="370"/>
      <c r="D940" s="370"/>
      <c r="E940" s="587"/>
      <c r="G940" s="280"/>
      <c r="H940" s="280"/>
    </row>
    <row r="941">
      <c r="C941" s="370"/>
      <c r="D941" s="370"/>
      <c r="E941" s="587"/>
      <c r="G941" s="280"/>
      <c r="H941" s="280"/>
    </row>
    <row r="942">
      <c r="C942" s="370"/>
      <c r="D942" s="370"/>
      <c r="E942" s="587"/>
      <c r="G942" s="280"/>
      <c r="H942" s="280"/>
    </row>
    <row r="943">
      <c r="C943" s="370"/>
      <c r="D943" s="370"/>
      <c r="E943" s="587"/>
      <c r="G943" s="280"/>
      <c r="H943" s="280"/>
    </row>
    <row r="944">
      <c r="C944" s="370"/>
      <c r="D944" s="370"/>
      <c r="E944" s="587"/>
      <c r="G944" s="280"/>
      <c r="H944" s="280"/>
    </row>
    <row r="945">
      <c r="C945" s="370"/>
      <c r="D945" s="370"/>
      <c r="E945" s="587"/>
      <c r="G945" s="280"/>
      <c r="H945" s="280"/>
    </row>
    <row r="946">
      <c r="C946" s="370"/>
      <c r="D946" s="370"/>
      <c r="E946" s="587"/>
      <c r="G946" s="280"/>
      <c r="H946" s="280"/>
    </row>
    <row r="947">
      <c r="C947" s="370"/>
      <c r="D947" s="370"/>
      <c r="E947" s="587"/>
      <c r="G947" s="280"/>
      <c r="H947" s="280"/>
    </row>
    <row r="948">
      <c r="C948" s="370"/>
      <c r="D948" s="370"/>
      <c r="E948" s="587"/>
      <c r="G948" s="280"/>
      <c r="H948" s="280"/>
    </row>
    <row r="949">
      <c r="C949" s="370"/>
      <c r="D949" s="370"/>
      <c r="E949" s="587"/>
      <c r="G949" s="280"/>
      <c r="H949" s="280"/>
    </row>
    <row r="950">
      <c r="C950" s="370"/>
      <c r="D950" s="370"/>
      <c r="E950" s="587"/>
      <c r="G950" s="280"/>
      <c r="H950" s="280"/>
    </row>
    <row r="951">
      <c r="C951" s="370"/>
      <c r="D951" s="370"/>
      <c r="E951" s="587"/>
      <c r="G951" s="280"/>
      <c r="H951" s="280"/>
    </row>
    <row r="952">
      <c r="C952" s="370"/>
      <c r="D952" s="370"/>
      <c r="E952" s="587"/>
      <c r="G952" s="280"/>
      <c r="H952" s="280"/>
    </row>
    <row r="953">
      <c r="C953" s="370"/>
      <c r="D953" s="370"/>
      <c r="E953" s="587"/>
      <c r="G953" s="280"/>
      <c r="H953" s="280"/>
    </row>
    <row r="954">
      <c r="C954" s="370"/>
      <c r="D954" s="370"/>
      <c r="E954" s="587"/>
      <c r="G954" s="280"/>
      <c r="H954" s="280"/>
    </row>
    <row r="955">
      <c r="C955" s="370"/>
      <c r="D955" s="370"/>
      <c r="E955" s="587"/>
      <c r="G955" s="280"/>
      <c r="H955" s="280"/>
    </row>
    <row r="956">
      <c r="C956" s="370"/>
      <c r="D956" s="370"/>
      <c r="E956" s="587"/>
      <c r="G956" s="280"/>
      <c r="H956" s="280"/>
    </row>
    <row r="957">
      <c r="C957" s="370"/>
      <c r="D957" s="370"/>
      <c r="E957" s="587"/>
      <c r="G957" s="280"/>
      <c r="H957" s="280"/>
    </row>
    <row r="958">
      <c r="C958" s="370"/>
      <c r="D958" s="370"/>
      <c r="E958" s="587"/>
      <c r="G958" s="280"/>
      <c r="H958" s="280"/>
    </row>
    <row r="959">
      <c r="C959" s="370"/>
      <c r="D959" s="370"/>
      <c r="E959" s="587"/>
      <c r="G959" s="280"/>
      <c r="H959" s="280"/>
    </row>
    <row r="960">
      <c r="C960" s="370"/>
      <c r="D960" s="370"/>
      <c r="E960" s="587"/>
      <c r="G960" s="280"/>
      <c r="H960" s="280"/>
    </row>
    <row r="961">
      <c r="C961" s="370"/>
      <c r="D961" s="370"/>
      <c r="E961" s="587"/>
      <c r="G961" s="280"/>
      <c r="H961" s="280"/>
    </row>
    <row r="962">
      <c r="C962" s="370"/>
      <c r="D962" s="370"/>
      <c r="E962" s="587"/>
      <c r="G962" s="280"/>
      <c r="H962" s="280"/>
    </row>
    <row r="963">
      <c r="C963" s="370"/>
      <c r="D963" s="370"/>
      <c r="E963" s="587"/>
      <c r="G963" s="280"/>
      <c r="H963" s="280"/>
    </row>
    <row r="964">
      <c r="C964" s="370"/>
      <c r="D964" s="370"/>
      <c r="E964" s="587"/>
      <c r="G964" s="280"/>
      <c r="H964" s="280"/>
    </row>
    <row r="965">
      <c r="C965" s="370"/>
      <c r="D965" s="370"/>
      <c r="E965" s="587"/>
      <c r="G965" s="280"/>
      <c r="H965" s="280"/>
    </row>
    <row r="966">
      <c r="C966" s="370"/>
      <c r="D966" s="370"/>
      <c r="E966" s="587"/>
      <c r="G966" s="280"/>
      <c r="H966" s="280"/>
    </row>
    <row r="967">
      <c r="C967" s="370"/>
      <c r="D967" s="370"/>
      <c r="E967" s="587"/>
      <c r="G967" s="280"/>
      <c r="H967" s="280"/>
    </row>
    <row r="968">
      <c r="C968" s="370"/>
      <c r="D968" s="370"/>
      <c r="E968" s="587"/>
      <c r="G968" s="280"/>
      <c r="H968" s="280"/>
    </row>
    <row r="969">
      <c r="C969" s="370"/>
      <c r="D969" s="370"/>
      <c r="E969" s="587"/>
      <c r="G969" s="280"/>
      <c r="H969" s="280"/>
    </row>
    <row r="970">
      <c r="C970" s="370"/>
      <c r="D970" s="370"/>
      <c r="E970" s="587"/>
      <c r="G970" s="280"/>
      <c r="H970" s="280"/>
    </row>
    <row r="971">
      <c r="C971" s="370"/>
      <c r="D971" s="370"/>
      <c r="E971" s="587"/>
      <c r="G971" s="280"/>
      <c r="H971" s="280"/>
    </row>
    <row r="972">
      <c r="C972" s="370"/>
      <c r="D972" s="370"/>
      <c r="E972" s="587"/>
      <c r="G972" s="280"/>
      <c r="H972" s="280"/>
    </row>
    <row r="973">
      <c r="C973" s="370"/>
      <c r="D973" s="370"/>
      <c r="E973" s="587"/>
      <c r="G973" s="280"/>
      <c r="H973" s="280"/>
    </row>
    <row r="974">
      <c r="C974" s="370"/>
      <c r="D974" s="370"/>
      <c r="E974" s="587"/>
      <c r="G974" s="280"/>
      <c r="H974" s="280"/>
    </row>
    <row r="975">
      <c r="C975" s="370"/>
      <c r="D975" s="370"/>
      <c r="E975" s="587"/>
      <c r="G975" s="280"/>
      <c r="H975" s="280"/>
    </row>
    <row r="976">
      <c r="C976" s="370"/>
      <c r="D976" s="370"/>
      <c r="E976" s="587"/>
      <c r="G976" s="280"/>
      <c r="H976" s="280"/>
    </row>
    <row r="977">
      <c r="C977" s="370"/>
      <c r="D977" s="370"/>
      <c r="E977" s="587"/>
      <c r="G977" s="280"/>
      <c r="H977" s="280"/>
    </row>
    <row r="978">
      <c r="C978" s="370"/>
      <c r="D978" s="370"/>
      <c r="E978" s="587"/>
      <c r="G978" s="280"/>
      <c r="H978" s="280"/>
    </row>
    <row r="979">
      <c r="C979" s="370"/>
      <c r="D979" s="370"/>
      <c r="E979" s="587"/>
      <c r="G979" s="280"/>
      <c r="H979" s="280"/>
    </row>
    <row r="980">
      <c r="C980" s="370"/>
      <c r="D980" s="370"/>
      <c r="E980" s="587"/>
      <c r="G980" s="280"/>
      <c r="H980" s="280"/>
    </row>
    <row r="981">
      <c r="C981" s="370"/>
      <c r="D981" s="370"/>
      <c r="E981" s="587"/>
      <c r="G981" s="280"/>
      <c r="H981" s="280"/>
    </row>
    <row r="982">
      <c r="C982" s="370"/>
      <c r="D982" s="370"/>
      <c r="E982" s="587"/>
      <c r="G982" s="280"/>
      <c r="H982" s="280"/>
    </row>
    <row r="983">
      <c r="C983" s="370"/>
      <c r="D983" s="370"/>
      <c r="E983" s="587"/>
      <c r="G983" s="280"/>
      <c r="H983" s="280"/>
    </row>
    <row r="984">
      <c r="C984" s="370"/>
      <c r="D984" s="370"/>
      <c r="E984" s="587"/>
      <c r="G984" s="280"/>
      <c r="H984" s="280"/>
    </row>
    <row r="985">
      <c r="C985" s="370"/>
      <c r="D985" s="370"/>
      <c r="E985" s="587"/>
      <c r="G985" s="280"/>
      <c r="H985" s="280"/>
    </row>
    <row r="986">
      <c r="C986" s="370"/>
      <c r="D986" s="370"/>
      <c r="E986" s="587"/>
      <c r="G986" s="280"/>
      <c r="H986" s="280"/>
    </row>
    <row r="987">
      <c r="C987" s="370"/>
      <c r="D987" s="370"/>
      <c r="E987" s="587"/>
      <c r="G987" s="280"/>
      <c r="H987" s="280"/>
    </row>
    <row r="988">
      <c r="C988" s="370"/>
      <c r="D988" s="370"/>
      <c r="E988" s="587"/>
      <c r="G988" s="280"/>
      <c r="H988" s="280"/>
    </row>
    <row r="989">
      <c r="C989" s="370"/>
      <c r="D989" s="370"/>
      <c r="E989" s="587"/>
      <c r="G989" s="280"/>
      <c r="H989" s="280"/>
    </row>
    <row r="990">
      <c r="C990" s="370"/>
      <c r="D990" s="370"/>
      <c r="E990" s="587"/>
      <c r="G990" s="280"/>
      <c r="H990" s="280"/>
    </row>
    <row r="991">
      <c r="C991" s="370"/>
      <c r="D991" s="370"/>
      <c r="E991" s="587"/>
      <c r="G991" s="280"/>
      <c r="H991" s="280"/>
    </row>
    <row r="992">
      <c r="C992" s="370"/>
      <c r="D992" s="370"/>
      <c r="E992" s="587"/>
      <c r="G992" s="280"/>
      <c r="H992" s="280"/>
    </row>
    <row r="993">
      <c r="C993" s="370"/>
      <c r="D993" s="370"/>
      <c r="E993" s="587"/>
      <c r="G993" s="280"/>
      <c r="H993" s="280"/>
    </row>
    <row r="994">
      <c r="C994" s="370"/>
      <c r="D994" s="370"/>
      <c r="E994" s="587"/>
      <c r="G994" s="280"/>
      <c r="H994" s="280"/>
    </row>
    <row r="995">
      <c r="C995" s="370"/>
      <c r="D995" s="370"/>
      <c r="E995" s="587"/>
      <c r="G995" s="280"/>
      <c r="H995" s="280"/>
    </row>
    <row r="996">
      <c r="C996" s="370"/>
      <c r="D996" s="370"/>
      <c r="E996" s="587"/>
      <c r="G996" s="280"/>
      <c r="H996" s="280"/>
    </row>
    <row r="997">
      <c r="C997" s="370"/>
      <c r="D997" s="370"/>
      <c r="E997" s="587"/>
      <c r="G997" s="280"/>
      <c r="H997" s="280"/>
    </row>
    <row r="998">
      <c r="C998" s="370"/>
      <c r="D998" s="370"/>
      <c r="E998" s="587"/>
      <c r="G998" s="280"/>
      <c r="H998" s="280"/>
    </row>
    <row r="999">
      <c r="C999" s="370"/>
      <c r="D999" s="370"/>
      <c r="E999" s="587"/>
      <c r="G999" s="280"/>
      <c r="H999" s="280"/>
    </row>
    <row r="1000">
      <c r="C1000" s="370"/>
      <c r="D1000" s="370"/>
      <c r="E1000" s="587"/>
      <c r="G1000" s="280"/>
      <c r="H1000" s="280"/>
    </row>
    <row r="1001">
      <c r="C1001" s="370"/>
      <c r="D1001" s="370"/>
      <c r="E1001" s="587"/>
      <c r="G1001" s="280"/>
      <c r="H1001" s="280"/>
    </row>
  </sheetData>
  <autoFilter ref="$A$1:$J$1001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2.75"/>
  <cols>
    <col customWidth="1" min="1" max="1" width="35.38"/>
    <col customWidth="1" min="2" max="2" width="11.25"/>
    <col customWidth="1" min="3" max="3" width="7.88"/>
    <col customWidth="1" min="4" max="4" width="8.38"/>
  </cols>
  <sheetData>
    <row r="1">
      <c r="A1" s="317" t="s">
        <v>704</v>
      </c>
      <c r="B1" s="318"/>
      <c r="C1" s="320" t="s">
        <v>2834</v>
      </c>
      <c r="D1" s="320" t="s">
        <v>2916</v>
      </c>
    </row>
    <row r="2">
      <c r="A2" s="328" t="s">
        <v>3934</v>
      </c>
      <c r="B2" s="329"/>
      <c r="C2" s="344">
        <f>5000*0.85*1.19</f>
        <v>5057.5</v>
      </c>
      <c r="D2" s="332">
        <v>8000.0</v>
      </c>
    </row>
    <row r="3">
      <c r="A3" s="328" t="s">
        <v>2917</v>
      </c>
      <c r="B3" s="329"/>
      <c r="C3" s="330">
        <f t="shared" ref="C3:C4" si="1">24000*0.88*1.19</f>
        <v>25132.8</v>
      </c>
      <c r="D3" s="332">
        <v>45000.0</v>
      </c>
    </row>
    <row r="4">
      <c r="A4" s="328" t="s">
        <v>2919</v>
      </c>
      <c r="B4" s="329"/>
      <c r="C4" s="330">
        <f t="shared" si="1"/>
        <v>25132.8</v>
      </c>
      <c r="D4" s="332">
        <v>45000.0</v>
      </c>
    </row>
    <row r="5">
      <c r="A5" s="339" t="s">
        <v>2920</v>
      </c>
      <c r="B5" s="340"/>
      <c r="C5" s="344">
        <f t="shared" ref="C5:C6" si="2">18000*0.85*1.19</f>
        <v>18207</v>
      </c>
      <c r="D5" s="332">
        <v>34000.0</v>
      </c>
    </row>
    <row r="6">
      <c r="A6" s="339" t="s">
        <v>2921</v>
      </c>
      <c r="B6" s="340"/>
      <c r="C6" s="344">
        <f t="shared" si="2"/>
        <v>18207</v>
      </c>
      <c r="D6" s="332">
        <v>34000.0</v>
      </c>
    </row>
    <row r="7" ht="36.0" customHeight="1">
      <c r="A7" s="317" t="s">
        <v>2922</v>
      </c>
      <c r="B7" s="345"/>
      <c r="C7" s="341">
        <f>19000*0.88*1.19</f>
        <v>19896.8</v>
      </c>
      <c r="D7" s="332">
        <v>34000.0</v>
      </c>
    </row>
    <row r="8">
      <c r="A8" s="328" t="s">
        <v>2925</v>
      </c>
      <c r="B8" s="329"/>
      <c r="C8" s="344">
        <f>3800*0.85*1.19</f>
        <v>3843.7</v>
      </c>
      <c r="D8" s="332">
        <v>7000.0</v>
      </c>
    </row>
    <row r="9">
      <c r="A9" s="346" t="s">
        <v>2926</v>
      </c>
      <c r="B9" s="329"/>
      <c r="C9" s="344">
        <f t="shared" ref="C9:C10" si="3">5000*0.85*1.19</f>
        <v>5057.5</v>
      </c>
      <c r="D9" s="332">
        <v>14000.0</v>
      </c>
    </row>
    <row r="10">
      <c r="A10" s="346" t="s">
        <v>2928</v>
      </c>
      <c r="B10" s="340"/>
      <c r="C10" s="344">
        <f t="shared" si="3"/>
        <v>5057.5</v>
      </c>
      <c r="D10" s="332">
        <v>14000.0</v>
      </c>
    </row>
    <row r="11">
      <c r="A11" s="346" t="s">
        <v>2929</v>
      </c>
      <c r="B11" s="197"/>
      <c r="C11" s="351">
        <v>5000.0</v>
      </c>
      <c r="D11" s="332">
        <v>30000.0</v>
      </c>
    </row>
    <row r="12">
      <c r="A12" s="328" t="s">
        <v>2930</v>
      </c>
      <c r="B12" s="197"/>
      <c r="C12" s="344">
        <f>5500*0.88*1.19</f>
        <v>5759.6</v>
      </c>
      <c r="D12" s="332">
        <v>24000.0</v>
      </c>
    </row>
    <row r="13">
      <c r="A13" s="328" t="s">
        <v>2931</v>
      </c>
      <c r="B13" s="340"/>
      <c r="C13" s="332"/>
      <c r="D13" s="332">
        <v>32000.0</v>
      </c>
    </row>
    <row r="14">
      <c r="A14" s="346" t="s">
        <v>2932</v>
      </c>
      <c r="B14" s="329"/>
      <c r="C14" s="344">
        <f>5000*0.88*1.19</f>
        <v>5236</v>
      </c>
      <c r="D14" s="332">
        <v>10000.0</v>
      </c>
    </row>
    <row r="15">
      <c r="A15" s="346" t="s">
        <v>2933</v>
      </c>
      <c r="B15" s="340"/>
      <c r="C15" s="344">
        <f>4800*0.88*1.19</f>
        <v>5026.56</v>
      </c>
      <c r="D15" s="332">
        <v>10000.0</v>
      </c>
    </row>
    <row r="16">
      <c r="A16" s="339" t="s">
        <v>2936</v>
      </c>
      <c r="B16" s="331"/>
      <c r="C16" s="344">
        <v>2500.0</v>
      </c>
      <c r="D16" s="332">
        <v>3000.0</v>
      </c>
    </row>
    <row r="17">
      <c r="A17" s="346" t="s">
        <v>2937</v>
      </c>
      <c r="B17" s="340"/>
      <c r="C17" s="351">
        <v>8000.0</v>
      </c>
      <c r="D17" s="332">
        <v>24000.0</v>
      </c>
    </row>
    <row r="18">
      <c r="A18" s="346" t="s">
        <v>2939</v>
      </c>
      <c r="B18" s="340"/>
      <c r="C18" s="351">
        <v>8000.0</v>
      </c>
      <c r="D18" s="332">
        <v>24000.0</v>
      </c>
    </row>
    <row r="19">
      <c r="A19" s="346" t="s">
        <v>2941</v>
      </c>
      <c r="B19" s="329"/>
      <c r="C19" s="347">
        <v>26071.0</v>
      </c>
      <c r="D19" s="332">
        <v>48000.0</v>
      </c>
    </row>
    <row r="20">
      <c r="A20" s="346" t="s">
        <v>2942</v>
      </c>
      <c r="B20" s="340"/>
      <c r="C20" s="351">
        <v>19000.0</v>
      </c>
      <c r="D20" s="332">
        <v>42000.0</v>
      </c>
    </row>
    <row r="21">
      <c r="A21" s="339" t="s">
        <v>2943</v>
      </c>
      <c r="B21" s="329"/>
      <c r="C21" s="344">
        <f>5000*0.85*1.19</f>
        <v>5057.5</v>
      </c>
      <c r="D21" s="332">
        <v>10000.0</v>
      </c>
    </row>
    <row r="22">
      <c r="A22" s="339" t="s">
        <v>2944</v>
      </c>
      <c r="B22" s="329"/>
      <c r="C22" s="344">
        <v>3000.0</v>
      </c>
      <c r="D22" s="332">
        <v>10000.0</v>
      </c>
    </row>
    <row r="23">
      <c r="A23" s="339" t="s">
        <v>3935</v>
      </c>
      <c r="B23" s="329"/>
      <c r="C23" s="344">
        <v>3300.0</v>
      </c>
      <c r="D23" s="332">
        <v>10000.0</v>
      </c>
    </row>
    <row r="24">
      <c r="A24" s="328" t="s">
        <v>2945</v>
      </c>
      <c r="B24" s="329"/>
      <c r="C24" s="319">
        <f>5000*0.88*1.19</f>
        <v>5236</v>
      </c>
      <c r="D24" s="332">
        <v>10000.0</v>
      </c>
    </row>
    <row r="25">
      <c r="A25" s="339" t="s">
        <v>2946</v>
      </c>
      <c r="B25" s="329"/>
      <c r="C25" s="344">
        <f>22000*0.88*1.19</f>
        <v>23038.4</v>
      </c>
      <c r="D25" s="332">
        <v>40000.0</v>
      </c>
    </row>
    <row r="26">
      <c r="A26" s="339" t="s">
        <v>2947</v>
      </c>
      <c r="B26" s="340"/>
      <c r="C26" s="332"/>
      <c r="D26" s="332">
        <v>80000.0</v>
      </c>
    </row>
    <row r="27">
      <c r="A27" s="358" t="s">
        <v>2948</v>
      </c>
      <c r="B27" s="329"/>
      <c r="C27" s="344">
        <f>29700*0.88*1.19</f>
        <v>31101.84</v>
      </c>
      <c r="D27" s="332">
        <v>48000.0</v>
      </c>
    </row>
    <row r="28">
      <c r="A28" s="339" t="s">
        <v>2949</v>
      </c>
      <c r="B28" s="340"/>
      <c r="C28" s="344">
        <f t="shared" ref="C28:C29" si="4">58000*0.85*1.19</f>
        <v>58667</v>
      </c>
      <c r="D28" s="332">
        <v>95000.0</v>
      </c>
    </row>
    <row r="29">
      <c r="A29" s="339" t="s">
        <v>2950</v>
      </c>
      <c r="B29" s="340"/>
      <c r="C29" s="344">
        <f t="shared" si="4"/>
        <v>58667</v>
      </c>
      <c r="D29" s="332">
        <v>95000.0</v>
      </c>
    </row>
    <row r="30">
      <c r="A30" s="359" t="s">
        <v>2951</v>
      </c>
      <c r="B30" s="340"/>
      <c r="C30" s="341">
        <f>4800*0.88*1.19</f>
        <v>5026.56</v>
      </c>
      <c r="D30" s="332">
        <v>9000.0</v>
      </c>
    </row>
    <row r="31">
      <c r="A31" s="359" t="s">
        <v>2952</v>
      </c>
      <c r="B31" s="326"/>
      <c r="C31" s="344">
        <f>5000*0.85*1.19</f>
        <v>5057.5</v>
      </c>
      <c r="D31" s="332">
        <v>9000.0</v>
      </c>
    </row>
    <row r="32">
      <c r="A32" s="339" t="s">
        <v>2954</v>
      </c>
      <c r="B32" s="329"/>
      <c r="C32" s="344">
        <v>4000.0</v>
      </c>
      <c r="D32" s="332">
        <v>13000.0</v>
      </c>
    </row>
    <row r="33">
      <c r="A33" s="361" t="s">
        <v>2955</v>
      </c>
      <c r="B33" s="340"/>
      <c r="C33" s="330">
        <f>5000*1.19*0.88</f>
        <v>5236</v>
      </c>
      <c r="D33" s="332">
        <v>9000.0</v>
      </c>
    </row>
    <row r="34">
      <c r="A34" s="361" t="s">
        <v>2957</v>
      </c>
      <c r="B34" s="340"/>
      <c r="C34" s="344">
        <f>5000*0.85*1.19</f>
        <v>5057.5</v>
      </c>
      <c r="D34" s="332">
        <v>9000.0</v>
      </c>
    </row>
    <row r="35">
      <c r="A35" s="361" t="s">
        <v>2958</v>
      </c>
      <c r="B35" s="340"/>
      <c r="C35" s="330">
        <f>5000*1.19*0.88</f>
        <v>5236</v>
      </c>
      <c r="D35" s="332">
        <v>9000.0</v>
      </c>
    </row>
    <row r="36">
      <c r="A36" s="361" t="s">
        <v>2959</v>
      </c>
      <c r="B36" s="340"/>
      <c r="C36" s="344">
        <f>5000*0.85*1.19</f>
        <v>5057.5</v>
      </c>
      <c r="D36" s="332">
        <v>9000.0</v>
      </c>
    </row>
    <row r="37">
      <c r="A37" s="359" t="s">
        <v>2960</v>
      </c>
      <c r="B37" s="347"/>
      <c r="C37" s="344">
        <v>3300.0</v>
      </c>
      <c r="D37" s="332">
        <v>9000.0</v>
      </c>
    </row>
    <row r="38">
      <c r="A38" s="361" t="s">
        <v>2962</v>
      </c>
      <c r="B38" s="340"/>
      <c r="C38" s="344">
        <v>3700.0</v>
      </c>
      <c r="D38" s="332">
        <v>9000.0</v>
      </c>
    </row>
    <row r="39">
      <c r="A39" s="361" t="s">
        <v>2963</v>
      </c>
      <c r="B39" s="340"/>
      <c r="C39" s="344">
        <v>3700.0</v>
      </c>
      <c r="D39" s="332">
        <v>9000.0</v>
      </c>
    </row>
    <row r="40">
      <c r="A40" s="361" t="s">
        <v>2964</v>
      </c>
      <c r="B40" s="340"/>
      <c r="C40" s="344">
        <v>3700.0</v>
      </c>
      <c r="D40" s="332">
        <v>9000.0</v>
      </c>
    </row>
    <row r="41">
      <c r="A41" s="361" t="s">
        <v>2965</v>
      </c>
      <c r="B41" s="340"/>
      <c r="C41" s="341">
        <f>5000*1.19*0.88</f>
        <v>5236</v>
      </c>
      <c r="D41" s="332">
        <v>9000.0</v>
      </c>
    </row>
    <row r="42">
      <c r="A42" s="361" t="s">
        <v>2966</v>
      </c>
      <c r="B42" s="340"/>
      <c r="C42" s="344">
        <v>3700.0</v>
      </c>
      <c r="D42" s="332">
        <v>9000.0</v>
      </c>
    </row>
    <row r="43">
      <c r="A43" s="361" t="s">
        <v>2967</v>
      </c>
      <c r="B43" s="340"/>
      <c r="C43" s="344">
        <v>3700.0</v>
      </c>
      <c r="D43" s="332">
        <v>9000.0</v>
      </c>
    </row>
    <row r="44">
      <c r="A44" s="361" t="s">
        <v>2968</v>
      </c>
      <c r="B44" s="340"/>
      <c r="C44" s="344">
        <v>3700.0</v>
      </c>
      <c r="D44" s="332">
        <v>9000.0</v>
      </c>
    </row>
    <row r="45">
      <c r="A45" s="361" t="s">
        <v>2969</v>
      </c>
      <c r="B45" s="340"/>
      <c r="C45" s="344">
        <v>3700.0</v>
      </c>
      <c r="D45" s="332">
        <v>9000.0</v>
      </c>
    </row>
    <row r="46">
      <c r="A46" s="361" t="s">
        <v>2970</v>
      </c>
      <c r="B46" s="340"/>
      <c r="C46" s="344">
        <v>3700.0</v>
      </c>
      <c r="D46" s="332">
        <v>9000.0</v>
      </c>
    </row>
    <row r="47">
      <c r="A47" s="361" t="s">
        <v>2971</v>
      </c>
      <c r="B47" s="340"/>
      <c r="C47" s="344">
        <f t="shared" ref="C47:C52" si="5">13000*0.85*1.19</f>
        <v>13149.5</v>
      </c>
      <c r="D47" s="332">
        <v>24000.0</v>
      </c>
    </row>
    <row r="48">
      <c r="A48" s="361" t="s">
        <v>2972</v>
      </c>
      <c r="B48" s="340"/>
      <c r="C48" s="344">
        <f t="shared" si="5"/>
        <v>13149.5</v>
      </c>
      <c r="D48" s="332">
        <v>24000.0</v>
      </c>
    </row>
    <row r="49">
      <c r="A49" s="361" t="s">
        <v>2973</v>
      </c>
      <c r="B49" s="347"/>
      <c r="C49" s="344">
        <f t="shared" si="5"/>
        <v>13149.5</v>
      </c>
      <c r="D49" s="332">
        <v>24000.0</v>
      </c>
    </row>
    <row r="50">
      <c r="A50" s="361" t="s">
        <v>2974</v>
      </c>
      <c r="B50" s="347"/>
      <c r="C50" s="344">
        <f t="shared" si="5"/>
        <v>13149.5</v>
      </c>
      <c r="D50" s="332">
        <v>24000.0</v>
      </c>
    </row>
    <row r="51">
      <c r="A51" s="361" t="s">
        <v>2975</v>
      </c>
      <c r="B51" s="347"/>
      <c r="C51" s="344">
        <f t="shared" si="5"/>
        <v>13149.5</v>
      </c>
      <c r="D51" s="332">
        <v>24000.0</v>
      </c>
    </row>
    <row r="52">
      <c r="A52" s="361" t="s">
        <v>2976</v>
      </c>
      <c r="B52" s="347"/>
      <c r="C52" s="344">
        <f t="shared" si="5"/>
        <v>13149.5</v>
      </c>
      <c r="D52" s="332">
        <v>24000.0</v>
      </c>
    </row>
    <row r="53">
      <c r="A53" s="361" t="s">
        <v>2977</v>
      </c>
      <c r="B53" s="340"/>
      <c r="C53" s="341">
        <f>12500*1.19*0.88</f>
        <v>13090</v>
      </c>
      <c r="D53" s="332">
        <v>24000.0</v>
      </c>
    </row>
    <row r="54">
      <c r="A54" s="176" t="s">
        <v>2978</v>
      </c>
      <c r="B54" s="340"/>
      <c r="C54" s="344">
        <v>5000.0</v>
      </c>
      <c r="D54" s="332">
        <v>24000.0</v>
      </c>
    </row>
    <row r="55">
      <c r="A55" s="359" t="s">
        <v>2979</v>
      </c>
      <c r="B55" s="340"/>
      <c r="C55" s="344">
        <f>5000*0.85*1.19</f>
        <v>5057.5</v>
      </c>
      <c r="D55" s="332">
        <v>28000.0</v>
      </c>
    </row>
    <row r="56">
      <c r="A56" s="328" t="s">
        <v>2980</v>
      </c>
      <c r="B56" s="331"/>
      <c r="C56" s="344">
        <v>3000.0</v>
      </c>
      <c r="D56" s="332">
        <v>9000.0</v>
      </c>
    </row>
    <row r="57">
      <c r="A57" s="346" t="s">
        <v>2983</v>
      </c>
      <c r="B57" s="329"/>
      <c r="C57" s="332">
        <v>5058.0</v>
      </c>
      <c r="D57" s="332">
        <v>9000.0</v>
      </c>
    </row>
    <row r="58">
      <c r="A58" s="328" t="s">
        <v>2986</v>
      </c>
      <c r="B58" s="329"/>
      <c r="C58" s="344">
        <f>6000*0.85*1.19</f>
        <v>6069</v>
      </c>
      <c r="D58" s="332">
        <v>9000.0</v>
      </c>
    </row>
    <row r="59">
      <c r="A59" s="346" t="s">
        <v>2987</v>
      </c>
      <c r="B59" s="340"/>
      <c r="C59" s="344">
        <f>5900*0.85*1.19</f>
        <v>5967.85</v>
      </c>
      <c r="D59" s="332">
        <v>10000.0</v>
      </c>
    </row>
    <row r="60">
      <c r="A60" s="339" t="s">
        <v>2988</v>
      </c>
      <c r="B60" s="331"/>
      <c r="C60" s="332"/>
      <c r="D60" s="332">
        <v>12000.0</v>
      </c>
    </row>
    <row r="61">
      <c r="A61" s="52" t="s">
        <v>1080</v>
      </c>
      <c r="B61" s="331"/>
      <c r="C61" s="344">
        <v>30000.0</v>
      </c>
      <c r="D61" s="332">
        <v>50000.0</v>
      </c>
    </row>
    <row r="62">
      <c r="A62" s="339" t="s">
        <v>2989</v>
      </c>
      <c r="B62" s="331"/>
      <c r="C62" s="344">
        <f>5000*0.85*1.19</f>
        <v>5057.5</v>
      </c>
      <c r="D62" s="332">
        <v>9000.0</v>
      </c>
    </row>
    <row r="63">
      <c r="A63" s="328" t="s">
        <v>2990</v>
      </c>
      <c r="B63" s="326"/>
      <c r="C63" s="344">
        <f>4700*0.85*1.19</f>
        <v>4754.05</v>
      </c>
      <c r="D63" s="332">
        <v>9000.0</v>
      </c>
    </row>
    <row r="64">
      <c r="A64" s="361" t="s">
        <v>2991</v>
      </c>
      <c r="B64" s="326"/>
      <c r="C64" s="344">
        <f t="shared" ref="C64:C70" si="6">29000*0.85*1.19</f>
        <v>29333.5</v>
      </c>
      <c r="D64" s="332">
        <v>42000.0</v>
      </c>
    </row>
    <row r="65">
      <c r="A65" s="361" t="s">
        <v>2992</v>
      </c>
      <c r="B65" s="332"/>
      <c r="C65" s="344">
        <f t="shared" si="6"/>
        <v>29333.5</v>
      </c>
      <c r="D65" s="332">
        <v>42000.0</v>
      </c>
    </row>
    <row r="66">
      <c r="A66" s="361" t="s">
        <v>2993</v>
      </c>
      <c r="B66" s="332"/>
      <c r="C66" s="344">
        <f t="shared" si="6"/>
        <v>29333.5</v>
      </c>
      <c r="D66" s="332">
        <v>42000.0</v>
      </c>
    </row>
    <row r="67">
      <c r="A67" s="361" t="s">
        <v>2996</v>
      </c>
      <c r="B67" s="331"/>
      <c r="C67" s="344">
        <f t="shared" si="6"/>
        <v>29333.5</v>
      </c>
      <c r="D67" s="332">
        <v>42000.0</v>
      </c>
    </row>
    <row r="68">
      <c r="A68" s="361" t="s">
        <v>2997</v>
      </c>
      <c r="B68" s="331"/>
      <c r="C68" s="344">
        <f t="shared" si="6"/>
        <v>29333.5</v>
      </c>
      <c r="D68" s="332">
        <v>42000.0</v>
      </c>
    </row>
    <row r="69">
      <c r="A69" s="361" t="s">
        <v>2998</v>
      </c>
      <c r="B69" s="331"/>
      <c r="C69" s="344">
        <f t="shared" si="6"/>
        <v>29333.5</v>
      </c>
      <c r="D69" s="332">
        <v>42000.0</v>
      </c>
    </row>
    <row r="70">
      <c r="A70" s="361" t="s">
        <v>2999</v>
      </c>
      <c r="B70" s="331"/>
      <c r="C70" s="344">
        <f t="shared" si="6"/>
        <v>29333.5</v>
      </c>
      <c r="D70" s="332">
        <v>42000.0</v>
      </c>
    </row>
    <row r="71">
      <c r="A71" s="339" t="s">
        <v>3000</v>
      </c>
      <c r="B71" s="329"/>
      <c r="C71" s="344">
        <f>4600*0.85*1.19</f>
        <v>4652.9</v>
      </c>
      <c r="D71" s="332">
        <v>10000.0</v>
      </c>
    </row>
    <row r="72">
      <c r="A72" s="339" t="s">
        <v>3002</v>
      </c>
      <c r="B72" s="331"/>
      <c r="C72" s="344">
        <f>4800*1.19*0.88</f>
        <v>5026.56</v>
      </c>
      <c r="D72" s="332">
        <v>9000.0</v>
      </c>
    </row>
    <row r="73">
      <c r="A73" s="359" t="s">
        <v>3003</v>
      </c>
      <c r="B73" s="331"/>
      <c r="C73" s="344">
        <f>4600*0.85*1.19</f>
        <v>4652.9</v>
      </c>
      <c r="D73" s="332">
        <v>9000.0</v>
      </c>
    </row>
    <row r="74">
      <c r="A74" s="346" t="s">
        <v>3004</v>
      </c>
      <c r="B74" s="331"/>
      <c r="C74" s="351">
        <v>3740.0</v>
      </c>
      <c r="D74" s="332">
        <v>9000.0</v>
      </c>
    </row>
    <row r="75">
      <c r="A75" s="346" t="s">
        <v>3006</v>
      </c>
      <c r="B75" s="331"/>
      <c r="C75" s="351">
        <v>3740.0</v>
      </c>
      <c r="D75" s="332">
        <v>9000.0</v>
      </c>
    </row>
    <row r="76">
      <c r="A76" s="346" t="s">
        <v>3007</v>
      </c>
      <c r="B76" s="331"/>
      <c r="C76" s="351">
        <v>3740.0</v>
      </c>
      <c r="D76" s="332">
        <v>9000.0</v>
      </c>
    </row>
    <row r="77">
      <c r="A77" s="346" t="s">
        <v>3008</v>
      </c>
      <c r="B77" s="331"/>
      <c r="C77" s="332"/>
      <c r="D77" s="332">
        <v>9000.0</v>
      </c>
    </row>
    <row r="78">
      <c r="A78" s="346" t="s">
        <v>3009</v>
      </c>
      <c r="B78" s="331"/>
      <c r="C78" s="332"/>
      <c r="D78" s="332">
        <v>9000.0</v>
      </c>
    </row>
    <row r="79">
      <c r="A79" s="346" t="s">
        <v>3010</v>
      </c>
      <c r="B79" s="329"/>
      <c r="C79" s="344">
        <f>22000*0.85*1.19</f>
        <v>22253</v>
      </c>
      <c r="D79" s="332">
        <v>40000.0</v>
      </c>
    </row>
    <row r="80">
      <c r="A80" s="346" t="s">
        <v>3011</v>
      </c>
      <c r="B80" s="348"/>
      <c r="C80" s="351">
        <v>17000.0</v>
      </c>
      <c r="D80" s="332">
        <v>30000.0</v>
      </c>
    </row>
    <row r="81">
      <c r="A81" s="346" t="s">
        <v>3012</v>
      </c>
      <c r="B81" s="326"/>
      <c r="C81" s="344">
        <f>20000*0.85*1.19</f>
        <v>20230</v>
      </c>
      <c r="D81" s="332">
        <v>32000.0</v>
      </c>
    </row>
    <row r="82">
      <c r="A82" s="346" t="s">
        <v>3013</v>
      </c>
      <c r="B82" s="326"/>
      <c r="C82" s="344">
        <f>22048*1.19*0.85</f>
        <v>22301.552</v>
      </c>
      <c r="D82" s="332">
        <v>32000.0</v>
      </c>
    </row>
    <row r="83">
      <c r="A83" s="346" t="s">
        <v>3016</v>
      </c>
      <c r="B83" s="326"/>
      <c r="C83" s="351">
        <v>4000.0</v>
      </c>
      <c r="D83" s="332">
        <v>13000.0</v>
      </c>
    </row>
    <row r="84">
      <c r="A84" s="346" t="s">
        <v>3017</v>
      </c>
      <c r="B84" s="326"/>
      <c r="C84" s="344">
        <f>21600*0.85*1.19/12</f>
        <v>1820.7</v>
      </c>
      <c r="D84" s="332">
        <v>5000.0</v>
      </c>
    </row>
    <row r="85">
      <c r="A85" s="346" t="s">
        <v>3018</v>
      </c>
      <c r="B85" s="331"/>
      <c r="C85" s="332"/>
      <c r="D85" s="332">
        <v>5000.0</v>
      </c>
    </row>
    <row r="86">
      <c r="A86" s="346" t="s">
        <v>3019</v>
      </c>
      <c r="B86" s="332"/>
      <c r="C86" s="344">
        <f>3500*0.85*1.19</f>
        <v>3540.25</v>
      </c>
      <c r="D86" s="332">
        <v>7000.0</v>
      </c>
    </row>
    <row r="87">
      <c r="A87" s="346" t="s">
        <v>3020</v>
      </c>
      <c r="B87" s="326"/>
      <c r="C87" s="351">
        <v>2500.0</v>
      </c>
      <c r="D87" s="332">
        <v>7000.0</v>
      </c>
    </row>
    <row r="88">
      <c r="A88" s="339" t="s">
        <v>3021</v>
      </c>
      <c r="B88" s="329"/>
      <c r="C88" s="344">
        <f>32000*0.85*1.19</f>
        <v>32368</v>
      </c>
      <c r="D88" s="332">
        <v>48000.0</v>
      </c>
    </row>
    <row r="89">
      <c r="A89" s="339" t="s">
        <v>3022</v>
      </c>
      <c r="B89" s="331"/>
      <c r="C89" s="344">
        <v>4300.0</v>
      </c>
      <c r="D89" s="332">
        <v>8000.0</v>
      </c>
    </row>
    <row r="90">
      <c r="A90" s="359" t="s">
        <v>3023</v>
      </c>
      <c r="B90" s="329"/>
      <c r="C90" s="344">
        <f>34000*0.85*1.19</f>
        <v>34391</v>
      </c>
      <c r="D90" s="332">
        <v>54000.0</v>
      </c>
    </row>
    <row r="91">
      <c r="A91" s="339" t="s">
        <v>3936</v>
      </c>
      <c r="B91" s="331"/>
      <c r="C91" s="332"/>
      <c r="D91" s="332"/>
    </row>
    <row r="92">
      <c r="A92" s="339" t="s">
        <v>3937</v>
      </c>
      <c r="B92" s="326"/>
      <c r="C92" s="344">
        <f>9500*0.85*1.19</f>
        <v>9609.25</v>
      </c>
      <c r="D92" s="332">
        <v>20000.0</v>
      </c>
    </row>
    <row r="93">
      <c r="A93" s="339" t="s">
        <v>3025</v>
      </c>
      <c r="B93" s="326"/>
      <c r="C93" s="344">
        <v>4300.0</v>
      </c>
      <c r="D93" s="332">
        <v>9000.0</v>
      </c>
    </row>
    <row r="94">
      <c r="A94" s="339" t="s">
        <v>3026</v>
      </c>
      <c r="B94" s="331"/>
      <c r="C94" s="331">
        <f>4343*0.85*1.19</f>
        <v>4392.9445</v>
      </c>
      <c r="D94" s="332">
        <v>9000.0</v>
      </c>
    </row>
    <row r="95">
      <c r="A95" s="346" t="s">
        <v>3028</v>
      </c>
      <c r="B95" s="331"/>
      <c r="C95" s="351">
        <v>15000.0</v>
      </c>
      <c r="D95" s="332">
        <v>38000.0</v>
      </c>
    </row>
    <row r="96">
      <c r="A96" s="339" t="s">
        <v>3029</v>
      </c>
      <c r="B96" s="326"/>
      <c r="C96" s="344">
        <f t="shared" ref="C96:C97" si="7">4600*0.85*1.19</f>
        <v>4652.9</v>
      </c>
      <c r="D96" s="332">
        <v>9000.0</v>
      </c>
    </row>
    <row r="97">
      <c r="A97" s="339" t="s">
        <v>3030</v>
      </c>
      <c r="B97" s="332"/>
      <c r="C97" s="344">
        <f t="shared" si="7"/>
        <v>4652.9</v>
      </c>
      <c r="D97" s="332">
        <v>9000.0</v>
      </c>
    </row>
    <row r="98">
      <c r="A98" s="346" t="s">
        <v>3031</v>
      </c>
      <c r="B98" s="332"/>
      <c r="C98" s="351">
        <v>20000.0</v>
      </c>
      <c r="D98" s="332">
        <v>42000.0</v>
      </c>
    </row>
    <row r="99">
      <c r="A99" s="346" t="s">
        <v>3033</v>
      </c>
      <c r="B99" s="331"/>
      <c r="C99" s="344">
        <f>7500*0.88*1.19</f>
        <v>7854</v>
      </c>
      <c r="D99" s="332">
        <v>14000.0</v>
      </c>
    </row>
    <row r="100">
      <c r="A100" s="346" t="s">
        <v>3034</v>
      </c>
      <c r="B100" s="331"/>
      <c r="C100" s="351">
        <v>5800.0</v>
      </c>
      <c r="D100" s="332">
        <v>14000.0</v>
      </c>
    </row>
    <row r="101">
      <c r="A101" s="339" t="s">
        <v>3036</v>
      </c>
      <c r="B101" s="331"/>
      <c r="C101" s="344">
        <f>17000*0.88*1.19</f>
        <v>17802.4</v>
      </c>
      <c r="D101" s="332">
        <v>34000.0</v>
      </c>
    </row>
    <row r="102">
      <c r="A102" s="346" t="s">
        <v>3037</v>
      </c>
      <c r="B102" s="331"/>
      <c r="C102" s="344">
        <f>6700*0.88*1.19</f>
        <v>7016.24</v>
      </c>
      <c r="D102" s="332">
        <v>14000.0</v>
      </c>
    </row>
    <row r="103">
      <c r="A103" s="346" t="s">
        <v>3038</v>
      </c>
      <c r="B103" s="331"/>
      <c r="C103" s="344">
        <f>7500*0.85*1.19</f>
        <v>7586.25</v>
      </c>
      <c r="D103" s="332">
        <v>14000.0</v>
      </c>
    </row>
    <row r="104">
      <c r="A104" s="346" t="s">
        <v>3039</v>
      </c>
      <c r="B104" s="331"/>
      <c r="C104" s="332">
        <v>7959.0</v>
      </c>
      <c r="D104" s="332">
        <v>18000.0</v>
      </c>
    </row>
    <row r="105">
      <c r="A105" s="358" t="s">
        <v>3040</v>
      </c>
      <c r="B105" s="331"/>
      <c r="C105" s="319">
        <f>10500*0.88*1.19</f>
        <v>10995.6</v>
      </c>
      <c r="D105" s="332">
        <v>34000.0</v>
      </c>
    </row>
    <row r="106">
      <c r="A106" s="339" t="s">
        <v>3042</v>
      </c>
      <c r="B106" s="331"/>
      <c r="C106" s="344">
        <f>22900*0.88*1.19</f>
        <v>23980.88</v>
      </c>
      <c r="D106" s="332">
        <v>38000.0</v>
      </c>
    </row>
    <row r="107">
      <c r="A107" s="176" t="s">
        <v>3043</v>
      </c>
      <c r="B107" s="331"/>
      <c r="C107" s="344">
        <f>18000*0.85*1.19</f>
        <v>18207</v>
      </c>
      <c r="D107" s="332">
        <v>38000.0</v>
      </c>
    </row>
    <row r="108">
      <c r="A108" s="346" t="s">
        <v>3044</v>
      </c>
      <c r="B108" s="331"/>
      <c r="C108" s="351">
        <v>8500.0</v>
      </c>
      <c r="D108" s="332">
        <v>16000.0</v>
      </c>
    </row>
    <row r="109">
      <c r="A109" s="359" t="s">
        <v>3045</v>
      </c>
      <c r="B109" s="332"/>
      <c r="C109" s="344">
        <f>8000*0.85*1.19</f>
        <v>8092</v>
      </c>
      <c r="D109" s="332">
        <v>16000.0</v>
      </c>
    </row>
    <row r="110">
      <c r="A110" s="328" t="s">
        <v>3046</v>
      </c>
      <c r="B110" s="331"/>
      <c r="C110" s="344">
        <f>9500*0.88*1.19</f>
        <v>9948.4</v>
      </c>
      <c r="D110" s="332">
        <v>17000.0</v>
      </c>
    </row>
    <row r="111">
      <c r="A111" s="339" t="s">
        <v>3047</v>
      </c>
      <c r="B111" s="331"/>
      <c r="C111" s="344">
        <f>8000*0.85*1.19</f>
        <v>8092</v>
      </c>
      <c r="D111" s="332">
        <v>14000.0</v>
      </c>
    </row>
    <row r="112">
      <c r="A112" s="339" t="s">
        <v>3048</v>
      </c>
      <c r="B112" s="331"/>
      <c r="C112" s="332"/>
      <c r="D112" s="332">
        <v>46000.0</v>
      </c>
    </row>
    <row r="113">
      <c r="A113" s="346" t="s">
        <v>3049</v>
      </c>
      <c r="B113" s="331"/>
      <c r="C113" s="344">
        <v>14000.0</v>
      </c>
      <c r="D113" s="332">
        <v>38000.0</v>
      </c>
    </row>
    <row r="114">
      <c r="A114" s="339" t="s">
        <v>3050</v>
      </c>
      <c r="B114" s="331"/>
      <c r="C114" s="332"/>
      <c r="D114" s="332">
        <v>10000.0</v>
      </c>
    </row>
    <row r="115">
      <c r="A115" s="339" t="s">
        <v>3051</v>
      </c>
      <c r="B115" s="332"/>
      <c r="C115" s="344">
        <f>6000*0.85*1.19</f>
        <v>6069</v>
      </c>
      <c r="D115" s="332">
        <v>22000.0</v>
      </c>
    </row>
    <row r="116">
      <c r="A116" s="328" t="s">
        <v>3052</v>
      </c>
      <c r="B116" s="331"/>
      <c r="C116" s="319">
        <f>10115*0.88*1.19</f>
        <v>10592.428</v>
      </c>
      <c r="D116" s="332">
        <v>16000.0</v>
      </c>
    </row>
    <row r="117">
      <c r="A117" s="346" t="s">
        <v>3053</v>
      </c>
      <c r="B117" s="331"/>
      <c r="C117" s="344">
        <f>4600*0.85*1.19</f>
        <v>4652.9</v>
      </c>
      <c r="D117" s="332">
        <v>9000.0</v>
      </c>
    </row>
    <row r="118">
      <c r="A118" s="328" t="s">
        <v>3055</v>
      </c>
      <c r="B118" s="331"/>
      <c r="C118" s="344">
        <f t="shared" ref="C118:C120" si="8">5000*0.85*1.19</f>
        <v>5057.5</v>
      </c>
      <c r="D118" s="332">
        <v>9000.0</v>
      </c>
    </row>
    <row r="119">
      <c r="A119" s="328" t="s">
        <v>3056</v>
      </c>
      <c r="B119" s="331"/>
      <c r="C119" s="344">
        <f t="shared" si="8"/>
        <v>5057.5</v>
      </c>
      <c r="D119" s="332">
        <v>9000.0</v>
      </c>
    </row>
    <row r="120">
      <c r="A120" s="339" t="s">
        <v>3057</v>
      </c>
      <c r="B120" s="331"/>
      <c r="C120" s="344">
        <f t="shared" si="8"/>
        <v>5057.5</v>
      </c>
      <c r="D120" s="332">
        <v>9000.0</v>
      </c>
    </row>
    <row r="121">
      <c r="A121" s="339" t="s">
        <v>3058</v>
      </c>
      <c r="B121" s="331"/>
      <c r="C121" s="344">
        <f t="shared" ref="C121:C122" si="9">3970*0.88*1.19</f>
        <v>4157.384</v>
      </c>
      <c r="D121" s="332">
        <v>12000.0</v>
      </c>
    </row>
    <row r="122">
      <c r="A122" s="339" t="s">
        <v>3060</v>
      </c>
      <c r="B122" s="331"/>
      <c r="C122" s="344">
        <f t="shared" si="9"/>
        <v>4157.384</v>
      </c>
      <c r="D122" s="332">
        <v>12000.0</v>
      </c>
    </row>
    <row r="123">
      <c r="A123" s="346" t="s">
        <v>3061</v>
      </c>
      <c r="B123" s="332"/>
      <c r="C123" s="332">
        <v>6702.0</v>
      </c>
      <c r="D123" s="332">
        <v>12000.0</v>
      </c>
    </row>
    <row r="124">
      <c r="A124" s="346" t="s">
        <v>3062</v>
      </c>
      <c r="B124" s="331"/>
      <c r="C124" s="344">
        <f t="shared" ref="C124:C125" si="10">6300*0.88*1.19</f>
        <v>6597.36</v>
      </c>
      <c r="D124" s="332">
        <v>12000.0</v>
      </c>
    </row>
    <row r="125">
      <c r="A125" s="346" t="s">
        <v>3063</v>
      </c>
      <c r="B125" s="331"/>
      <c r="C125" s="344">
        <f t="shared" si="10"/>
        <v>6597.36</v>
      </c>
      <c r="D125" s="332">
        <v>12000.0</v>
      </c>
    </row>
    <row r="126">
      <c r="A126" s="359" t="s">
        <v>3064</v>
      </c>
      <c r="B126" s="331"/>
      <c r="C126" s="356">
        <f>4499*0.85*1.19</f>
        <v>4550.7385</v>
      </c>
      <c r="D126" s="332">
        <v>12000.0</v>
      </c>
    </row>
    <row r="127">
      <c r="A127" s="359" t="s">
        <v>3065</v>
      </c>
      <c r="B127" s="331"/>
      <c r="C127" s="344">
        <v>7500.0</v>
      </c>
      <c r="D127" s="332">
        <v>12000.0</v>
      </c>
    </row>
    <row r="128">
      <c r="A128" s="328" t="s">
        <v>3066</v>
      </c>
      <c r="B128" s="331"/>
      <c r="C128" s="344">
        <f t="shared" ref="C128:C129" si="11">7500*0.85*1.19</f>
        <v>7586.25</v>
      </c>
      <c r="D128" s="332">
        <v>12000.0</v>
      </c>
    </row>
    <row r="129">
      <c r="A129" s="328" t="s">
        <v>3067</v>
      </c>
      <c r="B129" s="331"/>
      <c r="C129" s="344">
        <f t="shared" si="11"/>
        <v>7586.25</v>
      </c>
      <c r="D129" s="332">
        <v>12000.0</v>
      </c>
    </row>
    <row r="130">
      <c r="A130" s="339" t="s">
        <v>3068</v>
      </c>
      <c r="B130" s="331"/>
      <c r="C130" s="344">
        <f t="shared" ref="C130:C131" si="12">3820*0.88*1.19</f>
        <v>4000.304</v>
      </c>
      <c r="D130" s="332">
        <v>12000.0</v>
      </c>
    </row>
    <row r="131">
      <c r="A131" s="339" t="s">
        <v>3069</v>
      </c>
      <c r="B131" s="331"/>
      <c r="C131" s="344">
        <f t="shared" si="12"/>
        <v>4000.304</v>
      </c>
      <c r="D131" s="332">
        <v>12000.0</v>
      </c>
    </row>
    <row r="132">
      <c r="A132" s="339" t="s">
        <v>3070</v>
      </c>
      <c r="B132" s="331"/>
      <c r="C132" s="340">
        <f>4611*0.85*1.19</f>
        <v>4664.0265</v>
      </c>
      <c r="D132" s="332">
        <v>18000.0</v>
      </c>
    </row>
    <row r="133">
      <c r="A133" s="339"/>
      <c r="B133" s="331"/>
      <c r="C133" s="332"/>
      <c r="D133" s="332"/>
    </row>
  </sheetData>
  <autoFilter ref="$A$1:$D$13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9.75"/>
    <col customWidth="1" min="2" max="2" width="8.13"/>
    <col customWidth="1" min="3" max="3" width="10.5"/>
    <col customWidth="1" min="5" max="5" width="39.25"/>
    <col customWidth="1" min="6" max="7" width="8.5"/>
    <col customWidth="1" min="8" max="8" width="12.5"/>
    <col customWidth="1" min="9" max="9" width="11.63"/>
    <col customWidth="1" min="10" max="14" width="8.75"/>
    <col customWidth="1" min="15" max="15" width="8.5"/>
    <col customWidth="1" min="16" max="16" width="11.0"/>
    <col customWidth="1" min="17" max="17" width="8.5"/>
    <col customWidth="1" min="18" max="18" width="8.88"/>
    <col customWidth="1" min="19" max="19" width="9.5"/>
  </cols>
  <sheetData>
    <row r="1" ht="33.75" customHeight="1">
      <c r="A1" s="735" t="s">
        <v>3938</v>
      </c>
      <c r="B1" s="736" t="s">
        <v>3939</v>
      </c>
      <c r="C1" s="737" t="s">
        <v>3940</v>
      </c>
      <c r="D1" s="736" t="s">
        <v>3941</v>
      </c>
      <c r="E1" s="738" t="s">
        <v>3942</v>
      </c>
      <c r="F1" s="739" t="s">
        <v>3943</v>
      </c>
      <c r="G1" s="739" t="s">
        <v>3944</v>
      </c>
      <c r="H1" s="740" t="s">
        <v>3945</v>
      </c>
      <c r="I1" s="740" t="s">
        <v>3946</v>
      </c>
      <c r="J1" s="6" t="s">
        <v>3947</v>
      </c>
      <c r="K1" s="6" t="s">
        <v>3948</v>
      </c>
      <c r="L1" s="637" t="s">
        <v>2834</v>
      </c>
      <c r="M1" s="741" t="s">
        <v>2835</v>
      </c>
      <c r="N1" s="6" t="s">
        <v>11</v>
      </c>
      <c r="O1" s="742" t="s">
        <v>3949</v>
      </c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</row>
    <row r="2">
      <c r="A2" s="743" t="s">
        <v>340</v>
      </c>
      <c r="B2" s="713">
        <v>1.0</v>
      </c>
      <c r="C2" s="713">
        <v>2.0</v>
      </c>
      <c r="D2" s="713" t="s">
        <v>3950</v>
      </c>
      <c r="E2" s="744" t="s">
        <v>3951</v>
      </c>
      <c r="F2" s="745">
        <v>9.0</v>
      </c>
      <c r="G2" s="745">
        <v>0.0</v>
      </c>
      <c r="H2" s="746">
        <v>0.0</v>
      </c>
      <c r="I2" s="747"/>
      <c r="J2" s="748">
        <f t="shared" ref="J2:J64" si="1">H2+I2</f>
        <v>0</v>
      </c>
      <c r="K2" s="749"/>
      <c r="L2" s="750">
        <f>16134*1.19</f>
        <v>19199.46</v>
      </c>
      <c r="M2" s="751">
        <v>32000.0</v>
      </c>
      <c r="N2" s="752">
        <f t="shared" ref="N2:N3" si="2">(M2/L2)-1</f>
        <v>0.666713543</v>
      </c>
      <c r="O2" s="753">
        <f t="shared" ref="O2:O27" si="3">H2*L2</f>
        <v>0</v>
      </c>
    </row>
    <row r="3">
      <c r="A3" s="743"/>
      <c r="B3" s="713">
        <v>2.0</v>
      </c>
      <c r="C3" s="713">
        <v>1.0</v>
      </c>
      <c r="D3" s="713" t="s">
        <v>3952</v>
      </c>
      <c r="E3" s="744" t="s">
        <v>3953</v>
      </c>
      <c r="F3" s="745">
        <v>4.0</v>
      </c>
      <c r="G3" s="745">
        <v>0.0</v>
      </c>
      <c r="H3" s="746">
        <v>0.0</v>
      </c>
      <c r="I3" s="754"/>
      <c r="J3" s="748">
        <f t="shared" si="1"/>
        <v>0</v>
      </c>
      <c r="K3" s="749"/>
      <c r="L3" s="750">
        <f>8067*1.19</f>
        <v>9599.73</v>
      </c>
      <c r="M3" s="751">
        <v>18000.0</v>
      </c>
      <c r="N3" s="752">
        <f t="shared" si="2"/>
        <v>0.8750527359</v>
      </c>
      <c r="O3" s="753">
        <f t="shared" si="3"/>
        <v>0</v>
      </c>
    </row>
    <row r="4">
      <c r="A4" s="755"/>
      <c r="B4" s="713">
        <v>3.0</v>
      </c>
      <c r="C4" s="713">
        <v>2.0</v>
      </c>
      <c r="D4" s="713" t="s">
        <v>3954</v>
      </c>
      <c r="E4" s="744" t="s">
        <v>3955</v>
      </c>
      <c r="F4" s="745">
        <v>5.0</v>
      </c>
      <c r="G4" s="745">
        <v>0.0</v>
      </c>
      <c r="H4" s="746">
        <v>0.0</v>
      </c>
      <c r="I4" s="756"/>
      <c r="J4" s="748">
        <f t="shared" si="1"/>
        <v>0</v>
      </c>
      <c r="K4" s="749"/>
      <c r="L4" s="757">
        <f>3361*1.19</f>
        <v>3999.59</v>
      </c>
      <c r="M4" s="750">
        <v>10000.0</v>
      </c>
      <c r="N4" s="752"/>
      <c r="O4" s="753">
        <f t="shared" si="3"/>
        <v>0</v>
      </c>
    </row>
    <row r="5">
      <c r="A5" s="755"/>
      <c r="B5" s="713">
        <v>4.0</v>
      </c>
      <c r="C5" s="713">
        <v>1.0</v>
      </c>
      <c r="D5" s="713" t="s">
        <v>3956</v>
      </c>
      <c r="E5" s="744" t="s">
        <v>3957</v>
      </c>
      <c r="F5" s="745">
        <v>0.0</v>
      </c>
      <c r="G5" s="745">
        <v>0.0</v>
      </c>
      <c r="H5" s="746">
        <v>0.0</v>
      </c>
      <c r="I5" s="756"/>
      <c r="J5" s="748">
        <f t="shared" si="1"/>
        <v>0</v>
      </c>
      <c r="K5" s="749"/>
      <c r="L5" s="757">
        <f>36303*1.19</f>
        <v>43200.57</v>
      </c>
      <c r="M5" s="750">
        <v>72000.0</v>
      </c>
      <c r="N5" s="752">
        <f t="shared" ref="N5:N10" si="4">(M5/L5)-1</f>
        <v>0.6666446762</v>
      </c>
      <c r="O5" s="753">
        <f t="shared" si="3"/>
        <v>0</v>
      </c>
    </row>
    <row r="6">
      <c r="A6" s="755"/>
      <c r="B6" s="713">
        <v>5.0</v>
      </c>
      <c r="C6" s="713">
        <v>1.0</v>
      </c>
      <c r="D6" s="713" t="s">
        <v>3958</v>
      </c>
      <c r="E6" s="744" t="s">
        <v>3959</v>
      </c>
      <c r="F6" s="745">
        <v>3.0</v>
      </c>
      <c r="G6" s="745">
        <v>0.0</v>
      </c>
      <c r="H6" s="746">
        <v>0.0</v>
      </c>
      <c r="I6" s="756"/>
      <c r="J6" s="748">
        <f t="shared" si="1"/>
        <v>0</v>
      </c>
      <c r="K6" s="749"/>
      <c r="L6" s="757">
        <f>56471*1.19</f>
        <v>67200.49</v>
      </c>
      <c r="M6" s="750">
        <v>98000.0</v>
      </c>
      <c r="N6" s="752">
        <f t="shared" si="4"/>
        <v>0.4583226997</v>
      </c>
      <c r="O6" s="753">
        <f t="shared" si="3"/>
        <v>0</v>
      </c>
    </row>
    <row r="7">
      <c r="A7" s="755"/>
      <c r="B7" s="713">
        <v>6.0</v>
      </c>
      <c r="C7" s="713">
        <v>1.0</v>
      </c>
      <c r="D7" s="713" t="s">
        <v>3960</v>
      </c>
      <c r="E7" s="744" t="s">
        <v>3961</v>
      </c>
      <c r="F7" s="758">
        <v>0.0</v>
      </c>
      <c r="G7" s="745">
        <v>0.0</v>
      </c>
      <c r="H7" s="746">
        <v>0.0</v>
      </c>
      <c r="I7" s="756"/>
      <c r="J7" s="748">
        <f t="shared" si="1"/>
        <v>0</v>
      </c>
      <c r="K7" s="749"/>
      <c r="L7" s="757">
        <v>28000.0</v>
      </c>
      <c r="M7" s="750">
        <v>46000.0</v>
      </c>
      <c r="N7" s="752">
        <f t="shared" si="4"/>
        <v>0.6428571429</v>
      </c>
      <c r="O7" s="753">
        <f t="shared" si="3"/>
        <v>0</v>
      </c>
    </row>
    <row r="8">
      <c r="A8" s="755" t="s">
        <v>340</v>
      </c>
      <c r="B8" s="713">
        <v>7.0</v>
      </c>
      <c r="C8" s="713">
        <v>5.0</v>
      </c>
      <c r="D8" s="713" t="s">
        <v>3962</v>
      </c>
      <c r="E8" s="744" t="s">
        <v>3963</v>
      </c>
      <c r="F8" s="745">
        <v>11.0</v>
      </c>
      <c r="G8" s="745">
        <v>0.0</v>
      </c>
      <c r="H8" s="746">
        <v>0.0</v>
      </c>
      <c r="I8" s="747"/>
      <c r="J8" s="748">
        <f t="shared" si="1"/>
        <v>0</v>
      </c>
      <c r="K8" s="749"/>
      <c r="L8" s="759">
        <f>16134*1.19</f>
        <v>19199.46</v>
      </c>
      <c r="M8" s="759">
        <v>32000.0</v>
      </c>
      <c r="N8" s="752">
        <f t="shared" si="4"/>
        <v>0.666713543</v>
      </c>
      <c r="O8" s="753">
        <f t="shared" si="3"/>
        <v>0</v>
      </c>
    </row>
    <row r="9">
      <c r="A9" s="755"/>
      <c r="B9" s="713">
        <v>8.0</v>
      </c>
      <c r="C9" s="713">
        <v>1.0</v>
      </c>
      <c r="D9" s="713" t="s">
        <v>3964</v>
      </c>
      <c r="E9" s="744" t="s">
        <v>3965</v>
      </c>
      <c r="F9" s="758">
        <v>0.0</v>
      </c>
      <c r="G9" s="745">
        <v>0.0</v>
      </c>
      <c r="H9" s="746">
        <v>0.0</v>
      </c>
      <c r="I9" s="756"/>
      <c r="J9" s="748">
        <f t="shared" si="1"/>
        <v>0</v>
      </c>
      <c r="K9" s="749"/>
      <c r="L9" s="760">
        <v>1.0</v>
      </c>
      <c r="M9" s="163">
        <v>1.0</v>
      </c>
      <c r="N9" s="752">
        <f t="shared" si="4"/>
        <v>0</v>
      </c>
      <c r="O9" s="753">
        <f t="shared" si="3"/>
        <v>0</v>
      </c>
    </row>
    <row r="10">
      <c r="A10" s="755"/>
      <c r="B10" s="713">
        <v>9.0</v>
      </c>
      <c r="C10" s="713">
        <v>1.0</v>
      </c>
      <c r="D10" s="713" t="s">
        <v>3966</v>
      </c>
      <c r="E10" s="744" t="s">
        <v>3967</v>
      </c>
      <c r="F10" s="758">
        <v>0.0</v>
      </c>
      <c r="G10" s="745">
        <v>0.0</v>
      </c>
      <c r="H10" s="746">
        <v>0.0</v>
      </c>
      <c r="I10" s="756"/>
      <c r="J10" s="748">
        <f t="shared" si="1"/>
        <v>0</v>
      </c>
      <c r="K10" s="749"/>
      <c r="L10" s="757">
        <v>8800.0</v>
      </c>
      <c r="M10" s="719">
        <v>22000.0</v>
      </c>
      <c r="N10" s="752">
        <f t="shared" si="4"/>
        <v>1.5</v>
      </c>
      <c r="O10" s="753">
        <f t="shared" si="3"/>
        <v>0</v>
      </c>
    </row>
    <row r="11">
      <c r="A11" s="755"/>
      <c r="B11" s="713">
        <v>10.0</v>
      </c>
      <c r="C11" s="713">
        <v>1.0</v>
      </c>
      <c r="D11" s="713" t="s">
        <v>3968</v>
      </c>
      <c r="E11" s="744" t="s">
        <v>3969</v>
      </c>
      <c r="F11" s="758">
        <v>0.0</v>
      </c>
      <c r="G11" s="745">
        <v>0.0</v>
      </c>
      <c r="H11" s="746">
        <v>0.0</v>
      </c>
      <c r="I11" s="749"/>
      <c r="J11" s="748">
        <f t="shared" si="1"/>
        <v>0</v>
      </c>
      <c r="K11" s="749"/>
      <c r="L11" s="761"/>
      <c r="M11" s="163"/>
      <c r="N11" s="752"/>
      <c r="O11" s="753">
        <f t="shared" si="3"/>
        <v>0</v>
      </c>
    </row>
    <row r="12">
      <c r="A12" s="743" t="s">
        <v>340</v>
      </c>
      <c r="B12" s="713">
        <v>11.0</v>
      </c>
      <c r="C12" s="713">
        <v>1.0</v>
      </c>
      <c r="D12" s="713" t="s">
        <v>3970</v>
      </c>
      <c r="E12" s="744" t="s">
        <v>3971</v>
      </c>
      <c r="F12" s="745">
        <v>18.0</v>
      </c>
      <c r="G12" s="745">
        <v>0.0</v>
      </c>
      <c r="H12" s="746">
        <v>0.0</v>
      </c>
      <c r="I12" s="747"/>
      <c r="J12" s="748">
        <f t="shared" si="1"/>
        <v>0</v>
      </c>
      <c r="K12" s="749"/>
      <c r="L12" s="750">
        <v>5920.0</v>
      </c>
      <c r="M12" s="719">
        <v>12000.0</v>
      </c>
      <c r="N12" s="752"/>
      <c r="O12" s="753">
        <f t="shared" si="3"/>
        <v>0</v>
      </c>
    </row>
    <row r="13">
      <c r="A13" s="755"/>
      <c r="B13" s="713">
        <v>12.0</v>
      </c>
      <c r="C13" s="713">
        <v>1.0</v>
      </c>
      <c r="D13" s="713" t="s">
        <v>3972</v>
      </c>
      <c r="E13" s="744" t="s">
        <v>3973</v>
      </c>
      <c r="F13" s="758">
        <v>0.0</v>
      </c>
      <c r="G13" s="745">
        <v>0.0</v>
      </c>
      <c r="H13" s="746">
        <v>0.0</v>
      </c>
      <c r="I13" s="749"/>
      <c r="J13" s="748">
        <f t="shared" si="1"/>
        <v>0</v>
      </c>
      <c r="K13" s="749"/>
      <c r="L13" s="761"/>
      <c r="M13" s="163"/>
      <c r="N13" s="752"/>
      <c r="O13" s="753">
        <f t="shared" si="3"/>
        <v>0</v>
      </c>
    </row>
    <row r="14">
      <c r="A14" s="743" t="s">
        <v>340</v>
      </c>
      <c r="B14" s="713">
        <v>13.0</v>
      </c>
      <c r="C14" s="713">
        <v>1.0</v>
      </c>
      <c r="D14" s="713" t="s">
        <v>3974</v>
      </c>
      <c r="E14" s="744" t="s">
        <v>3975</v>
      </c>
      <c r="F14" s="745">
        <v>17.0</v>
      </c>
      <c r="G14" s="745">
        <v>0.0</v>
      </c>
      <c r="H14" s="746">
        <v>0.0</v>
      </c>
      <c r="I14" s="747"/>
      <c r="J14" s="748">
        <f t="shared" si="1"/>
        <v>0</v>
      </c>
      <c r="K14" s="749"/>
      <c r="L14" s="750">
        <v>5920.0</v>
      </c>
      <c r="M14" s="719">
        <v>12000.0</v>
      </c>
      <c r="N14" s="752"/>
      <c r="O14" s="753">
        <f t="shared" si="3"/>
        <v>0</v>
      </c>
    </row>
    <row r="15">
      <c r="A15" s="755"/>
      <c r="B15" s="713">
        <v>14.0</v>
      </c>
      <c r="C15" s="713">
        <v>1.0</v>
      </c>
      <c r="D15" s="713" t="s">
        <v>3976</v>
      </c>
      <c r="E15" s="744" t="s">
        <v>3977</v>
      </c>
      <c r="F15" s="745">
        <v>0.0</v>
      </c>
      <c r="G15" s="745">
        <v>0.0</v>
      </c>
      <c r="H15" s="746">
        <v>0.0</v>
      </c>
      <c r="I15" s="756"/>
      <c r="J15" s="748">
        <f t="shared" si="1"/>
        <v>0</v>
      </c>
      <c r="K15" s="749"/>
      <c r="L15" s="757">
        <f>6050*1.19</f>
        <v>7199.5</v>
      </c>
      <c r="M15" s="719">
        <v>22000.0</v>
      </c>
      <c r="N15" s="752">
        <f>(M15/L15)-1</f>
        <v>2.055767762</v>
      </c>
      <c r="O15" s="753">
        <f t="shared" si="3"/>
        <v>0</v>
      </c>
    </row>
    <row r="16">
      <c r="A16" s="755"/>
      <c r="B16" s="713">
        <v>15.0</v>
      </c>
      <c r="C16" s="713">
        <v>1.0</v>
      </c>
      <c r="D16" s="713" t="s">
        <v>3978</v>
      </c>
      <c r="E16" s="744" t="s">
        <v>3979</v>
      </c>
      <c r="F16" s="758">
        <v>0.0</v>
      </c>
      <c r="G16" s="745">
        <v>0.0</v>
      </c>
      <c r="H16" s="746">
        <v>0.0</v>
      </c>
      <c r="I16" s="749"/>
      <c r="J16" s="748">
        <f t="shared" si="1"/>
        <v>0</v>
      </c>
      <c r="K16" s="749"/>
      <c r="L16" s="761"/>
      <c r="M16" s="163"/>
      <c r="N16" s="752"/>
      <c r="O16" s="753">
        <f t="shared" si="3"/>
        <v>0</v>
      </c>
    </row>
    <row r="17">
      <c r="A17" s="755"/>
      <c r="B17" s="713">
        <v>16.0</v>
      </c>
      <c r="C17" s="713">
        <v>1.0</v>
      </c>
      <c r="D17" s="713" t="s">
        <v>3980</v>
      </c>
      <c r="E17" s="744" t="s">
        <v>3981</v>
      </c>
      <c r="F17" s="745">
        <v>5.0</v>
      </c>
      <c r="G17" s="745">
        <v>0.0</v>
      </c>
      <c r="H17" s="746">
        <v>0.0</v>
      </c>
      <c r="I17" s="756"/>
      <c r="J17" s="748">
        <f t="shared" si="1"/>
        <v>0</v>
      </c>
      <c r="K17" s="749"/>
      <c r="L17" s="757">
        <f>7395*1.19</f>
        <v>8800.05</v>
      </c>
      <c r="M17" s="719">
        <v>22000.0</v>
      </c>
      <c r="N17" s="752">
        <f t="shared" ref="N17:N27" si="5">(M17/L17)-1</f>
        <v>1.499985796</v>
      </c>
      <c r="O17" s="753">
        <f t="shared" si="3"/>
        <v>0</v>
      </c>
    </row>
    <row r="18">
      <c r="A18" s="743" t="s">
        <v>340</v>
      </c>
      <c r="B18" s="713">
        <v>17.0</v>
      </c>
      <c r="C18" s="713">
        <v>1.0</v>
      </c>
      <c r="D18" s="713" t="s">
        <v>3982</v>
      </c>
      <c r="E18" s="744" t="s">
        <v>3983</v>
      </c>
      <c r="F18" s="745">
        <v>2.0</v>
      </c>
      <c r="G18" s="745">
        <v>2.0</v>
      </c>
      <c r="H18" s="746">
        <v>10.0</v>
      </c>
      <c r="I18" s="747">
        <v>2.0</v>
      </c>
      <c r="J18" s="748">
        <f t="shared" si="1"/>
        <v>12</v>
      </c>
      <c r="K18" s="749" t="s">
        <v>3419</v>
      </c>
      <c r="L18" s="759">
        <f>47731*1.19</f>
        <v>56799.89</v>
      </c>
      <c r="M18" s="759">
        <v>85000.0</v>
      </c>
      <c r="N18" s="752">
        <f t="shared" si="5"/>
        <v>0.4964817714</v>
      </c>
      <c r="O18" s="753">
        <f t="shared" si="3"/>
        <v>567998.9</v>
      </c>
    </row>
    <row r="19">
      <c r="A19" s="743" t="s">
        <v>340</v>
      </c>
      <c r="B19" s="713">
        <v>18.0</v>
      </c>
      <c r="C19" s="713">
        <v>1.0</v>
      </c>
      <c r="D19" s="713" t="s">
        <v>3984</v>
      </c>
      <c r="E19" s="744" t="s">
        <v>3985</v>
      </c>
      <c r="F19" s="745">
        <v>4.0</v>
      </c>
      <c r="G19" s="745">
        <v>0.0</v>
      </c>
      <c r="H19" s="746">
        <v>0.0</v>
      </c>
      <c r="I19" s="747"/>
      <c r="J19" s="748">
        <f t="shared" si="1"/>
        <v>0</v>
      </c>
      <c r="K19" s="749"/>
      <c r="L19" s="750">
        <v>16800.0</v>
      </c>
      <c r="M19" s="751">
        <v>26000.0</v>
      </c>
      <c r="N19" s="752">
        <f t="shared" si="5"/>
        <v>0.5476190476</v>
      </c>
      <c r="O19" s="753">
        <f t="shared" si="3"/>
        <v>0</v>
      </c>
    </row>
    <row r="20">
      <c r="A20" s="743" t="s">
        <v>340</v>
      </c>
      <c r="B20" s="713">
        <v>19.0</v>
      </c>
      <c r="C20" s="713">
        <v>2.0</v>
      </c>
      <c r="D20" s="713" t="s">
        <v>3986</v>
      </c>
      <c r="E20" s="744" t="s">
        <v>3987</v>
      </c>
      <c r="F20" s="745">
        <v>6.0</v>
      </c>
      <c r="G20" s="745">
        <v>0.0</v>
      </c>
      <c r="H20" s="746">
        <v>0.0</v>
      </c>
      <c r="I20" s="747"/>
      <c r="J20" s="748">
        <f t="shared" si="1"/>
        <v>0</v>
      </c>
      <c r="K20" s="749"/>
      <c r="L20" s="750">
        <v>4800.0</v>
      </c>
      <c r="M20" s="719">
        <v>12000.0</v>
      </c>
      <c r="N20" s="752">
        <f t="shared" si="5"/>
        <v>1.5</v>
      </c>
      <c r="O20" s="753">
        <f t="shared" si="3"/>
        <v>0</v>
      </c>
    </row>
    <row r="21">
      <c r="A21" s="743" t="s">
        <v>340</v>
      </c>
      <c r="B21" s="713">
        <v>20.0</v>
      </c>
      <c r="C21" s="713">
        <v>1.0</v>
      </c>
      <c r="D21" s="713" t="s">
        <v>3988</v>
      </c>
      <c r="E21" s="744" t="s">
        <v>3989</v>
      </c>
      <c r="F21" s="745">
        <v>10.0</v>
      </c>
      <c r="G21" s="745">
        <v>0.0</v>
      </c>
      <c r="H21" s="746">
        <v>0.0</v>
      </c>
      <c r="I21" s="747"/>
      <c r="J21" s="748">
        <f t="shared" si="1"/>
        <v>0</v>
      </c>
      <c r="K21" s="749"/>
      <c r="L21" s="750">
        <f>17479*1.19</f>
        <v>20800.01</v>
      </c>
      <c r="M21" s="719">
        <v>32000.0</v>
      </c>
      <c r="N21" s="752">
        <f t="shared" si="5"/>
        <v>0.5384607988</v>
      </c>
      <c r="O21" s="753">
        <f t="shared" si="3"/>
        <v>0</v>
      </c>
    </row>
    <row r="22" ht="14.25" customHeight="1">
      <c r="A22" s="743" t="s">
        <v>340</v>
      </c>
      <c r="B22" s="713">
        <v>21.0</v>
      </c>
      <c r="C22" s="713">
        <v>1.0</v>
      </c>
      <c r="D22" s="713" t="s">
        <v>3990</v>
      </c>
      <c r="E22" s="744" t="s">
        <v>3991</v>
      </c>
      <c r="F22" s="745">
        <v>10.0</v>
      </c>
      <c r="G22" s="745">
        <v>0.0</v>
      </c>
      <c r="H22" s="746">
        <v>0.0</v>
      </c>
      <c r="I22" s="747"/>
      <c r="J22" s="748">
        <f t="shared" si="1"/>
        <v>0</v>
      </c>
      <c r="K22" s="749"/>
      <c r="L22" s="762">
        <f>4706*1.19</f>
        <v>5600.14</v>
      </c>
      <c r="M22" s="763">
        <v>10000.0</v>
      </c>
      <c r="N22" s="752">
        <f t="shared" si="5"/>
        <v>0.785669644</v>
      </c>
      <c r="O22" s="753">
        <f t="shared" si="3"/>
        <v>0</v>
      </c>
      <c r="S22" s="764"/>
    </row>
    <row r="23">
      <c r="A23" s="743" t="s">
        <v>340</v>
      </c>
      <c r="B23" s="713">
        <v>22.0</v>
      </c>
      <c r="C23" s="713">
        <v>1.0</v>
      </c>
      <c r="D23" s="713" t="s">
        <v>3992</v>
      </c>
      <c r="E23" s="744" t="s">
        <v>3993</v>
      </c>
      <c r="F23" s="745">
        <v>5.0</v>
      </c>
      <c r="G23" s="745">
        <v>0.0</v>
      </c>
      <c r="H23" s="746">
        <v>0.0</v>
      </c>
      <c r="I23" s="747"/>
      <c r="J23" s="748">
        <f t="shared" si="1"/>
        <v>0</v>
      </c>
      <c r="K23" s="749"/>
      <c r="L23" s="750">
        <f>23529*1.19</f>
        <v>27999.51</v>
      </c>
      <c r="M23" s="751">
        <v>44000.0</v>
      </c>
      <c r="N23" s="752">
        <f t="shared" si="5"/>
        <v>0.5714560719</v>
      </c>
      <c r="O23" s="753">
        <f t="shared" si="3"/>
        <v>0</v>
      </c>
    </row>
    <row r="24">
      <c r="A24" s="755"/>
      <c r="B24" s="713">
        <v>23.0</v>
      </c>
      <c r="C24" s="713">
        <v>1.0</v>
      </c>
      <c r="D24" s="713" t="s">
        <v>3994</v>
      </c>
      <c r="E24" s="744" t="s">
        <v>3995</v>
      </c>
      <c r="F24" s="758">
        <v>0.0</v>
      </c>
      <c r="G24" s="745">
        <v>0.0</v>
      </c>
      <c r="H24" s="746">
        <v>0.0</v>
      </c>
      <c r="I24" s="756"/>
      <c r="J24" s="748">
        <f t="shared" si="1"/>
        <v>0</v>
      </c>
      <c r="K24" s="749"/>
      <c r="L24" s="757">
        <v>2400.0</v>
      </c>
      <c r="M24" s="751">
        <v>10000.0</v>
      </c>
      <c r="N24" s="752">
        <f t="shared" si="5"/>
        <v>3.166666667</v>
      </c>
      <c r="O24" s="753">
        <f t="shared" si="3"/>
        <v>0</v>
      </c>
    </row>
    <row r="25">
      <c r="A25" s="743" t="s">
        <v>340</v>
      </c>
      <c r="B25" s="713">
        <v>24.0</v>
      </c>
      <c r="C25" s="713">
        <v>1.0</v>
      </c>
      <c r="D25" s="713" t="s">
        <v>3996</v>
      </c>
      <c r="E25" s="744" t="s">
        <v>3997</v>
      </c>
      <c r="F25" s="745">
        <v>4.0</v>
      </c>
      <c r="G25" s="745">
        <v>0.0</v>
      </c>
      <c r="H25" s="746">
        <v>0.0</v>
      </c>
      <c r="I25" s="747"/>
      <c r="J25" s="748">
        <f t="shared" si="1"/>
        <v>0</v>
      </c>
      <c r="K25" s="749"/>
      <c r="L25" s="759">
        <f>8067*1.19</f>
        <v>9599.73</v>
      </c>
      <c r="M25" s="759">
        <v>25000.0</v>
      </c>
      <c r="N25" s="752">
        <f t="shared" si="5"/>
        <v>1.604239911</v>
      </c>
      <c r="O25" s="753">
        <f t="shared" si="3"/>
        <v>0</v>
      </c>
    </row>
    <row r="26">
      <c r="A26" s="743" t="s">
        <v>340</v>
      </c>
      <c r="B26" s="765"/>
      <c r="C26" s="765"/>
      <c r="D26" s="713"/>
      <c r="E26" s="744" t="s">
        <v>3998</v>
      </c>
      <c r="F26" s="758">
        <v>0.0</v>
      </c>
      <c r="G26" s="745">
        <v>0.0</v>
      </c>
      <c r="H26" s="746">
        <v>0.0</v>
      </c>
      <c r="I26" s="747"/>
      <c r="J26" s="748">
        <f t="shared" si="1"/>
        <v>0</v>
      </c>
      <c r="K26" s="749"/>
      <c r="L26" s="750">
        <v>509150.0</v>
      </c>
      <c r="M26" s="750">
        <v>650000.0</v>
      </c>
      <c r="N26" s="752">
        <f t="shared" si="5"/>
        <v>0.2766375331</v>
      </c>
      <c r="O26" s="753">
        <f t="shared" si="3"/>
        <v>0</v>
      </c>
    </row>
    <row r="27">
      <c r="A27" s="743" t="s">
        <v>340</v>
      </c>
      <c r="B27" s="765"/>
      <c r="C27" s="765"/>
      <c r="D27" s="713" t="s">
        <v>3999</v>
      </c>
      <c r="E27" s="744" t="s">
        <v>4000</v>
      </c>
      <c r="F27" s="745">
        <v>13.0</v>
      </c>
      <c r="G27" s="745">
        <v>3.0</v>
      </c>
      <c r="H27" s="746">
        <v>0.0</v>
      </c>
      <c r="I27" s="747">
        <v>2.0</v>
      </c>
      <c r="J27" s="748">
        <f t="shared" si="1"/>
        <v>2</v>
      </c>
      <c r="K27" s="749" t="s">
        <v>4001</v>
      </c>
      <c r="L27" s="759">
        <f>71261*1.19</f>
        <v>84800.59</v>
      </c>
      <c r="M27" s="762">
        <v>120000.0</v>
      </c>
      <c r="N27" s="752">
        <f t="shared" si="5"/>
        <v>0.4150844941</v>
      </c>
      <c r="O27" s="753">
        <f t="shared" si="3"/>
        <v>0</v>
      </c>
    </row>
    <row r="28">
      <c r="A28" s="280"/>
      <c r="B28" s="280"/>
      <c r="C28" s="280"/>
      <c r="D28" s="287"/>
      <c r="E28" s="126"/>
      <c r="F28" s="766"/>
      <c r="G28" s="766"/>
      <c r="H28" s="767"/>
      <c r="I28" s="768"/>
      <c r="J28" s="748">
        <f t="shared" si="1"/>
        <v>0</v>
      </c>
      <c r="K28" s="749"/>
      <c r="L28" s="768"/>
      <c r="M28" s="769"/>
      <c r="N28" s="770"/>
      <c r="O28" s="753"/>
    </row>
    <row r="29">
      <c r="A29" s="280"/>
      <c r="B29" s="280"/>
      <c r="C29" s="280"/>
      <c r="D29" s="287"/>
      <c r="E29" s="126"/>
      <c r="F29" s="766"/>
      <c r="G29" s="766"/>
      <c r="H29" s="747"/>
      <c r="I29" s="768"/>
      <c r="J29" s="748">
        <f t="shared" si="1"/>
        <v>0</v>
      </c>
      <c r="K29" s="749"/>
      <c r="L29" s="768"/>
      <c r="M29" s="769"/>
      <c r="N29" s="770"/>
      <c r="O29" s="753"/>
    </row>
    <row r="30">
      <c r="A30" s="771"/>
      <c r="B30" s="772" t="s">
        <v>4002</v>
      </c>
      <c r="C30" s="773" t="s">
        <v>3787</v>
      </c>
      <c r="D30" s="772" t="s">
        <v>4003</v>
      </c>
      <c r="E30" s="774" t="s">
        <v>4004</v>
      </c>
      <c r="F30" s="775"/>
      <c r="G30" s="775"/>
      <c r="H30" s="776"/>
      <c r="I30" s="6"/>
      <c r="J30" s="748">
        <f t="shared" si="1"/>
        <v>0</v>
      </c>
      <c r="K30" s="749"/>
      <c r="L30" s="6"/>
      <c r="M30" s="637"/>
      <c r="N30" s="6"/>
      <c r="O30" s="753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  <c r="AA30" s="307"/>
    </row>
    <row r="31">
      <c r="A31" s="777" t="s">
        <v>340</v>
      </c>
      <c r="B31" s="778">
        <v>1.0</v>
      </c>
      <c r="C31" s="778">
        <v>1.0</v>
      </c>
      <c r="D31" s="778" t="s">
        <v>4005</v>
      </c>
      <c r="E31" s="779" t="s">
        <v>4006</v>
      </c>
      <c r="F31" s="745">
        <v>13.0</v>
      </c>
      <c r="G31" s="745">
        <v>3.0</v>
      </c>
      <c r="H31" s="746">
        <v>0.0</v>
      </c>
      <c r="I31" s="747"/>
      <c r="J31" s="748">
        <f t="shared" si="1"/>
        <v>0</v>
      </c>
      <c r="K31" s="749"/>
      <c r="L31" s="759">
        <f>16134*1.19</f>
        <v>19199.46</v>
      </c>
      <c r="M31" s="763">
        <v>32000.0</v>
      </c>
      <c r="N31" s="752">
        <f t="shared" ref="N31:N33" si="6">(M31/L31)-1</f>
        <v>0.666713543</v>
      </c>
      <c r="O31" s="753">
        <f t="shared" ref="O31:O64" si="7">H31*L31</f>
        <v>0</v>
      </c>
    </row>
    <row r="32">
      <c r="A32" s="780"/>
      <c r="B32" s="778">
        <v>2.0</v>
      </c>
      <c r="C32" s="778">
        <v>1.0</v>
      </c>
      <c r="D32" s="778" t="s">
        <v>4007</v>
      </c>
      <c r="E32" s="779" t="s">
        <v>4008</v>
      </c>
      <c r="F32" s="758">
        <v>0.0</v>
      </c>
      <c r="G32" s="745">
        <v>0.0</v>
      </c>
      <c r="H32" s="781">
        <v>0.0</v>
      </c>
      <c r="I32" s="756"/>
      <c r="J32" s="748">
        <f t="shared" si="1"/>
        <v>0</v>
      </c>
      <c r="K32" s="749"/>
      <c r="L32" s="757">
        <v>140800.0</v>
      </c>
      <c r="M32" s="750">
        <v>280000.0</v>
      </c>
      <c r="N32" s="752">
        <f t="shared" si="6"/>
        <v>0.9886363636</v>
      </c>
      <c r="O32" s="753">
        <f t="shared" si="7"/>
        <v>0</v>
      </c>
    </row>
    <row r="33">
      <c r="A33" s="777" t="s">
        <v>340</v>
      </c>
      <c r="B33" s="778">
        <v>3.0</v>
      </c>
      <c r="C33" s="778">
        <v>1.0</v>
      </c>
      <c r="D33" s="778" t="s">
        <v>4009</v>
      </c>
      <c r="E33" s="779" t="s">
        <v>4010</v>
      </c>
      <c r="F33" s="745">
        <v>4.0</v>
      </c>
      <c r="G33" s="745">
        <v>5.0</v>
      </c>
      <c r="H33" s="746">
        <v>6.0</v>
      </c>
      <c r="I33" s="747"/>
      <c r="J33" s="748">
        <f t="shared" si="1"/>
        <v>6</v>
      </c>
      <c r="K33" s="749" t="s">
        <v>3419</v>
      </c>
      <c r="L33" s="759">
        <f>32269*1.19</f>
        <v>38400.11</v>
      </c>
      <c r="M33" s="763">
        <v>54000.0</v>
      </c>
      <c r="N33" s="752">
        <f t="shared" si="6"/>
        <v>0.4062459717</v>
      </c>
      <c r="O33" s="753">
        <f t="shared" si="7"/>
        <v>230400.66</v>
      </c>
    </row>
    <row r="34">
      <c r="A34" s="780"/>
      <c r="B34" s="778">
        <v>4.0</v>
      </c>
      <c r="C34" s="778">
        <v>1.0</v>
      </c>
      <c r="D34" s="778" t="s">
        <v>4011</v>
      </c>
      <c r="E34" s="779" t="s">
        <v>4012</v>
      </c>
      <c r="F34" s="745">
        <v>0.0</v>
      </c>
      <c r="G34" s="745">
        <v>0.0</v>
      </c>
      <c r="H34" s="746">
        <v>0.0</v>
      </c>
      <c r="I34" s="749"/>
      <c r="J34" s="748">
        <f t="shared" si="1"/>
        <v>0</v>
      </c>
      <c r="K34" s="749"/>
      <c r="L34" s="761"/>
      <c r="M34" s="754"/>
      <c r="N34" s="749"/>
      <c r="O34" s="753">
        <f t="shared" si="7"/>
        <v>0</v>
      </c>
    </row>
    <row r="35">
      <c r="A35" s="780"/>
      <c r="B35" s="778">
        <v>5.0</v>
      </c>
      <c r="C35" s="778">
        <v>1.0</v>
      </c>
      <c r="D35" s="778" t="s">
        <v>4013</v>
      </c>
      <c r="E35" s="779" t="s">
        <v>4014</v>
      </c>
      <c r="F35" s="758">
        <v>0.0</v>
      </c>
      <c r="G35" s="745">
        <v>0.0</v>
      </c>
      <c r="H35" s="781">
        <v>0.0</v>
      </c>
      <c r="I35" s="756"/>
      <c r="J35" s="748">
        <f t="shared" si="1"/>
        <v>0</v>
      </c>
      <c r="K35" s="749"/>
      <c r="L35" s="757">
        <v>12000.0</v>
      </c>
      <c r="M35" s="750">
        <v>18000.0</v>
      </c>
      <c r="N35" s="752">
        <f t="shared" ref="N35:N37" si="8">(M35/L35)-1</f>
        <v>0.5</v>
      </c>
      <c r="O35" s="753">
        <f t="shared" si="7"/>
        <v>0</v>
      </c>
    </row>
    <row r="36">
      <c r="A36" s="777" t="s">
        <v>340</v>
      </c>
      <c r="B36" s="778">
        <v>6.0</v>
      </c>
      <c r="C36" s="778">
        <v>1.0</v>
      </c>
      <c r="D36" s="778" t="s">
        <v>4015</v>
      </c>
      <c r="E36" s="779" t="s">
        <v>4016</v>
      </c>
      <c r="F36" s="745">
        <v>8.0</v>
      </c>
      <c r="G36" s="745">
        <v>2.0</v>
      </c>
      <c r="H36" s="746">
        <v>0.0</v>
      </c>
      <c r="I36" s="747">
        <v>2.0</v>
      </c>
      <c r="J36" s="748">
        <f t="shared" si="1"/>
        <v>2</v>
      </c>
      <c r="K36" s="749" t="s">
        <v>3419</v>
      </c>
      <c r="L36" s="762">
        <f>33613*1.19</f>
        <v>39999.47</v>
      </c>
      <c r="M36" s="763">
        <v>65000.0</v>
      </c>
      <c r="N36" s="752">
        <f t="shared" si="8"/>
        <v>0.6250215315</v>
      </c>
      <c r="O36" s="753">
        <f t="shared" si="7"/>
        <v>0</v>
      </c>
    </row>
    <row r="37">
      <c r="A37" s="780"/>
      <c r="B37" s="778">
        <v>7.0</v>
      </c>
      <c r="C37" s="778">
        <v>1.0</v>
      </c>
      <c r="D37" s="778" t="s">
        <v>4017</v>
      </c>
      <c r="E37" s="779" t="s">
        <v>4018</v>
      </c>
      <c r="F37" s="758">
        <v>0.0</v>
      </c>
      <c r="G37" s="745">
        <v>0.0</v>
      </c>
      <c r="H37" s="746">
        <v>0.0</v>
      </c>
      <c r="I37" s="756"/>
      <c r="J37" s="748">
        <f t="shared" si="1"/>
        <v>0</v>
      </c>
      <c r="K37" s="749"/>
      <c r="L37" s="757">
        <v>148000.0</v>
      </c>
      <c r="M37" s="750">
        <v>320000.0</v>
      </c>
      <c r="N37" s="752">
        <f t="shared" si="8"/>
        <v>1.162162162</v>
      </c>
      <c r="O37" s="753">
        <f t="shared" si="7"/>
        <v>0</v>
      </c>
    </row>
    <row r="38">
      <c r="A38" s="780"/>
      <c r="B38" s="778">
        <v>8.0</v>
      </c>
      <c r="C38" s="778">
        <v>1.0</v>
      </c>
      <c r="D38" s="778" t="s">
        <v>4019</v>
      </c>
      <c r="E38" s="779" t="s">
        <v>4020</v>
      </c>
      <c r="F38" s="758">
        <v>0.0</v>
      </c>
      <c r="G38" s="745">
        <v>0.0</v>
      </c>
      <c r="H38" s="781">
        <v>0.0</v>
      </c>
      <c r="I38" s="749"/>
      <c r="J38" s="748">
        <f t="shared" si="1"/>
        <v>0</v>
      </c>
      <c r="K38" s="749"/>
      <c r="L38" s="761"/>
      <c r="M38" s="754"/>
      <c r="N38" s="749"/>
      <c r="O38" s="753">
        <f t="shared" si="7"/>
        <v>0</v>
      </c>
    </row>
    <row r="39">
      <c r="A39" s="780"/>
      <c r="B39" s="778">
        <v>9.0</v>
      </c>
      <c r="C39" s="778">
        <v>1.0</v>
      </c>
      <c r="D39" s="778" t="s">
        <v>4021</v>
      </c>
      <c r="E39" s="779" t="s">
        <v>4022</v>
      </c>
      <c r="F39" s="758">
        <v>0.0</v>
      </c>
      <c r="G39" s="745">
        <v>0.0</v>
      </c>
      <c r="H39" s="746">
        <v>0.0</v>
      </c>
      <c r="I39" s="749"/>
      <c r="J39" s="748">
        <f t="shared" si="1"/>
        <v>0</v>
      </c>
      <c r="K39" s="749"/>
      <c r="L39" s="761"/>
      <c r="M39" s="754"/>
      <c r="N39" s="749"/>
      <c r="O39" s="753">
        <f t="shared" si="7"/>
        <v>0</v>
      </c>
    </row>
    <row r="40">
      <c r="A40" s="780"/>
      <c r="B40" s="778">
        <v>10.0</v>
      </c>
      <c r="C40" s="778">
        <v>2.0</v>
      </c>
      <c r="D40" s="778" t="s">
        <v>4023</v>
      </c>
      <c r="E40" s="779" t="s">
        <v>4024</v>
      </c>
      <c r="F40" s="758">
        <v>0.0</v>
      </c>
      <c r="G40" s="745">
        <v>0.0</v>
      </c>
      <c r="H40" s="746">
        <v>0.0</v>
      </c>
      <c r="I40" s="756"/>
      <c r="J40" s="748">
        <f t="shared" si="1"/>
        <v>0</v>
      </c>
      <c r="K40" s="749"/>
      <c r="L40" s="757">
        <v>2400.0</v>
      </c>
      <c r="M40" s="751">
        <v>10000.0</v>
      </c>
      <c r="N40" s="752">
        <f t="shared" ref="N40:N43" si="9">(M40/L40)-1</f>
        <v>3.166666667</v>
      </c>
      <c r="O40" s="753">
        <f t="shared" si="7"/>
        <v>0</v>
      </c>
    </row>
    <row r="41">
      <c r="A41" s="780"/>
      <c r="B41" s="778">
        <v>11.0</v>
      </c>
      <c r="C41" s="778">
        <v>1.0</v>
      </c>
      <c r="D41" s="778" t="s">
        <v>4025</v>
      </c>
      <c r="E41" s="779" t="s">
        <v>4026</v>
      </c>
      <c r="F41" s="758">
        <v>0.0</v>
      </c>
      <c r="G41" s="745">
        <v>0.0</v>
      </c>
      <c r="H41" s="781">
        <v>0.0</v>
      </c>
      <c r="I41" s="756"/>
      <c r="J41" s="748">
        <f t="shared" si="1"/>
        <v>0</v>
      </c>
      <c r="K41" s="749"/>
      <c r="L41" s="757">
        <v>5600.0</v>
      </c>
      <c r="M41" s="719">
        <v>18000.0</v>
      </c>
      <c r="N41" s="752">
        <f t="shared" si="9"/>
        <v>2.214285714</v>
      </c>
      <c r="O41" s="753">
        <f t="shared" si="7"/>
        <v>0</v>
      </c>
    </row>
    <row r="42">
      <c r="A42" s="780"/>
      <c r="B42" s="778">
        <v>12.0</v>
      </c>
      <c r="C42" s="778">
        <v>2.0</v>
      </c>
      <c r="D42" s="778" t="s">
        <v>4027</v>
      </c>
      <c r="E42" s="779" t="s">
        <v>4028</v>
      </c>
      <c r="F42" s="745">
        <v>5.0</v>
      </c>
      <c r="G42" s="745">
        <v>0.0</v>
      </c>
      <c r="H42" s="746">
        <v>0.0</v>
      </c>
      <c r="I42" s="756"/>
      <c r="J42" s="748">
        <f t="shared" si="1"/>
        <v>0</v>
      </c>
      <c r="K42" s="749"/>
      <c r="L42" s="757">
        <v>5600.0</v>
      </c>
      <c r="M42" s="751">
        <v>22000.0</v>
      </c>
      <c r="N42" s="752">
        <f t="shared" si="9"/>
        <v>2.928571429</v>
      </c>
      <c r="O42" s="753">
        <f t="shared" si="7"/>
        <v>0</v>
      </c>
    </row>
    <row r="43">
      <c r="A43" s="780"/>
      <c r="B43" s="778">
        <v>13.0</v>
      </c>
      <c r="C43" s="778">
        <v>1.0</v>
      </c>
      <c r="D43" s="778" t="s">
        <v>4029</v>
      </c>
      <c r="E43" s="779" t="s">
        <v>4030</v>
      </c>
      <c r="F43" s="758">
        <v>0.0</v>
      </c>
      <c r="G43" s="745">
        <v>0.0</v>
      </c>
      <c r="H43" s="746">
        <v>0.0</v>
      </c>
      <c r="I43" s="756"/>
      <c r="J43" s="748">
        <f t="shared" si="1"/>
        <v>0</v>
      </c>
      <c r="K43" s="749"/>
      <c r="L43" s="757">
        <v>14400.0</v>
      </c>
      <c r="M43" s="750">
        <v>32000.0</v>
      </c>
      <c r="N43" s="752">
        <f t="shared" si="9"/>
        <v>1.222222222</v>
      </c>
      <c r="O43" s="753">
        <f t="shared" si="7"/>
        <v>0</v>
      </c>
    </row>
    <row r="44">
      <c r="A44" s="777" t="s">
        <v>340</v>
      </c>
      <c r="B44" s="778">
        <v>14.0</v>
      </c>
      <c r="C44" s="778">
        <v>2.0</v>
      </c>
      <c r="D44" s="778" t="s">
        <v>4031</v>
      </c>
      <c r="E44" s="779" t="s">
        <v>4032</v>
      </c>
      <c r="F44" s="745">
        <v>11.0</v>
      </c>
      <c r="G44" s="745">
        <v>2.0</v>
      </c>
      <c r="H44" s="781">
        <v>0.0</v>
      </c>
      <c r="I44" s="747"/>
      <c r="J44" s="748">
        <f t="shared" si="1"/>
        <v>0</v>
      </c>
      <c r="K44" s="749"/>
      <c r="L44" s="762">
        <f>10084*1.19</f>
        <v>11999.96</v>
      </c>
      <c r="M44" s="759">
        <v>22000.0</v>
      </c>
      <c r="N44" s="752"/>
      <c r="O44" s="753">
        <f t="shared" si="7"/>
        <v>0</v>
      </c>
    </row>
    <row r="45">
      <c r="A45" s="780"/>
      <c r="B45" s="778">
        <v>15.0</v>
      </c>
      <c r="C45" s="778">
        <v>2.0</v>
      </c>
      <c r="D45" s="778" t="s">
        <v>4033</v>
      </c>
      <c r="E45" s="779" t="s">
        <v>4034</v>
      </c>
      <c r="F45" s="758">
        <v>0.0</v>
      </c>
      <c r="G45" s="745">
        <v>0.0</v>
      </c>
      <c r="H45" s="746">
        <v>0.0</v>
      </c>
      <c r="I45" s="756"/>
      <c r="J45" s="748">
        <f t="shared" si="1"/>
        <v>0</v>
      </c>
      <c r="K45" s="749"/>
      <c r="L45" s="757">
        <v>8800.0</v>
      </c>
      <c r="M45" s="750">
        <v>22000.0</v>
      </c>
      <c r="N45" s="752">
        <f>(M45/L45)-1</f>
        <v>1.5</v>
      </c>
      <c r="O45" s="753">
        <f t="shared" si="7"/>
        <v>0</v>
      </c>
    </row>
    <row r="46">
      <c r="A46" s="780"/>
      <c r="B46" s="778">
        <v>16.0</v>
      </c>
      <c r="C46" s="778">
        <v>1.0</v>
      </c>
      <c r="D46" s="778" t="s">
        <v>4035</v>
      </c>
      <c r="E46" s="779" t="s">
        <v>4036</v>
      </c>
      <c r="F46" s="758">
        <v>0.0</v>
      </c>
      <c r="G46" s="745">
        <v>0.0</v>
      </c>
      <c r="H46" s="781">
        <v>0.0</v>
      </c>
      <c r="I46" s="749"/>
      <c r="J46" s="748">
        <f t="shared" si="1"/>
        <v>0</v>
      </c>
      <c r="K46" s="749"/>
      <c r="L46" s="761"/>
      <c r="M46" s="754"/>
      <c r="N46" s="749"/>
      <c r="O46" s="753">
        <f t="shared" si="7"/>
        <v>0</v>
      </c>
    </row>
    <row r="47">
      <c r="A47" s="780"/>
      <c r="B47" s="778">
        <v>17.0</v>
      </c>
      <c r="C47" s="778">
        <v>2.0</v>
      </c>
      <c r="D47" s="778" t="s">
        <v>4037</v>
      </c>
      <c r="E47" s="779" t="s">
        <v>4038</v>
      </c>
      <c r="F47" s="758">
        <v>0.0</v>
      </c>
      <c r="G47" s="745">
        <v>0.0</v>
      </c>
      <c r="H47" s="746">
        <v>0.0</v>
      </c>
      <c r="I47" s="756"/>
      <c r="J47" s="748">
        <f t="shared" si="1"/>
        <v>0</v>
      </c>
      <c r="K47" s="749"/>
      <c r="L47" s="757">
        <v>2400.0</v>
      </c>
      <c r="M47" s="751">
        <v>10000.0</v>
      </c>
      <c r="N47" s="752">
        <f t="shared" ref="N47:N50" si="10">(M47/L47)-1</f>
        <v>3.166666667</v>
      </c>
      <c r="O47" s="753">
        <f t="shared" si="7"/>
        <v>0</v>
      </c>
    </row>
    <row r="48">
      <c r="A48" s="780"/>
      <c r="B48" s="778">
        <v>18.0</v>
      </c>
      <c r="C48" s="778">
        <v>2.0</v>
      </c>
      <c r="D48" s="778" t="s">
        <v>4039</v>
      </c>
      <c r="E48" s="779" t="s">
        <v>4040</v>
      </c>
      <c r="F48" s="745">
        <v>5.0</v>
      </c>
      <c r="G48" s="745">
        <v>0.0</v>
      </c>
      <c r="H48" s="746">
        <v>0.0</v>
      </c>
      <c r="I48" s="756"/>
      <c r="J48" s="748">
        <f t="shared" si="1"/>
        <v>0</v>
      </c>
      <c r="K48" s="749"/>
      <c r="L48" s="782">
        <v>12000.0</v>
      </c>
      <c r="M48" s="759">
        <v>28000.0</v>
      </c>
      <c r="N48" s="752">
        <f t="shared" si="10"/>
        <v>1.333333333</v>
      </c>
      <c r="O48" s="753">
        <f t="shared" si="7"/>
        <v>0</v>
      </c>
    </row>
    <row r="49">
      <c r="A49" s="780"/>
      <c r="B49" s="778">
        <v>19.0</v>
      </c>
      <c r="C49" s="778">
        <v>1.0</v>
      </c>
      <c r="D49" s="778" t="s">
        <v>4041</v>
      </c>
      <c r="E49" s="779" t="s">
        <v>4042</v>
      </c>
      <c r="F49" s="758">
        <v>0.0</v>
      </c>
      <c r="G49" s="745">
        <v>0.0</v>
      </c>
      <c r="H49" s="781">
        <v>0.0</v>
      </c>
      <c r="I49" s="756"/>
      <c r="J49" s="748">
        <f t="shared" si="1"/>
        <v>0</v>
      </c>
      <c r="K49" s="749"/>
      <c r="L49" s="757">
        <v>7200.0</v>
      </c>
      <c r="M49" s="750">
        <v>22000.0</v>
      </c>
      <c r="N49" s="752">
        <f t="shared" si="10"/>
        <v>2.055555556</v>
      </c>
      <c r="O49" s="753">
        <f t="shared" si="7"/>
        <v>0</v>
      </c>
    </row>
    <row r="50">
      <c r="A50" s="780"/>
      <c r="B50" s="778">
        <v>20.0</v>
      </c>
      <c r="C50" s="778">
        <v>1.0</v>
      </c>
      <c r="D50" s="778" t="s">
        <v>4043</v>
      </c>
      <c r="E50" s="779" t="s">
        <v>4044</v>
      </c>
      <c r="F50" s="758">
        <v>0.0</v>
      </c>
      <c r="G50" s="745">
        <v>0.0</v>
      </c>
      <c r="H50" s="746">
        <v>0.0</v>
      </c>
      <c r="I50" s="783"/>
      <c r="J50" s="748">
        <f t="shared" si="1"/>
        <v>0</v>
      </c>
      <c r="K50" s="749"/>
      <c r="L50" s="784">
        <v>5600.0</v>
      </c>
      <c r="M50" s="750">
        <v>18000.0</v>
      </c>
      <c r="N50" s="752">
        <f t="shared" si="10"/>
        <v>2.214285714</v>
      </c>
      <c r="O50" s="753">
        <f t="shared" si="7"/>
        <v>0</v>
      </c>
    </row>
    <row r="51">
      <c r="A51" s="780"/>
      <c r="B51" s="778">
        <v>21.0</v>
      </c>
      <c r="C51" s="778">
        <v>1.0</v>
      </c>
      <c r="D51" s="778" t="s">
        <v>4045</v>
      </c>
      <c r="E51" s="779" t="s">
        <v>4022</v>
      </c>
      <c r="F51" s="758">
        <v>0.0</v>
      </c>
      <c r="G51" s="745">
        <v>0.0</v>
      </c>
      <c r="H51" s="746">
        <v>0.0</v>
      </c>
      <c r="I51" s="749"/>
      <c r="J51" s="748">
        <f t="shared" si="1"/>
        <v>0</v>
      </c>
      <c r="K51" s="749"/>
      <c r="L51" s="761"/>
      <c r="M51" s="754"/>
      <c r="N51" s="749"/>
      <c r="O51" s="753">
        <f t="shared" si="7"/>
        <v>0</v>
      </c>
    </row>
    <row r="52">
      <c r="A52" s="780"/>
      <c r="B52" s="778">
        <v>22.0</v>
      </c>
      <c r="C52" s="778">
        <v>1.0</v>
      </c>
      <c r="D52" s="778" t="s">
        <v>4046</v>
      </c>
      <c r="E52" s="779" t="s">
        <v>4047</v>
      </c>
      <c r="F52" s="758">
        <v>0.0</v>
      </c>
      <c r="G52" s="745">
        <v>0.0</v>
      </c>
      <c r="H52" s="781">
        <v>0.0</v>
      </c>
      <c r="I52" s="749"/>
      <c r="J52" s="748">
        <f t="shared" si="1"/>
        <v>0</v>
      </c>
      <c r="K52" s="749"/>
      <c r="L52" s="749"/>
      <c r="M52" s="754"/>
      <c r="N52" s="749"/>
      <c r="O52" s="753">
        <f t="shared" si="7"/>
        <v>0</v>
      </c>
    </row>
    <row r="53">
      <c r="A53" s="780"/>
      <c r="B53" s="778">
        <v>23.0</v>
      </c>
      <c r="C53" s="778">
        <v>4.0</v>
      </c>
      <c r="D53" s="778" t="s">
        <v>4048</v>
      </c>
      <c r="E53" s="779" t="s">
        <v>4049</v>
      </c>
      <c r="F53" s="758">
        <v>0.0</v>
      </c>
      <c r="G53" s="745">
        <v>0.0</v>
      </c>
      <c r="H53" s="746">
        <v>0.0</v>
      </c>
      <c r="I53" s="749"/>
      <c r="J53" s="748">
        <f t="shared" si="1"/>
        <v>0</v>
      </c>
      <c r="K53" s="749"/>
      <c r="L53" s="749"/>
      <c r="M53" s="754"/>
      <c r="N53" s="752"/>
      <c r="O53" s="753">
        <f t="shared" si="7"/>
        <v>0</v>
      </c>
    </row>
    <row r="54">
      <c r="A54" s="780"/>
      <c r="B54" s="778">
        <v>24.0</v>
      </c>
      <c r="C54" s="778">
        <v>2.0</v>
      </c>
      <c r="D54" s="778" t="s">
        <v>4050</v>
      </c>
      <c r="E54" s="779" t="s">
        <v>4051</v>
      </c>
      <c r="F54" s="758">
        <v>0.0</v>
      </c>
      <c r="G54" s="745">
        <v>0.0</v>
      </c>
      <c r="H54" s="746">
        <v>0.0</v>
      </c>
      <c r="I54" s="749"/>
      <c r="J54" s="748">
        <f t="shared" si="1"/>
        <v>0</v>
      </c>
      <c r="K54" s="749"/>
      <c r="L54" s="749"/>
      <c r="M54" s="754"/>
      <c r="N54" s="749"/>
      <c r="O54" s="753">
        <f t="shared" si="7"/>
        <v>0</v>
      </c>
    </row>
    <row r="55">
      <c r="A55" s="780"/>
      <c r="B55" s="778">
        <v>25.0</v>
      </c>
      <c r="C55" s="778">
        <v>2.0</v>
      </c>
      <c r="D55" s="778" t="s">
        <v>4052</v>
      </c>
      <c r="E55" s="779" t="s">
        <v>4053</v>
      </c>
      <c r="F55" s="758">
        <v>0.0</v>
      </c>
      <c r="G55" s="745">
        <v>0.0</v>
      </c>
      <c r="H55" s="781">
        <v>0.0</v>
      </c>
      <c r="I55" s="756"/>
      <c r="J55" s="748">
        <f t="shared" si="1"/>
        <v>0</v>
      </c>
      <c r="K55" s="749"/>
      <c r="L55" s="757">
        <v>20800.0</v>
      </c>
      <c r="M55" s="719">
        <v>30000.0</v>
      </c>
      <c r="N55" s="752">
        <f>(M55/L55)-1</f>
        <v>0.4423076923</v>
      </c>
      <c r="O55" s="753">
        <f t="shared" si="7"/>
        <v>0</v>
      </c>
    </row>
    <row r="56">
      <c r="A56" s="777" t="s">
        <v>340</v>
      </c>
      <c r="B56" s="778">
        <v>26.0</v>
      </c>
      <c r="C56" s="778">
        <v>2.0</v>
      </c>
      <c r="D56" s="778" t="s">
        <v>4054</v>
      </c>
      <c r="E56" s="779" t="s">
        <v>4055</v>
      </c>
      <c r="F56" s="745">
        <v>32.0</v>
      </c>
      <c r="G56" s="745">
        <v>0.0</v>
      </c>
      <c r="H56" s="746">
        <v>0.0</v>
      </c>
      <c r="I56" s="747"/>
      <c r="J56" s="748">
        <f t="shared" si="1"/>
        <v>0</v>
      </c>
      <c r="K56" s="749"/>
      <c r="L56" s="750">
        <f>294454*1.19/10</f>
        <v>35040.026</v>
      </c>
      <c r="M56" s="719">
        <v>50000.0</v>
      </c>
      <c r="N56" s="752"/>
      <c r="O56" s="753">
        <f t="shared" si="7"/>
        <v>0</v>
      </c>
    </row>
    <row r="57">
      <c r="A57" s="777" t="s">
        <v>340</v>
      </c>
      <c r="B57" s="778">
        <v>27.0</v>
      </c>
      <c r="C57" s="778">
        <v>1.0</v>
      </c>
      <c r="D57" s="778" t="s">
        <v>4056</v>
      </c>
      <c r="E57" s="779" t="s">
        <v>4057</v>
      </c>
      <c r="F57" s="745">
        <v>12.0</v>
      </c>
      <c r="G57" s="745">
        <v>5.0</v>
      </c>
      <c r="H57" s="746">
        <v>0.0</v>
      </c>
      <c r="I57" s="747"/>
      <c r="J57" s="748">
        <f t="shared" si="1"/>
        <v>0</v>
      </c>
      <c r="K57" s="749"/>
      <c r="L57" s="759">
        <f>16134*1.19</f>
        <v>19199.46</v>
      </c>
      <c r="M57" s="763">
        <v>32000.0</v>
      </c>
      <c r="N57" s="752">
        <f>(M57/L57)-1</f>
        <v>0.666713543</v>
      </c>
      <c r="O57" s="753">
        <f t="shared" si="7"/>
        <v>0</v>
      </c>
    </row>
    <row r="58">
      <c r="A58" s="780"/>
      <c r="B58" s="778">
        <v>28.0</v>
      </c>
      <c r="C58" s="778">
        <v>2.0</v>
      </c>
      <c r="D58" s="778" t="s">
        <v>4058</v>
      </c>
      <c r="E58" s="779" t="s">
        <v>4059</v>
      </c>
      <c r="F58" s="758">
        <v>0.0</v>
      </c>
      <c r="G58" s="745">
        <v>0.0</v>
      </c>
      <c r="H58" s="781">
        <v>0.0</v>
      </c>
      <c r="I58" s="749"/>
      <c r="J58" s="748">
        <f t="shared" si="1"/>
        <v>0</v>
      </c>
      <c r="K58" s="749"/>
      <c r="L58" s="761"/>
      <c r="M58" s="754"/>
      <c r="N58" s="749"/>
      <c r="O58" s="753">
        <f t="shared" si="7"/>
        <v>0</v>
      </c>
    </row>
    <row r="59">
      <c r="A59" s="777" t="s">
        <v>340</v>
      </c>
      <c r="B59" s="778">
        <v>29.0</v>
      </c>
      <c r="C59" s="778">
        <v>2.0</v>
      </c>
      <c r="D59" s="778" t="s">
        <v>4060</v>
      </c>
      <c r="E59" s="779" t="s">
        <v>4061</v>
      </c>
      <c r="F59" s="745">
        <v>1.0</v>
      </c>
      <c r="G59" s="745">
        <v>12.0</v>
      </c>
      <c r="H59" s="746">
        <v>40.0</v>
      </c>
      <c r="I59" s="747"/>
      <c r="J59" s="748">
        <f t="shared" si="1"/>
        <v>40</v>
      </c>
      <c r="K59" s="749" t="s">
        <v>2799</v>
      </c>
      <c r="L59" s="762">
        <f>8269*1.19</f>
        <v>9840.11</v>
      </c>
      <c r="M59" s="762">
        <v>18000.0</v>
      </c>
      <c r="N59" s="752"/>
      <c r="O59" s="753">
        <f t="shared" si="7"/>
        <v>393604.4</v>
      </c>
    </row>
    <row r="60">
      <c r="A60" s="780"/>
      <c r="B60" s="778">
        <v>30.0</v>
      </c>
      <c r="C60" s="778">
        <v>2.0</v>
      </c>
      <c r="D60" s="778" t="s">
        <v>4062</v>
      </c>
      <c r="E60" s="779" t="s">
        <v>4063</v>
      </c>
      <c r="F60" s="758">
        <v>0.0</v>
      </c>
      <c r="G60" s="745">
        <v>0.0</v>
      </c>
      <c r="H60" s="781">
        <v>0.0</v>
      </c>
      <c r="I60" s="783"/>
      <c r="J60" s="748">
        <f t="shared" si="1"/>
        <v>0</v>
      </c>
      <c r="K60" s="749"/>
      <c r="L60" s="784">
        <v>17600.0</v>
      </c>
      <c r="M60" s="750">
        <v>32000.0</v>
      </c>
      <c r="N60" s="752">
        <f t="shared" ref="N60:N61" si="11">(M60/L60)-1</f>
        <v>0.8181818182</v>
      </c>
      <c r="O60" s="753">
        <f t="shared" si="7"/>
        <v>0</v>
      </c>
    </row>
    <row r="61">
      <c r="A61" s="780"/>
      <c r="B61" s="778">
        <v>31.0</v>
      </c>
      <c r="C61" s="778">
        <v>2.0</v>
      </c>
      <c r="D61" s="778" t="s">
        <v>4064</v>
      </c>
      <c r="E61" s="779" t="s">
        <v>4065</v>
      </c>
      <c r="F61" s="758">
        <v>0.0</v>
      </c>
      <c r="G61" s="745">
        <v>0.0</v>
      </c>
      <c r="H61" s="781">
        <v>0.0</v>
      </c>
      <c r="I61" s="756"/>
      <c r="J61" s="748">
        <f t="shared" si="1"/>
        <v>0</v>
      </c>
      <c r="K61" s="749"/>
      <c r="L61" s="757">
        <v>2400.0</v>
      </c>
      <c r="M61" s="751">
        <v>10000.0</v>
      </c>
      <c r="N61" s="752">
        <f t="shared" si="11"/>
        <v>3.166666667</v>
      </c>
      <c r="O61" s="753">
        <f t="shared" si="7"/>
        <v>0</v>
      </c>
    </row>
    <row r="62">
      <c r="A62" s="780"/>
      <c r="B62" s="778">
        <v>32.0</v>
      </c>
      <c r="C62" s="778">
        <v>1.0</v>
      </c>
      <c r="D62" s="778" t="s">
        <v>4066</v>
      </c>
      <c r="E62" s="779" t="s">
        <v>4067</v>
      </c>
      <c r="F62" s="758">
        <v>0.0</v>
      </c>
      <c r="G62" s="745">
        <v>0.0</v>
      </c>
      <c r="H62" s="781">
        <v>0.0</v>
      </c>
      <c r="I62" s="749"/>
      <c r="J62" s="748">
        <f t="shared" si="1"/>
        <v>0</v>
      </c>
      <c r="K62" s="749"/>
      <c r="L62" s="749"/>
      <c r="M62" s="754"/>
      <c r="N62" s="749"/>
      <c r="O62" s="753">
        <f t="shared" si="7"/>
        <v>0</v>
      </c>
    </row>
    <row r="63">
      <c r="A63" s="777" t="s">
        <v>340</v>
      </c>
      <c r="B63" s="778">
        <v>33.0</v>
      </c>
      <c r="C63" s="778">
        <v>1.0</v>
      </c>
      <c r="D63" s="778" t="s">
        <v>4068</v>
      </c>
      <c r="E63" s="779" t="s">
        <v>4069</v>
      </c>
      <c r="F63" s="745">
        <v>0.0</v>
      </c>
      <c r="G63" s="745">
        <v>0.0</v>
      </c>
      <c r="H63" s="746">
        <v>15.0</v>
      </c>
      <c r="I63" s="747">
        <v>5.0</v>
      </c>
      <c r="J63" s="748">
        <f t="shared" si="1"/>
        <v>20</v>
      </c>
      <c r="K63" s="785" t="s">
        <v>4070</v>
      </c>
      <c r="L63" s="786">
        <f t="shared" ref="L63:L64" si="12">16134*1.19</f>
        <v>19199.46</v>
      </c>
      <c r="M63" s="763">
        <v>32000.0</v>
      </c>
      <c r="N63" s="752">
        <f t="shared" ref="N63:N64" si="13">(M63/L63)-1</f>
        <v>0.666713543</v>
      </c>
      <c r="O63" s="753">
        <f t="shared" si="7"/>
        <v>287991.9</v>
      </c>
    </row>
    <row r="64">
      <c r="A64" s="777" t="s">
        <v>340</v>
      </c>
      <c r="B64" s="778">
        <v>34.0</v>
      </c>
      <c r="C64" s="778">
        <v>1.0</v>
      </c>
      <c r="D64" s="778" t="s">
        <v>4071</v>
      </c>
      <c r="E64" s="779" t="s">
        <v>4072</v>
      </c>
      <c r="F64" s="745">
        <v>0.0</v>
      </c>
      <c r="G64" s="745">
        <v>0.0</v>
      </c>
      <c r="H64" s="746">
        <v>15.0</v>
      </c>
      <c r="I64" s="747">
        <v>5.0</v>
      </c>
      <c r="J64" s="748">
        <f t="shared" si="1"/>
        <v>20</v>
      </c>
      <c r="K64" s="785" t="s">
        <v>4070</v>
      </c>
      <c r="L64" s="787">
        <f t="shared" si="12"/>
        <v>19199.46</v>
      </c>
      <c r="M64" s="751">
        <v>32000.0</v>
      </c>
      <c r="N64" s="752">
        <f t="shared" si="13"/>
        <v>0.666713543</v>
      </c>
      <c r="O64" s="753">
        <f t="shared" si="7"/>
        <v>287991.9</v>
      </c>
    </row>
    <row r="65">
      <c r="A65" s="280"/>
      <c r="B65" s="280"/>
      <c r="C65" s="280"/>
      <c r="D65" s="280"/>
      <c r="E65" s="788"/>
      <c r="F65" s="789"/>
      <c r="G65" s="789"/>
      <c r="H65" s="790"/>
      <c r="I65" s="791"/>
      <c r="J65" s="792"/>
      <c r="K65" s="792"/>
      <c r="L65" s="791"/>
      <c r="M65" s="793"/>
      <c r="N65" s="617"/>
      <c r="O65" s="794"/>
    </row>
    <row r="66">
      <c r="A66" s="280"/>
      <c r="B66" s="280"/>
      <c r="C66" s="280"/>
      <c r="D66" s="280"/>
      <c r="E66" s="788"/>
      <c r="F66" s="789"/>
      <c r="G66" s="789"/>
      <c r="H66" s="790"/>
      <c r="I66" s="791"/>
      <c r="J66" s="792"/>
      <c r="K66" s="792"/>
      <c r="L66" s="791"/>
      <c r="M66" s="793"/>
      <c r="N66" s="617"/>
      <c r="O66" s="794"/>
    </row>
    <row r="67">
      <c r="A67" s="280"/>
      <c r="B67" s="280"/>
      <c r="C67" s="280"/>
      <c r="D67" s="280"/>
      <c r="E67" s="788"/>
      <c r="F67" s="789"/>
      <c r="G67" s="789"/>
      <c r="H67" s="790"/>
      <c r="I67" s="791"/>
      <c r="J67" s="792"/>
      <c r="K67" s="792"/>
      <c r="L67" s="791"/>
      <c r="M67" s="793"/>
      <c r="N67" s="617"/>
      <c r="O67" s="794"/>
    </row>
    <row r="68">
      <c r="A68" s="280"/>
      <c r="B68" s="280"/>
      <c r="C68" s="280"/>
      <c r="D68" s="280"/>
      <c r="E68" s="788"/>
      <c r="F68" s="789"/>
      <c r="G68" s="789"/>
      <c r="H68" s="790"/>
      <c r="I68" s="791"/>
      <c r="J68" s="792"/>
      <c r="K68" s="792"/>
      <c r="L68" s="791"/>
      <c r="M68" s="793"/>
      <c r="N68" s="617"/>
      <c r="O68" s="794"/>
    </row>
    <row r="69">
      <c r="A69" s="280"/>
      <c r="B69" s="280"/>
      <c r="C69" s="280"/>
      <c r="D69" s="280"/>
      <c r="E69" s="788"/>
      <c r="F69" s="789"/>
      <c r="G69" s="789"/>
      <c r="H69" s="790"/>
      <c r="I69" s="791"/>
      <c r="J69" s="792"/>
      <c r="K69" s="792"/>
      <c r="L69" s="791"/>
      <c r="M69" s="793"/>
      <c r="N69" s="617"/>
      <c r="O69" s="794"/>
    </row>
    <row r="70">
      <c r="A70" s="280"/>
      <c r="B70" s="280"/>
      <c r="C70" s="280"/>
      <c r="D70" s="280"/>
      <c r="E70" s="788"/>
      <c r="F70" s="789"/>
      <c r="G70" s="789"/>
      <c r="H70" s="790"/>
      <c r="I70" s="791"/>
      <c r="J70" s="792"/>
      <c r="K70" s="792"/>
      <c r="L70" s="791"/>
      <c r="M70" s="793"/>
      <c r="N70" s="617"/>
      <c r="O70" s="794"/>
    </row>
    <row r="71">
      <c r="A71" s="280"/>
      <c r="B71" s="280"/>
      <c r="C71" s="280"/>
      <c r="D71" s="280"/>
      <c r="E71" s="596"/>
      <c r="F71" s="795"/>
      <c r="G71" s="795"/>
      <c r="H71" s="790"/>
      <c r="I71" s="791"/>
      <c r="J71" s="792"/>
      <c r="K71" s="792"/>
      <c r="L71" s="791"/>
      <c r="M71" s="793"/>
      <c r="N71" s="617"/>
      <c r="O71" s="794"/>
    </row>
    <row r="72">
      <c r="A72" s="280"/>
      <c r="B72" s="280"/>
      <c r="C72" s="280"/>
      <c r="D72" s="280"/>
      <c r="E72" s="596"/>
      <c r="F72" s="789"/>
      <c r="G72" s="789"/>
      <c r="H72" s="790"/>
      <c r="I72" s="791"/>
      <c r="J72" s="792"/>
      <c r="K72" s="792"/>
      <c r="L72" s="791"/>
      <c r="M72" s="793"/>
      <c r="N72" s="617"/>
      <c r="O72" s="794"/>
    </row>
    <row r="73">
      <c r="A73" s="280"/>
      <c r="B73" s="280"/>
      <c r="C73" s="280"/>
      <c r="D73" s="280"/>
      <c r="E73" s="596"/>
      <c r="F73" s="789"/>
      <c r="G73" s="789"/>
      <c r="H73" s="790"/>
      <c r="I73" s="791"/>
      <c r="J73" s="792"/>
      <c r="K73" s="792"/>
      <c r="L73" s="791"/>
      <c r="M73" s="793"/>
      <c r="N73" s="617"/>
      <c r="O73" s="794"/>
    </row>
    <row r="74">
      <c r="A74" s="280"/>
      <c r="B74" s="280"/>
      <c r="C74" s="280"/>
      <c r="D74" s="280"/>
      <c r="E74" s="788"/>
      <c r="F74" s="789"/>
      <c r="G74" s="789"/>
      <c r="H74" s="790"/>
      <c r="I74" s="791"/>
      <c r="J74" s="792"/>
      <c r="K74" s="792"/>
      <c r="L74" s="791"/>
      <c r="M74" s="793"/>
      <c r="N74" s="617"/>
      <c r="O74" s="794"/>
    </row>
    <row r="75">
      <c r="A75" s="280"/>
      <c r="B75" s="280"/>
      <c r="C75" s="280"/>
      <c r="D75" s="280"/>
      <c r="E75" s="788"/>
      <c r="F75" s="789"/>
      <c r="G75" s="789"/>
      <c r="H75" s="790"/>
      <c r="I75" s="791"/>
      <c r="J75" s="792"/>
      <c r="K75" s="792"/>
      <c r="L75" s="791"/>
      <c r="M75" s="793"/>
      <c r="N75" s="617"/>
      <c r="O75" s="794"/>
    </row>
    <row r="76">
      <c r="A76" s="280"/>
      <c r="B76" s="280"/>
      <c r="C76" s="280"/>
      <c r="D76" s="280"/>
      <c r="E76" s="788"/>
      <c r="F76" s="789"/>
      <c r="G76" s="789"/>
      <c r="H76" s="790"/>
      <c r="I76" s="791"/>
      <c r="J76" s="792"/>
      <c r="K76" s="792"/>
      <c r="L76" s="791"/>
      <c r="M76" s="793"/>
      <c r="N76" s="617"/>
      <c r="O76" s="794"/>
    </row>
    <row r="77">
      <c r="A77" s="280"/>
      <c r="B77" s="280"/>
      <c r="C77" s="280"/>
      <c r="D77" s="280"/>
      <c r="E77" s="788"/>
      <c r="F77" s="789"/>
      <c r="G77" s="789"/>
      <c r="H77" s="790"/>
      <c r="I77" s="791"/>
      <c r="J77" s="792"/>
      <c r="K77" s="792"/>
      <c r="L77" s="791"/>
      <c r="M77" s="793"/>
      <c r="N77" s="617"/>
      <c r="O77" s="794"/>
    </row>
    <row r="78">
      <c r="A78" s="280"/>
      <c r="B78" s="280"/>
      <c r="C78" s="280"/>
      <c r="D78" s="280"/>
      <c r="E78" s="788"/>
      <c r="F78" s="789"/>
      <c r="G78" s="789"/>
      <c r="H78" s="790"/>
      <c r="I78" s="791"/>
      <c r="J78" s="792"/>
      <c r="K78" s="792"/>
      <c r="L78" s="791"/>
      <c r="M78" s="793"/>
      <c r="N78" s="617"/>
      <c r="O78" s="794"/>
    </row>
    <row r="79">
      <c r="A79" s="280"/>
      <c r="B79" s="280"/>
      <c r="C79" s="280"/>
      <c r="D79" s="280"/>
      <c r="E79" s="788"/>
      <c r="F79" s="789"/>
      <c r="G79" s="789"/>
      <c r="H79" s="790"/>
      <c r="I79" s="791"/>
      <c r="J79" s="792"/>
      <c r="K79" s="792"/>
      <c r="L79" s="791"/>
      <c r="M79" s="793"/>
      <c r="N79" s="617"/>
      <c r="O79" s="794"/>
    </row>
    <row r="80">
      <c r="A80" s="280"/>
      <c r="B80" s="280"/>
      <c r="C80" s="280"/>
      <c r="D80" s="280"/>
      <c r="E80" s="596"/>
      <c r="F80" s="789"/>
      <c r="G80" s="789"/>
      <c r="H80" s="790"/>
      <c r="I80" s="791"/>
      <c r="J80" s="792"/>
      <c r="K80" s="792"/>
      <c r="L80" s="791"/>
      <c r="M80" s="793"/>
      <c r="N80" s="617"/>
      <c r="O80" s="794"/>
    </row>
    <row r="81">
      <c r="A81" s="280"/>
      <c r="B81" s="280"/>
      <c r="C81" s="280"/>
      <c r="D81" s="280"/>
      <c r="E81" s="788"/>
      <c r="F81" s="789"/>
      <c r="G81" s="789"/>
      <c r="H81" s="790"/>
      <c r="I81" s="791"/>
      <c r="J81" s="792"/>
      <c r="K81" s="792"/>
      <c r="L81" s="791"/>
      <c r="M81" s="793"/>
      <c r="N81" s="617"/>
      <c r="O81" s="794"/>
    </row>
    <row r="82">
      <c r="A82" s="280"/>
      <c r="B82" s="280"/>
      <c r="C82" s="280"/>
      <c r="D82" s="280"/>
      <c r="E82" s="788"/>
      <c r="F82" s="789"/>
      <c r="G82" s="789"/>
      <c r="H82" s="790"/>
      <c r="I82" s="791"/>
      <c r="J82" s="792"/>
      <c r="K82" s="792"/>
      <c r="L82" s="791"/>
      <c r="M82" s="793"/>
      <c r="N82" s="617"/>
      <c r="O82" s="794"/>
    </row>
    <row r="83">
      <c r="A83" s="280"/>
      <c r="B83" s="280"/>
      <c r="C83" s="280"/>
      <c r="D83" s="280"/>
      <c r="E83" s="788"/>
      <c r="F83" s="789"/>
      <c r="G83" s="789"/>
      <c r="H83" s="790"/>
      <c r="I83" s="791"/>
      <c r="J83" s="792"/>
      <c r="K83" s="792"/>
      <c r="L83" s="791"/>
      <c r="M83" s="793"/>
      <c r="N83" s="617"/>
      <c r="O83" s="794"/>
    </row>
    <row r="84">
      <c r="A84" s="280"/>
      <c r="B84" s="280"/>
      <c r="C84" s="280"/>
      <c r="D84" s="280"/>
      <c r="F84" s="789"/>
      <c r="G84" s="789"/>
      <c r="H84" s="790"/>
      <c r="I84" s="791"/>
      <c r="J84" s="792"/>
      <c r="K84" s="792"/>
      <c r="L84" s="791"/>
      <c r="M84" s="793"/>
      <c r="N84" s="617"/>
      <c r="O84" s="794"/>
    </row>
    <row r="85">
      <c r="A85" s="280"/>
      <c r="B85" s="280"/>
      <c r="C85" s="280"/>
      <c r="D85" s="280"/>
      <c r="F85" s="789"/>
      <c r="G85" s="789"/>
      <c r="H85" s="790"/>
      <c r="I85" s="791"/>
      <c r="J85" s="792"/>
      <c r="K85" s="792"/>
      <c r="L85" s="791"/>
      <c r="M85" s="793"/>
      <c r="N85" s="617"/>
      <c r="O85" s="794"/>
    </row>
    <row r="86">
      <c r="A86" s="280"/>
      <c r="B86" s="280"/>
      <c r="C86" s="280"/>
      <c r="D86" s="280"/>
      <c r="F86" s="789"/>
      <c r="G86" s="789"/>
      <c r="H86" s="790"/>
      <c r="I86" s="791"/>
      <c r="J86" s="792"/>
      <c r="K86" s="792"/>
      <c r="L86" s="791"/>
      <c r="M86" s="793"/>
      <c r="N86" s="617"/>
      <c r="O86" s="794"/>
    </row>
    <row r="87">
      <c r="A87" s="280"/>
      <c r="B87" s="280"/>
      <c r="C87" s="280"/>
      <c r="D87" s="280"/>
      <c r="F87" s="789"/>
      <c r="G87" s="789"/>
      <c r="H87" s="790"/>
      <c r="I87" s="791"/>
      <c r="J87" s="792"/>
      <c r="K87" s="792"/>
      <c r="L87" s="791"/>
      <c r="M87" s="793"/>
      <c r="N87" s="617"/>
      <c r="O87" s="794"/>
    </row>
    <row r="88">
      <c r="A88" s="280"/>
      <c r="B88" s="280"/>
      <c r="C88" s="280"/>
      <c r="D88" s="280"/>
      <c r="F88" s="789"/>
      <c r="G88" s="789"/>
      <c r="H88" s="790"/>
      <c r="I88" s="791"/>
      <c r="J88" s="792"/>
      <c r="K88" s="792"/>
      <c r="L88" s="791"/>
      <c r="M88" s="793"/>
      <c r="N88" s="617"/>
      <c r="O88" s="794"/>
    </row>
    <row r="89">
      <c r="A89" s="280"/>
      <c r="B89" s="280"/>
      <c r="C89" s="280"/>
      <c r="D89" s="280"/>
      <c r="F89" s="789"/>
      <c r="G89" s="789"/>
      <c r="H89" s="790"/>
      <c r="I89" s="791"/>
      <c r="J89" s="792"/>
      <c r="K89" s="792"/>
      <c r="L89" s="791"/>
      <c r="M89" s="793"/>
      <c r="N89" s="617"/>
      <c r="O89" s="794"/>
    </row>
    <row r="90">
      <c r="A90" s="280"/>
      <c r="B90" s="280"/>
      <c r="C90" s="280"/>
      <c r="D90" s="280"/>
      <c r="F90" s="789"/>
      <c r="G90" s="789"/>
      <c r="H90" s="790"/>
      <c r="I90" s="791"/>
      <c r="J90" s="792"/>
      <c r="K90" s="792"/>
      <c r="L90" s="791"/>
      <c r="M90" s="793"/>
      <c r="N90" s="617"/>
      <c r="O90" s="794"/>
    </row>
    <row r="91">
      <c r="A91" s="280"/>
      <c r="B91" s="280"/>
      <c r="C91" s="280"/>
      <c r="D91" s="280"/>
      <c r="F91" s="789"/>
      <c r="G91" s="789"/>
      <c r="H91" s="790"/>
      <c r="I91" s="791"/>
      <c r="J91" s="792"/>
      <c r="K91" s="792"/>
      <c r="L91" s="791"/>
      <c r="M91" s="793"/>
      <c r="N91" s="617"/>
      <c r="O91" s="794"/>
    </row>
    <row r="92">
      <c r="A92" s="280"/>
      <c r="B92" s="280"/>
      <c r="C92" s="280"/>
      <c r="D92" s="280"/>
      <c r="F92" s="789"/>
      <c r="G92" s="789"/>
      <c r="H92" s="790"/>
      <c r="I92" s="791"/>
      <c r="J92" s="792"/>
      <c r="K92" s="792"/>
      <c r="L92" s="791"/>
      <c r="M92" s="793"/>
      <c r="N92" s="617"/>
      <c r="O92" s="794"/>
    </row>
    <row r="93">
      <c r="A93" s="280"/>
      <c r="B93" s="280"/>
      <c r="C93" s="280"/>
      <c r="D93" s="280"/>
      <c r="F93" s="789"/>
      <c r="G93" s="789"/>
      <c r="H93" s="790"/>
      <c r="I93" s="791"/>
      <c r="J93" s="792"/>
      <c r="K93" s="792"/>
      <c r="L93" s="791"/>
      <c r="M93" s="793"/>
      <c r="N93" s="617"/>
      <c r="O93" s="794"/>
    </row>
    <row r="94">
      <c r="A94" s="280"/>
      <c r="B94" s="280"/>
      <c r="C94" s="280"/>
      <c r="D94" s="280"/>
      <c r="F94" s="789"/>
      <c r="G94" s="789"/>
      <c r="H94" s="790"/>
      <c r="I94" s="791"/>
      <c r="J94" s="792"/>
      <c r="K94" s="792"/>
      <c r="L94" s="791"/>
      <c r="M94" s="793"/>
      <c r="N94" s="617"/>
      <c r="O94" s="794"/>
    </row>
    <row r="95">
      <c r="A95" s="280"/>
      <c r="B95" s="280"/>
      <c r="C95" s="280"/>
      <c r="D95" s="280"/>
      <c r="F95" s="789"/>
      <c r="G95" s="789"/>
      <c r="H95" s="790"/>
      <c r="I95" s="791"/>
      <c r="J95" s="792"/>
      <c r="K95" s="792"/>
      <c r="L95" s="791"/>
      <c r="M95" s="793"/>
      <c r="N95" s="617"/>
      <c r="O95" s="794"/>
    </row>
    <row r="96">
      <c r="A96" s="280"/>
      <c r="B96" s="280"/>
      <c r="C96" s="280"/>
      <c r="D96" s="280"/>
      <c r="F96" s="789"/>
      <c r="G96" s="789"/>
      <c r="H96" s="790"/>
      <c r="I96" s="791"/>
      <c r="J96" s="792"/>
      <c r="K96" s="792"/>
      <c r="L96" s="791"/>
      <c r="M96" s="793"/>
      <c r="N96" s="617"/>
      <c r="O96" s="794"/>
    </row>
    <row r="97">
      <c r="A97" s="280"/>
      <c r="B97" s="280"/>
      <c r="C97" s="280"/>
      <c r="D97" s="280"/>
      <c r="F97" s="789"/>
      <c r="G97" s="789"/>
      <c r="H97" s="790"/>
      <c r="I97" s="791"/>
      <c r="J97" s="792"/>
      <c r="K97" s="792"/>
      <c r="L97" s="791"/>
      <c r="M97" s="793"/>
      <c r="N97" s="617"/>
      <c r="O97" s="794"/>
    </row>
    <row r="98">
      <c r="A98" s="280"/>
      <c r="B98" s="280"/>
      <c r="C98" s="280"/>
      <c r="D98" s="280"/>
      <c r="F98" s="789"/>
      <c r="G98" s="789"/>
      <c r="H98" s="790"/>
      <c r="I98" s="791"/>
      <c r="J98" s="792"/>
      <c r="K98" s="792"/>
      <c r="L98" s="791"/>
      <c r="M98" s="793"/>
      <c r="N98" s="617"/>
      <c r="O98" s="794"/>
    </row>
    <row r="99">
      <c r="A99" s="280"/>
      <c r="B99" s="280"/>
      <c r="C99" s="280"/>
      <c r="D99" s="280"/>
      <c r="F99" s="789"/>
      <c r="G99" s="789"/>
      <c r="H99" s="790"/>
      <c r="I99" s="791"/>
      <c r="J99" s="792"/>
      <c r="K99" s="792"/>
      <c r="L99" s="791"/>
      <c r="M99" s="793"/>
      <c r="N99" s="617"/>
      <c r="O99" s="794"/>
    </row>
    <row r="100">
      <c r="A100" s="280"/>
      <c r="B100" s="280"/>
      <c r="C100" s="280"/>
      <c r="D100" s="280"/>
      <c r="F100" s="789"/>
      <c r="G100" s="789"/>
      <c r="H100" s="790"/>
      <c r="I100" s="791"/>
      <c r="J100" s="792"/>
      <c r="K100" s="792"/>
      <c r="L100" s="791"/>
      <c r="M100" s="793"/>
      <c r="N100" s="617"/>
      <c r="O100" s="794"/>
    </row>
    <row r="101">
      <c r="A101" s="280"/>
      <c r="B101" s="280"/>
      <c r="C101" s="280"/>
      <c r="D101" s="280"/>
      <c r="F101" s="789"/>
      <c r="G101" s="789"/>
      <c r="H101" s="790"/>
      <c r="I101" s="791"/>
      <c r="J101" s="792"/>
      <c r="K101" s="792"/>
      <c r="L101" s="791"/>
      <c r="M101" s="793"/>
      <c r="N101" s="617"/>
      <c r="O101" s="794"/>
    </row>
    <row r="102">
      <c r="A102" s="280"/>
      <c r="B102" s="280"/>
      <c r="C102" s="280"/>
      <c r="D102" s="280"/>
      <c r="F102" s="789"/>
      <c r="G102" s="789"/>
      <c r="H102" s="790"/>
      <c r="I102" s="791"/>
      <c r="J102" s="792"/>
      <c r="K102" s="792"/>
      <c r="L102" s="791"/>
      <c r="M102" s="793"/>
      <c r="N102" s="617"/>
      <c r="O102" s="794"/>
    </row>
    <row r="103">
      <c r="A103" s="280"/>
      <c r="B103" s="280"/>
      <c r="C103" s="280"/>
      <c r="D103" s="280"/>
      <c r="F103" s="789"/>
      <c r="G103" s="789"/>
      <c r="H103" s="790"/>
      <c r="I103" s="791"/>
      <c r="J103" s="792"/>
      <c r="K103" s="792"/>
      <c r="L103" s="791"/>
      <c r="M103" s="793"/>
      <c r="N103" s="617"/>
      <c r="O103" s="794"/>
    </row>
    <row r="104">
      <c r="A104" s="280"/>
      <c r="B104" s="280"/>
      <c r="C104" s="280"/>
      <c r="D104" s="280"/>
      <c r="F104" s="789"/>
      <c r="G104" s="789"/>
      <c r="H104" s="790"/>
      <c r="I104" s="791"/>
      <c r="J104" s="792"/>
      <c r="K104" s="792"/>
      <c r="L104" s="791"/>
      <c r="M104" s="793"/>
      <c r="N104" s="617"/>
      <c r="O104" s="794"/>
    </row>
    <row r="105">
      <c r="A105" s="280"/>
      <c r="B105" s="280"/>
      <c r="C105" s="280"/>
      <c r="D105" s="280"/>
      <c r="F105" s="789"/>
      <c r="G105" s="789"/>
      <c r="H105" s="790"/>
      <c r="I105" s="791"/>
      <c r="J105" s="792"/>
      <c r="K105" s="792"/>
      <c r="L105" s="791"/>
      <c r="M105" s="793"/>
      <c r="N105" s="617"/>
      <c r="O105" s="794"/>
    </row>
    <row r="106">
      <c r="A106" s="280"/>
      <c r="B106" s="280"/>
      <c r="C106" s="280"/>
      <c r="D106" s="280"/>
      <c r="F106" s="789"/>
      <c r="G106" s="789"/>
      <c r="H106" s="790"/>
      <c r="I106" s="791"/>
      <c r="J106" s="792"/>
      <c r="K106" s="792"/>
      <c r="L106" s="791"/>
      <c r="M106" s="793"/>
      <c r="N106" s="617"/>
      <c r="O106" s="794"/>
    </row>
    <row r="107">
      <c r="A107" s="280"/>
      <c r="B107" s="280"/>
      <c r="C107" s="280"/>
      <c r="D107" s="280"/>
      <c r="F107" s="789"/>
      <c r="G107" s="789"/>
      <c r="H107" s="790"/>
      <c r="I107" s="791"/>
      <c r="J107" s="792"/>
      <c r="K107" s="792"/>
      <c r="L107" s="791"/>
      <c r="M107" s="793"/>
      <c r="N107" s="617"/>
      <c r="O107" s="794"/>
    </row>
    <row r="108">
      <c r="A108" s="280"/>
      <c r="B108" s="280"/>
      <c r="C108" s="280"/>
      <c r="D108" s="280"/>
      <c r="F108" s="789"/>
      <c r="G108" s="789"/>
      <c r="H108" s="790"/>
      <c r="I108" s="791"/>
      <c r="J108" s="792"/>
      <c r="K108" s="792"/>
      <c r="L108" s="791"/>
      <c r="M108" s="793"/>
      <c r="N108" s="617"/>
      <c r="O108" s="794"/>
    </row>
    <row r="109">
      <c r="A109" s="280"/>
      <c r="B109" s="280"/>
      <c r="C109" s="280"/>
      <c r="D109" s="280"/>
      <c r="F109" s="789"/>
      <c r="G109" s="789"/>
      <c r="H109" s="790"/>
      <c r="I109" s="791"/>
      <c r="J109" s="792"/>
      <c r="K109" s="792"/>
      <c r="L109" s="791"/>
      <c r="M109" s="793"/>
      <c r="N109" s="617"/>
      <c r="O109" s="794"/>
    </row>
    <row r="110">
      <c r="A110" s="280"/>
      <c r="B110" s="280"/>
      <c r="C110" s="280"/>
      <c r="D110" s="280"/>
      <c r="F110" s="789"/>
      <c r="G110" s="789"/>
      <c r="H110" s="790"/>
      <c r="I110" s="791"/>
      <c r="J110" s="792"/>
      <c r="K110" s="792"/>
      <c r="L110" s="791"/>
      <c r="M110" s="793"/>
      <c r="N110" s="617"/>
      <c r="O110" s="794"/>
    </row>
    <row r="111">
      <c r="A111" s="280"/>
      <c r="B111" s="280"/>
      <c r="C111" s="280"/>
      <c r="D111" s="280"/>
      <c r="F111" s="789"/>
      <c r="G111" s="789"/>
      <c r="H111" s="790"/>
      <c r="I111" s="791"/>
      <c r="J111" s="792"/>
      <c r="K111" s="792"/>
      <c r="L111" s="791"/>
      <c r="M111" s="793"/>
      <c r="N111" s="617"/>
      <c r="O111" s="794"/>
    </row>
    <row r="112">
      <c r="A112" s="280"/>
      <c r="B112" s="280"/>
      <c r="C112" s="280"/>
      <c r="D112" s="280"/>
      <c r="F112" s="789"/>
      <c r="G112" s="789"/>
      <c r="H112" s="790"/>
      <c r="I112" s="791"/>
      <c r="J112" s="792"/>
      <c r="K112" s="792"/>
      <c r="L112" s="791"/>
      <c r="M112" s="793"/>
      <c r="N112" s="617"/>
      <c r="O112" s="794"/>
    </row>
    <row r="113">
      <c r="A113" s="280"/>
      <c r="B113" s="280"/>
      <c r="C113" s="280"/>
      <c r="D113" s="280"/>
      <c r="F113" s="789"/>
      <c r="G113" s="789"/>
      <c r="H113" s="790"/>
      <c r="I113" s="791"/>
      <c r="J113" s="792"/>
      <c r="K113" s="792"/>
      <c r="L113" s="791"/>
      <c r="M113" s="793"/>
      <c r="N113" s="617"/>
      <c r="O113" s="794"/>
    </row>
    <row r="114">
      <c r="A114" s="280"/>
      <c r="B114" s="280"/>
      <c r="C114" s="280"/>
      <c r="D114" s="280"/>
      <c r="F114" s="789"/>
      <c r="G114" s="789"/>
      <c r="H114" s="790"/>
      <c r="I114" s="791"/>
      <c r="J114" s="792"/>
      <c r="K114" s="792"/>
      <c r="L114" s="791"/>
      <c r="M114" s="793"/>
      <c r="N114" s="617"/>
      <c r="O114" s="794"/>
    </row>
    <row r="115">
      <c r="A115" s="280"/>
      <c r="B115" s="280"/>
      <c r="C115" s="280"/>
      <c r="D115" s="280"/>
      <c r="F115" s="789"/>
      <c r="G115" s="789"/>
      <c r="H115" s="790"/>
      <c r="I115" s="791"/>
      <c r="J115" s="792"/>
      <c r="K115" s="792"/>
      <c r="L115" s="791"/>
      <c r="M115" s="793"/>
      <c r="N115" s="617"/>
      <c r="O115" s="794"/>
    </row>
    <row r="116">
      <c r="A116" s="280"/>
      <c r="B116" s="280"/>
      <c r="C116" s="280"/>
      <c r="D116" s="280"/>
      <c r="F116" s="789"/>
      <c r="G116" s="789"/>
      <c r="H116" s="790"/>
      <c r="I116" s="791"/>
      <c r="J116" s="792"/>
      <c r="K116" s="792"/>
      <c r="L116" s="791"/>
      <c r="M116" s="793"/>
      <c r="N116" s="617"/>
      <c r="O116" s="794"/>
    </row>
    <row r="117">
      <c r="A117" s="280"/>
      <c r="B117" s="280"/>
      <c r="C117" s="280"/>
      <c r="D117" s="280"/>
      <c r="F117" s="789"/>
      <c r="G117" s="789"/>
      <c r="H117" s="790"/>
      <c r="I117" s="791"/>
      <c r="J117" s="792"/>
      <c r="K117" s="792"/>
      <c r="L117" s="791"/>
      <c r="M117" s="793"/>
      <c r="N117" s="617"/>
      <c r="O117" s="794"/>
    </row>
    <row r="118">
      <c r="A118" s="280"/>
      <c r="B118" s="280"/>
      <c r="C118" s="280"/>
      <c r="D118" s="280"/>
      <c r="F118" s="789"/>
      <c r="G118" s="789"/>
      <c r="H118" s="790"/>
      <c r="I118" s="791"/>
      <c r="J118" s="792"/>
      <c r="K118" s="792"/>
      <c r="L118" s="791"/>
      <c r="M118" s="793"/>
      <c r="N118" s="617"/>
      <c r="O118" s="794"/>
    </row>
    <row r="119">
      <c r="A119" s="280"/>
      <c r="B119" s="280"/>
      <c r="C119" s="280"/>
      <c r="D119" s="280"/>
      <c r="F119" s="789"/>
      <c r="G119" s="789"/>
      <c r="H119" s="790"/>
      <c r="I119" s="791"/>
      <c r="J119" s="792"/>
      <c r="K119" s="792"/>
      <c r="L119" s="791"/>
      <c r="M119" s="793"/>
      <c r="N119" s="617"/>
      <c r="O119" s="794"/>
    </row>
    <row r="120">
      <c r="A120" s="280"/>
      <c r="B120" s="280"/>
      <c r="C120" s="280"/>
      <c r="D120" s="280"/>
      <c r="F120" s="789"/>
      <c r="G120" s="789"/>
      <c r="H120" s="790"/>
      <c r="I120" s="791"/>
      <c r="J120" s="792"/>
      <c r="K120" s="792"/>
      <c r="L120" s="791"/>
      <c r="M120" s="793"/>
      <c r="N120" s="617"/>
      <c r="O120" s="794"/>
    </row>
    <row r="121">
      <c r="A121" s="280"/>
      <c r="B121" s="280"/>
      <c r="C121" s="280"/>
      <c r="D121" s="280"/>
      <c r="F121" s="789"/>
      <c r="G121" s="789"/>
      <c r="H121" s="790"/>
      <c r="I121" s="791"/>
      <c r="J121" s="792"/>
      <c r="K121" s="792"/>
      <c r="L121" s="791"/>
      <c r="M121" s="793"/>
      <c r="N121" s="617"/>
      <c r="O121" s="794"/>
    </row>
    <row r="122">
      <c r="A122" s="280"/>
      <c r="B122" s="280"/>
      <c r="C122" s="280"/>
      <c r="D122" s="280"/>
      <c r="F122" s="789"/>
      <c r="G122" s="789"/>
      <c r="H122" s="790"/>
      <c r="I122" s="791"/>
      <c r="J122" s="792"/>
      <c r="K122" s="792"/>
      <c r="L122" s="791"/>
      <c r="M122" s="793"/>
      <c r="N122" s="617"/>
      <c r="O122" s="794"/>
    </row>
    <row r="123">
      <c r="A123" s="280"/>
      <c r="B123" s="280"/>
      <c r="C123" s="280"/>
      <c r="D123" s="280"/>
      <c r="F123" s="789"/>
      <c r="G123" s="789"/>
      <c r="H123" s="790"/>
      <c r="I123" s="791"/>
      <c r="J123" s="792"/>
      <c r="K123" s="792"/>
      <c r="L123" s="791"/>
      <c r="M123" s="793"/>
      <c r="N123" s="617"/>
      <c r="O123" s="794"/>
    </row>
    <row r="124">
      <c r="A124" s="280"/>
      <c r="B124" s="280"/>
      <c r="C124" s="280"/>
      <c r="D124" s="280"/>
      <c r="F124" s="789"/>
      <c r="G124" s="789"/>
      <c r="H124" s="790"/>
      <c r="I124" s="791"/>
      <c r="J124" s="792"/>
      <c r="K124" s="792"/>
      <c r="L124" s="791"/>
      <c r="M124" s="793"/>
      <c r="N124" s="617"/>
      <c r="O124" s="794"/>
    </row>
    <row r="125">
      <c r="A125" s="280"/>
      <c r="B125" s="280"/>
      <c r="C125" s="280"/>
      <c r="D125" s="280"/>
      <c r="F125" s="789"/>
      <c r="G125" s="789"/>
      <c r="H125" s="790"/>
      <c r="I125" s="791"/>
      <c r="J125" s="792"/>
      <c r="K125" s="792"/>
      <c r="L125" s="791"/>
      <c r="M125" s="793"/>
      <c r="N125" s="617"/>
      <c r="O125" s="794"/>
    </row>
    <row r="126">
      <c r="A126" s="280"/>
      <c r="B126" s="280"/>
      <c r="C126" s="280"/>
      <c r="D126" s="280"/>
      <c r="F126" s="789"/>
      <c r="G126" s="789"/>
      <c r="H126" s="790"/>
      <c r="I126" s="791"/>
      <c r="J126" s="792"/>
      <c r="K126" s="792"/>
      <c r="L126" s="791"/>
      <c r="M126" s="793"/>
      <c r="N126" s="617"/>
      <c r="O126" s="794"/>
    </row>
    <row r="127">
      <c r="A127" s="280"/>
      <c r="B127" s="280"/>
      <c r="C127" s="280"/>
      <c r="D127" s="280"/>
      <c r="F127" s="789"/>
      <c r="G127" s="789"/>
      <c r="H127" s="790"/>
      <c r="I127" s="791"/>
      <c r="J127" s="792"/>
      <c r="K127" s="792"/>
      <c r="L127" s="791"/>
      <c r="M127" s="793"/>
      <c r="N127" s="617"/>
      <c r="O127" s="794"/>
    </row>
    <row r="128">
      <c r="A128" s="280"/>
      <c r="B128" s="280"/>
      <c r="C128" s="280"/>
      <c r="D128" s="280"/>
      <c r="F128" s="789"/>
      <c r="G128" s="789"/>
      <c r="H128" s="790"/>
      <c r="I128" s="791"/>
      <c r="J128" s="792"/>
      <c r="K128" s="792"/>
      <c r="L128" s="791"/>
      <c r="M128" s="793"/>
      <c r="N128" s="617"/>
      <c r="O128" s="794"/>
    </row>
    <row r="129">
      <c r="A129" s="280"/>
      <c r="B129" s="280"/>
      <c r="C129" s="280"/>
      <c r="D129" s="280"/>
      <c r="F129" s="789"/>
      <c r="G129" s="789"/>
      <c r="H129" s="790"/>
      <c r="I129" s="791"/>
      <c r="J129" s="792"/>
      <c r="K129" s="792"/>
      <c r="L129" s="791"/>
      <c r="M129" s="793"/>
      <c r="N129" s="617"/>
      <c r="O129" s="794"/>
    </row>
    <row r="130">
      <c r="A130" s="280"/>
      <c r="B130" s="280"/>
      <c r="C130" s="280"/>
      <c r="D130" s="280"/>
      <c r="F130" s="789"/>
      <c r="G130" s="789"/>
      <c r="H130" s="790"/>
      <c r="I130" s="791"/>
      <c r="J130" s="792"/>
      <c r="K130" s="792"/>
      <c r="L130" s="791"/>
      <c r="M130" s="793"/>
      <c r="N130" s="617"/>
      <c r="O130" s="794"/>
    </row>
    <row r="131">
      <c r="A131" s="280"/>
      <c r="B131" s="280"/>
      <c r="C131" s="280"/>
      <c r="D131" s="280"/>
      <c r="F131" s="789"/>
      <c r="G131" s="789"/>
      <c r="H131" s="790"/>
      <c r="I131" s="791"/>
      <c r="J131" s="792"/>
      <c r="K131" s="792"/>
      <c r="L131" s="791"/>
      <c r="M131" s="793"/>
      <c r="N131" s="617"/>
      <c r="O131" s="794"/>
    </row>
    <row r="132">
      <c r="A132" s="280"/>
      <c r="B132" s="280"/>
      <c r="C132" s="280"/>
      <c r="D132" s="280"/>
      <c r="F132" s="789"/>
      <c r="G132" s="789"/>
      <c r="H132" s="790"/>
      <c r="I132" s="791"/>
      <c r="J132" s="792"/>
      <c r="K132" s="792"/>
      <c r="L132" s="791"/>
      <c r="M132" s="793"/>
      <c r="N132" s="617"/>
      <c r="O132" s="794"/>
    </row>
    <row r="133">
      <c r="A133" s="280"/>
      <c r="B133" s="280"/>
      <c r="C133" s="280"/>
      <c r="D133" s="280"/>
      <c r="F133" s="789"/>
      <c r="G133" s="789"/>
      <c r="H133" s="790"/>
      <c r="I133" s="791"/>
      <c r="J133" s="792"/>
      <c r="K133" s="792"/>
      <c r="L133" s="791"/>
      <c r="M133" s="793"/>
      <c r="N133" s="617"/>
      <c r="O133" s="794"/>
    </row>
    <row r="134">
      <c r="A134" s="280"/>
      <c r="B134" s="280"/>
      <c r="C134" s="280"/>
      <c r="D134" s="280"/>
      <c r="F134" s="789"/>
      <c r="G134" s="789"/>
      <c r="H134" s="790"/>
      <c r="I134" s="791"/>
      <c r="J134" s="792"/>
      <c r="K134" s="792"/>
      <c r="L134" s="791"/>
      <c r="M134" s="793"/>
      <c r="N134" s="617"/>
      <c r="O134" s="794"/>
    </row>
    <row r="135">
      <c r="A135" s="280"/>
      <c r="B135" s="280"/>
      <c r="C135" s="280"/>
      <c r="D135" s="280"/>
      <c r="F135" s="789"/>
      <c r="G135" s="789"/>
      <c r="H135" s="790"/>
      <c r="I135" s="791"/>
      <c r="J135" s="792"/>
      <c r="K135" s="792"/>
      <c r="L135" s="791"/>
      <c r="M135" s="793"/>
      <c r="N135" s="617"/>
      <c r="O135" s="794"/>
    </row>
    <row r="136">
      <c r="A136" s="280"/>
      <c r="B136" s="280"/>
      <c r="C136" s="280"/>
      <c r="D136" s="280"/>
      <c r="F136" s="789"/>
      <c r="G136" s="789"/>
      <c r="H136" s="790"/>
      <c r="I136" s="791"/>
      <c r="J136" s="792"/>
      <c r="K136" s="792"/>
      <c r="L136" s="791"/>
      <c r="M136" s="793"/>
      <c r="N136" s="617"/>
      <c r="O136" s="794"/>
    </row>
    <row r="137">
      <c r="A137" s="280"/>
      <c r="B137" s="280"/>
      <c r="C137" s="280"/>
      <c r="D137" s="280"/>
      <c r="F137" s="789"/>
      <c r="G137" s="789"/>
      <c r="H137" s="790"/>
      <c r="I137" s="791"/>
      <c r="J137" s="792"/>
      <c r="K137" s="792"/>
      <c r="L137" s="791"/>
      <c r="M137" s="793"/>
      <c r="N137" s="617"/>
      <c r="O137" s="794"/>
    </row>
    <row r="138">
      <c r="A138" s="280"/>
      <c r="B138" s="280"/>
      <c r="C138" s="280"/>
      <c r="D138" s="280"/>
      <c r="F138" s="789"/>
      <c r="G138" s="789"/>
      <c r="H138" s="790"/>
      <c r="I138" s="791"/>
      <c r="J138" s="792"/>
      <c r="K138" s="792"/>
      <c r="L138" s="791"/>
      <c r="M138" s="793"/>
      <c r="N138" s="617"/>
      <c r="O138" s="794"/>
    </row>
    <row r="139">
      <c r="A139" s="280"/>
      <c r="B139" s="280"/>
      <c r="C139" s="280"/>
      <c r="D139" s="280"/>
      <c r="F139" s="789"/>
      <c r="G139" s="789"/>
      <c r="H139" s="790"/>
      <c r="I139" s="791"/>
      <c r="J139" s="792"/>
      <c r="K139" s="792"/>
      <c r="L139" s="791"/>
      <c r="M139" s="793"/>
      <c r="N139" s="617"/>
      <c r="O139" s="794"/>
    </row>
    <row r="140">
      <c r="A140" s="280"/>
      <c r="B140" s="280"/>
      <c r="C140" s="280"/>
      <c r="D140" s="280"/>
      <c r="F140" s="789"/>
      <c r="G140" s="789"/>
      <c r="H140" s="790"/>
      <c r="I140" s="791"/>
      <c r="J140" s="792"/>
      <c r="K140" s="792"/>
      <c r="L140" s="791"/>
      <c r="M140" s="793"/>
      <c r="N140" s="617"/>
      <c r="O140" s="794"/>
    </row>
    <row r="141">
      <c r="A141" s="280"/>
      <c r="B141" s="280"/>
      <c r="C141" s="280"/>
      <c r="D141" s="280"/>
      <c r="F141" s="789"/>
      <c r="G141" s="789"/>
      <c r="H141" s="790"/>
      <c r="I141" s="791"/>
      <c r="J141" s="792"/>
      <c r="K141" s="792"/>
      <c r="L141" s="791"/>
      <c r="M141" s="793"/>
      <c r="N141" s="617"/>
      <c r="O141" s="794"/>
    </row>
    <row r="142">
      <c r="A142" s="280"/>
      <c r="B142" s="280"/>
      <c r="C142" s="280"/>
      <c r="D142" s="280"/>
      <c r="F142" s="789"/>
      <c r="G142" s="789"/>
      <c r="H142" s="790"/>
      <c r="I142" s="791"/>
      <c r="J142" s="792"/>
      <c r="K142" s="792"/>
      <c r="L142" s="791"/>
      <c r="M142" s="793"/>
      <c r="N142" s="617"/>
      <c r="O142" s="794"/>
    </row>
    <row r="143">
      <c r="A143" s="280"/>
      <c r="B143" s="280"/>
      <c r="C143" s="280"/>
      <c r="D143" s="280"/>
      <c r="F143" s="789"/>
      <c r="G143" s="789"/>
      <c r="H143" s="790"/>
      <c r="I143" s="791"/>
      <c r="J143" s="792"/>
      <c r="K143" s="792"/>
      <c r="L143" s="791"/>
      <c r="M143" s="793"/>
      <c r="N143" s="617"/>
      <c r="O143" s="794"/>
    </row>
    <row r="144">
      <c r="A144" s="280"/>
      <c r="B144" s="280"/>
      <c r="C144" s="280"/>
      <c r="D144" s="280"/>
      <c r="F144" s="789"/>
      <c r="G144" s="789"/>
      <c r="H144" s="790"/>
      <c r="I144" s="791"/>
      <c r="J144" s="792"/>
      <c r="K144" s="792"/>
      <c r="L144" s="791"/>
      <c r="M144" s="793"/>
      <c r="N144" s="617"/>
      <c r="O144" s="794"/>
    </row>
    <row r="145">
      <c r="A145" s="280"/>
      <c r="B145" s="280"/>
      <c r="C145" s="280"/>
      <c r="D145" s="280"/>
      <c r="F145" s="789"/>
      <c r="G145" s="789"/>
      <c r="H145" s="790"/>
      <c r="I145" s="791"/>
      <c r="J145" s="792"/>
      <c r="K145" s="792"/>
      <c r="L145" s="791"/>
      <c r="M145" s="793"/>
      <c r="N145" s="617"/>
      <c r="O145" s="794"/>
    </row>
    <row r="146">
      <c r="A146" s="280"/>
      <c r="B146" s="280"/>
      <c r="C146" s="280"/>
      <c r="D146" s="280"/>
      <c r="F146" s="789"/>
      <c r="G146" s="789"/>
      <c r="H146" s="790"/>
      <c r="I146" s="791"/>
      <c r="J146" s="792"/>
      <c r="K146" s="792"/>
      <c r="L146" s="791"/>
      <c r="M146" s="793"/>
      <c r="N146" s="617"/>
      <c r="O146" s="794"/>
    </row>
    <row r="147">
      <c r="A147" s="280"/>
      <c r="B147" s="280"/>
      <c r="C147" s="280"/>
      <c r="D147" s="280"/>
      <c r="F147" s="789"/>
      <c r="G147" s="789"/>
      <c r="H147" s="790"/>
      <c r="I147" s="791"/>
      <c r="J147" s="792"/>
      <c r="K147" s="792"/>
      <c r="L147" s="791"/>
      <c r="M147" s="793"/>
      <c r="N147" s="617"/>
      <c r="O147" s="794"/>
    </row>
    <row r="148">
      <c r="A148" s="280"/>
      <c r="B148" s="280"/>
      <c r="C148" s="280"/>
      <c r="D148" s="280"/>
      <c r="F148" s="789"/>
      <c r="G148" s="789"/>
      <c r="H148" s="790"/>
      <c r="I148" s="791"/>
      <c r="J148" s="792"/>
      <c r="K148" s="792"/>
      <c r="L148" s="791"/>
      <c r="M148" s="793"/>
      <c r="N148" s="617"/>
      <c r="O148" s="794"/>
    </row>
    <row r="149">
      <c r="A149" s="280"/>
      <c r="B149" s="280"/>
      <c r="C149" s="280"/>
      <c r="D149" s="280"/>
      <c r="F149" s="789"/>
      <c r="G149" s="789"/>
      <c r="H149" s="790"/>
      <c r="I149" s="791"/>
      <c r="J149" s="792"/>
      <c r="K149" s="792"/>
      <c r="L149" s="791"/>
      <c r="M149" s="793"/>
      <c r="N149" s="617"/>
      <c r="O149" s="794"/>
    </row>
    <row r="150">
      <c r="A150" s="280"/>
      <c r="B150" s="280"/>
      <c r="C150" s="280"/>
      <c r="D150" s="280"/>
      <c r="F150" s="789"/>
      <c r="G150" s="789"/>
      <c r="H150" s="790"/>
      <c r="I150" s="791"/>
      <c r="J150" s="792"/>
      <c r="K150" s="792"/>
      <c r="L150" s="791"/>
      <c r="M150" s="793"/>
      <c r="N150" s="617"/>
      <c r="O150" s="794"/>
    </row>
    <row r="151">
      <c r="A151" s="280"/>
      <c r="B151" s="280"/>
      <c r="C151" s="280"/>
      <c r="D151" s="280"/>
      <c r="F151" s="789"/>
      <c r="G151" s="789"/>
      <c r="H151" s="790"/>
      <c r="I151" s="791"/>
      <c r="J151" s="792"/>
      <c r="K151" s="792"/>
      <c r="L151" s="791"/>
      <c r="M151" s="793"/>
      <c r="N151" s="617"/>
      <c r="O151" s="794"/>
    </row>
    <row r="152">
      <c r="A152" s="280"/>
      <c r="B152" s="280"/>
      <c r="C152" s="280"/>
      <c r="D152" s="280"/>
      <c r="F152" s="789"/>
      <c r="G152" s="789"/>
      <c r="H152" s="790"/>
      <c r="I152" s="791"/>
      <c r="J152" s="792"/>
      <c r="K152" s="792"/>
      <c r="L152" s="791"/>
      <c r="M152" s="793"/>
      <c r="N152" s="617"/>
      <c r="O152" s="794"/>
    </row>
    <row r="153">
      <c r="A153" s="280"/>
      <c r="B153" s="280"/>
      <c r="C153" s="280"/>
      <c r="D153" s="280"/>
      <c r="F153" s="789"/>
      <c r="G153" s="789"/>
      <c r="H153" s="790"/>
      <c r="I153" s="791"/>
      <c r="J153" s="792"/>
      <c r="K153" s="792"/>
      <c r="L153" s="791"/>
      <c r="M153" s="793"/>
      <c r="N153" s="617"/>
      <c r="O153" s="794"/>
    </row>
    <row r="154">
      <c r="A154" s="280"/>
      <c r="B154" s="280"/>
      <c r="C154" s="280"/>
      <c r="D154" s="280"/>
      <c r="F154" s="789"/>
      <c r="G154" s="789"/>
      <c r="H154" s="790"/>
      <c r="I154" s="791"/>
      <c r="J154" s="792"/>
      <c r="K154" s="792"/>
      <c r="L154" s="791"/>
      <c r="M154" s="793"/>
      <c r="N154" s="617"/>
      <c r="O154" s="794"/>
    </row>
    <row r="155">
      <c r="A155" s="280"/>
      <c r="B155" s="280"/>
      <c r="C155" s="280"/>
      <c r="D155" s="280"/>
      <c r="F155" s="789"/>
      <c r="G155" s="789"/>
      <c r="H155" s="790"/>
      <c r="I155" s="791"/>
      <c r="J155" s="792"/>
      <c r="K155" s="792"/>
      <c r="L155" s="791"/>
      <c r="M155" s="793"/>
      <c r="N155" s="617"/>
      <c r="O155" s="794"/>
    </row>
    <row r="156">
      <c r="A156" s="280"/>
      <c r="B156" s="280"/>
      <c r="C156" s="280"/>
      <c r="D156" s="280"/>
      <c r="F156" s="789"/>
      <c r="G156" s="789"/>
      <c r="H156" s="790"/>
      <c r="I156" s="791"/>
      <c r="J156" s="792"/>
      <c r="K156" s="792"/>
      <c r="L156" s="791"/>
      <c r="M156" s="793"/>
      <c r="N156" s="617"/>
      <c r="O156" s="794"/>
    </row>
    <row r="157">
      <c r="A157" s="280"/>
      <c r="B157" s="280"/>
      <c r="C157" s="280"/>
      <c r="D157" s="280"/>
      <c r="F157" s="789"/>
      <c r="G157" s="789"/>
      <c r="H157" s="790"/>
      <c r="I157" s="791"/>
      <c r="J157" s="792"/>
      <c r="K157" s="792"/>
      <c r="L157" s="791"/>
      <c r="M157" s="793"/>
      <c r="N157" s="617"/>
      <c r="O157" s="794"/>
    </row>
    <row r="158">
      <c r="A158" s="280"/>
      <c r="B158" s="280"/>
      <c r="C158" s="280"/>
      <c r="D158" s="280"/>
      <c r="F158" s="789"/>
      <c r="G158" s="789"/>
      <c r="H158" s="790"/>
      <c r="I158" s="791"/>
      <c r="J158" s="792"/>
      <c r="K158" s="792"/>
      <c r="L158" s="791"/>
      <c r="M158" s="793"/>
      <c r="N158" s="617"/>
      <c r="O158" s="794"/>
    </row>
    <row r="159">
      <c r="A159" s="280"/>
      <c r="B159" s="280"/>
      <c r="C159" s="280"/>
      <c r="D159" s="280"/>
      <c r="F159" s="789"/>
      <c r="G159" s="789"/>
      <c r="H159" s="790"/>
      <c r="I159" s="791"/>
      <c r="J159" s="792"/>
      <c r="K159" s="792"/>
      <c r="L159" s="791"/>
      <c r="M159" s="793"/>
      <c r="N159" s="617"/>
      <c r="O159" s="794"/>
    </row>
    <row r="160">
      <c r="A160" s="280"/>
      <c r="B160" s="280"/>
      <c r="C160" s="280"/>
      <c r="D160" s="280"/>
      <c r="F160" s="789"/>
      <c r="G160" s="789"/>
      <c r="H160" s="790"/>
      <c r="I160" s="791"/>
      <c r="J160" s="792"/>
      <c r="K160" s="792"/>
      <c r="L160" s="791"/>
      <c r="M160" s="793"/>
      <c r="N160" s="617"/>
      <c r="O160" s="794"/>
    </row>
    <row r="161">
      <c r="A161" s="280"/>
      <c r="B161" s="280"/>
      <c r="C161" s="280"/>
      <c r="D161" s="280"/>
      <c r="F161" s="789"/>
      <c r="G161" s="789"/>
      <c r="H161" s="790"/>
      <c r="I161" s="791"/>
      <c r="J161" s="792"/>
      <c r="K161" s="792"/>
      <c r="L161" s="791"/>
      <c r="M161" s="793"/>
      <c r="N161" s="617"/>
      <c r="O161" s="794"/>
    </row>
    <row r="162">
      <c r="A162" s="280"/>
      <c r="B162" s="280"/>
      <c r="C162" s="280"/>
      <c r="D162" s="280"/>
      <c r="F162" s="789"/>
      <c r="G162" s="789"/>
      <c r="H162" s="790"/>
      <c r="I162" s="791"/>
      <c r="J162" s="792"/>
      <c r="K162" s="792"/>
      <c r="L162" s="791"/>
      <c r="M162" s="793"/>
      <c r="N162" s="617"/>
      <c r="O162" s="794"/>
    </row>
    <row r="163">
      <c r="A163" s="280"/>
      <c r="B163" s="280"/>
      <c r="C163" s="280"/>
      <c r="D163" s="280"/>
      <c r="F163" s="789"/>
      <c r="G163" s="789"/>
      <c r="H163" s="790"/>
      <c r="I163" s="791"/>
      <c r="J163" s="792"/>
      <c r="K163" s="792"/>
      <c r="L163" s="791"/>
      <c r="M163" s="793"/>
      <c r="N163" s="617"/>
      <c r="O163" s="794"/>
    </row>
    <row r="164">
      <c r="A164" s="280"/>
      <c r="B164" s="280"/>
      <c r="C164" s="280"/>
      <c r="D164" s="280"/>
      <c r="F164" s="789"/>
      <c r="G164" s="789"/>
      <c r="H164" s="790"/>
      <c r="I164" s="791"/>
      <c r="J164" s="792"/>
      <c r="K164" s="792"/>
      <c r="L164" s="791"/>
      <c r="M164" s="793"/>
      <c r="N164" s="617"/>
      <c r="O164" s="794"/>
    </row>
    <row r="165">
      <c r="A165" s="280"/>
      <c r="B165" s="280"/>
      <c r="C165" s="280"/>
      <c r="D165" s="280"/>
      <c r="F165" s="789"/>
      <c r="G165" s="789"/>
      <c r="H165" s="790"/>
      <c r="I165" s="791"/>
      <c r="J165" s="792"/>
      <c r="K165" s="792"/>
      <c r="L165" s="791"/>
      <c r="M165" s="793"/>
      <c r="N165" s="617"/>
      <c r="O165" s="794"/>
    </row>
    <row r="166">
      <c r="A166" s="280"/>
      <c r="B166" s="280"/>
      <c r="C166" s="280"/>
      <c r="D166" s="280"/>
      <c r="F166" s="789"/>
      <c r="G166" s="789"/>
      <c r="H166" s="790"/>
      <c r="I166" s="791"/>
      <c r="J166" s="792"/>
      <c r="K166" s="792"/>
      <c r="L166" s="791"/>
      <c r="M166" s="793"/>
      <c r="N166" s="617"/>
      <c r="O166" s="794"/>
    </row>
    <row r="167">
      <c r="A167" s="280"/>
      <c r="B167" s="280"/>
      <c r="C167" s="280"/>
      <c r="D167" s="280"/>
      <c r="F167" s="789"/>
      <c r="G167" s="789"/>
      <c r="H167" s="790"/>
      <c r="I167" s="791"/>
      <c r="J167" s="792"/>
      <c r="K167" s="792"/>
      <c r="L167" s="791"/>
      <c r="M167" s="793"/>
      <c r="N167" s="617"/>
      <c r="O167" s="794"/>
    </row>
    <row r="168">
      <c r="A168" s="280"/>
      <c r="B168" s="280"/>
      <c r="C168" s="280"/>
      <c r="D168" s="280"/>
      <c r="F168" s="789"/>
      <c r="G168" s="789"/>
      <c r="H168" s="790"/>
      <c r="I168" s="791"/>
      <c r="J168" s="792"/>
      <c r="K168" s="792"/>
      <c r="L168" s="791"/>
      <c r="M168" s="793"/>
      <c r="N168" s="617"/>
      <c r="O168" s="794"/>
    </row>
    <row r="169">
      <c r="A169" s="280"/>
      <c r="B169" s="280"/>
      <c r="C169" s="280"/>
      <c r="D169" s="280"/>
      <c r="F169" s="789"/>
      <c r="G169" s="789"/>
      <c r="H169" s="790"/>
      <c r="I169" s="791"/>
      <c r="J169" s="792"/>
      <c r="K169" s="792"/>
      <c r="L169" s="791"/>
      <c r="M169" s="793"/>
      <c r="N169" s="617"/>
      <c r="O169" s="794"/>
    </row>
    <row r="170">
      <c r="A170" s="280"/>
      <c r="B170" s="280"/>
      <c r="C170" s="280"/>
      <c r="D170" s="280"/>
      <c r="F170" s="789"/>
      <c r="G170" s="789"/>
      <c r="H170" s="790"/>
      <c r="I170" s="791"/>
      <c r="J170" s="792"/>
      <c r="K170" s="792"/>
      <c r="L170" s="791"/>
      <c r="M170" s="793"/>
      <c r="N170" s="617"/>
      <c r="O170" s="794"/>
    </row>
    <row r="171">
      <c r="A171" s="280"/>
      <c r="B171" s="280"/>
      <c r="C171" s="280"/>
      <c r="D171" s="280"/>
      <c r="F171" s="789"/>
      <c r="G171" s="789"/>
      <c r="H171" s="790"/>
      <c r="I171" s="791"/>
      <c r="J171" s="792"/>
      <c r="K171" s="792"/>
      <c r="L171" s="791"/>
      <c r="M171" s="793"/>
      <c r="N171" s="617"/>
      <c r="O171" s="794"/>
    </row>
    <row r="172">
      <c r="A172" s="280"/>
      <c r="B172" s="280"/>
      <c r="C172" s="280"/>
      <c r="D172" s="280"/>
      <c r="F172" s="789"/>
      <c r="G172" s="789"/>
      <c r="H172" s="790"/>
      <c r="I172" s="791"/>
      <c r="J172" s="792"/>
      <c r="K172" s="792"/>
      <c r="L172" s="791"/>
      <c r="M172" s="793"/>
      <c r="N172" s="617"/>
      <c r="O172" s="794"/>
    </row>
    <row r="173">
      <c r="A173" s="280"/>
      <c r="B173" s="280"/>
      <c r="C173" s="280"/>
      <c r="D173" s="280"/>
      <c r="F173" s="789"/>
      <c r="G173" s="789"/>
      <c r="H173" s="790"/>
      <c r="I173" s="791"/>
      <c r="J173" s="792"/>
      <c r="K173" s="792"/>
      <c r="L173" s="791"/>
      <c r="M173" s="793"/>
      <c r="N173" s="617"/>
      <c r="O173" s="794"/>
    </row>
    <row r="174">
      <c r="A174" s="280"/>
      <c r="B174" s="280"/>
      <c r="C174" s="280"/>
      <c r="D174" s="280"/>
      <c r="F174" s="789"/>
      <c r="G174" s="789"/>
      <c r="H174" s="790"/>
      <c r="I174" s="791"/>
      <c r="J174" s="792"/>
      <c r="K174" s="792"/>
      <c r="L174" s="791"/>
      <c r="M174" s="793"/>
      <c r="N174" s="617"/>
      <c r="O174" s="794"/>
    </row>
    <row r="175">
      <c r="A175" s="280"/>
      <c r="B175" s="280"/>
      <c r="C175" s="280"/>
      <c r="D175" s="280"/>
      <c r="F175" s="789"/>
      <c r="G175" s="789"/>
      <c r="H175" s="790"/>
      <c r="I175" s="791"/>
      <c r="J175" s="792"/>
      <c r="K175" s="792"/>
      <c r="L175" s="791"/>
      <c r="M175" s="793"/>
      <c r="N175" s="617"/>
      <c r="O175" s="794"/>
    </row>
    <row r="176">
      <c r="A176" s="280"/>
      <c r="B176" s="280"/>
      <c r="C176" s="280"/>
      <c r="D176" s="280"/>
      <c r="F176" s="789"/>
      <c r="G176" s="789"/>
      <c r="H176" s="790"/>
      <c r="I176" s="791"/>
      <c r="J176" s="792"/>
      <c r="K176" s="792"/>
      <c r="L176" s="791"/>
      <c r="M176" s="793"/>
      <c r="N176" s="617"/>
      <c r="O176" s="794"/>
    </row>
    <row r="177">
      <c r="A177" s="280"/>
      <c r="B177" s="280"/>
      <c r="C177" s="280"/>
      <c r="D177" s="280"/>
      <c r="F177" s="789"/>
      <c r="G177" s="789"/>
      <c r="H177" s="790"/>
      <c r="I177" s="791"/>
      <c r="J177" s="792"/>
      <c r="K177" s="792"/>
      <c r="L177" s="791"/>
      <c r="M177" s="793"/>
      <c r="N177" s="617"/>
      <c r="O177" s="794"/>
    </row>
    <row r="178">
      <c r="A178" s="280"/>
      <c r="B178" s="280"/>
      <c r="C178" s="280"/>
      <c r="D178" s="280"/>
      <c r="F178" s="789"/>
      <c r="G178" s="789"/>
      <c r="H178" s="790"/>
      <c r="I178" s="791"/>
      <c r="J178" s="792"/>
      <c r="K178" s="792"/>
      <c r="L178" s="791"/>
      <c r="M178" s="793"/>
      <c r="N178" s="617"/>
      <c r="O178" s="794"/>
    </row>
    <row r="179">
      <c r="A179" s="280"/>
      <c r="B179" s="280"/>
      <c r="C179" s="280"/>
      <c r="D179" s="280"/>
      <c r="F179" s="789"/>
      <c r="G179" s="789"/>
      <c r="H179" s="790"/>
      <c r="I179" s="791"/>
      <c r="J179" s="792"/>
      <c r="K179" s="792"/>
      <c r="L179" s="791"/>
      <c r="M179" s="793"/>
      <c r="N179" s="617"/>
      <c r="O179" s="794"/>
    </row>
    <row r="180">
      <c r="A180" s="280"/>
      <c r="B180" s="280"/>
      <c r="C180" s="280"/>
      <c r="D180" s="280"/>
      <c r="F180" s="789"/>
      <c r="G180" s="789"/>
      <c r="H180" s="790"/>
      <c r="I180" s="791"/>
      <c r="J180" s="792"/>
      <c r="K180" s="792"/>
      <c r="L180" s="791"/>
      <c r="M180" s="793"/>
      <c r="N180" s="617"/>
      <c r="O180" s="794"/>
    </row>
    <row r="181">
      <c r="A181" s="280"/>
      <c r="B181" s="280"/>
      <c r="C181" s="280"/>
      <c r="D181" s="280"/>
      <c r="F181" s="789"/>
      <c r="G181" s="789"/>
      <c r="H181" s="790"/>
      <c r="I181" s="791"/>
      <c r="J181" s="792"/>
      <c r="K181" s="792"/>
      <c r="L181" s="791"/>
      <c r="M181" s="793"/>
      <c r="N181" s="617"/>
      <c r="O181" s="794"/>
    </row>
    <row r="182">
      <c r="A182" s="280"/>
      <c r="B182" s="280"/>
      <c r="C182" s="280"/>
      <c r="D182" s="280"/>
      <c r="F182" s="789"/>
      <c r="G182" s="789"/>
      <c r="H182" s="790"/>
      <c r="I182" s="791"/>
      <c r="J182" s="792"/>
      <c r="K182" s="792"/>
      <c r="L182" s="791"/>
      <c r="M182" s="793"/>
      <c r="N182" s="617"/>
      <c r="O182" s="794"/>
    </row>
    <row r="183">
      <c r="A183" s="280"/>
      <c r="B183" s="280"/>
      <c r="C183" s="280"/>
      <c r="D183" s="280"/>
      <c r="F183" s="789"/>
      <c r="G183" s="789"/>
      <c r="H183" s="790"/>
      <c r="I183" s="791"/>
      <c r="J183" s="792"/>
      <c r="K183" s="792"/>
      <c r="L183" s="791"/>
      <c r="M183" s="793"/>
      <c r="N183" s="617"/>
      <c r="O183" s="794"/>
    </row>
    <row r="184">
      <c r="A184" s="280"/>
      <c r="B184" s="280"/>
      <c r="C184" s="280"/>
      <c r="D184" s="280"/>
      <c r="F184" s="789"/>
      <c r="G184" s="789"/>
      <c r="H184" s="790"/>
      <c r="I184" s="791"/>
      <c r="J184" s="792"/>
      <c r="K184" s="792"/>
      <c r="L184" s="791"/>
      <c r="M184" s="793"/>
      <c r="N184" s="617"/>
      <c r="O184" s="794"/>
    </row>
    <row r="185">
      <c r="A185" s="280"/>
      <c r="B185" s="280"/>
      <c r="C185" s="280"/>
      <c r="D185" s="280"/>
      <c r="F185" s="789"/>
      <c r="G185" s="789"/>
      <c r="H185" s="790"/>
      <c r="I185" s="791"/>
      <c r="J185" s="792"/>
      <c r="K185" s="792"/>
      <c r="L185" s="791"/>
      <c r="M185" s="793"/>
      <c r="N185" s="617"/>
      <c r="O185" s="794"/>
    </row>
    <row r="186">
      <c r="A186" s="280"/>
      <c r="B186" s="280"/>
      <c r="C186" s="280"/>
      <c r="D186" s="280"/>
      <c r="F186" s="789"/>
      <c r="G186" s="789"/>
      <c r="H186" s="790"/>
      <c r="I186" s="791"/>
      <c r="J186" s="792"/>
      <c r="K186" s="792"/>
      <c r="L186" s="791"/>
      <c r="M186" s="793"/>
      <c r="N186" s="617"/>
      <c r="O186" s="794"/>
    </row>
    <row r="187">
      <c r="A187" s="280"/>
      <c r="B187" s="280"/>
      <c r="C187" s="280"/>
      <c r="D187" s="280"/>
      <c r="F187" s="789"/>
      <c r="G187" s="789"/>
      <c r="H187" s="790"/>
      <c r="I187" s="791"/>
      <c r="J187" s="792"/>
      <c r="K187" s="792"/>
      <c r="L187" s="791"/>
      <c r="M187" s="793"/>
      <c r="N187" s="617"/>
      <c r="O187" s="794"/>
    </row>
    <row r="188">
      <c r="A188" s="280"/>
      <c r="B188" s="280"/>
      <c r="C188" s="280"/>
      <c r="D188" s="280"/>
      <c r="F188" s="789"/>
      <c r="G188" s="789"/>
      <c r="H188" s="790"/>
      <c r="I188" s="791"/>
      <c r="J188" s="792"/>
      <c r="K188" s="792"/>
      <c r="L188" s="791"/>
      <c r="M188" s="793"/>
      <c r="N188" s="617"/>
      <c r="O188" s="794"/>
    </row>
    <row r="189">
      <c r="A189" s="280"/>
      <c r="B189" s="280"/>
      <c r="C189" s="280"/>
      <c r="D189" s="280"/>
      <c r="F189" s="789"/>
      <c r="G189" s="789"/>
      <c r="H189" s="790"/>
      <c r="I189" s="791"/>
      <c r="J189" s="792"/>
      <c r="K189" s="792"/>
      <c r="L189" s="791"/>
      <c r="M189" s="793"/>
      <c r="N189" s="617"/>
      <c r="O189" s="794"/>
    </row>
    <row r="190">
      <c r="A190" s="280"/>
      <c r="B190" s="280"/>
      <c r="C190" s="280"/>
      <c r="D190" s="280"/>
      <c r="F190" s="789"/>
      <c r="G190" s="789"/>
      <c r="H190" s="790"/>
      <c r="I190" s="791"/>
      <c r="J190" s="792"/>
      <c r="K190" s="792"/>
      <c r="L190" s="791"/>
      <c r="M190" s="793"/>
      <c r="N190" s="617"/>
      <c r="O190" s="794"/>
    </row>
    <row r="191">
      <c r="A191" s="280"/>
      <c r="B191" s="280"/>
      <c r="C191" s="280"/>
      <c r="D191" s="280"/>
      <c r="F191" s="789"/>
      <c r="G191" s="789"/>
      <c r="H191" s="790"/>
      <c r="I191" s="791"/>
      <c r="J191" s="792"/>
      <c r="K191" s="792"/>
      <c r="L191" s="791"/>
      <c r="M191" s="793"/>
      <c r="N191" s="617"/>
      <c r="O191" s="794"/>
    </row>
    <row r="192">
      <c r="A192" s="280"/>
      <c r="B192" s="280"/>
      <c r="C192" s="280"/>
      <c r="D192" s="280"/>
      <c r="F192" s="789"/>
      <c r="G192" s="789"/>
      <c r="H192" s="790"/>
      <c r="I192" s="791"/>
      <c r="J192" s="792"/>
      <c r="K192" s="792"/>
      <c r="L192" s="791"/>
      <c r="M192" s="793"/>
      <c r="N192" s="617"/>
      <c r="O192" s="794"/>
    </row>
    <row r="193">
      <c r="A193" s="280"/>
      <c r="B193" s="280"/>
      <c r="C193" s="280"/>
      <c r="D193" s="280"/>
      <c r="F193" s="789"/>
      <c r="G193" s="789"/>
      <c r="H193" s="790"/>
      <c r="I193" s="791"/>
      <c r="J193" s="792"/>
      <c r="K193" s="792"/>
      <c r="L193" s="791"/>
      <c r="M193" s="793"/>
      <c r="N193" s="617"/>
      <c r="O193" s="794"/>
    </row>
    <row r="194">
      <c r="A194" s="280"/>
      <c r="B194" s="280"/>
      <c r="C194" s="280"/>
      <c r="D194" s="280"/>
      <c r="F194" s="789"/>
      <c r="G194" s="789"/>
      <c r="H194" s="790"/>
      <c r="I194" s="791"/>
      <c r="J194" s="792"/>
      <c r="K194" s="792"/>
      <c r="L194" s="791"/>
      <c r="M194" s="793"/>
      <c r="N194" s="617"/>
      <c r="O194" s="794"/>
    </row>
    <row r="195">
      <c r="A195" s="280"/>
      <c r="B195" s="280"/>
      <c r="C195" s="280"/>
      <c r="D195" s="280"/>
      <c r="F195" s="789"/>
      <c r="G195" s="789"/>
      <c r="H195" s="790"/>
      <c r="I195" s="791"/>
      <c r="J195" s="792"/>
      <c r="K195" s="792"/>
      <c r="L195" s="791"/>
      <c r="M195" s="793"/>
      <c r="N195" s="617"/>
      <c r="O195" s="794"/>
    </row>
    <row r="196">
      <c r="A196" s="280"/>
      <c r="B196" s="280"/>
      <c r="C196" s="280"/>
      <c r="D196" s="280"/>
      <c r="F196" s="789"/>
      <c r="G196" s="789"/>
      <c r="H196" s="790"/>
      <c r="I196" s="791"/>
      <c r="J196" s="792"/>
      <c r="K196" s="792"/>
      <c r="L196" s="791"/>
      <c r="M196" s="793"/>
      <c r="N196" s="617"/>
      <c r="O196" s="794"/>
    </row>
    <row r="197">
      <c r="A197" s="280"/>
      <c r="B197" s="280"/>
      <c r="C197" s="280"/>
      <c r="D197" s="280"/>
      <c r="F197" s="789"/>
      <c r="G197" s="789"/>
      <c r="H197" s="790"/>
      <c r="I197" s="791"/>
      <c r="J197" s="792"/>
      <c r="K197" s="792"/>
      <c r="L197" s="791"/>
      <c r="M197" s="793"/>
      <c r="N197" s="617"/>
      <c r="O197" s="794"/>
    </row>
    <row r="198">
      <c r="A198" s="280"/>
      <c r="B198" s="280"/>
      <c r="C198" s="280"/>
      <c r="D198" s="280"/>
      <c r="F198" s="789"/>
      <c r="G198" s="789"/>
      <c r="H198" s="790"/>
      <c r="I198" s="791"/>
      <c r="J198" s="792"/>
      <c r="K198" s="792"/>
      <c r="L198" s="791"/>
      <c r="M198" s="793"/>
      <c r="N198" s="617"/>
      <c r="O198" s="794"/>
    </row>
    <row r="199">
      <c r="A199" s="280"/>
      <c r="B199" s="280"/>
      <c r="C199" s="280"/>
      <c r="D199" s="280"/>
      <c r="F199" s="789"/>
      <c r="G199" s="789"/>
      <c r="H199" s="790"/>
      <c r="I199" s="791"/>
      <c r="J199" s="792"/>
      <c r="K199" s="792"/>
      <c r="L199" s="791"/>
      <c r="M199" s="793"/>
      <c r="N199" s="617"/>
      <c r="O199" s="794"/>
    </row>
    <row r="200">
      <c r="A200" s="280"/>
      <c r="B200" s="280"/>
      <c r="C200" s="280"/>
      <c r="D200" s="280"/>
      <c r="F200" s="789"/>
      <c r="G200" s="789"/>
      <c r="H200" s="790"/>
      <c r="I200" s="791"/>
      <c r="J200" s="792"/>
      <c r="K200" s="792"/>
      <c r="L200" s="791"/>
      <c r="M200" s="793"/>
      <c r="N200" s="617"/>
      <c r="O200" s="794"/>
    </row>
    <row r="201">
      <c r="A201" s="280"/>
      <c r="B201" s="280"/>
      <c r="C201" s="280"/>
      <c r="D201" s="280"/>
      <c r="F201" s="789"/>
      <c r="G201" s="789"/>
      <c r="H201" s="790"/>
      <c r="I201" s="791"/>
      <c r="J201" s="792"/>
      <c r="K201" s="792"/>
      <c r="L201" s="791"/>
      <c r="M201" s="793"/>
      <c r="N201" s="617"/>
      <c r="O201" s="794"/>
    </row>
    <row r="202">
      <c r="A202" s="280"/>
      <c r="B202" s="280"/>
      <c r="C202" s="280"/>
      <c r="D202" s="280"/>
      <c r="F202" s="789"/>
      <c r="G202" s="789"/>
      <c r="H202" s="790"/>
      <c r="I202" s="791"/>
      <c r="J202" s="792"/>
      <c r="K202" s="792"/>
      <c r="L202" s="791"/>
      <c r="M202" s="793"/>
      <c r="N202" s="617"/>
      <c r="O202" s="794"/>
    </row>
    <row r="203">
      <c r="A203" s="280"/>
      <c r="B203" s="280"/>
      <c r="C203" s="280"/>
      <c r="D203" s="280"/>
      <c r="F203" s="789"/>
      <c r="G203" s="789"/>
      <c r="H203" s="790"/>
      <c r="I203" s="791"/>
      <c r="J203" s="792"/>
      <c r="K203" s="792"/>
      <c r="L203" s="791"/>
      <c r="M203" s="793"/>
      <c r="N203" s="617"/>
      <c r="O203" s="794"/>
    </row>
    <row r="204">
      <c r="A204" s="280"/>
      <c r="B204" s="280"/>
      <c r="C204" s="280"/>
      <c r="D204" s="280"/>
      <c r="F204" s="789"/>
      <c r="G204" s="789"/>
      <c r="H204" s="790"/>
      <c r="I204" s="791"/>
      <c r="J204" s="792"/>
      <c r="K204" s="792"/>
      <c r="L204" s="791"/>
      <c r="M204" s="793"/>
      <c r="N204" s="617"/>
      <c r="O204" s="794"/>
    </row>
    <row r="205">
      <c r="A205" s="280"/>
      <c r="B205" s="280"/>
      <c r="C205" s="280"/>
      <c r="D205" s="280"/>
      <c r="F205" s="789"/>
      <c r="G205" s="789"/>
      <c r="H205" s="790"/>
      <c r="I205" s="791"/>
      <c r="J205" s="792"/>
      <c r="K205" s="792"/>
      <c r="L205" s="791"/>
      <c r="M205" s="793"/>
      <c r="N205" s="617"/>
      <c r="O205" s="794"/>
    </row>
    <row r="206">
      <c r="A206" s="280"/>
      <c r="B206" s="280"/>
      <c r="C206" s="280"/>
      <c r="D206" s="280"/>
      <c r="F206" s="789"/>
      <c r="G206" s="789"/>
      <c r="H206" s="790"/>
      <c r="I206" s="791"/>
      <c r="J206" s="792"/>
      <c r="K206" s="792"/>
      <c r="L206" s="791"/>
      <c r="M206" s="793"/>
      <c r="N206" s="617"/>
      <c r="O206" s="794"/>
    </row>
    <row r="207">
      <c r="A207" s="280"/>
      <c r="B207" s="280"/>
      <c r="C207" s="280"/>
      <c r="D207" s="280"/>
      <c r="F207" s="789"/>
      <c r="G207" s="789"/>
      <c r="H207" s="790"/>
      <c r="I207" s="791"/>
      <c r="J207" s="792"/>
      <c r="K207" s="792"/>
      <c r="L207" s="791"/>
      <c r="M207" s="793"/>
      <c r="N207" s="617"/>
      <c r="O207" s="794"/>
    </row>
    <row r="208">
      <c r="A208" s="280"/>
      <c r="B208" s="280"/>
      <c r="C208" s="280"/>
      <c r="D208" s="280"/>
      <c r="F208" s="789"/>
      <c r="G208" s="789"/>
      <c r="H208" s="790"/>
      <c r="I208" s="791"/>
      <c r="J208" s="792"/>
      <c r="K208" s="792"/>
      <c r="L208" s="791"/>
      <c r="M208" s="793"/>
      <c r="N208" s="617"/>
      <c r="O208" s="794"/>
    </row>
    <row r="209">
      <c r="A209" s="280"/>
      <c r="B209" s="280"/>
      <c r="C209" s="280"/>
      <c r="D209" s="280"/>
      <c r="F209" s="789"/>
      <c r="G209" s="789"/>
      <c r="H209" s="790"/>
      <c r="I209" s="791"/>
      <c r="J209" s="792"/>
      <c r="K209" s="792"/>
      <c r="L209" s="791"/>
      <c r="M209" s="793"/>
      <c r="N209" s="617"/>
      <c r="O209" s="794"/>
    </row>
    <row r="210">
      <c r="A210" s="280"/>
      <c r="B210" s="280"/>
      <c r="C210" s="280"/>
      <c r="D210" s="280"/>
      <c r="F210" s="789"/>
      <c r="G210" s="789"/>
      <c r="H210" s="790"/>
      <c r="I210" s="791"/>
      <c r="J210" s="792"/>
      <c r="K210" s="792"/>
      <c r="L210" s="791"/>
      <c r="M210" s="793"/>
      <c r="N210" s="617"/>
      <c r="O210" s="794"/>
    </row>
    <row r="211">
      <c r="A211" s="280"/>
      <c r="B211" s="280"/>
      <c r="C211" s="280"/>
      <c r="D211" s="280"/>
      <c r="F211" s="789"/>
      <c r="G211" s="789"/>
      <c r="H211" s="790"/>
      <c r="I211" s="791"/>
      <c r="J211" s="792"/>
      <c r="K211" s="792"/>
      <c r="L211" s="791"/>
      <c r="M211" s="793"/>
      <c r="N211" s="617"/>
      <c r="O211" s="794"/>
    </row>
    <row r="212">
      <c r="A212" s="280"/>
      <c r="B212" s="280"/>
      <c r="C212" s="280"/>
      <c r="D212" s="280"/>
      <c r="F212" s="789"/>
      <c r="G212" s="789"/>
      <c r="H212" s="790"/>
      <c r="I212" s="791"/>
      <c r="J212" s="792"/>
      <c r="K212" s="792"/>
      <c r="L212" s="791"/>
      <c r="M212" s="793"/>
      <c r="N212" s="617"/>
      <c r="O212" s="794"/>
    </row>
    <row r="213">
      <c r="A213" s="280"/>
      <c r="B213" s="280"/>
      <c r="C213" s="280"/>
      <c r="D213" s="280"/>
      <c r="F213" s="789"/>
      <c r="G213" s="789"/>
      <c r="H213" s="790"/>
      <c r="I213" s="791"/>
      <c r="J213" s="792"/>
      <c r="K213" s="792"/>
      <c r="L213" s="791"/>
      <c r="M213" s="793"/>
      <c r="N213" s="617"/>
      <c r="O213" s="794"/>
    </row>
    <row r="214">
      <c r="A214" s="280"/>
      <c r="B214" s="280"/>
      <c r="C214" s="280"/>
      <c r="D214" s="280"/>
      <c r="F214" s="789"/>
      <c r="G214" s="789"/>
      <c r="H214" s="790"/>
      <c r="I214" s="791"/>
      <c r="J214" s="792"/>
      <c r="K214" s="792"/>
      <c r="L214" s="791"/>
      <c r="M214" s="793"/>
      <c r="N214" s="617"/>
      <c r="O214" s="794"/>
    </row>
    <row r="215">
      <c r="A215" s="280"/>
      <c r="B215" s="280"/>
      <c r="C215" s="280"/>
      <c r="D215" s="280"/>
      <c r="F215" s="789"/>
      <c r="G215" s="789"/>
      <c r="H215" s="790"/>
      <c r="I215" s="791"/>
      <c r="J215" s="792"/>
      <c r="K215" s="792"/>
      <c r="L215" s="791"/>
      <c r="M215" s="793"/>
      <c r="N215" s="617"/>
      <c r="O215" s="794"/>
    </row>
    <row r="216">
      <c r="A216" s="280"/>
      <c r="B216" s="280"/>
      <c r="C216" s="280"/>
      <c r="D216" s="280"/>
      <c r="F216" s="789"/>
      <c r="G216" s="789"/>
      <c r="H216" s="790"/>
      <c r="I216" s="791"/>
      <c r="J216" s="792"/>
      <c r="K216" s="792"/>
      <c r="L216" s="791"/>
      <c r="M216" s="793"/>
      <c r="N216" s="617"/>
      <c r="O216" s="794"/>
    </row>
    <row r="217">
      <c r="A217" s="280"/>
      <c r="B217" s="280"/>
      <c r="C217" s="280"/>
      <c r="D217" s="280"/>
      <c r="F217" s="789"/>
      <c r="G217" s="789"/>
      <c r="H217" s="790"/>
      <c r="I217" s="791"/>
      <c r="J217" s="792"/>
      <c r="K217" s="792"/>
      <c r="L217" s="791"/>
      <c r="M217" s="793"/>
      <c r="N217" s="617"/>
      <c r="O217" s="794"/>
    </row>
    <row r="218">
      <c r="A218" s="280"/>
      <c r="B218" s="280"/>
      <c r="C218" s="280"/>
      <c r="D218" s="280"/>
      <c r="F218" s="789"/>
      <c r="G218" s="789"/>
      <c r="H218" s="790"/>
      <c r="I218" s="791"/>
      <c r="J218" s="792"/>
      <c r="K218" s="792"/>
      <c r="L218" s="791"/>
      <c r="M218" s="793"/>
      <c r="N218" s="617"/>
      <c r="O218" s="794"/>
    </row>
    <row r="219">
      <c r="A219" s="280"/>
      <c r="B219" s="280"/>
      <c r="C219" s="280"/>
      <c r="D219" s="280"/>
      <c r="F219" s="789"/>
      <c r="G219" s="789"/>
      <c r="H219" s="790"/>
      <c r="I219" s="791"/>
      <c r="J219" s="792"/>
      <c r="K219" s="792"/>
      <c r="L219" s="791"/>
      <c r="M219" s="793"/>
      <c r="N219" s="617"/>
      <c r="O219" s="794"/>
    </row>
    <row r="220">
      <c r="A220" s="280"/>
      <c r="B220" s="280"/>
      <c r="C220" s="280"/>
      <c r="D220" s="280"/>
      <c r="F220" s="789"/>
      <c r="G220" s="789"/>
      <c r="H220" s="790"/>
      <c r="I220" s="791"/>
      <c r="J220" s="792"/>
      <c r="K220" s="792"/>
      <c r="L220" s="791"/>
      <c r="M220" s="793"/>
      <c r="N220" s="617"/>
      <c r="O220" s="794"/>
    </row>
    <row r="221">
      <c r="A221" s="280"/>
      <c r="B221" s="280"/>
      <c r="C221" s="280"/>
      <c r="D221" s="280"/>
      <c r="F221" s="789"/>
      <c r="G221" s="789"/>
      <c r="H221" s="790"/>
      <c r="I221" s="791"/>
      <c r="J221" s="792"/>
      <c r="K221" s="792"/>
      <c r="L221" s="791"/>
      <c r="M221" s="793"/>
      <c r="N221" s="617"/>
      <c r="O221" s="794"/>
    </row>
    <row r="222">
      <c r="A222" s="280"/>
      <c r="B222" s="280"/>
      <c r="C222" s="280"/>
      <c r="D222" s="280"/>
      <c r="F222" s="789"/>
      <c r="G222" s="789"/>
      <c r="H222" s="790"/>
      <c r="I222" s="791"/>
      <c r="J222" s="792"/>
      <c r="K222" s="792"/>
      <c r="L222" s="791"/>
      <c r="M222" s="793"/>
      <c r="N222" s="617"/>
      <c r="O222" s="794"/>
    </row>
    <row r="223">
      <c r="A223" s="280"/>
      <c r="B223" s="280"/>
      <c r="C223" s="280"/>
      <c r="D223" s="280"/>
      <c r="F223" s="789"/>
      <c r="G223" s="789"/>
      <c r="H223" s="790"/>
      <c r="I223" s="791"/>
      <c r="J223" s="792"/>
      <c r="K223" s="792"/>
      <c r="L223" s="791"/>
      <c r="M223" s="793"/>
      <c r="N223" s="617"/>
      <c r="O223" s="794"/>
    </row>
    <row r="224">
      <c r="A224" s="280"/>
      <c r="B224" s="280"/>
      <c r="C224" s="280"/>
      <c r="D224" s="280"/>
      <c r="F224" s="789"/>
      <c r="G224" s="789"/>
      <c r="H224" s="790"/>
      <c r="I224" s="791"/>
      <c r="J224" s="792"/>
      <c r="K224" s="792"/>
      <c r="L224" s="791"/>
      <c r="M224" s="793"/>
      <c r="N224" s="617"/>
      <c r="O224" s="794"/>
    </row>
    <row r="225">
      <c r="A225" s="280"/>
      <c r="B225" s="280"/>
      <c r="C225" s="280"/>
      <c r="D225" s="280"/>
      <c r="F225" s="789"/>
      <c r="G225" s="789"/>
      <c r="H225" s="790"/>
      <c r="I225" s="791"/>
      <c r="J225" s="792"/>
      <c r="K225" s="792"/>
      <c r="L225" s="791"/>
      <c r="M225" s="793"/>
      <c r="N225" s="617"/>
      <c r="O225" s="794"/>
    </row>
    <row r="226">
      <c r="A226" s="280"/>
      <c r="B226" s="280"/>
      <c r="C226" s="280"/>
      <c r="D226" s="280"/>
      <c r="F226" s="789"/>
      <c r="G226" s="789"/>
      <c r="H226" s="790"/>
      <c r="I226" s="791"/>
      <c r="J226" s="792"/>
      <c r="K226" s="792"/>
      <c r="L226" s="791"/>
      <c r="M226" s="793"/>
      <c r="N226" s="617"/>
      <c r="O226" s="794"/>
    </row>
    <row r="227">
      <c r="A227" s="280"/>
      <c r="B227" s="280"/>
      <c r="C227" s="280"/>
      <c r="D227" s="280"/>
      <c r="F227" s="789"/>
      <c r="G227" s="789"/>
      <c r="H227" s="790"/>
      <c r="I227" s="791"/>
      <c r="J227" s="792"/>
      <c r="K227" s="792"/>
      <c r="L227" s="791"/>
      <c r="M227" s="793"/>
      <c r="N227" s="617"/>
      <c r="O227" s="794"/>
    </row>
    <row r="228">
      <c r="A228" s="280"/>
      <c r="B228" s="280"/>
      <c r="C228" s="280"/>
      <c r="D228" s="280"/>
      <c r="F228" s="789"/>
      <c r="G228" s="789"/>
      <c r="H228" s="790"/>
      <c r="I228" s="791"/>
      <c r="J228" s="792"/>
      <c r="K228" s="792"/>
      <c r="L228" s="791"/>
      <c r="M228" s="793"/>
      <c r="N228" s="617"/>
      <c r="O228" s="794"/>
    </row>
    <row r="229">
      <c r="A229" s="280"/>
      <c r="B229" s="280"/>
      <c r="C229" s="280"/>
      <c r="D229" s="280"/>
      <c r="F229" s="789"/>
      <c r="G229" s="789"/>
      <c r="H229" s="790"/>
      <c r="I229" s="791"/>
      <c r="J229" s="792"/>
      <c r="K229" s="792"/>
      <c r="L229" s="791"/>
      <c r="M229" s="793"/>
      <c r="N229" s="617"/>
      <c r="O229" s="794"/>
    </row>
    <row r="230">
      <c r="A230" s="280"/>
      <c r="B230" s="280"/>
      <c r="C230" s="280"/>
      <c r="D230" s="280"/>
      <c r="F230" s="789"/>
      <c r="G230" s="789"/>
      <c r="H230" s="790"/>
      <c r="I230" s="791"/>
      <c r="J230" s="792"/>
      <c r="K230" s="792"/>
      <c r="L230" s="791"/>
      <c r="M230" s="793"/>
      <c r="N230" s="617"/>
      <c r="O230" s="794"/>
    </row>
    <row r="231">
      <c r="A231" s="280"/>
      <c r="B231" s="280"/>
      <c r="C231" s="280"/>
      <c r="D231" s="280"/>
      <c r="F231" s="789"/>
      <c r="G231" s="789"/>
      <c r="H231" s="790"/>
      <c r="I231" s="791"/>
      <c r="J231" s="792"/>
      <c r="K231" s="792"/>
      <c r="L231" s="791"/>
      <c r="M231" s="793"/>
      <c r="N231" s="617"/>
      <c r="O231" s="794"/>
    </row>
    <row r="232">
      <c r="A232" s="280"/>
      <c r="B232" s="280"/>
      <c r="C232" s="280"/>
      <c r="D232" s="280"/>
      <c r="F232" s="789"/>
      <c r="G232" s="789"/>
      <c r="H232" s="790"/>
      <c r="I232" s="791"/>
      <c r="J232" s="792"/>
      <c r="K232" s="792"/>
      <c r="L232" s="791"/>
      <c r="M232" s="793"/>
      <c r="N232" s="617"/>
      <c r="O232" s="794"/>
    </row>
    <row r="233">
      <c r="A233" s="280"/>
      <c r="B233" s="280"/>
      <c r="C233" s="280"/>
      <c r="D233" s="280"/>
      <c r="F233" s="789"/>
      <c r="G233" s="789"/>
      <c r="H233" s="790"/>
      <c r="I233" s="791"/>
      <c r="J233" s="792"/>
      <c r="K233" s="792"/>
      <c r="L233" s="791"/>
      <c r="M233" s="793"/>
      <c r="N233" s="617"/>
      <c r="O233" s="794"/>
    </row>
    <row r="234">
      <c r="A234" s="280"/>
      <c r="B234" s="280"/>
      <c r="C234" s="280"/>
      <c r="D234" s="280"/>
      <c r="F234" s="789"/>
      <c r="G234" s="789"/>
      <c r="H234" s="790"/>
      <c r="I234" s="791"/>
      <c r="J234" s="792"/>
      <c r="K234" s="792"/>
      <c r="L234" s="791"/>
      <c r="M234" s="793"/>
      <c r="N234" s="617"/>
      <c r="O234" s="794"/>
    </row>
    <row r="235">
      <c r="A235" s="280"/>
      <c r="B235" s="280"/>
      <c r="C235" s="280"/>
      <c r="D235" s="280"/>
      <c r="F235" s="789"/>
      <c r="G235" s="789"/>
      <c r="H235" s="790"/>
      <c r="I235" s="791"/>
      <c r="J235" s="792"/>
      <c r="K235" s="792"/>
      <c r="L235" s="791"/>
      <c r="M235" s="793"/>
      <c r="N235" s="617"/>
      <c r="O235" s="794"/>
    </row>
    <row r="236">
      <c r="A236" s="280"/>
      <c r="B236" s="280"/>
      <c r="C236" s="280"/>
      <c r="D236" s="280"/>
      <c r="F236" s="789"/>
      <c r="G236" s="789"/>
      <c r="H236" s="790"/>
      <c r="I236" s="791"/>
      <c r="J236" s="792"/>
      <c r="K236" s="792"/>
      <c r="L236" s="791"/>
      <c r="M236" s="793"/>
      <c r="N236" s="617"/>
      <c r="O236" s="794"/>
    </row>
    <row r="237">
      <c r="A237" s="280"/>
      <c r="B237" s="280"/>
      <c r="C237" s="280"/>
      <c r="D237" s="280"/>
      <c r="F237" s="789"/>
      <c r="G237" s="789"/>
      <c r="H237" s="790"/>
      <c r="I237" s="791"/>
      <c r="J237" s="792"/>
      <c r="K237" s="792"/>
      <c r="L237" s="791"/>
      <c r="M237" s="793"/>
      <c r="N237" s="617"/>
      <c r="O237" s="794"/>
    </row>
    <row r="238">
      <c r="A238" s="280"/>
      <c r="B238" s="280"/>
      <c r="C238" s="280"/>
      <c r="D238" s="280"/>
      <c r="F238" s="789"/>
      <c r="G238" s="789"/>
      <c r="H238" s="790"/>
      <c r="I238" s="791"/>
      <c r="J238" s="792"/>
      <c r="K238" s="792"/>
      <c r="L238" s="791"/>
      <c r="M238" s="793"/>
      <c r="N238" s="617"/>
      <c r="O238" s="794"/>
    </row>
    <row r="239">
      <c r="A239" s="280"/>
      <c r="B239" s="280"/>
      <c r="C239" s="280"/>
      <c r="D239" s="280"/>
      <c r="F239" s="789"/>
      <c r="G239" s="789"/>
      <c r="H239" s="790"/>
      <c r="I239" s="791"/>
      <c r="J239" s="792"/>
      <c r="K239" s="792"/>
      <c r="L239" s="791"/>
      <c r="M239" s="793"/>
      <c r="N239" s="617"/>
      <c r="O239" s="794"/>
    </row>
    <row r="240">
      <c r="A240" s="280"/>
      <c r="B240" s="280"/>
      <c r="C240" s="280"/>
      <c r="D240" s="280"/>
      <c r="F240" s="789"/>
      <c r="G240" s="789"/>
      <c r="H240" s="790"/>
      <c r="I240" s="791"/>
      <c r="J240" s="792"/>
      <c r="K240" s="792"/>
      <c r="L240" s="791"/>
      <c r="M240" s="793"/>
      <c r="N240" s="617"/>
      <c r="O240" s="794"/>
    </row>
    <row r="241">
      <c r="A241" s="280"/>
      <c r="B241" s="280"/>
      <c r="C241" s="280"/>
      <c r="D241" s="280"/>
      <c r="F241" s="789"/>
      <c r="G241" s="789"/>
      <c r="H241" s="790"/>
      <c r="I241" s="791"/>
      <c r="J241" s="792"/>
      <c r="K241" s="792"/>
      <c r="L241" s="791"/>
      <c r="M241" s="793"/>
      <c r="N241" s="617"/>
      <c r="O241" s="794"/>
    </row>
    <row r="242">
      <c r="A242" s="280"/>
      <c r="B242" s="280"/>
      <c r="C242" s="280"/>
      <c r="D242" s="280"/>
      <c r="F242" s="789"/>
      <c r="G242" s="789"/>
      <c r="H242" s="790"/>
      <c r="I242" s="791"/>
      <c r="J242" s="792"/>
      <c r="K242" s="792"/>
      <c r="L242" s="791"/>
      <c r="M242" s="793"/>
      <c r="N242" s="617"/>
      <c r="O242" s="794"/>
    </row>
    <row r="243">
      <c r="A243" s="280"/>
      <c r="B243" s="280"/>
      <c r="C243" s="280"/>
      <c r="D243" s="280"/>
      <c r="F243" s="789"/>
      <c r="G243" s="789"/>
      <c r="H243" s="790"/>
      <c r="I243" s="791"/>
      <c r="J243" s="792"/>
      <c r="K243" s="792"/>
      <c r="L243" s="791"/>
      <c r="M243" s="793"/>
      <c r="N243" s="617"/>
      <c r="O243" s="794"/>
    </row>
    <row r="244">
      <c r="A244" s="280"/>
      <c r="B244" s="280"/>
      <c r="C244" s="280"/>
      <c r="D244" s="280"/>
      <c r="F244" s="789"/>
      <c r="G244" s="789"/>
      <c r="H244" s="790"/>
      <c r="I244" s="791"/>
      <c r="J244" s="792"/>
      <c r="K244" s="792"/>
      <c r="L244" s="791"/>
      <c r="M244" s="793"/>
      <c r="N244" s="617"/>
      <c r="O244" s="794"/>
    </row>
    <row r="245">
      <c r="A245" s="280"/>
      <c r="B245" s="280"/>
      <c r="C245" s="280"/>
      <c r="D245" s="280"/>
      <c r="F245" s="789"/>
      <c r="G245" s="789"/>
      <c r="H245" s="790"/>
      <c r="I245" s="791"/>
      <c r="J245" s="792"/>
      <c r="K245" s="792"/>
      <c r="L245" s="791"/>
      <c r="M245" s="793"/>
      <c r="N245" s="617"/>
      <c r="O245" s="794"/>
    </row>
    <row r="246">
      <c r="A246" s="280"/>
      <c r="B246" s="280"/>
      <c r="C246" s="280"/>
      <c r="D246" s="280"/>
      <c r="F246" s="789"/>
      <c r="G246" s="789"/>
      <c r="H246" s="790"/>
      <c r="I246" s="791"/>
      <c r="J246" s="792"/>
      <c r="K246" s="792"/>
      <c r="L246" s="791"/>
      <c r="M246" s="793"/>
      <c r="N246" s="617"/>
      <c r="O246" s="794"/>
    </row>
    <row r="247">
      <c r="A247" s="280"/>
      <c r="B247" s="280"/>
      <c r="C247" s="280"/>
      <c r="D247" s="280"/>
      <c r="F247" s="789"/>
      <c r="G247" s="789"/>
      <c r="H247" s="790"/>
      <c r="I247" s="791"/>
      <c r="J247" s="792"/>
      <c r="K247" s="792"/>
      <c r="L247" s="791"/>
      <c r="M247" s="793"/>
      <c r="N247" s="617"/>
      <c r="O247" s="794"/>
    </row>
    <row r="248">
      <c r="A248" s="280"/>
      <c r="B248" s="280"/>
      <c r="C248" s="280"/>
      <c r="D248" s="280"/>
      <c r="F248" s="789"/>
      <c r="G248" s="789"/>
      <c r="H248" s="790"/>
      <c r="I248" s="791"/>
      <c r="J248" s="792"/>
      <c r="K248" s="792"/>
      <c r="L248" s="791"/>
      <c r="M248" s="793"/>
      <c r="N248" s="617"/>
      <c r="O248" s="794"/>
    </row>
    <row r="249">
      <c r="A249" s="280"/>
      <c r="B249" s="280"/>
      <c r="C249" s="280"/>
      <c r="D249" s="280"/>
      <c r="F249" s="789"/>
      <c r="G249" s="789"/>
      <c r="H249" s="790"/>
      <c r="I249" s="791"/>
      <c r="J249" s="792"/>
      <c r="K249" s="792"/>
      <c r="L249" s="791"/>
      <c r="M249" s="793"/>
      <c r="N249" s="617"/>
      <c r="O249" s="794"/>
    </row>
    <row r="250">
      <c r="A250" s="280"/>
      <c r="B250" s="280"/>
      <c r="C250" s="280"/>
      <c r="D250" s="280"/>
      <c r="F250" s="789"/>
      <c r="G250" s="789"/>
      <c r="H250" s="790"/>
      <c r="I250" s="791"/>
      <c r="J250" s="792"/>
      <c r="K250" s="792"/>
      <c r="L250" s="791"/>
      <c r="M250" s="793"/>
      <c r="N250" s="617"/>
      <c r="O250" s="794"/>
    </row>
    <row r="251">
      <c r="A251" s="280"/>
      <c r="B251" s="280"/>
      <c r="C251" s="280"/>
      <c r="D251" s="280"/>
      <c r="F251" s="789"/>
      <c r="G251" s="789"/>
      <c r="H251" s="790"/>
      <c r="I251" s="791"/>
      <c r="J251" s="792"/>
      <c r="K251" s="792"/>
      <c r="L251" s="791"/>
      <c r="M251" s="793"/>
      <c r="N251" s="617"/>
      <c r="O251" s="794"/>
    </row>
    <row r="252">
      <c r="A252" s="280"/>
      <c r="B252" s="280"/>
      <c r="C252" s="280"/>
      <c r="D252" s="280"/>
      <c r="F252" s="789"/>
      <c r="G252" s="789"/>
      <c r="H252" s="790"/>
      <c r="I252" s="791"/>
      <c r="J252" s="792"/>
      <c r="K252" s="792"/>
      <c r="L252" s="791"/>
      <c r="M252" s="793"/>
      <c r="N252" s="617"/>
      <c r="O252" s="794"/>
    </row>
    <row r="253">
      <c r="A253" s="280"/>
      <c r="B253" s="280"/>
      <c r="C253" s="280"/>
      <c r="D253" s="280"/>
      <c r="F253" s="789"/>
      <c r="G253" s="789"/>
      <c r="H253" s="790"/>
      <c r="I253" s="791"/>
      <c r="J253" s="792"/>
      <c r="K253" s="792"/>
      <c r="L253" s="791"/>
      <c r="M253" s="793"/>
      <c r="N253" s="617"/>
      <c r="O253" s="794"/>
    </row>
    <row r="254">
      <c r="A254" s="280"/>
      <c r="B254" s="280"/>
      <c r="C254" s="280"/>
      <c r="D254" s="280"/>
      <c r="F254" s="789"/>
      <c r="G254" s="789"/>
      <c r="H254" s="790"/>
      <c r="I254" s="791"/>
      <c r="J254" s="792"/>
      <c r="K254" s="792"/>
      <c r="L254" s="791"/>
      <c r="M254" s="793"/>
      <c r="N254" s="617"/>
      <c r="O254" s="794"/>
    </row>
    <row r="255">
      <c r="A255" s="280"/>
      <c r="B255" s="280"/>
      <c r="C255" s="280"/>
      <c r="D255" s="280"/>
      <c r="F255" s="789"/>
      <c r="G255" s="789"/>
      <c r="H255" s="790"/>
      <c r="I255" s="791"/>
      <c r="J255" s="792"/>
      <c r="K255" s="792"/>
      <c r="L255" s="791"/>
      <c r="M255" s="793"/>
      <c r="N255" s="617"/>
      <c r="O255" s="794"/>
    </row>
    <row r="256">
      <c r="A256" s="280"/>
      <c r="B256" s="280"/>
      <c r="C256" s="280"/>
      <c r="D256" s="280"/>
      <c r="F256" s="789"/>
      <c r="G256" s="789"/>
      <c r="H256" s="790"/>
      <c r="I256" s="791"/>
      <c r="J256" s="792"/>
      <c r="K256" s="792"/>
      <c r="L256" s="791"/>
      <c r="M256" s="793"/>
      <c r="N256" s="617"/>
      <c r="O256" s="794"/>
    </row>
    <row r="257">
      <c r="A257" s="280"/>
      <c r="B257" s="280"/>
      <c r="C257" s="280"/>
      <c r="D257" s="280"/>
      <c r="F257" s="789"/>
      <c r="G257" s="789"/>
      <c r="H257" s="790"/>
      <c r="I257" s="791"/>
      <c r="J257" s="792"/>
      <c r="K257" s="792"/>
      <c r="L257" s="791"/>
      <c r="M257" s="793"/>
      <c r="N257" s="617"/>
      <c r="O257" s="794"/>
    </row>
    <row r="258">
      <c r="A258" s="280"/>
      <c r="B258" s="280"/>
      <c r="C258" s="280"/>
      <c r="D258" s="280"/>
      <c r="F258" s="789"/>
      <c r="G258" s="789"/>
      <c r="H258" s="790"/>
      <c r="I258" s="791"/>
      <c r="J258" s="792"/>
      <c r="K258" s="792"/>
      <c r="L258" s="791"/>
      <c r="M258" s="793"/>
      <c r="N258" s="617"/>
      <c r="O258" s="794"/>
    </row>
    <row r="259">
      <c r="A259" s="280"/>
      <c r="B259" s="280"/>
      <c r="C259" s="280"/>
      <c r="D259" s="280"/>
      <c r="F259" s="789"/>
      <c r="G259" s="789"/>
      <c r="H259" s="790"/>
      <c r="I259" s="791"/>
      <c r="J259" s="792"/>
      <c r="K259" s="792"/>
      <c r="L259" s="791"/>
      <c r="M259" s="793"/>
      <c r="N259" s="617"/>
      <c r="O259" s="794"/>
    </row>
    <row r="260">
      <c r="A260" s="280"/>
      <c r="B260" s="280"/>
      <c r="C260" s="280"/>
      <c r="D260" s="280"/>
      <c r="F260" s="789"/>
      <c r="G260" s="789"/>
      <c r="H260" s="790"/>
      <c r="I260" s="791"/>
      <c r="J260" s="792"/>
      <c r="K260" s="792"/>
      <c r="L260" s="791"/>
      <c r="M260" s="793"/>
      <c r="N260" s="617"/>
      <c r="O260" s="794"/>
    </row>
    <row r="261">
      <c r="A261" s="280"/>
      <c r="B261" s="280"/>
      <c r="C261" s="280"/>
      <c r="D261" s="280"/>
      <c r="F261" s="789"/>
      <c r="G261" s="789"/>
      <c r="H261" s="790"/>
      <c r="I261" s="791"/>
      <c r="J261" s="792"/>
      <c r="K261" s="792"/>
      <c r="L261" s="791"/>
      <c r="M261" s="793"/>
      <c r="N261" s="617"/>
      <c r="O261" s="794"/>
    </row>
    <row r="262">
      <c r="A262" s="280"/>
      <c r="B262" s="280"/>
      <c r="C262" s="280"/>
      <c r="D262" s="280"/>
      <c r="F262" s="789"/>
      <c r="G262" s="789"/>
      <c r="H262" s="790"/>
      <c r="I262" s="791"/>
      <c r="J262" s="792"/>
      <c r="K262" s="792"/>
      <c r="L262" s="791"/>
      <c r="M262" s="793"/>
      <c r="N262" s="617"/>
      <c r="O262" s="794"/>
    </row>
    <row r="263">
      <c r="A263" s="280"/>
      <c r="B263" s="280"/>
      <c r="C263" s="280"/>
      <c r="D263" s="280"/>
      <c r="F263" s="789"/>
      <c r="G263" s="789"/>
      <c r="H263" s="790"/>
      <c r="I263" s="791"/>
      <c r="J263" s="792"/>
      <c r="K263" s="792"/>
      <c r="L263" s="791"/>
      <c r="M263" s="793"/>
      <c r="N263" s="617"/>
      <c r="O263" s="794"/>
    </row>
    <row r="264">
      <c r="A264" s="280"/>
      <c r="B264" s="280"/>
      <c r="C264" s="280"/>
      <c r="D264" s="280"/>
      <c r="F264" s="789"/>
      <c r="G264" s="789"/>
      <c r="H264" s="790"/>
      <c r="I264" s="791"/>
      <c r="J264" s="792"/>
      <c r="K264" s="792"/>
      <c r="L264" s="791"/>
      <c r="M264" s="793"/>
      <c r="N264" s="617"/>
      <c r="O264" s="794"/>
    </row>
    <row r="265">
      <c r="A265" s="280"/>
      <c r="B265" s="280"/>
      <c r="C265" s="280"/>
      <c r="D265" s="280"/>
      <c r="F265" s="789"/>
      <c r="G265" s="789"/>
      <c r="H265" s="790"/>
      <c r="I265" s="791"/>
      <c r="J265" s="792"/>
      <c r="K265" s="792"/>
      <c r="L265" s="791"/>
      <c r="M265" s="793"/>
      <c r="N265" s="617"/>
      <c r="O265" s="794"/>
    </row>
    <row r="266">
      <c r="A266" s="280"/>
      <c r="B266" s="280"/>
      <c r="C266" s="280"/>
      <c r="D266" s="280"/>
      <c r="F266" s="789"/>
      <c r="G266" s="789"/>
      <c r="H266" s="790"/>
      <c r="I266" s="791"/>
      <c r="J266" s="792"/>
      <c r="K266" s="792"/>
      <c r="L266" s="791"/>
      <c r="M266" s="793"/>
      <c r="N266" s="617"/>
      <c r="O266" s="794"/>
    </row>
    <row r="267">
      <c r="A267" s="280"/>
      <c r="B267" s="280"/>
      <c r="C267" s="280"/>
      <c r="D267" s="280"/>
      <c r="F267" s="789"/>
      <c r="G267" s="789"/>
      <c r="H267" s="790"/>
      <c r="I267" s="791"/>
      <c r="J267" s="792"/>
      <c r="K267" s="792"/>
      <c r="L267" s="791"/>
      <c r="M267" s="793"/>
      <c r="N267" s="617"/>
      <c r="O267" s="794"/>
    </row>
    <row r="268">
      <c r="A268" s="280"/>
      <c r="B268" s="280"/>
      <c r="C268" s="280"/>
      <c r="D268" s="280"/>
      <c r="F268" s="789"/>
      <c r="G268" s="789"/>
      <c r="H268" s="790"/>
      <c r="I268" s="791"/>
      <c r="J268" s="792"/>
      <c r="K268" s="792"/>
      <c r="L268" s="791"/>
      <c r="M268" s="793"/>
      <c r="N268" s="617"/>
      <c r="O268" s="794"/>
    </row>
    <row r="269">
      <c r="A269" s="280"/>
      <c r="B269" s="280"/>
      <c r="C269" s="280"/>
      <c r="D269" s="280"/>
      <c r="F269" s="789"/>
      <c r="G269" s="789"/>
      <c r="H269" s="790"/>
      <c r="I269" s="791"/>
      <c r="J269" s="792"/>
      <c r="K269" s="792"/>
      <c r="L269" s="791"/>
      <c r="M269" s="793"/>
      <c r="N269" s="617"/>
      <c r="O269" s="794"/>
    </row>
    <row r="270">
      <c r="A270" s="280"/>
      <c r="B270" s="280"/>
      <c r="C270" s="280"/>
      <c r="D270" s="280"/>
      <c r="F270" s="789"/>
      <c r="G270" s="789"/>
      <c r="H270" s="790"/>
      <c r="I270" s="791"/>
      <c r="J270" s="792"/>
      <c r="K270" s="792"/>
      <c r="L270" s="791"/>
      <c r="M270" s="793"/>
      <c r="N270" s="617"/>
      <c r="O270" s="794"/>
    </row>
    <row r="271">
      <c r="A271" s="280"/>
      <c r="B271" s="280"/>
      <c r="C271" s="280"/>
      <c r="D271" s="280"/>
      <c r="F271" s="789"/>
      <c r="G271" s="789"/>
      <c r="H271" s="790"/>
      <c r="I271" s="791"/>
      <c r="J271" s="792"/>
      <c r="K271" s="792"/>
      <c r="L271" s="791"/>
      <c r="M271" s="793"/>
      <c r="N271" s="617"/>
      <c r="O271" s="794"/>
    </row>
    <row r="272">
      <c r="A272" s="280"/>
      <c r="B272" s="280"/>
      <c r="C272" s="280"/>
      <c r="D272" s="280"/>
      <c r="F272" s="789"/>
      <c r="G272" s="789"/>
      <c r="H272" s="790"/>
      <c r="I272" s="791"/>
      <c r="J272" s="792"/>
      <c r="K272" s="792"/>
      <c r="L272" s="791"/>
      <c r="M272" s="793"/>
      <c r="N272" s="617"/>
      <c r="O272" s="794"/>
    </row>
    <row r="273">
      <c r="A273" s="280"/>
      <c r="B273" s="280"/>
      <c r="C273" s="280"/>
      <c r="D273" s="280"/>
      <c r="F273" s="789"/>
      <c r="G273" s="789"/>
      <c r="H273" s="790"/>
      <c r="I273" s="791"/>
      <c r="J273" s="792"/>
      <c r="K273" s="792"/>
      <c r="L273" s="791"/>
      <c r="M273" s="793"/>
      <c r="N273" s="617"/>
      <c r="O273" s="794"/>
    </row>
    <row r="274">
      <c r="A274" s="280"/>
      <c r="B274" s="280"/>
      <c r="C274" s="280"/>
      <c r="D274" s="280"/>
      <c r="F274" s="789"/>
      <c r="G274" s="789"/>
      <c r="H274" s="790"/>
      <c r="I274" s="791"/>
      <c r="J274" s="792"/>
      <c r="K274" s="792"/>
      <c r="L274" s="791"/>
      <c r="M274" s="793"/>
      <c r="N274" s="617"/>
      <c r="O274" s="794"/>
    </row>
    <row r="275">
      <c r="A275" s="280"/>
      <c r="B275" s="280"/>
      <c r="C275" s="280"/>
      <c r="D275" s="280"/>
      <c r="F275" s="789"/>
      <c r="G275" s="789"/>
      <c r="H275" s="790"/>
      <c r="I275" s="791"/>
      <c r="J275" s="792"/>
      <c r="K275" s="792"/>
      <c r="L275" s="791"/>
      <c r="M275" s="793"/>
      <c r="N275" s="617"/>
      <c r="O275" s="794"/>
    </row>
    <row r="276">
      <c r="A276" s="280"/>
      <c r="B276" s="280"/>
      <c r="C276" s="280"/>
      <c r="D276" s="280"/>
      <c r="F276" s="789"/>
      <c r="G276" s="789"/>
      <c r="H276" s="790"/>
      <c r="I276" s="791"/>
      <c r="J276" s="792"/>
      <c r="K276" s="792"/>
      <c r="L276" s="791"/>
      <c r="M276" s="793"/>
      <c r="N276" s="617"/>
      <c r="O276" s="794"/>
    </row>
    <row r="277">
      <c r="A277" s="280"/>
      <c r="B277" s="280"/>
      <c r="C277" s="280"/>
      <c r="D277" s="280"/>
      <c r="F277" s="789"/>
      <c r="G277" s="789"/>
      <c r="H277" s="790"/>
      <c r="I277" s="791"/>
      <c r="J277" s="792"/>
      <c r="K277" s="792"/>
      <c r="L277" s="791"/>
      <c r="M277" s="793"/>
      <c r="N277" s="617"/>
      <c r="O277" s="794"/>
    </row>
    <row r="278">
      <c r="A278" s="280"/>
      <c r="B278" s="280"/>
      <c r="C278" s="280"/>
      <c r="D278" s="280"/>
      <c r="F278" s="789"/>
      <c r="G278" s="789"/>
      <c r="H278" s="790"/>
      <c r="I278" s="791"/>
      <c r="J278" s="792"/>
      <c r="K278" s="792"/>
      <c r="L278" s="791"/>
      <c r="M278" s="793"/>
      <c r="N278" s="617"/>
      <c r="O278" s="794"/>
    </row>
    <row r="279">
      <c r="A279" s="280"/>
      <c r="B279" s="280"/>
      <c r="C279" s="280"/>
      <c r="D279" s="280"/>
      <c r="F279" s="789"/>
      <c r="G279" s="789"/>
      <c r="H279" s="790"/>
      <c r="I279" s="791"/>
      <c r="J279" s="792"/>
      <c r="K279" s="792"/>
      <c r="L279" s="791"/>
      <c r="M279" s="793"/>
      <c r="N279" s="617"/>
      <c r="O279" s="794"/>
    </row>
    <row r="280">
      <c r="A280" s="280"/>
      <c r="B280" s="280"/>
      <c r="C280" s="280"/>
      <c r="D280" s="280"/>
      <c r="F280" s="789"/>
      <c r="G280" s="789"/>
      <c r="H280" s="790"/>
      <c r="I280" s="791"/>
      <c r="J280" s="792"/>
      <c r="K280" s="792"/>
      <c r="L280" s="791"/>
      <c r="M280" s="793"/>
      <c r="N280" s="617"/>
      <c r="O280" s="794"/>
    </row>
    <row r="281">
      <c r="A281" s="280"/>
      <c r="B281" s="280"/>
      <c r="C281" s="280"/>
      <c r="D281" s="280"/>
      <c r="F281" s="789"/>
      <c r="G281" s="789"/>
      <c r="H281" s="790"/>
      <c r="I281" s="791"/>
      <c r="J281" s="792"/>
      <c r="K281" s="792"/>
      <c r="L281" s="791"/>
      <c r="M281" s="793"/>
      <c r="N281" s="617"/>
      <c r="O281" s="794"/>
    </row>
    <row r="282">
      <c r="A282" s="280"/>
      <c r="B282" s="280"/>
      <c r="C282" s="280"/>
      <c r="D282" s="280"/>
      <c r="F282" s="789"/>
      <c r="G282" s="789"/>
      <c r="H282" s="790"/>
      <c r="I282" s="791"/>
      <c r="J282" s="792"/>
      <c r="K282" s="792"/>
      <c r="L282" s="791"/>
      <c r="M282" s="793"/>
      <c r="N282" s="617"/>
      <c r="O282" s="794"/>
    </row>
    <row r="283">
      <c r="A283" s="280"/>
      <c r="B283" s="280"/>
      <c r="C283" s="280"/>
      <c r="D283" s="280"/>
      <c r="F283" s="789"/>
      <c r="G283" s="789"/>
      <c r="H283" s="790"/>
      <c r="I283" s="791"/>
      <c r="J283" s="792"/>
      <c r="K283" s="792"/>
      <c r="L283" s="791"/>
      <c r="M283" s="793"/>
      <c r="N283" s="617"/>
      <c r="O283" s="794"/>
    </row>
    <row r="284">
      <c r="A284" s="280"/>
      <c r="B284" s="280"/>
      <c r="C284" s="280"/>
      <c r="D284" s="280"/>
      <c r="F284" s="789"/>
      <c r="G284" s="789"/>
      <c r="H284" s="790"/>
      <c r="I284" s="791"/>
      <c r="J284" s="792"/>
      <c r="K284" s="792"/>
      <c r="L284" s="791"/>
      <c r="M284" s="793"/>
      <c r="N284" s="617"/>
      <c r="O284" s="794"/>
    </row>
    <row r="285">
      <c r="A285" s="280"/>
      <c r="B285" s="280"/>
      <c r="C285" s="280"/>
      <c r="D285" s="280"/>
      <c r="F285" s="789"/>
      <c r="G285" s="789"/>
      <c r="H285" s="790"/>
      <c r="I285" s="791"/>
      <c r="J285" s="792"/>
      <c r="K285" s="792"/>
      <c r="L285" s="791"/>
      <c r="M285" s="793"/>
      <c r="N285" s="617"/>
      <c r="O285" s="794"/>
    </row>
    <row r="286">
      <c r="A286" s="280"/>
      <c r="B286" s="280"/>
      <c r="C286" s="280"/>
      <c r="D286" s="280"/>
      <c r="F286" s="789"/>
      <c r="G286" s="789"/>
      <c r="H286" s="790"/>
      <c r="I286" s="791"/>
      <c r="J286" s="792"/>
      <c r="K286" s="792"/>
      <c r="L286" s="791"/>
      <c r="M286" s="793"/>
      <c r="N286" s="617"/>
      <c r="O286" s="794"/>
    </row>
    <row r="287">
      <c r="A287" s="280"/>
      <c r="B287" s="280"/>
      <c r="C287" s="280"/>
      <c r="D287" s="280"/>
      <c r="F287" s="789"/>
      <c r="G287" s="789"/>
      <c r="H287" s="790"/>
      <c r="I287" s="791"/>
      <c r="J287" s="792"/>
      <c r="K287" s="792"/>
      <c r="L287" s="791"/>
      <c r="M287" s="793"/>
      <c r="N287" s="617"/>
      <c r="O287" s="794"/>
    </row>
    <row r="288">
      <c r="A288" s="280"/>
      <c r="B288" s="280"/>
      <c r="C288" s="280"/>
      <c r="D288" s="280"/>
      <c r="F288" s="789"/>
      <c r="G288" s="789"/>
      <c r="H288" s="790"/>
      <c r="I288" s="791"/>
      <c r="J288" s="792"/>
      <c r="K288" s="792"/>
      <c r="L288" s="791"/>
      <c r="M288" s="793"/>
      <c r="N288" s="617"/>
      <c r="O288" s="794"/>
    </row>
    <row r="289">
      <c r="A289" s="280"/>
      <c r="B289" s="280"/>
      <c r="C289" s="280"/>
      <c r="D289" s="280"/>
      <c r="F289" s="789"/>
      <c r="G289" s="789"/>
      <c r="H289" s="790"/>
      <c r="I289" s="791"/>
      <c r="J289" s="792"/>
      <c r="K289" s="792"/>
      <c r="L289" s="791"/>
      <c r="M289" s="793"/>
      <c r="N289" s="617"/>
      <c r="O289" s="794"/>
    </row>
    <row r="290">
      <c r="A290" s="280"/>
      <c r="B290" s="280"/>
      <c r="C290" s="280"/>
      <c r="D290" s="280"/>
      <c r="F290" s="789"/>
      <c r="G290" s="789"/>
      <c r="H290" s="790"/>
      <c r="I290" s="791"/>
      <c r="J290" s="792"/>
      <c r="K290" s="792"/>
      <c r="L290" s="791"/>
      <c r="M290" s="793"/>
      <c r="N290" s="617"/>
      <c r="O290" s="794"/>
    </row>
    <row r="291">
      <c r="A291" s="280"/>
      <c r="B291" s="280"/>
      <c r="C291" s="280"/>
      <c r="D291" s="280"/>
      <c r="F291" s="789"/>
      <c r="G291" s="789"/>
      <c r="H291" s="790"/>
      <c r="I291" s="791"/>
      <c r="J291" s="792"/>
      <c r="K291" s="792"/>
      <c r="L291" s="791"/>
      <c r="M291" s="793"/>
      <c r="N291" s="617"/>
      <c r="O291" s="794"/>
    </row>
    <row r="292">
      <c r="A292" s="280"/>
      <c r="B292" s="280"/>
      <c r="C292" s="280"/>
      <c r="D292" s="280"/>
      <c r="F292" s="789"/>
      <c r="G292" s="789"/>
      <c r="H292" s="790"/>
      <c r="I292" s="791"/>
      <c r="J292" s="792"/>
      <c r="K292" s="792"/>
      <c r="L292" s="791"/>
      <c r="M292" s="793"/>
      <c r="N292" s="617"/>
      <c r="O292" s="794"/>
    </row>
    <row r="293">
      <c r="A293" s="280"/>
      <c r="B293" s="280"/>
      <c r="C293" s="280"/>
      <c r="D293" s="280"/>
      <c r="F293" s="789"/>
      <c r="G293" s="789"/>
      <c r="H293" s="790"/>
      <c r="I293" s="791"/>
      <c r="J293" s="792"/>
      <c r="K293" s="792"/>
      <c r="L293" s="791"/>
      <c r="M293" s="793"/>
      <c r="N293" s="617"/>
      <c r="O293" s="794"/>
    </row>
    <row r="294">
      <c r="A294" s="280"/>
      <c r="B294" s="280"/>
      <c r="C294" s="280"/>
      <c r="D294" s="280"/>
      <c r="F294" s="789"/>
      <c r="G294" s="789"/>
      <c r="H294" s="790"/>
      <c r="I294" s="791"/>
      <c r="J294" s="792"/>
      <c r="K294" s="792"/>
      <c r="L294" s="791"/>
      <c r="M294" s="793"/>
      <c r="N294" s="617"/>
      <c r="O294" s="794"/>
    </row>
    <row r="295">
      <c r="A295" s="280"/>
      <c r="B295" s="280"/>
      <c r="C295" s="280"/>
      <c r="D295" s="280"/>
      <c r="F295" s="789"/>
      <c r="G295" s="789"/>
      <c r="H295" s="790"/>
      <c r="I295" s="791"/>
      <c r="J295" s="792"/>
      <c r="K295" s="792"/>
      <c r="L295" s="791"/>
      <c r="M295" s="793"/>
      <c r="N295" s="617"/>
      <c r="O295" s="794"/>
    </row>
    <row r="296">
      <c r="A296" s="280"/>
      <c r="B296" s="280"/>
      <c r="C296" s="280"/>
      <c r="D296" s="280"/>
      <c r="F296" s="789"/>
      <c r="G296" s="789"/>
      <c r="H296" s="790"/>
      <c r="I296" s="791"/>
      <c r="J296" s="792"/>
      <c r="K296" s="792"/>
      <c r="L296" s="791"/>
      <c r="M296" s="793"/>
      <c r="N296" s="617"/>
      <c r="O296" s="794"/>
    </row>
    <row r="297">
      <c r="A297" s="280"/>
      <c r="B297" s="280"/>
      <c r="C297" s="280"/>
      <c r="D297" s="280"/>
      <c r="F297" s="789"/>
      <c r="G297" s="789"/>
      <c r="H297" s="790"/>
      <c r="I297" s="791"/>
      <c r="J297" s="792"/>
      <c r="K297" s="792"/>
      <c r="L297" s="791"/>
      <c r="M297" s="793"/>
      <c r="N297" s="617"/>
      <c r="O297" s="794"/>
    </row>
    <row r="298">
      <c r="A298" s="280"/>
      <c r="B298" s="280"/>
      <c r="C298" s="280"/>
      <c r="D298" s="280"/>
      <c r="F298" s="789"/>
      <c r="G298" s="789"/>
      <c r="H298" s="790"/>
      <c r="I298" s="791"/>
      <c r="J298" s="792"/>
      <c r="K298" s="792"/>
      <c r="L298" s="791"/>
      <c r="M298" s="793"/>
      <c r="N298" s="617"/>
      <c r="O298" s="794"/>
    </row>
    <row r="299">
      <c r="A299" s="280"/>
      <c r="B299" s="280"/>
      <c r="C299" s="280"/>
      <c r="D299" s="280"/>
      <c r="F299" s="789"/>
      <c r="G299" s="789"/>
      <c r="H299" s="790"/>
      <c r="I299" s="791"/>
      <c r="J299" s="792"/>
      <c r="K299" s="792"/>
      <c r="L299" s="791"/>
      <c r="M299" s="793"/>
      <c r="N299" s="617"/>
      <c r="O299" s="794"/>
    </row>
    <row r="300">
      <c r="A300" s="280"/>
      <c r="B300" s="280"/>
      <c r="C300" s="280"/>
      <c r="D300" s="280"/>
      <c r="F300" s="789"/>
      <c r="G300" s="789"/>
      <c r="H300" s="790"/>
      <c r="I300" s="791"/>
      <c r="J300" s="792"/>
      <c r="K300" s="792"/>
      <c r="L300" s="791"/>
      <c r="M300" s="793"/>
      <c r="N300" s="617"/>
      <c r="O300" s="794"/>
    </row>
    <row r="301">
      <c r="A301" s="280"/>
      <c r="B301" s="280"/>
      <c r="C301" s="280"/>
      <c r="D301" s="280"/>
      <c r="F301" s="789"/>
      <c r="G301" s="789"/>
      <c r="H301" s="790"/>
      <c r="I301" s="791"/>
      <c r="J301" s="792"/>
      <c r="K301" s="792"/>
      <c r="L301" s="791"/>
      <c r="M301" s="793"/>
      <c r="N301" s="617"/>
      <c r="O301" s="794"/>
    </row>
    <row r="302">
      <c r="A302" s="280"/>
      <c r="B302" s="280"/>
      <c r="C302" s="280"/>
      <c r="D302" s="280"/>
      <c r="F302" s="789"/>
      <c r="G302" s="789"/>
      <c r="H302" s="790"/>
      <c r="I302" s="791"/>
      <c r="J302" s="792"/>
      <c r="K302" s="792"/>
      <c r="L302" s="791"/>
      <c r="M302" s="793"/>
      <c r="N302" s="617"/>
      <c r="O302" s="794"/>
    </row>
    <row r="303">
      <c r="A303" s="280"/>
      <c r="B303" s="280"/>
      <c r="C303" s="280"/>
      <c r="D303" s="280"/>
      <c r="F303" s="789"/>
      <c r="G303" s="789"/>
      <c r="H303" s="790"/>
      <c r="I303" s="791"/>
      <c r="J303" s="792"/>
      <c r="K303" s="792"/>
      <c r="L303" s="791"/>
      <c r="M303" s="793"/>
      <c r="N303" s="617"/>
      <c r="O303" s="794"/>
    </row>
    <row r="304">
      <c r="A304" s="280"/>
      <c r="B304" s="280"/>
      <c r="C304" s="280"/>
      <c r="D304" s="280"/>
      <c r="F304" s="789"/>
      <c r="G304" s="789"/>
      <c r="H304" s="790"/>
      <c r="I304" s="791"/>
      <c r="J304" s="792"/>
      <c r="K304" s="792"/>
      <c r="L304" s="791"/>
      <c r="M304" s="793"/>
      <c r="N304" s="617"/>
      <c r="O304" s="794"/>
    </row>
    <row r="305">
      <c r="A305" s="280"/>
      <c r="B305" s="280"/>
      <c r="C305" s="280"/>
      <c r="D305" s="280"/>
      <c r="F305" s="789"/>
      <c r="G305" s="789"/>
      <c r="H305" s="790"/>
      <c r="I305" s="791"/>
      <c r="J305" s="792"/>
      <c r="K305" s="792"/>
      <c r="L305" s="791"/>
      <c r="M305" s="793"/>
      <c r="N305" s="617"/>
      <c r="O305" s="794"/>
    </row>
    <row r="306">
      <c r="A306" s="280"/>
      <c r="B306" s="280"/>
      <c r="C306" s="280"/>
      <c r="D306" s="280"/>
      <c r="F306" s="789"/>
      <c r="G306" s="789"/>
      <c r="H306" s="790"/>
      <c r="I306" s="791"/>
      <c r="J306" s="792"/>
      <c r="K306" s="792"/>
      <c r="L306" s="791"/>
      <c r="M306" s="793"/>
      <c r="N306" s="617"/>
      <c r="O306" s="794"/>
    </row>
    <row r="307">
      <c r="A307" s="280"/>
      <c r="B307" s="280"/>
      <c r="C307" s="280"/>
      <c r="D307" s="280"/>
      <c r="F307" s="789"/>
      <c r="G307" s="789"/>
      <c r="H307" s="790"/>
      <c r="I307" s="791"/>
      <c r="J307" s="792"/>
      <c r="K307" s="792"/>
      <c r="L307" s="791"/>
      <c r="M307" s="793"/>
      <c r="N307" s="617"/>
      <c r="O307" s="794"/>
    </row>
    <row r="308">
      <c r="A308" s="280"/>
      <c r="B308" s="280"/>
      <c r="C308" s="280"/>
      <c r="D308" s="280"/>
      <c r="F308" s="789"/>
      <c r="G308" s="789"/>
      <c r="H308" s="790"/>
      <c r="I308" s="791"/>
      <c r="J308" s="792"/>
      <c r="K308" s="792"/>
      <c r="L308" s="791"/>
      <c r="M308" s="793"/>
      <c r="N308" s="617"/>
      <c r="O308" s="794"/>
    </row>
    <row r="309">
      <c r="A309" s="280"/>
      <c r="B309" s="280"/>
      <c r="C309" s="280"/>
      <c r="D309" s="280"/>
      <c r="F309" s="789"/>
      <c r="G309" s="789"/>
      <c r="H309" s="790"/>
      <c r="I309" s="791"/>
      <c r="J309" s="792"/>
      <c r="K309" s="792"/>
      <c r="L309" s="791"/>
      <c r="M309" s="793"/>
      <c r="N309" s="617"/>
      <c r="O309" s="794"/>
    </row>
    <row r="310">
      <c r="A310" s="280"/>
      <c r="B310" s="280"/>
      <c r="C310" s="280"/>
      <c r="D310" s="280"/>
      <c r="F310" s="789"/>
      <c r="G310" s="789"/>
      <c r="H310" s="790"/>
      <c r="I310" s="791"/>
      <c r="J310" s="792"/>
      <c r="K310" s="792"/>
      <c r="L310" s="791"/>
      <c r="M310" s="793"/>
      <c r="N310" s="617"/>
      <c r="O310" s="794"/>
    </row>
    <row r="311">
      <c r="A311" s="280"/>
      <c r="B311" s="280"/>
      <c r="C311" s="280"/>
      <c r="D311" s="280"/>
      <c r="F311" s="789"/>
      <c r="G311" s="789"/>
      <c r="H311" s="790"/>
      <c r="I311" s="791"/>
      <c r="J311" s="792"/>
      <c r="K311" s="792"/>
      <c r="L311" s="791"/>
      <c r="M311" s="793"/>
      <c r="N311" s="617"/>
      <c r="O311" s="794"/>
    </row>
    <row r="312">
      <c r="A312" s="280"/>
      <c r="B312" s="280"/>
      <c r="C312" s="280"/>
      <c r="D312" s="280"/>
      <c r="F312" s="789"/>
      <c r="G312" s="789"/>
      <c r="H312" s="790"/>
      <c r="I312" s="791"/>
      <c r="J312" s="792"/>
      <c r="K312" s="792"/>
      <c r="L312" s="791"/>
      <c r="M312" s="793"/>
      <c r="N312" s="617"/>
      <c r="O312" s="794"/>
    </row>
    <row r="313">
      <c r="A313" s="280"/>
      <c r="B313" s="280"/>
      <c r="C313" s="280"/>
      <c r="D313" s="280"/>
      <c r="F313" s="789"/>
      <c r="G313" s="789"/>
      <c r="H313" s="790"/>
      <c r="I313" s="791"/>
      <c r="J313" s="792"/>
      <c r="K313" s="792"/>
      <c r="L313" s="791"/>
      <c r="M313" s="793"/>
      <c r="N313" s="617"/>
      <c r="O313" s="794"/>
    </row>
    <row r="314">
      <c r="A314" s="280"/>
      <c r="B314" s="280"/>
      <c r="C314" s="280"/>
      <c r="D314" s="280"/>
      <c r="F314" s="789"/>
      <c r="G314" s="789"/>
      <c r="H314" s="790"/>
      <c r="I314" s="791"/>
      <c r="J314" s="792"/>
      <c r="K314" s="792"/>
      <c r="L314" s="791"/>
      <c r="M314" s="793"/>
      <c r="N314" s="617"/>
      <c r="O314" s="794"/>
    </row>
    <row r="315">
      <c r="A315" s="280"/>
      <c r="B315" s="280"/>
      <c r="C315" s="280"/>
      <c r="D315" s="280"/>
      <c r="F315" s="789"/>
      <c r="G315" s="789"/>
      <c r="H315" s="790"/>
      <c r="I315" s="791"/>
      <c r="J315" s="792"/>
      <c r="K315" s="792"/>
      <c r="L315" s="791"/>
      <c r="M315" s="793"/>
      <c r="N315" s="617"/>
      <c r="O315" s="794"/>
    </row>
    <row r="316">
      <c r="A316" s="280"/>
      <c r="B316" s="280"/>
      <c r="C316" s="280"/>
      <c r="D316" s="280"/>
      <c r="F316" s="789"/>
      <c r="G316" s="789"/>
      <c r="H316" s="790"/>
      <c r="I316" s="791"/>
      <c r="J316" s="792"/>
      <c r="K316" s="792"/>
      <c r="L316" s="791"/>
      <c r="M316" s="793"/>
      <c r="N316" s="617"/>
      <c r="O316" s="794"/>
    </row>
    <row r="317">
      <c r="A317" s="280"/>
      <c r="B317" s="280"/>
      <c r="C317" s="280"/>
      <c r="D317" s="280"/>
      <c r="F317" s="789"/>
      <c r="G317" s="789"/>
      <c r="H317" s="790"/>
      <c r="I317" s="791"/>
      <c r="J317" s="792"/>
      <c r="K317" s="792"/>
      <c r="L317" s="791"/>
      <c r="M317" s="793"/>
      <c r="N317" s="617"/>
      <c r="O317" s="794"/>
    </row>
    <row r="318">
      <c r="A318" s="280"/>
      <c r="B318" s="280"/>
      <c r="C318" s="280"/>
      <c r="D318" s="280"/>
      <c r="F318" s="789"/>
      <c r="G318" s="789"/>
      <c r="H318" s="790"/>
      <c r="I318" s="791"/>
      <c r="J318" s="792"/>
      <c r="K318" s="792"/>
      <c r="L318" s="791"/>
      <c r="M318" s="793"/>
      <c r="N318" s="617"/>
      <c r="O318" s="794"/>
    </row>
    <row r="319">
      <c r="A319" s="280"/>
      <c r="B319" s="280"/>
      <c r="C319" s="280"/>
      <c r="D319" s="280"/>
      <c r="F319" s="789"/>
      <c r="G319" s="789"/>
      <c r="H319" s="790"/>
      <c r="I319" s="791"/>
      <c r="J319" s="792"/>
      <c r="K319" s="792"/>
      <c r="L319" s="791"/>
      <c r="M319" s="793"/>
      <c r="N319" s="617"/>
      <c r="O319" s="794"/>
    </row>
    <row r="320">
      <c r="A320" s="280"/>
      <c r="B320" s="280"/>
      <c r="C320" s="280"/>
      <c r="D320" s="280"/>
      <c r="F320" s="789"/>
      <c r="G320" s="789"/>
      <c r="H320" s="790"/>
      <c r="I320" s="791"/>
      <c r="J320" s="792"/>
      <c r="K320" s="792"/>
      <c r="L320" s="791"/>
      <c r="M320" s="793"/>
      <c r="N320" s="617"/>
      <c r="O320" s="794"/>
    </row>
    <row r="321">
      <c r="A321" s="280"/>
      <c r="B321" s="280"/>
      <c r="C321" s="280"/>
      <c r="D321" s="280"/>
      <c r="F321" s="789"/>
      <c r="G321" s="789"/>
      <c r="H321" s="790"/>
      <c r="I321" s="791"/>
      <c r="J321" s="792"/>
      <c r="K321" s="792"/>
      <c r="L321" s="791"/>
      <c r="M321" s="793"/>
      <c r="N321" s="617"/>
      <c r="O321" s="794"/>
    </row>
    <row r="322">
      <c r="A322" s="280"/>
      <c r="B322" s="280"/>
      <c r="C322" s="280"/>
      <c r="D322" s="280"/>
      <c r="F322" s="789"/>
      <c r="G322" s="789"/>
      <c r="H322" s="790"/>
      <c r="I322" s="791"/>
      <c r="J322" s="792"/>
      <c r="K322" s="792"/>
      <c r="L322" s="791"/>
      <c r="M322" s="793"/>
      <c r="N322" s="617"/>
      <c r="O322" s="794"/>
    </row>
    <row r="323">
      <c r="A323" s="280"/>
      <c r="B323" s="280"/>
      <c r="C323" s="280"/>
      <c r="D323" s="280"/>
      <c r="F323" s="789"/>
      <c r="G323" s="789"/>
      <c r="H323" s="790"/>
      <c r="I323" s="791"/>
      <c r="J323" s="792"/>
      <c r="K323" s="792"/>
      <c r="L323" s="791"/>
      <c r="M323" s="793"/>
      <c r="N323" s="617"/>
      <c r="O323" s="794"/>
    </row>
    <row r="324">
      <c r="A324" s="280"/>
      <c r="B324" s="280"/>
      <c r="C324" s="280"/>
      <c r="D324" s="280"/>
      <c r="F324" s="789"/>
      <c r="G324" s="789"/>
      <c r="H324" s="790"/>
      <c r="I324" s="791"/>
      <c r="J324" s="792"/>
      <c r="K324" s="792"/>
      <c r="L324" s="791"/>
      <c r="M324" s="793"/>
      <c r="N324" s="617"/>
      <c r="O324" s="794"/>
    </row>
    <row r="325">
      <c r="A325" s="280"/>
      <c r="B325" s="280"/>
      <c r="C325" s="280"/>
      <c r="D325" s="280"/>
      <c r="F325" s="789"/>
      <c r="G325" s="789"/>
      <c r="H325" s="790"/>
      <c r="I325" s="791"/>
      <c r="J325" s="792"/>
      <c r="K325" s="792"/>
      <c r="L325" s="791"/>
      <c r="M325" s="793"/>
      <c r="N325" s="617"/>
      <c r="O325" s="794"/>
    </row>
    <row r="326">
      <c r="A326" s="280"/>
      <c r="B326" s="280"/>
      <c r="C326" s="280"/>
      <c r="D326" s="280"/>
      <c r="F326" s="789"/>
      <c r="G326" s="789"/>
      <c r="H326" s="790"/>
      <c r="I326" s="791"/>
      <c r="J326" s="792"/>
      <c r="K326" s="792"/>
      <c r="L326" s="791"/>
      <c r="M326" s="793"/>
      <c r="N326" s="617"/>
      <c r="O326" s="794"/>
    </row>
    <row r="327">
      <c r="A327" s="280"/>
      <c r="B327" s="280"/>
      <c r="C327" s="280"/>
      <c r="D327" s="280"/>
      <c r="F327" s="789"/>
      <c r="G327" s="789"/>
      <c r="H327" s="790"/>
      <c r="I327" s="791"/>
      <c r="J327" s="792"/>
      <c r="K327" s="792"/>
      <c r="L327" s="791"/>
      <c r="M327" s="793"/>
      <c r="N327" s="617"/>
      <c r="O327" s="794"/>
    </row>
    <row r="328">
      <c r="A328" s="280"/>
      <c r="B328" s="280"/>
      <c r="C328" s="280"/>
      <c r="D328" s="280"/>
      <c r="F328" s="789"/>
      <c r="G328" s="789"/>
      <c r="H328" s="790"/>
      <c r="I328" s="791"/>
      <c r="J328" s="792"/>
      <c r="K328" s="792"/>
      <c r="L328" s="791"/>
      <c r="M328" s="793"/>
      <c r="N328" s="617"/>
      <c r="O328" s="794"/>
    </row>
    <row r="329">
      <c r="A329" s="280"/>
      <c r="B329" s="280"/>
      <c r="C329" s="280"/>
      <c r="D329" s="280"/>
      <c r="F329" s="789"/>
      <c r="G329" s="789"/>
      <c r="H329" s="790"/>
      <c r="I329" s="791"/>
      <c r="J329" s="792"/>
      <c r="K329" s="792"/>
      <c r="L329" s="791"/>
      <c r="M329" s="793"/>
      <c r="N329" s="617"/>
      <c r="O329" s="794"/>
    </row>
    <row r="330">
      <c r="A330" s="280"/>
      <c r="B330" s="280"/>
      <c r="C330" s="280"/>
      <c r="D330" s="280"/>
      <c r="F330" s="789"/>
      <c r="G330" s="789"/>
      <c r="H330" s="790"/>
      <c r="I330" s="791"/>
      <c r="J330" s="792"/>
      <c r="K330" s="792"/>
      <c r="L330" s="791"/>
      <c r="M330" s="793"/>
      <c r="N330" s="617"/>
      <c r="O330" s="794"/>
    </row>
    <row r="331">
      <c r="A331" s="280"/>
      <c r="B331" s="280"/>
      <c r="C331" s="280"/>
      <c r="D331" s="280"/>
      <c r="F331" s="789"/>
      <c r="G331" s="789"/>
      <c r="H331" s="790"/>
      <c r="I331" s="791"/>
      <c r="J331" s="792"/>
      <c r="K331" s="792"/>
      <c r="L331" s="791"/>
      <c r="M331" s="793"/>
      <c r="N331" s="617"/>
      <c r="O331" s="794"/>
    </row>
    <row r="332">
      <c r="A332" s="280"/>
      <c r="B332" s="280"/>
      <c r="C332" s="280"/>
      <c r="D332" s="280"/>
      <c r="F332" s="789"/>
      <c r="G332" s="789"/>
      <c r="H332" s="790"/>
      <c r="I332" s="791"/>
      <c r="J332" s="792"/>
      <c r="K332" s="792"/>
      <c r="L332" s="791"/>
      <c r="M332" s="793"/>
      <c r="N332" s="617"/>
      <c r="O332" s="794"/>
    </row>
    <row r="333">
      <c r="A333" s="280"/>
      <c r="B333" s="280"/>
      <c r="C333" s="280"/>
      <c r="D333" s="280"/>
      <c r="F333" s="789"/>
      <c r="G333" s="789"/>
      <c r="H333" s="790"/>
      <c r="I333" s="791"/>
      <c r="J333" s="792"/>
      <c r="K333" s="792"/>
      <c r="L333" s="791"/>
      <c r="M333" s="793"/>
      <c r="N333" s="617"/>
      <c r="O333" s="794"/>
    </row>
    <row r="334">
      <c r="A334" s="280"/>
      <c r="B334" s="280"/>
      <c r="C334" s="280"/>
      <c r="D334" s="280"/>
      <c r="F334" s="789"/>
      <c r="G334" s="789"/>
      <c r="H334" s="790"/>
      <c r="I334" s="791"/>
      <c r="J334" s="792"/>
      <c r="K334" s="792"/>
      <c r="L334" s="791"/>
      <c r="M334" s="793"/>
      <c r="N334" s="617"/>
      <c r="O334" s="794"/>
    </row>
    <row r="335">
      <c r="A335" s="280"/>
      <c r="B335" s="280"/>
      <c r="C335" s="280"/>
      <c r="D335" s="280"/>
      <c r="F335" s="789"/>
      <c r="G335" s="789"/>
      <c r="H335" s="790"/>
      <c r="I335" s="791"/>
      <c r="J335" s="792"/>
      <c r="K335" s="792"/>
      <c r="L335" s="791"/>
      <c r="M335" s="793"/>
      <c r="N335" s="617"/>
      <c r="O335" s="794"/>
    </row>
    <row r="336">
      <c r="A336" s="280"/>
      <c r="B336" s="280"/>
      <c r="C336" s="280"/>
      <c r="D336" s="280"/>
      <c r="F336" s="789"/>
      <c r="G336" s="789"/>
      <c r="H336" s="790"/>
      <c r="I336" s="791"/>
      <c r="J336" s="792"/>
      <c r="K336" s="792"/>
      <c r="L336" s="791"/>
      <c r="M336" s="793"/>
      <c r="N336" s="617"/>
      <c r="O336" s="794"/>
    </row>
    <row r="337">
      <c r="A337" s="280"/>
      <c r="B337" s="280"/>
      <c r="C337" s="280"/>
      <c r="D337" s="280"/>
      <c r="F337" s="789"/>
      <c r="G337" s="789"/>
      <c r="H337" s="790"/>
      <c r="I337" s="791"/>
      <c r="J337" s="792"/>
      <c r="K337" s="792"/>
      <c r="L337" s="791"/>
      <c r="M337" s="793"/>
      <c r="N337" s="617"/>
      <c r="O337" s="794"/>
    </row>
    <row r="338">
      <c r="A338" s="280"/>
      <c r="B338" s="280"/>
      <c r="C338" s="280"/>
      <c r="D338" s="280"/>
      <c r="F338" s="789"/>
      <c r="G338" s="789"/>
      <c r="H338" s="790"/>
      <c r="I338" s="791"/>
      <c r="J338" s="792"/>
      <c r="K338" s="792"/>
      <c r="L338" s="791"/>
      <c r="M338" s="793"/>
      <c r="N338" s="617"/>
      <c r="O338" s="794"/>
    </row>
    <row r="339">
      <c r="A339" s="280"/>
      <c r="B339" s="280"/>
      <c r="C339" s="280"/>
      <c r="D339" s="280"/>
      <c r="F339" s="789"/>
      <c r="G339" s="789"/>
      <c r="H339" s="790"/>
      <c r="I339" s="791"/>
      <c r="J339" s="792"/>
      <c r="K339" s="792"/>
      <c r="L339" s="791"/>
      <c r="M339" s="793"/>
      <c r="N339" s="617"/>
      <c r="O339" s="794"/>
    </row>
    <row r="340">
      <c r="A340" s="280"/>
      <c r="B340" s="280"/>
      <c r="C340" s="280"/>
      <c r="D340" s="280"/>
      <c r="F340" s="789"/>
      <c r="G340" s="789"/>
      <c r="H340" s="790"/>
      <c r="I340" s="791"/>
      <c r="J340" s="792"/>
      <c r="K340" s="792"/>
      <c r="L340" s="791"/>
      <c r="M340" s="793"/>
      <c r="N340" s="617"/>
      <c r="O340" s="794"/>
    </row>
    <row r="341">
      <c r="A341" s="280"/>
      <c r="B341" s="280"/>
      <c r="C341" s="280"/>
      <c r="D341" s="280"/>
      <c r="F341" s="789"/>
      <c r="G341" s="789"/>
      <c r="H341" s="790"/>
      <c r="I341" s="791"/>
      <c r="J341" s="792"/>
      <c r="K341" s="792"/>
      <c r="L341" s="791"/>
      <c r="M341" s="793"/>
      <c r="N341" s="617"/>
      <c r="O341" s="794"/>
    </row>
    <row r="342">
      <c r="A342" s="280"/>
      <c r="B342" s="280"/>
      <c r="C342" s="280"/>
      <c r="D342" s="280"/>
      <c r="F342" s="789"/>
      <c r="G342" s="789"/>
      <c r="H342" s="790"/>
      <c r="I342" s="791"/>
      <c r="J342" s="792"/>
      <c r="K342" s="792"/>
      <c r="L342" s="791"/>
      <c r="M342" s="793"/>
      <c r="N342" s="617"/>
      <c r="O342" s="794"/>
    </row>
    <row r="343">
      <c r="A343" s="280"/>
      <c r="B343" s="280"/>
      <c r="C343" s="280"/>
      <c r="D343" s="280"/>
      <c r="F343" s="789"/>
      <c r="G343" s="789"/>
      <c r="H343" s="790"/>
      <c r="I343" s="791"/>
      <c r="J343" s="792"/>
      <c r="K343" s="792"/>
      <c r="L343" s="791"/>
      <c r="M343" s="793"/>
      <c r="N343" s="617"/>
      <c r="O343" s="794"/>
    </row>
    <row r="344">
      <c r="A344" s="280"/>
      <c r="B344" s="280"/>
      <c r="C344" s="280"/>
      <c r="D344" s="280"/>
      <c r="F344" s="789"/>
      <c r="G344" s="789"/>
      <c r="H344" s="790"/>
      <c r="I344" s="791"/>
      <c r="J344" s="792"/>
      <c r="K344" s="792"/>
      <c r="L344" s="791"/>
      <c r="M344" s="793"/>
      <c r="N344" s="617"/>
      <c r="O344" s="794"/>
    </row>
    <row r="345">
      <c r="A345" s="280"/>
      <c r="B345" s="280"/>
      <c r="C345" s="280"/>
      <c r="D345" s="280"/>
      <c r="F345" s="789"/>
      <c r="G345" s="789"/>
      <c r="H345" s="790"/>
      <c r="I345" s="791"/>
      <c r="J345" s="792"/>
      <c r="K345" s="792"/>
      <c r="L345" s="791"/>
      <c r="M345" s="793"/>
      <c r="N345" s="617"/>
      <c r="O345" s="794"/>
    </row>
    <row r="346">
      <c r="A346" s="280"/>
      <c r="B346" s="280"/>
      <c r="C346" s="280"/>
      <c r="D346" s="280"/>
      <c r="F346" s="789"/>
      <c r="G346" s="789"/>
      <c r="H346" s="790"/>
      <c r="I346" s="791"/>
      <c r="J346" s="792"/>
      <c r="K346" s="792"/>
      <c r="L346" s="791"/>
      <c r="M346" s="793"/>
      <c r="N346" s="617"/>
      <c r="O346" s="794"/>
    </row>
    <row r="347">
      <c r="A347" s="280"/>
      <c r="B347" s="280"/>
      <c r="C347" s="280"/>
      <c r="D347" s="280"/>
      <c r="F347" s="789"/>
      <c r="G347" s="789"/>
      <c r="H347" s="790"/>
      <c r="I347" s="791"/>
      <c r="J347" s="792"/>
      <c r="K347" s="792"/>
      <c r="L347" s="791"/>
      <c r="M347" s="793"/>
      <c r="N347" s="617"/>
      <c r="O347" s="794"/>
    </row>
    <row r="348">
      <c r="A348" s="280"/>
      <c r="B348" s="280"/>
      <c r="C348" s="280"/>
      <c r="D348" s="280"/>
      <c r="F348" s="789"/>
      <c r="G348" s="789"/>
      <c r="H348" s="790"/>
      <c r="I348" s="791"/>
      <c r="J348" s="792"/>
      <c r="K348" s="792"/>
      <c r="L348" s="791"/>
      <c r="M348" s="793"/>
      <c r="N348" s="617"/>
      <c r="O348" s="794"/>
    </row>
    <row r="349">
      <c r="A349" s="280"/>
      <c r="B349" s="280"/>
      <c r="C349" s="280"/>
      <c r="D349" s="280"/>
      <c r="F349" s="789"/>
      <c r="G349" s="789"/>
      <c r="H349" s="790"/>
      <c r="I349" s="791"/>
      <c r="J349" s="792"/>
      <c r="K349" s="792"/>
      <c r="L349" s="791"/>
      <c r="M349" s="793"/>
      <c r="N349" s="617"/>
      <c r="O349" s="794"/>
    </row>
    <row r="350">
      <c r="A350" s="280"/>
      <c r="B350" s="280"/>
      <c r="C350" s="280"/>
      <c r="D350" s="280"/>
      <c r="F350" s="789"/>
      <c r="G350" s="789"/>
      <c r="H350" s="790"/>
      <c r="I350" s="791"/>
      <c r="J350" s="792"/>
      <c r="K350" s="792"/>
      <c r="L350" s="791"/>
      <c r="M350" s="793"/>
      <c r="N350" s="617"/>
      <c r="O350" s="794"/>
    </row>
    <row r="351">
      <c r="A351" s="280"/>
      <c r="B351" s="280"/>
      <c r="C351" s="280"/>
      <c r="D351" s="280"/>
      <c r="F351" s="789"/>
      <c r="G351" s="789"/>
      <c r="H351" s="790"/>
      <c r="I351" s="791"/>
      <c r="J351" s="792"/>
      <c r="K351" s="792"/>
      <c r="L351" s="791"/>
      <c r="M351" s="793"/>
      <c r="N351" s="617"/>
      <c r="O351" s="794"/>
    </row>
    <row r="352">
      <c r="A352" s="280"/>
      <c r="B352" s="280"/>
      <c r="C352" s="280"/>
      <c r="D352" s="280"/>
      <c r="F352" s="789"/>
      <c r="G352" s="789"/>
      <c r="H352" s="790"/>
      <c r="I352" s="791"/>
      <c r="J352" s="792"/>
      <c r="K352" s="792"/>
      <c r="L352" s="791"/>
      <c r="M352" s="793"/>
      <c r="N352" s="617"/>
      <c r="O352" s="794"/>
    </row>
    <row r="353">
      <c r="A353" s="280"/>
      <c r="B353" s="280"/>
      <c r="C353" s="280"/>
      <c r="D353" s="280"/>
      <c r="F353" s="789"/>
      <c r="G353" s="789"/>
      <c r="H353" s="790"/>
      <c r="I353" s="791"/>
      <c r="J353" s="792"/>
      <c r="K353" s="792"/>
      <c r="L353" s="791"/>
      <c r="M353" s="793"/>
      <c r="N353" s="617"/>
      <c r="O353" s="794"/>
    </row>
    <row r="354">
      <c r="A354" s="280"/>
      <c r="B354" s="280"/>
      <c r="C354" s="280"/>
      <c r="D354" s="280"/>
      <c r="F354" s="789"/>
      <c r="G354" s="789"/>
      <c r="H354" s="790"/>
      <c r="I354" s="791"/>
      <c r="J354" s="792"/>
      <c r="K354" s="792"/>
      <c r="L354" s="791"/>
      <c r="M354" s="793"/>
      <c r="N354" s="617"/>
      <c r="O354" s="794"/>
    </row>
    <row r="355">
      <c r="A355" s="280"/>
      <c r="B355" s="280"/>
      <c r="C355" s="280"/>
      <c r="D355" s="280"/>
      <c r="F355" s="789"/>
      <c r="G355" s="789"/>
      <c r="H355" s="790"/>
      <c r="I355" s="791"/>
      <c r="J355" s="792"/>
      <c r="K355" s="792"/>
      <c r="L355" s="791"/>
      <c r="M355" s="793"/>
      <c r="N355" s="617"/>
      <c r="O355" s="794"/>
    </row>
    <row r="356">
      <c r="A356" s="280"/>
      <c r="B356" s="280"/>
      <c r="C356" s="280"/>
      <c r="D356" s="280"/>
      <c r="F356" s="789"/>
      <c r="G356" s="789"/>
      <c r="H356" s="790"/>
      <c r="I356" s="791"/>
      <c r="J356" s="792"/>
      <c r="K356" s="792"/>
      <c r="L356" s="791"/>
      <c r="M356" s="793"/>
      <c r="N356" s="617"/>
      <c r="O356" s="794"/>
    </row>
    <row r="357">
      <c r="A357" s="280"/>
      <c r="B357" s="280"/>
      <c r="C357" s="280"/>
      <c r="D357" s="280"/>
      <c r="F357" s="789"/>
      <c r="G357" s="789"/>
      <c r="H357" s="790"/>
      <c r="I357" s="791"/>
      <c r="J357" s="792"/>
      <c r="K357" s="792"/>
      <c r="L357" s="791"/>
      <c r="M357" s="793"/>
      <c r="N357" s="617"/>
      <c r="O357" s="794"/>
    </row>
    <row r="358">
      <c r="A358" s="280"/>
      <c r="B358" s="280"/>
      <c r="C358" s="280"/>
      <c r="D358" s="280"/>
      <c r="F358" s="789"/>
      <c r="G358" s="789"/>
      <c r="H358" s="790"/>
      <c r="I358" s="791"/>
      <c r="J358" s="792"/>
      <c r="K358" s="792"/>
      <c r="L358" s="791"/>
      <c r="M358" s="793"/>
      <c r="N358" s="617"/>
      <c r="O358" s="794"/>
    </row>
    <row r="359">
      <c r="A359" s="280"/>
      <c r="B359" s="280"/>
      <c r="C359" s="280"/>
      <c r="D359" s="280"/>
      <c r="F359" s="789"/>
      <c r="G359" s="789"/>
      <c r="H359" s="790"/>
      <c r="I359" s="791"/>
      <c r="J359" s="792"/>
      <c r="K359" s="792"/>
      <c r="L359" s="791"/>
      <c r="M359" s="793"/>
      <c r="N359" s="617"/>
      <c r="O359" s="794"/>
    </row>
    <row r="360">
      <c r="A360" s="280"/>
      <c r="B360" s="280"/>
      <c r="C360" s="280"/>
      <c r="D360" s="280"/>
      <c r="F360" s="789"/>
      <c r="G360" s="789"/>
      <c r="H360" s="790"/>
      <c r="I360" s="791"/>
      <c r="J360" s="792"/>
      <c r="K360" s="792"/>
      <c r="L360" s="791"/>
      <c r="M360" s="793"/>
      <c r="N360" s="617"/>
      <c r="O360" s="794"/>
    </row>
    <row r="361">
      <c r="A361" s="280"/>
      <c r="B361" s="280"/>
      <c r="C361" s="280"/>
      <c r="D361" s="280"/>
      <c r="F361" s="789"/>
      <c r="G361" s="789"/>
      <c r="H361" s="790"/>
      <c r="I361" s="791"/>
      <c r="J361" s="792"/>
      <c r="K361" s="792"/>
      <c r="L361" s="791"/>
      <c r="M361" s="793"/>
      <c r="N361" s="617"/>
      <c r="O361" s="794"/>
    </row>
    <row r="362">
      <c r="A362" s="280"/>
      <c r="B362" s="280"/>
      <c r="C362" s="280"/>
      <c r="D362" s="280"/>
      <c r="F362" s="789"/>
      <c r="G362" s="789"/>
      <c r="H362" s="790"/>
      <c r="I362" s="791"/>
      <c r="J362" s="792"/>
      <c r="K362" s="792"/>
      <c r="L362" s="791"/>
      <c r="M362" s="793"/>
      <c r="N362" s="617"/>
      <c r="O362" s="794"/>
    </row>
    <row r="363">
      <c r="A363" s="280"/>
      <c r="B363" s="280"/>
      <c r="C363" s="280"/>
      <c r="D363" s="280"/>
      <c r="F363" s="789"/>
      <c r="G363" s="789"/>
      <c r="H363" s="790"/>
      <c r="I363" s="791"/>
      <c r="J363" s="792"/>
      <c r="K363" s="792"/>
      <c r="L363" s="791"/>
      <c r="M363" s="793"/>
      <c r="N363" s="617"/>
      <c r="O363" s="794"/>
    </row>
    <row r="364">
      <c r="A364" s="280"/>
      <c r="B364" s="280"/>
      <c r="C364" s="280"/>
      <c r="D364" s="280"/>
      <c r="F364" s="789"/>
      <c r="G364" s="789"/>
      <c r="H364" s="790"/>
      <c r="I364" s="791"/>
      <c r="J364" s="792"/>
      <c r="K364" s="792"/>
      <c r="L364" s="791"/>
      <c r="M364" s="793"/>
      <c r="N364" s="617"/>
      <c r="O364" s="794"/>
    </row>
    <row r="365">
      <c r="A365" s="280"/>
      <c r="B365" s="280"/>
      <c r="C365" s="280"/>
      <c r="D365" s="280"/>
      <c r="F365" s="789"/>
      <c r="G365" s="789"/>
      <c r="H365" s="790"/>
      <c r="I365" s="791"/>
      <c r="J365" s="792"/>
      <c r="K365" s="792"/>
      <c r="L365" s="791"/>
      <c r="M365" s="793"/>
      <c r="N365" s="617"/>
      <c r="O365" s="794"/>
    </row>
    <row r="366">
      <c r="A366" s="280"/>
      <c r="B366" s="280"/>
      <c r="C366" s="280"/>
      <c r="D366" s="280"/>
      <c r="F366" s="789"/>
      <c r="G366" s="789"/>
      <c r="H366" s="790"/>
      <c r="I366" s="791"/>
      <c r="J366" s="792"/>
      <c r="K366" s="792"/>
      <c r="L366" s="791"/>
      <c r="M366" s="793"/>
      <c r="N366" s="617"/>
      <c r="O366" s="794"/>
    </row>
    <row r="367">
      <c r="A367" s="280"/>
      <c r="B367" s="280"/>
      <c r="C367" s="280"/>
      <c r="D367" s="280"/>
      <c r="F367" s="789"/>
      <c r="G367" s="789"/>
      <c r="H367" s="790"/>
      <c r="I367" s="791"/>
      <c r="J367" s="792"/>
      <c r="K367" s="792"/>
      <c r="L367" s="791"/>
      <c r="M367" s="793"/>
      <c r="N367" s="617"/>
      <c r="O367" s="794"/>
    </row>
    <row r="368">
      <c r="A368" s="280"/>
      <c r="B368" s="280"/>
      <c r="C368" s="280"/>
      <c r="D368" s="280"/>
      <c r="F368" s="789"/>
      <c r="G368" s="789"/>
      <c r="H368" s="790"/>
      <c r="I368" s="791"/>
      <c r="J368" s="792"/>
      <c r="K368" s="792"/>
      <c r="L368" s="791"/>
      <c r="M368" s="793"/>
      <c r="N368" s="617"/>
      <c r="O368" s="794"/>
    </row>
    <row r="369">
      <c r="A369" s="280"/>
      <c r="B369" s="280"/>
      <c r="C369" s="280"/>
      <c r="D369" s="280"/>
      <c r="F369" s="789"/>
      <c r="G369" s="789"/>
      <c r="H369" s="790"/>
      <c r="I369" s="791"/>
      <c r="J369" s="792"/>
      <c r="K369" s="792"/>
      <c r="L369" s="791"/>
      <c r="M369" s="793"/>
      <c r="N369" s="617"/>
      <c r="O369" s="794"/>
    </row>
    <row r="370">
      <c r="A370" s="280"/>
      <c r="B370" s="280"/>
      <c r="C370" s="280"/>
      <c r="D370" s="280"/>
      <c r="F370" s="789"/>
      <c r="G370" s="789"/>
      <c r="H370" s="790"/>
      <c r="I370" s="791"/>
      <c r="J370" s="792"/>
      <c r="K370" s="792"/>
      <c r="L370" s="791"/>
      <c r="M370" s="793"/>
      <c r="N370" s="617"/>
      <c r="O370" s="794"/>
    </row>
    <row r="371">
      <c r="A371" s="280"/>
      <c r="B371" s="280"/>
      <c r="C371" s="280"/>
      <c r="D371" s="280"/>
      <c r="F371" s="789"/>
      <c r="G371" s="789"/>
      <c r="H371" s="790"/>
      <c r="I371" s="791"/>
      <c r="J371" s="792"/>
      <c r="K371" s="792"/>
      <c r="L371" s="791"/>
      <c r="M371" s="793"/>
      <c r="N371" s="617"/>
      <c r="O371" s="794"/>
    </row>
    <row r="372">
      <c r="A372" s="280"/>
      <c r="B372" s="280"/>
      <c r="C372" s="280"/>
      <c r="D372" s="280"/>
      <c r="F372" s="789"/>
      <c r="G372" s="789"/>
      <c r="H372" s="790"/>
      <c r="I372" s="791"/>
      <c r="J372" s="792"/>
      <c r="K372" s="792"/>
      <c r="L372" s="791"/>
      <c r="M372" s="793"/>
      <c r="N372" s="617"/>
      <c r="O372" s="794"/>
    </row>
    <row r="373">
      <c r="A373" s="280"/>
      <c r="B373" s="280"/>
      <c r="C373" s="280"/>
      <c r="D373" s="280"/>
      <c r="F373" s="789"/>
      <c r="G373" s="789"/>
      <c r="H373" s="790"/>
      <c r="I373" s="791"/>
      <c r="J373" s="792"/>
      <c r="K373" s="792"/>
      <c r="L373" s="791"/>
      <c r="M373" s="793"/>
      <c r="N373" s="617"/>
      <c r="O373" s="794"/>
    </row>
    <row r="374">
      <c r="A374" s="280"/>
      <c r="B374" s="280"/>
      <c r="C374" s="280"/>
      <c r="D374" s="280"/>
      <c r="F374" s="789"/>
      <c r="G374" s="789"/>
      <c r="H374" s="790"/>
      <c r="I374" s="791"/>
      <c r="J374" s="792"/>
      <c r="K374" s="792"/>
      <c r="L374" s="791"/>
      <c r="M374" s="793"/>
      <c r="N374" s="617"/>
      <c r="O374" s="794"/>
    </row>
    <row r="375">
      <c r="A375" s="280"/>
      <c r="B375" s="280"/>
      <c r="C375" s="280"/>
      <c r="D375" s="280"/>
      <c r="F375" s="789"/>
      <c r="G375" s="789"/>
      <c r="H375" s="790"/>
      <c r="I375" s="791"/>
      <c r="J375" s="792"/>
      <c r="K375" s="792"/>
      <c r="L375" s="791"/>
      <c r="M375" s="793"/>
      <c r="N375" s="617"/>
      <c r="O375" s="794"/>
    </row>
    <row r="376">
      <c r="A376" s="280"/>
      <c r="B376" s="280"/>
      <c r="C376" s="280"/>
      <c r="D376" s="280"/>
      <c r="F376" s="789"/>
      <c r="G376" s="789"/>
      <c r="H376" s="790"/>
      <c r="I376" s="791"/>
      <c r="J376" s="792"/>
      <c r="K376" s="792"/>
      <c r="L376" s="791"/>
      <c r="M376" s="793"/>
      <c r="N376" s="617"/>
      <c r="O376" s="794"/>
    </row>
    <row r="377">
      <c r="A377" s="280"/>
      <c r="B377" s="280"/>
      <c r="C377" s="280"/>
      <c r="D377" s="280"/>
      <c r="F377" s="789"/>
      <c r="G377" s="789"/>
      <c r="H377" s="790"/>
      <c r="I377" s="791"/>
      <c r="J377" s="792"/>
      <c r="K377" s="792"/>
      <c r="L377" s="791"/>
      <c r="M377" s="793"/>
      <c r="N377" s="617"/>
      <c r="O377" s="794"/>
    </row>
    <row r="378">
      <c r="A378" s="280"/>
      <c r="B378" s="280"/>
      <c r="C378" s="280"/>
      <c r="D378" s="280"/>
      <c r="F378" s="789"/>
      <c r="G378" s="789"/>
      <c r="H378" s="790"/>
      <c r="I378" s="791"/>
      <c r="J378" s="792"/>
      <c r="K378" s="792"/>
      <c r="L378" s="791"/>
      <c r="M378" s="793"/>
      <c r="N378" s="617"/>
      <c r="O378" s="794"/>
    </row>
    <row r="379">
      <c r="A379" s="280"/>
      <c r="B379" s="280"/>
      <c r="C379" s="280"/>
      <c r="D379" s="280"/>
      <c r="F379" s="789"/>
      <c r="G379" s="789"/>
      <c r="H379" s="790"/>
      <c r="I379" s="791"/>
      <c r="J379" s="792"/>
      <c r="K379" s="792"/>
      <c r="L379" s="791"/>
      <c r="M379" s="793"/>
      <c r="N379" s="617"/>
      <c r="O379" s="794"/>
    </row>
    <row r="380">
      <c r="A380" s="280"/>
      <c r="B380" s="280"/>
      <c r="C380" s="280"/>
      <c r="D380" s="280"/>
      <c r="F380" s="789"/>
      <c r="G380" s="789"/>
      <c r="H380" s="790"/>
      <c r="I380" s="791"/>
      <c r="J380" s="792"/>
      <c r="K380" s="792"/>
      <c r="L380" s="791"/>
      <c r="M380" s="793"/>
      <c r="N380" s="617"/>
      <c r="O380" s="794"/>
    </row>
    <row r="381">
      <c r="A381" s="280"/>
      <c r="B381" s="280"/>
      <c r="C381" s="280"/>
      <c r="D381" s="280"/>
      <c r="F381" s="789"/>
      <c r="G381" s="789"/>
      <c r="H381" s="790"/>
      <c r="I381" s="791"/>
      <c r="J381" s="792"/>
      <c r="K381" s="792"/>
      <c r="L381" s="791"/>
      <c r="M381" s="793"/>
      <c r="N381" s="617"/>
      <c r="O381" s="794"/>
    </row>
    <row r="382">
      <c r="A382" s="280"/>
      <c r="B382" s="280"/>
      <c r="C382" s="280"/>
      <c r="D382" s="280"/>
      <c r="F382" s="789"/>
      <c r="G382" s="789"/>
      <c r="H382" s="790"/>
      <c r="I382" s="791"/>
      <c r="J382" s="792"/>
      <c r="K382" s="792"/>
      <c r="L382" s="791"/>
      <c r="M382" s="793"/>
      <c r="N382" s="617"/>
      <c r="O382" s="794"/>
    </row>
    <row r="383">
      <c r="A383" s="280"/>
      <c r="B383" s="280"/>
      <c r="C383" s="280"/>
      <c r="D383" s="280"/>
      <c r="F383" s="789"/>
      <c r="G383" s="789"/>
      <c r="H383" s="790"/>
      <c r="I383" s="791"/>
      <c r="J383" s="792"/>
      <c r="K383" s="792"/>
      <c r="L383" s="791"/>
      <c r="M383" s="793"/>
      <c r="N383" s="617"/>
      <c r="O383" s="794"/>
    </row>
    <row r="384">
      <c r="A384" s="280"/>
      <c r="B384" s="280"/>
      <c r="C384" s="280"/>
      <c r="D384" s="280"/>
      <c r="F384" s="789"/>
      <c r="G384" s="789"/>
      <c r="H384" s="790"/>
      <c r="I384" s="791"/>
      <c r="J384" s="792"/>
      <c r="K384" s="792"/>
      <c r="L384" s="791"/>
      <c r="M384" s="793"/>
      <c r="N384" s="617"/>
      <c r="O384" s="794"/>
    </row>
    <row r="385">
      <c r="A385" s="280"/>
      <c r="B385" s="280"/>
      <c r="C385" s="280"/>
      <c r="D385" s="280"/>
      <c r="F385" s="789"/>
      <c r="G385" s="789"/>
      <c r="H385" s="790"/>
      <c r="I385" s="791"/>
      <c r="J385" s="792"/>
      <c r="K385" s="792"/>
      <c r="L385" s="791"/>
      <c r="M385" s="793"/>
      <c r="N385" s="617"/>
      <c r="O385" s="794"/>
    </row>
    <row r="386">
      <c r="A386" s="280"/>
      <c r="B386" s="280"/>
      <c r="C386" s="280"/>
      <c r="D386" s="280"/>
      <c r="F386" s="789"/>
      <c r="G386" s="789"/>
      <c r="H386" s="790"/>
      <c r="I386" s="791"/>
      <c r="J386" s="792"/>
      <c r="K386" s="792"/>
      <c r="L386" s="791"/>
      <c r="M386" s="793"/>
      <c r="N386" s="617"/>
      <c r="O386" s="794"/>
    </row>
    <row r="387">
      <c r="A387" s="280"/>
      <c r="B387" s="280"/>
      <c r="C387" s="280"/>
      <c r="D387" s="280"/>
      <c r="F387" s="789"/>
      <c r="G387" s="789"/>
      <c r="H387" s="790"/>
      <c r="I387" s="791"/>
      <c r="J387" s="792"/>
      <c r="K387" s="792"/>
      <c r="L387" s="791"/>
      <c r="M387" s="793"/>
      <c r="N387" s="617"/>
      <c r="O387" s="794"/>
    </row>
    <row r="388">
      <c r="A388" s="280"/>
      <c r="B388" s="280"/>
      <c r="C388" s="280"/>
      <c r="D388" s="280"/>
      <c r="F388" s="789"/>
      <c r="G388" s="789"/>
      <c r="H388" s="790"/>
      <c r="I388" s="791"/>
      <c r="J388" s="792"/>
      <c r="K388" s="792"/>
      <c r="L388" s="791"/>
      <c r="M388" s="793"/>
      <c r="N388" s="617"/>
      <c r="O388" s="794"/>
    </row>
    <row r="389">
      <c r="A389" s="280"/>
      <c r="B389" s="280"/>
      <c r="C389" s="280"/>
      <c r="D389" s="280"/>
      <c r="F389" s="789"/>
      <c r="G389" s="789"/>
      <c r="H389" s="790"/>
      <c r="I389" s="791"/>
      <c r="J389" s="792"/>
      <c r="K389" s="792"/>
      <c r="L389" s="791"/>
      <c r="M389" s="793"/>
      <c r="N389" s="617"/>
      <c r="O389" s="794"/>
    </row>
    <row r="390">
      <c r="A390" s="280"/>
      <c r="B390" s="280"/>
      <c r="C390" s="280"/>
      <c r="D390" s="280"/>
      <c r="F390" s="789"/>
      <c r="G390" s="789"/>
      <c r="H390" s="790"/>
      <c r="I390" s="791"/>
      <c r="J390" s="792"/>
      <c r="K390" s="792"/>
      <c r="L390" s="791"/>
      <c r="M390" s="793"/>
      <c r="N390" s="617"/>
      <c r="O390" s="794"/>
    </row>
    <row r="391">
      <c r="A391" s="280"/>
      <c r="B391" s="280"/>
      <c r="C391" s="280"/>
      <c r="D391" s="280"/>
      <c r="F391" s="789"/>
      <c r="G391" s="789"/>
      <c r="H391" s="790"/>
      <c r="I391" s="791"/>
      <c r="J391" s="792"/>
      <c r="K391" s="792"/>
      <c r="L391" s="791"/>
      <c r="M391" s="793"/>
      <c r="N391" s="617"/>
      <c r="O391" s="794"/>
    </row>
    <row r="392">
      <c r="A392" s="280"/>
      <c r="B392" s="280"/>
      <c r="C392" s="280"/>
      <c r="D392" s="280"/>
      <c r="F392" s="789"/>
      <c r="G392" s="789"/>
      <c r="H392" s="790"/>
      <c r="I392" s="791"/>
      <c r="J392" s="792"/>
      <c r="K392" s="792"/>
      <c r="L392" s="791"/>
      <c r="M392" s="793"/>
      <c r="N392" s="617"/>
      <c r="O392" s="794"/>
    </row>
    <row r="393">
      <c r="A393" s="280"/>
      <c r="B393" s="280"/>
      <c r="C393" s="280"/>
      <c r="D393" s="280"/>
      <c r="F393" s="789"/>
      <c r="G393" s="789"/>
      <c r="H393" s="790"/>
      <c r="I393" s="791"/>
      <c r="J393" s="792"/>
      <c r="K393" s="792"/>
      <c r="L393" s="791"/>
      <c r="M393" s="793"/>
      <c r="N393" s="617"/>
      <c r="O393" s="794"/>
    </row>
    <row r="394">
      <c r="A394" s="280"/>
      <c r="B394" s="280"/>
      <c r="C394" s="280"/>
      <c r="D394" s="280"/>
      <c r="F394" s="789"/>
      <c r="G394" s="789"/>
      <c r="H394" s="790"/>
      <c r="I394" s="791"/>
      <c r="J394" s="792"/>
      <c r="K394" s="792"/>
      <c r="L394" s="791"/>
      <c r="M394" s="793"/>
      <c r="N394" s="617"/>
      <c r="O394" s="794"/>
    </row>
    <row r="395">
      <c r="A395" s="280"/>
      <c r="B395" s="280"/>
      <c r="C395" s="280"/>
      <c r="D395" s="280"/>
      <c r="F395" s="789"/>
      <c r="G395" s="789"/>
      <c r="H395" s="790"/>
      <c r="I395" s="791"/>
      <c r="J395" s="792"/>
      <c r="K395" s="792"/>
      <c r="L395" s="791"/>
      <c r="M395" s="793"/>
      <c r="N395" s="617"/>
      <c r="O395" s="794"/>
    </row>
    <row r="396">
      <c r="A396" s="280"/>
      <c r="B396" s="280"/>
      <c r="C396" s="280"/>
      <c r="D396" s="280"/>
      <c r="F396" s="789"/>
      <c r="G396" s="789"/>
      <c r="H396" s="790"/>
      <c r="I396" s="791"/>
      <c r="J396" s="792"/>
      <c r="K396" s="792"/>
      <c r="L396" s="791"/>
      <c r="M396" s="793"/>
      <c r="N396" s="617"/>
      <c r="O396" s="794"/>
    </row>
    <row r="397">
      <c r="A397" s="280"/>
      <c r="B397" s="280"/>
      <c r="C397" s="280"/>
      <c r="D397" s="280"/>
      <c r="F397" s="789"/>
      <c r="G397" s="789"/>
      <c r="H397" s="790"/>
      <c r="I397" s="791"/>
      <c r="J397" s="792"/>
      <c r="K397" s="792"/>
      <c r="L397" s="791"/>
      <c r="M397" s="793"/>
      <c r="N397" s="617"/>
      <c r="O397" s="794"/>
    </row>
    <row r="398">
      <c r="A398" s="280"/>
      <c r="B398" s="280"/>
      <c r="C398" s="280"/>
      <c r="D398" s="280"/>
      <c r="F398" s="789"/>
      <c r="G398" s="789"/>
      <c r="H398" s="790"/>
      <c r="I398" s="791"/>
      <c r="J398" s="792"/>
      <c r="K398" s="792"/>
      <c r="L398" s="791"/>
      <c r="M398" s="793"/>
      <c r="N398" s="617"/>
      <c r="O398" s="794"/>
    </row>
    <row r="399">
      <c r="A399" s="280"/>
      <c r="B399" s="280"/>
      <c r="C399" s="280"/>
      <c r="D399" s="280"/>
      <c r="F399" s="789"/>
      <c r="G399" s="789"/>
      <c r="H399" s="790"/>
      <c r="I399" s="791"/>
      <c r="J399" s="792"/>
      <c r="K399" s="792"/>
      <c r="L399" s="791"/>
      <c r="M399" s="793"/>
      <c r="N399" s="617"/>
      <c r="O399" s="794"/>
    </row>
    <row r="400">
      <c r="A400" s="280"/>
      <c r="B400" s="280"/>
      <c r="C400" s="280"/>
      <c r="D400" s="280"/>
      <c r="F400" s="789"/>
      <c r="G400" s="789"/>
      <c r="H400" s="790"/>
      <c r="I400" s="791"/>
      <c r="J400" s="792"/>
      <c r="K400" s="792"/>
      <c r="L400" s="791"/>
      <c r="M400" s="793"/>
      <c r="N400" s="617"/>
      <c r="O400" s="794"/>
    </row>
    <row r="401">
      <c r="A401" s="280"/>
      <c r="B401" s="280"/>
      <c r="C401" s="280"/>
      <c r="D401" s="280"/>
      <c r="F401" s="789"/>
      <c r="G401" s="789"/>
      <c r="H401" s="790"/>
      <c r="I401" s="791"/>
      <c r="J401" s="792"/>
      <c r="K401" s="792"/>
      <c r="L401" s="791"/>
      <c r="M401" s="793"/>
      <c r="N401" s="617"/>
      <c r="O401" s="794"/>
    </row>
    <row r="402">
      <c r="A402" s="280"/>
      <c r="B402" s="280"/>
      <c r="C402" s="280"/>
      <c r="D402" s="280"/>
      <c r="F402" s="789"/>
      <c r="G402" s="789"/>
      <c r="H402" s="790"/>
      <c r="I402" s="791"/>
      <c r="J402" s="792"/>
      <c r="K402" s="792"/>
      <c r="L402" s="791"/>
      <c r="M402" s="793"/>
      <c r="N402" s="617"/>
      <c r="O402" s="794"/>
    </row>
    <row r="403">
      <c r="A403" s="280"/>
      <c r="B403" s="280"/>
      <c r="C403" s="280"/>
      <c r="D403" s="280"/>
      <c r="F403" s="789"/>
      <c r="G403" s="789"/>
      <c r="H403" s="790"/>
      <c r="I403" s="791"/>
      <c r="J403" s="792"/>
      <c r="K403" s="792"/>
      <c r="L403" s="791"/>
      <c r="M403" s="793"/>
      <c r="N403" s="617"/>
      <c r="O403" s="794"/>
    </row>
    <row r="404">
      <c r="A404" s="280"/>
      <c r="B404" s="280"/>
      <c r="C404" s="280"/>
      <c r="D404" s="280"/>
      <c r="F404" s="789"/>
      <c r="G404" s="789"/>
      <c r="H404" s="790"/>
      <c r="I404" s="791"/>
      <c r="J404" s="792"/>
      <c r="K404" s="792"/>
      <c r="L404" s="791"/>
      <c r="M404" s="793"/>
      <c r="N404" s="617"/>
      <c r="O404" s="794"/>
    </row>
    <row r="405">
      <c r="A405" s="280"/>
      <c r="B405" s="280"/>
      <c r="C405" s="280"/>
      <c r="D405" s="280"/>
      <c r="F405" s="789"/>
      <c r="G405" s="789"/>
      <c r="H405" s="790"/>
      <c r="I405" s="791"/>
      <c r="J405" s="792"/>
      <c r="K405" s="792"/>
      <c r="L405" s="791"/>
      <c r="M405" s="793"/>
      <c r="N405" s="617"/>
      <c r="O405" s="794"/>
    </row>
    <row r="406">
      <c r="A406" s="280"/>
      <c r="B406" s="280"/>
      <c r="C406" s="280"/>
      <c r="D406" s="280"/>
      <c r="F406" s="789"/>
      <c r="G406" s="789"/>
      <c r="H406" s="790"/>
      <c r="I406" s="791"/>
      <c r="J406" s="792"/>
      <c r="K406" s="792"/>
      <c r="L406" s="791"/>
      <c r="M406" s="793"/>
      <c r="N406" s="617"/>
      <c r="O406" s="794"/>
    </row>
    <row r="407">
      <c r="A407" s="280"/>
      <c r="B407" s="280"/>
      <c r="C407" s="280"/>
      <c r="D407" s="280"/>
      <c r="F407" s="789"/>
      <c r="G407" s="789"/>
      <c r="H407" s="790"/>
      <c r="I407" s="791"/>
      <c r="J407" s="792"/>
      <c r="K407" s="792"/>
      <c r="L407" s="791"/>
      <c r="M407" s="793"/>
      <c r="N407" s="617"/>
      <c r="O407" s="794"/>
    </row>
    <row r="408">
      <c r="A408" s="280"/>
      <c r="B408" s="280"/>
      <c r="C408" s="280"/>
      <c r="D408" s="280"/>
      <c r="F408" s="789"/>
      <c r="G408" s="789"/>
      <c r="H408" s="790"/>
      <c r="I408" s="791"/>
      <c r="J408" s="792"/>
      <c r="K408" s="792"/>
      <c r="L408" s="791"/>
      <c r="M408" s="793"/>
      <c r="N408" s="617"/>
      <c r="O408" s="794"/>
    </row>
    <row r="409">
      <c r="A409" s="280"/>
      <c r="B409" s="280"/>
      <c r="C409" s="280"/>
      <c r="D409" s="280"/>
      <c r="F409" s="789"/>
      <c r="G409" s="789"/>
      <c r="H409" s="790"/>
      <c r="I409" s="791"/>
      <c r="J409" s="792"/>
      <c r="K409" s="792"/>
      <c r="L409" s="791"/>
      <c r="M409" s="793"/>
      <c r="N409" s="617"/>
      <c r="O409" s="794"/>
    </row>
    <row r="410">
      <c r="A410" s="280"/>
      <c r="B410" s="280"/>
      <c r="C410" s="280"/>
      <c r="D410" s="280"/>
      <c r="F410" s="789"/>
      <c r="G410" s="789"/>
      <c r="H410" s="790"/>
      <c r="I410" s="791"/>
      <c r="J410" s="792"/>
      <c r="K410" s="792"/>
      <c r="L410" s="791"/>
      <c r="M410" s="793"/>
      <c r="N410" s="617"/>
      <c r="O410" s="794"/>
    </row>
    <row r="411">
      <c r="A411" s="280"/>
      <c r="B411" s="280"/>
      <c r="C411" s="280"/>
      <c r="D411" s="280"/>
      <c r="F411" s="789"/>
      <c r="G411" s="789"/>
      <c r="H411" s="790"/>
      <c r="I411" s="791"/>
      <c r="J411" s="792"/>
      <c r="K411" s="792"/>
      <c r="L411" s="791"/>
      <c r="M411" s="793"/>
      <c r="N411" s="617"/>
      <c r="O411" s="794"/>
    </row>
    <row r="412">
      <c r="A412" s="280"/>
      <c r="B412" s="280"/>
      <c r="C412" s="280"/>
      <c r="D412" s="280"/>
      <c r="F412" s="789"/>
      <c r="G412" s="789"/>
      <c r="H412" s="790"/>
      <c r="I412" s="791"/>
      <c r="J412" s="792"/>
      <c r="K412" s="792"/>
      <c r="L412" s="791"/>
      <c r="M412" s="793"/>
      <c r="N412" s="617"/>
      <c r="O412" s="794"/>
    </row>
    <row r="413">
      <c r="A413" s="280"/>
      <c r="B413" s="280"/>
      <c r="C413" s="280"/>
      <c r="D413" s="280"/>
      <c r="F413" s="789"/>
      <c r="G413" s="789"/>
      <c r="H413" s="790"/>
      <c r="I413" s="791"/>
      <c r="J413" s="792"/>
      <c r="K413" s="792"/>
      <c r="L413" s="791"/>
      <c r="M413" s="793"/>
      <c r="N413" s="617"/>
      <c r="O413" s="794"/>
    </row>
    <row r="414">
      <c r="A414" s="280"/>
      <c r="B414" s="280"/>
      <c r="C414" s="280"/>
      <c r="D414" s="280"/>
      <c r="F414" s="789"/>
      <c r="G414" s="789"/>
      <c r="H414" s="790"/>
      <c r="I414" s="791"/>
      <c r="J414" s="792"/>
      <c r="K414" s="792"/>
      <c r="L414" s="791"/>
      <c r="M414" s="793"/>
      <c r="N414" s="617"/>
      <c r="O414" s="794"/>
    </row>
    <row r="415">
      <c r="A415" s="280"/>
      <c r="B415" s="280"/>
      <c r="C415" s="280"/>
      <c r="D415" s="280"/>
      <c r="F415" s="789"/>
      <c r="G415" s="789"/>
      <c r="H415" s="790"/>
      <c r="I415" s="791"/>
      <c r="J415" s="792"/>
      <c r="K415" s="792"/>
      <c r="L415" s="791"/>
      <c r="M415" s="793"/>
      <c r="N415" s="617"/>
      <c r="O415" s="794"/>
    </row>
    <row r="416">
      <c r="A416" s="280"/>
      <c r="B416" s="280"/>
      <c r="C416" s="280"/>
      <c r="D416" s="280"/>
      <c r="F416" s="789"/>
      <c r="G416" s="789"/>
      <c r="H416" s="790"/>
      <c r="I416" s="791"/>
      <c r="J416" s="792"/>
      <c r="K416" s="792"/>
      <c r="L416" s="791"/>
      <c r="M416" s="793"/>
      <c r="N416" s="617"/>
      <c r="O416" s="794"/>
    </row>
    <row r="417">
      <c r="A417" s="280"/>
      <c r="B417" s="280"/>
      <c r="C417" s="280"/>
      <c r="D417" s="280"/>
      <c r="F417" s="789"/>
      <c r="G417" s="789"/>
      <c r="H417" s="790"/>
      <c r="I417" s="791"/>
      <c r="J417" s="792"/>
      <c r="K417" s="792"/>
      <c r="L417" s="791"/>
      <c r="M417" s="793"/>
      <c r="N417" s="617"/>
      <c r="O417" s="794"/>
    </row>
    <row r="418">
      <c r="A418" s="280"/>
      <c r="B418" s="280"/>
      <c r="C418" s="280"/>
      <c r="D418" s="280"/>
      <c r="F418" s="789"/>
      <c r="G418" s="789"/>
      <c r="H418" s="790"/>
      <c r="I418" s="791"/>
      <c r="J418" s="792"/>
      <c r="K418" s="792"/>
      <c r="L418" s="791"/>
      <c r="M418" s="793"/>
      <c r="N418" s="617"/>
      <c r="O418" s="794"/>
    </row>
    <row r="419">
      <c r="A419" s="280"/>
      <c r="B419" s="280"/>
      <c r="C419" s="280"/>
      <c r="D419" s="280"/>
      <c r="F419" s="789"/>
      <c r="G419" s="789"/>
      <c r="H419" s="790"/>
      <c r="I419" s="791"/>
      <c r="J419" s="792"/>
      <c r="K419" s="792"/>
      <c r="L419" s="791"/>
      <c r="M419" s="793"/>
      <c r="N419" s="617"/>
      <c r="O419" s="794"/>
    </row>
    <row r="420">
      <c r="A420" s="280"/>
      <c r="B420" s="280"/>
      <c r="C420" s="280"/>
      <c r="D420" s="280"/>
      <c r="F420" s="789"/>
      <c r="G420" s="789"/>
      <c r="H420" s="790"/>
      <c r="I420" s="791"/>
      <c r="J420" s="792"/>
      <c r="K420" s="792"/>
      <c r="L420" s="791"/>
      <c r="M420" s="793"/>
      <c r="N420" s="617"/>
      <c r="O420" s="794"/>
    </row>
    <row r="421">
      <c r="A421" s="280"/>
      <c r="B421" s="280"/>
      <c r="C421" s="280"/>
      <c r="D421" s="280"/>
      <c r="F421" s="789"/>
      <c r="G421" s="789"/>
      <c r="H421" s="790"/>
      <c r="I421" s="791"/>
      <c r="J421" s="792"/>
      <c r="K421" s="792"/>
      <c r="L421" s="791"/>
      <c r="M421" s="793"/>
      <c r="N421" s="617"/>
      <c r="O421" s="794"/>
    </row>
    <row r="422">
      <c r="A422" s="280"/>
      <c r="B422" s="280"/>
      <c r="C422" s="280"/>
      <c r="D422" s="280"/>
      <c r="F422" s="789"/>
      <c r="G422" s="789"/>
      <c r="H422" s="790"/>
      <c r="I422" s="791"/>
      <c r="J422" s="792"/>
      <c r="K422" s="792"/>
      <c r="L422" s="791"/>
      <c r="M422" s="793"/>
      <c r="N422" s="617"/>
      <c r="O422" s="794"/>
    </row>
    <row r="423">
      <c r="A423" s="280"/>
      <c r="B423" s="280"/>
      <c r="C423" s="280"/>
      <c r="D423" s="280"/>
      <c r="F423" s="789"/>
      <c r="G423" s="789"/>
      <c r="H423" s="790"/>
      <c r="I423" s="791"/>
      <c r="J423" s="792"/>
      <c r="K423" s="792"/>
      <c r="L423" s="791"/>
      <c r="M423" s="793"/>
      <c r="N423" s="617"/>
      <c r="O423" s="794"/>
    </row>
    <row r="424">
      <c r="A424" s="280"/>
      <c r="B424" s="280"/>
      <c r="C424" s="280"/>
      <c r="D424" s="280"/>
      <c r="F424" s="789"/>
      <c r="G424" s="789"/>
      <c r="H424" s="790"/>
      <c r="I424" s="791"/>
      <c r="J424" s="792"/>
      <c r="K424" s="792"/>
      <c r="L424" s="791"/>
      <c r="M424" s="793"/>
      <c r="N424" s="617"/>
      <c r="O424" s="794"/>
    </row>
    <row r="425">
      <c r="A425" s="280"/>
      <c r="B425" s="280"/>
      <c r="C425" s="280"/>
      <c r="D425" s="280"/>
      <c r="F425" s="789"/>
      <c r="G425" s="789"/>
      <c r="H425" s="790"/>
      <c r="I425" s="791"/>
      <c r="J425" s="792"/>
      <c r="K425" s="792"/>
      <c r="L425" s="791"/>
      <c r="M425" s="793"/>
      <c r="N425" s="617"/>
      <c r="O425" s="794"/>
    </row>
    <row r="426">
      <c r="A426" s="280"/>
      <c r="B426" s="280"/>
      <c r="C426" s="280"/>
      <c r="D426" s="280"/>
      <c r="F426" s="789"/>
      <c r="G426" s="789"/>
      <c r="H426" s="790"/>
      <c r="I426" s="791"/>
      <c r="J426" s="792"/>
      <c r="K426" s="792"/>
      <c r="L426" s="791"/>
      <c r="M426" s="793"/>
      <c r="N426" s="617"/>
      <c r="O426" s="794"/>
    </row>
    <row r="427">
      <c r="A427" s="280"/>
      <c r="B427" s="280"/>
      <c r="C427" s="280"/>
      <c r="D427" s="280"/>
      <c r="F427" s="789"/>
      <c r="G427" s="789"/>
      <c r="H427" s="790"/>
      <c r="I427" s="791"/>
      <c r="J427" s="792"/>
      <c r="K427" s="792"/>
      <c r="L427" s="791"/>
      <c r="M427" s="793"/>
      <c r="N427" s="617"/>
      <c r="O427" s="794"/>
    </row>
    <row r="428">
      <c r="A428" s="280"/>
      <c r="B428" s="280"/>
      <c r="C428" s="280"/>
      <c r="D428" s="280"/>
      <c r="F428" s="789"/>
      <c r="G428" s="789"/>
      <c r="H428" s="790"/>
      <c r="I428" s="791"/>
      <c r="J428" s="792"/>
      <c r="K428" s="792"/>
      <c r="L428" s="791"/>
      <c r="M428" s="793"/>
      <c r="N428" s="617"/>
      <c r="O428" s="794"/>
    </row>
    <row r="429">
      <c r="A429" s="280"/>
      <c r="B429" s="280"/>
      <c r="C429" s="280"/>
      <c r="D429" s="280"/>
      <c r="F429" s="789"/>
      <c r="G429" s="789"/>
      <c r="H429" s="790"/>
      <c r="I429" s="791"/>
      <c r="J429" s="792"/>
      <c r="K429" s="792"/>
      <c r="L429" s="791"/>
      <c r="M429" s="793"/>
      <c r="N429" s="617"/>
      <c r="O429" s="794"/>
    </row>
    <row r="430">
      <c r="A430" s="280"/>
      <c r="B430" s="280"/>
      <c r="C430" s="280"/>
      <c r="D430" s="280"/>
      <c r="F430" s="789"/>
      <c r="G430" s="789"/>
      <c r="H430" s="790"/>
      <c r="I430" s="791"/>
      <c r="J430" s="792"/>
      <c r="K430" s="792"/>
      <c r="L430" s="791"/>
      <c r="M430" s="793"/>
      <c r="N430" s="617"/>
      <c r="O430" s="794"/>
    </row>
    <row r="431">
      <c r="A431" s="280"/>
      <c r="B431" s="280"/>
      <c r="C431" s="280"/>
      <c r="D431" s="280"/>
      <c r="F431" s="789"/>
      <c r="G431" s="789"/>
      <c r="H431" s="790"/>
      <c r="I431" s="791"/>
      <c r="J431" s="792"/>
      <c r="K431" s="792"/>
      <c r="L431" s="791"/>
      <c r="M431" s="793"/>
      <c r="N431" s="617"/>
      <c r="O431" s="794"/>
    </row>
    <row r="432">
      <c r="A432" s="280"/>
      <c r="B432" s="280"/>
      <c r="C432" s="280"/>
      <c r="D432" s="280"/>
      <c r="F432" s="789"/>
      <c r="G432" s="789"/>
      <c r="H432" s="790"/>
      <c r="I432" s="791"/>
      <c r="J432" s="792"/>
      <c r="K432" s="792"/>
      <c r="L432" s="791"/>
      <c r="M432" s="793"/>
      <c r="N432" s="617"/>
      <c r="O432" s="794"/>
    </row>
    <row r="433">
      <c r="A433" s="280"/>
      <c r="B433" s="280"/>
      <c r="C433" s="280"/>
      <c r="D433" s="280"/>
      <c r="F433" s="789"/>
      <c r="G433" s="789"/>
      <c r="H433" s="790"/>
      <c r="I433" s="791"/>
      <c r="J433" s="792"/>
      <c r="K433" s="792"/>
      <c r="L433" s="791"/>
      <c r="M433" s="793"/>
      <c r="N433" s="617"/>
      <c r="O433" s="794"/>
    </row>
    <row r="434">
      <c r="A434" s="280"/>
      <c r="B434" s="280"/>
      <c r="C434" s="280"/>
      <c r="D434" s="280"/>
      <c r="F434" s="789"/>
      <c r="G434" s="789"/>
      <c r="H434" s="790"/>
      <c r="I434" s="791"/>
      <c r="J434" s="792"/>
      <c r="K434" s="792"/>
      <c r="L434" s="791"/>
      <c r="M434" s="793"/>
      <c r="N434" s="617"/>
      <c r="O434" s="794"/>
    </row>
    <row r="435">
      <c r="A435" s="280"/>
      <c r="B435" s="280"/>
      <c r="C435" s="280"/>
      <c r="D435" s="280"/>
      <c r="F435" s="789"/>
      <c r="G435" s="789"/>
      <c r="H435" s="790"/>
      <c r="I435" s="791"/>
      <c r="J435" s="792"/>
      <c r="K435" s="792"/>
      <c r="L435" s="791"/>
      <c r="M435" s="793"/>
      <c r="N435" s="617"/>
      <c r="O435" s="794"/>
    </row>
    <row r="436">
      <c r="A436" s="280"/>
      <c r="B436" s="280"/>
      <c r="C436" s="280"/>
      <c r="D436" s="280"/>
      <c r="F436" s="789"/>
      <c r="G436" s="789"/>
      <c r="H436" s="790"/>
      <c r="I436" s="791"/>
      <c r="J436" s="792"/>
      <c r="K436" s="792"/>
      <c r="L436" s="791"/>
      <c r="M436" s="793"/>
      <c r="N436" s="617"/>
      <c r="O436" s="794"/>
    </row>
    <row r="437">
      <c r="A437" s="280"/>
      <c r="B437" s="280"/>
      <c r="C437" s="280"/>
      <c r="D437" s="280"/>
      <c r="F437" s="789"/>
      <c r="G437" s="789"/>
      <c r="H437" s="790"/>
      <c r="I437" s="791"/>
      <c r="J437" s="792"/>
      <c r="K437" s="792"/>
      <c r="L437" s="791"/>
      <c r="M437" s="793"/>
      <c r="N437" s="617"/>
      <c r="O437" s="794"/>
    </row>
    <row r="438">
      <c r="A438" s="280"/>
      <c r="B438" s="280"/>
      <c r="C438" s="280"/>
      <c r="D438" s="280"/>
      <c r="F438" s="789"/>
      <c r="G438" s="789"/>
      <c r="H438" s="790"/>
      <c r="I438" s="791"/>
      <c r="J438" s="792"/>
      <c r="K438" s="792"/>
      <c r="L438" s="791"/>
      <c r="M438" s="793"/>
      <c r="N438" s="617"/>
      <c r="O438" s="794"/>
    </row>
    <row r="439">
      <c r="A439" s="280"/>
      <c r="B439" s="280"/>
      <c r="C439" s="280"/>
      <c r="D439" s="280"/>
      <c r="F439" s="789"/>
      <c r="G439" s="789"/>
      <c r="H439" s="790"/>
      <c r="I439" s="791"/>
      <c r="J439" s="792"/>
      <c r="K439" s="792"/>
      <c r="L439" s="791"/>
      <c r="M439" s="793"/>
      <c r="N439" s="617"/>
      <c r="O439" s="794"/>
    </row>
    <row r="440">
      <c r="A440" s="280"/>
      <c r="B440" s="280"/>
      <c r="C440" s="280"/>
      <c r="D440" s="280"/>
      <c r="F440" s="789"/>
      <c r="G440" s="789"/>
      <c r="H440" s="790"/>
      <c r="I440" s="791"/>
      <c r="J440" s="792"/>
      <c r="K440" s="792"/>
      <c r="L440" s="791"/>
      <c r="M440" s="793"/>
      <c r="N440" s="617"/>
      <c r="O440" s="794"/>
    </row>
    <row r="441">
      <c r="A441" s="280"/>
      <c r="B441" s="280"/>
      <c r="C441" s="280"/>
      <c r="D441" s="280"/>
      <c r="F441" s="789"/>
      <c r="G441" s="789"/>
      <c r="H441" s="790"/>
      <c r="I441" s="791"/>
      <c r="J441" s="792"/>
      <c r="K441" s="792"/>
      <c r="L441" s="791"/>
      <c r="M441" s="793"/>
      <c r="N441" s="617"/>
      <c r="O441" s="794"/>
    </row>
    <row r="442">
      <c r="A442" s="280"/>
      <c r="B442" s="280"/>
      <c r="C442" s="280"/>
      <c r="D442" s="280"/>
      <c r="F442" s="789"/>
      <c r="G442" s="789"/>
      <c r="H442" s="790"/>
      <c r="I442" s="791"/>
      <c r="J442" s="792"/>
      <c r="K442" s="792"/>
      <c r="L442" s="791"/>
      <c r="M442" s="793"/>
      <c r="N442" s="617"/>
      <c r="O442" s="794"/>
    </row>
    <row r="443">
      <c r="A443" s="280"/>
      <c r="B443" s="280"/>
      <c r="C443" s="280"/>
      <c r="D443" s="280"/>
      <c r="F443" s="789"/>
      <c r="G443" s="789"/>
      <c r="H443" s="790"/>
      <c r="I443" s="791"/>
      <c r="J443" s="792"/>
      <c r="K443" s="792"/>
      <c r="L443" s="791"/>
      <c r="M443" s="793"/>
      <c r="N443" s="617"/>
      <c r="O443" s="794"/>
    </row>
    <row r="444">
      <c r="A444" s="280"/>
      <c r="B444" s="280"/>
      <c r="C444" s="280"/>
      <c r="D444" s="280"/>
      <c r="F444" s="789"/>
      <c r="G444" s="789"/>
      <c r="H444" s="790"/>
      <c r="I444" s="791"/>
      <c r="J444" s="792"/>
      <c r="K444" s="792"/>
      <c r="L444" s="791"/>
      <c r="M444" s="793"/>
      <c r="N444" s="617"/>
      <c r="O444" s="794"/>
    </row>
    <row r="445">
      <c r="A445" s="280"/>
      <c r="B445" s="280"/>
      <c r="C445" s="280"/>
      <c r="D445" s="280"/>
      <c r="F445" s="789"/>
      <c r="G445" s="789"/>
      <c r="H445" s="790"/>
      <c r="I445" s="791"/>
      <c r="J445" s="792"/>
      <c r="K445" s="792"/>
      <c r="L445" s="791"/>
      <c r="M445" s="793"/>
      <c r="N445" s="617"/>
      <c r="O445" s="794"/>
    </row>
    <row r="446">
      <c r="A446" s="280"/>
      <c r="B446" s="280"/>
      <c r="C446" s="280"/>
      <c r="D446" s="280"/>
      <c r="F446" s="789"/>
      <c r="G446" s="789"/>
      <c r="H446" s="790"/>
      <c r="I446" s="791"/>
      <c r="J446" s="792"/>
      <c r="K446" s="792"/>
      <c r="L446" s="791"/>
      <c r="M446" s="793"/>
      <c r="N446" s="617"/>
      <c r="O446" s="794"/>
    </row>
    <row r="447">
      <c r="A447" s="280"/>
      <c r="B447" s="280"/>
      <c r="C447" s="280"/>
      <c r="D447" s="280"/>
      <c r="F447" s="789"/>
      <c r="G447" s="789"/>
      <c r="H447" s="790"/>
      <c r="I447" s="791"/>
      <c r="J447" s="792"/>
      <c r="K447" s="792"/>
      <c r="L447" s="791"/>
      <c r="M447" s="793"/>
      <c r="N447" s="617"/>
      <c r="O447" s="794"/>
    </row>
    <row r="448">
      <c r="A448" s="280"/>
      <c r="B448" s="280"/>
      <c r="C448" s="280"/>
      <c r="D448" s="280"/>
      <c r="F448" s="789"/>
      <c r="G448" s="789"/>
      <c r="H448" s="790"/>
      <c r="I448" s="791"/>
      <c r="J448" s="792"/>
      <c r="K448" s="792"/>
      <c r="L448" s="791"/>
      <c r="M448" s="793"/>
      <c r="N448" s="617"/>
      <c r="O448" s="794"/>
    </row>
    <row r="449">
      <c r="A449" s="280"/>
      <c r="B449" s="280"/>
      <c r="C449" s="280"/>
      <c r="D449" s="280"/>
      <c r="F449" s="789"/>
      <c r="G449" s="789"/>
      <c r="H449" s="790"/>
      <c r="I449" s="791"/>
      <c r="J449" s="792"/>
      <c r="K449" s="792"/>
      <c r="L449" s="791"/>
      <c r="M449" s="793"/>
      <c r="N449" s="617"/>
      <c r="O449" s="794"/>
    </row>
    <row r="450">
      <c r="A450" s="280"/>
      <c r="B450" s="280"/>
      <c r="C450" s="280"/>
      <c r="D450" s="280"/>
      <c r="F450" s="789"/>
      <c r="G450" s="789"/>
      <c r="H450" s="790"/>
      <c r="I450" s="791"/>
      <c r="J450" s="792"/>
      <c r="K450" s="792"/>
      <c r="L450" s="791"/>
      <c r="M450" s="793"/>
      <c r="N450" s="617"/>
      <c r="O450" s="794"/>
    </row>
    <row r="451">
      <c r="A451" s="280"/>
      <c r="B451" s="280"/>
      <c r="C451" s="280"/>
      <c r="D451" s="280"/>
      <c r="F451" s="789"/>
      <c r="G451" s="789"/>
      <c r="H451" s="790"/>
      <c r="I451" s="791"/>
      <c r="J451" s="792"/>
      <c r="K451" s="792"/>
      <c r="L451" s="791"/>
      <c r="M451" s="793"/>
      <c r="N451" s="617"/>
      <c r="O451" s="794"/>
    </row>
    <row r="452">
      <c r="A452" s="280"/>
      <c r="B452" s="280"/>
      <c r="C452" s="280"/>
      <c r="D452" s="280"/>
      <c r="F452" s="789"/>
      <c r="G452" s="789"/>
      <c r="H452" s="790"/>
      <c r="I452" s="791"/>
      <c r="J452" s="792"/>
      <c r="K452" s="792"/>
      <c r="L452" s="791"/>
      <c r="M452" s="793"/>
      <c r="N452" s="617"/>
      <c r="O452" s="794"/>
    </row>
    <row r="453">
      <c r="A453" s="280"/>
      <c r="B453" s="280"/>
      <c r="C453" s="280"/>
      <c r="D453" s="280"/>
      <c r="F453" s="789"/>
      <c r="G453" s="789"/>
      <c r="H453" s="790"/>
      <c r="I453" s="791"/>
      <c r="J453" s="792"/>
      <c r="K453" s="792"/>
      <c r="L453" s="791"/>
      <c r="M453" s="793"/>
      <c r="N453" s="617"/>
      <c r="O453" s="794"/>
    </row>
    <row r="454">
      <c r="A454" s="280"/>
      <c r="B454" s="280"/>
      <c r="C454" s="280"/>
      <c r="D454" s="280"/>
      <c r="F454" s="789"/>
      <c r="G454" s="789"/>
      <c r="H454" s="790"/>
      <c r="I454" s="791"/>
      <c r="J454" s="792"/>
      <c r="K454" s="792"/>
      <c r="L454" s="791"/>
      <c r="M454" s="793"/>
      <c r="N454" s="617"/>
      <c r="O454" s="794"/>
    </row>
    <row r="455">
      <c r="A455" s="280"/>
      <c r="B455" s="280"/>
      <c r="C455" s="280"/>
      <c r="D455" s="280"/>
      <c r="F455" s="789"/>
      <c r="G455" s="789"/>
      <c r="H455" s="790"/>
      <c r="I455" s="791"/>
      <c r="J455" s="792"/>
      <c r="K455" s="792"/>
      <c r="L455" s="791"/>
      <c r="M455" s="793"/>
      <c r="N455" s="617"/>
      <c r="O455" s="794"/>
    </row>
    <row r="456">
      <c r="A456" s="280"/>
      <c r="B456" s="280"/>
      <c r="C456" s="280"/>
      <c r="D456" s="280"/>
      <c r="F456" s="789"/>
      <c r="G456" s="789"/>
      <c r="H456" s="790"/>
      <c r="I456" s="791"/>
      <c r="J456" s="792"/>
      <c r="K456" s="792"/>
      <c r="L456" s="791"/>
      <c r="M456" s="793"/>
      <c r="N456" s="617"/>
      <c r="O456" s="794"/>
    </row>
    <row r="457">
      <c r="A457" s="280"/>
      <c r="B457" s="280"/>
      <c r="C457" s="280"/>
      <c r="D457" s="280"/>
      <c r="F457" s="789"/>
      <c r="G457" s="789"/>
      <c r="H457" s="790"/>
      <c r="I457" s="791"/>
      <c r="J457" s="792"/>
      <c r="K457" s="792"/>
      <c r="L457" s="791"/>
      <c r="M457" s="793"/>
      <c r="N457" s="617"/>
      <c r="O457" s="794"/>
    </row>
    <row r="458">
      <c r="A458" s="280"/>
      <c r="B458" s="280"/>
      <c r="C458" s="280"/>
      <c r="D458" s="280"/>
      <c r="F458" s="789"/>
      <c r="G458" s="789"/>
      <c r="H458" s="790"/>
      <c r="I458" s="791"/>
      <c r="J458" s="792"/>
      <c r="K458" s="792"/>
      <c r="L458" s="791"/>
      <c r="M458" s="793"/>
      <c r="N458" s="617"/>
      <c r="O458" s="794"/>
    </row>
    <row r="459">
      <c r="A459" s="280"/>
      <c r="B459" s="280"/>
      <c r="C459" s="280"/>
      <c r="D459" s="280"/>
      <c r="F459" s="789"/>
      <c r="G459" s="789"/>
      <c r="H459" s="790"/>
      <c r="I459" s="791"/>
      <c r="J459" s="792"/>
      <c r="K459" s="792"/>
      <c r="L459" s="791"/>
      <c r="M459" s="793"/>
      <c r="N459" s="617"/>
      <c r="O459" s="794"/>
    </row>
    <row r="460">
      <c r="A460" s="280"/>
      <c r="B460" s="280"/>
      <c r="C460" s="280"/>
      <c r="D460" s="280"/>
      <c r="F460" s="789"/>
      <c r="G460" s="789"/>
      <c r="H460" s="790"/>
      <c r="I460" s="791"/>
      <c r="J460" s="792"/>
      <c r="K460" s="792"/>
      <c r="L460" s="791"/>
      <c r="M460" s="793"/>
      <c r="N460" s="617"/>
      <c r="O460" s="794"/>
    </row>
    <row r="461">
      <c r="A461" s="280"/>
      <c r="B461" s="280"/>
      <c r="C461" s="280"/>
      <c r="D461" s="280"/>
      <c r="F461" s="789"/>
      <c r="G461" s="789"/>
      <c r="H461" s="790"/>
      <c r="I461" s="791"/>
      <c r="J461" s="792"/>
      <c r="K461" s="792"/>
      <c r="L461" s="791"/>
      <c r="M461" s="793"/>
      <c r="N461" s="617"/>
      <c r="O461" s="794"/>
    </row>
    <row r="462">
      <c r="A462" s="280"/>
      <c r="B462" s="280"/>
      <c r="C462" s="280"/>
      <c r="D462" s="280"/>
      <c r="F462" s="789"/>
      <c r="G462" s="789"/>
      <c r="H462" s="790"/>
      <c r="I462" s="791"/>
      <c r="J462" s="792"/>
      <c r="K462" s="792"/>
      <c r="L462" s="791"/>
      <c r="M462" s="793"/>
      <c r="N462" s="617"/>
      <c r="O462" s="794"/>
    </row>
    <row r="463">
      <c r="A463" s="280"/>
      <c r="B463" s="280"/>
      <c r="C463" s="280"/>
      <c r="D463" s="280"/>
      <c r="F463" s="789"/>
      <c r="G463" s="789"/>
      <c r="H463" s="790"/>
      <c r="I463" s="791"/>
      <c r="J463" s="792"/>
      <c r="K463" s="792"/>
      <c r="L463" s="791"/>
      <c r="M463" s="793"/>
      <c r="N463" s="617"/>
      <c r="O463" s="794"/>
    </row>
    <row r="464">
      <c r="A464" s="280"/>
      <c r="B464" s="280"/>
      <c r="C464" s="280"/>
      <c r="D464" s="280"/>
      <c r="F464" s="789"/>
      <c r="G464" s="789"/>
      <c r="H464" s="790"/>
      <c r="I464" s="791"/>
      <c r="J464" s="792"/>
      <c r="K464" s="792"/>
      <c r="L464" s="791"/>
      <c r="M464" s="793"/>
      <c r="N464" s="617"/>
      <c r="O464" s="794"/>
    </row>
    <row r="465">
      <c r="A465" s="280"/>
      <c r="B465" s="280"/>
      <c r="C465" s="280"/>
      <c r="D465" s="280"/>
      <c r="F465" s="789"/>
      <c r="G465" s="789"/>
      <c r="H465" s="790"/>
      <c r="I465" s="791"/>
      <c r="J465" s="792"/>
      <c r="K465" s="792"/>
      <c r="L465" s="791"/>
      <c r="M465" s="793"/>
      <c r="N465" s="617"/>
      <c r="O465" s="794"/>
    </row>
    <row r="466">
      <c r="A466" s="280"/>
      <c r="B466" s="280"/>
      <c r="C466" s="280"/>
      <c r="D466" s="280"/>
      <c r="F466" s="789"/>
      <c r="G466" s="789"/>
      <c r="H466" s="790"/>
      <c r="I466" s="791"/>
      <c r="J466" s="792"/>
      <c r="K466" s="792"/>
      <c r="L466" s="791"/>
      <c r="M466" s="793"/>
      <c r="N466" s="617"/>
      <c r="O466" s="794"/>
    </row>
    <row r="467">
      <c r="A467" s="280"/>
      <c r="B467" s="280"/>
      <c r="C467" s="280"/>
      <c r="D467" s="280"/>
      <c r="F467" s="789"/>
      <c r="G467" s="789"/>
      <c r="H467" s="790"/>
      <c r="I467" s="791"/>
      <c r="J467" s="792"/>
      <c r="K467" s="792"/>
      <c r="L467" s="791"/>
      <c r="M467" s="793"/>
      <c r="N467" s="617"/>
      <c r="O467" s="794"/>
    </row>
    <row r="468">
      <c r="A468" s="280"/>
      <c r="B468" s="280"/>
      <c r="C468" s="280"/>
      <c r="D468" s="280"/>
      <c r="F468" s="789"/>
      <c r="G468" s="789"/>
      <c r="H468" s="790"/>
      <c r="I468" s="791"/>
      <c r="J468" s="792"/>
      <c r="K468" s="792"/>
      <c r="L468" s="791"/>
      <c r="M468" s="793"/>
      <c r="N468" s="617"/>
      <c r="O468" s="794"/>
    </row>
    <row r="469">
      <c r="A469" s="280"/>
      <c r="B469" s="280"/>
      <c r="C469" s="280"/>
      <c r="D469" s="280"/>
      <c r="F469" s="789"/>
      <c r="G469" s="789"/>
      <c r="H469" s="790"/>
      <c r="I469" s="791"/>
      <c r="J469" s="792"/>
      <c r="K469" s="792"/>
      <c r="L469" s="791"/>
      <c r="M469" s="793"/>
      <c r="N469" s="617"/>
      <c r="O469" s="794"/>
    </row>
    <row r="470">
      <c r="A470" s="280"/>
      <c r="B470" s="280"/>
      <c r="C470" s="280"/>
      <c r="D470" s="280"/>
      <c r="F470" s="789"/>
      <c r="G470" s="789"/>
      <c r="H470" s="790"/>
      <c r="I470" s="791"/>
      <c r="J470" s="792"/>
      <c r="K470" s="792"/>
      <c r="L470" s="791"/>
      <c r="M470" s="793"/>
      <c r="N470" s="617"/>
      <c r="O470" s="794"/>
    </row>
    <row r="471">
      <c r="A471" s="280"/>
      <c r="B471" s="280"/>
      <c r="C471" s="280"/>
      <c r="D471" s="280"/>
      <c r="F471" s="789"/>
      <c r="G471" s="789"/>
      <c r="H471" s="790"/>
      <c r="I471" s="791"/>
      <c r="J471" s="792"/>
      <c r="K471" s="792"/>
      <c r="L471" s="791"/>
      <c r="M471" s="793"/>
      <c r="N471" s="617"/>
      <c r="O471" s="794"/>
    </row>
    <row r="472">
      <c r="A472" s="280"/>
      <c r="B472" s="280"/>
      <c r="C472" s="280"/>
      <c r="D472" s="280"/>
      <c r="F472" s="789"/>
      <c r="G472" s="789"/>
      <c r="H472" s="790"/>
      <c r="I472" s="791"/>
      <c r="J472" s="792"/>
      <c r="K472" s="792"/>
      <c r="L472" s="791"/>
      <c r="M472" s="793"/>
      <c r="N472" s="617"/>
      <c r="O472" s="794"/>
    </row>
    <row r="473">
      <c r="A473" s="280"/>
      <c r="B473" s="280"/>
      <c r="C473" s="280"/>
      <c r="D473" s="280"/>
      <c r="F473" s="789"/>
      <c r="G473" s="789"/>
      <c r="H473" s="790"/>
      <c r="I473" s="791"/>
      <c r="J473" s="792"/>
      <c r="K473" s="792"/>
      <c r="L473" s="791"/>
      <c r="M473" s="793"/>
      <c r="N473" s="617"/>
      <c r="O473" s="794"/>
    </row>
    <row r="474">
      <c r="A474" s="280"/>
      <c r="B474" s="280"/>
      <c r="C474" s="280"/>
      <c r="D474" s="280"/>
      <c r="F474" s="789"/>
      <c r="G474" s="789"/>
      <c r="H474" s="790"/>
      <c r="I474" s="791"/>
      <c r="J474" s="792"/>
      <c r="K474" s="792"/>
      <c r="L474" s="791"/>
      <c r="M474" s="793"/>
      <c r="N474" s="617"/>
      <c r="O474" s="794"/>
    </row>
    <row r="475">
      <c r="A475" s="280"/>
      <c r="B475" s="280"/>
      <c r="C475" s="280"/>
      <c r="D475" s="280"/>
      <c r="F475" s="789"/>
      <c r="G475" s="789"/>
      <c r="H475" s="790"/>
      <c r="I475" s="791"/>
      <c r="J475" s="792"/>
      <c r="K475" s="792"/>
      <c r="L475" s="791"/>
      <c r="M475" s="793"/>
      <c r="N475" s="617"/>
      <c r="O475" s="794"/>
    </row>
    <row r="476">
      <c r="A476" s="280"/>
      <c r="B476" s="280"/>
      <c r="C476" s="280"/>
      <c r="D476" s="280"/>
      <c r="F476" s="789"/>
      <c r="G476" s="789"/>
      <c r="H476" s="790"/>
      <c r="I476" s="791"/>
      <c r="J476" s="792"/>
      <c r="K476" s="792"/>
      <c r="L476" s="791"/>
      <c r="M476" s="793"/>
      <c r="N476" s="617"/>
      <c r="O476" s="794"/>
    </row>
    <row r="477">
      <c r="A477" s="280"/>
      <c r="B477" s="280"/>
      <c r="C477" s="280"/>
      <c r="D477" s="280"/>
      <c r="F477" s="789"/>
      <c r="G477" s="789"/>
      <c r="H477" s="790"/>
      <c r="I477" s="791"/>
      <c r="J477" s="792"/>
      <c r="K477" s="792"/>
      <c r="L477" s="791"/>
      <c r="M477" s="793"/>
      <c r="N477" s="617"/>
      <c r="O477" s="794"/>
    </row>
    <row r="478">
      <c r="A478" s="280"/>
      <c r="B478" s="280"/>
      <c r="C478" s="280"/>
      <c r="D478" s="280"/>
      <c r="F478" s="789"/>
      <c r="G478" s="789"/>
      <c r="H478" s="790"/>
      <c r="I478" s="791"/>
      <c r="J478" s="792"/>
      <c r="K478" s="792"/>
      <c r="L478" s="791"/>
      <c r="M478" s="793"/>
      <c r="N478" s="617"/>
      <c r="O478" s="794"/>
    </row>
    <row r="479">
      <c r="A479" s="280"/>
      <c r="B479" s="280"/>
      <c r="C479" s="280"/>
      <c r="D479" s="280"/>
      <c r="F479" s="789"/>
      <c r="G479" s="789"/>
      <c r="H479" s="790"/>
      <c r="I479" s="791"/>
      <c r="J479" s="792"/>
      <c r="K479" s="792"/>
      <c r="L479" s="791"/>
      <c r="M479" s="793"/>
      <c r="N479" s="617"/>
      <c r="O479" s="794"/>
    </row>
    <row r="480">
      <c r="A480" s="280"/>
      <c r="B480" s="280"/>
      <c r="C480" s="280"/>
      <c r="D480" s="280"/>
      <c r="F480" s="789"/>
      <c r="G480" s="789"/>
      <c r="H480" s="790"/>
      <c r="I480" s="791"/>
      <c r="J480" s="792"/>
      <c r="K480" s="792"/>
      <c r="L480" s="791"/>
      <c r="M480" s="793"/>
      <c r="N480" s="617"/>
      <c r="O480" s="794"/>
    </row>
    <row r="481">
      <c r="A481" s="280"/>
      <c r="B481" s="280"/>
      <c r="C481" s="280"/>
      <c r="D481" s="280"/>
      <c r="F481" s="789"/>
      <c r="G481" s="789"/>
      <c r="H481" s="790"/>
      <c r="I481" s="791"/>
      <c r="J481" s="792"/>
      <c r="K481" s="792"/>
      <c r="L481" s="791"/>
      <c r="M481" s="793"/>
      <c r="N481" s="617"/>
      <c r="O481" s="794"/>
    </row>
    <row r="482">
      <c r="A482" s="280"/>
      <c r="B482" s="280"/>
      <c r="C482" s="280"/>
      <c r="D482" s="280"/>
      <c r="F482" s="789"/>
      <c r="G482" s="789"/>
      <c r="H482" s="790"/>
      <c r="I482" s="791"/>
      <c r="J482" s="792"/>
      <c r="K482" s="792"/>
      <c r="L482" s="791"/>
      <c r="M482" s="793"/>
      <c r="N482" s="617"/>
      <c r="O482" s="794"/>
    </row>
    <row r="483">
      <c r="A483" s="280"/>
      <c r="B483" s="280"/>
      <c r="C483" s="280"/>
      <c r="D483" s="280"/>
      <c r="F483" s="789"/>
      <c r="G483" s="789"/>
      <c r="H483" s="790"/>
      <c r="I483" s="791"/>
      <c r="J483" s="792"/>
      <c r="K483" s="792"/>
      <c r="L483" s="791"/>
      <c r="M483" s="793"/>
      <c r="N483" s="617"/>
      <c r="O483" s="794"/>
    </row>
    <row r="484">
      <c r="A484" s="280"/>
      <c r="B484" s="280"/>
      <c r="C484" s="280"/>
      <c r="D484" s="280"/>
      <c r="F484" s="789"/>
      <c r="G484" s="789"/>
      <c r="H484" s="790"/>
      <c r="I484" s="791"/>
      <c r="J484" s="792"/>
      <c r="K484" s="792"/>
      <c r="L484" s="791"/>
      <c r="M484" s="793"/>
      <c r="N484" s="617"/>
      <c r="O484" s="794"/>
    </row>
    <row r="485">
      <c r="A485" s="280"/>
      <c r="B485" s="280"/>
      <c r="C485" s="280"/>
      <c r="D485" s="280"/>
      <c r="F485" s="789"/>
      <c r="G485" s="789"/>
      <c r="H485" s="790"/>
      <c r="I485" s="791"/>
      <c r="J485" s="792"/>
      <c r="K485" s="792"/>
      <c r="L485" s="791"/>
      <c r="M485" s="793"/>
      <c r="N485" s="617"/>
      <c r="O485" s="794"/>
    </row>
    <row r="486">
      <c r="A486" s="280"/>
      <c r="B486" s="280"/>
      <c r="C486" s="280"/>
      <c r="D486" s="280"/>
      <c r="F486" s="789"/>
      <c r="G486" s="789"/>
      <c r="H486" s="790"/>
      <c r="I486" s="791"/>
      <c r="J486" s="792"/>
      <c r="K486" s="792"/>
      <c r="L486" s="791"/>
      <c r="M486" s="793"/>
      <c r="N486" s="617"/>
      <c r="O486" s="794"/>
    </row>
    <row r="487">
      <c r="A487" s="280"/>
      <c r="B487" s="280"/>
      <c r="C487" s="280"/>
      <c r="D487" s="280"/>
      <c r="F487" s="789"/>
      <c r="G487" s="789"/>
      <c r="H487" s="790"/>
      <c r="I487" s="791"/>
      <c r="J487" s="792"/>
      <c r="K487" s="792"/>
      <c r="L487" s="791"/>
      <c r="M487" s="793"/>
      <c r="N487" s="617"/>
      <c r="O487" s="794"/>
    </row>
    <row r="488">
      <c r="A488" s="280"/>
      <c r="B488" s="280"/>
      <c r="C488" s="280"/>
      <c r="D488" s="280"/>
      <c r="F488" s="789"/>
      <c r="G488" s="789"/>
      <c r="H488" s="790"/>
      <c r="I488" s="791"/>
      <c r="J488" s="792"/>
      <c r="K488" s="792"/>
      <c r="L488" s="791"/>
      <c r="M488" s="793"/>
      <c r="N488" s="617"/>
      <c r="O488" s="794"/>
    </row>
    <row r="489">
      <c r="A489" s="280"/>
      <c r="B489" s="280"/>
      <c r="C489" s="280"/>
      <c r="D489" s="280"/>
      <c r="F489" s="789"/>
      <c r="G489" s="789"/>
      <c r="H489" s="790"/>
      <c r="I489" s="791"/>
      <c r="J489" s="792"/>
      <c r="K489" s="792"/>
      <c r="L489" s="791"/>
      <c r="M489" s="793"/>
      <c r="N489" s="617"/>
      <c r="O489" s="794"/>
    </row>
    <row r="490">
      <c r="A490" s="280"/>
      <c r="B490" s="280"/>
      <c r="C490" s="280"/>
      <c r="D490" s="280"/>
      <c r="F490" s="789"/>
      <c r="G490" s="789"/>
      <c r="H490" s="790"/>
      <c r="I490" s="791"/>
      <c r="J490" s="792"/>
      <c r="K490" s="792"/>
      <c r="L490" s="791"/>
      <c r="M490" s="793"/>
      <c r="N490" s="617"/>
      <c r="O490" s="794"/>
    </row>
    <row r="491">
      <c r="A491" s="280"/>
      <c r="B491" s="280"/>
      <c r="C491" s="280"/>
      <c r="D491" s="280"/>
      <c r="F491" s="789"/>
      <c r="G491" s="789"/>
      <c r="H491" s="790"/>
      <c r="I491" s="791"/>
      <c r="J491" s="792"/>
      <c r="K491" s="792"/>
      <c r="L491" s="791"/>
      <c r="M491" s="793"/>
      <c r="N491" s="617"/>
      <c r="O491" s="794"/>
    </row>
    <row r="492">
      <c r="A492" s="280"/>
      <c r="B492" s="280"/>
      <c r="C492" s="280"/>
      <c r="D492" s="280"/>
      <c r="F492" s="789"/>
      <c r="G492" s="789"/>
      <c r="H492" s="790"/>
      <c r="I492" s="791"/>
      <c r="J492" s="792"/>
      <c r="K492" s="792"/>
      <c r="L492" s="791"/>
      <c r="M492" s="793"/>
      <c r="N492" s="617"/>
      <c r="O492" s="794"/>
    </row>
    <row r="493">
      <c r="A493" s="280"/>
      <c r="B493" s="280"/>
      <c r="C493" s="280"/>
      <c r="D493" s="280"/>
      <c r="F493" s="789"/>
      <c r="G493" s="789"/>
      <c r="H493" s="790"/>
      <c r="I493" s="791"/>
      <c r="J493" s="792"/>
      <c r="K493" s="792"/>
      <c r="L493" s="791"/>
      <c r="M493" s="793"/>
      <c r="N493" s="617"/>
      <c r="O493" s="794"/>
    </row>
    <row r="494">
      <c r="A494" s="280"/>
      <c r="B494" s="280"/>
      <c r="C494" s="280"/>
      <c r="D494" s="280"/>
      <c r="F494" s="789"/>
      <c r="G494" s="789"/>
      <c r="H494" s="790"/>
      <c r="I494" s="791"/>
      <c r="J494" s="792"/>
      <c r="K494" s="792"/>
      <c r="L494" s="791"/>
      <c r="M494" s="793"/>
      <c r="N494" s="617"/>
      <c r="O494" s="794"/>
    </row>
    <row r="495">
      <c r="A495" s="280"/>
      <c r="B495" s="280"/>
      <c r="C495" s="280"/>
      <c r="D495" s="280"/>
      <c r="F495" s="789"/>
      <c r="G495" s="789"/>
      <c r="H495" s="790"/>
      <c r="I495" s="791"/>
      <c r="J495" s="792"/>
      <c r="K495" s="792"/>
      <c r="L495" s="791"/>
      <c r="M495" s="793"/>
      <c r="N495" s="617"/>
      <c r="O495" s="794"/>
    </row>
    <row r="496">
      <c r="A496" s="280"/>
      <c r="B496" s="280"/>
      <c r="C496" s="280"/>
      <c r="D496" s="280"/>
      <c r="F496" s="789"/>
      <c r="G496" s="789"/>
      <c r="H496" s="790"/>
      <c r="I496" s="791"/>
      <c r="J496" s="792"/>
      <c r="K496" s="792"/>
      <c r="L496" s="791"/>
      <c r="M496" s="793"/>
      <c r="N496" s="617"/>
      <c r="O496" s="794"/>
    </row>
    <row r="497">
      <c r="A497" s="280"/>
      <c r="B497" s="280"/>
      <c r="C497" s="280"/>
      <c r="D497" s="280"/>
      <c r="F497" s="789"/>
      <c r="G497" s="789"/>
      <c r="H497" s="790"/>
      <c r="I497" s="791"/>
      <c r="J497" s="792"/>
      <c r="K497" s="792"/>
      <c r="L497" s="791"/>
      <c r="M497" s="793"/>
      <c r="N497" s="617"/>
      <c r="O497" s="794"/>
    </row>
    <row r="498">
      <c r="A498" s="280"/>
      <c r="B498" s="280"/>
      <c r="C498" s="280"/>
      <c r="D498" s="280"/>
      <c r="F498" s="789"/>
      <c r="G498" s="789"/>
      <c r="H498" s="790"/>
      <c r="I498" s="791"/>
      <c r="J498" s="792"/>
      <c r="K498" s="792"/>
      <c r="L498" s="791"/>
      <c r="M498" s="793"/>
      <c r="N498" s="617"/>
      <c r="O498" s="794"/>
    </row>
    <row r="499">
      <c r="A499" s="280"/>
      <c r="B499" s="280"/>
      <c r="C499" s="280"/>
      <c r="D499" s="280"/>
      <c r="F499" s="789"/>
      <c r="G499" s="789"/>
      <c r="H499" s="790"/>
      <c r="I499" s="791"/>
      <c r="J499" s="792"/>
      <c r="K499" s="792"/>
      <c r="L499" s="791"/>
      <c r="M499" s="793"/>
      <c r="N499" s="617"/>
      <c r="O499" s="794"/>
    </row>
    <row r="500">
      <c r="A500" s="280"/>
      <c r="B500" s="280"/>
      <c r="C500" s="280"/>
      <c r="D500" s="280"/>
      <c r="F500" s="789"/>
      <c r="G500" s="789"/>
      <c r="H500" s="790"/>
      <c r="I500" s="791"/>
      <c r="J500" s="792"/>
      <c r="K500" s="792"/>
      <c r="L500" s="791"/>
      <c r="M500" s="793"/>
      <c r="N500" s="617"/>
      <c r="O500" s="794"/>
    </row>
    <row r="501">
      <c r="A501" s="280"/>
      <c r="B501" s="280"/>
      <c r="C501" s="280"/>
      <c r="D501" s="280"/>
      <c r="F501" s="789"/>
      <c r="G501" s="789"/>
      <c r="H501" s="790"/>
      <c r="I501" s="791"/>
      <c r="J501" s="792"/>
      <c r="K501" s="792"/>
      <c r="L501" s="791"/>
      <c r="M501" s="793"/>
      <c r="N501" s="617"/>
      <c r="O501" s="794"/>
    </row>
    <row r="502">
      <c r="A502" s="280"/>
      <c r="B502" s="280"/>
      <c r="C502" s="280"/>
      <c r="D502" s="280"/>
      <c r="F502" s="789"/>
      <c r="G502" s="789"/>
      <c r="H502" s="790"/>
      <c r="I502" s="791"/>
      <c r="J502" s="792"/>
      <c r="K502" s="792"/>
      <c r="L502" s="791"/>
      <c r="M502" s="793"/>
      <c r="N502" s="617"/>
      <c r="O502" s="794"/>
    </row>
    <row r="503">
      <c r="A503" s="280"/>
      <c r="B503" s="280"/>
      <c r="C503" s="280"/>
      <c r="D503" s="280"/>
      <c r="F503" s="789"/>
      <c r="G503" s="789"/>
      <c r="H503" s="790"/>
      <c r="I503" s="791"/>
      <c r="J503" s="792"/>
      <c r="K503" s="792"/>
      <c r="L503" s="791"/>
      <c r="M503" s="793"/>
      <c r="N503" s="617"/>
      <c r="O503" s="794"/>
    </row>
    <row r="504">
      <c r="A504" s="280"/>
      <c r="B504" s="280"/>
      <c r="C504" s="280"/>
      <c r="D504" s="280"/>
      <c r="F504" s="789"/>
      <c r="G504" s="789"/>
      <c r="H504" s="790"/>
      <c r="I504" s="791"/>
      <c r="J504" s="792"/>
      <c r="K504" s="792"/>
      <c r="L504" s="791"/>
      <c r="M504" s="793"/>
      <c r="N504" s="617"/>
      <c r="O504" s="794"/>
    </row>
    <row r="505">
      <c r="A505" s="280"/>
      <c r="B505" s="280"/>
      <c r="C505" s="280"/>
      <c r="D505" s="280"/>
      <c r="F505" s="789"/>
      <c r="G505" s="789"/>
      <c r="H505" s="790"/>
      <c r="I505" s="791"/>
      <c r="J505" s="792"/>
      <c r="K505" s="792"/>
      <c r="L505" s="791"/>
      <c r="M505" s="793"/>
      <c r="N505" s="617"/>
      <c r="O505" s="794"/>
    </row>
    <row r="506">
      <c r="A506" s="280"/>
      <c r="B506" s="280"/>
      <c r="C506" s="280"/>
      <c r="D506" s="280"/>
      <c r="F506" s="789"/>
      <c r="G506" s="789"/>
      <c r="H506" s="790"/>
      <c r="I506" s="791"/>
      <c r="J506" s="792"/>
      <c r="K506" s="792"/>
      <c r="L506" s="791"/>
      <c r="M506" s="793"/>
      <c r="N506" s="617"/>
      <c r="O506" s="794"/>
    </row>
    <row r="507">
      <c r="A507" s="280"/>
      <c r="B507" s="280"/>
      <c r="C507" s="280"/>
      <c r="D507" s="280"/>
      <c r="F507" s="789"/>
      <c r="G507" s="789"/>
      <c r="H507" s="790"/>
      <c r="I507" s="791"/>
      <c r="J507" s="792"/>
      <c r="K507" s="792"/>
      <c r="L507" s="791"/>
      <c r="M507" s="793"/>
      <c r="N507" s="617"/>
      <c r="O507" s="794"/>
    </row>
    <row r="508">
      <c r="A508" s="280"/>
      <c r="B508" s="280"/>
      <c r="C508" s="280"/>
      <c r="D508" s="280"/>
      <c r="F508" s="789"/>
      <c r="G508" s="789"/>
      <c r="H508" s="790"/>
      <c r="I508" s="791"/>
      <c r="J508" s="792"/>
      <c r="K508" s="792"/>
      <c r="L508" s="791"/>
      <c r="M508" s="793"/>
      <c r="N508" s="617"/>
      <c r="O508" s="794"/>
    </row>
    <row r="509">
      <c r="A509" s="280"/>
      <c r="B509" s="280"/>
      <c r="C509" s="280"/>
      <c r="D509" s="280"/>
      <c r="F509" s="789"/>
      <c r="G509" s="789"/>
      <c r="H509" s="790"/>
      <c r="I509" s="791"/>
      <c r="J509" s="792"/>
      <c r="K509" s="792"/>
      <c r="L509" s="791"/>
      <c r="M509" s="793"/>
      <c r="N509" s="617"/>
      <c r="O509" s="794"/>
    </row>
    <row r="510">
      <c r="A510" s="280"/>
      <c r="B510" s="280"/>
      <c r="C510" s="280"/>
      <c r="D510" s="280"/>
      <c r="F510" s="789"/>
      <c r="G510" s="789"/>
      <c r="H510" s="790"/>
      <c r="I510" s="791"/>
      <c r="J510" s="792"/>
      <c r="K510" s="792"/>
      <c r="L510" s="791"/>
      <c r="M510" s="793"/>
      <c r="N510" s="617"/>
      <c r="O510" s="794"/>
    </row>
    <row r="511">
      <c r="A511" s="280"/>
      <c r="B511" s="280"/>
      <c r="C511" s="280"/>
      <c r="D511" s="280"/>
      <c r="F511" s="789"/>
      <c r="G511" s="789"/>
      <c r="H511" s="790"/>
      <c r="I511" s="791"/>
      <c r="J511" s="792"/>
      <c r="K511" s="792"/>
      <c r="L511" s="791"/>
      <c r="M511" s="793"/>
      <c r="N511" s="617"/>
      <c r="O511" s="794"/>
    </row>
    <row r="512">
      <c r="A512" s="280"/>
      <c r="B512" s="280"/>
      <c r="C512" s="280"/>
      <c r="D512" s="280"/>
      <c r="F512" s="789"/>
      <c r="G512" s="789"/>
      <c r="H512" s="790"/>
      <c r="I512" s="791"/>
      <c r="J512" s="792"/>
      <c r="K512" s="792"/>
      <c r="L512" s="791"/>
      <c r="M512" s="793"/>
      <c r="N512" s="617"/>
      <c r="O512" s="794"/>
    </row>
    <row r="513">
      <c r="A513" s="280"/>
      <c r="B513" s="280"/>
      <c r="C513" s="280"/>
      <c r="D513" s="280"/>
      <c r="F513" s="789"/>
      <c r="G513" s="789"/>
      <c r="H513" s="790"/>
      <c r="I513" s="791"/>
      <c r="J513" s="792"/>
      <c r="K513" s="792"/>
      <c r="L513" s="791"/>
      <c r="M513" s="793"/>
      <c r="N513" s="617"/>
      <c r="O513" s="794"/>
    </row>
    <row r="514">
      <c r="A514" s="280"/>
      <c r="B514" s="280"/>
      <c r="C514" s="280"/>
      <c r="D514" s="280"/>
      <c r="F514" s="789"/>
      <c r="G514" s="789"/>
      <c r="H514" s="790"/>
      <c r="I514" s="791"/>
      <c r="J514" s="792"/>
      <c r="K514" s="792"/>
      <c r="L514" s="791"/>
      <c r="M514" s="793"/>
      <c r="N514" s="617"/>
      <c r="O514" s="794"/>
    </row>
    <row r="515">
      <c r="A515" s="280"/>
      <c r="B515" s="280"/>
      <c r="C515" s="280"/>
      <c r="D515" s="280"/>
      <c r="F515" s="789"/>
      <c r="G515" s="789"/>
      <c r="H515" s="790"/>
      <c r="I515" s="791"/>
      <c r="J515" s="792"/>
      <c r="K515" s="792"/>
      <c r="L515" s="791"/>
      <c r="M515" s="793"/>
      <c r="N515" s="617"/>
      <c r="O515" s="794"/>
    </row>
    <row r="516">
      <c r="A516" s="280"/>
      <c r="B516" s="280"/>
      <c r="C516" s="280"/>
      <c r="D516" s="280"/>
      <c r="F516" s="789"/>
      <c r="G516" s="789"/>
      <c r="H516" s="790"/>
      <c r="I516" s="791"/>
      <c r="J516" s="792"/>
      <c r="K516" s="792"/>
      <c r="L516" s="791"/>
      <c r="M516" s="793"/>
      <c r="N516" s="617"/>
      <c r="O516" s="794"/>
    </row>
    <row r="517">
      <c r="A517" s="280"/>
      <c r="B517" s="280"/>
      <c r="C517" s="280"/>
      <c r="D517" s="280"/>
      <c r="F517" s="789"/>
      <c r="G517" s="789"/>
      <c r="H517" s="790"/>
      <c r="I517" s="791"/>
      <c r="J517" s="792"/>
      <c r="K517" s="792"/>
      <c r="L517" s="791"/>
      <c r="M517" s="793"/>
      <c r="N517" s="617"/>
      <c r="O517" s="794"/>
    </row>
    <row r="518">
      <c r="A518" s="280"/>
      <c r="B518" s="280"/>
      <c r="C518" s="280"/>
      <c r="D518" s="280"/>
      <c r="F518" s="789"/>
      <c r="G518" s="789"/>
      <c r="H518" s="790"/>
      <c r="I518" s="791"/>
      <c r="J518" s="792"/>
      <c r="K518" s="792"/>
      <c r="L518" s="791"/>
      <c r="M518" s="793"/>
      <c r="N518" s="617"/>
      <c r="O518" s="794"/>
    </row>
    <row r="519">
      <c r="A519" s="280"/>
      <c r="B519" s="280"/>
      <c r="C519" s="280"/>
      <c r="D519" s="280"/>
      <c r="F519" s="789"/>
      <c r="G519" s="789"/>
      <c r="H519" s="790"/>
      <c r="I519" s="791"/>
      <c r="J519" s="792"/>
      <c r="K519" s="792"/>
      <c r="L519" s="791"/>
      <c r="M519" s="793"/>
      <c r="N519" s="617"/>
      <c r="O519" s="794"/>
    </row>
    <row r="520">
      <c r="A520" s="280"/>
      <c r="B520" s="280"/>
      <c r="C520" s="280"/>
      <c r="D520" s="280"/>
      <c r="F520" s="789"/>
      <c r="G520" s="789"/>
      <c r="H520" s="790"/>
      <c r="I520" s="791"/>
      <c r="J520" s="792"/>
      <c r="K520" s="792"/>
      <c r="L520" s="791"/>
      <c r="M520" s="793"/>
      <c r="N520" s="617"/>
      <c r="O520" s="794"/>
    </row>
    <row r="521">
      <c r="A521" s="280"/>
      <c r="B521" s="280"/>
      <c r="C521" s="280"/>
      <c r="D521" s="280"/>
      <c r="F521" s="789"/>
      <c r="G521" s="789"/>
      <c r="H521" s="790"/>
      <c r="I521" s="791"/>
      <c r="J521" s="792"/>
      <c r="K521" s="792"/>
      <c r="L521" s="791"/>
      <c r="M521" s="793"/>
      <c r="N521" s="617"/>
      <c r="O521" s="794"/>
    </row>
    <row r="522">
      <c r="A522" s="280"/>
      <c r="B522" s="280"/>
      <c r="C522" s="280"/>
      <c r="D522" s="280"/>
      <c r="F522" s="789"/>
      <c r="G522" s="789"/>
      <c r="H522" s="790"/>
      <c r="I522" s="791"/>
      <c r="J522" s="792"/>
      <c r="K522" s="792"/>
      <c r="L522" s="791"/>
      <c r="M522" s="793"/>
      <c r="N522" s="617"/>
      <c r="O522" s="794"/>
    </row>
    <row r="523">
      <c r="A523" s="280"/>
      <c r="B523" s="280"/>
      <c r="C523" s="280"/>
      <c r="D523" s="280"/>
      <c r="F523" s="789"/>
      <c r="G523" s="789"/>
      <c r="H523" s="790"/>
      <c r="I523" s="791"/>
      <c r="J523" s="792"/>
      <c r="K523" s="792"/>
      <c r="L523" s="791"/>
      <c r="M523" s="793"/>
      <c r="N523" s="617"/>
      <c r="O523" s="794"/>
    </row>
    <row r="524">
      <c r="A524" s="280"/>
      <c r="B524" s="280"/>
      <c r="C524" s="280"/>
      <c r="D524" s="280"/>
      <c r="F524" s="789"/>
      <c r="G524" s="789"/>
      <c r="H524" s="790"/>
      <c r="I524" s="791"/>
      <c r="J524" s="792"/>
      <c r="K524" s="792"/>
      <c r="L524" s="791"/>
      <c r="M524" s="793"/>
      <c r="N524" s="617"/>
      <c r="O524" s="794"/>
    </row>
    <row r="525">
      <c r="A525" s="280"/>
      <c r="B525" s="280"/>
      <c r="C525" s="280"/>
      <c r="D525" s="280"/>
      <c r="F525" s="789"/>
      <c r="G525" s="789"/>
      <c r="H525" s="790"/>
      <c r="I525" s="791"/>
      <c r="J525" s="792"/>
      <c r="K525" s="792"/>
      <c r="L525" s="791"/>
      <c r="M525" s="793"/>
      <c r="N525" s="617"/>
      <c r="O525" s="794"/>
    </row>
    <row r="526">
      <c r="A526" s="280"/>
      <c r="B526" s="280"/>
      <c r="C526" s="280"/>
      <c r="D526" s="280"/>
      <c r="F526" s="789"/>
      <c r="G526" s="789"/>
      <c r="H526" s="790"/>
      <c r="I526" s="791"/>
      <c r="J526" s="792"/>
      <c r="K526" s="792"/>
      <c r="L526" s="791"/>
      <c r="M526" s="793"/>
      <c r="N526" s="617"/>
      <c r="O526" s="794"/>
    </row>
    <row r="527">
      <c r="A527" s="280"/>
      <c r="B527" s="280"/>
      <c r="C527" s="280"/>
      <c r="D527" s="280"/>
      <c r="F527" s="789"/>
      <c r="G527" s="789"/>
      <c r="H527" s="790"/>
      <c r="I527" s="791"/>
      <c r="J527" s="792"/>
      <c r="K527" s="792"/>
      <c r="L527" s="791"/>
      <c r="M527" s="793"/>
      <c r="N527" s="617"/>
      <c r="O527" s="794"/>
    </row>
    <row r="528">
      <c r="A528" s="280"/>
      <c r="B528" s="280"/>
      <c r="C528" s="280"/>
      <c r="D528" s="280"/>
      <c r="F528" s="789"/>
      <c r="G528" s="789"/>
      <c r="H528" s="790"/>
      <c r="I528" s="791"/>
      <c r="J528" s="792"/>
      <c r="K528" s="792"/>
      <c r="L528" s="791"/>
      <c r="M528" s="793"/>
      <c r="N528" s="617"/>
      <c r="O528" s="794"/>
    </row>
    <row r="529">
      <c r="A529" s="280"/>
      <c r="B529" s="280"/>
      <c r="C529" s="280"/>
      <c r="D529" s="280"/>
      <c r="F529" s="789"/>
      <c r="G529" s="789"/>
      <c r="H529" s="790"/>
      <c r="I529" s="791"/>
      <c r="J529" s="792"/>
      <c r="K529" s="792"/>
      <c r="L529" s="791"/>
      <c r="M529" s="793"/>
      <c r="N529" s="617"/>
      <c r="O529" s="794"/>
    </row>
    <row r="530">
      <c r="A530" s="280"/>
      <c r="B530" s="280"/>
      <c r="C530" s="280"/>
      <c r="D530" s="280"/>
      <c r="F530" s="789"/>
      <c r="G530" s="789"/>
      <c r="H530" s="790"/>
      <c r="I530" s="791"/>
      <c r="J530" s="792"/>
      <c r="K530" s="792"/>
      <c r="L530" s="791"/>
      <c r="M530" s="793"/>
      <c r="N530" s="617"/>
      <c r="O530" s="794"/>
    </row>
    <row r="531">
      <c r="A531" s="280"/>
      <c r="B531" s="280"/>
      <c r="C531" s="280"/>
      <c r="D531" s="280"/>
      <c r="F531" s="789"/>
      <c r="G531" s="789"/>
      <c r="H531" s="790"/>
      <c r="I531" s="791"/>
      <c r="J531" s="792"/>
      <c r="K531" s="792"/>
      <c r="L531" s="791"/>
      <c r="M531" s="793"/>
      <c r="N531" s="617"/>
      <c r="O531" s="794"/>
    </row>
    <row r="532">
      <c r="A532" s="280"/>
      <c r="B532" s="280"/>
      <c r="C532" s="280"/>
      <c r="D532" s="280"/>
      <c r="F532" s="789"/>
      <c r="G532" s="789"/>
      <c r="H532" s="790"/>
      <c r="I532" s="791"/>
      <c r="J532" s="792"/>
      <c r="K532" s="792"/>
      <c r="L532" s="791"/>
      <c r="M532" s="793"/>
      <c r="N532" s="617"/>
      <c r="O532" s="794"/>
    </row>
    <row r="533">
      <c r="A533" s="280"/>
      <c r="B533" s="280"/>
      <c r="C533" s="280"/>
      <c r="D533" s="280"/>
      <c r="F533" s="789"/>
      <c r="G533" s="789"/>
      <c r="H533" s="790"/>
      <c r="I533" s="791"/>
      <c r="J533" s="792"/>
      <c r="K533" s="792"/>
      <c r="L533" s="791"/>
      <c r="M533" s="793"/>
      <c r="N533" s="617"/>
      <c r="O533" s="794"/>
    </row>
    <row r="534">
      <c r="A534" s="280"/>
      <c r="B534" s="280"/>
      <c r="C534" s="280"/>
      <c r="D534" s="280"/>
      <c r="F534" s="789"/>
      <c r="G534" s="789"/>
      <c r="H534" s="790"/>
      <c r="I534" s="791"/>
      <c r="J534" s="792"/>
      <c r="K534" s="792"/>
      <c r="L534" s="791"/>
      <c r="M534" s="793"/>
      <c r="N534" s="617"/>
      <c r="O534" s="794"/>
    </row>
    <row r="535">
      <c r="A535" s="280"/>
      <c r="B535" s="280"/>
      <c r="C535" s="280"/>
      <c r="D535" s="280"/>
      <c r="F535" s="789"/>
      <c r="G535" s="789"/>
      <c r="H535" s="790"/>
      <c r="I535" s="791"/>
      <c r="J535" s="792"/>
      <c r="K535" s="792"/>
      <c r="L535" s="791"/>
      <c r="M535" s="793"/>
      <c r="N535" s="617"/>
      <c r="O535" s="794"/>
    </row>
    <row r="536">
      <c r="A536" s="280"/>
      <c r="B536" s="280"/>
      <c r="C536" s="280"/>
      <c r="D536" s="280"/>
      <c r="F536" s="789"/>
      <c r="G536" s="789"/>
      <c r="H536" s="790"/>
      <c r="I536" s="791"/>
      <c r="J536" s="792"/>
      <c r="K536" s="792"/>
      <c r="L536" s="791"/>
      <c r="M536" s="793"/>
      <c r="N536" s="617"/>
      <c r="O536" s="794"/>
    </row>
    <row r="537">
      <c r="A537" s="280"/>
      <c r="B537" s="280"/>
      <c r="C537" s="280"/>
      <c r="D537" s="280"/>
      <c r="F537" s="789"/>
      <c r="G537" s="789"/>
      <c r="H537" s="790"/>
      <c r="I537" s="791"/>
      <c r="J537" s="792"/>
      <c r="K537" s="792"/>
      <c r="L537" s="791"/>
      <c r="M537" s="793"/>
      <c r="N537" s="617"/>
      <c r="O537" s="794"/>
    </row>
    <row r="538">
      <c r="A538" s="280"/>
      <c r="B538" s="280"/>
      <c r="C538" s="280"/>
      <c r="D538" s="280"/>
      <c r="F538" s="789"/>
      <c r="G538" s="789"/>
      <c r="H538" s="790"/>
      <c r="I538" s="791"/>
      <c r="J538" s="792"/>
      <c r="K538" s="792"/>
      <c r="L538" s="791"/>
      <c r="M538" s="793"/>
      <c r="N538" s="617"/>
      <c r="O538" s="794"/>
    </row>
    <row r="539">
      <c r="A539" s="280"/>
      <c r="B539" s="280"/>
      <c r="C539" s="280"/>
      <c r="D539" s="280"/>
      <c r="F539" s="789"/>
      <c r="G539" s="789"/>
      <c r="H539" s="790"/>
      <c r="I539" s="791"/>
      <c r="J539" s="792"/>
      <c r="K539" s="792"/>
      <c r="L539" s="791"/>
      <c r="M539" s="793"/>
      <c r="N539" s="617"/>
      <c r="O539" s="794"/>
    </row>
    <row r="540">
      <c r="A540" s="280"/>
      <c r="B540" s="280"/>
      <c r="C540" s="280"/>
      <c r="D540" s="280"/>
      <c r="F540" s="789"/>
      <c r="G540" s="789"/>
      <c r="H540" s="790"/>
      <c r="I540" s="791"/>
      <c r="J540" s="792"/>
      <c r="K540" s="792"/>
      <c r="L540" s="791"/>
      <c r="M540" s="793"/>
      <c r="N540" s="617"/>
      <c r="O540" s="794"/>
    </row>
    <row r="541">
      <c r="A541" s="280"/>
      <c r="B541" s="280"/>
      <c r="C541" s="280"/>
      <c r="D541" s="280"/>
      <c r="F541" s="789"/>
      <c r="G541" s="789"/>
      <c r="H541" s="790"/>
      <c r="I541" s="791"/>
      <c r="J541" s="792"/>
      <c r="K541" s="792"/>
      <c r="L541" s="791"/>
      <c r="M541" s="793"/>
      <c r="N541" s="617"/>
      <c r="O541" s="794"/>
    </row>
    <row r="542">
      <c r="A542" s="280"/>
      <c r="B542" s="280"/>
      <c r="C542" s="280"/>
      <c r="D542" s="280"/>
      <c r="F542" s="789"/>
      <c r="G542" s="789"/>
      <c r="H542" s="790"/>
      <c r="I542" s="791"/>
      <c r="J542" s="792"/>
      <c r="K542" s="792"/>
      <c r="L542" s="791"/>
      <c r="M542" s="793"/>
      <c r="N542" s="617"/>
      <c r="O542" s="794"/>
    </row>
    <row r="543">
      <c r="A543" s="280"/>
      <c r="B543" s="280"/>
      <c r="C543" s="280"/>
      <c r="D543" s="280"/>
      <c r="F543" s="789"/>
      <c r="G543" s="789"/>
      <c r="H543" s="790"/>
      <c r="I543" s="791"/>
      <c r="J543" s="792"/>
      <c r="K543" s="792"/>
      <c r="L543" s="791"/>
      <c r="M543" s="793"/>
      <c r="N543" s="617"/>
      <c r="O543" s="794"/>
    </row>
    <row r="544">
      <c r="A544" s="280"/>
      <c r="B544" s="280"/>
      <c r="C544" s="280"/>
      <c r="D544" s="280"/>
      <c r="F544" s="789"/>
      <c r="G544" s="789"/>
      <c r="H544" s="790"/>
      <c r="I544" s="791"/>
      <c r="J544" s="792"/>
      <c r="K544" s="792"/>
      <c r="L544" s="791"/>
      <c r="M544" s="793"/>
      <c r="N544" s="617"/>
      <c r="O544" s="794"/>
    </row>
    <row r="545">
      <c r="A545" s="280"/>
      <c r="B545" s="280"/>
      <c r="C545" s="280"/>
      <c r="D545" s="280"/>
      <c r="F545" s="789"/>
      <c r="G545" s="789"/>
      <c r="H545" s="790"/>
      <c r="I545" s="791"/>
      <c r="J545" s="792"/>
      <c r="K545" s="792"/>
      <c r="L545" s="791"/>
      <c r="M545" s="793"/>
      <c r="N545" s="617"/>
      <c r="O545" s="794"/>
    </row>
    <row r="546">
      <c r="A546" s="280"/>
      <c r="B546" s="280"/>
      <c r="C546" s="280"/>
      <c r="D546" s="280"/>
      <c r="F546" s="789"/>
      <c r="G546" s="789"/>
      <c r="H546" s="790"/>
      <c r="I546" s="791"/>
      <c r="J546" s="792"/>
      <c r="K546" s="792"/>
      <c r="L546" s="791"/>
      <c r="M546" s="793"/>
      <c r="N546" s="617"/>
      <c r="O546" s="794"/>
    </row>
    <row r="547">
      <c r="A547" s="280"/>
      <c r="B547" s="280"/>
      <c r="C547" s="280"/>
      <c r="D547" s="280"/>
      <c r="F547" s="789"/>
      <c r="G547" s="789"/>
      <c r="H547" s="790"/>
      <c r="I547" s="791"/>
      <c r="J547" s="792"/>
      <c r="K547" s="792"/>
      <c r="L547" s="791"/>
      <c r="M547" s="793"/>
      <c r="N547" s="617"/>
      <c r="O547" s="794"/>
    </row>
    <row r="548">
      <c r="A548" s="280"/>
      <c r="B548" s="280"/>
      <c r="C548" s="280"/>
      <c r="D548" s="280"/>
      <c r="F548" s="789"/>
      <c r="G548" s="789"/>
      <c r="H548" s="790"/>
      <c r="I548" s="791"/>
      <c r="J548" s="792"/>
      <c r="K548" s="792"/>
      <c r="L548" s="791"/>
      <c r="M548" s="793"/>
      <c r="N548" s="617"/>
      <c r="O548" s="794"/>
    </row>
    <row r="549">
      <c r="A549" s="280"/>
      <c r="B549" s="280"/>
      <c r="C549" s="280"/>
      <c r="D549" s="280"/>
      <c r="F549" s="789"/>
      <c r="G549" s="789"/>
      <c r="H549" s="790"/>
      <c r="I549" s="791"/>
      <c r="J549" s="792"/>
      <c r="K549" s="792"/>
      <c r="L549" s="791"/>
      <c r="M549" s="793"/>
      <c r="N549" s="617"/>
      <c r="O549" s="794"/>
    </row>
    <row r="550">
      <c r="A550" s="280"/>
      <c r="B550" s="280"/>
      <c r="C550" s="280"/>
      <c r="D550" s="280"/>
      <c r="F550" s="789"/>
      <c r="G550" s="789"/>
      <c r="H550" s="790"/>
      <c r="I550" s="791"/>
      <c r="J550" s="792"/>
      <c r="K550" s="792"/>
      <c r="L550" s="791"/>
      <c r="M550" s="793"/>
      <c r="N550" s="617"/>
      <c r="O550" s="794"/>
    </row>
    <row r="551">
      <c r="A551" s="280"/>
      <c r="B551" s="280"/>
      <c r="C551" s="280"/>
      <c r="D551" s="280"/>
      <c r="F551" s="789"/>
      <c r="G551" s="789"/>
      <c r="H551" s="790"/>
      <c r="I551" s="791"/>
      <c r="J551" s="792"/>
      <c r="K551" s="792"/>
      <c r="L551" s="791"/>
      <c r="M551" s="793"/>
      <c r="N551" s="617"/>
      <c r="O551" s="794"/>
    </row>
    <row r="552">
      <c r="A552" s="280"/>
      <c r="B552" s="280"/>
      <c r="C552" s="280"/>
      <c r="D552" s="280"/>
      <c r="F552" s="789"/>
      <c r="G552" s="789"/>
      <c r="H552" s="790"/>
      <c r="I552" s="791"/>
      <c r="J552" s="792"/>
      <c r="K552" s="792"/>
      <c r="L552" s="791"/>
      <c r="M552" s="793"/>
      <c r="N552" s="617"/>
      <c r="O552" s="794"/>
    </row>
    <row r="553">
      <c r="A553" s="280"/>
      <c r="B553" s="280"/>
      <c r="C553" s="280"/>
      <c r="D553" s="280"/>
      <c r="F553" s="789"/>
      <c r="G553" s="789"/>
      <c r="H553" s="790"/>
      <c r="I553" s="791"/>
      <c r="J553" s="792"/>
      <c r="K553" s="792"/>
      <c r="L553" s="791"/>
      <c r="M553" s="793"/>
      <c r="N553" s="617"/>
      <c r="O553" s="794"/>
    </row>
    <row r="554">
      <c r="A554" s="280"/>
      <c r="B554" s="280"/>
      <c r="C554" s="280"/>
      <c r="D554" s="280"/>
      <c r="F554" s="789"/>
      <c r="G554" s="789"/>
      <c r="H554" s="790"/>
      <c r="I554" s="791"/>
      <c r="J554" s="792"/>
      <c r="K554" s="792"/>
      <c r="L554" s="791"/>
      <c r="M554" s="793"/>
      <c r="N554" s="617"/>
      <c r="O554" s="794"/>
    </row>
    <row r="555">
      <c r="A555" s="280"/>
      <c r="B555" s="280"/>
      <c r="C555" s="280"/>
      <c r="D555" s="280"/>
      <c r="F555" s="789"/>
      <c r="G555" s="789"/>
      <c r="H555" s="790"/>
      <c r="I555" s="791"/>
      <c r="J555" s="792"/>
      <c r="K555" s="792"/>
      <c r="L555" s="791"/>
      <c r="M555" s="793"/>
      <c r="N555" s="617"/>
      <c r="O555" s="794"/>
    </row>
    <row r="556">
      <c r="A556" s="280"/>
      <c r="B556" s="280"/>
      <c r="C556" s="280"/>
      <c r="D556" s="280"/>
      <c r="F556" s="789"/>
      <c r="G556" s="789"/>
      <c r="H556" s="790"/>
      <c r="I556" s="791"/>
      <c r="J556" s="792"/>
      <c r="K556" s="792"/>
      <c r="L556" s="791"/>
      <c r="M556" s="793"/>
      <c r="N556" s="617"/>
      <c r="O556" s="794"/>
    </row>
    <row r="557">
      <c r="A557" s="280"/>
      <c r="B557" s="280"/>
      <c r="C557" s="280"/>
      <c r="D557" s="280"/>
      <c r="F557" s="789"/>
      <c r="G557" s="789"/>
      <c r="H557" s="790"/>
      <c r="I557" s="791"/>
      <c r="J557" s="792"/>
      <c r="K557" s="792"/>
      <c r="L557" s="791"/>
      <c r="M557" s="793"/>
      <c r="N557" s="617"/>
      <c r="O557" s="794"/>
    </row>
    <row r="558">
      <c r="A558" s="280"/>
      <c r="B558" s="280"/>
      <c r="C558" s="280"/>
      <c r="D558" s="280"/>
      <c r="F558" s="789"/>
      <c r="G558" s="789"/>
      <c r="H558" s="790"/>
      <c r="I558" s="791"/>
      <c r="J558" s="792"/>
      <c r="K558" s="792"/>
      <c r="L558" s="791"/>
      <c r="M558" s="793"/>
      <c r="N558" s="617"/>
      <c r="O558" s="794"/>
    </row>
    <row r="559">
      <c r="A559" s="280"/>
      <c r="B559" s="280"/>
      <c r="C559" s="280"/>
      <c r="D559" s="280"/>
      <c r="F559" s="789"/>
      <c r="G559" s="789"/>
      <c r="H559" s="790"/>
      <c r="I559" s="791"/>
      <c r="J559" s="792"/>
      <c r="K559" s="792"/>
      <c r="L559" s="791"/>
      <c r="M559" s="793"/>
      <c r="N559" s="617"/>
      <c r="O559" s="794"/>
    </row>
    <row r="560">
      <c r="A560" s="280"/>
      <c r="B560" s="280"/>
      <c r="C560" s="280"/>
      <c r="D560" s="280"/>
      <c r="F560" s="789"/>
      <c r="G560" s="789"/>
      <c r="H560" s="790"/>
      <c r="I560" s="791"/>
      <c r="J560" s="792"/>
      <c r="K560" s="792"/>
      <c r="L560" s="791"/>
      <c r="M560" s="793"/>
      <c r="N560" s="617"/>
      <c r="O560" s="794"/>
    </row>
    <row r="561">
      <c r="A561" s="280"/>
      <c r="B561" s="280"/>
      <c r="C561" s="280"/>
      <c r="D561" s="280"/>
      <c r="F561" s="789"/>
      <c r="G561" s="789"/>
      <c r="H561" s="790"/>
      <c r="I561" s="791"/>
      <c r="J561" s="792"/>
      <c r="K561" s="792"/>
      <c r="L561" s="791"/>
      <c r="M561" s="793"/>
      <c r="N561" s="617"/>
      <c r="O561" s="794"/>
    </row>
    <row r="562">
      <c r="A562" s="280"/>
      <c r="B562" s="280"/>
      <c r="C562" s="280"/>
      <c r="D562" s="280"/>
      <c r="F562" s="789"/>
      <c r="G562" s="789"/>
      <c r="H562" s="790"/>
      <c r="I562" s="791"/>
      <c r="J562" s="792"/>
      <c r="K562" s="792"/>
      <c r="L562" s="791"/>
      <c r="M562" s="793"/>
      <c r="N562" s="617"/>
      <c r="O562" s="794"/>
    </row>
    <row r="563">
      <c r="A563" s="280"/>
      <c r="B563" s="280"/>
      <c r="C563" s="280"/>
      <c r="D563" s="280"/>
      <c r="F563" s="789"/>
      <c r="G563" s="789"/>
      <c r="H563" s="790"/>
      <c r="I563" s="791"/>
      <c r="J563" s="792"/>
      <c r="K563" s="792"/>
      <c r="L563" s="791"/>
      <c r="M563" s="793"/>
      <c r="N563" s="617"/>
      <c r="O563" s="794"/>
    </row>
    <row r="564">
      <c r="A564" s="280"/>
      <c r="B564" s="280"/>
      <c r="C564" s="280"/>
      <c r="D564" s="280"/>
      <c r="F564" s="789"/>
      <c r="G564" s="789"/>
      <c r="H564" s="790"/>
      <c r="I564" s="791"/>
      <c r="J564" s="792"/>
      <c r="K564" s="792"/>
      <c r="L564" s="791"/>
      <c r="M564" s="793"/>
      <c r="N564" s="617"/>
      <c r="O564" s="794"/>
    </row>
    <row r="565">
      <c r="A565" s="280"/>
      <c r="B565" s="280"/>
      <c r="C565" s="280"/>
      <c r="D565" s="280"/>
      <c r="F565" s="789"/>
      <c r="G565" s="789"/>
      <c r="H565" s="790"/>
      <c r="I565" s="791"/>
      <c r="J565" s="792"/>
      <c r="K565" s="792"/>
      <c r="L565" s="791"/>
      <c r="M565" s="793"/>
      <c r="N565" s="617"/>
      <c r="O565" s="794"/>
    </row>
    <row r="566">
      <c r="A566" s="280"/>
      <c r="B566" s="280"/>
      <c r="C566" s="280"/>
      <c r="D566" s="280"/>
      <c r="F566" s="789"/>
      <c r="G566" s="789"/>
      <c r="H566" s="790"/>
      <c r="I566" s="791"/>
      <c r="J566" s="792"/>
      <c r="K566" s="792"/>
      <c r="L566" s="791"/>
      <c r="M566" s="793"/>
      <c r="N566" s="617"/>
      <c r="O566" s="794"/>
    </row>
    <row r="567">
      <c r="A567" s="280"/>
      <c r="B567" s="280"/>
      <c r="C567" s="280"/>
      <c r="D567" s="280"/>
      <c r="F567" s="789"/>
      <c r="G567" s="789"/>
      <c r="H567" s="790"/>
      <c r="I567" s="791"/>
      <c r="J567" s="792"/>
      <c r="K567" s="792"/>
      <c r="L567" s="791"/>
      <c r="M567" s="793"/>
      <c r="N567" s="617"/>
      <c r="O567" s="794"/>
    </row>
    <row r="568">
      <c r="A568" s="280"/>
      <c r="B568" s="280"/>
      <c r="C568" s="280"/>
      <c r="D568" s="280"/>
      <c r="F568" s="789"/>
      <c r="G568" s="789"/>
      <c r="H568" s="790"/>
      <c r="I568" s="791"/>
      <c r="J568" s="792"/>
      <c r="K568" s="792"/>
      <c r="L568" s="791"/>
      <c r="M568" s="793"/>
      <c r="N568" s="617"/>
      <c r="O568" s="794"/>
    </row>
    <row r="569">
      <c r="A569" s="280"/>
      <c r="B569" s="280"/>
      <c r="C569" s="280"/>
      <c r="D569" s="280"/>
      <c r="F569" s="789"/>
      <c r="G569" s="789"/>
      <c r="H569" s="790"/>
      <c r="I569" s="791"/>
      <c r="J569" s="792"/>
      <c r="K569" s="792"/>
      <c r="L569" s="791"/>
      <c r="M569" s="793"/>
      <c r="N569" s="617"/>
      <c r="O569" s="794"/>
    </row>
    <row r="570">
      <c r="A570" s="280"/>
      <c r="B570" s="280"/>
      <c r="C570" s="280"/>
      <c r="D570" s="280"/>
      <c r="F570" s="789"/>
      <c r="G570" s="789"/>
      <c r="H570" s="790"/>
      <c r="I570" s="791"/>
      <c r="J570" s="792"/>
      <c r="K570" s="792"/>
      <c r="L570" s="791"/>
      <c r="M570" s="793"/>
      <c r="N570" s="617"/>
      <c r="O570" s="794"/>
    </row>
    <row r="571">
      <c r="A571" s="280"/>
      <c r="B571" s="280"/>
      <c r="C571" s="280"/>
      <c r="D571" s="280"/>
      <c r="F571" s="789"/>
      <c r="G571" s="789"/>
      <c r="H571" s="790"/>
      <c r="I571" s="791"/>
      <c r="J571" s="792"/>
      <c r="K571" s="792"/>
      <c r="L571" s="791"/>
      <c r="M571" s="793"/>
      <c r="N571" s="617"/>
      <c r="O571" s="794"/>
    </row>
    <row r="572">
      <c r="A572" s="280"/>
      <c r="B572" s="280"/>
      <c r="C572" s="280"/>
      <c r="D572" s="280"/>
      <c r="F572" s="789"/>
      <c r="G572" s="789"/>
      <c r="H572" s="790"/>
      <c r="I572" s="791"/>
      <c r="J572" s="792"/>
      <c r="K572" s="792"/>
      <c r="L572" s="791"/>
      <c r="M572" s="793"/>
      <c r="N572" s="617"/>
      <c r="O572" s="794"/>
    </row>
    <row r="573">
      <c r="A573" s="280"/>
      <c r="B573" s="280"/>
      <c r="C573" s="280"/>
      <c r="D573" s="280"/>
      <c r="F573" s="789"/>
      <c r="G573" s="789"/>
      <c r="H573" s="790"/>
      <c r="I573" s="791"/>
      <c r="J573" s="792"/>
      <c r="K573" s="792"/>
      <c r="L573" s="791"/>
      <c r="M573" s="793"/>
      <c r="N573" s="617"/>
      <c r="O573" s="794"/>
    </row>
    <row r="574">
      <c r="A574" s="280"/>
      <c r="B574" s="280"/>
      <c r="C574" s="280"/>
      <c r="D574" s="280"/>
      <c r="F574" s="789"/>
      <c r="G574" s="789"/>
      <c r="H574" s="790"/>
      <c r="I574" s="791"/>
      <c r="J574" s="792"/>
      <c r="K574" s="792"/>
      <c r="L574" s="791"/>
      <c r="M574" s="793"/>
      <c r="N574" s="617"/>
      <c r="O574" s="794"/>
    </row>
    <row r="575">
      <c r="A575" s="280"/>
      <c r="B575" s="280"/>
      <c r="C575" s="280"/>
      <c r="D575" s="280"/>
      <c r="F575" s="789"/>
      <c r="G575" s="789"/>
      <c r="H575" s="790"/>
      <c r="I575" s="791"/>
      <c r="J575" s="792"/>
      <c r="K575" s="792"/>
      <c r="L575" s="791"/>
      <c r="M575" s="793"/>
      <c r="N575" s="617"/>
      <c r="O575" s="794"/>
    </row>
    <row r="576">
      <c r="A576" s="280"/>
      <c r="B576" s="280"/>
      <c r="C576" s="280"/>
      <c r="D576" s="280"/>
      <c r="F576" s="789"/>
      <c r="G576" s="789"/>
      <c r="H576" s="790"/>
      <c r="I576" s="791"/>
      <c r="J576" s="792"/>
      <c r="K576" s="792"/>
      <c r="L576" s="791"/>
      <c r="M576" s="793"/>
      <c r="N576" s="617"/>
      <c r="O576" s="794"/>
    </row>
    <row r="577">
      <c r="A577" s="280"/>
      <c r="B577" s="280"/>
      <c r="C577" s="280"/>
      <c r="D577" s="280"/>
      <c r="F577" s="789"/>
      <c r="G577" s="789"/>
      <c r="H577" s="790"/>
      <c r="I577" s="791"/>
      <c r="J577" s="792"/>
      <c r="K577" s="792"/>
      <c r="L577" s="791"/>
      <c r="M577" s="793"/>
      <c r="N577" s="617"/>
      <c r="O577" s="794"/>
    </row>
    <row r="578">
      <c r="A578" s="280"/>
      <c r="B578" s="280"/>
      <c r="C578" s="280"/>
      <c r="D578" s="280"/>
      <c r="F578" s="789"/>
      <c r="G578" s="789"/>
      <c r="H578" s="790"/>
      <c r="I578" s="791"/>
      <c r="J578" s="792"/>
      <c r="K578" s="792"/>
      <c r="L578" s="791"/>
      <c r="M578" s="793"/>
      <c r="N578" s="617"/>
      <c r="O578" s="794"/>
    </row>
    <row r="579">
      <c r="A579" s="280"/>
      <c r="B579" s="280"/>
      <c r="C579" s="280"/>
      <c r="D579" s="280"/>
      <c r="F579" s="789"/>
      <c r="G579" s="789"/>
      <c r="H579" s="790"/>
      <c r="I579" s="791"/>
      <c r="J579" s="792"/>
      <c r="K579" s="792"/>
      <c r="L579" s="791"/>
      <c r="M579" s="793"/>
      <c r="N579" s="617"/>
      <c r="O579" s="794"/>
    </row>
    <row r="580">
      <c r="A580" s="280"/>
      <c r="B580" s="280"/>
      <c r="C580" s="280"/>
      <c r="D580" s="280"/>
      <c r="F580" s="789"/>
      <c r="G580" s="789"/>
      <c r="H580" s="790"/>
      <c r="I580" s="791"/>
      <c r="J580" s="792"/>
      <c r="K580" s="792"/>
      <c r="L580" s="791"/>
      <c r="M580" s="793"/>
      <c r="N580" s="617"/>
      <c r="O580" s="794"/>
    </row>
    <row r="581">
      <c r="A581" s="280"/>
      <c r="B581" s="280"/>
      <c r="C581" s="280"/>
      <c r="D581" s="280"/>
      <c r="F581" s="789"/>
      <c r="G581" s="789"/>
      <c r="H581" s="790"/>
      <c r="I581" s="791"/>
      <c r="J581" s="792"/>
      <c r="K581" s="792"/>
      <c r="L581" s="791"/>
      <c r="M581" s="793"/>
      <c r="N581" s="617"/>
      <c r="O581" s="794"/>
    </row>
    <row r="582">
      <c r="A582" s="280"/>
      <c r="B582" s="280"/>
      <c r="C582" s="280"/>
      <c r="D582" s="280"/>
      <c r="F582" s="789"/>
      <c r="G582" s="789"/>
      <c r="H582" s="790"/>
      <c r="I582" s="791"/>
      <c r="J582" s="792"/>
      <c r="K582" s="792"/>
      <c r="L582" s="791"/>
      <c r="M582" s="793"/>
      <c r="N582" s="617"/>
      <c r="O582" s="794"/>
    </row>
    <row r="583">
      <c r="A583" s="280"/>
      <c r="B583" s="280"/>
      <c r="C583" s="280"/>
      <c r="D583" s="280"/>
      <c r="F583" s="789"/>
      <c r="G583" s="789"/>
      <c r="H583" s="790"/>
      <c r="I583" s="791"/>
      <c r="J583" s="792"/>
      <c r="K583" s="792"/>
      <c r="L583" s="791"/>
      <c r="M583" s="793"/>
      <c r="N583" s="617"/>
      <c r="O583" s="794"/>
    </row>
    <row r="584">
      <c r="A584" s="280"/>
      <c r="B584" s="280"/>
      <c r="C584" s="280"/>
      <c r="D584" s="280"/>
      <c r="F584" s="789"/>
      <c r="G584" s="789"/>
      <c r="H584" s="790"/>
      <c r="I584" s="791"/>
      <c r="J584" s="792"/>
      <c r="K584" s="792"/>
      <c r="L584" s="791"/>
      <c r="M584" s="793"/>
      <c r="N584" s="617"/>
      <c r="O584" s="794"/>
    </row>
    <row r="585">
      <c r="A585" s="280"/>
      <c r="B585" s="280"/>
      <c r="C585" s="280"/>
      <c r="D585" s="280"/>
      <c r="F585" s="789"/>
      <c r="G585" s="789"/>
      <c r="H585" s="790"/>
      <c r="I585" s="791"/>
      <c r="J585" s="792"/>
      <c r="K585" s="792"/>
      <c r="L585" s="791"/>
      <c r="M585" s="793"/>
      <c r="N585" s="617"/>
      <c r="O585" s="794"/>
    </row>
    <row r="586">
      <c r="A586" s="280"/>
      <c r="B586" s="280"/>
      <c r="C586" s="280"/>
      <c r="D586" s="280"/>
      <c r="F586" s="789"/>
      <c r="G586" s="789"/>
      <c r="H586" s="790"/>
      <c r="I586" s="791"/>
      <c r="J586" s="792"/>
      <c r="K586" s="792"/>
      <c r="L586" s="791"/>
      <c r="M586" s="793"/>
      <c r="N586" s="617"/>
      <c r="O586" s="794"/>
    </row>
    <row r="587">
      <c r="A587" s="280"/>
      <c r="B587" s="280"/>
      <c r="C587" s="280"/>
      <c r="D587" s="280"/>
      <c r="F587" s="789"/>
      <c r="G587" s="789"/>
      <c r="H587" s="790"/>
      <c r="I587" s="791"/>
      <c r="J587" s="792"/>
      <c r="K587" s="792"/>
      <c r="L587" s="791"/>
      <c r="M587" s="793"/>
      <c r="N587" s="617"/>
      <c r="O587" s="794"/>
    </row>
    <row r="588">
      <c r="A588" s="280"/>
      <c r="B588" s="280"/>
      <c r="C588" s="280"/>
      <c r="D588" s="280"/>
      <c r="F588" s="789"/>
      <c r="G588" s="789"/>
      <c r="H588" s="790"/>
      <c r="I588" s="791"/>
      <c r="J588" s="792"/>
      <c r="K588" s="792"/>
      <c r="L588" s="791"/>
      <c r="M588" s="793"/>
      <c r="N588" s="617"/>
      <c r="O588" s="794"/>
    </row>
    <row r="589">
      <c r="A589" s="280"/>
      <c r="B589" s="280"/>
      <c r="C589" s="280"/>
      <c r="D589" s="280"/>
      <c r="F589" s="789"/>
      <c r="G589" s="789"/>
      <c r="H589" s="790"/>
      <c r="I589" s="791"/>
      <c r="J589" s="792"/>
      <c r="K589" s="792"/>
      <c r="L589" s="791"/>
      <c r="M589" s="793"/>
      <c r="N589" s="617"/>
      <c r="O589" s="794"/>
    </row>
    <row r="590">
      <c r="A590" s="280"/>
      <c r="B590" s="280"/>
      <c r="C590" s="280"/>
      <c r="D590" s="280"/>
      <c r="F590" s="789"/>
      <c r="G590" s="789"/>
      <c r="H590" s="790"/>
      <c r="I590" s="791"/>
      <c r="J590" s="792"/>
      <c r="K590" s="792"/>
      <c r="L590" s="791"/>
      <c r="M590" s="793"/>
      <c r="N590" s="617"/>
      <c r="O590" s="794"/>
    </row>
    <row r="591">
      <c r="A591" s="280"/>
      <c r="B591" s="280"/>
      <c r="C591" s="280"/>
      <c r="D591" s="280"/>
      <c r="F591" s="789"/>
      <c r="G591" s="789"/>
      <c r="H591" s="790"/>
      <c r="I591" s="791"/>
      <c r="J591" s="792"/>
      <c r="K591" s="792"/>
      <c r="L591" s="791"/>
      <c r="M591" s="793"/>
      <c r="N591" s="617"/>
      <c r="O591" s="794"/>
    </row>
    <row r="592">
      <c r="A592" s="280"/>
      <c r="B592" s="280"/>
      <c r="C592" s="280"/>
      <c r="D592" s="280"/>
      <c r="F592" s="789"/>
      <c r="G592" s="789"/>
      <c r="H592" s="790"/>
      <c r="I592" s="791"/>
      <c r="J592" s="792"/>
      <c r="K592" s="792"/>
      <c r="L592" s="791"/>
      <c r="M592" s="793"/>
      <c r="N592" s="617"/>
      <c r="O592" s="794"/>
    </row>
    <row r="593">
      <c r="A593" s="280"/>
      <c r="B593" s="280"/>
      <c r="C593" s="280"/>
      <c r="D593" s="280"/>
      <c r="F593" s="789"/>
      <c r="G593" s="789"/>
      <c r="H593" s="790"/>
      <c r="I593" s="791"/>
      <c r="J593" s="792"/>
      <c r="K593" s="792"/>
      <c r="L593" s="791"/>
      <c r="M593" s="793"/>
      <c r="N593" s="617"/>
      <c r="O593" s="794"/>
    </row>
    <row r="594">
      <c r="A594" s="280"/>
      <c r="B594" s="280"/>
      <c r="C594" s="280"/>
      <c r="D594" s="280"/>
      <c r="F594" s="789"/>
      <c r="G594" s="789"/>
      <c r="H594" s="790"/>
      <c r="I594" s="791"/>
      <c r="J594" s="792"/>
      <c r="K594" s="792"/>
      <c r="L594" s="791"/>
      <c r="M594" s="793"/>
      <c r="N594" s="617"/>
      <c r="O594" s="794"/>
    </row>
    <row r="595">
      <c r="A595" s="280"/>
      <c r="B595" s="280"/>
      <c r="C595" s="280"/>
      <c r="D595" s="280"/>
      <c r="F595" s="789"/>
      <c r="G595" s="789"/>
      <c r="H595" s="790"/>
      <c r="I595" s="791"/>
      <c r="J595" s="792"/>
      <c r="K595" s="792"/>
      <c r="L595" s="791"/>
      <c r="M595" s="793"/>
      <c r="N595" s="617"/>
      <c r="O595" s="794"/>
    </row>
    <row r="596">
      <c r="A596" s="280"/>
      <c r="B596" s="280"/>
      <c r="C596" s="280"/>
      <c r="D596" s="280"/>
      <c r="F596" s="789"/>
      <c r="G596" s="789"/>
      <c r="H596" s="790"/>
      <c r="I596" s="791"/>
      <c r="J596" s="792"/>
      <c r="K596" s="792"/>
      <c r="L596" s="791"/>
      <c r="M596" s="793"/>
      <c r="N596" s="617"/>
      <c r="O596" s="794"/>
    </row>
    <row r="597">
      <c r="A597" s="280"/>
      <c r="B597" s="280"/>
      <c r="C597" s="280"/>
      <c r="D597" s="280"/>
      <c r="F597" s="789"/>
      <c r="G597" s="789"/>
      <c r="H597" s="790"/>
      <c r="I597" s="791"/>
      <c r="J597" s="792"/>
      <c r="K597" s="792"/>
      <c r="L597" s="791"/>
      <c r="M597" s="793"/>
      <c r="N597" s="617"/>
      <c r="O597" s="794"/>
    </row>
    <row r="598">
      <c r="A598" s="280"/>
      <c r="B598" s="280"/>
      <c r="C598" s="280"/>
      <c r="D598" s="280"/>
      <c r="F598" s="789"/>
      <c r="G598" s="789"/>
      <c r="H598" s="790"/>
      <c r="I598" s="791"/>
      <c r="J598" s="792"/>
      <c r="K598" s="792"/>
      <c r="L598" s="791"/>
      <c r="M598" s="793"/>
      <c r="N598" s="617"/>
      <c r="O598" s="794"/>
    </row>
    <row r="599">
      <c r="A599" s="280"/>
      <c r="B599" s="280"/>
      <c r="C599" s="280"/>
      <c r="D599" s="280"/>
      <c r="F599" s="789"/>
      <c r="G599" s="789"/>
      <c r="H599" s="790"/>
      <c r="I599" s="791"/>
      <c r="J599" s="792"/>
      <c r="K599" s="792"/>
      <c r="L599" s="791"/>
      <c r="M599" s="793"/>
      <c r="N599" s="617"/>
      <c r="O599" s="794"/>
    </row>
    <row r="600">
      <c r="A600" s="280"/>
      <c r="B600" s="280"/>
      <c r="C600" s="280"/>
      <c r="D600" s="280"/>
      <c r="F600" s="789"/>
      <c r="G600" s="789"/>
      <c r="H600" s="790"/>
      <c r="I600" s="791"/>
      <c r="J600" s="792"/>
      <c r="K600" s="792"/>
      <c r="L600" s="791"/>
      <c r="M600" s="793"/>
      <c r="N600" s="617"/>
      <c r="O600" s="794"/>
    </row>
    <row r="601">
      <c r="A601" s="280"/>
      <c r="B601" s="280"/>
      <c r="C601" s="280"/>
      <c r="D601" s="280"/>
      <c r="F601" s="789"/>
      <c r="G601" s="789"/>
      <c r="H601" s="790"/>
      <c r="I601" s="791"/>
      <c r="J601" s="792"/>
      <c r="K601" s="792"/>
      <c r="L601" s="791"/>
      <c r="M601" s="793"/>
      <c r="N601" s="617"/>
      <c r="O601" s="794"/>
    </row>
    <row r="602">
      <c r="A602" s="280"/>
      <c r="B602" s="280"/>
      <c r="C602" s="280"/>
      <c r="D602" s="280"/>
      <c r="F602" s="789"/>
      <c r="G602" s="789"/>
      <c r="H602" s="790"/>
      <c r="I602" s="791"/>
      <c r="J602" s="792"/>
      <c r="K602" s="792"/>
      <c r="L602" s="791"/>
      <c r="M602" s="793"/>
      <c r="N602" s="617"/>
      <c r="O602" s="794"/>
    </row>
    <row r="603">
      <c r="A603" s="280"/>
      <c r="B603" s="280"/>
      <c r="C603" s="280"/>
      <c r="D603" s="280"/>
      <c r="F603" s="789"/>
      <c r="G603" s="789"/>
      <c r="H603" s="790"/>
      <c r="I603" s="791"/>
      <c r="J603" s="792"/>
      <c r="K603" s="792"/>
      <c r="L603" s="791"/>
      <c r="M603" s="793"/>
      <c r="N603" s="617"/>
      <c r="O603" s="794"/>
    </row>
    <row r="604">
      <c r="A604" s="280"/>
      <c r="B604" s="280"/>
      <c r="C604" s="280"/>
      <c r="D604" s="280"/>
      <c r="F604" s="789"/>
      <c r="G604" s="789"/>
      <c r="H604" s="790"/>
      <c r="I604" s="791"/>
      <c r="J604" s="792"/>
      <c r="K604" s="792"/>
      <c r="L604" s="791"/>
      <c r="M604" s="793"/>
      <c r="N604" s="617"/>
      <c r="O604" s="794"/>
    </row>
    <row r="605">
      <c r="A605" s="280"/>
      <c r="B605" s="280"/>
      <c r="C605" s="280"/>
      <c r="D605" s="280"/>
      <c r="F605" s="789"/>
      <c r="G605" s="789"/>
      <c r="H605" s="790"/>
      <c r="I605" s="791"/>
      <c r="J605" s="792"/>
      <c r="K605" s="792"/>
      <c r="L605" s="791"/>
      <c r="M605" s="793"/>
      <c r="N605" s="617"/>
      <c r="O605" s="794"/>
    </row>
    <row r="606">
      <c r="A606" s="280"/>
      <c r="B606" s="280"/>
      <c r="C606" s="280"/>
      <c r="D606" s="280"/>
      <c r="F606" s="789"/>
      <c r="G606" s="789"/>
      <c r="H606" s="790"/>
      <c r="I606" s="791"/>
      <c r="J606" s="792"/>
      <c r="K606" s="792"/>
      <c r="L606" s="791"/>
      <c r="M606" s="793"/>
      <c r="N606" s="617"/>
      <c r="O606" s="794"/>
    </row>
    <row r="607">
      <c r="A607" s="280"/>
      <c r="B607" s="280"/>
      <c r="C607" s="280"/>
      <c r="D607" s="280"/>
      <c r="F607" s="789"/>
      <c r="G607" s="789"/>
      <c r="H607" s="790"/>
      <c r="I607" s="791"/>
      <c r="J607" s="792"/>
      <c r="K607" s="792"/>
      <c r="L607" s="791"/>
      <c r="M607" s="793"/>
      <c r="N607" s="617"/>
      <c r="O607" s="794"/>
    </row>
    <row r="608">
      <c r="A608" s="280"/>
      <c r="B608" s="280"/>
      <c r="C608" s="280"/>
      <c r="D608" s="280"/>
      <c r="F608" s="789"/>
      <c r="G608" s="789"/>
      <c r="H608" s="790"/>
      <c r="I608" s="791"/>
      <c r="J608" s="792"/>
      <c r="K608" s="792"/>
      <c r="L608" s="791"/>
      <c r="M608" s="793"/>
      <c r="N608" s="617"/>
      <c r="O608" s="794"/>
    </row>
    <row r="609">
      <c r="A609" s="280"/>
      <c r="B609" s="280"/>
      <c r="C609" s="280"/>
      <c r="D609" s="280"/>
      <c r="F609" s="789"/>
      <c r="G609" s="789"/>
      <c r="H609" s="790"/>
      <c r="I609" s="791"/>
      <c r="J609" s="792"/>
      <c r="K609" s="792"/>
      <c r="L609" s="791"/>
      <c r="M609" s="793"/>
      <c r="N609" s="617"/>
      <c r="O609" s="794"/>
    </row>
    <row r="610">
      <c r="A610" s="280"/>
      <c r="B610" s="280"/>
      <c r="C610" s="280"/>
      <c r="D610" s="280"/>
      <c r="F610" s="789"/>
      <c r="G610" s="789"/>
      <c r="H610" s="790"/>
      <c r="I610" s="791"/>
      <c r="J610" s="792"/>
      <c r="K610" s="792"/>
      <c r="L610" s="791"/>
      <c r="M610" s="793"/>
      <c r="N610" s="617"/>
      <c r="O610" s="794"/>
    </row>
    <row r="611">
      <c r="A611" s="280"/>
      <c r="B611" s="280"/>
      <c r="C611" s="280"/>
      <c r="D611" s="280"/>
      <c r="F611" s="789"/>
      <c r="G611" s="789"/>
      <c r="H611" s="790"/>
      <c r="I611" s="791"/>
      <c r="J611" s="792"/>
      <c r="K611" s="792"/>
      <c r="L611" s="791"/>
      <c r="M611" s="793"/>
      <c r="N611" s="617"/>
      <c r="O611" s="794"/>
    </row>
    <row r="612">
      <c r="A612" s="280"/>
      <c r="B612" s="280"/>
      <c r="C612" s="280"/>
      <c r="D612" s="280"/>
      <c r="F612" s="789"/>
      <c r="G612" s="789"/>
      <c r="H612" s="790"/>
      <c r="I612" s="791"/>
      <c r="J612" s="792"/>
      <c r="K612" s="792"/>
      <c r="L612" s="791"/>
      <c r="M612" s="793"/>
      <c r="N612" s="617"/>
      <c r="O612" s="794"/>
    </row>
    <row r="613">
      <c r="A613" s="280"/>
      <c r="B613" s="280"/>
      <c r="C613" s="280"/>
      <c r="D613" s="280"/>
      <c r="F613" s="789"/>
      <c r="G613" s="789"/>
      <c r="H613" s="790"/>
      <c r="I613" s="791"/>
      <c r="J613" s="792"/>
      <c r="K613" s="792"/>
      <c r="L613" s="791"/>
      <c r="M613" s="793"/>
      <c r="N613" s="617"/>
      <c r="O613" s="794"/>
    </row>
    <row r="614">
      <c r="A614" s="280"/>
      <c r="B614" s="280"/>
      <c r="C614" s="280"/>
      <c r="D614" s="280"/>
      <c r="F614" s="789"/>
      <c r="G614" s="789"/>
      <c r="H614" s="790"/>
      <c r="I614" s="791"/>
      <c r="J614" s="792"/>
      <c r="K614" s="792"/>
      <c r="L614" s="791"/>
      <c r="M614" s="793"/>
      <c r="N614" s="617"/>
      <c r="O614" s="794"/>
    </row>
    <row r="615">
      <c r="A615" s="280"/>
      <c r="B615" s="280"/>
      <c r="C615" s="280"/>
      <c r="D615" s="280"/>
      <c r="F615" s="789"/>
      <c r="G615" s="789"/>
      <c r="H615" s="790"/>
      <c r="I615" s="791"/>
      <c r="J615" s="792"/>
      <c r="K615" s="792"/>
      <c r="L615" s="791"/>
      <c r="M615" s="793"/>
      <c r="N615" s="617"/>
      <c r="O615" s="794"/>
    </row>
    <row r="616">
      <c r="A616" s="280"/>
      <c r="B616" s="280"/>
      <c r="C616" s="280"/>
      <c r="D616" s="280"/>
      <c r="F616" s="789"/>
      <c r="G616" s="789"/>
      <c r="H616" s="790"/>
      <c r="I616" s="791"/>
      <c r="J616" s="792"/>
      <c r="K616" s="792"/>
      <c r="L616" s="791"/>
      <c r="M616" s="793"/>
      <c r="N616" s="617"/>
      <c r="O616" s="794"/>
    </row>
    <row r="617">
      <c r="A617" s="280"/>
      <c r="B617" s="280"/>
      <c r="C617" s="280"/>
      <c r="D617" s="280"/>
      <c r="F617" s="789"/>
      <c r="G617" s="789"/>
      <c r="H617" s="790"/>
      <c r="I617" s="791"/>
      <c r="J617" s="792"/>
      <c r="K617" s="792"/>
      <c r="L617" s="791"/>
      <c r="M617" s="793"/>
      <c r="N617" s="617"/>
      <c r="O617" s="794"/>
    </row>
    <row r="618">
      <c r="A618" s="280"/>
      <c r="B618" s="280"/>
      <c r="C618" s="280"/>
      <c r="D618" s="280"/>
      <c r="F618" s="789"/>
      <c r="G618" s="789"/>
      <c r="H618" s="790"/>
      <c r="I618" s="791"/>
      <c r="J618" s="792"/>
      <c r="K618" s="792"/>
      <c r="L618" s="791"/>
      <c r="M618" s="793"/>
      <c r="N618" s="617"/>
      <c r="O618" s="794"/>
    </row>
    <row r="619">
      <c r="A619" s="280"/>
      <c r="B619" s="280"/>
      <c r="C619" s="280"/>
      <c r="D619" s="280"/>
      <c r="F619" s="789"/>
      <c r="G619" s="789"/>
      <c r="H619" s="790"/>
      <c r="I619" s="791"/>
      <c r="J619" s="792"/>
      <c r="K619" s="792"/>
      <c r="L619" s="791"/>
      <c r="M619" s="793"/>
      <c r="N619" s="617"/>
      <c r="O619" s="794"/>
    </row>
    <row r="620">
      <c r="A620" s="280"/>
      <c r="B620" s="280"/>
      <c r="C620" s="280"/>
      <c r="D620" s="280"/>
      <c r="F620" s="789"/>
      <c r="G620" s="789"/>
      <c r="H620" s="790"/>
      <c r="I620" s="791"/>
      <c r="J620" s="792"/>
      <c r="K620" s="792"/>
      <c r="L620" s="791"/>
      <c r="M620" s="793"/>
      <c r="N620" s="617"/>
      <c r="O620" s="794"/>
    </row>
    <row r="621">
      <c r="A621" s="280"/>
      <c r="B621" s="280"/>
      <c r="C621" s="280"/>
      <c r="D621" s="280"/>
      <c r="F621" s="789"/>
      <c r="G621" s="789"/>
      <c r="H621" s="790"/>
      <c r="I621" s="791"/>
      <c r="J621" s="792"/>
      <c r="K621" s="792"/>
      <c r="L621" s="791"/>
      <c r="M621" s="793"/>
      <c r="N621" s="617"/>
      <c r="O621" s="794"/>
    </row>
    <row r="622">
      <c r="A622" s="280"/>
      <c r="B622" s="280"/>
      <c r="C622" s="280"/>
      <c r="D622" s="280"/>
      <c r="F622" s="789"/>
      <c r="G622" s="789"/>
      <c r="H622" s="790"/>
      <c r="I622" s="791"/>
      <c r="J622" s="792"/>
      <c r="K622" s="792"/>
      <c r="L622" s="791"/>
      <c r="M622" s="793"/>
      <c r="N622" s="617"/>
      <c r="O622" s="794"/>
    </row>
    <row r="623">
      <c r="A623" s="280"/>
      <c r="B623" s="280"/>
      <c r="C623" s="280"/>
      <c r="D623" s="280"/>
      <c r="F623" s="789"/>
      <c r="G623" s="789"/>
      <c r="H623" s="790"/>
      <c r="I623" s="791"/>
      <c r="J623" s="792"/>
      <c r="K623" s="792"/>
      <c r="L623" s="791"/>
      <c r="M623" s="793"/>
      <c r="N623" s="617"/>
      <c r="O623" s="794"/>
    </row>
    <row r="624">
      <c r="A624" s="280"/>
      <c r="B624" s="280"/>
      <c r="C624" s="280"/>
      <c r="D624" s="280"/>
      <c r="F624" s="789"/>
      <c r="G624" s="789"/>
      <c r="H624" s="790"/>
      <c r="I624" s="791"/>
      <c r="J624" s="792"/>
      <c r="K624" s="792"/>
      <c r="L624" s="791"/>
      <c r="M624" s="793"/>
      <c r="N624" s="617"/>
      <c r="O624" s="794"/>
    </row>
    <row r="625">
      <c r="A625" s="280"/>
      <c r="B625" s="280"/>
      <c r="C625" s="280"/>
      <c r="D625" s="280"/>
      <c r="F625" s="789"/>
      <c r="G625" s="789"/>
      <c r="H625" s="790"/>
      <c r="I625" s="791"/>
      <c r="J625" s="792"/>
      <c r="K625" s="792"/>
      <c r="L625" s="791"/>
      <c r="M625" s="793"/>
      <c r="N625" s="617"/>
      <c r="O625" s="794"/>
    </row>
    <row r="626">
      <c r="A626" s="280"/>
      <c r="B626" s="280"/>
      <c r="C626" s="280"/>
      <c r="D626" s="280"/>
      <c r="F626" s="789"/>
      <c r="G626" s="789"/>
      <c r="H626" s="790"/>
      <c r="I626" s="791"/>
      <c r="J626" s="792"/>
      <c r="K626" s="792"/>
      <c r="L626" s="791"/>
      <c r="M626" s="793"/>
      <c r="N626" s="617"/>
      <c r="O626" s="794"/>
    </row>
    <row r="627">
      <c r="A627" s="280"/>
      <c r="B627" s="280"/>
      <c r="C627" s="280"/>
      <c r="D627" s="280"/>
      <c r="F627" s="789"/>
      <c r="G627" s="789"/>
      <c r="H627" s="790"/>
      <c r="I627" s="791"/>
      <c r="J627" s="792"/>
      <c r="K627" s="792"/>
      <c r="L627" s="791"/>
      <c r="M627" s="793"/>
      <c r="N627" s="617"/>
      <c r="O627" s="794"/>
    </row>
    <row r="628">
      <c r="A628" s="280"/>
      <c r="B628" s="280"/>
      <c r="C628" s="280"/>
      <c r="D628" s="280"/>
      <c r="F628" s="789"/>
      <c r="G628" s="789"/>
      <c r="H628" s="790"/>
      <c r="I628" s="791"/>
      <c r="J628" s="792"/>
      <c r="K628" s="792"/>
      <c r="L628" s="791"/>
      <c r="M628" s="793"/>
      <c r="N628" s="617"/>
      <c r="O628" s="794"/>
    </row>
    <row r="629">
      <c r="A629" s="280"/>
      <c r="B629" s="280"/>
      <c r="C629" s="280"/>
      <c r="D629" s="280"/>
      <c r="F629" s="789"/>
      <c r="G629" s="789"/>
      <c r="H629" s="790"/>
      <c r="I629" s="791"/>
      <c r="J629" s="792"/>
      <c r="K629" s="792"/>
      <c r="L629" s="791"/>
      <c r="M629" s="793"/>
      <c r="N629" s="617"/>
      <c r="O629" s="794"/>
    </row>
    <row r="630">
      <c r="A630" s="280"/>
      <c r="B630" s="280"/>
      <c r="C630" s="280"/>
      <c r="D630" s="280"/>
      <c r="F630" s="789"/>
      <c r="G630" s="789"/>
      <c r="H630" s="790"/>
      <c r="I630" s="791"/>
      <c r="J630" s="792"/>
      <c r="K630" s="792"/>
      <c r="L630" s="791"/>
      <c r="M630" s="793"/>
      <c r="N630" s="617"/>
      <c r="O630" s="794"/>
    </row>
    <row r="631">
      <c r="A631" s="280"/>
      <c r="B631" s="280"/>
      <c r="C631" s="280"/>
      <c r="D631" s="280"/>
      <c r="F631" s="789"/>
      <c r="G631" s="789"/>
      <c r="H631" s="790"/>
      <c r="I631" s="791"/>
      <c r="J631" s="792"/>
      <c r="K631" s="792"/>
      <c r="L631" s="791"/>
      <c r="M631" s="793"/>
      <c r="N631" s="617"/>
      <c r="O631" s="794"/>
    </row>
    <row r="632">
      <c r="A632" s="280"/>
      <c r="B632" s="280"/>
      <c r="C632" s="280"/>
      <c r="D632" s="280"/>
      <c r="F632" s="789"/>
      <c r="G632" s="789"/>
      <c r="H632" s="790"/>
      <c r="I632" s="791"/>
      <c r="J632" s="792"/>
      <c r="K632" s="792"/>
      <c r="L632" s="791"/>
      <c r="M632" s="793"/>
      <c r="N632" s="617"/>
      <c r="O632" s="794"/>
    </row>
    <row r="633">
      <c r="A633" s="280"/>
      <c r="B633" s="280"/>
      <c r="C633" s="280"/>
      <c r="D633" s="280"/>
      <c r="F633" s="789"/>
      <c r="G633" s="789"/>
      <c r="H633" s="790"/>
      <c r="I633" s="791"/>
      <c r="J633" s="792"/>
      <c r="K633" s="792"/>
      <c r="L633" s="791"/>
      <c r="M633" s="793"/>
      <c r="N633" s="617"/>
      <c r="O633" s="794"/>
    </row>
    <row r="634">
      <c r="A634" s="280"/>
      <c r="B634" s="280"/>
      <c r="C634" s="280"/>
      <c r="D634" s="280"/>
      <c r="F634" s="789"/>
      <c r="G634" s="789"/>
      <c r="H634" s="790"/>
      <c r="I634" s="791"/>
      <c r="J634" s="792"/>
      <c r="K634" s="792"/>
      <c r="L634" s="791"/>
      <c r="M634" s="793"/>
      <c r="N634" s="617"/>
      <c r="O634" s="794"/>
    </row>
    <row r="635">
      <c r="A635" s="280"/>
      <c r="B635" s="280"/>
      <c r="C635" s="280"/>
      <c r="D635" s="280"/>
      <c r="F635" s="789"/>
      <c r="G635" s="789"/>
      <c r="H635" s="790"/>
      <c r="I635" s="791"/>
      <c r="J635" s="792"/>
      <c r="K635" s="792"/>
      <c r="L635" s="791"/>
      <c r="M635" s="793"/>
      <c r="N635" s="617"/>
      <c r="O635" s="794"/>
    </row>
    <row r="636">
      <c r="A636" s="280"/>
      <c r="B636" s="280"/>
      <c r="C636" s="280"/>
      <c r="D636" s="280"/>
      <c r="F636" s="789"/>
      <c r="G636" s="789"/>
      <c r="H636" s="790"/>
      <c r="I636" s="791"/>
      <c r="J636" s="792"/>
      <c r="K636" s="792"/>
      <c r="L636" s="791"/>
      <c r="M636" s="793"/>
      <c r="N636" s="617"/>
      <c r="O636" s="794"/>
    </row>
    <row r="637">
      <c r="A637" s="280"/>
      <c r="B637" s="280"/>
      <c r="C637" s="280"/>
      <c r="D637" s="280"/>
      <c r="F637" s="789"/>
      <c r="G637" s="789"/>
      <c r="H637" s="790"/>
      <c r="I637" s="791"/>
      <c r="J637" s="792"/>
      <c r="K637" s="792"/>
      <c r="L637" s="791"/>
      <c r="M637" s="793"/>
      <c r="N637" s="617"/>
      <c r="O637" s="794"/>
    </row>
    <row r="638">
      <c r="A638" s="280"/>
      <c r="B638" s="280"/>
      <c r="C638" s="280"/>
      <c r="D638" s="280"/>
      <c r="F638" s="789"/>
      <c r="G638" s="789"/>
      <c r="H638" s="790"/>
      <c r="I638" s="791"/>
      <c r="J638" s="792"/>
      <c r="K638" s="792"/>
      <c r="L638" s="791"/>
      <c r="M638" s="793"/>
      <c r="N638" s="617"/>
      <c r="O638" s="794"/>
    </row>
    <row r="639">
      <c r="A639" s="280"/>
      <c r="B639" s="280"/>
      <c r="C639" s="280"/>
      <c r="D639" s="280"/>
      <c r="F639" s="789"/>
      <c r="G639" s="789"/>
      <c r="H639" s="790"/>
      <c r="I639" s="791"/>
      <c r="J639" s="792"/>
      <c r="K639" s="792"/>
      <c r="L639" s="791"/>
      <c r="M639" s="793"/>
      <c r="N639" s="617"/>
      <c r="O639" s="794"/>
    </row>
    <row r="640">
      <c r="A640" s="280"/>
      <c r="B640" s="280"/>
      <c r="C640" s="280"/>
      <c r="D640" s="280"/>
      <c r="F640" s="789"/>
      <c r="G640" s="789"/>
      <c r="H640" s="790"/>
      <c r="I640" s="791"/>
      <c r="J640" s="792"/>
      <c r="K640" s="792"/>
      <c r="L640" s="791"/>
      <c r="M640" s="793"/>
      <c r="N640" s="617"/>
      <c r="O640" s="794"/>
    </row>
    <row r="641">
      <c r="A641" s="280"/>
      <c r="B641" s="280"/>
      <c r="C641" s="280"/>
      <c r="D641" s="280"/>
      <c r="F641" s="789"/>
      <c r="G641" s="789"/>
      <c r="H641" s="790"/>
      <c r="I641" s="791"/>
      <c r="J641" s="792"/>
      <c r="K641" s="792"/>
      <c r="L641" s="791"/>
      <c r="M641" s="793"/>
      <c r="N641" s="617"/>
      <c r="O641" s="794"/>
    </row>
    <row r="642">
      <c r="A642" s="280"/>
      <c r="B642" s="280"/>
      <c r="C642" s="280"/>
      <c r="D642" s="280"/>
      <c r="F642" s="789"/>
      <c r="G642" s="789"/>
      <c r="H642" s="790"/>
      <c r="I642" s="791"/>
      <c r="J642" s="792"/>
      <c r="K642" s="792"/>
      <c r="L642" s="791"/>
      <c r="M642" s="793"/>
      <c r="N642" s="617"/>
      <c r="O642" s="794"/>
    </row>
    <row r="643">
      <c r="A643" s="280"/>
      <c r="B643" s="280"/>
      <c r="C643" s="280"/>
      <c r="D643" s="280"/>
      <c r="F643" s="789"/>
      <c r="G643" s="789"/>
      <c r="H643" s="790"/>
      <c r="I643" s="791"/>
      <c r="J643" s="792"/>
      <c r="K643" s="792"/>
      <c r="L643" s="791"/>
      <c r="M643" s="793"/>
      <c r="N643" s="617"/>
      <c r="O643" s="794"/>
    </row>
    <row r="644">
      <c r="A644" s="280"/>
      <c r="B644" s="280"/>
      <c r="C644" s="280"/>
      <c r="D644" s="280"/>
      <c r="F644" s="789"/>
      <c r="G644" s="789"/>
      <c r="H644" s="790"/>
      <c r="I644" s="791"/>
      <c r="J644" s="792"/>
      <c r="K644" s="792"/>
      <c r="L644" s="791"/>
      <c r="M644" s="793"/>
      <c r="N644" s="617"/>
      <c r="O644" s="794"/>
    </row>
    <row r="645">
      <c r="A645" s="280"/>
      <c r="B645" s="280"/>
      <c r="C645" s="280"/>
      <c r="D645" s="280"/>
      <c r="F645" s="789"/>
      <c r="G645" s="789"/>
      <c r="H645" s="790"/>
      <c r="I645" s="791"/>
      <c r="J645" s="792"/>
      <c r="K645" s="792"/>
      <c r="L645" s="791"/>
      <c r="M645" s="793"/>
      <c r="N645" s="617"/>
      <c r="O645" s="794"/>
    </row>
    <row r="646">
      <c r="A646" s="280"/>
      <c r="B646" s="280"/>
      <c r="C646" s="280"/>
      <c r="D646" s="280"/>
      <c r="F646" s="789"/>
      <c r="G646" s="789"/>
      <c r="H646" s="790"/>
      <c r="I646" s="791"/>
      <c r="J646" s="792"/>
      <c r="K646" s="792"/>
      <c r="L646" s="791"/>
      <c r="M646" s="793"/>
      <c r="N646" s="617"/>
      <c r="O646" s="794"/>
    </row>
    <row r="647">
      <c r="A647" s="280"/>
      <c r="B647" s="280"/>
      <c r="C647" s="280"/>
      <c r="D647" s="280"/>
      <c r="F647" s="789"/>
      <c r="G647" s="789"/>
      <c r="H647" s="790"/>
      <c r="I647" s="791"/>
      <c r="J647" s="792"/>
      <c r="K647" s="792"/>
      <c r="L647" s="791"/>
      <c r="M647" s="793"/>
      <c r="N647" s="617"/>
      <c r="O647" s="794"/>
    </row>
    <row r="648">
      <c r="A648" s="280"/>
      <c r="B648" s="280"/>
      <c r="C648" s="280"/>
      <c r="D648" s="280"/>
      <c r="F648" s="789"/>
      <c r="G648" s="789"/>
      <c r="H648" s="790"/>
      <c r="I648" s="791"/>
      <c r="J648" s="792"/>
      <c r="K648" s="792"/>
      <c r="L648" s="791"/>
      <c r="M648" s="793"/>
      <c r="N648" s="617"/>
      <c r="O648" s="794"/>
    </row>
    <row r="649">
      <c r="A649" s="280"/>
      <c r="B649" s="280"/>
      <c r="C649" s="280"/>
      <c r="D649" s="280"/>
      <c r="F649" s="789"/>
      <c r="G649" s="789"/>
      <c r="H649" s="790"/>
      <c r="I649" s="791"/>
      <c r="J649" s="792"/>
      <c r="K649" s="792"/>
      <c r="L649" s="791"/>
      <c r="M649" s="793"/>
      <c r="N649" s="617"/>
      <c r="O649" s="794"/>
    </row>
    <row r="650">
      <c r="A650" s="280"/>
      <c r="B650" s="280"/>
      <c r="C650" s="280"/>
      <c r="D650" s="280"/>
      <c r="F650" s="789"/>
      <c r="G650" s="789"/>
      <c r="H650" s="790"/>
      <c r="I650" s="791"/>
      <c r="J650" s="792"/>
      <c r="K650" s="792"/>
      <c r="L650" s="791"/>
      <c r="M650" s="793"/>
      <c r="N650" s="617"/>
      <c r="O650" s="794"/>
    </row>
    <row r="651">
      <c r="A651" s="280"/>
      <c r="B651" s="280"/>
      <c r="C651" s="280"/>
      <c r="D651" s="280"/>
      <c r="F651" s="789"/>
      <c r="G651" s="789"/>
      <c r="H651" s="790"/>
      <c r="I651" s="791"/>
      <c r="J651" s="792"/>
      <c r="K651" s="792"/>
      <c r="L651" s="791"/>
      <c r="M651" s="793"/>
      <c r="N651" s="617"/>
      <c r="O651" s="794"/>
    </row>
    <row r="652">
      <c r="A652" s="280"/>
      <c r="B652" s="280"/>
      <c r="C652" s="280"/>
      <c r="D652" s="280"/>
      <c r="F652" s="789"/>
      <c r="G652" s="789"/>
      <c r="H652" s="790"/>
      <c r="I652" s="791"/>
      <c r="J652" s="792"/>
      <c r="K652" s="792"/>
      <c r="L652" s="791"/>
      <c r="M652" s="793"/>
      <c r="N652" s="617"/>
      <c r="O652" s="794"/>
    </row>
    <row r="653">
      <c r="A653" s="280"/>
      <c r="B653" s="280"/>
      <c r="C653" s="280"/>
      <c r="D653" s="280"/>
      <c r="F653" s="789"/>
      <c r="G653" s="789"/>
      <c r="H653" s="790"/>
      <c r="I653" s="791"/>
      <c r="J653" s="792"/>
      <c r="K653" s="792"/>
      <c r="L653" s="791"/>
      <c r="M653" s="793"/>
      <c r="N653" s="617"/>
      <c r="O653" s="794"/>
    </row>
    <row r="654">
      <c r="A654" s="280"/>
      <c r="B654" s="280"/>
      <c r="C654" s="280"/>
      <c r="D654" s="280"/>
      <c r="F654" s="789"/>
      <c r="G654" s="789"/>
      <c r="H654" s="790"/>
      <c r="I654" s="791"/>
      <c r="J654" s="792"/>
      <c r="K654" s="792"/>
      <c r="L654" s="791"/>
      <c r="M654" s="793"/>
      <c r="N654" s="617"/>
      <c r="O654" s="794"/>
    </row>
    <row r="655">
      <c r="A655" s="280"/>
      <c r="B655" s="280"/>
      <c r="C655" s="280"/>
      <c r="D655" s="280"/>
      <c r="F655" s="789"/>
      <c r="G655" s="789"/>
      <c r="H655" s="790"/>
      <c r="I655" s="791"/>
      <c r="J655" s="792"/>
      <c r="K655" s="792"/>
      <c r="L655" s="791"/>
      <c r="M655" s="793"/>
      <c r="N655" s="617"/>
      <c r="O655" s="794"/>
    </row>
    <row r="656">
      <c r="A656" s="280"/>
      <c r="B656" s="280"/>
      <c r="C656" s="280"/>
      <c r="D656" s="280"/>
      <c r="F656" s="789"/>
      <c r="G656" s="789"/>
      <c r="H656" s="790"/>
      <c r="I656" s="791"/>
      <c r="J656" s="792"/>
      <c r="K656" s="792"/>
      <c r="L656" s="791"/>
      <c r="M656" s="793"/>
      <c r="N656" s="617"/>
      <c r="O656" s="794"/>
    </row>
    <row r="657">
      <c r="A657" s="280"/>
      <c r="B657" s="280"/>
      <c r="C657" s="280"/>
      <c r="D657" s="280"/>
      <c r="F657" s="789"/>
      <c r="G657" s="789"/>
      <c r="H657" s="790"/>
      <c r="I657" s="791"/>
      <c r="J657" s="792"/>
      <c r="K657" s="792"/>
      <c r="L657" s="791"/>
      <c r="M657" s="793"/>
      <c r="N657" s="617"/>
      <c r="O657" s="794"/>
    </row>
    <row r="658">
      <c r="A658" s="280"/>
      <c r="B658" s="280"/>
      <c r="C658" s="280"/>
      <c r="D658" s="280"/>
      <c r="F658" s="789"/>
      <c r="G658" s="789"/>
      <c r="H658" s="790"/>
      <c r="I658" s="791"/>
      <c r="J658" s="792"/>
      <c r="K658" s="792"/>
      <c r="L658" s="791"/>
      <c r="M658" s="793"/>
      <c r="N658" s="617"/>
      <c r="O658" s="794"/>
    </row>
    <row r="659">
      <c r="A659" s="280"/>
      <c r="B659" s="280"/>
      <c r="C659" s="280"/>
      <c r="D659" s="280"/>
      <c r="F659" s="789"/>
      <c r="G659" s="789"/>
      <c r="H659" s="790"/>
      <c r="I659" s="791"/>
      <c r="J659" s="792"/>
      <c r="K659" s="792"/>
      <c r="L659" s="791"/>
      <c r="M659" s="793"/>
      <c r="N659" s="617"/>
      <c r="O659" s="794"/>
    </row>
    <row r="660">
      <c r="A660" s="280"/>
      <c r="B660" s="280"/>
      <c r="C660" s="280"/>
      <c r="D660" s="280"/>
      <c r="F660" s="789"/>
      <c r="G660" s="789"/>
      <c r="H660" s="790"/>
      <c r="I660" s="791"/>
      <c r="J660" s="792"/>
      <c r="K660" s="792"/>
      <c r="L660" s="791"/>
      <c r="M660" s="793"/>
      <c r="N660" s="617"/>
      <c r="O660" s="794"/>
    </row>
    <row r="661">
      <c r="A661" s="280"/>
      <c r="B661" s="280"/>
      <c r="C661" s="280"/>
      <c r="D661" s="280"/>
      <c r="F661" s="789"/>
      <c r="G661" s="789"/>
      <c r="H661" s="790"/>
      <c r="I661" s="791"/>
      <c r="J661" s="792"/>
      <c r="K661" s="792"/>
      <c r="L661" s="791"/>
      <c r="M661" s="793"/>
      <c r="N661" s="617"/>
      <c r="O661" s="794"/>
    </row>
    <row r="662">
      <c r="A662" s="280"/>
      <c r="B662" s="280"/>
      <c r="C662" s="280"/>
      <c r="D662" s="280"/>
      <c r="F662" s="789"/>
      <c r="G662" s="789"/>
      <c r="H662" s="790"/>
      <c r="I662" s="791"/>
      <c r="J662" s="792"/>
      <c r="K662" s="792"/>
      <c r="L662" s="791"/>
      <c r="M662" s="793"/>
      <c r="N662" s="617"/>
      <c r="O662" s="794"/>
    </row>
    <row r="663">
      <c r="A663" s="280"/>
      <c r="B663" s="280"/>
      <c r="C663" s="280"/>
      <c r="D663" s="280"/>
      <c r="F663" s="789"/>
      <c r="G663" s="789"/>
      <c r="H663" s="790"/>
      <c r="I663" s="791"/>
      <c r="J663" s="792"/>
      <c r="K663" s="792"/>
      <c r="L663" s="791"/>
      <c r="M663" s="793"/>
      <c r="N663" s="617"/>
      <c r="O663" s="794"/>
    </row>
    <row r="664">
      <c r="A664" s="280"/>
      <c r="B664" s="280"/>
      <c r="C664" s="280"/>
      <c r="D664" s="280"/>
      <c r="F664" s="789"/>
      <c r="G664" s="789"/>
      <c r="H664" s="790"/>
      <c r="I664" s="791"/>
      <c r="J664" s="792"/>
      <c r="K664" s="792"/>
      <c r="L664" s="791"/>
      <c r="M664" s="793"/>
      <c r="N664" s="617"/>
      <c r="O664" s="794"/>
    </row>
    <row r="665">
      <c r="A665" s="280"/>
      <c r="B665" s="280"/>
      <c r="C665" s="280"/>
      <c r="D665" s="280"/>
      <c r="F665" s="789"/>
      <c r="G665" s="789"/>
      <c r="H665" s="790"/>
      <c r="I665" s="791"/>
      <c r="J665" s="792"/>
      <c r="K665" s="792"/>
      <c r="L665" s="791"/>
      <c r="M665" s="793"/>
      <c r="N665" s="617"/>
      <c r="O665" s="794"/>
    </row>
    <row r="666">
      <c r="A666" s="280"/>
      <c r="B666" s="280"/>
      <c r="C666" s="280"/>
      <c r="D666" s="280"/>
      <c r="F666" s="789"/>
      <c r="G666" s="789"/>
      <c r="H666" s="790"/>
      <c r="I666" s="791"/>
      <c r="J666" s="792"/>
      <c r="K666" s="792"/>
      <c r="L666" s="791"/>
      <c r="M666" s="793"/>
      <c r="N666" s="617"/>
      <c r="O666" s="794"/>
    </row>
    <row r="667">
      <c r="A667" s="280"/>
      <c r="B667" s="280"/>
      <c r="C667" s="280"/>
      <c r="D667" s="280"/>
      <c r="F667" s="789"/>
      <c r="G667" s="789"/>
      <c r="H667" s="790"/>
      <c r="I667" s="791"/>
      <c r="J667" s="792"/>
      <c r="K667" s="792"/>
      <c r="L667" s="791"/>
      <c r="M667" s="793"/>
      <c r="N667" s="617"/>
      <c r="O667" s="794"/>
    </row>
    <row r="668">
      <c r="A668" s="280"/>
      <c r="B668" s="280"/>
      <c r="C668" s="280"/>
      <c r="D668" s="280"/>
      <c r="F668" s="789"/>
      <c r="G668" s="789"/>
      <c r="H668" s="790"/>
      <c r="I668" s="791"/>
      <c r="J668" s="792"/>
      <c r="K668" s="792"/>
      <c r="L668" s="791"/>
      <c r="M668" s="793"/>
      <c r="N668" s="617"/>
      <c r="O668" s="794"/>
    </row>
    <row r="669">
      <c r="A669" s="280"/>
      <c r="B669" s="280"/>
      <c r="C669" s="280"/>
      <c r="D669" s="280"/>
      <c r="F669" s="789"/>
      <c r="G669" s="789"/>
      <c r="H669" s="790"/>
      <c r="I669" s="791"/>
      <c r="J669" s="792"/>
      <c r="K669" s="792"/>
      <c r="L669" s="791"/>
      <c r="M669" s="793"/>
      <c r="N669" s="617"/>
      <c r="O669" s="794"/>
    </row>
    <row r="670">
      <c r="A670" s="280"/>
      <c r="B670" s="280"/>
      <c r="C670" s="280"/>
      <c r="D670" s="280"/>
      <c r="F670" s="789"/>
      <c r="G670" s="789"/>
      <c r="H670" s="790"/>
      <c r="I670" s="791"/>
      <c r="J670" s="792"/>
      <c r="K670" s="792"/>
      <c r="L670" s="791"/>
      <c r="M670" s="793"/>
      <c r="N670" s="617"/>
      <c r="O670" s="794"/>
    </row>
    <row r="671">
      <c r="A671" s="280"/>
      <c r="B671" s="280"/>
      <c r="C671" s="280"/>
      <c r="D671" s="280"/>
      <c r="F671" s="789"/>
      <c r="G671" s="789"/>
      <c r="H671" s="790"/>
      <c r="I671" s="791"/>
      <c r="J671" s="792"/>
      <c r="K671" s="792"/>
      <c r="L671" s="791"/>
      <c r="M671" s="793"/>
      <c r="N671" s="617"/>
      <c r="O671" s="794"/>
    </row>
    <row r="672">
      <c r="A672" s="280"/>
      <c r="B672" s="280"/>
      <c r="C672" s="280"/>
      <c r="D672" s="280"/>
      <c r="F672" s="789"/>
      <c r="G672" s="789"/>
      <c r="H672" s="790"/>
      <c r="I672" s="791"/>
      <c r="J672" s="792"/>
      <c r="K672" s="792"/>
      <c r="L672" s="791"/>
      <c r="M672" s="793"/>
      <c r="N672" s="617"/>
      <c r="O672" s="794"/>
    </row>
    <row r="673">
      <c r="A673" s="280"/>
      <c r="B673" s="280"/>
      <c r="C673" s="280"/>
      <c r="D673" s="280"/>
      <c r="F673" s="789"/>
      <c r="G673" s="789"/>
      <c r="H673" s="790"/>
      <c r="I673" s="791"/>
      <c r="J673" s="792"/>
      <c r="K673" s="792"/>
      <c r="L673" s="791"/>
      <c r="M673" s="793"/>
      <c r="N673" s="617"/>
      <c r="O673" s="794"/>
    </row>
    <row r="674">
      <c r="A674" s="280"/>
      <c r="B674" s="280"/>
      <c r="C674" s="280"/>
      <c r="D674" s="280"/>
      <c r="F674" s="789"/>
      <c r="G674" s="789"/>
      <c r="H674" s="790"/>
      <c r="I674" s="791"/>
      <c r="J674" s="792"/>
      <c r="K674" s="792"/>
      <c r="L674" s="791"/>
      <c r="M674" s="793"/>
      <c r="N674" s="617"/>
      <c r="O674" s="794"/>
    </row>
    <row r="675">
      <c r="A675" s="280"/>
      <c r="B675" s="280"/>
      <c r="C675" s="280"/>
      <c r="D675" s="280"/>
      <c r="F675" s="789"/>
      <c r="G675" s="789"/>
      <c r="H675" s="790"/>
      <c r="I675" s="791"/>
      <c r="J675" s="792"/>
      <c r="K675" s="792"/>
      <c r="L675" s="791"/>
      <c r="M675" s="793"/>
      <c r="N675" s="617"/>
      <c r="O675" s="794"/>
    </row>
    <row r="676">
      <c r="A676" s="280"/>
      <c r="B676" s="280"/>
      <c r="C676" s="280"/>
      <c r="D676" s="280"/>
      <c r="F676" s="789"/>
      <c r="G676" s="789"/>
      <c r="H676" s="790"/>
      <c r="I676" s="791"/>
      <c r="J676" s="792"/>
      <c r="K676" s="792"/>
      <c r="L676" s="791"/>
      <c r="M676" s="793"/>
      <c r="N676" s="617"/>
      <c r="O676" s="794"/>
    </row>
    <row r="677">
      <c r="A677" s="280"/>
      <c r="B677" s="280"/>
      <c r="C677" s="280"/>
      <c r="D677" s="280"/>
      <c r="F677" s="789"/>
      <c r="G677" s="789"/>
      <c r="H677" s="790"/>
      <c r="I677" s="791"/>
      <c r="J677" s="792"/>
      <c r="K677" s="792"/>
      <c r="L677" s="791"/>
      <c r="M677" s="793"/>
      <c r="N677" s="617"/>
      <c r="O677" s="794"/>
    </row>
    <row r="678">
      <c r="A678" s="280"/>
      <c r="B678" s="280"/>
      <c r="C678" s="280"/>
      <c r="D678" s="280"/>
      <c r="F678" s="789"/>
      <c r="G678" s="789"/>
      <c r="H678" s="790"/>
      <c r="I678" s="791"/>
      <c r="J678" s="792"/>
      <c r="K678" s="792"/>
      <c r="L678" s="791"/>
      <c r="M678" s="793"/>
      <c r="N678" s="617"/>
      <c r="O678" s="794"/>
    </row>
    <row r="679">
      <c r="A679" s="280"/>
      <c r="B679" s="280"/>
      <c r="C679" s="280"/>
      <c r="D679" s="280"/>
      <c r="F679" s="789"/>
      <c r="G679" s="789"/>
      <c r="H679" s="790"/>
      <c r="I679" s="791"/>
      <c r="J679" s="792"/>
      <c r="K679" s="792"/>
      <c r="L679" s="791"/>
      <c r="M679" s="793"/>
      <c r="N679" s="617"/>
      <c r="O679" s="794"/>
    </row>
    <row r="680">
      <c r="A680" s="280"/>
      <c r="B680" s="280"/>
      <c r="C680" s="280"/>
      <c r="D680" s="280"/>
      <c r="F680" s="789"/>
      <c r="G680" s="789"/>
      <c r="H680" s="790"/>
      <c r="I680" s="791"/>
      <c r="J680" s="792"/>
      <c r="K680" s="792"/>
      <c r="L680" s="791"/>
      <c r="M680" s="793"/>
      <c r="N680" s="617"/>
      <c r="O680" s="794"/>
    </row>
    <row r="681">
      <c r="A681" s="280"/>
      <c r="B681" s="280"/>
      <c r="C681" s="280"/>
      <c r="D681" s="280"/>
      <c r="F681" s="789"/>
      <c r="G681" s="789"/>
      <c r="H681" s="790"/>
      <c r="I681" s="791"/>
      <c r="J681" s="792"/>
      <c r="K681" s="792"/>
      <c r="L681" s="791"/>
      <c r="M681" s="793"/>
      <c r="N681" s="617"/>
      <c r="O681" s="794"/>
    </row>
    <row r="682">
      <c r="A682" s="280"/>
      <c r="B682" s="280"/>
      <c r="C682" s="280"/>
      <c r="D682" s="280"/>
      <c r="F682" s="789"/>
      <c r="G682" s="789"/>
      <c r="H682" s="790"/>
      <c r="I682" s="791"/>
      <c r="J682" s="792"/>
      <c r="K682" s="792"/>
      <c r="L682" s="791"/>
      <c r="M682" s="793"/>
      <c r="N682" s="617"/>
      <c r="O682" s="794"/>
    </row>
    <row r="683">
      <c r="A683" s="280"/>
      <c r="B683" s="280"/>
      <c r="C683" s="280"/>
      <c r="D683" s="280"/>
      <c r="F683" s="789"/>
      <c r="G683" s="789"/>
      <c r="H683" s="790"/>
      <c r="I683" s="791"/>
      <c r="J683" s="792"/>
      <c r="K683" s="792"/>
      <c r="L683" s="791"/>
      <c r="M683" s="793"/>
      <c r="N683" s="617"/>
      <c r="O683" s="794"/>
    </row>
    <row r="684">
      <c r="A684" s="280"/>
      <c r="B684" s="280"/>
      <c r="C684" s="280"/>
      <c r="D684" s="280"/>
      <c r="F684" s="789"/>
      <c r="G684" s="789"/>
      <c r="H684" s="790"/>
      <c r="I684" s="791"/>
      <c r="J684" s="792"/>
      <c r="K684" s="792"/>
      <c r="L684" s="791"/>
      <c r="M684" s="793"/>
      <c r="N684" s="617"/>
      <c r="O684" s="794"/>
    </row>
    <row r="685">
      <c r="A685" s="280"/>
      <c r="B685" s="280"/>
      <c r="C685" s="280"/>
      <c r="D685" s="280"/>
      <c r="F685" s="789"/>
      <c r="G685" s="789"/>
      <c r="H685" s="790"/>
      <c r="I685" s="791"/>
      <c r="J685" s="792"/>
      <c r="K685" s="792"/>
      <c r="L685" s="791"/>
      <c r="M685" s="793"/>
      <c r="N685" s="617"/>
      <c r="O685" s="794"/>
    </row>
    <row r="686">
      <c r="A686" s="280"/>
      <c r="B686" s="280"/>
      <c r="C686" s="280"/>
      <c r="D686" s="280"/>
      <c r="F686" s="789"/>
      <c r="G686" s="789"/>
      <c r="H686" s="790"/>
      <c r="I686" s="791"/>
      <c r="J686" s="792"/>
      <c r="K686" s="792"/>
      <c r="L686" s="791"/>
      <c r="M686" s="793"/>
      <c r="N686" s="617"/>
      <c r="O686" s="794"/>
    </row>
    <row r="687">
      <c r="A687" s="280"/>
      <c r="B687" s="280"/>
      <c r="C687" s="280"/>
      <c r="D687" s="280"/>
      <c r="F687" s="789"/>
      <c r="G687" s="789"/>
      <c r="H687" s="790"/>
      <c r="I687" s="791"/>
      <c r="J687" s="792"/>
      <c r="K687" s="792"/>
      <c r="L687" s="791"/>
      <c r="M687" s="793"/>
      <c r="N687" s="617"/>
      <c r="O687" s="794"/>
    </row>
    <row r="688">
      <c r="A688" s="280"/>
      <c r="B688" s="280"/>
      <c r="C688" s="280"/>
      <c r="D688" s="280"/>
      <c r="F688" s="789"/>
      <c r="G688" s="789"/>
      <c r="H688" s="790"/>
      <c r="I688" s="791"/>
      <c r="J688" s="792"/>
      <c r="K688" s="792"/>
      <c r="L688" s="791"/>
      <c r="M688" s="793"/>
      <c r="N688" s="617"/>
      <c r="O688" s="794"/>
    </row>
    <row r="689">
      <c r="A689" s="280"/>
      <c r="B689" s="280"/>
      <c r="C689" s="280"/>
      <c r="D689" s="280"/>
      <c r="F689" s="789"/>
      <c r="G689" s="789"/>
      <c r="H689" s="790"/>
      <c r="I689" s="791"/>
      <c r="J689" s="792"/>
      <c r="K689" s="792"/>
      <c r="L689" s="791"/>
      <c r="M689" s="793"/>
      <c r="N689" s="617"/>
      <c r="O689" s="794"/>
    </row>
    <row r="690">
      <c r="A690" s="280"/>
      <c r="B690" s="280"/>
      <c r="C690" s="280"/>
      <c r="D690" s="280"/>
      <c r="F690" s="789"/>
      <c r="G690" s="789"/>
      <c r="H690" s="790"/>
      <c r="I690" s="791"/>
      <c r="J690" s="792"/>
      <c r="K690" s="792"/>
      <c r="L690" s="791"/>
      <c r="M690" s="793"/>
      <c r="N690" s="617"/>
      <c r="O690" s="794"/>
    </row>
    <row r="691">
      <c r="A691" s="280"/>
      <c r="B691" s="280"/>
      <c r="C691" s="280"/>
      <c r="D691" s="280"/>
      <c r="F691" s="789"/>
      <c r="G691" s="789"/>
      <c r="H691" s="790"/>
      <c r="I691" s="791"/>
      <c r="J691" s="792"/>
      <c r="K691" s="792"/>
      <c r="L691" s="791"/>
      <c r="M691" s="793"/>
      <c r="N691" s="617"/>
      <c r="O691" s="794"/>
    </row>
    <row r="692">
      <c r="A692" s="280"/>
      <c r="B692" s="280"/>
      <c r="C692" s="280"/>
      <c r="D692" s="280"/>
      <c r="F692" s="789"/>
      <c r="G692" s="789"/>
      <c r="H692" s="790"/>
      <c r="I692" s="791"/>
      <c r="J692" s="792"/>
      <c r="K692" s="792"/>
      <c r="L692" s="791"/>
      <c r="M692" s="793"/>
      <c r="N692" s="617"/>
      <c r="O692" s="794"/>
    </row>
    <row r="693">
      <c r="A693" s="280"/>
      <c r="B693" s="280"/>
      <c r="C693" s="280"/>
      <c r="D693" s="280"/>
      <c r="F693" s="789"/>
      <c r="G693" s="789"/>
      <c r="H693" s="790"/>
      <c r="I693" s="791"/>
      <c r="J693" s="792"/>
      <c r="K693" s="792"/>
      <c r="L693" s="791"/>
      <c r="M693" s="793"/>
      <c r="N693" s="617"/>
      <c r="O693" s="794"/>
    </row>
    <row r="694">
      <c r="A694" s="280"/>
      <c r="B694" s="280"/>
      <c r="C694" s="280"/>
      <c r="D694" s="280"/>
      <c r="F694" s="789"/>
      <c r="G694" s="789"/>
      <c r="H694" s="790"/>
      <c r="I694" s="791"/>
      <c r="J694" s="792"/>
      <c r="K694" s="792"/>
      <c r="L694" s="791"/>
      <c r="M694" s="793"/>
      <c r="N694" s="617"/>
      <c r="O694" s="794"/>
    </row>
    <row r="695">
      <c r="A695" s="280"/>
      <c r="B695" s="280"/>
      <c r="C695" s="280"/>
      <c r="D695" s="280"/>
      <c r="F695" s="789"/>
      <c r="G695" s="789"/>
      <c r="H695" s="790"/>
      <c r="I695" s="791"/>
      <c r="J695" s="792"/>
      <c r="K695" s="792"/>
      <c r="L695" s="791"/>
      <c r="M695" s="793"/>
      <c r="N695" s="617"/>
      <c r="O695" s="794"/>
    </row>
    <row r="696">
      <c r="A696" s="280"/>
      <c r="B696" s="280"/>
      <c r="C696" s="280"/>
      <c r="D696" s="280"/>
      <c r="F696" s="789"/>
      <c r="G696" s="789"/>
      <c r="H696" s="790"/>
      <c r="I696" s="791"/>
      <c r="J696" s="792"/>
      <c r="K696" s="792"/>
      <c r="L696" s="791"/>
      <c r="M696" s="793"/>
      <c r="N696" s="617"/>
      <c r="O696" s="794"/>
    </row>
    <row r="697">
      <c r="A697" s="280"/>
      <c r="B697" s="280"/>
      <c r="C697" s="280"/>
      <c r="D697" s="280"/>
      <c r="F697" s="789"/>
      <c r="G697" s="789"/>
      <c r="H697" s="790"/>
      <c r="I697" s="791"/>
      <c r="J697" s="792"/>
      <c r="K697" s="792"/>
      <c r="L697" s="791"/>
      <c r="M697" s="793"/>
      <c r="N697" s="617"/>
      <c r="O697" s="794"/>
    </row>
    <row r="698">
      <c r="A698" s="280"/>
      <c r="B698" s="280"/>
      <c r="C698" s="280"/>
      <c r="D698" s="280"/>
      <c r="F698" s="789"/>
      <c r="G698" s="789"/>
      <c r="H698" s="790"/>
      <c r="I698" s="791"/>
      <c r="J698" s="792"/>
      <c r="K698" s="792"/>
      <c r="L698" s="791"/>
      <c r="M698" s="793"/>
      <c r="N698" s="617"/>
      <c r="O698" s="794"/>
    </row>
    <row r="699">
      <c r="A699" s="280"/>
      <c r="B699" s="280"/>
      <c r="C699" s="280"/>
      <c r="D699" s="280"/>
      <c r="F699" s="789"/>
      <c r="G699" s="789"/>
      <c r="H699" s="790"/>
      <c r="I699" s="791"/>
      <c r="J699" s="792"/>
      <c r="K699" s="792"/>
      <c r="L699" s="791"/>
      <c r="M699" s="793"/>
      <c r="N699" s="617"/>
      <c r="O699" s="794"/>
    </row>
    <row r="700">
      <c r="A700" s="280"/>
      <c r="B700" s="280"/>
      <c r="C700" s="280"/>
      <c r="D700" s="280"/>
      <c r="F700" s="789"/>
      <c r="G700" s="789"/>
      <c r="H700" s="790"/>
      <c r="I700" s="791"/>
      <c r="J700" s="792"/>
      <c r="K700" s="792"/>
      <c r="L700" s="791"/>
      <c r="M700" s="793"/>
      <c r="N700" s="617"/>
      <c r="O700" s="794"/>
    </row>
    <row r="701">
      <c r="A701" s="280"/>
      <c r="B701" s="280"/>
      <c r="C701" s="280"/>
      <c r="D701" s="280"/>
      <c r="F701" s="789"/>
      <c r="G701" s="789"/>
      <c r="H701" s="790"/>
      <c r="I701" s="791"/>
      <c r="J701" s="792"/>
      <c r="K701" s="792"/>
      <c r="L701" s="791"/>
      <c r="M701" s="793"/>
      <c r="N701" s="617"/>
      <c r="O701" s="794"/>
    </row>
    <row r="702">
      <c r="A702" s="280"/>
      <c r="B702" s="280"/>
      <c r="C702" s="280"/>
      <c r="D702" s="280"/>
      <c r="F702" s="789"/>
      <c r="G702" s="789"/>
      <c r="H702" s="790"/>
      <c r="I702" s="791"/>
      <c r="J702" s="792"/>
      <c r="K702" s="792"/>
      <c r="L702" s="791"/>
      <c r="M702" s="793"/>
      <c r="N702" s="617"/>
      <c r="O702" s="794"/>
    </row>
    <row r="703">
      <c r="A703" s="280"/>
      <c r="B703" s="280"/>
      <c r="C703" s="280"/>
      <c r="D703" s="280"/>
      <c r="F703" s="789"/>
      <c r="G703" s="789"/>
      <c r="H703" s="790"/>
      <c r="I703" s="791"/>
      <c r="J703" s="792"/>
      <c r="K703" s="792"/>
      <c r="L703" s="791"/>
      <c r="M703" s="793"/>
      <c r="N703" s="617"/>
      <c r="O703" s="794"/>
    </row>
    <row r="704">
      <c r="A704" s="280"/>
      <c r="B704" s="280"/>
      <c r="C704" s="280"/>
      <c r="D704" s="280"/>
      <c r="F704" s="789"/>
      <c r="G704" s="789"/>
      <c r="H704" s="790"/>
      <c r="I704" s="791"/>
      <c r="J704" s="792"/>
      <c r="K704" s="792"/>
      <c r="L704" s="791"/>
      <c r="M704" s="793"/>
      <c r="N704" s="617"/>
      <c r="O704" s="794"/>
    </row>
    <row r="705">
      <c r="A705" s="280"/>
      <c r="B705" s="280"/>
      <c r="C705" s="280"/>
      <c r="D705" s="280"/>
      <c r="F705" s="789"/>
      <c r="G705" s="789"/>
      <c r="H705" s="790"/>
      <c r="I705" s="791"/>
      <c r="J705" s="792"/>
      <c r="K705" s="792"/>
      <c r="L705" s="791"/>
      <c r="M705" s="793"/>
      <c r="N705" s="617"/>
      <c r="O705" s="794"/>
    </row>
    <row r="706">
      <c r="A706" s="280"/>
      <c r="B706" s="280"/>
      <c r="C706" s="280"/>
      <c r="D706" s="280"/>
      <c r="F706" s="789"/>
      <c r="G706" s="789"/>
      <c r="H706" s="790"/>
      <c r="I706" s="791"/>
      <c r="J706" s="792"/>
      <c r="K706" s="792"/>
      <c r="L706" s="791"/>
      <c r="M706" s="793"/>
      <c r="N706" s="617"/>
      <c r="O706" s="794"/>
    </row>
    <row r="707">
      <c r="A707" s="280"/>
      <c r="B707" s="280"/>
      <c r="C707" s="280"/>
      <c r="D707" s="280"/>
      <c r="F707" s="789"/>
      <c r="G707" s="789"/>
      <c r="H707" s="790"/>
      <c r="I707" s="791"/>
      <c r="J707" s="792"/>
      <c r="K707" s="792"/>
      <c r="L707" s="791"/>
      <c r="M707" s="793"/>
      <c r="N707" s="617"/>
      <c r="O707" s="794"/>
    </row>
    <row r="708">
      <c r="A708" s="280"/>
      <c r="B708" s="280"/>
      <c r="C708" s="280"/>
      <c r="D708" s="280"/>
      <c r="F708" s="789"/>
      <c r="G708" s="789"/>
      <c r="H708" s="790"/>
      <c r="I708" s="791"/>
      <c r="J708" s="792"/>
      <c r="K708" s="792"/>
      <c r="L708" s="791"/>
      <c r="M708" s="793"/>
      <c r="N708" s="617"/>
      <c r="O708" s="794"/>
    </row>
    <row r="709">
      <c r="A709" s="280"/>
      <c r="B709" s="280"/>
      <c r="C709" s="280"/>
      <c r="D709" s="280"/>
      <c r="F709" s="789"/>
      <c r="G709" s="789"/>
      <c r="H709" s="790"/>
      <c r="I709" s="791"/>
      <c r="J709" s="792"/>
      <c r="K709" s="792"/>
      <c r="L709" s="791"/>
      <c r="M709" s="793"/>
      <c r="N709" s="617"/>
      <c r="O709" s="794"/>
    </row>
    <row r="710">
      <c r="A710" s="280"/>
      <c r="B710" s="280"/>
      <c r="C710" s="280"/>
      <c r="D710" s="280"/>
      <c r="F710" s="789"/>
      <c r="G710" s="789"/>
      <c r="H710" s="790"/>
      <c r="I710" s="791"/>
      <c r="J710" s="792"/>
      <c r="K710" s="792"/>
      <c r="L710" s="791"/>
      <c r="M710" s="793"/>
      <c r="N710" s="617"/>
      <c r="O710" s="794"/>
    </row>
    <row r="711">
      <c r="A711" s="280"/>
      <c r="B711" s="280"/>
      <c r="C711" s="280"/>
      <c r="D711" s="280"/>
      <c r="F711" s="789"/>
      <c r="G711" s="789"/>
      <c r="H711" s="790"/>
      <c r="I711" s="791"/>
      <c r="J711" s="792"/>
      <c r="K711" s="792"/>
      <c r="L711" s="791"/>
      <c r="M711" s="793"/>
      <c r="N711" s="617"/>
      <c r="O711" s="794"/>
    </row>
    <row r="712">
      <c r="A712" s="280"/>
      <c r="B712" s="280"/>
      <c r="C712" s="280"/>
      <c r="D712" s="280"/>
      <c r="F712" s="789"/>
      <c r="G712" s="789"/>
      <c r="H712" s="790"/>
      <c r="I712" s="791"/>
      <c r="J712" s="792"/>
      <c r="K712" s="792"/>
      <c r="L712" s="791"/>
      <c r="M712" s="793"/>
      <c r="N712" s="617"/>
      <c r="O712" s="794"/>
    </row>
    <row r="713">
      <c r="A713" s="280"/>
      <c r="B713" s="280"/>
      <c r="C713" s="280"/>
      <c r="D713" s="280"/>
      <c r="F713" s="789"/>
      <c r="G713" s="789"/>
      <c r="H713" s="790"/>
      <c r="I713" s="791"/>
      <c r="J713" s="792"/>
      <c r="K713" s="792"/>
      <c r="L713" s="791"/>
      <c r="M713" s="793"/>
      <c r="N713" s="617"/>
      <c r="O713" s="794"/>
    </row>
    <row r="714">
      <c r="A714" s="280"/>
      <c r="B714" s="280"/>
      <c r="C714" s="280"/>
      <c r="D714" s="280"/>
      <c r="F714" s="789"/>
      <c r="G714" s="789"/>
      <c r="H714" s="790"/>
      <c r="I714" s="791"/>
      <c r="J714" s="792"/>
      <c r="K714" s="792"/>
      <c r="L714" s="791"/>
      <c r="M714" s="793"/>
      <c r="N714" s="617"/>
      <c r="O714" s="794"/>
    </row>
    <row r="715">
      <c r="A715" s="280"/>
      <c r="B715" s="280"/>
      <c r="C715" s="280"/>
      <c r="D715" s="280"/>
      <c r="F715" s="789"/>
      <c r="G715" s="789"/>
      <c r="H715" s="790"/>
      <c r="I715" s="791"/>
      <c r="J715" s="792"/>
      <c r="K715" s="792"/>
      <c r="L715" s="791"/>
      <c r="M715" s="793"/>
      <c r="N715" s="617"/>
      <c r="O715" s="794"/>
    </row>
    <row r="716">
      <c r="A716" s="280"/>
      <c r="B716" s="280"/>
      <c r="C716" s="280"/>
      <c r="D716" s="280"/>
      <c r="F716" s="789"/>
      <c r="G716" s="789"/>
      <c r="H716" s="790"/>
      <c r="I716" s="791"/>
      <c r="J716" s="792"/>
      <c r="K716" s="792"/>
      <c r="L716" s="791"/>
      <c r="M716" s="793"/>
      <c r="N716" s="617"/>
      <c r="O716" s="794"/>
    </row>
    <row r="717">
      <c r="A717" s="280"/>
      <c r="B717" s="280"/>
      <c r="C717" s="280"/>
      <c r="D717" s="280"/>
      <c r="F717" s="789"/>
      <c r="G717" s="789"/>
      <c r="H717" s="790"/>
      <c r="I717" s="791"/>
      <c r="J717" s="792"/>
      <c r="K717" s="792"/>
      <c r="L717" s="791"/>
      <c r="M717" s="793"/>
      <c r="N717" s="617"/>
      <c r="O717" s="794"/>
    </row>
    <row r="718">
      <c r="A718" s="280"/>
      <c r="B718" s="280"/>
      <c r="C718" s="280"/>
      <c r="D718" s="280"/>
      <c r="F718" s="789"/>
      <c r="G718" s="789"/>
      <c r="H718" s="790"/>
      <c r="I718" s="791"/>
      <c r="J718" s="792"/>
      <c r="K718" s="792"/>
      <c r="L718" s="791"/>
      <c r="M718" s="793"/>
      <c r="N718" s="617"/>
      <c r="O718" s="794"/>
    </row>
    <row r="719">
      <c r="A719" s="280"/>
      <c r="B719" s="280"/>
      <c r="C719" s="280"/>
      <c r="D719" s="280"/>
      <c r="F719" s="789"/>
      <c r="G719" s="789"/>
      <c r="H719" s="790"/>
      <c r="I719" s="791"/>
      <c r="J719" s="792"/>
      <c r="K719" s="792"/>
      <c r="L719" s="791"/>
      <c r="M719" s="793"/>
      <c r="N719" s="617"/>
      <c r="O719" s="794"/>
    </row>
    <row r="720">
      <c r="A720" s="280"/>
      <c r="B720" s="280"/>
      <c r="C720" s="280"/>
      <c r="D720" s="280"/>
      <c r="F720" s="789"/>
      <c r="G720" s="789"/>
      <c r="H720" s="790"/>
      <c r="I720" s="791"/>
      <c r="J720" s="792"/>
      <c r="K720" s="792"/>
      <c r="L720" s="791"/>
      <c r="M720" s="793"/>
      <c r="N720" s="617"/>
      <c r="O720" s="794"/>
    </row>
    <row r="721">
      <c r="A721" s="280"/>
      <c r="B721" s="280"/>
      <c r="C721" s="280"/>
      <c r="D721" s="280"/>
      <c r="F721" s="789"/>
      <c r="G721" s="789"/>
      <c r="H721" s="790"/>
      <c r="I721" s="791"/>
      <c r="J721" s="792"/>
      <c r="K721" s="792"/>
      <c r="L721" s="791"/>
      <c r="M721" s="793"/>
      <c r="N721" s="617"/>
      <c r="O721" s="794"/>
    </row>
    <row r="722">
      <c r="A722" s="280"/>
      <c r="B722" s="280"/>
      <c r="C722" s="280"/>
      <c r="D722" s="280"/>
      <c r="F722" s="789"/>
      <c r="G722" s="789"/>
      <c r="H722" s="790"/>
      <c r="I722" s="791"/>
      <c r="J722" s="792"/>
      <c r="K722" s="792"/>
      <c r="L722" s="791"/>
      <c r="M722" s="793"/>
      <c r="N722" s="617"/>
      <c r="O722" s="794"/>
    </row>
    <row r="723">
      <c r="A723" s="280"/>
      <c r="B723" s="280"/>
      <c r="C723" s="280"/>
      <c r="D723" s="280"/>
      <c r="F723" s="789"/>
      <c r="G723" s="789"/>
      <c r="H723" s="790"/>
      <c r="I723" s="791"/>
      <c r="J723" s="792"/>
      <c r="K723" s="792"/>
      <c r="L723" s="791"/>
      <c r="M723" s="793"/>
      <c r="N723" s="617"/>
      <c r="O723" s="794"/>
    </row>
    <row r="724">
      <c r="A724" s="280"/>
      <c r="B724" s="280"/>
      <c r="C724" s="280"/>
      <c r="D724" s="280"/>
      <c r="F724" s="789"/>
      <c r="G724" s="789"/>
      <c r="H724" s="790"/>
      <c r="I724" s="791"/>
      <c r="J724" s="792"/>
      <c r="K724" s="792"/>
      <c r="L724" s="791"/>
      <c r="M724" s="793"/>
      <c r="N724" s="617"/>
      <c r="O724" s="794"/>
    </row>
    <row r="725">
      <c r="A725" s="280"/>
      <c r="B725" s="280"/>
      <c r="C725" s="280"/>
      <c r="D725" s="280"/>
      <c r="F725" s="789"/>
      <c r="G725" s="789"/>
      <c r="H725" s="790"/>
      <c r="I725" s="791"/>
      <c r="J725" s="792"/>
      <c r="K725" s="792"/>
      <c r="L725" s="791"/>
      <c r="M725" s="793"/>
      <c r="N725" s="617"/>
      <c r="O725" s="794"/>
    </row>
    <row r="726">
      <c r="A726" s="280"/>
      <c r="B726" s="280"/>
      <c r="C726" s="280"/>
      <c r="D726" s="280"/>
      <c r="F726" s="789"/>
      <c r="G726" s="789"/>
      <c r="H726" s="790"/>
      <c r="I726" s="791"/>
      <c r="J726" s="792"/>
      <c r="K726" s="792"/>
      <c r="L726" s="791"/>
      <c r="M726" s="793"/>
      <c r="N726" s="617"/>
      <c r="O726" s="794"/>
    </row>
    <row r="727">
      <c r="A727" s="280"/>
      <c r="B727" s="280"/>
      <c r="C727" s="280"/>
      <c r="D727" s="280"/>
      <c r="F727" s="789"/>
      <c r="G727" s="789"/>
      <c r="H727" s="790"/>
      <c r="I727" s="791"/>
      <c r="J727" s="792"/>
      <c r="K727" s="792"/>
      <c r="L727" s="791"/>
      <c r="M727" s="793"/>
      <c r="N727" s="617"/>
      <c r="O727" s="794"/>
    </row>
    <row r="728">
      <c r="A728" s="280"/>
      <c r="B728" s="280"/>
      <c r="C728" s="280"/>
      <c r="D728" s="280"/>
      <c r="F728" s="789"/>
      <c r="G728" s="789"/>
      <c r="H728" s="790"/>
      <c r="I728" s="791"/>
      <c r="J728" s="792"/>
      <c r="K728" s="792"/>
      <c r="L728" s="791"/>
      <c r="M728" s="793"/>
      <c r="N728" s="617"/>
      <c r="O728" s="794"/>
    </row>
    <row r="729">
      <c r="A729" s="280"/>
      <c r="B729" s="280"/>
      <c r="C729" s="280"/>
      <c r="D729" s="280"/>
      <c r="F729" s="789"/>
      <c r="G729" s="789"/>
      <c r="H729" s="790"/>
      <c r="I729" s="791"/>
      <c r="J729" s="792"/>
      <c r="K729" s="792"/>
      <c r="L729" s="791"/>
      <c r="M729" s="793"/>
      <c r="N729" s="617"/>
      <c r="O729" s="794"/>
    </row>
    <row r="730">
      <c r="A730" s="280"/>
      <c r="B730" s="280"/>
      <c r="C730" s="280"/>
      <c r="D730" s="280"/>
      <c r="F730" s="789"/>
      <c r="G730" s="789"/>
      <c r="H730" s="790"/>
      <c r="I730" s="791"/>
      <c r="J730" s="792"/>
      <c r="K730" s="792"/>
      <c r="L730" s="791"/>
      <c r="M730" s="793"/>
      <c r="N730" s="617"/>
      <c r="O730" s="794"/>
    </row>
    <row r="731">
      <c r="A731" s="280"/>
      <c r="B731" s="280"/>
      <c r="C731" s="280"/>
      <c r="D731" s="280"/>
      <c r="F731" s="789"/>
      <c r="G731" s="789"/>
      <c r="H731" s="790"/>
      <c r="I731" s="791"/>
      <c r="J731" s="792"/>
      <c r="K731" s="792"/>
      <c r="L731" s="791"/>
      <c r="M731" s="793"/>
      <c r="N731" s="617"/>
      <c r="O731" s="794"/>
    </row>
    <row r="732">
      <c r="A732" s="280"/>
      <c r="B732" s="280"/>
      <c r="C732" s="280"/>
      <c r="D732" s="280"/>
      <c r="F732" s="789"/>
      <c r="G732" s="789"/>
      <c r="H732" s="790"/>
      <c r="I732" s="791"/>
      <c r="J732" s="792"/>
      <c r="K732" s="792"/>
      <c r="L732" s="791"/>
      <c r="M732" s="793"/>
      <c r="N732" s="617"/>
      <c r="O732" s="794"/>
    </row>
    <row r="733">
      <c r="A733" s="280"/>
      <c r="B733" s="280"/>
      <c r="C733" s="280"/>
      <c r="D733" s="280"/>
      <c r="F733" s="789"/>
      <c r="G733" s="789"/>
      <c r="H733" s="790"/>
      <c r="I733" s="791"/>
      <c r="J733" s="792"/>
      <c r="K733" s="792"/>
      <c r="L733" s="791"/>
      <c r="M733" s="793"/>
      <c r="N733" s="617"/>
      <c r="O733" s="794"/>
    </row>
    <row r="734">
      <c r="A734" s="280"/>
      <c r="B734" s="280"/>
      <c r="C734" s="280"/>
      <c r="D734" s="280"/>
      <c r="F734" s="789"/>
      <c r="G734" s="789"/>
      <c r="H734" s="790"/>
      <c r="I734" s="791"/>
      <c r="J734" s="792"/>
      <c r="K734" s="792"/>
      <c r="L734" s="791"/>
      <c r="M734" s="793"/>
      <c r="N734" s="617"/>
      <c r="O734" s="794"/>
    </row>
    <row r="735">
      <c r="A735" s="280"/>
      <c r="B735" s="280"/>
      <c r="C735" s="280"/>
      <c r="D735" s="280"/>
      <c r="F735" s="789"/>
      <c r="G735" s="789"/>
      <c r="H735" s="790"/>
      <c r="I735" s="791"/>
      <c r="J735" s="792"/>
      <c r="K735" s="792"/>
      <c r="L735" s="791"/>
      <c r="M735" s="793"/>
      <c r="N735" s="617"/>
      <c r="O735" s="794"/>
    </row>
    <row r="736">
      <c r="A736" s="280"/>
      <c r="B736" s="280"/>
      <c r="C736" s="280"/>
      <c r="D736" s="280"/>
      <c r="F736" s="789"/>
      <c r="G736" s="789"/>
      <c r="H736" s="790"/>
      <c r="I736" s="791"/>
      <c r="J736" s="792"/>
      <c r="K736" s="792"/>
      <c r="L736" s="791"/>
      <c r="M736" s="793"/>
      <c r="N736" s="617"/>
      <c r="O736" s="794"/>
    </row>
    <row r="737">
      <c r="A737" s="280"/>
      <c r="B737" s="280"/>
      <c r="C737" s="280"/>
      <c r="D737" s="280"/>
      <c r="F737" s="789"/>
      <c r="G737" s="789"/>
      <c r="H737" s="790"/>
      <c r="I737" s="791"/>
      <c r="J737" s="792"/>
      <c r="K737" s="792"/>
      <c r="L737" s="791"/>
      <c r="M737" s="793"/>
      <c r="N737" s="617"/>
      <c r="O737" s="794"/>
    </row>
    <row r="738">
      <c r="A738" s="280"/>
      <c r="B738" s="280"/>
      <c r="C738" s="280"/>
      <c r="D738" s="280"/>
      <c r="F738" s="789"/>
      <c r="G738" s="789"/>
      <c r="H738" s="790"/>
      <c r="I738" s="791"/>
      <c r="J738" s="792"/>
      <c r="K738" s="792"/>
      <c r="L738" s="791"/>
      <c r="M738" s="793"/>
      <c r="N738" s="617"/>
      <c r="O738" s="794"/>
    </row>
    <row r="739">
      <c r="A739" s="280"/>
      <c r="B739" s="280"/>
      <c r="C739" s="280"/>
      <c r="D739" s="280"/>
      <c r="F739" s="789"/>
      <c r="G739" s="789"/>
      <c r="H739" s="790"/>
      <c r="I739" s="791"/>
      <c r="J739" s="792"/>
      <c r="K739" s="792"/>
      <c r="L739" s="791"/>
      <c r="M739" s="793"/>
      <c r="N739" s="617"/>
      <c r="O739" s="794"/>
    </row>
    <row r="740">
      <c r="A740" s="280"/>
      <c r="B740" s="280"/>
      <c r="C740" s="280"/>
      <c r="D740" s="280"/>
      <c r="F740" s="789"/>
      <c r="G740" s="789"/>
      <c r="H740" s="790"/>
      <c r="I740" s="791"/>
      <c r="J740" s="792"/>
      <c r="K740" s="792"/>
      <c r="L740" s="791"/>
      <c r="M740" s="793"/>
      <c r="N740" s="617"/>
      <c r="O740" s="794"/>
    </row>
    <row r="741">
      <c r="A741" s="280"/>
      <c r="B741" s="280"/>
      <c r="C741" s="280"/>
      <c r="D741" s="280"/>
      <c r="F741" s="789"/>
      <c r="G741" s="789"/>
      <c r="H741" s="790"/>
      <c r="I741" s="791"/>
      <c r="J741" s="792"/>
      <c r="K741" s="792"/>
      <c r="L741" s="791"/>
      <c r="M741" s="793"/>
      <c r="N741" s="617"/>
      <c r="O741" s="794"/>
    </row>
    <row r="742">
      <c r="A742" s="280"/>
      <c r="B742" s="280"/>
      <c r="C742" s="280"/>
      <c r="D742" s="280"/>
      <c r="F742" s="789"/>
      <c r="G742" s="789"/>
      <c r="H742" s="790"/>
      <c r="I742" s="791"/>
      <c r="J742" s="792"/>
      <c r="K742" s="792"/>
      <c r="L742" s="791"/>
      <c r="M742" s="793"/>
      <c r="N742" s="617"/>
      <c r="O742" s="794"/>
    </row>
    <row r="743">
      <c r="A743" s="280"/>
      <c r="B743" s="280"/>
      <c r="C743" s="280"/>
      <c r="D743" s="280"/>
      <c r="F743" s="789"/>
      <c r="G743" s="789"/>
      <c r="H743" s="790"/>
      <c r="I743" s="791"/>
      <c r="J743" s="792"/>
      <c r="K743" s="792"/>
      <c r="L743" s="791"/>
      <c r="M743" s="793"/>
      <c r="N743" s="617"/>
      <c r="O743" s="794"/>
    </row>
    <row r="744">
      <c r="A744" s="280"/>
      <c r="B744" s="280"/>
      <c r="C744" s="280"/>
      <c r="D744" s="280"/>
      <c r="F744" s="789"/>
      <c r="G744" s="789"/>
      <c r="H744" s="790"/>
      <c r="I744" s="791"/>
      <c r="J744" s="792"/>
      <c r="K744" s="792"/>
      <c r="L744" s="791"/>
      <c r="M744" s="793"/>
      <c r="N744" s="617"/>
      <c r="O744" s="794"/>
    </row>
    <row r="745">
      <c r="A745" s="280"/>
      <c r="B745" s="280"/>
      <c r="C745" s="280"/>
      <c r="D745" s="280"/>
      <c r="F745" s="789"/>
      <c r="G745" s="789"/>
      <c r="H745" s="790"/>
      <c r="I745" s="791"/>
      <c r="J745" s="792"/>
      <c r="K745" s="792"/>
      <c r="L745" s="791"/>
      <c r="M745" s="793"/>
      <c r="N745" s="617"/>
      <c r="O745" s="794"/>
    </row>
    <row r="746">
      <c r="A746" s="280"/>
      <c r="B746" s="280"/>
      <c r="C746" s="280"/>
      <c r="D746" s="280"/>
      <c r="F746" s="789"/>
      <c r="G746" s="789"/>
      <c r="H746" s="790"/>
      <c r="I746" s="791"/>
      <c r="J746" s="792"/>
      <c r="K746" s="792"/>
      <c r="L746" s="791"/>
      <c r="M746" s="793"/>
      <c r="N746" s="617"/>
      <c r="O746" s="794"/>
    </row>
    <row r="747">
      <c r="A747" s="280"/>
      <c r="B747" s="280"/>
      <c r="C747" s="280"/>
      <c r="D747" s="280"/>
      <c r="F747" s="789"/>
      <c r="G747" s="789"/>
      <c r="H747" s="790"/>
      <c r="I747" s="791"/>
      <c r="J747" s="792"/>
      <c r="K747" s="792"/>
      <c r="L747" s="791"/>
      <c r="M747" s="793"/>
      <c r="N747" s="617"/>
      <c r="O747" s="794"/>
    </row>
    <row r="748">
      <c r="A748" s="280"/>
      <c r="B748" s="280"/>
      <c r="C748" s="280"/>
      <c r="D748" s="280"/>
      <c r="F748" s="789"/>
      <c r="G748" s="789"/>
      <c r="H748" s="790"/>
      <c r="I748" s="791"/>
      <c r="J748" s="792"/>
      <c r="K748" s="792"/>
      <c r="L748" s="791"/>
      <c r="M748" s="793"/>
      <c r="N748" s="617"/>
      <c r="O748" s="794"/>
    </row>
    <row r="749">
      <c r="A749" s="280"/>
      <c r="B749" s="280"/>
      <c r="C749" s="280"/>
      <c r="D749" s="280"/>
      <c r="F749" s="789"/>
      <c r="G749" s="789"/>
      <c r="H749" s="790"/>
      <c r="I749" s="791"/>
      <c r="J749" s="792"/>
      <c r="K749" s="792"/>
      <c r="L749" s="791"/>
      <c r="M749" s="793"/>
      <c r="N749" s="617"/>
      <c r="O749" s="794"/>
    </row>
    <row r="750">
      <c r="A750" s="280"/>
      <c r="B750" s="280"/>
      <c r="C750" s="280"/>
      <c r="D750" s="280"/>
      <c r="F750" s="789"/>
      <c r="G750" s="789"/>
      <c r="H750" s="790"/>
      <c r="I750" s="791"/>
      <c r="J750" s="792"/>
      <c r="K750" s="792"/>
      <c r="L750" s="791"/>
      <c r="M750" s="793"/>
      <c r="N750" s="617"/>
      <c r="O750" s="794"/>
    </row>
    <row r="751">
      <c r="A751" s="280"/>
      <c r="B751" s="280"/>
      <c r="C751" s="280"/>
      <c r="D751" s="280"/>
      <c r="F751" s="789"/>
      <c r="G751" s="789"/>
      <c r="H751" s="790"/>
      <c r="I751" s="791"/>
      <c r="J751" s="792"/>
      <c r="K751" s="792"/>
      <c r="L751" s="791"/>
      <c r="M751" s="793"/>
      <c r="N751" s="617"/>
      <c r="O751" s="794"/>
    </row>
    <row r="752">
      <c r="A752" s="280"/>
      <c r="B752" s="280"/>
      <c r="C752" s="280"/>
      <c r="D752" s="280"/>
      <c r="F752" s="789"/>
      <c r="G752" s="789"/>
      <c r="H752" s="790"/>
      <c r="I752" s="791"/>
      <c r="J752" s="792"/>
      <c r="K752" s="792"/>
      <c r="L752" s="791"/>
      <c r="M752" s="793"/>
      <c r="N752" s="617"/>
      <c r="O752" s="794"/>
    </row>
    <row r="753">
      <c r="A753" s="280"/>
      <c r="B753" s="280"/>
      <c r="C753" s="280"/>
      <c r="D753" s="280"/>
      <c r="F753" s="789"/>
      <c r="G753" s="789"/>
      <c r="H753" s="790"/>
      <c r="I753" s="791"/>
      <c r="J753" s="792"/>
      <c r="K753" s="792"/>
      <c r="L753" s="791"/>
      <c r="M753" s="793"/>
      <c r="N753" s="617"/>
      <c r="O753" s="794"/>
    </row>
    <row r="754">
      <c r="A754" s="280"/>
      <c r="B754" s="280"/>
      <c r="C754" s="280"/>
      <c r="D754" s="280"/>
      <c r="F754" s="789"/>
      <c r="G754" s="789"/>
      <c r="H754" s="790"/>
      <c r="I754" s="791"/>
      <c r="J754" s="792"/>
      <c r="K754" s="792"/>
      <c r="L754" s="791"/>
      <c r="M754" s="793"/>
      <c r="N754" s="617"/>
      <c r="O754" s="794"/>
    </row>
    <row r="755">
      <c r="A755" s="280"/>
      <c r="B755" s="280"/>
      <c r="C755" s="280"/>
      <c r="D755" s="280"/>
      <c r="F755" s="789"/>
      <c r="G755" s="789"/>
      <c r="H755" s="790"/>
      <c r="I755" s="791"/>
      <c r="J755" s="792"/>
      <c r="K755" s="792"/>
      <c r="L755" s="791"/>
      <c r="M755" s="793"/>
      <c r="N755" s="617"/>
      <c r="O755" s="794"/>
    </row>
    <row r="756">
      <c r="A756" s="280"/>
      <c r="B756" s="280"/>
      <c r="C756" s="280"/>
      <c r="D756" s="280"/>
      <c r="F756" s="789"/>
      <c r="G756" s="789"/>
      <c r="H756" s="790"/>
      <c r="I756" s="791"/>
      <c r="J756" s="792"/>
      <c r="K756" s="792"/>
      <c r="L756" s="791"/>
      <c r="M756" s="793"/>
      <c r="N756" s="617"/>
      <c r="O756" s="794"/>
    </row>
    <row r="757">
      <c r="A757" s="280"/>
      <c r="B757" s="280"/>
      <c r="C757" s="280"/>
      <c r="D757" s="280"/>
      <c r="F757" s="789"/>
      <c r="G757" s="789"/>
      <c r="H757" s="790"/>
      <c r="I757" s="791"/>
      <c r="J757" s="792"/>
      <c r="K757" s="792"/>
      <c r="L757" s="791"/>
      <c r="M757" s="793"/>
      <c r="N757" s="617"/>
      <c r="O757" s="794"/>
    </row>
    <row r="758">
      <c r="A758" s="280"/>
      <c r="B758" s="280"/>
      <c r="C758" s="280"/>
      <c r="D758" s="280"/>
      <c r="F758" s="789"/>
      <c r="G758" s="789"/>
      <c r="H758" s="790"/>
      <c r="I758" s="791"/>
      <c r="J758" s="792"/>
      <c r="K758" s="792"/>
      <c r="L758" s="791"/>
      <c r="M758" s="793"/>
      <c r="N758" s="617"/>
      <c r="O758" s="794"/>
    </row>
    <row r="759">
      <c r="A759" s="280"/>
      <c r="B759" s="280"/>
      <c r="C759" s="280"/>
      <c r="D759" s="280"/>
      <c r="F759" s="789"/>
      <c r="G759" s="789"/>
      <c r="H759" s="790"/>
      <c r="I759" s="791"/>
      <c r="J759" s="792"/>
      <c r="K759" s="792"/>
      <c r="L759" s="791"/>
      <c r="M759" s="793"/>
      <c r="N759" s="617"/>
      <c r="O759" s="794"/>
    </row>
    <row r="760">
      <c r="A760" s="280"/>
      <c r="B760" s="280"/>
      <c r="C760" s="280"/>
      <c r="D760" s="280"/>
      <c r="F760" s="789"/>
      <c r="G760" s="789"/>
      <c r="H760" s="790"/>
      <c r="I760" s="791"/>
      <c r="J760" s="792"/>
      <c r="K760" s="792"/>
      <c r="L760" s="791"/>
      <c r="M760" s="793"/>
      <c r="N760" s="617"/>
      <c r="O760" s="794"/>
    </row>
    <row r="761">
      <c r="A761" s="280"/>
      <c r="B761" s="280"/>
      <c r="C761" s="280"/>
      <c r="D761" s="280"/>
      <c r="F761" s="789"/>
      <c r="G761" s="789"/>
      <c r="H761" s="790"/>
      <c r="I761" s="791"/>
      <c r="J761" s="792"/>
      <c r="K761" s="792"/>
      <c r="L761" s="791"/>
      <c r="M761" s="793"/>
      <c r="N761" s="617"/>
      <c r="O761" s="794"/>
    </row>
    <row r="762">
      <c r="A762" s="280"/>
      <c r="B762" s="280"/>
      <c r="C762" s="280"/>
      <c r="D762" s="280"/>
      <c r="F762" s="789"/>
      <c r="G762" s="789"/>
      <c r="H762" s="790"/>
      <c r="I762" s="791"/>
      <c r="J762" s="792"/>
      <c r="K762" s="792"/>
      <c r="L762" s="791"/>
      <c r="M762" s="793"/>
      <c r="N762" s="617"/>
      <c r="O762" s="794"/>
    </row>
    <row r="763">
      <c r="A763" s="280"/>
      <c r="B763" s="280"/>
      <c r="C763" s="280"/>
      <c r="D763" s="280"/>
      <c r="F763" s="789"/>
      <c r="G763" s="789"/>
      <c r="H763" s="790"/>
      <c r="I763" s="791"/>
      <c r="J763" s="792"/>
      <c r="K763" s="792"/>
      <c r="L763" s="791"/>
      <c r="M763" s="793"/>
      <c r="N763" s="617"/>
      <c r="O763" s="794"/>
    </row>
    <row r="764">
      <c r="A764" s="280"/>
      <c r="B764" s="280"/>
      <c r="C764" s="280"/>
      <c r="D764" s="280"/>
      <c r="F764" s="789"/>
      <c r="G764" s="789"/>
      <c r="H764" s="790"/>
      <c r="I764" s="791"/>
      <c r="J764" s="792"/>
      <c r="K764" s="792"/>
      <c r="L764" s="791"/>
      <c r="M764" s="793"/>
      <c r="N764" s="617"/>
      <c r="O764" s="794"/>
    </row>
    <row r="765">
      <c r="A765" s="280"/>
      <c r="B765" s="280"/>
      <c r="C765" s="280"/>
      <c r="D765" s="280"/>
      <c r="F765" s="789"/>
      <c r="G765" s="789"/>
      <c r="H765" s="790"/>
      <c r="I765" s="791"/>
      <c r="J765" s="792"/>
      <c r="K765" s="792"/>
      <c r="L765" s="791"/>
      <c r="M765" s="793"/>
      <c r="N765" s="617"/>
      <c r="O765" s="794"/>
    </row>
    <row r="766">
      <c r="A766" s="280"/>
      <c r="B766" s="280"/>
      <c r="C766" s="280"/>
      <c r="D766" s="280"/>
      <c r="F766" s="789"/>
      <c r="G766" s="789"/>
      <c r="H766" s="790"/>
      <c r="I766" s="791"/>
      <c r="J766" s="792"/>
      <c r="K766" s="792"/>
      <c r="L766" s="791"/>
      <c r="M766" s="793"/>
      <c r="N766" s="617"/>
      <c r="O766" s="794"/>
    </row>
    <row r="767">
      <c r="A767" s="280"/>
      <c r="B767" s="280"/>
      <c r="C767" s="280"/>
      <c r="D767" s="280"/>
      <c r="F767" s="789"/>
      <c r="G767" s="789"/>
      <c r="H767" s="790"/>
      <c r="I767" s="791"/>
      <c r="J767" s="792"/>
      <c r="K767" s="792"/>
      <c r="L767" s="791"/>
      <c r="M767" s="793"/>
      <c r="N767" s="617"/>
      <c r="O767" s="794"/>
    </row>
    <row r="768">
      <c r="A768" s="280"/>
      <c r="B768" s="280"/>
      <c r="C768" s="280"/>
      <c r="D768" s="280"/>
      <c r="F768" s="789"/>
      <c r="G768" s="789"/>
      <c r="H768" s="790"/>
      <c r="I768" s="791"/>
      <c r="J768" s="792"/>
      <c r="K768" s="792"/>
      <c r="L768" s="791"/>
      <c r="M768" s="793"/>
      <c r="N768" s="617"/>
      <c r="O768" s="794"/>
    </row>
    <row r="769">
      <c r="A769" s="280"/>
      <c r="B769" s="280"/>
      <c r="C769" s="280"/>
      <c r="D769" s="280"/>
      <c r="F769" s="789"/>
      <c r="G769" s="789"/>
      <c r="H769" s="790"/>
      <c r="I769" s="791"/>
      <c r="J769" s="792"/>
      <c r="K769" s="792"/>
      <c r="L769" s="791"/>
      <c r="M769" s="793"/>
      <c r="N769" s="617"/>
      <c r="O769" s="794"/>
    </row>
    <row r="770">
      <c r="A770" s="280"/>
      <c r="B770" s="280"/>
      <c r="C770" s="280"/>
      <c r="D770" s="280"/>
      <c r="F770" s="789"/>
      <c r="G770" s="789"/>
      <c r="H770" s="790"/>
      <c r="I770" s="791"/>
      <c r="J770" s="792"/>
      <c r="K770" s="792"/>
      <c r="L770" s="791"/>
      <c r="M770" s="793"/>
      <c r="N770" s="617"/>
      <c r="O770" s="794"/>
    </row>
    <row r="771">
      <c r="A771" s="280"/>
      <c r="B771" s="280"/>
      <c r="C771" s="280"/>
      <c r="D771" s="280"/>
      <c r="F771" s="789"/>
      <c r="G771" s="789"/>
      <c r="H771" s="790"/>
      <c r="I771" s="791"/>
      <c r="J771" s="792"/>
      <c r="K771" s="792"/>
      <c r="L771" s="791"/>
      <c r="M771" s="793"/>
      <c r="N771" s="617"/>
      <c r="O771" s="794"/>
    </row>
    <row r="772">
      <c r="A772" s="280"/>
      <c r="B772" s="280"/>
      <c r="C772" s="280"/>
      <c r="D772" s="280"/>
      <c r="F772" s="789"/>
      <c r="G772" s="789"/>
      <c r="H772" s="790"/>
      <c r="I772" s="791"/>
      <c r="J772" s="792"/>
      <c r="K772" s="792"/>
      <c r="L772" s="791"/>
      <c r="M772" s="793"/>
      <c r="N772" s="617"/>
      <c r="O772" s="794"/>
    </row>
    <row r="773">
      <c r="A773" s="280"/>
      <c r="B773" s="280"/>
      <c r="C773" s="280"/>
      <c r="D773" s="280"/>
      <c r="F773" s="789"/>
      <c r="G773" s="789"/>
      <c r="H773" s="790"/>
      <c r="I773" s="791"/>
      <c r="J773" s="792"/>
      <c r="K773" s="792"/>
      <c r="L773" s="791"/>
      <c r="M773" s="793"/>
      <c r="N773" s="617"/>
      <c r="O773" s="794"/>
    </row>
    <row r="774">
      <c r="A774" s="280"/>
      <c r="B774" s="280"/>
      <c r="C774" s="280"/>
      <c r="D774" s="280"/>
      <c r="F774" s="789"/>
      <c r="G774" s="789"/>
      <c r="H774" s="790"/>
      <c r="I774" s="791"/>
      <c r="J774" s="792"/>
      <c r="K774" s="792"/>
      <c r="L774" s="791"/>
      <c r="M774" s="793"/>
      <c r="N774" s="617"/>
      <c r="O774" s="794"/>
    </row>
    <row r="775">
      <c r="A775" s="280"/>
      <c r="B775" s="280"/>
      <c r="C775" s="280"/>
      <c r="D775" s="280"/>
      <c r="F775" s="789"/>
      <c r="G775" s="789"/>
      <c r="H775" s="790"/>
      <c r="I775" s="791"/>
      <c r="J775" s="792"/>
      <c r="K775" s="792"/>
      <c r="L775" s="791"/>
      <c r="M775" s="793"/>
      <c r="N775" s="617"/>
      <c r="O775" s="794"/>
    </row>
    <row r="776">
      <c r="A776" s="280"/>
      <c r="B776" s="280"/>
      <c r="C776" s="280"/>
      <c r="D776" s="280"/>
      <c r="F776" s="789"/>
      <c r="G776" s="789"/>
      <c r="H776" s="790"/>
      <c r="I776" s="791"/>
      <c r="J776" s="792"/>
      <c r="K776" s="792"/>
      <c r="L776" s="791"/>
      <c r="M776" s="793"/>
      <c r="N776" s="617"/>
      <c r="O776" s="794"/>
    </row>
    <row r="777">
      <c r="A777" s="280"/>
      <c r="B777" s="280"/>
      <c r="C777" s="280"/>
      <c r="D777" s="280"/>
      <c r="F777" s="789"/>
      <c r="G777" s="789"/>
      <c r="H777" s="790"/>
      <c r="I777" s="791"/>
      <c r="J777" s="792"/>
      <c r="K777" s="792"/>
      <c r="L777" s="791"/>
      <c r="M777" s="793"/>
      <c r="N777" s="617"/>
      <c r="O777" s="794"/>
    </row>
    <row r="778">
      <c r="A778" s="280"/>
      <c r="B778" s="280"/>
      <c r="C778" s="280"/>
      <c r="D778" s="280"/>
      <c r="F778" s="789"/>
      <c r="G778" s="789"/>
      <c r="H778" s="790"/>
      <c r="I778" s="791"/>
      <c r="J778" s="792"/>
      <c r="K778" s="792"/>
      <c r="L778" s="791"/>
      <c r="M778" s="793"/>
      <c r="N778" s="617"/>
      <c r="O778" s="794"/>
    </row>
    <row r="779">
      <c r="A779" s="280"/>
      <c r="B779" s="280"/>
      <c r="C779" s="280"/>
      <c r="D779" s="280"/>
      <c r="F779" s="789"/>
      <c r="G779" s="789"/>
      <c r="H779" s="790"/>
      <c r="I779" s="791"/>
      <c r="J779" s="792"/>
      <c r="K779" s="792"/>
      <c r="L779" s="791"/>
      <c r="M779" s="793"/>
      <c r="N779" s="617"/>
      <c r="O779" s="794"/>
    </row>
    <row r="780">
      <c r="A780" s="280"/>
      <c r="B780" s="280"/>
      <c r="C780" s="280"/>
      <c r="D780" s="280"/>
      <c r="F780" s="789"/>
      <c r="G780" s="789"/>
      <c r="H780" s="790"/>
      <c r="I780" s="791"/>
      <c r="J780" s="792"/>
      <c r="K780" s="792"/>
      <c r="L780" s="791"/>
      <c r="M780" s="793"/>
      <c r="N780" s="617"/>
      <c r="O780" s="794"/>
    </row>
    <row r="781">
      <c r="A781" s="280"/>
      <c r="B781" s="280"/>
      <c r="C781" s="280"/>
      <c r="D781" s="280"/>
      <c r="F781" s="789"/>
      <c r="G781" s="789"/>
      <c r="H781" s="790"/>
      <c r="I781" s="791"/>
      <c r="J781" s="792"/>
      <c r="K781" s="792"/>
      <c r="L781" s="791"/>
      <c r="M781" s="793"/>
      <c r="N781" s="617"/>
      <c r="O781" s="794"/>
    </row>
    <row r="782">
      <c r="A782" s="280"/>
      <c r="B782" s="280"/>
      <c r="C782" s="280"/>
      <c r="D782" s="280"/>
      <c r="F782" s="789"/>
      <c r="G782" s="789"/>
      <c r="H782" s="790"/>
      <c r="I782" s="791"/>
      <c r="J782" s="792"/>
      <c r="K782" s="792"/>
      <c r="L782" s="791"/>
      <c r="M782" s="793"/>
      <c r="N782" s="617"/>
      <c r="O782" s="794"/>
    </row>
    <row r="783">
      <c r="A783" s="280"/>
      <c r="B783" s="280"/>
      <c r="C783" s="280"/>
      <c r="D783" s="280"/>
      <c r="F783" s="789"/>
      <c r="G783" s="789"/>
      <c r="H783" s="790"/>
      <c r="I783" s="791"/>
      <c r="J783" s="792"/>
      <c r="K783" s="792"/>
      <c r="L783" s="791"/>
      <c r="M783" s="793"/>
      <c r="N783" s="617"/>
      <c r="O783" s="794"/>
    </row>
    <row r="784">
      <c r="A784" s="280"/>
      <c r="B784" s="280"/>
      <c r="C784" s="280"/>
      <c r="D784" s="280"/>
      <c r="F784" s="789"/>
      <c r="G784" s="789"/>
      <c r="H784" s="790"/>
      <c r="I784" s="791"/>
      <c r="J784" s="792"/>
      <c r="K784" s="792"/>
      <c r="L784" s="791"/>
      <c r="M784" s="793"/>
      <c r="N784" s="617"/>
      <c r="O784" s="794"/>
    </row>
    <row r="785">
      <c r="A785" s="280"/>
      <c r="B785" s="280"/>
      <c r="C785" s="280"/>
      <c r="D785" s="280"/>
      <c r="F785" s="789"/>
      <c r="G785" s="789"/>
      <c r="H785" s="790"/>
      <c r="I785" s="791"/>
      <c r="J785" s="792"/>
      <c r="K785" s="792"/>
      <c r="L785" s="791"/>
      <c r="M785" s="793"/>
      <c r="N785" s="617"/>
      <c r="O785" s="794"/>
    </row>
    <row r="786">
      <c r="A786" s="280"/>
      <c r="B786" s="280"/>
      <c r="C786" s="280"/>
      <c r="D786" s="280"/>
      <c r="F786" s="789"/>
      <c r="G786" s="789"/>
      <c r="H786" s="790"/>
      <c r="I786" s="791"/>
      <c r="J786" s="792"/>
      <c r="K786" s="792"/>
      <c r="L786" s="791"/>
      <c r="M786" s="793"/>
      <c r="N786" s="617"/>
      <c r="O786" s="794"/>
    </row>
    <row r="787">
      <c r="A787" s="280"/>
      <c r="B787" s="280"/>
      <c r="C787" s="280"/>
      <c r="D787" s="280"/>
      <c r="F787" s="789"/>
      <c r="G787" s="789"/>
      <c r="H787" s="790"/>
      <c r="I787" s="791"/>
      <c r="J787" s="792"/>
      <c r="K787" s="792"/>
      <c r="L787" s="791"/>
      <c r="M787" s="793"/>
      <c r="N787" s="617"/>
      <c r="O787" s="794"/>
    </row>
    <row r="788">
      <c r="A788" s="280"/>
      <c r="B788" s="280"/>
      <c r="C788" s="280"/>
      <c r="D788" s="280"/>
      <c r="F788" s="789"/>
      <c r="G788" s="789"/>
      <c r="H788" s="790"/>
      <c r="I788" s="791"/>
      <c r="J788" s="792"/>
      <c r="K788" s="792"/>
      <c r="L788" s="791"/>
      <c r="M788" s="793"/>
      <c r="N788" s="617"/>
      <c r="O788" s="794"/>
    </row>
    <row r="789">
      <c r="A789" s="280"/>
      <c r="B789" s="280"/>
      <c r="C789" s="280"/>
      <c r="D789" s="280"/>
      <c r="F789" s="789"/>
      <c r="G789" s="789"/>
      <c r="H789" s="790"/>
      <c r="I789" s="791"/>
      <c r="J789" s="792"/>
      <c r="K789" s="792"/>
      <c r="L789" s="791"/>
      <c r="M789" s="793"/>
      <c r="N789" s="617"/>
      <c r="O789" s="794"/>
    </row>
    <row r="790">
      <c r="A790" s="280"/>
      <c r="B790" s="280"/>
      <c r="C790" s="280"/>
      <c r="D790" s="280"/>
      <c r="F790" s="789"/>
      <c r="G790" s="789"/>
      <c r="H790" s="790"/>
      <c r="I790" s="791"/>
      <c r="J790" s="792"/>
      <c r="K790" s="792"/>
      <c r="L790" s="791"/>
      <c r="M790" s="793"/>
      <c r="N790" s="617"/>
      <c r="O790" s="794"/>
    </row>
    <row r="791">
      <c r="A791" s="280"/>
      <c r="B791" s="280"/>
      <c r="C791" s="280"/>
      <c r="D791" s="280"/>
      <c r="F791" s="789"/>
      <c r="G791" s="789"/>
      <c r="H791" s="790"/>
      <c r="I791" s="791"/>
      <c r="J791" s="792"/>
      <c r="K791" s="792"/>
      <c r="L791" s="791"/>
      <c r="M791" s="793"/>
      <c r="N791" s="617"/>
      <c r="O791" s="794"/>
    </row>
    <row r="792">
      <c r="A792" s="280"/>
      <c r="B792" s="280"/>
      <c r="C792" s="280"/>
      <c r="D792" s="280"/>
      <c r="F792" s="789"/>
      <c r="G792" s="789"/>
      <c r="H792" s="790"/>
      <c r="I792" s="791"/>
      <c r="J792" s="792"/>
      <c r="K792" s="792"/>
      <c r="L792" s="791"/>
      <c r="M792" s="793"/>
      <c r="N792" s="617"/>
      <c r="O792" s="794"/>
    </row>
    <row r="793">
      <c r="A793" s="280"/>
      <c r="B793" s="280"/>
      <c r="C793" s="280"/>
      <c r="D793" s="280"/>
      <c r="F793" s="789"/>
      <c r="G793" s="789"/>
      <c r="H793" s="790"/>
      <c r="I793" s="791"/>
      <c r="J793" s="792"/>
      <c r="K793" s="792"/>
      <c r="L793" s="791"/>
      <c r="M793" s="793"/>
      <c r="N793" s="617"/>
      <c r="O793" s="794"/>
    </row>
    <row r="794">
      <c r="A794" s="280"/>
      <c r="B794" s="280"/>
      <c r="C794" s="280"/>
      <c r="D794" s="280"/>
      <c r="F794" s="789"/>
      <c r="G794" s="789"/>
      <c r="H794" s="790"/>
      <c r="I794" s="791"/>
      <c r="J794" s="792"/>
      <c r="K794" s="792"/>
      <c r="L794" s="791"/>
      <c r="M794" s="793"/>
      <c r="N794" s="617"/>
      <c r="O794" s="794"/>
    </row>
    <row r="795">
      <c r="A795" s="280"/>
      <c r="B795" s="280"/>
      <c r="C795" s="280"/>
      <c r="D795" s="280"/>
      <c r="F795" s="789"/>
      <c r="G795" s="789"/>
      <c r="H795" s="790"/>
      <c r="I795" s="791"/>
      <c r="J795" s="792"/>
      <c r="K795" s="792"/>
      <c r="L795" s="791"/>
      <c r="M795" s="793"/>
      <c r="N795" s="617"/>
      <c r="O795" s="794"/>
    </row>
    <row r="796">
      <c r="A796" s="280"/>
      <c r="B796" s="280"/>
      <c r="C796" s="280"/>
      <c r="D796" s="280"/>
      <c r="F796" s="789"/>
      <c r="G796" s="789"/>
      <c r="H796" s="790"/>
      <c r="I796" s="791"/>
      <c r="J796" s="792"/>
      <c r="K796" s="792"/>
      <c r="L796" s="791"/>
      <c r="M796" s="793"/>
      <c r="N796" s="617"/>
      <c r="O796" s="794"/>
    </row>
    <row r="797">
      <c r="A797" s="280"/>
      <c r="B797" s="280"/>
      <c r="C797" s="280"/>
      <c r="D797" s="280"/>
      <c r="F797" s="789"/>
      <c r="G797" s="789"/>
      <c r="H797" s="790"/>
      <c r="I797" s="791"/>
      <c r="J797" s="792"/>
      <c r="K797" s="792"/>
      <c r="L797" s="791"/>
      <c r="M797" s="793"/>
      <c r="N797" s="617"/>
      <c r="O797" s="794"/>
    </row>
    <row r="798">
      <c r="A798" s="280"/>
      <c r="B798" s="280"/>
      <c r="C798" s="280"/>
      <c r="D798" s="280"/>
      <c r="F798" s="789"/>
      <c r="G798" s="789"/>
      <c r="H798" s="790"/>
      <c r="I798" s="791"/>
      <c r="J798" s="792"/>
      <c r="K798" s="792"/>
      <c r="L798" s="791"/>
      <c r="M798" s="793"/>
      <c r="N798" s="617"/>
      <c r="O798" s="794"/>
    </row>
    <row r="799">
      <c r="A799" s="280"/>
      <c r="B799" s="280"/>
      <c r="C799" s="280"/>
      <c r="D799" s="280"/>
      <c r="F799" s="789"/>
      <c r="G799" s="789"/>
      <c r="H799" s="790"/>
      <c r="I799" s="791"/>
      <c r="J799" s="792"/>
      <c r="K799" s="792"/>
      <c r="L799" s="791"/>
      <c r="M799" s="793"/>
      <c r="N799" s="617"/>
      <c r="O799" s="794"/>
    </row>
    <row r="800">
      <c r="A800" s="280"/>
      <c r="B800" s="280"/>
      <c r="C800" s="280"/>
      <c r="D800" s="280"/>
      <c r="F800" s="789"/>
      <c r="G800" s="789"/>
      <c r="H800" s="790"/>
      <c r="I800" s="791"/>
      <c r="J800" s="792"/>
      <c r="K800" s="792"/>
      <c r="L800" s="791"/>
      <c r="M800" s="793"/>
      <c r="N800" s="617"/>
      <c r="O800" s="794"/>
    </row>
    <row r="801">
      <c r="A801" s="280"/>
      <c r="B801" s="280"/>
      <c r="C801" s="280"/>
      <c r="D801" s="280"/>
      <c r="F801" s="789"/>
      <c r="G801" s="789"/>
      <c r="H801" s="790"/>
      <c r="I801" s="791"/>
      <c r="J801" s="792"/>
      <c r="K801" s="792"/>
      <c r="L801" s="791"/>
      <c r="M801" s="793"/>
      <c r="N801" s="617"/>
      <c r="O801" s="794"/>
    </row>
    <row r="802">
      <c r="A802" s="280"/>
      <c r="B802" s="280"/>
      <c r="C802" s="280"/>
      <c r="D802" s="280"/>
      <c r="F802" s="789"/>
      <c r="G802" s="789"/>
      <c r="H802" s="790"/>
      <c r="I802" s="791"/>
      <c r="J802" s="792"/>
      <c r="K802" s="792"/>
      <c r="L802" s="791"/>
      <c r="M802" s="793"/>
      <c r="N802" s="617"/>
      <c r="O802" s="794"/>
    </row>
    <row r="803">
      <c r="A803" s="280"/>
      <c r="B803" s="280"/>
      <c r="C803" s="280"/>
      <c r="D803" s="280"/>
      <c r="F803" s="789"/>
      <c r="G803" s="789"/>
      <c r="H803" s="790"/>
      <c r="I803" s="791"/>
      <c r="J803" s="792"/>
      <c r="K803" s="792"/>
      <c r="L803" s="791"/>
      <c r="M803" s="793"/>
      <c r="N803" s="617"/>
      <c r="O803" s="794"/>
    </row>
    <row r="804">
      <c r="A804" s="280"/>
      <c r="B804" s="280"/>
      <c r="C804" s="280"/>
      <c r="D804" s="280"/>
      <c r="F804" s="789"/>
      <c r="G804" s="789"/>
      <c r="H804" s="790"/>
      <c r="I804" s="791"/>
      <c r="J804" s="792"/>
      <c r="K804" s="792"/>
      <c r="L804" s="791"/>
      <c r="M804" s="793"/>
      <c r="N804" s="617"/>
      <c r="O804" s="794"/>
    </row>
    <row r="805">
      <c r="A805" s="280"/>
      <c r="B805" s="280"/>
      <c r="C805" s="280"/>
      <c r="D805" s="280"/>
      <c r="F805" s="789"/>
      <c r="G805" s="789"/>
      <c r="H805" s="790"/>
      <c r="I805" s="791"/>
      <c r="J805" s="792"/>
      <c r="K805" s="792"/>
      <c r="L805" s="791"/>
      <c r="M805" s="793"/>
      <c r="N805" s="617"/>
      <c r="O805" s="794"/>
    </row>
    <row r="806">
      <c r="A806" s="280"/>
      <c r="B806" s="280"/>
      <c r="C806" s="280"/>
      <c r="D806" s="280"/>
      <c r="F806" s="789"/>
      <c r="G806" s="789"/>
      <c r="H806" s="790"/>
      <c r="I806" s="791"/>
      <c r="J806" s="792"/>
      <c r="K806" s="792"/>
      <c r="L806" s="791"/>
      <c r="M806" s="793"/>
      <c r="N806" s="617"/>
      <c r="O806" s="794"/>
    </row>
    <row r="807">
      <c r="A807" s="280"/>
      <c r="B807" s="280"/>
      <c r="C807" s="280"/>
      <c r="D807" s="280"/>
      <c r="F807" s="789"/>
      <c r="G807" s="789"/>
      <c r="H807" s="790"/>
      <c r="I807" s="791"/>
      <c r="J807" s="792"/>
      <c r="K807" s="792"/>
      <c r="L807" s="791"/>
      <c r="M807" s="793"/>
      <c r="N807" s="617"/>
      <c r="O807" s="794"/>
    </row>
    <row r="808">
      <c r="A808" s="280"/>
      <c r="B808" s="280"/>
      <c r="C808" s="280"/>
      <c r="D808" s="280"/>
      <c r="F808" s="789"/>
      <c r="G808" s="789"/>
      <c r="H808" s="790"/>
      <c r="I808" s="791"/>
      <c r="J808" s="792"/>
      <c r="K808" s="792"/>
      <c r="L808" s="791"/>
      <c r="M808" s="793"/>
      <c r="N808" s="617"/>
      <c r="O808" s="794"/>
    </row>
    <row r="809">
      <c r="A809" s="280"/>
      <c r="B809" s="280"/>
      <c r="C809" s="280"/>
      <c r="D809" s="280"/>
      <c r="F809" s="789"/>
      <c r="G809" s="789"/>
      <c r="H809" s="790"/>
      <c r="I809" s="791"/>
      <c r="J809" s="792"/>
      <c r="K809" s="792"/>
      <c r="L809" s="791"/>
      <c r="M809" s="793"/>
      <c r="N809" s="617"/>
      <c r="O809" s="794"/>
    </row>
    <row r="810">
      <c r="A810" s="280"/>
      <c r="B810" s="280"/>
      <c r="C810" s="280"/>
      <c r="D810" s="280"/>
      <c r="F810" s="789"/>
      <c r="G810" s="789"/>
      <c r="H810" s="790"/>
      <c r="I810" s="791"/>
      <c r="J810" s="792"/>
      <c r="K810" s="792"/>
      <c r="L810" s="791"/>
      <c r="M810" s="793"/>
      <c r="N810" s="617"/>
      <c r="O810" s="794"/>
    </row>
    <row r="811">
      <c r="A811" s="280"/>
      <c r="B811" s="280"/>
      <c r="C811" s="280"/>
      <c r="D811" s="280"/>
      <c r="F811" s="789"/>
      <c r="G811" s="789"/>
      <c r="H811" s="790"/>
      <c r="I811" s="791"/>
      <c r="J811" s="792"/>
      <c r="K811" s="792"/>
      <c r="L811" s="791"/>
      <c r="M811" s="793"/>
      <c r="N811" s="617"/>
      <c r="O811" s="794"/>
    </row>
    <row r="812">
      <c r="A812" s="280"/>
      <c r="B812" s="280"/>
      <c r="C812" s="280"/>
      <c r="D812" s="280"/>
      <c r="F812" s="789"/>
      <c r="G812" s="789"/>
      <c r="H812" s="790"/>
      <c r="I812" s="791"/>
      <c r="J812" s="792"/>
      <c r="K812" s="792"/>
      <c r="L812" s="791"/>
      <c r="M812" s="793"/>
      <c r="N812" s="617"/>
      <c r="O812" s="794"/>
    </row>
    <row r="813">
      <c r="A813" s="280"/>
      <c r="B813" s="280"/>
      <c r="C813" s="280"/>
      <c r="D813" s="280"/>
      <c r="F813" s="789"/>
      <c r="G813" s="789"/>
      <c r="H813" s="790"/>
      <c r="I813" s="791"/>
      <c r="J813" s="792"/>
      <c r="K813" s="792"/>
      <c r="L813" s="791"/>
      <c r="M813" s="793"/>
      <c r="N813" s="617"/>
      <c r="O813" s="794"/>
    </row>
    <row r="814">
      <c r="A814" s="280"/>
      <c r="B814" s="280"/>
      <c r="C814" s="280"/>
      <c r="D814" s="280"/>
      <c r="F814" s="789"/>
      <c r="G814" s="789"/>
      <c r="H814" s="790"/>
      <c r="I814" s="791"/>
      <c r="J814" s="792"/>
      <c r="K814" s="792"/>
      <c r="L814" s="791"/>
      <c r="M814" s="793"/>
      <c r="N814" s="617"/>
      <c r="O814" s="794"/>
    </row>
    <row r="815">
      <c r="A815" s="280"/>
      <c r="B815" s="280"/>
      <c r="C815" s="280"/>
      <c r="D815" s="280"/>
      <c r="F815" s="789"/>
      <c r="G815" s="789"/>
      <c r="H815" s="790"/>
      <c r="I815" s="791"/>
      <c r="J815" s="792"/>
      <c r="K815" s="792"/>
      <c r="L815" s="791"/>
      <c r="M815" s="793"/>
      <c r="N815" s="617"/>
      <c r="O815" s="794"/>
    </row>
    <row r="816">
      <c r="A816" s="280"/>
      <c r="B816" s="280"/>
      <c r="C816" s="280"/>
      <c r="D816" s="280"/>
      <c r="F816" s="789"/>
      <c r="G816" s="789"/>
      <c r="H816" s="790"/>
      <c r="I816" s="791"/>
      <c r="J816" s="792"/>
      <c r="K816" s="792"/>
      <c r="L816" s="791"/>
      <c r="M816" s="793"/>
      <c r="N816" s="617"/>
      <c r="O816" s="794"/>
    </row>
    <row r="817">
      <c r="A817" s="280"/>
      <c r="B817" s="280"/>
      <c r="C817" s="280"/>
      <c r="D817" s="280"/>
      <c r="F817" s="789"/>
      <c r="G817" s="789"/>
      <c r="H817" s="790"/>
      <c r="I817" s="791"/>
      <c r="J817" s="792"/>
      <c r="K817" s="792"/>
      <c r="L817" s="791"/>
      <c r="M817" s="793"/>
      <c r="N817" s="617"/>
      <c r="O817" s="794"/>
    </row>
    <row r="818">
      <c r="A818" s="280"/>
      <c r="B818" s="280"/>
      <c r="C818" s="280"/>
      <c r="D818" s="280"/>
      <c r="F818" s="789"/>
      <c r="G818" s="789"/>
      <c r="H818" s="790"/>
      <c r="I818" s="791"/>
      <c r="J818" s="792"/>
      <c r="K818" s="792"/>
      <c r="L818" s="791"/>
      <c r="M818" s="793"/>
      <c r="N818" s="617"/>
      <c r="O818" s="794"/>
    </row>
    <row r="819">
      <c r="A819" s="280"/>
      <c r="B819" s="280"/>
      <c r="C819" s="280"/>
      <c r="D819" s="280"/>
      <c r="F819" s="789"/>
      <c r="G819" s="789"/>
      <c r="H819" s="790"/>
      <c r="I819" s="791"/>
      <c r="J819" s="792"/>
      <c r="K819" s="792"/>
      <c r="L819" s="791"/>
      <c r="M819" s="793"/>
      <c r="N819" s="617"/>
      <c r="O819" s="794"/>
    </row>
    <row r="820">
      <c r="A820" s="280"/>
      <c r="B820" s="280"/>
      <c r="C820" s="280"/>
      <c r="D820" s="280"/>
      <c r="F820" s="789"/>
      <c r="G820" s="789"/>
      <c r="H820" s="790"/>
      <c r="I820" s="791"/>
      <c r="J820" s="792"/>
      <c r="K820" s="792"/>
      <c r="L820" s="791"/>
      <c r="M820" s="793"/>
      <c r="N820" s="617"/>
      <c r="O820" s="794"/>
    </row>
    <row r="821">
      <c r="A821" s="280"/>
      <c r="B821" s="280"/>
      <c r="C821" s="280"/>
      <c r="D821" s="280"/>
      <c r="F821" s="789"/>
      <c r="G821" s="789"/>
      <c r="H821" s="790"/>
      <c r="I821" s="791"/>
      <c r="J821" s="792"/>
      <c r="K821" s="792"/>
      <c r="L821" s="791"/>
      <c r="M821" s="793"/>
      <c r="N821" s="617"/>
      <c r="O821" s="794"/>
    </row>
    <row r="822">
      <c r="A822" s="280"/>
      <c r="B822" s="280"/>
      <c r="C822" s="280"/>
      <c r="D822" s="280"/>
      <c r="F822" s="789"/>
      <c r="G822" s="789"/>
      <c r="H822" s="790"/>
      <c r="I822" s="791"/>
      <c r="J822" s="792"/>
      <c r="K822" s="792"/>
      <c r="L822" s="791"/>
      <c r="M822" s="793"/>
      <c r="N822" s="617"/>
      <c r="O822" s="794"/>
    </row>
    <row r="823">
      <c r="A823" s="280"/>
      <c r="B823" s="280"/>
      <c r="C823" s="280"/>
      <c r="D823" s="280"/>
      <c r="F823" s="789"/>
      <c r="G823" s="789"/>
      <c r="H823" s="790"/>
      <c r="I823" s="791"/>
      <c r="J823" s="792"/>
      <c r="K823" s="792"/>
      <c r="L823" s="791"/>
      <c r="M823" s="793"/>
      <c r="N823" s="617"/>
      <c r="O823" s="794"/>
    </row>
    <row r="824">
      <c r="A824" s="280"/>
      <c r="B824" s="280"/>
      <c r="C824" s="280"/>
      <c r="D824" s="280"/>
      <c r="F824" s="789"/>
      <c r="G824" s="789"/>
      <c r="H824" s="790"/>
      <c r="I824" s="791"/>
      <c r="J824" s="792"/>
      <c r="K824" s="792"/>
      <c r="L824" s="791"/>
      <c r="M824" s="793"/>
      <c r="N824" s="617"/>
      <c r="O824" s="794"/>
    </row>
    <row r="825">
      <c r="A825" s="280"/>
      <c r="B825" s="280"/>
      <c r="C825" s="280"/>
      <c r="D825" s="280"/>
      <c r="F825" s="789"/>
      <c r="G825" s="789"/>
      <c r="H825" s="790"/>
      <c r="I825" s="791"/>
      <c r="J825" s="792"/>
      <c r="K825" s="792"/>
      <c r="L825" s="791"/>
      <c r="M825" s="793"/>
      <c r="N825" s="617"/>
      <c r="O825" s="794"/>
    </row>
    <row r="826">
      <c r="A826" s="280"/>
      <c r="B826" s="280"/>
      <c r="C826" s="280"/>
      <c r="D826" s="280"/>
      <c r="F826" s="789"/>
      <c r="G826" s="789"/>
      <c r="H826" s="790"/>
      <c r="I826" s="791"/>
      <c r="J826" s="792"/>
      <c r="K826" s="792"/>
      <c r="L826" s="791"/>
      <c r="M826" s="793"/>
      <c r="N826" s="617"/>
      <c r="O826" s="794"/>
    </row>
    <row r="827">
      <c r="A827" s="280"/>
      <c r="B827" s="280"/>
      <c r="C827" s="280"/>
      <c r="D827" s="280"/>
      <c r="F827" s="789"/>
      <c r="G827" s="789"/>
      <c r="H827" s="790"/>
      <c r="I827" s="791"/>
      <c r="J827" s="792"/>
      <c r="K827" s="792"/>
      <c r="L827" s="791"/>
      <c r="M827" s="793"/>
      <c r="N827" s="617"/>
      <c r="O827" s="794"/>
    </row>
    <row r="828">
      <c r="A828" s="280"/>
      <c r="B828" s="280"/>
      <c r="C828" s="280"/>
      <c r="D828" s="280"/>
      <c r="F828" s="789"/>
      <c r="G828" s="789"/>
      <c r="H828" s="790"/>
      <c r="I828" s="791"/>
      <c r="J828" s="792"/>
      <c r="K828" s="792"/>
      <c r="L828" s="791"/>
      <c r="M828" s="793"/>
      <c r="N828" s="617"/>
      <c r="O828" s="794"/>
    </row>
    <row r="829">
      <c r="A829" s="280"/>
      <c r="B829" s="280"/>
      <c r="C829" s="280"/>
      <c r="D829" s="280"/>
      <c r="F829" s="789"/>
      <c r="G829" s="789"/>
      <c r="H829" s="790"/>
      <c r="I829" s="791"/>
      <c r="J829" s="792"/>
      <c r="K829" s="792"/>
      <c r="L829" s="791"/>
      <c r="M829" s="793"/>
      <c r="N829" s="617"/>
      <c r="O829" s="794"/>
    </row>
    <row r="830">
      <c r="A830" s="280"/>
      <c r="B830" s="280"/>
      <c r="C830" s="280"/>
      <c r="D830" s="280"/>
      <c r="F830" s="789"/>
      <c r="G830" s="789"/>
      <c r="H830" s="790"/>
      <c r="I830" s="791"/>
      <c r="J830" s="792"/>
      <c r="K830" s="792"/>
      <c r="L830" s="791"/>
      <c r="M830" s="793"/>
      <c r="N830" s="617"/>
      <c r="O830" s="794"/>
    </row>
    <row r="831">
      <c r="A831" s="280"/>
      <c r="B831" s="280"/>
      <c r="C831" s="280"/>
      <c r="D831" s="280"/>
      <c r="F831" s="789"/>
      <c r="G831" s="789"/>
      <c r="H831" s="790"/>
      <c r="I831" s="791"/>
      <c r="J831" s="792"/>
      <c r="K831" s="792"/>
      <c r="L831" s="791"/>
      <c r="M831" s="793"/>
      <c r="N831" s="617"/>
      <c r="O831" s="794"/>
    </row>
    <row r="832">
      <c r="A832" s="280"/>
      <c r="B832" s="280"/>
      <c r="C832" s="280"/>
      <c r="D832" s="280"/>
      <c r="F832" s="789"/>
      <c r="G832" s="789"/>
      <c r="H832" s="790"/>
      <c r="I832" s="791"/>
      <c r="J832" s="792"/>
      <c r="K832" s="792"/>
      <c r="L832" s="791"/>
      <c r="M832" s="793"/>
      <c r="N832" s="617"/>
      <c r="O832" s="794"/>
    </row>
    <row r="833">
      <c r="A833" s="280"/>
      <c r="B833" s="280"/>
      <c r="C833" s="280"/>
      <c r="D833" s="280"/>
      <c r="F833" s="789"/>
      <c r="G833" s="789"/>
      <c r="H833" s="790"/>
      <c r="I833" s="791"/>
      <c r="J833" s="792"/>
      <c r="K833" s="792"/>
      <c r="L833" s="791"/>
      <c r="M833" s="793"/>
      <c r="N833" s="617"/>
      <c r="O833" s="794"/>
    </row>
    <row r="834">
      <c r="A834" s="280"/>
      <c r="B834" s="280"/>
      <c r="C834" s="280"/>
      <c r="D834" s="280"/>
      <c r="F834" s="789"/>
      <c r="G834" s="789"/>
      <c r="H834" s="790"/>
      <c r="I834" s="791"/>
      <c r="J834" s="792"/>
      <c r="K834" s="792"/>
      <c r="L834" s="791"/>
      <c r="M834" s="793"/>
      <c r="N834" s="617"/>
      <c r="O834" s="794"/>
    </row>
    <row r="835">
      <c r="A835" s="280"/>
      <c r="B835" s="280"/>
      <c r="C835" s="280"/>
      <c r="D835" s="280"/>
      <c r="F835" s="789"/>
      <c r="G835" s="789"/>
      <c r="H835" s="790"/>
      <c r="I835" s="791"/>
      <c r="J835" s="792"/>
      <c r="K835" s="792"/>
      <c r="L835" s="791"/>
      <c r="M835" s="793"/>
      <c r="N835" s="617"/>
      <c r="O835" s="794"/>
    </row>
    <row r="836">
      <c r="A836" s="280"/>
      <c r="B836" s="280"/>
      <c r="C836" s="280"/>
      <c r="D836" s="280"/>
      <c r="F836" s="789"/>
      <c r="G836" s="789"/>
      <c r="H836" s="790"/>
      <c r="I836" s="791"/>
      <c r="J836" s="792"/>
      <c r="K836" s="792"/>
      <c r="L836" s="791"/>
      <c r="M836" s="793"/>
      <c r="N836" s="617"/>
      <c r="O836" s="794"/>
    </row>
    <row r="837">
      <c r="A837" s="280"/>
      <c r="B837" s="280"/>
      <c r="C837" s="280"/>
      <c r="D837" s="280"/>
      <c r="F837" s="789"/>
      <c r="G837" s="789"/>
      <c r="H837" s="790"/>
      <c r="I837" s="791"/>
      <c r="J837" s="792"/>
      <c r="K837" s="792"/>
      <c r="L837" s="791"/>
      <c r="M837" s="793"/>
      <c r="N837" s="617"/>
      <c r="O837" s="794"/>
    </row>
    <row r="838">
      <c r="A838" s="280"/>
      <c r="B838" s="280"/>
      <c r="C838" s="280"/>
      <c r="D838" s="280"/>
      <c r="F838" s="789"/>
      <c r="G838" s="789"/>
      <c r="H838" s="790"/>
      <c r="I838" s="791"/>
      <c r="J838" s="792"/>
      <c r="K838" s="792"/>
      <c r="L838" s="791"/>
      <c r="M838" s="793"/>
      <c r="N838" s="617"/>
      <c r="O838" s="794"/>
    </row>
    <row r="839">
      <c r="A839" s="280"/>
      <c r="B839" s="280"/>
      <c r="C839" s="280"/>
      <c r="D839" s="280"/>
      <c r="F839" s="789"/>
      <c r="G839" s="789"/>
      <c r="H839" s="790"/>
      <c r="I839" s="791"/>
      <c r="J839" s="792"/>
      <c r="K839" s="792"/>
      <c r="L839" s="791"/>
      <c r="M839" s="793"/>
      <c r="N839" s="617"/>
      <c r="O839" s="794"/>
    </row>
    <row r="840">
      <c r="A840" s="280"/>
      <c r="B840" s="280"/>
      <c r="C840" s="280"/>
      <c r="D840" s="280"/>
      <c r="F840" s="789"/>
      <c r="G840" s="789"/>
      <c r="H840" s="790"/>
      <c r="I840" s="791"/>
      <c r="J840" s="792"/>
      <c r="K840" s="792"/>
      <c r="L840" s="791"/>
      <c r="M840" s="793"/>
      <c r="N840" s="617"/>
      <c r="O840" s="794"/>
    </row>
    <row r="841">
      <c r="A841" s="280"/>
      <c r="B841" s="280"/>
      <c r="C841" s="280"/>
      <c r="D841" s="280"/>
      <c r="F841" s="789"/>
      <c r="G841" s="789"/>
      <c r="H841" s="790"/>
      <c r="I841" s="791"/>
      <c r="J841" s="792"/>
      <c r="K841" s="792"/>
      <c r="L841" s="791"/>
      <c r="M841" s="793"/>
      <c r="N841" s="617"/>
      <c r="O841" s="794"/>
    </row>
    <row r="842">
      <c r="A842" s="280"/>
      <c r="B842" s="280"/>
      <c r="C842" s="280"/>
      <c r="D842" s="280"/>
      <c r="F842" s="789"/>
      <c r="G842" s="789"/>
      <c r="H842" s="790"/>
      <c r="I842" s="791"/>
      <c r="J842" s="792"/>
      <c r="K842" s="792"/>
      <c r="L842" s="791"/>
      <c r="M842" s="793"/>
      <c r="N842" s="617"/>
      <c r="O842" s="794"/>
    </row>
    <row r="843">
      <c r="A843" s="280"/>
      <c r="B843" s="280"/>
      <c r="C843" s="280"/>
      <c r="D843" s="280"/>
      <c r="F843" s="789"/>
      <c r="G843" s="789"/>
      <c r="H843" s="790"/>
      <c r="I843" s="791"/>
      <c r="J843" s="792"/>
      <c r="K843" s="792"/>
      <c r="L843" s="791"/>
      <c r="M843" s="793"/>
      <c r="N843" s="617"/>
      <c r="O843" s="794"/>
    </row>
    <row r="844">
      <c r="A844" s="280"/>
      <c r="B844" s="280"/>
      <c r="C844" s="280"/>
      <c r="D844" s="280"/>
      <c r="F844" s="789"/>
      <c r="G844" s="789"/>
      <c r="H844" s="790"/>
      <c r="I844" s="791"/>
      <c r="J844" s="792"/>
      <c r="K844" s="792"/>
      <c r="L844" s="791"/>
      <c r="M844" s="793"/>
      <c r="N844" s="617"/>
      <c r="O844" s="794"/>
    </row>
    <row r="845">
      <c r="A845" s="280"/>
      <c r="B845" s="280"/>
      <c r="C845" s="280"/>
      <c r="D845" s="280"/>
      <c r="F845" s="789"/>
      <c r="G845" s="789"/>
      <c r="H845" s="790"/>
      <c r="I845" s="791"/>
      <c r="J845" s="792"/>
      <c r="K845" s="792"/>
      <c r="L845" s="791"/>
      <c r="M845" s="793"/>
      <c r="N845" s="617"/>
      <c r="O845" s="794"/>
    </row>
    <row r="846">
      <c r="A846" s="280"/>
      <c r="B846" s="280"/>
      <c r="C846" s="280"/>
      <c r="D846" s="280"/>
      <c r="F846" s="789"/>
      <c r="G846" s="789"/>
      <c r="H846" s="790"/>
      <c r="I846" s="791"/>
      <c r="J846" s="792"/>
      <c r="K846" s="792"/>
      <c r="L846" s="791"/>
      <c r="M846" s="793"/>
      <c r="N846" s="617"/>
      <c r="O846" s="794"/>
    </row>
    <row r="847">
      <c r="A847" s="280"/>
      <c r="B847" s="280"/>
      <c r="C847" s="280"/>
      <c r="D847" s="280"/>
      <c r="F847" s="789"/>
      <c r="G847" s="789"/>
      <c r="H847" s="790"/>
      <c r="I847" s="791"/>
      <c r="J847" s="792"/>
      <c r="K847" s="792"/>
      <c r="L847" s="791"/>
      <c r="M847" s="793"/>
      <c r="N847" s="617"/>
      <c r="O847" s="794"/>
    </row>
    <row r="848">
      <c r="A848" s="280"/>
      <c r="B848" s="280"/>
      <c r="C848" s="280"/>
      <c r="D848" s="280"/>
      <c r="F848" s="789"/>
      <c r="G848" s="789"/>
      <c r="H848" s="790"/>
      <c r="I848" s="791"/>
      <c r="J848" s="792"/>
      <c r="K848" s="792"/>
      <c r="L848" s="791"/>
      <c r="M848" s="793"/>
      <c r="N848" s="617"/>
      <c r="O848" s="794"/>
    </row>
    <row r="849">
      <c r="A849" s="280"/>
      <c r="B849" s="280"/>
      <c r="C849" s="280"/>
      <c r="D849" s="280"/>
      <c r="F849" s="789"/>
      <c r="G849" s="789"/>
      <c r="H849" s="790"/>
      <c r="I849" s="791"/>
      <c r="J849" s="792"/>
      <c r="K849" s="792"/>
      <c r="L849" s="791"/>
      <c r="M849" s="793"/>
      <c r="N849" s="617"/>
      <c r="O849" s="794"/>
    </row>
    <row r="850">
      <c r="A850" s="280"/>
      <c r="B850" s="280"/>
      <c r="C850" s="280"/>
      <c r="D850" s="280"/>
      <c r="F850" s="789"/>
      <c r="G850" s="789"/>
      <c r="H850" s="790"/>
      <c r="I850" s="791"/>
      <c r="J850" s="792"/>
      <c r="K850" s="792"/>
      <c r="L850" s="791"/>
      <c r="M850" s="793"/>
      <c r="N850" s="617"/>
      <c r="O850" s="794"/>
    </row>
    <row r="851">
      <c r="A851" s="280"/>
      <c r="B851" s="280"/>
      <c r="C851" s="280"/>
      <c r="D851" s="280"/>
      <c r="F851" s="789"/>
      <c r="G851" s="789"/>
      <c r="H851" s="790"/>
      <c r="I851" s="791"/>
      <c r="J851" s="792"/>
      <c r="K851" s="792"/>
      <c r="L851" s="791"/>
      <c r="M851" s="793"/>
      <c r="N851" s="617"/>
      <c r="O851" s="794"/>
    </row>
    <row r="852">
      <c r="A852" s="280"/>
      <c r="B852" s="280"/>
      <c r="C852" s="280"/>
      <c r="D852" s="280"/>
      <c r="F852" s="789"/>
      <c r="G852" s="789"/>
      <c r="H852" s="790"/>
      <c r="I852" s="791"/>
      <c r="J852" s="792"/>
      <c r="K852" s="792"/>
      <c r="L852" s="791"/>
      <c r="M852" s="793"/>
      <c r="N852" s="617"/>
      <c r="O852" s="794"/>
    </row>
    <row r="853">
      <c r="A853" s="280"/>
      <c r="B853" s="280"/>
      <c r="C853" s="280"/>
      <c r="D853" s="280"/>
      <c r="F853" s="789"/>
      <c r="G853" s="789"/>
      <c r="H853" s="790"/>
      <c r="I853" s="791"/>
      <c r="J853" s="792"/>
      <c r="K853" s="792"/>
      <c r="L853" s="791"/>
      <c r="M853" s="793"/>
      <c r="N853" s="617"/>
      <c r="O853" s="794"/>
    </row>
    <row r="854">
      <c r="A854" s="280"/>
      <c r="B854" s="280"/>
      <c r="C854" s="280"/>
      <c r="D854" s="280"/>
      <c r="F854" s="789"/>
      <c r="G854" s="789"/>
      <c r="H854" s="790"/>
      <c r="I854" s="791"/>
      <c r="J854" s="792"/>
      <c r="K854" s="792"/>
      <c r="L854" s="791"/>
      <c r="M854" s="793"/>
      <c r="N854" s="617"/>
      <c r="O854" s="794"/>
    </row>
    <row r="855">
      <c r="A855" s="280"/>
      <c r="B855" s="280"/>
      <c r="C855" s="280"/>
      <c r="D855" s="280"/>
      <c r="F855" s="789"/>
      <c r="G855" s="789"/>
      <c r="H855" s="790"/>
      <c r="I855" s="791"/>
      <c r="J855" s="792"/>
      <c r="K855" s="792"/>
      <c r="L855" s="791"/>
      <c r="M855" s="793"/>
      <c r="N855" s="617"/>
      <c r="O855" s="794"/>
    </row>
    <row r="856">
      <c r="A856" s="280"/>
      <c r="B856" s="280"/>
      <c r="C856" s="280"/>
      <c r="D856" s="280"/>
      <c r="F856" s="789"/>
      <c r="G856" s="789"/>
      <c r="H856" s="790"/>
      <c r="I856" s="791"/>
      <c r="J856" s="792"/>
      <c r="K856" s="792"/>
      <c r="L856" s="791"/>
      <c r="M856" s="793"/>
      <c r="N856" s="617"/>
      <c r="O856" s="794"/>
    </row>
    <row r="857">
      <c r="A857" s="280"/>
      <c r="B857" s="280"/>
      <c r="C857" s="280"/>
      <c r="D857" s="280"/>
      <c r="F857" s="789"/>
      <c r="G857" s="789"/>
      <c r="H857" s="790"/>
      <c r="I857" s="791"/>
      <c r="J857" s="792"/>
      <c r="K857" s="792"/>
      <c r="L857" s="791"/>
      <c r="M857" s="793"/>
      <c r="N857" s="617"/>
      <c r="O857" s="794"/>
    </row>
    <row r="858">
      <c r="A858" s="280"/>
      <c r="B858" s="280"/>
      <c r="C858" s="280"/>
      <c r="D858" s="280"/>
      <c r="F858" s="789"/>
      <c r="G858" s="789"/>
      <c r="H858" s="790"/>
      <c r="I858" s="791"/>
      <c r="J858" s="792"/>
      <c r="K858" s="792"/>
      <c r="L858" s="791"/>
      <c r="M858" s="793"/>
      <c r="N858" s="617"/>
      <c r="O858" s="794"/>
    </row>
    <row r="859">
      <c r="A859" s="280"/>
      <c r="B859" s="280"/>
      <c r="C859" s="280"/>
      <c r="D859" s="280"/>
      <c r="F859" s="789"/>
      <c r="G859" s="789"/>
      <c r="H859" s="790"/>
      <c r="I859" s="791"/>
      <c r="J859" s="792"/>
      <c r="K859" s="792"/>
      <c r="L859" s="791"/>
      <c r="M859" s="793"/>
      <c r="N859" s="617"/>
      <c r="O859" s="794"/>
    </row>
    <row r="860">
      <c r="A860" s="280"/>
      <c r="B860" s="280"/>
      <c r="C860" s="280"/>
      <c r="D860" s="280"/>
      <c r="F860" s="789"/>
      <c r="G860" s="789"/>
      <c r="H860" s="790"/>
      <c r="I860" s="791"/>
      <c r="J860" s="792"/>
      <c r="K860" s="792"/>
      <c r="L860" s="791"/>
      <c r="M860" s="793"/>
      <c r="N860" s="617"/>
      <c r="O860" s="794"/>
    </row>
    <row r="861">
      <c r="A861" s="280"/>
      <c r="B861" s="280"/>
      <c r="C861" s="280"/>
      <c r="D861" s="280"/>
      <c r="F861" s="789"/>
      <c r="G861" s="789"/>
      <c r="H861" s="790"/>
      <c r="I861" s="791"/>
      <c r="J861" s="792"/>
      <c r="K861" s="792"/>
      <c r="L861" s="791"/>
      <c r="M861" s="793"/>
      <c r="N861" s="617"/>
      <c r="O861" s="794"/>
    </row>
    <row r="862">
      <c r="A862" s="280"/>
      <c r="B862" s="280"/>
      <c r="C862" s="280"/>
      <c r="D862" s="280"/>
      <c r="F862" s="789"/>
      <c r="G862" s="789"/>
      <c r="H862" s="790"/>
      <c r="I862" s="791"/>
      <c r="J862" s="792"/>
      <c r="K862" s="792"/>
      <c r="L862" s="791"/>
      <c r="M862" s="793"/>
      <c r="N862" s="617"/>
      <c r="O862" s="794"/>
    </row>
    <row r="863">
      <c r="A863" s="280"/>
      <c r="B863" s="280"/>
      <c r="C863" s="280"/>
      <c r="D863" s="280"/>
      <c r="F863" s="789"/>
      <c r="G863" s="789"/>
      <c r="H863" s="790"/>
      <c r="I863" s="791"/>
      <c r="J863" s="792"/>
      <c r="K863" s="792"/>
      <c r="L863" s="791"/>
      <c r="M863" s="793"/>
      <c r="N863" s="617"/>
      <c r="O863" s="794"/>
    </row>
    <row r="864">
      <c r="A864" s="280"/>
      <c r="B864" s="280"/>
      <c r="C864" s="280"/>
      <c r="D864" s="280"/>
      <c r="F864" s="789"/>
      <c r="G864" s="789"/>
      <c r="H864" s="790"/>
      <c r="I864" s="791"/>
      <c r="J864" s="792"/>
      <c r="K864" s="792"/>
      <c r="L864" s="791"/>
      <c r="M864" s="793"/>
      <c r="N864" s="617"/>
      <c r="O864" s="794"/>
    </row>
    <row r="865">
      <c r="A865" s="280"/>
      <c r="B865" s="280"/>
      <c r="C865" s="280"/>
      <c r="D865" s="280"/>
      <c r="F865" s="789"/>
      <c r="G865" s="789"/>
      <c r="H865" s="790"/>
      <c r="I865" s="791"/>
      <c r="J865" s="792"/>
      <c r="K865" s="792"/>
      <c r="L865" s="791"/>
      <c r="M865" s="793"/>
      <c r="N865" s="617"/>
      <c r="O865" s="794"/>
    </row>
    <row r="866">
      <c r="A866" s="280"/>
      <c r="B866" s="280"/>
      <c r="C866" s="280"/>
      <c r="D866" s="280"/>
      <c r="F866" s="789"/>
      <c r="G866" s="789"/>
      <c r="H866" s="790"/>
      <c r="I866" s="791"/>
      <c r="J866" s="792"/>
      <c r="K866" s="792"/>
      <c r="L866" s="791"/>
      <c r="M866" s="793"/>
      <c r="N866" s="617"/>
      <c r="O866" s="794"/>
    </row>
    <row r="867">
      <c r="A867" s="280"/>
      <c r="B867" s="280"/>
      <c r="C867" s="280"/>
      <c r="D867" s="280"/>
      <c r="F867" s="789"/>
      <c r="G867" s="789"/>
      <c r="H867" s="790"/>
      <c r="I867" s="791"/>
      <c r="J867" s="792"/>
      <c r="K867" s="792"/>
      <c r="L867" s="791"/>
      <c r="M867" s="793"/>
      <c r="N867" s="617"/>
      <c r="O867" s="794"/>
    </row>
    <row r="868">
      <c r="A868" s="280"/>
      <c r="B868" s="280"/>
      <c r="C868" s="280"/>
      <c r="D868" s="280"/>
      <c r="F868" s="789"/>
      <c r="G868" s="789"/>
      <c r="H868" s="790"/>
      <c r="I868" s="791"/>
      <c r="J868" s="792"/>
      <c r="K868" s="792"/>
      <c r="L868" s="791"/>
      <c r="M868" s="793"/>
      <c r="N868" s="617"/>
      <c r="O868" s="794"/>
    </row>
    <row r="869">
      <c r="A869" s="280"/>
      <c r="B869" s="280"/>
      <c r="C869" s="280"/>
      <c r="D869" s="280"/>
      <c r="F869" s="789"/>
      <c r="G869" s="789"/>
      <c r="H869" s="790"/>
      <c r="I869" s="791"/>
      <c r="J869" s="792"/>
      <c r="K869" s="792"/>
      <c r="L869" s="791"/>
      <c r="M869" s="793"/>
      <c r="N869" s="617"/>
      <c r="O869" s="794"/>
    </row>
    <row r="870">
      <c r="A870" s="280"/>
      <c r="B870" s="280"/>
      <c r="C870" s="280"/>
      <c r="D870" s="280"/>
      <c r="F870" s="789"/>
      <c r="G870" s="789"/>
      <c r="H870" s="790"/>
      <c r="I870" s="791"/>
      <c r="J870" s="792"/>
      <c r="K870" s="792"/>
      <c r="L870" s="791"/>
      <c r="M870" s="793"/>
      <c r="N870" s="617"/>
      <c r="O870" s="794"/>
    </row>
    <row r="871">
      <c r="A871" s="280"/>
      <c r="B871" s="280"/>
      <c r="C871" s="280"/>
      <c r="D871" s="280"/>
      <c r="F871" s="789"/>
      <c r="G871" s="789"/>
      <c r="H871" s="790"/>
      <c r="I871" s="791"/>
      <c r="J871" s="792"/>
      <c r="K871" s="792"/>
      <c r="L871" s="791"/>
      <c r="M871" s="793"/>
      <c r="N871" s="617"/>
      <c r="O871" s="794"/>
    </row>
    <row r="872">
      <c r="A872" s="280"/>
      <c r="B872" s="280"/>
      <c r="C872" s="280"/>
      <c r="D872" s="280"/>
      <c r="F872" s="789"/>
      <c r="G872" s="789"/>
      <c r="H872" s="790"/>
      <c r="I872" s="791"/>
      <c r="J872" s="792"/>
      <c r="K872" s="792"/>
      <c r="L872" s="791"/>
      <c r="M872" s="793"/>
      <c r="N872" s="617"/>
      <c r="O872" s="794"/>
    </row>
    <row r="873">
      <c r="A873" s="280"/>
      <c r="B873" s="280"/>
      <c r="C873" s="280"/>
      <c r="D873" s="280"/>
      <c r="F873" s="789"/>
      <c r="G873" s="789"/>
      <c r="H873" s="790"/>
      <c r="I873" s="791"/>
      <c r="J873" s="792"/>
      <c r="K873" s="792"/>
      <c r="L873" s="791"/>
      <c r="M873" s="793"/>
      <c r="N873" s="617"/>
      <c r="O873" s="794"/>
    </row>
    <row r="874">
      <c r="A874" s="280"/>
      <c r="B874" s="280"/>
      <c r="C874" s="280"/>
      <c r="D874" s="280"/>
      <c r="F874" s="789"/>
      <c r="G874" s="789"/>
      <c r="H874" s="790"/>
      <c r="I874" s="791"/>
      <c r="J874" s="792"/>
      <c r="K874" s="792"/>
      <c r="L874" s="791"/>
      <c r="M874" s="793"/>
      <c r="N874" s="617"/>
      <c r="O874" s="794"/>
    </row>
    <row r="875">
      <c r="A875" s="280"/>
      <c r="B875" s="280"/>
      <c r="C875" s="280"/>
      <c r="D875" s="280"/>
      <c r="F875" s="789"/>
      <c r="G875" s="789"/>
      <c r="H875" s="790"/>
      <c r="I875" s="791"/>
      <c r="J875" s="792"/>
      <c r="K875" s="792"/>
      <c r="L875" s="791"/>
      <c r="M875" s="793"/>
      <c r="N875" s="617"/>
      <c r="O875" s="794"/>
    </row>
    <row r="876">
      <c r="A876" s="280"/>
      <c r="B876" s="280"/>
      <c r="C876" s="280"/>
      <c r="D876" s="280"/>
      <c r="F876" s="789"/>
      <c r="G876" s="789"/>
      <c r="H876" s="790"/>
      <c r="I876" s="791"/>
      <c r="J876" s="792"/>
      <c r="K876" s="792"/>
      <c r="L876" s="791"/>
      <c r="M876" s="793"/>
      <c r="N876" s="617"/>
      <c r="O876" s="794"/>
    </row>
    <row r="877">
      <c r="A877" s="280"/>
      <c r="B877" s="280"/>
      <c r="C877" s="280"/>
      <c r="D877" s="280"/>
      <c r="F877" s="789"/>
      <c r="G877" s="789"/>
      <c r="H877" s="790"/>
      <c r="I877" s="791"/>
      <c r="J877" s="792"/>
      <c r="K877" s="792"/>
      <c r="L877" s="791"/>
      <c r="M877" s="793"/>
      <c r="N877" s="617"/>
      <c r="O877" s="794"/>
    </row>
    <row r="878">
      <c r="A878" s="280"/>
      <c r="B878" s="280"/>
      <c r="C878" s="280"/>
      <c r="D878" s="280"/>
      <c r="F878" s="789"/>
      <c r="G878" s="789"/>
      <c r="H878" s="790"/>
      <c r="I878" s="791"/>
      <c r="J878" s="792"/>
      <c r="K878" s="792"/>
      <c r="L878" s="791"/>
      <c r="M878" s="793"/>
      <c r="N878" s="617"/>
      <c r="O878" s="794"/>
    </row>
    <row r="879">
      <c r="A879" s="280"/>
      <c r="B879" s="280"/>
      <c r="C879" s="280"/>
      <c r="D879" s="280"/>
      <c r="F879" s="789"/>
      <c r="G879" s="789"/>
      <c r="H879" s="790"/>
      <c r="I879" s="791"/>
      <c r="J879" s="792"/>
      <c r="K879" s="792"/>
      <c r="L879" s="791"/>
      <c r="M879" s="793"/>
      <c r="N879" s="617"/>
      <c r="O879" s="794"/>
    </row>
    <row r="880">
      <c r="A880" s="280"/>
      <c r="B880" s="280"/>
      <c r="C880" s="280"/>
      <c r="D880" s="280"/>
      <c r="F880" s="789"/>
      <c r="G880" s="789"/>
      <c r="H880" s="790"/>
      <c r="I880" s="791"/>
      <c r="J880" s="792"/>
      <c r="K880" s="792"/>
      <c r="L880" s="791"/>
      <c r="M880" s="793"/>
      <c r="N880" s="617"/>
      <c r="O880" s="794"/>
    </row>
    <row r="881">
      <c r="A881" s="280"/>
      <c r="B881" s="280"/>
      <c r="C881" s="280"/>
      <c r="D881" s="280"/>
      <c r="F881" s="789"/>
      <c r="G881" s="789"/>
      <c r="H881" s="790"/>
      <c r="I881" s="791"/>
      <c r="J881" s="792"/>
      <c r="K881" s="792"/>
      <c r="L881" s="791"/>
      <c r="M881" s="793"/>
      <c r="N881" s="617"/>
      <c r="O881" s="794"/>
    </row>
    <row r="882">
      <c r="A882" s="280"/>
      <c r="B882" s="280"/>
      <c r="C882" s="280"/>
      <c r="D882" s="280"/>
      <c r="F882" s="789"/>
      <c r="G882" s="789"/>
      <c r="H882" s="790"/>
      <c r="I882" s="791"/>
      <c r="J882" s="792"/>
      <c r="K882" s="792"/>
      <c r="L882" s="791"/>
      <c r="M882" s="793"/>
      <c r="N882" s="617"/>
      <c r="O882" s="794"/>
    </row>
    <row r="883">
      <c r="A883" s="280"/>
      <c r="B883" s="280"/>
      <c r="C883" s="280"/>
      <c r="D883" s="280"/>
      <c r="F883" s="789"/>
      <c r="G883" s="789"/>
      <c r="H883" s="790"/>
      <c r="I883" s="791"/>
      <c r="J883" s="792"/>
      <c r="K883" s="792"/>
      <c r="L883" s="791"/>
      <c r="M883" s="793"/>
      <c r="N883" s="617"/>
      <c r="O883" s="794"/>
    </row>
    <row r="884">
      <c r="A884" s="280"/>
      <c r="B884" s="280"/>
      <c r="C884" s="280"/>
      <c r="D884" s="280"/>
      <c r="F884" s="789"/>
      <c r="G884" s="789"/>
      <c r="H884" s="790"/>
      <c r="I884" s="791"/>
      <c r="J884" s="792"/>
      <c r="K884" s="792"/>
      <c r="L884" s="791"/>
      <c r="M884" s="793"/>
      <c r="N884" s="617"/>
      <c r="O884" s="794"/>
    </row>
    <row r="885">
      <c r="A885" s="280"/>
      <c r="B885" s="280"/>
      <c r="C885" s="280"/>
      <c r="D885" s="280"/>
      <c r="F885" s="789"/>
      <c r="G885" s="789"/>
      <c r="H885" s="790"/>
      <c r="I885" s="791"/>
      <c r="J885" s="792"/>
      <c r="K885" s="792"/>
      <c r="L885" s="791"/>
      <c r="M885" s="793"/>
      <c r="N885" s="617"/>
      <c r="O885" s="794"/>
    </row>
    <row r="886">
      <c r="A886" s="280"/>
      <c r="B886" s="280"/>
      <c r="C886" s="280"/>
      <c r="D886" s="280"/>
      <c r="F886" s="789"/>
      <c r="G886" s="789"/>
      <c r="H886" s="790"/>
      <c r="I886" s="791"/>
      <c r="J886" s="792"/>
      <c r="K886" s="792"/>
      <c r="L886" s="791"/>
      <c r="M886" s="793"/>
      <c r="N886" s="617"/>
      <c r="O886" s="794"/>
    </row>
    <row r="887">
      <c r="A887" s="280"/>
      <c r="B887" s="280"/>
      <c r="C887" s="280"/>
      <c r="D887" s="280"/>
      <c r="F887" s="789"/>
      <c r="G887" s="789"/>
      <c r="H887" s="790"/>
      <c r="I887" s="791"/>
      <c r="J887" s="792"/>
      <c r="K887" s="792"/>
      <c r="L887" s="791"/>
      <c r="M887" s="793"/>
      <c r="N887" s="617"/>
      <c r="O887" s="794"/>
    </row>
    <row r="888">
      <c r="A888" s="280"/>
      <c r="B888" s="280"/>
      <c r="C888" s="280"/>
      <c r="D888" s="280"/>
      <c r="F888" s="789"/>
      <c r="G888" s="789"/>
      <c r="H888" s="790"/>
      <c r="I888" s="791"/>
      <c r="J888" s="792"/>
      <c r="K888" s="792"/>
      <c r="L888" s="791"/>
      <c r="M888" s="793"/>
      <c r="N888" s="617"/>
      <c r="O888" s="794"/>
    </row>
    <row r="889">
      <c r="A889" s="280"/>
      <c r="B889" s="280"/>
      <c r="C889" s="280"/>
      <c r="D889" s="280"/>
      <c r="F889" s="789"/>
      <c r="G889" s="789"/>
      <c r="H889" s="790"/>
      <c r="I889" s="791"/>
      <c r="J889" s="792"/>
      <c r="K889" s="792"/>
      <c r="L889" s="791"/>
      <c r="M889" s="793"/>
      <c r="N889" s="617"/>
      <c r="O889" s="794"/>
    </row>
    <row r="890">
      <c r="A890" s="280"/>
      <c r="B890" s="280"/>
      <c r="C890" s="280"/>
      <c r="D890" s="280"/>
      <c r="F890" s="789"/>
      <c r="G890" s="789"/>
      <c r="H890" s="790"/>
      <c r="I890" s="791"/>
      <c r="J890" s="792"/>
      <c r="K890" s="792"/>
      <c r="L890" s="791"/>
      <c r="M890" s="793"/>
      <c r="N890" s="617"/>
      <c r="O890" s="794"/>
    </row>
    <row r="891">
      <c r="A891" s="280"/>
      <c r="B891" s="280"/>
      <c r="C891" s="280"/>
      <c r="D891" s="280"/>
      <c r="F891" s="789"/>
      <c r="G891" s="789"/>
      <c r="H891" s="790"/>
      <c r="I891" s="791"/>
      <c r="J891" s="792"/>
      <c r="K891" s="792"/>
      <c r="L891" s="791"/>
      <c r="M891" s="793"/>
      <c r="N891" s="617"/>
      <c r="O891" s="794"/>
    </row>
    <row r="892">
      <c r="A892" s="280"/>
      <c r="B892" s="280"/>
      <c r="C892" s="280"/>
      <c r="D892" s="280"/>
      <c r="F892" s="789"/>
      <c r="G892" s="789"/>
      <c r="H892" s="790"/>
      <c r="I892" s="791"/>
      <c r="J892" s="792"/>
      <c r="K892" s="792"/>
      <c r="L892" s="791"/>
      <c r="M892" s="793"/>
      <c r="N892" s="617"/>
      <c r="O892" s="794"/>
    </row>
    <row r="893">
      <c r="A893" s="280"/>
      <c r="B893" s="280"/>
      <c r="C893" s="280"/>
      <c r="D893" s="280"/>
      <c r="F893" s="789"/>
      <c r="G893" s="789"/>
      <c r="H893" s="790"/>
      <c r="I893" s="791"/>
      <c r="J893" s="792"/>
      <c r="K893" s="792"/>
      <c r="L893" s="791"/>
      <c r="M893" s="793"/>
      <c r="N893" s="617"/>
      <c r="O893" s="794"/>
    </row>
    <row r="894">
      <c r="A894" s="280"/>
      <c r="B894" s="280"/>
      <c r="C894" s="280"/>
      <c r="D894" s="280"/>
      <c r="F894" s="789"/>
      <c r="G894" s="789"/>
      <c r="H894" s="790"/>
      <c r="I894" s="791"/>
      <c r="J894" s="792"/>
      <c r="K894" s="792"/>
      <c r="L894" s="791"/>
      <c r="M894" s="793"/>
      <c r="N894" s="617"/>
      <c r="O894" s="794"/>
    </row>
    <row r="895">
      <c r="A895" s="280"/>
      <c r="B895" s="280"/>
      <c r="C895" s="280"/>
      <c r="D895" s="280"/>
      <c r="F895" s="789"/>
      <c r="G895" s="789"/>
      <c r="H895" s="790"/>
      <c r="I895" s="791"/>
      <c r="J895" s="792"/>
      <c r="K895" s="792"/>
      <c r="L895" s="791"/>
      <c r="M895" s="793"/>
      <c r="N895" s="617"/>
      <c r="O895" s="794"/>
    </row>
    <row r="896">
      <c r="A896" s="280"/>
      <c r="B896" s="280"/>
      <c r="C896" s="280"/>
      <c r="D896" s="280"/>
      <c r="F896" s="789"/>
      <c r="G896" s="789"/>
      <c r="H896" s="790"/>
      <c r="I896" s="791"/>
      <c r="J896" s="792"/>
      <c r="K896" s="792"/>
      <c r="L896" s="791"/>
      <c r="M896" s="793"/>
      <c r="N896" s="617"/>
      <c r="O896" s="794"/>
    </row>
    <row r="897">
      <c r="A897" s="280"/>
      <c r="B897" s="280"/>
      <c r="C897" s="280"/>
      <c r="D897" s="280"/>
      <c r="F897" s="789"/>
      <c r="G897" s="789"/>
      <c r="H897" s="790"/>
      <c r="I897" s="791"/>
      <c r="J897" s="792"/>
      <c r="K897" s="792"/>
      <c r="L897" s="791"/>
      <c r="M897" s="793"/>
      <c r="N897" s="617"/>
      <c r="O897" s="794"/>
    </row>
    <row r="898">
      <c r="A898" s="280"/>
      <c r="B898" s="280"/>
      <c r="C898" s="280"/>
      <c r="D898" s="280"/>
      <c r="F898" s="789"/>
      <c r="G898" s="789"/>
      <c r="H898" s="790"/>
      <c r="I898" s="791"/>
      <c r="J898" s="792"/>
      <c r="K898" s="792"/>
      <c r="L898" s="791"/>
      <c r="M898" s="793"/>
      <c r="N898" s="617"/>
      <c r="O898" s="794"/>
    </row>
    <row r="899">
      <c r="A899" s="280"/>
      <c r="B899" s="280"/>
      <c r="C899" s="280"/>
      <c r="D899" s="280"/>
      <c r="F899" s="789"/>
      <c r="G899" s="789"/>
      <c r="H899" s="790"/>
      <c r="I899" s="791"/>
      <c r="J899" s="792"/>
      <c r="K899" s="792"/>
      <c r="L899" s="791"/>
      <c r="M899" s="793"/>
      <c r="N899" s="617"/>
      <c r="O899" s="794"/>
    </row>
    <row r="900">
      <c r="A900" s="280"/>
      <c r="B900" s="280"/>
      <c r="C900" s="280"/>
      <c r="D900" s="280"/>
      <c r="F900" s="789"/>
      <c r="G900" s="789"/>
      <c r="H900" s="790"/>
      <c r="I900" s="791"/>
      <c r="J900" s="792"/>
      <c r="K900" s="792"/>
      <c r="L900" s="791"/>
      <c r="M900" s="793"/>
      <c r="N900" s="617"/>
      <c r="O900" s="794"/>
    </row>
    <row r="901">
      <c r="A901" s="280"/>
      <c r="B901" s="280"/>
      <c r="C901" s="280"/>
      <c r="D901" s="280"/>
      <c r="F901" s="789"/>
      <c r="G901" s="789"/>
      <c r="H901" s="790"/>
      <c r="I901" s="791"/>
      <c r="J901" s="792"/>
      <c r="K901" s="792"/>
      <c r="L901" s="791"/>
      <c r="M901" s="793"/>
      <c r="N901" s="617"/>
      <c r="O901" s="794"/>
    </row>
    <row r="902">
      <c r="A902" s="280"/>
      <c r="B902" s="280"/>
      <c r="C902" s="280"/>
      <c r="D902" s="280"/>
      <c r="F902" s="789"/>
      <c r="G902" s="789"/>
      <c r="H902" s="790"/>
      <c r="I902" s="791"/>
      <c r="J902" s="792"/>
      <c r="K902" s="792"/>
      <c r="L902" s="791"/>
      <c r="M902" s="793"/>
      <c r="N902" s="617"/>
      <c r="O902" s="794"/>
    </row>
    <row r="903">
      <c r="A903" s="280"/>
      <c r="B903" s="280"/>
      <c r="C903" s="280"/>
      <c r="D903" s="280"/>
      <c r="F903" s="789"/>
      <c r="G903" s="789"/>
      <c r="H903" s="790"/>
      <c r="I903" s="791"/>
      <c r="J903" s="792"/>
      <c r="K903" s="792"/>
      <c r="L903" s="791"/>
      <c r="M903" s="793"/>
      <c r="N903" s="617"/>
      <c r="O903" s="794"/>
    </row>
    <row r="904">
      <c r="A904" s="280"/>
      <c r="B904" s="280"/>
      <c r="C904" s="280"/>
      <c r="D904" s="280"/>
      <c r="F904" s="789"/>
      <c r="G904" s="789"/>
      <c r="H904" s="790"/>
      <c r="I904" s="791"/>
      <c r="J904" s="792"/>
      <c r="K904" s="792"/>
      <c r="L904" s="791"/>
      <c r="M904" s="793"/>
      <c r="N904" s="617"/>
      <c r="O904" s="794"/>
    </row>
    <row r="905">
      <c r="A905" s="280"/>
      <c r="B905" s="280"/>
      <c r="C905" s="280"/>
      <c r="D905" s="280"/>
      <c r="F905" s="789"/>
      <c r="G905" s="789"/>
      <c r="H905" s="790"/>
      <c r="I905" s="791"/>
      <c r="J905" s="792"/>
      <c r="K905" s="792"/>
      <c r="L905" s="791"/>
      <c r="M905" s="793"/>
      <c r="N905" s="617"/>
      <c r="O905" s="794"/>
    </row>
    <row r="906">
      <c r="A906" s="280"/>
      <c r="B906" s="280"/>
      <c r="C906" s="280"/>
      <c r="D906" s="280"/>
      <c r="F906" s="789"/>
      <c r="G906" s="789"/>
      <c r="H906" s="790"/>
      <c r="I906" s="791"/>
      <c r="J906" s="792"/>
      <c r="K906" s="792"/>
      <c r="L906" s="791"/>
      <c r="M906" s="793"/>
      <c r="N906" s="617"/>
      <c r="O906" s="794"/>
    </row>
    <row r="907">
      <c r="A907" s="280"/>
      <c r="B907" s="280"/>
      <c r="C907" s="280"/>
      <c r="D907" s="280"/>
      <c r="F907" s="789"/>
      <c r="G907" s="789"/>
      <c r="H907" s="790"/>
      <c r="I907" s="791"/>
      <c r="J907" s="792"/>
      <c r="K907" s="792"/>
      <c r="L907" s="791"/>
      <c r="M907" s="793"/>
      <c r="N907" s="617"/>
      <c r="O907" s="794"/>
    </row>
    <row r="908">
      <c r="A908" s="280"/>
      <c r="B908" s="280"/>
      <c r="C908" s="280"/>
      <c r="D908" s="280"/>
      <c r="F908" s="789"/>
      <c r="G908" s="789"/>
      <c r="H908" s="790"/>
      <c r="I908" s="791"/>
      <c r="J908" s="792"/>
      <c r="K908" s="792"/>
      <c r="L908" s="791"/>
      <c r="M908" s="793"/>
      <c r="N908" s="617"/>
      <c r="O908" s="794"/>
    </row>
    <row r="909">
      <c r="A909" s="280"/>
      <c r="B909" s="280"/>
      <c r="C909" s="280"/>
      <c r="D909" s="280"/>
      <c r="F909" s="789"/>
      <c r="G909" s="789"/>
      <c r="H909" s="790"/>
      <c r="I909" s="791"/>
      <c r="J909" s="792"/>
      <c r="K909" s="792"/>
      <c r="L909" s="791"/>
      <c r="M909" s="793"/>
      <c r="N909" s="617"/>
      <c r="O909" s="794"/>
    </row>
    <row r="910">
      <c r="A910" s="280"/>
      <c r="B910" s="280"/>
      <c r="C910" s="280"/>
      <c r="D910" s="280"/>
      <c r="F910" s="789"/>
      <c r="G910" s="789"/>
      <c r="H910" s="790"/>
      <c r="I910" s="791"/>
      <c r="J910" s="792"/>
      <c r="K910" s="792"/>
      <c r="L910" s="791"/>
      <c r="M910" s="793"/>
      <c r="N910" s="617"/>
      <c r="O910" s="794"/>
    </row>
    <row r="911">
      <c r="A911" s="280"/>
      <c r="B911" s="280"/>
      <c r="C911" s="280"/>
      <c r="D911" s="280"/>
      <c r="F911" s="789"/>
      <c r="G911" s="789"/>
      <c r="H911" s="790"/>
      <c r="I911" s="791"/>
      <c r="J911" s="792"/>
      <c r="K911" s="792"/>
      <c r="L911" s="791"/>
      <c r="M911" s="793"/>
      <c r="N911" s="617"/>
      <c r="O911" s="794"/>
    </row>
    <row r="912">
      <c r="A912" s="280"/>
      <c r="B912" s="280"/>
      <c r="C912" s="280"/>
      <c r="D912" s="280"/>
      <c r="F912" s="789"/>
      <c r="G912" s="789"/>
      <c r="H912" s="790"/>
      <c r="I912" s="791"/>
      <c r="J912" s="792"/>
      <c r="K912" s="792"/>
      <c r="L912" s="791"/>
      <c r="M912" s="793"/>
      <c r="N912" s="617"/>
      <c r="O912" s="794"/>
    </row>
    <row r="913">
      <c r="A913" s="280"/>
      <c r="B913" s="280"/>
      <c r="C913" s="280"/>
      <c r="D913" s="280"/>
      <c r="F913" s="789"/>
      <c r="G913" s="789"/>
      <c r="H913" s="790"/>
      <c r="I913" s="791"/>
      <c r="J913" s="792"/>
      <c r="K913" s="792"/>
      <c r="L913" s="791"/>
      <c r="M913" s="793"/>
      <c r="N913" s="617"/>
      <c r="O913" s="794"/>
    </row>
    <row r="914">
      <c r="A914" s="280"/>
      <c r="B914" s="280"/>
      <c r="C914" s="280"/>
      <c r="D914" s="280"/>
      <c r="F914" s="789"/>
      <c r="G914" s="789"/>
      <c r="H914" s="790"/>
      <c r="I914" s="791"/>
      <c r="J914" s="792"/>
      <c r="K914" s="792"/>
      <c r="L914" s="791"/>
      <c r="M914" s="793"/>
      <c r="N914" s="617"/>
      <c r="O914" s="794"/>
    </row>
    <row r="915">
      <c r="A915" s="280"/>
      <c r="B915" s="280"/>
      <c r="C915" s="280"/>
      <c r="D915" s="280"/>
      <c r="F915" s="789"/>
      <c r="G915" s="789"/>
      <c r="H915" s="790"/>
      <c r="I915" s="791"/>
      <c r="J915" s="792"/>
      <c r="K915" s="792"/>
      <c r="L915" s="791"/>
      <c r="M915" s="793"/>
      <c r="N915" s="617"/>
      <c r="O915" s="794"/>
    </row>
    <row r="916">
      <c r="A916" s="280"/>
      <c r="B916" s="280"/>
      <c r="C916" s="280"/>
      <c r="D916" s="280"/>
      <c r="F916" s="789"/>
      <c r="G916" s="789"/>
      <c r="H916" s="790"/>
      <c r="I916" s="791"/>
      <c r="J916" s="792"/>
      <c r="K916" s="792"/>
      <c r="L916" s="791"/>
      <c r="M916" s="793"/>
      <c r="N916" s="617"/>
      <c r="O916" s="794"/>
    </row>
    <row r="917">
      <c r="A917" s="280"/>
      <c r="B917" s="280"/>
      <c r="C917" s="280"/>
      <c r="D917" s="280"/>
      <c r="F917" s="789"/>
      <c r="G917" s="789"/>
      <c r="H917" s="790"/>
      <c r="I917" s="791"/>
      <c r="J917" s="792"/>
      <c r="K917" s="792"/>
      <c r="L917" s="791"/>
      <c r="M917" s="793"/>
      <c r="N917" s="617"/>
      <c r="O917" s="794"/>
    </row>
    <row r="918">
      <c r="A918" s="280"/>
      <c r="B918" s="280"/>
      <c r="C918" s="280"/>
      <c r="D918" s="280"/>
      <c r="F918" s="789"/>
      <c r="G918" s="789"/>
      <c r="H918" s="790"/>
      <c r="I918" s="791"/>
      <c r="J918" s="792"/>
      <c r="K918" s="792"/>
      <c r="L918" s="791"/>
      <c r="M918" s="793"/>
      <c r="N918" s="617"/>
      <c r="O918" s="794"/>
    </row>
    <row r="919">
      <c r="A919" s="280"/>
      <c r="B919" s="280"/>
      <c r="C919" s="280"/>
      <c r="D919" s="280"/>
      <c r="F919" s="789"/>
      <c r="G919" s="789"/>
      <c r="H919" s="790"/>
      <c r="I919" s="791"/>
      <c r="J919" s="792"/>
      <c r="K919" s="792"/>
      <c r="L919" s="791"/>
      <c r="M919" s="793"/>
      <c r="N919" s="617"/>
      <c r="O919" s="794"/>
    </row>
    <row r="920">
      <c r="A920" s="280"/>
      <c r="B920" s="280"/>
      <c r="C920" s="280"/>
      <c r="D920" s="280"/>
      <c r="F920" s="789"/>
      <c r="G920" s="789"/>
      <c r="H920" s="790"/>
      <c r="I920" s="791"/>
      <c r="J920" s="792"/>
      <c r="K920" s="792"/>
      <c r="L920" s="791"/>
      <c r="M920" s="793"/>
      <c r="N920" s="617"/>
      <c r="O920" s="794"/>
    </row>
    <row r="921">
      <c r="A921" s="280"/>
      <c r="B921" s="280"/>
      <c r="C921" s="280"/>
      <c r="D921" s="280"/>
      <c r="F921" s="789"/>
      <c r="G921" s="789"/>
      <c r="H921" s="790"/>
      <c r="I921" s="791"/>
      <c r="J921" s="792"/>
      <c r="K921" s="792"/>
      <c r="L921" s="791"/>
      <c r="M921" s="793"/>
      <c r="N921" s="617"/>
      <c r="O921" s="794"/>
    </row>
    <row r="922">
      <c r="A922" s="280"/>
      <c r="B922" s="280"/>
      <c r="C922" s="280"/>
      <c r="D922" s="280"/>
      <c r="F922" s="789"/>
      <c r="G922" s="789"/>
      <c r="H922" s="790"/>
      <c r="I922" s="791"/>
      <c r="J922" s="792"/>
      <c r="K922" s="792"/>
      <c r="L922" s="791"/>
      <c r="M922" s="793"/>
      <c r="N922" s="617"/>
      <c r="O922" s="794"/>
    </row>
    <row r="923">
      <c r="A923" s="280"/>
      <c r="B923" s="280"/>
      <c r="C923" s="280"/>
      <c r="D923" s="280"/>
      <c r="F923" s="789"/>
      <c r="G923" s="789"/>
      <c r="H923" s="790"/>
      <c r="I923" s="791"/>
      <c r="J923" s="792"/>
      <c r="K923" s="792"/>
      <c r="L923" s="791"/>
      <c r="M923" s="793"/>
      <c r="N923" s="617"/>
      <c r="O923" s="794"/>
    </row>
    <row r="924">
      <c r="A924" s="280"/>
      <c r="B924" s="280"/>
      <c r="C924" s="280"/>
      <c r="D924" s="280"/>
      <c r="F924" s="789"/>
      <c r="G924" s="789"/>
      <c r="H924" s="790"/>
      <c r="I924" s="791"/>
      <c r="J924" s="792"/>
      <c r="K924" s="792"/>
      <c r="L924" s="791"/>
      <c r="M924" s="793"/>
      <c r="N924" s="617"/>
      <c r="O924" s="794"/>
    </row>
    <row r="925">
      <c r="A925" s="280"/>
      <c r="B925" s="280"/>
      <c r="C925" s="280"/>
      <c r="D925" s="280"/>
      <c r="F925" s="789"/>
      <c r="G925" s="789"/>
      <c r="H925" s="790"/>
      <c r="I925" s="791"/>
      <c r="J925" s="792"/>
      <c r="K925" s="792"/>
      <c r="L925" s="791"/>
      <c r="M925" s="793"/>
      <c r="N925" s="617"/>
      <c r="O925" s="794"/>
    </row>
    <row r="926">
      <c r="A926" s="280"/>
      <c r="B926" s="280"/>
      <c r="C926" s="280"/>
      <c r="D926" s="280"/>
      <c r="F926" s="789"/>
      <c r="G926" s="789"/>
      <c r="H926" s="790"/>
      <c r="I926" s="791"/>
      <c r="J926" s="792"/>
      <c r="K926" s="792"/>
      <c r="L926" s="791"/>
      <c r="M926" s="793"/>
      <c r="N926" s="617"/>
      <c r="O926" s="794"/>
    </row>
    <row r="927">
      <c r="A927" s="280"/>
      <c r="B927" s="280"/>
      <c r="C927" s="280"/>
      <c r="D927" s="280"/>
      <c r="F927" s="789"/>
      <c r="G927" s="789"/>
      <c r="H927" s="790"/>
      <c r="I927" s="791"/>
      <c r="J927" s="792"/>
      <c r="K927" s="792"/>
      <c r="L927" s="791"/>
      <c r="M927" s="793"/>
      <c r="N927" s="617"/>
      <c r="O927" s="794"/>
    </row>
    <row r="928">
      <c r="A928" s="280"/>
      <c r="B928" s="280"/>
      <c r="C928" s="280"/>
      <c r="D928" s="280"/>
      <c r="F928" s="789"/>
      <c r="G928" s="789"/>
      <c r="H928" s="790"/>
      <c r="I928" s="791"/>
      <c r="J928" s="792"/>
      <c r="K928" s="792"/>
      <c r="L928" s="791"/>
      <c r="M928" s="793"/>
      <c r="N928" s="617"/>
      <c r="O928" s="794"/>
    </row>
    <row r="929">
      <c r="A929" s="280"/>
      <c r="B929" s="280"/>
      <c r="C929" s="280"/>
      <c r="D929" s="280"/>
      <c r="F929" s="789"/>
      <c r="G929" s="789"/>
      <c r="H929" s="790"/>
      <c r="I929" s="791"/>
      <c r="J929" s="792"/>
      <c r="K929" s="792"/>
      <c r="L929" s="791"/>
      <c r="M929" s="793"/>
      <c r="N929" s="617"/>
      <c r="O929" s="794"/>
    </row>
    <row r="930">
      <c r="A930" s="280"/>
      <c r="B930" s="280"/>
      <c r="C930" s="280"/>
      <c r="D930" s="280"/>
      <c r="F930" s="789"/>
      <c r="G930" s="789"/>
      <c r="H930" s="790"/>
      <c r="I930" s="791"/>
      <c r="J930" s="792"/>
      <c r="K930" s="792"/>
      <c r="L930" s="791"/>
      <c r="M930" s="793"/>
      <c r="N930" s="617"/>
      <c r="O930" s="794"/>
    </row>
    <row r="931">
      <c r="A931" s="280"/>
      <c r="B931" s="280"/>
      <c r="C931" s="280"/>
      <c r="D931" s="280"/>
      <c r="F931" s="789"/>
      <c r="G931" s="789"/>
      <c r="H931" s="790"/>
      <c r="I931" s="791"/>
      <c r="J931" s="792"/>
      <c r="K931" s="792"/>
      <c r="L931" s="791"/>
      <c r="M931" s="793"/>
      <c r="N931" s="617"/>
      <c r="O931" s="794"/>
    </row>
    <row r="932">
      <c r="A932" s="280"/>
      <c r="B932" s="280"/>
      <c r="C932" s="280"/>
      <c r="D932" s="280"/>
      <c r="F932" s="789"/>
      <c r="G932" s="789"/>
      <c r="H932" s="790"/>
      <c r="I932" s="791"/>
      <c r="J932" s="792"/>
      <c r="K932" s="792"/>
      <c r="L932" s="791"/>
      <c r="M932" s="793"/>
      <c r="N932" s="617"/>
      <c r="O932" s="794"/>
    </row>
    <row r="933">
      <c r="A933" s="280"/>
      <c r="B933" s="280"/>
      <c r="C933" s="280"/>
      <c r="D933" s="280"/>
      <c r="F933" s="789"/>
      <c r="G933" s="789"/>
      <c r="H933" s="790"/>
      <c r="I933" s="791"/>
      <c r="J933" s="792"/>
      <c r="K933" s="792"/>
      <c r="L933" s="791"/>
      <c r="M933" s="793"/>
      <c r="N933" s="617"/>
      <c r="O933" s="794"/>
    </row>
    <row r="934">
      <c r="A934" s="280"/>
      <c r="B934" s="280"/>
      <c r="C934" s="280"/>
      <c r="D934" s="280"/>
      <c r="F934" s="789"/>
      <c r="G934" s="789"/>
      <c r="H934" s="790"/>
      <c r="I934" s="791"/>
      <c r="J934" s="792"/>
      <c r="K934" s="792"/>
      <c r="L934" s="791"/>
      <c r="M934" s="793"/>
      <c r="N934" s="617"/>
      <c r="O934" s="794"/>
    </row>
    <row r="935">
      <c r="A935" s="280"/>
      <c r="B935" s="280"/>
      <c r="C935" s="280"/>
      <c r="D935" s="280"/>
      <c r="F935" s="789"/>
      <c r="G935" s="789"/>
      <c r="H935" s="790"/>
      <c r="I935" s="791"/>
      <c r="J935" s="792"/>
      <c r="K935" s="792"/>
      <c r="L935" s="791"/>
      <c r="M935" s="793"/>
      <c r="N935" s="617"/>
      <c r="O935" s="794"/>
    </row>
    <row r="936">
      <c r="A936" s="280"/>
      <c r="B936" s="280"/>
      <c r="C936" s="280"/>
      <c r="D936" s="280"/>
      <c r="F936" s="789"/>
      <c r="G936" s="789"/>
      <c r="H936" s="790"/>
      <c r="I936" s="791"/>
      <c r="J936" s="792"/>
      <c r="K936" s="792"/>
      <c r="L936" s="791"/>
      <c r="M936" s="793"/>
      <c r="N936" s="617"/>
      <c r="O936" s="794"/>
    </row>
    <row r="937">
      <c r="A937" s="280"/>
      <c r="B937" s="280"/>
      <c r="C937" s="280"/>
      <c r="D937" s="280"/>
      <c r="F937" s="789"/>
      <c r="G937" s="789"/>
      <c r="H937" s="790"/>
      <c r="I937" s="791"/>
      <c r="J937" s="792"/>
      <c r="K937" s="792"/>
      <c r="L937" s="791"/>
      <c r="M937" s="793"/>
      <c r="N937" s="617"/>
      <c r="O937" s="794"/>
    </row>
    <row r="938">
      <c r="A938" s="280"/>
      <c r="B938" s="280"/>
      <c r="C938" s="280"/>
      <c r="D938" s="280"/>
      <c r="F938" s="789"/>
      <c r="G938" s="789"/>
      <c r="H938" s="790"/>
      <c r="I938" s="791"/>
      <c r="J938" s="792"/>
      <c r="K938" s="792"/>
      <c r="L938" s="791"/>
      <c r="M938" s="793"/>
      <c r="N938" s="617"/>
      <c r="O938" s="794"/>
    </row>
    <row r="939">
      <c r="A939" s="280"/>
      <c r="B939" s="280"/>
      <c r="C939" s="280"/>
      <c r="D939" s="280"/>
      <c r="F939" s="789"/>
      <c r="G939" s="789"/>
      <c r="H939" s="790"/>
      <c r="I939" s="791"/>
      <c r="J939" s="792"/>
      <c r="K939" s="792"/>
      <c r="L939" s="791"/>
      <c r="M939" s="793"/>
      <c r="N939" s="617"/>
      <c r="O939" s="794"/>
    </row>
    <row r="940">
      <c r="A940" s="280"/>
      <c r="B940" s="280"/>
      <c r="C940" s="280"/>
      <c r="D940" s="280"/>
      <c r="F940" s="789"/>
      <c r="G940" s="789"/>
      <c r="H940" s="790"/>
      <c r="I940" s="791"/>
      <c r="J940" s="792"/>
      <c r="K940" s="792"/>
      <c r="L940" s="791"/>
      <c r="M940" s="793"/>
      <c r="N940" s="617"/>
      <c r="O940" s="794"/>
    </row>
    <row r="941">
      <c r="A941" s="280"/>
      <c r="B941" s="280"/>
      <c r="C941" s="280"/>
      <c r="D941" s="280"/>
      <c r="F941" s="789"/>
      <c r="G941" s="789"/>
      <c r="H941" s="790"/>
      <c r="I941" s="791"/>
      <c r="J941" s="792"/>
      <c r="K941" s="792"/>
      <c r="L941" s="791"/>
      <c r="M941" s="793"/>
      <c r="N941" s="617"/>
      <c r="O941" s="794"/>
    </row>
    <row r="942">
      <c r="A942" s="280"/>
      <c r="B942" s="280"/>
      <c r="C942" s="280"/>
      <c r="D942" s="280"/>
      <c r="F942" s="789"/>
      <c r="G942" s="789"/>
      <c r="H942" s="790"/>
      <c r="I942" s="791"/>
      <c r="J942" s="792"/>
      <c r="K942" s="792"/>
      <c r="L942" s="791"/>
      <c r="M942" s="793"/>
      <c r="N942" s="617"/>
      <c r="O942" s="794"/>
    </row>
    <row r="943">
      <c r="A943" s="280"/>
      <c r="B943" s="280"/>
      <c r="C943" s="280"/>
      <c r="D943" s="280"/>
      <c r="F943" s="789"/>
      <c r="G943" s="789"/>
      <c r="H943" s="790"/>
      <c r="I943" s="791"/>
      <c r="J943" s="792"/>
      <c r="K943" s="792"/>
      <c r="L943" s="791"/>
      <c r="M943" s="793"/>
      <c r="N943" s="617"/>
      <c r="O943" s="794"/>
    </row>
    <row r="944">
      <c r="A944" s="280"/>
      <c r="B944" s="280"/>
      <c r="C944" s="280"/>
      <c r="D944" s="280"/>
      <c r="F944" s="789"/>
      <c r="G944" s="789"/>
      <c r="H944" s="790"/>
      <c r="I944" s="791"/>
      <c r="J944" s="792"/>
      <c r="K944" s="792"/>
      <c r="L944" s="791"/>
      <c r="M944" s="793"/>
      <c r="N944" s="617"/>
      <c r="O944" s="794"/>
    </row>
    <row r="945">
      <c r="A945" s="280"/>
      <c r="B945" s="280"/>
      <c r="C945" s="280"/>
      <c r="D945" s="280"/>
      <c r="F945" s="789"/>
      <c r="G945" s="789"/>
      <c r="H945" s="790"/>
      <c r="I945" s="791"/>
      <c r="J945" s="792"/>
      <c r="K945" s="792"/>
      <c r="L945" s="791"/>
      <c r="M945" s="793"/>
      <c r="N945" s="617"/>
      <c r="O945" s="794"/>
    </row>
    <row r="946">
      <c r="A946" s="280"/>
      <c r="B946" s="280"/>
      <c r="C946" s="280"/>
      <c r="D946" s="280"/>
      <c r="F946" s="789"/>
      <c r="G946" s="789"/>
      <c r="H946" s="790"/>
      <c r="I946" s="791"/>
      <c r="J946" s="792"/>
      <c r="K946" s="792"/>
      <c r="L946" s="791"/>
      <c r="M946" s="793"/>
      <c r="N946" s="617"/>
      <c r="O946" s="794"/>
    </row>
    <row r="947">
      <c r="A947" s="280"/>
      <c r="B947" s="280"/>
      <c r="C947" s="280"/>
      <c r="D947" s="280"/>
      <c r="F947" s="789"/>
      <c r="G947" s="789"/>
      <c r="H947" s="790"/>
      <c r="I947" s="791"/>
      <c r="J947" s="792"/>
      <c r="K947" s="792"/>
      <c r="L947" s="791"/>
      <c r="M947" s="793"/>
      <c r="N947" s="617"/>
      <c r="O947" s="794"/>
    </row>
    <row r="948">
      <c r="A948" s="280"/>
      <c r="B948" s="280"/>
      <c r="C948" s="280"/>
      <c r="D948" s="280"/>
      <c r="F948" s="789"/>
      <c r="G948" s="789"/>
      <c r="H948" s="790"/>
      <c r="I948" s="791"/>
      <c r="J948" s="792"/>
      <c r="K948" s="792"/>
      <c r="L948" s="791"/>
      <c r="M948" s="793"/>
      <c r="N948" s="617"/>
      <c r="O948" s="794"/>
    </row>
    <row r="949">
      <c r="A949" s="280"/>
      <c r="B949" s="280"/>
      <c r="C949" s="280"/>
      <c r="D949" s="280"/>
      <c r="F949" s="789"/>
      <c r="G949" s="789"/>
      <c r="H949" s="790"/>
      <c r="I949" s="791"/>
      <c r="J949" s="792"/>
      <c r="K949" s="792"/>
      <c r="L949" s="791"/>
      <c r="M949" s="793"/>
      <c r="N949" s="617"/>
      <c r="O949" s="794"/>
    </row>
    <row r="950">
      <c r="A950" s="280"/>
      <c r="B950" s="280"/>
      <c r="C950" s="280"/>
      <c r="D950" s="280"/>
      <c r="F950" s="789"/>
      <c r="G950" s="789"/>
      <c r="H950" s="790"/>
      <c r="I950" s="791"/>
      <c r="J950" s="792"/>
      <c r="K950" s="792"/>
      <c r="L950" s="791"/>
      <c r="M950" s="793"/>
      <c r="N950" s="617"/>
      <c r="O950" s="794"/>
    </row>
    <row r="951">
      <c r="A951" s="280"/>
      <c r="B951" s="280"/>
      <c r="C951" s="280"/>
      <c r="D951" s="280"/>
      <c r="F951" s="789"/>
      <c r="G951" s="789"/>
      <c r="H951" s="790"/>
      <c r="I951" s="791"/>
      <c r="J951" s="792"/>
      <c r="K951" s="792"/>
      <c r="L951" s="791"/>
      <c r="M951" s="793"/>
      <c r="N951" s="617"/>
      <c r="O951" s="794"/>
    </row>
    <row r="952">
      <c r="A952" s="280"/>
      <c r="B952" s="280"/>
      <c r="C952" s="280"/>
      <c r="D952" s="280"/>
      <c r="F952" s="789"/>
      <c r="G952" s="789"/>
      <c r="H952" s="790"/>
      <c r="I952" s="791"/>
      <c r="J952" s="792"/>
      <c r="K952" s="792"/>
      <c r="L952" s="791"/>
      <c r="M952" s="793"/>
      <c r="N952" s="617"/>
      <c r="O952" s="794"/>
    </row>
    <row r="953">
      <c r="A953" s="280"/>
      <c r="B953" s="280"/>
      <c r="C953" s="280"/>
      <c r="D953" s="280"/>
      <c r="F953" s="789"/>
      <c r="G953" s="789"/>
      <c r="H953" s="790"/>
      <c r="I953" s="791"/>
      <c r="J953" s="792"/>
      <c r="K953" s="792"/>
      <c r="L953" s="791"/>
      <c r="M953" s="793"/>
      <c r="N953" s="617"/>
      <c r="O953" s="794"/>
    </row>
    <row r="954">
      <c r="A954" s="280"/>
      <c r="B954" s="280"/>
      <c r="C954" s="280"/>
      <c r="D954" s="280"/>
      <c r="F954" s="789"/>
      <c r="G954" s="789"/>
      <c r="H954" s="790"/>
      <c r="I954" s="791"/>
      <c r="J954" s="792"/>
      <c r="K954" s="792"/>
      <c r="L954" s="791"/>
      <c r="M954" s="793"/>
      <c r="N954" s="617"/>
      <c r="O954" s="794"/>
    </row>
    <row r="955">
      <c r="A955" s="280"/>
      <c r="B955" s="280"/>
      <c r="C955" s="280"/>
      <c r="D955" s="280"/>
      <c r="F955" s="789"/>
      <c r="G955" s="789"/>
      <c r="H955" s="790"/>
      <c r="I955" s="791"/>
      <c r="J955" s="792"/>
      <c r="K955" s="792"/>
      <c r="L955" s="791"/>
      <c r="M955" s="793"/>
      <c r="N955" s="617"/>
      <c r="O955" s="794"/>
    </row>
    <row r="956">
      <c r="A956" s="280"/>
      <c r="B956" s="280"/>
      <c r="C956" s="280"/>
      <c r="D956" s="280"/>
      <c r="F956" s="789"/>
      <c r="G956" s="789"/>
      <c r="H956" s="790"/>
      <c r="I956" s="791"/>
      <c r="J956" s="792"/>
      <c r="K956" s="792"/>
      <c r="L956" s="791"/>
      <c r="M956" s="793"/>
      <c r="N956" s="617"/>
      <c r="O956" s="794"/>
    </row>
    <row r="957">
      <c r="A957" s="280"/>
      <c r="B957" s="280"/>
      <c r="C957" s="280"/>
      <c r="D957" s="280"/>
      <c r="F957" s="789"/>
      <c r="G957" s="789"/>
      <c r="H957" s="790"/>
      <c r="I957" s="791"/>
      <c r="J957" s="792"/>
      <c r="K957" s="792"/>
      <c r="L957" s="791"/>
      <c r="M957" s="793"/>
      <c r="N957" s="617"/>
      <c r="O957" s="794"/>
    </row>
    <row r="958">
      <c r="A958" s="280"/>
      <c r="B958" s="280"/>
      <c r="C958" s="280"/>
      <c r="D958" s="280"/>
      <c r="F958" s="789"/>
      <c r="G958" s="789"/>
      <c r="H958" s="790"/>
      <c r="I958" s="791"/>
      <c r="J958" s="792"/>
      <c r="K958" s="792"/>
      <c r="L958" s="791"/>
      <c r="M958" s="793"/>
      <c r="N958" s="617"/>
      <c r="O958" s="794"/>
    </row>
    <row r="959">
      <c r="A959" s="280"/>
      <c r="B959" s="280"/>
      <c r="C959" s="280"/>
      <c r="D959" s="280"/>
      <c r="F959" s="789"/>
      <c r="G959" s="789"/>
      <c r="H959" s="790"/>
      <c r="I959" s="791"/>
      <c r="J959" s="792"/>
      <c r="K959" s="792"/>
      <c r="L959" s="791"/>
      <c r="M959" s="793"/>
      <c r="N959" s="617"/>
      <c r="O959" s="794"/>
    </row>
    <row r="960">
      <c r="A960" s="280"/>
      <c r="B960" s="280"/>
      <c r="C960" s="280"/>
      <c r="D960" s="280"/>
      <c r="F960" s="789"/>
      <c r="G960" s="789"/>
      <c r="H960" s="790"/>
      <c r="I960" s="791"/>
      <c r="J960" s="792"/>
      <c r="K960" s="792"/>
      <c r="L960" s="791"/>
      <c r="M960" s="793"/>
      <c r="N960" s="617"/>
      <c r="O960" s="794"/>
    </row>
    <row r="961">
      <c r="A961" s="280"/>
      <c r="B961" s="280"/>
      <c r="C961" s="280"/>
      <c r="D961" s="280"/>
      <c r="F961" s="789"/>
      <c r="G961" s="789"/>
      <c r="H961" s="790"/>
      <c r="I961" s="791"/>
      <c r="J961" s="792"/>
      <c r="K961" s="792"/>
      <c r="L961" s="791"/>
      <c r="M961" s="793"/>
      <c r="N961" s="617"/>
      <c r="O961" s="794"/>
    </row>
    <row r="962">
      <c r="A962" s="280"/>
      <c r="B962" s="280"/>
      <c r="C962" s="280"/>
      <c r="D962" s="280"/>
      <c r="F962" s="789"/>
      <c r="G962" s="789"/>
      <c r="H962" s="790"/>
      <c r="I962" s="791"/>
      <c r="J962" s="792"/>
      <c r="K962" s="792"/>
      <c r="L962" s="791"/>
      <c r="M962" s="793"/>
      <c r="N962" s="617"/>
      <c r="O962" s="794"/>
    </row>
    <row r="963">
      <c r="A963" s="280"/>
      <c r="B963" s="280"/>
      <c r="C963" s="280"/>
      <c r="D963" s="280"/>
      <c r="F963" s="789"/>
      <c r="G963" s="789"/>
      <c r="H963" s="790"/>
      <c r="I963" s="791"/>
      <c r="J963" s="792"/>
      <c r="K963" s="792"/>
      <c r="L963" s="791"/>
      <c r="M963" s="793"/>
      <c r="N963" s="617"/>
      <c r="O963" s="794"/>
    </row>
    <row r="964">
      <c r="A964" s="280"/>
      <c r="B964" s="280"/>
      <c r="C964" s="280"/>
      <c r="D964" s="280"/>
      <c r="F964" s="789"/>
      <c r="G964" s="789"/>
      <c r="H964" s="790"/>
      <c r="I964" s="791"/>
      <c r="J964" s="792"/>
      <c r="K964" s="792"/>
      <c r="L964" s="791"/>
      <c r="M964" s="793"/>
      <c r="N964" s="617"/>
      <c r="O964" s="794"/>
    </row>
    <row r="965">
      <c r="A965" s="280"/>
      <c r="B965" s="280"/>
      <c r="C965" s="280"/>
      <c r="D965" s="280"/>
      <c r="F965" s="789"/>
      <c r="G965" s="789"/>
      <c r="H965" s="790"/>
      <c r="I965" s="791"/>
      <c r="J965" s="792"/>
      <c r="K965" s="792"/>
      <c r="L965" s="791"/>
      <c r="M965" s="793"/>
      <c r="N965" s="617"/>
      <c r="O965" s="794"/>
    </row>
    <row r="966">
      <c r="A966" s="280"/>
      <c r="B966" s="280"/>
      <c r="C966" s="280"/>
      <c r="D966" s="280"/>
      <c r="F966" s="789"/>
      <c r="G966" s="789"/>
      <c r="H966" s="790"/>
      <c r="I966" s="791"/>
      <c r="J966" s="792"/>
      <c r="K966" s="792"/>
      <c r="L966" s="791"/>
      <c r="M966" s="793"/>
      <c r="N966" s="617"/>
      <c r="O966" s="794"/>
    </row>
    <row r="967">
      <c r="A967" s="280"/>
      <c r="B967" s="280"/>
      <c r="C967" s="280"/>
      <c r="D967" s="280"/>
      <c r="F967" s="789"/>
      <c r="G967" s="789"/>
      <c r="H967" s="790"/>
      <c r="I967" s="791"/>
      <c r="J967" s="792"/>
      <c r="K967" s="792"/>
      <c r="L967" s="791"/>
      <c r="M967" s="793"/>
      <c r="N967" s="617"/>
      <c r="O967" s="794"/>
    </row>
    <row r="968">
      <c r="A968" s="280"/>
      <c r="B968" s="280"/>
      <c r="C968" s="280"/>
      <c r="D968" s="280"/>
      <c r="F968" s="789"/>
      <c r="G968" s="789"/>
      <c r="H968" s="790"/>
      <c r="I968" s="791"/>
      <c r="J968" s="792"/>
      <c r="K968" s="792"/>
      <c r="L968" s="791"/>
      <c r="M968" s="793"/>
      <c r="N968" s="617"/>
      <c r="O968" s="794"/>
    </row>
    <row r="969">
      <c r="A969" s="280"/>
      <c r="B969" s="280"/>
      <c r="C969" s="280"/>
      <c r="D969" s="280"/>
      <c r="F969" s="789"/>
      <c r="G969" s="789"/>
      <c r="H969" s="790"/>
      <c r="I969" s="791"/>
      <c r="J969" s="792"/>
      <c r="K969" s="792"/>
      <c r="L969" s="791"/>
      <c r="M969" s="793"/>
      <c r="N969" s="617"/>
      <c r="O969" s="794"/>
    </row>
    <row r="970">
      <c r="A970" s="280"/>
      <c r="B970" s="280"/>
      <c r="C970" s="280"/>
      <c r="D970" s="280"/>
      <c r="F970" s="789"/>
      <c r="G970" s="789"/>
      <c r="H970" s="790"/>
      <c r="I970" s="791"/>
      <c r="J970" s="792"/>
      <c r="K970" s="792"/>
      <c r="L970" s="791"/>
      <c r="M970" s="793"/>
      <c r="N970" s="617"/>
      <c r="O970" s="794"/>
    </row>
    <row r="971">
      <c r="A971" s="280"/>
      <c r="B971" s="280"/>
      <c r="C971" s="280"/>
      <c r="D971" s="280"/>
      <c r="F971" s="789"/>
      <c r="G971" s="789"/>
      <c r="H971" s="790"/>
      <c r="I971" s="791"/>
      <c r="J971" s="792"/>
      <c r="K971" s="792"/>
      <c r="L971" s="791"/>
      <c r="M971" s="793"/>
      <c r="N971" s="617"/>
      <c r="O971" s="794"/>
    </row>
    <row r="972">
      <c r="A972" s="280"/>
      <c r="B972" s="280"/>
      <c r="C972" s="280"/>
      <c r="D972" s="280"/>
      <c r="F972" s="789"/>
      <c r="G972" s="789"/>
      <c r="H972" s="790"/>
      <c r="I972" s="791"/>
      <c r="J972" s="792"/>
      <c r="K972" s="792"/>
      <c r="L972" s="791"/>
      <c r="M972" s="793"/>
      <c r="N972" s="617"/>
      <c r="O972" s="794"/>
    </row>
    <row r="973">
      <c r="A973" s="280"/>
      <c r="B973" s="280"/>
      <c r="C973" s="280"/>
      <c r="D973" s="280"/>
      <c r="F973" s="789"/>
      <c r="G973" s="789"/>
      <c r="H973" s="790"/>
      <c r="I973" s="791"/>
      <c r="J973" s="792"/>
      <c r="K973" s="792"/>
      <c r="L973" s="791"/>
      <c r="M973" s="793"/>
      <c r="N973" s="617"/>
      <c r="O973" s="794"/>
    </row>
    <row r="974">
      <c r="A974" s="280"/>
      <c r="B974" s="280"/>
      <c r="C974" s="280"/>
      <c r="D974" s="280"/>
      <c r="F974" s="789"/>
      <c r="G974" s="789"/>
      <c r="H974" s="790"/>
      <c r="I974" s="791"/>
      <c r="J974" s="792"/>
      <c r="K974" s="792"/>
      <c r="L974" s="791"/>
      <c r="M974" s="793"/>
      <c r="N974" s="617"/>
      <c r="O974" s="794"/>
    </row>
    <row r="975">
      <c r="A975" s="280"/>
      <c r="B975" s="280"/>
      <c r="C975" s="280"/>
      <c r="D975" s="280"/>
      <c r="F975" s="789"/>
      <c r="G975" s="789"/>
      <c r="H975" s="790"/>
      <c r="I975" s="791"/>
      <c r="J975" s="792"/>
      <c r="K975" s="792"/>
      <c r="L975" s="791"/>
      <c r="M975" s="793"/>
      <c r="N975" s="617"/>
      <c r="O975" s="794"/>
    </row>
    <row r="976">
      <c r="A976" s="280"/>
      <c r="B976" s="280"/>
      <c r="C976" s="280"/>
      <c r="D976" s="280"/>
      <c r="F976" s="789"/>
      <c r="G976" s="789"/>
      <c r="H976" s="790"/>
      <c r="I976" s="791"/>
      <c r="J976" s="792"/>
      <c r="K976" s="792"/>
      <c r="L976" s="791"/>
      <c r="M976" s="793"/>
      <c r="N976" s="617"/>
      <c r="O976" s="794"/>
    </row>
    <row r="977">
      <c r="A977" s="280"/>
      <c r="B977" s="280"/>
      <c r="C977" s="280"/>
      <c r="D977" s="280"/>
      <c r="F977" s="789"/>
      <c r="G977" s="789"/>
      <c r="H977" s="790"/>
      <c r="I977" s="791"/>
      <c r="J977" s="792"/>
      <c r="K977" s="792"/>
      <c r="L977" s="791"/>
      <c r="M977" s="793"/>
      <c r="N977" s="617"/>
      <c r="O977" s="794"/>
    </row>
    <row r="978">
      <c r="A978" s="280"/>
      <c r="B978" s="280"/>
      <c r="C978" s="280"/>
      <c r="D978" s="280"/>
      <c r="F978" s="789"/>
      <c r="G978" s="789"/>
      <c r="H978" s="790"/>
      <c r="I978" s="791"/>
      <c r="J978" s="792"/>
      <c r="K978" s="792"/>
      <c r="L978" s="791"/>
      <c r="M978" s="793"/>
      <c r="N978" s="617"/>
      <c r="O978" s="794"/>
    </row>
    <row r="979">
      <c r="A979" s="280"/>
      <c r="B979" s="280"/>
      <c r="C979" s="280"/>
      <c r="D979" s="280"/>
      <c r="F979" s="789"/>
      <c r="G979" s="789"/>
      <c r="H979" s="790"/>
      <c r="I979" s="791"/>
      <c r="J979" s="792"/>
      <c r="K979" s="792"/>
      <c r="L979" s="791"/>
      <c r="M979" s="793"/>
      <c r="N979" s="617"/>
      <c r="O979" s="794"/>
    </row>
    <row r="980">
      <c r="A980" s="280"/>
      <c r="B980" s="280"/>
      <c r="C980" s="280"/>
      <c r="D980" s="280"/>
      <c r="F980" s="789"/>
      <c r="G980" s="789"/>
      <c r="H980" s="790"/>
      <c r="I980" s="791"/>
      <c r="J980" s="792"/>
      <c r="K980" s="792"/>
      <c r="L980" s="791"/>
      <c r="M980" s="793"/>
      <c r="N980" s="617"/>
      <c r="O980" s="794"/>
    </row>
    <row r="981">
      <c r="A981" s="280"/>
      <c r="B981" s="280"/>
      <c r="C981" s="280"/>
      <c r="D981" s="280"/>
      <c r="F981" s="789"/>
      <c r="G981" s="789"/>
      <c r="H981" s="790"/>
      <c r="I981" s="791"/>
      <c r="J981" s="792"/>
      <c r="K981" s="792"/>
      <c r="L981" s="791"/>
      <c r="M981" s="793"/>
      <c r="N981" s="617"/>
      <c r="O981" s="794"/>
    </row>
    <row r="982">
      <c r="A982" s="280"/>
      <c r="B982" s="280"/>
      <c r="C982" s="280"/>
      <c r="D982" s="280"/>
      <c r="F982" s="789"/>
      <c r="G982" s="789"/>
      <c r="H982" s="790"/>
      <c r="I982" s="791"/>
      <c r="J982" s="792"/>
      <c r="K982" s="792"/>
      <c r="L982" s="791"/>
      <c r="M982" s="793"/>
      <c r="N982" s="617"/>
      <c r="O982" s="794"/>
    </row>
    <row r="983">
      <c r="A983" s="280"/>
      <c r="B983" s="280"/>
      <c r="C983" s="280"/>
      <c r="D983" s="280"/>
      <c r="F983" s="789"/>
      <c r="G983" s="789"/>
      <c r="H983" s="790"/>
      <c r="I983" s="791"/>
      <c r="J983" s="792"/>
      <c r="K983" s="792"/>
      <c r="L983" s="791"/>
      <c r="M983" s="793"/>
      <c r="N983" s="617"/>
      <c r="O983" s="794"/>
    </row>
    <row r="984">
      <c r="A984" s="280"/>
      <c r="B984" s="280"/>
      <c r="C984" s="280"/>
      <c r="D984" s="280"/>
      <c r="F984" s="789"/>
      <c r="G984" s="789"/>
      <c r="H984" s="790"/>
      <c r="I984" s="791"/>
      <c r="J984" s="792"/>
      <c r="K984" s="792"/>
      <c r="L984" s="791"/>
      <c r="M984" s="793"/>
      <c r="N984" s="617"/>
      <c r="O984" s="794"/>
    </row>
    <row r="985">
      <c r="A985" s="280"/>
      <c r="B985" s="280"/>
      <c r="C985" s="280"/>
      <c r="D985" s="280"/>
      <c r="F985" s="789"/>
      <c r="G985" s="789"/>
      <c r="H985" s="790"/>
      <c r="I985" s="791"/>
      <c r="J985" s="792"/>
      <c r="K985" s="792"/>
      <c r="L985" s="791"/>
      <c r="M985" s="793"/>
      <c r="N985" s="617"/>
      <c r="O985" s="794"/>
    </row>
    <row r="986">
      <c r="A986" s="280"/>
      <c r="B986" s="280"/>
      <c r="C986" s="280"/>
      <c r="D986" s="280"/>
      <c r="F986" s="789"/>
      <c r="G986" s="789"/>
      <c r="H986" s="790"/>
      <c r="I986" s="791"/>
      <c r="J986" s="792"/>
      <c r="K986" s="792"/>
      <c r="L986" s="791"/>
      <c r="M986" s="793"/>
      <c r="N986" s="617"/>
      <c r="O986" s="794"/>
    </row>
    <row r="987">
      <c r="A987" s="280"/>
      <c r="B987" s="280"/>
      <c r="C987" s="280"/>
      <c r="D987" s="280"/>
      <c r="F987" s="789"/>
      <c r="G987" s="789"/>
      <c r="H987" s="790"/>
      <c r="I987" s="791"/>
      <c r="J987" s="792"/>
      <c r="K987" s="792"/>
      <c r="L987" s="791"/>
      <c r="M987" s="793"/>
      <c r="N987" s="617"/>
      <c r="O987" s="794"/>
    </row>
    <row r="988">
      <c r="A988" s="280"/>
      <c r="B988" s="280"/>
      <c r="C988" s="280"/>
      <c r="D988" s="280"/>
      <c r="F988" s="789"/>
      <c r="G988" s="789"/>
      <c r="H988" s="790"/>
      <c r="I988" s="791"/>
      <c r="J988" s="792"/>
      <c r="K988" s="792"/>
      <c r="L988" s="791"/>
      <c r="M988" s="793"/>
      <c r="N988" s="617"/>
      <c r="O988" s="794"/>
    </row>
    <row r="989">
      <c r="A989" s="280"/>
      <c r="B989" s="280"/>
      <c r="C989" s="280"/>
      <c r="D989" s="280"/>
      <c r="F989" s="789"/>
      <c r="G989" s="789"/>
      <c r="H989" s="790"/>
      <c r="I989" s="791"/>
      <c r="J989" s="792"/>
      <c r="K989" s="792"/>
      <c r="L989" s="791"/>
      <c r="M989" s="793"/>
      <c r="N989" s="617"/>
      <c r="O989" s="794"/>
    </row>
    <row r="990">
      <c r="A990" s="280"/>
      <c r="B990" s="280"/>
      <c r="C990" s="280"/>
      <c r="D990" s="280"/>
      <c r="F990" s="789"/>
      <c r="G990" s="789"/>
      <c r="H990" s="790"/>
      <c r="I990" s="791"/>
      <c r="J990" s="792"/>
      <c r="K990" s="792"/>
      <c r="L990" s="791"/>
      <c r="M990" s="793"/>
      <c r="N990" s="617"/>
      <c r="O990" s="794"/>
    </row>
    <row r="991">
      <c r="A991" s="280"/>
      <c r="B991" s="280"/>
      <c r="C991" s="280"/>
      <c r="D991" s="280"/>
      <c r="F991" s="789"/>
      <c r="G991" s="789"/>
      <c r="H991" s="790"/>
      <c r="I991" s="791"/>
      <c r="J991" s="792"/>
      <c r="K991" s="792"/>
      <c r="L991" s="791"/>
      <c r="M991" s="793"/>
      <c r="N991" s="617"/>
      <c r="O991" s="794"/>
    </row>
    <row r="992">
      <c r="A992" s="280"/>
      <c r="B992" s="280"/>
      <c r="C992" s="280"/>
      <c r="D992" s="280"/>
      <c r="F992" s="789"/>
      <c r="G992" s="789"/>
      <c r="H992" s="790"/>
      <c r="I992" s="791"/>
      <c r="J992" s="792"/>
      <c r="K992" s="792"/>
      <c r="L992" s="791"/>
      <c r="M992" s="793"/>
      <c r="N992" s="617"/>
      <c r="O992" s="794"/>
    </row>
    <row r="993">
      <c r="A993" s="280"/>
      <c r="B993" s="280"/>
      <c r="C993" s="280"/>
      <c r="D993" s="280"/>
      <c r="F993" s="789"/>
      <c r="G993" s="789"/>
      <c r="H993" s="790"/>
      <c r="I993" s="791"/>
      <c r="J993" s="792"/>
      <c r="K993" s="792"/>
      <c r="L993" s="791"/>
      <c r="M993" s="793"/>
      <c r="N993" s="617"/>
      <c r="O993" s="794"/>
    </row>
    <row r="994">
      <c r="A994" s="280"/>
      <c r="B994" s="280"/>
      <c r="C994" s="280"/>
      <c r="D994" s="280"/>
      <c r="F994" s="789"/>
      <c r="G994" s="789"/>
      <c r="H994" s="790"/>
      <c r="I994" s="791"/>
      <c r="J994" s="792"/>
      <c r="K994" s="792"/>
      <c r="L994" s="791"/>
      <c r="M994" s="793"/>
      <c r="N994" s="617"/>
      <c r="O994" s="794"/>
    </row>
    <row r="995">
      <c r="A995" s="280"/>
      <c r="B995" s="280"/>
      <c r="C995" s="280"/>
      <c r="D995" s="280"/>
      <c r="F995" s="789"/>
      <c r="G995" s="789"/>
      <c r="H995" s="790"/>
      <c r="I995" s="791"/>
      <c r="J995" s="792"/>
      <c r="K995" s="792"/>
      <c r="L995" s="791"/>
      <c r="M995" s="793"/>
      <c r="N995" s="617"/>
      <c r="O995" s="794"/>
    </row>
    <row r="996">
      <c r="A996" s="280"/>
      <c r="B996" s="280"/>
      <c r="C996" s="280"/>
      <c r="D996" s="280"/>
      <c r="F996" s="789"/>
      <c r="G996" s="789"/>
      <c r="H996" s="790"/>
      <c r="I996" s="791"/>
      <c r="J996" s="792"/>
      <c r="K996" s="792"/>
      <c r="L996" s="791"/>
      <c r="M996" s="793"/>
      <c r="N996" s="617"/>
      <c r="O996" s="794"/>
    </row>
    <row r="997">
      <c r="A997" s="280"/>
      <c r="B997" s="280"/>
      <c r="C997" s="280"/>
      <c r="D997" s="280"/>
      <c r="F997" s="789"/>
      <c r="G997" s="789"/>
      <c r="H997" s="790"/>
      <c r="I997" s="791"/>
      <c r="J997" s="792"/>
      <c r="K997" s="792"/>
      <c r="L997" s="791"/>
      <c r="M997" s="793"/>
      <c r="N997" s="617"/>
      <c r="O997" s="794"/>
    </row>
    <row r="998">
      <c r="A998" s="280"/>
      <c r="B998" s="280"/>
      <c r="C998" s="280"/>
      <c r="D998" s="280"/>
      <c r="F998" s="789"/>
      <c r="G998" s="789"/>
      <c r="H998" s="790"/>
      <c r="I998" s="791"/>
      <c r="J998" s="792"/>
      <c r="K998" s="792"/>
      <c r="L998" s="791"/>
      <c r="M998" s="793"/>
      <c r="N998" s="617"/>
      <c r="O998" s="794"/>
    </row>
    <row r="999">
      <c r="A999" s="280"/>
      <c r="B999" s="280"/>
      <c r="C999" s="280"/>
      <c r="D999" s="280"/>
      <c r="F999" s="789"/>
      <c r="G999" s="789"/>
      <c r="H999" s="790"/>
      <c r="I999" s="791"/>
      <c r="J999" s="792"/>
      <c r="K999" s="792"/>
      <c r="L999" s="791"/>
      <c r="M999" s="793"/>
      <c r="N999" s="617"/>
      <c r="O999" s="794"/>
    </row>
    <row r="1000">
      <c r="A1000" s="280"/>
      <c r="B1000" s="280"/>
      <c r="C1000" s="280"/>
      <c r="D1000" s="280"/>
      <c r="F1000" s="789"/>
      <c r="G1000" s="789"/>
      <c r="H1000" s="790"/>
      <c r="I1000" s="791"/>
      <c r="J1000" s="792"/>
      <c r="K1000" s="792"/>
      <c r="L1000" s="791"/>
      <c r="M1000" s="793"/>
      <c r="N1000" s="617"/>
      <c r="O1000" s="794"/>
    </row>
  </sheetData>
  <autoFilter ref="$A$1:$O$10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4.5"/>
    <col customWidth="1" min="2" max="3" width="11.5"/>
    <col customWidth="1" min="4" max="4" width="5.38"/>
    <col customWidth="1" min="5" max="5" width="21.63"/>
    <col customWidth="1" min="6" max="9" width="11.88"/>
  </cols>
  <sheetData>
    <row r="1">
      <c r="A1" s="796" t="s">
        <v>4073</v>
      </c>
      <c r="B1" s="797" t="s">
        <v>3072</v>
      </c>
      <c r="C1" s="797" t="s">
        <v>3073</v>
      </c>
      <c r="D1" s="798"/>
      <c r="E1" s="796"/>
      <c r="F1" s="799" t="s">
        <v>4074</v>
      </c>
      <c r="G1" s="799" t="s">
        <v>4075</v>
      </c>
      <c r="H1" s="800" t="s">
        <v>4076</v>
      </c>
      <c r="I1" s="800" t="s">
        <v>2</v>
      </c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</row>
    <row r="2">
      <c r="A2" s="802" t="s">
        <v>1108</v>
      </c>
      <c r="B2" s="803">
        <f>14500*1.19</f>
        <v>17255</v>
      </c>
      <c r="C2" s="803">
        <f>15500*1.19</f>
        <v>18445</v>
      </c>
      <c r="D2" s="804"/>
      <c r="E2" s="805" t="s">
        <v>4077</v>
      </c>
      <c r="F2" s="806"/>
      <c r="G2" s="806"/>
      <c r="H2" s="800"/>
      <c r="I2" s="800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07"/>
      <c r="U2" s="807"/>
    </row>
    <row r="3">
      <c r="A3" s="802" t="s">
        <v>4078</v>
      </c>
      <c r="B3" s="803">
        <f>11500*1.19</f>
        <v>13685</v>
      </c>
      <c r="C3" s="803">
        <f>13319*1.19</f>
        <v>15849.61</v>
      </c>
      <c r="D3" s="804"/>
      <c r="E3" s="805" t="s">
        <v>4079</v>
      </c>
      <c r="F3" s="806"/>
      <c r="G3" s="806"/>
      <c r="H3" s="800"/>
      <c r="I3" s="800"/>
      <c r="J3" s="807"/>
      <c r="K3" s="807"/>
      <c r="L3" s="807"/>
      <c r="M3" s="807"/>
      <c r="N3" s="807"/>
      <c r="O3" s="807"/>
      <c r="P3" s="807"/>
      <c r="Q3" s="807"/>
      <c r="R3" s="807"/>
      <c r="S3" s="807"/>
      <c r="T3" s="807"/>
      <c r="U3" s="807"/>
    </row>
    <row r="4">
      <c r="A4" s="802" t="s">
        <v>375</v>
      </c>
      <c r="B4" s="808">
        <f>10500*1.19</f>
        <v>12495</v>
      </c>
      <c r="C4" s="803">
        <f>14300*1.19</f>
        <v>17017</v>
      </c>
      <c r="D4" s="804"/>
      <c r="E4" s="805" t="s">
        <v>4080</v>
      </c>
      <c r="F4" s="806"/>
      <c r="G4" s="806"/>
      <c r="H4" s="800"/>
      <c r="I4" s="800"/>
      <c r="J4" s="807"/>
      <c r="K4" s="807"/>
      <c r="L4" s="807"/>
      <c r="M4" s="807"/>
      <c r="N4" s="807"/>
      <c r="O4" s="807"/>
      <c r="P4" s="807"/>
      <c r="Q4" s="807"/>
      <c r="R4" s="807"/>
      <c r="S4" s="807"/>
      <c r="T4" s="807"/>
      <c r="U4" s="807"/>
    </row>
    <row r="5">
      <c r="A5" s="802" t="s">
        <v>286</v>
      </c>
      <c r="B5" s="803">
        <f>12000*1.19</f>
        <v>14280</v>
      </c>
      <c r="C5" s="803">
        <f>17000*1.19</f>
        <v>20230</v>
      </c>
      <c r="D5" s="807"/>
      <c r="J5" s="807"/>
      <c r="K5" s="807"/>
      <c r="L5" s="807"/>
      <c r="M5" s="807"/>
      <c r="N5" s="807"/>
      <c r="O5" s="807"/>
      <c r="P5" s="807"/>
      <c r="Q5" s="807"/>
      <c r="R5" s="807"/>
      <c r="S5" s="807"/>
      <c r="T5" s="807"/>
      <c r="U5" s="807"/>
    </row>
    <row r="6">
      <c r="A6" s="802" t="s">
        <v>4081</v>
      </c>
      <c r="B6" s="803">
        <v>15400.0</v>
      </c>
      <c r="C6" s="803">
        <v>17500.0</v>
      </c>
      <c r="D6" s="807"/>
      <c r="E6" s="809" t="s">
        <v>4082</v>
      </c>
      <c r="F6" s="806"/>
      <c r="G6" s="806"/>
      <c r="H6" s="800"/>
      <c r="I6" s="800"/>
      <c r="J6" s="807"/>
      <c r="K6" s="807"/>
      <c r="L6" s="807"/>
      <c r="M6" s="807"/>
      <c r="N6" s="807"/>
      <c r="O6" s="807"/>
      <c r="P6" s="807"/>
      <c r="Q6" s="807"/>
      <c r="R6" s="807"/>
      <c r="S6" s="807"/>
      <c r="T6" s="807"/>
      <c r="U6" s="807"/>
    </row>
    <row r="7">
      <c r="A7" s="810" t="s">
        <v>4083</v>
      </c>
      <c r="B7" s="797">
        <v>12500.0</v>
      </c>
      <c r="C7" s="811">
        <v>15500.0</v>
      </c>
      <c r="D7" s="807"/>
      <c r="E7" s="809" t="s">
        <v>4084</v>
      </c>
      <c r="F7" s="730"/>
      <c r="G7" s="730"/>
      <c r="H7" s="812"/>
      <c r="I7" s="812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  <c r="U7" s="807"/>
    </row>
    <row r="8">
      <c r="A8" s="810" t="s">
        <v>4085</v>
      </c>
      <c r="B8" s="797"/>
      <c r="C8" s="811">
        <v>20000.0</v>
      </c>
      <c r="D8" s="807"/>
      <c r="E8" s="809" t="s">
        <v>4086</v>
      </c>
      <c r="F8" s="730"/>
      <c r="G8" s="730"/>
      <c r="H8" s="812"/>
      <c r="I8" s="812"/>
      <c r="J8" s="807"/>
      <c r="K8" s="807"/>
      <c r="L8" s="807"/>
      <c r="M8" s="807"/>
      <c r="N8" s="807"/>
      <c r="O8" s="807"/>
      <c r="P8" s="807"/>
      <c r="Q8" s="807"/>
      <c r="R8" s="807"/>
      <c r="S8" s="807"/>
      <c r="T8" s="807"/>
      <c r="U8" s="807"/>
    </row>
    <row r="9">
      <c r="A9" s="807"/>
      <c r="B9" s="813"/>
      <c r="C9" s="813"/>
      <c r="D9" s="807"/>
      <c r="E9" s="809" t="s">
        <v>4087</v>
      </c>
      <c r="F9" s="806"/>
      <c r="G9" s="806"/>
      <c r="H9" s="814"/>
      <c r="I9" s="814"/>
      <c r="J9" s="807"/>
      <c r="K9" s="807"/>
      <c r="L9" s="807"/>
      <c r="M9" s="807"/>
      <c r="N9" s="807"/>
      <c r="O9" s="807"/>
      <c r="P9" s="807"/>
      <c r="Q9" s="807"/>
      <c r="R9" s="807"/>
      <c r="S9" s="807"/>
      <c r="T9" s="807"/>
      <c r="U9" s="807"/>
    </row>
    <row r="10">
      <c r="A10" s="815" t="s">
        <v>4088</v>
      </c>
      <c r="B10" s="816"/>
      <c r="C10" s="813"/>
      <c r="D10" s="807"/>
      <c r="J10" s="807"/>
      <c r="K10" s="807"/>
      <c r="L10" s="807"/>
      <c r="M10" s="807"/>
      <c r="N10" s="807"/>
      <c r="O10" s="807"/>
      <c r="P10" s="807"/>
      <c r="Q10" s="807"/>
      <c r="R10" s="807"/>
      <c r="S10" s="807"/>
      <c r="T10" s="807"/>
      <c r="U10" s="807"/>
    </row>
    <row r="11">
      <c r="A11" s="804"/>
      <c r="B11" s="817"/>
      <c r="C11" s="818"/>
      <c r="D11" s="807"/>
      <c r="E11" s="809" t="s">
        <v>4089</v>
      </c>
      <c r="F11" s="806"/>
      <c r="G11" s="806"/>
      <c r="H11" s="814"/>
      <c r="I11" s="814"/>
      <c r="J11" s="807"/>
      <c r="K11" s="807"/>
      <c r="L11" s="807"/>
      <c r="M11" s="807"/>
      <c r="N11" s="807"/>
      <c r="O11" s="807"/>
      <c r="P11" s="807"/>
      <c r="Q11" s="807"/>
      <c r="R11" s="807"/>
      <c r="S11" s="807"/>
      <c r="T11" s="807"/>
      <c r="U11" s="807"/>
    </row>
    <row r="12">
      <c r="A12" s="804"/>
      <c r="B12" s="817"/>
      <c r="C12" s="818"/>
      <c r="D12" s="807"/>
      <c r="E12" s="809" t="s">
        <v>4090</v>
      </c>
      <c r="F12" s="806"/>
      <c r="G12" s="806"/>
      <c r="H12" s="814"/>
      <c r="I12" s="814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</row>
    <row r="13">
      <c r="A13" s="807"/>
      <c r="B13" s="817"/>
      <c r="C13" s="818"/>
      <c r="D13" s="807"/>
      <c r="E13" s="809" t="s">
        <v>4091</v>
      </c>
      <c r="F13" s="806"/>
      <c r="G13" s="806"/>
      <c r="H13" s="814"/>
      <c r="I13" s="814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</row>
    <row r="14">
      <c r="A14" s="807"/>
      <c r="B14" s="817"/>
      <c r="C14" s="818"/>
      <c r="D14" s="807"/>
      <c r="E14" s="809" t="s">
        <v>4092</v>
      </c>
      <c r="F14" s="806"/>
      <c r="G14" s="806"/>
      <c r="H14" s="814"/>
      <c r="I14" s="814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</row>
    <row r="15">
      <c r="A15" s="807"/>
      <c r="B15" s="817"/>
      <c r="C15" s="818"/>
      <c r="D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</row>
    <row r="16">
      <c r="A16" s="807"/>
      <c r="B16" s="817"/>
      <c r="C16" s="818"/>
      <c r="D16" s="807"/>
      <c r="E16" s="809" t="s">
        <v>4093</v>
      </c>
      <c r="F16" s="806"/>
      <c r="G16" s="806"/>
      <c r="H16" s="814"/>
      <c r="I16" s="814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</row>
    <row r="17">
      <c r="A17" s="807"/>
      <c r="B17" s="817"/>
      <c r="C17" s="819"/>
      <c r="D17" s="807"/>
      <c r="E17" s="809" t="s">
        <v>4094</v>
      </c>
      <c r="F17" s="806"/>
      <c r="G17" s="806"/>
      <c r="H17" s="814"/>
      <c r="I17" s="814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</row>
    <row r="18">
      <c r="A18" s="807"/>
      <c r="B18" s="817"/>
      <c r="C18" s="819"/>
      <c r="D18" s="807"/>
      <c r="E18" s="807"/>
      <c r="F18" s="801"/>
      <c r="G18" s="801"/>
      <c r="H18" s="801"/>
      <c r="I18" s="801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</row>
    <row r="19">
      <c r="A19" s="807"/>
      <c r="B19" s="817"/>
      <c r="C19" s="819"/>
      <c r="D19" s="807"/>
      <c r="E19" s="804" t="s">
        <v>4095</v>
      </c>
      <c r="F19" s="801"/>
      <c r="G19" s="820"/>
      <c r="H19" s="801"/>
      <c r="I19" s="821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</row>
    <row r="20">
      <c r="A20" s="807"/>
      <c r="B20" s="817"/>
      <c r="C20" s="819"/>
      <c r="D20" s="807"/>
      <c r="E20" s="807"/>
      <c r="F20" s="801"/>
      <c r="G20" s="801"/>
      <c r="H20" s="801"/>
      <c r="I20" s="801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</row>
    <row r="21">
      <c r="A21" s="807"/>
      <c r="B21" s="817"/>
      <c r="C21" s="819"/>
      <c r="D21" s="807"/>
      <c r="E21" s="807"/>
      <c r="F21" s="801"/>
      <c r="G21" s="801"/>
      <c r="H21" s="801"/>
      <c r="I21" s="801"/>
      <c r="J21" s="807"/>
      <c r="K21" s="807"/>
      <c r="L21" s="807"/>
      <c r="M21" s="807"/>
      <c r="N21" s="807"/>
      <c r="O21" s="807"/>
      <c r="P21" s="807"/>
      <c r="Q21" s="807"/>
      <c r="R21" s="807"/>
      <c r="S21" s="807"/>
      <c r="T21" s="807"/>
      <c r="U21" s="807"/>
    </row>
    <row r="22">
      <c r="A22" s="807"/>
      <c r="B22" s="817"/>
      <c r="C22" s="819"/>
      <c r="D22" s="807"/>
      <c r="E22" s="807"/>
      <c r="F22" s="801"/>
      <c r="G22" s="801"/>
      <c r="H22" s="801"/>
      <c r="I22" s="801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</row>
    <row r="23">
      <c r="A23" s="807"/>
      <c r="B23" s="817"/>
      <c r="C23" s="819"/>
      <c r="D23" s="807"/>
      <c r="E23" s="807"/>
      <c r="F23" s="801"/>
      <c r="G23" s="801"/>
      <c r="H23" s="801"/>
      <c r="I23" s="801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</row>
    <row r="24">
      <c r="A24" s="807"/>
      <c r="B24" s="817"/>
      <c r="C24" s="819"/>
      <c r="D24" s="807"/>
      <c r="E24" s="807"/>
      <c r="F24" s="801"/>
      <c r="G24" s="801"/>
      <c r="H24" s="801"/>
      <c r="I24" s="801"/>
      <c r="J24" s="807"/>
      <c r="K24" s="807"/>
      <c r="L24" s="807"/>
      <c r="M24" s="807"/>
      <c r="N24" s="807"/>
      <c r="O24" s="807"/>
      <c r="P24" s="807"/>
      <c r="Q24" s="807"/>
      <c r="R24" s="807"/>
      <c r="S24" s="807"/>
      <c r="T24" s="807"/>
      <c r="U24" s="807"/>
    </row>
    <row r="25">
      <c r="A25" s="807"/>
      <c r="B25" s="817"/>
      <c r="C25" s="819"/>
      <c r="D25" s="807"/>
      <c r="E25" s="807"/>
      <c r="F25" s="801"/>
      <c r="G25" s="801"/>
      <c r="H25" s="801"/>
      <c r="I25" s="801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</row>
    <row r="26">
      <c r="A26" s="807"/>
      <c r="B26" s="813"/>
      <c r="C26" s="813"/>
      <c r="D26" s="807"/>
      <c r="E26" s="807"/>
      <c r="F26" s="801"/>
      <c r="G26" s="801"/>
      <c r="H26" s="801"/>
      <c r="I26" s="801"/>
      <c r="J26" s="807"/>
      <c r="K26" s="807"/>
      <c r="L26" s="807"/>
      <c r="M26" s="807"/>
      <c r="N26" s="807"/>
      <c r="O26" s="807"/>
      <c r="P26" s="807"/>
      <c r="Q26" s="807"/>
      <c r="R26" s="807"/>
      <c r="S26" s="807"/>
      <c r="T26" s="807"/>
      <c r="U26" s="807"/>
    </row>
    <row r="27">
      <c r="A27" s="807"/>
      <c r="B27" s="822"/>
      <c r="C27" s="813"/>
      <c r="D27" s="807"/>
      <c r="E27" s="807"/>
      <c r="F27" s="801"/>
      <c r="G27" s="801"/>
      <c r="H27" s="801"/>
      <c r="I27" s="801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07"/>
    </row>
    <row r="28">
      <c r="A28" s="807"/>
      <c r="B28" s="813"/>
      <c r="C28" s="813"/>
      <c r="D28" s="807"/>
      <c r="E28" s="807"/>
      <c r="F28" s="801"/>
      <c r="G28" s="801"/>
      <c r="H28" s="801"/>
      <c r="I28" s="801"/>
      <c r="J28" s="807"/>
      <c r="K28" s="807"/>
      <c r="L28" s="807"/>
      <c r="M28" s="807"/>
      <c r="N28" s="807"/>
      <c r="O28" s="807"/>
      <c r="P28" s="807"/>
      <c r="Q28" s="807"/>
      <c r="R28" s="807"/>
      <c r="S28" s="807"/>
      <c r="T28" s="807"/>
      <c r="U28" s="807"/>
    </row>
    <row r="29">
      <c r="A29" s="807"/>
      <c r="B29" s="813"/>
      <c r="C29" s="813"/>
      <c r="D29" s="807"/>
      <c r="E29" s="807"/>
      <c r="F29" s="801"/>
      <c r="G29" s="801"/>
      <c r="H29" s="801"/>
      <c r="I29" s="801"/>
      <c r="J29" s="807"/>
      <c r="K29" s="807"/>
      <c r="L29" s="807"/>
      <c r="M29" s="807"/>
      <c r="N29" s="807"/>
      <c r="O29" s="807"/>
      <c r="P29" s="807"/>
      <c r="Q29" s="807"/>
      <c r="R29" s="807"/>
      <c r="S29" s="807"/>
      <c r="T29" s="807"/>
      <c r="U29" s="807"/>
    </row>
    <row r="30">
      <c r="A30" s="807"/>
      <c r="B30" s="813"/>
      <c r="C30" s="813"/>
      <c r="D30" s="807"/>
      <c r="E30" s="807"/>
      <c r="F30" s="801"/>
      <c r="G30" s="801"/>
      <c r="H30" s="801"/>
      <c r="I30" s="801"/>
      <c r="J30" s="807"/>
      <c r="K30" s="807"/>
      <c r="L30" s="807"/>
      <c r="M30" s="807"/>
      <c r="N30" s="807"/>
      <c r="O30" s="807"/>
      <c r="P30" s="807"/>
      <c r="Q30" s="807"/>
      <c r="R30" s="807"/>
      <c r="S30" s="807"/>
      <c r="T30" s="807"/>
      <c r="U30" s="807"/>
    </row>
    <row r="31">
      <c r="A31" s="807"/>
      <c r="B31" s="813"/>
      <c r="C31" s="813"/>
      <c r="D31" s="807"/>
      <c r="E31" s="807"/>
      <c r="F31" s="801"/>
      <c r="G31" s="801"/>
      <c r="H31" s="801"/>
      <c r="I31" s="801"/>
      <c r="J31" s="807"/>
      <c r="K31" s="807"/>
      <c r="L31" s="807"/>
      <c r="M31" s="807"/>
      <c r="N31" s="807"/>
      <c r="O31" s="807"/>
      <c r="P31" s="807"/>
      <c r="Q31" s="807"/>
      <c r="R31" s="807"/>
      <c r="S31" s="807"/>
      <c r="T31" s="807"/>
      <c r="U31" s="807"/>
    </row>
    <row r="32">
      <c r="A32" s="807"/>
      <c r="B32" s="813"/>
      <c r="C32" s="813"/>
      <c r="D32" s="807"/>
      <c r="E32" s="807"/>
      <c r="F32" s="801"/>
      <c r="G32" s="801"/>
      <c r="H32" s="801"/>
      <c r="I32" s="801"/>
      <c r="J32" s="807"/>
      <c r="K32" s="807"/>
      <c r="L32" s="807"/>
      <c r="M32" s="807"/>
      <c r="N32" s="807"/>
      <c r="O32" s="807"/>
      <c r="P32" s="807"/>
      <c r="Q32" s="807"/>
      <c r="R32" s="807"/>
      <c r="S32" s="807"/>
      <c r="T32" s="807"/>
      <c r="U32" s="807"/>
    </row>
    <row r="33">
      <c r="A33" s="807"/>
      <c r="B33" s="813"/>
      <c r="C33" s="813"/>
      <c r="D33" s="807"/>
      <c r="E33" s="807"/>
      <c r="F33" s="801"/>
      <c r="G33" s="801"/>
      <c r="H33" s="801"/>
      <c r="I33" s="801"/>
      <c r="J33" s="807"/>
      <c r="K33" s="807"/>
      <c r="L33" s="807"/>
      <c r="M33" s="807"/>
      <c r="N33" s="807"/>
      <c r="O33" s="807"/>
      <c r="P33" s="807"/>
      <c r="Q33" s="807"/>
      <c r="R33" s="807"/>
      <c r="S33" s="807"/>
      <c r="T33" s="807"/>
      <c r="U33" s="807"/>
    </row>
    <row r="34">
      <c r="A34" s="807"/>
      <c r="B34" s="813"/>
      <c r="C34" s="813"/>
      <c r="D34" s="807"/>
      <c r="E34" s="807"/>
      <c r="F34" s="801"/>
      <c r="G34" s="801"/>
      <c r="H34" s="801"/>
      <c r="I34" s="801"/>
      <c r="J34" s="807"/>
      <c r="K34" s="807"/>
      <c r="L34" s="807"/>
      <c r="M34" s="807"/>
      <c r="N34" s="807"/>
      <c r="O34" s="807"/>
      <c r="P34" s="807"/>
      <c r="Q34" s="807"/>
      <c r="R34" s="807"/>
      <c r="S34" s="807"/>
      <c r="T34" s="807"/>
      <c r="U34" s="807"/>
    </row>
    <row r="35">
      <c r="A35" s="807"/>
      <c r="B35" s="813"/>
      <c r="C35" s="813"/>
      <c r="D35" s="807"/>
      <c r="E35" s="807"/>
      <c r="F35" s="801"/>
      <c r="G35" s="801"/>
      <c r="H35" s="801"/>
      <c r="I35" s="801"/>
      <c r="J35" s="807"/>
      <c r="K35" s="807"/>
      <c r="L35" s="807"/>
      <c r="M35" s="807"/>
      <c r="N35" s="807"/>
      <c r="O35" s="807"/>
      <c r="P35" s="807"/>
      <c r="Q35" s="807"/>
      <c r="R35" s="807"/>
      <c r="S35" s="807"/>
      <c r="T35" s="807"/>
      <c r="U35" s="807"/>
    </row>
    <row r="36">
      <c r="A36" s="807"/>
      <c r="B36" s="813"/>
      <c r="C36" s="813"/>
      <c r="D36" s="807"/>
      <c r="E36" s="807"/>
      <c r="F36" s="801"/>
      <c r="G36" s="801"/>
      <c r="H36" s="801"/>
      <c r="I36" s="801"/>
      <c r="J36" s="807"/>
      <c r="K36" s="807"/>
      <c r="L36" s="807"/>
      <c r="M36" s="807"/>
      <c r="N36" s="807"/>
      <c r="O36" s="807"/>
      <c r="P36" s="807"/>
      <c r="Q36" s="807"/>
      <c r="R36" s="807"/>
      <c r="S36" s="807"/>
      <c r="T36" s="807"/>
      <c r="U36" s="807"/>
    </row>
    <row r="37">
      <c r="A37" s="807"/>
      <c r="B37" s="813"/>
      <c r="C37" s="813"/>
      <c r="D37" s="807"/>
      <c r="E37" s="807"/>
      <c r="F37" s="801"/>
      <c r="G37" s="801"/>
      <c r="H37" s="801"/>
      <c r="I37" s="801"/>
      <c r="J37" s="807"/>
      <c r="K37" s="807"/>
      <c r="L37" s="807"/>
      <c r="M37" s="807"/>
      <c r="N37" s="807"/>
      <c r="O37" s="807"/>
      <c r="P37" s="807"/>
      <c r="Q37" s="807"/>
      <c r="R37" s="807"/>
      <c r="S37" s="807"/>
      <c r="T37" s="807"/>
      <c r="U37" s="807"/>
    </row>
    <row r="38">
      <c r="A38" s="807"/>
      <c r="B38" s="813"/>
      <c r="C38" s="813"/>
      <c r="D38" s="807"/>
      <c r="E38" s="807"/>
      <c r="F38" s="801"/>
      <c r="G38" s="801"/>
      <c r="H38" s="801"/>
      <c r="I38" s="801"/>
      <c r="J38" s="807"/>
      <c r="K38" s="807"/>
      <c r="L38" s="807"/>
      <c r="M38" s="807"/>
      <c r="N38" s="807"/>
      <c r="O38" s="807"/>
      <c r="P38" s="807"/>
      <c r="Q38" s="807"/>
      <c r="R38" s="807"/>
      <c r="S38" s="807"/>
      <c r="T38" s="807"/>
      <c r="U38" s="807"/>
    </row>
    <row r="39">
      <c r="A39" s="807"/>
      <c r="B39" s="813"/>
      <c r="C39" s="813"/>
      <c r="D39" s="807"/>
      <c r="E39" s="807"/>
      <c r="F39" s="801"/>
      <c r="G39" s="801"/>
      <c r="H39" s="801"/>
      <c r="I39" s="801"/>
      <c r="J39" s="807"/>
      <c r="K39" s="807"/>
      <c r="L39" s="807"/>
      <c r="M39" s="807"/>
      <c r="N39" s="807"/>
      <c r="O39" s="807"/>
      <c r="P39" s="807"/>
      <c r="Q39" s="807"/>
      <c r="R39" s="807"/>
      <c r="S39" s="807"/>
      <c r="T39" s="807"/>
      <c r="U39" s="807"/>
    </row>
    <row r="40">
      <c r="A40" s="807"/>
      <c r="B40" s="813"/>
      <c r="C40" s="813"/>
      <c r="D40" s="807"/>
      <c r="E40" s="807"/>
      <c r="F40" s="801"/>
      <c r="G40" s="801"/>
      <c r="H40" s="801"/>
      <c r="I40" s="801"/>
      <c r="J40" s="807"/>
      <c r="K40" s="807"/>
      <c r="L40" s="807"/>
      <c r="M40" s="807"/>
      <c r="N40" s="807"/>
      <c r="O40" s="807"/>
      <c r="P40" s="807"/>
      <c r="Q40" s="807"/>
      <c r="R40" s="807"/>
      <c r="S40" s="807"/>
      <c r="T40" s="807"/>
      <c r="U40" s="807"/>
    </row>
    <row r="41">
      <c r="A41" s="807"/>
      <c r="B41" s="813"/>
      <c r="C41" s="813"/>
      <c r="D41" s="807"/>
      <c r="E41" s="807"/>
      <c r="F41" s="801"/>
      <c r="G41" s="801"/>
      <c r="H41" s="801"/>
      <c r="I41" s="801"/>
      <c r="J41" s="807"/>
      <c r="K41" s="807"/>
      <c r="L41" s="807"/>
      <c r="M41" s="807"/>
      <c r="N41" s="807"/>
      <c r="O41" s="807"/>
      <c r="P41" s="807"/>
      <c r="Q41" s="807"/>
      <c r="R41" s="807"/>
      <c r="S41" s="807"/>
      <c r="T41" s="807"/>
      <c r="U41" s="807"/>
    </row>
    <row r="42">
      <c r="A42" s="807"/>
      <c r="B42" s="813"/>
      <c r="C42" s="813"/>
      <c r="D42" s="807"/>
      <c r="E42" s="807"/>
      <c r="F42" s="801"/>
      <c r="G42" s="801"/>
      <c r="H42" s="801"/>
      <c r="I42" s="801"/>
      <c r="J42" s="807"/>
      <c r="K42" s="807"/>
      <c r="L42" s="807"/>
      <c r="M42" s="807"/>
      <c r="N42" s="807"/>
      <c r="O42" s="807"/>
      <c r="P42" s="807"/>
      <c r="Q42" s="807"/>
      <c r="R42" s="807"/>
      <c r="S42" s="807"/>
      <c r="T42" s="807"/>
      <c r="U42" s="807"/>
    </row>
    <row r="43">
      <c r="A43" s="807"/>
      <c r="B43" s="813"/>
      <c r="C43" s="813"/>
      <c r="D43" s="807"/>
      <c r="E43" s="807"/>
      <c r="F43" s="801"/>
      <c r="G43" s="801"/>
      <c r="H43" s="801"/>
      <c r="I43" s="801"/>
      <c r="J43" s="807"/>
      <c r="K43" s="807"/>
      <c r="L43" s="807"/>
      <c r="M43" s="807"/>
      <c r="N43" s="807"/>
      <c r="O43" s="807"/>
      <c r="P43" s="807"/>
      <c r="Q43" s="807"/>
      <c r="R43" s="807"/>
      <c r="S43" s="807"/>
      <c r="T43" s="807"/>
      <c r="U43" s="807"/>
    </row>
    <row r="44">
      <c r="A44" s="807"/>
      <c r="B44" s="813"/>
      <c r="C44" s="813"/>
      <c r="D44" s="807"/>
      <c r="E44" s="807"/>
      <c r="F44" s="801"/>
      <c r="G44" s="801"/>
      <c r="H44" s="801"/>
      <c r="I44" s="801"/>
      <c r="J44" s="807"/>
      <c r="K44" s="807"/>
      <c r="L44" s="807"/>
      <c r="M44" s="807"/>
      <c r="N44" s="807"/>
      <c r="O44" s="807"/>
      <c r="P44" s="807"/>
      <c r="Q44" s="807"/>
      <c r="R44" s="807"/>
      <c r="S44" s="807"/>
      <c r="T44" s="807"/>
      <c r="U44" s="807"/>
    </row>
    <row r="45">
      <c r="A45" s="807"/>
      <c r="B45" s="813"/>
      <c r="C45" s="813"/>
      <c r="D45" s="807"/>
      <c r="E45" s="807"/>
      <c r="F45" s="801"/>
      <c r="G45" s="801"/>
      <c r="H45" s="801"/>
      <c r="I45" s="801"/>
      <c r="J45" s="807"/>
      <c r="K45" s="807"/>
      <c r="L45" s="807"/>
      <c r="M45" s="807"/>
      <c r="N45" s="807"/>
      <c r="O45" s="807"/>
      <c r="P45" s="807"/>
      <c r="Q45" s="807"/>
      <c r="R45" s="807"/>
      <c r="S45" s="807"/>
      <c r="T45" s="807"/>
      <c r="U45" s="807"/>
    </row>
    <row r="46">
      <c r="A46" s="807"/>
      <c r="B46" s="813"/>
      <c r="C46" s="813"/>
      <c r="D46" s="807"/>
      <c r="E46" s="807"/>
      <c r="F46" s="801"/>
      <c r="G46" s="801"/>
      <c r="H46" s="801"/>
      <c r="I46" s="801"/>
      <c r="J46" s="807"/>
      <c r="K46" s="807"/>
      <c r="L46" s="807"/>
      <c r="M46" s="807"/>
      <c r="N46" s="807"/>
      <c r="O46" s="807"/>
      <c r="P46" s="807"/>
      <c r="Q46" s="807"/>
      <c r="R46" s="807"/>
      <c r="S46" s="807"/>
      <c r="T46" s="807"/>
      <c r="U46" s="807"/>
    </row>
    <row r="47">
      <c r="A47" s="807"/>
      <c r="B47" s="813"/>
      <c r="C47" s="813"/>
      <c r="D47" s="807"/>
      <c r="E47" s="807"/>
      <c r="F47" s="801"/>
      <c r="G47" s="801"/>
      <c r="H47" s="801"/>
      <c r="I47" s="801"/>
      <c r="J47" s="807"/>
      <c r="K47" s="807"/>
      <c r="L47" s="807"/>
      <c r="M47" s="807"/>
      <c r="N47" s="807"/>
      <c r="O47" s="807"/>
      <c r="P47" s="807"/>
      <c r="Q47" s="807"/>
      <c r="R47" s="807"/>
      <c r="S47" s="807"/>
      <c r="T47" s="807"/>
      <c r="U47" s="807"/>
    </row>
    <row r="48">
      <c r="A48" s="807"/>
      <c r="B48" s="813"/>
      <c r="C48" s="813"/>
      <c r="D48" s="807"/>
      <c r="E48" s="807"/>
      <c r="F48" s="801"/>
      <c r="G48" s="801"/>
      <c r="H48" s="801"/>
      <c r="I48" s="801"/>
      <c r="J48" s="807"/>
      <c r="K48" s="807"/>
      <c r="L48" s="807"/>
      <c r="M48" s="807"/>
      <c r="N48" s="807"/>
      <c r="O48" s="807"/>
      <c r="P48" s="807"/>
      <c r="Q48" s="807"/>
      <c r="R48" s="807"/>
      <c r="S48" s="807"/>
      <c r="T48" s="807"/>
      <c r="U48" s="807"/>
    </row>
    <row r="49">
      <c r="A49" s="807"/>
      <c r="B49" s="813"/>
      <c r="C49" s="813"/>
      <c r="D49" s="807"/>
      <c r="E49" s="807"/>
      <c r="F49" s="801"/>
      <c r="G49" s="801"/>
      <c r="H49" s="801"/>
      <c r="I49" s="801"/>
      <c r="J49" s="807"/>
      <c r="K49" s="807"/>
      <c r="L49" s="807"/>
      <c r="M49" s="807"/>
      <c r="N49" s="807"/>
      <c r="O49" s="807"/>
      <c r="P49" s="807"/>
      <c r="Q49" s="807"/>
      <c r="R49" s="807"/>
      <c r="S49" s="807"/>
      <c r="T49" s="807"/>
      <c r="U49" s="807"/>
    </row>
    <row r="50">
      <c r="A50" s="807"/>
      <c r="B50" s="813"/>
      <c r="C50" s="813"/>
      <c r="D50" s="807"/>
      <c r="E50" s="807"/>
      <c r="F50" s="801"/>
      <c r="G50" s="801"/>
      <c r="H50" s="801"/>
      <c r="I50" s="801"/>
      <c r="J50" s="807"/>
      <c r="K50" s="807"/>
      <c r="L50" s="807"/>
      <c r="M50" s="807"/>
      <c r="N50" s="807"/>
      <c r="O50" s="807"/>
      <c r="P50" s="807"/>
      <c r="Q50" s="807"/>
      <c r="R50" s="807"/>
      <c r="S50" s="807"/>
      <c r="T50" s="807"/>
      <c r="U50" s="807"/>
    </row>
    <row r="51">
      <c r="A51" s="807"/>
      <c r="B51" s="813"/>
      <c r="C51" s="813"/>
      <c r="D51" s="807"/>
      <c r="E51" s="807"/>
      <c r="F51" s="801"/>
      <c r="G51" s="801"/>
      <c r="H51" s="801"/>
      <c r="I51" s="801"/>
      <c r="J51" s="807"/>
      <c r="K51" s="807"/>
      <c r="L51" s="807"/>
      <c r="M51" s="807"/>
      <c r="N51" s="807"/>
      <c r="O51" s="807"/>
      <c r="P51" s="807"/>
      <c r="Q51" s="807"/>
      <c r="R51" s="807"/>
      <c r="S51" s="807"/>
      <c r="T51" s="807"/>
      <c r="U51" s="807"/>
    </row>
    <row r="52">
      <c r="A52" s="807"/>
      <c r="B52" s="813"/>
      <c r="C52" s="813"/>
      <c r="D52" s="807"/>
      <c r="E52" s="807"/>
      <c r="F52" s="801"/>
      <c r="G52" s="801"/>
      <c r="H52" s="801"/>
      <c r="I52" s="801"/>
      <c r="J52" s="807"/>
      <c r="K52" s="807"/>
      <c r="L52" s="807"/>
      <c r="M52" s="807"/>
      <c r="N52" s="807"/>
      <c r="O52" s="807"/>
      <c r="P52" s="807"/>
      <c r="Q52" s="807"/>
      <c r="R52" s="807"/>
      <c r="S52" s="807"/>
      <c r="T52" s="807"/>
      <c r="U52" s="807"/>
    </row>
    <row r="53">
      <c r="A53" s="807"/>
      <c r="B53" s="813"/>
      <c r="C53" s="813"/>
      <c r="D53" s="807"/>
      <c r="E53" s="807"/>
      <c r="F53" s="801"/>
      <c r="G53" s="801"/>
      <c r="H53" s="801"/>
      <c r="I53" s="801"/>
      <c r="J53" s="807"/>
      <c r="K53" s="807"/>
      <c r="L53" s="807"/>
      <c r="M53" s="807"/>
      <c r="N53" s="807"/>
      <c r="O53" s="807"/>
      <c r="P53" s="807"/>
      <c r="Q53" s="807"/>
      <c r="R53" s="807"/>
      <c r="S53" s="807"/>
      <c r="T53" s="807"/>
      <c r="U53" s="807"/>
    </row>
    <row r="54">
      <c r="A54" s="807"/>
      <c r="B54" s="813"/>
      <c r="C54" s="813"/>
      <c r="D54" s="807"/>
      <c r="E54" s="807"/>
      <c r="F54" s="801"/>
      <c r="G54" s="801"/>
      <c r="H54" s="801"/>
      <c r="I54" s="801"/>
      <c r="J54" s="807"/>
      <c r="K54" s="807"/>
      <c r="L54" s="807"/>
      <c r="M54" s="807"/>
      <c r="N54" s="807"/>
      <c r="O54" s="807"/>
      <c r="P54" s="807"/>
      <c r="Q54" s="807"/>
      <c r="R54" s="807"/>
      <c r="S54" s="807"/>
      <c r="T54" s="807"/>
      <c r="U54" s="807"/>
    </row>
    <row r="55">
      <c r="A55" s="807"/>
      <c r="B55" s="813"/>
      <c r="C55" s="813"/>
      <c r="D55" s="807"/>
      <c r="E55" s="807"/>
      <c r="F55" s="801"/>
      <c r="G55" s="801"/>
      <c r="H55" s="801"/>
      <c r="I55" s="801"/>
      <c r="J55" s="807"/>
      <c r="K55" s="807"/>
      <c r="L55" s="807"/>
      <c r="M55" s="807"/>
      <c r="N55" s="807"/>
      <c r="O55" s="807"/>
      <c r="P55" s="807"/>
      <c r="Q55" s="807"/>
      <c r="R55" s="807"/>
      <c r="S55" s="807"/>
      <c r="T55" s="807"/>
      <c r="U55" s="807"/>
    </row>
    <row r="56">
      <c r="A56" s="807"/>
      <c r="B56" s="813"/>
      <c r="C56" s="813"/>
      <c r="D56" s="807"/>
      <c r="E56" s="807"/>
      <c r="F56" s="801"/>
      <c r="G56" s="801"/>
      <c r="H56" s="801"/>
      <c r="I56" s="801"/>
      <c r="J56" s="807"/>
      <c r="K56" s="807"/>
      <c r="L56" s="807"/>
      <c r="M56" s="807"/>
      <c r="N56" s="807"/>
      <c r="O56" s="807"/>
      <c r="P56" s="807"/>
      <c r="Q56" s="807"/>
      <c r="R56" s="807"/>
      <c r="S56" s="807"/>
      <c r="T56" s="807"/>
      <c r="U56" s="807"/>
    </row>
    <row r="57">
      <c r="A57" s="807"/>
      <c r="B57" s="813"/>
      <c r="C57" s="813"/>
      <c r="D57" s="807"/>
      <c r="E57" s="807"/>
      <c r="F57" s="801"/>
      <c r="G57" s="801"/>
      <c r="H57" s="801"/>
      <c r="I57" s="801"/>
      <c r="J57" s="807"/>
      <c r="K57" s="807"/>
      <c r="L57" s="807"/>
      <c r="M57" s="807"/>
      <c r="N57" s="807"/>
      <c r="O57" s="807"/>
      <c r="P57" s="807"/>
      <c r="Q57" s="807"/>
      <c r="R57" s="807"/>
      <c r="S57" s="807"/>
      <c r="T57" s="807"/>
      <c r="U57" s="807"/>
    </row>
    <row r="58">
      <c r="A58" s="807"/>
      <c r="B58" s="813"/>
      <c r="C58" s="813"/>
      <c r="D58" s="807"/>
      <c r="E58" s="807"/>
      <c r="F58" s="801"/>
      <c r="G58" s="801"/>
      <c r="H58" s="801"/>
      <c r="I58" s="801"/>
      <c r="J58" s="807"/>
      <c r="K58" s="807"/>
      <c r="L58" s="807"/>
      <c r="M58" s="807"/>
      <c r="N58" s="807"/>
      <c r="O58" s="807"/>
      <c r="P58" s="807"/>
      <c r="Q58" s="807"/>
      <c r="R58" s="807"/>
      <c r="S58" s="807"/>
      <c r="T58" s="807"/>
      <c r="U58" s="807"/>
    </row>
    <row r="59">
      <c r="A59" s="807"/>
      <c r="B59" s="813"/>
      <c r="C59" s="813"/>
      <c r="D59" s="807"/>
      <c r="E59" s="807"/>
      <c r="F59" s="801"/>
      <c r="G59" s="801"/>
      <c r="H59" s="801"/>
      <c r="I59" s="801"/>
      <c r="J59" s="807"/>
      <c r="K59" s="807"/>
      <c r="L59" s="807"/>
      <c r="M59" s="807"/>
      <c r="N59" s="807"/>
      <c r="O59" s="807"/>
      <c r="P59" s="807"/>
      <c r="Q59" s="807"/>
      <c r="R59" s="807"/>
      <c r="S59" s="807"/>
      <c r="T59" s="807"/>
      <c r="U59" s="807"/>
    </row>
    <row r="60">
      <c r="A60" s="807"/>
      <c r="B60" s="813"/>
      <c r="C60" s="813"/>
      <c r="D60" s="807"/>
      <c r="E60" s="807"/>
      <c r="F60" s="801"/>
      <c r="G60" s="801"/>
      <c r="H60" s="801"/>
      <c r="I60" s="801"/>
      <c r="J60" s="807"/>
      <c r="K60" s="807"/>
      <c r="L60" s="807"/>
      <c r="M60" s="807"/>
      <c r="N60" s="807"/>
      <c r="O60" s="807"/>
      <c r="P60" s="807"/>
      <c r="Q60" s="807"/>
      <c r="R60" s="807"/>
      <c r="S60" s="807"/>
      <c r="T60" s="807"/>
      <c r="U60" s="807"/>
    </row>
    <row r="61">
      <c r="A61" s="807"/>
      <c r="B61" s="813"/>
      <c r="C61" s="813"/>
      <c r="D61" s="807"/>
      <c r="E61" s="807"/>
      <c r="F61" s="801"/>
      <c r="G61" s="801"/>
      <c r="H61" s="801"/>
      <c r="I61" s="801"/>
      <c r="J61" s="807"/>
      <c r="K61" s="807"/>
      <c r="L61" s="807"/>
      <c r="M61" s="807"/>
      <c r="N61" s="807"/>
      <c r="O61" s="807"/>
      <c r="P61" s="807"/>
      <c r="Q61" s="807"/>
      <c r="R61" s="807"/>
      <c r="S61" s="807"/>
      <c r="T61" s="807"/>
      <c r="U61" s="807"/>
    </row>
    <row r="62">
      <c r="A62" s="807"/>
      <c r="B62" s="813"/>
      <c r="C62" s="813"/>
      <c r="D62" s="807"/>
      <c r="E62" s="807"/>
      <c r="F62" s="801"/>
      <c r="G62" s="801"/>
      <c r="H62" s="801"/>
      <c r="I62" s="801"/>
      <c r="J62" s="807"/>
      <c r="K62" s="807"/>
      <c r="L62" s="807"/>
      <c r="M62" s="807"/>
      <c r="N62" s="807"/>
      <c r="O62" s="807"/>
      <c r="P62" s="807"/>
      <c r="Q62" s="807"/>
      <c r="R62" s="807"/>
      <c r="S62" s="807"/>
      <c r="T62" s="807"/>
      <c r="U62" s="807"/>
    </row>
    <row r="63">
      <c r="A63" s="807"/>
      <c r="B63" s="813"/>
      <c r="C63" s="813"/>
      <c r="D63" s="807"/>
      <c r="E63" s="807"/>
      <c r="F63" s="801"/>
      <c r="G63" s="801"/>
      <c r="H63" s="801"/>
      <c r="I63" s="801"/>
      <c r="J63" s="807"/>
      <c r="K63" s="807"/>
      <c r="L63" s="807"/>
      <c r="M63" s="807"/>
      <c r="N63" s="807"/>
      <c r="O63" s="807"/>
      <c r="P63" s="807"/>
      <c r="Q63" s="807"/>
      <c r="R63" s="807"/>
      <c r="S63" s="807"/>
      <c r="T63" s="807"/>
      <c r="U63" s="807"/>
    </row>
    <row r="64">
      <c r="A64" s="807"/>
      <c r="B64" s="813"/>
      <c r="C64" s="813"/>
      <c r="D64" s="807"/>
      <c r="E64" s="807"/>
      <c r="F64" s="801"/>
      <c r="G64" s="801"/>
      <c r="H64" s="801"/>
      <c r="I64" s="801"/>
      <c r="J64" s="807"/>
      <c r="K64" s="807"/>
      <c r="L64" s="807"/>
      <c r="M64" s="807"/>
      <c r="N64" s="807"/>
      <c r="O64" s="807"/>
      <c r="P64" s="807"/>
      <c r="Q64" s="807"/>
      <c r="R64" s="807"/>
      <c r="S64" s="807"/>
      <c r="T64" s="807"/>
      <c r="U64" s="807"/>
    </row>
    <row r="65">
      <c r="A65" s="807"/>
      <c r="B65" s="813"/>
      <c r="C65" s="813"/>
      <c r="D65" s="807"/>
      <c r="E65" s="807"/>
      <c r="F65" s="801"/>
      <c r="G65" s="801"/>
      <c r="H65" s="801"/>
      <c r="I65" s="801"/>
      <c r="J65" s="807"/>
      <c r="K65" s="807"/>
      <c r="L65" s="807"/>
      <c r="M65" s="807"/>
      <c r="N65" s="807"/>
      <c r="O65" s="807"/>
      <c r="P65" s="807"/>
      <c r="Q65" s="807"/>
      <c r="R65" s="807"/>
      <c r="S65" s="807"/>
      <c r="T65" s="807"/>
      <c r="U65" s="807"/>
    </row>
    <row r="66">
      <c r="A66" s="807"/>
      <c r="B66" s="813"/>
      <c r="C66" s="813"/>
      <c r="D66" s="807"/>
      <c r="E66" s="807"/>
      <c r="F66" s="801"/>
      <c r="G66" s="801"/>
      <c r="H66" s="801"/>
      <c r="I66" s="801"/>
      <c r="J66" s="807"/>
      <c r="K66" s="807"/>
      <c r="L66" s="807"/>
      <c r="M66" s="807"/>
      <c r="N66" s="807"/>
      <c r="O66" s="807"/>
      <c r="P66" s="807"/>
      <c r="Q66" s="807"/>
      <c r="R66" s="807"/>
      <c r="S66" s="807"/>
      <c r="T66" s="807"/>
      <c r="U66" s="807"/>
    </row>
    <row r="67">
      <c r="A67" s="807"/>
      <c r="B67" s="813"/>
      <c r="C67" s="813"/>
      <c r="D67" s="807"/>
      <c r="E67" s="807"/>
      <c r="F67" s="801"/>
      <c r="G67" s="801"/>
      <c r="H67" s="801"/>
      <c r="I67" s="801"/>
      <c r="J67" s="807"/>
      <c r="K67" s="807"/>
      <c r="L67" s="807"/>
      <c r="M67" s="807"/>
      <c r="N67" s="807"/>
      <c r="O67" s="807"/>
      <c r="P67" s="807"/>
      <c r="Q67" s="807"/>
      <c r="R67" s="807"/>
      <c r="S67" s="807"/>
      <c r="T67" s="807"/>
      <c r="U67" s="807"/>
    </row>
    <row r="68">
      <c r="A68" s="807"/>
      <c r="B68" s="813"/>
      <c r="C68" s="813"/>
      <c r="D68" s="807"/>
      <c r="E68" s="807"/>
      <c r="F68" s="801"/>
      <c r="G68" s="801"/>
      <c r="H68" s="801"/>
      <c r="I68" s="801"/>
      <c r="J68" s="807"/>
      <c r="K68" s="807"/>
      <c r="L68" s="807"/>
      <c r="M68" s="807"/>
      <c r="N68" s="807"/>
      <c r="O68" s="807"/>
      <c r="P68" s="807"/>
      <c r="Q68" s="807"/>
      <c r="R68" s="807"/>
      <c r="S68" s="807"/>
      <c r="T68" s="807"/>
      <c r="U68" s="807"/>
    </row>
    <row r="69">
      <c r="A69" s="807"/>
      <c r="B69" s="813"/>
      <c r="C69" s="813"/>
      <c r="D69" s="807"/>
      <c r="E69" s="807"/>
      <c r="F69" s="801"/>
      <c r="G69" s="801"/>
      <c r="H69" s="801"/>
      <c r="I69" s="801"/>
      <c r="J69" s="807"/>
      <c r="K69" s="807"/>
      <c r="L69" s="807"/>
      <c r="M69" s="807"/>
      <c r="N69" s="807"/>
      <c r="O69" s="807"/>
      <c r="P69" s="807"/>
      <c r="Q69" s="807"/>
      <c r="R69" s="807"/>
      <c r="S69" s="807"/>
      <c r="T69" s="807"/>
      <c r="U69" s="807"/>
    </row>
    <row r="70">
      <c r="A70" s="807"/>
      <c r="B70" s="813"/>
      <c r="C70" s="813"/>
      <c r="D70" s="807"/>
      <c r="E70" s="807"/>
      <c r="F70" s="801"/>
      <c r="G70" s="801"/>
      <c r="H70" s="801"/>
      <c r="I70" s="801"/>
      <c r="J70" s="807"/>
      <c r="K70" s="807"/>
      <c r="L70" s="807"/>
      <c r="M70" s="807"/>
      <c r="N70" s="807"/>
      <c r="O70" s="807"/>
      <c r="P70" s="807"/>
      <c r="Q70" s="807"/>
      <c r="R70" s="807"/>
      <c r="S70" s="807"/>
      <c r="T70" s="807"/>
      <c r="U70" s="807"/>
    </row>
    <row r="71">
      <c r="A71" s="807"/>
      <c r="B71" s="813"/>
      <c r="C71" s="813"/>
      <c r="D71" s="807"/>
      <c r="E71" s="807"/>
      <c r="F71" s="801"/>
      <c r="G71" s="801"/>
      <c r="H71" s="801"/>
      <c r="I71" s="801"/>
      <c r="J71" s="807"/>
      <c r="K71" s="807"/>
      <c r="L71" s="807"/>
      <c r="M71" s="807"/>
      <c r="N71" s="807"/>
      <c r="O71" s="807"/>
      <c r="P71" s="807"/>
      <c r="Q71" s="807"/>
      <c r="R71" s="807"/>
      <c r="S71" s="807"/>
      <c r="T71" s="807"/>
      <c r="U71" s="807"/>
    </row>
    <row r="72">
      <c r="A72" s="807"/>
      <c r="B72" s="813"/>
      <c r="C72" s="813"/>
      <c r="D72" s="807"/>
      <c r="E72" s="807"/>
      <c r="F72" s="801"/>
      <c r="G72" s="801"/>
      <c r="H72" s="801"/>
      <c r="I72" s="801"/>
      <c r="J72" s="807"/>
      <c r="K72" s="807"/>
      <c r="L72" s="807"/>
      <c r="M72" s="807"/>
      <c r="N72" s="807"/>
      <c r="O72" s="807"/>
      <c r="P72" s="807"/>
      <c r="Q72" s="807"/>
      <c r="R72" s="807"/>
      <c r="S72" s="807"/>
      <c r="T72" s="807"/>
      <c r="U72" s="807"/>
    </row>
    <row r="73">
      <c r="A73" s="807"/>
      <c r="B73" s="813"/>
      <c r="C73" s="813"/>
      <c r="D73" s="807"/>
      <c r="E73" s="807"/>
      <c r="F73" s="801"/>
      <c r="G73" s="801"/>
      <c r="H73" s="801"/>
      <c r="I73" s="801"/>
      <c r="J73" s="807"/>
      <c r="K73" s="807"/>
      <c r="L73" s="807"/>
      <c r="M73" s="807"/>
      <c r="N73" s="807"/>
      <c r="O73" s="807"/>
      <c r="P73" s="807"/>
      <c r="Q73" s="807"/>
      <c r="R73" s="807"/>
      <c r="S73" s="807"/>
      <c r="T73" s="807"/>
      <c r="U73" s="807"/>
    </row>
    <row r="74">
      <c r="A74" s="807"/>
      <c r="B74" s="813"/>
      <c r="C74" s="813"/>
      <c r="D74" s="807"/>
      <c r="E74" s="807"/>
      <c r="F74" s="801"/>
      <c r="G74" s="801"/>
      <c r="H74" s="801"/>
      <c r="I74" s="801"/>
      <c r="J74" s="807"/>
      <c r="K74" s="807"/>
      <c r="L74" s="807"/>
      <c r="M74" s="807"/>
      <c r="N74" s="807"/>
      <c r="O74" s="807"/>
      <c r="P74" s="807"/>
      <c r="Q74" s="807"/>
      <c r="R74" s="807"/>
      <c r="S74" s="807"/>
      <c r="T74" s="807"/>
      <c r="U74" s="807"/>
    </row>
    <row r="75">
      <c r="A75" s="807"/>
      <c r="B75" s="813"/>
      <c r="C75" s="813"/>
      <c r="D75" s="807"/>
      <c r="E75" s="807"/>
      <c r="F75" s="801"/>
      <c r="G75" s="801"/>
      <c r="H75" s="801"/>
      <c r="I75" s="801"/>
      <c r="J75" s="807"/>
      <c r="K75" s="807"/>
      <c r="L75" s="807"/>
      <c r="M75" s="807"/>
      <c r="N75" s="807"/>
      <c r="O75" s="807"/>
      <c r="P75" s="807"/>
      <c r="Q75" s="807"/>
      <c r="R75" s="807"/>
      <c r="S75" s="807"/>
      <c r="T75" s="807"/>
      <c r="U75" s="807"/>
    </row>
    <row r="76">
      <c r="A76" s="807"/>
      <c r="B76" s="813"/>
      <c r="C76" s="813"/>
      <c r="D76" s="807"/>
      <c r="E76" s="807"/>
      <c r="F76" s="801"/>
      <c r="G76" s="801"/>
      <c r="H76" s="801"/>
      <c r="I76" s="801"/>
      <c r="J76" s="807"/>
      <c r="K76" s="807"/>
      <c r="L76" s="807"/>
      <c r="M76" s="807"/>
      <c r="N76" s="807"/>
      <c r="O76" s="807"/>
      <c r="P76" s="807"/>
      <c r="Q76" s="807"/>
      <c r="R76" s="807"/>
      <c r="S76" s="807"/>
      <c r="T76" s="807"/>
      <c r="U76" s="807"/>
    </row>
    <row r="77">
      <c r="A77" s="807"/>
      <c r="B77" s="813"/>
      <c r="C77" s="813"/>
      <c r="D77" s="807"/>
      <c r="E77" s="807"/>
      <c r="F77" s="801"/>
      <c r="G77" s="801"/>
      <c r="H77" s="801"/>
      <c r="I77" s="801"/>
      <c r="J77" s="807"/>
      <c r="K77" s="807"/>
      <c r="L77" s="807"/>
      <c r="M77" s="807"/>
      <c r="N77" s="807"/>
      <c r="O77" s="807"/>
      <c r="P77" s="807"/>
      <c r="Q77" s="807"/>
      <c r="R77" s="807"/>
      <c r="S77" s="807"/>
      <c r="T77" s="807"/>
      <c r="U77" s="807"/>
    </row>
    <row r="78">
      <c r="A78" s="807"/>
      <c r="B78" s="813"/>
      <c r="C78" s="813"/>
      <c r="D78" s="807"/>
      <c r="E78" s="807"/>
      <c r="F78" s="801"/>
      <c r="G78" s="801"/>
      <c r="H78" s="801"/>
      <c r="I78" s="801"/>
      <c r="J78" s="807"/>
      <c r="K78" s="807"/>
      <c r="L78" s="807"/>
      <c r="M78" s="807"/>
      <c r="N78" s="807"/>
      <c r="O78" s="807"/>
      <c r="P78" s="807"/>
      <c r="Q78" s="807"/>
      <c r="R78" s="807"/>
      <c r="S78" s="807"/>
      <c r="T78" s="807"/>
      <c r="U78" s="807"/>
    </row>
    <row r="79">
      <c r="A79" s="807"/>
      <c r="B79" s="813"/>
      <c r="C79" s="813"/>
      <c r="D79" s="807"/>
      <c r="E79" s="807"/>
      <c r="F79" s="801"/>
      <c r="G79" s="801"/>
      <c r="H79" s="801"/>
      <c r="I79" s="801"/>
      <c r="J79" s="807"/>
      <c r="K79" s="807"/>
      <c r="L79" s="807"/>
      <c r="M79" s="807"/>
      <c r="N79" s="807"/>
      <c r="O79" s="807"/>
      <c r="P79" s="807"/>
      <c r="Q79" s="807"/>
      <c r="R79" s="807"/>
      <c r="S79" s="807"/>
      <c r="T79" s="807"/>
      <c r="U79" s="807"/>
    </row>
    <row r="80">
      <c r="A80" s="807"/>
      <c r="B80" s="813"/>
      <c r="C80" s="813"/>
      <c r="D80" s="807"/>
      <c r="E80" s="807"/>
      <c r="F80" s="801"/>
      <c r="G80" s="801"/>
      <c r="H80" s="801"/>
      <c r="I80" s="801"/>
      <c r="J80" s="807"/>
      <c r="K80" s="807"/>
      <c r="L80" s="807"/>
      <c r="M80" s="807"/>
      <c r="N80" s="807"/>
      <c r="O80" s="807"/>
      <c r="P80" s="807"/>
      <c r="Q80" s="807"/>
      <c r="R80" s="807"/>
      <c r="S80" s="807"/>
      <c r="T80" s="807"/>
      <c r="U80" s="807"/>
    </row>
    <row r="81">
      <c r="A81" s="807"/>
      <c r="B81" s="813"/>
      <c r="C81" s="813"/>
      <c r="D81" s="807"/>
      <c r="E81" s="807"/>
      <c r="F81" s="801"/>
      <c r="G81" s="801"/>
      <c r="H81" s="801"/>
      <c r="I81" s="801"/>
      <c r="J81" s="807"/>
      <c r="K81" s="807"/>
      <c r="L81" s="807"/>
      <c r="M81" s="807"/>
      <c r="N81" s="807"/>
      <c r="O81" s="807"/>
      <c r="P81" s="807"/>
      <c r="Q81" s="807"/>
      <c r="R81" s="807"/>
      <c r="S81" s="807"/>
      <c r="T81" s="807"/>
      <c r="U81" s="807"/>
    </row>
    <row r="82">
      <c r="A82" s="807"/>
      <c r="B82" s="813"/>
      <c r="C82" s="813"/>
      <c r="D82" s="807"/>
      <c r="E82" s="807"/>
      <c r="F82" s="801"/>
      <c r="G82" s="801"/>
      <c r="H82" s="801"/>
      <c r="I82" s="801"/>
      <c r="J82" s="807"/>
      <c r="K82" s="807"/>
      <c r="L82" s="807"/>
      <c r="M82" s="807"/>
      <c r="N82" s="807"/>
      <c r="O82" s="807"/>
      <c r="P82" s="807"/>
      <c r="Q82" s="807"/>
      <c r="R82" s="807"/>
      <c r="S82" s="807"/>
      <c r="T82" s="807"/>
      <c r="U82" s="807"/>
    </row>
    <row r="83">
      <c r="A83" s="807"/>
      <c r="B83" s="813"/>
      <c r="C83" s="813"/>
      <c r="D83" s="807"/>
      <c r="E83" s="807"/>
      <c r="F83" s="801"/>
      <c r="G83" s="801"/>
      <c r="H83" s="801"/>
      <c r="I83" s="801"/>
      <c r="J83" s="807"/>
      <c r="K83" s="807"/>
      <c r="L83" s="807"/>
      <c r="M83" s="807"/>
      <c r="N83" s="807"/>
      <c r="O83" s="807"/>
      <c r="P83" s="807"/>
      <c r="Q83" s="807"/>
      <c r="R83" s="807"/>
      <c r="S83" s="807"/>
      <c r="T83" s="807"/>
      <c r="U83" s="807"/>
    </row>
    <row r="84">
      <c r="A84" s="807"/>
      <c r="B84" s="813"/>
      <c r="C84" s="813"/>
      <c r="D84" s="807"/>
      <c r="E84" s="807"/>
      <c r="F84" s="801"/>
      <c r="G84" s="801"/>
      <c r="H84" s="801"/>
      <c r="I84" s="801"/>
      <c r="J84" s="807"/>
      <c r="K84" s="807"/>
      <c r="L84" s="807"/>
      <c r="M84" s="807"/>
      <c r="N84" s="807"/>
      <c r="O84" s="807"/>
      <c r="P84" s="807"/>
      <c r="Q84" s="807"/>
      <c r="R84" s="807"/>
      <c r="S84" s="807"/>
      <c r="T84" s="807"/>
      <c r="U84" s="807"/>
    </row>
    <row r="85">
      <c r="A85" s="807"/>
      <c r="B85" s="813"/>
      <c r="C85" s="813"/>
      <c r="D85" s="807"/>
      <c r="E85" s="807"/>
      <c r="F85" s="801"/>
      <c r="G85" s="801"/>
      <c r="H85" s="801"/>
      <c r="I85" s="801"/>
      <c r="J85" s="807"/>
      <c r="K85" s="807"/>
      <c r="L85" s="807"/>
      <c r="M85" s="807"/>
      <c r="N85" s="807"/>
      <c r="O85" s="807"/>
      <c r="P85" s="807"/>
      <c r="Q85" s="807"/>
      <c r="R85" s="807"/>
      <c r="S85" s="807"/>
      <c r="T85" s="807"/>
      <c r="U85" s="807"/>
    </row>
    <row r="86">
      <c r="A86" s="807"/>
      <c r="B86" s="813"/>
      <c r="C86" s="813"/>
      <c r="D86" s="807"/>
      <c r="E86" s="807"/>
      <c r="F86" s="801"/>
      <c r="G86" s="801"/>
      <c r="H86" s="801"/>
      <c r="I86" s="801"/>
      <c r="J86" s="807"/>
      <c r="K86" s="807"/>
      <c r="L86" s="807"/>
      <c r="M86" s="807"/>
      <c r="N86" s="807"/>
      <c r="O86" s="807"/>
      <c r="P86" s="807"/>
      <c r="Q86" s="807"/>
      <c r="R86" s="807"/>
      <c r="S86" s="807"/>
      <c r="T86" s="807"/>
      <c r="U86" s="807"/>
    </row>
    <row r="87">
      <c r="A87" s="807"/>
      <c r="B87" s="813"/>
      <c r="C87" s="813"/>
      <c r="D87" s="807"/>
      <c r="E87" s="807"/>
      <c r="F87" s="801"/>
      <c r="G87" s="801"/>
      <c r="H87" s="801"/>
      <c r="I87" s="801"/>
      <c r="J87" s="807"/>
      <c r="K87" s="807"/>
      <c r="L87" s="807"/>
      <c r="M87" s="807"/>
      <c r="N87" s="807"/>
      <c r="O87" s="807"/>
      <c r="P87" s="807"/>
      <c r="Q87" s="807"/>
      <c r="R87" s="807"/>
      <c r="S87" s="807"/>
      <c r="T87" s="807"/>
      <c r="U87" s="807"/>
    </row>
    <row r="88">
      <c r="A88" s="807"/>
      <c r="B88" s="813"/>
      <c r="C88" s="813"/>
      <c r="D88" s="807"/>
      <c r="E88" s="807"/>
      <c r="F88" s="801"/>
      <c r="G88" s="801"/>
      <c r="H88" s="801"/>
      <c r="I88" s="801"/>
      <c r="J88" s="807"/>
      <c r="K88" s="807"/>
      <c r="L88" s="807"/>
      <c r="M88" s="807"/>
      <c r="N88" s="807"/>
      <c r="O88" s="807"/>
      <c r="P88" s="807"/>
      <c r="Q88" s="807"/>
      <c r="R88" s="807"/>
      <c r="S88" s="807"/>
      <c r="T88" s="807"/>
      <c r="U88" s="807"/>
    </row>
    <row r="89">
      <c r="A89" s="807"/>
      <c r="B89" s="813"/>
      <c r="C89" s="813"/>
      <c r="D89" s="807"/>
      <c r="E89" s="807"/>
      <c r="F89" s="801"/>
      <c r="G89" s="801"/>
      <c r="H89" s="801"/>
      <c r="I89" s="801"/>
      <c r="J89" s="807"/>
      <c r="K89" s="807"/>
      <c r="L89" s="807"/>
      <c r="M89" s="807"/>
      <c r="N89" s="807"/>
      <c r="O89" s="807"/>
      <c r="P89" s="807"/>
      <c r="Q89" s="807"/>
      <c r="R89" s="807"/>
      <c r="S89" s="807"/>
      <c r="T89" s="807"/>
      <c r="U89" s="807"/>
    </row>
    <row r="90">
      <c r="A90" s="807"/>
      <c r="B90" s="813"/>
      <c r="C90" s="813"/>
      <c r="D90" s="807"/>
      <c r="E90" s="807"/>
      <c r="F90" s="801"/>
      <c r="G90" s="801"/>
      <c r="H90" s="801"/>
      <c r="I90" s="801"/>
      <c r="J90" s="807"/>
      <c r="K90" s="807"/>
      <c r="L90" s="807"/>
      <c r="M90" s="807"/>
      <c r="N90" s="807"/>
      <c r="O90" s="807"/>
      <c r="P90" s="807"/>
      <c r="Q90" s="807"/>
      <c r="R90" s="807"/>
      <c r="S90" s="807"/>
      <c r="T90" s="807"/>
      <c r="U90" s="807"/>
    </row>
    <row r="91">
      <c r="A91" s="807"/>
      <c r="B91" s="813"/>
      <c r="C91" s="813"/>
      <c r="D91" s="807"/>
      <c r="E91" s="807"/>
      <c r="F91" s="801"/>
      <c r="G91" s="801"/>
      <c r="H91" s="801"/>
      <c r="I91" s="801"/>
      <c r="J91" s="807"/>
      <c r="K91" s="807"/>
      <c r="L91" s="807"/>
      <c r="M91" s="807"/>
      <c r="N91" s="807"/>
      <c r="O91" s="807"/>
      <c r="P91" s="807"/>
      <c r="Q91" s="807"/>
      <c r="R91" s="807"/>
      <c r="S91" s="807"/>
      <c r="T91" s="807"/>
      <c r="U91" s="807"/>
    </row>
    <row r="92">
      <c r="A92" s="807"/>
      <c r="B92" s="813"/>
      <c r="C92" s="813"/>
      <c r="D92" s="807"/>
      <c r="E92" s="807"/>
      <c r="F92" s="801"/>
      <c r="G92" s="801"/>
      <c r="H92" s="801"/>
      <c r="I92" s="801"/>
      <c r="J92" s="807"/>
      <c r="K92" s="807"/>
      <c r="L92" s="807"/>
      <c r="M92" s="807"/>
      <c r="N92" s="807"/>
      <c r="O92" s="807"/>
      <c r="P92" s="807"/>
      <c r="Q92" s="807"/>
      <c r="R92" s="807"/>
      <c r="S92" s="807"/>
      <c r="T92" s="807"/>
      <c r="U92" s="807"/>
    </row>
    <row r="93">
      <c r="A93" s="807"/>
      <c r="B93" s="813"/>
      <c r="C93" s="813"/>
      <c r="D93" s="807"/>
      <c r="E93" s="807"/>
      <c r="F93" s="801"/>
      <c r="G93" s="801"/>
      <c r="H93" s="801"/>
      <c r="I93" s="801"/>
      <c r="J93" s="807"/>
      <c r="K93" s="807"/>
      <c r="L93" s="807"/>
      <c r="M93" s="807"/>
      <c r="N93" s="807"/>
      <c r="O93" s="807"/>
      <c r="P93" s="807"/>
      <c r="Q93" s="807"/>
      <c r="R93" s="807"/>
      <c r="S93" s="807"/>
      <c r="T93" s="807"/>
      <c r="U93" s="807"/>
    </row>
    <row r="94">
      <c r="A94" s="807"/>
      <c r="B94" s="813"/>
      <c r="C94" s="813"/>
      <c r="D94" s="807"/>
      <c r="E94" s="807"/>
      <c r="F94" s="801"/>
      <c r="G94" s="801"/>
      <c r="H94" s="801"/>
      <c r="I94" s="801"/>
      <c r="J94" s="807"/>
      <c r="K94" s="807"/>
      <c r="L94" s="807"/>
      <c r="M94" s="807"/>
      <c r="N94" s="807"/>
      <c r="O94" s="807"/>
      <c r="P94" s="807"/>
      <c r="Q94" s="807"/>
      <c r="R94" s="807"/>
      <c r="S94" s="807"/>
      <c r="T94" s="807"/>
      <c r="U94" s="807"/>
    </row>
    <row r="95">
      <c r="A95" s="807"/>
      <c r="B95" s="813"/>
      <c r="C95" s="813"/>
      <c r="D95" s="807"/>
      <c r="E95" s="807"/>
      <c r="F95" s="801"/>
      <c r="G95" s="801"/>
      <c r="H95" s="801"/>
      <c r="I95" s="801"/>
      <c r="J95" s="807"/>
      <c r="K95" s="807"/>
      <c r="L95" s="807"/>
      <c r="M95" s="807"/>
      <c r="N95" s="807"/>
      <c r="O95" s="807"/>
      <c r="P95" s="807"/>
      <c r="Q95" s="807"/>
      <c r="R95" s="807"/>
      <c r="S95" s="807"/>
      <c r="T95" s="807"/>
      <c r="U95" s="807"/>
    </row>
    <row r="96">
      <c r="A96" s="807"/>
      <c r="B96" s="813"/>
      <c r="C96" s="813"/>
      <c r="D96" s="807"/>
      <c r="E96" s="807"/>
      <c r="F96" s="801"/>
      <c r="G96" s="801"/>
      <c r="H96" s="801"/>
      <c r="I96" s="801"/>
      <c r="J96" s="807"/>
      <c r="K96" s="807"/>
      <c r="L96" s="807"/>
      <c r="M96" s="807"/>
      <c r="N96" s="807"/>
      <c r="O96" s="807"/>
      <c r="P96" s="807"/>
      <c r="Q96" s="807"/>
      <c r="R96" s="807"/>
      <c r="S96" s="807"/>
      <c r="T96" s="807"/>
      <c r="U96" s="807"/>
    </row>
    <row r="97">
      <c r="A97" s="807"/>
      <c r="B97" s="813"/>
      <c r="C97" s="813"/>
      <c r="D97" s="807"/>
      <c r="E97" s="807"/>
      <c r="F97" s="801"/>
      <c r="G97" s="801"/>
      <c r="H97" s="801"/>
      <c r="I97" s="801"/>
      <c r="J97" s="807"/>
      <c r="K97" s="807"/>
      <c r="L97" s="807"/>
      <c r="M97" s="807"/>
      <c r="N97" s="807"/>
      <c r="O97" s="807"/>
      <c r="P97" s="807"/>
      <c r="Q97" s="807"/>
      <c r="R97" s="807"/>
      <c r="S97" s="807"/>
      <c r="T97" s="807"/>
      <c r="U97" s="807"/>
    </row>
    <row r="98">
      <c r="A98" s="807"/>
      <c r="B98" s="813"/>
      <c r="C98" s="813"/>
      <c r="D98" s="807"/>
      <c r="E98" s="807"/>
      <c r="F98" s="801"/>
      <c r="G98" s="801"/>
      <c r="H98" s="801"/>
      <c r="I98" s="801"/>
      <c r="J98" s="807"/>
      <c r="K98" s="807"/>
      <c r="L98" s="807"/>
      <c r="M98" s="807"/>
      <c r="N98" s="807"/>
      <c r="O98" s="807"/>
      <c r="P98" s="807"/>
      <c r="Q98" s="807"/>
      <c r="R98" s="807"/>
      <c r="S98" s="807"/>
      <c r="T98" s="807"/>
      <c r="U98" s="807"/>
    </row>
    <row r="99">
      <c r="A99" s="807"/>
      <c r="B99" s="813"/>
      <c r="C99" s="813"/>
      <c r="D99" s="807"/>
      <c r="E99" s="807"/>
      <c r="F99" s="801"/>
      <c r="G99" s="801"/>
      <c r="H99" s="801"/>
      <c r="I99" s="801"/>
      <c r="J99" s="807"/>
      <c r="K99" s="807"/>
      <c r="L99" s="807"/>
      <c r="M99" s="807"/>
      <c r="N99" s="807"/>
      <c r="O99" s="807"/>
      <c r="P99" s="807"/>
      <c r="Q99" s="807"/>
      <c r="R99" s="807"/>
      <c r="S99" s="807"/>
      <c r="T99" s="807"/>
      <c r="U99" s="807"/>
    </row>
    <row r="100">
      <c r="A100" s="807"/>
      <c r="B100" s="813"/>
      <c r="C100" s="813"/>
      <c r="D100" s="807"/>
      <c r="E100" s="807"/>
      <c r="F100" s="801"/>
      <c r="G100" s="801"/>
      <c r="H100" s="801"/>
      <c r="I100" s="801"/>
      <c r="J100" s="807"/>
      <c r="K100" s="807"/>
      <c r="L100" s="807"/>
      <c r="M100" s="807"/>
      <c r="N100" s="807"/>
      <c r="O100" s="807"/>
      <c r="P100" s="807"/>
      <c r="Q100" s="807"/>
      <c r="R100" s="807"/>
      <c r="S100" s="807"/>
      <c r="T100" s="807"/>
      <c r="U100" s="807"/>
    </row>
    <row r="101">
      <c r="A101" s="807"/>
      <c r="B101" s="813"/>
      <c r="C101" s="813"/>
      <c r="D101" s="807"/>
      <c r="E101" s="807"/>
      <c r="F101" s="801"/>
      <c r="G101" s="801"/>
      <c r="H101" s="801"/>
      <c r="I101" s="801"/>
      <c r="J101" s="807"/>
      <c r="K101" s="807"/>
      <c r="L101" s="807"/>
      <c r="M101" s="807"/>
      <c r="N101" s="807"/>
      <c r="O101" s="807"/>
      <c r="P101" s="807"/>
      <c r="Q101" s="807"/>
      <c r="R101" s="807"/>
      <c r="S101" s="807"/>
      <c r="T101" s="807"/>
      <c r="U101" s="807"/>
    </row>
    <row r="102">
      <c r="A102" s="807"/>
      <c r="B102" s="813"/>
      <c r="C102" s="813"/>
      <c r="D102" s="807"/>
      <c r="E102" s="807"/>
      <c r="F102" s="801"/>
      <c r="G102" s="801"/>
      <c r="H102" s="801"/>
      <c r="I102" s="801"/>
      <c r="J102" s="807"/>
      <c r="K102" s="807"/>
      <c r="L102" s="807"/>
      <c r="M102" s="807"/>
      <c r="N102" s="807"/>
      <c r="O102" s="807"/>
      <c r="P102" s="807"/>
      <c r="Q102" s="807"/>
      <c r="R102" s="807"/>
      <c r="S102" s="807"/>
      <c r="T102" s="807"/>
      <c r="U102" s="807"/>
    </row>
    <row r="103">
      <c r="A103" s="807"/>
      <c r="B103" s="813"/>
      <c r="C103" s="813"/>
      <c r="D103" s="807"/>
      <c r="E103" s="807"/>
      <c r="F103" s="801"/>
      <c r="G103" s="801"/>
      <c r="H103" s="801"/>
      <c r="I103" s="801"/>
      <c r="J103" s="807"/>
      <c r="K103" s="807"/>
      <c r="L103" s="807"/>
      <c r="M103" s="807"/>
      <c r="N103" s="807"/>
      <c r="O103" s="807"/>
      <c r="P103" s="807"/>
      <c r="Q103" s="807"/>
      <c r="R103" s="807"/>
      <c r="S103" s="807"/>
      <c r="T103" s="807"/>
      <c r="U103" s="807"/>
    </row>
    <row r="104">
      <c r="A104" s="807"/>
      <c r="B104" s="813"/>
      <c r="C104" s="813"/>
      <c r="D104" s="807"/>
      <c r="E104" s="807"/>
      <c r="F104" s="801"/>
      <c r="G104" s="801"/>
      <c r="H104" s="801"/>
      <c r="I104" s="801"/>
      <c r="J104" s="807"/>
      <c r="K104" s="807"/>
      <c r="L104" s="807"/>
      <c r="M104" s="807"/>
      <c r="N104" s="807"/>
      <c r="O104" s="807"/>
      <c r="P104" s="807"/>
      <c r="Q104" s="807"/>
      <c r="R104" s="807"/>
      <c r="S104" s="807"/>
      <c r="T104" s="807"/>
      <c r="U104" s="807"/>
    </row>
    <row r="105">
      <c r="A105" s="807"/>
      <c r="B105" s="813"/>
      <c r="C105" s="813"/>
      <c r="D105" s="807"/>
      <c r="E105" s="807"/>
      <c r="F105" s="801"/>
      <c r="G105" s="801"/>
      <c r="H105" s="801"/>
      <c r="I105" s="801"/>
      <c r="J105" s="807"/>
      <c r="K105" s="807"/>
      <c r="L105" s="807"/>
      <c r="M105" s="807"/>
      <c r="N105" s="807"/>
      <c r="O105" s="807"/>
      <c r="P105" s="807"/>
      <c r="Q105" s="807"/>
      <c r="R105" s="807"/>
      <c r="S105" s="807"/>
      <c r="T105" s="807"/>
      <c r="U105" s="807"/>
    </row>
    <row r="106">
      <c r="A106" s="807"/>
      <c r="B106" s="813"/>
      <c r="C106" s="813"/>
      <c r="D106" s="807"/>
      <c r="E106" s="807"/>
      <c r="F106" s="801"/>
      <c r="G106" s="801"/>
      <c r="H106" s="801"/>
      <c r="I106" s="801"/>
      <c r="J106" s="807"/>
      <c r="K106" s="807"/>
      <c r="L106" s="807"/>
      <c r="M106" s="807"/>
      <c r="N106" s="807"/>
      <c r="O106" s="807"/>
      <c r="P106" s="807"/>
      <c r="Q106" s="807"/>
      <c r="R106" s="807"/>
      <c r="S106" s="807"/>
      <c r="T106" s="807"/>
      <c r="U106" s="807"/>
    </row>
    <row r="107">
      <c r="A107" s="807"/>
      <c r="B107" s="813"/>
      <c r="C107" s="813"/>
      <c r="D107" s="807"/>
      <c r="E107" s="807"/>
      <c r="F107" s="801"/>
      <c r="G107" s="801"/>
      <c r="H107" s="801"/>
      <c r="I107" s="801"/>
      <c r="J107" s="807"/>
      <c r="K107" s="807"/>
      <c r="L107" s="807"/>
      <c r="M107" s="807"/>
      <c r="N107" s="807"/>
      <c r="O107" s="807"/>
      <c r="P107" s="807"/>
      <c r="Q107" s="807"/>
      <c r="R107" s="807"/>
      <c r="S107" s="807"/>
      <c r="T107" s="807"/>
      <c r="U107" s="807"/>
    </row>
    <row r="108">
      <c r="A108" s="807"/>
      <c r="B108" s="813"/>
      <c r="C108" s="813"/>
      <c r="D108" s="807"/>
      <c r="E108" s="807"/>
      <c r="F108" s="801"/>
      <c r="G108" s="801"/>
      <c r="H108" s="801"/>
      <c r="I108" s="801"/>
      <c r="J108" s="807"/>
      <c r="K108" s="807"/>
      <c r="L108" s="807"/>
      <c r="M108" s="807"/>
      <c r="N108" s="807"/>
      <c r="O108" s="807"/>
      <c r="P108" s="807"/>
      <c r="Q108" s="807"/>
      <c r="R108" s="807"/>
      <c r="S108" s="807"/>
      <c r="T108" s="807"/>
      <c r="U108" s="807"/>
    </row>
    <row r="109">
      <c r="A109" s="807"/>
      <c r="B109" s="813"/>
      <c r="C109" s="813"/>
      <c r="D109" s="807"/>
      <c r="E109" s="807"/>
      <c r="F109" s="801"/>
      <c r="G109" s="801"/>
      <c r="H109" s="801"/>
      <c r="I109" s="801"/>
      <c r="J109" s="807"/>
      <c r="K109" s="807"/>
      <c r="L109" s="807"/>
      <c r="M109" s="807"/>
      <c r="N109" s="807"/>
      <c r="O109" s="807"/>
      <c r="P109" s="807"/>
      <c r="Q109" s="807"/>
      <c r="R109" s="807"/>
      <c r="S109" s="807"/>
      <c r="T109" s="807"/>
      <c r="U109" s="807"/>
    </row>
    <row r="110">
      <c r="A110" s="807"/>
      <c r="B110" s="813"/>
      <c r="C110" s="813"/>
      <c r="D110" s="807"/>
      <c r="E110" s="807"/>
      <c r="F110" s="801"/>
      <c r="G110" s="801"/>
      <c r="H110" s="801"/>
      <c r="I110" s="801"/>
      <c r="J110" s="807"/>
      <c r="K110" s="807"/>
      <c r="L110" s="807"/>
      <c r="M110" s="807"/>
      <c r="N110" s="807"/>
      <c r="O110" s="807"/>
      <c r="P110" s="807"/>
      <c r="Q110" s="807"/>
      <c r="R110" s="807"/>
      <c r="S110" s="807"/>
      <c r="T110" s="807"/>
      <c r="U110" s="807"/>
    </row>
    <row r="111">
      <c r="A111" s="807"/>
      <c r="B111" s="813"/>
      <c r="C111" s="813"/>
      <c r="D111" s="807"/>
      <c r="E111" s="807"/>
      <c r="F111" s="801"/>
      <c r="G111" s="801"/>
      <c r="H111" s="801"/>
      <c r="I111" s="801"/>
      <c r="J111" s="807"/>
      <c r="K111" s="807"/>
      <c r="L111" s="807"/>
      <c r="M111" s="807"/>
      <c r="N111" s="807"/>
      <c r="O111" s="807"/>
      <c r="P111" s="807"/>
      <c r="Q111" s="807"/>
      <c r="R111" s="807"/>
      <c r="S111" s="807"/>
      <c r="T111" s="807"/>
      <c r="U111" s="807"/>
    </row>
    <row r="112">
      <c r="A112" s="807"/>
      <c r="B112" s="813"/>
      <c r="C112" s="813"/>
      <c r="D112" s="807"/>
      <c r="E112" s="807"/>
      <c r="F112" s="801"/>
      <c r="G112" s="801"/>
      <c r="H112" s="801"/>
      <c r="I112" s="801"/>
      <c r="J112" s="807"/>
      <c r="K112" s="807"/>
      <c r="L112" s="807"/>
      <c r="M112" s="807"/>
      <c r="N112" s="807"/>
      <c r="O112" s="807"/>
      <c r="P112" s="807"/>
      <c r="Q112" s="807"/>
      <c r="R112" s="807"/>
      <c r="S112" s="807"/>
      <c r="T112" s="807"/>
      <c r="U112" s="807"/>
    </row>
    <row r="113">
      <c r="A113" s="807"/>
      <c r="B113" s="813"/>
      <c r="C113" s="813"/>
      <c r="D113" s="807"/>
      <c r="E113" s="807"/>
      <c r="F113" s="801"/>
      <c r="G113" s="801"/>
      <c r="H113" s="801"/>
      <c r="I113" s="801"/>
      <c r="J113" s="807"/>
      <c r="K113" s="807"/>
      <c r="L113" s="807"/>
      <c r="M113" s="807"/>
      <c r="N113" s="807"/>
      <c r="O113" s="807"/>
      <c r="P113" s="807"/>
      <c r="Q113" s="807"/>
      <c r="R113" s="807"/>
      <c r="S113" s="807"/>
      <c r="T113" s="807"/>
      <c r="U113" s="807"/>
    </row>
    <row r="114">
      <c r="A114" s="807"/>
      <c r="B114" s="813"/>
      <c r="C114" s="813"/>
      <c r="D114" s="807"/>
      <c r="E114" s="807"/>
      <c r="F114" s="801"/>
      <c r="G114" s="801"/>
      <c r="H114" s="801"/>
      <c r="I114" s="801"/>
      <c r="J114" s="807"/>
      <c r="K114" s="807"/>
      <c r="L114" s="807"/>
      <c r="M114" s="807"/>
      <c r="N114" s="807"/>
      <c r="O114" s="807"/>
      <c r="P114" s="807"/>
      <c r="Q114" s="807"/>
      <c r="R114" s="807"/>
      <c r="S114" s="807"/>
      <c r="T114" s="807"/>
      <c r="U114" s="807"/>
    </row>
    <row r="115">
      <c r="A115" s="807"/>
      <c r="B115" s="813"/>
      <c r="C115" s="813"/>
      <c r="D115" s="807"/>
      <c r="E115" s="807"/>
      <c r="F115" s="801"/>
      <c r="G115" s="801"/>
      <c r="H115" s="801"/>
      <c r="I115" s="801"/>
      <c r="J115" s="807"/>
      <c r="K115" s="807"/>
      <c r="L115" s="807"/>
      <c r="M115" s="807"/>
      <c r="N115" s="807"/>
      <c r="O115" s="807"/>
      <c r="P115" s="807"/>
      <c r="Q115" s="807"/>
      <c r="R115" s="807"/>
      <c r="S115" s="807"/>
      <c r="T115" s="807"/>
      <c r="U115" s="807"/>
    </row>
    <row r="116">
      <c r="A116" s="807"/>
      <c r="B116" s="813"/>
      <c r="C116" s="813"/>
      <c r="D116" s="807"/>
      <c r="E116" s="807"/>
      <c r="F116" s="801"/>
      <c r="G116" s="801"/>
      <c r="H116" s="801"/>
      <c r="I116" s="801"/>
      <c r="J116" s="807"/>
      <c r="K116" s="807"/>
      <c r="L116" s="807"/>
      <c r="M116" s="807"/>
      <c r="N116" s="807"/>
      <c r="O116" s="807"/>
      <c r="P116" s="807"/>
      <c r="Q116" s="807"/>
      <c r="R116" s="807"/>
      <c r="S116" s="807"/>
      <c r="T116" s="807"/>
      <c r="U116" s="807"/>
    </row>
    <row r="117">
      <c r="A117" s="807"/>
      <c r="B117" s="813"/>
      <c r="C117" s="813"/>
      <c r="D117" s="807"/>
      <c r="E117" s="807"/>
      <c r="F117" s="801"/>
      <c r="G117" s="801"/>
      <c r="H117" s="801"/>
      <c r="I117" s="801"/>
      <c r="J117" s="807"/>
      <c r="K117" s="807"/>
      <c r="L117" s="807"/>
      <c r="M117" s="807"/>
      <c r="N117" s="807"/>
      <c r="O117" s="807"/>
      <c r="P117" s="807"/>
      <c r="Q117" s="807"/>
      <c r="R117" s="807"/>
      <c r="S117" s="807"/>
      <c r="T117" s="807"/>
      <c r="U117" s="807"/>
    </row>
    <row r="118">
      <c r="A118" s="807"/>
      <c r="B118" s="813"/>
      <c r="C118" s="813"/>
      <c r="D118" s="807"/>
      <c r="E118" s="807"/>
      <c r="F118" s="801"/>
      <c r="G118" s="801"/>
      <c r="H118" s="801"/>
      <c r="I118" s="801"/>
      <c r="J118" s="807"/>
      <c r="K118" s="807"/>
      <c r="L118" s="807"/>
      <c r="M118" s="807"/>
      <c r="N118" s="807"/>
      <c r="O118" s="807"/>
      <c r="P118" s="807"/>
      <c r="Q118" s="807"/>
      <c r="R118" s="807"/>
      <c r="S118" s="807"/>
      <c r="T118" s="807"/>
      <c r="U118" s="807"/>
    </row>
    <row r="119">
      <c r="A119" s="807"/>
      <c r="B119" s="813"/>
      <c r="C119" s="813"/>
      <c r="D119" s="807"/>
      <c r="E119" s="807"/>
      <c r="F119" s="801"/>
      <c r="G119" s="801"/>
      <c r="H119" s="801"/>
      <c r="I119" s="801"/>
      <c r="J119" s="807"/>
      <c r="K119" s="807"/>
      <c r="L119" s="807"/>
      <c r="M119" s="807"/>
      <c r="N119" s="807"/>
      <c r="O119" s="807"/>
      <c r="P119" s="807"/>
      <c r="Q119" s="807"/>
      <c r="R119" s="807"/>
      <c r="S119" s="807"/>
      <c r="T119" s="807"/>
      <c r="U119" s="807"/>
    </row>
    <row r="120">
      <c r="A120" s="807"/>
      <c r="B120" s="813"/>
      <c r="C120" s="813"/>
      <c r="D120" s="807"/>
      <c r="E120" s="807"/>
      <c r="F120" s="801"/>
      <c r="G120" s="801"/>
      <c r="H120" s="801"/>
      <c r="I120" s="801"/>
      <c r="J120" s="807"/>
      <c r="K120" s="807"/>
      <c r="L120" s="807"/>
      <c r="M120" s="807"/>
      <c r="N120" s="807"/>
      <c r="O120" s="807"/>
      <c r="P120" s="807"/>
      <c r="Q120" s="807"/>
      <c r="R120" s="807"/>
      <c r="S120" s="807"/>
      <c r="T120" s="807"/>
      <c r="U120" s="807"/>
    </row>
    <row r="121">
      <c r="A121" s="807"/>
      <c r="B121" s="813"/>
      <c r="C121" s="813"/>
      <c r="D121" s="807"/>
      <c r="E121" s="807"/>
      <c r="F121" s="801"/>
      <c r="G121" s="801"/>
      <c r="H121" s="801"/>
      <c r="I121" s="801"/>
      <c r="J121" s="807"/>
      <c r="K121" s="807"/>
      <c r="L121" s="807"/>
      <c r="M121" s="807"/>
      <c r="N121" s="807"/>
      <c r="O121" s="807"/>
      <c r="P121" s="807"/>
      <c r="Q121" s="807"/>
      <c r="R121" s="807"/>
      <c r="S121" s="807"/>
      <c r="T121" s="807"/>
      <c r="U121" s="807"/>
    </row>
    <row r="122">
      <c r="A122" s="807"/>
      <c r="B122" s="813"/>
      <c r="C122" s="813"/>
      <c r="D122" s="807"/>
      <c r="E122" s="807"/>
      <c r="F122" s="801"/>
      <c r="G122" s="801"/>
      <c r="H122" s="801"/>
      <c r="I122" s="801"/>
      <c r="J122" s="807"/>
      <c r="K122" s="807"/>
      <c r="L122" s="807"/>
      <c r="M122" s="807"/>
      <c r="N122" s="807"/>
      <c r="O122" s="807"/>
      <c r="P122" s="807"/>
      <c r="Q122" s="807"/>
      <c r="R122" s="807"/>
      <c r="S122" s="807"/>
      <c r="T122" s="807"/>
      <c r="U122" s="807"/>
    </row>
    <row r="123">
      <c r="A123" s="807"/>
      <c r="B123" s="813"/>
      <c r="C123" s="813"/>
      <c r="D123" s="807"/>
      <c r="E123" s="807"/>
      <c r="F123" s="801"/>
      <c r="G123" s="801"/>
      <c r="H123" s="801"/>
      <c r="I123" s="801"/>
      <c r="J123" s="807"/>
      <c r="K123" s="807"/>
      <c r="L123" s="807"/>
      <c r="M123" s="807"/>
      <c r="N123" s="807"/>
      <c r="O123" s="807"/>
      <c r="P123" s="807"/>
      <c r="Q123" s="807"/>
      <c r="R123" s="807"/>
      <c r="S123" s="807"/>
      <c r="T123" s="807"/>
      <c r="U123" s="807"/>
    </row>
    <row r="124">
      <c r="A124" s="807"/>
      <c r="B124" s="813"/>
      <c r="C124" s="813"/>
      <c r="D124" s="807"/>
      <c r="E124" s="807"/>
      <c r="F124" s="801"/>
      <c r="G124" s="801"/>
      <c r="H124" s="801"/>
      <c r="I124" s="801"/>
      <c r="J124" s="807"/>
      <c r="K124" s="807"/>
      <c r="L124" s="807"/>
      <c r="M124" s="807"/>
      <c r="N124" s="807"/>
      <c r="O124" s="807"/>
      <c r="P124" s="807"/>
      <c r="Q124" s="807"/>
      <c r="R124" s="807"/>
      <c r="S124" s="807"/>
      <c r="T124" s="807"/>
      <c r="U124" s="807"/>
    </row>
    <row r="125">
      <c r="A125" s="807"/>
      <c r="B125" s="813"/>
      <c r="C125" s="813"/>
      <c r="D125" s="807"/>
      <c r="E125" s="807"/>
      <c r="F125" s="801"/>
      <c r="G125" s="801"/>
      <c r="H125" s="801"/>
      <c r="I125" s="801"/>
      <c r="J125" s="807"/>
      <c r="K125" s="807"/>
      <c r="L125" s="807"/>
      <c r="M125" s="807"/>
      <c r="N125" s="807"/>
      <c r="O125" s="807"/>
      <c r="P125" s="807"/>
      <c r="Q125" s="807"/>
      <c r="R125" s="807"/>
      <c r="S125" s="807"/>
      <c r="T125" s="807"/>
      <c r="U125" s="807"/>
    </row>
    <row r="126">
      <c r="A126" s="807"/>
      <c r="B126" s="813"/>
      <c r="C126" s="813"/>
      <c r="D126" s="807"/>
      <c r="E126" s="807"/>
      <c r="F126" s="801"/>
      <c r="G126" s="801"/>
      <c r="H126" s="801"/>
      <c r="I126" s="801"/>
      <c r="J126" s="807"/>
      <c r="K126" s="807"/>
      <c r="L126" s="807"/>
      <c r="M126" s="807"/>
      <c r="N126" s="807"/>
      <c r="O126" s="807"/>
      <c r="P126" s="807"/>
      <c r="Q126" s="807"/>
      <c r="R126" s="807"/>
      <c r="S126" s="807"/>
      <c r="T126" s="807"/>
      <c r="U126" s="807"/>
    </row>
    <row r="127">
      <c r="A127" s="807"/>
      <c r="B127" s="813"/>
      <c r="C127" s="813"/>
      <c r="D127" s="807"/>
      <c r="E127" s="807"/>
      <c r="F127" s="801"/>
      <c r="G127" s="801"/>
      <c r="H127" s="801"/>
      <c r="I127" s="801"/>
      <c r="J127" s="807"/>
      <c r="K127" s="807"/>
      <c r="L127" s="807"/>
      <c r="M127" s="807"/>
      <c r="N127" s="807"/>
      <c r="O127" s="807"/>
      <c r="P127" s="807"/>
      <c r="Q127" s="807"/>
      <c r="R127" s="807"/>
      <c r="S127" s="807"/>
      <c r="T127" s="807"/>
      <c r="U127" s="807"/>
    </row>
    <row r="128">
      <c r="A128" s="807"/>
      <c r="B128" s="813"/>
      <c r="C128" s="813"/>
      <c r="D128" s="807"/>
      <c r="E128" s="807"/>
      <c r="F128" s="801"/>
      <c r="G128" s="801"/>
      <c r="H128" s="801"/>
      <c r="I128" s="801"/>
      <c r="J128" s="807"/>
      <c r="K128" s="807"/>
      <c r="L128" s="807"/>
      <c r="M128" s="807"/>
      <c r="N128" s="807"/>
      <c r="O128" s="807"/>
      <c r="P128" s="807"/>
      <c r="Q128" s="807"/>
      <c r="R128" s="807"/>
      <c r="S128" s="807"/>
      <c r="T128" s="807"/>
      <c r="U128" s="807"/>
    </row>
    <row r="129">
      <c r="A129" s="807"/>
      <c r="B129" s="813"/>
      <c r="C129" s="813"/>
      <c r="D129" s="807"/>
      <c r="E129" s="807"/>
      <c r="F129" s="801"/>
      <c r="G129" s="801"/>
      <c r="H129" s="801"/>
      <c r="I129" s="801"/>
      <c r="J129" s="807"/>
      <c r="K129" s="807"/>
      <c r="L129" s="807"/>
      <c r="M129" s="807"/>
      <c r="N129" s="807"/>
      <c r="O129" s="807"/>
      <c r="P129" s="807"/>
      <c r="Q129" s="807"/>
      <c r="R129" s="807"/>
      <c r="S129" s="807"/>
      <c r="T129" s="807"/>
      <c r="U129" s="807"/>
    </row>
    <row r="130">
      <c r="A130" s="807"/>
      <c r="B130" s="813"/>
      <c r="C130" s="813"/>
      <c r="D130" s="807"/>
      <c r="E130" s="807"/>
      <c r="F130" s="801"/>
      <c r="G130" s="801"/>
      <c r="H130" s="801"/>
      <c r="I130" s="801"/>
      <c r="J130" s="807"/>
      <c r="K130" s="807"/>
      <c r="L130" s="807"/>
      <c r="M130" s="807"/>
      <c r="N130" s="807"/>
      <c r="O130" s="807"/>
      <c r="P130" s="807"/>
      <c r="Q130" s="807"/>
      <c r="R130" s="807"/>
      <c r="S130" s="807"/>
      <c r="T130" s="807"/>
      <c r="U130" s="807"/>
    </row>
    <row r="131">
      <c r="A131" s="807"/>
      <c r="B131" s="813"/>
      <c r="C131" s="813"/>
      <c r="D131" s="807"/>
      <c r="E131" s="807"/>
      <c r="F131" s="801"/>
      <c r="G131" s="801"/>
      <c r="H131" s="801"/>
      <c r="I131" s="801"/>
      <c r="J131" s="807"/>
      <c r="K131" s="807"/>
      <c r="L131" s="807"/>
      <c r="M131" s="807"/>
      <c r="N131" s="807"/>
      <c r="O131" s="807"/>
      <c r="P131" s="807"/>
      <c r="Q131" s="807"/>
      <c r="R131" s="807"/>
      <c r="S131" s="807"/>
      <c r="T131" s="807"/>
      <c r="U131" s="807"/>
    </row>
    <row r="132">
      <c r="A132" s="807"/>
      <c r="B132" s="813"/>
      <c r="C132" s="813"/>
      <c r="D132" s="807"/>
      <c r="E132" s="807"/>
      <c r="F132" s="801"/>
      <c r="G132" s="801"/>
      <c r="H132" s="801"/>
      <c r="I132" s="801"/>
      <c r="J132" s="807"/>
      <c r="K132" s="807"/>
      <c r="L132" s="807"/>
      <c r="M132" s="807"/>
      <c r="N132" s="807"/>
      <c r="O132" s="807"/>
      <c r="P132" s="807"/>
      <c r="Q132" s="807"/>
      <c r="R132" s="807"/>
      <c r="S132" s="807"/>
      <c r="T132" s="807"/>
      <c r="U132" s="807"/>
    </row>
    <row r="133">
      <c r="A133" s="807"/>
      <c r="B133" s="813"/>
      <c r="C133" s="813"/>
      <c r="D133" s="807"/>
      <c r="E133" s="807"/>
      <c r="F133" s="801"/>
      <c r="G133" s="801"/>
      <c r="H133" s="801"/>
      <c r="I133" s="801"/>
      <c r="J133" s="807"/>
      <c r="K133" s="807"/>
      <c r="L133" s="807"/>
      <c r="M133" s="807"/>
      <c r="N133" s="807"/>
      <c r="O133" s="807"/>
      <c r="P133" s="807"/>
      <c r="Q133" s="807"/>
      <c r="R133" s="807"/>
      <c r="S133" s="807"/>
      <c r="T133" s="807"/>
      <c r="U133" s="807"/>
    </row>
    <row r="134">
      <c r="A134" s="807"/>
      <c r="B134" s="813"/>
      <c r="C134" s="813"/>
      <c r="D134" s="807"/>
      <c r="E134" s="807"/>
      <c r="F134" s="801"/>
      <c r="G134" s="801"/>
      <c r="H134" s="801"/>
      <c r="I134" s="801"/>
      <c r="J134" s="807"/>
      <c r="K134" s="807"/>
      <c r="L134" s="807"/>
      <c r="M134" s="807"/>
      <c r="N134" s="807"/>
      <c r="O134" s="807"/>
      <c r="P134" s="807"/>
      <c r="Q134" s="807"/>
      <c r="R134" s="807"/>
      <c r="S134" s="807"/>
      <c r="T134" s="807"/>
      <c r="U134" s="807"/>
    </row>
    <row r="135">
      <c r="A135" s="807"/>
      <c r="B135" s="813"/>
      <c r="C135" s="813"/>
      <c r="D135" s="807"/>
      <c r="E135" s="807"/>
      <c r="F135" s="801"/>
      <c r="G135" s="801"/>
      <c r="H135" s="801"/>
      <c r="I135" s="801"/>
      <c r="J135" s="807"/>
      <c r="K135" s="807"/>
      <c r="L135" s="807"/>
      <c r="M135" s="807"/>
      <c r="N135" s="807"/>
      <c r="O135" s="807"/>
      <c r="P135" s="807"/>
      <c r="Q135" s="807"/>
      <c r="R135" s="807"/>
      <c r="S135" s="807"/>
      <c r="T135" s="807"/>
      <c r="U135" s="807"/>
    </row>
    <row r="136">
      <c r="A136" s="807"/>
      <c r="B136" s="813"/>
      <c r="C136" s="813"/>
      <c r="D136" s="807"/>
      <c r="E136" s="807"/>
      <c r="F136" s="801"/>
      <c r="G136" s="801"/>
      <c r="H136" s="801"/>
      <c r="I136" s="801"/>
      <c r="J136" s="807"/>
      <c r="K136" s="807"/>
      <c r="L136" s="807"/>
      <c r="M136" s="807"/>
      <c r="N136" s="807"/>
      <c r="O136" s="807"/>
      <c r="P136" s="807"/>
      <c r="Q136" s="807"/>
      <c r="R136" s="807"/>
      <c r="S136" s="807"/>
      <c r="T136" s="807"/>
      <c r="U136" s="807"/>
    </row>
    <row r="137">
      <c r="A137" s="807"/>
      <c r="B137" s="813"/>
      <c r="C137" s="813"/>
      <c r="D137" s="807"/>
      <c r="E137" s="807"/>
      <c r="F137" s="801"/>
      <c r="G137" s="801"/>
      <c r="H137" s="801"/>
      <c r="I137" s="801"/>
      <c r="J137" s="807"/>
      <c r="K137" s="807"/>
      <c r="L137" s="807"/>
      <c r="M137" s="807"/>
      <c r="N137" s="807"/>
      <c r="O137" s="807"/>
      <c r="P137" s="807"/>
      <c r="Q137" s="807"/>
      <c r="R137" s="807"/>
      <c r="S137" s="807"/>
      <c r="T137" s="807"/>
      <c r="U137" s="807"/>
    </row>
    <row r="138">
      <c r="A138" s="807"/>
      <c r="B138" s="813"/>
      <c r="C138" s="813"/>
      <c r="D138" s="807"/>
      <c r="E138" s="807"/>
      <c r="F138" s="801"/>
      <c r="G138" s="801"/>
      <c r="H138" s="801"/>
      <c r="I138" s="801"/>
      <c r="J138" s="807"/>
      <c r="K138" s="807"/>
      <c r="L138" s="807"/>
      <c r="M138" s="807"/>
      <c r="N138" s="807"/>
      <c r="O138" s="807"/>
      <c r="P138" s="807"/>
      <c r="Q138" s="807"/>
      <c r="R138" s="807"/>
      <c r="S138" s="807"/>
      <c r="T138" s="807"/>
      <c r="U138" s="807"/>
    </row>
    <row r="139">
      <c r="A139" s="807"/>
      <c r="B139" s="813"/>
      <c r="C139" s="813"/>
      <c r="D139" s="807"/>
      <c r="E139" s="807"/>
      <c r="F139" s="801"/>
      <c r="G139" s="801"/>
      <c r="H139" s="801"/>
      <c r="I139" s="801"/>
      <c r="J139" s="807"/>
      <c r="K139" s="807"/>
      <c r="L139" s="807"/>
      <c r="M139" s="807"/>
      <c r="N139" s="807"/>
      <c r="O139" s="807"/>
      <c r="P139" s="807"/>
      <c r="Q139" s="807"/>
      <c r="R139" s="807"/>
      <c r="S139" s="807"/>
      <c r="T139" s="807"/>
      <c r="U139" s="807"/>
    </row>
    <row r="140">
      <c r="A140" s="807"/>
      <c r="B140" s="813"/>
      <c r="C140" s="813"/>
      <c r="D140" s="807"/>
      <c r="E140" s="807"/>
      <c r="F140" s="801"/>
      <c r="G140" s="801"/>
      <c r="H140" s="801"/>
      <c r="I140" s="801"/>
      <c r="J140" s="807"/>
      <c r="K140" s="807"/>
      <c r="L140" s="807"/>
      <c r="M140" s="807"/>
      <c r="N140" s="807"/>
      <c r="O140" s="807"/>
      <c r="P140" s="807"/>
      <c r="Q140" s="807"/>
      <c r="R140" s="807"/>
      <c r="S140" s="807"/>
      <c r="T140" s="807"/>
      <c r="U140" s="807"/>
    </row>
    <row r="141">
      <c r="A141" s="807"/>
      <c r="B141" s="813"/>
      <c r="C141" s="813"/>
      <c r="D141" s="807"/>
      <c r="E141" s="807"/>
      <c r="F141" s="801"/>
      <c r="G141" s="801"/>
      <c r="H141" s="801"/>
      <c r="I141" s="801"/>
      <c r="J141" s="807"/>
      <c r="K141" s="807"/>
      <c r="L141" s="807"/>
      <c r="M141" s="807"/>
      <c r="N141" s="807"/>
      <c r="O141" s="807"/>
      <c r="P141" s="807"/>
      <c r="Q141" s="807"/>
      <c r="R141" s="807"/>
      <c r="S141" s="807"/>
      <c r="T141" s="807"/>
      <c r="U141" s="807"/>
    </row>
    <row r="142">
      <c r="A142" s="807"/>
      <c r="B142" s="813"/>
      <c r="C142" s="813"/>
      <c r="D142" s="807"/>
      <c r="E142" s="807"/>
      <c r="F142" s="801"/>
      <c r="G142" s="801"/>
      <c r="H142" s="801"/>
      <c r="I142" s="801"/>
      <c r="J142" s="807"/>
      <c r="K142" s="807"/>
      <c r="L142" s="807"/>
      <c r="M142" s="807"/>
      <c r="N142" s="807"/>
      <c r="O142" s="807"/>
      <c r="P142" s="807"/>
      <c r="Q142" s="807"/>
      <c r="R142" s="807"/>
      <c r="S142" s="807"/>
      <c r="T142" s="807"/>
      <c r="U142" s="807"/>
    </row>
    <row r="143">
      <c r="A143" s="807"/>
      <c r="B143" s="813"/>
      <c r="C143" s="813"/>
      <c r="D143" s="807"/>
      <c r="E143" s="807"/>
      <c r="F143" s="801"/>
      <c r="G143" s="801"/>
      <c r="H143" s="801"/>
      <c r="I143" s="801"/>
      <c r="J143" s="807"/>
      <c r="K143" s="807"/>
      <c r="L143" s="807"/>
      <c r="M143" s="807"/>
      <c r="N143" s="807"/>
      <c r="O143" s="807"/>
      <c r="P143" s="807"/>
      <c r="Q143" s="807"/>
      <c r="R143" s="807"/>
      <c r="S143" s="807"/>
      <c r="T143" s="807"/>
      <c r="U143" s="807"/>
    </row>
    <row r="144">
      <c r="A144" s="807"/>
      <c r="B144" s="813"/>
      <c r="C144" s="813"/>
      <c r="D144" s="807"/>
      <c r="E144" s="807"/>
      <c r="F144" s="801"/>
      <c r="G144" s="801"/>
      <c r="H144" s="801"/>
      <c r="I144" s="801"/>
      <c r="J144" s="807"/>
      <c r="K144" s="807"/>
      <c r="L144" s="807"/>
      <c r="M144" s="807"/>
      <c r="N144" s="807"/>
      <c r="O144" s="807"/>
      <c r="P144" s="807"/>
      <c r="Q144" s="807"/>
      <c r="R144" s="807"/>
      <c r="S144" s="807"/>
      <c r="T144" s="807"/>
      <c r="U144" s="807"/>
    </row>
    <row r="145">
      <c r="A145" s="807"/>
      <c r="B145" s="813"/>
      <c r="C145" s="813"/>
      <c r="D145" s="807"/>
      <c r="E145" s="807"/>
      <c r="F145" s="801"/>
      <c r="G145" s="801"/>
      <c r="H145" s="801"/>
      <c r="I145" s="801"/>
      <c r="J145" s="807"/>
      <c r="K145" s="807"/>
      <c r="L145" s="807"/>
      <c r="M145" s="807"/>
      <c r="N145" s="807"/>
      <c r="O145" s="807"/>
      <c r="P145" s="807"/>
      <c r="Q145" s="807"/>
      <c r="R145" s="807"/>
      <c r="S145" s="807"/>
      <c r="T145" s="807"/>
      <c r="U145" s="807"/>
    </row>
    <row r="146">
      <c r="A146" s="807"/>
      <c r="B146" s="813"/>
      <c r="C146" s="813"/>
      <c r="D146" s="807"/>
      <c r="E146" s="807"/>
      <c r="F146" s="801"/>
      <c r="G146" s="801"/>
      <c r="H146" s="801"/>
      <c r="I146" s="801"/>
      <c r="J146" s="807"/>
      <c r="K146" s="807"/>
      <c r="L146" s="807"/>
      <c r="M146" s="807"/>
      <c r="N146" s="807"/>
      <c r="O146" s="807"/>
      <c r="P146" s="807"/>
      <c r="Q146" s="807"/>
      <c r="R146" s="807"/>
      <c r="S146" s="807"/>
      <c r="T146" s="807"/>
      <c r="U146" s="807"/>
    </row>
    <row r="147">
      <c r="A147" s="807"/>
      <c r="B147" s="813"/>
      <c r="C147" s="813"/>
      <c r="D147" s="807"/>
      <c r="E147" s="807"/>
      <c r="F147" s="801"/>
      <c r="G147" s="801"/>
      <c r="H147" s="801"/>
      <c r="I147" s="801"/>
      <c r="J147" s="807"/>
      <c r="K147" s="807"/>
      <c r="L147" s="807"/>
      <c r="M147" s="807"/>
      <c r="N147" s="807"/>
      <c r="O147" s="807"/>
      <c r="P147" s="807"/>
      <c r="Q147" s="807"/>
      <c r="R147" s="807"/>
      <c r="S147" s="807"/>
      <c r="T147" s="807"/>
      <c r="U147" s="807"/>
    </row>
    <row r="148">
      <c r="A148" s="807"/>
      <c r="B148" s="813"/>
      <c r="C148" s="813"/>
      <c r="D148" s="807"/>
      <c r="E148" s="807"/>
      <c r="F148" s="801"/>
      <c r="G148" s="801"/>
      <c r="H148" s="801"/>
      <c r="I148" s="801"/>
      <c r="J148" s="807"/>
      <c r="K148" s="807"/>
      <c r="L148" s="807"/>
      <c r="M148" s="807"/>
      <c r="N148" s="807"/>
      <c r="O148" s="807"/>
      <c r="P148" s="807"/>
      <c r="Q148" s="807"/>
      <c r="R148" s="807"/>
      <c r="S148" s="807"/>
      <c r="T148" s="807"/>
      <c r="U148" s="807"/>
    </row>
    <row r="149">
      <c r="A149" s="807"/>
      <c r="B149" s="813"/>
      <c r="C149" s="813"/>
      <c r="D149" s="807"/>
      <c r="E149" s="807"/>
      <c r="F149" s="801"/>
      <c r="G149" s="801"/>
      <c r="H149" s="801"/>
      <c r="I149" s="801"/>
      <c r="J149" s="807"/>
      <c r="K149" s="807"/>
      <c r="L149" s="807"/>
      <c r="M149" s="807"/>
      <c r="N149" s="807"/>
      <c r="O149" s="807"/>
      <c r="P149" s="807"/>
      <c r="Q149" s="807"/>
      <c r="R149" s="807"/>
      <c r="S149" s="807"/>
      <c r="T149" s="807"/>
      <c r="U149" s="807"/>
    </row>
    <row r="150">
      <c r="A150" s="807"/>
      <c r="B150" s="813"/>
      <c r="C150" s="813"/>
      <c r="D150" s="807"/>
      <c r="E150" s="807"/>
      <c r="F150" s="801"/>
      <c r="G150" s="801"/>
      <c r="H150" s="801"/>
      <c r="I150" s="801"/>
      <c r="J150" s="807"/>
      <c r="K150" s="807"/>
      <c r="L150" s="807"/>
      <c r="M150" s="807"/>
      <c r="N150" s="807"/>
      <c r="O150" s="807"/>
      <c r="P150" s="807"/>
      <c r="Q150" s="807"/>
      <c r="R150" s="807"/>
      <c r="S150" s="807"/>
      <c r="T150" s="807"/>
      <c r="U150" s="807"/>
    </row>
    <row r="151">
      <c r="A151" s="807"/>
      <c r="B151" s="813"/>
      <c r="C151" s="813"/>
      <c r="D151" s="807"/>
      <c r="E151" s="807"/>
      <c r="F151" s="801"/>
      <c r="G151" s="801"/>
      <c r="H151" s="801"/>
      <c r="I151" s="801"/>
      <c r="J151" s="807"/>
      <c r="K151" s="807"/>
      <c r="L151" s="807"/>
      <c r="M151" s="807"/>
      <c r="N151" s="807"/>
      <c r="O151" s="807"/>
      <c r="P151" s="807"/>
      <c r="Q151" s="807"/>
      <c r="R151" s="807"/>
      <c r="S151" s="807"/>
      <c r="T151" s="807"/>
      <c r="U151" s="807"/>
    </row>
    <row r="152">
      <c r="A152" s="807"/>
      <c r="B152" s="813"/>
      <c r="C152" s="813"/>
      <c r="D152" s="807"/>
      <c r="E152" s="807"/>
      <c r="F152" s="801"/>
      <c r="G152" s="801"/>
      <c r="H152" s="801"/>
      <c r="I152" s="801"/>
      <c r="J152" s="807"/>
      <c r="K152" s="807"/>
      <c r="L152" s="807"/>
      <c r="M152" s="807"/>
      <c r="N152" s="807"/>
      <c r="O152" s="807"/>
      <c r="P152" s="807"/>
      <c r="Q152" s="807"/>
      <c r="R152" s="807"/>
      <c r="S152" s="807"/>
      <c r="T152" s="807"/>
      <c r="U152" s="807"/>
    </row>
    <row r="153">
      <c r="A153" s="807"/>
      <c r="B153" s="813"/>
      <c r="C153" s="813"/>
      <c r="D153" s="807"/>
      <c r="E153" s="807"/>
      <c r="F153" s="801"/>
      <c r="G153" s="801"/>
      <c r="H153" s="801"/>
      <c r="I153" s="801"/>
      <c r="J153" s="807"/>
      <c r="K153" s="807"/>
      <c r="L153" s="807"/>
      <c r="M153" s="807"/>
      <c r="N153" s="807"/>
      <c r="O153" s="807"/>
      <c r="P153" s="807"/>
      <c r="Q153" s="807"/>
      <c r="R153" s="807"/>
      <c r="S153" s="807"/>
      <c r="T153" s="807"/>
      <c r="U153" s="807"/>
    </row>
    <row r="154">
      <c r="A154" s="807"/>
      <c r="B154" s="813"/>
      <c r="C154" s="813"/>
      <c r="D154" s="807"/>
      <c r="E154" s="807"/>
      <c r="F154" s="801"/>
      <c r="G154" s="801"/>
      <c r="H154" s="801"/>
      <c r="I154" s="801"/>
      <c r="J154" s="807"/>
      <c r="K154" s="807"/>
      <c r="L154" s="807"/>
      <c r="M154" s="807"/>
      <c r="N154" s="807"/>
      <c r="O154" s="807"/>
      <c r="P154" s="807"/>
      <c r="Q154" s="807"/>
      <c r="R154" s="807"/>
      <c r="S154" s="807"/>
      <c r="T154" s="807"/>
      <c r="U154" s="807"/>
    </row>
    <row r="155">
      <c r="A155" s="807"/>
      <c r="B155" s="813"/>
      <c r="C155" s="813"/>
      <c r="D155" s="807"/>
      <c r="E155" s="807"/>
      <c r="F155" s="801"/>
      <c r="G155" s="801"/>
      <c r="H155" s="801"/>
      <c r="I155" s="801"/>
      <c r="J155" s="807"/>
      <c r="K155" s="807"/>
      <c r="L155" s="807"/>
      <c r="M155" s="807"/>
      <c r="N155" s="807"/>
      <c r="O155" s="807"/>
      <c r="P155" s="807"/>
      <c r="Q155" s="807"/>
      <c r="R155" s="807"/>
      <c r="S155" s="807"/>
      <c r="T155" s="807"/>
      <c r="U155" s="807"/>
    </row>
    <row r="156">
      <c r="A156" s="807"/>
      <c r="B156" s="813"/>
      <c r="C156" s="813"/>
      <c r="D156" s="807"/>
      <c r="E156" s="807"/>
      <c r="F156" s="801"/>
      <c r="G156" s="801"/>
      <c r="H156" s="801"/>
      <c r="I156" s="801"/>
      <c r="J156" s="807"/>
      <c r="K156" s="807"/>
      <c r="L156" s="807"/>
      <c r="M156" s="807"/>
      <c r="N156" s="807"/>
      <c r="O156" s="807"/>
      <c r="P156" s="807"/>
      <c r="Q156" s="807"/>
      <c r="R156" s="807"/>
      <c r="S156" s="807"/>
      <c r="T156" s="807"/>
      <c r="U156" s="807"/>
    </row>
    <row r="157">
      <c r="A157" s="807"/>
      <c r="B157" s="813"/>
      <c r="C157" s="813"/>
      <c r="D157" s="807"/>
      <c r="E157" s="807"/>
      <c r="F157" s="801"/>
      <c r="G157" s="801"/>
      <c r="H157" s="801"/>
      <c r="I157" s="801"/>
      <c r="J157" s="807"/>
      <c r="K157" s="807"/>
      <c r="L157" s="807"/>
      <c r="M157" s="807"/>
      <c r="N157" s="807"/>
      <c r="O157" s="807"/>
      <c r="P157" s="807"/>
      <c r="Q157" s="807"/>
      <c r="R157" s="807"/>
      <c r="S157" s="807"/>
      <c r="T157" s="807"/>
      <c r="U157" s="807"/>
    </row>
    <row r="158">
      <c r="A158" s="807"/>
      <c r="B158" s="813"/>
      <c r="C158" s="813"/>
      <c r="D158" s="807"/>
      <c r="E158" s="807"/>
      <c r="F158" s="801"/>
      <c r="G158" s="801"/>
      <c r="H158" s="801"/>
      <c r="I158" s="801"/>
      <c r="J158" s="807"/>
      <c r="K158" s="807"/>
      <c r="L158" s="807"/>
      <c r="M158" s="807"/>
      <c r="N158" s="807"/>
      <c r="O158" s="807"/>
      <c r="P158" s="807"/>
      <c r="Q158" s="807"/>
      <c r="R158" s="807"/>
      <c r="S158" s="807"/>
      <c r="T158" s="807"/>
      <c r="U158" s="807"/>
    </row>
    <row r="159">
      <c r="A159" s="807"/>
      <c r="B159" s="813"/>
      <c r="C159" s="813"/>
      <c r="D159" s="807"/>
      <c r="E159" s="807"/>
      <c r="F159" s="801"/>
      <c r="G159" s="801"/>
      <c r="H159" s="801"/>
      <c r="I159" s="801"/>
      <c r="J159" s="807"/>
      <c r="K159" s="807"/>
      <c r="L159" s="807"/>
      <c r="M159" s="807"/>
      <c r="N159" s="807"/>
      <c r="O159" s="807"/>
      <c r="P159" s="807"/>
      <c r="Q159" s="807"/>
      <c r="R159" s="807"/>
      <c r="S159" s="807"/>
      <c r="T159" s="807"/>
      <c r="U159" s="807"/>
    </row>
    <row r="160">
      <c r="A160" s="807"/>
      <c r="B160" s="813"/>
      <c r="C160" s="813"/>
      <c r="D160" s="807"/>
      <c r="E160" s="807"/>
      <c r="F160" s="801"/>
      <c r="G160" s="801"/>
      <c r="H160" s="801"/>
      <c r="I160" s="801"/>
      <c r="J160" s="807"/>
      <c r="K160" s="807"/>
      <c r="L160" s="807"/>
      <c r="M160" s="807"/>
      <c r="N160" s="807"/>
      <c r="O160" s="807"/>
      <c r="P160" s="807"/>
      <c r="Q160" s="807"/>
      <c r="R160" s="807"/>
      <c r="S160" s="807"/>
      <c r="T160" s="807"/>
      <c r="U160" s="807"/>
    </row>
    <row r="161">
      <c r="A161" s="807"/>
      <c r="B161" s="813"/>
      <c r="C161" s="813"/>
      <c r="D161" s="807"/>
      <c r="E161" s="807"/>
      <c r="F161" s="801"/>
      <c r="G161" s="801"/>
      <c r="H161" s="801"/>
      <c r="I161" s="801"/>
      <c r="J161" s="807"/>
      <c r="K161" s="807"/>
      <c r="L161" s="807"/>
      <c r="M161" s="807"/>
      <c r="N161" s="807"/>
      <c r="O161" s="807"/>
      <c r="P161" s="807"/>
      <c r="Q161" s="807"/>
      <c r="R161" s="807"/>
      <c r="S161" s="807"/>
      <c r="T161" s="807"/>
      <c r="U161" s="807"/>
    </row>
    <row r="162">
      <c r="A162" s="807"/>
      <c r="B162" s="813"/>
      <c r="C162" s="813"/>
      <c r="D162" s="807"/>
      <c r="E162" s="807"/>
      <c r="F162" s="801"/>
      <c r="G162" s="801"/>
      <c r="H162" s="801"/>
      <c r="I162" s="801"/>
      <c r="J162" s="807"/>
      <c r="K162" s="807"/>
      <c r="L162" s="807"/>
      <c r="M162" s="807"/>
      <c r="N162" s="807"/>
      <c r="O162" s="807"/>
      <c r="P162" s="807"/>
      <c r="Q162" s="807"/>
      <c r="R162" s="807"/>
      <c r="S162" s="807"/>
      <c r="T162" s="807"/>
      <c r="U162" s="807"/>
    </row>
    <row r="163">
      <c r="A163" s="807"/>
      <c r="B163" s="813"/>
      <c r="C163" s="813"/>
      <c r="D163" s="807"/>
      <c r="E163" s="807"/>
      <c r="F163" s="801"/>
      <c r="G163" s="801"/>
      <c r="H163" s="801"/>
      <c r="I163" s="801"/>
      <c r="J163" s="807"/>
      <c r="K163" s="807"/>
      <c r="L163" s="807"/>
      <c r="M163" s="807"/>
      <c r="N163" s="807"/>
      <c r="O163" s="807"/>
      <c r="P163" s="807"/>
      <c r="Q163" s="807"/>
      <c r="R163" s="807"/>
      <c r="S163" s="807"/>
      <c r="T163" s="807"/>
      <c r="U163" s="807"/>
    </row>
    <row r="164">
      <c r="A164" s="807"/>
      <c r="B164" s="813"/>
      <c r="C164" s="813"/>
      <c r="D164" s="807"/>
      <c r="E164" s="807"/>
      <c r="F164" s="801"/>
      <c r="G164" s="801"/>
      <c r="H164" s="801"/>
      <c r="I164" s="801"/>
      <c r="J164" s="807"/>
      <c r="K164" s="807"/>
      <c r="L164" s="807"/>
      <c r="M164" s="807"/>
      <c r="N164" s="807"/>
      <c r="O164" s="807"/>
      <c r="P164" s="807"/>
      <c r="Q164" s="807"/>
      <c r="R164" s="807"/>
      <c r="S164" s="807"/>
      <c r="T164" s="807"/>
      <c r="U164" s="807"/>
    </row>
    <row r="165">
      <c r="A165" s="807"/>
      <c r="B165" s="813"/>
      <c r="C165" s="813"/>
      <c r="D165" s="807"/>
      <c r="E165" s="807"/>
      <c r="F165" s="801"/>
      <c r="G165" s="801"/>
      <c r="H165" s="801"/>
      <c r="I165" s="801"/>
      <c r="J165" s="807"/>
      <c r="K165" s="807"/>
      <c r="L165" s="807"/>
      <c r="M165" s="807"/>
      <c r="N165" s="807"/>
      <c r="O165" s="807"/>
      <c r="P165" s="807"/>
      <c r="Q165" s="807"/>
      <c r="R165" s="807"/>
      <c r="S165" s="807"/>
      <c r="T165" s="807"/>
      <c r="U165" s="807"/>
    </row>
    <row r="166">
      <c r="A166" s="807"/>
      <c r="B166" s="813"/>
      <c r="C166" s="813"/>
      <c r="D166" s="807"/>
      <c r="E166" s="807"/>
      <c r="F166" s="801"/>
      <c r="G166" s="801"/>
      <c r="H166" s="801"/>
      <c r="I166" s="801"/>
      <c r="J166" s="807"/>
      <c r="K166" s="807"/>
      <c r="L166" s="807"/>
      <c r="M166" s="807"/>
      <c r="N166" s="807"/>
      <c r="O166" s="807"/>
      <c r="P166" s="807"/>
      <c r="Q166" s="807"/>
      <c r="R166" s="807"/>
      <c r="S166" s="807"/>
      <c r="T166" s="807"/>
      <c r="U166" s="807"/>
    </row>
    <row r="167">
      <c r="A167" s="807"/>
      <c r="B167" s="813"/>
      <c r="C167" s="813"/>
      <c r="D167" s="807"/>
      <c r="E167" s="807"/>
      <c r="F167" s="801"/>
      <c r="G167" s="801"/>
      <c r="H167" s="801"/>
      <c r="I167" s="801"/>
      <c r="J167" s="807"/>
      <c r="K167" s="807"/>
      <c r="L167" s="807"/>
      <c r="M167" s="807"/>
      <c r="N167" s="807"/>
      <c r="O167" s="807"/>
      <c r="P167" s="807"/>
      <c r="Q167" s="807"/>
      <c r="R167" s="807"/>
      <c r="S167" s="807"/>
      <c r="T167" s="807"/>
      <c r="U167" s="807"/>
    </row>
    <row r="168">
      <c r="A168" s="807"/>
      <c r="B168" s="813"/>
      <c r="C168" s="813"/>
      <c r="D168" s="807"/>
      <c r="E168" s="807"/>
      <c r="F168" s="801"/>
      <c r="G168" s="801"/>
      <c r="H168" s="801"/>
      <c r="I168" s="801"/>
      <c r="J168" s="807"/>
      <c r="K168" s="807"/>
      <c r="L168" s="807"/>
      <c r="M168" s="807"/>
      <c r="N168" s="807"/>
      <c r="O168" s="807"/>
      <c r="P168" s="807"/>
      <c r="Q168" s="807"/>
      <c r="R168" s="807"/>
      <c r="S168" s="807"/>
      <c r="T168" s="807"/>
      <c r="U168" s="807"/>
    </row>
    <row r="169">
      <c r="A169" s="807"/>
      <c r="B169" s="813"/>
      <c r="C169" s="813"/>
      <c r="D169" s="807"/>
      <c r="E169" s="807"/>
      <c r="F169" s="801"/>
      <c r="G169" s="801"/>
      <c r="H169" s="801"/>
      <c r="I169" s="801"/>
      <c r="J169" s="807"/>
      <c r="K169" s="807"/>
      <c r="L169" s="807"/>
      <c r="M169" s="807"/>
      <c r="N169" s="807"/>
      <c r="O169" s="807"/>
      <c r="P169" s="807"/>
      <c r="Q169" s="807"/>
      <c r="R169" s="807"/>
      <c r="S169" s="807"/>
      <c r="T169" s="807"/>
      <c r="U169" s="807"/>
    </row>
    <row r="170">
      <c r="A170" s="807"/>
      <c r="B170" s="813"/>
      <c r="C170" s="813"/>
      <c r="D170" s="807"/>
      <c r="E170" s="807"/>
      <c r="F170" s="801"/>
      <c r="G170" s="801"/>
      <c r="H170" s="801"/>
      <c r="I170" s="801"/>
      <c r="J170" s="807"/>
      <c r="K170" s="807"/>
      <c r="L170" s="807"/>
      <c r="M170" s="807"/>
      <c r="N170" s="807"/>
      <c r="O170" s="807"/>
      <c r="P170" s="807"/>
      <c r="Q170" s="807"/>
      <c r="R170" s="807"/>
      <c r="S170" s="807"/>
      <c r="T170" s="807"/>
      <c r="U170" s="807"/>
    </row>
    <row r="171">
      <c r="A171" s="807"/>
      <c r="B171" s="813"/>
      <c r="C171" s="813"/>
      <c r="D171" s="807"/>
      <c r="E171" s="807"/>
      <c r="F171" s="801"/>
      <c r="G171" s="801"/>
      <c r="H171" s="801"/>
      <c r="I171" s="801"/>
      <c r="J171" s="807"/>
      <c r="K171" s="807"/>
      <c r="L171" s="807"/>
      <c r="M171" s="807"/>
      <c r="N171" s="807"/>
      <c r="O171" s="807"/>
      <c r="P171" s="807"/>
      <c r="Q171" s="807"/>
      <c r="R171" s="807"/>
      <c r="S171" s="807"/>
      <c r="T171" s="807"/>
      <c r="U171" s="807"/>
    </row>
    <row r="172">
      <c r="A172" s="807"/>
      <c r="B172" s="813"/>
      <c r="C172" s="813"/>
      <c r="D172" s="807"/>
      <c r="E172" s="807"/>
      <c r="F172" s="801"/>
      <c r="G172" s="801"/>
      <c r="H172" s="801"/>
      <c r="I172" s="801"/>
      <c r="J172" s="807"/>
      <c r="K172" s="807"/>
      <c r="L172" s="807"/>
      <c r="M172" s="807"/>
      <c r="N172" s="807"/>
      <c r="O172" s="807"/>
      <c r="P172" s="807"/>
      <c r="Q172" s="807"/>
      <c r="R172" s="807"/>
      <c r="S172" s="807"/>
      <c r="T172" s="807"/>
      <c r="U172" s="807"/>
    </row>
    <row r="173">
      <c r="A173" s="807"/>
      <c r="B173" s="813"/>
      <c r="C173" s="813"/>
      <c r="D173" s="807"/>
      <c r="E173" s="807"/>
      <c r="F173" s="801"/>
      <c r="G173" s="801"/>
      <c r="H173" s="801"/>
      <c r="I173" s="801"/>
      <c r="J173" s="807"/>
      <c r="K173" s="807"/>
      <c r="L173" s="807"/>
      <c r="M173" s="807"/>
      <c r="N173" s="807"/>
      <c r="O173" s="807"/>
      <c r="P173" s="807"/>
      <c r="Q173" s="807"/>
      <c r="R173" s="807"/>
      <c r="S173" s="807"/>
      <c r="T173" s="807"/>
      <c r="U173" s="807"/>
    </row>
    <row r="174">
      <c r="A174" s="807"/>
      <c r="B174" s="813"/>
      <c r="C174" s="813"/>
      <c r="D174" s="807"/>
      <c r="E174" s="807"/>
      <c r="F174" s="801"/>
      <c r="G174" s="801"/>
      <c r="H174" s="801"/>
      <c r="I174" s="801"/>
      <c r="J174" s="807"/>
      <c r="K174" s="807"/>
      <c r="L174" s="807"/>
      <c r="M174" s="807"/>
      <c r="N174" s="807"/>
      <c r="O174" s="807"/>
      <c r="P174" s="807"/>
      <c r="Q174" s="807"/>
      <c r="R174" s="807"/>
      <c r="S174" s="807"/>
      <c r="T174" s="807"/>
      <c r="U174" s="807"/>
    </row>
    <row r="175">
      <c r="A175" s="807"/>
      <c r="B175" s="813"/>
      <c r="C175" s="813"/>
      <c r="D175" s="807"/>
      <c r="E175" s="807"/>
      <c r="F175" s="801"/>
      <c r="G175" s="801"/>
      <c r="H175" s="801"/>
      <c r="I175" s="801"/>
      <c r="J175" s="807"/>
      <c r="K175" s="807"/>
      <c r="L175" s="807"/>
      <c r="M175" s="807"/>
      <c r="N175" s="807"/>
      <c r="O175" s="807"/>
      <c r="P175" s="807"/>
      <c r="Q175" s="807"/>
      <c r="R175" s="807"/>
      <c r="S175" s="807"/>
      <c r="T175" s="807"/>
      <c r="U175" s="807"/>
    </row>
    <row r="176">
      <c r="A176" s="807"/>
      <c r="B176" s="813"/>
      <c r="C176" s="813"/>
      <c r="D176" s="807"/>
      <c r="E176" s="807"/>
      <c r="F176" s="801"/>
      <c r="G176" s="801"/>
      <c r="H176" s="801"/>
      <c r="I176" s="801"/>
      <c r="J176" s="807"/>
      <c r="K176" s="807"/>
      <c r="L176" s="807"/>
      <c r="M176" s="807"/>
      <c r="N176" s="807"/>
      <c r="O176" s="807"/>
      <c r="P176" s="807"/>
      <c r="Q176" s="807"/>
      <c r="R176" s="807"/>
      <c r="S176" s="807"/>
      <c r="T176" s="807"/>
      <c r="U176" s="807"/>
    </row>
    <row r="177">
      <c r="A177" s="807"/>
      <c r="B177" s="813"/>
      <c r="C177" s="813"/>
      <c r="D177" s="807"/>
      <c r="E177" s="807"/>
      <c r="F177" s="801"/>
      <c r="G177" s="801"/>
      <c r="H177" s="801"/>
      <c r="I177" s="801"/>
      <c r="J177" s="807"/>
      <c r="K177" s="807"/>
      <c r="L177" s="807"/>
      <c r="M177" s="807"/>
      <c r="N177" s="807"/>
      <c r="O177" s="807"/>
      <c r="P177" s="807"/>
      <c r="Q177" s="807"/>
      <c r="R177" s="807"/>
      <c r="S177" s="807"/>
      <c r="T177" s="807"/>
      <c r="U177" s="807"/>
    </row>
    <row r="178">
      <c r="A178" s="807"/>
      <c r="B178" s="813"/>
      <c r="C178" s="813"/>
      <c r="D178" s="807"/>
      <c r="E178" s="807"/>
      <c r="F178" s="801"/>
      <c r="G178" s="801"/>
      <c r="H178" s="801"/>
      <c r="I178" s="801"/>
      <c r="J178" s="807"/>
      <c r="K178" s="807"/>
      <c r="L178" s="807"/>
      <c r="M178" s="807"/>
      <c r="N178" s="807"/>
      <c r="O178" s="807"/>
      <c r="P178" s="807"/>
      <c r="Q178" s="807"/>
      <c r="R178" s="807"/>
      <c r="S178" s="807"/>
      <c r="T178" s="807"/>
      <c r="U178" s="807"/>
    </row>
    <row r="179">
      <c r="A179" s="807"/>
      <c r="B179" s="813"/>
      <c r="C179" s="813"/>
      <c r="D179" s="807"/>
      <c r="E179" s="807"/>
      <c r="F179" s="801"/>
      <c r="G179" s="801"/>
      <c r="H179" s="801"/>
      <c r="I179" s="801"/>
      <c r="J179" s="807"/>
      <c r="K179" s="807"/>
      <c r="L179" s="807"/>
      <c r="M179" s="807"/>
      <c r="N179" s="807"/>
      <c r="O179" s="807"/>
      <c r="P179" s="807"/>
      <c r="Q179" s="807"/>
      <c r="R179" s="807"/>
      <c r="S179" s="807"/>
      <c r="T179" s="807"/>
      <c r="U179" s="807"/>
    </row>
    <row r="180">
      <c r="A180" s="807"/>
      <c r="B180" s="813"/>
      <c r="C180" s="813"/>
      <c r="D180" s="807"/>
      <c r="E180" s="807"/>
      <c r="F180" s="801"/>
      <c r="G180" s="801"/>
      <c r="H180" s="801"/>
      <c r="I180" s="801"/>
      <c r="J180" s="807"/>
      <c r="K180" s="807"/>
      <c r="L180" s="807"/>
      <c r="M180" s="807"/>
      <c r="N180" s="807"/>
      <c r="O180" s="807"/>
      <c r="P180" s="807"/>
      <c r="Q180" s="807"/>
      <c r="R180" s="807"/>
      <c r="S180" s="807"/>
      <c r="T180" s="807"/>
      <c r="U180" s="807"/>
    </row>
    <row r="181">
      <c r="A181" s="807"/>
      <c r="B181" s="813"/>
      <c r="C181" s="813"/>
      <c r="D181" s="807"/>
      <c r="E181" s="807"/>
      <c r="F181" s="801"/>
      <c r="G181" s="801"/>
      <c r="H181" s="801"/>
      <c r="I181" s="801"/>
      <c r="J181" s="807"/>
      <c r="K181" s="807"/>
      <c r="L181" s="807"/>
      <c r="M181" s="807"/>
      <c r="N181" s="807"/>
      <c r="O181" s="807"/>
      <c r="P181" s="807"/>
      <c r="Q181" s="807"/>
      <c r="R181" s="807"/>
      <c r="S181" s="807"/>
      <c r="T181" s="807"/>
      <c r="U181" s="807"/>
    </row>
    <row r="182">
      <c r="A182" s="807"/>
      <c r="B182" s="813"/>
      <c r="C182" s="813"/>
      <c r="D182" s="807"/>
      <c r="E182" s="807"/>
      <c r="F182" s="801"/>
      <c r="G182" s="801"/>
      <c r="H182" s="801"/>
      <c r="I182" s="801"/>
      <c r="J182" s="807"/>
      <c r="K182" s="807"/>
      <c r="L182" s="807"/>
      <c r="M182" s="807"/>
      <c r="N182" s="807"/>
      <c r="O182" s="807"/>
      <c r="P182" s="807"/>
      <c r="Q182" s="807"/>
      <c r="R182" s="807"/>
      <c r="S182" s="807"/>
      <c r="T182" s="807"/>
      <c r="U182" s="807"/>
    </row>
    <row r="183">
      <c r="A183" s="807"/>
      <c r="B183" s="813"/>
      <c r="C183" s="813"/>
      <c r="D183" s="807"/>
      <c r="E183" s="807"/>
      <c r="F183" s="801"/>
      <c r="G183" s="801"/>
      <c r="H183" s="801"/>
      <c r="I183" s="801"/>
      <c r="J183" s="807"/>
      <c r="K183" s="807"/>
      <c r="L183" s="807"/>
      <c r="M183" s="807"/>
      <c r="N183" s="807"/>
      <c r="O183" s="807"/>
      <c r="P183" s="807"/>
      <c r="Q183" s="807"/>
      <c r="R183" s="807"/>
      <c r="S183" s="807"/>
      <c r="T183" s="807"/>
      <c r="U183" s="807"/>
    </row>
    <row r="184">
      <c r="A184" s="807"/>
      <c r="B184" s="813"/>
      <c r="C184" s="813"/>
      <c r="D184" s="807"/>
      <c r="E184" s="807"/>
      <c r="F184" s="801"/>
      <c r="G184" s="801"/>
      <c r="H184" s="801"/>
      <c r="I184" s="801"/>
      <c r="J184" s="807"/>
      <c r="K184" s="807"/>
      <c r="L184" s="807"/>
      <c r="M184" s="807"/>
      <c r="N184" s="807"/>
      <c r="O184" s="807"/>
      <c r="P184" s="807"/>
      <c r="Q184" s="807"/>
      <c r="R184" s="807"/>
      <c r="S184" s="807"/>
      <c r="T184" s="807"/>
      <c r="U184" s="807"/>
    </row>
    <row r="185">
      <c r="A185" s="807"/>
      <c r="B185" s="813"/>
      <c r="C185" s="813"/>
      <c r="D185" s="807"/>
      <c r="E185" s="807"/>
      <c r="F185" s="801"/>
      <c r="G185" s="801"/>
      <c r="H185" s="801"/>
      <c r="I185" s="801"/>
      <c r="J185" s="807"/>
      <c r="K185" s="807"/>
      <c r="L185" s="807"/>
      <c r="M185" s="807"/>
      <c r="N185" s="807"/>
      <c r="O185" s="807"/>
      <c r="P185" s="807"/>
      <c r="Q185" s="807"/>
      <c r="R185" s="807"/>
      <c r="S185" s="807"/>
      <c r="T185" s="807"/>
      <c r="U185" s="807"/>
    </row>
    <row r="186">
      <c r="A186" s="807"/>
      <c r="B186" s="813"/>
      <c r="C186" s="813"/>
      <c r="D186" s="807"/>
      <c r="E186" s="807"/>
      <c r="F186" s="801"/>
      <c r="G186" s="801"/>
      <c r="H186" s="801"/>
      <c r="I186" s="801"/>
      <c r="J186" s="807"/>
      <c r="K186" s="807"/>
      <c r="L186" s="807"/>
      <c r="M186" s="807"/>
      <c r="N186" s="807"/>
      <c r="O186" s="807"/>
      <c r="P186" s="807"/>
      <c r="Q186" s="807"/>
      <c r="R186" s="807"/>
      <c r="S186" s="807"/>
      <c r="T186" s="807"/>
      <c r="U186" s="807"/>
    </row>
    <row r="187">
      <c r="A187" s="807"/>
      <c r="B187" s="813"/>
      <c r="C187" s="813"/>
      <c r="D187" s="807"/>
      <c r="E187" s="807"/>
      <c r="F187" s="801"/>
      <c r="G187" s="801"/>
      <c r="H187" s="801"/>
      <c r="I187" s="801"/>
      <c r="J187" s="807"/>
      <c r="K187" s="807"/>
      <c r="L187" s="807"/>
      <c r="M187" s="807"/>
      <c r="N187" s="807"/>
      <c r="O187" s="807"/>
      <c r="P187" s="807"/>
      <c r="Q187" s="807"/>
      <c r="R187" s="807"/>
      <c r="S187" s="807"/>
      <c r="T187" s="807"/>
      <c r="U187" s="807"/>
    </row>
    <row r="188">
      <c r="A188" s="807"/>
      <c r="B188" s="813"/>
      <c r="C188" s="813"/>
      <c r="D188" s="807"/>
      <c r="E188" s="807"/>
      <c r="F188" s="801"/>
      <c r="G188" s="801"/>
      <c r="H188" s="801"/>
      <c r="I188" s="801"/>
      <c r="J188" s="807"/>
      <c r="K188" s="807"/>
      <c r="L188" s="807"/>
      <c r="M188" s="807"/>
      <c r="N188" s="807"/>
      <c r="O188" s="807"/>
      <c r="P188" s="807"/>
      <c r="Q188" s="807"/>
      <c r="R188" s="807"/>
      <c r="S188" s="807"/>
      <c r="T188" s="807"/>
      <c r="U188" s="807"/>
    </row>
    <row r="189">
      <c r="A189" s="807"/>
      <c r="B189" s="813"/>
      <c r="C189" s="813"/>
      <c r="D189" s="807"/>
      <c r="E189" s="807"/>
      <c r="F189" s="801"/>
      <c r="G189" s="801"/>
      <c r="H189" s="801"/>
      <c r="I189" s="801"/>
      <c r="J189" s="807"/>
      <c r="K189" s="807"/>
      <c r="L189" s="807"/>
      <c r="M189" s="807"/>
      <c r="N189" s="807"/>
      <c r="O189" s="807"/>
      <c r="P189" s="807"/>
      <c r="Q189" s="807"/>
      <c r="R189" s="807"/>
      <c r="S189" s="807"/>
      <c r="T189" s="807"/>
      <c r="U189" s="807"/>
    </row>
    <row r="190">
      <c r="A190" s="807"/>
      <c r="B190" s="813"/>
      <c r="C190" s="813"/>
      <c r="D190" s="807"/>
      <c r="E190" s="807"/>
      <c r="F190" s="801"/>
      <c r="G190" s="801"/>
      <c r="H190" s="801"/>
      <c r="I190" s="801"/>
      <c r="J190" s="807"/>
      <c r="K190" s="807"/>
      <c r="L190" s="807"/>
      <c r="M190" s="807"/>
      <c r="N190" s="807"/>
      <c r="O190" s="807"/>
      <c r="P190" s="807"/>
      <c r="Q190" s="807"/>
      <c r="R190" s="807"/>
      <c r="S190" s="807"/>
      <c r="T190" s="807"/>
      <c r="U190" s="807"/>
    </row>
    <row r="191">
      <c r="A191" s="807"/>
      <c r="B191" s="813"/>
      <c r="C191" s="813"/>
      <c r="D191" s="807"/>
      <c r="E191" s="807"/>
      <c r="F191" s="801"/>
      <c r="G191" s="801"/>
      <c r="H191" s="801"/>
      <c r="I191" s="801"/>
      <c r="J191" s="807"/>
      <c r="K191" s="807"/>
      <c r="L191" s="807"/>
      <c r="M191" s="807"/>
      <c r="N191" s="807"/>
      <c r="O191" s="807"/>
      <c r="P191" s="807"/>
      <c r="Q191" s="807"/>
      <c r="R191" s="807"/>
      <c r="S191" s="807"/>
      <c r="T191" s="807"/>
      <c r="U191" s="807"/>
    </row>
    <row r="192">
      <c r="A192" s="807"/>
      <c r="B192" s="813"/>
      <c r="C192" s="813"/>
      <c r="D192" s="807"/>
      <c r="E192" s="807"/>
      <c r="F192" s="801"/>
      <c r="G192" s="801"/>
      <c r="H192" s="801"/>
      <c r="I192" s="801"/>
      <c r="J192" s="807"/>
      <c r="K192" s="807"/>
      <c r="L192" s="807"/>
      <c r="M192" s="807"/>
      <c r="N192" s="807"/>
      <c r="O192" s="807"/>
      <c r="P192" s="807"/>
      <c r="Q192" s="807"/>
      <c r="R192" s="807"/>
      <c r="S192" s="807"/>
      <c r="T192" s="807"/>
      <c r="U192" s="807"/>
    </row>
    <row r="193">
      <c r="A193" s="807"/>
      <c r="B193" s="813"/>
      <c r="C193" s="813"/>
      <c r="D193" s="807"/>
      <c r="E193" s="807"/>
      <c r="F193" s="801"/>
      <c r="G193" s="801"/>
      <c r="H193" s="801"/>
      <c r="I193" s="801"/>
      <c r="J193" s="807"/>
      <c r="K193" s="807"/>
      <c r="L193" s="807"/>
      <c r="M193" s="807"/>
      <c r="N193" s="807"/>
      <c r="O193" s="807"/>
      <c r="P193" s="807"/>
      <c r="Q193" s="807"/>
      <c r="R193" s="807"/>
      <c r="S193" s="807"/>
      <c r="T193" s="807"/>
      <c r="U193" s="807"/>
    </row>
    <row r="194">
      <c r="A194" s="807"/>
      <c r="B194" s="813"/>
      <c r="C194" s="813"/>
      <c r="D194" s="807"/>
      <c r="E194" s="807"/>
      <c r="F194" s="801"/>
      <c r="G194" s="801"/>
      <c r="H194" s="801"/>
      <c r="I194" s="801"/>
      <c r="J194" s="807"/>
      <c r="K194" s="807"/>
      <c r="L194" s="807"/>
      <c r="M194" s="807"/>
      <c r="N194" s="807"/>
      <c r="O194" s="807"/>
      <c r="P194" s="807"/>
      <c r="Q194" s="807"/>
      <c r="R194" s="807"/>
      <c r="S194" s="807"/>
      <c r="T194" s="807"/>
      <c r="U194" s="807"/>
    </row>
    <row r="195">
      <c r="A195" s="807"/>
      <c r="B195" s="813"/>
      <c r="C195" s="813"/>
      <c r="D195" s="807"/>
      <c r="E195" s="807"/>
      <c r="F195" s="801"/>
      <c r="G195" s="801"/>
      <c r="H195" s="801"/>
      <c r="I195" s="801"/>
      <c r="J195" s="807"/>
      <c r="K195" s="807"/>
      <c r="L195" s="807"/>
      <c r="M195" s="807"/>
      <c r="N195" s="807"/>
      <c r="O195" s="807"/>
      <c r="P195" s="807"/>
      <c r="Q195" s="807"/>
      <c r="R195" s="807"/>
      <c r="S195" s="807"/>
      <c r="T195" s="807"/>
      <c r="U195" s="807"/>
    </row>
    <row r="196">
      <c r="A196" s="807"/>
      <c r="B196" s="813"/>
      <c r="C196" s="813"/>
      <c r="D196" s="807"/>
      <c r="E196" s="807"/>
      <c r="F196" s="801"/>
      <c r="G196" s="801"/>
      <c r="H196" s="801"/>
      <c r="I196" s="801"/>
      <c r="J196" s="807"/>
      <c r="K196" s="807"/>
      <c r="L196" s="807"/>
      <c r="M196" s="807"/>
      <c r="N196" s="807"/>
      <c r="O196" s="807"/>
      <c r="P196" s="807"/>
      <c r="Q196" s="807"/>
      <c r="R196" s="807"/>
      <c r="S196" s="807"/>
      <c r="T196" s="807"/>
      <c r="U196" s="807"/>
    </row>
    <row r="197">
      <c r="A197" s="807"/>
      <c r="B197" s="813"/>
      <c r="C197" s="813"/>
      <c r="D197" s="807"/>
      <c r="E197" s="807"/>
      <c r="F197" s="801"/>
      <c r="G197" s="801"/>
      <c r="H197" s="801"/>
      <c r="I197" s="801"/>
      <c r="J197" s="807"/>
      <c r="K197" s="807"/>
      <c r="L197" s="807"/>
      <c r="M197" s="807"/>
      <c r="N197" s="807"/>
      <c r="O197" s="807"/>
      <c r="P197" s="807"/>
      <c r="Q197" s="807"/>
      <c r="R197" s="807"/>
      <c r="S197" s="807"/>
      <c r="T197" s="807"/>
      <c r="U197" s="807"/>
    </row>
    <row r="198">
      <c r="A198" s="807"/>
      <c r="B198" s="813"/>
      <c r="C198" s="813"/>
      <c r="D198" s="807"/>
      <c r="E198" s="807"/>
      <c r="F198" s="801"/>
      <c r="G198" s="801"/>
      <c r="H198" s="801"/>
      <c r="I198" s="801"/>
      <c r="J198" s="807"/>
      <c r="K198" s="807"/>
      <c r="L198" s="807"/>
      <c r="M198" s="807"/>
      <c r="N198" s="807"/>
      <c r="O198" s="807"/>
      <c r="P198" s="807"/>
      <c r="Q198" s="807"/>
      <c r="R198" s="807"/>
      <c r="S198" s="807"/>
      <c r="T198" s="807"/>
      <c r="U198" s="807"/>
    </row>
    <row r="199">
      <c r="A199" s="807"/>
      <c r="B199" s="813"/>
      <c r="C199" s="813"/>
      <c r="D199" s="807"/>
      <c r="E199" s="807"/>
      <c r="F199" s="801"/>
      <c r="G199" s="801"/>
      <c r="H199" s="801"/>
      <c r="I199" s="801"/>
      <c r="J199" s="807"/>
      <c r="K199" s="807"/>
      <c r="L199" s="807"/>
      <c r="M199" s="807"/>
      <c r="N199" s="807"/>
      <c r="O199" s="807"/>
      <c r="P199" s="807"/>
      <c r="Q199" s="807"/>
      <c r="R199" s="807"/>
      <c r="S199" s="807"/>
      <c r="T199" s="807"/>
      <c r="U199" s="807"/>
    </row>
    <row r="200">
      <c r="A200" s="807"/>
      <c r="B200" s="813"/>
      <c r="C200" s="813"/>
      <c r="D200" s="807"/>
      <c r="E200" s="807"/>
      <c r="F200" s="801"/>
      <c r="G200" s="801"/>
      <c r="H200" s="801"/>
      <c r="I200" s="801"/>
      <c r="J200" s="807"/>
      <c r="K200" s="807"/>
      <c r="L200" s="807"/>
      <c r="M200" s="807"/>
      <c r="N200" s="807"/>
      <c r="O200" s="807"/>
      <c r="P200" s="807"/>
      <c r="Q200" s="807"/>
      <c r="R200" s="807"/>
      <c r="S200" s="807"/>
      <c r="T200" s="807"/>
      <c r="U200" s="807"/>
    </row>
    <row r="201">
      <c r="A201" s="807"/>
      <c r="B201" s="813"/>
      <c r="C201" s="813"/>
      <c r="D201" s="807"/>
      <c r="E201" s="807"/>
      <c r="F201" s="801"/>
      <c r="G201" s="801"/>
      <c r="H201" s="801"/>
      <c r="I201" s="801"/>
      <c r="J201" s="807"/>
      <c r="K201" s="807"/>
      <c r="L201" s="807"/>
      <c r="M201" s="807"/>
      <c r="N201" s="807"/>
      <c r="O201" s="807"/>
      <c r="P201" s="807"/>
      <c r="Q201" s="807"/>
      <c r="R201" s="807"/>
      <c r="S201" s="807"/>
      <c r="T201" s="807"/>
      <c r="U201" s="807"/>
    </row>
    <row r="202">
      <c r="A202" s="807"/>
      <c r="B202" s="813"/>
      <c r="C202" s="813"/>
      <c r="D202" s="807"/>
      <c r="E202" s="807"/>
      <c r="F202" s="801"/>
      <c r="G202" s="801"/>
      <c r="H202" s="801"/>
      <c r="I202" s="801"/>
      <c r="J202" s="807"/>
      <c r="K202" s="807"/>
      <c r="L202" s="807"/>
      <c r="M202" s="807"/>
      <c r="N202" s="807"/>
      <c r="O202" s="807"/>
      <c r="P202" s="807"/>
      <c r="Q202" s="807"/>
      <c r="R202" s="807"/>
      <c r="S202" s="807"/>
      <c r="T202" s="807"/>
      <c r="U202" s="807"/>
    </row>
    <row r="203">
      <c r="A203" s="807"/>
      <c r="B203" s="813"/>
      <c r="C203" s="813"/>
      <c r="D203" s="807"/>
      <c r="E203" s="807"/>
      <c r="F203" s="801"/>
      <c r="G203" s="801"/>
      <c r="H203" s="801"/>
      <c r="I203" s="801"/>
      <c r="J203" s="807"/>
      <c r="K203" s="807"/>
      <c r="L203" s="807"/>
      <c r="M203" s="807"/>
      <c r="N203" s="807"/>
      <c r="O203" s="807"/>
      <c r="P203" s="807"/>
      <c r="Q203" s="807"/>
      <c r="R203" s="807"/>
      <c r="S203" s="807"/>
      <c r="T203" s="807"/>
      <c r="U203" s="807"/>
    </row>
    <row r="204">
      <c r="A204" s="807"/>
      <c r="B204" s="813"/>
      <c r="C204" s="813"/>
      <c r="D204" s="807"/>
      <c r="E204" s="807"/>
      <c r="F204" s="801"/>
      <c r="G204" s="801"/>
      <c r="H204" s="801"/>
      <c r="I204" s="801"/>
      <c r="J204" s="807"/>
      <c r="K204" s="807"/>
      <c r="L204" s="807"/>
      <c r="M204" s="807"/>
      <c r="N204" s="807"/>
      <c r="O204" s="807"/>
      <c r="P204" s="807"/>
      <c r="Q204" s="807"/>
      <c r="R204" s="807"/>
      <c r="S204" s="807"/>
      <c r="T204" s="807"/>
      <c r="U204" s="807"/>
    </row>
    <row r="205">
      <c r="A205" s="807"/>
      <c r="B205" s="813"/>
      <c r="C205" s="813"/>
      <c r="D205" s="807"/>
      <c r="E205" s="807"/>
      <c r="F205" s="801"/>
      <c r="G205" s="801"/>
      <c r="H205" s="801"/>
      <c r="I205" s="801"/>
      <c r="J205" s="807"/>
      <c r="K205" s="807"/>
      <c r="L205" s="807"/>
      <c r="M205" s="807"/>
      <c r="N205" s="807"/>
      <c r="O205" s="807"/>
      <c r="P205" s="807"/>
      <c r="Q205" s="807"/>
      <c r="R205" s="807"/>
      <c r="S205" s="807"/>
      <c r="T205" s="807"/>
      <c r="U205" s="807"/>
    </row>
    <row r="206">
      <c r="A206" s="807"/>
      <c r="B206" s="813"/>
      <c r="C206" s="813"/>
      <c r="D206" s="807"/>
      <c r="E206" s="807"/>
      <c r="F206" s="801"/>
      <c r="G206" s="801"/>
      <c r="H206" s="801"/>
      <c r="I206" s="801"/>
      <c r="J206" s="807"/>
      <c r="K206" s="807"/>
      <c r="L206" s="807"/>
      <c r="M206" s="807"/>
      <c r="N206" s="807"/>
      <c r="O206" s="807"/>
      <c r="P206" s="807"/>
      <c r="Q206" s="807"/>
      <c r="R206" s="807"/>
      <c r="S206" s="807"/>
      <c r="T206" s="807"/>
      <c r="U206" s="807"/>
    </row>
    <row r="207">
      <c r="A207" s="807"/>
      <c r="B207" s="813"/>
      <c r="C207" s="813"/>
      <c r="D207" s="807"/>
      <c r="E207" s="807"/>
      <c r="F207" s="801"/>
      <c r="G207" s="801"/>
      <c r="H207" s="801"/>
      <c r="I207" s="801"/>
      <c r="J207" s="807"/>
      <c r="K207" s="807"/>
      <c r="L207" s="807"/>
      <c r="M207" s="807"/>
      <c r="N207" s="807"/>
      <c r="O207" s="807"/>
      <c r="P207" s="807"/>
      <c r="Q207" s="807"/>
      <c r="R207" s="807"/>
      <c r="S207" s="807"/>
      <c r="T207" s="807"/>
      <c r="U207" s="807"/>
    </row>
    <row r="208">
      <c r="A208" s="807"/>
      <c r="B208" s="813"/>
      <c r="C208" s="813"/>
      <c r="D208" s="807"/>
      <c r="E208" s="807"/>
      <c r="F208" s="801"/>
      <c r="G208" s="801"/>
      <c r="H208" s="801"/>
      <c r="I208" s="801"/>
      <c r="J208" s="807"/>
      <c r="K208" s="807"/>
      <c r="L208" s="807"/>
      <c r="M208" s="807"/>
      <c r="N208" s="807"/>
      <c r="O208" s="807"/>
      <c r="P208" s="807"/>
      <c r="Q208" s="807"/>
      <c r="R208" s="807"/>
      <c r="S208" s="807"/>
      <c r="T208" s="807"/>
      <c r="U208" s="807"/>
    </row>
    <row r="209">
      <c r="A209" s="807"/>
      <c r="B209" s="813"/>
      <c r="C209" s="813"/>
      <c r="D209" s="807"/>
      <c r="E209" s="807"/>
      <c r="F209" s="801"/>
      <c r="G209" s="801"/>
      <c r="H209" s="801"/>
      <c r="I209" s="801"/>
      <c r="J209" s="807"/>
      <c r="K209" s="807"/>
      <c r="L209" s="807"/>
      <c r="M209" s="807"/>
      <c r="N209" s="807"/>
      <c r="O209" s="807"/>
      <c r="P209" s="807"/>
      <c r="Q209" s="807"/>
      <c r="R209" s="807"/>
      <c r="S209" s="807"/>
      <c r="T209" s="807"/>
      <c r="U209" s="807"/>
    </row>
    <row r="210">
      <c r="A210" s="807"/>
      <c r="B210" s="813"/>
      <c r="C210" s="813"/>
      <c r="D210" s="807"/>
      <c r="E210" s="807"/>
      <c r="F210" s="801"/>
      <c r="G210" s="801"/>
      <c r="H210" s="801"/>
      <c r="I210" s="801"/>
      <c r="J210" s="807"/>
      <c r="K210" s="807"/>
      <c r="L210" s="807"/>
      <c r="M210" s="807"/>
      <c r="N210" s="807"/>
      <c r="O210" s="807"/>
      <c r="P210" s="807"/>
      <c r="Q210" s="807"/>
      <c r="R210" s="807"/>
      <c r="S210" s="807"/>
      <c r="T210" s="807"/>
      <c r="U210" s="807"/>
    </row>
    <row r="211">
      <c r="A211" s="807"/>
      <c r="B211" s="813"/>
      <c r="C211" s="813"/>
      <c r="D211" s="807"/>
      <c r="E211" s="807"/>
      <c r="F211" s="801"/>
      <c r="G211" s="801"/>
      <c r="H211" s="801"/>
      <c r="I211" s="801"/>
      <c r="J211" s="807"/>
      <c r="K211" s="807"/>
      <c r="L211" s="807"/>
      <c r="M211" s="807"/>
      <c r="N211" s="807"/>
      <c r="O211" s="807"/>
      <c r="P211" s="807"/>
      <c r="Q211" s="807"/>
      <c r="R211" s="807"/>
      <c r="S211" s="807"/>
      <c r="T211" s="807"/>
      <c r="U211" s="807"/>
    </row>
    <row r="212">
      <c r="A212" s="807"/>
      <c r="B212" s="813"/>
      <c r="C212" s="813"/>
      <c r="D212" s="807"/>
      <c r="E212" s="807"/>
      <c r="F212" s="801"/>
      <c r="G212" s="801"/>
      <c r="H212" s="801"/>
      <c r="I212" s="801"/>
      <c r="J212" s="807"/>
      <c r="K212" s="807"/>
      <c r="L212" s="807"/>
      <c r="M212" s="807"/>
      <c r="N212" s="807"/>
      <c r="O212" s="807"/>
      <c r="P212" s="807"/>
      <c r="Q212" s="807"/>
      <c r="R212" s="807"/>
      <c r="S212" s="807"/>
      <c r="T212" s="807"/>
      <c r="U212" s="807"/>
    </row>
    <row r="213">
      <c r="A213" s="807"/>
      <c r="B213" s="813"/>
      <c r="C213" s="813"/>
      <c r="D213" s="807"/>
      <c r="E213" s="807"/>
      <c r="F213" s="801"/>
      <c r="G213" s="801"/>
      <c r="H213" s="801"/>
      <c r="I213" s="801"/>
      <c r="J213" s="807"/>
      <c r="K213" s="807"/>
      <c r="L213" s="807"/>
      <c r="M213" s="807"/>
      <c r="N213" s="807"/>
      <c r="O213" s="807"/>
      <c r="P213" s="807"/>
      <c r="Q213" s="807"/>
      <c r="R213" s="807"/>
      <c r="S213" s="807"/>
      <c r="T213" s="807"/>
      <c r="U213" s="807"/>
    </row>
    <row r="214">
      <c r="A214" s="807"/>
      <c r="B214" s="813"/>
      <c r="C214" s="813"/>
      <c r="D214" s="807"/>
      <c r="E214" s="807"/>
      <c r="F214" s="801"/>
      <c r="G214" s="801"/>
      <c r="H214" s="801"/>
      <c r="I214" s="801"/>
      <c r="J214" s="807"/>
      <c r="K214" s="807"/>
      <c r="L214" s="807"/>
      <c r="M214" s="807"/>
      <c r="N214" s="807"/>
      <c r="O214" s="807"/>
      <c r="P214" s="807"/>
      <c r="Q214" s="807"/>
      <c r="R214" s="807"/>
      <c r="S214" s="807"/>
      <c r="T214" s="807"/>
      <c r="U214" s="807"/>
    </row>
    <row r="215">
      <c r="A215" s="807"/>
      <c r="B215" s="813"/>
      <c r="C215" s="813"/>
      <c r="D215" s="807"/>
      <c r="E215" s="807"/>
      <c r="F215" s="801"/>
      <c r="G215" s="801"/>
      <c r="H215" s="801"/>
      <c r="I215" s="801"/>
      <c r="J215" s="807"/>
      <c r="K215" s="807"/>
      <c r="L215" s="807"/>
      <c r="M215" s="807"/>
      <c r="N215" s="807"/>
      <c r="O215" s="807"/>
      <c r="P215" s="807"/>
      <c r="Q215" s="807"/>
      <c r="R215" s="807"/>
      <c r="S215" s="807"/>
      <c r="T215" s="807"/>
      <c r="U215" s="807"/>
    </row>
    <row r="216">
      <c r="A216" s="807"/>
      <c r="B216" s="813"/>
      <c r="C216" s="813"/>
      <c r="D216" s="807"/>
      <c r="E216" s="807"/>
      <c r="F216" s="801"/>
      <c r="G216" s="801"/>
      <c r="H216" s="801"/>
      <c r="I216" s="801"/>
      <c r="J216" s="807"/>
      <c r="K216" s="807"/>
      <c r="L216" s="807"/>
      <c r="M216" s="807"/>
      <c r="N216" s="807"/>
      <c r="O216" s="807"/>
      <c r="P216" s="807"/>
      <c r="Q216" s="807"/>
      <c r="R216" s="807"/>
      <c r="S216" s="807"/>
      <c r="T216" s="807"/>
      <c r="U216" s="807"/>
    </row>
    <row r="217">
      <c r="A217" s="807"/>
      <c r="B217" s="813"/>
      <c r="C217" s="813"/>
      <c r="D217" s="807"/>
      <c r="E217" s="807"/>
      <c r="F217" s="801"/>
      <c r="G217" s="801"/>
      <c r="H217" s="801"/>
      <c r="I217" s="801"/>
      <c r="J217" s="807"/>
      <c r="K217" s="807"/>
      <c r="L217" s="807"/>
      <c r="M217" s="807"/>
      <c r="N217" s="807"/>
      <c r="O217" s="807"/>
      <c r="P217" s="807"/>
      <c r="Q217" s="807"/>
      <c r="R217" s="807"/>
      <c r="S217" s="807"/>
      <c r="T217" s="807"/>
      <c r="U217" s="807"/>
    </row>
    <row r="218">
      <c r="A218" s="807"/>
      <c r="B218" s="813"/>
      <c r="C218" s="813"/>
      <c r="D218" s="807"/>
      <c r="E218" s="807"/>
      <c r="F218" s="801"/>
      <c r="G218" s="801"/>
      <c r="H218" s="801"/>
      <c r="I218" s="801"/>
      <c r="J218" s="807"/>
      <c r="K218" s="807"/>
      <c r="L218" s="807"/>
      <c r="M218" s="807"/>
      <c r="N218" s="807"/>
      <c r="O218" s="807"/>
      <c r="P218" s="807"/>
      <c r="Q218" s="807"/>
      <c r="R218" s="807"/>
      <c r="S218" s="807"/>
      <c r="T218" s="807"/>
      <c r="U218" s="807"/>
    </row>
    <row r="219">
      <c r="A219" s="807"/>
      <c r="B219" s="813"/>
      <c r="C219" s="813"/>
      <c r="D219" s="807"/>
      <c r="E219" s="807"/>
      <c r="F219" s="801"/>
      <c r="G219" s="801"/>
      <c r="H219" s="801"/>
      <c r="I219" s="801"/>
      <c r="J219" s="807"/>
      <c r="K219" s="807"/>
      <c r="L219" s="807"/>
      <c r="M219" s="807"/>
      <c r="N219" s="807"/>
      <c r="O219" s="807"/>
      <c r="P219" s="807"/>
      <c r="Q219" s="807"/>
      <c r="R219" s="807"/>
      <c r="S219" s="807"/>
      <c r="T219" s="807"/>
      <c r="U219" s="807"/>
    </row>
    <row r="220">
      <c r="A220" s="807"/>
      <c r="B220" s="813"/>
      <c r="C220" s="813"/>
      <c r="D220" s="807"/>
      <c r="E220" s="807"/>
      <c r="F220" s="801"/>
      <c r="G220" s="801"/>
      <c r="H220" s="801"/>
      <c r="I220" s="801"/>
      <c r="J220" s="807"/>
      <c r="K220" s="807"/>
      <c r="L220" s="807"/>
      <c r="M220" s="807"/>
      <c r="N220" s="807"/>
      <c r="O220" s="807"/>
      <c r="P220" s="807"/>
      <c r="Q220" s="807"/>
      <c r="R220" s="807"/>
      <c r="S220" s="807"/>
      <c r="T220" s="807"/>
      <c r="U220" s="807"/>
    </row>
    <row r="221">
      <c r="A221" s="807"/>
      <c r="B221" s="813"/>
      <c r="C221" s="813"/>
      <c r="D221" s="807"/>
      <c r="E221" s="807"/>
      <c r="F221" s="801"/>
      <c r="G221" s="801"/>
      <c r="H221" s="801"/>
      <c r="I221" s="801"/>
      <c r="J221" s="807"/>
      <c r="K221" s="807"/>
      <c r="L221" s="807"/>
      <c r="M221" s="807"/>
      <c r="N221" s="807"/>
      <c r="O221" s="807"/>
      <c r="P221" s="807"/>
      <c r="Q221" s="807"/>
      <c r="R221" s="807"/>
      <c r="S221" s="807"/>
      <c r="T221" s="807"/>
      <c r="U221" s="807"/>
    </row>
    <row r="222">
      <c r="A222" s="807"/>
      <c r="B222" s="813"/>
      <c r="C222" s="813"/>
      <c r="D222" s="807"/>
      <c r="E222" s="807"/>
      <c r="F222" s="801"/>
      <c r="G222" s="801"/>
      <c r="H222" s="801"/>
      <c r="I222" s="801"/>
      <c r="J222" s="807"/>
      <c r="K222" s="807"/>
      <c r="L222" s="807"/>
      <c r="M222" s="807"/>
      <c r="N222" s="807"/>
      <c r="O222" s="807"/>
      <c r="P222" s="807"/>
      <c r="Q222" s="807"/>
      <c r="R222" s="807"/>
      <c r="S222" s="807"/>
      <c r="T222" s="807"/>
      <c r="U222" s="807"/>
    </row>
    <row r="223">
      <c r="A223" s="807"/>
      <c r="B223" s="813"/>
      <c r="C223" s="813"/>
      <c r="D223" s="807"/>
      <c r="E223" s="807"/>
      <c r="F223" s="801"/>
      <c r="G223" s="801"/>
      <c r="H223" s="801"/>
      <c r="I223" s="801"/>
      <c r="J223" s="807"/>
      <c r="K223" s="807"/>
      <c r="L223" s="807"/>
      <c r="M223" s="807"/>
      <c r="N223" s="807"/>
      <c r="O223" s="807"/>
      <c r="P223" s="807"/>
      <c r="Q223" s="807"/>
      <c r="R223" s="807"/>
      <c r="S223" s="807"/>
      <c r="T223" s="807"/>
      <c r="U223" s="807"/>
    </row>
    <row r="224">
      <c r="A224" s="807"/>
      <c r="B224" s="813"/>
      <c r="C224" s="813"/>
      <c r="D224" s="807"/>
      <c r="E224" s="807"/>
      <c r="F224" s="801"/>
      <c r="G224" s="801"/>
      <c r="H224" s="801"/>
      <c r="I224" s="801"/>
      <c r="J224" s="807"/>
      <c r="K224" s="807"/>
      <c r="L224" s="807"/>
      <c r="M224" s="807"/>
      <c r="N224" s="807"/>
      <c r="O224" s="807"/>
      <c r="P224" s="807"/>
      <c r="Q224" s="807"/>
      <c r="R224" s="807"/>
      <c r="S224" s="807"/>
      <c r="T224" s="807"/>
      <c r="U224" s="807"/>
    </row>
    <row r="225">
      <c r="A225" s="807"/>
      <c r="B225" s="813"/>
      <c r="C225" s="813"/>
      <c r="D225" s="807"/>
      <c r="E225" s="807"/>
      <c r="F225" s="801"/>
      <c r="G225" s="801"/>
      <c r="H225" s="801"/>
      <c r="I225" s="801"/>
      <c r="J225" s="807"/>
      <c r="K225" s="807"/>
      <c r="L225" s="807"/>
      <c r="M225" s="807"/>
      <c r="N225" s="807"/>
      <c r="O225" s="807"/>
      <c r="P225" s="807"/>
      <c r="Q225" s="807"/>
      <c r="R225" s="807"/>
      <c r="S225" s="807"/>
      <c r="T225" s="807"/>
      <c r="U225" s="807"/>
    </row>
    <row r="226">
      <c r="A226" s="807"/>
      <c r="B226" s="813"/>
      <c r="C226" s="813"/>
      <c r="D226" s="807"/>
      <c r="E226" s="807"/>
      <c r="F226" s="801"/>
      <c r="G226" s="801"/>
      <c r="H226" s="801"/>
      <c r="I226" s="801"/>
      <c r="J226" s="807"/>
      <c r="K226" s="807"/>
      <c r="L226" s="807"/>
      <c r="M226" s="807"/>
      <c r="N226" s="807"/>
      <c r="O226" s="807"/>
      <c r="P226" s="807"/>
      <c r="Q226" s="807"/>
      <c r="R226" s="807"/>
      <c r="S226" s="807"/>
      <c r="T226" s="807"/>
      <c r="U226" s="807"/>
    </row>
    <row r="227">
      <c r="A227" s="807"/>
      <c r="B227" s="813"/>
      <c r="C227" s="813"/>
      <c r="D227" s="807"/>
      <c r="E227" s="807"/>
      <c r="F227" s="801"/>
      <c r="G227" s="801"/>
      <c r="H227" s="801"/>
      <c r="I227" s="801"/>
      <c r="J227" s="807"/>
      <c r="K227" s="807"/>
      <c r="L227" s="807"/>
      <c r="M227" s="807"/>
      <c r="N227" s="807"/>
      <c r="O227" s="807"/>
      <c r="P227" s="807"/>
      <c r="Q227" s="807"/>
      <c r="R227" s="807"/>
      <c r="S227" s="807"/>
      <c r="T227" s="807"/>
      <c r="U227" s="807"/>
    </row>
    <row r="228">
      <c r="A228" s="807"/>
      <c r="B228" s="813"/>
      <c r="C228" s="813"/>
      <c r="D228" s="807"/>
      <c r="E228" s="807"/>
      <c r="F228" s="801"/>
      <c r="G228" s="801"/>
      <c r="H228" s="801"/>
      <c r="I228" s="801"/>
      <c r="J228" s="807"/>
      <c r="K228" s="807"/>
      <c r="L228" s="807"/>
      <c r="M228" s="807"/>
      <c r="N228" s="807"/>
      <c r="O228" s="807"/>
      <c r="P228" s="807"/>
      <c r="Q228" s="807"/>
      <c r="R228" s="807"/>
      <c r="S228" s="807"/>
      <c r="T228" s="807"/>
      <c r="U228" s="807"/>
    </row>
    <row r="229">
      <c r="A229" s="807"/>
      <c r="B229" s="813"/>
      <c r="C229" s="813"/>
      <c r="D229" s="807"/>
      <c r="E229" s="807"/>
      <c r="F229" s="801"/>
      <c r="G229" s="801"/>
      <c r="H229" s="801"/>
      <c r="I229" s="801"/>
      <c r="J229" s="807"/>
      <c r="K229" s="807"/>
      <c r="L229" s="807"/>
      <c r="M229" s="807"/>
      <c r="N229" s="807"/>
      <c r="O229" s="807"/>
      <c r="P229" s="807"/>
      <c r="Q229" s="807"/>
      <c r="R229" s="807"/>
      <c r="S229" s="807"/>
      <c r="T229" s="807"/>
      <c r="U229" s="807"/>
    </row>
    <row r="230">
      <c r="A230" s="807"/>
      <c r="B230" s="813"/>
      <c r="C230" s="813"/>
      <c r="D230" s="807"/>
      <c r="E230" s="807"/>
      <c r="F230" s="801"/>
      <c r="G230" s="801"/>
      <c r="H230" s="801"/>
      <c r="I230" s="801"/>
      <c r="J230" s="807"/>
      <c r="K230" s="807"/>
      <c r="L230" s="807"/>
      <c r="M230" s="807"/>
      <c r="N230" s="807"/>
      <c r="O230" s="807"/>
      <c r="P230" s="807"/>
      <c r="Q230" s="807"/>
      <c r="R230" s="807"/>
      <c r="S230" s="807"/>
      <c r="T230" s="807"/>
      <c r="U230" s="807"/>
    </row>
    <row r="231">
      <c r="A231" s="807"/>
      <c r="B231" s="813"/>
      <c r="C231" s="813"/>
      <c r="D231" s="807"/>
      <c r="E231" s="807"/>
      <c r="F231" s="801"/>
      <c r="G231" s="801"/>
      <c r="H231" s="801"/>
      <c r="I231" s="801"/>
      <c r="J231" s="807"/>
      <c r="K231" s="807"/>
      <c r="L231" s="807"/>
      <c r="M231" s="807"/>
      <c r="N231" s="807"/>
      <c r="O231" s="807"/>
      <c r="P231" s="807"/>
      <c r="Q231" s="807"/>
      <c r="R231" s="807"/>
      <c r="S231" s="807"/>
      <c r="T231" s="807"/>
      <c r="U231" s="807"/>
    </row>
    <row r="232">
      <c r="A232" s="807"/>
      <c r="B232" s="813"/>
      <c r="C232" s="813"/>
      <c r="D232" s="807"/>
      <c r="E232" s="807"/>
      <c r="F232" s="801"/>
      <c r="G232" s="801"/>
      <c r="H232" s="801"/>
      <c r="I232" s="801"/>
      <c r="J232" s="807"/>
      <c r="K232" s="807"/>
      <c r="L232" s="807"/>
      <c r="M232" s="807"/>
      <c r="N232" s="807"/>
      <c r="O232" s="807"/>
      <c r="P232" s="807"/>
      <c r="Q232" s="807"/>
      <c r="R232" s="807"/>
      <c r="S232" s="807"/>
      <c r="T232" s="807"/>
      <c r="U232" s="807"/>
    </row>
    <row r="233">
      <c r="A233" s="807"/>
      <c r="B233" s="813"/>
      <c r="C233" s="813"/>
      <c r="D233" s="807"/>
      <c r="E233" s="807"/>
      <c r="F233" s="801"/>
      <c r="G233" s="801"/>
      <c r="H233" s="801"/>
      <c r="I233" s="801"/>
      <c r="J233" s="807"/>
      <c r="K233" s="807"/>
      <c r="L233" s="807"/>
      <c r="M233" s="807"/>
      <c r="N233" s="807"/>
      <c r="O233" s="807"/>
      <c r="P233" s="807"/>
      <c r="Q233" s="807"/>
      <c r="R233" s="807"/>
      <c r="S233" s="807"/>
      <c r="T233" s="807"/>
      <c r="U233" s="807"/>
    </row>
    <row r="234">
      <c r="A234" s="807"/>
      <c r="B234" s="813"/>
      <c r="C234" s="813"/>
      <c r="D234" s="807"/>
      <c r="E234" s="807"/>
      <c r="F234" s="801"/>
      <c r="G234" s="801"/>
      <c r="H234" s="801"/>
      <c r="I234" s="801"/>
      <c r="J234" s="807"/>
      <c r="K234" s="807"/>
      <c r="L234" s="807"/>
      <c r="M234" s="807"/>
      <c r="N234" s="807"/>
      <c r="O234" s="807"/>
      <c r="P234" s="807"/>
      <c r="Q234" s="807"/>
      <c r="R234" s="807"/>
      <c r="S234" s="807"/>
      <c r="T234" s="807"/>
      <c r="U234" s="807"/>
    </row>
    <row r="235">
      <c r="A235" s="807"/>
      <c r="B235" s="813"/>
      <c r="C235" s="813"/>
      <c r="D235" s="807"/>
      <c r="E235" s="807"/>
      <c r="F235" s="801"/>
      <c r="G235" s="801"/>
      <c r="H235" s="801"/>
      <c r="I235" s="801"/>
      <c r="J235" s="807"/>
      <c r="K235" s="807"/>
      <c r="L235" s="807"/>
      <c r="M235" s="807"/>
      <c r="N235" s="807"/>
      <c r="O235" s="807"/>
      <c r="P235" s="807"/>
      <c r="Q235" s="807"/>
      <c r="R235" s="807"/>
      <c r="S235" s="807"/>
      <c r="T235" s="807"/>
      <c r="U235" s="807"/>
    </row>
    <row r="236">
      <c r="A236" s="807"/>
      <c r="B236" s="813"/>
      <c r="C236" s="813"/>
      <c r="D236" s="807"/>
      <c r="E236" s="807"/>
      <c r="F236" s="801"/>
      <c r="G236" s="801"/>
      <c r="H236" s="801"/>
      <c r="I236" s="801"/>
      <c r="J236" s="807"/>
      <c r="K236" s="807"/>
      <c r="L236" s="807"/>
      <c r="M236" s="807"/>
      <c r="N236" s="807"/>
      <c r="O236" s="807"/>
      <c r="P236" s="807"/>
      <c r="Q236" s="807"/>
      <c r="R236" s="807"/>
      <c r="S236" s="807"/>
      <c r="T236" s="807"/>
      <c r="U236" s="807"/>
    </row>
    <row r="237">
      <c r="A237" s="807"/>
      <c r="B237" s="813"/>
      <c r="C237" s="813"/>
      <c r="D237" s="807"/>
      <c r="E237" s="807"/>
      <c r="F237" s="801"/>
      <c r="G237" s="801"/>
      <c r="H237" s="801"/>
      <c r="I237" s="801"/>
      <c r="J237" s="807"/>
      <c r="K237" s="807"/>
      <c r="L237" s="807"/>
      <c r="M237" s="807"/>
      <c r="N237" s="807"/>
      <c r="O237" s="807"/>
      <c r="P237" s="807"/>
      <c r="Q237" s="807"/>
      <c r="R237" s="807"/>
      <c r="S237" s="807"/>
      <c r="T237" s="807"/>
      <c r="U237" s="807"/>
    </row>
    <row r="238">
      <c r="A238" s="807"/>
      <c r="B238" s="813"/>
      <c r="C238" s="813"/>
      <c r="D238" s="807"/>
      <c r="E238" s="807"/>
      <c r="F238" s="801"/>
      <c r="G238" s="801"/>
      <c r="H238" s="801"/>
      <c r="I238" s="801"/>
      <c r="J238" s="807"/>
      <c r="K238" s="807"/>
      <c r="L238" s="807"/>
      <c r="M238" s="807"/>
      <c r="N238" s="807"/>
      <c r="O238" s="807"/>
      <c r="P238" s="807"/>
      <c r="Q238" s="807"/>
      <c r="R238" s="807"/>
      <c r="S238" s="807"/>
      <c r="T238" s="807"/>
      <c r="U238" s="807"/>
    </row>
    <row r="239">
      <c r="A239" s="807"/>
      <c r="B239" s="813"/>
      <c r="C239" s="813"/>
      <c r="D239" s="807"/>
      <c r="E239" s="807"/>
      <c r="F239" s="801"/>
      <c r="G239" s="801"/>
      <c r="H239" s="801"/>
      <c r="I239" s="801"/>
      <c r="J239" s="807"/>
      <c r="K239" s="807"/>
      <c r="L239" s="807"/>
      <c r="M239" s="807"/>
      <c r="N239" s="807"/>
      <c r="O239" s="807"/>
      <c r="P239" s="807"/>
      <c r="Q239" s="807"/>
      <c r="R239" s="807"/>
      <c r="S239" s="807"/>
      <c r="T239" s="807"/>
      <c r="U239" s="807"/>
    </row>
    <row r="240">
      <c r="A240" s="807"/>
      <c r="B240" s="813"/>
      <c r="C240" s="813"/>
      <c r="D240" s="807"/>
      <c r="E240" s="807"/>
      <c r="F240" s="801"/>
      <c r="G240" s="801"/>
      <c r="H240" s="801"/>
      <c r="I240" s="801"/>
      <c r="J240" s="807"/>
      <c r="K240" s="807"/>
      <c r="L240" s="807"/>
      <c r="M240" s="807"/>
      <c r="N240" s="807"/>
      <c r="O240" s="807"/>
      <c r="P240" s="807"/>
      <c r="Q240" s="807"/>
      <c r="R240" s="807"/>
      <c r="S240" s="807"/>
      <c r="T240" s="807"/>
      <c r="U240" s="807"/>
    </row>
    <row r="241">
      <c r="A241" s="807"/>
      <c r="B241" s="813"/>
      <c r="C241" s="813"/>
      <c r="D241" s="807"/>
      <c r="E241" s="807"/>
      <c r="F241" s="801"/>
      <c r="G241" s="801"/>
      <c r="H241" s="801"/>
      <c r="I241" s="801"/>
      <c r="J241" s="807"/>
      <c r="K241" s="807"/>
      <c r="L241" s="807"/>
      <c r="M241" s="807"/>
      <c r="N241" s="807"/>
      <c r="O241" s="807"/>
      <c r="P241" s="807"/>
      <c r="Q241" s="807"/>
      <c r="R241" s="807"/>
      <c r="S241" s="807"/>
      <c r="T241" s="807"/>
      <c r="U241" s="807"/>
    </row>
    <row r="242">
      <c r="A242" s="807"/>
      <c r="B242" s="813"/>
      <c r="C242" s="813"/>
      <c r="D242" s="807"/>
      <c r="E242" s="807"/>
      <c r="F242" s="801"/>
      <c r="G242" s="801"/>
      <c r="H242" s="801"/>
      <c r="I242" s="801"/>
      <c r="J242" s="807"/>
      <c r="K242" s="807"/>
      <c r="L242" s="807"/>
      <c r="M242" s="807"/>
      <c r="N242" s="807"/>
      <c r="O242" s="807"/>
      <c r="P242" s="807"/>
      <c r="Q242" s="807"/>
      <c r="R242" s="807"/>
      <c r="S242" s="807"/>
      <c r="T242" s="807"/>
      <c r="U242" s="807"/>
    </row>
    <row r="243">
      <c r="A243" s="807"/>
      <c r="B243" s="813"/>
      <c r="C243" s="813"/>
      <c r="D243" s="807"/>
      <c r="E243" s="807"/>
      <c r="F243" s="801"/>
      <c r="G243" s="801"/>
      <c r="H243" s="801"/>
      <c r="I243" s="801"/>
      <c r="J243" s="807"/>
      <c r="K243" s="807"/>
      <c r="L243" s="807"/>
      <c r="M243" s="807"/>
      <c r="N243" s="807"/>
      <c r="O243" s="807"/>
      <c r="P243" s="807"/>
      <c r="Q243" s="807"/>
      <c r="R243" s="807"/>
      <c r="S243" s="807"/>
      <c r="T243" s="807"/>
      <c r="U243" s="807"/>
    </row>
    <row r="244">
      <c r="A244" s="807"/>
      <c r="B244" s="813"/>
      <c r="C244" s="813"/>
      <c r="D244" s="807"/>
      <c r="E244" s="807"/>
      <c r="F244" s="801"/>
      <c r="G244" s="801"/>
      <c r="H244" s="801"/>
      <c r="I244" s="801"/>
      <c r="J244" s="807"/>
      <c r="K244" s="807"/>
      <c r="L244" s="807"/>
      <c r="M244" s="807"/>
      <c r="N244" s="807"/>
      <c r="O244" s="807"/>
      <c r="P244" s="807"/>
      <c r="Q244" s="807"/>
      <c r="R244" s="807"/>
      <c r="S244" s="807"/>
      <c r="T244" s="807"/>
      <c r="U244" s="807"/>
    </row>
    <row r="245">
      <c r="A245" s="807"/>
      <c r="B245" s="813"/>
      <c r="C245" s="813"/>
      <c r="D245" s="807"/>
      <c r="E245" s="807"/>
      <c r="F245" s="801"/>
      <c r="G245" s="801"/>
      <c r="H245" s="801"/>
      <c r="I245" s="801"/>
      <c r="J245" s="807"/>
      <c r="K245" s="807"/>
      <c r="L245" s="807"/>
      <c r="M245" s="807"/>
      <c r="N245" s="807"/>
      <c r="O245" s="807"/>
      <c r="P245" s="807"/>
      <c r="Q245" s="807"/>
      <c r="R245" s="807"/>
      <c r="S245" s="807"/>
      <c r="T245" s="807"/>
      <c r="U245" s="807"/>
    </row>
    <row r="246">
      <c r="A246" s="807"/>
      <c r="B246" s="813"/>
      <c r="C246" s="813"/>
      <c r="D246" s="807"/>
      <c r="E246" s="807"/>
      <c r="F246" s="801"/>
      <c r="G246" s="801"/>
      <c r="H246" s="801"/>
      <c r="I246" s="801"/>
      <c r="J246" s="807"/>
      <c r="K246" s="807"/>
      <c r="L246" s="807"/>
      <c r="M246" s="807"/>
      <c r="N246" s="807"/>
      <c r="O246" s="807"/>
      <c r="P246" s="807"/>
      <c r="Q246" s="807"/>
      <c r="R246" s="807"/>
      <c r="S246" s="807"/>
      <c r="T246" s="807"/>
      <c r="U246" s="807"/>
    </row>
    <row r="247">
      <c r="A247" s="807"/>
      <c r="B247" s="813"/>
      <c r="C247" s="813"/>
      <c r="D247" s="807"/>
      <c r="E247" s="807"/>
      <c r="F247" s="801"/>
      <c r="G247" s="801"/>
      <c r="H247" s="801"/>
      <c r="I247" s="801"/>
      <c r="J247" s="807"/>
      <c r="K247" s="807"/>
      <c r="L247" s="807"/>
      <c r="M247" s="807"/>
      <c r="N247" s="807"/>
      <c r="O247" s="807"/>
      <c r="P247" s="807"/>
      <c r="Q247" s="807"/>
      <c r="R247" s="807"/>
      <c r="S247" s="807"/>
      <c r="T247" s="807"/>
      <c r="U247" s="807"/>
    </row>
    <row r="248">
      <c r="A248" s="807"/>
      <c r="B248" s="813"/>
      <c r="C248" s="813"/>
      <c r="D248" s="807"/>
      <c r="E248" s="807"/>
      <c r="F248" s="801"/>
      <c r="G248" s="801"/>
      <c r="H248" s="801"/>
      <c r="I248" s="801"/>
      <c r="J248" s="807"/>
      <c r="K248" s="807"/>
      <c r="L248" s="807"/>
      <c r="M248" s="807"/>
      <c r="N248" s="807"/>
      <c r="O248" s="807"/>
      <c r="P248" s="807"/>
      <c r="Q248" s="807"/>
      <c r="R248" s="807"/>
      <c r="S248" s="807"/>
      <c r="T248" s="807"/>
      <c r="U248" s="807"/>
    </row>
    <row r="249">
      <c r="A249" s="807"/>
      <c r="B249" s="813"/>
      <c r="C249" s="813"/>
      <c r="D249" s="807"/>
      <c r="E249" s="807"/>
      <c r="F249" s="801"/>
      <c r="G249" s="801"/>
      <c r="H249" s="801"/>
      <c r="I249" s="801"/>
      <c r="J249" s="807"/>
      <c r="K249" s="807"/>
      <c r="L249" s="807"/>
      <c r="M249" s="807"/>
      <c r="N249" s="807"/>
      <c r="O249" s="807"/>
      <c r="P249" s="807"/>
      <c r="Q249" s="807"/>
      <c r="R249" s="807"/>
      <c r="S249" s="807"/>
      <c r="T249" s="807"/>
      <c r="U249" s="807"/>
    </row>
    <row r="250">
      <c r="A250" s="807"/>
      <c r="B250" s="813"/>
      <c r="C250" s="813"/>
      <c r="D250" s="807"/>
      <c r="E250" s="807"/>
      <c r="F250" s="801"/>
      <c r="G250" s="801"/>
      <c r="H250" s="801"/>
      <c r="I250" s="801"/>
      <c r="J250" s="807"/>
      <c r="K250" s="807"/>
      <c r="L250" s="807"/>
      <c r="M250" s="807"/>
      <c r="N250" s="807"/>
      <c r="O250" s="807"/>
      <c r="P250" s="807"/>
      <c r="Q250" s="807"/>
      <c r="R250" s="807"/>
      <c r="S250" s="807"/>
      <c r="T250" s="807"/>
      <c r="U250" s="807"/>
    </row>
    <row r="251">
      <c r="A251" s="807"/>
      <c r="B251" s="813"/>
      <c r="C251" s="813"/>
      <c r="D251" s="807"/>
      <c r="E251" s="807"/>
      <c r="F251" s="801"/>
      <c r="G251" s="801"/>
      <c r="H251" s="801"/>
      <c r="I251" s="801"/>
      <c r="J251" s="807"/>
      <c r="K251" s="807"/>
      <c r="L251" s="807"/>
      <c r="M251" s="807"/>
      <c r="N251" s="807"/>
      <c r="O251" s="807"/>
      <c r="P251" s="807"/>
      <c r="Q251" s="807"/>
      <c r="R251" s="807"/>
      <c r="S251" s="807"/>
      <c r="T251" s="807"/>
      <c r="U251" s="807"/>
    </row>
    <row r="252">
      <c r="A252" s="807"/>
      <c r="B252" s="813"/>
      <c r="C252" s="813"/>
      <c r="D252" s="807"/>
      <c r="E252" s="807"/>
      <c r="F252" s="801"/>
      <c r="G252" s="801"/>
      <c r="H252" s="801"/>
      <c r="I252" s="801"/>
      <c r="J252" s="807"/>
      <c r="K252" s="807"/>
      <c r="L252" s="807"/>
      <c r="M252" s="807"/>
      <c r="N252" s="807"/>
      <c r="O252" s="807"/>
      <c r="P252" s="807"/>
      <c r="Q252" s="807"/>
      <c r="R252" s="807"/>
      <c r="S252" s="807"/>
      <c r="T252" s="807"/>
      <c r="U252" s="807"/>
    </row>
    <row r="253">
      <c r="A253" s="807"/>
      <c r="B253" s="813"/>
      <c r="C253" s="813"/>
      <c r="D253" s="807"/>
      <c r="E253" s="807"/>
      <c r="F253" s="801"/>
      <c r="G253" s="801"/>
      <c r="H253" s="801"/>
      <c r="I253" s="801"/>
      <c r="J253" s="807"/>
      <c r="K253" s="807"/>
      <c r="L253" s="807"/>
      <c r="M253" s="807"/>
      <c r="N253" s="807"/>
      <c r="O253" s="807"/>
      <c r="P253" s="807"/>
      <c r="Q253" s="807"/>
      <c r="R253" s="807"/>
      <c r="S253" s="807"/>
      <c r="T253" s="807"/>
      <c r="U253" s="807"/>
    </row>
    <row r="254">
      <c r="A254" s="807"/>
      <c r="B254" s="813"/>
      <c r="C254" s="813"/>
      <c r="D254" s="807"/>
      <c r="E254" s="807"/>
      <c r="F254" s="801"/>
      <c r="G254" s="801"/>
      <c r="H254" s="801"/>
      <c r="I254" s="801"/>
      <c r="J254" s="807"/>
      <c r="K254" s="807"/>
      <c r="L254" s="807"/>
      <c r="M254" s="807"/>
      <c r="N254" s="807"/>
      <c r="O254" s="807"/>
      <c r="P254" s="807"/>
      <c r="Q254" s="807"/>
      <c r="R254" s="807"/>
      <c r="S254" s="807"/>
      <c r="T254" s="807"/>
      <c r="U254" s="807"/>
    </row>
    <row r="255">
      <c r="A255" s="807"/>
      <c r="B255" s="813"/>
      <c r="C255" s="813"/>
      <c r="D255" s="807"/>
      <c r="E255" s="807"/>
      <c r="F255" s="801"/>
      <c r="G255" s="801"/>
      <c r="H255" s="801"/>
      <c r="I255" s="801"/>
      <c r="J255" s="807"/>
      <c r="K255" s="807"/>
      <c r="L255" s="807"/>
      <c r="M255" s="807"/>
      <c r="N255" s="807"/>
      <c r="O255" s="807"/>
      <c r="P255" s="807"/>
      <c r="Q255" s="807"/>
      <c r="R255" s="807"/>
      <c r="S255" s="807"/>
      <c r="T255" s="807"/>
      <c r="U255" s="807"/>
    </row>
    <row r="256">
      <c r="A256" s="807"/>
      <c r="B256" s="813"/>
      <c r="C256" s="813"/>
      <c r="D256" s="807"/>
      <c r="E256" s="807"/>
      <c r="F256" s="801"/>
      <c r="G256" s="801"/>
      <c r="H256" s="801"/>
      <c r="I256" s="801"/>
      <c r="J256" s="807"/>
      <c r="K256" s="807"/>
      <c r="L256" s="807"/>
      <c r="M256" s="807"/>
      <c r="N256" s="807"/>
      <c r="O256" s="807"/>
      <c r="P256" s="807"/>
      <c r="Q256" s="807"/>
      <c r="R256" s="807"/>
      <c r="S256" s="807"/>
      <c r="T256" s="807"/>
      <c r="U256" s="807"/>
    </row>
    <row r="257">
      <c r="A257" s="807"/>
      <c r="B257" s="813"/>
      <c r="C257" s="813"/>
      <c r="D257" s="807"/>
      <c r="E257" s="807"/>
      <c r="F257" s="801"/>
      <c r="G257" s="801"/>
      <c r="H257" s="801"/>
      <c r="I257" s="801"/>
      <c r="J257" s="807"/>
      <c r="K257" s="807"/>
      <c r="L257" s="807"/>
      <c r="M257" s="807"/>
      <c r="N257" s="807"/>
      <c r="O257" s="807"/>
      <c r="P257" s="807"/>
      <c r="Q257" s="807"/>
      <c r="R257" s="807"/>
      <c r="S257" s="807"/>
      <c r="T257" s="807"/>
      <c r="U257" s="807"/>
    </row>
    <row r="258">
      <c r="A258" s="807"/>
      <c r="B258" s="813"/>
      <c r="C258" s="813"/>
      <c r="D258" s="807"/>
      <c r="E258" s="807"/>
      <c r="F258" s="801"/>
      <c r="G258" s="801"/>
      <c r="H258" s="801"/>
      <c r="I258" s="801"/>
      <c r="J258" s="807"/>
      <c r="K258" s="807"/>
      <c r="L258" s="807"/>
      <c r="M258" s="807"/>
      <c r="N258" s="807"/>
      <c r="O258" s="807"/>
      <c r="P258" s="807"/>
      <c r="Q258" s="807"/>
      <c r="R258" s="807"/>
      <c r="S258" s="807"/>
      <c r="T258" s="807"/>
      <c r="U258" s="807"/>
    </row>
    <row r="259">
      <c r="A259" s="807"/>
      <c r="B259" s="813"/>
      <c r="C259" s="813"/>
      <c r="D259" s="807"/>
      <c r="E259" s="807"/>
      <c r="F259" s="801"/>
      <c r="G259" s="801"/>
      <c r="H259" s="801"/>
      <c r="I259" s="801"/>
      <c r="J259" s="807"/>
      <c r="K259" s="807"/>
      <c r="L259" s="807"/>
      <c r="M259" s="807"/>
      <c r="N259" s="807"/>
      <c r="O259" s="807"/>
      <c r="P259" s="807"/>
      <c r="Q259" s="807"/>
      <c r="R259" s="807"/>
      <c r="S259" s="807"/>
      <c r="T259" s="807"/>
      <c r="U259" s="807"/>
    </row>
    <row r="260">
      <c r="A260" s="807"/>
      <c r="B260" s="813"/>
      <c r="C260" s="813"/>
      <c r="D260" s="807"/>
      <c r="E260" s="807"/>
      <c r="F260" s="801"/>
      <c r="G260" s="801"/>
      <c r="H260" s="801"/>
      <c r="I260" s="801"/>
      <c r="J260" s="807"/>
      <c r="K260" s="807"/>
      <c r="L260" s="807"/>
      <c r="M260" s="807"/>
      <c r="N260" s="807"/>
      <c r="O260" s="807"/>
      <c r="P260" s="807"/>
      <c r="Q260" s="807"/>
      <c r="R260" s="807"/>
      <c r="S260" s="807"/>
      <c r="T260" s="807"/>
      <c r="U260" s="807"/>
    </row>
    <row r="261">
      <c r="A261" s="807"/>
      <c r="B261" s="813"/>
      <c r="C261" s="813"/>
      <c r="D261" s="807"/>
      <c r="E261" s="807"/>
      <c r="F261" s="801"/>
      <c r="G261" s="801"/>
      <c r="H261" s="801"/>
      <c r="I261" s="801"/>
      <c r="J261" s="807"/>
      <c r="K261" s="807"/>
      <c r="L261" s="807"/>
      <c r="M261" s="807"/>
      <c r="N261" s="807"/>
      <c r="O261" s="807"/>
      <c r="P261" s="807"/>
      <c r="Q261" s="807"/>
      <c r="R261" s="807"/>
      <c r="S261" s="807"/>
      <c r="T261" s="807"/>
      <c r="U261" s="807"/>
    </row>
    <row r="262">
      <c r="A262" s="807"/>
      <c r="B262" s="813"/>
      <c r="C262" s="813"/>
      <c r="D262" s="807"/>
      <c r="E262" s="807"/>
      <c r="F262" s="801"/>
      <c r="G262" s="801"/>
      <c r="H262" s="801"/>
      <c r="I262" s="801"/>
      <c r="J262" s="807"/>
      <c r="K262" s="807"/>
      <c r="L262" s="807"/>
      <c r="M262" s="807"/>
      <c r="N262" s="807"/>
      <c r="O262" s="807"/>
      <c r="P262" s="807"/>
      <c r="Q262" s="807"/>
      <c r="R262" s="807"/>
      <c r="S262" s="807"/>
      <c r="T262" s="807"/>
      <c r="U262" s="807"/>
    </row>
    <row r="263">
      <c r="A263" s="807"/>
      <c r="B263" s="813"/>
      <c r="C263" s="813"/>
      <c r="D263" s="807"/>
      <c r="E263" s="807"/>
      <c r="F263" s="801"/>
      <c r="G263" s="801"/>
      <c r="H263" s="801"/>
      <c r="I263" s="801"/>
      <c r="J263" s="807"/>
      <c r="K263" s="807"/>
      <c r="L263" s="807"/>
      <c r="M263" s="807"/>
      <c r="N263" s="807"/>
      <c r="O263" s="807"/>
      <c r="P263" s="807"/>
      <c r="Q263" s="807"/>
      <c r="R263" s="807"/>
      <c r="S263" s="807"/>
      <c r="T263" s="807"/>
      <c r="U263" s="807"/>
    </row>
    <row r="264">
      <c r="A264" s="807"/>
      <c r="B264" s="813"/>
      <c r="C264" s="813"/>
      <c r="D264" s="807"/>
      <c r="E264" s="807"/>
      <c r="F264" s="801"/>
      <c r="G264" s="801"/>
      <c r="H264" s="801"/>
      <c r="I264" s="801"/>
      <c r="J264" s="807"/>
      <c r="K264" s="807"/>
      <c r="L264" s="807"/>
      <c r="M264" s="807"/>
      <c r="N264" s="807"/>
      <c r="O264" s="807"/>
      <c r="P264" s="807"/>
      <c r="Q264" s="807"/>
      <c r="R264" s="807"/>
      <c r="S264" s="807"/>
      <c r="T264" s="807"/>
      <c r="U264" s="807"/>
    </row>
    <row r="265">
      <c r="A265" s="807"/>
      <c r="B265" s="813"/>
      <c r="C265" s="813"/>
      <c r="D265" s="807"/>
      <c r="E265" s="807"/>
      <c r="F265" s="801"/>
      <c r="G265" s="801"/>
      <c r="H265" s="801"/>
      <c r="I265" s="801"/>
      <c r="J265" s="807"/>
      <c r="K265" s="807"/>
      <c r="L265" s="807"/>
      <c r="M265" s="807"/>
      <c r="N265" s="807"/>
      <c r="O265" s="807"/>
      <c r="P265" s="807"/>
      <c r="Q265" s="807"/>
      <c r="R265" s="807"/>
      <c r="S265" s="807"/>
      <c r="T265" s="807"/>
      <c r="U265" s="807"/>
    </row>
    <row r="266">
      <c r="A266" s="807"/>
      <c r="B266" s="813"/>
      <c r="C266" s="813"/>
      <c r="D266" s="807"/>
      <c r="E266" s="807"/>
      <c r="F266" s="801"/>
      <c r="G266" s="801"/>
      <c r="H266" s="801"/>
      <c r="I266" s="801"/>
      <c r="J266" s="807"/>
      <c r="K266" s="807"/>
      <c r="L266" s="807"/>
      <c r="M266" s="807"/>
      <c r="N266" s="807"/>
      <c r="O266" s="807"/>
      <c r="P266" s="807"/>
      <c r="Q266" s="807"/>
      <c r="R266" s="807"/>
      <c r="S266" s="807"/>
      <c r="T266" s="807"/>
      <c r="U266" s="807"/>
    </row>
    <row r="267">
      <c r="A267" s="807"/>
      <c r="B267" s="813"/>
      <c r="C267" s="813"/>
      <c r="D267" s="807"/>
      <c r="E267" s="807"/>
      <c r="F267" s="801"/>
      <c r="G267" s="801"/>
      <c r="H267" s="801"/>
      <c r="I267" s="801"/>
      <c r="J267" s="807"/>
      <c r="K267" s="807"/>
      <c r="L267" s="807"/>
      <c r="M267" s="807"/>
      <c r="N267" s="807"/>
      <c r="O267" s="807"/>
      <c r="P267" s="807"/>
      <c r="Q267" s="807"/>
      <c r="R267" s="807"/>
      <c r="S267" s="807"/>
      <c r="T267" s="807"/>
      <c r="U267" s="807"/>
    </row>
    <row r="268">
      <c r="A268" s="807"/>
      <c r="B268" s="813"/>
      <c r="C268" s="813"/>
      <c r="D268" s="807"/>
      <c r="E268" s="807"/>
      <c r="F268" s="801"/>
      <c r="G268" s="801"/>
      <c r="H268" s="801"/>
      <c r="I268" s="801"/>
      <c r="J268" s="807"/>
      <c r="K268" s="807"/>
      <c r="L268" s="807"/>
      <c r="M268" s="807"/>
      <c r="N268" s="807"/>
      <c r="O268" s="807"/>
      <c r="P268" s="807"/>
      <c r="Q268" s="807"/>
      <c r="R268" s="807"/>
      <c r="S268" s="807"/>
      <c r="T268" s="807"/>
      <c r="U268" s="807"/>
    </row>
    <row r="269">
      <c r="A269" s="807"/>
      <c r="B269" s="813"/>
      <c r="C269" s="813"/>
      <c r="D269" s="807"/>
      <c r="E269" s="807"/>
      <c r="F269" s="801"/>
      <c r="G269" s="801"/>
      <c r="H269" s="801"/>
      <c r="I269" s="801"/>
      <c r="J269" s="807"/>
      <c r="K269" s="807"/>
      <c r="L269" s="807"/>
      <c r="M269" s="807"/>
      <c r="N269" s="807"/>
      <c r="O269" s="807"/>
      <c r="P269" s="807"/>
      <c r="Q269" s="807"/>
      <c r="R269" s="807"/>
      <c r="S269" s="807"/>
      <c r="T269" s="807"/>
      <c r="U269" s="807"/>
    </row>
    <row r="270">
      <c r="A270" s="807"/>
      <c r="B270" s="813"/>
      <c r="C270" s="813"/>
      <c r="D270" s="807"/>
      <c r="E270" s="807"/>
      <c r="F270" s="801"/>
      <c r="G270" s="801"/>
      <c r="H270" s="801"/>
      <c r="I270" s="801"/>
      <c r="J270" s="807"/>
      <c r="K270" s="807"/>
      <c r="L270" s="807"/>
      <c r="M270" s="807"/>
      <c r="N270" s="807"/>
      <c r="O270" s="807"/>
      <c r="P270" s="807"/>
      <c r="Q270" s="807"/>
      <c r="R270" s="807"/>
      <c r="S270" s="807"/>
      <c r="T270" s="807"/>
      <c r="U270" s="807"/>
    </row>
    <row r="271">
      <c r="A271" s="807"/>
      <c r="B271" s="813"/>
      <c r="C271" s="813"/>
      <c r="D271" s="807"/>
      <c r="E271" s="807"/>
      <c r="F271" s="801"/>
      <c r="G271" s="801"/>
      <c r="H271" s="801"/>
      <c r="I271" s="801"/>
      <c r="J271" s="807"/>
      <c r="K271" s="807"/>
      <c r="L271" s="807"/>
      <c r="M271" s="807"/>
      <c r="N271" s="807"/>
      <c r="O271" s="807"/>
      <c r="P271" s="807"/>
      <c r="Q271" s="807"/>
      <c r="R271" s="807"/>
      <c r="S271" s="807"/>
      <c r="T271" s="807"/>
      <c r="U271" s="807"/>
    </row>
    <row r="272">
      <c r="A272" s="807"/>
      <c r="B272" s="813"/>
      <c r="C272" s="813"/>
      <c r="D272" s="807"/>
      <c r="E272" s="807"/>
      <c r="F272" s="801"/>
      <c r="G272" s="801"/>
      <c r="H272" s="801"/>
      <c r="I272" s="801"/>
      <c r="J272" s="807"/>
      <c r="K272" s="807"/>
      <c r="L272" s="807"/>
      <c r="M272" s="807"/>
      <c r="N272" s="807"/>
      <c r="O272" s="807"/>
      <c r="P272" s="807"/>
      <c r="Q272" s="807"/>
      <c r="R272" s="807"/>
      <c r="S272" s="807"/>
      <c r="T272" s="807"/>
      <c r="U272" s="807"/>
    </row>
    <row r="273">
      <c r="A273" s="807"/>
      <c r="B273" s="813"/>
      <c r="C273" s="813"/>
      <c r="D273" s="807"/>
      <c r="E273" s="807"/>
      <c r="F273" s="801"/>
      <c r="G273" s="801"/>
      <c r="H273" s="801"/>
      <c r="I273" s="801"/>
      <c r="J273" s="807"/>
      <c r="K273" s="807"/>
      <c r="L273" s="807"/>
      <c r="M273" s="807"/>
      <c r="N273" s="807"/>
      <c r="O273" s="807"/>
      <c r="P273" s="807"/>
      <c r="Q273" s="807"/>
      <c r="R273" s="807"/>
      <c r="S273" s="807"/>
      <c r="T273" s="807"/>
      <c r="U273" s="807"/>
    </row>
    <row r="274">
      <c r="A274" s="807"/>
      <c r="B274" s="813"/>
      <c r="C274" s="813"/>
      <c r="D274" s="807"/>
      <c r="E274" s="807"/>
      <c r="F274" s="801"/>
      <c r="G274" s="801"/>
      <c r="H274" s="801"/>
      <c r="I274" s="801"/>
      <c r="J274" s="807"/>
      <c r="K274" s="807"/>
      <c r="L274" s="807"/>
      <c r="M274" s="807"/>
      <c r="N274" s="807"/>
      <c r="O274" s="807"/>
      <c r="P274" s="807"/>
      <c r="Q274" s="807"/>
      <c r="R274" s="807"/>
      <c r="S274" s="807"/>
      <c r="T274" s="807"/>
      <c r="U274" s="807"/>
    </row>
    <row r="275">
      <c r="A275" s="807"/>
      <c r="B275" s="813"/>
      <c r="C275" s="813"/>
      <c r="D275" s="807"/>
      <c r="E275" s="807"/>
      <c r="F275" s="801"/>
      <c r="G275" s="801"/>
      <c r="H275" s="801"/>
      <c r="I275" s="801"/>
      <c r="J275" s="807"/>
      <c r="K275" s="807"/>
      <c r="L275" s="807"/>
      <c r="M275" s="807"/>
      <c r="N275" s="807"/>
      <c r="O275" s="807"/>
      <c r="P275" s="807"/>
      <c r="Q275" s="807"/>
      <c r="R275" s="807"/>
      <c r="S275" s="807"/>
      <c r="T275" s="807"/>
      <c r="U275" s="807"/>
    </row>
    <row r="276">
      <c r="A276" s="807"/>
      <c r="B276" s="813"/>
      <c r="C276" s="813"/>
      <c r="D276" s="807"/>
      <c r="E276" s="807"/>
      <c r="F276" s="801"/>
      <c r="G276" s="801"/>
      <c r="H276" s="801"/>
      <c r="I276" s="801"/>
      <c r="J276" s="807"/>
      <c r="K276" s="807"/>
      <c r="L276" s="807"/>
      <c r="M276" s="807"/>
      <c r="N276" s="807"/>
      <c r="O276" s="807"/>
      <c r="P276" s="807"/>
      <c r="Q276" s="807"/>
      <c r="R276" s="807"/>
      <c r="S276" s="807"/>
      <c r="T276" s="807"/>
      <c r="U276" s="807"/>
    </row>
    <row r="277">
      <c r="A277" s="807"/>
      <c r="B277" s="813"/>
      <c r="C277" s="813"/>
      <c r="D277" s="807"/>
      <c r="E277" s="807"/>
      <c r="F277" s="801"/>
      <c r="G277" s="801"/>
      <c r="H277" s="801"/>
      <c r="I277" s="801"/>
      <c r="J277" s="807"/>
      <c r="K277" s="807"/>
      <c r="L277" s="807"/>
      <c r="M277" s="807"/>
      <c r="N277" s="807"/>
      <c r="O277" s="807"/>
      <c r="P277" s="807"/>
      <c r="Q277" s="807"/>
      <c r="R277" s="807"/>
      <c r="S277" s="807"/>
      <c r="T277" s="807"/>
      <c r="U277" s="807"/>
    </row>
    <row r="278">
      <c r="A278" s="807"/>
      <c r="B278" s="813"/>
      <c r="C278" s="813"/>
      <c r="D278" s="807"/>
      <c r="E278" s="807"/>
      <c r="F278" s="801"/>
      <c r="G278" s="801"/>
      <c r="H278" s="801"/>
      <c r="I278" s="801"/>
      <c r="J278" s="807"/>
      <c r="K278" s="807"/>
      <c r="L278" s="807"/>
      <c r="M278" s="807"/>
      <c r="N278" s="807"/>
      <c r="O278" s="807"/>
      <c r="P278" s="807"/>
      <c r="Q278" s="807"/>
      <c r="R278" s="807"/>
      <c r="S278" s="807"/>
      <c r="T278" s="807"/>
      <c r="U278" s="807"/>
    </row>
    <row r="279">
      <c r="A279" s="807"/>
      <c r="B279" s="813"/>
      <c r="C279" s="813"/>
      <c r="D279" s="807"/>
      <c r="E279" s="807"/>
      <c r="F279" s="801"/>
      <c r="G279" s="801"/>
      <c r="H279" s="801"/>
      <c r="I279" s="801"/>
      <c r="J279" s="807"/>
      <c r="K279" s="807"/>
      <c r="L279" s="807"/>
      <c r="M279" s="807"/>
      <c r="N279" s="807"/>
      <c r="O279" s="807"/>
      <c r="P279" s="807"/>
      <c r="Q279" s="807"/>
      <c r="R279" s="807"/>
      <c r="S279" s="807"/>
      <c r="T279" s="807"/>
      <c r="U279" s="807"/>
    </row>
    <row r="280">
      <c r="A280" s="807"/>
      <c r="B280" s="813"/>
      <c r="C280" s="813"/>
      <c r="D280" s="807"/>
      <c r="E280" s="807"/>
      <c r="F280" s="801"/>
      <c r="G280" s="801"/>
      <c r="H280" s="801"/>
      <c r="I280" s="801"/>
      <c r="J280" s="807"/>
      <c r="K280" s="807"/>
      <c r="L280" s="807"/>
      <c r="M280" s="807"/>
      <c r="N280" s="807"/>
      <c r="O280" s="807"/>
      <c r="P280" s="807"/>
      <c r="Q280" s="807"/>
      <c r="R280" s="807"/>
      <c r="S280" s="807"/>
      <c r="T280" s="807"/>
      <c r="U280" s="807"/>
    </row>
    <row r="281">
      <c r="A281" s="807"/>
      <c r="B281" s="813"/>
      <c r="C281" s="813"/>
      <c r="D281" s="807"/>
      <c r="E281" s="807"/>
      <c r="F281" s="801"/>
      <c r="G281" s="801"/>
      <c r="H281" s="801"/>
      <c r="I281" s="801"/>
      <c r="J281" s="807"/>
      <c r="K281" s="807"/>
      <c r="L281" s="807"/>
      <c r="M281" s="807"/>
      <c r="N281" s="807"/>
      <c r="O281" s="807"/>
      <c r="P281" s="807"/>
      <c r="Q281" s="807"/>
      <c r="R281" s="807"/>
      <c r="S281" s="807"/>
      <c r="T281" s="807"/>
      <c r="U281" s="807"/>
    </row>
    <row r="282">
      <c r="A282" s="807"/>
      <c r="B282" s="813"/>
      <c r="C282" s="813"/>
      <c r="D282" s="807"/>
      <c r="E282" s="807"/>
      <c r="F282" s="801"/>
      <c r="G282" s="801"/>
      <c r="H282" s="801"/>
      <c r="I282" s="801"/>
      <c r="J282" s="807"/>
      <c r="K282" s="807"/>
      <c r="L282" s="807"/>
      <c r="M282" s="807"/>
      <c r="N282" s="807"/>
      <c r="O282" s="807"/>
      <c r="P282" s="807"/>
      <c r="Q282" s="807"/>
      <c r="R282" s="807"/>
      <c r="S282" s="807"/>
      <c r="T282" s="807"/>
      <c r="U282" s="807"/>
    </row>
    <row r="283">
      <c r="A283" s="807"/>
      <c r="B283" s="813"/>
      <c r="C283" s="813"/>
      <c r="D283" s="807"/>
      <c r="E283" s="807"/>
      <c r="F283" s="801"/>
      <c r="G283" s="801"/>
      <c r="H283" s="801"/>
      <c r="I283" s="801"/>
      <c r="J283" s="807"/>
      <c r="K283" s="807"/>
      <c r="L283" s="807"/>
      <c r="M283" s="807"/>
      <c r="N283" s="807"/>
      <c r="O283" s="807"/>
      <c r="P283" s="807"/>
      <c r="Q283" s="807"/>
      <c r="R283" s="807"/>
      <c r="S283" s="807"/>
      <c r="T283" s="807"/>
      <c r="U283" s="807"/>
    </row>
    <row r="284">
      <c r="A284" s="807"/>
      <c r="B284" s="813"/>
      <c r="C284" s="813"/>
      <c r="D284" s="807"/>
      <c r="E284" s="807"/>
      <c r="F284" s="801"/>
      <c r="G284" s="801"/>
      <c r="H284" s="801"/>
      <c r="I284" s="801"/>
      <c r="J284" s="807"/>
      <c r="K284" s="807"/>
      <c r="L284" s="807"/>
      <c r="M284" s="807"/>
      <c r="N284" s="807"/>
      <c r="O284" s="807"/>
      <c r="P284" s="807"/>
      <c r="Q284" s="807"/>
      <c r="R284" s="807"/>
      <c r="S284" s="807"/>
      <c r="T284" s="807"/>
      <c r="U284" s="807"/>
    </row>
    <row r="285">
      <c r="A285" s="807"/>
      <c r="B285" s="813"/>
      <c r="C285" s="813"/>
      <c r="D285" s="807"/>
      <c r="E285" s="807"/>
      <c r="F285" s="801"/>
      <c r="G285" s="801"/>
      <c r="H285" s="801"/>
      <c r="I285" s="801"/>
      <c r="J285" s="807"/>
      <c r="K285" s="807"/>
      <c r="L285" s="807"/>
      <c r="M285" s="807"/>
      <c r="N285" s="807"/>
      <c r="O285" s="807"/>
      <c r="P285" s="807"/>
      <c r="Q285" s="807"/>
      <c r="R285" s="807"/>
      <c r="S285" s="807"/>
      <c r="T285" s="807"/>
      <c r="U285" s="807"/>
    </row>
    <row r="286">
      <c r="A286" s="807"/>
      <c r="B286" s="813"/>
      <c r="C286" s="813"/>
      <c r="D286" s="807"/>
      <c r="E286" s="807"/>
      <c r="F286" s="801"/>
      <c r="G286" s="801"/>
      <c r="H286" s="801"/>
      <c r="I286" s="801"/>
      <c r="J286" s="807"/>
      <c r="K286" s="807"/>
      <c r="L286" s="807"/>
      <c r="M286" s="807"/>
      <c r="N286" s="807"/>
      <c r="O286" s="807"/>
      <c r="P286" s="807"/>
      <c r="Q286" s="807"/>
      <c r="R286" s="807"/>
      <c r="S286" s="807"/>
      <c r="T286" s="807"/>
      <c r="U286" s="807"/>
    </row>
    <row r="287">
      <c r="A287" s="807"/>
      <c r="B287" s="813"/>
      <c r="C287" s="813"/>
      <c r="D287" s="807"/>
      <c r="E287" s="807"/>
      <c r="F287" s="801"/>
      <c r="G287" s="801"/>
      <c r="H287" s="801"/>
      <c r="I287" s="801"/>
      <c r="J287" s="807"/>
      <c r="K287" s="807"/>
      <c r="L287" s="807"/>
      <c r="M287" s="807"/>
      <c r="N287" s="807"/>
      <c r="O287" s="807"/>
      <c r="P287" s="807"/>
      <c r="Q287" s="807"/>
      <c r="R287" s="807"/>
      <c r="S287" s="807"/>
      <c r="T287" s="807"/>
      <c r="U287" s="807"/>
    </row>
    <row r="288">
      <c r="A288" s="807"/>
      <c r="B288" s="813"/>
      <c r="C288" s="813"/>
      <c r="D288" s="807"/>
      <c r="E288" s="807"/>
      <c r="F288" s="801"/>
      <c r="G288" s="801"/>
      <c r="H288" s="801"/>
      <c r="I288" s="801"/>
      <c r="J288" s="807"/>
      <c r="K288" s="807"/>
      <c r="L288" s="807"/>
      <c r="M288" s="807"/>
      <c r="N288" s="807"/>
      <c r="O288" s="807"/>
      <c r="P288" s="807"/>
      <c r="Q288" s="807"/>
      <c r="R288" s="807"/>
      <c r="S288" s="807"/>
      <c r="T288" s="807"/>
      <c r="U288" s="807"/>
    </row>
    <row r="289">
      <c r="A289" s="807"/>
      <c r="B289" s="813"/>
      <c r="C289" s="813"/>
      <c r="D289" s="807"/>
      <c r="E289" s="807"/>
      <c r="F289" s="801"/>
      <c r="G289" s="801"/>
      <c r="H289" s="801"/>
      <c r="I289" s="801"/>
      <c r="J289" s="807"/>
      <c r="K289" s="807"/>
      <c r="L289" s="807"/>
      <c r="M289" s="807"/>
      <c r="N289" s="807"/>
      <c r="O289" s="807"/>
      <c r="P289" s="807"/>
      <c r="Q289" s="807"/>
      <c r="R289" s="807"/>
      <c r="S289" s="807"/>
      <c r="T289" s="807"/>
      <c r="U289" s="807"/>
    </row>
    <row r="290">
      <c r="A290" s="807"/>
      <c r="B290" s="813"/>
      <c r="C290" s="813"/>
      <c r="D290" s="807"/>
      <c r="E290" s="807"/>
      <c r="F290" s="801"/>
      <c r="G290" s="801"/>
      <c r="H290" s="801"/>
      <c r="I290" s="801"/>
      <c r="J290" s="807"/>
      <c r="K290" s="807"/>
      <c r="L290" s="807"/>
      <c r="M290" s="807"/>
      <c r="N290" s="807"/>
      <c r="O290" s="807"/>
      <c r="P290" s="807"/>
      <c r="Q290" s="807"/>
      <c r="R290" s="807"/>
      <c r="S290" s="807"/>
      <c r="T290" s="807"/>
      <c r="U290" s="807"/>
    </row>
    <row r="291">
      <c r="A291" s="807"/>
      <c r="B291" s="813"/>
      <c r="C291" s="813"/>
      <c r="D291" s="807"/>
      <c r="E291" s="807"/>
      <c r="F291" s="801"/>
      <c r="G291" s="801"/>
      <c r="H291" s="801"/>
      <c r="I291" s="801"/>
      <c r="J291" s="807"/>
      <c r="K291" s="807"/>
      <c r="L291" s="807"/>
      <c r="M291" s="807"/>
      <c r="N291" s="807"/>
      <c r="O291" s="807"/>
      <c r="P291" s="807"/>
      <c r="Q291" s="807"/>
      <c r="R291" s="807"/>
      <c r="S291" s="807"/>
      <c r="T291" s="807"/>
      <c r="U291" s="807"/>
    </row>
    <row r="292">
      <c r="A292" s="807"/>
      <c r="B292" s="813"/>
      <c r="C292" s="813"/>
      <c r="D292" s="807"/>
      <c r="E292" s="807"/>
      <c r="F292" s="801"/>
      <c r="G292" s="801"/>
      <c r="H292" s="801"/>
      <c r="I292" s="801"/>
      <c r="J292" s="807"/>
      <c r="K292" s="807"/>
      <c r="L292" s="807"/>
      <c r="M292" s="807"/>
      <c r="N292" s="807"/>
      <c r="O292" s="807"/>
      <c r="P292" s="807"/>
      <c r="Q292" s="807"/>
      <c r="R292" s="807"/>
      <c r="S292" s="807"/>
      <c r="T292" s="807"/>
      <c r="U292" s="807"/>
    </row>
    <row r="293">
      <c r="A293" s="807"/>
      <c r="B293" s="813"/>
      <c r="C293" s="813"/>
      <c r="D293" s="807"/>
      <c r="E293" s="807"/>
      <c r="F293" s="801"/>
      <c r="G293" s="801"/>
      <c r="H293" s="801"/>
      <c r="I293" s="801"/>
      <c r="J293" s="807"/>
      <c r="K293" s="807"/>
      <c r="L293" s="807"/>
      <c r="M293" s="807"/>
      <c r="N293" s="807"/>
      <c r="O293" s="807"/>
      <c r="P293" s="807"/>
      <c r="Q293" s="807"/>
      <c r="R293" s="807"/>
      <c r="S293" s="807"/>
      <c r="T293" s="807"/>
      <c r="U293" s="807"/>
    </row>
    <row r="294">
      <c r="A294" s="807"/>
      <c r="B294" s="813"/>
      <c r="C294" s="813"/>
      <c r="D294" s="807"/>
      <c r="E294" s="807"/>
      <c r="F294" s="801"/>
      <c r="G294" s="801"/>
      <c r="H294" s="801"/>
      <c r="I294" s="801"/>
      <c r="J294" s="807"/>
      <c r="K294" s="807"/>
      <c r="L294" s="807"/>
      <c r="M294" s="807"/>
      <c r="N294" s="807"/>
      <c r="O294" s="807"/>
      <c r="P294" s="807"/>
      <c r="Q294" s="807"/>
      <c r="R294" s="807"/>
      <c r="S294" s="807"/>
      <c r="T294" s="807"/>
      <c r="U294" s="807"/>
    </row>
    <row r="295">
      <c r="A295" s="807"/>
      <c r="B295" s="813"/>
      <c r="C295" s="813"/>
      <c r="D295" s="807"/>
      <c r="E295" s="807"/>
      <c r="F295" s="801"/>
      <c r="G295" s="801"/>
      <c r="H295" s="801"/>
      <c r="I295" s="801"/>
      <c r="J295" s="807"/>
      <c r="K295" s="807"/>
      <c r="L295" s="807"/>
      <c r="M295" s="807"/>
      <c r="N295" s="807"/>
      <c r="O295" s="807"/>
      <c r="P295" s="807"/>
      <c r="Q295" s="807"/>
      <c r="R295" s="807"/>
      <c r="S295" s="807"/>
      <c r="T295" s="807"/>
      <c r="U295" s="807"/>
    </row>
    <row r="296">
      <c r="A296" s="807"/>
      <c r="B296" s="813"/>
      <c r="C296" s="813"/>
      <c r="D296" s="807"/>
      <c r="E296" s="807"/>
      <c r="F296" s="801"/>
      <c r="G296" s="801"/>
      <c r="H296" s="801"/>
      <c r="I296" s="801"/>
      <c r="J296" s="807"/>
      <c r="K296" s="807"/>
      <c r="L296" s="807"/>
      <c r="M296" s="807"/>
      <c r="N296" s="807"/>
      <c r="O296" s="807"/>
      <c r="P296" s="807"/>
      <c r="Q296" s="807"/>
      <c r="R296" s="807"/>
      <c r="S296" s="807"/>
      <c r="T296" s="807"/>
      <c r="U296" s="807"/>
    </row>
    <row r="297">
      <c r="A297" s="807"/>
      <c r="B297" s="813"/>
      <c r="C297" s="813"/>
      <c r="D297" s="807"/>
      <c r="E297" s="807"/>
      <c r="F297" s="801"/>
      <c r="G297" s="801"/>
      <c r="H297" s="801"/>
      <c r="I297" s="801"/>
      <c r="J297" s="807"/>
      <c r="K297" s="807"/>
      <c r="L297" s="807"/>
      <c r="M297" s="807"/>
      <c r="N297" s="807"/>
      <c r="O297" s="807"/>
      <c r="P297" s="807"/>
      <c r="Q297" s="807"/>
      <c r="R297" s="807"/>
      <c r="S297" s="807"/>
      <c r="T297" s="807"/>
      <c r="U297" s="807"/>
    </row>
    <row r="298">
      <c r="A298" s="807"/>
      <c r="B298" s="813"/>
      <c r="C298" s="813"/>
      <c r="D298" s="807"/>
      <c r="E298" s="807"/>
      <c r="F298" s="801"/>
      <c r="G298" s="801"/>
      <c r="H298" s="801"/>
      <c r="I298" s="801"/>
      <c r="J298" s="807"/>
      <c r="K298" s="807"/>
      <c r="L298" s="807"/>
      <c r="M298" s="807"/>
      <c r="N298" s="807"/>
      <c r="O298" s="807"/>
      <c r="P298" s="807"/>
      <c r="Q298" s="807"/>
      <c r="R298" s="807"/>
      <c r="S298" s="807"/>
      <c r="T298" s="807"/>
      <c r="U298" s="807"/>
    </row>
    <row r="299">
      <c r="A299" s="807"/>
      <c r="B299" s="813"/>
      <c r="C299" s="813"/>
      <c r="D299" s="807"/>
      <c r="E299" s="807"/>
      <c r="F299" s="801"/>
      <c r="G299" s="801"/>
      <c r="H299" s="801"/>
      <c r="I299" s="801"/>
      <c r="J299" s="807"/>
      <c r="K299" s="807"/>
      <c r="L299" s="807"/>
      <c r="M299" s="807"/>
      <c r="N299" s="807"/>
      <c r="O299" s="807"/>
      <c r="P299" s="807"/>
      <c r="Q299" s="807"/>
      <c r="R299" s="807"/>
      <c r="S299" s="807"/>
      <c r="T299" s="807"/>
      <c r="U299" s="807"/>
    </row>
    <row r="300">
      <c r="A300" s="807"/>
      <c r="B300" s="813"/>
      <c r="C300" s="813"/>
      <c r="D300" s="807"/>
      <c r="E300" s="807"/>
      <c r="F300" s="801"/>
      <c r="G300" s="801"/>
      <c r="H300" s="801"/>
      <c r="I300" s="801"/>
      <c r="J300" s="807"/>
      <c r="K300" s="807"/>
      <c r="L300" s="807"/>
      <c r="M300" s="807"/>
      <c r="N300" s="807"/>
      <c r="O300" s="807"/>
      <c r="P300" s="807"/>
      <c r="Q300" s="807"/>
      <c r="R300" s="807"/>
      <c r="S300" s="807"/>
      <c r="T300" s="807"/>
      <c r="U300" s="807"/>
    </row>
    <row r="301">
      <c r="A301" s="807"/>
      <c r="B301" s="813"/>
      <c r="C301" s="813"/>
      <c r="D301" s="807"/>
      <c r="E301" s="807"/>
      <c r="F301" s="801"/>
      <c r="G301" s="801"/>
      <c r="H301" s="801"/>
      <c r="I301" s="801"/>
      <c r="J301" s="807"/>
      <c r="K301" s="807"/>
      <c r="L301" s="807"/>
      <c r="M301" s="807"/>
      <c r="N301" s="807"/>
      <c r="O301" s="807"/>
      <c r="P301" s="807"/>
      <c r="Q301" s="807"/>
      <c r="R301" s="807"/>
      <c r="S301" s="807"/>
      <c r="T301" s="807"/>
      <c r="U301" s="807"/>
    </row>
    <row r="302">
      <c r="A302" s="807"/>
      <c r="B302" s="813"/>
      <c r="C302" s="813"/>
      <c r="D302" s="807"/>
      <c r="E302" s="807"/>
      <c r="F302" s="801"/>
      <c r="G302" s="801"/>
      <c r="H302" s="801"/>
      <c r="I302" s="801"/>
      <c r="J302" s="807"/>
      <c r="K302" s="807"/>
      <c r="L302" s="807"/>
      <c r="M302" s="807"/>
      <c r="N302" s="807"/>
      <c r="O302" s="807"/>
      <c r="P302" s="807"/>
      <c r="Q302" s="807"/>
      <c r="R302" s="807"/>
      <c r="S302" s="807"/>
      <c r="T302" s="807"/>
      <c r="U302" s="807"/>
    </row>
    <row r="303">
      <c r="A303" s="807"/>
      <c r="B303" s="813"/>
      <c r="C303" s="813"/>
      <c r="D303" s="807"/>
      <c r="E303" s="807"/>
      <c r="F303" s="801"/>
      <c r="G303" s="801"/>
      <c r="H303" s="801"/>
      <c r="I303" s="801"/>
      <c r="J303" s="807"/>
      <c r="K303" s="807"/>
      <c r="L303" s="807"/>
      <c r="M303" s="807"/>
      <c r="N303" s="807"/>
      <c r="O303" s="807"/>
      <c r="P303" s="807"/>
      <c r="Q303" s="807"/>
      <c r="R303" s="807"/>
      <c r="S303" s="807"/>
      <c r="T303" s="807"/>
      <c r="U303" s="807"/>
    </row>
    <row r="304">
      <c r="A304" s="807"/>
      <c r="B304" s="813"/>
      <c r="C304" s="813"/>
      <c r="D304" s="807"/>
      <c r="E304" s="807"/>
      <c r="F304" s="801"/>
      <c r="G304" s="801"/>
      <c r="H304" s="801"/>
      <c r="I304" s="801"/>
      <c r="J304" s="807"/>
      <c r="K304" s="807"/>
      <c r="L304" s="807"/>
      <c r="M304" s="807"/>
      <c r="N304" s="807"/>
      <c r="O304" s="807"/>
      <c r="P304" s="807"/>
      <c r="Q304" s="807"/>
      <c r="R304" s="807"/>
      <c r="S304" s="807"/>
      <c r="T304" s="807"/>
      <c r="U304" s="807"/>
    </row>
    <row r="305">
      <c r="A305" s="807"/>
      <c r="B305" s="813"/>
      <c r="C305" s="813"/>
      <c r="D305" s="807"/>
      <c r="E305" s="807"/>
      <c r="F305" s="801"/>
      <c r="G305" s="801"/>
      <c r="H305" s="801"/>
      <c r="I305" s="801"/>
      <c r="J305" s="807"/>
      <c r="K305" s="807"/>
      <c r="L305" s="807"/>
      <c r="M305" s="807"/>
      <c r="N305" s="807"/>
      <c r="O305" s="807"/>
      <c r="P305" s="807"/>
      <c r="Q305" s="807"/>
      <c r="R305" s="807"/>
      <c r="S305" s="807"/>
      <c r="T305" s="807"/>
      <c r="U305" s="807"/>
    </row>
    <row r="306">
      <c r="A306" s="807"/>
      <c r="B306" s="813"/>
      <c r="C306" s="813"/>
      <c r="D306" s="807"/>
      <c r="E306" s="807"/>
      <c r="F306" s="801"/>
      <c r="G306" s="801"/>
      <c r="H306" s="801"/>
      <c r="I306" s="801"/>
      <c r="J306" s="807"/>
      <c r="K306" s="807"/>
      <c r="L306" s="807"/>
      <c r="M306" s="807"/>
      <c r="N306" s="807"/>
      <c r="O306" s="807"/>
      <c r="P306" s="807"/>
      <c r="Q306" s="807"/>
      <c r="R306" s="807"/>
      <c r="S306" s="807"/>
      <c r="T306" s="807"/>
      <c r="U306" s="807"/>
    </row>
    <row r="307">
      <c r="A307" s="807"/>
      <c r="B307" s="813"/>
      <c r="C307" s="813"/>
      <c r="D307" s="807"/>
      <c r="E307" s="807"/>
      <c r="F307" s="801"/>
      <c r="G307" s="801"/>
      <c r="H307" s="801"/>
      <c r="I307" s="801"/>
      <c r="J307" s="807"/>
      <c r="K307" s="807"/>
      <c r="L307" s="807"/>
      <c r="M307" s="807"/>
      <c r="N307" s="807"/>
      <c r="O307" s="807"/>
      <c r="P307" s="807"/>
      <c r="Q307" s="807"/>
      <c r="R307" s="807"/>
      <c r="S307" s="807"/>
      <c r="T307" s="807"/>
      <c r="U307" s="807"/>
    </row>
    <row r="308">
      <c r="A308" s="807"/>
      <c r="B308" s="813"/>
      <c r="C308" s="813"/>
      <c r="D308" s="807"/>
      <c r="E308" s="807"/>
      <c r="F308" s="801"/>
      <c r="G308" s="801"/>
      <c r="H308" s="801"/>
      <c r="I308" s="801"/>
      <c r="J308" s="807"/>
      <c r="K308" s="807"/>
      <c r="L308" s="807"/>
      <c r="M308" s="807"/>
      <c r="N308" s="807"/>
      <c r="O308" s="807"/>
      <c r="P308" s="807"/>
      <c r="Q308" s="807"/>
      <c r="R308" s="807"/>
      <c r="S308" s="807"/>
      <c r="T308" s="807"/>
      <c r="U308" s="807"/>
    </row>
    <row r="309">
      <c r="A309" s="807"/>
      <c r="B309" s="813"/>
      <c r="C309" s="813"/>
      <c r="D309" s="807"/>
      <c r="E309" s="807"/>
      <c r="F309" s="801"/>
      <c r="G309" s="801"/>
      <c r="H309" s="801"/>
      <c r="I309" s="801"/>
      <c r="J309" s="807"/>
      <c r="K309" s="807"/>
      <c r="L309" s="807"/>
      <c r="M309" s="807"/>
      <c r="N309" s="807"/>
      <c r="O309" s="807"/>
      <c r="P309" s="807"/>
      <c r="Q309" s="807"/>
      <c r="R309" s="807"/>
      <c r="S309" s="807"/>
      <c r="T309" s="807"/>
      <c r="U309" s="807"/>
    </row>
    <row r="310">
      <c r="A310" s="807"/>
      <c r="B310" s="813"/>
      <c r="C310" s="813"/>
      <c r="D310" s="807"/>
      <c r="E310" s="807"/>
      <c r="F310" s="801"/>
      <c r="G310" s="801"/>
      <c r="H310" s="801"/>
      <c r="I310" s="801"/>
      <c r="J310" s="807"/>
      <c r="K310" s="807"/>
      <c r="L310" s="807"/>
      <c r="M310" s="807"/>
      <c r="N310" s="807"/>
      <c r="O310" s="807"/>
      <c r="P310" s="807"/>
      <c r="Q310" s="807"/>
      <c r="R310" s="807"/>
      <c r="S310" s="807"/>
      <c r="T310" s="807"/>
      <c r="U310" s="807"/>
    </row>
    <row r="311">
      <c r="A311" s="807"/>
      <c r="B311" s="813"/>
      <c r="C311" s="813"/>
      <c r="D311" s="807"/>
      <c r="E311" s="807"/>
      <c r="F311" s="801"/>
      <c r="G311" s="801"/>
      <c r="H311" s="801"/>
      <c r="I311" s="801"/>
      <c r="J311" s="807"/>
      <c r="K311" s="807"/>
      <c r="L311" s="807"/>
      <c r="M311" s="807"/>
      <c r="N311" s="807"/>
      <c r="O311" s="807"/>
      <c r="P311" s="807"/>
      <c r="Q311" s="807"/>
      <c r="R311" s="807"/>
      <c r="S311" s="807"/>
      <c r="T311" s="807"/>
      <c r="U311" s="807"/>
    </row>
    <row r="312">
      <c r="A312" s="807"/>
      <c r="B312" s="813"/>
      <c r="C312" s="813"/>
      <c r="D312" s="807"/>
      <c r="E312" s="807"/>
      <c r="F312" s="801"/>
      <c r="G312" s="801"/>
      <c r="H312" s="801"/>
      <c r="I312" s="801"/>
      <c r="J312" s="807"/>
      <c r="K312" s="807"/>
      <c r="L312" s="807"/>
      <c r="M312" s="807"/>
      <c r="N312" s="807"/>
      <c r="O312" s="807"/>
      <c r="P312" s="807"/>
      <c r="Q312" s="807"/>
      <c r="R312" s="807"/>
      <c r="S312" s="807"/>
      <c r="T312" s="807"/>
      <c r="U312" s="807"/>
    </row>
    <row r="313">
      <c r="A313" s="807"/>
      <c r="B313" s="813"/>
      <c r="C313" s="813"/>
      <c r="D313" s="807"/>
      <c r="E313" s="807"/>
      <c r="F313" s="801"/>
      <c r="G313" s="801"/>
      <c r="H313" s="801"/>
      <c r="I313" s="801"/>
      <c r="J313" s="807"/>
      <c r="K313" s="807"/>
      <c r="L313" s="807"/>
      <c r="M313" s="807"/>
      <c r="N313" s="807"/>
      <c r="O313" s="807"/>
      <c r="P313" s="807"/>
      <c r="Q313" s="807"/>
      <c r="R313" s="807"/>
      <c r="S313" s="807"/>
      <c r="T313" s="807"/>
      <c r="U313" s="807"/>
    </row>
    <row r="314">
      <c r="A314" s="807"/>
      <c r="B314" s="813"/>
      <c r="C314" s="813"/>
      <c r="D314" s="807"/>
      <c r="E314" s="807"/>
      <c r="F314" s="801"/>
      <c r="G314" s="801"/>
      <c r="H314" s="801"/>
      <c r="I314" s="801"/>
      <c r="J314" s="807"/>
      <c r="K314" s="807"/>
      <c r="L314" s="807"/>
      <c r="M314" s="807"/>
      <c r="N314" s="807"/>
      <c r="O314" s="807"/>
      <c r="P314" s="807"/>
      <c r="Q314" s="807"/>
      <c r="R314" s="807"/>
      <c r="S314" s="807"/>
      <c r="T314" s="807"/>
      <c r="U314" s="807"/>
    </row>
    <row r="315">
      <c r="A315" s="807"/>
      <c r="B315" s="813"/>
      <c r="C315" s="813"/>
      <c r="D315" s="807"/>
      <c r="E315" s="807"/>
      <c r="F315" s="801"/>
      <c r="G315" s="801"/>
      <c r="H315" s="801"/>
      <c r="I315" s="801"/>
      <c r="J315" s="807"/>
      <c r="K315" s="807"/>
      <c r="L315" s="807"/>
      <c r="M315" s="807"/>
      <c r="N315" s="807"/>
      <c r="O315" s="807"/>
      <c r="P315" s="807"/>
      <c r="Q315" s="807"/>
      <c r="R315" s="807"/>
      <c r="S315" s="807"/>
      <c r="T315" s="807"/>
      <c r="U315" s="807"/>
    </row>
    <row r="316">
      <c r="A316" s="807"/>
      <c r="B316" s="813"/>
      <c r="C316" s="813"/>
      <c r="D316" s="807"/>
      <c r="E316" s="807"/>
      <c r="F316" s="801"/>
      <c r="G316" s="801"/>
      <c r="H316" s="801"/>
      <c r="I316" s="801"/>
      <c r="J316" s="807"/>
      <c r="K316" s="807"/>
      <c r="L316" s="807"/>
      <c r="M316" s="807"/>
      <c r="N316" s="807"/>
      <c r="O316" s="807"/>
      <c r="P316" s="807"/>
      <c r="Q316" s="807"/>
      <c r="R316" s="807"/>
      <c r="S316" s="807"/>
      <c r="T316" s="807"/>
      <c r="U316" s="807"/>
    </row>
    <row r="317">
      <c r="A317" s="807"/>
      <c r="B317" s="813"/>
      <c r="C317" s="813"/>
      <c r="D317" s="807"/>
      <c r="E317" s="807"/>
      <c r="F317" s="801"/>
      <c r="G317" s="801"/>
      <c r="H317" s="801"/>
      <c r="I317" s="801"/>
      <c r="J317" s="807"/>
      <c r="K317" s="807"/>
      <c r="L317" s="807"/>
      <c r="M317" s="807"/>
      <c r="N317" s="807"/>
      <c r="O317" s="807"/>
      <c r="P317" s="807"/>
      <c r="Q317" s="807"/>
      <c r="R317" s="807"/>
      <c r="S317" s="807"/>
      <c r="T317" s="807"/>
      <c r="U317" s="807"/>
    </row>
    <row r="318">
      <c r="A318" s="807"/>
      <c r="B318" s="813"/>
      <c r="C318" s="813"/>
      <c r="D318" s="807"/>
      <c r="E318" s="807"/>
      <c r="F318" s="801"/>
      <c r="G318" s="801"/>
      <c r="H318" s="801"/>
      <c r="I318" s="801"/>
      <c r="J318" s="807"/>
      <c r="K318" s="807"/>
      <c r="L318" s="807"/>
      <c r="M318" s="807"/>
      <c r="N318" s="807"/>
      <c r="O318" s="807"/>
      <c r="P318" s="807"/>
      <c r="Q318" s="807"/>
      <c r="R318" s="807"/>
      <c r="S318" s="807"/>
      <c r="T318" s="807"/>
      <c r="U318" s="807"/>
    </row>
    <row r="319">
      <c r="A319" s="807"/>
      <c r="B319" s="813"/>
      <c r="C319" s="813"/>
      <c r="D319" s="807"/>
      <c r="E319" s="807"/>
      <c r="F319" s="801"/>
      <c r="G319" s="801"/>
      <c r="H319" s="801"/>
      <c r="I319" s="801"/>
      <c r="J319" s="807"/>
      <c r="K319" s="807"/>
      <c r="L319" s="807"/>
      <c r="M319" s="807"/>
      <c r="N319" s="807"/>
      <c r="O319" s="807"/>
      <c r="P319" s="807"/>
      <c r="Q319" s="807"/>
      <c r="R319" s="807"/>
      <c r="S319" s="807"/>
      <c r="T319" s="807"/>
      <c r="U319" s="807"/>
    </row>
    <row r="320">
      <c r="A320" s="807"/>
      <c r="B320" s="813"/>
      <c r="C320" s="813"/>
      <c r="D320" s="807"/>
      <c r="E320" s="807"/>
      <c r="F320" s="801"/>
      <c r="G320" s="801"/>
      <c r="H320" s="801"/>
      <c r="I320" s="801"/>
      <c r="J320" s="807"/>
      <c r="K320" s="807"/>
      <c r="L320" s="807"/>
      <c r="M320" s="807"/>
      <c r="N320" s="807"/>
      <c r="O320" s="807"/>
      <c r="P320" s="807"/>
      <c r="Q320" s="807"/>
      <c r="R320" s="807"/>
      <c r="S320" s="807"/>
      <c r="T320" s="807"/>
      <c r="U320" s="807"/>
    </row>
    <row r="321">
      <c r="A321" s="807"/>
      <c r="B321" s="813"/>
      <c r="C321" s="813"/>
      <c r="D321" s="807"/>
      <c r="E321" s="807"/>
      <c r="F321" s="801"/>
      <c r="G321" s="801"/>
      <c r="H321" s="801"/>
      <c r="I321" s="801"/>
      <c r="J321" s="807"/>
      <c r="K321" s="807"/>
      <c r="L321" s="807"/>
      <c r="M321" s="807"/>
      <c r="N321" s="807"/>
      <c r="O321" s="807"/>
      <c r="P321" s="807"/>
      <c r="Q321" s="807"/>
      <c r="R321" s="807"/>
      <c r="S321" s="807"/>
      <c r="T321" s="807"/>
      <c r="U321" s="807"/>
    </row>
    <row r="322">
      <c r="A322" s="807"/>
      <c r="B322" s="813"/>
      <c r="C322" s="813"/>
      <c r="D322" s="807"/>
      <c r="E322" s="807"/>
      <c r="F322" s="801"/>
      <c r="G322" s="801"/>
      <c r="H322" s="801"/>
      <c r="I322" s="801"/>
      <c r="J322" s="807"/>
      <c r="K322" s="807"/>
      <c r="L322" s="807"/>
      <c r="M322" s="807"/>
      <c r="N322" s="807"/>
      <c r="O322" s="807"/>
      <c r="P322" s="807"/>
      <c r="Q322" s="807"/>
      <c r="R322" s="807"/>
      <c r="S322" s="807"/>
      <c r="T322" s="807"/>
      <c r="U322" s="807"/>
    </row>
    <row r="323">
      <c r="A323" s="807"/>
      <c r="B323" s="813"/>
      <c r="C323" s="813"/>
      <c r="D323" s="807"/>
      <c r="E323" s="807"/>
      <c r="F323" s="801"/>
      <c r="G323" s="801"/>
      <c r="H323" s="801"/>
      <c r="I323" s="801"/>
      <c r="J323" s="807"/>
      <c r="K323" s="807"/>
      <c r="L323" s="807"/>
      <c r="M323" s="807"/>
      <c r="N323" s="807"/>
      <c r="O323" s="807"/>
      <c r="P323" s="807"/>
      <c r="Q323" s="807"/>
      <c r="R323" s="807"/>
      <c r="S323" s="807"/>
      <c r="T323" s="807"/>
      <c r="U323" s="807"/>
    </row>
    <row r="324">
      <c r="A324" s="807"/>
      <c r="B324" s="813"/>
      <c r="C324" s="813"/>
      <c r="D324" s="807"/>
      <c r="E324" s="807"/>
      <c r="F324" s="801"/>
      <c r="G324" s="801"/>
      <c r="H324" s="801"/>
      <c r="I324" s="801"/>
      <c r="J324" s="807"/>
      <c r="K324" s="807"/>
      <c r="L324" s="807"/>
      <c r="M324" s="807"/>
      <c r="N324" s="807"/>
      <c r="O324" s="807"/>
      <c r="P324" s="807"/>
      <c r="Q324" s="807"/>
      <c r="R324" s="807"/>
      <c r="S324" s="807"/>
      <c r="T324" s="807"/>
      <c r="U324" s="807"/>
    </row>
    <row r="325">
      <c r="A325" s="807"/>
      <c r="B325" s="813"/>
      <c r="C325" s="813"/>
      <c r="D325" s="807"/>
      <c r="E325" s="807"/>
      <c r="F325" s="801"/>
      <c r="G325" s="801"/>
      <c r="H325" s="801"/>
      <c r="I325" s="801"/>
      <c r="J325" s="807"/>
      <c r="K325" s="807"/>
      <c r="L325" s="807"/>
      <c r="M325" s="807"/>
      <c r="N325" s="807"/>
      <c r="O325" s="807"/>
      <c r="P325" s="807"/>
      <c r="Q325" s="807"/>
      <c r="R325" s="807"/>
      <c r="S325" s="807"/>
      <c r="T325" s="807"/>
      <c r="U325" s="807"/>
    </row>
    <row r="326">
      <c r="A326" s="807"/>
      <c r="B326" s="813"/>
      <c r="C326" s="813"/>
      <c r="D326" s="807"/>
      <c r="E326" s="807"/>
      <c r="F326" s="801"/>
      <c r="G326" s="801"/>
      <c r="H326" s="801"/>
      <c r="I326" s="801"/>
      <c r="J326" s="807"/>
      <c r="K326" s="807"/>
      <c r="L326" s="807"/>
      <c r="M326" s="807"/>
      <c r="N326" s="807"/>
      <c r="O326" s="807"/>
      <c r="P326" s="807"/>
      <c r="Q326" s="807"/>
      <c r="R326" s="807"/>
      <c r="S326" s="807"/>
      <c r="T326" s="807"/>
      <c r="U326" s="807"/>
    </row>
    <row r="327">
      <c r="A327" s="807"/>
      <c r="B327" s="813"/>
      <c r="C327" s="813"/>
      <c r="D327" s="807"/>
      <c r="E327" s="807"/>
      <c r="F327" s="801"/>
      <c r="G327" s="801"/>
      <c r="H327" s="801"/>
      <c r="I327" s="801"/>
      <c r="J327" s="807"/>
      <c r="K327" s="807"/>
      <c r="L327" s="807"/>
      <c r="M327" s="807"/>
      <c r="N327" s="807"/>
      <c r="O327" s="807"/>
      <c r="P327" s="807"/>
      <c r="Q327" s="807"/>
      <c r="R327" s="807"/>
      <c r="S327" s="807"/>
      <c r="T327" s="807"/>
      <c r="U327" s="807"/>
    </row>
    <row r="328">
      <c r="A328" s="807"/>
      <c r="B328" s="813"/>
      <c r="C328" s="813"/>
      <c r="D328" s="807"/>
      <c r="E328" s="807"/>
      <c r="F328" s="801"/>
      <c r="G328" s="801"/>
      <c r="H328" s="801"/>
      <c r="I328" s="801"/>
      <c r="J328" s="807"/>
      <c r="K328" s="807"/>
      <c r="L328" s="807"/>
      <c r="M328" s="807"/>
      <c r="N328" s="807"/>
      <c r="O328" s="807"/>
      <c r="P328" s="807"/>
      <c r="Q328" s="807"/>
      <c r="R328" s="807"/>
      <c r="S328" s="807"/>
      <c r="T328" s="807"/>
      <c r="U328" s="807"/>
    </row>
    <row r="329">
      <c r="A329" s="807"/>
      <c r="B329" s="813"/>
      <c r="C329" s="813"/>
      <c r="D329" s="807"/>
      <c r="E329" s="807"/>
      <c r="F329" s="801"/>
      <c r="G329" s="801"/>
      <c r="H329" s="801"/>
      <c r="I329" s="801"/>
      <c r="J329" s="807"/>
      <c r="K329" s="807"/>
      <c r="L329" s="807"/>
      <c r="M329" s="807"/>
      <c r="N329" s="807"/>
      <c r="O329" s="807"/>
      <c r="P329" s="807"/>
      <c r="Q329" s="807"/>
      <c r="R329" s="807"/>
      <c r="S329" s="807"/>
      <c r="T329" s="807"/>
      <c r="U329" s="807"/>
    </row>
    <row r="330">
      <c r="A330" s="807"/>
      <c r="B330" s="813"/>
      <c r="C330" s="813"/>
      <c r="D330" s="807"/>
      <c r="E330" s="807"/>
      <c r="F330" s="801"/>
      <c r="G330" s="801"/>
      <c r="H330" s="801"/>
      <c r="I330" s="801"/>
      <c r="J330" s="807"/>
      <c r="K330" s="807"/>
      <c r="L330" s="807"/>
      <c r="M330" s="807"/>
      <c r="N330" s="807"/>
      <c r="O330" s="807"/>
      <c r="P330" s="807"/>
      <c r="Q330" s="807"/>
      <c r="R330" s="807"/>
      <c r="S330" s="807"/>
      <c r="T330" s="807"/>
      <c r="U330" s="807"/>
    </row>
    <row r="331">
      <c r="A331" s="807"/>
      <c r="B331" s="813"/>
      <c r="C331" s="813"/>
      <c r="D331" s="807"/>
      <c r="E331" s="807"/>
      <c r="F331" s="801"/>
      <c r="G331" s="801"/>
      <c r="H331" s="801"/>
      <c r="I331" s="801"/>
      <c r="J331" s="807"/>
      <c r="K331" s="807"/>
      <c r="L331" s="807"/>
      <c r="M331" s="807"/>
      <c r="N331" s="807"/>
      <c r="O331" s="807"/>
      <c r="P331" s="807"/>
      <c r="Q331" s="807"/>
      <c r="R331" s="807"/>
      <c r="S331" s="807"/>
      <c r="T331" s="807"/>
      <c r="U331" s="807"/>
    </row>
    <row r="332">
      <c r="A332" s="807"/>
      <c r="B332" s="813"/>
      <c r="C332" s="813"/>
      <c r="D332" s="807"/>
      <c r="E332" s="807"/>
      <c r="F332" s="801"/>
      <c r="G332" s="801"/>
      <c r="H332" s="801"/>
      <c r="I332" s="801"/>
      <c r="J332" s="807"/>
      <c r="K332" s="807"/>
      <c r="L332" s="807"/>
      <c r="M332" s="807"/>
      <c r="N332" s="807"/>
      <c r="O332" s="807"/>
      <c r="P332" s="807"/>
      <c r="Q332" s="807"/>
      <c r="R332" s="807"/>
      <c r="S332" s="807"/>
      <c r="T332" s="807"/>
      <c r="U332" s="807"/>
    </row>
    <row r="333">
      <c r="A333" s="807"/>
      <c r="B333" s="813"/>
      <c r="C333" s="813"/>
      <c r="D333" s="807"/>
      <c r="E333" s="807"/>
      <c r="F333" s="801"/>
      <c r="G333" s="801"/>
      <c r="H333" s="801"/>
      <c r="I333" s="801"/>
      <c r="J333" s="807"/>
      <c r="K333" s="807"/>
      <c r="L333" s="807"/>
      <c r="M333" s="807"/>
      <c r="N333" s="807"/>
      <c r="O333" s="807"/>
      <c r="P333" s="807"/>
      <c r="Q333" s="807"/>
      <c r="R333" s="807"/>
      <c r="S333" s="807"/>
      <c r="T333" s="807"/>
      <c r="U333" s="807"/>
    </row>
    <row r="334">
      <c r="A334" s="807"/>
      <c r="B334" s="813"/>
      <c r="C334" s="813"/>
      <c r="D334" s="807"/>
      <c r="E334" s="807"/>
      <c r="F334" s="801"/>
      <c r="G334" s="801"/>
      <c r="H334" s="801"/>
      <c r="I334" s="801"/>
      <c r="J334" s="807"/>
      <c r="K334" s="807"/>
      <c r="L334" s="807"/>
      <c r="M334" s="807"/>
      <c r="N334" s="807"/>
      <c r="O334" s="807"/>
      <c r="P334" s="807"/>
      <c r="Q334" s="807"/>
      <c r="R334" s="807"/>
      <c r="S334" s="807"/>
      <c r="T334" s="807"/>
      <c r="U334" s="807"/>
    </row>
    <row r="335">
      <c r="A335" s="807"/>
      <c r="B335" s="813"/>
      <c r="C335" s="813"/>
      <c r="D335" s="807"/>
      <c r="E335" s="807"/>
      <c r="F335" s="801"/>
      <c r="G335" s="801"/>
      <c r="H335" s="801"/>
      <c r="I335" s="801"/>
      <c r="J335" s="807"/>
      <c r="K335" s="807"/>
      <c r="L335" s="807"/>
      <c r="M335" s="807"/>
      <c r="N335" s="807"/>
      <c r="O335" s="807"/>
      <c r="P335" s="807"/>
      <c r="Q335" s="807"/>
      <c r="R335" s="807"/>
      <c r="S335" s="807"/>
      <c r="T335" s="807"/>
      <c r="U335" s="807"/>
    </row>
    <row r="336">
      <c r="A336" s="807"/>
      <c r="B336" s="813"/>
      <c r="C336" s="813"/>
      <c r="D336" s="807"/>
      <c r="E336" s="807"/>
      <c r="F336" s="801"/>
      <c r="G336" s="801"/>
      <c r="H336" s="801"/>
      <c r="I336" s="801"/>
      <c r="J336" s="807"/>
      <c r="K336" s="807"/>
      <c r="L336" s="807"/>
      <c r="M336" s="807"/>
      <c r="N336" s="807"/>
      <c r="O336" s="807"/>
      <c r="P336" s="807"/>
      <c r="Q336" s="807"/>
      <c r="R336" s="807"/>
      <c r="S336" s="807"/>
      <c r="T336" s="807"/>
      <c r="U336" s="807"/>
    </row>
    <row r="337">
      <c r="A337" s="807"/>
      <c r="B337" s="813"/>
      <c r="C337" s="813"/>
      <c r="D337" s="807"/>
      <c r="E337" s="807"/>
      <c r="F337" s="801"/>
      <c r="G337" s="801"/>
      <c r="H337" s="801"/>
      <c r="I337" s="801"/>
      <c r="J337" s="807"/>
      <c r="K337" s="807"/>
      <c r="L337" s="807"/>
      <c r="M337" s="807"/>
      <c r="N337" s="807"/>
      <c r="O337" s="807"/>
      <c r="P337" s="807"/>
      <c r="Q337" s="807"/>
      <c r="R337" s="807"/>
      <c r="S337" s="807"/>
      <c r="T337" s="807"/>
      <c r="U337" s="807"/>
    </row>
    <row r="338">
      <c r="A338" s="807"/>
      <c r="B338" s="813"/>
      <c r="C338" s="813"/>
      <c r="D338" s="807"/>
      <c r="E338" s="807"/>
      <c r="F338" s="801"/>
      <c r="G338" s="801"/>
      <c r="H338" s="801"/>
      <c r="I338" s="801"/>
      <c r="J338" s="807"/>
      <c r="K338" s="807"/>
      <c r="L338" s="807"/>
      <c r="M338" s="807"/>
      <c r="N338" s="807"/>
      <c r="O338" s="807"/>
      <c r="P338" s="807"/>
      <c r="Q338" s="807"/>
      <c r="R338" s="807"/>
      <c r="S338" s="807"/>
      <c r="T338" s="807"/>
      <c r="U338" s="807"/>
    </row>
    <row r="339">
      <c r="A339" s="807"/>
      <c r="B339" s="813"/>
      <c r="C339" s="813"/>
      <c r="D339" s="807"/>
      <c r="E339" s="807"/>
      <c r="F339" s="801"/>
      <c r="G339" s="801"/>
      <c r="H339" s="801"/>
      <c r="I339" s="801"/>
      <c r="J339" s="807"/>
      <c r="K339" s="807"/>
      <c r="L339" s="807"/>
      <c r="M339" s="807"/>
      <c r="N339" s="807"/>
      <c r="O339" s="807"/>
      <c r="P339" s="807"/>
      <c r="Q339" s="807"/>
      <c r="R339" s="807"/>
      <c r="S339" s="807"/>
      <c r="T339" s="807"/>
      <c r="U339" s="807"/>
    </row>
    <row r="340">
      <c r="A340" s="807"/>
      <c r="B340" s="813"/>
      <c r="C340" s="813"/>
      <c r="D340" s="807"/>
      <c r="E340" s="807"/>
      <c r="F340" s="801"/>
      <c r="G340" s="801"/>
      <c r="H340" s="801"/>
      <c r="I340" s="801"/>
      <c r="J340" s="807"/>
      <c r="K340" s="807"/>
      <c r="L340" s="807"/>
      <c r="M340" s="807"/>
      <c r="N340" s="807"/>
      <c r="O340" s="807"/>
      <c r="P340" s="807"/>
      <c r="Q340" s="807"/>
      <c r="R340" s="807"/>
      <c r="S340" s="807"/>
      <c r="T340" s="807"/>
      <c r="U340" s="807"/>
    </row>
    <row r="341">
      <c r="A341" s="807"/>
      <c r="B341" s="813"/>
      <c r="C341" s="813"/>
      <c r="D341" s="807"/>
      <c r="E341" s="807"/>
      <c r="F341" s="801"/>
      <c r="G341" s="801"/>
      <c r="H341" s="801"/>
      <c r="I341" s="801"/>
      <c r="J341" s="807"/>
      <c r="K341" s="807"/>
      <c r="L341" s="807"/>
      <c r="M341" s="807"/>
      <c r="N341" s="807"/>
      <c r="O341" s="807"/>
      <c r="P341" s="807"/>
      <c r="Q341" s="807"/>
      <c r="R341" s="807"/>
      <c r="S341" s="807"/>
      <c r="T341" s="807"/>
      <c r="U341" s="807"/>
    </row>
    <row r="342">
      <c r="A342" s="807"/>
      <c r="B342" s="813"/>
      <c r="C342" s="813"/>
      <c r="D342" s="807"/>
      <c r="E342" s="807"/>
      <c r="F342" s="801"/>
      <c r="G342" s="801"/>
      <c r="H342" s="801"/>
      <c r="I342" s="801"/>
      <c r="J342" s="807"/>
      <c r="K342" s="807"/>
      <c r="L342" s="807"/>
      <c r="M342" s="807"/>
      <c r="N342" s="807"/>
      <c r="O342" s="807"/>
      <c r="P342" s="807"/>
      <c r="Q342" s="807"/>
      <c r="R342" s="807"/>
      <c r="S342" s="807"/>
      <c r="T342" s="807"/>
      <c r="U342" s="807"/>
    </row>
    <row r="343">
      <c r="A343" s="807"/>
      <c r="B343" s="813"/>
      <c r="C343" s="813"/>
      <c r="D343" s="807"/>
      <c r="E343" s="807"/>
      <c r="F343" s="801"/>
      <c r="G343" s="801"/>
      <c r="H343" s="801"/>
      <c r="I343" s="801"/>
      <c r="J343" s="807"/>
      <c r="K343" s="807"/>
      <c r="L343" s="807"/>
      <c r="M343" s="807"/>
      <c r="N343" s="807"/>
      <c r="O343" s="807"/>
      <c r="P343" s="807"/>
      <c r="Q343" s="807"/>
      <c r="R343" s="807"/>
      <c r="S343" s="807"/>
      <c r="T343" s="807"/>
      <c r="U343" s="807"/>
    </row>
    <row r="344">
      <c r="A344" s="807"/>
      <c r="B344" s="813"/>
      <c r="C344" s="813"/>
      <c r="D344" s="807"/>
      <c r="E344" s="807"/>
      <c r="F344" s="801"/>
      <c r="G344" s="801"/>
      <c r="H344" s="801"/>
      <c r="I344" s="801"/>
      <c r="J344" s="807"/>
      <c r="K344" s="807"/>
      <c r="L344" s="807"/>
      <c r="M344" s="807"/>
      <c r="N344" s="807"/>
      <c r="O344" s="807"/>
      <c r="P344" s="807"/>
      <c r="Q344" s="807"/>
      <c r="R344" s="807"/>
      <c r="S344" s="807"/>
      <c r="T344" s="807"/>
      <c r="U344" s="807"/>
    </row>
    <row r="345">
      <c r="A345" s="807"/>
      <c r="B345" s="813"/>
      <c r="C345" s="813"/>
      <c r="D345" s="807"/>
      <c r="E345" s="807"/>
      <c r="F345" s="801"/>
      <c r="G345" s="801"/>
      <c r="H345" s="801"/>
      <c r="I345" s="801"/>
      <c r="J345" s="807"/>
      <c r="K345" s="807"/>
      <c r="L345" s="807"/>
      <c r="M345" s="807"/>
      <c r="N345" s="807"/>
      <c r="O345" s="807"/>
      <c r="P345" s="807"/>
      <c r="Q345" s="807"/>
      <c r="R345" s="807"/>
      <c r="S345" s="807"/>
      <c r="T345" s="807"/>
      <c r="U345" s="807"/>
    </row>
    <row r="346">
      <c r="A346" s="807"/>
      <c r="B346" s="813"/>
      <c r="C346" s="813"/>
      <c r="D346" s="807"/>
      <c r="E346" s="807"/>
      <c r="F346" s="801"/>
      <c r="G346" s="801"/>
      <c r="H346" s="801"/>
      <c r="I346" s="801"/>
      <c r="J346" s="807"/>
      <c r="K346" s="807"/>
      <c r="L346" s="807"/>
      <c r="M346" s="807"/>
      <c r="N346" s="807"/>
      <c r="O346" s="807"/>
      <c r="P346" s="807"/>
      <c r="Q346" s="807"/>
      <c r="R346" s="807"/>
      <c r="S346" s="807"/>
      <c r="T346" s="807"/>
      <c r="U346" s="807"/>
    </row>
    <row r="347">
      <c r="A347" s="807"/>
      <c r="B347" s="813"/>
      <c r="C347" s="813"/>
      <c r="D347" s="807"/>
      <c r="E347" s="807"/>
      <c r="F347" s="801"/>
      <c r="G347" s="801"/>
      <c r="H347" s="801"/>
      <c r="I347" s="801"/>
      <c r="J347" s="807"/>
      <c r="K347" s="807"/>
      <c r="L347" s="807"/>
      <c r="M347" s="807"/>
      <c r="N347" s="807"/>
      <c r="O347" s="807"/>
      <c r="P347" s="807"/>
      <c r="Q347" s="807"/>
      <c r="R347" s="807"/>
      <c r="S347" s="807"/>
      <c r="T347" s="807"/>
      <c r="U347" s="807"/>
    </row>
    <row r="348">
      <c r="A348" s="807"/>
      <c r="B348" s="813"/>
      <c r="C348" s="813"/>
      <c r="D348" s="807"/>
      <c r="E348" s="807"/>
      <c r="F348" s="801"/>
      <c r="G348" s="801"/>
      <c r="H348" s="801"/>
      <c r="I348" s="801"/>
      <c r="J348" s="807"/>
      <c r="K348" s="807"/>
      <c r="L348" s="807"/>
      <c r="M348" s="807"/>
      <c r="N348" s="807"/>
      <c r="O348" s="807"/>
      <c r="P348" s="807"/>
      <c r="Q348" s="807"/>
      <c r="R348" s="807"/>
      <c r="S348" s="807"/>
      <c r="T348" s="807"/>
      <c r="U348" s="807"/>
    </row>
    <row r="349">
      <c r="A349" s="807"/>
      <c r="B349" s="813"/>
      <c r="C349" s="813"/>
      <c r="D349" s="807"/>
      <c r="E349" s="807"/>
      <c r="F349" s="801"/>
      <c r="G349" s="801"/>
      <c r="H349" s="801"/>
      <c r="I349" s="801"/>
      <c r="J349" s="807"/>
      <c r="K349" s="807"/>
      <c r="L349" s="807"/>
      <c r="M349" s="807"/>
      <c r="N349" s="807"/>
      <c r="O349" s="807"/>
      <c r="P349" s="807"/>
      <c r="Q349" s="807"/>
      <c r="R349" s="807"/>
      <c r="S349" s="807"/>
      <c r="T349" s="807"/>
      <c r="U349" s="807"/>
    </row>
    <row r="350">
      <c r="A350" s="807"/>
      <c r="B350" s="813"/>
      <c r="C350" s="813"/>
      <c r="D350" s="807"/>
      <c r="E350" s="807"/>
      <c r="F350" s="801"/>
      <c r="G350" s="801"/>
      <c r="H350" s="801"/>
      <c r="I350" s="801"/>
      <c r="J350" s="807"/>
      <c r="K350" s="807"/>
      <c r="L350" s="807"/>
      <c r="M350" s="807"/>
      <c r="N350" s="807"/>
      <c r="O350" s="807"/>
      <c r="P350" s="807"/>
      <c r="Q350" s="807"/>
      <c r="R350" s="807"/>
      <c r="S350" s="807"/>
      <c r="T350" s="807"/>
      <c r="U350" s="807"/>
    </row>
    <row r="351">
      <c r="A351" s="807"/>
      <c r="B351" s="813"/>
      <c r="C351" s="813"/>
      <c r="D351" s="807"/>
      <c r="E351" s="807"/>
      <c r="F351" s="801"/>
      <c r="G351" s="801"/>
      <c r="H351" s="801"/>
      <c r="I351" s="801"/>
      <c r="J351" s="807"/>
      <c r="K351" s="807"/>
      <c r="L351" s="807"/>
      <c r="M351" s="807"/>
      <c r="N351" s="807"/>
      <c r="O351" s="807"/>
      <c r="P351" s="807"/>
      <c r="Q351" s="807"/>
      <c r="R351" s="807"/>
      <c r="S351" s="807"/>
      <c r="T351" s="807"/>
      <c r="U351" s="807"/>
    </row>
    <row r="352">
      <c r="A352" s="807"/>
      <c r="B352" s="813"/>
      <c r="C352" s="813"/>
      <c r="D352" s="807"/>
      <c r="E352" s="807"/>
      <c r="F352" s="801"/>
      <c r="G352" s="801"/>
      <c r="H352" s="801"/>
      <c r="I352" s="801"/>
      <c r="J352" s="807"/>
      <c r="K352" s="807"/>
      <c r="L352" s="807"/>
      <c r="M352" s="807"/>
      <c r="N352" s="807"/>
      <c r="O352" s="807"/>
      <c r="P352" s="807"/>
      <c r="Q352" s="807"/>
      <c r="R352" s="807"/>
      <c r="S352" s="807"/>
      <c r="T352" s="807"/>
      <c r="U352" s="807"/>
    </row>
    <row r="353">
      <c r="A353" s="807"/>
      <c r="B353" s="813"/>
      <c r="C353" s="813"/>
      <c r="D353" s="807"/>
      <c r="E353" s="807"/>
      <c r="F353" s="801"/>
      <c r="G353" s="801"/>
      <c r="H353" s="801"/>
      <c r="I353" s="801"/>
      <c r="J353" s="807"/>
      <c r="K353" s="807"/>
      <c r="L353" s="807"/>
      <c r="M353" s="807"/>
      <c r="N353" s="807"/>
      <c r="O353" s="807"/>
      <c r="P353" s="807"/>
      <c r="Q353" s="807"/>
      <c r="R353" s="807"/>
      <c r="S353" s="807"/>
      <c r="T353" s="807"/>
      <c r="U353" s="807"/>
    </row>
    <row r="354">
      <c r="A354" s="807"/>
      <c r="B354" s="813"/>
      <c r="C354" s="813"/>
      <c r="D354" s="807"/>
      <c r="E354" s="807"/>
      <c r="F354" s="801"/>
      <c r="G354" s="801"/>
      <c r="H354" s="801"/>
      <c r="I354" s="801"/>
      <c r="J354" s="807"/>
      <c r="K354" s="807"/>
      <c r="L354" s="807"/>
      <c r="M354" s="807"/>
      <c r="N354" s="807"/>
      <c r="O354" s="807"/>
      <c r="P354" s="807"/>
      <c r="Q354" s="807"/>
      <c r="R354" s="807"/>
      <c r="S354" s="807"/>
      <c r="T354" s="807"/>
      <c r="U354" s="807"/>
    </row>
    <row r="355">
      <c r="A355" s="807"/>
      <c r="B355" s="813"/>
      <c r="C355" s="813"/>
      <c r="D355" s="807"/>
      <c r="E355" s="807"/>
      <c r="F355" s="801"/>
      <c r="G355" s="801"/>
      <c r="H355" s="801"/>
      <c r="I355" s="801"/>
      <c r="J355" s="807"/>
      <c r="K355" s="807"/>
      <c r="L355" s="807"/>
      <c r="M355" s="807"/>
      <c r="N355" s="807"/>
      <c r="O355" s="807"/>
      <c r="P355" s="807"/>
      <c r="Q355" s="807"/>
      <c r="R355" s="807"/>
      <c r="S355" s="807"/>
      <c r="T355" s="807"/>
      <c r="U355" s="807"/>
    </row>
    <row r="356">
      <c r="A356" s="807"/>
      <c r="B356" s="813"/>
      <c r="C356" s="813"/>
      <c r="D356" s="807"/>
      <c r="E356" s="807"/>
      <c r="F356" s="801"/>
      <c r="G356" s="801"/>
      <c r="H356" s="801"/>
      <c r="I356" s="801"/>
      <c r="J356" s="807"/>
      <c r="K356" s="807"/>
      <c r="L356" s="807"/>
      <c r="M356" s="807"/>
      <c r="N356" s="807"/>
      <c r="O356" s="807"/>
      <c r="P356" s="807"/>
      <c r="Q356" s="807"/>
      <c r="R356" s="807"/>
      <c r="S356" s="807"/>
      <c r="T356" s="807"/>
      <c r="U356" s="807"/>
    </row>
    <row r="357">
      <c r="A357" s="807"/>
      <c r="B357" s="813"/>
      <c r="C357" s="813"/>
      <c r="D357" s="807"/>
      <c r="E357" s="807"/>
      <c r="F357" s="801"/>
      <c r="G357" s="801"/>
      <c r="H357" s="801"/>
      <c r="I357" s="801"/>
      <c r="J357" s="807"/>
      <c r="K357" s="807"/>
      <c r="L357" s="807"/>
      <c r="M357" s="807"/>
      <c r="N357" s="807"/>
      <c r="O357" s="807"/>
      <c r="P357" s="807"/>
      <c r="Q357" s="807"/>
      <c r="R357" s="807"/>
      <c r="S357" s="807"/>
      <c r="T357" s="807"/>
      <c r="U357" s="807"/>
    </row>
    <row r="358">
      <c r="A358" s="807"/>
      <c r="B358" s="813"/>
      <c r="C358" s="813"/>
      <c r="D358" s="807"/>
      <c r="E358" s="807"/>
      <c r="F358" s="801"/>
      <c r="G358" s="801"/>
      <c r="H358" s="801"/>
      <c r="I358" s="801"/>
      <c r="J358" s="807"/>
      <c r="K358" s="807"/>
      <c r="L358" s="807"/>
      <c r="M358" s="807"/>
      <c r="N358" s="807"/>
      <c r="O358" s="807"/>
      <c r="P358" s="807"/>
      <c r="Q358" s="807"/>
      <c r="R358" s="807"/>
      <c r="S358" s="807"/>
      <c r="T358" s="807"/>
      <c r="U358" s="807"/>
    </row>
    <row r="359">
      <c r="A359" s="807"/>
      <c r="B359" s="813"/>
      <c r="C359" s="813"/>
      <c r="D359" s="807"/>
      <c r="E359" s="807"/>
      <c r="F359" s="801"/>
      <c r="G359" s="801"/>
      <c r="H359" s="801"/>
      <c r="I359" s="801"/>
      <c r="J359" s="807"/>
      <c r="K359" s="807"/>
      <c r="L359" s="807"/>
      <c r="M359" s="807"/>
      <c r="N359" s="807"/>
      <c r="O359" s="807"/>
      <c r="P359" s="807"/>
      <c r="Q359" s="807"/>
      <c r="R359" s="807"/>
      <c r="S359" s="807"/>
      <c r="T359" s="807"/>
      <c r="U359" s="807"/>
    </row>
    <row r="360">
      <c r="A360" s="807"/>
      <c r="B360" s="813"/>
      <c r="C360" s="813"/>
      <c r="D360" s="807"/>
      <c r="E360" s="807"/>
      <c r="F360" s="801"/>
      <c r="G360" s="801"/>
      <c r="H360" s="801"/>
      <c r="I360" s="801"/>
      <c r="J360" s="807"/>
      <c r="K360" s="807"/>
      <c r="L360" s="807"/>
      <c r="M360" s="807"/>
      <c r="N360" s="807"/>
      <c r="O360" s="807"/>
      <c r="P360" s="807"/>
      <c r="Q360" s="807"/>
      <c r="R360" s="807"/>
      <c r="S360" s="807"/>
      <c r="T360" s="807"/>
      <c r="U360" s="807"/>
    </row>
    <row r="361">
      <c r="A361" s="807"/>
      <c r="B361" s="813"/>
      <c r="C361" s="813"/>
      <c r="D361" s="807"/>
      <c r="E361" s="807"/>
      <c r="F361" s="801"/>
      <c r="G361" s="801"/>
      <c r="H361" s="801"/>
      <c r="I361" s="801"/>
      <c r="J361" s="807"/>
      <c r="K361" s="807"/>
      <c r="L361" s="807"/>
      <c r="M361" s="807"/>
      <c r="N361" s="807"/>
      <c r="O361" s="807"/>
      <c r="P361" s="807"/>
      <c r="Q361" s="807"/>
      <c r="R361" s="807"/>
      <c r="S361" s="807"/>
      <c r="T361" s="807"/>
      <c r="U361" s="807"/>
    </row>
    <row r="362">
      <c r="A362" s="807"/>
      <c r="B362" s="813"/>
      <c r="C362" s="813"/>
      <c r="D362" s="807"/>
      <c r="E362" s="807"/>
      <c r="F362" s="801"/>
      <c r="G362" s="801"/>
      <c r="H362" s="801"/>
      <c r="I362" s="801"/>
      <c r="J362" s="807"/>
      <c r="K362" s="807"/>
      <c r="L362" s="807"/>
      <c r="M362" s="807"/>
      <c r="N362" s="807"/>
      <c r="O362" s="807"/>
      <c r="P362" s="807"/>
      <c r="Q362" s="807"/>
      <c r="R362" s="807"/>
      <c r="S362" s="807"/>
      <c r="T362" s="807"/>
      <c r="U362" s="807"/>
    </row>
    <row r="363">
      <c r="A363" s="807"/>
      <c r="B363" s="813"/>
      <c r="C363" s="813"/>
      <c r="D363" s="807"/>
      <c r="E363" s="807"/>
      <c r="F363" s="801"/>
      <c r="G363" s="801"/>
      <c r="H363" s="801"/>
      <c r="I363" s="801"/>
      <c r="J363" s="807"/>
      <c r="K363" s="807"/>
      <c r="L363" s="807"/>
      <c r="M363" s="807"/>
      <c r="N363" s="807"/>
      <c r="O363" s="807"/>
      <c r="P363" s="807"/>
      <c r="Q363" s="807"/>
      <c r="R363" s="807"/>
      <c r="S363" s="807"/>
      <c r="T363" s="807"/>
      <c r="U363" s="807"/>
    </row>
    <row r="364">
      <c r="A364" s="807"/>
      <c r="B364" s="813"/>
      <c r="C364" s="813"/>
      <c r="D364" s="807"/>
      <c r="E364" s="807"/>
      <c r="F364" s="801"/>
      <c r="G364" s="801"/>
      <c r="H364" s="801"/>
      <c r="I364" s="801"/>
      <c r="J364" s="807"/>
      <c r="K364" s="807"/>
      <c r="L364" s="807"/>
      <c r="M364" s="807"/>
      <c r="N364" s="807"/>
      <c r="O364" s="807"/>
      <c r="P364" s="807"/>
      <c r="Q364" s="807"/>
      <c r="R364" s="807"/>
      <c r="S364" s="807"/>
      <c r="T364" s="807"/>
      <c r="U364" s="807"/>
    </row>
    <row r="365">
      <c r="A365" s="807"/>
      <c r="B365" s="813"/>
      <c r="C365" s="813"/>
      <c r="D365" s="807"/>
      <c r="E365" s="807"/>
      <c r="F365" s="801"/>
      <c r="G365" s="801"/>
      <c r="H365" s="801"/>
      <c r="I365" s="801"/>
      <c r="J365" s="807"/>
      <c r="K365" s="807"/>
      <c r="L365" s="807"/>
      <c r="M365" s="807"/>
      <c r="N365" s="807"/>
      <c r="O365" s="807"/>
      <c r="P365" s="807"/>
      <c r="Q365" s="807"/>
      <c r="R365" s="807"/>
      <c r="S365" s="807"/>
      <c r="T365" s="807"/>
      <c r="U365" s="807"/>
    </row>
    <row r="366">
      <c r="A366" s="807"/>
      <c r="B366" s="813"/>
      <c r="C366" s="813"/>
      <c r="D366" s="807"/>
      <c r="E366" s="807"/>
      <c r="F366" s="801"/>
      <c r="G366" s="801"/>
      <c r="H366" s="801"/>
      <c r="I366" s="801"/>
      <c r="J366" s="807"/>
      <c r="K366" s="807"/>
      <c r="L366" s="807"/>
      <c r="M366" s="807"/>
      <c r="N366" s="807"/>
      <c r="O366" s="807"/>
      <c r="P366" s="807"/>
      <c r="Q366" s="807"/>
      <c r="R366" s="807"/>
      <c r="S366" s="807"/>
      <c r="T366" s="807"/>
      <c r="U366" s="807"/>
    </row>
    <row r="367">
      <c r="A367" s="807"/>
      <c r="B367" s="813"/>
      <c r="C367" s="813"/>
      <c r="D367" s="807"/>
      <c r="E367" s="807"/>
      <c r="F367" s="801"/>
      <c r="G367" s="801"/>
      <c r="H367" s="801"/>
      <c r="I367" s="801"/>
      <c r="J367" s="807"/>
      <c r="K367" s="807"/>
      <c r="L367" s="807"/>
      <c r="M367" s="807"/>
      <c r="N367" s="807"/>
      <c r="O367" s="807"/>
      <c r="P367" s="807"/>
      <c r="Q367" s="807"/>
      <c r="R367" s="807"/>
      <c r="S367" s="807"/>
      <c r="T367" s="807"/>
      <c r="U367" s="807"/>
    </row>
    <row r="368">
      <c r="A368" s="807"/>
      <c r="B368" s="813"/>
      <c r="C368" s="813"/>
      <c r="D368" s="807"/>
      <c r="E368" s="807"/>
      <c r="F368" s="801"/>
      <c r="G368" s="801"/>
      <c r="H368" s="801"/>
      <c r="I368" s="801"/>
      <c r="J368" s="807"/>
      <c r="K368" s="807"/>
      <c r="L368" s="807"/>
      <c r="M368" s="807"/>
      <c r="N368" s="807"/>
      <c r="O368" s="807"/>
      <c r="P368" s="807"/>
      <c r="Q368" s="807"/>
      <c r="R368" s="807"/>
      <c r="S368" s="807"/>
      <c r="T368" s="807"/>
      <c r="U368" s="807"/>
    </row>
    <row r="369">
      <c r="A369" s="807"/>
      <c r="B369" s="813"/>
      <c r="C369" s="813"/>
      <c r="D369" s="807"/>
      <c r="E369" s="807"/>
      <c r="F369" s="801"/>
      <c r="G369" s="801"/>
      <c r="H369" s="801"/>
      <c r="I369" s="801"/>
      <c r="J369" s="807"/>
      <c r="K369" s="807"/>
      <c r="L369" s="807"/>
      <c r="M369" s="807"/>
      <c r="N369" s="807"/>
      <c r="O369" s="807"/>
      <c r="P369" s="807"/>
      <c r="Q369" s="807"/>
      <c r="R369" s="807"/>
      <c r="S369" s="807"/>
      <c r="T369" s="807"/>
      <c r="U369" s="807"/>
    </row>
    <row r="370">
      <c r="A370" s="807"/>
      <c r="B370" s="813"/>
      <c r="C370" s="813"/>
      <c r="D370" s="807"/>
      <c r="E370" s="807"/>
      <c r="F370" s="801"/>
      <c r="G370" s="801"/>
      <c r="H370" s="801"/>
      <c r="I370" s="801"/>
      <c r="J370" s="807"/>
      <c r="K370" s="807"/>
      <c r="L370" s="807"/>
      <c r="M370" s="807"/>
      <c r="N370" s="807"/>
      <c r="O370" s="807"/>
      <c r="P370" s="807"/>
      <c r="Q370" s="807"/>
      <c r="R370" s="807"/>
      <c r="S370" s="807"/>
      <c r="T370" s="807"/>
      <c r="U370" s="807"/>
    </row>
    <row r="371">
      <c r="A371" s="807"/>
      <c r="B371" s="813"/>
      <c r="C371" s="813"/>
      <c r="D371" s="807"/>
      <c r="E371" s="807"/>
      <c r="F371" s="801"/>
      <c r="G371" s="801"/>
      <c r="H371" s="801"/>
      <c r="I371" s="801"/>
      <c r="J371" s="807"/>
      <c r="K371" s="807"/>
      <c r="L371" s="807"/>
      <c r="M371" s="807"/>
      <c r="N371" s="807"/>
      <c r="O371" s="807"/>
      <c r="P371" s="807"/>
      <c r="Q371" s="807"/>
      <c r="R371" s="807"/>
      <c r="S371" s="807"/>
      <c r="T371" s="807"/>
      <c r="U371" s="807"/>
    </row>
    <row r="372">
      <c r="A372" s="807"/>
      <c r="B372" s="813"/>
      <c r="C372" s="813"/>
      <c r="D372" s="807"/>
      <c r="E372" s="807"/>
      <c r="F372" s="801"/>
      <c r="G372" s="801"/>
      <c r="H372" s="801"/>
      <c r="I372" s="801"/>
      <c r="J372" s="807"/>
      <c r="K372" s="807"/>
      <c r="L372" s="807"/>
      <c r="M372" s="807"/>
      <c r="N372" s="807"/>
      <c r="O372" s="807"/>
      <c r="P372" s="807"/>
      <c r="Q372" s="807"/>
      <c r="R372" s="807"/>
      <c r="S372" s="807"/>
      <c r="T372" s="807"/>
      <c r="U372" s="807"/>
    </row>
    <row r="373">
      <c r="A373" s="807"/>
      <c r="B373" s="813"/>
      <c r="C373" s="813"/>
      <c r="D373" s="807"/>
      <c r="E373" s="807"/>
      <c r="F373" s="801"/>
      <c r="G373" s="801"/>
      <c r="H373" s="801"/>
      <c r="I373" s="801"/>
      <c r="J373" s="807"/>
      <c r="K373" s="807"/>
      <c r="L373" s="807"/>
      <c r="M373" s="807"/>
      <c r="N373" s="807"/>
      <c r="O373" s="807"/>
      <c r="P373" s="807"/>
      <c r="Q373" s="807"/>
      <c r="R373" s="807"/>
      <c r="S373" s="807"/>
      <c r="T373" s="807"/>
      <c r="U373" s="807"/>
    </row>
    <row r="374">
      <c r="A374" s="807"/>
      <c r="B374" s="813"/>
      <c r="C374" s="813"/>
      <c r="D374" s="807"/>
      <c r="E374" s="807"/>
      <c r="F374" s="801"/>
      <c r="G374" s="801"/>
      <c r="H374" s="801"/>
      <c r="I374" s="801"/>
      <c r="J374" s="807"/>
      <c r="K374" s="807"/>
      <c r="L374" s="807"/>
      <c r="M374" s="807"/>
      <c r="N374" s="807"/>
      <c r="O374" s="807"/>
      <c r="P374" s="807"/>
      <c r="Q374" s="807"/>
      <c r="R374" s="807"/>
      <c r="S374" s="807"/>
      <c r="T374" s="807"/>
      <c r="U374" s="807"/>
    </row>
    <row r="375">
      <c r="A375" s="807"/>
      <c r="B375" s="813"/>
      <c r="C375" s="813"/>
      <c r="D375" s="807"/>
      <c r="E375" s="807"/>
      <c r="F375" s="801"/>
      <c r="G375" s="801"/>
      <c r="H375" s="801"/>
      <c r="I375" s="801"/>
      <c r="J375" s="807"/>
      <c r="K375" s="807"/>
      <c r="L375" s="807"/>
      <c r="M375" s="807"/>
      <c r="N375" s="807"/>
      <c r="O375" s="807"/>
      <c r="P375" s="807"/>
      <c r="Q375" s="807"/>
      <c r="R375" s="807"/>
      <c r="S375" s="807"/>
      <c r="T375" s="807"/>
      <c r="U375" s="807"/>
    </row>
    <row r="376">
      <c r="A376" s="807"/>
      <c r="B376" s="813"/>
      <c r="C376" s="813"/>
      <c r="D376" s="807"/>
      <c r="E376" s="807"/>
      <c r="F376" s="801"/>
      <c r="G376" s="801"/>
      <c r="H376" s="801"/>
      <c r="I376" s="801"/>
      <c r="J376" s="807"/>
      <c r="K376" s="807"/>
      <c r="L376" s="807"/>
      <c r="M376" s="807"/>
      <c r="N376" s="807"/>
      <c r="O376" s="807"/>
      <c r="P376" s="807"/>
      <c r="Q376" s="807"/>
      <c r="R376" s="807"/>
      <c r="S376" s="807"/>
      <c r="T376" s="807"/>
      <c r="U376" s="807"/>
    </row>
    <row r="377">
      <c r="A377" s="807"/>
      <c r="B377" s="813"/>
      <c r="C377" s="813"/>
      <c r="D377" s="807"/>
      <c r="E377" s="807"/>
      <c r="F377" s="801"/>
      <c r="G377" s="801"/>
      <c r="H377" s="801"/>
      <c r="I377" s="801"/>
      <c r="J377" s="807"/>
      <c r="K377" s="807"/>
      <c r="L377" s="807"/>
      <c r="M377" s="807"/>
      <c r="N377" s="807"/>
      <c r="O377" s="807"/>
      <c r="P377" s="807"/>
      <c r="Q377" s="807"/>
      <c r="R377" s="807"/>
      <c r="S377" s="807"/>
      <c r="T377" s="807"/>
      <c r="U377" s="807"/>
    </row>
    <row r="378">
      <c r="A378" s="807"/>
      <c r="B378" s="813"/>
      <c r="C378" s="813"/>
      <c r="D378" s="807"/>
      <c r="E378" s="807"/>
      <c r="F378" s="801"/>
      <c r="G378" s="801"/>
      <c r="H378" s="801"/>
      <c r="I378" s="801"/>
      <c r="J378" s="807"/>
      <c r="K378" s="807"/>
      <c r="L378" s="807"/>
      <c r="M378" s="807"/>
      <c r="N378" s="807"/>
      <c r="O378" s="807"/>
      <c r="P378" s="807"/>
      <c r="Q378" s="807"/>
      <c r="R378" s="807"/>
      <c r="S378" s="807"/>
      <c r="T378" s="807"/>
      <c r="U378" s="807"/>
    </row>
    <row r="379">
      <c r="A379" s="807"/>
      <c r="B379" s="813"/>
      <c r="C379" s="813"/>
      <c r="D379" s="807"/>
      <c r="E379" s="807"/>
      <c r="F379" s="801"/>
      <c r="G379" s="801"/>
      <c r="H379" s="801"/>
      <c r="I379" s="801"/>
      <c r="J379" s="807"/>
      <c r="K379" s="807"/>
      <c r="L379" s="807"/>
      <c r="M379" s="807"/>
      <c r="N379" s="807"/>
      <c r="O379" s="807"/>
      <c r="P379" s="807"/>
      <c r="Q379" s="807"/>
      <c r="R379" s="807"/>
      <c r="S379" s="807"/>
      <c r="T379" s="807"/>
      <c r="U379" s="807"/>
    </row>
    <row r="380">
      <c r="A380" s="807"/>
      <c r="B380" s="813"/>
      <c r="C380" s="813"/>
      <c r="D380" s="807"/>
      <c r="E380" s="807"/>
      <c r="F380" s="801"/>
      <c r="G380" s="801"/>
      <c r="H380" s="801"/>
      <c r="I380" s="801"/>
      <c r="J380" s="807"/>
      <c r="K380" s="807"/>
      <c r="L380" s="807"/>
      <c r="M380" s="807"/>
      <c r="N380" s="807"/>
      <c r="O380" s="807"/>
      <c r="P380" s="807"/>
      <c r="Q380" s="807"/>
      <c r="R380" s="807"/>
      <c r="S380" s="807"/>
      <c r="T380" s="807"/>
      <c r="U380" s="807"/>
    </row>
    <row r="381">
      <c r="A381" s="807"/>
      <c r="B381" s="813"/>
      <c r="C381" s="813"/>
      <c r="D381" s="807"/>
      <c r="E381" s="807"/>
      <c r="F381" s="801"/>
      <c r="G381" s="801"/>
      <c r="H381" s="801"/>
      <c r="I381" s="801"/>
      <c r="J381" s="807"/>
      <c r="K381" s="807"/>
      <c r="L381" s="807"/>
      <c r="M381" s="807"/>
      <c r="N381" s="807"/>
      <c r="O381" s="807"/>
      <c r="P381" s="807"/>
      <c r="Q381" s="807"/>
      <c r="R381" s="807"/>
      <c r="S381" s="807"/>
      <c r="T381" s="807"/>
      <c r="U381" s="807"/>
    </row>
    <row r="382">
      <c r="A382" s="807"/>
      <c r="B382" s="813"/>
      <c r="C382" s="813"/>
      <c r="D382" s="807"/>
      <c r="E382" s="807"/>
      <c r="F382" s="801"/>
      <c r="G382" s="801"/>
      <c r="H382" s="801"/>
      <c r="I382" s="801"/>
      <c r="J382" s="807"/>
      <c r="K382" s="807"/>
      <c r="L382" s="807"/>
      <c r="M382" s="807"/>
      <c r="N382" s="807"/>
      <c r="O382" s="807"/>
      <c r="P382" s="807"/>
      <c r="Q382" s="807"/>
      <c r="R382" s="807"/>
      <c r="S382" s="807"/>
      <c r="T382" s="807"/>
      <c r="U382" s="807"/>
    </row>
    <row r="383">
      <c r="A383" s="807"/>
      <c r="B383" s="813"/>
      <c r="C383" s="813"/>
      <c r="D383" s="807"/>
      <c r="E383" s="807"/>
      <c r="F383" s="801"/>
      <c r="G383" s="801"/>
      <c r="H383" s="801"/>
      <c r="I383" s="801"/>
      <c r="J383" s="807"/>
      <c r="K383" s="807"/>
      <c r="L383" s="807"/>
      <c r="M383" s="807"/>
      <c r="N383" s="807"/>
      <c r="O383" s="807"/>
      <c r="P383" s="807"/>
      <c r="Q383" s="807"/>
      <c r="R383" s="807"/>
      <c r="S383" s="807"/>
      <c r="T383" s="807"/>
      <c r="U383" s="807"/>
    </row>
    <row r="384">
      <c r="A384" s="807"/>
      <c r="B384" s="813"/>
      <c r="C384" s="813"/>
      <c r="D384" s="807"/>
      <c r="E384" s="807"/>
      <c r="F384" s="801"/>
      <c r="G384" s="801"/>
      <c r="H384" s="801"/>
      <c r="I384" s="801"/>
      <c r="J384" s="807"/>
      <c r="K384" s="807"/>
      <c r="L384" s="807"/>
      <c r="M384" s="807"/>
      <c r="N384" s="807"/>
      <c r="O384" s="807"/>
      <c r="P384" s="807"/>
      <c r="Q384" s="807"/>
      <c r="R384" s="807"/>
      <c r="S384" s="807"/>
      <c r="T384" s="807"/>
      <c r="U384" s="807"/>
    </row>
    <row r="385">
      <c r="A385" s="807"/>
      <c r="B385" s="813"/>
      <c r="C385" s="813"/>
      <c r="D385" s="807"/>
      <c r="E385" s="807"/>
      <c r="F385" s="801"/>
      <c r="G385" s="801"/>
      <c r="H385" s="801"/>
      <c r="I385" s="801"/>
      <c r="J385" s="807"/>
      <c r="K385" s="807"/>
      <c r="L385" s="807"/>
      <c r="M385" s="807"/>
      <c r="N385" s="807"/>
      <c r="O385" s="807"/>
      <c r="P385" s="807"/>
      <c r="Q385" s="807"/>
      <c r="R385" s="807"/>
      <c r="S385" s="807"/>
      <c r="T385" s="807"/>
      <c r="U385" s="807"/>
    </row>
    <row r="386">
      <c r="A386" s="807"/>
      <c r="B386" s="813"/>
      <c r="C386" s="813"/>
      <c r="D386" s="807"/>
      <c r="E386" s="807"/>
      <c r="F386" s="801"/>
      <c r="G386" s="801"/>
      <c r="H386" s="801"/>
      <c r="I386" s="801"/>
      <c r="J386" s="807"/>
      <c r="K386" s="807"/>
      <c r="L386" s="807"/>
      <c r="M386" s="807"/>
      <c r="N386" s="807"/>
      <c r="O386" s="807"/>
      <c r="P386" s="807"/>
      <c r="Q386" s="807"/>
      <c r="R386" s="807"/>
      <c r="S386" s="807"/>
      <c r="T386" s="807"/>
      <c r="U386" s="807"/>
    </row>
    <row r="387">
      <c r="A387" s="807"/>
      <c r="B387" s="813"/>
      <c r="C387" s="813"/>
      <c r="D387" s="807"/>
      <c r="E387" s="807"/>
      <c r="F387" s="801"/>
      <c r="G387" s="801"/>
      <c r="H387" s="801"/>
      <c r="I387" s="801"/>
      <c r="J387" s="807"/>
      <c r="K387" s="807"/>
      <c r="L387" s="807"/>
      <c r="M387" s="807"/>
      <c r="N387" s="807"/>
      <c r="O387" s="807"/>
      <c r="P387" s="807"/>
      <c r="Q387" s="807"/>
      <c r="R387" s="807"/>
      <c r="S387" s="807"/>
      <c r="T387" s="807"/>
      <c r="U387" s="807"/>
    </row>
    <row r="388">
      <c r="A388" s="807"/>
      <c r="B388" s="813"/>
      <c r="C388" s="813"/>
      <c r="D388" s="807"/>
      <c r="E388" s="807"/>
      <c r="F388" s="801"/>
      <c r="G388" s="801"/>
      <c r="H388" s="801"/>
      <c r="I388" s="801"/>
      <c r="J388" s="807"/>
      <c r="K388" s="807"/>
      <c r="L388" s="807"/>
      <c r="M388" s="807"/>
      <c r="N388" s="807"/>
      <c r="O388" s="807"/>
      <c r="P388" s="807"/>
      <c r="Q388" s="807"/>
      <c r="R388" s="807"/>
      <c r="S388" s="807"/>
      <c r="T388" s="807"/>
      <c r="U388" s="807"/>
    </row>
    <row r="389">
      <c r="A389" s="807"/>
      <c r="B389" s="813"/>
      <c r="C389" s="813"/>
      <c r="D389" s="807"/>
      <c r="E389" s="807"/>
      <c r="F389" s="801"/>
      <c r="G389" s="801"/>
      <c r="H389" s="801"/>
      <c r="I389" s="801"/>
      <c r="J389" s="807"/>
      <c r="K389" s="807"/>
      <c r="L389" s="807"/>
      <c r="M389" s="807"/>
      <c r="N389" s="807"/>
      <c r="O389" s="807"/>
      <c r="P389" s="807"/>
      <c r="Q389" s="807"/>
      <c r="R389" s="807"/>
      <c r="S389" s="807"/>
      <c r="T389" s="807"/>
      <c r="U389" s="807"/>
    </row>
    <row r="390">
      <c r="A390" s="807"/>
      <c r="B390" s="813"/>
      <c r="C390" s="813"/>
      <c r="D390" s="807"/>
      <c r="E390" s="807"/>
      <c r="F390" s="801"/>
      <c r="G390" s="801"/>
      <c r="H390" s="801"/>
      <c r="I390" s="801"/>
      <c r="J390" s="807"/>
      <c r="K390" s="807"/>
      <c r="L390" s="807"/>
      <c r="M390" s="807"/>
      <c r="N390" s="807"/>
      <c r="O390" s="807"/>
      <c r="P390" s="807"/>
      <c r="Q390" s="807"/>
      <c r="R390" s="807"/>
      <c r="S390" s="807"/>
      <c r="T390" s="807"/>
      <c r="U390" s="807"/>
    </row>
    <row r="391">
      <c r="A391" s="807"/>
      <c r="B391" s="813"/>
      <c r="C391" s="813"/>
      <c r="D391" s="807"/>
      <c r="E391" s="807"/>
      <c r="F391" s="801"/>
      <c r="G391" s="801"/>
      <c r="H391" s="801"/>
      <c r="I391" s="801"/>
      <c r="J391" s="807"/>
      <c r="K391" s="807"/>
      <c r="L391" s="807"/>
      <c r="M391" s="807"/>
      <c r="N391" s="807"/>
      <c r="O391" s="807"/>
      <c r="P391" s="807"/>
      <c r="Q391" s="807"/>
      <c r="R391" s="807"/>
      <c r="S391" s="807"/>
      <c r="T391" s="807"/>
      <c r="U391" s="807"/>
    </row>
    <row r="392">
      <c r="A392" s="807"/>
      <c r="B392" s="813"/>
      <c r="C392" s="813"/>
      <c r="D392" s="807"/>
      <c r="E392" s="807"/>
      <c r="F392" s="801"/>
      <c r="G392" s="801"/>
      <c r="H392" s="801"/>
      <c r="I392" s="801"/>
      <c r="J392" s="807"/>
      <c r="K392" s="807"/>
      <c r="L392" s="807"/>
      <c r="M392" s="807"/>
      <c r="N392" s="807"/>
      <c r="O392" s="807"/>
      <c r="P392" s="807"/>
      <c r="Q392" s="807"/>
      <c r="R392" s="807"/>
      <c r="S392" s="807"/>
      <c r="T392" s="807"/>
      <c r="U392" s="807"/>
    </row>
    <row r="393">
      <c r="A393" s="807"/>
      <c r="B393" s="813"/>
      <c r="C393" s="813"/>
      <c r="D393" s="807"/>
      <c r="E393" s="807"/>
      <c r="F393" s="801"/>
      <c r="G393" s="801"/>
      <c r="H393" s="801"/>
      <c r="I393" s="801"/>
      <c r="J393" s="807"/>
      <c r="K393" s="807"/>
      <c r="L393" s="807"/>
      <c r="M393" s="807"/>
      <c r="N393" s="807"/>
      <c r="O393" s="807"/>
      <c r="P393" s="807"/>
      <c r="Q393" s="807"/>
      <c r="R393" s="807"/>
      <c r="S393" s="807"/>
      <c r="T393" s="807"/>
      <c r="U393" s="807"/>
    </row>
    <row r="394">
      <c r="A394" s="807"/>
      <c r="B394" s="813"/>
      <c r="C394" s="813"/>
      <c r="D394" s="807"/>
      <c r="E394" s="807"/>
      <c r="F394" s="801"/>
      <c r="G394" s="801"/>
      <c r="H394" s="801"/>
      <c r="I394" s="801"/>
      <c r="J394" s="807"/>
      <c r="K394" s="807"/>
      <c r="L394" s="807"/>
      <c r="M394" s="807"/>
      <c r="N394" s="807"/>
      <c r="O394" s="807"/>
      <c r="P394" s="807"/>
      <c r="Q394" s="807"/>
      <c r="R394" s="807"/>
      <c r="S394" s="807"/>
      <c r="T394" s="807"/>
      <c r="U394" s="807"/>
    </row>
    <row r="395">
      <c r="A395" s="807"/>
      <c r="B395" s="813"/>
      <c r="C395" s="813"/>
      <c r="D395" s="807"/>
      <c r="E395" s="807"/>
      <c r="F395" s="801"/>
      <c r="G395" s="801"/>
      <c r="H395" s="801"/>
      <c r="I395" s="801"/>
      <c r="J395" s="807"/>
      <c r="K395" s="807"/>
      <c r="L395" s="807"/>
      <c r="M395" s="807"/>
      <c r="N395" s="807"/>
      <c r="O395" s="807"/>
      <c r="P395" s="807"/>
      <c r="Q395" s="807"/>
      <c r="R395" s="807"/>
      <c r="S395" s="807"/>
      <c r="T395" s="807"/>
      <c r="U395" s="807"/>
    </row>
    <row r="396">
      <c r="A396" s="807"/>
      <c r="B396" s="813"/>
      <c r="C396" s="813"/>
      <c r="D396" s="807"/>
      <c r="E396" s="807"/>
      <c r="F396" s="801"/>
      <c r="G396" s="801"/>
      <c r="H396" s="801"/>
      <c r="I396" s="801"/>
      <c r="J396" s="807"/>
      <c r="K396" s="807"/>
      <c r="L396" s="807"/>
      <c r="M396" s="807"/>
      <c r="N396" s="807"/>
      <c r="O396" s="807"/>
      <c r="P396" s="807"/>
      <c r="Q396" s="807"/>
      <c r="R396" s="807"/>
      <c r="S396" s="807"/>
      <c r="T396" s="807"/>
      <c r="U396" s="807"/>
    </row>
    <row r="397">
      <c r="A397" s="807"/>
      <c r="B397" s="813"/>
      <c r="C397" s="813"/>
      <c r="D397" s="807"/>
      <c r="E397" s="807"/>
      <c r="F397" s="801"/>
      <c r="G397" s="801"/>
      <c r="H397" s="801"/>
      <c r="I397" s="801"/>
      <c r="J397" s="807"/>
      <c r="K397" s="807"/>
      <c r="L397" s="807"/>
      <c r="M397" s="807"/>
      <c r="N397" s="807"/>
      <c r="O397" s="807"/>
      <c r="P397" s="807"/>
      <c r="Q397" s="807"/>
      <c r="R397" s="807"/>
      <c r="S397" s="807"/>
      <c r="T397" s="807"/>
      <c r="U397" s="807"/>
    </row>
    <row r="398">
      <c r="A398" s="807"/>
      <c r="B398" s="813"/>
      <c r="C398" s="813"/>
      <c r="D398" s="807"/>
      <c r="E398" s="807"/>
      <c r="F398" s="801"/>
      <c r="G398" s="801"/>
      <c r="H398" s="801"/>
      <c r="I398" s="801"/>
      <c r="J398" s="807"/>
      <c r="K398" s="807"/>
      <c r="L398" s="807"/>
      <c r="M398" s="807"/>
      <c r="N398" s="807"/>
      <c r="O398" s="807"/>
      <c r="P398" s="807"/>
      <c r="Q398" s="807"/>
      <c r="R398" s="807"/>
      <c r="S398" s="807"/>
      <c r="T398" s="807"/>
      <c r="U398" s="807"/>
    </row>
    <row r="399">
      <c r="A399" s="807"/>
      <c r="B399" s="813"/>
      <c r="C399" s="813"/>
      <c r="D399" s="807"/>
      <c r="E399" s="807"/>
      <c r="F399" s="801"/>
      <c r="G399" s="801"/>
      <c r="H399" s="801"/>
      <c r="I399" s="801"/>
      <c r="J399" s="807"/>
      <c r="K399" s="807"/>
      <c r="L399" s="807"/>
      <c r="M399" s="807"/>
      <c r="N399" s="807"/>
      <c r="O399" s="807"/>
      <c r="P399" s="807"/>
      <c r="Q399" s="807"/>
      <c r="R399" s="807"/>
      <c r="S399" s="807"/>
      <c r="T399" s="807"/>
      <c r="U399" s="807"/>
    </row>
    <row r="400">
      <c r="A400" s="807"/>
      <c r="B400" s="813"/>
      <c r="C400" s="813"/>
      <c r="D400" s="807"/>
      <c r="E400" s="807"/>
      <c r="F400" s="801"/>
      <c r="G400" s="801"/>
      <c r="H400" s="801"/>
      <c r="I400" s="801"/>
      <c r="J400" s="807"/>
      <c r="K400" s="807"/>
      <c r="L400" s="807"/>
      <c r="M400" s="807"/>
      <c r="N400" s="807"/>
      <c r="O400" s="807"/>
      <c r="P400" s="807"/>
      <c r="Q400" s="807"/>
      <c r="R400" s="807"/>
      <c r="S400" s="807"/>
      <c r="T400" s="807"/>
      <c r="U400" s="807"/>
    </row>
    <row r="401">
      <c r="A401" s="807"/>
      <c r="B401" s="813"/>
      <c r="C401" s="813"/>
      <c r="D401" s="807"/>
      <c r="E401" s="807"/>
      <c r="F401" s="801"/>
      <c r="G401" s="801"/>
      <c r="H401" s="801"/>
      <c r="I401" s="801"/>
      <c r="J401" s="807"/>
      <c r="K401" s="807"/>
      <c r="L401" s="807"/>
      <c r="M401" s="807"/>
      <c r="N401" s="807"/>
      <c r="O401" s="807"/>
      <c r="P401" s="807"/>
      <c r="Q401" s="807"/>
      <c r="R401" s="807"/>
      <c r="S401" s="807"/>
      <c r="T401" s="807"/>
      <c r="U401" s="807"/>
    </row>
    <row r="402">
      <c r="A402" s="807"/>
      <c r="B402" s="813"/>
      <c r="C402" s="813"/>
      <c r="D402" s="807"/>
      <c r="E402" s="807"/>
      <c r="F402" s="801"/>
      <c r="G402" s="801"/>
      <c r="H402" s="801"/>
      <c r="I402" s="801"/>
      <c r="J402" s="807"/>
      <c r="K402" s="807"/>
      <c r="L402" s="807"/>
      <c r="M402" s="807"/>
      <c r="N402" s="807"/>
      <c r="O402" s="807"/>
      <c r="P402" s="807"/>
      <c r="Q402" s="807"/>
      <c r="R402" s="807"/>
      <c r="S402" s="807"/>
      <c r="T402" s="807"/>
      <c r="U402" s="807"/>
    </row>
    <row r="403">
      <c r="A403" s="807"/>
      <c r="B403" s="813"/>
      <c r="C403" s="813"/>
      <c r="D403" s="807"/>
      <c r="E403" s="807"/>
      <c r="F403" s="801"/>
      <c r="G403" s="801"/>
      <c r="H403" s="801"/>
      <c r="I403" s="801"/>
      <c r="J403" s="807"/>
      <c r="K403" s="807"/>
      <c r="L403" s="807"/>
      <c r="M403" s="807"/>
      <c r="N403" s="807"/>
      <c r="O403" s="807"/>
      <c r="P403" s="807"/>
      <c r="Q403" s="807"/>
      <c r="R403" s="807"/>
      <c r="S403" s="807"/>
      <c r="T403" s="807"/>
      <c r="U403" s="807"/>
    </row>
    <row r="404">
      <c r="A404" s="807"/>
      <c r="B404" s="813"/>
      <c r="C404" s="813"/>
      <c r="D404" s="807"/>
      <c r="E404" s="807"/>
      <c r="F404" s="801"/>
      <c r="G404" s="801"/>
      <c r="H404" s="801"/>
      <c r="I404" s="801"/>
      <c r="J404" s="807"/>
      <c r="K404" s="807"/>
      <c r="L404" s="807"/>
      <c r="M404" s="807"/>
      <c r="N404" s="807"/>
      <c r="O404" s="807"/>
      <c r="P404" s="807"/>
      <c r="Q404" s="807"/>
      <c r="R404" s="807"/>
      <c r="S404" s="807"/>
      <c r="T404" s="807"/>
      <c r="U404" s="807"/>
    </row>
    <row r="405">
      <c r="A405" s="807"/>
      <c r="B405" s="813"/>
      <c r="C405" s="813"/>
      <c r="D405" s="807"/>
      <c r="E405" s="807"/>
      <c r="F405" s="801"/>
      <c r="G405" s="801"/>
      <c r="H405" s="801"/>
      <c r="I405" s="801"/>
      <c r="J405" s="807"/>
      <c r="K405" s="807"/>
      <c r="L405" s="807"/>
      <c r="M405" s="807"/>
      <c r="N405" s="807"/>
      <c r="O405" s="807"/>
      <c r="P405" s="807"/>
      <c r="Q405" s="807"/>
      <c r="R405" s="807"/>
      <c r="S405" s="807"/>
      <c r="T405" s="807"/>
      <c r="U405" s="807"/>
    </row>
    <row r="406">
      <c r="A406" s="807"/>
      <c r="B406" s="813"/>
      <c r="C406" s="813"/>
      <c r="D406" s="807"/>
      <c r="E406" s="807"/>
      <c r="F406" s="801"/>
      <c r="G406" s="801"/>
      <c r="H406" s="801"/>
      <c r="I406" s="801"/>
      <c r="J406" s="807"/>
      <c r="K406" s="807"/>
      <c r="L406" s="807"/>
      <c r="M406" s="807"/>
      <c r="N406" s="807"/>
      <c r="O406" s="807"/>
      <c r="P406" s="807"/>
      <c r="Q406" s="807"/>
      <c r="R406" s="807"/>
      <c r="S406" s="807"/>
      <c r="T406" s="807"/>
      <c r="U406" s="807"/>
    </row>
    <row r="407">
      <c r="A407" s="807"/>
      <c r="B407" s="813"/>
      <c r="C407" s="813"/>
      <c r="D407" s="807"/>
      <c r="E407" s="807"/>
      <c r="F407" s="801"/>
      <c r="G407" s="801"/>
      <c r="H407" s="801"/>
      <c r="I407" s="801"/>
      <c r="J407" s="807"/>
      <c r="K407" s="807"/>
      <c r="L407" s="807"/>
      <c r="M407" s="807"/>
      <c r="N407" s="807"/>
      <c r="O407" s="807"/>
      <c r="P407" s="807"/>
      <c r="Q407" s="807"/>
      <c r="R407" s="807"/>
      <c r="S407" s="807"/>
      <c r="T407" s="807"/>
      <c r="U407" s="807"/>
    </row>
    <row r="408">
      <c r="A408" s="807"/>
      <c r="B408" s="813"/>
      <c r="C408" s="813"/>
      <c r="D408" s="807"/>
      <c r="E408" s="807"/>
      <c r="F408" s="801"/>
      <c r="G408" s="801"/>
      <c r="H408" s="801"/>
      <c r="I408" s="801"/>
      <c r="J408" s="807"/>
      <c r="K408" s="807"/>
      <c r="L408" s="807"/>
      <c r="M408" s="807"/>
      <c r="N408" s="807"/>
      <c r="O408" s="807"/>
      <c r="P408" s="807"/>
      <c r="Q408" s="807"/>
      <c r="R408" s="807"/>
      <c r="S408" s="807"/>
      <c r="T408" s="807"/>
      <c r="U408" s="807"/>
    </row>
    <row r="409">
      <c r="A409" s="807"/>
      <c r="B409" s="813"/>
      <c r="C409" s="813"/>
      <c r="D409" s="807"/>
      <c r="E409" s="807"/>
      <c r="F409" s="801"/>
      <c r="G409" s="801"/>
      <c r="H409" s="801"/>
      <c r="I409" s="801"/>
      <c r="J409" s="807"/>
      <c r="K409" s="807"/>
      <c r="L409" s="807"/>
      <c r="M409" s="807"/>
      <c r="N409" s="807"/>
      <c r="O409" s="807"/>
      <c r="P409" s="807"/>
      <c r="Q409" s="807"/>
      <c r="R409" s="807"/>
      <c r="S409" s="807"/>
      <c r="T409" s="807"/>
      <c r="U409" s="807"/>
    </row>
    <row r="410">
      <c r="A410" s="807"/>
      <c r="B410" s="813"/>
      <c r="C410" s="813"/>
      <c r="D410" s="807"/>
      <c r="E410" s="807"/>
      <c r="F410" s="801"/>
      <c r="G410" s="801"/>
      <c r="H410" s="801"/>
      <c r="I410" s="801"/>
      <c r="J410" s="807"/>
      <c r="K410" s="807"/>
      <c r="L410" s="807"/>
      <c r="M410" s="807"/>
      <c r="N410" s="807"/>
      <c r="O410" s="807"/>
      <c r="P410" s="807"/>
      <c r="Q410" s="807"/>
      <c r="R410" s="807"/>
      <c r="S410" s="807"/>
      <c r="T410" s="807"/>
      <c r="U410" s="807"/>
    </row>
    <row r="411">
      <c r="A411" s="807"/>
      <c r="B411" s="813"/>
      <c r="C411" s="813"/>
      <c r="D411" s="807"/>
      <c r="E411" s="807"/>
      <c r="F411" s="801"/>
      <c r="G411" s="801"/>
      <c r="H411" s="801"/>
      <c r="I411" s="801"/>
      <c r="J411" s="807"/>
      <c r="K411" s="807"/>
      <c r="L411" s="807"/>
      <c r="M411" s="807"/>
      <c r="N411" s="807"/>
      <c r="O411" s="807"/>
      <c r="P411" s="807"/>
      <c r="Q411" s="807"/>
      <c r="R411" s="807"/>
      <c r="S411" s="807"/>
      <c r="T411" s="807"/>
      <c r="U411" s="807"/>
    </row>
    <row r="412">
      <c r="A412" s="807"/>
      <c r="B412" s="813"/>
      <c r="C412" s="813"/>
      <c r="D412" s="807"/>
      <c r="E412" s="807"/>
      <c r="F412" s="801"/>
      <c r="G412" s="801"/>
      <c r="H412" s="801"/>
      <c r="I412" s="801"/>
      <c r="J412" s="807"/>
      <c r="K412" s="807"/>
      <c r="L412" s="807"/>
      <c r="M412" s="807"/>
      <c r="N412" s="807"/>
      <c r="O412" s="807"/>
      <c r="P412" s="807"/>
      <c r="Q412" s="807"/>
      <c r="R412" s="807"/>
      <c r="S412" s="807"/>
      <c r="T412" s="807"/>
      <c r="U412" s="807"/>
    </row>
    <row r="413">
      <c r="A413" s="807"/>
      <c r="B413" s="813"/>
      <c r="C413" s="813"/>
      <c r="D413" s="807"/>
      <c r="E413" s="807"/>
      <c r="F413" s="801"/>
      <c r="G413" s="801"/>
      <c r="H413" s="801"/>
      <c r="I413" s="801"/>
      <c r="J413" s="807"/>
      <c r="K413" s="807"/>
      <c r="L413" s="807"/>
      <c r="M413" s="807"/>
      <c r="N413" s="807"/>
      <c r="O413" s="807"/>
      <c r="P413" s="807"/>
      <c r="Q413" s="807"/>
      <c r="R413" s="807"/>
      <c r="S413" s="807"/>
      <c r="T413" s="807"/>
      <c r="U413" s="807"/>
    </row>
    <row r="414">
      <c r="A414" s="807"/>
      <c r="B414" s="813"/>
      <c r="C414" s="813"/>
      <c r="D414" s="807"/>
      <c r="E414" s="807"/>
      <c r="F414" s="801"/>
      <c r="G414" s="801"/>
      <c r="H414" s="801"/>
      <c r="I414" s="801"/>
      <c r="J414" s="807"/>
      <c r="K414" s="807"/>
      <c r="L414" s="807"/>
      <c r="M414" s="807"/>
      <c r="N414" s="807"/>
      <c r="O414" s="807"/>
      <c r="P414" s="807"/>
      <c r="Q414" s="807"/>
      <c r="R414" s="807"/>
      <c r="S414" s="807"/>
      <c r="T414" s="807"/>
      <c r="U414" s="807"/>
    </row>
    <row r="415">
      <c r="A415" s="807"/>
      <c r="B415" s="813"/>
      <c r="C415" s="813"/>
      <c r="D415" s="807"/>
      <c r="E415" s="807"/>
      <c r="F415" s="801"/>
      <c r="G415" s="801"/>
      <c r="H415" s="801"/>
      <c r="I415" s="801"/>
      <c r="J415" s="807"/>
      <c r="K415" s="807"/>
      <c r="L415" s="807"/>
      <c r="M415" s="807"/>
      <c r="N415" s="807"/>
      <c r="O415" s="807"/>
      <c r="P415" s="807"/>
      <c r="Q415" s="807"/>
      <c r="R415" s="807"/>
      <c r="S415" s="807"/>
      <c r="T415" s="807"/>
      <c r="U415" s="807"/>
    </row>
    <row r="416">
      <c r="A416" s="807"/>
      <c r="B416" s="813"/>
      <c r="C416" s="813"/>
      <c r="D416" s="807"/>
      <c r="E416" s="807"/>
      <c r="F416" s="801"/>
      <c r="G416" s="801"/>
      <c r="H416" s="801"/>
      <c r="I416" s="801"/>
      <c r="J416" s="807"/>
      <c r="K416" s="807"/>
      <c r="L416" s="807"/>
      <c r="M416" s="807"/>
      <c r="N416" s="807"/>
      <c r="O416" s="807"/>
      <c r="P416" s="807"/>
      <c r="Q416" s="807"/>
      <c r="R416" s="807"/>
      <c r="S416" s="807"/>
      <c r="T416" s="807"/>
      <c r="U416" s="807"/>
    </row>
    <row r="417">
      <c r="A417" s="807"/>
      <c r="B417" s="813"/>
      <c r="C417" s="813"/>
      <c r="D417" s="807"/>
      <c r="E417" s="807"/>
      <c r="F417" s="801"/>
      <c r="G417" s="801"/>
      <c r="H417" s="801"/>
      <c r="I417" s="801"/>
      <c r="J417" s="807"/>
      <c r="K417" s="807"/>
      <c r="L417" s="807"/>
      <c r="M417" s="807"/>
      <c r="N417" s="807"/>
      <c r="O417" s="807"/>
      <c r="P417" s="807"/>
      <c r="Q417" s="807"/>
      <c r="R417" s="807"/>
      <c r="S417" s="807"/>
      <c r="T417" s="807"/>
      <c r="U417" s="807"/>
    </row>
    <row r="418">
      <c r="A418" s="807"/>
      <c r="B418" s="813"/>
      <c r="C418" s="813"/>
      <c r="D418" s="807"/>
      <c r="E418" s="807"/>
      <c r="F418" s="801"/>
      <c r="G418" s="801"/>
      <c r="H418" s="801"/>
      <c r="I418" s="801"/>
      <c r="J418" s="807"/>
      <c r="K418" s="807"/>
      <c r="L418" s="807"/>
      <c r="M418" s="807"/>
      <c r="N418" s="807"/>
      <c r="O418" s="807"/>
      <c r="P418" s="807"/>
      <c r="Q418" s="807"/>
      <c r="R418" s="807"/>
      <c r="S418" s="807"/>
      <c r="T418" s="807"/>
      <c r="U418" s="807"/>
    </row>
    <row r="419">
      <c r="A419" s="807"/>
      <c r="B419" s="813"/>
      <c r="C419" s="813"/>
      <c r="D419" s="807"/>
      <c r="E419" s="807"/>
      <c r="F419" s="801"/>
      <c r="G419" s="801"/>
      <c r="H419" s="801"/>
      <c r="I419" s="801"/>
      <c r="J419" s="807"/>
      <c r="K419" s="807"/>
      <c r="L419" s="807"/>
      <c r="M419" s="807"/>
      <c r="N419" s="807"/>
      <c r="O419" s="807"/>
      <c r="P419" s="807"/>
      <c r="Q419" s="807"/>
      <c r="R419" s="807"/>
      <c r="S419" s="807"/>
      <c r="T419" s="807"/>
      <c r="U419" s="807"/>
    </row>
    <row r="420">
      <c r="A420" s="807"/>
      <c r="B420" s="813"/>
      <c r="C420" s="813"/>
      <c r="D420" s="807"/>
      <c r="E420" s="807"/>
      <c r="F420" s="801"/>
      <c r="G420" s="801"/>
      <c r="H420" s="801"/>
      <c r="I420" s="801"/>
      <c r="J420" s="807"/>
      <c r="K420" s="807"/>
      <c r="L420" s="807"/>
      <c r="M420" s="807"/>
      <c r="N420" s="807"/>
      <c r="O420" s="807"/>
      <c r="P420" s="807"/>
      <c r="Q420" s="807"/>
      <c r="R420" s="807"/>
      <c r="S420" s="807"/>
      <c r="T420" s="807"/>
      <c r="U420" s="807"/>
    </row>
    <row r="421">
      <c r="A421" s="807"/>
      <c r="B421" s="813"/>
      <c r="C421" s="813"/>
      <c r="D421" s="807"/>
      <c r="E421" s="807"/>
      <c r="F421" s="801"/>
      <c r="G421" s="801"/>
      <c r="H421" s="801"/>
      <c r="I421" s="801"/>
      <c r="J421" s="807"/>
      <c r="K421" s="807"/>
      <c r="L421" s="807"/>
      <c r="M421" s="807"/>
      <c r="N421" s="807"/>
      <c r="O421" s="807"/>
      <c r="P421" s="807"/>
      <c r="Q421" s="807"/>
      <c r="R421" s="807"/>
      <c r="S421" s="807"/>
      <c r="T421" s="807"/>
      <c r="U421" s="807"/>
    </row>
    <row r="422">
      <c r="A422" s="807"/>
      <c r="B422" s="813"/>
      <c r="C422" s="813"/>
      <c r="D422" s="807"/>
      <c r="E422" s="807"/>
      <c r="F422" s="801"/>
      <c r="G422" s="801"/>
      <c r="H422" s="801"/>
      <c r="I422" s="801"/>
      <c r="J422" s="807"/>
      <c r="K422" s="807"/>
      <c r="L422" s="807"/>
      <c r="M422" s="807"/>
      <c r="N422" s="807"/>
      <c r="O422" s="807"/>
      <c r="P422" s="807"/>
      <c r="Q422" s="807"/>
      <c r="R422" s="807"/>
      <c r="S422" s="807"/>
      <c r="T422" s="807"/>
      <c r="U422" s="807"/>
    </row>
    <row r="423">
      <c r="A423" s="807"/>
      <c r="B423" s="813"/>
      <c r="C423" s="813"/>
      <c r="D423" s="807"/>
      <c r="E423" s="807"/>
      <c r="F423" s="801"/>
      <c r="G423" s="801"/>
      <c r="H423" s="801"/>
      <c r="I423" s="801"/>
      <c r="J423" s="807"/>
      <c r="K423" s="807"/>
      <c r="L423" s="807"/>
      <c r="M423" s="807"/>
      <c r="N423" s="807"/>
      <c r="O423" s="807"/>
      <c r="P423" s="807"/>
      <c r="Q423" s="807"/>
      <c r="R423" s="807"/>
      <c r="S423" s="807"/>
      <c r="T423" s="807"/>
      <c r="U423" s="807"/>
    </row>
    <row r="424">
      <c r="A424" s="807"/>
      <c r="B424" s="813"/>
      <c r="C424" s="813"/>
      <c r="D424" s="807"/>
      <c r="E424" s="807"/>
      <c r="F424" s="801"/>
      <c r="G424" s="801"/>
      <c r="H424" s="801"/>
      <c r="I424" s="801"/>
      <c r="J424" s="807"/>
      <c r="K424" s="807"/>
      <c r="L424" s="807"/>
      <c r="M424" s="807"/>
      <c r="N424" s="807"/>
      <c r="O424" s="807"/>
      <c r="P424" s="807"/>
      <c r="Q424" s="807"/>
      <c r="R424" s="807"/>
      <c r="S424" s="807"/>
      <c r="T424" s="807"/>
      <c r="U424" s="807"/>
    </row>
    <row r="425">
      <c r="A425" s="807"/>
      <c r="B425" s="813"/>
      <c r="C425" s="813"/>
      <c r="D425" s="807"/>
      <c r="E425" s="807"/>
      <c r="F425" s="801"/>
      <c r="G425" s="801"/>
      <c r="H425" s="801"/>
      <c r="I425" s="801"/>
      <c r="J425" s="807"/>
      <c r="K425" s="807"/>
      <c r="L425" s="807"/>
      <c r="M425" s="807"/>
      <c r="N425" s="807"/>
      <c r="O425" s="807"/>
      <c r="P425" s="807"/>
      <c r="Q425" s="807"/>
      <c r="R425" s="807"/>
      <c r="S425" s="807"/>
      <c r="T425" s="807"/>
      <c r="U425" s="807"/>
    </row>
    <row r="426">
      <c r="A426" s="807"/>
      <c r="B426" s="813"/>
      <c r="C426" s="813"/>
      <c r="D426" s="807"/>
      <c r="E426" s="807"/>
      <c r="F426" s="801"/>
      <c r="G426" s="801"/>
      <c r="H426" s="801"/>
      <c r="I426" s="801"/>
      <c r="J426" s="807"/>
      <c r="K426" s="807"/>
      <c r="L426" s="807"/>
      <c r="M426" s="807"/>
      <c r="N426" s="807"/>
      <c r="O426" s="807"/>
      <c r="P426" s="807"/>
      <c r="Q426" s="807"/>
      <c r="R426" s="807"/>
      <c r="S426" s="807"/>
      <c r="T426" s="807"/>
      <c r="U426" s="807"/>
    </row>
    <row r="427">
      <c r="A427" s="807"/>
      <c r="B427" s="813"/>
      <c r="C427" s="813"/>
      <c r="D427" s="807"/>
      <c r="E427" s="807"/>
      <c r="F427" s="801"/>
      <c r="G427" s="801"/>
      <c r="H427" s="801"/>
      <c r="I427" s="801"/>
      <c r="J427" s="807"/>
      <c r="K427" s="807"/>
      <c r="L427" s="807"/>
      <c r="M427" s="807"/>
      <c r="N427" s="807"/>
      <c r="O427" s="807"/>
      <c r="P427" s="807"/>
      <c r="Q427" s="807"/>
      <c r="R427" s="807"/>
      <c r="S427" s="807"/>
      <c r="T427" s="807"/>
      <c r="U427" s="807"/>
    </row>
    <row r="428">
      <c r="A428" s="807"/>
      <c r="B428" s="813"/>
      <c r="C428" s="813"/>
      <c r="D428" s="807"/>
      <c r="E428" s="807"/>
      <c r="F428" s="801"/>
      <c r="G428" s="801"/>
      <c r="H428" s="801"/>
      <c r="I428" s="801"/>
      <c r="J428" s="807"/>
      <c r="K428" s="807"/>
      <c r="L428" s="807"/>
      <c r="M428" s="807"/>
      <c r="N428" s="807"/>
      <c r="O428" s="807"/>
      <c r="P428" s="807"/>
      <c r="Q428" s="807"/>
      <c r="R428" s="807"/>
      <c r="S428" s="807"/>
      <c r="T428" s="807"/>
      <c r="U428" s="807"/>
    </row>
    <row r="429">
      <c r="A429" s="807"/>
      <c r="B429" s="813"/>
      <c r="C429" s="813"/>
      <c r="D429" s="807"/>
      <c r="E429" s="807"/>
      <c r="F429" s="801"/>
      <c r="G429" s="801"/>
      <c r="H429" s="801"/>
      <c r="I429" s="801"/>
      <c r="J429" s="807"/>
      <c r="K429" s="807"/>
      <c r="L429" s="807"/>
      <c r="M429" s="807"/>
      <c r="N429" s="807"/>
      <c r="O429" s="807"/>
      <c r="P429" s="807"/>
      <c r="Q429" s="807"/>
      <c r="R429" s="807"/>
      <c r="S429" s="807"/>
      <c r="T429" s="807"/>
      <c r="U429" s="807"/>
    </row>
    <row r="430">
      <c r="A430" s="807"/>
      <c r="B430" s="813"/>
      <c r="C430" s="813"/>
      <c r="D430" s="807"/>
      <c r="E430" s="807"/>
      <c r="F430" s="801"/>
      <c r="G430" s="801"/>
      <c r="H430" s="801"/>
      <c r="I430" s="801"/>
      <c r="J430" s="807"/>
      <c r="K430" s="807"/>
      <c r="L430" s="807"/>
      <c r="M430" s="807"/>
      <c r="N430" s="807"/>
      <c r="O430" s="807"/>
      <c r="P430" s="807"/>
      <c r="Q430" s="807"/>
      <c r="R430" s="807"/>
      <c r="S430" s="807"/>
      <c r="T430" s="807"/>
      <c r="U430" s="807"/>
    </row>
    <row r="431">
      <c r="A431" s="807"/>
      <c r="B431" s="813"/>
      <c r="C431" s="813"/>
      <c r="D431" s="807"/>
      <c r="E431" s="807"/>
      <c r="F431" s="801"/>
      <c r="G431" s="801"/>
      <c r="H431" s="801"/>
      <c r="I431" s="801"/>
      <c r="J431" s="807"/>
      <c r="K431" s="807"/>
      <c r="L431" s="807"/>
      <c r="M431" s="807"/>
      <c r="N431" s="807"/>
      <c r="O431" s="807"/>
      <c r="P431" s="807"/>
      <c r="Q431" s="807"/>
      <c r="R431" s="807"/>
      <c r="S431" s="807"/>
      <c r="T431" s="807"/>
      <c r="U431" s="807"/>
    </row>
    <row r="432">
      <c r="A432" s="807"/>
      <c r="B432" s="813"/>
      <c r="C432" s="813"/>
      <c r="D432" s="807"/>
      <c r="E432" s="807"/>
      <c r="F432" s="801"/>
      <c r="G432" s="801"/>
      <c r="H432" s="801"/>
      <c r="I432" s="801"/>
      <c r="J432" s="807"/>
      <c r="K432" s="807"/>
      <c r="L432" s="807"/>
      <c r="M432" s="807"/>
      <c r="N432" s="807"/>
      <c r="O432" s="807"/>
      <c r="P432" s="807"/>
      <c r="Q432" s="807"/>
      <c r="R432" s="807"/>
      <c r="S432" s="807"/>
      <c r="T432" s="807"/>
      <c r="U432" s="807"/>
    </row>
    <row r="433">
      <c r="A433" s="807"/>
      <c r="B433" s="813"/>
      <c r="C433" s="813"/>
      <c r="D433" s="807"/>
      <c r="E433" s="807"/>
      <c r="F433" s="801"/>
      <c r="G433" s="801"/>
      <c r="H433" s="801"/>
      <c r="I433" s="801"/>
      <c r="J433" s="807"/>
      <c r="K433" s="807"/>
      <c r="L433" s="807"/>
      <c r="M433" s="807"/>
      <c r="N433" s="807"/>
      <c r="O433" s="807"/>
      <c r="P433" s="807"/>
      <c r="Q433" s="807"/>
      <c r="R433" s="807"/>
      <c r="S433" s="807"/>
      <c r="T433" s="807"/>
      <c r="U433" s="807"/>
    </row>
    <row r="434">
      <c r="A434" s="807"/>
      <c r="B434" s="813"/>
      <c r="C434" s="813"/>
      <c r="D434" s="807"/>
      <c r="E434" s="807"/>
      <c r="F434" s="801"/>
      <c r="G434" s="801"/>
      <c r="H434" s="801"/>
      <c r="I434" s="801"/>
      <c r="J434" s="807"/>
      <c r="K434" s="807"/>
      <c r="L434" s="807"/>
      <c r="M434" s="807"/>
      <c r="N434" s="807"/>
      <c r="O434" s="807"/>
      <c r="P434" s="807"/>
      <c r="Q434" s="807"/>
      <c r="R434" s="807"/>
      <c r="S434" s="807"/>
      <c r="T434" s="807"/>
      <c r="U434" s="807"/>
    </row>
    <row r="435">
      <c r="A435" s="807"/>
      <c r="B435" s="813"/>
      <c r="C435" s="813"/>
      <c r="D435" s="807"/>
      <c r="E435" s="807"/>
      <c r="F435" s="801"/>
      <c r="G435" s="801"/>
      <c r="H435" s="801"/>
      <c r="I435" s="801"/>
      <c r="J435" s="807"/>
      <c r="K435" s="807"/>
      <c r="L435" s="807"/>
      <c r="M435" s="807"/>
      <c r="N435" s="807"/>
      <c r="O435" s="807"/>
      <c r="P435" s="807"/>
      <c r="Q435" s="807"/>
      <c r="R435" s="807"/>
      <c r="S435" s="807"/>
      <c r="T435" s="807"/>
      <c r="U435" s="807"/>
    </row>
    <row r="436">
      <c r="A436" s="807"/>
      <c r="B436" s="813"/>
      <c r="C436" s="813"/>
      <c r="D436" s="807"/>
      <c r="E436" s="807"/>
      <c r="F436" s="801"/>
      <c r="G436" s="801"/>
      <c r="H436" s="801"/>
      <c r="I436" s="801"/>
      <c r="J436" s="807"/>
      <c r="K436" s="807"/>
      <c r="L436" s="807"/>
      <c r="M436" s="807"/>
      <c r="N436" s="807"/>
      <c r="O436" s="807"/>
      <c r="P436" s="807"/>
      <c r="Q436" s="807"/>
      <c r="R436" s="807"/>
      <c r="S436" s="807"/>
      <c r="T436" s="807"/>
      <c r="U436" s="807"/>
    </row>
    <row r="437">
      <c r="A437" s="807"/>
      <c r="B437" s="813"/>
      <c r="C437" s="813"/>
      <c r="D437" s="807"/>
      <c r="E437" s="807"/>
      <c r="F437" s="801"/>
      <c r="G437" s="801"/>
      <c r="H437" s="801"/>
      <c r="I437" s="801"/>
      <c r="J437" s="807"/>
      <c r="K437" s="807"/>
      <c r="L437" s="807"/>
      <c r="M437" s="807"/>
      <c r="N437" s="807"/>
      <c r="O437" s="807"/>
      <c r="P437" s="807"/>
      <c r="Q437" s="807"/>
      <c r="R437" s="807"/>
      <c r="S437" s="807"/>
      <c r="T437" s="807"/>
      <c r="U437" s="807"/>
    </row>
    <row r="438">
      <c r="A438" s="807"/>
      <c r="B438" s="813"/>
      <c r="C438" s="813"/>
      <c r="D438" s="807"/>
      <c r="E438" s="807"/>
      <c r="F438" s="801"/>
      <c r="G438" s="801"/>
      <c r="H438" s="801"/>
      <c r="I438" s="801"/>
      <c r="J438" s="807"/>
      <c r="K438" s="807"/>
      <c r="L438" s="807"/>
      <c r="M438" s="807"/>
      <c r="N438" s="807"/>
      <c r="O438" s="807"/>
      <c r="P438" s="807"/>
      <c r="Q438" s="807"/>
      <c r="R438" s="807"/>
      <c r="S438" s="807"/>
      <c r="T438" s="807"/>
      <c r="U438" s="807"/>
    </row>
    <row r="439">
      <c r="A439" s="807"/>
      <c r="B439" s="813"/>
      <c r="C439" s="813"/>
      <c r="D439" s="807"/>
      <c r="E439" s="807"/>
      <c r="F439" s="801"/>
      <c r="G439" s="801"/>
      <c r="H439" s="801"/>
      <c r="I439" s="801"/>
      <c r="J439" s="807"/>
      <c r="K439" s="807"/>
      <c r="L439" s="807"/>
      <c r="M439" s="807"/>
      <c r="N439" s="807"/>
      <c r="O439" s="807"/>
      <c r="P439" s="807"/>
      <c r="Q439" s="807"/>
      <c r="R439" s="807"/>
      <c r="S439" s="807"/>
      <c r="T439" s="807"/>
      <c r="U439" s="807"/>
    </row>
    <row r="440">
      <c r="A440" s="807"/>
      <c r="B440" s="813"/>
      <c r="C440" s="813"/>
      <c r="D440" s="807"/>
      <c r="E440" s="807"/>
      <c r="F440" s="801"/>
      <c r="G440" s="801"/>
      <c r="H440" s="801"/>
      <c r="I440" s="801"/>
      <c r="J440" s="807"/>
      <c r="K440" s="807"/>
      <c r="L440" s="807"/>
      <c r="M440" s="807"/>
      <c r="N440" s="807"/>
      <c r="O440" s="807"/>
      <c r="P440" s="807"/>
      <c r="Q440" s="807"/>
      <c r="R440" s="807"/>
      <c r="S440" s="807"/>
      <c r="T440" s="807"/>
      <c r="U440" s="807"/>
    </row>
    <row r="441">
      <c r="A441" s="807"/>
      <c r="B441" s="813"/>
      <c r="C441" s="813"/>
      <c r="D441" s="807"/>
      <c r="E441" s="807"/>
      <c r="F441" s="801"/>
      <c r="G441" s="801"/>
      <c r="H441" s="801"/>
      <c r="I441" s="801"/>
      <c r="J441" s="807"/>
      <c r="K441" s="807"/>
      <c r="L441" s="807"/>
      <c r="M441" s="807"/>
      <c r="N441" s="807"/>
      <c r="O441" s="807"/>
      <c r="P441" s="807"/>
      <c r="Q441" s="807"/>
      <c r="R441" s="807"/>
      <c r="S441" s="807"/>
      <c r="T441" s="807"/>
      <c r="U441" s="807"/>
    </row>
    <row r="442">
      <c r="A442" s="807"/>
      <c r="B442" s="813"/>
      <c r="C442" s="813"/>
      <c r="D442" s="807"/>
      <c r="E442" s="807"/>
      <c r="F442" s="801"/>
      <c r="G442" s="801"/>
      <c r="H442" s="801"/>
      <c r="I442" s="801"/>
      <c r="J442" s="807"/>
      <c r="K442" s="807"/>
      <c r="L442" s="807"/>
      <c r="M442" s="807"/>
      <c r="N442" s="807"/>
      <c r="O442" s="807"/>
      <c r="P442" s="807"/>
      <c r="Q442" s="807"/>
      <c r="R442" s="807"/>
      <c r="S442" s="807"/>
      <c r="T442" s="807"/>
      <c r="U442" s="807"/>
    </row>
    <row r="443">
      <c r="A443" s="807"/>
      <c r="B443" s="813"/>
      <c r="C443" s="813"/>
      <c r="D443" s="807"/>
      <c r="E443" s="807"/>
      <c r="F443" s="801"/>
      <c r="G443" s="801"/>
      <c r="H443" s="801"/>
      <c r="I443" s="801"/>
      <c r="J443" s="807"/>
      <c r="K443" s="807"/>
      <c r="L443" s="807"/>
      <c r="M443" s="807"/>
      <c r="N443" s="807"/>
      <c r="O443" s="807"/>
      <c r="P443" s="807"/>
      <c r="Q443" s="807"/>
      <c r="R443" s="807"/>
      <c r="S443" s="807"/>
      <c r="T443" s="807"/>
      <c r="U443" s="807"/>
    </row>
    <row r="444">
      <c r="A444" s="807"/>
      <c r="B444" s="813"/>
      <c r="C444" s="813"/>
      <c r="D444" s="807"/>
      <c r="E444" s="807"/>
      <c r="F444" s="801"/>
      <c r="G444" s="801"/>
      <c r="H444" s="801"/>
      <c r="I444" s="801"/>
      <c r="J444" s="807"/>
      <c r="K444" s="807"/>
      <c r="L444" s="807"/>
      <c r="M444" s="807"/>
      <c r="N444" s="807"/>
      <c r="O444" s="807"/>
      <c r="P444" s="807"/>
      <c r="Q444" s="807"/>
      <c r="R444" s="807"/>
      <c r="S444" s="807"/>
      <c r="T444" s="807"/>
      <c r="U444" s="807"/>
    </row>
    <row r="445">
      <c r="A445" s="807"/>
      <c r="B445" s="813"/>
      <c r="C445" s="813"/>
      <c r="D445" s="807"/>
      <c r="E445" s="807"/>
      <c r="F445" s="801"/>
      <c r="G445" s="801"/>
      <c r="H445" s="801"/>
      <c r="I445" s="801"/>
      <c r="J445" s="807"/>
      <c r="K445" s="807"/>
      <c r="L445" s="807"/>
      <c r="M445" s="807"/>
      <c r="N445" s="807"/>
      <c r="O445" s="807"/>
      <c r="P445" s="807"/>
      <c r="Q445" s="807"/>
      <c r="R445" s="807"/>
      <c r="S445" s="807"/>
      <c r="T445" s="807"/>
      <c r="U445" s="807"/>
    </row>
    <row r="446">
      <c r="A446" s="807"/>
      <c r="B446" s="813"/>
      <c r="C446" s="813"/>
      <c r="D446" s="807"/>
      <c r="E446" s="807"/>
      <c r="F446" s="801"/>
      <c r="G446" s="801"/>
      <c r="H446" s="801"/>
      <c r="I446" s="801"/>
      <c r="J446" s="807"/>
      <c r="K446" s="807"/>
      <c r="L446" s="807"/>
      <c r="M446" s="807"/>
      <c r="N446" s="807"/>
      <c r="O446" s="807"/>
      <c r="P446" s="807"/>
      <c r="Q446" s="807"/>
      <c r="R446" s="807"/>
      <c r="S446" s="807"/>
      <c r="T446" s="807"/>
      <c r="U446" s="807"/>
    </row>
    <row r="447">
      <c r="A447" s="807"/>
      <c r="B447" s="813"/>
      <c r="C447" s="813"/>
      <c r="D447" s="807"/>
      <c r="E447" s="807"/>
      <c r="F447" s="801"/>
      <c r="G447" s="801"/>
      <c r="H447" s="801"/>
      <c r="I447" s="801"/>
      <c r="J447" s="807"/>
      <c r="K447" s="807"/>
      <c r="L447" s="807"/>
      <c r="M447" s="807"/>
      <c r="N447" s="807"/>
      <c r="O447" s="807"/>
      <c r="P447" s="807"/>
      <c r="Q447" s="807"/>
      <c r="R447" s="807"/>
      <c r="S447" s="807"/>
      <c r="T447" s="807"/>
      <c r="U447" s="807"/>
    </row>
    <row r="448">
      <c r="A448" s="807"/>
      <c r="B448" s="813"/>
      <c r="C448" s="813"/>
      <c r="D448" s="807"/>
      <c r="E448" s="807"/>
      <c r="F448" s="801"/>
      <c r="G448" s="801"/>
      <c r="H448" s="801"/>
      <c r="I448" s="801"/>
      <c r="J448" s="807"/>
      <c r="K448" s="807"/>
      <c r="L448" s="807"/>
      <c r="M448" s="807"/>
      <c r="N448" s="807"/>
      <c r="O448" s="807"/>
      <c r="P448" s="807"/>
      <c r="Q448" s="807"/>
      <c r="R448" s="807"/>
      <c r="S448" s="807"/>
      <c r="T448" s="807"/>
      <c r="U448" s="807"/>
    </row>
    <row r="449">
      <c r="A449" s="807"/>
      <c r="B449" s="813"/>
      <c r="C449" s="813"/>
      <c r="D449" s="807"/>
      <c r="E449" s="807"/>
      <c r="F449" s="801"/>
      <c r="G449" s="801"/>
      <c r="H449" s="801"/>
      <c r="I449" s="801"/>
      <c r="J449" s="807"/>
      <c r="K449" s="807"/>
      <c r="L449" s="807"/>
      <c r="M449" s="807"/>
      <c r="N449" s="807"/>
      <c r="O449" s="807"/>
      <c r="P449" s="807"/>
      <c r="Q449" s="807"/>
      <c r="R449" s="807"/>
      <c r="S449" s="807"/>
      <c r="T449" s="807"/>
      <c r="U449" s="807"/>
    </row>
    <row r="450">
      <c r="A450" s="807"/>
      <c r="B450" s="813"/>
      <c r="C450" s="813"/>
      <c r="D450" s="807"/>
      <c r="E450" s="807"/>
      <c r="F450" s="801"/>
      <c r="G450" s="801"/>
      <c r="H450" s="801"/>
      <c r="I450" s="801"/>
      <c r="J450" s="807"/>
      <c r="K450" s="807"/>
      <c r="L450" s="807"/>
      <c r="M450" s="807"/>
      <c r="N450" s="807"/>
      <c r="O450" s="807"/>
      <c r="P450" s="807"/>
      <c r="Q450" s="807"/>
      <c r="R450" s="807"/>
      <c r="S450" s="807"/>
      <c r="T450" s="807"/>
      <c r="U450" s="807"/>
    </row>
    <row r="451">
      <c r="A451" s="807"/>
      <c r="B451" s="813"/>
      <c r="C451" s="813"/>
      <c r="D451" s="807"/>
      <c r="E451" s="807"/>
      <c r="F451" s="801"/>
      <c r="G451" s="801"/>
      <c r="H451" s="801"/>
      <c r="I451" s="801"/>
      <c r="J451" s="807"/>
      <c r="K451" s="807"/>
      <c r="L451" s="807"/>
      <c r="M451" s="807"/>
      <c r="N451" s="807"/>
      <c r="O451" s="807"/>
      <c r="P451" s="807"/>
      <c r="Q451" s="807"/>
      <c r="R451" s="807"/>
      <c r="S451" s="807"/>
      <c r="T451" s="807"/>
      <c r="U451" s="807"/>
    </row>
    <row r="452">
      <c r="A452" s="807"/>
      <c r="B452" s="813"/>
      <c r="C452" s="813"/>
      <c r="D452" s="807"/>
      <c r="E452" s="807"/>
      <c r="F452" s="801"/>
      <c r="G452" s="801"/>
      <c r="H452" s="801"/>
      <c r="I452" s="801"/>
      <c r="J452" s="807"/>
      <c r="K452" s="807"/>
      <c r="L452" s="807"/>
      <c r="M452" s="807"/>
      <c r="N452" s="807"/>
      <c r="O452" s="807"/>
      <c r="P452" s="807"/>
      <c r="Q452" s="807"/>
      <c r="R452" s="807"/>
      <c r="S452" s="807"/>
      <c r="T452" s="807"/>
      <c r="U452" s="807"/>
    </row>
    <row r="453">
      <c r="A453" s="807"/>
      <c r="B453" s="813"/>
      <c r="C453" s="813"/>
      <c r="D453" s="807"/>
      <c r="E453" s="807"/>
      <c r="F453" s="801"/>
      <c r="G453" s="801"/>
      <c r="H453" s="801"/>
      <c r="I453" s="801"/>
      <c r="J453" s="807"/>
      <c r="K453" s="807"/>
      <c r="L453" s="807"/>
      <c r="M453" s="807"/>
      <c r="N453" s="807"/>
      <c r="O453" s="807"/>
      <c r="P453" s="807"/>
      <c r="Q453" s="807"/>
      <c r="R453" s="807"/>
      <c r="S453" s="807"/>
      <c r="T453" s="807"/>
      <c r="U453" s="807"/>
    </row>
    <row r="454">
      <c r="A454" s="807"/>
      <c r="B454" s="813"/>
      <c r="C454" s="813"/>
      <c r="D454" s="807"/>
      <c r="E454" s="807"/>
      <c r="F454" s="801"/>
      <c r="G454" s="801"/>
      <c r="H454" s="801"/>
      <c r="I454" s="801"/>
      <c r="J454" s="807"/>
      <c r="K454" s="807"/>
      <c r="L454" s="807"/>
      <c r="M454" s="807"/>
      <c r="N454" s="807"/>
      <c r="O454" s="807"/>
      <c r="P454" s="807"/>
      <c r="Q454" s="807"/>
      <c r="R454" s="807"/>
      <c r="S454" s="807"/>
      <c r="T454" s="807"/>
      <c r="U454" s="807"/>
    </row>
    <row r="455">
      <c r="A455" s="807"/>
      <c r="B455" s="813"/>
      <c r="C455" s="813"/>
      <c r="D455" s="807"/>
      <c r="E455" s="807"/>
      <c r="F455" s="801"/>
      <c r="G455" s="801"/>
      <c r="H455" s="801"/>
      <c r="I455" s="801"/>
      <c r="J455" s="807"/>
      <c r="K455" s="807"/>
      <c r="L455" s="807"/>
      <c r="M455" s="807"/>
      <c r="N455" s="807"/>
      <c r="O455" s="807"/>
      <c r="P455" s="807"/>
      <c r="Q455" s="807"/>
      <c r="R455" s="807"/>
      <c r="S455" s="807"/>
      <c r="T455" s="807"/>
      <c r="U455" s="807"/>
    </row>
    <row r="456">
      <c r="A456" s="807"/>
      <c r="B456" s="813"/>
      <c r="C456" s="813"/>
      <c r="D456" s="807"/>
      <c r="E456" s="807"/>
      <c r="F456" s="801"/>
      <c r="G456" s="801"/>
      <c r="H456" s="801"/>
      <c r="I456" s="801"/>
      <c r="J456" s="807"/>
      <c r="K456" s="807"/>
      <c r="L456" s="807"/>
      <c r="M456" s="807"/>
      <c r="N456" s="807"/>
      <c r="O456" s="807"/>
      <c r="P456" s="807"/>
      <c r="Q456" s="807"/>
      <c r="R456" s="807"/>
      <c r="S456" s="807"/>
      <c r="T456" s="807"/>
      <c r="U456" s="807"/>
    </row>
    <row r="457">
      <c r="A457" s="807"/>
      <c r="B457" s="813"/>
      <c r="C457" s="813"/>
      <c r="D457" s="807"/>
      <c r="E457" s="807"/>
      <c r="F457" s="801"/>
      <c r="G457" s="801"/>
      <c r="H457" s="801"/>
      <c r="I457" s="801"/>
      <c r="J457" s="807"/>
      <c r="K457" s="807"/>
      <c r="L457" s="807"/>
      <c r="M457" s="807"/>
      <c r="N457" s="807"/>
      <c r="O457" s="807"/>
      <c r="P457" s="807"/>
      <c r="Q457" s="807"/>
      <c r="R457" s="807"/>
      <c r="S457" s="807"/>
      <c r="T457" s="807"/>
      <c r="U457" s="807"/>
    </row>
    <row r="458">
      <c r="A458" s="807"/>
      <c r="B458" s="813"/>
      <c r="C458" s="813"/>
      <c r="D458" s="807"/>
      <c r="E458" s="807"/>
      <c r="F458" s="801"/>
      <c r="G458" s="801"/>
      <c r="H458" s="801"/>
      <c r="I458" s="801"/>
      <c r="J458" s="807"/>
      <c r="K458" s="807"/>
      <c r="L458" s="807"/>
      <c r="M458" s="807"/>
      <c r="N458" s="807"/>
      <c r="O458" s="807"/>
      <c r="P458" s="807"/>
      <c r="Q458" s="807"/>
      <c r="R458" s="807"/>
      <c r="S458" s="807"/>
      <c r="T458" s="807"/>
      <c r="U458" s="807"/>
    </row>
    <row r="459">
      <c r="A459" s="807"/>
      <c r="B459" s="813"/>
      <c r="C459" s="813"/>
      <c r="D459" s="807"/>
      <c r="E459" s="807"/>
      <c r="F459" s="801"/>
      <c r="G459" s="801"/>
      <c r="H459" s="801"/>
      <c r="I459" s="801"/>
      <c r="J459" s="807"/>
      <c r="K459" s="807"/>
      <c r="L459" s="807"/>
      <c r="M459" s="807"/>
      <c r="N459" s="807"/>
      <c r="O459" s="807"/>
      <c r="P459" s="807"/>
      <c r="Q459" s="807"/>
      <c r="R459" s="807"/>
      <c r="S459" s="807"/>
      <c r="T459" s="807"/>
      <c r="U459" s="807"/>
    </row>
    <row r="460">
      <c r="A460" s="807"/>
      <c r="B460" s="813"/>
      <c r="C460" s="813"/>
      <c r="D460" s="807"/>
      <c r="E460" s="807"/>
      <c r="F460" s="801"/>
      <c r="G460" s="801"/>
      <c r="H460" s="801"/>
      <c r="I460" s="801"/>
      <c r="J460" s="807"/>
      <c r="K460" s="807"/>
      <c r="L460" s="807"/>
      <c r="M460" s="807"/>
      <c r="N460" s="807"/>
      <c r="O460" s="807"/>
      <c r="P460" s="807"/>
      <c r="Q460" s="807"/>
      <c r="R460" s="807"/>
      <c r="S460" s="807"/>
      <c r="T460" s="807"/>
      <c r="U460" s="807"/>
    </row>
    <row r="461">
      <c r="A461" s="807"/>
      <c r="B461" s="813"/>
      <c r="C461" s="813"/>
      <c r="D461" s="807"/>
      <c r="E461" s="807"/>
      <c r="F461" s="801"/>
      <c r="G461" s="801"/>
      <c r="H461" s="801"/>
      <c r="I461" s="801"/>
      <c r="J461" s="807"/>
      <c r="K461" s="807"/>
      <c r="L461" s="807"/>
      <c r="M461" s="807"/>
      <c r="N461" s="807"/>
      <c r="O461" s="807"/>
      <c r="P461" s="807"/>
      <c r="Q461" s="807"/>
      <c r="R461" s="807"/>
      <c r="S461" s="807"/>
      <c r="T461" s="807"/>
      <c r="U461" s="807"/>
    </row>
    <row r="462">
      <c r="A462" s="807"/>
      <c r="B462" s="813"/>
      <c r="C462" s="813"/>
      <c r="D462" s="807"/>
      <c r="E462" s="807"/>
      <c r="F462" s="801"/>
      <c r="G462" s="801"/>
      <c r="H462" s="801"/>
      <c r="I462" s="801"/>
      <c r="J462" s="807"/>
      <c r="K462" s="807"/>
      <c r="L462" s="807"/>
      <c r="M462" s="807"/>
      <c r="N462" s="807"/>
      <c r="O462" s="807"/>
      <c r="P462" s="807"/>
      <c r="Q462" s="807"/>
      <c r="R462" s="807"/>
      <c r="S462" s="807"/>
      <c r="T462" s="807"/>
      <c r="U462" s="807"/>
    </row>
    <row r="463">
      <c r="A463" s="807"/>
      <c r="B463" s="813"/>
      <c r="C463" s="813"/>
      <c r="D463" s="807"/>
      <c r="E463" s="807"/>
      <c r="F463" s="801"/>
      <c r="G463" s="801"/>
      <c r="H463" s="801"/>
      <c r="I463" s="801"/>
      <c r="J463" s="807"/>
      <c r="K463" s="807"/>
      <c r="L463" s="807"/>
      <c r="M463" s="807"/>
      <c r="N463" s="807"/>
      <c r="O463" s="807"/>
      <c r="P463" s="807"/>
      <c r="Q463" s="807"/>
      <c r="R463" s="807"/>
      <c r="S463" s="807"/>
      <c r="T463" s="807"/>
      <c r="U463" s="807"/>
    </row>
    <row r="464">
      <c r="A464" s="807"/>
      <c r="B464" s="813"/>
      <c r="C464" s="813"/>
      <c r="D464" s="807"/>
      <c r="E464" s="807"/>
      <c r="F464" s="801"/>
      <c r="G464" s="801"/>
      <c r="H464" s="801"/>
      <c r="I464" s="801"/>
      <c r="J464" s="807"/>
      <c r="K464" s="807"/>
      <c r="L464" s="807"/>
      <c r="M464" s="807"/>
      <c r="N464" s="807"/>
      <c r="O464" s="807"/>
      <c r="P464" s="807"/>
      <c r="Q464" s="807"/>
      <c r="R464" s="807"/>
      <c r="S464" s="807"/>
      <c r="T464" s="807"/>
      <c r="U464" s="807"/>
    </row>
    <row r="465">
      <c r="A465" s="807"/>
      <c r="B465" s="813"/>
      <c r="C465" s="813"/>
      <c r="D465" s="807"/>
      <c r="E465" s="807"/>
      <c r="F465" s="801"/>
      <c r="G465" s="801"/>
      <c r="H465" s="801"/>
      <c r="I465" s="801"/>
      <c r="J465" s="807"/>
      <c r="K465" s="807"/>
      <c r="L465" s="807"/>
      <c r="M465" s="807"/>
      <c r="N465" s="807"/>
      <c r="O465" s="807"/>
      <c r="P465" s="807"/>
      <c r="Q465" s="807"/>
      <c r="R465" s="807"/>
      <c r="S465" s="807"/>
      <c r="T465" s="807"/>
      <c r="U465" s="807"/>
    </row>
    <row r="466">
      <c r="A466" s="807"/>
      <c r="B466" s="813"/>
      <c r="C466" s="813"/>
      <c r="D466" s="807"/>
      <c r="E466" s="807"/>
      <c r="F466" s="801"/>
      <c r="G466" s="801"/>
      <c r="H466" s="801"/>
      <c r="I466" s="801"/>
      <c r="J466" s="807"/>
      <c r="K466" s="807"/>
      <c r="L466" s="807"/>
      <c r="M466" s="807"/>
      <c r="N466" s="807"/>
      <c r="O466" s="807"/>
      <c r="P466" s="807"/>
      <c r="Q466" s="807"/>
      <c r="R466" s="807"/>
      <c r="S466" s="807"/>
      <c r="T466" s="807"/>
      <c r="U466" s="807"/>
    </row>
    <row r="467">
      <c r="A467" s="807"/>
      <c r="B467" s="813"/>
      <c r="C467" s="813"/>
      <c r="D467" s="807"/>
      <c r="E467" s="807"/>
      <c r="F467" s="801"/>
      <c r="G467" s="801"/>
      <c r="H467" s="801"/>
      <c r="I467" s="801"/>
      <c r="J467" s="807"/>
      <c r="K467" s="807"/>
      <c r="L467" s="807"/>
      <c r="M467" s="807"/>
      <c r="N467" s="807"/>
      <c r="O467" s="807"/>
      <c r="P467" s="807"/>
      <c r="Q467" s="807"/>
      <c r="R467" s="807"/>
      <c r="S467" s="807"/>
      <c r="T467" s="807"/>
      <c r="U467" s="807"/>
    </row>
    <row r="468">
      <c r="A468" s="807"/>
      <c r="B468" s="813"/>
      <c r="C468" s="813"/>
      <c r="D468" s="807"/>
      <c r="E468" s="807"/>
      <c r="F468" s="801"/>
      <c r="G468" s="801"/>
      <c r="H468" s="801"/>
      <c r="I468" s="801"/>
      <c r="J468" s="807"/>
      <c r="K468" s="807"/>
      <c r="L468" s="807"/>
      <c r="M468" s="807"/>
      <c r="N468" s="807"/>
      <c r="O468" s="807"/>
      <c r="P468" s="807"/>
      <c r="Q468" s="807"/>
      <c r="R468" s="807"/>
      <c r="S468" s="807"/>
      <c r="T468" s="807"/>
      <c r="U468" s="807"/>
    </row>
    <row r="469">
      <c r="A469" s="807"/>
      <c r="B469" s="813"/>
      <c r="C469" s="813"/>
      <c r="D469" s="807"/>
      <c r="E469" s="807"/>
      <c r="F469" s="801"/>
      <c r="G469" s="801"/>
      <c r="H469" s="801"/>
      <c r="I469" s="801"/>
      <c r="J469" s="807"/>
      <c r="K469" s="807"/>
      <c r="L469" s="807"/>
      <c r="M469" s="807"/>
      <c r="N469" s="807"/>
      <c r="O469" s="807"/>
      <c r="P469" s="807"/>
      <c r="Q469" s="807"/>
      <c r="R469" s="807"/>
      <c r="S469" s="807"/>
      <c r="T469" s="807"/>
      <c r="U469" s="807"/>
    </row>
    <row r="470">
      <c r="A470" s="807"/>
      <c r="B470" s="813"/>
      <c r="C470" s="813"/>
      <c r="D470" s="807"/>
      <c r="E470" s="807"/>
      <c r="F470" s="801"/>
      <c r="G470" s="801"/>
      <c r="H470" s="801"/>
      <c r="I470" s="801"/>
      <c r="J470" s="807"/>
      <c r="K470" s="807"/>
      <c r="L470" s="807"/>
      <c r="M470" s="807"/>
      <c r="N470" s="807"/>
      <c r="O470" s="807"/>
      <c r="P470" s="807"/>
      <c r="Q470" s="807"/>
      <c r="R470" s="807"/>
      <c r="S470" s="807"/>
      <c r="T470" s="807"/>
      <c r="U470" s="807"/>
    </row>
    <row r="471">
      <c r="A471" s="807"/>
      <c r="B471" s="813"/>
      <c r="C471" s="813"/>
      <c r="D471" s="807"/>
      <c r="E471" s="807"/>
      <c r="F471" s="801"/>
      <c r="G471" s="801"/>
      <c r="H471" s="801"/>
      <c r="I471" s="801"/>
      <c r="J471" s="807"/>
      <c r="K471" s="807"/>
      <c r="L471" s="807"/>
      <c r="M471" s="807"/>
      <c r="N471" s="807"/>
      <c r="O471" s="807"/>
      <c r="P471" s="807"/>
      <c r="Q471" s="807"/>
      <c r="R471" s="807"/>
      <c r="S471" s="807"/>
      <c r="T471" s="807"/>
      <c r="U471" s="807"/>
    </row>
    <row r="472">
      <c r="A472" s="807"/>
      <c r="B472" s="813"/>
      <c r="C472" s="813"/>
      <c r="D472" s="807"/>
      <c r="E472" s="807"/>
      <c r="F472" s="801"/>
      <c r="G472" s="801"/>
      <c r="H472" s="801"/>
      <c r="I472" s="801"/>
      <c r="J472" s="807"/>
      <c r="K472" s="807"/>
      <c r="L472" s="807"/>
      <c r="M472" s="807"/>
      <c r="N472" s="807"/>
      <c r="O472" s="807"/>
      <c r="P472" s="807"/>
      <c r="Q472" s="807"/>
      <c r="R472" s="807"/>
      <c r="S472" s="807"/>
      <c r="T472" s="807"/>
      <c r="U472" s="807"/>
    </row>
    <row r="473">
      <c r="A473" s="807"/>
      <c r="B473" s="813"/>
      <c r="C473" s="813"/>
      <c r="D473" s="807"/>
      <c r="E473" s="807"/>
      <c r="F473" s="801"/>
      <c r="G473" s="801"/>
      <c r="H473" s="801"/>
      <c r="I473" s="801"/>
      <c r="J473" s="807"/>
      <c r="K473" s="807"/>
      <c r="L473" s="807"/>
      <c r="M473" s="807"/>
      <c r="N473" s="807"/>
      <c r="O473" s="807"/>
      <c r="P473" s="807"/>
      <c r="Q473" s="807"/>
      <c r="R473" s="807"/>
      <c r="S473" s="807"/>
      <c r="T473" s="807"/>
      <c r="U473" s="807"/>
    </row>
    <row r="474">
      <c r="A474" s="807"/>
      <c r="B474" s="813"/>
      <c r="C474" s="813"/>
      <c r="D474" s="807"/>
      <c r="E474" s="807"/>
      <c r="F474" s="801"/>
      <c r="G474" s="801"/>
      <c r="H474" s="801"/>
      <c r="I474" s="801"/>
      <c r="J474" s="807"/>
      <c r="K474" s="807"/>
      <c r="L474" s="807"/>
      <c r="M474" s="807"/>
      <c r="N474" s="807"/>
      <c r="O474" s="807"/>
      <c r="P474" s="807"/>
      <c r="Q474" s="807"/>
      <c r="R474" s="807"/>
      <c r="S474" s="807"/>
      <c r="T474" s="807"/>
      <c r="U474" s="807"/>
    </row>
    <row r="475">
      <c r="A475" s="807"/>
      <c r="B475" s="813"/>
      <c r="C475" s="813"/>
      <c r="D475" s="807"/>
      <c r="E475" s="807"/>
      <c r="F475" s="801"/>
      <c r="G475" s="801"/>
      <c r="H475" s="801"/>
      <c r="I475" s="801"/>
      <c r="J475" s="807"/>
      <c r="K475" s="807"/>
      <c r="L475" s="807"/>
      <c r="M475" s="807"/>
      <c r="N475" s="807"/>
      <c r="O475" s="807"/>
      <c r="P475" s="807"/>
      <c r="Q475" s="807"/>
      <c r="R475" s="807"/>
      <c r="S475" s="807"/>
      <c r="T475" s="807"/>
      <c r="U475" s="807"/>
    </row>
    <row r="476">
      <c r="A476" s="807"/>
      <c r="B476" s="813"/>
      <c r="C476" s="813"/>
      <c r="D476" s="807"/>
      <c r="E476" s="807"/>
      <c r="F476" s="801"/>
      <c r="G476" s="801"/>
      <c r="H476" s="801"/>
      <c r="I476" s="801"/>
      <c r="J476" s="807"/>
      <c r="K476" s="807"/>
      <c r="L476" s="807"/>
      <c r="M476" s="807"/>
      <c r="N476" s="807"/>
      <c r="O476" s="807"/>
      <c r="P476" s="807"/>
      <c r="Q476" s="807"/>
      <c r="R476" s="807"/>
      <c r="S476" s="807"/>
      <c r="T476" s="807"/>
      <c r="U476" s="807"/>
    </row>
    <row r="477">
      <c r="A477" s="807"/>
      <c r="B477" s="813"/>
      <c r="C477" s="813"/>
      <c r="D477" s="807"/>
      <c r="E477" s="807"/>
      <c r="F477" s="801"/>
      <c r="G477" s="801"/>
      <c r="H477" s="801"/>
      <c r="I477" s="801"/>
      <c r="J477" s="807"/>
      <c r="K477" s="807"/>
      <c r="L477" s="807"/>
      <c r="M477" s="807"/>
      <c r="N477" s="807"/>
      <c r="O477" s="807"/>
      <c r="P477" s="807"/>
      <c r="Q477" s="807"/>
      <c r="R477" s="807"/>
      <c r="S477" s="807"/>
      <c r="T477" s="807"/>
      <c r="U477" s="807"/>
    </row>
    <row r="478">
      <c r="A478" s="807"/>
      <c r="B478" s="813"/>
      <c r="C478" s="813"/>
      <c r="D478" s="807"/>
      <c r="E478" s="807"/>
      <c r="F478" s="801"/>
      <c r="G478" s="801"/>
      <c r="H478" s="801"/>
      <c r="I478" s="801"/>
      <c r="J478" s="807"/>
      <c r="K478" s="807"/>
      <c r="L478" s="807"/>
      <c r="M478" s="807"/>
      <c r="N478" s="807"/>
      <c r="O478" s="807"/>
      <c r="P478" s="807"/>
      <c r="Q478" s="807"/>
      <c r="R478" s="807"/>
      <c r="S478" s="807"/>
      <c r="T478" s="807"/>
      <c r="U478" s="807"/>
    </row>
    <row r="479">
      <c r="A479" s="807"/>
      <c r="B479" s="813"/>
      <c r="C479" s="813"/>
      <c r="D479" s="807"/>
      <c r="E479" s="807"/>
      <c r="F479" s="801"/>
      <c r="G479" s="801"/>
      <c r="H479" s="801"/>
      <c r="I479" s="801"/>
      <c r="J479" s="807"/>
      <c r="K479" s="807"/>
      <c r="L479" s="807"/>
      <c r="M479" s="807"/>
      <c r="N479" s="807"/>
      <c r="O479" s="807"/>
      <c r="P479" s="807"/>
      <c r="Q479" s="807"/>
      <c r="R479" s="807"/>
      <c r="S479" s="807"/>
      <c r="T479" s="807"/>
      <c r="U479" s="807"/>
    </row>
    <row r="480">
      <c r="A480" s="807"/>
      <c r="B480" s="813"/>
      <c r="C480" s="813"/>
      <c r="D480" s="807"/>
      <c r="E480" s="807"/>
      <c r="F480" s="801"/>
      <c r="G480" s="801"/>
      <c r="H480" s="801"/>
      <c r="I480" s="801"/>
      <c r="J480" s="807"/>
      <c r="K480" s="807"/>
      <c r="L480" s="807"/>
      <c r="M480" s="807"/>
      <c r="N480" s="807"/>
      <c r="O480" s="807"/>
      <c r="P480" s="807"/>
      <c r="Q480" s="807"/>
      <c r="R480" s="807"/>
      <c r="S480" s="807"/>
      <c r="T480" s="807"/>
      <c r="U480" s="807"/>
    </row>
    <row r="481">
      <c r="A481" s="807"/>
      <c r="B481" s="813"/>
      <c r="C481" s="813"/>
      <c r="D481" s="807"/>
      <c r="E481" s="807"/>
      <c r="F481" s="801"/>
      <c r="G481" s="801"/>
      <c r="H481" s="801"/>
      <c r="I481" s="801"/>
      <c r="J481" s="807"/>
      <c r="K481" s="807"/>
      <c r="L481" s="807"/>
      <c r="M481" s="807"/>
      <c r="N481" s="807"/>
      <c r="O481" s="807"/>
      <c r="P481" s="807"/>
      <c r="Q481" s="807"/>
      <c r="R481" s="807"/>
      <c r="S481" s="807"/>
      <c r="T481" s="807"/>
      <c r="U481" s="807"/>
    </row>
    <row r="482">
      <c r="A482" s="807"/>
      <c r="B482" s="813"/>
      <c r="C482" s="813"/>
      <c r="D482" s="807"/>
      <c r="E482" s="807"/>
      <c r="F482" s="801"/>
      <c r="G482" s="801"/>
      <c r="H482" s="801"/>
      <c r="I482" s="801"/>
      <c r="J482" s="807"/>
      <c r="K482" s="807"/>
      <c r="L482" s="807"/>
      <c r="M482" s="807"/>
      <c r="N482" s="807"/>
      <c r="O482" s="807"/>
      <c r="P482" s="807"/>
      <c r="Q482" s="807"/>
      <c r="R482" s="807"/>
      <c r="S482" s="807"/>
      <c r="T482" s="807"/>
      <c r="U482" s="807"/>
    </row>
    <row r="483">
      <c r="A483" s="807"/>
      <c r="B483" s="813"/>
      <c r="C483" s="813"/>
      <c r="D483" s="807"/>
      <c r="E483" s="807"/>
      <c r="F483" s="801"/>
      <c r="G483" s="801"/>
      <c r="H483" s="801"/>
      <c r="I483" s="801"/>
      <c r="J483" s="807"/>
      <c r="K483" s="807"/>
      <c r="L483" s="807"/>
      <c r="M483" s="807"/>
      <c r="N483" s="807"/>
      <c r="O483" s="807"/>
      <c r="P483" s="807"/>
      <c r="Q483" s="807"/>
      <c r="R483" s="807"/>
      <c r="S483" s="807"/>
      <c r="T483" s="807"/>
      <c r="U483" s="807"/>
    </row>
    <row r="484">
      <c r="A484" s="807"/>
      <c r="B484" s="813"/>
      <c r="C484" s="813"/>
      <c r="D484" s="807"/>
      <c r="E484" s="807"/>
      <c r="F484" s="801"/>
      <c r="G484" s="801"/>
      <c r="H484" s="801"/>
      <c r="I484" s="801"/>
      <c r="J484" s="807"/>
      <c r="K484" s="807"/>
      <c r="L484" s="807"/>
      <c r="M484" s="807"/>
      <c r="N484" s="807"/>
      <c r="O484" s="807"/>
      <c r="P484" s="807"/>
      <c r="Q484" s="807"/>
      <c r="R484" s="807"/>
      <c r="S484" s="807"/>
      <c r="T484" s="807"/>
      <c r="U484" s="807"/>
    </row>
    <row r="485">
      <c r="A485" s="807"/>
      <c r="B485" s="813"/>
      <c r="C485" s="813"/>
      <c r="D485" s="807"/>
      <c r="E485" s="807"/>
      <c r="F485" s="801"/>
      <c r="G485" s="801"/>
      <c r="H485" s="801"/>
      <c r="I485" s="801"/>
      <c r="J485" s="807"/>
      <c r="K485" s="807"/>
      <c r="L485" s="807"/>
      <c r="M485" s="807"/>
      <c r="N485" s="807"/>
      <c r="O485" s="807"/>
      <c r="P485" s="807"/>
      <c r="Q485" s="807"/>
      <c r="R485" s="807"/>
      <c r="S485" s="807"/>
      <c r="T485" s="807"/>
      <c r="U485" s="807"/>
    </row>
    <row r="486">
      <c r="A486" s="807"/>
      <c r="B486" s="813"/>
      <c r="C486" s="813"/>
      <c r="D486" s="807"/>
      <c r="E486" s="807"/>
      <c r="F486" s="801"/>
      <c r="G486" s="801"/>
      <c r="H486" s="801"/>
      <c r="I486" s="801"/>
      <c r="J486" s="807"/>
      <c r="K486" s="807"/>
      <c r="L486" s="807"/>
      <c r="M486" s="807"/>
      <c r="N486" s="807"/>
      <c r="O486" s="807"/>
      <c r="P486" s="807"/>
      <c r="Q486" s="807"/>
      <c r="R486" s="807"/>
      <c r="S486" s="807"/>
      <c r="T486" s="807"/>
      <c r="U486" s="807"/>
    </row>
    <row r="487">
      <c r="A487" s="807"/>
      <c r="B487" s="813"/>
      <c r="C487" s="813"/>
      <c r="D487" s="807"/>
      <c r="E487" s="807"/>
      <c r="F487" s="801"/>
      <c r="G487" s="801"/>
      <c r="H487" s="801"/>
      <c r="I487" s="801"/>
      <c r="J487" s="807"/>
      <c r="K487" s="807"/>
      <c r="L487" s="807"/>
      <c r="M487" s="807"/>
      <c r="N487" s="807"/>
      <c r="O487" s="807"/>
      <c r="P487" s="807"/>
      <c r="Q487" s="807"/>
      <c r="R487" s="807"/>
      <c r="S487" s="807"/>
      <c r="T487" s="807"/>
      <c r="U487" s="807"/>
    </row>
    <row r="488">
      <c r="A488" s="807"/>
      <c r="B488" s="813"/>
      <c r="C488" s="813"/>
      <c r="D488" s="807"/>
      <c r="E488" s="807"/>
      <c r="F488" s="801"/>
      <c r="G488" s="801"/>
      <c r="H488" s="801"/>
      <c r="I488" s="801"/>
      <c r="J488" s="807"/>
      <c r="K488" s="807"/>
      <c r="L488" s="807"/>
      <c r="M488" s="807"/>
      <c r="N488" s="807"/>
      <c r="O488" s="807"/>
      <c r="P488" s="807"/>
      <c r="Q488" s="807"/>
      <c r="R488" s="807"/>
      <c r="S488" s="807"/>
      <c r="T488" s="807"/>
      <c r="U488" s="807"/>
    </row>
    <row r="489">
      <c r="A489" s="807"/>
      <c r="B489" s="813"/>
      <c r="C489" s="813"/>
      <c r="D489" s="807"/>
      <c r="E489" s="807"/>
      <c r="F489" s="801"/>
      <c r="G489" s="801"/>
      <c r="H489" s="801"/>
      <c r="I489" s="801"/>
      <c r="J489" s="807"/>
      <c r="K489" s="807"/>
      <c r="L489" s="807"/>
      <c r="M489" s="807"/>
      <c r="N489" s="807"/>
      <c r="O489" s="807"/>
      <c r="P489" s="807"/>
      <c r="Q489" s="807"/>
      <c r="R489" s="807"/>
      <c r="S489" s="807"/>
      <c r="T489" s="807"/>
      <c r="U489" s="807"/>
    </row>
    <row r="490">
      <c r="A490" s="807"/>
      <c r="B490" s="813"/>
      <c r="C490" s="813"/>
      <c r="D490" s="807"/>
      <c r="E490" s="807"/>
      <c r="F490" s="801"/>
      <c r="G490" s="801"/>
      <c r="H490" s="801"/>
      <c r="I490" s="801"/>
      <c r="J490" s="807"/>
      <c r="K490" s="807"/>
      <c r="L490" s="807"/>
      <c r="M490" s="807"/>
      <c r="N490" s="807"/>
      <c r="O490" s="807"/>
      <c r="P490" s="807"/>
      <c r="Q490" s="807"/>
      <c r="R490" s="807"/>
      <c r="S490" s="807"/>
      <c r="T490" s="807"/>
      <c r="U490" s="807"/>
    </row>
    <row r="491">
      <c r="A491" s="807"/>
      <c r="B491" s="813"/>
      <c r="C491" s="813"/>
      <c r="D491" s="807"/>
      <c r="E491" s="807"/>
      <c r="F491" s="801"/>
      <c r="G491" s="801"/>
      <c r="H491" s="801"/>
      <c r="I491" s="801"/>
      <c r="J491" s="807"/>
      <c r="K491" s="807"/>
      <c r="L491" s="807"/>
      <c r="M491" s="807"/>
      <c r="N491" s="807"/>
      <c r="O491" s="807"/>
      <c r="P491" s="807"/>
      <c r="Q491" s="807"/>
      <c r="R491" s="807"/>
      <c r="S491" s="807"/>
      <c r="T491" s="807"/>
      <c r="U491" s="807"/>
    </row>
    <row r="492">
      <c r="A492" s="807"/>
      <c r="B492" s="813"/>
      <c r="C492" s="813"/>
      <c r="D492" s="807"/>
      <c r="E492" s="807"/>
      <c r="F492" s="801"/>
      <c r="G492" s="801"/>
      <c r="H492" s="801"/>
      <c r="I492" s="801"/>
      <c r="J492" s="807"/>
      <c r="K492" s="807"/>
      <c r="L492" s="807"/>
      <c r="M492" s="807"/>
      <c r="N492" s="807"/>
      <c r="O492" s="807"/>
      <c r="P492" s="807"/>
      <c r="Q492" s="807"/>
      <c r="R492" s="807"/>
      <c r="S492" s="807"/>
      <c r="T492" s="807"/>
      <c r="U492" s="807"/>
    </row>
    <row r="493">
      <c r="A493" s="807"/>
      <c r="B493" s="813"/>
      <c r="C493" s="813"/>
      <c r="D493" s="807"/>
      <c r="E493" s="807"/>
      <c r="F493" s="801"/>
      <c r="G493" s="801"/>
      <c r="H493" s="801"/>
      <c r="I493" s="801"/>
      <c r="J493" s="807"/>
      <c r="K493" s="807"/>
      <c r="L493" s="807"/>
      <c r="M493" s="807"/>
      <c r="N493" s="807"/>
      <c r="O493" s="807"/>
      <c r="P493" s="807"/>
      <c r="Q493" s="807"/>
      <c r="R493" s="807"/>
      <c r="S493" s="807"/>
      <c r="T493" s="807"/>
      <c r="U493" s="807"/>
    </row>
    <row r="494">
      <c r="A494" s="807"/>
      <c r="B494" s="813"/>
      <c r="C494" s="813"/>
      <c r="D494" s="807"/>
      <c r="E494" s="807"/>
      <c r="F494" s="801"/>
      <c r="G494" s="801"/>
      <c r="H494" s="801"/>
      <c r="I494" s="801"/>
      <c r="J494" s="807"/>
      <c r="K494" s="807"/>
      <c r="L494" s="807"/>
      <c r="M494" s="807"/>
      <c r="N494" s="807"/>
      <c r="O494" s="807"/>
      <c r="P494" s="807"/>
      <c r="Q494" s="807"/>
      <c r="R494" s="807"/>
      <c r="S494" s="807"/>
      <c r="T494" s="807"/>
      <c r="U494" s="807"/>
    </row>
    <row r="495">
      <c r="A495" s="807"/>
      <c r="B495" s="813"/>
      <c r="C495" s="813"/>
      <c r="D495" s="807"/>
      <c r="E495" s="807"/>
      <c r="F495" s="801"/>
      <c r="G495" s="801"/>
      <c r="H495" s="801"/>
      <c r="I495" s="801"/>
      <c r="J495" s="807"/>
      <c r="K495" s="807"/>
      <c r="L495" s="807"/>
      <c r="M495" s="807"/>
      <c r="N495" s="807"/>
      <c r="O495" s="807"/>
      <c r="P495" s="807"/>
      <c r="Q495" s="807"/>
      <c r="R495" s="807"/>
      <c r="S495" s="807"/>
      <c r="T495" s="807"/>
      <c r="U495" s="807"/>
    </row>
    <row r="496">
      <c r="A496" s="807"/>
      <c r="B496" s="813"/>
      <c r="C496" s="813"/>
      <c r="D496" s="807"/>
      <c r="E496" s="807"/>
      <c r="F496" s="801"/>
      <c r="G496" s="801"/>
      <c r="H496" s="801"/>
      <c r="I496" s="801"/>
      <c r="J496" s="807"/>
      <c r="K496" s="807"/>
      <c r="L496" s="807"/>
      <c r="M496" s="807"/>
      <c r="N496" s="807"/>
      <c r="O496" s="807"/>
      <c r="P496" s="807"/>
      <c r="Q496" s="807"/>
      <c r="R496" s="807"/>
      <c r="S496" s="807"/>
      <c r="T496" s="807"/>
      <c r="U496" s="807"/>
    </row>
    <row r="497">
      <c r="A497" s="807"/>
      <c r="B497" s="813"/>
      <c r="C497" s="813"/>
      <c r="D497" s="807"/>
      <c r="E497" s="807"/>
      <c r="F497" s="801"/>
      <c r="G497" s="801"/>
      <c r="H497" s="801"/>
      <c r="I497" s="801"/>
      <c r="J497" s="807"/>
      <c r="K497" s="807"/>
      <c r="L497" s="807"/>
      <c r="M497" s="807"/>
      <c r="N497" s="807"/>
      <c r="O497" s="807"/>
      <c r="P497" s="807"/>
      <c r="Q497" s="807"/>
      <c r="R497" s="807"/>
      <c r="S497" s="807"/>
      <c r="T497" s="807"/>
      <c r="U497" s="807"/>
    </row>
    <row r="498">
      <c r="A498" s="807"/>
      <c r="B498" s="813"/>
      <c r="C498" s="813"/>
      <c r="D498" s="807"/>
      <c r="E498" s="807"/>
      <c r="F498" s="801"/>
      <c r="G498" s="801"/>
      <c r="H498" s="801"/>
      <c r="I498" s="801"/>
      <c r="J498" s="807"/>
      <c r="K498" s="807"/>
      <c r="L498" s="807"/>
      <c r="M498" s="807"/>
      <c r="N498" s="807"/>
      <c r="O498" s="807"/>
      <c r="P498" s="807"/>
      <c r="Q498" s="807"/>
      <c r="R498" s="807"/>
      <c r="S498" s="807"/>
      <c r="T498" s="807"/>
      <c r="U498" s="807"/>
    </row>
    <row r="499">
      <c r="A499" s="807"/>
      <c r="B499" s="813"/>
      <c r="C499" s="813"/>
      <c r="D499" s="807"/>
      <c r="E499" s="807"/>
      <c r="F499" s="801"/>
      <c r="G499" s="801"/>
      <c r="H499" s="801"/>
      <c r="I499" s="801"/>
      <c r="J499" s="807"/>
      <c r="K499" s="807"/>
      <c r="L499" s="807"/>
      <c r="M499" s="807"/>
      <c r="N499" s="807"/>
      <c r="O499" s="807"/>
      <c r="P499" s="807"/>
      <c r="Q499" s="807"/>
      <c r="R499" s="807"/>
      <c r="S499" s="807"/>
      <c r="T499" s="807"/>
      <c r="U499" s="807"/>
    </row>
    <row r="500">
      <c r="A500" s="807"/>
      <c r="B500" s="813"/>
      <c r="C500" s="813"/>
      <c r="D500" s="807"/>
      <c r="E500" s="807"/>
      <c r="F500" s="801"/>
      <c r="G500" s="801"/>
      <c r="H500" s="801"/>
      <c r="I500" s="801"/>
      <c r="J500" s="807"/>
      <c r="K500" s="807"/>
      <c r="L500" s="807"/>
      <c r="M500" s="807"/>
      <c r="N500" s="807"/>
      <c r="O500" s="807"/>
      <c r="P500" s="807"/>
      <c r="Q500" s="807"/>
      <c r="R500" s="807"/>
      <c r="S500" s="807"/>
      <c r="T500" s="807"/>
      <c r="U500" s="807"/>
    </row>
    <row r="501">
      <c r="A501" s="807"/>
      <c r="B501" s="813"/>
      <c r="C501" s="813"/>
      <c r="D501" s="807"/>
      <c r="E501" s="807"/>
      <c r="F501" s="801"/>
      <c r="G501" s="801"/>
      <c r="H501" s="801"/>
      <c r="I501" s="801"/>
      <c r="J501" s="807"/>
      <c r="K501" s="807"/>
      <c r="L501" s="807"/>
      <c r="M501" s="807"/>
      <c r="N501" s="807"/>
      <c r="O501" s="807"/>
      <c r="P501" s="807"/>
      <c r="Q501" s="807"/>
      <c r="R501" s="807"/>
      <c r="S501" s="807"/>
      <c r="T501" s="807"/>
      <c r="U501" s="807"/>
    </row>
    <row r="502">
      <c r="A502" s="807"/>
      <c r="B502" s="813"/>
      <c r="C502" s="813"/>
      <c r="D502" s="807"/>
      <c r="E502" s="807"/>
      <c r="F502" s="801"/>
      <c r="G502" s="801"/>
      <c r="H502" s="801"/>
      <c r="I502" s="801"/>
      <c r="J502" s="807"/>
      <c r="K502" s="807"/>
      <c r="L502" s="807"/>
      <c r="M502" s="807"/>
      <c r="N502" s="807"/>
      <c r="O502" s="807"/>
      <c r="P502" s="807"/>
      <c r="Q502" s="807"/>
      <c r="R502" s="807"/>
      <c r="S502" s="807"/>
      <c r="T502" s="807"/>
      <c r="U502" s="807"/>
    </row>
    <row r="503">
      <c r="A503" s="807"/>
      <c r="B503" s="813"/>
      <c r="C503" s="813"/>
      <c r="D503" s="807"/>
      <c r="E503" s="807"/>
      <c r="F503" s="801"/>
      <c r="G503" s="801"/>
      <c r="H503" s="801"/>
      <c r="I503" s="801"/>
      <c r="J503" s="807"/>
      <c r="K503" s="807"/>
      <c r="L503" s="807"/>
      <c r="M503" s="807"/>
      <c r="N503" s="807"/>
      <c r="O503" s="807"/>
      <c r="P503" s="807"/>
      <c r="Q503" s="807"/>
      <c r="R503" s="807"/>
      <c r="S503" s="807"/>
      <c r="T503" s="807"/>
      <c r="U503" s="807"/>
    </row>
    <row r="504">
      <c r="A504" s="807"/>
      <c r="B504" s="813"/>
      <c r="C504" s="813"/>
      <c r="D504" s="807"/>
      <c r="E504" s="807"/>
      <c r="F504" s="801"/>
      <c r="G504" s="801"/>
      <c r="H504" s="801"/>
      <c r="I504" s="801"/>
      <c r="J504" s="807"/>
      <c r="K504" s="807"/>
      <c r="L504" s="807"/>
      <c r="M504" s="807"/>
      <c r="N504" s="807"/>
      <c r="O504" s="807"/>
      <c r="P504" s="807"/>
      <c r="Q504" s="807"/>
      <c r="R504" s="807"/>
      <c r="S504" s="807"/>
      <c r="T504" s="807"/>
      <c r="U504" s="807"/>
    </row>
    <row r="505">
      <c r="A505" s="807"/>
      <c r="B505" s="813"/>
      <c r="C505" s="813"/>
      <c r="D505" s="807"/>
      <c r="E505" s="807"/>
      <c r="F505" s="801"/>
      <c r="G505" s="801"/>
      <c r="H505" s="801"/>
      <c r="I505" s="801"/>
      <c r="J505" s="807"/>
      <c r="K505" s="807"/>
      <c r="L505" s="807"/>
      <c r="M505" s="807"/>
      <c r="N505" s="807"/>
      <c r="O505" s="807"/>
      <c r="P505" s="807"/>
      <c r="Q505" s="807"/>
      <c r="R505" s="807"/>
      <c r="S505" s="807"/>
      <c r="T505" s="807"/>
      <c r="U505" s="807"/>
    </row>
    <row r="506">
      <c r="A506" s="807"/>
      <c r="B506" s="813"/>
      <c r="C506" s="813"/>
      <c r="D506" s="807"/>
      <c r="E506" s="807"/>
      <c r="F506" s="801"/>
      <c r="G506" s="801"/>
      <c r="H506" s="801"/>
      <c r="I506" s="801"/>
      <c r="J506" s="807"/>
      <c r="K506" s="807"/>
      <c r="L506" s="807"/>
      <c r="M506" s="807"/>
      <c r="N506" s="807"/>
      <c r="O506" s="807"/>
      <c r="P506" s="807"/>
      <c r="Q506" s="807"/>
      <c r="R506" s="807"/>
      <c r="S506" s="807"/>
      <c r="T506" s="807"/>
      <c r="U506" s="807"/>
    </row>
    <row r="507">
      <c r="A507" s="807"/>
      <c r="B507" s="813"/>
      <c r="C507" s="813"/>
      <c r="D507" s="807"/>
      <c r="E507" s="807"/>
      <c r="F507" s="801"/>
      <c r="G507" s="801"/>
      <c r="H507" s="801"/>
      <c r="I507" s="801"/>
      <c r="J507" s="807"/>
      <c r="K507" s="807"/>
      <c r="L507" s="807"/>
      <c r="M507" s="807"/>
      <c r="N507" s="807"/>
      <c r="O507" s="807"/>
      <c r="P507" s="807"/>
      <c r="Q507" s="807"/>
      <c r="R507" s="807"/>
      <c r="S507" s="807"/>
      <c r="T507" s="807"/>
      <c r="U507" s="807"/>
    </row>
    <row r="508">
      <c r="A508" s="807"/>
      <c r="B508" s="813"/>
      <c r="C508" s="813"/>
      <c r="D508" s="807"/>
      <c r="E508" s="807"/>
      <c r="F508" s="801"/>
      <c r="G508" s="801"/>
      <c r="H508" s="801"/>
      <c r="I508" s="801"/>
      <c r="J508" s="807"/>
      <c r="K508" s="807"/>
      <c r="L508" s="807"/>
      <c r="M508" s="807"/>
      <c r="N508" s="807"/>
      <c r="O508" s="807"/>
      <c r="P508" s="807"/>
      <c r="Q508" s="807"/>
      <c r="R508" s="807"/>
      <c r="S508" s="807"/>
      <c r="T508" s="807"/>
      <c r="U508" s="807"/>
    </row>
    <row r="509">
      <c r="A509" s="807"/>
      <c r="B509" s="813"/>
      <c r="C509" s="813"/>
      <c r="D509" s="807"/>
      <c r="E509" s="807"/>
      <c r="F509" s="801"/>
      <c r="G509" s="801"/>
      <c r="H509" s="801"/>
      <c r="I509" s="801"/>
      <c r="J509" s="807"/>
      <c r="K509" s="807"/>
      <c r="L509" s="807"/>
      <c r="M509" s="807"/>
      <c r="N509" s="807"/>
      <c r="O509" s="807"/>
      <c r="P509" s="807"/>
      <c r="Q509" s="807"/>
      <c r="R509" s="807"/>
      <c r="S509" s="807"/>
      <c r="T509" s="807"/>
      <c r="U509" s="807"/>
    </row>
    <row r="510">
      <c r="A510" s="807"/>
      <c r="B510" s="813"/>
      <c r="C510" s="813"/>
      <c r="D510" s="807"/>
      <c r="E510" s="807"/>
      <c r="F510" s="801"/>
      <c r="G510" s="801"/>
      <c r="H510" s="801"/>
      <c r="I510" s="801"/>
      <c r="J510" s="807"/>
      <c r="K510" s="807"/>
      <c r="L510" s="807"/>
      <c r="M510" s="807"/>
      <c r="N510" s="807"/>
      <c r="O510" s="807"/>
      <c r="P510" s="807"/>
      <c r="Q510" s="807"/>
      <c r="R510" s="807"/>
      <c r="S510" s="807"/>
      <c r="T510" s="807"/>
      <c r="U510" s="807"/>
    </row>
    <row r="511">
      <c r="A511" s="807"/>
      <c r="B511" s="813"/>
      <c r="C511" s="813"/>
      <c r="D511" s="807"/>
      <c r="E511" s="807"/>
      <c r="F511" s="801"/>
      <c r="G511" s="801"/>
      <c r="H511" s="801"/>
      <c r="I511" s="801"/>
      <c r="J511" s="807"/>
      <c r="K511" s="807"/>
      <c r="L511" s="807"/>
      <c r="M511" s="807"/>
      <c r="N511" s="807"/>
      <c r="O511" s="807"/>
      <c r="P511" s="807"/>
      <c r="Q511" s="807"/>
      <c r="R511" s="807"/>
      <c r="S511" s="807"/>
      <c r="T511" s="807"/>
      <c r="U511" s="807"/>
    </row>
    <row r="512">
      <c r="A512" s="807"/>
      <c r="B512" s="813"/>
      <c r="C512" s="813"/>
      <c r="D512" s="807"/>
      <c r="E512" s="807"/>
      <c r="F512" s="801"/>
      <c r="G512" s="801"/>
      <c r="H512" s="801"/>
      <c r="I512" s="801"/>
      <c r="J512" s="807"/>
      <c r="K512" s="807"/>
      <c r="L512" s="807"/>
      <c r="M512" s="807"/>
      <c r="N512" s="807"/>
      <c r="O512" s="807"/>
      <c r="P512" s="807"/>
      <c r="Q512" s="807"/>
      <c r="R512" s="807"/>
      <c r="S512" s="807"/>
      <c r="T512" s="807"/>
      <c r="U512" s="807"/>
    </row>
    <row r="513">
      <c r="A513" s="807"/>
      <c r="B513" s="813"/>
      <c r="C513" s="813"/>
      <c r="D513" s="807"/>
      <c r="E513" s="807"/>
      <c r="F513" s="801"/>
      <c r="G513" s="801"/>
      <c r="H513" s="801"/>
      <c r="I513" s="801"/>
      <c r="J513" s="807"/>
      <c r="K513" s="807"/>
      <c r="L513" s="807"/>
      <c r="M513" s="807"/>
      <c r="N513" s="807"/>
      <c r="O513" s="807"/>
      <c r="P513" s="807"/>
      <c r="Q513" s="807"/>
      <c r="R513" s="807"/>
      <c r="S513" s="807"/>
      <c r="T513" s="807"/>
      <c r="U513" s="807"/>
    </row>
    <row r="514">
      <c r="A514" s="807"/>
      <c r="B514" s="813"/>
      <c r="C514" s="813"/>
      <c r="D514" s="807"/>
      <c r="E514" s="807"/>
      <c r="F514" s="801"/>
      <c r="G514" s="801"/>
      <c r="H514" s="801"/>
      <c r="I514" s="801"/>
      <c r="J514" s="807"/>
      <c r="K514" s="807"/>
      <c r="L514" s="807"/>
      <c r="M514" s="807"/>
      <c r="N514" s="807"/>
      <c r="O514" s="807"/>
      <c r="P514" s="807"/>
      <c r="Q514" s="807"/>
      <c r="R514" s="807"/>
      <c r="S514" s="807"/>
      <c r="T514" s="807"/>
      <c r="U514" s="807"/>
    </row>
    <row r="515">
      <c r="A515" s="807"/>
      <c r="B515" s="813"/>
      <c r="C515" s="813"/>
      <c r="D515" s="807"/>
      <c r="E515" s="807"/>
      <c r="F515" s="801"/>
      <c r="G515" s="801"/>
      <c r="H515" s="801"/>
      <c r="I515" s="801"/>
      <c r="J515" s="807"/>
      <c r="K515" s="807"/>
      <c r="L515" s="807"/>
      <c r="M515" s="807"/>
      <c r="N515" s="807"/>
      <c r="O515" s="807"/>
      <c r="P515" s="807"/>
      <c r="Q515" s="807"/>
      <c r="R515" s="807"/>
      <c r="S515" s="807"/>
      <c r="T515" s="807"/>
      <c r="U515" s="807"/>
    </row>
    <row r="516">
      <c r="A516" s="807"/>
      <c r="B516" s="813"/>
      <c r="C516" s="813"/>
      <c r="D516" s="807"/>
      <c r="E516" s="807"/>
      <c r="F516" s="801"/>
      <c r="G516" s="801"/>
      <c r="H516" s="801"/>
      <c r="I516" s="801"/>
      <c r="J516" s="807"/>
      <c r="K516" s="807"/>
      <c r="L516" s="807"/>
      <c r="M516" s="807"/>
      <c r="N516" s="807"/>
      <c r="O516" s="807"/>
      <c r="P516" s="807"/>
      <c r="Q516" s="807"/>
      <c r="R516" s="807"/>
      <c r="S516" s="807"/>
      <c r="T516" s="807"/>
      <c r="U516" s="807"/>
    </row>
    <row r="517">
      <c r="A517" s="807"/>
      <c r="B517" s="813"/>
      <c r="C517" s="813"/>
      <c r="D517" s="807"/>
      <c r="E517" s="807"/>
      <c r="F517" s="801"/>
      <c r="G517" s="801"/>
      <c r="H517" s="801"/>
      <c r="I517" s="801"/>
      <c r="J517" s="807"/>
      <c r="K517" s="807"/>
      <c r="L517" s="807"/>
      <c r="M517" s="807"/>
      <c r="N517" s="807"/>
      <c r="O517" s="807"/>
      <c r="P517" s="807"/>
      <c r="Q517" s="807"/>
      <c r="R517" s="807"/>
      <c r="S517" s="807"/>
      <c r="T517" s="807"/>
      <c r="U517" s="807"/>
    </row>
    <row r="518">
      <c r="A518" s="807"/>
      <c r="B518" s="813"/>
      <c r="C518" s="813"/>
      <c r="D518" s="807"/>
      <c r="E518" s="807"/>
      <c r="F518" s="801"/>
      <c r="G518" s="801"/>
      <c r="H518" s="801"/>
      <c r="I518" s="801"/>
      <c r="J518" s="807"/>
      <c r="K518" s="807"/>
      <c r="L518" s="807"/>
      <c r="M518" s="807"/>
      <c r="N518" s="807"/>
      <c r="O518" s="807"/>
      <c r="P518" s="807"/>
      <c r="Q518" s="807"/>
      <c r="R518" s="807"/>
      <c r="S518" s="807"/>
      <c r="T518" s="807"/>
      <c r="U518" s="807"/>
    </row>
    <row r="519">
      <c r="A519" s="807"/>
      <c r="B519" s="813"/>
      <c r="C519" s="813"/>
      <c r="D519" s="807"/>
      <c r="E519" s="807"/>
      <c r="F519" s="801"/>
      <c r="G519" s="801"/>
      <c r="H519" s="801"/>
      <c r="I519" s="801"/>
      <c r="J519" s="807"/>
      <c r="K519" s="807"/>
      <c r="L519" s="807"/>
      <c r="M519" s="807"/>
      <c r="N519" s="807"/>
      <c r="O519" s="807"/>
      <c r="P519" s="807"/>
      <c r="Q519" s="807"/>
      <c r="R519" s="807"/>
      <c r="S519" s="807"/>
      <c r="T519" s="807"/>
      <c r="U519" s="807"/>
    </row>
    <row r="520">
      <c r="A520" s="807"/>
      <c r="B520" s="813"/>
      <c r="C520" s="813"/>
      <c r="D520" s="807"/>
      <c r="E520" s="807"/>
      <c r="F520" s="801"/>
      <c r="G520" s="801"/>
      <c r="H520" s="801"/>
      <c r="I520" s="801"/>
      <c r="J520" s="807"/>
      <c r="K520" s="807"/>
      <c r="L520" s="807"/>
      <c r="M520" s="807"/>
      <c r="N520" s="807"/>
      <c r="O520" s="807"/>
      <c r="P520" s="807"/>
      <c r="Q520" s="807"/>
      <c r="R520" s="807"/>
      <c r="S520" s="807"/>
      <c r="T520" s="807"/>
      <c r="U520" s="807"/>
    </row>
    <row r="521">
      <c r="A521" s="807"/>
      <c r="B521" s="813"/>
      <c r="C521" s="813"/>
      <c r="D521" s="807"/>
      <c r="E521" s="807"/>
      <c r="F521" s="801"/>
      <c r="G521" s="801"/>
      <c r="H521" s="801"/>
      <c r="I521" s="801"/>
      <c r="J521" s="807"/>
      <c r="K521" s="807"/>
      <c r="L521" s="807"/>
      <c r="M521" s="807"/>
      <c r="N521" s="807"/>
      <c r="O521" s="807"/>
      <c r="P521" s="807"/>
      <c r="Q521" s="807"/>
      <c r="R521" s="807"/>
      <c r="S521" s="807"/>
      <c r="T521" s="807"/>
      <c r="U521" s="807"/>
    </row>
    <row r="522">
      <c r="A522" s="807"/>
      <c r="B522" s="813"/>
      <c r="C522" s="813"/>
      <c r="D522" s="807"/>
      <c r="E522" s="807"/>
      <c r="F522" s="801"/>
      <c r="G522" s="801"/>
      <c r="H522" s="801"/>
      <c r="I522" s="801"/>
      <c r="J522" s="807"/>
      <c r="K522" s="807"/>
      <c r="L522" s="807"/>
      <c r="M522" s="807"/>
      <c r="N522" s="807"/>
      <c r="O522" s="807"/>
      <c r="P522" s="807"/>
      <c r="Q522" s="807"/>
      <c r="R522" s="807"/>
      <c r="S522" s="807"/>
      <c r="T522" s="807"/>
      <c r="U522" s="807"/>
    </row>
    <row r="523">
      <c r="A523" s="807"/>
      <c r="B523" s="813"/>
      <c r="C523" s="813"/>
      <c r="D523" s="807"/>
      <c r="E523" s="807"/>
      <c r="F523" s="801"/>
      <c r="G523" s="801"/>
      <c r="H523" s="801"/>
      <c r="I523" s="801"/>
      <c r="J523" s="807"/>
      <c r="K523" s="807"/>
      <c r="L523" s="807"/>
      <c r="M523" s="807"/>
      <c r="N523" s="807"/>
      <c r="O523" s="807"/>
      <c r="P523" s="807"/>
      <c r="Q523" s="807"/>
      <c r="R523" s="807"/>
      <c r="S523" s="807"/>
      <c r="T523" s="807"/>
      <c r="U523" s="807"/>
    </row>
    <row r="524">
      <c r="A524" s="807"/>
      <c r="B524" s="813"/>
      <c r="C524" s="813"/>
      <c r="D524" s="807"/>
      <c r="E524" s="807"/>
      <c r="F524" s="801"/>
      <c r="G524" s="801"/>
      <c r="H524" s="801"/>
      <c r="I524" s="801"/>
      <c r="J524" s="807"/>
      <c r="K524" s="807"/>
      <c r="L524" s="807"/>
      <c r="M524" s="807"/>
      <c r="N524" s="807"/>
      <c r="O524" s="807"/>
      <c r="P524" s="807"/>
      <c r="Q524" s="807"/>
      <c r="R524" s="807"/>
      <c r="S524" s="807"/>
      <c r="T524" s="807"/>
      <c r="U524" s="807"/>
    </row>
    <row r="525">
      <c r="A525" s="807"/>
      <c r="B525" s="813"/>
      <c r="C525" s="813"/>
      <c r="D525" s="807"/>
      <c r="E525" s="807"/>
      <c r="F525" s="801"/>
      <c r="G525" s="801"/>
      <c r="H525" s="801"/>
      <c r="I525" s="801"/>
      <c r="J525" s="807"/>
      <c r="K525" s="807"/>
      <c r="L525" s="807"/>
      <c r="M525" s="807"/>
      <c r="N525" s="807"/>
      <c r="O525" s="807"/>
      <c r="P525" s="807"/>
      <c r="Q525" s="807"/>
      <c r="R525" s="807"/>
      <c r="S525" s="807"/>
      <c r="T525" s="807"/>
      <c r="U525" s="807"/>
    </row>
    <row r="526">
      <c r="A526" s="807"/>
      <c r="B526" s="813"/>
      <c r="C526" s="813"/>
      <c r="D526" s="807"/>
      <c r="E526" s="807"/>
      <c r="F526" s="801"/>
      <c r="G526" s="801"/>
      <c r="H526" s="801"/>
      <c r="I526" s="801"/>
      <c r="J526" s="807"/>
      <c r="K526" s="807"/>
      <c r="L526" s="807"/>
      <c r="M526" s="807"/>
      <c r="N526" s="807"/>
      <c r="O526" s="807"/>
      <c r="P526" s="807"/>
      <c r="Q526" s="807"/>
      <c r="R526" s="807"/>
      <c r="S526" s="807"/>
      <c r="T526" s="807"/>
      <c r="U526" s="807"/>
    </row>
    <row r="527">
      <c r="A527" s="807"/>
      <c r="B527" s="813"/>
      <c r="C527" s="813"/>
      <c r="D527" s="807"/>
      <c r="E527" s="807"/>
      <c r="F527" s="801"/>
      <c r="G527" s="801"/>
      <c r="H527" s="801"/>
      <c r="I527" s="801"/>
      <c r="J527" s="807"/>
      <c r="K527" s="807"/>
      <c r="L527" s="807"/>
      <c r="M527" s="807"/>
      <c r="N527" s="807"/>
      <c r="O527" s="807"/>
      <c r="P527" s="807"/>
      <c r="Q527" s="807"/>
      <c r="R527" s="807"/>
      <c r="S527" s="807"/>
      <c r="T527" s="807"/>
      <c r="U527" s="807"/>
    </row>
    <row r="528">
      <c r="A528" s="807"/>
      <c r="B528" s="813"/>
      <c r="C528" s="813"/>
      <c r="D528" s="807"/>
      <c r="E528" s="807"/>
      <c r="F528" s="801"/>
      <c r="G528" s="801"/>
      <c r="H528" s="801"/>
      <c r="I528" s="801"/>
      <c r="J528" s="807"/>
      <c r="K528" s="807"/>
      <c r="L528" s="807"/>
      <c r="M528" s="807"/>
      <c r="N528" s="807"/>
      <c r="O528" s="807"/>
      <c r="P528" s="807"/>
      <c r="Q528" s="807"/>
      <c r="R528" s="807"/>
      <c r="S528" s="807"/>
      <c r="T528" s="807"/>
      <c r="U528" s="807"/>
    </row>
    <row r="529">
      <c r="A529" s="807"/>
      <c r="B529" s="813"/>
      <c r="C529" s="813"/>
      <c r="D529" s="807"/>
      <c r="E529" s="807"/>
      <c r="F529" s="801"/>
      <c r="G529" s="801"/>
      <c r="H529" s="801"/>
      <c r="I529" s="801"/>
      <c r="J529" s="807"/>
      <c r="K529" s="807"/>
      <c r="L529" s="807"/>
      <c r="M529" s="807"/>
      <c r="N529" s="807"/>
      <c r="O529" s="807"/>
      <c r="P529" s="807"/>
      <c r="Q529" s="807"/>
      <c r="R529" s="807"/>
      <c r="S529" s="807"/>
      <c r="T529" s="807"/>
      <c r="U529" s="807"/>
    </row>
    <row r="530">
      <c r="A530" s="807"/>
      <c r="B530" s="813"/>
      <c r="C530" s="813"/>
      <c r="D530" s="807"/>
      <c r="E530" s="807"/>
      <c r="F530" s="801"/>
      <c r="G530" s="801"/>
      <c r="H530" s="801"/>
      <c r="I530" s="801"/>
      <c r="J530" s="807"/>
      <c r="K530" s="807"/>
      <c r="L530" s="807"/>
      <c r="M530" s="807"/>
      <c r="N530" s="807"/>
      <c r="O530" s="807"/>
      <c r="P530" s="807"/>
      <c r="Q530" s="807"/>
      <c r="R530" s="807"/>
      <c r="S530" s="807"/>
      <c r="T530" s="807"/>
      <c r="U530" s="807"/>
    </row>
    <row r="531">
      <c r="A531" s="807"/>
      <c r="B531" s="813"/>
      <c r="C531" s="813"/>
      <c r="D531" s="807"/>
      <c r="E531" s="807"/>
      <c r="F531" s="801"/>
      <c r="G531" s="801"/>
      <c r="H531" s="801"/>
      <c r="I531" s="801"/>
      <c r="J531" s="807"/>
      <c r="K531" s="807"/>
      <c r="L531" s="807"/>
      <c r="M531" s="807"/>
      <c r="N531" s="807"/>
      <c r="O531" s="807"/>
      <c r="P531" s="807"/>
      <c r="Q531" s="807"/>
      <c r="R531" s="807"/>
      <c r="S531" s="807"/>
      <c r="T531" s="807"/>
      <c r="U531" s="807"/>
    </row>
    <row r="532">
      <c r="A532" s="807"/>
      <c r="B532" s="813"/>
      <c r="C532" s="813"/>
      <c r="D532" s="807"/>
      <c r="E532" s="807"/>
      <c r="F532" s="801"/>
      <c r="G532" s="801"/>
      <c r="H532" s="801"/>
      <c r="I532" s="801"/>
      <c r="J532" s="807"/>
      <c r="K532" s="807"/>
      <c r="L532" s="807"/>
      <c r="M532" s="807"/>
      <c r="N532" s="807"/>
      <c r="O532" s="807"/>
      <c r="P532" s="807"/>
      <c r="Q532" s="807"/>
      <c r="R532" s="807"/>
      <c r="S532" s="807"/>
      <c r="T532" s="807"/>
      <c r="U532" s="807"/>
    </row>
    <row r="533">
      <c r="A533" s="807"/>
      <c r="B533" s="813"/>
      <c r="C533" s="813"/>
      <c r="D533" s="807"/>
      <c r="E533" s="807"/>
      <c r="F533" s="801"/>
      <c r="G533" s="801"/>
      <c r="H533" s="801"/>
      <c r="I533" s="801"/>
      <c r="J533" s="807"/>
      <c r="K533" s="807"/>
      <c r="L533" s="807"/>
      <c r="M533" s="807"/>
      <c r="N533" s="807"/>
      <c r="O533" s="807"/>
      <c r="P533" s="807"/>
      <c r="Q533" s="807"/>
      <c r="R533" s="807"/>
      <c r="S533" s="807"/>
      <c r="T533" s="807"/>
      <c r="U533" s="807"/>
    </row>
    <row r="534">
      <c r="A534" s="807"/>
      <c r="B534" s="813"/>
      <c r="C534" s="813"/>
      <c r="D534" s="807"/>
      <c r="E534" s="807"/>
      <c r="F534" s="801"/>
      <c r="G534" s="801"/>
      <c r="H534" s="801"/>
      <c r="I534" s="801"/>
      <c r="J534" s="807"/>
      <c r="K534" s="807"/>
      <c r="L534" s="807"/>
      <c r="M534" s="807"/>
      <c r="N534" s="807"/>
      <c r="O534" s="807"/>
      <c r="P534" s="807"/>
      <c r="Q534" s="807"/>
      <c r="R534" s="807"/>
      <c r="S534" s="807"/>
      <c r="T534" s="807"/>
      <c r="U534" s="807"/>
    </row>
    <row r="535">
      <c r="A535" s="807"/>
      <c r="B535" s="813"/>
      <c r="C535" s="813"/>
      <c r="D535" s="807"/>
      <c r="E535" s="807"/>
      <c r="F535" s="801"/>
      <c r="G535" s="801"/>
      <c r="H535" s="801"/>
      <c r="I535" s="801"/>
      <c r="J535" s="807"/>
      <c r="K535" s="807"/>
      <c r="L535" s="807"/>
      <c r="M535" s="807"/>
      <c r="N535" s="807"/>
      <c r="O535" s="807"/>
      <c r="P535" s="807"/>
      <c r="Q535" s="807"/>
      <c r="R535" s="807"/>
      <c r="S535" s="807"/>
      <c r="T535" s="807"/>
      <c r="U535" s="807"/>
    </row>
    <row r="536">
      <c r="A536" s="807"/>
      <c r="B536" s="813"/>
      <c r="C536" s="813"/>
      <c r="D536" s="807"/>
      <c r="E536" s="807"/>
      <c r="F536" s="801"/>
      <c r="G536" s="801"/>
      <c r="H536" s="801"/>
      <c r="I536" s="801"/>
      <c r="J536" s="807"/>
      <c r="K536" s="807"/>
      <c r="L536" s="807"/>
      <c r="M536" s="807"/>
      <c r="N536" s="807"/>
      <c r="O536" s="807"/>
      <c r="P536" s="807"/>
      <c r="Q536" s="807"/>
      <c r="R536" s="807"/>
      <c r="S536" s="807"/>
      <c r="T536" s="807"/>
      <c r="U536" s="807"/>
    </row>
    <row r="537">
      <c r="A537" s="807"/>
      <c r="B537" s="813"/>
      <c r="C537" s="813"/>
      <c r="D537" s="807"/>
      <c r="E537" s="807"/>
      <c r="F537" s="801"/>
      <c r="G537" s="801"/>
      <c r="H537" s="801"/>
      <c r="I537" s="801"/>
      <c r="J537" s="807"/>
      <c r="K537" s="807"/>
      <c r="L537" s="807"/>
      <c r="M537" s="807"/>
      <c r="N537" s="807"/>
      <c r="O537" s="807"/>
      <c r="P537" s="807"/>
      <c r="Q537" s="807"/>
      <c r="R537" s="807"/>
      <c r="S537" s="807"/>
      <c r="T537" s="807"/>
      <c r="U537" s="807"/>
    </row>
    <row r="538">
      <c r="A538" s="807"/>
      <c r="B538" s="813"/>
      <c r="C538" s="813"/>
      <c r="D538" s="807"/>
      <c r="E538" s="807"/>
      <c r="F538" s="801"/>
      <c r="G538" s="801"/>
      <c r="H538" s="801"/>
      <c r="I538" s="801"/>
      <c r="J538" s="807"/>
      <c r="K538" s="807"/>
      <c r="L538" s="807"/>
      <c r="M538" s="807"/>
      <c r="N538" s="807"/>
      <c r="O538" s="807"/>
      <c r="P538" s="807"/>
      <c r="Q538" s="807"/>
      <c r="R538" s="807"/>
      <c r="S538" s="807"/>
      <c r="T538" s="807"/>
      <c r="U538" s="807"/>
    </row>
    <row r="539">
      <c r="A539" s="807"/>
      <c r="B539" s="813"/>
      <c r="C539" s="813"/>
      <c r="D539" s="807"/>
      <c r="E539" s="807"/>
      <c r="F539" s="801"/>
      <c r="G539" s="801"/>
      <c r="H539" s="801"/>
      <c r="I539" s="801"/>
      <c r="J539" s="807"/>
      <c r="K539" s="807"/>
      <c r="L539" s="807"/>
      <c r="M539" s="807"/>
      <c r="N539" s="807"/>
      <c r="O539" s="807"/>
      <c r="P539" s="807"/>
      <c r="Q539" s="807"/>
      <c r="R539" s="807"/>
      <c r="S539" s="807"/>
      <c r="T539" s="807"/>
      <c r="U539" s="807"/>
    </row>
    <row r="540">
      <c r="A540" s="807"/>
      <c r="B540" s="813"/>
      <c r="C540" s="813"/>
      <c r="D540" s="807"/>
      <c r="E540" s="807"/>
      <c r="F540" s="801"/>
      <c r="G540" s="801"/>
      <c r="H540" s="801"/>
      <c r="I540" s="801"/>
      <c r="J540" s="807"/>
      <c r="K540" s="807"/>
      <c r="L540" s="807"/>
      <c r="M540" s="807"/>
      <c r="N540" s="807"/>
      <c r="O540" s="807"/>
      <c r="P540" s="807"/>
      <c r="Q540" s="807"/>
      <c r="R540" s="807"/>
      <c r="S540" s="807"/>
      <c r="T540" s="807"/>
      <c r="U540" s="807"/>
    </row>
    <row r="541">
      <c r="A541" s="807"/>
      <c r="B541" s="813"/>
      <c r="C541" s="813"/>
      <c r="D541" s="807"/>
      <c r="E541" s="807"/>
      <c r="F541" s="801"/>
      <c r="G541" s="801"/>
      <c r="H541" s="801"/>
      <c r="I541" s="801"/>
      <c r="J541" s="807"/>
      <c r="K541" s="807"/>
      <c r="L541" s="807"/>
      <c r="M541" s="807"/>
      <c r="N541" s="807"/>
      <c r="O541" s="807"/>
      <c r="P541" s="807"/>
      <c r="Q541" s="807"/>
      <c r="R541" s="807"/>
      <c r="S541" s="807"/>
      <c r="T541" s="807"/>
      <c r="U541" s="807"/>
    </row>
    <row r="542">
      <c r="A542" s="807"/>
      <c r="B542" s="813"/>
      <c r="C542" s="813"/>
      <c r="D542" s="807"/>
      <c r="E542" s="807"/>
      <c r="F542" s="801"/>
      <c r="G542" s="801"/>
      <c r="H542" s="801"/>
      <c r="I542" s="801"/>
      <c r="J542" s="807"/>
      <c r="K542" s="807"/>
      <c r="L542" s="807"/>
      <c r="M542" s="807"/>
      <c r="N542" s="807"/>
      <c r="O542" s="807"/>
      <c r="P542" s="807"/>
      <c r="Q542" s="807"/>
      <c r="R542" s="807"/>
      <c r="S542" s="807"/>
      <c r="T542" s="807"/>
      <c r="U542" s="807"/>
    </row>
    <row r="543">
      <c r="A543" s="807"/>
      <c r="B543" s="813"/>
      <c r="C543" s="813"/>
      <c r="D543" s="807"/>
      <c r="E543" s="807"/>
      <c r="F543" s="801"/>
      <c r="G543" s="801"/>
      <c r="H543" s="801"/>
      <c r="I543" s="801"/>
      <c r="J543" s="807"/>
      <c r="K543" s="807"/>
      <c r="L543" s="807"/>
      <c r="M543" s="807"/>
      <c r="N543" s="807"/>
      <c r="O543" s="807"/>
      <c r="P543" s="807"/>
      <c r="Q543" s="807"/>
      <c r="R543" s="807"/>
      <c r="S543" s="807"/>
      <c r="T543" s="807"/>
      <c r="U543" s="807"/>
    </row>
    <row r="544">
      <c r="A544" s="807"/>
      <c r="B544" s="813"/>
      <c r="C544" s="813"/>
      <c r="D544" s="807"/>
      <c r="E544" s="807"/>
      <c r="F544" s="801"/>
      <c r="G544" s="801"/>
      <c r="H544" s="801"/>
      <c r="I544" s="801"/>
      <c r="J544" s="807"/>
      <c r="K544" s="807"/>
      <c r="L544" s="807"/>
      <c r="M544" s="807"/>
      <c r="N544" s="807"/>
      <c r="O544" s="807"/>
      <c r="P544" s="807"/>
      <c r="Q544" s="807"/>
      <c r="R544" s="807"/>
      <c r="S544" s="807"/>
      <c r="T544" s="807"/>
      <c r="U544" s="807"/>
    </row>
    <row r="545">
      <c r="A545" s="807"/>
      <c r="B545" s="813"/>
      <c r="C545" s="813"/>
      <c r="D545" s="807"/>
      <c r="E545" s="807"/>
      <c r="F545" s="801"/>
      <c r="G545" s="801"/>
      <c r="H545" s="801"/>
      <c r="I545" s="801"/>
      <c r="J545" s="807"/>
      <c r="K545" s="807"/>
      <c r="L545" s="807"/>
      <c r="M545" s="807"/>
      <c r="N545" s="807"/>
      <c r="O545" s="807"/>
      <c r="P545" s="807"/>
      <c r="Q545" s="807"/>
      <c r="R545" s="807"/>
      <c r="S545" s="807"/>
      <c r="T545" s="807"/>
      <c r="U545" s="807"/>
    </row>
    <row r="546">
      <c r="A546" s="807"/>
      <c r="B546" s="813"/>
      <c r="C546" s="813"/>
      <c r="D546" s="807"/>
      <c r="E546" s="807"/>
      <c r="F546" s="801"/>
      <c r="G546" s="801"/>
      <c r="H546" s="801"/>
      <c r="I546" s="801"/>
      <c r="J546" s="807"/>
      <c r="K546" s="807"/>
      <c r="L546" s="807"/>
      <c r="M546" s="807"/>
      <c r="N546" s="807"/>
      <c r="O546" s="807"/>
      <c r="P546" s="807"/>
      <c r="Q546" s="807"/>
      <c r="R546" s="807"/>
      <c r="S546" s="807"/>
      <c r="T546" s="807"/>
      <c r="U546" s="807"/>
    </row>
    <row r="547">
      <c r="A547" s="807"/>
      <c r="B547" s="813"/>
      <c r="C547" s="813"/>
      <c r="D547" s="807"/>
      <c r="E547" s="807"/>
      <c r="F547" s="801"/>
      <c r="G547" s="801"/>
      <c r="H547" s="801"/>
      <c r="I547" s="801"/>
      <c r="J547" s="807"/>
      <c r="K547" s="807"/>
      <c r="L547" s="807"/>
      <c r="M547" s="807"/>
      <c r="N547" s="807"/>
      <c r="O547" s="807"/>
      <c r="P547" s="807"/>
      <c r="Q547" s="807"/>
      <c r="R547" s="807"/>
      <c r="S547" s="807"/>
      <c r="T547" s="807"/>
      <c r="U547" s="807"/>
    </row>
    <row r="548">
      <c r="A548" s="807"/>
      <c r="B548" s="813"/>
      <c r="C548" s="813"/>
      <c r="D548" s="807"/>
      <c r="E548" s="807"/>
      <c r="F548" s="801"/>
      <c r="G548" s="801"/>
      <c r="H548" s="801"/>
      <c r="I548" s="801"/>
      <c r="J548" s="807"/>
      <c r="K548" s="807"/>
      <c r="L548" s="807"/>
      <c r="M548" s="807"/>
      <c r="N548" s="807"/>
      <c r="O548" s="807"/>
      <c r="P548" s="807"/>
      <c r="Q548" s="807"/>
      <c r="R548" s="807"/>
      <c r="S548" s="807"/>
      <c r="T548" s="807"/>
      <c r="U548" s="807"/>
    </row>
    <row r="549">
      <c r="A549" s="807"/>
      <c r="B549" s="813"/>
      <c r="C549" s="813"/>
      <c r="D549" s="807"/>
      <c r="E549" s="807"/>
      <c r="F549" s="801"/>
      <c r="G549" s="801"/>
      <c r="H549" s="801"/>
      <c r="I549" s="801"/>
      <c r="J549" s="807"/>
      <c r="K549" s="807"/>
      <c r="L549" s="807"/>
      <c r="M549" s="807"/>
      <c r="N549" s="807"/>
      <c r="O549" s="807"/>
      <c r="P549" s="807"/>
      <c r="Q549" s="807"/>
      <c r="R549" s="807"/>
      <c r="S549" s="807"/>
      <c r="T549" s="807"/>
      <c r="U549" s="807"/>
    </row>
    <row r="550">
      <c r="A550" s="807"/>
      <c r="B550" s="813"/>
      <c r="C550" s="813"/>
      <c r="D550" s="807"/>
      <c r="E550" s="807"/>
      <c r="F550" s="801"/>
      <c r="G550" s="801"/>
      <c r="H550" s="801"/>
      <c r="I550" s="801"/>
      <c r="J550" s="807"/>
      <c r="K550" s="807"/>
      <c r="L550" s="807"/>
      <c r="M550" s="807"/>
      <c r="N550" s="807"/>
      <c r="O550" s="807"/>
      <c r="P550" s="807"/>
      <c r="Q550" s="807"/>
      <c r="R550" s="807"/>
      <c r="S550" s="807"/>
      <c r="T550" s="807"/>
      <c r="U550" s="807"/>
    </row>
    <row r="551">
      <c r="A551" s="807"/>
      <c r="B551" s="813"/>
      <c r="C551" s="813"/>
      <c r="D551" s="807"/>
      <c r="E551" s="807"/>
      <c r="F551" s="801"/>
      <c r="G551" s="801"/>
      <c r="H551" s="801"/>
      <c r="I551" s="801"/>
      <c r="J551" s="807"/>
      <c r="K551" s="807"/>
      <c r="L551" s="807"/>
      <c r="M551" s="807"/>
      <c r="N551" s="807"/>
      <c r="O551" s="807"/>
      <c r="P551" s="807"/>
      <c r="Q551" s="807"/>
      <c r="R551" s="807"/>
      <c r="S551" s="807"/>
      <c r="T551" s="807"/>
      <c r="U551" s="807"/>
    </row>
    <row r="552">
      <c r="A552" s="807"/>
      <c r="B552" s="813"/>
      <c r="C552" s="813"/>
      <c r="D552" s="807"/>
      <c r="E552" s="807"/>
      <c r="F552" s="801"/>
      <c r="G552" s="801"/>
      <c r="H552" s="801"/>
      <c r="I552" s="801"/>
      <c r="J552" s="807"/>
      <c r="K552" s="807"/>
      <c r="L552" s="807"/>
      <c r="M552" s="807"/>
      <c r="N552" s="807"/>
      <c r="O552" s="807"/>
      <c r="P552" s="807"/>
      <c r="Q552" s="807"/>
      <c r="R552" s="807"/>
      <c r="S552" s="807"/>
      <c r="T552" s="807"/>
      <c r="U552" s="807"/>
    </row>
    <row r="553">
      <c r="A553" s="807"/>
      <c r="B553" s="813"/>
      <c r="C553" s="813"/>
      <c r="D553" s="807"/>
      <c r="E553" s="807"/>
      <c r="F553" s="801"/>
      <c r="G553" s="801"/>
      <c r="H553" s="801"/>
      <c r="I553" s="801"/>
      <c r="J553" s="807"/>
      <c r="K553" s="807"/>
      <c r="L553" s="807"/>
      <c r="M553" s="807"/>
      <c r="N553" s="807"/>
      <c r="O553" s="807"/>
      <c r="P553" s="807"/>
      <c r="Q553" s="807"/>
      <c r="R553" s="807"/>
      <c r="S553" s="807"/>
      <c r="T553" s="807"/>
      <c r="U553" s="807"/>
    </row>
    <row r="554">
      <c r="A554" s="807"/>
      <c r="B554" s="813"/>
      <c r="C554" s="813"/>
      <c r="D554" s="807"/>
      <c r="E554" s="807"/>
      <c r="F554" s="801"/>
      <c r="G554" s="801"/>
      <c r="H554" s="801"/>
      <c r="I554" s="801"/>
      <c r="J554" s="807"/>
      <c r="K554" s="807"/>
      <c r="L554" s="807"/>
      <c r="M554" s="807"/>
      <c r="N554" s="807"/>
      <c r="O554" s="807"/>
      <c r="P554" s="807"/>
      <c r="Q554" s="807"/>
      <c r="R554" s="807"/>
      <c r="S554" s="807"/>
      <c r="T554" s="807"/>
      <c r="U554" s="807"/>
    </row>
    <row r="555">
      <c r="A555" s="807"/>
      <c r="B555" s="813"/>
      <c r="C555" s="813"/>
      <c r="D555" s="807"/>
      <c r="E555" s="807"/>
      <c r="F555" s="801"/>
      <c r="G555" s="801"/>
      <c r="H555" s="801"/>
      <c r="I555" s="801"/>
      <c r="J555" s="807"/>
      <c r="K555" s="807"/>
      <c r="L555" s="807"/>
      <c r="M555" s="807"/>
      <c r="N555" s="807"/>
      <c r="O555" s="807"/>
      <c r="P555" s="807"/>
      <c r="Q555" s="807"/>
      <c r="R555" s="807"/>
      <c r="S555" s="807"/>
      <c r="T555" s="807"/>
      <c r="U555" s="807"/>
    </row>
    <row r="556">
      <c r="A556" s="807"/>
      <c r="B556" s="813"/>
      <c r="C556" s="813"/>
      <c r="D556" s="807"/>
      <c r="E556" s="807"/>
      <c r="F556" s="801"/>
      <c r="G556" s="801"/>
      <c r="H556" s="801"/>
      <c r="I556" s="801"/>
      <c r="J556" s="807"/>
      <c r="K556" s="807"/>
      <c r="L556" s="807"/>
      <c r="M556" s="807"/>
      <c r="N556" s="807"/>
      <c r="O556" s="807"/>
      <c r="P556" s="807"/>
      <c r="Q556" s="807"/>
      <c r="R556" s="807"/>
      <c r="S556" s="807"/>
      <c r="T556" s="807"/>
      <c r="U556" s="807"/>
    </row>
    <row r="557">
      <c r="A557" s="807"/>
      <c r="B557" s="813"/>
      <c r="C557" s="813"/>
      <c r="D557" s="807"/>
      <c r="E557" s="807"/>
      <c r="F557" s="801"/>
      <c r="G557" s="801"/>
      <c r="H557" s="801"/>
      <c r="I557" s="801"/>
      <c r="J557" s="807"/>
      <c r="K557" s="807"/>
      <c r="L557" s="807"/>
      <c r="M557" s="807"/>
      <c r="N557" s="807"/>
      <c r="O557" s="807"/>
      <c r="P557" s="807"/>
      <c r="Q557" s="807"/>
      <c r="R557" s="807"/>
      <c r="S557" s="807"/>
      <c r="T557" s="807"/>
      <c r="U557" s="807"/>
    </row>
    <row r="558">
      <c r="A558" s="807"/>
      <c r="B558" s="813"/>
      <c r="C558" s="813"/>
      <c r="D558" s="807"/>
      <c r="E558" s="807"/>
      <c r="F558" s="801"/>
      <c r="G558" s="801"/>
      <c r="H558" s="801"/>
      <c r="I558" s="801"/>
      <c r="J558" s="807"/>
      <c r="K558" s="807"/>
      <c r="L558" s="807"/>
      <c r="M558" s="807"/>
      <c r="N558" s="807"/>
      <c r="O558" s="807"/>
      <c r="P558" s="807"/>
      <c r="Q558" s="807"/>
      <c r="R558" s="807"/>
      <c r="S558" s="807"/>
      <c r="T558" s="807"/>
      <c r="U558" s="807"/>
    </row>
    <row r="559">
      <c r="A559" s="807"/>
      <c r="B559" s="813"/>
      <c r="C559" s="813"/>
      <c r="D559" s="807"/>
      <c r="E559" s="807"/>
      <c r="F559" s="801"/>
      <c r="G559" s="801"/>
      <c r="H559" s="801"/>
      <c r="I559" s="801"/>
      <c r="J559" s="807"/>
      <c r="K559" s="807"/>
      <c r="L559" s="807"/>
      <c r="M559" s="807"/>
      <c r="N559" s="807"/>
      <c r="O559" s="807"/>
      <c r="P559" s="807"/>
      <c r="Q559" s="807"/>
      <c r="R559" s="807"/>
      <c r="S559" s="807"/>
      <c r="T559" s="807"/>
      <c r="U559" s="807"/>
    </row>
    <row r="560">
      <c r="A560" s="807"/>
      <c r="B560" s="813"/>
      <c r="C560" s="813"/>
      <c r="D560" s="807"/>
      <c r="E560" s="807"/>
      <c r="F560" s="801"/>
      <c r="G560" s="801"/>
      <c r="H560" s="801"/>
      <c r="I560" s="801"/>
      <c r="J560" s="807"/>
      <c r="K560" s="807"/>
      <c r="L560" s="807"/>
      <c r="M560" s="807"/>
      <c r="N560" s="807"/>
      <c r="O560" s="807"/>
      <c r="P560" s="807"/>
      <c r="Q560" s="807"/>
      <c r="R560" s="807"/>
      <c r="S560" s="807"/>
      <c r="T560" s="807"/>
      <c r="U560" s="807"/>
    </row>
    <row r="561">
      <c r="A561" s="807"/>
      <c r="B561" s="813"/>
      <c r="C561" s="813"/>
      <c r="D561" s="807"/>
      <c r="E561" s="807"/>
      <c r="F561" s="801"/>
      <c r="G561" s="801"/>
      <c r="H561" s="801"/>
      <c r="I561" s="801"/>
      <c r="J561" s="807"/>
      <c r="K561" s="807"/>
      <c r="L561" s="807"/>
      <c r="M561" s="807"/>
      <c r="N561" s="807"/>
      <c r="O561" s="807"/>
      <c r="P561" s="807"/>
      <c r="Q561" s="807"/>
      <c r="R561" s="807"/>
      <c r="S561" s="807"/>
      <c r="T561" s="807"/>
      <c r="U561" s="807"/>
    </row>
    <row r="562">
      <c r="A562" s="807"/>
      <c r="B562" s="813"/>
      <c r="C562" s="813"/>
      <c r="D562" s="807"/>
      <c r="E562" s="807"/>
      <c r="F562" s="801"/>
      <c r="G562" s="801"/>
      <c r="H562" s="801"/>
      <c r="I562" s="801"/>
      <c r="J562" s="807"/>
      <c r="K562" s="807"/>
      <c r="L562" s="807"/>
      <c r="M562" s="807"/>
      <c r="N562" s="807"/>
      <c r="O562" s="807"/>
      <c r="P562" s="807"/>
      <c r="Q562" s="807"/>
      <c r="R562" s="807"/>
      <c r="S562" s="807"/>
      <c r="T562" s="807"/>
      <c r="U562" s="807"/>
    </row>
    <row r="563">
      <c r="A563" s="807"/>
      <c r="B563" s="813"/>
      <c r="C563" s="813"/>
      <c r="D563" s="807"/>
      <c r="E563" s="807"/>
      <c r="F563" s="801"/>
      <c r="G563" s="801"/>
      <c r="H563" s="801"/>
      <c r="I563" s="801"/>
      <c r="J563" s="807"/>
      <c r="K563" s="807"/>
      <c r="L563" s="807"/>
      <c r="M563" s="807"/>
      <c r="N563" s="807"/>
      <c r="O563" s="807"/>
      <c r="P563" s="807"/>
      <c r="Q563" s="807"/>
      <c r="R563" s="807"/>
      <c r="S563" s="807"/>
      <c r="T563" s="807"/>
      <c r="U563" s="807"/>
    </row>
    <row r="564">
      <c r="A564" s="807"/>
      <c r="B564" s="813"/>
      <c r="C564" s="813"/>
      <c r="D564" s="807"/>
      <c r="E564" s="807"/>
      <c r="F564" s="801"/>
      <c r="G564" s="801"/>
      <c r="H564" s="801"/>
      <c r="I564" s="801"/>
      <c r="J564" s="807"/>
      <c r="K564" s="807"/>
      <c r="L564" s="807"/>
      <c r="M564" s="807"/>
      <c r="N564" s="807"/>
      <c r="O564" s="807"/>
      <c r="P564" s="807"/>
      <c r="Q564" s="807"/>
      <c r="R564" s="807"/>
      <c r="S564" s="807"/>
      <c r="T564" s="807"/>
      <c r="U564" s="807"/>
    </row>
    <row r="565">
      <c r="A565" s="807"/>
      <c r="B565" s="813"/>
      <c r="C565" s="813"/>
      <c r="D565" s="807"/>
      <c r="E565" s="807"/>
      <c r="F565" s="801"/>
      <c r="G565" s="801"/>
      <c r="H565" s="801"/>
      <c r="I565" s="801"/>
      <c r="J565" s="807"/>
      <c r="K565" s="807"/>
      <c r="L565" s="807"/>
      <c r="M565" s="807"/>
      <c r="N565" s="807"/>
      <c r="O565" s="807"/>
      <c r="P565" s="807"/>
      <c r="Q565" s="807"/>
      <c r="R565" s="807"/>
      <c r="S565" s="807"/>
      <c r="T565" s="807"/>
      <c r="U565" s="807"/>
    </row>
    <row r="566">
      <c r="A566" s="807"/>
      <c r="B566" s="813"/>
      <c r="C566" s="813"/>
      <c r="D566" s="807"/>
      <c r="E566" s="807"/>
      <c r="F566" s="801"/>
      <c r="G566" s="801"/>
      <c r="H566" s="801"/>
      <c r="I566" s="801"/>
      <c r="J566" s="807"/>
      <c r="K566" s="807"/>
      <c r="L566" s="807"/>
      <c r="M566" s="807"/>
      <c r="N566" s="807"/>
      <c r="O566" s="807"/>
      <c r="P566" s="807"/>
      <c r="Q566" s="807"/>
      <c r="R566" s="807"/>
      <c r="S566" s="807"/>
      <c r="T566" s="807"/>
      <c r="U566" s="807"/>
    </row>
    <row r="567">
      <c r="A567" s="807"/>
      <c r="B567" s="813"/>
      <c r="C567" s="813"/>
      <c r="D567" s="807"/>
      <c r="E567" s="807"/>
      <c r="F567" s="801"/>
      <c r="G567" s="801"/>
      <c r="H567" s="801"/>
      <c r="I567" s="801"/>
      <c r="J567" s="807"/>
      <c r="K567" s="807"/>
      <c r="L567" s="807"/>
      <c r="M567" s="807"/>
      <c r="N567" s="807"/>
      <c r="O567" s="807"/>
      <c r="P567" s="807"/>
      <c r="Q567" s="807"/>
      <c r="R567" s="807"/>
      <c r="S567" s="807"/>
      <c r="T567" s="807"/>
      <c r="U567" s="807"/>
    </row>
    <row r="568">
      <c r="A568" s="807"/>
      <c r="B568" s="813"/>
      <c r="C568" s="813"/>
      <c r="D568" s="807"/>
      <c r="E568" s="807"/>
      <c r="F568" s="801"/>
      <c r="G568" s="801"/>
      <c r="H568" s="801"/>
      <c r="I568" s="801"/>
      <c r="J568" s="807"/>
      <c r="K568" s="807"/>
      <c r="L568" s="807"/>
      <c r="M568" s="807"/>
      <c r="N568" s="807"/>
      <c r="O568" s="807"/>
      <c r="P568" s="807"/>
      <c r="Q568" s="807"/>
      <c r="R568" s="807"/>
      <c r="S568" s="807"/>
      <c r="T568" s="807"/>
      <c r="U568" s="807"/>
    </row>
    <row r="569">
      <c r="A569" s="807"/>
      <c r="B569" s="813"/>
      <c r="C569" s="813"/>
      <c r="D569" s="807"/>
      <c r="E569" s="807"/>
      <c r="F569" s="801"/>
      <c r="G569" s="801"/>
      <c r="H569" s="801"/>
      <c r="I569" s="801"/>
      <c r="J569" s="807"/>
      <c r="K569" s="807"/>
      <c r="L569" s="807"/>
      <c r="M569" s="807"/>
      <c r="N569" s="807"/>
      <c r="O569" s="807"/>
      <c r="P569" s="807"/>
      <c r="Q569" s="807"/>
      <c r="R569" s="807"/>
      <c r="S569" s="807"/>
      <c r="T569" s="807"/>
      <c r="U569" s="807"/>
    </row>
    <row r="570">
      <c r="A570" s="807"/>
      <c r="B570" s="813"/>
      <c r="C570" s="813"/>
      <c r="D570" s="807"/>
      <c r="E570" s="807"/>
      <c r="F570" s="801"/>
      <c r="G570" s="801"/>
      <c r="H570" s="801"/>
      <c r="I570" s="801"/>
      <c r="J570" s="807"/>
      <c r="K570" s="807"/>
      <c r="L570" s="807"/>
      <c r="M570" s="807"/>
      <c r="N570" s="807"/>
      <c r="O570" s="807"/>
      <c r="P570" s="807"/>
      <c r="Q570" s="807"/>
      <c r="R570" s="807"/>
      <c r="S570" s="807"/>
      <c r="T570" s="807"/>
      <c r="U570" s="807"/>
    </row>
    <row r="571">
      <c r="A571" s="807"/>
      <c r="B571" s="813"/>
      <c r="C571" s="813"/>
      <c r="D571" s="807"/>
      <c r="E571" s="807"/>
      <c r="F571" s="801"/>
      <c r="G571" s="801"/>
      <c r="H571" s="801"/>
      <c r="I571" s="801"/>
      <c r="J571" s="807"/>
      <c r="K571" s="807"/>
      <c r="L571" s="807"/>
      <c r="M571" s="807"/>
      <c r="N571" s="807"/>
      <c r="O571" s="807"/>
      <c r="P571" s="807"/>
      <c r="Q571" s="807"/>
      <c r="R571" s="807"/>
      <c r="S571" s="807"/>
      <c r="T571" s="807"/>
      <c r="U571" s="807"/>
    </row>
    <row r="572">
      <c r="A572" s="807"/>
      <c r="B572" s="813"/>
      <c r="C572" s="813"/>
      <c r="D572" s="807"/>
      <c r="E572" s="807"/>
      <c r="F572" s="801"/>
      <c r="G572" s="801"/>
      <c r="H572" s="801"/>
      <c r="I572" s="801"/>
      <c r="J572" s="807"/>
      <c r="K572" s="807"/>
      <c r="L572" s="807"/>
      <c r="M572" s="807"/>
      <c r="N572" s="807"/>
      <c r="O572" s="807"/>
      <c r="P572" s="807"/>
      <c r="Q572" s="807"/>
      <c r="R572" s="807"/>
      <c r="S572" s="807"/>
      <c r="T572" s="807"/>
      <c r="U572" s="807"/>
    </row>
    <row r="573">
      <c r="A573" s="807"/>
      <c r="B573" s="813"/>
      <c r="C573" s="813"/>
      <c r="D573" s="807"/>
      <c r="E573" s="807"/>
      <c r="F573" s="801"/>
      <c r="G573" s="801"/>
      <c r="H573" s="801"/>
      <c r="I573" s="801"/>
      <c r="J573" s="807"/>
      <c r="K573" s="807"/>
      <c r="L573" s="807"/>
      <c r="M573" s="807"/>
      <c r="N573" s="807"/>
      <c r="O573" s="807"/>
      <c r="P573" s="807"/>
      <c r="Q573" s="807"/>
      <c r="R573" s="807"/>
      <c r="S573" s="807"/>
      <c r="T573" s="807"/>
      <c r="U573" s="807"/>
    </row>
    <row r="574">
      <c r="A574" s="807"/>
      <c r="B574" s="813"/>
      <c r="C574" s="813"/>
      <c r="D574" s="807"/>
      <c r="E574" s="807"/>
      <c r="F574" s="801"/>
      <c r="G574" s="801"/>
      <c r="H574" s="801"/>
      <c r="I574" s="801"/>
      <c r="J574" s="807"/>
      <c r="K574" s="807"/>
      <c r="L574" s="807"/>
      <c r="M574" s="807"/>
      <c r="N574" s="807"/>
      <c r="O574" s="807"/>
      <c r="P574" s="807"/>
      <c r="Q574" s="807"/>
      <c r="R574" s="807"/>
      <c r="S574" s="807"/>
      <c r="T574" s="807"/>
      <c r="U574" s="807"/>
    </row>
    <row r="575">
      <c r="A575" s="807"/>
      <c r="B575" s="813"/>
      <c r="C575" s="813"/>
      <c r="D575" s="807"/>
      <c r="E575" s="807"/>
      <c r="F575" s="801"/>
      <c r="G575" s="801"/>
      <c r="H575" s="801"/>
      <c r="I575" s="801"/>
      <c r="J575" s="807"/>
      <c r="K575" s="807"/>
      <c r="L575" s="807"/>
      <c r="M575" s="807"/>
      <c r="N575" s="807"/>
      <c r="O575" s="807"/>
      <c r="P575" s="807"/>
      <c r="Q575" s="807"/>
      <c r="R575" s="807"/>
      <c r="S575" s="807"/>
      <c r="T575" s="807"/>
      <c r="U575" s="807"/>
    </row>
    <row r="576">
      <c r="A576" s="807"/>
      <c r="B576" s="813"/>
      <c r="C576" s="813"/>
      <c r="D576" s="807"/>
      <c r="E576" s="807"/>
      <c r="F576" s="801"/>
      <c r="G576" s="801"/>
      <c r="H576" s="801"/>
      <c r="I576" s="801"/>
      <c r="J576" s="807"/>
      <c r="K576" s="807"/>
      <c r="L576" s="807"/>
      <c r="M576" s="807"/>
      <c r="N576" s="807"/>
      <c r="O576" s="807"/>
      <c r="P576" s="807"/>
      <c r="Q576" s="807"/>
      <c r="R576" s="807"/>
      <c r="S576" s="807"/>
      <c r="T576" s="807"/>
      <c r="U576" s="807"/>
    </row>
    <row r="577">
      <c r="A577" s="807"/>
      <c r="B577" s="813"/>
      <c r="C577" s="813"/>
      <c r="D577" s="807"/>
      <c r="E577" s="807"/>
      <c r="F577" s="801"/>
      <c r="G577" s="801"/>
      <c r="H577" s="801"/>
      <c r="I577" s="801"/>
      <c r="J577" s="807"/>
      <c r="K577" s="807"/>
      <c r="L577" s="807"/>
      <c r="M577" s="807"/>
      <c r="N577" s="807"/>
      <c r="O577" s="807"/>
      <c r="P577" s="807"/>
      <c r="Q577" s="807"/>
      <c r="R577" s="807"/>
      <c r="S577" s="807"/>
      <c r="T577" s="807"/>
      <c r="U577" s="807"/>
    </row>
    <row r="578">
      <c r="A578" s="807"/>
      <c r="B578" s="813"/>
      <c r="C578" s="813"/>
      <c r="D578" s="807"/>
      <c r="E578" s="807"/>
      <c r="F578" s="801"/>
      <c r="G578" s="801"/>
      <c r="H578" s="801"/>
      <c r="I578" s="801"/>
      <c r="J578" s="807"/>
      <c r="K578" s="807"/>
      <c r="L578" s="807"/>
      <c r="M578" s="807"/>
      <c r="N578" s="807"/>
      <c r="O578" s="807"/>
      <c r="P578" s="807"/>
      <c r="Q578" s="807"/>
      <c r="R578" s="807"/>
      <c r="S578" s="807"/>
      <c r="T578" s="807"/>
      <c r="U578" s="807"/>
    </row>
    <row r="579">
      <c r="A579" s="807"/>
      <c r="B579" s="813"/>
      <c r="C579" s="813"/>
      <c r="D579" s="807"/>
      <c r="E579" s="807"/>
      <c r="F579" s="801"/>
      <c r="G579" s="801"/>
      <c r="H579" s="801"/>
      <c r="I579" s="801"/>
      <c r="J579" s="807"/>
      <c r="K579" s="807"/>
      <c r="L579" s="807"/>
      <c r="M579" s="807"/>
      <c r="N579" s="807"/>
      <c r="O579" s="807"/>
      <c r="P579" s="807"/>
      <c r="Q579" s="807"/>
      <c r="R579" s="807"/>
      <c r="S579" s="807"/>
      <c r="T579" s="807"/>
      <c r="U579" s="807"/>
    </row>
    <row r="580">
      <c r="A580" s="807"/>
      <c r="B580" s="813"/>
      <c r="C580" s="813"/>
      <c r="D580" s="807"/>
      <c r="E580" s="807"/>
      <c r="F580" s="801"/>
      <c r="G580" s="801"/>
      <c r="H580" s="801"/>
      <c r="I580" s="801"/>
      <c r="J580" s="807"/>
      <c r="K580" s="807"/>
      <c r="L580" s="807"/>
      <c r="M580" s="807"/>
      <c r="N580" s="807"/>
      <c r="O580" s="807"/>
      <c r="P580" s="807"/>
      <c r="Q580" s="807"/>
      <c r="R580" s="807"/>
      <c r="S580" s="807"/>
      <c r="T580" s="807"/>
      <c r="U580" s="807"/>
    </row>
    <row r="581">
      <c r="A581" s="807"/>
      <c r="B581" s="813"/>
      <c r="C581" s="813"/>
      <c r="D581" s="807"/>
      <c r="E581" s="807"/>
      <c r="F581" s="801"/>
      <c r="G581" s="801"/>
      <c r="H581" s="801"/>
      <c r="I581" s="801"/>
      <c r="J581" s="807"/>
      <c r="K581" s="807"/>
      <c r="L581" s="807"/>
      <c r="M581" s="807"/>
      <c r="N581" s="807"/>
      <c r="O581" s="807"/>
      <c r="P581" s="807"/>
      <c r="Q581" s="807"/>
      <c r="R581" s="807"/>
      <c r="S581" s="807"/>
      <c r="T581" s="807"/>
      <c r="U581" s="807"/>
    </row>
    <row r="582">
      <c r="A582" s="807"/>
      <c r="B582" s="813"/>
      <c r="C582" s="813"/>
      <c r="D582" s="807"/>
      <c r="E582" s="807"/>
      <c r="F582" s="801"/>
      <c r="G582" s="801"/>
      <c r="H582" s="801"/>
      <c r="I582" s="801"/>
      <c r="J582" s="807"/>
      <c r="K582" s="807"/>
      <c r="L582" s="807"/>
      <c r="M582" s="807"/>
      <c r="N582" s="807"/>
      <c r="O582" s="807"/>
      <c r="P582" s="807"/>
      <c r="Q582" s="807"/>
      <c r="R582" s="807"/>
      <c r="S582" s="807"/>
      <c r="T582" s="807"/>
      <c r="U582" s="807"/>
    </row>
    <row r="583">
      <c r="A583" s="807"/>
      <c r="B583" s="813"/>
      <c r="C583" s="813"/>
      <c r="D583" s="807"/>
      <c r="E583" s="807"/>
      <c r="F583" s="801"/>
      <c r="G583" s="801"/>
      <c r="H583" s="801"/>
      <c r="I583" s="801"/>
      <c r="J583" s="807"/>
      <c r="K583" s="807"/>
      <c r="L583" s="807"/>
      <c r="M583" s="807"/>
      <c r="N583" s="807"/>
      <c r="O583" s="807"/>
      <c r="P583" s="807"/>
      <c r="Q583" s="807"/>
      <c r="R583" s="807"/>
      <c r="S583" s="807"/>
      <c r="T583" s="807"/>
      <c r="U583" s="807"/>
    </row>
    <row r="584">
      <c r="A584" s="807"/>
      <c r="B584" s="813"/>
      <c r="C584" s="813"/>
      <c r="D584" s="807"/>
      <c r="E584" s="807"/>
      <c r="F584" s="801"/>
      <c r="G584" s="801"/>
      <c r="H584" s="801"/>
      <c r="I584" s="801"/>
      <c r="J584" s="807"/>
      <c r="K584" s="807"/>
      <c r="L584" s="807"/>
      <c r="M584" s="807"/>
      <c r="N584" s="807"/>
      <c r="O584" s="807"/>
      <c r="P584" s="807"/>
      <c r="Q584" s="807"/>
      <c r="R584" s="807"/>
      <c r="S584" s="807"/>
      <c r="T584" s="807"/>
      <c r="U584" s="807"/>
    </row>
    <row r="585">
      <c r="A585" s="807"/>
      <c r="B585" s="813"/>
      <c r="C585" s="813"/>
      <c r="D585" s="807"/>
      <c r="E585" s="807"/>
      <c r="F585" s="801"/>
      <c r="G585" s="801"/>
      <c r="H585" s="801"/>
      <c r="I585" s="801"/>
      <c r="J585" s="807"/>
      <c r="K585" s="807"/>
      <c r="L585" s="807"/>
      <c r="M585" s="807"/>
      <c r="N585" s="807"/>
      <c r="O585" s="807"/>
      <c r="P585" s="807"/>
      <c r="Q585" s="807"/>
      <c r="R585" s="807"/>
      <c r="S585" s="807"/>
      <c r="T585" s="807"/>
      <c r="U585" s="807"/>
    </row>
    <row r="586">
      <c r="A586" s="807"/>
      <c r="B586" s="813"/>
      <c r="C586" s="813"/>
      <c r="D586" s="807"/>
      <c r="E586" s="807"/>
      <c r="F586" s="801"/>
      <c r="G586" s="801"/>
      <c r="H586" s="801"/>
      <c r="I586" s="801"/>
      <c r="J586" s="807"/>
      <c r="K586" s="807"/>
      <c r="L586" s="807"/>
      <c r="M586" s="807"/>
      <c r="N586" s="807"/>
      <c r="O586" s="807"/>
      <c r="P586" s="807"/>
      <c r="Q586" s="807"/>
      <c r="R586" s="807"/>
      <c r="S586" s="807"/>
      <c r="T586" s="807"/>
      <c r="U586" s="807"/>
    </row>
    <row r="587">
      <c r="A587" s="807"/>
      <c r="B587" s="813"/>
      <c r="C587" s="813"/>
      <c r="D587" s="807"/>
      <c r="E587" s="807"/>
      <c r="F587" s="801"/>
      <c r="G587" s="801"/>
      <c r="H587" s="801"/>
      <c r="I587" s="801"/>
      <c r="J587" s="807"/>
      <c r="K587" s="807"/>
      <c r="L587" s="807"/>
      <c r="M587" s="807"/>
      <c r="N587" s="807"/>
      <c r="O587" s="807"/>
      <c r="P587" s="807"/>
      <c r="Q587" s="807"/>
      <c r="R587" s="807"/>
      <c r="S587" s="807"/>
      <c r="T587" s="807"/>
      <c r="U587" s="807"/>
    </row>
    <row r="588">
      <c r="A588" s="807"/>
      <c r="B588" s="813"/>
      <c r="C588" s="813"/>
      <c r="D588" s="807"/>
      <c r="E588" s="807"/>
      <c r="F588" s="801"/>
      <c r="G588" s="801"/>
      <c r="H588" s="801"/>
      <c r="I588" s="801"/>
      <c r="J588" s="807"/>
      <c r="K588" s="807"/>
      <c r="L588" s="807"/>
      <c r="M588" s="807"/>
      <c r="N588" s="807"/>
      <c r="O588" s="807"/>
      <c r="P588" s="807"/>
      <c r="Q588" s="807"/>
      <c r="R588" s="807"/>
      <c r="S588" s="807"/>
      <c r="T588" s="807"/>
      <c r="U588" s="807"/>
    </row>
    <row r="589">
      <c r="A589" s="807"/>
      <c r="B589" s="813"/>
      <c r="C589" s="813"/>
      <c r="D589" s="807"/>
      <c r="E589" s="807"/>
      <c r="F589" s="801"/>
      <c r="G589" s="801"/>
      <c r="H589" s="801"/>
      <c r="I589" s="801"/>
      <c r="J589" s="807"/>
      <c r="K589" s="807"/>
      <c r="L589" s="807"/>
      <c r="M589" s="807"/>
      <c r="N589" s="807"/>
      <c r="O589" s="807"/>
      <c r="P589" s="807"/>
      <c r="Q589" s="807"/>
      <c r="R589" s="807"/>
      <c r="S589" s="807"/>
      <c r="T589" s="807"/>
      <c r="U589" s="807"/>
    </row>
    <row r="590">
      <c r="A590" s="807"/>
      <c r="B590" s="813"/>
      <c r="C590" s="813"/>
      <c r="D590" s="807"/>
      <c r="E590" s="807"/>
      <c r="F590" s="801"/>
      <c r="G590" s="801"/>
      <c r="H590" s="801"/>
      <c r="I590" s="801"/>
      <c r="J590" s="807"/>
      <c r="K590" s="807"/>
      <c r="L590" s="807"/>
      <c r="M590" s="807"/>
      <c r="N590" s="807"/>
      <c r="O590" s="807"/>
      <c r="P590" s="807"/>
      <c r="Q590" s="807"/>
      <c r="R590" s="807"/>
      <c r="S590" s="807"/>
      <c r="T590" s="807"/>
      <c r="U590" s="807"/>
    </row>
    <row r="591">
      <c r="A591" s="807"/>
      <c r="B591" s="813"/>
      <c r="C591" s="813"/>
      <c r="D591" s="807"/>
      <c r="E591" s="807"/>
      <c r="F591" s="801"/>
      <c r="G591" s="801"/>
      <c r="H591" s="801"/>
      <c r="I591" s="801"/>
      <c r="J591" s="807"/>
      <c r="K591" s="807"/>
      <c r="L591" s="807"/>
      <c r="M591" s="807"/>
      <c r="N591" s="807"/>
      <c r="O591" s="807"/>
      <c r="P591" s="807"/>
      <c r="Q591" s="807"/>
      <c r="R591" s="807"/>
      <c r="S591" s="807"/>
      <c r="T591" s="807"/>
      <c r="U591" s="807"/>
    </row>
    <row r="592">
      <c r="A592" s="807"/>
      <c r="B592" s="813"/>
      <c r="C592" s="813"/>
      <c r="D592" s="807"/>
      <c r="E592" s="807"/>
      <c r="F592" s="801"/>
      <c r="G592" s="801"/>
      <c r="H592" s="801"/>
      <c r="I592" s="801"/>
      <c r="J592" s="807"/>
      <c r="K592" s="807"/>
      <c r="L592" s="807"/>
      <c r="M592" s="807"/>
      <c r="N592" s="807"/>
      <c r="O592" s="807"/>
      <c r="P592" s="807"/>
      <c r="Q592" s="807"/>
      <c r="R592" s="807"/>
      <c r="S592" s="807"/>
      <c r="T592" s="807"/>
      <c r="U592" s="807"/>
    </row>
    <row r="593">
      <c r="A593" s="807"/>
      <c r="B593" s="813"/>
      <c r="C593" s="813"/>
      <c r="D593" s="807"/>
      <c r="E593" s="807"/>
      <c r="F593" s="801"/>
      <c r="G593" s="801"/>
      <c r="H593" s="801"/>
      <c r="I593" s="801"/>
      <c r="J593" s="807"/>
      <c r="K593" s="807"/>
      <c r="L593" s="807"/>
      <c r="M593" s="807"/>
      <c r="N593" s="807"/>
      <c r="O593" s="807"/>
      <c r="P593" s="807"/>
      <c r="Q593" s="807"/>
      <c r="R593" s="807"/>
      <c r="S593" s="807"/>
      <c r="T593" s="807"/>
      <c r="U593" s="807"/>
    </row>
    <row r="594">
      <c r="A594" s="807"/>
      <c r="B594" s="813"/>
      <c r="C594" s="813"/>
      <c r="D594" s="807"/>
      <c r="E594" s="807"/>
      <c r="F594" s="801"/>
      <c r="G594" s="801"/>
      <c r="H594" s="801"/>
      <c r="I594" s="801"/>
      <c r="J594" s="807"/>
      <c r="K594" s="807"/>
      <c r="L594" s="807"/>
      <c r="M594" s="807"/>
      <c r="N594" s="807"/>
      <c r="O594" s="807"/>
      <c r="P594" s="807"/>
      <c r="Q594" s="807"/>
      <c r="R594" s="807"/>
      <c r="S594" s="807"/>
      <c r="T594" s="807"/>
      <c r="U594" s="807"/>
    </row>
    <row r="595">
      <c r="A595" s="807"/>
      <c r="B595" s="813"/>
      <c r="C595" s="813"/>
      <c r="D595" s="807"/>
      <c r="E595" s="807"/>
      <c r="F595" s="801"/>
      <c r="G595" s="801"/>
      <c r="H595" s="801"/>
      <c r="I595" s="801"/>
      <c r="J595" s="807"/>
      <c r="K595" s="807"/>
      <c r="L595" s="807"/>
      <c r="M595" s="807"/>
      <c r="N595" s="807"/>
      <c r="O595" s="807"/>
      <c r="P595" s="807"/>
      <c r="Q595" s="807"/>
      <c r="R595" s="807"/>
      <c r="S595" s="807"/>
      <c r="T595" s="807"/>
      <c r="U595" s="807"/>
    </row>
    <row r="596">
      <c r="A596" s="807"/>
      <c r="B596" s="813"/>
      <c r="C596" s="813"/>
      <c r="D596" s="807"/>
      <c r="E596" s="807"/>
      <c r="F596" s="801"/>
      <c r="G596" s="801"/>
      <c r="H596" s="801"/>
      <c r="I596" s="801"/>
      <c r="J596" s="807"/>
      <c r="K596" s="807"/>
      <c r="L596" s="807"/>
      <c r="M596" s="807"/>
      <c r="N596" s="807"/>
      <c r="O596" s="807"/>
      <c r="P596" s="807"/>
      <c r="Q596" s="807"/>
      <c r="R596" s="807"/>
      <c r="S596" s="807"/>
      <c r="T596" s="807"/>
      <c r="U596" s="807"/>
    </row>
    <row r="597">
      <c r="A597" s="807"/>
      <c r="B597" s="813"/>
      <c r="C597" s="813"/>
      <c r="D597" s="807"/>
      <c r="E597" s="807"/>
      <c r="F597" s="801"/>
      <c r="G597" s="801"/>
      <c r="H597" s="801"/>
      <c r="I597" s="801"/>
      <c r="J597" s="807"/>
      <c r="K597" s="807"/>
      <c r="L597" s="807"/>
      <c r="M597" s="807"/>
      <c r="N597" s="807"/>
      <c r="O597" s="807"/>
      <c r="P597" s="807"/>
      <c r="Q597" s="807"/>
      <c r="R597" s="807"/>
      <c r="S597" s="807"/>
      <c r="T597" s="807"/>
      <c r="U597" s="807"/>
    </row>
    <row r="598">
      <c r="A598" s="807"/>
      <c r="B598" s="813"/>
      <c r="C598" s="813"/>
      <c r="D598" s="807"/>
      <c r="E598" s="807"/>
      <c r="F598" s="801"/>
      <c r="G598" s="801"/>
      <c r="H598" s="801"/>
      <c r="I598" s="801"/>
      <c r="J598" s="807"/>
      <c r="K598" s="807"/>
      <c r="L598" s="807"/>
      <c r="M598" s="807"/>
      <c r="N598" s="807"/>
      <c r="O598" s="807"/>
      <c r="P598" s="807"/>
      <c r="Q598" s="807"/>
      <c r="R598" s="807"/>
      <c r="S598" s="807"/>
      <c r="T598" s="807"/>
      <c r="U598" s="807"/>
    </row>
    <row r="599">
      <c r="A599" s="807"/>
      <c r="B599" s="813"/>
      <c r="C599" s="813"/>
      <c r="D599" s="807"/>
      <c r="E599" s="807"/>
      <c r="F599" s="801"/>
      <c r="G599" s="801"/>
      <c r="H599" s="801"/>
      <c r="I599" s="801"/>
      <c r="J599" s="807"/>
      <c r="K599" s="807"/>
      <c r="L599" s="807"/>
      <c r="M599" s="807"/>
      <c r="N599" s="807"/>
      <c r="O599" s="807"/>
      <c r="P599" s="807"/>
      <c r="Q599" s="807"/>
      <c r="R599" s="807"/>
      <c r="S599" s="807"/>
      <c r="T599" s="807"/>
      <c r="U599" s="807"/>
    </row>
    <row r="600">
      <c r="A600" s="807"/>
      <c r="B600" s="813"/>
      <c r="C600" s="813"/>
      <c r="D600" s="807"/>
      <c r="E600" s="807"/>
      <c r="F600" s="801"/>
      <c r="G600" s="801"/>
      <c r="H600" s="801"/>
      <c r="I600" s="801"/>
      <c r="J600" s="807"/>
      <c r="K600" s="807"/>
      <c r="L600" s="807"/>
      <c r="M600" s="807"/>
      <c r="N600" s="807"/>
      <c r="O600" s="807"/>
      <c r="P600" s="807"/>
      <c r="Q600" s="807"/>
      <c r="R600" s="807"/>
      <c r="S600" s="807"/>
      <c r="T600" s="807"/>
      <c r="U600" s="807"/>
    </row>
    <row r="601">
      <c r="A601" s="807"/>
      <c r="B601" s="813"/>
      <c r="C601" s="813"/>
      <c r="D601" s="807"/>
      <c r="E601" s="807"/>
      <c r="F601" s="801"/>
      <c r="G601" s="801"/>
      <c r="H601" s="801"/>
      <c r="I601" s="801"/>
      <c r="J601" s="807"/>
      <c r="K601" s="807"/>
      <c r="L601" s="807"/>
      <c r="M601" s="807"/>
      <c r="N601" s="807"/>
      <c r="O601" s="807"/>
      <c r="P601" s="807"/>
      <c r="Q601" s="807"/>
      <c r="R601" s="807"/>
      <c r="S601" s="807"/>
      <c r="T601" s="807"/>
      <c r="U601" s="807"/>
    </row>
    <row r="602">
      <c r="A602" s="807"/>
      <c r="B602" s="813"/>
      <c r="C602" s="813"/>
      <c r="D602" s="807"/>
      <c r="E602" s="807"/>
      <c r="F602" s="801"/>
      <c r="G602" s="801"/>
      <c r="H602" s="801"/>
      <c r="I602" s="801"/>
      <c r="J602" s="807"/>
      <c r="K602" s="807"/>
      <c r="L602" s="807"/>
      <c r="M602" s="807"/>
      <c r="N602" s="807"/>
      <c r="O602" s="807"/>
      <c r="P602" s="807"/>
      <c r="Q602" s="807"/>
      <c r="R602" s="807"/>
      <c r="S602" s="807"/>
      <c r="T602" s="807"/>
      <c r="U602" s="807"/>
    </row>
    <row r="603">
      <c r="A603" s="807"/>
      <c r="B603" s="813"/>
      <c r="C603" s="813"/>
      <c r="D603" s="807"/>
      <c r="E603" s="807"/>
      <c r="F603" s="801"/>
      <c r="G603" s="801"/>
      <c r="H603" s="801"/>
      <c r="I603" s="801"/>
      <c r="J603" s="807"/>
      <c r="K603" s="807"/>
      <c r="L603" s="807"/>
      <c r="M603" s="807"/>
      <c r="N603" s="807"/>
      <c r="O603" s="807"/>
      <c r="P603" s="807"/>
      <c r="Q603" s="807"/>
      <c r="R603" s="807"/>
      <c r="S603" s="807"/>
      <c r="T603" s="807"/>
      <c r="U603" s="807"/>
    </row>
    <row r="604">
      <c r="A604" s="807"/>
      <c r="B604" s="813"/>
      <c r="C604" s="813"/>
      <c r="D604" s="807"/>
      <c r="E604" s="807"/>
      <c r="F604" s="801"/>
      <c r="G604" s="801"/>
      <c r="H604" s="801"/>
      <c r="I604" s="801"/>
      <c r="J604" s="807"/>
      <c r="K604" s="807"/>
      <c r="L604" s="807"/>
      <c r="M604" s="807"/>
      <c r="N604" s="807"/>
      <c r="O604" s="807"/>
      <c r="P604" s="807"/>
      <c r="Q604" s="807"/>
      <c r="R604" s="807"/>
      <c r="S604" s="807"/>
      <c r="T604" s="807"/>
      <c r="U604" s="807"/>
    </row>
    <row r="605">
      <c r="A605" s="807"/>
      <c r="B605" s="813"/>
      <c r="C605" s="813"/>
      <c r="D605" s="807"/>
      <c r="E605" s="807"/>
      <c r="F605" s="801"/>
      <c r="G605" s="801"/>
      <c r="H605" s="801"/>
      <c r="I605" s="801"/>
      <c r="J605" s="807"/>
      <c r="K605" s="807"/>
      <c r="L605" s="807"/>
      <c r="M605" s="807"/>
      <c r="N605" s="807"/>
      <c r="O605" s="807"/>
      <c r="P605" s="807"/>
      <c r="Q605" s="807"/>
      <c r="R605" s="807"/>
      <c r="S605" s="807"/>
      <c r="T605" s="807"/>
      <c r="U605" s="807"/>
    </row>
    <row r="606">
      <c r="A606" s="807"/>
      <c r="B606" s="813"/>
      <c r="C606" s="813"/>
      <c r="D606" s="807"/>
      <c r="E606" s="807"/>
      <c r="F606" s="801"/>
      <c r="G606" s="801"/>
      <c r="H606" s="801"/>
      <c r="I606" s="801"/>
      <c r="J606" s="807"/>
      <c r="K606" s="807"/>
      <c r="L606" s="807"/>
      <c r="M606" s="807"/>
      <c r="N606" s="807"/>
      <c r="O606" s="807"/>
      <c r="P606" s="807"/>
      <c r="Q606" s="807"/>
      <c r="R606" s="807"/>
      <c r="S606" s="807"/>
      <c r="T606" s="807"/>
      <c r="U606" s="807"/>
    </row>
    <row r="607">
      <c r="A607" s="807"/>
      <c r="B607" s="813"/>
      <c r="C607" s="813"/>
      <c r="D607" s="807"/>
      <c r="E607" s="807"/>
      <c r="F607" s="801"/>
      <c r="G607" s="801"/>
      <c r="H607" s="801"/>
      <c r="I607" s="801"/>
      <c r="J607" s="807"/>
      <c r="K607" s="807"/>
      <c r="L607" s="807"/>
      <c r="M607" s="807"/>
      <c r="N607" s="807"/>
      <c r="O607" s="807"/>
      <c r="P607" s="807"/>
      <c r="Q607" s="807"/>
      <c r="R607" s="807"/>
      <c r="S607" s="807"/>
      <c r="T607" s="807"/>
      <c r="U607" s="807"/>
    </row>
    <row r="608">
      <c r="A608" s="807"/>
      <c r="B608" s="813"/>
      <c r="C608" s="813"/>
      <c r="D608" s="807"/>
      <c r="E608" s="807"/>
      <c r="F608" s="801"/>
      <c r="G608" s="801"/>
      <c r="H608" s="801"/>
      <c r="I608" s="801"/>
      <c r="J608" s="807"/>
      <c r="K608" s="807"/>
      <c r="L608" s="807"/>
      <c r="M608" s="807"/>
      <c r="N608" s="807"/>
      <c r="O608" s="807"/>
      <c r="P608" s="807"/>
      <c r="Q608" s="807"/>
      <c r="R608" s="807"/>
      <c r="S608" s="807"/>
      <c r="T608" s="807"/>
      <c r="U608" s="807"/>
    </row>
    <row r="609">
      <c r="A609" s="807"/>
      <c r="B609" s="813"/>
      <c r="C609" s="813"/>
      <c r="D609" s="807"/>
      <c r="E609" s="807"/>
      <c r="F609" s="801"/>
      <c r="G609" s="801"/>
      <c r="H609" s="801"/>
      <c r="I609" s="801"/>
      <c r="J609" s="807"/>
      <c r="K609" s="807"/>
      <c r="L609" s="807"/>
      <c r="M609" s="807"/>
      <c r="N609" s="807"/>
      <c r="O609" s="807"/>
      <c r="P609" s="807"/>
      <c r="Q609" s="807"/>
      <c r="R609" s="807"/>
      <c r="S609" s="807"/>
      <c r="T609" s="807"/>
      <c r="U609" s="807"/>
    </row>
    <row r="610">
      <c r="A610" s="807"/>
      <c r="B610" s="813"/>
      <c r="C610" s="813"/>
      <c r="D610" s="807"/>
      <c r="E610" s="807"/>
      <c r="F610" s="801"/>
      <c r="G610" s="801"/>
      <c r="H610" s="801"/>
      <c r="I610" s="801"/>
      <c r="J610" s="807"/>
      <c r="K610" s="807"/>
      <c r="L610" s="807"/>
      <c r="M610" s="807"/>
      <c r="N610" s="807"/>
      <c r="O610" s="807"/>
      <c r="P610" s="807"/>
      <c r="Q610" s="807"/>
      <c r="R610" s="807"/>
      <c r="S610" s="807"/>
      <c r="T610" s="807"/>
      <c r="U610" s="807"/>
    </row>
    <row r="611">
      <c r="A611" s="807"/>
      <c r="B611" s="813"/>
      <c r="C611" s="813"/>
      <c r="D611" s="807"/>
      <c r="E611" s="807"/>
      <c r="F611" s="801"/>
      <c r="G611" s="801"/>
      <c r="H611" s="801"/>
      <c r="I611" s="801"/>
      <c r="J611" s="807"/>
      <c r="K611" s="807"/>
      <c r="L611" s="807"/>
      <c r="M611" s="807"/>
      <c r="N611" s="807"/>
      <c r="O611" s="807"/>
      <c r="P611" s="807"/>
      <c r="Q611" s="807"/>
      <c r="R611" s="807"/>
      <c r="S611" s="807"/>
      <c r="T611" s="807"/>
      <c r="U611" s="807"/>
    </row>
    <row r="612">
      <c r="A612" s="807"/>
      <c r="B612" s="813"/>
      <c r="C612" s="813"/>
      <c r="D612" s="807"/>
      <c r="E612" s="807"/>
      <c r="F612" s="801"/>
      <c r="G612" s="801"/>
      <c r="H612" s="801"/>
      <c r="I612" s="801"/>
      <c r="J612" s="807"/>
      <c r="K612" s="807"/>
      <c r="L612" s="807"/>
      <c r="M612" s="807"/>
      <c r="N612" s="807"/>
      <c r="O612" s="807"/>
      <c r="P612" s="807"/>
      <c r="Q612" s="807"/>
      <c r="R612" s="807"/>
      <c r="S612" s="807"/>
      <c r="T612" s="807"/>
      <c r="U612" s="807"/>
    </row>
    <row r="613">
      <c r="A613" s="807"/>
      <c r="B613" s="813"/>
      <c r="C613" s="813"/>
      <c r="D613" s="807"/>
      <c r="E613" s="807"/>
      <c r="F613" s="801"/>
      <c r="G613" s="801"/>
      <c r="H613" s="801"/>
      <c r="I613" s="801"/>
      <c r="J613" s="807"/>
      <c r="K613" s="807"/>
      <c r="L613" s="807"/>
      <c r="M613" s="807"/>
      <c r="N613" s="807"/>
      <c r="O613" s="807"/>
      <c r="P613" s="807"/>
      <c r="Q613" s="807"/>
      <c r="R613" s="807"/>
      <c r="S613" s="807"/>
      <c r="T613" s="807"/>
      <c r="U613" s="807"/>
    </row>
    <row r="614">
      <c r="A614" s="807"/>
      <c r="B614" s="813"/>
      <c r="C614" s="813"/>
      <c r="D614" s="807"/>
      <c r="E614" s="807"/>
      <c r="F614" s="801"/>
      <c r="G614" s="801"/>
      <c r="H614" s="801"/>
      <c r="I614" s="801"/>
      <c r="J614" s="807"/>
      <c r="K614" s="807"/>
      <c r="L614" s="807"/>
      <c r="M614" s="807"/>
      <c r="N614" s="807"/>
      <c r="O614" s="807"/>
      <c r="P614" s="807"/>
      <c r="Q614" s="807"/>
      <c r="R614" s="807"/>
      <c r="S614" s="807"/>
      <c r="T614" s="807"/>
      <c r="U614" s="807"/>
    </row>
    <row r="615">
      <c r="A615" s="807"/>
      <c r="B615" s="813"/>
      <c r="C615" s="813"/>
      <c r="D615" s="807"/>
      <c r="E615" s="807"/>
      <c r="F615" s="801"/>
      <c r="G615" s="801"/>
      <c r="H615" s="801"/>
      <c r="I615" s="801"/>
      <c r="J615" s="807"/>
      <c r="K615" s="807"/>
      <c r="L615" s="807"/>
      <c r="M615" s="807"/>
      <c r="N615" s="807"/>
      <c r="O615" s="807"/>
      <c r="P615" s="807"/>
      <c r="Q615" s="807"/>
      <c r="R615" s="807"/>
      <c r="S615" s="807"/>
      <c r="T615" s="807"/>
      <c r="U615" s="807"/>
    </row>
    <row r="616">
      <c r="A616" s="807"/>
      <c r="B616" s="813"/>
      <c r="C616" s="813"/>
      <c r="D616" s="807"/>
      <c r="E616" s="807"/>
      <c r="F616" s="801"/>
      <c r="G616" s="801"/>
      <c r="H616" s="801"/>
      <c r="I616" s="801"/>
      <c r="J616" s="807"/>
      <c r="K616" s="807"/>
      <c r="L616" s="807"/>
      <c r="M616" s="807"/>
      <c r="N616" s="807"/>
      <c r="O616" s="807"/>
      <c r="P616" s="807"/>
      <c r="Q616" s="807"/>
      <c r="R616" s="807"/>
      <c r="S616" s="807"/>
      <c r="T616" s="807"/>
      <c r="U616" s="807"/>
    </row>
    <row r="617">
      <c r="A617" s="807"/>
      <c r="B617" s="813"/>
      <c r="C617" s="813"/>
      <c r="D617" s="807"/>
      <c r="E617" s="807"/>
      <c r="F617" s="801"/>
      <c r="G617" s="801"/>
      <c r="H617" s="801"/>
      <c r="I617" s="801"/>
      <c r="J617" s="807"/>
      <c r="K617" s="807"/>
      <c r="L617" s="807"/>
      <c r="M617" s="807"/>
      <c r="N617" s="807"/>
      <c r="O617" s="807"/>
      <c r="P617" s="807"/>
      <c r="Q617" s="807"/>
      <c r="R617" s="807"/>
      <c r="S617" s="807"/>
      <c r="T617" s="807"/>
      <c r="U617" s="807"/>
    </row>
    <row r="618">
      <c r="A618" s="807"/>
      <c r="B618" s="813"/>
      <c r="C618" s="813"/>
      <c r="D618" s="807"/>
      <c r="E618" s="807"/>
      <c r="F618" s="801"/>
      <c r="G618" s="801"/>
      <c r="H618" s="801"/>
      <c r="I618" s="801"/>
      <c r="J618" s="807"/>
      <c r="K618" s="807"/>
      <c r="L618" s="807"/>
      <c r="M618" s="807"/>
      <c r="N618" s="807"/>
      <c r="O618" s="807"/>
      <c r="P618" s="807"/>
      <c r="Q618" s="807"/>
      <c r="R618" s="807"/>
      <c r="S618" s="807"/>
      <c r="T618" s="807"/>
      <c r="U618" s="807"/>
    </row>
    <row r="619">
      <c r="A619" s="807"/>
      <c r="B619" s="813"/>
      <c r="C619" s="813"/>
      <c r="D619" s="807"/>
      <c r="E619" s="807"/>
      <c r="F619" s="801"/>
      <c r="G619" s="801"/>
      <c r="H619" s="801"/>
      <c r="I619" s="801"/>
      <c r="J619" s="807"/>
      <c r="K619" s="807"/>
      <c r="L619" s="807"/>
      <c r="M619" s="807"/>
      <c r="N619" s="807"/>
      <c r="O619" s="807"/>
      <c r="P619" s="807"/>
      <c r="Q619" s="807"/>
      <c r="R619" s="807"/>
      <c r="S619" s="807"/>
      <c r="T619" s="807"/>
      <c r="U619" s="807"/>
    </row>
    <row r="620">
      <c r="A620" s="807"/>
      <c r="B620" s="813"/>
      <c r="C620" s="813"/>
      <c r="D620" s="807"/>
      <c r="E620" s="807"/>
      <c r="F620" s="801"/>
      <c r="G620" s="801"/>
      <c r="H620" s="801"/>
      <c r="I620" s="801"/>
      <c r="J620" s="807"/>
      <c r="K620" s="807"/>
      <c r="L620" s="807"/>
      <c r="M620" s="807"/>
      <c r="N620" s="807"/>
      <c r="O620" s="807"/>
      <c r="P620" s="807"/>
      <c r="Q620" s="807"/>
      <c r="R620" s="807"/>
      <c r="S620" s="807"/>
      <c r="T620" s="807"/>
      <c r="U620" s="807"/>
    </row>
    <row r="621">
      <c r="A621" s="807"/>
      <c r="B621" s="813"/>
      <c r="C621" s="813"/>
      <c r="D621" s="807"/>
      <c r="E621" s="807"/>
      <c r="F621" s="801"/>
      <c r="G621" s="801"/>
      <c r="H621" s="801"/>
      <c r="I621" s="801"/>
      <c r="J621" s="807"/>
      <c r="K621" s="807"/>
      <c r="L621" s="807"/>
      <c r="M621" s="807"/>
      <c r="N621" s="807"/>
      <c r="O621" s="807"/>
      <c r="P621" s="807"/>
      <c r="Q621" s="807"/>
      <c r="R621" s="807"/>
      <c r="S621" s="807"/>
      <c r="T621" s="807"/>
      <c r="U621" s="807"/>
    </row>
    <row r="622">
      <c r="A622" s="807"/>
      <c r="B622" s="813"/>
      <c r="C622" s="813"/>
      <c r="D622" s="807"/>
      <c r="E622" s="807"/>
      <c r="F622" s="801"/>
      <c r="G622" s="801"/>
      <c r="H622" s="801"/>
      <c r="I622" s="801"/>
      <c r="J622" s="807"/>
      <c r="K622" s="807"/>
      <c r="L622" s="807"/>
      <c r="M622" s="807"/>
      <c r="N622" s="807"/>
      <c r="O622" s="807"/>
      <c r="P622" s="807"/>
      <c r="Q622" s="807"/>
      <c r="R622" s="807"/>
      <c r="S622" s="807"/>
      <c r="T622" s="807"/>
      <c r="U622" s="807"/>
    </row>
    <row r="623">
      <c r="A623" s="807"/>
      <c r="B623" s="813"/>
      <c r="C623" s="813"/>
      <c r="D623" s="807"/>
      <c r="E623" s="807"/>
      <c r="F623" s="801"/>
      <c r="G623" s="801"/>
      <c r="H623" s="801"/>
      <c r="I623" s="801"/>
      <c r="J623" s="807"/>
      <c r="K623" s="807"/>
      <c r="L623" s="807"/>
      <c r="M623" s="807"/>
      <c r="N623" s="807"/>
      <c r="O623" s="807"/>
      <c r="P623" s="807"/>
      <c r="Q623" s="807"/>
      <c r="R623" s="807"/>
      <c r="S623" s="807"/>
      <c r="T623" s="807"/>
      <c r="U623" s="807"/>
    </row>
    <row r="624">
      <c r="A624" s="807"/>
      <c r="B624" s="813"/>
      <c r="C624" s="813"/>
      <c r="D624" s="807"/>
      <c r="E624" s="807"/>
      <c r="F624" s="801"/>
      <c r="G624" s="801"/>
      <c r="H624" s="801"/>
      <c r="I624" s="801"/>
      <c r="J624" s="807"/>
      <c r="K624" s="807"/>
      <c r="L624" s="807"/>
      <c r="M624" s="807"/>
      <c r="N624" s="807"/>
      <c r="O624" s="807"/>
      <c r="P624" s="807"/>
      <c r="Q624" s="807"/>
      <c r="R624" s="807"/>
      <c r="S624" s="807"/>
      <c r="T624" s="807"/>
      <c r="U624" s="807"/>
    </row>
    <row r="625">
      <c r="A625" s="807"/>
      <c r="B625" s="813"/>
      <c r="C625" s="813"/>
      <c r="D625" s="807"/>
      <c r="E625" s="807"/>
      <c r="F625" s="801"/>
      <c r="G625" s="801"/>
      <c r="H625" s="801"/>
      <c r="I625" s="801"/>
      <c r="J625" s="807"/>
      <c r="K625" s="807"/>
      <c r="L625" s="807"/>
      <c r="M625" s="807"/>
      <c r="N625" s="807"/>
      <c r="O625" s="807"/>
      <c r="P625" s="807"/>
      <c r="Q625" s="807"/>
      <c r="R625" s="807"/>
      <c r="S625" s="807"/>
      <c r="T625" s="807"/>
      <c r="U625" s="807"/>
    </row>
    <row r="626">
      <c r="A626" s="807"/>
      <c r="B626" s="813"/>
      <c r="C626" s="813"/>
      <c r="D626" s="807"/>
      <c r="E626" s="807"/>
      <c r="F626" s="801"/>
      <c r="G626" s="801"/>
      <c r="H626" s="801"/>
      <c r="I626" s="801"/>
      <c r="J626" s="807"/>
      <c r="K626" s="807"/>
      <c r="L626" s="807"/>
      <c r="M626" s="807"/>
      <c r="N626" s="807"/>
      <c r="O626" s="807"/>
      <c r="P626" s="807"/>
      <c r="Q626" s="807"/>
      <c r="R626" s="807"/>
      <c r="S626" s="807"/>
      <c r="T626" s="807"/>
      <c r="U626" s="807"/>
    </row>
    <row r="627">
      <c r="A627" s="807"/>
      <c r="B627" s="813"/>
      <c r="C627" s="813"/>
      <c r="D627" s="807"/>
      <c r="E627" s="807"/>
      <c r="F627" s="801"/>
      <c r="G627" s="801"/>
      <c r="H627" s="801"/>
      <c r="I627" s="801"/>
      <c r="J627" s="807"/>
      <c r="K627" s="807"/>
      <c r="L627" s="807"/>
      <c r="M627" s="807"/>
      <c r="N627" s="807"/>
      <c r="O627" s="807"/>
      <c r="P627" s="807"/>
      <c r="Q627" s="807"/>
      <c r="R627" s="807"/>
      <c r="S627" s="807"/>
      <c r="T627" s="807"/>
      <c r="U627" s="807"/>
    </row>
    <row r="628">
      <c r="A628" s="807"/>
      <c r="B628" s="813"/>
      <c r="C628" s="813"/>
      <c r="D628" s="807"/>
      <c r="E628" s="807"/>
      <c r="F628" s="801"/>
      <c r="G628" s="801"/>
      <c r="H628" s="801"/>
      <c r="I628" s="801"/>
      <c r="J628" s="807"/>
      <c r="K628" s="807"/>
      <c r="L628" s="807"/>
      <c r="M628" s="807"/>
      <c r="N628" s="807"/>
      <c r="O628" s="807"/>
      <c r="P628" s="807"/>
      <c r="Q628" s="807"/>
      <c r="R628" s="807"/>
      <c r="S628" s="807"/>
      <c r="T628" s="807"/>
      <c r="U628" s="807"/>
    </row>
    <row r="629">
      <c r="A629" s="807"/>
      <c r="B629" s="813"/>
      <c r="C629" s="813"/>
      <c r="D629" s="807"/>
      <c r="E629" s="807"/>
      <c r="F629" s="801"/>
      <c r="G629" s="801"/>
      <c r="H629" s="801"/>
      <c r="I629" s="801"/>
      <c r="J629" s="807"/>
      <c r="K629" s="807"/>
      <c r="L629" s="807"/>
      <c r="M629" s="807"/>
      <c r="N629" s="807"/>
      <c r="O629" s="807"/>
      <c r="P629" s="807"/>
      <c r="Q629" s="807"/>
      <c r="R629" s="807"/>
      <c r="S629" s="807"/>
      <c r="T629" s="807"/>
      <c r="U629" s="807"/>
    </row>
    <row r="630">
      <c r="A630" s="807"/>
      <c r="B630" s="813"/>
      <c r="C630" s="813"/>
      <c r="D630" s="807"/>
      <c r="E630" s="807"/>
      <c r="F630" s="801"/>
      <c r="G630" s="801"/>
      <c r="H630" s="801"/>
      <c r="I630" s="801"/>
      <c r="J630" s="807"/>
      <c r="K630" s="807"/>
      <c r="L630" s="807"/>
      <c r="M630" s="807"/>
      <c r="N630" s="807"/>
      <c r="O630" s="807"/>
      <c r="P630" s="807"/>
      <c r="Q630" s="807"/>
      <c r="R630" s="807"/>
      <c r="S630" s="807"/>
      <c r="T630" s="807"/>
      <c r="U630" s="807"/>
    </row>
    <row r="631">
      <c r="A631" s="807"/>
      <c r="B631" s="813"/>
      <c r="C631" s="813"/>
      <c r="D631" s="807"/>
      <c r="E631" s="807"/>
      <c r="F631" s="801"/>
      <c r="G631" s="801"/>
      <c r="H631" s="801"/>
      <c r="I631" s="801"/>
      <c r="J631" s="807"/>
      <c r="K631" s="807"/>
      <c r="L631" s="807"/>
      <c r="M631" s="807"/>
      <c r="N631" s="807"/>
      <c r="O631" s="807"/>
      <c r="P631" s="807"/>
      <c r="Q631" s="807"/>
      <c r="R631" s="807"/>
      <c r="S631" s="807"/>
      <c r="T631" s="807"/>
      <c r="U631" s="807"/>
    </row>
    <row r="632">
      <c r="A632" s="807"/>
      <c r="B632" s="813"/>
      <c r="C632" s="813"/>
      <c r="D632" s="807"/>
      <c r="E632" s="807"/>
      <c r="F632" s="801"/>
      <c r="G632" s="801"/>
      <c r="H632" s="801"/>
      <c r="I632" s="801"/>
      <c r="J632" s="807"/>
      <c r="K632" s="807"/>
      <c r="L632" s="807"/>
      <c r="M632" s="807"/>
      <c r="N632" s="807"/>
      <c r="O632" s="807"/>
      <c r="P632" s="807"/>
      <c r="Q632" s="807"/>
      <c r="R632" s="807"/>
      <c r="S632" s="807"/>
      <c r="T632" s="807"/>
      <c r="U632" s="807"/>
    </row>
    <row r="633">
      <c r="A633" s="807"/>
      <c r="B633" s="813"/>
      <c r="C633" s="813"/>
      <c r="D633" s="807"/>
      <c r="E633" s="807"/>
      <c r="F633" s="801"/>
      <c r="G633" s="801"/>
      <c r="H633" s="801"/>
      <c r="I633" s="801"/>
      <c r="J633" s="807"/>
      <c r="K633" s="807"/>
      <c r="L633" s="807"/>
      <c r="M633" s="807"/>
      <c r="N633" s="807"/>
      <c r="O633" s="807"/>
      <c r="P633" s="807"/>
      <c r="Q633" s="807"/>
      <c r="R633" s="807"/>
      <c r="S633" s="807"/>
      <c r="T633" s="807"/>
      <c r="U633" s="807"/>
    </row>
    <row r="634">
      <c r="A634" s="807"/>
      <c r="B634" s="813"/>
      <c r="C634" s="813"/>
      <c r="D634" s="807"/>
      <c r="E634" s="807"/>
      <c r="F634" s="801"/>
      <c r="G634" s="801"/>
      <c r="H634" s="801"/>
      <c r="I634" s="801"/>
      <c r="J634" s="807"/>
      <c r="K634" s="807"/>
      <c r="L634" s="807"/>
      <c r="M634" s="807"/>
      <c r="N634" s="807"/>
      <c r="O634" s="807"/>
      <c r="P634" s="807"/>
      <c r="Q634" s="807"/>
      <c r="R634" s="807"/>
      <c r="S634" s="807"/>
      <c r="T634" s="807"/>
      <c r="U634" s="807"/>
    </row>
    <row r="635">
      <c r="A635" s="807"/>
      <c r="B635" s="813"/>
      <c r="C635" s="813"/>
      <c r="D635" s="807"/>
      <c r="E635" s="807"/>
      <c r="F635" s="801"/>
      <c r="G635" s="801"/>
      <c r="H635" s="801"/>
      <c r="I635" s="801"/>
      <c r="J635" s="807"/>
      <c r="K635" s="807"/>
      <c r="L635" s="807"/>
      <c r="M635" s="807"/>
      <c r="N635" s="807"/>
      <c r="O635" s="807"/>
      <c r="P635" s="807"/>
      <c r="Q635" s="807"/>
      <c r="R635" s="807"/>
      <c r="S635" s="807"/>
      <c r="T635" s="807"/>
      <c r="U635" s="807"/>
    </row>
    <row r="636">
      <c r="A636" s="807"/>
      <c r="B636" s="813"/>
      <c r="C636" s="813"/>
      <c r="D636" s="807"/>
      <c r="E636" s="807"/>
      <c r="F636" s="801"/>
      <c r="G636" s="801"/>
      <c r="H636" s="801"/>
      <c r="I636" s="801"/>
      <c r="J636" s="807"/>
      <c r="K636" s="807"/>
      <c r="L636" s="807"/>
      <c r="M636" s="807"/>
      <c r="N636" s="807"/>
      <c r="O636" s="807"/>
      <c r="P636" s="807"/>
      <c r="Q636" s="807"/>
      <c r="R636" s="807"/>
      <c r="S636" s="807"/>
      <c r="T636" s="807"/>
      <c r="U636" s="807"/>
    </row>
    <row r="637">
      <c r="A637" s="807"/>
      <c r="B637" s="813"/>
      <c r="C637" s="813"/>
      <c r="D637" s="807"/>
      <c r="E637" s="807"/>
      <c r="F637" s="801"/>
      <c r="G637" s="801"/>
      <c r="H637" s="801"/>
      <c r="I637" s="801"/>
      <c r="J637" s="807"/>
      <c r="K637" s="807"/>
      <c r="L637" s="807"/>
      <c r="M637" s="807"/>
      <c r="N637" s="807"/>
      <c r="O637" s="807"/>
      <c r="P637" s="807"/>
      <c r="Q637" s="807"/>
      <c r="R637" s="807"/>
      <c r="S637" s="807"/>
      <c r="T637" s="807"/>
      <c r="U637" s="807"/>
    </row>
    <row r="638">
      <c r="A638" s="807"/>
      <c r="B638" s="813"/>
      <c r="C638" s="813"/>
      <c r="D638" s="807"/>
      <c r="E638" s="807"/>
      <c r="F638" s="801"/>
      <c r="G638" s="801"/>
      <c r="H638" s="801"/>
      <c r="I638" s="801"/>
      <c r="J638" s="807"/>
      <c r="K638" s="807"/>
      <c r="L638" s="807"/>
      <c r="M638" s="807"/>
      <c r="N638" s="807"/>
      <c r="O638" s="807"/>
      <c r="P638" s="807"/>
      <c r="Q638" s="807"/>
      <c r="R638" s="807"/>
      <c r="S638" s="807"/>
      <c r="T638" s="807"/>
      <c r="U638" s="807"/>
    </row>
    <row r="639">
      <c r="A639" s="807"/>
      <c r="B639" s="813"/>
      <c r="C639" s="813"/>
      <c r="D639" s="807"/>
      <c r="E639" s="807"/>
      <c r="F639" s="801"/>
      <c r="G639" s="801"/>
      <c r="H639" s="801"/>
      <c r="I639" s="801"/>
      <c r="J639" s="807"/>
      <c r="K639" s="807"/>
      <c r="L639" s="807"/>
      <c r="M639" s="807"/>
      <c r="N639" s="807"/>
      <c r="O639" s="807"/>
      <c r="P639" s="807"/>
      <c r="Q639" s="807"/>
      <c r="R639" s="807"/>
      <c r="S639" s="807"/>
      <c r="T639" s="807"/>
      <c r="U639" s="807"/>
    </row>
    <row r="640">
      <c r="A640" s="807"/>
      <c r="B640" s="813"/>
      <c r="C640" s="813"/>
      <c r="D640" s="807"/>
      <c r="E640" s="807"/>
      <c r="F640" s="801"/>
      <c r="G640" s="801"/>
      <c r="H640" s="801"/>
      <c r="I640" s="801"/>
      <c r="J640" s="807"/>
      <c r="K640" s="807"/>
      <c r="L640" s="807"/>
      <c r="M640" s="807"/>
      <c r="N640" s="807"/>
      <c r="O640" s="807"/>
      <c r="P640" s="807"/>
      <c r="Q640" s="807"/>
      <c r="R640" s="807"/>
      <c r="S640" s="807"/>
      <c r="T640" s="807"/>
      <c r="U640" s="807"/>
    </row>
    <row r="641">
      <c r="A641" s="807"/>
      <c r="B641" s="813"/>
      <c r="C641" s="813"/>
      <c r="D641" s="807"/>
      <c r="E641" s="807"/>
      <c r="F641" s="801"/>
      <c r="G641" s="801"/>
      <c r="H641" s="801"/>
      <c r="I641" s="801"/>
      <c r="J641" s="807"/>
      <c r="K641" s="807"/>
      <c r="L641" s="807"/>
      <c r="M641" s="807"/>
      <c r="N641" s="807"/>
      <c r="O641" s="807"/>
      <c r="P641" s="807"/>
      <c r="Q641" s="807"/>
      <c r="R641" s="807"/>
      <c r="S641" s="807"/>
      <c r="T641" s="807"/>
      <c r="U641" s="807"/>
    </row>
    <row r="642">
      <c r="A642" s="807"/>
      <c r="B642" s="813"/>
      <c r="C642" s="813"/>
      <c r="D642" s="807"/>
      <c r="E642" s="807"/>
      <c r="F642" s="801"/>
      <c r="G642" s="801"/>
      <c r="H642" s="801"/>
      <c r="I642" s="801"/>
      <c r="J642" s="807"/>
      <c r="K642" s="807"/>
      <c r="L642" s="807"/>
      <c r="M642" s="807"/>
      <c r="N642" s="807"/>
      <c r="O642" s="807"/>
      <c r="P642" s="807"/>
      <c r="Q642" s="807"/>
      <c r="R642" s="807"/>
      <c r="S642" s="807"/>
      <c r="T642" s="807"/>
      <c r="U642" s="807"/>
    </row>
    <row r="643">
      <c r="A643" s="807"/>
      <c r="B643" s="813"/>
      <c r="C643" s="813"/>
      <c r="D643" s="807"/>
      <c r="E643" s="807"/>
      <c r="F643" s="801"/>
      <c r="G643" s="801"/>
      <c r="H643" s="801"/>
      <c r="I643" s="801"/>
      <c r="J643" s="807"/>
      <c r="K643" s="807"/>
      <c r="L643" s="807"/>
      <c r="M643" s="807"/>
      <c r="N643" s="807"/>
      <c r="O643" s="807"/>
      <c r="P643" s="807"/>
      <c r="Q643" s="807"/>
      <c r="R643" s="807"/>
      <c r="S643" s="807"/>
      <c r="T643" s="807"/>
      <c r="U643" s="807"/>
    </row>
    <row r="644">
      <c r="A644" s="807"/>
      <c r="B644" s="813"/>
      <c r="C644" s="813"/>
      <c r="D644" s="807"/>
      <c r="E644" s="807"/>
      <c r="F644" s="801"/>
      <c r="G644" s="801"/>
      <c r="H644" s="801"/>
      <c r="I644" s="801"/>
      <c r="J644" s="807"/>
      <c r="K644" s="807"/>
      <c r="L644" s="807"/>
      <c r="M644" s="807"/>
      <c r="N644" s="807"/>
      <c r="O644" s="807"/>
      <c r="P644" s="807"/>
      <c r="Q644" s="807"/>
      <c r="R644" s="807"/>
      <c r="S644" s="807"/>
      <c r="T644" s="807"/>
      <c r="U644" s="807"/>
    </row>
    <row r="645">
      <c r="A645" s="807"/>
      <c r="B645" s="813"/>
      <c r="C645" s="813"/>
      <c r="D645" s="807"/>
      <c r="E645" s="807"/>
      <c r="F645" s="801"/>
      <c r="G645" s="801"/>
      <c r="H645" s="801"/>
      <c r="I645" s="801"/>
      <c r="J645" s="807"/>
      <c r="K645" s="807"/>
      <c r="L645" s="807"/>
      <c r="M645" s="807"/>
      <c r="N645" s="807"/>
      <c r="O645" s="807"/>
      <c r="P645" s="807"/>
      <c r="Q645" s="807"/>
      <c r="R645" s="807"/>
      <c r="S645" s="807"/>
      <c r="T645" s="807"/>
      <c r="U645" s="807"/>
    </row>
    <row r="646">
      <c r="A646" s="807"/>
      <c r="B646" s="813"/>
      <c r="C646" s="813"/>
      <c r="D646" s="807"/>
      <c r="E646" s="807"/>
      <c r="F646" s="801"/>
      <c r="G646" s="801"/>
      <c r="H646" s="801"/>
      <c r="I646" s="801"/>
      <c r="J646" s="807"/>
      <c r="K646" s="807"/>
      <c r="L646" s="807"/>
      <c r="M646" s="807"/>
      <c r="N646" s="807"/>
      <c r="O646" s="807"/>
      <c r="P646" s="807"/>
      <c r="Q646" s="807"/>
      <c r="R646" s="807"/>
      <c r="S646" s="807"/>
      <c r="T646" s="807"/>
      <c r="U646" s="807"/>
    </row>
    <row r="647">
      <c r="A647" s="807"/>
      <c r="B647" s="813"/>
      <c r="C647" s="813"/>
      <c r="D647" s="807"/>
      <c r="E647" s="807"/>
      <c r="F647" s="801"/>
      <c r="G647" s="801"/>
      <c r="H647" s="801"/>
      <c r="I647" s="801"/>
      <c r="J647" s="807"/>
      <c r="K647" s="807"/>
      <c r="L647" s="807"/>
      <c r="M647" s="807"/>
      <c r="N647" s="807"/>
      <c r="O647" s="807"/>
      <c r="P647" s="807"/>
      <c r="Q647" s="807"/>
      <c r="R647" s="807"/>
      <c r="S647" s="807"/>
      <c r="T647" s="807"/>
      <c r="U647" s="807"/>
    </row>
    <row r="648">
      <c r="A648" s="807"/>
      <c r="B648" s="813"/>
      <c r="C648" s="813"/>
      <c r="D648" s="807"/>
      <c r="E648" s="807"/>
      <c r="F648" s="801"/>
      <c r="G648" s="801"/>
      <c r="H648" s="801"/>
      <c r="I648" s="801"/>
      <c r="J648" s="807"/>
      <c r="K648" s="807"/>
      <c r="L648" s="807"/>
      <c r="M648" s="807"/>
      <c r="N648" s="807"/>
      <c r="O648" s="807"/>
      <c r="P648" s="807"/>
      <c r="Q648" s="807"/>
      <c r="R648" s="807"/>
      <c r="S648" s="807"/>
      <c r="T648" s="807"/>
      <c r="U648" s="807"/>
    </row>
    <row r="649">
      <c r="A649" s="807"/>
      <c r="B649" s="813"/>
      <c r="C649" s="813"/>
      <c r="D649" s="807"/>
      <c r="E649" s="807"/>
      <c r="F649" s="801"/>
      <c r="G649" s="801"/>
      <c r="H649" s="801"/>
      <c r="I649" s="801"/>
      <c r="J649" s="807"/>
      <c r="K649" s="807"/>
      <c r="L649" s="807"/>
      <c r="M649" s="807"/>
      <c r="N649" s="807"/>
      <c r="O649" s="807"/>
      <c r="P649" s="807"/>
      <c r="Q649" s="807"/>
      <c r="R649" s="807"/>
      <c r="S649" s="807"/>
      <c r="T649" s="807"/>
      <c r="U649" s="807"/>
    </row>
    <row r="650">
      <c r="A650" s="807"/>
      <c r="B650" s="813"/>
      <c r="C650" s="813"/>
      <c r="D650" s="807"/>
      <c r="E650" s="807"/>
      <c r="F650" s="801"/>
      <c r="G650" s="801"/>
      <c r="H650" s="801"/>
      <c r="I650" s="801"/>
      <c r="J650" s="807"/>
      <c r="K650" s="807"/>
      <c r="L650" s="807"/>
      <c r="M650" s="807"/>
      <c r="N650" s="807"/>
      <c r="O650" s="807"/>
      <c r="P650" s="807"/>
      <c r="Q650" s="807"/>
      <c r="R650" s="807"/>
      <c r="S650" s="807"/>
      <c r="T650" s="807"/>
      <c r="U650" s="807"/>
    </row>
    <row r="651">
      <c r="A651" s="807"/>
      <c r="B651" s="813"/>
      <c r="C651" s="813"/>
      <c r="D651" s="807"/>
      <c r="E651" s="807"/>
      <c r="F651" s="801"/>
      <c r="G651" s="801"/>
      <c r="H651" s="801"/>
      <c r="I651" s="801"/>
      <c r="J651" s="807"/>
      <c r="K651" s="807"/>
      <c r="L651" s="807"/>
      <c r="M651" s="807"/>
      <c r="N651" s="807"/>
      <c r="O651" s="807"/>
      <c r="P651" s="807"/>
      <c r="Q651" s="807"/>
      <c r="R651" s="807"/>
      <c r="S651" s="807"/>
      <c r="T651" s="807"/>
      <c r="U651" s="807"/>
    </row>
    <row r="652">
      <c r="A652" s="807"/>
      <c r="B652" s="813"/>
      <c r="C652" s="813"/>
      <c r="D652" s="807"/>
      <c r="E652" s="807"/>
      <c r="F652" s="801"/>
      <c r="G652" s="801"/>
      <c r="H652" s="801"/>
      <c r="I652" s="801"/>
      <c r="J652" s="807"/>
      <c r="K652" s="807"/>
      <c r="L652" s="807"/>
      <c r="M652" s="807"/>
      <c r="N652" s="807"/>
      <c r="O652" s="807"/>
      <c r="P652" s="807"/>
      <c r="Q652" s="807"/>
      <c r="R652" s="807"/>
      <c r="S652" s="807"/>
      <c r="T652" s="807"/>
      <c r="U652" s="807"/>
    </row>
    <row r="653">
      <c r="A653" s="807"/>
      <c r="B653" s="813"/>
      <c r="C653" s="813"/>
      <c r="D653" s="807"/>
      <c r="E653" s="807"/>
      <c r="F653" s="801"/>
      <c r="G653" s="801"/>
      <c r="H653" s="801"/>
      <c r="I653" s="801"/>
      <c r="J653" s="807"/>
      <c r="K653" s="807"/>
      <c r="L653" s="807"/>
      <c r="M653" s="807"/>
      <c r="N653" s="807"/>
      <c r="O653" s="807"/>
      <c r="P653" s="807"/>
      <c r="Q653" s="807"/>
      <c r="R653" s="807"/>
      <c r="S653" s="807"/>
      <c r="T653" s="807"/>
      <c r="U653" s="807"/>
    </row>
    <row r="654">
      <c r="A654" s="807"/>
      <c r="B654" s="813"/>
      <c r="C654" s="813"/>
      <c r="D654" s="807"/>
      <c r="E654" s="807"/>
      <c r="F654" s="801"/>
      <c r="G654" s="801"/>
      <c r="H654" s="801"/>
      <c r="I654" s="801"/>
      <c r="J654" s="807"/>
      <c r="K654" s="807"/>
      <c r="L654" s="807"/>
      <c r="M654" s="807"/>
      <c r="N654" s="807"/>
      <c r="O654" s="807"/>
      <c r="P654" s="807"/>
      <c r="Q654" s="807"/>
      <c r="R654" s="807"/>
      <c r="S654" s="807"/>
      <c r="T654" s="807"/>
      <c r="U654" s="807"/>
    </row>
    <row r="655">
      <c r="A655" s="807"/>
      <c r="B655" s="813"/>
      <c r="C655" s="813"/>
      <c r="D655" s="807"/>
      <c r="E655" s="807"/>
      <c r="F655" s="801"/>
      <c r="G655" s="801"/>
      <c r="H655" s="801"/>
      <c r="I655" s="801"/>
      <c r="J655" s="807"/>
      <c r="K655" s="807"/>
      <c r="L655" s="807"/>
      <c r="M655" s="807"/>
      <c r="N655" s="807"/>
      <c r="O655" s="807"/>
      <c r="P655" s="807"/>
      <c r="Q655" s="807"/>
      <c r="R655" s="807"/>
      <c r="S655" s="807"/>
      <c r="T655" s="807"/>
      <c r="U655" s="807"/>
    </row>
    <row r="656">
      <c r="A656" s="807"/>
      <c r="B656" s="813"/>
      <c r="C656" s="813"/>
      <c r="D656" s="807"/>
      <c r="E656" s="807"/>
      <c r="F656" s="801"/>
      <c r="G656" s="801"/>
      <c r="H656" s="801"/>
      <c r="I656" s="801"/>
      <c r="J656" s="807"/>
      <c r="K656" s="807"/>
      <c r="L656" s="807"/>
      <c r="M656" s="807"/>
      <c r="N656" s="807"/>
      <c r="O656" s="807"/>
      <c r="P656" s="807"/>
      <c r="Q656" s="807"/>
      <c r="R656" s="807"/>
      <c r="S656" s="807"/>
      <c r="T656" s="807"/>
      <c r="U656" s="807"/>
    </row>
    <row r="657">
      <c r="A657" s="807"/>
      <c r="B657" s="813"/>
      <c r="C657" s="813"/>
      <c r="D657" s="807"/>
      <c r="E657" s="807"/>
      <c r="F657" s="801"/>
      <c r="G657" s="801"/>
      <c r="H657" s="801"/>
      <c r="I657" s="801"/>
      <c r="J657" s="807"/>
      <c r="K657" s="807"/>
      <c r="L657" s="807"/>
      <c r="M657" s="807"/>
      <c r="N657" s="807"/>
      <c r="O657" s="807"/>
      <c r="P657" s="807"/>
      <c r="Q657" s="807"/>
      <c r="R657" s="807"/>
      <c r="S657" s="807"/>
      <c r="T657" s="807"/>
      <c r="U657" s="807"/>
    </row>
    <row r="658">
      <c r="A658" s="807"/>
      <c r="B658" s="813"/>
      <c r="C658" s="813"/>
      <c r="D658" s="807"/>
      <c r="E658" s="807"/>
      <c r="F658" s="801"/>
      <c r="G658" s="801"/>
      <c r="H658" s="801"/>
      <c r="I658" s="801"/>
      <c r="J658" s="807"/>
      <c r="K658" s="807"/>
      <c r="L658" s="807"/>
      <c r="M658" s="807"/>
      <c r="N658" s="807"/>
      <c r="O658" s="807"/>
      <c r="P658" s="807"/>
      <c r="Q658" s="807"/>
      <c r="R658" s="807"/>
      <c r="S658" s="807"/>
      <c r="T658" s="807"/>
      <c r="U658" s="807"/>
    </row>
    <row r="659">
      <c r="A659" s="807"/>
      <c r="B659" s="813"/>
      <c r="C659" s="813"/>
      <c r="D659" s="807"/>
      <c r="E659" s="807"/>
      <c r="F659" s="801"/>
      <c r="G659" s="801"/>
      <c r="H659" s="801"/>
      <c r="I659" s="801"/>
      <c r="J659" s="807"/>
      <c r="K659" s="807"/>
      <c r="L659" s="807"/>
      <c r="M659" s="807"/>
      <c r="N659" s="807"/>
      <c r="O659" s="807"/>
      <c r="P659" s="807"/>
      <c r="Q659" s="807"/>
      <c r="R659" s="807"/>
      <c r="S659" s="807"/>
      <c r="T659" s="807"/>
      <c r="U659" s="807"/>
    </row>
    <row r="660">
      <c r="A660" s="807"/>
      <c r="B660" s="813"/>
      <c r="C660" s="813"/>
      <c r="D660" s="807"/>
      <c r="E660" s="807"/>
      <c r="F660" s="801"/>
      <c r="G660" s="801"/>
      <c r="H660" s="801"/>
      <c r="I660" s="801"/>
      <c r="J660" s="807"/>
      <c r="K660" s="807"/>
      <c r="L660" s="807"/>
      <c r="M660" s="807"/>
      <c r="N660" s="807"/>
      <c r="O660" s="807"/>
      <c r="P660" s="807"/>
      <c r="Q660" s="807"/>
      <c r="R660" s="807"/>
      <c r="S660" s="807"/>
      <c r="T660" s="807"/>
      <c r="U660" s="807"/>
    </row>
    <row r="661">
      <c r="A661" s="807"/>
      <c r="B661" s="813"/>
      <c r="C661" s="813"/>
      <c r="D661" s="807"/>
      <c r="E661" s="807"/>
      <c r="F661" s="801"/>
      <c r="G661" s="801"/>
      <c r="H661" s="801"/>
      <c r="I661" s="801"/>
      <c r="J661" s="807"/>
      <c r="K661" s="807"/>
      <c r="L661" s="807"/>
      <c r="M661" s="807"/>
      <c r="N661" s="807"/>
      <c r="O661" s="807"/>
      <c r="P661" s="807"/>
      <c r="Q661" s="807"/>
      <c r="R661" s="807"/>
      <c r="S661" s="807"/>
      <c r="T661" s="807"/>
      <c r="U661" s="807"/>
    </row>
    <row r="662">
      <c r="A662" s="807"/>
      <c r="B662" s="813"/>
      <c r="C662" s="813"/>
      <c r="D662" s="807"/>
      <c r="E662" s="807"/>
      <c r="F662" s="801"/>
      <c r="G662" s="801"/>
      <c r="H662" s="801"/>
      <c r="I662" s="801"/>
      <c r="J662" s="807"/>
      <c r="K662" s="807"/>
      <c r="L662" s="807"/>
      <c r="M662" s="807"/>
      <c r="N662" s="807"/>
      <c r="O662" s="807"/>
      <c r="P662" s="807"/>
      <c r="Q662" s="807"/>
      <c r="R662" s="807"/>
      <c r="S662" s="807"/>
      <c r="T662" s="807"/>
      <c r="U662" s="807"/>
    </row>
    <row r="663">
      <c r="A663" s="807"/>
      <c r="B663" s="813"/>
      <c r="C663" s="813"/>
      <c r="D663" s="807"/>
      <c r="E663" s="807"/>
      <c r="F663" s="801"/>
      <c r="G663" s="801"/>
      <c r="H663" s="801"/>
      <c r="I663" s="801"/>
      <c r="J663" s="807"/>
      <c r="K663" s="807"/>
      <c r="L663" s="807"/>
      <c r="M663" s="807"/>
      <c r="N663" s="807"/>
      <c r="O663" s="807"/>
      <c r="P663" s="807"/>
      <c r="Q663" s="807"/>
      <c r="R663" s="807"/>
      <c r="S663" s="807"/>
      <c r="T663" s="807"/>
      <c r="U663" s="807"/>
    </row>
    <row r="664">
      <c r="A664" s="807"/>
      <c r="B664" s="813"/>
      <c r="C664" s="813"/>
      <c r="D664" s="807"/>
      <c r="E664" s="807"/>
      <c r="F664" s="801"/>
      <c r="G664" s="801"/>
      <c r="H664" s="801"/>
      <c r="I664" s="801"/>
      <c r="J664" s="807"/>
      <c r="K664" s="807"/>
      <c r="L664" s="807"/>
      <c r="M664" s="807"/>
      <c r="N664" s="807"/>
      <c r="O664" s="807"/>
      <c r="P664" s="807"/>
      <c r="Q664" s="807"/>
      <c r="R664" s="807"/>
      <c r="S664" s="807"/>
      <c r="T664" s="807"/>
      <c r="U664" s="807"/>
    </row>
    <row r="665">
      <c r="A665" s="807"/>
      <c r="B665" s="813"/>
      <c r="C665" s="813"/>
      <c r="D665" s="807"/>
      <c r="E665" s="807"/>
      <c r="F665" s="801"/>
      <c r="G665" s="801"/>
      <c r="H665" s="801"/>
      <c r="I665" s="801"/>
      <c r="J665" s="807"/>
      <c r="K665" s="807"/>
      <c r="L665" s="807"/>
      <c r="M665" s="807"/>
      <c r="N665" s="807"/>
      <c r="O665" s="807"/>
      <c r="P665" s="807"/>
      <c r="Q665" s="807"/>
      <c r="R665" s="807"/>
      <c r="S665" s="807"/>
      <c r="T665" s="807"/>
      <c r="U665" s="807"/>
    </row>
    <row r="666">
      <c r="A666" s="807"/>
      <c r="B666" s="813"/>
      <c r="C666" s="813"/>
      <c r="D666" s="807"/>
      <c r="E666" s="807"/>
      <c r="F666" s="801"/>
      <c r="G666" s="801"/>
      <c r="H666" s="801"/>
      <c r="I666" s="801"/>
      <c r="J666" s="807"/>
      <c r="K666" s="807"/>
      <c r="L666" s="807"/>
      <c r="M666" s="807"/>
      <c r="N666" s="807"/>
      <c r="O666" s="807"/>
      <c r="P666" s="807"/>
      <c r="Q666" s="807"/>
      <c r="R666" s="807"/>
      <c r="S666" s="807"/>
      <c r="T666" s="807"/>
      <c r="U666" s="807"/>
    </row>
    <row r="667">
      <c r="A667" s="807"/>
      <c r="B667" s="813"/>
      <c r="C667" s="813"/>
      <c r="D667" s="807"/>
      <c r="E667" s="807"/>
      <c r="F667" s="801"/>
      <c r="G667" s="801"/>
      <c r="H667" s="801"/>
      <c r="I667" s="801"/>
      <c r="J667" s="807"/>
      <c r="K667" s="807"/>
      <c r="L667" s="807"/>
      <c r="M667" s="807"/>
      <c r="N667" s="807"/>
      <c r="O667" s="807"/>
      <c r="P667" s="807"/>
      <c r="Q667" s="807"/>
      <c r="R667" s="807"/>
      <c r="S667" s="807"/>
      <c r="T667" s="807"/>
      <c r="U667" s="807"/>
    </row>
    <row r="668">
      <c r="A668" s="807"/>
      <c r="B668" s="813"/>
      <c r="C668" s="813"/>
      <c r="D668" s="807"/>
      <c r="E668" s="807"/>
      <c r="F668" s="801"/>
      <c r="G668" s="801"/>
      <c r="H668" s="801"/>
      <c r="I668" s="801"/>
      <c r="J668" s="807"/>
      <c r="K668" s="807"/>
      <c r="L668" s="807"/>
      <c r="M668" s="807"/>
      <c r="N668" s="807"/>
      <c r="O668" s="807"/>
      <c r="P668" s="807"/>
      <c r="Q668" s="807"/>
      <c r="R668" s="807"/>
      <c r="S668" s="807"/>
      <c r="T668" s="807"/>
      <c r="U668" s="807"/>
    </row>
    <row r="669">
      <c r="A669" s="807"/>
      <c r="B669" s="813"/>
      <c r="C669" s="813"/>
      <c r="D669" s="807"/>
      <c r="E669" s="807"/>
      <c r="F669" s="801"/>
      <c r="G669" s="801"/>
      <c r="H669" s="801"/>
      <c r="I669" s="801"/>
      <c r="J669" s="807"/>
      <c r="K669" s="807"/>
      <c r="L669" s="807"/>
      <c r="M669" s="807"/>
      <c r="N669" s="807"/>
      <c r="O669" s="807"/>
      <c r="P669" s="807"/>
      <c r="Q669" s="807"/>
      <c r="R669" s="807"/>
      <c r="S669" s="807"/>
      <c r="T669" s="807"/>
      <c r="U669" s="807"/>
    </row>
    <row r="670">
      <c r="A670" s="807"/>
      <c r="B670" s="813"/>
      <c r="C670" s="813"/>
      <c r="D670" s="807"/>
      <c r="E670" s="807"/>
      <c r="F670" s="801"/>
      <c r="G670" s="801"/>
      <c r="H670" s="801"/>
      <c r="I670" s="801"/>
      <c r="J670" s="807"/>
      <c r="K670" s="807"/>
      <c r="L670" s="807"/>
      <c r="M670" s="807"/>
      <c r="N670" s="807"/>
      <c r="O670" s="807"/>
      <c r="P670" s="807"/>
      <c r="Q670" s="807"/>
      <c r="R670" s="807"/>
      <c r="S670" s="807"/>
      <c r="T670" s="807"/>
      <c r="U670" s="807"/>
    </row>
    <row r="671">
      <c r="A671" s="807"/>
      <c r="B671" s="813"/>
      <c r="C671" s="813"/>
      <c r="D671" s="807"/>
      <c r="E671" s="807"/>
      <c r="F671" s="801"/>
      <c r="G671" s="801"/>
      <c r="H671" s="801"/>
      <c r="I671" s="801"/>
      <c r="J671" s="807"/>
      <c r="K671" s="807"/>
      <c r="L671" s="807"/>
      <c r="M671" s="807"/>
      <c r="N671" s="807"/>
      <c r="O671" s="807"/>
      <c r="P671" s="807"/>
      <c r="Q671" s="807"/>
      <c r="R671" s="807"/>
      <c r="S671" s="807"/>
      <c r="T671" s="807"/>
      <c r="U671" s="807"/>
    </row>
    <row r="672">
      <c r="A672" s="807"/>
      <c r="B672" s="813"/>
      <c r="C672" s="813"/>
      <c r="D672" s="807"/>
      <c r="E672" s="807"/>
      <c r="F672" s="801"/>
      <c r="G672" s="801"/>
      <c r="H672" s="801"/>
      <c r="I672" s="801"/>
      <c r="J672" s="807"/>
      <c r="K672" s="807"/>
      <c r="L672" s="807"/>
      <c r="M672" s="807"/>
      <c r="N672" s="807"/>
      <c r="O672" s="807"/>
      <c r="P672" s="807"/>
      <c r="Q672" s="807"/>
      <c r="R672" s="807"/>
      <c r="S672" s="807"/>
      <c r="T672" s="807"/>
      <c r="U672" s="807"/>
    </row>
    <row r="673">
      <c r="A673" s="807"/>
      <c r="B673" s="813"/>
      <c r="C673" s="813"/>
      <c r="D673" s="807"/>
      <c r="E673" s="807"/>
      <c r="F673" s="801"/>
      <c r="G673" s="801"/>
      <c r="H673" s="801"/>
      <c r="I673" s="801"/>
      <c r="J673" s="807"/>
      <c r="K673" s="807"/>
      <c r="L673" s="807"/>
      <c r="M673" s="807"/>
      <c r="N673" s="807"/>
      <c r="O673" s="807"/>
      <c r="P673" s="807"/>
      <c r="Q673" s="807"/>
      <c r="R673" s="807"/>
      <c r="S673" s="807"/>
      <c r="T673" s="807"/>
      <c r="U673" s="807"/>
    </row>
    <row r="674">
      <c r="A674" s="807"/>
      <c r="B674" s="813"/>
      <c r="C674" s="813"/>
      <c r="D674" s="807"/>
      <c r="E674" s="807"/>
      <c r="F674" s="801"/>
      <c r="G674" s="801"/>
      <c r="H674" s="801"/>
      <c r="I674" s="801"/>
      <c r="J674" s="807"/>
      <c r="K674" s="807"/>
      <c r="L674" s="807"/>
      <c r="M674" s="807"/>
      <c r="N674" s="807"/>
      <c r="O674" s="807"/>
      <c r="P674" s="807"/>
      <c r="Q674" s="807"/>
      <c r="R674" s="807"/>
      <c r="S674" s="807"/>
      <c r="T674" s="807"/>
      <c r="U674" s="807"/>
    </row>
    <row r="675">
      <c r="A675" s="807"/>
      <c r="B675" s="813"/>
      <c r="C675" s="813"/>
      <c r="D675" s="807"/>
      <c r="E675" s="807"/>
      <c r="F675" s="801"/>
      <c r="G675" s="801"/>
      <c r="H675" s="801"/>
      <c r="I675" s="801"/>
      <c r="J675" s="807"/>
      <c r="K675" s="807"/>
      <c r="L675" s="807"/>
      <c r="M675" s="807"/>
      <c r="N675" s="807"/>
      <c r="O675" s="807"/>
      <c r="P675" s="807"/>
      <c r="Q675" s="807"/>
      <c r="R675" s="807"/>
      <c r="S675" s="807"/>
      <c r="T675" s="807"/>
      <c r="U675" s="807"/>
    </row>
    <row r="676">
      <c r="A676" s="807"/>
      <c r="B676" s="813"/>
      <c r="C676" s="813"/>
      <c r="D676" s="807"/>
      <c r="E676" s="807"/>
      <c r="F676" s="801"/>
      <c r="G676" s="801"/>
      <c r="H676" s="801"/>
      <c r="I676" s="801"/>
      <c r="J676" s="807"/>
      <c r="K676" s="807"/>
      <c r="L676" s="807"/>
      <c r="M676" s="807"/>
      <c r="N676" s="807"/>
      <c r="O676" s="807"/>
      <c r="P676" s="807"/>
      <c r="Q676" s="807"/>
      <c r="R676" s="807"/>
      <c r="S676" s="807"/>
      <c r="T676" s="807"/>
      <c r="U676" s="807"/>
    </row>
    <row r="677">
      <c r="A677" s="807"/>
      <c r="B677" s="813"/>
      <c r="C677" s="813"/>
      <c r="D677" s="807"/>
      <c r="E677" s="807"/>
      <c r="F677" s="801"/>
      <c r="G677" s="801"/>
      <c r="H677" s="801"/>
      <c r="I677" s="801"/>
      <c r="J677" s="807"/>
      <c r="K677" s="807"/>
      <c r="L677" s="807"/>
      <c r="M677" s="807"/>
      <c r="N677" s="807"/>
      <c r="O677" s="807"/>
      <c r="P677" s="807"/>
      <c r="Q677" s="807"/>
      <c r="R677" s="807"/>
      <c r="S677" s="807"/>
      <c r="T677" s="807"/>
      <c r="U677" s="807"/>
    </row>
    <row r="678">
      <c r="A678" s="807"/>
      <c r="B678" s="813"/>
      <c r="C678" s="813"/>
      <c r="D678" s="807"/>
      <c r="E678" s="807"/>
      <c r="F678" s="801"/>
      <c r="G678" s="801"/>
      <c r="H678" s="801"/>
      <c r="I678" s="801"/>
      <c r="J678" s="807"/>
      <c r="K678" s="807"/>
      <c r="L678" s="807"/>
      <c r="M678" s="807"/>
      <c r="N678" s="807"/>
      <c r="O678" s="807"/>
      <c r="P678" s="807"/>
      <c r="Q678" s="807"/>
      <c r="R678" s="807"/>
      <c r="S678" s="807"/>
      <c r="T678" s="807"/>
      <c r="U678" s="807"/>
    </row>
    <row r="679">
      <c r="A679" s="807"/>
      <c r="B679" s="813"/>
      <c r="C679" s="813"/>
      <c r="D679" s="807"/>
      <c r="E679" s="807"/>
      <c r="F679" s="801"/>
      <c r="G679" s="801"/>
      <c r="H679" s="801"/>
      <c r="I679" s="801"/>
      <c r="J679" s="807"/>
      <c r="K679" s="807"/>
      <c r="L679" s="807"/>
      <c r="M679" s="807"/>
      <c r="N679" s="807"/>
      <c r="O679" s="807"/>
      <c r="P679" s="807"/>
      <c r="Q679" s="807"/>
      <c r="R679" s="807"/>
      <c r="S679" s="807"/>
      <c r="T679" s="807"/>
      <c r="U679" s="807"/>
    </row>
    <row r="680">
      <c r="A680" s="807"/>
      <c r="B680" s="813"/>
      <c r="C680" s="813"/>
      <c r="D680" s="807"/>
      <c r="E680" s="807"/>
      <c r="F680" s="801"/>
      <c r="G680" s="801"/>
      <c r="H680" s="801"/>
      <c r="I680" s="801"/>
      <c r="J680" s="807"/>
      <c r="K680" s="807"/>
      <c r="L680" s="807"/>
      <c r="M680" s="807"/>
      <c r="N680" s="807"/>
      <c r="O680" s="807"/>
      <c r="P680" s="807"/>
      <c r="Q680" s="807"/>
      <c r="R680" s="807"/>
      <c r="S680" s="807"/>
      <c r="T680" s="807"/>
      <c r="U680" s="807"/>
    </row>
    <row r="681">
      <c r="A681" s="807"/>
      <c r="B681" s="813"/>
      <c r="C681" s="813"/>
      <c r="D681" s="807"/>
      <c r="E681" s="807"/>
      <c r="F681" s="801"/>
      <c r="G681" s="801"/>
      <c r="H681" s="801"/>
      <c r="I681" s="801"/>
      <c r="J681" s="807"/>
      <c r="K681" s="807"/>
      <c r="L681" s="807"/>
      <c r="M681" s="807"/>
      <c r="N681" s="807"/>
      <c r="O681" s="807"/>
      <c r="P681" s="807"/>
      <c r="Q681" s="807"/>
      <c r="R681" s="807"/>
      <c r="S681" s="807"/>
      <c r="T681" s="807"/>
      <c r="U681" s="807"/>
    </row>
    <row r="682">
      <c r="A682" s="807"/>
      <c r="B682" s="813"/>
      <c r="C682" s="813"/>
      <c r="D682" s="807"/>
      <c r="E682" s="807"/>
      <c r="F682" s="801"/>
      <c r="G682" s="801"/>
      <c r="H682" s="801"/>
      <c r="I682" s="801"/>
      <c r="J682" s="807"/>
      <c r="K682" s="807"/>
      <c r="L682" s="807"/>
      <c r="M682" s="807"/>
      <c r="N682" s="807"/>
      <c r="O682" s="807"/>
      <c r="P682" s="807"/>
      <c r="Q682" s="807"/>
      <c r="R682" s="807"/>
      <c r="S682" s="807"/>
      <c r="T682" s="807"/>
      <c r="U682" s="807"/>
    </row>
    <row r="683">
      <c r="A683" s="807"/>
      <c r="B683" s="813"/>
      <c r="C683" s="813"/>
      <c r="D683" s="807"/>
      <c r="E683" s="807"/>
      <c r="F683" s="801"/>
      <c r="G683" s="801"/>
      <c r="H683" s="801"/>
      <c r="I683" s="801"/>
      <c r="J683" s="807"/>
      <c r="K683" s="807"/>
      <c r="L683" s="807"/>
      <c r="M683" s="807"/>
      <c r="N683" s="807"/>
      <c r="O683" s="807"/>
      <c r="P683" s="807"/>
      <c r="Q683" s="807"/>
      <c r="R683" s="807"/>
      <c r="S683" s="807"/>
      <c r="T683" s="807"/>
      <c r="U683" s="807"/>
    </row>
    <row r="684">
      <c r="A684" s="807"/>
      <c r="B684" s="813"/>
      <c r="C684" s="813"/>
      <c r="D684" s="807"/>
      <c r="E684" s="807"/>
      <c r="F684" s="801"/>
      <c r="G684" s="801"/>
      <c r="H684" s="801"/>
      <c r="I684" s="801"/>
      <c r="J684" s="807"/>
      <c r="K684" s="807"/>
      <c r="L684" s="807"/>
      <c r="M684" s="807"/>
      <c r="N684" s="807"/>
      <c r="O684" s="807"/>
      <c r="P684" s="807"/>
      <c r="Q684" s="807"/>
      <c r="R684" s="807"/>
      <c r="S684" s="807"/>
      <c r="T684" s="807"/>
      <c r="U684" s="807"/>
    </row>
    <row r="685">
      <c r="A685" s="807"/>
      <c r="B685" s="813"/>
      <c r="C685" s="813"/>
      <c r="D685" s="807"/>
      <c r="E685" s="807"/>
      <c r="F685" s="801"/>
      <c r="G685" s="801"/>
      <c r="H685" s="801"/>
      <c r="I685" s="801"/>
      <c r="J685" s="807"/>
      <c r="K685" s="807"/>
      <c r="L685" s="807"/>
      <c r="M685" s="807"/>
      <c r="N685" s="807"/>
      <c r="O685" s="807"/>
      <c r="P685" s="807"/>
      <c r="Q685" s="807"/>
      <c r="R685" s="807"/>
      <c r="S685" s="807"/>
      <c r="T685" s="807"/>
      <c r="U685" s="807"/>
    </row>
    <row r="686">
      <c r="A686" s="807"/>
      <c r="B686" s="813"/>
      <c r="C686" s="813"/>
      <c r="D686" s="807"/>
      <c r="E686" s="807"/>
      <c r="F686" s="801"/>
      <c r="G686" s="801"/>
      <c r="H686" s="801"/>
      <c r="I686" s="801"/>
      <c r="J686" s="807"/>
      <c r="K686" s="807"/>
      <c r="L686" s="807"/>
      <c r="M686" s="807"/>
      <c r="N686" s="807"/>
      <c r="O686" s="807"/>
      <c r="P686" s="807"/>
      <c r="Q686" s="807"/>
      <c r="R686" s="807"/>
      <c r="S686" s="807"/>
      <c r="T686" s="807"/>
      <c r="U686" s="807"/>
    </row>
    <row r="687">
      <c r="A687" s="807"/>
      <c r="B687" s="813"/>
      <c r="C687" s="813"/>
      <c r="D687" s="807"/>
      <c r="E687" s="807"/>
      <c r="F687" s="801"/>
      <c r="G687" s="801"/>
      <c r="H687" s="801"/>
      <c r="I687" s="801"/>
      <c r="J687" s="807"/>
      <c r="K687" s="807"/>
      <c r="L687" s="807"/>
      <c r="M687" s="807"/>
      <c r="N687" s="807"/>
      <c r="O687" s="807"/>
      <c r="P687" s="807"/>
      <c r="Q687" s="807"/>
      <c r="R687" s="807"/>
      <c r="S687" s="807"/>
      <c r="T687" s="807"/>
      <c r="U687" s="807"/>
    </row>
    <row r="688">
      <c r="A688" s="807"/>
      <c r="B688" s="813"/>
      <c r="C688" s="813"/>
      <c r="D688" s="807"/>
      <c r="E688" s="807"/>
      <c r="F688" s="801"/>
      <c r="G688" s="801"/>
      <c r="H688" s="801"/>
      <c r="I688" s="801"/>
      <c r="J688" s="807"/>
      <c r="K688" s="807"/>
      <c r="L688" s="807"/>
      <c r="M688" s="807"/>
      <c r="N688" s="807"/>
      <c r="O688" s="807"/>
      <c r="P688" s="807"/>
      <c r="Q688" s="807"/>
      <c r="R688" s="807"/>
      <c r="S688" s="807"/>
      <c r="T688" s="807"/>
      <c r="U688" s="807"/>
    </row>
    <row r="689">
      <c r="A689" s="807"/>
      <c r="B689" s="813"/>
      <c r="C689" s="813"/>
      <c r="D689" s="807"/>
      <c r="E689" s="807"/>
      <c r="F689" s="801"/>
      <c r="G689" s="801"/>
      <c r="H689" s="801"/>
      <c r="I689" s="801"/>
      <c r="J689" s="807"/>
      <c r="K689" s="807"/>
      <c r="L689" s="807"/>
      <c r="M689" s="807"/>
      <c r="N689" s="807"/>
      <c r="O689" s="807"/>
      <c r="P689" s="807"/>
      <c r="Q689" s="807"/>
      <c r="R689" s="807"/>
      <c r="S689" s="807"/>
      <c r="T689" s="807"/>
      <c r="U689" s="807"/>
    </row>
    <row r="690">
      <c r="A690" s="807"/>
      <c r="B690" s="813"/>
      <c r="C690" s="813"/>
      <c r="D690" s="807"/>
      <c r="E690" s="807"/>
      <c r="F690" s="801"/>
      <c r="G690" s="801"/>
      <c r="H690" s="801"/>
      <c r="I690" s="801"/>
      <c r="J690" s="807"/>
      <c r="K690" s="807"/>
      <c r="L690" s="807"/>
      <c r="M690" s="807"/>
      <c r="N690" s="807"/>
      <c r="O690" s="807"/>
      <c r="P690" s="807"/>
      <c r="Q690" s="807"/>
      <c r="R690" s="807"/>
      <c r="S690" s="807"/>
      <c r="T690" s="807"/>
      <c r="U690" s="807"/>
    </row>
    <row r="691">
      <c r="A691" s="807"/>
      <c r="B691" s="813"/>
      <c r="C691" s="813"/>
      <c r="D691" s="807"/>
      <c r="E691" s="807"/>
      <c r="F691" s="801"/>
      <c r="G691" s="801"/>
      <c r="H691" s="801"/>
      <c r="I691" s="801"/>
      <c r="J691" s="807"/>
      <c r="K691" s="807"/>
      <c r="L691" s="807"/>
      <c r="M691" s="807"/>
      <c r="N691" s="807"/>
      <c r="O691" s="807"/>
      <c r="P691" s="807"/>
      <c r="Q691" s="807"/>
      <c r="R691" s="807"/>
      <c r="S691" s="807"/>
      <c r="T691" s="807"/>
      <c r="U691" s="807"/>
    </row>
    <row r="692">
      <c r="A692" s="807"/>
      <c r="B692" s="813"/>
      <c r="C692" s="813"/>
      <c r="D692" s="807"/>
      <c r="E692" s="807"/>
      <c r="F692" s="801"/>
      <c r="G692" s="801"/>
      <c r="H692" s="801"/>
      <c r="I692" s="801"/>
      <c r="J692" s="807"/>
      <c r="K692" s="807"/>
      <c r="L692" s="807"/>
      <c r="M692" s="807"/>
      <c r="N692" s="807"/>
      <c r="O692" s="807"/>
      <c r="P692" s="807"/>
      <c r="Q692" s="807"/>
      <c r="R692" s="807"/>
      <c r="S692" s="807"/>
      <c r="T692" s="807"/>
      <c r="U692" s="807"/>
    </row>
    <row r="693">
      <c r="A693" s="807"/>
      <c r="B693" s="813"/>
      <c r="C693" s="813"/>
      <c r="D693" s="807"/>
      <c r="E693" s="807"/>
      <c r="F693" s="801"/>
      <c r="G693" s="801"/>
      <c r="H693" s="801"/>
      <c r="I693" s="801"/>
      <c r="J693" s="807"/>
      <c r="K693" s="807"/>
      <c r="L693" s="807"/>
      <c r="M693" s="807"/>
      <c r="N693" s="807"/>
      <c r="O693" s="807"/>
      <c r="P693" s="807"/>
      <c r="Q693" s="807"/>
      <c r="R693" s="807"/>
      <c r="S693" s="807"/>
      <c r="T693" s="807"/>
      <c r="U693" s="807"/>
    </row>
    <row r="694">
      <c r="A694" s="807"/>
      <c r="B694" s="813"/>
      <c r="C694" s="813"/>
      <c r="D694" s="807"/>
      <c r="E694" s="807"/>
      <c r="F694" s="801"/>
      <c r="G694" s="801"/>
      <c r="H694" s="801"/>
      <c r="I694" s="801"/>
      <c r="J694" s="807"/>
      <c r="K694" s="807"/>
      <c r="L694" s="807"/>
      <c r="M694" s="807"/>
      <c r="N694" s="807"/>
      <c r="O694" s="807"/>
      <c r="P694" s="807"/>
      <c r="Q694" s="807"/>
      <c r="R694" s="807"/>
      <c r="S694" s="807"/>
      <c r="T694" s="807"/>
      <c r="U694" s="807"/>
    </row>
    <row r="695">
      <c r="A695" s="807"/>
      <c r="B695" s="813"/>
      <c r="C695" s="813"/>
      <c r="D695" s="807"/>
      <c r="E695" s="807"/>
      <c r="F695" s="801"/>
      <c r="G695" s="801"/>
      <c r="H695" s="801"/>
      <c r="I695" s="801"/>
      <c r="J695" s="807"/>
      <c r="K695" s="807"/>
      <c r="L695" s="807"/>
      <c r="M695" s="807"/>
      <c r="N695" s="807"/>
      <c r="O695" s="807"/>
      <c r="P695" s="807"/>
      <c r="Q695" s="807"/>
      <c r="R695" s="807"/>
      <c r="S695" s="807"/>
      <c r="T695" s="807"/>
      <c r="U695" s="807"/>
    </row>
    <row r="696">
      <c r="A696" s="807"/>
      <c r="B696" s="813"/>
      <c r="C696" s="813"/>
      <c r="D696" s="807"/>
      <c r="E696" s="807"/>
      <c r="F696" s="801"/>
      <c r="G696" s="801"/>
      <c r="H696" s="801"/>
      <c r="I696" s="801"/>
      <c r="J696" s="807"/>
      <c r="K696" s="807"/>
      <c r="L696" s="807"/>
      <c r="M696" s="807"/>
      <c r="N696" s="807"/>
      <c r="O696" s="807"/>
      <c r="P696" s="807"/>
      <c r="Q696" s="807"/>
      <c r="R696" s="807"/>
      <c r="S696" s="807"/>
      <c r="T696" s="807"/>
      <c r="U696" s="807"/>
    </row>
    <row r="697">
      <c r="A697" s="807"/>
      <c r="B697" s="813"/>
      <c r="C697" s="813"/>
      <c r="D697" s="807"/>
      <c r="E697" s="807"/>
      <c r="F697" s="801"/>
      <c r="G697" s="801"/>
      <c r="H697" s="801"/>
      <c r="I697" s="801"/>
      <c r="J697" s="807"/>
      <c r="K697" s="807"/>
      <c r="L697" s="807"/>
      <c r="M697" s="807"/>
      <c r="N697" s="807"/>
      <c r="O697" s="807"/>
      <c r="P697" s="807"/>
      <c r="Q697" s="807"/>
      <c r="R697" s="807"/>
      <c r="S697" s="807"/>
      <c r="T697" s="807"/>
      <c r="U697" s="807"/>
    </row>
    <row r="698">
      <c r="A698" s="807"/>
      <c r="B698" s="813"/>
      <c r="C698" s="813"/>
      <c r="D698" s="807"/>
      <c r="E698" s="807"/>
      <c r="F698" s="801"/>
      <c r="G698" s="801"/>
      <c r="H698" s="801"/>
      <c r="I698" s="801"/>
      <c r="J698" s="807"/>
      <c r="K698" s="807"/>
      <c r="L698" s="807"/>
      <c r="M698" s="807"/>
      <c r="N698" s="807"/>
      <c r="O698" s="807"/>
      <c r="P698" s="807"/>
      <c r="Q698" s="807"/>
      <c r="R698" s="807"/>
      <c r="S698" s="807"/>
      <c r="T698" s="807"/>
      <c r="U698" s="807"/>
    </row>
    <row r="699">
      <c r="A699" s="807"/>
      <c r="B699" s="813"/>
      <c r="C699" s="813"/>
      <c r="D699" s="807"/>
      <c r="E699" s="807"/>
      <c r="F699" s="801"/>
      <c r="G699" s="801"/>
      <c r="H699" s="801"/>
      <c r="I699" s="801"/>
      <c r="J699" s="807"/>
      <c r="K699" s="807"/>
      <c r="L699" s="807"/>
      <c r="M699" s="807"/>
      <c r="N699" s="807"/>
      <c r="O699" s="807"/>
      <c r="P699" s="807"/>
      <c r="Q699" s="807"/>
      <c r="R699" s="807"/>
      <c r="S699" s="807"/>
      <c r="T699" s="807"/>
      <c r="U699" s="807"/>
    </row>
    <row r="700">
      <c r="A700" s="807"/>
      <c r="B700" s="813"/>
      <c r="C700" s="813"/>
      <c r="D700" s="807"/>
      <c r="E700" s="807"/>
      <c r="F700" s="801"/>
      <c r="G700" s="801"/>
      <c r="H700" s="801"/>
      <c r="I700" s="801"/>
      <c r="J700" s="807"/>
      <c r="K700" s="807"/>
      <c r="L700" s="807"/>
      <c r="M700" s="807"/>
      <c r="N700" s="807"/>
      <c r="O700" s="807"/>
      <c r="P700" s="807"/>
      <c r="Q700" s="807"/>
      <c r="R700" s="807"/>
      <c r="S700" s="807"/>
      <c r="T700" s="807"/>
      <c r="U700" s="807"/>
    </row>
    <row r="701">
      <c r="A701" s="807"/>
      <c r="B701" s="813"/>
      <c r="C701" s="813"/>
      <c r="D701" s="807"/>
      <c r="E701" s="807"/>
      <c r="F701" s="801"/>
      <c r="G701" s="801"/>
      <c r="H701" s="801"/>
      <c r="I701" s="801"/>
      <c r="J701" s="807"/>
      <c r="K701" s="807"/>
      <c r="L701" s="807"/>
      <c r="M701" s="807"/>
      <c r="N701" s="807"/>
      <c r="O701" s="807"/>
      <c r="P701" s="807"/>
      <c r="Q701" s="807"/>
      <c r="R701" s="807"/>
      <c r="S701" s="807"/>
      <c r="T701" s="807"/>
      <c r="U701" s="807"/>
    </row>
    <row r="702">
      <c r="A702" s="807"/>
      <c r="B702" s="813"/>
      <c r="C702" s="813"/>
      <c r="D702" s="807"/>
      <c r="E702" s="807"/>
      <c r="F702" s="801"/>
      <c r="G702" s="801"/>
      <c r="H702" s="801"/>
      <c r="I702" s="801"/>
      <c r="J702" s="807"/>
      <c r="K702" s="807"/>
      <c r="L702" s="807"/>
      <c r="M702" s="807"/>
      <c r="N702" s="807"/>
      <c r="O702" s="807"/>
      <c r="P702" s="807"/>
      <c r="Q702" s="807"/>
      <c r="R702" s="807"/>
      <c r="S702" s="807"/>
      <c r="T702" s="807"/>
      <c r="U702" s="807"/>
    </row>
    <row r="703">
      <c r="A703" s="807"/>
      <c r="B703" s="813"/>
      <c r="C703" s="813"/>
      <c r="D703" s="807"/>
      <c r="E703" s="807"/>
      <c r="F703" s="801"/>
      <c r="G703" s="801"/>
      <c r="H703" s="801"/>
      <c r="I703" s="801"/>
      <c r="J703" s="807"/>
      <c r="K703" s="807"/>
      <c r="L703" s="807"/>
      <c r="M703" s="807"/>
      <c r="N703" s="807"/>
      <c r="O703" s="807"/>
      <c r="P703" s="807"/>
      <c r="Q703" s="807"/>
      <c r="R703" s="807"/>
      <c r="S703" s="807"/>
      <c r="T703" s="807"/>
      <c r="U703" s="807"/>
    </row>
    <row r="704">
      <c r="A704" s="807"/>
      <c r="B704" s="813"/>
      <c r="C704" s="813"/>
      <c r="D704" s="807"/>
      <c r="E704" s="807"/>
      <c r="F704" s="801"/>
      <c r="G704" s="801"/>
      <c r="H704" s="801"/>
      <c r="I704" s="801"/>
      <c r="J704" s="807"/>
      <c r="K704" s="807"/>
      <c r="L704" s="807"/>
      <c r="M704" s="807"/>
      <c r="N704" s="807"/>
      <c r="O704" s="807"/>
      <c r="P704" s="807"/>
      <c r="Q704" s="807"/>
      <c r="R704" s="807"/>
      <c r="S704" s="807"/>
      <c r="T704" s="807"/>
      <c r="U704" s="807"/>
    </row>
    <row r="705">
      <c r="A705" s="807"/>
      <c r="B705" s="813"/>
      <c r="C705" s="813"/>
      <c r="D705" s="807"/>
      <c r="E705" s="807"/>
      <c r="F705" s="801"/>
      <c r="G705" s="801"/>
      <c r="H705" s="801"/>
      <c r="I705" s="801"/>
      <c r="J705" s="807"/>
      <c r="K705" s="807"/>
      <c r="L705" s="807"/>
      <c r="M705" s="807"/>
      <c r="N705" s="807"/>
      <c r="O705" s="807"/>
      <c r="P705" s="807"/>
      <c r="Q705" s="807"/>
      <c r="R705" s="807"/>
      <c r="S705" s="807"/>
      <c r="T705" s="807"/>
      <c r="U705" s="807"/>
    </row>
    <row r="706">
      <c r="A706" s="807"/>
      <c r="B706" s="813"/>
      <c r="C706" s="813"/>
      <c r="D706" s="807"/>
      <c r="E706" s="807"/>
      <c r="F706" s="801"/>
      <c r="G706" s="801"/>
      <c r="H706" s="801"/>
      <c r="I706" s="801"/>
      <c r="J706" s="807"/>
      <c r="K706" s="807"/>
      <c r="L706" s="807"/>
      <c r="M706" s="807"/>
      <c r="N706" s="807"/>
      <c r="O706" s="807"/>
      <c r="P706" s="807"/>
      <c r="Q706" s="807"/>
      <c r="R706" s="807"/>
      <c r="S706" s="807"/>
      <c r="T706" s="807"/>
      <c r="U706" s="807"/>
    </row>
    <row r="707">
      <c r="A707" s="807"/>
      <c r="B707" s="813"/>
      <c r="C707" s="813"/>
      <c r="D707" s="807"/>
      <c r="E707" s="807"/>
      <c r="F707" s="801"/>
      <c r="G707" s="801"/>
      <c r="H707" s="801"/>
      <c r="I707" s="801"/>
      <c r="J707" s="807"/>
      <c r="K707" s="807"/>
      <c r="L707" s="807"/>
      <c r="M707" s="807"/>
      <c r="N707" s="807"/>
      <c r="O707" s="807"/>
      <c r="P707" s="807"/>
      <c r="Q707" s="807"/>
      <c r="R707" s="807"/>
      <c r="S707" s="807"/>
      <c r="T707" s="807"/>
      <c r="U707" s="807"/>
    </row>
    <row r="708">
      <c r="A708" s="807"/>
      <c r="B708" s="813"/>
      <c r="C708" s="813"/>
      <c r="D708" s="807"/>
      <c r="E708" s="807"/>
      <c r="F708" s="801"/>
      <c r="G708" s="801"/>
      <c r="H708" s="801"/>
      <c r="I708" s="801"/>
      <c r="J708" s="807"/>
      <c r="K708" s="807"/>
      <c r="L708" s="807"/>
      <c r="M708" s="807"/>
      <c r="N708" s="807"/>
      <c r="O708" s="807"/>
      <c r="P708" s="807"/>
      <c r="Q708" s="807"/>
      <c r="R708" s="807"/>
      <c r="S708" s="807"/>
      <c r="T708" s="807"/>
      <c r="U708" s="807"/>
    </row>
    <row r="709">
      <c r="A709" s="807"/>
      <c r="B709" s="813"/>
      <c r="C709" s="813"/>
      <c r="D709" s="807"/>
      <c r="E709" s="807"/>
      <c r="F709" s="801"/>
      <c r="G709" s="801"/>
      <c r="H709" s="801"/>
      <c r="I709" s="801"/>
      <c r="J709" s="807"/>
      <c r="K709" s="807"/>
      <c r="L709" s="807"/>
      <c r="M709" s="807"/>
      <c r="N709" s="807"/>
      <c r="O709" s="807"/>
      <c r="P709" s="807"/>
      <c r="Q709" s="807"/>
      <c r="R709" s="807"/>
      <c r="S709" s="807"/>
      <c r="T709" s="807"/>
      <c r="U709" s="807"/>
    </row>
    <row r="710">
      <c r="A710" s="807"/>
      <c r="B710" s="813"/>
      <c r="C710" s="813"/>
      <c r="D710" s="807"/>
      <c r="E710" s="807"/>
      <c r="F710" s="801"/>
      <c r="G710" s="801"/>
      <c r="H710" s="801"/>
      <c r="I710" s="801"/>
      <c r="J710" s="807"/>
      <c r="K710" s="807"/>
      <c r="L710" s="807"/>
      <c r="M710" s="807"/>
      <c r="N710" s="807"/>
      <c r="O710" s="807"/>
      <c r="P710" s="807"/>
      <c r="Q710" s="807"/>
      <c r="R710" s="807"/>
      <c r="S710" s="807"/>
      <c r="T710" s="807"/>
      <c r="U710" s="807"/>
    </row>
    <row r="711">
      <c r="A711" s="807"/>
      <c r="B711" s="813"/>
      <c r="C711" s="813"/>
      <c r="D711" s="807"/>
      <c r="E711" s="807"/>
      <c r="F711" s="801"/>
      <c r="G711" s="801"/>
      <c r="H711" s="801"/>
      <c r="I711" s="801"/>
      <c r="J711" s="807"/>
      <c r="K711" s="807"/>
      <c r="L711" s="807"/>
      <c r="M711" s="807"/>
      <c r="N711" s="807"/>
      <c r="O711" s="807"/>
      <c r="P711" s="807"/>
      <c r="Q711" s="807"/>
      <c r="R711" s="807"/>
      <c r="S711" s="807"/>
      <c r="T711" s="807"/>
      <c r="U711" s="807"/>
    </row>
    <row r="712">
      <c r="A712" s="807"/>
      <c r="B712" s="813"/>
      <c r="C712" s="813"/>
      <c r="D712" s="807"/>
      <c r="E712" s="807"/>
      <c r="F712" s="801"/>
      <c r="G712" s="801"/>
      <c r="H712" s="801"/>
      <c r="I712" s="801"/>
      <c r="J712" s="807"/>
      <c r="K712" s="807"/>
      <c r="L712" s="807"/>
      <c r="M712" s="807"/>
      <c r="N712" s="807"/>
      <c r="O712" s="807"/>
      <c r="P712" s="807"/>
      <c r="Q712" s="807"/>
      <c r="R712" s="807"/>
      <c r="S712" s="807"/>
      <c r="T712" s="807"/>
      <c r="U712" s="807"/>
    </row>
    <row r="713">
      <c r="A713" s="807"/>
      <c r="B713" s="813"/>
      <c r="C713" s="813"/>
      <c r="D713" s="807"/>
      <c r="E713" s="807"/>
      <c r="F713" s="801"/>
      <c r="G713" s="801"/>
      <c r="H713" s="801"/>
      <c r="I713" s="801"/>
      <c r="J713" s="807"/>
      <c r="K713" s="807"/>
      <c r="L713" s="807"/>
      <c r="M713" s="807"/>
      <c r="N713" s="807"/>
      <c r="O713" s="807"/>
      <c r="P713" s="807"/>
      <c r="Q713" s="807"/>
      <c r="R713" s="807"/>
      <c r="S713" s="807"/>
      <c r="T713" s="807"/>
      <c r="U713" s="807"/>
    </row>
    <row r="714">
      <c r="A714" s="807"/>
      <c r="B714" s="813"/>
      <c r="C714" s="813"/>
      <c r="D714" s="807"/>
      <c r="E714" s="807"/>
      <c r="F714" s="801"/>
      <c r="G714" s="801"/>
      <c r="H714" s="801"/>
      <c r="I714" s="801"/>
      <c r="J714" s="807"/>
      <c r="K714" s="807"/>
      <c r="L714" s="807"/>
      <c r="M714" s="807"/>
      <c r="N714" s="807"/>
      <c r="O714" s="807"/>
      <c r="P714" s="807"/>
      <c r="Q714" s="807"/>
      <c r="R714" s="807"/>
      <c r="S714" s="807"/>
      <c r="T714" s="807"/>
      <c r="U714" s="807"/>
    </row>
    <row r="715">
      <c r="A715" s="807"/>
      <c r="B715" s="813"/>
      <c r="C715" s="813"/>
      <c r="D715" s="807"/>
      <c r="E715" s="807"/>
      <c r="F715" s="801"/>
      <c r="G715" s="801"/>
      <c r="H715" s="801"/>
      <c r="I715" s="801"/>
      <c r="J715" s="807"/>
      <c r="K715" s="807"/>
      <c r="L715" s="807"/>
      <c r="M715" s="807"/>
      <c r="N715" s="807"/>
      <c r="O715" s="807"/>
      <c r="P715" s="807"/>
      <c r="Q715" s="807"/>
      <c r="R715" s="807"/>
      <c r="S715" s="807"/>
      <c r="T715" s="807"/>
      <c r="U715" s="807"/>
    </row>
    <row r="716">
      <c r="A716" s="807"/>
      <c r="B716" s="813"/>
      <c r="C716" s="813"/>
      <c r="D716" s="807"/>
      <c r="E716" s="807"/>
      <c r="F716" s="801"/>
      <c r="G716" s="801"/>
      <c r="H716" s="801"/>
      <c r="I716" s="801"/>
      <c r="J716" s="807"/>
      <c r="K716" s="807"/>
      <c r="L716" s="807"/>
      <c r="M716" s="807"/>
      <c r="N716" s="807"/>
      <c r="O716" s="807"/>
      <c r="P716" s="807"/>
      <c r="Q716" s="807"/>
      <c r="R716" s="807"/>
      <c r="S716" s="807"/>
      <c r="T716" s="807"/>
      <c r="U716" s="807"/>
    </row>
    <row r="717">
      <c r="A717" s="807"/>
      <c r="B717" s="813"/>
      <c r="C717" s="813"/>
      <c r="D717" s="807"/>
      <c r="E717" s="807"/>
      <c r="F717" s="801"/>
      <c r="G717" s="801"/>
      <c r="H717" s="801"/>
      <c r="I717" s="801"/>
      <c r="J717" s="807"/>
      <c r="K717" s="807"/>
      <c r="L717" s="807"/>
      <c r="M717" s="807"/>
      <c r="N717" s="807"/>
      <c r="O717" s="807"/>
      <c r="P717" s="807"/>
      <c r="Q717" s="807"/>
      <c r="R717" s="807"/>
      <c r="S717" s="807"/>
      <c r="T717" s="807"/>
      <c r="U717" s="807"/>
    </row>
    <row r="718">
      <c r="A718" s="807"/>
      <c r="B718" s="813"/>
      <c r="C718" s="813"/>
      <c r="D718" s="807"/>
      <c r="E718" s="807"/>
      <c r="F718" s="801"/>
      <c r="G718" s="801"/>
      <c r="H718" s="801"/>
      <c r="I718" s="801"/>
      <c r="J718" s="807"/>
      <c r="K718" s="807"/>
      <c r="L718" s="807"/>
      <c r="M718" s="807"/>
      <c r="N718" s="807"/>
      <c r="O718" s="807"/>
      <c r="P718" s="807"/>
      <c r="Q718" s="807"/>
      <c r="R718" s="807"/>
      <c r="S718" s="807"/>
      <c r="T718" s="807"/>
      <c r="U718" s="807"/>
    </row>
    <row r="719">
      <c r="A719" s="807"/>
      <c r="B719" s="813"/>
      <c r="C719" s="813"/>
      <c r="D719" s="807"/>
      <c r="E719" s="807"/>
      <c r="F719" s="801"/>
      <c r="G719" s="801"/>
      <c r="H719" s="801"/>
      <c r="I719" s="801"/>
      <c r="J719" s="807"/>
      <c r="K719" s="807"/>
      <c r="L719" s="807"/>
      <c r="M719" s="807"/>
      <c r="N719" s="807"/>
      <c r="O719" s="807"/>
      <c r="P719" s="807"/>
      <c r="Q719" s="807"/>
      <c r="R719" s="807"/>
      <c r="S719" s="807"/>
      <c r="T719" s="807"/>
      <c r="U719" s="807"/>
    </row>
    <row r="720">
      <c r="A720" s="807"/>
      <c r="B720" s="813"/>
      <c r="C720" s="813"/>
      <c r="D720" s="807"/>
      <c r="E720" s="807"/>
      <c r="F720" s="801"/>
      <c r="G720" s="801"/>
      <c r="H720" s="801"/>
      <c r="I720" s="801"/>
      <c r="J720" s="807"/>
      <c r="K720" s="807"/>
      <c r="L720" s="807"/>
      <c r="M720" s="807"/>
      <c r="N720" s="807"/>
      <c r="O720" s="807"/>
      <c r="P720" s="807"/>
      <c r="Q720" s="807"/>
      <c r="R720" s="807"/>
      <c r="S720" s="807"/>
      <c r="T720" s="807"/>
      <c r="U720" s="807"/>
    </row>
    <row r="721">
      <c r="A721" s="807"/>
      <c r="B721" s="813"/>
      <c r="C721" s="813"/>
      <c r="D721" s="807"/>
      <c r="E721" s="807"/>
      <c r="F721" s="801"/>
      <c r="G721" s="801"/>
      <c r="H721" s="801"/>
      <c r="I721" s="801"/>
      <c r="J721" s="807"/>
      <c r="K721" s="807"/>
      <c r="L721" s="807"/>
      <c r="M721" s="807"/>
      <c r="N721" s="807"/>
      <c r="O721" s="807"/>
      <c r="P721" s="807"/>
      <c r="Q721" s="807"/>
      <c r="R721" s="807"/>
      <c r="S721" s="807"/>
      <c r="T721" s="807"/>
      <c r="U721" s="807"/>
    </row>
    <row r="722">
      <c r="A722" s="807"/>
      <c r="B722" s="813"/>
      <c r="C722" s="813"/>
      <c r="D722" s="807"/>
      <c r="E722" s="807"/>
      <c r="F722" s="801"/>
      <c r="G722" s="801"/>
      <c r="H722" s="801"/>
      <c r="I722" s="801"/>
      <c r="J722" s="807"/>
      <c r="K722" s="807"/>
      <c r="L722" s="807"/>
      <c r="M722" s="807"/>
      <c r="N722" s="807"/>
      <c r="O722" s="807"/>
      <c r="P722" s="807"/>
      <c r="Q722" s="807"/>
      <c r="R722" s="807"/>
      <c r="S722" s="807"/>
      <c r="T722" s="807"/>
      <c r="U722" s="807"/>
    </row>
    <row r="723">
      <c r="A723" s="807"/>
      <c r="B723" s="813"/>
      <c r="C723" s="813"/>
      <c r="D723" s="807"/>
      <c r="E723" s="807"/>
      <c r="F723" s="801"/>
      <c r="G723" s="801"/>
      <c r="H723" s="801"/>
      <c r="I723" s="801"/>
      <c r="J723" s="807"/>
      <c r="K723" s="807"/>
      <c r="L723" s="807"/>
      <c r="M723" s="807"/>
      <c r="N723" s="807"/>
      <c r="O723" s="807"/>
      <c r="P723" s="807"/>
      <c r="Q723" s="807"/>
      <c r="R723" s="807"/>
      <c r="S723" s="807"/>
      <c r="T723" s="807"/>
      <c r="U723" s="807"/>
    </row>
    <row r="724">
      <c r="A724" s="807"/>
      <c r="B724" s="813"/>
      <c r="C724" s="813"/>
      <c r="D724" s="807"/>
      <c r="E724" s="807"/>
      <c r="F724" s="801"/>
      <c r="G724" s="801"/>
      <c r="H724" s="801"/>
      <c r="I724" s="801"/>
      <c r="J724" s="807"/>
      <c r="K724" s="807"/>
      <c r="L724" s="807"/>
      <c r="M724" s="807"/>
      <c r="N724" s="807"/>
      <c r="O724" s="807"/>
      <c r="P724" s="807"/>
      <c r="Q724" s="807"/>
      <c r="R724" s="807"/>
      <c r="S724" s="807"/>
      <c r="T724" s="807"/>
      <c r="U724" s="807"/>
    </row>
    <row r="725">
      <c r="A725" s="807"/>
      <c r="B725" s="813"/>
      <c r="C725" s="813"/>
      <c r="D725" s="807"/>
      <c r="E725" s="807"/>
      <c r="F725" s="801"/>
      <c r="G725" s="801"/>
      <c r="H725" s="801"/>
      <c r="I725" s="801"/>
      <c r="J725" s="807"/>
      <c r="K725" s="807"/>
      <c r="L725" s="807"/>
      <c r="M725" s="807"/>
      <c r="N725" s="807"/>
      <c r="O725" s="807"/>
      <c r="P725" s="807"/>
      <c r="Q725" s="807"/>
      <c r="R725" s="807"/>
      <c r="S725" s="807"/>
      <c r="T725" s="807"/>
      <c r="U725" s="807"/>
    </row>
    <row r="726">
      <c r="A726" s="807"/>
      <c r="B726" s="813"/>
      <c r="C726" s="813"/>
      <c r="D726" s="807"/>
      <c r="E726" s="807"/>
      <c r="F726" s="801"/>
      <c r="G726" s="801"/>
      <c r="H726" s="801"/>
      <c r="I726" s="801"/>
      <c r="J726" s="807"/>
      <c r="K726" s="807"/>
      <c r="L726" s="807"/>
      <c r="M726" s="807"/>
      <c r="N726" s="807"/>
      <c r="O726" s="807"/>
      <c r="P726" s="807"/>
      <c r="Q726" s="807"/>
      <c r="R726" s="807"/>
      <c r="S726" s="807"/>
      <c r="T726" s="807"/>
      <c r="U726" s="807"/>
    </row>
    <row r="727">
      <c r="A727" s="807"/>
      <c r="B727" s="813"/>
      <c r="C727" s="813"/>
      <c r="D727" s="807"/>
      <c r="E727" s="807"/>
      <c r="F727" s="801"/>
      <c r="G727" s="801"/>
      <c r="H727" s="801"/>
      <c r="I727" s="801"/>
      <c r="J727" s="807"/>
      <c r="K727" s="807"/>
      <c r="L727" s="807"/>
      <c r="M727" s="807"/>
      <c r="N727" s="807"/>
      <c r="O727" s="807"/>
      <c r="P727" s="807"/>
      <c r="Q727" s="807"/>
      <c r="R727" s="807"/>
      <c r="S727" s="807"/>
      <c r="T727" s="807"/>
      <c r="U727" s="807"/>
    </row>
    <row r="728">
      <c r="A728" s="807"/>
      <c r="B728" s="813"/>
      <c r="C728" s="813"/>
      <c r="D728" s="807"/>
      <c r="E728" s="807"/>
      <c r="F728" s="801"/>
      <c r="G728" s="801"/>
      <c r="H728" s="801"/>
      <c r="I728" s="801"/>
      <c r="J728" s="807"/>
      <c r="K728" s="807"/>
      <c r="L728" s="807"/>
      <c r="M728" s="807"/>
      <c r="N728" s="807"/>
      <c r="O728" s="807"/>
      <c r="P728" s="807"/>
      <c r="Q728" s="807"/>
      <c r="R728" s="807"/>
      <c r="S728" s="807"/>
      <c r="T728" s="807"/>
      <c r="U728" s="807"/>
    </row>
    <row r="729">
      <c r="A729" s="807"/>
      <c r="B729" s="813"/>
      <c r="C729" s="813"/>
      <c r="D729" s="807"/>
      <c r="E729" s="807"/>
      <c r="F729" s="801"/>
      <c r="G729" s="801"/>
      <c r="H729" s="801"/>
      <c r="I729" s="801"/>
      <c r="J729" s="807"/>
      <c r="K729" s="807"/>
      <c r="L729" s="807"/>
      <c r="M729" s="807"/>
      <c r="N729" s="807"/>
      <c r="O729" s="807"/>
      <c r="P729" s="807"/>
      <c r="Q729" s="807"/>
      <c r="R729" s="807"/>
      <c r="S729" s="807"/>
      <c r="T729" s="807"/>
      <c r="U729" s="807"/>
    </row>
    <row r="730">
      <c r="A730" s="807"/>
      <c r="B730" s="813"/>
      <c r="C730" s="813"/>
      <c r="D730" s="807"/>
      <c r="E730" s="807"/>
      <c r="F730" s="801"/>
      <c r="G730" s="801"/>
      <c r="H730" s="801"/>
      <c r="I730" s="801"/>
      <c r="J730" s="807"/>
      <c r="K730" s="807"/>
      <c r="L730" s="807"/>
      <c r="M730" s="807"/>
      <c r="N730" s="807"/>
      <c r="O730" s="807"/>
      <c r="P730" s="807"/>
      <c r="Q730" s="807"/>
      <c r="R730" s="807"/>
      <c r="S730" s="807"/>
      <c r="T730" s="807"/>
      <c r="U730" s="807"/>
    </row>
    <row r="731">
      <c r="A731" s="807"/>
      <c r="B731" s="813"/>
      <c r="C731" s="813"/>
      <c r="D731" s="807"/>
      <c r="E731" s="807"/>
      <c r="F731" s="801"/>
      <c r="G731" s="801"/>
      <c r="H731" s="801"/>
      <c r="I731" s="801"/>
      <c r="J731" s="807"/>
      <c r="K731" s="807"/>
      <c r="L731" s="807"/>
      <c r="M731" s="807"/>
      <c r="N731" s="807"/>
      <c r="O731" s="807"/>
      <c r="P731" s="807"/>
      <c r="Q731" s="807"/>
      <c r="R731" s="807"/>
      <c r="S731" s="807"/>
      <c r="T731" s="807"/>
      <c r="U731" s="807"/>
    </row>
    <row r="732">
      <c r="A732" s="807"/>
      <c r="B732" s="813"/>
      <c r="C732" s="813"/>
      <c r="D732" s="807"/>
      <c r="E732" s="807"/>
      <c r="F732" s="801"/>
      <c r="G732" s="801"/>
      <c r="H732" s="801"/>
      <c r="I732" s="801"/>
      <c r="J732" s="807"/>
      <c r="K732" s="807"/>
      <c r="L732" s="807"/>
      <c r="M732" s="807"/>
      <c r="N732" s="807"/>
      <c r="O732" s="807"/>
      <c r="P732" s="807"/>
      <c r="Q732" s="807"/>
      <c r="R732" s="807"/>
      <c r="S732" s="807"/>
      <c r="T732" s="807"/>
      <c r="U732" s="807"/>
    </row>
    <row r="733">
      <c r="A733" s="807"/>
      <c r="B733" s="813"/>
      <c r="C733" s="813"/>
      <c r="D733" s="807"/>
      <c r="E733" s="807"/>
      <c r="F733" s="801"/>
      <c r="G733" s="801"/>
      <c r="H733" s="801"/>
      <c r="I733" s="801"/>
      <c r="J733" s="807"/>
      <c r="K733" s="807"/>
      <c r="L733" s="807"/>
      <c r="M733" s="807"/>
      <c r="N733" s="807"/>
      <c r="O733" s="807"/>
      <c r="P733" s="807"/>
      <c r="Q733" s="807"/>
      <c r="R733" s="807"/>
      <c r="S733" s="807"/>
      <c r="T733" s="807"/>
      <c r="U733" s="807"/>
    </row>
    <row r="734">
      <c r="A734" s="807"/>
      <c r="B734" s="813"/>
      <c r="C734" s="813"/>
      <c r="D734" s="807"/>
      <c r="E734" s="807"/>
      <c r="F734" s="801"/>
      <c r="G734" s="801"/>
      <c r="H734" s="801"/>
      <c r="I734" s="801"/>
      <c r="J734" s="807"/>
      <c r="K734" s="807"/>
      <c r="L734" s="807"/>
      <c r="M734" s="807"/>
      <c r="N734" s="807"/>
      <c r="O734" s="807"/>
      <c r="P734" s="807"/>
      <c r="Q734" s="807"/>
      <c r="R734" s="807"/>
      <c r="S734" s="807"/>
      <c r="T734" s="807"/>
      <c r="U734" s="807"/>
    </row>
    <row r="735">
      <c r="A735" s="807"/>
      <c r="B735" s="813"/>
      <c r="C735" s="813"/>
      <c r="D735" s="807"/>
      <c r="E735" s="807"/>
      <c r="F735" s="801"/>
      <c r="G735" s="801"/>
      <c r="H735" s="801"/>
      <c r="I735" s="801"/>
      <c r="J735" s="807"/>
      <c r="K735" s="807"/>
      <c r="L735" s="807"/>
      <c r="M735" s="807"/>
      <c r="N735" s="807"/>
      <c r="O735" s="807"/>
      <c r="P735" s="807"/>
      <c r="Q735" s="807"/>
      <c r="R735" s="807"/>
      <c r="S735" s="807"/>
      <c r="T735" s="807"/>
      <c r="U735" s="807"/>
    </row>
    <row r="736">
      <c r="A736" s="807"/>
      <c r="B736" s="813"/>
      <c r="C736" s="813"/>
      <c r="D736" s="807"/>
      <c r="E736" s="807"/>
      <c r="F736" s="801"/>
      <c r="G736" s="801"/>
      <c r="H736" s="801"/>
      <c r="I736" s="801"/>
      <c r="J736" s="807"/>
      <c r="K736" s="807"/>
      <c r="L736" s="807"/>
      <c r="M736" s="807"/>
      <c r="N736" s="807"/>
      <c r="O736" s="807"/>
      <c r="P736" s="807"/>
      <c r="Q736" s="807"/>
      <c r="R736" s="807"/>
      <c r="S736" s="807"/>
      <c r="T736" s="807"/>
      <c r="U736" s="807"/>
    </row>
    <row r="737">
      <c r="A737" s="807"/>
      <c r="B737" s="813"/>
      <c r="C737" s="813"/>
      <c r="D737" s="807"/>
      <c r="E737" s="807"/>
      <c r="F737" s="801"/>
      <c r="G737" s="801"/>
      <c r="H737" s="801"/>
      <c r="I737" s="801"/>
      <c r="J737" s="807"/>
      <c r="K737" s="807"/>
      <c r="L737" s="807"/>
      <c r="M737" s="807"/>
      <c r="N737" s="807"/>
      <c r="O737" s="807"/>
      <c r="P737" s="807"/>
      <c r="Q737" s="807"/>
      <c r="R737" s="807"/>
      <c r="S737" s="807"/>
      <c r="T737" s="807"/>
      <c r="U737" s="807"/>
    </row>
    <row r="738">
      <c r="A738" s="807"/>
      <c r="B738" s="813"/>
      <c r="C738" s="813"/>
      <c r="D738" s="807"/>
      <c r="E738" s="807"/>
      <c r="F738" s="801"/>
      <c r="G738" s="801"/>
      <c r="H738" s="801"/>
      <c r="I738" s="801"/>
      <c r="J738" s="807"/>
      <c r="K738" s="807"/>
      <c r="L738" s="807"/>
      <c r="M738" s="807"/>
      <c r="N738" s="807"/>
      <c r="O738" s="807"/>
      <c r="P738" s="807"/>
      <c r="Q738" s="807"/>
      <c r="R738" s="807"/>
      <c r="S738" s="807"/>
      <c r="T738" s="807"/>
      <c r="U738" s="807"/>
    </row>
    <row r="739">
      <c r="A739" s="807"/>
      <c r="B739" s="813"/>
      <c r="C739" s="813"/>
      <c r="D739" s="807"/>
      <c r="E739" s="807"/>
      <c r="F739" s="801"/>
      <c r="G739" s="801"/>
      <c r="H739" s="801"/>
      <c r="I739" s="801"/>
      <c r="J739" s="807"/>
      <c r="K739" s="807"/>
      <c r="L739" s="807"/>
      <c r="M739" s="807"/>
      <c r="N739" s="807"/>
      <c r="O739" s="807"/>
      <c r="P739" s="807"/>
      <c r="Q739" s="807"/>
      <c r="R739" s="807"/>
      <c r="S739" s="807"/>
      <c r="T739" s="807"/>
      <c r="U739" s="807"/>
    </row>
    <row r="740">
      <c r="A740" s="807"/>
      <c r="B740" s="813"/>
      <c r="C740" s="813"/>
      <c r="D740" s="807"/>
      <c r="E740" s="807"/>
      <c r="F740" s="801"/>
      <c r="G740" s="801"/>
      <c r="H740" s="801"/>
      <c r="I740" s="801"/>
      <c r="J740" s="807"/>
      <c r="K740" s="807"/>
      <c r="L740" s="807"/>
      <c r="M740" s="807"/>
      <c r="N740" s="807"/>
      <c r="O740" s="807"/>
      <c r="P740" s="807"/>
      <c r="Q740" s="807"/>
      <c r="R740" s="807"/>
      <c r="S740" s="807"/>
      <c r="T740" s="807"/>
      <c r="U740" s="807"/>
    </row>
    <row r="741">
      <c r="A741" s="807"/>
      <c r="B741" s="813"/>
      <c r="C741" s="813"/>
      <c r="D741" s="807"/>
      <c r="E741" s="807"/>
      <c r="F741" s="801"/>
      <c r="G741" s="801"/>
      <c r="H741" s="801"/>
      <c r="I741" s="801"/>
      <c r="J741" s="807"/>
      <c r="K741" s="807"/>
      <c r="L741" s="807"/>
      <c r="M741" s="807"/>
      <c r="N741" s="807"/>
      <c r="O741" s="807"/>
      <c r="P741" s="807"/>
      <c r="Q741" s="807"/>
      <c r="R741" s="807"/>
      <c r="S741" s="807"/>
      <c r="T741" s="807"/>
      <c r="U741" s="807"/>
    </row>
    <row r="742">
      <c r="A742" s="807"/>
      <c r="B742" s="813"/>
      <c r="C742" s="813"/>
      <c r="D742" s="807"/>
      <c r="E742" s="807"/>
      <c r="F742" s="801"/>
      <c r="G742" s="801"/>
      <c r="H742" s="801"/>
      <c r="I742" s="801"/>
      <c r="J742" s="807"/>
      <c r="K742" s="807"/>
      <c r="L742" s="807"/>
      <c r="M742" s="807"/>
      <c r="N742" s="807"/>
      <c r="O742" s="807"/>
      <c r="P742" s="807"/>
      <c r="Q742" s="807"/>
      <c r="R742" s="807"/>
      <c r="S742" s="807"/>
      <c r="T742" s="807"/>
      <c r="U742" s="807"/>
    </row>
    <row r="743">
      <c r="A743" s="807"/>
      <c r="B743" s="813"/>
      <c r="C743" s="813"/>
      <c r="D743" s="807"/>
      <c r="E743" s="807"/>
      <c r="F743" s="801"/>
      <c r="G743" s="801"/>
      <c r="H743" s="801"/>
      <c r="I743" s="801"/>
      <c r="J743" s="807"/>
      <c r="K743" s="807"/>
      <c r="L743" s="807"/>
      <c r="M743" s="807"/>
      <c r="N743" s="807"/>
      <c r="O743" s="807"/>
      <c r="P743" s="807"/>
      <c r="Q743" s="807"/>
      <c r="R743" s="807"/>
      <c r="S743" s="807"/>
      <c r="T743" s="807"/>
      <c r="U743" s="807"/>
    </row>
    <row r="744">
      <c r="A744" s="807"/>
      <c r="B744" s="813"/>
      <c r="C744" s="813"/>
      <c r="D744" s="807"/>
      <c r="E744" s="807"/>
      <c r="F744" s="801"/>
      <c r="G744" s="801"/>
      <c r="H744" s="801"/>
      <c r="I744" s="801"/>
      <c r="J744" s="807"/>
      <c r="K744" s="807"/>
      <c r="L744" s="807"/>
      <c r="M744" s="807"/>
      <c r="N744" s="807"/>
      <c r="O744" s="807"/>
      <c r="P744" s="807"/>
      <c r="Q744" s="807"/>
      <c r="R744" s="807"/>
      <c r="S744" s="807"/>
      <c r="T744" s="807"/>
      <c r="U744" s="807"/>
    </row>
    <row r="745">
      <c r="A745" s="807"/>
      <c r="B745" s="813"/>
      <c r="C745" s="813"/>
      <c r="D745" s="807"/>
      <c r="E745" s="807"/>
      <c r="F745" s="801"/>
      <c r="G745" s="801"/>
      <c r="H745" s="801"/>
      <c r="I745" s="801"/>
      <c r="J745" s="807"/>
      <c r="K745" s="807"/>
      <c r="L745" s="807"/>
      <c r="M745" s="807"/>
      <c r="N745" s="807"/>
      <c r="O745" s="807"/>
      <c r="P745" s="807"/>
      <c r="Q745" s="807"/>
      <c r="R745" s="807"/>
      <c r="S745" s="807"/>
      <c r="T745" s="807"/>
      <c r="U745" s="807"/>
    </row>
    <row r="746">
      <c r="A746" s="807"/>
      <c r="B746" s="813"/>
      <c r="C746" s="813"/>
      <c r="D746" s="807"/>
      <c r="E746" s="807"/>
      <c r="F746" s="801"/>
      <c r="G746" s="801"/>
      <c r="H746" s="801"/>
      <c r="I746" s="801"/>
      <c r="J746" s="807"/>
      <c r="K746" s="807"/>
      <c r="L746" s="807"/>
      <c r="M746" s="807"/>
      <c r="N746" s="807"/>
      <c r="O746" s="807"/>
      <c r="P746" s="807"/>
      <c r="Q746" s="807"/>
      <c r="R746" s="807"/>
      <c r="S746" s="807"/>
      <c r="T746" s="807"/>
      <c r="U746" s="807"/>
    </row>
    <row r="747">
      <c r="A747" s="807"/>
      <c r="B747" s="813"/>
      <c r="C747" s="813"/>
      <c r="D747" s="807"/>
      <c r="E747" s="807"/>
      <c r="F747" s="801"/>
      <c r="G747" s="801"/>
      <c r="H747" s="801"/>
      <c r="I747" s="801"/>
      <c r="J747" s="807"/>
      <c r="K747" s="807"/>
      <c r="L747" s="807"/>
      <c r="M747" s="807"/>
      <c r="N747" s="807"/>
      <c r="O747" s="807"/>
      <c r="P747" s="807"/>
      <c r="Q747" s="807"/>
      <c r="R747" s="807"/>
      <c r="S747" s="807"/>
      <c r="T747" s="807"/>
      <c r="U747" s="807"/>
    </row>
    <row r="748">
      <c r="A748" s="807"/>
      <c r="B748" s="813"/>
      <c r="C748" s="813"/>
      <c r="D748" s="807"/>
      <c r="E748" s="807"/>
      <c r="F748" s="801"/>
      <c r="G748" s="801"/>
      <c r="H748" s="801"/>
      <c r="I748" s="801"/>
      <c r="J748" s="807"/>
      <c r="K748" s="807"/>
      <c r="L748" s="807"/>
      <c r="M748" s="807"/>
      <c r="N748" s="807"/>
      <c r="O748" s="807"/>
      <c r="P748" s="807"/>
      <c r="Q748" s="807"/>
      <c r="R748" s="807"/>
      <c r="S748" s="807"/>
      <c r="T748" s="807"/>
      <c r="U748" s="807"/>
    </row>
    <row r="749">
      <c r="A749" s="807"/>
      <c r="B749" s="813"/>
      <c r="C749" s="813"/>
      <c r="D749" s="807"/>
      <c r="E749" s="807"/>
      <c r="F749" s="801"/>
      <c r="G749" s="801"/>
      <c r="H749" s="801"/>
      <c r="I749" s="801"/>
      <c r="J749" s="807"/>
      <c r="K749" s="807"/>
      <c r="L749" s="807"/>
      <c r="M749" s="807"/>
      <c r="N749" s="807"/>
      <c r="O749" s="807"/>
      <c r="P749" s="807"/>
      <c r="Q749" s="807"/>
      <c r="R749" s="807"/>
      <c r="S749" s="807"/>
      <c r="T749" s="807"/>
      <c r="U749" s="807"/>
    </row>
    <row r="750">
      <c r="A750" s="807"/>
      <c r="B750" s="813"/>
      <c r="C750" s="813"/>
      <c r="D750" s="807"/>
      <c r="E750" s="807"/>
      <c r="F750" s="801"/>
      <c r="G750" s="801"/>
      <c r="H750" s="801"/>
      <c r="I750" s="801"/>
      <c r="J750" s="807"/>
      <c r="K750" s="807"/>
      <c r="L750" s="807"/>
      <c r="M750" s="807"/>
      <c r="N750" s="807"/>
      <c r="O750" s="807"/>
      <c r="P750" s="807"/>
      <c r="Q750" s="807"/>
      <c r="R750" s="807"/>
      <c r="S750" s="807"/>
      <c r="T750" s="807"/>
      <c r="U750" s="807"/>
    </row>
    <row r="751">
      <c r="A751" s="807"/>
      <c r="B751" s="813"/>
      <c r="C751" s="813"/>
      <c r="D751" s="807"/>
      <c r="E751" s="807"/>
      <c r="F751" s="801"/>
      <c r="G751" s="801"/>
      <c r="H751" s="801"/>
      <c r="I751" s="801"/>
      <c r="J751" s="807"/>
      <c r="K751" s="807"/>
      <c r="L751" s="807"/>
      <c r="M751" s="807"/>
      <c r="N751" s="807"/>
      <c r="O751" s="807"/>
      <c r="P751" s="807"/>
      <c r="Q751" s="807"/>
      <c r="R751" s="807"/>
      <c r="S751" s="807"/>
      <c r="T751" s="807"/>
      <c r="U751" s="807"/>
    </row>
    <row r="752">
      <c r="A752" s="807"/>
      <c r="B752" s="813"/>
      <c r="C752" s="813"/>
      <c r="D752" s="807"/>
      <c r="E752" s="807"/>
      <c r="F752" s="801"/>
      <c r="G752" s="801"/>
      <c r="H752" s="801"/>
      <c r="I752" s="801"/>
      <c r="J752" s="807"/>
      <c r="K752" s="807"/>
      <c r="L752" s="807"/>
      <c r="M752" s="807"/>
      <c r="N752" s="807"/>
      <c r="O752" s="807"/>
      <c r="P752" s="807"/>
      <c r="Q752" s="807"/>
      <c r="R752" s="807"/>
      <c r="S752" s="807"/>
      <c r="T752" s="807"/>
      <c r="U752" s="807"/>
    </row>
    <row r="753">
      <c r="A753" s="807"/>
      <c r="B753" s="813"/>
      <c r="C753" s="813"/>
      <c r="D753" s="807"/>
      <c r="E753" s="807"/>
      <c r="F753" s="801"/>
      <c r="G753" s="801"/>
      <c r="H753" s="801"/>
      <c r="I753" s="801"/>
      <c r="J753" s="807"/>
      <c r="K753" s="807"/>
      <c r="L753" s="807"/>
      <c r="M753" s="807"/>
      <c r="N753" s="807"/>
      <c r="O753" s="807"/>
      <c r="P753" s="807"/>
      <c r="Q753" s="807"/>
      <c r="R753" s="807"/>
      <c r="S753" s="807"/>
      <c r="T753" s="807"/>
      <c r="U753" s="807"/>
    </row>
    <row r="754">
      <c r="A754" s="807"/>
      <c r="B754" s="813"/>
      <c r="C754" s="813"/>
      <c r="D754" s="807"/>
      <c r="E754" s="807"/>
      <c r="F754" s="801"/>
      <c r="G754" s="801"/>
      <c r="H754" s="801"/>
      <c r="I754" s="801"/>
      <c r="J754" s="807"/>
      <c r="K754" s="807"/>
      <c r="L754" s="807"/>
      <c r="M754" s="807"/>
      <c r="N754" s="807"/>
      <c r="O754" s="807"/>
      <c r="P754" s="807"/>
      <c r="Q754" s="807"/>
      <c r="R754" s="807"/>
      <c r="S754" s="807"/>
      <c r="T754" s="807"/>
      <c r="U754" s="807"/>
    </row>
    <row r="755">
      <c r="A755" s="807"/>
      <c r="B755" s="813"/>
      <c r="C755" s="813"/>
      <c r="D755" s="807"/>
      <c r="E755" s="807"/>
      <c r="F755" s="801"/>
      <c r="G755" s="801"/>
      <c r="H755" s="801"/>
      <c r="I755" s="801"/>
      <c r="J755" s="807"/>
      <c r="K755" s="807"/>
      <c r="L755" s="807"/>
      <c r="M755" s="807"/>
      <c r="N755" s="807"/>
      <c r="O755" s="807"/>
      <c r="P755" s="807"/>
      <c r="Q755" s="807"/>
      <c r="R755" s="807"/>
      <c r="S755" s="807"/>
      <c r="T755" s="807"/>
      <c r="U755" s="807"/>
    </row>
    <row r="756">
      <c r="A756" s="807"/>
      <c r="B756" s="813"/>
      <c r="C756" s="813"/>
      <c r="D756" s="807"/>
      <c r="E756" s="807"/>
      <c r="F756" s="801"/>
      <c r="G756" s="801"/>
      <c r="H756" s="801"/>
      <c r="I756" s="801"/>
      <c r="J756" s="807"/>
      <c r="K756" s="807"/>
      <c r="L756" s="807"/>
      <c r="M756" s="807"/>
      <c r="N756" s="807"/>
      <c r="O756" s="807"/>
      <c r="P756" s="807"/>
      <c r="Q756" s="807"/>
      <c r="R756" s="807"/>
      <c r="S756" s="807"/>
      <c r="T756" s="807"/>
      <c r="U756" s="807"/>
    </row>
    <row r="757">
      <c r="A757" s="807"/>
      <c r="B757" s="813"/>
      <c r="C757" s="813"/>
      <c r="D757" s="807"/>
      <c r="E757" s="807"/>
      <c r="F757" s="801"/>
      <c r="G757" s="801"/>
      <c r="H757" s="801"/>
      <c r="I757" s="801"/>
      <c r="J757" s="807"/>
      <c r="K757" s="807"/>
      <c r="L757" s="807"/>
      <c r="M757" s="807"/>
      <c r="N757" s="807"/>
      <c r="O757" s="807"/>
      <c r="P757" s="807"/>
      <c r="Q757" s="807"/>
      <c r="R757" s="807"/>
      <c r="S757" s="807"/>
      <c r="T757" s="807"/>
      <c r="U757" s="807"/>
    </row>
    <row r="758">
      <c r="A758" s="807"/>
      <c r="B758" s="813"/>
      <c r="C758" s="813"/>
      <c r="D758" s="807"/>
      <c r="E758" s="807"/>
      <c r="F758" s="801"/>
      <c r="G758" s="801"/>
      <c r="H758" s="801"/>
      <c r="I758" s="801"/>
      <c r="J758" s="807"/>
      <c r="K758" s="807"/>
      <c r="L758" s="807"/>
      <c r="M758" s="807"/>
      <c r="N758" s="807"/>
      <c r="O758" s="807"/>
      <c r="P758" s="807"/>
      <c r="Q758" s="807"/>
      <c r="R758" s="807"/>
      <c r="S758" s="807"/>
      <c r="T758" s="807"/>
      <c r="U758" s="807"/>
    </row>
    <row r="759">
      <c r="A759" s="807"/>
      <c r="B759" s="813"/>
      <c r="C759" s="813"/>
      <c r="D759" s="807"/>
      <c r="E759" s="807"/>
      <c r="F759" s="801"/>
      <c r="G759" s="801"/>
      <c r="H759" s="801"/>
      <c r="I759" s="801"/>
      <c r="J759" s="807"/>
      <c r="K759" s="807"/>
      <c r="L759" s="807"/>
      <c r="M759" s="807"/>
      <c r="N759" s="807"/>
      <c r="O759" s="807"/>
      <c r="P759" s="807"/>
      <c r="Q759" s="807"/>
      <c r="R759" s="807"/>
      <c r="S759" s="807"/>
      <c r="T759" s="807"/>
      <c r="U759" s="807"/>
    </row>
    <row r="760">
      <c r="A760" s="807"/>
      <c r="B760" s="813"/>
      <c r="C760" s="813"/>
      <c r="D760" s="807"/>
      <c r="E760" s="807"/>
      <c r="F760" s="801"/>
      <c r="G760" s="801"/>
      <c r="H760" s="801"/>
      <c r="I760" s="801"/>
      <c r="J760" s="807"/>
      <c r="K760" s="807"/>
      <c r="L760" s="807"/>
      <c r="M760" s="807"/>
      <c r="N760" s="807"/>
      <c r="O760" s="807"/>
      <c r="P760" s="807"/>
      <c r="Q760" s="807"/>
      <c r="R760" s="807"/>
      <c r="S760" s="807"/>
      <c r="T760" s="807"/>
      <c r="U760" s="807"/>
    </row>
    <row r="761">
      <c r="A761" s="807"/>
      <c r="B761" s="813"/>
      <c r="C761" s="813"/>
      <c r="D761" s="807"/>
      <c r="E761" s="807"/>
      <c r="F761" s="801"/>
      <c r="G761" s="801"/>
      <c r="H761" s="801"/>
      <c r="I761" s="801"/>
      <c r="J761" s="807"/>
      <c r="K761" s="807"/>
      <c r="L761" s="807"/>
      <c r="M761" s="807"/>
      <c r="N761" s="807"/>
      <c r="O761" s="807"/>
      <c r="P761" s="807"/>
      <c r="Q761" s="807"/>
      <c r="R761" s="807"/>
      <c r="S761" s="807"/>
      <c r="T761" s="807"/>
      <c r="U761" s="807"/>
    </row>
    <row r="762">
      <c r="A762" s="807"/>
      <c r="B762" s="813"/>
      <c r="C762" s="813"/>
      <c r="D762" s="807"/>
      <c r="E762" s="807"/>
      <c r="F762" s="801"/>
      <c r="G762" s="801"/>
      <c r="H762" s="801"/>
      <c r="I762" s="801"/>
      <c r="J762" s="807"/>
      <c r="K762" s="807"/>
      <c r="L762" s="807"/>
      <c r="M762" s="807"/>
      <c r="N762" s="807"/>
      <c r="O762" s="807"/>
      <c r="P762" s="807"/>
      <c r="Q762" s="807"/>
      <c r="R762" s="807"/>
      <c r="S762" s="807"/>
      <c r="T762" s="807"/>
      <c r="U762" s="807"/>
    </row>
    <row r="763">
      <c r="A763" s="807"/>
      <c r="B763" s="813"/>
      <c r="C763" s="813"/>
      <c r="D763" s="807"/>
      <c r="E763" s="807"/>
      <c r="F763" s="801"/>
      <c r="G763" s="801"/>
      <c r="H763" s="801"/>
      <c r="I763" s="801"/>
      <c r="J763" s="807"/>
      <c r="K763" s="807"/>
      <c r="L763" s="807"/>
      <c r="M763" s="807"/>
      <c r="N763" s="807"/>
      <c r="O763" s="807"/>
      <c r="P763" s="807"/>
      <c r="Q763" s="807"/>
      <c r="R763" s="807"/>
      <c r="S763" s="807"/>
      <c r="T763" s="807"/>
      <c r="U763" s="807"/>
    </row>
    <row r="764">
      <c r="A764" s="807"/>
      <c r="B764" s="813"/>
      <c r="C764" s="813"/>
      <c r="D764" s="807"/>
      <c r="E764" s="807"/>
      <c r="F764" s="801"/>
      <c r="G764" s="801"/>
      <c r="H764" s="801"/>
      <c r="I764" s="801"/>
      <c r="J764" s="807"/>
      <c r="K764" s="807"/>
      <c r="L764" s="807"/>
      <c r="M764" s="807"/>
      <c r="N764" s="807"/>
      <c r="O764" s="807"/>
      <c r="P764" s="807"/>
      <c r="Q764" s="807"/>
      <c r="R764" s="807"/>
      <c r="S764" s="807"/>
      <c r="T764" s="807"/>
      <c r="U764" s="807"/>
    </row>
    <row r="765">
      <c r="A765" s="807"/>
      <c r="B765" s="813"/>
      <c r="C765" s="813"/>
      <c r="D765" s="807"/>
      <c r="E765" s="807"/>
      <c r="F765" s="801"/>
      <c r="G765" s="801"/>
      <c r="H765" s="801"/>
      <c r="I765" s="801"/>
      <c r="J765" s="807"/>
      <c r="K765" s="807"/>
      <c r="L765" s="807"/>
      <c r="M765" s="807"/>
      <c r="N765" s="807"/>
      <c r="O765" s="807"/>
      <c r="P765" s="807"/>
      <c r="Q765" s="807"/>
      <c r="R765" s="807"/>
      <c r="S765" s="807"/>
      <c r="T765" s="807"/>
      <c r="U765" s="807"/>
    </row>
    <row r="766">
      <c r="A766" s="807"/>
      <c r="B766" s="813"/>
      <c r="C766" s="813"/>
      <c r="D766" s="807"/>
      <c r="E766" s="807"/>
      <c r="F766" s="801"/>
      <c r="G766" s="801"/>
      <c r="H766" s="801"/>
      <c r="I766" s="801"/>
      <c r="J766" s="807"/>
      <c r="K766" s="807"/>
      <c r="L766" s="807"/>
      <c r="M766" s="807"/>
      <c r="N766" s="807"/>
      <c r="O766" s="807"/>
      <c r="P766" s="807"/>
      <c r="Q766" s="807"/>
      <c r="R766" s="807"/>
      <c r="S766" s="807"/>
      <c r="T766" s="807"/>
      <c r="U766" s="807"/>
    </row>
    <row r="767">
      <c r="A767" s="807"/>
      <c r="B767" s="813"/>
      <c r="C767" s="813"/>
      <c r="D767" s="807"/>
      <c r="E767" s="807"/>
      <c r="F767" s="801"/>
      <c r="G767" s="801"/>
      <c r="H767" s="801"/>
      <c r="I767" s="801"/>
      <c r="J767" s="807"/>
      <c r="K767" s="807"/>
      <c r="L767" s="807"/>
      <c r="M767" s="807"/>
      <c r="N767" s="807"/>
      <c r="O767" s="807"/>
      <c r="P767" s="807"/>
      <c r="Q767" s="807"/>
      <c r="R767" s="807"/>
      <c r="S767" s="807"/>
      <c r="T767" s="807"/>
      <c r="U767" s="807"/>
    </row>
    <row r="768">
      <c r="A768" s="807"/>
      <c r="B768" s="813"/>
      <c r="C768" s="813"/>
      <c r="D768" s="807"/>
      <c r="E768" s="807"/>
      <c r="F768" s="801"/>
      <c r="G768" s="801"/>
      <c r="H768" s="801"/>
      <c r="I768" s="801"/>
      <c r="J768" s="807"/>
      <c r="K768" s="807"/>
      <c r="L768" s="807"/>
      <c r="M768" s="807"/>
      <c r="N768" s="807"/>
      <c r="O768" s="807"/>
      <c r="P768" s="807"/>
      <c r="Q768" s="807"/>
      <c r="R768" s="807"/>
      <c r="S768" s="807"/>
      <c r="T768" s="807"/>
      <c r="U768" s="807"/>
    </row>
    <row r="769">
      <c r="A769" s="807"/>
      <c r="B769" s="813"/>
      <c r="C769" s="813"/>
      <c r="D769" s="807"/>
      <c r="E769" s="807"/>
      <c r="F769" s="801"/>
      <c r="G769" s="801"/>
      <c r="H769" s="801"/>
      <c r="I769" s="801"/>
      <c r="J769" s="807"/>
      <c r="K769" s="807"/>
      <c r="L769" s="807"/>
      <c r="M769" s="807"/>
      <c r="N769" s="807"/>
      <c r="O769" s="807"/>
      <c r="P769" s="807"/>
      <c r="Q769" s="807"/>
      <c r="R769" s="807"/>
      <c r="S769" s="807"/>
      <c r="T769" s="807"/>
      <c r="U769" s="807"/>
    </row>
    <row r="770">
      <c r="A770" s="807"/>
      <c r="B770" s="813"/>
      <c r="C770" s="813"/>
      <c r="D770" s="807"/>
      <c r="E770" s="807"/>
      <c r="F770" s="801"/>
      <c r="G770" s="801"/>
      <c r="H770" s="801"/>
      <c r="I770" s="801"/>
      <c r="J770" s="807"/>
      <c r="K770" s="807"/>
      <c r="L770" s="807"/>
      <c r="M770" s="807"/>
      <c r="N770" s="807"/>
      <c r="O770" s="807"/>
      <c r="P770" s="807"/>
      <c r="Q770" s="807"/>
      <c r="R770" s="807"/>
      <c r="S770" s="807"/>
      <c r="T770" s="807"/>
      <c r="U770" s="807"/>
    </row>
    <row r="771">
      <c r="A771" s="807"/>
      <c r="B771" s="813"/>
      <c r="C771" s="813"/>
      <c r="D771" s="807"/>
      <c r="E771" s="807"/>
      <c r="F771" s="801"/>
      <c r="G771" s="801"/>
      <c r="H771" s="801"/>
      <c r="I771" s="801"/>
      <c r="J771" s="807"/>
      <c r="K771" s="807"/>
      <c r="L771" s="807"/>
      <c r="M771" s="807"/>
      <c r="N771" s="807"/>
      <c r="O771" s="807"/>
      <c r="P771" s="807"/>
      <c r="Q771" s="807"/>
      <c r="R771" s="807"/>
      <c r="S771" s="807"/>
      <c r="T771" s="807"/>
      <c r="U771" s="807"/>
    </row>
    <row r="772">
      <c r="A772" s="807"/>
      <c r="B772" s="813"/>
      <c r="C772" s="813"/>
      <c r="D772" s="807"/>
      <c r="E772" s="807"/>
      <c r="F772" s="801"/>
      <c r="G772" s="801"/>
      <c r="H772" s="801"/>
      <c r="I772" s="801"/>
      <c r="J772" s="807"/>
      <c r="K772" s="807"/>
      <c r="L772" s="807"/>
      <c r="M772" s="807"/>
      <c r="N772" s="807"/>
      <c r="O772" s="807"/>
      <c r="P772" s="807"/>
      <c r="Q772" s="807"/>
      <c r="R772" s="807"/>
      <c r="S772" s="807"/>
      <c r="T772" s="807"/>
      <c r="U772" s="807"/>
    </row>
    <row r="773">
      <c r="A773" s="807"/>
      <c r="B773" s="813"/>
      <c r="C773" s="813"/>
      <c r="D773" s="807"/>
      <c r="E773" s="807"/>
      <c r="F773" s="801"/>
      <c r="G773" s="801"/>
      <c r="H773" s="801"/>
      <c r="I773" s="801"/>
      <c r="J773" s="807"/>
      <c r="K773" s="807"/>
      <c r="L773" s="807"/>
      <c r="M773" s="807"/>
      <c r="N773" s="807"/>
      <c r="O773" s="807"/>
      <c r="P773" s="807"/>
      <c r="Q773" s="807"/>
      <c r="R773" s="807"/>
      <c r="S773" s="807"/>
      <c r="T773" s="807"/>
      <c r="U773" s="807"/>
    </row>
    <row r="774">
      <c r="A774" s="807"/>
      <c r="B774" s="813"/>
      <c r="C774" s="813"/>
      <c r="D774" s="807"/>
      <c r="E774" s="807"/>
      <c r="F774" s="801"/>
      <c r="G774" s="801"/>
      <c r="H774" s="801"/>
      <c r="I774" s="801"/>
      <c r="J774" s="807"/>
      <c r="K774" s="807"/>
      <c r="L774" s="807"/>
      <c r="M774" s="807"/>
      <c r="N774" s="807"/>
      <c r="O774" s="807"/>
      <c r="P774" s="807"/>
      <c r="Q774" s="807"/>
      <c r="R774" s="807"/>
      <c r="S774" s="807"/>
      <c r="T774" s="807"/>
      <c r="U774" s="807"/>
    </row>
    <row r="775">
      <c r="A775" s="807"/>
      <c r="B775" s="813"/>
      <c r="C775" s="813"/>
      <c r="D775" s="807"/>
      <c r="E775" s="807"/>
      <c r="F775" s="801"/>
      <c r="G775" s="801"/>
      <c r="H775" s="801"/>
      <c r="I775" s="801"/>
      <c r="J775" s="807"/>
      <c r="K775" s="807"/>
      <c r="L775" s="807"/>
      <c r="M775" s="807"/>
      <c r="N775" s="807"/>
      <c r="O775" s="807"/>
      <c r="P775" s="807"/>
      <c r="Q775" s="807"/>
      <c r="R775" s="807"/>
      <c r="S775" s="807"/>
      <c r="T775" s="807"/>
      <c r="U775" s="807"/>
    </row>
    <row r="776">
      <c r="A776" s="807"/>
      <c r="B776" s="813"/>
      <c r="C776" s="813"/>
      <c r="D776" s="807"/>
      <c r="E776" s="807"/>
      <c r="F776" s="801"/>
      <c r="G776" s="801"/>
      <c r="H776" s="801"/>
      <c r="I776" s="801"/>
      <c r="J776" s="807"/>
      <c r="K776" s="807"/>
      <c r="L776" s="807"/>
      <c r="M776" s="807"/>
      <c r="N776" s="807"/>
      <c r="O776" s="807"/>
      <c r="P776" s="807"/>
      <c r="Q776" s="807"/>
      <c r="R776" s="807"/>
      <c r="S776" s="807"/>
      <c r="T776" s="807"/>
      <c r="U776" s="807"/>
    </row>
    <row r="777">
      <c r="A777" s="807"/>
      <c r="B777" s="813"/>
      <c r="C777" s="813"/>
      <c r="D777" s="807"/>
      <c r="E777" s="807"/>
      <c r="F777" s="801"/>
      <c r="G777" s="801"/>
      <c r="H777" s="801"/>
      <c r="I777" s="801"/>
      <c r="J777" s="807"/>
      <c r="K777" s="807"/>
      <c r="L777" s="807"/>
      <c r="M777" s="807"/>
      <c r="N777" s="807"/>
      <c r="O777" s="807"/>
      <c r="P777" s="807"/>
      <c r="Q777" s="807"/>
      <c r="R777" s="807"/>
      <c r="S777" s="807"/>
      <c r="T777" s="807"/>
      <c r="U777" s="807"/>
    </row>
    <row r="778">
      <c r="A778" s="807"/>
      <c r="B778" s="813"/>
      <c r="C778" s="813"/>
      <c r="D778" s="807"/>
      <c r="E778" s="807"/>
      <c r="F778" s="801"/>
      <c r="G778" s="801"/>
      <c r="H778" s="801"/>
      <c r="I778" s="801"/>
      <c r="J778" s="807"/>
      <c r="K778" s="807"/>
      <c r="L778" s="807"/>
      <c r="M778" s="807"/>
      <c r="N778" s="807"/>
      <c r="O778" s="807"/>
      <c r="P778" s="807"/>
      <c r="Q778" s="807"/>
      <c r="R778" s="807"/>
      <c r="S778" s="807"/>
      <c r="T778" s="807"/>
      <c r="U778" s="807"/>
    </row>
    <row r="779">
      <c r="A779" s="807"/>
      <c r="B779" s="813"/>
      <c r="C779" s="813"/>
      <c r="D779" s="807"/>
      <c r="E779" s="807"/>
      <c r="F779" s="801"/>
      <c r="G779" s="801"/>
      <c r="H779" s="801"/>
      <c r="I779" s="801"/>
      <c r="J779" s="807"/>
      <c r="K779" s="807"/>
      <c r="L779" s="807"/>
      <c r="M779" s="807"/>
      <c r="N779" s="807"/>
      <c r="O779" s="807"/>
      <c r="P779" s="807"/>
      <c r="Q779" s="807"/>
      <c r="R779" s="807"/>
      <c r="S779" s="807"/>
      <c r="T779" s="807"/>
      <c r="U779" s="807"/>
    </row>
    <row r="780">
      <c r="A780" s="807"/>
      <c r="B780" s="813"/>
      <c r="C780" s="813"/>
      <c r="D780" s="807"/>
      <c r="E780" s="807"/>
      <c r="F780" s="801"/>
      <c r="G780" s="801"/>
      <c r="H780" s="801"/>
      <c r="I780" s="801"/>
      <c r="J780" s="807"/>
      <c r="K780" s="807"/>
      <c r="L780" s="807"/>
      <c r="M780" s="807"/>
      <c r="N780" s="807"/>
      <c r="O780" s="807"/>
      <c r="P780" s="807"/>
      <c r="Q780" s="807"/>
      <c r="R780" s="807"/>
      <c r="S780" s="807"/>
      <c r="T780" s="807"/>
      <c r="U780" s="807"/>
    </row>
    <row r="781">
      <c r="A781" s="807"/>
      <c r="B781" s="813"/>
      <c r="C781" s="813"/>
      <c r="D781" s="807"/>
      <c r="E781" s="807"/>
      <c r="F781" s="801"/>
      <c r="G781" s="801"/>
      <c r="H781" s="801"/>
      <c r="I781" s="801"/>
      <c r="J781" s="807"/>
      <c r="K781" s="807"/>
      <c r="L781" s="807"/>
      <c r="M781" s="807"/>
      <c r="N781" s="807"/>
      <c r="O781" s="807"/>
      <c r="P781" s="807"/>
      <c r="Q781" s="807"/>
      <c r="R781" s="807"/>
      <c r="S781" s="807"/>
      <c r="T781" s="807"/>
      <c r="U781" s="807"/>
    </row>
    <row r="782">
      <c r="A782" s="807"/>
      <c r="B782" s="813"/>
      <c r="C782" s="813"/>
      <c r="D782" s="807"/>
      <c r="E782" s="807"/>
      <c r="F782" s="801"/>
      <c r="G782" s="801"/>
      <c r="H782" s="801"/>
      <c r="I782" s="801"/>
      <c r="J782" s="807"/>
      <c r="K782" s="807"/>
      <c r="L782" s="807"/>
      <c r="M782" s="807"/>
      <c r="N782" s="807"/>
      <c r="O782" s="807"/>
      <c r="P782" s="807"/>
      <c r="Q782" s="807"/>
      <c r="R782" s="807"/>
      <c r="S782" s="807"/>
      <c r="T782" s="807"/>
      <c r="U782" s="807"/>
    </row>
    <row r="783">
      <c r="A783" s="807"/>
      <c r="B783" s="813"/>
      <c r="C783" s="813"/>
      <c r="D783" s="807"/>
      <c r="E783" s="807"/>
      <c r="F783" s="801"/>
      <c r="G783" s="801"/>
      <c r="H783" s="801"/>
      <c r="I783" s="801"/>
      <c r="J783" s="807"/>
      <c r="K783" s="807"/>
      <c r="L783" s="807"/>
      <c r="M783" s="807"/>
      <c r="N783" s="807"/>
      <c r="O783" s="807"/>
      <c r="P783" s="807"/>
      <c r="Q783" s="807"/>
      <c r="R783" s="807"/>
      <c r="S783" s="807"/>
      <c r="T783" s="807"/>
      <c r="U783" s="807"/>
    </row>
    <row r="784">
      <c r="A784" s="807"/>
      <c r="B784" s="813"/>
      <c r="C784" s="813"/>
      <c r="D784" s="807"/>
      <c r="E784" s="807"/>
      <c r="F784" s="801"/>
      <c r="G784" s="801"/>
      <c r="H784" s="801"/>
      <c r="I784" s="801"/>
      <c r="J784" s="807"/>
      <c r="K784" s="807"/>
      <c r="L784" s="807"/>
      <c r="M784" s="807"/>
      <c r="N784" s="807"/>
      <c r="O784" s="807"/>
      <c r="P784" s="807"/>
      <c r="Q784" s="807"/>
      <c r="R784" s="807"/>
      <c r="S784" s="807"/>
      <c r="T784" s="807"/>
      <c r="U784" s="807"/>
    </row>
    <row r="785">
      <c r="A785" s="807"/>
      <c r="B785" s="813"/>
      <c r="C785" s="813"/>
      <c r="D785" s="807"/>
      <c r="E785" s="807"/>
      <c r="F785" s="801"/>
      <c r="G785" s="801"/>
      <c r="H785" s="801"/>
      <c r="I785" s="801"/>
      <c r="J785" s="807"/>
      <c r="K785" s="807"/>
      <c r="L785" s="807"/>
      <c r="M785" s="807"/>
      <c r="N785" s="807"/>
      <c r="O785" s="807"/>
      <c r="P785" s="807"/>
      <c r="Q785" s="807"/>
      <c r="R785" s="807"/>
      <c r="S785" s="807"/>
      <c r="T785" s="807"/>
      <c r="U785" s="807"/>
    </row>
    <row r="786">
      <c r="A786" s="807"/>
      <c r="B786" s="813"/>
      <c r="C786" s="813"/>
      <c r="D786" s="807"/>
      <c r="E786" s="807"/>
      <c r="F786" s="801"/>
      <c r="G786" s="801"/>
      <c r="H786" s="801"/>
      <c r="I786" s="801"/>
      <c r="J786" s="807"/>
      <c r="K786" s="807"/>
      <c r="L786" s="807"/>
      <c r="M786" s="807"/>
      <c r="N786" s="807"/>
      <c r="O786" s="807"/>
      <c r="P786" s="807"/>
      <c r="Q786" s="807"/>
      <c r="R786" s="807"/>
      <c r="S786" s="807"/>
      <c r="T786" s="807"/>
      <c r="U786" s="807"/>
    </row>
    <row r="787">
      <c r="A787" s="807"/>
      <c r="B787" s="813"/>
      <c r="C787" s="813"/>
      <c r="D787" s="807"/>
      <c r="E787" s="807"/>
      <c r="F787" s="801"/>
      <c r="G787" s="801"/>
      <c r="H787" s="801"/>
      <c r="I787" s="801"/>
      <c r="J787" s="807"/>
      <c r="K787" s="807"/>
      <c r="L787" s="807"/>
      <c r="M787" s="807"/>
      <c r="N787" s="807"/>
      <c r="O787" s="807"/>
      <c r="P787" s="807"/>
      <c r="Q787" s="807"/>
      <c r="R787" s="807"/>
      <c r="S787" s="807"/>
      <c r="T787" s="807"/>
      <c r="U787" s="807"/>
    </row>
    <row r="788">
      <c r="A788" s="807"/>
      <c r="B788" s="813"/>
      <c r="C788" s="813"/>
      <c r="D788" s="807"/>
      <c r="E788" s="807"/>
      <c r="F788" s="801"/>
      <c r="G788" s="801"/>
      <c r="H788" s="801"/>
      <c r="I788" s="801"/>
      <c r="J788" s="807"/>
      <c r="K788" s="807"/>
      <c r="L788" s="807"/>
      <c r="M788" s="807"/>
      <c r="N788" s="807"/>
      <c r="O788" s="807"/>
      <c r="P788" s="807"/>
      <c r="Q788" s="807"/>
      <c r="R788" s="807"/>
      <c r="S788" s="807"/>
      <c r="T788" s="807"/>
      <c r="U788" s="807"/>
    </row>
    <row r="789">
      <c r="A789" s="807"/>
      <c r="B789" s="813"/>
      <c r="C789" s="813"/>
      <c r="D789" s="807"/>
      <c r="E789" s="807"/>
      <c r="F789" s="801"/>
      <c r="G789" s="801"/>
      <c r="H789" s="801"/>
      <c r="I789" s="801"/>
      <c r="J789" s="807"/>
      <c r="K789" s="807"/>
      <c r="L789" s="807"/>
      <c r="M789" s="807"/>
      <c r="N789" s="807"/>
      <c r="O789" s="807"/>
      <c r="P789" s="807"/>
      <c r="Q789" s="807"/>
      <c r="R789" s="807"/>
      <c r="S789" s="807"/>
      <c r="T789" s="807"/>
      <c r="U789" s="807"/>
    </row>
    <row r="790">
      <c r="A790" s="807"/>
      <c r="B790" s="813"/>
      <c r="C790" s="813"/>
      <c r="D790" s="807"/>
      <c r="E790" s="807"/>
      <c r="F790" s="801"/>
      <c r="G790" s="801"/>
      <c r="H790" s="801"/>
      <c r="I790" s="801"/>
      <c r="J790" s="807"/>
      <c r="K790" s="807"/>
      <c r="L790" s="807"/>
      <c r="M790" s="807"/>
      <c r="N790" s="807"/>
      <c r="O790" s="807"/>
      <c r="P790" s="807"/>
      <c r="Q790" s="807"/>
      <c r="R790" s="807"/>
      <c r="S790" s="807"/>
      <c r="T790" s="807"/>
      <c r="U790" s="807"/>
    </row>
    <row r="791">
      <c r="A791" s="807"/>
      <c r="B791" s="813"/>
      <c r="C791" s="813"/>
      <c r="D791" s="807"/>
      <c r="E791" s="807"/>
      <c r="F791" s="801"/>
      <c r="G791" s="801"/>
      <c r="H791" s="801"/>
      <c r="I791" s="801"/>
      <c r="J791" s="807"/>
      <c r="K791" s="807"/>
      <c r="L791" s="807"/>
      <c r="M791" s="807"/>
      <c r="N791" s="807"/>
      <c r="O791" s="807"/>
      <c r="P791" s="807"/>
      <c r="Q791" s="807"/>
      <c r="R791" s="807"/>
      <c r="S791" s="807"/>
      <c r="T791" s="807"/>
      <c r="U791" s="807"/>
    </row>
    <row r="792">
      <c r="A792" s="807"/>
      <c r="B792" s="813"/>
      <c r="C792" s="813"/>
      <c r="D792" s="807"/>
      <c r="E792" s="807"/>
      <c r="F792" s="801"/>
      <c r="G792" s="801"/>
      <c r="H792" s="801"/>
      <c r="I792" s="801"/>
      <c r="J792" s="807"/>
      <c r="K792" s="807"/>
      <c r="L792" s="807"/>
      <c r="M792" s="807"/>
      <c r="N792" s="807"/>
      <c r="O792" s="807"/>
      <c r="P792" s="807"/>
      <c r="Q792" s="807"/>
      <c r="R792" s="807"/>
      <c r="S792" s="807"/>
      <c r="T792" s="807"/>
      <c r="U792" s="807"/>
    </row>
    <row r="793">
      <c r="A793" s="807"/>
      <c r="B793" s="813"/>
      <c r="C793" s="813"/>
      <c r="D793" s="807"/>
      <c r="E793" s="807"/>
      <c r="F793" s="801"/>
      <c r="G793" s="801"/>
      <c r="H793" s="801"/>
      <c r="I793" s="801"/>
      <c r="J793" s="807"/>
      <c r="K793" s="807"/>
      <c r="L793" s="807"/>
      <c r="M793" s="807"/>
      <c r="N793" s="807"/>
      <c r="O793" s="807"/>
      <c r="P793" s="807"/>
      <c r="Q793" s="807"/>
      <c r="R793" s="807"/>
      <c r="S793" s="807"/>
      <c r="T793" s="807"/>
      <c r="U793" s="807"/>
    </row>
    <row r="794">
      <c r="A794" s="807"/>
      <c r="B794" s="813"/>
      <c r="C794" s="813"/>
      <c r="D794" s="807"/>
      <c r="E794" s="807"/>
      <c r="F794" s="801"/>
      <c r="G794" s="801"/>
      <c r="H794" s="801"/>
      <c r="I794" s="801"/>
      <c r="J794" s="807"/>
      <c r="K794" s="807"/>
      <c r="L794" s="807"/>
      <c r="M794" s="807"/>
      <c r="N794" s="807"/>
      <c r="O794" s="807"/>
      <c r="P794" s="807"/>
      <c r="Q794" s="807"/>
      <c r="R794" s="807"/>
      <c r="S794" s="807"/>
      <c r="T794" s="807"/>
      <c r="U794" s="807"/>
    </row>
    <row r="795">
      <c r="A795" s="807"/>
      <c r="B795" s="813"/>
      <c r="C795" s="813"/>
      <c r="D795" s="807"/>
      <c r="E795" s="807"/>
      <c r="F795" s="801"/>
      <c r="G795" s="801"/>
      <c r="H795" s="801"/>
      <c r="I795" s="801"/>
      <c r="J795" s="807"/>
      <c r="K795" s="807"/>
      <c r="L795" s="807"/>
      <c r="M795" s="807"/>
      <c r="N795" s="807"/>
      <c r="O795" s="807"/>
      <c r="P795" s="807"/>
      <c r="Q795" s="807"/>
      <c r="R795" s="807"/>
      <c r="S795" s="807"/>
      <c r="T795" s="807"/>
      <c r="U795" s="807"/>
    </row>
    <row r="796">
      <c r="A796" s="807"/>
      <c r="B796" s="813"/>
      <c r="C796" s="813"/>
      <c r="D796" s="807"/>
      <c r="E796" s="807"/>
      <c r="F796" s="801"/>
      <c r="G796" s="801"/>
      <c r="H796" s="801"/>
      <c r="I796" s="801"/>
      <c r="J796" s="807"/>
      <c r="K796" s="807"/>
      <c r="L796" s="807"/>
      <c r="M796" s="807"/>
      <c r="N796" s="807"/>
      <c r="O796" s="807"/>
      <c r="P796" s="807"/>
      <c r="Q796" s="807"/>
      <c r="R796" s="807"/>
      <c r="S796" s="807"/>
      <c r="T796" s="807"/>
      <c r="U796" s="807"/>
    </row>
    <row r="797">
      <c r="A797" s="807"/>
      <c r="B797" s="813"/>
      <c r="C797" s="813"/>
      <c r="D797" s="807"/>
      <c r="E797" s="807"/>
      <c r="F797" s="801"/>
      <c r="G797" s="801"/>
      <c r="H797" s="801"/>
      <c r="I797" s="801"/>
      <c r="J797" s="807"/>
      <c r="K797" s="807"/>
      <c r="L797" s="807"/>
      <c r="M797" s="807"/>
      <c r="N797" s="807"/>
      <c r="O797" s="807"/>
      <c r="P797" s="807"/>
      <c r="Q797" s="807"/>
      <c r="R797" s="807"/>
      <c r="S797" s="807"/>
      <c r="T797" s="807"/>
      <c r="U797" s="807"/>
    </row>
    <row r="798">
      <c r="A798" s="807"/>
      <c r="B798" s="813"/>
      <c r="C798" s="813"/>
      <c r="D798" s="807"/>
      <c r="E798" s="807"/>
      <c r="F798" s="801"/>
      <c r="G798" s="801"/>
      <c r="H798" s="801"/>
      <c r="I798" s="801"/>
      <c r="J798" s="807"/>
      <c r="K798" s="807"/>
      <c r="L798" s="807"/>
      <c r="M798" s="807"/>
      <c r="N798" s="807"/>
      <c r="O798" s="807"/>
      <c r="P798" s="807"/>
      <c r="Q798" s="807"/>
      <c r="R798" s="807"/>
      <c r="S798" s="807"/>
      <c r="T798" s="807"/>
      <c r="U798" s="807"/>
    </row>
    <row r="799">
      <c r="A799" s="807"/>
      <c r="B799" s="813"/>
      <c r="C799" s="813"/>
      <c r="D799" s="807"/>
      <c r="E799" s="807"/>
      <c r="F799" s="801"/>
      <c r="G799" s="801"/>
      <c r="H799" s="801"/>
      <c r="I799" s="801"/>
      <c r="J799" s="807"/>
      <c r="K799" s="807"/>
      <c r="L799" s="807"/>
      <c r="M799" s="807"/>
      <c r="N799" s="807"/>
      <c r="O799" s="807"/>
      <c r="P799" s="807"/>
      <c r="Q799" s="807"/>
      <c r="R799" s="807"/>
      <c r="S799" s="807"/>
      <c r="T799" s="807"/>
      <c r="U799" s="807"/>
    </row>
    <row r="800">
      <c r="A800" s="807"/>
      <c r="B800" s="813"/>
      <c r="C800" s="813"/>
      <c r="D800" s="807"/>
      <c r="E800" s="807"/>
      <c r="F800" s="801"/>
      <c r="G800" s="801"/>
      <c r="H800" s="801"/>
      <c r="I800" s="801"/>
      <c r="J800" s="807"/>
      <c r="K800" s="807"/>
      <c r="L800" s="807"/>
      <c r="M800" s="807"/>
      <c r="N800" s="807"/>
      <c r="O800" s="807"/>
      <c r="P800" s="807"/>
      <c r="Q800" s="807"/>
      <c r="R800" s="807"/>
      <c r="S800" s="807"/>
      <c r="T800" s="807"/>
      <c r="U800" s="807"/>
    </row>
    <row r="801">
      <c r="A801" s="807"/>
      <c r="B801" s="813"/>
      <c r="C801" s="813"/>
      <c r="D801" s="807"/>
      <c r="E801" s="807"/>
      <c r="F801" s="801"/>
      <c r="G801" s="801"/>
      <c r="H801" s="801"/>
      <c r="I801" s="801"/>
      <c r="J801" s="807"/>
      <c r="K801" s="807"/>
      <c r="L801" s="807"/>
      <c r="M801" s="807"/>
      <c r="N801" s="807"/>
      <c r="O801" s="807"/>
      <c r="P801" s="807"/>
      <c r="Q801" s="807"/>
      <c r="R801" s="807"/>
      <c r="S801" s="807"/>
      <c r="T801" s="807"/>
      <c r="U801" s="807"/>
    </row>
    <row r="802">
      <c r="A802" s="807"/>
      <c r="B802" s="813"/>
      <c r="C802" s="813"/>
      <c r="D802" s="807"/>
      <c r="E802" s="807"/>
      <c r="F802" s="801"/>
      <c r="G802" s="801"/>
      <c r="H802" s="801"/>
      <c r="I802" s="801"/>
      <c r="J802" s="807"/>
      <c r="K802" s="807"/>
      <c r="L802" s="807"/>
      <c r="M802" s="807"/>
      <c r="N802" s="807"/>
      <c r="O802" s="807"/>
      <c r="P802" s="807"/>
      <c r="Q802" s="807"/>
      <c r="R802" s="807"/>
      <c r="S802" s="807"/>
      <c r="T802" s="807"/>
      <c r="U802" s="807"/>
    </row>
    <row r="803">
      <c r="A803" s="807"/>
      <c r="B803" s="813"/>
      <c r="C803" s="813"/>
      <c r="D803" s="807"/>
      <c r="E803" s="807"/>
      <c r="F803" s="801"/>
      <c r="G803" s="801"/>
      <c r="H803" s="801"/>
      <c r="I803" s="801"/>
      <c r="J803" s="807"/>
      <c r="K803" s="807"/>
      <c r="L803" s="807"/>
      <c r="M803" s="807"/>
      <c r="N803" s="807"/>
      <c r="O803" s="807"/>
      <c r="P803" s="807"/>
      <c r="Q803" s="807"/>
      <c r="R803" s="807"/>
      <c r="S803" s="807"/>
      <c r="T803" s="807"/>
      <c r="U803" s="807"/>
    </row>
    <row r="804">
      <c r="A804" s="807"/>
      <c r="B804" s="813"/>
      <c r="C804" s="813"/>
      <c r="D804" s="807"/>
      <c r="E804" s="807"/>
      <c r="F804" s="801"/>
      <c r="G804" s="801"/>
      <c r="H804" s="801"/>
      <c r="I804" s="801"/>
      <c r="J804" s="807"/>
      <c r="K804" s="807"/>
      <c r="L804" s="807"/>
      <c r="M804" s="807"/>
      <c r="N804" s="807"/>
      <c r="O804" s="807"/>
      <c r="P804" s="807"/>
      <c r="Q804" s="807"/>
      <c r="R804" s="807"/>
      <c r="S804" s="807"/>
      <c r="T804" s="807"/>
      <c r="U804" s="807"/>
    </row>
    <row r="805">
      <c r="A805" s="807"/>
      <c r="B805" s="813"/>
      <c r="C805" s="813"/>
      <c r="D805" s="807"/>
      <c r="E805" s="807"/>
      <c r="F805" s="801"/>
      <c r="G805" s="801"/>
      <c r="H805" s="801"/>
      <c r="I805" s="801"/>
      <c r="J805" s="807"/>
      <c r="K805" s="807"/>
      <c r="L805" s="807"/>
      <c r="M805" s="807"/>
      <c r="N805" s="807"/>
      <c r="O805" s="807"/>
      <c r="P805" s="807"/>
      <c r="Q805" s="807"/>
      <c r="R805" s="807"/>
      <c r="S805" s="807"/>
      <c r="T805" s="807"/>
      <c r="U805" s="807"/>
    </row>
    <row r="806">
      <c r="A806" s="807"/>
      <c r="B806" s="813"/>
      <c r="C806" s="813"/>
      <c r="D806" s="807"/>
      <c r="E806" s="807"/>
      <c r="F806" s="801"/>
      <c r="G806" s="801"/>
      <c r="H806" s="801"/>
      <c r="I806" s="801"/>
      <c r="J806" s="807"/>
      <c r="K806" s="807"/>
      <c r="L806" s="807"/>
      <c r="M806" s="807"/>
      <c r="N806" s="807"/>
      <c r="O806" s="807"/>
      <c r="P806" s="807"/>
      <c r="Q806" s="807"/>
      <c r="R806" s="807"/>
      <c r="S806" s="807"/>
      <c r="T806" s="807"/>
      <c r="U806" s="807"/>
    </row>
    <row r="807">
      <c r="A807" s="807"/>
      <c r="B807" s="813"/>
      <c r="C807" s="813"/>
      <c r="D807" s="807"/>
      <c r="E807" s="807"/>
      <c r="F807" s="801"/>
      <c r="G807" s="801"/>
      <c r="H807" s="801"/>
      <c r="I807" s="801"/>
      <c r="J807" s="807"/>
      <c r="K807" s="807"/>
      <c r="L807" s="807"/>
      <c r="M807" s="807"/>
      <c r="N807" s="807"/>
      <c r="O807" s="807"/>
      <c r="P807" s="807"/>
      <c r="Q807" s="807"/>
      <c r="R807" s="807"/>
      <c r="S807" s="807"/>
      <c r="T807" s="807"/>
      <c r="U807" s="807"/>
    </row>
    <row r="808">
      <c r="A808" s="807"/>
      <c r="B808" s="813"/>
      <c r="C808" s="813"/>
      <c r="D808" s="807"/>
      <c r="E808" s="807"/>
      <c r="F808" s="801"/>
      <c r="G808" s="801"/>
      <c r="H808" s="801"/>
      <c r="I808" s="801"/>
      <c r="J808" s="807"/>
      <c r="K808" s="807"/>
      <c r="L808" s="807"/>
      <c r="M808" s="807"/>
      <c r="N808" s="807"/>
      <c r="O808" s="807"/>
      <c r="P808" s="807"/>
      <c r="Q808" s="807"/>
      <c r="R808" s="807"/>
      <c r="S808" s="807"/>
      <c r="T808" s="807"/>
      <c r="U808" s="807"/>
    </row>
    <row r="809">
      <c r="A809" s="807"/>
      <c r="B809" s="813"/>
      <c r="C809" s="813"/>
      <c r="D809" s="807"/>
      <c r="E809" s="807"/>
      <c r="F809" s="801"/>
      <c r="G809" s="801"/>
      <c r="H809" s="801"/>
      <c r="I809" s="801"/>
      <c r="J809" s="807"/>
      <c r="K809" s="807"/>
      <c r="L809" s="807"/>
      <c r="M809" s="807"/>
      <c r="N809" s="807"/>
      <c r="O809" s="807"/>
      <c r="P809" s="807"/>
      <c r="Q809" s="807"/>
      <c r="R809" s="807"/>
      <c r="S809" s="807"/>
      <c r="T809" s="807"/>
      <c r="U809" s="807"/>
    </row>
    <row r="810">
      <c r="A810" s="807"/>
      <c r="B810" s="813"/>
      <c r="C810" s="813"/>
      <c r="D810" s="807"/>
      <c r="E810" s="807"/>
      <c r="F810" s="801"/>
      <c r="G810" s="801"/>
      <c r="H810" s="801"/>
      <c r="I810" s="801"/>
      <c r="J810" s="807"/>
      <c r="K810" s="807"/>
      <c r="L810" s="807"/>
      <c r="M810" s="807"/>
      <c r="N810" s="807"/>
      <c r="O810" s="807"/>
      <c r="P810" s="807"/>
      <c r="Q810" s="807"/>
      <c r="R810" s="807"/>
      <c r="S810" s="807"/>
      <c r="T810" s="807"/>
      <c r="U810" s="807"/>
    </row>
    <row r="811">
      <c r="A811" s="807"/>
      <c r="B811" s="813"/>
      <c r="C811" s="813"/>
      <c r="D811" s="807"/>
      <c r="E811" s="807"/>
      <c r="F811" s="801"/>
      <c r="G811" s="801"/>
      <c r="H811" s="801"/>
      <c r="I811" s="801"/>
      <c r="J811" s="807"/>
      <c r="K811" s="807"/>
      <c r="L811" s="807"/>
      <c r="M811" s="807"/>
      <c r="N811" s="807"/>
      <c r="O811" s="807"/>
      <c r="P811" s="807"/>
      <c r="Q811" s="807"/>
      <c r="R811" s="807"/>
      <c r="S811" s="807"/>
      <c r="T811" s="807"/>
      <c r="U811" s="807"/>
    </row>
    <row r="812">
      <c r="A812" s="807"/>
      <c r="B812" s="813"/>
      <c r="C812" s="813"/>
      <c r="D812" s="807"/>
      <c r="E812" s="807"/>
      <c r="F812" s="801"/>
      <c r="G812" s="801"/>
      <c r="H812" s="801"/>
      <c r="I812" s="801"/>
      <c r="J812" s="807"/>
      <c r="K812" s="807"/>
      <c r="L812" s="807"/>
      <c r="M812" s="807"/>
      <c r="N812" s="807"/>
      <c r="O812" s="807"/>
      <c r="P812" s="807"/>
      <c r="Q812" s="807"/>
      <c r="R812" s="807"/>
      <c r="S812" s="807"/>
      <c r="T812" s="807"/>
      <c r="U812" s="807"/>
    </row>
    <row r="813">
      <c r="A813" s="807"/>
      <c r="B813" s="813"/>
      <c r="C813" s="813"/>
      <c r="D813" s="807"/>
      <c r="E813" s="807"/>
      <c r="F813" s="801"/>
      <c r="G813" s="801"/>
      <c r="H813" s="801"/>
      <c r="I813" s="801"/>
      <c r="J813" s="807"/>
      <c r="K813" s="807"/>
      <c r="L813" s="807"/>
      <c r="M813" s="807"/>
      <c r="N813" s="807"/>
      <c r="O813" s="807"/>
      <c r="P813" s="807"/>
      <c r="Q813" s="807"/>
      <c r="R813" s="807"/>
      <c r="S813" s="807"/>
      <c r="T813" s="807"/>
      <c r="U813" s="807"/>
    </row>
    <row r="814">
      <c r="A814" s="807"/>
      <c r="B814" s="813"/>
      <c r="C814" s="813"/>
      <c r="D814" s="807"/>
      <c r="E814" s="807"/>
      <c r="F814" s="801"/>
      <c r="G814" s="801"/>
      <c r="H814" s="801"/>
      <c r="I814" s="801"/>
      <c r="J814" s="807"/>
      <c r="K814" s="807"/>
      <c r="L814" s="807"/>
      <c r="M814" s="807"/>
      <c r="N814" s="807"/>
      <c r="O814" s="807"/>
      <c r="P814" s="807"/>
      <c r="Q814" s="807"/>
      <c r="R814" s="807"/>
      <c r="S814" s="807"/>
      <c r="T814" s="807"/>
      <c r="U814" s="807"/>
    </row>
    <row r="815">
      <c r="A815" s="807"/>
      <c r="B815" s="813"/>
      <c r="C815" s="813"/>
      <c r="D815" s="807"/>
      <c r="E815" s="807"/>
      <c r="F815" s="801"/>
      <c r="G815" s="801"/>
      <c r="H815" s="801"/>
      <c r="I815" s="801"/>
      <c r="J815" s="807"/>
      <c r="K815" s="807"/>
      <c r="L815" s="807"/>
      <c r="M815" s="807"/>
      <c r="N815" s="807"/>
      <c r="O815" s="807"/>
      <c r="P815" s="807"/>
      <c r="Q815" s="807"/>
      <c r="R815" s="807"/>
      <c r="S815" s="807"/>
      <c r="T815" s="807"/>
      <c r="U815" s="807"/>
    </row>
    <row r="816">
      <c r="A816" s="807"/>
      <c r="B816" s="813"/>
      <c r="C816" s="813"/>
      <c r="D816" s="807"/>
      <c r="E816" s="807"/>
      <c r="F816" s="801"/>
      <c r="G816" s="801"/>
      <c r="H816" s="801"/>
      <c r="I816" s="801"/>
      <c r="J816" s="807"/>
      <c r="K816" s="807"/>
      <c r="L816" s="807"/>
      <c r="M816" s="807"/>
      <c r="N816" s="807"/>
      <c r="O816" s="807"/>
      <c r="P816" s="807"/>
      <c r="Q816" s="807"/>
      <c r="R816" s="807"/>
      <c r="S816" s="807"/>
      <c r="T816" s="807"/>
      <c r="U816" s="807"/>
    </row>
    <row r="817">
      <c r="A817" s="807"/>
      <c r="B817" s="813"/>
      <c r="C817" s="813"/>
      <c r="D817" s="807"/>
      <c r="E817" s="807"/>
      <c r="F817" s="801"/>
      <c r="G817" s="801"/>
      <c r="H817" s="801"/>
      <c r="I817" s="801"/>
      <c r="J817" s="807"/>
      <c r="K817" s="807"/>
      <c r="L817" s="807"/>
      <c r="M817" s="807"/>
      <c r="N817" s="807"/>
      <c r="O817" s="807"/>
      <c r="P817" s="807"/>
      <c r="Q817" s="807"/>
      <c r="R817" s="807"/>
      <c r="S817" s="807"/>
      <c r="T817" s="807"/>
      <c r="U817" s="807"/>
    </row>
    <row r="818">
      <c r="A818" s="807"/>
      <c r="B818" s="813"/>
      <c r="C818" s="813"/>
      <c r="D818" s="807"/>
      <c r="E818" s="807"/>
      <c r="F818" s="801"/>
      <c r="G818" s="801"/>
      <c r="H818" s="801"/>
      <c r="I818" s="801"/>
      <c r="J818" s="807"/>
      <c r="K818" s="807"/>
      <c r="L818" s="807"/>
      <c r="M818" s="807"/>
      <c r="N818" s="807"/>
      <c r="O818" s="807"/>
      <c r="P818" s="807"/>
      <c r="Q818" s="807"/>
      <c r="R818" s="807"/>
      <c r="S818" s="807"/>
      <c r="T818" s="807"/>
      <c r="U818" s="807"/>
    </row>
    <row r="819">
      <c r="A819" s="807"/>
      <c r="B819" s="813"/>
      <c r="C819" s="813"/>
      <c r="D819" s="807"/>
      <c r="E819" s="807"/>
      <c r="F819" s="801"/>
      <c r="G819" s="801"/>
      <c r="H819" s="801"/>
      <c r="I819" s="801"/>
      <c r="J819" s="807"/>
      <c r="K819" s="807"/>
      <c r="L819" s="807"/>
      <c r="M819" s="807"/>
      <c r="N819" s="807"/>
      <c r="O819" s="807"/>
      <c r="P819" s="807"/>
      <c r="Q819" s="807"/>
      <c r="R819" s="807"/>
      <c r="S819" s="807"/>
      <c r="T819" s="807"/>
      <c r="U819" s="807"/>
    </row>
    <row r="820">
      <c r="A820" s="807"/>
      <c r="B820" s="813"/>
      <c r="C820" s="813"/>
      <c r="D820" s="807"/>
      <c r="E820" s="807"/>
      <c r="F820" s="801"/>
      <c r="G820" s="801"/>
      <c r="H820" s="801"/>
      <c r="I820" s="801"/>
      <c r="J820" s="807"/>
      <c r="K820" s="807"/>
      <c r="L820" s="807"/>
      <c r="M820" s="807"/>
      <c r="N820" s="807"/>
      <c r="O820" s="807"/>
      <c r="P820" s="807"/>
      <c r="Q820" s="807"/>
      <c r="R820" s="807"/>
      <c r="S820" s="807"/>
      <c r="T820" s="807"/>
      <c r="U820" s="807"/>
    </row>
    <row r="821">
      <c r="A821" s="807"/>
      <c r="B821" s="813"/>
      <c r="C821" s="813"/>
      <c r="D821" s="807"/>
      <c r="E821" s="807"/>
      <c r="F821" s="801"/>
      <c r="G821" s="801"/>
      <c r="H821" s="801"/>
      <c r="I821" s="801"/>
      <c r="J821" s="807"/>
      <c r="K821" s="807"/>
      <c r="L821" s="807"/>
      <c r="M821" s="807"/>
      <c r="N821" s="807"/>
      <c r="O821" s="807"/>
      <c r="P821" s="807"/>
      <c r="Q821" s="807"/>
      <c r="R821" s="807"/>
      <c r="S821" s="807"/>
      <c r="T821" s="807"/>
      <c r="U821" s="807"/>
    </row>
    <row r="822">
      <c r="A822" s="807"/>
      <c r="B822" s="813"/>
      <c r="C822" s="813"/>
      <c r="D822" s="807"/>
      <c r="E822" s="807"/>
      <c r="F822" s="801"/>
      <c r="G822" s="801"/>
      <c r="H822" s="801"/>
      <c r="I822" s="801"/>
      <c r="J822" s="807"/>
      <c r="K822" s="807"/>
      <c r="L822" s="807"/>
      <c r="M822" s="807"/>
      <c r="N822" s="807"/>
      <c r="O822" s="807"/>
      <c r="P822" s="807"/>
      <c r="Q822" s="807"/>
      <c r="R822" s="807"/>
      <c r="S822" s="807"/>
      <c r="T822" s="807"/>
      <c r="U822" s="807"/>
    </row>
    <row r="823">
      <c r="A823" s="807"/>
      <c r="B823" s="813"/>
      <c r="C823" s="813"/>
      <c r="D823" s="807"/>
      <c r="E823" s="807"/>
      <c r="F823" s="801"/>
      <c r="G823" s="801"/>
      <c r="H823" s="801"/>
      <c r="I823" s="801"/>
      <c r="J823" s="807"/>
      <c r="K823" s="807"/>
      <c r="L823" s="807"/>
      <c r="M823" s="807"/>
      <c r="N823" s="807"/>
      <c r="O823" s="807"/>
      <c r="P823" s="807"/>
      <c r="Q823" s="807"/>
      <c r="R823" s="807"/>
      <c r="S823" s="807"/>
      <c r="T823" s="807"/>
      <c r="U823" s="807"/>
    </row>
    <row r="824">
      <c r="A824" s="807"/>
      <c r="B824" s="813"/>
      <c r="C824" s="813"/>
      <c r="D824" s="807"/>
      <c r="E824" s="807"/>
      <c r="F824" s="801"/>
      <c r="G824" s="801"/>
      <c r="H824" s="801"/>
      <c r="I824" s="801"/>
      <c r="J824" s="807"/>
      <c r="K824" s="807"/>
      <c r="L824" s="807"/>
      <c r="M824" s="807"/>
      <c r="N824" s="807"/>
      <c r="O824" s="807"/>
      <c r="P824" s="807"/>
      <c r="Q824" s="807"/>
      <c r="R824" s="807"/>
      <c r="S824" s="807"/>
      <c r="T824" s="807"/>
      <c r="U824" s="807"/>
    </row>
    <row r="825">
      <c r="A825" s="807"/>
      <c r="B825" s="813"/>
      <c r="C825" s="813"/>
      <c r="D825" s="807"/>
      <c r="E825" s="807"/>
      <c r="F825" s="801"/>
      <c r="G825" s="801"/>
      <c r="H825" s="801"/>
      <c r="I825" s="801"/>
      <c r="J825" s="807"/>
      <c r="K825" s="807"/>
      <c r="L825" s="807"/>
      <c r="M825" s="807"/>
      <c r="N825" s="807"/>
      <c r="O825" s="807"/>
      <c r="P825" s="807"/>
      <c r="Q825" s="807"/>
      <c r="R825" s="807"/>
      <c r="S825" s="807"/>
      <c r="T825" s="807"/>
      <c r="U825" s="807"/>
    </row>
    <row r="826">
      <c r="A826" s="807"/>
      <c r="B826" s="813"/>
      <c r="C826" s="813"/>
      <c r="D826" s="807"/>
      <c r="E826" s="807"/>
      <c r="F826" s="801"/>
      <c r="G826" s="801"/>
      <c r="H826" s="801"/>
      <c r="I826" s="801"/>
      <c r="J826" s="807"/>
      <c r="K826" s="807"/>
      <c r="L826" s="807"/>
      <c r="M826" s="807"/>
      <c r="N826" s="807"/>
      <c r="O826" s="807"/>
      <c r="P826" s="807"/>
      <c r="Q826" s="807"/>
      <c r="R826" s="807"/>
      <c r="S826" s="807"/>
      <c r="T826" s="807"/>
      <c r="U826" s="807"/>
    </row>
    <row r="827">
      <c r="A827" s="807"/>
      <c r="B827" s="813"/>
      <c r="C827" s="813"/>
      <c r="D827" s="807"/>
      <c r="E827" s="807"/>
      <c r="F827" s="801"/>
      <c r="G827" s="801"/>
      <c r="H827" s="801"/>
      <c r="I827" s="801"/>
      <c r="J827" s="807"/>
      <c r="K827" s="807"/>
      <c r="L827" s="807"/>
      <c r="M827" s="807"/>
      <c r="N827" s="807"/>
      <c r="O827" s="807"/>
      <c r="P827" s="807"/>
      <c r="Q827" s="807"/>
      <c r="R827" s="807"/>
      <c r="S827" s="807"/>
      <c r="T827" s="807"/>
      <c r="U827" s="807"/>
    </row>
    <row r="828">
      <c r="A828" s="807"/>
      <c r="B828" s="813"/>
      <c r="C828" s="813"/>
      <c r="D828" s="807"/>
      <c r="E828" s="807"/>
      <c r="F828" s="801"/>
      <c r="G828" s="801"/>
      <c r="H828" s="801"/>
      <c r="I828" s="801"/>
      <c r="J828" s="807"/>
      <c r="K828" s="807"/>
      <c r="L828" s="807"/>
      <c r="M828" s="807"/>
      <c r="N828" s="807"/>
      <c r="O828" s="807"/>
      <c r="P828" s="807"/>
      <c r="Q828" s="807"/>
      <c r="R828" s="807"/>
      <c r="S828" s="807"/>
      <c r="T828" s="807"/>
      <c r="U828" s="807"/>
    </row>
    <row r="829">
      <c r="A829" s="807"/>
      <c r="B829" s="813"/>
      <c r="C829" s="813"/>
      <c r="D829" s="807"/>
      <c r="E829" s="807"/>
      <c r="F829" s="801"/>
      <c r="G829" s="801"/>
      <c r="H829" s="801"/>
      <c r="I829" s="801"/>
      <c r="J829" s="807"/>
      <c r="K829" s="807"/>
      <c r="L829" s="807"/>
      <c r="M829" s="807"/>
      <c r="N829" s="807"/>
      <c r="O829" s="807"/>
      <c r="P829" s="807"/>
      <c r="Q829" s="807"/>
      <c r="R829" s="807"/>
      <c r="S829" s="807"/>
      <c r="T829" s="807"/>
      <c r="U829" s="807"/>
    </row>
    <row r="830">
      <c r="A830" s="807"/>
      <c r="B830" s="813"/>
      <c r="C830" s="813"/>
      <c r="D830" s="807"/>
      <c r="E830" s="807"/>
      <c r="F830" s="801"/>
      <c r="G830" s="801"/>
      <c r="H830" s="801"/>
      <c r="I830" s="801"/>
      <c r="J830" s="807"/>
      <c r="K830" s="807"/>
      <c r="L830" s="807"/>
      <c r="M830" s="807"/>
      <c r="N830" s="807"/>
      <c r="O830" s="807"/>
      <c r="P830" s="807"/>
      <c r="Q830" s="807"/>
      <c r="R830" s="807"/>
      <c r="S830" s="807"/>
      <c r="T830" s="807"/>
      <c r="U830" s="807"/>
    </row>
    <row r="831">
      <c r="A831" s="807"/>
      <c r="B831" s="813"/>
      <c r="C831" s="813"/>
      <c r="D831" s="807"/>
      <c r="E831" s="807"/>
      <c r="F831" s="801"/>
      <c r="G831" s="801"/>
      <c r="H831" s="801"/>
      <c r="I831" s="801"/>
      <c r="J831" s="807"/>
      <c r="K831" s="807"/>
      <c r="L831" s="807"/>
      <c r="M831" s="807"/>
      <c r="N831" s="807"/>
      <c r="O831" s="807"/>
      <c r="P831" s="807"/>
      <c r="Q831" s="807"/>
      <c r="R831" s="807"/>
      <c r="S831" s="807"/>
      <c r="T831" s="807"/>
      <c r="U831" s="807"/>
    </row>
    <row r="832">
      <c r="A832" s="807"/>
      <c r="B832" s="813"/>
      <c r="C832" s="813"/>
      <c r="D832" s="807"/>
      <c r="E832" s="807"/>
      <c r="F832" s="801"/>
      <c r="G832" s="801"/>
      <c r="H832" s="801"/>
      <c r="I832" s="801"/>
      <c r="J832" s="807"/>
      <c r="K832" s="807"/>
      <c r="L832" s="807"/>
      <c r="M832" s="807"/>
      <c r="N832" s="807"/>
      <c r="O832" s="807"/>
      <c r="P832" s="807"/>
      <c r="Q832" s="807"/>
      <c r="R832" s="807"/>
      <c r="S832" s="807"/>
      <c r="T832" s="807"/>
      <c r="U832" s="807"/>
    </row>
    <row r="833">
      <c r="A833" s="807"/>
      <c r="B833" s="813"/>
      <c r="C833" s="813"/>
      <c r="D833" s="807"/>
      <c r="E833" s="807"/>
      <c r="F833" s="801"/>
      <c r="G833" s="801"/>
      <c r="H833" s="801"/>
      <c r="I833" s="801"/>
      <c r="J833" s="807"/>
      <c r="K833" s="807"/>
      <c r="L833" s="807"/>
      <c r="M833" s="807"/>
      <c r="N833" s="807"/>
      <c r="O833" s="807"/>
      <c r="P833" s="807"/>
      <c r="Q833" s="807"/>
      <c r="R833" s="807"/>
      <c r="S833" s="807"/>
      <c r="T833" s="807"/>
      <c r="U833" s="807"/>
    </row>
    <row r="834">
      <c r="A834" s="807"/>
      <c r="B834" s="813"/>
      <c r="C834" s="813"/>
      <c r="D834" s="807"/>
      <c r="E834" s="807"/>
      <c r="F834" s="801"/>
      <c r="G834" s="801"/>
      <c r="H834" s="801"/>
      <c r="I834" s="801"/>
      <c r="J834" s="807"/>
      <c r="K834" s="807"/>
      <c r="L834" s="807"/>
      <c r="M834" s="807"/>
      <c r="N834" s="807"/>
      <c r="O834" s="807"/>
      <c r="P834" s="807"/>
      <c r="Q834" s="807"/>
      <c r="R834" s="807"/>
      <c r="S834" s="807"/>
      <c r="T834" s="807"/>
      <c r="U834" s="807"/>
    </row>
    <row r="835">
      <c r="A835" s="807"/>
      <c r="B835" s="813"/>
      <c r="C835" s="813"/>
      <c r="D835" s="807"/>
      <c r="E835" s="807"/>
      <c r="F835" s="801"/>
      <c r="G835" s="801"/>
      <c r="H835" s="801"/>
      <c r="I835" s="801"/>
      <c r="J835" s="807"/>
      <c r="K835" s="807"/>
      <c r="L835" s="807"/>
      <c r="M835" s="807"/>
      <c r="N835" s="807"/>
      <c r="O835" s="807"/>
      <c r="P835" s="807"/>
      <c r="Q835" s="807"/>
      <c r="R835" s="807"/>
      <c r="S835" s="807"/>
      <c r="T835" s="807"/>
      <c r="U835" s="807"/>
    </row>
    <row r="836">
      <c r="A836" s="807"/>
      <c r="B836" s="813"/>
      <c r="C836" s="813"/>
      <c r="D836" s="807"/>
      <c r="E836" s="807"/>
      <c r="F836" s="801"/>
      <c r="G836" s="801"/>
      <c r="H836" s="801"/>
      <c r="I836" s="801"/>
      <c r="J836" s="807"/>
      <c r="K836" s="807"/>
      <c r="L836" s="807"/>
      <c r="M836" s="807"/>
      <c r="N836" s="807"/>
      <c r="O836" s="807"/>
      <c r="P836" s="807"/>
      <c r="Q836" s="807"/>
      <c r="R836" s="807"/>
      <c r="S836" s="807"/>
      <c r="T836" s="807"/>
      <c r="U836" s="807"/>
    </row>
    <row r="837">
      <c r="A837" s="807"/>
      <c r="B837" s="813"/>
      <c r="C837" s="813"/>
      <c r="D837" s="807"/>
      <c r="E837" s="807"/>
      <c r="F837" s="801"/>
      <c r="G837" s="801"/>
      <c r="H837" s="801"/>
      <c r="I837" s="801"/>
      <c r="J837" s="807"/>
      <c r="K837" s="807"/>
      <c r="L837" s="807"/>
      <c r="M837" s="807"/>
      <c r="N837" s="807"/>
      <c r="O837" s="807"/>
      <c r="P837" s="807"/>
      <c r="Q837" s="807"/>
      <c r="R837" s="807"/>
      <c r="S837" s="807"/>
      <c r="T837" s="807"/>
      <c r="U837" s="807"/>
    </row>
    <row r="838">
      <c r="A838" s="807"/>
      <c r="B838" s="813"/>
      <c r="C838" s="813"/>
      <c r="D838" s="807"/>
      <c r="E838" s="807"/>
      <c r="F838" s="801"/>
      <c r="G838" s="801"/>
      <c r="H838" s="801"/>
      <c r="I838" s="801"/>
      <c r="J838" s="807"/>
      <c r="K838" s="807"/>
      <c r="L838" s="807"/>
      <c r="M838" s="807"/>
      <c r="N838" s="807"/>
      <c r="O838" s="807"/>
      <c r="P838" s="807"/>
      <c r="Q838" s="807"/>
      <c r="R838" s="807"/>
      <c r="S838" s="807"/>
      <c r="T838" s="807"/>
      <c r="U838" s="807"/>
    </row>
    <row r="839">
      <c r="A839" s="807"/>
      <c r="B839" s="813"/>
      <c r="C839" s="813"/>
      <c r="D839" s="807"/>
      <c r="E839" s="807"/>
      <c r="F839" s="801"/>
      <c r="G839" s="801"/>
      <c r="H839" s="801"/>
      <c r="I839" s="801"/>
      <c r="J839" s="807"/>
      <c r="K839" s="807"/>
      <c r="L839" s="807"/>
      <c r="M839" s="807"/>
      <c r="N839" s="807"/>
      <c r="O839" s="807"/>
      <c r="P839" s="807"/>
      <c r="Q839" s="807"/>
      <c r="R839" s="807"/>
      <c r="S839" s="807"/>
      <c r="T839" s="807"/>
      <c r="U839" s="807"/>
    </row>
    <row r="840">
      <c r="A840" s="807"/>
      <c r="B840" s="813"/>
      <c r="C840" s="813"/>
      <c r="D840" s="807"/>
      <c r="E840" s="807"/>
      <c r="F840" s="801"/>
      <c r="G840" s="801"/>
      <c r="H840" s="801"/>
      <c r="I840" s="801"/>
      <c r="J840" s="807"/>
      <c r="K840" s="807"/>
      <c r="L840" s="807"/>
      <c r="M840" s="807"/>
      <c r="N840" s="807"/>
      <c r="O840" s="807"/>
      <c r="P840" s="807"/>
      <c r="Q840" s="807"/>
      <c r="R840" s="807"/>
      <c r="S840" s="807"/>
      <c r="T840" s="807"/>
      <c r="U840" s="807"/>
    </row>
    <row r="841">
      <c r="A841" s="807"/>
      <c r="B841" s="813"/>
      <c r="C841" s="813"/>
      <c r="D841" s="807"/>
      <c r="E841" s="807"/>
      <c r="F841" s="801"/>
      <c r="G841" s="801"/>
      <c r="H841" s="801"/>
      <c r="I841" s="801"/>
      <c r="J841" s="807"/>
      <c r="K841" s="807"/>
      <c r="L841" s="807"/>
      <c r="M841" s="807"/>
      <c r="N841" s="807"/>
      <c r="O841" s="807"/>
      <c r="P841" s="807"/>
      <c r="Q841" s="807"/>
      <c r="R841" s="807"/>
      <c r="S841" s="807"/>
      <c r="T841" s="807"/>
      <c r="U841" s="807"/>
    </row>
    <row r="842">
      <c r="A842" s="807"/>
      <c r="B842" s="813"/>
      <c r="C842" s="813"/>
      <c r="D842" s="807"/>
      <c r="E842" s="807"/>
      <c r="F842" s="801"/>
      <c r="G842" s="801"/>
      <c r="H842" s="801"/>
      <c r="I842" s="801"/>
      <c r="J842" s="807"/>
      <c r="K842" s="807"/>
      <c r="L842" s="807"/>
      <c r="M842" s="807"/>
      <c r="N842" s="807"/>
      <c r="O842" s="807"/>
      <c r="P842" s="807"/>
      <c r="Q842" s="807"/>
      <c r="R842" s="807"/>
      <c r="S842" s="807"/>
      <c r="T842" s="807"/>
      <c r="U842" s="807"/>
    </row>
    <row r="843">
      <c r="A843" s="807"/>
      <c r="B843" s="813"/>
      <c r="C843" s="813"/>
      <c r="D843" s="807"/>
      <c r="E843" s="807"/>
      <c r="F843" s="801"/>
      <c r="G843" s="801"/>
      <c r="H843" s="801"/>
      <c r="I843" s="801"/>
      <c r="J843" s="807"/>
      <c r="K843" s="807"/>
      <c r="L843" s="807"/>
      <c r="M843" s="807"/>
      <c r="N843" s="807"/>
      <c r="O843" s="807"/>
      <c r="P843" s="807"/>
      <c r="Q843" s="807"/>
      <c r="R843" s="807"/>
      <c r="S843" s="807"/>
      <c r="T843" s="807"/>
      <c r="U843" s="807"/>
    </row>
    <row r="844">
      <c r="A844" s="807"/>
      <c r="B844" s="813"/>
      <c r="C844" s="813"/>
      <c r="D844" s="807"/>
      <c r="E844" s="807"/>
      <c r="F844" s="801"/>
      <c r="G844" s="801"/>
      <c r="H844" s="801"/>
      <c r="I844" s="801"/>
      <c r="J844" s="807"/>
      <c r="K844" s="807"/>
      <c r="L844" s="807"/>
      <c r="M844" s="807"/>
      <c r="N844" s="807"/>
      <c r="O844" s="807"/>
      <c r="P844" s="807"/>
      <c r="Q844" s="807"/>
      <c r="R844" s="807"/>
      <c r="S844" s="807"/>
      <c r="T844" s="807"/>
      <c r="U844" s="807"/>
    </row>
    <row r="845">
      <c r="A845" s="807"/>
      <c r="B845" s="813"/>
      <c r="C845" s="813"/>
      <c r="D845" s="807"/>
      <c r="E845" s="807"/>
      <c r="F845" s="801"/>
      <c r="G845" s="801"/>
      <c r="H845" s="801"/>
      <c r="I845" s="801"/>
      <c r="J845" s="807"/>
      <c r="K845" s="807"/>
      <c r="L845" s="807"/>
      <c r="M845" s="807"/>
      <c r="N845" s="807"/>
      <c r="O845" s="807"/>
      <c r="P845" s="807"/>
      <c r="Q845" s="807"/>
      <c r="R845" s="807"/>
      <c r="S845" s="807"/>
      <c r="T845" s="807"/>
      <c r="U845" s="807"/>
    </row>
    <row r="846">
      <c r="A846" s="807"/>
      <c r="B846" s="813"/>
      <c r="C846" s="813"/>
      <c r="D846" s="807"/>
      <c r="E846" s="807"/>
      <c r="F846" s="801"/>
      <c r="G846" s="801"/>
      <c r="H846" s="801"/>
      <c r="I846" s="801"/>
      <c r="J846" s="807"/>
      <c r="K846" s="807"/>
      <c r="L846" s="807"/>
      <c r="M846" s="807"/>
      <c r="N846" s="807"/>
      <c r="O846" s="807"/>
      <c r="P846" s="807"/>
      <c r="Q846" s="807"/>
      <c r="R846" s="807"/>
      <c r="S846" s="807"/>
      <c r="T846" s="807"/>
      <c r="U846" s="807"/>
    </row>
    <row r="847">
      <c r="A847" s="807"/>
      <c r="B847" s="813"/>
      <c r="C847" s="813"/>
      <c r="D847" s="807"/>
      <c r="E847" s="807"/>
      <c r="F847" s="801"/>
      <c r="G847" s="801"/>
      <c r="H847" s="801"/>
      <c r="I847" s="801"/>
      <c r="J847" s="807"/>
      <c r="K847" s="807"/>
      <c r="L847" s="807"/>
      <c r="M847" s="807"/>
      <c r="N847" s="807"/>
      <c r="O847" s="807"/>
      <c r="P847" s="807"/>
      <c r="Q847" s="807"/>
      <c r="R847" s="807"/>
      <c r="S847" s="807"/>
      <c r="T847" s="807"/>
      <c r="U847" s="807"/>
    </row>
    <row r="848">
      <c r="A848" s="807"/>
      <c r="B848" s="813"/>
      <c r="C848" s="813"/>
      <c r="D848" s="807"/>
      <c r="E848" s="807"/>
      <c r="F848" s="801"/>
      <c r="G848" s="801"/>
      <c r="H848" s="801"/>
      <c r="I848" s="801"/>
      <c r="J848" s="807"/>
      <c r="K848" s="807"/>
      <c r="L848" s="807"/>
      <c r="M848" s="807"/>
      <c r="N848" s="807"/>
      <c r="O848" s="807"/>
      <c r="P848" s="807"/>
      <c r="Q848" s="807"/>
      <c r="R848" s="807"/>
      <c r="S848" s="807"/>
      <c r="T848" s="807"/>
      <c r="U848" s="807"/>
    </row>
    <row r="849">
      <c r="A849" s="807"/>
      <c r="B849" s="813"/>
      <c r="C849" s="813"/>
      <c r="D849" s="807"/>
      <c r="E849" s="807"/>
      <c r="F849" s="801"/>
      <c r="G849" s="801"/>
      <c r="H849" s="801"/>
      <c r="I849" s="801"/>
      <c r="J849" s="807"/>
      <c r="K849" s="807"/>
      <c r="L849" s="807"/>
      <c r="M849" s="807"/>
      <c r="N849" s="807"/>
      <c r="O849" s="807"/>
      <c r="P849" s="807"/>
      <c r="Q849" s="807"/>
      <c r="R849" s="807"/>
      <c r="S849" s="807"/>
      <c r="T849" s="807"/>
      <c r="U849" s="807"/>
    </row>
    <row r="850">
      <c r="A850" s="807"/>
      <c r="B850" s="813"/>
      <c r="C850" s="813"/>
      <c r="D850" s="807"/>
      <c r="E850" s="807"/>
      <c r="F850" s="801"/>
      <c r="G850" s="801"/>
      <c r="H850" s="801"/>
      <c r="I850" s="801"/>
      <c r="J850" s="807"/>
      <c r="K850" s="807"/>
      <c r="L850" s="807"/>
      <c r="M850" s="807"/>
      <c r="N850" s="807"/>
      <c r="O850" s="807"/>
      <c r="P850" s="807"/>
      <c r="Q850" s="807"/>
      <c r="R850" s="807"/>
      <c r="S850" s="807"/>
      <c r="T850" s="807"/>
      <c r="U850" s="807"/>
    </row>
    <row r="851">
      <c r="A851" s="807"/>
      <c r="B851" s="813"/>
      <c r="C851" s="813"/>
      <c r="D851" s="807"/>
      <c r="E851" s="807"/>
      <c r="F851" s="801"/>
      <c r="G851" s="801"/>
      <c r="H851" s="801"/>
      <c r="I851" s="801"/>
      <c r="J851" s="807"/>
      <c r="K851" s="807"/>
      <c r="L851" s="807"/>
      <c r="M851" s="807"/>
      <c r="N851" s="807"/>
      <c r="O851" s="807"/>
      <c r="P851" s="807"/>
      <c r="Q851" s="807"/>
      <c r="R851" s="807"/>
      <c r="S851" s="807"/>
      <c r="T851" s="807"/>
      <c r="U851" s="807"/>
    </row>
    <row r="852">
      <c r="A852" s="807"/>
      <c r="B852" s="813"/>
      <c r="C852" s="813"/>
      <c r="D852" s="807"/>
      <c r="E852" s="807"/>
      <c r="F852" s="801"/>
      <c r="G852" s="801"/>
      <c r="H852" s="801"/>
      <c r="I852" s="801"/>
      <c r="J852" s="807"/>
      <c r="K852" s="807"/>
      <c r="L852" s="807"/>
      <c r="M852" s="807"/>
      <c r="N852" s="807"/>
      <c r="O852" s="807"/>
      <c r="P852" s="807"/>
      <c r="Q852" s="807"/>
      <c r="R852" s="807"/>
      <c r="S852" s="807"/>
      <c r="T852" s="807"/>
      <c r="U852" s="807"/>
    </row>
    <row r="853">
      <c r="A853" s="807"/>
      <c r="B853" s="813"/>
      <c r="C853" s="813"/>
      <c r="D853" s="807"/>
      <c r="E853" s="807"/>
      <c r="F853" s="801"/>
      <c r="G853" s="801"/>
      <c r="H853" s="801"/>
      <c r="I853" s="801"/>
      <c r="J853" s="807"/>
      <c r="K853" s="807"/>
      <c r="L853" s="807"/>
      <c r="M853" s="807"/>
      <c r="N853" s="807"/>
      <c r="O853" s="807"/>
      <c r="P853" s="807"/>
      <c r="Q853" s="807"/>
      <c r="R853" s="807"/>
      <c r="S853" s="807"/>
      <c r="T853" s="807"/>
      <c r="U853" s="807"/>
    </row>
    <row r="854">
      <c r="A854" s="807"/>
      <c r="B854" s="813"/>
      <c r="C854" s="813"/>
      <c r="D854" s="807"/>
      <c r="E854" s="807"/>
      <c r="F854" s="801"/>
      <c r="G854" s="801"/>
      <c r="H854" s="801"/>
      <c r="I854" s="801"/>
      <c r="J854" s="807"/>
      <c r="K854" s="807"/>
      <c r="L854" s="807"/>
      <c r="M854" s="807"/>
      <c r="N854" s="807"/>
      <c r="O854" s="807"/>
      <c r="P854" s="807"/>
      <c r="Q854" s="807"/>
      <c r="R854" s="807"/>
      <c r="S854" s="807"/>
      <c r="T854" s="807"/>
      <c r="U854" s="807"/>
    </row>
    <row r="855">
      <c r="A855" s="807"/>
      <c r="B855" s="813"/>
      <c r="C855" s="813"/>
      <c r="D855" s="807"/>
      <c r="E855" s="807"/>
      <c r="F855" s="801"/>
      <c r="G855" s="801"/>
      <c r="H855" s="801"/>
      <c r="I855" s="801"/>
      <c r="J855" s="807"/>
      <c r="K855" s="807"/>
      <c r="L855" s="807"/>
      <c r="M855" s="807"/>
      <c r="N855" s="807"/>
      <c r="O855" s="807"/>
      <c r="P855" s="807"/>
      <c r="Q855" s="807"/>
      <c r="R855" s="807"/>
      <c r="S855" s="807"/>
      <c r="T855" s="807"/>
      <c r="U855" s="807"/>
    </row>
    <row r="856">
      <c r="A856" s="807"/>
      <c r="B856" s="813"/>
      <c r="C856" s="813"/>
      <c r="D856" s="807"/>
      <c r="E856" s="807"/>
      <c r="F856" s="801"/>
      <c r="G856" s="801"/>
      <c r="H856" s="801"/>
      <c r="I856" s="801"/>
      <c r="J856" s="807"/>
      <c r="K856" s="807"/>
      <c r="L856" s="807"/>
      <c r="M856" s="807"/>
      <c r="N856" s="807"/>
      <c r="O856" s="807"/>
      <c r="P856" s="807"/>
      <c r="Q856" s="807"/>
      <c r="R856" s="807"/>
      <c r="S856" s="807"/>
      <c r="T856" s="807"/>
      <c r="U856" s="807"/>
    </row>
    <row r="857">
      <c r="A857" s="807"/>
      <c r="B857" s="813"/>
      <c r="C857" s="813"/>
      <c r="D857" s="807"/>
      <c r="E857" s="807"/>
      <c r="F857" s="801"/>
      <c r="G857" s="801"/>
      <c r="H857" s="801"/>
      <c r="I857" s="801"/>
      <c r="J857" s="807"/>
      <c r="K857" s="807"/>
      <c r="L857" s="807"/>
      <c r="M857" s="807"/>
      <c r="N857" s="807"/>
      <c r="O857" s="807"/>
      <c r="P857" s="807"/>
      <c r="Q857" s="807"/>
      <c r="R857" s="807"/>
      <c r="S857" s="807"/>
      <c r="T857" s="807"/>
      <c r="U857" s="807"/>
    </row>
    <row r="858">
      <c r="A858" s="807"/>
      <c r="B858" s="813"/>
      <c r="C858" s="813"/>
      <c r="D858" s="807"/>
      <c r="E858" s="807"/>
      <c r="F858" s="801"/>
      <c r="G858" s="801"/>
      <c r="H858" s="801"/>
      <c r="I858" s="801"/>
      <c r="J858" s="807"/>
      <c r="K858" s="807"/>
      <c r="L858" s="807"/>
      <c r="M858" s="807"/>
      <c r="N858" s="807"/>
      <c r="O858" s="807"/>
      <c r="P858" s="807"/>
      <c r="Q858" s="807"/>
      <c r="R858" s="807"/>
      <c r="S858" s="807"/>
      <c r="T858" s="807"/>
      <c r="U858" s="807"/>
    </row>
    <row r="859">
      <c r="A859" s="807"/>
      <c r="B859" s="813"/>
      <c r="C859" s="813"/>
      <c r="D859" s="807"/>
      <c r="E859" s="807"/>
      <c r="F859" s="801"/>
      <c r="G859" s="801"/>
      <c r="H859" s="801"/>
      <c r="I859" s="801"/>
      <c r="J859" s="807"/>
      <c r="K859" s="807"/>
      <c r="L859" s="807"/>
      <c r="M859" s="807"/>
      <c r="N859" s="807"/>
      <c r="O859" s="807"/>
      <c r="P859" s="807"/>
      <c r="Q859" s="807"/>
      <c r="R859" s="807"/>
      <c r="S859" s="807"/>
      <c r="T859" s="807"/>
      <c r="U859" s="807"/>
    </row>
    <row r="860">
      <c r="A860" s="807"/>
      <c r="B860" s="813"/>
      <c r="C860" s="813"/>
      <c r="D860" s="807"/>
      <c r="E860" s="807"/>
      <c r="F860" s="801"/>
      <c r="G860" s="801"/>
      <c r="H860" s="801"/>
      <c r="I860" s="801"/>
      <c r="J860" s="807"/>
      <c r="K860" s="807"/>
      <c r="L860" s="807"/>
      <c r="M860" s="807"/>
      <c r="N860" s="807"/>
      <c r="O860" s="807"/>
      <c r="P860" s="807"/>
      <c r="Q860" s="807"/>
      <c r="R860" s="807"/>
      <c r="S860" s="807"/>
      <c r="T860" s="807"/>
      <c r="U860" s="807"/>
    </row>
    <row r="861">
      <c r="A861" s="807"/>
      <c r="B861" s="813"/>
      <c r="C861" s="813"/>
      <c r="D861" s="807"/>
      <c r="E861" s="807"/>
      <c r="F861" s="801"/>
      <c r="G861" s="801"/>
      <c r="H861" s="801"/>
      <c r="I861" s="801"/>
      <c r="J861" s="807"/>
      <c r="K861" s="807"/>
      <c r="L861" s="807"/>
      <c r="M861" s="807"/>
      <c r="N861" s="807"/>
      <c r="O861" s="807"/>
      <c r="P861" s="807"/>
      <c r="Q861" s="807"/>
      <c r="R861" s="807"/>
      <c r="S861" s="807"/>
      <c r="T861" s="807"/>
      <c r="U861" s="807"/>
    </row>
    <row r="862">
      <c r="A862" s="807"/>
      <c r="B862" s="813"/>
      <c r="C862" s="813"/>
      <c r="D862" s="807"/>
      <c r="E862" s="807"/>
      <c r="F862" s="801"/>
      <c r="G862" s="801"/>
      <c r="H862" s="801"/>
      <c r="I862" s="801"/>
      <c r="J862" s="807"/>
      <c r="K862" s="807"/>
      <c r="L862" s="807"/>
      <c r="M862" s="807"/>
      <c r="N862" s="807"/>
      <c r="O862" s="807"/>
      <c r="P862" s="807"/>
      <c r="Q862" s="807"/>
      <c r="R862" s="807"/>
      <c r="S862" s="807"/>
      <c r="T862" s="807"/>
      <c r="U862" s="807"/>
    </row>
    <row r="863">
      <c r="A863" s="807"/>
      <c r="B863" s="813"/>
      <c r="C863" s="813"/>
      <c r="D863" s="807"/>
      <c r="E863" s="807"/>
      <c r="F863" s="801"/>
      <c r="G863" s="801"/>
      <c r="H863" s="801"/>
      <c r="I863" s="801"/>
      <c r="J863" s="807"/>
      <c r="K863" s="807"/>
      <c r="L863" s="807"/>
      <c r="M863" s="807"/>
      <c r="N863" s="807"/>
      <c r="O863" s="807"/>
      <c r="P863" s="807"/>
      <c r="Q863" s="807"/>
      <c r="R863" s="807"/>
      <c r="S863" s="807"/>
      <c r="T863" s="807"/>
      <c r="U863" s="807"/>
    </row>
    <row r="864">
      <c r="A864" s="807"/>
      <c r="B864" s="813"/>
      <c r="C864" s="813"/>
      <c r="D864" s="807"/>
      <c r="E864" s="807"/>
      <c r="F864" s="801"/>
      <c r="G864" s="801"/>
      <c r="H864" s="801"/>
      <c r="I864" s="801"/>
      <c r="J864" s="807"/>
      <c r="K864" s="807"/>
      <c r="L864" s="807"/>
      <c r="M864" s="807"/>
      <c r="N864" s="807"/>
      <c r="O864" s="807"/>
      <c r="P864" s="807"/>
      <c r="Q864" s="807"/>
      <c r="R864" s="807"/>
      <c r="S864" s="807"/>
      <c r="T864" s="807"/>
      <c r="U864" s="807"/>
    </row>
    <row r="865">
      <c r="A865" s="807"/>
      <c r="B865" s="813"/>
      <c r="C865" s="813"/>
      <c r="D865" s="807"/>
      <c r="E865" s="807"/>
      <c r="F865" s="801"/>
      <c r="G865" s="801"/>
      <c r="H865" s="801"/>
      <c r="I865" s="801"/>
      <c r="J865" s="807"/>
      <c r="K865" s="807"/>
      <c r="L865" s="807"/>
      <c r="M865" s="807"/>
      <c r="N865" s="807"/>
      <c r="O865" s="807"/>
      <c r="P865" s="807"/>
      <c r="Q865" s="807"/>
      <c r="R865" s="807"/>
      <c r="S865" s="807"/>
      <c r="T865" s="807"/>
      <c r="U865" s="807"/>
    </row>
    <row r="866">
      <c r="A866" s="807"/>
      <c r="B866" s="813"/>
      <c r="C866" s="813"/>
      <c r="D866" s="807"/>
      <c r="E866" s="807"/>
      <c r="F866" s="801"/>
      <c r="G866" s="801"/>
      <c r="H866" s="801"/>
      <c r="I866" s="801"/>
      <c r="J866" s="807"/>
      <c r="K866" s="807"/>
      <c r="L866" s="807"/>
      <c r="M866" s="807"/>
      <c r="N866" s="807"/>
      <c r="O866" s="807"/>
      <c r="P866" s="807"/>
      <c r="Q866" s="807"/>
      <c r="R866" s="807"/>
      <c r="S866" s="807"/>
      <c r="T866" s="807"/>
      <c r="U866" s="807"/>
    </row>
    <row r="867">
      <c r="A867" s="807"/>
      <c r="B867" s="813"/>
      <c r="C867" s="813"/>
      <c r="D867" s="807"/>
      <c r="E867" s="807"/>
      <c r="F867" s="801"/>
      <c r="G867" s="801"/>
      <c r="H867" s="801"/>
      <c r="I867" s="801"/>
      <c r="J867" s="807"/>
      <c r="K867" s="807"/>
      <c r="L867" s="807"/>
      <c r="M867" s="807"/>
      <c r="N867" s="807"/>
      <c r="O867" s="807"/>
      <c r="P867" s="807"/>
      <c r="Q867" s="807"/>
      <c r="R867" s="807"/>
      <c r="S867" s="807"/>
      <c r="T867" s="807"/>
      <c r="U867" s="807"/>
    </row>
    <row r="868">
      <c r="A868" s="807"/>
      <c r="B868" s="813"/>
      <c r="C868" s="813"/>
      <c r="D868" s="807"/>
      <c r="E868" s="807"/>
      <c r="F868" s="801"/>
      <c r="G868" s="801"/>
      <c r="H868" s="801"/>
      <c r="I868" s="801"/>
      <c r="J868" s="807"/>
      <c r="K868" s="807"/>
      <c r="L868" s="807"/>
      <c r="M868" s="807"/>
      <c r="N868" s="807"/>
      <c r="O868" s="807"/>
      <c r="P868" s="807"/>
      <c r="Q868" s="807"/>
      <c r="R868" s="807"/>
      <c r="S868" s="807"/>
      <c r="T868" s="807"/>
      <c r="U868" s="807"/>
    </row>
    <row r="869">
      <c r="A869" s="807"/>
      <c r="B869" s="813"/>
      <c r="C869" s="813"/>
      <c r="D869" s="807"/>
      <c r="E869" s="807"/>
      <c r="F869" s="801"/>
      <c r="G869" s="801"/>
      <c r="H869" s="801"/>
      <c r="I869" s="801"/>
      <c r="J869" s="807"/>
      <c r="K869" s="807"/>
      <c r="L869" s="807"/>
      <c r="M869" s="807"/>
      <c r="N869" s="807"/>
      <c r="O869" s="807"/>
      <c r="P869" s="807"/>
      <c r="Q869" s="807"/>
      <c r="R869" s="807"/>
      <c r="S869" s="807"/>
      <c r="T869" s="807"/>
      <c r="U869" s="807"/>
    </row>
    <row r="870">
      <c r="A870" s="807"/>
      <c r="B870" s="813"/>
      <c r="C870" s="813"/>
      <c r="D870" s="807"/>
      <c r="E870" s="807"/>
      <c r="F870" s="801"/>
      <c r="G870" s="801"/>
      <c r="H870" s="801"/>
      <c r="I870" s="801"/>
      <c r="J870" s="807"/>
      <c r="K870" s="807"/>
      <c r="L870" s="807"/>
      <c r="M870" s="807"/>
      <c r="N870" s="807"/>
      <c r="O870" s="807"/>
      <c r="P870" s="807"/>
      <c r="Q870" s="807"/>
      <c r="R870" s="807"/>
      <c r="S870" s="807"/>
      <c r="T870" s="807"/>
      <c r="U870" s="807"/>
    </row>
    <row r="871">
      <c r="A871" s="807"/>
      <c r="B871" s="813"/>
      <c r="C871" s="813"/>
      <c r="D871" s="807"/>
      <c r="E871" s="807"/>
      <c r="F871" s="801"/>
      <c r="G871" s="801"/>
      <c r="H871" s="801"/>
      <c r="I871" s="801"/>
      <c r="J871" s="807"/>
      <c r="K871" s="807"/>
      <c r="L871" s="807"/>
      <c r="M871" s="807"/>
      <c r="N871" s="807"/>
      <c r="O871" s="807"/>
      <c r="P871" s="807"/>
      <c r="Q871" s="807"/>
      <c r="R871" s="807"/>
      <c r="S871" s="807"/>
      <c r="T871" s="807"/>
      <c r="U871" s="807"/>
    </row>
    <row r="872">
      <c r="A872" s="807"/>
      <c r="B872" s="813"/>
      <c r="C872" s="813"/>
      <c r="D872" s="807"/>
      <c r="E872" s="807"/>
      <c r="F872" s="801"/>
      <c r="G872" s="801"/>
      <c r="H872" s="801"/>
      <c r="I872" s="801"/>
      <c r="J872" s="807"/>
      <c r="K872" s="807"/>
      <c r="L872" s="807"/>
      <c r="M872" s="807"/>
      <c r="N872" s="807"/>
      <c r="O872" s="807"/>
      <c r="P872" s="807"/>
      <c r="Q872" s="807"/>
      <c r="R872" s="807"/>
      <c r="S872" s="807"/>
      <c r="T872" s="807"/>
      <c r="U872" s="807"/>
    </row>
    <row r="873">
      <c r="A873" s="807"/>
      <c r="B873" s="813"/>
      <c r="C873" s="813"/>
      <c r="D873" s="807"/>
      <c r="E873" s="807"/>
      <c r="F873" s="801"/>
      <c r="G873" s="801"/>
      <c r="H873" s="801"/>
      <c r="I873" s="801"/>
      <c r="J873" s="807"/>
      <c r="K873" s="807"/>
      <c r="L873" s="807"/>
      <c r="M873" s="807"/>
      <c r="N873" s="807"/>
      <c r="O873" s="807"/>
      <c r="P873" s="807"/>
      <c r="Q873" s="807"/>
      <c r="R873" s="807"/>
      <c r="S873" s="807"/>
      <c r="T873" s="807"/>
      <c r="U873" s="807"/>
    </row>
    <row r="874">
      <c r="A874" s="807"/>
      <c r="B874" s="813"/>
      <c r="C874" s="813"/>
      <c r="D874" s="807"/>
      <c r="E874" s="807"/>
      <c r="F874" s="801"/>
      <c r="G874" s="801"/>
      <c r="H874" s="801"/>
      <c r="I874" s="801"/>
      <c r="J874" s="807"/>
      <c r="K874" s="807"/>
      <c r="L874" s="807"/>
      <c r="M874" s="807"/>
      <c r="N874" s="807"/>
      <c r="O874" s="807"/>
      <c r="P874" s="807"/>
      <c r="Q874" s="807"/>
      <c r="R874" s="807"/>
      <c r="S874" s="807"/>
      <c r="T874" s="807"/>
      <c r="U874" s="807"/>
    </row>
    <row r="875">
      <c r="A875" s="807"/>
      <c r="B875" s="813"/>
      <c r="C875" s="813"/>
      <c r="D875" s="807"/>
      <c r="E875" s="807"/>
      <c r="F875" s="801"/>
      <c r="G875" s="801"/>
      <c r="H875" s="801"/>
      <c r="I875" s="801"/>
      <c r="J875" s="807"/>
      <c r="K875" s="807"/>
      <c r="L875" s="807"/>
      <c r="M875" s="807"/>
      <c r="N875" s="807"/>
      <c r="O875" s="807"/>
      <c r="P875" s="807"/>
      <c r="Q875" s="807"/>
      <c r="R875" s="807"/>
      <c r="S875" s="807"/>
      <c r="T875" s="807"/>
      <c r="U875" s="807"/>
    </row>
    <row r="876">
      <c r="A876" s="807"/>
      <c r="B876" s="813"/>
      <c r="C876" s="813"/>
      <c r="D876" s="807"/>
      <c r="E876" s="807"/>
      <c r="F876" s="801"/>
      <c r="G876" s="801"/>
      <c r="H876" s="801"/>
      <c r="I876" s="801"/>
      <c r="J876" s="807"/>
      <c r="K876" s="807"/>
      <c r="L876" s="807"/>
      <c r="M876" s="807"/>
      <c r="N876" s="807"/>
      <c r="O876" s="807"/>
      <c r="P876" s="807"/>
      <c r="Q876" s="807"/>
      <c r="R876" s="807"/>
      <c r="S876" s="807"/>
      <c r="T876" s="807"/>
      <c r="U876" s="807"/>
    </row>
    <row r="877">
      <c r="A877" s="807"/>
      <c r="B877" s="813"/>
      <c r="C877" s="813"/>
      <c r="D877" s="807"/>
      <c r="E877" s="807"/>
      <c r="F877" s="801"/>
      <c r="G877" s="801"/>
      <c r="H877" s="801"/>
      <c r="I877" s="801"/>
      <c r="J877" s="807"/>
      <c r="K877" s="807"/>
      <c r="L877" s="807"/>
      <c r="M877" s="807"/>
      <c r="N877" s="807"/>
      <c r="O877" s="807"/>
      <c r="P877" s="807"/>
      <c r="Q877" s="807"/>
      <c r="R877" s="807"/>
      <c r="S877" s="807"/>
      <c r="T877" s="807"/>
      <c r="U877" s="807"/>
    </row>
    <row r="878">
      <c r="A878" s="807"/>
      <c r="B878" s="813"/>
      <c r="C878" s="813"/>
      <c r="D878" s="807"/>
      <c r="E878" s="807"/>
      <c r="F878" s="801"/>
      <c r="G878" s="801"/>
      <c r="H878" s="801"/>
      <c r="I878" s="801"/>
      <c r="J878" s="807"/>
      <c r="K878" s="807"/>
      <c r="L878" s="807"/>
      <c r="M878" s="807"/>
      <c r="N878" s="807"/>
      <c r="O878" s="807"/>
      <c r="P878" s="807"/>
      <c r="Q878" s="807"/>
      <c r="R878" s="807"/>
      <c r="S878" s="807"/>
      <c r="T878" s="807"/>
      <c r="U878" s="807"/>
    </row>
    <row r="879">
      <c r="A879" s="807"/>
      <c r="B879" s="813"/>
      <c r="C879" s="813"/>
      <c r="D879" s="807"/>
      <c r="E879" s="807"/>
      <c r="F879" s="801"/>
      <c r="G879" s="801"/>
      <c r="H879" s="801"/>
      <c r="I879" s="801"/>
      <c r="J879" s="807"/>
      <c r="K879" s="807"/>
      <c r="L879" s="807"/>
      <c r="M879" s="807"/>
      <c r="N879" s="807"/>
      <c r="O879" s="807"/>
      <c r="P879" s="807"/>
      <c r="Q879" s="807"/>
      <c r="R879" s="807"/>
      <c r="S879" s="807"/>
      <c r="T879" s="807"/>
      <c r="U879" s="807"/>
    </row>
    <row r="880">
      <c r="A880" s="807"/>
      <c r="B880" s="813"/>
      <c r="C880" s="813"/>
      <c r="D880" s="807"/>
      <c r="E880" s="807"/>
      <c r="F880" s="801"/>
      <c r="G880" s="801"/>
      <c r="H880" s="801"/>
      <c r="I880" s="801"/>
      <c r="J880" s="807"/>
      <c r="K880" s="807"/>
      <c r="L880" s="807"/>
      <c r="M880" s="807"/>
      <c r="N880" s="807"/>
      <c r="O880" s="807"/>
      <c r="P880" s="807"/>
      <c r="Q880" s="807"/>
      <c r="R880" s="807"/>
      <c r="S880" s="807"/>
      <c r="T880" s="807"/>
      <c r="U880" s="807"/>
    </row>
    <row r="881">
      <c r="A881" s="807"/>
      <c r="B881" s="813"/>
      <c r="C881" s="813"/>
      <c r="D881" s="807"/>
      <c r="E881" s="807"/>
      <c r="F881" s="801"/>
      <c r="G881" s="801"/>
      <c r="H881" s="801"/>
      <c r="I881" s="801"/>
      <c r="J881" s="807"/>
      <c r="K881" s="807"/>
      <c r="L881" s="807"/>
      <c r="M881" s="807"/>
      <c r="N881" s="807"/>
      <c r="O881" s="807"/>
      <c r="P881" s="807"/>
      <c r="Q881" s="807"/>
      <c r="R881" s="807"/>
      <c r="S881" s="807"/>
      <c r="T881" s="807"/>
      <c r="U881" s="807"/>
    </row>
    <row r="882">
      <c r="A882" s="807"/>
      <c r="B882" s="813"/>
      <c r="C882" s="813"/>
      <c r="D882" s="807"/>
      <c r="E882" s="807"/>
      <c r="F882" s="801"/>
      <c r="G882" s="801"/>
      <c r="H882" s="801"/>
      <c r="I882" s="801"/>
      <c r="J882" s="807"/>
      <c r="K882" s="807"/>
      <c r="L882" s="807"/>
      <c r="M882" s="807"/>
      <c r="N882" s="807"/>
      <c r="O882" s="807"/>
      <c r="P882" s="807"/>
      <c r="Q882" s="807"/>
      <c r="R882" s="807"/>
      <c r="S882" s="807"/>
      <c r="T882" s="807"/>
      <c r="U882" s="807"/>
    </row>
    <row r="883">
      <c r="A883" s="807"/>
      <c r="B883" s="813"/>
      <c r="C883" s="813"/>
      <c r="D883" s="807"/>
      <c r="E883" s="807"/>
      <c r="F883" s="801"/>
      <c r="G883" s="801"/>
      <c r="H883" s="801"/>
      <c r="I883" s="801"/>
      <c r="J883" s="807"/>
      <c r="K883" s="807"/>
      <c r="L883" s="807"/>
      <c r="M883" s="807"/>
      <c r="N883" s="807"/>
      <c r="O883" s="807"/>
      <c r="P883" s="807"/>
      <c r="Q883" s="807"/>
      <c r="R883" s="807"/>
      <c r="S883" s="807"/>
      <c r="T883" s="807"/>
      <c r="U883" s="807"/>
    </row>
    <row r="884">
      <c r="A884" s="807"/>
      <c r="B884" s="813"/>
      <c r="C884" s="813"/>
      <c r="D884" s="807"/>
      <c r="E884" s="807"/>
      <c r="F884" s="801"/>
      <c r="G884" s="801"/>
      <c r="H884" s="801"/>
      <c r="I884" s="801"/>
      <c r="J884" s="807"/>
      <c r="K884" s="807"/>
      <c r="L884" s="807"/>
      <c r="M884" s="807"/>
      <c r="N884" s="807"/>
      <c r="O884" s="807"/>
      <c r="P884" s="807"/>
      <c r="Q884" s="807"/>
      <c r="R884" s="807"/>
      <c r="S884" s="807"/>
      <c r="T884" s="807"/>
      <c r="U884" s="807"/>
    </row>
    <row r="885">
      <c r="A885" s="807"/>
      <c r="B885" s="813"/>
      <c r="C885" s="813"/>
      <c r="D885" s="807"/>
      <c r="E885" s="807"/>
      <c r="F885" s="801"/>
      <c r="G885" s="801"/>
      <c r="H885" s="801"/>
      <c r="I885" s="801"/>
      <c r="J885" s="807"/>
      <c r="K885" s="807"/>
      <c r="L885" s="807"/>
      <c r="M885" s="807"/>
      <c r="N885" s="807"/>
      <c r="O885" s="807"/>
      <c r="P885" s="807"/>
      <c r="Q885" s="807"/>
      <c r="R885" s="807"/>
      <c r="S885" s="807"/>
      <c r="T885" s="807"/>
      <c r="U885" s="807"/>
    </row>
    <row r="886">
      <c r="A886" s="807"/>
      <c r="B886" s="813"/>
      <c r="C886" s="813"/>
      <c r="D886" s="807"/>
      <c r="E886" s="807"/>
      <c r="F886" s="801"/>
      <c r="G886" s="801"/>
      <c r="H886" s="801"/>
      <c r="I886" s="801"/>
      <c r="J886" s="807"/>
      <c r="K886" s="807"/>
      <c r="L886" s="807"/>
      <c r="M886" s="807"/>
      <c r="N886" s="807"/>
      <c r="O886" s="807"/>
      <c r="P886" s="807"/>
      <c r="Q886" s="807"/>
      <c r="R886" s="807"/>
      <c r="S886" s="807"/>
      <c r="T886" s="807"/>
      <c r="U886" s="807"/>
    </row>
    <row r="887">
      <c r="A887" s="807"/>
      <c r="B887" s="813"/>
      <c r="C887" s="813"/>
      <c r="D887" s="807"/>
      <c r="E887" s="807"/>
      <c r="F887" s="801"/>
      <c r="G887" s="801"/>
      <c r="H887" s="801"/>
      <c r="I887" s="801"/>
      <c r="J887" s="807"/>
      <c r="K887" s="807"/>
      <c r="L887" s="807"/>
      <c r="M887" s="807"/>
      <c r="N887" s="807"/>
      <c r="O887" s="807"/>
      <c r="P887" s="807"/>
      <c r="Q887" s="807"/>
      <c r="R887" s="807"/>
      <c r="S887" s="807"/>
      <c r="T887" s="807"/>
      <c r="U887" s="807"/>
    </row>
    <row r="888">
      <c r="A888" s="807"/>
      <c r="B888" s="813"/>
      <c r="C888" s="813"/>
      <c r="D888" s="807"/>
      <c r="E888" s="807"/>
      <c r="F888" s="801"/>
      <c r="G888" s="801"/>
      <c r="H888" s="801"/>
      <c r="I888" s="801"/>
      <c r="J888" s="807"/>
      <c r="K888" s="807"/>
      <c r="L888" s="807"/>
      <c r="M888" s="807"/>
      <c r="N888" s="807"/>
      <c r="O888" s="807"/>
      <c r="P888" s="807"/>
      <c r="Q888" s="807"/>
      <c r="R888" s="807"/>
      <c r="S888" s="807"/>
      <c r="T888" s="807"/>
      <c r="U888" s="807"/>
    </row>
    <row r="889">
      <c r="A889" s="807"/>
      <c r="B889" s="813"/>
      <c r="C889" s="813"/>
      <c r="D889" s="807"/>
      <c r="E889" s="807"/>
      <c r="F889" s="801"/>
      <c r="G889" s="801"/>
      <c r="H889" s="801"/>
      <c r="I889" s="801"/>
      <c r="J889" s="807"/>
      <c r="K889" s="807"/>
      <c r="L889" s="807"/>
      <c r="M889" s="807"/>
      <c r="N889" s="807"/>
      <c r="O889" s="807"/>
      <c r="P889" s="807"/>
      <c r="Q889" s="807"/>
      <c r="R889" s="807"/>
      <c r="S889" s="807"/>
      <c r="T889" s="807"/>
      <c r="U889" s="807"/>
    </row>
    <row r="890">
      <c r="A890" s="807"/>
      <c r="B890" s="813"/>
      <c r="C890" s="813"/>
      <c r="D890" s="807"/>
      <c r="E890" s="807"/>
      <c r="F890" s="801"/>
      <c r="G890" s="801"/>
      <c r="H890" s="801"/>
      <c r="I890" s="801"/>
      <c r="J890" s="807"/>
      <c r="K890" s="807"/>
      <c r="L890" s="807"/>
      <c r="M890" s="807"/>
      <c r="N890" s="807"/>
      <c r="O890" s="807"/>
      <c r="P890" s="807"/>
      <c r="Q890" s="807"/>
      <c r="R890" s="807"/>
      <c r="S890" s="807"/>
      <c r="T890" s="807"/>
      <c r="U890" s="807"/>
    </row>
    <row r="891">
      <c r="A891" s="807"/>
      <c r="B891" s="813"/>
      <c r="C891" s="813"/>
      <c r="D891" s="807"/>
      <c r="E891" s="807"/>
      <c r="F891" s="801"/>
      <c r="G891" s="801"/>
      <c r="H891" s="801"/>
      <c r="I891" s="801"/>
      <c r="J891" s="807"/>
      <c r="K891" s="807"/>
      <c r="L891" s="807"/>
      <c r="M891" s="807"/>
      <c r="N891" s="807"/>
      <c r="O891" s="807"/>
      <c r="P891" s="807"/>
      <c r="Q891" s="807"/>
      <c r="R891" s="807"/>
      <c r="S891" s="807"/>
      <c r="T891" s="807"/>
      <c r="U891" s="807"/>
    </row>
    <row r="892">
      <c r="A892" s="807"/>
      <c r="B892" s="813"/>
      <c r="C892" s="813"/>
      <c r="D892" s="807"/>
      <c r="E892" s="807"/>
      <c r="F892" s="801"/>
      <c r="G892" s="801"/>
      <c r="H892" s="801"/>
      <c r="I892" s="801"/>
      <c r="J892" s="807"/>
      <c r="K892" s="807"/>
      <c r="L892" s="807"/>
      <c r="M892" s="807"/>
      <c r="N892" s="807"/>
      <c r="O892" s="807"/>
      <c r="P892" s="807"/>
      <c r="Q892" s="807"/>
      <c r="R892" s="807"/>
      <c r="S892" s="807"/>
      <c r="T892" s="807"/>
      <c r="U892" s="807"/>
    </row>
    <row r="893">
      <c r="A893" s="807"/>
      <c r="B893" s="813"/>
      <c r="C893" s="813"/>
      <c r="D893" s="807"/>
      <c r="E893" s="807"/>
      <c r="F893" s="801"/>
      <c r="G893" s="801"/>
      <c r="H893" s="801"/>
      <c r="I893" s="801"/>
      <c r="J893" s="807"/>
      <c r="K893" s="807"/>
      <c r="L893" s="807"/>
      <c r="M893" s="807"/>
      <c r="N893" s="807"/>
      <c r="O893" s="807"/>
      <c r="P893" s="807"/>
      <c r="Q893" s="807"/>
      <c r="R893" s="807"/>
      <c r="S893" s="807"/>
      <c r="T893" s="807"/>
      <c r="U893" s="807"/>
    </row>
    <row r="894">
      <c r="A894" s="807"/>
      <c r="B894" s="813"/>
      <c r="C894" s="813"/>
      <c r="D894" s="807"/>
      <c r="E894" s="807"/>
      <c r="F894" s="801"/>
      <c r="G894" s="801"/>
      <c r="H894" s="801"/>
      <c r="I894" s="801"/>
      <c r="J894" s="807"/>
      <c r="K894" s="807"/>
      <c r="L894" s="807"/>
      <c r="M894" s="807"/>
      <c r="N894" s="807"/>
      <c r="O894" s="807"/>
      <c r="P894" s="807"/>
      <c r="Q894" s="807"/>
      <c r="R894" s="807"/>
      <c r="S894" s="807"/>
      <c r="T894" s="807"/>
      <c r="U894" s="807"/>
    </row>
    <row r="895">
      <c r="A895" s="807"/>
      <c r="B895" s="813"/>
      <c r="C895" s="813"/>
      <c r="D895" s="807"/>
      <c r="E895" s="807"/>
      <c r="F895" s="801"/>
      <c r="G895" s="801"/>
      <c r="H895" s="801"/>
      <c r="I895" s="801"/>
      <c r="J895" s="807"/>
      <c r="K895" s="807"/>
      <c r="L895" s="807"/>
      <c r="M895" s="807"/>
      <c r="N895" s="807"/>
      <c r="O895" s="807"/>
      <c r="P895" s="807"/>
      <c r="Q895" s="807"/>
      <c r="R895" s="807"/>
      <c r="S895" s="807"/>
      <c r="T895" s="807"/>
      <c r="U895" s="807"/>
    </row>
    <row r="896">
      <c r="A896" s="807"/>
      <c r="B896" s="813"/>
      <c r="C896" s="813"/>
      <c r="D896" s="807"/>
      <c r="E896" s="807"/>
      <c r="F896" s="801"/>
      <c r="G896" s="801"/>
      <c r="H896" s="801"/>
      <c r="I896" s="801"/>
      <c r="J896" s="807"/>
      <c r="K896" s="807"/>
      <c r="L896" s="807"/>
      <c r="M896" s="807"/>
      <c r="N896" s="807"/>
      <c r="O896" s="807"/>
      <c r="P896" s="807"/>
      <c r="Q896" s="807"/>
      <c r="R896" s="807"/>
      <c r="S896" s="807"/>
      <c r="T896" s="807"/>
      <c r="U896" s="807"/>
    </row>
    <row r="897">
      <c r="A897" s="807"/>
      <c r="B897" s="813"/>
      <c r="C897" s="813"/>
      <c r="D897" s="807"/>
      <c r="E897" s="807"/>
      <c r="F897" s="801"/>
      <c r="G897" s="801"/>
      <c r="H897" s="801"/>
      <c r="I897" s="801"/>
      <c r="J897" s="807"/>
      <c r="K897" s="807"/>
      <c r="L897" s="807"/>
      <c r="M897" s="807"/>
      <c r="N897" s="807"/>
      <c r="O897" s="807"/>
      <c r="P897" s="807"/>
      <c r="Q897" s="807"/>
      <c r="R897" s="807"/>
      <c r="S897" s="807"/>
      <c r="T897" s="807"/>
      <c r="U897" s="807"/>
    </row>
    <row r="898">
      <c r="A898" s="807"/>
      <c r="B898" s="813"/>
      <c r="C898" s="813"/>
      <c r="D898" s="807"/>
      <c r="E898" s="807"/>
      <c r="F898" s="801"/>
      <c r="G898" s="801"/>
      <c r="H898" s="801"/>
      <c r="I898" s="801"/>
      <c r="J898" s="807"/>
      <c r="K898" s="807"/>
      <c r="L898" s="807"/>
      <c r="M898" s="807"/>
      <c r="N898" s="807"/>
      <c r="O898" s="807"/>
      <c r="P898" s="807"/>
      <c r="Q898" s="807"/>
      <c r="R898" s="807"/>
      <c r="S898" s="807"/>
      <c r="T898" s="807"/>
      <c r="U898" s="807"/>
    </row>
    <row r="899">
      <c r="A899" s="807"/>
      <c r="B899" s="813"/>
      <c r="C899" s="813"/>
      <c r="D899" s="807"/>
      <c r="E899" s="807"/>
      <c r="F899" s="801"/>
      <c r="G899" s="801"/>
      <c r="H899" s="801"/>
      <c r="I899" s="801"/>
      <c r="J899" s="807"/>
      <c r="K899" s="807"/>
      <c r="L899" s="807"/>
      <c r="M899" s="807"/>
      <c r="N899" s="807"/>
      <c r="O899" s="807"/>
      <c r="P899" s="807"/>
      <c r="Q899" s="807"/>
      <c r="R899" s="807"/>
      <c r="S899" s="807"/>
      <c r="T899" s="807"/>
      <c r="U899" s="807"/>
    </row>
    <row r="900">
      <c r="A900" s="807"/>
      <c r="B900" s="813"/>
      <c r="C900" s="813"/>
      <c r="D900" s="807"/>
      <c r="E900" s="807"/>
      <c r="F900" s="801"/>
      <c r="G900" s="801"/>
      <c r="H900" s="801"/>
      <c r="I900" s="801"/>
      <c r="J900" s="807"/>
      <c r="K900" s="807"/>
      <c r="L900" s="807"/>
      <c r="M900" s="807"/>
      <c r="N900" s="807"/>
      <c r="O900" s="807"/>
      <c r="P900" s="807"/>
      <c r="Q900" s="807"/>
      <c r="R900" s="807"/>
      <c r="S900" s="807"/>
      <c r="T900" s="807"/>
      <c r="U900" s="807"/>
    </row>
    <row r="901">
      <c r="A901" s="807"/>
      <c r="B901" s="813"/>
      <c r="C901" s="813"/>
      <c r="D901" s="807"/>
      <c r="E901" s="807"/>
      <c r="F901" s="801"/>
      <c r="G901" s="801"/>
      <c r="H901" s="801"/>
      <c r="I901" s="801"/>
      <c r="J901" s="807"/>
      <c r="K901" s="807"/>
      <c r="L901" s="807"/>
      <c r="M901" s="807"/>
      <c r="N901" s="807"/>
      <c r="O901" s="807"/>
      <c r="P901" s="807"/>
      <c r="Q901" s="807"/>
      <c r="R901" s="807"/>
      <c r="S901" s="807"/>
      <c r="T901" s="807"/>
      <c r="U901" s="807"/>
    </row>
    <row r="902">
      <c r="A902" s="807"/>
      <c r="B902" s="813"/>
      <c r="C902" s="813"/>
      <c r="D902" s="807"/>
      <c r="E902" s="807"/>
      <c r="F902" s="801"/>
      <c r="G902" s="801"/>
      <c r="H902" s="801"/>
      <c r="I902" s="801"/>
      <c r="J902" s="807"/>
      <c r="K902" s="807"/>
      <c r="L902" s="807"/>
      <c r="M902" s="807"/>
      <c r="N902" s="807"/>
      <c r="O902" s="807"/>
      <c r="P902" s="807"/>
      <c r="Q902" s="807"/>
      <c r="R902" s="807"/>
      <c r="S902" s="807"/>
      <c r="T902" s="807"/>
      <c r="U902" s="807"/>
    </row>
    <row r="903">
      <c r="A903" s="807"/>
      <c r="B903" s="813"/>
      <c r="C903" s="813"/>
      <c r="D903" s="807"/>
      <c r="E903" s="807"/>
      <c r="F903" s="801"/>
      <c r="G903" s="801"/>
      <c r="H903" s="801"/>
      <c r="I903" s="801"/>
      <c r="J903" s="807"/>
      <c r="K903" s="807"/>
      <c r="L903" s="807"/>
      <c r="M903" s="807"/>
      <c r="N903" s="807"/>
      <c r="O903" s="807"/>
      <c r="P903" s="807"/>
      <c r="Q903" s="807"/>
      <c r="R903" s="807"/>
      <c r="S903" s="807"/>
      <c r="T903" s="807"/>
      <c r="U903" s="807"/>
    </row>
    <row r="904">
      <c r="A904" s="807"/>
      <c r="B904" s="813"/>
      <c r="C904" s="813"/>
      <c r="D904" s="807"/>
      <c r="E904" s="807"/>
      <c r="F904" s="801"/>
      <c r="G904" s="801"/>
      <c r="H904" s="801"/>
      <c r="I904" s="801"/>
      <c r="J904" s="807"/>
      <c r="K904" s="807"/>
      <c r="L904" s="807"/>
      <c r="M904" s="807"/>
      <c r="N904" s="807"/>
      <c r="O904" s="807"/>
      <c r="P904" s="807"/>
      <c r="Q904" s="807"/>
      <c r="R904" s="807"/>
      <c r="S904" s="807"/>
      <c r="T904" s="807"/>
      <c r="U904" s="807"/>
    </row>
    <row r="905">
      <c r="A905" s="807"/>
      <c r="B905" s="813"/>
      <c r="C905" s="813"/>
      <c r="D905" s="807"/>
      <c r="E905" s="807"/>
      <c r="F905" s="801"/>
      <c r="G905" s="801"/>
      <c r="H905" s="801"/>
      <c r="I905" s="801"/>
      <c r="J905" s="807"/>
      <c r="K905" s="807"/>
      <c r="L905" s="807"/>
      <c r="M905" s="807"/>
      <c r="N905" s="807"/>
      <c r="O905" s="807"/>
      <c r="P905" s="807"/>
      <c r="Q905" s="807"/>
      <c r="R905" s="807"/>
      <c r="S905" s="807"/>
      <c r="T905" s="807"/>
      <c r="U905" s="807"/>
    </row>
    <row r="906">
      <c r="A906" s="807"/>
      <c r="B906" s="813"/>
      <c r="C906" s="813"/>
      <c r="D906" s="807"/>
      <c r="E906" s="807"/>
      <c r="F906" s="801"/>
      <c r="G906" s="801"/>
      <c r="H906" s="801"/>
      <c r="I906" s="801"/>
      <c r="J906" s="807"/>
      <c r="K906" s="807"/>
      <c r="L906" s="807"/>
      <c r="M906" s="807"/>
      <c r="N906" s="807"/>
      <c r="O906" s="807"/>
      <c r="P906" s="807"/>
      <c r="Q906" s="807"/>
      <c r="R906" s="807"/>
      <c r="S906" s="807"/>
      <c r="T906" s="807"/>
      <c r="U906" s="807"/>
    </row>
    <row r="907">
      <c r="A907" s="807"/>
      <c r="B907" s="813"/>
      <c r="C907" s="813"/>
      <c r="D907" s="807"/>
      <c r="E907" s="807"/>
      <c r="F907" s="801"/>
      <c r="G907" s="801"/>
      <c r="H907" s="801"/>
      <c r="I907" s="801"/>
      <c r="J907" s="807"/>
      <c r="K907" s="807"/>
      <c r="L907" s="807"/>
      <c r="M907" s="807"/>
      <c r="N907" s="807"/>
      <c r="O907" s="807"/>
      <c r="P907" s="807"/>
      <c r="Q907" s="807"/>
      <c r="R907" s="807"/>
      <c r="S907" s="807"/>
      <c r="T907" s="807"/>
      <c r="U907" s="807"/>
    </row>
    <row r="908">
      <c r="A908" s="807"/>
      <c r="B908" s="813"/>
      <c r="C908" s="813"/>
      <c r="D908" s="807"/>
      <c r="E908" s="807"/>
      <c r="F908" s="801"/>
      <c r="G908" s="801"/>
      <c r="H908" s="801"/>
      <c r="I908" s="801"/>
      <c r="J908" s="807"/>
      <c r="K908" s="807"/>
      <c r="L908" s="807"/>
      <c r="M908" s="807"/>
      <c r="N908" s="807"/>
      <c r="O908" s="807"/>
      <c r="P908" s="807"/>
      <c r="Q908" s="807"/>
      <c r="R908" s="807"/>
      <c r="S908" s="807"/>
      <c r="T908" s="807"/>
      <c r="U908" s="807"/>
    </row>
    <row r="909">
      <c r="A909" s="807"/>
      <c r="B909" s="813"/>
      <c r="C909" s="813"/>
      <c r="D909" s="807"/>
      <c r="E909" s="807"/>
      <c r="F909" s="801"/>
      <c r="G909" s="801"/>
      <c r="H909" s="801"/>
      <c r="I909" s="801"/>
      <c r="J909" s="807"/>
      <c r="K909" s="807"/>
      <c r="L909" s="807"/>
      <c r="M909" s="807"/>
      <c r="N909" s="807"/>
      <c r="O909" s="807"/>
      <c r="P909" s="807"/>
      <c r="Q909" s="807"/>
      <c r="R909" s="807"/>
      <c r="S909" s="807"/>
      <c r="T909" s="807"/>
      <c r="U909" s="807"/>
    </row>
    <row r="910">
      <c r="A910" s="807"/>
      <c r="B910" s="813"/>
      <c r="C910" s="813"/>
      <c r="D910" s="807"/>
      <c r="E910" s="807"/>
      <c r="F910" s="801"/>
      <c r="G910" s="801"/>
      <c r="H910" s="801"/>
      <c r="I910" s="801"/>
      <c r="J910" s="807"/>
      <c r="K910" s="807"/>
      <c r="L910" s="807"/>
      <c r="M910" s="807"/>
      <c r="N910" s="807"/>
      <c r="O910" s="807"/>
      <c r="P910" s="807"/>
      <c r="Q910" s="807"/>
      <c r="R910" s="807"/>
      <c r="S910" s="807"/>
      <c r="T910" s="807"/>
      <c r="U910" s="807"/>
    </row>
    <row r="911">
      <c r="A911" s="807"/>
      <c r="B911" s="813"/>
      <c r="C911" s="813"/>
      <c r="D911" s="807"/>
      <c r="E911" s="807"/>
      <c r="F911" s="801"/>
      <c r="G911" s="801"/>
      <c r="H911" s="801"/>
      <c r="I911" s="801"/>
      <c r="J911" s="807"/>
      <c r="K911" s="807"/>
      <c r="L911" s="807"/>
      <c r="M911" s="807"/>
      <c r="N911" s="807"/>
      <c r="O911" s="807"/>
      <c r="P911" s="807"/>
      <c r="Q911" s="807"/>
      <c r="R911" s="807"/>
      <c r="S911" s="807"/>
      <c r="T911" s="807"/>
      <c r="U911" s="807"/>
    </row>
    <row r="912">
      <c r="A912" s="807"/>
      <c r="B912" s="813"/>
      <c r="C912" s="813"/>
      <c r="D912" s="807"/>
      <c r="E912" s="807"/>
      <c r="F912" s="801"/>
      <c r="G912" s="801"/>
      <c r="H912" s="801"/>
      <c r="I912" s="801"/>
      <c r="J912" s="807"/>
      <c r="K912" s="807"/>
      <c r="L912" s="807"/>
      <c r="M912" s="807"/>
      <c r="N912" s="807"/>
      <c r="O912" s="807"/>
      <c r="P912" s="807"/>
      <c r="Q912" s="807"/>
      <c r="R912" s="807"/>
      <c r="S912" s="807"/>
      <c r="T912" s="807"/>
      <c r="U912" s="807"/>
    </row>
    <row r="913">
      <c r="A913" s="807"/>
      <c r="B913" s="813"/>
      <c r="C913" s="813"/>
      <c r="D913" s="807"/>
      <c r="E913" s="807"/>
      <c r="F913" s="801"/>
      <c r="G913" s="801"/>
      <c r="H913" s="801"/>
      <c r="I913" s="801"/>
      <c r="J913" s="807"/>
      <c r="K913" s="807"/>
      <c r="L913" s="807"/>
      <c r="M913" s="807"/>
      <c r="N913" s="807"/>
      <c r="O913" s="807"/>
      <c r="P913" s="807"/>
      <c r="Q913" s="807"/>
      <c r="R913" s="807"/>
      <c r="S913" s="807"/>
      <c r="T913" s="807"/>
      <c r="U913" s="807"/>
    </row>
    <row r="914">
      <c r="A914" s="807"/>
      <c r="B914" s="813"/>
      <c r="C914" s="813"/>
      <c r="D914" s="807"/>
      <c r="E914" s="807"/>
      <c r="F914" s="801"/>
      <c r="G914" s="801"/>
      <c r="H914" s="801"/>
      <c r="I914" s="801"/>
      <c r="J914" s="807"/>
      <c r="K914" s="807"/>
      <c r="L914" s="807"/>
      <c r="M914" s="807"/>
      <c r="N914" s="807"/>
      <c r="O914" s="807"/>
      <c r="P914" s="807"/>
      <c r="Q914" s="807"/>
      <c r="R914" s="807"/>
      <c r="S914" s="807"/>
      <c r="T914" s="807"/>
      <c r="U914" s="807"/>
    </row>
    <row r="915">
      <c r="A915" s="807"/>
      <c r="B915" s="813"/>
      <c r="C915" s="813"/>
      <c r="D915" s="807"/>
      <c r="E915" s="807"/>
      <c r="F915" s="801"/>
      <c r="G915" s="801"/>
      <c r="H915" s="801"/>
      <c r="I915" s="801"/>
      <c r="J915" s="807"/>
      <c r="K915" s="807"/>
      <c r="L915" s="807"/>
      <c r="M915" s="807"/>
      <c r="N915" s="807"/>
      <c r="O915" s="807"/>
      <c r="P915" s="807"/>
      <c r="Q915" s="807"/>
      <c r="R915" s="807"/>
      <c r="S915" s="807"/>
      <c r="T915" s="807"/>
      <c r="U915" s="807"/>
    </row>
    <row r="916">
      <c r="A916" s="807"/>
      <c r="B916" s="813"/>
      <c r="C916" s="813"/>
      <c r="D916" s="807"/>
      <c r="E916" s="807"/>
      <c r="F916" s="801"/>
      <c r="G916" s="801"/>
      <c r="H916" s="801"/>
      <c r="I916" s="801"/>
      <c r="J916" s="807"/>
      <c r="K916" s="807"/>
      <c r="L916" s="807"/>
      <c r="M916" s="807"/>
      <c r="N916" s="807"/>
      <c r="O916" s="807"/>
      <c r="P916" s="807"/>
      <c r="Q916" s="807"/>
      <c r="R916" s="807"/>
      <c r="S916" s="807"/>
      <c r="T916" s="807"/>
      <c r="U916" s="807"/>
    </row>
    <row r="917">
      <c r="A917" s="807"/>
      <c r="B917" s="813"/>
      <c r="C917" s="813"/>
      <c r="D917" s="807"/>
      <c r="E917" s="807"/>
      <c r="F917" s="801"/>
      <c r="G917" s="801"/>
      <c r="H917" s="801"/>
      <c r="I917" s="801"/>
      <c r="J917" s="807"/>
      <c r="K917" s="807"/>
      <c r="L917" s="807"/>
      <c r="M917" s="807"/>
      <c r="N917" s="807"/>
      <c r="O917" s="807"/>
      <c r="P917" s="807"/>
      <c r="Q917" s="807"/>
      <c r="R917" s="807"/>
      <c r="S917" s="807"/>
      <c r="T917" s="807"/>
      <c r="U917" s="807"/>
    </row>
    <row r="918">
      <c r="A918" s="807"/>
      <c r="B918" s="813"/>
      <c r="C918" s="813"/>
      <c r="D918" s="807"/>
      <c r="E918" s="807"/>
      <c r="F918" s="801"/>
      <c r="G918" s="801"/>
      <c r="H918" s="801"/>
      <c r="I918" s="801"/>
      <c r="J918" s="807"/>
      <c r="K918" s="807"/>
      <c r="L918" s="807"/>
      <c r="M918" s="807"/>
      <c r="N918" s="807"/>
      <c r="O918" s="807"/>
      <c r="P918" s="807"/>
      <c r="Q918" s="807"/>
      <c r="R918" s="807"/>
      <c r="S918" s="807"/>
      <c r="T918" s="807"/>
      <c r="U918" s="807"/>
    </row>
    <row r="919">
      <c r="A919" s="807"/>
      <c r="B919" s="813"/>
      <c r="C919" s="813"/>
      <c r="D919" s="807"/>
      <c r="E919" s="807"/>
      <c r="F919" s="801"/>
      <c r="G919" s="801"/>
      <c r="H919" s="801"/>
      <c r="I919" s="801"/>
      <c r="J919" s="807"/>
      <c r="K919" s="807"/>
      <c r="L919" s="807"/>
      <c r="M919" s="807"/>
      <c r="N919" s="807"/>
      <c r="O919" s="807"/>
      <c r="P919" s="807"/>
      <c r="Q919" s="807"/>
      <c r="R919" s="807"/>
      <c r="S919" s="807"/>
      <c r="T919" s="807"/>
      <c r="U919" s="807"/>
    </row>
    <row r="920">
      <c r="A920" s="807"/>
      <c r="B920" s="813"/>
      <c r="C920" s="813"/>
      <c r="D920" s="807"/>
      <c r="E920" s="807"/>
      <c r="F920" s="801"/>
      <c r="G920" s="801"/>
      <c r="H920" s="801"/>
      <c r="I920" s="801"/>
      <c r="J920" s="807"/>
      <c r="K920" s="807"/>
      <c r="L920" s="807"/>
      <c r="M920" s="807"/>
      <c r="N920" s="807"/>
      <c r="O920" s="807"/>
      <c r="P920" s="807"/>
      <c r="Q920" s="807"/>
      <c r="R920" s="807"/>
      <c r="S920" s="807"/>
      <c r="T920" s="807"/>
      <c r="U920" s="807"/>
    </row>
    <row r="921">
      <c r="A921" s="807"/>
      <c r="B921" s="813"/>
      <c r="C921" s="813"/>
      <c r="D921" s="807"/>
      <c r="E921" s="807"/>
      <c r="F921" s="801"/>
      <c r="G921" s="801"/>
      <c r="H921" s="801"/>
      <c r="I921" s="801"/>
      <c r="J921" s="807"/>
      <c r="K921" s="807"/>
      <c r="L921" s="807"/>
      <c r="M921" s="807"/>
      <c r="N921" s="807"/>
      <c r="O921" s="807"/>
      <c r="P921" s="807"/>
      <c r="Q921" s="807"/>
      <c r="R921" s="807"/>
      <c r="S921" s="807"/>
      <c r="T921" s="807"/>
      <c r="U921" s="807"/>
    </row>
    <row r="922">
      <c r="A922" s="807"/>
      <c r="B922" s="813"/>
      <c r="C922" s="813"/>
      <c r="D922" s="807"/>
      <c r="E922" s="807"/>
      <c r="F922" s="801"/>
      <c r="G922" s="801"/>
      <c r="H922" s="801"/>
      <c r="I922" s="801"/>
      <c r="J922" s="807"/>
      <c r="K922" s="807"/>
      <c r="L922" s="807"/>
      <c r="M922" s="807"/>
      <c r="N922" s="807"/>
      <c r="O922" s="807"/>
      <c r="P922" s="807"/>
      <c r="Q922" s="807"/>
      <c r="R922" s="807"/>
      <c r="S922" s="807"/>
      <c r="T922" s="807"/>
      <c r="U922" s="807"/>
    </row>
    <row r="923">
      <c r="A923" s="807"/>
      <c r="B923" s="813"/>
      <c r="C923" s="813"/>
      <c r="D923" s="807"/>
      <c r="E923" s="807"/>
      <c r="F923" s="801"/>
      <c r="G923" s="801"/>
      <c r="H923" s="801"/>
      <c r="I923" s="801"/>
      <c r="J923" s="807"/>
      <c r="K923" s="807"/>
      <c r="L923" s="807"/>
      <c r="M923" s="807"/>
      <c r="N923" s="807"/>
      <c r="O923" s="807"/>
      <c r="P923" s="807"/>
      <c r="Q923" s="807"/>
      <c r="R923" s="807"/>
      <c r="S923" s="807"/>
      <c r="T923" s="807"/>
      <c r="U923" s="807"/>
    </row>
    <row r="924">
      <c r="A924" s="807"/>
      <c r="B924" s="813"/>
      <c r="C924" s="813"/>
      <c r="D924" s="807"/>
      <c r="E924" s="807"/>
      <c r="F924" s="801"/>
      <c r="G924" s="801"/>
      <c r="H924" s="801"/>
      <c r="I924" s="801"/>
      <c r="J924" s="807"/>
      <c r="K924" s="807"/>
      <c r="L924" s="807"/>
      <c r="M924" s="807"/>
      <c r="N924" s="807"/>
      <c r="O924" s="807"/>
      <c r="P924" s="807"/>
      <c r="Q924" s="807"/>
      <c r="R924" s="807"/>
      <c r="S924" s="807"/>
      <c r="T924" s="807"/>
      <c r="U924" s="807"/>
    </row>
    <row r="925">
      <c r="A925" s="807"/>
      <c r="B925" s="813"/>
      <c r="C925" s="813"/>
      <c r="D925" s="807"/>
      <c r="E925" s="807"/>
      <c r="F925" s="801"/>
      <c r="G925" s="801"/>
      <c r="H925" s="801"/>
      <c r="I925" s="801"/>
      <c r="J925" s="807"/>
      <c r="K925" s="807"/>
      <c r="L925" s="807"/>
      <c r="M925" s="807"/>
      <c r="N925" s="807"/>
      <c r="O925" s="807"/>
      <c r="P925" s="807"/>
      <c r="Q925" s="807"/>
      <c r="R925" s="807"/>
      <c r="S925" s="807"/>
      <c r="T925" s="807"/>
      <c r="U925" s="807"/>
    </row>
    <row r="926">
      <c r="A926" s="807"/>
      <c r="B926" s="813"/>
      <c r="C926" s="813"/>
      <c r="D926" s="807"/>
      <c r="E926" s="807"/>
      <c r="F926" s="801"/>
      <c r="G926" s="801"/>
      <c r="H926" s="801"/>
      <c r="I926" s="801"/>
      <c r="J926" s="807"/>
      <c r="K926" s="807"/>
      <c r="L926" s="807"/>
      <c r="M926" s="807"/>
      <c r="N926" s="807"/>
      <c r="O926" s="807"/>
      <c r="P926" s="807"/>
      <c r="Q926" s="807"/>
      <c r="R926" s="807"/>
      <c r="S926" s="807"/>
      <c r="T926" s="807"/>
      <c r="U926" s="807"/>
    </row>
    <row r="927">
      <c r="A927" s="807"/>
      <c r="B927" s="813"/>
      <c r="C927" s="813"/>
      <c r="D927" s="807"/>
      <c r="E927" s="807"/>
      <c r="F927" s="801"/>
      <c r="G927" s="801"/>
      <c r="H927" s="801"/>
      <c r="I927" s="801"/>
      <c r="J927" s="807"/>
      <c r="K927" s="807"/>
      <c r="L927" s="807"/>
      <c r="M927" s="807"/>
      <c r="N927" s="807"/>
      <c r="O927" s="807"/>
      <c r="P927" s="807"/>
      <c r="Q927" s="807"/>
      <c r="R927" s="807"/>
      <c r="S927" s="807"/>
      <c r="T927" s="807"/>
      <c r="U927" s="807"/>
    </row>
    <row r="928">
      <c r="A928" s="807"/>
      <c r="B928" s="813"/>
      <c r="C928" s="813"/>
      <c r="D928" s="807"/>
      <c r="E928" s="807"/>
      <c r="F928" s="801"/>
      <c r="G928" s="801"/>
      <c r="H928" s="801"/>
      <c r="I928" s="801"/>
      <c r="J928" s="807"/>
      <c r="K928" s="807"/>
      <c r="L928" s="807"/>
      <c r="M928" s="807"/>
      <c r="N928" s="807"/>
      <c r="O928" s="807"/>
      <c r="P928" s="807"/>
      <c r="Q928" s="807"/>
      <c r="R928" s="807"/>
      <c r="S928" s="807"/>
      <c r="T928" s="807"/>
      <c r="U928" s="807"/>
    </row>
    <row r="929">
      <c r="A929" s="807"/>
      <c r="B929" s="813"/>
      <c r="C929" s="813"/>
      <c r="D929" s="807"/>
      <c r="E929" s="807"/>
      <c r="F929" s="801"/>
      <c r="G929" s="801"/>
      <c r="H929" s="801"/>
      <c r="I929" s="801"/>
      <c r="J929" s="807"/>
      <c r="K929" s="807"/>
      <c r="L929" s="807"/>
      <c r="M929" s="807"/>
      <c r="N929" s="807"/>
      <c r="O929" s="807"/>
      <c r="P929" s="807"/>
      <c r="Q929" s="807"/>
      <c r="R929" s="807"/>
      <c r="S929" s="807"/>
      <c r="T929" s="807"/>
      <c r="U929" s="807"/>
    </row>
    <row r="930">
      <c r="A930" s="807"/>
      <c r="B930" s="813"/>
      <c r="C930" s="813"/>
      <c r="D930" s="807"/>
      <c r="E930" s="807"/>
      <c r="F930" s="801"/>
      <c r="G930" s="801"/>
      <c r="H930" s="801"/>
      <c r="I930" s="801"/>
      <c r="J930" s="807"/>
      <c r="K930" s="807"/>
      <c r="L930" s="807"/>
      <c r="M930" s="807"/>
      <c r="N930" s="807"/>
      <c r="O930" s="807"/>
      <c r="P930" s="807"/>
      <c r="Q930" s="807"/>
      <c r="R930" s="807"/>
      <c r="S930" s="807"/>
      <c r="T930" s="807"/>
      <c r="U930" s="807"/>
    </row>
    <row r="931">
      <c r="A931" s="807"/>
      <c r="B931" s="813"/>
      <c r="C931" s="813"/>
      <c r="D931" s="807"/>
      <c r="E931" s="807"/>
      <c r="F931" s="801"/>
      <c r="G931" s="801"/>
      <c r="H931" s="801"/>
      <c r="I931" s="801"/>
      <c r="J931" s="807"/>
      <c r="K931" s="807"/>
      <c r="L931" s="807"/>
      <c r="M931" s="807"/>
      <c r="N931" s="807"/>
      <c r="O931" s="807"/>
      <c r="P931" s="807"/>
      <c r="Q931" s="807"/>
      <c r="R931" s="807"/>
      <c r="S931" s="807"/>
      <c r="T931" s="807"/>
      <c r="U931" s="807"/>
    </row>
    <row r="932">
      <c r="A932" s="807"/>
      <c r="B932" s="813"/>
      <c r="C932" s="813"/>
      <c r="D932" s="807"/>
      <c r="E932" s="807"/>
      <c r="F932" s="801"/>
      <c r="G932" s="801"/>
      <c r="H932" s="801"/>
      <c r="I932" s="801"/>
      <c r="J932" s="807"/>
      <c r="K932" s="807"/>
      <c r="L932" s="807"/>
      <c r="M932" s="807"/>
      <c r="N932" s="807"/>
      <c r="O932" s="807"/>
      <c r="P932" s="807"/>
      <c r="Q932" s="807"/>
      <c r="R932" s="807"/>
      <c r="S932" s="807"/>
      <c r="T932" s="807"/>
      <c r="U932" s="807"/>
    </row>
    <row r="933">
      <c r="A933" s="807"/>
      <c r="B933" s="813"/>
      <c r="C933" s="813"/>
      <c r="D933" s="807"/>
      <c r="E933" s="807"/>
      <c r="F933" s="801"/>
      <c r="G933" s="801"/>
      <c r="H933" s="801"/>
      <c r="I933" s="801"/>
      <c r="J933" s="807"/>
      <c r="K933" s="807"/>
      <c r="L933" s="807"/>
      <c r="M933" s="807"/>
      <c r="N933" s="807"/>
      <c r="O933" s="807"/>
      <c r="P933" s="807"/>
      <c r="Q933" s="807"/>
      <c r="R933" s="807"/>
      <c r="S933" s="807"/>
      <c r="T933" s="807"/>
      <c r="U933" s="807"/>
    </row>
    <row r="934">
      <c r="A934" s="807"/>
      <c r="B934" s="813"/>
      <c r="C934" s="813"/>
      <c r="D934" s="807"/>
      <c r="E934" s="807"/>
      <c r="F934" s="801"/>
      <c r="G934" s="801"/>
      <c r="H934" s="801"/>
      <c r="I934" s="801"/>
      <c r="J934" s="807"/>
      <c r="K934" s="807"/>
      <c r="L934" s="807"/>
      <c r="M934" s="807"/>
      <c r="N934" s="807"/>
      <c r="O934" s="807"/>
      <c r="P934" s="807"/>
      <c r="Q934" s="807"/>
      <c r="R934" s="807"/>
      <c r="S934" s="807"/>
      <c r="T934" s="807"/>
      <c r="U934" s="807"/>
    </row>
    <row r="935">
      <c r="A935" s="807"/>
      <c r="B935" s="813"/>
      <c r="C935" s="813"/>
      <c r="D935" s="807"/>
      <c r="E935" s="807"/>
      <c r="F935" s="801"/>
      <c r="G935" s="801"/>
      <c r="H935" s="801"/>
      <c r="I935" s="801"/>
      <c r="J935" s="807"/>
      <c r="K935" s="807"/>
      <c r="L935" s="807"/>
      <c r="M935" s="807"/>
      <c r="N935" s="807"/>
      <c r="O935" s="807"/>
      <c r="P935" s="807"/>
      <c r="Q935" s="807"/>
      <c r="R935" s="807"/>
      <c r="S935" s="807"/>
      <c r="T935" s="807"/>
      <c r="U935" s="807"/>
    </row>
    <row r="936">
      <c r="A936" s="807"/>
      <c r="B936" s="813"/>
      <c r="C936" s="813"/>
      <c r="D936" s="807"/>
      <c r="E936" s="807"/>
      <c r="F936" s="801"/>
      <c r="G936" s="801"/>
      <c r="H936" s="801"/>
      <c r="I936" s="801"/>
      <c r="J936" s="807"/>
      <c r="K936" s="807"/>
      <c r="L936" s="807"/>
      <c r="M936" s="807"/>
      <c r="N936" s="807"/>
      <c r="O936" s="807"/>
      <c r="P936" s="807"/>
      <c r="Q936" s="807"/>
      <c r="R936" s="807"/>
      <c r="S936" s="807"/>
      <c r="T936" s="807"/>
      <c r="U936" s="807"/>
    </row>
    <row r="937">
      <c r="A937" s="807"/>
      <c r="B937" s="813"/>
      <c r="C937" s="813"/>
      <c r="D937" s="807"/>
      <c r="E937" s="807"/>
      <c r="F937" s="801"/>
      <c r="G937" s="801"/>
      <c r="H937" s="801"/>
      <c r="I937" s="801"/>
      <c r="J937" s="807"/>
      <c r="K937" s="807"/>
      <c r="L937" s="807"/>
      <c r="M937" s="807"/>
      <c r="N937" s="807"/>
      <c r="O937" s="807"/>
      <c r="P937" s="807"/>
      <c r="Q937" s="807"/>
      <c r="R937" s="807"/>
      <c r="S937" s="807"/>
      <c r="T937" s="807"/>
      <c r="U937" s="807"/>
    </row>
    <row r="938">
      <c r="A938" s="807"/>
      <c r="B938" s="813"/>
      <c r="C938" s="813"/>
      <c r="D938" s="807"/>
      <c r="E938" s="807"/>
      <c r="F938" s="801"/>
      <c r="G938" s="801"/>
      <c r="H938" s="801"/>
      <c r="I938" s="801"/>
      <c r="J938" s="807"/>
      <c r="K938" s="807"/>
      <c r="L938" s="807"/>
      <c r="M938" s="807"/>
      <c r="N938" s="807"/>
      <c r="O938" s="807"/>
      <c r="P938" s="807"/>
      <c r="Q938" s="807"/>
      <c r="R938" s="807"/>
      <c r="S938" s="807"/>
      <c r="T938" s="807"/>
      <c r="U938" s="807"/>
    </row>
    <row r="939">
      <c r="A939" s="807"/>
      <c r="B939" s="813"/>
      <c r="C939" s="813"/>
      <c r="D939" s="807"/>
      <c r="E939" s="807"/>
      <c r="F939" s="801"/>
      <c r="G939" s="801"/>
      <c r="H939" s="801"/>
      <c r="I939" s="801"/>
      <c r="J939" s="807"/>
      <c r="K939" s="807"/>
      <c r="L939" s="807"/>
      <c r="M939" s="807"/>
      <c r="N939" s="807"/>
      <c r="O939" s="807"/>
      <c r="P939" s="807"/>
      <c r="Q939" s="807"/>
      <c r="R939" s="807"/>
      <c r="S939" s="807"/>
      <c r="T939" s="807"/>
      <c r="U939" s="807"/>
    </row>
    <row r="940">
      <c r="A940" s="807"/>
      <c r="B940" s="813"/>
      <c r="C940" s="813"/>
      <c r="D940" s="807"/>
      <c r="E940" s="807"/>
      <c r="F940" s="801"/>
      <c r="G940" s="801"/>
      <c r="H940" s="801"/>
      <c r="I940" s="801"/>
      <c r="J940" s="807"/>
      <c r="K940" s="807"/>
      <c r="L940" s="807"/>
      <c r="M940" s="807"/>
      <c r="N940" s="807"/>
      <c r="O940" s="807"/>
      <c r="P940" s="807"/>
      <c r="Q940" s="807"/>
      <c r="R940" s="807"/>
      <c r="S940" s="807"/>
      <c r="T940" s="807"/>
      <c r="U940" s="807"/>
    </row>
    <row r="941">
      <c r="A941" s="807"/>
      <c r="B941" s="813"/>
      <c r="C941" s="813"/>
      <c r="D941" s="807"/>
      <c r="E941" s="807"/>
      <c r="F941" s="801"/>
      <c r="G941" s="801"/>
      <c r="H941" s="801"/>
      <c r="I941" s="801"/>
      <c r="J941" s="807"/>
      <c r="K941" s="807"/>
      <c r="L941" s="807"/>
      <c r="M941" s="807"/>
      <c r="N941" s="807"/>
      <c r="O941" s="807"/>
      <c r="P941" s="807"/>
      <c r="Q941" s="807"/>
      <c r="R941" s="807"/>
      <c r="S941" s="807"/>
      <c r="T941" s="807"/>
      <c r="U941" s="807"/>
    </row>
    <row r="942">
      <c r="A942" s="807"/>
      <c r="B942" s="813"/>
      <c r="C942" s="813"/>
      <c r="D942" s="807"/>
      <c r="E942" s="807"/>
      <c r="F942" s="801"/>
      <c r="G942" s="801"/>
      <c r="H942" s="801"/>
      <c r="I942" s="801"/>
      <c r="J942" s="807"/>
      <c r="K942" s="807"/>
      <c r="L942" s="807"/>
      <c r="M942" s="807"/>
      <c r="N942" s="807"/>
      <c r="O942" s="807"/>
      <c r="P942" s="807"/>
      <c r="Q942" s="807"/>
      <c r="R942" s="807"/>
      <c r="S942" s="807"/>
      <c r="T942" s="807"/>
      <c r="U942" s="807"/>
    </row>
    <row r="943">
      <c r="A943" s="807"/>
      <c r="B943" s="813"/>
      <c r="C943" s="813"/>
      <c r="D943" s="807"/>
      <c r="E943" s="807"/>
      <c r="F943" s="801"/>
      <c r="G943" s="801"/>
      <c r="H943" s="801"/>
      <c r="I943" s="801"/>
      <c r="J943" s="807"/>
      <c r="K943" s="807"/>
      <c r="L943" s="807"/>
      <c r="M943" s="807"/>
      <c r="N943" s="807"/>
      <c r="O943" s="807"/>
      <c r="P943" s="807"/>
      <c r="Q943" s="807"/>
      <c r="R943" s="807"/>
      <c r="S943" s="807"/>
      <c r="T943" s="807"/>
      <c r="U943" s="807"/>
    </row>
    <row r="944">
      <c r="A944" s="807"/>
      <c r="B944" s="813"/>
      <c r="C944" s="813"/>
      <c r="D944" s="807"/>
      <c r="E944" s="807"/>
      <c r="F944" s="801"/>
      <c r="G944" s="801"/>
      <c r="H944" s="801"/>
      <c r="I944" s="801"/>
      <c r="J944" s="807"/>
      <c r="K944" s="807"/>
      <c r="L944" s="807"/>
      <c r="M944" s="807"/>
      <c r="N944" s="807"/>
      <c r="O944" s="807"/>
      <c r="P944" s="807"/>
      <c r="Q944" s="807"/>
      <c r="R944" s="807"/>
      <c r="S944" s="807"/>
      <c r="T944" s="807"/>
      <c r="U944" s="807"/>
    </row>
    <row r="945">
      <c r="A945" s="807"/>
      <c r="B945" s="813"/>
      <c r="C945" s="813"/>
      <c r="D945" s="807"/>
      <c r="E945" s="807"/>
      <c r="F945" s="801"/>
      <c r="G945" s="801"/>
      <c r="H945" s="801"/>
      <c r="I945" s="801"/>
      <c r="J945" s="807"/>
      <c r="K945" s="807"/>
      <c r="L945" s="807"/>
      <c r="M945" s="807"/>
      <c r="N945" s="807"/>
      <c r="O945" s="807"/>
      <c r="P945" s="807"/>
      <c r="Q945" s="807"/>
      <c r="R945" s="807"/>
      <c r="S945" s="807"/>
      <c r="T945" s="807"/>
      <c r="U945" s="807"/>
    </row>
    <row r="946">
      <c r="A946" s="807"/>
      <c r="B946" s="813"/>
      <c r="C946" s="813"/>
      <c r="D946" s="807"/>
      <c r="E946" s="807"/>
      <c r="F946" s="801"/>
      <c r="G946" s="801"/>
      <c r="H946" s="801"/>
      <c r="I946" s="801"/>
      <c r="J946" s="807"/>
      <c r="K946" s="807"/>
      <c r="L946" s="807"/>
      <c r="M946" s="807"/>
      <c r="N946" s="807"/>
      <c r="O946" s="807"/>
      <c r="P946" s="807"/>
      <c r="Q946" s="807"/>
      <c r="R946" s="807"/>
      <c r="S946" s="807"/>
      <c r="T946" s="807"/>
      <c r="U946" s="807"/>
    </row>
    <row r="947">
      <c r="A947" s="807"/>
      <c r="B947" s="813"/>
      <c r="C947" s="813"/>
      <c r="D947" s="807"/>
      <c r="E947" s="807"/>
      <c r="F947" s="801"/>
      <c r="G947" s="801"/>
      <c r="H947" s="801"/>
      <c r="I947" s="801"/>
      <c r="J947" s="807"/>
      <c r="K947" s="807"/>
      <c r="L947" s="807"/>
      <c r="M947" s="807"/>
      <c r="N947" s="807"/>
      <c r="O947" s="807"/>
      <c r="P947" s="807"/>
      <c r="Q947" s="807"/>
      <c r="R947" s="807"/>
      <c r="S947" s="807"/>
      <c r="T947" s="807"/>
      <c r="U947" s="807"/>
    </row>
    <row r="948">
      <c r="A948" s="807"/>
      <c r="B948" s="813"/>
      <c r="C948" s="813"/>
      <c r="D948" s="807"/>
      <c r="E948" s="807"/>
      <c r="F948" s="801"/>
      <c r="G948" s="801"/>
      <c r="H948" s="801"/>
      <c r="I948" s="801"/>
      <c r="J948" s="807"/>
      <c r="K948" s="807"/>
      <c r="L948" s="807"/>
      <c r="M948" s="807"/>
      <c r="N948" s="807"/>
      <c r="O948" s="807"/>
      <c r="P948" s="807"/>
      <c r="Q948" s="807"/>
      <c r="R948" s="807"/>
      <c r="S948" s="807"/>
      <c r="T948" s="807"/>
      <c r="U948" s="807"/>
    </row>
    <row r="949">
      <c r="A949" s="807"/>
      <c r="B949" s="813"/>
      <c r="C949" s="813"/>
      <c r="D949" s="807"/>
      <c r="E949" s="807"/>
      <c r="F949" s="801"/>
      <c r="G949" s="801"/>
      <c r="H949" s="801"/>
      <c r="I949" s="801"/>
      <c r="J949" s="807"/>
      <c r="K949" s="807"/>
      <c r="L949" s="807"/>
      <c r="M949" s="807"/>
      <c r="N949" s="807"/>
      <c r="O949" s="807"/>
      <c r="P949" s="807"/>
      <c r="Q949" s="807"/>
      <c r="R949" s="807"/>
      <c r="S949" s="807"/>
      <c r="T949" s="807"/>
      <c r="U949" s="807"/>
    </row>
    <row r="950">
      <c r="A950" s="807"/>
      <c r="B950" s="813"/>
      <c r="C950" s="813"/>
      <c r="D950" s="807"/>
      <c r="E950" s="807"/>
      <c r="F950" s="801"/>
      <c r="G950" s="801"/>
      <c r="H950" s="801"/>
      <c r="I950" s="801"/>
      <c r="J950" s="807"/>
      <c r="K950" s="807"/>
      <c r="L950" s="807"/>
      <c r="M950" s="807"/>
      <c r="N950" s="807"/>
      <c r="O950" s="807"/>
      <c r="P950" s="807"/>
      <c r="Q950" s="807"/>
      <c r="R950" s="807"/>
      <c r="S950" s="807"/>
      <c r="T950" s="807"/>
      <c r="U950" s="807"/>
    </row>
    <row r="951">
      <c r="A951" s="807"/>
      <c r="B951" s="813"/>
      <c r="C951" s="813"/>
      <c r="D951" s="807"/>
      <c r="E951" s="807"/>
      <c r="F951" s="801"/>
      <c r="G951" s="801"/>
      <c r="H951" s="801"/>
      <c r="I951" s="801"/>
      <c r="J951" s="807"/>
      <c r="K951" s="807"/>
      <c r="L951" s="807"/>
      <c r="M951" s="807"/>
      <c r="N951" s="807"/>
      <c r="O951" s="807"/>
      <c r="P951" s="807"/>
      <c r="Q951" s="807"/>
      <c r="R951" s="807"/>
      <c r="S951" s="807"/>
      <c r="T951" s="807"/>
      <c r="U951" s="807"/>
    </row>
    <row r="952">
      <c r="A952" s="807"/>
      <c r="B952" s="813"/>
      <c r="C952" s="813"/>
      <c r="D952" s="807"/>
      <c r="E952" s="807"/>
      <c r="F952" s="801"/>
      <c r="G952" s="801"/>
      <c r="H952" s="801"/>
      <c r="I952" s="801"/>
      <c r="J952" s="807"/>
      <c r="K952" s="807"/>
      <c r="L952" s="807"/>
      <c r="M952" s="807"/>
      <c r="N952" s="807"/>
      <c r="O952" s="807"/>
      <c r="P952" s="807"/>
      <c r="Q952" s="807"/>
      <c r="R952" s="807"/>
      <c r="S952" s="807"/>
      <c r="T952" s="807"/>
      <c r="U952" s="807"/>
    </row>
    <row r="953">
      <c r="A953" s="807"/>
      <c r="B953" s="813"/>
      <c r="C953" s="813"/>
      <c r="D953" s="807"/>
      <c r="E953" s="807"/>
      <c r="F953" s="801"/>
      <c r="G953" s="801"/>
      <c r="H953" s="801"/>
      <c r="I953" s="801"/>
      <c r="J953" s="807"/>
      <c r="K953" s="807"/>
      <c r="L953" s="807"/>
      <c r="M953" s="807"/>
      <c r="N953" s="807"/>
      <c r="O953" s="807"/>
      <c r="P953" s="807"/>
      <c r="Q953" s="807"/>
      <c r="R953" s="807"/>
      <c r="S953" s="807"/>
      <c r="T953" s="807"/>
      <c r="U953" s="807"/>
    </row>
    <row r="954">
      <c r="A954" s="807"/>
      <c r="B954" s="813"/>
      <c r="C954" s="813"/>
      <c r="D954" s="807"/>
      <c r="E954" s="807"/>
      <c r="F954" s="801"/>
      <c r="G954" s="801"/>
      <c r="H954" s="801"/>
      <c r="I954" s="801"/>
      <c r="J954" s="807"/>
      <c r="K954" s="807"/>
      <c r="L954" s="807"/>
      <c r="M954" s="807"/>
      <c r="N954" s="807"/>
      <c r="O954" s="807"/>
      <c r="P954" s="807"/>
      <c r="Q954" s="807"/>
      <c r="R954" s="807"/>
      <c r="S954" s="807"/>
      <c r="T954" s="807"/>
      <c r="U954" s="807"/>
    </row>
    <row r="955">
      <c r="A955" s="807"/>
      <c r="B955" s="813"/>
      <c r="C955" s="813"/>
      <c r="D955" s="807"/>
      <c r="E955" s="807"/>
      <c r="F955" s="801"/>
      <c r="G955" s="801"/>
      <c r="H955" s="801"/>
      <c r="I955" s="801"/>
      <c r="J955" s="807"/>
      <c r="K955" s="807"/>
      <c r="L955" s="807"/>
      <c r="M955" s="807"/>
      <c r="N955" s="807"/>
      <c r="O955" s="807"/>
      <c r="P955" s="807"/>
      <c r="Q955" s="807"/>
      <c r="R955" s="807"/>
      <c r="S955" s="807"/>
      <c r="T955" s="807"/>
      <c r="U955" s="807"/>
    </row>
    <row r="956">
      <c r="A956" s="807"/>
      <c r="B956" s="813"/>
      <c r="C956" s="813"/>
      <c r="D956" s="807"/>
      <c r="E956" s="807"/>
      <c r="F956" s="801"/>
      <c r="G956" s="801"/>
      <c r="H956" s="801"/>
      <c r="I956" s="801"/>
      <c r="J956" s="807"/>
      <c r="K956" s="807"/>
      <c r="L956" s="807"/>
      <c r="M956" s="807"/>
      <c r="N956" s="807"/>
      <c r="O956" s="807"/>
      <c r="P956" s="807"/>
      <c r="Q956" s="807"/>
      <c r="R956" s="807"/>
      <c r="S956" s="807"/>
      <c r="T956" s="807"/>
      <c r="U956" s="807"/>
    </row>
    <row r="957">
      <c r="A957" s="807"/>
      <c r="B957" s="813"/>
      <c r="C957" s="813"/>
      <c r="D957" s="807"/>
      <c r="E957" s="807"/>
      <c r="F957" s="801"/>
      <c r="G957" s="801"/>
      <c r="H957" s="801"/>
      <c r="I957" s="801"/>
      <c r="J957" s="807"/>
      <c r="K957" s="807"/>
      <c r="L957" s="807"/>
      <c r="M957" s="807"/>
      <c r="N957" s="807"/>
      <c r="O957" s="807"/>
      <c r="P957" s="807"/>
      <c r="Q957" s="807"/>
      <c r="R957" s="807"/>
      <c r="S957" s="807"/>
      <c r="T957" s="807"/>
      <c r="U957" s="807"/>
    </row>
    <row r="958">
      <c r="A958" s="807"/>
      <c r="B958" s="813"/>
      <c r="C958" s="813"/>
      <c r="D958" s="807"/>
      <c r="E958" s="807"/>
      <c r="F958" s="801"/>
      <c r="G958" s="801"/>
      <c r="H958" s="801"/>
      <c r="I958" s="801"/>
      <c r="J958" s="807"/>
      <c r="K958" s="807"/>
      <c r="L958" s="807"/>
      <c r="M958" s="807"/>
      <c r="N958" s="807"/>
      <c r="O958" s="807"/>
      <c r="P958" s="807"/>
      <c r="Q958" s="807"/>
      <c r="R958" s="807"/>
      <c r="S958" s="807"/>
      <c r="T958" s="807"/>
      <c r="U958" s="807"/>
    </row>
    <row r="959">
      <c r="A959" s="807"/>
      <c r="B959" s="813"/>
      <c r="C959" s="813"/>
      <c r="D959" s="807"/>
      <c r="E959" s="807"/>
      <c r="F959" s="801"/>
      <c r="G959" s="801"/>
      <c r="H959" s="801"/>
      <c r="I959" s="801"/>
      <c r="J959" s="807"/>
      <c r="K959" s="807"/>
      <c r="L959" s="807"/>
      <c r="M959" s="807"/>
      <c r="N959" s="807"/>
      <c r="O959" s="807"/>
      <c r="P959" s="807"/>
      <c r="Q959" s="807"/>
      <c r="R959" s="807"/>
      <c r="S959" s="807"/>
      <c r="T959" s="807"/>
      <c r="U959" s="807"/>
    </row>
    <row r="960">
      <c r="A960" s="807"/>
      <c r="B960" s="813"/>
      <c r="C960" s="813"/>
      <c r="D960" s="807"/>
      <c r="E960" s="807"/>
      <c r="F960" s="801"/>
      <c r="G960" s="801"/>
      <c r="H960" s="801"/>
      <c r="I960" s="801"/>
      <c r="J960" s="807"/>
      <c r="K960" s="807"/>
      <c r="L960" s="807"/>
      <c r="M960" s="807"/>
      <c r="N960" s="807"/>
      <c r="O960" s="807"/>
      <c r="P960" s="807"/>
      <c r="Q960" s="807"/>
      <c r="R960" s="807"/>
      <c r="S960" s="807"/>
      <c r="T960" s="807"/>
      <c r="U960" s="807"/>
    </row>
    <row r="961">
      <c r="A961" s="807"/>
      <c r="B961" s="813"/>
      <c r="C961" s="813"/>
      <c r="D961" s="807"/>
      <c r="E961" s="807"/>
      <c r="F961" s="801"/>
      <c r="G961" s="801"/>
      <c r="H961" s="801"/>
      <c r="I961" s="801"/>
      <c r="J961" s="807"/>
      <c r="K961" s="807"/>
      <c r="L961" s="807"/>
      <c r="M961" s="807"/>
      <c r="N961" s="807"/>
      <c r="O961" s="807"/>
      <c r="P961" s="807"/>
      <c r="Q961" s="807"/>
      <c r="R961" s="807"/>
      <c r="S961" s="807"/>
      <c r="T961" s="807"/>
      <c r="U961" s="807"/>
    </row>
    <row r="962">
      <c r="A962" s="807"/>
      <c r="B962" s="813"/>
      <c r="C962" s="813"/>
      <c r="D962" s="807"/>
      <c r="E962" s="807"/>
      <c r="F962" s="801"/>
      <c r="G962" s="801"/>
      <c r="H962" s="801"/>
      <c r="I962" s="801"/>
      <c r="J962" s="807"/>
      <c r="K962" s="807"/>
      <c r="L962" s="807"/>
      <c r="M962" s="807"/>
      <c r="N962" s="807"/>
      <c r="O962" s="807"/>
      <c r="P962" s="807"/>
      <c r="Q962" s="807"/>
      <c r="R962" s="807"/>
      <c r="S962" s="807"/>
      <c r="T962" s="807"/>
      <c r="U962" s="807"/>
    </row>
    <row r="963">
      <c r="A963" s="807"/>
      <c r="B963" s="813"/>
      <c r="C963" s="813"/>
      <c r="D963" s="807"/>
      <c r="E963" s="807"/>
      <c r="F963" s="801"/>
      <c r="G963" s="801"/>
      <c r="H963" s="801"/>
      <c r="I963" s="801"/>
      <c r="J963" s="807"/>
      <c r="K963" s="807"/>
      <c r="L963" s="807"/>
      <c r="M963" s="807"/>
      <c r="N963" s="807"/>
      <c r="O963" s="807"/>
      <c r="P963" s="807"/>
      <c r="Q963" s="807"/>
      <c r="R963" s="807"/>
      <c r="S963" s="807"/>
      <c r="T963" s="807"/>
      <c r="U963" s="807"/>
    </row>
    <row r="964">
      <c r="A964" s="807"/>
      <c r="B964" s="813"/>
      <c r="C964" s="813"/>
      <c r="D964" s="807"/>
      <c r="E964" s="807"/>
      <c r="F964" s="801"/>
      <c r="G964" s="801"/>
      <c r="H964" s="801"/>
      <c r="I964" s="801"/>
      <c r="J964" s="807"/>
      <c r="K964" s="807"/>
      <c r="L964" s="807"/>
      <c r="M964" s="807"/>
      <c r="N964" s="807"/>
      <c r="O964" s="807"/>
      <c r="P964" s="807"/>
      <c r="Q964" s="807"/>
      <c r="R964" s="807"/>
      <c r="S964" s="807"/>
      <c r="T964" s="807"/>
      <c r="U964" s="807"/>
    </row>
    <row r="965">
      <c r="A965" s="807"/>
      <c r="B965" s="813"/>
      <c r="C965" s="813"/>
      <c r="D965" s="807"/>
      <c r="E965" s="807"/>
      <c r="F965" s="801"/>
      <c r="G965" s="801"/>
      <c r="H965" s="801"/>
      <c r="I965" s="801"/>
      <c r="J965" s="807"/>
      <c r="K965" s="807"/>
      <c r="L965" s="807"/>
      <c r="M965" s="807"/>
      <c r="N965" s="807"/>
      <c r="O965" s="807"/>
      <c r="P965" s="807"/>
      <c r="Q965" s="807"/>
      <c r="R965" s="807"/>
      <c r="S965" s="807"/>
      <c r="T965" s="807"/>
      <c r="U965" s="807"/>
    </row>
    <row r="966">
      <c r="A966" s="807"/>
      <c r="B966" s="813"/>
      <c r="C966" s="813"/>
      <c r="D966" s="807"/>
      <c r="E966" s="807"/>
      <c r="F966" s="801"/>
      <c r="G966" s="801"/>
      <c r="H966" s="801"/>
      <c r="I966" s="801"/>
      <c r="J966" s="807"/>
      <c r="K966" s="807"/>
      <c r="L966" s="807"/>
      <c r="M966" s="807"/>
      <c r="N966" s="807"/>
      <c r="O966" s="807"/>
      <c r="P966" s="807"/>
      <c r="Q966" s="807"/>
      <c r="R966" s="807"/>
      <c r="S966" s="807"/>
      <c r="T966" s="807"/>
      <c r="U966" s="807"/>
    </row>
    <row r="967">
      <c r="A967" s="807"/>
      <c r="B967" s="813"/>
      <c r="C967" s="813"/>
      <c r="D967" s="807"/>
      <c r="E967" s="807"/>
      <c r="F967" s="801"/>
      <c r="G967" s="801"/>
      <c r="H967" s="801"/>
      <c r="I967" s="801"/>
      <c r="J967" s="807"/>
      <c r="K967" s="807"/>
      <c r="L967" s="807"/>
      <c r="M967" s="807"/>
      <c r="N967" s="807"/>
      <c r="O967" s="807"/>
      <c r="P967" s="807"/>
      <c r="Q967" s="807"/>
      <c r="R967" s="807"/>
      <c r="S967" s="807"/>
      <c r="T967" s="807"/>
      <c r="U967" s="807"/>
    </row>
    <row r="968">
      <c r="A968" s="807"/>
      <c r="B968" s="813"/>
      <c r="C968" s="813"/>
      <c r="D968" s="807"/>
      <c r="E968" s="807"/>
      <c r="F968" s="801"/>
      <c r="G968" s="801"/>
      <c r="H968" s="801"/>
      <c r="I968" s="801"/>
      <c r="J968" s="807"/>
      <c r="K968" s="807"/>
      <c r="L968" s="807"/>
      <c r="M968" s="807"/>
      <c r="N968" s="807"/>
      <c r="O968" s="807"/>
      <c r="P968" s="807"/>
      <c r="Q968" s="807"/>
      <c r="R968" s="807"/>
      <c r="S968" s="807"/>
      <c r="T968" s="807"/>
      <c r="U968" s="807"/>
    </row>
    <row r="969">
      <c r="A969" s="807"/>
      <c r="B969" s="813"/>
      <c r="C969" s="813"/>
      <c r="D969" s="807"/>
      <c r="E969" s="807"/>
      <c r="F969" s="801"/>
      <c r="G969" s="801"/>
      <c r="H969" s="801"/>
      <c r="I969" s="801"/>
      <c r="J969" s="807"/>
      <c r="K969" s="807"/>
      <c r="L969" s="807"/>
      <c r="M969" s="807"/>
      <c r="N969" s="807"/>
      <c r="O969" s="807"/>
      <c r="P969" s="807"/>
      <c r="Q969" s="807"/>
      <c r="R969" s="807"/>
      <c r="S969" s="807"/>
      <c r="T969" s="807"/>
      <c r="U969" s="807"/>
    </row>
    <row r="970">
      <c r="A970" s="807"/>
      <c r="B970" s="813"/>
      <c r="C970" s="813"/>
      <c r="D970" s="807"/>
      <c r="E970" s="807"/>
      <c r="F970" s="801"/>
      <c r="G970" s="801"/>
      <c r="H970" s="801"/>
      <c r="I970" s="801"/>
      <c r="J970" s="807"/>
      <c r="K970" s="807"/>
      <c r="L970" s="807"/>
      <c r="M970" s="807"/>
      <c r="N970" s="807"/>
      <c r="O970" s="807"/>
      <c r="P970" s="807"/>
      <c r="Q970" s="807"/>
      <c r="R970" s="807"/>
      <c r="S970" s="807"/>
      <c r="T970" s="807"/>
      <c r="U970" s="807"/>
    </row>
    <row r="971">
      <c r="A971" s="807"/>
      <c r="B971" s="813"/>
      <c r="C971" s="813"/>
      <c r="D971" s="807"/>
      <c r="E971" s="807"/>
      <c r="F971" s="801"/>
      <c r="G971" s="801"/>
      <c r="H971" s="801"/>
      <c r="I971" s="801"/>
      <c r="J971" s="807"/>
      <c r="K971" s="807"/>
      <c r="L971" s="807"/>
      <c r="M971" s="807"/>
      <c r="N971" s="807"/>
      <c r="O971" s="807"/>
      <c r="P971" s="807"/>
      <c r="Q971" s="807"/>
      <c r="R971" s="807"/>
      <c r="S971" s="807"/>
      <c r="T971" s="807"/>
      <c r="U971" s="807"/>
    </row>
    <row r="972">
      <c r="A972" s="807"/>
      <c r="B972" s="813"/>
      <c r="C972" s="813"/>
      <c r="D972" s="807"/>
      <c r="E972" s="807"/>
      <c r="F972" s="801"/>
      <c r="G972" s="801"/>
      <c r="H972" s="801"/>
      <c r="I972" s="801"/>
      <c r="J972" s="807"/>
      <c r="K972" s="807"/>
      <c r="L972" s="807"/>
      <c r="M972" s="807"/>
      <c r="N972" s="807"/>
      <c r="O972" s="807"/>
      <c r="P972" s="807"/>
      <c r="Q972" s="807"/>
      <c r="R972" s="807"/>
      <c r="S972" s="807"/>
      <c r="T972" s="807"/>
      <c r="U972" s="807"/>
    </row>
    <row r="973">
      <c r="A973" s="807"/>
      <c r="B973" s="813"/>
      <c r="C973" s="813"/>
      <c r="D973" s="807"/>
      <c r="E973" s="807"/>
      <c r="F973" s="801"/>
      <c r="G973" s="801"/>
      <c r="H973" s="801"/>
      <c r="I973" s="801"/>
      <c r="J973" s="807"/>
      <c r="K973" s="807"/>
      <c r="L973" s="807"/>
      <c r="M973" s="807"/>
      <c r="N973" s="807"/>
      <c r="O973" s="807"/>
      <c r="P973" s="807"/>
      <c r="Q973" s="807"/>
      <c r="R973" s="807"/>
      <c r="S973" s="807"/>
      <c r="T973" s="807"/>
      <c r="U973" s="807"/>
    </row>
    <row r="974">
      <c r="A974" s="807"/>
      <c r="B974" s="813"/>
      <c r="C974" s="813"/>
      <c r="D974" s="807"/>
      <c r="E974" s="807"/>
      <c r="F974" s="801"/>
      <c r="G974" s="801"/>
      <c r="H974" s="801"/>
      <c r="I974" s="801"/>
      <c r="J974" s="807"/>
      <c r="K974" s="807"/>
      <c r="L974" s="807"/>
      <c r="M974" s="807"/>
      <c r="N974" s="807"/>
      <c r="O974" s="807"/>
      <c r="P974" s="807"/>
      <c r="Q974" s="807"/>
      <c r="R974" s="807"/>
      <c r="S974" s="807"/>
      <c r="T974" s="807"/>
      <c r="U974" s="807"/>
    </row>
    <row r="975">
      <c r="A975" s="807"/>
      <c r="B975" s="813"/>
      <c r="C975" s="813"/>
      <c r="D975" s="807"/>
      <c r="E975" s="807"/>
      <c r="F975" s="801"/>
      <c r="G975" s="801"/>
      <c r="H975" s="801"/>
      <c r="I975" s="801"/>
      <c r="J975" s="807"/>
      <c r="K975" s="807"/>
      <c r="L975" s="807"/>
      <c r="M975" s="807"/>
      <c r="N975" s="807"/>
      <c r="O975" s="807"/>
      <c r="P975" s="807"/>
      <c r="Q975" s="807"/>
      <c r="R975" s="807"/>
      <c r="S975" s="807"/>
      <c r="T975" s="807"/>
      <c r="U975" s="807"/>
    </row>
    <row r="976">
      <c r="A976" s="807"/>
      <c r="B976" s="813"/>
      <c r="C976" s="813"/>
      <c r="D976" s="807"/>
      <c r="E976" s="807"/>
      <c r="F976" s="801"/>
      <c r="G976" s="801"/>
      <c r="H976" s="801"/>
      <c r="I976" s="801"/>
      <c r="J976" s="807"/>
      <c r="K976" s="807"/>
      <c r="L976" s="807"/>
      <c r="M976" s="807"/>
      <c r="N976" s="807"/>
      <c r="O976" s="807"/>
      <c r="P976" s="807"/>
      <c r="Q976" s="807"/>
      <c r="R976" s="807"/>
      <c r="S976" s="807"/>
      <c r="T976" s="807"/>
      <c r="U976" s="807"/>
    </row>
    <row r="977">
      <c r="A977" s="807"/>
      <c r="B977" s="813"/>
      <c r="C977" s="813"/>
      <c r="D977" s="807"/>
      <c r="E977" s="807"/>
      <c r="F977" s="801"/>
      <c r="G977" s="801"/>
      <c r="H977" s="801"/>
      <c r="I977" s="801"/>
      <c r="J977" s="807"/>
      <c r="K977" s="807"/>
      <c r="L977" s="807"/>
      <c r="M977" s="807"/>
      <c r="N977" s="807"/>
      <c r="O977" s="807"/>
      <c r="P977" s="807"/>
      <c r="Q977" s="807"/>
      <c r="R977" s="807"/>
      <c r="S977" s="807"/>
      <c r="T977" s="807"/>
      <c r="U977" s="807"/>
    </row>
    <row r="978">
      <c r="A978" s="807"/>
      <c r="B978" s="813"/>
      <c r="C978" s="813"/>
      <c r="D978" s="807"/>
      <c r="E978" s="807"/>
      <c r="F978" s="801"/>
      <c r="G978" s="801"/>
      <c r="H978" s="801"/>
      <c r="I978" s="801"/>
      <c r="J978" s="807"/>
      <c r="K978" s="807"/>
      <c r="L978" s="807"/>
      <c r="M978" s="807"/>
      <c r="N978" s="807"/>
      <c r="O978" s="807"/>
      <c r="P978" s="807"/>
      <c r="Q978" s="807"/>
      <c r="R978" s="807"/>
      <c r="S978" s="807"/>
      <c r="T978" s="807"/>
      <c r="U978" s="807"/>
    </row>
    <row r="979">
      <c r="A979" s="807"/>
      <c r="B979" s="813"/>
      <c r="C979" s="813"/>
      <c r="D979" s="807"/>
      <c r="E979" s="807"/>
      <c r="F979" s="801"/>
      <c r="G979" s="801"/>
      <c r="H979" s="801"/>
      <c r="I979" s="801"/>
      <c r="J979" s="807"/>
      <c r="K979" s="807"/>
      <c r="L979" s="807"/>
      <c r="M979" s="807"/>
      <c r="N979" s="807"/>
      <c r="O979" s="807"/>
      <c r="P979" s="807"/>
      <c r="Q979" s="807"/>
      <c r="R979" s="807"/>
      <c r="S979" s="807"/>
      <c r="T979" s="807"/>
      <c r="U979" s="807"/>
    </row>
    <row r="980">
      <c r="A980" s="807"/>
      <c r="B980" s="813"/>
      <c r="C980" s="813"/>
      <c r="D980" s="807"/>
      <c r="E980" s="807"/>
      <c r="F980" s="801"/>
      <c r="G980" s="801"/>
      <c r="H980" s="801"/>
      <c r="I980" s="801"/>
      <c r="J980" s="807"/>
      <c r="K980" s="807"/>
      <c r="L980" s="807"/>
      <c r="M980" s="807"/>
      <c r="N980" s="807"/>
      <c r="O980" s="807"/>
      <c r="P980" s="807"/>
      <c r="Q980" s="807"/>
      <c r="R980" s="807"/>
      <c r="S980" s="807"/>
      <c r="T980" s="807"/>
      <c r="U980" s="807"/>
    </row>
    <row r="981">
      <c r="A981" s="807"/>
      <c r="B981" s="813"/>
      <c r="C981" s="813"/>
      <c r="D981" s="807"/>
      <c r="E981" s="807"/>
      <c r="F981" s="801"/>
      <c r="G981" s="801"/>
      <c r="H981" s="801"/>
      <c r="I981" s="801"/>
      <c r="J981" s="807"/>
      <c r="K981" s="807"/>
      <c r="L981" s="807"/>
      <c r="M981" s="807"/>
      <c r="N981" s="807"/>
      <c r="O981" s="807"/>
      <c r="P981" s="807"/>
      <c r="Q981" s="807"/>
      <c r="R981" s="807"/>
      <c r="S981" s="807"/>
      <c r="T981" s="807"/>
      <c r="U981" s="807"/>
    </row>
    <row r="982">
      <c r="A982" s="807"/>
      <c r="B982" s="813"/>
      <c r="C982" s="813"/>
      <c r="D982" s="807"/>
      <c r="E982" s="807"/>
      <c r="F982" s="801"/>
      <c r="G982" s="801"/>
      <c r="H982" s="801"/>
      <c r="I982" s="801"/>
      <c r="J982" s="807"/>
      <c r="K982" s="807"/>
      <c r="L982" s="807"/>
      <c r="M982" s="807"/>
      <c r="N982" s="807"/>
      <c r="O982" s="807"/>
      <c r="P982" s="807"/>
      <c r="Q982" s="807"/>
      <c r="R982" s="807"/>
      <c r="S982" s="807"/>
      <c r="T982" s="807"/>
      <c r="U982" s="807"/>
    </row>
    <row r="983">
      <c r="A983" s="807"/>
      <c r="B983" s="813"/>
      <c r="C983" s="813"/>
      <c r="D983" s="807"/>
      <c r="E983" s="807"/>
      <c r="F983" s="801"/>
      <c r="G983" s="801"/>
      <c r="H983" s="801"/>
      <c r="I983" s="801"/>
      <c r="J983" s="807"/>
      <c r="K983" s="807"/>
      <c r="L983" s="807"/>
      <c r="M983" s="807"/>
      <c r="N983" s="807"/>
      <c r="O983" s="807"/>
      <c r="P983" s="807"/>
      <c r="Q983" s="807"/>
      <c r="R983" s="807"/>
      <c r="S983" s="807"/>
      <c r="T983" s="807"/>
      <c r="U983" s="807"/>
    </row>
    <row r="984">
      <c r="A984" s="807"/>
      <c r="B984" s="813"/>
      <c r="C984" s="813"/>
      <c r="D984" s="807"/>
      <c r="E984" s="807"/>
      <c r="F984" s="801"/>
      <c r="G984" s="801"/>
      <c r="H984" s="801"/>
      <c r="I984" s="801"/>
      <c r="J984" s="807"/>
      <c r="K984" s="807"/>
      <c r="L984" s="807"/>
      <c r="M984" s="807"/>
      <c r="N984" s="807"/>
      <c r="O984" s="807"/>
      <c r="P984" s="807"/>
      <c r="Q984" s="807"/>
      <c r="R984" s="807"/>
      <c r="S984" s="807"/>
      <c r="T984" s="807"/>
      <c r="U984" s="807"/>
    </row>
    <row r="985">
      <c r="A985" s="807"/>
      <c r="B985" s="813"/>
      <c r="C985" s="813"/>
      <c r="D985" s="807"/>
      <c r="E985" s="807"/>
      <c r="F985" s="801"/>
      <c r="G985" s="801"/>
      <c r="H985" s="801"/>
      <c r="I985" s="801"/>
      <c r="J985" s="807"/>
      <c r="K985" s="807"/>
      <c r="L985" s="807"/>
      <c r="M985" s="807"/>
      <c r="N985" s="807"/>
      <c r="O985" s="807"/>
      <c r="P985" s="807"/>
      <c r="Q985" s="807"/>
      <c r="R985" s="807"/>
      <c r="S985" s="807"/>
      <c r="T985" s="807"/>
      <c r="U985" s="807"/>
    </row>
    <row r="986">
      <c r="A986" s="807"/>
      <c r="B986" s="813"/>
      <c r="C986" s="813"/>
      <c r="D986" s="807"/>
      <c r="E986" s="807"/>
      <c r="F986" s="801"/>
      <c r="G986" s="801"/>
      <c r="H986" s="801"/>
      <c r="I986" s="801"/>
      <c r="J986" s="807"/>
      <c r="K986" s="807"/>
      <c r="L986" s="807"/>
      <c r="M986" s="807"/>
      <c r="N986" s="807"/>
      <c r="O986" s="807"/>
      <c r="P986" s="807"/>
      <c r="Q986" s="807"/>
      <c r="R986" s="807"/>
      <c r="S986" s="807"/>
      <c r="T986" s="807"/>
      <c r="U986" s="807"/>
    </row>
    <row r="987">
      <c r="A987" s="807"/>
      <c r="B987" s="813"/>
      <c r="C987" s="813"/>
      <c r="D987" s="807"/>
      <c r="E987" s="807"/>
      <c r="F987" s="801"/>
      <c r="G987" s="801"/>
      <c r="H987" s="801"/>
      <c r="I987" s="801"/>
      <c r="J987" s="807"/>
      <c r="K987" s="807"/>
      <c r="L987" s="807"/>
      <c r="M987" s="807"/>
      <c r="N987" s="807"/>
      <c r="O987" s="807"/>
      <c r="P987" s="807"/>
      <c r="Q987" s="807"/>
      <c r="R987" s="807"/>
      <c r="S987" s="807"/>
      <c r="T987" s="807"/>
      <c r="U987" s="807"/>
    </row>
    <row r="988">
      <c r="A988" s="807"/>
      <c r="B988" s="813"/>
      <c r="C988" s="813"/>
      <c r="D988" s="807"/>
      <c r="E988" s="807"/>
      <c r="F988" s="801"/>
      <c r="G988" s="801"/>
      <c r="H988" s="801"/>
      <c r="I988" s="801"/>
      <c r="J988" s="807"/>
      <c r="K988" s="807"/>
      <c r="L988" s="807"/>
      <c r="M988" s="807"/>
      <c r="N988" s="807"/>
      <c r="O988" s="807"/>
      <c r="P988" s="807"/>
      <c r="Q988" s="807"/>
      <c r="R988" s="807"/>
      <c r="S988" s="807"/>
      <c r="T988" s="807"/>
      <c r="U988" s="807"/>
    </row>
    <row r="989">
      <c r="A989" s="807"/>
      <c r="B989" s="813"/>
      <c r="C989" s="813"/>
      <c r="D989" s="807"/>
      <c r="E989" s="807"/>
      <c r="F989" s="801"/>
      <c r="G989" s="801"/>
      <c r="H989" s="801"/>
      <c r="I989" s="801"/>
      <c r="J989" s="807"/>
      <c r="K989" s="807"/>
      <c r="L989" s="807"/>
      <c r="M989" s="807"/>
      <c r="N989" s="807"/>
      <c r="O989" s="807"/>
      <c r="P989" s="807"/>
      <c r="Q989" s="807"/>
      <c r="R989" s="807"/>
      <c r="S989" s="807"/>
      <c r="T989" s="807"/>
      <c r="U989" s="807"/>
    </row>
    <row r="990">
      <c r="A990" s="807"/>
      <c r="B990" s="813"/>
      <c r="C990" s="813"/>
      <c r="D990" s="807"/>
      <c r="E990" s="807"/>
      <c r="F990" s="801"/>
      <c r="G990" s="801"/>
      <c r="H990" s="801"/>
      <c r="I990" s="801"/>
      <c r="J990" s="807"/>
      <c r="K990" s="807"/>
      <c r="L990" s="807"/>
      <c r="M990" s="807"/>
      <c r="N990" s="807"/>
      <c r="O990" s="807"/>
      <c r="P990" s="807"/>
      <c r="Q990" s="807"/>
      <c r="R990" s="807"/>
      <c r="S990" s="807"/>
      <c r="T990" s="807"/>
      <c r="U990" s="807"/>
    </row>
    <row r="991">
      <c r="A991" s="807"/>
      <c r="B991" s="813"/>
      <c r="C991" s="813"/>
      <c r="D991" s="807"/>
      <c r="E991" s="807"/>
      <c r="F991" s="801"/>
      <c r="G991" s="801"/>
      <c r="H991" s="801"/>
      <c r="I991" s="801"/>
      <c r="J991" s="807"/>
      <c r="K991" s="807"/>
      <c r="L991" s="807"/>
      <c r="M991" s="807"/>
      <c r="N991" s="807"/>
      <c r="O991" s="807"/>
      <c r="P991" s="807"/>
      <c r="Q991" s="807"/>
      <c r="R991" s="807"/>
      <c r="S991" s="807"/>
      <c r="T991" s="807"/>
      <c r="U991" s="807"/>
    </row>
    <row r="992">
      <c r="A992" s="807"/>
      <c r="B992" s="813"/>
      <c r="C992" s="813"/>
      <c r="D992" s="807"/>
      <c r="E992" s="807"/>
      <c r="F992" s="801"/>
      <c r="G992" s="801"/>
      <c r="H992" s="801"/>
      <c r="I992" s="801"/>
      <c r="J992" s="807"/>
      <c r="K992" s="807"/>
      <c r="L992" s="807"/>
      <c r="M992" s="807"/>
      <c r="N992" s="807"/>
      <c r="O992" s="807"/>
      <c r="P992" s="807"/>
      <c r="Q992" s="807"/>
      <c r="R992" s="807"/>
      <c r="S992" s="807"/>
      <c r="T992" s="807"/>
      <c r="U992" s="807"/>
    </row>
    <row r="993">
      <c r="A993" s="807"/>
      <c r="B993" s="813"/>
      <c r="C993" s="813"/>
      <c r="D993" s="807"/>
      <c r="E993" s="807"/>
      <c r="F993" s="801"/>
      <c r="G993" s="801"/>
      <c r="H993" s="801"/>
      <c r="I993" s="801"/>
      <c r="J993" s="807"/>
      <c r="K993" s="807"/>
      <c r="L993" s="807"/>
      <c r="M993" s="807"/>
      <c r="N993" s="807"/>
      <c r="O993" s="807"/>
      <c r="P993" s="807"/>
      <c r="Q993" s="807"/>
      <c r="R993" s="807"/>
      <c r="S993" s="807"/>
      <c r="T993" s="807"/>
      <c r="U993" s="807"/>
    </row>
    <row r="994">
      <c r="A994" s="807"/>
      <c r="B994" s="813"/>
      <c r="C994" s="813"/>
      <c r="D994" s="807"/>
      <c r="E994" s="807"/>
      <c r="F994" s="801"/>
      <c r="G994" s="801"/>
      <c r="H994" s="801"/>
      <c r="I994" s="801"/>
      <c r="J994" s="807"/>
      <c r="K994" s="807"/>
      <c r="L994" s="807"/>
      <c r="M994" s="807"/>
      <c r="N994" s="807"/>
      <c r="O994" s="807"/>
      <c r="P994" s="807"/>
      <c r="Q994" s="807"/>
      <c r="R994" s="807"/>
      <c r="S994" s="807"/>
      <c r="T994" s="807"/>
      <c r="U994" s="807"/>
    </row>
    <row r="995">
      <c r="A995" s="807"/>
      <c r="B995" s="813"/>
      <c r="C995" s="813"/>
      <c r="D995" s="807"/>
      <c r="E995" s="807"/>
      <c r="F995" s="801"/>
      <c r="G995" s="801"/>
      <c r="H995" s="801"/>
      <c r="I995" s="801"/>
      <c r="J995" s="807"/>
      <c r="K995" s="807"/>
      <c r="L995" s="807"/>
      <c r="M995" s="807"/>
      <c r="N995" s="807"/>
      <c r="O995" s="807"/>
      <c r="P995" s="807"/>
      <c r="Q995" s="807"/>
      <c r="R995" s="807"/>
      <c r="S995" s="807"/>
      <c r="T995" s="807"/>
      <c r="U995" s="807"/>
    </row>
    <row r="996">
      <c r="A996" s="807"/>
      <c r="B996" s="813"/>
      <c r="C996" s="813"/>
      <c r="D996" s="807"/>
      <c r="E996" s="807"/>
      <c r="F996" s="801"/>
      <c r="G996" s="801"/>
      <c r="H996" s="801"/>
      <c r="I996" s="801"/>
      <c r="J996" s="807"/>
      <c r="K996" s="807"/>
      <c r="L996" s="807"/>
      <c r="M996" s="807"/>
      <c r="N996" s="807"/>
      <c r="O996" s="807"/>
      <c r="P996" s="807"/>
      <c r="Q996" s="807"/>
      <c r="R996" s="807"/>
      <c r="S996" s="807"/>
      <c r="T996" s="807"/>
      <c r="U996" s="807"/>
    </row>
    <row r="997">
      <c r="A997" s="807"/>
      <c r="B997" s="813"/>
      <c r="C997" s="813"/>
      <c r="D997" s="807"/>
      <c r="E997" s="807"/>
      <c r="F997" s="801"/>
      <c r="G997" s="801"/>
      <c r="H997" s="801"/>
      <c r="I997" s="801"/>
      <c r="J997" s="807"/>
      <c r="K997" s="807"/>
      <c r="L997" s="807"/>
      <c r="M997" s="807"/>
      <c r="N997" s="807"/>
      <c r="O997" s="807"/>
      <c r="P997" s="807"/>
      <c r="Q997" s="807"/>
      <c r="R997" s="807"/>
      <c r="S997" s="807"/>
      <c r="T997" s="807"/>
      <c r="U997" s="807"/>
    </row>
    <row r="998">
      <c r="A998" s="807"/>
      <c r="B998" s="813"/>
      <c r="C998" s="813"/>
      <c r="D998" s="807"/>
      <c r="E998" s="807"/>
      <c r="F998" s="801"/>
      <c r="G998" s="801"/>
      <c r="H998" s="801"/>
      <c r="I998" s="801"/>
      <c r="J998" s="807"/>
      <c r="K998" s="807"/>
      <c r="L998" s="807"/>
      <c r="M998" s="807"/>
      <c r="N998" s="807"/>
      <c r="O998" s="807"/>
      <c r="P998" s="807"/>
      <c r="Q998" s="807"/>
      <c r="R998" s="807"/>
      <c r="S998" s="807"/>
      <c r="T998" s="807"/>
      <c r="U998" s="807"/>
    </row>
    <row r="999">
      <c r="A999" s="807"/>
      <c r="B999" s="813"/>
      <c r="C999" s="813"/>
      <c r="D999" s="807"/>
      <c r="E999" s="807"/>
      <c r="F999" s="801"/>
      <c r="G999" s="801"/>
      <c r="H999" s="801"/>
      <c r="I999" s="801"/>
      <c r="J999" s="807"/>
      <c r="K999" s="807"/>
      <c r="L999" s="807"/>
      <c r="M999" s="807"/>
      <c r="N999" s="807"/>
      <c r="O999" s="807"/>
      <c r="P999" s="807"/>
      <c r="Q999" s="807"/>
      <c r="R999" s="807"/>
      <c r="S999" s="807"/>
      <c r="T999" s="807"/>
      <c r="U999" s="807"/>
    </row>
    <row r="1000">
      <c r="A1000" s="807"/>
      <c r="B1000" s="813"/>
      <c r="C1000" s="813"/>
      <c r="D1000" s="807"/>
      <c r="E1000" s="807"/>
      <c r="F1000" s="801"/>
      <c r="G1000" s="801"/>
      <c r="H1000" s="801"/>
      <c r="I1000" s="801"/>
      <c r="J1000" s="807"/>
      <c r="K1000" s="807"/>
      <c r="L1000" s="807"/>
      <c r="M1000" s="807"/>
      <c r="N1000" s="807"/>
      <c r="O1000" s="807"/>
      <c r="P1000" s="807"/>
      <c r="Q1000" s="807"/>
      <c r="R1000" s="807"/>
      <c r="S1000" s="807"/>
      <c r="T1000" s="807"/>
      <c r="U1000" s="807"/>
    </row>
  </sheetData>
  <autoFilter ref="$A$1:$I$10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4.75"/>
    <col customWidth="1" min="2" max="2" width="24.25"/>
    <col customWidth="1" min="3" max="3" width="14.63"/>
    <col customWidth="1" min="5" max="5" width="4.0"/>
  </cols>
  <sheetData>
    <row r="1" ht="25.5" customHeight="1">
      <c r="C1" s="548" t="s">
        <v>4095</v>
      </c>
    </row>
    <row r="2" ht="22.5" customHeight="1">
      <c r="A2" s="804"/>
      <c r="B2" s="802" t="s">
        <v>4077</v>
      </c>
      <c r="C2" s="287"/>
      <c r="D2" s="126"/>
    </row>
    <row r="3" ht="22.5" customHeight="1">
      <c r="A3" s="804"/>
      <c r="B3" s="802" t="s">
        <v>4079</v>
      </c>
      <c r="C3" s="287"/>
      <c r="D3" s="126"/>
    </row>
    <row r="4" ht="22.5" customHeight="1">
      <c r="A4" s="804"/>
      <c r="B4" s="802" t="s">
        <v>4080</v>
      </c>
      <c r="C4" s="287"/>
      <c r="D4" s="126"/>
    </row>
    <row r="5" ht="14.25" customHeight="1">
      <c r="B5" s="126"/>
      <c r="C5" s="287"/>
      <c r="D5" s="126"/>
    </row>
    <row r="6" ht="22.5" customHeight="1">
      <c r="A6" s="804"/>
      <c r="B6" s="802" t="s">
        <v>4096</v>
      </c>
      <c r="C6" s="287"/>
      <c r="D6" s="126"/>
    </row>
    <row r="7" ht="22.5" customHeight="1">
      <c r="A7" s="804"/>
      <c r="B7" s="802" t="s">
        <v>4084</v>
      </c>
      <c r="C7" s="287"/>
      <c r="D7" s="126"/>
    </row>
    <row r="8" ht="22.5" customHeight="1">
      <c r="A8" s="804"/>
      <c r="B8" s="802" t="s">
        <v>4086</v>
      </c>
      <c r="C8" s="287"/>
      <c r="D8" s="126"/>
    </row>
    <row r="9" ht="22.5" customHeight="1">
      <c r="A9" s="804"/>
      <c r="B9" s="802" t="s">
        <v>4087</v>
      </c>
      <c r="C9" s="287"/>
      <c r="D9" s="126"/>
    </row>
    <row r="10" ht="14.25" customHeight="1">
      <c r="B10" s="126"/>
      <c r="C10" s="287"/>
      <c r="D10" s="126"/>
    </row>
    <row r="11" ht="22.5" customHeight="1">
      <c r="A11" s="804"/>
      <c r="B11" s="802" t="s">
        <v>4097</v>
      </c>
      <c r="C11" s="287"/>
      <c r="D11" s="126"/>
    </row>
    <row r="12" ht="22.5" customHeight="1">
      <c r="A12" s="804"/>
      <c r="B12" s="802" t="s">
        <v>4090</v>
      </c>
      <c r="C12" s="287"/>
      <c r="D12" s="126"/>
    </row>
    <row r="13" ht="22.5" customHeight="1">
      <c r="A13" s="804"/>
      <c r="B13" s="802" t="s">
        <v>4091</v>
      </c>
      <c r="C13" s="287"/>
      <c r="D13" s="126"/>
    </row>
    <row r="14" ht="22.5" customHeight="1">
      <c r="A14" s="804"/>
      <c r="B14" s="802" t="s">
        <v>4092</v>
      </c>
      <c r="C14" s="287"/>
      <c r="D14" s="126"/>
    </row>
    <row r="15" ht="14.25" customHeight="1">
      <c r="B15" s="126"/>
      <c r="C15" s="287"/>
      <c r="D15" s="126"/>
    </row>
    <row r="16" ht="22.5" customHeight="1">
      <c r="A16" s="804"/>
      <c r="B16" s="802" t="s">
        <v>4098</v>
      </c>
      <c r="C16" s="287"/>
      <c r="D16" s="126"/>
    </row>
    <row r="17" ht="22.5" customHeight="1">
      <c r="A17" s="804"/>
      <c r="B17" s="802" t="s">
        <v>4094</v>
      </c>
      <c r="C17" s="287"/>
      <c r="D17" s="126"/>
    </row>
    <row r="18" ht="17.25" customHeight="1">
      <c r="C18" s="280"/>
    </row>
    <row r="19" ht="22.5" customHeight="1">
      <c r="C19" s="280"/>
    </row>
    <row r="20" ht="22.5" customHeight="1">
      <c r="C20" s="280"/>
    </row>
    <row r="21" ht="22.5" customHeight="1">
      <c r="C21" s="280"/>
    </row>
    <row r="22" ht="22.5" customHeight="1">
      <c r="C22" s="280"/>
    </row>
    <row r="23" ht="22.5" customHeight="1">
      <c r="C23" s="280"/>
    </row>
    <row r="24" ht="22.5" customHeight="1">
      <c r="C24" s="280"/>
    </row>
    <row r="25" ht="22.5" customHeight="1">
      <c r="C25" s="280"/>
    </row>
    <row r="26" ht="22.5" customHeight="1">
      <c r="C26" s="280"/>
    </row>
    <row r="27" ht="22.5" customHeight="1">
      <c r="C27" s="280"/>
    </row>
    <row r="28" ht="22.5" customHeight="1">
      <c r="C28" s="280"/>
    </row>
    <row r="29" ht="22.5" customHeight="1">
      <c r="C29" s="280"/>
    </row>
    <row r="30" ht="22.5" customHeight="1">
      <c r="C30" s="280"/>
    </row>
    <row r="31" ht="22.5" customHeight="1">
      <c r="C31" s="280"/>
    </row>
    <row r="32" ht="22.5" customHeight="1">
      <c r="C32" s="280"/>
    </row>
    <row r="33" ht="22.5" customHeight="1">
      <c r="C33" s="280"/>
    </row>
    <row r="34" ht="22.5" customHeight="1">
      <c r="C34" s="280"/>
    </row>
    <row r="35" ht="22.5" customHeight="1">
      <c r="C35" s="280"/>
    </row>
    <row r="36" ht="22.5" customHeight="1">
      <c r="C36" s="280"/>
    </row>
    <row r="37" ht="22.5" customHeight="1">
      <c r="C37" s="280"/>
    </row>
    <row r="38" ht="22.5" customHeight="1">
      <c r="C38" s="280"/>
    </row>
    <row r="39" ht="22.5" customHeight="1">
      <c r="C39" s="280"/>
    </row>
    <row r="40" ht="22.5" customHeight="1">
      <c r="C40" s="280"/>
    </row>
    <row r="41" ht="22.5" customHeight="1">
      <c r="C41" s="280"/>
    </row>
    <row r="42" ht="22.5" customHeight="1">
      <c r="C42" s="280"/>
    </row>
    <row r="43" ht="22.5" customHeight="1">
      <c r="C43" s="280"/>
    </row>
    <row r="44" ht="22.5" customHeight="1">
      <c r="C44" s="280"/>
    </row>
    <row r="45" ht="22.5" customHeight="1">
      <c r="C45" s="280"/>
    </row>
    <row r="46" ht="22.5" customHeight="1">
      <c r="C46" s="280"/>
    </row>
    <row r="47" ht="22.5" customHeight="1">
      <c r="C47" s="280"/>
    </row>
    <row r="48" ht="22.5" customHeight="1">
      <c r="C48" s="280"/>
    </row>
    <row r="49" ht="22.5" customHeight="1">
      <c r="C49" s="280"/>
    </row>
    <row r="50" ht="22.5" customHeight="1">
      <c r="C50" s="280"/>
    </row>
    <row r="51" ht="22.5" customHeight="1">
      <c r="C51" s="280"/>
    </row>
    <row r="52" ht="22.5" customHeight="1">
      <c r="C52" s="280"/>
    </row>
    <row r="53" ht="22.5" customHeight="1">
      <c r="C53" s="280"/>
    </row>
    <row r="54" ht="22.5" customHeight="1">
      <c r="C54" s="280"/>
    </row>
    <row r="55" ht="22.5" customHeight="1">
      <c r="C55" s="280"/>
    </row>
    <row r="56" ht="22.5" customHeight="1">
      <c r="C56" s="280"/>
    </row>
    <row r="57" ht="22.5" customHeight="1">
      <c r="C57" s="280"/>
    </row>
    <row r="58" ht="22.5" customHeight="1">
      <c r="C58" s="280"/>
    </row>
    <row r="59" ht="22.5" customHeight="1">
      <c r="C59" s="280"/>
    </row>
    <row r="60" ht="22.5" customHeight="1">
      <c r="C60" s="280"/>
    </row>
    <row r="61" ht="22.5" customHeight="1">
      <c r="C61" s="280"/>
    </row>
    <row r="62" ht="22.5" customHeight="1">
      <c r="C62" s="280"/>
    </row>
    <row r="63" ht="22.5" customHeight="1">
      <c r="C63" s="280"/>
    </row>
    <row r="64" ht="22.5" customHeight="1">
      <c r="C64" s="280"/>
    </row>
    <row r="65" ht="22.5" customHeight="1">
      <c r="C65" s="280"/>
    </row>
    <row r="66" ht="22.5" customHeight="1">
      <c r="C66" s="280"/>
    </row>
    <row r="67" ht="22.5" customHeight="1">
      <c r="C67" s="280"/>
    </row>
    <row r="68" ht="22.5" customHeight="1">
      <c r="C68" s="280"/>
    </row>
    <row r="69" ht="22.5" customHeight="1">
      <c r="C69" s="280"/>
    </row>
    <row r="70" ht="22.5" customHeight="1">
      <c r="C70" s="280"/>
    </row>
    <row r="71" ht="22.5" customHeight="1">
      <c r="C71" s="280"/>
    </row>
    <row r="72" ht="22.5" customHeight="1">
      <c r="C72" s="280"/>
    </row>
    <row r="73" ht="22.5" customHeight="1">
      <c r="C73" s="280"/>
    </row>
    <row r="74" ht="22.5" customHeight="1">
      <c r="C74" s="280"/>
    </row>
    <row r="75" ht="22.5" customHeight="1">
      <c r="C75" s="280"/>
    </row>
    <row r="76" ht="22.5" customHeight="1">
      <c r="C76" s="280"/>
    </row>
    <row r="77" ht="22.5" customHeight="1">
      <c r="C77" s="280"/>
    </row>
    <row r="78" ht="22.5" customHeight="1">
      <c r="C78" s="280"/>
    </row>
    <row r="79" ht="22.5" customHeight="1">
      <c r="C79" s="280"/>
    </row>
    <row r="80" ht="22.5" customHeight="1">
      <c r="C80" s="280"/>
    </row>
    <row r="81" ht="22.5" customHeight="1">
      <c r="C81" s="280"/>
    </row>
    <row r="82" ht="22.5" customHeight="1">
      <c r="C82" s="280"/>
    </row>
    <row r="83" ht="22.5" customHeight="1">
      <c r="C83" s="280"/>
    </row>
    <row r="84" ht="22.5" customHeight="1">
      <c r="C84" s="280"/>
    </row>
    <row r="85" ht="22.5" customHeight="1">
      <c r="C85" s="280"/>
    </row>
    <row r="86" ht="22.5" customHeight="1">
      <c r="C86" s="280"/>
    </row>
    <row r="87" ht="22.5" customHeight="1">
      <c r="C87" s="280"/>
    </row>
    <row r="88" ht="22.5" customHeight="1">
      <c r="C88" s="280"/>
    </row>
    <row r="89" ht="22.5" customHeight="1">
      <c r="C89" s="280"/>
    </row>
    <row r="90" ht="22.5" customHeight="1">
      <c r="C90" s="280"/>
    </row>
    <row r="91" ht="22.5" customHeight="1">
      <c r="C91" s="280"/>
    </row>
    <row r="92" ht="22.5" customHeight="1">
      <c r="C92" s="280"/>
    </row>
    <row r="93" ht="22.5" customHeight="1">
      <c r="C93" s="280"/>
    </row>
    <row r="94" ht="22.5" customHeight="1">
      <c r="C94" s="280"/>
    </row>
    <row r="95" ht="22.5" customHeight="1">
      <c r="C95" s="280"/>
    </row>
    <row r="96" ht="22.5" customHeight="1">
      <c r="C96" s="280"/>
    </row>
    <row r="97" ht="22.5" customHeight="1">
      <c r="C97" s="280"/>
    </row>
    <row r="98" ht="22.5" customHeight="1">
      <c r="C98" s="280"/>
    </row>
    <row r="99" ht="22.5" customHeight="1">
      <c r="C99" s="280"/>
    </row>
    <row r="100" ht="22.5" customHeight="1">
      <c r="C100" s="280"/>
    </row>
    <row r="101" ht="22.5" customHeight="1">
      <c r="C101" s="280"/>
    </row>
    <row r="102" ht="22.5" customHeight="1">
      <c r="C102" s="280"/>
    </row>
    <row r="103" ht="22.5" customHeight="1">
      <c r="C103" s="280"/>
    </row>
    <row r="104" ht="22.5" customHeight="1">
      <c r="C104" s="280"/>
    </row>
    <row r="105" ht="22.5" customHeight="1">
      <c r="C105" s="280"/>
    </row>
    <row r="106" ht="22.5" customHeight="1">
      <c r="C106" s="280"/>
    </row>
    <row r="107" ht="22.5" customHeight="1">
      <c r="C107" s="280"/>
    </row>
    <row r="108" ht="22.5" customHeight="1">
      <c r="C108" s="280"/>
    </row>
    <row r="109" ht="22.5" customHeight="1">
      <c r="C109" s="280"/>
    </row>
    <row r="110" ht="22.5" customHeight="1">
      <c r="C110" s="280"/>
    </row>
    <row r="111" ht="22.5" customHeight="1">
      <c r="C111" s="280"/>
    </row>
    <row r="112" ht="22.5" customHeight="1">
      <c r="C112" s="280"/>
    </row>
    <row r="113" ht="22.5" customHeight="1">
      <c r="C113" s="280"/>
    </row>
    <row r="114" ht="22.5" customHeight="1">
      <c r="C114" s="280"/>
    </row>
    <row r="115" ht="22.5" customHeight="1">
      <c r="C115" s="280"/>
    </row>
    <row r="116" ht="22.5" customHeight="1">
      <c r="C116" s="280"/>
    </row>
    <row r="117" ht="22.5" customHeight="1">
      <c r="C117" s="280"/>
    </row>
    <row r="118" ht="22.5" customHeight="1">
      <c r="C118" s="280"/>
    </row>
    <row r="119" ht="22.5" customHeight="1">
      <c r="C119" s="280"/>
    </row>
    <row r="120" ht="22.5" customHeight="1">
      <c r="C120" s="280"/>
    </row>
    <row r="121" ht="22.5" customHeight="1">
      <c r="C121" s="280"/>
    </row>
    <row r="122" ht="22.5" customHeight="1">
      <c r="C122" s="280"/>
    </row>
    <row r="123" ht="22.5" customHeight="1">
      <c r="C123" s="280"/>
    </row>
    <row r="124" ht="22.5" customHeight="1">
      <c r="C124" s="280"/>
    </row>
    <row r="125" ht="22.5" customHeight="1">
      <c r="C125" s="280"/>
    </row>
    <row r="126" ht="22.5" customHeight="1">
      <c r="C126" s="280"/>
    </row>
    <row r="127" ht="22.5" customHeight="1">
      <c r="C127" s="280"/>
    </row>
    <row r="128" ht="22.5" customHeight="1">
      <c r="C128" s="280"/>
    </row>
    <row r="129" ht="22.5" customHeight="1">
      <c r="C129" s="280"/>
    </row>
    <row r="130" ht="22.5" customHeight="1">
      <c r="C130" s="280"/>
    </row>
    <row r="131" ht="22.5" customHeight="1">
      <c r="C131" s="280"/>
    </row>
    <row r="132" ht="22.5" customHeight="1">
      <c r="C132" s="280"/>
    </row>
    <row r="133" ht="22.5" customHeight="1">
      <c r="C133" s="280"/>
    </row>
    <row r="134" ht="22.5" customHeight="1">
      <c r="C134" s="280"/>
    </row>
    <row r="135" ht="22.5" customHeight="1">
      <c r="C135" s="280"/>
    </row>
    <row r="136" ht="22.5" customHeight="1">
      <c r="C136" s="280"/>
    </row>
    <row r="137" ht="22.5" customHeight="1">
      <c r="C137" s="280"/>
    </row>
    <row r="138" ht="22.5" customHeight="1">
      <c r="C138" s="280"/>
    </row>
    <row r="139" ht="22.5" customHeight="1">
      <c r="C139" s="280"/>
    </row>
    <row r="140" ht="22.5" customHeight="1">
      <c r="C140" s="280"/>
    </row>
    <row r="141" ht="22.5" customHeight="1">
      <c r="C141" s="280"/>
    </row>
    <row r="142" ht="22.5" customHeight="1">
      <c r="C142" s="280"/>
    </row>
    <row r="143" ht="22.5" customHeight="1">
      <c r="C143" s="280"/>
    </row>
    <row r="144" ht="22.5" customHeight="1">
      <c r="C144" s="280"/>
    </row>
    <row r="145" ht="22.5" customHeight="1">
      <c r="C145" s="280"/>
    </row>
    <row r="146" ht="22.5" customHeight="1">
      <c r="C146" s="280"/>
    </row>
    <row r="147" ht="22.5" customHeight="1">
      <c r="C147" s="280"/>
    </row>
    <row r="148" ht="22.5" customHeight="1">
      <c r="C148" s="280"/>
    </row>
    <row r="149" ht="22.5" customHeight="1">
      <c r="C149" s="280"/>
    </row>
    <row r="150" ht="22.5" customHeight="1">
      <c r="C150" s="280"/>
    </row>
    <row r="151" ht="22.5" customHeight="1">
      <c r="C151" s="280"/>
    </row>
    <row r="152" ht="22.5" customHeight="1">
      <c r="C152" s="280"/>
    </row>
    <row r="153" ht="22.5" customHeight="1">
      <c r="C153" s="280"/>
    </row>
    <row r="154" ht="22.5" customHeight="1">
      <c r="C154" s="280"/>
    </row>
    <row r="155" ht="22.5" customHeight="1">
      <c r="C155" s="280"/>
    </row>
    <row r="156" ht="22.5" customHeight="1">
      <c r="C156" s="280"/>
    </row>
    <row r="157" ht="22.5" customHeight="1">
      <c r="C157" s="280"/>
    </row>
    <row r="158" ht="22.5" customHeight="1">
      <c r="C158" s="280"/>
    </row>
    <row r="159" ht="22.5" customHeight="1">
      <c r="C159" s="280"/>
    </row>
    <row r="160" ht="22.5" customHeight="1">
      <c r="C160" s="280"/>
    </row>
    <row r="161" ht="22.5" customHeight="1">
      <c r="C161" s="280"/>
    </row>
    <row r="162" ht="22.5" customHeight="1">
      <c r="C162" s="280"/>
    </row>
    <row r="163" ht="22.5" customHeight="1">
      <c r="C163" s="280"/>
    </row>
    <row r="164" ht="22.5" customHeight="1">
      <c r="C164" s="280"/>
    </row>
    <row r="165" ht="22.5" customHeight="1">
      <c r="C165" s="280"/>
    </row>
    <row r="166" ht="22.5" customHeight="1">
      <c r="C166" s="280"/>
    </row>
    <row r="167" ht="22.5" customHeight="1">
      <c r="C167" s="280"/>
    </row>
    <row r="168" ht="22.5" customHeight="1">
      <c r="C168" s="280"/>
    </row>
    <row r="169" ht="22.5" customHeight="1">
      <c r="C169" s="280"/>
    </row>
    <row r="170" ht="22.5" customHeight="1">
      <c r="C170" s="280"/>
    </row>
    <row r="171" ht="22.5" customHeight="1">
      <c r="C171" s="280"/>
    </row>
    <row r="172" ht="22.5" customHeight="1">
      <c r="C172" s="280"/>
    </row>
    <row r="173" ht="22.5" customHeight="1">
      <c r="C173" s="280"/>
    </row>
    <row r="174" ht="22.5" customHeight="1">
      <c r="C174" s="280"/>
    </row>
    <row r="175" ht="22.5" customHeight="1">
      <c r="C175" s="280"/>
    </row>
    <row r="176" ht="22.5" customHeight="1">
      <c r="C176" s="280"/>
    </row>
    <row r="177" ht="22.5" customHeight="1">
      <c r="C177" s="280"/>
    </row>
    <row r="178" ht="22.5" customHeight="1">
      <c r="C178" s="280"/>
    </row>
    <row r="179" ht="22.5" customHeight="1">
      <c r="C179" s="280"/>
    </row>
    <row r="180" ht="22.5" customHeight="1">
      <c r="C180" s="280"/>
    </row>
    <row r="181" ht="22.5" customHeight="1">
      <c r="C181" s="280"/>
    </row>
    <row r="182" ht="22.5" customHeight="1">
      <c r="C182" s="280"/>
    </row>
    <row r="183" ht="22.5" customHeight="1">
      <c r="C183" s="280"/>
    </row>
    <row r="184" ht="22.5" customHeight="1">
      <c r="C184" s="280"/>
    </row>
    <row r="185" ht="22.5" customHeight="1">
      <c r="C185" s="280"/>
    </row>
    <row r="186" ht="22.5" customHeight="1">
      <c r="C186" s="280"/>
    </row>
    <row r="187" ht="22.5" customHeight="1">
      <c r="C187" s="280"/>
    </row>
    <row r="188" ht="22.5" customHeight="1">
      <c r="C188" s="280"/>
    </row>
    <row r="189" ht="22.5" customHeight="1">
      <c r="C189" s="280"/>
    </row>
    <row r="190" ht="22.5" customHeight="1">
      <c r="C190" s="280"/>
    </row>
    <row r="191" ht="22.5" customHeight="1">
      <c r="C191" s="280"/>
    </row>
    <row r="192" ht="22.5" customHeight="1">
      <c r="C192" s="280"/>
    </row>
    <row r="193" ht="22.5" customHeight="1">
      <c r="C193" s="280"/>
    </row>
    <row r="194" ht="22.5" customHeight="1">
      <c r="C194" s="280"/>
    </row>
    <row r="195" ht="22.5" customHeight="1">
      <c r="C195" s="280"/>
    </row>
    <row r="196" ht="22.5" customHeight="1">
      <c r="C196" s="280"/>
    </row>
    <row r="197" ht="22.5" customHeight="1">
      <c r="C197" s="280"/>
    </row>
    <row r="198" ht="22.5" customHeight="1">
      <c r="C198" s="280"/>
    </row>
    <row r="199" ht="22.5" customHeight="1">
      <c r="C199" s="280"/>
    </row>
    <row r="200" ht="22.5" customHeight="1">
      <c r="C200" s="280"/>
    </row>
    <row r="201" ht="22.5" customHeight="1">
      <c r="C201" s="280"/>
    </row>
    <row r="202" ht="22.5" customHeight="1">
      <c r="C202" s="280"/>
    </row>
    <row r="203" ht="22.5" customHeight="1">
      <c r="C203" s="280"/>
    </row>
    <row r="204" ht="22.5" customHeight="1">
      <c r="C204" s="280"/>
    </row>
    <row r="205" ht="22.5" customHeight="1">
      <c r="C205" s="280"/>
    </row>
    <row r="206" ht="22.5" customHeight="1">
      <c r="C206" s="280"/>
    </row>
    <row r="207" ht="22.5" customHeight="1">
      <c r="C207" s="280"/>
    </row>
    <row r="208" ht="22.5" customHeight="1">
      <c r="C208" s="280"/>
    </row>
    <row r="209" ht="22.5" customHeight="1">
      <c r="C209" s="280"/>
    </row>
    <row r="210" ht="22.5" customHeight="1">
      <c r="C210" s="280"/>
    </row>
    <row r="211" ht="22.5" customHeight="1">
      <c r="C211" s="280"/>
    </row>
    <row r="212" ht="22.5" customHeight="1">
      <c r="C212" s="280"/>
    </row>
    <row r="213" ht="22.5" customHeight="1">
      <c r="C213" s="280"/>
    </row>
    <row r="214" ht="22.5" customHeight="1">
      <c r="C214" s="280"/>
    </row>
    <row r="215" ht="22.5" customHeight="1">
      <c r="C215" s="280"/>
    </row>
    <row r="216" ht="22.5" customHeight="1">
      <c r="C216" s="280"/>
    </row>
    <row r="217" ht="22.5" customHeight="1">
      <c r="C217" s="280"/>
    </row>
    <row r="218" ht="22.5" customHeight="1">
      <c r="C218" s="280"/>
    </row>
    <row r="219" ht="22.5" customHeight="1">
      <c r="C219" s="280"/>
    </row>
    <row r="220" ht="22.5" customHeight="1">
      <c r="C220" s="280"/>
    </row>
    <row r="221" ht="22.5" customHeight="1">
      <c r="C221" s="280"/>
    </row>
    <row r="222" ht="22.5" customHeight="1">
      <c r="C222" s="280"/>
    </row>
    <row r="223" ht="22.5" customHeight="1">
      <c r="C223" s="280"/>
    </row>
    <row r="224" ht="22.5" customHeight="1">
      <c r="C224" s="280"/>
    </row>
    <row r="225" ht="22.5" customHeight="1">
      <c r="C225" s="280"/>
    </row>
    <row r="226" ht="22.5" customHeight="1">
      <c r="C226" s="280"/>
    </row>
    <row r="227" ht="22.5" customHeight="1">
      <c r="C227" s="280"/>
    </row>
    <row r="228" ht="22.5" customHeight="1">
      <c r="C228" s="280"/>
    </row>
    <row r="229" ht="22.5" customHeight="1">
      <c r="C229" s="280"/>
    </row>
    <row r="230" ht="22.5" customHeight="1">
      <c r="C230" s="280"/>
    </row>
    <row r="231" ht="22.5" customHeight="1">
      <c r="C231" s="280"/>
    </row>
    <row r="232" ht="22.5" customHeight="1">
      <c r="C232" s="280"/>
    </row>
    <row r="233" ht="22.5" customHeight="1">
      <c r="C233" s="280"/>
    </row>
    <row r="234" ht="22.5" customHeight="1">
      <c r="C234" s="280"/>
    </row>
    <row r="235" ht="22.5" customHeight="1">
      <c r="C235" s="280"/>
    </row>
    <row r="236" ht="22.5" customHeight="1">
      <c r="C236" s="280"/>
    </row>
    <row r="237" ht="22.5" customHeight="1">
      <c r="C237" s="280"/>
    </row>
    <row r="238" ht="22.5" customHeight="1">
      <c r="C238" s="280"/>
    </row>
    <row r="239" ht="22.5" customHeight="1">
      <c r="C239" s="280"/>
    </row>
    <row r="240" ht="22.5" customHeight="1">
      <c r="C240" s="280"/>
    </row>
    <row r="241" ht="22.5" customHeight="1">
      <c r="C241" s="280"/>
    </row>
    <row r="242" ht="22.5" customHeight="1">
      <c r="C242" s="280"/>
    </row>
    <row r="243" ht="22.5" customHeight="1">
      <c r="C243" s="280"/>
    </row>
    <row r="244" ht="22.5" customHeight="1">
      <c r="C244" s="280"/>
    </row>
    <row r="245" ht="22.5" customHeight="1">
      <c r="C245" s="280"/>
    </row>
    <row r="246" ht="22.5" customHeight="1">
      <c r="C246" s="280"/>
    </row>
    <row r="247" ht="22.5" customHeight="1">
      <c r="C247" s="280"/>
    </row>
    <row r="248" ht="22.5" customHeight="1">
      <c r="C248" s="280"/>
    </row>
    <row r="249" ht="22.5" customHeight="1">
      <c r="C249" s="280"/>
    </row>
    <row r="250" ht="22.5" customHeight="1">
      <c r="C250" s="280"/>
    </row>
    <row r="251" ht="22.5" customHeight="1">
      <c r="C251" s="280"/>
    </row>
    <row r="252" ht="22.5" customHeight="1">
      <c r="C252" s="280"/>
    </row>
    <row r="253" ht="22.5" customHeight="1">
      <c r="C253" s="280"/>
    </row>
    <row r="254" ht="22.5" customHeight="1">
      <c r="C254" s="280"/>
    </row>
    <row r="255" ht="22.5" customHeight="1">
      <c r="C255" s="280"/>
    </row>
    <row r="256" ht="22.5" customHeight="1">
      <c r="C256" s="280"/>
    </row>
    <row r="257" ht="22.5" customHeight="1">
      <c r="C257" s="280"/>
    </row>
    <row r="258" ht="22.5" customHeight="1">
      <c r="C258" s="280"/>
    </row>
    <row r="259" ht="22.5" customHeight="1">
      <c r="C259" s="280"/>
    </row>
    <row r="260" ht="22.5" customHeight="1">
      <c r="C260" s="280"/>
    </row>
    <row r="261" ht="22.5" customHeight="1">
      <c r="C261" s="280"/>
    </row>
    <row r="262" ht="22.5" customHeight="1">
      <c r="C262" s="280"/>
    </row>
    <row r="263" ht="22.5" customHeight="1">
      <c r="C263" s="280"/>
    </row>
    <row r="264" ht="22.5" customHeight="1">
      <c r="C264" s="280"/>
    </row>
    <row r="265" ht="22.5" customHeight="1">
      <c r="C265" s="280"/>
    </row>
    <row r="266" ht="22.5" customHeight="1">
      <c r="C266" s="280"/>
    </row>
    <row r="267" ht="22.5" customHeight="1">
      <c r="C267" s="280"/>
    </row>
    <row r="268" ht="22.5" customHeight="1">
      <c r="C268" s="280"/>
    </row>
    <row r="269" ht="22.5" customHeight="1">
      <c r="C269" s="280"/>
    </row>
    <row r="270" ht="22.5" customHeight="1">
      <c r="C270" s="280"/>
    </row>
    <row r="271" ht="22.5" customHeight="1">
      <c r="C271" s="280"/>
    </row>
    <row r="272" ht="22.5" customHeight="1">
      <c r="C272" s="280"/>
    </row>
    <row r="273" ht="22.5" customHeight="1">
      <c r="C273" s="280"/>
    </row>
    <row r="274" ht="22.5" customHeight="1">
      <c r="C274" s="280"/>
    </row>
    <row r="275" ht="22.5" customHeight="1">
      <c r="C275" s="280"/>
    </row>
    <row r="276" ht="22.5" customHeight="1">
      <c r="C276" s="280"/>
    </row>
    <row r="277" ht="22.5" customHeight="1">
      <c r="C277" s="280"/>
    </row>
    <row r="278" ht="22.5" customHeight="1">
      <c r="C278" s="280"/>
    </row>
    <row r="279" ht="22.5" customHeight="1">
      <c r="C279" s="280"/>
    </row>
    <row r="280" ht="22.5" customHeight="1">
      <c r="C280" s="280"/>
    </row>
    <row r="281" ht="22.5" customHeight="1">
      <c r="C281" s="280"/>
    </row>
    <row r="282" ht="22.5" customHeight="1">
      <c r="C282" s="280"/>
    </row>
    <row r="283" ht="22.5" customHeight="1">
      <c r="C283" s="280"/>
    </row>
    <row r="284" ht="22.5" customHeight="1">
      <c r="C284" s="280"/>
    </row>
    <row r="285" ht="22.5" customHeight="1">
      <c r="C285" s="280"/>
    </row>
    <row r="286" ht="22.5" customHeight="1">
      <c r="C286" s="280"/>
    </row>
    <row r="287" ht="22.5" customHeight="1">
      <c r="C287" s="280"/>
    </row>
    <row r="288" ht="22.5" customHeight="1">
      <c r="C288" s="280"/>
    </row>
    <row r="289" ht="22.5" customHeight="1">
      <c r="C289" s="280"/>
    </row>
    <row r="290" ht="22.5" customHeight="1">
      <c r="C290" s="280"/>
    </row>
    <row r="291" ht="22.5" customHeight="1">
      <c r="C291" s="280"/>
    </row>
    <row r="292" ht="22.5" customHeight="1">
      <c r="C292" s="280"/>
    </row>
    <row r="293" ht="22.5" customHeight="1">
      <c r="C293" s="280"/>
    </row>
    <row r="294" ht="22.5" customHeight="1">
      <c r="C294" s="280"/>
    </row>
    <row r="295" ht="22.5" customHeight="1">
      <c r="C295" s="280"/>
    </row>
    <row r="296" ht="22.5" customHeight="1">
      <c r="C296" s="280"/>
    </row>
    <row r="297" ht="22.5" customHeight="1">
      <c r="C297" s="280"/>
    </row>
    <row r="298" ht="22.5" customHeight="1">
      <c r="C298" s="280"/>
    </row>
    <row r="299" ht="22.5" customHeight="1">
      <c r="C299" s="280"/>
    </row>
    <row r="300" ht="22.5" customHeight="1">
      <c r="C300" s="280"/>
    </row>
    <row r="301" ht="22.5" customHeight="1">
      <c r="C301" s="280"/>
    </row>
    <row r="302" ht="22.5" customHeight="1">
      <c r="C302" s="280"/>
    </row>
    <row r="303" ht="22.5" customHeight="1">
      <c r="C303" s="280"/>
    </row>
    <row r="304" ht="22.5" customHeight="1">
      <c r="C304" s="280"/>
    </row>
    <row r="305" ht="22.5" customHeight="1">
      <c r="C305" s="280"/>
    </row>
    <row r="306" ht="22.5" customHeight="1">
      <c r="C306" s="280"/>
    </row>
    <row r="307" ht="22.5" customHeight="1">
      <c r="C307" s="280"/>
    </row>
    <row r="308" ht="22.5" customHeight="1">
      <c r="C308" s="280"/>
    </row>
    <row r="309" ht="22.5" customHeight="1">
      <c r="C309" s="280"/>
    </row>
    <row r="310" ht="22.5" customHeight="1">
      <c r="C310" s="280"/>
    </row>
    <row r="311" ht="22.5" customHeight="1">
      <c r="C311" s="280"/>
    </row>
    <row r="312" ht="22.5" customHeight="1">
      <c r="C312" s="280"/>
    </row>
    <row r="313" ht="22.5" customHeight="1">
      <c r="C313" s="280"/>
    </row>
    <row r="314" ht="22.5" customHeight="1">
      <c r="C314" s="280"/>
    </row>
    <row r="315" ht="22.5" customHeight="1">
      <c r="C315" s="280"/>
    </row>
    <row r="316" ht="22.5" customHeight="1">
      <c r="C316" s="280"/>
    </row>
    <row r="317" ht="22.5" customHeight="1">
      <c r="C317" s="280"/>
    </row>
    <row r="318" ht="22.5" customHeight="1">
      <c r="C318" s="280"/>
    </row>
    <row r="319" ht="22.5" customHeight="1">
      <c r="C319" s="280"/>
    </row>
    <row r="320" ht="22.5" customHeight="1">
      <c r="C320" s="280"/>
    </row>
    <row r="321" ht="22.5" customHeight="1">
      <c r="C321" s="280"/>
    </row>
    <row r="322" ht="22.5" customHeight="1">
      <c r="C322" s="280"/>
    </row>
    <row r="323" ht="22.5" customHeight="1">
      <c r="C323" s="280"/>
    </row>
    <row r="324" ht="22.5" customHeight="1">
      <c r="C324" s="280"/>
    </row>
    <row r="325" ht="22.5" customHeight="1">
      <c r="C325" s="280"/>
    </row>
    <row r="326" ht="22.5" customHeight="1">
      <c r="C326" s="280"/>
    </row>
    <row r="327" ht="22.5" customHeight="1">
      <c r="C327" s="280"/>
    </row>
    <row r="328" ht="22.5" customHeight="1">
      <c r="C328" s="280"/>
    </row>
    <row r="329" ht="22.5" customHeight="1">
      <c r="C329" s="280"/>
    </row>
    <row r="330" ht="22.5" customHeight="1">
      <c r="C330" s="280"/>
    </row>
    <row r="331" ht="22.5" customHeight="1">
      <c r="C331" s="280"/>
    </row>
    <row r="332" ht="22.5" customHeight="1">
      <c r="C332" s="280"/>
    </row>
    <row r="333" ht="22.5" customHeight="1">
      <c r="C333" s="280"/>
    </row>
    <row r="334" ht="22.5" customHeight="1">
      <c r="C334" s="280"/>
    </row>
    <row r="335" ht="22.5" customHeight="1">
      <c r="C335" s="280"/>
    </row>
    <row r="336" ht="22.5" customHeight="1">
      <c r="C336" s="280"/>
    </row>
    <row r="337" ht="22.5" customHeight="1">
      <c r="C337" s="280"/>
    </row>
    <row r="338" ht="22.5" customHeight="1">
      <c r="C338" s="280"/>
    </row>
    <row r="339" ht="22.5" customHeight="1">
      <c r="C339" s="280"/>
    </row>
    <row r="340" ht="22.5" customHeight="1">
      <c r="C340" s="280"/>
    </row>
    <row r="341" ht="22.5" customHeight="1">
      <c r="C341" s="280"/>
    </row>
    <row r="342" ht="22.5" customHeight="1">
      <c r="C342" s="280"/>
    </row>
    <row r="343" ht="22.5" customHeight="1">
      <c r="C343" s="280"/>
    </row>
    <row r="344" ht="22.5" customHeight="1">
      <c r="C344" s="280"/>
    </row>
    <row r="345" ht="22.5" customHeight="1">
      <c r="C345" s="280"/>
    </row>
    <row r="346" ht="22.5" customHeight="1">
      <c r="C346" s="280"/>
    </row>
    <row r="347" ht="22.5" customHeight="1">
      <c r="C347" s="280"/>
    </row>
    <row r="348" ht="22.5" customHeight="1">
      <c r="C348" s="280"/>
    </row>
    <row r="349" ht="22.5" customHeight="1">
      <c r="C349" s="280"/>
    </row>
    <row r="350" ht="22.5" customHeight="1">
      <c r="C350" s="280"/>
    </row>
    <row r="351" ht="22.5" customHeight="1">
      <c r="C351" s="280"/>
    </row>
    <row r="352" ht="22.5" customHeight="1">
      <c r="C352" s="280"/>
    </row>
    <row r="353" ht="22.5" customHeight="1">
      <c r="C353" s="280"/>
    </row>
    <row r="354" ht="22.5" customHeight="1">
      <c r="C354" s="280"/>
    </row>
    <row r="355" ht="22.5" customHeight="1">
      <c r="C355" s="280"/>
    </row>
    <row r="356" ht="22.5" customHeight="1">
      <c r="C356" s="280"/>
    </row>
    <row r="357" ht="22.5" customHeight="1">
      <c r="C357" s="280"/>
    </row>
    <row r="358" ht="22.5" customHeight="1">
      <c r="C358" s="280"/>
    </row>
    <row r="359" ht="22.5" customHeight="1">
      <c r="C359" s="280"/>
    </row>
    <row r="360" ht="22.5" customHeight="1">
      <c r="C360" s="280"/>
    </row>
    <row r="361" ht="22.5" customHeight="1">
      <c r="C361" s="280"/>
    </row>
    <row r="362" ht="22.5" customHeight="1">
      <c r="C362" s="280"/>
    </row>
    <row r="363" ht="22.5" customHeight="1">
      <c r="C363" s="280"/>
    </row>
    <row r="364" ht="22.5" customHeight="1">
      <c r="C364" s="280"/>
    </row>
    <row r="365" ht="22.5" customHeight="1">
      <c r="C365" s="280"/>
    </row>
    <row r="366" ht="22.5" customHeight="1">
      <c r="C366" s="280"/>
    </row>
    <row r="367" ht="22.5" customHeight="1">
      <c r="C367" s="280"/>
    </row>
    <row r="368" ht="22.5" customHeight="1">
      <c r="C368" s="280"/>
    </row>
    <row r="369" ht="22.5" customHeight="1">
      <c r="C369" s="280"/>
    </row>
    <row r="370" ht="22.5" customHeight="1">
      <c r="C370" s="280"/>
    </row>
    <row r="371" ht="22.5" customHeight="1">
      <c r="C371" s="280"/>
    </row>
    <row r="372" ht="22.5" customHeight="1">
      <c r="C372" s="280"/>
    </row>
    <row r="373" ht="22.5" customHeight="1">
      <c r="C373" s="280"/>
    </row>
    <row r="374" ht="22.5" customHeight="1">
      <c r="C374" s="280"/>
    </row>
    <row r="375" ht="22.5" customHeight="1">
      <c r="C375" s="280"/>
    </row>
    <row r="376" ht="22.5" customHeight="1">
      <c r="C376" s="280"/>
    </row>
    <row r="377" ht="22.5" customHeight="1">
      <c r="C377" s="280"/>
    </row>
    <row r="378" ht="22.5" customHeight="1">
      <c r="C378" s="280"/>
    </row>
    <row r="379" ht="22.5" customHeight="1">
      <c r="C379" s="280"/>
    </row>
    <row r="380" ht="22.5" customHeight="1">
      <c r="C380" s="280"/>
    </row>
    <row r="381" ht="22.5" customHeight="1">
      <c r="C381" s="280"/>
    </row>
    <row r="382" ht="22.5" customHeight="1">
      <c r="C382" s="280"/>
    </row>
    <row r="383" ht="22.5" customHeight="1">
      <c r="C383" s="280"/>
    </row>
    <row r="384" ht="22.5" customHeight="1">
      <c r="C384" s="280"/>
    </row>
    <row r="385" ht="22.5" customHeight="1">
      <c r="C385" s="280"/>
    </row>
    <row r="386" ht="22.5" customHeight="1">
      <c r="C386" s="280"/>
    </row>
    <row r="387" ht="22.5" customHeight="1">
      <c r="C387" s="280"/>
    </row>
    <row r="388" ht="22.5" customHeight="1">
      <c r="C388" s="280"/>
    </row>
    <row r="389" ht="22.5" customHeight="1">
      <c r="C389" s="280"/>
    </row>
    <row r="390" ht="22.5" customHeight="1">
      <c r="C390" s="280"/>
    </row>
    <row r="391" ht="22.5" customHeight="1">
      <c r="C391" s="280"/>
    </row>
    <row r="392" ht="22.5" customHeight="1">
      <c r="C392" s="280"/>
    </row>
    <row r="393" ht="22.5" customHeight="1">
      <c r="C393" s="280"/>
    </row>
    <row r="394" ht="22.5" customHeight="1">
      <c r="C394" s="280"/>
    </row>
    <row r="395" ht="22.5" customHeight="1">
      <c r="C395" s="280"/>
    </row>
    <row r="396" ht="22.5" customHeight="1">
      <c r="C396" s="280"/>
    </row>
    <row r="397" ht="22.5" customHeight="1">
      <c r="C397" s="280"/>
    </row>
    <row r="398" ht="22.5" customHeight="1">
      <c r="C398" s="280"/>
    </row>
    <row r="399" ht="22.5" customHeight="1">
      <c r="C399" s="280"/>
    </row>
    <row r="400" ht="22.5" customHeight="1">
      <c r="C400" s="280"/>
    </row>
    <row r="401" ht="22.5" customHeight="1">
      <c r="C401" s="280"/>
    </row>
    <row r="402" ht="22.5" customHeight="1">
      <c r="C402" s="280"/>
    </row>
    <row r="403" ht="22.5" customHeight="1">
      <c r="C403" s="280"/>
    </row>
    <row r="404" ht="22.5" customHeight="1">
      <c r="C404" s="280"/>
    </row>
    <row r="405" ht="22.5" customHeight="1">
      <c r="C405" s="280"/>
    </row>
    <row r="406" ht="22.5" customHeight="1">
      <c r="C406" s="280"/>
    </row>
    <row r="407" ht="22.5" customHeight="1">
      <c r="C407" s="280"/>
    </row>
    <row r="408" ht="22.5" customHeight="1">
      <c r="C408" s="280"/>
    </row>
    <row r="409" ht="22.5" customHeight="1">
      <c r="C409" s="280"/>
    </row>
    <row r="410" ht="22.5" customHeight="1">
      <c r="C410" s="280"/>
    </row>
    <row r="411" ht="22.5" customHeight="1">
      <c r="C411" s="280"/>
    </row>
    <row r="412" ht="22.5" customHeight="1">
      <c r="C412" s="280"/>
    </row>
    <row r="413" ht="22.5" customHeight="1">
      <c r="C413" s="280"/>
    </row>
    <row r="414" ht="22.5" customHeight="1">
      <c r="C414" s="280"/>
    </row>
    <row r="415" ht="22.5" customHeight="1">
      <c r="C415" s="280"/>
    </row>
    <row r="416" ht="22.5" customHeight="1">
      <c r="C416" s="280"/>
    </row>
    <row r="417" ht="22.5" customHeight="1">
      <c r="C417" s="280"/>
    </row>
    <row r="418" ht="22.5" customHeight="1">
      <c r="C418" s="280"/>
    </row>
    <row r="419" ht="22.5" customHeight="1">
      <c r="C419" s="280"/>
    </row>
    <row r="420" ht="22.5" customHeight="1">
      <c r="C420" s="280"/>
    </row>
    <row r="421" ht="22.5" customHeight="1">
      <c r="C421" s="280"/>
    </row>
    <row r="422" ht="22.5" customHeight="1">
      <c r="C422" s="280"/>
    </row>
    <row r="423" ht="22.5" customHeight="1">
      <c r="C423" s="280"/>
    </row>
    <row r="424" ht="22.5" customHeight="1">
      <c r="C424" s="280"/>
    </row>
    <row r="425" ht="22.5" customHeight="1">
      <c r="C425" s="280"/>
    </row>
    <row r="426" ht="22.5" customHeight="1">
      <c r="C426" s="280"/>
    </row>
    <row r="427" ht="22.5" customHeight="1">
      <c r="C427" s="280"/>
    </row>
    <row r="428" ht="22.5" customHeight="1">
      <c r="C428" s="280"/>
    </row>
    <row r="429" ht="22.5" customHeight="1">
      <c r="C429" s="280"/>
    </row>
    <row r="430" ht="22.5" customHeight="1">
      <c r="C430" s="280"/>
    </row>
    <row r="431" ht="22.5" customHeight="1">
      <c r="C431" s="280"/>
    </row>
    <row r="432" ht="22.5" customHeight="1">
      <c r="C432" s="280"/>
    </row>
    <row r="433" ht="22.5" customHeight="1">
      <c r="C433" s="280"/>
    </row>
    <row r="434" ht="22.5" customHeight="1">
      <c r="C434" s="280"/>
    </row>
    <row r="435" ht="22.5" customHeight="1">
      <c r="C435" s="280"/>
    </row>
    <row r="436" ht="22.5" customHeight="1">
      <c r="C436" s="280"/>
    </row>
    <row r="437" ht="22.5" customHeight="1">
      <c r="C437" s="280"/>
    </row>
    <row r="438" ht="22.5" customHeight="1">
      <c r="C438" s="280"/>
    </row>
    <row r="439" ht="22.5" customHeight="1">
      <c r="C439" s="280"/>
    </row>
    <row r="440" ht="22.5" customHeight="1">
      <c r="C440" s="280"/>
    </row>
    <row r="441" ht="22.5" customHeight="1">
      <c r="C441" s="280"/>
    </row>
    <row r="442" ht="22.5" customHeight="1">
      <c r="C442" s="280"/>
    </row>
    <row r="443" ht="22.5" customHeight="1">
      <c r="C443" s="280"/>
    </row>
    <row r="444" ht="22.5" customHeight="1">
      <c r="C444" s="280"/>
    </row>
    <row r="445" ht="22.5" customHeight="1">
      <c r="C445" s="280"/>
    </row>
    <row r="446" ht="22.5" customHeight="1">
      <c r="C446" s="280"/>
    </row>
    <row r="447" ht="22.5" customHeight="1">
      <c r="C447" s="280"/>
    </row>
    <row r="448" ht="22.5" customHeight="1">
      <c r="C448" s="280"/>
    </row>
    <row r="449" ht="22.5" customHeight="1">
      <c r="C449" s="280"/>
    </row>
    <row r="450" ht="22.5" customHeight="1">
      <c r="C450" s="280"/>
    </row>
    <row r="451" ht="22.5" customHeight="1">
      <c r="C451" s="280"/>
    </row>
    <row r="452" ht="22.5" customHeight="1">
      <c r="C452" s="280"/>
    </row>
    <row r="453" ht="22.5" customHeight="1">
      <c r="C453" s="280"/>
    </row>
    <row r="454" ht="22.5" customHeight="1">
      <c r="C454" s="280"/>
    </row>
    <row r="455" ht="22.5" customHeight="1">
      <c r="C455" s="280"/>
    </row>
    <row r="456" ht="22.5" customHeight="1">
      <c r="C456" s="280"/>
    </row>
    <row r="457" ht="22.5" customHeight="1">
      <c r="C457" s="280"/>
    </row>
    <row r="458" ht="22.5" customHeight="1">
      <c r="C458" s="280"/>
    </row>
    <row r="459" ht="22.5" customHeight="1">
      <c r="C459" s="280"/>
    </row>
    <row r="460" ht="22.5" customHeight="1">
      <c r="C460" s="280"/>
    </row>
    <row r="461" ht="22.5" customHeight="1">
      <c r="C461" s="280"/>
    </row>
    <row r="462" ht="22.5" customHeight="1">
      <c r="C462" s="280"/>
    </row>
    <row r="463" ht="22.5" customHeight="1">
      <c r="C463" s="280"/>
    </row>
    <row r="464" ht="22.5" customHeight="1">
      <c r="C464" s="280"/>
    </row>
    <row r="465" ht="22.5" customHeight="1">
      <c r="C465" s="280"/>
    </row>
    <row r="466" ht="22.5" customHeight="1">
      <c r="C466" s="280"/>
    </row>
    <row r="467" ht="22.5" customHeight="1">
      <c r="C467" s="280"/>
    </row>
    <row r="468" ht="22.5" customHeight="1">
      <c r="C468" s="280"/>
    </row>
    <row r="469" ht="22.5" customHeight="1">
      <c r="C469" s="280"/>
    </row>
    <row r="470" ht="22.5" customHeight="1">
      <c r="C470" s="280"/>
    </row>
    <row r="471" ht="22.5" customHeight="1">
      <c r="C471" s="280"/>
    </row>
    <row r="472" ht="22.5" customHeight="1">
      <c r="C472" s="280"/>
    </row>
    <row r="473" ht="22.5" customHeight="1">
      <c r="C473" s="280"/>
    </row>
    <row r="474" ht="22.5" customHeight="1">
      <c r="C474" s="280"/>
    </row>
    <row r="475" ht="22.5" customHeight="1">
      <c r="C475" s="280"/>
    </row>
    <row r="476" ht="22.5" customHeight="1">
      <c r="C476" s="280"/>
    </row>
    <row r="477" ht="22.5" customHeight="1">
      <c r="C477" s="280"/>
    </row>
    <row r="478" ht="22.5" customHeight="1">
      <c r="C478" s="280"/>
    </row>
    <row r="479" ht="22.5" customHeight="1">
      <c r="C479" s="280"/>
    </row>
    <row r="480" ht="22.5" customHeight="1">
      <c r="C480" s="280"/>
    </row>
    <row r="481" ht="22.5" customHeight="1">
      <c r="C481" s="280"/>
    </row>
    <row r="482" ht="22.5" customHeight="1">
      <c r="C482" s="280"/>
    </row>
    <row r="483" ht="22.5" customHeight="1">
      <c r="C483" s="280"/>
    </row>
    <row r="484" ht="22.5" customHeight="1">
      <c r="C484" s="280"/>
    </row>
    <row r="485" ht="22.5" customHeight="1">
      <c r="C485" s="280"/>
    </row>
    <row r="486" ht="22.5" customHeight="1">
      <c r="C486" s="280"/>
    </row>
    <row r="487" ht="22.5" customHeight="1">
      <c r="C487" s="280"/>
    </row>
    <row r="488" ht="22.5" customHeight="1">
      <c r="C488" s="280"/>
    </row>
    <row r="489" ht="22.5" customHeight="1">
      <c r="C489" s="280"/>
    </row>
    <row r="490" ht="22.5" customHeight="1">
      <c r="C490" s="280"/>
    </row>
    <row r="491" ht="22.5" customHeight="1">
      <c r="C491" s="280"/>
    </row>
    <row r="492" ht="22.5" customHeight="1">
      <c r="C492" s="280"/>
    </row>
    <row r="493" ht="22.5" customHeight="1">
      <c r="C493" s="280"/>
    </row>
    <row r="494" ht="22.5" customHeight="1">
      <c r="C494" s="280"/>
    </row>
    <row r="495" ht="22.5" customHeight="1">
      <c r="C495" s="280"/>
    </row>
    <row r="496" ht="22.5" customHeight="1">
      <c r="C496" s="280"/>
    </row>
    <row r="497" ht="22.5" customHeight="1">
      <c r="C497" s="280"/>
    </row>
    <row r="498" ht="22.5" customHeight="1">
      <c r="C498" s="280"/>
    </row>
    <row r="499" ht="22.5" customHeight="1">
      <c r="C499" s="280"/>
    </row>
    <row r="500" ht="22.5" customHeight="1">
      <c r="C500" s="280"/>
    </row>
    <row r="501" ht="22.5" customHeight="1">
      <c r="C501" s="280"/>
    </row>
    <row r="502" ht="22.5" customHeight="1">
      <c r="C502" s="280"/>
    </row>
    <row r="503" ht="22.5" customHeight="1">
      <c r="C503" s="280"/>
    </row>
    <row r="504" ht="22.5" customHeight="1">
      <c r="C504" s="280"/>
    </row>
    <row r="505" ht="22.5" customHeight="1">
      <c r="C505" s="280"/>
    </row>
    <row r="506" ht="22.5" customHeight="1">
      <c r="C506" s="280"/>
    </row>
    <row r="507" ht="22.5" customHeight="1">
      <c r="C507" s="280"/>
    </row>
    <row r="508" ht="22.5" customHeight="1">
      <c r="C508" s="280"/>
    </row>
    <row r="509" ht="22.5" customHeight="1">
      <c r="C509" s="280"/>
    </row>
    <row r="510" ht="22.5" customHeight="1">
      <c r="C510" s="280"/>
    </row>
    <row r="511" ht="22.5" customHeight="1">
      <c r="C511" s="280"/>
    </row>
    <row r="512" ht="22.5" customHeight="1">
      <c r="C512" s="280"/>
    </row>
    <row r="513" ht="22.5" customHeight="1">
      <c r="C513" s="280"/>
    </row>
    <row r="514" ht="22.5" customHeight="1">
      <c r="C514" s="280"/>
    </row>
    <row r="515" ht="22.5" customHeight="1">
      <c r="C515" s="280"/>
    </row>
    <row r="516" ht="22.5" customHeight="1">
      <c r="C516" s="280"/>
    </row>
    <row r="517" ht="22.5" customHeight="1">
      <c r="C517" s="280"/>
    </row>
    <row r="518" ht="22.5" customHeight="1">
      <c r="C518" s="280"/>
    </row>
    <row r="519" ht="22.5" customHeight="1">
      <c r="C519" s="280"/>
    </row>
    <row r="520" ht="22.5" customHeight="1">
      <c r="C520" s="280"/>
    </row>
    <row r="521" ht="22.5" customHeight="1">
      <c r="C521" s="280"/>
    </row>
    <row r="522" ht="22.5" customHeight="1">
      <c r="C522" s="280"/>
    </row>
    <row r="523" ht="22.5" customHeight="1">
      <c r="C523" s="280"/>
    </row>
    <row r="524" ht="22.5" customHeight="1">
      <c r="C524" s="280"/>
    </row>
    <row r="525" ht="22.5" customHeight="1">
      <c r="C525" s="280"/>
    </row>
    <row r="526" ht="22.5" customHeight="1">
      <c r="C526" s="280"/>
    </row>
    <row r="527" ht="22.5" customHeight="1">
      <c r="C527" s="280"/>
    </row>
    <row r="528" ht="22.5" customHeight="1">
      <c r="C528" s="280"/>
    </row>
    <row r="529" ht="22.5" customHeight="1">
      <c r="C529" s="280"/>
    </row>
    <row r="530" ht="22.5" customHeight="1">
      <c r="C530" s="280"/>
    </row>
    <row r="531" ht="22.5" customHeight="1">
      <c r="C531" s="280"/>
    </row>
    <row r="532" ht="22.5" customHeight="1">
      <c r="C532" s="280"/>
    </row>
    <row r="533" ht="22.5" customHeight="1">
      <c r="C533" s="280"/>
    </row>
    <row r="534" ht="22.5" customHeight="1">
      <c r="C534" s="280"/>
    </row>
    <row r="535" ht="22.5" customHeight="1">
      <c r="C535" s="280"/>
    </row>
    <row r="536" ht="22.5" customHeight="1">
      <c r="C536" s="280"/>
    </row>
    <row r="537" ht="22.5" customHeight="1">
      <c r="C537" s="280"/>
    </row>
    <row r="538" ht="22.5" customHeight="1">
      <c r="C538" s="280"/>
    </row>
    <row r="539" ht="22.5" customHeight="1">
      <c r="C539" s="280"/>
    </row>
    <row r="540" ht="22.5" customHeight="1">
      <c r="C540" s="280"/>
    </row>
    <row r="541" ht="22.5" customHeight="1">
      <c r="C541" s="280"/>
    </row>
    <row r="542" ht="22.5" customHeight="1">
      <c r="C542" s="280"/>
    </row>
    <row r="543" ht="22.5" customHeight="1">
      <c r="C543" s="280"/>
    </row>
    <row r="544" ht="22.5" customHeight="1">
      <c r="C544" s="280"/>
    </row>
    <row r="545" ht="22.5" customHeight="1">
      <c r="C545" s="280"/>
    </row>
    <row r="546" ht="22.5" customHeight="1">
      <c r="C546" s="280"/>
    </row>
    <row r="547" ht="22.5" customHeight="1">
      <c r="C547" s="280"/>
    </row>
    <row r="548" ht="22.5" customHeight="1">
      <c r="C548" s="280"/>
    </row>
    <row r="549" ht="22.5" customHeight="1">
      <c r="C549" s="280"/>
    </row>
    <row r="550" ht="22.5" customHeight="1">
      <c r="C550" s="280"/>
    </row>
    <row r="551" ht="22.5" customHeight="1">
      <c r="C551" s="280"/>
    </row>
    <row r="552" ht="22.5" customHeight="1">
      <c r="C552" s="280"/>
    </row>
    <row r="553" ht="22.5" customHeight="1">
      <c r="C553" s="280"/>
    </row>
    <row r="554" ht="22.5" customHeight="1">
      <c r="C554" s="280"/>
    </row>
    <row r="555" ht="22.5" customHeight="1">
      <c r="C555" s="280"/>
    </row>
    <row r="556" ht="22.5" customHeight="1">
      <c r="C556" s="280"/>
    </row>
    <row r="557" ht="22.5" customHeight="1">
      <c r="C557" s="280"/>
    </row>
    <row r="558" ht="22.5" customHeight="1">
      <c r="C558" s="280"/>
    </row>
    <row r="559" ht="22.5" customHeight="1">
      <c r="C559" s="280"/>
    </row>
    <row r="560" ht="22.5" customHeight="1">
      <c r="C560" s="280"/>
    </row>
    <row r="561" ht="22.5" customHeight="1">
      <c r="C561" s="280"/>
    </row>
    <row r="562" ht="22.5" customHeight="1">
      <c r="C562" s="280"/>
    </row>
    <row r="563" ht="22.5" customHeight="1">
      <c r="C563" s="280"/>
    </row>
    <row r="564" ht="22.5" customHeight="1">
      <c r="C564" s="280"/>
    </row>
    <row r="565" ht="22.5" customHeight="1">
      <c r="C565" s="280"/>
    </row>
    <row r="566" ht="22.5" customHeight="1">
      <c r="C566" s="280"/>
    </row>
    <row r="567" ht="22.5" customHeight="1">
      <c r="C567" s="280"/>
    </row>
    <row r="568" ht="22.5" customHeight="1">
      <c r="C568" s="280"/>
    </row>
    <row r="569" ht="22.5" customHeight="1">
      <c r="C569" s="280"/>
    </row>
    <row r="570" ht="22.5" customHeight="1">
      <c r="C570" s="280"/>
    </row>
    <row r="571" ht="22.5" customHeight="1">
      <c r="C571" s="280"/>
    </row>
    <row r="572" ht="22.5" customHeight="1">
      <c r="C572" s="280"/>
    </row>
    <row r="573" ht="22.5" customHeight="1">
      <c r="C573" s="280"/>
    </row>
    <row r="574" ht="22.5" customHeight="1">
      <c r="C574" s="280"/>
    </row>
    <row r="575" ht="22.5" customHeight="1">
      <c r="C575" s="280"/>
    </row>
    <row r="576" ht="22.5" customHeight="1">
      <c r="C576" s="280"/>
    </row>
    <row r="577" ht="22.5" customHeight="1">
      <c r="C577" s="280"/>
    </row>
    <row r="578" ht="22.5" customHeight="1">
      <c r="C578" s="280"/>
    </row>
    <row r="579" ht="22.5" customHeight="1">
      <c r="C579" s="280"/>
    </row>
    <row r="580" ht="22.5" customHeight="1">
      <c r="C580" s="280"/>
    </row>
    <row r="581" ht="22.5" customHeight="1">
      <c r="C581" s="280"/>
    </row>
    <row r="582" ht="22.5" customHeight="1">
      <c r="C582" s="280"/>
    </row>
    <row r="583" ht="22.5" customHeight="1">
      <c r="C583" s="280"/>
    </row>
    <row r="584" ht="22.5" customHeight="1">
      <c r="C584" s="280"/>
    </row>
    <row r="585" ht="22.5" customHeight="1">
      <c r="C585" s="280"/>
    </row>
    <row r="586" ht="22.5" customHeight="1">
      <c r="C586" s="280"/>
    </row>
    <row r="587" ht="22.5" customHeight="1">
      <c r="C587" s="280"/>
    </row>
    <row r="588" ht="22.5" customHeight="1">
      <c r="C588" s="280"/>
    </row>
    <row r="589" ht="22.5" customHeight="1">
      <c r="C589" s="280"/>
    </row>
    <row r="590" ht="22.5" customHeight="1">
      <c r="C590" s="280"/>
    </row>
    <row r="591" ht="22.5" customHeight="1">
      <c r="C591" s="280"/>
    </row>
    <row r="592" ht="22.5" customHeight="1">
      <c r="C592" s="280"/>
    </row>
    <row r="593" ht="22.5" customHeight="1">
      <c r="C593" s="280"/>
    </row>
    <row r="594" ht="22.5" customHeight="1">
      <c r="C594" s="280"/>
    </row>
    <row r="595" ht="22.5" customHeight="1">
      <c r="C595" s="280"/>
    </row>
    <row r="596" ht="22.5" customHeight="1">
      <c r="C596" s="280"/>
    </row>
    <row r="597" ht="22.5" customHeight="1">
      <c r="C597" s="280"/>
    </row>
    <row r="598" ht="22.5" customHeight="1">
      <c r="C598" s="280"/>
    </row>
    <row r="599" ht="22.5" customHeight="1">
      <c r="C599" s="280"/>
    </row>
    <row r="600" ht="22.5" customHeight="1">
      <c r="C600" s="280"/>
    </row>
    <row r="601" ht="22.5" customHeight="1">
      <c r="C601" s="280"/>
    </row>
    <row r="602" ht="22.5" customHeight="1">
      <c r="C602" s="280"/>
    </row>
    <row r="603" ht="22.5" customHeight="1">
      <c r="C603" s="280"/>
    </row>
    <row r="604" ht="22.5" customHeight="1">
      <c r="C604" s="280"/>
    </row>
    <row r="605" ht="22.5" customHeight="1">
      <c r="C605" s="280"/>
    </row>
    <row r="606" ht="22.5" customHeight="1">
      <c r="C606" s="280"/>
    </row>
    <row r="607" ht="22.5" customHeight="1">
      <c r="C607" s="280"/>
    </row>
    <row r="608" ht="22.5" customHeight="1">
      <c r="C608" s="280"/>
    </row>
    <row r="609" ht="22.5" customHeight="1">
      <c r="C609" s="280"/>
    </row>
    <row r="610" ht="22.5" customHeight="1">
      <c r="C610" s="280"/>
    </row>
    <row r="611" ht="22.5" customHeight="1">
      <c r="C611" s="280"/>
    </row>
    <row r="612" ht="22.5" customHeight="1">
      <c r="C612" s="280"/>
    </row>
    <row r="613" ht="22.5" customHeight="1">
      <c r="C613" s="280"/>
    </row>
    <row r="614" ht="22.5" customHeight="1">
      <c r="C614" s="280"/>
    </row>
    <row r="615" ht="22.5" customHeight="1">
      <c r="C615" s="280"/>
    </row>
    <row r="616" ht="22.5" customHeight="1">
      <c r="C616" s="280"/>
    </row>
    <row r="617" ht="22.5" customHeight="1">
      <c r="C617" s="280"/>
    </row>
    <row r="618" ht="22.5" customHeight="1">
      <c r="C618" s="280"/>
    </row>
    <row r="619" ht="22.5" customHeight="1">
      <c r="C619" s="280"/>
    </row>
    <row r="620" ht="22.5" customHeight="1">
      <c r="C620" s="280"/>
    </row>
    <row r="621" ht="22.5" customHeight="1">
      <c r="C621" s="280"/>
    </row>
    <row r="622" ht="22.5" customHeight="1">
      <c r="C622" s="280"/>
    </row>
    <row r="623" ht="22.5" customHeight="1">
      <c r="C623" s="280"/>
    </row>
    <row r="624" ht="22.5" customHeight="1">
      <c r="C624" s="280"/>
    </row>
    <row r="625" ht="22.5" customHeight="1">
      <c r="C625" s="280"/>
    </row>
    <row r="626" ht="22.5" customHeight="1">
      <c r="C626" s="280"/>
    </row>
    <row r="627" ht="22.5" customHeight="1">
      <c r="C627" s="280"/>
    </row>
    <row r="628" ht="22.5" customHeight="1">
      <c r="C628" s="280"/>
    </row>
    <row r="629" ht="22.5" customHeight="1">
      <c r="C629" s="280"/>
    </row>
    <row r="630" ht="22.5" customHeight="1">
      <c r="C630" s="280"/>
    </row>
    <row r="631" ht="22.5" customHeight="1">
      <c r="C631" s="280"/>
    </row>
    <row r="632" ht="22.5" customHeight="1">
      <c r="C632" s="280"/>
    </row>
    <row r="633" ht="22.5" customHeight="1">
      <c r="C633" s="280"/>
    </row>
    <row r="634" ht="22.5" customHeight="1">
      <c r="C634" s="280"/>
    </row>
    <row r="635" ht="22.5" customHeight="1">
      <c r="C635" s="280"/>
    </row>
    <row r="636" ht="22.5" customHeight="1">
      <c r="C636" s="280"/>
    </row>
    <row r="637" ht="22.5" customHeight="1">
      <c r="C637" s="280"/>
    </row>
    <row r="638" ht="22.5" customHeight="1">
      <c r="C638" s="280"/>
    </row>
    <row r="639" ht="22.5" customHeight="1">
      <c r="C639" s="280"/>
    </row>
    <row r="640" ht="22.5" customHeight="1">
      <c r="C640" s="280"/>
    </row>
    <row r="641" ht="22.5" customHeight="1">
      <c r="C641" s="280"/>
    </row>
    <row r="642" ht="22.5" customHeight="1">
      <c r="C642" s="280"/>
    </row>
    <row r="643" ht="22.5" customHeight="1">
      <c r="C643" s="280"/>
    </row>
    <row r="644" ht="22.5" customHeight="1">
      <c r="C644" s="280"/>
    </row>
    <row r="645" ht="22.5" customHeight="1">
      <c r="C645" s="280"/>
    </row>
    <row r="646" ht="22.5" customHeight="1">
      <c r="C646" s="280"/>
    </row>
    <row r="647" ht="22.5" customHeight="1">
      <c r="C647" s="280"/>
    </row>
    <row r="648" ht="22.5" customHeight="1">
      <c r="C648" s="280"/>
    </row>
    <row r="649" ht="22.5" customHeight="1">
      <c r="C649" s="280"/>
    </row>
    <row r="650" ht="22.5" customHeight="1">
      <c r="C650" s="280"/>
    </row>
    <row r="651" ht="22.5" customHeight="1">
      <c r="C651" s="280"/>
    </row>
    <row r="652" ht="22.5" customHeight="1">
      <c r="C652" s="280"/>
    </row>
    <row r="653" ht="22.5" customHeight="1">
      <c r="C653" s="280"/>
    </row>
    <row r="654" ht="22.5" customHeight="1">
      <c r="C654" s="280"/>
    </row>
    <row r="655" ht="22.5" customHeight="1">
      <c r="C655" s="280"/>
    </row>
    <row r="656" ht="22.5" customHeight="1">
      <c r="C656" s="280"/>
    </row>
    <row r="657" ht="22.5" customHeight="1">
      <c r="C657" s="280"/>
    </row>
    <row r="658" ht="22.5" customHeight="1">
      <c r="C658" s="280"/>
    </row>
    <row r="659" ht="22.5" customHeight="1">
      <c r="C659" s="280"/>
    </row>
    <row r="660" ht="22.5" customHeight="1">
      <c r="C660" s="280"/>
    </row>
    <row r="661" ht="22.5" customHeight="1">
      <c r="C661" s="280"/>
    </row>
    <row r="662" ht="22.5" customHeight="1">
      <c r="C662" s="280"/>
    </row>
    <row r="663" ht="22.5" customHeight="1">
      <c r="C663" s="280"/>
    </row>
    <row r="664" ht="22.5" customHeight="1">
      <c r="C664" s="280"/>
    </row>
    <row r="665" ht="22.5" customHeight="1">
      <c r="C665" s="280"/>
    </row>
    <row r="666" ht="22.5" customHeight="1">
      <c r="C666" s="280"/>
    </row>
    <row r="667" ht="22.5" customHeight="1">
      <c r="C667" s="280"/>
    </row>
    <row r="668" ht="22.5" customHeight="1">
      <c r="C668" s="280"/>
    </row>
    <row r="669" ht="22.5" customHeight="1">
      <c r="C669" s="280"/>
    </row>
    <row r="670" ht="22.5" customHeight="1">
      <c r="C670" s="280"/>
    </row>
    <row r="671" ht="22.5" customHeight="1">
      <c r="C671" s="280"/>
    </row>
    <row r="672" ht="22.5" customHeight="1">
      <c r="C672" s="280"/>
    </row>
    <row r="673" ht="22.5" customHeight="1">
      <c r="C673" s="280"/>
    </row>
    <row r="674" ht="22.5" customHeight="1">
      <c r="C674" s="280"/>
    </row>
    <row r="675" ht="22.5" customHeight="1">
      <c r="C675" s="280"/>
    </row>
    <row r="676" ht="22.5" customHeight="1">
      <c r="C676" s="280"/>
    </row>
    <row r="677" ht="22.5" customHeight="1">
      <c r="C677" s="280"/>
    </row>
    <row r="678" ht="22.5" customHeight="1">
      <c r="C678" s="280"/>
    </row>
    <row r="679" ht="22.5" customHeight="1">
      <c r="C679" s="280"/>
    </row>
    <row r="680" ht="22.5" customHeight="1">
      <c r="C680" s="280"/>
    </row>
    <row r="681" ht="22.5" customHeight="1">
      <c r="C681" s="280"/>
    </row>
    <row r="682" ht="22.5" customHeight="1">
      <c r="C682" s="280"/>
    </row>
    <row r="683" ht="22.5" customHeight="1">
      <c r="C683" s="280"/>
    </row>
    <row r="684" ht="22.5" customHeight="1">
      <c r="C684" s="280"/>
    </row>
    <row r="685" ht="22.5" customHeight="1">
      <c r="C685" s="280"/>
    </row>
    <row r="686" ht="22.5" customHeight="1">
      <c r="C686" s="280"/>
    </row>
    <row r="687" ht="22.5" customHeight="1">
      <c r="C687" s="280"/>
    </row>
    <row r="688" ht="22.5" customHeight="1">
      <c r="C688" s="280"/>
    </row>
    <row r="689" ht="22.5" customHeight="1">
      <c r="C689" s="280"/>
    </row>
    <row r="690" ht="22.5" customHeight="1">
      <c r="C690" s="280"/>
    </row>
    <row r="691" ht="22.5" customHeight="1">
      <c r="C691" s="280"/>
    </row>
    <row r="692" ht="22.5" customHeight="1">
      <c r="C692" s="280"/>
    </row>
    <row r="693" ht="22.5" customHeight="1">
      <c r="C693" s="280"/>
    </row>
    <row r="694" ht="22.5" customHeight="1">
      <c r="C694" s="280"/>
    </row>
    <row r="695" ht="22.5" customHeight="1">
      <c r="C695" s="280"/>
    </row>
    <row r="696" ht="22.5" customHeight="1">
      <c r="C696" s="280"/>
    </row>
    <row r="697" ht="22.5" customHeight="1">
      <c r="C697" s="280"/>
    </row>
    <row r="698" ht="22.5" customHeight="1">
      <c r="C698" s="280"/>
    </row>
    <row r="699" ht="22.5" customHeight="1">
      <c r="C699" s="280"/>
    </row>
    <row r="700" ht="22.5" customHeight="1">
      <c r="C700" s="280"/>
    </row>
    <row r="701" ht="22.5" customHeight="1">
      <c r="C701" s="280"/>
    </row>
    <row r="702" ht="22.5" customHeight="1">
      <c r="C702" s="280"/>
    </row>
    <row r="703" ht="22.5" customHeight="1">
      <c r="C703" s="280"/>
    </row>
    <row r="704" ht="22.5" customHeight="1">
      <c r="C704" s="280"/>
    </row>
    <row r="705" ht="22.5" customHeight="1">
      <c r="C705" s="280"/>
    </row>
    <row r="706" ht="22.5" customHeight="1">
      <c r="C706" s="280"/>
    </row>
    <row r="707" ht="22.5" customHeight="1">
      <c r="C707" s="280"/>
    </row>
    <row r="708" ht="22.5" customHeight="1">
      <c r="C708" s="280"/>
    </row>
    <row r="709" ht="22.5" customHeight="1">
      <c r="C709" s="280"/>
    </row>
    <row r="710" ht="22.5" customHeight="1">
      <c r="C710" s="280"/>
    </row>
    <row r="711" ht="22.5" customHeight="1">
      <c r="C711" s="280"/>
    </row>
    <row r="712" ht="22.5" customHeight="1">
      <c r="C712" s="280"/>
    </row>
    <row r="713" ht="22.5" customHeight="1">
      <c r="C713" s="280"/>
    </row>
    <row r="714" ht="22.5" customHeight="1">
      <c r="C714" s="280"/>
    </row>
    <row r="715" ht="22.5" customHeight="1">
      <c r="C715" s="280"/>
    </row>
    <row r="716" ht="22.5" customHeight="1">
      <c r="C716" s="280"/>
    </row>
    <row r="717" ht="22.5" customHeight="1">
      <c r="C717" s="280"/>
    </row>
    <row r="718" ht="22.5" customHeight="1">
      <c r="C718" s="280"/>
    </row>
    <row r="719" ht="22.5" customHeight="1">
      <c r="C719" s="280"/>
    </row>
    <row r="720" ht="22.5" customHeight="1">
      <c r="C720" s="280"/>
    </row>
    <row r="721" ht="22.5" customHeight="1">
      <c r="C721" s="280"/>
    </row>
    <row r="722" ht="22.5" customHeight="1">
      <c r="C722" s="280"/>
    </row>
    <row r="723" ht="22.5" customHeight="1">
      <c r="C723" s="280"/>
    </row>
    <row r="724" ht="22.5" customHeight="1">
      <c r="C724" s="280"/>
    </row>
    <row r="725" ht="22.5" customHeight="1">
      <c r="C725" s="280"/>
    </row>
    <row r="726" ht="22.5" customHeight="1">
      <c r="C726" s="280"/>
    </row>
    <row r="727" ht="22.5" customHeight="1">
      <c r="C727" s="280"/>
    </row>
    <row r="728" ht="22.5" customHeight="1">
      <c r="C728" s="280"/>
    </row>
    <row r="729" ht="22.5" customHeight="1">
      <c r="C729" s="280"/>
    </row>
    <row r="730" ht="22.5" customHeight="1">
      <c r="C730" s="280"/>
    </row>
    <row r="731" ht="22.5" customHeight="1">
      <c r="C731" s="280"/>
    </row>
    <row r="732" ht="22.5" customHeight="1">
      <c r="C732" s="280"/>
    </row>
    <row r="733" ht="22.5" customHeight="1">
      <c r="C733" s="280"/>
    </row>
    <row r="734" ht="22.5" customHeight="1">
      <c r="C734" s="280"/>
    </row>
    <row r="735" ht="22.5" customHeight="1">
      <c r="C735" s="280"/>
    </row>
    <row r="736" ht="22.5" customHeight="1">
      <c r="C736" s="280"/>
    </row>
    <row r="737" ht="22.5" customHeight="1">
      <c r="C737" s="280"/>
    </row>
    <row r="738" ht="22.5" customHeight="1">
      <c r="C738" s="280"/>
    </row>
    <row r="739" ht="22.5" customHeight="1">
      <c r="C739" s="280"/>
    </row>
    <row r="740" ht="22.5" customHeight="1">
      <c r="C740" s="280"/>
    </row>
    <row r="741" ht="22.5" customHeight="1">
      <c r="C741" s="280"/>
    </row>
    <row r="742" ht="22.5" customHeight="1">
      <c r="C742" s="280"/>
    </row>
    <row r="743" ht="22.5" customHeight="1">
      <c r="C743" s="280"/>
    </row>
    <row r="744" ht="22.5" customHeight="1">
      <c r="C744" s="280"/>
    </row>
    <row r="745" ht="22.5" customHeight="1">
      <c r="C745" s="280"/>
    </row>
    <row r="746" ht="22.5" customHeight="1">
      <c r="C746" s="280"/>
    </row>
    <row r="747" ht="22.5" customHeight="1">
      <c r="C747" s="280"/>
    </row>
    <row r="748" ht="22.5" customHeight="1">
      <c r="C748" s="280"/>
    </row>
    <row r="749" ht="22.5" customHeight="1">
      <c r="C749" s="280"/>
    </row>
    <row r="750" ht="22.5" customHeight="1">
      <c r="C750" s="280"/>
    </row>
    <row r="751" ht="22.5" customHeight="1">
      <c r="C751" s="280"/>
    </row>
    <row r="752" ht="22.5" customHeight="1">
      <c r="C752" s="280"/>
    </row>
    <row r="753" ht="22.5" customHeight="1">
      <c r="C753" s="280"/>
    </row>
    <row r="754" ht="22.5" customHeight="1">
      <c r="C754" s="280"/>
    </row>
    <row r="755" ht="22.5" customHeight="1">
      <c r="C755" s="280"/>
    </row>
    <row r="756" ht="22.5" customHeight="1">
      <c r="C756" s="280"/>
    </row>
    <row r="757" ht="22.5" customHeight="1">
      <c r="C757" s="280"/>
    </row>
    <row r="758" ht="22.5" customHeight="1">
      <c r="C758" s="280"/>
    </row>
    <row r="759" ht="22.5" customHeight="1">
      <c r="C759" s="280"/>
    </row>
    <row r="760" ht="22.5" customHeight="1">
      <c r="C760" s="280"/>
    </row>
    <row r="761" ht="22.5" customHeight="1">
      <c r="C761" s="280"/>
    </row>
    <row r="762" ht="22.5" customHeight="1">
      <c r="C762" s="280"/>
    </row>
    <row r="763" ht="22.5" customHeight="1">
      <c r="C763" s="280"/>
    </row>
    <row r="764" ht="22.5" customHeight="1">
      <c r="C764" s="280"/>
    </row>
    <row r="765" ht="22.5" customHeight="1">
      <c r="C765" s="280"/>
    </row>
    <row r="766" ht="22.5" customHeight="1">
      <c r="C766" s="280"/>
    </row>
    <row r="767" ht="22.5" customHeight="1">
      <c r="C767" s="280"/>
    </row>
    <row r="768" ht="22.5" customHeight="1">
      <c r="C768" s="280"/>
    </row>
    <row r="769" ht="22.5" customHeight="1">
      <c r="C769" s="280"/>
    </row>
    <row r="770" ht="22.5" customHeight="1">
      <c r="C770" s="280"/>
    </row>
    <row r="771" ht="22.5" customHeight="1">
      <c r="C771" s="280"/>
    </row>
    <row r="772" ht="22.5" customHeight="1">
      <c r="C772" s="280"/>
    </row>
    <row r="773" ht="22.5" customHeight="1">
      <c r="C773" s="280"/>
    </row>
    <row r="774" ht="22.5" customHeight="1">
      <c r="C774" s="280"/>
    </row>
    <row r="775" ht="22.5" customHeight="1">
      <c r="C775" s="280"/>
    </row>
    <row r="776" ht="22.5" customHeight="1">
      <c r="C776" s="280"/>
    </row>
    <row r="777" ht="22.5" customHeight="1">
      <c r="C777" s="280"/>
    </row>
    <row r="778" ht="22.5" customHeight="1">
      <c r="C778" s="280"/>
    </row>
    <row r="779" ht="22.5" customHeight="1">
      <c r="C779" s="280"/>
    </row>
    <row r="780" ht="22.5" customHeight="1">
      <c r="C780" s="280"/>
    </row>
    <row r="781" ht="22.5" customHeight="1">
      <c r="C781" s="280"/>
    </row>
    <row r="782" ht="22.5" customHeight="1">
      <c r="C782" s="280"/>
    </row>
    <row r="783" ht="22.5" customHeight="1">
      <c r="C783" s="280"/>
    </row>
    <row r="784" ht="22.5" customHeight="1">
      <c r="C784" s="280"/>
    </row>
    <row r="785" ht="22.5" customHeight="1">
      <c r="C785" s="280"/>
    </row>
    <row r="786" ht="22.5" customHeight="1">
      <c r="C786" s="280"/>
    </row>
    <row r="787" ht="22.5" customHeight="1">
      <c r="C787" s="280"/>
    </row>
    <row r="788" ht="22.5" customHeight="1">
      <c r="C788" s="280"/>
    </row>
    <row r="789" ht="22.5" customHeight="1">
      <c r="C789" s="280"/>
    </row>
    <row r="790" ht="22.5" customHeight="1">
      <c r="C790" s="280"/>
    </row>
    <row r="791" ht="22.5" customHeight="1">
      <c r="C791" s="280"/>
    </row>
    <row r="792" ht="22.5" customHeight="1">
      <c r="C792" s="280"/>
    </row>
    <row r="793" ht="22.5" customHeight="1">
      <c r="C793" s="280"/>
    </row>
    <row r="794" ht="22.5" customHeight="1">
      <c r="C794" s="280"/>
    </row>
    <row r="795" ht="22.5" customHeight="1">
      <c r="C795" s="280"/>
    </row>
    <row r="796" ht="22.5" customHeight="1">
      <c r="C796" s="280"/>
    </row>
    <row r="797" ht="22.5" customHeight="1">
      <c r="C797" s="280"/>
    </row>
    <row r="798" ht="22.5" customHeight="1">
      <c r="C798" s="280"/>
    </row>
    <row r="799" ht="22.5" customHeight="1">
      <c r="C799" s="280"/>
    </row>
    <row r="800" ht="22.5" customHeight="1">
      <c r="C800" s="280"/>
    </row>
    <row r="801" ht="22.5" customHeight="1">
      <c r="C801" s="280"/>
    </row>
    <row r="802" ht="22.5" customHeight="1">
      <c r="C802" s="280"/>
    </row>
    <row r="803" ht="22.5" customHeight="1">
      <c r="C803" s="280"/>
    </row>
    <row r="804" ht="22.5" customHeight="1">
      <c r="C804" s="280"/>
    </row>
    <row r="805" ht="22.5" customHeight="1">
      <c r="C805" s="280"/>
    </row>
    <row r="806" ht="22.5" customHeight="1">
      <c r="C806" s="280"/>
    </row>
    <row r="807" ht="22.5" customHeight="1">
      <c r="C807" s="280"/>
    </row>
    <row r="808" ht="22.5" customHeight="1">
      <c r="C808" s="280"/>
    </row>
    <row r="809" ht="22.5" customHeight="1">
      <c r="C809" s="280"/>
    </row>
    <row r="810" ht="22.5" customHeight="1">
      <c r="C810" s="280"/>
    </row>
    <row r="811" ht="22.5" customHeight="1">
      <c r="C811" s="280"/>
    </row>
    <row r="812" ht="22.5" customHeight="1">
      <c r="C812" s="280"/>
    </row>
    <row r="813" ht="22.5" customHeight="1">
      <c r="C813" s="280"/>
    </row>
    <row r="814" ht="22.5" customHeight="1">
      <c r="C814" s="280"/>
    </row>
    <row r="815" ht="22.5" customHeight="1">
      <c r="C815" s="280"/>
    </row>
    <row r="816" ht="22.5" customHeight="1">
      <c r="C816" s="280"/>
    </row>
    <row r="817" ht="22.5" customHeight="1">
      <c r="C817" s="280"/>
    </row>
    <row r="818" ht="22.5" customHeight="1">
      <c r="C818" s="280"/>
    </row>
    <row r="819" ht="22.5" customHeight="1">
      <c r="C819" s="280"/>
    </row>
    <row r="820" ht="22.5" customHeight="1">
      <c r="C820" s="280"/>
    </row>
    <row r="821" ht="22.5" customHeight="1">
      <c r="C821" s="280"/>
    </row>
    <row r="822" ht="22.5" customHeight="1">
      <c r="C822" s="280"/>
    </row>
    <row r="823" ht="22.5" customHeight="1">
      <c r="C823" s="280"/>
    </row>
    <row r="824" ht="22.5" customHeight="1">
      <c r="C824" s="280"/>
    </row>
    <row r="825" ht="22.5" customHeight="1">
      <c r="C825" s="280"/>
    </row>
    <row r="826" ht="22.5" customHeight="1">
      <c r="C826" s="280"/>
    </row>
    <row r="827" ht="22.5" customHeight="1">
      <c r="C827" s="280"/>
    </row>
    <row r="828" ht="22.5" customHeight="1">
      <c r="C828" s="280"/>
    </row>
    <row r="829" ht="22.5" customHeight="1">
      <c r="C829" s="280"/>
    </row>
    <row r="830" ht="22.5" customHeight="1">
      <c r="C830" s="280"/>
    </row>
    <row r="831" ht="22.5" customHeight="1">
      <c r="C831" s="280"/>
    </row>
    <row r="832" ht="22.5" customHeight="1">
      <c r="C832" s="280"/>
    </row>
    <row r="833" ht="22.5" customHeight="1">
      <c r="C833" s="280"/>
    </row>
    <row r="834" ht="22.5" customHeight="1">
      <c r="C834" s="280"/>
    </row>
    <row r="835" ht="22.5" customHeight="1">
      <c r="C835" s="280"/>
    </row>
    <row r="836" ht="22.5" customHeight="1">
      <c r="C836" s="280"/>
    </row>
    <row r="837" ht="22.5" customHeight="1">
      <c r="C837" s="280"/>
    </row>
    <row r="838" ht="22.5" customHeight="1">
      <c r="C838" s="280"/>
    </row>
    <row r="839" ht="22.5" customHeight="1">
      <c r="C839" s="280"/>
    </row>
    <row r="840" ht="22.5" customHeight="1">
      <c r="C840" s="280"/>
    </row>
    <row r="841" ht="22.5" customHeight="1">
      <c r="C841" s="280"/>
    </row>
    <row r="842" ht="22.5" customHeight="1">
      <c r="C842" s="280"/>
    </row>
    <row r="843" ht="22.5" customHeight="1">
      <c r="C843" s="280"/>
    </row>
    <row r="844" ht="22.5" customHeight="1">
      <c r="C844" s="280"/>
    </row>
    <row r="845" ht="22.5" customHeight="1">
      <c r="C845" s="280"/>
    </row>
    <row r="846" ht="22.5" customHeight="1">
      <c r="C846" s="280"/>
    </row>
    <row r="847" ht="22.5" customHeight="1">
      <c r="C847" s="280"/>
    </row>
    <row r="848" ht="22.5" customHeight="1">
      <c r="C848" s="280"/>
    </row>
    <row r="849" ht="22.5" customHeight="1">
      <c r="C849" s="280"/>
    </row>
    <row r="850" ht="22.5" customHeight="1">
      <c r="C850" s="280"/>
    </row>
    <row r="851" ht="22.5" customHeight="1">
      <c r="C851" s="280"/>
    </row>
    <row r="852" ht="22.5" customHeight="1">
      <c r="C852" s="280"/>
    </row>
    <row r="853" ht="22.5" customHeight="1">
      <c r="C853" s="280"/>
    </row>
    <row r="854" ht="22.5" customHeight="1">
      <c r="C854" s="280"/>
    </row>
    <row r="855" ht="22.5" customHeight="1">
      <c r="C855" s="280"/>
    </row>
    <row r="856" ht="22.5" customHeight="1">
      <c r="C856" s="280"/>
    </row>
    <row r="857" ht="22.5" customHeight="1">
      <c r="C857" s="280"/>
    </row>
    <row r="858" ht="22.5" customHeight="1">
      <c r="C858" s="280"/>
    </row>
    <row r="859" ht="22.5" customHeight="1">
      <c r="C859" s="280"/>
    </row>
    <row r="860" ht="22.5" customHeight="1">
      <c r="C860" s="280"/>
    </row>
    <row r="861" ht="22.5" customHeight="1">
      <c r="C861" s="280"/>
    </row>
    <row r="862" ht="22.5" customHeight="1">
      <c r="C862" s="280"/>
    </row>
    <row r="863" ht="22.5" customHeight="1">
      <c r="C863" s="280"/>
    </row>
    <row r="864" ht="22.5" customHeight="1">
      <c r="C864" s="280"/>
    </row>
    <row r="865" ht="22.5" customHeight="1">
      <c r="C865" s="280"/>
    </row>
    <row r="866" ht="22.5" customHeight="1">
      <c r="C866" s="280"/>
    </row>
    <row r="867" ht="22.5" customHeight="1">
      <c r="C867" s="280"/>
    </row>
    <row r="868" ht="22.5" customHeight="1">
      <c r="C868" s="280"/>
    </row>
    <row r="869" ht="22.5" customHeight="1">
      <c r="C869" s="280"/>
    </row>
    <row r="870" ht="22.5" customHeight="1">
      <c r="C870" s="280"/>
    </row>
    <row r="871" ht="22.5" customHeight="1">
      <c r="C871" s="280"/>
    </row>
    <row r="872" ht="22.5" customHeight="1">
      <c r="C872" s="280"/>
    </row>
    <row r="873" ht="22.5" customHeight="1">
      <c r="C873" s="280"/>
    </row>
    <row r="874" ht="22.5" customHeight="1">
      <c r="C874" s="280"/>
    </row>
    <row r="875" ht="22.5" customHeight="1">
      <c r="C875" s="280"/>
    </row>
    <row r="876" ht="22.5" customHeight="1">
      <c r="C876" s="280"/>
    </row>
    <row r="877" ht="22.5" customHeight="1">
      <c r="C877" s="280"/>
    </row>
    <row r="878" ht="22.5" customHeight="1">
      <c r="C878" s="280"/>
    </row>
    <row r="879" ht="22.5" customHeight="1">
      <c r="C879" s="280"/>
    </row>
    <row r="880" ht="22.5" customHeight="1">
      <c r="C880" s="280"/>
    </row>
    <row r="881" ht="22.5" customHeight="1">
      <c r="C881" s="280"/>
    </row>
    <row r="882" ht="22.5" customHeight="1">
      <c r="C882" s="280"/>
    </row>
    <row r="883" ht="22.5" customHeight="1">
      <c r="C883" s="280"/>
    </row>
    <row r="884" ht="22.5" customHeight="1">
      <c r="C884" s="280"/>
    </row>
    <row r="885" ht="22.5" customHeight="1">
      <c r="C885" s="280"/>
    </row>
    <row r="886" ht="22.5" customHeight="1">
      <c r="C886" s="280"/>
    </row>
    <row r="887" ht="22.5" customHeight="1">
      <c r="C887" s="280"/>
    </row>
    <row r="888" ht="22.5" customHeight="1">
      <c r="C888" s="280"/>
    </row>
    <row r="889" ht="22.5" customHeight="1">
      <c r="C889" s="280"/>
    </row>
    <row r="890" ht="22.5" customHeight="1">
      <c r="C890" s="280"/>
    </row>
    <row r="891" ht="22.5" customHeight="1">
      <c r="C891" s="280"/>
    </row>
    <row r="892" ht="22.5" customHeight="1">
      <c r="C892" s="280"/>
    </row>
    <row r="893" ht="22.5" customHeight="1">
      <c r="C893" s="280"/>
    </row>
    <row r="894" ht="22.5" customHeight="1">
      <c r="C894" s="280"/>
    </row>
    <row r="895" ht="22.5" customHeight="1">
      <c r="C895" s="280"/>
    </row>
    <row r="896" ht="22.5" customHeight="1">
      <c r="C896" s="280"/>
    </row>
    <row r="897" ht="22.5" customHeight="1">
      <c r="C897" s="280"/>
    </row>
    <row r="898" ht="22.5" customHeight="1">
      <c r="C898" s="280"/>
    </row>
    <row r="899" ht="22.5" customHeight="1">
      <c r="C899" s="280"/>
    </row>
    <row r="900" ht="22.5" customHeight="1">
      <c r="C900" s="280"/>
    </row>
    <row r="901" ht="22.5" customHeight="1">
      <c r="C901" s="280"/>
    </row>
    <row r="902" ht="22.5" customHeight="1">
      <c r="C902" s="280"/>
    </row>
    <row r="903" ht="22.5" customHeight="1">
      <c r="C903" s="280"/>
    </row>
    <row r="904" ht="22.5" customHeight="1">
      <c r="C904" s="280"/>
    </row>
    <row r="905" ht="22.5" customHeight="1">
      <c r="C905" s="280"/>
    </row>
    <row r="906" ht="22.5" customHeight="1">
      <c r="C906" s="280"/>
    </row>
    <row r="907" ht="22.5" customHeight="1">
      <c r="C907" s="280"/>
    </row>
    <row r="908" ht="22.5" customHeight="1">
      <c r="C908" s="280"/>
    </row>
    <row r="909" ht="22.5" customHeight="1">
      <c r="C909" s="280"/>
    </row>
    <row r="910" ht="22.5" customHeight="1">
      <c r="C910" s="280"/>
    </row>
    <row r="911" ht="22.5" customHeight="1">
      <c r="C911" s="280"/>
    </row>
    <row r="912" ht="22.5" customHeight="1">
      <c r="C912" s="280"/>
    </row>
    <row r="913" ht="22.5" customHeight="1">
      <c r="C913" s="280"/>
    </row>
    <row r="914" ht="22.5" customHeight="1">
      <c r="C914" s="280"/>
    </row>
    <row r="915" ht="22.5" customHeight="1">
      <c r="C915" s="280"/>
    </row>
    <row r="916" ht="22.5" customHeight="1">
      <c r="C916" s="280"/>
    </row>
    <row r="917" ht="22.5" customHeight="1">
      <c r="C917" s="280"/>
    </row>
    <row r="918" ht="22.5" customHeight="1">
      <c r="C918" s="280"/>
    </row>
    <row r="919" ht="22.5" customHeight="1">
      <c r="C919" s="280"/>
    </row>
    <row r="920" ht="22.5" customHeight="1">
      <c r="C920" s="280"/>
    </row>
    <row r="921" ht="22.5" customHeight="1">
      <c r="C921" s="280"/>
    </row>
    <row r="922" ht="22.5" customHeight="1">
      <c r="C922" s="280"/>
    </row>
    <row r="923" ht="22.5" customHeight="1">
      <c r="C923" s="280"/>
    </row>
    <row r="924" ht="22.5" customHeight="1">
      <c r="C924" s="280"/>
    </row>
    <row r="925" ht="22.5" customHeight="1">
      <c r="C925" s="280"/>
    </row>
    <row r="926" ht="22.5" customHeight="1">
      <c r="C926" s="280"/>
    </row>
    <row r="927" ht="22.5" customHeight="1">
      <c r="C927" s="280"/>
    </row>
    <row r="928" ht="22.5" customHeight="1">
      <c r="C928" s="280"/>
    </row>
    <row r="929" ht="22.5" customHeight="1">
      <c r="C929" s="280"/>
    </row>
    <row r="930" ht="22.5" customHeight="1">
      <c r="C930" s="280"/>
    </row>
    <row r="931" ht="22.5" customHeight="1">
      <c r="C931" s="280"/>
    </row>
    <row r="932" ht="22.5" customHeight="1">
      <c r="C932" s="280"/>
    </row>
    <row r="933" ht="22.5" customHeight="1">
      <c r="C933" s="280"/>
    </row>
    <row r="934" ht="22.5" customHeight="1">
      <c r="C934" s="280"/>
    </row>
    <row r="935" ht="22.5" customHeight="1">
      <c r="C935" s="280"/>
    </row>
    <row r="936" ht="22.5" customHeight="1">
      <c r="C936" s="280"/>
    </row>
    <row r="937" ht="22.5" customHeight="1">
      <c r="C937" s="280"/>
    </row>
    <row r="938" ht="22.5" customHeight="1">
      <c r="C938" s="280"/>
    </row>
    <row r="939" ht="22.5" customHeight="1">
      <c r="C939" s="280"/>
    </row>
    <row r="940" ht="22.5" customHeight="1">
      <c r="C940" s="280"/>
    </row>
    <row r="941" ht="22.5" customHeight="1">
      <c r="C941" s="280"/>
    </row>
    <row r="942" ht="22.5" customHeight="1">
      <c r="C942" s="280"/>
    </row>
    <row r="943" ht="22.5" customHeight="1">
      <c r="C943" s="280"/>
    </row>
    <row r="944" ht="22.5" customHeight="1">
      <c r="C944" s="280"/>
    </row>
    <row r="945" ht="22.5" customHeight="1">
      <c r="C945" s="280"/>
    </row>
    <row r="946" ht="22.5" customHeight="1">
      <c r="C946" s="280"/>
    </row>
    <row r="947" ht="22.5" customHeight="1">
      <c r="C947" s="280"/>
    </row>
    <row r="948" ht="22.5" customHeight="1">
      <c r="C948" s="280"/>
    </row>
    <row r="949" ht="22.5" customHeight="1">
      <c r="C949" s="280"/>
    </row>
    <row r="950" ht="22.5" customHeight="1">
      <c r="C950" s="280"/>
    </row>
    <row r="951" ht="22.5" customHeight="1">
      <c r="C951" s="280"/>
    </row>
    <row r="952" ht="22.5" customHeight="1">
      <c r="C952" s="280"/>
    </row>
    <row r="953" ht="22.5" customHeight="1">
      <c r="C953" s="280"/>
    </row>
    <row r="954" ht="22.5" customHeight="1">
      <c r="C954" s="280"/>
    </row>
    <row r="955" ht="22.5" customHeight="1">
      <c r="C955" s="280"/>
    </row>
    <row r="956" ht="22.5" customHeight="1">
      <c r="C956" s="280"/>
    </row>
    <row r="957" ht="22.5" customHeight="1">
      <c r="C957" s="280"/>
    </row>
    <row r="958" ht="22.5" customHeight="1">
      <c r="C958" s="280"/>
    </row>
    <row r="959" ht="22.5" customHeight="1">
      <c r="C959" s="280"/>
    </row>
    <row r="960" ht="22.5" customHeight="1">
      <c r="C960" s="280"/>
    </row>
    <row r="961" ht="22.5" customHeight="1">
      <c r="C961" s="280"/>
    </row>
    <row r="962" ht="22.5" customHeight="1">
      <c r="C962" s="280"/>
    </row>
    <row r="963" ht="22.5" customHeight="1">
      <c r="C963" s="280"/>
    </row>
    <row r="964" ht="22.5" customHeight="1">
      <c r="C964" s="280"/>
    </row>
    <row r="965" ht="22.5" customHeight="1">
      <c r="C965" s="280"/>
    </row>
    <row r="966" ht="22.5" customHeight="1">
      <c r="C966" s="280"/>
    </row>
    <row r="967" ht="22.5" customHeight="1">
      <c r="C967" s="280"/>
    </row>
    <row r="968" ht="22.5" customHeight="1">
      <c r="C968" s="280"/>
    </row>
    <row r="969" ht="22.5" customHeight="1">
      <c r="C969" s="280"/>
    </row>
    <row r="970" ht="22.5" customHeight="1">
      <c r="C970" s="280"/>
    </row>
    <row r="971" ht="22.5" customHeight="1">
      <c r="C971" s="280"/>
    </row>
    <row r="972" ht="22.5" customHeight="1">
      <c r="C972" s="280"/>
    </row>
    <row r="973" ht="22.5" customHeight="1">
      <c r="C973" s="280"/>
    </row>
    <row r="974" ht="22.5" customHeight="1">
      <c r="C974" s="280"/>
    </row>
    <row r="975" ht="22.5" customHeight="1">
      <c r="C975" s="280"/>
    </row>
    <row r="976" ht="22.5" customHeight="1">
      <c r="C976" s="280"/>
    </row>
    <row r="977" ht="22.5" customHeight="1">
      <c r="C977" s="280"/>
    </row>
    <row r="978" ht="22.5" customHeight="1">
      <c r="C978" s="280"/>
    </row>
    <row r="979" ht="22.5" customHeight="1">
      <c r="C979" s="280"/>
    </row>
    <row r="980" ht="22.5" customHeight="1">
      <c r="C980" s="280"/>
    </row>
    <row r="981" ht="22.5" customHeight="1">
      <c r="C981" s="280"/>
    </row>
    <row r="982" ht="22.5" customHeight="1">
      <c r="C982" s="280"/>
    </row>
    <row r="983" ht="22.5" customHeight="1">
      <c r="C983" s="280"/>
    </row>
    <row r="984" ht="22.5" customHeight="1">
      <c r="C984" s="280"/>
    </row>
    <row r="985" ht="22.5" customHeight="1">
      <c r="C985" s="280"/>
    </row>
    <row r="986" ht="22.5" customHeight="1">
      <c r="C986" s="280"/>
    </row>
    <row r="987" ht="22.5" customHeight="1">
      <c r="C987" s="280"/>
    </row>
    <row r="988" ht="22.5" customHeight="1">
      <c r="C988" s="280"/>
    </row>
    <row r="989" ht="22.5" customHeight="1">
      <c r="C989" s="280"/>
    </row>
    <row r="990" ht="22.5" customHeight="1">
      <c r="C990" s="280"/>
    </row>
    <row r="991" ht="22.5" customHeight="1">
      <c r="C991" s="280"/>
    </row>
    <row r="992" ht="22.5" customHeight="1">
      <c r="C992" s="280"/>
    </row>
    <row r="993" ht="22.5" customHeight="1">
      <c r="C993" s="280"/>
    </row>
    <row r="994" ht="22.5" customHeight="1">
      <c r="C994" s="280"/>
    </row>
    <row r="995" ht="22.5" customHeight="1">
      <c r="C995" s="280"/>
    </row>
    <row r="996" ht="22.5" customHeight="1">
      <c r="C996" s="280"/>
    </row>
    <row r="997" ht="22.5" customHeight="1">
      <c r="C997" s="280"/>
    </row>
    <row r="998" ht="22.5" customHeight="1">
      <c r="C998" s="280"/>
    </row>
    <row r="999" ht="22.5" customHeight="1">
      <c r="C999" s="280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2.75"/>
  <cols>
    <col customWidth="1" min="1" max="1" width="6.63"/>
    <col customWidth="1" min="2" max="2" width="36.38"/>
    <col customWidth="1" min="3" max="3" width="47.75"/>
    <col customWidth="1" min="4" max="4" width="15.13"/>
    <col customWidth="1" min="5" max="5" width="31.63"/>
    <col customWidth="1" min="6" max="6" width="19.75"/>
    <col customWidth="1" min="7" max="7" width="29.13"/>
  </cols>
  <sheetData>
    <row r="1">
      <c r="A1" s="823"/>
      <c r="B1" s="823"/>
      <c r="C1" s="824"/>
      <c r="D1" s="824"/>
      <c r="E1" s="824"/>
      <c r="F1" s="825">
        <v>45834.0</v>
      </c>
      <c r="G1" s="826" t="s">
        <v>4099</v>
      </c>
    </row>
    <row r="2">
      <c r="A2" s="827" t="s">
        <v>4100</v>
      </c>
      <c r="B2" s="827" t="str">
        <f>'CREDITO ENE JUL 2025'!B34</f>
        <v>Ada Carolina Conde Dra </v>
      </c>
      <c r="C2" s="827" t="s">
        <v>4101</v>
      </c>
      <c r="D2" s="828">
        <f>'CREDITO ENE JUL 2025'!C34</f>
        <v>268000</v>
      </c>
      <c r="E2" s="827" t="s">
        <v>4102</v>
      </c>
      <c r="F2" s="829"/>
      <c r="G2" s="829">
        <f>'CREDITO ENE JUL 2025'!A34</f>
        <v>33</v>
      </c>
    </row>
    <row r="3">
      <c r="A3" s="830" t="s">
        <v>4100</v>
      </c>
      <c r="B3" s="830" t="str">
        <f>'CARTERA VENCIDA '!B8</f>
        <v>Alejandra Ramirez 14</v>
      </c>
      <c r="C3" s="830" t="s">
        <v>4103</v>
      </c>
      <c r="D3" s="831">
        <f>'CARTERA VENCIDA '!E8</f>
        <v>2398100</v>
      </c>
      <c r="E3" s="827" t="s">
        <v>4102</v>
      </c>
      <c r="F3" s="832" t="s">
        <v>4104</v>
      </c>
      <c r="G3" s="832" t="s">
        <v>4105</v>
      </c>
    </row>
    <row r="4" hidden="1">
      <c r="A4" s="827" t="s">
        <v>4100</v>
      </c>
      <c r="B4" s="827" t="str">
        <f>'CREDITO ENE JUL 2025'!B198</f>
        <v>Alejandro Angel DR</v>
      </c>
      <c r="C4" s="827" t="s">
        <v>4101</v>
      </c>
      <c r="D4" s="828">
        <f>'CREDITO ENE JUL 2025'!C198</f>
        <v>0</v>
      </c>
      <c r="E4" s="827" t="s">
        <v>4102</v>
      </c>
      <c r="F4" s="829"/>
      <c r="G4" s="829">
        <f>'CREDITO ENE JUL 2025'!A198</f>
        <v>197</v>
      </c>
    </row>
    <row r="5">
      <c r="A5" s="827" t="s">
        <v>4100</v>
      </c>
      <c r="B5" s="827" t="str">
        <f>'CREDITO ENE JUL 2025'!B65</f>
        <v>Alejandro Gutierrez</v>
      </c>
      <c r="C5" s="827" t="s">
        <v>4101</v>
      </c>
      <c r="D5" s="828">
        <f>'CREDITO ENE JUL 2025'!C65</f>
        <v>504100</v>
      </c>
      <c r="E5" s="827" t="s">
        <v>4102</v>
      </c>
      <c r="F5" s="829"/>
      <c r="G5" s="833">
        <f>'CREDITO ENE JUL 2025'!A65</f>
        <v>64</v>
      </c>
    </row>
    <row r="6">
      <c r="A6" s="827" t="s">
        <v>4100</v>
      </c>
      <c r="B6" s="827" t="str">
        <f>'CREDITO ENE JUL 2025'!B151</f>
        <v>Alejandro Izquierdo </v>
      </c>
      <c r="C6" s="827" t="s">
        <v>4101</v>
      </c>
      <c r="D6" s="828">
        <f>'CREDITO ENE JUL 2025'!C151</f>
        <v>126000</v>
      </c>
      <c r="E6" s="827" t="s">
        <v>4102</v>
      </c>
      <c r="F6" s="829"/>
      <c r="G6" s="829">
        <f>'CREDITO ENE JUL 2025'!A151</f>
        <v>150</v>
      </c>
    </row>
    <row r="7">
      <c r="A7" s="827" t="s">
        <v>4100</v>
      </c>
      <c r="B7" s="827" t="str">
        <f>'CREDITO ENE JUL 2025'!B124</f>
        <v>Alejandro Ruiz Dr</v>
      </c>
      <c r="C7" s="827" t="s">
        <v>4101</v>
      </c>
      <c r="D7" s="828">
        <f>'CREDITO ENE JUL 2025'!C124</f>
        <v>280000</v>
      </c>
      <c r="E7" s="827" t="s">
        <v>4102</v>
      </c>
      <c r="F7" s="829" t="s">
        <v>4106</v>
      </c>
      <c r="G7" s="829">
        <f>'CREDITO ENE JUL 2025'!A124</f>
        <v>123</v>
      </c>
    </row>
    <row r="8">
      <c r="A8" s="827" t="s">
        <v>4100</v>
      </c>
      <c r="B8" s="827" t="str">
        <f>'CREDITO ENE JUL 2025'!B158</f>
        <v>Alvaro Obando DR</v>
      </c>
      <c r="C8" s="827" t="s">
        <v>4101</v>
      </c>
      <c r="D8" s="828">
        <f>'CREDITO ENE JUL 2025'!C158</f>
        <v>1574500</v>
      </c>
      <c r="E8" s="827" t="s">
        <v>4102</v>
      </c>
      <c r="F8" s="829" t="s">
        <v>4106</v>
      </c>
      <c r="G8" s="829">
        <f>'CREDITO ENE JUL 2025'!A158</f>
        <v>157</v>
      </c>
    </row>
    <row r="9" hidden="1">
      <c r="A9" s="827" t="s">
        <v>4100</v>
      </c>
      <c r="B9" s="827" t="str">
        <f>'CREDITO ENE JUL 2025'!B141</f>
        <v>Andrea Daza POST </v>
      </c>
      <c r="C9" s="827" t="s">
        <v>4101</v>
      </c>
      <c r="D9" s="828">
        <f>'CREDITO ENE JUL 2025'!C141</f>
        <v>0</v>
      </c>
      <c r="E9" s="827" t="s">
        <v>4102</v>
      </c>
      <c r="F9" s="829" t="s">
        <v>4107</v>
      </c>
      <c r="G9" s="829">
        <f>'CREDITO ENE JUL 2025'!A141</f>
        <v>140</v>
      </c>
    </row>
    <row r="10">
      <c r="A10" s="827" t="s">
        <v>4100</v>
      </c>
      <c r="B10" s="827" t="str">
        <f>'CREDITO ENE JUL 2025'!B42</f>
        <v>Andrea Perez </v>
      </c>
      <c r="C10" s="827" t="s">
        <v>4101</v>
      </c>
      <c r="D10" s="828">
        <f>'CREDITO ENE JUL 2025'!C42</f>
        <v>1191100</v>
      </c>
      <c r="E10" s="827" t="s">
        <v>4102</v>
      </c>
      <c r="F10" s="829"/>
      <c r="G10" s="829">
        <f>'CREDITO ENE JUL 2025'!A42</f>
        <v>41</v>
      </c>
    </row>
    <row r="11">
      <c r="A11" s="827" t="s">
        <v>4100</v>
      </c>
      <c r="B11" s="827" t="str">
        <f>'CREDITO ENE JUL 2025'!B99</f>
        <v>Andrea Portocarrero </v>
      </c>
      <c r="C11" s="827" t="s">
        <v>4101</v>
      </c>
      <c r="D11" s="828">
        <f>'CREDITO ENE JUL 2025'!C99</f>
        <v>270500</v>
      </c>
      <c r="E11" s="827" t="s">
        <v>4102</v>
      </c>
      <c r="F11" s="829"/>
      <c r="G11" s="829">
        <f>'CREDITO ENE JUL 2025'!A99</f>
        <v>98</v>
      </c>
    </row>
    <row r="12" hidden="1">
      <c r="A12" s="827" t="s">
        <v>4100</v>
      </c>
      <c r="B12" s="827" t="str">
        <f>'CREDITO ENE JUL 2025'!B181</f>
        <v>Andres Giraldo Dr </v>
      </c>
      <c r="C12" s="827" t="s">
        <v>4101</v>
      </c>
      <c r="D12" s="828">
        <f>'CREDITO ENE JUL 2025'!C181</f>
        <v>0</v>
      </c>
      <c r="E12" s="827" t="s">
        <v>4102</v>
      </c>
      <c r="F12" s="829"/>
      <c r="G12" s="829">
        <f>'CREDITO ENE JUL 2025'!A181</f>
        <v>180</v>
      </c>
    </row>
    <row r="13" hidden="1">
      <c r="A13" s="827" t="s">
        <v>4100</v>
      </c>
      <c r="B13" s="827" t="str">
        <f>'CREDITO ENE JUL 2025'!B182</f>
        <v>Angela Rivero Dr</v>
      </c>
      <c r="C13" s="827" t="s">
        <v>4101</v>
      </c>
      <c r="D13" s="828">
        <f>'CREDITO ENE JUL 2025'!C182</f>
        <v>0</v>
      </c>
      <c r="E13" s="827" t="s">
        <v>4102</v>
      </c>
      <c r="F13" s="829"/>
      <c r="G13" s="829">
        <f>'CREDITO ENE JUL 2025'!A182</f>
        <v>181</v>
      </c>
    </row>
    <row r="14" hidden="1">
      <c r="A14" s="827" t="s">
        <v>4100</v>
      </c>
      <c r="B14" s="827" t="str">
        <f>'CREDITO ENE JUL 2025'!B100</f>
        <v>Angela Tovar </v>
      </c>
      <c r="C14" s="827" t="s">
        <v>4101</v>
      </c>
      <c r="D14" s="828">
        <f>'CREDITO ENE JUL 2025'!C100</f>
        <v>0</v>
      </c>
      <c r="E14" s="827" t="s">
        <v>4102</v>
      </c>
      <c r="F14" s="829"/>
      <c r="G14" s="833">
        <f>'CREDITO ENE JUL 2025'!A100</f>
        <v>99</v>
      </c>
    </row>
    <row r="15">
      <c r="A15" s="827" t="s">
        <v>4100</v>
      </c>
      <c r="B15" s="827" t="str">
        <f>'CREDITO ENE JUL 2025'!B66</f>
        <v>Arantxa Sandoval </v>
      </c>
      <c r="C15" s="827" t="s">
        <v>4101</v>
      </c>
      <c r="D15" s="828">
        <f>'CREDITO ENE JUL 2025'!C66</f>
        <v>991900</v>
      </c>
      <c r="E15" s="827" t="s">
        <v>4102</v>
      </c>
      <c r="F15" s="829"/>
      <c r="G15" s="829">
        <f>'CREDITO ENE JUL 2025'!A66</f>
        <v>65</v>
      </c>
    </row>
    <row r="16">
      <c r="A16" s="834" t="s">
        <v>4100</v>
      </c>
      <c r="B16" s="834" t="str">
        <f>'CARTERA VENCIDA '!B50</f>
        <v>Astrid Vergara</v>
      </c>
      <c r="C16" s="834" t="s">
        <v>4108</v>
      </c>
      <c r="D16" s="835" t="str">
        <f>'CARTERA VENCIDA '!E50</f>
        <v>6 charisma</v>
      </c>
      <c r="E16" s="827" t="s">
        <v>4102</v>
      </c>
      <c r="F16" s="836" t="s">
        <v>4106</v>
      </c>
      <c r="G16" s="836" t="s">
        <v>4109</v>
      </c>
    </row>
    <row r="17">
      <c r="A17" s="827" t="s">
        <v>4100</v>
      </c>
      <c r="B17" s="827" t="str">
        <f>'CREDITO ENE JUL 2025'!B15</f>
        <v>Brayan Gonzalez</v>
      </c>
      <c r="C17" s="827" t="s">
        <v>4101</v>
      </c>
      <c r="D17" s="828">
        <f>'CREDITO ENE JUL 2025'!C15</f>
        <v>2655900</v>
      </c>
      <c r="E17" s="827" t="s">
        <v>4102</v>
      </c>
      <c r="F17" s="829"/>
      <c r="G17" s="829">
        <f>'CREDITO ENE JUL 2025'!A15</f>
        <v>14</v>
      </c>
    </row>
    <row r="18" hidden="1">
      <c r="A18" s="827" t="s">
        <v>4100</v>
      </c>
      <c r="B18" s="827" t="str">
        <f>'CREDITO ENE JUL 2025'!B69</f>
        <v>Camila Ortega Portilla</v>
      </c>
      <c r="C18" s="827" t="s">
        <v>4101</v>
      </c>
      <c r="D18" s="828">
        <f>'CREDITO ENE JUL 2025'!C69</f>
        <v>0</v>
      </c>
      <c r="E18" s="827" t="s">
        <v>4102</v>
      </c>
      <c r="F18" s="829"/>
      <c r="G18" s="833">
        <f>'CREDITO ENE JUL 2025'!A69</f>
        <v>68</v>
      </c>
    </row>
    <row r="19">
      <c r="A19" s="827" t="s">
        <v>4100</v>
      </c>
      <c r="B19" s="827" t="str">
        <f>'CREDITO ENE JUL 2025'!B109</f>
        <v>Camilo Mayor</v>
      </c>
      <c r="C19" s="827" t="s">
        <v>4101</v>
      </c>
      <c r="D19" s="828">
        <f>'CREDITO ENE JUL 2025'!C109</f>
        <v>240000</v>
      </c>
      <c r="E19" s="827" t="s">
        <v>4102</v>
      </c>
      <c r="F19" s="829"/>
      <c r="G19" s="833">
        <f>'CREDITO ENE JUL 2025'!A109</f>
        <v>108</v>
      </c>
    </row>
    <row r="20">
      <c r="A20" s="837" t="s">
        <v>4100</v>
      </c>
      <c r="B20" s="837" t="str">
        <f>'CARTERA VENCIDA '!B41</f>
        <v>Camilo Quiñones DR</v>
      </c>
      <c r="C20" s="837" t="s">
        <v>4110</v>
      </c>
      <c r="D20" s="838">
        <f>'CARTERA VENCIDA '!E41</f>
        <v>2336000</v>
      </c>
      <c r="E20" s="827" t="s">
        <v>4102</v>
      </c>
      <c r="F20" s="839" t="s">
        <v>4111</v>
      </c>
      <c r="G20" s="839" t="s">
        <v>4112</v>
      </c>
    </row>
    <row r="21">
      <c r="A21" s="827" t="s">
        <v>4100</v>
      </c>
      <c r="B21" s="827" t="str">
        <f>'CREDITO ENE JUL 2025'!B41</f>
        <v>Carlos Diaz Laboratorio </v>
      </c>
      <c r="C21" s="827" t="s">
        <v>4101</v>
      </c>
      <c r="D21" s="828">
        <f>'CREDITO ENE JUL 2025'!C41</f>
        <v>270000</v>
      </c>
      <c r="E21" s="827" t="s">
        <v>4102</v>
      </c>
      <c r="F21" s="829"/>
      <c r="G21" s="829">
        <f>'CREDITO ENE JUL 2025'!A41</f>
        <v>40</v>
      </c>
    </row>
    <row r="22">
      <c r="A22" s="837" t="s">
        <v>4100</v>
      </c>
      <c r="B22" s="837" t="str">
        <f>'CARTERA VENCIDA '!B40</f>
        <v>Carlos Maiguel</v>
      </c>
      <c r="C22" s="837" t="s">
        <v>4113</v>
      </c>
      <c r="D22" s="838">
        <f>'CARTERA VENCIDA '!E40</f>
        <v>270000</v>
      </c>
      <c r="E22" s="827" t="s">
        <v>4102</v>
      </c>
      <c r="F22" s="839"/>
      <c r="G22" s="839" t="s">
        <v>4112</v>
      </c>
    </row>
    <row r="23" hidden="1">
      <c r="A23" s="827" t="s">
        <v>4100</v>
      </c>
      <c r="B23" s="827" t="str">
        <f>'CREDITO ENE JUL 2025'!B152</f>
        <v>Carlos Maiguel POST</v>
      </c>
      <c r="C23" s="827" t="s">
        <v>4101</v>
      </c>
      <c r="D23" s="828">
        <f>'CREDITO ENE JUL 2025'!C152</f>
        <v>0</v>
      </c>
      <c r="E23" s="827" t="s">
        <v>4102</v>
      </c>
      <c r="F23" s="829"/>
      <c r="G23" s="833">
        <f>'CREDITO ENE JUL 2025'!A152</f>
        <v>151</v>
      </c>
    </row>
    <row r="24">
      <c r="A24" s="834" t="s">
        <v>4100</v>
      </c>
      <c r="B24" s="834" t="str">
        <f>'CARTERA VENCIDA '!B44</f>
        <v>Carlos Pinto </v>
      </c>
      <c r="C24" s="834" t="s">
        <v>4114</v>
      </c>
      <c r="D24" s="835">
        <f>'CARTERA VENCIDA '!E44</f>
        <v>932500</v>
      </c>
      <c r="E24" s="827" t="s">
        <v>4102</v>
      </c>
      <c r="F24" s="836" t="s">
        <v>4115</v>
      </c>
      <c r="G24" s="836" t="s">
        <v>4109</v>
      </c>
    </row>
    <row r="25">
      <c r="A25" s="827" t="s">
        <v>4100</v>
      </c>
      <c r="B25" s="827" t="str">
        <f>'CREDITO ENE JUL 2025'!B189</f>
        <v>Carmen Sarria la UNION DR</v>
      </c>
      <c r="C25" s="827" t="s">
        <v>4101</v>
      </c>
      <c r="D25" s="828">
        <f>'CREDITO ENE JUL 2025'!C189</f>
        <v>1052000</v>
      </c>
      <c r="E25" s="827" t="s">
        <v>4102</v>
      </c>
      <c r="F25" s="829"/>
      <c r="G25" s="829">
        <f>'CREDITO ENE JUL 2025'!A189</f>
        <v>188</v>
      </c>
    </row>
    <row r="26">
      <c r="A26" s="827" t="s">
        <v>4100</v>
      </c>
      <c r="B26" s="827" t="str">
        <f>'CREDITO ENE JUL 2025'!B7</f>
        <v>Carol Mejia</v>
      </c>
      <c r="C26" s="827" t="s">
        <v>4101</v>
      </c>
      <c r="D26" s="828">
        <f>'CREDITO ENE JUL 2025'!C7</f>
        <v>1514800</v>
      </c>
      <c r="E26" s="827" t="s">
        <v>4102</v>
      </c>
      <c r="F26" s="829"/>
      <c r="G26" s="829">
        <f>'CREDITO ENE JUL 2025'!A7</f>
        <v>6</v>
      </c>
    </row>
    <row r="27">
      <c r="A27" s="827" t="s">
        <v>4100</v>
      </c>
      <c r="B27" s="827" t="str">
        <f>'CREDITO ENE JUL 2025'!B55</f>
        <v>Carolina Pachon </v>
      </c>
      <c r="C27" s="827" t="s">
        <v>4101</v>
      </c>
      <c r="D27" s="828">
        <f>'CREDITO ENE JUL 2025'!C55</f>
        <v>1661700</v>
      </c>
      <c r="E27" s="827" t="s">
        <v>4102</v>
      </c>
      <c r="F27" s="829" t="s">
        <v>4116</v>
      </c>
      <c r="G27" s="829">
        <f>'CREDITO ENE JUL 2025'!A55</f>
        <v>54</v>
      </c>
    </row>
    <row r="28">
      <c r="A28" s="827" t="s">
        <v>4100</v>
      </c>
      <c r="B28" s="827" t="str">
        <f>'CREDITO ENE JUL 2025'!B44</f>
        <v>Catalina Lasso</v>
      </c>
      <c r="C28" s="827" t="s">
        <v>4101</v>
      </c>
      <c r="D28" s="828">
        <f>'CREDITO ENE JUL 2025'!C44</f>
        <v>1234000</v>
      </c>
      <c r="E28" s="827" t="s">
        <v>4102</v>
      </c>
      <c r="F28" s="829"/>
      <c r="G28" s="829">
        <f>'CREDITO ENE JUL 2025'!A44</f>
        <v>43</v>
      </c>
    </row>
    <row r="29">
      <c r="A29" s="827" t="s">
        <v>4100</v>
      </c>
      <c r="B29" s="827" t="str">
        <f>'CREDITO ENE JUL 2025'!B2</f>
        <v>CLAUDIA GAVIRIA DAGUA</v>
      </c>
      <c r="C29" s="827" t="s">
        <v>4101</v>
      </c>
      <c r="D29" s="828">
        <f>'CREDITO ENE JUL 2025'!C2</f>
        <v>1439000</v>
      </c>
      <c r="E29" s="827" t="s">
        <v>4102</v>
      </c>
      <c r="F29" s="829"/>
      <c r="G29" s="829">
        <f>'CREDITO ENE JUL 2025'!A2</f>
        <v>1</v>
      </c>
    </row>
    <row r="30">
      <c r="A30" s="827" t="s">
        <v>4100</v>
      </c>
      <c r="B30" s="827" t="str">
        <f>'CREDITO ENE JUL 2025'!B20</f>
        <v>Claudia Gaviria Norte Dra </v>
      </c>
      <c r="C30" s="827" t="s">
        <v>4101</v>
      </c>
      <c r="D30" s="828">
        <f>'CREDITO ENE JUL 2025'!C20</f>
        <v>604800</v>
      </c>
      <c r="E30" s="827" t="s">
        <v>4102</v>
      </c>
      <c r="F30" s="829"/>
      <c r="G30" s="829">
        <f>'CREDITO ENE JUL 2025'!A20</f>
        <v>19</v>
      </c>
    </row>
    <row r="31">
      <c r="A31" s="827" t="s">
        <v>4100</v>
      </c>
      <c r="B31" s="827" t="str">
        <f>'CREDITO ENE JUL 2025'!B5</f>
        <v>Claudia Rodriguez</v>
      </c>
      <c r="C31" s="827" t="s">
        <v>4101</v>
      </c>
      <c r="D31" s="828">
        <f>'CREDITO ENE JUL 2025'!C5</f>
        <v>1297800</v>
      </c>
      <c r="E31" s="827" t="s">
        <v>4102</v>
      </c>
      <c r="F31" s="829"/>
      <c r="G31" s="829">
        <f>'CREDITO ENE JUL 2025'!A5</f>
        <v>4</v>
      </c>
    </row>
    <row r="32">
      <c r="A32" s="827" t="s">
        <v>4100</v>
      </c>
      <c r="B32" s="827" t="str">
        <f>'CREDITO ENE JUL 2025'!B21</f>
        <v>Cristian Rubio</v>
      </c>
      <c r="C32" s="827" t="s">
        <v>4101</v>
      </c>
      <c r="D32" s="828">
        <f>'CREDITO ENE JUL 2025'!C21</f>
        <v>9000</v>
      </c>
      <c r="E32" s="827" t="s">
        <v>4102</v>
      </c>
      <c r="F32" s="829"/>
      <c r="G32" s="829">
        <f>'CREDITO ENE JUL 2025'!A21</f>
        <v>20</v>
      </c>
    </row>
    <row r="33">
      <c r="A33" s="830" t="s">
        <v>4100</v>
      </c>
      <c r="B33" s="830" t="str">
        <f>'CARTERA VENCIDA '!B19</f>
        <v>Cristina Gomez</v>
      </c>
      <c r="C33" s="830" t="s">
        <v>4117</v>
      </c>
      <c r="D33" s="831">
        <f>'CARTERA VENCIDA '!E19</f>
        <v>722100</v>
      </c>
      <c r="E33" s="827" t="s">
        <v>4102</v>
      </c>
      <c r="F33" s="832"/>
      <c r="G33" s="832" t="s">
        <v>4105</v>
      </c>
    </row>
    <row r="34" hidden="1">
      <c r="A34" s="827" t="s">
        <v>4100</v>
      </c>
      <c r="B34" s="827" t="str">
        <f>'CREDITO ENE JUL 2025'!B107</f>
        <v>Daniel Vallejo </v>
      </c>
      <c r="C34" s="827" t="s">
        <v>4101</v>
      </c>
      <c r="D34" s="828">
        <f>'CREDITO ENE JUL 2025'!C107</f>
        <v>0</v>
      </c>
      <c r="E34" s="827" t="s">
        <v>4102</v>
      </c>
      <c r="F34" s="829"/>
      <c r="G34" s="829">
        <f>'CREDITO ENE JUL 2025'!A107</f>
        <v>106</v>
      </c>
    </row>
    <row r="35">
      <c r="A35" s="827" t="s">
        <v>4100</v>
      </c>
      <c r="B35" s="827" t="str">
        <f>'CREDITO ENE JUL 2025'!B8</f>
        <v>Daniela Garcia </v>
      </c>
      <c r="C35" s="827" t="s">
        <v>4101</v>
      </c>
      <c r="D35" s="828">
        <f>'CREDITO ENE JUL 2025'!C8</f>
        <v>1037000</v>
      </c>
      <c r="E35" s="827" t="s">
        <v>4102</v>
      </c>
      <c r="F35" s="829"/>
      <c r="G35" s="829">
        <f>'CREDITO ENE JUL 2025'!A8</f>
        <v>7</v>
      </c>
    </row>
    <row r="36" hidden="1">
      <c r="A36" s="827" t="s">
        <v>4100</v>
      </c>
      <c r="B36" s="827" t="str">
        <f>'CREDITO ENE JUL 2025'!B47</f>
        <v>Daniela Gomez</v>
      </c>
      <c r="C36" s="827" t="s">
        <v>4101</v>
      </c>
      <c r="D36" s="828">
        <f>'CREDITO ENE JUL 2025'!C47</f>
        <v>0</v>
      </c>
      <c r="E36" s="827" t="s">
        <v>4102</v>
      </c>
      <c r="F36" s="829"/>
      <c r="G36" s="829">
        <f>'CREDITO ENE JUL 2025'!A47</f>
        <v>46</v>
      </c>
    </row>
    <row r="37" hidden="1">
      <c r="A37" s="827" t="s">
        <v>4100</v>
      </c>
      <c r="B37" s="827" t="str">
        <f>'CREDITO ENE JUL 2025'!B199</f>
        <v>Daniela Largacha DR</v>
      </c>
      <c r="C37" s="827" t="s">
        <v>4101</v>
      </c>
      <c r="D37" s="828">
        <f>'CREDITO ENE JUL 2025'!C199</f>
        <v>0</v>
      </c>
      <c r="E37" s="827" t="s">
        <v>4102</v>
      </c>
      <c r="F37" s="829"/>
      <c r="G37" s="833">
        <f>'CREDITO ENE JUL 2025'!A199</f>
        <v>198</v>
      </c>
    </row>
    <row r="38">
      <c r="A38" s="827" t="s">
        <v>4100</v>
      </c>
      <c r="B38" s="827" t="str">
        <f>'CREDITO ENE JUL 2025'!B175</f>
        <v>Daniela Trujillo DRA </v>
      </c>
      <c r="C38" s="827" t="s">
        <v>4101</v>
      </c>
      <c r="D38" s="828">
        <f>'CREDITO ENE JUL 2025'!C175</f>
        <v>451500</v>
      </c>
      <c r="E38" s="827" t="s">
        <v>4102</v>
      </c>
      <c r="F38" s="829" t="s">
        <v>4106</v>
      </c>
      <c r="G38" s="829">
        <f>'CREDITO ENE JUL 2025'!A175</f>
        <v>174</v>
      </c>
    </row>
    <row r="39">
      <c r="A39" s="827" t="s">
        <v>4100</v>
      </c>
      <c r="B39" s="827" t="str">
        <f>'CREDITO ENE JUL 2025'!B13</f>
        <v>Daniela Zambrano</v>
      </c>
      <c r="C39" s="827" t="s">
        <v>4101</v>
      </c>
      <c r="D39" s="828">
        <f>'CREDITO ENE JUL 2025'!C13</f>
        <v>1562400</v>
      </c>
      <c r="E39" s="827" t="s">
        <v>4102</v>
      </c>
      <c r="F39" s="829" t="s">
        <v>4118</v>
      </c>
      <c r="G39" s="829">
        <f>'CREDITO ENE JUL 2025'!A13</f>
        <v>12</v>
      </c>
    </row>
    <row r="40">
      <c r="A40" s="827" t="s">
        <v>4100</v>
      </c>
      <c r="B40" s="827" t="str">
        <f>'CREDITO ENE JUL 2025'!B110</f>
        <v>Danny Gelpud</v>
      </c>
      <c r="C40" s="827" t="s">
        <v>4101</v>
      </c>
      <c r="D40" s="828">
        <f>'CREDITO ENE JUL 2025'!C110</f>
        <v>28500</v>
      </c>
      <c r="E40" s="827" t="s">
        <v>4102</v>
      </c>
      <c r="F40" s="829"/>
      <c r="G40" s="833">
        <f>'CREDITO ENE JUL 2025'!A110</f>
        <v>109</v>
      </c>
    </row>
    <row r="41" hidden="1">
      <c r="A41" s="827" t="s">
        <v>4100</v>
      </c>
      <c r="B41" s="827" t="str">
        <f>'CREDITO ENE JUL 2025'!B146</f>
        <v>David Agudelo</v>
      </c>
      <c r="C41" s="827" t="s">
        <v>4101</v>
      </c>
      <c r="D41" s="828">
        <f>'CREDITO ENE JUL 2025'!C146</f>
        <v>0</v>
      </c>
      <c r="E41" s="827" t="s">
        <v>4102</v>
      </c>
      <c r="F41" s="829" t="s">
        <v>4107</v>
      </c>
      <c r="G41" s="833">
        <f>'CREDITO ENE JUL 2025'!A146</f>
        <v>145</v>
      </c>
    </row>
    <row r="42" hidden="1">
      <c r="A42" s="827" t="s">
        <v>4100</v>
      </c>
      <c r="B42" s="827" t="str">
        <f>'CREDITO ENE JUL 2025'!B81</f>
        <v>David Rosero</v>
      </c>
      <c r="C42" s="827" t="s">
        <v>4101</v>
      </c>
      <c r="D42" s="828">
        <f>'CREDITO ENE JUL 2025'!C81</f>
        <v>0</v>
      </c>
      <c r="E42" s="827" t="s">
        <v>4102</v>
      </c>
      <c r="F42" s="829" t="s">
        <v>4119</v>
      </c>
      <c r="G42" s="829">
        <f>'CREDITO ENE JUL 2025'!A81</f>
        <v>80</v>
      </c>
    </row>
    <row r="43">
      <c r="A43" s="827" t="s">
        <v>4100</v>
      </c>
      <c r="B43" s="827" t="str">
        <f>'CREDITO ENE JUL 2025'!B116</f>
        <v>Dayana Lopez </v>
      </c>
      <c r="C43" s="827" t="s">
        <v>4101</v>
      </c>
      <c r="D43" s="828">
        <f>'CREDITO ENE JUL 2025'!C116</f>
        <v>1368700</v>
      </c>
      <c r="E43" s="827" t="s">
        <v>4102</v>
      </c>
      <c r="F43" s="829"/>
      <c r="G43" s="829">
        <f>'CREDITO ENE JUL 2025'!A116</f>
        <v>115</v>
      </c>
    </row>
    <row r="44">
      <c r="A44" s="827" t="s">
        <v>4100</v>
      </c>
      <c r="B44" s="827" t="str">
        <f>'CREDITO ENE JUL 2025'!B122</f>
        <v>Dayi Granja </v>
      </c>
      <c r="C44" s="827" t="s">
        <v>4101</v>
      </c>
      <c r="D44" s="828">
        <f>'CREDITO ENE JUL 2025'!C122</f>
        <v>1134800</v>
      </c>
      <c r="E44" s="827" t="s">
        <v>4102</v>
      </c>
      <c r="F44" s="829"/>
      <c r="G44" s="829">
        <f>'CREDITO ENE JUL 2025'!A122</f>
        <v>121</v>
      </c>
    </row>
    <row r="45">
      <c r="A45" s="827" t="s">
        <v>4100</v>
      </c>
      <c r="B45" s="827" t="str">
        <f>'CREDITO ENE JUL 2025'!B27</f>
        <v>Diana Carolina Vargas Dra </v>
      </c>
      <c r="C45" s="827" t="s">
        <v>4101</v>
      </c>
      <c r="D45" s="828">
        <f>'CREDITO ENE JUL 2025'!C27</f>
        <v>245500</v>
      </c>
      <c r="E45" s="827" t="s">
        <v>4102</v>
      </c>
      <c r="F45" s="829"/>
      <c r="G45" s="829">
        <f>'CREDITO ENE JUL 2025'!A27</f>
        <v>26</v>
      </c>
    </row>
    <row r="46">
      <c r="A46" s="827" t="s">
        <v>4100</v>
      </c>
      <c r="B46" s="827" t="str">
        <f>'CREDITO ENE JUL 2025'!B85</f>
        <v>Diana Estefania Cordoba</v>
      </c>
      <c r="C46" s="827" t="s">
        <v>4101</v>
      </c>
      <c r="D46" s="828">
        <f>'CREDITO ENE JUL 2025'!C85</f>
        <v>766000</v>
      </c>
      <c r="E46" s="827" t="s">
        <v>4102</v>
      </c>
      <c r="F46" s="829"/>
      <c r="G46" s="829">
        <f>'CREDITO ENE JUL 2025'!A85</f>
        <v>84</v>
      </c>
    </row>
    <row r="47">
      <c r="A47" s="827" t="s">
        <v>4100</v>
      </c>
      <c r="B47" s="827" t="str">
        <f>'CREDITO ENE JUL 2025'!B56</f>
        <v>Eliana Gustin</v>
      </c>
      <c r="C47" s="827" t="s">
        <v>4101</v>
      </c>
      <c r="D47" s="828">
        <f>'CREDITO ENE JUL 2025'!C56</f>
        <v>535300</v>
      </c>
      <c r="E47" s="827" t="s">
        <v>4102</v>
      </c>
      <c r="F47" s="829"/>
      <c r="G47" s="829">
        <f>'CREDITO ENE JUL 2025'!A56</f>
        <v>55</v>
      </c>
    </row>
    <row r="48">
      <c r="A48" s="834" t="s">
        <v>4100</v>
      </c>
      <c r="B48" s="834" t="str">
        <f>'CARTERA VENCIDA '!B52</f>
        <v>Elizabeth Alvarez</v>
      </c>
      <c r="C48" s="834" t="s">
        <v>4120</v>
      </c>
      <c r="D48" s="835">
        <f>'CARTERA VENCIDA '!E52</f>
        <v>110000</v>
      </c>
      <c r="E48" s="827" t="s">
        <v>4102</v>
      </c>
      <c r="F48" s="836" t="s">
        <v>4121</v>
      </c>
      <c r="G48" s="836" t="s">
        <v>4109</v>
      </c>
    </row>
    <row r="49">
      <c r="A49" s="830" t="s">
        <v>4100</v>
      </c>
      <c r="B49" s="830" t="str">
        <f>'CARTERA VENCIDA '!B9</f>
        <v>Esmeralda Diaz</v>
      </c>
      <c r="C49" s="830" t="s">
        <v>4122</v>
      </c>
      <c r="D49" s="831">
        <f>'CARTERA VENCIDA '!E9</f>
        <v>3022900</v>
      </c>
      <c r="E49" s="827" t="s">
        <v>4102</v>
      </c>
      <c r="F49" s="832" t="s">
        <v>4123</v>
      </c>
      <c r="G49" s="832" t="s">
        <v>4105</v>
      </c>
    </row>
    <row r="50">
      <c r="A50" s="834" t="s">
        <v>4100</v>
      </c>
      <c r="B50" s="834" t="str">
        <f>'CARTERA VENCIDA '!B43</f>
        <v>Felipe Armenta </v>
      </c>
      <c r="C50" s="834" t="s">
        <v>4114</v>
      </c>
      <c r="D50" s="835">
        <f>'CARTERA VENCIDA '!E43</f>
        <v>1350000</v>
      </c>
      <c r="E50" s="827" t="s">
        <v>4102</v>
      </c>
      <c r="F50" s="836" t="s">
        <v>4123</v>
      </c>
      <c r="G50" s="836" t="s">
        <v>4109</v>
      </c>
    </row>
    <row r="51">
      <c r="A51" s="827" t="s">
        <v>4100</v>
      </c>
      <c r="B51" s="827" t="str">
        <f>'CREDITO ENE JUL 2025'!B57</f>
        <v>Fernando Rincon </v>
      </c>
      <c r="C51" s="827" t="s">
        <v>4101</v>
      </c>
      <c r="D51" s="828">
        <f>'CREDITO ENE JUL 2025'!C57</f>
        <v>2444400</v>
      </c>
      <c r="E51" s="827" t="s">
        <v>4102</v>
      </c>
      <c r="F51" s="829"/>
      <c r="G51" s="833">
        <f>'CREDITO ENE JUL 2025'!A57</f>
        <v>56</v>
      </c>
    </row>
    <row r="52">
      <c r="A52" s="827" t="s">
        <v>4100</v>
      </c>
      <c r="B52" s="827" t="str">
        <f>'CREDITO ENE JUL 2025'!B78</f>
        <v>Gabriela Cadena </v>
      </c>
      <c r="C52" s="827" t="s">
        <v>4101</v>
      </c>
      <c r="D52" s="828">
        <f>'CREDITO ENE JUL 2025'!C78</f>
        <v>0</v>
      </c>
      <c r="E52" s="827" t="s">
        <v>4102</v>
      </c>
      <c r="F52" s="829"/>
      <c r="G52" s="833">
        <f>'CREDITO ENE JUL 2025'!A78</f>
        <v>77</v>
      </c>
    </row>
    <row r="53">
      <c r="A53" s="827" t="s">
        <v>4100</v>
      </c>
      <c r="B53" s="827" t="str">
        <f>'CREDITO ENE JUL 2025'!B12</f>
        <v>Geraldine Salinas</v>
      </c>
      <c r="C53" s="827" t="s">
        <v>4101</v>
      </c>
      <c r="D53" s="828">
        <f>'CREDITO ENE JUL 2025'!C12</f>
        <v>553900</v>
      </c>
      <c r="E53" s="827" t="s">
        <v>4102</v>
      </c>
      <c r="F53" s="829"/>
      <c r="G53" s="829">
        <f>'CREDITO ENE JUL 2025'!A12</f>
        <v>11</v>
      </c>
    </row>
    <row r="54">
      <c r="A54" s="827" t="s">
        <v>4100</v>
      </c>
      <c r="B54" s="827" t="str">
        <f>'CREDITO ENE JUL 2025'!B144</f>
        <v>Giovany Gomez DR</v>
      </c>
      <c r="C54" s="827" t="s">
        <v>4101</v>
      </c>
      <c r="D54" s="828">
        <f>'CREDITO ENE JUL 2025'!C144</f>
        <v>476300</v>
      </c>
      <c r="E54" s="827" t="s">
        <v>4102</v>
      </c>
      <c r="F54" s="829"/>
      <c r="G54" s="829">
        <f>'CREDITO ENE JUL 2025'!A144</f>
        <v>143</v>
      </c>
    </row>
    <row r="55">
      <c r="A55" s="827" t="s">
        <v>4100</v>
      </c>
      <c r="B55" s="827" t="str">
        <f>'CREDITO ENE JUL 2025'!B185</f>
        <v>Gissel Rodriguez POST</v>
      </c>
      <c r="C55" s="827" t="s">
        <v>4101</v>
      </c>
      <c r="D55" s="828">
        <f>'CREDITO ENE JUL 2025'!C185</f>
        <v>1760000</v>
      </c>
      <c r="E55" s="827" t="s">
        <v>4102</v>
      </c>
      <c r="F55" s="829"/>
      <c r="G55" s="829">
        <f>'CREDITO ENE JUL 2025'!A185</f>
        <v>184</v>
      </c>
    </row>
    <row r="56">
      <c r="A56" s="827" t="s">
        <v>4100</v>
      </c>
      <c r="B56" s="827" t="str">
        <f>'CREDITO ENE JUL 2025'!B156</f>
        <v>Gloria Herrera DR</v>
      </c>
      <c r="C56" s="827" t="s">
        <v>4101</v>
      </c>
      <c r="D56" s="828">
        <f>'CREDITO ENE JUL 2025'!C156</f>
        <v>213000</v>
      </c>
      <c r="E56" s="827" t="s">
        <v>4102</v>
      </c>
      <c r="F56" s="829" t="s">
        <v>4106</v>
      </c>
      <c r="G56" s="829">
        <f>'CREDITO ENE JUL 2025'!A156</f>
        <v>155</v>
      </c>
    </row>
    <row r="57">
      <c r="A57" s="827" t="s">
        <v>4100</v>
      </c>
      <c r="B57" s="827" t="str">
        <f>'CREDITO ENE JUL 2025'!B188</f>
        <v>Guillermo Sebastian Chacon  DR</v>
      </c>
      <c r="C57" s="827" t="s">
        <v>4101</v>
      </c>
      <c r="D57" s="828">
        <f>'CREDITO ENE JUL 2025'!C188</f>
        <v>404300</v>
      </c>
      <c r="E57" s="827" t="s">
        <v>4102</v>
      </c>
      <c r="F57" s="829" t="s">
        <v>4106</v>
      </c>
      <c r="G57" s="829">
        <f>'CREDITO ENE JUL 2025'!A188</f>
        <v>187</v>
      </c>
    </row>
    <row r="58">
      <c r="A58" s="830" t="s">
        <v>4100</v>
      </c>
      <c r="B58" s="830" t="str">
        <f>'CARTERA VENCIDA '!B2</f>
        <v>Isabella Morales</v>
      </c>
      <c r="C58" s="830" t="s">
        <v>4124</v>
      </c>
      <c r="D58" s="831">
        <f>'CARTERA VENCIDA '!E2</f>
        <v>626000</v>
      </c>
      <c r="E58" s="827" t="s">
        <v>4102</v>
      </c>
      <c r="F58" s="832"/>
      <c r="G58" s="832" t="s">
        <v>4105</v>
      </c>
    </row>
    <row r="59">
      <c r="A59" s="827" t="s">
        <v>4100</v>
      </c>
      <c r="B59" s="827" t="str">
        <f>'CREDITO ENE JUL 2025'!B104</f>
        <v>Ivan Camilo Ortega</v>
      </c>
      <c r="C59" s="827" t="s">
        <v>4101</v>
      </c>
      <c r="D59" s="828">
        <f>'CREDITO ENE JUL 2025'!C104</f>
        <v>440000</v>
      </c>
      <c r="E59" s="827" t="s">
        <v>4102</v>
      </c>
      <c r="F59" s="829"/>
      <c r="G59" s="829">
        <f>'CREDITO ENE JUL 2025'!A104</f>
        <v>103</v>
      </c>
    </row>
    <row r="60">
      <c r="A60" s="827" t="s">
        <v>4100</v>
      </c>
      <c r="B60" s="827" t="str">
        <f>'CREDITO ENE JUL 2025'!B53</f>
        <v>Ivan Chica </v>
      </c>
      <c r="C60" s="827" t="s">
        <v>4101</v>
      </c>
      <c r="D60" s="828">
        <f>'CREDITO ENE JUL 2025'!C53</f>
        <v>2651500</v>
      </c>
      <c r="E60" s="827" t="s">
        <v>4102</v>
      </c>
      <c r="F60" s="829" t="s">
        <v>4125</v>
      </c>
      <c r="G60" s="833">
        <f>'CREDITO ENE JUL 2025'!A53</f>
        <v>52</v>
      </c>
    </row>
    <row r="61">
      <c r="A61" s="830" t="s">
        <v>4100</v>
      </c>
      <c r="B61" s="830" t="str">
        <f>'CARTERA VENCIDA '!B29</f>
        <v>Jesica Ortega</v>
      </c>
      <c r="C61" s="830" t="s">
        <v>4126</v>
      </c>
      <c r="D61" s="831">
        <f>'CARTERA VENCIDA '!E29</f>
        <v>1685500</v>
      </c>
      <c r="E61" s="827" t="s">
        <v>4102</v>
      </c>
      <c r="F61" s="832"/>
      <c r="G61" s="832" t="s">
        <v>4105</v>
      </c>
    </row>
    <row r="62">
      <c r="A62" s="830" t="s">
        <v>4100</v>
      </c>
      <c r="B62" s="830" t="str">
        <f>'CARTERA VENCIDA '!B13</f>
        <v>Jessica Ramirez </v>
      </c>
      <c r="C62" s="830" t="s">
        <v>4127</v>
      </c>
      <c r="D62" s="831">
        <f>'CARTERA VENCIDA '!E13</f>
        <v>1974400</v>
      </c>
      <c r="E62" s="827" t="s">
        <v>4102</v>
      </c>
      <c r="F62" s="832" t="s">
        <v>4115</v>
      </c>
      <c r="G62" s="832" t="s">
        <v>4105</v>
      </c>
    </row>
    <row r="63">
      <c r="A63" s="830" t="s">
        <v>4100</v>
      </c>
      <c r="B63" s="830" t="str">
        <f>'CARTERA VENCIDA '!B31</f>
        <v>Jhon Rosero</v>
      </c>
      <c r="C63" s="830" t="s">
        <v>4126</v>
      </c>
      <c r="D63" s="831">
        <f>'CARTERA VENCIDA '!E31</f>
        <v>382500</v>
      </c>
      <c r="E63" s="827" t="s">
        <v>4102</v>
      </c>
      <c r="F63" s="832"/>
      <c r="G63" s="832" t="s">
        <v>4105</v>
      </c>
    </row>
    <row r="64">
      <c r="A64" s="827" t="s">
        <v>4100</v>
      </c>
      <c r="B64" s="827" t="str">
        <f>'CREDITO ENE JUL 2025'!B154</f>
        <v>Johana Daza POST</v>
      </c>
      <c r="C64" s="827" t="s">
        <v>4101</v>
      </c>
      <c r="D64" s="828">
        <f>'CREDITO ENE JUL 2025'!C154</f>
        <v>1333000</v>
      </c>
      <c r="E64" s="827" t="s">
        <v>4102</v>
      </c>
      <c r="F64" s="829"/>
      <c r="G64" s="829">
        <f>'CREDITO ENE JUL 2025'!A154</f>
        <v>153</v>
      </c>
    </row>
    <row r="65" hidden="1">
      <c r="A65" s="827" t="s">
        <v>4100</v>
      </c>
      <c r="B65" s="827" t="str">
        <f>'CREDITO ENE JUL 2025'!B3</f>
        <v>John Daniel Valencia</v>
      </c>
      <c r="C65" s="827" t="s">
        <v>4101</v>
      </c>
      <c r="D65" s="828">
        <f>'CREDITO ENE JUL 2025'!C3</f>
        <v>0</v>
      </c>
      <c r="E65" s="827" t="s">
        <v>4102</v>
      </c>
      <c r="F65" s="829"/>
      <c r="G65" s="829">
        <f>'CREDITO ENE JUL 2025'!A3</f>
        <v>2</v>
      </c>
    </row>
    <row r="66">
      <c r="A66" s="830" t="s">
        <v>4100</v>
      </c>
      <c r="B66" s="830" t="str">
        <f>'CARTERA VENCIDA '!B4</f>
        <v>Jose Ignacio Echeverri </v>
      </c>
      <c r="C66" s="830" t="s">
        <v>4128</v>
      </c>
      <c r="D66" s="840">
        <f>'CARTERA VENCIDA '!E4</f>
        <v>552100</v>
      </c>
      <c r="E66" s="827" t="s">
        <v>4102</v>
      </c>
      <c r="F66" s="832" t="s">
        <v>4129</v>
      </c>
      <c r="G66" s="832" t="s">
        <v>4105</v>
      </c>
    </row>
    <row r="67">
      <c r="A67" s="827" t="s">
        <v>4100</v>
      </c>
      <c r="B67" s="827" t="str">
        <f>'CREDITO ENE JUL 2025'!B46</f>
        <v>Joselin Zuñiga </v>
      </c>
      <c r="C67" s="827" t="s">
        <v>4101</v>
      </c>
      <c r="D67" s="828">
        <f>'CREDITO ENE JUL 2025'!C46</f>
        <v>795400</v>
      </c>
      <c r="E67" s="827" t="s">
        <v>4102</v>
      </c>
      <c r="F67" s="829"/>
      <c r="G67" s="829">
        <f>'CREDITO ENE JUL 2025'!A46</f>
        <v>45</v>
      </c>
    </row>
    <row r="68">
      <c r="A68" s="827" t="s">
        <v>4100</v>
      </c>
      <c r="B68" s="827" t="str">
        <f>'CREDITO ENE JUL 2025'!B187</f>
        <v>Joshua Segovia DR</v>
      </c>
      <c r="C68" s="827" t="s">
        <v>4101</v>
      </c>
      <c r="D68" s="828">
        <f>'CREDITO ENE JUL 2025'!C187</f>
        <v>1459500</v>
      </c>
      <c r="E68" s="827" t="s">
        <v>4102</v>
      </c>
      <c r="F68" s="829"/>
      <c r="G68" s="829">
        <f>'CREDITO ENE JUL 2025'!A187</f>
        <v>186</v>
      </c>
    </row>
    <row r="69">
      <c r="A69" s="837" t="s">
        <v>4100</v>
      </c>
      <c r="B69" s="837" t="str">
        <f>'CARTERA VENCIDA '!B38</f>
        <v>Josselyn Gonzalez</v>
      </c>
      <c r="C69" s="837" t="s">
        <v>4113</v>
      </c>
      <c r="D69" s="838">
        <f>'CARTERA VENCIDA '!E38</f>
        <v>1878700</v>
      </c>
      <c r="E69" s="827" t="s">
        <v>4102</v>
      </c>
      <c r="F69" s="839"/>
      <c r="G69" s="839" t="s">
        <v>4112</v>
      </c>
    </row>
    <row r="70">
      <c r="A70" s="827" t="s">
        <v>4100</v>
      </c>
      <c r="B70" s="827" t="str">
        <f>'CREDITO ENE JUL 2025'!B94</f>
        <v>Juan David Cardenas</v>
      </c>
      <c r="C70" s="827" t="s">
        <v>4101</v>
      </c>
      <c r="D70" s="828">
        <f>'CREDITO ENE JUL 2025'!C94</f>
        <v>155900</v>
      </c>
      <c r="E70" s="827" t="s">
        <v>4102</v>
      </c>
      <c r="F70" s="829"/>
      <c r="G70" s="833">
        <f>'CREDITO ENE JUL 2025'!A94</f>
        <v>93</v>
      </c>
    </row>
    <row r="71">
      <c r="A71" s="827" t="s">
        <v>4100</v>
      </c>
      <c r="B71" s="827" t="str">
        <f>'CREDITO ENE JUL 2025'!B24</f>
        <v>Juan Diego Franco</v>
      </c>
      <c r="C71" s="827" t="s">
        <v>4101</v>
      </c>
      <c r="D71" s="828">
        <f>'CREDITO ENE JUL 2025'!C24</f>
        <v>1389300</v>
      </c>
      <c r="E71" s="827" t="s">
        <v>4102</v>
      </c>
      <c r="F71" s="829"/>
      <c r="G71" s="829">
        <f>'CREDITO ENE JUL 2025'!A24</f>
        <v>23</v>
      </c>
    </row>
    <row r="72">
      <c r="A72" s="830" t="s">
        <v>4100</v>
      </c>
      <c r="B72" s="830" t="str">
        <f>'CARTERA VENCIDA '!B14</f>
        <v>Juan Diego Montero </v>
      </c>
      <c r="C72" s="830" t="s">
        <v>4130</v>
      </c>
      <c r="D72" s="831">
        <f>'CARTERA VENCIDA '!E14</f>
        <v>5128800</v>
      </c>
      <c r="E72" s="827" t="s">
        <v>4102</v>
      </c>
      <c r="F72" s="832"/>
      <c r="G72" s="832" t="s">
        <v>4105</v>
      </c>
    </row>
    <row r="73">
      <c r="A73" s="827" t="s">
        <v>4100</v>
      </c>
      <c r="B73" s="827" t="str">
        <f>'CREDITO ENE JUL 2025'!B201</f>
        <v>JUAN FERNANDO RESTREPO DR</v>
      </c>
      <c r="C73" s="827" t="s">
        <v>4101</v>
      </c>
      <c r="D73" s="828">
        <f>'CREDITO ENE JUL 2025'!C201</f>
        <v>841000</v>
      </c>
      <c r="E73" s="827" t="s">
        <v>4102</v>
      </c>
      <c r="F73" s="829"/>
      <c r="G73" s="829">
        <f>'CREDITO ENE JUL 2025'!A201</f>
        <v>200</v>
      </c>
    </row>
    <row r="74">
      <c r="A74" s="827" t="s">
        <v>4100</v>
      </c>
      <c r="B74" s="827" t="str">
        <f>'CREDITO ENE JUL 2025'!B64</f>
        <v>Juan Manuel Arbelaez</v>
      </c>
      <c r="C74" s="827" t="s">
        <v>4101</v>
      </c>
      <c r="D74" s="828">
        <f>'CREDITO ENE JUL 2025'!C64</f>
        <v>900500</v>
      </c>
      <c r="E74" s="827" t="s">
        <v>4102</v>
      </c>
      <c r="F74" s="829"/>
      <c r="G74" s="829">
        <f>'CREDITO ENE JUL 2025'!A64</f>
        <v>63</v>
      </c>
    </row>
    <row r="75">
      <c r="A75" s="830" t="s">
        <v>4100</v>
      </c>
      <c r="B75" s="830" t="str">
        <f>'CARTERA VENCIDA '!B20</f>
        <v>Juan Pablo Noguera Dr</v>
      </c>
      <c r="C75" s="830" t="s">
        <v>4131</v>
      </c>
      <c r="D75" s="831">
        <f>'CARTERA VENCIDA '!E20</f>
        <v>528000</v>
      </c>
      <c r="E75" s="827" t="s">
        <v>4102</v>
      </c>
      <c r="F75" s="832"/>
      <c r="G75" s="832" t="s">
        <v>4105</v>
      </c>
    </row>
    <row r="76" hidden="1">
      <c r="A76" s="827" t="s">
        <v>4100</v>
      </c>
      <c r="B76" s="827" t="str">
        <f>'CREDITO ENE JUL 2025'!B149</f>
        <v>Juan Sebastian Caro Herrera </v>
      </c>
      <c r="C76" s="827" t="s">
        <v>4101</v>
      </c>
      <c r="D76" s="828">
        <f>'CREDITO ENE JUL 2025'!C149</f>
        <v>0</v>
      </c>
      <c r="E76" s="827" t="s">
        <v>4102</v>
      </c>
      <c r="F76" s="829" t="s">
        <v>4107</v>
      </c>
      <c r="G76" s="833">
        <f>'CREDITO ENE JUL 2025'!A149</f>
        <v>148</v>
      </c>
    </row>
    <row r="77">
      <c r="A77" s="827" t="s">
        <v>4100</v>
      </c>
      <c r="B77" s="827" t="str">
        <f>'CREDITO ENE JUL 2025'!B9</f>
        <v>Juan Sebastian Soto</v>
      </c>
      <c r="C77" s="827" t="s">
        <v>4101</v>
      </c>
      <c r="D77" s="828">
        <f>'CREDITO ENE JUL 2025'!C9</f>
        <v>329500</v>
      </c>
      <c r="E77" s="827" t="s">
        <v>4102</v>
      </c>
      <c r="F77" s="829"/>
      <c r="G77" s="829">
        <f>'CREDITO ENE JUL 2025'!A9</f>
        <v>8</v>
      </c>
    </row>
    <row r="78">
      <c r="A78" s="830" t="s">
        <v>4100</v>
      </c>
      <c r="B78" s="830" t="str">
        <f>'CARTERA VENCIDA '!B33</f>
        <v>Juan Sebastian Soto</v>
      </c>
      <c r="C78" s="830" t="s">
        <v>4126</v>
      </c>
      <c r="D78" s="831">
        <f>'CARTERA VENCIDA '!E33</f>
        <v>864800</v>
      </c>
      <c r="E78" s="827" t="s">
        <v>4102</v>
      </c>
      <c r="F78" s="832"/>
      <c r="G78" s="832" t="s">
        <v>4105</v>
      </c>
    </row>
    <row r="79" hidden="1">
      <c r="A79" s="827" t="s">
        <v>4100</v>
      </c>
      <c r="B79" s="827" t="str">
        <f>'CREDITO ENE JUL 2025'!B131</f>
        <v>Julian Mena DR</v>
      </c>
      <c r="C79" s="827" t="s">
        <v>4101</v>
      </c>
      <c r="D79" s="828">
        <f>'CREDITO ENE JUL 2025'!C131</f>
        <v>0</v>
      </c>
      <c r="E79" s="827" t="s">
        <v>4102</v>
      </c>
      <c r="F79" s="829" t="s">
        <v>4106</v>
      </c>
      <c r="G79" s="829">
        <f>'CREDITO ENE JUL 2025'!A131</f>
        <v>130</v>
      </c>
    </row>
    <row r="80">
      <c r="A80" s="827" t="s">
        <v>4100</v>
      </c>
      <c r="B80" s="827" t="str">
        <f>'CREDITO ENE JUL 2025'!B153</f>
        <v>Juliana Arias POST</v>
      </c>
      <c r="C80" s="827" t="s">
        <v>4101</v>
      </c>
      <c r="D80" s="828">
        <f>'CREDITO ENE JUL 2025'!C153</f>
        <v>586100</v>
      </c>
      <c r="E80" s="827" t="s">
        <v>4102</v>
      </c>
      <c r="F80" s="829"/>
      <c r="G80" s="833">
        <f>'CREDITO ENE JUL 2025'!A153</f>
        <v>152</v>
      </c>
    </row>
    <row r="81">
      <c r="A81" s="834" t="s">
        <v>4100</v>
      </c>
      <c r="B81" s="834" t="str">
        <f>'CARTERA VENCIDA '!B54</f>
        <v>Juliana Bermudez</v>
      </c>
      <c r="C81" s="834" t="s">
        <v>4120</v>
      </c>
      <c r="D81" s="835">
        <f>'CARTERA VENCIDA '!E54</f>
        <v>115000</v>
      </c>
      <c r="E81" s="827" t="s">
        <v>4102</v>
      </c>
      <c r="F81" s="836" t="s">
        <v>4132</v>
      </c>
      <c r="G81" s="836" t="s">
        <v>4109</v>
      </c>
    </row>
    <row r="82">
      <c r="A82" s="827" t="s">
        <v>4100</v>
      </c>
      <c r="B82" s="827" t="str">
        <f>'CREDITO ENE JUL 2025'!B191</f>
        <v>Juliana Niz POST</v>
      </c>
      <c r="C82" s="827" t="s">
        <v>4101</v>
      </c>
      <c r="D82" s="828">
        <f>'CREDITO ENE JUL 2025'!C191</f>
        <v>57000</v>
      </c>
      <c r="E82" s="827" t="s">
        <v>4102</v>
      </c>
      <c r="F82" s="829" t="s">
        <v>4106</v>
      </c>
      <c r="G82" s="829">
        <f>'CREDITO ENE JUL 2025'!A191</f>
        <v>190</v>
      </c>
    </row>
    <row r="83">
      <c r="A83" s="834" t="s">
        <v>4100</v>
      </c>
      <c r="B83" s="834" t="str">
        <f>'CARTERA VENCIDA '!B49</f>
        <v>juliana Rosero</v>
      </c>
      <c r="C83" s="834" t="s">
        <v>4133</v>
      </c>
      <c r="D83" s="835">
        <f>'CARTERA VENCIDA '!E49</f>
        <v>20000</v>
      </c>
      <c r="E83" s="827" t="s">
        <v>4102</v>
      </c>
      <c r="F83" s="836"/>
      <c r="G83" s="836" t="s">
        <v>4109</v>
      </c>
    </row>
    <row r="84">
      <c r="A84" s="830" t="s">
        <v>4100</v>
      </c>
      <c r="B84" s="830" t="str">
        <f>'CARTERA VENCIDA '!B10</f>
        <v>Julieth Naranjo </v>
      </c>
      <c r="C84" s="830" t="s">
        <v>4134</v>
      </c>
      <c r="D84" s="831">
        <f>'CARTERA VENCIDA '!E10</f>
        <v>610300</v>
      </c>
      <c r="E84" s="827" t="s">
        <v>4102</v>
      </c>
      <c r="F84" s="832"/>
      <c r="G84" s="832" t="s">
        <v>4105</v>
      </c>
    </row>
    <row r="85">
      <c r="A85" s="827" t="s">
        <v>4100</v>
      </c>
      <c r="B85" s="827" t="str">
        <f>'CREDITO ENE JUL 2025'!B14</f>
        <v>Julieth Trujillo</v>
      </c>
      <c r="C85" s="827" t="s">
        <v>4101</v>
      </c>
      <c r="D85" s="828">
        <f>'CREDITO ENE JUL 2025'!C14</f>
        <v>284000</v>
      </c>
      <c r="E85" s="827" t="s">
        <v>4102</v>
      </c>
      <c r="F85" s="829"/>
      <c r="G85" s="829">
        <f>'CREDITO ENE JUL 2025'!A14</f>
        <v>13</v>
      </c>
    </row>
    <row r="86">
      <c r="A86" s="827" t="s">
        <v>4100</v>
      </c>
      <c r="B86" s="827" t="str">
        <f>'CREDITO ENE JUL 2025'!B50</f>
        <v>Julieth Zapata </v>
      </c>
      <c r="C86" s="827" t="s">
        <v>4101</v>
      </c>
      <c r="D86" s="828">
        <f>'CREDITO ENE JUL 2025'!C50</f>
        <v>1135800</v>
      </c>
      <c r="E86" s="827" t="s">
        <v>4102</v>
      </c>
      <c r="F86" s="829"/>
      <c r="G86" s="829">
        <f>'CREDITO ENE JUL 2025'!A50</f>
        <v>49</v>
      </c>
    </row>
    <row r="87">
      <c r="A87" s="827" t="s">
        <v>4100</v>
      </c>
      <c r="B87" s="827" t="str">
        <f>'CREDITO ENE JUL 2025'!B73</f>
        <v>Karen Arteaga</v>
      </c>
      <c r="C87" s="827" t="s">
        <v>4101</v>
      </c>
      <c r="D87" s="828">
        <f>'CREDITO ENE JUL 2025'!C73</f>
        <v>746700</v>
      </c>
      <c r="E87" s="827" t="s">
        <v>4102</v>
      </c>
      <c r="F87" s="829"/>
      <c r="G87" s="829">
        <f>'CREDITO ENE JUL 2025'!A73</f>
        <v>72</v>
      </c>
    </row>
    <row r="88">
      <c r="A88" s="834" t="s">
        <v>4100</v>
      </c>
      <c r="B88" s="834" t="str">
        <f>'CARTERA VENCIDA '!B45</f>
        <v>Karen La Torre </v>
      </c>
      <c r="C88" s="834" t="s">
        <v>4114</v>
      </c>
      <c r="D88" s="835">
        <f>'CARTERA VENCIDA '!E45</f>
        <v>983000</v>
      </c>
      <c r="E88" s="827" t="s">
        <v>4102</v>
      </c>
      <c r="F88" s="836" t="s">
        <v>4135</v>
      </c>
      <c r="G88" s="836" t="s">
        <v>4109</v>
      </c>
    </row>
    <row r="89">
      <c r="A89" s="827" t="s">
        <v>4100</v>
      </c>
      <c r="B89" s="827" t="str">
        <f>'CREDITO ENE JUL 2025'!B10</f>
        <v>Karen Sanchez</v>
      </c>
      <c r="C89" s="827" t="s">
        <v>4101</v>
      </c>
      <c r="D89" s="828">
        <f>'CREDITO ENE JUL 2025'!C10</f>
        <v>501500</v>
      </c>
      <c r="E89" s="827" t="s">
        <v>4102</v>
      </c>
      <c r="F89" s="829"/>
      <c r="G89" s="829">
        <f>'CREDITO ENE JUL 2025'!A10</f>
        <v>9</v>
      </c>
    </row>
    <row r="90">
      <c r="A90" s="827" t="s">
        <v>4100</v>
      </c>
      <c r="B90" s="827" t="str">
        <f>'CREDITO ENE JUL 2025'!B133</f>
        <v>Karla Mayerly Orozco DR</v>
      </c>
      <c r="C90" s="827" t="s">
        <v>4101</v>
      </c>
      <c r="D90" s="828">
        <f>'CREDITO ENE JUL 2025'!C133</f>
        <v>1700000</v>
      </c>
      <c r="E90" s="827" t="s">
        <v>4102</v>
      </c>
      <c r="F90" s="829" t="s">
        <v>4106</v>
      </c>
      <c r="G90" s="833">
        <f>'CREDITO ENE JUL 2025'!A133</f>
        <v>132</v>
      </c>
    </row>
    <row r="91">
      <c r="A91" s="827" t="s">
        <v>4100</v>
      </c>
      <c r="B91" s="827" t="str">
        <f>'CREDITO ENE JUL 2025'!B75</f>
        <v>Karol Castillo</v>
      </c>
      <c r="C91" s="827" t="s">
        <v>4101</v>
      </c>
      <c r="D91" s="828">
        <f>'CREDITO ENE JUL 2025'!C75</f>
        <v>437900</v>
      </c>
      <c r="E91" s="827" t="s">
        <v>4102</v>
      </c>
      <c r="F91" s="829"/>
      <c r="G91" s="829">
        <f>'CREDITO ENE JUL 2025'!A75</f>
        <v>74</v>
      </c>
    </row>
    <row r="92">
      <c r="A92" s="827" t="s">
        <v>4100</v>
      </c>
      <c r="B92" s="827" t="str">
        <f>'CREDITO ENE JUL 2025'!B190</f>
        <v>Karol Gil Dra</v>
      </c>
      <c r="C92" s="827" t="s">
        <v>4101</v>
      </c>
      <c r="D92" s="828">
        <f>'CREDITO ENE JUL 2025'!C190</f>
        <v>1404800</v>
      </c>
      <c r="E92" s="827" t="s">
        <v>4102</v>
      </c>
      <c r="F92" s="829" t="s">
        <v>4106</v>
      </c>
      <c r="G92" s="829">
        <f>'CREDITO ENE JUL 2025'!A190</f>
        <v>189</v>
      </c>
    </row>
    <row r="93">
      <c r="A93" s="827" t="s">
        <v>4100</v>
      </c>
      <c r="B93" s="827" t="str">
        <f>'CREDITO ENE JUL 2025'!B176</f>
        <v>Katherine Cruz POST</v>
      </c>
      <c r="C93" s="827" t="s">
        <v>4101</v>
      </c>
      <c r="D93" s="828">
        <f>'CREDITO ENE JUL 2025'!C176</f>
        <v>1289000</v>
      </c>
      <c r="E93" s="827" t="s">
        <v>4102</v>
      </c>
      <c r="F93" s="829"/>
      <c r="G93" s="829">
        <f>'CREDITO ENE JUL 2025'!A176</f>
        <v>175</v>
      </c>
    </row>
    <row r="94">
      <c r="A94" s="827" t="s">
        <v>4100</v>
      </c>
      <c r="B94" s="827" t="str">
        <f>'CREDITO ENE JUL 2025'!B157</f>
        <v>Kimberly Perez DR</v>
      </c>
      <c r="C94" s="827" t="s">
        <v>4101</v>
      </c>
      <c r="D94" s="828">
        <f>'CREDITO ENE JUL 2025'!C157</f>
        <v>289000</v>
      </c>
      <c r="E94" s="827" t="s">
        <v>4102</v>
      </c>
      <c r="F94" s="829" t="s">
        <v>4106</v>
      </c>
      <c r="G94" s="829">
        <f>'CREDITO ENE JUL 2025'!A157</f>
        <v>156</v>
      </c>
    </row>
    <row r="95">
      <c r="A95" s="827" t="s">
        <v>4100</v>
      </c>
      <c r="B95" s="827" t="str">
        <f>'CREDITO ENE JUL 2025'!B178</f>
        <v>Laura Arteaga POST </v>
      </c>
      <c r="C95" s="827" t="s">
        <v>4101</v>
      </c>
      <c r="D95" s="828">
        <f>'CREDITO ENE JUL 2025'!C178</f>
        <v>1768200</v>
      </c>
      <c r="E95" s="827" t="s">
        <v>4102</v>
      </c>
      <c r="F95" s="829"/>
      <c r="G95" s="829">
        <f>'CREDITO ENE JUL 2025'!A178</f>
        <v>177</v>
      </c>
    </row>
    <row r="96" hidden="1">
      <c r="A96" s="827" t="s">
        <v>4100</v>
      </c>
      <c r="B96" s="827" t="str">
        <f>'CREDITO ENE JUL 2025'!B63</f>
        <v>Laura Gonzalez</v>
      </c>
      <c r="C96" s="827" t="s">
        <v>4101</v>
      </c>
      <c r="D96" s="828">
        <f>'CREDITO ENE JUL 2025'!C63</f>
        <v>0</v>
      </c>
      <c r="E96" s="827" t="s">
        <v>4102</v>
      </c>
      <c r="F96" s="829"/>
      <c r="G96" s="829">
        <f>'CREDITO ENE JUL 2025'!A63</f>
        <v>62</v>
      </c>
    </row>
    <row r="97" hidden="1">
      <c r="A97" s="827" t="s">
        <v>4100</v>
      </c>
      <c r="B97" s="827" t="str">
        <f>'CREDITO ENE JUL 2025'!B37</f>
        <v>Laura Moreno</v>
      </c>
      <c r="C97" s="827" t="s">
        <v>4101</v>
      </c>
      <c r="D97" s="828">
        <f>'CREDITO ENE JUL 2025'!C37</f>
        <v>0</v>
      </c>
      <c r="E97" s="827" t="s">
        <v>4102</v>
      </c>
      <c r="F97" s="829" t="s">
        <v>4107</v>
      </c>
      <c r="G97" s="829">
        <f>'CREDITO ENE JUL 2025'!A37</f>
        <v>36</v>
      </c>
    </row>
    <row r="98">
      <c r="A98" s="827" t="s">
        <v>4100</v>
      </c>
      <c r="B98" s="827" t="str">
        <f>'CREDITO ENE JUL 2025'!B74</f>
        <v>Laura Velasquez</v>
      </c>
      <c r="C98" s="827" t="s">
        <v>4101</v>
      </c>
      <c r="D98" s="828">
        <f>'CREDITO ENE JUL 2025'!C74</f>
        <v>1645700</v>
      </c>
      <c r="E98" s="827" t="s">
        <v>4102</v>
      </c>
      <c r="F98" s="829"/>
      <c r="G98" s="829">
        <f>'CREDITO ENE JUL 2025'!A74</f>
        <v>73</v>
      </c>
    </row>
    <row r="99">
      <c r="A99" s="827" t="s">
        <v>4100</v>
      </c>
      <c r="B99" s="827" t="str">
        <f>'CREDITO ENE JUL 2025'!B168</f>
        <v>Leidy Grajales DR</v>
      </c>
      <c r="C99" s="827" t="s">
        <v>4101</v>
      </c>
      <c r="D99" s="828">
        <f>'CREDITO ENE JUL 2025'!C168</f>
        <v>930300</v>
      </c>
      <c r="E99" s="827" t="s">
        <v>4102</v>
      </c>
      <c r="F99" s="829"/>
      <c r="G99" s="829">
        <f>'CREDITO ENE JUL 2025'!A168</f>
        <v>167</v>
      </c>
    </row>
    <row r="100">
      <c r="A100" s="827" t="s">
        <v>4100</v>
      </c>
      <c r="B100" s="827" t="str">
        <f>'CREDITO ENE JUL 2025'!B194</f>
        <v>Liana martinez POST</v>
      </c>
      <c r="C100" s="827" t="s">
        <v>4101</v>
      </c>
      <c r="D100" s="828">
        <f>'CREDITO ENE JUL 2025'!C194</f>
        <v>816000</v>
      </c>
      <c r="E100" s="827" t="s">
        <v>4102</v>
      </c>
      <c r="F100" s="829"/>
      <c r="G100" s="829">
        <f>'CREDITO ENE JUL 2025'!A194</f>
        <v>193</v>
      </c>
    </row>
    <row r="101">
      <c r="A101" s="827" t="s">
        <v>4100</v>
      </c>
      <c r="B101" s="827" t="str">
        <f>'CREDITO ENE JUL 2025'!B112</f>
        <v>Liliana Serrano Dra </v>
      </c>
      <c r="C101" s="827" t="s">
        <v>4101</v>
      </c>
      <c r="D101" s="828">
        <f>'CREDITO ENE JUL 2025'!C112</f>
        <v>729100</v>
      </c>
      <c r="E101" s="827" t="s">
        <v>4102</v>
      </c>
      <c r="F101" s="829" t="s">
        <v>4106</v>
      </c>
      <c r="G101" s="833">
        <f>'CREDITO ENE JUL 2025'!A112</f>
        <v>111</v>
      </c>
    </row>
    <row r="102" hidden="1">
      <c r="A102" s="827" t="s">
        <v>4100</v>
      </c>
      <c r="B102" s="827" t="str">
        <f>'CREDITO ENE JUL 2025'!B186</f>
        <v>Lina Ramirez DR</v>
      </c>
      <c r="C102" s="827" t="s">
        <v>4101</v>
      </c>
      <c r="D102" s="828">
        <f>'CREDITO ENE JUL 2025'!C186</f>
        <v>0</v>
      </c>
      <c r="E102" s="827" t="s">
        <v>4102</v>
      </c>
      <c r="F102" s="829"/>
      <c r="G102" s="829">
        <f>'CREDITO ENE JUL 2025'!A186</f>
        <v>185</v>
      </c>
    </row>
    <row r="103">
      <c r="A103" s="827" t="s">
        <v>4100</v>
      </c>
      <c r="B103" s="827" t="str">
        <f>'CREDITO ENE JUL 2025'!B150</f>
        <v>liseth Lasso Dra</v>
      </c>
      <c r="C103" s="827" t="s">
        <v>4101</v>
      </c>
      <c r="D103" s="828">
        <f>'CREDITO ENE JUL 2025'!C150</f>
        <v>269000</v>
      </c>
      <c r="E103" s="827" t="s">
        <v>4102</v>
      </c>
      <c r="F103" s="829" t="s">
        <v>4106</v>
      </c>
      <c r="G103" s="833">
        <f>'CREDITO ENE JUL 2025'!A150</f>
        <v>149</v>
      </c>
    </row>
    <row r="104">
      <c r="A104" s="827" t="s">
        <v>4100</v>
      </c>
      <c r="B104" s="827" t="str">
        <f>'CREDITO ENE JUL 2025'!B49</f>
        <v>Lizeth Hurtado </v>
      </c>
      <c r="C104" s="827" t="s">
        <v>4101</v>
      </c>
      <c r="D104" s="828">
        <f>'CREDITO ENE JUL 2025'!C49</f>
        <v>2234300</v>
      </c>
      <c r="E104" s="827" t="s">
        <v>4102</v>
      </c>
      <c r="F104" s="829"/>
      <c r="G104" s="829">
        <f>'CREDITO ENE JUL 2025'!A49</f>
        <v>48</v>
      </c>
    </row>
    <row r="105" hidden="1">
      <c r="A105" s="827" t="s">
        <v>4100</v>
      </c>
      <c r="B105" s="827" t="str">
        <f>'CREDITO ENE JUL 2025'!B97</f>
        <v>Luis Gonzales </v>
      </c>
      <c r="C105" s="827" t="s">
        <v>4101</v>
      </c>
      <c r="D105" s="828">
        <f>'CREDITO ENE JUL 2025'!C97</f>
        <v>0</v>
      </c>
      <c r="E105" s="827" t="s">
        <v>4102</v>
      </c>
      <c r="F105" s="829"/>
      <c r="G105" s="833">
        <f>'CREDITO ENE JUL 2025'!A97</f>
        <v>96</v>
      </c>
    </row>
    <row r="106">
      <c r="A106" s="827" t="s">
        <v>4100</v>
      </c>
      <c r="B106" s="827" t="str">
        <f>'CREDITO ENE JUL 2025'!B79</f>
        <v>Lusciana Lozano</v>
      </c>
      <c r="C106" s="827" t="s">
        <v>4101</v>
      </c>
      <c r="D106" s="828">
        <f>'CREDITO ENE JUL 2025'!C79</f>
        <v>4794300</v>
      </c>
      <c r="E106" s="827" t="s">
        <v>4102</v>
      </c>
      <c r="F106" s="829"/>
      <c r="G106" s="829">
        <f>'CREDITO ENE JUL 2025'!A79</f>
        <v>78</v>
      </c>
    </row>
    <row r="107">
      <c r="A107" s="827" t="s">
        <v>4100</v>
      </c>
      <c r="B107" s="827" t="str">
        <f>'CREDITO ENE JUL 2025'!B196</f>
        <v>Magda Ortiz Andrade DR</v>
      </c>
      <c r="C107" s="827" t="s">
        <v>4101</v>
      </c>
      <c r="D107" s="828">
        <f>'CREDITO ENE JUL 2025'!C196</f>
        <v>655800</v>
      </c>
      <c r="E107" s="827" t="s">
        <v>4102</v>
      </c>
      <c r="F107" s="829"/>
      <c r="G107" s="829">
        <f>'CREDITO ENE JUL 2025'!A196</f>
        <v>195</v>
      </c>
    </row>
    <row r="108">
      <c r="A108" s="827" t="s">
        <v>4100</v>
      </c>
      <c r="B108" s="827" t="str">
        <f>'CREDITO ENE JUL 2025'!B195</f>
        <v>Maira Moyano Dra</v>
      </c>
      <c r="C108" s="827" t="s">
        <v>4101</v>
      </c>
      <c r="D108" s="828">
        <f>'CREDITO ENE JUL 2025'!C195</f>
        <v>694800</v>
      </c>
      <c r="E108" s="827" t="s">
        <v>4102</v>
      </c>
      <c r="F108" s="829" t="s">
        <v>4106</v>
      </c>
      <c r="G108" s="829">
        <f>'CREDITO ENE JUL 2025'!A195</f>
        <v>194</v>
      </c>
    </row>
    <row r="109">
      <c r="A109" s="827" t="s">
        <v>4100</v>
      </c>
      <c r="B109" s="827" t="str">
        <f>'CREDITO ENE JUL 2025'!B72</f>
        <v>Manuela Cardona </v>
      </c>
      <c r="C109" s="827" t="s">
        <v>4101</v>
      </c>
      <c r="D109" s="828">
        <f>'CREDITO ENE JUL 2025'!C72</f>
        <v>1281900</v>
      </c>
      <c r="E109" s="827" t="s">
        <v>4102</v>
      </c>
      <c r="F109" s="829" t="s">
        <v>4123</v>
      </c>
      <c r="G109" s="829">
        <f>'CREDITO ENE JUL 2025'!A72</f>
        <v>71</v>
      </c>
    </row>
    <row r="110">
      <c r="A110" s="830" t="s">
        <v>4100</v>
      </c>
      <c r="B110" s="830" t="str">
        <f>'CARTERA VENCIDA '!B25</f>
        <v>Manuela Castillo </v>
      </c>
      <c r="C110" s="830" t="s">
        <v>4126</v>
      </c>
      <c r="D110" s="831">
        <f>'CARTERA VENCIDA '!E25</f>
        <v>999400</v>
      </c>
      <c r="E110" s="827" t="s">
        <v>4102</v>
      </c>
      <c r="F110" s="832" t="s">
        <v>4136</v>
      </c>
      <c r="G110" s="832" t="s">
        <v>4105</v>
      </c>
    </row>
    <row r="111">
      <c r="A111" s="827" t="s">
        <v>4100</v>
      </c>
      <c r="B111" s="827" t="str">
        <f>'CREDITO ENE JUL 2025'!B19</f>
        <v>Manuela Martinez</v>
      </c>
      <c r="C111" s="827" t="s">
        <v>4101</v>
      </c>
      <c r="D111" s="828">
        <f>'CREDITO ENE JUL 2025'!C19</f>
        <v>3252400</v>
      </c>
      <c r="E111" s="827" t="s">
        <v>4102</v>
      </c>
      <c r="F111" s="829" t="s">
        <v>4107</v>
      </c>
      <c r="G111" s="829">
        <f>'CREDITO ENE JUL 2025'!A19</f>
        <v>18</v>
      </c>
    </row>
    <row r="112">
      <c r="A112" s="830" t="s">
        <v>4100</v>
      </c>
      <c r="B112" s="830" t="str">
        <f>'CARTERA VENCIDA '!B15</f>
        <v>Marcela Figueroa </v>
      </c>
      <c r="C112" s="830" t="s">
        <v>4137</v>
      </c>
      <c r="D112" s="831">
        <f>'CARTERA VENCIDA '!E15</f>
        <v>1851800</v>
      </c>
      <c r="E112" s="827" t="s">
        <v>4102</v>
      </c>
      <c r="F112" s="832"/>
      <c r="G112" s="832" t="s">
        <v>4105</v>
      </c>
    </row>
    <row r="113">
      <c r="A113" s="827" t="s">
        <v>4100</v>
      </c>
      <c r="B113" s="827" t="str">
        <f>'CREDITO ENE JUL 2025'!B174</f>
        <v>Marcela Gonzalez DR</v>
      </c>
      <c r="C113" s="827" t="s">
        <v>4101</v>
      </c>
      <c r="D113" s="828">
        <f>'CREDITO ENE JUL 2025'!C174</f>
        <v>800000</v>
      </c>
      <c r="E113" s="827" t="s">
        <v>4102</v>
      </c>
      <c r="F113" s="829" t="s">
        <v>4106</v>
      </c>
      <c r="G113" s="829">
        <f>'CREDITO ENE JUL 2025'!A174</f>
        <v>173</v>
      </c>
    </row>
    <row r="114">
      <c r="A114" s="827" t="s">
        <v>4100</v>
      </c>
      <c r="B114" s="827" t="str">
        <f>'CREDITO ENE JUL 2025'!B6</f>
        <v>Marcela Gutierrez</v>
      </c>
      <c r="C114" s="827" t="s">
        <v>4101</v>
      </c>
      <c r="D114" s="828">
        <f>'CREDITO ENE JUL 2025'!C6</f>
        <v>27000</v>
      </c>
      <c r="E114" s="827" t="s">
        <v>4102</v>
      </c>
      <c r="F114" s="829"/>
      <c r="G114" s="829">
        <f>'CREDITO ENE JUL 2025'!A6</f>
        <v>5</v>
      </c>
    </row>
    <row r="115">
      <c r="A115" s="830" t="s">
        <v>4100</v>
      </c>
      <c r="B115" s="830" t="str">
        <f>'CARTERA VENCIDA '!B18</f>
        <v>Maria Alejandra Dominguez </v>
      </c>
      <c r="C115" s="830" t="s">
        <v>4138</v>
      </c>
      <c r="D115" s="831">
        <f>'CARTERA VENCIDA '!E18</f>
        <v>464700</v>
      </c>
      <c r="E115" s="827" t="s">
        <v>4102</v>
      </c>
      <c r="F115" s="832"/>
      <c r="G115" s="832" t="s">
        <v>4105</v>
      </c>
    </row>
    <row r="116">
      <c r="A116" s="830" t="s">
        <v>4100</v>
      </c>
      <c r="B116" s="830" t="str">
        <f>'CARTERA VENCIDA '!B5</f>
        <v>Maria Alejandra Ramirez 38</v>
      </c>
      <c r="C116" s="830" t="s">
        <v>4128</v>
      </c>
      <c r="D116" s="840">
        <f>'CARTERA VENCIDA '!E5</f>
        <v>2618100</v>
      </c>
      <c r="E116" s="827" t="s">
        <v>4102</v>
      </c>
      <c r="F116" s="832" t="s">
        <v>4123</v>
      </c>
      <c r="G116" s="832" t="s">
        <v>4105</v>
      </c>
    </row>
    <row r="117">
      <c r="A117" s="827" t="s">
        <v>4100</v>
      </c>
      <c r="B117" s="827" t="str">
        <f>'CREDITO ENE JUL 2025'!B18</f>
        <v>Maria Camila Cobo</v>
      </c>
      <c r="C117" s="827" t="s">
        <v>4101</v>
      </c>
      <c r="D117" s="828">
        <f>'CREDITO ENE JUL 2025'!C18</f>
        <v>1300500</v>
      </c>
      <c r="E117" s="827" t="s">
        <v>4102</v>
      </c>
      <c r="F117" s="829" t="s">
        <v>4123</v>
      </c>
      <c r="G117" s="829">
        <f>'CREDITO ENE JUL 2025'!A18</f>
        <v>17</v>
      </c>
    </row>
    <row r="118">
      <c r="A118" s="830" t="s">
        <v>4100</v>
      </c>
      <c r="B118" s="830" t="str">
        <f>'CARTERA VENCIDA '!B35</f>
        <v>Maria Camila Ortiz Gordillo </v>
      </c>
      <c r="C118" s="830" t="s">
        <v>4126</v>
      </c>
      <c r="D118" s="831">
        <f>'CARTERA VENCIDA '!E35</f>
        <v>100000</v>
      </c>
      <c r="E118" s="827" t="s">
        <v>4102</v>
      </c>
      <c r="F118" s="832" t="s">
        <v>4139</v>
      </c>
      <c r="G118" s="832" t="s">
        <v>4105</v>
      </c>
    </row>
    <row r="119">
      <c r="A119" s="827" t="s">
        <v>4100</v>
      </c>
      <c r="B119" s="827" t="str">
        <f>'CREDITO ENE JUL 2025'!B93</f>
        <v>Maria Fernanda Castañeda</v>
      </c>
      <c r="C119" s="827" t="s">
        <v>4101</v>
      </c>
      <c r="D119" s="828">
        <f>'CREDITO ENE JUL 2025'!C93</f>
        <v>1777250</v>
      </c>
      <c r="E119" s="827" t="s">
        <v>4102</v>
      </c>
      <c r="F119" s="829"/>
      <c r="G119" s="829">
        <f>'CREDITO ENE JUL 2025'!A93</f>
        <v>92</v>
      </c>
    </row>
    <row r="120">
      <c r="A120" s="827" t="s">
        <v>4100</v>
      </c>
      <c r="B120" s="827" t="str">
        <f>'CREDITO ENE JUL 2025'!B43</f>
        <v>Maria Jose Rojas</v>
      </c>
      <c r="C120" s="827" t="s">
        <v>4101</v>
      </c>
      <c r="D120" s="828">
        <f>'CREDITO ENE JUL 2025'!C43</f>
        <v>200000</v>
      </c>
      <c r="E120" s="827" t="s">
        <v>4102</v>
      </c>
      <c r="F120" s="829"/>
      <c r="G120" s="829">
        <f>'CREDITO ENE JUL 2025'!A43</f>
        <v>42</v>
      </c>
    </row>
    <row r="121">
      <c r="A121" s="827" t="s">
        <v>4100</v>
      </c>
      <c r="B121" s="827" t="str">
        <f>'CREDITO ENE JUL 2025'!B95</f>
        <v>Maria Juliana Lopez</v>
      </c>
      <c r="C121" s="827" t="s">
        <v>4101</v>
      </c>
      <c r="D121" s="828">
        <f>'CREDITO ENE JUL 2025'!C95</f>
        <v>740800</v>
      </c>
      <c r="E121" s="827" t="s">
        <v>4102</v>
      </c>
      <c r="F121" s="829"/>
      <c r="G121" s="833">
        <f>'CREDITO ENE JUL 2025'!A95</f>
        <v>94</v>
      </c>
    </row>
    <row r="122">
      <c r="A122" s="834" t="s">
        <v>4100</v>
      </c>
      <c r="B122" s="834" t="str">
        <f>'CARTERA VENCIDA '!B53</f>
        <v>Maria Paula Andrade</v>
      </c>
      <c r="C122" s="834" t="s">
        <v>4120</v>
      </c>
      <c r="D122" s="835">
        <f>'CARTERA VENCIDA '!E53</f>
        <v>30000</v>
      </c>
      <c r="E122" s="827" t="s">
        <v>4102</v>
      </c>
      <c r="F122" s="836" t="s">
        <v>4123</v>
      </c>
      <c r="G122" s="836" t="s">
        <v>4109</v>
      </c>
    </row>
    <row r="123" hidden="1">
      <c r="A123" s="827" t="s">
        <v>4100</v>
      </c>
      <c r="B123" s="827" t="str">
        <f>'CREDITO ENE JUL 2025'!B31</f>
        <v>Maria Paula Ciro</v>
      </c>
      <c r="C123" s="827" t="s">
        <v>4101</v>
      </c>
      <c r="D123" s="828">
        <f>'CREDITO ENE JUL 2025'!C31</f>
        <v>0</v>
      </c>
      <c r="E123" s="827" t="s">
        <v>4102</v>
      </c>
      <c r="F123" s="829" t="s">
        <v>4140</v>
      </c>
      <c r="G123" s="829">
        <f>'CREDITO ENE JUL 2025'!A31</f>
        <v>30</v>
      </c>
    </row>
    <row r="124">
      <c r="A124" s="827" t="s">
        <v>4100</v>
      </c>
      <c r="B124" s="827" t="str">
        <f>'CREDITO ENE JUL 2025'!B98</f>
        <v>Maria Rubi Davila</v>
      </c>
      <c r="C124" s="827" t="s">
        <v>4101</v>
      </c>
      <c r="D124" s="828">
        <f>'CREDITO ENE JUL 2025'!C98</f>
        <v>1130600</v>
      </c>
      <c r="E124" s="827" t="s">
        <v>4102</v>
      </c>
      <c r="F124" s="829"/>
      <c r="G124" s="829">
        <f>'CREDITO ENE JUL 2025'!A98</f>
        <v>97</v>
      </c>
    </row>
    <row r="125">
      <c r="A125" s="827" t="s">
        <v>4100</v>
      </c>
      <c r="B125" s="827" t="str">
        <f>'CREDITO ENE JUL 2025'!B77</f>
        <v>Mariana Pareja </v>
      </c>
      <c r="C125" s="827" t="s">
        <v>4101</v>
      </c>
      <c r="D125" s="828">
        <f>'CREDITO ENE JUL 2025'!C77</f>
        <v>1881400</v>
      </c>
      <c r="E125" s="827" t="s">
        <v>4102</v>
      </c>
      <c r="F125" s="829"/>
      <c r="G125" s="829">
        <f>'CREDITO ENE JUL 2025'!A77</f>
        <v>76</v>
      </c>
    </row>
    <row r="126">
      <c r="A126" s="837" t="s">
        <v>4100</v>
      </c>
      <c r="B126" s="837" t="str">
        <f>'CARTERA VENCIDA '!B37</f>
        <v>Mariana Pareja </v>
      </c>
      <c r="C126" s="837" t="s">
        <v>4113</v>
      </c>
      <c r="D126" s="838">
        <f>'CARTERA VENCIDA '!E37</f>
        <v>108800</v>
      </c>
      <c r="E126" s="827" t="s">
        <v>4102</v>
      </c>
      <c r="F126" s="839"/>
      <c r="G126" s="839" t="s">
        <v>4112</v>
      </c>
    </row>
    <row r="127">
      <c r="A127" s="827" t="s">
        <v>4100</v>
      </c>
      <c r="B127" s="827" t="str">
        <f>'CREDITO ENE JUL 2025'!B86</f>
        <v>Marlin Pacheco</v>
      </c>
      <c r="C127" s="827" t="s">
        <v>4101</v>
      </c>
      <c r="D127" s="828">
        <f>'CREDITO ENE JUL 2025'!C86</f>
        <v>751000</v>
      </c>
      <c r="E127" s="827" t="s">
        <v>4102</v>
      </c>
      <c r="F127" s="829"/>
      <c r="G127" s="833">
        <f>'CREDITO ENE JUL 2025'!A86</f>
        <v>85</v>
      </c>
    </row>
    <row r="128">
      <c r="A128" s="827" t="s">
        <v>4100</v>
      </c>
      <c r="B128" s="827" t="str">
        <f>'CREDITO ENE JUL 2025'!B159</f>
        <v>Marlon Velez DR</v>
      </c>
      <c r="C128" s="827" t="s">
        <v>4101</v>
      </c>
      <c r="D128" s="828">
        <f>'CREDITO ENE JUL 2025'!C159</f>
        <v>684800</v>
      </c>
      <c r="E128" s="827" t="s">
        <v>4102</v>
      </c>
      <c r="F128" s="829" t="s">
        <v>4106</v>
      </c>
      <c r="G128" s="829">
        <f>'CREDITO ENE JUL 2025'!A159</f>
        <v>158</v>
      </c>
    </row>
    <row r="129">
      <c r="A129" s="830" t="s">
        <v>4100</v>
      </c>
      <c r="B129" s="830" t="str">
        <f>'CARTERA VENCIDA '!B6</f>
        <v>Mateo Carvajal </v>
      </c>
      <c r="C129" s="830" t="s">
        <v>4141</v>
      </c>
      <c r="D129" s="840">
        <f>'CARTERA VENCIDA '!E6</f>
        <v>862000</v>
      </c>
      <c r="E129" s="827" t="s">
        <v>4102</v>
      </c>
      <c r="F129" s="832"/>
      <c r="G129" s="832" t="s">
        <v>4105</v>
      </c>
    </row>
    <row r="130">
      <c r="A130" s="827" t="s">
        <v>4100</v>
      </c>
      <c r="B130" s="827" t="str">
        <f>'CREDITO ENE JUL 2025'!B59</f>
        <v>Mauricio Quintero </v>
      </c>
      <c r="C130" s="827" t="s">
        <v>4101</v>
      </c>
      <c r="D130" s="828">
        <f>'CREDITO ENE JUL 2025'!C59</f>
        <v>614000</v>
      </c>
      <c r="E130" s="827" t="s">
        <v>4102</v>
      </c>
      <c r="F130" s="829"/>
      <c r="G130" s="829">
        <f>'CREDITO ENE JUL 2025'!A59</f>
        <v>58</v>
      </c>
    </row>
    <row r="131">
      <c r="A131" s="827" t="s">
        <v>4100</v>
      </c>
      <c r="B131" s="827" t="str">
        <f>'CREDITO ENE JUL 2025'!B51</f>
        <v>Melissa Aragon</v>
      </c>
      <c r="C131" s="827" t="s">
        <v>4101</v>
      </c>
      <c r="D131" s="828">
        <f>'CREDITO ENE JUL 2025'!C51</f>
        <v>2232900</v>
      </c>
      <c r="E131" s="827" t="s">
        <v>4102</v>
      </c>
      <c r="F131" s="829"/>
      <c r="G131" s="829">
        <f>'CREDITO ENE JUL 2025'!A51</f>
        <v>50</v>
      </c>
    </row>
    <row r="132">
      <c r="A132" s="827" t="s">
        <v>4100</v>
      </c>
      <c r="B132" s="827" t="str">
        <f>'CREDITO ENE JUL 2025'!B162</f>
        <v>Melissa Echeverry DR</v>
      </c>
      <c r="C132" s="827" t="s">
        <v>4101</v>
      </c>
      <c r="D132" s="828">
        <f>'CREDITO ENE JUL 2025'!C162</f>
        <v>890000</v>
      </c>
      <c r="E132" s="827" t="s">
        <v>4102</v>
      </c>
      <c r="F132" s="829"/>
      <c r="G132" s="829">
        <f>'CREDITO ENE JUL 2025'!A162</f>
        <v>161</v>
      </c>
    </row>
    <row r="133">
      <c r="A133" s="827" t="s">
        <v>4100</v>
      </c>
      <c r="B133" s="827" t="str">
        <f>'CREDITO ENE JUL 2025'!B125</f>
        <v>Michael benavidez Dr </v>
      </c>
      <c r="C133" s="827" t="s">
        <v>4101</v>
      </c>
      <c r="D133" s="828">
        <f>'CREDITO ENE JUL 2025'!C125</f>
        <v>270000</v>
      </c>
      <c r="E133" s="827" t="s">
        <v>4102</v>
      </c>
      <c r="F133" s="829"/>
      <c r="G133" s="833">
        <f>'CREDITO ENE JUL 2025'!A125</f>
        <v>124</v>
      </c>
    </row>
    <row r="134">
      <c r="A134" s="827" t="s">
        <v>4100</v>
      </c>
      <c r="B134" s="827" t="str">
        <f>'CREDITO ENE JUL 2025'!B193</f>
        <v>Natalia Duran DR</v>
      </c>
      <c r="C134" s="827" t="s">
        <v>4101</v>
      </c>
      <c r="D134" s="841">
        <f>'CREDITO ENE JUL 2025'!C193</f>
        <v>1407000</v>
      </c>
      <c r="E134" s="827" t="s">
        <v>4102</v>
      </c>
      <c r="F134" s="829" t="s">
        <v>4106</v>
      </c>
      <c r="G134" s="829">
        <f>'CREDITO ENE JUL 2025'!A193</f>
        <v>192</v>
      </c>
    </row>
    <row r="135">
      <c r="A135" s="827" t="s">
        <v>4100</v>
      </c>
      <c r="B135" s="827" t="str">
        <f>'CREDITO ENE JUL 2025'!B108</f>
        <v>Natalia Vargas</v>
      </c>
      <c r="C135" s="827" t="s">
        <v>4101</v>
      </c>
      <c r="D135" s="828">
        <f>'CREDITO ENE JUL 2025'!C108</f>
        <v>2506400</v>
      </c>
      <c r="E135" s="827" t="s">
        <v>4102</v>
      </c>
      <c r="F135" s="829"/>
      <c r="G135" s="833">
        <f>'CREDITO ENE JUL 2025'!A108</f>
        <v>107</v>
      </c>
    </row>
    <row r="136">
      <c r="A136" s="830" t="s">
        <v>4100</v>
      </c>
      <c r="B136" s="830" t="str">
        <f>'CARTERA VENCIDA '!B17</f>
        <v>Natalia Wagner </v>
      </c>
      <c r="C136" s="830" t="s">
        <v>4142</v>
      </c>
      <c r="D136" s="831">
        <f>'CARTERA VENCIDA '!E17</f>
        <v>1148800</v>
      </c>
      <c r="E136" s="827" t="s">
        <v>4102</v>
      </c>
      <c r="F136" s="832"/>
      <c r="G136" s="832" t="s">
        <v>4105</v>
      </c>
    </row>
    <row r="137" hidden="1">
      <c r="A137" s="827" t="s">
        <v>4100</v>
      </c>
      <c r="B137" s="827" t="str">
        <f>'CREDITO ENE JUL 2025'!B35</f>
        <v>Osly Ibarguen </v>
      </c>
      <c r="C137" s="827" t="s">
        <v>4101</v>
      </c>
      <c r="D137" s="828">
        <f>'CREDITO ENE JUL 2025'!C35</f>
        <v>0</v>
      </c>
      <c r="E137" s="827" t="s">
        <v>4102</v>
      </c>
      <c r="F137" s="829" t="s">
        <v>4123</v>
      </c>
      <c r="G137" s="829">
        <f>'CREDITO ENE JUL 2025'!A35</f>
        <v>34</v>
      </c>
    </row>
    <row r="138">
      <c r="A138" s="827" t="s">
        <v>4100</v>
      </c>
      <c r="B138" s="827" t="str">
        <f>'CREDITO ENE JUL 2025'!B148</f>
        <v>Owen Cardenas POST</v>
      </c>
      <c r="C138" s="827" t="s">
        <v>4101</v>
      </c>
      <c r="D138" s="828">
        <f>'CREDITO ENE JUL 2025'!C148</f>
        <v>429300</v>
      </c>
      <c r="E138" s="827" t="s">
        <v>4102</v>
      </c>
      <c r="F138" s="829"/>
      <c r="G138" s="833">
        <f>'CREDITO ENE JUL 2025'!A148</f>
        <v>147</v>
      </c>
    </row>
    <row r="139" hidden="1">
      <c r="A139" s="827" t="s">
        <v>4100</v>
      </c>
      <c r="B139" s="827" t="str">
        <f>'CREDITO ENE JUL 2025'!B161</f>
        <v>Paola Agudelo DR</v>
      </c>
      <c r="C139" s="827" t="s">
        <v>4101</v>
      </c>
      <c r="D139" s="828">
        <f>'CREDITO ENE JUL 2025'!C161</f>
        <v>0</v>
      </c>
      <c r="E139" s="827" t="s">
        <v>4102</v>
      </c>
      <c r="F139" s="829"/>
      <c r="G139" s="829">
        <f>'CREDITO ENE JUL 2025'!A161</f>
        <v>160</v>
      </c>
    </row>
    <row r="140">
      <c r="A140" s="830" t="s">
        <v>4100</v>
      </c>
      <c r="B140" s="830" t="str">
        <f>'CARTERA VENCIDA '!B30</f>
        <v>Paola Barrios  POST</v>
      </c>
      <c r="C140" s="830" t="s">
        <v>4126</v>
      </c>
      <c r="D140" s="831">
        <f>'CARTERA VENCIDA '!E30</f>
        <v>289700</v>
      </c>
      <c r="E140" s="827" t="s">
        <v>4102</v>
      </c>
      <c r="F140" s="832" t="s">
        <v>4123</v>
      </c>
      <c r="G140" s="832" t="s">
        <v>4105</v>
      </c>
    </row>
    <row r="141" hidden="1">
      <c r="A141" s="827" t="s">
        <v>4100</v>
      </c>
      <c r="B141" s="827" t="str">
        <f>'CREDITO ENE JUL 2025'!B61</f>
        <v>Rafael Tovar Dr</v>
      </c>
      <c r="C141" s="827" t="s">
        <v>4101</v>
      </c>
      <c r="D141" s="828">
        <f>'CREDITO ENE JUL 2025'!C61</f>
        <v>0</v>
      </c>
      <c r="E141" s="827" t="s">
        <v>4102</v>
      </c>
      <c r="F141" s="829"/>
      <c r="G141" s="829">
        <f>'CREDITO ENE JUL 2025'!A61</f>
        <v>60</v>
      </c>
    </row>
    <row r="142">
      <c r="A142" s="827" t="s">
        <v>4100</v>
      </c>
      <c r="B142" s="827" t="str">
        <f>'CREDITO ENE JUL 2025'!B4</f>
        <v>Ricardo Mosquera</v>
      </c>
      <c r="C142" s="827" t="s">
        <v>4101</v>
      </c>
      <c r="D142" s="828">
        <f>'CREDITO ENE JUL 2025'!C4</f>
        <v>89400</v>
      </c>
      <c r="E142" s="827" t="s">
        <v>4102</v>
      </c>
      <c r="F142" s="829"/>
      <c r="G142" s="829">
        <f>'CREDITO ENE JUL 2025'!A4</f>
        <v>3</v>
      </c>
    </row>
    <row r="143">
      <c r="A143" s="827" t="s">
        <v>4100</v>
      </c>
      <c r="B143" s="827" t="str">
        <f>'CREDITO ENE JUL 2025'!B172</f>
        <v>Salome Marquez POST</v>
      </c>
      <c r="C143" s="827" t="s">
        <v>4101</v>
      </c>
      <c r="D143" s="828">
        <f>'CREDITO ENE JUL 2025'!C172</f>
        <v>1037200</v>
      </c>
      <c r="E143" s="827" t="s">
        <v>4102</v>
      </c>
      <c r="F143" s="829" t="s">
        <v>4107</v>
      </c>
      <c r="G143" s="829">
        <f>'CREDITO ENE JUL 2025'!A172</f>
        <v>171</v>
      </c>
    </row>
    <row r="144">
      <c r="A144" s="827" t="s">
        <v>4100</v>
      </c>
      <c r="B144" s="827" t="str">
        <f>'CREDITO ENE JUL 2025'!B127</f>
        <v>Salome Ruales Dr</v>
      </c>
      <c r="C144" s="827" t="s">
        <v>4101</v>
      </c>
      <c r="D144" s="828">
        <f>'CREDITO ENE JUL 2025'!C127</f>
        <v>644000</v>
      </c>
      <c r="E144" s="827" t="s">
        <v>4102</v>
      </c>
      <c r="F144" s="829"/>
      <c r="G144" s="833">
        <f>'CREDITO ENE JUL 2025'!A127</f>
        <v>126</v>
      </c>
    </row>
    <row r="145">
      <c r="A145" s="827" t="s">
        <v>4100</v>
      </c>
      <c r="B145" s="827" t="str">
        <f>'CREDITO ENE JUL 2025'!B184</f>
        <v>Sandra Pinzon POST</v>
      </c>
      <c r="C145" s="827" t="s">
        <v>4101</v>
      </c>
      <c r="D145" s="828">
        <f>'CREDITO ENE JUL 2025'!C184</f>
        <v>531000</v>
      </c>
      <c r="E145" s="827" t="s">
        <v>4102</v>
      </c>
      <c r="F145" s="829"/>
      <c r="G145" s="829">
        <f>'CREDITO ENE JUL 2025'!A184</f>
        <v>183</v>
      </c>
    </row>
    <row r="146">
      <c r="A146" s="834" t="s">
        <v>4100</v>
      </c>
      <c r="B146" s="834" t="str">
        <f>'CARTERA VENCIDA '!B48</f>
        <v>Santiago</v>
      </c>
      <c r="C146" s="834" t="s">
        <v>4143</v>
      </c>
      <c r="D146" s="835">
        <f>'CARTERA VENCIDA '!E48</f>
        <v>45000</v>
      </c>
      <c r="E146" s="827" t="s">
        <v>4102</v>
      </c>
      <c r="F146" s="836"/>
      <c r="G146" s="836" t="s">
        <v>4109</v>
      </c>
    </row>
    <row r="147">
      <c r="A147" s="827" t="s">
        <v>4100</v>
      </c>
      <c r="B147" s="827" t="str">
        <f>'CREDITO ENE JUL 2025'!B105</f>
        <v>Santiago Guevara</v>
      </c>
      <c r="C147" s="827" t="s">
        <v>4101</v>
      </c>
      <c r="D147" s="828">
        <f>'CREDITO ENE JUL 2025'!C105</f>
        <v>117000</v>
      </c>
      <c r="E147" s="827" t="s">
        <v>4102</v>
      </c>
      <c r="F147" s="829"/>
      <c r="G147" s="833">
        <f>'CREDITO ENE JUL 2025'!A105</f>
        <v>104</v>
      </c>
    </row>
    <row r="148">
      <c r="A148" s="827" t="s">
        <v>4100</v>
      </c>
      <c r="B148" s="827" t="str">
        <f>'CREDITO ENE JUL 2025'!B68</f>
        <v>Santiago Solognier </v>
      </c>
      <c r="C148" s="827" t="s">
        <v>4101</v>
      </c>
      <c r="D148" s="828">
        <f>'CREDITO ENE JUL 2025'!C68</f>
        <v>2471800</v>
      </c>
      <c r="E148" s="827" t="s">
        <v>4102</v>
      </c>
      <c r="F148" s="829"/>
      <c r="G148" s="833">
        <f>'CREDITO ENE JUL 2025'!A68</f>
        <v>67</v>
      </c>
    </row>
    <row r="149" hidden="1">
      <c r="A149" s="827" t="s">
        <v>4100</v>
      </c>
      <c r="B149" s="827" t="str">
        <f>'CREDITO ENE JUL 2025'!B177</f>
        <v>Sara Gomez POST</v>
      </c>
      <c r="C149" s="827" t="s">
        <v>4101</v>
      </c>
      <c r="D149" s="828">
        <f>'CREDITO ENE JUL 2025'!C177</f>
        <v>0</v>
      </c>
      <c r="E149" s="827" t="s">
        <v>4102</v>
      </c>
      <c r="F149" s="829"/>
      <c r="G149" s="829">
        <f>'CREDITO ENE JUL 2025'!A177</f>
        <v>176</v>
      </c>
    </row>
    <row r="150">
      <c r="A150" s="827" t="s">
        <v>4100</v>
      </c>
      <c r="B150" s="827" t="str">
        <f>'CREDITO ENE JUL 2025'!B102</f>
        <v>Sara Muñoz</v>
      </c>
      <c r="C150" s="827" t="s">
        <v>4101</v>
      </c>
      <c r="D150" s="828">
        <f>'CREDITO ENE JUL 2025'!C102</f>
        <v>270500</v>
      </c>
      <c r="E150" s="827" t="s">
        <v>4102</v>
      </c>
      <c r="F150" s="829"/>
      <c r="G150" s="829">
        <f>'CREDITO ENE JUL 2025'!A102</f>
        <v>101</v>
      </c>
    </row>
    <row r="151">
      <c r="A151" s="830" t="s">
        <v>4100</v>
      </c>
      <c r="B151" s="830" t="str">
        <f>'CARTERA VENCIDA '!B26</f>
        <v>Saray Caicedo</v>
      </c>
      <c r="C151" s="830" t="s">
        <v>4126</v>
      </c>
      <c r="D151" s="831">
        <f>'CARTERA VENCIDA '!E26</f>
        <v>604600</v>
      </c>
      <c r="E151" s="827" t="s">
        <v>4102</v>
      </c>
      <c r="F151" s="832" t="s">
        <v>4123</v>
      </c>
      <c r="G151" s="832" t="s">
        <v>4105</v>
      </c>
    </row>
    <row r="152">
      <c r="A152" s="827" t="s">
        <v>4100</v>
      </c>
      <c r="B152" s="827" t="str">
        <f>'CREDITO ENE JUL 2025'!B179</f>
        <v>Sebastian Barrera POST</v>
      </c>
      <c r="C152" s="827" t="s">
        <v>4101</v>
      </c>
      <c r="D152" s="828">
        <f>'CREDITO ENE JUL 2025'!C179</f>
        <v>683300</v>
      </c>
      <c r="E152" s="827" t="s">
        <v>4102</v>
      </c>
      <c r="F152" s="829"/>
      <c r="G152" s="829">
        <f>'CREDITO ENE JUL 2025'!A179</f>
        <v>178</v>
      </c>
    </row>
    <row r="153">
      <c r="A153" s="827" t="s">
        <v>4100</v>
      </c>
      <c r="B153" s="827" t="str">
        <f>'CREDITO ENE JUL 2025'!B67</f>
        <v>Sebastian De Clavicci </v>
      </c>
      <c r="C153" s="827" t="s">
        <v>4101</v>
      </c>
      <c r="D153" s="828">
        <f>'CREDITO ENE JUL 2025'!C67</f>
        <v>478500</v>
      </c>
      <c r="E153" s="827" t="s">
        <v>4102</v>
      </c>
      <c r="F153" s="829"/>
      <c r="G153" s="833">
        <f>'CREDITO ENE JUL 2025'!A67</f>
        <v>66</v>
      </c>
    </row>
    <row r="154" ht="14.25" customHeight="1">
      <c r="A154" s="827" t="s">
        <v>4100</v>
      </c>
      <c r="B154" s="827" t="str">
        <f>'CREDITO ENE JUL 2025'!B87</f>
        <v>Sebastian Holguin POST</v>
      </c>
      <c r="C154" s="827" t="s">
        <v>4101</v>
      </c>
      <c r="D154" s="828">
        <f>'CREDITO ENE JUL 2025'!C87</f>
        <v>215000</v>
      </c>
      <c r="E154" s="827" t="s">
        <v>4102</v>
      </c>
      <c r="F154" s="829"/>
      <c r="G154" s="829">
        <f>'CREDITO ENE JUL 2025'!A87</f>
        <v>86</v>
      </c>
    </row>
    <row r="155" hidden="1">
      <c r="A155" s="827" t="s">
        <v>4100</v>
      </c>
      <c r="B155" s="827" t="str">
        <f>'CREDITO ENE JUL 2025'!B76</f>
        <v>Sebastian Hurtado </v>
      </c>
      <c r="C155" s="827" t="s">
        <v>4101</v>
      </c>
      <c r="D155" s="828">
        <f>'CREDITO ENE JUL 2025'!C76</f>
        <v>0</v>
      </c>
      <c r="E155" s="827" t="s">
        <v>4102</v>
      </c>
      <c r="F155" s="829" t="s">
        <v>4106</v>
      </c>
      <c r="G155" s="829">
        <f>'CREDITO ENE JUL 2025'!A76</f>
        <v>75</v>
      </c>
    </row>
    <row r="156">
      <c r="A156" s="827" t="s">
        <v>4100</v>
      </c>
      <c r="B156" s="827" t="str">
        <f>'CREDITO ENE JUL 2025'!B25</f>
        <v>Sebastian Pabon</v>
      </c>
      <c r="C156" s="827" t="s">
        <v>4101</v>
      </c>
      <c r="D156" s="828">
        <f>'CREDITO ENE JUL 2025'!C25</f>
        <v>2532900</v>
      </c>
      <c r="E156" s="827" t="s">
        <v>4102</v>
      </c>
      <c r="F156" s="829"/>
      <c r="G156" s="829">
        <f>'CREDITO ENE JUL 2025'!A25</f>
        <v>24</v>
      </c>
    </row>
    <row r="157">
      <c r="A157" s="827" t="s">
        <v>4100</v>
      </c>
      <c r="B157" s="827" t="str">
        <f>'CREDITO ENE JUL 2025'!B82</f>
        <v>Sofia Carvajal </v>
      </c>
      <c r="C157" s="827" t="s">
        <v>4101</v>
      </c>
      <c r="D157" s="828">
        <f>'CREDITO ENE JUL 2025'!C82</f>
        <v>4026000</v>
      </c>
      <c r="E157" s="827" t="s">
        <v>4102</v>
      </c>
      <c r="F157" s="829"/>
      <c r="G157" s="829">
        <f>'CREDITO ENE JUL 2025'!A82</f>
        <v>81</v>
      </c>
    </row>
    <row r="158">
      <c r="A158" s="827" t="s">
        <v>4100</v>
      </c>
      <c r="B158" s="827" t="str">
        <f>'CREDITO ENE JUL 2025'!B23</f>
        <v>Sofia Rivera</v>
      </c>
      <c r="C158" s="827" t="s">
        <v>4101</v>
      </c>
      <c r="D158" s="828">
        <f>'CREDITO ENE JUL 2025'!C23</f>
        <v>94000</v>
      </c>
      <c r="E158" s="827" t="s">
        <v>4102</v>
      </c>
      <c r="F158" s="829"/>
      <c r="G158" s="829">
        <f>'CREDITO ENE JUL 2025'!A23</f>
        <v>22</v>
      </c>
    </row>
    <row r="159">
      <c r="A159" s="827" t="s">
        <v>4100</v>
      </c>
      <c r="B159" s="827" t="str">
        <f>'CREDITO ENE JUL 2025'!B71</f>
        <v>Sonia Vanessa Rodriguez</v>
      </c>
      <c r="C159" s="827" t="s">
        <v>4101</v>
      </c>
      <c r="D159" s="828">
        <f>'CREDITO ENE JUL 2025'!C71</f>
        <v>44000</v>
      </c>
      <c r="E159" s="827" t="s">
        <v>4102</v>
      </c>
      <c r="F159" s="829"/>
      <c r="G159" s="833">
        <f>'CREDITO ENE JUL 2025'!A71</f>
        <v>70</v>
      </c>
    </row>
    <row r="160" hidden="1">
      <c r="A160" s="827" t="s">
        <v>4100</v>
      </c>
      <c r="B160" s="827" t="str">
        <f>'CREDITO ENE JUL 2025'!B183</f>
        <v>Stefany Lince POST</v>
      </c>
      <c r="C160" s="827" t="s">
        <v>4101</v>
      </c>
      <c r="D160" s="828">
        <f>'CREDITO ENE JUL 2025'!C183</f>
        <v>0</v>
      </c>
      <c r="E160" s="827" t="s">
        <v>4102</v>
      </c>
      <c r="F160" s="829"/>
      <c r="G160" s="829">
        <f>'CREDITO ENE JUL 2025'!A183</f>
        <v>182</v>
      </c>
    </row>
    <row r="161">
      <c r="A161" s="827" t="s">
        <v>4100</v>
      </c>
      <c r="B161" s="827" t="str">
        <f>'CREDITO ENE JUL 2025'!B32</f>
        <v>Tatiana Endo Dra </v>
      </c>
      <c r="C161" s="827" t="s">
        <v>4101</v>
      </c>
      <c r="D161" s="828">
        <f>'CREDITO ENE JUL 2025'!C32</f>
        <v>708000</v>
      </c>
      <c r="E161" s="827" t="s">
        <v>4102</v>
      </c>
      <c r="F161" s="829"/>
      <c r="G161" s="829">
        <f>'CREDITO ENE JUL 2025'!A32</f>
        <v>31</v>
      </c>
    </row>
    <row r="162">
      <c r="A162" s="827" t="s">
        <v>4100</v>
      </c>
      <c r="B162" s="827" t="str">
        <f>'CREDITO ENE JUL 2025'!B197</f>
        <v>TATIANA SIZA DRA</v>
      </c>
      <c r="C162" s="827" t="s">
        <v>4101</v>
      </c>
      <c r="D162" s="828">
        <f>'CREDITO ENE JUL 2025'!C197</f>
        <v>710000</v>
      </c>
      <c r="E162" s="827" t="s">
        <v>4102</v>
      </c>
      <c r="F162" s="829"/>
      <c r="G162" s="829">
        <f>'CREDITO ENE JUL 2025'!A197</f>
        <v>196</v>
      </c>
    </row>
    <row r="163">
      <c r="A163" s="837" t="s">
        <v>4100</v>
      </c>
      <c r="B163" s="837" t="str">
        <f>'CARTERA VENCIDA '!B36</f>
        <v>Valentina Cardenas </v>
      </c>
      <c r="C163" s="837" t="s">
        <v>4113</v>
      </c>
      <c r="D163" s="838">
        <f>'CARTERA VENCIDA '!E36</f>
        <v>361500</v>
      </c>
      <c r="E163" s="827" t="s">
        <v>4102</v>
      </c>
      <c r="F163" s="839"/>
      <c r="G163" s="839" t="s">
        <v>4112</v>
      </c>
    </row>
    <row r="164">
      <c r="A164" s="827" t="s">
        <v>4100</v>
      </c>
      <c r="B164" s="827" t="str">
        <f>'CREDITO ENE JUL 2025'!B143</f>
        <v>Valentina Ciro </v>
      </c>
      <c r="C164" s="827" t="s">
        <v>4101</v>
      </c>
      <c r="D164" s="828">
        <f>'CREDITO ENE JUL 2025'!C143</f>
        <v>2552000</v>
      </c>
      <c r="E164" s="827" t="s">
        <v>4102</v>
      </c>
      <c r="F164" s="829"/>
      <c r="G164" s="829">
        <f>'CREDITO ENE JUL 2025'!A143</f>
        <v>142</v>
      </c>
    </row>
    <row r="165">
      <c r="A165" s="830" t="s">
        <v>4100</v>
      </c>
      <c r="B165" s="830" t="str">
        <f>'CARTERA VENCIDA '!B23</f>
        <v>Valentina Cortez</v>
      </c>
      <c r="C165" s="830" t="s">
        <v>4144</v>
      </c>
      <c r="D165" s="831">
        <f>'CARTERA VENCIDA '!E23</f>
        <v>189100</v>
      </c>
      <c r="E165" s="827" t="s">
        <v>4102</v>
      </c>
      <c r="F165" s="832"/>
      <c r="G165" s="832" t="s">
        <v>4105</v>
      </c>
    </row>
    <row r="166">
      <c r="A166" s="830" t="s">
        <v>4100</v>
      </c>
      <c r="B166" s="830" t="str">
        <f>'CARTERA VENCIDA '!B32</f>
        <v>Valentina Cuellar </v>
      </c>
      <c r="C166" s="830" t="s">
        <v>4126</v>
      </c>
      <c r="D166" s="831">
        <f>'CARTERA VENCIDA '!E32</f>
        <v>2362500</v>
      </c>
      <c r="E166" s="827" t="s">
        <v>4102</v>
      </c>
      <c r="F166" s="832" t="s">
        <v>4145</v>
      </c>
      <c r="G166" s="832" t="s">
        <v>4105</v>
      </c>
    </row>
    <row r="167">
      <c r="A167" s="827" t="s">
        <v>4100</v>
      </c>
      <c r="B167" s="827" t="str">
        <f>'CREDITO ENE JUL 2025'!B16</f>
        <v>Valentina De Pablo </v>
      </c>
      <c r="C167" s="827" t="s">
        <v>4101</v>
      </c>
      <c r="D167" s="828">
        <f>'CREDITO ENE JUL 2025'!C16</f>
        <v>1453300</v>
      </c>
      <c r="E167" s="827" t="s">
        <v>4102</v>
      </c>
      <c r="F167" s="829"/>
      <c r="G167" s="829">
        <f>'CREDITO ENE JUL 2025'!A16</f>
        <v>15</v>
      </c>
    </row>
    <row r="168" hidden="1">
      <c r="A168" s="827" t="s">
        <v>4100</v>
      </c>
      <c r="B168" s="827" t="str">
        <f>'CREDITO ENE JUL 2025'!B48</f>
        <v>Valentina Guerrero </v>
      </c>
      <c r="C168" s="827" t="s">
        <v>4101</v>
      </c>
      <c r="D168" s="828">
        <f>'CREDITO ENE JUL 2025'!C48</f>
        <v>0</v>
      </c>
      <c r="E168" s="827" t="s">
        <v>4102</v>
      </c>
      <c r="F168" s="829" t="s">
        <v>4106</v>
      </c>
      <c r="G168" s="829">
        <f>'CREDITO ENE JUL 2025'!A48</f>
        <v>47</v>
      </c>
    </row>
    <row r="169">
      <c r="A169" s="827" t="s">
        <v>4100</v>
      </c>
      <c r="B169" s="827" t="str">
        <f>'CREDITO ENE JUL 2025'!B39</f>
        <v>Valentina Ramirez LAB</v>
      </c>
      <c r="C169" s="827" t="s">
        <v>4101</v>
      </c>
      <c r="D169" s="828">
        <f>'CREDITO ENE JUL 2025'!C39</f>
        <v>599090</v>
      </c>
      <c r="E169" s="827" t="s">
        <v>4102</v>
      </c>
      <c r="F169" s="829"/>
      <c r="G169" s="829">
        <f>'CREDITO ENE JUL 2025'!A39</f>
        <v>38</v>
      </c>
    </row>
    <row r="170">
      <c r="A170" s="827" t="s">
        <v>4100</v>
      </c>
      <c r="B170" s="827" t="str">
        <f>'CREDITO ENE JUL 2025'!B62</f>
        <v>Valentina Ruiz</v>
      </c>
      <c r="C170" s="827" t="s">
        <v>4101</v>
      </c>
      <c r="D170" s="828">
        <f>'CREDITO ENE JUL 2025'!C62</f>
        <v>71500</v>
      </c>
      <c r="E170" s="827" t="s">
        <v>4102</v>
      </c>
      <c r="F170" s="829"/>
      <c r="G170" s="833">
        <f>'CREDITO ENE JUL 2025'!A62</f>
        <v>61</v>
      </c>
    </row>
    <row r="171">
      <c r="A171" s="827" t="s">
        <v>4100</v>
      </c>
      <c r="B171" s="827" t="str">
        <f>'CREDITO ENE JUL 2025'!B80</f>
        <v>Valentina Tamara </v>
      </c>
      <c r="C171" s="827" t="s">
        <v>4101</v>
      </c>
      <c r="D171" s="828">
        <f>'CREDITO ENE JUL 2025'!C80</f>
        <v>1839700</v>
      </c>
      <c r="E171" s="827" t="s">
        <v>4102</v>
      </c>
      <c r="F171" s="829"/>
      <c r="G171" s="833">
        <f>'CREDITO ENE JUL 2025'!A80</f>
        <v>79</v>
      </c>
    </row>
    <row r="172">
      <c r="A172" s="834" t="s">
        <v>4100</v>
      </c>
      <c r="B172" s="834" t="str">
        <f>'CARTERA VENCIDA '!B51</f>
        <v>Valeria Camacho</v>
      </c>
      <c r="C172" s="834" t="s">
        <v>4133</v>
      </c>
      <c r="D172" s="835">
        <f>'CARTERA VENCIDA '!E51</f>
        <v>850000</v>
      </c>
      <c r="E172" s="827" t="s">
        <v>4102</v>
      </c>
      <c r="F172" s="836"/>
      <c r="G172" s="836" t="s">
        <v>4109</v>
      </c>
    </row>
    <row r="173">
      <c r="A173" s="830" t="s">
        <v>4100</v>
      </c>
      <c r="B173" s="830" t="str">
        <f>'CARTERA VENCIDA '!B22</f>
        <v>Valeria Gaviria </v>
      </c>
      <c r="C173" s="830" t="s">
        <v>4144</v>
      </c>
      <c r="D173" s="831">
        <f>'CARTERA VENCIDA '!E22</f>
        <v>1883900</v>
      </c>
      <c r="E173" s="827" t="s">
        <v>4102</v>
      </c>
      <c r="F173" s="832"/>
      <c r="G173" s="832" t="s">
        <v>4105</v>
      </c>
    </row>
    <row r="174">
      <c r="A174" s="827" t="s">
        <v>4100</v>
      </c>
      <c r="B174" s="827" t="str">
        <f>'CREDITO ENE JUL 2025'!B11</f>
        <v>Vanessa Muñoz </v>
      </c>
      <c r="C174" s="827" t="s">
        <v>4101</v>
      </c>
      <c r="D174" s="828">
        <f>'CREDITO ENE JUL 2025'!C11</f>
        <v>949000</v>
      </c>
      <c r="E174" s="827" t="s">
        <v>4102</v>
      </c>
      <c r="F174" s="829"/>
      <c r="G174" s="829">
        <f>'CREDITO ENE JUL 2025'!A11</f>
        <v>10</v>
      </c>
    </row>
    <row r="175">
      <c r="A175" s="827" t="s">
        <v>4100</v>
      </c>
      <c r="B175" s="827" t="str">
        <f>'CREDITO ENE JUL 2025'!B200</f>
        <v>Vanessa Restrepo DR</v>
      </c>
      <c r="C175" s="827" t="s">
        <v>4101</v>
      </c>
      <c r="D175" s="828">
        <f>'CREDITO ENE JUL 2025'!C200</f>
        <v>542000</v>
      </c>
      <c r="E175" s="827" t="s">
        <v>4102</v>
      </c>
      <c r="F175" s="829"/>
      <c r="G175" s="829">
        <f>'CREDITO ENE JUL 2025'!A200</f>
        <v>199</v>
      </c>
    </row>
    <row r="176">
      <c r="A176" s="830" t="s">
        <v>4100</v>
      </c>
      <c r="B176" s="830" t="str">
        <f>'CARTERA VENCIDA '!B24</f>
        <v>Veronica Ibarra </v>
      </c>
      <c r="C176" s="830" t="s">
        <v>4126</v>
      </c>
      <c r="D176" s="831">
        <f>'CARTERA VENCIDA '!E24</f>
        <v>168300</v>
      </c>
      <c r="E176" s="827" t="s">
        <v>4102</v>
      </c>
      <c r="F176" s="832"/>
      <c r="G176" s="832" t="s">
        <v>4105</v>
      </c>
    </row>
    <row r="177" hidden="1">
      <c r="A177" s="827" t="s">
        <v>4100</v>
      </c>
      <c r="B177" s="827" t="str">
        <f>'CREDITO ENE JUL 2025'!B45</f>
        <v>Victor Diaz</v>
      </c>
      <c r="C177" s="827" t="s">
        <v>4101</v>
      </c>
      <c r="D177" s="828">
        <f>'CREDITO ENE JUL 2025'!C45</f>
        <v>0</v>
      </c>
      <c r="E177" s="827" t="s">
        <v>4102</v>
      </c>
      <c r="F177" s="829" t="s">
        <v>4106</v>
      </c>
      <c r="G177" s="829">
        <f>'CREDITO ENE JUL 2025'!A45</f>
        <v>44</v>
      </c>
    </row>
    <row r="178">
      <c r="A178" s="827" t="s">
        <v>4100</v>
      </c>
      <c r="B178" s="827" t="str">
        <f>'CREDITO ENE JUL 2025'!B170</f>
        <v>Viviana Gonzalez Dr</v>
      </c>
      <c r="C178" s="827" t="s">
        <v>4101</v>
      </c>
      <c r="D178" s="828">
        <f>'CREDITO ENE JUL 2025'!C170</f>
        <v>236000</v>
      </c>
      <c r="E178" s="827" t="s">
        <v>4102</v>
      </c>
      <c r="F178" s="829" t="s">
        <v>4106</v>
      </c>
      <c r="G178" s="829">
        <f>'CREDITO ENE JUL 2025'!A170</f>
        <v>169</v>
      </c>
    </row>
    <row r="179" hidden="1">
      <c r="A179" s="827" t="s">
        <v>4100</v>
      </c>
      <c r="B179" s="827" t="str">
        <f>'CREDITO ENE JUL 2025'!B111</f>
        <v>Walvin Gale DR</v>
      </c>
      <c r="C179" s="827" t="s">
        <v>4101</v>
      </c>
      <c r="D179" s="828">
        <f>'CREDITO ENE JUL 2025'!C111</f>
        <v>0</v>
      </c>
      <c r="E179" s="827" t="s">
        <v>4102</v>
      </c>
      <c r="F179" s="829"/>
      <c r="G179" s="833">
        <f>'CREDITO ENE JUL 2025'!A111</f>
        <v>110</v>
      </c>
    </row>
    <row r="180">
      <c r="A180" s="830" t="s">
        <v>4100</v>
      </c>
      <c r="B180" s="830" t="str">
        <f>'CARTERA VENCIDA '!B27</f>
        <v>Yuliana Olaya </v>
      </c>
      <c r="C180" s="830" t="s">
        <v>4126</v>
      </c>
      <c r="D180" s="831">
        <f>'CARTERA VENCIDA '!E27</f>
        <v>607400</v>
      </c>
      <c r="E180" s="830"/>
      <c r="F180" s="832" t="s">
        <v>4123</v>
      </c>
      <c r="G180" s="832" t="s">
        <v>4105</v>
      </c>
    </row>
    <row r="181">
      <c r="A181" s="827" t="s">
        <v>4100</v>
      </c>
      <c r="B181" s="827" t="str">
        <f>'CREDITO ENE JUL 2025'!B22</f>
        <v>Zoe Alturo</v>
      </c>
      <c r="C181" s="827" t="s">
        <v>4101</v>
      </c>
      <c r="D181" s="828">
        <f>'CREDITO ENE JUL 2025'!C22</f>
        <v>75000</v>
      </c>
      <c r="E181" s="827"/>
      <c r="F181" s="829" t="s">
        <v>4146</v>
      </c>
      <c r="G181" s="829">
        <f>'CREDITO ENE JUL 2025'!A22</f>
        <v>21</v>
      </c>
    </row>
    <row r="182">
      <c r="A182" s="834" t="s">
        <v>4100</v>
      </c>
      <c r="B182" s="834" t="str">
        <f t="shared" ref="B182:B211" si="1">#REF!</f>
        <v>#REF!</v>
      </c>
      <c r="C182" s="834" t="s">
        <v>4120</v>
      </c>
      <c r="D182" s="842" t="str">
        <f t="shared" ref="D182:D211" si="2">#REF!</f>
        <v>#REF!</v>
      </c>
      <c r="E182" s="834"/>
      <c r="F182" s="836" t="s">
        <v>4106</v>
      </c>
      <c r="G182" s="836" t="s">
        <v>4109</v>
      </c>
    </row>
    <row r="183">
      <c r="A183" s="830" t="s">
        <v>4100</v>
      </c>
      <c r="B183" s="830" t="str">
        <f t="shared" si="1"/>
        <v>#REF!</v>
      </c>
      <c r="C183" s="830" t="s">
        <v>4147</v>
      </c>
      <c r="D183" s="843" t="str">
        <f t="shared" si="2"/>
        <v>#REF!</v>
      </c>
      <c r="E183" s="830"/>
      <c r="F183" s="832" t="s">
        <v>4123</v>
      </c>
      <c r="G183" s="832" t="s">
        <v>4105</v>
      </c>
    </row>
    <row r="184">
      <c r="A184" s="830" t="s">
        <v>4100</v>
      </c>
      <c r="B184" s="830" t="str">
        <f t="shared" si="1"/>
        <v>#REF!</v>
      </c>
      <c r="C184" s="830" t="s">
        <v>4126</v>
      </c>
      <c r="D184" s="843" t="str">
        <f t="shared" si="2"/>
        <v>#REF!</v>
      </c>
      <c r="E184" s="830"/>
      <c r="F184" s="832" t="s">
        <v>4148</v>
      </c>
      <c r="G184" s="832" t="s">
        <v>4105</v>
      </c>
    </row>
    <row r="185">
      <c r="A185" s="830" t="s">
        <v>4100</v>
      </c>
      <c r="B185" s="830" t="str">
        <f t="shared" si="1"/>
        <v>#REF!</v>
      </c>
      <c r="C185" s="830" t="s">
        <v>4126</v>
      </c>
      <c r="D185" s="843" t="str">
        <f t="shared" si="2"/>
        <v>#REF!</v>
      </c>
      <c r="E185" s="830"/>
      <c r="F185" s="832" t="s">
        <v>4125</v>
      </c>
      <c r="G185" s="832" t="s">
        <v>4105</v>
      </c>
    </row>
    <row r="186">
      <c r="A186" s="834" t="s">
        <v>4100</v>
      </c>
      <c r="B186" s="834" t="str">
        <f t="shared" si="1"/>
        <v>#REF!</v>
      </c>
      <c r="C186" s="834"/>
      <c r="D186" s="842" t="str">
        <f t="shared" si="2"/>
        <v>#REF!</v>
      </c>
      <c r="E186" s="834"/>
      <c r="F186" s="836"/>
      <c r="G186" s="836" t="s">
        <v>4109</v>
      </c>
    </row>
    <row r="187">
      <c r="A187" s="834" t="s">
        <v>4100</v>
      </c>
      <c r="B187" s="834" t="str">
        <f t="shared" si="1"/>
        <v>#REF!</v>
      </c>
      <c r="C187" s="834" t="s">
        <v>4120</v>
      </c>
      <c r="D187" s="842" t="str">
        <f t="shared" si="2"/>
        <v>#REF!</v>
      </c>
      <c r="E187" s="834"/>
      <c r="F187" s="836"/>
      <c r="G187" s="836" t="s">
        <v>4109</v>
      </c>
    </row>
    <row r="188">
      <c r="A188" s="837" t="s">
        <v>4100</v>
      </c>
      <c r="B188" s="837" t="str">
        <f t="shared" si="1"/>
        <v>#REF!</v>
      </c>
      <c r="C188" s="837" t="s">
        <v>4113</v>
      </c>
      <c r="D188" s="844" t="str">
        <f t="shared" si="2"/>
        <v>#REF!</v>
      </c>
      <c r="E188" s="837"/>
      <c r="F188" s="839" t="s">
        <v>4123</v>
      </c>
      <c r="G188" s="839" t="s">
        <v>4112</v>
      </c>
    </row>
    <row r="189">
      <c r="A189" s="837" t="s">
        <v>4100</v>
      </c>
      <c r="B189" s="837" t="str">
        <f t="shared" si="1"/>
        <v>#REF!</v>
      </c>
      <c r="C189" s="837" t="s">
        <v>4113</v>
      </c>
      <c r="D189" s="844" t="str">
        <f t="shared" si="2"/>
        <v>#REF!</v>
      </c>
      <c r="E189" s="837"/>
      <c r="F189" s="839" t="s">
        <v>4123</v>
      </c>
      <c r="G189" s="839" t="s">
        <v>4112</v>
      </c>
    </row>
    <row r="190">
      <c r="A190" s="837" t="s">
        <v>4100</v>
      </c>
      <c r="B190" s="837" t="str">
        <f t="shared" si="1"/>
        <v>#REF!</v>
      </c>
      <c r="C190" s="837" t="s">
        <v>4149</v>
      </c>
      <c r="D190" s="844" t="str">
        <f t="shared" si="2"/>
        <v>#REF!</v>
      </c>
      <c r="E190" s="837"/>
      <c r="F190" s="839" t="s">
        <v>4123</v>
      </c>
      <c r="G190" s="839" t="s">
        <v>4112</v>
      </c>
    </row>
    <row r="191">
      <c r="A191" s="830" t="s">
        <v>4100</v>
      </c>
      <c r="B191" s="830" t="str">
        <f t="shared" si="1"/>
        <v>#REF!</v>
      </c>
      <c r="C191" s="830" t="s">
        <v>4126</v>
      </c>
      <c r="D191" s="843" t="str">
        <f t="shared" si="2"/>
        <v>#REF!</v>
      </c>
      <c r="E191" s="830"/>
      <c r="F191" s="832" t="s">
        <v>4123</v>
      </c>
      <c r="G191" s="832" t="s">
        <v>4105</v>
      </c>
    </row>
    <row r="192">
      <c r="A192" s="837" t="s">
        <v>4100</v>
      </c>
      <c r="B192" s="837" t="str">
        <f t="shared" si="1"/>
        <v>#REF!</v>
      </c>
      <c r="C192" s="837" t="s">
        <v>4113</v>
      </c>
      <c r="D192" s="844" t="str">
        <f t="shared" si="2"/>
        <v>#REF!</v>
      </c>
      <c r="E192" s="837"/>
      <c r="F192" s="839" t="s">
        <v>4150</v>
      </c>
      <c r="G192" s="839" t="s">
        <v>4112</v>
      </c>
    </row>
    <row r="193">
      <c r="A193" s="837" t="s">
        <v>4100</v>
      </c>
      <c r="B193" s="837" t="str">
        <f t="shared" si="1"/>
        <v>#REF!</v>
      </c>
      <c r="C193" s="837" t="s">
        <v>4151</v>
      </c>
      <c r="D193" s="844" t="str">
        <f t="shared" si="2"/>
        <v>#REF!</v>
      </c>
      <c r="E193" s="837"/>
      <c r="F193" s="839" t="s">
        <v>4123</v>
      </c>
      <c r="G193" s="839" t="s">
        <v>4112</v>
      </c>
    </row>
    <row r="194">
      <c r="A194" s="830" t="s">
        <v>4100</v>
      </c>
      <c r="B194" s="830" t="str">
        <f t="shared" si="1"/>
        <v>#REF!</v>
      </c>
      <c r="C194" s="830" t="s">
        <v>4126</v>
      </c>
      <c r="D194" s="843" t="str">
        <f t="shared" si="2"/>
        <v>#REF!</v>
      </c>
      <c r="E194" s="830"/>
      <c r="F194" s="832"/>
      <c r="G194" s="832" t="s">
        <v>4105</v>
      </c>
    </row>
    <row r="195">
      <c r="A195" s="830" t="s">
        <v>4100</v>
      </c>
      <c r="B195" s="830" t="str">
        <f t="shared" si="1"/>
        <v>#REF!</v>
      </c>
      <c r="C195" s="830" t="s">
        <v>4126</v>
      </c>
      <c r="D195" s="843" t="str">
        <f t="shared" si="2"/>
        <v>#REF!</v>
      </c>
      <c r="E195" s="830"/>
      <c r="F195" s="832" t="s">
        <v>4123</v>
      </c>
      <c r="G195" s="832" t="s">
        <v>4105</v>
      </c>
    </row>
    <row r="196">
      <c r="A196" s="830" t="s">
        <v>4100</v>
      </c>
      <c r="B196" s="830" t="str">
        <f t="shared" si="1"/>
        <v>#REF!</v>
      </c>
      <c r="C196" s="830" t="s">
        <v>4126</v>
      </c>
      <c r="D196" s="843" t="str">
        <f t="shared" si="2"/>
        <v>#REF!</v>
      </c>
      <c r="E196" s="830"/>
      <c r="F196" s="832"/>
      <c r="G196" s="832" t="s">
        <v>4105</v>
      </c>
    </row>
    <row r="197">
      <c r="A197" s="830" t="s">
        <v>4100</v>
      </c>
      <c r="B197" s="830" t="str">
        <f t="shared" si="1"/>
        <v>#REF!</v>
      </c>
      <c r="C197" s="830" t="s">
        <v>4126</v>
      </c>
      <c r="D197" s="843" t="str">
        <f t="shared" si="2"/>
        <v>#REF!</v>
      </c>
      <c r="E197" s="830"/>
      <c r="F197" s="832"/>
      <c r="G197" s="832" t="s">
        <v>4105</v>
      </c>
    </row>
    <row r="198">
      <c r="A198" s="830" t="s">
        <v>4100</v>
      </c>
      <c r="B198" s="830" t="str">
        <f t="shared" si="1"/>
        <v>#REF!</v>
      </c>
      <c r="C198" s="830"/>
      <c r="D198" s="843" t="str">
        <f t="shared" si="2"/>
        <v>#REF!</v>
      </c>
      <c r="E198" s="830"/>
      <c r="F198" s="832"/>
      <c r="G198" s="832" t="s">
        <v>4105</v>
      </c>
    </row>
    <row r="199">
      <c r="A199" s="830" t="s">
        <v>4100</v>
      </c>
      <c r="B199" s="830" t="str">
        <f t="shared" si="1"/>
        <v>#REF!</v>
      </c>
      <c r="C199" s="830" t="s">
        <v>4126</v>
      </c>
      <c r="D199" s="843" t="str">
        <f t="shared" si="2"/>
        <v>#REF!</v>
      </c>
      <c r="E199" s="830"/>
      <c r="F199" s="832"/>
      <c r="G199" s="832" t="s">
        <v>4105</v>
      </c>
    </row>
    <row r="200">
      <c r="A200" s="830" t="s">
        <v>4100</v>
      </c>
      <c r="B200" s="830" t="str">
        <f t="shared" si="1"/>
        <v>#REF!</v>
      </c>
      <c r="C200" s="830" t="s">
        <v>4126</v>
      </c>
      <c r="D200" s="843" t="str">
        <f t="shared" si="2"/>
        <v>#REF!</v>
      </c>
      <c r="E200" s="830"/>
      <c r="F200" s="832"/>
      <c r="G200" s="832" t="s">
        <v>4105</v>
      </c>
    </row>
    <row r="201">
      <c r="A201" s="830" t="s">
        <v>4100</v>
      </c>
      <c r="B201" s="830" t="str">
        <f t="shared" si="1"/>
        <v>#REF!</v>
      </c>
      <c r="C201" s="830" t="s">
        <v>4126</v>
      </c>
      <c r="D201" s="843" t="str">
        <f t="shared" si="2"/>
        <v>#REF!</v>
      </c>
      <c r="E201" s="830"/>
      <c r="F201" s="832"/>
      <c r="G201" s="832" t="s">
        <v>4105</v>
      </c>
    </row>
    <row r="202">
      <c r="A202" s="830" t="s">
        <v>4100</v>
      </c>
      <c r="B202" s="830" t="str">
        <f t="shared" si="1"/>
        <v>#REF!</v>
      </c>
      <c r="C202" s="830" t="s">
        <v>4126</v>
      </c>
      <c r="D202" s="843" t="str">
        <f t="shared" si="2"/>
        <v>#REF!</v>
      </c>
      <c r="E202" s="830"/>
      <c r="F202" s="832"/>
      <c r="G202" s="832" t="s">
        <v>4105</v>
      </c>
    </row>
    <row r="203">
      <c r="A203" s="830" t="s">
        <v>4100</v>
      </c>
      <c r="B203" s="830" t="str">
        <f t="shared" si="1"/>
        <v>#REF!</v>
      </c>
      <c r="C203" s="830" t="s">
        <v>4126</v>
      </c>
      <c r="D203" s="843" t="str">
        <f t="shared" si="2"/>
        <v>#REF!</v>
      </c>
      <c r="E203" s="830"/>
      <c r="F203" s="832"/>
      <c r="G203" s="832" t="s">
        <v>4105</v>
      </c>
    </row>
    <row r="204">
      <c r="A204" s="830" t="s">
        <v>4100</v>
      </c>
      <c r="B204" s="830" t="str">
        <f t="shared" si="1"/>
        <v>#REF!</v>
      </c>
      <c r="C204" s="830"/>
      <c r="D204" s="843" t="str">
        <f t="shared" si="2"/>
        <v>#REF!</v>
      </c>
      <c r="E204" s="830"/>
      <c r="F204" s="832"/>
      <c r="G204" s="832" t="s">
        <v>4105</v>
      </c>
    </row>
    <row r="205">
      <c r="A205" s="830" t="s">
        <v>4100</v>
      </c>
      <c r="B205" s="830" t="str">
        <f t="shared" si="1"/>
        <v>#REF!</v>
      </c>
      <c r="C205" s="830"/>
      <c r="D205" s="843" t="str">
        <f t="shared" si="2"/>
        <v>#REF!</v>
      </c>
      <c r="E205" s="830"/>
      <c r="F205" s="832"/>
      <c r="G205" s="832" t="s">
        <v>4105</v>
      </c>
    </row>
    <row r="206">
      <c r="A206" s="830" t="s">
        <v>4100</v>
      </c>
      <c r="B206" s="830" t="str">
        <f t="shared" si="1"/>
        <v>#REF!</v>
      </c>
      <c r="C206" s="830"/>
      <c r="D206" s="843" t="str">
        <f t="shared" si="2"/>
        <v>#REF!</v>
      </c>
      <c r="E206" s="830"/>
      <c r="F206" s="832"/>
      <c r="G206" s="832" t="s">
        <v>4105</v>
      </c>
    </row>
    <row r="207">
      <c r="A207" s="830" t="s">
        <v>4100</v>
      </c>
      <c r="B207" s="830" t="str">
        <f t="shared" si="1"/>
        <v>#REF!</v>
      </c>
      <c r="C207" s="830"/>
      <c r="D207" s="843" t="str">
        <f t="shared" si="2"/>
        <v>#REF!</v>
      </c>
      <c r="E207" s="830"/>
      <c r="F207" s="832"/>
      <c r="G207" s="832" t="s">
        <v>4105</v>
      </c>
    </row>
    <row r="208">
      <c r="A208" s="830" t="s">
        <v>4100</v>
      </c>
      <c r="B208" s="830" t="str">
        <f t="shared" si="1"/>
        <v>#REF!</v>
      </c>
      <c r="C208" s="830"/>
      <c r="D208" s="843" t="str">
        <f t="shared" si="2"/>
        <v>#REF!</v>
      </c>
      <c r="E208" s="830"/>
      <c r="F208" s="832"/>
      <c r="G208" s="832" t="s">
        <v>4105</v>
      </c>
    </row>
    <row r="209">
      <c r="A209" s="830" t="s">
        <v>4100</v>
      </c>
      <c r="B209" s="830" t="str">
        <f t="shared" si="1"/>
        <v>#REF!</v>
      </c>
      <c r="C209" s="830"/>
      <c r="D209" s="843" t="str">
        <f t="shared" si="2"/>
        <v>#REF!</v>
      </c>
      <c r="E209" s="830"/>
      <c r="F209" s="832"/>
      <c r="G209" s="832" t="s">
        <v>4105</v>
      </c>
    </row>
    <row r="210">
      <c r="A210" s="830" t="s">
        <v>4100</v>
      </c>
      <c r="B210" s="830" t="str">
        <f t="shared" si="1"/>
        <v>#REF!</v>
      </c>
      <c r="C210" s="830"/>
      <c r="D210" s="843" t="str">
        <f t="shared" si="2"/>
        <v>#REF!</v>
      </c>
      <c r="E210" s="830"/>
      <c r="F210" s="832"/>
      <c r="G210" s="832" t="s">
        <v>4105</v>
      </c>
    </row>
    <row r="211">
      <c r="A211" s="830" t="s">
        <v>4100</v>
      </c>
      <c r="B211" s="830" t="str">
        <f t="shared" si="1"/>
        <v>#REF!</v>
      </c>
      <c r="C211" s="830"/>
      <c r="D211" s="843" t="str">
        <f t="shared" si="2"/>
        <v>#REF!</v>
      </c>
      <c r="E211" s="830"/>
      <c r="F211" s="832"/>
      <c r="G211" s="832" t="s">
        <v>4105</v>
      </c>
    </row>
    <row r="212" hidden="1">
      <c r="A212" s="837" t="s">
        <v>4100</v>
      </c>
      <c r="B212" s="837" t="str">
        <f>'CARTERA VENCIDA '!B39</f>
        <v/>
      </c>
      <c r="C212" s="837" t="s">
        <v>4113</v>
      </c>
      <c r="D212" s="838" t="str">
        <f>'CARTERA VENCIDA '!E39</f>
        <v/>
      </c>
      <c r="E212" s="837"/>
      <c r="F212" s="839"/>
      <c r="G212" s="839" t="s">
        <v>4112</v>
      </c>
    </row>
    <row r="213" hidden="1">
      <c r="A213" s="830" t="s">
        <v>4100</v>
      </c>
      <c r="B213" s="830" t="str">
        <f>'CARTERA VENCIDA '!B34</f>
        <v/>
      </c>
      <c r="C213" s="830" t="s">
        <v>4126</v>
      </c>
      <c r="D213" s="831" t="str">
        <f>'CARTERA VENCIDA '!E34</f>
        <v/>
      </c>
      <c r="E213" s="830"/>
      <c r="F213" s="832" t="s">
        <v>4123</v>
      </c>
      <c r="G213" s="832" t="s">
        <v>4105</v>
      </c>
    </row>
    <row r="214" hidden="1">
      <c r="A214" s="837" t="s">
        <v>4100</v>
      </c>
      <c r="B214" s="837" t="str">
        <f>'CARTERA VENCIDA '!B42</f>
        <v/>
      </c>
      <c r="C214" s="837" t="s">
        <v>4152</v>
      </c>
      <c r="D214" s="838" t="str">
        <f>'CARTERA VENCIDA '!E42</f>
        <v/>
      </c>
      <c r="E214" s="837"/>
      <c r="F214" s="839"/>
      <c r="G214" s="839" t="s">
        <v>4112</v>
      </c>
    </row>
    <row r="215" hidden="1">
      <c r="A215" s="827" t="s">
        <v>4100</v>
      </c>
      <c r="B215" s="827" t="str">
        <f>'CREDITO ENE JUL 2025'!B17</f>
        <v/>
      </c>
      <c r="C215" s="827" t="s">
        <v>4101</v>
      </c>
      <c r="D215" s="828">
        <f>'CREDITO ENE JUL 2025'!C17</f>
        <v>0</v>
      </c>
      <c r="E215" s="827" t="s">
        <v>4153</v>
      </c>
      <c r="F215" s="829"/>
      <c r="G215" s="829">
        <f>'CREDITO ENE JUL 2025'!A17</f>
        <v>16</v>
      </c>
    </row>
    <row r="216" hidden="1">
      <c r="A216" s="827" t="s">
        <v>4100</v>
      </c>
      <c r="B216" s="827" t="str">
        <f>'CREDITO ENE JUL 2025'!B26</f>
        <v/>
      </c>
      <c r="C216" s="827" t="s">
        <v>4101</v>
      </c>
      <c r="D216" s="828">
        <f>'CREDITO ENE JUL 2025'!C26</f>
        <v>0</v>
      </c>
      <c r="E216" s="827" t="s">
        <v>4153</v>
      </c>
      <c r="F216" s="829"/>
      <c r="G216" s="829">
        <f>'CREDITO ENE JUL 2025'!A26</f>
        <v>25</v>
      </c>
    </row>
    <row r="217" hidden="1">
      <c r="A217" s="827" t="s">
        <v>4100</v>
      </c>
      <c r="B217" s="827" t="str">
        <f>'CREDITO ENE JUL 2025'!B28</f>
        <v/>
      </c>
      <c r="C217" s="827" t="s">
        <v>4101</v>
      </c>
      <c r="D217" s="828">
        <f>'CREDITO ENE JUL 2025'!C28</f>
        <v>0</v>
      </c>
      <c r="E217" s="827" t="s">
        <v>4153</v>
      </c>
      <c r="F217" s="829"/>
      <c r="G217" s="829">
        <f>'CREDITO ENE JUL 2025'!A28</f>
        <v>27</v>
      </c>
    </row>
    <row r="218" hidden="1">
      <c r="A218" s="827" t="s">
        <v>4100</v>
      </c>
      <c r="B218" s="827" t="str">
        <f>'CREDITO ENE JUL 2025'!B29</f>
        <v/>
      </c>
      <c r="C218" s="827" t="s">
        <v>4101</v>
      </c>
      <c r="D218" s="828">
        <f>'CREDITO ENE JUL 2025'!C29</f>
        <v>0</v>
      </c>
      <c r="E218" s="827" t="s">
        <v>4153</v>
      </c>
      <c r="F218" s="829"/>
      <c r="G218" s="829">
        <f>'CREDITO ENE JUL 2025'!A29</f>
        <v>28</v>
      </c>
    </row>
    <row r="219" hidden="1">
      <c r="A219" s="827" t="s">
        <v>4100</v>
      </c>
      <c r="B219" s="827" t="str">
        <f>'CREDITO ENE JUL 2025'!B30</f>
        <v/>
      </c>
      <c r="C219" s="827" t="s">
        <v>4101</v>
      </c>
      <c r="D219" s="828">
        <f>'CREDITO ENE JUL 2025'!C30</f>
        <v>0</v>
      </c>
      <c r="E219" s="827" t="s">
        <v>4153</v>
      </c>
      <c r="F219" s="829"/>
      <c r="G219" s="829">
        <f>'CREDITO ENE JUL 2025'!A30</f>
        <v>29</v>
      </c>
    </row>
    <row r="220" hidden="1">
      <c r="A220" s="827" t="s">
        <v>4100</v>
      </c>
      <c r="B220" s="827" t="str">
        <f>'CREDITO ENE JUL 2025'!B33</f>
        <v/>
      </c>
      <c r="C220" s="827" t="s">
        <v>4101</v>
      </c>
      <c r="D220" s="828">
        <f>'CREDITO ENE JUL 2025'!C33</f>
        <v>0</v>
      </c>
      <c r="E220" s="827" t="s">
        <v>4153</v>
      </c>
      <c r="F220" s="829"/>
      <c r="G220" s="829">
        <f>'CREDITO ENE JUL 2025'!A33</f>
        <v>32</v>
      </c>
    </row>
    <row r="221" hidden="1">
      <c r="A221" s="827" t="s">
        <v>4100</v>
      </c>
      <c r="B221" s="827" t="str">
        <f>'CREDITO ENE JUL 2025'!B36</f>
        <v/>
      </c>
      <c r="C221" s="827" t="s">
        <v>4101</v>
      </c>
      <c r="D221" s="828">
        <f>'CREDITO ENE JUL 2025'!C36</f>
        <v>0</v>
      </c>
      <c r="E221" s="827" t="s">
        <v>4153</v>
      </c>
      <c r="F221" s="829"/>
      <c r="G221" s="829">
        <f>'CREDITO ENE JUL 2025'!A36</f>
        <v>35</v>
      </c>
    </row>
    <row r="222" hidden="1">
      <c r="A222" s="827" t="s">
        <v>4100</v>
      </c>
      <c r="B222" s="827" t="str">
        <f>'CREDITO ENE JUL 2025'!B38</f>
        <v/>
      </c>
      <c r="C222" s="827" t="s">
        <v>4101</v>
      </c>
      <c r="D222" s="828">
        <f>'CREDITO ENE JUL 2025'!C38</f>
        <v>0</v>
      </c>
      <c r="E222" s="827" t="s">
        <v>4153</v>
      </c>
      <c r="F222" s="829"/>
      <c r="G222" s="829">
        <f>'CREDITO ENE JUL 2025'!A38</f>
        <v>37</v>
      </c>
    </row>
    <row r="223" hidden="1">
      <c r="A223" s="827" t="s">
        <v>4100</v>
      </c>
      <c r="B223" s="827" t="str">
        <f>'CREDITO ENE JUL 2025'!B40</f>
        <v/>
      </c>
      <c r="C223" s="827" t="s">
        <v>4101</v>
      </c>
      <c r="D223" s="828">
        <f>'CREDITO ENE JUL 2025'!C40</f>
        <v>0</v>
      </c>
      <c r="E223" s="827" t="s">
        <v>4153</v>
      </c>
      <c r="F223" s="829"/>
      <c r="G223" s="829">
        <f>'CREDITO ENE JUL 2025'!A40</f>
        <v>39</v>
      </c>
    </row>
    <row r="224" hidden="1">
      <c r="A224" s="827" t="s">
        <v>4100</v>
      </c>
      <c r="B224" s="827" t="str">
        <f>'CREDITO ENE JUL 2025'!B52</f>
        <v/>
      </c>
      <c r="C224" s="827" t="s">
        <v>4101</v>
      </c>
      <c r="D224" s="828">
        <f>'CREDITO ENE JUL 2025'!C52</f>
        <v>0</v>
      </c>
      <c r="E224" s="827" t="s">
        <v>4153</v>
      </c>
      <c r="F224" s="829"/>
      <c r="G224" s="829">
        <f>'CREDITO ENE JUL 2025'!A52</f>
        <v>51</v>
      </c>
    </row>
    <row r="225" hidden="1">
      <c r="A225" s="827" t="s">
        <v>4100</v>
      </c>
      <c r="B225" s="827" t="str">
        <f>'CREDITO ENE JUL 2025'!B54</f>
        <v/>
      </c>
      <c r="C225" s="827" t="s">
        <v>4101</v>
      </c>
      <c r="D225" s="828">
        <f>'CREDITO ENE JUL 2025'!C54</f>
        <v>0</v>
      </c>
      <c r="E225" s="827" t="s">
        <v>4153</v>
      </c>
      <c r="F225" s="829"/>
      <c r="G225" s="833">
        <f>'CREDITO ENE JUL 2025'!A54</f>
        <v>53</v>
      </c>
    </row>
    <row r="226" hidden="1">
      <c r="A226" s="827" t="s">
        <v>4100</v>
      </c>
      <c r="B226" s="827" t="str">
        <f>'CREDITO ENE JUL 2025'!B58</f>
        <v/>
      </c>
      <c r="C226" s="827" t="s">
        <v>4101</v>
      </c>
      <c r="D226" s="828">
        <f>'CREDITO ENE JUL 2025'!C58</f>
        <v>0</v>
      </c>
      <c r="E226" s="827" t="s">
        <v>4153</v>
      </c>
      <c r="F226" s="829"/>
      <c r="G226" s="833">
        <f>'CREDITO ENE JUL 2025'!A58</f>
        <v>57</v>
      </c>
    </row>
    <row r="227" hidden="1">
      <c r="A227" s="827" t="s">
        <v>4100</v>
      </c>
      <c r="B227" s="827" t="str">
        <f>'CREDITO ENE JUL 2025'!B60</f>
        <v/>
      </c>
      <c r="C227" s="827" t="s">
        <v>4101</v>
      </c>
      <c r="D227" s="828">
        <f>'CREDITO ENE JUL 2025'!C60</f>
        <v>0</v>
      </c>
      <c r="E227" s="827" t="s">
        <v>4153</v>
      </c>
      <c r="F227" s="829"/>
      <c r="G227" s="833">
        <f>'CREDITO ENE JUL 2025'!A60</f>
        <v>59</v>
      </c>
    </row>
    <row r="228" hidden="1">
      <c r="A228" s="827" t="s">
        <v>4100</v>
      </c>
      <c r="B228" s="827" t="str">
        <f>'CREDITO ENE JUL 2025'!B70</f>
        <v/>
      </c>
      <c r="C228" s="827" t="s">
        <v>4101</v>
      </c>
      <c r="D228" s="828">
        <f>'CREDITO ENE JUL 2025'!C70</f>
        <v>0</v>
      </c>
      <c r="E228" s="827" t="s">
        <v>4153</v>
      </c>
      <c r="F228" s="829"/>
      <c r="G228" s="829">
        <f>'CREDITO ENE JUL 2025'!A70</f>
        <v>69</v>
      </c>
    </row>
    <row r="229" hidden="1">
      <c r="A229" s="827" t="s">
        <v>4100</v>
      </c>
      <c r="B229" s="827" t="str">
        <f>'CREDITO ENE JUL 2025'!B83</f>
        <v/>
      </c>
      <c r="C229" s="827" t="s">
        <v>4101</v>
      </c>
      <c r="D229" s="828">
        <f>'CREDITO ENE JUL 2025'!C83</f>
        <v>0</v>
      </c>
      <c r="E229" s="827" t="s">
        <v>4153</v>
      </c>
      <c r="F229" s="829"/>
      <c r="G229" s="833">
        <f>'CREDITO ENE JUL 2025'!A83</f>
        <v>82</v>
      </c>
    </row>
    <row r="230" hidden="1">
      <c r="A230" s="827" t="s">
        <v>4100</v>
      </c>
      <c r="B230" s="827" t="str">
        <f>'CREDITO ENE JUL 2025'!B84</f>
        <v/>
      </c>
      <c r="C230" s="827" t="s">
        <v>4101</v>
      </c>
      <c r="D230" s="828">
        <f>'CREDITO ENE JUL 2025'!C84</f>
        <v>0</v>
      </c>
      <c r="E230" s="827" t="s">
        <v>4153</v>
      </c>
      <c r="F230" s="829"/>
      <c r="G230" s="833">
        <f>'CREDITO ENE JUL 2025'!A84</f>
        <v>83</v>
      </c>
    </row>
    <row r="231" hidden="1">
      <c r="A231" s="827" t="s">
        <v>4100</v>
      </c>
      <c r="B231" s="827" t="str">
        <f>'CREDITO ENE JUL 2025'!B88</f>
        <v/>
      </c>
      <c r="C231" s="827" t="s">
        <v>4101</v>
      </c>
      <c r="D231" s="828">
        <f>'CREDITO ENE JUL 2025'!C88</f>
        <v>0</v>
      </c>
      <c r="E231" s="827" t="s">
        <v>4153</v>
      </c>
      <c r="F231" s="829"/>
      <c r="G231" s="829">
        <f>'CREDITO ENE JUL 2025'!A88</f>
        <v>87</v>
      </c>
    </row>
    <row r="232" hidden="1">
      <c r="A232" s="827" t="s">
        <v>4100</v>
      </c>
      <c r="B232" s="827" t="str">
        <f>'CREDITO ENE JUL 2025'!B89</f>
        <v/>
      </c>
      <c r="C232" s="827" t="s">
        <v>4101</v>
      </c>
      <c r="D232" s="828">
        <f>'CREDITO ENE JUL 2025'!C89</f>
        <v>0</v>
      </c>
      <c r="E232" s="827" t="s">
        <v>4153</v>
      </c>
      <c r="F232" s="829"/>
      <c r="G232" s="829">
        <f>'CREDITO ENE JUL 2025'!A89</f>
        <v>88</v>
      </c>
    </row>
    <row r="233" hidden="1">
      <c r="A233" s="827" t="s">
        <v>4100</v>
      </c>
      <c r="B233" s="827" t="str">
        <f>'CREDITO ENE JUL 2025'!B90</f>
        <v/>
      </c>
      <c r="C233" s="827" t="s">
        <v>4101</v>
      </c>
      <c r="D233" s="828">
        <f>'CREDITO ENE JUL 2025'!C90</f>
        <v>0</v>
      </c>
      <c r="E233" s="827" t="s">
        <v>4153</v>
      </c>
      <c r="F233" s="829"/>
      <c r="G233" s="833">
        <f>'CREDITO ENE JUL 2025'!A90</f>
        <v>89</v>
      </c>
    </row>
    <row r="234" hidden="1">
      <c r="A234" s="827" t="s">
        <v>4100</v>
      </c>
      <c r="B234" s="827" t="str">
        <f>'CREDITO ENE JUL 2025'!B91</f>
        <v/>
      </c>
      <c r="C234" s="827" t="s">
        <v>4101</v>
      </c>
      <c r="D234" s="828">
        <f>'CREDITO ENE JUL 2025'!C91</f>
        <v>0</v>
      </c>
      <c r="E234" s="827" t="s">
        <v>4153</v>
      </c>
      <c r="F234" s="829"/>
      <c r="G234" s="829">
        <f>'CREDITO ENE JUL 2025'!A91</f>
        <v>90</v>
      </c>
    </row>
    <row r="235" hidden="1">
      <c r="A235" s="827" t="s">
        <v>4100</v>
      </c>
      <c r="B235" s="827" t="str">
        <f>'CREDITO ENE JUL 2025'!B92</f>
        <v/>
      </c>
      <c r="C235" s="827" t="s">
        <v>4101</v>
      </c>
      <c r="D235" s="828">
        <f>'CREDITO ENE JUL 2025'!C92</f>
        <v>0</v>
      </c>
      <c r="E235" s="827" t="s">
        <v>4153</v>
      </c>
      <c r="F235" s="829"/>
      <c r="G235" s="833">
        <f>'CREDITO ENE JUL 2025'!A92</f>
        <v>91</v>
      </c>
    </row>
    <row r="236" hidden="1">
      <c r="A236" s="827" t="s">
        <v>4100</v>
      </c>
      <c r="B236" s="827" t="str">
        <f>'CREDITO ENE JUL 2025'!B96</f>
        <v/>
      </c>
      <c r="C236" s="827" t="s">
        <v>4101</v>
      </c>
      <c r="D236" s="828">
        <f>'CREDITO ENE JUL 2025'!C96</f>
        <v>0</v>
      </c>
      <c r="E236" s="827" t="s">
        <v>4153</v>
      </c>
      <c r="F236" s="829"/>
      <c r="G236" s="829">
        <f>'CREDITO ENE JUL 2025'!A96</f>
        <v>95</v>
      </c>
    </row>
    <row r="237" hidden="1">
      <c r="A237" s="827" t="s">
        <v>4100</v>
      </c>
      <c r="B237" s="827" t="str">
        <f>'CREDITO ENE JUL 2025'!B101</f>
        <v/>
      </c>
      <c r="C237" s="827" t="s">
        <v>4101</v>
      </c>
      <c r="D237" s="828">
        <f>'CREDITO ENE JUL 2025'!C101</f>
        <v>0</v>
      </c>
      <c r="E237" s="827" t="s">
        <v>4153</v>
      </c>
      <c r="F237" s="829"/>
      <c r="G237" s="829">
        <f>'CREDITO ENE JUL 2025'!A101</f>
        <v>100</v>
      </c>
    </row>
    <row r="238" hidden="1">
      <c r="A238" s="827" t="s">
        <v>4100</v>
      </c>
      <c r="B238" s="827" t="str">
        <f>'CREDITO ENE JUL 2025'!B103</f>
        <v/>
      </c>
      <c r="C238" s="827" t="s">
        <v>4101</v>
      </c>
      <c r="D238" s="828">
        <f>'CREDITO ENE JUL 2025'!C103</f>
        <v>0</v>
      </c>
      <c r="E238" s="827" t="s">
        <v>4153</v>
      </c>
      <c r="F238" s="829"/>
      <c r="G238" s="829">
        <f>'CREDITO ENE JUL 2025'!A103</f>
        <v>102</v>
      </c>
    </row>
    <row r="239" hidden="1">
      <c r="A239" s="827" t="s">
        <v>4100</v>
      </c>
      <c r="B239" s="827" t="str">
        <f>'CREDITO ENE JUL 2025'!B106</f>
        <v/>
      </c>
      <c r="C239" s="827" t="s">
        <v>4101</v>
      </c>
      <c r="D239" s="828">
        <f>'CREDITO ENE JUL 2025'!C106</f>
        <v>0</v>
      </c>
      <c r="E239" s="827" t="s">
        <v>4153</v>
      </c>
      <c r="F239" s="829"/>
      <c r="G239" s="829">
        <f>'CREDITO ENE JUL 2025'!A106</f>
        <v>105</v>
      </c>
    </row>
    <row r="240" hidden="1">
      <c r="A240" s="827" t="s">
        <v>4100</v>
      </c>
      <c r="B240" s="827" t="str">
        <f>'CREDITO ENE JUL 2025'!B113</f>
        <v/>
      </c>
      <c r="C240" s="827" t="s">
        <v>4101</v>
      </c>
      <c r="D240" s="828">
        <f>'CREDITO ENE JUL 2025'!C113</f>
        <v>0</v>
      </c>
      <c r="E240" s="827" t="s">
        <v>4153</v>
      </c>
      <c r="F240" s="829"/>
      <c r="G240" s="833">
        <f>'CREDITO ENE JUL 2025'!A113</f>
        <v>112</v>
      </c>
    </row>
    <row r="241" hidden="1">
      <c r="A241" s="827" t="s">
        <v>4100</v>
      </c>
      <c r="B241" s="827" t="str">
        <f>'CREDITO ENE JUL 2025'!B114</f>
        <v/>
      </c>
      <c r="C241" s="827" t="s">
        <v>4101</v>
      </c>
      <c r="D241" s="828">
        <f>'CREDITO ENE JUL 2025'!C114</f>
        <v>0</v>
      </c>
      <c r="E241" s="827" t="s">
        <v>4153</v>
      </c>
      <c r="F241" s="829"/>
      <c r="G241" s="833">
        <f>'CREDITO ENE JUL 2025'!A114</f>
        <v>113</v>
      </c>
    </row>
    <row r="242" hidden="1">
      <c r="A242" s="827" t="s">
        <v>4100</v>
      </c>
      <c r="B242" s="827" t="str">
        <f>'CREDITO ENE JUL 2025'!B115</f>
        <v/>
      </c>
      <c r="C242" s="827" t="s">
        <v>4101</v>
      </c>
      <c r="D242" s="828">
        <f>'CREDITO ENE JUL 2025'!C115</f>
        <v>0</v>
      </c>
      <c r="E242" s="827" t="s">
        <v>4153</v>
      </c>
      <c r="F242" s="829"/>
      <c r="G242" s="833">
        <f>'CREDITO ENE JUL 2025'!A115</f>
        <v>114</v>
      </c>
    </row>
    <row r="243" hidden="1">
      <c r="A243" s="827" t="s">
        <v>4100</v>
      </c>
      <c r="B243" s="827" t="str">
        <f>'CREDITO ENE JUL 2025'!B117</f>
        <v/>
      </c>
      <c r="C243" s="827" t="s">
        <v>4101</v>
      </c>
      <c r="D243" s="828">
        <f>'CREDITO ENE JUL 2025'!C117</f>
        <v>0</v>
      </c>
      <c r="E243" s="827" t="s">
        <v>4153</v>
      </c>
      <c r="F243" s="829"/>
      <c r="G243" s="829">
        <f>'CREDITO ENE JUL 2025'!A117</f>
        <v>116</v>
      </c>
    </row>
    <row r="244" hidden="1">
      <c r="A244" s="827" t="s">
        <v>4100</v>
      </c>
      <c r="B244" s="827" t="str">
        <f>'CREDITO ENE JUL 2025'!B118</f>
        <v/>
      </c>
      <c r="C244" s="827" t="s">
        <v>4101</v>
      </c>
      <c r="D244" s="828">
        <f>'CREDITO ENE JUL 2025'!C118</f>
        <v>0</v>
      </c>
      <c r="E244" s="827" t="s">
        <v>4153</v>
      </c>
      <c r="F244" s="829"/>
      <c r="G244" s="833">
        <f>'CREDITO ENE JUL 2025'!A118</f>
        <v>117</v>
      </c>
    </row>
    <row r="245" hidden="1">
      <c r="A245" s="827" t="s">
        <v>4100</v>
      </c>
      <c r="B245" s="827" t="str">
        <f>'CREDITO ENE JUL 2025'!B119</f>
        <v/>
      </c>
      <c r="C245" s="827" t="s">
        <v>4101</v>
      </c>
      <c r="D245" s="828">
        <f>'CREDITO ENE JUL 2025'!C119</f>
        <v>0</v>
      </c>
      <c r="E245" s="827" t="s">
        <v>4153</v>
      </c>
      <c r="F245" s="829"/>
      <c r="G245" s="833">
        <f>'CREDITO ENE JUL 2025'!A119</f>
        <v>118</v>
      </c>
    </row>
    <row r="246" hidden="1">
      <c r="A246" s="827" t="s">
        <v>4100</v>
      </c>
      <c r="B246" s="827" t="str">
        <f>'CREDITO ENE JUL 2025'!B120</f>
        <v/>
      </c>
      <c r="C246" s="827" t="s">
        <v>4101</v>
      </c>
      <c r="D246" s="828">
        <f>'CREDITO ENE JUL 2025'!C120</f>
        <v>0</v>
      </c>
      <c r="E246" s="827" t="s">
        <v>4153</v>
      </c>
      <c r="F246" s="829"/>
      <c r="G246" s="833">
        <f>'CREDITO ENE JUL 2025'!A120</f>
        <v>119</v>
      </c>
    </row>
    <row r="247" hidden="1">
      <c r="A247" s="827" t="s">
        <v>4100</v>
      </c>
      <c r="B247" s="827" t="str">
        <f>'CREDITO ENE JUL 2025'!B121</f>
        <v/>
      </c>
      <c r="C247" s="827" t="s">
        <v>4101</v>
      </c>
      <c r="D247" s="828">
        <f>'CREDITO ENE JUL 2025'!C121</f>
        <v>0</v>
      </c>
      <c r="E247" s="827" t="s">
        <v>4153</v>
      </c>
      <c r="F247" s="829"/>
      <c r="G247" s="829">
        <f>'CREDITO ENE JUL 2025'!A121</f>
        <v>120</v>
      </c>
    </row>
    <row r="248" hidden="1">
      <c r="A248" s="827" t="s">
        <v>4100</v>
      </c>
      <c r="B248" s="827" t="str">
        <f>'CREDITO ENE JUL 2025'!B123</f>
        <v/>
      </c>
      <c r="C248" s="827" t="s">
        <v>4101</v>
      </c>
      <c r="D248" s="828">
        <f>'CREDITO ENE JUL 2025'!C123</f>
        <v>0</v>
      </c>
      <c r="E248" s="827" t="s">
        <v>4153</v>
      </c>
      <c r="F248" s="829"/>
      <c r="G248" s="829">
        <f>'CREDITO ENE JUL 2025'!A123</f>
        <v>122</v>
      </c>
    </row>
    <row r="249" hidden="1">
      <c r="A249" s="827" t="s">
        <v>4100</v>
      </c>
      <c r="B249" s="827" t="str">
        <f>'CREDITO ENE JUL 2025'!B126</f>
        <v/>
      </c>
      <c r="C249" s="827" t="s">
        <v>4101</v>
      </c>
      <c r="D249" s="828">
        <f>'CREDITO ENE JUL 2025'!C126</f>
        <v>0</v>
      </c>
      <c r="E249" s="827" t="s">
        <v>4153</v>
      </c>
      <c r="F249" s="829"/>
      <c r="G249" s="833">
        <f>'CREDITO ENE JUL 2025'!A126</f>
        <v>125</v>
      </c>
    </row>
    <row r="250" hidden="1">
      <c r="A250" s="827" t="s">
        <v>4100</v>
      </c>
      <c r="B250" s="827" t="str">
        <f>'CREDITO ENE JUL 2025'!B128</f>
        <v/>
      </c>
      <c r="C250" s="827" t="s">
        <v>4101</v>
      </c>
      <c r="D250" s="828">
        <f>'CREDITO ENE JUL 2025'!C128</f>
        <v>0</v>
      </c>
      <c r="E250" s="827" t="s">
        <v>4153</v>
      </c>
      <c r="F250" s="829"/>
      <c r="G250" s="833">
        <f>'CREDITO ENE JUL 2025'!A128</f>
        <v>127</v>
      </c>
    </row>
    <row r="251" hidden="1">
      <c r="A251" s="827" t="s">
        <v>4100</v>
      </c>
      <c r="B251" s="827" t="str">
        <f>'CREDITO ENE JUL 2025'!B129</f>
        <v/>
      </c>
      <c r="C251" s="827" t="s">
        <v>4101</v>
      </c>
      <c r="D251" s="828">
        <f>'CREDITO ENE JUL 2025'!C129</f>
        <v>0</v>
      </c>
      <c r="E251" s="827" t="s">
        <v>4153</v>
      </c>
      <c r="F251" s="829"/>
      <c r="G251" s="829">
        <f>'CREDITO ENE JUL 2025'!A129</f>
        <v>128</v>
      </c>
    </row>
    <row r="252" hidden="1">
      <c r="A252" s="827" t="s">
        <v>4100</v>
      </c>
      <c r="B252" s="827" t="str">
        <f>'CREDITO ENE JUL 2025'!B130</f>
        <v/>
      </c>
      <c r="C252" s="827" t="s">
        <v>4101</v>
      </c>
      <c r="D252" s="828">
        <f>'CREDITO ENE JUL 2025'!C130</f>
        <v>0</v>
      </c>
      <c r="E252" s="827" t="s">
        <v>4153</v>
      </c>
      <c r="F252" s="829"/>
      <c r="G252" s="833">
        <f>'CREDITO ENE JUL 2025'!A130</f>
        <v>129</v>
      </c>
    </row>
    <row r="253" hidden="1">
      <c r="A253" s="827" t="s">
        <v>4100</v>
      </c>
      <c r="B253" s="827" t="str">
        <f>'CREDITO ENE JUL 2025'!B132</f>
        <v/>
      </c>
      <c r="C253" s="827" t="s">
        <v>4101</v>
      </c>
      <c r="D253" s="828">
        <f>'CREDITO ENE JUL 2025'!C132</f>
        <v>0</v>
      </c>
      <c r="E253" s="827" t="s">
        <v>4153</v>
      </c>
      <c r="F253" s="829"/>
      <c r="G253" s="829">
        <f>'CREDITO ENE JUL 2025'!A132</f>
        <v>131</v>
      </c>
    </row>
    <row r="254" hidden="1">
      <c r="A254" s="827" t="s">
        <v>4100</v>
      </c>
      <c r="B254" s="827" t="str">
        <f>'CREDITO ENE JUL 2025'!B134</f>
        <v/>
      </c>
      <c r="C254" s="827" t="s">
        <v>4101</v>
      </c>
      <c r="D254" s="828">
        <f>'CREDITO ENE JUL 2025'!C134</f>
        <v>0</v>
      </c>
      <c r="E254" s="827" t="s">
        <v>4153</v>
      </c>
      <c r="F254" s="829"/>
      <c r="G254" s="829">
        <f>'CREDITO ENE JUL 2025'!A134</f>
        <v>133</v>
      </c>
    </row>
    <row r="255" hidden="1">
      <c r="A255" s="827" t="s">
        <v>4100</v>
      </c>
      <c r="B255" s="827" t="str">
        <f>'CREDITO ENE JUL 2025'!B135</f>
        <v/>
      </c>
      <c r="C255" s="827" t="s">
        <v>4101</v>
      </c>
      <c r="D255" s="828">
        <f>'CREDITO ENE JUL 2025'!C135</f>
        <v>0</v>
      </c>
      <c r="E255" s="827" t="s">
        <v>4153</v>
      </c>
      <c r="F255" s="829"/>
      <c r="G255" s="829">
        <f>'CREDITO ENE JUL 2025'!A135</f>
        <v>134</v>
      </c>
    </row>
    <row r="256" hidden="1">
      <c r="A256" s="827" t="s">
        <v>4100</v>
      </c>
      <c r="B256" s="827" t="str">
        <f>'CREDITO ENE JUL 2025'!B136</f>
        <v/>
      </c>
      <c r="C256" s="827" t="s">
        <v>4101</v>
      </c>
      <c r="D256" s="828">
        <f>'CREDITO ENE JUL 2025'!C136</f>
        <v>0</v>
      </c>
      <c r="E256" s="827" t="s">
        <v>4153</v>
      </c>
      <c r="F256" s="829"/>
      <c r="G256" s="829">
        <f>'CREDITO ENE JUL 2025'!A136</f>
        <v>135</v>
      </c>
    </row>
    <row r="257" hidden="1">
      <c r="A257" s="827" t="s">
        <v>4100</v>
      </c>
      <c r="B257" s="827" t="str">
        <f>'CREDITO ENE JUL 2025'!B137</f>
        <v/>
      </c>
      <c r="C257" s="827" t="s">
        <v>4101</v>
      </c>
      <c r="D257" s="828">
        <f>'CREDITO ENE JUL 2025'!C137</f>
        <v>0</v>
      </c>
      <c r="E257" s="827" t="s">
        <v>4153</v>
      </c>
      <c r="F257" s="829"/>
      <c r="G257" s="833">
        <f>'CREDITO ENE JUL 2025'!A137</f>
        <v>136</v>
      </c>
    </row>
    <row r="258" hidden="1">
      <c r="A258" s="827" t="s">
        <v>4100</v>
      </c>
      <c r="B258" s="827" t="str">
        <f>'CREDITO ENE JUL 2025'!B138</f>
        <v/>
      </c>
      <c r="C258" s="827" t="s">
        <v>4101</v>
      </c>
      <c r="D258" s="828">
        <f>'CREDITO ENE JUL 2025'!C138</f>
        <v>0</v>
      </c>
      <c r="E258" s="827" t="s">
        <v>4153</v>
      </c>
      <c r="F258" s="829"/>
      <c r="G258" s="833">
        <f>'CREDITO ENE JUL 2025'!A138</f>
        <v>137</v>
      </c>
    </row>
    <row r="259" hidden="1">
      <c r="A259" s="827" t="s">
        <v>4100</v>
      </c>
      <c r="B259" s="827" t="str">
        <f>'CREDITO ENE JUL 2025'!B139</f>
        <v/>
      </c>
      <c r="C259" s="827" t="s">
        <v>4101</v>
      </c>
      <c r="D259" s="828">
        <f>'CREDITO ENE JUL 2025'!C139</f>
        <v>0</v>
      </c>
      <c r="E259" s="827" t="s">
        <v>4153</v>
      </c>
      <c r="F259" s="829"/>
      <c r="G259" s="829">
        <f>'CREDITO ENE JUL 2025'!A139</f>
        <v>138</v>
      </c>
    </row>
    <row r="260" hidden="1">
      <c r="A260" s="827" t="s">
        <v>4100</v>
      </c>
      <c r="B260" s="827" t="str">
        <f>'CREDITO ENE JUL 2025'!B140</f>
        <v/>
      </c>
      <c r="C260" s="827" t="s">
        <v>4101</v>
      </c>
      <c r="D260" s="828">
        <f>'CREDITO ENE JUL 2025'!C140</f>
        <v>0</v>
      </c>
      <c r="E260" s="827" t="s">
        <v>4153</v>
      </c>
      <c r="F260" s="829"/>
      <c r="G260" s="829">
        <f>'CREDITO ENE JUL 2025'!A140</f>
        <v>139</v>
      </c>
    </row>
    <row r="261" hidden="1">
      <c r="A261" s="827" t="s">
        <v>4100</v>
      </c>
      <c r="B261" s="827" t="str">
        <f>'CREDITO ENE JUL 2025'!B142</f>
        <v/>
      </c>
      <c r="C261" s="827" t="s">
        <v>4101</v>
      </c>
      <c r="D261" s="828">
        <f>'CREDITO ENE JUL 2025'!C142</f>
        <v>0</v>
      </c>
      <c r="E261" s="827" t="s">
        <v>4153</v>
      </c>
      <c r="F261" s="829"/>
      <c r="G261" s="829">
        <f>'CREDITO ENE JUL 2025'!A142</f>
        <v>141</v>
      </c>
    </row>
    <row r="262" hidden="1">
      <c r="A262" s="827" t="s">
        <v>4100</v>
      </c>
      <c r="B262" s="827" t="str">
        <f>'CREDITO ENE JUL 2025'!B145</f>
        <v/>
      </c>
      <c r="C262" s="827" t="s">
        <v>4101</v>
      </c>
      <c r="D262" s="828">
        <f>'CREDITO ENE JUL 2025'!C145</f>
        <v>0</v>
      </c>
      <c r="E262" s="827" t="s">
        <v>4153</v>
      </c>
      <c r="F262" s="829"/>
      <c r="G262" s="829">
        <f>'CREDITO ENE JUL 2025'!A145</f>
        <v>144</v>
      </c>
    </row>
    <row r="263" hidden="1">
      <c r="A263" s="827" t="s">
        <v>4100</v>
      </c>
      <c r="B263" s="827" t="str">
        <f>'CREDITO ENE JUL 2025'!B147</f>
        <v/>
      </c>
      <c r="C263" s="827" t="s">
        <v>4101</v>
      </c>
      <c r="D263" s="828">
        <f>'CREDITO ENE JUL 2025'!C147</f>
        <v>0</v>
      </c>
      <c r="E263" s="827" t="s">
        <v>4153</v>
      </c>
      <c r="F263" s="829"/>
      <c r="G263" s="829">
        <f>'CREDITO ENE JUL 2025'!A147</f>
        <v>146</v>
      </c>
    </row>
    <row r="264" hidden="1">
      <c r="A264" s="827" t="s">
        <v>4100</v>
      </c>
      <c r="B264" s="827" t="str">
        <f>'CREDITO ENE JUL 2025'!B160</f>
        <v/>
      </c>
      <c r="C264" s="827" t="s">
        <v>4101</v>
      </c>
      <c r="D264" s="828">
        <f>'CREDITO ENE JUL 2025'!C160</f>
        <v>0</v>
      </c>
      <c r="E264" s="827" t="s">
        <v>4153</v>
      </c>
      <c r="F264" s="829"/>
      <c r="G264" s="829">
        <f>'CREDITO ENE JUL 2025'!A160</f>
        <v>159</v>
      </c>
    </row>
    <row r="265" hidden="1">
      <c r="A265" s="827" t="s">
        <v>4100</v>
      </c>
      <c r="B265" s="827" t="str">
        <f>'CREDITO ENE JUL 2025'!B163</f>
        <v/>
      </c>
      <c r="C265" s="827" t="s">
        <v>4101</v>
      </c>
      <c r="D265" s="828">
        <f>'CREDITO ENE JUL 2025'!C163</f>
        <v>0</v>
      </c>
      <c r="E265" s="827" t="s">
        <v>4153</v>
      </c>
      <c r="F265" s="829"/>
      <c r="G265" s="829">
        <f>'CREDITO ENE JUL 2025'!A163</f>
        <v>162</v>
      </c>
    </row>
    <row r="266" hidden="1">
      <c r="A266" s="827" t="s">
        <v>4100</v>
      </c>
      <c r="B266" s="827" t="str">
        <f>'CREDITO ENE JUL 2025'!B164</f>
        <v/>
      </c>
      <c r="C266" s="827" t="s">
        <v>4101</v>
      </c>
      <c r="D266" s="828">
        <f>'CREDITO ENE JUL 2025'!C164</f>
        <v>0</v>
      </c>
      <c r="E266" s="827" t="s">
        <v>4153</v>
      </c>
      <c r="F266" s="829"/>
      <c r="G266" s="829">
        <f>'CREDITO ENE JUL 2025'!A164</f>
        <v>163</v>
      </c>
    </row>
    <row r="267" hidden="1">
      <c r="A267" s="827" t="s">
        <v>4100</v>
      </c>
      <c r="B267" s="827" t="str">
        <f>'CREDITO ENE JUL 2025'!B165</f>
        <v/>
      </c>
      <c r="C267" s="827" t="s">
        <v>4101</v>
      </c>
      <c r="D267" s="828">
        <f>'CREDITO ENE JUL 2025'!C165</f>
        <v>0</v>
      </c>
      <c r="E267" s="827" t="s">
        <v>4153</v>
      </c>
      <c r="F267" s="829"/>
      <c r="G267" s="829">
        <f>'CREDITO ENE JUL 2025'!A165</f>
        <v>164</v>
      </c>
    </row>
    <row r="268" hidden="1">
      <c r="A268" s="827" t="s">
        <v>4100</v>
      </c>
      <c r="B268" s="827" t="str">
        <f>'CREDITO ENE JUL 2025'!B166</f>
        <v/>
      </c>
      <c r="C268" s="827" t="s">
        <v>4101</v>
      </c>
      <c r="D268" s="828">
        <f>'CREDITO ENE JUL 2025'!C166</f>
        <v>0</v>
      </c>
      <c r="E268" s="827" t="s">
        <v>4153</v>
      </c>
      <c r="F268" s="829"/>
      <c r="G268" s="829">
        <f>'CREDITO ENE JUL 2025'!A166</f>
        <v>165</v>
      </c>
    </row>
    <row r="269" hidden="1">
      <c r="A269" s="827" t="s">
        <v>4100</v>
      </c>
      <c r="B269" s="827" t="str">
        <f>'CREDITO ENE JUL 2025'!B167</f>
        <v/>
      </c>
      <c r="C269" s="827" t="s">
        <v>4101</v>
      </c>
      <c r="D269" s="828">
        <f>'CREDITO ENE JUL 2025'!C167</f>
        <v>0</v>
      </c>
      <c r="E269" s="827" t="s">
        <v>4153</v>
      </c>
      <c r="F269" s="829"/>
      <c r="G269" s="829">
        <f>'CREDITO ENE JUL 2025'!A167</f>
        <v>166</v>
      </c>
    </row>
    <row r="270" hidden="1">
      <c r="A270" s="827" t="s">
        <v>4100</v>
      </c>
      <c r="B270" s="827" t="str">
        <f>'CREDITO ENE JUL 2025'!B169</f>
        <v/>
      </c>
      <c r="C270" s="827" t="s">
        <v>4101</v>
      </c>
      <c r="D270" s="828" t="str">
        <f>'CREDITO ENE JUL 2025'!C169</f>
        <v/>
      </c>
      <c r="E270" s="827" t="s">
        <v>4153</v>
      </c>
      <c r="F270" s="829"/>
      <c r="G270" s="829">
        <f>'CREDITO ENE JUL 2025'!A169</f>
        <v>168</v>
      </c>
    </row>
    <row r="271" hidden="1">
      <c r="A271" s="827" t="s">
        <v>4100</v>
      </c>
      <c r="B271" s="827" t="str">
        <f>'CREDITO ENE JUL 2025'!B171</f>
        <v/>
      </c>
      <c r="C271" s="827" t="s">
        <v>4101</v>
      </c>
      <c r="D271" s="828">
        <f>'CREDITO ENE JUL 2025'!C171</f>
        <v>0</v>
      </c>
      <c r="E271" s="827" t="s">
        <v>4153</v>
      </c>
      <c r="F271" s="829"/>
      <c r="G271" s="829">
        <f>'CREDITO ENE JUL 2025'!A171</f>
        <v>170</v>
      </c>
    </row>
    <row r="272" hidden="1">
      <c r="A272" s="827" t="s">
        <v>4100</v>
      </c>
      <c r="B272" s="827" t="str">
        <f>'CREDITO ENE JUL 2025'!B173</f>
        <v/>
      </c>
      <c r="C272" s="827" t="s">
        <v>4101</v>
      </c>
      <c r="D272" s="828">
        <f>'CREDITO ENE JUL 2025'!C173</f>
        <v>0</v>
      </c>
      <c r="E272" s="827" t="s">
        <v>4153</v>
      </c>
      <c r="F272" s="829"/>
      <c r="G272" s="829">
        <f>'CREDITO ENE JUL 2025'!A173</f>
        <v>172</v>
      </c>
    </row>
    <row r="273" hidden="1">
      <c r="A273" s="827" t="s">
        <v>4100</v>
      </c>
      <c r="B273" s="827" t="str">
        <f>'CREDITO ENE JUL 2025'!B180</f>
        <v/>
      </c>
      <c r="C273" s="827" t="s">
        <v>4101</v>
      </c>
      <c r="D273" s="828">
        <f>'CREDITO ENE JUL 2025'!C180</f>
        <v>0</v>
      </c>
      <c r="E273" s="827" t="s">
        <v>4153</v>
      </c>
      <c r="F273" s="829"/>
      <c r="G273" s="829">
        <f>'CREDITO ENE JUL 2025'!A180</f>
        <v>179</v>
      </c>
    </row>
    <row r="274" hidden="1">
      <c r="A274" s="827" t="s">
        <v>4100</v>
      </c>
      <c r="B274" s="827" t="str">
        <f>'CREDITO ENE JUL 2025'!B192</f>
        <v/>
      </c>
      <c r="C274" s="827" t="s">
        <v>4101</v>
      </c>
      <c r="D274" s="828">
        <f>'CREDITO ENE JUL 2025'!C192</f>
        <v>0</v>
      </c>
      <c r="E274" s="827" t="s">
        <v>4153</v>
      </c>
      <c r="F274" s="829"/>
      <c r="G274" s="829">
        <f>'CREDITO ENE JUL 2025'!A192</f>
        <v>191</v>
      </c>
    </row>
    <row r="275" hidden="1">
      <c r="A275" s="830" t="s">
        <v>4100</v>
      </c>
      <c r="B275" s="830" t="str">
        <f>'CARTERA VENCIDA '!B28</f>
        <v/>
      </c>
      <c r="C275" s="830" t="s">
        <v>4126</v>
      </c>
      <c r="D275" s="831" t="str">
        <f>'CARTERA VENCIDA '!E28</f>
        <v/>
      </c>
      <c r="E275" s="830"/>
      <c r="F275" s="832"/>
      <c r="G275" s="832" t="s">
        <v>4105</v>
      </c>
    </row>
    <row r="276" hidden="1">
      <c r="A276" s="830" t="s">
        <v>4100</v>
      </c>
      <c r="B276" s="830" t="str">
        <f>'CARTERA VENCIDA '!B3</f>
        <v/>
      </c>
      <c r="C276" s="830"/>
      <c r="D276" s="831" t="str">
        <f>'CARTERA VENCIDA '!E3</f>
        <v/>
      </c>
      <c r="E276" s="830"/>
      <c r="F276" s="832"/>
      <c r="G276" s="832" t="s">
        <v>4105</v>
      </c>
    </row>
    <row r="277" hidden="1">
      <c r="A277" s="830" t="s">
        <v>4100</v>
      </c>
      <c r="B277" s="830" t="str">
        <f>'CARTERA VENCIDA '!B7</f>
        <v/>
      </c>
      <c r="C277" s="830"/>
      <c r="D277" s="831" t="str">
        <f>'CARTERA VENCIDA '!E7</f>
        <v/>
      </c>
      <c r="E277" s="830"/>
      <c r="F277" s="832"/>
      <c r="G277" s="832" t="s">
        <v>4105</v>
      </c>
    </row>
    <row r="278" hidden="1">
      <c r="A278" s="830" t="s">
        <v>4100</v>
      </c>
      <c r="B278" s="830" t="str">
        <f>'CARTERA VENCIDA '!B11</f>
        <v/>
      </c>
      <c r="C278" s="830"/>
      <c r="D278" s="831" t="str">
        <f>'CARTERA VENCIDA '!E11</f>
        <v/>
      </c>
      <c r="E278" s="830"/>
      <c r="F278" s="832"/>
      <c r="G278" s="832" t="s">
        <v>4105</v>
      </c>
    </row>
    <row r="279" hidden="1">
      <c r="A279" s="830" t="s">
        <v>4100</v>
      </c>
      <c r="B279" s="830" t="str">
        <f>'CARTERA VENCIDA '!B12</f>
        <v/>
      </c>
      <c r="C279" s="830"/>
      <c r="D279" s="831" t="str">
        <f>'CARTERA VENCIDA '!E12</f>
        <v/>
      </c>
      <c r="E279" s="830"/>
      <c r="F279" s="832"/>
      <c r="G279" s="832" t="s">
        <v>4105</v>
      </c>
    </row>
    <row r="280" hidden="1">
      <c r="A280" s="830" t="s">
        <v>4100</v>
      </c>
      <c r="B280" s="830" t="str">
        <f>'CARTERA VENCIDA '!B16</f>
        <v/>
      </c>
      <c r="C280" s="830"/>
      <c r="D280" s="845" t="str">
        <f>'CARTERA VENCIDA '!E16</f>
        <v/>
      </c>
      <c r="E280" s="830"/>
      <c r="F280" s="832"/>
      <c r="G280" s="832" t="s">
        <v>4105</v>
      </c>
    </row>
    <row r="281" hidden="1">
      <c r="A281" s="830" t="s">
        <v>4100</v>
      </c>
      <c r="B281" s="830" t="str">
        <f>'CARTERA VENCIDA '!B21</f>
        <v/>
      </c>
      <c r="C281" s="830"/>
      <c r="D281" s="831" t="str">
        <f>'CARTERA VENCIDA '!E21</f>
        <v/>
      </c>
      <c r="E281" s="830"/>
      <c r="F281" s="832"/>
      <c r="G281" s="832" t="s">
        <v>4105</v>
      </c>
    </row>
    <row r="282" hidden="1">
      <c r="A282" s="827" t="s">
        <v>4100</v>
      </c>
      <c r="B282" s="827" t="str">
        <f>'CREDITO ENE JUL 2025'!B155</f>
        <v/>
      </c>
      <c r="C282" s="827" t="s">
        <v>4101</v>
      </c>
      <c r="D282" s="828">
        <f>'CREDITO ENE JUL 2025'!C155</f>
        <v>0</v>
      </c>
      <c r="E282" s="827" t="s">
        <v>4153</v>
      </c>
      <c r="F282" s="829"/>
      <c r="G282" s="829" t="str">
        <f>'CREDITO ENE JUL 2025'!A155</f>
        <v/>
      </c>
    </row>
    <row r="283" hidden="1">
      <c r="A283" s="837"/>
      <c r="B283" s="837"/>
      <c r="C283" s="837"/>
      <c r="D283" s="844"/>
      <c r="E283" s="837"/>
      <c r="F283" s="839"/>
      <c r="G283" s="839"/>
    </row>
    <row r="284" hidden="1">
      <c r="A284" s="837"/>
      <c r="B284" s="837"/>
      <c r="C284" s="837"/>
      <c r="D284" s="844"/>
      <c r="E284" s="837"/>
      <c r="F284" s="839"/>
      <c r="G284" s="839"/>
    </row>
    <row r="285" hidden="1">
      <c r="A285" s="837"/>
      <c r="B285" s="837"/>
      <c r="C285" s="837"/>
      <c r="D285" s="844"/>
      <c r="E285" s="837"/>
      <c r="F285" s="839"/>
      <c r="G285" s="839"/>
    </row>
    <row r="286" hidden="1">
      <c r="A286" s="837"/>
      <c r="B286" s="837"/>
      <c r="C286" s="837"/>
      <c r="D286" s="844"/>
      <c r="E286" s="837"/>
      <c r="F286" s="839"/>
      <c r="G286" s="839"/>
    </row>
    <row r="287" hidden="1">
      <c r="A287" s="837"/>
      <c r="B287" s="837"/>
      <c r="C287" s="837"/>
      <c r="D287" s="844"/>
      <c r="E287" s="837"/>
      <c r="F287" s="839"/>
      <c r="G287" s="839"/>
    </row>
    <row r="288" hidden="1">
      <c r="A288" s="837"/>
      <c r="B288" s="837"/>
      <c r="C288" s="837"/>
      <c r="D288" s="844"/>
      <c r="E288" s="837"/>
      <c r="F288" s="839"/>
      <c r="G288" s="839"/>
    </row>
    <row r="289" hidden="1">
      <c r="A289" s="837"/>
      <c r="B289" s="837"/>
      <c r="C289" s="837"/>
      <c r="D289" s="844"/>
      <c r="E289" s="837"/>
      <c r="F289" s="839"/>
      <c r="G289" s="839"/>
    </row>
    <row r="290" hidden="1">
      <c r="A290" s="837"/>
      <c r="B290" s="837"/>
      <c r="C290" s="837"/>
      <c r="D290" s="844"/>
      <c r="E290" s="837"/>
      <c r="F290" s="839"/>
      <c r="G290" s="839"/>
    </row>
    <row r="291" hidden="1">
      <c r="A291" s="837"/>
      <c r="B291" s="837"/>
      <c r="C291" s="837"/>
      <c r="D291" s="844"/>
      <c r="E291" s="837"/>
      <c r="F291" s="839"/>
      <c r="G291" s="839"/>
    </row>
    <row r="292" hidden="1">
      <c r="A292" s="837"/>
      <c r="B292" s="837"/>
      <c r="C292" s="837"/>
      <c r="D292" s="844"/>
      <c r="E292" s="837"/>
      <c r="F292" s="839"/>
      <c r="G292" s="839"/>
    </row>
    <row r="293" hidden="1">
      <c r="A293" s="837"/>
      <c r="B293" s="837"/>
      <c r="C293" s="837"/>
      <c r="D293" s="844"/>
      <c r="E293" s="837"/>
      <c r="F293" s="839"/>
      <c r="G293" s="839"/>
    </row>
    <row r="294" hidden="1">
      <c r="A294" s="837"/>
      <c r="B294" s="837"/>
      <c r="C294" s="837"/>
      <c r="D294" s="844"/>
      <c r="E294" s="837"/>
      <c r="F294" s="839"/>
      <c r="G294" s="839"/>
    </row>
    <row r="295" hidden="1">
      <c r="A295" s="837"/>
      <c r="B295" s="837"/>
      <c r="C295" s="837"/>
      <c r="D295" s="844"/>
      <c r="E295" s="837"/>
      <c r="F295" s="839"/>
      <c r="G295" s="839"/>
    </row>
    <row r="296" hidden="1">
      <c r="A296" s="837"/>
      <c r="B296" s="837"/>
      <c r="C296" s="837"/>
      <c r="D296" s="844"/>
      <c r="E296" s="837"/>
      <c r="F296" s="839"/>
      <c r="G296" s="839"/>
    </row>
    <row r="297" hidden="1">
      <c r="A297" s="837"/>
      <c r="B297" s="837"/>
      <c r="C297" s="837"/>
      <c r="D297" s="844"/>
      <c r="E297" s="837"/>
      <c r="F297" s="839"/>
      <c r="G297" s="839"/>
    </row>
    <row r="298" hidden="1">
      <c r="A298" s="837"/>
      <c r="B298" s="837"/>
      <c r="C298" s="837"/>
      <c r="D298" s="844"/>
      <c r="E298" s="837"/>
      <c r="F298" s="839"/>
      <c r="G298" s="839"/>
    </row>
    <row r="299" hidden="1">
      <c r="A299" s="837"/>
      <c r="B299" s="837"/>
      <c r="C299" s="837"/>
      <c r="D299" s="844"/>
      <c r="E299" s="837"/>
      <c r="F299" s="839"/>
      <c r="G299" s="839"/>
    </row>
    <row r="300" hidden="1">
      <c r="A300" s="837"/>
      <c r="B300" s="837"/>
      <c r="C300" s="837"/>
      <c r="D300" s="844"/>
      <c r="E300" s="837"/>
      <c r="F300" s="839"/>
      <c r="G300" s="839"/>
    </row>
    <row r="301" hidden="1">
      <c r="A301" s="837"/>
      <c r="B301" s="837"/>
      <c r="C301" s="837"/>
      <c r="D301" s="844"/>
      <c r="E301" s="837"/>
      <c r="F301" s="839"/>
      <c r="G301" s="839"/>
    </row>
    <row r="302" hidden="1">
      <c r="A302" s="837"/>
      <c r="B302" s="837"/>
      <c r="C302" s="837"/>
      <c r="D302" s="844"/>
      <c r="E302" s="837"/>
      <c r="F302" s="839"/>
      <c r="G302" s="839"/>
    </row>
    <row r="303" hidden="1">
      <c r="A303" s="837"/>
      <c r="B303" s="837"/>
      <c r="C303" s="837"/>
      <c r="D303" s="844"/>
      <c r="E303" s="837"/>
      <c r="F303" s="839"/>
      <c r="G303" s="839"/>
    </row>
    <row r="304" hidden="1">
      <c r="A304" s="837"/>
      <c r="B304" s="837"/>
      <c r="C304" s="837"/>
      <c r="D304" s="844"/>
      <c r="E304" s="837"/>
      <c r="F304" s="839"/>
      <c r="G304" s="839"/>
    </row>
    <row r="305" hidden="1">
      <c r="A305" s="837"/>
      <c r="B305" s="837"/>
      <c r="C305" s="837"/>
      <c r="D305" s="844"/>
      <c r="E305" s="837"/>
      <c r="F305" s="839"/>
      <c r="G305" s="839"/>
    </row>
    <row r="306" hidden="1">
      <c r="A306" s="837"/>
      <c r="B306" s="837"/>
      <c r="C306" s="837"/>
      <c r="D306" s="844"/>
      <c r="E306" s="837"/>
      <c r="F306" s="839"/>
      <c r="G306" s="839"/>
    </row>
    <row r="307" hidden="1">
      <c r="A307" s="837"/>
      <c r="B307" s="837"/>
      <c r="C307" s="837"/>
      <c r="D307" s="844"/>
      <c r="E307" s="837"/>
      <c r="F307" s="839"/>
      <c r="G307" s="839"/>
    </row>
    <row r="308" hidden="1">
      <c r="A308" s="837"/>
      <c r="B308" s="837"/>
      <c r="C308" s="837"/>
      <c r="D308" s="844"/>
      <c r="E308" s="837"/>
      <c r="F308" s="839"/>
      <c r="G308" s="839"/>
    </row>
    <row r="309" hidden="1">
      <c r="A309" s="837"/>
      <c r="B309" s="837"/>
      <c r="C309" s="837"/>
      <c r="D309" s="844"/>
      <c r="E309" s="837"/>
      <c r="F309" s="839"/>
      <c r="G309" s="839"/>
    </row>
    <row r="310" hidden="1">
      <c r="A310" s="837"/>
      <c r="B310" s="837"/>
      <c r="C310" s="837"/>
      <c r="D310" s="844"/>
      <c r="E310" s="837"/>
      <c r="F310" s="839"/>
      <c r="G310" s="839"/>
    </row>
    <row r="311" hidden="1">
      <c r="A311" s="837"/>
      <c r="B311" s="837"/>
      <c r="C311" s="837"/>
      <c r="D311" s="844"/>
      <c r="E311" s="837"/>
      <c r="F311" s="839"/>
      <c r="G311" s="839"/>
    </row>
    <row r="312" hidden="1">
      <c r="A312" s="837"/>
      <c r="B312" s="837"/>
      <c r="C312" s="837"/>
      <c r="D312" s="844"/>
      <c r="E312" s="837"/>
      <c r="F312" s="839"/>
      <c r="G312" s="839"/>
    </row>
    <row r="313" hidden="1">
      <c r="A313" s="837"/>
      <c r="B313" s="837"/>
      <c r="C313" s="837"/>
      <c r="D313" s="844"/>
      <c r="E313" s="837"/>
      <c r="F313" s="839"/>
      <c r="G313" s="839"/>
    </row>
    <row r="314" hidden="1">
      <c r="A314" s="837"/>
      <c r="B314" s="837"/>
      <c r="C314" s="837"/>
      <c r="D314" s="844"/>
      <c r="E314" s="837"/>
      <c r="F314" s="839"/>
      <c r="G314" s="839"/>
    </row>
    <row r="315" hidden="1">
      <c r="A315" s="837"/>
      <c r="B315" s="837"/>
      <c r="C315" s="837"/>
      <c r="D315" s="844"/>
      <c r="E315" s="837"/>
      <c r="F315" s="839"/>
      <c r="G315" s="839"/>
    </row>
    <row r="316" hidden="1">
      <c r="A316" s="837"/>
      <c r="B316" s="837"/>
      <c r="C316" s="837"/>
      <c r="D316" s="844"/>
      <c r="E316" s="837"/>
      <c r="F316" s="839"/>
      <c r="G316" s="839"/>
    </row>
    <row r="317" hidden="1">
      <c r="A317" s="837"/>
      <c r="B317" s="837"/>
      <c r="C317" s="837"/>
      <c r="D317" s="844"/>
      <c r="E317" s="837"/>
      <c r="F317" s="839"/>
      <c r="G317" s="839"/>
    </row>
    <row r="318" hidden="1">
      <c r="A318" s="837"/>
      <c r="B318" s="837"/>
      <c r="C318" s="837"/>
      <c r="D318" s="844"/>
      <c r="E318" s="837"/>
      <c r="F318" s="839"/>
      <c r="G318" s="839"/>
    </row>
    <row r="319" hidden="1">
      <c r="A319" s="837"/>
      <c r="B319" s="837"/>
      <c r="C319" s="837"/>
      <c r="D319" s="844"/>
      <c r="E319" s="837"/>
      <c r="F319" s="839"/>
      <c r="G319" s="839"/>
    </row>
    <row r="320" hidden="1">
      <c r="A320" s="837"/>
      <c r="B320" s="837"/>
      <c r="C320" s="837"/>
      <c r="D320" s="844"/>
      <c r="E320" s="837"/>
      <c r="F320" s="839"/>
      <c r="G320" s="839"/>
    </row>
    <row r="321" hidden="1">
      <c r="A321" s="837"/>
      <c r="B321" s="837"/>
      <c r="C321" s="837"/>
      <c r="D321" s="844"/>
      <c r="E321" s="837"/>
      <c r="F321" s="839"/>
      <c r="G321" s="839"/>
    </row>
    <row r="322" hidden="1">
      <c r="A322" s="837"/>
      <c r="B322" s="837"/>
      <c r="C322" s="837"/>
      <c r="D322" s="844"/>
      <c r="E322" s="837"/>
      <c r="F322" s="839"/>
      <c r="G322" s="839"/>
    </row>
    <row r="323" hidden="1">
      <c r="A323" s="837"/>
      <c r="B323" s="837"/>
      <c r="C323" s="837"/>
      <c r="D323" s="844"/>
      <c r="E323" s="837"/>
      <c r="F323" s="839"/>
      <c r="G323" s="839"/>
    </row>
    <row r="324" hidden="1">
      <c r="A324" s="837"/>
      <c r="B324" s="837"/>
      <c r="C324" s="837"/>
      <c r="D324" s="844"/>
      <c r="E324" s="837"/>
      <c r="F324" s="839"/>
      <c r="G324" s="839"/>
    </row>
    <row r="325" hidden="1">
      <c r="A325" s="837"/>
      <c r="B325" s="837"/>
      <c r="C325" s="837"/>
      <c r="D325" s="844"/>
      <c r="E325" s="837"/>
      <c r="F325" s="839"/>
      <c r="G325" s="839"/>
    </row>
    <row r="326" hidden="1">
      <c r="A326" s="837"/>
      <c r="B326" s="837"/>
      <c r="C326" s="837"/>
      <c r="D326" s="844"/>
      <c r="E326" s="837"/>
      <c r="F326" s="839"/>
      <c r="G326" s="839"/>
    </row>
    <row r="327" hidden="1">
      <c r="A327" s="837"/>
      <c r="B327" s="837"/>
      <c r="C327" s="837"/>
      <c r="D327" s="844"/>
      <c r="E327" s="837"/>
      <c r="F327" s="839"/>
      <c r="G327" s="839"/>
    </row>
    <row r="328" hidden="1">
      <c r="A328" s="837"/>
      <c r="B328" s="837"/>
      <c r="C328" s="837"/>
      <c r="D328" s="844"/>
      <c r="E328" s="837"/>
      <c r="F328" s="839"/>
      <c r="G328" s="839"/>
    </row>
    <row r="329" hidden="1">
      <c r="A329" s="837"/>
      <c r="B329" s="837"/>
      <c r="C329" s="837"/>
      <c r="D329" s="844"/>
      <c r="E329" s="837"/>
      <c r="F329" s="839"/>
      <c r="G329" s="839"/>
    </row>
    <row r="330" hidden="1">
      <c r="A330" s="837"/>
      <c r="B330" s="837"/>
      <c r="C330" s="837"/>
      <c r="D330" s="844"/>
      <c r="E330" s="837"/>
      <c r="F330" s="839"/>
      <c r="G330" s="839"/>
    </row>
    <row r="331" hidden="1">
      <c r="A331" s="837"/>
      <c r="B331" s="837"/>
      <c r="C331" s="837"/>
      <c r="D331" s="844"/>
      <c r="E331" s="837"/>
      <c r="F331" s="839"/>
      <c r="G331" s="839"/>
    </row>
    <row r="332" hidden="1">
      <c r="A332" s="837"/>
      <c r="B332" s="837"/>
      <c r="C332" s="837"/>
      <c r="D332" s="844"/>
      <c r="E332" s="837"/>
      <c r="F332" s="839"/>
      <c r="G332" s="839"/>
    </row>
    <row r="333" hidden="1">
      <c r="A333" s="837"/>
      <c r="B333" s="837"/>
      <c r="C333" s="837"/>
      <c r="D333" s="844"/>
      <c r="E333" s="837"/>
      <c r="F333" s="839"/>
      <c r="G333" s="839"/>
    </row>
    <row r="334" hidden="1">
      <c r="A334" s="837"/>
      <c r="B334" s="837"/>
      <c r="C334" s="837"/>
      <c r="D334" s="844"/>
      <c r="E334" s="837"/>
      <c r="F334" s="839"/>
      <c r="G334" s="839"/>
    </row>
    <row r="335" hidden="1">
      <c r="A335" s="837"/>
      <c r="B335" s="837"/>
      <c r="C335" s="837"/>
      <c r="D335" s="844"/>
      <c r="E335" s="837"/>
      <c r="F335" s="839"/>
      <c r="G335" s="839"/>
    </row>
    <row r="336" hidden="1">
      <c r="A336" s="837"/>
      <c r="B336" s="837"/>
      <c r="C336" s="837"/>
      <c r="D336" s="844"/>
      <c r="E336" s="837"/>
      <c r="F336" s="839"/>
      <c r="G336" s="839"/>
    </row>
    <row r="337" hidden="1">
      <c r="A337" s="837"/>
      <c r="B337" s="837"/>
      <c r="C337" s="837"/>
      <c r="D337" s="844"/>
      <c r="E337" s="837"/>
      <c r="F337" s="839"/>
      <c r="G337" s="839"/>
    </row>
    <row r="338" hidden="1">
      <c r="A338" s="837"/>
      <c r="B338" s="837"/>
      <c r="C338" s="837"/>
      <c r="D338" s="844"/>
      <c r="E338" s="837"/>
      <c r="F338" s="839"/>
      <c r="G338" s="839"/>
    </row>
    <row r="339" hidden="1">
      <c r="A339" s="837"/>
      <c r="B339" s="837"/>
      <c r="C339" s="837"/>
      <c r="D339" s="844"/>
      <c r="E339" s="837"/>
      <c r="F339" s="839"/>
      <c r="G339" s="839"/>
    </row>
    <row r="340" hidden="1">
      <c r="A340" s="837"/>
      <c r="B340" s="837"/>
      <c r="C340" s="837"/>
      <c r="D340" s="844"/>
      <c r="E340" s="837"/>
      <c r="F340" s="839"/>
      <c r="G340" s="839"/>
    </row>
    <row r="341" hidden="1">
      <c r="A341" s="837"/>
      <c r="B341" s="837"/>
      <c r="C341" s="837"/>
      <c r="D341" s="844"/>
      <c r="E341" s="837"/>
      <c r="F341" s="839"/>
      <c r="G341" s="839"/>
    </row>
    <row r="342" hidden="1">
      <c r="A342" s="837"/>
      <c r="B342" s="837"/>
      <c r="C342" s="837"/>
      <c r="D342" s="844"/>
      <c r="E342" s="837"/>
      <c r="F342" s="839"/>
      <c r="G342" s="839"/>
    </row>
    <row r="343" hidden="1">
      <c r="A343" s="837"/>
      <c r="B343" s="837"/>
      <c r="C343" s="837"/>
      <c r="D343" s="844"/>
      <c r="E343" s="837"/>
      <c r="F343" s="839"/>
      <c r="G343" s="839"/>
    </row>
    <row r="344" hidden="1">
      <c r="A344" s="837"/>
      <c r="B344" s="837"/>
      <c r="C344" s="837"/>
      <c r="D344" s="844"/>
      <c r="E344" s="837"/>
      <c r="F344" s="839"/>
      <c r="G344" s="839"/>
    </row>
    <row r="345" hidden="1">
      <c r="A345" s="837"/>
      <c r="B345" s="837"/>
      <c r="C345" s="837"/>
      <c r="D345" s="844"/>
      <c r="E345" s="837"/>
      <c r="F345" s="839"/>
      <c r="G345" s="839"/>
    </row>
    <row r="346" hidden="1">
      <c r="A346" s="837"/>
      <c r="B346" s="837"/>
      <c r="C346" s="837"/>
      <c r="D346" s="844"/>
      <c r="E346" s="837"/>
      <c r="F346" s="839"/>
      <c r="G346" s="839"/>
    </row>
    <row r="347" hidden="1">
      <c r="A347" s="837"/>
      <c r="B347" s="837"/>
      <c r="C347" s="837"/>
      <c r="D347" s="844"/>
      <c r="E347" s="837"/>
      <c r="F347" s="839"/>
      <c r="G347" s="839"/>
    </row>
    <row r="348" hidden="1">
      <c r="A348" s="837"/>
      <c r="B348" s="837"/>
      <c r="C348" s="837"/>
      <c r="D348" s="844"/>
      <c r="E348" s="837"/>
      <c r="F348" s="839"/>
      <c r="G348" s="839"/>
    </row>
    <row r="349" hidden="1">
      <c r="A349" s="837"/>
      <c r="B349" s="837"/>
      <c r="C349" s="837"/>
      <c r="D349" s="844"/>
      <c r="E349" s="837"/>
      <c r="F349" s="839"/>
      <c r="G349" s="839"/>
    </row>
    <row r="350" hidden="1">
      <c r="A350" s="837"/>
      <c r="B350" s="837"/>
      <c r="C350" s="837"/>
      <c r="D350" s="844"/>
      <c r="E350" s="837"/>
      <c r="F350" s="839"/>
      <c r="G350" s="839"/>
    </row>
    <row r="351" hidden="1">
      <c r="A351" s="837"/>
      <c r="B351" s="837"/>
      <c r="C351" s="837"/>
      <c r="D351" s="844"/>
      <c r="E351" s="837"/>
      <c r="F351" s="839"/>
      <c r="G351" s="839"/>
    </row>
    <row r="352" hidden="1">
      <c r="A352" s="837"/>
      <c r="B352" s="837"/>
      <c r="C352" s="837"/>
      <c r="D352" s="844"/>
      <c r="E352" s="837"/>
      <c r="F352" s="839"/>
      <c r="G352" s="839"/>
    </row>
    <row r="353" hidden="1">
      <c r="A353" s="837"/>
      <c r="B353" s="837"/>
      <c r="C353" s="837"/>
      <c r="D353" s="844"/>
      <c r="E353" s="837"/>
      <c r="F353" s="839"/>
      <c r="G353" s="839"/>
    </row>
    <row r="354" hidden="1">
      <c r="A354" s="837"/>
      <c r="B354" s="837"/>
      <c r="C354" s="837"/>
      <c r="D354" s="844"/>
      <c r="E354" s="837"/>
      <c r="F354" s="839"/>
      <c r="G354" s="839"/>
    </row>
    <row r="355" hidden="1">
      <c r="A355" s="837"/>
      <c r="B355" s="837"/>
      <c r="C355" s="837"/>
      <c r="D355" s="844"/>
      <c r="E355" s="837"/>
      <c r="F355" s="839"/>
      <c r="G355" s="839"/>
    </row>
    <row r="356" hidden="1">
      <c r="A356" s="837"/>
      <c r="B356" s="837"/>
      <c r="C356" s="837"/>
      <c r="D356" s="844"/>
      <c r="E356" s="837"/>
      <c r="F356" s="839"/>
      <c r="G356" s="839"/>
    </row>
    <row r="357" hidden="1">
      <c r="A357" s="837"/>
      <c r="B357" s="837"/>
      <c r="C357" s="837"/>
      <c r="D357" s="844"/>
      <c r="E357" s="837"/>
      <c r="F357" s="839"/>
      <c r="G357" s="839"/>
    </row>
    <row r="358" hidden="1">
      <c r="A358" s="837"/>
      <c r="B358" s="837"/>
      <c r="C358" s="837"/>
      <c r="D358" s="844"/>
      <c r="E358" s="837"/>
      <c r="F358" s="839"/>
      <c r="G358" s="839"/>
    </row>
    <row r="359" hidden="1">
      <c r="A359" s="837"/>
      <c r="B359" s="837"/>
      <c r="C359" s="837"/>
      <c r="D359" s="844"/>
      <c r="E359" s="837"/>
      <c r="F359" s="839"/>
      <c r="G359" s="839"/>
    </row>
    <row r="360" hidden="1">
      <c r="A360" s="837"/>
      <c r="B360" s="837"/>
      <c r="C360" s="837"/>
      <c r="D360" s="844"/>
      <c r="E360" s="837"/>
      <c r="F360" s="839"/>
      <c r="G360" s="839"/>
    </row>
    <row r="361" hidden="1">
      <c r="A361" s="837"/>
      <c r="B361" s="837"/>
      <c r="C361" s="837"/>
      <c r="D361" s="844"/>
      <c r="E361" s="837"/>
      <c r="F361" s="839"/>
      <c r="G361" s="839"/>
    </row>
    <row r="362" hidden="1">
      <c r="A362" s="837"/>
      <c r="B362" s="837"/>
      <c r="C362" s="837"/>
      <c r="D362" s="844"/>
      <c r="E362" s="837"/>
      <c r="F362" s="839"/>
      <c r="G362" s="839"/>
    </row>
    <row r="363" hidden="1">
      <c r="A363" s="837"/>
      <c r="B363" s="837"/>
      <c r="C363" s="837"/>
      <c r="D363" s="844"/>
      <c r="E363" s="837"/>
      <c r="F363" s="839"/>
      <c r="G363" s="839"/>
    </row>
    <row r="364" hidden="1">
      <c r="A364" s="837"/>
      <c r="B364" s="837"/>
      <c r="C364" s="837"/>
      <c r="D364" s="844"/>
      <c r="E364" s="837"/>
      <c r="F364" s="839"/>
      <c r="G364" s="839"/>
    </row>
    <row r="365" hidden="1">
      <c r="A365" s="837"/>
      <c r="B365" s="837"/>
      <c r="C365" s="837"/>
      <c r="D365" s="844"/>
      <c r="E365" s="837"/>
      <c r="F365" s="839"/>
      <c r="G365" s="839"/>
    </row>
    <row r="366" hidden="1">
      <c r="A366" s="837"/>
      <c r="B366" s="837"/>
      <c r="C366" s="837"/>
      <c r="D366" s="844"/>
      <c r="E366" s="837"/>
      <c r="F366" s="839"/>
      <c r="G366" s="839"/>
    </row>
    <row r="367" hidden="1">
      <c r="A367" s="837"/>
      <c r="B367" s="837"/>
      <c r="C367" s="837"/>
      <c r="D367" s="844"/>
      <c r="E367" s="837"/>
      <c r="F367" s="839"/>
      <c r="G367" s="839"/>
    </row>
    <row r="368" hidden="1">
      <c r="A368" s="837"/>
      <c r="B368" s="837"/>
      <c r="C368" s="837"/>
      <c r="D368" s="844"/>
      <c r="E368" s="837"/>
      <c r="F368" s="839"/>
      <c r="G368" s="839"/>
    </row>
    <row r="369" hidden="1">
      <c r="A369" s="837"/>
      <c r="B369" s="837"/>
      <c r="C369" s="837"/>
      <c r="D369" s="844"/>
      <c r="E369" s="837"/>
      <c r="F369" s="839"/>
      <c r="G369" s="839"/>
    </row>
    <row r="370" hidden="1">
      <c r="A370" s="837"/>
      <c r="B370" s="837"/>
      <c r="C370" s="837"/>
      <c r="D370" s="844"/>
      <c r="E370" s="837"/>
      <c r="F370" s="839"/>
      <c r="G370" s="839"/>
    </row>
    <row r="371" hidden="1">
      <c r="A371" s="837"/>
      <c r="B371" s="837"/>
      <c r="C371" s="837"/>
      <c r="D371" s="844"/>
      <c r="E371" s="837"/>
      <c r="F371" s="839"/>
      <c r="G371" s="839"/>
    </row>
    <row r="372" hidden="1">
      <c r="A372" s="837"/>
      <c r="B372" s="837"/>
      <c r="C372" s="837"/>
      <c r="D372" s="844"/>
      <c r="E372" s="837"/>
      <c r="F372" s="839"/>
      <c r="G372" s="839"/>
    </row>
    <row r="373" hidden="1">
      <c r="A373" s="837"/>
      <c r="B373" s="837"/>
      <c r="C373" s="837"/>
      <c r="D373" s="844"/>
      <c r="E373" s="837"/>
      <c r="F373" s="839"/>
      <c r="G373" s="839"/>
    </row>
    <row r="374" hidden="1">
      <c r="A374" s="837"/>
      <c r="B374" s="837"/>
      <c r="C374" s="837"/>
      <c r="D374" s="844"/>
      <c r="E374" s="837"/>
      <c r="F374" s="839"/>
      <c r="G374" s="839"/>
    </row>
    <row r="375" hidden="1">
      <c r="A375" s="837"/>
      <c r="B375" s="837"/>
      <c r="C375" s="837"/>
      <c r="D375" s="844"/>
      <c r="E375" s="837"/>
      <c r="F375" s="839"/>
      <c r="G375" s="839"/>
    </row>
    <row r="376" hidden="1">
      <c r="A376" s="837"/>
      <c r="B376" s="837"/>
      <c r="C376" s="837"/>
      <c r="D376" s="844"/>
      <c r="E376" s="837"/>
      <c r="F376" s="839"/>
      <c r="G376" s="839"/>
    </row>
    <row r="377" hidden="1">
      <c r="A377" s="837"/>
      <c r="B377" s="837"/>
      <c r="C377" s="837"/>
      <c r="D377" s="844"/>
      <c r="E377" s="837"/>
      <c r="F377" s="839"/>
      <c r="G377" s="839"/>
    </row>
    <row r="378" hidden="1">
      <c r="A378" s="837"/>
      <c r="B378" s="837"/>
      <c r="C378" s="837"/>
      <c r="D378" s="844"/>
      <c r="E378" s="837"/>
      <c r="F378" s="839"/>
      <c r="G378" s="839"/>
    </row>
    <row r="379" hidden="1">
      <c r="A379" s="837"/>
      <c r="B379" s="837"/>
      <c r="C379" s="837"/>
      <c r="D379" s="844"/>
      <c r="E379" s="837"/>
      <c r="F379" s="839"/>
      <c r="G379" s="839"/>
    </row>
    <row r="380" hidden="1">
      <c r="A380" s="837"/>
      <c r="B380" s="837"/>
      <c r="C380" s="837"/>
      <c r="D380" s="844"/>
      <c r="E380" s="837"/>
      <c r="F380" s="839"/>
      <c r="G380" s="839"/>
    </row>
    <row r="381" hidden="1">
      <c r="A381" s="837"/>
      <c r="B381" s="837"/>
      <c r="C381" s="837"/>
      <c r="D381" s="844"/>
      <c r="E381" s="837"/>
      <c r="F381" s="839"/>
      <c r="G381" s="839"/>
    </row>
    <row r="382" hidden="1">
      <c r="A382" s="837"/>
      <c r="B382" s="837"/>
      <c r="C382" s="837"/>
      <c r="D382" s="844"/>
      <c r="E382" s="837"/>
      <c r="F382" s="839"/>
      <c r="G382" s="839"/>
    </row>
    <row r="383" hidden="1">
      <c r="A383" s="837"/>
      <c r="B383" s="837"/>
      <c r="C383" s="837"/>
      <c r="D383" s="844"/>
      <c r="E383" s="837"/>
      <c r="F383" s="839"/>
      <c r="G383" s="839"/>
    </row>
    <row r="384" hidden="1">
      <c r="A384" s="837"/>
      <c r="B384" s="837"/>
      <c r="C384" s="837"/>
      <c r="D384" s="844"/>
      <c r="E384" s="837"/>
      <c r="F384" s="839"/>
      <c r="G384" s="839"/>
    </row>
    <row r="385" hidden="1">
      <c r="A385" s="837"/>
      <c r="B385" s="837"/>
      <c r="C385" s="837"/>
      <c r="D385" s="844"/>
      <c r="E385" s="837"/>
      <c r="F385" s="839"/>
      <c r="G385" s="839"/>
    </row>
    <row r="386" hidden="1">
      <c r="A386" s="837"/>
      <c r="B386" s="837"/>
      <c r="C386" s="837"/>
      <c r="D386" s="844"/>
      <c r="E386" s="837"/>
      <c r="F386" s="839"/>
      <c r="G386" s="839"/>
    </row>
    <row r="387" hidden="1">
      <c r="A387" s="837"/>
      <c r="B387" s="837"/>
      <c r="C387" s="837"/>
      <c r="D387" s="844"/>
      <c r="E387" s="837"/>
      <c r="F387" s="839"/>
      <c r="G387" s="839"/>
    </row>
    <row r="388" hidden="1">
      <c r="A388" s="837"/>
      <c r="B388" s="837"/>
      <c r="C388" s="837"/>
      <c r="D388" s="844"/>
      <c r="E388" s="837"/>
      <c r="F388" s="839"/>
      <c r="G388" s="839"/>
    </row>
    <row r="389" hidden="1">
      <c r="A389" s="837"/>
      <c r="B389" s="837"/>
      <c r="C389" s="837"/>
      <c r="D389" s="844"/>
      <c r="E389" s="837"/>
      <c r="F389" s="839"/>
      <c r="G389" s="839"/>
    </row>
    <row r="390" hidden="1">
      <c r="A390" s="837"/>
      <c r="B390" s="837"/>
      <c r="C390" s="837"/>
      <c r="D390" s="844"/>
      <c r="E390" s="837"/>
      <c r="F390" s="839"/>
      <c r="G390" s="839"/>
    </row>
    <row r="391" hidden="1">
      <c r="A391" s="837"/>
      <c r="B391" s="837"/>
      <c r="C391" s="837"/>
      <c r="D391" s="844"/>
      <c r="E391" s="837"/>
      <c r="F391" s="839"/>
      <c r="G391" s="839"/>
    </row>
    <row r="392" hidden="1">
      <c r="A392" s="837"/>
      <c r="B392" s="837"/>
      <c r="C392" s="837"/>
      <c r="D392" s="844"/>
      <c r="E392" s="837"/>
      <c r="F392" s="839"/>
      <c r="G392" s="839"/>
    </row>
    <row r="393" hidden="1">
      <c r="A393" s="837"/>
      <c r="B393" s="837"/>
      <c r="C393" s="837"/>
      <c r="D393" s="844"/>
      <c r="E393" s="837"/>
      <c r="F393" s="839"/>
      <c r="G393" s="839"/>
    </row>
    <row r="394" hidden="1">
      <c r="A394" s="837"/>
      <c r="B394" s="837"/>
      <c r="C394" s="837"/>
      <c r="D394" s="844"/>
      <c r="E394" s="837"/>
      <c r="F394" s="839"/>
      <c r="G394" s="839"/>
    </row>
    <row r="395" hidden="1">
      <c r="A395" s="837"/>
      <c r="B395" s="837"/>
      <c r="C395" s="837"/>
      <c r="D395" s="844"/>
      <c r="E395" s="837"/>
      <c r="F395" s="839"/>
      <c r="G395" s="839"/>
    </row>
    <row r="396" hidden="1">
      <c r="A396" s="837"/>
      <c r="B396" s="837"/>
      <c r="C396" s="837"/>
      <c r="D396" s="844"/>
      <c r="E396" s="837"/>
      <c r="F396" s="839"/>
      <c r="G396" s="839"/>
    </row>
    <row r="397" hidden="1">
      <c r="A397" s="837"/>
      <c r="B397" s="837"/>
      <c r="C397" s="837"/>
      <c r="D397" s="844"/>
      <c r="E397" s="837"/>
      <c r="F397" s="839"/>
      <c r="G397" s="839"/>
    </row>
    <row r="398" hidden="1">
      <c r="A398" s="837"/>
      <c r="B398" s="837"/>
      <c r="C398" s="837"/>
      <c r="D398" s="844"/>
      <c r="E398" s="837"/>
      <c r="F398" s="839"/>
      <c r="G398" s="839"/>
    </row>
    <row r="399" hidden="1">
      <c r="A399" s="837"/>
      <c r="B399" s="837"/>
      <c r="C399" s="837"/>
      <c r="D399" s="844"/>
      <c r="E399" s="837"/>
      <c r="F399" s="839"/>
      <c r="G399" s="839"/>
    </row>
    <row r="400" hidden="1">
      <c r="A400" s="837"/>
      <c r="B400" s="837"/>
      <c r="C400" s="837"/>
      <c r="D400" s="844"/>
      <c r="E400" s="837"/>
      <c r="F400" s="839"/>
      <c r="G400" s="839"/>
    </row>
    <row r="401" hidden="1">
      <c r="A401" s="837"/>
      <c r="B401" s="837"/>
      <c r="C401" s="837"/>
      <c r="D401" s="844"/>
      <c r="E401" s="837"/>
      <c r="F401" s="839"/>
      <c r="G401" s="839"/>
    </row>
    <row r="402" hidden="1">
      <c r="A402" s="837"/>
      <c r="B402" s="837"/>
      <c r="C402" s="837"/>
      <c r="D402" s="844"/>
      <c r="E402" s="837"/>
      <c r="F402" s="839"/>
      <c r="G402" s="839"/>
    </row>
    <row r="403" hidden="1">
      <c r="A403" s="837"/>
      <c r="B403" s="837"/>
      <c r="C403" s="837"/>
      <c r="D403" s="844"/>
      <c r="E403" s="837"/>
      <c r="F403" s="839"/>
      <c r="G403" s="839"/>
    </row>
    <row r="404" hidden="1">
      <c r="A404" s="837"/>
      <c r="B404" s="837"/>
      <c r="C404" s="837"/>
      <c r="D404" s="844"/>
      <c r="E404" s="837"/>
      <c r="F404" s="839"/>
      <c r="G404" s="839"/>
    </row>
    <row r="405" hidden="1">
      <c r="A405" s="837"/>
      <c r="B405" s="837"/>
      <c r="C405" s="837"/>
      <c r="D405" s="844"/>
      <c r="E405" s="837"/>
      <c r="F405" s="839"/>
      <c r="G405" s="839"/>
    </row>
    <row r="406" hidden="1">
      <c r="A406" s="837"/>
      <c r="B406" s="837"/>
      <c r="C406" s="837"/>
      <c r="D406" s="844"/>
      <c r="E406" s="837"/>
      <c r="F406" s="839"/>
      <c r="G406" s="839"/>
    </row>
    <row r="407" hidden="1">
      <c r="A407" s="837"/>
      <c r="B407" s="837"/>
      <c r="C407" s="837"/>
      <c r="D407" s="844"/>
      <c r="E407" s="837"/>
      <c r="F407" s="839"/>
      <c r="G407" s="839"/>
    </row>
    <row r="408" hidden="1">
      <c r="A408" s="837"/>
      <c r="B408" s="837"/>
      <c r="C408" s="837"/>
      <c r="D408" s="844"/>
      <c r="E408" s="837"/>
      <c r="F408" s="839"/>
      <c r="G408" s="839"/>
    </row>
    <row r="409" hidden="1">
      <c r="A409" s="837"/>
      <c r="B409" s="837"/>
      <c r="C409" s="837"/>
      <c r="D409" s="844"/>
      <c r="E409" s="837"/>
      <c r="F409" s="839"/>
      <c r="G409" s="839"/>
    </row>
    <row r="410" hidden="1">
      <c r="A410" s="837"/>
      <c r="B410" s="837"/>
      <c r="C410" s="837"/>
      <c r="D410" s="844"/>
      <c r="E410" s="837"/>
      <c r="F410" s="839"/>
      <c r="G410" s="839"/>
    </row>
    <row r="411" hidden="1">
      <c r="A411" s="837"/>
      <c r="B411" s="837"/>
      <c r="C411" s="837"/>
      <c r="D411" s="844"/>
      <c r="E411" s="837"/>
      <c r="F411" s="839"/>
      <c r="G411" s="839"/>
    </row>
    <row r="412" hidden="1">
      <c r="A412" s="837"/>
      <c r="B412" s="837"/>
      <c r="C412" s="837"/>
      <c r="D412" s="844"/>
      <c r="E412" s="837"/>
      <c r="F412" s="839"/>
      <c r="G412" s="839"/>
    </row>
    <row r="413" hidden="1">
      <c r="A413" s="837"/>
      <c r="B413" s="837"/>
      <c r="C413" s="837"/>
      <c r="D413" s="844"/>
      <c r="E413" s="837"/>
      <c r="F413" s="839"/>
      <c r="G413" s="839"/>
    </row>
    <row r="414" hidden="1">
      <c r="A414" s="837"/>
      <c r="B414" s="837"/>
      <c r="C414" s="837"/>
      <c r="D414" s="844"/>
      <c r="E414" s="837"/>
      <c r="F414" s="839"/>
      <c r="G414" s="839"/>
    </row>
    <row r="415" hidden="1">
      <c r="A415" s="837"/>
      <c r="B415" s="837"/>
      <c r="C415" s="837"/>
      <c r="D415" s="844"/>
      <c r="E415" s="837"/>
      <c r="F415" s="839"/>
      <c r="G415" s="839"/>
    </row>
    <row r="416" hidden="1">
      <c r="A416" s="837"/>
      <c r="B416" s="837"/>
      <c r="C416" s="837"/>
      <c r="D416" s="844"/>
      <c r="E416" s="837"/>
      <c r="F416" s="839"/>
      <c r="G416" s="839"/>
    </row>
    <row r="417" hidden="1">
      <c r="A417" s="837"/>
      <c r="B417" s="837"/>
      <c r="C417" s="837"/>
      <c r="D417" s="844"/>
      <c r="E417" s="837"/>
      <c r="F417" s="839"/>
      <c r="G417" s="839"/>
    </row>
    <row r="418" hidden="1">
      <c r="A418" s="837"/>
      <c r="B418" s="837"/>
      <c r="C418" s="837"/>
      <c r="D418" s="844"/>
      <c r="E418" s="837"/>
      <c r="F418" s="839"/>
      <c r="G418" s="839"/>
    </row>
    <row r="419" hidden="1">
      <c r="A419" s="837"/>
      <c r="B419" s="837"/>
      <c r="C419" s="837"/>
      <c r="D419" s="844"/>
      <c r="E419" s="837"/>
      <c r="F419" s="839"/>
      <c r="G419" s="839"/>
    </row>
    <row r="420" hidden="1">
      <c r="A420" s="837"/>
      <c r="B420" s="837"/>
      <c r="C420" s="837"/>
      <c r="D420" s="844"/>
      <c r="E420" s="837"/>
      <c r="F420" s="839"/>
      <c r="G420" s="839"/>
    </row>
    <row r="421" hidden="1">
      <c r="A421" s="837"/>
      <c r="B421" s="837"/>
      <c r="C421" s="837"/>
      <c r="D421" s="844"/>
      <c r="E421" s="837"/>
      <c r="F421" s="839"/>
      <c r="G421" s="839"/>
    </row>
  </sheetData>
  <autoFilter ref="$A$1:$G$421">
    <filterColumn colId="3">
      <filters>
        <filter val="$710,000"/>
        <filter val="$850,000"/>
        <filter val="$1,661,700"/>
        <filter val="$117,000"/>
        <filter val="$245,500"/>
        <filter val="$2,398,100"/>
        <filter val="$89,400"/>
        <filter val="$100,000"/>
        <filter val="$1,645,700"/>
        <filter val="$1,974,400"/>
        <filter val="$816,000"/>
        <filter val="$189,100"/>
        <filter val="$1,883,900"/>
        <filter val="$404,300"/>
        <filter val="$553,900"/>
        <filter val="$999,400"/>
        <filter val="$1,037,200"/>
        <filter val="$240,000"/>
        <filter val="$1,404,800"/>
        <filter val="$1,685,500"/>
        <filter val="$607,400"/>
        <filter val="$1,052,000"/>
        <filter val="$684,800"/>
        <filter val="$44,000"/>
        <filter val="552,100"/>
        <filter val="$269,000"/>
        <filter val="$751,000"/>
        <filter val="$115,000"/>
        <filter val="$1,368,700"/>
        <filter val="862,000"/>
        <filter val="$289,700"/>
        <filter val="$504,100"/>
        <filter val="$604,600"/>
        <filter val="$1,281,900"/>
        <filter val="$542,000"/>
        <filter val="$932,500"/>
        <filter val="$9,000"/>
        <filter val="$626,000"/>
        <filter val="2,618,100"/>
        <filter val="$1,453,300"/>
        <filter val="$1,297,800"/>
        <filter val="$71,500"/>
        <filter val="$1,289,000"/>
        <filter val="$1,768,200"/>
        <filter val="$478,500"/>
        <filter val="$694,800"/>
        <filter val="$746,700"/>
        <filter val="$528,000"/>
        <filter val="$329,500"/>
        <filter val="$2,651,500"/>
        <filter val="$1,333,000"/>
        <filter val="$1,350,000"/>
        <filter val="$1,562,400"/>
        <filter val="$3,022,900"/>
        <filter val="$599,090"/>
        <filter val="$168,300"/>
        <filter val="$280,000"/>
        <filter val="$1,760,000"/>
        <filter val="$1,700,000"/>
        <filter val="$2,234,300"/>
        <filter val="$1,574,500"/>
        <filter val="$2,336,000"/>
        <filter val="$28,500"/>
        <filter val="$2,532,900"/>
        <filter val="$440,000"/>
        <filter val="$1,135,800"/>
        <filter val="$289,000"/>
        <filter val="$1,148,800"/>
        <filter val="$382,500"/>
        <filter val="$270,500"/>
        <filter val="$215,000"/>
        <filter val="$20,000"/>
        <filter val="$126,000"/>
        <filter val="$1,459,500"/>
        <filter val="$722,100"/>
        <filter val="$900,500"/>
        <filter val="$531,000"/>
        <filter val="$1,191,100"/>
        <filter val="$795,400"/>
        <filter val="$1,134,800"/>
        <filter val="$655,800"/>
        <filter val="$213,000"/>
        <filter val="$155,900"/>
        <filter val="$1,037,000"/>
        <filter val="6 charisma"/>
        <filter val="$464,700"/>
        <filter val="$841,000"/>
        <filter val="$501,500"/>
        <filter val="$535,300"/>
        <filter val="#REF!"/>
        <filter val="$27,000"/>
        <filter val="$268,000"/>
        <filter val="$30,000"/>
        <filter val="$4,026,000"/>
        <filter val="$57,000"/>
        <filter val="$361,500"/>
        <filter val="$4,794,300"/>
        <filter val="$890,000"/>
        <filter val="$284,000"/>
        <filter val="$2,552,000"/>
        <filter val="$108,800"/>
        <filter val="$800,000"/>
        <filter val="$45,000"/>
        <filter val="$983,000"/>
        <filter val="$604,800"/>
        <filter val="$2,471,800"/>
        <filter val="$75,000"/>
        <filter val="$1,300,500"/>
        <filter val="$949,000"/>
        <filter val="$864,800"/>
        <filter val="$991,900"/>
        <filter val="$766,000"/>
        <filter val="$236,000"/>
        <filter val="$1,878,700"/>
        <filter val="$2,444,400"/>
        <filter val="$1,407,000"/>
        <filter val="$1,130,600"/>
        <filter val="$740,800"/>
        <filter val="$1,881,400"/>
        <filter val="$437,900"/>
        <filter val="$200,000"/>
        <filter val="$451,500"/>
        <filter val="$930,300"/>
        <filter val="$1,777,250"/>
        <filter val="$94,000"/>
        <filter val="$1,389,300"/>
        <filter val="$1,439,000"/>
        <filter val="$3,252,400"/>
        <filter val="$270,000"/>
        <filter val="$1,514,800"/>
        <filter val="$476,300"/>
        <filter val="$2,506,400"/>
        <filter val="$110,000"/>
        <filter val="$2,655,900"/>
        <filter val="$2,362,500"/>
        <filter val="$586,100"/>
        <filter val="$429,300"/>
        <filter val="$5,128,800"/>
        <filter val="$1,234,000"/>
        <filter val="$610,300"/>
        <filter val="$708,000"/>
        <filter val="$614,000"/>
        <filter val="$729,100"/>
        <filter val="$1,851,800"/>
        <filter val="$1,839,700"/>
        <filter val="$2,232,900"/>
        <filter val="$683,300"/>
        <filter val="$644,000"/>
      </filters>
    </filterColumn>
    <sortState ref="A1:G421">
      <sortCondition ref="B1:B421"/>
      <sortCondition ref="G1:G421"/>
      <sortCondition ref="A1:A421"/>
      <sortCondition ref="C1:C421"/>
    </sortState>
  </autoFil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2.75"/>
  <cols>
    <col customWidth="1" min="1" max="1" width="4.38"/>
    <col customWidth="1" min="2" max="2" width="31.0"/>
    <col customWidth="1" min="3" max="3" width="19.25"/>
    <col customWidth="1" min="4" max="4" width="20.38"/>
    <col customWidth="1" min="5" max="5" width="22.13"/>
    <col customWidth="1" min="6" max="6" width="14.88"/>
  </cols>
  <sheetData>
    <row r="1">
      <c r="A1" s="846" t="s">
        <v>328</v>
      </c>
      <c r="B1" s="837" t="s">
        <v>704</v>
      </c>
      <c r="C1" s="847"/>
      <c r="D1" s="848"/>
      <c r="E1" s="849"/>
      <c r="F1" s="850"/>
    </row>
    <row r="2" ht="17.25" customHeight="1">
      <c r="A2" s="851">
        <v>1.0</v>
      </c>
      <c r="B2" s="852" t="s">
        <v>4154</v>
      </c>
      <c r="C2" s="847">
        <f>150000+4000+55000+24000+115000+98000+90000+54000+40000+8000+62000+90000+24000+40000+48000+180000+350000+32000+10000+35000-70000</f>
        <v>1439000</v>
      </c>
      <c r="D2" s="847"/>
      <c r="E2" s="853"/>
      <c r="F2" s="850"/>
    </row>
    <row r="3" ht="17.25" customHeight="1">
      <c r="A3" s="844">
        <v>2.0</v>
      </c>
      <c r="B3" s="837" t="s">
        <v>4155</v>
      </c>
      <c r="C3" s="847">
        <f>168000+20000+120000+6000+6000-200000+1000-121000</f>
        <v>0</v>
      </c>
      <c r="D3" s="854">
        <v>45805.0</v>
      </c>
      <c r="E3" s="855"/>
      <c r="F3" s="856"/>
    </row>
    <row r="4" ht="17.25" customHeight="1">
      <c r="A4" s="844">
        <v>3.0</v>
      </c>
      <c r="B4" s="837" t="s">
        <v>4156</v>
      </c>
      <c r="C4" s="847">
        <f>5000+2400+16000+44000+18000+4000</f>
        <v>89400</v>
      </c>
      <c r="D4" s="847"/>
      <c r="E4" s="853"/>
      <c r="F4" s="856"/>
    </row>
    <row r="5" ht="17.25" customHeight="1">
      <c r="A5" s="844">
        <v>4.0</v>
      </c>
      <c r="B5" s="837" t="s">
        <v>4157</v>
      </c>
      <c r="C5" s="847">
        <f>695900-100000+800+900+2000+5000+32000+6000+9000+6000+12000+22000+72000+800+9000+9000+62000+22000+11000+17000+42000+6000+800+28000+7000+5000+135000+7000+170000+36000+8000+1000+600+4100+8000+35000+600-300000+28000+600+1400+15000+18500+200+18000+6000+9600+6000-250000+190000+120000+7000+10000+1000-2000+30000</f>
        <v>1297800</v>
      </c>
      <c r="D5" s="847" t="s">
        <v>4158</v>
      </c>
      <c r="E5" s="854">
        <v>45827.0</v>
      </c>
      <c r="F5" s="856"/>
    </row>
    <row r="6" ht="17.25" customHeight="1">
      <c r="A6" s="857">
        <v>5.0</v>
      </c>
      <c r="B6" s="837" t="s">
        <v>4159</v>
      </c>
      <c r="C6" s="847">
        <f>15000+13000+28000+34000+24000+16000+16000+1000+10000-130000</f>
        <v>27000</v>
      </c>
      <c r="D6" s="847"/>
      <c r="E6" s="858">
        <v>45828.0</v>
      </c>
      <c r="F6" s="850"/>
    </row>
    <row r="7" ht="17.25" customHeight="1">
      <c r="A7" s="857">
        <v>6.0</v>
      </c>
      <c r="B7" s="837" t="s">
        <v>4160</v>
      </c>
      <c r="C7" s="847">
        <f>805200+600+9000+4000+2000+8000+2500+26000+2500+36000+2000+4000+7000+38000+5000+1000+14000+24000+42000+75000+8000+36000+1000+22000+3000+5000+90000+140000+16000+6000+3000+21000+2000+5000+15000+2000+4000+10000+2000+16000</f>
        <v>1514800</v>
      </c>
      <c r="D7" s="847" t="s">
        <v>4158</v>
      </c>
      <c r="E7" s="855" t="s">
        <v>4161</v>
      </c>
      <c r="F7" s="850"/>
    </row>
    <row r="8" ht="17.25" customHeight="1">
      <c r="A8" s="857">
        <v>7.0</v>
      </c>
      <c r="B8" s="837" t="s">
        <v>4162</v>
      </c>
      <c r="C8" s="847">
        <f>642400+4000+2000+3500+8000+600+62000+38000+11000+7000+18000+2400+5500+1500+20000+2700+9000+10000+4000-200000+9000+22000+27000+3000+2000+6000+6000+40000+11400+4000+22000-200000+200000+2000+18000+165000+45000+1000+2000</f>
        <v>1037000</v>
      </c>
      <c r="D8" s="847" t="s">
        <v>4163</v>
      </c>
      <c r="E8" s="854">
        <v>45820.0</v>
      </c>
      <c r="F8" s="850"/>
    </row>
    <row r="9" ht="17.25" customHeight="1">
      <c r="A9" s="859">
        <v>8.0</v>
      </c>
      <c r="B9" s="837" t="s">
        <v>4164</v>
      </c>
      <c r="C9" s="847">
        <f>9000+2500+9000+16000+12000+24000+9000+15000+35000+100000+2000+5000+6000+15000+15000+3000+2000+20000+16000+14000</f>
        <v>329500</v>
      </c>
      <c r="D9" s="860"/>
      <c r="E9" s="853"/>
      <c r="F9" s="850"/>
    </row>
    <row r="10" ht="17.25" customHeight="1">
      <c r="A10" s="857">
        <v>9.0</v>
      </c>
      <c r="B10" s="837" t="s">
        <v>4165</v>
      </c>
      <c r="C10" s="847">
        <f>27000+24000+24000+2000+35000+3000+1000+500+25000+10000+350000</f>
        <v>501500</v>
      </c>
      <c r="D10" s="847"/>
      <c r="E10" s="853"/>
      <c r="F10" s="850"/>
    </row>
    <row r="11" ht="17.25" customHeight="1">
      <c r="A11" s="857">
        <v>10.0</v>
      </c>
      <c r="B11" s="837" t="s">
        <v>4166</v>
      </c>
      <c r="C11" s="847">
        <f>503000+108000+18000+14000+30000+42000+140000+20000+70000+4000</f>
        <v>949000</v>
      </c>
      <c r="D11" s="847" t="s">
        <v>4167</v>
      </c>
      <c r="E11" s="853"/>
      <c r="F11" s="856"/>
    </row>
    <row r="12" ht="17.25" customHeight="1">
      <c r="A12" s="857">
        <v>11.0</v>
      </c>
      <c r="B12" s="837" t="s">
        <v>4168</v>
      </c>
      <c r="C12" s="847">
        <f>198500+78000+10000+58000+4000+40000+40000+55000+95000+400+275000-300000</f>
        <v>553900</v>
      </c>
      <c r="D12" s="847" t="s">
        <v>4158</v>
      </c>
      <c r="E12" s="853">
        <v>45796.0</v>
      </c>
      <c r="F12" s="850"/>
    </row>
    <row r="13" ht="17.25" customHeight="1">
      <c r="A13" s="844">
        <v>12.0</v>
      </c>
      <c r="B13" s="861" t="s">
        <v>4169</v>
      </c>
      <c r="C13" s="847">
        <f>1187200+10500+5000+25000+2000+31000+30000+1200+8000+19000+3500+24000+85000+85000+54000+32000+120000-160000</f>
        <v>1562400</v>
      </c>
      <c r="D13" s="847" t="s">
        <v>4158</v>
      </c>
      <c r="E13" s="853">
        <v>45743.0</v>
      </c>
      <c r="F13" s="850"/>
    </row>
    <row r="14" ht="17.25" customHeight="1">
      <c r="A14" s="857">
        <v>13.0</v>
      </c>
      <c r="B14" s="837" t="s">
        <v>4170</v>
      </c>
      <c r="C14" s="847">
        <f>65500+36000+15000+9000+20000+3500+120000+15000</f>
        <v>284000</v>
      </c>
      <c r="D14" s="847" t="s">
        <v>4158</v>
      </c>
      <c r="E14" s="853">
        <v>45755.0</v>
      </c>
      <c r="F14" s="850"/>
    </row>
    <row r="15" ht="17.25" customHeight="1">
      <c r="A15" s="859">
        <v>14.0</v>
      </c>
      <c r="B15" s="837" t="s">
        <v>4171</v>
      </c>
      <c r="C15" s="847">
        <f>1874200+3000+4000+2400+28000+9000+1200+4000+1600+1000+10000+26000+9200+60000+20400+9000+1500+2000+600+10000+2400+2000+11000+500+6000+600+2000+1500+10000+22000+24000+500+8500+3000+15000+2500+5000+1000+6000+3000+9800+11000+500+5000+800+9000+5000+11000+1000+11000+5000+1000+27000+16000+7500+1600+2000+7000+6000+3000+1000+8000+15000+1200+5000+4700+13000+10000+3000+4000+27000+2500+16000+8000+600+2000+1200+36000+3200+3000+2000+13500+5000+4000+7000+7500+9000+1600+1000+2600+2200+11000+1600+5000+27000+3500+5000+1000+1000+4200+1000+14000+18000</f>
        <v>2655900</v>
      </c>
      <c r="D15" s="847" t="s">
        <v>4163</v>
      </c>
      <c r="E15" s="854">
        <v>45726.0</v>
      </c>
      <c r="F15" s="850"/>
    </row>
    <row r="16" ht="17.25" customHeight="1">
      <c r="A16" s="857">
        <v>15.0</v>
      </c>
      <c r="B16" s="837" t="s">
        <v>4172</v>
      </c>
      <c r="C16" s="847">
        <f>1604200+20000+15000+28000+3000+5000+1500+4000+12000+80000+1000+500+100000+20000+400+30000+3500+10000+5000+100000+6400+1000+1000+11000+28000+18000+20000+4800+2000+92000+17000+145000+180000+12000+25000+4000+11000+2000+2000+72000+9000+6000+18000+5000-1300000+18000</f>
        <v>1453300</v>
      </c>
      <c r="D16" s="847" t="s">
        <v>4158</v>
      </c>
      <c r="E16" s="855" t="s">
        <v>4173</v>
      </c>
      <c r="F16" s="862"/>
    </row>
    <row r="17" ht="17.25" customHeight="1">
      <c r="A17" s="857">
        <v>16.0</v>
      </c>
      <c r="B17" s="837"/>
      <c r="C17" s="847">
        <v>0.0</v>
      </c>
      <c r="D17" s="847"/>
      <c r="E17" s="853"/>
      <c r="F17" s="850"/>
    </row>
    <row r="18" ht="17.25" customHeight="1">
      <c r="A18" s="844">
        <v>17.0</v>
      </c>
      <c r="B18" s="837" t="s">
        <v>4174</v>
      </c>
      <c r="C18" s="847">
        <f>1033700+10000+4000+16000+66000+44000-350000+11400+2000+18800+1000+1600+15000+1800+145000+75000+7200+7000+6000+185000</f>
        <v>1300500</v>
      </c>
      <c r="D18" s="847" t="s">
        <v>4158</v>
      </c>
      <c r="E18" s="853">
        <v>45761.0</v>
      </c>
      <c r="F18" s="856"/>
    </row>
    <row r="19" ht="17.25" customHeight="1">
      <c r="A19" s="844">
        <v>18.0</v>
      </c>
      <c r="B19" s="837" t="s">
        <v>4175</v>
      </c>
      <c r="C19" s="847">
        <f>2171300+8000+7200+19000+500+12000+6000+5000+15000+10200+4000+22000+16000+8000+8000+1000+58000+500+6000+6000+13000+62000+7000+400+9000+41000+6000+2000+1000+1500+4000+1500+10000+22000+30000+1000+12000+22000+70000+38000+2000+2000+4000+4000+22000+22000+44000+22000+380000+480000+130000+5000-300000-280000+24000+800+140000-330000+8000+11000+8000+18000+26000+1000+1800+20000+600+5000+8000+800+5500+7000+17000+5800</f>
        <v>3252400</v>
      </c>
      <c r="D19" s="847" t="s">
        <v>4158</v>
      </c>
      <c r="E19" s="863">
        <v>45810.0</v>
      </c>
      <c r="F19" s="862"/>
    </row>
    <row r="20" ht="17.25" customHeight="1">
      <c r="A20" s="864">
        <v>19.0</v>
      </c>
      <c r="B20" s="865" t="s">
        <v>4176</v>
      </c>
      <c r="C20" s="866">
        <f>84800+440000+80000</f>
        <v>604800</v>
      </c>
      <c r="D20" s="867"/>
      <c r="E20" s="868">
        <v>45813.0</v>
      </c>
      <c r="F20" s="869" t="s">
        <v>4177</v>
      </c>
    </row>
    <row r="21" ht="17.25" customHeight="1">
      <c r="A21" s="844">
        <v>20.0</v>
      </c>
      <c r="B21" s="837" t="s">
        <v>4178</v>
      </c>
      <c r="C21" s="847">
        <v>9000.0</v>
      </c>
      <c r="D21" s="847" t="s">
        <v>4158</v>
      </c>
      <c r="E21" s="854">
        <v>45792.0</v>
      </c>
      <c r="F21" s="126"/>
    </row>
    <row r="22" ht="17.25" customHeight="1">
      <c r="A22" s="857">
        <v>21.0</v>
      </c>
      <c r="B22" s="837" t="s">
        <v>4179</v>
      </c>
      <c r="C22" s="847">
        <v>75000.0</v>
      </c>
      <c r="D22" s="860"/>
      <c r="E22" s="853"/>
      <c r="F22" s="856"/>
    </row>
    <row r="23" ht="17.25" customHeight="1">
      <c r="A23" s="844">
        <v>22.0</v>
      </c>
      <c r="B23" s="837" t="s">
        <v>4180</v>
      </c>
      <c r="C23" s="847">
        <f>10000+6000+16000+2000+3000+7000+16000+140000-50000-50000-6000</f>
        <v>94000</v>
      </c>
      <c r="D23" s="847"/>
      <c r="E23" s="863"/>
      <c r="F23" s="850"/>
    </row>
    <row r="24" ht="17.25" customHeight="1">
      <c r="A24" s="859">
        <v>23.0</v>
      </c>
      <c r="B24" s="837" t="s">
        <v>4181</v>
      </c>
      <c r="C24" s="847">
        <f>1257600+2800+3000+115000+20000+8000+9000+9500+6000+4000+12000+2800+5500+600+2000+12000+800+66000+22000+2000+15000+2000+8000+14000+7000+10000+3000+2000+15000+4000+10000+10000+1600+800+3200+1000+4700+400+16000+15000+2000+3000+2000+2000+1500+400+2000+1500+2000+20000+8500+10000+1000+2000+1500+800+24000+6000+8000+6000+1500+2000+800+1000+2000+6000+5000+12000+8000+2000+27000+7000+20000+500+14000+11000+3500+18000+500+1700+4000+9000+2000+3000+1200+2000+2000+5000+8000+600-300000+3400+3500+1000+2000+4000+600+4000-820000+11000+5000+3000+1200+39000+6000+10000+62000+2000+1600+1800+3500+7000+50000+18000+4000+5000+10000+3000+8000+8000+1200+10000+14000+3000+4000+2000+1000+25000+60000+3000+4000+1500+11000+1200+13000+3000+12000+75000</f>
        <v>1389300</v>
      </c>
      <c r="D24" s="847" t="s">
        <v>4167</v>
      </c>
      <c r="E24" s="870"/>
      <c r="F24" s="850"/>
    </row>
    <row r="25" ht="17.25" customHeight="1">
      <c r="A25" s="844">
        <v>24.0</v>
      </c>
      <c r="B25" s="837" t="s">
        <v>4182</v>
      </c>
      <c r="C25" s="847">
        <f>845200+14000+24000-50000+62000+6000+62000+72000+2000+32000+48000+75000+140000+45000+18000+40000+201000+6000+16000+4000+16000+1000+800+8000+3600+34800+3600+27500+2500+1000+14000+3000+800+5000+31000+36000+72000+124000+1800+500+19000+17000+15000+500+22000+62000+22000+8000+8000+44000+120000+7000+86000+5000+1600+1800+24000+15000+3500+2400</f>
        <v>2532900</v>
      </c>
      <c r="D25" s="860"/>
      <c r="E25" s="853">
        <v>45794.0</v>
      </c>
      <c r="F25" s="856"/>
    </row>
    <row r="26" ht="17.25" customHeight="1">
      <c r="A26" s="844">
        <v>25.0</v>
      </c>
      <c r="B26" s="837"/>
      <c r="C26" s="847">
        <v>0.0</v>
      </c>
      <c r="D26" s="871"/>
      <c r="E26" s="853"/>
      <c r="F26" s="862"/>
    </row>
    <row r="27" ht="17.25" customHeight="1">
      <c r="A27" s="872">
        <v>26.0</v>
      </c>
      <c r="B27" s="865" t="s">
        <v>4183</v>
      </c>
      <c r="C27" s="866">
        <f>552500+2000+8000+22000+42000+89000+36000+5000+180000+36000+26000+30000+15000-190000-400000-300000-98000+38000+32000+52000+8000+260000-200000</f>
        <v>245500</v>
      </c>
      <c r="D27" s="867" t="s">
        <v>4158</v>
      </c>
      <c r="E27" s="873" t="s">
        <v>4184</v>
      </c>
      <c r="F27" s="869" t="s">
        <v>4177</v>
      </c>
    </row>
    <row r="28" ht="17.25" customHeight="1">
      <c r="A28" s="844">
        <v>27.0</v>
      </c>
      <c r="B28" s="837"/>
      <c r="C28" s="847">
        <v>0.0</v>
      </c>
      <c r="D28" s="860"/>
      <c r="E28" s="853"/>
      <c r="F28" s="856"/>
    </row>
    <row r="29" ht="17.25" customHeight="1">
      <c r="A29" s="844">
        <v>28.0</v>
      </c>
      <c r="B29" s="837"/>
      <c r="C29" s="847">
        <v>0.0</v>
      </c>
      <c r="D29" s="847"/>
      <c r="E29" s="863"/>
      <c r="F29" s="850"/>
    </row>
    <row r="30" ht="17.25" customHeight="1">
      <c r="A30" s="857">
        <v>29.0</v>
      </c>
      <c r="B30" s="837"/>
      <c r="C30" s="847">
        <v>0.0</v>
      </c>
      <c r="D30" s="847"/>
      <c r="E30" s="870"/>
      <c r="F30" s="850"/>
    </row>
    <row r="31" ht="17.25" customHeight="1">
      <c r="A31" s="857">
        <v>30.0</v>
      </c>
      <c r="B31" s="837" t="s">
        <v>4185</v>
      </c>
      <c r="C31" s="847">
        <f>577800+8000+12500+1000+7200+40000+165000+1200+600+10000+4000+4000-831300</f>
        <v>0</v>
      </c>
      <c r="D31" s="847" t="s">
        <v>4158</v>
      </c>
      <c r="E31" s="874">
        <v>45758.0</v>
      </c>
      <c r="F31" s="850"/>
    </row>
    <row r="32" ht="17.25" customHeight="1">
      <c r="A32" s="875">
        <v>31.0</v>
      </c>
      <c r="B32" s="876" t="s">
        <v>4186</v>
      </c>
      <c r="C32" s="866">
        <f>64000+160000+4000+36000+40000+45000+72000+36000+4000+6000+36000+114000+60000+27000+4000</f>
        <v>708000</v>
      </c>
      <c r="D32" s="867" t="s">
        <v>4158</v>
      </c>
      <c r="E32" s="868">
        <v>45779.0</v>
      </c>
      <c r="F32" s="869" t="s">
        <v>4177</v>
      </c>
    </row>
    <row r="33" ht="17.25" customHeight="1">
      <c r="A33" s="857">
        <v>32.0</v>
      </c>
      <c r="B33" s="837"/>
      <c r="C33" s="847">
        <v>0.0</v>
      </c>
      <c r="D33" s="847"/>
      <c r="E33" s="853"/>
      <c r="F33" s="850"/>
    </row>
    <row r="34" ht="17.25" customHeight="1">
      <c r="A34" s="872">
        <v>33.0</v>
      </c>
      <c r="B34" s="865" t="s">
        <v>4187</v>
      </c>
      <c r="C34" s="866">
        <f>210000+54000+4000</f>
        <v>268000</v>
      </c>
      <c r="D34" s="867"/>
      <c r="E34" s="868"/>
      <c r="F34" s="869" t="s">
        <v>4177</v>
      </c>
    </row>
    <row r="35" ht="17.25" customHeight="1">
      <c r="A35" s="851">
        <v>34.0</v>
      </c>
      <c r="B35" s="852" t="s">
        <v>4188</v>
      </c>
      <c r="C35" s="847">
        <v>0.0</v>
      </c>
      <c r="D35" s="847"/>
      <c r="E35" s="853">
        <v>45743.0</v>
      </c>
      <c r="F35" s="850"/>
    </row>
    <row r="36" ht="17.25" customHeight="1">
      <c r="A36" s="857">
        <v>35.0</v>
      </c>
      <c r="B36" s="837"/>
      <c r="C36" s="847">
        <v>0.0</v>
      </c>
      <c r="D36" s="860"/>
      <c r="E36" s="855"/>
      <c r="F36" s="850"/>
    </row>
    <row r="37" ht="17.25" customHeight="1">
      <c r="A37" s="851">
        <v>36.0</v>
      </c>
      <c r="B37" s="852" t="s">
        <v>4189</v>
      </c>
      <c r="C37" s="847">
        <v>0.0</v>
      </c>
      <c r="D37" s="847"/>
      <c r="E37" s="853">
        <v>45782.0</v>
      </c>
      <c r="F37" s="850"/>
    </row>
    <row r="38" ht="17.25" customHeight="1">
      <c r="A38" s="877">
        <v>37.0</v>
      </c>
      <c r="B38" s="852"/>
      <c r="C38" s="847">
        <v>0.0</v>
      </c>
      <c r="D38" s="860"/>
      <c r="E38" s="853"/>
      <c r="F38" s="850"/>
    </row>
    <row r="39" ht="17.25" customHeight="1">
      <c r="A39" s="864">
        <v>38.0</v>
      </c>
      <c r="B39" s="865" t="s">
        <v>4190</v>
      </c>
      <c r="C39" s="866">
        <f>588890+32000+3000+9000+8000+28000+18000+27000+12000+80000+9000-300000+24000+35000+32000+25000+4000-35800</f>
        <v>599090</v>
      </c>
      <c r="D39" s="878" t="s">
        <v>4158</v>
      </c>
      <c r="E39" s="868">
        <v>45731.0</v>
      </c>
      <c r="F39" s="869" t="s">
        <v>4191</v>
      </c>
    </row>
    <row r="40" ht="17.25" customHeight="1">
      <c r="A40" s="844">
        <v>39.0</v>
      </c>
      <c r="B40" s="837"/>
      <c r="C40" s="847">
        <v>0.0</v>
      </c>
      <c r="D40" s="847"/>
      <c r="E40" s="863"/>
      <c r="F40" s="862"/>
    </row>
    <row r="41" ht="17.25" customHeight="1">
      <c r="A41" s="872">
        <v>40.0</v>
      </c>
      <c r="B41" s="865" t="s">
        <v>4192</v>
      </c>
      <c r="C41" s="866">
        <f>100000+6000+8000+8000+24000+27000+16000+13000+16000+40000+12000</f>
        <v>270000</v>
      </c>
      <c r="D41" s="866" t="s">
        <v>4158</v>
      </c>
      <c r="E41" s="879">
        <v>45726.0</v>
      </c>
      <c r="F41" s="880" t="s">
        <v>4191</v>
      </c>
    </row>
    <row r="42" ht="17.25" customHeight="1">
      <c r="A42" s="844">
        <v>41.0</v>
      </c>
      <c r="B42" s="837" t="s">
        <v>4193</v>
      </c>
      <c r="C42" s="847">
        <f>5000+19000-35000+18000+20000+10000+1600+318000+18000+10000-28000+9000+70000+500+44000-22000+32000+75000+80000+18000+72000+14000+3500+14500+3000-8000+6000+1000+1000+10000+12000+140000+18000+22000+75000+4000+4000+8000+6000+114000+8000</f>
        <v>1191100</v>
      </c>
      <c r="D42" s="847"/>
      <c r="E42" s="854">
        <v>45811.0</v>
      </c>
      <c r="F42" s="850"/>
    </row>
    <row r="43" ht="17.25" customHeight="1">
      <c r="A43" s="859">
        <v>42.0</v>
      </c>
      <c r="B43" s="837" t="s">
        <v>4194</v>
      </c>
      <c r="C43" s="847">
        <f>684000+8000+10000+11000+14000+1500+1500+10000+1000+7000+9000+24000+5000+17000+3500+2400+125000+10000+12500+2400+24000+72000+9000+1000+36000+18000+10000+12000+3000+18000+26000+165000+30000+3000+5000+5000+200+5000+5000+2000+101000+23000+800+5000+3200+13000+40000+180000+12500+10000+5000+9000+1600+1200+36000+8000+3000+6000+15000+52000+325000-325000+3000+35000+3500+18000-600000-1192800</f>
        <v>200000</v>
      </c>
      <c r="D43" s="847"/>
      <c r="E43" s="874">
        <v>45826.0</v>
      </c>
      <c r="F43" s="850"/>
    </row>
    <row r="44" ht="17.25" customHeight="1">
      <c r="A44" s="859">
        <v>43.0</v>
      </c>
      <c r="B44" s="861" t="s">
        <v>4195</v>
      </c>
      <c r="C44" s="847">
        <f>1785800+800+7000+3500+14000+15000+10000+4000+9000+4000+74000+3500+8000+6000+10000+1000+3000+7500+3000+1600+24000+1000+6000+20000+8000+6000+75000+1800+10000+2000+25000+27000-27000+20000+8000+14000-1000000+9000+11500+22000+38000+12000+2000+18000+2000-72000</f>
        <v>1234000</v>
      </c>
      <c r="D44" s="847"/>
      <c r="E44" s="854">
        <v>45820.0</v>
      </c>
      <c r="F44" s="856"/>
    </row>
    <row r="45" ht="17.25" customHeight="1">
      <c r="A45" s="857">
        <v>44.0</v>
      </c>
      <c r="B45" s="837" t="s">
        <v>4196</v>
      </c>
      <c r="C45" s="847">
        <v>0.0</v>
      </c>
      <c r="D45" s="860"/>
      <c r="E45" s="853"/>
      <c r="F45" s="850"/>
    </row>
    <row r="46" ht="17.25" customHeight="1">
      <c r="A46" s="857">
        <v>45.0</v>
      </c>
      <c r="B46" s="837" t="s">
        <v>4197</v>
      </c>
      <c r="C46" s="847">
        <f>90800+27000+26000+4000+120000+5000+7000+3000+1000+36000+9000+10000+7000+8000+6000+10000+600+70000+7000+10000+2000+8000+75000+6000+15000+20000+10000+280000+12000+18000+2000+2000+8000+10000+24000+97500+75500+15000+6000+8000+18000+12000+38000+4000+22000+22000+2000+9000+20000+9000+9000+24000+8000+6000+5000+30000+38000+24000+2000+136000+6000-800000</f>
        <v>795400</v>
      </c>
      <c r="D46" s="847" t="s">
        <v>4158</v>
      </c>
      <c r="E46" s="854">
        <v>45789.0</v>
      </c>
    </row>
    <row r="47" ht="17.25" customHeight="1">
      <c r="A47" s="857">
        <v>46.0</v>
      </c>
      <c r="B47" s="837" t="s">
        <v>4198</v>
      </c>
      <c r="C47" s="847">
        <f>1277600+9000-700000+600+400+22000+36000+9000+6000-300000+6000+12000+8500+4000+1500+10000+12000+30000+10000-454600</f>
        <v>0</v>
      </c>
      <c r="D47" s="847" t="s">
        <v>4158</v>
      </c>
      <c r="E47" s="854">
        <v>45796.0</v>
      </c>
      <c r="F47" s="881"/>
    </row>
    <row r="48" ht="17.25" customHeight="1">
      <c r="A48" s="857">
        <v>47.0</v>
      </c>
      <c r="B48" s="837" t="s">
        <v>4199</v>
      </c>
      <c r="C48" s="847">
        <f>94800+35000+600+4000+6000+11000+8000+28000-187400</f>
        <v>0</v>
      </c>
      <c r="D48" s="847" t="s">
        <v>4167</v>
      </c>
      <c r="E48" s="863">
        <v>45783.0</v>
      </c>
      <c r="F48" s="856"/>
    </row>
    <row r="49" ht="17.25" customHeight="1">
      <c r="A49" s="857">
        <v>48.0</v>
      </c>
      <c r="B49" s="837" t="s">
        <v>4200</v>
      </c>
      <c r="C49" s="847">
        <f>2126700+3500+500+14000+15000+3000+12000-12000+1000+2000+7000+5000+8000+36000+600+12000</f>
        <v>2234300</v>
      </c>
      <c r="D49" s="847" t="s">
        <v>4167</v>
      </c>
      <c r="E49" s="870"/>
      <c r="F49" s="850"/>
    </row>
    <row r="50" ht="17.25" customHeight="1">
      <c r="A50" s="857">
        <v>49.0</v>
      </c>
      <c r="B50" s="837" t="s">
        <v>4201</v>
      </c>
      <c r="C50" s="847">
        <v>1135800.0</v>
      </c>
      <c r="D50" s="847" t="s">
        <v>4167</v>
      </c>
      <c r="E50" s="863"/>
      <c r="F50" s="856"/>
    </row>
    <row r="51" ht="17.25" customHeight="1">
      <c r="A51" s="844">
        <v>50.0</v>
      </c>
      <c r="B51" s="837" t="s">
        <v>4202</v>
      </c>
      <c r="C51" s="847">
        <f>1792800+5000+5000-1000000+62000+7000+3000+180000+13000+6000+25000+11000+22000+25000+10000+11000+9000+18000+10000+5000+26000+18500+54000+45000+325000+4000+2000+40000+114000+9000+16000+3000+2000+9000+114000+27000+10000+1000+100000+6000+22000+32000+5000+2000+4600+22000</f>
        <v>2232900</v>
      </c>
      <c r="D51" s="847"/>
      <c r="E51" s="882"/>
      <c r="F51" s="862"/>
    </row>
    <row r="52" ht="17.25" customHeight="1">
      <c r="A52" s="859">
        <v>51.0</v>
      </c>
      <c r="B52" s="837"/>
      <c r="C52" s="847">
        <v>0.0</v>
      </c>
      <c r="D52" s="847"/>
      <c r="E52" s="863"/>
      <c r="F52" s="850"/>
    </row>
    <row r="53" ht="17.25" customHeight="1">
      <c r="A53" s="883">
        <v>52.0</v>
      </c>
      <c r="B53" s="837" t="s">
        <v>4203</v>
      </c>
      <c r="C53" s="847">
        <f>2579900+126000+13000+8000+69000+5000+1000+5000+7000+33000+4000+600+9000+20000+9500+22000-900000+3000+600+3000+24000+1000+6000+16000+190000+7000+45000+9200+160000+75500+2000+62000+5900+28000+40000+100000+108000+14000+38000+9000+6000+4000+9000+8000+22000+1500+1800-340000-200000+180000</f>
        <v>2651500</v>
      </c>
      <c r="D53" s="855" t="s">
        <v>4158</v>
      </c>
      <c r="E53" s="855" t="s">
        <v>4204</v>
      </c>
      <c r="F53" s="850"/>
    </row>
    <row r="54" ht="17.25" customHeight="1">
      <c r="A54" s="884">
        <v>53.0</v>
      </c>
      <c r="B54" s="837"/>
      <c r="C54" s="847">
        <v>0.0</v>
      </c>
      <c r="D54" s="847"/>
      <c r="E54" s="853"/>
      <c r="F54" s="850"/>
    </row>
    <row r="55" ht="17.25" customHeight="1">
      <c r="A55" s="844">
        <v>54.0</v>
      </c>
      <c r="B55" s="861" t="s">
        <v>4205</v>
      </c>
      <c r="C55" s="847">
        <f>1179500+2000+12500+1000+5000+12000+92000+4200+10000+22000+5000+1000+1000+14000+5300+1500+44000+6000+1200+22000+1000+500+5000+21000+11000+500+800+3500+5000+2000+10500+3500+10000+800+7500+3600+22000+62000+3500+1000+500+3600+7500+1200+3000+2000+13500+1300+1000+7500+1200+3500</f>
        <v>1661700</v>
      </c>
      <c r="D55" s="847" t="s">
        <v>4158</v>
      </c>
      <c r="E55" s="855" t="s">
        <v>4206</v>
      </c>
      <c r="F55" s="850"/>
    </row>
    <row r="56" ht="17.25" customHeight="1">
      <c r="A56" s="859">
        <v>55.0</v>
      </c>
      <c r="B56" s="861" t="s">
        <v>4207</v>
      </c>
      <c r="C56" s="847">
        <f>433000+24000-157000+145000+126000+30000+14000+6000+24000+16000+18000-200000+12000+2000+300+5000+6000+3000+6000+4000+18000</f>
        <v>535300</v>
      </c>
      <c r="D56" s="860" t="s">
        <v>4158</v>
      </c>
      <c r="E56" s="853">
        <v>45813.0</v>
      </c>
      <c r="F56" s="850"/>
    </row>
    <row r="57" ht="17.25" customHeight="1">
      <c r="A57" s="884">
        <v>56.0</v>
      </c>
      <c r="B57" s="837" t="s">
        <v>4208</v>
      </c>
      <c r="C57" s="847">
        <f>1529300+70000+15000+32000+16000+4000+20000+6000+32000+5000+5000+9500+1500+6000+24000+150000+8000+61000+9000+600+16000+28000+26000+130000+24000+12000+78500+45000+9500+1500+70000</f>
        <v>2444400</v>
      </c>
      <c r="D57" s="847" t="s">
        <v>4163</v>
      </c>
      <c r="E57" s="863">
        <v>45754.0</v>
      </c>
      <c r="F57" s="850"/>
    </row>
    <row r="58" ht="17.25" customHeight="1">
      <c r="A58" s="884">
        <v>57.0</v>
      </c>
      <c r="B58" s="837"/>
      <c r="C58" s="847">
        <v>0.0</v>
      </c>
      <c r="D58" s="847"/>
      <c r="E58" s="853"/>
      <c r="F58" s="850"/>
    </row>
    <row r="59" ht="17.25" customHeight="1">
      <c r="A59" s="844">
        <v>58.0</v>
      </c>
      <c r="B59" s="837" t="s">
        <v>4209</v>
      </c>
      <c r="C59" s="847">
        <f>24000+2100+800+42000+12000+2000+22000+5000+95000+5000+48000+500+9000+500+16000+24000+21000+1200+3500+18000+18000+72000+4000+78000+5000+900+7500+12000+27000+8000+4000+270000+3000+4000+24000+12000+13000-300000</f>
        <v>614000</v>
      </c>
      <c r="D59" s="885" t="s">
        <v>4167</v>
      </c>
      <c r="E59" s="853">
        <v>45769.0</v>
      </c>
      <c r="F59" s="850"/>
    </row>
    <row r="60" ht="17.25" customHeight="1">
      <c r="A60" s="884">
        <v>59.0</v>
      </c>
      <c r="B60" s="837"/>
      <c r="C60" s="847">
        <v>0.0</v>
      </c>
      <c r="D60" s="847"/>
      <c r="E60" s="853"/>
      <c r="F60" s="850"/>
    </row>
    <row r="61" ht="17.25" customHeight="1">
      <c r="A61" s="875">
        <v>60.0</v>
      </c>
      <c r="B61" s="865" t="s">
        <v>4210</v>
      </c>
      <c r="C61" s="866">
        <v>0.0</v>
      </c>
      <c r="D61" s="867"/>
      <c r="E61" s="879"/>
      <c r="F61" s="869" t="s">
        <v>4177</v>
      </c>
    </row>
    <row r="62" ht="17.25" customHeight="1">
      <c r="A62" s="884">
        <v>61.0</v>
      </c>
      <c r="B62" s="837" t="s">
        <v>4211</v>
      </c>
      <c r="C62" s="847">
        <v>71500.0</v>
      </c>
      <c r="D62" s="860" t="s">
        <v>4158</v>
      </c>
      <c r="E62" s="853">
        <v>45814.0</v>
      </c>
      <c r="F62" s="856"/>
    </row>
    <row r="63" ht="17.25" customHeight="1">
      <c r="A63" s="844">
        <v>62.0</v>
      </c>
      <c r="B63" s="837" t="s">
        <v>4212</v>
      </c>
      <c r="C63" s="847">
        <v>0.0</v>
      </c>
      <c r="D63" s="847"/>
      <c r="E63" s="853"/>
      <c r="F63" s="850"/>
    </row>
    <row r="64" ht="17.25" customHeight="1">
      <c r="A64" s="859">
        <v>63.0</v>
      </c>
      <c r="B64" s="837" t="s">
        <v>4213</v>
      </c>
      <c r="C64" s="847">
        <f>959700+22000-400000+10000+9600+7000+120000+30000+6000+1200+6000+75000+1000+16000+12000+11000+18000+8000+7000+10000+4000+1000+2500+10000+114000+3000+3000+22000+3000+27000+18000+1600+600+9000+17000+4000+2500+5000+3000+22000+3500+11000+12000+45000+4000+800+5000+20000-500000+14000+4000+5000+66000+6500+2000</f>
        <v>900500</v>
      </c>
      <c r="D64" s="847" t="s">
        <v>4158</v>
      </c>
      <c r="E64" s="854">
        <v>45818.0</v>
      </c>
      <c r="F64" s="850"/>
    </row>
    <row r="65" ht="17.25" customHeight="1">
      <c r="A65" s="884">
        <v>64.0</v>
      </c>
      <c r="B65" s="837" t="s">
        <v>4214</v>
      </c>
      <c r="C65" s="847">
        <f>704100-200000</f>
        <v>504100</v>
      </c>
      <c r="D65" s="847" t="s">
        <v>4158</v>
      </c>
      <c r="E65" s="854">
        <v>45833.0</v>
      </c>
      <c r="F65" s="850"/>
    </row>
    <row r="66" ht="17.25" customHeight="1">
      <c r="A66" s="859">
        <v>65.0</v>
      </c>
      <c r="B66" s="886" t="s">
        <v>4215</v>
      </c>
      <c r="C66" s="847">
        <f>500000+9500+14000+140000+800+9000+9000+6000+8000+6000+5000+62000+1200+3500+8000+22000+22000+4000+11500+5000+20000+75000+600+31000+8000+1200+8000+1600</f>
        <v>991900</v>
      </c>
      <c r="D66" s="847" t="s">
        <v>4158</v>
      </c>
      <c r="E66" s="863">
        <v>45758.0</v>
      </c>
      <c r="F66" s="862"/>
    </row>
    <row r="67" ht="17.25" customHeight="1">
      <c r="A67" s="884">
        <v>66.0</v>
      </c>
      <c r="B67" s="837" t="s">
        <v>4216</v>
      </c>
      <c r="C67" s="887">
        <f>49800+58000+1200+7000+3000+12000+4000+10000+6000+5000+14000+123000+12000+14000+2500+7000+5000+15000+8000+8000+11000+39000+600+14000+14600+600+10000+25000+53000+10000-68600+1800+3000</f>
        <v>478500</v>
      </c>
      <c r="D67" s="847" t="s">
        <v>4158</v>
      </c>
      <c r="E67" s="863">
        <v>45807.0</v>
      </c>
      <c r="F67" s="862"/>
    </row>
    <row r="68" ht="17.25" customHeight="1">
      <c r="A68" s="884">
        <v>67.0</v>
      </c>
      <c r="B68" s="837" t="s">
        <v>4217</v>
      </c>
      <c r="C68" s="847">
        <f>1863500+6000+7000+800+42000+2000+4000+14000+45000+2500+6000+3500+11000+15000+9000+6000+22000+18000+3000+6000+26000+3000+1000+24000+2000+3100+27000+6000+35000+34000+14000+36000+4000+4000+1000+24000+12000+38000+10000-20000+1000+1000+9000+4000+2400+14000+2000+8000+6000+22000+32000</f>
        <v>2471800</v>
      </c>
      <c r="D68" s="847" t="s">
        <v>4158</v>
      </c>
      <c r="E68" s="874">
        <v>45713.0</v>
      </c>
      <c r="F68" s="862"/>
    </row>
    <row r="69" ht="17.25" customHeight="1">
      <c r="A69" s="884">
        <v>68.0</v>
      </c>
      <c r="B69" s="837" t="s">
        <v>4218</v>
      </c>
      <c r="C69" s="847">
        <f>911500-50000+250000+35000+22000+28000+3000+18000+4000+38000+2000+66000+8000+72000+2000+22000-500000-931500</f>
        <v>0</v>
      </c>
      <c r="D69" s="847" t="s">
        <v>4158</v>
      </c>
      <c r="E69" s="854">
        <v>45811.0</v>
      </c>
      <c r="F69" s="850"/>
    </row>
    <row r="70" ht="17.25" customHeight="1">
      <c r="A70" s="859">
        <v>69.0</v>
      </c>
      <c r="B70" s="837"/>
      <c r="C70" s="847">
        <v>0.0</v>
      </c>
      <c r="D70" s="871"/>
      <c r="E70" s="853"/>
      <c r="F70" s="850"/>
    </row>
    <row r="71" ht="17.25" customHeight="1">
      <c r="A71" s="884">
        <v>70.0</v>
      </c>
      <c r="B71" s="837" t="s">
        <v>4219</v>
      </c>
      <c r="C71" s="847">
        <f>1000+5000+5000+5000+6000+22000</f>
        <v>44000</v>
      </c>
      <c r="D71" s="860" t="s">
        <v>4158</v>
      </c>
      <c r="E71" s="854">
        <v>45807.0</v>
      </c>
      <c r="F71" s="850"/>
    </row>
    <row r="72" ht="17.25" customHeight="1">
      <c r="A72" s="844">
        <v>71.0</v>
      </c>
      <c r="B72" s="861" t="s">
        <v>4220</v>
      </c>
      <c r="C72" s="847">
        <f>1047600+12000+8600+24000+3200+9000+9000+11000+600+36000+6000+2600+20000+1800+15000+44000+14000+4000+13500</f>
        <v>1281900</v>
      </c>
      <c r="D72" s="847" t="s">
        <v>4158</v>
      </c>
      <c r="E72" s="855" t="s">
        <v>4173</v>
      </c>
      <c r="F72" s="850"/>
    </row>
    <row r="73" ht="17.25" customHeight="1">
      <c r="A73" s="859">
        <v>72.0</v>
      </c>
      <c r="B73" s="861" t="s">
        <v>4221</v>
      </c>
      <c r="C73" s="847">
        <f>265900+125000+8000+11000+6000+9000+3000+3000+18000+1800+54000+9000+96000+5000+9000+114000+9000</f>
        <v>746700</v>
      </c>
      <c r="D73" s="847" t="s">
        <v>4158</v>
      </c>
      <c r="E73" s="855" t="s">
        <v>4222</v>
      </c>
      <c r="F73" s="850"/>
    </row>
    <row r="74" ht="17.25" customHeight="1">
      <c r="A74" s="844">
        <v>73.0</v>
      </c>
      <c r="B74" s="837" t="s">
        <v>4223</v>
      </c>
      <c r="C74" s="847">
        <f>708400+1500+44000+72000+16000+24000+20000+18000+27000+9000+6000+10000+25000+5000+4000+800-50000+18000+3500+5000+3000+14000+9000+4000+9000+6000+3000+18000+20000+8000+62000+12000+180000+20000+3000+38000+40000+40000+10000+6000+20000+14000+13000+8000+4000+1000+3500+110000</f>
        <v>1645700</v>
      </c>
      <c r="D74" s="847" t="s">
        <v>4158</v>
      </c>
      <c r="E74" s="854">
        <v>45804.0</v>
      </c>
      <c r="F74" s="862"/>
    </row>
    <row r="75" ht="17.25" customHeight="1">
      <c r="A75" s="844">
        <v>74.0</v>
      </c>
      <c r="B75" s="837" t="s">
        <v>4224</v>
      </c>
      <c r="C75" s="847">
        <f>52000+35000+266000+4000+2000+7000+36000+2200+3500+10000+2000+9000+18000+10000+30000+4500+3000+2000+10000+5000+8000+3000+2000+9000+8000+700+9000-200000+2000+9500+6000+9000+9000+3500+4000+38000+6000</f>
        <v>437900</v>
      </c>
      <c r="D75" s="847" t="s">
        <v>4158</v>
      </c>
      <c r="E75" s="863">
        <v>45812.0</v>
      </c>
      <c r="F75" s="862"/>
    </row>
    <row r="76" ht="17.25" customHeight="1">
      <c r="A76" s="877">
        <v>75.0</v>
      </c>
      <c r="B76" s="852" t="s">
        <v>4225</v>
      </c>
      <c r="C76" s="847">
        <v>0.0</v>
      </c>
      <c r="D76" s="847" t="s">
        <v>4158</v>
      </c>
      <c r="E76" s="863">
        <v>45737.0</v>
      </c>
      <c r="F76" s="862"/>
    </row>
    <row r="77" ht="17.25" customHeight="1">
      <c r="A77" s="859">
        <v>76.0</v>
      </c>
      <c r="B77" s="861" t="s">
        <v>4226</v>
      </c>
      <c r="C77" s="847">
        <f>1547900+20000+2000+40000+27000+13000+4000+5000+1000+20000+20000+8000+24000+18000+10000+3000+8000+3500+2000+12000+2000+6000+1500+12000+24000+15000+20000-1000+3500+10000</f>
        <v>1881400</v>
      </c>
      <c r="D77" s="847" t="s">
        <v>4167</v>
      </c>
      <c r="E77" s="853"/>
      <c r="F77" s="850"/>
    </row>
    <row r="78" ht="17.25" customHeight="1">
      <c r="A78" s="884">
        <v>77.0</v>
      </c>
      <c r="B78" s="837" t="s">
        <v>4227</v>
      </c>
      <c r="C78" s="847">
        <v>0.0</v>
      </c>
      <c r="D78" s="847" t="s">
        <v>4163</v>
      </c>
      <c r="E78" s="863">
        <v>45817.0</v>
      </c>
      <c r="F78" s="850"/>
    </row>
    <row r="79" ht="17.25" customHeight="1">
      <c r="A79" s="844">
        <v>78.0</v>
      </c>
      <c r="B79" s="861" t="s">
        <v>4228</v>
      </c>
      <c r="C79" s="847">
        <f>3044500+124000+18000+38000+6000+1000+18000+4000+4000+88000+116000+72000+1600+7000+20000+1600+72000+72000+3000+44000+9000+90000+90000+5000+8000+11000+6000+1600+2000+12000+20000+5000+156000+75000+1000+25000+2000+92000+330000+20000+2000+13000+2000+30000+32000</f>
        <v>4794300</v>
      </c>
      <c r="D79" s="847" t="s">
        <v>4163</v>
      </c>
      <c r="E79" s="863">
        <v>45728.0</v>
      </c>
      <c r="F79" s="856"/>
    </row>
    <row r="80" ht="17.25" customHeight="1">
      <c r="A80" s="884">
        <v>79.0</v>
      </c>
      <c r="B80" s="837" t="s">
        <v>4229</v>
      </c>
      <c r="C80" s="847">
        <f>1287000+5000+2000+7000+3500+22000+3000+18000+10000+120000+14000+6000+21000+9000+2000+4000+8000+6500+180000+12000+6000+4000+2100+11600+6000+6000+40000+2000+16000+6000</f>
        <v>1839700</v>
      </c>
      <c r="D80" s="847" t="s">
        <v>4158</v>
      </c>
      <c r="E80" s="870">
        <v>45730.0</v>
      </c>
      <c r="F80" s="862"/>
    </row>
    <row r="81" ht="17.25" customHeight="1">
      <c r="A81" s="844">
        <v>80.0</v>
      </c>
      <c r="B81" s="861" t="s">
        <v>4230</v>
      </c>
      <c r="C81" s="847">
        <v>0.0</v>
      </c>
      <c r="D81" s="860"/>
      <c r="E81" s="853"/>
      <c r="F81" s="856"/>
    </row>
    <row r="82" ht="17.25" customHeight="1">
      <c r="A82" s="844">
        <v>81.0</v>
      </c>
      <c r="B82" s="837" t="s">
        <v>4231</v>
      </c>
      <c r="C82" s="847">
        <f>3189300+11500+4600+2000+700+10000+4000+74000+7000+2000+25000+18000+26000+6000+65000+1500+2000+14000+14000+10700+62000+8000+86000+6000+1800+6000+9000+3500+800+12000+5000+1000+3000+24000+130000+3900+200000+7000-65000+34000+700</f>
        <v>4026000</v>
      </c>
      <c r="D82" s="847" t="s">
        <v>4158</v>
      </c>
      <c r="E82" s="855" t="s">
        <v>4232</v>
      </c>
      <c r="F82" s="850"/>
    </row>
    <row r="83" ht="17.25" customHeight="1">
      <c r="A83" s="884">
        <v>82.0</v>
      </c>
      <c r="B83" s="837"/>
      <c r="C83" s="847">
        <v>0.0</v>
      </c>
      <c r="D83" s="847"/>
      <c r="E83" s="853"/>
      <c r="F83" s="850"/>
    </row>
    <row r="84" ht="17.25" customHeight="1">
      <c r="A84" s="884">
        <v>83.0</v>
      </c>
      <c r="B84" s="837"/>
      <c r="C84" s="847">
        <v>0.0</v>
      </c>
      <c r="D84" s="847"/>
      <c r="E84" s="853"/>
      <c r="F84" s="850"/>
    </row>
    <row r="85" ht="17.25" customHeight="1">
      <c r="A85" s="859">
        <v>84.0</v>
      </c>
      <c r="B85" s="837" t="s">
        <v>4233</v>
      </c>
      <c r="C85" s="847">
        <f>1500+22500+9000+4000+12000+24000+1000+7000+280000+4000+2500+2500+70000+2500+5000+15000+21500+15000+14000+5000+10000+16000+2800+2100+10000+18000+2500+2500+22000+34000+14000+10000+600-18000+3000+500+1000+22000+72000+3000+20000</f>
        <v>766000</v>
      </c>
      <c r="D85" s="847" t="s">
        <v>4167</v>
      </c>
      <c r="E85" s="888"/>
      <c r="F85" s="856"/>
    </row>
    <row r="86" ht="17.25" customHeight="1">
      <c r="A86" s="884">
        <v>85.0</v>
      </c>
      <c r="B86" s="837" t="s">
        <v>4234</v>
      </c>
      <c r="C86" s="847">
        <f>5000+11000+27500+80000+22000+11000+10000+7000+90000+3000+1000+12000+12000+1500+4000+7000+500+8000+32000-132000+5000+1600+1000+5000+6000+40000+42000+20000+16000+6000+18000+900+2100+4000+2000+3000+10000+1600+2000+12000+8000+3000+700+1000+24000+15000+7000+4000+6000+8500+20000+1200+6000+4000+3000+18000+12500+1200+9000+2000+6000+2000+10000+8000+600+4000+2000+9000+3500+3500+20000+8000+3500+10000+5600+9000+12000+6000+1000+6000+10000+8000+2500+5000+4000+18000+9000</f>
        <v>751000</v>
      </c>
      <c r="D86" s="847" t="s">
        <v>4158</v>
      </c>
      <c r="E86" s="855" t="s">
        <v>4235</v>
      </c>
      <c r="F86" s="850"/>
    </row>
    <row r="87" ht="17.25" customHeight="1">
      <c r="A87" s="889">
        <v>86.0</v>
      </c>
      <c r="B87" s="890" t="s">
        <v>4236</v>
      </c>
      <c r="C87" s="891">
        <f>31000+10000+15000+72000+5000+18000+32000+32000</f>
        <v>215000</v>
      </c>
      <c r="D87" s="891"/>
      <c r="E87" s="892"/>
      <c r="F87" s="893" t="s">
        <v>4237</v>
      </c>
    </row>
    <row r="88" ht="17.25" customHeight="1">
      <c r="A88" s="844">
        <v>87.0</v>
      </c>
      <c r="B88" s="837"/>
      <c r="C88" s="847">
        <v>0.0</v>
      </c>
      <c r="D88" s="847"/>
      <c r="E88" s="853"/>
      <c r="F88" s="850"/>
    </row>
    <row r="89" ht="17.25" customHeight="1">
      <c r="A89" s="894">
        <v>88.0</v>
      </c>
      <c r="B89" s="852"/>
      <c r="C89" s="847">
        <v>0.0</v>
      </c>
      <c r="D89" s="847"/>
      <c r="E89" s="853"/>
      <c r="F89" s="850"/>
    </row>
    <row r="90" ht="17.25" customHeight="1">
      <c r="A90" s="884">
        <v>89.0</v>
      </c>
      <c r="B90" s="837"/>
      <c r="C90" s="847">
        <v>0.0</v>
      </c>
      <c r="D90" s="847"/>
      <c r="E90" s="853"/>
      <c r="F90" s="850"/>
    </row>
    <row r="91" ht="17.25" customHeight="1">
      <c r="A91" s="859">
        <v>90.0</v>
      </c>
      <c r="B91" s="895"/>
      <c r="C91" s="847">
        <v>0.0</v>
      </c>
      <c r="D91" s="847"/>
      <c r="E91" s="853"/>
      <c r="F91" s="862"/>
    </row>
    <row r="92" ht="17.25" customHeight="1">
      <c r="A92" s="884">
        <v>91.0</v>
      </c>
      <c r="B92" s="837"/>
      <c r="C92" s="847">
        <v>0.0</v>
      </c>
      <c r="D92" s="847"/>
      <c r="E92" s="874"/>
      <c r="F92" s="850"/>
    </row>
    <row r="93" ht="17.25" customHeight="1">
      <c r="A93" s="859">
        <v>92.0</v>
      </c>
      <c r="B93" s="861" t="s">
        <v>4238</v>
      </c>
      <c r="C93" s="847">
        <f>3112800+17000+10000+10000+72000+9000+24000+9000+21000+65000+125000+26000+18000+15000+18000+10800+14000+90000+18000-180000+13000+12500+2000+800+9000+1600+11000-1777250</f>
        <v>1777250</v>
      </c>
      <c r="D93" s="847" t="s">
        <v>4158</v>
      </c>
      <c r="E93" s="863">
        <v>45805.0</v>
      </c>
      <c r="F93" s="862"/>
    </row>
    <row r="94" ht="17.25" customHeight="1">
      <c r="A94" s="884">
        <v>93.0</v>
      </c>
      <c r="B94" s="837" t="s">
        <v>4239</v>
      </c>
      <c r="C94" s="847">
        <f>58000+18000+95000+24000+18000+3000+55000+2400+26000+60000+8000+3000+6000+26000+42000+18000+14000+54000+9000+26000+6000+1500+5000+92000+6000+8000+2000+20000+126000-100000+24000-300000-300000</f>
        <v>155900</v>
      </c>
      <c r="D94" s="847" t="s">
        <v>4158</v>
      </c>
      <c r="E94" s="874">
        <v>45743.0</v>
      </c>
      <c r="F94" s="850"/>
    </row>
    <row r="95" ht="17.25" customHeight="1">
      <c r="A95" s="884">
        <v>94.0</v>
      </c>
      <c r="B95" s="837" t="s">
        <v>4240</v>
      </c>
      <c r="C95" s="847">
        <f>777000+10200+8200+18000+9000+60000+2400+9200+3000+11000+10000+4000+44000+33000+29000-120000-200000+11400+1200+1200+5000+8000+6000</f>
        <v>740800</v>
      </c>
      <c r="D95" s="847" t="s">
        <v>4158</v>
      </c>
      <c r="E95" s="863">
        <v>45817.0</v>
      </c>
      <c r="F95" s="856"/>
    </row>
    <row r="96" ht="17.25" customHeight="1">
      <c r="A96" s="894">
        <v>95.0</v>
      </c>
      <c r="B96" s="896"/>
      <c r="C96" s="847">
        <v>0.0</v>
      </c>
      <c r="D96" s="847"/>
      <c r="E96" s="855"/>
      <c r="F96" s="850"/>
    </row>
    <row r="97" ht="17.25" customHeight="1">
      <c r="A97" s="884">
        <v>96.0</v>
      </c>
      <c r="B97" s="837" t="s">
        <v>4241</v>
      </c>
      <c r="C97" s="847">
        <v>0.0</v>
      </c>
      <c r="D97" s="847" t="s">
        <v>4167</v>
      </c>
      <c r="E97" s="853"/>
      <c r="F97" s="850"/>
    </row>
    <row r="98" ht="17.25" customHeight="1">
      <c r="A98" s="844">
        <v>97.0</v>
      </c>
      <c r="B98" s="861" t="s">
        <v>4242</v>
      </c>
      <c r="C98" s="847">
        <f>925200+30000+13000+5000+7000+18000+2400+18000+4000+1600+8200+1200+9000+54000+7000+20000+20000+4000+1800+2000+27000+1200+38000+13000-100000</f>
        <v>1130600</v>
      </c>
      <c r="D98" s="860" t="s">
        <v>4158</v>
      </c>
      <c r="E98" s="863">
        <v>45743.0</v>
      </c>
      <c r="F98" s="856"/>
    </row>
    <row r="99" ht="17.25" customHeight="1">
      <c r="A99" s="877">
        <v>98.0</v>
      </c>
      <c r="B99" s="861" t="s">
        <v>4243</v>
      </c>
      <c r="C99" s="847">
        <f>777800+1000+38000+12000+6000+2000+22000+4000+8000+10000+8000+22000+22000+9000+12000+12000+13000+35000+11000+2500+1000+22000+38000+4000+1500+700+4000-600000+1000+18000+9000+14000+24000+30000+34000+6000+20000+16000-400000</f>
        <v>270500</v>
      </c>
      <c r="D99" s="860" t="s">
        <v>4158</v>
      </c>
      <c r="E99" s="853">
        <v>45754.0</v>
      </c>
      <c r="F99" s="850"/>
    </row>
    <row r="100" ht="17.25" customHeight="1">
      <c r="A100" s="884">
        <v>99.0</v>
      </c>
      <c r="B100" s="837" t="s">
        <v>4244</v>
      </c>
      <c r="C100" s="847">
        <v>0.0</v>
      </c>
      <c r="D100" s="847"/>
      <c r="E100" s="853"/>
      <c r="F100" s="850"/>
    </row>
    <row r="101" ht="17.25" customHeight="1">
      <c r="A101" s="844">
        <v>100.0</v>
      </c>
      <c r="B101" s="861"/>
      <c r="C101" s="847">
        <v>0.0</v>
      </c>
      <c r="D101" s="847"/>
      <c r="E101" s="853"/>
      <c r="F101" s="862"/>
    </row>
    <row r="102" ht="17.25" customHeight="1">
      <c r="A102" s="844">
        <v>101.0</v>
      </c>
      <c r="B102" s="837" t="s">
        <v>4245</v>
      </c>
      <c r="C102" s="847">
        <f>245700+6000+3500+600+5000+800+26000+6000+38000+4000-89900-6000+6000+2000+24000+300+1200+20000+8000+8000+2000-38000+5000+300+8000+20000+20000+2000+4500+4500+2000+10000+3500+16000+6000+6500-28000-83000</f>
        <v>270500</v>
      </c>
      <c r="D102" s="847" t="s">
        <v>4158</v>
      </c>
      <c r="E102" s="854">
        <v>45804.0</v>
      </c>
      <c r="F102" s="850"/>
    </row>
    <row r="103" ht="17.25" customHeight="1">
      <c r="A103" s="844">
        <v>102.0</v>
      </c>
      <c r="B103" s="861"/>
      <c r="C103" s="847">
        <v>0.0</v>
      </c>
      <c r="D103" s="847"/>
      <c r="E103" s="874"/>
      <c r="F103" s="862"/>
    </row>
    <row r="104" ht="17.25" customHeight="1">
      <c r="A104" s="844">
        <v>103.0</v>
      </c>
      <c r="B104" s="837" t="s">
        <v>4246</v>
      </c>
      <c r="C104" s="847">
        <f>461000+1200+500+1000+1000+600+4000+1000+8000+2500+1000+2400+3000+4000+3900+4000+7500+1400+300+6000+7000+1000+2600+6000+2000+10000+5000+9000+5500+17000+2000+12000+9000+11000+4000+10000+6000+10000+300+500+24000-228200</f>
        <v>440000</v>
      </c>
      <c r="D104" s="860" t="s">
        <v>4158</v>
      </c>
      <c r="E104" s="855" t="s">
        <v>4222</v>
      </c>
      <c r="F104" s="850"/>
    </row>
    <row r="105" ht="17.25" customHeight="1">
      <c r="A105" s="884">
        <v>104.0</v>
      </c>
      <c r="B105" s="837" t="s">
        <v>4247</v>
      </c>
      <c r="C105" s="847">
        <f>14000+1000+10000+55000+1000+8000+27000+1000</f>
        <v>117000</v>
      </c>
      <c r="D105" s="860"/>
      <c r="E105" s="853">
        <v>45748.0</v>
      </c>
      <c r="F105" s="850"/>
    </row>
    <row r="106" ht="17.25" customHeight="1">
      <c r="A106" s="844">
        <v>105.0</v>
      </c>
      <c r="B106" s="861"/>
      <c r="C106" s="847">
        <v>0.0</v>
      </c>
      <c r="D106" s="847"/>
      <c r="E106" s="874"/>
      <c r="F106" s="850"/>
    </row>
    <row r="107" ht="17.25" customHeight="1">
      <c r="A107" s="844">
        <v>106.0</v>
      </c>
      <c r="B107" s="837" t="s">
        <v>4248</v>
      </c>
      <c r="C107" s="847">
        <v>0.0</v>
      </c>
      <c r="D107" s="860"/>
      <c r="E107" s="853"/>
      <c r="F107" s="850"/>
    </row>
    <row r="108" ht="17.25" customHeight="1">
      <c r="A108" s="884">
        <v>107.0</v>
      </c>
      <c r="B108" s="837" t="s">
        <v>4249</v>
      </c>
      <c r="C108" s="847">
        <f>1981300+30000+1100+120000+8000+36000+10000+4000+28000+14000+6000+24000+4000+34000+75000+95000+6000+4000+8000+8000+10000</f>
        <v>2506400</v>
      </c>
      <c r="D108" s="847" t="s">
        <v>4158</v>
      </c>
      <c r="E108" s="855" t="s">
        <v>4250</v>
      </c>
      <c r="F108" s="850"/>
    </row>
    <row r="109" ht="17.25" customHeight="1">
      <c r="A109" s="884">
        <v>108.0</v>
      </c>
      <c r="B109" s="837" t="s">
        <v>4251</v>
      </c>
      <c r="C109" s="847">
        <v>240000.0</v>
      </c>
      <c r="D109" s="871"/>
      <c r="E109" s="888">
        <v>45832.0</v>
      </c>
      <c r="F109" s="856"/>
    </row>
    <row r="110" ht="17.25" customHeight="1">
      <c r="A110" s="884">
        <v>109.0</v>
      </c>
      <c r="B110" s="837" t="s">
        <v>4252</v>
      </c>
      <c r="C110" s="847">
        <f>15000+18000+24000+8000+20000+2000+15000+5000+6000+10000-80000+2500+3500+5000-30000+3000+1500</f>
        <v>28500</v>
      </c>
      <c r="D110" s="860"/>
      <c r="E110" s="853">
        <v>45811.0</v>
      </c>
      <c r="F110" s="850"/>
    </row>
    <row r="111" ht="17.25" customHeight="1">
      <c r="A111" s="897">
        <v>110.0</v>
      </c>
      <c r="B111" s="865" t="s">
        <v>4253</v>
      </c>
      <c r="C111" s="866">
        <v>0.0</v>
      </c>
      <c r="D111" s="898"/>
      <c r="E111" s="868"/>
      <c r="F111" s="869" t="s">
        <v>4177</v>
      </c>
    </row>
    <row r="112" ht="17.25" customHeight="1">
      <c r="A112" s="897">
        <v>111.0</v>
      </c>
      <c r="B112" s="865" t="s">
        <v>4254</v>
      </c>
      <c r="C112" s="866">
        <f>211100+8000+8000+38000+80000+82000+280000+22000</f>
        <v>729100</v>
      </c>
      <c r="D112" s="898" t="s">
        <v>4158</v>
      </c>
      <c r="E112" s="868">
        <v>45692.0</v>
      </c>
      <c r="F112" s="869" t="s">
        <v>4177</v>
      </c>
    </row>
    <row r="113" ht="17.25" customHeight="1">
      <c r="A113" s="884">
        <v>112.0</v>
      </c>
      <c r="B113" s="837"/>
      <c r="C113" s="847">
        <v>0.0</v>
      </c>
      <c r="D113" s="871"/>
      <c r="E113" s="853"/>
      <c r="F113" s="850"/>
    </row>
    <row r="114" ht="17.25" customHeight="1">
      <c r="A114" s="884">
        <v>113.0</v>
      </c>
      <c r="B114" s="837"/>
      <c r="C114" s="847">
        <v>0.0</v>
      </c>
      <c r="D114" s="885"/>
      <c r="E114" s="853"/>
      <c r="F114" s="850"/>
    </row>
    <row r="115" ht="17.25" customHeight="1">
      <c r="A115" s="884">
        <v>114.0</v>
      </c>
      <c r="B115" s="837"/>
      <c r="C115" s="847">
        <v>0.0</v>
      </c>
      <c r="D115" s="885"/>
      <c r="E115" s="853"/>
      <c r="F115" s="850"/>
    </row>
    <row r="116" ht="17.25" customHeight="1">
      <c r="A116" s="894">
        <v>115.0</v>
      </c>
      <c r="B116" s="852" t="s">
        <v>4255</v>
      </c>
      <c r="C116" s="847">
        <f>1004000+12000+3000+38000+6000+2000+22000+7000+4000+9000+4000+8000+700+38000+1000+4000+1000+22000+18000+9000+14000+24000+30000+34000+6000+20000+12000+16000</f>
        <v>1368700</v>
      </c>
      <c r="D116" s="860"/>
      <c r="E116" s="853">
        <v>45757.0</v>
      </c>
      <c r="F116" s="856"/>
    </row>
    <row r="117" ht="17.25" customHeight="1">
      <c r="A117" s="844">
        <v>116.0</v>
      </c>
      <c r="B117" s="837"/>
      <c r="C117" s="847">
        <v>0.0</v>
      </c>
      <c r="D117" s="871"/>
      <c r="E117" s="853"/>
      <c r="F117" s="856"/>
    </row>
    <row r="118" ht="17.25" customHeight="1">
      <c r="A118" s="884">
        <v>117.0</v>
      </c>
      <c r="B118" s="837"/>
      <c r="C118" s="847">
        <v>0.0</v>
      </c>
      <c r="D118" s="847"/>
      <c r="E118" s="855"/>
      <c r="F118" s="850"/>
    </row>
    <row r="119" ht="17.25" customHeight="1">
      <c r="A119" s="884">
        <v>118.0</v>
      </c>
      <c r="B119" s="837"/>
      <c r="C119" s="847">
        <v>0.0</v>
      </c>
      <c r="D119" s="847"/>
      <c r="E119" s="870"/>
      <c r="F119" s="850"/>
    </row>
    <row r="120" ht="17.25" customHeight="1">
      <c r="A120" s="884">
        <v>119.0</v>
      </c>
      <c r="B120" s="837"/>
      <c r="C120" s="847">
        <v>0.0</v>
      </c>
      <c r="D120" s="847"/>
      <c r="E120" s="853"/>
      <c r="F120" s="850"/>
    </row>
    <row r="121" ht="17.25" customHeight="1">
      <c r="A121" s="421">
        <v>120.0</v>
      </c>
      <c r="B121" s="837"/>
      <c r="C121" s="847">
        <v>0.0</v>
      </c>
      <c r="D121" s="860"/>
      <c r="E121" s="853"/>
      <c r="F121" s="850"/>
    </row>
    <row r="122" ht="17.25" customHeight="1">
      <c r="A122" s="844">
        <v>121.0</v>
      </c>
      <c r="B122" s="837" t="s">
        <v>4256</v>
      </c>
      <c r="C122" s="847">
        <f>759600+129000+6000+3000+600+7000+8000+22000+11000+27000+600+13000+128000+20000</f>
        <v>1134800</v>
      </c>
      <c r="D122" s="847"/>
      <c r="E122" s="863"/>
      <c r="F122" s="850"/>
    </row>
    <row r="123" ht="17.25" customHeight="1">
      <c r="A123" s="421">
        <v>122.0</v>
      </c>
      <c r="B123" s="837"/>
      <c r="C123" s="847">
        <v>0.0</v>
      </c>
      <c r="D123" s="860"/>
      <c r="E123" s="853"/>
      <c r="F123" s="862"/>
    </row>
    <row r="124" ht="17.25" customHeight="1">
      <c r="A124" s="899">
        <v>123.0</v>
      </c>
      <c r="B124" s="865" t="s">
        <v>4257</v>
      </c>
      <c r="C124" s="866">
        <v>280000.0</v>
      </c>
      <c r="D124" s="867"/>
      <c r="E124" s="868"/>
      <c r="F124" s="869" t="s">
        <v>4177</v>
      </c>
    </row>
    <row r="125" ht="17.25" customHeight="1">
      <c r="A125" s="897">
        <v>124.0</v>
      </c>
      <c r="B125" s="865" t="s">
        <v>4258</v>
      </c>
      <c r="C125" s="866">
        <v>270000.0</v>
      </c>
      <c r="D125" s="898"/>
      <c r="E125" s="873"/>
      <c r="F125" s="869" t="s">
        <v>4177</v>
      </c>
    </row>
    <row r="126" ht="17.25" customHeight="1">
      <c r="A126" s="884">
        <v>125.0</v>
      </c>
      <c r="B126" s="837"/>
      <c r="C126" s="847">
        <v>0.0</v>
      </c>
      <c r="D126" s="860"/>
      <c r="E126" s="853"/>
      <c r="F126" s="856"/>
    </row>
    <row r="127" ht="17.25" customHeight="1">
      <c r="A127" s="884">
        <v>126.0</v>
      </c>
      <c r="B127" s="837" t="s">
        <v>4259</v>
      </c>
      <c r="C127" s="847">
        <f>657000-200000+16000+18000+16000+120000+7000+800000+40000+13000-805000+120000+50000+352000-200000-60000-300000</f>
        <v>644000</v>
      </c>
      <c r="D127" s="847"/>
      <c r="E127" s="853"/>
      <c r="F127" s="850"/>
    </row>
    <row r="128" ht="17.25" customHeight="1">
      <c r="A128" s="884">
        <v>127.0</v>
      </c>
      <c r="B128" s="837"/>
      <c r="C128" s="847">
        <v>0.0</v>
      </c>
      <c r="D128" s="860"/>
      <c r="E128" s="853"/>
      <c r="F128" s="850"/>
    </row>
    <row r="129" ht="17.25" customHeight="1">
      <c r="A129" s="844">
        <v>128.0</v>
      </c>
      <c r="B129" s="861"/>
      <c r="C129" s="847">
        <v>0.0</v>
      </c>
      <c r="D129" s="847"/>
      <c r="E129" s="853"/>
      <c r="F129" s="856"/>
    </row>
    <row r="130" ht="17.25" customHeight="1">
      <c r="A130" s="884">
        <v>129.0</v>
      </c>
      <c r="B130" s="837"/>
      <c r="C130" s="847">
        <v>0.0</v>
      </c>
      <c r="D130" s="860"/>
      <c r="E130" s="853"/>
      <c r="F130" s="850"/>
    </row>
    <row r="131" ht="17.25" customHeight="1">
      <c r="A131" s="875">
        <v>130.0</v>
      </c>
      <c r="B131" s="876" t="s">
        <v>4260</v>
      </c>
      <c r="C131" s="866">
        <v>0.0</v>
      </c>
      <c r="D131" s="898"/>
      <c r="E131" s="868"/>
      <c r="F131" s="869" t="s">
        <v>4177</v>
      </c>
    </row>
    <row r="132" ht="17.25" customHeight="1">
      <c r="A132" s="844">
        <v>131.0</v>
      </c>
      <c r="B132" s="837"/>
      <c r="C132" s="847">
        <v>0.0</v>
      </c>
      <c r="D132" s="847"/>
      <c r="E132" s="855"/>
      <c r="F132" s="850"/>
    </row>
    <row r="133" ht="17.25" customHeight="1">
      <c r="A133" s="897">
        <v>132.0</v>
      </c>
      <c r="B133" s="865" t="s">
        <v>4261</v>
      </c>
      <c r="C133" s="866">
        <f>541000+450000+24000+55000+6000+42000+42000+40000+4000+40000+28000+8000+12000+5000+36000+135000+150000+40000+22000+15000+20000+32000+24000+18000+54000+63000+140000+106000+40000+10000+9000-511000</f>
        <v>1700000</v>
      </c>
      <c r="D133" s="898"/>
      <c r="E133" s="873"/>
      <c r="F133" s="869" t="s">
        <v>4177</v>
      </c>
    </row>
    <row r="134" ht="17.25" customHeight="1">
      <c r="A134" s="844">
        <v>133.0</v>
      </c>
      <c r="B134" s="837"/>
      <c r="C134" s="847">
        <v>0.0</v>
      </c>
      <c r="D134" s="860"/>
      <c r="E134" s="853"/>
      <c r="F134" s="856"/>
    </row>
    <row r="135" ht="17.25" customHeight="1">
      <c r="A135" s="855">
        <v>134.0</v>
      </c>
      <c r="B135" s="855"/>
      <c r="C135" s="847">
        <v>0.0</v>
      </c>
      <c r="D135" s="855"/>
      <c r="E135" s="855"/>
      <c r="F135" s="847"/>
    </row>
    <row r="136" ht="17.25" customHeight="1">
      <c r="A136" s="844">
        <v>135.0</v>
      </c>
      <c r="B136" s="837"/>
      <c r="C136" s="847">
        <v>0.0</v>
      </c>
      <c r="D136" s="860"/>
      <c r="E136" s="853"/>
      <c r="F136" s="856"/>
    </row>
    <row r="137" ht="17.25" customHeight="1">
      <c r="A137" s="884">
        <v>136.0</v>
      </c>
      <c r="B137" s="837"/>
      <c r="C137" s="847">
        <v>0.0</v>
      </c>
      <c r="D137" s="860"/>
      <c r="E137" s="853"/>
      <c r="F137" s="850"/>
    </row>
    <row r="138" ht="17.25" customHeight="1">
      <c r="A138" s="884">
        <v>137.0</v>
      </c>
      <c r="B138" s="837"/>
      <c r="C138" s="847">
        <v>0.0</v>
      </c>
      <c r="D138" s="860"/>
      <c r="E138" s="853"/>
      <c r="F138" s="862"/>
    </row>
    <row r="139" ht="17.25" customHeight="1">
      <c r="A139" s="844">
        <v>138.0</v>
      </c>
      <c r="B139" s="837"/>
      <c r="C139" s="847">
        <v>0.0</v>
      </c>
      <c r="D139" s="860"/>
      <c r="E139" s="853"/>
      <c r="F139" s="856"/>
    </row>
    <row r="140" ht="17.25" customHeight="1">
      <c r="A140" s="844">
        <v>139.0</v>
      </c>
      <c r="B140" s="837"/>
      <c r="C140" s="847">
        <v>0.0</v>
      </c>
      <c r="D140" s="860"/>
      <c r="E140" s="853"/>
      <c r="F140" s="850"/>
    </row>
    <row r="141" ht="17.25" customHeight="1">
      <c r="A141" s="889">
        <v>140.0</v>
      </c>
      <c r="B141" s="890" t="s">
        <v>4262</v>
      </c>
      <c r="C141" s="891">
        <v>0.0</v>
      </c>
      <c r="D141" s="900" t="s">
        <v>4158</v>
      </c>
      <c r="E141" s="901">
        <v>45814.0</v>
      </c>
      <c r="F141" s="893" t="s">
        <v>4237</v>
      </c>
    </row>
    <row r="142" ht="17.25" customHeight="1">
      <c r="A142" s="844">
        <v>141.0</v>
      </c>
      <c r="B142" s="837"/>
      <c r="C142" s="847">
        <v>0.0</v>
      </c>
      <c r="D142" s="860"/>
      <c r="E142" s="853"/>
      <c r="F142" s="850"/>
    </row>
    <row r="143" ht="17.25" customHeight="1">
      <c r="A143" s="844">
        <v>142.0</v>
      </c>
      <c r="B143" s="837" t="s">
        <v>4263</v>
      </c>
      <c r="C143" s="847">
        <f>1892500+10000+120000+4000+5000+8000+9000+7000+22000+75000+27000+32000+5000+10000+3500+48000+45000+27000+7000+4000+6000+3000+9000+22000+62000+1000+75000+5000+8000</f>
        <v>2552000</v>
      </c>
      <c r="D143" s="860"/>
      <c r="E143" s="853"/>
      <c r="F143" s="856"/>
    </row>
    <row r="144" ht="17.25" customHeight="1">
      <c r="A144" s="875">
        <v>143.0</v>
      </c>
      <c r="B144" s="865" t="s">
        <v>4264</v>
      </c>
      <c r="C144" s="866">
        <f>805300-150000-200000+15000+6000</f>
        <v>476300</v>
      </c>
      <c r="D144" s="898" t="s">
        <v>4158</v>
      </c>
      <c r="E144" s="902">
        <v>45684.0</v>
      </c>
      <c r="F144" s="869" t="s">
        <v>4177</v>
      </c>
    </row>
    <row r="145" ht="17.25" customHeight="1">
      <c r="A145" s="844">
        <v>144.0</v>
      </c>
      <c r="B145" s="837"/>
      <c r="C145" s="847">
        <v>0.0</v>
      </c>
      <c r="D145" s="860"/>
      <c r="E145" s="853"/>
      <c r="F145" s="856"/>
    </row>
    <row r="146" ht="17.25" customHeight="1">
      <c r="A146" s="884">
        <v>145.0</v>
      </c>
      <c r="B146" s="837" t="s">
        <v>4265</v>
      </c>
      <c r="C146" s="847">
        <v>0.0</v>
      </c>
      <c r="D146" s="847" t="s">
        <v>4158</v>
      </c>
      <c r="E146" s="853">
        <v>45833.0</v>
      </c>
      <c r="F146" s="850">
        <f>18*4</f>
        <v>72</v>
      </c>
    </row>
    <row r="147" ht="17.25" customHeight="1">
      <c r="A147" s="844">
        <v>146.0</v>
      </c>
      <c r="B147" s="837"/>
      <c r="C147" s="847">
        <v>0.0</v>
      </c>
      <c r="D147" s="860"/>
      <c r="E147" s="853"/>
      <c r="F147" s="856"/>
    </row>
    <row r="148" ht="17.25" customHeight="1">
      <c r="A148" s="903">
        <v>147.0</v>
      </c>
      <c r="B148" s="890" t="s">
        <v>4266</v>
      </c>
      <c r="C148" s="891">
        <f>8000+8000+800+1000+4000+12000+160000+130000+7000+1000+12000+9000+1500+15000+30000+18000+12000</f>
        <v>429300</v>
      </c>
      <c r="D148" s="900" t="s">
        <v>4158</v>
      </c>
      <c r="E148" s="901">
        <v>45724.0</v>
      </c>
      <c r="F148" s="893" t="s">
        <v>4237</v>
      </c>
    </row>
    <row r="149" ht="17.25" customHeight="1">
      <c r="A149" s="884">
        <v>148.0</v>
      </c>
      <c r="B149" s="837" t="s">
        <v>4267</v>
      </c>
      <c r="C149" s="847">
        <v>0.0</v>
      </c>
      <c r="D149" s="904"/>
      <c r="E149" s="874">
        <v>45743.0</v>
      </c>
      <c r="F149" s="850"/>
    </row>
    <row r="150" ht="17.25" customHeight="1">
      <c r="A150" s="897">
        <v>149.0</v>
      </c>
      <c r="B150" s="865" t="s">
        <v>4268</v>
      </c>
      <c r="C150" s="866">
        <f>130000+40000+90000+9000</f>
        <v>269000</v>
      </c>
      <c r="D150" s="898" t="s">
        <v>4158</v>
      </c>
      <c r="E150" s="902">
        <v>45793.0</v>
      </c>
      <c r="F150" s="869" t="s">
        <v>4177</v>
      </c>
    </row>
    <row r="151" ht="17.25" customHeight="1">
      <c r="A151" s="844">
        <v>150.0</v>
      </c>
      <c r="B151" s="837" t="s">
        <v>4269</v>
      </c>
      <c r="C151" s="847">
        <f>78000+3000+40000+3000+2000</f>
        <v>126000</v>
      </c>
      <c r="D151" s="860"/>
      <c r="E151" s="853"/>
      <c r="F151" s="856"/>
    </row>
    <row r="152" ht="17.25" customHeight="1">
      <c r="A152" s="903">
        <v>151.0</v>
      </c>
      <c r="B152" s="890" t="s">
        <v>4270</v>
      </c>
      <c r="C152" s="891">
        <v>0.0</v>
      </c>
      <c r="D152" s="905"/>
      <c r="E152" s="892"/>
      <c r="F152" s="893" t="s">
        <v>4237</v>
      </c>
    </row>
    <row r="153" ht="17.25" customHeight="1">
      <c r="A153" s="903">
        <v>152.0</v>
      </c>
      <c r="B153" s="890" t="s">
        <v>4271</v>
      </c>
      <c r="C153" s="891">
        <f>164400+26000+9000+2000+1500+500+600+1500+1200+65000+40000+24000+500+36000+500+33000+7000+12000+3000+11000+9000+36000+1500+26000+600+1500+6000+22000+1000+2000+39000+1400+1400</f>
        <v>586100</v>
      </c>
      <c r="D153" s="900" t="s">
        <v>4272</v>
      </c>
      <c r="E153" s="892"/>
      <c r="F153" s="893" t="s">
        <v>4237</v>
      </c>
    </row>
    <row r="154" ht="17.25" customHeight="1">
      <c r="A154" s="890">
        <v>153.0</v>
      </c>
      <c r="B154" s="890" t="s">
        <v>4273</v>
      </c>
      <c r="C154" s="891">
        <f>450000+80000+80000+80000+18000+13000+260000+45000+130000-100000+270000+7000</f>
        <v>1333000</v>
      </c>
      <c r="D154" s="900" t="s">
        <v>4158</v>
      </c>
      <c r="E154" s="906">
        <v>45677.0</v>
      </c>
      <c r="F154" s="893" t="s">
        <v>4237</v>
      </c>
    </row>
    <row r="155" ht="17.25" customHeight="1">
      <c r="A155" s="844"/>
      <c r="B155" s="837"/>
      <c r="C155" s="847">
        <v>0.0</v>
      </c>
      <c r="D155" s="860"/>
      <c r="E155" s="853"/>
      <c r="F155" s="850"/>
    </row>
    <row r="156" ht="17.25" customHeight="1">
      <c r="A156" s="875">
        <v>155.0</v>
      </c>
      <c r="B156" s="865" t="s">
        <v>4274</v>
      </c>
      <c r="C156" s="866">
        <f>116000+30000+15000+52000</f>
        <v>213000</v>
      </c>
      <c r="D156" s="898" t="s">
        <v>4158</v>
      </c>
      <c r="E156" s="907">
        <v>45818.0</v>
      </c>
      <c r="F156" s="869" t="s">
        <v>4177</v>
      </c>
    </row>
    <row r="157" ht="17.25" customHeight="1">
      <c r="A157" s="875">
        <v>156.0</v>
      </c>
      <c r="B157" s="865" t="s">
        <v>4275</v>
      </c>
      <c r="C157" s="866">
        <f>359000+106000+54000-230000</f>
        <v>289000</v>
      </c>
      <c r="D157" s="867" t="s">
        <v>4158</v>
      </c>
      <c r="E157" s="902">
        <v>45736.0</v>
      </c>
      <c r="F157" s="869" t="s">
        <v>4177</v>
      </c>
    </row>
    <row r="158" ht="17.25" customHeight="1">
      <c r="A158" s="875">
        <v>157.0</v>
      </c>
      <c r="B158" s="865" t="s">
        <v>4276</v>
      </c>
      <c r="C158" s="866">
        <f>1861500+120000-800000+24000+13000+100000+100000+20000+32000+104000</f>
        <v>1574500</v>
      </c>
      <c r="D158" s="867" t="s">
        <v>4158</v>
      </c>
      <c r="E158" s="873" t="s">
        <v>4232</v>
      </c>
      <c r="F158" s="869" t="s">
        <v>4177</v>
      </c>
    </row>
    <row r="159" ht="17.25" customHeight="1">
      <c r="A159" s="875">
        <v>158.0</v>
      </c>
      <c r="B159" s="865" t="s">
        <v>4277</v>
      </c>
      <c r="C159" s="866">
        <f>520800-100000+200000+16000+30000+18000</f>
        <v>684800</v>
      </c>
      <c r="D159" s="878" t="s">
        <v>4158</v>
      </c>
      <c r="E159" s="908">
        <v>45754.0</v>
      </c>
      <c r="F159" s="869" t="s">
        <v>4177</v>
      </c>
    </row>
    <row r="160" ht="17.25" customHeight="1">
      <c r="A160" s="844">
        <v>159.0</v>
      </c>
      <c r="B160" s="837"/>
      <c r="C160" s="847">
        <v>0.0</v>
      </c>
      <c r="D160" s="904"/>
      <c r="E160" s="853"/>
      <c r="F160" s="850"/>
    </row>
    <row r="161" ht="17.25" customHeight="1">
      <c r="A161" s="865">
        <v>160.0</v>
      </c>
      <c r="B161" s="865" t="s">
        <v>4278</v>
      </c>
      <c r="C161" s="866">
        <v>0.0</v>
      </c>
      <c r="D161" s="867" t="s">
        <v>4158</v>
      </c>
      <c r="E161" s="902">
        <v>45754.0</v>
      </c>
      <c r="F161" s="869" t="s">
        <v>4177</v>
      </c>
    </row>
    <row r="162" ht="17.25" customHeight="1">
      <c r="A162" s="875">
        <v>161.0</v>
      </c>
      <c r="B162" s="865" t="s">
        <v>4279</v>
      </c>
      <c r="C162" s="866">
        <f>1098000-150000-90000-60000-60000-100000-80000+300000-58000-100000+90000+140000-40000</f>
        <v>890000</v>
      </c>
      <c r="D162" s="898" t="s">
        <v>4158</v>
      </c>
      <c r="E162" s="868">
        <v>45751.0</v>
      </c>
      <c r="F162" s="869" t="s">
        <v>4177</v>
      </c>
    </row>
    <row r="163" ht="17.25" customHeight="1">
      <c r="A163" s="844">
        <v>162.0</v>
      </c>
      <c r="B163" s="837"/>
      <c r="C163" s="847">
        <v>0.0</v>
      </c>
      <c r="D163" s="860"/>
      <c r="E163" s="853"/>
      <c r="F163" s="850"/>
    </row>
    <row r="164" ht="17.25" customHeight="1">
      <c r="A164" s="844">
        <v>163.0</v>
      </c>
      <c r="B164" s="861"/>
      <c r="C164" s="847">
        <v>0.0</v>
      </c>
      <c r="D164" s="860"/>
      <c r="E164" s="853"/>
      <c r="F164" s="850"/>
    </row>
    <row r="165" ht="17.25" customHeight="1">
      <c r="A165" s="844">
        <v>164.0</v>
      </c>
      <c r="B165" s="837"/>
      <c r="C165" s="847">
        <v>0.0</v>
      </c>
      <c r="D165" s="847"/>
      <c r="E165" s="853"/>
      <c r="F165" s="850"/>
    </row>
    <row r="166" ht="17.25" customHeight="1">
      <c r="A166" s="844">
        <v>165.0</v>
      </c>
      <c r="B166" s="837"/>
      <c r="C166" s="847">
        <v>0.0</v>
      </c>
      <c r="D166" s="860"/>
      <c r="E166" s="853"/>
      <c r="F166" s="850"/>
    </row>
    <row r="167" ht="17.25" customHeight="1">
      <c r="A167" s="909">
        <v>166.0</v>
      </c>
      <c r="B167" s="837"/>
      <c r="C167" s="847">
        <v>0.0</v>
      </c>
      <c r="D167" s="860"/>
      <c r="E167" s="910"/>
      <c r="F167" s="850"/>
    </row>
    <row r="168" ht="17.25" customHeight="1">
      <c r="A168" s="875">
        <v>167.0</v>
      </c>
      <c r="B168" s="865" t="s">
        <v>4280</v>
      </c>
      <c r="C168" s="866">
        <f>708200+26000+44000+62000+10000+7000-300000+7000+7000+17000+44000+5400+9000+9000+5000-300000+1500+1200+4000+38000+24000+45000+4000+98000+14000+36000+200000+4000+100000</f>
        <v>930300</v>
      </c>
      <c r="D168" s="878" t="s">
        <v>4158</v>
      </c>
      <c r="E168" s="879">
        <v>45758.0</v>
      </c>
      <c r="F168" s="869" t="s">
        <v>4177</v>
      </c>
    </row>
    <row r="169" ht="17.25" customHeight="1">
      <c r="A169" s="844">
        <v>168.0</v>
      </c>
      <c r="B169" s="861"/>
      <c r="C169" s="847"/>
      <c r="D169" s="860"/>
      <c r="E169" s="853"/>
      <c r="F169" s="850"/>
    </row>
    <row r="170" ht="17.25" customHeight="1">
      <c r="A170" s="875">
        <v>169.0</v>
      </c>
      <c r="B170" s="911" t="s">
        <v>4281</v>
      </c>
      <c r="C170" s="866">
        <f>218000+18000</f>
        <v>236000</v>
      </c>
      <c r="D170" s="912" t="s">
        <v>4158</v>
      </c>
      <c r="E170" s="879">
        <v>45687.0</v>
      </c>
      <c r="F170" s="869" t="s">
        <v>4177</v>
      </c>
    </row>
    <row r="171" ht="17.25" customHeight="1">
      <c r="A171" s="844">
        <v>170.0</v>
      </c>
      <c r="B171" s="837"/>
      <c r="C171" s="847">
        <v>0.0</v>
      </c>
      <c r="D171" s="847"/>
      <c r="E171" s="853"/>
      <c r="F171" s="850"/>
    </row>
    <row r="172" ht="17.25" customHeight="1">
      <c r="A172" s="890">
        <v>171.0</v>
      </c>
      <c r="B172" s="890" t="s">
        <v>4282</v>
      </c>
      <c r="C172" s="891">
        <f>629700+120000+4000+2000+8000-70000+4000+14000-105000+4000+325000+10000+68000+15000+7000+1000+500</f>
        <v>1037200</v>
      </c>
      <c r="D172" s="905" t="s">
        <v>4283</v>
      </c>
      <c r="E172" s="892">
        <v>45754.0</v>
      </c>
      <c r="F172" s="893" t="s">
        <v>4237</v>
      </c>
    </row>
    <row r="173" ht="17.25" customHeight="1">
      <c r="A173" s="844">
        <v>172.0</v>
      </c>
      <c r="B173" s="837"/>
      <c r="C173" s="847">
        <v>0.0</v>
      </c>
      <c r="D173" s="860"/>
      <c r="E173" s="853"/>
      <c r="F173" s="850"/>
    </row>
    <row r="174" ht="17.25" customHeight="1">
      <c r="A174" s="875">
        <v>173.0</v>
      </c>
      <c r="B174" s="865" t="s">
        <v>4284</v>
      </c>
      <c r="C174" s="866">
        <v>800000.0</v>
      </c>
      <c r="D174" s="867" t="s">
        <v>4158</v>
      </c>
      <c r="E174" s="902">
        <v>45700.0</v>
      </c>
      <c r="F174" s="869" t="s">
        <v>4177</v>
      </c>
    </row>
    <row r="175" ht="17.25" customHeight="1">
      <c r="A175" s="875">
        <v>174.0</v>
      </c>
      <c r="B175" s="865" t="s">
        <v>4285</v>
      </c>
      <c r="C175" s="866">
        <f>376500+14000+41000+20000</f>
        <v>451500</v>
      </c>
      <c r="D175" s="867" t="s">
        <v>4158</v>
      </c>
      <c r="E175" s="902">
        <v>45741.0</v>
      </c>
      <c r="F175" s="869" t="s">
        <v>4177</v>
      </c>
    </row>
    <row r="176" ht="17.25" customHeight="1">
      <c r="A176" s="890">
        <v>175.0</v>
      </c>
      <c r="B176" s="890" t="s">
        <v>4286</v>
      </c>
      <c r="C176" s="891">
        <f>20000+28000+16000+22000+11000+58000+7000+10000+15000+2000+500+1700+12000+25000+14000+22000+32000+7000+4000+24000+10000+16000+4000+24000+500+12000+48000+15000+12000+6000+18000+15000+4000+44000+4000+7000+16000+3000+25000+75000+48000+28000-400000+32000+40000+33000+400+12000+22000+114000+44000+7000+18000+8000+15000+8000+250000+500+8600+3500+115000+300+54000+10000+80000+48000</f>
        <v>1289000</v>
      </c>
      <c r="D176" s="891"/>
      <c r="E176" s="892"/>
      <c r="F176" s="893" t="s">
        <v>4237</v>
      </c>
    </row>
    <row r="177" ht="17.25" customHeight="1">
      <c r="A177" s="890">
        <v>176.0</v>
      </c>
      <c r="B177" s="890" t="s">
        <v>4287</v>
      </c>
      <c r="C177" s="891">
        <v>0.0</v>
      </c>
      <c r="D177" s="905" t="s">
        <v>4158</v>
      </c>
      <c r="E177" s="892">
        <v>45750.0</v>
      </c>
      <c r="F177" s="893" t="s">
        <v>4237</v>
      </c>
    </row>
    <row r="178" ht="17.25" customHeight="1">
      <c r="A178" s="890">
        <v>177.0</v>
      </c>
      <c r="B178" s="890" t="s">
        <v>4288</v>
      </c>
      <c r="C178" s="891">
        <f>1317300+6000+3000+1200+800+27600+5000+3000+3000+33000+800+800+1200+9000+18000+1000+12000+10000+4100+11000+18000+11000+500+29500+8500+10200+500+10000+800+1600+3000+5000+1200+6000+5000+2000+500+10000+4500+1500+45000+1800+1600+400+33000+19000+8000+2400+5000+700+700+18000+3000+3000+1000+2500+5500+8000+3500+4800+200+3000+1000</f>
        <v>1768200</v>
      </c>
      <c r="D178" s="905" t="s">
        <v>4167</v>
      </c>
      <c r="E178" s="892">
        <v>45611.0</v>
      </c>
      <c r="F178" s="893" t="s">
        <v>4237</v>
      </c>
    </row>
    <row r="179" ht="17.25" customHeight="1">
      <c r="A179" s="890">
        <v>178.0</v>
      </c>
      <c r="B179" s="890" t="s">
        <v>4289</v>
      </c>
      <c r="C179" s="891">
        <f>404300+9000+30000+2000+69000+8000+7000+4000+4000+10500+4000+6000+3500+4000+13000+90000+6000+4000+5000</f>
        <v>683300</v>
      </c>
      <c r="D179" s="905" t="s">
        <v>4283</v>
      </c>
      <c r="E179" s="892">
        <v>45734.0</v>
      </c>
      <c r="F179" s="893" t="s">
        <v>4237</v>
      </c>
    </row>
    <row r="180" ht="17.25" customHeight="1">
      <c r="A180" s="844">
        <v>179.0</v>
      </c>
      <c r="B180" s="837"/>
      <c r="C180" s="847">
        <v>0.0</v>
      </c>
      <c r="D180" s="871"/>
      <c r="E180" s="863"/>
      <c r="F180" s="850"/>
    </row>
    <row r="181" ht="17.25" customHeight="1">
      <c r="A181" s="875">
        <v>180.0</v>
      </c>
      <c r="B181" s="865" t="s">
        <v>4290</v>
      </c>
      <c r="C181" s="866">
        <v>0.0</v>
      </c>
      <c r="D181" s="867"/>
      <c r="E181" s="907"/>
      <c r="F181" s="869" t="s">
        <v>4177</v>
      </c>
    </row>
    <row r="182" ht="17.25" customHeight="1">
      <c r="A182" s="875">
        <v>181.0</v>
      </c>
      <c r="B182" s="865" t="s">
        <v>4291</v>
      </c>
      <c r="C182" s="866">
        <v>0.0</v>
      </c>
      <c r="D182" s="867"/>
      <c r="E182" s="868"/>
      <c r="F182" s="869" t="s">
        <v>4177</v>
      </c>
    </row>
    <row r="183" ht="17.25" customHeight="1">
      <c r="A183" s="889">
        <v>182.0</v>
      </c>
      <c r="B183" s="890" t="s">
        <v>4292</v>
      </c>
      <c r="C183" s="891">
        <v>0.0</v>
      </c>
      <c r="D183" s="905"/>
      <c r="E183" s="892">
        <v>45595.0</v>
      </c>
      <c r="F183" s="893" t="s">
        <v>4237</v>
      </c>
    </row>
    <row r="184" ht="17.25" customHeight="1">
      <c r="A184" s="889">
        <v>183.0</v>
      </c>
      <c r="B184" s="890" t="s">
        <v>4293</v>
      </c>
      <c r="C184" s="891">
        <f>267000+75000+38000+5000+38000+36000+36000+36000</f>
        <v>531000</v>
      </c>
      <c r="D184" s="889"/>
      <c r="E184" s="901"/>
      <c r="F184" s="893" t="s">
        <v>4237</v>
      </c>
    </row>
    <row r="185" ht="17.25" customHeight="1">
      <c r="A185" s="889">
        <v>184.0</v>
      </c>
      <c r="B185" s="890" t="s">
        <v>4294</v>
      </c>
      <c r="C185" s="891">
        <f>1148100+1200+6000+1000+2000+22000+1200+1200+600+79000+8000+300+200+1200+12000+15000+14000+72000+9000+359000+7000</f>
        <v>1760000</v>
      </c>
      <c r="D185" s="913" t="s">
        <v>4272</v>
      </c>
      <c r="E185" s="901"/>
      <c r="F185" s="893" t="s">
        <v>4237</v>
      </c>
    </row>
    <row r="186" ht="17.25" customHeight="1">
      <c r="A186" s="875">
        <v>185.0</v>
      </c>
      <c r="B186" s="865" t="s">
        <v>4295</v>
      </c>
      <c r="C186" s="866">
        <v>0.0</v>
      </c>
      <c r="D186" s="867"/>
      <c r="E186" s="873"/>
      <c r="F186" s="869" t="s">
        <v>4177</v>
      </c>
    </row>
    <row r="187" ht="17.25" customHeight="1">
      <c r="A187" s="875">
        <v>186.0</v>
      </c>
      <c r="B187" s="865" t="s">
        <v>4296</v>
      </c>
      <c r="C187" s="866">
        <f>2415500-63000-84000+5000+75000+85000+28000+290000-530000+870000+48000+165000+18000+48000+2000+130000-1000000+5000+20000+10000+180000+290000-1500000+10000+24000+110000+7000+359000+20000+22000+12000+20000+38000+180000+130000-1000000+20000</f>
        <v>1459500</v>
      </c>
      <c r="D187" s="867" t="s">
        <v>4158</v>
      </c>
      <c r="E187" s="902">
        <v>45735.0</v>
      </c>
      <c r="F187" s="869" t="s">
        <v>4177</v>
      </c>
    </row>
    <row r="188" ht="17.25" customHeight="1">
      <c r="A188" s="875">
        <v>187.0</v>
      </c>
      <c r="B188" s="865" t="s">
        <v>4297</v>
      </c>
      <c r="C188" s="866">
        <f>361000+9000+300+16000+26000+15000+220000+120000+3000+15000+68000+325000+48000+16000+4000-600000-300000+15000+15000+14000+14000</f>
        <v>404300</v>
      </c>
      <c r="D188" s="867" t="s">
        <v>4158</v>
      </c>
      <c r="E188" s="879">
        <v>45748.0</v>
      </c>
      <c r="F188" s="869" t="s">
        <v>4177</v>
      </c>
    </row>
    <row r="189" ht="17.25" customHeight="1">
      <c r="A189" s="875">
        <v>188.0</v>
      </c>
      <c r="B189" s="865" t="s">
        <v>4298</v>
      </c>
      <c r="C189" s="866">
        <f>590000+72000+45000+270000+100000+140000+70000+36000+80000+28000+14000+44000+12000+35000+16000-500000</f>
        <v>1052000</v>
      </c>
      <c r="D189" s="867" t="s">
        <v>4158</v>
      </c>
      <c r="E189" s="879">
        <v>45719.0</v>
      </c>
      <c r="F189" s="869" t="s">
        <v>4177</v>
      </c>
    </row>
    <row r="190" ht="17.25" customHeight="1">
      <c r="A190" s="875">
        <v>189.0</v>
      </c>
      <c r="B190" s="865" t="s">
        <v>4299</v>
      </c>
      <c r="C190" s="866">
        <f>1075000+38000+4000+10000+75000-500000+25000+18000+4800+35000+45000+20000+42000+52000+35000+18000+24000+2000+12000+11000+270000+48000+36000+5000</f>
        <v>1404800</v>
      </c>
      <c r="D190" s="867" t="s">
        <v>4158</v>
      </c>
      <c r="E190" s="902">
        <v>45731.0</v>
      </c>
      <c r="F190" s="869" t="s">
        <v>4177</v>
      </c>
    </row>
    <row r="191" ht="17.25" customHeight="1">
      <c r="A191" s="889">
        <v>190.0</v>
      </c>
      <c r="B191" s="890" t="s">
        <v>4300</v>
      </c>
      <c r="C191" s="891">
        <v>57000.0</v>
      </c>
      <c r="D191" s="913" t="s">
        <v>4283</v>
      </c>
      <c r="E191" s="901">
        <v>45748.0</v>
      </c>
      <c r="F191" s="893" t="s">
        <v>4237</v>
      </c>
    </row>
    <row r="192" ht="17.25" customHeight="1">
      <c r="A192" s="844">
        <v>191.0</v>
      </c>
      <c r="B192" s="837"/>
      <c r="C192" s="847">
        <v>0.0</v>
      </c>
      <c r="D192" s="860"/>
      <c r="E192" s="853"/>
      <c r="F192" s="850"/>
    </row>
    <row r="193" ht="17.25" customHeight="1">
      <c r="A193" s="875">
        <v>192.0</v>
      </c>
      <c r="B193" s="865" t="s">
        <v>4301</v>
      </c>
      <c r="C193" s="914">
        <f>1581000+52000+13000+32000+280000+20000+48000+32000+80000+14000+58000+25000+21000+100000+16000+35000-1000000</f>
        <v>1407000</v>
      </c>
      <c r="D193" s="867" t="s">
        <v>4158</v>
      </c>
      <c r="E193" s="879">
        <v>45724.0</v>
      </c>
      <c r="F193" s="869" t="s">
        <v>4177</v>
      </c>
    </row>
    <row r="194" ht="17.25" customHeight="1">
      <c r="A194" s="889">
        <v>193.0</v>
      </c>
      <c r="B194" s="890" t="s">
        <v>4302</v>
      </c>
      <c r="C194" s="891">
        <f>120000+9000+65000+60000+7000+5000+20000+10000+32000+4000+90000+32000+26000+120000+4000+6000+58000+42000+15000+24000+110000-200000+54000+17000-8000+18000+30000+3000+9000+240000+120000+18000+2500+5000+6000+10000+5000+18000+5000+270000-400000+12000+9000+6000+15000+5000+18000+130000+7500+205000+18000+66000+85000+98000+5000+305000-1250000</f>
        <v>816000</v>
      </c>
      <c r="D194" s="905" t="s">
        <v>4158</v>
      </c>
      <c r="E194" s="892">
        <v>45731.0</v>
      </c>
      <c r="F194" s="893" t="s">
        <v>4237</v>
      </c>
    </row>
    <row r="195" ht="17.25" customHeight="1">
      <c r="A195" s="875">
        <v>194.0</v>
      </c>
      <c r="B195" s="865" t="s">
        <v>4303</v>
      </c>
      <c r="C195" s="866">
        <f>380800+22000+18000+38000+36000-200000+18000+18000+27000+39000+72000+14000+14000+18000+140000+6000+4000+30000</f>
        <v>694800</v>
      </c>
      <c r="D195" s="867" t="s">
        <v>4158</v>
      </c>
      <c r="E195" s="902">
        <v>45731.0</v>
      </c>
      <c r="F195" s="869" t="s">
        <v>4177</v>
      </c>
    </row>
    <row r="196" ht="17.25" customHeight="1">
      <c r="A196" s="872">
        <v>195.0</v>
      </c>
      <c r="B196" s="865" t="s">
        <v>4304</v>
      </c>
      <c r="C196" s="866">
        <f>1955800-500000-400000-400000</f>
        <v>655800</v>
      </c>
      <c r="D196" s="867" t="s">
        <v>4158</v>
      </c>
      <c r="E196" s="902">
        <v>45747.0</v>
      </c>
      <c r="F196" s="869" t="s">
        <v>4177</v>
      </c>
    </row>
    <row r="197" ht="17.25" customHeight="1">
      <c r="A197" s="857">
        <v>196.0</v>
      </c>
      <c r="B197" s="837" t="s">
        <v>4305</v>
      </c>
      <c r="C197" s="847">
        <f>655000+32000+10000+13000</f>
        <v>710000</v>
      </c>
      <c r="D197" s="860"/>
      <c r="E197" s="853"/>
      <c r="F197" s="850"/>
    </row>
    <row r="198" ht="18.75" customHeight="1">
      <c r="A198" s="872">
        <v>197.0</v>
      </c>
      <c r="B198" s="865" t="s">
        <v>4306</v>
      </c>
      <c r="C198" s="866">
        <v>0.0</v>
      </c>
      <c r="D198" s="867"/>
      <c r="E198" s="868"/>
      <c r="F198" s="869" t="s">
        <v>4177</v>
      </c>
    </row>
    <row r="199" ht="18.75" customHeight="1">
      <c r="A199" s="897">
        <v>198.0</v>
      </c>
      <c r="B199" s="865" t="s">
        <v>4307</v>
      </c>
      <c r="C199" s="866">
        <v>0.0</v>
      </c>
      <c r="D199" s="867"/>
      <c r="E199" s="868"/>
      <c r="F199" s="869" t="s">
        <v>4177</v>
      </c>
    </row>
    <row r="200" ht="18.75" customHeight="1">
      <c r="A200" s="875">
        <v>199.0</v>
      </c>
      <c r="B200" s="865" t="s">
        <v>4308</v>
      </c>
      <c r="C200" s="866">
        <f>1092000+22000+12000+120000+22000+50000+4000-500000+120000+52000+13000+12000+18000+55000+270000+21000+14000+24000+110000+42000+4000+124000-800000+294000+294000-947000</f>
        <v>542000</v>
      </c>
      <c r="D200" s="867" t="s">
        <v>4158</v>
      </c>
      <c r="E200" s="868">
        <v>45756.0</v>
      </c>
      <c r="F200" s="869" t="s">
        <v>4177</v>
      </c>
    </row>
    <row r="201" ht="16.5" customHeight="1">
      <c r="A201" s="857">
        <v>200.0</v>
      </c>
      <c r="B201" s="837" t="s">
        <v>4309</v>
      </c>
      <c r="C201" s="847">
        <f>762000+9000+8000+205000-200000+54000+3000</f>
        <v>841000</v>
      </c>
      <c r="D201" s="860"/>
      <c r="E201" s="853"/>
      <c r="F201" s="850"/>
    </row>
    <row r="202" ht="18.75" customHeight="1">
      <c r="A202" s="915"/>
      <c r="B202" s="916" t="s">
        <v>4310</v>
      </c>
      <c r="C202" s="917">
        <f>SUM(C1:C200)</f>
        <v>107738040</v>
      </c>
      <c r="D202" s="847"/>
      <c r="E202" s="853"/>
      <c r="F202" s="862"/>
    </row>
  </sheetData>
  <autoFilter ref="$A$1:$F$202">
    <sortState ref="A1:F202">
      <sortCondition ref="A1:A202"/>
      <sortCondition descending="1" ref="C1:C202"/>
      <sortCondition descending="1" ref="B1:B202"/>
    </sortState>
  </autoFilter>
  <conditionalFormatting sqref="A126:B126 E126">
    <cfRule type="notContainsBlanks" dxfId="0" priority="1">
      <formula>LEN(TRIM(A126))&gt;0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0.88"/>
    <col customWidth="1" min="2" max="2" width="25.75"/>
    <col customWidth="1" min="3" max="4" width="20.38"/>
    <col customWidth="1" min="5" max="5" width="11.0"/>
    <col customWidth="1" min="6" max="6" width="11.75"/>
    <col customWidth="1" min="7" max="7" width="25.13"/>
    <col customWidth="1" min="8" max="8" width="24.38"/>
    <col customWidth="1" min="9" max="9" width="1.75"/>
    <col customWidth="1" min="10" max="10" width="17.75"/>
  </cols>
  <sheetData>
    <row r="1">
      <c r="A1" s="918" t="s">
        <v>328</v>
      </c>
      <c r="B1" s="919" t="s">
        <v>4311</v>
      </c>
      <c r="C1" s="421"/>
      <c r="D1" s="421" t="s">
        <v>4312</v>
      </c>
      <c r="E1" s="920" t="s">
        <v>4313</v>
      </c>
      <c r="F1" s="921" t="s">
        <v>2823</v>
      </c>
      <c r="G1" s="922"/>
      <c r="H1" s="923" t="s">
        <v>4314</v>
      </c>
      <c r="I1" s="924"/>
      <c r="J1" s="924"/>
    </row>
    <row r="2">
      <c r="A2" s="925" t="s">
        <v>4315</v>
      </c>
      <c r="B2" s="926" t="s">
        <v>4316</v>
      </c>
      <c r="C2" s="927" t="s">
        <v>4317</v>
      </c>
      <c r="D2" s="927" t="s">
        <v>4318</v>
      </c>
      <c r="E2" s="928">
        <f>4726000-1000000-2700000-200000-200000</f>
        <v>626000</v>
      </c>
      <c r="F2" s="929">
        <f>SUM(E2)</f>
        <v>626000</v>
      </c>
      <c r="G2" s="930">
        <v>45275.0</v>
      </c>
      <c r="H2" s="931" t="s">
        <v>4319</v>
      </c>
      <c r="I2" s="932"/>
      <c r="J2" s="932" t="s">
        <v>4320</v>
      </c>
    </row>
    <row r="3">
      <c r="A3" s="933"/>
      <c r="B3" s="852"/>
      <c r="C3" s="934"/>
      <c r="D3" s="934"/>
      <c r="E3" s="935"/>
      <c r="F3" s="936"/>
      <c r="G3" s="937"/>
      <c r="H3" s="938"/>
      <c r="I3" s="939"/>
      <c r="J3" s="371"/>
    </row>
    <row r="4">
      <c r="A4" s="940" t="s">
        <v>4321</v>
      </c>
      <c r="B4" s="830" t="s">
        <v>4322</v>
      </c>
      <c r="C4" s="941"/>
      <c r="D4" s="941" t="s">
        <v>4323</v>
      </c>
      <c r="E4" s="941">
        <v>552100.0</v>
      </c>
      <c r="F4" s="942"/>
      <c r="G4" s="943" t="s">
        <v>4324</v>
      </c>
      <c r="H4" s="944" t="s">
        <v>4325</v>
      </c>
      <c r="I4" s="932" t="s">
        <v>4326</v>
      </c>
      <c r="J4" s="932" t="s">
        <v>4135</v>
      </c>
    </row>
    <row r="5">
      <c r="A5" s="940" t="s">
        <v>4321</v>
      </c>
      <c r="B5" s="830" t="s">
        <v>4327</v>
      </c>
      <c r="C5" s="941"/>
      <c r="D5" s="941" t="s">
        <v>4328</v>
      </c>
      <c r="E5" s="941">
        <f>3118100-500000</f>
        <v>2618100</v>
      </c>
      <c r="F5" s="942"/>
      <c r="G5" s="943" t="s">
        <v>4324</v>
      </c>
      <c r="H5" s="944" t="s">
        <v>4329</v>
      </c>
      <c r="I5" s="932"/>
      <c r="J5" s="932" t="s">
        <v>4125</v>
      </c>
    </row>
    <row r="6">
      <c r="A6" s="940" t="s">
        <v>4321</v>
      </c>
      <c r="B6" s="830" t="s">
        <v>4330</v>
      </c>
      <c r="C6" s="941" t="s">
        <v>4317</v>
      </c>
      <c r="D6" s="941" t="s">
        <v>4328</v>
      </c>
      <c r="E6" s="941">
        <f>962000-100000</f>
        <v>862000</v>
      </c>
      <c r="F6" s="942">
        <f>SUM(E4:E6)</f>
        <v>4032200</v>
      </c>
      <c r="G6" s="943" t="s">
        <v>4331</v>
      </c>
      <c r="H6" s="945" t="s">
        <v>4332</v>
      </c>
      <c r="I6" s="946"/>
      <c r="J6" s="924" t="s">
        <v>4115</v>
      </c>
    </row>
    <row r="7">
      <c r="A7" s="918"/>
      <c r="B7" s="837"/>
      <c r="C7" s="947"/>
      <c r="D7" s="947"/>
      <c r="E7" s="947"/>
      <c r="F7" s="948"/>
      <c r="G7" s="949"/>
      <c r="H7" s="422"/>
      <c r="I7" s="939"/>
      <c r="J7" s="939"/>
    </row>
    <row r="8">
      <c r="A8" s="950" t="s">
        <v>4333</v>
      </c>
      <c r="B8" s="834" t="s">
        <v>4334</v>
      </c>
      <c r="C8" s="951"/>
      <c r="D8" s="951" t="s">
        <v>4323</v>
      </c>
      <c r="E8" s="952">
        <v>2398100.0</v>
      </c>
      <c r="F8" s="953"/>
      <c r="G8" s="954" t="s">
        <v>4324</v>
      </c>
      <c r="H8" s="951" t="s">
        <v>4335</v>
      </c>
      <c r="I8" s="932"/>
      <c r="J8" s="932" t="s">
        <v>4115</v>
      </c>
    </row>
    <row r="9">
      <c r="A9" s="950" t="s">
        <v>4333</v>
      </c>
      <c r="B9" s="955" t="s">
        <v>4336</v>
      </c>
      <c r="C9" s="951"/>
      <c r="D9" s="951" t="s">
        <v>4337</v>
      </c>
      <c r="E9" s="952">
        <v>3022900.0</v>
      </c>
      <c r="F9" s="953"/>
      <c r="G9" s="954" t="s">
        <v>4324</v>
      </c>
      <c r="H9" s="951" t="s">
        <v>4338</v>
      </c>
      <c r="I9" s="932"/>
      <c r="J9" s="932" t="s">
        <v>4135</v>
      </c>
    </row>
    <row r="10">
      <c r="A10" s="950" t="s">
        <v>4333</v>
      </c>
      <c r="B10" s="834" t="s">
        <v>4339</v>
      </c>
      <c r="C10" s="951"/>
      <c r="D10" s="951" t="s">
        <v>4323</v>
      </c>
      <c r="E10" s="952">
        <v>610300.0</v>
      </c>
      <c r="F10" s="956"/>
      <c r="G10" s="957">
        <v>45278.0</v>
      </c>
      <c r="H10" s="951" t="s">
        <v>4340</v>
      </c>
      <c r="I10" s="932" t="s">
        <v>340</v>
      </c>
      <c r="J10" s="932" t="s">
        <v>4115</v>
      </c>
    </row>
    <row r="11">
      <c r="A11" s="950"/>
      <c r="B11" s="834"/>
      <c r="C11" s="958"/>
      <c r="D11" s="958"/>
      <c r="E11" s="952"/>
      <c r="F11" s="953">
        <f>SUM(E8:E10)</f>
        <v>6031300</v>
      </c>
      <c r="G11" s="959"/>
      <c r="H11" s="951"/>
      <c r="I11" s="932"/>
      <c r="J11" s="932"/>
    </row>
    <row r="12">
      <c r="A12" s="933"/>
      <c r="B12" s="852"/>
      <c r="C12" s="513"/>
      <c r="D12" s="513"/>
      <c r="E12" s="935"/>
      <c r="F12" s="936"/>
      <c r="G12" s="937"/>
      <c r="H12" s="513"/>
      <c r="I12" s="932"/>
      <c r="J12" s="932"/>
    </row>
    <row r="13">
      <c r="A13" s="960" t="s">
        <v>4341</v>
      </c>
      <c r="B13" s="961" t="s">
        <v>4342</v>
      </c>
      <c r="C13" s="962"/>
      <c r="D13" s="962"/>
      <c r="E13" s="963">
        <v>1974400.0</v>
      </c>
      <c r="F13" s="964"/>
      <c r="G13" s="965" t="s">
        <v>4324</v>
      </c>
      <c r="H13" s="965" t="s">
        <v>4343</v>
      </c>
      <c r="I13" s="966"/>
      <c r="J13" s="966" t="s">
        <v>4115</v>
      </c>
    </row>
    <row r="14">
      <c r="A14" s="960" t="s">
        <v>4341</v>
      </c>
      <c r="B14" s="961" t="s">
        <v>4344</v>
      </c>
      <c r="C14" s="967" t="s">
        <v>4317</v>
      </c>
      <c r="D14" s="962"/>
      <c r="E14" s="963">
        <f>6728800-1000000-200000-100000-100000-100000-100000</f>
        <v>5128800</v>
      </c>
      <c r="F14" s="964"/>
      <c r="G14" s="968" t="s">
        <v>4345</v>
      </c>
      <c r="H14" s="968"/>
      <c r="I14" s="969"/>
      <c r="J14" s="969"/>
    </row>
    <row r="15">
      <c r="A15" s="960" t="s">
        <v>4341</v>
      </c>
      <c r="B15" s="961" t="s">
        <v>4346</v>
      </c>
      <c r="C15" s="962"/>
      <c r="D15" s="962"/>
      <c r="E15" s="963">
        <v>1851800.0</v>
      </c>
      <c r="F15" s="964"/>
      <c r="G15" s="970" t="s">
        <v>4347</v>
      </c>
      <c r="H15" s="970" t="s">
        <v>4348</v>
      </c>
      <c r="I15" s="971"/>
      <c r="J15" s="971" t="s">
        <v>4115</v>
      </c>
    </row>
    <row r="16">
      <c r="A16" s="918"/>
      <c r="B16" s="837"/>
      <c r="C16" s="421"/>
      <c r="D16" s="421"/>
      <c r="E16" s="920"/>
      <c r="F16" s="972"/>
      <c r="G16" s="973"/>
      <c r="H16" s="974"/>
      <c r="I16" s="975"/>
      <c r="J16" s="975"/>
    </row>
    <row r="17">
      <c r="A17" s="976" t="s">
        <v>4349</v>
      </c>
      <c r="B17" s="977" t="s">
        <v>4350</v>
      </c>
      <c r="C17" s="978" t="s">
        <v>4317</v>
      </c>
      <c r="D17" s="979"/>
      <c r="E17" s="980">
        <f>2248800-700000-200000-100000-100000</f>
        <v>1148800</v>
      </c>
      <c r="F17" s="981"/>
      <c r="G17" s="982" t="s">
        <v>4351</v>
      </c>
      <c r="H17" s="983"/>
      <c r="I17" s="975"/>
      <c r="J17" s="975" t="s">
        <v>4115</v>
      </c>
    </row>
    <row r="18">
      <c r="A18" s="976" t="s">
        <v>4349</v>
      </c>
      <c r="B18" s="977" t="s">
        <v>4352</v>
      </c>
      <c r="C18" s="979"/>
      <c r="D18" s="979"/>
      <c r="E18" s="980">
        <f>564700-100000</f>
        <v>464700</v>
      </c>
      <c r="F18" s="981"/>
      <c r="G18" s="982" t="s">
        <v>4353</v>
      </c>
      <c r="H18" s="983"/>
      <c r="I18" s="975"/>
      <c r="J18" s="975" t="s">
        <v>4115</v>
      </c>
    </row>
    <row r="19">
      <c r="A19" s="976" t="s">
        <v>4349</v>
      </c>
      <c r="B19" s="984" t="s">
        <v>4354</v>
      </c>
      <c r="C19" s="979"/>
      <c r="D19" s="979"/>
      <c r="E19" s="980">
        <f>943100-20000-20000-30000-25000-30000-40000-20000-36000</f>
        <v>722100</v>
      </c>
      <c r="F19" s="981"/>
      <c r="G19" s="982" t="s">
        <v>4355</v>
      </c>
      <c r="H19" s="983"/>
      <c r="I19" s="975"/>
      <c r="J19" s="975" t="s">
        <v>4356</v>
      </c>
    </row>
    <row r="20">
      <c r="A20" s="976" t="s">
        <v>4349</v>
      </c>
      <c r="B20" s="985" t="s">
        <v>4357</v>
      </c>
      <c r="C20" s="979"/>
      <c r="D20" s="979"/>
      <c r="E20" s="980">
        <v>528000.0</v>
      </c>
      <c r="F20" s="981"/>
      <c r="G20" s="982"/>
      <c r="H20" s="983"/>
      <c r="I20" s="975"/>
      <c r="J20" s="975" t="s">
        <v>4358</v>
      </c>
    </row>
    <row r="21">
      <c r="A21" s="918"/>
      <c r="B21" s="837"/>
      <c r="C21" s="421"/>
      <c r="D21" s="421"/>
      <c r="E21" s="947"/>
      <c r="F21" s="986">
        <f>SUM(E17:E21)</f>
        <v>2863600</v>
      </c>
      <c r="G21" s="987"/>
      <c r="H21" s="974"/>
      <c r="I21" s="975"/>
      <c r="J21" s="975"/>
    </row>
    <row r="22">
      <c r="A22" s="988" t="s">
        <v>4359</v>
      </c>
      <c r="B22" s="830" t="s">
        <v>4360</v>
      </c>
      <c r="C22" s="465"/>
      <c r="D22" s="465" t="s">
        <v>4361</v>
      </c>
      <c r="E22" s="989">
        <f>2283900-400000</f>
        <v>1883900</v>
      </c>
      <c r="F22" s="990"/>
      <c r="G22" s="991" t="s">
        <v>4362</v>
      </c>
      <c r="H22" s="992"/>
      <c r="I22" s="993"/>
      <c r="J22" s="993"/>
    </row>
    <row r="23">
      <c r="A23" s="988" t="s">
        <v>4359</v>
      </c>
      <c r="B23" s="830" t="s">
        <v>4363</v>
      </c>
      <c r="C23" s="465"/>
      <c r="D23" s="465" t="s">
        <v>4361</v>
      </c>
      <c r="E23" s="989">
        <f>689100-400000-100000</f>
        <v>189100</v>
      </c>
      <c r="F23" s="990"/>
      <c r="G23" s="991" t="s">
        <v>4364</v>
      </c>
      <c r="H23" s="991" t="s">
        <v>4365</v>
      </c>
      <c r="I23" s="993"/>
      <c r="J23" s="993"/>
    </row>
    <row r="24">
      <c r="A24" s="988" t="s">
        <v>4359</v>
      </c>
      <c r="B24" s="830" t="s">
        <v>4366</v>
      </c>
      <c r="C24" s="465"/>
      <c r="D24" s="465"/>
      <c r="E24" s="989">
        <f>958300-400000-240000-150000</f>
        <v>168300</v>
      </c>
      <c r="F24" s="990"/>
      <c r="G24" s="991" t="s">
        <v>4367</v>
      </c>
      <c r="H24" s="994" t="s">
        <v>4368</v>
      </c>
      <c r="I24" s="993"/>
      <c r="J24" s="993"/>
    </row>
    <row r="25">
      <c r="A25" s="988" t="s">
        <v>4359</v>
      </c>
      <c r="B25" s="830" t="s">
        <v>4369</v>
      </c>
      <c r="C25" s="465"/>
      <c r="D25" s="465"/>
      <c r="E25" s="989">
        <f>1542400-543000</f>
        <v>999400</v>
      </c>
      <c r="F25" s="990"/>
      <c r="G25" s="991" t="s">
        <v>4370</v>
      </c>
      <c r="H25" s="995">
        <v>45489.0</v>
      </c>
      <c r="I25" s="993"/>
      <c r="J25" s="993"/>
    </row>
    <row r="26">
      <c r="A26" s="988" t="s">
        <v>4359</v>
      </c>
      <c r="B26" s="830" t="s">
        <v>4371</v>
      </c>
      <c r="C26" s="465"/>
      <c r="D26" s="465"/>
      <c r="E26" s="989">
        <f>514600+90000</f>
        <v>604600</v>
      </c>
      <c r="F26" s="990"/>
      <c r="G26" s="996" t="s">
        <v>4372</v>
      </c>
      <c r="H26" s="997" t="s">
        <v>4324</v>
      </c>
      <c r="I26" s="993"/>
      <c r="J26" s="993"/>
    </row>
    <row r="27">
      <c r="A27" s="988" t="s">
        <v>4359</v>
      </c>
      <c r="B27" s="830" t="s">
        <v>4373</v>
      </c>
      <c r="C27" s="465"/>
      <c r="D27" s="465"/>
      <c r="E27" s="989">
        <f>1317400+90000-800000</f>
        <v>607400</v>
      </c>
      <c r="F27" s="990"/>
      <c r="G27" s="995" t="s">
        <v>4374</v>
      </c>
      <c r="H27" s="995">
        <v>45492.0</v>
      </c>
      <c r="I27" s="993"/>
      <c r="J27" s="993"/>
    </row>
    <row r="28">
      <c r="A28" s="988"/>
      <c r="B28" s="998"/>
      <c r="C28" s="465"/>
      <c r="D28" s="465"/>
      <c r="E28" s="989"/>
      <c r="F28" s="990"/>
      <c r="G28" s="991"/>
      <c r="H28" s="999"/>
      <c r="I28" s="993"/>
      <c r="J28" s="993"/>
    </row>
    <row r="29">
      <c r="A29" s="988" t="s">
        <v>4359</v>
      </c>
      <c r="B29" s="830" t="s">
        <v>4375</v>
      </c>
      <c r="C29" s="465"/>
      <c r="D29" s="465" t="s">
        <v>4361</v>
      </c>
      <c r="E29" s="989">
        <f>3235500-550000-500000-500000</f>
        <v>1685500</v>
      </c>
      <c r="F29" s="990"/>
      <c r="G29" s="991" t="s">
        <v>4376</v>
      </c>
      <c r="H29" s="992">
        <v>45478.0</v>
      </c>
      <c r="I29" s="993"/>
      <c r="J29" s="993"/>
    </row>
    <row r="30">
      <c r="A30" s="988" t="s">
        <v>4359</v>
      </c>
      <c r="B30" s="830" t="s">
        <v>4377</v>
      </c>
      <c r="C30" s="465"/>
      <c r="D30" s="465" t="s">
        <v>4361</v>
      </c>
      <c r="E30" s="989">
        <f>639700-150000-100000-100000</f>
        <v>289700</v>
      </c>
      <c r="F30" s="990"/>
      <c r="G30" s="991" t="s">
        <v>4378</v>
      </c>
      <c r="H30" s="1000"/>
      <c r="I30" s="993"/>
      <c r="J30" s="993"/>
    </row>
    <row r="31">
      <c r="A31" s="918" t="s">
        <v>4379</v>
      </c>
      <c r="B31" s="1001" t="s">
        <v>4380</v>
      </c>
      <c r="C31" s="421"/>
      <c r="D31" s="421"/>
      <c r="E31" s="847">
        <f>2165300+3200+3500-1000000+2000+7000+3000+3500+145000-800000-100000-50000</f>
        <v>382500</v>
      </c>
      <c r="F31" s="972"/>
      <c r="G31" s="987"/>
      <c r="H31" s="974"/>
      <c r="I31" s="975"/>
      <c r="J31" s="975"/>
    </row>
    <row r="32">
      <c r="A32" s="918" t="s">
        <v>4379</v>
      </c>
      <c r="B32" s="1001" t="s">
        <v>4381</v>
      </c>
      <c r="C32" s="421"/>
      <c r="D32" s="421"/>
      <c r="E32" s="1002">
        <f>1989500+88000+55000+125000+105000</f>
        <v>2362500</v>
      </c>
      <c r="F32" s="972"/>
      <c r="G32" s="987"/>
      <c r="H32" s="974"/>
      <c r="I32" s="975"/>
      <c r="J32" s="975"/>
    </row>
    <row r="33">
      <c r="A33" s="918" t="s">
        <v>4379</v>
      </c>
      <c r="B33" s="1001" t="s">
        <v>4164</v>
      </c>
      <c r="C33" s="421"/>
      <c r="D33" s="421"/>
      <c r="E33" s="847">
        <f>1644800-350000-300000-130000</f>
        <v>864800</v>
      </c>
      <c r="F33" s="972"/>
      <c r="G33" s="987"/>
      <c r="H33" s="974"/>
      <c r="I33" s="975"/>
      <c r="J33" s="975"/>
    </row>
    <row r="34">
      <c r="A34" s="918"/>
      <c r="B34" s="1001"/>
      <c r="C34" s="421"/>
      <c r="D34" s="421"/>
      <c r="E34" s="847"/>
      <c r="F34" s="972"/>
      <c r="G34" s="987"/>
      <c r="H34" s="974"/>
      <c r="I34" s="975"/>
      <c r="J34" s="975"/>
    </row>
    <row r="35">
      <c r="A35" s="918" t="s">
        <v>4379</v>
      </c>
      <c r="B35" s="1001" t="s">
        <v>4382</v>
      </c>
      <c r="C35" s="421"/>
      <c r="D35" s="421"/>
      <c r="E35" s="847">
        <f>1000000-200000-700000</f>
        <v>100000</v>
      </c>
      <c r="F35" s="972"/>
      <c r="G35" s="987"/>
      <c r="H35" s="974"/>
      <c r="I35" s="975"/>
      <c r="J35" s="975"/>
    </row>
    <row r="36">
      <c r="A36" s="918" t="s">
        <v>4379</v>
      </c>
      <c r="B36" s="1001" t="s">
        <v>4383</v>
      </c>
      <c r="C36" s="421"/>
      <c r="D36" s="421"/>
      <c r="E36" s="847">
        <f>2596500-500000-800000+865000-500000-300000-500000-200000-300000</f>
        <v>361500</v>
      </c>
      <c r="F36" s="972"/>
      <c r="G36" s="987"/>
      <c r="H36" s="974"/>
      <c r="I36" s="975"/>
      <c r="J36" s="975"/>
    </row>
    <row r="37">
      <c r="A37" s="918" t="s">
        <v>4379</v>
      </c>
      <c r="B37" s="1001" t="s">
        <v>4226</v>
      </c>
      <c r="C37" s="421"/>
      <c r="D37" s="421"/>
      <c r="E37" s="847">
        <v>108800.0</v>
      </c>
      <c r="F37" s="972"/>
      <c r="G37" s="987"/>
      <c r="H37" s="974"/>
      <c r="I37" s="975"/>
      <c r="J37" s="975"/>
    </row>
    <row r="38">
      <c r="A38" s="918" t="s">
        <v>4379</v>
      </c>
      <c r="B38" s="1001" t="s">
        <v>4384</v>
      </c>
      <c r="C38" s="421"/>
      <c r="D38" s="421"/>
      <c r="E38" s="847">
        <f>2788700+1090000-1000000-400000-600000</f>
        <v>1878700</v>
      </c>
      <c r="F38" s="972"/>
      <c r="G38" s="987"/>
      <c r="H38" s="974"/>
      <c r="I38" s="975"/>
      <c r="J38" s="975"/>
    </row>
    <row r="39">
      <c r="A39" s="918"/>
      <c r="B39" s="1001"/>
      <c r="C39" s="421"/>
      <c r="D39" s="421"/>
      <c r="E39" s="847"/>
      <c r="F39" s="972"/>
      <c r="G39" s="987"/>
      <c r="H39" s="974"/>
      <c r="I39" s="975"/>
      <c r="J39" s="975"/>
    </row>
    <row r="40">
      <c r="A40" s="918" t="s">
        <v>4379</v>
      </c>
      <c r="B40" s="1001" t="s">
        <v>4385</v>
      </c>
      <c r="C40" s="421"/>
      <c r="D40" s="421"/>
      <c r="E40" s="847">
        <f>2059400-150000-200000-209400-200000-200000-200000-200000-100000-400000+70000</f>
        <v>270000</v>
      </c>
      <c r="F40" s="972"/>
      <c r="G40" s="987"/>
      <c r="H40" s="974"/>
      <c r="I40" s="975"/>
      <c r="J40" s="975"/>
    </row>
    <row r="41">
      <c r="A41" s="918" t="s">
        <v>4379</v>
      </c>
      <c r="B41" s="837" t="s">
        <v>4386</v>
      </c>
      <c r="C41" s="421"/>
      <c r="D41" s="421" t="s">
        <v>4387</v>
      </c>
      <c r="E41" s="847">
        <f>3336000-500000-500000</f>
        <v>2336000</v>
      </c>
      <c r="F41" s="972"/>
      <c r="G41" s="987"/>
      <c r="H41" s="974"/>
      <c r="I41" s="975"/>
      <c r="J41" s="975"/>
    </row>
    <row r="42">
      <c r="A42" s="918"/>
      <c r="B42" s="1001"/>
      <c r="C42" s="421"/>
      <c r="D42" s="421"/>
      <c r="E42" s="847"/>
      <c r="F42" s="1003"/>
      <c r="G42" s="987"/>
      <c r="H42" s="974"/>
      <c r="I42" s="975"/>
      <c r="J42" s="975"/>
    </row>
    <row r="43">
      <c r="A43" s="1004" t="s">
        <v>4388</v>
      </c>
      <c r="B43" s="1005" t="s">
        <v>4389</v>
      </c>
      <c r="C43" s="473"/>
      <c r="D43" s="473" t="s">
        <v>4390</v>
      </c>
      <c r="E43" s="1006">
        <f>1850000-500000</f>
        <v>1350000</v>
      </c>
      <c r="F43" s="1007"/>
      <c r="G43" s="1008"/>
      <c r="H43" s="1009"/>
      <c r="I43" s="975"/>
      <c r="J43" s="975" t="s">
        <v>4115</v>
      </c>
    </row>
    <row r="44">
      <c r="A44" s="1004" t="s">
        <v>4388</v>
      </c>
      <c r="B44" s="1005" t="s">
        <v>4391</v>
      </c>
      <c r="C44" s="473"/>
      <c r="D44" s="473" t="s">
        <v>4390</v>
      </c>
      <c r="E44" s="1006">
        <v>932500.0</v>
      </c>
      <c r="F44" s="1010"/>
      <c r="G44" s="1008"/>
      <c r="H44" s="1011"/>
      <c r="I44" s="1012"/>
      <c r="J44" s="1013" t="s">
        <v>4115</v>
      </c>
    </row>
    <row r="45">
      <c r="A45" s="1004" t="s">
        <v>4388</v>
      </c>
      <c r="B45" s="1005" t="s">
        <v>4392</v>
      </c>
      <c r="C45" s="473"/>
      <c r="D45" s="473" t="s">
        <v>4390</v>
      </c>
      <c r="E45" s="1006">
        <f>1983000-500000-500000</f>
        <v>983000</v>
      </c>
      <c r="F45" s="1014"/>
      <c r="G45" s="1015"/>
      <c r="H45" s="1016"/>
      <c r="I45" s="966"/>
      <c r="J45" s="966" t="s">
        <v>4115</v>
      </c>
    </row>
    <row r="46">
      <c r="A46" s="1004" t="s">
        <v>4388</v>
      </c>
      <c r="B46" s="1005" t="s">
        <v>4393</v>
      </c>
      <c r="C46" s="473"/>
      <c r="D46" s="473" t="s">
        <v>4390</v>
      </c>
      <c r="E46" s="1006">
        <v>102000.0</v>
      </c>
      <c r="F46" s="1017"/>
      <c r="G46" s="1017"/>
      <c r="H46" s="1018"/>
      <c r="I46" s="924"/>
      <c r="J46" s="924"/>
    </row>
    <row r="47">
      <c r="A47" s="1004" t="s">
        <v>4388</v>
      </c>
      <c r="B47" s="1005"/>
      <c r="C47" s="473"/>
      <c r="D47" s="473" t="s">
        <v>4390</v>
      </c>
      <c r="E47" s="1006"/>
      <c r="F47" s="1019"/>
      <c r="G47" s="1020"/>
      <c r="H47" s="1018"/>
      <c r="I47" s="924"/>
      <c r="J47" s="924"/>
    </row>
    <row r="48">
      <c r="A48" s="1004" t="s">
        <v>4388</v>
      </c>
      <c r="B48" s="1005" t="s">
        <v>4394</v>
      </c>
      <c r="C48" s="473"/>
      <c r="D48" s="473" t="s">
        <v>4390</v>
      </c>
      <c r="E48" s="1006">
        <v>45000.0</v>
      </c>
      <c r="F48" s="1019"/>
      <c r="G48" s="1020"/>
      <c r="H48" s="1021"/>
      <c r="I48" s="939"/>
      <c r="J48" s="939"/>
    </row>
    <row r="49">
      <c r="A49" s="1004" t="s">
        <v>4388</v>
      </c>
      <c r="B49" s="1005" t="s">
        <v>4395</v>
      </c>
      <c r="C49" s="473"/>
      <c r="D49" s="473" t="s">
        <v>4390</v>
      </c>
      <c r="E49" s="1006">
        <v>20000.0</v>
      </c>
      <c r="F49" s="1019"/>
      <c r="G49" s="1020"/>
      <c r="H49" s="1021"/>
      <c r="I49" s="939"/>
      <c r="J49" s="939"/>
    </row>
    <row r="50">
      <c r="A50" s="1004" t="s">
        <v>4388</v>
      </c>
      <c r="B50" s="1005" t="s">
        <v>4396</v>
      </c>
      <c r="C50" s="473"/>
      <c r="D50" s="473" t="s">
        <v>4390</v>
      </c>
      <c r="E50" s="1006" t="s">
        <v>4397</v>
      </c>
      <c r="F50" s="1019"/>
      <c r="G50" s="1020"/>
      <c r="H50" s="1021"/>
      <c r="I50" s="939"/>
      <c r="J50" s="939"/>
    </row>
    <row r="51">
      <c r="A51" s="1004" t="s">
        <v>4388</v>
      </c>
      <c r="B51" s="1005" t="s">
        <v>4398</v>
      </c>
      <c r="C51" s="473"/>
      <c r="D51" s="473" t="s">
        <v>4390</v>
      </c>
      <c r="E51" s="1006">
        <v>850000.0</v>
      </c>
      <c r="F51" s="1019"/>
      <c r="G51" s="1020"/>
      <c r="H51" s="1021"/>
      <c r="I51" s="939"/>
      <c r="J51" s="939"/>
    </row>
    <row r="52">
      <c r="A52" s="1004" t="s">
        <v>4388</v>
      </c>
      <c r="B52" s="1005" t="s">
        <v>4399</v>
      </c>
      <c r="C52" s="473"/>
      <c r="D52" s="473" t="s">
        <v>4390</v>
      </c>
      <c r="E52" s="1006">
        <v>110000.0</v>
      </c>
      <c r="F52" s="1019"/>
      <c r="G52" s="1020"/>
      <c r="H52" s="1021"/>
      <c r="I52" s="1022"/>
      <c r="J52" s="1022"/>
    </row>
    <row r="53">
      <c r="A53" s="1004" t="s">
        <v>4388</v>
      </c>
      <c r="B53" s="1005" t="s">
        <v>4400</v>
      </c>
      <c r="C53" s="473"/>
      <c r="D53" s="473" t="s">
        <v>4390</v>
      </c>
      <c r="E53" s="1006">
        <v>30000.0</v>
      </c>
      <c r="F53" s="1019"/>
      <c r="G53" s="1020"/>
      <c r="H53" s="1021"/>
      <c r="I53" s="1022"/>
      <c r="J53" s="1022"/>
    </row>
    <row r="54">
      <c r="A54" s="1004" t="s">
        <v>4388</v>
      </c>
      <c r="B54" s="1005" t="s">
        <v>4401</v>
      </c>
      <c r="C54" s="473"/>
      <c r="D54" s="473" t="s">
        <v>4390</v>
      </c>
      <c r="E54" s="1006">
        <v>115000.0</v>
      </c>
      <c r="F54" s="1019"/>
      <c r="G54" s="1020"/>
      <c r="H54" s="1021"/>
      <c r="I54" s="1022"/>
      <c r="J54" s="1022"/>
    </row>
    <row r="55">
      <c r="A55" s="1004" t="s">
        <v>4388</v>
      </c>
      <c r="B55" s="1005" t="s">
        <v>4402</v>
      </c>
      <c r="C55" s="473"/>
      <c r="D55" s="473" t="s">
        <v>4390</v>
      </c>
      <c r="E55" s="1006">
        <f>445000-200000</f>
        <v>245000</v>
      </c>
      <c r="F55" s="1023"/>
      <c r="G55" s="1024"/>
      <c r="H55" s="1021"/>
      <c r="I55" s="1022"/>
      <c r="J55" s="1022"/>
    </row>
    <row r="56">
      <c r="A56" s="1004" t="s">
        <v>4388</v>
      </c>
      <c r="B56" s="1005" t="s">
        <v>4403</v>
      </c>
      <c r="C56" s="473"/>
      <c r="D56" s="473" t="s">
        <v>4390</v>
      </c>
      <c r="E56" s="1006">
        <f>1109000-309000-500000+140000</f>
        <v>440000</v>
      </c>
      <c r="F56" s="1023">
        <f>SUM(E43:E63)</f>
        <v>7328000</v>
      </c>
      <c r="G56" s="1024"/>
      <c r="H56" s="1021"/>
      <c r="I56" s="1022"/>
      <c r="J56" s="1022"/>
    </row>
    <row r="57">
      <c r="A57" s="1004" t="s">
        <v>4388</v>
      </c>
      <c r="B57" s="1005" t="s">
        <v>4404</v>
      </c>
      <c r="C57" s="473"/>
      <c r="D57" s="473" t="s">
        <v>4390</v>
      </c>
      <c r="E57" s="1006">
        <f>30000+133500+372000</f>
        <v>535500</v>
      </c>
      <c r="F57" s="1023"/>
      <c r="G57" s="1024"/>
      <c r="H57" s="1021"/>
      <c r="I57" s="1022"/>
      <c r="J57" s="1022"/>
    </row>
    <row r="58">
      <c r="A58" s="1004" t="s">
        <v>4388</v>
      </c>
      <c r="B58" s="1005" t="s">
        <v>4405</v>
      </c>
      <c r="C58" s="473"/>
      <c r="D58" s="473" t="s">
        <v>4390</v>
      </c>
      <c r="E58" s="1006">
        <v>1484000.0</v>
      </c>
      <c r="F58" s="1023"/>
      <c r="G58" s="1025"/>
      <c r="H58" s="1026"/>
      <c r="I58" s="1022"/>
      <c r="J58" s="1022"/>
    </row>
    <row r="59">
      <c r="A59" s="1004" t="s">
        <v>4388</v>
      </c>
      <c r="B59" s="1005" t="s">
        <v>4406</v>
      </c>
      <c r="C59" s="473"/>
      <c r="D59" s="473" t="s">
        <v>4390</v>
      </c>
      <c r="E59" s="1006">
        <f>666000-300000-90000-190000</f>
        <v>86000</v>
      </c>
      <c r="F59" s="1023"/>
      <c r="G59" s="1025"/>
      <c r="H59" s="1026"/>
      <c r="I59" s="1022"/>
      <c r="J59" s="1022"/>
    </row>
    <row r="60">
      <c r="A60" s="1004" t="s">
        <v>4388</v>
      </c>
      <c r="B60" s="1005"/>
      <c r="C60" s="473"/>
      <c r="D60" s="473" t="s">
        <v>4390</v>
      </c>
      <c r="E60" s="1006"/>
      <c r="F60" s="1023"/>
      <c r="G60" s="1025"/>
      <c r="H60" s="1026"/>
      <c r="I60" s="1022"/>
      <c r="J60" s="1022"/>
    </row>
    <row r="61">
      <c r="A61" s="1027"/>
      <c r="B61" s="1028"/>
      <c r="C61" s="1029"/>
      <c r="D61" s="1029"/>
      <c r="E61" s="1030"/>
      <c r="F61" s="1031"/>
      <c r="G61" s="1025"/>
      <c r="H61" s="1026"/>
      <c r="I61" s="1022"/>
      <c r="J61" s="1022"/>
    </row>
    <row r="62">
      <c r="A62" s="1032"/>
      <c r="B62" s="1033"/>
      <c r="C62" s="486"/>
      <c r="D62" s="486"/>
      <c r="E62" s="1034"/>
      <c r="F62" s="1035"/>
      <c r="G62" s="1036"/>
      <c r="H62" s="371"/>
      <c r="I62" s="939"/>
      <c r="J62" s="939"/>
    </row>
    <row r="63">
      <c r="A63" s="1032"/>
      <c r="B63" s="1033"/>
      <c r="C63" s="486"/>
      <c r="D63" s="486"/>
      <c r="E63" s="1034"/>
      <c r="F63" s="1037">
        <f>SUM(F1:F57)</f>
        <v>20881100</v>
      </c>
      <c r="G63" s="1036"/>
      <c r="H63" s="371"/>
      <c r="I63" s="939"/>
      <c r="J63" s="939"/>
    </row>
    <row r="64">
      <c r="A64" s="1032"/>
      <c r="B64" s="1033"/>
      <c r="C64" s="486"/>
      <c r="D64" s="486"/>
      <c r="E64" s="1034"/>
      <c r="F64" s="1035"/>
      <c r="G64" s="1036"/>
      <c r="H64" s="371"/>
      <c r="I64" s="939"/>
      <c r="J64" s="939"/>
    </row>
    <row r="65">
      <c r="A65" s="1032"/>
      <c r="B65" s="1033"/>
      <c r="C65" s="486"/>
      <c r="D65" s="486"/>
      <c r="E65" s="1034"/>
      <c r="F65" s="1035"/>
      <c r="G65" s="1036"/>
      <c r="H65" s="371"/>
      <c r="I65" s="939"/>
      <c r="J65" s="939"/>
    </row>
    <row r="66">
      <c r="A66" s="1032"/>
      <c r="B66" s="1033"/>
      <c r="C66" s="486"/>
      <c r="D66" s="486"/>
      <c r="E66" s="1034"/>
      <c r="F66" s="1035"/>
      <c r="G66" s="1036"/>
      <c r="H66" s="371"/>
      <c r="I66" s="939"/>
      <c r="J66" s="939"/>
    </row>
    <row r="67">
      <c r="A67" s="1032"/>
      <c r="B67" s="1033"/>
      <c r="C67" s="486"/>
      <c r="D67" s="486"/>
      <c r="E67" s="1034"/>
      <c r="F67" s="1035"/>
      <c r="G67" s="1036"/>
      <c r="H67" s="371"/>
      <c r="I67" s="939"/>
      <c r="J67" s="939"/>
    </row>
  </sheetData>
  <autoFilter ref="$A$1:$J$67"/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25.88"/>
    <col customWidth="1" min="2" max="2" width="8.63"/>
    <col customWidth="1" min="3" max="3" width="24.88"/>
    <col customWidth="1" min="4" max="4" width="9.5"/>
    <col customWidth="1" min="5" max="6" width="12.25"/>
  </cols>
  <sheetData>
    <row r="1" ht="15.75" customHeight="1">
      <c r="A1" s="20" t="s">
        <v>4407</v>
      </c>
      <c r="B1" s="497"/>
      <c r="C1" s="497" t="s">
        <v>3381</v>
      </c>
      <c r="D1" s="497"/>
      <c r="E1" s="716"/>
      <c r="F1" s="716"/>
      <c r="G1" s="1038"/>
      <c r="H1" s="1038"/>
      <c r="I1" s="1038"/>
      <c r="J1" s="1038"/>
      <c r="K1" s="1038"/>
      <c r="L1" s="1038"/>
      <c r="M1" s="1038"/>
      <c r="N1" s="1038"/>
      <c r="O1" s="1038"/>
      <c r="P1" s="1038"/>
      <c r="Q1" s="1038"/>
      <c r="R1" s="1038"/>
      <c r="S1" s="1038"/>
      <c r="T1" s="1038"/>
      <c r="U1" s="1038"/>
      <c r="V1" s="1038"/>
      <c r="W1" s="1038"/>
      <c r="X1" s="1038"/>
    </row>
    <row r="2" ht="15.75" customHeight="1">
      <c r="A2" s="497" t="s">
        <v>4408</v>
      </c>
      <c r="B2" s="497"/>
      <c r="C2" s="497" t="s">
        <v>3432</v>
      </c>
      <c r="D2" s="497"/>
      <c r="E2" s="716"/>
      <c r="F2" s="716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1038"/>
      <c r="W2" s="1038"/>
      <c r="X2" s="1038"/>
    </row>
    <row r="3" ht="15.75" customHeight="1">
      <c r="A3" s="497" t="s">
        <v>4409</v>
      </c>
      <c r="B3" s="497"/>
      <c r="C3" s="497" t="s">
        <v>4410</v>
      </c>
      <c r="D3" s="497"/>
      <c r="E3" s="716"/>
      <c r="F3" s="716"/>
      <c r="G3" s="1038"/>
      <c r="H3" s="1038"/>
      <c r="I3" s="1038"/>
      <c r="J3" s="1038"/>
      <c r="K3" s="1038"/>
      <c r="L3" s="1038"/>
      <c r="M3" s="1038"/>
      <c r="N3" s="1038"/>
      <c r="O3" s="1038"/>
      <c r="P3" s="1038"/>
      <c r="Q3" s="1038"/>
      <c r="R3" s="1038"/>
      <c r="S3" s="1038"/>
      <c r="T3" s="1038"/>
      <c r="U3" s="1038"/>
      <c r="V3" s="1038"/>
      <c r="W3" s="1038"/>
      <c r="X3" s="1038"/>
    </row>
    <row r="4" ht="15.75" customHeight="1">
      <c r="A4" s="20" t="s">
        <v>286</v>
      </c>
      <c r="B4" s="497"/>
      <c r="C4" s="16" t="s">
        <v>4411</v>
      </c>
      <c r="D4" s="497"/>
      <c r="E4" s="716"/>
      <c r="F4" s="716"/>
      <c r="G4" s="1038"/>
      <c r="H4" s="1038"/>
      <c r="I4" s="1038"/>
      <c r="J4" s="1038"/>
      <c r="K4" s="1038"/>
      <c r="L4" s="1038"/>
      <c r="M4" s="1038"/>
      <c r="N4" s="1038"/>
      <c r="O4" s="1038"/>
      <c r="P4" s="1038"/>
      <c r="Q4" s="1038"/>
      <c r="R4" s="1038"/>
      <c r="S4" s="1038"/>
      <c r="T4" s="1038"/>
      <c r="U4" s="1038"/>
      <c r="V4" s="1038"/>
      <c r="W4" s="1038"/>
      <c r="X4" s="1038"/>
    </row>
    <row r="5" ht="15.75" customHeight="1">
      <c r="A5" s="497" t="s">
        <v>65</v>
      </c>
      <c r="B5" s="497"/>
      <c r="C5" s="16" t="s">
        <v>4412</v>
      </c>
      <c r="D5" s="497"/>
      <c r="E5" s="716"/>
      <c r="F5" s="716"/>
      <c r="G5" s="1038"/>
      <c r="H5" s="1038"/>
      <c r="I5" s="1038"/>
      <c r="J5" s="1038"/>
      <c r="K5" s="1038"/>
      <c r="L5" s="1038"/>
      <c r="M5" s="1038"/>
      <c r="N5" s="1038"/>
      <c r="O5" s="1038"/>
      <c r="P5" s="1038"/>
      <c r="Q5" s="1038"/>
      <c r="R5" s="1038"/>
      <c r="S5" s="1038"/>
      <c r="T5" s="1038"/>
      <c r="U5" s="1038"/>
      <c r="V5" s="1038"/>
      <c r="W5" s="1038"/>
      <c r="X5" s="1038"/>
    </row>
    <row r="6" ht="15.75" customHeight="1">
      <c r="A6" s="16" t="s">
        <v>3328</v>
      </c>
      <c r="B6" s="497"/>
      <c r="C6" s="16" t="s">
        <v>4413</v>
      </c>
      <c r="D6" s="497"/>
      <c r="E6" s="716"/>
      <c r="F6" s="716"/>
      <c r="G6" s="1038"/>
      <c r="H6" s="1038"/>
      <c r="I6" s="1038"/>
      <c r="J6" s="1038"/>
      <c r="K6" s="1038"/>
      <c r="L6" s="1038"/>
      <c r="M6" s="1038"/>
      <c r="N6" s="1038"/>
      <c r="O6" s="1038"/>
      <c r="P6" s="1038"/>
      <c r="Q6" s="1038"/>
      <c r="R6" s="1038"/>
      <c r="S6" s="1038"/>
      <c r="T6" s="1038"/>
      <c r="U6" s="1038"/>
      <c r="V6" s="1038"/>
      <c r="W6" s="1038"/>
      <c r="X6" s="1038"/>
    </row>
    <row r="7" ht="15.75" customHeight="1">
      <c r="A7" s="16" t="s">
        <v>437</v>
      </c>
      <c r="B7" s="497"/>
      <c r="C7" s="497" t="s">
        <v>4414</v>
      </c>
      <c r="D7" s="497"/>
      <c r="E7" s="716"/>
      <c r="F7" s="716"/>
      <c r="G7" s="1038"/>
      <c r="H7" s="1038"/>
      <c r="I7" s="1038"/>
      <c r="J7" s="1038"/>
      <c r="K7" s="1038"/>
      <c r="L7" s="1038"/>
      <c r="M7" s="1038"/>
      <c r="N7" s="1038"/>
      <c r="O7" s="1038"/>
      <c r="P7" s="1038"/>
      <c r="Q7" s="1038"/>
      <c r="R7" s="1038"/>
      <c r="S7" s="1038"/>
      <c r="T7" s="1038"/>
      <c r="U7" s="1038"/>
      <c r="V7" s="1038"/>
      <c r="W7" s="1038"/>
      <c r="X7" s="1038"/>
    </row>
    <row r="8" ht="15.75" customHeight="1">
      <c r="A8" s="497" t="s">
        <v>585</v>
      </c>
      <c r="B8" s="497"/>
      <c r="C8" s="497" t="s">
        <v>1608</v>
      </c>
      <c r="D8" s="497"/>
      <c r="E8" s="716"/>
      <c r="F8" s="716"/>
      <c r="G8" s="1038"/>
      <c r="H8" s="1038"/>
      <c r="I8" s="1038"/>
      <c r="J8" s="1038"/>
      <c r="K8" s="1038"/>
      <c r="L8" s="1038"/>
      <c r="M8" s="1038"/>
      <c r="N8" s="1038"/>
      <c r="O8" s="1038"/>
      <c r="P8" s="1038"/>
      <c r="Q8" s="1038"/>
      <c r="R8" s="1038"/>
      <c r="S8" s="1038"/>
      <c r="T8" s="1038"/>
      <c r="U8" s="1038"/>
      <c r="V8" s="1038"/>
      <c r="W8" s="1038"/>
      <c r="X8" s="1038"/>
    </row>
    <row r="9" ht="15.75" customHeight="1">
      <c r="A9" s="497" t="s">
        <v>4415</v>
      </c>
      <c r="B9" s="497"/>
      <c r="C9" s="497" t="s">
        <v>1435</v>
      </c>
      <c r="D9" s="497"/>
      <c r="E9" s="716"/>
      <c r="F9" s="716"/>
      <c r="G9" s="1038"/>
      <c r="H9" s="1038"/>
      <c r="I9" s="1038"/>
      <c r="J9" s="1038"/>
      <c r="K9" s="1038"/>
      <c r="L9" s="1038"/>
      <c r="M9" s="1038"/>
      <c r="N9" s="1038"/>
      <c r="O9" s="1038"/>
      <c r="P9" s="1038"/>
      <c r="Q9" s="1038"/>
      <c r="R9" s="1038"/>
      <c r="S9" s="1038"/>
      <c r="T9" s="1038"/>
      <c r="U9" s="1038"/>
      <c r="V9" s="1038"/>
      <c r="W9" s="1038"/>
      <c r="X9" s="1038"/>
    </row>
    <row r="10" ht="15.75" customHeight="1">
      <c r="A10" s="20" t="s">
        <v>4416</v>
      </c>
      <c r="B10" s="497"/>
      <c r="C10" s="497" t="s">
        <v>1569</v>
      </c>
      <c r="D10" s="497"/>
      <c r="E10" s="716"/>
      <c r="F10" s="716"/>
      <c r="G10" s="1038"/>
      <c r="H10" s="1038"/>
      <c r="I10" s="1038"/>
      <c r="J10" s="1038"/>
      <c r="K10" s="1038"/>
      <c r="L10" s="1038"/>
      <c r="M10" s="1038"/>
      <c r="N10" s="1038"/>
      <c r="O10" s="1038"/>
      <c r="P10" s="1038"/>
      <c r="Q10" s="1038"/>
      <c r="R10" s="1038"/>
      <c r="S10" s="1038"/>
      <c r="T10" s="1038"/>
      <c r="U10" s="1038"/>
      <c r="V10" s="1038"/>
      <c r="W10" s="1038"/>
      <c r="X10" s="1038"/>
    </row>
    <row r="11" ht="15.75" customHeight="1">
      <c r="A11" s="16" t="s">
        <v>516</v>
      </c>
      <c r="B11" s="1039"/>
      <c r="C11" s="16" t="s">
        <v>1551</v>
      </c>
      <c r="D11" s="497"/>
      <c r="E11" s="716"/>
      <c r="F11" s="716"/>
      <c r="G11" s="1038"/>
      <c r="H11" s="1038"/>
      <c r="I11" s="1038"/>
      <c r="J11" s="1038"/>
      <c r="K11" s="1038"/>
      <c r="L11" s="1038"/>
      <c r="M11" s="1038"/>
      <c r="N11" s="1038"/>
      <c r="O11" s="1038"/>
      <c r="P11" s="1038"/>
      <c r="Q11" s="1038"/>
      <c r="R11" s="1038"/>
      <c r="S11" s="1038"/>
      <c r="T11" s="1038"/>
      <c r="U11" s="1038"/>
      <c r="V11" s="1038"/>
      <c r="W11" s="1038"/>
      <c r="X11" s="1038"/>
    </row>
    <row r="12" ht="15.75" customHeight="1">
      <c r="A12" s="20" t="s">
        <v>291</v>
      </c>
      <c r="B12" s="497"/>
      <c r="C12" s="16" t="s">
        <v>4417</v>
      </c>
      <c r="D12" s="497"/>
      <c r="E12" s="716"/>
      <c r="F12" s="716"/>
      <c r="G12" s="1038"/>
      <c r="H12" s="1038"/>
      <c r="I12" s="1038"/>
      <c r="J12" s="1038"/>
      <c r="K12" s="1038"/>
      <c r="L12" s="1038"/>
      <c r="M12" s="1038"/>
      <c r="N12" s="1038"/>
      <c r="O12" s="1038"/>
      <c r="P12" s="1038"/>
      <c r="Q12" s="1038"/>
      <c r="R12" s="1038"/>
      <c r="S12" s="1038"/>
      <c r="T12" s="1038"/>
      <c r="U12" s="1038"/>
      <c r="V12" s="1038"/>
      <c r="W12" s="1038"/>
      <c r="X12" s="1038"/>
    </row>
    <row r="13" ht="15.75" customHeight="1">
      <c r="A13" s="16" t="s">
        <v>4418</v>
      </c>
      <c r="B13" s="497"/>
      <c r="C13" s="16" t="s">
        <v>4419</v>
      </c>
      <c r="D13" s="497"/>
      <c r="E13" s="716"/>
      <c r="F13" s="716"/>
      <c r="G13" s="1038"/>
      <c r="H13" s="1038"/>
      <c r="I13" s="1038"/>
      <c r="J13" s="1038"/>
      <c r="K13" s="1038"/>
      <c r="L13" s="1038"/>
      <c r="M13" s="1038"/>
      <c r="N13" s="1038"/>
      <c r="O13" s="1038"/>
      <c r="P13" s="1038"/>
      <c r="Q13" s="1038"/>
      <c r="R13" s="1038"/>
      <c r="S13" s="1038"/>
      <c r="T13" s="1038"/>
      <c r="U13" s="1038"/>
      <c r="V13" s="1038"/>
      <c r="W13" s="1038"/>
      <c r="X13" s="1038"/>
    </row>
    <row r="14" ht="15.75" customHeight="1">
      <c r="A14" s="16" t="s">
        <v>4420</v>
      </c>
      <c r="B14" s="497"/>
      <c r="C14" s="16" t="s">
        <v>1820</v>
      </c>
      <c r="D14" s="497"/>
      <c r="E14" s="716"/>
      <c r="F14" s="716"/>
      <c r="G14" s="1038"/>
      <c r="H14" s="1038"/>
      <c r="I14" s="1038"/>
      <c r="J14" s="1038"/>
      <c r="K14" s="1038"/>
      <c r="L14" s="1038"/>
      <c r="M14" s="1038"/>
      <c r="N14" s="1038"/>
      <c r="O14" s="1038"/>
      <c r="P14" s="1038"/>
      <c r="Q14" s="1038"/>
      <c r="R14" s="1038"/>
      <c r="S14" s="1038"/>
      <c r="T14" s="1038"/>
      <c r="U14" s="1038"/>
      <c r="V14" s="1038"/>
      <c r="W14" s="1038"/>
      <c r="X14" s="1038"/>
    </row>
    <row r="15" ht="15.75" customHeight="1">
      <c r="A15" s="16" t="s">
        <v>39</v>
      </c>
      <c r="B15" s="497"/>
      <c r="C15" s="497" t="s">
        <v>4421</v>
      </c>
      <c r="D15" s="497"/>
      <c r="E15" s="716"/>
      <c r="F15" s="716"/>
      <c r="G15" s="1038"/>
      <c r="H15" s="1038"/>
      <c r="I15" s="1038"/>
      <c r="J15" s="1038"/>
      <c r="K15" s="1038"/>
      <c r="L15" s="1038"/>
      <c r="M15" s="1038"/>
      <c r="N15" s="1038"/>
      <c r="O15" s="1038"/>
      <c r="P15" s="1038"/>
      <c r="Q15" s="1038"/>
      <c r="R15" s="1038"/>
      <c r="S15" s="1038"/>
      <c r="T15" s="1038"/>
      <c r="U15" s="1038"/>
      <c r="V15" s="1038"/>
      <c r="W15" s="1038"/>
      <c r="X15" s="1038"/>
    </row>
    <row r="16" ht="15.75" customHeight="1">
      <c r="A16" s="16" t="s">
        <v>4422</v>
      </c>
      <c r="B16" s="497"/>
      <c r="C16" s="16" t="s">
        <v>4423</v>
      </c>
      <c r="D16" s="497"/>
      <c r="E16" s="716"/>
      <c r="F16" s="716"/>
      <c r="G16" s="1038"/>
      <c r="H16" s="1038"/>
      <c r="I16" s="1038"/>
      <c r="J16" s="1038"/>
      <c r="K16" s="1038"/>
      <c r="L16" s="1038"/>
      <c r="M16" s="1038"/>
      <c r="N16" s="1038"/>
      <c r="O16" s="1038"/>
      <c r="P16" s="1038"/>
      <c r="Q16" s="1038"/>
      <c r="R16" s="1038"/>
      <c r="S16" s="1038"/>
      <c r="T16" s="1038"/>
      <c r="U16" s="1038"/>
      <c r="V16" s="1038"/>
      <c r="W16" s="1038"/>
      <c r="X16" s="1038"/>
    </row>
    <row r="17" ht="15.75" customHeight="1">
      <c r="A17" s="20" t="s">
        <v>4424</v>
      </c>
      <c r="B17" s="497"/>
      <c r="C17" s="16" t="s">
        <v>4425</v>
      </c>
      <c r="D17" s="497"/>
      <c r="E17" s="716"/>
      <c r="F17" s="716"/>
      <c r="G17" s="1038"/>
      <c r="H17" s="1038"/>
      <c r="I17" s="1038"/>
      <c r="J17" s="1038"/>
      <c r="K17" s="1038"/>
      <c r="L17" s="1038"/>
      <c r="M17" s="1038"/>
      <c r="N17" s="1038"/>
      <c r="O17" s="1038"/>
      <c r="P17" s="1038"/>
      <c r="Q17" s="1038"/>
      <c r="R17" s="1038"/>
      <c r="S17" s="1038"/>
      <c r="T17" s="1038"/>
      <c r="U17" s="1038"/>
      <c r="V17" s="1038"/>
      <c r="W17" s="1038"/>
      <c r="X17" s="1038"/>
    </row>
    <row r="18" ht="15.75" customHeight="1">
      <c r="A18" s="16" t="s">
        <v>1077</v>
      </c>
      <c r="B18" s="497"/>
      <c r="C18" s="497" t="s">
        <v>4426</v>
      </c>
      <c r="D18" s="497"/>
      <c r="E18" s="716"/>
      <c r="F18" s="716"/>
      <c r="G18" s="1038"/>
      <c r="H18" s="1038"/>
      <c r="I18" s="1038"/>
      <c r="J18" s="1038"/>
      <c r="K18" s="1038"/>
      <c r="L18" s="1038"/>
      <c r="M18" s="1038"/>
      <c r="N18" s="1038"/>
      <c r="O18" s="1038"/>
      <c r="P18" s="1038"/>
      <c r="Q18" s="1038"/>
      <c r="R18" s="1038"/>
      <c r="S18" s="1038"/>
      <c r="T18" s="1038"/>
      <c r="U18" s="1038"/>
      <c r="V18" s="1038"/>
      <c r="W18" s="1038"/>
      <c r="X18" s="1038"/>
    </row>
    <row r="19" ht="15.75" customHeight="1">
      <c r="A19" s="497" t="s">
        <v>4427</v>
      </c>
      <c r="B19" s="497"/>
      <c r="C19" s="16" t="s">
        <v>2794</v>
      </c>
      <c r="D19" s="497"/>
      <c r="E19" s="716"/>
      <c r="F19" s="716"/>
      <c r="G19" s="1038"/>
      <c r="H19" s="1038"/>
      <c r="I19" s="1038"/>
      <c r="J19" s="1038"/>
      <c r="K19" s="1038"/>
      <c r="L19" s="1038"/>
      <c r="M19" s="1038"/>
      <c r="N19" s="1038"/>
      <c r="O19" s="1038"/>
      <c r="P19" s="1038"/>
      <c r="Q19" s="1038"/>
      <c r="R19" s="1038"/>
      <c r="S19" s="1038"/>
      <c r="T19" s="1038"/>
      <c r="U19" s="1038"/>
      <c r="V19" s="1038"/>
      <c r="W19" s="1038"/>
      <c r="X19" s="1038"/>
    </row>
    <row r="20" ht="15.75" customHeight="1">
      <c r="A20" s="497" t="s">
        <v>4428</v>
      </c>
      <c r="B20" s="497"/>
      <c r="C20" s="497" t="s">
        <v>375</v>
      </c>
      <c r="D20" s="497"/>
      <c r="E20" s="716"/>
      <c r="F20" s="716"/>
      <c r="G20" s="1038"/>
      <c r="H20" s="1038"/>
      <c r="I20" s="1038"/>
      <c r="J20" s="1038"/>
      <c r="K20" s="1038"/>
      <c r="L20" s="1038"/>
      <c r="M20" s="1038"/>
      <c r="N20" s="1038"/>
      <c r="O20" s="1038"/>
      <c r="P20" s="1038"/>
      <c r="Q20" s="1038"/>
      <c r="R20" s="1038"/>
      <c r="S20" s="1038"/>
      <c r="T20" s="1038"/>
      <c r="U20" s="1038"/>
      <c r="V20" s="1038"/>
      <c r="W20" s="1038"/>
      <c r="X20" s="1038"/>
    </row>
    <row r="21" ht="15.75" customHeight="1">
      <c r="A21" s="20" t="s">
        <v>1513</v>
      </c>
      <c r="B21" s="497"/>
      <c r="C21" s="20" t="s">
        <v>4429</v>
      </c>
      <c r="D21" s="497"/>
      <c r="E21" s="716"/>
      <c r="F21" s="716"/>
      <c r="G21" s="1038"/>
      <c r="H21" s="1038"/>
      <c r="I21" s="1038"/>
      <c r="J21" s="1038"/>
      <c r="K21" s="1038"/>
      <c r="L21" s="1038"/>
      <c r="M21" s="1038"/>
      <c r="N21" s="1038"/>
      <c r="O21" s="1038"/>
      <c r="P21" s="1038"/>
      <c r="Q21" s="1038"/>
      <c r="R21" s="1038"/>
      <c r="S21" s="1038"/>
      <c r="T21" s="1038"/>
      <c r="U21" s="1038"/>
      <c r="V21" s="1038"/>
      <c r="W21" s="1038"/>
      <c r="X21" s="1038"/>
    </row>
    <row r="22" ht="15.75" customHeight="1">
      <c r="A22" s="497" t="s">
        <v>1108</v>
      </c>
      <c r="B22" s="497"/>
      <c r="C22" s="16" t="s">
        <v>4430</v>
      </c>
      <c r="D22" s="1039"/>
      <c r="E22" s="716"/>
      <c r="F22" s="716"/>
      <c r="G22" s="1038"/>
      <c r="H22" s="1038"/>
      <c r="I22" s="1038"/>
      <c r="J22" s="1038"/>
      <c r="K22" s="1038"/>
      <c r="L22" s="1038"/>
      <c r="M22" s="1038"/>
      <c r="N22" s="1038"/>
      <c r="O22" s="1038"/>
      <c r="P22" s="1038"/>
      <c r="Q22" s="1038"/>
      <c r="R22" s="1038"/>
      <c r="S22" s="1038"/>
      <c r="T22" s="1038"/>
      <c r="U22" s="1038"/>
      <c r="V22" s="1038"/>
      <c r="W22" s="1038"/>
      <c r="X22" s="1038"/>
    </row>
    <row r="23" ht="15.75" customHeight="1">
      <c r="A23" s="497" t="s">
        <v>1049</v>
      </c>
      <c r="B23" s="497"/>
      <c r="C23" s="20" t="s">
        <v>600</v>
      </c>
      <c r="D23" s="497"/>
      <c r="E23" s="716"/>
      <c r="F23" s="716"/>
      <c r="G23" s="1038"/>
      <c r="H23" s="1038"/>
      <c r="I23" s="1038"/>
      <c r="J23" s="1038"/>
      <c r="K23" s="1038"/>
      <c r="L23" s="1038"/>
      <c r="M23" s="1038"/>
      <c r="N23" s="1038"/>
      <c r="O23" s="1038"/>
      <c r="P23" s="1038"/>
      <c r="Q23" s="1038"/>
      <c r="R23" s="1038"/>
      <c r="S23" s="1038"/>
      <c r="T23" s="1038"/>
      <c r="U23" s="1038"/>
      <c r="V23" s="1038"/>
      <c r="W23" s="1038"/>
      <c r="X23" s="1038"/>
    </row>
    <row r="24" ht="15.75" customHeight="1">
      <c r="A24" s="20" t="s">
        <v>2778</v>
      </c>
      <c r="B24" s="497"/>
      <c r="C24" s="16" t="s">
        <v>2918</v>
      </c>
      <c r="D24" s="497"/>
      <c r="E24" s="716"/>
      <c r="F24" s="716"/>
      <c r="G24" s="1038"/>
      <c r="H24" s="1038"/>
      <c r="I24" s="1038"/>
      <c r="J24" s="1038"/>
      <c r="K24" s="1038"/>
      <c r="L24" s="1038"/>
      <c r="M24" s="1038"/>
      <c r="N24" s="1038"/>
      <c r="O24" s="1038"/>
      <c r="P24" s="1038"/>
      <c r="Q24" s="1038"/>
      <c r="R24" s="1038"/>
      <c r="S24" s="1038"/>
      <c r="T24" s="1038"/>
      <c r="U24" s="1038"/>
      <c r="V24" s="1038"/>
      <c r="W24" s="1038"/>
      <c r="X24" s="1038"/>
    </row>
    <row r="25" ht="15.75" customHeight="1">
      <c r="A25" s="16" t="s">
        <v>4431</v>
      </c>
      <c r="B25" s="497"/>
      <c r="C25" s="497" t="s">
        <v>3335</v>
      </c>
      <c r="D25" s="497"/>
      <c r="E25" s="716"/>
      <c r="F25" s="716"/>
      <c r="G25" s="1038"/>
      <c r="H25" s="1038"/>
      <c r="I25" s="1038"/>
      <c r="J25" s="1038"/>
      <c r="K25" s="1038"/>
      <c r="L25" s="1038"/>
      <c r="M25" s="1038"/>
      <c r="N25" s="1038"/>
      <c r="O25" s="1038"/>
      <c r="P25" s="1038"/>
      <c r="Q25" s="1038"/>
      <c r="R25" s="1038"/>
      <c r="S25" s="1038"/>
      <c r="T25" s="1038"/>
      <c r="U25" s="1038"/>
      <c r="V25" s="1038"/>
      <c r="W25" s="1038"/>
      <c r="X25" s="1038"/>
    </row>
    <row r="26" ht="15.75" customHeight="1">
      <c r="A26" s="16" t="s">
        <v>4432</v>
      </c>
      <c r="B26" s="497"/>
      <c r="C26" s="16" t="s">
        <v>4433</v>
      </c>
      <c r="D26" s="497"/>
      <c r="E26" s="716"/>
      <c r="F26" s="716"/>
      <c r="G26" s="1038"/>
      <c r="H26" s="1038"/>
      <c r="I26" s="1038"/>
      <c r="J26" s="1038"/>
      <c r="K26" s="1038"/>
      <c r="L26" s="1038"/>
      <c r="M26" s="1038"/>
      <c r="N26" s="1038"/>
      <c r="O26" s="1038"/>
      <c r="P26" s="1038"/>
      <c r="Q26" s="1038"/>
      <c r="R26" s="1038"/>
      <c r="S26" s="1038"/>
      <c r="T26" s="1038"/>
      <c r="U26" s="1038"/>
      <c r="V26" s="1038"/>
      <c r="W26" s="1038"/>
      <c r="X26" s="1038"/>
    </row>
    <row r="27" ht="15.75" customHeight="1">
      <c r="A27" s="497" t="s">
        <v>4434</v>
      </c>
      <c r="B27" s="497"/>
      <c r="C27" s="497" t="s">
        <v>3340</v>
      </c>
      <c r="D27" s="497"/>
      <c r="E27" s="716"/>
      <c r="F27" s="716"/>
      <c r="G27" s="1038"/>
      <c r="H27" s="1038"/>
      <c r="I27" s="1038"/>
      <c r="J27" s="1038"/>
      <c r="K27" s="1038"/>
      <c r="L27" s="1038"/>
      <c r="M27" s="1038"/>
      <c r="N27" s="1038"/>
      <c r="O27" s="1038"/>
      <c r="P27" s="1038"/>
      <c r="Q27" s="1038"/>
      <c r="R27" s="1038"/>
      <c r="S27" s="1038"/>
      <c r="T27" s="1038"/>
      <c r="U27" s="1038"/>
      <c r="V27" s="1038"/>
      <c r="W27" s="1038"/>
      <c r="X27" s="1038"/>
    </row>
    <row r="28" ht="15.75" customHeight="1">
      <c r="A28" s="497" t="s">
        <v>670</v>
      </c>
      <c r="B28" s="497"/>
      <c r="C28" s="16" t="s">
        <v>104</v>
      </c>
      <c r="D28" s="497"/>
      <c r="E28" s="716"/>
      <c r="F28" s="716"/>
      <c r="G28" s="1038"/>
      <c r="H28" s="1038"/>
      <c r="I28" s="1038"/>
      <c r="J28" s="1038"/>
      <c r="K28" s="1038"/>
      <c r="L28" s="1038"/>
      <c r="M28" s="1038"/>
      <c r="N28" s="1038"/>
      <c r="O28" s="1038"/>
      <c r="P28" s="1038"/>
      <c r="Q28" s="1038"/>
      <c r="R28" s="1038"/>
      <c r="S28" s="1038"/>
      <c r="T28" s="1038"/>
      <c r="U28" s="1038"/>
      <c r="V28" s="1038"/>
      <c r="W28" s="1038"/>
      <c r="X28" s="1038"/>
    </row>
    <row r="29" ht="15.75" customHeight="1">
      <c r="A29" s="16" t="s">
        <v>4435</v>
      </c>
      <c r="B29" s="497"/>
      <c r="C29" s="16" t="s">
        <v>4436</v>
      </c>
      <c r="D29" s="497"/>
      <c r="E29" s="716"/>
      <c r="F29" s="716"/>
      <c r="G29" s="1038"/>
      <c r="H29" s="1038"/>
      <c r="I29" s="1038"/>
      <c r="J29" s="1038"/>
      <c r="K29" s="1038"/>
      <c r="L29" s="1038"/>
      <c r="M29" s="1038"/>
      <c r="N29" s="1038"/>
      <c r="O29" s="1038"/>
      <c r="P29" s="1038"/>
      <c r="Q29" s="1038"/>
      <c r="R29" s="1038"/>
      <c r="S29" s="1038"/>
      <c r="T29" s="1038"/>
      <c r="U29" s="1038"/>
      <c r="V29" s="1038"/>
      <c r="W29" s="1038"/>
      <c r="X29" s="1038"/>
    </row>
    <row r="30" ht="15.75" customHeight="1">
      <c r="A30" s="16" t="s">
        <v>4437</v>
      </c>
      <c r="B30" s="497"/>
      <c r="C30" s="20" t="s">
        <v>1510</v>
      </c>
      <c r="D30" s="497"/>
      <c r="E30" s="716"/>
      <c r="F30" s="716"/>
      <c r="G30" s="1038"/>
      <c r="H30" s="1038"/>
      <c r="I30" s="1038"/>
      <c r="J30" s="1038"/>
      <c r="K30" s="1038"/>
      <c r="L30" s="1038"/>
      <c r="M30" s="1038"/>
      <c r="N30" s="1038"/>
      <c r="O30" s="1038"/>
      <c r="P30" s="1038"/>
      <c r="Q30" s="1038"/>
      <c r="R30" s="1038"/>
      <c r="S30" s="1038"/>
      <c r="T30" s="1038"/>
      <c r="U30" s="1038"/>
      <c r="V30" s="1038"/>
      <c r="W30" s="1038"/>
      <c r="X30" s="1038"/>
    </row>
    <row r="31" ht="15.75" customHeight="1">
      <c r="A31" s="497" t="s">
        <v>3353</v>
      </c>
      <c r="B31" s="497"/>
      <c r="C31" s="16" t="s">
        <v>4438</v>
      </c>
      <c r="D31" s="497"/>
      <c r="E31" s="716"/>
      <c r="F31" s="716"/>
      <c r="G31" s="1038"/>
      <c r="H31" s="1038"/>
      <c r="I31" s="1038"/>
      <c r="J31" s="1038"/>
      <c r="K31" s="1038"/>
      <c r="L31" s="1038"/>
      <c r="M31" s="1038"/>
      <c r="N31" s="1038"/>
      <c r="O31" s="1038"/>
      <c r="P31" s="1038"/>
      <c r="Q31" s="1038"/>
      <c r="R31" s="1038"/>
      <c r="S31" s="1038"/>
      <c r="T31" s="1038"/>
      <c r="U31" s="1038"/>
      <c r="V31" s="1038"/>
      <c r="W31" s="1038"/>
      <c r="X31" s="1038"/>
    </row>
    <row r="32" ht="15.75" customHeight="1">
      <c r="A32" s="16" t="s">
        <v>4439</v>
      </c>
      <c r="B32" s="497"/>
      <c r="C32" s="16" t="s">
        <v>4440</v>
      </c>
      <c r="D32" s="497"/>
      <c r="E32" s="716"/>
      <c r="F32" s="716"/>
      <c r="G32" s="1038"/>
      <c r="H32" s="1038"/>
      <c r="I32" s="1038"/>
      <c r="J32" s="1038"/>
      <c r="K32" s="1038"/>
      <c r="L32" s="1038"/>
      <c r="M32" s="1038"/>
      <c r="N32" s="1038"/>
      <c r="O32" s="1038"/>
      <c r="P32" s="1038"/>
      <c r="Q32" s="1038"/>
      <c r="R32" s="1038"/>
      <c r="S32" s="1038"/>
      <c r="T32" s="1038"/>
      <c r="U32" s="1038"/>
      <c r="V32" s="1038"/>
      <c r="W32" s="1038"/>
      <c r="X32" s="1038"/>
    </row>
    <row r="33" ht="15.75" customHeight="1">
      <c r="A33" s="497" t="s">
        <v>4441</v>
      </c>
      <c r="B33" s="497"/>
      <c r="C33" s="497" t="s">
        <v>57</v>
      </c>
      <c r="D33" s="497"/>
      <c r="E33" s="716"/>
      <c r="F33" s="716"/>
      <c r="G33" s="1038"/>
      <c r="H33" s="1038"/>
      <c r="I33" s="1038"/>
      <c r="J33" s="1038"/>
      <c r="K33" s="1038"/>
      <c r="L33" s="1038"/>
      <c r="M33" s="1038"/>
      <c r="N33" s="1038"/>
      <c r="O33" s="1038"/>
      <c r="P33" s="1038"/>
      <c r="Q33" s="1038"/>
      <c r="R33" s="1038"/>
      <c r="S33" s="1038"/>
      <c r="T33" s="1038"/>
      <c r="U33" s="1038"/>
      <c r="V33" s="1038"/>
      <c r="W33" s="1038"/>
      <c r="X33" s="1038"/>
    </row>
    <row r="34" ht="15.75" customHeight="1">
      <c r="A34" s="16" t="s">
        <v>4442</v>
      </c>
      <c r="B34" s="1039"/>
      <c r="C34" s="20" t="s">
        <v>4443</v>
      </c>
      <c r="D34" s="497"/>
      <c r="E34" s="716"/>
      <c r="F34" s="716"/>
      <c r="G34" s="1038"/>
      <c r="H34" s="1038"/>
      <c r="I34" s="1038"/>
      <c r="J34" s="1038"/>
      <c r="K34" s="1038"/>
      <c r="L34" s="1038"/>
      <c r="M34" s="1038"/>
      <c r="N34" s="1038"/>
      <c r="O34" s="1038"/>
      <c r="P34" s="1038"/>
      <c r="Q34" s="1038"/>
      <c r="R34" s="1038"/>
      <c r="S34" s="1038"/>
      <c r="T34" s="1038"/>
      <c r="U34" s="1038"/>
      <c r="V34" s="1038"/>
      <c r="W34" s="1038"/>
      <c r="X34" s="1038"/>
    </row>
    <row r="35" ht="15.75" customHeight="1">
      <c r="A35" s="497" t="s">
        <v>1331</v>
      </c>
      <c r="B35" s="497"/>
      <c r="C35" s="16" t="s">
        <v>4444</v>
      </c>
      <c r="D35" s="497"/>
      <c r="E35" s="716"/>
      <c r="F35" s="716"/>
      <c r="G35" s="1038"/>
      <c r="H35" s="1038"/>
      <c r="I35" s="1038"/>
      <c r="J35" s="1038"/>
      <c r="K35" s="1038"/>
      <c r="L35" s="1038"/>
      <c r="M35" s="1038"/>
      <c r="N35" s="1038"/>
      <c r="O35" s="1038"/>
      <c r="P35" s="1038"/>
      <c r="Q35" s="1038"/>
      <c r="R35" s="1038"/>
      <c r="S35" s="1038"/>
      <c r="T35" s="1038"/>
      <c r="U35" s="1038"/>
      <c r="V35" s="1038"/>
      <c r="W35" s="1038"/>
      <c r="X35" s="1038"/>
    </row>
    <row r="36" ht="15.75" customHeight="1">
      <c r="A36" s="497" t="s">
        <v>154</v>
      </c>
      <c r="B36" s="497"/>
      <c r="C36" s="20" t="s">
        <v>4445</v>
      </c>
      <c r="D36" s="497"/>
      <c r="E36" s="716"/>
      <c r="F36" s="716"/>
      <c r="G36" s="1038"/>
      <c r="H36" s="1038"/>
      <c r="I36" s="1038"/>
      <c r="J36" s="1038"/>
      <c r="K36" s="1038"/>
      <c r="L36" s="1038"/>
      <c r="M36" s="1038"/>
      <c r="N36" s="1038"/>
      <c r="O36" s="1038"/>
      <c r="P36" s="1038"/>
      <c r="Q36" s="1038"/>
      <c r="R36" s="1038"/>
      <c r="S36" s="1038"/>
      <c r="T36" s="1038"/>
      <c r="U36" s="1038"/>
      <c r="V36" s="1038"/>
      <c r="W36" s="1038"/>
      <c r="X36" s="1038"/>
    </row>
    <row r="37" ht="15.75" customHeight="1">
      <c r="A37" s="497" t="s">
        <v>355</v>
      </c>
      <c r="B37" s="497"/>
      <c r="C37" s="497" t="s">
        <v>63</v>
      </c>
      <c r="D37" s="497"/>
      <c r="E37" s="716"/>
      <c r="F37" s="716"/>
      <c r="G37" s="1038"/>
      <c r="H37" s="1038"/>
      <c r="I37" s="1038"/>
      <c r="J37" s="1038"/>
      <c r="K37" s="1038"/>
      <c r="L37" s="1038"/>
      <c r="M37" s="1038"/>
      <c r="N37" s="1038"/>
      <c r="O37" s="1038"/>
      <c r="P37" s="1038"/>
      <c r="Q37" s="1038"/>
      <c r="R37" s="1038"/>
      <c r="S37" s="1038"/>
      <c r="T37" s="1038"/>
      <c r="U37" s="1038"/>
      <c r="V37" s="1038"/>
      <c r="W37" s="1038"/>
      <c r="X37" s="1038"/>
    </row>
    <row r="38" ht="15.75" customHeight="1">
      <c r="A38" s="16" t="s">
        <v>4446</v>
      </c>
      <c r="B38" s="497"/>
      <c r="C38" s="16" t="s">
        <v>4447</v>
      </c>
      <c r="D38" s="497"/>
      <c r="E38" s="716"/>
      <c r="F38" s="716"/>
      <c r="G38" s="1038"/>
      <c r="H38" s="1038"/>
      <c r="I38" s="1038"/>
      <c r="J38" s="1038"/>
      <c r="K38" s="1038"/>
      <c r="L38" s="1038"/>
      <c r="M38" s="1038"/>
      <c r="N38" s="1038"/>
      <c r="O38" s="1038"/>
      <c r="P38" s="1038"/>
      <c r="Q38" s="1038"/>
      <c r="R38" s="1038"/>
      <c r="S38" s="1038"/>
      <c r="T38" s="1038"/>
      <c r="U38" s="1038"/>
      <c r="V38" s="1038"/>
      <c r="W38" s="1038"/>
      <c r="X38" s="1038"/>
    </row>
    <row r="39" ht="15.75" customHeight="1">
      <c r="A39" s="16" t="s">
        <v>4448</v>
      </c>
      <c r="B39" s="497"/>
      <c r="C39" s="497" t="s">
        <v>1205</v>
      </c>
      <c r="D39" s="497"/>
      <c r="E39" s="716"/>
      <c r="F39" s="716"/>
      <c r="G39" s="1038"/>
      <c r="H39" s="1038"/>
      <c r="I39" s="1038"/>
      <c r="J39" s="1038"/>
      <c r="K39" s="1038"/>
      <c r="L39" s="1038"/>
      <c r="M39" s="1038"/>
      <c r="N39" s="1038"/>
      <c r="O39" s="1038"/>
      <c r="P39" s="1038"/>
      <c r="Q39" s="1038"/>
      <c r="R39" s="1038"/>
      <c r="S39" s="1038"/>
      <c r="T39" s="1038"/>
      <c r="U39" s="1038"/>
      <c r="V39" s="1038"/>
      <c r="W39" s="1038"/>
      <c r="X39" s="1038"/>
    </row>
    <row r="40" ht="15.75" customHeight="1">
      <c r="A40" s="16" t="s">
        <v>4449</v>
      </c>
      <c r="B40" s="497"/>
      <c r="C40" s="16" t="s">
        <v>23</v>
      </c>
      <c r="D40" s="497"/>
      <c r="E40" s="716"/>
      <c r="F40" s="716"/>
      <c r="G40" s="1038"/>
      <c r="H40" s="1038"/>
      <c r="I40" s="1038"/>
      <c r="J40" s="1038"/>
      <c r="K40" s="1038"/>
      <c r="L40" s="1038"/>
      <c r="M40" s="1038"/>
      <c r="N40" s="1038"/>
      <c r="O40" s="1038"/>
      <c r="P40" s="1038"/>
      <c r="Q40" s="1038"/>
      <c r="R40" s="1038"/>
      <c r="S40" s="1038"/>
      <c r="T40" s="1038"/>
      <c r="U40" s="1038"/>
      <c r="V40" s="1038"/>
      <c r="W40" s="1038"/>
      <c r="X40" s="1038"/>
    </row>
    <row r="41" ht="15.75" customHeight="1">
      <c r="A41" s="497" t="s">
        <v>4450</v>
      </c>
      <c r="B41" s="497"/>
      <c r="C41" s="16" t="s">
        <v>671</v>
      </c>
      <c r="D41" s="497"/>
      <c r="E41" s="716"/>
      <c r="F41" s="716"/>
      <c r="G41" s="1038"/>
      <c r="H41" s="1038"/>
      <c r="I41" s="1038"/>
      <c r="J41" s="1038"/>
      <c r="K41" s="1038"/>
      <c r="L41" s="1038"/>
      <c r="M41" s="1038"/>
      <c r="N41" s="1038"/>
      <c r="O41" s="1038"/>
      <c r="P41" s="1038"/>
      <c r="Q41" s="1038"/>
      <c r="R41" s="1038"/>
      <c r="S41" s="1038"/>
      <c r="T41" s="1038"/>
      <c r="U41" s="1038"/>
      <c r="V41" s="1038"/>
      <c r="W41" s="1038"/>
      <c r="X41" s="1038"/>
    </row>
  </sheetData>
  <autoFilter ref="$A$1:$C$41">
    <sortState ref="A1:C41">
      <sortCondition ref="A1:A41"/>
    </sortState>
  </autoFilter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2.75"/>
  <cols>
    <col customWidth="1" min="1" max="1" width="32.25"/>
    <col customWidth="1" min="3" max="3" width="18.25"/>
    <col customWidth="1" min="4" max="4" width="19.0"/>
    <col customWidth="1" min="6" max="6" width="6.5"/>
    <col customWidth="1" min="7" max="7" width="14.88"/>
  </cols>
  <sheetData>
    <row r="1">
      <c r="A1" s="448" t="s">
        <v>4451</v>
      </c>
      <c r="B1" s="326" t="s">
        <v>4452</v>
      </c>
      <c r="C1" s="326" t="s">
        <v>4453</v>
      </c>
      <c r="D1" s="326" t="s">
        <v>4454</v>
      </c>
      <c r="E1" s="326" t="s">
        <v>4455</v>
      </c>
      <c r="F1" s="515" t="s">
        <v>4456</v>
      </c>
      <c r="G1" s="305" t="s">
        <v>4457</v>
      </c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</row>
    <row r="2">
      <c r="A2" s="448" t="s">
        <v>4458</v>
      </c>
      <c r="B2" s="329"/>
      <c r="C2" s="326" t="s">
        <v>4459</v>
      </c>
      <c r="D2" s="326" t="s">
        <v>4460</v>
      </c>
      <c r="E2" s="329"/>
      <c r="F2" s="515" t="s">
        <v>4326</v>
      </c>
      <c r="G2" s="489" t="s">
        <v>4461</v>
      </c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</row>
    <row r="3">
      <c r="A3" s="448" t="s">
        <v>4462</v>
      </c>
      <c r="B3" s="329"/>
      <c r="C3" s="326" t="s">
        <v>4463</v>
      </c>
      <c r="D3" s="326" t="s">
        <v>4464</v>
      </c>
      <c r="E3" s="329"/>
      <c r="F3" s="371"/>
      <c r="G3" s="307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</row>
    <row r="4" ht="28.5" customHeight="1">
      <c r="A4" s="448" t="s">
        <v>4465</v>
      </c>
      <c r="B4" s="329"/>
      <c r="C4" s="326" t="s">
        <v>4459</v>
      </c>
      <c r="D4" s="326" t="s">
        <v>4466</v>
      </c>
      <c r="E4" s="326" t="s">
        <v>4467</v>
      </c>
      <c r="F4" s="515" t="s">
        <v>4326</v>
      </c>
      <c r="G4" s="489" t="s">
        <v>4461</v>
      </c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  <c r="Z4" s="371"/>
    </row>
    <row r="5">
      <c r="A5" s="448" t="s">
        <v>4468</v>
      </c>
      <c r="B5" s="329"/>
      <c r="C5" s="326" t="s">
        <v>4469</v>
      </c>
      <c r="D5" s="326" t="s">
        <v>4470</v>
      </c>
      <c r="E5" s="329"/>
      <c r="F5" s="515" t="s">
        <v>4326</v>
      </c>
      <c r="G5" s="307"/>
      <c r="H5" s="371"/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/>
      <c r="Z5" s="371"/>
    </row>
    <row r="6">
      <c r="A6" s="448" t="s">
        <v>4471</v>
      </c>
      <c r="B6" s="326" t="s">
        <v>4472</v>
      </c>
      <c r="C6" s="326" t="s">
        <v>4459</v>
      </c>
      <c r="D6" s="326" t="s">
        <v>4473</v>
      </c>
      <c r="E6" s="326" t="s">
        <v>4474</v>
      </c>
      <c r="F6" s="515" t="s">
        <v>4326</v>
      </c>
      <c r="G6" s="489" t="s">
        <v>4475</v>
      </c>
      <c r="H6" s="371"/>
      <c r="I6" s="371"/>
      <c r="J6" s="371"/>
      <c r="K6" s="371"/>
      <c r="L6" s="371"/>
      <c r="M6" s="371"/>
      <c r="N6" s="371"/>
      <c r="O6" s="371"/>
      <c r="P6" s="371"/>
      <c r="Q6" s="371"/>
      <c r="R6" s="371"/>
      <c r="S6" s="371"/>
      <c r="T6" s="371"/>
      <c r="U6" s="371"/>
      <c r="V6" s="371"/>
      <c r="W6" s="371"/>
      <c r="X6" s="371"/>
      <c r="Y6" s="371"/>
      <c r="Z6" s="371"/>
    </row>
    <row r="7">
      <c r="A7" s="448" t="s">
        <v>4476</v>
      </c>
      <c r="B7" s="326">
        <v>6.6909575E7</v>
      </c>
      <c r="C7" s="326" t="s">
        <v>4477</v>
      </c>
      <c r="D7" s="326" t="s">
        <v>4478</v>
      </c>
      <c r="E7" s="329"/>
      <c r="F7" s="371"/>
      <c r="G7" s="307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</row>
    <row r="8">
      <c r="A8" s="448" t="s">
        <v>4479</v>
      </c>
      <c r="B8" s="326" t="s">
        <v>4480</v>
      </c>
      <c r="C8" s="326" t="s">
        <v>4481</v>
      </c>
      <c r="D8" s="326" t="s">
        <v>4482</v>
      </c>
      <c r="E8" s="326" t="s">
        <v>4483</v>
      </c>
      <c r="F8" s="515" t="s">
        <v>4326</v>
      </c>
      <c r="G8" s="307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</row>
    <row r="9">
      <c r="A9" s="448" t="s">
        <v>4479</v>
      </c>
      <c r="B9" s="326" t="s">
        <v>4480</v>
      </c>
      <c r="C9" s="326" t="s">
        <v>4484</v>
      </c>
      <c r="D9" s="326" t="s">
        <v>4485</v>
      </c>
      <c r="E9" s="326"/>
      <c r="F9" s="515" t="s">
        <v>4326</v>
      </c>
      <c r="G9" s="307"/>
      <c r="H9" s="371"/>
      <c r="I9" s="371"/>
      <c r="J9" s="371"/>
      <c r="K9" s="371"/>
      <c r="L9" s="371"/>
      <c r="M9" s="371"/>
      <c r="N9" s="371"/>
      <c r="O9" s="371"/>
      <c r="P9" s="371"/>
      <c r="Q9" s="371"/>
      <c r="R9" s="371"/>
      <c r="S9" s="371"/>
      <c r="T9" s="371"/>
      <c r="U9" s="371"/>
      <c r="V9" s="371"/>
      <c r="W9" s="371"/>
      <c r="X9" s="371"/>
      <c r="Y9" s="371"/>
      <c r="Z9" s="371"/>
    </row>
    <row r="10">
      <c r="A10" s="448" t="s">
        <v>4486</v>
      </c>
      <c r="B10" s="329"/>
      <c r="C10" s="326" t="s">
        <v>4487</v>
      </c>
      <c r="D10" s="326" t="s">
        <v>4488</v>
      </c>
      <c r="E10" s="329"/>
      <c r="F10" s="371"/>
      <c r="G10" s="307"/>
      <c r="H10" s="371"/>
      <c r="I10" s="371"/>
      <c r="J10" s="371"/>
      <c r="K10" s="371"/>
      <c r="L10" s="371"/>
      <c r="M10" s="371"/>
      <c r="N10" s="371"/>
      <c r="O10" s="371"/>
      <c r="P10" s="371"/>
      <c r="Q10" s="371"/>
      <c r="R10" s="371"/>
      <c r="S10" s="371"/>
      <c r="T10" s="371"/>
      <c r="U10" s="371"/>
      <c r="V10" s="371"/>
      <c r="W10" s="371"/>
      <c r="X10" s="371"/>
      <c r="Y10" s="371"/>
      <c r="Z10" s="371"/>
    </row>
    <row r="11">
      <c r="A11" s="448" t="s">
        <v>4489</v>
      </c>
      <c r="B11" s="329"/>
      <c r="C11" s="326" t="s">
        <v>4490</v>
      </c>
      <c r="D11" s="326" t="s">
        <v>4491</v>
      </c>
      <c r="E11" s="326" t="s">
        <v>4492</v>
      </c>
      <c r="F11" s="515" t="s">
        <v>4326</v>
      </c>
      <c r="G11" s="307"/>
      <c r="H11" s="371"/>
      <c r="I11" s="371"/>
      <c r="J11" s="371"/>
      <c r="K11" s="371"/>
      <c r="L11" s="371"/>
      <c r="M11" s="371"/>
      <c r="N11" s="371"/>
      <c r="O11" s="371"/>
      <c r="P11" s="371"/>
      <c r="Q11" s="371"/>
      <c r="R11" s="371"/>
      <c r="S11" s="371"/>
      <c r="T11" s="371"/>
      <c r="U11" s="371"/>
      <c r="V11" s="371"/>
      <c r="W11" s="371"/>
      <c r="X11" s="371"/>
      <c r="Y11" s="371"/>
      <c r="Z11" s="371"/>
    </row>
    <row r="12">
      <c r="A12" s="448" t="s">
        <v>1304</v>
      </c>
      <c r="B12" s="329"/>
      <c r="C12" s="326" t="s">
        <v>4493</v>
      </c>
      <c r="D12" s="326" t="s">
        <v>4494</v>
      </c>
      <c r="E12" s="326" t="s">
        <v>4495</v>
      </c>
      <c r="F12" s="515" t="s">
        <v>4326</v>
      </c>
      <c r="G12" s="307"/>
      <c r="H12" s="371"/>
      <c r="I12" s="371"/>
      <c r="J12" s="371"/>
      <c r="K12" s="371"/>
      <c r="L12" s="371"/>
      <c r="M12" s="371"/>
      <c r="N12" s="371"/>
      <c r="O12" s="371"/>
      <c r="P12" s="371"/>
      <c r="Q12" s="371"/>
      <c r="R12" s="371"/>
      <c r="S12" s="371"/>
      <c r="T12" s="371"/>
      <c r="U12" s="371"/>
      <c r="V12" s="371"/>
      <c r="W12" s="371"/>
      <c r="X12" s="371"/>
      <c r="Y12" s="371"/>
      <c r="Z12" s="371"/>
    </row>
    <row r="13">
      <c r="A13" s="448" t="s">
        <v>4496</v>
      </c>
      <c r="B13" s="329"/>
      <c r="C13" s="326" t="s">
        <v>4497</v>
      </c>
      <c r="D13" s="326" t="s">
        <v>4498</v>
      </c>
      <c r="E13" s="326" t="s">
        <v>4499</v>
      </c>
      <c r="F13" s="515" t="s">
        <v>4326</v>
      </c>
      <c r="G13" s="489" t="s">
        <v>4500</v>
      </c>
      <c r="H13" s="371"/>
      <c r="I13" s="371"/>
      <c r="J13" s="371"/>
      <c r="K13" s="371"/>
      <c r="L13" s="371"/>
      <c r="M13" s="371"/>
      <c r="N13" s="371"/>
      <c r="O13" s="371"/>
      <c r="P13" s="371"/>
      <c r="Q13" s="371"/>
      <c r="R13" s="371"/>
      <c r="S13" s="371"/>
      <c r="T13" s="371"/>
      <c r="U13" s="371"/>
      <c r="V13" s="371"/>
      <c r="W13" s="371"/>
      <c r="X13" s="371"/>
      <c r="Y13" s="371"/>
      <c r="Z13" s="371"/>
    </row>
    <row r="14">
      <c r="A14" s="448" t="s">
        <v>4501</v>
      </c>
      <c r="B14" s="329"/>
      <c r="C14" s="326" t="s">
        <v>4502</v>
      </c>
      <c r="D14" s="326" t="s">
        <v>4503</v>
      </c>
      <c r="E14" s="329"/>
      <c r="F14" s="515" t="s">
        <v>340</v>
      </c>
      <c r="G14" s="307"/>
      <c r="H14" s="371"/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71"/>
      <c r="V14" s="371"/>
      <c r="W14" s="371"/>
      <c r="X14" s="371"/>
      <c r="Y14" s="371"/>
      <c r="Z14" s="371"/>
    </row>
    <row r="15">
      <c r="A15" s="448" t="s">
        <v>4504</v>
      </c>
      <c r="B15" s="329"/>
      <c r="C15" s="326" t="s">
        <v>4493</v>
      </c>
      <c r="D15" s="329"/>
      <c r="E15" s="326" t="s">
        <v>4505</v>
      </c>
      <c r="F15" s="515" t="s">
        <v>340</v>
      </c>
      <c r="G15" s="307"/>
      <c r="H15" s="371"/>
      <c r="I15" s="371"/>
      <c r="J15" s="371"/>
      <c r="K15" s="371"/>
      <c r="L15" s="371"/>
      <c r="M15" s="371"/>
      <c r="N15" s="371"/>
      <c r="O15" s="371"/>
      <c r="P15" s="371"/>
      <c r="Q15" s="371"/>
      <c r="R15" s="371"/>
      <c r="S15" s="371"/>
      <c r="T15" s="371"/>
      <c r="U15" s="371"/>
      <c r="V15" s="371"/>
      <c r="W15" s="371"/>
      <c r="X15" s="371"/>
      <c r="Y15" s="371"/>
      <c r="Z15" s="371"/>
    </row>
    <row r="16">
      <c r="A16" s="448" t="s">
        <v>4506</v>
      </c>
      <c r="B16" s="326" t="s">
        <v>4507</v>
      </c>
      <c r="C16" s="326" t="s">
        <v>4508</v>
      </c>
      <c r="D16" s="326" t="s">
        <v>4509</v>
      </c>
      <c r="E16" s="329"/>
      <c r="F16" s="515"/>
      <c r="G16" s="489" t="s">
        <v>4475</v>
      </c>
      <c r="H16" s="371"/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Z16" s="371"/>
    </row>
    <row r="17">
      <c r="A17" s="448" t="s">
        <v>4510</v>
      </c>
      <c r="B17" s="326" t="s">
        <v>4511</v>
      </c>
      <c r="C17" s="326" t="s">
        <v>4469</v>
      </c>
      <c r="D17" s="326" t="s">
        <v>4512</v>
      </c>
      <c r="E17" s="329"/>
      <c r="F17" s="515" t="s">
        <v>340</v>
      </c>
      <c r="G17" s="307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Z17" s="371"/>
    </row>
    <row r="18">
      <c r="A18" s="448" t="s">
        <v>73</v>
      </c>
      <c r="B18" s="326" t="s">
        <v>4513</v>
      </c>
      <c r="C18" s="326" t="s">
        <v>4514</v>
      </c>
      <c r="D18" s="326" t="s">
        <v>4515</v>
      </c>
      <c r="E18" s="326" t="s">
        <v>4516</v>
      </c>
      <c r="F18" s="371"/>
      <c r="G18" s="307"/>
      <c r="H18" s="371"/>
      <c r="I18" s="371"/>
      <c r="J18" s="371"/>
      <c r="K18" s="371"/>
      <c r="L18" s="371"/>
      <c r="M18" s="371"/>
      <c r="N18" s="371"/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Z18" s="371"/>
    </row>
    <row r="19">
      <c r="A19" s="448" t="s">
        <v>4517</v>
      </c>
      <c r="B19" s="329"/>
      <c r="C19" s="326" t="s">
        <v>4518</v>
      </c>
      <c r="D19" s="326" t="s">
        <v>4519</v>
      </c>
      <c r="E19" s="329"/>
      <c r="F19" s="371"/>
      <c r="G19" s="307"/>
      <c r="H19" s="371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Z19" s="371"/>
    </row>
    <row r="20" ht="17.25" customHeight="1">
      <c r="A20" s="448" t="s">
        <v>2649</v>
      </c>
      <c r="B20" s="326" t="s">
        <v>4520</v>
      </c>
      <c r="C20" s="326" t="s">
        <v>4521</v>
      </c>
      <c r="D20" s="326" t="s">
        <v>4522</v>
      </c>
      <c r="E20" s="326" t="s">
        <v>4523</v>
      </c>
      <c r="F20" s="371"/>
      <c r="G20" s="307"/>
      <c r="H20" s="371"/>
      <c r="I20" s="371"/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Z20" s="371"/>
    </row>
    <row r="21">
      <c r="A21" s="448" t="s">
        <v>2918</v>
      </c>
      <c r="B21" s="329"/>
      <c r="C21" s="326" t="s">
        <v>4524</v>
      </c>
      <c r="D21" s="326" t="s">
        <v>4525</v>
      </c>
      <c r="E21" s="329"/>
      <c r="F21" s="515" t="s">
        <v>340</v>
      </c>
      <c r="G21" s="307"/>
      <c r="H21" s="371"/>
      <c r="I21" s="371"/>
      <c r="J21" s="371"/>
      <c r="K21" s="371"/>
      <c r="L21" s="371"/>
      <c r="M21" s="371"/>
      <c r="N21" s="371"/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Z21" s="371"/>
    </row>
    <row r="22">
      <c r="A22" s="448" t="s">
        <v>4526</v>
      </c>
      <c r="B22" s="329"/>
      <c r="C22" s="329"/>
      <c r="D22" s="329"/>
      <c r="E22" s="329"/>
      <c r="F22" s="515" t="s">
        <v>340</v>
      </c>
      <c r="G22" s="307"/>
      <c r="H22" s="371"/>
      <c r="I22" s="371"/>
      <c r="J22" s="371"/>
      <c r="K22" s="371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Z22" s="371"/>
    </row>
    <row r="23">
      <c r="A23" s="1040" t="s">
        <v>23</v>
      </c>
      <c r="B23" s="329"/>
      <c r="C23" s="329"/>
      <c r="D23" s="329"/>
      <c r="E23" s="329"/>
      <c r="F23" s="371"/>
      <c r="G23" s="307"/>
      <c r="H23" s="371"/>
      <c r="I23" s="371"/>
      <c r="J23" s="371"/>
      <c r="K23" s="371"/>
      <c r="L23" s="371"/>
      <c r="M23" s="371"/>
      <c r="N23" s="371"/>
      <c r="O23" s="371"/>
      <c r="P23" s="371"/>
      <c r="Q23" s="371"/>
      <c r="R23" s="371"/>
      <c r="S23" s="371"/>
      <c r="T23" s="371"/>
      <c r="U23" s="371"/>
      <c r="V23" s="371"/>
      <c r="W23" s="371"/>
      <c r="X23" s="371"/>
      <c r="Y23" s="371"/>
      <c r="Z23" s="371"/>
    </row>
    <row r="24">
      <c r="A24" s="1040" t="s">
        <v>4527</v>
      </c>
      <c r="B24" s="329"/>
      <c r="C24" s="329"/>
      <c r="D24" s="329"/>
      <c r="E24" s="326">
        <v>48121.0</v>
      </c>
      <c r="F24" s="515" t="s">
        <v>340</v>
      </c>
      <c r="G24" s="307"/>
      <c r="H24" s="371"/>
      <c r="I24" s="371"/>
      <c r="J24" s="371"/>
      <c r="K24" s="371"/>
      <c r="L24" s="371"/>
      <c r="M24" s="371"/>
      <c r="N24" s="371"/>
      <c r="O24" s="371"/>
      <c r="P24" s="371"/>
      <c r="Q24" s="371"/>
      <c r="R24" s="371"/>
      <c r="S24" s="371"/>
      <c r="T24" s="371"/>
      <c r="U24" s="371"/>
      <c r="V24" s="371"/>
      <c r="W24" s="371"/>
      <c r="X24" s="371"/>
      <c r="Y24" s="371"/>
      <c r="Z24" s="371"/>
    </row>
    <row r="25">
      <c r="A25" s="1041" t="s">
        <v>4528</v>
      </c>
      <c r="B25" s="329"/>
      <c r="C25" s="329"/>
      <c r="D25" s="329"/>
      <c r="E25" s="329"/>
      <c r="F25" s="515" t="s">
        <v>340</v>
      </c>
      <c r="G25" s="307"/>
      <c r="H25" s="371"/>
      <c r="I25" s="371"/>
      <c r="J25" s="371"/>
      <c r="K25" s="371"/>
      <c r="L25" s="371"/>
      <c r="M25" s="371"/>
      <c r="N25" s="371"/>
      <c r="O25" s="371"/>
      <c r="P25" s="371"/>
      <c r="Q25" s="371"/>
      <c r="R25" s="371"/>
      <c r="S25" s="371"/>
      <c r="T25" s="371"/>
      <c r="U25" s="371"/>
      <c r="V25" s="371"/>
      <c r="W25" s="371"/>
      <c r="X25" s="371"/>
      <c r="Y25" s="371"/>
      <c r="Z25" s="371"/>
    </row>
    <row r="26">
      <c r="A26" s="1040" t="s">
        <v>4529</v>
      </c>
      <c r="B26" s="307"/>
      <c r="C26" s="307"/>
      <c r="D26" s="307"/>
      <c r="E26" s="307"/>
      <c r="F26" s="515" t="s">
        <v>340</v>
      </c>
      <c r="G26" s="307"/>
      <c r="H26" s="371"/>
      <c r="I26" s="371"/>
      <c r="J26" s="371"/>
      <c r="K26" s="371"/>
      <c r="L26" s="371"/>
      <c r="M26" s="371"/>
      <c r="N26" s="371"/>
      <c r="O26" s="371"/>
      <c r="P26" s="371"/>
      <c r="Q26" s="371"/>
      <c r="R26" s="371"/>
      <c r="S26" s="371"/>
      <c r="T26" s="371"/>
      <c r="U26" s="371"/>
      <c r="V26" s="371"/>
      <c r="W26" s="371"/>
      <c r="X26" s="371"/>
      <c r="Y26" s="371"/>
      <c r="Z26" s="371"/>
    </row>
    <row r="27">
      <c r="A27" s="1042" t="s">
        <v>286</v>
      </c>
      <c r="B27" s="307"/>
      <c r="C27" s="307"/>
      <c r="D27" s="307"/>
      <c r="E27" s="307"/>
      <c r="F27" s="371"/>
      <c r="G27" s="307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371"/>
      <c r="V27" s="371"/>
      <c r="W27" s="371"/>
      <c r="X27" s="371"/>
      <c r="Y27" s="371"/>
      <c r="Z27" s="371"/>
    </row>
    <row r="28">
      <c r="A28" s="1042" t="s">
        <v>4530</v>
      </c>
      <c r="B28" s="307"/>
      <c r="C28" s="307"/>
      <c r="D28" s="307"/>
      <c r="E28" s="307"/>
      <c r="F28" s="515" t="s">
        <v>340</v>
      </c>
      <c r="G28" s="307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1"/>
      <c r="U28" s="371"/>
      <c r="V28" s="371"/>
      <c r="W28" s="371"/>
      <c r="X28" s="371"/>
      <c r="Y28" s="371"/>
      <c r="Z28" s="371"/>
    </row>
    <row r="29">
      <c r="A29" s="1040" t="s">
        <v>437</v>
      </c>
      <c r="B29" s="307"/>
      <c r="C29" s="307"/>
      <c r="D29" s="307"/>
      <c r="E29" s="307"/>
      <c r="F29" s="515" t="s">
        <v>340</v>
      </c>
      <c r="G29" s="307"/>
      <c r="H29" s="371"/>
      <c r="I29" s="371"/>
      <c r="J29" s="371"/>
      <c r="K29" s="371"/>
      <c r="L29" s="371"/>
      <c r="M29" s="371"/>
      <c r="N29" s="371"/>
      <c r="O29" s="371"/>
      <c r="P29" s="371"/>
      <c r="Q29" s="371"/>
      <c r="R29" s="371"/>
      <c r="S29" s="371"/>
      <c r="T29" s="371"/>
      <c r="U29" s="371"/>
      <c r="V29" s="371"/>
      <c r="W29" s="371"/>
      <c r="X29" s="371"/>
      <c r="Y29" s="371"/>
      <c r="Z29" s="371"/>
    </row>
    <row r="30">
      <c r="A30" s="1043" t="s">
        <v>4408</v>
      </c>
      <c r="B30" s="307"/>
      <c r="C30" s="307"/>
      <c r="D30" s="307"/>
      <c r="E30" s="307"/>
      <c r="F30" s="515" t="s">
        <v>340</v>
      </c>
      <c r="G30" s="307"/>
      <c r="H30" s="371"/>
      <c r="I30" s="371"/>
      <c r="J30" s="371"/>
      <c r="K30" s="371"/>
      <c r="L30" s="371"/>
      <c r="M30" s="371"/>
      <c r="N30" s="371"/>
      <c r="O30" s="371"/>
      <c r="P30" s="371"/>
      <c r="Q30" s="371"/>
      <c r="R30" s="371"/>
      <c r="S30" s="371"/>
      <c r="T30" s="371"/>
      <c r="U30" s="371"/>
      <c r="V30" s="371"/>
      <c r="W30" s="371"/>
      <c r="X30" s="371"/>
      <c r="Y30" s="371"/>
      <c r="Z30" s="371"/>
    </row>
    <row r="31">
      <c r="A31" s="1041" t="s">
        <v>671</v>
      </c>
      <c r="B31" s="307"/>
      <c r="C31" s="307"/>
      <c r="D31" s="307"/>
      <c r="E31" s="307"/>
      <c r="F31" s="515" t="s">
        <v>340</v>
      </c>
      <c r="G31" s="307"/>
      <c r="H31" s="371"/>
      <c r="I31" s="371"/>
      <c r="J31" s="371"/>
      <c r="K31" s="371"/>
      <c r="L31" s="371"/>
      <c r="M31" s="371"/>
      <c r="N31" s="371"/>
      <c r="O31" s="371"/>
      <c r="P31" s="371"/>
      <c r="Q31" s="371"/>
      <c r="R31" s="371"/>
      <c r="S31" s="371"/>
      <c r="T31" s="371"/>
      <c r="U31" s="371"/>
      <c r="V31" s="371"/>
      <c r="W31" s="371"/>
      <c r="X31" s="371"/>
      <c r="Y31" s="371"/>
      <c r="Z31" s="371"/>
    </row>
    <row r="32">
      <c r="A32" s="1041" t="s">
        <v>670</v>
      </c>
      <c r="B32" s="307"/>
      <c r="C32" s="307"/>
      <c r="D32" s="307"/>
      <c r="E32" s="307"/>
      <c r="F32" s="371"/>
      <c r="G32" s="307"/>
      <c r="H32" s="371"/>
      <c r="I32" s="371"/>
      <c r="J32" s="371"/>
      <c r="K32" s="371"/>
      <c r="L32" s="371"/>
      <c r="M32" s="371"/>
      <c r="N32" s="371"/>
      <c r="O32" s="371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Z32" s="371"/>
    </row>
    <row r="33">
      <c r="A33" s="1040" t="s">
        <v>744</v>
      </c>
      <c r="B33" s="307"/>
      <c r="C33" s="307"/>
      <c r="D33" s="307"/>
      <c r="E33" s="307"/>
      <c r="F33" s="515" t="s">
        <v>4531</v>
      </c>
      <c r="G33" s="307"/>
      <c r="H33" s="371"/>
      <c r="I33" s="371"/>
      <c r="J33" s="371"/>
      <c r="K33" s="371"/>
      <c r="L33" s="371"/>
      <c r="M33" s="371"/>
      <c r="N33" s="371"/>
      <c r="O33" s="371"/>
      <c r="P33" s="371"/>
      <c r="Q33" s="371"/>
      <c r="R33" s="371"/>
      <c r="S33" s="371"/>
      <c r="T33" s="371"/>
      <c r="U33" s="371"/>
      <c r="V33" s="371"/>
      <c r="W33" s="371"/>
      <c r="X33" s="371"/>
      <c r="Y33" s="371"/>
      <c r="Z33" s="371"/>
    </row>
    <row r="34">
      <c r="A34" s="1040" t="s">
        <v>815</v>
      </c>
      <c r="B34" s="307"/>
      <c r="C34" s="307"/>
      <c r="D34" s="307"/>
      <c r="E34" s="307"/>
      <c r="F34" s="515" t="s">
        <v>340</v>
      </c>
      <c r="G34" s="307"/>
      <c r="H34" s="371"/>
      <c r="I34" s="371"/>
      <c r="J34" s="371"/>
      <c r="K34" s="371"/>
      <c r="L34" s="371"/>
      <c r="M34" s="371"/>
      <c r="N34" s="371"/>
      <c r="O34" s="371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Z34" s="371"/>
    </row>
    <row r="35">
      <c r="A35" s="579" t="s">
        <v>1306</v>
      </c>
      <c r="B35" s="307"/>
      <c r="C35" s="307"/>
      <c r="D35" s="307"/>
      <c r="E35" s="307"/>
      <c r="F35" s="515" t="s">
        <v>340</v>
      </c>
      <c r="G35" s="307"/>
      <c r="H35" s="371"/>
      <c r="I35" s="371"/>
      <c r="J35" s="371"/>
      <c r="K35" s="371"/>
      <c r="L35" s="371"/>
      <c r="M35" s="371"/>
      <c r="N35" s="371"/>
      <c r="O35" s="371"/>
      <c r="P35" s="371"/>
      <c r="Q35" s="371"/>
      <c r="R35" s="371"/>
      <c r="S35" s="371"/>
      <c r="T35" s="371"/>
      <c r="U35" s="371"/>
      <c r="V35" s="371"/>
      <c r="W35" s="371"/>
      <c r="X35" s="371"/>
      <c r="Y35" s="371"/>
      <c r="Z35" s="371"/>
    </row>
    <row r="36">
      <c r="A36" s="1042" t="s">
        <v>1383</v>
      </c>
      <c r="B36" s="307"/>
      <c r="C36" s="307"/>
      <c r="D36" s="307"/>
      <c r="E36" s="307"/>
      <c r="F36" s="515" t="s">
        <v>340</v>
      </c>
      <c r="G36" s="307"/>
      <c r="H36" s="371"/>
      <c r="I36" s="371"/>
      <c r="J36" s="371"/>
      <c r="K36" s="371"/>
      <c r="L36" s="371"/>
      <c r="M36" s="371"/>
      <c r="N36" s="371"/>
      <c r="O36" s="371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Z36" s="371"/>
    </row>
    <row r="37">
      <c r="A37" s="515" t="s">
        <v>1108</v>
      </c>
      <c r="B37" s="307"/>
      <c r="C37" s="307"/>
      <c r="D37" s="307"/>
      <c r="E37" s="307"/>
      <c r="F37" s="515" t="s">
        <v>340</v>
      </c>
      <c r="G37" s="307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371"/>
      <c r="V37" s="371"/>
      <c r="W37" s="371"/>
      <c r="X37" s="371"/>
      <c r="Y37" s="371"/>
      <c r="Z37" s="371"/>
    </row>
    <row r="38">
      <c r="A38" s="1040" t="s">
        <v>4532</v>
      </c>
      <c r="B38" s="307"/>
      <c r="C38" s="307"/>
      <c r="D38" s="307"/>
      <c r="E38" s="307"/>
      <c r="F38" s="515" t="s">
        <v>340</v>
      </c>
      <c r="G38" s="307"/>
      <c r="H38" s="371"/>
      <c r="I38" s="371"/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Z38" s="371"/>
    </row>
    <row r="39">
      <c r="A39" s="1041" t="s">
        <v>2794</v>
      </c>
      <c r="B39" s="307"/>
      <c r="C39" s="305" t="s">
        <v>4533</v>
      </c>
      <c r="D39" s="305">
        <v>2.100342558E10</v>
      </c>
      <c r="E39" s="307"/>
      <c r="F39" s="515" t="s">
        <v>340</v>
      </c>
      <c r="G39" s="307"/>
      <c r="H39" s="371"/>
      <c r="I39" s="371"/>
      <c r="J39" s="371"/>
      <c r="K39" s="371"/>
      <c r="L39" s="371"/>
      <c r="M39" s="371"/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Z39" s="371"/>
    </row>
    <row r="40">
      <c r="A40" s="1040" t="s">
        <v>1907</v>
      </c>
      <c r="B40" s="307"/>
      <c r="C40" s="307"/>
      <c r="D40" s="307"/>
      <c r="E40" s="307"/>
      <c r="F40" s="515" t="s">
        <v>340</v>
      </c>
      <c r="G40" s="307"/>
      <c r="H40" s="371"/>
      <c r="I40" s="371"/>
      <c r="J40" s="371"/>
      <c r="K40" s="371"/>
      <c r="L40" s="371"/>
      <c r="M40" s="371"/>
      <c r="N40" s="371"/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Z40" s="371"/>
    </row>
    <row r="41">
      <c r="A41" s="371"/>
      <c r="B41" s="307"/>
      <c r="C41" s="307"/>
      <c r="D41" s="307"/>
      <c r="E41" s="307"/>
      <c r="F41" s="371"/>
      <c r="G41" s="307"/>
      <c r="H41" s="371"/>
      <c r="I41" s="371"/>
      <c r="J41" s="371"/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71"/>
      <c r="V41" s="371"/>
      <c r="W41" s="371"/>
      <c r="X41" s="371"/>
      <c r="Y41" s="371"/>
      <c r="Z41" s="371"/>
    </row>
    <row r="42">
      <c r="A42" s="371"/>
      <c r="B42" s="307"/>
      <c r="C42" s="307"/>
      <c r="D42" s="307"/>
      <c r="E42" s="307"/>
      <c r="F42" s="371"/>
      <c r="G42" s="307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Z42" s="371"/>
    </row>
    <row r="43">
      <c r="A43" s="371"/>
      <c r="B43" s="307"/>
      <c r="C43" s="307"/>
      <c r="D43" s="307"/>
      <c r="E43" s="307"/>
      <c r="F43" s="371"/>
      <c r="G43" s="307"/>
      <c r="H43" s="371"/>
      <c r="I43" s="371"/>
      <c r="J43" s="371"/>
      <c r="K43" s="371"/>
      <c r="L43" s="371"/>
      <c r="M43" s="371"/>
      <c r="N43" s="371"/>
      <c r="O43" s="371"/>
      <c r="P43" s="371"/>
      <c r="Q43" s="371"/>
      <c r="R43" s="371"/>
      <c r="S43" s="371"/>
      <c r="T43" s="371"/>
      <c r="U43" s="371"/>
      <c r="V43" s="371"/>
      <c r="W43" s="371"/>
      <c r="X43" s="371"/>
      <c r="Y43" s="371"/>
      <c r="Z43" s="371"/>
    </row>
    <row r="44">
      <c r="A44" s="371"/>
      <c r="B44" s="307"/>
      <c r="C44" s="307"/>
      <c r="D44" s="307"/>
      <c r="E44" s="307"/>
      <c r="F44" s="371"/>
      <c r="G44" s="307"/>
      <c r="H44" s="371"/>
      <c r="I44" s="371"/>
      <c r="J44" s="371"/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Z44" s="371"/>
    </row>
    <row r="45">
      <c r="A45" s="371"/>
      <c r="B45" s="307"/>
      <c r="C45" s="307"/>
      <c r="D45" s="307"/>
      <c r="E45" s="307"/>
      <c r="F45" s="371"/>
      <c r="G45" s="307"/>
      <c r="H45" s="371"/>
      <c r="I45" s="371"/>
      <c r="J45" s="371"/>
      <c r="K45" s="371"/>
      <c r="L45" s="371"/>
      <c r="M45" s="371"/>
      <c r="N45" s="371"/>
      <c r="O45" s="371"/>
      <c r="P45" s="371"/>
      <c r="Q45" s="371"/>
      <c r="R45" s="371"/>
      <c r="S45" s="371"/>
      <c r="T45" s="371"/>
      <c r="U45" s="371"/>
      <c r="V45" s="371"/>
      <c r="W45" s="371"/>
      <c r="X45" s="371"/>
      <c r="Y45" s="371"/>
      <c r="Z45" s="371"/>
    </row>
    <row r="46">
      <c r="A46" s="371"/>
      <c r="B46" s="307"/>
      <c r="C46" s="307"/>
      <c r="D46" s="307"/>
      <c r="E46" s="307"/>
      <c r="F46" s="371"/>
      <c r="G46" s="307"/>
      <c r="H46" s="371"/>
      <c r="I46" s="371"/>
      <c r="J46" s="371"/>
      <c r="K46" s="371"/>
      <c r="L46" s="371"/>
      <c r="M46" s="371"/>
      <c r="N46" s="371"/>
      <c r="O46" s="371"/>
      <c r="P46" s="371"/>
      <c r="Q46" s="371"/>
      <c r="R46" s="371"/>
      <c r="S46" s="371"/>
      <c r="T46" s="371"/>
      <c r="U46" s="371"/>
      <c r="V46" s="371"/>
      <c r="W46" s="371"/>
      <c r="X46" s="371"/>
      <c r="Y46" s="371"/>
      <c r="Z46" s="371"/>
    </row>
    <row r="47">
      <c r="A47" s="371"/>
      <c r="B47" s="307"/>
      <c r="C47" s="307"/>
      <c r="D47" s="307"/>
      <c r="E47" s="307"/>
      <c r="F47" s="371"/>
      <c r="G47" s="307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371"/>
      <c r="V47" s="371"/>
      <c r="W47" s="371"/>
      <c r="X47" s="371"/>
      <c r="Y47" s="371"/>
      <c r="Z47" s="371"/>
    </row>
    <row r="48">
      <c r="A48" s="371"/>
      <c r="B48" s="307"/>
      <c r="C48" s="307"/>
      <c r="D48" s="307"/>
      <c r="E48" s="307"/>
      <c r="F48" s="371"/>
      <c r="G48" s="307"/>
      <c r="H48" s="371"/>
      <c r="I48" s="371"/>
      <c r="J48" s="371"/>
      <c r="K48" s="371"/>
      <c r="L48" s="371"/>
      <c r="M48" s="371"/>
      <c r="N48" s="371"/>
      <c r="O48" s="371"/>
      <c r="P48" s="371"/>
      <c r="Q48" s="371"/>
      <c r="R48" s="371"/>
      <c r="S48" s="371"/>
      <c r="T48" s="371"/>
      <c r="U48" s="371"/>
      <c r="V48" s="371"/>
      <c r="W48" s="371"/>
      <c r="X48" s="371"/>
      <c r="Y48" s="371"/>
      <c r="Z48" s="371"/>
    </row>
    <row r="49">
      <c r="A49" s="371"/>
      <c r="B49" s="307"/>
      <c r="C49" s="307"/>
      <c r="D49" s="307"/>
      <c r="E49" s="307"/>
      <c r="F49" s="371"/>
      <c r="G49" s="307"/>
      <c r="H49" s="371"/>
      <c r="I49" s="371"/>
      <c r="J49" s="371"/>
      <c r="K49" s="371"/>
      <c r="L49" s="371"/>
      <c r="M49" s="371"/>
      <c r="N49" s="371"/>
      <c r="O49" s="371"/>
      <c r="P49" s="371"/>
      <c r="Q49" s="371"/>
      <c r="R49" s="371"/>
      <c r="S49" s="371"/>
      <c r="T49" s="371"/>
      <c r="U49" s="371"/>
      <c r="V49" s="371"/>
      <c r="W49" s="371"/>
      <c r="X49" s="371"/>
      <c r="Y49" s="371"/>
      <c r="Z49" s="371"/>
    </row>
    <row r="50">
      <c r="A50" s="371"/>
      <c r="B50" s="307"/>
      <c r="C50" s="307"/>
      <c r="D50" s="307"/>
      <c r="E50" s="307"/>
      <c r="F50" s="371"/>
      <c r="G50" s="307"/>
      <c r="H50" s="371"/>
      <c r="I50" s="371"/>
      <c r="J50" s="371"/>
      <c r="K50" s="371"/>
      <c r="L50" s="371"/>
      <c r="M50" s="371"/>
      <c r="N50" s="371"/>
      <c r="O50" s="371"/>
      <c r="P50" s="371"/>
      <c r="Q50" s="371"/>
      <c r="R50" s="371"/>
      <c r="S50" s="371"/>
      <c r="T50" s="371"/>
      <c r="U50" s="371"/>
      <c r="V50" s="371"/>
      <c r="W50" s="371"/>
      <c r="X50" s="371"/>
      <c r="Y50" s="371"/>
      <c r="Z50" s="371"/>
    </row>
    <row r="51">
      <c r="A51" s="371"/>
      <c r="B51" s="307"/>
      <c r="C51" s="307"/>
      <c r="D51" s="307"/>
      <c r="E51" s="307"/>
      <c r="F51" s="371"/>
      <c r="G51" s="307"/>
      <c r="H51" s="371"/>
      <c r="I51" s="371"/>
      <c r="J51" s="371"/>
      <c r="K51" s="371"/>
      <c r="L51" s="371"/>
      <c r="M51" s="371"/>
      <c r="N51" s="371"/>
      <c r="O51" s="371"/>
      <c r="P51" s="371"/>
      <c r="Q51" s="371"/>
      <c r="R51" s="371"/>
      <c r="S51" s="371"/>
      <c r="T51" s="371"/>
      <c r="U51" s="371"/>
      <c r="V51" s="371"/>
      <c r="W51" s="371"/>
      <c r="X51" s="371"/>
      <c r="Y51" s="371"/>
      <c r="Z51" s="371"/>
    </row>
    <row r="52">
      <c r="A52" s="371"/>
      <c r="B52" s="307"/>
      <c r="C52" s="307"/>
      <c r="D52" s="307"/>
      <c r="E52" s="307"/>
      <c r="F52" s="371"/>
      <c r="G52" s="307"/>
      <c r="H52" s="371"/>
      <c r="I52" s="371"/>
      <c r="J52" s="371"/>
      <c r="K52" s="371"/>
      <c r="L52" s="371"/>
      <c r="M52" s="371"/>
      <c r="N52" s="371"/>
      <c r="O52" s="371"/>
      <c r="P52" s="371"/>
      <c r="Q52" s="371"/>
      <c r="R52" s="371"/>
      <c r="S52" s="371"/>
      <c r="T52" s="371"/>
      <c r="U52" s="371"/>
      <c r="V52" s="371"/>
      <c r="W52" s="371"/>
      <c r="X52" s="371"/>
      <c r="Y52" s="371"/>
      <c r="Z52" s="371"/>
    </row>
    <row r="53">
      <c r="A53" s="371"/>
      <c r="B53" s="307"/>
      <c r="C53" s="307"/>
      <c r="D53" s="307"/>
      <c r="E53" s="307"/>
      <c r="F53" s="371"/>
      <c r="G53" s="307"/>
      <c r="H53" s="371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371"/>
      <c r="T53" s="371"/>
      <c r="U53" s="371"/>
      <c r="V53" s="371"/>
      <c r="W53" s="371"/>
      <c r="X53" s="371"/>
      <c r="Y53" s="371"/>
      <c r="Z53" s="371"/>
    </row>
    <row r="54">
      <c r="A54" s="371"/>
      <c r="B54" s="307"/>
      <c r="C54" s="307"/>
      <c r="D54" s="307"/>
      <c r="E54" s="307"/>
      <c r="F54" s="371"/>
      <c r="G54" s="307"/>
      <c r="H54" s="371"/>
      <c r="I54" s="371"/>
      <c r="J54" s="371"/>
      <c r="K54" s="371"/>
      <c r="L54" s="371"/>
      <c r="M54" s="371"/>
      <c r="N54" s="371"/>
      <c r="O54" s="371"/>
      <c r="P54" s="371"/>
      <c r="Q54" s="371"/>
      <c r="R54" s="371"/>
      <c r="S54" s="371"/>
      <c r="T54" s="371"/>
      <c r="U54" s="371"/>
      <c r="V54" s="371"/>
      <c r="W54" s="371"/>
      <c r="X54" s="371"/>
      <c r="Y54" s="371"/>
      <c r="Z54" s="371"/>
    </row>
    <row r="55">
      <c r="A55" s="371"/>
      <c r="B55" s="307"/>
      <c r="C55" s="307"/>
      <c r="D55" s="307"/>
      <c r="E55" s="307"/>
      <c r="F55" s="371"/>
      <c r="G55" s="307"/>
      <c r="H55" s="371"/>
      <c r="I55" s="371"/>
      <c r="J55" s="371"/>
      <c r="K55" s="371"/>
      <c r="L55" s="371"/>
      <c r="M55" s="371"/>
      <c r="N55" s="371"/>
      <c r="O55" s="371"/>
      <c r="P55" s="371"/>
      <c r="Q55" s="371"/>
      <c r="R55" s="371"/>
      <c r="S55" s="371"/>
      <c r="T55" s="371"/>
      <c r="U55" s="371"/>
      <c r="V55" s="371"/>
      <c r="W55" s="371"/>
      <c r="X55" s="371"/>
      <c r="Y55" s="371"/>
      <c r="Z55" s="371"/>
    </row>
    <row r="56">
      <c r="A56" s="371"/>
      <c r="B56" s="307"/>
      <c r="C56" s="307"/>
      <c r="D56" s="307"/>
      <c r="E56" s="307"/>
      <c r="F56" s="371"/>
      <c r="G56" s="307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/>
      <c r="Z56" s="371"/>
    </row>
    <row r="57">
      <c r="A57" s="371"/>
      <c r="B57" s="307"/>
      <c r="C57" s="307"/>
      <c r="D57" s="307"/>
      <c r="E57" s="307"/>
      <c r="F57" s="371"/>
      <c r="G57" s="307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71"/>
      <c r="V57" s="371"/>
      <c r="W57" s="371"/>
      <c r="X57" s="371"/>
      <c r="Y57" s="371"/>
      <c r="Z57" s="371"/>
    </row>
    <row r="58">
      <c r="A58" s="371"/>
      <c r="B58" s="307"/>
      <c r="C58" s="307"/>
      <c r="D58" s="307"/>
      <c r="E58" s="307"/>
      <c r="F58" s="371"/>
      <c r="G58" s="307"/>
      <c r="H58" s="371"/>
      <c r="I58" s="371"/>
      <c r="J58" s="371"/>
      <c r="K58" s="371"/>
      <c r="L58" s="371"/>
      <c r="M58" s="371"/>
      <c r="N58" s="371"/>
      <c r="O58" s="371"/>
      <c r="P58" s="371"/>
      <c r="Q58" s="371"/>
      <c r="R58" s="371"/>
      <c r="S58" s="371"/>
      <c r="T58" s="371"/>
      <c r="U58" s="371"/>
      <c r="V58" s="371"/>
      <c r="W58" s="371"/>
      <c r="X58" s="371"/>
      <c r="Y58" s="371"/>
      <c r="Z58" s="371"/>
    </row>
    <row r="59">
      <c r="A59" s="371"/>
      <c r="B59" s="307"/>
      <c r="C59" s="307"/>
      <c r="D59" s="307"/>
      <c r="E59" s="307"/>
      <c r="F59" s="371"/>
      <c r="G59" s="307"/>
      <c r="H59" s="371"/>
      <c r="I59" s="371"/>
      <c r="J59" s="371"/>
      <c r="K59" s="371"/>
      <c r="L59" s="371"/>
      <c r="M59" s="371"/>
      <c r="N59" s="371"/>
      <c r="O59" s="371"/>
      <c r="P59" s="371"/>
      <c r="Q59" s="371"/>
      <c r="R59" s="371"/>
      <c r="S59" s="371"/>
      <c r="T59" s="371"/>
      <c r="U59" s="371"/>
      <c r="V59" s="371"/>
      <c r="W59" s="371"/>
      <c r="X59" s="371"/>
      <c r="Y59" s="371"/>
      <c r="Z59" s="371"/>
    </row>
    <row r="60">
      <c r="A60" s="371"/>
      <c r="B60" s="307"/>
      <c r="C60" s="307"/>
      <c r="D60" s="307"/>
      <c r="E60" s="307"/>
      <c r="F60" s="371"/>
      <c r="G60" s="307"/>
      <c r="H60" s="371"/>
      <c r="I60" s="371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  <c r="U60" s="371"/>
      <c r="V60" s="371"/>
      <c r="W60" s="371"/>
      <c r="X60" s="371"/>
      <c r="Y60" s="371"/>
      <c r="Z60" s="371"/>
    </row>
    <row r="61">
      <c r="A61" s="371"/>
      <c r="B61" s="307"/>
      <c r="C61" s="307"/>
      <c r="D61" s="307"/>
      <c r="E61" s="307"/>
      <c r="F61" s="371"/>
      <c r="G61" s="307"/>
      <c r="H61" s="371"/>
      <c r="I61" s="371"/>
      <c r="J61" s="371"/>
      <c r="K61" s="371"/>
      <c r="L61" s="371"/>
      <c r="M61" s="371"/>
      <c r="N61" s="371"/>
      <c r="O61" s="371"/>
      <c r="P61" s="371"/>
      <c r="Q61" s="371"/>
      <c r="R61" s="371"/>
      <c r="S61" s="371"/>
      <c r="T61" s="371"/>
      <c r="U61" s="371"/>
      <c r="V61" s="371"/>
      <c r="W61" s="371"/>
      <c r="X61" s="371"/>
      <c r="Y61" s="371"/>
      <c r="Z61" s="371"/>
    </row>
    <row r="62">
      <c r="A62" s="371"/>
      <c r="B62" s="307"/>
      <c r="C62" s="307"/>
      <c r="D62" s="307"/>
      <c r="E62" s="307"/>
      <c r="F62" s="371"/>
      <c r="G62" s="307"/>
      <c r="H62" s="371"/>
      <c r="I62" s="371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  <c r="U62" s="371"/>
      <c r="V62" s="371"/>
      <c r="W62" s="371"/>
      <c r="X62" s="371"/>
      <c r="Y62" s="371"/>
      <c r="Z62" s="371"/>
    </row>
    <row r="63">
      <c r="A63" s="371"/>
      <c r="B63" s="307"/>
      <c r="C63" s="307"/>
      <c r="D63" s="307"/>
      <c r="E63" s="307"/>
      <c r="F63" s="371"/>
      <c r="G63" s="307"/>
      <c r="H63" s="371"/>
      <c r="I63" s="371"/>
      <c r="J63" s="371"/>
      <c r="K63" s="371"/>
      <c r="L63" s="371"/>
      <c r="M63" s="371"/>
      <c r="N63" s="371"/>
      <c r="O63" s="371"/>
      <c r="P63" s="371"/>
      <c r="Q63" s="371"/>
      <c r="R63" s="371"/>
      <c r="S63" s="371"/>
      <c r="T63" s="371"/>
      <c r="U63" s="371"/>
      <c r="V63" s="371"/>
      <c r="W63" s="371"/>
      <c r="X63" s="371"/>
      <c r="Y63" s="371"/>
      <c r="Z63" s="371"/>
    </row>
    <row r="64">
      <c r="A64" s="371"/>
      <c r="B64" s="307"/>
      <c r="C64" s="307"/>
      <c r="D64" s="307"/>
      <c r="E64" s="307"/>
      <c r="F64" s="371"/>
      <c r="G64" s="307"/>
      <c r="H64" s="371"/>
      <c r="I64" s="371"/>
      <c r="J64" s="371"/>
      <c r="K64" s="371"/>
      <c r="L64" s="371"/>
      <c r="M64" s="371"/>
      <c r="N64" s="371"/>
      <c r="O64" s="371"/>
      <c r="P64" s="371"/>
      <c r="Q64" s="371"/>
      <c r="R64" s="371"/>
      <c r="S64" s="371"/>
      <c r="T64" s="371"/>
      <c r="U64" s="371"/>
      <c r="V64" s="371"/>
      <c r="W64" s="371"/>
      <c r="X64" s="371"/>
      <c r="Y64" s="371"/>
      <c r="Z64" s="371"/>
    </row>
    <row r="65">
      <c r="A65" s="371"/>
      <c r="B65" s="307"/>
      <c r="C65" s="307"/>
      <c r="D65" s="307"/>
      <c r="E65" s="307"/>
      <c r="F65" s="371"/>
      <c r="G65" s="307"/>
      <c r="H65" s="371"/>
      <c r="I65" s="371"/>
      <c r="J65" s="371"/>
      <c r="K65" s="371"/>
      <c r="L65" s="371"/>
      <c r="M65" s="371"/>
      <c r="N65" s="371"/>
      <c r="O65" s="371"/>
      <c r="P65" s="371"/>
      <c r="Q65" s="371"/>
      <c r="R65" s="371"/>
      <c r="S65" s="371"/>
      <c r="T65" s="371"/>
      <c r="U65" s="371"/>
      <c r="V65" s="371"/>
      <c r="W65" s="371"/>
      <c r="X65" s="371"/>
      <c r="Y65" s="371"/>
      <c r="Z65" s="371"/>
    </row>
    <row r="66">
      <c r="A66" s="371"/>
      <c r="B66" s="307"/>
      <c r="C66" s="307"/>
      <c r="D66" s="307"/>
      <c r="E66" s="307"/>
      <c r="F66" s="371"/>
      <c r="G66" s="307"/>
      <c r="H66" s="371"/>
      <c r="I66" s="371"/>
      <c r="J66" s="371"/>
      <c r="K66" s="371"/>
      <c r="L66" s="371"/>
      <c r="M66" s="371"/>
      <c r="N66" s="371"/>
      <c r="O66" s="371"/>
      <c r="P66" s="371"/>
      <c r="Q66" s="371"/>
      <c r="R66" s="371"/>
      <c r="S66" s="371"/>
      <c r="T66" s="371"/>
      <c r="U66" s="371"/>
      <c r="V66" s="371"/>
      <c r="W66" s="371"/>
      <c r="X66" s="371"/>
      <c r="Y66" s="371"/>
      <c r="Z66" s="371"/>
    </row>
    <row r="67">
      <c r="A67" s="371"/>
      <c r="B67" s="307"/>
      <c r="C67" s="307"/>
      <c r="D67" s="307"/>
      <c r="E67" s="307"/>
      <c r="F67" s="371"/>
      <c r="G67" s="307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71"/>
      <c r="V67" s="371"/>
      <c r="W67" s="371"/>
      <c r="X67" s="371"/>
      <c r="Y67" s="371"/>
      <c r="Z67" s="371"/>
    </row>
    <row r="68">
      <c r="A68" s="371"/>
      <c r="B68" s="307"/>
      <c r="C68" s="307"/>
      <c r="D68" s="307"/>
      <c r="E68" s="307"/>
      <c r="F68" s="371"/>
      <c r="G68" s="307"/>
      <c r="H68" s="371"/>
      <c r="I68" s="371"/>
      <c r="J68" s="371"/>
      <c r="K68" s="371"/>
      <c r="L68" s="371"/>
      <c r="M68" s="371"/>
      <c r="N68" s="371"/>
      <c r="O68" s="371"/>
      <c r="P68" s="371"/>
      <c r="Q68" s="371"/>
      <c r="R68" s="371"/>
      <c r="S68" s="371"/>
      <c r="T68" s="371"/>
      <c r="U68" s="371"/>
      <c r="V68" s="371"/>
      <c r="W68" s="371"/>
      <c r="X68" s="371"/>
      <c r="Y68" s="371"/>
      <c r="Z68" s="371"/>
    </row>
    <row r="69">
      <c r="A69" s="371"/>
      <c r="B69" s="307"/>
      <c r="C69" s="307"/>
      <c r="D69" s="307"/>
      <c r="E69" s="307"/>
      <c r="F69" s="371"/>
      <c r="G69" s="307"/>
      <c r="H69" s="371"/>
      <c r="I69" s="371"/>
      <c r="J69" s="371"/>
      <c r="K69" s="371"/>
      <c r="L69" s="371"/>
      <c r="M69" s="371"/>
      <c r="N69" s="371"/>
      <c r="O69" s="371"/>
      <c r="P69" s="371"/>
      <c r="Q69" s="371"/>
      <c r="R69" s="371"/>
      <c r="S69" s="371"/>
      <c r="T69" s="371"/>
      <c r="U69" s="371"/>
      <c r="V69" s="371"/>
      <c r="W69" s="371"/>
      <c r="X69" s="371"/>
      <c r="Y69" s="371"/>
      <c r="Z69" s="371"/>
    </row>
    <row r="70">
      <c r="A70" s="371"/>
      <c r="B70" s="307"/>
      <c r="C70" s="307"/>
      <c r="D70" s="307"/>
      <c r="E70" s="307"/>
      <c r="F70" s="371"/>
      <c r="G70" s="307"/>
      <c r="H70" s="371"/>
      <c r="I70" s="371"/>
      <c r="J70" s="371"/>
      <c r="K70" s="371"/>
      <c r="L70" s="371"/>
      <c r="M70" s="371"/>
      <c r="N70" s="371"/>
      <c r="O70" s="371"/>
      <c r="P70" s="371"/>
      <c r="Q70" s="371"/>
      <c r="R70" s="371"/>
      <c r="S70" s="371"/>
      <c r="T70" s="371"/>
      <c r="U70" s="371"/>
      <c r="V70" s="371"/>
      <c r="W70" s="371"/>
      <c r="X70" s="371"/>
      <c r="Y70" s="371"/>
      <c r="Z70" s="371"/>
    </row>
    <row r="71">
      <c r="A71" s="371"/>
      <c r="B71" s="307"/>
      <c r="C71" s="307"/>
      <c r="D71" s="307"/>
      <c r="E71" s="307"/>
      <c r="F71" s="371"/>
      <c r="G71" s="307"/>
      <c r="H71" s="371"/>
      <c r="I71" s="371"/>
      <c r="J71" s="371"/>
      <c r="K71" s="371"/>
      <c r="L71" s="371"/>
      <c r="M71" s="371"/>
      <c r="N71" s="371"/>
      <c r="O71" s="371"/>
      <c r="P71" s="371"/>
      <c r="Q71" s="371"/>
      <c r="R71" s="371"/>
      <c r="S71" s="371"/>
      <c r="T71" s="371"/>
      <c r="U71" s="371"/>
      <c r="V71" s="371"/>
      <c r="W71" s="371"/>
      <c r="X71" s="371"/>
      <c r="Y71" s="371"/>
      <c r="Z71" s="371"/>
    </row>
    <row r="72">
      <c r="A72" s="371"/>
      <c r="B72" s="307"/>
      <c r="C72" s="307"/>
      <c r="D72" s="307"/>
      <c r="E72" s="307"/>
      <c r="F72" s="371"/>
      <c r="G72" s="307"/>
      <c r="H72" s="371"/>
      <c r="I72" s="371"/>
      <c r="J72" s="371"/>
      <c r="K72" s="371"/>
      <c r="L72" s="371"/>
      <c r="M72" s="371"/>
      <c r="N72" s="371"/>
      <c r="O72" s="371"/>
      <c r="P72" s="371"/>
      <c r="Q72" s="371"/>
      <c r="R72" s="371"/>
      <c r="S72" s="371"/>
      <c r="T72" s="371"/>
      <c r="U72" s="371"/>
      <c r="V72" s="371"/>
      <c r="W72" s="371"/>
      <c r="X72" s="371"/>
      <c r="Y72" s="371"/>
      <c r="Z72" s="371"/>
    </row>
    <row r="73">
      <c r="A73" s="371"/>
      <c r="B73" s="307"/>
      <c r="C73" s="307"/>
      <c r="D73" s="307"/>
      <c r="E73" s="307"/>
      <c r="F73" s="371"/>
      <c r="G73" s="307"/>
      <c r="H73" s="371"/>
      <c r="I73" s="371"/>
      <c r="J73" s="371"/>
      <c r="K73" s="371"/>
      <c r="L73" s="371"/>
      <c r="M73" s="371"/>
      <c r="N73" s="371"/>
      <c r="O73" s="371"/>
      <c r="P73" s="371"/>
      <c r="Q73" s="371"/>
      <c r="R73" s="371"/>
      <c r="S73" s="371"/>
      <c r="T73" s="371"/>
      <c r="U73" s="371"/>
      <c r="V73" s="371"/>
      <c r="W73" s="371"/>
      <c r="X73" s="371"/>
      <c r="Y73" s="371"/>
      <c r="Z73" s="371"/>
    </row>
    <row r="74">
      <c r="A74" s="371"/>
      <c r="B74" s="307"/>
      <c r="C74" s="307"/>
      <c r="D74" s="307"/>
      <c r="E74" s="307"/>
      <c r="F74" s="371"/>
      <c r="G74" s="307"/>
      <c r="H74" s="371"/>
      <c r="I74" s="371"/>
      <c r="J74" s="371"/>
      <c r="K74" s="371"/>
      <c r="L74" s="371"/>
      <c r="M74" s="371"/>
      <c r="N74" s="371"/>
      <c r="O74" s="371"/>
      <c r="P74" s="371"/>
      <c r="Q74" s="371"/>
      <c r="R74" s="371"/>
      <c r="S74" s="371"/>
      <c r="T74" s="371"/>
      <c r="U74" s="371"/>
      <c r="V74" s="371"/>
      <c r="W74" s="371"/>
      <c r="X74" s="371"/>
      <c r="Y74" s="371"/>
      <c r="Z74" s="371"/>
    </row>
    <row r="75">
      <c r="A75" s="371"/>
      <c r="B75" s="307"/>
      <c r="C75" s="307"/>
      <c r="D75" s="307"/>
      <c r="E75" s="307"/>
      <c r="F75" s="371"/>
      <c r="G75" s="307"/>
      <c r="H75" s="371"/>
      <c r="I75" s="371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371"/>
      <c r="V75" s="371"/>
      <c r="W75" s="371"/>
      <c r="X75" s="371"/>
      <c r="Y75" s="371"/>
      <c r="Z75" s="371"/>
    </row>
    <row r="76">
      <c r="A76" s="371"/>
      <c r="B76" s="307"/>
      <c r="C76" s="307"/>
      <c r="D76" s="307"/>
      <c r="E76" s="307"/>
      <c r="F76" s="371"/>
      <c r="G76" s="307"/>
      <c r="H76" s="371"/>
      <c r="I76" s="371"/>
      <c r="J76" s="371"/>
      <c r="K76" s="371"/>
      <c r="L76" s="371"/>
      <c r="M76" s="371"/>
      <c r="N76" s="371"/>
      <c r="O76" s="371"/>
      <c r="P76" s="371"/>
      <c r="Q76" s="371"/>
      <c r="R76" s="371"/>
      <c r="S76" s="371"/>
      <c r="T76" s="371"/>
      <c r="U76" s="371"/>
      <c r="V76" s="371"/>
      <c r="W76" s="371"/>
      <c r="X76" s="371"/>
      <c r="Y76" s="371"/>
      <c r="Z76" s="371"/>
    </row>
    <row r="77">
      <c r="A77" s="371"/>
      <c r="B77" s="307"/>
      <c r="C77" s="307"/>
      <c r="D77" s="307"/>
      <c r="E77" s="307"/>
      <c r="F77" s="371"/>
      <c r="G77" s="307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71"/>
      <c r="V77" s="371"/>
      <c r="W77" s="371"/>
      <c r="X77" s="371"/>
      <c r="Y77" s="371"/>
      <c r="Z77" s="371"/>
    </row>
    <row r="78">
      <c r="A78" s="371"/>
      <c r="B78" s="307"/>
      <c r="C78" s="307"/>
      <c r="D78" s="307"/>
      <c r="E78" s="307"/>
      <c r="F78" s="371"/>
      <c r="G78" s="307"/>
      <c r="H78" s="371"/>
      <c r="I78" s="371"/>
      <c r="J78" s="371"/>
      <c r="K78" s="371"/>
      <c r="L78" s="371"/>
      <c r="M78" s="371"/>
      <c r="N78" s="371"/>
      <c r="O78" s="371"/>
      <c r="P78" s="371"/>
      <c r="Q78" s="371"/>
      <c r="R78" s="371"/>
      <c r="S78" s="371"/>
      <c r="T78" s="371"/>
      <c r="U78" s="371"/>
      <c r="V78" s="371"/>
      <c r="W78" s="371"/>
      <c r="X78" s="371"/>
      <c r="Y78" s="371"/>
      <c r="Z78" s="371"/>
    </row>
    <row r="79">
      <c r="A79" s="371"/>
      <c r="B79" s="307"/>
      <c r="C79" s="307"/>
      <c r="D79" s="307"/>
      <c r="E79" s="307"/>
      <c r="F79" s="371"/>
      <c r="G79" s="307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71"/>
      <c r="W79" s="371"/>
      <c r="X79" s="371"/>
      <c r="Y79" s="371"/>
      <c r="Z79" s="371"/>
    </row>
    <row r="80">
      <c r="A80" s="371"/>
      <c r="B80" s="307"/>
      <c r="C80" s="307"/>
      <c r="D80" s="307"/>
      <c r="E80" s="307"/>
      <c r="F80" s="371"/>
      <c r="G80" s="307"/>
      <c r="H80" s="371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71"/>
      <c r="V80" s="371"/>
      <c r="W80" s="371"/>
      <c r="X80" s="371"/>
      <c r="Y80" s="371"/>
      <c r="Z80" s="371"/>
    </row>
    <row r="81">
      <c r="A81" s="371"/>
      <c r="B81" s="307"/>
      <c r="C81" s="307"/>
      <c r="D81" s="307"/>
      <c r="E81" s="307"/>
      <c r="F81" s="371"/>
      <c r="G81" s="307"/>
      <c r="H81" s="371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V81" s="371"/>
      <c r="W81" s="371"/>
      <c r="X81" s="371"/>
      <c r="Y81" s="371"/>
      <c r="Z81" s="371"/>
    </row>
    <row r="82">
      <c r="A82" s="371"/>
      <c r="B82" s="307"/>
      <c r="C82" s="307"/>
      <c r="D82" s="307"/>
      <c r="E82" s="307"/>
      <c r="F82" s="371"/>
      <c r="G82" s="307"/>
      <c r="H82" s="371"/>
      <c r="I82" s="371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T82" s="371"/>
      <c r="U82" s="371"/>
      <c r="V82" s="371"/>
      <c r="W82" s="371"/>
      <c r="X82" s="371"/>
      <c r="Y82" s="371"/>
      <c r="Z82" s="371"/>
    </row>
    <row r="83">
      <c r="A83" s="371"/>
      <c r="B83" s="307"/>
      <c r="C83" s="307"/>
      <c r="D83" s="307"/>
      <c r="E83" s="307"/>
      <c r="F83" s="371"/>
      <c r="G83" s="307"/>
      <c r="H83" s="371"/>
      <c r="I83" s="371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T83" s="371"/>
      <c r="U83" s="371"/>
      <c r="V83" s="371"/>
      <c r="W83" s="371"/>
      <c r="X83" s="371"/>
      <c r="Y83" s="371"/>
      <c r="Z83" s="371"/>
    </row>
    <row r="84">
      <c r="A84" s="371"/>
      <c r="B84" s="307"/>
      <c r="C84" s="307"/>
      <c r="D84" s="307"/>
      <c r="E84" s="307"/>
      <c r="F84" s="371"/>
      <c r="G84" s="307"/>
      <c r="H84" s="371"/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71"/>
      <c r="V84" s="371"/>
      <c r="W84" s="371"/>
      <c r="X84" s="371"/>
      <c r="Y84" s="371"/>
      <c r="Z84" s="371"/>
    </row>
    <row r="85">
      <c r="A85" s="371"/>
      <c r="B85" s="307"/>
      <c r="C85" s="307"/>
      <c r="D85" s="307"/>
      <c r="E85" s="307"/>
      <c r="F85" s="371"/>
      <c r="G85" s="307"/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71"/>
      <c r="W85" s="371"/>
      <c r="X85" s="371"/>
      <c r="Y85" s="371"/>
      <c r="Z85" s="371"/>
    </row>
    <row r="86">
      <c r="A86" s="371"/>
      <c r="B86" s="307"/>
      <c r="C86" s="307"/>
      <c r="D86" s="307"/>
      <c r="E86" s="307"/>
      <c r="F86" s="371"/>
      <c r="G86" s="307"/>
      <c r="H86" s="371"/>
      <c r="I86" s="371"/>
      <c r="J86" s="371"/>
      <c r="K86" s="371"/>
      <c r="L86" s="371"/>
      <c r="M86" s="371"/>
      <c r="N86" s="371"/>
      <c r="O86" s="371"/>
      <c r="P86" s="371"/>
      <c r="Q86" s="371"/>
      <c r="R86" s="371"/>
      <c r="S86" s="371"/>
      <c r="T86" s="371"/>
      <c r="U86" s="371"/>
      <c r="V86" s="371"/>
      <c r="W86" s="371"/>
      <c r="X86" s="371"/>
      <c r="Y86" s="371"/>
      <c r="Z86" s="371"/>
    </row>
    <row r="87">
      <c r="A87" s="371"/>
      <c r="B87" s="307"/>
      <c r="C87" s="307"/>
      <c r="D87" s="307"/>
      <c r="E87" s="307"/>
      <c r="F87" s="371"/>
      <c r="G87" s="307"/>
      <c r="H87" s="371"/>
      <c r="I87" s="371"/>
      <c r="J87" s="371"/>
      <c r="K87" s="371"/>
      <c r="L87" s="371"/>
      <c r="M87" s="371"/>
      <c r="N87" s="371"/>
      <c r="O87" s="371"/>
      <c r="P87" s="371"/>
      <c r="Q87" s="371"/>
      <c r="R87" s="371"/>
      <c r="S87" s="371"/>
      <c r="T87" s="371"/>
      <c r="U87" s="371"/>
      <c r="V87" s="371"/>
      <c r="W87" s="371"/>
      <c r="X87" s="371"/>
      <c r="Y87" s="371"/>
      <c r="Z87" s="371"/>
    </row>
    <row r="88">
      <c r="A88" s="371"/>
      <c r="B88" s="307"/>
      <c r="C88" s="307"/>
      <c r="D88" s="307"/>
      <c r="E88" s="307"/>
      <c r="F88" s="371"/>
      <c r="G88" s="307"/>
      <c r="H88" s="371"/>
      <c r="I88" s="371"/>
      <c r="J88" s="371"/>
      <c r="K88" s="371"/>
      <c r="L88" s="371"/>
      <c r="M88" s="371"/>
      <c r="N88" s="371"/>
      <c r="O88" s="371"/>
      <c r="P88" s="371"/>
      <c r="Q88" s="371"/>
      <c r="R88" s="371"/>
      <c r="S88" s="371"/>
      <c r="T88" s="371"/>
      <c r="U88" s="371"/>
      <c r="V88" s="371"/>
      <c r="W88" s="371"/>
      <c r="X88" s="371"/>
      <c r="Y88" s="371"/>
      <c r="Z88" s="371"/>
    </row>
    <row r="89">
      <c r="A89" s="371"/>
      <c r="B89" s="307"/>
      <c r="C89" s="307"/>
      <c r="D89" s="307"/>
      <c r="E89" s="307"/>
      <c r="F89" s="371"/>
      <c r="G89" s="307"/>
      <c r="H89" s="371"/>
      <c r="I89" s="371"/>
      <c r="J89" s="371"/>
      <c r="K89" s="371"/>
      <c r="L89" s="371"/>
      <c r="M89" s="371"/>
      <c r="N89" s="371"/>
      <c r="O89" s="371"/>
      <c r="P89" s="371"/>
      <c r="Q89" s="371"/>
      <c r="R89" s="371"/>
      <c r="S89" s="371"/>
      <c r="T89" s="371"/>
      <c r="U89" s="371"/>
      <c r="V89" s="371"/>
      <c r="W89" s="371"/>
      <c r="X89" s="371"/>
      <c r="Y89" s="371"/>
      <c r="Z89" s="371"/>
    </row>
    <row r="90">
      <c r="A90" s="371"/>
      <c r="B90" s="307"/>
      <c r="C90" s="307"/>
      <c r="D90" s="307"/>
      <c r="E90" s="307"/>
      <c r="F90" s="371"/>
      <c r="G90" s="307"/>
      <c r="H90" s="371"/>
      <c r="I90" s="371"/>
      <c r="J90" s="371"/>
      <c r="K90" s="371"/>
      <c r="L90" s="371"/>
      <c r="M90" s="371"/>
      <c r="N90" s="371"/>
      <c r="O90" s="371"/>
      <c r="P90" s="371"/>
      <c r="Q90" s="371"/>
      <c r="R90" s="371"/>
      <c r="S90" s="371"/>
      <c r="T90" s="371"/>
      <c r="U90" s="371"/>
      <c r="V90" s="371"/>
      <c r="W90" s="371"/>
      <c r="X90" s="371"/>
      <c r="Y90" s="371"/>
      <c r="Z90" s="371"/>
    </row>
    <row r="91">
      <c r="A91" s="371"/>
      <c r="B91" s="307"/>
      <c r="C91" s="307"/>
      <c r="D91" s="307"/>
      <c r="E91" s="307"/>
      <c r="F91" s="371"/>
      <c r="G91" s="307"/>
      <c r="H91" s="371"/>
      <c r="I91" s="371"/>
      <c r="J91" s="371"/>
      <c r="K91" s="371"/>
      <c r="L91" s="371"/>
      <c r="M91" s="371"/>
      <c r="N91" s="371"/>
      <c r="O91" s="371"/>
      <c r="P91" s="371"/>
      <c r="Q91" s="371"/>
      <c r="R91" s="371"/>
      <c r="S91" s="371"/>
      <c r="T91" s="371"/>
      <c r="U91" s="371"/>
      <c r="V91" s="371"/>
      <c r="W91" s="371"/>
      <c r="X91" s="371"/>
      <c r="Y91" s="371"/>
      <c r="Z91" s="371"/>
    </row>
    <row r="92">
      <c r="A92" s="371"/>
      <c r="B92" s="307"/>
      <c r="C92" s="307"/>
      <c r="D92" s="307"/>
      <c r="E92" s="307"/>
      <c r="F92" s="371"/>
      <c r="G92" s="307"/>
      <c r="H92" s="371"/>
      <c r="I92" s="371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371"/>
      <c r="V92" s="371"/>
      <c r="W92" s="371"/>
      <c r="X92" s="371"/>
      <c r="Y92" s="371"/>
      <c r="Z92" s="371"/>
    </row>
    <row r="93">
      <c r="A93" s="371"/>
      <c r="B93" s="307"/>
      <c r="C93" s="307"/>
      <c r="D93" s="307"/>
      <c r="E93" s="307"/>
      <c r="F93" s="371"/>
      <c r="G93" s="307"/>
      <c r="H93" s="371"/>
      <c r="I93" s="371"/>
      <c r="J93" s="371"/>
      <c r="K93" s="371"/>
      <c r="L93" s="371"/>
      <c r="M93" s="371"/>
      <c r="N93" s="371"/>
      <c r="O93" s="371"/>
      <c r="P93" s="371"/>
      <c r="Q93" s="371"/>
      <c r="R93" s="371"/>
      <c r="S93" s="371"/>
      <c r="T93" s="371"/>
      <c r="U93" s="371"/>
      <c r="V93" s="371"/>
      <c r="W93" s="371"/>
      <c r="X93" s="371"/>
      <c r="Y93" s="371"/>
      <c r="Z93" s="371"/>
    </row>
    <row r="94">
      <c r="A94" s="371"/>
      <c r="B94" s="307"/>
      <c r="C94" s="307"/>
      <c r="D94" s="307"/>
      <c r="E94" s="307"/>
      <c r="F94" s="371"/>
      <c r="G94" s="307"/>
      <c r="H94" s="371"/>
      <c r="I94" s="371"/>
      <c r="J94" s="371"/>
      <c r="K94" s="371"/>
      <c r="L94" s="371"/>
      <c r="M94" s="371"/>
      <c r="N94" s="371"/>
      <c r="O94" s="371"/>
      <c r="P94" s="371"/>
      <c r="Q94" s="371"/>
      <c r="R94" s="371"/>
      <c r="S94" s="371"/>
      <c r="T94" s="371"/>
      <c r="U94" s="371"/>
      <c r="V94" s="371"/>
      <c r="W94" s="371"/>
      <c r="X94" s="371"/>
      <c r="Y94" s="371"/>
      <c r="Z94" s="371"/>
    </row>
    <row r="95">
      <c r="A95" s="371"/>
      <c r="B95" s="307"/>
      <c r="C95" s="307"/>
      <c r="D95" s="307"/>
      <c r="E95" s="307"/>
      <c r="F95" s="371"/>
      <c r="G95" s="307"/>
      <c r="H95" s="371"/>
      <c r="I95" s="371"/>
      <c r="J95" s="371"/>
      <c r="K95" s="371"/>
      <c r="L95" s="371"/>
      <c r="M95" s="371"/>
      <c r="N95" s="371"/>
      <c r="O95" s="371"/>
      <c r="P95" s="371"/>
      <c r="Q95" s="371"/>
      <c r="R95" s="371"/>
      <c r="S95" s="371"/>
      <c r="T95" s="371"/>
      <c r="U95" s="371"/>
      <c r="V95" s="371"/>
      <c r="W95" s="371"/>
      <c r="X95" s="371"/>
      <c r="Y95" s="371"/>
      <c r="Z95" s="371"/>
    </row>
    <row r="96">
      <c r="A96" s="371"/>
      <c r="B96" s="307"/>
      <c r="C96" s="307"/>
      <c r="D96" s="307"/>
      <c r="E96" s="307"/>
      <c r="F96" s="371"/>
      <c r="G96" s="307"/>
      <c r="H96" s="371"/>
      <c r="I96" s="371"/>
      <c r="J96" s="371"/>
      <c r="K96" s="371"/>
      <c r="L96" s="371"/>
      <c r="M96" s="371"/>
      <c r="N96" s="371"/>
      <c r="O96" s="371"/>
      <c r="P96" s="371"/>
      <c r="Q96" s="371"/>
      <c r="R96" s="371"/>
      <c r="S96" s="371"/>
      <c r="T96" s="371"/>
      <c r="U96" s="371"/>
      <c r="V96" s="371"/>
      <c r="W96" s="371"/>
      <c r="X96" s="371"/>
      <c r="Y96" s="371"/>
      <c r="Z96" s="371"/>
    </row>
    <row r="97">
      <c r="A97" s="371"/>
      <c r="B97" s="307"/>
      <c r="C97" s="307"/>
      <c r="D97" s="307"/>
      <c r="E97" s="307"/>
      <c r="F97" s="371"/>
      <c r="G97" s="307"/>
      <c r="H97" s="371"/>
      <c r="I97" s="371"/>
      <c r="J97" s="371"/>
      <c r="K97" s="371"/>
      <c r="L97" s="371"/>
      <c r="M97" s="371"/>
      <c r="N97" s="371"/>
      <c r="O97" s="371"/>
      <c r="P97" s="371"/>
      <c r="Q97" s="371"/>
      <c r="R97" s="371"/>
      <c r="S97" s="371"/>
      <c r="T97" s="371"/>
      <c r="U97" s="371"/>
      <c r="V97" s="371"/>
      <c r="W97" s="371"/>
      <c r="X97" s="371"/>
      <c r="Y97" s="371"/>
      <c r="Z97" s="371"/>
    </row>
    <row r="98">
      <c r="A98" s="371"/>
      <c r="B98" s="307"/>
      <c r="C98" s="307"/>
      <c r="D98" s="307"/>
      <c r="E98" s="307"/>
      <c r="F98" s="371"/>
      <c r="G98" s="307"/>
      <c r="H98" s="371"/>
      <c r="I98" s="371"/>
      <c r="J98" s="371"/>
      <c r="K98" s="371"/>
      <c r="L98" s="371"/>
      <c r="M98" s="371"/>
      <c r="N98" s="371"/>
      <c r="O98" s="371"/>
      <c r="P98" s="371"/>
      <c r="Q98" s="371"/>
      <c r="R98" s="371"/>
      <c r="S98" s="371"/>
      <c r="T98" s="371"/>
      <c r="U98" s="371"/>
      <c r="V98" s="371"/>
      <c r="W98" s="371"/>
      <c r="X98" s="371"/>
      <c r="Y98" s="371"/>
      <c r="Z98" s="371"/>
    </row>
    <row r="99">
      <c r="A99" s="371"/>
      <c r="B99" s="307"/>
      <c r="C99" s="307"/>
      <c r="D99" s="307"/>
      <c r="E99" s="307"/>
      <c r="F99" s="371"/>
      <c r="G99" s="307"/>
      <c r="H99" s="371"/>
      <c r="I99" s="371"/>
      <c r="J99" s="371"/>
      <c r="K99" s="371"/>
      <c r="L99" s="371"/>
      <c r="M99" s="371"/>
      <c r="N99" s="371"/>
      <c r="O99" s="371"/>
      <c r="P99" s="371"/>
      <c r="Q99" s="371"/>
      <c r="R99" s="371"/>
      <c r="S99" s="371"/>
      <c r="T99" s="371"/>
      <c r="U99" s="371"/>
      <c r="V99" s="371"/>
      <c r="W99" s="371"/>
      <c r="X99" s="371"/>
      <c r="Y99" s="371"/>
      <c r="Z99" s="371"/>
    </row>
    <row r="100">
      <c r="A100" s="371"/>
      <c r="B100" s="307"/>
      <c r="C100" s="307"/>
      <c r="D100" s="307"/>
      <c r="E100" s="307"/>
      <c r="F100" s="371"/>
      <c r="G100" s="307"/>
      <c r="H100" s="371"/>
      <c r="I100" s="371"/>
      <c r="J100" s="371"/>
      <c r="K100" s="371"/>
      <c r="L100" s="371"/>
      <c r="M100" s="371"/>
      <c r="N100" s="371"/>
      <c r="O100" s="371"/>
      <c r="P100" s="371"/>
      <c r="Q100" s="371"/>
      <c r="R100" s="371"/>
      <c r="S100" s="371"/>
      <c r="T100" s="371"/>
      <c r="U100" s="371"/>
      <c r="V100" s="371"/>
      <c r="W100" s="371"/>
      <c r="X100" s="371"/>
      <c r="Y100" s="371"/>
      <c r="Z100" s="371"/>
    </row>
    <row r="101">
      <c r="A101" s="371"/>
      <c r="B101" s="307"/>
      <c r="C101" s="307"/>
      <c r="D101" s="307"/>
      <c r="E101" s="307"/>
      <c r="F101" s="371"/>
      <c r="G101" s="307"/>
      <c r="H101" s="371"/>
      <c r="I101" s="371"/>
      <c r="J101" s="371"/>
      <c r="K101" s="371"/>
      <c r="L101" s="371"/>
      <c r="M101" s="371"/>
      <c r="N101" s="371"/>
      <c r="O101" s="371"/>
      <c r="P101" s="371"/>
      <c r="Q101" s="371"/>
      <c r="R101" s="371"/>
      <c r="S101" s="371"/>
      <c r="T101" s="371"/>
      <c r="U101" s="371"/>
      <c r="V101" s="371"/>
      <c r="W101" s="371"/>
      <c r="X101" s="371"/>
      <c r="Y101" s="371"/>
      <c r="Z101" s="371"/>
    </row>
    <row r="102">
      <c r="A102" s="371"/>
      <c r="B102" s="307"/>
      <c r="C102" s="307"/>
      <c r="D102" s="307"/>
      <c r="E102" s="307"/>
      <c r="F102" s="371"/>
      <c r="G102" s="307"/>
      <c r="H102" s="371"/>
      <c r="I102" s="371"/>
      <c r="J102" s="371"/>
      <c r="K102" s="371"/>
      <c r="L102" s="371"/>
      <c r="M102" s="371"/>
      <c r="N102" s="371"/>
      <c r="O102" s="371"/>
      <c r="P102" s="371"/>
      <c r="Q102" s="371"/>
      <c r="R102" s="371"/>
      <c r="S102" s="371"/>
      <c r="T102" s="371"/>
      <c r="U102" s="371"/>
      <c r="V102" s="371"/>
      <c r="W102" s="371"/>
      <c r="X102" s="371"/>
      <c r="Y102" s="371"/>
      <c r="Z102" s="371"/>
    </row>
    <row r="103">
      <c r="A103" s="371"/>
      <c r="B103" s="307"/>
      <c r="C103" s="307"/>
      <c r="D103" s="307"/>
      <c r="E103" s="307"/>
      <c r="F103" s="371"/>
      <c r="G103" s="307"/>
      <c r="H103" s="371"/>
      <c r="I103" s="371"/>
      <c r="J103" s="371"/>
      <c r="K103" s="371"/>
      <c r="L103" s="371"/>
      <c r="M103" s="371"/>
      <c r="N103" s="371"/>
      <c r="O103" s="371"/>
      <c r="P103" s="371"/>
      <c r="Q103" s="371"/>
      <c r="R103" s="371"/>
      <c r="S103" s="371"/>
      <c r="T103" s="371"/>
      <c r="U103" s="371"/>
      <c r="V103" s="371"/>
      <c r="W103" s="371"/>
      <c r="X103" s="371"/>
      <c r="Y103" s="371"/>
      <c r="Z103" s="371"/>
    </row>
    <row r="104">
      <c r="A104" s="371"/>
      <c r="B104" s="307"/>
      <c r="C104" s="307"/>
      <c r="D104" s="307"/>
      <c r="E104" s="307"/>
      <c r="F104" s="371"/>
      <c r="G104" s="307"/>
      <c r="H104" s="371"/>
      <c r="I104" s="371"/>
      <c r="J104" s="371"/>
      <c r="K104" s="371"/>
      <c r="L104" s="371"/>
      <c r="M104" s="371"/>
      <c r="N104" s="371"/>
      <c r="O104" s="371"/>
      <c r="P104" s="371"/>
      <c r="Q104" s="371"/>
      <c r="R104" s="371"/>
      <c r="S104" s="371"/>
      <c r="T104" s="371"/>
      <c r="U104" s="371"/>
      <c r="V104" s="371"/>
      <c r="W104" s="371"/>
      <c r="X104" s="371"/>
      <c r="Y104" s="371"/>
      <c r="Z104" s="371"/>
    </row>
    <row r="105">
      <c r="A105" s="371"/>
      <c r="B105" s="307"/>
      <c r="C105" s="307"/>
      <c r="D105" s="307"/>
      <c r="E105" s="307"/>
      <c r="F105" s="371"/>
      <c r="G105" s="307"/>
      <c r="H105" s="371"/>
      <c r="I105" s="371"/>
      <c r="J105" s="371"/>
      <c r="K105" s="371"/>
      <c r="L105" s="371"/>
      <c r="M105" s="371"/>
      <c r="N105" s="371"/>
      <c r="O105" s="371"/>
      <c r="P105" s="371"/>
      <c r="Q105" s="371"/>
      <c r="R105" s="371"/>
      <c r="S105" s="371"/>
      <c r="T105" s="371"/>
      <c r="U105" s="371"/>
      <c r="V105" s="371"/>
      <c r="W105" s="371"/>
      <c r="X105" s="371"/>
      <c r="Y105" s="371"/>
      <c r="Z105" s="371"/>
    </row>
    <row r="106">
      <c r="A106" s="371"/>
      <c r="B106" s="307"/>
      <c r="C106" s="307"/>
      <c r="D106" s="307"/>
      <c r="E106" s="307"/>
      <c r="F106" s="371"/>
      <c r="G106" s="307"/>
      <c r="H106" s="371"/>
      <c r="I106" s="371"/>
      <c r="J106" s="371"/>
      <c r="K106" s="371"/>
      <c r="L106" s="371"/>
      <c r="M106" s="371"/>
      <c r="N106" s="371"/>
      <c r="O106" s="371"/>
      <c r="P106" s="371"/>
      <c r="Q106" s="371"/>
      <c r="R106" s="371"/>
      <c r="S106" s="371"/>
      <c r="T106" s="371"/>
      <c r="U106" s="371"/>
      <c r="V106" s="371"/>
      <c r="W106" s="371"/>
      <c r="X106" s="371"/>
      <c r="Y106" s="371"/>
      <c r="Z106" s="371"/>
    </row>
    <row r="107">
      <c r="A107" s="371"/>
      <c r="B107" s="307"/>
      <c r="C107" s="307"/>
      <c r="D107" s="307"/>
      <c r="E107" s="307"/>
      <c r="F107" s="371"/>
      <c r="G107" s="307"/>
      <c r="H107" s="371"/>
      <c r="I107" s="371"/>
      <c r="J107" s="371"/>
      <c r="K107" s="371"/>
      <c r="L107" s="371"/>
      <c r="M107" s="371"/>
      <c r="N107" s="371"/>
      <c r="O107" s="371"/>
      <c r="P107" s="371"/>
      <c r="Q107" s="371"/>
      <c r="R107" s="371"/>
      <c r="S107" s="371"/>
      <c r="T107" s="371"/>
      <c r="U107" s="371"/>
      <c r="V107" s="371"/>
      <c r="W107" s="371"/>
      <c r="X107" s="371"/>
      <c r="Y107" s="371"/>
      <c r="Z107" s="371"/>
    </row>
    <row r="108">
      <c r="A108" s="371"/>
      <c r="B108" s="307"/>
      <c r="C108" s="307"/>
      <c r="D108" s="307"/>
      <c r="E108" s="307"/>
      <c r="F108" s="371"/>
      <c r="G108" s="307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  <c r="U108" s="371"/>
      <c r="V108" s="371"/>
      <c r="W108" s="371"/>
      <c r="X108" s="371"/>
      <c r="Y108" s="371"/>
      <c r="Z108" s="371"/>
    </row>
    <row r="109">
      <c r="A109" s="371"/>
      <c r="B109" s="307"/>
      <c r="C109" s="307"/>
      <c r="D109" s="307"/>
      <c r="E109" s="307"/>
      <c r="F109" s="371"/>
      <c r="G109" s="307"/>
      <c r="H109" s="371"/>
      <c r="I109" s="371"/>
      <c r="J109" s="371"/>
      <c r="K109" s="371"/>
      <c r="L109" s="371"/>
      <c r="M109" s="371"/>
      <c r="N109" s="371"/>
      <c r="O109" s="371"/>
      <c r="P109" s="371"/>
      <c r="Q109" s="371"/>
      <c r="R109" s="371"/>
      <c r="S109" s="371"/>
      <c r="T109" s="371"/>
      <c r="U109" s="371"/>
      <c r="V109" s="371"/>
      <c r="W109" s="371"/>
      <c r="X109" s="371"/>
      <c r="Y109" s="371"/>
      <c r="Z109" s="371"/>
    </row>
    <row r="110">
      <c r="A110" s="371"/>
      <c r="B110" s="307"/>
      <c r="C110" s="307"/>
      <c r="D110" s="307"/>
      <c r="E110" s="307"/>
      <c r="F110" s="371"/>
      <c r="G110" s="307"/>
      <c r="H110" s="371"/>
      <c r="I110" s="371"/>
      <c r="J110" s="371"/>
      <c r="K110" s="371"/>
      <c r="L110" s="371"/>
      <c r="M110" s="371"/>
      <c r="N110" s="371"/>
      <c r="O110" s="371"/>
      <c r="P110" s="371"/>
      <c r="Q110" s="371"/>
      <c r="R110" s="371"/>
      <c r="S110" s="371"/>
      <c r="T110" s="371"/>
      <c r="U110" s="371"/>
      <c r="V110" s="371"/>
      <c r="W110" s="371"/>
      <c r="X110" s="371"/>
      <c r="Y110" s="371"/>
      <c r="Z110" s="371"/>
    </row>
    <row r="111">
      <c r="A111" s="371"/>
      <c r="B111" s="307"/>
      <c r="C111" s="307"/>
      <c r="D111" s="307"/>
      <c r="E111" s="307"/>
      <c r="F111" s="371"/>
      <c r="G111" s="307"/>
      <c r="H111" s="371"/>
      <c r="I111" s="371"/>
      <c r="J111" s="371"/>
      <c r="K111" s="371"/>
      <c r="L111" s="371"/>
      <c r="M111" s="371"/>
      <c r="N111" s="371"/>
      <c r="O111" s="371"/>
      <c r="P111" s="371"/>
      <c r="Q111" s="371"/>
      <c r="R111" s="371"/>
      <c r="S111" s="371"/>
      <c r="T111" s="371"/>
      <c r="U111" s="371"/>
      <c r="V111" s="371"/>
      <c r="W111" s="371"/>
      <c r="X111" s="371"/>
      <c r="Y111" s="371"/>
      <c r="Z111" s="371"/>
    </row>
    <row r="112">
      <c r="A112" s="371"/>
      <c r="B112" s="307"/>
      <c r="C112" s="307"/>
      <c r="D112" s="307"/>
      <c r="E112" s="307"/>
      <c r="F112" s="371"/>
      <c r="G112" s="307"/>
      <c r="H112" s="371"/>
      <c r="I112" s="371"/>
      <c r="J112" s="371"/>
      <c r="K112" s="371"/>
      <c r="L112" s="371"/>
      <c r="M112" s="371"/>
      <c r="N112" s="371"/>
      <c r="O112" s="371"/>
      <c r="P112" s="371"/>
      <c r="Q112" s="371"/>
      <c r="R112" s="371"/>
      <c r="S112" s="371"/>
      <c r="T112" s="371"/>
      <c r="U112" s="371"/>
      <c r="V112" s="371"/>
      <c r="W112" s="371"/>
      <c r="X112" s="371"/>
      <c r="Y112" s="371"/>
      <c r="Z112" s="371"/>
    </row>
    <row r="113">
      <c r="A113" s="371"/>
      <c r="B113" s="307"/>
      <c r="C113" s="307"/>
      <c r="D113" s="307"/>
      <c r="E113" s="307"/>
      <c r="F113" s="371"/>
      <c r="G113" s="307"/>
      <c r="H113" s="371"/>
      <c r="I113" s="371"/>
      <c r="J113" s="371"/>
      <c r="K113" s="371"/>
      <c r="L113" s="371"/>
      <c r="M113" s="371"/>
      <c r="N113" s="371"/>
      <c r="O113" s="371"/>
      <c r="P113" s="371"/>
      <c r="Q113" s="371"/>
      <c r="R113" s="371"/>
      <c r="S113" s="371"/>
      <c r="T113" s="371"/>
      <c r="U113" s="371"/>
      <c r="V113" s="371"/>
      <c r="W113" s="371"/>
      <c r="X113" s="371"/>
      <c r="Y113" s="371"/>
      <c r="Z113" s="371"/>
    </row>
    <row r="114">
      <c r="A114" s="371"/>
      <c r="B114" s="307"/>
      <c r="C114" s="307"/>
      <c r="D114" s="307"/>
      <c r="E114" s="307"/>
      <c r="F114" s="371"/>
      <c r="G114" s="307"/>
      <c r="H114" s="371"/>
      <c r="I114" s="371"/>
      <c r="J114" s="371"/>
      <c r="K114" s="371"/>
      <c r="L114" s="371"/>
      <c r="M114" s="371"/>
      <c r="N114" s="371"/>
      <c r="O114" s="371"/>
      <c r="P114" s="371"/>
      <c r="Q114" s="371"/>
      <c r="R114" s="371"/>
      <c r="S114" s="371"/>
      <c r="T114" s="371"/>
      <c r="U114" s="371"/>
      <c r="V114" s="371"/>
      <c r="W114" s="371"/>
      <c r="X114" s="371"/>
      <c r="Y114" s="371"/>
      <c r="Z114" s="371"/>
    </row>
    <row r="115">
      <c r="A115" s="371"/>
      <c r="B115" s="307"/>
      <c r="C115" s="307"/>
      <c r="D115" s="307"/>
      <c r="E115" s="307"/>
      <c r="F115" s="371"/>
      <c r="G115" s="307"/>
      <c r="H115" s="371"/>
      <c r="I115" s="371"/>
      <c r="J115" s="371"/>
      <c r="K115" s="371"/>
      <c r="L115" s="371"/>
      <c r="M115" s="371"/>
      <c r="N115" s="371"/>
      <c r="O115" s="371"/>
      <c r="P115" s="371"/>
      <c r="Q115" s="371"/>
      <c r="R115" s="371"/>
      <c r="S115" s="371"/>
      <c r="T115" s="371"/>
      <c r="U115" s="371"/>
      <c r="V115" s="371"/>
      <c r="W115" s="371"/>
      <c r="X115" s="371"/>
      <c r="Y115" s="371"/>
      <c r="Z115" s="371"/>
    </row>
    <row r="116">
      <c r="A116" s="371"/>
      <c r="B116" s="307"/>
      <c r="C116" s="307"/>
      <c r="D116" s="307"/>
      <c r="E116" s="307"/>
      <c r="F116" s="371"/>
      <c r="G116" s="307"/>
      <c r="H116" s="371"/>
      <c r="I116" s="371"/>
      <c r="J116" s="371"/>
      <c r="K116" s="371"/>
      <c r="L116" s="371"/>
      <c r="M116" s="371"/>
      <c r="N116" s="371"/>
      <c r="O116" s="371"/>
      <c r="P116" s="371"/>
      <c r="Q116" s="371"/>
      <c r="R116" s="371"/>
      <c r="S116" s="371"/>
      <c r="T116" s="371"/>
      <c r="U116" s="371"/>
      <c r="V116" s="371"/>
      <c r="W116" s="371"/>
      <c r="X116" s="371"/>
      <c r="Y116" s="371"/>
      <c r="Z116" s="371"/>
    </row>
    <row r="117">
      <c r="A117" s="371"/>
      <c r="B117" s="307"/>
      <c r="C117" s="307"/>
      <c r="D117" s="307"/>
      <c r="E117" s="307"/>
      <c r="F117" s="371"/>
      <c r="G117" s="307"/>
      <c r="H117" s="371"/>
      <c r="I117" s="371"/>
      <c r="J117" s="371"/>
      <c r="K117" s="371"/>
      <c r="L117" s="371"/>
      <c r="M117" s="371"/>
      <c r="N117" s="371"/>
      <c r="O117" s="371"/>
      <c r="P117" s="371"/>
      <c r="Q117" s="371"/>
      <c r="R117" s="371"/>
      <c r="S117" s="371"/>
      <c r="T117" s="371"/>
      <c r="U117" s="371"/>
      <c r="V117" s="371"/>
      <c r="W117" s="371"/>
      <c r="X117" s="371"/>
      <c r="Y117" s="371"/>
      <c r="Z117" s="371"/>
    </row>
    <row r="118">
      <c r="A118" s="371"/>
      <c r="B118" s="307"/>
      <c r="C118" s="307"/>
      <c r="D118" s="307"/>
      <c r="E118" s="307"/>
      <c r="F118" s="371"/>
      <c r="G118" s="307"/>
      <c r="H118" s="371"/>
      <c r="I118" s="371"/>
      <c r="J118" s="371"/>
      <c r="K118" s="371"/>
      <c r="L118" s="371"/>
      <c r="M118" s="371"/>
      <c r="N118" s="371"/>
      <c r="O118" s="371"/>
      <c r="P118" s="371"/>
      <c r="Q118" s="371"/>
      <c r="R118" s="371"/>
      <c r="S118" s="371"/>
      <c r="T118" s="371"/>
      <c r="U118" s="371"/>
      <c r="V118" s="371"/>
      <c r="W118" s="371"/>
      <c r="X118" s="371"/>
      <c r="Y118" s="371"/>
      <c r="Z118" s="371"/>
    </row>
    <row r="119">
      <c r="A119" s="371"/>
      <c r="B119" s="307"/>
      <c r="C119" s="307"/>
      <c r="D119" s="307"/>
      <c r="E119" s="307"/>
      <c r="F119" s="371"/>
      <c r="G119" s="307"/>
      <c r="H119" s="371"/>
      <c r="I119" s="371"/>
      <c r="J119" s="371"/>
      <c r="K119" s="371"/>
      <c r="L119" s="371"/>
      <c r="M119" s="371"/>
      <c r="N119" s="371"/>
      <c r="O119" s="371"/>
      <c r="P119" s="371"/>
      <c r="Q119" s="371"/>
      <c r="R119" s="371"/>
      <c r="S119" s="371"/>
      <c r="T119" s="371"/>
      <c r="U119" s="371"/>
      <c r="V119" s="371"/>
      <c r="W119" s="371"/>
      <c r="X119" s="371"/>
      <c r="Y119" s="371"/>
      <c r="Z119" s="371"/>
    </row>
    <row r="120">
      <c r="A120" s="371"/>
      <c r="B120" s="307"/>
      <c r="C120" s="307"/>
      <c r="D120" s="307"/>
      <c r="E120" s="307"/>
      <c r="F120" s="371"/>
      <c r="G120" s="307"/>
      <c r="H120" s="371"/>
      <c r="I120" s="371"/>
      <c r="J120" s="371"/>
      <c r="K120" s="371"/>
      <c r="L120" s="371"/>
      <c r="M120" s="371"/>
      <c r="N120" s="371"/>
      <c r="O120" s="371"/>
      <c r="P120" s="371"/>
      <c r="Q120" s="371"/>
      <c r="R120" s="371"/>
      <c r="S120" s="371"/>
      <c r="T120" s="371"/>
      <c r="U120" s="371"/>
      <c r="V120" s="371"/>
      <c r="W120" s="371"/>
      <c r="X120" s="371"/>
      <c r="Y120" s="371"/>
      <c r="Z120" s="371"/>
    </row>
    <row r="121">
      <c r="A121" s="371"/>
      <c r="B121" s="307"/>
      <c r="C121" s="307"/>
      <c r="D121" s="307"/>
      <c r="E121" s="307"/>
      <c r="F121" s="371"/>
      <c r="G121" s="307"/>
      <c r="H121" s="371"/>
      <c r="I121" s="371"/>
      <c r="J121" s="371"/>
      <c r="K121" s="371"/>
      <c r="L121" s="371"/>
      <c r="M121" s="371"/>
      <c r="N121" s="371"/>
      <c r="O121" s="371"/>
      <c r="P121" s="371"/>
      <c r="Q121" s="371"/>
      <c r="R121" s="371"/>
      <c r="S121" s="371"/>
      <c r="T121" s="371"/>
      <c r="U121" s="371"/>
      <c r="V121" s="371"/>
      <c r="W121" s="371"/>
      <c r="X121" s="371"/>
      <c r="Y121" s="371"/>
      <c r="Z121" s="371"/>
    </row>
    <row r="122">
      <c r="A122" s="371"/>
      <c r="B122" s="307"/>
      <c r="C122" s="307"/>
      <c r="D122" s="307"/>
      <c r="E122" s="307"/>
      <c r="F122" s="371"/>
      <c r="G122" s="307"/>
      <c r="H122" s="371"/>
      <c r="I122" s="371"/>
      <c r="J122" s="371"/>
      <c r="K122" s="371"/>
      <c r="L122" s="371"/>
      <c r="M122" s="371"/>
      <c r="N122" s="371"/>
      <c r="O122" s="371"/>
      <c r="P122" s="371"/>
      <c r="Q122" s="371"/>
      <c r="R122" s="371"/>
      <c r="S122" s="371"/>
      <c r="T122" s="371"/>
      <c r="U122" s="371"/>
      <c r="V122" s="371"/>
      <c r="W122" s="371"/>
      <c r="X122" s="371"/>
      <c r="Y122" s="371"/>
      <c r="Z122" s="371"/>
    </row>
    <row r="123">
      <c r="A123" s="371"/>
      <c r="B123" s="307"/>
      <c r="C123" s="307"/>
      <c r="D123" s="307"/>
      <c r="E123" s="307"/>
      <c r="F123" s="371"/>
      <c r="G123" s="307"/>
      <c r="H123" s="371"/>
      <c r="I123" s="371"/>
      <c r="J123" s="371"/>
      <c r="K123" s="371"/>
      <c r="L123" s="371"/>
      <c r="M123" s="371"/>
      <c r="N123" s="371"/>
      <c r="O123" s="371"/>
      <c r="P123" s="371"/>
      <c r="Q123" s="371"/>
      <c r="R123" s="371"/>
      <c r="S123" s="371"/>
      <c r="T123" s="371"/>
      <c r="U123" s="371"/>
      <c r="V123" s="371"/>
      <c r="W123" s="371"/>
      <c r="X123" s="371"/>
      <c r="Y123" s="371"/>
      <c r="Z123" s="371"/>
    </row>
    <row r="124">
      <c r="A124" s="371"/>
      <c r="B124" s="307"/>
      <c r="C124" s="307"/>
      <c r="D124" s="307"/>
      <c r="E124" s="307"/>
      <c r="F124" s="371"/>
      <c r="G124" s="307"/>
      <c r="H124" s="371"/>
      <c r="I124" s="371"/>
      <c r="J124" s="371"/>
      <c r="K124" s="371"/>
      <c r="L124" s="371"/>
      <c r="M124" s="371"/>
      <c r="N124" s="371"/>
      <c r="O124" s="371"/>
      <c r="P124" s="371"/>
      <c r="Q124" s="371"/>
      <c r="R124" s="371"/>
      <c r="S124" s="371"/>
      <c r="T124" s="371"/>
      <c r="U124" s="371"/>
      <c r="V124" s="371"/>
      <c r="W124" s="371"/>
      <c r="X124" s="371"/>
      <c r="Y124" s="371"/>
      <c r="Z124" s="371"/>
    </row>
    <row r="125">
      <c r="A125" s="371"/>
      <c r="B125" s="307"/>
      <c r="C125" s="307"/>
      <c r="D125" s="307"/>
      <c r="E125" s="307"/>
      <c r="F125" s="371"/>
      <c r="G125" s="307"/>
      <c r="H125" s="371"/>
      <c r="I125" s="371"/>
      <c r="J125" s="371"/>
      <c r="K125" s="371"/>
      <c r="L125" s="371"/>
      <c r="M125" s="371"/>
      <c r="N125" s="371"/>
      <c r="O125" s="371"/>
      <c r="P125" s="371"/>
      <c r="Q125" s="371"/>
      <c r="R125" s="371"/>
      <c r="S125" s="371"/>
      <c r="T125" s="371"/>
      <c r="U125" s="371"/>
      <c r="V125" s="371"/>
      <c r="W125" s="371"/>
      <c r="X125" s="371"/>
      <c r="Y125" s="371"/>
      <c r="Z125" s="371"/>
    </row>
    <row r="126">
      <c r="A126" s="371"/>
      <c r="B126" s="307"/>
      <c r="C126" s="307"/>
      <c r="D126" s="307"/>
      <c r="E126" s="307"/>
      <c r="F126" s="371"/>
      <c r="G126" s="307"/>
      <c r="H126" s="371"/>
      <c r="I126" s="371"/>
      <c r="J126" s="371"/>
      <c r="K126" s="371"/>
      <c r="L126" s="371"/>
      <c r="M126" s="371"/>
      <c r="N126" s="371"/>
      <c r="O126" s="371"/>
      <c r="P126" s="371"/>
      <c r="Q126" s="371"/>
      <c r="R126" s="371"/>
      <c r="S126" s="371"/>
      <c r="T126" s="371"/>
      <c r="U126" s="371"/>
      <c r="V126" s="371"/>
      <c r="W126" s="371"/>
      <c r="X126" s="371"/>
      <c r="Y126" s="371"/>
      <c r="Z126" s="371"/>
    </row>
    <row r="127">
      <c r="A127" s="371"/>
      <c r="B127" s="307"/>
      <c r="C127" s="307"/>
      <c r="D127" s="307"/>
      <c r="E127" s="307"/>
      <c r="F127" s="371"/>
      <c r="G127" s="307"/>
      <c r="H127" s="371"/>
      <c r="I127" s="371"/>
      <c r="J127" s="371"/>
      <c r="K127" s="371"/>
      <c r="L127" s="371"/>
      <c r="M127" s="371"/>
      <c r="N127" s="371"/>
      <c r="O127" s="371"/>
      <c r="P127" s="371"/>
      <c r="Q127" s="371"/>
      <c r="R127" s="371"/>
      <c r="S127" s="371"/>
      <c r="T127" s="371"/>
      <c r="U127" s="371"/>
      <c r="V127" s="371"/>
      <c r="W127" s="371"/>
      <c r="X127" s="371"/>
      <c r="Y127" s="371"/>
      <c r="Z127" s="371"/>
    </row>
    <row r="128">
      <c r="A128" s="371"/>
      <c r="B128" s="307"/>
      <c r="C128" s="307"/>
      <c r="D128" s="307"/>
      <c r="E128" s="307"/>
      <c r="F128" s="371"/>
      <c r="G128" s="307"/>
      <c r="H128" s="371"/>
      <c r="I128" s="371"/>
      <c r="J128" s="371"/>
      <c r="K128" s="371"/>
      <c r="L128" s="371"/>
      <c r="M128" s="371"/>
      <c r="N128" s="371"/>
      <c r="O128" s="371"/>
      <c r="P128" s="371"/>
      <c r="Q128" s="371"/>
      <c r="R128" s="371"/>
      <c r="S128" s="371"/>
      <c r="T128" s="371"/>
      <c r="U128" s="371"/>
      <c r="V128" s="371"/>
      <c r="W128" s="371"/>
      <c r="X128" s="371"/>
      <c r="Y128" s="371"/>
      <c r="Z128" s="371"/>
    </row>
    <row r="129">
      <c r="A129" s="371"/>
      <c r="B129" s="307"/>
      <c r="C129" s="307"/>
      <c r="D129" s="307"/>
      <c r="E129" s="307"/>
      <c r="F129" s="371"/>
      <c r="G129" s="307"/>
      <c r="H129" s="371"/>
      <c r="I129" s="371"/>
      <c r="J129" s="371"/>
      <c r="K129" s="371"/>
      <c r="L129" s="371"/>
      <c r="M129" s="371"/>
      <c r="N129" s="371"/>
      <c r="O129" s="371"/>
      <c r="P129" s="371"/>
      <c r="Q129" s="371"/>
      <c r="R129" s="371"/>
      <c r="S129" s="371"/>
      <c r="T129" s="371"/>
      <c r="U129" s="371"/>
      <c r="V129" s="371"/>
      <c r="W129" s="371"/>
      <c r="X129" s="371"/>
      <c r="Y129" s="371"/>
      <c r="Z129" s="371"/>
    </row>
    <row r="130">
      <c r="A130" s="371"/>
      <c r="B130" s="307"/>
      <c r="C130" s="307"/>
      <c r="D130" s="307"/>
      <c r="E130" s="307"/>
      <c r="F130" s="371"/>
      <c r="G130" s="307"/>
      <c r="H130" s="371"/>
      <c r="I130" s="371"/>
      <c r="J130" s="371"/>
      <c r="K130" s="371"/>
      <c r="L130" s="371"/>
      <c r="M130" s="371"/>
      <c r="N130" s="371"/>
      <c r="O130" s="371"/>
      <c r="P130" s="371"/>
      <c r="Q130" s="371"/>
      <c r="R130" s="371"/>
      <c r="S130" s="371"/>
      <c r="T130" s="371"/>
      <c r="U130" s="371"/>
      <c r="V130" s="371"/>
      <c r="W130" s="371"/>
      <c r="X130" s="371"/>
      <c r="Y130" s="371"/>
      <c r="Z130" s="371"/>
    </row>
    <row r="131">
      <c r="A131" s="371"/>
      <c r="B131" s="307"/>
      <c r="C131" s="307"/>
      <c r="D131" s="307"/>
      <c r="E131" s="307"/>
      <c r="F131" s="371"/>
      <c r="G131" s="307"/>
      <c r="H131" s="371"/>
      <c r="I131" s="371"/>
      <c r="J131" s="371"/>
      <c r="K131" s="371"/>
      <c r="L131" s="371"/>
      <c r="M131" s="371"/>
      <c r="N131" s="371"/>
      <c r="O131" s="371"/>
      <c r="P131" s="371"/>
      <c r="Q131" s="371"/>
      <c r="R131" s="371"/>
      <c r="S131" s="371"/>
      <c r="T131" s="371"/>
      <c r="U131" s="371"/>
      <c r="V131" s="371"/>
      <c r="W131" s="371"/>
      <c r="X131" s="371"/>
      <c r="Y131" s="371"/>
      <c r="Z131" s="371"/>
    </row>
    <row r="132">
      <c r="A132" s="371"/>
      <c r="B132" s="307"/>
      <c r="C132" s="307"/>
      <c r="D132" s="307"/>
      <c r="E132" s="307"/>
      <c r="F132" s="371"/>
      <c r="G132" s="307"/>
      <c r="H132" s="371"/>
      <c r="I132" s="371"/>
      <c r="J132" s="371"/>
      <c r="K132" s="371"/>
      <c r="L132" s="371"/>
      <c r="M132" s="371"/>
      <c r="N132" s="371"/>
      <c r="O132" s="371"/>
      <c r="P132" s="371"/>
      <c r="Q132" s="371"/>
      <c r="R132" s="371"/>
      <c r="S132" s="371"/>
      <c r="T132" s="371"/>
      <c r="U132" s="371"/>
      <c r="V132" s="371"/>
      <c r="W132" s="371"/>
      <c r="X132" s="371"/>
      <c r="Y132" s="371"/>
      <c r="Z132" s="371"/>
    </row>
    <row r="133">
      <c r="A133" s="371"/>
      <c r="B133" s="307"/>
      <c r="C133" s="307"/>
      <c r="D133" s="307"/>
      <c r="E133" s="307"/>
      <c r="F133" s="371"/>
      <c r="G133" s="307"/>
      <c r="H133" s="371"/>
      <c r="I133" s="371"/>
      <c r="J133" s="371"/>
      <c r="K133" s="371"/>
      <c r="L133" s="371"/>
      <c r="M133" s="371"/>
      <c r="N133" s="371"/>
      <c r="O133" s="371"/>
      <c r="P133" s="371"/>
      <c r="Q133" s="371"/>
      <c r="R133" s="371"/>
      <c r="S133" s="371"/>
      <c r="T133" s="371"/>
      <c r="U133" s="371"/>
      <c r="V133" s="371"/>
      <c r="W133" s="371"/>
      <c r="X133" s="371"/>
      <c r="Y133" s="371"/>
      <c r="Z133" s="371"/>
    </row>
    <row r="134">
      <c r="A134" s="371"/>
      <c r="B134" s="307"/>
      <c r="C134" s="307"/>
      <c r="D134" s="307"/>
      <c r="E134" s="307"/>
      <c r="F134" s="371"/>
      <c r="G134" s="307"/>
      <c r="H134" s="371"/>
      <c r="I134" s="371"/>
      <c r="J134" s="371"/>
      <c r="K134" s="371"/>
      <c r="L134" s="371"/>
      <c r="M134" s="371"/>
      <c r="N134" s="371"/>
      <c r="O134" s="371"/>
      <c r="P134" s="371"/>
      <c r="Q134" s="371"/>
      <c r="R134" s="371"/>
      <c r="S134" s="371"/>
      <c r="T134" s="371"/>
      <c r="U134" s="371"/>
      <c r="V134" s="371"/>
      <c r="W134" s="371"/>
      <c r="X134" s="371"/>
      <c r="Y134" s="371"/>
      <c r="Z134" s="371"/>
    </row>
    <row r="135">
      <c r="A135" s="371"/>
      <c r="B135" s="307"/>
      <c r="C135" s="307"/>
      <c r="D135" s="307"/>
      <c r="E135" s="307"/>
      <c r="F135" s="371"/>
      <c r="G135" s="307"/>
      <c r="H135" s="371"/>
      <c r="I135" s="371"/>
      <c r="J135" s="371"/>
      <c r="K135" s="371"/>
      <c r="L135" s="371"/>
      <c r="M135" s="371"/>
      <c r="N135" s="371"/>
      <c r="O135" s="371"/>
      <c r="P135" s="371"/>
      <c r="Q135" s="371"/>
      <c r="R135" s="371"/>
      <c r="S135" s="371"/>
      <c r="T135" s="371"/>
      <c r="U135" s="371"/>
      <c r="V135" s="371"/>
      <c r="W135" s="371"/>
      <c r="X135" s="371"/>
      <c r="Y135" s="371"/>
      <c r="Z135" s="371"/>
    </row>
    <row r="136">
      <c r="A136" s="371"/>
      <c r="B136" s="307"/>
      <c r="C136" s="307"/>
      <c r="D136" s="307"/>
      <c r="E136" s="307"/>
      <c r="F136" s="371"/>
      <c r="G136" s="307"/>
      <c r="H136" s="371"/>
      <c r="I136" s="371"/>
      <c r="J136" s="371"/>
      <c r="K136" s="371"/>
      <c r="L136" s="371"/>
      <c r="M136" s="371"/>
      <c r="N136" s="371"/>
      <c r="O136" s="371"/>
      <c r="P136" s="371"/>
      <c r="Q136" s="371"/>
      <c r="R136" s="371"/>
      <c r="S136" s="371"/>
      <c r="T136" s="371"/>
      <c r="U136" s="371"/>
      <c r="V136" s="371"/>
      <c r="W136" s="371"/>
      <c r="X136" s="371"/>
      <c r="Y136" s="371"/>
      <c r="Z136" s="371"/>
    </row>
    <row r="137">
      <c r="A137" s="371"/>
      <c r="B137" s="307"/>
      <c r="C137" s="307"/>
      <c r="D137" s="307"/>
      <c r="E137" s="307"/>
      <c r="F137" s="371"/>
      <c r="G137" s="307"/>
      <c r="H137" s="371"/>
      <c r="I137" s="371"/>
      <c r="J137" s="371"/>
      <c r="K137" s="371"/>
      <c r="L137" s="371"/>
      <c r="M137" s="371"/>
      <c r="N137" s="371"/>
      <c r="O137" s="371"/>
      <c r="P137" s="371"/>
      <c r="Q137" s="371"/>
      <c r="R137" s="371"/>
      <c r="S137" s="371"/>
      <c r="T137" s="371"/>
      <c r="U137" s="371"/>
      <c r="V137" s="371"/>
      <c r="W137" s="371"/>
      <c r="X137" s="371"/>
      <c r="Y137" s="371"/>
      <c r="Z137" s="371"/>
    </row>
    <row r="138">
      <c r="A138" s="371"/>
      <c r="B138" s="307"/>
      <c r="C138" s="307"/>
      <c r="D138" s="307"/>
      <c r="E138" s="307"/>
      <c r="F138" s="371"/>
      <c r="G138" s="307"/>
      <c r="H138" s="371"/>
      <c r="I138" s="371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  <c r="U138" s="371"/>
      <c r="V138" s="371"/>
      <c r="W138" s="371"/>
      <c r="X138" s="371"/>
      <c r="Y138" s="371"/>
      <c r="Z138" s="371"/>
    </row>
    <row r="139">
      <c r="A139" s="371"/>
      <c r="B139" s="307"/>
      <c r="C139" s="307"/>
      <c r="D139" s="307"/>
      <c r="E139" s="307"/>
      <c r="F139" s="371"/>
      <c r="G139" s="307"/>
      <c r="H139" s="371"/>
      <c r="I139" s="371"/>
      <c r="J139" s="371"/>
      <c r="K139" s="371"/>
      <c r="L139" s="371"/>
      <c r="M139" s="371"/>
      <c r="N139" s="371"/>
      <c r="O139" s="371"/>
      <c r="P139" s="371"/>
      <c r="Q139" s="371"/>
      <c r="R139" s="371"/>
      <c r="S139" s="371"/>
      <c r="T139" s="371"/>
      <c r="U139" s="371"/>
      <c r="V139" s="371"/>
      <c r="W139" s="371"/>
      <c r="X139" s="371"/>
      <c r="Y139" s="371"/>
      <c r="Z139" s="371"/>
    </row>
    <row r="140">
      <c r="A140" s="371"/>
      <c r="B140" s="307"/>
      <c r="C140" s="307"/>
      <c r="D140" s="307"/>
      <c r="E140" s="307"/>
      <c r="F140" s="371"/>
      <c r="G140" s="307"/>
      <c r="H140" s="371"/>
      <c r="I140" s="371"/>
      <c r="J140" s="371"/>
      <c r="K140" s="371"/>
      <c r="L140" s="371"/>
      <c r="M140" s="371"/>
      <c r="N140" s="371"/>
      <c r="O140" s="371"/>
      <c r="P140" s="371"/>
      <c r="Q140" s="371"/>
      <c r="R140" s="371"/>
      <c r="S140" s="371"/>
      <c r="T140" s="371"/>
      <c r="U140" s="371"/>
      <c r="V140" s="371"/>
      <c r="W140" s="371"/>
      <c r="X140" s="371"/>
      <c r="Y140" s="371"/>
      <c r="Z140" s="371"/>
    </row>
    <row r="141">
      <c r="A141" s="371"/>
      <c r="B141" s="307"/>
      <c r="C141" s="307"/>
      <c r="D141" s="307"/>
      <c r="E141" s="307"/>
      <c r="F141" s="371"/>
      <c r="G141" s="307"/>
      <c r="H141" s="371"/>
      <c r="I141" s="371"/>
      <c r="J141" s="371"/>
      <c r="K141" s="371"/>
      <c r="L141" s="371"/>
      <c r="M141" s="371"/>
      <c r="N141" s="371"/>
      <c r="O141" s="371"/>
      <c r="P141" s="371"/>
      <c r="Q141" s="371"/>
      <c r="R141" s="371"/>
      <c r="S141" s="371"/>
      <c r="T141" s="371"/>
      <c r="U141" s="371"/>
      <c r="V141" s="371"/>
      <c r="W141" s="371"/>
      <c r="X141" s="371"/>
      <c r="Y141" s="371"/>
      <c r="Z141" s="371"/>
    </row>
    <row r="142">
      <c r="A142" s="371"/>
      <c r="B142" s="307"/>
      <c r="C142" s="307"/>
      <c r="D142" s="307"/>
      <c r="E142" s="307"/>
      <c r="F142" s="371"/>
      <c r="G142" s="307"/>
      <c r="H142" s="371"/>
      <c r="I142" s="371"/>
      <c r="J142" s="371"/>
      <c r="K142" s="371"/>
      <c r="L142" s="371"/>
      <c r="M142" s="371"/>
      <c r="N142" s="371"/>
      <c r="O142" s="371"/>
      <c r="P142" s="371"/>
      <c r="Q142" s="371"/>
      <c r="R142" s="371"/>
      <c r="S142" s="371"/>
      <c r="T142" s="371"/>
      <c r="U142" s="371"/>
      <c r="V142" s="371"/>
      <c r="W142" s="371"/>
      <c r="X142" s="371"/>
      <c r="Y142" s="371"/>
      <c r="Z142" s="371"/>
    </row>
    <row r="143">
      <c r="A143" s="371"/>
      <c r="B143" s="307"/>
      <c r="C143" s="307"/>
      <c r="D143" s="307"/>
      <c r="E143" s="307"/>
      <c r="F143" s="371"/>
      <c r="G143" s="307"/>
      <c r="H143" s="371"/>
      <c r="I143" s="371"/>
      <c r="J143" s="371"/>
      <c r="K143" s="371"/>
      <c r="L143" s="371"/>
      <c r="M143" s="371"/>
      <c r="N143" s="371"/>
      <c r="O143" s="371"/>
      <c r="P143" s="371"/>
      <c r="Q143" s="371"/>
      <c r="R143" s="371"/>
      <c r="S143" s="371"/>
      <c r="T143" s="371"/>
      <c r="U143" s="371"/>
      <c r="V143" s="371"/>
      <c r="W143" s="371"/>
      <c r="X143" s="371"/>
      <c r="Y143" s="371"/>
      <c r="Z143" s="371"/>
    </row>
    <row r="144">
      <c r="A144" s="371"/>
      <c r="B144" s="307"/>
      <c r="C144" s="307"/>
      <c r="D144" s="307"/>
      <c r="E144" s="307"/>
      <c r="F144" s="371"/>
      <c r="G144" s="307"/>
      <c r="H144" s="371"/>
      <c r="I144" s="371"/>
      <c r="J144" s="371"/>
      <c r="K144" s="371"/>
      <c r="L144" s="371"/>
      <c r="M144" s="371"/>
      <c r="N144" s="371"/>
      <c r="O144" s="371"/>
      <c r="P144" s="371"/>
      <c r="Q144" s="371"/>
      <c r="R144" s="371"/>
      <c r="S144" s="371"/>
      <c r="T144" s="371"/>
      <c r="U144" s="371"/>
      <c r="V144" s="371"/>
      <c r="W144" s="371"/>
      <c r="X144" s="371"/>
      <c r="Y144" s="371"/>
      <c r="Z144" s="371"/>
    </row>
    <row r="145">
      <c r="A145" s="371"/>
      <c r="B145" s="307"/>
      <c r="C145" s="307"/>
      <c r="D145" s="307"/>
      <c r="E145" s="307"/>
      <c r="F145" s="371"/>
      <c r="G145" s="307"/>
      <c r="H145" s="371"/>
      <c r="I145" s="371"/>
      <c r="J145" s="371"/>
      <c r="K145" s="371"/>
      <c r="L145" s="371"/>
      <c r="M145" s="371"/>
      <c r="N145" s="371"/>
      <c r="O145" s="371"/>
      <c r="P145" s="371"/>
      <c r="Q145" s="371"/>
      <c r="R145" s="371"/>
      <c r="S145" s="371"/>
      <c r="T145" s="371"/>
      <c r="U145" s="371"/>
      <c r="V145" s="371"/>
      <c r="W145" s="371"/>
      <c r="X145" s="371"/>
      <c r="Y145" s="371"/>
      <c r="Z145" s="371"/>
    </row>
    <row r="146">
      <c r="A146" s="371"/>
      <c r="B146" s="307"/>
      <c r="C146" s="307"/>
      <c r="D146" s="307"/>
      <c r="E146" s="307"/>
      <c r="F146" s="371"/>
      <c r="G146" s="307"/>
      <c r="H146" s="371"/>
      <c r="I146" s="371"/>
      <c r="J146" s="371"/>
      <c r="K146" s="371"/>
      <c r="L146" s="371"/>
      <c r="M146" s="371"/>
      <c r="N146" s="371"/>
      <c r="O146" s="371"/>
      <c r="P146" s="371"/>
      <c r="Q146" s="371"/>
      <c r="R146" s="371"/>
      <c r="S146" s="371"/>
      <c r="T146" s="371"/>
      <c r="U146" s="371"/>
      <c r="V146" s="371"/>
      <c r="W146" s="371"/>
      <c r="X146" s="371"/>
      <c r="Y146" s="371"/>
      <c r="Z146" s="371"/>
    </row>
    <row r="147">
      <c r="A147" s="371"/>
      <c r="B147" s="307"/>
      <c r="C147" s="307"/>
      <c r="D147" s="307"/>
      <c r="E147" s="307"/>
      <c r="F147" s="371"/>
      <c r="G147" s="307"/>
      <c r="H147" s="371"/>
      <c r="I147" s="371"/>
      <c r="J147" s="371"/>
      <c r="K147" s="371"/>
      <c r="L147" s="371"/>
      <c r="M147" s="371"/>
      <c r="N147" s="371"/>
      <c r="O147" s="371"/>
      <c r="P147" s="371"/>
      <c r="Q147" s="371"/>
      <c r="R147" s="371"/>
      <c r="S147" s="371"/>
      <c r="T147" s="371"/>
      <c r="U147" s="371"/>
      <c r="V147" s="371"/>
      <c r="W147" s="371"/>
      <c r="X147" s="371"/>
      <c r="Y147" s="371"/>
      <c r="Z147" s="371"/>
    </row>
    <row r="148">
      <c r="A148" s="371"/>
      <c r="B148" s="307"/>
      <c r="C148" s="307"/>
      <c r="D148" s="307"/>
      <c r="E148" s="307"/>
      <c r="F148" s="371"/>
      <c r="G148" s="307"/>
      <c r="H148" s="371"/>
      <c r="I148" s="371"/>
      <c r="J148" s="371"/>
      <c r="K148" s="371"/>
      <c r="L148" s="371"/>
      <c r="M148" s="371"/>
      <c r="N148" s="371"/>
      <c r="O148" s="371"/>
      <c r="P148" s="371"/>
      <c r="Q148" s="371"/>
      <c r="R148" s="371"/>
      <c r="S148" s="371"/>
      <c r="T148" s="371"/>
      <c r="U148" s="371"/>
      <c r="V148" s="371"/>
      <c r="W148" s="371"/>
      <c r="X148" s="371"/>
      <c r="Y148" s="371"/>
      <c r="Z148" s="371"/>
    </row>
    <row r="149">
      <c r="A149" s="371"/>
      <c r="B149" s="307"/>
      <c r="C149" s="307"/>
      <c r="D149" s="307"/>
      <c r="E149" s="307"/>
      <c r="F149" s="371"/>
      <c r="G149" s="307"/>
      <c r="H149" s="371"/>
      <c r="I149" s="371"/>
      <c r="J149" s="371"/>
      <c r="K149" s="371"/>
      <c r="L149" s="371"/>
      <c r="M149" s="371"/>
      <c r="N149" s="371"/>
      <c r="O149" s="371"/>
      <c r="P149" s="371"/>
      <c r="Q149" s="371"/>
      <c r="R149" s="371"/>
      <c r="S149" s="371"/>
      <c r="T149" s="371"/>
      <c r="U149" s="371"/>
      <c r="V149" s="371"/>
      <c r="W149" s="371"/>
      <c r="X149" s="371"/>
      <c r="Y149" s="371"/>
      <c r="Z149" s="371"/>
    </row>
    <row r="150">
      <c r="A150" s="371"/>
      <c r="B150" s="307"/>
      <c r="C150" s="307"/>
      <c r="D150" s="307"/>
      <c r="E150" s="307"/>
      <c r="F150" s="371"/>
      <c r="G150" s="307"/>
      <c r="H150" s="371"/>
      <c r="I150" s="371"/>
      <c r="J150" s="371"/>
      <c r="K150" s="371"/>
      <c r="L150" s="371"/>
      <c r="M150" s="371"/>
      <c r="N150" s="371"/>
      <c r="O150" s="371"/>
      <c r="P150" s="371"/>
      <c r="Q150" s="371"/>
      <c r="R150" s="371"/>
      <c r="S150" s="371"/>
      <c r="T150" s="371"/>
      <c r="U150" s="371"/>
      <c r="V150" s="371"/>
      <c r="W150" s="371"/>
      <c r="X150" s="371"/>
      <c r="Y150" s="371"/>
      <c r="Z150" s="371"/>
    </row>
    <row r="151">
      <c r="A151" s="371"/>
      <c r="B151" s="307"/>
      <c r="C151" s="307"/>
      <c r="D151" s="307"/>
      <c r="E151" s="307"/>
      <c r="F151" s="371"/>
      <c r="G151" s="307"/>
      <c r="H151" s="371"/>
      <c r="I151" s="371"/>
      <c r="J151" s="371"/>
      <c r="K151" s="371"/>
      <c r="L151" s="371"/>
      <c r="M151" s="371"/>
      <c r="N151" s="371"/>
      <c r="O151" s="371"/>
      <c r="P151" s="371"/>
      <c r="Q151" s="371"/>
      <c r="R151" s="371"/>
      <c r="S151" s="371"/>
      <c r="T151" s="371"/>
      <c r="U151" s="371"/>
      <c r="V151" s="371"/>
      <c r="W151" s="371"/>
      <c r="X151" s="371"/>
      <c r="Y151" s="371"/>
      <c r="Z151" s="371"/>
    </row>
    <row r="152">
      <c r="A152" s="371"/>
      <c r="B152" s="307"/>
      <c r="C152" s="307"/>
      <c r="D152" s="307"/>
      <c r="E152" s="307"/>
      <c r="F152" s="371"/>
      <c r="G152" s="307"/>
      <c r="H152" s="371"/>
      <c r="I152" s="371"/>
      <c r="J152" s="371"/>
      <c r="K152" s="371"/>
      <c r="L152" s="371"/>
      <c r="M152" s="371"/>
      <c r="N152" s="371"/>
      <c r="O152" s="371"/>
      <c r="P152" s="371"/>
      <c r="Q152" s="371"/>
      <c r="R152" s="371"/>
      <c r="S152" s="371"/>
      <c r="T152" s="371"/>
      <c r="U152" s="371"/>
      <c r="V152" s="371"/>
      <c r="W152" s="371"/>
      <c r="X152" s="371"/>
      <c r="Y152" s="371"/>
      <c r="Z152" s="371"/>
    </row>
    <row r="153">
      <c r="A153" s="371"/>
      <c r="B153" s="307"/>
      <c r="C153" s="307"/>
      <c r="D153" s="307"/>
      <c r="E153" s="307"/>
      <c r="F153" s="371"/>
      <c r="G153" s="307"/>
      <c r="H153" s="371"/>
      <c r="I153" s="371"/>
      <c r="J153" s="371"/>
      <c r="K153" s="371"/>
      <c r="L153" s="371"/>
      <c r="M153" s="371"/>
      <c r="N153" s="371"/>
      <c r="O153" s="371"/>
      <c r="P153" s="371"/>
      <c r="Q153" s="371"/>
      <c r="R153" s="371"/>
      <c r="S153" s="371"/>
      <c r="T153" s="371"/>
      <c r="U153" s="371"/>
      <c r="V153" s="371"/>
      <c r="W153" s="371"/>
      <c r="X153" s="371"/>
      <c r="Y153" s="371"/>
      <c r="Z153" s="371"/>
    </row>
    <row r="154">
      <c r="A154" s="371"/>
      <c r="B154" s="307"/>
      <c r="C154" s="307"/>
      <c r="D154" s="307"/>
      <c r="E154" s="307"/>
      <c r="F154" s="371"/>
      <c r="G154" s="307"/>
      <c r="H154" s="371"/>
      <c r="I154" s="371"/>
      <c r="J154" s="371"/>
      <c r="K154" s="371"/>
      <c r="L154" s="371"/>
      <c r="M154" s="371"/>
      <c r="N154" s="371"/>
      <c r="O154" s="371"/>
      <c r="P154" s="371"/>
      <c r="Q154" s="371"/>
      <c r="R154" s="371"/>
      <c r="S154" s="371"/>
      <c r="T154" s="371"/>
      <c r="U154" s="371"/>
      <c r="V154" s="371"/>
      <c r="W154" s="371"/>
      <c r="X154" s="371"/>
      <c r="Y154" s="371"/>
      <c r="Z154" s="371"/>
    </row>
    <row r="155">
      <c r="A155" s="371"/>
      <c r="B155" s="307"/>
      <c r="C155" s="307"/>
      <c r="D155" s="307"/>
      <c r="E155" s="307"/>
      <c r="F155" s="371"/>
      <c r="G155" s="307"/>
      <c r="H155" s="371"/>
      <c r="I155" s="371"/>
      <c r="J155" s="371"/>
      <c r="K155" s="371"/>
      <c r="L155" s="371"/>
      <c r="M155" s="371"/>
      <c r="N155" s="371"/>
      <c r="O155" s="371"/>
      <c r="P155" s="371"/>
      <c r="Q155" s="371"/>
      <c r="R155" s="371"/>
      <c r="S155" s="371"/>
      <c r="T155" s="371"/>
      <c r="U155" s="371"/>
      <c r="V155" s="371"/>
      <c r="W155" s="371"/>
      <c r="X155" s="371"/>
      <c r="Y155" s="371"/>
      <c r="Z155" s="371"/>
    </row>
    <row r="156">
      <c r="A156" s="371"/>
      <c r="B156" s="307"/>
      <c r="C156" s="307"/>
      <c r="D156" s="307"/>
      <c r="E156" s="307"/>
      <c r="F156" s="371"/>
      <c r="G156" s="307"/>
      <c r="H156" s="371"/>
      <c r="I156" s="371"/>
      <c r="J156" s="371"/>
      <c r="K156" s="371"/>
      <c r="L156" s="371"/>
      <c r="M156" s="371"/>
      <c r="N156" s="371"/>
      <c r="O156" s="371"/>
      <c r="P156" s="371"/>
      <c r="Q156" s="371"/>
      <c r="R156" s="371"/>
      <c r="S156" s="371"/>
      <c r="T156" s="371"/>
      <c r="U156" s="371"/>
      <c r="V156" s="371"/>
      <c r="W156" s="371"/>
      <c r="X156" s="371"/>
      <c r="Y156" s="371"/>
      <c r="Z156" s="371"/>
    </row>
    <row r="157">
      <c r="A157" s="371"/>
      <c r="B157" s="307"/>
      <c r="C157" s="307"/>
      <c r="D157" s="307"/>
      <c r="E157" s="307"/>
      <c r="F157" s="371"/>
      <c r="G157" s="307"/>
      <c r="H157" s="371"/>
      <c r="I157" s="371"/>
      <c r="J157" s="371"/>
      <c r="K157" s="371"/>
      <c r="L157" s="371"/>
      <c r="M157" s="371"/>
      <c r="N157" s="371"/>
      <c r="O157" s="371"/>
      <c r="P157" s="371"/>
      <c r="Q157" s="371"/>
      <c r="R157" s="371"/>
      <c r="S157" s="371"/>
      <c r="T157" s="371"/>
      <c r="U157" s="371"/>
      <c r="V157" s="371"/>
      <c r="W157" s="371"/>
      <c r="X157" s="371"/>
      <c r="Y157" s="371"/>
      <c r="Z157" s="371"/>
    </row>
    <row r="158">
      <c r="A158" s="371"/>
      <c r="B158" s="307"/>
      <c r="C158" s="307"/>
      <c r="D158" s="307"/>
      <c r="E158" s="307"/>
      <c r="F158" s="371"/>
      <c r="G158" s="307"/>
      <c r="H158" s="371"/>
      <c r="I158" s="371"/>
      <c r="J158" s="371"/>
      <c r="K158" s="371"/>
      <c r="L158" s="371"/>
      <c r="M158" s="371"/>
      <c r="N158" s="371"/>
      <c r="O158" s="371"/>
      <c r="P158" s="371"/>
      <c r="Q158" s="371"/>
      <c r="R158" s="371"/>
      <c r="S158" s="371"/>
      <c r="T158" s="371"/>
      <c r="U158" s="371"/>
      <c r="V158" s="371"/>
      <c r="W158" s="371"/>
      <c r="X158" s="371"/>
      <c r="Y158" s="371"/>
      <c r="Z158" s="371"/>
    </row>
    <row r="159">
      <c r="A159" s="371"/>
      <c r="B159" s="307"/>
      <c r="C159" s="307"/>
      <c r="D159" s="307"/>
      <c r="E159" s="307"/>
      <c r="F159" s="371"/>
      <c r="G159" s="307"/>
      <c r="H159" s="371"/>
      <c r="I159" s="371"/>
      <c r="J159" s="371"/>
      <c r="K159" s="371"/>
      <c r="L159" s="371"/>
      <c r="M159" s="371"/>
      <c r="N159" s="371"/>
      <c r="O159" s="371"/>
      <c r="P159" s="371"/>
      <c r="Q159" s="371"/>
      <c r="R159" s="371"/>
      <c r="S159" s="371"/>
      <c r="T159" s="371"/>
      <c r="U159" s="371"/>
      <c r="V159" s="371"/>
      <c r="W159" s="371"/>
      <c r="X159" s="371"/>
      <c r="Y159" s="371"/>
      <c r="Z159" s="371"/>
    </row>
    <row r="160">
      <c r="A160" s="371"/>
      <c r="B160" s="307"/>
      <c r="C160" s="307"/>
      <c r="D160" s="307"/>
      <c r="E160" s="307"/>
      <c r="F160" s="371"/>
      <c r="G160" s="307"/>
      <c r="H160" s="371"/>
      <c r="I160" s="371"/>
      <c r="J160" s="371"/>
      <c r="K160" s="371"/>
      <c r="L160" s="371"/>
      <c r="M160" s="371"/>
      <c r="N160" s="371"/>
      <c r="O160" s="371"/>
      <c r="P160" s="371"/>
      <c r="Q160" s="371"/>
      <c r="R160" s="371"/>
      <c r="S160" s="371"/>
      <c r="T160" s="371"/>
      <c r="U160" s="371"/>
      <c r="V160" s="371"/>
      <c r="W160" s="371"/>
      <c r="X160" s="371"/>
      <c r="Y160" s="371"/>
      <c r="Z160" s="371"/>
    </row>
    <row r="161">
      <c r="A161" s="371"/>
      <c r="B161" s="307"/>
      <c r="C161" s="307"/>
      <c r="D161" s="307"/>
      <c r="E161" s="307"/>
      <c r="F161" s="371"/>
      <c r="G161" s="307"/>
      <c r="H161" s="371"/>
      <c r="I161" s="371"/>
      <c r="J161" s="371"/>
      <c r="K161" s="371"/>
      <c r="L161" s="371"/>
      <c r="M161" s="371"/>
      <c r="N161" s="371"/>
      <c r="O161" s="371"/>
      <c r="P161" s="371"/>
      <c r="Q161" s="371"/>
      <c r="R161" s="371"/>
      <c r="S161" s="371"/>
      <c r="T161" s="371"/>
      <c r="U161" s="371"/>
      <c r="V161" s="371"/>
      <c r="W161" s="371"/>
      <c r="X161" s="371"/>
      <c r="Y161" s="371"/>
      <c r="Z161" s="371"/>
    </row>
    <row r="162">
      <c r="A162" s="371"/>
      <c r="B162" s="307"/>
      <c r="C162" s="307"/>
      <c r="D162" s="307"/>
      <c r="E162" s="307"/>
      <c r="F162" s="371"/>
      <c r="G162" s="307"/>
      <c r="H162" s="371"/>
      <c r="I162" s="371"/>
      <c r="J162" s="371"/>
      <c r="K162" s="371"/>
      <c r="L162" s="371"/>
      <c r="M162" s="371"/>
      <c r="N162" s="371"/>
      <c r="O162" s="371"/>
      <c r="P162" s="371"/>
      <c r="Q162" s="371"/>
      <c r="R162" s="371"/>
      <c r="S162" s="371"/>
      <c r="T162" s="371"/>
      <c r="U162" s="371"/>
      <c r="V162" s="371"/>
      <c r="W162" s="371"/>
      <c r="X162" s="371"/>
      <c r="Y162" s="371"/>
      <c r="Z162" s="371"/>
    </row>
    <row r="163">
      <c r="A163" s="371"/>
      <c r="B163" s="307"/>
      <c r="C163" s="307"/>
      <c r="D163" s="307"/>
      <c r="E163" s="307"/>
      <c r="F163" s="371"/>
      <c r="G163" s="307"/>
      <c r="H163" s="371"/>
      <c r="I163" s="371"/>
      <c r="J163" s="371"/>
      <c r="K163" s="371"/>
      <c r="L163" s="371"/>
      <c r="M163" s="371"/>
      <c r="N163" s="371"/>
      <c r="O163" s="371"/>
      <c r="P163" s="371"/>
      <c r="Q163" s="371"/>
      <c r="R163" s="371"/>
      <c r="S163" s="371"/>
      <c r="T163" s="371"/>
      <c r="U163" s="371"/>
      <c r="V163" s="371"/>
      <c r="W163" s="371"/>
      <c r="X163" s="371"/>
      <c r="Y163" s="371"/>
      <c r="Z163" s="371"/>
    </row>
    <row r="164">
      <c r="A164" s="371"/>
      <c r="B164" s="307"/>
      <c r="C164" s="307"/>
      <c r="D164" s="307"/>
      <c r="E164" s="307"/>
      <c r="F164" s="371"/>
      <c r="G164" s="307"/>
      <c r="H164" s="371"/>
      <c r="I164" s="371"/>
      <c r="J164" s="371"/>
      <c r="K164" s="371"/>
      <c r="L164" s="371"/>
      <c r="M164" s="371"/>
      <c r="N164" s="371"/>
      <c r="O164" s="371"/>
      <c r="P164" s="371"/>
      <c r="Q164" s="371"/>
      <c r="R164" s="371"/>
      <c r="S164" s="371"/>
      <c r="T164" s="371"/>
      <c r="U164" s="371"/>
      <c r="V164" s="371"/>
      <c r="W164" s="371"/>
      <c r="X164" s="371"/>
      <c r="Y164" s="371"/>
      <c r="Z164" s="371"/>
    </row>
    <row r="165">
      <c r="A165" s="371"/>
      <c r="B165" s="307"/>
      <c r="C165" s="307"/>
      <c r="D165" s="307"/>
      <c r="E165" s="307"/>
      <c r="F165" s="371"/>
      <c r="G165" s="307"/>
      <c r="H165" s="371"/>
      <c r="I165" s="371"/>
      <c r="J165" s="371"/>
      <c r="K165" s="371"/>
      <c r="L165" s="371"/>
      <c r="M165" s="371"/>
      <c r="N165" s="371"/>
      <c r="O165" s="371"/>
      <c r="P165" s="371"/>
      <c r="Q165" s="371"/>
      <c r="R165" s="371"/>
      <c r="S165" s="371"/>
      <c r="T165" s="371"/>
      <c r="U165" s="371"/>
      <c r="V165" s="371"/>
      <c r="W165" s="371"/>
      <c r="X165" s="371"/>
      <c r="Y165" s="371"/>
      <c r="Z165" s="371"/>
    </row>
    <row r="166">
      <c r="A166" s="371"/>
      <c r="B166" s="307"/>
      <c r="C166" s="307"/>
      <c r="D166" s="307"/>
      <c r="E166" s="307"/>
      <c r="F166" s="371"/>
      <c r="G166" s="307"/>
      <c r="H166" s="371"/>
      <c r="I166" s="371"/>
      <c r="J166" s="371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  <c r="U166" s="371"/>
      <c r="V166" s="371"/>
      <c r="W166" s="371"/>
      <c r="X166" s="371"/>
      <c r="Y166" s="371"/>
      <c r="Z166" s="371"/>
    </row>
    <row r="167">
      <c r="A167" s="371"/>
      <c r="B167" s="307"/>
      <c r="C167" s="307"/>
      <c r="D167" s="307"/>
      <c r="E167" s="307"/>
      <c r="F167" s="371"/>
      <c r="G167" s="307"/>
      <c r="H167" s="371"/>
      <c r="I167" s="371"/>
      <c r="J167" s="371"/>
      <c r="K167" s="371"/>
      <c r="L167" s="371"/>
      <c r="M167" s="371"/>
      <c r="N167" s="371"/>
      <c r="O167" s="371"/>
      <c r="P167" s="371"/>
      <c r="Q167" s="371"/>
      <c r="R167" s="371"/>
      <c r="S167" s="371"/>
      <c r="T167" s="371"/>
      <c r="U167" s="371"/>
      <c r="V167" s="371"/>
      <c r="W167" s="371"/>
      <c r="X167" s="371"/>
      <c r="Y167" s="371"/>
      <c r="Z167" s="371"/>
    </row>
    <row r="168">
      <c r="A168" s="371"/>
      <c r="B168" s="307"/>
      <c r="C168" s="307"/>
      <c r="D168" s="307"/>
      <c r="E168" s="307"/>
      <c r="F168" s="371"/>
      <c r="G168" s="307"/>
      <c r="H168" s="371"/>
      <c r="I168" s="371"/>
      <c r="J168" s="371"/>
      <c r="K168" s="371"/>
      <c r="L168" s="371"/>
      <c r="M168" s="371"/>
      <c r="N168" s="371"/>
      <c r="O168" s="371"/>
      <c r="P168" s="371"/>
      <c r="Q168" s="371"/>
      <c r="R168" s="371"/>
      <c r="S168" s="371"/>
      <c r="T168" s="371"/>
      <c r="U168" s="371"/>
      <c r="V168" s="371"/>
      <c r="W168" s="371"/>
      <c r="X168" s="371"/>
      <c r="Y168" s="371"/>
      <c r="Z168" s="371"/>
    </row>
    <row r="169">
      <c r="A169" s="371"/>
      <c r="B169" s="307"/>
      <c r="C169" s="307"/>
      <c r="D169" s="307"/>
      <c r="E169" s="307"/>
      <c r="F169" s="371"/>
      <c r="G169" s="307"/>
      <c r="H169" s="371"/>
      <c r="I169" s="371"/>
      <c r="J169" s="371"/>
      <c r="K169" s="371"/>
      <c r="L169" s="371"/>
      <c r="M169" s="371"/>
      <c r="N169" s="371"/>
      <c r="O169" s="371"/>
      <c r="P169" s="371"/>
      <c r="Q169" s="371"/>
      <c r="R169" s="371"/>
      <c r="S169" s="371"/>
      <c r="T169" s="371"/>
      <c r="U169" s="371"/>
      <c r="V169" s="371"/>
      <c r="W169" s="371"/>
      <c r="X169" s="371"/>
      <c r="Y169" s="371"/>
      <c r="Z169" s="371"/>
    </row>
    <row r="170">
      <c r="A170" s="371"/>
      <c r="B170" s="307"/>
      <c r="C170" s="307"/>
      <c r="D170" s="307"/>
      <c r="E170" s="307"/>
      <c r="F170" s="371"/>
      <c r="G170" s="307"/>
      <c r="H170" s="371"/>
      <c r="I170" s="371"/>
      <c r="J170" s="371"/>
      <c r="K170" s="371"/>
      <c r="L170" s="371"/>
      <c r="M170" s="371"/>
      <c r="N170" s="371"/>
      <c r="O170" s="371"/>
      <c r="P170" s="371"/>
      <c r="Q170" s="371"/>
      <c r="R170" s="371"/>
      <c r="S170" s="371"/>
      <c r="T170" s="371"/>
      <c r="U170" s="371"/>
      <c r="V170" s="371"/>
      <c r="W170" s="371"/>
      <c r="X170" s="371"/>
      <c r="Y170" s="371"/>
      <c r="Z170" s="371"/>
    </row>
    <row r="171">
      <c r="A171" s="371"/>
      <c r="B171" s="307"/>
      <c r="C171" s="307"/>
      <c r="D171" s="307"/>
      <c r="E171" s="307"/>
      <c r="F171" s="371"/>
      <c r="G171" s="307"/>
      <c r="H171" s="371"/>
      <c r="I171" s="371"/>
      <c r="J171" s="371"/>
      <c r="K171" s="371"/>
      <c r="L171" s="371"/>
      <c r="M171" s="371"/>
      <c r="N171" s="371"/>
      <c r="O171" s="371"/>
      <c r="P171" s="371"/>
      <c r="Q171" s="371"/>
      <c r="R171" s="371"/>
      <c r="S171" s="371"/>
      <c r="T171" s="371"/>
      <c r="U171" s="371"/>
      <c r="V171" s="371"/>
      <c r="W171" s="371"/>
      <c r="X171" s="371"/>
      <c r="Y171" s="371"/>
      <c r="Z171" s="371"/>
    </row>
    <row r="172">
      <c r="A172" s="371"/>
      <c r="B172" s="307"/>
      <c r="C172" s="307"/>
      <c r="D172" s="307"/>
      <c r="E172" s="307"/>
      <c r="F172" s="371"/>
      <c r="G172" s="307"/>
      <c r="H172" s="371"/>
      <c r="I172" s="371"/>
      <c r="J172" s="371"/>
      <c r="K172" s="371"/>
      <c r="L172" s="371"/>
      <c r="M172" s="371"/>
      <c r="N172" s="371"/>
      <c r="O172" s="371"/>
      <c r="P172" s="371"/>
      <c r="Q172" s="371"/>
      <c r="R172" s="371"/>
      <c r="S172" s="371"/>
      <c r="T172" s="371"/>
      <c r="U172" s="371"/>
      <c r="V172" s="371"/>
      <c r="W172" s="371"/>
      <c r="X172" s="371"/>
      <c r="Y172" s="371"/>
      <c r="Z172" s="371"/>
    </row>
    <row r="173">
      <c r="A173" s="371"/>
      <c r="B173" s="307"/>
      <c r="C173" s="307"/>
      <c r="D173" s="307"/>
      <c r="E173" s="307"/>
      <c r="F173" s="371"/>
      <c r="G173" s="307"/>
      <c r="H173" s="371"/>
      <c r="I173" s="371"/>
      <c r="J173" s="371"/>
      <c r="K173" s="371"/>
      <c r="L173" s="371"/>
      <c r="M173" s="371"/>
      <c r="N173" s="371"/>
      <c r="O173" s="371"/>
      <c r="P173" s="371"/>
      <c r="Q173" s="371"/>
      <c r="R173" s="371"/>
      <c r="S173" s="371"/>
      <c r="T173" s="371"/>
      <c r="U173" s="371"/>
      <c r="V173" s="371"/>
      <c r="W173" s="371"/>
      <c r="X173" s="371"/>
      <c r="Y173" s="371"/>
      <c r="Z173" s="371"/>
    </row>
    <row r="174">
      <c r="A174" s="371"/>
      <c r="B174" s="307"/>
      <c r="C174" s="307"/>
      <c r="D174" s="307"/>
      <c r="E174" s="307"/>
      <c r="F174" s="371"/>
      <c r="G174" s="307"/>
      <c r="H174" s="371"/>
      <c r="I174" s="371"/>
      <c r="J174" s="371"/>
      <c r="K174" s="371"/>
      <c r="L174" s="371"/>
      <c r="M174" s="371"/>
      <c r="N174" s="371"/>
      <c r="O174" s="371"/>
      <c r="P174" s="371"/>
      <c r="Q174" s="371"/>
      <c r="R174" s="371"/>
      <c r="S174" s="371"/>
      <c r="T174" s="371"/>
      <c r="U174" s="371"/>
      <c r="V174" s="371"/>
      <c r="W174" s="371"/>
      <c r="X174" s="371"/>
      <c r="Y174" s="371"/>
      <c r="Z174" s="371"/>
    </row>
    <row r="175">
      <c r="A175" s="371"/>
      <c r="B175" s="307"/>
      <c r="C175" s="307"/>
      <c r="D175" s="307"/>
      <c r="E175" s="307"/>
      <c r="F175" s="371"/>
      <c r="G175" s="307"/>
      <c r="H175" s="371"/>
      <c r="I175" s="371"/>
      <c r="J175" s="371"/>
      <c r="K175" s="371"/>
      <c r="L175" s="371"/>
      <c r="M175" s="371"/>
      <c r="N175" s="371"/>
      <c r="O175" s="371"/>
      <c r="P175" s="371"/>
      <c r="Q175" s="371"/>
      <c r="R175" s="371"/>
      <c r="S175" s="371"/>
      <c r="T175" s="371"/>
      <c r="U175" s="371"/>
      <c r="V175" s="371"/>
      <c r="W175" s="371"/>
      <c r="X175" s="371"/>
      <c r="Y175" s="371"/>
      <c r="Z175" s="371"/>
    </row>
    <row r="176">
      <c r="A176" s="371"/>
      <c r="B176" s="307"/>
      <c r="C176" s="307"/>
      <c r="D176" s="307"/>
      <c r="E176" s="307"/>
      <c r="F176" s="371"/>
      <c r="G176" s="307"/>
      <c r="H176" s="371"/>
      <c r="I176" s="371"/>
      <c r="J176" s="371"/>
      <c r="K176" s="371"/>
      <c r="L176" s="371"/>
      <c r="M176" s="371"/>
      <c r="N176" s="371"/>
      <c r="O176" s="371"/>
      <c r="P176" s="371"/>
      <c r="Q176" s="371"/>
      <c r="R176" s="371"/>
      <c r="S176" s="371"/>
      <c r="T176" s="371"/>
      <c r="U176" s="371"/>
      <c r="V176" s="371"/>
      <c r="W176" s="371"/>
      <c r="X176" s="371"/>
      <c r="Y176" s="371"/>
      <c r="Z176" s="371"/>
    </row>
    <row r="177">
      <c r="A177" s="371"/>
      <c r="B177" s="307"/>
      <c r="C177" s="307"/>
      <c r="D177" s="307"/>
      <c r="E177" s="307"/>
      <c r="F177" s="371"/>
      <c r="G177" s="307"/>
      <c r="H177" s="371"/>
      <c r="I177" s="371"/>
      <c r="J177" s="371"/>
      <c r="K177" s="371"/>
      <c r="L177" s="371"/>
      <c r="M177" s="371"/>
      <c r="N177" s="371"/>
      <c r="O177" s="371"/>
      <c r="P177" s="371"/>
      <c r="Q177" s="371"/>
      <c r="R177" s="371"/>
      <c r="S177" s="371"/>
      <c r="T177" s="371"/>
      <c r="U177" s="371"/>
      <c r="V177" s="371"/>
      <c r="W177" s="371"/>
      <c r="X177" s="371"/>
      <c r="Y177" s="371"/>
      <c r="Z177" s="371"/>
    </row>
    <row r="178">
      <c r="A178" s="371"/>
      <c r="B178" s="307"/>
      <c r="C178" s="307"/>
      <c r="D178" s="307"/>
      <c r="E178" s="307"/>
      <c r="F178" s="371"/>
      <c r="G178" s="307"/>
      <c r="H178" s="371"/>
      <c r="I178" s="371"/>
      <c r="J178" s="371"/>
      <c r="K178" s="371"/>
      <c r="L178" s="371"/>
      <c r="M178" s="371"/>
      <c r="N178" s="371"/>
      <c r="O178" s="371"/>
      <c r="P178" s="371"/>
      <c r="Q178" s="371"/>
      <c r="R178" s="371"/>
      <c r="S178" s="371"/>
      <c r="T178" s="371"/>
      <c r="U178" s="371"/>
      <c r="V178" s="371"/>
      <c r="W178" s="371"/>
      <c r="X178" s="371"/>
      <c r="Y178" s="371"/>
      <c r="Z178" s="371"/>
    </row>
    <row r="179">
      <c r="A179" s="371"/>
      <c r="B179" s="307"/>
      <c r="C179" s="307"/>
      <c r="D179" s="307"/>
      <c r="E179" s="307"/>
      <c r="F179" s="371"/>
      <c r="G179" s="307"/>
      <c r="H179" s="371"/>
      <c r="I179" s="371"/>
      <c r="J179" s="371"/>
      <c r="K179" s="371"/>
      <c r="L179" s="371"/>
      <c r="M179" s="371"/>
      <c r="N179" s="371"/>
      <c r="O179" s="371"/>
      <c r="P179" s="371"/>
      <c r="Q179" s="371"/>
      <c r="R179" s="371"/>
      <c r="S179" s="371"/>
      <c r="T179" s="371"/>
      <c r="U179" s="371"/>
      <c r="V179" s="371"/>
      <c r="W179" s="371"/>
      <c r="X179" s="371"/>
      <c r="Y179" s="371"/>
      <c r="Z179" s="371"/>
    </row>
    <row r="180">
      <c r="A180" s="371"/>
      <c r="B180" s="307"/>
      <c r="C180" s="307"/>
      <c r="D180" s="307"/>
      <c r="E180" s="307"/>
      <c r="F180" s="371"/>
      <c r="G180" s="307"/>
      <c r="H180" s="371"/>
      <c r="I180" s="371"/>
      <c r="J180" s="371"/>
      <c r="K180" s="371"/>
      <c r="L180" s="371"/>
      <c r="M180" s="371"/>
      <c r="N180" s="371"/>
      <c r="O180" s="371"/>
      <c r="P180" s="371"/>
      <c r="Q180" s="371"/>
      <c r="R180" s="371"/>
      <c r="S180" s="371"/>
      <c r="T180" s="371"/>
      <c r="U180" s="371"/>
      <c r="V180" s="371"/>
      <c r="W180" s="371"/>
      <c r="X180" s="371"/>
      <c r="Y180" s="371"/>
      <c r="Z180" s="371"/>
    </row>
    <row r="181">
      <c r="A181" s="371"/>
      <c r="B181" s="307"/>
      <c r="C181" s="307"/>
      <c r="D181" s="307"/>
      <c r="E181" s="307"/>
      <c r="F181" s="371"/>
      <c r="G181" s="307"/>
      <c r="H181" s="371"/>
      <c r="I181" s="371"/>
      <c r="J181" s="371"/>
      <c r="K181" s="371"/>
      <c r="L181" s="371"/>
      <c r="M181" s="371"/>
      <c r="N181" s="371"/>
      <c r="O181" s="371"/>
      <c r="P181" s="371"/>
      <c r="Q181" s="371"/>
      <c r="R181" s="371"/>
      <c r="S181" s="371"/>
      <c r="T181" s="371"/>
      <c r="U181" s="371"/>
      <c r="V181" s="371"/>
      <c r="W181" s="371"/>
      <c r="X181" s="371"/>
      <c r="Y181" s="371"/>
      <c r="Z181" s="371"/>
    </row>
    <row r="182">
      <c r="A182" s="371"/>
      <c r="B182" s="307"/>
      <c r="C182" s="307"/>
      <c r="D182" s="307"/>
      <c r="E182" s="307"/>
      <c r="F182" s="371"/>
      <c r="G182" s="307"/>
      <c r="H182" s="371"/>
      <c r="I182" s="371"/>
      <c r="J182" s="371"/>
      <c r="K182" s="371"/>
      <c r="L182" s="371"/>
      <c r="M182" s="371"/>
      <c r="N182" s="371"/>
      <c r="O182" s="371"/>
      <c r="P182" s="371"/>
      <c r="Q182" s="371"/>
      <c r="R182" s="371"/>
      <c r="S182" s="371"/>
      <c r="T182" s="371"/>
      <c r="U182" s="371"/>
      <c r="V182" s="371"/>
      <c r="W182" s="371"/>
      <c r="X182" s="371"/>
      <c r="Y182" s="371"/>
      <c r="Z182" s="371"/>
    </row>
    <row r="183">
      <c r="A183" s="371"/>
      <c r="B183" s="307"/>
      <c r="C183" s="307"/>
      <c r="D183" s="307"/>
      <c r="E183" s="307"/>
      <c r="F183" s="371"/>
      <c r="G183" s="307"/>
      <c r="H183" s="371"/>
      <c r="I183" s="371"/>
      <c r="J183" s="371"/>
      <c r="K183" s="371"/>
      <c r="L183" s="371"/>
      <c r="M183" s="371"/>
      <c r="N183" s="371"/>
      <c r="O183" s="371"/>
      <c r="P183" s="371"/>
      <c r="Q183" s="371"/>
      <c r="R183" s="371"/>
      <c r="S183" s="371"/>
      <c r="T183" s="371"/>
      <c r="U183" s="371"/>
      <c r="V183" s="371"/>
      <c r="W183" s="371"/>
      <c r="X183" s="371"/>
      <c r="Y183" s="371"/>
      <c r="Z183" s="371"/>
    </row>
    <row r="184">
      <c r="A184" s="371"/>
      <c r="B184" s="307"/>
      <c r="C184" s="307"/>
      <c r="D184" s="307"/>
      <c r="E184" s="307"/>
      <c r="F184" s="371"/>
      <c r="G184" s="307"/>
      <c r="H184" s="371"/>
      <c r="I184" s="371"/>
      <c r="J184" s="371"/>
      <c r="K184" s="371"/>
      <c r="L184" s="371"/>
      <c r="M184" s="371"/>
      <c r="N184" s="371"/>
      <c r="O184" s="371"/>
      <c r="P184" s="371"/>
      <c r="Q184" s="371"/>
      <c r="R184" s="371"/>
      <c r="S184" s="371"/>
      <c r="T184" s="371"/>
      <c r="U184" s="371"/>
      <c r="V184" s="371"/>
      <c r="W184" s="371"/>
      <c r="X184" s="371"/>
      <c r="Y184" s="371"/>
      <c r="Z184" s="371"/>
    </row>
    <row r="185">
      <c r="A185" s="371"/>
      <c r="B185" s="307"/>
      <c r="C185" s="307"/>
      <c r="D185" s="307"/>
      <c r="E185" s="307"/>
      <c r="F185" s="371"/>
      <c r="G185" s="307"/>
      <c r="H185" s="371"/>
      <c r="I185" s="371"/>
      <c r="J185" s="371"/>
      <c r="K185" s="371"/>
      <c r="L185" s="371"/>
      <c r="M185" s="371"/>
      <c r="N185" s="371"/>
      <c r="O185" s="371"/>
      <c r="P185" s="371"/>
      <c r="Q185" s="371"/>
      <c r="R185" s="371"/>
      <c r="S185" s="371"/>
      <c r="T185" s="371"/>
      <c r="U185" s="371"/>
      <c r="V185" s="371"/>
      <c r="W185" s="371"/>
      <c r="X185" s="371"/>
      <c r="Y185" s="371"/>
      <c r="Z185" s="371"/>
    </row>
    <row r="186">
      <c r="A186" s="371"/>
      <c r="B186" s="307"/>
      <c r="C186" s="307"/>
      <c r="D186" s="307"/>
      <c r="E186" s="307"/>
      <c r="F186" s="371"/>
      <c r="G186" s="307"/>
      <c r="H186" s="371"/>
      <c r="I186" s="371"/>
      <c r="J186" s="371"/>
      <c r="K186" s="371"/>
      <c r="L186" s="371"/>
      <c r="M186" s="371"/>
      <c r="N186" s="371"/>
      <c r="O186" s="371"/>
      <c r="P186" s="371"/>
      <c r="Q186" s="371"/>
      <c r="R186" s="371"/>
      <c r="S186" s="371"/>
      <c r="T186" s="371"/>
      <c r="U186" s="371"/>
      <c r="V186" s="371"/>
      <c r="W186" s="371"/>
      <c r="X186" s="371"/>
      <c r="Y186" s="371"/>
      <c r="Z186" s="371"/>
    </row>
    <row r="187">
      <c r="A187" s="371"/>
      <c r="B187" s="307"/>
      <c r="C187" s="307"/>
      <c r="D187" s="307"/>
      <c r="E187" s="307"/>
      <c r="F187" s="371"/>
      <c r="G187" s="307"/>
      <c r="H187" s="371"/>
      <c r="I187" s="371"/>
      <c r="J187" s="371"/>
      <c r="K187" s="371"/>
      <c r="L187" s="371"/>
      <c r="M187" s="371"/>
      <c r="N187" s="371"/>
      <c r="O187" s="371"/>
      <c r="P187" s="371"/>
      <c r="Q187" s="371"/>
      <c r="R187" s="371"/>
      <c r="S187" s="371"/>
      <c r="T187" s="371"/>
      <c r="U187" s="371"/>
      <c r="V187" s="371"/>
      <c r="W187" s="371"/>
      <c r="X187" s="371"/>
      <c r="Y187" s="371"/>
      <c r="Z187" s="371"/>
    </row>
    <row r="188">
      <c r="A188" s="371"/>
      <c r="B188" s="307"/>
      <c r="C188" s="307"/>
      <c r="D188" s="307"/>
      <c r="E188" s="307"/>
      <c r="F188" s="371"/>
      <c r="G188" s="307"/>
      <c r="H188" s="371"/>
      <c r="I188" s="371"/>
      <c r="J188" s="371"/>
      <c r="K188" s="371"/>
      <c r="L188" s="371"/>
      <c r="M188" s="371"/>
      <c r="N188" s="371"/>
      <c r="O188" s="371"/>
      <c r="P188" s="371"/>
      <c r="Q188" s="371"/>
      <c r="R188" s="371"/>
      <c r="S188" s="371"/>
      <c r="T188" s="371"/>
      <c r="U188" s="371"/>
      <c r="V188" s="371"/>
      <c r="W188" s="371"/>
      <c r="X188" s="371"/>
      <c r="Y188" s="371"/>
      <c r="Z188" s="371"/>
    </row>
    <row r="189">
      <c r="A189" s="371"/>
      <c r="B189" s="307"/>
      <c r="C189" s="307"/>
      <c r="D189" s="307"/>
      <c r="E189" s="307"/>
      <c r="F189" s="371"/>
      <c r="G189" s="307"/>
      <c r="H189" s="371"/>
      <c r="I189" s="371"/>
      <c r="J189" s="371"/>
      <c r="K189" s="371"/>
      <c r="L189" s="371"/>
      <c r="M189" s="371"/>
      <c r="N189" s="371"/>
      <c r="O189" s="371"/>
      <c r="P189" s="371"/>
      <c r="Q189" s="371"/>
      <c r="R189" s="371"/>
      <c r="S189" s="371"/>
      <c r="T189" s="371"/>
      <c r="U189" s="371"/>
      <c r="V189" s="371"/>
      <c r="W189" s="371"/>
      <c r="X189" s="371"/>
      <c r="Y189" s="371"/>
      <c r="Z189" s="371"/>
    </row>
    <row r="190">
      <c r="A190" s="371"/>
      <c r="B190" s="307"/>
      <c r="C190" s="307"/>
      <c r="D190" s="307"/>
      <c r="E190" s="307"/>
      <c r="F190" s="371"/>
      <c r="G190" s="307"/>
      <c r="H190" s="371"/>
      <c r="I190" s="371"/>
      <c r="J190" s="371"/>
      <c r="K190" s="371"/>
      <c r="L190" s="371"/>
      <c r="M190" s="371"/>
      <c r="N190" s="371"/>
      <c r="O190" s="371"/>
      <c r="P190" s="371"/>
      <c r="Q190" s="371"/>
      <c r="R190" s="371"/>
      <c r="S190" s="371"/>
      <c r="T190" s="371"/>
      <c r="U190" s="371"/>
      <c r="V190" s="371"/>
      <c r="W190" s="371"/>
      <c r="X190" s="371"/>
      <c r="Y190" s="371"/>
      <c r="Z190" s="371"/>
    </row>
    <row r="191">
      <c r="A191" s="371"/>
      <c r="B191" s="307"/>
      <c r="C191" s="307"/>
      <c r="D191" s="307"/>
      <c r="E191" s="307"/>
      <c r="F191" s="371"/>
      <c r="G191" s="307"/>
      <c r="H191" s="371"/>
      <c r="I191" s="371"/>
      <c r="J191" s="371"/>
      <c r="K191" s="371"/>
      <c r="L191" s="371"/>
      <c r="M191" s="371"/>
      <c r="N191" s="371"/>
      <c r="O191" s="371"/>
      <c r="P191" s="371"/>
      <c r="Q191" s="371"/>
      <c r="R191" s="371"/>
      <c r="S191" s="371"/>
      <c r="T191" s="371"/>
      <c r="U191" s="371"/>
      <c r="V191" s="371"/>
      <c r="W191" s="371"/>
      <c r="X191" s="371"/>
      <c r="Y191" s="371"/>
      <c r="Z191" s="371"/>
    </row>
    <row r="192">
      <c r="A192" s="371"/>
      <c r="B192" s="307"/>
      <c r="C192" s="307"/>
      <c r="D192" s="307"/>
      <c r="E192" s="307"/>
      <c r="F192" s="371"/>
      <c r="G192" s="307"/>
      <c r="H192" s="371"/>
      <c r="I192" s="371"/>
      <c r="J192" s="371"/>
      <c r="K192" s="371"/>
      <c r="L192" s="371"/>
      <c r="M192" s="371"/>
      <c r="N192" s="371"/>
      <c r="O192" s="371"/>
      <c r="P192" s="371"/>
      <c r="Q192" s="371"/>
      <c r="R192" s="371"/>
      <c r="S192" s="371"/>
      <c r="T192" s="371"/>
      <c r="U192" s="371"/>
      <c r="V192" s="371"/>
      <c r="W192" s="371"/>
      <c r="X192" s="371"/>
      <c r="Y192" s="371"/>
      <c r="Z192" s="371"/>
    </row>
    <row r="193">
      <c r="A193" s="371"/>
      <c r="B193" s="307"/>
      <c r="C193" s="307"/>
      <c r="D193" s="307"/>
      <c r="E193" s="307"/>
      <c r="F193" s="371"/>
      <c r="G193" s="307"/>
      <c r="H193" s="371"/>
      <c r="I193" s="371"/>
      <c r="J193" s="371"/>
      <c r="K193" s="371"/>
      <c r="L193" s="371"/>
      <c r="M193" s="371"/>
      <c r="N193" s="371"/>
      <c r="O193" s="371"/>
      <c r="P193" s="371"/>
      <c r="Q193" s="371"/>
      <c r="R193" s="371"/>
      <c r="S193" s="371"/>
      <c r="T193" s="371"/>
      <c r="U193" s="371"/>
      <c r="V193" s="371"/>
      <c r="W193" s="371"/>
      <c r="X193" s="371"/>
      <c r="Y193" s="371"/>
      <c r="Z193" s="371"/>
    </row>
    <row r="194">
      <c r="A194" s="371"/>
      <c r="B194" s="307"/>
      <c r="C194" s="307"/>
      <c r="D194" s="307"/>
      <c r="E194" s="307"/>
      <c r="F194" s="371"/>
      <c r="G194" s="307"/>
      <c r="H194" s="371"/>
      <c r="I194" s="371"/>
      <c r="J194" s="371"/>
      <c r="K194" s="371"/>
      <c r="L194" s="371"/>
      <c r="M194" s="371"/>
      <c r="N194" s="371"/>
      <c r="O194" s="371"/>
      <c r="P194" s="371"/>
      <c r="Q194" s="371"/>
      <c r="R194" s="371"/>
      <c r="S194" s="371"/>
      <c r="T194" s="371"/>
      <c r="U194" s="371"/>
      <c r="V194" s="371"/>
      <c r="W194" s="371"/>
      <c r="X194" s="371"/>
      <c r="Y194" s="371"/>
      <c r="Z194" s="371"/>
    </row>
    <row r="195">
      <c r="A195" s="371"/>
      <c r="B195" s="307"/>
      <c r="C195" s="307"/>
      <c r="D195" s="307"/>
      <c r="E195" s="307"/>
      <c r="F195" s="371"/>
      <c r="G195" s="307"/>
      <c r="H195" s="371"/>
      <c r="I195" s="371"/>
      <c r="J195" s="371"/>
      <c r="K195" s="371"/>
      <c r="L195" s="371"/>
      <c r="M195" s="371"/>
      <c r="N195" s="371"/>
      <c r="O195" s="371"/>
      <c r="P195" s="371"/>
      <c r="Q195" s="371"/>
      <c r="R195" s="371"/>
      <c r="S195" s="371"/>
      <c r="T195" s="371"/>
      <c r="U195" s="371"/>
      <c r="V195" s="371"/>
      <c r="W195" s="371"/>
      <c r="X195" s="371"/>
      <c r="Y195" s="371"/>
      <c r="Z195" s="371"/>
    </row>
    <row r="196">
      <c r="A196" s="371"/>
      <c r="B196" s="307"/>
      <c r="C196" s="307"/>
      <c r="D196" s="307"/>
      <c r="E196" s="307"/>
      <c r="F196" s="371"/>
      <c r="G196" s="307"/>
      <c r="H196" s="371"/>
      <c r="I196" s="371"/>
      <c r="J196" s="371"/>
      <c r="K196" s="371"/>
      <c r="L196" s="371"/>
      <c r="M196" s="371"/>
      <c r="N196" s="371"/>
      <c r="O196" s="371"/>
      <c r="P196" s="371"/>
      <c r="Q196" s="371"/>
      <c r="R196" s="371"/>
      <c r="S196" s="371"/>
      <c r="T196" s="371"/>
      <c r="U196" s="371"/>
      <c r="V196" s="371"/>
      <c r="W196" s="371"/>
      <c r="X196" s="371"/>
      <c r="Y196" s="371"/>
      <c r="Z196" s="371"/>
    </row>
    <row r="197">
      <c r="A197" s="371"/>
      <c r="B197" s="307"/>
      <c r="C197" s="307"/>
      <c r="D197" s="307"/>
      <c r="E197" s="307"/>
      <c r="F197" s="371"/>
      <c r="G197" s="307"/>
      <c r="H197" s="371"/>
      <c r="I197" s="371"/>
      <c r="J197" s="371"/>
      <c r="K197" s="371"/>
      <c r="L197" s="371"/>
      <c r="M197" s="371"/>
      <c r="N197" s="371"/>
      <c r="O197" s="371"/>
      <c r="P197" s="371"/>
      <c r="Q197" s="371"/>
      <c r="R197" s="371"/>
      <c r="S197" s="371"/>
      <c r="T197" s="371"/>
      <c r="U197" s="371"/>
      <c r="V197" s="371"/>
      <c r="W197" s="371"/>
      <c r="X197" s="371"/>
      <c r="Y197" s="371"/>
      <c r="Z197" s="371"/>
    </row>
    <row r="198">
      <c r="A198" s="371"/>
      <c r="B198" s="307"/>
      <c r="C198" s="307"/>
      <c r="D198" s="307"/>
      <c r="E198" s="307"/>
      <c r="F198" s="371"/>
      <c r="G198" s="307"/>
      <c r="H198" s="371"/>
      <c r="I198" s="371"/>
      <c r="J198" s="371"/>
      <c r="K198" s="371"/>
      <c r="L198" s="371"/>
      <c r="M198" s="371"/>
      <c r="N198" s="371"/>
      <c r="O198" s="371"/>
      <c r="P198" s="371"/>
      <c r="Q198" s="371"/>
      <c r="R198" s="371"/>
      <c r="S198" s="371"/>
      <c r="T198" s="371"/>
      <c r="U198" s="371"/>
      <c r="V198" s="371"/>
      <c r="W198" s="371"/>
      <c r="X198" s="371"/>
      <c r="Y198" s="371"/>
      <c r="Z198" s="371"/>
    </row>
    <row r="199">
      <c r="A199" s="371"/>
      <c r="B199" s="307"/>
      <c r="C199" s="307"/>
      <c r="D199" s="307"/>
      <c r="E199" s="307"/>
      <c r="F199" s="371"/>
      <c r="G199" s="307"/>
      <c r="H199" s="371"/>
      <c r="I199" s="371"/>
      <c r="J199" s="371"/>
      <c r="K199" s="371"/>
      <c r="L199" s="371"/>
      <c r="M199" s="371"/>
      <c r="N199" s="371"/>
      <c r="O199" s="371"/>
      <c r="P199" s="371"/>
      <c r="Q199" s="371"/>
      <c r="R199" s="371"/>
      <c r="S199" s="371"/>
      <c r="T199" s="371"/>
      <c r="U199" s="371"/>
      <c r="V199" s="371"/>
      <c r="W199" s="371"/>
      <c r="X199" s="371"/>
      <c r="Y199" s="371"/>
      <c r="Z199" s="371"/>
    </row>
    <row r="200">
      <c r="A200" s="371"/>
      <c r="B200" s="307"/>
      <c r="C200" s="307"/>
      <c r="D200" s="307"/>
      <c r="E200" s="307"/>
      <c r="F200" s="371"/>
      <c r="G200" s="307"/>
      <c r="H200" s="371"/>
      <c r="I200" s="371"/>
      <c r="J200" s="371"/>
      <c r="K200" s="371"/>
      <c r="L200" s="371"/>
      <c r="M200" s="371"/>
      <c r="N200" s="371"/>
      <c r="O200" s="371"/>
      <c r="P200" s="371"/>
      <c r="Q200" s="371"/>
      <c r="R200" s="371"/>
      <c r="S200" s="371"/>
      <c r="T200" s="371"/>
      <c r="U200" s="371"/>
      <c r="V200" s="371"/>
      <c r="W200" s="371"/>
      <c r="X200" s="371"/>
      <c r="Y200" s="371"/>
      <c r="Z200" s="371"/>
    </row>
    <row r="201">
      <c r="A201" s="371"/>
      <c r="B201" s="307"/>
      <c r="C201" s="307"/>
      <c r="D201" s="307"/>
      <c r="E201" s="307"/>
      <c r="F201" s="371"/>
      <c r="G201" s="307"/>
      <c r="H201" s="371"/>
      <c r="I201" s="371"/>
      <c r="J201" s="371"/>
      <c r="K201" s="371"/>
      <c r="L201" s="371"/>
      <c r="M201" s="371"/>
      <c r="N201" s="371"/>
      <c r="O201" s="371"/>
      <c r="P201" s="371"/>
      <c r="Q201" s="371"/>
      <c r="R201" s="371"/>
      <c r="S201" s="371"/>
      <c r="T201" s="371"/>
      <c r="U201" s="371"/>
      <c r="V201" s="371"/>
      <c r="W201" s="371"/>
      <c r="X201" s="371"/>
      <c r="Y201" s="371"/>
      <c r="Z201" s="371"/>
    </row>
    <row r="202">
      <c r="A202" s="371"/>
      <c r="B202" s="307"/>
      <c r="C202" s="307"/>
      <c r="D202" s="307"/>
      <c r="E202" s="307"/>
      <c r="F202" s="371"/>
      <c r="G202" s="307"/>
      <c r="H202" s="371"/>
      <c r="I202" s="371"/>
      <c r="J202" s="371"/>
      <c r="K202" s="371"/>
      <c r="L202" s="371"/>
      <c r="M202" s="371"/>
      <c r="N202" s="371"/>
      <c r="O202" s="371"/>
      <c r="P202" s="371"/>
      <c r="Q202" s="371"/>
      <c r="R202" s="371"/>
      <c r="S202" s="371"/>
      <c r="T202" s="371"/>
      <c r="U202" s="371"/>
      <c r="V202" s="371"/>
      <c r="W202" s="371"/>
      <c r="X202" s="371"/>
      <c r="Y202" s="371"/>
      <c r="Z202" s="371"/>
    </row>
    <row r="203">
      <c r="A203" s="371"/>
      <c r="B203" s="307"/>
      <c r="C203" s="307"/>
      <c r="D203" s="307"/>
      <c r="E203" s="307"/>
      <c r="F203" s="371"/>
      <c r="G203" s="307"/>
      <c r="H203" s="371"/>
      <c r="I203" s="371"/>
      <c r="J203" s="371"/>
      <c r="K203" s="371"/>
      <c r="L203" s="371"/>
      <c r="M203" s="371"/>
      <c r="N203" s="371"/>
      <c r="O203" s="371"/>
      <c r="P203" s="371"/>
      <c r="Q203" s="371"/>
      <c r="R203" s="371"/>
      <c r="S203" s="371"/>
      <c r="T203" s="371"/>
      <c r="U203" s="371"/>
      <c r="V203" s="371"/>
      <c r="W203" s="371"/>
      <c r="X203" s="371"/>
      <c r="Y203" s="371"/>
      <c r="Z203" s="371"/>
    </row>
    <row r="204">
      <c r="A204" s="371"/>
      <c r="B204" s="307"/>
      <c r="C204" s="307"/>
      <c r="D204" s="307"/>
      <c r="E204" s="307"/>
      <c r="F204" s="371"/>
      <c r="G204" s="307"/>
      <c r="H204" s="371"/>
      <c r="I204" s="371"/>
      <c r="J204" s="371"/>
      <c r="K204" s="371"/>
      <c r="L204" s="371"/>
      <c r="M204" s="371"/>
      <c r="N204" s="371"/>
      <c r="O204" s="371"/>
      <c r="P204" s="371"/>
      <c r="Q204" s="371"/>
      <c r="R204" s="371"/>
      <c r="S204" s="371"/>
      <c r="T204" s="371"/>
      <c r="U204" s="371"/>
      <c r="V204" s="371"/>
      <c r="W204" s="371"/>
      <c r="X204" s="371"/>
      <c r="Y204" s="371"/>
      <c r="Z204" s="371"/>
    </row>
    <row r="205">
      <c r="A205" s="371"/>
      <c r="B205" s="307"/>
      <c r="C205" s="307"/>
      <c r="D205" s="307"/>
      <c r="E205" s="307"/>
      <c r="F205" s="371"/>
      <c r="G205" s="307"/>
      <c r="H205" s="371"/>
      <c r="I205" s="371"/>
      <c r="J205" s="371"/>
      <c r="K205" s="371"/>
      <c r="L205" s="371"/>
      <c r="M205" s="371"/>
      <c r="N205" s="371"/>
      <c r="O205" s="371"/>
      <c r="P205" s="371"/>
      <c r="Q205" s="371"/>
      <c r="R205" s="371"/>
      <c r="S205" s="371"/>
      <c r="T205" s="371"/>
      <c r="U205" s="371"/>
      <c r="V205" s="371"/>
      <c r="W205" s="371"/>
      <c r="X205" s="371"/>
      <c r="Y205" s="371"/>
      <c r="Z205" s="371"/>
    </row>
    <row r="206">
      <c r="A206" s="371"/>
      <c r="B206" s="307"/>
      <c r="C206" s="307"/>
      <c r="D206" s="307"/>
      <c r="E206" s="307"/>
      <c r="F206" s="371"/>
      <c r="G206" s="307"/>
      <c r="H206" s="371"/>
      <c r="I206" s="371"/>
      <c r="J206" s="371"/>
      <c r="K206" s="371"/>
      <c r="L206" s="371"/>
      <c r="M206" s="371"/>
      <c r="N206" s="371"/>
      <c r="O206" s="371"/>
      <c r="P206" s="371"/>
      <c r="Q206" s="371"/>
      <c r="R206" s="371"/>
      <c r="S206" s="371"/>
      <c r="T206" s="371"/>
      <c r="U206" s="371"/>
      <c r="V206" s="371"/>
      <c r="W206" s="371"/>
      <c r="X206" s="371"/>
      <c r="Y206" s="371"/>
      <c r="Z206" s="371"/>
    </row>
    <row r="207">
      <c r="A207" s="371"/>
      <c r="B207" s="307"/>
      <c r="C207" s="307"/>
      <c r="D207" s="307"/>
      <c r="E207" s="307"/>
      <c r="F207" s="371"/>
      <c r="G207" s="307"/>
      <c r="H207" s="371"/>
      <c r="I207" s="371"/>
      <c r="J207" s="371"/>
      <c r="K207" s="371"/>
      <c r="L207" s="371"/>
      <c r="M207" s="371"/>
      <c r="N207" s="371"/>
      <c r="O207" s="371"/>
      <c r="P207" s="371"/>
      <c r="Q207" s="371"/>
      <c r="R207" s="371"/>
      <c r="S207" s="371"/>
      <c r="T207" s="371"/>
      <c r="U207" s="371"/>
      <c r="V207" s="371"/>
      <c r="W207" s="371"/>
      <c r="X207" s="371"/>
      <c r="Y207" s="371"/>
      <c r="Z207" s="371"/>
    </row>
    <row r="208">
      <c r="A208" s="371"/>
      <c r="B208" s="307"/>
      <c r="C208" s="307"/>
      <c r="D208" s="307"/>
      <c r="E208" s="307"/>
      <c r="F208" s="371"/>
      <c r="G208" s="307"/>
      <c r="H208" s="371"/>
      <c r="I208" s="371"/>
      <c r="J208" s="371"/>
      <c r="K208" s="371"/>
      <c r="L208" s="371"/>
      <c r="M208" s="371"/>
      <c r="N208" s="371"/>
      <c r="O208" s="371"/>
      <c r="P208" s="371"/>
      <c r="Q208" s="371"/>
      <c r="R208" s="371"/>
      <c r="S208" s="371"/>
      <c r="T208" s="371"/>
      <c r="U208" s="371"/>
      <c r="V208" s="371"/>
      <c r="W208" s="371"/>
      <c r="X208" s="371"/>
      <c r="Y208" s="371"/>
      <c r="Z208" s="371"/>
    </row>
    <row r="209">
      <c r="A209" s="371"/>
      <c r="B209" s="307"/>
      <c r="C209" s="307"/>
      <c r="D209" s="307"/>
      <c r="E209" s="307"/>
      <c r="F209" s="371"/>
      <c r="G209" s="307"/>
      <c r="H209" s="371"/>
      <c r="I209" s="371"/>
      <c r="J209" s="371"/>
      <c r="K209" s="371"/>
      <c r="L209" s="371"/>
      <c r="M209" s="371"/>
      <c r="N209" s="371"/>
      <c r="O209" s="371"/>
      <c r="P209" s="371"/>
      <c r="Q209" s="371"/>
      <c r="R209" s="371"/>
      <c r="S209" s="371"/>
      <c r="T209" s="371"/>
      <c r="U209" s="371"/>
      <c r="V209" s="371"/>
      <c r="W209" s="371"/>
      <c r="X209" s="371"/>
      <c r="Y209" s="371"/>
      <c r="Z209" s="371"/>
    </row>
    <row r="210">
      <c r="A210" s="371"/>
      <c r="B210" s="307"/>
      <c r="C210" s="307"/>
      <c r="D210" s="307"/>
      <c r="E210" s="307"/>
      <c r="F210" s="371"/>
      <c r="G210" s="307"/>
      <c r="H210" s="371"/>
      <c r="I210" s="371"/>
      <c r="J210" s="371"/>
      <c r="K210" s="371"/>
      <c r="L210" s="371"/>
      <c r="M210" s="371"/>
      <c r="N210" s="371"/>
      <c r="O210" s="371"/>
      <c r="P210" s="371"/>
      <c r="Q210" s="371"/>
      <c r="R210" s="371"/>
      <c r="S210" s="371"/>
      <c r="T210" s="371"/>
      <c r="U210" s="371"/>
      <c r="V210" s="371"/>
      <c r="W210" s="371"/>
      <c r="X210" s="371"/>
      <c r="Y210" s="371"/>
      <c r="Z210" s="371"/>
    </row>
    <row r="211">
      <c r="A211" s="371"/>
      <c r="B211" s="307"/>
      <c r="C211" s="307"/>
      <c r="D211" s="307"/>
      <c r="E211" s="307"/>
      <c r="F211" s="371"/>
      <c r="G211" s="307"/>
      <c r="H211" s="371"/>
      <c r="I211" s="371"/>
      <c r="J211" s="371"/>
      <c r="K211" s="371"/>
      <c r="L211" s="371"/>
      <c r="M211" s="371"/>
      <c r="N211" s="371"/>
      <c r="O211" s="371"/>
      <c r="P211" s="371"/>
      <c r="Q211" s="371"/>
      <c r="R211" s="371"/>
      <c r="S211" s="371"/>
      <c r="T211" s="371"/>
      <c r="U211" s="371"/>
      <c r="V211" s="371"/>
      <c r="W211" s="371"/>
      <c r="X211" s="371"/>
      <c r="Y211" s="371"/>
      <c r="Z211" s="371"/>
    </row>
    <row r="212">
      <c r="A212" s="371"/>
      <c r="B212" s="307"/>
      <c r="C212" s="307"/>
      <c r="D212" s="307"/>
      <c r="E212" s="307"/>
      <c r="F212" s="371"/>
      <c r="G212" s="307"/>
      <c r="H212" s="371"/>
      <c r="I212" s="371"/>
      <c r="J212" s="371"/>
      <c r="K212" s="371"/>
      <c r="L212" s="371"/>
      <c r="M212" s="371"/>
      <c r="N212" s="371"/>
      <c r="O212" s="371"/>
      <c r="P212" s="371"/>
      <c r="Q212" s="371"/>
      <c r="R212" s="371"/>
      <c r="S212" s="371"/>
      <c r="T212" s="371"/>
      <c r="U212" s="371"/>
      <c r="V212" s="371"/>
      <c r="W212" s="371"/>
      <c r="X212" s="371"/>
      <c r="Y212" s="371"/>
      <c r="Z212" s="371"/>
    </row>
    <row r="213">
      <c r="A213" s="371"/>
      <c r="B213" s="307"/>
      <c r="C213" s="307"/>
      <c r="D213" s="307"/>
      <c r="E213" s="307"/>
      <c r="F213" s="371"/>
      <c r="G213" s="307"/>
      <c r="H213" s="371"/>
      <c r="I213" s="371"/>
      <c r="J213" s="371"/>
      <c r="K213" s="371"/>
      <c r="L213" s="371"/>
      <c r="M213" s="371"/>
      <c r="N213" s="371"/>
      <c r="O213" s="371"/>
      <c r="P213" s="371"/>
      <c r="Q213" s="371"/>
      <c r="R213" s="371"/>
      <c r="S213" s="371"/>
      <c r="T213" s="371"/>
      <c r="U213" s="371"/>
      <c r="V213" s="371"/>
      <c r="W213" s="371"/>
      <c r="X213" s="371"/>
      <c r="Y213" s="371"/>
      <c r="Z213" s="371"/>
    </row>
    <row r="214">
      <c r="A214" s="371"/>
      <c r="B214" s="307"/>
      <c r="C214" s="307"/>
      <c r="D214" s="307"/>
      <c r="E214" s="307"/>
      <c r="F214" s="371"/>
      <c r="G214" s="307"/>
      <c r="H214" s="371"/>
      <c r="I214" s="371"/>
      <c r="J214" s="371"/>
      <c r="K214" s="371"/>
      <c r="L214" s="371"/>
      <c r="M214" s="371"/>
      <c r="N214" s="371"/>
      <c r="O214" s="371"/>
      <c r="P214" s="371"/>
      <c r="Q214" s="371"/>
      <c r="R214" s="371"/>
      <c r="S214" s="371"/>
      <c r="T214" s="371"/>
      <c r="U214" s="371"/>
      <c r="V214" s="371"/>
      <c r="W214" s="371"/>
      <c r="X214" s="371"/>
      <c r="Y214" s="371"/>
      <c r="Z214" s="371"/>
    </row>
    <row r="215">
      <c r="A215" s="371"/>
      <c r="B215" s="307"/>
      <c r="C215" s="307"/>
      <c r="D215" s="307"/>
      <c r="E215" s="307"/>
      <c r="F215" s="371"/>
      <c r="G215" s="307"/>
      <c r="H215" s="371"/>
      <c r="I215" s="371"/>
      <c r="J215" s="371"/>
      <c r="K215" s="371"/>
      <c r="L215" s="371"/>
      <c r="M215" s="371"/>
      <c r="N215" s="371"/>
      <c r="O215" s="371"/>
      <c r="P215" s="371"/>
      <c r="Q215" s="371"/>
      <c r="R215" s="371"/>
      <c r="S215" s="371"/>
      <c r="T215" s="371"/>
      <c r="U215" s="371"/>
      <c r="V215" s="371"/>
      <c r="W215" s="371"/>
      <c r="X215" s="371"/>
      <c r="Y215" s="371"/>
      <c r="Z215" s="371"/>
    </row>
    <row r="216">
      <c r="A216" s="371"/>
      <c r="B216" s="307"/>
      <c r="C216" s="307"/>
      <c r="D216" s="307"/>
      <c r="E216" s="307"/>
      <c r="F216" s="371"/>
      <c r="G216" s="307"/>
      <c r="H216" s="371"/>
      <c r="I216" s="371"/>
      <c r="J216" s="371"/>
      <c r="K216" s="371"/>
      <c r="L216" s="371"/>
      <c r="M216" s="371"/>
      <c r="N216" s="371"/>
      <c r="O216" s="371"/>
      <c r="P216" s="371"/>
      <c r="Q216" s="371"/>
      <c r="R216" s="371"/>
      <c r="S216" s="371"/>
      <c r="T216" s="371"/>
      <c r="U216" s="371"/>
      <c r="V216" s="371"/>
      <c r="W216" s="371"/>
      <c r="X216" s="371"/>
      <c r="Y216" s="371"/>
      <c r="Z216" s="371"/>
    </row>
    <row r="217">
      <c r="A217" s="371"/>
      <c r="B217" s="307"/>
      <c r="C217" s="307"/>
      <c r="D217" s="307"/>
      <c r="E217" s="307"/>
      <c r="F217" s="371"/>
      <c r="G217" s="307"/>
      <c r="H217" s="371"/>
      <c r="I217" s="371"/>
      <c r="J217" s="371"/>
      <c r="K217" s="371"/>
      <c r="L217" s="371"/>
      <c r="M217" s="371"/>
      <c r="N217" s="371"/>
      <c r="O217" s="371"/>
      <c r="P217" s="371"/>
      <c r="Q217" s="371"/>
      <c r="R217" s="371"/>
      <c r="S217" s="371"/>
      <c r="T217" s="371"/>
      <c r="U217" s="371"/>
      <c r="V217" s="371"/>
      <c r="W217" s="371"/>
      <c r="X217" s="371"/>
      <c r="Y217" s="371"/>
      <c r="Z217" s="371"/>
    </row>
    <row r="218">
      <c r="A218" s="371"/>
      <c r="B218" s="307"/>
      <c r="C218" s="307"/>
      <c r="D218" s="307"/>
      <c r="E218" s="307"/>
      <c r="F218" s="371"/>
      <c r="G218" s="307"/>
      <c r="H218" s="371"/>
      <c r="I218" s="371"/>
      <c r="J218" s="371"/>
      <c r="K218" s="371"/>
      <c r="L218" s="371"/>
      <c r="M218" s="371"/>
      <c r="N218" s="371"/>
      <c r="O218" s="371"/>
      <c r="P218" s="371"/>
      <c r="Q218" s="371"/>
      <c r="R218" s="371"/>
      <c r="S218" s="371"/>
      <c r="T218" s="371"/>
      <c r="U218" s="371"/>
      <c r="V218" s="371"/>
      <c r="W218" s="371"/>
      <c r="X218" s="371"/>
      <c r="Y218" s="371"/>
      <c r="Z218" s="371"/>
    </row>
    <row r="219">
      <c r="A219" s="371"/>
      <c r="B219" s="307"/>
      <c r="C219" s="307"/>
      <c r="D219" s="307"/>
      <c r="E219" s="307"/>
      <c r="F219" s="371"/>
      <c r="G219" s="307"/>
      <c r="H219" s="371"/>
      <c r="I219" s="371"/>
      <c r="J219" s="371"/>
      <c r="K219" s="371"/>
      <c r="L219" s="371"/>
      <c r="M219" s="371"/>
      <c r="N219" s="371"/>
      <c r="O219" s="371"/>
      <c r="P219" s="371"/>
      <c r="Q219" s="371"/>
      <c r="R219" s="371"/>
      <c r="S219" s="371"/>
      <c r="T219" s="371"/>
      <c r="U219" s="371"/>
      <c r="V219" s="371"/>
      <c r="W219" s="371"/>
      <c r="X219" s="371"/>
      <c r="Y219" s="371"/>
      <c r="Z219" s="371"/>
    </row>
    <row r="220">
      <c r="A220" s="371"/>
      <c r="B220" s="307"/>
      <c r="C220" s="307"/>
      <c r="D220" s="307"/>
      <c r="E220" s="307"/>
      <c r="F220" s="371"/>
      <c r="G220" s="307"/>
      <c r="H220" s="371"/>
      <c r="I220" s="371"/>
      <c r="J220" s="371"/>
      <c r="K220" s="371"/>
      <c r="L220" s="371"/>
      <c r="M220" s="371"/>
      <c r="N220" s="371"/>
      <c r="O220" s="371"/>
      <c r="P220" s="371"/>
      <c r="Q220" s="371"/>
      <c r="R220" s="371"/>
      <c r="S220" s="371"/>
      <c r="T220" s="371"/>
      <c r="U220" s="371"/>
      <c r="V220" s="371"/>
      <c r="W220" s="371"/>
      <c r="X220" s="371"/>
      <c r="Y220" s="371"/>
      <c r="Z220" s="371"/>
    </row>
    <row r="221">
      <c r="A221" s="371"/>
      <c r="B221" s="307"/>
      <c r="C221" s="307"/>
      <c r="D221" s="307"/>
      <c r="E221" s="307"/>
      <c r="F221" s="371"/>
      <c r="G221" s="307"/>
      <c r="H221" s="371"/>
      <c r="I221" s="371"/>
      <c r="J221" s="371"/>
      <c r="K221" s="371"/>
      <c r="L221" s="371"/>
      <c r="M221" s="371"/>
      <c r="N221" s="371"/>
      <c r="O221" s="371"/>
      <c r="P221" s="371"/>
      <c r="Q221" s="371"/>
      <c r="R221" s="371"/>
      <c r="S221" s="371"/>
      <c r="T221" s="371"/>
      <c r="U221" s="371"/>
      <c r="V221" s="371"/>
      <c r="W221" s="371"/>
      <c r="X221" s="371"/>
      <c r="Y221" s="371"/>
      <c r="Z221" s="371"/>
    </row>
    <row r="222">
      <c r="A222" s="371"/>
      <c r="B222" s="307"/>
      <c r="C222" s="307"/>
      <c r="D222" s="307"/>
      <c r="E222" s="307"/>
      <c r="F222" s="371"/>
      <c r="G222" s="307"/>
      <c r="H222" s="371"/>
      <c r="I222" s="371"/>
      <c r="J222" s="371"/>
      <c r="K222" s="371"/>
      <c r="L222" s="371"/>
      <c r="M222" s="371"/>
      <c r="N222" s="371"/>
      <c r="O222" s="371"/>
      <c r="P222" s="371"/>
      <c r="Q222" s="371"/>
      <c r="R222" s="371"/>
      <c r="S222" s="371"/>
      <c r="T222" s="371"/>
      <c r="U222" s="371"/>
      <c r="V222" s="371"/>
      <c r="W222" s="371"/>
      <c r="X222" s="371"/>
      <c r="Y222" s="371"/>
      <c r="Z222" s="371"/>
    </row>
    <row r="223">
      <c r="A223" s="371"/>
      <c r="B223" s="307"/>
      <c r="C223" s="307"/>
      <c r="D223" s="307"/>
      <c r="E223" s="307"/>
      <c r="F223" s="371"/>
      <c r="G223" s="307"/>
      <c r="H223" s="371"/>
      <c r="I223" s="371"/>
      <c r="J223" s="371"/>
      <c r="K223" s="371"/>
      <c r="L223" s="371"/>
      <c r="M223" s="371"/>
      <c r="N223" s="371"/>
      <c r="O223" s="371"/>
      <c r="P223" s="371"/>
      <c r="Q223" s="371"/>
      <c r="R223" s="371"/>
      <c r="S223" s="371"/>
      <c r="T223" s="371"/>
      <c r="U223" s="371"/>
      <c r="V223" s="371"/>
      <c r="W223" s="371"/>
      <c r="X223" s="371"/>
      <c r="Y223" s="371"/>
      <c r="Z223" s="371"/>
    </row>
    <row r="224">
      <c r="A224" s="371"/>
      <c r="B224" s="307"/>
      <c r="C224" s="307"/>
      <c r="D224" s="307"/>
      <c r="E224" s="307"/>
      <c r="F224" s="371"/>
      <c r="G224" s="307"/>
      <c r="H224" s="371"/>
      <c r="I224" s="371"/>
      <c r="J224" s="371"/>
      <c r="K224" s="371"/>
      <c r="L224" s="371"/>
      <c r="M224" s="371"/>
      <c r="N224" s="371"/>
      <c r="O224" s="371"/>
      <c r="P224" s="371"/>
      <c r="Q224" s="371"/>
      <c r="R224" s="371"/>
      <c r="S224" s="371"/>
      <c r="T224" s="371"/>
      <c r="U224" s="371"/>
      <c r="V224" s="371"/>
      <c r="W224" s="371"/>
      <c r="X224" s="371"/>
      <c r="Y224" s="371"/>
      <c r="Z224" s="371"/>
    </row>
    <row r="225">
      <c r="A225" s="371"/>
      <c r="B225" s="307"/>
      <c r="C225" s="307"/>
      <c r="D225" s="307"/>
      <c r="E225" s="307"/>
      <c r="F225" s="371"/>
      <c r="G225" s="307"/>
      <c r="H225" s="371"/>
      <c r="I225" s="371"/>
      <c r="J225" s="371"/>
      <c r="K225" s="371"/>
      <c r="L225" s="371"/>
      <c r="M225" s="371"/>
      <c r="N225" s="371"/>
      <c r="O225" s="371"/>
      <c r="P225" s="371"/>
      <c r="Q225" s="371"/>
      <c r="R225" s="371"/>
      <c r="S225" s="371"/>
      <c r="T225" s="371"/>
      <c r="U225" s="371"/>
      <c r="V225" s="371"/>
      <c r="W225" s="371"/>
      <c r="X225" s="371"/>
      <c r="Y225" s="371"/>
      <c r="Z225" s="371"/>
    </row>
    <row r="226">
      <c r="A226" s="371"/>
      <c r="B226" s="307"/>
      <c r="C226" s="307"/>
      <c r="D226" s="307"/>
      <c r="E226" s="307"/>
      <c r="F226" s="371"/>
      <c r="G226" s="307"/>
      <c r="H226" s="371"/>
      <c r="I226" s="371"/>
      <c r="J226" s="371"/>
      <c r="K226" s="371"/>
      <c r="L226" s="371"/>
      <c r="M226" s="371"/>
      <c r="N226" s="371"/>
      <c r="O226" s="371"/>
      <c r="P226" s="371"/>
      <c r="Q226" s="371"/>
      <c r="R226" s="371"/>
      <c r="S226" s="371"/>
      <c r="T226" s="371"/>
      <c r="U226" s="371"/>
      <c r="V226" s="371"/>
      <c r="W226" s="371"/>
      <c r="X226" s="371"/>
      <c r="Y226" s="371"/>
      <c r="Z226" s="371"/>
    </row>
    <row r="227">
      <c r="A227" s="371"/>
      <c r="B227" s="307"/>
      <c r="C227" s="307"/>
      <c r="D227" s="307"/>
      <c r="E227" s="307"/>
      <c r="F227" s="371"/>
      <c r="G227" s="307"/>
      <c r="H227" s="371"/>
      <c r="I227" s="371"/>
      <c r="J227" s="371"/>
      <c r="K227" s="371"/>
      <c r="L227" s="371"/>
      <c r="M227" s="371"/>
      <c r="N227" s="371"/>
      <c r="O227" s="371"/>
      <c r="P227" s="371"/>
      <c r="Q227" s="371"/>
      <c r="R227" s="371"/>
      <c r="S227" s="371"/>
      <c r="T227" s="371"/>
      <c r="U227" s="371"/>
      <c r="V227" s="371"/>
      <c r="W227" s="371"/>
      <c r="X227" s="371"/>
      <c r="Y227" s="371"/>
      <c r="Z227" s="371"/>
    </row>
    <row r="228">
      <c r="A228" s="371"/>
      <c r="B228" s="307"/>
      <c r="C228" s="307"/>
      <c r="D228" s="307"/>
      <c r="E228" s="307"/>
      <c r="F228" s="371"/>
      <c r="G228" s="307"/>
      <c r="H228" s="371"/>
      <c r="I228" s="371"/>
      <c r="J228" s="371"/>
      <c r="K228" s="371"/>
      <c r="L228" s="371"/>
      <c r="M228" s="371"/>
      <c r="N228" s="371"/>
      <c r="O228" s="371"/>
      <c r="P228" s="371"/>
      <c r="Q228" s="371"/>
      <c r="R228" s="371"/>
      <c r="S228" s="371"/>
      <c r="T228" s="371"/>
      <c r="U228" s="371"/>
      <c r="V228" s="371"/>
      <c r="W228" s="371"/>
      <c r="X228" s="371"/>
      <c r="Y228" s="371"/>
      <c r="Z228" s="371"/>
    </row>
    <row r="229">
      <c r="A229" s="371"/>
      <c r="B229" s="307"/>
      <c r="C229" s="307"/>
      <c r="D229" s="307"/>
      <c r="E229" s="307"/>
      <c r="F229" s="371"/>
      <c r="G229" s="307"/>
      <c r="H229" s="371"/>
      <c r="I229" s="371"/>
      <c r="J229" s="371"/>
      <c r="K229" s="371"/>
      <c r="L229" s="371"/>
      <c r="M229" s="371"/>
      <c r="N229" s="371"/>
      <c r="O229" s="371"/>
      <c r="P229" s="371"/>
      <c r="Q229" s="371"/>
      <c r="R229" s="371"/>
      <c r="S229" s="371"/>
      <c r="T229" s="371"/>
      <c r="U229" s="371"/>
      <c r="V229" s="371"/>
      <c r="W229" s="371"/>
      <c r="X229" s="371"/>
      <c r="Y229" s="371"/>
      <c r="Z229" s="371"/>
    </row>
    <row r="230">
      <c r="A230" s="371"/>
      <c r="B230" s="307"/>
      <c r="C230" s="307"/>
      <c r="D230" s="307"/>
      <c r="E230" s="307"/>
      <c r="F230" s="371"/>
      <c r="G230" s="307"/>
      <c r="H230" s="371"/>
      <c r="I230" s="371"/>
      <c r="J230" s="371"/>
      <c r="K230" s="371"/>
      <c r="L230" s="371"/>
      <c r="M230" s="371"/>
      <c r="N230" s="371"/>
      <c r="O230" s="371"/>
      <c r="P230" s="371"/>
      <c r="Q230" s="371"/>
      <c r="R230" s="371"/>
      <c r="S230" s="371"/>
      <c r="T230" s="371"/>
      <c r="U230" s="371"/>
      <c r="V230" s="371"/>
      <c r="W230" s="371"/>
      <c r="X230" s="371"/>
      <c r="Y230" s="371"/>
      <c r="Z230" s="371"/>
    </row>
    <row r="231">
      <c r="A231" s="371"/>
      <c r="B231" s="307"/>
      <c r="C231" s="307"/>
      <c r="D231" s="307"/>
      <c r="E231" s="307"/>
      <c r="F231" s="371"/>
      <c r="G231" s="307"/>
      <c r="H231" s="371"/>
      <c r="I231" s="371"/>
      <c r="J231" s="371"/>
      <c r="K231" s="371"/>
      <c r="L231" s="371"/>
      <c r="M231" s="371"/>
      <c r="N231" s="371"/>
      <c r="O231" s="371"/>
      <c r="P231" s="371"/>
      <c r="Q231" s="371"/>
      <c r="R231" s="371"/>
      <c r="S231" s="371"/>
      <c r="T231" s="371"/>
      <c r="U231" s="371"/>
      <c r="V231" s="371"/>
      <c r="W231" s="371"/>
      <c r="X231" s="371"/>
      <c r="Y231" s="371"/>
      <c r="Z231" s="371"/>
    </row>
    <row r="232">
      <c r="A232" s="371"/>
      <c r="B232" s="307"/>
      <c r="C232" s="307"/>
      <c r="D232" s="307"/>
      <c r="E232" s="307"/>
      <c r="F232" s="371"/>
      <c r="G232" s="307"/>
      <c r="H232" s="371"/>
      <c r="I232" s="371"/>
      <c r="J232" s="371"/>
      <c r="K232" s="371"/>
      <c r="L232" s="371"/>
      <c r="M232" s="371"/>
      <c r="N232" s="371"/>
      <c r="O232" s="371"/>
      <c r="P232" s="371"/>
      <c r="Q232" s="371"/>
      <c r="R232" s="371"/>
      <c r="S232" s="371"/>
      <c r="T232" s="371"/>
      <c r="U232" s="371"/>
      <c r="V232" s="371"/>
      <c r="W232" s="371"/>
      <c r="X232" s="371"/>
      <c r="Y232" s="371"/>
      <c r="Z232" s="371"/>
    </row>
    <row r="233">
      <c r="A233" s="371"/>
      <c r="B233" s="307"/>
      <c r="C233" s="307"/>
      <c r="D233" s="307"/>
      <c r="E233" s="307"/>
      <c r="F233" s="371"/>
      <c r="G233" s="307"/>
      <c r="H233" s="371"/>
      <c r="I233" s="371"/>
      <c r="J233" s="371"/>
      <c r="K233" s="371"/>
      <c r="L233" s="371"/>
      <c r="M233" s="371"/>
      <c r="N233" s="371"/>
      <c r="O233" s="371"/>
      <c r="P233" s="371"/>
      <c r="Q233" s="371"/>
      <c r="R233" s="371"/>
      <c r="S233" s="371"/>
      <c r="T233" s="371"/>
      <c r="U233" s="371"/>
      <c r="V233" s="371"/>
      <c r="W233" s="371"/>
      <c r="X233" s="371"/>
      <c r="Y233" s="371"/>
      <c r="Z233" s="371"/>
    </row>
    <row r="234">
      <c r="A234" s="371"/>
      <c r="B234" s="307"/>
      <c r="C234" s="307"/>
      <c r="D234" s="307"/>
      <c r="E234" s="307"/>
      <c r="F234" s="371"/>
      <c r="G234" s="307"/>
      <c r="H234" s="371"/>
      <c r="I234" s="371"/>
      <c r="J234" s="371"/>
      <c r="K234" s="371"/>
      <c r="L234" s="371"/>
      <c r="M234" s="371"/>
      <c r="N234" s="371"/>
      <c r="O234" s="371"/>
      <c r="P234" s="371"/>
      <c r="Q234" s="371"/>
      <c r="R234" s="371"/>
      <c r="S234" s="371"/>
      <c r="T234" s="371"/>
      <c r="U234" s="371"/>
      <c r="V234" s="371"/>
      <c r="W234" s="371"/>
      <c r="X234" s="371"/>
      <c r="Y234" s="371"/>
      <c r="Z234" s="371"/>
    </row>
    <row r="235">
      <c r="A235" s="371"/>
      <c r="B235" s="307"/>
      <c r="C235" s="307"/>
      <c r="D235" s="307"/>
      <c r="E235" s="307"/>
      <c r="F235" s="371"/>
      <c r="G235" s="307"/>
      <c r="H235" s="371"/>
      <c r="I235" s="371"/>
      <c r="J235" s="371"/>
      <c r="K235" s="371"/>
      <c r="L235" s="371"/>
      <c r="M235" s="371"/>
      <c r="N235" s="371"/>
      <c r="O235" s="371"/>
      <c r="P235" s="371"/>
      <c r="Q235" s="371"/>
      <c r="R235" s="371"/>
      <c r="S235" s="371"/>
      <c r="T235" s="371"/>
      <c r="U235" s="371"/>
      <c r="V235" s="371"/>
      <c r="W235" s="371"/>
      <c r="X235" s="371"/>
      <c r="Y235" s="371"/>
      <c r="Z235" s="371"/>
    </row>
    <row r="236">
      <c r="A236" s="371"/>
      <c r="B236" s="307"/>
      <c r="C236" s="307"/>
      <c r="D236" s="307"/>
      <c r="E236" s="307"/>
      <c r="F236" s="371"/>
      <c r="G236" s="307"/>
      <c r="H236" s="371"/>
      <c r="I236" s="371"/>
      <c r="J236" s="371"/>
      <c r="K236" s="371"/>
      <c r="L236" s="371"/>
      <c r="M236" s="371"/>
      <c r="N236" s="371"/>
      <c r="O236" s="371"/>
      <c r="P236" s="371"/>
      <c r="Q236" s="371"/>
      <c r="R236" s="371"/>
      <c r="S236" s="371"/>
      <c r="T236" s="371"/>
      <c r="U236" s="371"/>
      <c r="V236" s="371"/>
      <c r="W236" s="371"/>
      <c r="X236" s="371"/>
      <c r="Y236" s="371"/>
      <c r="Z236" s="371"/>
    </row>
    <row r="237">
      <c r="A237" s="371"/>
      <c r="B237" s="307"/>
      <c r="C237" s="307"/>
      <c r="D237" s="307"/>
      <c r="E237" s="307"/>
      <c r="F237" s="371"/>
      <c r="G237" s="307"/>
      <c r="H237" s="371"/>
      <c r="I237" s="371"/>
      <c r="J237" s="371"/>
      <c r="K237" s="371"/>
      <c r="L237" s="371"/>
      <c r="M237" s="371"/>
      <c r="N237" s="371"/>
      <c r="O237" s="371"/>
      <c r="P237" s="371"/>
      <c r="Q237" s="371"/>
      <c r="R237" s="371"/>
      <c r="S237" s="371"/>
      <c r="T237" s="371"/>
      <c r="U237" s="371"/>
      <c r="V237" s="371"/>
      <c r="W237" s="371"/>
      <c r="X237" s="371"/>
      <c r="Y237" s="371"/>
      <c r="Z237" s="371"/>
    </row>
    <row r="238">
      <c r="A238" s="371"/>
      <c r="B238" s="307"/>
      <c r="C238" s="307"/>
      <c r="D238" s="307"/>
      <c r="E238" s="307"/>
      <c r="F238" s="371"/>
      <c r="G238" s="307"/>
      <c r="H238" s="371"/>
      <c r="I238" s="371"/>
      <c r="J238" s="371"/>
      <c r="K238" s="371"/>
      <c r="L238" s="371"/>
      <c r="M238" s="371"/>
      <c r="N238" s="371"/>
      <c r="O238" s="371"/>
      <c r="P238" s="371"/>
      <c r="Q238" s="371"/>
      <c r="R238" s="371"/>
      <c r="S238" s="371"/>
      <c r="T238" s="371"/>
      <c r="U238" s="371"/>
      <c r="V238" s="371"/>
      <c r="W238" s="371"/>
      <c r="X238" s="371"/>
      <c r="Y238" s="371"/>
      <c r="Z238" s="371"/>
    </row>
    <row r="239">
      <c r="A239" s="371"/>
      <c r="B239" s="307"/>
      <c r="C239" s="307"/>
      <c r="D239" s="307"/>
      <c r="E239" s="307"/>
      <c r="F239" s="371"/>
      <c r="G239" s="307"/>
      <c r="H239" s="371"/>
      <c r="I239" s="371"/>
      <c r="J239" s="371"/>
      <c r="K239" s="371"/>
      <c r="L239" s="371"/>
      <c r="M239" s="371"/>
      <c r="N239" s="371"/>
      <c r="O239" s="371"/>
      <c r="P239" s="371"/>
      <c r="Q239" s="371"/>
      <c r="R239" s="371"/>
      <c r="S239" s="371"/>
      <c r="T239" s="371"/>
      <c r="U239" s="371"/>
      <c r="V239" s="371"/>
      <c r="W239" s="371"/>
      <c r="X239" s="371"/>
      <c r="Y239" s="371"/>
      <c r="Z239" s="371"/>
    </row>
    <row r="240">
      <c r="A240" s="371"/>
      <c r="B240" s="307"/>
      <c r="C240" s="307"/>
      <c r="D240" s="307"/>
      <c r="E240" s="307"/>
      <c r="F240" s="371"/>
      <c r="G240" s="307"/>
      <c r="H240" s="371"/>
      <c r="I240" s="371"/>
      <c r="J240" s="371"/>
      <c r="K240" s="371"/>
      <c r="L240" s="371"/>
      <c r="M240" s="371"/>
      <c r="N240" s="371"/>
      <c r="O240" s="371"/>
      <c r="P240" s="371"/>
      <c r="Q240" s="371"/>
      <c r="R240" s="371"/>
      <c r="S240" s="371"/>
      <c r="T240" s="371"/>
      <c r="U240" s="371"/>
      <c r="V240" s="371"/>
      <c r="W240" s="371"/>
      <c r="X240" s="371"/>
      <c r="Y240" s="371"/>
      <c r="Z240" s="371"/>
    </row>
    <row r="241">
      <c r="A241" s="371"/>
      <c r="B241" s="307"/>
      <c r="C241" s="307"/>
      <c r="D241" s="307"/>
      <c r="E241" s="307"/>
      <c r="F241" s="371"/>
      <c r="G241" s="307"/>
      <c r="H241" s="371"/>
      <c r="I241" s="371"/>
      <c r="J241" s="371"/>
      <c r="K241" s="371"/>
      <c r="L241" s="371"/>
      <c r="M241" s="371"/>
      <c r="N241" s="371"/>
      <c r="O241" s="371"/>
      <c r="P241" s="371"/>
      <c r="Q241" s="371"/>
      <c r="R241" s="371"/>
      <c r="S241" s="371"/>
      <c r="T241" s="371"/>
      <c r="U241" s="371"/>
      <c r="V241" s="371"/>
      <c r="W241" s="371"/>
      <c r="X241" s="371"/>
      <c r="Y241" s="371"/>
      <c r="Z241" s="371"/>
    </row>
    <row r="242">
      <c r="A242" s="371"/>
      <c r="B242" s="307"/>
      <c r="C242" s="307"/>
      <c r="D242" s="307"/>
      <c r="E242" s="307"/>
      <c r="F242" s="371"/>
      <c r="G242" s="307"/>
      <c r="H242" s="371"/>
      <c r="I242" s="371"/>
      <c r="J242" s="371"/>
      <c r="K242" s="371"/>
      <c r="L242" s="371"/>
      <c r="M242" s="371"/>
      <c r="N242" s="371"/>
      <c r="O242" s="371"/>
      <c r="P242" s="371"/>
      <c r="Q242" s="371"/>
      <c r="R242" s="371"/>
      <c r="S242" s="371"/>
      <c r="T242" s="371"/>
      <c r="U242" s="371"/>
      <c r="V242" s="371"/>
      <c r="W242" s="371"/>
      <c r="X242" s="371"/>
      <c r="Y242" s="371"/>
      <c r="Z242" s="371"/>
    </row>
    <row r="243">
      <c r="A243" s="371"/>
      <c r="B243" s="307"/>
      <c r="C243" s="307"/>
      <c r="D243" s="307"/>
      <c r="E243" s="307"/>
      <c r="F243" s="371"/>
      <c r="G243" s="307"/>
      <c r="H243" s="371"/>
      <c r="I243" s="371"/>
      <c r="J243" s="371"/>
      <c r="K243" s="371"/>
      <c r="L243" s="371"/>
      <c r="M243" s="371"/>
      <c r="N243" s="371"/>
      <c r="O243" s="371"/>
      <c r="P243" s="371"/>
      <c r="Q243" s="371"/>
      <c r="R243" s="371"/>
      <c r="S243" s="371"/>
      <c r="T243" s="371"/>
      <c r="U243" s="371"/>
      <c r="V243" s="371"/>
      <c r="W243" s="371"/>
      <c r="X243" s="371"/>
      <c r="Y243" s="371"/>
      <c r="Z243" s="371"/>
    </row>
    <row r="244">
      <c r="A244" s="371"/>
      <c r="B244" s="307"/>
      <c r="C244" s="307"/>
      <c r="D244" s="307"/>
      <c r="E244" s="307"/>
      <c r="F244" s="371"/>
      <c r="G244" s="307"/>
      <c r="H244" s="371"/>
      <c r="I244" s="371"/>
      <c r="J244" s="371"/>
      <c r="K244" s="371"/>
      <c r="L244" s="371"/>
      <c r="M244" s="371"/>
      <c r="N244" s="371"/>
      <c r="O244" s="371"/>
      <c r="P244" s="371"/>
      <c r="Q244" s="371"/>
      <c r="R244" s="371"/>
      <c r="S244" s="371"/>
      <c r="T244" s="371"/>
      <c r="U244" s="371"/>
      <c r="V244" s="371"/>
      <c r="W244" s="371"/>
      <c r="X244" s="371"/>
      <c r="Y244" s="371"/>
      <c r="Z244" s="371"/>
    </row>
    <row r="245">
      <c r="A245" s="371"/>
      <c r="B245" s="307"/>
      <c r="C245" s="307"/>
      <c r="D245" s="307"/>
      <c r="E245" s="307"/>
      <c r="F245" s="371"/>
      <c r="G245" s="307"/>
      <c r="H245" s="371"/>
      <c r="I245" s="371"/>
      <c r="J245" s="371"/>
      <c r="K245" s="371"/>
      <c r="L245" s="371"/>
      <c r="M245" s="371"/>
      <c r="N245" s="371"/>
      <c r="O245" s="371"/>
      <c r="P245" s="371"/>
      <c r="Q245" s="371"/>
      <c r="R245" s="371"/>
      <c r="S245" s="371"/>
      <c r="T245" s="371"/>
      <c r="U245" s="371"/>
      <c r="V245" s="371"/>
      <c r="W245" s="371"/>
      <c r="X245" s="371"/>
      <c r="Y245" s="371"/>
      <c r="Z245" s="371"/>
    </row>
    <row r="246">
      <c r="A246" s="371"/>
      <c r="B246" s="307"/>
      <c r="C246" s="307"/>
      <c r="D246" s="307"/>
      <c r="E246" s="307"/>
      <c r="F246" s="371"/>
      <c r="G246" s="307"/>
      <c r="H246" s="371"/>
      <c r="I246" s="371"/>
      <c r="J246" s="371"/>
      <c r="K246" s="371"/>
      <c r="L246" s="371"/>
      <c r="M246" s="371"/>
      <c r="N246" s="371"/>
      <c r="O246" s="371"/>
      <c r="P246" s="371"/>
      <c r="Q246" s="371"/>
      <c r="R246" s="371"/>
      <c r="S246" s="371"/>
      <c r="T246" s="371"/>
      <c r="U246" s="371"/>
      <c r="V246" s="371"/>
      <c r="W246" s="371"/>
      <c r="X246" s="371"/>
      <c r="Y246" s="371"/>
      <c r="Z246" s="371"/>
    </row>
    <row r="247">
      <c r="A247" s="371"/>
      <c r="B247" s="307"/>
      <c r="C247" s="307"/>
      <c r="D247" s="307"/>
      <c r="E247" s="307"/>
      <c r="F247" s="371"/>
      <c r="G247" s="307"/>
      <c r="H247" s="371"/>
      <c r="I247" s="371"/>
      <c r="J247" s="371"/>
      <c r="K247" s="371"/>
      <c r="L247" s="371"/>
      <c r="M247" s="371"/>
      <c r="N247" s="371"/>
      <c r="O247" s="371"/>
      <c r="P247" s="371"/>
      <c r="Q247" s="371"/>
      <c r="R247" s="371"/>
      <c r="S247" s="371"/>
      <c r="T247" s="371"/>
      <c r="U247" s="371"/>
      <c r="V247" s="371"/>
      <c r="W247" s="371"/>
      <c r="X247" s="371"/>
      <c r="Y247" s="371"/>
      <c r="Z247" s="371"/>
    </row>
    <row r="248">
      <c r="A248" s="371"/>
      <c r="B248" s="307"/>
      <c r="C248" s="307"/>
      <c r="D248" s="307"/>
      <c r="E248" s="307"/>
      <c r="F248" s="371"/>
      <c r="G248" s="307"/>
      <c r="H248" s="371"/>
      <c r="I248" s="371"/>
      <c r="J248" s="371"/>
      <c r="K248" s="371"/>
      <c r="L248" s="371"/>
      <c r="M248" s="371"/>
      <c r="N248" s="371"/>
      <c r="O248" s="371"/>
      <c r="P248" s="371"/>
      <c r="Q248" s="371"/>
      <c r="R248" s="371"/>
      <c r="S248" s="371"/>
      <c r="T248" s="371"/>
      <c r="U248" s="371"/>
      <c r="V248" s="371"/>
      <c r="W248" s="371"/>
      <c r="X248" s="371"/>
      <c r="Y248" s="371"/>
      <c r="Z248" s="371"/>
    </row>
    <row r="249">
      <c r="A249" s="371"/>
      <c r="B249" s="307"/>
      <c r="C249" s="307"/>
      <c r="D249" s="307"/>
      <c r="E249" s="307"/>
      <c r="F249" s="371"/>
      <c r="G249" s="307"/>
      <c r="H249" s="371"/>
      <c r="I249" s="371"/>
      <c r="J249" s="371"/>
      <c r="K249" s="371"/>
      <c r="L249" s="371"/>
      <c r="M249" s="371"/>
      <c r="N249" s="371"/>
      <c r="O249" s="371"/>
      <c r="P249" s="371"/>
      <c r="Q249" s="371"/>
      <c r="R249" s="371"/>
      <c r="S249" s="371"/>
      <c r="T249" s="371"/>
      <c r="U249" s="371"/>
      <c r="V249" s="371"/>
      <c r="W249" s="371"/>
      <c r="X249" s="371"/>
      <c r="Y249" s="371"/>
      <c r="Z249" s="371"/>
    </row>
    <row r="250">
      <c r="A250" s="371"/>
      <c r="B250" s="307"/>
      <c r="C250" s="307"/>
      <c r="D250" s="307"/>
      <c r="E250" s="307"/>
      <c r="F250" s="371"/>
      <c r="G250" s="307"/>
      <c r="H250" s="371"/>
      <c r="I250" s="371"/>
      <c r="J250" s="371"/>
      <c r="K250" s="371"/>
      <c r="L250" s="371"/>
      <c r="M250" s="371"/>
      <c r="N250" s="371"/>
      <c r="O250" s="371"/>
      <c r="P250" s="371"/>
      <c r="Q250" s="371"/>
      <c r="R250" s="371"/>
      <c r="S250" s="371"/>
      <c r="T250" s="371"/>
      <c r="U250" s="371"/>
      <c r="V250" s="371"/>
      <c r="W250" s="371"/>
      <c r="X250" s="371"/>
      <c r="Y250" s="371"/>
      <c r="Z250" s="371"/>
    </row>
    <row r="251">
      <c r="A251" s="371"/>
      <c r="B251" s="307"/>
      <c r="C251" s="307"/>
      <c r="D251" s="307"/>
      <c r="E251" s="307"/>
      <c r="F251" s="371"/>
      <c r="G251" s="307"/>
      <c r="H251" s="371"/>
      <c r="I251" s="371"/>
      <c r="J251" s="371"/>
      <c r="K251" s="371"/>
      <c r="L251" s="371"/>
      <c r="M251" s="371"/>
      <c r="N251" s="371"/>
      <c r="O251" s="371"/>
      <c r="P251" s="371"/>
      <c r="Q251" s="371"/>
      <c r="R251" s="371"/>
      <c r="S251" s="371"/>
      <c r="T251" s="371"/>
      <c r="U251" s="371"/>
      <c r="V251" s="371"/>
      <c r="W251" s="371"/>
      <c r="X251" s="371"/>
      <c r="Y251" s="371"/>
      <c r="Z251" s="371"/>
    </row>
    <row r="252">
      <c r="A252" s="371"/>
      <c r="B252" s="307"/>
      <c r="C252" s="307"/>
      <c r="D252" s="307"/>
      <c r="E252" s="307"/>
      <c r="F252" s="371"/>
      <c r="G252" s="307"/>
      <c r="H252" s="371"/>
      <c r="I252" s="371"/>
      <c r="J252" s="371"/>
      <c r="K252" s="371"/>
      <c r="L252" s="371"/>
      <c r="M252" s="371"/>
      <c r="N252" s="371"/>
      <c r="O252" s="371"/>
      <c r="P252" s="371"/>
      <c r="Q252" s="371"/>
      <c r="R252" s="371"/>
      <c r="S252" s="371"/>
      <c r="T252" s="371"/>
      <c r="U252" s="371"/>
      <c r="V252" s="371"/>
      <c r="W252" s="371"/>
      <c r="X252" s="371"/>
      <c r="Y252" s="371"/>
      <c r="Z252" s="371"/>
    </row>
    <row r="253">
      <c r="A253" s="371"/>
      <c r="B253" s="307"/>
      <c r="C253" s="307"/>
      <c r="D253" s="307"/>
      <c r="E253" s="307"/>
      <c r="F253" s="371"/>
      <c r="G253" s="307"/>
      <c r="H253" s="371"/>
      <c r="I253" s="371"/>
      <c r="J253" s="371"/>
      <c r="K253" s="371"/>
      <c r="L253" s="371"/>
      <c r="M253" s="371"/>
      <c r="N253" s="371"/>
      <c r="O253" s="371"/>
      <c r="P253" s="371"/>
      <c r="Q253" s="371"/>
      <c r="R253" s="371"/>
      <c r="S253" s="371"/>
      <c r="T253" s="371"/>
      <c r="U253" s="371"/>
      <c r="V253" s="371"/>
      <c r="W253" s="371"/>
      <c r="X253" s="371"/>
      <c r="Y253" s="371"/>
      <c r="Z253" s="371"/>
    </row>
    <row r="254">
      <c r="A254" s="371"/>
      <c r="B254" s="307"/>
      <c r="C254" s="307"/>
      <c r="D254" s="307"/>
      <c r="E254" s="307"/>
      <c r="F254" s="371"/>
      <c r="G254" s="307"/>
      <c r="H254" s="371"/>
      <c r="I254" s="371"/>
      <c r="J254" s="371"/>
      <c r="K254" s="371"/>
      <c r="L254" s="371"/>
      <c r="M254" s="371"/>
      <c r="N254" s="371"/>
      <c r="O254" s="371"/>
      <c r="P254" s="371"/>
      <c r="Q254" s="371"/>
      <c r="R254" s="371"/>
      <c r="S254" s="371"/>
      <c r="T254" s="371"/>
      <c r="U254" s="371"/>
      <c r="V254" s="371"/>
      <c r="W254" s="371"/>
      <c r="X254" s="371"/>
      <c r="Y254" s="371"/>
      <c r="Z254" s="371"/>
    </row>
    <row r="255">
      <c r="A255" s="371"/>
      <c r="B255" s="307"/>
      <c r="C255" s="307"/>
      <c r="D255" s="307"/>
      <c r="E255" s="307"/>
      <c r="F255" s="371"/>
      <c r="G255" s="307"/>
      <c r="H255" s="371"/>
      <c r="I255" s="371"/>
      <c r="J255" s="371"/>
      <c r="K255" s="371"/>
      <c r="L255" s="371"/>
      <c r="M255" s="371"/>
      <c r="N255" s="371"/>
      <c r="O255" s="371"/>
      <c r="P255" s="371"/>
      <c r="Q255" s="371"/>
      <c r="R255" s="371"/>
      <c r="S255" s="371"/>
      <c r="T255" s="371"/>
      <c r="U255" s="371"/>
      <c r="V255" s="371"/>
      <c r="W255" s="371"/>
      <c r="X255" s="371"/>
      <c r="Y255" s="371"/>
      <c r="Z255" s="371"/>
    </row>
    <row r="256">
      <c r="A256" s="371"/>
      <c r="B256" s="307"/>
      <c r="C256" s="307"/>
      <c r="D256" s="307"/>
      <c r="E256" s="307"/>
      <c r="F256" s="371"/>
      <c r="G256" s="307"/>
      <c r="H256" s="371"/>
      <c r="I256" s="371"/>
      <c r="J256" s="371"/>
      <c r="K256" s="371"/>
      <c r="L256" s="371"/>
      <c r="M256" s="371"/>
      <c r="N256" s="371"/>
      <c r="O256" s="371"/>
      <c r="P256" s="371"/>
      <c r="Q256" s="371"/>
      <c r="R256" s="371"/>
      <c r="S256" s="371"/>
      <c r="T256" s="371"/>
      <c r="U256" s="371"/>
      <c r="V256" s="371"/>
      <c r="W256" s="371"/>
      <c r="X256" s="371"/>
      <c r="Y256" s="371"/>
      <c r="Z256" s="371"/>
    </row>
    <row r="257">
      <c r="A257" s="371"/>
      <c r="B257" s="307"/>
      <c r="C257" s="307"/>
      <c r="D257" s="307"/>
      <c r="E257" s="307"/>
      <c r="F257" s="371"/>
      <c r="G257" s="307"/>
      <c r="H257" s="371"/>
      <c r="I257" s="371"/>
      <c r="J257" s="371"/>
      <c r="K257" s="371"/>
      <c r="L257" s="371"/>
      <c r="M257" s="371"/>
      <c r="N257" s="371"/>
      <c r="O257" s="371"/>
      <c r="P257" s="371"/>
      <c r="Q257" s="371"/>
      <c r="R257" s="371"/>
      <c r="S257" s="371"/>
      <c r="T257" s="371"/>
      <c r="U257" s="371"/>
      <c r="V257" s="371"/>
      <c r="W257" s="371"/>
      <c r="X257" s="371"/>
      <c r="Y257" s="371"/>
      <c r="Z257" s="371"/>
    </row>
    <row r="258">
      <c r="A258" s="371"/>
      <c r="B258" s="307"/>
      <c r="C258" s="307"/>
      <c r="D258" s="307"/>
      <c r="E258" s="307"/>
      <c r="F258" s="371"/>
      <c r="G258" s="307"/>
      <c r="H258" s="371"/>
      <c r="I258" s="371"/>
      <c r="J258" s="371"/>
      <c r="K258" s="371"/>
      <c r="L258" s="371"/>
      <c r="M258" s="371"/>
      <c r="N258" s="371"/>
      <c r="O258" s="371"/>
      <c r="P258" s="371"/>
      <c r="Q258" s="371"/>
      <c r="R258" s="371"/>
      <c r="S258" s="371"/>
      <c r="T258" s="371"/>
      <c r="U258" s="371"/>
      <c r="V258" s="371"/>
      <c r="W258" s="371"/>
      <c r="X258" s="371"/>
      <c r="Y258" s="371"/>
      <c r="Z258" s="371"/>
    </row>
    <row r="259">
      <c r="A259" s="371"/>
      <c r="B259" s="307"/>
      <c r="C259" s="307"/>
      <c r="D259" s="307"/>
      <c r="E259" s="307"/>
      <c r="F259" s="371"/>
      <c r="G259" s="307"/>
      <c r="H259" s="371"/>
      <c r="I259" s="371"/>
      <c r="J259" s="371"/>
      <c r="K259" s="371"/>
      <c r="L259" s="371"/>
      <c r="M259" s="371"/>
      <c r="N259" s="371"/>
      <c r="O259" s="371"/>
      <c r="P259" s="371"/>
      <c r="Q259" s="371"/>
      <c r="R259" s="371"/>
      <c r="S259" s="371"/>
      <c r="T259" s="371"/>
      <c r="U259" s="371"/>
      <c r="V259" s="371"/>
      <c r="W259" s="371"/>
      <c r="X259" s="371"/>
      <c r="Y259" s="371"/>
      <c r="Z259" s="371"/>
    </row>
    <row r="260">
      <c r="A260" s="371"/>
      <c r="B260" s="307"/>
      <c r="C260" s="307"/>
      <c r="D260" s="307"/>
      <c r="E260" s="307"/>
      <c r="F260" s="371"/>
      <c r="G260" s="307"/>
      <c r="H260" s="371"/>
      <c r="I260" s="371"/>
      <c r="J260" s="371"/>
      <c r="K260" s="371"/>
      <c r="L260" s="371"/>
      <c r="M260" s="371"/>
      <c r="N260" s="371"/>
      <c r="O260" s="371"/>
      <c r="P260" s="371"/>
      <c r="Q260" s="371"/>
      <c r="R260" s="371"/>
      <c r="S260" s="371"/>
      <c r="T260" s="371"/>
      <c r="U260" s="371"/>
      <c r="V260" s="371"/>
      <c r="W260" s="371"/>
      <c r="X260" s="371"/>
      <c r="Y260" s="371"/>
      <c r="Z260" s="371"/>
    </row>
    <row r="261">
      <c r="A261" s="371"/>
      <c r="B261" s="307"/>
      <c r="C261" s="307"/>
      <c r="D261" s="307"/>
      <c r="E261" s="307"/>
      <c r="F261" s="371"/>
      <c r="G261" s="307"/>
      <c r="H261" s="371"/>
      <c r="I261" s="371"/>
      <c r="J261" s="371"/>
      <c r="K261" s="371"/>
      <c r="L261" s="371"/>
      <c r="M261" s="371"/>
      <c r="N261" s="371"/>
      <c r="O261" s="371"/>
      <c r="P261" s="371"/>
      <c r="Q261" s="371"/>
      <c r="R261" s="371"/>
      <c r="S261" s="371"/>
      <c r="T261" s="371"/>
      <c r="U261" s="371"/>
      <c r="V261" s="371"/>
      <c r="W261" s="371"/>
      <c r="X261" s="371"/>
      <c r="Y261" s="371"/>
      <c r="Z261" s="371"/>
    </row>
    <row r="262">
      <c r="A262" s="371"/>
      <c r="B262" s="307"/>
      <c r="C262" s="307"/>
      <c r="D262" s="307"/>
      <c r="E262" s="307"/>
      <c r="F262" s="371"/>
      <c r="G262" s="307"/>
      <c r="H262" s="371"/>
      <c r="I262" s="371"/>
      <c r="J262" s="371"/>
      <c r="K262" s="371"/>
      <c r="L262" s="371"/>
      <c r="M262" s="371"/>
      <c r="N262" s="371"/>
      <c r="O262" s="371"/>
      <c r="P262" s="371"/>
      <c r="Q262" s="371"/>
      <c r="R262" s="371"/>
      <c r="S262" s="371"/>
      <c r="T262" s="371"/>
      <c r="U262" s="371"/>
      <c r="V262" s="371"/>
      <c r="W262" s="371"/>
      <c r="X262" s="371"/>
      <c r="Y262" s="371"/>
      <c r="Z262" s="371"/>
    </row>
    <row r="263">
      <c r="A263" s="371"/>
      <c r="B263" s="307"/>
      <c r="C263" s="307"/>
      <c r="D263" s="307"/>
      <c r="E263" s="307"/>
      <c r="F263" s="371"/>
      <c r="G263" s="307"/>
      <c r="H263" s="371"/>
      <c r="I263" s="371"/>
      <c r="J263" s="371"/>
      <c r="K263" s="371"/>
      <c r="L263" s="371"/>
      <c r="M263" s="371"/>
      <c r="N263" s="371"/>
      <c r="O263" s="371"/>
      <c r="P263" s="371"/>
      <c r="Q263" s="371"/>
      <c r="R263" s="371"/>
      <c r="S263" s="371"/>
      <c r="T263" s="371"/>
      <c r="U263" s="371"/>
      <c r="V263" s="371"/>
      <c r="W263" s="371"/>
      <c r="X263" s="371"/>
      <c r="Y263" s="371"/>
      <c r="Z263" s="371"/>
    </row>
    <row r="264">
      <c r="A264" s="371"/>
      <c r="B264" s="307"/>
      <c r="C264" s="307"/>
      <c r="D264" s="307"/>
      <c r="E264" s="307"/>
      <c r="F264" s="371"/>
      <c r="G264" s="307"/>
      <c r="H264" s="371"/>
      <c r="I264" s="371"/>
      <c r="J264" s="371"/>
      <c r="K264" s="371"/>
      <c r="L264" s="371"/>
      <c r="M264" s="371"/>
      <c r="N264" s="371"/>
      <c r="O264" s="371"/>
      <c r="P264" s="371"/>
      <c r="Q264" s="371"/>
      <c r="R264" s="371"/>
      <c r="S264" s="371"/>
      <c r="T264" s="371"/>
      <c r="U264" s="371"/>
      <c r="V264" s="371"/>
      <c r="W264" s="371"/>
      <c r="X264" s="371"/>
      <c r="Y264" s="371"/>
      <c r="Z264" s="371"/>
    </row>
    <row r="265">
      <c r="A265" s="371"/>
      <c r="B265" s="307"/>
      <c r="C265" s="307"/>
      <c r="D265" s="307"/>
      <c r="E265" s="307"/>
      <c r="F265" s="371"/>
      <c r="G265" s="307"/>
      <c r="H265" s="371"/>
      <c r="I265" s="371"/>
      <c r="J265" s="371"/>
      <c r="K265" s="371"/>
      <c r="L265" s="371"/>
      <c r="M265" s="371"/>
      <c r="N265" s="371"/>
      <c r="O265" s="371"/>
      <c r="P265" s="371"/>
      <c r="Q265" s="371"/>
      <c r="R265" s="371"/>
      <c r="S265" s="371"/>
      <c r="T265" s="371"/>
      <c r="U265" s="371"/>
      <c r="V265" s="371"/>
      <c r="W265" s="371"/>
      <c r="X265" s="371"/>
      <c r="Y265" s="371"/>
      <c r="Z265" s="371"/>
    </row>
    <row r="266">
      <c r="A266" s="371"/>
      <c r="B266" s="307"/>
      <c r="C266" s="307"/>
      <c r="D266" s="307"/>
      <c r="E266" s="307"/>
      <c r="F266" s="371"/>
      <c r="G266" s="307"/>
      <c r="H266" s="371"/>
      <c r="I266" s="371"/>
      <c r="J266" s="371"/>
      <c r="K266" s="371"/>
      <c r="L266" s="371"/>
      <c r="M266" s="371"/>
      <c r="N266" s="371"/>
      <c r="O266" s="371"/>
      <c r="P266" s="371"/>
      <c r="Q266" s="371"/>
      <c r="R266" s="371"/>
      <c r="S266" s="371"/>
      <c r="T266" s="371"/>
      <c r="U266" s="371"/>
      <c r="V266" s="371"/>
      <c r="W266" s="371"/>
      <c r="X266" s="371"/>
      <c r="Y266" s="371"/>
      <c r="Z266" s="371"/>
    </row>
    <row r="267">
      <c r="A267" s="371"/>
      <c r="B267" s="307"/>
      <c r="C267" s="307"/>
      <c r="D267" s="307"/>
      <c r="E267" s="307"/>
      <c r="F267" s="371"/>
      <c r="G267" s="307"/>
      <c r="H267" s="371"/>
      <c r="I267" s="371"/>
      <c r="J267" s="371"/>
      <c r="K267" s="371"/>
      <c r="L267" s="371"/>
      <c r="M267" s="371"/>
      <c r="N267" s="371"/>
      <c r="O267" s="371"/>
      <c r="P267" s="371"/>
      <c r="Q267" s="371"/>
      <c r="R267" s="371"/>
      <c r="S267" s="371"/>
      <c r="T267" s="371"/>
      <c r="U267" s="371"/>
      <c r="V267" s="371"/>
      <c r="W267" s="371"/>
      <c r="X267" s="371"/>
      <c r="Y267" s="371"/>
      <c r="Z267" s="371"/>
    </row>
    <row r="268">
      <c r="A268" s="371"/>
      <c r="B268" s="307"/>
      <c r="C268" s="307"/>
      <c r="D268" s="307"/>
      <c r="E268" s="307"/>
      <c r="F268" s="371"/>
      <c r="G268" s="307"/>
      <c r="H268" s="371"/>
      <c r="I268" s="371"/>
      <c r="J268" s="371"/>
      <c r="K268" s="371"/>
      <c r="L268" s="371"/>
      <c r="M268" s="371"/>
      <c r="N268" s="371"/>
      <c r="O268" s="371"/>
      <c r="P268" s="371"/>
      <c r="Q268" s="371"/>
      <c r="R268" s="371"/>
      <c r="S268" s="371"/>
      <c r="T268" s="371"/>
      <c r="U268" s="371"/>
      <c r="V268" s="371"/>
      <c r="W268" s="371"/>
      <c r="X268" s="371"/>
      <c r="Y268" s="371"/>
      <c r="Z268" s="371"/>
    </row>
    <row r="269">
      <c r="A269" s="371"/>
      <c r="B269" s="307"/>
      <c r="C269" s="307"/>
      <c r="D269" s="307"/>
      <c r="E269" s="307"/>
      <c r="F269" s="371"/>
      <c r="G269" s="307"/>
      <c r="H269" s="371"/>
      <c r="I269" s="371"/>
      <c r="J269" s="371"/>
      <c r="K269" s="371"/>
      <c r="L269" s="371"/>
      <c r="M269" s="371"/>
      <c r="N269" s="371"/>
      <c r="O269" s="371"/>
      <c r="P269" s="371"/>
      <c r="Q269" s="371"/>
      <c r="R269" s="371"/>
      <c r="S269" s="371"/>
      <c r="T269" s="371"/>
      <c r="U269" s="371"/>
      <c r="V269" s="371"/>
      <c r="W269" s="371"/>
      <c r="X269" s="371"/>
      <c r="Y269" s="371"/>
      <c r="Z269" s="371"/>
    </row>
    <row r="270">
      <c r="A270" s="371"/>
      <c r="B270" s="307"/>
      <c r="C270" s="307"/>
      <c r="D270" s="307"/>
      <c r="E270" s="307"/>
      <c r="F270" s="371"/>
      <c r="G270" s="307"/>
      <c r="H270" s="371"/>
      <c r="I270" s="371"/>
      <c r="J270" s="371"/>
      <c r="K270" s="371"/>
      <c r="L270" s="371"/>
      <c r="M270" s="371"/>
      <c r="N270" s="371"/>
      <c r="O270" s="371"/>
      <c r="P270" s="371"/>
      <c r="Q270" s="371"/>
      <c r="R270" s="371"/>
      <c r="S270" s="371"/>
      <c r="T270" s="371"/>
      <c r="U270" s="371"/>
      <c r="V270" s="371"/>
      <c r="W270" s="371"/>
      <c r="X270" s="371"/>
      <c r="Y270" s="371"/>
      <c r="Z270" s="371"/>
    </row>
    <row r="271">
      <c r="A271" s="371"/>
      <c r="B271" s="307"/>
      <c r="C271" s="307"/>
      <c r="D271" s="307"/>
      <c r="E271" s="307"/>
      <c r="F271" s="371"/>
      <c r="G271" s="307"/>
      <c r="H271" s="371"/>
      <c r="I271" s="371"/>
      <c r="J271" s="371"/>
      <c r="K271" s="371"/>
      <c r="L271" s="371"/>
      <c r="M271" s="371"/>
      <c r="N271" s="371"/>
      <c r="O271" s="371"/>
      <c r="P271" s="371"/>
      <c r="Q271" s="371"/>
      <c r="R271" s="371"/>
      <c r="S271" s="371"/>
      <c r="T271" s="371"/>
      <c r="U271" s="371"/>
      <c r="V271" s="371"/>
      <c r="W271" s="371"/>
      <c r="X271" s="371"/>
      <c r="Y271" s="371"/>
      <c r="Z271" s="371"/>
    </row>
    <row r="272">
      <c r="A272" s="371"/>
      <c r="B272" s="307"/>
      <c r="C272" s="307"/>
      <c r="D272" s="307"/>
      <c r="E272" s="307"/>
      <c r="F272" s="371"/>
      <c r="G272" s="307"/>
      <c r="H272" s="371"/>
      <c r="I272" s="371"/>
      <c r="J272" s="371"/>
      <c r="K272" s="371"/>
      <c r="L272" s="371"/>
      <c r="M272" s="371"/>
      <c r="N272" s="371"/>
      <c r="O272" s="371"/>
      <c r="P272" s="371"/>
      <c r="Q272" s="371"/>
      <c r="R272" s="371"/>
      <c r="S272" s="371"/>
      <c r="T272" s="371"/>
      <c r="U272" s="371"/>
      <c r="V272" s="371"/>
      <c r="W272" s="371"/>
      <c r="X272" s="371"/>
      <c r="Y272" s="371"/>
      <c r="Z272" s="371"/>
    </row>
    <row r="273">
      <c r="A273" s="371"/>
      <c r="B273" s="307"/>
      <c r="C273" s="307"/>
      <c r="D273" s="307"/>
      <c r="E273" s="307"/>
      <c r="F273" s="371"/>
      <c r="G273" s="307"/>
      <c r="H273" s="371"/>
      <c r="I273" s="371"/>
      <c r="J273" s="371"/>
      <c r="K273" s="371"/>
      <c r="L273" s="371"/>
      <c r="M273" s="371"/>
      <c r="N273" s="371"/>
      <c r="O273" s="371"/>
      <c r="P273" s="371"/>
      <c r="Q273" s="371"/>
      <c r="R273" s="371"/>
      <c r="S273" s="371"/>
      <c r="T273" s="371"/>
      <c r="U273" s="371"/>
      <c r="V273" s="371"/>
      <c r="W273" s="371"/>
      <c r="X273" s="371"/>
      <c r="Y273" s="371"/>
      <c r="Z273" s="371"/>
    </row>
    <row r="274">
      <c r="A274" s="371"/>
      <c r="B274" s="307"/>
      <c r="C274" s="307"/>
      <c r="D274" s="307"/>
      <c r="E274" s="307"/>
      <c r="F274" s="371"/>
      <c r="G274" s="307"/>
      <c r="H274" s="371"/>
      <c r="I274" s="371"/>
      <c r="J274" s="371"/>
      <c r="K274" s="371"/>
      <c r="L274" s="371"/>
      <c r="M274" s="371"/>
      <c r="N274" s="371"/>
      <c r="O274" s="371"/>
      <c r="P274" s="371"/>
      <c r="Q274" s="371"/>
      <c r="R274" s="371"/>
      <c r="S274" s="371"/>
      <c r="T274" s="371"/>
      <c r="U274" s="371"/>
      <c r="V274" s="371"/>
      <c r="W274" s="371"/>
      <c r="X274" s="371"/>
      <c r="Y274" s="371"/>
      <c r="Z274" s="371"/>
    </row>
    <row r="275">
      <c r="A275" s="371"/>
      <c r="B275" s="307"/>
      <c r="C275" s="307"/>
      <c r="D275" s="307"/>
      <c r="E275" s="307"/>
      <c r="F275" s="371"/>
      <c r="G275" s="307"/>
      <c r="H275" s="371"/>
      <c r="I275" s="371"/>
      <c r="J275" s="371"/>
      <c r="K275" s="371"/>
      <c r="L275" s="371"/>
      <c r="M275" s="371"/>
      <c r="N275" s="371"/>
      <c r="O275" s="371"/>
      <c r="P275" s="371"/>
      <c r="Q275" s="371"/>
      <c r="R275" s="371"/>
      <c r="S275" s="371"/>
      <c r="T275" s="371"/>
      <c r="U275" s="371"/>
      <c r="V275" s="371"/>
      <c r="W275" s="371"/>
      <c r="X275" s="371"/>
      <c r="Y275" s="371"/>
      <c r="Z275" s="371"/>
    </row>
    <row r="276">
      <c r="A276" s="371"/>
      <c r="B276" s="307"/>
      <c r="C276" s="307"/>
      <c r="D276" s="307"/>
      <c r="E276" s="307"/>
      <c r="F276" s="371"/>
      <c r="G276" s="307"/>
      <c r="H276" s="371"/>
      <c r="I276" s="371"/>
      <c r="J276" s="371"/>
      <c r="K276" s="371"/>
      <c r="L276" s="371"/>
      <c r="M276" s="371"/>
      <c r="N276" s="371"/>
      <c r="O276" s="371"/>
      <c r="P276" s="371"/>
      <c r="Q276" s="371"/>
      <c r="R276" s="371"/>
      <c r="S276" s="371"/>
      <c r="T276" s="371"/>
      <c r="U276" s="371"/>
      <c r="V276" s="371"/>
      <c r="W276" s="371"/>
      <c r="X276" s="371"/>
      <c r="Y276" s="371"/>
      <c r="Z276" s="371"/>
    </row>
    <row r="277">
      <c r="A277" s="371"/>
      <c r="B277" s="307"/>
      <c r="C277" s="307"/>
      <c r="D277" s="307"/>
      <c r="E277" s="307"/>
      <c r="F277" s="371"/>
      <c r="G277" s="307"/>
      <c r="H277" s="371"/>
      <c r="I277" s="371"/>
      <c r="J277" s="371"/>
      <c r="K277" s="371"/>
      <c r="L277" s="371"/>
      <c r="M277" s="371"/>
      <c r="N277" s="371"/>
      <c r="O277" s="371"/>
      <c r="P277" s="371"/>
      <c r="Q277" s="371"/>
      <c r="R277" s="371"/>
      <c r="S277" s="371"/>
      <c r="T277" s="371"/>
      <c r="U277" s="371"/>
      <c r="V277" s="371"/>
      <c r="W277" s="371"/>
      <c r="X277" s="371"/>
      <c r="Y277" s="371"/>
      <c r="Z277" s="371"/>
    </row>
    <row r="278">
      <c r="A278" s="371"/>
      <c r="B278" s="307"/>
      <c r="C278" s="307"/>
      <c r="D278" s="307"/>
      <c r="E278" s="307"/>
      <c r="F278" s="371"/>
      <c r="G278" s="307"/>
      <c r="H278" s="371"/>
      <c r="I278" s="371"/>
      <c r="J278" s="371"/>
      <c r="K278" s="371"/>
      <c r="L278" s="371"/>
      <c r="M278" s="371"/>
      <c r="N278" s="371"/>
      <c r="O278" s="371"/>
      <c r="P278" s="371"/>
      <c r="Q278" s="371"/>
      <c r="R278" s="371"/>
      <c r="S278" s="371"/>
      <c r="T278" s="371"/>
      <c r="U278" s="371"/>
      <c r="V278" s="371"/>
      <c r="W278" s="371"/>
      <c r="X278" s="371"/>
      <c r="Y278" s="371"/>
      <c r="Z278" s="371"/>
    </row>
    <row r="279">
      <c r="A279" s="371"/>
      <c r="B279" s="307"/>
      <c r="C279" s="307"/>
      <c r="D279" s="307"/>
      <c r="E279" s="307"/>
      <c r="F279" s="371"/>
      <c r="G279" s="307"/>
      <c r="H279" s="371"/>
      <c r="I279" s="371"/>
      <c r="J279" s="371"/>
      <c r="K279" s="371"/>
      <c r="L279" s="371"/>
      <c r="M279" s="371"/>
      <c r="N279" s="371"/>
      <c r="O279" s="371"/>
      <c r="P279" s="371"/>
      <c r="Q279" s="371"/>
      <c r="R279" s="371"/>
      <c r="S279" s="371"/>
      <c r="T279" s="371"/>
      <c r="U279" s="371"/>
      <c r="V279" s="371"/>
      <c r="W279" s="371"/>
      <c r="X279" s="371"/>
      <c r="Y279" s="371"/>
      <c r="Z279" s="371"/>
    </row>
    <row r="280">
      <c r="A280" s="371"/>
      <c r="B280" s="307"/>
      <c r="C280" s="307"/>
      <c r="D280" s="307"/>
      <c r="E280" s="307"/>
      <c r="F280" s="371"/>
      <c r="G280" s="307"/>
      <c r="H280" s="371"/>
      <c r="I280" s="371"/>
      <c r="J280" s="371"/>
      <c r="K280" s="371"/>
      <c r="L280" s="371"/>
      <c r="M280" s="371"/>
      <c r="N280" s="371"/>
      <c r="O280" s="371"/>
      <c r="P280" s="371"/>
      <c r="Q280" s="371"/>
      <c r="R280" s="371"/>
      <c r="S280" s="371"/>
      <c r="T280" s="371"/>
      <c r="U280" s="371"/>
      <c r="V280" s="371"/>
      <c r="W280" s="371"/>
      <c r="X280" s="371"/>
      <c r="Y280" s="371"/>
      <c r="Z280" s="371"/>
    </row>
    <row r="281">
      <c r="A281" s="371"/>
      <c r="B281" s="307"/>
      <c r="C281" s="307"/>
      <c r="D281" s="307"/>
      <c r="E281" s="307"/>
      <c r="F281" s="371"/>
      <c r="G281" s="307"/>
      <c r="H281" s="371"/>
      <c r="I281" s="371"/>
      <c r="J281" s="371"/>
      <c r="K281" s="371"/>
      <c r="L281" s="371"/>
      <c r="M281" s="371"/>
      <c r="N281" s="371"/>
      <c r="O281" s="371"/>
      <c r="P281" s="371"/>
      <c r="Q281" s="371"/>
      <c r="R281" s="371"/>
      <c r="S281" s="371"/>
      <c r="T281" s="371"/>
      <c r="U281" s="371"/>
      <c r="V281" s="371"/>
      <c r="W281" s="371"/>
      <c r="X281" s="371"/>
      <c r="Y281" s="371"/>
      <c r="Z281" s="371"/>
    </row>
    <row r="282">
      <c r="A282" s="371"/>
      <c r="B282" s="307"/>
      <c r="C282" s="307"/>
      <c r="D282" s="307"/>
      <c r="E282" s="307"/>
      <c r="F282" s="371"/>
      <c r="G282" s="307"/>
      <c r="H282" s="371"/>
      <c r="I282" s="371"/>
      <c r="J282" s="371"/>
      <c r="K282" s="371"/>
      <c r="L282" s="371"/>
      <c r="M282" s="371"/>
      <c r="N282" s="371"/>
      <c r="O282" s="371"/>
      <c r="P282" s="371"/>
      <c r="Q282" s="371"/>
      <c r="R282" s="371"/>
      <c r="S282" s="371"/>
      <c r="T282" s="371"/>
      <c r="U282" s="371"/>
      <c r="V282" s="371"/>
      <c r="W282" s="371"/>
      <c r="X282" s="371"/>
      <c r="Y282" s="371"/>
      <c r="Z282" s="371"/>
    </row>
    <row r="283">
      <c r="A283" s="371"/>
      <c r="B283" s="307"/>
      <c r="C283" s="307"/>
      <c r="D283" s="307"/>
      <c r="E283" s="307"/>
      <c r="F283" s="371"/>
      <c r="G283" s="307"/>
      <c r="H283" s="371"/>
      <c r="I283" s="371"/>
      <c r="J283" s="371"/>
      <c r="K283" s="371"/>
      <c r="L283" s="371"/>
      <c r="M283" s="371"/>
      <c r="N283" s="371"/>
      <c r="O283" s="371"/>
      <c r="P283" s="371"/>
      <c r="Q283" s="371"/>
      <c r="R283" s="371"/>
      <c r="S283" s="371"/>
      <c r="T283" s="371"/>
      <c r="U283" s="371"/>
      <c r="V283" s="371"/>
      <c r="W283" s="371"/>
      <c r="X283" s="371"/>
      <c r="Y283" s="371"/>
      <c r="Z283" s="371"/>
    </row>
    <row r="284">
      <c r="A284" s="371"/>
      <c r="B284" s="307"/>
      <c r="C284" s="307"/>
      <c r="D284" s="307"/>
      <c r="E284" s="307"/>
      <c r="F284" s="371"/>
      <c r="G284" s="307"/>
      <c r="H284" s="371"/>
      <c r="I284" s="371"/>
      <c r="J284" s="371"/>
      <c r="K284" s="371"/>
      <c r="L284" s="371"/>
      <c r="M284" s="371"/>
      <c r="N284" s="371"/>
      <c r="O284" s="371"/>
      <c r="P284" s="371"/>
      <c r="Q284" s="371"/>
      <c r="R284" s="371"/>
      <c r="S284" s="371"/>
      <c r="T284" s="371"/>
      <c r="U284" s="371"/>
      <c r="V284" s="371"/>
      <c r="W284" s="371"/>
      <c r="X284" s="371"/>
      <c r="Y284" s="371"/>
      <c r="Z284" s="371"/>
    </row>
    <row r="285">
      <c r="A285" s="371"/>
      <c r="B285" s="307"/>
      <c r="C285" s="307"/>
      <c r="D285" s="307"/>
      <c r="E285" s="307"/>
      <c r="F285" s="371"/>
      <c r="G285" s="307"/>
      <c r="H285" s="371"/>
      <c r="I285" s="371"/>
      <c r="J285" s="371"/>
      <c r="K285" s="371"/>
      <c r="L285" s="371"/>
      <c r="M285" s="371"/>
      <c r="N285" s="371"/>
      <c r="O285" s="371"/>
      <c r="P285" s="371"/>
      <c r="Q285" s="371"/>
      <c r="R285" s="371"/>
      <c r="S285" s="371"/>
      <c r="T285" s="371"/>
      <c r="U285" s="371"/>
      <c r="V285" s="371"/>
      <c r="W285" s="371"/>
      <c r="X285" s="371"/>
      <c r="Y285" s="371"/>
      <c r="Z285" s="371"/>
    </row>
    <row r="286">
      <c r="A286" s="371"/>
      <c r="B286" s="307"/>
      <c r="C286" s="307"/>
      <c r="D286" s="307"/>
      <c r="E286" s="307"/>
      <c r="F286" s="371"/>
      <c r="G286" s="307"/>
      <c r="H286" s="371"/>
      <c r="I286" s="371"/>
      <c r="J286" s="371"/>
      <c r="K286" s="371"/>
      <c r="L286" s="371"/>
      <c r="M286" s="371"/>
      <c r="N286" s="371"/>
      <c r="O286" s="371"/>
      <c r="P286" s="371"/>
      <c r="Q286" s="371"/>
      <c r="R286" s="371"/>
      <c r="S286" s="371"/>
      <c r="T286" s="371"/>
      <c r="U286" s="371"/>
      <c r="V286" s="371"/>
      <c r="W286" s="371"/>
      <c r="X286" s="371"/>
      <c r="Y286" s="371"/>
      <c r="Z286" s="371"/>
    </row>
    <row r="287">
      <c r="A287" s="371"/>
      <c r="B287" s="307"/>
      <c r="C287" s="307"/>
      <c r="D287" s="307"/>
      <c r="E287" s="307"/>
      <c r="F287" s="371"/>
      <c r="G287" s="307"/>
      <c r="H287" s="371"/>
      <c r="I287" s="371"/>
      <c r="J287" s="371"/>
      <c r="K287" s="371"/>
      <c r="L287" s="371"/>
      <c r="M287" s="371"/>
      <c r="N287" s="371"/>
      <c r="O287" s="371"/>
      <c r="P287" s="371"/>
      <c r="Q287" s="371"/>
      <c r="R287" s="371"/>
      <c r="S287" s="371"/>
      <c r="T287" s="371"/>
      <c r="U287" s="371"/>
      <c r="V287" s="371"/>
      <c r="W287" s="371"/>
      <c r="X287" s="371"/>
      <c r="Y287" s="371"/>
      <c r="Z287" s="371"/>
    </row>
    <row r="288">
      <c r="A288" s="371"/>
      <c r="B288" s="307"/>
      <c r="C288" s="307"/>
      <c r="D288" s="307"/>
      <c r="E288" s="307"/>
      <c r="F288" s="371"/>
      <c r="G288" s="307"/>
      <c r="H288" s="371"/>
      <c r="I288" s="371"/>
      <c r="J288" s="371"/>
      <c r="K288" s="371"/>
      <c r="L288" s="371"/>
      <c r="M288" s="371"/>
      <c r="N288" s="371"/>
      <c r="O288" s="371"/>
      <c r="P288" s="371"/>
      <c r="Q288" s="371"/>
      <c r="R288" s="371"/>
      <c r="S288" s="371"/>
      <c r="T288" s="371"/>
      <c r="U288" s="371"/>
      <c r="V288" s="371"/>
      <c r="W288" s="371"/>
      <c r="X288" s="371"/>
      <c r="Y288" s="371"/>
      <c r="Z288" s="371"/>
    </row>
    <row r="289">
      <c r="A289" s="371"/>
      <c r="B289" s="307"/>
      <c r="C289" s="307"/>
      <c r="D289" s="307"/>
      <c r="E289" s="307"/>
      <c r="F289" s="371"/>
      <c r="G289" s="307"/>
      <c r="H289" s="371"/>
      <c r="I289" s="371"/>
      <c r="J289" s="371"/>
      <c r="K289" s="371"/>
      <c r="L289" s="371"/>
      <c r="M289" s="371"/>
      <c r="N289" s="371"/>
      <c r="O289" s="371"/>
      <c r="P289" s="371"/>
      <c r="Q289" s="371"/>
      <c r="R289" s="371"/>
      <c r="S289" s="371"/>
      <c r="T289" s="371"/>
      <c r="U289" s="371"/>
      <c r="V289" s="371"/>
      <c r="W289" s="371"/>
      <c r="X289" s="371"/>
      <c r="Y289" s="371"/>
      <c r="Z289" s="371"/>
    </row>
    <row r="290">
      <c r="A290" s="371"/>
      <c r="B290" s="307"/>
      <c r="C290" s="307"/>
      <c r="D290" s="307"/>
      <c r="E290" s="307"/>
      <c r="F290" s="371"/>
      <c r="G290" s="307"/>
      <c r="H290" s="371"/>
      <c r="I290" s="371"/>
      <c r="J290" s="371"/>
      <c r="K290" s="371"/>
      <c r="L290" s="371"/>
      <c r="M290" s="371"/>
      <c r="N290" s="371"/>
      <c r="O290" s="371"/>
      <c r="P290" s="371"/>
      <c r="Q290" s="371"/>
      <c r="R290" s="371"/>
      <c r="S290" s="371"/>
      <c r="T290" s="371"/>
      <c r="U290" s="371"/>
      <c r="V290" s="371"/>
      <c r="W290" s="371"/>
      <c r="X290" s="371"/>
      <c r="Y290" s="371"/>
      <c r="Z290" s="371"/>
    </row>
    <row r="291">
      <c r="A291" s="371"/>
      <c r="B291" s="307"/>
      <c r="C291" s="307"/>
      <c r="D291" s="307"/>
      <c r="E291" s="307"/>
      <c r="F291" s="371"/>
      <c r="G291" s="307"/>
      <c r="H291" s="371"/>
      <c r="I291" s="371"/>
      <c r="J291" s="371"/>
      <c r="K291" s="371"/>
      <c r="L291" s="371"/>
      <c r="M291" s="371"/>
      <c r="N291" s="371"/>
      <c r="O291" s="371"/>
      <c r="P291" s="371"/>
      <c r="Q291" s="371"/>
      <c r="R291" s="371"/>
      <c r="S291" s="371"/>
      <c r="T291" s="371"/>
      <c r="U291" s="371"/>
      <c r="V291" s="371"/>
      <c r="W291" s="371"/>
      <c r="X291" s="371"/>
      <c r="Y291" s="371"/>
      <c r="Z291" s="371"/>
    </row>
    <row r="292">
      <c r="A292" s="371"/>
      <c r="B292" s="307"/>
      <c r="C292" s="307"/>
      <c r="D292" s="307"/>
      <c r="E292" s="307"/>
      <c r="F292" s="371"/>
      <c r="G292" s="307"/>
      <c r="H292" s="371"/>
      <c r="I292" s="371"/>
      <c r="J292" s="371"/>
      <c r="K292" s="371"/>
      <c r="L292" s="371"/>
      <c r="M292" s="371"/>
      <c r="N292" s="371"/>
      <c r="O292" s="371"/>
      <c r="P292" s="371"/>
      <c r="Q292" s="371"/>
      <c r="R292" s="371"/>
      <c r="S292" s="371"/>
      <c r="T292" s="371"/>
      <c r="U292" s="371"/>
      <c r="V292" s="371"/>
      <c r="W292" s="371"/>
      <c r="X292" s="371"/>
      <c r="Y292" s="371"/>
      <c r="Z292" s="371"/>
    </row>
    <row r="293">
      <c r="A293" s="371"/>
      <c r="B293" s="307"/>
      <c r="C293" s="307"/>
      <c r="D293" s="307"/>
      <c r="E293" s="307"/>
      <c r="F293" s="371"/>
      <c r="G293" s="307"/>
      <c r="H293" s="371"/>
      <c r="I293" s="371"/>
      <c r="J293" s="371"/>
      <c r="K293" s="371"/>
      <c r="L293" s="371"/>
      <c r="M293" s="371"/>
      <c r="N293" s="371"/>
      <c r="O293" s="371"/>
      <c r="P293" s="371"/>
      <c r="Q293" s="371"/>
      <c r="R293" s="371"/>
      <c r="S293" s="371"/>
      <c r="T293" s="371"/>
      <c r="U293" s="371"/>
      <c r="V293" s="371"/>
      <c r="W293" s="371"/>
      <c r="X293" s="371"/>
      <c r="Y293" s="371"/>
      <c r="Z293" s="371"/>
    </row>
    <row r="294">
      <c r="A294" s="371"/>
      <c r="B294" s="307"/>
      <c r="C294" s="307"/>
      <c r="D294" s="307"/>
      <c r="E294" s="307"/>
      <c r="F294" s="371"/>
      <c r="G294" s="307"/>
      <c r="H294" s="371"/>
      <c r="I294" s="371"/>
      <c r="J294" s="371"/>
      <c r="K294" s="371"/>
      <c r="L294" s="371"/>
      <c r="M294" s="371"/>
      <c r="N294" s="371"/>
      <c r="O294" s="371"/>
      <c r="P294" s="371"/>
      <c r="Q294" s="371"/>
      <c r="R294" s="371"/>
      <c r="S294" s="371"/>
      <c r="T294" s="371"/>
      <c r="U294" s="371"/>
      <c r="V294" s="371"/>
      <c r="W294" s="371"/>
      <c r="X294" s="371"/>
      <c r="Y294" s="371"/>
      <c r="Z294" s="371"/>
    </row>
    <row r="295">
      <c r="A295" s="371"/>
      <c r="B295" s="307"/>
      <c r="C295" s="307"/>
      <c r="D295" s="307"/>
      <c r="E295" s="307"/>
      <c r="F295" s="371"/>
      <c r="G295" s="307"/>
      <c r="H295" s="371"/>
      <c r="I295" s="371"/>
      <c r="J295" s="371"/>
      <c r="K295" s="371"/>
      <c r="L295" s="371"/>
      <c r="M295" s="371"/>
      <c r="N295" s="371"/>
      <c r="O295" s="371"/>
      <c r="P295" s="371"/>
      <c r="Q295" s="371"/>
      <c r="R295" s="371"/>
      <c r="S295" s="371"/>
      <c r="T295" s="371"/>
      <c r="U295" s="371"/>
      <c r="V295" s="371"/>
      <c r="W295" s="371"/>
      <c r="X295" s="371"/>
      <c r="Y295" s="371"/>
      <c r="Z295" s="371"/>
    </row>
    <row r="296">
      <c r="A296" s="371"/>
      <c r="B296" s="307"/>
      <c r="C296" s="307"/>
      <c r="D296" s="307"/>
      <c r="E296" s="307"/>
      <c r="F296" s="371"/>
      <c r="G296" s="307"/>
      <c r="H296" s="371"/>
      <c r="I296" s="371"/>
      <c r="J296" s="371"/>
      <c r="K296" s="371"/>
      <c r="L296" s="371"/>
      <c r="M296" s="371"/>
      <c r="N296" s="371"/>
      <c r="O296" s="371"/>
      <c r="P296" s="371"/>
      <c r="Q296" s="371"/>
      <c r="R296" s="371"/>
      <c r="S296" s="371"/>
      <c r="T296" s="371"/>
      <c r="U296" s="371"/>
      <c r="V296" s="371"/>
      <c r="W296" s="371"/>
      <c r="X296" s="371"/>
      <c r="Y296" s="371"/>
      <c r="Z296" s="371"/>
    </row>
    <row r="297">
      <c r="A297" s="371"/>
      <c r="B297" s="307"/>
      <c r="C297" s="307"/>
      <c r="D297" s="307"/>
      <c r="E297" s="307"/>
      <c r="F297" s="371"/>
      <c r="G297" s="307"/>
      <c r="H297" s="371"/>
      <c r="I297" s="371"/>
      <c r="J297" s="371"/>
      <c r="K297" s="371"/>
      <c r="L297" s="371"/>
      <c r="M297" s="371"/>
      <c r="N297" s="371"/>
      <c r="O297" s="371"/>
      <c r="P297" s="371"/>
      <c r="Q297" s="371"/>
      <c r="R297" s="371"/>
      <c r="S297" s="371"/>
      <c r="T297" s="371"/>
      <c r="U297" s="371"/>
      <c r="V297" s="371"/>
      <c r="W297" s="371"/>
      <c r="X297" s="371"/>
      <c r="Y297" s="371"/>
      <c r="Z297" s="371"/>
    </row>
    <row r="298">
      <c r="A298" s="371"/>
      <c r="B298" s="307"/>
      <c r="C298" s="307"/>
      <c r="D298" s="307"/>
      <c r="E298" s="307"/>
      <c r="F298" s="371"/>
      <c r="G298" s="307"/>
      <c r="H298" s="371"/>
      <c r="I298" s="371"/>
      <c r="J298" s="371"/>
      <c r="K298" s="371"/>
      <c r="L298" s="371"/>
      <c r="M298" s="371"/>
      <c r="N298" s="371"/>
      <c r="O298" s="371"/>
      <c r="P298" s="371"/>
      <c r="Q298" s="371"/>
      <c r="R298" s="371"/>
      <c r="S298" s="371"/>
      <c r="T298" s="371"/>
      <c r="U298" s="371"/>
      <c r="V298" s="371"/>
      <c r="W298" s="371"/>
      <c r="X298" s="371"/>
      <c r="Y298" s="371"/>
      <c r="Z298" s="371"/>
    </row>
    <row r="299">
      <c r="A299" s="371"/>
      <c r="B299" s="307"/>
      <c r="C299" s="307"/>
      <c r="D299" s="307"/>
      <c r="E299" s="307"/>
      <c r="F299" s="371"/>
      <c r="G299" s="307"/>
      <c r="H299" s="371"/>
      <c r="I299" s="371"/>
      <c r="J299" s="371"/>
      <c r="K299" s="371"/>
      <c r="L299" s="371"/>
      <c r="M299" s="371"/>
      <c r="N299" s="371"/>
      <c r="O299" s="371"/>
      <c r="P299" s="371"/>
      <c r="Q299" s="371"/>
      <c r="R299" s="371"/>
      <c r="S299" s="371"/>
      <c r="T299" s="371"/>
      <c r="U299" s="371"/>
      <c r="V299" s="371"/>
      <c r="W299" s="371"/>
      <c r="X299" s="371"/>
      <c r="Y299" s="371"/>
      <c r="Z299" s="371"/>
    </row>
    <row r="300">
      <c r="A300" s="371"/>
      <c r="B300" s="307"/>
      <c r="C300" s="307"/>
      <c r="D300" s="307"/>
      <c r="E300" s="307"/>
      <c r="F300" s="371"/>
      <c r="G300" s="307"/>
      <c r="H300" s="371"/>
      <c r="I300" s="371"/>
      <c r="J300" s="371"/>
      <c r="K300" s="371"/>
      <c r="L300" s="371"/>
      <c r="M300" s="371"/>
      <c r="N300" s="371"/>
      <c r="O300" s="371"/>
      <c r="P300" s="371"/>
      <c r="Q300" s="371"/>
      <c r="R300" s="371"/>
      <c r="S300" s="371"/>
      <c r="T300" s="371"/>
      <c r="U300" s="371"/>
      <c r="V300" s="371"/>
      <c r="W300" s="371"/>
      <c r="X300" s="371"/>
      <c r="Y300" s="371"/>
      <c r="Z300" s="371"/>
    </row>
    <row r="301">
      <c r="A301" s="371"/>
      <c r="B301" s="307"/>
      <c r="C301" s="307"/>
      <c r="D301" s="307"/>
      <c r="E301" s="307"/>
      <c r="F301" s="371"/>
      <c r="G301" s="307"/>
      <c r="H301" s="371"/>
      <c r="I301" s="371"/>
      <c r="J301" s="371"/>
      <c r="K301" s="371"/>
      <c r="L301" s="371"/>
      <c r="M301" s="371"/>
      <c r="N301" s="371"/>
      <c r="O301" s="371"/>
      <c r="P301" s="371"/>
      <c r="Q301" s="371"/>
      <c r="R301" s="371"/>
      <c r="S301" s="371"/>
      <c r="T301" s="371"/>
      <c r="U301" s="371"/>
      <c r="V301" s="371"/>
      <c r="W301" s="371"/>
      <c r="X301" s="371"/>
      <c r="Y301" s="371"/>
      <c r="Z301" s="371"/>
    </row>
    <row r="302">
      <c r="A302" s="371"/>
      <c r="B302" s="307"/>
      <c r="C302" s="307"/>
      <c r="D302" s="307"/>
      <c r="E302" s="307"/>
      <c r="F302" s="371"/>
      <c r="G302" s="307"/>
      <c r="H302" s="371"/>
      <c r="I302" s="371"/>
      <c r="J302" s="371"/>
      <c r="K302" s="371"/>
      <c r="L302" s="371"/>
      <c r="M302" s="371"/>
      <c r="N302" s="371"/>
      <c r="O302" s="371"/>
      <c r="P302" s="371"/>
      <c r="Q302" s="371"/>
      <c r="R302" s="371"/>
      <c r="S302" s="371"/>
      <c r="T302" s="371"/>
      <c r="U302" s="371"/>
      <c r="V302" s="371"/>
      <c r="W302" s="371"/>
      <c r="X302" s="371"/>
      <c r="Y302" s="371"/>
      <c r="Z302" s="371"/>
    </row>
    <row r="303">
      <c r="A303" s="371"/>
      <c r="B303" s="307"/>
      <c r="C303" s="307"/>
      <c r="D303" s="307"/>
      <c r="E303" s="307"/>
      <c r="F303" s="371"/>
      <c r="G303" s="307"/>
      <c r="H303" s="371"/>
      <c r="I303" s="371"/>
      <c r="J303" s="371"/>
      <c r="K303" s="371"/>
      <c r="L303" s="371"/>
      <c r="M303" s="371"/>
      <c r="N303" s="371"/>
      <c r="O303" s="371"/>
      <c r="P303" s="371"/>
      <c r="Q303" s="371"/>
      <c r="R303" s="371"/>
      <c r="S303" s="371"/>
      <c r="T303" s="371"/>
      <c r="U303" s="371"/>
      <c r="V303" s="371"/>
      <c r="W303" s="371"/>
      <c r="X303" s="371"/>
      <c r="Y303" s="371"/>
      <c r="Z303" s="371"/>
    </row>
    <row r="304">
      <c r="A304" s="371"/>
      <c r="B304" s="307"/>
      <c r="C304" s="307"/>
      <c r="D304" s="307"/>
      <c r="E304" s="307"/>
      <c r="F304" s="371"/>
      <c r="G304" s="307"/>
      <c r="H304" s="371"/>
      <c r="I304" s="371"/>
      <c r="J304" s="371"/>
      <c r="K304" s="371"/>
      <c r="L304" s="371"/>
      <c r="M304" s="371"/>
      <c r="N304" s="371"/>
      <c r="O304" s="371"/>
      <c r="P304" s="371"/>
      <c r="Q304" s="371"/>
      <c r="R304" s="371"/>
      <c r="S304" s="371"/>
      <c r="T304" s="371"/>
      <c r="U304" s="371"/>
      <c r="V304" s="371"/>
      <c r="W304" s="371"/>
      <c r="X304" s="371"/>
      <c r="Y304" s="371"/>
      <c r="Z304" s="371"/>
    </row>
    <row r="305">
      <c r="A305" s="371"/>
      <c r="B305" s="307"/>
      <c r="C305" s="307"/>
      <c r="D305" s="307"/>
      <c r="E305" s="307"/>
      <c r="F305" s="371"/>
      <c r="G305" s="307"/>
      <c r="H305" s="371"/>
      <c r="I305" s="371"/>
      <c r="J305" s="371"/>
      <c r="K305" s="371"/>
      <c r="L305" s="371"/>
      <c r="M305" s="371"/>
      <c r="N305" s="371"/>
      <c r="O305" s="371"/>
      <c r="P305" s="371"/>
      <c r="Q305" s="371"/>
      <c r="R305" s="371"/>
      <c r="S305" s="371"/>
      <c r="T305" s="371"/>
      <c r="U305" s="371"/>
      <c r="V305" s="371"/>
      <c r="W305" s="371"/>
      <c r="X305" s="371"/>
      <c r="Y305" s="371"/>
      <c r="Z305" s="371"/>
    </row>
    <row r="306">
      <c r="A306" s="371"/>
      <c r="B306" s="307"/>
      <c r="C306" s="307"/>
      <c r="D306" s="307"/>
      <c r="E306" s="307"/>
      <c r="F306" s="371"/>
      <c r="G306" s="307"/>
      <c r="H306" s="371"/>
      <c r="I306" s="371"/>
      <c r="J306" s="371"/>
      <c r="K306" s="371"/>
      <c r="L306" s="371"/>
      <c r="M306" s="371"/>
      <c r="N306" s="371"/>
      <c r="O306" s="371"/>
      <c r="P306" s="371"/>
      <c r="Q306" s="371"/>
      <c r="R306" s="371"/>
      <c r="S306" s="371"/>
      <c r="T306" s="371"/>
      <c r="U306" s="371"/>
      <c r="V306" s="371"/>
      <c r="W306" s="371"/>
      <c r="X306" s="371"/>
      <c r="Y306" s="371"/>
      <c r="Z306" s="371"/>
    </row>
    <row r="307">
      <c r="A307" s="371"/>
      <c r="B307" s="307"/>
      <c r="C307" s="307"/>
      <c r="D307" s="307"/>
      <c r="E307" s="307"/>
      <c r="F307" s="371"/>
      <c r="G307" s="307"/>
      <c r="H307" s="371"/>
      <c r="I307" s="371"/>
      <c r="J307" s="371"/>
      <c r="K307" s="371"/>
      <c r="L307" s="371"/>
      <c r="M307" s="371"/>
      <c r="N307" s="371"/>
      <c r="O307" s="371"/>
      <c r="P307" s="371"/>
      <c r="Q307" s="371"/>
      <c r="R307" s="371"/>
      <c r="S307" s="371"/>
      <c r="T307" s="371"/>
      <c r="U307" s="371"/>
      <c r="V307" s="371"/>
      <c r="W307" s="371"/>
      <c r="X307" s="371"/>
      <c r="Y307" s="371"/>
      <c r="Z307" s="371"/>
    </row>
    <row r="308">
      <c r="A308" s="371"/>
      <c r="B308" s="307"/>
      <c r="C308" s="307"/>
      <c r="D308" s="307"/>
      <c r="E308" s="307"/>
      <c r="F308" s="371"/>
      <c r="G308" s="307"/>
      <c r="H308" s="371"/>
      <c r="I308" s="371"/>
      <c r="J308" s="371"/>
      <c r="K308" s="371"/>
      <c r="L308" s="371"/>
      <c r="M308" s="371"/>
      <c r="N308" s="371"/>
      <c r="O308" s="371"/>
      <c r="P308" s="371"/>
      <c r="Q308" s="371"/>
      <c r="R308" s="371"/>
      <c r="S308" s="371"/>
      <c r="T308" s="371"/>
      <c r="U308" s="371"/>
      <c r="V308" s="371"/>
      <c r="W308" s="371"/>
      <c r="X308" s="371"/>
      <c r="Y308" s="371"/>
      <c r="Z308" s="371"/>
    </row>
    <row r="309">
      <c r="A309" s="371"/>
      <c r="B309" s="307"/>
      <c r="C309" s="307"/>
      <c r="D309" s="307"/>
      <c r="E309" s="307"/>
      <c r="F309" s="371"/>
      <c r="G309" s="307"/>
      <c r="H309" s="371"/>
      <c r="I309" s="371"/>
      <c r="J309" s="371"/>
      <c r="K309" s="371"/>
      <c r="L309" s="371"/>
      <c r="M309" s="371"/>
      <c r="N309" s="371"/>
      <c r="O309" s="371"/>
      <c r="P309" s="371"/>
      <c r="Q309" s="371"/>
      <c r="R309" s="371"/>
      <c r="S309" s="371"/>
      <c r="T309" s="371"/>
      <c r="U309" s="371"/>
      <c r="V309" s="371"/>
      <c r="W309" s="371"/>
      <c r="X309" s="371"/>
      <c r="Y309" s="371"/>
      <c r="Z309" s="371"/>
    </row>
    <row r="310">
      <c r="A310" s="371"/>
      <c r="B310" s="307"/>
      <c r="C310" s="307"/>
      <c r="D310" s="307"/>
      <c r="E310" s="307"/>
      <c r="F310" s="371"/>
      <c r="G310" s="307"/>
      <c r="H310" s="371"/>
      <c r="I310" s="371"/>
      <c r="J310" s="371"/>
      <c r="K310" s="371"/>
      <c r="L310" s="371"/>
      <c r="M310" s="371"/>
      <c r="N310" s="371"/>
      <c r="O310" s="371"/>
      <c r="P310" s="371"/>
      <c r="Q310" s="371"/>
      <c r="R310" s="371"/>
      <c r="S310" s="371"/>
      <c r="T310" s="371"/>
      <c r="U310" s="371"/>
      <c r="V310" s="371"/>
      <c r="W310" s="371"/>
      <c r="X310" s="371"/>
      <c r="Y310" s="371"/>
      <c r="Z310" s="371"/>
    </row>
    <row r="311">
      <c r="A311" s="371"/>
      <c r="B311" s="307"/>
      <c r="C311" s="307"/>
      <c r="D311" s="307"/>
      <c r="E311" s="307"/>
      <c r="F311" s="371"/>
      <c r="G311" s="307"/>
      <c r="H311" s="371"/>
      <c r="I311" s="371"/>
      <c r="J311" s="371"/>
      <c r="K311" s="371"/>
      <c r="L311" s="371"/>
      <c r="M311" s="371"/>
      <c r="N311" s="371"/>
      <c r="O311" s="371"/>
      <c r="P311" s="371"/>
      <c r="Q311" s="371"/>
      <c r="R311" s="371"/>
      <c r="S311" s="371"/>
      <c r="T311" s="371"/>
      <c r="U311" s="371"/>
      <c r="V311" s="371"/>
      <c r="W311" s="371"/>
      <c r="X311" s="371"/>
      <c r="Y311" s="371"/>
      <c r="Z311" s="371"/>
    </row>
    <row r="312">
      <c r="A312" s="371"/>
      <c r="B312" s="307"/>
      <c r="C312" s="307"/>
      <c r="D312" s="307"/>
      <c r="E312" s="307"/>
      <c r="F312" s="371"/>
      <c r="G312" s="307"/>
      <c r="H312" s="371"/>
      <c r="I312" s="371"/>
      <c r="J312" s="371"/>
      <c r="K312" s="371"/>
      <c r="L312" s="371"/>
      <c r="M312" s="371"/>
      <c r="N312" s="371"/>
      <c r="O312" s="371"/>
      <c r="P312" s="371"/>
      <c r="Q312" s="371"/>
      <c r="R312" s="371"/>
      <c r="S312" s="371"/>
      <c r="T312" s="371"/>
      <c r="U312" s="371"/>
      <c r="V312" s="371"/>
      <c r="W312" s="371"/>
      <c r="X312" s="371"/>
      <c r="Y312" s="371"/>
      <c r="Z312" s="371"/>
    </row>
    <row r="313">
      <c r="A313" s="371"/>
      <c r="B313" s="307"/>
      <c r="C313" s="307"/>
      <c r="D313" s="307"/>
      <c r="E313" s="307"/>
      <c r="F313" s="371"/>
      <c r="G313" s="307"/>
      <c r="H313" s="371"/>
      <c r="I313" s="371"/>
      <c r="J313" s="371"/>
      <c r="K313" s="371"/>
      <c r="L313" s="371"/>
      <c r="M313" s="371"/>
      <c r="N313" s="371"/>
      <c r="O313" s="371"/>
      <c r="P313" s="371"/>
      <c r="Q313" s="371"/>
      <c r="R313" s="371"/>
      <c r="S313" s="371"/>
      <c r="T313" s="371"/>
      <c r="U313" s="371"/>
      <c r="V313" s="371"/>
      <c r="W313" s="371"/>
      <c r="X313" s="371"/>
      <c r="Y313" s="371"/>
      <c r="Z313" s="371"/>
    </row>
    <row r="314">
      <c r="A314" s="371"/>
      <c r="B314" s="307"/>
      <c r="C314" s="307"/>
      <c r="D314" s="307"/>
      <c r="E314" s="307"/>
      <c r="F314" s="371"/>
      <c r="G314" s="307"/>
      <c r="H314" s="371"/>
      <c r="I314" s="371"/>
      <c r="J314" s="371"/>
      <c r="K314" s="371"/>
      <c r="L314" s="371"/>
      <c r="M314" s="371"/>
      <c r="N314" s="371"/>
      <c r="O314" s="371"/>
      <c r="P314" s="371"/>
      <c r="Q314" s="371"/>
      <c r="R314" s="371"/>
      <c r="S314" s="371"/>
      <c r="T314" s="371"/>
      <c r="U314" s="371"/>
      <c r="V314" s="371"/>
      <c r="W314" s="371"/>
      <c r="X314" s="371"/>
      <c r="Y314" s="371"/>
      <c r="Z314" s="371"/>
    </row>
    <row r="315">
      <c r="A315" s="371"/>
      <c r="B315" s="307"/>
      <c r="C315" s="307"/>
      <c r="D315" s="307"/>
      <c r="E315" s="307"/>
      <c r="F315" s="371"/>
      <c r="G315" s="307"/>
      <c r="H315" s="371"/>
      <c r="I315" s="371"/>
      <c r="J315" s="371"/>
      <c r="K315" s="371"/>
      <c r="L315" s="371"/>
      <c r="M315" s="371"/>
      <c r="N315" s="371"/>
      <c r="O315" s="371"/>
      <c r="P315" s="371"/>
      <c r="Q315" s="371"/>
      <c r="R315" s="371"/>
      <c r="S315" s="371"/>
      <c r="T315" s="371"/>
      <c r="U315" s="371"/>
      <c r="V315" s="371"/>
      <c r="W315" s="371"/>
      <c r="X315" s="371"/>
      <c r="Y315" s="371"/>
      <c r="Z315" s="371"/>
    </row>
    <row r="316">
      <c r="A316" s="371"/>
      <c r="B316" s="307"/>
      <c r="C316" s="307"/>
      <c r="D316" s="307"/>
      <c r="E316" s="307"/>
      <c r="F316" s="371"/>
      <c r="G316" s="307"/>
      <c r="H316" s="371"/>
      <c r="I316" s="371"/>
      <c r="J316" s="371"/>
      <c r="K316" s="371"/>
      <c r="L316" s="371"/>
      <c r="M316" s="371"/>
      <c r="N316" s="371"/>
      <c r="O316" s="371"/>
      <c r="P316" s="371"/>
      <c r="Q316" s="371"/>
      <c r="R316" s="371"/>
      <c r="S316" s="371"/>
      <c r="T316" s="371"/>
      <c r="U316" s="371"/>
      <c r="V316" s="371"/>
      <c r="W316" s="371"/>
      <c r="X316" s="371"/>
      <c r="Y316" s="371"/>
      <c r="Z316" s="371"/>
    </row>
    <row r="317">
      <c r="A317" s="371"/>
      <c r="B317" s="307"/>
      <c r="C317" s="307"/>
      <c r="D317" s="307"/>
      <c r="E317" s="307"/>
      <c r="F317" s="371"/>
      <c r="G317" s="307"/>
      <c r="H317" s="371"/>
      <c r="I317" s="371"/>
      <c r="J317" s="371"/>
      <c r="K317" s="371"/>
      <c r="L317" s="371"/>
      <c r="M317" s="371"/>
      <c r="N317" s="371"/>
      <c r="O317" s="371"/>
      <c r="P317" s="371"/>
      <c r="Q317" s="371"/>
      <c r="R317" s="371"/>
      <c r="S317" s="371"/>
      <c r="T317" s="371"/>
      <c r="U317" s="371"/>
      <c r="V317" s="371"/>
      <c r="W317" s="371"/>
      <c r="X317" s="371"/>
      <c r="Y317" s="371"/>
      <c r="Z317" s="371"/>
    </row>
    <row r="318">
      <c r="A318" s="371"/>
      <c r="B318" s="307"/>
      <c r="C318" s="307"/>
      <c r="D318" s="307"/>
      <c r="E318" s="307"/>
      <c r="F318" s="371"/>
      <c r="G318" s="307"/>
      <c r="H318" s="371"/>
      <c r="I318" s="371"/>
      <c r="J318" s="371"/>
      <c r="K318" s="371"/>
      <c r="L318" s="371"/>
      <c r="M318" s="371"/>
      <c r="N318" s="371"/>
      <c r="O318" s="371"/>
      <c r="P318" s="371"/>
      <c r="Q318" s="371"/>
      <c r="R318" s="371"/>
      <c r="S318" s="371"/>
      <c r="T318" s="371"/>
      <c r="U318" s="371"/>
      <c r="V318" s="371"/>
      <c r="W318" s="371"/>
      <c r="X318" s="371"/>
      <c r="Y318" s="371"/>
      <c r="Z318" s="371"/>
    </row>
    <row r="319">
      <c r="A319" s="371"/>
      <c r="B319" s="307"/>
      <c r="C319" s="307"/>
      <c r="D319" s="307"/>
      <c r="E319" s="307"/>
      <c r="F319" s="371"/>
      <c r="G319" s="307"/>
      <c r="H319" s="371"/>
      <c r="I319" s="371"/>
      <c r="J319" s="371"/>
      <c r="K319" s="371"/>
      <c r="L319" s="371"/>
      <c r="M319" s="371"/>
      <c r="N319" s="371"/>
      <c r="O319" s="371"/>
      <c r="P319" s="371"/>
      <c r="Q319" s="371"/>
      <c r="R319" s="371"/>
      <c r="S319" s="371"/>
      <c r="T319" s="371"/>
      <c r="U319" s="371"/>
      <c r="V319" s="371"/>
      <c r="W319" s="371"/>
      <c r="X319" s="371"/>
      <c r="Y319" s="371"/>
      <c r="Z319" s="371"/>
    </row>
    <row r="320">
      <c r="A320" s="371"/>
      <c r="B320" s="307"/>
      <c r="C320" s="307"/>
      <c r="D320" s="307"/>
      <c r="E320" s="307"/>
      <c r="F320" s="371"/>
      <c r="G320" s="307"/>
      <c r="H320" s="371"/>
      <c r="I320" s="371"/>
      <c r="J320" s="371"/>
      <c r="K320" s="371"/>
      <c r="L320" s="371"/>
      <c r="M320" s="371"/>
      <c r="N320" s="371"/>
      <c r="O320" s="371"/>
      <c r="P320" s="371"/>
      <c r="Q320" s="371"/>
      <c r="R320" s="371"/>
      <c r="S320" s="371"/>
      <c r="T320" s="371"/>
      <c r="U320" s="371"/>
      <c r="V320" s="371"/>
      <c r="W320" s="371"/>
      <c r="X320" s="371"/>
      <c r="Y320" s="371"/>
      <c r="Z320" s="371"/>
    </row>
    <row r="321">
      <c r="A321" s="371"/>
      <c r="B321" s="307"/>
      <c r="C321" s="307"/>
      <c r="D321" s="307"/>
      <c r="E321" s="307"/>
      <c r="F321" s="371"/>
      <c r="G321" s="307"/>
      <c r="H321" s="371"/>
      <c r="I321" s="371"/>
      <c r="J321" s="371"/>
      <c r="K321" s="371"/>
      <c r="L321" s="371"/>
      <c r="M321" s="371"/>
      <c r="N321" s="371"/>
      <c r="O321" s="371"/>
      <c r="P321" s="371"/>
      <c r="Q321" s="371"/>
      <c r="R321" s="371"/>
      <c r="S321" s="371"/>
      <c r="T321" s="371"/>
      <c r="U321" s="371"/>
      <c r="V321" s="371"/>
      <c r="W321" s="371"/>
      <c r="X321" s="371"/>
      <c r="Y321" s="371"/>
      <c r="Z321" s="371"/>
    </row>
    <row r="322">
      <c r="A322" s="371"/>
      <c r="B322" s="307"/>
      <c r="C322" s="307"/>
      <c r="D322" s="307"/>
      <c r="E322" s="307"/>
      <c r="F322" s="371"/>
      <c r="G322" s="307"/>
      <c r="H322" s="371"/>
      <c r="I322" s="371"/>
      <c r="J322" s="371"/>
      <c r="K322" s="371"/>
      <c r="L322" s="371"/>
      <c r="M322" s="371"/>
      <c r="N322" s="371"/>
      <c r="O322" s="371"/>
      <c r="P322" s="371"/>
      <c r="Q322" s="371"/>
      <c r="R322" s="371"/>
      <c r="S322" s="371"/>
      <c r="T322" s="371"/>
      <c r="U322" s="371"/>
      <c r="V322" s="371"/>
      <c r="W322" s="371"/>
      <c r="X322" s="371"/>
      <c r="Y322" s="371"/>
      <c r="Z322" s="371"/>
    </row>
    <row r="323">
      <c r="A323" s="371"/>
      <c r="B323" s="307"/>
      <c r="C323" s="307"/>
      <c r="D323" s="307"/>
      <c r="E323" s="307"/>
      <c r="F323" s="371"/>
      <c r="G323" s="307"/>
      <c r="H323" s="371"/>
      <c r="I323" s="371"/>
      <c r="J323" s="371"/>
      <c r="K323" s="371"/>
      <c r="L323" s="371"/>
      <c r="M323" s="371"/>
      <c r="N323" s="371"/>
      <c r="O323" s="371"/>
      <c r="P323" s="371"/>
      <c r="Q323" s="371"/>
      <c r="R323" s="371"/>
      <c r="S323" s="371"/>
      <c r="T323" s="371"/>
      <c r="U323" s="371"/>
      <c r="V323" s="371"/>
      <c r="W323" s="371"/>
      <c r="X323" s="371"/>
      <c r="Y323" s="371"/>
      <c r="Z323" s="371"/>
    </row>
    <row r="324">
      <c r="A324" s="371"/>
      <c r="B324" s="307"/>
      <c r="C324" s="307"/>
      <c r="D324" s="307"/>
      <c r="E324" s="307"/>
      <c r="F324" s="371"/>
      <c r="G324" s="307"/>
      <c r="H324" s="371"/>
      <c r="I324" s="371"/>
      <c r="J324" s="371"/>
      <c r="K324" s="371"/>
      <c r="L324" s="371"/>
      <c r="M324" s="371"/>
      <c r="N324" s="371"/>
      <c r="O324" s="371"/>
      <c r="P324" s="371"/>
      <c r="Q324" s="371"/>
      <c r="R324" s="371"/>
      <c r="S324" s="371"/>
      <c r="T324" s="371"/>
      <c r="U324" s="371"/>
      <c r="V324" s="371"/>
      <c r="W324" s="371"/>
      <c r="X324" s="371"/>
      <c r="Y324" s="371"/>
      <c r="Z324" s="371"/>
    </row>
    <row r="325">
      <c r="A325" s="371"/>
      <c r="B325" s="307"/>
      <c r="C325" s="307"/>
      <c r="D325" s="307"/>
      <c r="E325" s="307"/>
      <c r="F325" s="371"/>
      <c r="G325" s="307"/>
      <c r="H325" s="371"/>
      <c r="I325" s="371"/>
      <c r="J325" s="371"/>
      <c r="K325" s="371"/>
      <c r="L325" s="371"/>
      <c r="M325" s="371"/>
      <c r="N325" s="371"/>
      <c r="O325" s="371"/>
      <c r="P325" s="371"/>
      <c r="Q325" s="371"/>
      <c r="R325" s="371"/>
      <c r="S325" s="371"/>
      <c r="T325" s="371"/>
      <c r="U325" s="371"/>
      <c r="V325" s="371"/>
      <c r="W325" s="371"/>
      <c r="X325" s="371"/>
      <c r="Y325" s="371"/>
      <c r="Z325" s="371"/>
    </row>
    <row r="326">
      <c r="A326" s="371"/>
      <c r="B326" s="307"/>
      <c r="C326" s="307"/>
      <c r="D326" s="307"/>
      <c r="E326" s="307"/>
      <c r="F326" s="371"/>
      <c r="G326" s="307"/>
      <c r="H326" s="371"/>
      <c r="I326" s="371"/>
      <c r="J326" s="371"/>
      <c r="K326" s="371"/>
      <c r="L326" s="371"/>
      <c r="M326" s="371"/>
      <c r="N326" s="371"/>
      <c r="O326" s="371"/>
      <c r="P326" s="371"/>
      <c r="Q326" s="371"/>
      <c r="R326" s="371"/>
      <c r="S326" s="371"/>
      <c r="T326" s="371"/>
      <c r="U326" s="371"/>
      <c r="V326" s="371"/>
      <c r="W326" s="371"/>
      <c r="X326" s="371"/>
      <c r="Y326" s="371"/>
      <c r="Z326" s="371"/>
    </row>
    <row r="327">
      <c r="A327" s="371"/>
      <c r="B327" s="307"/>
      <c r="C327" s="307"/>
      <c r="D327" s="307"/>
      <c r="E327" s="307"/>
      <c r="F327" s="371"/>
      <c r="G327" s="307"/>
      <c r="H327" s="371"/>
      <c r="I327" s="371"/>
      <c r="J327" s="371"/>
      <c r="K327" s="371"/>
      <c r="L327" s="371"/>
      <c r="M327" s="371"/>
      <c r="N327" s="371"/>
      <c r="O327" s="371"/>
      <c r="P327" s="371"/>
      <c r="Q327" s="371"/>
      <c r="R327" s="371"/>
      <c r="S327" s="371"/>
      <c r="T327" s="371"/>
      <c r="U327" s="371"/>
      <c r="V327" s="371"/>
      <c r="W327" s="371"/>
      <c r="X327" s="371"/>
      <c r="Y327" s="371"/>
      <c r="Z327" s="371"/>
    </row>
    <row r="328">
      <c r="A328" s="371"/>
      <c r="B328" s="307"/>
      <c r="C328" s="307"/>
      <c r="D328" s="307"/>
      <c r="E328" s="307"/>
      <c r="F328" s="371"/>
      <c r="G328" s="307"/>
      <c r="H328" s="371"/>
      <c r="I328" s="371"/>
      <c r="J328" s="371"/>
      <c r="K328" s="371"/>
      <c r="L328" s="371"/>
      <c r="M328" s="371"/>
      <c r="N328" s="371"/>
      <c r="O328" s="371"/>
      <c r="P328" s="371"/>
      <c r="Q328" s="371"/>
      <c r="R328" s="371"/>
      <c r="S328" s="371"/>
      <c r="T328" s="371"/>
      <c r="U328" s="371"/>
      <c r="V328" s="371"/>
      <c r="W328" s="371"/>
      <c r="X328" s="371"/>
      <c r="Y328" s="371"/>
      <c r="Z328" s="371"/>
    </row>
    <row r="329">
      <c r="A329" s="371"/>
      <c r="B329" s="307"/>
      <c r="C329" s="307"/>
      <c r="D329" s="307"/>
      <c r="E329" s="307"/>
      <c r="F329" s="371"/>
      <c r="G329" s="307"/>
      <c r="H329" s="371"/>
      <c r="I329" s="371"/>
      <c r="J329" s="371"/>
      <c r="K329" s="371"/>
      <c r="L329" s="371"/>
      <c r="M329" s="371"/>
      <c r="N329" s="371"/>
      <c r="O329" s="371"/>
      <c r="P329" s="371"/>
      <c r="Q329" s="371"/>
      <c r="R329" s="371"/>
      <c r="S329" s="371"/>
      <c r="T329" s="371"/>
      <c r="U329" s="371"/>
      <c r="V329" s="371"/>
      <c r="W329" s="371"/>
      <c r="X329" s="371"/>
      <c r="Y329" s="371"/>
      <c r="Z329" s="371"/>
    </row>
    <row r="330">
      <c r="A330" s="371"/>
      <c r="B330" s="307"/>
      <c r="C330" s="307"/>
      <c r="D330" s="307"/>
      <c r="E330" s="307"/>
      <c r="F330" s="371"/>
      <c r="G330" s="307"/>
      <c r="H330" s="371"/>
      <c r="I330" s="371"/>
      <c r="J330" s="371"/>
      <c r="K330" s="371"/>
      <c r="L330" s="371"/>
      <c r="M330" s="371"/>
      <c r="N330" s="371"/>
      <c r="O330" s="371"/>
      <c r="P330" s="371"/>
      <c r="Q330" s="371"/>
      <c r="R330" s="371"/>
      <c r="S330" s="371"/>
      <c r="T330" s="371"/>
      <c r="U330" s="371"/>
      <c r="V330" s="371"/>
      <c r="W330" s="371"/>
      <c r="X330" s="371"/>
      <c r="Y330" s="371"/>
      <c r="Z330" s="371"/>
    </row>
    <row r="331">
      <c r="A331" s="371"/>
      <c r="B331" s="307"/>
      <c r="C331" s="307"/>
      <c r="D331" s="307"/>
      <c r="E331" s="307"/>
      <c r="F331" s="371"/>
      <c r="G331" s="307"/>
      <c r="H331" s="371"/>
      <c r="I331" s="371"/>
      <c r="J331" s="371"/>
      <c r="K331" s="371"/>
      <c r="L331" s="371"/>
      <c r="M331" s="371"/>
      <c r="N331" s="371"/>
      <c r="O331" s="371"/>
      <c r="P331" s="371"/>
      <c r="Q331" s="371"/>
      <c r="R331" s="371"/>
      <c r="S331" s="371"/>
      <c r="T331" s="371"/>
      <c r="U331" s="371"/>
      <c r="V331" s="371"/>
      <c r="W331" s="371"/>
      <c r="X331" s="371"/>
      <c r="Y331" s="371"/>
      <c r="Z331" s="371"/>
    </row>
    <row r="332">
      <c r="A332" s="371"/>
      <c r="B332" s="307"/>
      <c r="C332" s="307"/>
      <c r="D332" s="307"/>
      <c r="E332" s="307"/>
      <c r="F332" s="371"/>
      <c r="G332" s="307"/>
      <c r="H332" s="371"/>
      <c r="I332" s="371"/>
      <c r="J332" s="371"/>
      <c r="K332" s="371"/>
      <c r="L332" s="371"/>
      <c r="M332" s="371"/>
      <c r="N332" s="371"/>
      <c r="O332" s="371"/>
      <c r="P332" s="371"/>
      <c r="Q332" s="371"/>
      <c r="R332" s="371"/>
      <c r="S332" s="371"/>
      <c r="T332" s="371"/>
      <c r="U332" s="371"/>
      <c r="V332" s="371"/>
      <c r="W332" s="371"/>
      <c r="X332" s="371"/>
      <c r="Y332" s="371"/>
      <c r="Z332" s="371"/>
    </row>
    <row r="333">
      <c r="A333" s="371"/>
      <c r="B333" s="307"/>
      <c r="C333" s="307"/>
      <c r="D333" s="307"/>
      <c r="E333" s="307"/>
      <c r="F333" s="371"/>
      <c r="G333" s="307"/>
      <c r="H333" s="371"/>
      <c r="I333" s="371"/>
      <c r="J333" s="371"/>
      <c r="K333" s="371"/>
      <c r="L333" s="371"/>
      <c r="M333" s="371"/>
      <c r="N333" s="371"/>
      <c r="O333" s="371"/>
      <c r="P333" s="371"/>
      <c r="Q333" s="371"/>
      <c r="R333" s="371"/>
      <c r="S333" s="371"/>
      <c r="T333" s="371"/>
      <c r="U333" s="371"/>
      <c r="V333" s="371"/>
      <c r="W333" s="371"/>
      <c r="X333" s="371"/>
      <c r="Y333" s="371"/>
      <c r="Z333" s="371"/>
    </row>
    <row r="334">
      <c r="A334" s="371"/>
      <c r="B334" s="307"/>
      <c r="C334" s="307"/>
      <c r="D334" s="307"/>
      <c r="E334" s="307"/>
      <c r="F334" s="371"/>
      <c r="G334" s="307"/>
      <c r="H334" s="371"/>
      <c r="I334" s="371"/>
      <c r="J334" s="371"/>
      <c r="K334" s="371"/>
      <c r="L334" s="371"/>
      <c r="M334" s="371"/>
      <c r="N334" s="371"/>
      <c r="O334" s="371"/>
      <c r="P334" s="371"/>
      <c r="Q334" s="371"/>
      <c r="R334" s="371"/>
      <c r="S334" s="371"/>
      <c r="T334" s="371"/>
      <c r="U334" s="371"/>
      <c r="V334" s="371"/>
      <c r="W334" s="371"/>
      <c r="X334" s="371"/>
      <c r="Y334" s="371"/>
      <c r="Z334" s="371"/>
    </row>
    <row r="335">
      <c r="A335" s="371"/>
      <c r="B335" s="307"/>
      <c r="C335" s="307"/>
      <c r="D335" s="307"/>
      <c r="E335" s="307"/>
      <c r="F335" s="371"/>
      <c r="G335" s="307"/>
      <c r="H335" s="371"/>
      <c r="I335" s="371"/>
      <c r="J335" s="371"/>
      <c r="K335" s="371"/>
      <c r="L335" s="371"/>
      <c r="M335" s="371"/>
      <c r="N335" s="371"/>
      <c r="O335" s="371"/>
      <c r="P335" s="371"/>
      <c r="Q335" s="371"/>
      <c r="R335" s="371"/>
      <c r="S335" s="371"/>
      <c r="T335" s="371"/>
      <c r="U335" s="371"/>
      <c r="V335" s="371"/>
      <c r="W335" s="371"/>
      <c r="X335" s="371"/>
      <c r="Y335" s="371"/>
      <c r="Z335" s="371"/>
    </row>
    <row r="336">
      <c r="A336" s="371"/>
      <c r="B336" s="307"/>
      <c r="C336" s="307"/>
      <c r="D336" s="307"/>
      <c r="E336" s="307"/>
      <c r="F336" s="371"/>
      <c r="G336" s="307"/>
      <c r="H336" s="371"/>
      <c r="I336" s="371"/>
      <c r="J336" s="371"/>
      <c r="K336" s="371"/>
      <c r="L336" s="371"/>
      <c r="M336" s="371"/>
      <c r="N336" s="371"/>
      <c r="O336" s="371"/>
      <c r="P336" s="371"/>
      <c r="Q336" s="371"/>
      <c r="R336" s="371"/>
      <c r="S336" s="371"/>
      <c r="T336" s="371"/>
      <c r="U336" s="371"/>
      <c r="V336" s="371"/>
      <c r="W336" s="371"/>
      <c r="X336" s="371"/>
      <c r="Y336" s="371"/>
      <c r="Z336" s="371"/>
    </row>
    <row r="337">
      <c r="A337" s="371"/>
      <c r="B337" s="307"/>
      <c r="C337" s="307"/>
      <c r="D337" s="307"/>
      <c r="E337" s="307"/>
      <c r="F337" s="371"/>
      <c r="G337" s="307"/>
      <c r="H337" s="371"/>
      <c r="I337" s="371"/>
      <c r="J337" s="371"/>
      <c r="K337" s="371"/>
      <c r="L337" s="371"/>
      <c r="M337" s="371"/>
      <c r="N337" s="371"/>
      <c r="O337" s="371"/>
      <c r="P337" s="371"/>
      <c r="Q337" s="371"/>
      <c r="R337" s="371"/>
      <c r="S337" s="371"/>
      <c r="T337" s="371"/>
      <c r="U337" s="371"/>
      <c r="V337" s="371"/>
      <c r="W337" s="371"/>
      <c r="X337" s="371"/>
      <c r="Y337" s="371"/>
      <c r="Z337" s="371"/>
    </row>
    <row r="338">
      <c r="A338" s="371"/>
      <c r="B338" s="307"/>
      <c r="C338" s="307"/>
      <c r="D338" s="307"/>
      <c r="E338" s="307"/>
      <c r="F338" s="371"/>
      <c r="G338" s="307"/>
      <c r="H338" s="371"/>
      <c r="I338" s="371"/>
      <c r="J338" s="371"/>
      <c r="K338" s="371"/>
      <c r="L338" s="371"/>
      <c r="M338" s="371"/>
      <c r="N338" s="371"/>
      <c r="O338" s="371"/>
      <c r="P338" s="371"/>
      <c r="Q338" s="371"/>
      <c r="R338" s="371"/>
      <c r="S338" s="371"/>
      <c r="T338" s="371"/>
      <c r="U338" s="371"/>
      <c r="V338" s="371"/>
      <c r="W338" s="371"/>
      <c r="X338" s="371"/>
      <c r="Y338" s="371"/>
      <c r="Z338" s="371"/>
    </row>
    <row r="339">
      <c r="A339" s="371"/>
      <c r="B339" s="307"/>
      <c r="C339" s="307"/>
      <c r="D339" s="307"/>
      <c r="E339" s="307"/>
      <c r="F339" s="371"/>
      <c r="G339" s="307"/>
      <c r="H339" s="371"/>
      <c r="I339" s="371"/>
      <c r="J339" s="371"/>
      <c r="K339" s="371"/>
      <c r="L339" s="371"/>
      <c r="M339" s="371"/>
      <c r="N339" s="371"/>
      <c r="O339" s="371"/>
      <c r="P339" s="371"/>
      <c r="Q339" s="371"/>
      <c r="R339" s="371"/>
      <c r="S339" s="371"/>
      <c r="T339" s="371"/>
      <c r="U339" s="371"/>
      <c r="V339" s="371"/>
      <c r="W339" s="371"/>
      <c r="X339" s="371"/>
      <c r="Y339" s="371"/>
      <c r="Z339" s="371"/>
    </row>
    <row r="340">
      <c r="A340" s="371"/>
      <c r="B340" s="307"/>
      <c r="C340" s="307"/>
      <c r="D340" s="307"/>
      <c r="E340" s="307"/>
      <c r="F340" s="371"/>
      <c r="G340" s="307"/>
      <c r="H340" s="371"/>
      <c r="I340" s="371"/>
      <c r="J340" s="371"/>
      <c r="K340" s="371"/>
      <c r="L340" s="371"/>
      <c r="M340" s="371"/>
      <c r="N340" s="371"/>
      <c r="O340" s="371"/>
      <c r="P340" s="371"/>
      <c r="Q340" s="371"/>
      <c r="R340" s="371"/>
      <c r="S340" s="371"/>
      <c r="T340" s="371"/>
      <c r="U340" s="371"/>
      <c r="V340" s="371"/>
      <c r="W340" s="371"/>
      <c r="X340" s="371"/>
      <c r="Y340" s="371"/>
      <c r="Z340" s="371"/>
    </row>
    <row r="341">
      <c r="A341" s="371"/>
      <c r="B341" s="307"/>
      <c r="C341" s="307"/>
      <c r="D341" s="307"/>
      <c r="E341" s="307"/>
      <c r="F341" s="371"/>
      <c r="G341" s="307"/>
      <c r="H341" s="371"/>
      <c r="I341" s="371"/>
      <c r="J341" s="371"/>
      <c r="K341" s="371"/>
      <c r="L341" s="371"/>
      <c r="M341" s="371"/>
      <c r="N341" s="371"/>
      <c r="O341" s="371"/>
      <c r="P341" s="371"/>
      <c r="Q341" s="371"/>
      <c r="R341" s="371"/>
      <c r="S341" s="371"/>
      <c r="T341" s="371"/>
      <c r="U341" s="371"/>
      <c r="V341" s="371"/>
      <c r="W341" s="371"/>
      <c r="X341" s="371"/>
      <c r="Y341" s="371"/>
      <c r="Z341" s="371"/>
    </row>
    <row r="342">
      <c r="A342" s="371"/>
      <c r="B342" s="307"/>
      <c r="C342" s="307"/>
      <c r="D342" s="307"/>
      <c r="E342" s="307"/>
      <c r="F342" s="371"/>
      <c r="G342" s="307"/>
      <c r="H342" s="371"/>
      <c r="I342" s="371"/>
      <c r="J342" s="371"/>
      <c r="K342" s="371"/>
      <c r="L342" s="371"/>
      <c r="M342" s="371"/>
      <c r="N342" s="371"/>
      <c r="O342" s="371"/>
      <c r="P342" s="371"/>
      <c r="Q342" s="371"/>
      <c r="R342" s="371"/>
      <c r="S342" s="371"/>
      <c r="T342" s="371"/>
      <c r="U342" s="371"/>
      <c r="V342" s="371"/>
      <c r="W342" s="371"/>
      <c r="X342" s="371"/>
      <c r="Y342" s="371"/>
      <c r="Z342" s="371"/>
    </row>
    <row r="343">
      <c r="A343" s="371"/>
      <c r="B343" s="307"/>
      <c r="C343" s="307"/>
      <c r="D343" s="307"/>
      <c r="E343" s="307"/>
      <c r="F343" s="371"/>
      <c r="G343" s="307"/>
      <c r="H343" s="371"/>
      <c r="I343" s="371"/>
      <c r="J343" s="371"/>
      <c r="K343" s="371"/>
      <c r="L343" s="371"/>
      <c r="M343" s="371"/>
      <c r="N343" s="371"/>
      <c r="O343" s="371"/>
      <c r="P343" s="371"/>
      <c r="Q343" s="371"/>
      <c r="R343" s="371"/>
      <c r="S343" s="371"/>
      <c r="T343" s="371"/>
      <c r="U343" s="371"/>
      <c r="V343" s="371"/>
      <c r="W343" s="371"/>
      <c r="X343" s="371"/>
      <c r="Y343" s="371"/>
      <c r="Z343" s="371"/>
    </row>
    <row r="344">
      <c r="A344" s="371"/>
      <c r="B344" s="307"/>
      <c r="C344" s="307"/>
      <c r="D344" s="307"/>
      <c r="E344" s="307"/>
      <c r="F344" s="371"/>
      <c r="G344" s="307"/>
      <c r="H344" s="371"/>
      <c r="I344" s="371"/>
      <c r="J344" s="371"/>
      <c r="K344" s="371"/>
      <c r="L344" s="371"/>
      <c r="M344" s="371"/>
      <c r="N344" s="371"/>
      <c r="O344" s="371"/>
      <c r="P344" s="371"/>
      <c r="Q344" s="371"/>
      <c r="R344" s="371"/>
      <c r="S344" s="371"/>
      <c r="T344" s="371"/>
      <c r="U344" s="371"/>
      <c r="V344" s="371"/>
      <c r="W344" s="371"/>
      <c r="X344" s="371"/>
      <c r="Y344" s="371"/>
      <c r="Z344" s="371"/>
    </row>
    <row r="345">
      <c r="A345" s="371"/>
      <c r="B345" s="307"/>
      <c r="C345" s="307"/>
      <c r="D345" s="307"/>
      <c r="E345" s="307"/>
      <c r="F345" s="371"/>
      <c r="G345" s="307"/>
      <c r="H345" s="371"/>
      <c r="I345" s="371"/>
      <c r="J345" s="371"/>
      <c r="K345" s="371"/>
      <c r="L345" s="371"/>
      <c r="M345" s="371"/>
      <c r="N345" s="371"/>
      <c r="O345" s="371"/>
      <c r="P345" s="371"/>
      <c r="Q345" s="371"/>
      <c r="R345" s="371"/>
      <c r="S345" s="371"/>
      <c r="T345" s="371"/>
      <c r="U345" s="371"/>
      <c r="V345" s="371"/>
      <c r="W345" s="371"/>
      <c r="X345" s="371"/>
      <c r="Y345" s="371"/>
      <c r="Z345" s="371"/>
    </row>
    <row r="346">
      <c r="A346" s="371"/>
      <c r="B346" s="307"/>
      <c r="C346" s="307"/>
      <c r="D346" s="307"/>
      <c r="E346" s="307"/>
      <c r="F346" s="371"/>
      <c r="G346" s="307"/>
      <c r="H346" s="371"/>
      <c r="I346" s="371"/>
      <c r="J346" s="371"/>
      <c r="K346" s="371"/>
      <c r="L346" s="371"/>
      <c r="M346" s="371"/>
      <c r="N346" s="371"/>
      <c r="O346" s="371"/>
      <c r="P346" s="371"/>
      <c r="Q346" s="371"/>
      <c r="R346" s="371"/>
      <c r="S346" s="371"/>
      <c r="T346" s="371"/>
      <c r="U346" s="371"/>
      <c r="V346" s="371"/>
      <c r="W346" s="371"/>
      <c r="X346" s="371"/>
      <c r="Y346" s="371"/>
      <c r="Z346" s="371"/>
    </row>
    <row r="347">
      <c r="A347" s="371"/>
      <c r="B347" s="307"/>
      <c r="C347" s="307"/>
      <c r="D347" s="307"/>
      <c r="E347" s="307"/>
      <c r="F347" s="371"/>
      <c r="G347" s="307"/>
      <c r="H347" s="371"/>
      <c r="I347" s="371"/>
      <c r="J347" s="371"/>
      <c r="K347" s="371"/>
      <c r="L347" s="371"/>
      <c r="M347" s="371"/>
      <c r="N347" s="371"/>
      <c r="O347" s="371"/>
      <c r="P347" s="371"/>
      <c r="Q347" s="371"/>
      <c r="R347" s="371"/>
      <c r="S347" s="371"/>
      <c r="T347" s="371"/>
      <c r="U347" s="371"/>
      <c r="V347" s="371"/>
      <c r="W347" s="371"/>
      <c r="X347" s="371"/>
      <c r="Y347" s="371"/>
      <c r="Z347" s="371"/>
    </row>
    <row r="348">
      <c r="A348" s="371"/>
      <c r="B348" s="307"/>
      <c r="C348" s="307"/>
      <c r="D348" s="307"/>
      <c r="E348" s="307"/>
      <c r="F348" s="371"/>
      <c r="G348" s="307"/>
      <c r="H348" s="371"/>
      <c r="I348" s="371"/>
      <c r="J348" s="371"/>
      <c r="K348" s="371"/>
      <c r="L348" s="371"/>
      <c r="M348" s="371"/>
      <c r="N348" s="371"/>
      <c r="O348" s="371"/>
      <c r="P348" s="371"/>
      <c r="Q348" s="371"/>
      <c r="R348" s="371"/>
      <c r="S348" s="371"/>
      <c r="T348" s="371"/>
      <c r="U348" s="371"/>
      <c r="V348" s="371"/>
      <c r="W348" s="371"/>
      <c r="X348" s="371"/>
      <c r="Y348" s="371"/>
      <c r="Z348" s="371"/>
    </row>
    <row r="349">
      <c r="A349" s="371"/>
      <c r="B349" s="307"/>
      <c r="C349" s="307"/>
      <c r="D349" s="307"/>
      <c r="E349" s="307"/>
      <c r="F349" s="371"/>
      <c r="G349" s="307"/>
      <c r="H349" s="371"/>
      <c r="I349" s="371"/>
      <c r="J349" s="371"/>
      <c r="K349" s="371"/>
      <c r="L349" s="371"/>
      <c r="M349" s="371"/>
      <c r="N349" s="371"/>
      <c r="O349" s="371"/>
      <c r="P349" s="371"/>
      <c r="Q349" s="371"/>
      <c r="R349" s="371"/>
      <c r="S349" s="371"/>
      <c r="T349" s="371"/>
      <c r="U349" s="371"/>
      <c r="V349" s="371"/>
      <c r="W349" s="371"/>
      <c r="X349" s="371"/>
      <c r="Y349" s="371"/>
      <c r="Z349" s="371"/>
    </row>
    <row r="350">
      <c r="A350" s="371"/>
      <c r="B350" s="307"/>
      <c r="C350" s="307"/>
      <c r="D350" s="307"/>
      <c r="E350" s="307"/>
      <c r="F350" s="371"/>
      <c r="G350" s="307"/>
      <c r="H350" s="371"/>
      <c r="I350" s="371"/>
      <c r="J350" s="371"/>
      <c r="K350" s="371"/>
      <c r="L350" s="371"/>
      <c r="M350" s="371"/>
      <c r="N350" s="371"/>
      <c r="O350" s="371"/>
      <c r="P350" s="371"/>
      <c r="Q350" s="371"/>
      <c r="R350" s="371"/>
      <c r="S350" s="371"/>
      <c r="T350" s="371"/>
      <c r="U350" s="371"/>
      <c r="V350" s="371"/>
      <c r="W350" s="371"/>
      <c r="X350" s="371"/>
      <c r="Y350" s="371"/>
      <c r="Z350" s="371"/>
    </row>
    <row r="351">
      <c r="A351" s="371"/>
      <c r="B351" s="307"/>
      <c r="C351" s="307"/>
      <c r="D351" s="307"/>
      <c r="E351" s="307"/>
      <c r="F351" s="371"/>
      <c r="G351" s="307"/>
      <c r="H351" s="371"/>
      <c r="I351" s="371"/>
      <c r="J351" s="371"/>
      <c r="K351" s="371"/>
      <c r="L351" s="371"/>
      <c r="M351" s="371"/>
      <c r="N351" s="371"/>
      <c r="O351" s="371"/>
      <c r="P351" s="371"/>
      <c r="Q351" s="371"/>
      <c r="R351" s="371"/>
      <c r="S351" s="371"/>
      <c r="T351" s="371"/>
      <c r="U351" s="371"/>
      <c r="V351" s="371"/>
      <c r="W351" s="371"/>
      <c r="X351" s="371"/>
      <c r="Y351" s="371"/>
      <c r="Z351" s="371"/>
    </row>
    <row r="352">
      <c r="A352" s="371"/>
      <c r="B352" s="307"/>
      <c r="C352" s="307"/>
      <c r="D352" s="307"/>
      <c r="E352" s="307"/>
      <c r="F352" s="371"/>
      <c r="G352" s="307"/>
      <c r="H352" s="371"/>
      <c r="I352" s="371"/>
      <c r="J352" s="371"/>
      <c r="K352" s="371"/>
      <c r="L352" s="371"/>
      <c r="M352" s="371"/>
      <c r="N352" s="371"/>
      <c r="O352" s="371"/>
      <c r="P352" s="371"/>
      <c r="Q352" s="371"/>
      <c r="R352" s="371"/>
      <c r="S352" s="371"/>
      <c r="T352" s="371"/>
      <c r="U352" s="371"/>
      <c r="V352" s="371"/>
      <c r="W352" s="371"/>
      <c r="X352" s="371"/>
      <c r="Y352" s="371"/>
      <c r="Z352" s="371"/>
    </row>
    <row r="353">
      <c r="A353" s="371"/>
      <c r="B353" s="307"/>
      <c r="C353" s="307"/>
      <c r="D353" s="307"/>
      <c r="E353" s="307"/>
      <c r="F353" s="371"/>
      <c r="G353" s="307"/>
      <c r="H353" s="371"/>
      <c r="I353" s="371"/>
      <c r="J353" s="371"/>
      <c r="K353" s="371"/>
      <c r="L353" s="371"/>
      <c r="M353" s="371"/>
      <c r="N353" s="371"/>
      <c r="O353" s="371"/>
      <c r="P353" s="371"/>
      <c r="Q353" s="371"/>
      <c r="R353" s="371"/>
      <c r="S353" s="371"/>
      <c r="T353" s="371"/>
      <c r="U353" s="371"/>
      <c r="V353" s="371"/>
      <c r="W353" s="371"/>
      <c r="X353" s="371"/>
      <c r="Y353" s="371"/>
      <c r="Z353" s="371"/>
    </row>
    <row r="354">
      <c r="A354" s="371"/>
      <c r="B354" s="307"/>
      <c r="C354" s="307"/>
      <c r="D354" s="307"/>
      <c r="E354" s="307"/>
      <c r="F354" s="371"/>
      <c r="G354" s="307"/>
      <c r="H354" s="371"/>
      <c r="I354" s="371"/>
      <c r="J354" s="371"/>
      <c r="K354" s="371"/>
      <c r="L354" s="371"/>
      <c r="M354" s="371"/>
      <c r="N354" s="371"/>
      <c r="O354" s="371"/>
      <c r="P354" s="371"/>
      <c r="Q354" s="371"/>
      <c r="R354" s="371"/>
      <c r="S354" s="371"/>
      <c r="T354" s="371"/>
      <c r="U354" s="371"/>
      <c r="V354" s="371"/>
      <c r="W354" s="371"/>
      <c r="X354" s="371"/>
      <c r="Y354" s="371"/>
      <c r="Z354" s="371"/>
    </row>
    <row r="355">
      <c r="A355" s="371"/>
      <c r="B355" s="307"/>
      <c r="C355" s="307"/>
      <c r="D355" s="307"/>
      <c r="E355" s="307"/>
      <c r="F355" s="371"/>
      <c r="G355" s="307"/>
      <c r="H355" s="371"/>
      <c r="I355" s="371"/>
      <c r="J355" s="371"/>
      <c r="K355" s="371"/>
      <c r="L355" s="371"/>
      <c r="M355" s="371"/>
      <c r="N355" s="371"/>
      <c r="O355" s="371"/>
      <c r="P355" s="371"/>
      <c r="Q355" s="371"/>
      <c r="R355" s="371"/>
      <c r="S355" s="371"/>
      <c r="T355" s="371"/>
      <c r="U355" s="371"/>
      <c r="V355" s="371"/>
      <c r="W355" s="371"/>
      <c r="X355" s="371"/>
      <c r="Y355" s="371"/>
      <c r="Z355" s="371"/>
    </row>
    <row r="356">
      <c r="A356" s="371"/>
      <c r="B356" s="307"/>
      <c r="C356" s="307"/>
      <c r="D356" s="307"/>
      <c r="E356" s="307"/>
      <c r="F356" s="371"/>
      <c r="G356" s="307"/>
      <c r="H356" s="371"/>
      <c r="I356" s="371"/>
      <c r="J356" s="371"/>
      <c r="K356" s="371"/>
      <c r="L356" s="371"/>
      <c r="M356" s="371"/>
      <c r="N356" s="371"/>
      <c r="O356" s="371"/>
      <c r="P356" s="371"/>
      <c r="Q356" s="371"/>
      <c r="R356" s="371"/>
      <c r="S356" s="371"/>
      <c r="T356" s="371"/>
      <c r="U356" s="371"/>
      <c r="V356" s="371"/>
      <c r="W356" s="371"/>
      <c r="X356" s="371"/>
      <c r="Y356" s="371"/>
      <c r="Z356" s="371"/>
    </row>
    <row r="357">
      <c r="A357" s="371"/>
      <c r="B357" s="307"/>
      <c r="C357" s="307"/>
      <c r="D357" s="307"/>
      <c r="E357" s="307"/>
      <c r="F357" s="371"/>
      <c r="G357" s="307"/>
      <c r="H357" s="371"/>
      <c r="I357" s="371"/>
      <c r="J357" s="371"/>
      <c r="K357" s="371"/>
      <c r="L357" s="371"/>
      <c r="M357" s="371"/>
      <c r="N357" s="371"/>
      <c r="O357" s="371"/>
      <c r="P357" s="371"/>
      <c r="Q357" s="371"/>
      <c r="R357" s="371"/>
      <c r="S357" s="371"/>
      <c r="T357" s="371"/>
      <c r="U357" s="371"/>
      <c r="V357" s="371"/>
      <c r="W357" s="371"/>
      <c r="X357" s="371"/>
      <c r="Y357" s="371"/>
      <c r="Z357" s="371"/>
    </row>
    <row r="358">
      <c r="A358" s="371"/>
      <c r="B358" s="307"/>
      <c r="C358" s="307"/>
      <c r="D358" s="307"/>
      <c r="E358" s="307"/>
      <c r="F358" s="371"/>
      <c r="G358" s="307"/>
      <c r="H358" s="371"/>
      <c r="I358" s="371"/>
      <c r="J358" s="371"/>
      <c r="K358" s="371"/>
      <c r="L358" s="371"/>
      <c r="M358" s="371"/>
      <c r="N358" s="371"/>
      <c r="O358" s="371"/>
      <c r="P358" s="371"/>
      <c r="Q358" s="371"/>
      <c r="R358" s="371"/>
      <c r="S358" s="371"/>
      <c r="T358" s="371"/>
      <c r="U358" s="371"/>
      <c r="V358" s="371"/>
      <c r="W358" s="371"/>
      <c r="X358" s="371"/>
      <c r="Y358" s="371"/>
      <c r="Z358" s="371"/>
    </row>
    <row r="359">
      <c r="A359" s="371"/>
      <c r="B359" s="307"/>
      <c r="C359" s="307"/>
      <c r="D359" s="307"/>
      <c r="E359" s="307"/>
      <c r="F359" s="371"/>
      <c r="G359" s="307"/>
      <c r="H359" s="371"/>
      <c r="I359" s="371"/>
      <c r="J359" s="371"/>
      <c r="K359" s="371"/>
      <c r="L359" s="371"/>
      <c r="M359" s="371"/>
      <c r="N359" s="371"/>
      <c r="O359" s="371"/>
      <c r="P359" s="371"/>
      <c r="Q359" s="371"/>
      <c r="R359" s="371"/>
      <c r="S359" s="371"/>
      <c r="T359" s="371"/>
      <c r="U359" s="371"/>
      <c r="V359" s="371"/>
      <c r="W359" s="371"/>
      <c r="X359" s="371"/>
      <c r="Y359" s="371"/>
      <c r="Z359" s="371"/>
    </row>
    <row r="360">
      <c r="A360" s="371"/>
      <c r="B360" s="307"/>
      <c r="C360" s="307"/>
      <c r="D360" s="307"/>
      <c r="E360" s="307"/>
      <c r="F360" s="371"/>
      <c r="G360" s="307"/>
      <c r="H360" s="371"/>
      <c r="I360" s="371"/>
      <c r="J360" s="371"/>
      <c r="K360" s="371"/>
      <c r="L360" s="371"/>
      <c r="M360" s="371"/>
      <c r="N360" s="371"/>
      <c r="O360" s="371"/>
      <c r="P360" s="371"/>
      <c r="Q360" s="371"/>
      <c r="R360" s="371"/>
      <c r="S360" s="371"/>
      <c r="T360" s="371"/>
      <c r="U360" s="371"/>
      <c r="V360" s="371"/>
      <c r="W360" s="371"/>
      <c r="X360" s="371"/>
      <c r="Y360" s="371"/>
      <c r="Z360" s="371"/>
    </row>
    <row r="361">
      <c r="A361" s="371"/>
      <c r="B361" s="307"/>
      <c r="C361" s="307"/>
      <c r="D361" s="307"/>
      <c r="E361" s="307"/>
      <c r="F361" s="371"/>
      <c r="G361" s="307"/>
      <c r="H361" s="371"/>
      <c r="I361" s="371"/>
      <c r="J361" s="371"/>
      <c r="K361" s="371"/>
      <c r="L361" s="371"/>
      <c r="M361" s="371"/>
      <c r="N361" s="371"/>
      <c r="O361" s="371"/>
      <c r="P361" s="371"/>
      <c r="Q361" s="371"/>
      <c r="R361" s="371"/>
      <c r="S361" s="371"/>
      <c r="T361" s="371"/>
      <c r="U361" s="371"/>
      <c r="V361" s="371"/>
      <c r="W361" s="371"/>
      <c r="X361" s="371"/>
      <c r="Y361" s="371"/>
      <c r="Z361" s="371"/>
    </row>
    <row r="362">
      <c r="A362" s="371"/>
      <c r="B362" s="307"/>
      <c r="C362" s="307"/>
      <c r="D362" s="307"/>
      <c r="E362" s="307"/>
      <c r="F362" s="371"/>
      <c r="G362" s="307"/>
      <c r="H362" s="371"/>
      <c r="I362" s="371"/>
      <c r="J362" s="371"/>
      <c r="K362" s="371"/>
      <c r="L362" s="371"/>
      <c r="M362" s="371"/>
      <c r="N362" s="371"/>
      <c r="O362" s="371"/>
      <c r="P362" s="371"/>
      <c r="Q362" s="371"/>
      <c r="R362" s="371"/>
      <c r="S362" s="371"/>
      <c r="T362" s="371"/>
      <c r="U362" s="371"/>
      <c r="V362" s="371"/>
      <c r="W362" s="371"/>
      <c r="X362" s="371"/>
      <c r="Y362" s="371"/>
      <c r="Z362" s="371"/>
    </row>
    <row r="363">
      <c r="A363" s="371"/>
      <c r="B363" s="307"/>
      <c r="C363" s="307"/>
      <c r="D363" s="307"/>
      <c r="E363" s="307"/>
      <c r="F363" s="371"/>
      <c r="G363" s="307"/>
      <c r="H363" s="371"/>
      <c r="I363" s="371"/>
      <c r="J363" s="371"/>
      <c r="K363" s="371"/>
      <c r="L363" s="371"/>
      <c r="M363" s="371"/>
      <c r="N363" s="371"/>
      <c r="O363" s="371"/>
      <c r="P363" s="371"/>
      <c r="Q363" s="371"/>
      <c r="R363" s="371"/>
      <c r="S363" s="371"/>
      <c r="T363" s="371"/>
      <c r="U363" s="371"/>
      <c r="V363" s="371"/>
      <c r="W363" s="371"/>
      <c r="X363" s="371"/>
      <c r="Y363" s="371"/>
      <c r="Z363" s="371"/>
    </row>
    <row r="364">
      <c r="A364" s="371"/>
      <c r="B364" s="307"/>
      <c r="C364" s="307"/>
      <c r="D364" s="307"/>
      <c r="E364" s="307"/>
      <c r="F364" s="371"/>
      <c r="G364" s="307"/>
      <c r="H364" s="371"/>
      <c r="I364" s="371"/>
      <c r="J364" s="371"/>
      <c r="K364" s="371"/>
      <c r="L364" s="371"/>
      <c r="M364" s="371"/>
      <c r="N364" s="371"/>
      <c r="O364" s="371"/>
      <c r="P364" s="371"/>
      <c r="Q364" s="371"/>
      <c r="R364" s="371"/>
      <c r="S364" s="371"/>
      <c r="T364" s="371"/>
      <c r="U364" s="371"/>
      <c r="V364" s="371"/>
      <c r="W364" s="371"/>
      <c r="X364" s="371"/>
      <c r="Y364" s="371"/>
      <c r="Z364" s="371"/>
    </row>
    <row r="365">
      <c r="A365" s="371"/>
      <c r="B365" s="307"/>
      <c r="C365" s="307"/>
      <c r="D365" s="307"/>
      <c r="E365" s="307"/>
      <c r="F365" s="371"/>
      <c r="G365" s="307"/>
      <c r="H365" s="371"/>
      <c r="I365" s="371"/>
      <c r="J365" s="371"/>
      <c r="K365" s="371"/>
      <c r="L365" s="371"/>
      <c r="M365" s="371"/>
      <c r="N365" s="371"/>
      <c r="O365" s="371"/>
      <c r="P365" s="371"/>
      <c r="Q365" s="371"/>
      <c r="R365" s="371"/>
      <c r="S365" s="371"/>
      <c r="T365" s="371"/>
      <c r="U365" s="371"/>
      <c r="V365" s="371"/>
      <c r="W365" s="371"/>
      <c r="X365" s="371"/>
      <c r="Y365" s="371"/>
      <c r="Z365" s="371"/>
    </row>
    <row r="366">
      <c r="A366" s="371"/>
      <c r="B366" s="307"/>
      <c r="C366" s="307"/>
      <c r="D366" s="307"/>
      <c r="E366" s="307"/>
      <c r="F366" s="371"/>
      <c r="G366" s="307"/>
      <c r="H366" s="371"/>
      <c r="I366" s="371"/>
      <c r="J366" s="371"/>
      <c r="K366" s="371"/>
      <c r="L366" s="371"/>
      <c r="M366" s="371"/>
      <c r="N366" s="371"/>
      <c r="O366" s="371"/>
      <c r="P366" s="371"/>
      <c r="Q366" s="371"/>
      <c r="R366" s="371"/>
      <c r="S366" s="371"/>
      <c r="T366" s="371"/>
      <c r="U366" s="371"/>
      <c r="V366" s="371"/>
      <c r="W366" s="371"/>
      <c r="X366" s="371"/>
      <c r="Y366" s="371"/>
      <c r="Z366" s="371"/>
    </row>
    <row r="367">
      <c r="A367" s="371"/>
      <c r="B367" s="307"/>
      <c r="C367" s="307"/>
      <c r="D367" s="307"/>
      <c r="E367" s="307"/>
      <c r="F367" s="371"/>
      <c r="G367" s="307"/>
      <c r="H367" s="371"/>
      <c r="I367" s="371"/>
      <c r="J367" s="371"/>
      <c r="K367" s="371"/>
      <c r="L367" s="371"/>
      <c r="M367" s="371"/>
      <c r="N367" s="371"/>
      <c r="O367" s="371"/>
      <c r="P367" s="371"/>
      <c r="Q367" s="371"/>
      <c r="R367" s="371"/>
      <c r="S367" s="371"/>
      <c r="T367" s="371"/>
      <c r="U367" s="371"/>
      <c r="V367" s="371"/>
      <c r="W367" s="371"/>
      <c r="X367" s="371"/>
      <c r="Y367" s="371"/>
      <c r="Z367" s="371"/>
    </row>
    <row r="368">
      <c r="A368" s="371"/>
      <c r="B368" s="307"/>
      <c r="C368" s="307"/>
      <c r="D368" s="307"/>
      <c r="E368" s="307"/>
      <c r="F368" s="371"/>
      <c r="G368" s="307"/>
      <c r="H368" s="371"/>
      <c r="I368" s="371"/>
      <c r="J368" s="371"/>
      <c r="K368" s="371"/>
      <c r="L368" s="371"/>
      <c r="M368" s="371"/>
      <c r="N368" s="371"/>
      <c r="O368" s="371"/>
      <c r="P368" s="371"/>
      <c r="Q368" s="371"/>
      <c r="R368" s="371"/>
      <c r="S368" s="371"/>
      <c r="T368" s="371"/>
      <c r="U368" s="371"/>
      <c r="V368" s="371"/>
      <c r="W368" s="371"/>
      <c r="X368" s="371"/>
      <c r="Y368" s="371"/>
      <c r="Z368" s="371"/>
    </row>
    <row r="369">
      <c r="A369" s="371"/>
      <c r="B369" s="307"/>
      <c r="C369" s="307"/>
      <c r="D369" s="307"/>
      <c r="E369" s="307"/>
      <c r="F369" s="371"/>
      <c r="G369" s="307"/>
      <c r="H369" s="371"/>
      <c r="I369" s="371"/>
      <c r="J369" s="371"/>
      <c r="K369" s="371"/>
      <c r="L369" s="371"/>
      <c r="M369" s="371"/>
      <c r="N369" s="371"/>
      <c r="O369" s="371"/>
      <c r="P369" s="371"/>
      <c r="Q369" s="371"/>
      <c r="R369" s="371"/>
      <c r="S369" s="371"/>
      <c r="T369" s="371"/>
      <c r="U369" s="371"/>
      <c r="V369" s="371"/>
      <c r="W369" s="371"/>
      <c r="X369" s="371"/>
      <c r="Y369" s="371"/>
      <c r="Z369" s="371"/>
    </row>
    <row r="370">
      <c r="A370" s="371"/>
      <c r="B370" s="307"/>
      <c r="C370" s="307"/>
      <c r="D370" s="307"/>
      <c r="E370" s="307"/>
      <c r="F370" s="371"/>
      <c r="G370" s="307"/>
      <c r="H370" s="371"/>
      <c r="I370" s="371"/>
      <c r="J370" s="371"/>
      <c r="K370" s="371"/>
      <c r="L370" s="371"/>
      <c r="M370" s="371"/>
      <c r="N370" s="371"/>
      <c r="O370" s="371"/>
      <c r="P370" s="371"/>
      <c r="Q370" s="371"/>
      <c r="R370" s="371"/>
      <c r="S370" s="371"/>
      <c r="T370" s="371"/>
      <c r="U370" s="371"/>
      <c r="V370" s="371"/>
      <c r="W370" s="371"/>
      <c r="X370" s="371"/>
      <c r="Y370" s="371"/>
      <c r="Z370" s="371"/>
    </row>
    <row r="371">
      <c r="A371" s="371"/>
      <c r="B371" s="307"/>
      <c r="C371" s="307"/>
      <c r="D371" s="307"/>
      <c r="E371" s="307"/>
      <c r="F371" s="371"/>
      <c r="G371" s="307"/>
      <c r="H371" s="371"/>
      <c r="I371" s="371"/>
      <c r="J371" s="371"/>
      <c r="K371" s="371"/>
      <c r="L371" s="371"/>
      <c r="M371" s="371"/>
      <c r="N371" s="371"/>
      <c r="O371" s="371"/>
      <c r="P371" s="371"/>
      <c r="Q371" s="371"/>
      <c r="R371" s="371"/>
      <c r="S371" s="371"/>
      <c r="T371" s="371"/>
      <c r="U371" s="371"/>
      <c r="V371" s="371"/>
      <c r="W371" s="371"/>
      <c r="X371" s="371"/>
      <c r="Y371" s="371"/>
      <c r="Z371" s="371"/>
    </row>
    <row r="372">
      <c r="A372" s="371"/>
      <c r="B372" s="307"/>
      <c r="C372" s="307"/>
      <c r="D372" s="307"/>
      <c r="E372" s="307"/>
      <c r="F372" s="371"/>
      <c r="G372" s="307"/>
      <c r="H372" s="371"/>
      <c r="I372" s="371"/>
      <c r="J372" s="371"/>
      <c r="K372" s="371"/>
      <c r="L372" s="371"/>
      <c r="M372" s="371"/>
      <c r="N372" s="371"/>
      <c r="O372" s="371"/>
      <c r="P372" s="371"/>
      <c r="Q372" s="371"/>
      <c r="R372" s="371"/>
      <c r="S372" s="371"/>
      <c r="T372" s="371"/>
      <c r="U372" s="371"/>
      <c r="V372" s="371"/>
      <c r="W372" s="371"/>
      <c r="X372" s="371"/>
      <c r="Y372" s="371"/>
      <c r="Z372" s="371"/>
    </row>
    <row r="373">
      <c r="A373" s="371"/>
      <c r="B373" s="307"/>
      <c r="C373" s="307"/>
      <c r="D373" s="307"/>
      <c r="E373" s="307"/>
      <c r="F373" s="371"/>
      <c r="G373" s="307"/>
      <c r="H373" s="371"/>
      <c r="I373" s="371"/>
      <c r="J373" s="371"/>
      <c r="K373" s="371"/>
      <c r="L373" s="371"/>
      <c r="M373" s="371"/>
      <c r="N373" s="371"/>
      <c r="O373" s="371"/>
      <c r="P373" s="371"/>
      <c r="Q373" s="371"/>
      <c r="R373" s="371"/>
      <c r="S373" s="371"/>
      <c r="T373" s="371"/>
      <c r="U373" s="371"/>
      <c r="V373" s="371"/>
      <c r="W373" s="371"/>
      <c r="X373" s="371"/>
      <c r="Y373" s="371"/>
      <c r="Z373" s="371"/>
    </row>
    <row r="374">
      <c r="A374" s="371"/>
      <c r="B374" s="307"/>
      <c r="C374" s="307"/>
      <c r="D374" s="307"/>
      <c r="E374" s="307"/>
      <c r="F374" s="371"/>
      <c r="G374" s="307"/>
      <c r="H374" s="371"/>
      <c r="I374" s="371"/>
      <c r="J374" s="371"/>
      <c r="K374" s="371"/>
      <c r="L374" s="371"/>
      <c r="M374" s="371"/>
      <c r="N374" s="371"/>
      <c r="O374" s="371"/>
      <c r="P374" s="371"/>
      <c r="Q374" s="371"/>
      <c r="R374" s="371"/>
      <c r="S374" s="371"/>
      <c r="T374" s="371"/>
      <c r="U374" s="371"/>
      <c r="V374" s="371"/>
      <c r="W374" s="371"/>
      <c r="X374" s="371"/>
      <c r="Y374" s="371"/>
      <c r="Z374" s="371"/>
    </row>
    <row r="375">
      <c r="A375" s="371"/>
      <c r="B375" s="307"/>
      <c r="C375" s="307"/>
      <c r="D375" s="307"/>
      <c r="E375" s="307"/>
      <c r="F375" s="371"/>
      <c r="G375" s="307"/>
      <c r="H375" s="371"/>
      <c r="I375" s="371"/>
      <c r="J375" s="371"/>
      <c r="K375" s="371"/>
      <c r="L375" s="371"/>
      <c r="M375" s="371"/>
      <c r="N375" s="371"/>
      <c r="O375" s="371"/>
      <c r="P375" s="371"/>
      <c r="Q375" s="371"/>
      <c r="R375" s="371"/>
      <c r="S375" s="371"/>
      <c r="T375" s="371"/>
      <c r="U375" s="371"/>
      <c r="V375" s="371"/>
      <c r="W375" s="371"/>
      <c r="X375" s="371"/>
      <c r="Y375" s="371"/>
      <c r="Z375" s="371"/>
    </row>
    <row r="376">
      <c r="A376" s="371"/>
      <c r="B376" s="307"/>
      <c r="C376" s="307"/>
      <c r="D376" s="307"/>
      <c r="E376" s="307"/>
      <c r="F376" s="371"/>
      <c r="G376" s="307"/>
      <c r="H376" s="371"/>
      <c r="I376" s="371"/>
      <c r="J376" s="371"/>
      <c r="K376" s="371"/>
      <c r="L376" s="371"/>
      <c r="M376" s="371"/>
      <c r="N376" s="371"/>
      <c r="O376" s="371"/>
      <c r="P376" s="371"/>
      <c r="Q376" s="371"/>
      <c r="R376" s="371"/>
      <c r="S376" s="371"/>
      <c r="T376" s="371"/>
      <c r="U376" s="371"/>
      <c r="V376" s="371"/>
      <c r="W376" s="371"/>
      <c r="X376" s="371"/>
      <c r="Y376" s="371"/>
      <c r="Z376" s="371"/>
    </row>
    <row r="377">
      <c r="A377" s="371"/>
      <c r="B377" s="307"/>
      <c r="C377" s="307"/>
      <c r="D377" s="307"/>
      <c r="E377" s="307"/>
      <c r="F377" s="371"/>
      <c r="G377" s="307"/>
      <c r="H377" s="371"/>
      <c r="I377" s="371"/>
      <c r="J377" s="371"/>
      <c r="K377" s="371"/>
      <c r="L377" s="371"/>
      <c r="M377" s="371"/>
      <c r="N377" s="371"/>
      <c r="O377" s="371"/>
      <c r="P377" s="371"/>
      <c r="Q377" s="371"/>
      <c r="R377" s="371"/>
      <c r="S377" s="371"/>
      <c r="T377" s="371"/>
      <c r="U377" s="371"/>
      <c r="V377" s="371"/>
      <c r="W377" s="371"/>
      <c r="X377" s="371"/>
      <c r="Y377" s="371"/>
      <c r="Z377" s="371"/>
    </row>
    <row r="378">
      <c r="A378" s="371"/>
      <c r="B378" s="307"/>
      <c r="C378" s="307"/>
      <c r="D378" s="307"/>
      <c r="E378" s="307"/>
      <c r="F378" s="371"/>
      <c r="G378" s="307"/>
      <c r="H378" s="371"/>
      <c r="I378" s="371"/>
      <c r="J378" s="371"/>
      <c r="K378" s="371"/>
      <c r="L378" s="371"/>
      <c r="M378" s="371"/>
      <c r="N378" s="371"/>
      <c r="O378" s="371"/>
      <c r="P378" s="371"/>
      <c r="Q378" s="371"/>
      <c r="R378" s="371"/>
      <c r="S378" s="371"/>
      <c r="T378" s="371"/>
      <c r="U378" s="371"/>
      <c r="V378" s="371"/>
      <c r="W378" s="371"/>
      <c r="X378" s="371"/>
      <c r="Y378" s="371"/>
      <c r="Z378" s="371"/>
    </row>
    <row r="379">
      <c r="A379" s="371"/>
      <c r="B379" s="307"/>
      <c r="C379" s="307"/>
      <c r="D379" s="307"/>
      <c r="E379" s="307"/>
      <c r="F379" s="371"/>
      <c r="G379" s="307"/>
      <c r="H379" s="371"/>
      <c r="I379" s="371"/>
      <c r="J379" s="371"/>
      <c r="K379" s="371"/>
      <c r="L379" s="371"/>
      <c r="M379" s="371"/>
      <c r="N379" s="371"/>
      <c r="O379" s="371"/>
      <c r="P379" s="371"/>
      <c r="Q379" s="371"/>
      <c r="R379" s="371"/>
      <c r="S379" s="371"/>
      <c r="T379" s="371"/>
      <c r="U379" s="371"/>
      <c r="V379" s="371"/>
      <c r="W379" s="371"/>
      <c r="X379" s="371"/>
      <c r="Y379" s="371"/>
      <c r="Z379" s="371"/>
    </row>
    <row r="380">
      <c r="A380" s="371"/>
      <c r="B380" s="307"/>
      <c r="C380" s="307"/>
      <c r="D380" s="307"/>
      <c r="E380" s="307"/>
      <c r="F380" s="371"/>
      <c r="G380" s="307"/>
      <c r="H380" s="371"/>
      <c r="I380" s="371"/>
      <c r="J380" s="371"/>
      <c r="K380" s="371"/>
      <c r="L380" s="371"/>
      <c r="M380" s="371"/>
      <c r="N380" s="371"/>
      <c r="O380" s="371"/>
      <c r="P380" s="371"/>
      <c r="Q380" s="371"/>
      <c r="R380" s="371"/>
      <c r="S380" s="371"/>
      <c r="T380" s="371"/>
      <c r="U380" s="371"/>
      <c r="V380" s="371"/>
      <c r="W380" s="371"/>
      <c r="X380" s="371"/>
      <c r="Y380" s="371"/>
      <c r="Z380" s="371"/>
    </row>
    <row r="381">
      <c r="A381" s="371"/>
      <c r="B381" s="307"/>
      <c r="C381" s="307"/>
      <c r="D381" s="307"/>
      <c r="E381" s="307"/>
      <c r="F381" s="371"/>
      <c r="G381" s="307"/>
      <c r="H381" s="371"/>
      <c r="I381" s="371"/>
      <c r="J381" s="371"/>
      <c r="K381" s="371"/>
      <c r="L381" s="371"/>
      <c r="M381" s="371"/>
      <c r="N381" s="371"/>
      <c r="O381" s="371"/>
      <c r="P381" s="371"/>
      <c r="Q381" s="371"/>
      <c r="R381" s="371"/>
      <c r="S381" s="371"/>
      <c r="T381" s="371"/>
      <c r="U381" s="371"/>
      <c r="V381" s="371"/>
      <c r="W381" s="371"/>
      <c r="X381" s="371"/>
      <c r="Y381" s="371"/>
      <c r="Z381" s="371"/>
    </row>
    <row r="382">
      <c r="A382" s="371"/>
      <c r="B382" s="307"/>
      <c r="C382" s="307"/>
      <c r="D382" s="307"/>
      <c r="E382" s="307"/>
      <c r="F382" s="371"/>
      <c r="G382" s="307"/>
      <c r="H382" s="371"/>
      <c r="I382" s="371"/>
      <c r="J382" s="371"/>
      <c r="K382" s="371"/>
      <c r="L382" s="371"/>
      <c r="M382" s="371"/>
      <c r="N382" s="371"/>
      <c r="O382" s="371"/>
      <c r="P382" s="371"/>
      <c r="Q382" s="371"/>
      <c r="R382" s="371"/>
      <c r="S382" s="371"/>
      <c r="T382" s="371"/>
      <c r="U382" s="371"/>
      <c r="V382" s="371"/>
      <c r="W382" s="371"/>
      <c r="X382" s="371"/>
      <c r="Y382" s="371"/>
      <c r="Z382" s="371"/>
    </row>
    <row r="383">
      <c r="A383" s="371"/>
      <c r="B383" s="307"/>
      <c r="C383" s="307"/>
      <c r="D383" s="307"/>
      <c r="E383" s="307"/>
      <c r="F383" s="371"/>
      <c r="G383" s="307"/>
      <c r="H383" s="371"/>
      <c r="I383" s="371"/>
      <c r="J383" s="371"/>
      <c r="K383" s="371"/>
      <c r="L383" s="371"/>
      <c r="M383" s="371"/>
      <c r="N383" s="371"/>
      <c r="O383" s="371"/>
      <c r="P383" s="371"/>
      <c r="Q383" s="371"/>
      <c r="R383" s="371"/>
      <c r="S383" s="371"/>
      <c r="T383" s="371"/>
      <c r="U383" s="371"/>
      <c r="V383" s="371"/>
      <c r="W383" s="371"/>
      <c r="X383" s="371"/>
      <c r="Y383" s="371"/>
      <c r="Z383" s="371"/>
    </row>
    <row r="384">
      <c r="A384" s="371"/>
      <c r="B384" s="307"/>
      <c r="C384" s="307"/>
      <c r="D384" s="307"/>
      <c r="E384" s="307"/>
      <c r="F384" s="371"/>
      <c r="G384" s="307"/>
      <c r="H384" s="371"/>
      <c r="I384" s="371"/>
      <c r="J384" s="371"/>
      <c r="K384" s="371"/>
      <c r="L384" s="371"/>
      <c r="M384" s="371"/>
      <c r="N384" s="371"/>
      <c r="O384" s="371"/>
      <c r="P384" s="371"/>
      <c r="Q384" s="371"/>
      <c r="R384" s="371"/>
      <c r="S384" s="371"/>
      <c r="T384" s="371"/>
      <c r="U384" s="371"/>
      <c r="V384" s="371"/>
      <c r="W384" s="371"/>
      <c r="X384" s="371"/>
      <c r="Y384" s="371"/>
      <c r="Z384" s="371"/>
    </row>
    <row r="385">
      <c r="A385" s="371"/>
      <c r="B385" s="307"/>
      <c r="C385" s="307"/>
      <c r="D385" s="307"/>
      <c r="E385" s="307"/>
      <c r="F385" s="371"/>
      <c r="G385" s="307"/>
      <c r="H385" s="371"/>
      <c r="I385" s="371"/>
      <c r="J385" s="371"/>
      <c r="K385" s="371"/>
      <c r="L385" s="371"/>
      <c r="M385" s="371"/>
      <c r="N385" s="371"/>
      <c r="O385" s="371"/>
      <c r="P385" s="371"/>
      <c r="Q385" s="371"/>
      <c r="R385" s="371"/>
      <c r="S385" s="371"/>
      <c r="T385" s="371"/>
      <c r="U385" s="371"/>
      <c r="V385" s="371"/>
      <c r="W385" s="371"/>
      <c r="X385" s="371"/>
      <c r="Y385" s="371"/>
      <c r="Z385" s="371"/>
    </row>
    <row r="386">
      <c r="A386" s="371"/>
      <c r="B386" s="307"/>
      <c r="C386" s="307"/>
      <c r="D386" s="307"/>
      <c r="E386" s="307"/>
      <c r="F386" s="371"/>
      <c r="G386" s="307"/>
      <c r="H386" s="371"/>
      <c r="I386" s="371"/>
      <c r="J386" s="371"/>
      <c r="K386" s="371"/>
      <c r="L386" s="371"/>
      <c r="M386" s="371"/>
      <c r="N386" s="371"/>
      <c r="O386" s="371"/>
      <c r="P386" s="371"/>
      <c r="Q386" s="371"/>
      <c r="R386" s="371"/>
      <c r="S386" s="371"/>
      <c r="T386" s="371"/>
      <c r="U386" s="371"/>
      <c r="V386" s="371"/>
      <c r="W386" s="371"/>
      <c r="X386" s="371"/>
      <c r="Y386" s="371"/>
      <c r="Z386" s="371"/>
    </row>
    <row r="387">
      <c r="A387" s="371"/>
      <c r="B387" s="307"/>
      <c r="C387" s="307"/>
      <c r="D387" s="307"/>
      <c r="E387" s="307"/>
      <c r="F387" s="371"/>
      <c r="G387" s="307"/>
      <c r="H387" s="371"/>
      <c r="I387" s="371"/>
      <c r="J387" s="371"/>
      <c r="K387" s="371"/>
      <c r="L387" s="371"/>
      <c r="M387" s="371"/>
      <c r="N387" s="371"/>
      <c r="O387" s="371"/>
      <c r="P387" s="371"/>
      <c r="Q387" s="371"/>
      <c r="R387" s="371"/>
      <c r="S387" s="371"/>
      <c r="T387" s="371"/>
      <c r="U387" s="371"/>
      <c r="V387" s="371"/>
      <c r="W387" s="371"/>
      <c r="X387" s="371"/>
      <c r="Y387" s="371"/>
      <c r="Z387" s="371"/>
    </row>
    <row r="388">
      <c r="A388" s="371"/>
      <c r="B388" s="307"/>
      <c r="C388" s="307"/>
      <c r="D388" s="307"/>
      <c r="E388" s="307"/>
      <c r="F388" s="371"/>
      <c r="G388" s="307"/>
      <c r="H388" s="371"/>
      <c r="I388" s="371"/>
      <c r="J388" s="371"/>
      <c r="K388" s="371"/>
      <c r="L388" s="371"/>
      <c r="M388" s="371"/>
      <c r="N388" s="371"/>
      <c r="O388" s="371"/>
      <c r="P388" s="371"/>
      <c r="Q388" s="371"/>
      <c r="R388" s="371"/>
      <c r="S388" s="371"/>
      <c r="T388" s="371"/>
      <c r="U388" s="371"/>
      <c r="V388" s="371"/>
      <c r="W388" s="371"/>
      <c r="X388" s="371"/>
      <c r="Y388" s="371"/>
      <c r="Z388" s="371"/>
    </row>
    <row r="389">
      <c r="A389" s="371"/>
      <c r="B389" s="307"/>
      <c r="C389" s="307"/>
      <c r="D389" s="307"/>
      <c r="E389" s="307"/>
      <c r="F389" s="371"/>
      <c r="G389" s="307"/>
      <c r="H389" s="371"/>
      <c r="I389" s="371"/>
      <c r="J389" s="371"/>
      <c r="K389" s="371"/>
      <c r="L389" s="371"/>
      <c r="M389" s="371"/>
      <c r="N389" s="371"/>
      <c r="O389" s="371"/>
      <c r="P389" s="371"/>
      <c r="Q389" s="371"/>
      <c r="R389" s="371"/>
      <c r="S389" s="371"/>
      <c r="T389" s="371"/>
      <c r="U389" s="371"/>
      <c r="V389" s="371"/>
      <c r="W389" s="371"/>
      <c r="X389" s="371"/>
      <c r="Y389" s="371"/>
      <c r="Z389" s="371"/>
    </row>
    <row r="390">
      <c r="A390" s="371"/>
      <c r="B390" s="307"/>
      <c r="C390" s="307"/>
      <c r="D390" s="307"/>
      <c r="E390" s="307"/>
      <c r="F390" s="371"/>
      <c r="G390" s="307"/>
      <c r="H390" s="371"/>
      <c r="I390" s="371"/>
      <c r="J390" s="371"/>
      <c r="K390" s="371"/>
      <c r="L390" s="371"/>
      <c r="M390" s="371"/>
      <c r="N390" s="371"/>
      <c r="O390" s="371"/>
      <c r="P390" s="371"/>
      <c r="Q390" s="371"/>
      <c r="R390" s="371"/>
      <c r="S390" s="371"/>
      <c r="T390" s="371"/>
      <c r="U390" s="371"/>
      <c r="V390" s="371"/>
      <c r="W390" s="371"/>
      <c r="X390" s="371"/>
      <c r="Y390" s="371"/>
      <c r="Z390" s="371"/>
    </row>
    <row r="391">
      <c r="A391" s="371"/>
      <c r="B391" s="307"/>
      <c r="C391" s="307"/>
      <c r="D391" s="307"/>
      <c r="E391" s="307"/>
      <c r="F391" s="371"/>
      <c r="G391" s="307"/>
      <c r="H391" s="371"/>
      <c r="I391" s="371"/>
      <c r="J391" s="371"/>
      <c r="K391" s="371"/>
      <c r="L391" s="371"/>
      <c r="M391" s="371"/>
      <c r="N391" s="371"/>
      <c r="O391" s="371"/>
      <c r="P391" s="371"/>
      <c r="Q391" s="371"/>
      <c r="R391" s="371"/>
      <c r="S391" s="371"/>
      <c r="T391" s="371"/>
      <c r="U391" s="371"/>
      <c r="V391" s="371"/>
      <c r="W391" s="371"/>
      <c r="X391" s="371"/>
      <c r="Y391" s="371"/>
      <c r="Z391" s="371"/>
    </row>
    <row r="392">
      <c r="A392" s="371"/>
      <c r="B392" s="307"/>
      <c r="C392" s="307"/>
      <c r="D392" s="307"/>
      <c r="E392" s="307"/>
      <c r="F392" s="371"/>
      <c r="G392" s="307"/>
      <c r="H392" s="371"/>
      <c r="I392" s="371"/>
      <c r="J392" s="371"/>
      <c r="K392" s="371"/>
      <c r="L392" s="371"/>
      <c r="M392" s="371"/>
      <c r="N392" s="371"/>
      <c r="O392" s="371"/>
      <c r="P392" s="371"/>
      <c r="Q392" s="371"/>
      <c r="R392" s="371"/>
      <c r="S392" s="371"/>
      <c r="T392" s="371"/>
      <c r="U392" s="371"/>
      <c r="V392" s="371"/>
      <c r="W392" s="371"/>
      <c r="X392" s="371"/>
      <c r="Y392" s="371"/>
      <c r="Z392" s="371"/>
    </row>
    <row r="393">
      <c r="A393" s="371"/>
      <c r="B393" s="307"/>
      <c r="C393" s="307"/>
      <c r="D393" s="307"/>
      <c r="E393" s="307"/>
      <c r="F393" s="371"/>
      <c r="G393" s="307"/>
      <c r="H393" s="371"/>
      <c r="I393" s="371"/>
      <c r="J393" s="371"/>
      <c r="K393" s="371"/>
      <c r="L393" s="371"/>
      <c r="M393" s="371"/>
      <c r="N393" s="371"/>
      <c r="O393" s="371"/>
      <c r="P393" s="371"/>
      <c r="Q393" s="371"/>
      <c r="R393" s="371"/>
      <c r="S393" s="371"/>
      <c r="T393" s="371"/>
      <c r="U393" s="371"/>
      <c r="V393" s="371"/>
      <c r="W393" s="371"/>
      <c r="X393" s="371"/>
      <c r="Y393" s="371"/>
      <c r="Z393" s="371"/>
    </row>
    <row r="394">
      <c r="A394" s="371"/>
      <c r="B394" s="307"/>
      <c r="C394" s="307"/>
      <c r="D394" s="307"/>
      <c r="E394" s="307"/>
      <c r="F394" s="371"/>
      <c r="G394" s="307"/>
      <c r="H394" s="371"/>
      <c r="I394" s="371"/>
      <c r="J394" s="371"/>
      <c r="K394" s="371"/>
      <c r="L394" s="371"/>
      <c r="M394" s="371"/>
      <c r="N394" s="371"/>
      <c r="O394" s="371"/>
      <c r="P394" s="371"/>
      <c r="Q394" s="371"/>
      <c r="R394" s="371"/>
      <c r="S394" s="371"/>
      <c r="T394" s="371"/>
      <c r="U394" s="371"/>
      <c r="V394" s="371"/>
      <c r="W394" s="371"/>
      <c r="X394" s="371"/>
      <c r="Y394" s="371"/>
      <c r="Z394" s="371"/>
    </row>
    <row r="395">
      <c r="A395" s="371"/>
      <c r="B395" s="307"/>
      <c r="C395" s="307"/>
      <c r="D395" s="307"/>
      <c r="E395" s="307"/>
      <c r="F395" s="371"/>
      <c r="G395" s="307"/>
      <c r="H395" s="371"/>
      <c r="I395" s="371"/>
      <c r="J395" s="371"/>
      <c r="K395" s="371"/>
      <c r="L395" s="371"/>
      <c r="M395" s="371"/>
      <c r="N395" s="371"/>
      <c r="O395" s="371"/>
      <c r="P395" s="371"/>
      <c r="Q395" s="371"/>
      <c r="R395" s="371"/>
      <c r="S395" s="371"/>
      <c r="T395" s="371"/>
      <c r="U395" s="371"/>
      <c r="V395" s="371"/>
      <c r="W395" s="371"/>
      <c r="X395" s="371"/>
      <c r="Y395" s="371"/>
      <c r="Z395" s="371"/>
    </row>
    <row r="396">
      <c r="A396" s="371"/>
      <c r="B396" s="307"/>
      <c r="C396" s="307"/>
      <c r="D396" s="307"/>
      <c r="E396" s="307"/>
      <c r="F396" s="371"/>
      <c r="G396" s="307"/>
      <c r="H396" s="371"/>
      <c r="I396" s="371"/>
      <c r="J396" s="371"/>
      <c r="K396" s="371"/>
      <c r="L396" s="371"/>
      <c r="M396" s="371"/>
      <c r="N396" s="371"/>
      <c r="O396" s="371"/>
      <c r="P396" s="371"/>
      <c r="Q396" s="371"/>
      <c r="R396" s="371"/>
      <c r="S396" s="371"/>
      <c r="T396" s="371"/>
      <c r="U396" s="371"/>
      <c r="V396" s="371"/>
      <c r="W396" s="371"/>
      <c r="X396" s="371"/>
      <c r="Y396" s="371"/>
      <c r="Z396" s="371"/>
    </row>
    <row r="397">
      <c r="A397" s="371"/>
      <c r="B397" s="307"/>
      <c r="C397" s="307"/>
      <c r="D397" s="307"/>
      <c r="E397" s="307"/>
      <c r="F397" s="371"/>
      <c r="G397" s="307"/>
      <c r="H397" s="371"/>
      <c r="I397" s="371"/>
      <c r="J397" s="371"/>
      <c r="K397" s="371"/>
      <c r="L397" s="371"/>
      <c r="M397" s="371"/>
      <c r="N397" s="371"/>
      <c r="O397" s="371"/>
      <c r="P397" s="371"/>
      <c r="Q397" s="371"/>
      <c r="R397" s="371"/>
      <c r="S397" s="371"/>
      <c r="T397" s="371"/>
      <c r="U397" s="371"/>
      <c r="V397" s="371"/>
      <c r="W397" s="371"/>
      <c r="X397" s="371"/>
      <c r="Y397" s="371"/>
      <c r="Z397" s="371"/>
    </row>
    <row r="398">
      <c r="A398" s="371"/>
      <c r="B398" s="307"/>
      <c r="C398" s="307"/>
      <c r="D398" s="307"/>
      <c r="E398" s="307"/>
      <c r="F398" s="371"/>
      <c r="G398" s="307"/>
      <c r="H398" s="371"/>
      <c r="I398" s="371"/>
      <c r="J398" s="371"/>
      <c r="K398" s="371"/>
      <c r="L398" s="371"/>
      <c r="M398" s="371"/>
      <c r="N398" s="371"/>
      <c r="O398" s="371"/>
      <c r="P398" s="371"/>
      <c r="Q398" s="371"/>
      <c r="R398" s="371"/>
      <c r="S398" s="371"/>
      <c r="T398" s="371"/>
      <c r="U398" s="371"/>
      <c r="V398" s="371"/>
      <c r="W398" s="371"/>
      <c r="X398" s="371"/>
      <c r="Y398" s="371"/>
      <c r="Z398" s="371"/>
    </row>
    <row r="399">
      <c r="A399" s="371"/>
      <c r="B399" s="307"/>
      <c r="C399" s="307"/>
      <c r="D399" s="307"/>
      <c r="E399" s="307"/>
      <c r="F399" s="371"/>
      <c r="G399" s="307"/>
      <c r="H399" s="371"/>
      <c r="I399" s="371"/>
      <c r="J399" s="371"/>
      <c r="K399" s="371"/>
      <c r="L399" s="371"/>
      <c r="M399" s="371"/>
      <c r="N399" s="371"/>
      <c r="O399" s="371"/>
      <c r="P399" s="371"/>
      <c r="Q399" s="371"/>
      <c r="R399" s="371"/>
      <c r="S399" s="371"/>
      <c r="T399" s="371"/>
      <c r="U399" s="371"/>
      <c r="V399" s="371"/>
      <c r="W399" s="371"/>
      <c r="X399" s="371"/>
      <c r="Y399" s="371"/>
      <c r="Z399" s="371"/>
    </row>
    <row r="400">
      <c r="A400" s="371"/>
      <c r="B400" s="307"/>
      <c r="C400" s="307"/>
      <c r="D400" s="307"/>
      <c r="E400" s="307"/>
      <c r="F400" s="371"/>
      <c r="G400" s="307"/>
      <c r="H400" s="371"/>
      <c r="I400" s="371"/>
      <c r="J400" s="371"/>
      <c r="K400" s="371"/>
      <c r="L400" s="371"/>
      <c r="M400" s="371"/>
      <c r="N400" s="371"/>
      <c r="O400" s="371"/>
      <c r="P400" s="371"/>
      <c r="Q400" s="371"/>
      <c r="R400" s="371"/>
      <c r="S400" s="371"/>
      <c r="T400" s="371"/>
      <c r="U400" s="371"/>
      <c r="V400" s="371"/>
      <c r="W400" s="371"/>
      <c r="X400" s="371"/>
      <c r="Y400" s="371"/>
      <c r="Z400" s="371"/>
    </row>
    <row r="401">
      <c r="A401" s="371"/>
      <c r="B401" s="307"/>
      <c r="C401" s="307"/>
      <c r="D401" s="307"/>
      <c r="E401" s="307"/>
      <c r="F401" s="371"/>
      <c r="G401" s="307"/>
      <c r="H401" s="371"/>
      <c r="I401" s="371"/>
      <c r="J401" s="371"/>
      <c r="K401" s="371"/>
      <c r="L401" s="371"/>
      <c r="M401" s="371"/>
      <c r="N401" s="371"/>
      <c r="O401" s="371"/>
      <c r="P401" s="371"/>
      <c r="Q401" s="371"/>
      <c r="R401" s="371"/>
      <c r="S401" s="371"/>
      <c r="T401" s="371"/>
      <c r="U401" s="371"/>
      <c r="V401" s="371"/>
      <c r="W401" s="371"/>
      <c r="X401" s="371"/>
      <c r="Y401" s="371"/>
      <c r="Z401" s="371"/>
    </row>
    <row r="402">
      <c r="A402" s="371"/>
      <c r="B402" s="307"/>
      <c r="C402" s="307"/>
      <c r="D402" s="307"/>
      <c r="E402" s="307"/>
      <c r="F402" s="371"/>
      <c r="G402" s="307"/>
      <c r="H402" s="371"/>
      <c r="I402" s="371"/>
      <c r="J402" s="371"/>
      <c r="K402" s="371"/>
      <c r="L402" s="371"/>
      <c r="M402" s="371"/>
      <c r="N402" s="371"/>
      <c r="O402" s="371"/>
      <c r="P402" s="371"/>
      <c r="Q402" s="371"/>
      <c r="R402" s="371"/>
      <c r="S402" s="371"/>
      <c r="T402" s="371"/>
      <c r="U402" s="371"/>
      <c r="V402" s="371"/>
      <c r="W402" s="371"/>
      <c r="X402" s="371"/>
      <c r="Y402" s="371"/>
      <c r="Z402" s="371"/>
    </row>
    <row r="403">
      <c r="A403" s="371"/>
      <c r="B403" s="307"/>
      <c r="C403" s="307"/>
      <c r="D403" s="307"/>
      <c r="E403" s="307"/>
      <c r="F403" s="371"/>
      <c r="G403" s="307"/>
      <c r="H403" s="371"/>
      <c r="I403" s="371"/>
      <c r="J403" s="371"/>
      <c r="K403" s="371"/>
      <c r="L403" s="371"/>
      <c r="M403" s="371"/>
      <c r="N403" s="371"/>
      <c r="O403" s="371"/>
      <c r="P403" s="371"/>
      <c r="Q403" s="371"/>
      <c r="R403" s="371"/>
      <c r="S403" s="371"/>
      <c r="T403" s="371"/>
      <c r="U403" s="371"/>
      <c r="V403" s="371"/>
      <c r="W403" s="371"/>
      <c r="X403" s="371"/>
      <c r="Y403" s="371"/>
      <c r="Z403" s="371"/>
    </row>
    <row r="404">
      <c r="A404" s="371"/>
      <c r="B404" s="307"/>
      <c r="C404" s="307"/>
      <c r="D404" s="307"/>
      <c r="E404" s="307"/>
      <c r="F404" s="371"/>
      <c r="G404" s="307"/>
      <c r="H404" s="371"/>
      <c r="I404" s="371"/>
      <c r="J404" s="371"/>
      <c r="K404" s="371"/>
      <c r="L404" s="371"/>
      <c r="M404" s="371"/>
      <c r="N404" s="371"/>
      <c r="O404" s="371"/>
      <c r="P404" s="371"/>
      <c r="Q404" s="371"/>
      <c r="R404" s="371"/>
      <c r="S404" s="371"/>
      <c r="T404" s="371"/>
      <c r="U404" s="371"/>
      <c r="V404" s="371"/>
      <c r="W404" s="371"/>
      <c r="X404" s="371"/>
      <c r="Y404" s="371"/>
      <c r="Z404" s="371"/>
    </row>
    <row r="405">
      <c r="A405" s="371"/>
      <c r="B405" s="307"/>
      <c r="C405" s="307"/>
      <c r="D405" s="307"/>
      <c r="E405" s="307"/>
      <c r="F405" s="371"/>
      <c r="G405" s="307"/>
      <c r="H405" s="371"/>
      <c r="I405" s="371"/>
      <c r="J405" s="371"/>
      <c r="K405" s="371"/>
      <c r="L405" s="371"/>
      <c r="M405" s="371"/>
      <c r="N405" s="371"/>
      <c r="O405" s="371"/>
      <c r="P405" s="371"/>
      <c r="Q405" s="371"/>
      <c r="R405" s="371"/>
      <c r="S405" s="371"/>
      <c r="T405" s="371"/>
      <c r="U405" s="371"/>
      <c r="V405" s="371"/>
      <c r="W405" s="371"/>
      <c r="X405" s="371"/>
      <c r="Y405" s="371"/>
      <c r="Z405" s="371"/>
    </row>
    <row r="406">
      <c r="A406" s="371"/>
      <c r="B406" s="307"/>
      <c r="C406" s="307"/>
      <c r="D406" s="307"/>
      <c r="E406" s="307"/>
      <c r="F406" s="371"/>
      <c r="G406" s="307"/>
      <c r="H406" s="371"/>
      <c r="I406" s="371"/>
      <c r="J406" s="371"/>
      <c r="K406" s="371"/>
      <c r="L406" s="371"/>
      <c r="M406" s="371"/>
      <c r="N406" s="371"/>
      <c r="O406" s="371"/>
      <c r="P406" s="371"/>
      <c r="Q406" s="371"/>
      <c r="R406" s="371"/>
      <c r="S406" s="371"/>
      <c r="T406" s="371"/>
      <c r="U406" s="371"/>
      <c r="V406" s="371"/>
      <c r="W406" s="371"/>
      <c r="X406" s="371"/>
      <c r="Y406" s="371"/>
      <c r="Z406" s="371"/>
    </row>
    <row r="407">
      <c r="A407" s="371"/>
      <c r="B407" s="307"/>
      <c r="C407" s="307"/>
      <c r="D407" s="307"/>
      <c r="E407" s="307"/>
      <c r="F407" s="371"/>
      <c r="G407" s="307"/>
      <c r="H407" s="371"/>
      <c r="I407" s="371"/>
      <c r="J407" s="371"/>
      <c r="K407" s="371"/>
      <c r="L407" s="371"/>
      <c r="M407" s="371"/>
      <c r="N407" s="371"/>
      <c r="O407" s="371"/>
      <c r="P407" s="371"/>
      <c r="Q407" s="371"/>
      <c r="R407" s="371"/>
      <c r="S407" s="371"/>
      <c r="T407" s="371"/>
      <c r="U407" s="371"/>
      <c r="V407" s="371"/>
      <c r="W407" s="371"/>
      <c r="X407" s="371"/>
      <c r="Y407" s="371"/>
      <c r="Z407" s="371"/>
    </row>
    <row r="408">
      <c r="A408" s="371"/>
      <c r="B408" s="307"/>
      <c r="C408" s="307"/>
      <c r="D408" s="307"/>
      <c r="E408" s="307"/>
      <c r="F408" s="371"/>
      <c r="G408" s="307"/>
      <c r="H408" s="371"/>
      <c r="I408" s="371"/>
      <c r="J408" s="371"/>
      <c r="K408" s="371"/>
      <c r="L408" s="371"/>
      <c r="M408" s="371"/>
      <c r="N408" s="371"/>
      <c r="O408" s="371"/>
      <c r="P408" s="371"/>
      <c r="Q408" s="371"/>
      <c r="R408" s="371"/>
      <c r="S408" s="371"/>
      <c r="T408" s="371"/>
      <c r="U408" s="371"/>
      <c r="V408" s="371"/>
      <c r="W408" s="371"/>
      <c r="X408" s="371"/>
      <c r="Y408" s="371"/>
      <c r="Z408" s="371"/>
    </row>
    <row r="409">
      <c r="A409" s="371"/>
      <c r="B409" s="307"/>
      <c r="C409" s="307"/>
      <c r="D409" s="307"/>
      <c r="E409" s="307"/>
      <c r="F409" s="371"/>
      <c r="G409" s="307"/>
      <c r="H409" s="371"/>
      <c r="I409" s="371"/>
      <c r="J409" s="371"/>
      <c r="K409" s="371"/>
      <c r="L409" s="371"/>
      <c r="M409" s="371"/>
      <c r="N409" s="371"/>
      <c r="O409" s="371"/>
      <c r="P409" s="371"/>
      <c r="Q409" s="371"/>
      <c r="R409" s="371"/>
      <c r="S409" s="371"/>
      <c r="T409" s="371"/>
      <c r="U409" s="371"/>
      <c r="V409" s="371"/>
      <c r="W409" s="371"/>
      <c r="X409" s="371"/>
      <c r="Y409" s="371"/>
      <c r="Z409" s="371"/>
    </row>
    <row r="410">
      <c r="A410" s="371"/>
      <c r="B410" s="307"/>
      <c r="C410" s="307"/>
      <c r="D410" s="307"/>
      <c r="E410" s="307"/>
      <c r="F410" s="371"/>
      <c r="G410" s="307"/>
      <c r="H410" s="371"/>
      <c r="I410" s="371"/>
      <c r="J410" s="371"/>
      <c r="K410" s="371"/>
      <c r="L410" s="371"/>
      <c r="M410" s="371"/>
      <c r="N410" s="371"/>
      <c r="O410" s="371"/>
      <c r="P410" s="371"/>
      <c r="Q410" s="371"/>
      <c r="R410" s="371"/>
      <c r="S410" s="371"/>
      <c r="T410" s="371"/>
      <c r="U410" s="371"/>
      <c r="V410" s="371"/>
      <c r="W410" s="371"/>
      <c r="X410" s="371"/>
      <c r="Y410" s="371"/>
      <c r="Z410" s="371"/>
    </row>
    <row r="411">
      <c r="A411" s="371"/>
      <c r="B411" s="307"/>
      <c r="C411" s="307"/>
      <c r="D411" s="307"/>
      <c r="E411" s="307"/>
      <c r="F411" s="371"/>
      <c r="G411" s="307"/>
      <c r="H411" s="371"/>
      <c r="I411" s="371"/>
      <c r="J411" s="371"/>
      <c r="K411" s="371"/>
      <c r="L411" s="371"/>
      <c r="M411" s="371"/>
      <c r="N411" s="371"/>
      <c r="O411" s="371"/>
      <c r="P411" s="371"/>
      <c r="Q411" s="371"/>
      <c r="R411" s="371"/>
      <c r="S411" s="371"/>
      <c r="T411" s="371"/>
      <c r="U411" s="371"/>
      <c r="V411" s="371"/>
      <c r="W411" s="371"/>
      <c r="X411" s="371"/>
      <c r="Y411" s="371"/>
      <c r="Z411" s="371"/>
    </row>
    <row r="412">
      <c r="A412" s="371"/>
      <c r="B412" s="307"/>
      <c r="C412" s="307"/>
      <c r="D412" s="307"/>
      <c r="E412" s="307"/>
      <c r="F412" s="371"/>
      <c r="G412" s="307"/>
      <c r="H412" s="371"/>
      <c r="I412" s="371"/>
      <c r="J412" s="371"/>
      <c r="K412" s="371"/>
      <c r="L412" s="371"/>
      <c r="M412" s="371"/>
      <c r="N412" s="371"/>
      <c r="O412" s="371"/>
      <c r="P412" s="371"/>
      <c r="Q412" s="371"/>
      <c r="R412" s="371"/>
      <c r="S412" s="371"/>
      <c r="T412" s="371"/>
      <c r="U412" s="371"/>
      <c r="V412" s="371"/>
      <c r="W412" s="371"/>
      <c r="X412" s="371"/>
      <c r="Y412" s="371"/>
      <c r="Z412" s="371"/>
    </row>
    <row r="413">
      <c r="A413" s="371"/>
      <c r="B413" s="307"/>
      <c r="C413" s="307"/>
      <c r="D413" s="307"/>
      <c r="E413" s="307"/>
      <c r="F413" s="371"/>
      <c r="G413" s="307"/>
      <c r="H413" s="371"/>
      <c r="I413" s="371"/>
      <c r="J413" s="371"/>
      <c r="K413" s="371"/>
      <c r="L413" s="371"/>
      <c r="M413" s="371"/>
      <c r="N413" s="371"/>
      <c r="O413" s="371"/>
      <c r="P413" s="371"/>
      <c r="Q413" s="371"/>
      <c r="R413" s="371"/>
      <c r="S413" s="371"/>
      <c r="T413" s="371"/>
      <c r="U413" s="371"/>
      <c r="V413" s="371"/>
      <c r="W413" s="371"/>
      <c r="X413" s="371"/>
      <c r="Y413" s="371"/>
      <c r="Z413" s="371"/>
    </row>
    <row r="414">
      <c r="A414" s="371"/>
      <c r="B414" s="307"/>
      <c r="C414" s="307"/>
      <c r="D414" s="307"/>
      <c r="E414" s="307"/>
      <c r="F414" s="371"/>
      <c r="G414" s="307"/>
      <c r="H414" s="371"/>
      <c r="I414" s="371"/>
      <c r="J414" s="371"/>
      <c r="K414" s="371"/>
      <c r="L414" s="371"/>
      <c r="M414" s="371"/>
      <c r="N414" s="371"/>
      <c r="O414" s="371"/>
      <c r="P414" s="371"/>
      <c r="Q414" s="371"/>
      <c r="R414" s="371"/>
      <c r="S414" s="371"/>
      <c r="T414" s="371"/>
      <c r="U414" s="371"/>
      <c r="V414" s="371"/>
      <c r="W414" s="371"/>
      <c r="X414" s="371"/>
      <c r="Y414" s="371"/>
      <c r="Z414" s="371"/>
    </row>
    <row r="415">
      <c r="A415" s="371"/>
      <c r="B415" s="307"/>
      <c r="C415" s="307"/>
      <c r="D415" s="307"/>
      <c r="E415" s="307"/>
      <c r="F415" s="371"/>
      <c r="G415" s="307"/>
      <c r="H415" s="371"/>
      <c r="I415" s="371"/>
      <c r="J415" s="371"/>
      <c r="K415" s="371"/>
      <c r="L415" s="371"/>
      <c r="M415" s="371"/>
      <c r="N415" s="371"/>
      <c r="O415" s="371"/>
      <c r="P415" s="371"/>
      <c r="Q415" s="371"/>
      <c r="R415" s="371"/>
      <c r="S415" s="371"/>
      <c r="T415" s="371"/>
      <c r="U415" s="371"/>
      <c r="V415" s="371"/>
      <c r="W415" s="371"/>
      <c r="X415" s="371"/>
      <c r="Y415" s="371"/>
      <c r="Z415" s="371"/>
    </row>
    <row r="416">
      <c r="A416" s="371"/>
      <c r="B416" s="307"/>
      <c r="C416" s="307"/>
      <c r="D416" s="307"/>
      <c r="E416" s="307"/>
      <c r="F416" s="371"/>
      <c r="G416" s="307"/>
      <c r="H416" s="371"/>
      <c r="I416" s="371"/>
      <c r="J416" s="371"/>
      <c r="K416" s="371"/>
      <c r="L416" s="371"/>
      <c r="M416" s="371"/>
      <c r="N416" s="371"/>
      <c r="O416" s="371"/>
      <c r="P416" s="371"/>
      <c r="Q416" s="371"/>
      <c r="R416" s="371"/>
      <c r="S416" s="371"/>
      <c r="T416" s="371"/>
      <c r="U416" s="371"/>
      <c r="V416" s="371"/>
      <c r="W416" s="371"/>
      <c r="X416" s="371"/>
      <c r="Y416" s="371"/>
      <c r="Z416" s="371"/>
    </row>
    <row r="417">
      <c r="A417" s="371"/>
      <c r="B417" s="307"/>
      <c r="C417" s="307"/>
      <c r="D417" s="307"/>
      <c r="E417" s="307"/>
      <c r="F417" s="371"/>
      <c r="G417" s="307"/>
      <c r="H417" s="371"/>
      <c r="I417" s="371"/>
      <c r="J417" s="371"/>
      <c r="K417" s="371"/>
      <c r="L417" s="371"/>
      <c r="M417" s="371"/>
      <c r="N417" s="371"/>
      <c r="O417" s="371"/>
      <c r="P417" s="371"/>
      <c r="Q417" s="371"/>
      <c r="R417" s="371"/>
      <c r="S417" s="371"/>
      <c r="T417" s="371"/>
      <c r="U417" s="371"/>
      <c r="V417" s="371"/>
      <c r="W417" s="371"/>
      <c r="X417" s="371"/>
      <c r="Y417" s="371"/>
      <c r="Z417" s="371"/>
    </row>
    <row r="418">
      <c r="A418" s="371"/>
      <c r="B418" s="307"/>
      <c r="C418" s="307"/>
      <c r="D418" s="307"/>
      <c r="E418" s="307"/>
      <c r="F418" s="371"/>
      <c r="G418" s="307"/>
      <c r="H418" s="371"/>
      <c r="I418" s="371"/>
      <c r="J418" s="371"/>
      <c r="K418" s="371"/>
      <c r="L418" s="371"/>
      <c r="M418" s="371"/>
      <c r="N418" s="371"/>
      <c r="O418" s="371"/>
      <c r="P418" s="371"/>
      <c r="Q418" s="371"/>
      <c r="R418" s="371"/>
      <c r="S418" s="371"/>
      <c r="T418" s="371"/>
      <c r="U418" s="371"/>
      <c r="V418" s="371"/>
      <c r="W418" s="371"/>
      <c r="X418" s="371"/>
      <c r="Y418" s="371"/>
      <c r="Z418" s="371"/>
    </row>
    <row r="419">
      <c r="A419" s="371"/>
      <c r="B419" s="307"/>
      <c r="C419" s="307"/>
      <c r="D419" s="307"/>
      <c r="E419" s="307"/>
      <c r="F419" s="371"/>
      <c r="G419" s="307"/>
      <c r="H419" s="371"/>
      <c r="I419" s="371"/>
      <c r="J419" s="371"/>
      <c r="K419" s="371"/>
      <c r="L419" s="371"/>
      <c r="M419" s="371"/>
      <c r="N419" s="371"/>
      <c r="O419" s="371"/>
      <c r="P419" s="371"/>
      <c r="Q419" s="371"/>
      <c r="R419" s="371"/>
      <c r="S419" s="371"/>
      <c r="T419" s="371"/>
      <c r="U419" s="371"/>
      <c r="V419" s="371"/>
      <c r="W419" s="371"/>
      <c r="X419" s="371"/>
      <c r="Y419" s="371"/>
      <c r="Z419" s="371"/>
    </row>
    <row r="420">
      <c r="A420" s="371"/>
      <c r="B420" s="307"/>
      <c r="C420" s="307"/>
      <c r="D420" s="307"/>
      <c r="E420" s="307"/>
      <c r="F420" s="371"/>
      <c r="G420" s="307"/>
      <c r="H420" s="371"/>
      <c r="I420" s="371"/>
      <c r="J420" s="371"/>
      <c r="K420" s="371"/>
      <c r="L420" s="371"/>
      <c r="M420" s="371"/>
      <c r="N420" s="371"/>
      <c r="O420" s="371"/>
      <c r="P420" s="371"/>
      <c r="Q420" s="371"/>
      <c r="R420" s="371"/>
      <c r="S420" s="371"/>
      <c r="T420" s="371"/>
      <c r="U420" s="371"/>
      <c r="V420" s="371"/>
      <c r="W420" s="371"/>
      <c r="X420" s="371"/>
      <c r="Y420" s="371"/>
      <c r="Z420" s="371"/>
    </row>
    <row r="421">
      <c r="A421" s="371"/>
      <c r="B421" s="307"/>
      <c r="C421" s="307"/>
      <c r="D421" s="307"/>
      <c r="E421" s="307"/>
      <c r="F421" s="371"/>
      <c r="G421" s="307"/>
      <c r="H421" s="371"/>
      <c r="I421" s="371"/>
      <c r="J421" s="371"/>
      <c r="K421" s="371"/>
      <c r="L421" s="371"/>
      <c r="M421" s="371"/>
      <c r="N421" s="371"/>
      <c r="O421" s="371"/>
      <c r="P421" s="371"/>
      <c r="Q421" s="371"/>
      <c r="R421" s="371"/>
      <c r="S421" s="371"/>
      <c r="T421" s="371"/>
      <c r="U421" s="371"/>
      <c r="V421" s="371"/>
      <c r="W421" s="371"/>
      <c r="X421" s="371"/>
      <c r="Y421" s="371"/>
      <c r="Z421" s="371"/>
    </row>
    <row r="422">
      <c r="A422" s="371"/>
      <c r="B422" s="307"/>
      <c r="C422" s="307"/>
      <c r="D422" s="307"/>
      <c r="E422" s="307"/>
      <c r="F422" s="371"/>
      <c r="G422" s="307"/>
      <c r="H422" s="371"/>
      <c r="I422" s="371"/>
      <c r="J422" s="371"/>
      <c r="K422" s="371"/>
      <c r="L422" s="371"/>
      <c r="M422" s="371"/>
      <c r="N422" s="371"/>
      <c r="O422" s="371"/>
      <c r="P422" s="371"/>
      <c r="Q422" s="371"/>
      <c r="R422" s="371"/>
      <c r="S422" s="371"/>
      <c r="T422" s="371"/>
      <c r="U422" s="371"/>
      <c r="V422" s="371"/>
      <c r="W422" s="371"/>
      <c r="X422" s="371"/>
      <c r="Y422" s="371"/>
      <c r="Z422" s="371"/>
    </row>
    <row r="423">
      <c r="A423" s="371"/>
      <c r="B423" s="307"/>
      <c r="C423" s="307"/>
      <c r="D423" s="307"/>
      <c r="E423" s="307"/>
      <c r="F423" s="371"/>
      <c r="G423" s="307"/>
      <c r="H423" s="371"/>
      <c r="I423" s="371"/>
      <c r="J423" s="371"/>
      <c r="K423" s="371"/>
      <c r="L423" s="371"/>
      <c r="M423" s="371"/>
      <c r="N423" s="371"/>
      <c r="O423" s="371"/>
      <c r="P423" s="371"/>
      <c r="Q423" s="371"/>
      <c r="R423" s="371"/>
      <c r="S423" s="371"/>
      <c r="T423" s="371"/>
      <c r="U423" s="371"/>
      <c r="V423" s="371"/>
      <c r="W423" s="371"/>
      <c r="X423" s="371"/>
      <c r="Y423" s="371"/>
      <c r="Z423" s="371"/>
    </row>
    <row r="424">
      <c r="A424" s="371"/>
      <c r="B424" s="307"/>
      <c r="C424" s="307"/>
      <c r="D424" s="307"/>
      <c r="E424" s="307"/>
      <c r="F424" s="371"/>
      <c r="G424" s="307"/>
      <c r="H424" s="371"/>
      <c r="I424" s="371"/>
      <c r="J424" s="371"/>
      <c r="K424" s="371"/>
      <c r="L424" s="371"/>
      <c r="M424" s="371"/>
      <c r="N424" s="371"/>
      <c r="O424" s="371"/>
      <c r="P424" s="371"/>
      <c r="Q424" s="371"/>
      <c r="R424" s="371"/>
      <c r="S424" s="371"/>
      <c r="T424" s="371"/>
      <c r="U424" s="371"/>
      <c r="V424" s="371"/>
      <c r="W424" s="371"/>
      <c r="X424" s="371"/>
      <c r="Y424" s="371"/>
      <c r="Z424" s="371"/>
    </row>
    <row r="425">
      <c r="A425" s="371"/>
      <c r="B425" s="307"/>
      <c r="C425" s="307"/>
      <c r="D425" s="307"/>
      <c r="E425" s="307"/>
      <c r="F425" s="371"/>
      <c r="G425" s="307"/>
      <c r="H425" s="371"/>
      <c r="I425" s="371"/>
      <c r="J425" s="371"/>
      <c r="K425" s="371"/>
      <c r="L425" s="371"/>
      <c r="M425" s="371"/>
      <c r="N425" s="371"/>
      <c r="O425" s="371"/>
      <c r="P425" s="371"/>
      <c r="Q425" s="371"/>
      <c r="R425" s="371"/>
      <c r="S425" s="371"/>
      <c r="T425" s="371"/>
      <c r="U425" s="371"/>
      <c r="V425" s="371"/>
      <c r="W425" s="371"/>
      <c r="X425" s="371"/>
      <c r="Y425" s="371"/>
      <c r="Z425" s="371"/>
    </row>
    <row r="426">
      <c r="A426" s="371"/>
      <c r="B426" s="307"/>
      <c r="C426" s="307"/>
      <c r="D426" s="307"/>
      <c r="E426" s="307"/>
      <c r="F426" s="371"/>
      <c r="G426" s="307"/>
      <c r="H426" s="371"/>
      <c r="I426" s="371"/>
      <c r="J426" s="371"/>
      <c r="K426" s="371"/>
      <c r="L426" s="371"/>
      <c r="M426" s="371"/>
      <c r="N426" s="371"/>
      <c r="O426" s="371"/>
      <c r="P426" s="371"/>
      <c r="Q426" s="371"/>
      <c r="R426" s="371"/>
      <c r="S426" s="371"/>
      <c r="T426" s="371"/>
      <c r="U426" s="371"/>
      <c r="V426" s="371"/>
      <c r="W426" s="371"/>
      <c r="X426" s="371"/>
      <c r="Y426" s="371"/>
      <c r="Z426" s="371"/>
    </row>
    <row r="427">
      <c r="A427" s="371"/>
      <c r="B427" s="307"/>
      <c r="C427" s="307"/>
      <c r="D427" s="307"/>
      <c r="E427" s="307"/>
      <c r="F427" s="371"/>
      <c r="G427" s="307"/>
      <c r="H427" s="371"/>
      <c r="I427" s="371"/>
      <c r="J427" s="371"/>
      <c r="K427" s="371"/>
      <c r="L427" s="371"/>
      <c r="M427" s="371"/>
      <c r="N427" s="371"/>
      <c r="O427" s="371"/>
      <c r="P427" s="371"/>
      <c r="Q427" s="371"/>
      <c r="R427" s="371"/>
      <c r="S427" s="371"/>
      <c r="T427" s="371"/>
      <c r="U427" s="371"/>
      <c r="V427" s="371"/>
      <c r="W427" s="371"/>
      <c r="X427" s="371"/>
      <c r="Y427" s="371"/>
      <c r="Z427" s="371"/>
    </row>
    <row r="428">
      <c r="A428" s="371"/>
      <c r="B428" s="307"/>
      <c r="C428" s="307"/>
      <c r="D428" s="307"/>
      <c r="E428" s="307"/>
      <c r="F428" s="371"/>
      <c r="G428" s="307"/>
      <c r="H428" s="371"/>
      <c r="I428" s="371"/>
      <c r="J428" s="371"/>
      <c r="K428" s="371"/>
      <c r="L428" s="371"/>
      <c r="M428" s="371"/>
      <c r="N428" s="371"/>
      <c r="O428" s="371"/>
      <c r="P428" s="371"/>
      <c r="Q428" s="371"/>
      <c r="R428" s="371"/>
      <c r="S428" s="371"/>
      <c r="T428" s="371"/>
      <c r="U428" s="371"/>
      <c r="V428" s="371"/>
      <c r="W428" s="371"/>
      <c r="X428" s="371"/>
      <c r="Y428" s="371"/>
      <c r="Z428" s="371"/>
    </row>
    <row r="429">
      <c r="A429" s="371"/>
      <c r="B429" s="307"/>
      <c r="C429" s="307"/>
      <c r="D429" s="307"/>
      <c r="E429" s="307"/>
      <c r="F429" s="371"/>
      <c r="G429" s="307"/>
      <c r="H429" s="371"/>
      <c r="I429" s="371"/>
      <c r="J429" s="371"/>
      <c r="K429" s="371"/>
      <c r="L429" s="371"/>
      <c r="M429" s="371"/>
      <c r="N429" s="371"/>
      <c r="O429" s="371"/>
      <c r="P429" s="371"/>
      <c r="Q429" s="371"/>
      <c r="R429" s="371"/>
      <c r="S429" s="371"/>
      <c r="T429" s="371"/>
      <c r="U429" s="371"/>
      <c r="V429" s="371"/>
      <c r="W429" s="371"/>
      <c r="X429" s="371"/>
      <c r="Y429" s="371"/>
      <c r="Z429" s="371"/>
    </row>
    <row r="430">
      <c r="A430" s="371"/>
      <c r="B430" s="307"/>
      <c r="C430" s="307"/>
      <c r="D430" s="307"/>
      <c r="E430" s="307"/>
      <c r="F430" s="371"/>
      <c r="G430" s="307"/>
      <c r="H430" s="371"/>
      <c r="I430" s="371"/>
      <c r="J430" s="371"/>
      <c r="K430" s="371"/>
      <c r="L430" s="371"/>
      <c r="M430" s="371"/>
      <c r="N430" s="371"/>
      <c r="O430" s="371"/>
      <c r="P430" s="371"/>
      <c r="Q430" s="371"/>
      <c r="R430" s="371"/>
      <c r="S430" s="371"/>
      <c r="T430" s="371"/>
      <c r="U430" s="371"/>
      <c r="V430" s="371"/>
      <c r="W430" s="371"/>
      <c r="X430" s="371"/>
      <c r="Y430" s="371"/>
      <c r="Z430" s="371"/>
    </row>
    <row r="431">
      <c r="A431" s="371"/>
      <c r="B431" s="307"/>
      <c r="C431" s="307"/>
      <c r="D431" s="307"/>
      <c r="E431" s="307"/>
      <c r="F431" s="371"/>
      <c r="G431" s="307"/>
      <c r="H431" s="371"/>
      <c r="I431" s="371"/>
      <c r="J431" s="371"/>
      <c r="K431" s="371"/>
      <c r="L431" s="371"/>
      <c r="M431" s="371"/>
      <c r="N431" s="371"/>
      <c r="O431" s="371"/>
      <c r="P431" s="371"/>
      <c r="Q431" s="371"/>
      <c r="R431" s="371"/>
      <c r="S431" s="371"/>
      <c r="T431" s="371"/>
      <c r="U431" s="371"/>
      <c r="V431" s="371"/>
      <c r="W431" s="371"/>
      <c r="X431" s="371"/>
      <c r="Y431" s="371"/>
      <c r="Z431" s="371"/>
    </row>
    <row r="432">
      <c r="A432" s="371"/>
      <c r="B432" s="307"/>
      <c r="C432" s="307"/>
      <c r="D432" s="307"/>
      <c r="E432" s="307"/>
      <c r="F432" s="371"/>
      <c r="G432" s="307"/>
      <c r="H432" s="371"/>
      <c r="I432" s="371"/>
      <c r="J432" s="371"/>
      <c r="K432" s="371"/>
      <c r="L432" s="371"/>
      <c r="M432" s="371"/>
      <c r="N432" s="371"/>
      <c r="O432" s="371"/>
      <c r="P432" s="371"/>
      <c r="Q432" s="371"/>
      <c r="R432" s="371"/>
      <c r="S432" s="371"/>
      <c r="T432" s="371"/>
      <c r="U432" s="371"/>
      <c r="V432" s="371"/>
      <c r="W432" s="371"/>
      <c r="X432" s="371"/>
      <c r="Y432" s="371"/>
      <c r="Z432" s="371"/>
    </row>
    <row r="433">
      <c r="A433" s="371"/>
      <c r="B433" s="307"/>
      <c r="C433" s="307"/>
      <c r="D433" s="307"/>
      <c r="E433" s="307"/>
      <c r="F433" s="371"/>
      <c r="G433" s="307"/>
      <c r="H433" s="371"/>
      <c r="I433" s="371"/>
      <c r="J433" s="371"/>
      <c r="K433" s="371"/>
      <c r="L433" s="371"/>
      <c r="M433" s="371"/>
      <c r="N433" s="371"/>
      <c r="O433" s="371"/>
      <c r="P433" s="371"/>
      <c r="Q433" s="371"/>
      <c r="R433" s="371"/>
      <c r="S433" s="371"/>
      <c r="T433" s="371"/>
      <c r="U433" s="371"/>
      <c r="V433" s="371"/>
      <c r="W433" s="371"/>
      <c r="X433" s="371"/>
      <c r="Y433" s="371"/>
      <c r="Z433" s="371"/>
    </row>
    <row r="434">
      <c r="A434" s="371"/>
      <c r="B434" s="307"/>
      <c r="C434" s="307"/>
      <c r="D434" s="307"/>
      <c r="E434" s="307"/>
      <c r="F434" s="371"/>
      <c r="G434" s="307"/>
      <c r="H434" s="371"/>
      <c r="I434" s="371"/>
      <c r="J434" s="371"/>
      <c r="K434" s="371"/>
      <c r="L434" s="371"/>
      <c r="M434" s="371"/>
      <c r="N434" s="371"/>
      <c r="O434" s="371"/>
      <c r="P434" s="371"/>
      <c r="Q434" s="371"/>
      <c r="R434" s="371"/>
      <c r="S434" s="371"/>
      <c r="T434" s="371"/>
      <c r="U434" s="371"/>
      <c r="V434" s="371"/>
      <c r="W434" s="371"/>
      <c r="X434" s="371"/>
      <c r="Y434" s="371"/>
      <c r="Z434" s="371"/>
    </row>
    <row r="435">
      <c r="A435" s="371"/>
      <c r="B435" s="307"/>
      <c r="C435" s="307"/>
      <c r="D435" s="307"/>
      <c r="E435" s="307"/>
      <c r="F435" s="371"/>
      <c r="G435" s="307"/>
      <c r="H435" s="371"/>
      <c r="I435" s="371"/>
      <c r="J435" s="371"/>
      <c r="K435" s="371"/>
      <c r="L435" s="371"/>
      <c r="M435" s="371"/>
      <c r="N435" s="371"/>
      <c r="O435" s="371"/>
      <c r="P435" s="371"/>
      <c r="Q435" s="371"/>
      <c r="R435" s="371"/>
      <c r="S435" s="371"/>
      <c r="T435" s="371"/>
      <c r="U435" s="371"/>
      <c r="V435" s="371"/>
      <c r="W435" s="371"/>
      <c r="X435" s="371"/>
      <c r="Y435" s="371"/>
      <c r="Z435" s="371"/>
    </row>
    <row r="436">
      <c r="A436" s="371"/>
      <c r="B436" s="307"/>
      <c r="C436" s="307"/>
      <c r="D436" s="307"/>
      <c r="E436" s="307"/>
      <c r="F436" s="371"/>
      <c r="G436" s="307"/>
      <c r="H436" s="371"/>
      <c r="I436" s="371"/>
      <c r="J436" s="371"/>
      <c r="K436" s="371"/>
      <c r="L436" s="371"/>
      <c r="M436" s="371"/>
      <c r="N436" s="371"/>
      <c r="O436" s="371"/>
      <c r="P436" s="371"/>
      <c r="Q436" s="371"/>
      <c r="R436" s="371"/>
      <c r="S436" s="371"/>
      <c r="T436" s="371"/>
      <c r="U436" s="371"/>
      <c r="V436" s="371"/>
      <c r="W436" s="371"/>
      <c r="X436" s="371"/>
      <c r="Y436" s="371"/>
      <c r="Z436" s="371"/>
    </row>
    <row r="437">
      <c r="A437" s="371"/>
      <c r="B437" s="307"/>
      <c r="C437" s="307"/>
      <c r="D437" s="307"/>
      <c r="E437" s="307"/>
      <c r="F437" s="371"/>
      <c r="G437" s="307"/>
      <c r="H437" s="371"/>
      <c r="I437" s="371"/>
      <c r="J437" s="371"/>
      <c r="K437" s="371"/>
      <c r="L437" s="371"/>
      <c r="M437" s="371"/>
      <c r="N437" s="371"/>
      <c r="O437" s="371"/>
      <c r="P437" s="371"/>
      <c r="Q437" s="371"/>
      <c r="R437" s="371"/>
      <c r="S437" s="371"/>
      <c r="T437" s="371"/>
      <c r="U437" s="371"/>
      <c r="V437" s="371"/>
      <c r="W437" s="371"/>
      <c r="X437" s="371"/>
      <c r="Y437" s="371"/>
      <c r="Z437" s="371"/>
    </row>
    <row r="438">
      <c r="A438" s="371"/>
      <c r="B438" s="307"/>
      <c r="C438" s="307"/>
      <c r="D438" s="307"/>
      <c r="E438" s="307"/>
      <c r="F438" s="371"/>
      <c r="G438" s="307"/>
      <c r="H438" s="371"/>
      <c r="I438" s="371"/>
      <c r="J438" s="371"/>
      <c r="K438" s="371"/>
      <c r="L438" s="371"/>
      <c r="M438" s="371"/>
      <c r="N438" s="371"/>
      <c r="O438" s="371"/>
      <c r="P438" s="371"/>
      <c r="Q438" s="371"/>
      <c r="R438" s="371"/>
      <c r="S438" s="371"/>
      <c r="T438" s="371"/>
      <c r="U438" s="371"/>
      <c r="V438" s="371"/>
      <c r="W438" s="371"/>
      <c r="X438" s="371"/>
      <c r="Y438" s="371"/>
      <c r="Z438" s="371"/>
    </row>
    <row r="439">
      <c r="A439" s="371"/>
      <c r="B439" s="307"/>
      <c r="C439" s="307"/>
      <c r="D439" s="307"/>
      <c r="E439" s="307"/>
      <c r="F439" s="371"/>
      <c r="G439" s="307"/>
      <c r="H439" s="371"/>
      <c r="I439" s="371"/>
      <c r="J439" s="371"/>
      <c r="K439" s="371"/>
      <c r="L439" s="371"/>
      <c r="M439" s="371"/>
      <c r="N439" s="371"/>
      <c r="O439" s="371"/>
      <c r="P439" s="371"/>
      <c r="Q439" s="371"/>
      <c r="R439" s="371"/>
      <c r="S439" s="371"/>
      <c r="T439" s="371"/>
      <c r="U439" s="371"/>
      <c r="V439" s="371"/>
      <c r="W439" s="371"/>
      <c r="X439" s="371"/>
      <c r="Y439" s="371"/>
      <c r="Z439" s="371"/>
    </row>
    <row r="440">
      <c r="A440" s="371"/>
      <c r="B440" s="307"/>
      <c r="C440" s="307"/>
      <c r="D440" s="307"/>
      <c r="E440" s="307"/>
      <c r="F440" s="371"/>
      <c r="G440" s="307"/>
      <c r="H440" s="371"/>
      <c r="I440" s="371"/>
      <c r="J440" s="371"/>
      <c r="K440" s="371"/>
      <c r="L440" s="371"/>
      <c r="M440" s="371"/>
      <c r="N440" s="371"/>
      <c r="O440" s="371"/>
      <c r="P440" s="371"/>
      <c r="Q440" s="371"/>
      <c r="R440" s="371"/>
      <c r="S440" s="371"/>
      <c r="T440" s="371"/>
      <c r="U440" s="371"/>
      <c r="V440" s="371"/>
      <c r="W440" s="371"/>
      <c r="X440" s="371"/>
      <c r="Y440" s="371"/>
      <c r="Z440" s="371"/>
    </row>
    <row r="441">
      <c r="A441" s="371"/>
      <c r="B441" s="307"/>
      <c r="C441" s="307"/>
      <c r="D441" s="307"/>
      <c r="E441" s="307"/>
      <c r="F441" s="371"/>
      <c r="G441" s="307"/>
      <c r="H441" s="371"/>
      <c r="I441" s="371"/>
      <c r="J441" s="371"/>
      <c r="K441" s="371"/>
      <c r="L441" s="371"/>
      <c r="M441" s="371"/>
      <c r="N441" s="371"/>
      <c r="O441" s="371"/>
      <c r="P441" s="371"/>
      <c r="Q441" s="371"/>
      <c r="R441" s="371"/>
      <c r="S441" s="371"/>
      <c r="T441" s="371"/>
      <c r="U441" s="371"/>
      <c r="V441" s="371"/>
      <c r="W441" s="371"/>
      <c r="X441" s="371"/>
      <c r="Y441" s="371"/>
      <c r="Z441" s="371"/>
    </row>
    <row r="442">
      <c r="A442" s="371"/>
      <c r="B442" s="307"/>
      <c r="C442" s="307"/>
      <c r="D442" s="307"/>
      <c r="E442" s="307"/>
      <c r="F442" s="371"/>
      <c r="G442" s="307"/>
      <c r="H442" s="371"/>
      <c r="I442" s="371"/>
      <c r="J442" s="371"/>
      <c r="K442" s="371"/>
      <c r="L442" s="371"/>
      <c r="M442" s="371"/>
      <c r="N442" s="371"/>
      <c r="O442" s="371"/>
      <c r="P442" s="371"/>
      <c r="Q442" s="371"/>
      <c r="R442" s="371"/>
      <c r="S442" s="371"/>
      <c r="T442" s="371"/>
      <c r="U442" s="371"/>
      <c r="V442" s="371"/>
      <c r="W442" s="371"/>
      <c r="X442" s="371"/>
      <c r="Y442" s="371"/>
      <c r="Z442" s="371"/>
    </row>
    <row r="443">
      <c r="A443" s="371"/>
      <c r="B443" s="307"/>
      <c r="C443" s="307"/>
      <c r="D443" s="307"/>
      <c r="E443" s="307"/>
      <c r="F443" s="371"/>
      <c r="G443" s="307"/>
      <c r="H443" s="371"/>
      <c r="I443" s="371"/>
      <c r="J443" s="371"/>
      <c r="K443" s="371"/>
      <c r="L443" s="371"/>
      <c r="M443" s="371"/>
      <c r="N443" s="371"/>
      <c r="O443" s="371"/>
      <c r="P443" s="371"/>
      <c r="Q443" s="371"/>
      <c r="R443" s="371"/>
      <c r="S443" s="371"/>
      <c r="T443" s="371"/>
      <c r="U443" s="371"/>
      <c r="V443" s="371"/>
      <c r="W443" s="371"/>
      <c r="X443" s="371"/>
      <c r="Y443" s="371"/>
      <c r="Z443" s="371"/>
    </row>
    <row r="444">
      <c r="A444" s="371"/>
      <c r="B444" s="307"/>
      <c r="C444" s="307"/>
      <c r="D444" s="307"/>
      <c r="E444" s="307"/>
      <c r="F444" s="371"/>
      <c r="G444" s="307"/>
      <c r="H444" s="371"/>
      <c r="I444" s="371"/>
      <c r="J444" s="371"/>
      <c r="K444" s="371"/>
      <c r="L444" s="371"/>
      <c r="M444" s="371"/>
      <c r="N444" s="371"/>
      <c r="O444" s="371"/>
      <c r="P444" s="371"/>
      <c r="Q444" s="371"/>
      <c r="R444" s="371"/>
      <c r="S444" s="371"/>
      <c r="T444" s="371"/>
      <c r="U444" s="371"/>
      <c r="V444" s="371"/>
      <c r="W444" s="371"/>
      <c r="X444" s="371"/>
      <c r="Y444" s="371"/>
      <c r="Z444" s="371"/>
    </row>
    <row r="445">
      <c r="A445" s="371"/>
      <c r="B445" s="307"/>
      <c r="C445" s="307"/>
      <c r="D445" s="307"/>
      <c r="E445" s="307"/>
      <c r="F445" s="371"/>
      <c r="G445" s="307"/>
      <c r="H445" s="371"/>
      <c r="I445" s="371"/>
      <c r="J445" s="371"/>
      <c r="K445" s="371"/>
      <c r="L445" s="371"/>
      <c r="M445" s="371"/>
      <c r="N445" s="371"/>
      <c r="O445" s="371"/>
      <c r="P445" s="371"/>
      <c r="Q445" s="371"/>
      <c r="R445" s="371"/>
      <c r="S445" s="371"/>
      <c r="T445" s="371"/>
      <c r="U445" s="371"/>
      <c r="V445" s="371"/>
      <c r="W445" s="371"/>
      <c r="X445" s="371"/>
      <c r="Y445" s="371"/>
      <c r="Z445" s="371"/>
    </row>
    <row r="446">
      <c r="A446" s="371"/>
      <c r="B446" s="307"/>
      <c r="C446" s="307"/>
      <c r="D446" s="307"/>
      <c r="E446" s="307"/>
      <c r="F446" s="371"/>
      <c r="G446" s="307"/>
      <c r="H446" s="371"/>
      <c r="I446" s="371"/>
      <c r="J446" s="371"/>
      <c r="K446" s="371"/>
      <c r="L446" s="371"/>
      <c r="M446" s="371"/>
      <c r="N446" s="371"/>
      <c r="O446" s="371"/>
      <c r="P446" s="371"/>
      <c r="Q446" s="371"/>
      <c r="R446" s="371"/>
      <c r="S446" s="371"/>
      <c r="T446" s="371"/>
      <c r="U446" s="371"/>
      <c r="V446" s="371"/>
      <c r="W446" s="371"/>
      <c r="X446" s="371"/>
      <c r="Y446" s="371"/>
      <c r="Z446" s="371"/>
    </row>
    <row r="447">
      <c r="A447" s="371"/>
      <c r="B447" s="307"/>
      <c r="C447" s="307"/>
      <c r="D447" s="307"/>
      <c r="E447" s="307"/>
      <c r="F447" s="371"/>
      <c r="G447" s="307"/>
      <c r="H447" s="371"/>
      <c r="I447" s="371"/>
      <c r="J447" s="371"/>
      <c r="K447" s="371"/>
      <c r="L447" s="371"/>
      <c r="M447" s="371"/>
      <c r="N447" s="371"/>
      <c r="O447" s="371"/>
      <c r="P447" s="371"/>
      <c r="Q447" s="371"/>
      <c r="R447" s="371"/>
      <c r="S447" s="371"/>
      <c r="T447" s="371"/>
      <c r="U447" s="371"/>
      <c r="V447" s="371"/>
      <c r="W447" s="371"/>
      <c r="X447" s="371"/>
      <c r="Y447" s="371"/>
      <c r="Z447" s="371"/>
    </row>
    <row r="448">
      <c r="A448" s="371"/>
      <c r="B448" s="307"/>
      <c r="C448" s="307"/>
      <c r="D448" s="307"/>
      <c r="E448" s="307"/>
      <c r="F448" s="371"/>
      <c r="G448" s="307"/>
      <c r="H448" s="371"/>
      <c r="I448" s="371"/>
      <c r="J448" s="371"/>
      <c r="K448" s="371"/>
      <c r="L448" s="371"/>
      <c r="M448" s="371"/>
      <c r="N448" s="371"/>
      <c r="O448" s="371"/>
      <c r="P448" s="371"/>
      <c r="Q448" s="371"/>
      <c r="R448" s="371"/>
      <c r="S448" s="371"/>
      <c r="T448" s="371"/>
      <c r="U448" s="371"/>
      <c r="V448" s="371"/>
      <c r="W448" s="371"/>
      <c r="X448" s="371"/>
      <c r="Y448" s="371"/>
      <c r="Z448" s="371"/>
    </row>
    <row r="449">
      <c r="A449" s="371"/>
      <c r="B449" s="307"/>
      <c r="C449" s="307"/>
      <c r="D449" s="307"/>
      <c r="E449" s="307"/>
      <c r="F449" s="371"/>
      <c r="G449" s="307"/>
      <c r="H449" s="371"/>
      <c r="I449" s="371"/>
      <c r="J449" s="371"/>
      <c r="K449" s="371"/>
      <c r="L449" s="371"/>
      <c r="M449" s="371"/>
      <c r="N449" s="371"/>
      <c r="O449" s="371"/>
      <c r="P449" s="371"/>
      <c r="Q449" s="371"/>
      <c r="R449" s="371"/>
      <c r="S449" s="371"/>
      <c r="T449" s="371"/>
      <c r="U449" s="371"/>
      <c r="V449" s="371"/>
      <c r="W449" s="371"/>
      <c r="X449" s="371"/>
      <c r="Y449" s="371"/>
      <c r="Z449" s="371"/>
    </row>
    <row r="450">
      <c r="A450" s="371"/>
      <c r="B450" s="307"/>
      <c r="C450" s="307"/>
      <c r="D450" s="307"/>
      <c r="E450" s="307"/>
      <c r="F450" s="371"/>
      <c r="G450" s="307"/>
      <c r="H450" s="371"/>
      <c r="I450" s="371"/>
      <c r="J450" s="371"/>
      <c r="K450" s="371"/>
      <c r="L450" s="371"/>
      <c r="M450" s="371"/>
      <c r="N450" s="371"/>
      <c r="O450" s="371"/>
      <c r="P450" s="371"/>
      <c r="Q450" s="371"/>
      <c r="R450" s="371"/>
      <c r="S450" s="371"/>
      <c r="T450" s="371"/>
      <c r="U450" s="371"/>
      <c r="V450" s="371"/>
      <c r="W450" s="371"/>
      <c r="X450" s="371"/>
      <c r="Y450" s="371"/>
      <c r="Z450" s="371"/>
    </row>
    <row r="451">
      <c r="A451" s="371"/>
      <c r="B451" s="307"/>
      <c r="C451" s="307"/>
      <c r="D451" s="307"/>
      <c r="E451" s="307"/>
      <c r="F451" s="371"/>
      <c r="G451" s="307"/>
      <c r="H451" s="371"/>
      <c r="I451" s="371"/>
      <c r="J451" s="371"/>
      <c r="K451" s="371"/>
      <c r="L451" s="371"/>
      <c r="M451" s="371"/>
      <c r="N451" s="371"/>
      <c r="O451" s="371"/>
      <c r="P451" s="371"/>
      <c r="Q451" s="371"/>
      <c r="R451" s="371"/>
      <c r="S451" s="371"/>
      <c r="T451" s="371"/>
      <c r="U451" s="371"/>
      <c r="V451" s="371"/>
      <c r="W451" s="371"/>
      <c r="X451" s="371"/>
      <c r="Y451" s="371"/>
      <c r="Z451" s="371"/>
    </row>
    <row r="452">
      <c r="A452" s="371"/>
      <c r="B452" s="307"/>
      <c r="C452" s="307"/>
      <c r="D452" s="307"/>
      <c r="E452" s="307"/>
      <c r="F452" s="371"/>
      <c r="G452" s="307"/>
      <c r="H452" s="371"/>
      <c r="I452" s="371"/>
      <c r="J452" s="371"/>
      <c r="K452" s="371"/>
      <c r="L452" s="371"/>
      <c r="M452" s="371"/>
      <c r="N452" s="371"/>
      <c r="O452" s="371"/>
      <c r="P452" s="371"/>
      <c r="Q452" s="371"/>
      <c r="R452" s="371"/>
      <c r="S452" s="371"/>
      <c r="T452" s="371"/>
      <c r="U452" s="371"/>
      <c r="V452" s="371"/>
      <c r="W452" s="371"/>
      <c r="X452" s="371"/>
      <c r="Y452" s="371"/>
      <c r="Z452" s="371"/>
    </row>
    <row r="453">
      <c r="A453" s="371"/>
      <c r="B453" s="307"/>
      <c r="C453" s="307"/>
      <c r="D453" s="307"/>
      <c r="E453" s="307"/>
      <c r="F453" s="371"/>
      <c r="G453" s="307"/>
      <c r="H453" s="371"/>
      <c r="I453" s="371"/>
      <c r="J453" s="371"/>
      <c r="K453" s="371"/>
      <c r="L453" s="371"/>
      <c r="M453" s="371"/>
      <c r="N453" s="371"/>
      <c r="O453" s="371"/>
      <c r="P453" s="371"/>
      <c r="Q453" s="371"/>
      <c r="R453" s="371"/>
      <c r="S453" s="371"/>
      <c r="T453" s="371"/>
      <c r="U453" s="371"/>
      <c r="V453" s="371"/>
      <c r="W453" s="371"/>
      <c r="X453" s="371"/>
      <c r="Y453" s="371"/>
      <c r="Z453" s="371"/>
    </row>
    <row r="454">
      <c r="A454" s="371"/>
      <c r="B454" s="307"/>
      <c r="C454" s="307"/>
      <c r="D454" s="307"/>
      <c r="E454" s="307"/>
      <c r="F454" s="371"/>
      <c r="G454" s="307"/>
      <c r="H454" s="371"/>
      <c r="I454" s="371"/>
      <c r="J454" s="371"/>
      <c r="K454" s="371"/>
      <c r="L454" s="371"/>
      <c r="M454" s="371"/>
      <c r="N454" s="371"/>
      <c r="O454" s="371"/>
      <c r="P454" s="371"/>
      <c r="Q454" s="371"/>
      <c r="R454" s="371"/>
      <c r="S454" s="371"/>
      <c r="T454" s="371"/>
      <c r="U454" s="371"/>
      <c r="V454" s="371"/>
      <c r="W454" s="371"/>
      <c r="X454" s="371"/>
      <c r="Y454" s="371"/>
      <c r="Z454" s="371"/>
    </row>
    <row r="455">
      <c r="A455" s="371"/>
      <c r="B455" s="307"/>
      <c r="C455" s="307"/>
      <c r="D455" s="307"/>
      <c r="E455" s="307"/>
      <c r="F455" s="371"/>
      <c r="G455" s="307"/>
      <c r="H455" s="371"/>
      <c r="I455" s="371"/>
      <c r="J455" s="371"/>
      <c r="K455" s="371"/>
      <c r="L455" s="371"/>
      <c r="M455" s="371"/>
      <c r="N455" s="371"/>
      <c r="O455" s="371"/>
      <c r="P455" s="371"/>
      <c r="Q455" s="371"/>
      <c r="R455" s="371"/>
      <c r="S455" s="371"/>
      <c r="T455" s="371"/>
      <c r="U455" s="371"/>
      <c r="V455" s="371"/>
      <c r="W455" s="371"/>
      <c r="X455" s="371"/>
      <c r="Y455" s="371"/>
      <c r="Z455" s="371"/>
    </row>
    <row r="456">
      <c r="A456" s="371"/>
      <c r="B456" s="307"/>
      <c r="C456" s="307"/>
      <c r="D456" s="307"/>
      <c r="E456" s="307"/>
      <c r="F456" s="371"/>
      <c r="G456" s="307"/>
      <c r="H456" s="371"/>
      <c r="I456" s="371"/>
      <c r="J456" s="371"/>
      <c r="K456" s="371"/>
      <c r="L456" s="371"/>
      <c r="M456" s="371"/>
      <c r="N456" s="371"/>
      <c r="O456" s="371"/>
      <c r="P456" s="371"/>
      <c r="Q456" s="371"/>
      <c r="R456" s="371"/>
      <c r="S456" s="371"/>
      <c r="T456" s="371"/>
      <c r="U456" s="371"/>
      <c r="V456" s="371"/>
      <c r="W456" s="371"/>
      <c r="X456" s="371"/>
      <c r="Y456" s="371"/>
      <c r="Z456" s="371"/>
    </row>
    <row r="457">
      <c r="A457" s="371"/>
      <c r="B457" s="307"/>
      <c r="C457" s="307"/>
      <c r="D457" s="307"/>
      <c r="E457" s="307"/>
      <c r="F457" s="371"/>
      <c r="G457" s="307"/>
      <c r="H457" s="371"/>
      <c r="I457" s="371"/>
      <c r="J457" s="371"/>
      <c r="K457" s="371"/>
      <c r="L457" s="371"/>
      <c r="M457" s="371"/>
      <c r="N457" s="371"/>
      <c r="O457" s="371"/>
      <c r="P457" s="371"/>
      <c r="Q457" s="371"/>
      <c r="R457" s="371"/>
      <c r="S457" s="371"/>
      <c r="T457" s="371"/>
      <c r="U457" s="371"/>
      <c r="V457" s="371"/>
      <c r="W457" s="371"/>
      <c r="X457" s="371"/>
      <c r="Y457" s="371"/>
      <c r="Z457" s="371"/>
    </row>
    <row r="458">
      <c r="A458" s="371"/>
      <c r="B458" s="307"/>
      <c r="C458" s="307"/>
      <c r="D458" s="307"/>
      <c r="E458" s="307"/>
      <c r="F458" s="371"/>
      <c r="G458" s="307"/>
      <c r="H458" s="371"/>
      <c r="I458" s="371"/>
      <c r="J458" s="371"/>
      <c r="K458" s="371"/>
      <c r="L458" s="371"/>
      <c r="M458" s="371"/>
      <c r="N458" s="371"/>
      <c r="O458" s="371"/>
      <c r="P458" s="371"/>
      <c r="Q458" s="371"/>
      <c r="R458" s="371"/>
      <c r="S458" s="371"/>
      <c r="T458" s="371"/>
      <c r="U458" s="371"/>
      <c r="V458" s="371"/>
      <c r="W458" s="371"/>
      <c r="X458" s="371"/>
      <c r="Y458" s="371"/>
      <c r="Z458" s="371"/>
    </row>
    <row r="459">
      <c r="A459" s="371"/>
      <c r="B459" s="307"/>
      <c r="C459" s="307"/>
      <c r="D459" s="307"/>
      <c r="E459" s="307"/>
      <c r="F459" s="371"/>
      <c r="G459" s="307"/>
      <c r="H459" s="371"/>
      <c r="I459" s="371"/>
      <c r="J459" s="371"/>
      <c r="K459" s="371"/>
      <c r="L459" s="371"/>
      <c r="M459" s="371"/>
      <c r="N459" s="371"/>
      <c r="O459" s="371"/>
      <c r="P459" s="371"/>
      <c r="Q459" s="371"/>
      <c r="R459" s="371"/>
      <c r="S459" s="371"/>
      <c r="T459" s="371"/>
      <c r="U459" s="371"/>
      <c r="V459" s="371"/>
      <c r="W459" s="371"/>
      <c r="X459" s="371"/>
      <c r="Y459" s="371"/>
      <c r="Z459" s="371"/>
    </row>
    <row r="460">
      <c r="A460" s="371"/>
      <c r="B460" s="307"/>
      <c r="C460" s="307"/>
      <c r="D460" s="307"/>
      <c r="E460" s="307"/>
      <c r="F460" s="371"/>
      <c r="G460" s="307"/>
      <c r="H460" s="371"/>
      <c r="I460" s="371"/>
      <c r="J460" s="371"/>
      <c r="K460" s="371"/>
      <c r="L460" s="371"/>
      <c r="M460" s="371"/>
      <c r="N460" s="371"/>
      <c r="O460" s="371"/>
      <c r="P460" s="371"/>
      <c r="Q460" s="371"/>
      <c r="R460" s="371"/>
      <c r="S460" s="371"/>
      <c r="T460" s="371"/>
      <c r="U460" s="371"/>
      <c r="V460" s="371"/>
      <c r="W460" s="371"/>
      <c r="X460" s="371"/>
      <c r="Y460" s="371"/>
      <c r="Z460" s="371"/>
    </row>
    <row r="461">
      <c r="A461" s="371"/>
      <c r="B461" s="307"/>
      <c r="C461" s="307"/>
      <c r="D461" s="307"/>
      <c r="E461" s="307"/>
      <c r="F461" s="371"/>
      <c r="G461" s="307"/>
      <c r="H461" s="371"/>
      <c r="I461" s="371"/>
      <c r="J461" s="371"/>
      <c r="K461" s="371"/>
      <c r="L461" s="371"/>
      <c r="M461" s="371"/>
      <c r="N461" s="371"/>
      <c r="O461" s="371"/>
      <c r="P461" s="371"/>
      <c r="Q461" s="371"/>
      <c r="R461" s="371"/>
      <c r="S461" s="371"/>
      <c r="T461" s="371"/>
      <c r="U461" s="371"/>
      <c r="V461" s="371"/>
      <c r="W461" s="371"/>
      <c r="X461" s="371"/>
      <c r="Y461" s="371"/>
      <c r="Z461" s="371"/>
    </row>
    <row r="462">
      <c r="A462" s="371"/>
      <c r="B462" s="307"/>
      <c r="C462" s="307"/>
      <c r="D462" s="307"/>
      <c r="E462" s="307"/>
      <c r="F462" s="371"/>
      <c r="G462" s="307"/>
      <c r="H462" s="371"/>
      <c r="I462" s="371"/>
      <c r="J462" s="371"/>
      <c r="K462" s="371"/>
      <c r="L462" s="371"/>
      <c r="M462" s="371"/>
      <c r="N462" s="371"/>
      <c r="O462" s="371"/>
      <c r="P462" s="371"/>
      <c r="Q462" s="371"/>
      <c r="R462" s="371"/>
      <c r="S462" s="371"/>
      <c r="T462" s="371"/>
      <c r="U462" s="371"/>
      <c r="V462" s="371"/>
      <c r="W462" s="371"/>
      <c r="X462" s="371"/>
      <c r="Y462" s="371"/>
      <c r="Z462" s="371"/>
    </row>
    <row r="463">
      <c r="A463" s="371"/>
      <c r="B463" s="307"/>
      <c r="C463" s="307"/>
      <c r="D463" s="307"/>
      <c r="E463" s="307"/>
      <c r="F463" s="371"/>
      <c r="G463" s="307"/>
      <c r="H463" s="371"/>
      <c r="I463" s="371"/>
      <c r="J463" s="371"/>
      <c r="K463" s="371"/>
      <c r="L463" s="371"/>
      <c r="M463" s="371"/>
      <c r="N463" s="371"/>
      <c r="O463" s="371"/>
      <c r="P463" s="371"/>
      <c r="Q463" s="371"/>
      <c r="R463" s="371"/>
      <c r="S463" s="371"/>
      <c r="T463" s="371"/>
      <c r="U463" s="371"/>
      <c r="V463" s="371"/>
      <c r="W463" s="371"/>
      <c r="X463" s="371"/>
      <c r="Y463" s="371"/>
      <c r="Z463" s="371"/>
    </row>
    <row r="464">
      <c r="A464" s="371"/>
      <c r="B464" s="307"/>
      <c r="C464" s="307"/>
      <c r="D464" s="307"/>
      <c r="E464" s="307"/>
      <c r="F464" s="371"/>
      <c r="G464" s="307"/>
      <c r="H464" s="371"/>
      <c r="I464" s="371"/>
      <c r="J464" s="371"/>
      <c r="K464" s="371"/>
      <c r="L464" s="371"/>
      <c r="M464" s="371"/>
      <c r="N464" s="371"/>
      <c r="O464" s="371"/>
      <c r="P464" s="371"/>
      <c r="Q464" s="371"/>
      <c r="R464" s="371"/>
      <c r="S464" s="371"/>
      <c r="T464" s="371"/>
      <c r="U464" s="371"/>
      <c r="V464" s="371"/>
      <c r="W464" s="371"/>
      <c r="X464" s="371"/>
      <c r="Y464" s="371"/>
      <c r="Z464" s="371"/>
    </row>
    <row r="465">
      <c r="A465" s="371"/>
      <c r="B465" s="307"/>
      <c r="C465" s="307"/>
      <c r="D465" s="307"/>
      <c r="E465" s="307"/>
      <c r="F465" s="371"/>
      <c r="G465" s="307"/>
      <c r="H465" s="371"/>
      <c r="I465" s="371"/>
      <c r="J465" s="371"/>
      <c r="K465" s="371"/>
      <c r="L465" s="371"/>
      <c r="M465" s="371"/>
      <c r="N465" s="371"/>
      <c r="O465" s="371"/>
      <c r="P465" s="371"/>
      <c r="Q465" s="371"/>
      <c r="R465" s="371"/>
      <c r="S465" s="371"/>
      <c r="T465" s="371"/>
      <c r="U465" s="371"/>
      <c r="V465" s="371"/>
      <c r="W465" s="371"/>
      <c r="X465" s="371"/>
      <c r="Y465" s="371"/>
      <c r="Z465" s="371"/>
    </row>
    <row r="466">
      <c r="A466" s="371"/>
      <c r="B466" s="307"/>
      <c r="C466" s="307"/>
      <c r="D466" s="307"/>
      <c r="E466" s="307"/>
      <c r="F466" s="371"/>
      <c r="G466" s="307"/>
      <c r="H466" s="371"/>
      <c r="I466" s="371"/>
      <c r="J466" s="371"/>
      <c r="K466" s="371"/>
      <c r="L466" s="371"/>
      <c r="M466" s="371"/>
      <c r="N466" s="371"/>
      <c r="O466" s="371"/>
      <c r="P466" s="371"/>
      <c r="Q466" s="371"/>
      <c r="R466" s="371"/>
      <c r="S466" s="371"/>
      <c r="T466" s="371"/>
      <c r="U466" s="371"/>
      <c r="V466" s="371"/>
      <c r="W466" s="371"/>
      <c r="X466" s="371"/>
      <c r="Y466" s="371"/>
      <c r="Z466" s="371"/>
    </row>
    <row r="467">
      <c r="A467" s="371"/>
      <c r="B467" s="307"/>
      <c r="C467" s="307"/>
      <c r="D467" s="307"/>
      <c r="E467" s="307"/>
      <c r="F467" s="371"/>
      <c r="G467" s="307"/>
      <c r="H467" s="371"/>
      <c r="I467" s="371"/>
      <c r="J467" s="371"/>
      <c r="K467" s="371"/>
      <c r="L467" s="371"/>
      <c r="M467" s="371"/>
      <c r="N467" s="371"/>
      <c r="O467" s="371"/>
      <c r="P467" s="371"/>
      <c r="Q467" s="371"/>
      <c r="R467" s="371"/>
      <c r="S467" s="371"/>
      <c r="T467" s="371"/>
      <c r="U467" s="371"/>
      <c r="V467" s="371"/>
      <c r="W467" s="371"/>
      <c r="X467" s="371"/>
      <c r="Y467" s="371"/>
      <c r="Z467" s="371"/>
    </row>
    <row r="468">
      <c r="A468" s="371"/>
      <c r="B468" s="307"/>
      <c r="C468" s="307"/>
      <c r="D468" s="307"/>
      <c r="E468" s="307"/>
      <c r="F468" s="371"/>
      <c r="G468" s="307"/>
      <c r="H468" s="371"/>
      <c r="I468" s="371"/>
      <c r="J468" s="371"/>
      <c r="K468" s="371"/>
      <c r="L468" s="371"/>
      <c r="M468" s="371"/>
      <c r="N468" s="371"/>
      <c r="O468" s="371"/>
      <c r="P468" s="371"/>
      <c r="Q468" s="371"/>
      <c r="R468" s="371"/>
      <c r="S468" s="371"/>
      <c r="T468" s="371"/>
      <c r="U468" s="371"/>
      <c r="V468" s="371"/>
      <c r="W468" s="371"/>
      <c r="X468" s="371"/>
      <c r="Y468" s="371"/>
      <c r="Z468" s="371"/>
    </row>
    <row r="469">
      <c r="A469" s="371"/>
      <c r="B469" s="307"/>
      <c r="C469" s="307"/>
      <c r="D469" s="307"/>
      <c r="E469" s="307"/>
      <c r="F469" s="371"/>
      <c r="G469" s="307"/>
      <c r="H469" s="371"/>
      <c r="I469" s="371"/>
      <c r="J469" s="371"/>
      <c r="K469" s="371"/>
      <c r="L469" s="371"/>
      <c r="M469" s="371"/>
      <c r="N469" s="371"/>
      <c r="O469" s="371"/>
      <c r="P469" s="371"/>
      <c r="Q469" s="371"/>
      <c r="R469" s="371"/>
      <c r="S469" s="371"/>
      <c r="T469" s="371"/>
      <c r="U469" s="371"/>
      <c r="V469" s="371"/>
      <c r="W469" s="371"/>
      <c r="X469" s="371"/>
      <c r="Y469" s="371"/>
      <c r="Z469" s="371"/>
    </row>
    <row r="470">
      <c r="A470" s="371"/>
      <c r="B470" s="307"/>
      <c r="C470" s="307"/>
      <c r="D470" s="307"/>
      <c r="E470" s="307"/>
      <c r="F470" s="371"/>
      <c r="G470" s="307"/>
      <c r="H470" s="371"/>
      <c r="I470" s="371"/>
      <c r="J470" s="371"/>
      <c r="K470" s="371"/>
      <c r="L470" s="371"/>
      <c r="M470" s="371"/>
      <c r="N470" s="371"/>
      <c r="O470" s="371"/>
      <c r="P470" s="371"/>
      <c r="Q470" s="371"/>
      <c r="R470" s="371"/>
      <c r="S470" s="371"/>
      <c r="T470" s="371"/>
      <c r="U470" s="371"/>
      <c r="V470" s="371"/>
      <c r="W470" s="371"/>
      <c r="X470" s="371"/>
      <c r="Y470" s="371"/>
      <c r="Z470" s="371"/>
    </row>
    <row r="471">
      <c r="A471" s="371"/>
      <c r="B471" s="307"/>
      <c r="C471" s="307"/>
      <c r="D471" s="307"/>
      <c r="E471" s="307"/>
      <c r="F471" s="371"/>
      <c r="G471" s="307"/>
      <c r="H471" s="371"/>
      <c r="I471" s="371"/>
      <c r="J471" s="371"/>
      <c r="K471" s="371"/>
      <c r="L471" s="371"/>
      <c r="M471" s="371"/>
      <c r="N471" s="371"/>
      <c r="O471" s="371"/>
      <c r="P471" s="371"/>
      <c r="Q471" s="371"/>
      <c r="R471" s="371"/>
      <c r="S471" s="371"/>
      <c r="T471" s="371"/>
      <c r="U471" s="371"/>
      <c r="V471" s="371"/>
      <c r="W471" s="371"/>
      <c r="X471" s="371"/>
      <c r="Y471" s="371"/>
      <c r="Z471" s="371"/>
    </row>
    <row r="472">
      <c r="A472" s="371"/>
      <c r="B472" s="307"/>
      <c r="C472" s="307"/>
      <c r="D472" s="307"/>
      <c r="E472" s="307"/>
      <c r="F472" s="371"/>
      <c r="G472" s="307"/>
      <c r="H472" s="371"/>
      <c r="I472" s="371"/>
      <c r="J472" s="371"/>
      <c r="K472" s="371"/>
      <c r="L472" s="371"/>
      <c r="M472" s="371"/>
      <c r="N472" s="371"/>
      <c r="O472" s="371"/>
      <c r="P472" s="371"/>
      <c r="Q472" s="371"/>
      <c r="R472" s="371"/>
      <c r="S472" s="371"/>
      <c r="T472" s="371"/>
      <c r="U472" s="371"/>
      <c r="V472" s="371"/>
      <c r="W472" s="371"/>
      <c r="X472" s="371"/>
      <c r="Y472" s="371"/>
      <c r="Z472" s="371"/>
    </row>
    <row r="473">
      <c r="A473" s="371"/>
      <c r="B473" s="307"/>
      <c r="C473" s="307"/>
      <c r="D473" s="307"/>
      <c r="E473" s="307"/>
      <c r="F473" s="371"/>
      <c r="G473" s="307"/>
      <c r="H473" s="371"/>
      <c r="I473" s="371"/>
      <c r="J473" s="371"/>
      <c r="K473" s="371"/>
      <c r="L473" s="371"/>
      <c r="M473" s="371"/>
      <c r="N473" s="371"/>
      <c r="O473" s="371"/>
      <c r="P473" s="371"/>
      <c r="Q473" s="371"/>
      <c r="R473" s="371"/>
      <c r="S473" s="371"/>
      <c r="T473" s="371"/>
      <c r="U473" s="371"/>
      <c r="V473" s="371"/>
      <c r="W473" s="371"/>
      <c r="X473" s="371"/>
      <c r="Y473" s="371"/>
      <c r="Z473" s="371"/>
    </row>
    <row r="474">
      <c r="A474" s="371"/>
      <c r="B474" s="307"/>
      <c r="C474" s="307"/>
      <c r="D474" s="307"/>
      <c r="E474" s="307"/>
      <c r="F474" s="371"/>
      <c r="G474" s="307"/>
      <c r="H474" s="371"/>
      <c r="I474" s="371"/>
      <c r="J474" s="371"/>
      <c r="K474" s="371"/>
      <c r="L474" s="371"/>
      <c r="M474" s="371"/>
      <c r="N474" s="371"/>
      <c r="O474" s="371"/>
      <c r="P474" s="371"/>
      <c r="Q474" s="371"/>
      <c r="R474" s="371"/>
      <c r="S474" s="371"/>
      <c r="T474" s="371"/>
      <c r="U474" s="371"/>
      <c r="V474" s="371"/>
      <c r="W474" s="371"/>
      <c r="X474" s="371"/>
      <c r="Y474" s="371"/>
      <c r="Z474" s="371"/>
    </row>
    <row r="475">
      <c r="A475" s="371"/>
      <c r="B475" s="307"/>
      <c r="C475" s="307"/>
      <c r="D475" s="307"/>
      <c r="E475" s="307"/>
      <c r="F475" s="371"/>
      <c r="G475" s="307"/>
      <c r="H475" s="371"/>
      <c r="I475" s="371"/>
      <c r="J475" s="371"/>
      <c r="K475" s="371"/>
      <c r="L475" s="371"/>
      <c r="M475" s="371"/>
      <c r="N475" s="371"/>
      <c r="O475" s="371"/>
      <c r="P475" s="371"/>
      <c r="Q475" s="371"/>
      <c r="R475" s="371"/>
      <c r="S475" s="371"/>
      <c r="T475" s="371"/>
      <c r="U475" s="371"/>
      <c r="V475" s="371"/>
      <c r="W475" s="371"/>
      <c r="X475" s="371"/>
      <c r="Y475" s="371"/>
      <c r="Z475" s="371"/>
    </row>
    <row r="476">
      <c r="A476" s="371"/>
      <c r="B476" s="307"/>
      <c r="C476" s="307"/>
      <c r="D476" s="307"/>
      <c r="E476" s="307"/>
      <c r="F476" s="371"/>
      <c r="G476" s="307"/>
      <c r="H476" s="371"/>
      <c r="I476" s="371"/>
      <c r="J476" s="371"/>
      <c r="K476" s="371"/>
      <c r="L476" s="371"/>
      <c r="M476" s="371"/>
      <c r="N476" s="371"/>
      <c r="O476" s="371"/>
      <c r="P476" s="371"/>
      <c r="Q476" s="371"/>
      <c r="R476" s="371"/>
      <c r="S476" s="371"/>
      <c r="T476" s="371"/>
      <c r="U476" s="371"/>
      <c r="V476" s="371"/>
      <c r="W476" s="371"/>
      <c r="X476" s="371"/>
      <c r="Y476" s="371"/>
      <c r="Z476" s="371"/>
    </row>
    <row r="477">
      <c r="A477" s="371"/>
      <c r="B477" s="307"/>
      <c r="C477" s="307"/>
      <c r="D477" s="307"/>
      <c r="E477" s="307"/>
      <c r="F477" s="371"/>
      <c r="G477" s="307"/>
      <c r="H477" s="371"/>
      <c r="I477" s="371"/>
      <c r="J477" s="371"/>
      <c r="K477" s="371"/>
      <c r="L477" s="371"/>
      <c r="M477" s="371"/>
      <c r="N477" s="371"/>
      <c r="O477" s="371"/>
      <c r="P477" s="371"/>
      <c r="Q477" s="371"/>
      <c r="R477" s="371"/>
      <c r="S477" s="371"/>
      <c r="T477" s="371"/>
      <c r="U477" s="371"/>
      <c r="V477" s="371"/>
      <c r="W477" s="371"/>
      <c r="X477" s="371"/>
      <c r="Y477" s="371"/>
      <c r="Z477" s="371"/>
    </row>
    <row r="478">
      <c r="A478" s="371"/>
      <c r="B478" s="307"/>
      <c r="C478" s="307"/>
      <c r="D478" s="307"/>
      <c r="E478" s="307"/>
      <c r="F478" s="371"/>
      <c r="G478" s="307"/>
      <c r="H478" s="371"/>
      <c r="I478" s="371"/>
      <c r="J478" s="371"/>
      <c r="K478" s="371"/>
      <c r="L478" s="371"/>
      <c r="M478" s="371"/>
      <c r="N478" s="371"/>
      <c r="O478" s="371"/>
      <c r="P478" s="371"/>
      <c r="Q478" s="371"/>
      <c r="R478" s="371"/>
      <c r="S478" s="371"/>
      <c r="T478" s="371"/>
      <c r="U478" s="371"/>
      <c r="V478" s="371"/>
      <c r="W478" s="371"/>
      <c r="X478" s="371"/>
      <c r="Y478" s="371"/>
      <c r="Z478" s="371"/>
    </row>
    <row r="479">
      <c r="A479" s="371"/>
      <c r="B479" s="307"/>
      <c r="C479" s="307"/>
      <c r="D479" s="307"/>
      <c r="E479" s="307"/>
      <c r="F479" s="371"/>
      <c r="G479" s="307"/>
      <c r="H479" s="371"/>
      <c r="I479" s="371"/>
      <c r="J479" s="371"/>
      <c r="K479" s="371"/>
      <c r="L479" s="371"/>
      <c r="M479" s="371"/>
      <c r="N479" s="371"/>
      <c r="O479" s="371"/>
      <c r="P479" s="371"/>
      <c r="Q479" s="371"/>
      <c r="R479" s="371"/>
      <c r="S479" s="371"/>
      <c r="T479" s="371"/>
      <c r="U479" s="371"/>
      <c r="V479" s="371"/>
      <c r="W479" s="371"/>
      <c r="X479" s="371"/>
      <c r="Y479" s="371"/>
      <c r="Z479" s="371"/>
    </row>
    <row r="480">
      <c r="A480" s="371"/>
      <c r="B480" s="307"/>
      <c r="C480" s="307"/>
      <c r="D480" s="307"/>
      <c r="E480" s="307"/>
      <c r="F480" s="371"/>
      <c r="G480" s="307"/>
      <c r="H480" s="371"/>
      <c r="I480" s="371"/>
      <c r="J480" s="371"/>
      <c r="K480" s="371"/>
      <c r="L480" s="371"/>
      <c r="M480" s="371"/>
      <c r="N480" s="371"/>
      <c r="O480" s="371"/>
      <c r="P480" s="371"/>
      <c r="Q480" s="371"/>
      <c r="R480" s="371"/>
      <c r="S480" s="371"/>
      <c r="T480" s="371"/>
      <c r="U480" s="371"/>
      <c r="V480" s="371"/>
      <c r="W480" s="371"/>
      <c r="X480" s="371"/>
      <c r="Y480" s="371"/>
      <c r="Z480" s="371"/>
    </row>
    <row r="481">
      <c r="A481" s="371"/>
      <c r="B481" s="307"/>
      <c r="C481" s="307"/>
      <c r="D481" s="307"/>
      <c r="E481" s="307"/>
      <c r="F481" s="371"/>
      <c r="G481" s="307"/>
      <c r="H481" s="371"/>
      <c r="I481" s="371"/>
      <c r="J481" s="371"/>
      <c r="K481" s="371"/>
      <c r="L481" s="371"/>
      <c r="M481" s="371"/>
      <c r="N481" s="371"/>
      <c r="O481" s="371"/>
      <c r="P481" s="371"/>
      <c r="Q481" s="371"/>
      <c r="R481" s="371"/>
      <c r="S481" s="371"/>
      <c r="T481" s="371"/>
      <c r="U481" s="371"/>
      <c r="V481" s="371"/>
      <c r="W481" s="371"/>
      <c r="X481" s="371"/>
      <c r="Y481" s="371"/>
      <c r="Z481" s="371"/>
    </row>
    <row r="482">
      <c r="A482" s="371"/>
      <c r="B482" s="307"/>
      <c r="C482" s="307"/>
      <c r="D482" s="307"/>
      <c r="E482" s="307"/>
      <c r="F482" s="371"/>
      <c r="G482" s="307"/>
      <c r="H482" s="371"/>
      <c r="I482" s="371"/>
      <c r="J482" s="371"/>
      <c r="K482" s="371"/>
      <c r="L482" s="371"/>
      <c r="M482" s="371"/>
      <c r="N482" s="371"/>
      <c r="O482" s="371"/>
      <c r="P482" s="371"/>
      <c r="Q482" s="371"/>
      <c r="R482" s="371"/>
      <c r="S482" s="371"/>
      <c r="T482" s="371"/>
      <c r="U482" s="371"/>
      <c r="V482" s="371"/>
      <c r="W482" s="371"/>
      <c r="X482" s="371"/>
      <c r="Y482" s="371"/>
      <c r="Z482" s="371"/>
    </row>
    <row r="483">
      <c r="A483" s="371"/>
      <c r="B483" s="307"/>
      <c r="C483" s="307"/>
      <c r="D483" s="307"/>
      <c r="E483" s="307"/>
      <c r="F483" s="371"/>
      <c r="G483" s="307"/>
      <c r="H483" s="371"/>
      <c r="I483" s="371"/>
      <c r="J483" s="371"/>
      <c r="K483" s="371"/>
      <c r="L483" s="371"/>
      <c r="M483" s="371"/>
      <c r="N483" s="371"/>
      <c r="O483" s="371"/>
      <c r="P483" s="371"/>
      <c r="Q483" s="371"/>
      <c r="R483" s="371"/>
      <c r="S483" s="371"/>
      <c r="T483" s="371"/>
      <c r="U483" s="371"/>
      <c r="V483" s="371"/>
      <c r="W483" s="371"/>
      <c r="X483" s="371"/>
      <c r="Y483" s="371"/>
      <c r="Z483" s="371"/>
    </row>
    <row r="484">
      <c r="A484" s="371"/>
      <c r="B484" s="307"/>
      <c r="C484" s="307"/>
      <c r="D484" s="307"/>
      <c r="E484" s="307"/>
      <c r="F484" s="371"/>
      <c r="G484" s="307"/>
      <c r="H484" s="371"/>
      <c r="I484" s="371"/>
      <c r="J484" s="371"/>
      <c r="K484" s="371"/>
      <c r="L484" s="371"/>
      <c r="M484" s="371"/>
      <c r="N484" s="371"/>
      <c r="O484" s="371"/>
      <c r="P484" s="371"/>
      <c r="Q484" s="371"/>
      <c r="R484" s="371"/>
      <c r="S484" s="371"/>
      <c r="T484" s="371"/>
      <c r="U484" s="371"/>
      <c r="V484" s="371"/>
      <c r="W484" s="371"/>
      <c r="X484" s="371"/>
      <c r="Y484" s="371"/>
      <c r="Z484" s="371"/>
    </row>
    <row r="485">
      <c r="A485" s="371"/>
      <c r="B485" s="307"/>
      <c r="C485" s="307"/>
      <c r="D485" s="307"/>
      <c r="E485" s="307"/>
      <c r="F485" s="371"/>
      <c r="G485" s="307"/>
      <c r="H485" s="371"/>
      <c r="I485" s="371"/>
      <c r="J485" s="371"/>
      <c r="K485" s="371"/>
      <c r="L485" s="371"/>
      <c r="M485" s="371"/>
      <c r="N485" s="371"/>
      <c r="O485" s="371"/>
      <c r="P485" s="371"/>
      <c r="Q485" s="371"/>
      <c r="R485" s="371"/>
      <c r="S485" s="371"/>
      <c r="T485" s="371"/>
      <c r="U485" s="371"/>
      <c r="V485" s="371"/>
      <c r="W485" s="371"/>
      <c r="X485" s="371"/>
      <c r="Y485" s="371"/>
      <c r="Z485" s="371"/>
    </row>
    <row r="486">
      <c r="A486" s="371"/>
      <c r="B486" s="307"/>
      <c r="C486" s="307"/>
      <c r="D486" s="307"/>
      <c r="E486" s="307"/>
      <c r="F486" s="371"/>
      <c r="G486" s="307"/>
      <c r="H486" s="371"/>
      <c r="I486" s="371"/>
      <c r="J486" s="371"/>
      <c r="K486" s="371"/>
      <c r="L486" s="371"/>
      <c r="M486" s="371"/>
      <c r="N486" s="371"/>
      <c r="O486" s="371"/>
      <c r="P486" s="371"/>
      <c r="Q486" s="371"/>
      <c r="R486" s="371"/>
      <c r="S486" s="371"/>
      <c r="T486" s="371"/>
      <c r="U486" s="371"/>
      <c r="V486" s="371"/>
      <c r="W486" s="371"/>
      <c r="X486" s="371"/>
      <c r="Y486" s="371"/>
      <c r="Z486" s="371"/>
    </row>
    <row r="487">
      <c r="A487" s="371"/>
      <c r="B487" s="307"/>
      <c r="C487" s="307"/>
      <c r="D487" s="307"/>
      <c r="E487" s="307"/>
      <c r="F487" s="371"/>
      <c r="G487" s="307"/>
      <c r="H487" s="371"/>
      <c r="I487" s="371"/>
      <c r="J487" s="371"/>
      <c r="K487" s="371"/>
      <c r="L487" s="371"/>
      <c r="M487" s="371"/>
      <c r="N487" s="371"/>
      <c r="O487" s="371"/>
      <c r="P487" s="371"/>
      <c r="Q487" s="371"/>
      <c r="R487" s="371"/>
      <c r="S487" s="371"/>
      <c r="T487" s="371"/>
      <c r="U487" s="371"/>
      <c r="V487" s="371"/>
      <c r="W487" s="371"/>
      <c r="X487" s="371"/>
      <c r="Y487" s="371"/>
      <c r="Z487" s="371"/>
    </row>
    <row r="488">
      <c r="A488" s="371"/>
      <c r="B488" s="307"/>
      <c r="C488" s="307"/>
      <c r="D488" s="307"/>
      <c r="E488" s="307"/>
      <c r="F488" s="371"/>
      <c r="G488" s="307"/>
      <c r="H488" s="371"/>
      <c r="I488" s="371"/>
      <c r="J488" s="371"/>
      <c r="K488" s="371"/>
      <c r="L488" s="371"/>
      <c r="M488" s="371"/>
      <c r="N488" s="371"/>
      <c r="O488" s="371"/>
      <c r="P488" s="371"/>
      <c r="Q488" s="371"/>
      <c r="R488" s="371"/>
      <c r="S488" s="371"/>
      <c r="T488" s="371"/>
      <c r="U488" s="371"/>
      <c r="V488" s="371"/>
      <c r="W488" s="371"/>
      <c r="X488" s="371"/>
      <c r="Y488" s="371"/>
      <c r="Z488" s="371"/>
    </row>
    <row r="489">
      <c r="A489" s="371"/>
      <c r="B489" s="307"/>
      <c r="C489" s="307"/>
      <c r="D489" s="307"/>
      <c r="E489" s="307"/>
      <c r="F489" s="371"/>
      <c r="G489" s="307"/>
      <c r="H489" s="371"/>
      <c r="I489" s="371"/>
      <c r="J489" s="371"/>
      <c r="K489" s="371"/>
      <c r="L489" s="371"/>
      <c r="M489" s="371"/>
      <c r="N489" s="371"/>
      <c r="O489" s="371"/>
      <c r="P489" s="371"/>
      <c r="Q489" s="371"/>
      <c r="R489" s="371"/>
      <c r="S489" s="371"/>
      <c r="T489" s="371"/>
      <c r="U489" s="371"/>
      <c r="V489" s="371"/>
      <c r="W489" s="371"/>
      <c r="X489" s="371"/>
      <c r="Y489" s="371"/>
      <c r="Z489" s="371"/>
    </row>
    <row r="490">
      <c r="A490" s="371"/>
      <c r="B490" s="307"/>
      <c r="C490" s="307"/>
      <c r="D490" s="307"/>
      <c r="E490" s="307"/>
      <c r="F490" s="371"/>
      <c r="G490" s="307"/>
      <c r="H490" s="371"/>
      <c r="I490" s="371"/>
      <c r="J490" s="371"/>
      <c r="K490" s="371"/>
      <c r="L490" s="371"/>
      <c r="M490" s="371"/>
      <c r="N490" s="371"/>
      <c r="O490" s="371"/>
      <c r="P490" s="371"/>
      <c r="Q490" s="371"/>
      <c r="R490" s="371"/>
      <c r="S490" s="371"/>
      <c r="T490" s="371"/>
      <c r="U490" s="371"/>
      <c r="V490" s="371"/>
      <c r="W490" s="371"/>
      <c r="X490" s="371"/>
      <c r="Y490" s="371"/>
      <c r="Z490" s="371"/>
    </row>
    <row r="491">
      <c r="A491" s="371"/>
      <c r="B491" s="307"/>
      <c r="C491" s="307"/>
      <c r="D491" s="307"/>
      <c r="E491" s="307"/>
      <c r="F491" s="371"/>
      <c r="G491" s="307"/>
      <c r="H491" s="371"/>
      <c r="I491" s="371"/>
      <c r="J491" s="371"/>
      <c r="K491" s="371"/>
      <c r="L491" s="371"/>
      <c r="M491" s="371"/>
      <c r="N491" s="371"/>
      <c r="O491" s="371"/>
      <c r="P491" s="371"/>
      <c r="Q491" s="371"/>
      <c r="R491" s="371"/>
      <c r="S491" s="371"/>
      <c r="T491" s="371"/>
      <c r="U491" s="371"/>
      <c r="V491" s="371"/>
      <c r="W491" s="371"/>
      <c r="X491" s="371"/>
      <c r="Y491" s="371"/>
      <c r="Z491" s="371"/>
    </row>
    <row r="492">
      <c r="A492" s="371"/>
      <c r="B492" s="307"/>
      <c r="C492" s="307"/>
      <c r="D492" s="307"/>
      <c r="E492" s="307"/>
      <c r="F492" s="371"/>
      <c r="G492" s="307"/>
      <c r="H492" s="371"/>
      <c r="I492" s="371"/>
      <c r="J492" s="371"/>
      <c r="K492" s="371"/>
      <c r="L492" s="371"/>
      <c r="M492" s="371"/>
      <c r="N492" s="371"/>
      <c r="O492" s="371"/>
      <c r="P492" s="371"/>
      <c r="Q492" s="371"/>
      <c r="R492" s="371"/>
      <c r="S492" s="371"/>
      <c r="T492" s="371"/>
      <c r="U492" s="371"/>
      <c r="V492" s="371"/>
      <c r="W492" s="371"/>
      <c r="X492" s="371"/>
      <c r="Y492" s="371"/>
      <c r="Z492" s="371"/>
    </row>
    <row r="493">
      <c r="A493" s="371"/>
      <c r="B493" s="307"/>
      <c r="C493" s="307"/>
      <c r="D493" s="307"/>
      <c r="E493" s="307"/>
      <c r="F493" s="371"/>
      <c r="G493" s="307"/>
      <c r="H493" s="371"/>
      <c r="I493" s="371"/>
      <c r="J493" s="371"/>
      <c r="K493" s="371"/>
      <c r="L493" s="371"/>
      <c r="M493" s="371"/>
      <c r="N493" s="371"/>
      <c r="O493" s="371"/>
      <c r="P493" s="371"/>
      <c r="Q493" s="371"/>
      <c r="R493" s="371"/>
      <c r="S493" s="371"/>
      <c r="T493" s="371"/>
      <c r="U493" s="371"/>
      <c r="V493" s="371"/>
      <c r="W493" s="371"/>
      <c r="X493" s="371"/>
      <c r="Y493" s="371"/>
      <c r="Z493" s="371"/>
    </row>
    <row r="494">
      <c r="A494" s="371"/>
      <c r="B494" s="307"/>
      <c r="C494" s="307"/>
      <c r="D494" s="307"/>
      <c r="E494" s="307"/>
      <c r="F494" s="371"/>
      <c r="G494" s="307"/>
      <c r="H494" s="371"/>
      <c r="I494" s="371"/>
      <c r="J494" s="371"/>
      <c r="K494" s="371"/>
      <c r="L494" s="371"/>
      <c r="M494" s="371"/>
      <c r="N494" s="371"/>
      <c r="O494" s="371"/>
      <c r="P494" s="371"/>
      <c r="Q494" s="371"/>
      <c r="R494" s="371"/>
      <c r="S494" s="371"/>
      <c r="T494" s="371"/>
      <c r="U494" s="371"/>
      <c r="V494" s="371"/>
      <c r="W494" s="371"/>
      <c r="X494" s="371"/>
      <c r="Y494" s="371"/>
      <c r="Z494" s="371"/>
    </row>
    <row r="495">
      <c r="A495" s="371"/>
      <c r="B495" s="307"/>
      <c r="C495" s="307"/>
      <c r="D495" s="307"/>
      <c r="E495" s="307"/>
      <c r="F495" s="371"/>
      <c r="G495" s="307"/>
      <c r="H495" s="371"/>
      <c r="I495" s="371"/>
      <c r="J495" s="371"/>
      <c r="K495" s="371"/>
      <c r="L495" s="371"/>
      <c r="M495" s="371"/>
      <c r="N495" s="371"/>
      <c r="O495" s="371"/>
      <c r="P495" s="371"/>
      <c r="Q495" s="371"/>
      <c r="R495" s="371"/>
      <c r="S495" s="371"/>
      <c r="T495" s="371"/>
      <c r="U495" s="371"/>
      <c r="V495" s="371"/>
      <c r="W495" s="371"/>
      <c r="X495" s="371"/>
      <c r="Y495" s="371"/>
      <c r="Z495" s="371"/>
    </row>
    <row r="496">
      <c r="A496" s="371"/>
      <c r="B496" s="307"/>
      <c r="C496" s="307"/>
      <c r="D496" s="307"/>
      <c r="E496" s="307"/>
      <c r="F496" s="371"/>
      <c r="G496" s="307"/>
      <c r="H496" s="371"/>
      <c r="I496" s="371"/>
      <c r="J496" s="371"/>
      <c r="K496" s="371"/>
      <c r="L496" s="371"/>
      <c r="M496" s="371"/>
      <c r="N496" s="371"/>
      <c r="O496" s="371"/>
      <c r="P496" s="371"/>
      <c r="Q496" s="371"/>
      <c r="R496" s="371"/>
      <c r="S496" s="371"/>
      <c r="T496" s="371"/>
      <c r="U496" s="371"/>
      <c r="V496" s="371"/>
      <c r="W496" s="371"/>
      <c r="X496" s="371"/>
      <c r="Y496" s="371"/>
      <c r="Z496" s="371"/>
    </row>
    <row r="497">
      <c r="A497" s="371"/>
      <c r="B497" s="307"/>
      <c r="C497" s="307"/>
      <c r="D497" s="307"/>
      <c r="E497" s="307"/>
      <c r="F497" s="371"/>
      <c r="G497" s="307"/>
      <c r="H497" s="371"/>
      <c r="I497" s="371"/>
      <c r="J497" s="371"/>
      <c r="K497" s="371"/>
      <c r="L497" s="371"/>
      <c r="M497" s="371"/>
      <c r="N497" s="371"/>
      <c r="O497" s="371"/>
      <c r="P497" s="371"/>
      <c r="Q497" s="371"/>
      <c r="R497" s="371"/>
      <c r="S497" s="371"/>
      <c r="T497" s="371"/>
      <c r="U497" s="371"/>
      <c r="V497" s="371"/>
      <c r="W497" s="371"/>
      <c r="X497" s="371"/>
      <c r="Y497" s="371"/>
      <c r="Z497" s="371"/>
    </row>
    <row r="498">
      <c r="A498" s="371"/>
      <c r="B498" s="307"/>
      <c r="C498" s="307"/>
      <c r="D498" s="307"/>
      <c r="E498" s="307"/>
      <c r="F498" s="371"/>
      <c r="G498" s="307"/>
      <c r="H498" s="371"/>
      <c r="I498" s="371"/>
      <c r="J498" s="371"/>
      <c r="K498" s="371"/>
      <c r="L498" s="371"/>
      <c r="M498" s="371"/>
      <c r="N498" s="371"/>
      <c r="O498" s="371"/>
      <c r="P498" s="371"/>
      <c r="Q498" s="371"/>
      <c r="R498" s="371"/>
      <c r="S498" s="371"/>
      <c r="T498" s="371"/>
      <c r="U498" s="371"/>
      <c r="V498" s="371"/>
      <c r="W498" s="371"/>
      <c r="X498" s="371"/>
      <c r="Y498" s="371"/>
      <c r="Z498" s="371"/>
    </row>
    <row r="499">
      <c r="A499" s="371"/>
      <c r="B499" s="307"/>
      <c r="C499" s="307"/>
      <c r="D499" s="307"/>
      <c r="E499" s="307"/>
      <c r="F499" s="371"/>
      <c r="G499" s="307"/>
      <c r="H499" s="371"/>
      <c r="I499" s="371"/>
      <c r="J499" s="371"/>
      <c r="K499" s="371"/>
      <c r="L499" s="371"/>
      <c r="M499" s="371"/>
      <c r="N499" s="371"/>
      <c r="O499" s="371"/>
      <c r="P499" s="371"/>
      <c r="Q499" s="371"/>
      <c r="R499" s="371"/>
      <c r="S499" s="371"/>
      <c r="T499" s="371"/>
      <c r="U499" s="371"/>
      <c r="V499" s="371"/>
      <c r="W499" s="371"/>
      <c r="X499" s="371"/>
      <c r="Y499" s="371"/>
      <c r="Z499" s="371"/>
    </row>
    <row r="500">
      <c r="A500" s="371"/>
      <c r="B500" s="307"/>
      <c r="C500" s="307"/>
      <c r="D500" s="307"/>
      <c r="E500" s="307"/>
      <c r="F500" s="371"/>
      <c r="G500" s="307"/>
      <c r="H500" s="371"/>
      <c r="I500" s="371"/>
      <c r="J500" s="371"/>
      <c r="K500" s="371"/>
      <c r="L500" s="371"/>
      <c r="M500" s="371"/>
      <c r="N500" s="371"/>
      <c r="O500" s="371"/>
      <c r="P500" s="371"/>
      <c r="Q500" s="371"/>
      <c r="R500" s="371"/>
      <c r="S500" s="371"/>
      <c r="T500" s="371"/>
      <c r="U500" s="371"/>
      <c r="V500" s="371"/>
      <c r="W500" s="371"/>
      <c r="X500" s="371"/>
      <c r="Y500" s="371"/>
      <c r="Z500" s="371"/>
    </row>
    <row r="501">
      <c r="A501" s="371"/>
      <c r="B501" s="307"/>
      <c r="C501" s="307"/>
      <c r="D501" s="307"/>
      <c r="E501" s="307"/>
      <c r="F501" s="371"/>
      <c r="G501" s="307"/>
      <c r="H501" s="371"/>
      <c r="I501" s="371"/>
      <c r="J501" s="371"/>
      <c r="K501" s="371"/>
      <c r="L501" s="371"/>
      <c r="M501" s="371"/>
      <c r="N501" s="371"/>
      <c r="O501" s="371"/>
      <c r="P501" s="371"/>
      <c r="Q501" s="371"/>
      <c r="R501" s="371"/>
      <c r="S501" s="371"/>
      <c r="T501" s="371"/>
      <c r="U501" s="371"/>
      <c r="V501" s="371"/>
      <c r="W501" s="371"/>
      <c r="X501" s="371"/>
      <c r="Y501" s="371"/>
      <c r="Z501" s="371"/>
    </row>
    <row r="502">
      <c r="A502" s="371"/>
      <c r="B502" s="307"/>
      <c r="C502" s="307"/>
      <c r="D502" s="307"/>
      <c r="E502" s="307"/>
      <c r="F502" s="371"/>
      <c r="G502" s="307"/>
      <c r="H502" s="371"/>
      <c r="I502" s="371"/>
      <c r="J502" s="371"/>
      <c r="K502" s="371"/>
      <c r="L502" s="371"/>
      <c r="M502" s="371"/>
      <c r="N502" s="371"/>
      <c r="O502" s="371"/>
      <c r="P502" s="371"/>
      <c r="Q502" s="371"/>
      <c r="R502" s="371"/>
      <c r="S502" s="371"/>
      <c r="T502" s="371"/>
      <c r="U502" s="371"/>
      <c r="V502" s="371"/>
      <c r="W502" s="371"/>
      <c r="X502" s="371"/>
      <c r="Y502" s="371"/>
      <c r="Z502" s="371"/>
    </row>
    <row r="503">
      <c r="A503" s="371"/>
      <c r="B503" s="307"/>
      <c r="C503" s="307"/>
      <c r="D503" s="307"/>
      <c r="E503" s="307"/>
      <c r="F503" s="371"/>
      <c r="G503" s="307"/>
      <c r="H503" s="371"/>
      <c r="I503" s="371"/>
      <c r="J503" s="371"/>
      <c r="K503" s="371"/>
      <c r="L503" s="371"/>
      <c r="M503" s="371"/>
      <c r="N503" s="371"/>
      <c r="O503" s="371"/>
      <c r="P503" s="371"/>
      <c r="Q503" s="371"/>
      <c r="R503" s="371"/>
      <c r="S503" s="371"/>
      <c r="T503" s="371"/>
      <c r="U503" s="371"/>
      <c r="V503" s="371"/>
      <c r="W503" s="371"/>
      <c r="X503" s="371"/>
      <c r="Y503" s="371"/>
      <c r="Z503" s="371"/>
    </row>
    <row r="504">
      <c r="A504" s="371"/>
      <c r="B504" s="307"/>
      <c r="C504" s="307"/>
      <c r="D504" s="307"/>
      <c r="E504" s="307"/>
      <c r="F504" s="371"/>
      <c r="G504" s="307"/>
      <c r="H504" s="371"/>
      <c r="I504" s="371"/>
      <c r="J504" s="371"/>
      <c r="K504" s="371"/>
      <c r="L504" s="371"/>
      <c r="M504" s="371"/>
      <c r="N504" s="371"/>
      <c r="O504" s="371"/>
      <c r="P504" s="371"/>
      <c r="Q504" s="371"/>
      <c r="R504" s="371"/>
      <c r="S504" s="371"/>
      <c r="T504" s="371"/>
      <c r="U504" s="371"/>
      <c r="V504" s="371"/>
      <c r="W504" s="371"/>
      <c r="X504" s="371"/>
      <c r="Y504" s="371"/>
      <c r="Z504" s="371"/>
    </row>
    <row r="505">
      <c r="A505" s="371"/>
      <c r="B505" s="307"/>
      <c r="C505" s="307"/>
      <c r="D505" s="307"/>
      <c r="E505" s="307"/>
      <c r="F505" s="371"/>
      <c r="G505" s="307"/>
      <c r="H505" s="371"/>
      <c r="I505" s="371"/>
      <c r="J505" s="371"/>
      <c r="K505" s="371"/>
      <c r="L505" s="371"/>
      <c r="M505" s="371"/>
      <c r="N505" s="371"/>
      <c r="O505" s="371"/>
      <c r="P505" s="371"/>
      <c r="Q505" s="371"/>
      <c r="R505" s="371"/>
      <c r="S505" s="371"/>
      <c r="T505" s="371"/>
      <c r="U505" s="371"/>
      <c r="V505" s="371"/>
      <c r="W505" s="371"/>
      <c r="X505" s="371"/>
      <c r="Y505" s="371"/>
      <c r="Z505" s="371"/>
    </row>
    <row r="506">
      <c r="A506" s="371"/>
      <c r="B506" s="307"/>
      <c r="C506" s="307"/>
      <c r="D506" s="307"/>
      <c r="E506" s="307"/>
      <c r="F506" s="371"/>
      <c r="G506" s="307"/>
      <c r="H506" s="371"/>
      <c r="I506" s="371"/>
      <c r="J506" s="371"/>
      <c r="K506" s="371"/>
      <c r="L506" s="371"/>
      <c r="M506" s="371"/>
      <c r="N506" s="371"/>
      <c r="O506" s="371"/>
      <c r="P506" s="371"/>
      <c r="Q506" s="371"/>
      <c r="R506" s="371"/>
      <c r="S506" s="371"/>
      <c r="T506" s="371"/>
      <c r="U506" s="371"/>
      <c r="V506" s="371"/>
      <c r="W506" s="371"/>
      <c r="X506" s="371"/>
      <c r="Y506" s="371"/>
      <c r="Z506" s="371"/>
    </row>
    <row r="507">
      <c r="A507" s="371"/>
      <c r="B507" s="307"/>
      <c r="C507" s="307"/>
      <c r="D507" s="307"/>
      <c r="E507" s="307"/>
      <c r="F507" s="371"/>
      <c r="G507" s="307"/>
      <c r="H507" s="371"/>
      <c r="I507" s="371"/>
      <c r="J507" s="371"/>
      <c r="K507" s="371"/>
      <c r="L507" s="371"/>
      <c r="M507" s="371"/>
      <c r="N507" s="371"/>
      <c r="O507" s="371"/>
      <c r="P507" s="371"/>
      <c r="Q507" s="371"/>
      <c r="R507" s="371"/>
      <c r="S507" s="371"/>
      <c r="T507" s="371"/>
      <c r="U507" s="371"/>
      <c r="V507" s="371"/>
      <c r="W507" s="371"/>
      <c r="X507" s="371"/>
      <c r="Y507" s="371"/>
      <c r="Z507" s="371"/>
    </row>
    <row r="508">
      <c r="A508" s="371"/>
      <c r="B508" s="307"/>
      <c r="C508" s="307"/>
      <c r="D508" s="307"/>
      <c r="E508" s="307"/>
      <c r="F508" s="371"/>
      <c r="G508" s="307"/>
      <c r="H508" s="371"/>
      <c r="I508" s="371"/>
      <c r="J508" s="371"/>
      <c r="K508" s="371"/>
      <c r="L508" s="371"/>
      <c r="M508" s="371"/>
      <c r="N508" s="371"/>
      <c r="O508" s="371"/>
      <c r="P508" s="371"/>
      <c r="Q508" s="371"/>
      <c r="R508" s="371"/>
      <c r="S508" s="371"/>
      <c r="T508" s="371"/>
      <c r="U508" s="371"/>
      <c r="V508" s="371"/>
      <c r="W508" s="371"/>
      <c r="X508" s="371"/>
      <c r="Y508" s="371"/>
      <c r="Z508" s="371"/>
    </row>
    <row r="509">
      <c r="A509" s="371"/>
      <c r="B509" s="307"/>
      <c r="C509" s="307"/>
      <c r="D509" s="307"/>
      <c r="E509" s="307"/>
      <c r="F509" s="371"/>
      <c r="G509" s="307"/>
      <c r="H509" s="371"/>
      <c r="I509" s="371"/>
      <c r="J509" s="371"/>
      <c r="K509" s="371"/>
      <c r="L509" s="371"/>
      <c r="M509" s="371"/>
      <c r="N509" s="371"/>
      <c r="O509" s="371"/>
      <c r="P509" s="371"/>
      <c r="Q509" s="371"/>
      <c r="R509" s="371"/>
      <c r="S509" s="371"/>
      <c r="T509" s="371"/>
      <c r="U509" s="371"/>
      <c r="V509" s="371"/>
      <c r="W509" s="371"/>
      <c r="X509" s="371"/>
      <c r="Y509" s="371"/>
      <c r="Z509" s="371"/>
    </row>
    <row r="510">
      <c r="A510" s="371"/>
      <c r="B510" s="307"/>
      <c r="C510" s="307"/>
      <c r="D510" s="307"/>
      <c r="E510" s="307"/>
      <c r="F510" s="371"/>
      <c r="G510" s="307"/>
      <c r="H510" s="371"/>
      <c r="I510" s="371"/>
      <c r="J510" s="371"/>
      <c r="K510" s="371"/>
      <c r="L510" s="371"/>
      <c r="M510" s="371"/>
      <c r="N510" s="371"/>
      <c r="O510" s="371"/>
      <c r="P510" s="371"/>
      <c r="Q510" s="371"/>
      <c r="R510" s="371"/>
      <c r="S510" s="371"/>
      <c r="T510" s="371"/>
      <c r="U510" s="371"/>
      <c r="V510" s="371"/>
      <c r="W510" s="371"/>
      <c r="X510" s="371"/>
      <c r="Y510" s="371"/>
      <c r="Z510" s="371"/>
    </row>
    <row r="511">
      <c r="A511" s="371"/>
      <c r="B511" s="307"/>
      <c r="C511" s="307"/>
      <c r="D511" s="307"/>
      <c r="E511" s="307"/>
      <c r="F511" s="371"/>
      <c r="G511" s="307"/>
      <c r="H511" s="371"/>
      <c r="I511" s="371"/>
      <c r="J511" s="371"/>
      <c r="K511" s="371"/>
      <c r="L511" s="371"/>
      <c r="M511" s="371"/>
      <c r="N511" s="371"/>
      <c r="O511" s="371"/>
      <c r="P511" s="371"/>
      <c r="Q511" s="371"/>
      <c r="R511" s="371"/>
      <c r="S511" s="371"/>
      <c r="T511" s="371"/>
      <c r="U511" s="371"/>
      <c r="V511" s="371"/>
      <c r="W511" s="371"/>
      <c r="X511" s="371"/>
      <c r="Y511" s="371"/>
      <c r="Z511" s="371"/>
    </row>
    <row r="512">
      <c r="A512" s="371"/>
      <c r="B512" s="307"/>
      <c r="C512" s="307"/>
      <c r="D512" s="307"/>
      <c r="E512" s="307"/>
      <c r="F512" s="371"/>
      <c r="G512" s="307"/>
      <c r="H512" s="371"/>
      <c r="I512" s="371"/>
      <c r="J512" s="371"/>
      <c r="K512" s="371"/>
      <c r="L512" s="371"/>
      <c r="M512" s="371"/>
      <c r="N512" s="371"/>
      <c r="O512" s="371"/>
      <c r="P512" s="371"/>
      <c r="Q512" s="371"/>
      <c r="R512" s="371"/>
      <c r="S512" s="371"/>
      <c r="T512" s="371"/>
      <c r="U512" s="371"/>
      <c r="V512" s="371"/>
      <c r="W512" s="371"/>
      <c r="X512" s="371"/>
      <c r="Y512" s="371"/>
      <c r="Z512" s="371"/>
    </row>
    <row r="513">
      <c r="A513" s="371"/>
      <c r="B513" s="307"/>
      <c r="C513" s="307"/>
      <c r="D513" s="307"/>
      <c r="E513" s="307"/>
      <c r="F513" s="371"/>
      <c r="G513" s="307"/>
      <c r="H513" s="371"/>
      <c r="I513" s="371"/>
      <c r="J513" s="371"/>
      <c r="K513" s="371"/>
      <c r="L513" s="371"/>
      <c r="M513" s="371"/>
      <c r="N513" s="371"/>
      <c r="O513" s="371"/>
      <c r="P513" s="371"/>
      <c r="Q513" s="371"/>
      <c r="R513" s="371"/>
      <c r="S513" s="371"/>
      <c r="T513" s="371"/>
      <c r="U513" s="371"/>
      <c r="V513" s="371"/>
      <c r="W513" s="371"/>
      <c r="X513" s="371"/>
      <c r="Y513" s="371"/>
      <c r="Z513" s="371"/>
    </row>
    <row r="514">
      <c r="A514" s="371"/>
      <c r="B514" s="307"/>
      <c r="C514" s="307"/>
      <c r="D514" s="307"/>
      <c r="E514" s="307"/>
      <c r="F514" s="371"/>
      <c r="G514" s="307"/>
      <c r="H514" s="371"/>
      <c r="I514" s="371"/>
      <c r="J514" s="371"/>
      <c r="K514" s="371"/>
      <c r="L514" s="371"/>
      <c r="M514" s="371"/>
      <c r="N514" s="371"/>
      <c r="O514" s="371"/>
      <c r="P514" s="371"/>
      <c r="Q514" s="371"/>
      <c r="R514" s="371"/>
      <c r="S514" s="371"/>
      <c r="T514" s="371"/>
      <c r="U514" s="371"/>
      <c r="V514" s="371"/>
      <c r="W514" s="371"/>
      <c r="X514" s="371"/>
      <c r="Y514" s="371"/>
      <c r="Z514" s="371"/>
    </row>
    <row r="515">
      <c r="A515" s="371"/>
      <c r="B515" s="307"/>
      <c r="C515" s="307"/>
      <c r="D515" s="307"/>
      <c r="E515" s="307"/>
      <c r="F515" s="371"/>
      <c r="G515" s="307"/>
      <c r="H515" s="371"/>
      <c r="I515" s="371"/>
      <c r="J515" s="371"/>
      <c r="K515" s="371"/>
      <c r="L515" s="371"/>
      <c r="M515" s="371"/>
      <c r="N515" s="371"/>
      <c r="O515" s="371"/>
      <c r="P515" s="371"/>
      <c r="Q515" s="371"/>
      <c r="R515" s="371"/>
      <c r="S515" s="371"/>
      <c r="T515" s="371"/>
      <c r="U515" s="371"/>
      <c r="V515" s="371"/>
      <c r="W515" s="371"/>
      <c r="X515" s="371"/>
      <c r="Y515" s="371"/>
      <c r="Z515" s="371"/>
    </row>
    <row r="516">
      <c r="A516" s="371"/>
      <c r="B516" s="307"/>
      <c r="C516" s="307"/>
      <c r="D516" s="307"/>
      <c r="E516" s="307"/>
      <c r="F516" s="371"/>
      <c r="G516" s="307"/>
      <c r="H516" s="371"/>
      <c r="I516" s="371"/>
      <c r="J516" s="371"/>
      <c r="K516" s="371"/>
      <c r="L516" s="371"/>
      <c r="M516" s="371"/>
      <c r="N516" s="371"/>
      <c r="O516" s="371"/>
      <c r="P516" s="371"/>
      <c r="Q516" s="371"/>
      <c r="R516" s="371"/>
      <c r="S516" s="371"/>
      <c r="T516" s="371"/>
      <c r="U516" s="371"/>
      <c r="V516" s="371"/>
      <c r="W516" s="371"/>
      <c r="X516" s="371"/>
      <c r="Y516" s="371"/>
      <c r="Z516" s="371"/>
    </row>
    <row r="517">
      <c r="A517" s="371"/>
      <c r="B517" s="307"/>
      <c r="C517" s="307"/>
      <c r="D517" s="307"/>
      <c r="E517" s="307"/>
      <c r="F517" s="371"/>
      <c r="G517" s="307"/>
      <c r="H517" s="371"/>
      <c r="I517" s="371"/>
      <c r="J517" s="371"/>
      <c r="K517" s="371"/>
      <c r="L517" s="371"/>
      <c r="M517" s="371"/>
      <c r="N517" s="371"/>
      <c r="O517" s="371"/>
      <c r="P517" s="371"/>
      <c r="Q517" s="371"/>
      <c r="R517" s="371"/>
      <c r="S517" s="371"/>
      <c r="T517" s="371"/>
      <c r="U517" s="371"/>
      <c r="V517" s="371"/>
      <c r="W517" s="371"/>
      <c r="X517" s="371"/>
      <c r="Y517" s="371"/>
      <c r="Z517" s="371"/>
    </row>
    <row r="518">
      <c r="A518" s="371"/>
      <c r="B518" s="307"/>
      <c r="C518" s="307"/>
      <c r="D518" s="307"/>
      <c r="E518" s="307"/>
      <c r="F518" s="371"/>
      <c r="G518" s="307"/>
      <c r="H518" s="371"/>
      <c r="I518" s="371"/>
      <c r="J518" s="371"/>
      <c r="K518" s="371"/>
      <c r="L518" s="371"/>
      <c r="M518" s="371"/>
      <c r="N518" s="371"/>
      <c r="O518" s="371"/>
      <c r="P518" s="371"/>
      <c r="Q518" s="371"/>
      <c r="R518" s="371"/>
      <c r="S518" s="371"/>
      <c r="T518" s="371"/>
      <c r="U518" s="371"/>
      <c r="V518" s="371"/>
      <c r="W518" s="371"/>
      <c r="X518" s="371"/>
      <c r="Y518" s="371"/>
      <c r="Z518" s="371"/>
    </row>
    <row r="519">
      <c r="A519" s="371"/>
      <c r="B519" s="307"/>
      <c r="C519" s="307"/>
      <c r="D519" s="307"/>
      <c r="E519" s="307"/>
      <c r="F519" s="371"/>
      <c r="G519" s="307"/>
      <c r="H519" s="371"/>
      <c r="I519" s="371"/>
      <c r="J519" s="371"/>
      <c r="K519" s="371"/>
      <c r="L519" s="371"/>
      <c r="M519" s="371"/>
      <c r="N519" s="371"/>
      <c r="O519" s="371"/>
      <c r="P519" s="371"/>
      <c r="Q519" s="371"/>
      <c r="R519" s="371"/>
      <c r="S519" s="371"/>
      <c r="T519" s="371"/>
      <c r="U519" s="371"/>
      <c r="V519" s="371"/>
      <c r="W519" s="371"/>
      <c r="X519" s="371"/>
      <c r="Y519" s="371"/>
      <c r="Z519" s="371"/>
    </row>
    <row r="520">
      <c r="A520" s="371"/>
      <c r="B520" s="307"/>
      <c r="C520" s="307"/>
      <c r="D520" s="307"/>
      <c r="E520" s="307"/>
      <c r="F520" s="371"/>
      <c r="G520" s="307"/>
      <c r="H520" s="371"/>
      <c r="I520" s="371"/>
      <c r="J520" s="371"/>
      <c r="K520" s="371"/>
      <c r="L520" s="371"/>
      <c r="M520" s="371"/>
      <c r="N520" s="371"/>
      <c r="O520" s="371"/>
      <c r="P520" s="371"/>
      <c r="Q520" s="371"/>
      <c r="R520" s="371"/>
      <c r="S520" s="371"/>
      <c r="T520" s="371"/>
      <c r="U520" s="371"/>
      <c r="V520" s="371"/>
      <c r="W520" s="371"/>
      <c r="X520" s="371"/>
      <c r="Y520" s="371"/>
      <c r="Z520" s="371"/>
    </row>
    <row r="521">
      <c r="A521" s="371"/>
      <c r="B521" s="307"/>
      <c r="C521" s="307"/>
      <c r="D521" s="307"/>
      <c r="E521" s="307"/>
      <c r="F521" s="371"/>
      <c r="G521" s="307"/>
      <c r="H521" s="371"/>
      <c r="I521" s="371"/>
      <c r="J521" s="371"/>
      <c r="K521" s="371"/>
      <c r="L521" s="371"/>
      <c r="M521" s="371"/>
      <c r="N521" s="371"/>
      <c r="O521" s="371"/>
      <c r="P521" s="371"/>
      <c r="Q521" s="371"/>
      <c r="R521" s="371"/>
      <c r="S521" s="371"/>
      <c r="T521" s="371"/>
      <c r="U521" s="371"/>
      <c r="V521" s="371"/>
      <c r="W521" s="371"/>
      <c r="X521" s="371"/>
      <c r="Y521" s="371"/>
      <c r="Z521" s="371"/>
    </row>
    <row r="522">
      <c r="A522" s="371"/>
      <c r="B522" s="307"/>
      <c r="C522" s="307"/>
      <c r="D522" s="307"/>
      <c r="E522" s="307"/>
      <c r="F522" s="371"/>
      <c r="G522" s="307"/>
      <c r="H522" s="371"/>
      <c r="I522" s="371"/>
      <c r="J522" s="371"/>
      <c r="K522" s="371"/>
      <c r="L522" s="371"/>
      <c r="M522" s="371"/>
      <c r="N522" s="371"/>
      <c r="O522" s="371"/>
      <c r="P522" s="371"/>
      <c r="Q522" s="371"/>
      <c r="R522" s="371"/>
      <c r="S522" s="371"/>
      <c r="T522" s="371"/>
      <c r="U522" s="371"/>
      <c r="V522" s="371"/>
      <c r="W522" s="371"/>
      <c r="X522" s="371"/>
      <c r="Y522" s="371"/>
      <c r="Z522" s="371"/>
    </row>
    <row r="523">
      <c r="A523" s="371"/>
      <c r="B523" s="307"/>
      <c r="C523" s="307"/>
      <c r="D523" s="307"/>
      <c r="E523" s="307"/>
      <c r="F523" s="371"/>
      <c r="G523" s="307"/>
      <c r="H523" s="371"/>
      <c r="I523" s="371"/>
      <c r="J523" s="371"/>
      <c r="K523" s="371"/>
      <c r="L523" s="371"/>
      <c r="M523" s="371"/>
      <c r="N523" s="371"/>
      <c r="O523" s="371"/>
      <c r="P523" s="371"/>
      <c r="Q523" s="371"/>
      <c r="R523" s="371"/>
      <c r="S523" s="371"/>
      <c r="T523" s="371"/>
      <c r="U523" s="371"/>
      <c r="V523" s="371"/>
      <c r="W523" s="371"/>
      <c r="X523" s="371"/>
      <c r="Y523" s="371"/>
      <c r="Z523" s="371"/>
    </row>
    <row r="524">
      <c r="A524" s="371"/>
      <c r="B524" s="307"/>
      <c r="C524" s="307"/>
      <c r="D524" s="307"/>
      <c r="E524" s="307"/>
      <c r="F524" s="371"/>
      <c r="G524" s="307"/>
      <c r="H524" s="371"/>
      <c r="I524" s="371"/>
      <c r="J524" s="371"/>
      <c r="K524" s="371"/>
      <c r="L524" s="371"/>
      <c r="M524" s="371"/>
      <c r="N524" s="371"/>
      <c r="O524" s="371"/>
      <c r="P524" s="371"/>
      <c r="Q524" s="371"/>
      <c r="R524" s="371"/>
      <c r="S524" s="371"/>
      <c r="T524" s="371"/>
      <c r="U524" s="371"/>
      <c r="V524" s="371"/>
      <c r="W524" s="371"/>
      <c r="X524" s="371"/>
      <c r="Y524" s="371"/>
      <c r="Z524" s="371"/>
    </row>
    <row r="525">
      <c r="A525" s="371"/>
      <c r="B525" s="307"/>
      <c r="C525" s="307"/>
      <c r="D525" s="307"/>
      <c r="E525" s="307"/>
      <c r="F525" s="371"/>
      <c r="G525" s="307"/>
      <c r="H525" s="371"/>
      <c r="I525" s="371"/>
      <c r="J525" s="371"/>
      <c r="K525" s="371"/>
      <c r="L525" s="371"/>
      <c r="M525" s="371"/>
      <c r="N525" s="371"/>
      <c r="O525" s="371"/>
      <c r="P525" s="371"/>
      <c r="Q525" s="371"/>
      <c r="R525" s="371"/>
      <c r="S525" s="371"/>
      <c r="T525" s="371"/>
      <c r="U525" s="371"/>
      <c r="V525" s="371"/>
      <c r="W525" s="371"/>
      <c r="X525" s="371"/>
      <c r="Y525" s="371"/>
      <c r="Z525" s="371"/>
    </row>
    <row r="526">
      <c r="A526" s="371"/>
      <c r="B526" s="307"/>
      <c r="C526" s="307"/>
      <c r="D526" s="307"/>
      <c r="E526" s="307"/>
      <c r="F526" s="371"/>
      <c r="G526" s="307"/>
      <c r="H526" s="371"/>
      <c r="I526" s="371"/>
      <c r="J526" s="371"/>
      <c r="K526" s="371"/>
      <c r="L526" s="371"/>
      <c r="M526" s="371"/>
      <c r="N526" s="371"/>
      <c r="O526" s="371"/>
      <c r="P526" s="371"/>
      <c r="Q526" s="371"/>
      <c r="R526" s="371"/>
      <c r="S526" s="371"/>
      <c r="T526" s="371"/>
      <c r="U526" s="371"/>
      <c r="V526" s="371"/>
      <c r="W526" s="371"/>
      <c r="X526" s="371"/>
      <c r="Y526" s="371"/>
      <c r="Z526" s="371"/>
    </row>
    <row r="527">
      <c r="A527" s="371"/>
      <c r="B527" s="307"/>
      <c r="C527" s="307"/>
      <c r="D527" s="307"/>
      <c r="E527" s="307"/>
      <c r="F527" s="371"/>
      <c r="G527" s="307"/>
      <c r="H527" s="371"/>
      <c r="I527" s="371"/>
      <c r="J527" s="371"/>
      <c r="K527" s="371"/>
      <c r="L527" s="371"/>
      <c r="M527" s="371"/>
      <c r="N527" s="371"/>
      <c r="O527" s="371"/>
      <c r="P527" s="371"/>
      <c r="Q527" s="371"/>
      <c r="R527" s="371"/>
      <c r="S527" s="371"/>
      <c r="T527" s="371"/>
      <c r="U527" s="371"/>
      <c r="V527" s="371"/>
      <c r="W527" s="371"/>
      <c r="X527" s="371"/>
      <c r="Y527" s="371"/>
      <c r="Z527" s="371"/>
    </row>
    <row r="528">
      <c r="A528" s="371"/>
      <c r="B528" s="307"/>
      <c r="C528" s="307"/>
      <c r="D528" s="307"/>
      <c r="E528" s="307"/>
      <c r="F528" s="371"/>
      <c r="G528" s="307"/>
      <c r="H528" s="371"/>
      <c r="I528" s="371"/>
      <c r="J528" s="371"/>
      <c r="K528" s="371"/>
      <c r="L528" s="371"/>
      <c r="M528" s="371"/>
      <c r="N528" s="371"/>
      <c r="O528" s="371"/>
      <c r="P528" s="371"/>
      <c r="Q528" s="371"/>
      <c r="R528" s="371"/>
      <c r="S528" s="371"/>
      <c r="T528" s="371"/>
      <c r="U528" s="371"/>
      <c r="V528" s="371"/>
      <c r="W528" s="371"/>
      <c r="X528" s="371"/>
      <c r="Y528" s="371"/>
      <c r="Z528" s="371"/>
    </row>
    <row r="529">
      <c r="A529" s="371"/>
      <c r="B529" s="307"/>
      <c r="C529" s="307"/>
      <c r="D529" s="307"/>
      <c r="E529" s="307"/>
      <c r="F529" s="371"/>
      <c r="G529" s="307"/>
      <c r="H529" s="371"/>
      <c r="I529" s="371"/>
      <c r="J529" s="371"/>
      <c r="K529" s="371"/>
      <c r="L529" s="371"/>
      <c r="M529" s="371"/>
      <c r="N529" s="371"/>
      <c r="O529" s="371"/>
      <c r="P529" s="371"/>
      <c r="Q529" s="371"/>
      <c r="R529" s="371"/>
      <c r="S529" s="371"/>
      <c r="T529" s="371"/>
      <c r="U529" s="371"/>
      <c r="V529" s="371"/>
      <c r="W529" s="371"/>
      <c r="X529" s="371"/>
      <c r="Y529" s="371"/>
      <c r="Z529" s="371"/>
    </row>
    <row r="530">
      <c r="A530" s="371"/>
      <c r="B530" s="307"/>
      <c r="C530" s="307"/>
      <c r="D530" s="307"/>
      <c r="E530" s="307"/>
      <c r="F530" s="371"/>
      <c r="G530" s="307"/>
      <c r="H530" s="371"/>
      <c r="I530" s="371"/>
      <c r="J530" s="371"/>
      <c r="K530" s="371"/>
      <c r="L530" s="371"/>
      <c r="M530" s="371"/>
      <c r="N530" s="371"/>
      <c r="O530" s="371"/>
      <c r="P530" s="371"/>
      <c r="Q530" s="371"/>
      <c r="R530" s="371"/>
      <c r="S530" s="371"/>
      <c r="T530" s="371"/>
      <c r="U530" s="371"/>
      <c r="V530" s="371"/>
      <c r="W530" s="371"/>
      <c r="X530" s="371"/>
      <c r="Y530" s="371"/>
      <c r="Z530" s="371"/>
    </row>
    <row r="531">
      <c r="A531" s="371"/>
      <c r="B531" s="307"/>
      <c r="C531" s="307"/>
      <c r="D531" s="307"/>
      <c r="E531" s="307"/>
      <c r="F531" s="371"/>
      <c r="G531" s="307"/>
      <c r="H531" s="371"/>
      <c r="I531" s="371"/>
      <c r="J531" s="371"/>
      <c r="K531" s="371"/>
      <c r="L531" s="371"/>
      <c r="M531" s="371"/>
      <c r="N531" s="371"/>
      <c r="O531" s="371"/>
      <c r="P531" s="371"/>
      <c r="Q531" s="371"/>
      <c r="R531" s="371"/>
      <c r="S531" s="371"/>
      <c r="T531" s="371"/>
      <c r="U531" s="371"/>
      <c r="V531" s="371"/>
      <c r="W531" s="371"/>
      <c r="X531" s="371"/>
      <c r="Y531" s="371"/>
      <c r="Z531" s="371"/>
    </row>
    <row r="532">
      <c r="A532" s="371"/>
      <c r="B532" s="307"/>
      <c r="C532" s="307"/>
      <c r="D532" s="307"/>
      <c r="E532" s="307"/>
      <c r="F532" s="371"/>
      <c r="G532" s="307"/>
      <c r="H532" s="371"/>
      <c r="I532" s="371"/>
      <c r="J532" s="371"/>
      <c r="K532" s="371"/>
      <c r="L532" s="371"/>
      <c r="M532" s="371"/>
      <c r="N532" s="371"/>
      <c r="O532" s="371"/>
      <c r="P532" s="371"/>
      <c r="Q532" s="371"/>
      <c r="R532" s="371"/>
      <c r="S532" s="371"/>
      <c r="T532" s="371"/>
      <c r="U532" s="371"/>
      <c r="V532" s="371"/>
      <c r="W532" s="371"/>
      <c r="X532" s="371"/>
      <c r="Y532" s="371"/>
      <c r="Z532" s="371"/>
    </row>
    <row r="533">
      <c r="A533" s="371"/>
      <c r="B533" s="307"/>
      <c r="C533" s="307"/>
      <c r="D533" s="307"/>
      <c r="E533" s="307"/>
      <c r="F533" s="371"/>
      <c r="G533" s="307"/>
      <c r="H533" s="371"/>
      <c r="I533" s="371"/>
      <c r="J533" s="371"/>
      <c r="K533" s="371"/>
      <c r="L533" s="371"/>
      <c r="M533" s="371"/>
      <c r="N533" s="371"/>
      <c r="O533" s="371"/>
      <c r="P533" s="371"/>
      <c r="Q533" s="371"/>
      <c r="R533" s="371"/>
      <c r="S533" s="371"/>
      <c r="T533" s="371"/>
      <c r="U533" s="371"/>
      <c r="V533" s="371"/>
      <c r="W533" s="371"/>
      <c r="X533" s="371"/>
      <c r="Y533" s="371"/>
      <c r="Z533" s="371"/>
    </row>
    <row r="534">
      <c r="A534" s="371"/>
      <c r="B534" s="307"/>
      <c r="C534" s="307"/>
      <c r="D534" s="307"/>
      <c r="E534" s="307"/>
      <c r="F534" s="371"/>
      <c r="G534" s="307"/>
      <c r="H534" s="371"/>
      <c r="I534" s="371"/>
      <c r="J534" s="371"/>
      <c r="K534" s="371"/>
      <c r="L534" s="371"/>
      <c r="M534" s="371"/>
      <c r="N534" s="371"/>
      <c r="O534" s="371"/>
      <c r="P534" s="371"/>
      <c r="Q534" s="371"/>
      <c r="R534" s="371"/>
      <c r="S534" s="371"/>
      <c r="T534" s="371"/>
      <c r="U534" s="371"/>
      <c r="V534" s="371"/>
      <c r="W534" s="371"/>
      <c r="X534" s="371"/>
      <c r="Y534" s="371"/>
      <c r="Z534" s="371"/>
    </row>
    <row r="535">
      <c r="A535" s="371"/>
      <c r="B535" s="307"/>
      <c r="C535" s="307"/>
      <c r="D535" s="307"/>
      <c r="E535" s="307"/>
      <c r="F535" s="371"/>
      <c r="G535" s="307"/>
      <c r="H535" s="371"/>
      <c r="I535" s="371"/>
      <c r="J535" s="371"/>
      <c r="K535" s="371"/>
      <c r="L535" s="371"/>
      <c r="M535" s="371"/>
      <c r="N535" s="371"/>
      <c r="O535" s="371"/>
      <c r="P535" s="371"/>
      <c r="Q535" s="371"/>
      <c r="R535" s="371"/>
      <c r="S535" s="371"/>
      <c r="T535" s="371"/>
      <c r="U535" s="371"/>
      <c r="V535" s="371"/>
      <c r="W535" s="371"/>
      <c r="X535" s="371"/>
      <c r="Y535" s="371"/>
      <c r="Z535" s="371"/>
    </row>
    <row r="536">
      <c r="A536" s="371"/>
      <c r="B536" s="307"/>
      <c r="C536" s="307"/>
      <c r="D536" s="307"/>
      <c r="E536" s="307"/>
      <c r="F536" s="371"/>
      <c r="G536" s="307"/>
      <c r="H536" s="371"/>
      <c r="I536" s="371"/>
      <c r="J536" s="371"/>
      <c r="K536" s="371"/>
      <c r="L536" s="371"/>
      <c r="M536" s="371"/>
      <c r="N536" s="371"/>
      <c r="O536" s="371"/>
      <c r="P536" s="371"/>
      <c r="Q536" s="371"/>
      <c r="R536" s="371"/>
      <c r="S536" s="371"/>
      <c r="T536" s="371"/>
      <c r="U536" s="371"/>
      <c r="V536" s="371"/>
      <c r="W536" s="371"/>
      <c r="X536" s="371"/>
      <c r="Y536" s="371"/>
      <c r="Z536" s="371"/>
    </row>
    <row r="537">
      <c r="A537" s="371"/>
      <c r="B537" s="307"/>
      <c r="C537" s="307"/>
      <c r="D537" s="307"/>
      <c r="E537" s="307"/>
      <c r="F537" s="371"/>
      <c r="G537" s="307"/>
      <c r="H537" s="371"/>
      <c r="I537" s="371"/>
      <c r="J537" s="371"/>
      <c r="K537" s="371"/>
      <c r="L537" s="371"/>
      <c r="M537" s="371"/>
      <c r="N537" s="371"/>
      <c r="O537" s="371"/>
      <c r="P537" s="371"/>
      <c r="Q537" s="371"/>
      <c r="R537" s="371"/>
      <c r="S537" s="371"/>
      <c r="T537" s="371"/>
      <c r="U537" s="371"/>
      <c r="V537" s="371"/>
      <c r="W537" s="371"/>
      <c r="X537" s="371"/>
      <c r="Y537" s="371"/>
      <c r="Z537" s="371"/>
    </row>
    <row r="538">
      <c r="A538" s="371"/>
      <c r="B538" s="307"/>
      <c r="C538" s="307"/>
      <c r="D538" s="307"/>
      <c r="E538" s="307"/>
      <c r="F538" s="371"/>
      <c r="G538" s="307"/>
      <c r="H538" s="371"/>
      <c r="I538" s="371"/>
      <c r="J538" s="371"/>
      <c r="K538" s="371"/>
      <c r="L538" s="371"/>
      <c r="M538" s="371"/>
      <c r="N538" s="371"/>
      <c r="O538" s="371"/>
      <c r="P538" s="371"/>
      <c r="Q538" s="371"/>
      <c r="R538" s="371"/>
      <c r="S538" s="371"/>
      <c r="T538" s="371"/>
      <c r="U538" s="371"/>
      <c r="V538" s="371"/>
      <c r="W538" s="371"/>
      <c r="X538" s="371"/>
      <c r="Y538" s="371"/>
      <c r="Z538" s="371"/>
    </row>
    <row r="539">
      <c r="A539" s="371"/>
      <c r="B539" s="307"/>
      <c r="C539" s="307"/>
      <c r="D539" s="307"/>
      <c r="E539" s="307"/>
      <c r="F539" s="371"/>
      <c r="G539" s="307"/>
      <c r="H539" s="371"/>
      <c r="I539" s="371"/>
      <c r="J539" s="371"/>
      <c r="K539" s="371"/>
      <c r="L539" s="371"/>
      <c r="M539" s="371"/>
      <c r="N539" s="371"/>
      <c r="O539" s="371"/>
      <c r="P539" s="371"/>
      <c r="Q539" s="371"/>
      <c r="R539" s="371"/>
      <c r="S539" s="371"/>
      <c r="T539" s="371"/>
      <c r="U539" s="371"/>
      <c r="V539" s="371"/>
      <c r="W539" s="371"/>
      <c r="X539" s="371"/>
      <c r="Y539" s="371"/>
      <c r="Z539" s="371"/>
    </row>
    <row r="540">
      <c r="A540" s="371"/>
      <c r="B540" s="307"/>
      <c r="C540" s="307"/>
      <c r="D540" s="307"/>
      <c r="E540" s="307"/>
      <c r="F540" s="371"/>
      <c r="G540" s="307"/>
      <c r="H540" s="371"/>
      <c r="I540" s="371"/>
      <c r="J540" s="371"/>
      <c r="K540" s="371"/>
      <c r="L540" s="371"/>
      <c r="M540" s="371"/>
      <c r="N540" s="371"/>
      <c r="O540" s="371"/>
      <c r="P540" s="371"/>
      <c r="Q540" s="371"/>
      <c r="R540" s="371"/>
      <c r="S540" s="371"/>
      <c r="T540" s="371"/>
      <c r="U540" s="371"/>
      <c r="V540" s="371"/>
      <c r="W540" s="371"/>
      <c r="X540" s="371"/>
      <c r="Y540" s="371"/>
      <c r="Z540" s="371"/>
    </row>
    <row r="541">
      <c r="A541" s="371"/>
      <c r="B541" s="307"/>
      <c r="C541" s="307"/>
      <c r="D541" s="307"/>
      <c r="E541" s="307"/>
      <c r="F541" s="371"/>
      <c r="G541" s="307"/>
      <c r="H541" s="371"/>
      <c r="I541" s="371"/>
      <c r="J541" s="371"/>
      <c r="K541" s="371"/>
      <c r="L541" s="371"/>
      <c r="M541" s="371"/>
      <c r="N541" s="371"/>
      <c r="O541" s="371"/>
      <c r="P541" s="371"/>
      <c r="Q541" s="371"/>
      <c r="R541" s="371"/>
      <c r="S541" s="371"/>
      <c r="T541" s="371"/>
      <c r="U541" s="371"/>
      <c r="V541" s="371"/>
      <c r="W541" s="371"/>
      <c r="X541" s="371"/>
      <c r="Y541" s="371"/>
      <c r="Z541" s="371"/>
    </row>
    <row r="542">
      <c r="A542" s="371"/>
      <c r="B542" s="307"/>
      <c r="C542" s="307"/>
      <c r="D542" s="307"/>
      <c r="E542" s="307"/>
      <c r="F542" s="371"/>
      <c r="G542" s="307"/>
      <c r="H542" s="371"/>
      <c r="I542" s="371"/>
      <c r="J542" s="371"/>
      <c r="K542" s="371"/>
      <c r="L542" s="371"/>
      <c r="M542" s="371"/>
      <c r="N542" s="371"/>
      <c r="O542" s="371"/>
      <c r="P542" s="371"/>
      <c r="Q542" s="371"/>
      <c r="R542" s="371"/>
      <c r="S542" s="371"/>
      <c r="T542" s="371"/>
      <c r="U542" s="371"/>
      <c r="V542" s="371"/>
      <c r="W542" s="371"/>
      <c r="X542" s="371"/>
      <c r="Y542" s="371"/>
      <c r="Z542" s="371"/>
    </row>
    <row r="543">
      <c r="A543" s="371"/>
      <c r="B543" s="307"/>
      <c r="C543" s="307"/>
      <c r="D543" s="307"/>
      <c r="E543" s="307"/>
      <c r="F543" s="371"/>
      <c r="G543" s="307"/>
      <c r="H543" s="371"/>
      <c r="I543" s="371"/>
      <c r="J543" s="371"/>
      <c r="K543" s="371"/>
      <c r="L543" s="371"/>
      <c r="M543" s="371"/>
      <c r="N543" s="371"/>
      <c r="O543" s="371"/>
      <c r="P543" s="371"/>
      <c r="Q543" s="371"/>
      <c r="R543" s="371"/>
      <c r="S543" s="371"/>
      <c r="T543" s="371"/>
      <c r="U543" s="371"/>
      <c r="V543" s="371"/>
      <c r="W543" s="371"/>
      <c r="X543" s="371"/>
      <c r="Y543" s="371"/>
      <c r="Z543" s="371"/>
    </row>
    <row r="544">
      <c r="A544" s="371"/>
      <c r="B544" s="307"/>
      <c r="C544" s="307"/>
      <c r="D544" s="307"/>
      <c r="E544" s="307"/>
      <c r="F544" s="371"/>
      <c r="G544" s="307"/>
      <c r="H544" s="371"/>
      <c r="I544" s="371"/>
      <c r="J544" s="371"/>
      <c r="K544" s="371"/>
      <c r="L544" s="371"/>
      <c r="M544" s="371"/>
      <c r="N544" s="371"/>
      <c r="O544" s="371"/>
      <c r="P544" s="371"/>
      <c r="Q544" s="371"/>
      <c r="R544" s="371"/>
      <c r="S544" s="371"/>
      <c r="T544" s="371"/>
      <c r="U544" s="371"/>
      <c r="V544" s="371"/>
      <c r="W544" s="371"/>
      <c r="X544" s="371"/>
      <c r="Y544" s="371"/>
      <c r="Z544" s="371"/>
    </row>
    <row r="545">
      <c r="A545" s="371"/>
      <c r="B545" s="307"/>
      <c r="C545" s="307"/>
      <c r="D545" s="307"/>
      <c r="E545" s="307"/>
      <c r="F545" s="371"/>
      <c r="G545" s="307"/>
      <c r="H545" s="371"/>
      <c r="I545" s="371"/>
      <c r="J545" s="371"/>
      <c r="K545" s="371"/>
      <c r="L545" s="371"/>
      <c r="M545" s="371"/>
      <c r="N545" s="371"/>
      <c r="O545" s="371"/>
      <c r="P545" s="371"/>
      <c r="Q545" s="371"/>
      <c r="R545" s="371"/>
      <c r="S545" s="371"/>
      <c r="T545" s="371"/>
      <c r="U545" s="371"/>
      <c r="V545" s="371"/>
      <c r="W545" s="371"/>
      <c r="X545" s="371"/>
      <c r="Y545" s="371"/>
      <c r="Z545" s="371"/>
    </row>
    <row r="546">
      <c r="A546" s="371"/>
      <c r="B546" s="307"/>
      <c r="C546" s="307"/>
      <c r="D546" s="307"/>
      <c r="E546" s="307"/>
      <c r="F546" s="371"/>
      <c r="G546" s="307"/>
      <c r="H546" s="371"/>
      <c r="I546" s="371"/>
      <c r="J546" s="371"/>
      <c r="K546" s="371"/>
      <c r="L546" s="371"/>
      <c r="M546" s="371"/>
      <c r="N546" s="371"/>
      <c r="O546" s="371"/>
      <c r="P546" s="371"/>
      <c r="Q546" s="371"/>
      <c r="R546" s="371"/>
      <c r="S546" s="371"/>
      <c r="T546" s="371"/>
      <c r="U546" s="371"/>
      <c r="V546" s="371"/>
      <c r="W546" s="371"/>
      <c r="X546" s="371"/>
      <c r="Y546" s="371"/>
      <c r="Z546" s="371"/>
    </row>
    <row r="547">
      <c r="A547" s="371"/>
      <c r="B547" s="307"/>
      <c r="C547" s="307"/>
      <c r="D547" s="307"/>
      <c r="E547" s="307"/>
      <c r="F547" s="371"/>
      <c r="G547" s="307"/>
      <c r="H547" s="371"/>
      <c r="I547" s="371"/>
      <c r="J547" s="371"/>
      <c r="K547" s="371"/>
      <c r="L547" s="371"/>
      <c r="M547" s="371"/>
      <c r="N547" s="371"/>
      <c r="O547" s="371"/>
      <c r="P547" s="371"/>
      <c r="Q547" s="371"/>
      <c r="R547" s="371"/>
      <c r="S547" s="371"/>
      <c r="T547" s="371"/>
      <c r="U547" s="371"/>
      <c r="V547" s="371"/>
      <c r="W547" s="371"/>
      <c r="X547" s="371"/>
      <c r="Y547" s="371"/>
      <c r="Z547" s="371"/>
    </row>
    <row r="548">
      <c r="A548" s="371"/>
      <c r="B548" s="307"/>
      <c r="C548" s="307"/>
      <c r="D548" s="307"/>
      <c r="E548" s="307"/>
      <c r="F548" s="371"/>
      <c r="G548" s="307"/>
      <c r="H548" s="371"/>
      <c r="I548" s="371"/>
      <c r="J548" s="371"/>
      <c r="K548" s="371"/>
      <c r="L548" s="371"/>
      <c r="M548" s="371"/>
      <c r="N548" s="371"/>
      <c r="O548" s="371"/>
      <c r="P548" s="371"/>
      <c r="Q548" s="371"/>
      <c r="R548" s="371"/>
      <c r="S548" s="371"/>
      <c r="T548" s="371"/>
      <c r="U548" s="371"/>
      <c r="V548" s="371"/>
      <c r="W548" s="371"/>
      <c r="X548" s="371"/>
      <c r="Y548" s="371"/>
      <c r="Z548" s="371"/>
    </row>
    <row r="549">
      <c r="A549" s="371"/>
      <c r="B549" s="307"/>
      <c r="C549" s="307"/>
      <c r="D549" s="307"/>
      <c r="E549" s="307"/>
      <c r="F549" s="371"/>
      <c r="G549" s="307"/>
      <c r="H549" s="371"/>
      <c r="I549" s="371"/>
      <c r="J549" s="371"/>
      <c r="K549" s="371"/>
      <c r="L549" s="371"/>
      <c r="M549" s="371"/>
      <c r="N549" s="371"/>
      <c r="O549" s="371"/>
      <c r="P549" s="371"/>
      <c r="Q549" s="371"/>
      <c r="R549" s="371"/>
      <c r="S549" s="371"/>
      <c r="T549" s="371"/>
      <c r="U549" s="371"/>
      <c r="V549" s="371"/>
      <c r="W549" s="371"/>
      <c r="X549" s="371"/>
      <c r="Y549" s="371"/>
      <c r="Z549" s="371"/>
    </row>
    <row r="550">
      <c r="A550" s="371"/>
      <c r="B550" s="307"/>
      <c r="C550" s="307"/>
      <c r="D550" s="307"/>
      <c r="E550" s="307"/>
      <c r="F550" s="371"/>
      <c r="G550" s="307"/>
      <c r="H550" s="371"/>
      <c r="I550" s="371"/>
      <c r="J550" s="371"/>
      <c r="K550" s="371"/>
      <c r="L550" s="371"/>
      <c r="M550" s="371"/>
      <c r="N550" s="371"/>
      <c r="O550" s="371"/>
      <c r="P550" s="371"/>
      <c r="Q550" s="371"/>
      <c r="R550" s="371"/>
      <c r="S550" s="371"/>
      <c r="T550" s="371"/>
      <c r="U550" s="371"/>
      <c r="V550" s="371"/>
      <c r="W550" s="371"/>
      <c r="X550" s="371"/>
      <c r="Y550" s="371"/>
      <c r="Z550" s="371"/>
    </row>
    <row r="551">
      <c r="A551" s="371"/>
      <c r="B551" s="307"/>
      <c r="C551" s="307"/>
      <c r="D551" s="307"/>
      <c r="E551" s="307"/>
      <c r="F551" s="371"/>
      <c r="G551" s="307"/>
      <c r="H551" s="371"/>
      <c r="I551" s="371"/>
      <c r="J551" s="371"/>
      <c r="K551" s="371"/>
      <c r="L551" s="371"/>
      <c r="M551" s="371"/>
      <c r="N551" s="371"/>
      <c r="O551" s="371"/>
      <c r="P551" s="371"/>
      <c r="Q551" s="371"/>
      <c r="R551" s="371"/>
      <c r="S551" s="371"/>
      <c r="T551" s="371"/>
      <c r="U551" s="371"/>
      <c r="V551" s="371"/>
      <c r="W551" s="371"/>
      <c r="X551" s="371"/>
      <c r="Y551" s="371"/>
      <c r="Z551" s="371"/>
    </row>
    <row r="552">
      <c r="A552" s="371"/>
      <c r="B552" s="307"/>
      <c r="C552" s="307"/>
      <c r="D552" s="307"/>
      <c r="E552" s="307"/>
      <c r="F552" s="371"/>
      <c r="G552" s="307"/>
      <c r="H552" s="371"/>
      <c r="I552" s="371"/>
      <c r="J552" s="371"/>
      <c r="K552" s="371"/>
      <c r="L552" s="371"/>
      <c r="M552" s="371"/>
      <c r="N552" s="371"/>
      <c r="O552" s="371"/>
      <c r="P552" s="371"/>
      <c r="Q552" s="371"/>
      <c r="R552" s="371"/>
      <c r="S552" s="371"/>
      <c r="T552" s="371"/>
      <c r="U552" s="371"/>
      <c r="V552" s="371"/>
      <c r="W552" s="371"/>
      <c r="X552" s="371"/>
      <c r="Y552" s="371"/>
      <c r="Z552" s="371"/>
    </row>
    <row r="553">
      <c r="A553" s="371"/>
      <c r="B553" s="307"/>
      <c r="C553" s="307"/>
      <c r="D553" s="307"/>
      <c r="E553" s="307"/>
      <c r="F553" s="371"/>
      <c r="G553" s="307"/>
      <c r="H553" s="371"/>
      <c r="I553" s="371"/>
      <c r="J553" s="371"/>
      <c r="K553" s="371"/>
      <c r="L553" s="371"/>
      <c r="M553" s="371"/>
      <c r="N553" s="371"/>
      <c r="O553" s="371"/>
      <c r="P553" s="371"/>
      <c r="Q553" s="371"/>
      <c r="R553" s="371"/>
      <c r="S553" s="371"/>
      <c r="T553" s="371"/>
      <c r="U553" s="371"/>
      <c r="V553" s="371"/>
      <c r="W553" s="371"/>
      <c r="X553" s="371"/>
      <c r="Y553" s="371"/>
      <c r="Z553" s="371"/>
    </row>
    <row r="554">
      <c r="A554" s="371"/>
      <c r="B554" s="307"/>
      <c r="C554" s="307"/>
      <c r="D554" s="307"/>
      <c r="E554" s="307"/>
      <c r="F554" s="371"/>
      <c r="G554" s="307"/>
      <c r="H554" s="371"/>
      <c r="I554" s="371"/>
      <c r="J554" s="371"/>
      <c r="K554" s="371"/>
      <c r="L554" s="371"/>
      <c r="M554" s="371"/>
      <c r="N554" s="371"/>
      <c r="O554" s="371"/>
      <c r="P554" s="371"/>
      <c r="Q554" s="371"/>
      <c r="R554" s="371"/>
      <c r="S554" s="371"/>
      <c r="T554" s="371"/>
      <c r="U554" s="371"/>
      <c r="V554" s="371"/>
      <c r="W554" s="371"/>
      <c r="X554" s="371"/>
      <c r="Y554" s="371"/>
      <c r="Z554" s="371"/>
    </row>
    <row r="555">
      <c r="A555" s="371"/>
      <c r="B555" s="307"/>
      <c r="C555" s="307"/>
      <c r="D555" s="307"/>
      <c r="E555" s="307"/>
      <c r="F555" s="371"/>
      <c r="G555" s="307"/>
      <c r="H555" s="371"/>
      <c r="I555" s="371"/>
      <c r="J555" s="371"/>
      <c r="K555" s="371"/>
      <c r="L555" s="371"/>
      <c r="M555" s="371"/>
      <c r="N555" s="371"/>
      <c r="O555" s="371"/>
      <c r="P555" s="371"/>
      <c r="Q555" s="371"/>
      <c r="R555" s="371"/>
      <c r="S555" s="371"/>
      <c r="T555" s="371"/>
      <c r="U555" s="371"/>
      <c r="V555" s="371"/>
      <c r="W555" s="371"/>
      <c r="X555" s="371"/>
      <c r="Y555" s="371"/>
      <c r="Z555" s="371"/>
    </row>
    <row r="556">
      <c r="A556" s="371"/>
      <c r="B556" s="307"/>
      <c r="C556" s="307"/>
      <c r="D556" s="307"/>
      <c r="E556" s="307"/>
      <c r="F556" s="371"/>
      <c r="G556" s="307"/>
      <c r="H556" s="371"/>
      <c r="I556" s="371"/>
      <c r="J556" s="371"/>
      <c r="K556" s="371"/>
      <c r="L556" s="371"/>
      <c r="M556" s="371"/>
      <c r="N556" s="371"/>
      <c r="O556" s="371"/>
      <c r="P556" s="371"/>
      <c r="Q556" s="371"/>
      <c r="R556" s="371"/>
      <c r="S556" s="371"/>
      <c r="T556" s="371"/>
      <c r="U556" s="371"/>
      <c r="V556" s="371"/>
      <c r="W556" s="371"/>
      <c r="X556" s="371"/>
      <c r="Y556" s="371"/>
      <c r="Z556" s="371"/>
    </row>
    <row r="557">
      <c r="A557" s="371"/>
      <c r="B557" s="307"/>
      <c r="C557" s="307"/>
      <c r="D557" s="307"/>
      <c r="E557" s="307"/>
      <c r="F557" s="371"/>
      <c r="G557" s="307"/>
      <c r="H557" s="371"/>
      <c r="I557" s="371"/>
      <c r="J557" s="371"/>
      <c r="K557" s="371"/>
      <c r="L557" s="371"/>
      <c r="M557" s="371"/>
      <c r="N557" s="371"/>
      <c r="O557" s="371"/>
      <c r="P557" s="371"/>
      <c r="Q557" s="371"/>
      <c r="R557" s="371"/>
      <c r="S557" s="371"/>
      <c r="T557" s="371"/>
      <c r="U557" s="371"/>
      <c r="V557" s="371"/>
      <c r="W557" s="371"/>
      <c r="X557" s="371"/>
      <c r="Y557" s="371"/>
      <c r="Z557" s="371"/>
    </row>
    <row r="558">
      <c r="A558" s="371"/>
      <c r="B558" s="307"/>
      <c r="C558" s="307"/>
      <c r="D558" s="307"/>
      <c r="E558" s="307"/>
      <c r="F558" s="371"/>
      <c r="G558" s="307"/>
      <c r="H558" s="371"/>
      <c r="I558" s="371"/>
      <c r="J558" s="371"/>
      <c r="K558" s="371"/>
      <c r="L558" s="371"/>
      <c r="M558" s="371"/>
      <c r="N558" s="371"/>
      <c r="O558" s="371"/>
      <c r="P558" s="371"/>
      <c r="Q558" s="371"/>
      <c r="R558" s="371"/>
      <c r="S558" s="371"/>
      <c r="T558" s="371"/>
      <c r="U558" s="371"/>
      <c r="V558" s="371"/>
      <c r="W558" s="371"/>
      <c r="X558" s="371"/>
      <c r="Y558" s="371"/>
      <c r="Z558" s="371"/>
    </row>
    <row r="559">
      <c r="A559" s="371"/>
      <c r="B559" s="307"/>
      <c r="C559" s="307"/>
      <c r="D559" s="307"/>
      <c r="E559" s="307"/>
      <c r="F559" s="371"/>
      <c r="G559" s="307"/>
      <c r="H559" s="371"/>
      <c r="I559" s="371"/>
      <c r="J559" s="371"/>
      <c r="K559" s="371"/>
      <c r="L559" s="371"/>
      <c r="M559" s="371"/>
      <c r="N559" s="371"/>
      <c r="O559" s="371"/>
      <c r="P559" s="371"/>
      <c r="Q559" s="371"/>
      <c r="R559" s="371"/>
      <c r="S559" s="371"/>
      <c r="T559" s="371"/>
      <c r="U559" s="371"/>
      <c r="V559" s="371"/>
      <c r="W559" s="371"/>
      <c r="X559" s="371"/>
      <c r="Y559" s="371"/>
      <c r="Z559" s="371"/>
    </row>
    <row r="560">
      <c r="A560" s="371"/>
      <c r="B560" s="307"/>
      <c r="C560" s="307"/>
      <c r="D560" s="307"/>
      <c r="E560" s="307"/>
      <c r="F560" s="371"/>
      <c r="G560" s="307"/>
      <c r="H560" s="371"/>
      <c r="I560" s="371"/>
      <c r="J560" s="371"/>
      <c r="K560" s="371"/>
      <c r="L560" s="371"/>
      <c r="M560" s="371"/>
      <c r="N560" s="371"/>
      <c r="O560" s="371"/>
      <c r="P560" s="371"/>
      <c r="Q560" s="371"/>
      <c r="R560" s="371"/>
      <c r="S560" s="371"/>
      <c r="T560" s="371"/>
      <c r="U560" s="371"/>
      <c r="V560" s="371"/>
      <c r="W560" s="371"/>
      <c r="X560" s="371"/>
      <c r="Y560" s="371"/>
      <c r="Z560" s="371"/>
    </row>
    <row r="561">
      <c r="A561" s="371"/>
      <c r="B561" s="307"/>
      <c r="C561" s="307"/>
      <c r="D561" s="307"/>
      <c r="E561" s="307"/>
      <c r="F561" s="371"/>
      <c r="G561" s="307"/>
      <c r="H561" s="371"/>
      <c r="I561" s="371"/>
      <c r="J561" s="371"/>
      <c r="K561" s="371"/>
      <c r="L561" s="371"/>
      <c r="M561" s="371"/>
      <c r="N561" s="371"/>
      <c r="O561" s="371"/>
      <c r="P561" s="371"/>
      <c r="Q561" s="371"/>
      <c r="R561" s="371"/>
      <c r="S561" s="371"/>
      <c r="T561" s="371"/>
      <c r="U561" s="371"/>
      <c r="V561" s="371"/>
      <c r="W561" s="371"/>
      <c r="X561" s="371"/>
      <c r="Y561" s="371"/>
      <c r="Z561" s="371"/>
    </row>
    <row r="562">
      <c r="A562" s="371"/>
      <c r="B562" s="307"/>
      <c r="C562" s="307"/>
      <c r="D562" s="307"/>
      <c r="E562" s="307"/>
      <c r="F562" s="371"/>
      <c r="G562" s="307"/>
      <c r="H562" s="371"/>
      <c r="I562" s="371"/>
      <c r="J562" s="371"/>
      <c r="K562" s="371"/>
      <c r="L562" s="371"/>
      <c r="M562" s="371"/>
      <c r="N562" s="371"/>
      <c r="O562" s="371"/>
      <c r="P562" s="371"/>
      <c r="Q562" s="371"/>
      <c r="R562" s="371"/>
      <c r="S562" s="371"/>
      <c r="T562" s="371"/>
      <c r="U562" s="371"/>
      <c r="V562" s="371"/>
      <c r="W562" s="371"/>
      <c r="X562" s="371"/>
      <c r="Y562" s="371"/>
      <c r="Z562" s="371"/>
    </row>
    <row r="563">
      <c r="A563" s="371"/>
      <c r="B563" s="307"/>
      <c r="C563" s="307"/>
      <c r="D563" s="307"/>
      <c r="E563" s="307"/>
      <c r="F563" s="371"/>
      <c r="G563" s="307"/>
      <c r="H563" s="371"/>
      <c r="I563" s="371"/>
      <c r="J563" s="371"/>
      <c r="K563" s="371"/>
      <c r="L563" s="371"/>
      <c r="M563" s="371"/>
      <c r="N563" s="371"/>
      <c r="O563" s="371"/>
      <c r="P563" s="371"/>
      <c r="Q563" s="371"/>
      <c r="R563" s="371"/>
      <c r="S563" s="371"/>
      <c r="T563" s="371"/>
      <c r="U563" s="371"/>
      <c r="V563" s="371"/>
      <c r="W563" s="371"/>
      <c r="X563" s="371"/>
      <c r="Y563" s="371"/>
      <c r="Z563" s="371"/>
    </row>
    <row r="564">
      <c r="A564" s="371"/>
      <c r="B564" s="307"/>
      <c r="C564" s="307"/>
      <c r="D564" s="307"/>
      <c r="E564" s="307"/>
      <c r="F564" s="371"/>
      <c r="G564" s="307"/>
      <c r="H564" s="371"/>
      <c r="I564" s="371"/>
      <c r="J564" s="371"/>
      <c r="K564" s="371"/>
      <c r="L564" s="371"/>
      <c r="M564" s="371"/>
      <c r="N564" s="371"/>
      <c r="O564" s="371"/>
      <c r="P564" s="371"/>
      <c r="Q564" s="371"/>
      <c r="R564" s="371"/>
      <c r="S564" s="371"/>
      <c r="T564" s="371"/>
      <c r="U564" s="371"/>
      <c r="V564" s="371"/>
      <c r="W564" s="371"/>
      <c r="X564" s="371"/>
      <c r="Y564" s="371"/>
      <c r="Z564" s="371"/>
    </row>
    <row r="565">
      <c r="A565" s="371"/>
      <c r="B565" s="307"/>
      <c r="C565" s="307"/>
      <c r="D565" s="307"/>
      <c r="E565" s="307"/>
      <c r="F565" s="371"/>
      <c r="G565" s="307"/>
      <c r="H565" s="371"/>
      <c r="I565" s="371"/>
      <c r="J565" s="371"/>
      <c r="K565" s="371"/>
      <c r="L565" s="371"/>
      <c r="M565" s="371"/>
      <c r="N565" s="371"/>
      <c r="O565" s="371"/>
      <c r="P565" s="371"/>
      <c r="Q565" s="371"/>
      <c r="R565" s="371"/>
      <c r="S565" s="371"/>
      <c r="T565" s="371"/>
      <c r="U565" s="371"/>
      <c r="V565" s="371"/>
      <c r="W565" s="371"/>
      <c r="X565" s="371"/>
      <c r="Y565" s="371"/>
      <c r="Z565" s="371"/>
    </row>
    <row r="566">
      <c r="A566" s="371"/>
      <c r="B566" s="307"/>
      <c r="C566" s="307"/>
      <c r="D566" s="307"/>
      <c r="E566" s="307"/>
      <c r="F566" s="371"/>
      <c r="G566" s="307"/>
      <c r="H566" s="371"/>
      <c r="I566" s="371"/>
      <c r="J566" s="371"/>
      <c r="K566" s="371"/>
      <c r="L566" s="371"/>
      <c r="M566" s="371"/>
      <c r="N566" s="371"/>
      <c r="O566" s="371"/>
      <c r="P566" s="371"/>
      <c r="Q566" s="371"/>
      <c r="R566" s="371"/>
      <c r="S566" s="371"/>
      <c r="T566" s="371"/>
      <c r="U566" s="371"/>
      <c r="V566" s="371"/>
      <c r="W566" s="371"/>
      <c r="X566" s="371"/>
      <c r="Y566" s="371"/>
      <c r="Z566" s="371"/>
    </row>
    <row r="567">
      <c r="A567" s="371"/>
      <c r="B567" s="307"/>
      <c r="C567" s="307"/>
      <c r="D567" s="307"/>
      <c r="E567" s="307"/>
      <c r="F567" s="371"/>
      <c r="G567" s="307"/>
      <c r="H567" s="371"/>
      <c r="I567" s="371"/>
      <c r="J567" s="371"/>
      <c r="K567" s="371"/>
      <c r="L567" s="371"/>
      <c r="M567" s="371"/>
      <c r="N567" s="371"/>
      <c r="O567" s="371"/>
      <c r="P567" s="371"/>
      <c r="Q567" s="371"/>
      <c r="R567" s="371"/>
      <c r="S567" s="371"/>
      <c r="T567" s="371"/>
      <c r="U567" s="371"/>
      <c r="V567" s="371"/>
      <c r="W567" s="371"/>
      <c r="X567" s="371"/>
      <c r="Y567" s="371"/>
      <c r="Z567" s="371"/>
    </row>
    <row r="568">
      <c r="A568" s="371"/>
      <c r="B568" s="307"/>
      <c r="C568" s="307"/>
      <c r="D568" s="307"/>
      <c r="E568" s="307"/>
      <c r="F568" s="371"/>
      <c r="G568" s="307"/>
      <c r="H568" s="371"/>
      <c r="I568" s="371"/>
      <c r="J568" s="371"/>
      <c r="K568" s="371"/>
      <c r="L568" s="371"/>
      <c r="M568" s="371"/>
      <c r="N568" s="371"/>
      <c r="O568" s="371"/>
      <c r="P568" s="371"/>
      <c r="Q568" s="371"/>
      <c r="R568" s="371"/>
      <c r="S568" s="371"/>
      <c r="T568" s="371"/>
      <c r="U568" s="371"/>
      <c r="V568" s="371"/>
      <c r="W568" s="371"/>
      <c r="X568" s="371"/>
      <c r="Y568" s="371"/>
      <c r="Z568" s="371"/>
    </row>
    <row r="569">
      <c r="A569" s="371"/>
      <c r="B569" s="307"/>
      <c r="C569" s="307"/>
      <c r="D569" s="307"/>
      <c r="E569" s="307"/>
      <c r="F569" s="371"/>
      <c r="G569" s="307"/>
      <c r="H569" s="371"/>
      <c r="I569" s="371"/>
      <c r="J569" s="371"/>
      <c r="K569" s="371"/>
      <c r="L569" s="371"/>
      <c r="M569" s="371"/>
      <c r="N569" s="371"/>
      <c r="O569" s="371"/>
      <c r="P569" s="371"/>
      <c r="Q569" s="371"/>
      <c r="R569" s="371"/>
      <c r="S569" s="371"/>
      <c r="T569" s="371"/>
      <c r="U569" s="371"/>
      <c r="V569" s="371"/>
      <c r="W569" s="371"/>
      <c r="X569" s="371"/>
      <c r="Y569" s="371"/>
      <c r="Z569" s="371"/>
    </row>
    <row r="570">
      <c r="A570" s="371"/>
      <c r="B570" s="307"/>
      <c r="C570" s="307"/>
      <c r="D570" s="307"/>
      <c r="E570" s="307"/>
      <c r="F570" s="371"/>
      <c r="G570" s="307"/>
      <c r="H570" s="371"/>
      <c r="I570" s="371"/>
      <c r="J570" s="371"/>
      <c r="K570" s="371"/>
      <c r="L570" s="371"/>
      <c r="M570" s="371"/>
      <c r="N570" s="371"/>
      <c r="O570" s="371"/>
      <c r="P570" s="371"/>
      <c r="Q570" s="371"/>
      <c r="R570" s="371"/>
      <c r="S570" s="371"/>
      <c r="T570" s="371"/>
      <c r="U570" s="371"/>
      <c r="V570" s="371"/>
      <c r="W570" s="371"/>
      <c r="X570" s="371"/>
      <c r="Y570" s="371"/>
      <c r="Z570" s="371"/>
    </row>
    <row r="571">
      <c r="A571" s="371"/>
      <c r="B571" s="307"/>
      <c r="C571" s="307"/>
      <c r="D571" s="307"/>
      <c r="E571" s="307"/>
      <c r="F571" s="371"/>
      <c r="G571" s="307"/>
      <c r="H571" s="371"/>
      <c r="I571" s="371"/>
      <c r="J571" s="371"/>
      <c r="K571" s="371"/>
      <c r="L571" s="371"/>
      <c r="M571" s="371"/>
      <c r="N571" s="371"/>
      <c r="O571" s="371"/>
      <c r="P571" s="371"/>
      <c r="Q571" s="371"/>
      <c r="R571" s="371"/>
      <c r="S571" s="371"/>
      <c r="T571" s="371"/>
      <c r="U571" s="371"/>
      <c r="V571" s="371"/>
      <c r="W571" s="371"/>
      <c r="X571" s="371"/>
      <c r="Y571" s="371"/>
      <c r="Z571" s="371"/>
    </row>
    <row r="572">
      <c r="A572" s="371"/>
      <c r="B572" s="307"/>
      <c r="C572" s="307"/>
      <c r="D572" s="307"/>
      <c r="E572" s="307"/>
      <c r="F572" s="371"/>
      <c r="G572" s="307"/>
      <c r="H572" s="371"/>
      <c r="I572" s="371"/>
      <c r="J572" s="371"/>
      <c r="K572" s="371"/>
      <c r="L572" s="371"/>
      <c r="M572" s="371"/>
      <c r="N572" s="371"/>
      <c r="O572" s="371"/>
      <c r="P572" s="371"/>
      <c r="Q572" s="371"/>
      <c r="R572" s="371"/>
      <c r="S572" s="371"/>
      <c r="T572" s="371"/>
      <c r="U572" s="371"/>
      <c r="V572" s="371"/>
      <c r="W572" s="371"/>
      <c r="X572" s="371"/>
      <c r="Y572" s="371"/>
      <c r="Z572" s="371"/>
    </row>
    <row r="573">
      <c r="A573" s="371"/>
      <c r="B573" s="307"/>
      <c r="C573" s="307"/>
      <c r="D573" s="307"/>
      <c r="E573" s="307"/>
      <c r="F573" s="371"/>
      <c r="G573" s="307"/>
      <c r="H573" s="371"/>
      <c r="I573" s="371"/>
      <c r="J573" s="371"/>
      <c r="K573" s="371"/>
      <c r="L573" s="371"/>
      <c r="M573" s="371"/>
      <c r="N573" s="371"/>
      <c r="O573" s="371"/>
      <c r="P573" s="371"/>
      <c r="Q573" s="371"/>
      <c r="R573" s="371"/>
      <c r="S573" s="371"/>
      <c r="T573" s="371"/>
      <c r="U573" s="371"/>
      <c r="V573" s="371"/>
      <c r="W573" s="371"/>
      <c r="X573" s="371"/>
      <c r="Y573" s="371"/>
      <c r="Z573" s="371"/>
    </row>
    <row r="574">
      <c r="A574" s="371"/>
      <c r="B574" s="307"/>
      <c r="C574" s="307"/>
      <c r="D574" s="307"/>
      <c r="E574" s="307"/>
      <c r="F574" s="371"/>
      <c r="G574" s="307"/>
      <c r="H574" s="371"/>
      <c r="I574" s="371"/>
      <c r="J574" s="371"/>
      <c r="K574" s="371"/>
      <c r="L574" s="371"/>
      <c r="M574" s="371"/>
      <c r="N574" s="371"/>
      <c r="O574" s="371"/>
      <c r="P574" s="371"/>
      <c r="Q574" s="371"/>
      <c r="R574" s="371"/>
      <c r="S574" s="371"/>
      <c r="T574" s="371"/>
      <c r="U574" s="371"/>
      <c r="V574" s="371"/>
      <c r="W574" s="371"/>
      <c r="X574" s="371"/>
      <c r="Y574" s="371"/>
      <c r="Z574" s="371"/>
    </row>
    <row r="575">
      <c r="A575" s="371"/>
      <c r="B575" s="307"/>
      <c r="C575" s="307"/>
      <c r="D575" s="307"/>
      <c r="E575" s="307"/>
      <c r="F575" s="371"/>
      <c r="G575" s="307"/>
      <c r="H575" s="371"/>
      <c r="I575" s="371"/>
      <c r="J575" s="371"/>
      <c r="K575" s="371"/>
      <c r="L575" s="371"/>
      <c r="M575" s="371"/>
      <c r="N575" s="371"/>
      <c r="O575" s="371"/>
      <c r="P575" s="371"/>
      <c r="Q575" s="371"/>
      <c r="R575" s="371"/>
      <c r="S575" s="371"/>
      <c r="T575" s="371"/>
      <c r="U575" s="371"/>
      <c r="V575" s="371"/>
      <c r="W575" s="371"/>
      <c r="X575" s="371"/>
      <c r="Y575" s="371"/>
      <c r="Z575" s="371"/>
    </row>
    <row r="576">
      <c r="A576" s="371"/>
      <c r="B576" s="307"/>
      <c r="C576" s="307"/>
      <c r="D576" s="307"/>
      <c r="E576" s="307"/>
      <c r="F576" s="371"/>
      <c r="G576" s="307"/>
      <c r="H576" s="371"/>
      <c r="I576" s="371"/>
      <c r="J576" s="371"/>
      <c r="K576" s="371"/>
      <c r="L576" s="371"/>
      <c r="M576" s="371"/>
      <c r="N576" s="371"/>
      <c r="O576" s="371"/>
      <c r="P576" s="371"/>
      <c r="Q576" s="371"/>
      <c r="R576" s="371"/>
      <c r="S576" s="371"/>
      <c r="T576" s="371"/>
      <c r="U576" s="371"/>
      <c r="V576" s="371"/>
      <c r="W576" s="371"/>
      <c r="X576" s="371"/>
      <c r="Y576" s="371"/>
      <c r="Z576" s="371"/>
    </row>
    <row r="577">
      <c r="A577" s="371"/>
      <c r="B577" s="307"/>
      <c r="C577" s="307"/>
      <c r="D577" s="307"/>
      <c r="E577" s="307"/>
      <c r="F577" s="371"/>
      <c r="G577" s="307"/>
      <c r="H577" s="371"/>
      <c r="I577" s="371"/>
      <c r="J577" s="371"/>
      <c r="K577" s="371"/>
      <c r="L577" s="371"/>
      <c r="M577" s="371"/>
      <c r="N577" s="371"/>
      <c r="O577" s="371"/>
      <c r="P577" s="371"/>
      <c r="Q577" s="371"/>
      <c r="R577" s="371"/>
      <c r="S577" s="371"/>
      <c r="T577" s="371"/>
      <c r="U577" s="371"/>
      <c r="V577" s="371"/>
      <c r="W577" s="371"/>
      <c r="X577" s="371"/>
      <c r="Y577" s="371"/>
      <c r="Z577" s="371"/>
    </row>
    <row r="578">
      <c r="A578" s="371"/>
      <c r="B578" s="307"/>
      <c r="C578" s="307"/>
      <c r="D578" s="307"/>
      <c r="E578" s="307"/>
      <c r="F578" s="371"/>
      <c r="G578" s="307"/>
      <c r="H578" s="371"/>
      <c r="I578" s="371"/>
      <c r="J578" s="371"/>
      <c r="K578" s="371"/>
      <c r="L578" s="371"/>
      <c r="M578" s="371"/>
      <c r="N578" s="371"/>
      <c r="O578" s="371"/>
      <c r="P578" s="371"/>
      <c r="Q578" s="371"/>
      <c r="R578" s="371"/>
      <c r="S578" s="371"/>
      <c r="T578" s="371"/>
      <c r="U578" s="371"/>
      <c r="V578" s="371"/>
      <c r="W578" s="371"/>
      <c r="X578" s="371"/>
      <c r="Y578" s="371"/>
      <c r="Z578" s="371"/>
    </row>
    <row r="579">
      <c r="A579" s="371"/>
      <c r="B579" s="307"/>
      <c r="C579" s="307"/>
      <c r="D579" s="307"/>
      <c r="E579" s="307"/>
      <c r="F579" s="371"/>
      <c r="G579" s="307"/>
      <c r="H579" s="371"/>
      <c r="I579" s="371"/>
      <c r="J579" s="371"/>
      <c r="K579" s="371"/>
      <c r="L579" s="371"/>
      <c r="M579" s="371"/>
      <c r="N579" s="371"/>
      <c r="O579" s="371"/>
      <c r="P579" s="371"/>
      <c r="Q579" s="371"/>
      <c r="R579" s="371"/>
      <c r="S579" s="371"/>
      <c r="T579" s="371"/>
      <c r="U579" s="371"/>
      <c r="V579" s="371"/>
      <c r="W579" s="371"/>
      <c r="X579" s="371"/>
      <c r="Y579" s="371"/>
      <c r="Z579" s="371"/>
    </row>
    <row r="580">
      <c r="A580" s="371"/>
      <c r="B580" s="307"/>
      <c r="C580" s="307"/>
      <c r="D580" s="307"/>
      <c r="E580" s="307"/>
      <c r="F580" s="371"/>
      <c r="G580" s="307"/>
      <c r="H580" s="371"/>
      <c r="I580" s="371"/>
      <c r="J580" s="371"/>
      <c r="K580" s="371"/>
      <c r="L580" s="371"/>
      <c r="M580" s="371"/>
      <c r="N580" s="371"/>
      <c r="O580" s="371"/>
      <c r="P580" s="371"/>
      <c r="Q580" s="371"/>
      <c r="R580" s="371"/>
      <c r="S580" s="371"/>
      <c r="T580" s="371"/>
      <c r="U580" s="371"/>
      <c r="V580" s="371"/>
      <c r="W580" s="371"/>
      <c r="X580" s="371"/>
      <c r="Y580" s="371"/>
      <c r="Z580" s="371"/>
    </row>
    <row r="581">
      <c r="A581" s="371"/>
      <c r="B581" s="307"/>
      <c r="C581" s="307"/>
      <c r="D581" s="307"/>
      <c r="E581" s="307"/>
      <c r="F581" s="371"/>
      <c r="G581" s="307"/>
      <c r="H581" s="371"/>
      <c r="I581" s="371"/>
      <c r="J581" s="371"/>
      <c r="K581" s="371"/>
      <c r="L581" s="371"/>
      <c r="M581" s="371"/>
      <c r="N581" s="371"/>
      <c r="O581" s="371"/>
      <c r="P581" s="371"/>
      <c r="Q581" s="371"/>
      <c r="R581" s="371"/>
      <c r="S581" s="371"/>
      <c r="T581" s="371"/>
      <c r="U581" s="371"/>
      <c r="V581" s="371"/>
      <c r="W581" s="371"/>
      <c r="X581" s="371"/>
      <c r="Y581" s="371"/>
      <c r="Z581" s="371"/>
    </row>
    <row r="582">
      <c r="A582" s="371"/>
      <c r="B582" s="307"/>
      <c r="C582" s="307"/>
      <c r="D582" s="307"/>
      <c r="E582" s="307"/>
      <c r="F582" s="371"/>
      <c r="G582" s="307"/>
      <c r="H582" s="371"/>
      <c r="I582" s="371"/>
      <c r="J582" s="371"/>
      <c r="K582" s="371"/>
      <c r="L582" s="371"/>
      <c r="M582" s="371"/>
      <c r="N582" s="371"/>
      <c r="O582" s="371"/>
      <c r="P582" s="371"/>
      <c r="Q582" s="371"/>
      <c r="R582" s="371"/>
      <c r="S582" s="371"/>
      <c r="T582" s="371"/>
      <c r="U582" s="371"/>
      <c r="V582" s="371"/>
      <c r="W582" s="371"/>
      <c r="X582" s="371"/>
      <c r="Y582" s="371"/>
      <c r="Z582" s="371"/>
    </row>
    <row r="583">
      <c r="A583" s="371"/>
      <c r="B583" s="307"/>
      <c r="C583" s="307"/>
      <c r="D583" s="307"/>
      <c r="E583" s="307"/>
      <c r="F583" s="371"/>
      <c r="G583" s="307"/>
      <c r="H583" s="371"/>
      <c r="I583" s="371"/>
      <c r="J583" s="371"/>
      <c r="K583" s="371"/>
      <c r="L583" s="371"/>
      <c r="M583" s="371"/>
      <c r="N583" s="371"/>
      <c r="O583" s="371"/>
      <c r="P583" s="371"/>
      <c r="Q583" s="371"/>
      <c r="R583" s="371"/>
      <c r="S583" s="371"/>
      <c r="T583" s="371"/>
      <c r="U583" s="371"/>
      <c r="V583" s="371"/>
      <c r="W583" s="371"/>
      <c r="X583" s="371"/>
      <c r="Y583" s="371"/>
      <c r="Z583" s="371"/>
    </row>
    <row r="584">
      <c r="A584" s="371"/>
      <c r="B584" s="307"/>
      <c r="C584" s="307"/>
      <c r="D584" s="307"/>
      <c r="E584" s="307"/>
      <c r="F584" s="371"/>
      <c r="G584" s="307"/>
      <c r="H584" s="371"/>
      <c r="I584" s="371"/>
      <c r="J584" s="371"/>
      <c r="K584" s="371"/>
      <c r="L584" s="371"/>
      <c r="M584" s="371"/>
      <c r="N584" s="371"/>
      <c r="O584" s="371"/>
      <c r="P584" s="371"/>
      <c r="Q584" s="371"/>
      <c r="R584" s="371"/>
      <c r="S584" s="371"/>
      <c r="T584" s="371"/>
      <c r="U584" s="371"/>
      <c r="V584" s="371"/>
      <c r="W584" s="371"/>
      <c r="X584" s="371"/>
      <c r="Y584" s="371"/>
      <c r="Z584" s="371"/>
    </row>
    <row r="585">
      <c r="A585" s="371"/>
      <c r="B585" s="307"/>
      <c r="C585" s="307"/>
      <c r="D585" s="307"/>
      <c r="E585" s="307"/>
      <c r="F585" s="371"/>
      <c r="G585" s="307"/>
      <c r="H585" s="371"/>
      <c r="I585" s="371"/>
      <c r="J585" s="371"/>
      <c r="K585" s="371"/>
      <c r="L585" s="371"/>
      <c r="M585" s="371"/>
      <c r="N585" s="371"/>
      <c r="O585" s="371"/>
      <c r="P585" s="371"/>
      <c r="Q585" s="371"/>
      <c r="R585" s="371"/>
      <c r="S585" s="371"/>
      <c r="T585" s="371"/>
      <c r="U585" s="371"/>
      <c r="V585" s="371"/>
      <c r="W585" s="371"/>
      <c r="X585" s="371"/>
      <c r="Y585" s="371"/>
      <c r="Z585" s="371"/>
    </row>
    <row r="586">
      <c r="A586" s="371"/>
      <c r="B586" s="307"/>
      <c r="C586" s="307"/>
      <c r="D586" s="307"/>
      <c r="E586" s="307"/>
      <c r="F586" s="371"/>
      <c r="G586" s="307"/>
      <c r="H586" s="371"/>
      <c r="I586" s="371"/>
      <c r="J586" s="371"/>
      <c r="K586" s="371"/>
      <c r="L586" s="371"/>
      <c r="M586" s="371"/>
      <c r="N586" s="371"/>
      <c r="O586" s="371"/>
      <c r="P586" s="371"/>
      <c r="Q586" s="371"/>
      <c r="R586" s="371"/>
      <c r="S586" s="371"/>
      <c r="T586" s="371"/>
      <c r="U586" s="371"/>
      <c r="V586" s="371"/>
      <c r="W586" s="371"/>
      <c r="X586" s="371"/>
      <c r="Y586" s="371"/>
      <c r="Z586" s="371"/>
    </row>
    <row r="587">
      <c r="A587" s="371"/>
      <c r="B587" s="307"/>
      <c r="C587" s="307"/>
      <c r="D587" s="307"/>
      <c r="E587" s="307"/>
      <c r="F587" s="371"/>
      <c r="G587" s="307"/>
      <c r="H587" s="371"/>
      <c r="I587" s="371"/>
      <c r="J587" s="371"/>
      <c r="K587" s="371"/>
      <c r="L587" s="371"/>
      <c r="M587" s="371"/>
      <c r="N587" s="371"/>
      <c r="O587" s="371"/>
      <c r="P587" s="371"/>
      <c r="Q587" s="371"/>
      <c r="R587" s="371"/>
      <c r="S587" s="371"/>
      <c r="T587" s="371"/>
      <c r="U587" s="371"/>
      <c r="V587" s="371"/>
      <c r="W587" s="371"/>
      <c r="X587" s="371"/>
      <c r="Y587" s="371"/>
      <c r="Z587" s="371"/>
    </row>
    <row r="588">
      <c r="A588" s="371"/>
      <c r="B588" s="307"/>
      <c r="C588" s="307"/>
      <c r="D588" s="307"/>
      <c r="E588" s="307"/>
      <c r="F588" s="371"/>
      <c r="G588" s="307"/>
      <c r="H588" s="371"/>
      <c r="I588" s="371"/>
      <c r="J588" s="371"/>
      <c r="K588" s="371"/>
      <c r="L588" s="371"/>
      <c r="M588" s="371"/>
      <c r="N588" s="371"/>
      <c r="O588" s="371"/>
      <c r="P588" s="371"/>
      <c r="Q588" s="371"/>
      <c r="R588" s="371"/>
      <c r="S588" s="371"/>
      <c r="T588" s="371"/>
      <c r="U588" s="371"/>
      <c r="V588" s="371"/>
      <c r="W588" s="371"/>
      <c r="X588" s="371"/>
      <c r="Y588" s="371"/>
      <c r="Z588" s="371"/>
    </row>
    <row r="589">
      <c r="A589" s="371"/>
      <c r="B589" s="307"/>
      <c r="C589" s="307"/>
      <c r="D589" s="307"/>
      <c r="E589" s="307"/>
      <c r="F589" s="371"/>
      <c r="G589" s="307"/>
      <c r="H589" s="371"/>
      <c r="I589" s="371"/>
      <c r="J589" s="371"/>
      <c r="K589" s="371"/>
      <c r="L589" s="371"/>
      <c r="M589" s="371"/>
      <c r="N589" s="371"/>
      <c r="O589" s="371"/>
      <c r="P589" s="371"/>
      <c r="Q589" s="371"/>
      <c r="R589" s="371"/>
      <c r="S589" s="371"/>
      <c r="T589" s="371"/>
      <c r="U589" s="371"/>
      <c r="V589" s="371"/>
      <c r="W589" s="371"/>
      <c r="X589" s="371"/>
      <c r="Y589" s="371"/>
      <c r="Z589" s="371"/>
    </row>
    <row r="590">
      <c r="A590" s="371"/>
      <c r="B590" s="307"/>
      <c r="C590" s="307"/>
      <c r="D590" s="307"/>
      <c r="E590" s="307"/>
      <c r="F590" s="371"/>
      <c r="G590" s="307"/>
      <c r="H590" s="371"/>
      <c r="I590" s="371"/>
      <c r="J590" s="371"/>
      <c r="K590" s="371"/>
      <c r="L590" s="371"/>
      <c r="M590" s="371"/>
      <c r="N590" s="371"/>
      <c r="O590" s="371"/>
      <c r="P590" s="371"/>
      <c r="Q590" s="371"/>
      <c r="R590" s="371"/>
      <c r="S590" s="371"/>
      <c r="T590" s="371"/>
      <c r="U590" s="371"/>
      <c r="V590" s="371"/>
      <c r="W590" s="371"/>
      <c r="X590" s="371"/>
      <c r="Y590" s="371"/>
      <c r="Z590" s="371"/>
    </row>
    <row r="591">
      <c r="A591" s="371"/>
      <c r="B591" s="307"/>
      <c r="C591" s="307"/>
      <c r="D591" s="307"/>
      <c r="E591" s="307"/>
      <c r="F591" s="371"/>
      <c r="G591" s="307"/>
      <c r="H591" s="371"/>
      <c r="I591" s="371"/>
      <c r="J591" s="371"/>
      <c r="K591" s="371"/>
      <c r="L591" s="371"/>
      <c r="M591" s="371"/>
      <c r="N591" s="371"/>
      <c r="O591" s="371"/>
      <c r="P591" s="371"/>
      <c r="Q591" s="371"/>
      <c r="R591" s="371"/>
      <c r="S591" s="371"/>
      <c r="T591" s="371"/>
      <c r="U591" s="371"/>
      <c r="V591" s="371"/>
      <c r="W591" s="371"/>
      <c r="X591" s="371"/>
      <c r="Y591" s="371"/>
      <c r="Z591" s="371"/>
    </row>
    <row r="592">
      <c r="A592" s="371"/>
      <c r="B592" s="307"/>
      <c r="C592" s="307"/>
      <c r="D592" s="307"/>
      <c r="E592" s="307"/>
      <c r="F592" s="371"/>
      <c r="G592" s="307"/>
      <c r="H592" s="371"/>
      <c r="I592" s="371"/>
      <c r="J592" s="371"/>
      <c r="K592" s="371"/>
      <c r="L592" s="371"/>
      <c r="M592" s="371"/>
      <c r="N592" s="371"/>
      <c r="O592" s="371"/>
      <c r="P592" s="371"/>
      <c r="Q592" s="371"/>
      <c r="R592" s="371"/>
      <c r="S592" s="371"/>
      <c r="T592" s="371"/>
      <c r="U592" s="371"/>
      <c r="V592" s="371"/>
      <c r="W592" s="371"/>
      <c r="X592" s="371"/>
      <c r="Y592" s="371"/>
      <c r="Z592" s="371"/>
    </row>
    <row r="593">
      <c r="A593" s="371"/>
      <c r="B593" s="307"/>
      <c r="C593" s="307"/>
      <c r="D593" s="307"/>
      <c r="E593" s="307"/>
      <c r="F593" s="371"/>
      <c r="G593" s="307"/>
      <c r="H593" s="371"/>
      <c r="I593" s="371"/>
      <c r="J593" s="371"/>
      <c r="K593" s="371"/>
      <c r="L593" s="371"/>
      <c r="M593" s="371"/>
      <c r="N593" s="371"/>
      <c r="O593" s="371"/>
      <c r="P593" s="371"/>
      <c r="Q593" s="371"/>
      <c r="R593" s="371"/>
      <c r="S593" s="371"/>
      <c r="T593" s="371"/>
      <c r="U593" s="371"/>
      <c r="V593" s="371"/>
      <c r="W593" s="371"/>
      <c r="X593" s="371"/>
      <c r="Y593" s="371"/>
      <c r="Z593" s="371"/>
    </row>
    <row r="594">
      <c r="A594" s="371"/>
      <c r="B594" s="307"/>
      <c r="C594" s="307"/>
      <c r="D594" s="307"/>
      <c r="E594" s="307"/>
      <c r="F594" s="371"/>
      <c r="G594" s="307"/>
      <c r="H594" s="371"/>
      <c r="I594" s="371"/>
      <c r="J594" s="371"/>
      <c r="K594" s="371"/>
      <c r="L594" s="371"/>
      <c r="M594" s="371"/>
      <c r="N594" s="371"/>
      <c r="O594" s="371"/>
      <c r="P594" s="371"/>
      <c r="Q594" s="371"/>
      <c r="R594" s="371"/>
      <c r="S594" s="371"/>
      <c r="T594" s="371"/>
      <c r="U594" s="371"/>
      <c r="V594" s="371"/>
      <c r="W594" s="371"/>
      <c r="X594" s="371"/>
      <c r="Y594" s="371"/>
      <c r="Z594" s="371"/>
    </row>
    <row r="595">
      <c r="A595" s="371"/>
      <c r="B595" s="307"/>
      <c r="C595" s="307"/>
      <c r="D595" s="307"/>
      <c r="E595" s="307"/>
      <c r="F595" s="371"/>
      <c r="G595" s="307"/>
      <c r="H595" s="371"/>
      <c r="I595" s="371"/>
      <c r="J595" s="371"/>
      <c r="K595" s="371"/>
      <c r="L595" s="371"/>
      <c r="M595" s="371"/>
      <c r="N595" s="371"/>
      <c r="O595" s="371"/>
      <c r="P595" s="371"/>
      <c r="Q595" s="371"/>
      <c r="R595" s="371"/>
      <c r="S595" s="371"/>
      <c r="T595" s="371"/>
      <c r="U595" s="371"/>
      <c r="V595" s="371"/>
      <c r="W595" s="371"/>
      <c r="X595" s="371"/>
      <c r="Y595" s="371"/>
      <c r="Z595" s="371"/>
    </row>
    <row r="596">
      <c r="A596" s="371"/>
      <c r="B596" s="307"/>
      <c r="C596" s="307"/>
      <c r="D596" s="307"/>
      <c r="E596" s="307"/>
      <c r="F596" s="371"/>
      <c r="G596" s="307"/>
      <c r="H596" s="371"/>
      <c r="I596" s="371"/>
      <c r="J596" s="371"/>
      <c r="K596" s="371"/>
      <c r="L596" s="371"/>
      <c r="M596" s="371"/>
      <c r="N596" s="371"/>
      <c r="O596" s="371"/>
      <c r="P596" s="371"/>
      <c r="Q596" s="371"/>
      <c r="R596" s="371"/>
      <c r="S596" s="371"/>
      <c r="T596" s="371"/>
      <c r="U596" s="371"/>
      <c r="V596" s="371"/>
      <c r="W596" s="371"/>
      <c r="X596" s="371"/>
      <c r="Y596" s="371"/>
      <c r="Z596" s="371"/>
    </row>
    <row r="597">
      <c r="A597" s="371"/>
      <c r="B597" s="307"/>
      <c r="C597" s="307"/>
      <c r="D597" s="307"/>
      <c r="E597" s="307"/>
      <c r="F597" s="371"/>
      <c r="G597" s="307"/>
      <c r="H597" s="371"/>
      <c r="I597" s="371"/>
      <c r="J597" s="371"/>
      <c r="K597" s="371"/>
      <c r="L597" s="371"/>
      <c r="M597" s="371"/>
      <c r="N597" s="371"/>
      <c r="O597" s="371"/>
      <c r="P597" s="371"/>
      <c r="Q597" s="371"/>
      <c r="R597" s="371"/>
      <c r="S597" s="371"/>
      <c r="T597" s="371"/>
      <c r="U597" s="371"/>
      <c r="V597" s="371"/>
      <c r="W597" s="371"/>
      <c r="X597" s="371"/>
      <c r="Y597" s="371"/>
      <c r="Z597" s="371"/>
    </row>
    <row r="598">
      <c r="A598" s="371"/>
      <c r="B598" s="307"/>
      <c r="C598" s="307"/>
      <c r="D598" s="307"/>
      <c r="E598" s="307"/>
      <c r="F598" s="371"/>
      <c r="G598" s="307"/>
      <c r="H598" s="371"/>
      <c r="I598" s="371"/>
      <c r="J598" s="371"/>
      <c r="K598" s="371"/>
      <c r="L598" s="371"/>
      <c r="M598" s="371"/>
      <c r="N598" s="371"/>
      <c r="O598" s="371"/>
      <c r="P598" s="371"/>
      <c r="Q598" s="371"/>
      <c r="R598" s="371"/>
      <c r="S598" s="371"/>
      <c r="T598" s="371"/>
      <c r="U598" s="371"/>
      <c r="V598" s="371"/>
      <c r="W598" s="371"/>
      <c r="X598" s="371"/>
      <c r="Y598" s="371"/>
      <c r="Z598" s="371"/>
    </row>
    <row r="599">
      <c r="A599" s="371"/>
      <c r="B599" s="307"/>
      <c r="C599" s="307"/>
      <c r="D599" s="307"/>
      <c r="E599" s="307"/>
      <c r="F599" s="371"/>
      <c r="G599" s="307"/>
      <c r="H599" s="371"/>
      <c r="I599" s="371"/>
      <c r="J599" s="371"/>
      <c r="K599" s="371"/>
      <c r="L599" s="371"/>
      <c r="M599" s="371"/>
      <c r="N599" s="371"/>
      <c r="O599" s="371"/>
      <c r="P599" s="371"/>
      <c r="Q599" s="371"/>
      <c r="R599" s="371"/>
      <c r="S599" s="371"/>
      <c r="T599" s="371"/>
      <c r="U599" s="371"/>
      <c r="V599" s="371"/>
      <c r="W599" s="371"/>
      <c r="X599" s="371"/>
      <c r="Y599" s="371"/>
      <c r="Z599" s="371"/>
    </row>
    <row r="600">
      <c r="A600" s="371"/>
      <c r="B600" s="307"/>
      <c r="C600" s="307"/>
      <c r="D600" s="307"/>
      <c r="E600" s="307"/>
      <c r="F600" s="371"/>
      <c r="G600" s="307"/>
      <c r="H600" s="371"/>
      <c r="I600" s="371"/>
      <c r="J600" s="371"/>
      <c r="K600" s="371"/>
      <c r="L600" s="371"/>
      <c r="M600" s="371"/>
      <c r="N600" s="371"/>
      <c r="O600" s="371"/>
      <c r="P600" s="371"/>
      <c r="Q600" s="371"/>
      <c r="R600" s="371"/>
      <c r="S600" s="371"/>
      <c r="T600" s="371"/>
      <c r="U600" s="371"/>
      <c r="V600" s="371"/>
      <c r="W600" s="371"/>
      <c r="X600" s="371"/>
      <c r="Y600" s="371"/>
      <c r="Z600" s="371"/>
    </row>
    <row r="601">
      <c r="A601" s="371"/>
      <c r="B601" s="307"/>
      <c r="C601" s="307"/>
      <c r="D601" s="307"/>
      <c r="E601" s="307"/>
      <c r="F601" s="371"/>
      <c r="G601" s="307"/>
      <c r="H601" s="371"/>
      <c r="I601" s="371"/>
      <c r="J601" s="371"/>
      <c r="K601" s="371"/>
      <c r="L601" s="371"/>
      <c r="M601" s="371"/>
      <c r="N601" s="371"/>
      <c r="O601" s="371"/>
      <c r="P601" s="371"/>
      <c r="Q601" s="371"/>
      <c r="R601" s="371"/>
      <c r="S601" s="371"/>
      <c r="T601" s="371"/>
      <c r="U601" s="371"/>
      <c r="V601" s="371"/>
      <c r="W601" s="371"/>
      <c r="X601" s="371"/>
      <c r="Y601" s="371"/>
      <c r="Z601" s="371"/>
    </row>
    <row r="602">
      <c r="A602" s="371"/>
      <c r="B602" s="307"/>
      <c r="C602" s="307"/>
      <c r="D602" s="307"/>
      <c r="E602" s="307"/>
      <c r="F602" s="371"/>
      <c r="G602" s="307"/>
      <c r="H602" s="371"/>
      <c r="I602" s="371"/>
      <c r="J602" s="371"/>
      <c r="K602" s="371"/>
      <c r="L602" s="371"/>
      <c r="M602" s="371"/>
      <c r="N602" s="371"/>
      <c r="O602" s="371"/>
      <c r="P602" s="371"/>
      <c r="Q602" s="371"/>
      <c r="R602" s="371"/>
      <c r="S602" s="371"/>
      <c r="T602" s="371"/>
      <c r="U602" s="371"/>
      <c r="V602" s="371"/>
      <c r="W602" s="371"/>
      <c r="X602" s="371"/>
      <c r="Y602" s="371"/>
      <c r="Z602" s="371"/>
    </row>
    <row r="603">
      <c r="A603" s="371"/>
      <c r="B603" s="307"/>
      <c r="C603" s="307"/>
      <c r="D603" s="307"/>
      <c r="E603" s="307"/>
      <c r="F603" s="371"/>
      <c r="G603" s="307"/>
      <c r="H603" s="371"/>
      <c r="I603" s="371"/>
      <c r="J603" s="371"/>
      <c r="K603" s="371"/>
      <c r="L603" s="371"/>
      <c r="M603" s="371"/>
      <c r="N603" s="371"/>
      <c r="O603" s="371"/>
      <c r="P603" s="371"/>
      <c r="Q603" s="371"/>
      <c r="R603" s="371"/>
      <c r="S603" s="371"/>
      <c r="T603" s="371"/>
      <c r="U603" s="371"/>
      <c r="V603" s="371"/>
      <c r="W603" s="371"/>
      <c r="X603" s="371"/>
      <c r="Y603" s="371"/>
      <c r="Z603" s="371"/>
    </row>
    <row r="604">
      <c r="A604" s="371"/>
      <c r="B604" s="307"/>
      <c r="C604" s="307"/>
      <c r="D604" s="307"/>
      <c r="E604" s="307"/>
      <c r="F604" s="371"/>
      <c r="G604" s="307"/>
      <c r="H604" s="371"/>
      <c r="I604" s="371"/>
      <c r="J604" s="371"/>
      <c r="K604" s="371"/>
      <c r="L604" s="371"/>
      <c r="M604" s="371"/>
      <c r="N604" s="371"/>
      <c r="O604" s="371"/>
      <c r="P604" s="371"/>
      <c r="Q604" s="371"/>
      <c r="R604" s="371"/>
      <c r="S604" s="371"/>
      <c r="T604" s="371"/>
      <c r="U604" s="371"/>
      <c r="V604" s="371"/>
      <c r="W604" s="371"/>
      <c r="X604" s="371"/>
      <c r="Y604" s="371"/>
      <c r="Z604" s="371"/>
    </row>
    <row r="605">
      <c r="A605" s="371"/>
      <c r="B605" s="307"/>
      <c r="C605" s="307"/>
      <c r="D605" s="307"/>
      <c r="E605" s="307"/>
      <c r="F605" s="371"/>
      <c r="G605" s="307"/>
      <c r="H605" s="371"/>
      <c r="I605" s="371"/>
      <c r="J605" s="371"/>
      <c r="K605" s="371"/>
      <c r="L605" s="371"/>
      <c r="M605" s="371"/>
      <c r="N605" s="371"/>
      <c r="O605" s="371"/>
      <c r="P605" s="371"/>
      <c r="Q605" s="371"/>
      <c r="R605" s="371"/>
      <c r="S605" s="371"/>
      <c r="T605" s="371"/>
      <c r="U605" s="371"/>
      <c r="V605" s="371"/>
      <c r="W605" s="371"/>
      <c r="X605" s="371"/>
      <c r="Y605" s="371"/>
      <c r="Z605" s="371"/>
    </row>
    <row r="606">
      <c r="A606" s="371"/>
      <c r="B606" s="307"/>
      <c r="C606" s="307"/>
      <c r="D606" s="307"/>
      <c r="E606" s="307"/>
      <c r="F606" s="371"/>
      <c r="G606" s="307"/>
      <c r="H606" s="371"/>
      <c r="I606" s="371"/>
      <c r="J606" s="371"/>
      <c r="K606" s="371"/>
      <c r="L606" s="371"/>
      <c r="M606" s="371"/>
      <c r="N606" s="371"/>
      <c r="O606" s="371"/>
      <c r="P606" s="371"/>
      <c r="Q606" s="371"/>
      <c r="R606" s="371"/>
      <c r="S606" s="371"/>
      <c r="T606" s="371"/>
      <c r="U606" s="371"/>
      <c r="V606" s="371"/>
      <c r="W606" s="371"/>
      <c r="X606" s="371"/>
      <c r="Y606" s="371"/>
      <c r="Z606" s="371"/>
    </row>
    <row r="607">
      <c r="A607" s="371"/>
      <c r="B607" s="307"/>
      <c r="C607" s="307"/>
      <c r="D607" s="307"/>
      <c r="E607" s="307"/>
      <c r="F607" s="371"/>
      <c r="G607" s="307"/>
      <c r="H607" s="371"/>
      <c r="I607" s="371"/>
      <c r="J607" s="371"/>
      <c r="K607" s="371"/>
      <c r="L607" s="371"/>
      <c r="M607" s="371"/>
      <c r="N607" s="371"/>
      <c r="O607" s="371"/>
      <c r="P607" s="371"/>
      <c r="Q607" s="371"/>
      <c r="R607" s="371"/>
      <c r="S607" s="371"/>
      <c r="T607" s="371"/>
      <c r="U607" s="371"/>
      <c r="V607" s="371"/>
      <c r="W607" s="371"/>
      <c r="X607" s="371"/>
      <c r="Y607" s="371"/>
      <c r="Z607" s="371"/>
    </row>
    <row r="608">
      <c r="A608" s="371"/>
      <c r="B608" s="307"/>
      <c r="C608" s="307"/>
      <c r="D608" s="307"/>
      <c r="E608" s="307"/>
      <c r="F608" s="371"/>
      <c r="G608" s="307"/>
      <c r="H608" s="371"/>
      <c r="I608" s="371"/>
      <c r="J608" s="371"/>
      <c r="K608" s="371"/>
      <c r="L608" s="371"/>
      <c r="M608" s="371"/>
      <c r="N608" s="371"/>
      <c r="O608" s="371"/>
      <c r="P608" s="371"/>
      <c r="Q608" s="371"/>
      <c r="R608" s="371"/>
      <c r="S608" s="371"/>
      <c r="T608" s="371"/>
      <c r="U608" s="371"/>
      <c r="V608" s="371"/>
      <c r="W608" s="371"/>
      <c r="X608" s="371"/>
      <c r="Y608" s="371"/>
      <c r="Z608" s="371"/>
    </row>
    <row r="609">
      <c r="A609" s="371"/>
      <c r="B609" s="307"/>
      <c r="C609" s="307"/>
      <c r="D609" s="307"/>
      <c r="E609" s="307"/>
      <c r="F609" s="371"/>
      <c r="G609" s="307"/>
      <c r="H609" s="371"/>
      <c r="I609" s="371"/>
      <c r="J609" s="371"/>
      <c r="K609" s="371"/>
      <c r="L609" s="371"/>
      <c r="M609" s="371"/>
      <c r="N609" s="371"/>
      <c r="O609" s="371"/>
      <c r="P609" s="371"/>
      <c r="Q609" s="371"/>
      <c r="R609" s="371"/>
      <c r="S609" s="371"/>
      <c r="T609" s="371"/>
      <c r="U609" s="371"/>
      <c r="V609" s="371"/>
      <c r="W609" s="371"/>
      <c r="X609" s="371"/>
      <c r="Y609" s="371"/>
      <c r="Z609" s="371"/>
    </row>
    <row r="610">
      <c r="A610" s="371"/>
      <c r="B610" s="307"/>
      <c r="C610" s="307"/>
      <c r="D610" s="307"/>
      <c r="E610" s="307"/>
      <c r="F610" s="371"/>
      <c r="G610" s="307"/>
      <c r="H610" s="371"/>
      <c r="I610" s="371"/>
      <c r="J610" s="371"/>
      <c r="K610" s="371"/>
      <c r="L610" s="371"/>
      <c r="M610" s="371"/>
      <c r="N610" s="371"/>
      <c r="O610" s="371"/>
      <c r="P610" s="371"/>
      <c r="Q610" s="371"/>
      <c r="R610" s="371"/>
      <c r="S610" s="371"/>
      <c r="T610" s="371"/>
      <c r="U610" s="371"/>
      <c r="V610" s="371"/>
      <c r="W610" s="371"/>
      <c r="X610" s="371"/>
      <c r="Y610" s="371"/>
      <c r="Z610" s="371"/>
    </row>
    <row r="611">
      <c r="A611" s="371"/>
      <c r="B611" s="307"/>
      <c r="C611" s="307"/>
      <c r="D611" s="307"/>
      <c r="E611" s="307"/>
      <c r="F611" s="371"/>
      <c r="G611" s="307"/>
      <c r="H611" s="371"/>
      <c r="I611" s="371"/>
      <c r="J611" s="371"/>
      <c r="K611" s="371"/>
      <c r="L611" s="371"/>
      <c r="M611" s="371"/>
      <c r="N611" s="371"/>
      <c r="O611" s="371"/>
      <c r="P611" s="371"/>
      <c r="Q611" s="371"/>
      <c r="R611" s="371"/>
      <c r="S611" s="371"/>
      <c r="T611" s="371"/>
      <c r="U611" s="371"/>
      <c r="V611" s="371"/>
      <c r="W611" s="371"/>
      <c r="X611" s="371"/>
      <c r="Y611" s="371"/>
      <c r="Z611" s="371"/>
    </row>
    <row r="612">
      <c r="A612" s="371"/>
      <c r="B612" s="307"/>
      <c r="C612" s="307"/>
      <c r="D612" s="307"/>
      <c r="E612" s="307"/>
      <c r="F612" s="371"/>
      <c r="G612" s="307"/>
      <c r="H612" s="371"/>
      <c r="I612" s="371"/>
      <c r="J612" s="371"/>
      <c r="K612" s="371"/>
      <c r="L612" s="371"/>
      <c r="M612" s="371"/>
      <c r="N612" s="371"/>
      <c r="O612" s="371"/>
      <c r="P612" s="371"/>
      <c r="Q612" s="371"/>
      <c r="R612" s="371"/>
      <c r="S612" s="371"/>
      <c r="T612" s="371"/>
      <c r="U612" s="371"/>
      <c r="V612" s="371"/>
      <c r="W612" s="371"/>
      <c r="X612" s="371"/>
      <c r="Y612" s="371"/>
      <c r="Z612" s="371"/>
    </row>
    <row r="613">
      <c r="A613" s="371"/>
      <c r="B613" s="307"/>
      <c r="C613" s="307"/>
      <c r="D613" s="307"/>
      <c r="E613" s="307"/>
      <c r="F613" s="371"/>
      <c r="G613" s="307"/>
      <c r="H613" s="371"/>
      <c r="I613" s="371"/>
      <c r="J613" s="371"/>
      <c r="K613" s="371"/>
      <c r="L613" s="371"/>
      <c r="M613" s="371"/>
      <c r="N613" s="371"/>
      <c r="O613" s="371"/>
      <c r="P613" s="371"/>
      <c r="Q613" s="371"/>
      <c r="R613" s="371"/>
      <c r="S613" s="371"/>
      <c r="T613" s="371"/>
      <c r="U613" s="371"/>
      <c r="V613" s="371"/>
      <c r="W613" s="371"/>
      <c r="X613" s="371"/>
      <c r="Y613" s="371"/>
      <c r="Z613" s="371"/>
    </row>
    <row r="614">
      <c r="A614" s="371"/>
      <c r="B614" s="307"/>
      <c r="C614" s="307"/>
      <c r="D614" s="307"/>
      <c r="E614" s="307"/>
      <c r="F614" s="371"/>
      <c r="G614" s="307"/>
      <c r="H614" s="371"/>
      <c r="I614" s="371"/>
      <c r="J614" s="371"/>
      <c r="K614" s="371"/>
      <c r="L614" s="371"/>
      <c r="M614" s="371"/>
      <c r="N614" s="371"/>
      <c r="O614" s="371"/>
      <c r="P614" s="371"/>
      <c r="Q614" s="371"/>
      <c r="R614" s="371"/>
      <c r="S614" s="371"/>
      <c r="T614" s="371"/>
      <c r="U614" s="371"/>
      <c r="V614" s="371"/>
      <c r="W614" s="371"/>
      <c r="X614" s="371"/>
      <c r="Y614" s="371"/>
      <c r="Z614" s="371"/>
    </row>
    <row r="615">
      <c r="A615" s="371"/>
      <c r="B615" s="307"/>
      <c r="C615" s="307"/>
      <c r="D615" s="307"/>
      <c r="E615" s="307"/>
      <c r="F615" s="371"/>
      <c r="G615" s="307"/>
      <c r="H615" s="371"/>
      <c r="I615" s="371"/>
      <c r="J615" s="371"/>
      <c r="K615" s="371"/>
      <c r="L615" s="371"/>
      <c r="M615" s="371"/>
      <c r="N615" s="371"/>
      <c r="O615" s="371"/>
      <c r="P615" s="371"/>
      <c r="Q615" s="371"/>
      <c r="R615" s="371"/>
      <c r="S615" s="371"/>
      <c r="T615" s="371"/>
      <c r="U615" s="371"/>
      <c r="V615" s="371"/>
      <c r="W615" s="371"/>
      <c r="X615" s="371"/>
      <c r="Y615" s="371"/>
      <c r="Z615" s="371"/>
    </row>
    <row r="616">
      <c r="A616" s="371"/>
      <c r="B616" s="307"/>
      <c r="C616" s="307"/>
      <c r="D616" s="307"/>
      <c r="E616" s="307"/>
      <c r="F616" s="371"/>
      <c r="G616" s="307"/>
      <c r="H616" s="371"/>
      <c r="I616" s="371"/>
      <c r="J616" s="371"/>
      <c r="K616" s="371"/>
      <c r="L616" s="371"/>
      <c r="M616" s="371"/>
      <c r="N616" s="371"/>
      <c r="O616" s="371"/>
      <c r="P616" s="371"/>
      <c r="Q616" s="371"/>
      <c r="R616" s="371"/>
      <c r="S616" s="371"/>
      <c r="T616" s="371"/>
      <c r="U616" s="371"/>
      <c r="V616" s="371"/>
      <c r="W616" s="371"/>
      <c r="X616" s="371"/>
      <c r="Y616" s="371"/>
      <c r="Z616" s="371"/>
    </row>
    <row r="617">
      <c r="A617" s="371"/>
      <c r="B617" s="307"/>
      <c r="C617" s="307"/>
      <c r="D617" s="307"/>
      <c r="E617" s="307"/>
      <c r="F617" s="371"/>
      <c r="G617" s="307"/>
      <c r="H617" s="371"/>
      <c r="I617" s="371"/>
      <c r="J617" s="371"/>
      <c r="K617" s="371"/>
      <c r="L617" s="371"/>
      <c r="M617" s="371"/>
      <c r="N617" s="371"/>
      <c r="O617" s="371"/>
      <c r="P617" s="371"/>
      <c r="Q617" s="371"/>
      <c r="R617" s="371"/>
      <c r="S617" s="371"/>
      <c r="T617" s="371"/>
      <c r="U617" s="371"/>
      <c r="V617" s="371"/>
      <c r="W617" s="371"/>
      <c r="X617" s="371"/>
      <c r="Y617" s="371"/>
      <c r="Z617" s="371"/>
    </row>
    <row r="618">
      <c r="A618" s="371"/>
      <c r="B618" s="307"/>
      <c r="C618" s="307"/>
      <c r="D618" s="307"/>
      <c r="E618" s="307"/>
      <c r="F618" s="371"/>
      <c r="G618" s="307"/>
      <c r="H618" s="371"/>
      <c r="I618" s="371"/>
      <c r="J618" s="371"/>
      <c r="K618" s="371"/>
      <c r="L618" s="371"/>
      <c r="M618" s="371"/>
      <c r="N618" s="371"/>
      <c r="O618" s="371"/>
      <c r="P618" s="371"/>
      <c r="Q618" s="371"/>
      <c r="R618" s="371"/>
      <c r="S618" s="371"/>
      <c r="T618" s="371"/>
      <c r="U618" s="371"/>
      <c r="V618" s="371"/>
      <c r="W618" s="371"/>
      <c r="X618" s="371"/>
      <c r="Y618" s="371"/>
      <c r="Z618" s="371"/>
    </row>
    <row r="619">
      <c r="A619" s="371"/>
      <c r="B619" s="307"/>
      <c r="C619" s="307"/>
      <c r="D619" s="307"/>
      <c r="E619" s="307"/>
      <c r="F619" s="371"/>
      <c r="G619" s="307"/>
      <c r="H619" s="371"/>
      <c r="I619" s="371"/>
      <c r="J619" s="371"/>
      <c r="K619" s="371"/>
      <c r="L619" s="371"/>
      <c r="M619" s="371"/>
      <c r="N619" s="371"/>
      <c r="O619" s="371"/>
      <c r="P619" s="371"/>
      <c r="Q619" s="371"/>
      <c r="R619" s="371"/>
      <c r="S619" s="371"/>
      <c r="T619" s="371"/>
      <c r="U619" s="371"/>
      <c r="V619" s="371"/>
      <c r="W619" s="371"/>
      <c r="X619" s="371"/>
      <c r="Y619" s="371"/>
      <c r="Z619" s="371"/>
    </row>
    <row r="620">
      <c r="A620" s="371"/>
      <c r="B620" s="307"/>
      <c r="C620" s="307"/>
      <c r="D620" s="307"/>
      <c r="E620" s="307"/>
      <c r="F620" s="371"/>
      <c r="G620" s="307"/>
      <c r="H620" s="371"/>
      <c r="I620" s="371"/>
      <c r="J620" s="371"/>
      <c r="K620" s="371"/>
      <c r="L620" s="371"/>
      <c r="M620" s="371"/>
      <c r="N620" s="371"/>
      <c r="O620" s="371"/>
      <c r="P620" s="371"/>
      <c r="Q620" s="371"/>
      <c r="R620" s="371"/>
      <c r="S620" s="371"/>
      <c r="T620" s="371"/>
      <c r="U620" s="371"/>
      <c r="V620" s="371"/>
      <c r="W620" s="371"/>
      <c r="X620" s="371"/>
      <c r="Y620" s="371"/>
      <c r="Z620" s="371"/>
    </row>
    <row r="621">
      <c r="A621" s="371"/>
      <c r="B621" s="307"/>
      <c r="C621" s="307"/>
      <c r="D621" s="307"/>
      <c r="E621" s="307"/>
      <c r="F621" s="371"/>
      <c r="G621" s="307"/>
      <c r="H621" s="371"/>
      <c r="I621" s="371"/>
      <c r="J621" s="371"/>
      <c r="K621" s="371"/>
      <c r="L621" s="371"/>
      <c r="M621" s="371"/>
      <c r="N621" s="371"/>
      <c r="O621" s="371"/>
      <c r="P621" s="371"/>
      <c r="Q621" s="371"/>
      <c r="R621" s="371"/>
      <c r="S621" s="371"/>
      <c r="T621" s="371"/>
      <c r="U621" s="371"/>
      <c r="V621" s="371"/>
      <c r="W621" s="371"/>
      <c r="X621" s="371"/>
      <c r="Y621" s="371"/>
      <c r="Z621" s="371"/>
    </row>
    <row r="622">
      <c r="A622" s="371"/>
      <c r="B622" s="307"/>
      <c r="C622" s="307"/>
      <c r="D622" s="307"/>
      <c r="E622" s="307"/>
      <c r="F622" s="371"/>
      <c r="G622" s="307"/>
      <c r="H622" s="371"/>
      <c r="I622" s="371"/>
      <c r="J622" s="371"/>
      <c r="K622" s="371"/>
      <c r="L622" s="371"/>
      <c r="M622" s="371"/>
      <c r="N622" s="371"/>
      <c r="O622" s="371"/>
      <c r="P622" s="371"/>
      <c r="Q622" s="371"/>
      <c r="R622" s="371"/>
      <c r="S622" s="371"/>
      <c r="T622" s="371"/>
      <c r="U622" s="371"/>
      <c r="V622" s="371"/>
      <c r="W622" s="371"/>
      <c r="X622" s="371"/>
      <c r="Y622" s="371"/>
      <c r="Z622" s="371"/>
    </row>
    <row r="623">
      <c r="A623" s="371"/>
      <c r="B623" s="307"/>
      <c r="C623" s="307"/>
      <c r="D623" s="307"/>
      <c r="E623" s="307"/>
      <c r="F623" s="371"/>
      <c r="G623" s="307"/>
      <c r="H623" s="371"/>
      <c r="I623" s="371"/>
      <c r="J623" s="371"/>
      <c r="K623" s="371"/>
      <c r="L623" s="371"/>
      <c r="M623" s="371"/>
      <c r="N623" s="371"/>
      <c r="O623" s="371"/>
      <c r="P623" s="371"/>
      <c r="Q623" s="371"/>
      <c r="R623" s="371"/>
      <c r="S623" s="371"/>
      <c r="T623" s="371"/>
      <c r="U623" s="371"/>
      <c r="V623" s="371"/>
      <c r="W623" s="371"/>
      <c r="X623" s="371"/>
      <c r="Y623" s="371"/>
      <c r="Z623" s="371"/>
    </row>
    <row r="624">
      <c r="A624" s="371"/>
      <c r="B624" s="307"/>
      <c r="C624" s="307"/>
      <c r="D624" s="307"/>
      <c r="E624" s="307"/>
      <c r="F624" s="371"/>
      <c r="G624" s="307"/>
      <c r="H624" s="371"/>
      <c r="I624" s="371"/>
      <c r="J624" s="371"/>
      <c r="K624" s="371"/>
      <c r="L624" s="371"/>
      <c r="M624" s="371"/>
      <c r="N624" s="371"/>
      <c r="O624" s="371"/>
      <c r="P624" s="371"/>
      <c r="Q624" s="371"/>
      <c r="R624" s="371"/>
      <c r="S624" s="371"/>
      <c r="T624" s="371"/>
      <c r="U624" s="371"/>
      <c r="V624" s="371"/>
      <c r="W624" s="371"/>
      <c r="X624" s="371"/>
      <c r="Y624" s="371"/>
      <c r="Z624" s="371"/>
    </row>
    <row r="625">
      <c r="A625" s="371"/>
      <c r="B625" s="307"/>
      <c r="C625" s="307"/>
      <c r="D625" s="307"/>
      <c r="E625" s="307"/>
      <c r="F625" s="371"/>
      <c r="G625" s="307"/>
      <c r="H625" s="371"/>
      <c r="I625" s="371"/>
      <c r="J625" s="371"/>
      <c r="K625" s="371"/>
      <c r="L625" s="371"/>
      <c r="M625" s="371"/>
      <c r="N625" s="371"/>
      <c r="O625" s="371"/>
      <c r="P625" s="371"/>
      <c r="Q625" s="371"/>
      <c r="R625" s="371"/>
      <c r="S625" s="371"/>
      <c r="T625" s="371"/>
      <c r="U625" s="371"/>
      <c r="V625" s="371"/>
      <c r="W625" s="371"/>
      <c r="X625" s="371"/>
      <c r="Y625" s="371"/>
      <c r="Z625" s="371"/>
    </row>
    <row r="626">
      <c r="A626" s="371"/>
      <c r="B626" s="307"/>
      <c r="C626" s="307"/>
      <c r="D626" s="307"/>
      <c r="E626" s="307"/>
      <c r="F626" s="371"/>
      <c r="G626" s="307"/>
      <c r="H626" s="371"/>
      <c r="I626" s="371"/>
      <c r="J626" s="371"/>
      <c r="K626" s="371"/>
      <c r="L626" s="371"/>
      <c r="M626" s="371"/>
      <c r="N626" s="371"/>
      <c r="O626" s="371"/>
      <c r="P626" s="371"/>
      <c r="Q626" s="371"/>
      <c r="R626" s="371"/>
      <c r="S626" s="371"/>
      <c r="T626" s="371"/>
      <c r="U626" s="371"/>
      <c r="V626" s="371"/>
      <c r="W626" s="371"/>
      <c r="X626" s="371"/>
      <c r="Y626" s="371"/>
      <c r="Z626" s="371"/>
    </row>
    <row r="627">
      <c r="A627" s="371"/>
      <c r="B627" s="307"/>
      <c r="C627" s="307"/>
      <c r="D627" s="307"/>
      <c r="E627" s="307"/>
      <c r="F627" s="371"/>
      <c r="G627" s="307"/>
      <c r="H627" s="371"/>
      <c r="I627" s="371"/>
      <c r="J627" s="371"/>
      <c r="K627" s="371"/>
      <c r="L627" s="371"/>
      <c r="M627" s="371"/>
      <c r="N627" s="371"/>
      <c r="O627" s="371"/>
      <c r="P627" s="371"/>
      <c r="Q627" s="371"/>
      <c r="R627" s="371"/>
      <c r="S627" s="371"/>
      <c r="T627" s="371"/>
      <c r="U627" s="371"/>
      <c r="V627" s="371"/>
      <c r="W627" s="371"/>
      <c r="X627" s="371"/>
      <c r="Y627" s="371"/>
      <c r="Z627" s="371"/>
    </row>
    <row r="628">
      <c r="A628" s="371"/>
      <c r="B628" s="307"/>
      <c r="C628" s="307"/>
      <c r="D628" s="307"/>
      <c r="E628" s="307"/>
      <c r="F628" s="371"/>
      <c r="G628" s="307"/>
      <c r="H628" s="371"/>
      <c r="I628" s="371"/>
      <c r="J628" s="371"/>
      <c r="K628" s="371"/>
      <c r="L628" s="371"/>
      <c r="M628" s="371"/>
      <c r="N628" s="371"/>
      <c r="O628" s="371"/>
      <c r="P628" s="371"/>
      <c r="Q628" s="371"/>
      <c r="R628" s="371"/>
      <c r="S628" s="371"/>
      <c r="T628" s="371"/>
      <c r="U628" s="371"/>
      <c r="V628" s="371"/>
      <c r="W628" s="371"/>
      <c r="X628" s="371"/>
      <c r="Y628" s="371"/>
      <c r="Z628" s="371"/>
    </row>
    <row r="629">
      <c r="A629" s="371"/>
      <c r="B629" s="307"/>
      <c r="C629" s="307"/>
      <c r="D629" s="307"/>
      <c r="E629" s="307"/>
      <c r="F629" s="371"/>
      <c r="G629" s="307"/>
      <c r="H629" s="371"/>
      <c r="I629" s="371"/>
      <c r="J629" s="371"/>
      <c r="K629" s="371"/>
      <c r="L629" s="371"/>
      <c r="M629" s="371"/>
      <c r="N629" s="371"/>
      <c r="O629" s="371"/>
      <c r="P629" s="371"/>
      <c r="Q629" s="371"/>
      <c r="R629" s="371"/>
      <c r="S629" s="371"/>
      <c r="T629" s="371"/>
      <c r="U629" s="371"/>
      <c r="V629" s="371"/>
      <c r="W629" s="371"/>
      <c r="X629" s="371"/>
      <c r="Y629" s="371"/>
      <c r="Z629" s="371"/>
    </row>
    <row r="630">
      <c r="A630" s="371"/>
      <c r="B630" s="307"/>
      <c r="C630" s="307"/>
      <c r="D630" s="307"/>
      <c r="E630" s="307"/>
      <c r="F630" s="371"/>
      <c r="G630" s="307"/>
      <c r="H630" s="371"/>
      <c r="I630" s="371"/>
      <c r="J630" s="371"/>
      <c r="K630" s="371"/>
      <c r="L630" s="371"/>
      <c r="M630" s="371"/>
      <c r="N630" s="371"/>
      <c r="O630" s="371"/>
      <c r="P630" s="371"/>
      <c r="Q630" s="371"/>
      <c r="R630" s="371"/>
      <c r="S630" s="371"/>
      <c r="T630" s="371"/>
      <c r="U630" s="371"/>
      <c r="V630" s="371"/>
      <c r="W630" s="371"/>
      <c r="X630" s="371"/>
      <c r="Y630" s="371"/>
      <c r="Z630" s="371"/>
    </row>
    <row r="631">
      <c r="A631" s="371"/>
      <c r="B631" s="307"/>
      <c r="C631" s="307"/>
      <c r="D631" s="307"/>
      <c r="E631" s="307"/>
      <c r="F631" s="371"/>
      <c r="G631" s="307"/>
      <c r="H631" s="371"/>
      <c r="I631" s="371"/>
      <c r="J631" s="371"/>
      <c r="K631" s="371"/>
      <c r="L631" s="371"/>
      <c r="M631" s="371"/>
      <c r="N631" s="371"/>
      <c r="O631" s="371"/>
      <c r="P631" s="371"/>
      <c r="Q631" s="371"/>
      <c r="R631" s="371"/>
      <c r="S631" s="371"/>
      <c r="T631" s="371"/>
      <c r="U631" s="371"/>
      <c r="V631" s="371"/>
      <c r="W631" s="371"/>
      <c r="X631" s="371"/>
      <c r="Y631" s="371"/>
      <c r="Z631" s="371"/>
    </row>
    <row r="632">
      <c r="A632" s="371"/>
      <c r="B632" s="307"/>
      <c r="C632" s="307"/>
      <c r="D632" s="307"/>
      <c r="E632" s="307"/>
      <c r="F632" s="371"/>
      <c r="G632" s="307"/>
      <c r="H632" s="371"/>
      <c r="I632" s="371"/>
      <c r="J632" s="371"/>
      <c r="K632" s="371"/>
      <c r="L632" s="371"/>
      <c r="M632" s="371"/>
      <c r="N632" s="371"/>
      <c r="O632" s="371"/>
      <c r="P632" s="371"/>
      <c r="Q632" s="371"/>
      <c r="R632" s="371"/>
      <c r="S632" s="371"/>
      <c r="T632" s="371"/>
      <c r="U632" s="371"/>
      <c r="V632" s="371"/>
      <c r="W632" s="371"/>
      <c r="X632" s="371"/>
      <c r="Y632" s="371"/>
      <c r="Z632" s="371"/>
    </row>
    <row r="633">
      <c r="A633" s="371"/>
      <c r="B633" s="307"/>
      <c r="C633" s="307"/>
      <c r="D633" s="307"/>
      <c r="E633" s="307"/>
      <c r="F633" s="371"/>
      <c r="G633" s="307"/>
      <c r="H633" s="371"/>
      <c r="I633" s="371"/>
      <c r="J633" s="371"/>
      <c r="K633" s="371"/>
      <c r="L633" s="371"/>
      <c r="M633" s="371"/>
      <c r="N633" s="371"/>
      <c r="O633" s="371"/>
      <c r="P633" s="371"/>
      <c r="Q633" s="371"/>
      <c r="R633" s="371"/>
      <c r="S633" s="371"/>
      <c r="T633" s="371"/>
      <c r="U633" s="371"/>
      <c r="V633" s="371"/>
      <c r="W633" s="371"/>
      <c r="X633" s="371"/>
      <c r="Y633" s="371"/>
      <c r="Z633" s="371"/>
    </row>
    <row r="634">
      <c r="A634" s="371"/>
      <c r="B634" s="307"/>
      <c r="C634" s="307"/>
      <c r="D634" s="307"/>
      <c r="E634" s="307"/>
      <c r="F634" s="371"/>
      <c r="G634" s="307"/>
      <c r="H634" s="371"/>
      <c r="I634" s="371"/>
      <c r="J634" s="371"/>
      <c r="K634" s="371"/>
      <c r="L634" s="371"/>
      <c r="M634" s="371"/>
      <c r="N634" s="371"/>
      <c r="O634" s="371"/>
      <c r="P634" s="371"/>
      <c r="Q634" s="371"/>
      <c r="R634" s="371"/>
      <c r="S634" s="371"/>
      <c r="T634" s="371"/>
      <c r="U634" s="371"/>
      <c r="V634" s="371"/>
      <c r="W634" s="371"/>
      <c r="X634" s="371"/>
      <c r="Y634" s="371"/>
      <c r="Z634" s="371"/>
    </row>
    <row r="635">
      <c r="A635" s="371"/>
      <c r="B635" s="307"/>
      <c r="C635" s="307"/>
      <c r="D635" s="307"/>
      <c r="E635" s="307"/>
      <c r="F635" s="371"/>
      <c r="G635" s="307"/>
      <c r="H635" s="371"/>
      <c r="I635" s="371"/>
      <c r="J635" s="371"/>
      <c r="K635" s="371"/>
      <c r="L635" s="371"/>
      <c r="M635" s="371"/>
      <c r="N635" s="371"/>
      <c r="O635" s="371"/>
      <c r="P635" s="371"/>
      <c r="Q635" s="371"/>
      <c r="R635" s="371"/>
      <c r="S635" s="371"/>
      <c r="T635" s="371"/>
      <c r="U635" s="371"/>
      <c r="V635" s="371"/>
      <c r="W635" s="371"/>
      <c r="X635" s="371"/>
      <c r="Y635" s="371"/>
      <c r="Z635" s="371"/>
    </row>
    <row r="636">
      <c r="A636" s="371"/>
      <c r="B636" s="307"/>
      <c r="C636" s="307"/>
      <c r="D636" s="307"/>
      <c r="E636" s="307"/>
      <c r="F636" s="371"/>
      <c r="G636" s="307"/>
      <c r="H636" s="371"/>
      <c r="I636" s="371"/>
      <c r="J636" s="371"/>
      <c r="K636" s="371"/>
      <c r="L636" s="371"/>
      <c r="M636" s="371"/>
      <c r="N636" s="371"/>
      <c r="O636" s="371"/>
      <c r="P636" s="371"/>
      <c r="Q636" s="371"/>
      <c r="R636" s="371"/>
      <c r="S636" s="371"/>
      <c r="T636" s="371"/>
      <c r="U636" s="371"/>
      <c r="V636" s="371"/>
      <c r="W636" s="371"/>
      <c r="X636" s="371"/>
      <c r="Y636" s="371"/>
      <c r="Z636" s="371"/>
    </row>
    <row r="637">
      <c r="A637" s="371"/>
      <c r="B637" s="307"/>
      <c r="C637" s="307"/>
      <c r="D637" s="307"/>
      <c r="E637" s="307"/>
      <c r="F637" s="371"/>
      <c r="G637" s="307"/>
      <c r="H637" s="371"/>
      <c r="I637" s="371"/>
      <c r="J637" s="371"/>
      <c r="K637" s="371"/>
      <c r="L637" s="371"/>
      <c r="M637" s="371"/>
      <c r="N637" s="371"/>
      <c r="O637" s="371"/>
      <c r="P637" s="371"/>
      <c r="Q637" s="371"/>
      <c r="R637" s="371"/>
      <c r="S637" s="371"/>
      <c r="T637" s="371"/>
      <c r="U637" s="371"/>
      <c r="V637" s="371"/>
      <c r="W637" s="371"/>
      <c r="X637" s="371"/>
      <c r="Y637" s="371"/>
      <c r="Z637" s="371"/>
    </row>
    <row r="638">
      <c r="A638" s="371"/>
      <c r="B638" s="307"/>
      <c r="C638" s="307"/>
      <c r="D638" s="307"/>
      <c r="E638" s="307"/>
      <c r="F638" s="371"/>
      <c r="G638" s="307"/>
      <c r="H638" s="371"/>
      <c r="I638" s="371"/>
      <c r="J638" s="371"/>
      <c r="K638" s="371"/>
      <c r="L638" s="371"/>
      <c r="M638" s="371"/>
      <c r="N638" s="371"/>
      <c r="O638" s="371"/>
      <c r="P638" s="371"/>
      <c r="Q638" s="371"/>
      <c r="R638" s="371"/>
      <c r="S638" s="371"/>
      <c r="T638" s="371"/>
      <c r="U638" s="371"/>
      <c r="V638" s="371"/>
      <c r="W638" s="371"/>
      <c r="X638" s="371"/>
      <c r="Y638" s="371"/>
      <c r="Z638" s="371"/>
    </row>
    <row r="639">
      <c r="A639" s="371"/>
      <c r="B639" s="307"/>
      <c r="C639" s="307"/>
      <c r="D639" s="307"/>
      <c r="E639" s="307"/>
      <c r="F639" s="371"/>
      <c r="G639" s="307"/>
      <c r="H639" s="371"/>
      <c r="I639" s="371"/>
      <c r="J639" s="371"/>
      <c r="K639" s="371"/>
      <c r="L639" s="371"/>
      <c r="M639" s="371"/>
      <c r="N639" s="371"/>
      <c r="O639" s="371"/>
      <c r="P639" s="371"/>
      <c r="Q639" s="371"/>
      <c r="R639" s="371"/>
      <c r="S639" s="371"/>
      <c r="T639" s="371"/>
      <c r="U639" s="371"/>
      <c r="V639" s="371"/>
      <c r="W639" s="371"/>
      <c r="X639" s="371"/>
      <c r="Y639" s="371"/>
      <c r="Z639" s="371"/>
    </row>
    <row r="640">
      <c r="A640" s="371"/>
      <c r="B640" s="307"/>
      <c r="C640" s="307"/>
      <c r="D640" s="307"/>
      <c r="E640" s="307"/>
      <c r="F640" s="371"/>
      <c r="G640" s="307"/>
      <c r="H640" s="371"/>
      <c r="I640" s="371"/>
      <c r="J640" s="371"/>
      <c r="K640" s="371"/>
      <c r="L640" s="371"/>
      <c r="M640" s="371"/>
      <c r="N640" s="371"/>
      <c r="O640" s="371"/>
      <c r="P640" s="371"/>
      <c r="Q640" s="371"/>
      <c r="R640" s="371"/>
      <c r="S640" s="371"/>
      <c r="T640" s="371"/>
      <c r="U640" s="371"/>
      <c r="V640" s="371"/>
      <c r="W640" s="371"/>
      <c r="X640" s="371"/>
      <c r="Y640" s="371"/>
      <c r="Z640" s="371"/>
    </row>
    <row r="641">
      <c r="A641" s="371"/>
      <c r="B641" s="307"/>
      <c r="C641" s="307"/>
      <c r="D641" s="307"/>
      <c r="E641" s="307"/>
      <c r="F641" s="371"/>
      <c r="G641" s="307"/>
      <c r="H641" s="371"/>
      <c r="I641" s="371"/>
      <c r="J641" s="371"/>
      <c r="K641" s="371"/>
      <c r="L641" s="371"/>
      <c r="M641" s="371"/>
      <c r="N641" s="371"/>
      <c r="O641" s="371"/>
      <c r="P641" s="371"/>
      <c r="Q641" s="371"/>
      <c r="R641" s="371"/>
      <c r="S641" s="371"/>
      <c r="T641" s="371"/>
      <c r="U641" s="371"/>
      <c r="V641" s="371"/>
      <c r="W641" s="371"/>
      <c r="X641" s="371"/>
      <c r="Y641" s="371"/>
      <c r="Z641" s="371"/>
    </row>
    <row r="642">
      <c r="A642" s="371"/>
      <c r="B642" s="307"/>
      <c r="C642" s="307"/>
      <c r="D642" s="307"/>
      <c r="E642" s="307"/>
      <c r="F642" s="371"/>
      <c r="G642" s="307"/>
      <c r="H642" s="371"/>
      <c r="I642" s="371"/>
      <c r="J642" s="371"/>
      <c r="K642" s="371"/>
      <c r="L642" s="371"/>
      <c r="M642" s="371"/>
      <c r="N642" s="371"/>
      <c r="O642" s="371"/>
      <c r="P642" s="371"/>
      <c r="Q642" s="371"/>
      <c r="R642" s="371"/>
      <c r="S642" s="371"/>
      <c r="T642" s="371"/>
      <c r="U642" s="371"/>
      <c r="V642" s="371"/>
      <c r="W642" s="371"/>
      <c r="X642" s="371"/>
      <c r="Y642" s="371"/>
      <c r="Z642" s="371"/>
    </row>
    <row r="643">
      <c r="A643" s="371"/>
      <c r="B643" s="307"/>
      <c r="C643" s="307"/>
      <c r="D643" s="307"/>
      <c r="E643" s="307"/>
      <c r="F643" s="371"/>
      <c r="G643" s="307"/>
      <c r="H643" s="371"/>
      <c r="I643" s="371"/>
      <c r="J643" s="371"/>
      <c r="K643" s="371"/>
      <c r="L643" s="371"/>
      <c r="M643" s="371"/>
      <c r="N643" s="371"/>
      <c r="O643" s="371"/>
      <c r="P643" s="371"/>
      <c r="Q643" s="371"/>
      <c r="R643" s="371"/>
      <c r="S643" s="371"/>
      <c r="T643" s="371"/>
      <c r="U643" s="371"/>
      <c r="V643" s="371"/>
      <c r="W643" s="371"/>
      <c r="X643" s="371"/>
      <c r="Y643" s="371"/>
      <c r="Z643" s="371"/>
    </row>
    <row r="644">
      <c r="A644" s="371"/>
      <c r="B644" s="307"/>
      <c r="C644" s="307"/>
      <c r="D644" s="307"/>
      <c r="E644" s="307"/>
      <c r="F644" s="371"/>
      <c r="G644" s="307"/>
      <c r="H644" s="371"/>
      <c r="I644" s="371"/>
      <c r="J644" s="371"/>
      <c r="K644" s="371"/>
      <c r="L644" s="371"/>
      <c r="M644" s="371"/>
      <c r="N644" s="371"/>
      <c r="O644" s="371"/>
      <c r="P644" s="371"/>
      <c r="Q644" s="371"/>
      <c r="R644" s="371"/>
      <c r="S644" s="371"/>
      <c r="T644" s="371"/>
      <c r="U644" s="371"/>
      <c r="V644" s="371"/>
      <c r="W644" s="371"/>
      <c r="X644" s="371"/>
      <c r="Y644" s="371"/>
      <c r="Z644" s="371"/>
    </row>
    <row r="645">
      <c r="A645" s="371"/>
      <c r="B645" s="307"/>
      <c r="C645" s="307"/>
      <c r="D645" s="307"/>
      <c r="E645" s="307"/>
      <c r="F645" s="371"/>
      <c r="G645" s="307"/>
      <c r="H645" s="371"/>
      <c r="I645" s="371"/>
      <c r="J645" s="371"/>
      <c r="K645" s="371"/>
      <c r="L645" s="371"/>
      <c r="M645" s="371"/>
      <c r="N645" s="371"/>
      <c r="O645" s="371"/>
      <c r="P645" s="371"/>
      <c r="Q645" s="371"/>
      <c r="R645" s="371"/>
      <c r="S645" s="371"/>
      <c r="T645" s="371"/>
      <c r="U645" s="371"/>
      <c r="V645" s="371"/>
      <c r="W645" s="371"/>
      <c r="X645" s="371"/>
      <c r="Y645" s="371"/>
      <c r="Z645" s="371"/>
    </row>
    <row r="646">
      <c r="A646" s="371"/>
      <c r="B646" s="307"/>
      <c r="C646" s="307"/>
      <c r="D646" s="307"/>
      <c r="E646" s="307"/>
      <c r="F646" s="371"/>
      <c r="G646" s="307"/>
      <c r="H646" s="371"/>
      <c r="I646" s="371"/>
      <c r="J646" s="371"/>
      <c r="K646" s="371"/>
      <c r="L646" s="371"/>
      <c r="M646" s="371"/>
      <c r="N646" s="371"/>
      <c r="O646" s="371"/>
      <c r="P646" s="371"/>
      <c r="Q646" s="371"/>
      <c r="R646" s="371"/>
      <c r="S646" s="371"/>
      <c r="T646" s="371"/>
      <c r="U646" s="371"/>
      <c r="V646" s="371"/>
      <c r="W646" s="371"/>
      <c r="X646" s="371"/>
      <c r="Y646" s="371"/>
      <c r="Z646" s="371"/>
    </row>
    <row r="647">
      <c r="A647" s="371"/>
      <c r="B647" s="307"/>
      <c r="C647" s="307"/>
      <c r="D647" s="307"/>
      <c r="E647" s="307"/>
      <c r="F647" s="371"/>
      <c r="G647" s="307"/>
      <c r="H647" s="371"/>
      <c r="I647" s="371"/>
      <c r="J647" s="371"/>
      <c r="K647" s="371"/>
      <c r="L647" s="371"/>
      <c r="M647" s="371"/>
      <c r="N647" s="371"/>
      <c r="O647" s="371"/>
      <c r="P647" s="371"/>
      <c r="Q647" s="371"/>
      <c r="R647" s="371"/>
      <c r="S647" s="371"/>
      <c r="T647" s="371"/>
      <c r="U647" s="371"/>
      <c r="V647" s="371"/>
      <c r="W647" s="371"/>
      <c r="X647" s="371"/>
      <c r="Y647" s="371"/>
      <c r="Z647" s="371"/>
    </row>
    <row r="648">
      <c r="A648" s="371"/>
      <c r="B648" s="307"/>
      <c r="C648" s="307"/>
      <c r="D648" s="307"/>
      <c r="E648" s="307"/>
      <c r="F648" s="371"/>
      <c r="G648" s="307"/>
      <c r="H648" s="371"/>
      <c r="I648" s="371"/>
      <c r="J648" s="371"/>
      <c r="K648" s="371"/>
      <c r="L648" s="371"/>
      <c r="M648" s="371"/>
      <c r="N648" s="371"/>
      <c r="O648" s="371"/>
      <c r="P648" s="371"/>
      <c r="Q648" s="371"/>
      <c r="R648" s="371"/>
      <c r="S648" s="371"/>
      <c r="T648" s="371"/>
      <c r="U648" s="371"/>
      <c r="V648" s="371"/>
      <c r="W648" s="371"/>
      <c r="X648" s="371"/>
      <c r="Y648" s="371"/>
      <c r="Z648" s="371"/>
    </row>
    <row r="649">
      <c r="A649" s="371"/>
      <c r="B649" s="307"/>
      <c r="C649" s="307"/>
      <c r="D649" s="307"/>
      <c r="E649" s="307"/>
      <c r="F649" s="371"/>
      <c r="G649" s="307"/>
      <c r="H649" s="371"/>
      <c r="I649" s="371"/>
      <c r="J649" s="371"/>
      <c r="K649" s="371"/>
      <c r="L649" s="371"/>
      <c r="M649" s="371"/>
      <c r="N649" s="371"/>
      <c r="O649" s="371"/>
      <c r="P649" s="371"/>
      <c r="Q649" s="371"/>
      <c r="R649" s="371"/>
      <c r="S649" s="371"/>
      <c r="T649" s="371"/>
      <c r="U649" s="371"/>
      <c r="V649" s="371"/>
      <c r="W649" s="371"/>
      <c r="X649" s="371"/>
      <c r="Y649" s="371"/>
      <c r="Z649" s="371"/>
    </row>
    <row r="650">
      <c r="A650" s="371"/>
      <c r="B650" s="307"/>
      <c r="C650" s="307"/>
      <c r="D650" s="307"/>
      <c r="E650" s="307"/>
      <c r="F650" s="371"/>
      <c r="G650" s="307"/>
      <c r="H650" s="371"/>
      <c r="I650" s="371"/>
      <c r="J650" s="371"/>
      <c r="K650" s="371"/>
      <c r="L650" s="371"/>
      <c r="M650" s="371"/>
      <c r="N650" s="371"/>
      <c r="O650" s="371"/>
      <c r="P650" s="371"/>
      <c r="Q650" s="371"/>
      <c r="R650" s="371"/>
      <c r="S650" s="371"/>
      <c r="T650" s="371"/>
      <c r="U650" s="371"/>
      <c r="V650" s="371"/>
      <c r="W650" s="371"/>
      <c r="X650" s="371"/>
      <c r="Y650" s="371"/>
      <c r="Z650" s="371"/>
    </row>
    <row r="651">
      <c r="A651" s="371"/>
      <c r="B651" s="307"/>
      <c r="C651" s="307"/>
      <c r="D651" s="307"/>
      <c r="E651" s="307"/>
      <c r="F651" s="371"/>
      <c r="G651" s="307"/>
      <c r="H651" s="371"/>
      <c r="I651" s="371"/>
      <c r="J651" s="371"/>
      <c r="K651" s="371"/>
      <c r="L651" s="371"/>
      <c r="M651" s="371"/>
      <c r="N651" s="371"/>
      <c r="O651" s="371"/>
      <c r="P651" s="371"/>
      <c r="Q651" s="371"/>
      <c r="R651" s="371"/>
      <c r="S651" s="371"/>
      <c r="T651" s="371"/>
      <c r="U651" s="371"/>
      <c r="V651" s="371"/>
      <c r="W651" s="371"/>
      <c r="X651" s="371"/>
      <c r="Y651" s="371"/>
      <c r="Z651" s="371"/>
    </row>
    <row r="652">
      <c r="A652" s="371"/>
      <c r="B652" s="307"/>
      <c r="C652" s="307"/>
      <c r="D652" s="307"/>
      <c r="E652" s="307"/>
      <c r="F652" s="371"/>
      <c r="G652" s="307"/>
      <c r="H652" s="371"/>
      <c r="I652" s="371"/>
      <c r="J652" s="371"/>
      <c r="K652" s="371"/>
      <c r="L652" s="371"/>
      <c r="M652" s="371"/>
      <c r="N652" s="371"/>
      <c r="O652" s="371"/>
      <c r="P652" s="371"/>
      <c r="Q652" s="371"/>
      <c r="R652" s="371"/>
      <c r="S652" s="371"/>
      <c r="T652" s="371"/>
      <c r="U652" s="371"/>
      <c r="V652" s="371"/>
      <c r="W652" s="371"/>
      <c r="X652" s="371"/>
      <c r="Y652" s="371"/>
      <c r="Z652" s="371"/>
    </row>
    <row r="653">
      <c r="A653" s="371"/>
      <c r="B653" s="307"/>
      <c r="C653" s="307"/>
      <c r="D653" s="307"/>
      <c r="E653" s="307"/>
      <c r="F653" s="371"/>
      <c r="G653" s="307"/>
      <c r="H653" s="371"/>
      <c r="I653" s="371"/>
      <c r="J653" s="371"/>
      <c r="K653" s="371"/>
      <c r="L653" s="371"/>
      <c r="M653" s="371"/>
      <c r="N653" s="371"/>
      <c r="O653" s="371"/>
      <c r="P653" s="371"/>
      <c r="Q653" s="371"/>
      <c r="R653" s="371"/>
      <c r="S653" s="371"/>
      <c r="T653" s="371"/>
      <c r="U653" s="371"/>
      <c r="V653" s="371"/>
      <c r="W653" s="371"/>
      <c r="X653" s="371"/>
      <c r="Y653" s="371"/>
      <c r="Z653" s="371"/>
    </row>
    <row r="654">
      <c r="A654" s="371"/>
      <c r="B654" s="307"/>
      <c r="C654" s="307"/>
      <c r="D654" s="307"/>
      <c r="E654" s="307"/>
      <c r="F654" s="371"/>
      <c r="G654" s="307"/>
      <c r="H654" s="371"/>
      <c r="I654" s="371"/>
      <c r="J654" s="371"/>
      <c r="K654" s="371"/>
      <c r="L654" s="371"/>
      <c r="M654" s="371"/>
      <c r="N654" s="371"/>
      <c r="O654" s="371"/>
      <c r="P654" s="371"/>
      <c r="Q654" s="371"/>
      <c r="R654" s="371"/>
      <c r="S654" s="371"/>
      <c r="T654" s="371"/>
      <c r="U654" s="371"/>
      <c r="V654" s="371"/>
      <c r="W654" s="371"/>
      <c r="X654" s="371"/>
      <c r="Y654" s="371"/>
      <c r="Z654" s="371"/>
    </row>
    <row r="655">
      <c r="A655" s="371"/>
      <c r="B655" s="307"/>
      <c r="C655" s="307"/>
      <c r="D655" s="307"/>
      <c r="E655" s="307"/>
      <c r="F655" s="371"/>
      <c r="G655" s="307"/>
      <c r="H655" s="371"/>
      <c r="I655" s="371"/>
      <c r="J655" s="371"/>
      <c r="K655" s="371"/>
      <c r="L655" s="371"/>
      <c r="M655" s="371"/>
      <c r="N655" s="371"/>
      <c r="O655" s="371"/>
      <c r="P655" s="371"/>
      <c r="Q655" s="371"/>
      <c r="R655" s="371"/>
      <c r="S655" s="371"/>
      <c r="T655" s="371"/>
      <c r="U655" s="371"/>
      <c r="V655" s="371"/>
      <c r="W655" s="371"/>
      <c r="X655" s="371"/>
      <c r="Y655" s="371"/>
      <c r="Z655" s="371"/>
    </row>
    <row r="656">
      <c r="A656" s="371"/>
      <c r="B656" s="307"/>
      <c r="C656" s="307"/>
      <c r="D656" s="307"/>
      <c r="E656" s="307"/>
      <c r="F656" s="371"/>
      <c r="G656" s="307"/>
      <c r="H656" s="371"/>
      <c r="I656" s="371"/>
      <c r="J656" s="371"/>
      <c r="K656" s="371"/>
      <c r="L656" s="371"/>
      <c r="M656" s="371"/>
      <c r="N656" s="371"/>
      <c r="O656" s="371"/>
      <c r="P656" s="371"/>
      <c r="Q656" s="371"/>
      <c r="R656" s="371"/>
      <c r="S656" s="371"/>
      <c r="T656" s="371"/>
      <c r="U656" s="371"/>
      <c r="V656" s="371"/>
      <c r="W656" s="371"/>
      <c r="X656" s="371"/>
      <c r="Y656" s="371"/>
      <c r="Z656" s="371"/>
    </row>
    <row r="657">
      <c r="A657" s="371"/>
      <c r="B657" s="307"/>
      <c r="C657" s="307"/>
      <c r="D657" s="307"/>
      <c r="E657" s="307"/>
      <c r="F657" s="371"/>
      <c r="G657" s="307"/>
      <c r="H657" s="371"/>
      <c r="I657" s="371"/>
      <c r="J657" s="371"/>
      <c r="K657" s="371"/>
      <c r="L657" s="371"/>
      <c r="M657" s="371"/>
      <c r="N657" s="371"/>
      <c r="O657" s="371"/>
      <c r="P657" s="371"/>
      <c r="Q657" s="371"/>
      <c r="R657" s="371"/>
      <c r="S657" s="371"/>
      <c r="T657" s="371"/>
      <c r="U657" s="371"/>
      <c r="V657" s="371"/>
      <c r="W657" s="371"/>
      <c r="X657" s="371"/>
      <c r="Y657" s="371"/>
      <c r="Z657" s="371"/>
    </row>
    <row r="658">
      <c r="A658" s="371"/>
      <c r="B658" s="307"/>
      <c r="C658" s="307"/>
      <c r="D658" s="307"/>
      <c r="E658" s="307"/>
      <c r="F658" s="371"/>
      <c r="G658" s="307"/>
      <c r="H658" s="371"/>
      <c r="I658" s="371"/>
      <c r="J658" s="371"/>
      <c r="K658" s="371"/>
      <c r="L658" s="371"/>
      <c r="M658" s="371"/>
      <c r="N658" s="371"/>
      <c r="O658" s="371"/>
      <c r="P658" s="371"/>
      <c r="Q658" s="371"/>
      <c r="R658" s="371"/>
      <c r="S658" s="371"/>
      <c r="T658" s="371"/>
      <c r="U658" s="371"/>
      <c r="V658" s="371"/>
      <c r="W658" s="371"/>
      <c r="X658" s="371"/>
      <c r="Y658" s="371"/>
      <c r="Z658" s="371"/>
    </row>
    <row r="659">
      <c r="A659" s="371"/>
      <c r="B659" s="307"/>
      <c r="C659" s="307"/>
      <c r="D659" s="307"/>
      <c r="E659" s="307"/>
      <c r="F659" s="371"/>
      <c r="G659" s="307"/>
      <c r="H659" s="371"/>
      <c r="I659" s="371"/>
      <c r="J659" s="371"/>
      <c r="K659" s="371"/>
      <c r="L659" s="371"/>
      <c r="M659" s="371"/>
      <c r="N659" s="371"/>
      <c r="O659" s="371"/>
      <c r="P659" s="371"/>
      <c r="Q659" s="371"/>
      <c r="R659" s="371"/>
      <c r="S659" s="371"/>
      <c r="T659" s="371"/>
      <c r="U659" s="371"/>
      <c r="V659" s="371"/>
      <c r="W659" s="371"/>
      <c r="X659" s="371"/>
      <c r="Y659" s="371"/>
      <c r="Z659" s="371"/>
    </row>
    <row r="660">
      <c r="A660" s="371"/>
      <c r="B660" s="307"/>
      <c r="C660" s="307"/>
      <c r="D660" s="307"/>
      <c r="E660" s="307"/>
      <c r="F660" s="371"/>
      <c r="G660" s="307"/>
      <c r="H660" s="371"/>
      <c r="I660" s="371"/>
      <c r="J660" s="371"/>
      <c r="K660" s="371"/>
      <c r="L660" s="371"/>
      <c r="M660" s="371"/>
      <c r="N660" s="371"/>
      <c r="O660" s="371"/>
      <c r="P660" s="371"/>
      <c r="Q660" s="371"/>
      <c r="R660" s="371"/>
      <c r="S660" s="371"/>
      <c r="T660" s="371"/>
      <c r="U660" s="371"/>
      <c r="V660" s="371"/>
      <c r="W660" s="371"/>
      <c r="X660" s="371"/>
      <c r="Y660" s="371"/>
      <c r="Z660" s="371"/>
    </row>
    <row r="661">
      <c r="A661" s="371"/>
      <c r="B661" s="307"/>
      <c r="C661" s="307"/>
      <c r="D661" s="307"/>
      <c r="E661" s="307"/>
      <c r="F661" s="371"/>
      <c r="G661" s="307"/>
      <c r="H661" s="371"/>
      <c r="I661" s="371"/>
      <c r="J661" s="371"/>
      <c r="K661" s="371"/>
      <c r="L661" s="371"/>
      <c r="M661" s="371"/>
      <c r="N661" s="371"/>
      <c r="O661" s="371"/>
      <c r="P661" s="371"/>
      <c r="Q661" s="371"/>
      <c r="R661" s="371"/>
      <c r="S661" s="371"/>
      <c r="T661" s="371"/>
      <c r="U661" s="371"/>
      <c r="V661" s="371"/>
      <c r="W661" s="371"/>
      <c r="X661" s="371"/>
      <c r="Y661" s="371"/>
      <c r="Z661" s="371"/>
    </row>
    <row r="662">
      <c r="A662" s="371"/>
      <c r="B662" s="307"/>
      <c r="C662" s="307"/>
      <c r="D662" s="307"/>
      <c r="E662" s="307"/>
      <c r="F662" s="371"/>
      <c r="G662" s="307"/>
      <c r="H662" s="371"/>
      <c r="I662" s="371"/>
      <c r="J662" s="371"/>
      <c r="K662" s="371"/>
      <c r="L662" s="371"/>
      <c r="M662" s="371"/>
      <c r="N662" s="371"/>
      <c r="O662" s="371"/>
      <c r="P662" s="371"/>
      <c r="Q662" s="371"/>
      <c r="R662" s="371"/>
      <c r="S662" s="371"/>
      <c r="T662" s="371"/>
      <c r="U662" s="371"/>
      <c r="V662" s="371"/>
      <c r="W662" s="371"/>
      <c r="X662" s="371"/>
      <c r="Y662" s="371"/>
      <c r="Z662" s="371"/>
    </row>
    <row r="663">
      <c r="A663" s="371"/>
      <c r="B663" s="307"/>
      <c r="C663" s="307"/>
      <c r="D663" s="307"/>
      <c r="E663" s="307"/>
      <c r="F663" s="371"/>
      <c r="G663" s="307"/>
      <c r="H663" s="371"/>
      <c r="I663" s="371"/>
      <c r="J663" s="371"/>
      <c r="K663" s="371"/>
      <c r="L663" s="371"/>
      <c r="M663" s="371"/>
      <c r="N663" s="371"/>
      <c r="O663" s="371"/>
      <c r="P663" s="371"/>
      <c r="Q663" s="371"/>
      <c r="R663" s="371"/>
      <c r="S663" s="371"/>
      <c r="T663" s="371"/>
      <c r="U663" s="371"/>
      <c r="V663" s="371"/>
      <c r="W663" s="371"/>
      <c r="X663" s="371"/>
      <c r="Y663" s="371"/>
      <c r="Z663" s="371"/>
    </row>
    <row r="664">
      <c r="A664" s="371"/>
      <c r="B664" s="307"/>
      <c r="C664" s="307"/>
      <c r="D664" s="307"/>
      <c r="E664" s="307"/>
      <c r="F664" s="371"/>
      <c r="G664" s="307"/>
      <c r="H664" s="371"/>
      <c r="I664" s="371"/>
      <c r="J664" s="371"/>
      <c r="K664" s="371"/>
      <c r="L664" s="371"/>
      <c r="M664" s="371"/>
      <c r="N664" s="371"/>
      <c r="O664" s="371"/>
      <c r="P664" s="371"/>
      <c r="Q664" s="371"/>
      <c r="R664" s="371"/>
      <c r="S664" s="371"/>
      <c r="T664" s="371"/>
      <c r="U664" s="371"/>
      <c r="V664" s="371"/>
      <c r="W664" s="371"/>
      <c r="X664" s="371"/>
      <c r="Y664" s="371"/>
      <c r="Z664" s="371"/>
    </row>
    <row r="665">
      <c r="A665" s="371"/>
      <c r="B665" s="307"/>
      <c r="C665" s="307"/>
      <c r="D665" s="307"/>
      <c r="E665" s="307"/>
      <c r="F665" s="371"/>
      <c r="G665" s="307"/>
      <c r="H665" s="371"/>
      <c r="I665" s="371"/>
      <c r="J665" s="371"/>
      <c r="K665" s="371"/>
      <c r="L665" s="371"/>
      <c r="M665" s="371"/>
      <c r="N665" s="371"/>
      <c r="O665" s="371"/>
      <c r="P665" s="371"/>
      <c r="Q665" s="371"/>
      <c r="R665" s="371"/>
      <c r="S665" s="371"/>
      <c r="T665" s="371"/>
      <c r="U665" s="371"/>
      <c r="V665" s="371"/>
      <c r="W665" s="371"/>
      <c r="X665" s="371"/>
      <c r="Y665" s="371"/>
      <c r="Z665" s="371"/>
    </row>
    <row r="666">
      <c r="A666" s="371"/>
      <c r="B666" s="307"/>
      <c r="C666" s="307"/>
      <c r="D666" s="307"/>
      <c r="E666" s="307"/>
      <c r="F666" s="371"/>
      <c r="G666" s="307"/>
      <c r="H666" s="371"/>
      <c r="I666" s="371"/>
      <c r="J666" s="371"/>
      <c r="K666" s="371"/>
      <c r="L666" s="371"/>
      <c r="M666" s="371"/>
      <c r="N666" s="371"/>
      <c r="O666" s="371"/>
      <c r="P666" s="371"/>
      <c r="Q666" s="371"/>
      <c r="R666" s="371"/>
      <c r="S666" s="371"/>
      <c r="T666" s="371"/>
      <c r="U666" s="371"/>
      <c r="V666" s="371"/>
      <c r="W666" s="371"/>
      <c r="X666" s="371"/>
      <c r="Y666" s="371"/>
      <c r="Z666" s="371"/>
    </row>
    <row r="667">
      <c r="A667" s="371"/>
      <c r="B667" s="307"/>
      <c r="C667" s="307"/>
      <c r="D667" s="307"/>
      <c r="E667" s="307"/>
      <c r="F667" s="371"/>
      <c r="G667" s="307"/>
      <c r="H667" s="371"/>
      <c r="I667" s="371"/>
      <c r="J667" s="371"/>
      <c r="K667" s="371"/>
      <c r="L667" s="371"/>
      <c r="M667" s="371"/>
      <c r="N667" s="371"/>
      <c r="O667" s="371"/>
      <c r="P667" s="371"/>
      <c r="Q667" s="371"/>
      <c r="R667" s="371"/>
      <c r="S667" s="371"/>
      <c r="T667" s="371"/>
      <c r="U667" s="371"/>
      <c r="V667" s="371"/>
      <c r="W667" s="371"/>
      <c r="X667" s="371"/>
      <c r="Y667" s="371"/>
      <c r="Z667" s="371"/>
    </row>
    <row r="668">
      <c r="A668" s="371"/>
      <c r="B668" s="307"/>
      <c r="C668" s="307"/>
      <c r="D668" s="307"/>
      <c r="E668" s="307"/>
      <c r="F668" s="371"/>
      <c r="G668" s="307"/>
      <c r="H668" s="371"/>
      <c r="I668" s="371"/>
      <c r="J668" s="371"/>
      <c r="K668" s="371"/>
      <c r="L668" s="371"/>
      <c r="M668" s="371"/>
      <c r="N668" s="371"/>
      <c r="O668" s="371"/>
      <c r="P668" s="371"/>
      <c r="Q668" s="371"/>
      <c r="R668" s="371"/>
      <c r="S668" s="371"/>
      <c r="T668" s="371"/>
      <c r="U668" s="371"/>
      <c r="V668" s="371"/>
      <c r="W668" s="371"/>
      <c r="X668" s="371"/>
      <c r="Y668" s="371"/>
      <c r="Z668" s="371"/>
    </row>
    <row r="669">
      <c r="A669" s="371"/>
      <c r="B669" s="307"/>
      <c r="C669" s="307"/>
      <c r="D669" s="307"/>
      <c r="E669" s="307"/>
      <c r="F669" s="371"/>
      <c r="G669" s="307"/>
      <c r="H669" s="371"/>
      <c r="I669" s="371"/>
      <c r="J669" s="371"/>
      <c r="K669" s="371"/>
      <c r="L669" s="371"/>
      <c r="M669" s="371"/>
      <c r="N669" s="371"/>
      <c r="O669" s="371"/>
      <c r="P669" s="371"/>
      <c r="Q669" s="371"/>
      <c r="R669" s="371"/>
      <c r="S669" s="371"/>
      <c r="T669" s="371"/>
      <c r="U669" s="371"/>
      <c r="V669" s="371"/>
      <c r="W669" s="371"/>
      <c r="X669" s="371"/>
      <c r="Y669" s="371"/>
      <c r="Z669" s="371"/>
    </row>
    <row r="670">
      <c r="A670" s="371"/>
      <c r="B670" s="307"/>
      <c r="C670" s="307"/>
      <c r="D670" s="307"/>
      <c r="E670" s="307"/>
      <c r="F670" s="371"/>
      <c r="G670" s="307"/>
      <c r="H670" s="371"/>
      <c r="I670" s="371"/>
      <c r="J670" s="371"/>
      <c r="K670" s="371"/>
      <c r="L670" s="371"/>
      <c r="M670" s="371"/>
      <c r="N670" s="371"/>
      <c r="O670" s="371"/>
      <c r="P670" s="371"/>
      <c r="Q670" s="371"/>
      <c r="R670" s="371"/>
      <c r="S670" s="371"/>
      <c r="T670" s="371"/>
      <c r="U670" s="371"/>
      <c r="V670" s="371"/>
      <c r="W670" s="371"/>
      <c r="X670" s="371"/>
      <c r="Y670" s="371"/>
      <c r="Z670" s="371"/>
    </row>
    <row r="671">
      <c r="A671" s="371"/>
      <c r="B671" s="307"/>
      <c r="C671" s="307"/>
      <c r="D671" s="307"/>
      <c r="E671" s="307"/>
      <c r="F671" s="371"/>
      <c r="G671" s="307"/>
      <c r="H671" s="371"/>
      <c r="I671" s="371"/>
      <c r="J671" s="371"/>
      <c r="K671" s="371"/>
      <c r="L671" s="371"/>
      <c r="M671" s="371"/>
      <c r="N671" s="371"/>
      <c r="O671" s="371"/>
      <c r="P671" s="371"/>
      <c r="Q671" s="371"/>
      <c r="R671" s="371"/>
      <c r="S671" s="371"/>
      <c r="T671" s="371"/>
      <c r="U671" s="371"/>
      <c r="V671" s="371"/>
      <c r="W671" s="371"/>
      <c r="X671" s="371"/>
      <c r="Y671" s="371"/>
      <c r="Z671" s="371"/>
    </row>
    <row r="672">
      <c r="A672" s="371"/>
      <c r="B672" s="307"/>
      <c r="C672" s="307"/>
      <c r="D672" s="307"/>
      <c r="E672" s="307"/>
      <c r="F672" s="371"/>
      <c r="G672" s="307"/>
      <c r="H672" s="371"/>
      <c r="I672" s="371"/>
      <c r="J672" s="371"/>
      <c r="K672" s="371"/>
      <c r="L672" s="371"/>
      <c r="M672" s="371"/>
      <c r="N672" s="371"/>
      <c r="O672" s="371"/>
      <c r="P672" s="371"/>
      <c r="Q672" s="371"/>
      <c r="R672" s="371"/>
      <c r="S672" s="371"/>
      <c r="T672" s="371"/>
      <c r="U672" s="371"/>
      <c r="V672" s="371"/>
      <c r="W672" s="371"/>
      <c r="X672" s="371"/>
      <c r="Y672" s="371"/>
      <c r="Z672" s="371"/>
    </row>
    <row r="673">
      <c r="A673" s="371"/>
      <c r="B673" s="307"/>
      <c r="C673" s="307"/>
      <c r="D673" s="307"/>
      <c r="E673" s="307"/>
      <c r="F673" s="371"/>
      <c r="G673" s="307"/>
      <c r="H673" s="371"/>
      <c r="I673" s="371"/>
      <c r="J673" s="371"/>
      <c r="K673" s="371"/>
      <c r="L673" s="371"/>
      <c r="M673" s="371"/>
      <c r="N673" s="371"/>
      <c r="O673" s="371"/>
      <c r="P673" s="371"/>
      <c r="Q673" s="371"/>
      <c r="R673" s="371"/>
      <c r="S673" s="371"/>
      <c r="T673" s="371"/>
      <c r="U673" s="371"/>
      <c r="V673" s="371"/>
      <c r="W673" s="371"/>
      <c r="X673" s="371"/>
      <c r="Y673" s="371"/>
      <c r="Z673" s="371"/>
    </row>
    <row r="674">
      <c r="A674" s="371"/>
      <c r="B674" s="307"/>
      <c r="C674" s="307"/>
      <c r="D674" s="307"/>
      <c r="E674" s="307"/>
      <c r="F674" s="371"/>
      <c r="G674" s="307"/>
      <c r="H674" s="371"/>
      <c r="I674" s="371"/>
      <c r="J674" s="371"/>
      <c r="K674" s="371"/>
      <c r="L674" s="371"/>
      <c r="M674" s="371"/>
      <c r="N674" s="371"/>
      <c r="O674" s="371"/>
      <c r="P674" s="371"/>
      <c r="Q674" s="371"/>
      <c r="R674" s="371"/>
      <c r="S674" s="371"/>
      <c r="T674" s="371"/>
      <c r="U674" s="371"/>
      <c r="V674" s="371"/>
      <c r="W674" s="371"/>
      <c r="X674" s="371"/>
      <c r="Y674" s="371"/>
      <c r="Z674" s="371"/>
    </row>
    <row r="675">
      <c r="A675" s="371"/>
      <c r="B675" s="307"/>
      <c r="C675" s="307"/>
      <c r="D675" s="307"/>
      <c r="E675" s="307"/>
      <c r="F675" s="371"/>
      <c r="G675" s="307"/>
      <c r="H675" s="371"/>
      <c r="I675" s="371"/>
      <c r="J675" s="371"/>
      <c r="K675" s="371"/>
      <c r="L675" s="371"/>
      <c r="M675" s="371"/>
      <c r="N675" s="371"/>
      <c r="O675" s="371"/>
      <c r="P675" s="371"/>
      <c r="Q675" s="371"/>
      <c r="R675" s="371"/>
      <c r="S675" s="371"/>
      <c r="T675" s="371"/>
      <c r="U675" s="371"/>
      <c r="V675" s="371"/>
      <c r="W675" s="371"/>
      <c r="X675" s="371"/>
      <c r="Y675" s="371"/>
      <c r="Z675" s="371"/>
    </row>
    <row r="676">
      <c r="A676" s="371"/>
      <c r="B676" s="307"/>
      <c r="C676" s="307"/>
      <c r="D676" s="307"/>
      <c r="E676" s="307"/>
      <c r="F676" s="371"/>
      <c r="G676" s="307"/>
      <c r="H676" s="371"/>
      <c r="I676" s="371"/>
      <c r="J676" s="371"/>
      <c r="K676" s="371"/>
      <c r="L676" s="371"/>
      <c r="M676" s="371"/>
      <c r="N676" s="371"/>
      <c r="O676" s="371"/>
      <c r="P676" s="371"/>
      <c r="Q676" s="371"/>
      <c r="R676" s="371"/>
      <c r="S676" s="371"/>
      <c r="T676" s="371"/>
      <c r="U676" s="371"/>
      <c r="V676" s="371"/>
      <c r="W676" s="371"/>
      <c r="X676" s="371"/>
      <c r="Y676" s="371"/>
      <c r="Z676" s="371"/>
    </row>
    <row r="677">
      <c r="A677" s="371"/>
      <c r="B677" s="307"/>
      <c r="C677" s="307"/>
      <c r="D677" s="307"/>
      <c r="E677" s="307"/>
      <c r="F677" s="371"/>
      <c r="G677" s="307"/>
      <c r="H677" s="371"/>
      <c r="I677" s="371"/>
      <c r="J677" s="371"/>
      <c r="K677" s="371"/>
      <c r="L677" s="371"/>
      <c r="M677" s="371"/>
      <c r="N677" s="371"/>
      <c r="O677" s="371"/>
      <c r="P677" s="371"/>
      <c r="Q677" s="371"/>
      <c r="R677" s="371"/>
      <c r="S677" s="371"/>
      <c r="T677" s="371"/>
      <c r="U677" s="371"/>
      <c r="V677" s="371"/>
      <c r="W677" s="371"/>
      <c r="X677" s="371"/>
      <c r="Y677" s="371"/>
      <c r="Z677" s="371"/>
    </row>
    <row r="678">
      <c r="A678" s="371"/>
      <c r="B678" s="307"/>
      <c r="C678" s="307"/>
      <c r="D678" s="307"/>
      <c r="E678" s="307"/>
      <c r="F678" s="371"/>
      <c r="G678" s="307"/>
      <c r="H678" s="371"/>
      <c r="I678" s="371"/>
      <c r="J678" s="371"/>
      <c r="K678" s="371"/>
      <c r="L678" s="371"/>
      <c r="M678" s="371"/>
      <c r="N678" s="371"/>
      <c r="O678" s="371"/>
      <c r="P678" s="371"/>
      <c r="Q678" s="371"/>
      <c r="R678" s="371"/>
      <c r="S678" s="371"/>
      <c r="T678" s="371"/>
      <c r="U678" s="371"/>
      <c r="V678" s="371"/>
      <c r="W678" s="371"/>
      <c r="X678" s="371"/>
      <c r="Y678" s="371"/>
      <c r="Z678" s="371"/>
    </row>
    <row r="679">
      <c r="A679" s="371"/>
      <c r="B679" s="307"/>
      <c r="C679" s="307"/>
      <c r="D679" s="307"/>
      <c r="E679" s="307"/>
      <c r="F679" s="371"/>
      <c r="G679" s="307"/>
      <c r="H679" s="371"/>
      <c r="I679" s="371"/>
      <c r="J679" s="371"/>
      <c r="K679" s="371"/>
      <c r="L679" s="371"/>
      <c r="M679" s="371"/>
      <c r="N679" s="371"/>
      <c r="O679" s="371"/>
      <c r="P679" s="371"/>
      <c r="Q679" s="371"/>
      <c r="R679" s="371"/>
      <c r="S679" s="371"/>
      <c r="T679" s="371"/>
      <c r="U679" s="371"/>
      <c r="V679" s="371"/>
      <c r="W679" s="371"/>
      <c r="X679" s="371"/>
      <c r="Y679" s="371"/>
      <c r="Z679" s="371"/>
    </row>
    <row r="680">
      <c r="A680" s="371"/>
      <c r="B680" s="307"/>
      <c r="C680" s="307"/>
      <c r="D680" s="307"/>
      <c r="E680" s="307"/>
      <c r="F680" s="371"/>
      <c r="G680" s="307"/>
      <c r="H680" s="371"/>
      <c r="I680" s="371"/>
      <c r="J680" s="371"/>
      <c r="K680" s="371"/>
      <c r="L680" s="371"/>
      <c r="M680" s="371"/>
      <c r="N680" s="371"/>
      <c r="O680" s="371"/>
      <c r="P680" s="371"/>
      <c r="Q680" s="371"/>
      <c r="R680" s="371"/>
      <c r="S680" s="371"/>
      <c r="T680" s="371"/>
      <c r="U680" s="371"/>
      <c r="V680" s="371"/>
      <c r="W680" s="371"/>
      <c r="X680" s="371"/>
      <c r="Y680" s="371"/>
      <c r="Z680" s="371"/>
    </row>
    <row r="681">
      <c r="A681" s="371"/>
      <c r="B681" s="307"/>
      <c r="C681" s="307"/>
      <c r="D681" s="307"/>
      <c r="E681" s="307"/>
      <c r="F681" s="371"/>
      <c r="G681" s="307"/>
      <c r="H681" s="371"/>
      <c r="I681" s="371"/>
      <c r="J681" s="371"/>
      <c r="K681" s="371"/>
      <c r="L681" s="371"/>
      <c r="M681" s="371"/>
      <c r="N681" s="371"/>
      <c r="O681" s="371"/>
      <c r="P681" s="371"/>
      <c r="Q681" s="371"/>
      <c r="R681" s="371"/>
      <c r="S681" s="371"/>
      <c r="T681" s="371"/>
      <c r="U681" s="371"/>
      <c r="V681" s="371"/>
      <c r="W681" s="371"/>
      <c r="X681" s="371"/>
      <c r="Y681" s="371"/>
      <c r="Z681" s="371"/>
    </row>
    <row r="682">
      <c r="A682" s="371"/>
      <c r="B682" s="307"/>
      <c r="C682" s="307"/>
      <c r="D682" s="307"/>
      <c r="E682" s="307"/>
      <c r="F682" s="371"/>
      <c r="G682" s="307"/>
      <c r="H682" s="371"/>
      <c r="I682" s="371"/>
      <c r="J682" s="371"/>
      <c r="K682" s="371"/>
      <c r="L682" s="371"/>
      <c r="M682" s="371"/>
      <c r="N682" s="371"/>
      <c r="O682" s="371"/>
      <c r="P682" s="371"/>
      <c r="Q682" s="371"/>
      <c r="R682" s="371"/>
      <c r="S682" s="371"/>
      <c r="T682" s="371"/>
      <c r="U682" s="371"/>
      <c r="V682" s="371"/>
      <c r="W682" s="371"/>
      <c r="X682" s="371"/>
      <c r="Y682" s="371"/>
      <c r="Z682" s="371"/>
    </row>
    <row r="683">
      <c r="A683" s="371"/>
      <c r="B683" s="307"/>
      <c r="C683" s="307"/>
      <c r="D683" s="307"/>
      <c r="E683" s="307"/>
      <c r="F683" s="371"/>
      <c r="G683" s="307"/>
      <c r="H683" s="371"/>
      <c r="I683" s="371"/>
      <c r="J683" s="371"/>
      <c r="K683" s="371"/>
      <c r="L683" s="371"/>
      <c r="M683" s="371"/>
      <c r="N683" s="371"/>
      <c r="O683" s="371"/>
      <c r="P683" s="371"/>
      <c r="Q683" s="371"/>
      <c r="R683" s="371"/>
      <c r="S683" s="371"/>
      <c r="T683" s="371"/>
      <c r="U683" s="371"/>
      <c r="V683" s="371"/>
      <c r="W683" s="371"/>
      <c r="X683" s="371"/>
      <c r="Y683" s="371"/>
      <c r="Z683" s="371"/>
    </row>
    <row r="684">
      <c r="A684" s="371"/>
      <c r="B684" s="307"/>
      <c r="C684" s="307"/>
      <c r="D684" s="307"/>
      <c r="E684" s="307"/>
      <c r="F684" s="371"/>
      <c r="G684" s="307"/>
      <c r="H684" s="371"/>
      <c r="I684" s="371"/>
      <c r="J684" s="371"/>
      <c r="K684" s="371"/>
      <c r="L684" s="371"/>
      <c r="M684" s="371"/>
      <c r="N684" s="371"/>
      <c r="O684" s="371"/>
      <c r="P684" s="371"/>
      <c r="Q684" s="371"/>
      <c r="R684" s="371"/>
      <c r="S684" s="371"/>
      <c r="T684" s="371"/>
      <c r="U684" s="371"/>
      <c r="V684" s="371"/>
      <c r="W684" s="371"/>
      <c r="X684" s="371"/>
      <c r="Y684" s="371"/>
      <c r="Z684" s="371"/>
    </row>
    <row r="685">
      <c r="A685" s="371"/>
      <c r="B685" s="307"/>
      <c r="C685" s="307"/>
      <c r="D685" s="307"/>
      <c r="E685" s="307"/>
      <c r="F685" s="371"/>
      <c r="G685" s="307"/>
      <c r="H685" s="371"/>
      <c r="I685" s="371"/>
      <c r="J685" s="371"/>
      <c r="K685" s="371"/>
      <c r="L685" s="371"/>
      <c r="M685" s="371"/>
      <c r="N685" s="371"/>
      <c r="O685" s="371"/>
      <c r="P685" s="371"/>
      <c r="Q685" s="371"/>
      <c r="R685" s="371"/>
      <c r="S685" s="371"/>
      <c r="T685" s="371"/>
      <c r="U685" s="371"/>
      <c r="V685" s="371"/>
      <c r="W685" s="371"/>
      <c r="X685" s="371"/>
      <c r="Y685" s="371"/>
      <c r="Z685" s="371"/>
    </row>
    <row r="686">
      <c r="A686" s="371"/>
      <c r="B686" s="307"/>
      <c r="C686" s="307"/>
      <c r="D686" s="307"/>
      <c r="E686" s="307"/>
      <c r="F686" s="371"/>
      <c r="G686" s="307"/>
      <c r="H686" s="371"/>
      <c r="I686" s="371"/>
      <c r="J686" s="371"/>
      <c r="K686" s="371"/>
      <c r="L686" s="371"/>
      <c r="M686" s="371"/>
      <c r="N686" s="371"/>
      <c r="O686" s="371"/>
      <c r="P686" s="371"/>
      <c r="Q686" s="371"/>
      <c r="R686" s="371"/>
      <c r="S686" s="371"/>
      <c r="T686" s="371"/>
      <c r="U686" s="371"/>
      <c r="V686" s="371"/>
      <c r="W686" s="371"/>
      <c r="X686" s="371"/>
      <c r="Y686" s="371"/>
      <c r="Z686" s="371"/>
    </row>
    <row r="687">
      <c r="A687" s="371"/>
      <c r="B687" s="307"/>
      <c r="C687" s="307"/>
      <c r="D687" s="307"/>
      <c r="E687" s="307"/>
      <c r="F687" s="371"/>
      <c r="G687" s="307"/>
      <c r="H687" s="371"/>
      <c r="I687" s="371"/>
      <c r="J687" s="371"/>
      <c r="K687" s="371"/>
      <c r="L687" s="371"/>
      <c r="M687" s="371"/>
      <c r="N687" s="371"/>
      <c r="O687" s="371"/>
      <c r="P687" s="371"/>
      <c r="Q687" s="371"/>
      <c r="R687" s="371"/>
      <c r="S687" s="371"/>
      <c r="T687" s="371"/>
      <c r="U687" s="371"/>
      <c r="V687" s="371"/>
      <c r="W687" s="371"/>
      <c r="X687" s="371"/>
      <c r="Y687" s="371"/>
      <c r="Z687" s="371"/>
    </row>
    <row r="688">
      <c r="A688" s="371"/>
      <c r="B688" s="307"/>
      <c r="C688" s="307"/>
      <c r="D688" s="307"/>
      <c r="E688" s="307"/>
      <c r="F688" s="371"/>
      <c r="G688" s="307"/>
      <c r="H688" s="371"/>
      <c r="I688" s="371"/>
      <c r="J688" s="371"/>
      <c r="K688" s="371"/>
      <c r="L688" s="371"/>
      <c r="M688" s="371"/>
      <c r="N688" s="371"/>
      <c r="O688" s="371"/>
      <c r="P688" s="371"/>
      <c r="Q688" s="371"/>
      <c r="R688" s="371"/>
      <c r="S688" s="371"/>
      <c r="T688" s="371"/>
      <c r="U688" s="371"/>
      <c r="V688" s="371"/>
      <c r="W688" s="371"/>
      <c r="X688" s="371"/>
      <c r="Y688" s="371"/>
      <c r="Z688" s="371"/>
    </row>
    <row r="689">
      <c r="A689" s="371"/>
      <c r="B689" s="307"/>
      <c r="C689" s="307"/>
      <c r="D689" s="307"/>
      <c r="E689" s="307"/>
      <c r="F689" s="371"/>
      <c r="G689" s="307"/>
      <c r="H689" s="371"/>
      <c r="I689" s="371"/>
      <c r="J689" s="371"/>
      <c r="K689" s="371"/>
      <c r="L689" s="371"/>
      <c r="M689" s="371"/>
      <c r="N689" s="371"/>
      <c r="O689" s="371"/>
      <c r="P689" s="371"/>
      <c r="Q689" s="371"/>
      <c r="R689" s="371"/>
      <c r="S689" s="371"/>
      <c r="T689" s="371"/>
      <c r="U689" s="371"/>
      <c r="V689" s="371"/>
      <c r="W689" s="371"/>
      <c r="X689" s="371"/>
      <c r="Y689" s="371"/>
      <c r="Z689" s="371"/>
    </row>
    <row r="690">
      <c r="A690" s="371"/>
      <c r="B690" s="307"/>
      <c r="C690" s="307"/>
      <c r="D690" s="307"/>
      <c r="E690" s="307"/>
      <c r="F690" s="371"/>
      <c r="G690" s="307"/>
      <c r="H690" s="371"/>
      <c r="I690" s="371"/>
      <c r="J690" s="371"/>
      <c r="K690" s="371"/>
      <c r="L690" s="371"/>
      <c r="M690" s="371"/>
      <c r="N690" s="371"/>
      <c r="O690" s="371"/>
      <c r="P690" s="371"/>
      <c r="Q690" s="371"/>
      <c r="R690" s="371"/>
      <c r="S690" s="371"/>
      <c r="T690" s="371"/>
      <c r="U690" s="371"/>
      <c r="V690" s="371"/>
      <c r="W690" s="371"/>
      <c r="X690" s="371"/>
      <c r="Y690" s="371"/>
      <c r="Z690" s="371"/>
    </row>
    <row r="691">
      <c r="A691" s="371"/>
      <c r="B691" s="307"/>
      <c r="C691" s="307"/>
      <c r="D691" s="307"/>
      <c r="E691" s="307"/>
      <c r="F691" s="371"/>
      <c r="G691" s="307"/>
      <c r="H691" s="371"/>
      <c r="I691" s="371"/>
      <c r="J691" s="371"/>
      <c r="K691" s="371"/>
      <c r="L691" s="371"/>
      <c r="M691" s="371"/>
      <c r="N691" s="371"/>
      <c r="O691" s="371"/>
      <c r="P691" s="371"/>
      <c r="Q691" s="371"/>
      <c r="R691" s="371"/>
      <c r="S691" s="371"/>
      <c r="T691" s="371"/>
      <c r="U691" s="371"/>
      <c r="V691" s="371"/>
      <c r="W691" s="371"/>
      <c r="X691" s="371"/>
      <c r="Y691" s="371"/>
      <c r="Z691" s="371"/>
    </row>
    <row r="692">
      <c r="A692" s="371"/>
      <c r="B692" s="307"/>
      <c r="C692" s="307"/>
      <c r="D692" s="307"/>
      <c r="E692" s="307"/>
      <c r="F692" s="371"/>
      <c r="G692" s="307"/>
      <c r="H692" s="371"/>
      <c r="I692" s="371"/>
      <c r="J692" s="371"/>
      <c r="K692" s="371"/>
      <c r="L692" s="371"/>
      <c r="M692" s="371"/>
      <c r="N692" s="371"/>
      <c r="O692" s="371"/>
      <c r="P692" s="371"/>
      <c r="Q692" s="371"/>
      <c r="R692" s="371"/>
      <c r="S692" s="371"/>
      <c r="T692" s="371"/>
      <c r="U692" s="371"/>
      <c r="V692" s="371"/>
      <c r="W692" s="371"/>
      <c r="X692" s="371"/>
      <c r="Y692" s="371"/>
      <c r="Z692" s="371"/>
    </row>
    <row r="693">
      <c r="A693" s="371"/>
      <c r="B693" s="307"/>
      <c r="C693" s="307"/>
      <c r="D693" s="307"/>
      <c r="E693" s="307"/>
      <c r="F693" s="371"/>
      <c r="G693" s="307"/>
      <c r="H693" s="371"/>
      <c r="I693" s="371"/>
      <c r="J693" s="371"/>
      <c r="K693" s="371"/>
      <c r="L693" s="371"/>
      <c r="M693" s="371"/>
      <c r="N693" s="371"/>
      <c r="O693" s="371"/>
      <c r="P693" s="371"/>
      <c r="Q693" s="371"/>
      <c r="R693" s="371"/>
      <c r="S693" s="371"/>
      <c r="T693" s="371"/>
      <c r="U693" s="371"/>
      <c r="V693" s="371"/>
      <c r="W693" s="371"/>
      <c r="X693" s="371"/>
      <c r="Y693" s="371"/>
      <c r="Z693" s="371"/>
    </row>
    <row r="694">
      <c r="A694" s="371"/>
      <c r="B694" s="307"/>
      <c r="C694" s="307"/>
      <c r="D694" s="307"/>
      <c r="E694" s="307"/>
      <c r="F694" s="371"/>
      <c r="G694" s="307"/>
      <c r="H694" s="371"/>
      <c r="I694" s="371"/>
      <c r="J694" s="371"/>
      <c r="K694" s="371"/>
      <c r="L694" s="371"/>
      <c r="M694" s="371"/>
      <c r="N694" s="371"/>
      <c r="O694" s="371"/>
      <c r="P694" s="371"/>
      <c r="Q694" s="371"/>
      <c r="R694" s="371"/>
      <c r="S694" s="371"/>
      <c r="T694" s="371"/>
      <c r="U694" s="371"/>
      <c r="V694" s="371"/>
      <c r="W694" s="371"/>
      <c r="X694" s="371"/>
      <c r="Y694" s="371"/>
      <c r="Z694" s="371"/>
    </row>
    <row r="695">
      <c r="A695" s="371"/>
      <c r="B695" s="307"/>
      <c r="C695" s="307"/>
      <c r="D695" s="307"/>
      <c r="E695" s="307"/>
      <c r="F695" s="371"/>
      <c r="G695" s="307"/>
      <c r="H695" s="371"/>
      <c r="I695" s="371"/>
      <c r="J695" s="371"/>
      <c r="K695" s="371"/>
      <c r="L695" s="371"/>
      <c r="M695" s="371"/>
      <c r="N695" s="371"/>
      <c r="O695" s="371"/>
      <c r="P695" s="371"/>
      <c r="Q695" s="371"/>
      <c r="R695" s="371"/>
      <c r="S695" s="371"/>
      <c r="T695" s="371"/>
      <c r="U695" s="371"/>
      <c r="V695" s="371"/>
      <c r="W695" s="371"/>
      <c r="X695" s="371"/>
      <c r="Y695" s="371"/>
      <c r="Z695" s="371"/>
    </row>
    <row r="696">
      <c r="A696" s="371"/>
      <c r="B696" s="307"/>
      <c r="C696" s="307"/>
      <c r="D696" s="307"/>
      <c r="E696" s="307"/>
      <c r="F696" s="371"/>
      <c r="G696" s="307"/>
      <c r="H696" s="371"/>
      <c r="I696" s="371"/>
      <c r="J696" s="371"/>
      <c r="K696" s="371"/>
      <c r="L696" s="371"/>
      <c r="M696" s="371"/>
      <c r="N696" s="371"/>
      <c r="O696" s="371"/>
      <c r="P696" s="371"/>
      <c r="Q696" s="371"/>
      <c r="R696" s="371"/>
      <c r="S696" s="371"/>
      <c r="T696" s="371"/>
      <c r="U696" s="371"/>
      <c r="V696" s="371"/>
      <c r="W696" s="371"/>
      <c r="X696" s="371"/>
      <c r="Y696" s="371"/>
      <c r="Z696" s="371"/>
    </row>
    <row r="697">
      <c r="A697" s="371"/>
      <c r="B697" s="307"/>
      <c r="C697" s="307"/>
      <c r="D697" s="307"/>
      <c r="E697" s="307"/>
      <c r="F697" s="371"/>
      <c r="G697" s="307"/>
      <c r="H697" s="371"/>
      <c r="I697" s="371"/>
      <c r="J697" s="371"/>
      <c r="K697" s="371"/>
      <c r="L697" s="371"/>
      <c r="M697" s="371"/>
      <c r="N697" s="371"/>
      <c r="O697" s="371"/>
      <c r="P697" s="371"/>
      <c r="Q697" s="371"/>
      <c r="R697" s="371"/>
      <c r="S697" s="371"/>
      <c r="T697" s="371"/>
      <c r="U697" s="371"/>
      <c r="V697" s="371"/>
      <c r="W697" s="371"/>
      <c r="X697" s="371"/>
      <c r="Y697" s="371"/>
      <c r="Z697" s="371"/>
    </row>
    <row r="698">
      <c r="A698" s="371"/>
      <c r="B698" s="307"/>
      <c r="C698" s="307"/>
      <c r="D698" s="307"/>
      <c r="E698" s="307"/>
      <c r="F698" s="371"/>
      <c r="G698" s="307"/>
      <c r="H698" s="371"/>
      <c r="I698" s="371"/>
      <c r="J698" s="371"/>
      <c r="K698" s="371"/>
      <c r="L698" s="371"/>
      <c r="M698" s="371"/>
      <c r="N698" s="371"/>
      <c r="O698" s="371"/>
      <c r="P698" s="371"/>
      <c r="Q698" s="371"/>
      <c r="R698" s="371"/>
      <c r="S698" s="371"/>
      <c r="T698" s="371"/>
      <c r="U698" s="371"/>
      <c r="V698" s="371"/>
      <c r="W698" s="371"/>
      <c r="X698" s="371"/>
      <c r="Y698" s="371"/>
      <c r="Z698" s="371"/>
    </row>
    <row r="699">
      <c r="A699" s="371"/>
      <c r="B699" s="307"/>
      <c r="C699" s="307"/>
      <c r="D699" s="307"/>
      <c r="E699" s="307"/>
      <c r="F699" s="371"/>
      <c r="G699" s="307"/>
      <c r="H699" s="371"/>
      <c r="I699" s="371"/>
      <c r="J699" s="371"/>
      <c r="K699" s="371"/>
      <c r="L699" s="371"/>
      <c r="M699" s="371"/>
      <c r="N699" s="371"/>
      <c r="O699" s="371"/>
      <c r="P699" s="371"/>
      <c r="Q699" s="371"/>
      <c r="R699" s="371"/>
      <c r="S699" s="371"/>
      <c r="T699" s="371"/>
      <c r="U699" s="371"/>
      <c r="V699" s="371"/>
      <c r="W699" s="371"/>
      <c r="X699" s="371"/>
      <c r="Y699" s="371"/>
      <c r="Z699" s="371"/>
    </row>
    <row r="700">
      <c r="A700" s="371"/>
      <c r="B700" s="307"/>
      <c r="C700" s="307"/>
      <c r="D700" s="307"/>
      <c r="E700" s="307"/>
      <c r="F700" s="371"/>
      <c r="G700" s="307"/>
      <c r="H700" s="371"/>
      <c r="I700" s="371"/>
      <c r="J700" s="371"/>
      <c r="K700" s="371"/>
      <c r="L700" s="371"/>
      <c r="M700" s="371"/>
      <c r="N700" s="371"/>
      <c r="O700" s="371"/>
      <c r="P700" s="371"/>
      <c r="Q700" s="371"/>
      <c r="R700" s="371"/>
      <c r="S700" s="371"/>
      <c r="T700" s="371"/>
      <c r="U700" s="371"/>
      <c r="V700" s="371"/>
      <c r="W700" s="371"/>
      <c r="X700" s="371"/>
      <c r="Y700" s="371"/>
      <c r="Z700" s="371"/>
    </row>
    <row r="701">
      <c r="A701" s="371"/>
      <c r="B701" s="307"/>
      <c r="C701" s="307"/>
      <c r="D701" s="307"/>
      <c r="E701" s="307"/>
      <c r="F701" s="371"/>
      <c r="G701" s="307"/>
      <c r="H701" s="371"/>
      <c r="I701" s="371"/>
      <c r="J701" s="371"/>
      <c r="K701" s="371"/>
      <c r="L701" s="371"/>
      <c r="M701" s="371"/>
      <c r="N701" s="371"/>
      <c r="O701" s="371"/>
      <c r="P701" s="371"/>
      <c r="Q701" s="371"/>
      <c r="R701" s="371"/>
      <c r="S701" s="371"/>
      <c r="T701" s="371"/>
      <c r="U701" s="371"/>
      <c r="V701" s="371"/>
      <c r="W701" s="371"/>
      <c r="X701" s="371"/>
      <c r="Y701" s="371"/>
      <c r="Z701" s="371"/>
    </row>
    <row r="702">
      <c r="A702" s="371"/>
      <c r="B702" s="307"/>
      <c r="C702" s="307"/>
      <c r="D702" s="307"/>
      <c r="E702" s="307"/>
      <c r="F702" s="371"/>
      <c r="G702" s="307"/>
      <c r="H702" s="371"/>
      <c r="I702" s="371"/>
      <c r="J702" s="371"/>
      <c r="K702" s="371"/>
      <c r="L702" s="371"/>
      <c r="M702" s="371"/>
      <c r="N702" s="371"/>
      <c r="O702" s="371"/>
      <c r="P702" s="371"/>
      <c r="Q702" s="371"/>
      <c r="R702" s="371"/>
      <c r="S702" s="371"/>
      <c r="T702" s="371"/>
      <c r="U702" s="371"/>
      <c r="V702" s="371"/>
      <c r="W702" s="371"/>
      <c r="X702" s="371"/>
      <c r="Y702" s="371"/>
      <c r="Z702" s="371"/>
    </row>
    <row r="703">
      <c r="A703" s="371"/>
      <c r="B703" s="307"/>
      <c r="C703" s="307"/>
      <c r="D703" s="307"/>
      <c r="E703" s="307"/>
      <c r="F703" s="371"/>
      <c r="G703" s="307"/>
      <c r="H703" s="371"/>
      <c r="I703" s="371"/>
      <c r="J703" s="371"/>
      <c r="K703" s="371"/>
      <c r="L703" s="371"/>
      <c r="M703" s="371"/>
      <c r="N703" s="371"/>
      <c r="O703" s="371"/>
      <c r="P703" s="371"/>
      <c r="Q703" s="371"/>
      <c r="R703" s="371"/>
      <c r="S703" s="371"/>
      <c r="T703" s="371"/>
      <c r="U703" s="371"/>
      <c r="V703" s="371"/>
      <c r="W703" s="371"/>
      <c r="X703" s="371"/>
      <c r="Y703" s="371"/>
      <c r="Z703" s="371"/>
    </row>
    <row r="704">
      <c r="A704" s="371"/>
      <c r="B704" s="307"/>
      <c r="C704" s="307"/>
      <c r="D704" s="307"/>
      <c r="E704" s="307"/>
      <c r="F704" s="371"/>
      <c r="G704" s="307"/>
      <c r="H704" s="371"/>
      <c r="I704" s="371"/>
      <c r="J704" s="371"/>
      <c r="K704" s="371"/>
      <c r="L704" s="371"/>
      <c r="M704" s="371"/>
      <c r="N704" s="371"/>
      <c r="O704" s="371"/>
      <c r="P704" s="371"/>
      <c r="Q704" s="371"/>
      <c r="R704" s="371"/>
      <c r="S704" s="371"/>
      <c r="T704" s="371"/>
      <c r="U704" s="371"/>
      <c r="V704" s="371"/>
      <c r="W704" s="371"/>
      <c r="X704" s="371"/>
      <c r="Y704" s="371"/>
      <c r="Z704" s="371"/>
    </row>
    <row r="705">
      <c r="A705" s="371"/>
      <c r="B705" s="307"/>
      <c r="C705" s="307"/>
      <c r="D705" s="307"/>
      <c r="E705" s="307"/>
      <c r="F705" s="371"/>
      <c r="G705" s="307"/>
      <c r="H705" s="371"/>
      <c r="I705" s="371"/>
      <c r="J705" s="371"/>
      <c r="K705" s="371"/>
      <c r="L705" s="371"/>
      <c r="M705" s="371"/>
      <c r="N705" s="371"/>
      <c r="O705" s="371"/>
      <c r="P705" s="371"/>
      <c r="Q705" s="371"/>
      <c r="R705" s="371"/>
      <c r="S705" s="371"/>
      <c r="T705" s="371"/>
      <c r="U705" s="371"/>
      <c r="V705" s="371"/>
      <c r="W705" s="371"/>
      <c r="X705" s="371"/>
      <c r="Y705" s="371"/>
      <c r="Z705" s="371"/>
    </row>
    <row r="706">
      <c r="A706" s="371"/>
      <c r="B706" s="307"/>
      <c r="C706" s="307"/>
      <c r="D706" s="307"/>
      <c r="E706" s="307"/>
      <c r="F706" s="371"/>
      <c r="G706" s="307"/>
      <c r="H706" s="371"/>
      <c r="I706" s="371"/>
      <c r="J706" s="371"/>
      <c r="K706" s="371"/>
      <c r="L706" s="371"/>
      <c r="M706" s="371"/>
      <c r="N706" s="371"/>
      <c r="O706" s="371"/>
      <c r="P706" s="371"/>
      <c r="Q706" s="371"/>
      <c r="R706" s="371"/>
      <c r="S706" s="371"/>
      <c r="T706" s="371"/>
      <c r="U706" s="371"/>
      <c r="V706" s="371"/>
      <c r="W706" s="371"/>
      <c r="X706" s="371"/>
      <c r="Y706" s="371"/>
      <c r="Z706" s="371"/>
    </row>
    <row r="707">
      <c r="A707" s="371"/>
      <c r="B707" s="307"/>
      <c r="C707" s="307"/>
      <c r="D707" s="307"/>
      <c r="E707" s="307"/>
      <c r="F707" s="371"/>
      <c r="G707" s="307"/>
      <c r="H707" s="371"/>
      <c r="I707" s="371"/>
      <c r="J707" s="371"/>
      <c r="K707" s="371"/>
      <c r="L707" s="371"/>
      <c r="M707" s="371"/>
      <c r="N707" s="371"/>
      <c r="O707" s="371"/>
      <c r="P707" s="371"/>
      <c r="Q707" s="371"/>
      <c r="R707" s="371"/>
      <c r="S707" s="371"/>
      <c r="T707" s="371"/>
      <c r="U707" s="371"/>
      <c r="V707" s="371"/>
      <c r="W707" s="371"/>
      <c r="X707" s="371"/>
      <c r="Y707" s="371"/>
      <c r="Z707" s="371"/>
    </row>
    <row r="708">
      <c r="A708" s="371"/>
      <c r="B708" s="307"/>
      <c r="C708" s="307"/>
      <c r="D708" s="307"/>
      <c r="E708" s="307"/>
      <c r="F708" s="371"/>
      <c r="G708" s="307"/>
      <c r="H708" s="371"/>
      <c r="I708" s="371"/>
      <c r="J708" s="371"/>
      <c r="K708" s="371"/>
      <c r="L708" s="371"/>
      <c r="M708" s="371"/>
      <c r="N708" s="371"/>
      <c r="O708" s="371"/>
      <c r="P708" s="371"/>
      <c r="Q708" s="371"/>
      <c r="R708" s="371"/>
      <c r="S708" s="371"/>
      <c r="T708" s="371"/>
      <c r="U708" s="371"/>
      <c r="V708" s="371"/>
      <c r="W708" s="371"/>
      <c r="X708" s="371"/>
      <c r="Y708" s="371"/>
      <c r="Z708" s="371"/>
    </row>
    <row r="709">
      <c r="A709" s="371"/>
      <c r="B709" s="307"/>
      <c r="C709" s="307"/>
      <c r="D709" s="307"/>
      <c r="E709" s="307"/>
      <c r="F709" s="371"/>
      <c r="G709" s="307"/>
      <c r="H709" s="371"/>
      <c r="I709" s="371"/>
      <c r="J709" s="371"/>
      <c r="K709" s="371"/>
      <c r="L709" s="371"/>
      <c r="M709" s="371"/>
      <c r="N709" s="371"/>
      <c r="O709" s="371"/>
      <c r="P709" s="371"/>
      <c r="Q709" s="371"/>
      <c r="R709" s="371"/>
      <c r="S709" s="371"/>
      <c r="T709" s="371"/>
      <c r="U709" s="371"/>
      <c r="V709" s="371"/>
      <c r="W709" s="371"/>
      <c r="X709" s="371"/>
      <c r="Y709" s="371"/>
      <c r="Z709" s="371"/>
    </row>
    <row r="710">
      <c r="A710" s="371"/>
      <c r="B710" s="307"/>
      <c r="C710" s="307"/>
      <c r="D710" s="307"/>
      <c r="E710" s="307"/>
      <c r="F710" s="371"/>
      <c r="G710" s="307"/>
      <c r="H710" s="371"/>
      <c r="I710" s="371"/>
      <c r="J710" s="371"/>
      <c r="K710" s="371"/>
      <c r="L710" s="371"/>
      <c r="M710" s="371"/>
      <c r="N710" s="371"/>
      <c r="O710" s="371"/>
      <c r="P710" s="371"/>
      <c r="Q710" s="371"/>
      <c r="R710" s="371"/>
      <c r="S710" s="371"/>
      <c r="T710" s="371"/>
      <c r="U710" s="371"/>
      <c r="V710" s="371"/>
      <c r="W710" s="371"/>
      <c r="X710" s="371"/>
      <c r="Y710" s="371"/>
      <c r="Z710" s="371"/>
    </row>
    <row r="711">
      <c r="A711" s="371"/>
      <c r="B711" s="307"/>
      <c r="C711" s="307"/>
      <c r="D711" s="307"/>
      <c r="E711" s="307"/>
      <c r="F711" s="371"/>
      <c r="G711" s="307"/>
      <c r="H711" s="371"/>
      <c r="I711" s="371"/>
      <c r="J711" s="371"/>
      <c r="K711" s="371"/>
      <c r="L711" s="371"/>
      <c r="M711" s="371"/>
      <c r="N711" s="371"/>
      <c r="O711" s="371"/>
      <c r="P711" s="371"/>
      <c r="Q711" s="371"/>
      <c r="R711" s="371"/>
      <c r="S711" s="371"/>
      <c r="T711" s="371"/>
      <c r="U711" s="371"/>
      <c r="V711" s="371"/>
      <c r="W711" s="371"/>
      <c r="X711" s="371"/>
      <c r="Y711" s="371"/>
      <c r="Z711" s="371"/>
    </row>
    <row r="712">
      <c r="A712" s="371"/>
      <c r="B712" s="307"/>
      <c r="C712" s="307"/>
      <c r="D712" s="307"/>
      <c r="E712" s="307"/>
      <c r="F712" s="371"/>
      <c r="G712" s="307"/>
      <c r="H712" s="371"/>
      <c r="I712" s="371"/>
      <c r="J712" s="371"/>
      <c r="K712" s="371"/>
      <c r="L712" s="371"/>
      <c r="M712" s="371"/>
      <c r="N712" s="371"/>
      <c r="O712" s="371"/>
      <c r="P712" s="371"/>
      <c r="Q712" s="371"/>
      <c r="R712" s="371"/>
      <c r="S712" s="371"/>
      <c r="T712" s="371"/>
      <c r="U712" s="371"/>
      <c r="V712" s="371"/>
      <c r="W712" s="371"/>
      <c r="X712" s="371"/>
      <c r="Y712" s="371"/>
      <c r="Z712" s="371"/>
    </row>
    <row r="713">
      <c r="A713" s="371"/>
      <c r="B713" s="307"/>
      <c r="C713" s="307"/>
      <c r="D713" s="307"/>
      <c r="E713" s="307"/>
      <c r="F713" s="371"/>
      <c r="G713" s="307"/>
      <c r="H713" s="371"/>
      <c r="I713" s="371"/>
      <c r="J713" s="371"/>
      <c r="K713" s="371"/>
      <c r="L713" s="371"/>
      <c r="M713" s="371"/>
      <c r="N713" s="371"/>
      <c r="O713" s="371"/>
      <c r="P713" s="371"/>
      <c r="Q713" s="371"/>
      <c r="R713" s="371"/>
      <c r="S713" s="371"/>
      <c r="T713" s="371"/>
      <c r="U713" s="371"/>
      <c r="V713" s="371"/>
      <c r="W713" s="371"/>
      <c r="X713" s="371"/>
      <c r="Y713" s="371"/>
      <c r="Z713" s="371"/>
    </row>
    <row r="714">
      <c r="A714" s="371"/>
      <c r="B714" s="307"/>
      <c r="C714" s="307"/>
      <c r="D714" s="307"/>
      <c r="E714" s="307"/>
      <c r="F714" s="371"/>
      <c r="G714" s="307"/>
      <c r="H714" s="371"/>
      <c r="I714" s="371"/>
      <c r="J714" s="371"/>
      <c r="K714" s="371"/>
      <c r="L714" s="371"/>
      <c r="M714" s="371"/>
      <c r="N714" s="371"/>
      <c r="O714" s="371"/>
      <c r="P714" s="371"/>
      <c r="Q714" s="371"/>
      <c r="R714" s="371"/>
      <c r="S714" s="371"/>
      <c r="T714" s="371"/>
      <c r="U714" s="371"/>
      <c r="V714" s="371"/>
      <c r="W714" s="371"/>
      <c r="X714" s="371"/>
      <c r="Y714" s="371"/>
      <c r="Z714" s="371"/>
    </row>
    <row r="715">
      <c r="A715" s="371"/>
      <c r="B715" s="307"/>
      <c r="C715" s="307"/>
      <c r="D715" s="307"/>
      <c r="E715" s="307"/>
      <c r="F715" s="371"/>
      <c r="G715" s="307"/>
      <c r="H715" s="371"/>
      <c r="I715" s="371"/>
      <c r="J715" s="371"/>
      <c r="K715" s="371"/>
      <c r="L715" s="371"/>
      <c r="M715" s="371"/>
      <c r="N715" s="371"/>
      <c r="O715" s="371"/>
      <c r="P715" s="371"/>
      <c r="Q715" s="371"/>
      <c r="R715" s="371"/>
      <c r="S715" s="371"/>
      <c r="T715" s="371"/>
      <c r="U715" s="371"/>
      <c r="V715" s="371"/>
      <c r="W715" s="371"/>
      <c r="X715" s="371"/>
      <c r="Y715" s="371"/>
      <c r="Z715" s="371"/>
    </row>
    <row r="716">
      <c r="A716" s="371"/>
      <c r="B716" s="307"/>
      <c r="C716" s="307"/>
      <c r="D716" s="307"/>
      <c r="E716" s="307"/>
      <c r="F716" s="371"/>
      <c r="G716" s="307"/>
      <c r="H716" s="371"/>
      <c r="I716" s="371"/>
      <c r="J716" s="371"/>
      <c r="K716" s="371"/>
      <c r="L716" s="371"/>
      <c r="M716" s="371"/>
      <c r="N716" s="371"/>
      <c r="O716" s="371"/>
      <c r="P716" s="371"/>
      <c r="Q716" s="371"/>
      <c r="R716" s="371"/>
      <c r="S716" s="371"/>
      <c r="T716" s="371"/>
      <c r="U716" s="371"/>
      <c r="V716" s="371"/>
      <c r="W716" s="371"/>
      <c r="X716" s="371"/>
      <c r="Y716" s="371"/>
      <c r="Z716" s="371"/>
    </row>
    <row r="717">
      <c r="A717" s="371"/>
      <c r="B717" s="307"/>
      <c r="C717" s="307"/>
      <c r="D717" s="307"/>
      <c r="E717" s="307"/>
      <c r="F717" s="371"/>
      <c r="G717" s="307"/>
      <c r="H717" s="371"/>
      <c r="I717" s="371"/>
      <c r="J717" s="371"/>
      <c r="K717" s="371"/>
      <c r="L717" s="371"/>
      <c r="M717" s="371"/>
      <c r="N717" s="371"/>
      <c r="O717" s="371"/>
      <c r="P717" s="371"/>
      <c r="Q717" s="371"/>
      <c r="R717" s="371"/>
      <c r="S717" s="371"/>
      <c r="T717" s="371"/>
      <c r="U717" s="371"/>
      <c r="V717" s="371"/>
      <c r="W717" s="371"/>
      <c r="X717" s="371"/>
      <c r="Y717" s="371"/>
      <c r="Z717" s="371"/>
    </row>
    <row r="718">
      <c r="A718" s="371"/>
      <c r="B718" s="307"/>
      <c r="C718" s="307"/>
      <c r="D718" s="307"/>
      <c r="E718" s="307"/>
      <c r="F718" s="371"/>
      <c r="G718" s="307"/>
      <c r="H718" s="371"/>
      <c r="I718" s="371"/>
      <c r="J718" s="371"/>
      <c r="K718" s="371"/>
      <c r="L718" s="371"/>
      <c r="M718" s="371"/>
      <c r="N718" s="371"/>
      <c r="O718" s="371"/>
      <c r="P718" s="371"/>
      <c r="Q718" s="371"/>
      <c r="R718" s="371"/>
      <c r="S718" s="371"/>
      <c r="T718" s="371"/>
      <c r="U718" s="371"/>
      <c r="V718" s="371"/>
      <c r="W718" s="371"/>
      <c r="X718" s="371"/>
      <c r="Y718" s="371"/>
      <c r="Z718" s="371"/>
    </row>
    <row r="719">
      <c r="A719" s="371"/>
      <c r="B719" s="307"/>
      <c r="C719" s="307"/>
      <c r="D719" s="307"/>
      <c r="E719" s="307"/>
      <c r="F719" s="371"/>
      <c r="G719" s="307"/>
      <c r="H719" s="371"/>
      <c r="I719" s="371"/>
      <c r="J719" s="371"/>
      <c r="K719" s="371"/>
      <c r="L719" s="371"/>
      <c r="M719" s="371"/>
      <c r="N719" s="371"/>
      <c r="O719" s="371"/>
      <c r="P719" s="371"/>
      <c r="Q719" s="371"/>
      <c r="R719" s="371"/>
      <c r="S719" s="371"/>
      <c r="T719" s="371"/>
      <c r="U719" s="371"/>
      <c r="V719" s="371"/>
      <c r="W719" s="371"/>
      <c r="X719" s="371"/>
      <c r="Y719" s="371"/>
      <c r="Z719" s="371"/>
    </row>
    <row r="720">
      <c r="A720" s="371"/>
      <c r="B720" s="307"/>
      <c r="C720" s="307"/>
      <c r="D720" s="307"/>
      <c r="E720" s="307"/>
      <c r="F720" s="371"/>
      <c r="G720" s="307"/>
      <c r="H720" s="371"/>
      <c r="I720" s="371"/>
      <c r="J720" s="371"/>
      <c r="K720" s="371"/>
      <c r="L720" s="371"/>
      <c r="M720" s="371"/>
      <c r="N720" s="371"/>
      <c r="O720" s="371"/>
      <c r="P720" s="371"/>
      <c r="Q720" s="371"/>
      <c r="R720" s="371"/>
      <c r="S720" s="371"/>
      <c r="T720" s="371"/>
      <c r="U720" s="371"/>
      <c r="V720" s="371"/>
      <c r="W720" s="371"/>
      <c r="X720" s="371"/>
      <c r="Y720" s="371"/>
      <c r="Z720" s="371"/>
    </row>
    <row r="721">
      <c r="A721" s="371"/>
      <c r="B721" s="307"/>
      <c r="C721" s="307"/>
      <c r="D721" s="307"/>
      <c r="E721" s="307"/>
      <c r="F721" s="371"/>
      <c r="G721" s="307"/>
      <c r="H721" s="371"/>
      <c r="I721" s="371"/>
      <c r="J721" s="371"/>
      <c r="K721" s="371"/>
      <c r="L721" s="371"/>
      <c r="M721" s="371"/>
      <c r="N721" s="371"/>
      <c r="O721" s="371"/>
      <c r="P721" s="371"/>
      <c r="Q721" s="371"/>
      <c r="R721" s="371"/>
      <c r="S721" s="371"/>
      <c r="T721" s="371"/>
      <c r="U721" s="371"/>
      <c r="V721" s="371"/>
      <c r="W721" s="371"/>
      <c r="X721" s="371"/>
      <c r="Y721" s="371"/>
      <c r="Z721" s="371"/>
    </row>
    <row r="722">
      <c r="A722" s="371"/>
      <c r="B722" s="307"/>
      <c r="C722" s="307"/>
      <c r="D722" s="307"/>
      <c r="E722" s="307"/>
      <c r="F722" s="371"/>
      <c r="G722" s="307"/>
      <c r="H722" s="371"/>
      <c r="I722" s="371"/>
      <c r="J722" s="371"/>
      <c r="K722" s="371"/>
      <c r="L722" s="371"/>
      <c r="M722" s="371"/>
      <c r="N722" s="371"/>
      <c r="O722" s="371"/>
      <c r="P722" s="371"/>
      <c r="Q722" s="371"/>
      <c r="R722" s="371"/>
      <c r="S722" s="371"/>
      <c r="T722" s="371"/>
      <c r="U722" s="371"/>
      <c r="V722" s="371"/>
      <c r="W722" s="371"/>
      <c r="X722" s="371"/>
      <c r="Y722" s="371"/>
      <c r="Z722" s="371"/>
    </row>
    <row r="723">
      <c r="A723" s="371"/>
      <c r="B723" s="307"/>
      <c r="C723" s="307"/>
      <c r="D723" s="307"/>
      <c r="E723" s="307"/>
      <c r="F723" s="371"/>
      <c r="G723" s="307"/>
      <c r="H723" s="371"/>
      <c r="I723" s="371"/>
      <c r="J723" s="371"/>
      <c r="K723" s="371"/>
      <c r="L723" s="371"/>
      <c r="M723" s="371"/>
      <c r="N723" s="371"/>
      <c r="O723" s="371"/>
      <c r="P723" s="371"/>
      <c r="Q723" s="371"/>
      <c r="R723" s="371"/>
      <c r="S723" s="371"/>
      <c r="T723" s="371"/>
      <c r="U723" s="371"/>
      <c r="V723" s="371"/>
      <c r="W723" s="371"/>
      <c r="X723" s="371"/>
      <c r="Y723" s="371"/>
      <c r="Z723" s="371"/>
    </row>
    <row r="724">
      <c r="A724" s="371"/>
      <c r="B724" s="307"/>
      <c r="C724" s="307"/>
      <c r="D724" s="307"/>
      <c r="E724" s="307"/>
      <c r="F724" s="371"/>
      <c r="G724" s="307"/>
      <c r="H724" s="371"/>
      <c r="I724" s="371"/>
      <c r="J724" s="371"/>
      <c r="K724" s="371"/>
      <c r="L724" s="371"/>
      <c r="M724" s="371"/>
      <c r="N724" s="371"/>
      <c r="O724" s="371"/>
      <c r="P724" s="371"/>
      <c r="Q724" s="371"/>
      <c r="R724" s="371"/>
      <c r="S724" s="371"/>
      <c r="T724" s="371"/>
      <c r="U724" s="371"/>
      <c r="V724" s="371"/>
      <c r="W724" s="371"/>
      <c r="X724" s="371"/>
      <c r="Y724" s="371"/>
      <c r="Z724" s="371"/>
    </row>
    <row r="725">
      <c r="A725" s="371"/>
      <c r="B725" s="307"/>
      <c r="C725" s="307"/>
      <c r="D725" s="307"/>
      <c r="E725" s="307"/>
      <c r="F725" s="371"/>
      <c r="G725" s="307"/>
      <c r="H725" s="371"/>
      <c r="I725" s="371"/>
      <c r="J725" s="371"/>
      <c r="K725" s="371"/>
      <c r="L725" s="371"/>
      <c r="M725" s="371"/>
      <c r="N725" s="371"/>
      <c r="O725" s="371"/>
      <c r="P725" s="371"/>
      <c r="Q725" s="371"/>
      <c r="R725" s="371"/>
      <c r="S725" s="371"/>
      <c r="T725" s="371"/>
      <c r="U725" s="371"/>
      <c r="V725" s="371"/>
      <c r="W725" s="371"/>
      <c r="X725" s="371"/>
      <c r="Y725" s="371"/>
      <c r="Z725" s="371"/>
    </row>
    <row r="726">
      <c r="A726" s="371"/>
      <c r="B726" s="307"/>
      <c r="C726" s="307"/>
      <c r="D726" s="307"/>
      <c r="E726" s="307"/>
      <c r="F726" s="371"/>
      <c r="G726" s="307"/>
      <c r="H726" s="371"/>
      <c r="I726" s="371"/>
      <c r="J726" s="371"/>
      <c r="K726" s="371"/>
      <c r="L726" s="371"/>
      <c r="M726" s="371"/>
      <c r="N726" s="371"/>
      <c r="O726" s="371"/>
      <c r="P726" s="371"/>
      <c r="Q726" s="371"/>
      <c r="R726" s="371"/>
      <c r="S726" s="371"/>
      <c r="T726" s="371"/>
      <c r="U726" s="371"/>
      <c r="V726" s="371"/>
      <c r="W726" s="371"/>
      <c r="X726" s="371"/>
      <c r="Y726" s="371"/>
      <c r="Z726" s="371"/>
    </row>
    <row r="727">
      <c r="A727" s="371"/>
      <c r="B727" s="307"/>
      <c r="C727" s="307"/>
      <c r="D727" s="307"/>
      <c r="E727" s="307"/>
      <c r="F727" s="371"/>
      <c r="G727" s="307"/>
      <c r="H727" s="371"/>
      <c r="I727" s="371"/>
      <c r="J727" s="371"/>
      <c r="K727" s="371"/>
      <c r="L727" s="371"/>
      <c r="M727" s="371"/>
      <c r="N727" s="371"/>
      <c r="O727" s="371"/>
      <c r="P727" s="371"/>
      <c r="Q727" s="371"/>
      <c r="R727" s="371"/>
      <c r="S727" s="371"/>
      <c r="T727" s="371"/>
      <c r="U727" s="371"/>
      <c r="V727" s="371"/>
      <c r="W727" s="371"/>
      <c r="X727" s="371"/>
      <c r="Y727" s="371"/>
      <c r="Z727" s="371"/>
    </row>
    <row r="728">
      <c r="A728" s="371"/>
      <c r="B728" s="307"/>
      <c r="C728" s="307"/>
      <c r="D728" s="307"/>
      <c r="E728" s="307"/>
      <c r="F728" s="371"/>
      <c r="G728" s="307"/>
      <c r="H728" s="371"/>
      <c r="I728" s="371"/>
      <c r="J728" s="371"/>
      <c r="K728" s="371"/>
      <c r="L728" s="371"/>
      <c r="M728" s="371"/>
      <c r="N728" s="371"/>
      <c r="O728" s="371"/>
      <c r="P728" s="371"/>
      <c r="Q728" s="371"/>
      <c r="R728" s="371"/>
      <c r="S728" s="371"/>
      <c r="T728" s="371"/>
      <c r="U728" s="371"/>
      <c r="V728" s="371"/>
      <c r="W728" s="371"/>
      <c r="X728" s="371"/>
      <c r="Y728" s="371"/>
      <c r="Z728" s="371"/>
    </row>
    <row r="729">
      <c r="A729" s="371"/>
      <c r="B729" s="307"/>
      <c r="C729" s="307"/>
      <c r="D729" s="307"/>
      <c r="E729" s="307"/>
      <c r="F729" s="371"/>
      <c r="G729" s="307"/>
      <c r="H729" s="371"/>
      <c r="I729" s="371"/>
      <c r="J729" s="371"/>
      <c r="K729" s="371"/>
      <c r="L729" s="371"/>
      <c r="M729" s="371"/>
      <c r="N729" s="371"/>
      <c r="O729" s="371"/>
      <c r="P729" s="371"/>
      <c r="Q729" s="371"/>
      <c r="R729" s="371"/>
      <c r="S729" s="371"/>
      <c r="T729" s="371"/>
      <c r="U729" s="371"/>
      <c r="V729" s="371"/>
      <c r="W729" s="371"/>
      <c r="X729" s="371"/>
      <c r="Y729" s="371"/>
      <c r="Z729" s="371"/>
    </row>
    <row r="730">
      <c r="A730" s="371"/>
      <c r="B730" s="307"/>
      <c r="C730" s="307"/>
      <c r="D730" s="307"/>
      <c r="E730" s="307"/>
      <c r="F730" s="371"/>
      <c r="G730" s="307"/>
      <c r="H730" s="371"/>
      <c r="I730" s="371"/>
      <c r="J730" s="371"/>
      <c r="K730" s="371"/>
      <c r="L730" s="371"/>
      <c r="M730" s="371"/>
      <c r="N730" s="371"/>
      <c r="O730" s="371"/>
      <c r="P730" s="371"/>
      <c r="Q730" s="371"/>
      <c r="R730" s="371"/>
      <c r="S730" s="371"/>
      <c r="T730" s="371"/>
      <c r="U730" s="371"/>
      <c r="V730" s="371"/>
      <c r="W730" s="371"/>
      <c r="X730" s="371"/>
      <c r="Y730" s="371"/>
      <c r="Z730" s="371"/>
    </row>
    <row r="731">
      <c r="A731" s="371"/>
      <c r="B731" s="307"/>
      <c r="C731" s="307"/>
      <c r="D731" s="307"/>
      <c r="E731" s="307"/>
      <c r="F731" s="371"/>
      <c r="G731" s="307"/>
      <c r="H731" s="371"/>
      <c r="I731" s="371"/>
      <c r="J731" s="371"/>
      <c r="K731" s="371"/>
      <c r="L731" s="371"/>
      <c r="M731" s="371"/>
      <c r="N731" s="371"/>
      <c r="O731" s="371"/>
      <c r="P731" s="371"/>
      <c r="Q731" s="371"/>
      <c r="R731" s="371"/>
      <c r="S731" s="371"/>
      <c r="T731" s="371"/>
      <c r="U731" s="371"/>
      <c r="V731" s="371"/>
      <c r="W731" s="371"/>
      <c r="X731" s="371"/>
      <c r="Y731" s="371"/>
      <c r="Z731" s="371"/>
    </row>
    <row r="732">
      <c r="A732" s="371"/>
      <c r="B732" s="307"/>
      <c r="C732" s="307"/>
      <c r="D732" s="307"/>
      <c r="E732" s="307"/>
      <c r="F732" s="371"/>
      <c r="G732" s="307"/>
      <c r="H732" s="371"/>
      <c r="I732" s="371"/>
      <c r="J732" s="371"/>
      <c r="K732" s="371"/>
      <c r="L732" s="371"/>
      <c r="M732" s="371"/>
      <c r="N732" s="371"/>
      <c r="O732" s="371"/>
      <c r="P732" s="371"/>
      <c r="Q732" s="371"/>
      <c r="R732" s="371"/>
      <c r="S732" s="371"/>
      <c r="T732" s="371"/>
      <c r="U732" s="371"/>
      <c r="V732" s="371"/>
      <c r="W732" s="371"/>
      <c r="X732" s="371"/>
      <c r="Y732" s="371"/>
      <c r="Z732" s="371"/>
    </row>
    <row r="733">
      <c r="A733" s="371"/>
      <c r="B733" s="307"/>
      <c r="C733" s="307"/>
      <c r="D733" s="307"/>
      <c r="E733" s="307"/>
      <c r="F733" s="371"/>
      <c r="G733" s="307"/>
      <c r="H733" s="371"/>
      <c r="I733" s="371"/>
      <c r="J733" s="371"/>
      <c r="K733" s="371"/>
      <c r="L733" s="371"/>
      <c r="M733" s="371"/>
      <c r="N733" s="371"/>
      <c r="O733" s="371"/>
      <c r="P733" s="371"/>
      <c r="Q733" s="371"/>
      <c r="R733" s="371"/>
      <c r="S733" s="371"/>
      <c r="T733" s="371"/>
      <c r="U733" s="371"/>
      <c r="V733" s="371"/>
      <c r="W733" s="371"/>
      <c r="X733" s="371"/>
      <c r="Y733" s="371"/>
      <c r="Z733" s="371"/>
    </row>
    <row r="734">
      <c r="A734" s="371"/>
      <c r="B734" s="307"/>
      <c r="C734" s="307"/>
      <c r="D734" s="307"/>
      <c r="E734" s="307"/>
      <c r="F734" s="371"/>
      <c r="G734" s="307"/>
      <c r="H734" s="371"/>
      <c r="I734" s="371"/>
      <c r="J734" s="371"/>
      <c r="K734" s="371"/>
      <c r="L734" s="371"/>
      <c r="M734" s="371"/>
      <c r="N734" s="371"/>
      <c r="O734" s="371"/>
      <c r="P734" s="371"/>
      <c r="Q734" s="371"/>
      <c r="R734" s="371"/>
      <c r="S734" s="371"/>
      <c r="T734" s="371"/>
      <c r="U734" s="371"/>
      <c r="V734" s="371"/>
      <c r="W734" s="371"/>
      <c r="X734" s="371"/>
      <c r="Y734" s="371"/>
      <c r="Z734" s="371"/>
    </row>
    <row r="735">
      <c r="A735" s="371"/>
      <c r="B735" s="307"/>
      <c r="C735" s="307"/>
      <c r="D735" s="307"/>
      <c r="E735" s="307"/>
      <c r="F735" s="371"/>
      <c r="G735" s="307"/>
      <c r="H735" s="371"/>
      <c r="I735" s="371"/>
      <c r="J735" s="371"/>
      <c r="K735" s="371"/>
      <c r="L735" s="371"/>
      <c r="M735" s="371"/>
      <c r="N735" s="371"/>
      <c r="O735" s="371"/>
      <c r="P735" s="371"/>
      <c r="Q735" s="371"/>
      <c r="R735" s="371"/>
      <c r="S735" s="371"/>
      <c r="T735" s="371"/>
      <c r="U735" s="371"/>
      <c r="V735" s="371"/>
      <c r="W735" s="371"/>
      <c r="X735" s="371"/>
      <c r="Y735" s="371"/>
      <c r="Z735" s="371"/>
    </row>
    <row r="736">
      <c r="A736" s="371"/>
      <c r="B736" s="307"/>
      <c r="C736" s="307"/>
      <c r="D736" s="307"/>
      <c r="E736" s="307"/>
      <c r="F736" s="371"/>
      <c r="G736" s="307"/>
      <c r="H736" s="371"/>
      <c r="I736" s="371"/>
      <c r="J736" s="371"/>
      <c r="K736" s="371"/>
      <c r="L736" s="371"/>
      <c r="M736" s="371"/>
      <c r="N736" s="371"/>
      <c r="O736" s="371"/>
      <c r="P736" s="371"/>
      <c r="Q736" s="371"/>
      <c r="R736" s="371"/>
      <c r="S736" s="371"/>
      <c r="T736" s="371"/>
      <c r="U736" s="371"/>
      <c r="V736" s="371"/>
      <c r="W736" s="371"/>
      <c r="X736" s="371"/>
      <c r="Y736" s="371"/>
      <c r="Z736" s="371"/>
    </row>
    <row r="737">
      <c r="A737" s="371"/>
      <c r="B737" s="307"/>
      <c r="C737" s="307"/>
      <c r="D737" s="307"/>
      <c r="E737" s="307"/>
      <c r="F737" s="371"/>
      <c r="G737" s="307"/>
      <c r="H737" s="371"/>
      <c r="I737" s="371"/>
      <c r="J737" s="371"/>
      <c r="K737" s="371"/>
      <c r="L737" s="371"/>
      <c r="M737" s="371"/>
      <c r="N737" s="371"/>
      <c r="O737" s="371"/>
      <c r="P737" s="371"/>
      <c r="Q737" s="371"/>
      <c r="R737" s="371"/>
      <c r="S737" s="371"/>
      <c r="T737" s="371"/>
      <c r="U737" s="371"/>
      <c r="V737" s="371"/>
      <c r="W737" s="371"/>
      <c r="X737" s="371"/>
      <c r="Y737" s="371"/>
      <c r="Z737" s="371"/>
    </row>
    <row r="738">
      <c r="A738" s="371"/>
      <c r="B738" s="307"/>
      <c r="C738" s="307"/>
      <c r="D738" s="307"/>
      <c r="E738" s="307"/>
      <c r="F738" s="371"/>
      <c r="G738" s="307"/>
      <c r="H738" s="371"/>
      <c r="I738" s="371"/>
      <c r="J738" s="371"/>
      <c r="K738" s="371"/>
      <c r="L738" s="371"/>
      <c r="M738" s="371"/>
      <c r="N738" s="371"/>
      <c r="O738" s="371"/>
      <c r="P738" s="371"/>
      <c r="Q738" s="371"/>
      <c r="R738" s="371"/>
      <c r="S738" s="371"/>
      <c r="T738" s="371"/>
      <c r="U738" s="371"/>
      <c r="V738" s="371"/>
      <c r="W738" s="371"/>
      <c r="X738" s="371"/>
      <c r="Y738" s="371"/>
      <c r="Z738" s="371"/>
    </row>
    <row r="739">
      <c r="A739" s="371"/>
      <c r="B739" s="307"/>
      <c r="C739" s="307"/>
      <c r="D739" s="307"/>
      <c r="E739" s="307"/>
      <c r="F739" s="371"/>
      <c r="G739" s="307"/>
      <c r="H739" s="371"/>
      <c r="I739" s="371"/>
      <c r="J739" s="371"/>
      <c r="K739" s="371"/>
      <c r="L739" s="371"/>
      <c r="M739" s="371"/>
      <c r="N739" s="371"/>
      <c r="O739" s="371"/>
      <c r="P739" s="371"/>
      <c r="Q739" s="371"/>
      <c r="R739" s="371"/>
      <c r="S739" s="371"/>
      <c r="T739" s="371"/>
      <c r="U739" s="371"/>
      <c r="V739" s="371"/>
      <c r="W739" s="371"/>
      <c r="X739" s="371"/>
      <c r="Y739" s="371"/>
      <c r="Z739" s="371"/>
    </row>
    <row r="740">
      <c r="A740" s="371"/>
      <c r="B740" s="307"/>
      <c r="C740" s="307"/>
      <c r="D740" s="307"/>
      <c r="E740" s="307"/>
      <c r="F740" s="371"/>
      <c r="G740" s="307"/>
      <c r="H740" s="371"/>
      <c r="I740" s="371"/>
      <c r="J740" s="371"/>
      <c r="K740" s="371"/>
      <c r="L740" s="371"/>
      <c r="M740" s="371"/>
      <c r="N740" s="371"/>
      <c r="O740" s="371"/>
      <c r="P740" s="371"/>
      <c r="Q740" s="371"/>
      <c r="R740" s="371"/>
      <c r="S740" s="371"/>
      <c r="T740" s="371"/>
      <c r="U740" s="371"/>
      <c r="V740" s="371"/>
      <c r="W740" s="371"/>
      <c r="X740" s="371"/>
      <c r="Y740" s="371"/>
      <c r="Z740" s="371"/>
    </row>
    <row r="741">
      <c r="A741" s="371"/>
      <c r="B741" s="307"/>
      <c r="C741" s="307"/>
      <c r="D741" s="307"/>
      <c r="E741" s="307"/>
      <c r="F741" s="371"/>
      <c r="G741" s="307"/>
      <c r="H741" s="371"/>
      <c r="I741" s="371"/>
      <c r="J741" s="371"/>
      <c r="K741" s="371"/>
      <c r="L741" s="371"/>
      <c r="M741" s="371"/>
      <c r="N741" s="371"/>
      <c r="O741" s="371"/>
      <c r="P741" s="371"/>
      <c r="Q741" s="371"/>
      <c r="R741" s="371"/>
      <c r="S741" s="371"/>
      <c r="T741" s="371"/>
      <c r="U741" s="371"/>
      <c r="V741" s="371"/>
      <c r="W741" s="371"/>
      <c r="X741" s="371"/>
      <c r="Y741" s="371"/>
      <c r="Z741" s="371"/>
    </row>
    <row r="742">
      <c r="A742" s="371"/>
      <c r="B742" s="307"/>
      <c r="C742" s="307"/>
      <c r="D742" s="307"/>
      <c r="E742" s="307"/>
      <c r="F742" s="371"/>
      <c r="G742" s="307"/>
      <c r="H742" s="371"/>
      <c r="I742" s="371"/>
      <c r="J742" s="371"/>
      <c r="K742" s="371"/>
      <c r="L742" s="371"/>
      <c r="M742" s="371"/>
      <c r="N742" s="371"/>
      <c r="O742" s="371"/>
      <c r="P742" s="371"/>
      <c r="Q742" s="371"/>
      <c r="R742" s="371"/>
      <c r="S742" s="371"/>
      <c r="T742" s="371"/>
      <c r="U742" s="371"/>
      <c r="V742" s="371"/>
      <c r="W742" s="371"/>
      <c r="X742" s="371"/>
      <c r="Y742" s="371"/>
      <c r="Z742" s="371"/>
    </row>
    <row r="743">
      <c r="A743" s="371"/>
      <c r="B743" s="307"/>
      <c r="C743" s="307"/>
      <c r="D743" s="307"/>
      <c r="E743" s="307"/>
      <c r="F743" s="371"/>
      <c r="G743" s="307"/>
      <c r="H743" s="371"/>
      <c r="I743" s="371"/>
      <c r="J743" s="371"/>
      <c r="K743" s="371"/>
      <c r="L743" s="371"/>
      <c r="M743" s="371"/>
      <c r="N743" s="371"/>
      <c r="O743" s="371"/>
      <c r="P743" s="371"/>
      <c r="Q743" s="371"/>
      <c r="R743" s="371"/>
      <c r="S743" s="371"/>
      <c r="T743" s="371"/>
      <c r="U743" s="371"/>
      <c r="V743" s="371"/>
      <c r="W743" s="371"/>
      <c r="X743" s="371"/>
      <c r="Y743" s="371"/>
      <c r="Z743" s="371"/>
    </row>
    <row r="744">
      <c r="A744" s="371"/>
      <c r="B744" s="307"/>
      <c r="C744" s="307"/>
      <c r="D744" s="307"/>
      <c r="E744" s="307"/>
      <c r="F744" s="371"/>
      <c r="G744" s="307"/>
      <c r="H744" s="371"/>
      <c r="I744" s="371"/>
      <c r="J744" s="371"/>
      <c r="K744" s="371"/>
      <c r="L744" s="371"/>
      <c r="M744" s="371"/>
      <c r="N744" s="371"/>
      <c r="O744" s="371"/>
      <c r="P744" s="371"/>
      <c r="Q744" s="371"/>
      <c r="R744" s="371"/>
      <c r="S744" s="371"/>
      <c r="T744" s="371"/>
      <c r="U744" s="371"/>
      <c r="V744" s="371"/>
      <c r="W744" s="371"/>
      <c r="X744" s="371"/>
      <c r="Y744" s="371"/>
      <c r="Z744" s="371"/>
    </row>
    <row r="745">
      <c r="A745" s="371"/>
      <c r="B745" s="307"/>
      <c r="C745" s="307"/>
      <c r="D745" s="307"/>
      <c r="E745" s="307"/>
      <c r="F745" s="371"/>
      <c r="G745" s="307"/>
      <c r="H745" s="371"/>
      <c r="I745" s="371"/>
      <c r="J745" s="371"/>
      <c r="K745" s="371"/>
      <c r="L745" s="371"/>
      <c r="M745" s="371"/>
      <c r="N745" s="371"/>
      <c r="O745" s="371"/>
      <c r="P745" s="371"/>
      <c r="Q745" s="371"/>
      <c r="R745" s="371"/>
      <c r="S745" s="371"/>
      <c r="T745" s="371"/>
      <c r="U745" s="371"/>
      <c r="V745" s="371"/>
      <c r="W745" s="371"/>
      <c r="X745" s="371"/>
      <c r="Y745" s="371"/>
      <c r="Z745" s="371"/>
    </row>
    <row r="746">
      <c r="A746" s="371"/>
      <c r="B746" s="307"/>
      <c r="C746" s="307"/>
      <c r="D746" s="307"/>
      <c r="E746" s="307"/>
      <c r="F746" s="371"/>
      <c r="G746" s="307"/>
      <c r="H746" s="371"/>
      <c r="I746" s="371"/>
      <c r="J746" s="371"/>
      <c r="K746" s="371"/>
      <c r="L746" s="371"/>
      <c r="M746" s="371"/>
      <c r="N746" s="371"/>
      <c r="O746" s="371"/>
      <c r="P746" s="371"/>
      <c r="Q746" s="371"/>
      <c r="R746" s="371"/>
      <c r="S746" s="371"/>
      <c r="T746" s="371"/>
      <c r="U746" s="371"/>
      <c r="V746" s="371"/>
      <c r="W746" s="371"/>
      <c r="X746" s="371"/>
      <c r="Y746" s="371"/>
      <c r="Z746" s="371"/>
    </row>
    <row r="747">
      <c r="A747" s="371"/>
      <c r="B747" s="307"/>
      <c r="C747" s="307"/>
      <c r="D747" s="307"/>
      <c r="E747" s="307"/>
      <c r="F747" s="371"/>
      <c r="G747" s="307"/>
      <c r="H747" s="371"/>
      <c r="I747" s="371"/>
      <c r="J747" s="371"/>
      <c r="K747" s="371"/>
      <c r="L747" s="371"/>
      <c r="M747" s="371"/>
      <c r="N747" s="371"/>
      <c r="O747" s="371"/>
      <c r="P747" s="371"/>
      <c r="Q747" s="371"/>
      <c r="R747" s="371"/>
      <c r="S747" s="371"/>
      <c r="T747" s="371"/>
      <c r="U747" s="371"/>
      <c r="V747" s="371"/>
      <c r="W747" s="371"/>
      <c r="X747" s="371"/>
      <c r="Y747" s="371"/>
      <c r="Z747" s="371"/>
    </row>
    <row r="748">
      <c r="A748" s="371"/>
      <c r="B748" s="307"/>
      <c r="C748" s="307"/>
      <c r="D748" s="307"/>
      <c r="E748" s="307"/>
      <c r="F748" s="371"/>
      <c r="G748" s="307"/>
      <c r="H748" s="371"/>
      <c r="I748" s="371"/>
      <c r="J748" s="371"/>
      <c r="K748" s="371"/>
      <c r="L748" s="371"/>
      <c r="M748" s="371"/>
      <c r="N748" s="371"/>
      <c r="O748" s="371"/>
      <c r="P748" s="371"/>
      <c r="Q748" s="371"/>
      <c r="R748" s="371"/>
      <c r="S748" s="371"/>
      <c r="T748" s="371"/>
      <c r="U748" s="371"/>
      <c r="V748" s="371"/>
      <c r="W748" s="371"/>
      <c r="X748" s="371"/>
      <c r="Y748" s="371"/>
      <c r="Z748" s="371"/>
    </row>
    <row r="749">
      <c r="A749" s="371"/>
      <c r="B749" s="307"/>
      <c r="C749" s="307"/>
      <c r="D749" s="307"/>
      <c r="E749" s="307"/>
      <c r="F749" s="371"/>
      <c r="G749" s="307"/>
      <c r="H749" s="371"/>
      <c r="I749" s="371"/>
      <c r="J749" s="371"/>
      <c r="K749" s="371"/>
      <c r="L749" s="371"/>
      <c r="M749" s="371"/>
      <c r="N749" s="371"/>
      <c r="O749" s="371"/>
      <c r="P749" s="371"/>
      <c r="Q749" s="371"/>
      <c r="R749" s="371"/>
      <c r="S749" s="371"/>
      <c r="T749" s="371"/>
      <c r="U749" s="371"/>
      <c r="V749" s="371"/>
      <c r="W749" s="371"/>
      <c r="X749" s="371"/>
      <c r="Y749" s="371"/>
      <c r="Z749" s="371"/>
    </row>
    <row r="750">
      <c r="A750" s="371"/>
      <c r="B750" s="307"/>
      <c r="C750" s="307"/>
      <c r="D750" s="307"/>
      <c r="E750" s="307"/>
      <c r="F750" s="371"/>
      <c r="G750" s="307"/>
      <c r="H750" s="371"/>
      <c r="I750" s="371"/>
      <c r="J750" s="371"/>
      <c r="K750" s="371"/>
      <c r="L750" s="371"/>
      <c r="M750" s="371"/>
      <c r="N750" s="371"/>
      <c r="O750" s="371"/>
      <c r="P750" s="371"/>
      <c r="Q750" s="371"/>
      <c r="R750" s="371"/>
      <c r="S750" s="371"/>
      <c r="T750" s="371"/>
      <c r="U750" s="371"/>
      <c r="V750" s="371"/>
      <c r="W750" s="371"/>
      <c r="X750" s="371"/>
      <c r="Y750" s="371"/>
      <c r="Z750" s="371"/>
    </row>
    <row r="751">
      <c r="A751" s="371"/>
      <c r="B751" s="307"/>
      <c r="C751" s="307"/>
      <c r="D751" s="307"/>
      <c r="E751" s="307"/>
      <c r="F751" s="371"/>
      <c r="G751" s="307"/>
      <c r="H751" s="371"/>
      <c r="I751" s="371"/>
      <c r="J751" s="371"/>
      <c r="K751" s="371"/>
      <c r="L751" s="371"/>
      <c r="M751" s="371"/>
      <c r="N751" s="371"/>
      <c r="O751" s="371"/>
      <c r="P751" s="371"/>
      <c r="Q751" s="371"/>
      <c r="R751" s="371"/>
      <c r="S751" s="371"/>
      <c r="T751" s="371"/>
      <c r="U751" s="371"/>
      <c r="V751" s="371"/>
      <c r="W751" s="371"/>
      <c r="X751" s="371"/>
      <c r="Y751" s="371"/>
      <c r="Z751" s="371"/>
    </row>
    <row r="752">
      <c r="A752" s="371"/>
      <c r="B752" s="307"/>
      <c r="C752" s="307"/>
      <c r="D752" s="307"/>
      <c r="E752" s="307"/>
      <c r="F752" s="371"/>
      <c r="G752" s="307"/>
      <c r="H752" s="371"/>
      <c r="I752" s="371"/>
      <c r="J752" s="371"/>
      <c r="K752" s="371"/>
      <c r="L752" s="371"/>
      <c r="M752" s="371"/>
      <c r="N752" s="371"/>
      <c r="O752" s="371"/>
      <c r="P752" s="371"/>
      <c r="Q752" s="371"/>
      <c r="R752" s="371"/>
      <c r="S752" s="371"/>
      <c r="T752" s="371"/>
      <c r="U752" s="371"/>
      <c r="V752" s="371"/>
      <c r="W752" s="371"/>
      <c r="X752" s="371"/>
      <c r="Y752" s="371"/>
      <c r="Z752" s="371"/>
    </row>
    <row r="753">
      <c r="A753" s="371"/>
      <c r="B753" s="307"/>
      <c r="C753" s="307"/>
      <c r="D753" s="307"/>
      <c r="E753" s="307"/>
      <c r="F753" s="371"/>
      <c r="G753" s="307"/>
      <c r="H753" s="371"/>
      <c r="I753" s="371"/>
      <c r="J753" s="371"/>
      <c r="K753" s="371"/>
      <c r="L753" s="371"/>
      <c r="M753" s="371"/>
      <c r="N753" s="371"/>
      <c r="O753" s="371"/>
      <c r="P753" s="371"/>
      <c r="Q753" s="371"/>
      <c r="R753" s="371"/>
      <c r="S753" s="371"/>
      <c r="T753" s="371"/>
      <c r="U753" s="371"/>
      <c r="V753" s="371"/>
      <c r="W753" s="371"/>
      <c r="X753" s="371"/>
      <c r="Y753" s="371"/>
      <c r="Z753" s="371"/>
    </row>
    <row r="754">
      <c r="A754" s="371"/>
      <c r="B754" s="307"/>
      <c r="C754" s="307"/>
      <c r="D754" s="307"/>
      <c r="E754" s="307"/>
      <c r="F754" s="371"/>
      <c r="G754" s="307"/>
      <c r="H754" s="371"/>
      <c r="I754" s="371"/>
      <c r="J754" s="371"/>
      <c r="K754" s="371"/>
      <c r="L754" s="371"/>
      <c r="M754" s="371"/>
      <c r="N754" s="371"/>
      <c r="O754" s="371"/>
      <c r="P754" s="371"/>
      <c r="Q754" s="371"/>
      <c r="R754" s="371"/>
      <c r="S754" s="371"/>
      <c r="T754" s="371"/>
      <c r="U754" s="371"/>
      <c r="V754" s="371"/>
      <c r="W754" s="371"/>
      <c r="X754" s="371"/>
      <c r="Y754" s="371"/>
      <c r="Z754" s="371"/>
    </row>
    <row r="755">
      <c r="A755" s="371"/>
      <c r="B755" s="307"/>
      <c r="C755" s="307"/>
      <c r="D755" s="307"/>
      <c r="E755" s="307"/>
      <c r="F755" s="371"/>
      <c r="G755" s="307"/>
      <c r="H755" s="371"/>
      <c r="I755" s="371"/>
      <c r="J755" s="371"/>
      <c r="K755" s="371"/>
      <c r="L755" s="371"/>
      <c r="M755" s="371"/>
      <c r="N755" s="371"/>
      <c r="O755" s="371"/>
      <c r="P755" s="371"/>
      <c r="Q755" s="371"/>
      <c r="R755" s="371"/>
      <c r="S755" s="371"/>
      <c r="T755" s="371"/>
      <c r="U755" s="371"/>
      <c r="V755" s="371"/>
      <c r="W755" s="371"/>
      <c r="X755" s="371"/>
      <c r="Y755" s="371"/>
      <c r="Z755" s="371"/>
    </row>
    <row r="756">
      <c r="A756" s="371"/>
      <c r="B756" s="307"/>
      <c r="C756" s="307"/>
      <c r="D756" s="307"/>
      <c r="E756" s="307"/>
      <c r="F756" s="371"/>
      <c r="G756" s="307"/>
      <c r="H756" s="371"/>
      <c r="I756" s="371"/>
      <c r="J756" s="371"/>
      <c r="K756" s="371"/>
      <c r="L756" s="371"/>
      <c r="M756" s="371"/>
      <c r="N756" s="371"/>
      <c r="O756" s="371"/>
      <c r="P756" s="371"/>
      <c r="Q756" s="371"/>
      <c r="R756" s="371"/>
      <c r="S756" s="371"/>
      <c r="T756" s="371"/>
      <c r="U756" s="371"/>
      <c r="V756" s="371"/>
      <c r="W756" s="371"/>
      <c r="X756" s="371"/>
      <c r="Y756" s="371"/>
      <c r="Z756" s="371"/>
    </row>
    <row r="757">
      <c r="A757" s="371"/>
      <c r="B757" s="307"/>
      <c r="C757" s="307"/>
      <c r="D757" s="307"/>
      <c r="E757" s="307"/>
      <c r="F757" s="371"/>
      <c r="G757" s="307"/>
      <c r="H757" s="371"/>
      <c r="I757" s="371"/>
      <c r="J757" s="371"/>
      <c r="K757" s="371"/>
      <c r="L757" s="371"/>
      <c r="M757" s="371"/>
      <c r="N757" s="371"/>
      <c r="O757" s="371"/>
      <c r="P757" s="371"/>
      <c r="Q757" s="371"/>
      <c r="R757" s="371"/>
      <c r="S757" s="371"/>
      <c r="T757" s="371"/>
      <c r="U757" s="371"/>
      <c r="V757" s="371"/>
      <c r="W757" s="371"/>
      <c r="X757" s="371"/>
      <c r="Y757" s="371"/>
      <c r="Z757" s="371"/>
    </row>
    <row r="758">
      <c r="A758" s="371"/>
      <c r="B758" s="307"/>
      <c r="C758" s="307"/>
      <c r="D758" s="307"/>
      <c r="E758" s="307"/>
      <c r="F758" s="371"/>
      <c r="G758" s="307"/>
      <c r="H758" s="371"/>
      <c r="I758" s="371"/>
      <c r="J758" s="371"/>
      <c r="K758" s="371"/>
      <c r="L758" s="371"/>
      <c r="M758" s="371"/>
      <c r="N758" s="371"/>
      <c r="O758" s="371"/>
      <c r="P758" s="371"/>
      <c r="Q758" s="371"/>
      <c r="R758" s="371"/>
      <c r="S758" s="371"/>
      <c r="T758" s="371"/>
      <c r="U758" s="371"/>
      <c r="V758" s="371"/>
      <c r="W758" s="371"/>
      <c r="X758" s="371"/>
      <c r="Y758" s="371"/>
      <c r="Z758" s="371"/>
    </row>
    <row r="759">
      <c r="A759" s="371"/>
      <c r="B759" s="307"/>
      <c r="C759" s="307"/>
      <c r="D759" s="307"/>
      <c r="E759" s="307"/>
      <c r="F759" s="371"/>
      <c r="G759" s="307"/>
      <c r="H759" s="371"/>
      <c r="I759" s="371"/>
      <c r="J759" s="371"/>
      <c r="K759" s="371"/>
      <c r="L759" s="371"/>
      <c r="M759" s="371"/>
      <c r="N759" s="371"/>
      <c r="O759" s="371"/>
      <c r="P759" s="371"/>
      <c r="Q759" s="371"/>
      <c r="R759" s="371"/>
      <c r="S759" s="371"/>
      <c r="T759" s="371"/>
      <c r="U759" s="371"/>
      <c r="V759" s="371"/>
      <c r="W759" s="371"/>
      <c r="X759" s="371"/>
      <c r="Y759" s="371"/>
      <c r="Z759" s="371"/>
    </row>
    <row r="760">
      <c r="A760" s="371"/>
      <c r="B760" s="307"/>
      <c r="C760" s="307"/>
      <c r="D760" s="307"/>
      <c r="E760" s="307"/>
      <c r="F760" s="371"/>
      <c r="G760" s="307"/>
      <c r="H760" s="371"/>
      <c r="I760" s="371"/>
      <c r="J760" s="371"/>
      <c r="K760" s="371"/>
      <c r="L760" s="371"/>
      <c r="M760" s="371"/>
      <c r="N760" s="371"/>
      <c r="O760" s="371"/>
      <c r="P760" s="371"/>
      <c r="Q760" s="371"/>
      <c r="R760" s="371"/>
      <c r="S760" s="371"/>
      <c r="T760" s="371"/>
      <c r="U760" s="371"/>
      <c r="V760" s="371"/>
      <c r="W760" s="371"/>
      <c r="X760" s="371"/>
      <c r="Y760" s="371"/>
      <c r="Z760" s="371"/>
    </row>
    <row r="761">
      <c r="A761" s="371"/>
      <c r="B761" s="307"/>
      <c r="C761" s="307"/>
      <c r="D761" s="307"/>
      <c r="E761" s="307"/>
      <c r="F761" s="371"/>
      <c r="G761" s="307"/>
      <c r="H761" s="371"/>
      <c r="I761" s="371"/>
      <c r="J761" s="371"/>
      <c r="K761" s="371"/>
      <c r="L761" s="371"/>
      <c r="M761" s="371"/>
      <c r="N761" s="371"/>
      <c r="O761" s="371"/>
      <c r="P761" s="371"/>
      <c r="Q761" s="371"/>
      <c r="R761" s="371"/>
      <c r="S761" s="371"/>
      <c r="T761" s="371"/>
      <c r="U761" s="371"/>
      <c r="V761" s="371"/>
      <c r="W761" s="371"/>
      <c r="X761" s="371"/>
      <c r="Y761" s="371"/>
      <c r="Z761" s="371"/>
    </row>
    <row r="762">
      <c r="A762" s="371"/>
      <c r="B762" s="307"/>
      <c r="C762" s="307"/>
      <c r="D762" s="307"/>
      <c r="E762" s="307"/>
      <c r="F762" s="371"/>
      <c r="G762" s="307"/>
      <c r="H762" s="371"/>
      <c r="I762" s="371"/>
      <c r="J762" s="371"/>
      <c r="K762" s="371"/>
      <c r="L762" s="371"/>
      <c r="M762" s="371"/>
      <c r="N762" s="371"/>
      <c r="O762" s="371"/>
      <c r="P762" s="371"/>
      <c r="Q762" s="371"/>
      <c r="R762" s="371"/>
      <c r="S762" s="371"/>
      <c r="T762" s="371"/>
      <c r="U762" s="371"/>
      <c r="V762" s="371"/>
      <c r="W762" s="371"/>
      <c r="X762" s="371"/>
      <c r="Y762" s="371"/>
      <c r="Z762" s="371"/>
    </row>
    <row r="763">
      <c r="A763" s="371"/>
      <c r="B763" s="307"/>
      <c r="C763" s="307"/>
      <c r="D763" s="307"/>
      <c r="E763" s="307"/>
      <c r="F763" s="371"/>
      <c r="G763" s="307"/>
      <c r="H763" s="371"/>
      <c r="I763" s="371"/>
      <c r="J763" s="371"/>
      <c r="K763" s="371"/>
      <c r="L763" s="371"/>
      <c r="M763" s="371"/>
      <c r="N763" s="371"/>
      <c r="O763" s="371"/>
      <c r="P763" s="371"/>
      <c r="Q763" s="371"/>
      <c r="R763" s="371"/>
      <c r="S763" s="371"/>
      <c r="T763" s="371"/>
      <c r="U763" s="371"/>
      <c r="V763" s="371"/>
      <c r="W763" s="371"/>
      <c r="X763" s="371"/>
      <c r="Y763" s="371"/>
      <c r="Z763" s="371"/>
    </row>
    <row r="764">
      <c r="A764" s="371"/>
      <c r="B764" s="307"/>
      <c r="C764" s="307"/>
      <c r="D764" s="307"/>
      <c r="E764" s="307"/>
      <c r="F764" s="371"/>
      <c r="G764" s="307"/>
      <c r="H764" s="371"/>
      <c r="I764" s="371"/>
      <c r="J764" s="371"/>
      <c r="K764" s="371"/>
      <c r="L764" s="371"/>
      <c r="M764" s="371"/>
      <c r="N764" s="371"/>
      <c r="O764" s="371"/>
      <c r="P764" s="371"/>
      <c r="Q764" s="371"/>
      <c r="R764" s="371"/>
      <c r="S764" s="371"/>
      <c r="T764" s="371"/>
      <c r="U764" s="371"/>
      <c r="V764" s="371"/>
      <c r="W764" s="371"/>
      <c r="X764" s="371"/>
      <c r="Y764" s="371"/>
      <c r="Z764" s="371"/>
    </row>
    <row r="765">
      <c r="A765" s="371"/>
      <c r="B765" s="307"/>
      <c r="C765" s="307"/>
      <c r="D765" s="307"/>
      <c r="E765" s="307"/>
      <c r="F765" s="371"/>
      <c r="G765" s="307"/>
      <c r="H765" s="371"/>
      <c r="I765" s="371"/>
      <c r="J765" s="371"/>
      <c r="K765" s="371"/>
      <c r="L765" s="371"/>
      <c r="M765" s="371"/>
      <c r="N765" s="371"/>
      <c r="O765" s="371"/>
      <c r="P765" s="371"/>
      <c r="Q765" s="371"/>
      <c r="R765" s="371"/>
      <c r="S765" s="371"/>
      <c r="T765" s="371"/>
      <c r="U765" s="371"/>
      <c r="V765" s="371"/>
      <c r="W765" s="371"/>
      <c r="X765" s="371"/>
      <c r="Y765" s="371"/>
      <c r="Z765" s="371"/>
    </row>
    <row r="766">
      <c r="A766" s="371"/>
      <c r="B766" s="307"/>
      <c r="C766" s="307"/>
      <c r="D766" s="307"/>
      <c r="E766" s="307"/>
      <c r="F766" s="371"/>
      <c r="G766" s="307"/>
      <c r="H766" s="371"/>
      <c r="I766" s="371"/>
      <c r="J766" s="371"/>
      <c r="K766" s="371"/>
      <c r="L766" s="371"/>
      <c r="M766" s="371"/>
      <c r="N766" s="371"/>
      <c r="O766" s="371"/>
      <c r="P766" s="371"/>
      <c r="Q766" s="371"/>
      <c r="R766" s="371"/>
      <c r="S766" s="371"/>
      <c r="T766" s="371"/>
      <c r="U766" s="371"/>
      <c r="V766" s="371"/>
      <c r="W766" s="371"/>
      <c r="X766" s="371"/>
      <c r="Y766" s="371"/>
      <c r="Z766" s="371"/>
    </row>
    <row r="767">
      <c r="A767" s="371"/>
      <c r="B767" s="307"/>
      <c r="C767" s="307"/>
      <c r="D767" s="307"/>
      <c r="E767" s="307"/>
      <c r="F767" s="371"/>
      <c r="G767" s="307"/>
      <c r="H767" s="371"/>
      <c r="I767" s="371"/>
      <c r="J767" s="371"/>
      <c r="K767" s="371"/>
      <c r="L767" s="371"/>
      <c r="M767" s="371"/>
      <c r="N767" s="371"/>
      <c r="O767" s="371"/>
      <c r="P767" s="371"/>
      <c r="Q767" s="371"/>
      <c r="R767" s="371"/>
      <c r="S767" s="371"/>
      <c r="T767" s="371"/>
      <c r="U767" s="371"/>
      <c r="V767" s="371"/>
      <c r="W767" s="371"/>
      <c r="X767" s="371"/>
      <c r="Y767" s="371"/>
      <c r="Z767" s="371"/>
    </row>
    <row r="768">
      <c r="A768" s="371"/>
      <c r="B768" s="307"/>
      <c r="C768" s="307"/>
      <c r="D768" s="307"/>
      <c r="E768" s="307"/>
      <c r="F768" s="371"/>
      <c r="G768" s="307"/>
      <c r="H768" s="371"/>
      <c r="I768" s="371"/>
      <c r="J768" s="371"/>
      <c r="K768" s="371"/>
      <c r="L768" s="371"/>
      <c r="M768" s="371"/>
      <c r="N768" s="371"/>
      <c r="O768" s="371"/>
      <c r="P768" s="371"/>
      <c r="Q768" s="371"/>
      <c r="R768" s="371"/>
      <c r="S768" s="371"/>
      <c r="T768" s="371"/>
      <c r="U768" s="371"/>
      <c r="V768" s="371"/>
      <c r="W768" s="371"/>
      <c r="X768" s="371"/>
      <c r="Y768" s="371"/>
      <c r="Z768" s="371"/>
    </row>
    <row r="769">
      <c r="A769" s="371"/>
      <c r="B769" s="307"/>
      <c r="C769" s="307"/>
      <c r="D769" s="307"/>
      <c r="E769" s="307"/>
      <c r="F769" s="371"/>
      <c r="G769" s="307"/>
      <c r="H769" s="371"/>
      <c r="I769" s="371"/>
      <c r="J769" s="371"/>
      <c r="K769" s="371"/>
      <c r="L769" s="371"/>
      <c r="M769" s="371"/>
      <c r="N769" s="371"/>
      <c r="O769" s="371"/>
      <c r="P769" s="371"/>
      <c r="Q769" s="371"/>
      <c r="R769" s="371"/>
      <c r="S769" s="371"/>
      <c r="T769" s="371"/>
      <c r="U769" s="371"/>
      <c r="V769" s="371"/>
      <c r="W769" s="371"/>
      <c r="X769" s="371"/>
      <c r="Y769" s="371"/>
      <c r="Z769" s="371"/>
    </row>
    <row r="770">
      <c r="A770" s="371"/>
      <c r="B770" s="307"/>
      <c r="C770" s="307"/>
      <c r="D770" s="307"/>
      <c r="E770" s="307"/>
      <c r="F770" s="371"/>
      <c r="G770" s="307"/>
      <c r="H770" s="371"/>
      <c r="I770" s="371"/>
      <c r="J770" s="371"/>
      <c r="K770" s="371"/>
      <c r="L770" s="371"/>
      <c r="M770" s="371"/>
      <c r="N770" s="371"/>
      <c r="O770" s="371"/>
      <c r="P770" s="371"/>
      <c r="Q770" s="371"/>
      <c r="R770" s="371"/>
      <c r="S770" s="371"/>
      <c r="T770" s="371"/>
      <c r="U770" s="371"/>
      <c r="V770" s="371"/>
      <c r="W770" s="371"/>
      <c r="X770" s="371"/>
      <c r="Y770" s="371"/>
      <c r="Z770" s="371"/>
    </row>
    <row r="771">
      <c r="A771" s="371"/>
      <c r="B771" s="307"/>
      <c r="C771" s="307"/>
      <c r="D771" s="307"/>
      <c r="E771" s="307"/>
      <c r="F771" s="371"/>
      <c r="G771" s="307"/>
      <c r="H771" s="371"/>
      <c r="I771" s="371"/>
      <c r="J771" s="371"/>
      <c r="K771" s="371"/>
      <c r="L771" s="371"/>
      <c r="M771" s="371"/>
      <c r="N771" s="371"/>
      <c r="O771" s="371"/>
      <c r="P771" s="371"/>
      <c r="Q771" s="371"/>
      <c r="R771" s="371"/>
      <c r="S771" s="371"/>
      <c r="T771" s="371"/>
      <c r="U771" s="371"/>
      <c r="V771" s="371"/>
      <c r="W771" s="371"/>
      <c r="X771" s="371"/>
      <c r="Y771" s="371"/>
      <c r="Z771" s="371"/>
    </row>
    <row r="772">
      <c r="A772" s="371"/>
      <c r="B772" s="307"/>
      <c r="C772" s="307"/>
      <c r="D772" s="307"/>
      <c r="E772" s="307"/>
      <c r="F772" s="371"/>
      <c r="G772" s="307"/>
      <c r="H772" s="371"/>
      <c r="I772" s="371"/>
      <c r="J772" s="371"/>
      <c r="K772" s="371"/>
      <c r="L772" s="371"/>
      <c r="M772" s="371"/>
      <c r="N772" s="371"/>
      <c r="O772" s="371"/>
      <c r="P772" s="371"/>
      <c r="Q772" s="371"/>
      <c r="R772" s="371"/>
      <c r="S772" s="371"/>
      <c r="T772" s="371"/>
      <c r="U772" s="371"/>
      <c r="V772" s="371"/>
      <c r="W772" s="371"/>
      <c r="X772" s="371"/>
      <c r="Y772" s="371"/>
      <c r="Z772" s="371"/>
    </row>
    <row r="773">
      <c r="A773" s="371"/>
      <c r="B773" s="307"/>
      <c r="C773" s="307"/>
      <c r="D773" s="307"/>
      <c r="E773" s="307"/>
      <c r="F773" s="371"/>
      <c r="G773" s="307"/>
      <c r="H773" s="371"/>
      <c r="I773" s="371"/>
      <c r="J773" s="371"/>
      <c r="K773" s="371"/>
      <c r="L773" s="371"/>
      <c r="M773" s="371"/>
      <c r="N773" s="371"/>
      <c r="O773" s="371"/>
      <c r="P773" s="371"/>
      <c r="Q773" s="371"/>
      <c r="R773" s="371"/>
      <c r="S773" s="371"/>
      <c r="T773" s="371"/>
      <c r="U773" s="371"/>
      <c r="V773" s="371"/>
      <c r="W773" s="371"/>
      <c r="X773" s="371"/>
      <c r="Y773" s="371"/>
      <c r="Z773" s="371"/>
    </row>
    <row r="774">
      <c r="A774" s="371"/>
      <c r="B774" s="307"/>
      <c r="C774" s="307"/>
      <c r="D774" s="307"/>
      <c r="E774" s="307"/>
      <c r="F774" s="371"/>
      <c r="G774" s="307"/>
      <c r="H774" s="371"/>
      <c r="I774" s="371"/>
      <c r="J774" s="371"/>
      <c r="K774" s="371"/>
      <c r="L774" s="371"/>
      <c r="M774" s="371"/>
      <c r="N774" s="371"/>
      <c r="O774" s="371"/>
      <c r="P774" s="371"/>
      <c r="Q774" s="371"/>
      <c r="R774" s="371"/>
      <c r="S774" s="371"/>
      <c r="T774" s="371"/>
      <c r="U774" s="371"/>
      <c r="V774" s="371"/>
      <c r="W774" s="371"/>
      <c r="X774" s="371"/>
      <c r="Y774" s="371"/>
      <c r="Z774" s="371"/>
    </row>
    <row r="775">
      <c r="A775" s="371"/>
      <c r="B775" s="307"/>
      <c r="C775" s="307"/>
      <c r="D775" s="307"/>
      <c r="E775" s="307"/>
      <c r="F775" s="371"/>
      <c r="G775" s="307"/>
      <c r="H775" s="371"/>
      <c r="I775" s="371"/>
      <c r="J775" s="371"/>
      <c r="K775" s="371"/>
      <c r="L775" s="371"/>
      <c r="M775" s="371"/>
      <c r="N775" s="371"/>
      <c r="O775" s="371"/>
      <c r="P775" s="371"/>
      <c r="Q775" s="371"/>
      <c r="R775" s="371"/>
      <c r="S775" s="371"/>
      <c r="T775" s="371"/>
      <c r="U775" s="371"/>
      <c r="V775" s="371"/>
      <c r="W775" s="371"/>
      <c r="X775" s="371"/>
      <c r="Y775" s="371"/>
      <c r="Z775" s="371"/>
    </row>
    <row r="776">
      <c r="A776" s="371"/>
      <c r="B776" s="307"/>
      <c r="C776" s="307"/>
      <c r="D776" s="307"/>
      <c r="E776" s="307"/>
      <c r="F776" s="371"/>
      <c r="G776" s="307"/>
      <c r="H776" s="371"/>
      <c r="I776" s="371"/>
      <c r="J776" s="371"/>
      <c r="K776" s="371"/>
      <c r="L776" s="371"/>
      <c r="M776" s="371"/>
      <c r="N776" s="371"/>
      <c r="O776" s="371"/>
      <c r="P776" s="371"/>
      <c r="Q776" s="371"/>
      <c r="R776" s="371"/>
      <c r="S776" s="371"/>
      <c r="T776" s="371"/>
      <c r="U776" s="371"/>
      <c r="V776" s="371"/>
      <c r="W776" s="371"/>
      <c r="X776" s="371"/>
      <c r="Y776" s="371"/>
      <c r="Z776" s="371"/>
    </row>
    <row r="777">
      <c r="A777" s="371"/>
      <c r="B777" s="307"/>
      <c r="C777" s="307"/>
      <c r="D777" s="307"/>
      <c r="E777" s="307"/>
      <c r="F777" s="371"/>
      <c r="G777" s="307"/>
      <c r="H777" s="371"/>
      <c r="I777" s="371"/>
      <c r="J777" s="371"/>
      <c r="K777" s="371"/>
      <c r="L777" s="371"/>
      <c r="M777" s="371"/>
      <c r="N777" s="371"/>
      <c r="O777" s="371"/>
      <c r="P777" s="371"/>
      <c r="Q777" s="371"/>
      <c r="R777" s="371"/>
      <c r="S777" s="371"/>
      <c r="T777" s="371"/>
      <c r="U777" s="371"/>
      <c r="V777" s="371"/>
      <c r="W777" s="371"/>
      <c r="X777" s="371"/>
      <c r="Y777" s="371"/>
      <c r="Z777" s="371"/>
    </row>
    <row r="778">
      <c r="A778" s="371"/>
      <c r="B778" s="307"/>
      <c r="C778" s="307"/>
      <c r="D778" s="307"/>
      <c r="E778" s="307"/>
      <c r="F778" s="371"/>
      <c r="G778" s="307"/>
      <c r="H778" s="371"/>
      <c r="I778" s="371"/>
      <c r="J778" s="371"/>
      <c r="K778" s="371"/>
      <c r="L778" s="371"/>
      <c r="M778" s="371"/>
      <c r="N778" s="371"/>
      <c r="O778" s="371"/>
      <c r="P778" s="371"/>
      <c r="Q778" s="371"/>
      <c r="R778" s="371"/>
      <c r="S778" s="371"/>
      <c r="T778" s="371"/>
      <c r="U778" s="371"/>
      <c r="V778" s="371"/>
      <c r="W778" s="371"/>
      <c r="X778" s="371"/>
      <c r="Y778" s="371"/>
      <c r="Z778" s="371"/>
    </row>
    <row r="779">
      <c r="A779" s="371"/>
      <c r="B779" s="307"/>
      <c r="C779" s="307"/>
      <c r="D779" s="307"/>
      <c r="E779" s="307"/>
      <c r="F779" s="371"/>
      <c r="G779" s="307"/>
      <c r="H779" s="371"/>
      <c r="I779" s="371"/>
      <c r="J779" s="371"/>
      <c r="K779" s="371"/>
      <c r="L779" s="371"/>
      <c r="M779" s="371"/>
      <c r="N779" s="371"/>
      <c r="O779" s="371"/>
      <c r="P779" s="371"/>
      <c r="Q779" s="371"/>
      <c r="R779" s="371"/>
      <c r="S779" s="371"/>
      <c r="T779" s="371"/>
      <c r="U779" s="371"/>
      <c r="V779" s="371"/>
      <c r="W779" s="371"/>
      <c r="X779" s="371"/>
      <c r="Y779" s="371"/>
      <c r="Z779" s="371"/>
    </row>
    <row r="780">
      <c r="A780" s="371"/>
      <c r="B780" s="307"/>
      <c r="C780" s="307"/>
      <c r="D780" s="307"/>
      <c r="E780" s="307"/>
      <c r="F780" s="371"/>
      <c r="G780" s="307"/>
      <c r="H780" s="371"/>
      <c r="I780" s="371"/>
      <c r="J780" s="371"/>
      <c r="K780" s="371"/>
      <c r="L780" s="371"/>
      <c r="M780" s="371"/>
      <c r="N780" s="371"/>
      <c r="O780" s="371"/>
      <c r="P780" s="371"/>
      <c r="Q780" s="371"/>
      <c r="R780" s="371"/>
      <c r="S780" s="371"/>
      <c r="T780" s="371"/>
      <c r="U780" s="371"/>
      <c r="V780" s="371"/>
      <c r="W780" s="371"/>
      <c r="X780" s="371"/>
      <c r="Y780" s="371"/>
      <c r="Z780" s="371"/>
    </row>
    <row r="781">
      <c r="A781" s="371"/>
      <c r="B781" s="307"/>
      <c r="C781" s="307"/>
      <c r="D781" s="307"/>
      <c r="E781" s="307"/>
      <c r="F781" s="371"/>
      <c r="G781" s="307"/>
      <c r="H781" s="371"/>
      <c r="I781" s="371"/>
      <c r="J781" s="371"/>
      <c r="K781" s="371"/>
      <c r="L781" s="371"/>
      <c r="M781" s="371"/>
      <c r="N781" s="371"/>
      <c r="O781" s="371"/>
      <c r="P781" s="371"/>
      <c r="Q781" s="371"/>
      <c r="R781" s="371"/>
      <c r="S781" s="371"/>
      <c r="T781" s="371"/>
      <c r="U781" s="371"/>
      <c r="V781" s="371"/>
      <c r="W781" s="371"/>
      <c r="X781" s="371"/>
      <c r="Y781" s="371"/>
      <c r="Z781" s="371"/>
    </row>
    <row r="782">
      <c r="A782" s="371"/>
      <c r="B782" s="307"/>
      <c r="C782" s="307"/>
      <c r="D782" s="307"/>
      <c r="E782" s="307"/>
      <c r="F782" s="371"/>
      <c r="G782" s="307"/>
      <c r="H782" s="371"/>
      <c r="I782" s="371"/>
      <c r="J782" s="371"/>
      <c r="K782" s="371"/>
      <c r="L782" s="371"/>
      <c r="M782" s="371"/>
      <c r="N782" s="371"/>
      <c r="O782" s="371"/>
      <c r="P782" s="371"/>
      <c r="Q782" s="371"/>
      <c r="R782" s="371"/>
      <c r="S782" s="371"/>
      <c r="T782" s="371"/>
      <c r="U782" s="371"/>
      <c r="V782" s="371"/>
      <c r="W782" s="371"/>
      <c r="X782" s="371"/>
      <c r="Y782" s="371"/>
      <c r="Z782" s="371"/>
    </row>
    <row r="783">
      <c r="A783" s="371"/>
      <c r="B783" s="307"/>
      <c r="C783" s="307"/>
      <c r="D783" s="307"/>
      <c r="E783" s="307"/>
      <c r="F783" s="371"/>
      <c r="G783" s="307"/>
      <c r="H783" s="371"/>
      <c r="I783" s="371"/>
      <c r="J783" s="371"/>
      <c r="K783" s="371"/>
      <c r="L783" s="371"/>
      <c r="M783" s="371"/>
      <c r="N783" s="371"/>
      <c r="O783" s="371"/>
      <c r="P783" s="371"/>
      <c r="Q783" s="371"/>
      <c r="R783" s="371"/>
      <c r="S783" s="371"/>
      <c r="T783" s="371"/>
      <c r="U783" s="371"/>
      <c r="V783" s="371"/>
      <c r="W783" s="371"/>
      <c r="X783" s="371"/>
      <c r="Y783" s="371"/>
      <c r="Z783" s="371"/>
    </row>
    <row r="784">
      <c r="A784" s="371"/>
      <c r="B784" s="307"/>
      <c r="C784" s="307"/>
      <c r="D784" s="307"/>
      <c r="E784" s="307"/>
      <c r="F784" s="371"/>
      <c r="G784" s="307"/>
      <c r="H784" s="371"/>
      <c r="I784" s="371"/>
      <c r="J784" s="371"/>
      <c r="K784" s="371"/>
      <c r="L784" s="371"/>
      <c r="M784" s="371"/>
      <c r="N784" s="371"/>
      <c r="O784" s="371"/>
      <c r="P784" s="371"/>
      <c r="Q784" s="371"/>
      <c r="R784" s="371"/>
      <c r="S784" s="371"/>
      <c r="T784" s="371"/>
      <c r="U784" s="371"/>
      <c r="V784" s="371"/>
      <c r="W784" s="371"/>
      <c r="X784" s="371"/>
      <c r="Y784" s="371"/>
      <c r="Z784" s="371"/>
    </row>
    <row r="785">
      <c r="A785" s="371"/>
      <c r="B785" s="307"/>
      <c r="C785" s="307"/>
      <c r="D785" s="307"/>
      <c r="E785" s="307"/>
      <c r="F785" s="371"/>
      <c r="G785" s="307"/>
      <c r="H785" s="371"/>
      <c r="I785" s="371"/>
      <c r="J785" s="371"/>
      <c r="K785" s="371"/>
      <c r="L785" s="371"/>
      <c r="M785" s="371"/>
      <c r="N785" s="371"/>
      <c r="O785" s="371"/>
      <c r="P785" s="371"/>
      <c r="Q785" s="371"/>
      <c r="R785" s="371"/>
      <c r="S785" s="371"/>
      <c r="T785" s="371"/>
      <c r="U785" s="371"/>
      <c r="V785" s="371"/>
      <c r="W785" s="371"/>
      <c r="X785" s="371"/>
      <c r="Y785" s="371"/>
      <c r="Z785" s="371"/>
    </row>
    <row r="786">
      <c r="A786" s="371"/>
      <c r="B786" s="307"/>
      <c r="C786" s="307"/>
      <c r="D786" s="307"/>
      <c r="E786" s="307"/>
      <c r="F786" s="371"/>
      <c r="G786" s="307"/>
      <c r="H786" s="371"/>
      <c r="I786" s="371"/>
      <c r="J786" s="371"/>
      <c r="K786" s="371"/>
      <c r="L786" s="371"/>
      <c r="M786" s="371"/>
      <c r="N786" s="371"/>
      <c r="O786" s="371"/>
      <c r="P786" s="371"/>
      <c r="Q786" s="371"/>
      <c r="R786" s="371"/>
      <c r="S786" s="371"/>
      <c r="T786" s="371"/>
      <c r="U786" s="371"/>
      <c r="V786" s="371"/>
      <c r="W786" s="371"/>
      <c r="X786" s="371"/>
      <c r="Y786" s="371"/>
      <c r="Z786" s="371"/>
    </row>
    <row r="787">
      <c r="A787" s="371"/>
      <c r="B787" s="307"/>
      <c r="C787" s="307"/>
      <c r="D787" s="307"/>
      <c r="E787" s="307"/>
      <c r="F787" s="371"/>
      <c r="G787" s="307"/>
      <c r="H787" s="371"/>
      <c r="I787" s="371"/>
      <c r="J787" s="371"/>
      <c r="K787" s="371"/>
      <c r="L787" s="371"/>
      <c r="M787" s="371"/>
      <c r="N787" s="371"/>
      <c r="O787" s="371"/>
      <c r="P787" s="371"/>
      <c r="Q787" s="371"/>
      <c r="R787" s="371"/>
      <c r="S787" s="371"/>
      <c r="T787" s="371"/>
      <c r="U787" s="371"/>
      <c r="V787" s="371"/>
      <c r="W787" s="371"/>
      <c r="X787" s="371"/>
      <c r="Y787" s="371"/>
      <c r="Z787" s="371"/>
    </row>
    <row r="788">
      <c r="A788" s="371"/>
      <c r="B788" s="307"/>
      <c r="C788" s="307"/>
      <c r="D788" s="307"/>
      <c r="E788" s="307"/>
      <c r="F788" s="371"/>
      <c r="G788" s="307"/>
      <c r="H788" s="371"/>
      <c r="I788" s="371"/>
      <c r="J788" s="371"/>
      <c r="K788" s="371"/>
      <c r="L788" s="371"/>
      <c r="M788" s="371"/>
      <c r="N788" s="371"/>
      <c r="O788" s="371"/>
      <c r="P788" s="371"/>
      <c r="Q788" s="371"/>
      <c r="R788" s="371"/>
      <c r="S788" s="371"/>
      <c r="T788" s="371"/>
      <c r="U788" s="371"/>
      <c r="V788" s="371"/>
      <c r="W788" s="371"/>
      <c r="X788" s="371"/>
      <c r="Y788" s="371"/>
      <c r="Z788" s="371"/>
    </row>
    <row r="789">
      <c r="A789" s="371"/>
      <c r="B789" s="307"/>
      <c r="C789" s="307"/>
      <c r="D789" s="307"/>
      <c r="E789" s="307"/>
      <c r="F789" s="371"/>
      <c r="G789" s="307"/>
      <c r="H789" s="371"/>
      <c r="I789" s="371"/>
      <c r="J789" s="371"/>
      <c r="K789" s="371"/>
      <c r="L789" s="371"/>
      <c r="M789" s="371"/>
      <c r="N789" s="371"/>
      <c r="O789" s="371"/>
      <c r="P789" s="371"/>
      <c r="Q789" s="371"/>
      <c r="R789" s="371"/>
      <c r="S789" s="371"/>
      <c r="T789" s="371"/>
      <c r="U789" s="371"/>
      <c r="V789" s="371"/>
      <c r="W789" s="371"/>
      <c r="X789" s="371"/>
      <c r="Y789" s="371"/>
      <c r="Z789" s="371"/>
    </row>
    <row r="790">
      <c r="A790" s="371"/>
      <c r="B790" s="307"/>
      <c r="C790" s="307"/>
      <c r="D790" s="307"/>
      <c r="E790" s="307"/>
      <c r="F790" s="371"/>
      <c r="G790" s="307"/>
      <c r="H790" s="371"/>
      <c r="I790" s="371"/>
      <c r="J790" s="371"/>
      <c r="K790" s="371"/>
      <c r="L790" s="371"/>
      <c r="M790" s="371"/>
      <c r="N790" s="371"/>
      <c r="O790" s="371"/>
      <c r="P790" s="371"/>
      <c r="Q790" s="371"/>
      <c r="R790" s="371"/>
      <c r="S790" s="371"/>
      <c r="T790" s="371"/>
      <c r="U790" s="371"/>
      <c r="V790" s="371"/>
      <c r="W790" s="371"/>
      <c r="X790" s="371"/>
      <c r="Y790" s="371"/>
      <c r="Z790" s="371"/>
    </row>
    <row r="791">
      <c r="A791" s="371"/>
      <c r="B791" s="307"/>
      <c r="C791" s="307"/>
      <c r="D791" s="307"/>
      <c r="E791" s="307"/>
      <c r="F791" s="371"/>
      <c r="G791" s="307"/>
      <c r="H791" s="371"/>
      <c r="I791" s="371"/>
      <c r="J791" s="371"/>
      <c r="K791" s="371"/>
      <c r="L791" s="371"/>
      <c r="M791" s="371"/>
      <c r="N791" s="371"/>
      <c r="O791" s="371"/>
      <c r="P791" s="371"/>
      <c r="Q791" s="371"/>
      <c r="R791" s="371"/>
      <c r="S791" s="371"/>
      <c r="T791" s="371"/>
      <c r="U791" s="371"/>
      <c r="V791" s="371"/>
      <c r="W791" s="371"/>
      <c r="X791" s="371"/>
      <c r="Y791" s="371"/>
      <c r="Z791" s="371"/>
    </row>
    <row r="792">
      <c r="A792" s="371"/>
      <c r="B792" s="307"/>
      <c r="C792" s="307"/>
      <c r="D792" s="307"/>
      <c r="E792" s="307"/>
      <c r="F792" s="371"/>
      <c r="G792" s="307"/>
      <c r="H792" s="371"/>
      <c r="I792" s="371"/>
      <c r="J792" s="371"/>
      <c r="K792" s="371"/>
      <c r="L792" s="371"/>
      <c r="M792" s="371"/>
      <c r="N792" s="371"/>
      <c r="O792" s="371"/>
      <c r="P792" s="371"/>
      <c r="Q792" s="371"/>
      <c r="R792" s="371"/>
      <c r="S792" s="371"/>
      <c r="T792" s="371"/>
      <c r="U792" s="371"/>
      <c r="V792" s="371"/>
      <c r="W792" s="371"/>
      <c r="X792" s="371"/>
      <c r="Y792" s="371"/>
      <c r="Z792" s="371"/>
    </row>
    <row r="793">
      <c r="A793" s="371"/>
      <c r="B793" s="307"/>
      <c r="C793" s="307"/>
      <c r="D793" s="307"/>
      <c r="E793" s="307"/>
      <c r="F793" s="371"/>
      <c r="G793" s="307"/>
      <c r="H793" s="371"/>
      <c r="I793" s="371"/>
      <c r="J793" s="371"/>
      <c r="K793" s="371"/>
      <c r="L793" s="371"/>
      <c r="M793" s="371"/>
      <c r="N793" s="371"/>
      <c r="O793" s="371"/>
      <c r="P793" s="371"/>
      <c r="Q793" s="371"/>
      <c r="R793" s="371"/>
      <c r="S793" s="371"/>
      <c r="T793" s="371"/>
      <c r="U793" s="371"/>
      <c r="V793" s="371"/>
      <c r="W793" s="371"/>
      <c r="X793" s="371"/>
      <c r="Y793" s="371"/>
      <c r="Z793" s="371"/>
    </row>
    <row r="794">
      <c r="A794" s="371"/>
      <c r="B794" s="307"/>
      <c r="C794" s="307"/>
      <c r="D794" s="307"/>
      <c r="E794" s="307"/>
      <c r="F794" s="371"/>
      <c r="G794" s="307"/>
      <c r="H794" s="371"/>
      <c r="I794" s="371"/>
      <c r="J794" s="371"/>
      <c r="K794" s="371"/>
      <c r="L794" s="371"/>
      <c r="M794" s="371"/>
      <c r="N794" s="371"/>
      <c r="O794" s="371"/>
      <c r="P794" s="371"/>
      <c r="Q794" s="371"/>
      <c r="R794" s="371"/>
      <c r="S794" s="371"/>
      <c r="T794" s="371"/>
      <c r="U794" s="371"/>
      <c r="V794" s="371"/>
      <c r="W794" s="371"/>
      <c r="X794" s="371"/>
      <c r="Y794" s="371"/>
      <c r="Z794" s="371"/>
    </row>
    <row r="795">
      <c r="A795" s="371"/>
      <c r="B795" s="307"/>
      <c r="C795" s="307"/>
      <c r="D795" s="307"/>
      <c r="E795" s="307"/>
      <c r="F795" s="371"/>
      <c r="G795" s="307"/>
      <c r="H795" s="371"/>
      <c r="I795" s="371"/>
      <c r="J795" s="371"/>
      <c r="K795" s="371"/>
      <c r="L795" s="371"/>
      <c r="M795" s="371"/>
      <c r="N795" s="371"/>
      <c r="O795" s="371"/>
      <c r="P795" s="371"/>
      <c r="Q795" s="371"/>
      <c r="R795" s="371"/>
      <c r="S795" s="371"/>
      <c r="T795" s="371"/>
      <c r="U795" s="371"/>
      <c r="V795" s="371"/>
      <c r="W795" s="371"/>
      <c r="X795" s="371"/>
      <c r="Y795" s="371"/>
      <c r="Z795" s="371"/>
    </row>
    <row r="796">
      <c r="A796" s="371"/>
      <c r="B796" s="307"/>
      <c r="C796" s="307"/>
      <c r="D796" s="307"/>
      <c r="E796" s="307"/>
      <c r="F796" s="371"/>
      <c r="G796" s="307"/>
      <c r="H796" s="371"/>
      <c r="I796" s="371"/>
      <c r="J796" s="371"/>
      <c r="K796" s="371"/>
      <c r="L796" s="371"/>
      <c r="M796" s="371"/>
      <c r="N796" s="371"/>
      <c r="O796" s="371"/>
      <c r="P796" s="371"/>
      <c r="Q796" s="371"/>
      <c r="R796" s="371"/>
      <c r="S796" s="371"/>
      <c r="T796" s="371"/>
      <c r="U796" s="371"/>
      <c r="V796" s="371"/>
      <c r="W796" s="371"/>
      <c r="X796" s="371"/>
      <c r="Y796" s="371"/>
      <c r="Z796" s="371"/>
    </row>
    <row r="797">
      <c r="A797" s="371"/>
      <c r="B797" s="307"/>
      <c r="C797" s="307"/>
      <c r="D797" s="307"/>
      <c r="E797" s="307"/>
      <c r="F797" s="371"/>
      <c r="G797" s="307"/>
      <c r="H797" s="371"/>
      <c r="I797" s="371"/>
      <c r="J797" s="371"/>
      <c r="K797" s="371"/>
      <c r="L797" s="371"/>
      <c r="M797" s="371"/>
      <c r="N797" s="371"/>
      <c r="O797" s="371"/>
      <c r="P797" s="371"/>
      <c r="Q797" s="371"/>
      <c r="R797" s="371"/>
      <c r="S797" s="371"/>
      <c r="T797" s="371"/>
      <c r="U797" s="371"/>
      <c r="V797" s="371"/>
      <c r="W797" s="371"/>
      <c r="X797" s="371"/>
      <c r="Y797" s="371"/>
      <c r="Z797" s="371"/>
    </row>
    <row r="798">
      <c r="A798" s="371"/>
      <c r="B798" s="307"/>
      <c r="C798" s="307"/>
      <c r="D798" s="307"/>
      <c r="E798" s="307"/>
      <c r="F798" s="371"/>
      <c r="G798" s="307"/>
      <c r="H798" s="371"/>
      <c r="I798" s="371"/>
      <c r="J798" s="371"/>
      <c r="K798" s="371"/>
      <c r="L798" s="371"/>
      <c r="M798" s="371"/>
      <c r="N798" s="371"/>
      <c r="O798" s="371"/>
      <c r="P798" s="371"/>
      <c r="Q798" s="371"/>
      <c r="R798" s="371"/>
      <c r="S798" s="371"/>
      <c r="T798" s="371"/>
      <c r="U798" s="371"/>
      <c r="V798" s="371"/>
      <c r="W798" s="371"/>
      <c r="X798" s="371"/>
      <c r="Y798" s="371"/>
      <c r="Z798" s="371"/>
    </row>
    <row r="799">
      <c r="A799" s="371"/>
      <c r="B799" s="307"/>
      <c r="C799" s="307"/>
      <c r="D799" s="307"/>
      <c r="E799" s="307"/>
      <c r="F799" s="371"/>
      <c r="G799" s="307"/>
      <c r="H799" s="371"/>
      <c r="I799" s="371"/>
      <c r="J799" s="371"/>
      <c r="K799" s="371"/>
      <c r="L799" s="371"/>
      <c r="M799" s="371"/>
      <c r="N799" s="371"/>
      <c r="O799" s="371"/>
      <c r="P799" s="371"/>
      <c r="Q799" s="371"/>
      <c r="R799" s="371"/>
      <c r="S799" s="371"/>
      <c r="T799" s="371"/>
      <c r="U799" s="371"/>
      <c r="V799" s="371"/>
      <c r="W799" s="371"/>
      <c r="X799" s="371"/>
      <c r="Y799" s="371"/>
      <c r="Z799" s="371"/>
    </row>
    <row r="800">
      <c r="A800" s="371"/>
      <c r="B800" s="307"/>
      <c r="C800" s="307"/>
      <c r="D800" s="307"/>
      <c r="E800" s="307"/>
      <c r="F800" s="371"/>
      <c r="G800" s="307"/>
      <c r="H800" s="371"/>
      <c r="I800" s="371"/>
      <c r="J800" s="371"/>
      <c r="K800" s="371"/>
      <c r="L800" s="371"/>
      <c r="M800" s="371"/>
      <c r="N800" s="371"/>
      <c r="O800" s="371"/>
      <c r="P800" s="371"/>
      <c r="Q800" s="371"/>
      <c r="R800" s="371"/>
      <c r="S800" s="371"/>
      <c r="T800" s="371"/>
      <c r="U800" s="371"/>
      <c r="V800" s="371"/>
      <c r="W800" s="371"/>
      <c r="X800" s="371"/>
      <c r="Y800" s="371"/>
      <c r="Z800" s="371"/>
    </row>
    <row r="801">
      <c r="A801" s="371"/>
      <c r="B801" s="307"/>
      <c r="C801" s="307"/>
      <c r="D801" s="307"/>
      <c r="E801" s="307"/>
      <c r="F801" s="371"/>
      <c r="G801" s="307"/>
      <c r="H801" s="371"/>
      <c r="I801" s="371"/>
      <c r="J801" s="371"/>
      <c r="K801" s="371"/>
      <c r="L801" s="371"/>
      <c r="M801" s="371"/>
      <c r="N801" s="371"/>
      <c r="O801" s="371"/>
      <c r="P801" s="371"/>
      <c r="Q801" s="371"/>
      <c r="R801" s="371"/>
      <c r="S801" s="371"/>
      <c r="T801" s="371"/>
      <c r="U801" s="371"/>
      <c r="V801" s="371"/>
      <c r="W801" s="371"/>
      <c r="X801" s="371"/>
      <c r="Y801" s="371"/>
      <c r="Z801" s="371"/>
    </row>
    <row r="802">
      <c r="A802" s="371"/>
      <c r="B802" s="307"/>
      <c r="C802" s="307"/>
      <c r="D802" s="307"/>
      <c r="E802" s="307"/>
      <c r="F802" s="371"/>
      <c r="G802" s="307"/>
      <c r="H802" s="371"/>
      <c r="I802" s="371"/>
      <c r="J802" s="371"/>
      <c r="K802" s="371"/>
      <c r="L802" s="371"/>
      <c r="M802" s="371"/>
      <c r="N802" s="371"/>
      <c r="O802" s="371"/>
      <c r="P802" s="371"/>
      <c r="Q802" s="371"/>
      <c r="R802" s="371"/>
      <c r="S802" s="371"/>
      <c r="T802" s="371"/>
      <c r="U802" s="371"/>
      <c r="V802" s="371"/>
      <c r="W802" s="371"/>
      <c r="X802" s="371"/>
      <c r="Y802" s="371"/>
      <c r="Z802" s="371"/>
    </row>
    <row r="803">
      <c r="A803" s="371"/>
      <c r="B803" s="307"/>
      <c r="C803" s="307"/>
      <c r="D803" s="307"/>
      <c r="E803" s="307"/>
      <c r="F803" s="371"/>
      <c r="G803" s="307"/>
      <c r="H803" s="371"/>
      <c r="I803" s="371"/>
      <c r="J803" s="371"/>
      <c r="K803" s="371"/>
      <c r="L803" s="371"/>
      <c r="M803" s="371"/>
      <c r="N803" s="371"/>
      <c r="O803" s="371"/>
      <c r="P803" s="371"/>
      <c r="Q803" s="371"/>
      <c r="R803" s="371"/>
      <c r="S803" s="371"/>
      <c r="T803" s="371"/>
      <c r="U803" s="371"/>
      <c r="V803" s="371"/>
      <c r="W803" s="371"/>
      <c r="X803" s="371"/>
      <c r="Y803" s="371"/>
      <c r="Z803" s="371"/>
    </row>
    <row r="804">
      <c r="A804" s="371"/>
      <c r="B804" s="307"/>
      <c r="C804" s="307"/>
      <c r="D804" s="307"/>
      <c r="E804" s="307"/>
      <c r="F804" s="371"/>
      <c r="G804" s="307"/>
      <c r="H804" s="371"/>
      <c r="I804" s="371"/>
      <c r="J804" s="371"/>
      <c r="K804" s="371"/>
      <c r="L804" s="371"/>
      <c r="M804" s="371"/>
      <c r="N804" s="371"/>
      <c r="O804" s="371"/>
      <c r="P804" s="371"/>
      <c r="Q804" s="371"/>
      <c r="R804" s="371"/>
      <c r="S804" s="371"/>
      <c r="T804" s="371"/>
      <c r="U804" s="371"/>
      <c r="V804" s="371"/>
      <c r="W804" s="371"/>
      <c r="X804" s="371"/>
      <c r="Y804" s="371"/>
      <c r="Z804" s="371"/>
    </row>
    <row r="805">
      <c r="A805" s="371"/>
      <c r="B805" s="307"/>
      <c r="C805" s="307"/>
      <c r="D805" s="307"/>
      <c r="E805" s="307"/>
      <c r="F805" s="371"/>
      <c r="G805" s="307"/>
      <c r="H805" s="371"/>
      <c r="I805" s="371"/>
      <c r="J805" s="371"/>
      <c r="K805" s="371"/>
      <c r="L805" s="371"/>
      <c r="M805" s="371"/>
      <c r="N805" s="371"/>
      <c r="O805" s="371"/>
      <c r="P805" s="371"/>
      <c r="Q805" s="371"/>
      <c r="R805" s="371"/>
      <c r="S805" s="371"/>
      <c r="T805" s="371"/>
      <c r="U805" s="371"/>
      <c r="V805" s="371"/>
      <c r="W805" s="371"/>
      <c r="X805" s="371"/>
      <c r="Y805" s="371"/>
      <c r="Z805" s="371"/>
    </row>
    <row r="806">
      <c r="A806" s="371"/>
      <c r="B806" s="307"/>
      <c r="C806" s="307"/>
      <c r="D806" s="307"/>
      <c r="E806" s="307"/>
      <c r="F806" s="371"/>
      <c r="G806" s="307"/>
      <c r="H806" s="371"/>
      <c r="I806" s="371"/>
      <c r="J806" s="371"/>
      <c r="K806" s="371"/>
      <c r="L806" s="371"/>
      <c r="M806" s="371"/>
      <c r="N806" s="371"/>
      <c r="O806" s="371"/>
      <c r="P806" s="371"/>
      <c r="Q806" s="371"/>
      <c r="R806" s="371"/>
      <c r="S806" s="371"/>
      <c r="T806" s="371"/>
      <c r="U806" s="371"/>
      <c r="V806" s="371"/>
      <c r="W806" s="371"/>
      <c r="X806" s="371"/>
      <c r="Y806" s="371"/>
      <c r="Z806" s="371"/>
    </row>
    <row r="807">
      <c r="A807" s="371"/>
      <c r="B807" s="307"/>
      <c r="C807" s="307"/>
      <c r="D807" s="307"/>
      <c r="E807" s="307"/>
      <c r="F807" s="371"/>
      <c r="G807" s="307"/>
      <c r="H807" s="371"/>
      <c r="I807" s="371"/>
      <c r="J807" s="371"/>
      <c r="K807" s="371"/>
      <c r="L807" s="371"/>
      <c r="M807" s="371"/>
      <c r="N807" s="371"/>
      <c r="O807" s="371"/>
      <c r="P807" s="371"/>
      <c r="Q807" s="371"/>
      <c r="R807" s="371"/>
      <c r="S807" s="371"/>
      <c r="T807" s="371"/>
      <c r="U807" s="371"/>
      <c r="V807" s="371"/>
      <c r="W807" s="371"/>
      <c r="X807" s="371"/>
      <c r="Y807" s="371"/>
      <c r="Z807" s="371"/>
    </row>
    <row r="808">
      <c r="A808" s="371"/>
      <c r="B808" s="307"/>
      <c r="C808" s="307"/>
      <c r="D808" s="307"/>
      <c r="E808" s="307"/>
      <c r="F808" s="371"/>
      <c r="G808" s="307"/>
      <c r="H808" s="371"/>
      <c r="I808" s="371"/>
      <c r="J808" s="371"/>
      <c r="K808" s="371"/>
      <c r="L808" s="371"/>
      <c r="M808" s="371"/>
      <c r="N808" s="371"/>
      <c r="O808" s="371"/>
      <c r="P808" s="371"/>
      <c r="Q808" s="371"/>
      <c r="R808" s="371"/>
      <c r="S808" s="371"/>
      <c r="T808" s="371"/>
      <c r="U808" s="371"/>
      <c r="V808" s="371"/>
      <c r="W808" s="371"/>
      <c r="X808" s="371"/>
      <c r="Y808" s="371"/>
      <c r="Z808" s="371"/>
    </row>
    <row r="809">
      <c r="A809" s="371"/>
      <c r="B809" s="307"/>
      <c r="C809" s="307"/>
      <c r="D809" s="307"/>
      <c r="E809" s="307"/>
      <c r="F809" s="371"/>
      <c r="G809" s="307"/>
      <c r="H809" s="371"/>
      <c r="I809" s="371"/>
      <c r="J809" s="371"/>
      <c r="K809" s="371"/>
      <c r="L809" s="371"/>
      <c r="M809" s="371"/>
      <c r="N809" s="371"/>
      <c r="O809" s="371"/>
      <c r="P809" s="371"/>
      <c r="Q809" s="371"/>
      <c r="R809" s="371"/>
      <c r="S809" s="371"/>
      <c r="T809" s="371"/>
      <c r="U809" s="371"/>
      <c r="V809" s="371"/>
      <c r="W809" s="371"/>
      <c r="X809" s="371"/>
      <c r="Y809" s="371"/>
      <c r="Z809" s="371"/>
    </row>
    <row r="810">
      <c r="A810" s="371"/>
      <c r="B810" s="307"/>
      <c r="C810" s="307"/>
      <c r="D810" s="307"/>
      <c r="E810" s="307"/>
      <c r="F810" s="371"/>
      <c r="G810" s="307"/>
      <c r="H810" s="371"/>
      <c r="I810" s="371"/>
      <c r="J810" s="371"/>
      <c r="K810" s="371"/>
      <c r="L810" s="371"/>
      <c r="M810" s="371"/>
      <c r="N810" s="371"/>
      <c r="O810" s="371"/>
      <c r="P810" s="371"/>
      <c r="Q810" s="371"/>
      <c r="R810" s="371"/>
      <c r="S810" s="371"/>
      <c r="T810" s="371"/>
      <c r="U810" s="371"/>
      <c r="V810" s="371"/>
      <c r="W810" s="371"/>
      <c r="X810" s="371"/>
      <c r="Y810" s="371"/>
      <c r="Z810" s="371"/>
    </row>
    <row r="811">
      <c r="A811" s="371"/>
      <c r="B811" s="307"/>
      <c r="C811" s="307"/>
      <c r="D811" s="307"/>
      <c r="E811" s="307"/>
      <c r="F811" s="371"/>
      <c r="G811" s="307"/>
      <c r="H811" s="371"/>
      <c r="I811" s="371"/>
      <c r="J811" s="371"/>
      <c r="K811" s="371"/>
      <c r="L811" s="371"/>
      <c r="M811" s="371"/>
      <c r="N811" s="371"/>
      <c r="O811" s="371"/>
      <c r="P811" s="371"/>
      <c r="Q811" s="371"/>
      <c r="R811" s="371"/>
      <c r="S811" s="371"/>
      <c r="T811" s="371"/>
      <c r="U811" s="371"/>
      <c r="V811" s="371"/>
      <c r="W811" s="371"/>
      <c r="X811" s="371"/>
      <c r="Y811" s="371"/>
      <c r="Z811" s="371"/>
    </row>
    <row r="812">
      <c r="A812" s="371"/>
      <c r="B812" s="307"/>
      <c r="C812" s="307"/>
      <c r="D812" s="307"/>
      <c r="E812" s="307"/>
      <c r="F812" s="371"/>
      <c r="G812" s="307"/>
      <c r="H812" s="371"/>
      <c r="I812" s="371"/>
      <c r="J812" s="371"/>
      <c r="K812" s="371"/>
      <c r="L812" s="371"/>
      <c r="M812" s="371"/>
      <c r="N812" s="371"/>
      <c r="O812" s="371"/>
      <c r="P812" s="371"/>
      <c r="Q812" s="371"/>
      <c r="R812" s="371"/>
      <c r="S812" s="371"/>
      <c r="T812" s="371"/>
      <c r="U812" s="371"/>
      <c r="V812" s="371"/>
      <c r="W812" s="371"/>
      <c r="X812" s="371"/>
      <c r="Y812" s="371"/>
      <c r="Z812" s="371"/>
    </row>
    <row r="813">
      <c r="A813" s="371"/>
      <c r="B813" s="307"/>
      <c r="C813" s="307"/>
      <c r="D813" s="307"/>
      <c r="E813" s="307"/>
      <c r="F813" s="371"/>
      <c r="G813" s="307"/>
      <c r="H813" s="371"/>
      <c r="I813" s="371"/>
      <c r="J813" s="371"/>
      <c r="K813" s="371"/>
      <c r="L813" s="371"/>
      <c r="M813" s="371"/>
      <c r="N813" s="371"/>
      <c r="O813" s="371"/>
      <c r="P813" s="371"/>
      <c r="Q813" s="371"/>
      <c r="R813" s="371"/>
      <c r="S813" s="371"/>
      <c r="T813" s="371"/>
      <c r="U813" s="371"/>
      <c r="V813" s="371"/>
      <c r="W813" s="371"/>
      <c r="X813" s="371"/>
      <c r="Y813" s="371"/>
      <c r="Z813" s="371"/>
    </row>
    <row r="814">
      <c r="A814" s="371"/>
      <c r="B814" s="307"/>
      <c r="C814" s="307"/>
      <c r="D814" s="307"/>
      <c r="E814" s="307"/>
      <c r="F814" s="371"/>
      <c r="G814" s="307"/>
      <c r="H814" s="371"/>
      <c r="I814" s="371"/>
      <c r="J814" s="371"/>
      <c r="K814" s="371"/>
      <c r="L814" s="371"/>
      <c r="M814" s="371"/>
      <c r="N814" s="371"/>
      <c r="O814" s="371"/>
      <c r="P814" s="371"/>
      <c r="Q814" s="371"/>
      <c r="R814" s="371"/>
      <c r="S814" s="371"/>
      <c r="T814" s="371"/>
      <c r="U814" s="371"/>
      <c r="V814" s="371"/>
      <c r="W814" s="371"/>
      <c r="X814" s="371"/>
      <c r="Y814" s="371"/>
      <c r="Z814" s="371"/>
    </row>
    <row r="815">
      <c r="A815" s="371"/>
      <c r="B815" s="307"/>
      <c r="C815" s="307"/>
      <c r="D815" s="307"/>
      <c r="E815" s="307"/>
      <c r="F815" s="371"/>
      <c r="G815" s="307"/>
      <c r="H815" s="371"/>
      <c r="I815" s="371"/>
      <c r="J815" s="371"/>
      <c r="K815" s="371"/>
      <c r="L815" s="371"/>
      <c r="M815" s="371"/>
      <c r="N815" s="371"/>
      <c r="O815" s="371"/>
      <c r="P815" s="371"/>
      <c r="Q815" s="371"/>
      <c r="R815" s="371"/>
      <c r="S815" s="371"/>
      <c r="T815" s="371"/>
      <c r="U815" s="371"/>
      <c r="V815" s="371"/>
      <c r="W815" s="371"/>
      <c r="X815" s="371"/>
      <c r="Y815" s="371"/>
      <c r="Z815" s="371"/>
    </row>
    <row r="816">
      <c r="A816" s="371"/>
      <c r="B816" s="307"/>
      <c r="C816" s="307"/>
      <c r="D816" s="307"/>
      <c r="E816" s="307"/>
      <c r="F816" s="371"/>
      <c r="G816" s="307"/>
      <c r="H816" s="371"/>
      <c r="I816" s="371"/>
      <c r="J816" s="371"/>
      <c r="K816" s="371"/>
      <c r="L816" s="371"/>
      <c r="M816" s="371"/>
      <c r="N816" s="371"/>
      <c r="O816" s="371"/>
      <c r="P816" s="371"/>
      <c r="Q816" s="371"/>
      <c r="R816" s="371"/>
      <c r="S816" s="371"/>
      <c r="T816" s="371"/>
      <c r="U816" s="371"/>
      <c r="V816" s="371"/>
      <c r="W816" s="371"/>
      <c r="X816" s="371"/>
      <c r="Y816" s="371"/>
      <c r="Z816" s="371"/>
    </row>
    <row r="817">
      <c r="A817" s="371"/>
      <c r="B817" s="307"/>
      <c r="C817" s="307"/>
      <c r="D817" s="307"/>
      <c r="E817" s="307"/>
      <c r="F817" s="371"/>
      <c r="G817" s="307"/>
      <c r="H817" s="371"/>
      <c r="I817" s="371"/>
      <c r="J817" s="371"/>
      <c r="K817" s="371"/>
      <c r="L817" s="371"/>
      <c r="M817" s="371"/>
      <c r="N817" s="371"/>
      <c r="O817" s="371"/>
      <c r="P817" s="371"/>
      <c r="Q817" s="371"/>
      <c r="R817" s="371"/>
      <c r="S817" s="371"/>
      <c r="T817" s="371"/>
      <c r="U817" s="371"/>
      <c r="V817" s="371"/>
      <c r="W817" s="371"/>
      <c r="X817" s="371"/>
      <c r="Y817" s="371"/>
      <c r="Z817" s="371"/>
    </row>
    <row r="818">
      <c r="A818" s="371"/>
      <c r="B818" s="307"/>
      <c r="C818" s="307"/>
      <c r="D818" s="307"/>
      <c r="E818" s="307"/>
      <c r="F818" s="371"/>
      <c r="G818" s="307"/>
      <c r="H818" s="371"/>
      <c r="I818" s="371"/>
      <c r="J818" s="371"/>
      <c r="K818" s="371"/>
      <c r="L818" s="371"/>
      <c r="M818" s="371"/>
      <c r="N818" s="371"/>
      <c r="O818" s="371"/>
      <c r="P818" s="371"/>
      <c r="Q818" s="371"/>
      <c r="R818" s="371"/>
      <c r="S818" s="371"/>
      <c r="T818" s="371"/>
      <c r="U818" s="371"/>
      <c r="V818" s="371"/>
      <c r="W818" s="371"/>
      <c r="X818" s="371"/>
      <c r="Y818" s="371"/>
      <c r="Z818" s="371"/>
    </row>
    <row r="819">
      <c r="A819" s="371"/>
      <c r="B819" s="307"/>
      <c r="C819" s="307"/>
      <c r="D819" s="307"/>
      <c r="E819" s="307"/>
      <c r="F819" s="371"/>
      <c r="G819" s="307"/>
      <c r="H819" s="371"/>
      <c r="I819" s="371"/>
      <c r="J819" s="371"/>
      <c r="K819" s="371"/>
      <c r="L819" s="371"/>
      <c r="M819" s="371"/>
      <c r="N819" s="371"/>
      <c r="O819" s="371"/>
      <c r="P819" s="371"/>
      <c r="Q819" s="371"/>
      <c r="R819" s="371"/>
      <c r="S819" s="371"/>
      <c r="T819" s="371"/>
      <c r="U819" s="371"/>
      <c r="V819" s="371"/>
      <c r="W819" s="371"/>
      <c r="X819" s="371"/>
      <c r="Y819" s="371"/>
      <c r="Z819" s="371"/>
    </row>
    <row r="820">
      <c r="A820" s="371"/>
      <c r="B820" s="307"/>
      <c r="C820" s="307"/>
      <c r="D820" s="307"/>
      <c r="E820" s="307"/>
      <c r="F820" s="371"/>
      <c r="G820" s="307"/>
      <c r="H820" s="371"/>
      <c r="I820" s="371"/>
      <c r="J820" s="371"/>
      <c r="K820" s="371"/>
      <c r="L820" s="371"/>
      <c r="M820" s="371"/>
      <c r="N820" s="371"/>
      <c r="O820" s="371"/>
      <c r="P820" s="371"/>
      <c r="Q820" s="371"/>
      <c r="R820" s="371"/>
      <c r="S820" s="371"/>
      <c r="T820" s="371"/>
      <c r="U820" s="371"/>
      <c r="V820" s="371"/>
      <c r="W820" s="371"/>
      <c r="X820" s="371"/>
      <c r="Y820" s="371"/>
      <c r="Z820" s="371"/>
    </row>
    <row r="821">
      <c r="A821" s="371"/>
      <c r="B821" s="307"/>
      <c r="C821" s="307"/>
      <c r="D821" s="307"/>
      <c r="E821" s="307"/>
      <c r="F821" s="371"/>
      <c r="G821" s="307"/>
      <c r="H821" s="371"/>
      <c r="I821" s="371"/>
      <c r="J821" s="371"/>
      <c r="K821" s="371"/>
      <c r="L821" s="371"/>
      <c r="M821" s="371"/>
      <c r="N821" s="371"/>
      <c r="O821" s="371"/>
      <c r="P821" s="371"/>
      <c r="Q821" s="371"/>
      <c r="R821" s="371"/>
      <c r="S821" s="371"/>
      <c r="T821" s="371"/>
      <c r="U821" s="371"/>
      <c r="V821" s="371"/>
      <c r="W821" s="371"/>
      <c r="X821" s="371"/>
      <c r="Y821" s="371"/>
      <c r="Z821" s="371"/>
    </row>
    <row r="822">
      <c r="A822" s="371"/>
      <c r="B822" s="307"/>
      <c r="C822" s="307"/>
      <c r="D822" s="307"/>
      <c r="E822" s="307"/>
      <c r="F822" s="371"/>
      <c r="G822" s="307"/>
      <c r="H822" s="371"/>
      <c r="I822" s="371"/>
      <c r="J822" s="371"/>
      <c r="K822" s="371"/>
      <c r="L822" s="371"/>
      <c r="M822" s="371"/>
      <c r="N822" s="371"/>
      <c r="O822" s="371"/>
      <c r="P822" s="371"/>
      <c r="Q822" s="371"/>
      <c r="R822" s="371"/>
      <c r="S822" s="371"/>
      <c r="T822" s="371"/>
      <c r="U822" s="371"/>
      <c r="V822" s="371"/>
      <c r="W822" s="371"/>
      <c r="X822" s="371"/>
      <c r="Y822" s="371"/>
      <c r="Z822" s="371"/>
    </row>
    <row r="823">
      <c r="A823" s="371"/>
      <c r="B823" s="307"/>
      <c r="C823" s="307"/>
      <c r="D823" s="307"/>
      <c r="E823" s="307"/>
      <c r="F823" s="371"/>
      <c r="G823" s="307"/>
      <c r="H823" s="371"/>
      <c r="I823" s="371"/>
      <c r="J823" s="371"/>
      <c r="K823" s="371"/>
      <c r="L823" s="371"/>
      <c r="M823" s="371"/>
      <c r="N823" s="371"/>
      <c r="O823" s="371"/>
      <c r="P823" s="371"/>
      <c r="Q823" s="371"/>
      <c r="R823" s="371"/>
      <c r="S823" s="371"/>
      <c r="T823" s="371"/>
      <c r="U823" s="371"/>
      <c r="V823" s="371"/>
      <c r="W823" s="371"/>
      <c r="X823" s="371"/>
      <c r="Y823" s="371"/>
      <c r="Z823" s="371"/>
    </row>
    <row r="824">
      <c r="A824" s="371"/>
      <c r="B824" s="307"/>
      <c r="C824" s="307"/>
      <c r="D824" s="307"/>
      <c r="E824" s="307"/>
      <c r="F824" s="371"/>
      <c r="G824" s="307"/>
      <c r="H824" s="371"/>
      <c r="I824" s="371"/>
      <c r="J824" s="371"/>
      <c r="K824" s="371"/>
      <c r="L824" s="371"/>
      <c r="M824" s="371"/>
      <c r="N824" s="371"/>
      <c r="O824" s="371"/>
      <c r="P824" s="371"/>
      <c r="Q824" s="371"/>
      <c r="R824" s="371"/>
      <c r="S824" s="371"/>
      <c r="T824" s="371"/>
      <c r="U824" s="371"/>
      <c r="V824" s="371"/>
      <c r="W824" s="371"/>
      <c r="X824" s="371"/>
      <c r="Y824" s="371"/>
      <c r="Z824" s="371"/>
    </row>
    <row r="825">
      <c r="A825" s="371"/>
      <c r="B825" s="307"/>
      <c r="C825" s="307"/>
      <c r="D825" s="307"/>
      <c r="E825" s="307"/>
      <c r="F825" s="371"/>
      <c r="G825" s="307"/>
      <c r="H825" s="371"/>
      <c r="I825" s="371"/>
      <c r="J825" s="371"/>
      <c r="K825" s="371"/>
      <c r="L825" s="371"/>
      <c r="M825" s="371"/>
      <c r="N825" s="371"/>
      <c r="O825" s="371"/>
      <c r="P825" s="371"/>
      <c r="Q825" s="371"/>
      <c r="R825" s="371"/>
      <c r="S825" s="371"/>
      <c r="T825" s="371"/>
      <c r="U825" s="371"/>
      <c r="V825" s="371"/>
      <c r="W825" s="371"/>
      <c r="X825" s="371"/>
      <c r="Y825" s="371"/>
      <c r="Z825" s="371"/>
    </row>
    <row r="826">
      <c r="A826" s="371"/>
      <c r="B826" s="307"/>
      <c r="C826" s="307"/>
      <c r="D826" s="307"/>
      <c r="E826" s="307"/>
      <c r="F826" s="371"/>
      <c r="G826" s="307"/>
      <c r="H826" s="371"/>
      <c r="I826" s="371"/>
      <c r="J826" s="371"/>
      <c r="K826" s="371"/>
      <c r="L826" s="371"/>
      <c r="M826" s="371"/>
      <c r="N826" s="371"/>
      <c r="O826" s="371"/>
      <c r="P826" s="371"/>
      <c r="Q826" s="371"/>
      <c r="R826" s="371"/>
      <c r="S826" s="371"/>
      <c r="T826" s="371"/>
      <c r="U826" s="371"/>
      <c r="V826" s="371"/>
      <c r="W826" s="371"/>
      <c r="X826" s="371"/>
      <c r="Y826" s="371"/>
      <c r="Z826" s="371"/>
    </row>
    <row r="827">
      <c r="A827" s="371"/>
      <c r="B827" s="307"/>
      <c r="C827" s="307"/>
      <c r="D827" s="307"/>
      <c r="E827" s="307"/>
      <c r="F827" s="371"/>
      <c r="G827" s="307"/>
      <c r="H827" s="371"/>
      <c r="I827" s="371"/>
      <c r="J827" s="371"/>
      <c r="K827" s="371"/>
      <c r="L827" s="371"/>
      <c r="M827" s="371"/>
      <c r="N827" s="371"/>
      <c r="O827" s="371"/>
      <c r="P827" s="371"/>
      <c r="Q827" s="371"/>
      <c r="R827" s="371"/>
      <c r="S827" s="371"/>
      <c r="T827" s="371"/>
      <c r="U827" s="371"/>
      <c r="V827" s="371"/>
      <c r="W827" s="371"/>
      <c r="X827" s="371"/>
      <c r="Y827" s="371"/>
      <c r="Z827" s="371"/>
    </row>
    <row r="828">
      <c r="A828" s="371"/>
      <c r="B828" s="307"/>
      <c r="C828" s="307"/>
      <c r="D828" s="307"/>
      <c r="E828" s="307"/>
      <c r="F828" s="371"/>
      <c r="G828" s="307"/>
      <c r="H828" s="371"/>
      <c r="I828" s="371"/>
      <c r="J828" s="371"/>
      <c r="K828" s="371"/>
      <c r="L828" s="371"/>
      <c r="M828" s="371"/>
      <c r="N828" s="371"/>
      <c r="O828" s="371"/>
      <c r="P828" s="371"/>
      <c r="Q828" s="371"/>
      <c r="R828" s="371"/>
      <c r="S828" s="371"/>
      <c r="T828" s="371"/>
      <c r="U828" s="371"/>
      <c r="V828" s="371"/>
      <c r="W828" s="371"/>
      <c r="X828" s="371"/>
      <c r="Y828" s="371"/>
      <c r="Z828" s="371"/>
    </row>
    <row r="829">
      <c r="A829" s="371"/>
      <c r="B829" s="307"/>
      <c r="C829" s="307"/>
      <c r="D829" s="307"/>
      <c r="E829" s="307"/>
      <c r="F829" s="371"/>
      <c r="G829" s="307"/>
      <c r="H829" s="371"/>
      <c r="I829" s="371"/>
      <c r="J829" s="371"/>
      <c r="K829" s="371"/>
      <c r="L829" s="371"/>
      <c r="M829" s="371"/>
      <c r="N829" s="371"/>
      <c r="O829" s="371"/>
      <c r="P829" s="371"/>
      <c r="Q829" s="371"/>
      <c r="R829" s="371"/>
      <c r="S829" s="371"/>
      <c r="T829" s="371"/>
      <c r="U829" s="371"/>
      <c r="V829" s="371"/>
      <c r="W829" s="371"/>
      <c r="X829" s="371"/>
      <c r="Y829" s="371"/>
      <c r="Z829" s="371"/>
    </row>
    <row r="830">
      <c r="A830" s="371"/>
      <c r="B830" s="307"/>
      <c r="C830" s="307"/>
      <c r="D830" s="307"/>
      <c r="E830" s="307"/>
      <c r="F830" s="371"/>
      <c r="G830" s="307"/>
      <c r="H830" s="371"/>
      <c r="I830" s="371"/>
      <c r="J830" s="371"/>
      <c r="K830" s="371"/>
      <c r="L830" s="371"/>
      <c r="M830" s="371"/>
      <c r="N830" s="371"/>
      <c r="O830" s="371"/>
      <c r="P830" s="371"/>
      <c r="Q830" s="371"/>
      <c r="R830" s="371"/>
      <c r="S830" s="371"/>
      <c r="T830" s="371"/>
      <c r="U830" s="371"/>
      <c r="V830" s="371"/>
      <c r="W830" s="371"/>
      <c r="X830" s="371"/>
      <c r="Y830" s="371"/>
      <c r="Z830" s="371"/>
    </row>
    <row r="831">
      <c r="A831" s="371"/>
      <c r="B831" s="307"/>
      <c r="C831" s="307"/>
      <c r="D831" s="307"/>
      <c r="E831" s="307"/>
      <c r="F831" s="371"/>
      <c r="G831" s="307"/>
      <c r="H831" s="371"/>
      <c r="I831" s="371"/>
      <c r="J831" s="371"/>
      <c r="K831" s="371"/>
      <c r="L831" s="371"/>
      <c r="M831" s="371"/>
      <c r="N831" s="371"/>
      <c r="O831" s="371"/>
      <c r="P831" s="371"/>
      <c r="Q831" s="371"/>
      <c r="R831" s="371"/>
      <c r="S831" s="371"/>
      <c r="T831" s="371"/>
      <c r="U831" s="371"/>
      <c r="V831" s="371"/>
      <c r="W831" s="371"/>
      <c r="X831" s="371"/>
      <c r="Y831" s="371"/>
      <c r="Z831" s="371"/>
    </row>
    <row r="832">
      <c r="A832" s="371"/>
      <c r="B832" s="307"/>
      <c r="C832" s="307"/>
      <c r="D832" s="307"/>
      <c r="E832" s="307"/>
      <c r="F832" s="371"/>
      <c r="G832" s="307"/>
      <c r="H832" s="371"/>
      <c r="I832" s="371"/>
      <c r="J832" s="371"/>
      <c r="K832" s="371"/>
      <c r="L832" s="371"/>
      <c r="M832" s="371"/>
      <c r="N832" s="371"/>
      <c r="O832" s="371"/>
      <c r="P832" s="371"/>
      <c r="Q832" s="371"/>
      <c r="R832" s="371"/>
      <c r="S832" s="371"/>
      <c r="T832" s="371"/>
      <c r="U832" s="371"/>
      <c r="V832" s="371"/>
      <c r="W832" s="371"/>
      <c r="X832" s="371"/>
      <c r="Y832" s="371"/>
      <c r="Z832" s="371"/>
    </row>
    <row r="833">
      <c r="A833" s="371"/>
      <c r="B833" s="307"/>
      <c r="C833" s="307"/>
      <c r="D833" s="307"/>
      <c r="E833" s="307"/>
      <c r="F833" s="371"/>
      <c r="G833" s="307"/>
      <c r="H833" s="371"/>
      <c r="I833" s="371"/>
      <c r="J833" s="371"/>
      <c r="K833" s="371"/>
      <c r="L833" s="371"/>
      <c r="M833" s="371"/>
      <c r="N833" s="371"/>
      <c r="O833" s="371"/>
      <c r="P833" s="371"/>
      <c r="Q833" s="371"/>
      <c r="R833" s="371"/>
      <c r="S833" s="371"/>
      <c r="T833" s="371"/>
      <c r="U833" s="371"/>
      <c r="V833" s="371"/>
      <c r="W833" s="371"/>
      <c r="X833" s="371"/>
      <c r="Y833" s="371"/>
      <c r="Z833" s="371"/>
    </row>
    <row r="834">
      <c r="A834" s="371"/>
      <c r="B834" s="307"/>
      <c r="C834" s="307"/>
      <c r="D834" s="307"/>
      <c r="E834" s="307"/>
      <c r="F834" s="371"/>
      <c r="G834" s="307"/>
      <c r="H834" s="371"/>
      <c r="I834" s="371"/>
      <c r="J834" s="371"/>
      <c r="K834" s="371"/>
      <c r="L834" s="371"/>
      <c r="M834" s="371"/>
      <c r="N834" s="371"/>
      <c r="O834" s="371"/>
      <c r="P834" s="371"/>
      <c r="Q834" s="371"/>
      <c r="R834" s="371"/>
      <c r="S834" s="371"/>
      <c r="T834" s="371"/>
      <c r="U834" s="371"/>
      <c r="V834" s="371"/>
      <c r="W834" s="371"/>
      <c r="X834" s="371"/>
      <c r="Y834" s="371"/>
      <c r="Z834" s="371"/>
    </row>
    <row r="835">
      <c r="A835" s="371"/>
      <c r="B835" s="307"/>
      <c r="C835" s="307"/>
      <c r="D835" s="307"/>
      <c r="E835" s="307"/>
      <c r="F835" s="371"/>
      <c r="G835" s="307"/>
      <c r="H835" s="371"/>
      <c r="I835" s="371"/>
      <c r="J835" s="371"/>
      <c r="K835" s="371"/>
      <c r="L835" s="371"/>
      <c r="M835" s="371"/>
      <c r="N835" s="371"/>
      <c r="O835" s="371"/>
      <c r="P835" s="371"/>
      <c r="Q835" s="371"/>
      <c r="R835" s="371"/>
      <c r="S835" s="371"/>
      <c r="T835" s="371"/>
      <c r="U835" s="371"/>
      <c r="V835" s="371"/>
      <c r="W835" s="371"/>
      <c r="X835" s="371"/>
      <c r="Y835" s="371"/>
      <c r="Z835" s="371"/>
    </row>
    <row r="836">
      <c r="A836" s="371"/>
      <c r="B836" s="307"/>
      <c r="C836" s="307"/>
      <c r="D836" s="307"/>
      <c r="E836" s="307"/>
      <c r="F836" s="371"/>
      <c r="G836" s="307"/>
      <c r="H836" s="371"/>
      <c r="I836" s="371"/>
      <c r="J836" s="371"/>
      <c r="K836" s="371"/>
      <c r="L836" s="371"/>
      <c r="M836" s="371"/>
      <c r="N836" s="371"/>
      <c r="O836" s="371"/>
      <c r="P836" s="371"/>
      <c r="Q836" s="371"/>
      <c r="R836" s="371"/>
      <c r="S836" s="371"/>
      <c r="T836" s="371"/>
      <c r="U836" s="371"/>
      <c r="V836" s="371"/>
      <c r="W836" s="371"/>
      <c r="X836" s="371"/>
      <c r="Y836" s="371"/>
      <c r="Z836" s="371"/>
    </row>
    <row r="837">
      <c r="A837" s="371"/>
      <c r="B837" s="307"/>
      <c r="C837" s="307"/>
      <c r="D837" s="307"/>
      <c r="E837" s="307"/>
      <c r="F837" s="371"/>
      <c r="G837" s="307"/>
      <c r="H837" s="371"/>
      <c r="I837" s="371"/>
      <c r="J837" s="371"/>
      <c r="K837" s="371"/>
      <c r="L837" s="371"/>
      <c r="M837" s="371"/>
      <c r="N837" s="371"/>
      <c r="O837" s="371"/>
      <c r="P837" s="371"/>
      <c r="Q837" s="371"/>
      <c r="R837" s="371"/>
      <c r="S837" s="371"/>
      <c r="T837" s="371"/>
      <c r="U837" s="371"/>
      <c r="V837" s="371"/>
      <c r="W837" s="371"/>
      <c r="X837" s="371"/>
      <c r="Y837" s="371"/>
      <c r="Z837" s="371"/>
    </row>
    <row r="838">
      <c r="A838" s="371"/>
      <c r="B838" s="307"/>
      <c r="C838" s="307"/>
      <c r="D838" s="307"/>
      <c r="E838" s="307"/>
      <c r="F838" s="371"/>
      <c r="G838" s="307"/>
      <c r="H838" s="371"/>
      <c r="I838" s="371"/>
      <c r="J838" s="371"/>
      <c r="K838" s="371"/>
      <c r="L838" s="371"/>
      <c r="M838" s="371"/>
      <c r="N838" s="371"/>
      <c r="O838" s="371"/>
      <c r="P838" s="371"/>
      <c r="Q838" s="371"/>
      <c r="R838" s="371"/>
      <c r="S838" s="371"/>
      <c r="T838" s="371"/>
      <c r="U838" s="371"/>
      <c r="V838" s="371"/>
      <c r="W838" s="371"/>
      <c r="X838" s="371"/>
      <c r="Y838" s="371"/>
      <c r="Z838" s="371"/>
    </row>
    <row r="839">
      <c r="A839" s="371"/>
      <c r="B839" s="307"/>
      <c r="C839" s="307"/>
      <c r="D839" s="307"/>
      <c r="E839" s="307"/>
      <c r="F839" s="371"/>
      <c r="G839" s="307"/>
      <c r="H839" s="371"/>
      <c r="I839" s="371"/>
      <c r="J839" s="371"/>
      <c r="K839" s="371"/>
      <c r="L839" s="371"/>
      <c r="M839" s="371"/>
      <c r="N839" s="371"/>
      <c r="O839" s="371"/>
      <c r="P839" s="371"/>
      <c r="Q839" s="371"/>
      <c r="R839" s="371"/>
      <c r="S839" s="371"/>
      <c r="T839" s="371"/>
      <c r="U839" s="371"/>
      <c r="V839" s="371"/>
      <c r="W839" s="371"/>
      <c r="X839" s="371"/>
      <c r="Y839" s="371"/>
      <c r="Z839" s="371"/>
    </row>
    <row r="840">
      <c r="A840" s="371"/>
      <c r="B840" s="307"/>
      <c r="C840" s="307"/>
      <c r="D840" s="307"/>
      <c r="E840" s="307"/>
      <c r="F840" s="371"/>
      <c r="G840" s="307"/>
      <c r="H840" s="371"/>
      <c r="I840" s="371"/>
      <c r="J840" s="371"/>
      <c r="K840" s="371"/>
      <c r="L840" s="371"/>
      <c r="M840" s="371"/>
      <c r="N840" s="371"/>
      <c r="O840" s="371"/>
      <c r="P840" s="371"/>
      <c r="Q840" s="371"/>
      <c r="R840" s="371"/>
      <c r="S840" s="371"/>
      <c r="T840" s="371"/>
      <c r="U840" s="371"/>
      <c r="V840" s="371"/>
      <c r="W840" s="371"/>
      <c r="X840" s="371"/>
      <c r="Y840" s="371"/>
      <c r="Z840" s="371"/>
    </row>
    <row r="841">
      <c r="A841" s="371"/>
      <c r="B841" s="307"/>
      <c r="C841" s="307"/>
      <c r="D841" s="307"/>
      <c r="E841" s="307"/>
      <c r="F841" s="371"/>
      <c r="G841" s="307"/>
      <c r="H841" s="371"/>
      <c r="I841" s="371"/>
      <c r="J841" s="371"/>
      <c r="K841" s="371"/>
      <c r="L841" s="371"/>
      <c r="M841" s="371"/>
      <c r="N841" s="371"/>
      <c r="O841" s="371"/>
      <c r="P841" s="371"/>
      <c r="Q841" s="371"/>
      <c r="R841" s="371"/>
      <c r="S841" s="371"/>
      <c r="T841" s="371"/>
      <c r="U841" s="371"/>
      <c r="V841" s="371"/>
      <c r="W841" s="371"/>
      <c r="X841" s="371"/>
      <c r="Y841" s="371"/>
      <c r="Z841" s="371"/>
    </row>
    <row r="842">
      <c r="A842" s="371"/>
      <c r="B842" s="307"/>
      <c r="C842" s="307"/>
      <c r="D842" s="307"/>
      <c r="E842" s="307"/>
      <c r="F842" s="371"/>
      <c r="G842" s="307"/>
      <c r="H842" s="371"/>
      <c r="I842" s="371"/>
      <c r="J842" s="371"/>
      <c r="K842" s="371"/>
      <c r="L842" s="371"/>
      <c r="M842" s="371"/>
      <c r="N842" s="371"/>
      <c r="O842" s="371"/>
      <c r="P842" s="371"/>
      <c r="Q842" s="371"/>
      <c r="R842" s="371"/>
      <c r="S842" s="371"/>
      <c r="T842" s="371"/>
      <c r="U842" s="371"/>
      <c r="V842" s="371"/>
      <c r="W842" s="371"/>
      <c r="X842" s="371"/>
      <c r="Y842" s="371"/>
      <c r="Z842" s="371"/>
    </row>
    <row r="843">
      <c r="A843" s="371"/>
      <c r="B843" s="307"/>
      <c r="C843" s="307"/>
      <c r="D843" s="307"/>
      <c r="E843" s="307"/>
      <c r="F843" s="371"/>
      <c r="G843" s="307"/>
      <c r="H843" s="371"/>
      <c r="I843" s="371"/>
      <c r="J843" s="371"/>
      <c r="K843" s="371"/>
      <c r="L843" s="371"/>
      <c r="M843" s="371"/>
      <c r="N843" s="371"/>
      <c r="O843" s="371"/>
      <c r="P843" s="371"/>
      <c r="Q843" s="371"/>
      <c r="R843" s="371"/>
      <c r="S843" s="371"/>
      <c r="T843" s="371"/>
      <c r="U843" s="371"/>
      <c r="V843" s="371"/>
      <c r="W843" s="371"/>
      <c r="X843" s="371"/>
      <c r="Y843" s="371"/>
      <c r="Z843" s="371"/>
    </row>
    <row r="844">
      <c r="A844" s="371"/>
      <c r="B844" s="307"/>
      <c r="C844" s="307"/>
      <c r="D844" s="307"/>
      <c r="E844" s="307"/>
      <c r="F844" s="371"/>
      <c r="G844" s="307"/>
      <c r="H844" s="371"/>
      <c r="I844" s="371"/>
      <c r="J844" s="371"/>
      <c r="K844" s="371"/>
      <c r="L844" s="371"/>
      <c r="M844" s="371"/>
      <c r="N844" s="371"/>
      <c r="O844" s="371"/>
      <c r="P844" s="371"/>
      <c r="Q844" s="371"/>
      <c r="R844" s="371"/>
      <c r="S844" s="371"/>
      <c r="T844" s="371"/>
      <c r="U844" s="371"/>
      <c r="V844" s="371"/>
      <c r="W844" s="371"/>
      <c r="X844" s="371"/>
      <c r="Y844" s="371"/>
      <c r="Z844" s="371"/>
    </row>
    <row r="845">
      <c r="A845" s="371"/>
      <c r="B845" s="307"/>
      <c r="C845" s="307"/>
      <c r="D845" s="307"/>
      <c r="E845" s="307"/>
      <c r="F845" s="371"/>
      <c r="G845" s="307"/>
      <c r="H845" s="371"/>
      <c r="I845" s="371"/>
      <c r="J845" s="371"/>
      <c r="K845" s="371"/>
      <c r="L845" s="371"/>
      <c r="M845" s="371"/>
      <c r="N845" s="371"/>
      <c r="O845" s="371"/>
      <c r="P845" s="371"/>
      <c r="Q845" s="371"/>
      <c r="R845" s="371"/>
      <c r="S845" s="371"/>
      <c r="T845" s="371"/>
      <c r="U845" s="371"/>
      <c r="V845" s="371"/>
      <c r="W845" s="371"/>
      <c r="X845" s="371"/>
      <c r="Y845" s="371"/>
      <c r="Z845" s="371"/>
    </row>
    <row r="846">
      <c r="A846" s="371"/>
      <c r="B846" s="307"/>
      <c r="C846" s="307"/>
      <c r="D846" s="307"/>
      <c r="E846" s="307"/>
      <c r="F846" s="371"/>
      <c r="G846" s="307"/>
      <c r="H846" s="371"/>
      <c r="I846" s="371"/>
      <c r="J846" s="371"/>
      <c r="K846" s="371"/>
      <c r="L846" s="371"/>
      <c r="M846" s="371"/>
      <c r="N846" s="371"/>
      <c r="O846" s="371"/>
      <c r="P846" s="371"/>
      <c r="Q846" s="371"/>
      <c r="R846" s="371"/>
      <c r="S846" s="371"/>
      <c r="T846" s="371"/>
      <c r="U846" s="371"/>
      <c r="V846" s="371"/>
      <c r="W846" s="371"/>
      <c r="X846" s="371"/>
      <c r="Y846" s="371"/>
      <c r="Z846" s="371"/>
    </row>
    <row r="847">
      <c r="A847" s="371"/>
      <c r="B847" s="307"/>
      <c r="C847" s="307"/>
      <c r="D847" s="307"/>
      <c r="E847" s="307"/>
      <c r="F847" s="371"/>
      <c r="G847" s="307"/>
      <c r="H847" s="371"/>
      <c r="I847" s="371"/>
      <c r="J847" s="371"/>
      <c r="K847" s="371"/>
      <c r="L847" s="371"/>
      <c r="M847" s="371"/>
      <c r="N847" s="371"/>
      <c r="O847" s="371"/>
      <c r="P847" s="371"/>
      <c r="Q847" s="371"/>
      <c r="R847" s="371"/>
      <c r="S847" s="371"/>
      <c r="T847" s="371"/>
      <c r="U847" s="371"/>
      <c r="V847" s="371"/>
      <c r="W847" s="371"/>
      <c r="X847" s="371"/>
      <c r="Y847" s="371"/>
      <c r="Z847" s="371"/>
    </row>
    <row r="848">
      <c r="A848" s="371"/>
      <c r="B848" s="307"/>
      <c r="C848" s="307"/>
      <c r="D848" s="307"/>
      <c r="E848" s="307"/>
      <c r="F848" s="371"/>
      <c r="G848" s="307"/>
      <c r="H848" s="371"/>
      <c r="I848" s="371"/>
      <c r="J848" s="371"/>
      <c r="K848" s="371"/>
      <c r="L848" s="371"/>
      <c r="M848" s="371"/>
      <c r="N848" s="371"/>
      <c r="O848" s="371"/>
      <c r="P848" s="371"/>
      <c r="Q848" s="371"/>
      <c r="R848" s="371"/>
      <c r="S848" s="371"/>
      <c r="T848" s="371"/>
      <c r="U848" s="371"/>
      <c r="V848" s="371"/>
      <c r="W848" s="371"/>
      <c r="X848" s="371"/>
      <c r="Y848" s="371"/>
      <c r="Z848" s="371"/>
    </row>
    <row r="849">
      <c r="A849" s="371"/>
      <c r="B849" s="307"/>
      <c r="C849" s="307"/>
      <c r="D849" s="307"/>
      <c r="E849" s="307"/>
      <c r="F849" s="371"/>
      <c r="G849" s="307"/>
      <c r="H849" s="371"/>
      <c r="I849" s="371"/>
      <c r="J849" s="371"/>
      <c r="K849" s="371"/>
      <c r="L849" s="371"/>
      <c r="M849" s="371"/>
      <c r="N849" s="371"/>
      <c r="O849" s="371"/>
      <c r="P849" s="371"/>
      <c r="Q849" s="371"/>
      <c r="R849" s="371"/>
      <c r="S849" s="371"/>
      <c r="T849" s="371"/>
      <c r="U849" s="371"/>
      <c r="V849" s="371"/>
      <c r="W849" s="371"/>
      <c r="X849" s="371"/>
      <c r="Y849" s="371"/>
      <c r="Z849" s="371"/>
    </row>
    <row r="850">
      <c r="A850" s="371"/>
      <c r="B850" s="307"/>
      <c r="C850" s="307"/>
      <c r="D850" s="307"/>
      <c r="E850" s="307"/>
      <c r="F850" s="371"/>
      <c r="G850" s="307"/>
      <c r="H850" s="371"/>
      <c r="I850" s="371"/>
      <c r="J850" s="371"/>
      <c r="K850" s="371"/>
      <c r="L850" s="371"/>
      <c r="M850" s="371"/>
      <c r="N850" s="371"/>
      <c r="O850" s="371"/>
      <c r="P850" s="371"/>
      <c r="Q850" s="371"/>
      <c r="R850" s="371"/>
      <c r="S850" s="371"/>
      <c r="T850" s="371"/>
      <c r="U850" s="371"/>
      <c r="V850" s="371"/>
      <c r="W850" s="371"/>
      <c r="X850" s="371"/>
      <c r="Y850" s="371"/>
      <c r="Z850" s="371"/>
    </row>
    <row r="851">
      <c r="A851" s="371"/>
      <c r="B851" s="307"/>
      <c r="C851" s="307"/>
      <c r="D851" s="307"/>
      <c r="E851" s="307"/>
      <c r="F851" s="371"/>
      <c r="G851" s="307"/>
      <c r="H851" s="371"/>
      <c r="I851" s="371"/>
      <c r="J851" s="371"/>
      <c r="K851" s="371"/>
      <c r="L851" s="371"/>
      <c r="M851" s="371"/>
      <c r="N851" s="371"/>
      <c r="O851" s="371"/>
      <c r="P851" s="371"/>
      <c r="Q851" s="371"/>
      <c r="R851" s="371"/>
      <c r="S851" s="371"/>
      <c r="T851" s="371"/>
      <c r="U851" s="371"/>
      <c r="V851" s="371"/>
      <c r="W851" s="371"/>
      <c r="X851" s="371"/>
      <c r="Y851" s="371"/>
      <c r="Z851" s="371"/>
    </row>
    <row r="852">
      <c r="A852" s="371"/>
      <c r="B852" s="307"/>
      <c r="C852" s="307"/>
      <c r="D852" s="307"/>
      <c r="E852" s="307"/>
      <c r="F852" s="371"/>
      <c r="G852" s="307"/>
      <c r="H852" s="371"/>
      <c r="I852" s="371"/>
      <c r="J852" s="371"/>
      <c r="K852" s="371"/>
      <c r="L852" s="371"/>
      <c r="M852" s="371"/>
      <c r="N852" s="371"/>
      <c r="O852" s="371"/>
      <c r="P852" s="371"/>
      <c r="Q852" s="371"/>
      <c r="R852" s="371"/>
      <c r="S852" s="371"/>
      <c r="T852" s="371"/>
      <c r="U852" s="371"/>
      <c r="V852" s="371"/>
      <c r="W852" s="371"/>
      <c r="X852" s="371"/>
      <c r="Y852" s="371"/>
      <c r="Z852" s="371"/>
    </row>
    <row r="853">
      <c r="A853" s="371"/>
      <c r="B853" s="307"/>
      <c r="C853" s="307"/>
      <c r="D853" s="307"/>
      <c r="E853" s="307"/>
      <c r="F853" s="371"/>
      <c r="G853" s="307"/>
      <c r="H853" s="371"/>
      <c r="I853" s="371"/>
      <c r="J853" s="371"/>
      <c r="K853" s="371"/>
      <c r="L853" s="371"/>
      <c r="M853" s="371"/>
      <c r="N853" s="371"/>
      <c r="O853" s="371"/>
      <c r="P853" s="371"/>
      <c r="Q853" s="371"/>
      <c r="R853" s="371"/>
      <c r="S853" s="371"/>
      <c r="T853" s="371"/>
      <c r="U853" s="371"/>
      <c r="V853" s="371"/>
      <c r="W853" s="371"/>
      <c r="X853" s="371"/>
      <c r="Y853" s="371"/>
      <c r="Z853" s="371"/>
    </row>
    <row r="854">
      <c r="A854" s="371"/>
      <c r="B854" s="307"/>
      <c r="C854" s="307"/>
      <c r="D854" s="307"/>
      <c r="E854" s="307"/>
      <c r="F854" s="371"/>
      <c r="G854" s="307"/>
      <c r="H854" s="371"/>
      <c r="I854" s="371"/>
      <c r="J854" s="371"/>
      <c r="K854" s="371"/>
      <c r="L854" s="371"/>
      <c r="M854" s="371"/>
      <c r="N854" s="371"/>
      <c r="O854" s="371"/>
      <c r="P854" s="371"/>
      <c r="Q854" s="371"/>
      <c r="R854" s="371"/>
      <c r="S854" s="371"/>
      <c r="T854" s="371"/>
      <c r="U854" s="371"/>
      <c r="V854" s="371"/>
      <c r="W854" s="371"/>
      <c r="X854" s="371"/>
      <c r="Y854" s="371"/>
      <c r="Z854" s="371"/>
    </row>
    <row r="855">
      <c r="A855" s="371"/>
      <c r="B855" s="307"/>
      <c r="C855" s="307"/>
      <c r="D855" s="307"/>
      <c r="E855" s="307"/>
      <c r="F855" s="371"/>
      <c r="G855" s="307"/>
      <c r="H855" s="371"/>
      <c r="I855" s="371"/>
      <c r="J855" s="371"/>
      <c r="K855" s="371"/>
      <c r="L855" s="371"/>
      <c r="M855" s="371"/>
      <c r="N855" s="371"/>
      <c r="O855" s="371"/>
      <c r="P855" s="371"/>
      <c r="Q855" s="371"/>
      <c r="R855" s="371"/>
      <c r="S855" s="371"/>
      <c r="T855" s="371"/>
      <c r="U855" s="371"/>
      <c r="V855" s="371"/>
      <c r="W855" s="371"/>
      <c r="X855" s="371"/>
      <c r="Y855" s="371"/>
      <c r="Z855" s="371"/>
    </row>
    <row r="856">
      <c r="A856" s="371"/>
      <c r="B856" s="307"/>
      <c r="C856" s="307"/>
      <c r="D856" s="307"/>
      <c r="E856" s="307"/>
      <c r="F856" s="371"/>
      <c r="G856" s="307"/>
      <c r="H856" s="371"/>
      <c r="I856" s="371"/>
      <c r="J856" s="371"/>
      <c r="K856" s="371"/>
      <c r="L856" s="371"/>
      <c r="M856" s="371"/>
      <c r="N856" s="371"/>
      <c r="O856" s="371"/>
      <c r="P856" s="371"/>
      <c r="Q856" s="371"/>
      <c r="R856" s="371"/>
      <c r="S856" s="371"/>
      <c r="T856" s="371"/>
      <c r="U856" s="371"/>
      <c r="V856" s="371"/>
      <c r="W856" s="371"/>
      <c r="X856" s="371"/>
      <c r="Y856" s="371"/>
      <c r="Z856" s="371"/>
    </row>
    <row r="857">
      <c r="A857" s="371"/>
      <c r="B857" s="307"/>
      <c r="C857" s="307"/>
      <c r="D857" s="307"/>
      <c r="E857" s="307"/>
      <c r="F857" s="371"/>
      <c r="G857" s="307"/>
      <c r="H857" s="371"/>
      <c r="I857" s="371"/>
      <c r="J857" s="371"/>
      <c r="K857" s="371"/>
      <c r="L857" s="371"/>
      <c r="M857" s="371"/>
      <c r="N857" s="371"/>
      <c r="O857" s="371"/>
      <c r="P857" s="371"/>
      <c r="Q857" s="371"/>
      <c r="R857" s="371"/>
      <c r="S857" s="371"/>
      <c r="T857" s="371"/>
      <c r="U857" s="371"/>
      <c r="V857" s="371"/>
      <c r="W857" s="371"/>
      <c r="X857" s="371"/>
      <c r="Y857" s="371"/>
      <c r="Z857" s="371"/>
    </row>
    <row r="858">
      <c r="A858" s="371"/>
      <c r="B858" s="307"/>
      <c r="C858" s="307"/>
      <c r="D858" s="307"/>
      <c r="E858" s="307"/>
      <c r="F858" s="371"/>
      <c r="G858" s="307"/>
      <c r="H858" s="371"/>
      <c r="I858" s="371"/>
      <c r="J858" s="371"/>
      <c r="K858" s="371"/>
      <c r="L858" s="371"/>
      <c r="M858" s="371"/>
      <c r="N858" s="371"/>
      <c r="O858" s="371"/>
      <c r="P858" s="371"/>
      <c r="Q858" s="371"/>
      <c r="R858" s="371"/>
      <c r="S858" s="371"/>
      <c r="T858" s="371"/>
      <c r="U858" s="371"/>
      <c r="V858" s="371"/>
      <c r="W858" s="371"/>
      <c r="X858" s="371"/>
      <c r="Y858" s="371"/>
      <c r="Z858" s="371"/>
    </row>
    <row r="859">
      <c r="A859" s="371"/>
      <c r="B859" s="307"/>
      <c r="C859" s="307"/>
      <c r="D859" s="307"/>
      <c r="E859" s="307"/>
      <c r="F859" s="371"/>
      <c r="G859" s="307"/>
      <c r="H859" s="371"/>
      <c r="I859" s="371"/>
      <c r="J859" s="371"/>
      <c r="K859" s="371"/>
      <c r="L859" s="371"/>
      <c r="M859" s="371"/>
      <c r="N859" s="371"/>
      <c r="O859" s="371"/>
      <c r="P859" s="371"/>
      <c r="Q859" s="371"/>
      <c r="R859" s="371"/>
      <c r="S859" s="371"/>
      <c r="T859" s="371"/>
      <c r="U859" s="371"/>
      <c r="V859" s="371"/>
      <c r="W859" s="371"/>
      <c r="X859" s="371"/>
      <c r="Y859" s="371"/>
      <c r="Z859" s="371"/>
    </row>
    <row r="860">
      <c r="A860" s="371"/>
      <c r="B860" s="307"/>
      <c r="C860" s="307"/>
      <c r="D860" s="307"/>
      <c r="E860" s="307"/>
      <c r="F860" s="371"/>
      <c r="G860" s="307"/>
      <c r="H860" s="371"/>
      <c r="I860" s="371"/>
      <c r="J860" s="371"/>
      <c r="K860" s="371"/>
      <c r="L860" s="371"/>
      <c r="M860" s="371"/>
      <c r="N860" s="371"/>
      <c r="O860" s="371"/>
      <c r="P860" s="371"/>
      <c r="Q860" s="371"/>
      <c r="R860" s="371"/>
      <c r="S860" s="371"/>
      <c r="T860" s="371"/>
      <c r="U860" s="371"/>
      <c r="V860" s="371"/>
      <c r="W860" s="371"/>
      <c r="X860" s="371"/>
      <c r="Y860" s="371"/>
      <c r="Z860" s="371"/>
    </row>
    <row r="861">
      <c r="A861" s="371"/>
      <c r="B861" s="307"/>
      <c r="C861" s="307"/>
      <c r="D861" s="307"/>
      <c r="E861" s="307"/>
      <c r="F861" s="371"/>
      <c r="G861" s="307"/>
      <c r="H861" s="371"/>
      <c r="I861" s="371"/>
      <c r="J861" s="371"/>
      <c r="K861" s="371"/>
      <c r="L861" s="371"/>
      <c r="M861" s="371"/>
      <c r="N861" s="371"/>
      <c r="O861" s="371"/>
      <c r="P861" s="371"/>
      <c r="Q861" s="371"/>
      <c r="R861" s="371"/>
      <c r="S861" s="371"/>
      <c r="T861" s="371"/>
      <c r="U861" s="371"/>
      <c r="V861" s="371"/>
      <c r="W861" s="371"/>
      <c r="X861" s="371"/>
      <c r="Y861" s="371"/>
      <c r="Z861" s="371"/>
    </row>
    <row r="862">
      <c r="A862" s="371"/>
      <c r="B862" s="307"/>
      <c r="C862" s="307"/>
      <c r="D862" s="307"/>
      <c r="E862" s="307"/>
      <c r="F862" s="371"/>
      <c r="G862" s="307"/>
      <c r="H862" s="371"/>
      <c r="I862" s="371"/>
      <c r="J862" s="371"/>
      <c r="K862" s="371"/>
      <c r="L862" s="371"/>
      <c r="M862" s="371"/>
      <c r="N862" s="371"/>
      <c r="O862" s="371"/>
      <c r="P862" s="371"/>
      <c r="Q862" s="371"/>
      <c r="R862" s="371"/>
      <c r="S862" s="371"/>
      <c r="T862" s="371"/>
      <c r="U862" s="371"/>
      <c r="V862" s="371"/>
      <c r="W862" s="371"/>
      <c r="X862" s="371"/>
      <c r="Y862" s="371"/>
      <c r="Z862" s="371"/>
    </row>
    <row r="863">
      <c r="A863" s="371"/>
      <c r="B863" s="307"/>
      <c r="C863" s="307"/>
      <c r="D863" s="307"/>
      <c r="E863" s="307"/>
      <c r="F863" s="371"/>
      <c r="G863" s="307"/>
      <c r="H863" s="371"/>
      <c r="I863" s="371"/>
      <c r="J863" s="371"/>
      <c r="K863" s="371"/>
      <c r="L863" s="371"/>
      <c r="M863" s="371"/>
      <c r="N863" s="371"/>
      <c r="O863" s="371"/>
      <c r="P863" s="371"/>
      <c r="Q863" s="371"/>
      <c r="R863" s="371"/>
      <c r="S863" s="371"/>
      <c r="T863" s="371"/>
      <c r="U863" s="371"/>
      <c r="V863" s="371"/>
      <c r="W863" s="371"/>
      <c r="X863" s="371"/>
      <c r="Y863" s="371"/>
      <c r="Z863" s="371"/>
    </row>
    <row r="864">
      <c r="A864" s="371"/>
      <c r="B864" s="307"/>
      <c r="C864" s="307"/>
      <c r="D864" s="307"/>
      <c r="E864" s="307"/>
      <c r="F864" s="371"/>
      <c r="G864" s="307"/>
      <c r="H864" s="371"/>
      <c r="I864" s="371"/>
      <c r="J864" s="371"/>
      <c r="K864" s="371"/>
      <c r="L864" s="371"/>
      <c r="M864" s="371"/>
      <c r="N864" s="371"/>
      <c r="O864" s="371"/>
      <c r="P864" s="371"/>
      <c r="Q864" s="371"/>
      <c r="R864" s="371"/>
      <c r="S864" s="371"/>
      <c r="T864" s="371"/>
      <c r="U864" s="371"/>
      <c r="V864" s="371"/>
      <c r="W864" s="371"/>
      <c r="X864" s="371"/>
      <c r="Y864" s="371"/>
      <c r="Z864" s="371"/>
    </row>
    <row r="865">
      <c r="A865" s="371"/>
      <c r="B865" s="307"/>
      <c r="C865" s="307"/>
      <c r="D865" s="307"/>
      <c r="E865" s="307"/>
      <c r="F865" s="371"/>
      <c r="G865" s="307"/>
      <c r="H865" s="371"/>
      <c r="I865" s="371"/>
      <c r="J865" s="371"/>
      <c r="K865" s="371"/>
      <c r="L865" s="371"/>
      <c r="M865" s="371"/>
      <c r="N865" s="371"/>
      <c r="O865" s="371"/>
      <c r="P865" s="371"/>
      <c r="Q865" s="371"/>
      <c r="R865" s="371"/>
      <c r="S865" s="371"/>
      <c r="T865" s="371"/>
      <c r="U865" s="371"/>
      <c r="V865" s="371"/>
      <c r="W865" s="371"/>
      <c r="X865" s="371"/>
      <c r="Y865" s="371"/>
      <c r="Z865" s="371"/>
    </row>
    <row r="866">
      <c r="A866" s="371"/>
      <c r="B866" s="307"/>
      <c r="C866" s="307"/>
      <c r="D866" s="307"/>
      <c r="E866" s="307"/>
      <c r="F866" s="371"/>
      <c r="G866" s="307"/>
      <c r="H866" s="371"/>
      <c r="I866" s="371"/>
      <c r="J866" s="371"/>
      <c r="K866" s="371"/>
      <c r="L866" s="371"/>
      <c r="M866" s="371"/>
      <c r="N866" s="371"/>
      <c r="O866" s="371"/>
      <c r="P866" s="371"/>
      <c r="Q866" s="371"/>
      <c r="R866" s="371"/>
      <c r="S866" s="371"/>
      <c r="T866" s="371"/>
      <c r="U866" s="371"/>
      <c r="V866" s="371"/>
      <c r="W866" s="371"/>
      <c r="X866" s="371"/>
      <c r="Y866" s="371"/>
      <c r="Z866" s="371"/>
    </row>
    <row r="867">
      <c r="A867" s="371"/>
      <c r="B867" s="307"/>
      <c r="C867" s="307"/>
      <c r="D867" s="307"/>
      <c r="E867" s="307"/>
      <c r="F867" s="371"/>
      <c r="G867" s="307"/>
      <c r="H867" s="371"/>
      <c r="I867" s="371"/>
      <c r="J867" s="371"/>
      <c r="K867" s="371"/>
      <c r="L867" s="371"/>
      <c r="M867" s="371"/>
      <c r="N867" s="371"/>
      <c r="O867" s="371"/>
      <c r="P867" s="371"/>
      <c r="Q867" s="371"/>
      <c r="R867" s="371"/>
      <c r="S867" s="371"/>
      <c r="T867" s="371"/>
      <c r="U867" s="371"/>
      <c r="V867" s="371"/>
      <c r="W867" s="371"/>
      <c r="X867" s="371"/>
      <c r="Y867" s="371"/>
      <c r="Z867" s="371"/>
    </row>
    <row r="868">
      <c r="A868" s="371"/>
      <c r="B868" s="307"/>
      <c r="C868" s="307"/>
      <c r="D868" s="307"/>
      <c r="E868" s="307"/>
      <c r="F868" s="371"/>
      <c r="G868" s="307"/>
      <c r="H868" s="371"/>
      <c r="I868" s="371"/>
      <c r="J868" s="371"/>
      <c r="K868" s="371"/>
      <c r="L868" s="371"/>
      <c r="M868" s="371"/>
      <c r="N868" s="371"/>
      <c r="O868" s="371"/>
      <c r="P868" s="371"/>
      <c r="Q868" s="371"/>
      <c r="R868" s="371"/>
      <c r="S868" s="371"/>
      <c r="T868" s="371"/>
      <c r="U868" s="371"/>
      <c r="V868" s="371"/>
      <c r="W868" s="371"/>
      <c r="X868" s="371"/>
      <c r="Y868" s="371"/>
      <c r="Z868" s="371"/>
    </row>
    <row r="869">
      <c r="A869" s="371"/>
      <c r="B869" s="307"/>
      <c r="C869" s="307"/>
      <c r="D869" s="307"/>
      <c r="E869" s="307"/>
      <c r="F869" s="371"/>
      <c r="G869" s="307"/>
      <c r="H869" s="371"/>
      <c r="I869" s="371"/>
      <c r="J869" s="371"/>
      <c r="K869" s="371"/>
      <c r="L869" s="371"/>
      <c r="M869" s="371"/>
      <c r="N869" s="371"/>
      <c r="O869" s="371"/>
      <c r="P869" s="371"/>
      <c r="Q869" s="371"/>
      <c r="R869" s="371"/>
      <c r="S869" s="371"/>
      <c r="T869" s="371"/>
      <c r="U869" s="371"/>
      <c r="V869" s="371"/>
      <c r="W869" s="371"/>
      <c r="X869" s="371"/>
      <c r="Y869" s="371"/>
      <c r="Z869" s="371"/>
    </row>
    <row r="870">
      <c r="A870" s="371"/>
      <c r="B870" s="307"/>
      <c r="C870" s="307"/>
      <c r="D870" s="307"/>
      <c r="E870" s="307"/>
      <c r="F870" s="371"/>
      <c r="G870" s="307"/>
      <c r="H870" s="371"/>
      <c r="I870" s="371"/>
      <c r="J870" s="371"/>
      <c r="K870" s="371"/>
      <c r="L870" s="371"/>
      <c r="M870" s="371"/>
      <c r="N870" s="371"/>
      <c r="O870" s="371"/>
      <c r="P870" s="371"/>
      <c r="Q870" s="371"/>
      <c r="R870" s="371"/>
      <c r="S870" s="371"/>
      <c r="T870" s="371"/>
      <c r="U870" s="371"/>
      <c r="V870" s="371"/>
      <c r="W870" s="371"/>
      <c r="X870" s="371"/>
      <c r="Y870" s="371"/>
      <c r="Z870" s="371"/>
    </row>
    <row r="871">
      <c r="A871" s="371"/>
      <c r="B871" s="307"/>
      <c r="C871" s="307"/>
      <c r="D871" s="307"/>
      <c r="E871" s="307"/>
      <c r="F871" s="371"/>
      <c r="G871" s="307"/>
      <c r="H871" s="371"/>
      <c r="I871" s="371"/>
      <c r="J871" s="371"/>
      <c r="K871" s="371"/>
      <c r="L871" s="371"/>
      <c r="M871" s="371"/>
      <c r="N871" s="371"/>
      <c r="O871" s="371"/>
      <c r="P871" s="371"/>
      <c r="Q871" s="371"/>
      <c r="R871" s="371"/>
      <c r="S871" s="371"/>
      <c r="T871" s="371"/>
      <c r="U871" s="371"/>
      <c r="V871" s="371"/>
      <c r="W871" s="371"/>
      <c r="X871" s="371"/>
      <c r="Y871" s="371"/>
      <c r="Z871" s="371"/>
    </row>
    <row r="872">
      <c r="A872" s="371"/>
      <c r="B872" s="307"/>
      <c r="C872" s="307"/>
      <c r="D872" s="307"/>
      <c r="E872" s="307"/>
      <c r="F872" s="371"/>
      <c r="G872" s="307"/>
      <c r="H872" s="371"/>
      <c r="I872" s="371"/>
      <c r="J872" s="371"/>
      <c r="K872" s="371"/>
      <c r="L872" s="371"/>
      <c r="M872" s="371"/>
      <c r="N872" s="371"/>
      <c r="O872" s="371"/>
      <c r="P872" s="371"/>
      <c r="Q872" s="371"/>
      <c r="R872" s="371"/>
      <c r="S872" s="371"/>
      <c r="T872" s="371"/>
      <c r="U872" s="371"/>
      <c r="V872" s="371"/>
      <c r="W872" s="371"/>
      <c r="X872" s="371"/>
      <c r="Y872" s="371"/>
      <c r="Z872" s="371"/>
    </row>
    <row r="873">
      <c r="A873" s="371"/>
      <c r="B873" s="307"/>
      <c r="C873" s="307"/>
      <c r="D873" s="307"/>
      <c r="E873" s="307"/>
      <c r="F873" s="371"/>
      <c r="G873" s="307"/>
      <c r="H873" s="371"/>
      <c r="I873" s="371"/>
      <c r="J873" s="371"/>
      <c r="K873" s="371"/>
      <c r="L873" s="371"/>
      <c r="M873" s="371"/>
      <c r="N873" s="371"/>
      <c r="O873" s="371"/>
      <c r="P873" s="371"/>
      <c r="Q873" s="371"/>
      <c r="R873" s="371"/>
      <c r="S873" s="371"/>
      <c r="T873" s="371"/>
      <c r="U873" s="371"/>
      <c r="V873" s="371"/>
      <c r="W873" s="371"/>
      <c r="X873" s="371"/>
      <c r="Y873" s="371"/>
      <c r="Z873" s="371"/>
    </row>
    <row r="874">
      <c r="A874" s="371"/>
      <c r="B874" s="307"/>
      <c r="C874" s="307"/>
      <c r="D874" s="307"/>
      <c r="E874" s="307"/>
      <c r="F874" s="371"/>
      <c r="G874" s="307"/>
      <c r="H874" s="371"/>
      <c r="I874" s="371"/>
      <c r="J874" s="371"/>
      <c r="K874" s="371"/>
      <c r="L874" s="371"/>
      <c r="M874" s="371"/>
      <c r="N874" s="371"/>
      <c r="O874" s="371"/>
      <c r="P874" s="371"/>
      <c r="Q874" s="371"/>
      <c r="R874" s="371"/>
      <c r="S874" s="371"/>
      <c r="T874" s="371"/>
      <c r="U874" s="371"/>
      <c r="V874" s="371"/>
      <c r="W874" s="371"/>
      <c r="X874" s="371"/>
      <c r="Y874" s="371"/>
      <c r="Z874" s="371"/>
    </row>
    <row r="875">
      <c r="A875" s="371"/>
      <c r="B875" s="307"/>
      <c r="C875" s="307"/>
      <c r="D875" s="307"/>
      <c r="E875" s="307"/>
      <c r="F875" s="371"/>
      <c r="G875" s="307"/>
      <c r="H875" s="371"/>
      <c r="I875" s="371"/>
      <c r="J875" s="371"/>
      <c r="K875" s="371"/>
      <c r="L875" s="371"/>
      <c r="M875" s="371"/>
      <c r="N875" s="371"/>
      <c r="O875" s="371"/>
      <c r="P875" s="371"/>
      <c r="Q875" s="371"/>
      <c r="R875" s="371"/>
      <c r="S875" s="371"/>
      <c r="T875" s="371"/>
      <c r="U875" s="371"/>
      <c r="V875" s="371"/>
      <c r="W875" s="371"/>
      <c r="X875" s="371"/>
      <c r="Y875" s="371"/>
      <c r="Z875" s="371"/>
    </row>
    <row r="876">
      <c r="A876" s="371"/>
      <c r="B876" s="307"/>
      <c r="C876" s="307"/>
      <c r="D876" s="307"/>
      <c r="E876" s="307"/>
      <c r="F876" s="371"/>
      <c r="G876" s="307"/>
      <c r="H876" s="371"/>
      <c r="I876" s="371"/>
      <c r="J876" s="371"/>
      <c r="K876" s="371"/>
      <c r="L876" s="371"/>
      <c r="M876" s="371"/>
      <c r="N876" s="371"/>
      <c r="O876" s="371"/>
      <c r="P876" s="371"/>
      <c r="Q876" s="371"/>
      <c r="R876" s="371"/>
      <c r="S876" s="371"/>
      <c r="T876" s="371"/>
      <c r="U876" s="371"/>
      <c r="V876" s="371"/>
      <c r="W876" s="371"/>
      <c r="X876" s="371"/>
      <c r="Y876" s="371"/>
      <c r="Z876" s="371"/>
    </row>
    <row r="877">
      <c r="A877" s="371"/>
      <c r="B877" s="307"/>
      <c r="C877" s="307"/>
      <c r="D877" s="307"/>
      <c r="E877" s="307"/>
      <c r="F877" s="371"/>
      <c r="G877" s="307"/>
      <c r="H877" s="371"/>
      <c r="I877" s="371"/>
      <c r="J877" s="371"/>
      <c r="K877" s="371"/>
      <c r="L877" s="371"/>
      <c r="M877" s="371"/>
      <c r="N877" s="371"/>
      <c r="O877" s="371"/>
      <c r="P877" s="371"/>
      <c r="Q877" s="371"/>
      <c r="R877" s="371"/>
      <c r="S877" s="371"/>
      <c r="T877" s="371"/>
      <c r="U877" s="371"/>
      <c r="V877" s="371"/>
      <c r="W877" s="371"/>
      <c r="X877" s="371"/>
      <c r="Y877" s="371"/>
      <c r="Z877" s="371"/>
    </row>
    <row r="878">
      <c r="A878" s="371"/>
      <c r="B878" s="307"/>
      <c r="C878" s="307"/>
      <c r="D878" s="307"/>
      <c r="E878" s="307"/>
      <c r="F878" s="371"/>
      <c r="G878" s="307"/>
      <c r="H878" s="371"/>
      <c r="I878" s="371"/>
      <c r="J878" s="371"/>
      <c r="K878" s="371"/>
      <c r="L878" s="371"/>
      <c r="M878" s="371"/>
      <c r="N878" s="371"/>
      <c r="O878" s="371"/>
      <c r="P878" s="371"/>
      <c r="Q878" s="371"/>
      <c r="R878" s="371"/>
      <c r="S878" s="371"/>
      <c r="T878" s="371"/>
      <c r="U878" s="371"/>
      <c r="V878" s="371"/>
      <c r="W878" s="371"/>
      <c r="X878" s="371"/>
      <c r="Y878" s="371"/>
      <c r="Z878" s="371"/>
    </row>
    <row r="879">
      <c r="A879" s="371"/>
      <c r="B879" s="307"/>
      <c r="C879" s="307"/>
      <c r="D879" s="307"/>
      <c r="E879" s="307"/>
      <c r="F879" s="371"/>
      <c r="G879" s="307"/>
      <c r="H879" s="371"/>
      <c r="I879" s="371"/>
      <c r="J879" s="371"/>
      <c r="K879" s="371"/>
      <c r="L879" s="371"/>
      <c r="M879" s="371"/>
      <c r="N879" s="371"/>
      <c r="O879" s="371"/>
      <c r="P879" s="371"/>
      <c r="Q879" s="371"/>
      <c r="R879" s="371"/>
      <c r="S879" s="371"/>
      <c r="T879" s="371"/>
      <c r="U879" s="371"/>
      <c r="V879" s="371"/>
      <c r="W879" s="371"/>
      <c r="X879" s="371"/>
      <c r="Y879" s="371"/>
      <c r="Z879" s="371"/>
    </row>
    <row r="880">
      <c r="A880" s="371"/>
      <c r="B880" s="307"/>
      <c r="C880" s="307"/>
      <c r="D880" s="307"/>
      <c r="E880" s="307"/>
      <c r="F880" s="371"/>
      <c r="G880" s="307"/>
      <c r="H880" s="371"/>
      <c r="I880" s="371"/>
      <c r="J880" s="371"/>
      <c r="K880" s="371"/>
      <c r="L880" s="371"/>
      <c r="M880" s="371"/>
      <c r="N880" s="371"/>
      <c r="O880" s="371"/>
      <c r="P880" s="371"/>
      <c r="Q880" s="371"/>
      <c r="R880" s="371"/>
      <c r="S880" s="371"/>
      <c r="T880" s="371"/>
      <c r="U880" s="371"/>
      <c r="V880" s="371"/>
      <c r="W880" s="371"/>
      <c r="X880" s="371"/>
      <c r="Y880" s="371"/>
      <c r="Z880" s="371"/>
    </row>
    <row r="881">
      <c r="A881" s="371"/>
      <c r="B881" s="307"/>
      <c r="C881" s="307"/>
      <c r="D881" s="307"/>
      <c r="E881" s="307"/>
      <c r="F881" s="371"/>
      <c r="G881" s="307"/>
      <c r="H881" s="371"/>
      <c r="I881" s="371"/>
      <c r="J881" s="371"/>
      <c r="K881" s="371"/>
      <c r="L881" s="371"/>
      <c r="M881" s="371"/>
      <c r="N881" s="371"/>
      <c r="O881" s="371"/>
      <c r="P881" s="371"/>
      <c r="Q881" s="371"/>
      <c r="R881" s="371"/>
      <c r="S881" s="371"/>
      <c r="T881" s="371"/>
      <c r="U881" s="371"/>
      <c r="V881" s="371"/>
      <c r="W881" s="371"/>
      <c r="X881" s="371"/>
      <c r="Y881" s="371"/>
      <c r="Z881" s="371"/>
    </row>
    <row r="882">
      <c r="A882" s="371"/>
      <c r="B882" s="307"/>
      <c r="C882" s="307"/>
      <c r="D882" s="307"/>
      <c r="E882" s="307"/>
      <c r="F882" s="371"/>
      <c r="G882" s="307"/>
      <c r="H882" s="371"/>
      <c r="I882" s="371"/>
      <c r="J882" s="371"/>
      <c r="K882" s="371"/>
      <c r="L882" s="371"/>
      <c r="M882" s="371"/>
      <c r="N882" s="371"/>
      <c r="O882" s="371"/>
      <c r="P882" s="371"/>
      <c r="Q882" s="371"/>
      <c r="R882" s="371"/>
      <c r="S882" s="371"/>
      <c r="T882" s="371"/>
      <c r="U882" s="371"/>
      <c r="V882" s="371"/>
      <c r="W882" s="371"/>
      <c r="X882" s="371"/>
      <c r="Y882" s="371"/>
      <c r="Z882" s="371"/>
    </row>
    <row r="883">
      <c r="A883" s="371"/>
      <c r="B883" s="307"/>
      <c r="C883" s="307"/>
      <c r="D883" s="307"/>
      <c r="E883" s="307"/>
      <c r="F883" s="371"/>
      <c r="G883" s="307"/>
      <c r="H883" s="371"/>
      <c r="I883" s="371"/>
      <c r="J883" s="371"/>
      <c r="K883" s="371"/>
      <c r="L883" s="371"/>
      <c r="M883" s="371"/>
      <c r="N883" s="371"/>
      <c r="O883" s="371"/>
      <c r="P883" s="371"/>
      <c r="Q883" s="371"/>
      <c r="R883" s="371"/>
      <c r="S883" s="371"/>
      <c r="T883" s="371"/>
      <c r="U883" s="371"/>
      <c r="V883" s="371"/>
      <c r="W883" s="371"/>
      <c r="X883" s="371"/>
      <c r="Y883" s="371"/>
      <c r="Z883" s="371"/>
    </row>
    <row r="884">
      <c r="A884" s="371"/>
      <c r="B884" s="307"/>
      <c r="C884" s="307"/>
      <c r="D884" s="307"/>
      <c r="E884" s="307"/>
      <c r="F884" s="371"/>
      <c r="G884" s="307"/>
      <c r="H884" s="371"/>
      <c r="I884" s="371"/>
      <c r="J884" s="371"/>
      <c r="K884" s="371"/>
      <c r="L884" s="371"/>
      <c r="M884" s="371"/>
      <c r="N884" s="371"/>
      <c r="O884" s="371"/>
      <c r="P884" s="371"/>
      <c r="Q884" s="371"/>
      <c r="R884" s="371"/>
      <c r="S884" s="371"/>
      <c r="T884" s="371"/>
      <c r="U884" s="371"/>
      <c r="V884" s="371"/>
      <c r="W884" s="371"/>
      <c r="X884" s="371"/>
      <c r="Y884" s="371"/>
      <c r="Z884" s="371"/>
    </row>
    <row r="885">
      <c r="A885" s="371"/>
      <c r="B885" s="307"/>
      <c r="C885" s="307"/>
      <c r="D885" s="307"/>
      <c r="E885" s="307"/>
      <c r="F885" s="371"/>
      <c r="G885" s="307"/>
      <c r="H885" s="371"/>
      <c r="I885" s="371"/>
      <c r="J885" s="371"/>
      <c r="K885" s="371"/>
      <c r="L885" s="371"/>
      <c r="M885" s="371"/>
      <c r="N885" s="371"/>
      <c r="O885" s="371"/>
      <c r="P885" s="371"/>
      <c r="Q885" s="371"/>
      <c r="R885" s="371"/>
      <c r="S885" s="371"/>
      <c r="T885" s="371"/>
      <c r="U885" s="371"/>
      <c r="V885" s="371"/>
      <c r="W885" s="371"/>
      <c r="X885" s="371"/>
      <c r="Y885" s="371"/>
      <c r="Z885" s="371"/>
    </row>
    <row r="886">
      <c r="A886" s="371"/>
      <c r="B886" s="307"/>
      <c r="C886" s="307"/>
      <c r="D886" s="307"/>
      <c r="E886" s="307"/>
      <c r="F886" s="371"/>
      <c r="G886" s="307"/>
      <c r="H886" s="371"/>
      <c r="I886" s="371"/>
      <c r="J886" s="371"/>
      <c r="K886" s="371"/>
      <c r="L886" s="371"/>
      <c r="M886" s="371"/>
      <c r="N886" s="371"/>
      <c r="O886" s="371"/>
      <c r="P886" s="371"/>
      <c r="Q886" s="371"/>
      <c r="R886" s="371"/>
      <c r="S886" s="371"/>
      <c r="T886" s="371"/>
      <c r="U886" s="371"/>
      <c r="V886" s="371"/>
      <c r="W886" s="371"/>
      <c r="X886" s="371"/>
      <c r="Y886" s="371"/>
      <c r="Z886" s="371"/>
    </row>
    <row r="887">
      <c r="A887" s="371"/>
      <c r="B887" s="307"/>
      <c r="C887" s="307"/>
      <c r="D887" s="307"/>
      <c r="E887" s="307"/>
      <c r="F887" s="371"/>
      <c r="G887" s="307"/>
      <c r="H887" s="371"/>
      <c r="I887" s="371"/>
      <c r="J887" s="371"/>
      <c r="K887" s="371"/>
      <c r="L887" s="371"/>
      <c r="M887" s="371"/>
      <c r="N887" s="371"/>
      <c r="O887" s="371"/>
      <c r="P887" s="371"/>
      <c r="Q887" s="371"/>
      <c r="R887" s="371"/>
      <c r="S887" s="371"/>
      <c r="T887" s="371"/>
      <c r="U887" s="371"/>
      <c r="V887" s="371"/>
      <c r="W887" s="371"/>
      <c r="X887" s="371"/>
      <c r="Y887" s="371"/>
      <c r="Z887" s="371"/>
    </row>
    <row r="888">
      <c r="A888" s="371"/>
      <c r="B888" s="307"/>
      <c r="C888" s="307"/>
      <c r="D888" s="307"/>
      <c r="E888" s="307"/>
      <c r="F888" s="371"/>
      <c r="G888" s="307"/>
      <c r="H888" s="371"/>
      <c r="I888" s="371"/>
      <c r="J888" s="371"/>
      <c r="K888" s="371"/>
      <c r="L888" s="371"/>
      <c r="M888" s="371"/>
      <c r="N888" s="371"/>
      <c r="O888" s="371"/>
      <c r="P888" s="371"/>
      <c r="Q888" s="371"/>
      <c r="R888" s="371"/>
      <c r="S888" s="371"/>
      <c r="T888" s="371"/>
      <c r="U888" s="371"/>
      <c r="V888" s="371"/>
      <c r="W888" s="371"/>
      <c r="X888" s="371"/>
      <c r="Y888" s="371"/>
      <c r="Z888" s="371"/>
    </row>
    <row r="889">
      <c r="A889" s="371"/>
      <c r="B889" s="307"/>
      <c r="C889" s="307"/>
      <c r="D889" s="307"/>
      <c r="E889" s="307"/>
      <c r="F889" s="371"/>
      <c r="G889" s="307"/>
      <c r="H889" s="371"/>
      <c r="I889" s="371"/>
      <c r="J889" s="371"/>
      <c r="K889" s="371"/>
      <c r="L889" s="371"/>
      <c r="M889" s="371"/>
      <c r="N889" s="371"/>
      <c r="O889" s="371"/>
      <c r="P889" s="371"/>
      <c r="Q889" s="371"/>
      <c r="R889" s="371"/>
      <c r="S889" s="371"/>
      <c r="T889" s="371"/>
      <c r="U889" s="371"/>
      <c r="V889" s="371"/>
      <c r="W889" s="371"/>
      <c r="X889" s="371"/>
      <c r="Y889" s="371"/>
      <c r="Z889" s="371"/>
    </row>
    <row r="890">
      <c r="A890" s="371"/>
      <c r="B890" s="307"/>
      <c r="C890" s="307"/>
      <c r="D890" s="307"/>
      <c r="E890" s="307"/>
      <c r="F890" s="371"/>
      <c r="G890" s="307"/>
      <c r="H890" s="371"/>
      <c r="I890" s="371"/>
      <c r="J890" s="371"/>
      <c r="K890" s="371"/>
      <c r="L890" s="371"/>
      <c r="M890" s="371"/>
      <c r="N890" s="371"/>
      <c r="O890" s="371"/>
      <c r="P890" s="371"/>
      <c r="Q890" s="371"/>
      <c r="R890" s="371"/>
      <c r="S890" s="371"/>
      <c r="T890" s="371"/>
      <c r="U890" s="371"/>
      <c r="V890" s="371"/>
      <c r="W890" s="371"/>
      <c r="X890" s="371"/>
      <c r="Y890" s="371"/>
      <c r="Z890" s="371"/>
    </row>
    <row r="891">
      <c r="A891" s="371"/>
      <c r="B891" s="307"/>
      <c r="C891" s="307"/>
      <c r="D891" s="307"/>
      <c r="E891" s="307"/>
      <c r="F891" s="371"/>
      <c r="G891" s="307"/>
      <c r="H891" s="371"/>
      <c r="I891" s="371"/>
      <c r="J891" s="371"/>
      <c r="K891" s="371"/>
      <c r="L891" s="371"/>
      <c r="M891" s="371"/>
      <c r="N891" s="371"/>
      <c r="O891" s="371"/>
      <c r="P891" s="371"/>
      <c r="Q891" s="371"/>
      <c r="R891" s="371"/>
      <c r="S891" s="371"/>
      <c r="T891" s="371"/>
      <c r="U891" s="371"/>
      <c r="V891" s="371"/>
      <c r="W891" s="371"/>
      <c r="X891" s="371"/>
      <c r="Y891" s="371"/>
      <c r="Z891" s="371"/>
    </row>
    <row r="892">
      <c r="A892" s="371"/>
      <c r="B892" s="307"/>
      <c r="C892" s="307"/>
      <c r="D892" s="307"/>
      <c r="E892" s="307"/>
      <c r="F892" s="371"/>
      <c r="G892" s="307"/>
      <c r="H892" s="371"/>
      <c r="I892" s="371"/>
      <c r="J892" s="371"/>
      <c r="K892" s="371"/>
      <c r="L892" s="371"/>
      <c r="M892" s="371"/>
      <c r="N892" s="371"/>
      <c r="O892" s="371"/>
      <c r="P892" s="371"/>
      <c r="Q892" s="371"/>
      <c r="R892" s="371"/>
      <c r="S892" s="371"/>
      <c r="T892" s="371"/>
      <c r="U892" s="371"/>
      <c r="V892" s="371"/>
      <c r="W892" s="371"/>
      <c r="X892" s="371"/>
      <c r="Y892" s="371"/>
      <c r="Z892" s="371"/>
    </row>
    <row r="893">
      <c r="A893" s="371"/>
      <c r="B893" s="307"/>
      <c r="C893" s="307"/>
      <c r="D893" s="307"/>
      <c r="E893" s="307"/>
      <c r="F893" s="371"/>
      <c r="G893" s="307"/>
      <c r="H893" s="371"/>
      <c r="I893" s="371"/>
      <c r="J893" s="371"/>
      <c r="K893" s="371"/>
      <c r="L893" s="371"/>
      <c r="M893" s="371"/>
      <c r="N893" s="371"/>
      <c r="O893" s="371"/>
      <c r="P893" s="371"/>
      <c r="Q893" s="371"/>
      <c r="R893" s="371"/>
      <c r="S893" s="371"/>
      <c r="T893" s="371"/>
      <c r="U893" s="371"/>
      <c r="V893" s="371"/>
      <c r="W893" s="371"/>
      <c r="X893" s="371"/>
      <c r="Y893" s="371"/>
      <c r="Z893" s="371"/>
    </row>
    <row r="894">
      <c r="A894" s="371"/>
      <c r="B894" s="307"/>
      <c r="C894" s="307"/>
      <c r="D894" s="307"/>
      <c r="E894" s="307"/>
      <c r="F894" s="371"/>
      <c r="G894" s="307"/>
      <c r="H894" s="371"/>
      <c r="I894" s="371"/>
      <c r="J894" s="371"/>
      <c r="K894" s="371"/>
      <c r="L894" s="371"/>
      <c r="M894" s="371"/>
      <c r="N894" s="371"/>
      <c r="O894" s="371"/>
      <c r="P894" s="371"/>
      <c r="Q894" s="371"/>
      <c r="R894" s="371"/>
      <c r="S894" s="371"/>
      <c r="T894" s="371"/>
      <c r="U894" s="371"/>
      <c r="V894" s="371"/>
      <c r="W894" s="371"/>
      <c r="X894" s="371"/>
      <c r="Y894" s="371"/>
      <c r="Z894" s="371"/>
    </row>
    <row r="895">
      <c r="A895" s="371"/>
      <c r="B895" s="307"/>
      <c r="C895" s="307"/>
      <c r="D895" s="307"/>
      <c r="E895" s="307"/>
      <c r="F895" s="371"/>
      <c r="G895" s="307"/>
      <c r="H895" s="371"/>
      <c r="I895" s="371"/>
      <c r="J895" s="371"/>
      <c r="K895" s="371"/>
      <c r="L895" s="371"/>
      <c r="M895" s="371"/>
      <c r="N895" s="371"/>
      <c r="O895" s="371"/>
      <c r="P895" s="371"/>
      <c r="Q895" s="371"/>
      <c r="R895" s="371"/>
      <c r="S895" s="371"/>
      <c r="T895" s="371"/>
      <c r="U895" s="371"/>
      <c r="V895" s="371"/>
      <c r="W895" s="371"/>
      <c r="X895" s="371"/>
      <c r="Y895" s="371"/>
      <c r="Z895" s="371"/>
    </row>
    <row r="896">
      <c r="A896" s="371"/>
      <c r="B896" s="307"/>
      <c r="C896" s="307"/>
      <c r="D896" s="307"/>
      <c r="E896" s="307"/>
      <c r="F896" s="371"/>
      <c r="G896" s="307"/>
      <c r="H896" s="371"/>
      <c r="I896" s="371"/>
      <c r="J896" s="371"/>
      <c r="K896" s="371"/>
      <c r="L896" s="371"/>
      <c r="M896" s="371"/>
      <c r="N896" s="371"/>
      <c r="O896" s="371"/>
      <c r="P896" s="371"/>
      <c r="Q896" s="371"/>
      <c r="R896" s="371"/>
      <c r="S896" s="371"/>
      <c r="T896" s="371"/>
      <c r="U896" s="371"/>
      <c r="V896" s="371"/>
      <c r="W896" s="371"/>
      <c r="X896" s="371"/>
      <c r="Y896" s="371"/>
      <c r="Z896" s="371"/>
    </row>
    <row r="897">
      <c r="A897" s="371"/>
      <c r="B897" s="307"/>
      <c r="C897" s="307"/>
      <c r="D897" s="307"/>
      <c r="E897" s="307"/>
      <c r="F897" s="371"/>
      <c r="G897" s="307"/>
      <c r="H897" s="371"/>
      <c r="I897" s="371"/>
      <c r="J897" s="371"/>
      <c r="K897" s="371"/>
      <c r="L897" s="371"/>
      <c r="M897" s="371"/>
      <c r="N897" s="371"/>
      <c r="O897" s="371"/>
      <c r="P897" s="371"/>
      <c r="Q897" s="371"/>
      <c r="R897" s="371"/>
      <c r="S897" s="371"/>
      <c r="T897" s="371"/>
      <c r="U897" s="371"/>
      <c r="V897" s="371"/>
      <c r="W897" s="371"/>
      <c r="X897" s="371"/>
      <c r="Y897" s="371"/>
      <c r="Z897" s="371"/>
    </row>
    <row r="898">
      <c r="A898" s="371"/>
      <c r="B898" s="307"/>
      <c r="C898" s="307"/>
      <c r="D898" s="307"/>
      <c r="E898" s="307"/>
      <c r="F898" s="371"/>
      <c r="G898" s="307"/>
      <c r="H898" s="371"/>
      <c r="I898" s="371"/>
      <c r="J898" s="371"/>
      <c r="K898" s="371"/>
      <c r="L898" s="371"/>
      <c r="M898" s="371"/>
      <c r="N898" s="371"/>
      <c r="O898" s="371"/>
      <c r="P898" s="371"/>
      <c r="Q898" s="371"/>
      <c r="R898" s="371"/>
      <c r="S898" s="371"/>
      <c r="T898" s="371"/>
      <c r="U898" s="371"/>
      <c r="V898" s="371"/>
      <c r="W898" s="371"/>
      <c r="X898" s="371"/>
      <c r="Y898" s="371"/>
      <c r="Z898" s="371"/>
    </row>
    <row r="899">
      <c r="A899" s="371"/>
      <c r="B899" s="307"/>
      <c r="C899" s="307"/>
      <c r="D899" s="307"/>
      <c r="E899" s="307"/>
      <c r="F899" s="371"/>
      <c r="G899" s="307"/>
      <c r="H899" s="371"/>
      <c r="I899" s="371"/>
      <c r="J899" s="371"/>
      <c r="K899" s="371"/>
      <c r="L899" s="371"/>
      <c r="M899" s="371"/>
      <c r="N899" s="371"/>
      <c r="O899" s="371"/>
      <c r="P899" s="371"/>
      <c r="Q899" s="371"/>
      <c r="R899" s="371"/>
      <c r="S899" s="371"/>
      <c r="T899" s="371"/>
      <c r="U899" s="371"/>
      <c r="V899" s="371"/>
      <c r="W899" s="371"/>
      <c r="X899" s="371"/>
      <c r="Y899" s="371"/>
      <c r="Z899" s="371"/>
    </row>
    <row r="900">
      <c r="A900" s="371"/>
      <c r="B900" s="307"/>
      <c r="C900" s="307"/>
      <c r="D900" s="307"/>
      <c r="E900" s="307"/>
      <c r="F900" s="371"/>
      <c r="G900" s="307"/>
      <c r="H900" s="371"/>
      <c r="I900" s="371"/>
      <c r="J900" s="371"/>
      <c r="K900" s="371"/>
      <c r="L900" s="371"/>
      <c r="M900" s="371"/>
      <c r="N900" s="371"/>
      <c r="O900" s="371"/>
      <c r="P900" s="371"/>
      <c r="Q900" s="371"/>
      <c r="R900" s="371"/>
      <c r="S900" s="371"/>
      <c r="T900" s="371"/>
      <c r="U900" s="371"/>
      <c r="V900" s="371"/>
      <c r="W900" s="371"/>
      <c r="X900" s="371"/>
      <c r="Y900" s="371"/>
      <c r="Z900" s="371"/>
    </row>
    <row r="901">
      <c r="A901" s="371"/>
      <c r="B901" s="307"/>
      <c r="C901" s="307"/>
      <c r="D901" s="307"/>
      <c r="E901" s="307"/>
      <c r="F901" s="371"/>
      <c r="G901" s="307"/>
      <c r="H901" s="371"/>
      <c r="I901" s="371"/>
      <c r="J901" s="371"/>
      <c r="K901" s="371"/>
      <c r="L901" s="371"/>
      <c r="M901" s="371"/>
      <c r="N901" s="371"/>
      <c r="O901" s="371"/>
      <c r="P901" s="371"/>
      <c r="Q901" s="371"/>
      <c r="R901" s="371"/>
      <c r="S901" s="371"/>
      <c r="T901" s="371"/>
      <c r="U901" s="371"/>
      <c r="V901" s="371"/>
      <c r="W901" s="371"/>
      <c r="X901" s="371"/>
      <c r="Y901" s="371"/>
      <c r="Z901" s="371"/>
    </row>
    <row r="902">
      <c r="A902" s="371"/>
      <c r="B902" s="307"/>
      <c r="C902" s="307"/>
      <c r="D902" s="307"/>
      <c r="E902" s="307"/>
      <c r="F902" s="371"/>
      <c r="G902" s="307"/>
      <c r="H902" s="371"/>
      <c r="I902" s="371"/>
      <c r="J902" s="371"/>
      <c r="K902" s="371"/>
      <c r="L902" s="371"/>
      <c r="M902" s="371"/>
      <c r="N902" s="371"/>
      <c r="O902" s="371"/>
      <c r="P902" s="371"/>
      <c r="Q902" s="371"/>
      <c r="R902" s="371"/>
      <c r="S902" s="371"/>
      <c r="T902" s="371"/>
      <c r="U902" s="371"/>
      <c r="V902" s="371"/>
      <c r="W902" s="371"/>
      <c r="X902" s="371"/>
      <c r="Y902" s="371"/>
      <c r="Z902" s="371"/>
    </row>
    <row r="903">
      <c r="A903" s="371"/>
      <c r="B903" s="307"/>
      <c r="C903" s="307"/>
      <c r="D903" s="307"/>
      <c r="E903" s="307"/>
      <c r="F903" s="371"/>
      <c r="G903" s="307"/>
      <c r="H903" s="371"/>
      <c r="I903" s="371"/>
      <c r="J903" s="371"/>
      <c r="K903" s="371"/>
      <c r="L903" s="371"/>
      <c r="M903" s="371"/>
      <c r="N903" s="371"/>
      <c r="O903" s="371"/>
      <c r="P903" s="371"/>
      <c r="Q903" s="371"/>
      <c r="R903" s="371"/>
      <c r="S903" s="371"/>
      <c r="T903" s="371"/>
      <c r="U903" s="371"/>
      <c r="V903" s="371"/>
      <c r="W903" s="371"/>
      <c r="X903" s="371"/>
      <c r="Y903" s="371"/>
      <c r="Z903" s="371"/>
    </row>
    <row r="904">
      <c r="A904" s="371"/>
      <c r="B904" s="307"/>
      <c r="C904" s="307"/>
      <c r="D904" s="307"/>
      <c r="E904" s="307"/>
      <c r="F904" s="371"/>
      <c r="G904" s="307"/>
      <c r="H904" s="371"/>
      <c r="I904" s="371"/>
      <c r="J904" s="371"/>
      <c r="K904" s="371"/>
      <c r="L904" s="371"/>
      <c r="M904" s="371"/>
      <c r="N904" s="371"/>
      <c r="O904" s="371"/>
      <c r="P904" s="371"/>
      <c r="Q904" s="371"/>
      <c r="R904" s="371"/>
      <c r="S904" s="371"/>
      <c r="T904" s="371"/>
      <c r="U904" s="371"/>
      <c r="V904" s="371"/>
      <c r="W904" s="371"/>
      <c r="X904" s="371"/>
      <c r="Y904" s="371"/>
      <c r="Z904" s="371"/>
    </row>
    <row r="905">
      <c r="A905" s="371"/>
      <c r="B905" s="307"/>
      <c r="C905" s="307"/>
      <c r="D905" s="307"/>
      <c r="E905" s="307"/>
      <c r="F905" s="371"/>
      <c r="G905" s="307"/>
      <c r="H905" s="371"/>
      <c r="I905" s="371"/>
      <c r="J905" s="371"/>
      <c r="K905" s="371"/>
      <c r="L905" s="371"/>
      <c r="M905" s="371"/>
      <c r="N905" s="371"/>
      <c r="O905" s="371"/>
      <c r="P905" s="371"/>
      <c r="Q905" s="371"/>
      <c r="R905" s="371"/>
      <c r="S905" s="371"/>
      <c r="T905" s="371"/>
      <c r="U905" s="371"/>
      <c r="V905" s="371"/>
      <c r="W905" s="371"/>
      <c r="X905" s="371"/>
      <c r="Y905" s="371"/>
      <c r="Z905" s="371"/>
    </row>
    <row r="906">
      <c r="A906" s="371"/>
      <c r="B906" s="307"/>
      <c r="C906" s="307"/>
      <c r="D906" s="307"/>
      <c r="E906" s="307"/>
      <c r="F906" s="371"/>
      <c r="G906" s="307"/>
      <c r="H906" s="371"/>
      <c r="I906" s="371"/>
      <c r="J906" s="371"/>
      <c r="K906" s="371"/>
      <c r="L906" s="371"/>
      <c r="M906" s="371"/>
      <c r="N906" s="371"/>
      <c r="O906" s="371"/>
      <c r="P906" s="371"/>
      <c r="Q906" s="371"/>
      <c r="R906" s="371"/>
      <c r="S906" s="371"/>
      <c r="T906" s="371"/>
      <c r="U906" s="371"/>
      <c r="V906" s="371"/>
      <c r="W906" s="371"/>
      <c r="X906" s="371"/>
      <c r="Y906" s="371"/>
      <c r="Z906" s="371"/>
    </row>
    <row r="907">
      <c r="A907" s="371"/>
      <c r="B907" s="307"/>
      <c r="C907" s="307"/>
      <c r="D907" s="307"/>
      <c r="E907" s="307"/>
      <c r="F907" s="371"/>
      <c r="G907" s="307"/>
      <c r="H907" s="371"/>
      <c r="I907" s="371"/>
      <c r="J907" s="371"/>
      <c r="K907" s="371"/>
      <c r="L907" s="371"/>
      <c r="M907" s="371"/>
      <c r="N907" s="371"/>
      <c r="O907" s="371"/>
      <c r="P907" s="371"/>
      <c r="Q907" s="371"/>
      <c r="R907" s="371"/>
      <c r="S907" s="371"/>
      <c r="T907" s="371"/>
      <c r="U907" s="371"/>
      <c r="V907" s="371"/>
      <c r="W907" s="371"/>
      <c r="X907" s="371"/>
      <c r="Y907" s="371"/>
      <c r="Z907" s="371"/>
    </row>
    <row r="908">
      <c r="A908" s="371"/>
      <c r="B908" s="307"/>
      <c r="C908" s="307"/>
      <c r="D908" s="307"/>
      <c r="E908" s="307"/>
      <c r="F908" s="371"/>
      <c r="G908" s="307"/>
      <c r="H908" s="371"/>
      <c r="I908" s="371"/>
      <c r="J908" s="371"/>
      <c r="K908" s="371"/>
      <c r="L908" s="371"/>
      <c r="M908" s="371"/>
      <c r="N908" s="371"/>
      <c r="O908" s="371"/>
      <c r="P908" s="371"/>
      <c r="Q908" s="371"/>
      <c r="R908" s="371"/>
      <c r="S908" s="371"/>
      <c r="T908" s="371"/>
      <c r="U908" s="371"/>
      <c r="V908" s="371"/>
      <c r="W908" s="371"/>
      <c r="X908" s="371"/>
      <c r="Y908" s="371"/>
      <c r="Z908" s="371"/>
    </row>
    <row r="909">
      <c r="A909" s="371"/>
      <c r="B909" s="307"/>
      <c r="C909" s="307"/>
      <c r="D909" s="307"/>
      <c r="E909" s="307"/>
      <c r="F909" s="371"/>
      <c r="G909" s="307"/>
      <c r="H909" s="371"/>
      <c r="I909" s="371"/>
      <c r="J909" s="371"/>
      <c r="K909" s="371"/>
      <c r="L909" s="371"/>
      <c r="M909" s="371"/>
      <c r="N909" s="371"/>
      <c r="O909" s="371"/>
      <c r="P909" s="371"/>
      <c r="Q909" s="371"/>
      <c r="R909" s="371"/>
      <c r="S909" s="371"/>
      <c r="T909" s="371"/>
      <c r="U909" s="371"/>
      <c r="V909" s="371"/>
      <c r="W909" s="371"/>
      <c r="X909" s="371"/>
      <c r="Y909" s="371"/>
      <c r="Z909" s="371"/>
    </row>
    <row r="910">
      <c r="A910" s="371"/>
      <c r="B910" s="307"/>
      <c r="C910" s="307"/>
      <c r="D910" s="307"/>
      <c r="E910" s="307"/>
      <c r="F910" s="371"/>
      <c r="G910" s="307"/>
      <c r="H910" s="371"/>
      <c r="I910" s="371"/>
      <c r="J910" s="371"/>
      <c r="K910" s="371"/>
      <c r="L910" s="371"/>
      <c r="M910" s="371"/>
      <c r="N910" s="371"/>
      <c r="O910" s="371"/>
      <c r="P910" s="371"/>
      <c r="Q910" s="371"/>
      <c r="R910" s="371"/>
      <c r="S910" s="371"/>
      <c r="T910" s="371"/>
      <c r="U910" s="371"/>
      <c r="V910" s="371"/>
      <c r="W910" s="371"/>
      <c r="X910" s="371"/>
      <c r="Y910" s="371"/>
      <c r="Z910" s="371"/>
    </row>
    <row r="911">
      <c r="A911" s="371"/>
      <c r="B911" s="307"/>
      <c r="C911" s="307"/>
      <c r="D911" s="307"/>
      <c r="E911" s="307"/>
      <c r="F911" s="371"/>
      <c r="G911" s="307"/>
      <c r="H911" s="371"/>
      <c r="I911" s="371"/>
      <c r="J911" s="371"/>
      <c r="K911" s="371"/>
      <c r="L911" s="371"/>
      <c r="M911" s="371"/>
      <c r="N911" s="371"/>
      <c r="O911" s="371"/>
      <c r="P911" s="371"/>
      <c r="Q911" s="371"/>
      <c r="R911" s="371"/>
      <c r="S911" s="371"/>
      <c r="T911" s="371"/>
      <c r="U911" s="371"/>
      <c r="V911" s="371"/>
      <c r="W911" s="371"/>
      <c r="X911" s="371"/>
      <c r="Y911" s="371"/>
      <c r="Z911" s="371"/>
    </row>
    <row r="912">
      <c r="A912" s="371"/>
      <c r="B912" s="307"/>
      <c r="C912" s="307"/>
      <c r="D912" s="307"/>
      <c r="E912" s="307"/>
      <c r="F912" s="371"/>
      <c r="G912" s="307"/>
      <c r="H912" s="371"/>
      <c r="I912" s="371"/>
      <c r="J912" s="371"/>
      <c r="K912" s="371"/>
      <c r="L912" s="371"/>
      <c r="M912" s="371"/>
      <c r="N912" s="371"/>
      <c r="O912" s="371"/>
      <c r="P912" s="371"/>
      <c r="Q912" s="371"/>
      <c r="R912" s="371"/>
      <c r="S912" s="371"/>
      <c r="T912" s="371"/>
      <c r="U912" s="371"/>
      <c r="V912" s="371"/>
      <c r="W912" s="371"/>
      <c r="X912" s="371"/>
      <c r="Y912" s="371"/>
      <c r="Z912" s="371"/>
    </row>
    <row r="913">
      <c r="A913" s="371"/>
      <c r="B913" s="307"/>
      <c r="C913" s="307"/>
      <c r="D913" s="307"/>
      <c r="E913" s="307"/>
      <c r="F913" s="371"/>
      <c r="G913" s="307"/>
      <c r="H913" s="371"/>
      <c r="I913" s="371"/>
      <c r="J913" s="371"/>
      <c r="K913" s="371"/>
      <c r="L913" s="371"/>
      <c r="M913" s="371"/>
      <c r="N913" s="371"/>
      <c r="O913" s="371"/>
      <c r="P913" s="371"/>
      <c r="Q913" s="371"/>
      <c r="R913" s="371"/>
      <c r="S913" s="371"/>
      <c r="T913" s="371"/>
      <c r="U913" s="371"/>
      <c r="V913" s="371"/>
      <c r="W913" s="371"/>
      <c r="X913" s="371"/>
      <c r="Y913" s="371"/>
      <c r="Z913" s="371"/>
    </row>
    <row r="914">
      <c r="A914" s="371"/>
      <c r="B914" s="307"/>
      <c r="C914" s="307"/>
      <c r="D914" s="307"/>
      <c r="E914" s="307"/>
      <c r="F914" s="371"/>
      <c r="G914" s="307"/>
      <c r="H914" s="371"/>
      <c r="I914" s="371"/>
      <c r="J914" s="371"/>
      <c r="K914" s="371"/>
      <c r="L914" s="371"/>
      <c r="M914" s="371"/>
      <c r="N914" s="371"/>
      <c r="O914" s="371"/>
      <c r="P914" s="371"/>
      <c r="Q914" s="371"/>
      <c r="R914" s="371"/>
      <c r="S914" s="371"/>
      <c r="T914" s="371"/>
      <c r="U914" s="371"/>
      <c r="V914" s="371"/>
      <c r="W914" s="371"/>
      <c r="X914" s="371"/>
      <c r="Y914" s="371"/>
      <c r="Z914" s="371"/>
    </row>
    <row r="915">
      <c r="A915" s="371"/>
      <c r="B915" s="307"/>
      <c r="C915" s="307"/>
      <c r="D915" s="307"/>
      <c r="E915" s="307"/>
      <c r="F915" s="371"/>
      <c r="G915" s="307"/>
      <c r="H915" s="371"/>
      <c r="I915" s="371"/>
      <c r="J915" s="371"/>
      <c r="K915" s="371"/>
      <c r="L915" s="371"/>
      <c r="M915" s="371"/>
      <c r="N915" s="371"/>
      <c r="O915" s="371"/>
      <c r="P915" s="371"/>
      <c r="Q915" s="371"/>
      <c r="R915" s="371"/>
      <c r="S915" s="371"/>
      <c r="T915" s="371"/>
      <c r="U915" s="371"/>
      <c r="V915" s="371"/>
      <c r="W915" s="371"/>
      <c r="X915" s="371"/>
      <c r="Y915" s="371"/>
      <c r="Z915" s="371"/>
    </row>
    <row r="916">
      <c r="A916" s="371"/>
      <c r="B916" s="307"/>
      <c r="C916" s="307"/>
      <c r="D916" s="307"/>
      <c r="E916" s="307"/>
      <c r="F916" s="371"/>
      <c r="G916" s="307"/>
      <c r="H916" s="371"/>
      <c r="I916" s="371"/>
      <c r="J916" s="371"/>
      <c r="K916" s="371"/>
      <c r="L916" s="371"/>
      <c r="M916" s="371"/>
      <c r="N916" s="371"/>
      <c r="O916" s="371"/>
      <c r="P916" s="371"/>
      <c r="Q916" s="371"/>
      <c r="R916" s="371"/>
      <c r="S916" s="371"/>
      <c r="T916" s="371"/>
      <c r="U916" s="371"/>
      <c r="V916" s="371"/>
      <c r="W916" s="371"/>
      <c r="X916" s="371"/>
      <c r="Y916" s="371"/>
      <c r="Z916" s="371"/>
    </row>
    <row r="917">
      <c r="A917" s="371"/>
      <c r="B917" s="307"/>
      <c r="C917" s="307"/>
      <c r="D917" s="307"/>
      <c r="E917" s="307"/>
      <c r="F917" s="371"/>
      <c r="G917" s="307"/>
      <c r="H917" s="371"/>
      <c r="I917" s="371"/>
      <c r="J917" s="371"/>
      <c r="K917" s="371"/>
      <c r="L917" s="371"/>
      <c r="M917" s="371"/>
      <c r="N917" s="371"/>
      <c r="O917" s="371"/>
      <c r="P917" s="371"/>
      <c r="Q917" s="371"/>
      <c r="R917" s="371"/>
      <c r="S917" s="371"/>
      <c r="T917" s="371"/>
      <c r="U917" s="371"/>
      <c r="V917" s="371"/>
      <c r="W917" s="371"/>
      <c r="X917" s="371"/>
      <c r="Y917" s="371"/>
      <c r="Z917" s="371"/>
    </row>
    <row r="918">
      <c r="A918" s="371"/>
      <c r="B918" s="307"/>
      <c r="C918" s="307"/>
      <c r="D918" s="307"/>
      <c r="E918" s="307"/>
      <c r="F918" s="371"/>
      <c r="G918" s="307"/>
      <c r="H918" s="371"/>
      <c r="I918" s="371"/>
      <c r="J918" s="371"/>
      <c r="K918" s="371"/>
      <c r="L918" s="371"/>
      <c r="M918" s="371"/>
      <c r="N918" s="371"/>
      <c r="O918" s="371"/>
      <c r="P918" s="371"/>
      <c r="Q918" s="371"/>
      <c r="R918" s="371"/>
      <c r="S918" s="371"/>
      <c r="T918" s="371"/>
      <c r="U918" s="371"/>
      <c r="V918" s="371"/>
      <c r="W918" s="371"/>
      <c r="X918" s="371"/>
      <c r="Y918" s="371"/>
      <c r="Z918" s="371"/>
    </row>
    <row r="919">
      <c r="A919" s="371"/>
      <c r="B919" s="307"/>
      <c r="C919" s="307"/>
      <c r="D919" s="307"/>
      <c r="E919" s="307"/>
      <c r="F919" s="371"/>
      <c r="G919" s="307"/>
      <c r="H919" s="371"/>
      <c r="I919" s="371"/>
      <c r="J919" s="371"/>
      <c r="K919" s="371"/>
      <c r="L919" s="371"/>
      <c r="M919" s="371"/>
      <c r="N919" s="371"/>
      <c r="O919" s="371"/>
      <c r="P919" s="371"/>
      <c r="Q919" s="371"/>
      <c r="R919" s="371"/>
      <c r="S919" s="371"/>
      <c r="T919" s="371"/>
      <c r="U919" s="371"/>
      <c r="V919" s="371"/>
      <c r="W919" s="371"/>
      <c r="X919" s="371"/>
      <c r="Y919" s="371"/>
      <c r="Z919" s="371"/>
    </row>
    <row r="920">
      <c r="A920" s="371"/>
      <c r="B920" s="307"/>
      <c r="C920" s="307"/>
      <c r="D920" s="307"/>
      <c r="E920" s="307"/>
      <c r="F920" s="371"/>
      <c r="G920" s="307"/>
      <c r="H920" s="371"/>
      <c r="I920" s="371"/>
      <c r="J920" s="371"/>
      <c r="K920" s="371"/>
      <c r="L920" s="371"/>
      <c r="M920" s="371"/>
      <c r="N920" s="371"/>
      <c r="O920" s="371"/>
      <c r="P920" s="371"/>
      <c r="Q920" s="371"/>
      <c r="R920" s="371"/>
      <c r="S920" s="371"/>
      <c r="T920" s="371"/>
      <c r="U920" s="371"/>
      <c r="V920" s="371"/>
      <c r="W920" s="371"/>
      <c r="X920" s="371"/>
      <c r="Y920" s="371"/>
      <c r="Z920" s="371"/>
    </row>
    <row r="921">
      <c r="A921" s="371"/>
      <c r="B921" s="307"/>
      <c r="C921" s="307"/>
      <c r="D921" s="307"/>
      <c r="E921" s="307"/>
      <c r="F921" s="371"/>
      <c r="G921" s="307"/>
      <c r="H921" s="371"/>
      <c r="I921" s="371"/>
      <c r="J921" s="371"/>
      <c r="K921" s="371"/>
      <c r="L921" s="371"/>
      <c r="M921" s="371"/>
      <c r="N921" s="371"/>
      <c r="O921" s="371"/>
      <c r="P921" s="371"/>
      <c r="Q921" s="371"/>
      <c r="R921" s="371"/>
      <c r="S921" s="371"/>
      <c r="T921" s="371"/>
      <c r="U921" s="371"/>
      <c r="V921" s="371"/>
      <c r="W921" s="371"/>
      <c r="X921" s="371"/>
      <c r="Y921" s="371"/>
      <c r="Z921" s="371"/>
    </row>
    <row r="922">
      <c r="A922" s="371"/>
      <c r="B922" s="307"/>
      <c r="C922" s="307"/>
      <c r="D922" s="307"/>
      <c r="E922" s="307"/>
      <c r="F922" s="371"/>
      <c r="G922" s="307"/>
      <c r="H922" s="371"/>
      <c r="I922" s="371"/>
      <c r="J922" s="371"/>
      <c r="K922" s="371"/>
      <c r="L922" s="371"/>
      <c r="M922" s="371"/>
      <c r="N922" s="371"/>
      <c r="O922" s="371"/>
      <c r="P922" s="371"/>
      <c r="Q922" s="371"/>
      <c r="R922" s="371"/>
      <c r="S922" s="371"/>
      <c r="T922" s="371"/>
      <c r="U922" s="371"/>
      <c r="V922" s="371"/>
      <c r="W922" s="371"/>
      <c r="X922" s="371"/>
      <c r="Y922" s="371"/>
      <c r="Z922" s="371"/>
    </row>
    <row r="923">
      <c r="A923" s="371"/>
      <c r="B923" s="307"/>
      <c r="C923" s="307"/>
      <c r="D923" s="307"/>
      <c r="E923" s="307"/>
      <c r="F923" s="371"/>
      <c r="G923" s="307"/>
      <c r="H923" s="371"/>
      <c r="I923" s="371"/>
      <c r="J923" s="371"/>
      <c r="K923" s="371"/>
      <c r="L923" s="371"/>
      <c r="M923" s="371"/>
      <c r="N923" s="371"/>
      <c r="O923" s="371"/>
      <c r="P923" s="371"/>
      <c r="Q923" s="371"/>
      <c r="R923" s="371"/>
      <c r="S923" s="371"/>
      <c r="T923" s="371"/>
      <c r="U923" s="371"/>
      <c r="V923" s="371"/>
      <c r="W923" s="371"/>
      <c r="X923" s="371"/>
      <c r="Y923" s="371"/>
      <c r="Z923" s="371"/>
    </row>
    <row r="924">
      <c r="A924" s="371"/>
      <c r="B924" s="307"/>
      <c r="C924" s="307"/>
      <c r="D924" s="307"/>
      <c r="E924" s="307"/>
      <c r="F924" s="371"/>
      <c r="G924" s="307"/>
      <c r="H924" s="371"/>
      <c r="I924" s="371"/>
      <c r="J924" s="371"/>
      <c r="K924" s="371"/>
      <c r="L924" s="371"/>
      <c r="M924" s="371"/>
      <c r="N924" s="371"/>
      <c r="O924" s="371"/>
      <c r="P924" s="371"/>
      <c r="Q924" s="371"/>
      <c r="R924" s="371"/>
      <c r="S924" s="371"/>
      <c r="T924" s="371"/>
      <c r="U924" s="371"/>
      <c r="V924" s="371"/>
      <c r="W924" s="371"/>
      <c r="X924" s="371"/>
      <c r="Y924" s="371"/>
      <c r="Z924" s="371"/>
    </row>
    <row r="925">
      <c r="A925" s="371"/>
      <c r="B925" s="307"/>
      <c r="C925" s="307"/>
      <c r="D925" s="307"/>
      <c r="E925" s="307"/>
      <c r="F925" s="371"/>
      <c r="G925" s="307"/>
      <c r="H925" s="371"/>
      <c r="I925" s="371"/>
      <c r="J925" s="371"/>
      <c r="K925" s="371"/>
      <c r="L925" s="371"/>
      <c r="M925" s="371"/>
      <c r="N925" s="371"/>
      <c r="O925" s="371"/>
      <c r="P925" s="371"/>
      <c r="Q925" s="371"/>
      <c r="R925" s="371"/>
      <c r="S925" s="371"/>
      <c r="T925" s="371"/>
      <c r="U925" s="371"/>
      <c r="V925" s="371"/>
      <c r="W925" s="371"/>
      <c r="X925" s="371"/>
      <c r="Y925" s="371"/>
      <c r="Z925" s="371"/>
    </row>
    <row r="926">
      <c r="A926" s="371"/>
      <c r="B926" s="307"/>
      <c r="C926" s="307"/>
      <c r="D926" s="307"/>
      <c r="E926" s="307"/>
      <c r="F926" s="371"/>
      <c r="G926" s="307"/>
      <c r="H926" s="371"/>
      <c r="I926" s="371"/>
      <c r="J926" s="371"/>
      <c r="K926" s="371"/>
      <c r="L926" s="371"/>
      <c r="M926" s="371"/>
      <c r="N926" s="371"/>
      <c r="O926" s="371"/>
      <c r="P926" s="371"/>
      <c r="Q926" s="371"/>
      <c r="R926" s="371"/>
      <c r="S926" s="371"/>
      <c r="T926" s="371"/>
      <c r="U926" s="371"/>
      <c r="V926" s="371"/>
      <c r="W926" s="371"/>
      <c r="X926" s="371"/>
      <c r="Y926" s="371"/>
      <c r="Z926" s="371"/>
    </row>
    <row r="927">
      <c r="A927" s="371"/>
      <c r="B927" s="307"/>
      <c r="C927" s="307"/>
      <c r="D927" s="307"/>
      <c r="E927" s="307"/>
      <c r="F927" s="371"/>
      <c r="G927" s="307"/>
      <c r="H927" s="371"/>
      <c r="I927" s="371"/>
      <c r="J927" s="371"/>
      <c r="K927" s="371"/>
      <c r="L927" s="371"/>
      <c r="M927" s="371"/>
      <c r="N927" s="371"/>
      <c r="O927" s="371"/>
      <c r="P927" s="371"/>
      <c r="Q927" s="371"/>
      <c r="R927" s="371"/>
      <c r="S927" s="371"/>
      <c r="T927" s="371"/>
      <c r="U927" s="371"/>
      <c r="V927" s="371"/>
      <c r="W927" s="371"/>
      <c r="X927" s="371"/>
      <c r="Y927" s="371"/>
      <c r="Z927" s="371"/>
    </row>
    <row r="928">
      <c r="A928" s="371"/>
      <c r="B928" s="307"/>
      <c r="C928" s="307"/>
      <c r="D928" s="307"/>
      <c r="E928" s="307"/>
      <c r="F928" s="371"/>
      <c r="G928" s="307"/>
      <c r="H928" s="371"/>
      <c r="I928" s="371"/>
      <c r="J928" s="371"/>
      <c r="K928" s="371"/>
      <c r="L928" s="371"/>
      <c r="M928" s="371"/>
      <c r="N928" s="371"/>
      <c r="O928" s="371"/>
      <c r="P928" s="371"/>
      <c r="Q928" s="371"/>
      <c r="R928" s="371"/>
      <c r="S928" s="371"/>
      <c r="T928" s="371"/>
      <c r="U928" s="371"/>
      <c r="V928" s="371"/>
      <c r="W928" s="371"/>
      <c r="X928" s="371"/>
      <c r="Y928" s="371"/>
      <c r="Z928" s="371"/>
    </row>
    <row r="929">
      <c r="A929" s="371"/>
      <c r="B929" s="307"/>
      <c r="C929" s="307"/>
      <c r="D929" s="307"/>
      <c r="E929" s="307"/>
      <c r="F929" s="371"/>
      <c r="G929" s="307"/>
      <c r="H929" s="371"/>
      <c r="I929" s="371"/>
      <c r="J929" s="371"/>
      <c r="K929" s="371"/>
      <c r="L929" s="371"/>
      <c r="M929" s="371"/>
      <c r="N929" s="371"/>
      <c r="O929" s="371"/>
      <c r="P929" s="371"/>
      <c r="Q929" s="371"/>
      <c r="R929" s="371"/>
      <c r="S929" s="371"/>
      <c r="T929" s="371"/>
      <c r="U929" s="371"/>
      <c r="V929" s="371"/>
      <c r="W929" s="371"/>
      <c r="X929" s="371"/>
      <c r="Y929" s="371"/>
      <c r="Z929" s="371"/>
    </row>
    <row r="930">
      <c r="A930" s="371"/>
      <c r="B930" s="307"/>
      <c r="C930" s="307"/>
      <c r="D930" s="307"/>
      <c r="E930" s="307"/>
      <c r="F930" s="371"/>
      <c r="G930" s="307"/>
      <c r="H930" s="371"/>
      <c r="I930" s="371"/>
      <c r="J930" s="371"/>
      <c r="K930" s="371"/>
      <c r="L930" s="371"/>
      <c r="M930" s="371"/>
      <c r="N930" s="371"/>
      <c r="O930" s="371"/>
      <c r="P930" s="371"/>
      <c r="Q930" s="371"/>
      <c r="R930" s="371"/>
      <c r="S930" s="371"/>
      <c r="T930" s="371"/>
      <c r="U930" s="371"/>
      <c r="V930" s="371"/>
      <c r="W930" s="371"/>
      <c r="X930" s="371"/>
      <c r="Y930" s="371"/>
      <c r="Z930" s="371"/>
    </row>
    <row r="931">
      <c r="A931" s="371"/>
      <c r="B931" s="307"/>
      <c r="C931" s="307"/>
      <c r="D931" s="307"/>
      <c r="E931" s="307"/>
      <c r="F931" s="371"/>
      <c r="G931" s="307"/>
      <c r="H931" s="371"/>
      <c r="I931" s="371"/>
      <c r="J931" s="371"/>
      <c r="K931" s="371"/>
      <c r="L931" s="371"/>
      <c r="M931" s="371"/>
      <c r="N931" s="371"/>
      <c r="O931" s="371"/>
      <c r="P931" s="371"/>
      <c r="Q931" s="371"/>
      <c r="R931" s="371"/>
      <c r="S931" s="371"/>
      <c r="T931" s="371"/>
      <c r="U931" s="371"/>
      <c r="V931" s="371"/>
      <c r="W931" s="371"/>
      <c r="X931" s="371"/>
      <c r="Y931" s="371"/>
      <c r="Z931" s="371"/>
    </row>
    <row r="932">
      <c r="A932" s="371"/>
      <c r="B932" s="307"/>
      <c r="C932" s="307"/>
      <c r="D932" s="307"/>
      <c r="E932" s="307"/>
      <c r="F932" s="371"/>
      <c r="G932" s="307"/>
      <c r="H932" s="371"/>
      <c r="I932" s="371"/>
      <c r="J932" s="371"/>
      <c r="K932" s="371"/>
      <c r="L932" s="371"/>
      <c r="M932" s="371"/>
      <c r="N932" s="371"/>
      <c r="O932" s="371"/>
      <c r="P932" s="371"/>
      <c r="Q932" s="371"/>
      <c r="R932" s="371"/>
      <c r="S932" s="371"/>
      <c r="T932" s="371"/>
      <c r="U932" s="371"/>
      <c r="V932" s="371"/>
      <c r="W932" s="371"/>
      <c r="X932" s="371"/>
      <c r="Y932" s="371"/>
      <c r="Z932" s="371"/>
    </row>
    <row r="933">
      <c r="A933" s="371"/>
      <c r="B933" s="307"/>
      <c r="C933" s="307"/>
      <c r="D933" s="307"/>
      <c r="E933" s="307"/>
      <c r="F933" s="371"/>
      <c r="G933" s="307"/>
      <c r="H933" s="371"/>
      <c r="I933" s="371"/>
      <c r="J933" s="371"/>
      <c r="K933" s="371"/>
      <c r="L933" s="371"/>
      <c r="M933" s="371"/>
      <c r="N933" s="371"/>
      <c r="O933" s="371"/>
      <c r="P933" s="371"/>
      <c r="Q933" s="371"/>
      <c r="R933" s="371"/>
      <c r="S933" s="371"/>
      <c r="T933" s="371"/>
      <c r="U933" s="371"/>
      <c r="V933" s="371"/>
      <c r="W933" s="371"/>
      <c r="X933" s="371"/>
      <c r="Y933" s="371"/>
      <c r="Z933" s="371"/>
    </row>
    <row r="934">
      <c r="A934" s="371"/>
      <c r="B934" s="307"/>
      <c r="C934" s="307"/>
      <c r="D934" s="307"/>
      <c r="E934" s="307"/>
      <c r="F934" s="371"/>
      <c r="G934" s="307"/>
      <c r="H934" s="371"/>
      <c r="I934" s="371"/>
      <c r="J934" s="371"/>
      <c r="K934" s="371"/>
      <c r="L934" s="371"/>
      <c r="M934" s="371"/>
      <c r="N934" s="371"/>
      <c r="O934" s="371"/>
      <c r="P934" s="371"/>
      <c r="Q934" s="371"/>
      <c r="R934" s="371"/>
      <c r="S934" s="371"/>
      <c r="T934" s="371"/>
      <c r="U934" s="371"/>
      <c r="V934" s="371"/>
      <c r="W934" s="371"/>
      <c r="X934" s="371"/>
      <c r="Y934" s="371"/>
      <c r="Z934" s="371"/>
    </row>
    <row r="935">
      <c r="A935" s="371"/>
      <c r="B935" s="307"/>
      <c r="C935" s="307"/>
      <c r="D935" s="307"/>
      <c r="E935" s="307"/>
      <c r="F935" s="371"/>
      <c r="G935" s="307"/>
      <c r="H935" s="371"/>
      <c r="I935" s="371"/>
      <c r="J935" s="371"/>
      <c r="K935" s="371"/>
      <c r="L935" s="371"/>
      <c r="M935" s="371"/>
      <c r="N935" s="371"/>
      <c r="O935" s="371"/>
      <c r="P935" s="371"/>
      <c r="Q935" s="371"/>
      <c r="R935" s="371"/>
      <c r="S935" s="371"/>
      <c r="T935" s="371"/>
      <c r="U935" s="371"/>
      <c r="V935" s="371"/>
      <c r="W935" s="371"/>
      <c r="X935" s="371"/>
      <c r="Y935" s="371"/>
      <c r="Z935" s="371"/>
    </row>
    <row r="936">
      <c r="A936" s="371"/>
      <c r="B936" s="307"/>
      <c r="C936" s="307"/>
      <c r="D936" s="307"/>
      <c r="E936" s="307"/>
      <c r="F936" s="371"/>
      <c r="G936" s="307"/>
      <c r="H936" s="371"/>
      <c r="I936" s="371"/>
      <c r="J936" s="371"/>
      <c r="K936" s="371"/>
      <c r="L936" s="371"/>
      <c r="M936" s="371"/>
      <c r="N936" s="371"/>
      <c r="O936" s="371"/>
      <c r="P936" s="371"/>
      <c r="Q936" s="371"/>
      <c r="R936" s="371"/>
      <c r="S936" s="371"/>
      <c r="T936" s="371"/>
      <c r="U936" s="371"/>
      <c r="V936" s="371"/>
      <c r="W936" s="371"/>
      <c r="X936" s="371"/>
      <c r="Y936" s="371"/>
      <c r="Z936" s="371"/>
    </row>
    <row r="937">
      <c r="A937" s="371"/>
      <c r="B937" s="307"/>
      <c r="C937" s="307"/>
      <c r="D937" s="307"/>
      <c r="E937" s="307"/>
      <c r="F937" s="371"/>
      <c r="G937" s="307"/>
      <c r="H937" s="371"/>
      <c r="I937" s="371"/>
      <c r="J937" s="371"/>
      <c r="K937" s="371"/>
      <c r="L937" s="371"/>
      <c r="M937" s="371"/>
      <c r="N937" s="371"/>
      <c r="O937" s="371"/>
      <c r="P937" s="371"/>
      <c r="Q937" s="371"/>
      <c r="R937" s="371"/>
      <c r="S937" s="371"/>
      <c r="T937" s="371"/>
      <c r="U937" s="371"/>
      <c r="V937" s="371"/>
      <c r="W937" s="371"/>
      <c r="X937" s="371"/>
      <c r="Y937" s="371"/>
      <c r="Z937" s="371"/>
    </row>
    <row r="938">
      <c r="A938" s="371"/>
      <c r="B938" s="307"/>
      <c r="C938" s="307"/>
      <c r="D938" s="307"/>
      <c r="E938" s="307"/>
      <c r="F938" s="371"/>
      <c r="G938" s="307"/>
      <c r="H938" s="371"/>
      <c r="I938" s="371"/>
      <c r="J938" s="371"/>
      <c r="K938" s="371"/>
      <c r="L938" s="371"/>
      <c r="M938" s="371"/>
      <c r="N938" s="371"/>
      <c r="O938" s="371"/>
      <c r="P938" s="371"/>
      <c r="Q938" s="371"/>
      <c r="R938" s="371"/>
      <c r="S938" s="371"/>
      <c r="T938" s="371"/>
      <c r="U938" s="371"/>
      <c r="V938" s="371"/>
      <c r="W938" s="371"/>
      <c r="X938" s="371"/>
      <c r="Y938" s="371"/>
      <c r="Z938" s="371"/>
    </row>
    <row r="939">
      <c r="A939" s="371"/>
      <c r="B939" s="307"/>
      <c r="C939" s="307"/>
      <c r="D939" s="307"/>
      <c r="E939" s="307"/>
      <c r="F939" s="371"/>
      <c r="G939" s="307"/>
      <c r="H939" s="371"/>
      <c r="I939" s="371"/>
      <c r="J939" s="371"/>
      <c r="K939" s="371"/>
      <c r="L939" s="371"/>
      <c r="M939" s="371"/>
      <c r="N939" s="371"/>
      <c r="O939" s="371"/>
      <c r="P939" s="371"/>
      <c r="Q939" s="371"/>
      <c r="R939" s="371"/>
      <c r="S939" s="371"/>
      <c r="T939" s="371"/>
      <c r="U939" s="371"/>
      <c r="V939" s="371"/>
      <c r="W939" s="371"/>
      <c r="X939" s="371"/>
      <c r="Y939" s="371"/>
      <c r="Z939" s="371"/>
    </row>
    <row r="940">
      <c r="A940" s="371"/>
      <c r="B940" s="307"/>
      <c r="C940" s="307"/>
      <c r="D940" s="307"/>
      <c r="E940" s="307"/>
      <c r="F940" s="371"/>
      <c r="G940" s="307"/>
      <c r="H940" s="371"/>
      <c r="I940" s="371"/>
      <c r="J940" s="371"/>
      <c r="K940" s="371"/>
      <c r="L940" s="371"/>
      <c r="M940" s="371"/>
      <c r="N940" s="371"/>
      <c r="O940" s="371"/>
      <c r="P940" s="371"/>
      <c r="Q940" s="371"/>
      <c r="R940" s="371"/>
      <c r="S940" s="371"/>
      <c r="T940" s="371"/>
      <c r="U940" s="371"/>
      <c r="V940" s="371"/>
      <c r="W940" s="371"/>
      <c r="X940" s="371"/>
      <c r="Y940" s="371"/>
      <c r="Z940" s="371"/>
    </row>
    <row r="941">
      <c r="A941" s="371"/>
      <c r="B941" s="307"/>
      <c r="C941" s="307"/>
      <c r="D941" s="307"/>
      <c r="E941" s="307"/>
      <c r="F941" s="371"/>
      <c r="G941" s="307"/>
      <c r="H941" s="371"/>
      <c r="I941" s="371"/>
      <c r="J941" s="371"/>
      <c r="K941" s="371"/>
      <c r="L941" s="371"/>
      <c r="M941" s="371"/>
      <c r="N941" s="371"/>
      <c r="O941" s="371"/>
      <c r="P941" s="371"/>
      <c r="Q941" s="371"/>
      <c r="R941" s="371"/>
      <c r="S941" s="371"/>
      <c r="T941" s="371"/>
      <c r="U941" s="371"/>
      <c r="V941" s="371"/>
      <c r="W941" s="371"/>
      <c r="X941" s="371"/>
      <c r="Y941" s="371"/>
      <c r="Z941" s="371"/>
    </row>
    <row r="942">
      <c r="A942" s="371"/>
      <c r="B942" s="307"/>
      <c r="C942" s="307"/>
      <c r="D942" s="307"/>
      <c r="E942" s="307"/>
      <c r="F942" s="371"/>
      <c r="G942" s="307"/>
      <c r="H942" s="371"/>
      <c r="I942" s="371"/>
      <c r="J942" s="371"/>
      <c r="K942" s="371"/>
      <c r="L942" s="371"/>
      <c r="M942" s="371"/>
      <c r="N942" s="371"/>
      <c r="O942" s="371"/>
      <c r="P942" s="371"/>
      <c r="Q942" s="371"/>
      <c r="R942" s="371"/>
      <c r="S942" s="371"/>
      <c r="T942" s="371"/>
      <c r="U942" s="371"/>
      <c r="V942" s="371"/>
      <c r="W942" s="371"/>
      <c r="X942" s="371"/>
      <c r="Y942" s="371"/>
      <c r="Z942" s="371"/>
    </row>
    <row r="943">
      <c r="A943" s="371"/>
      <c r="B943" s="307"/>
      <c r="C943" s="307"/>
      <c r="D943" s="307"/>
      <c r="E943" s="307"/>
      <c r="F943" s="371"/>
      <c r="G943" s="307"/>
      <c r="H943" s="371"/>
      <c r="I943" s="371"/>
      <c r="J943" s="371"/>
      <c r="K943" s="371"/>
      <c r="L943" s="371"/>
      <c r="M943" s="371"/>
      <c r="N943" s="371"/>
      <c r="O943" s="371"/>
      <c r="P943" s="371"/>
      <c r="Q943" s="371"/>
      <c r="R943" s="371"/>
      <c r="S943" s="371"/>
      <c r="T943" s="371"/>
      <c r="U943" s="371"/>
      <c r="V943" s="371"/>
      <c r="W943" s="371"/>
      <c r="X943" s="371"/>
      <c r="Y943" s="371"/>
      <c r="Z943" s="371"/>
    </row>
    <row r="944">
      <c r="A944" s="371"/>
      <c r="B944" s="307"/>
      <c r="C944" s="307"/>
      <c r="D944" s="307"/>
      <c r="E944" s="307"/>
      <c r="F944" s="371"/>
      <c r="G944" s="307"/>
      <c r="H944" s="371"/>
      <c r="I944" s="371"/>
      <c r="J944" s="371"/>
      <c r="K944" s="371"/>
      <c r="L944" s="371"/>
      <c r="M944" s="371"/>
      <c r="N944" s="371"/>
      <c r="O944" s="371"/>
      <c r="P944" s="371"/>
      <c r="Q944" s="371"/>
      <c r="R944" s="371"/>
      <c r="S944" s="371"/>
      <c r="T944" s="371"/>
      <c r="U944" s="371"/>
      <c r="V944" s="371"/>
      <c r="W944" s="371"/>
      <c r="X944" s="371"/>
      <c r="Y944" s="371"/>
      <c r="Z944" s="371"/>
    </row>
    <row r="945">
      <c r="A945" s="371"/>
      <c r="B945" s="307"/>
      <c r="C945" s="307"/>
      <c r="D945" s="307"/>
      <c r="E945" s="307"/>
      <c r="F945" s="371"/>
      <c r="G945" s="307"/>
      <c r="H945" s="371"/>
      <c r="I945" s="371"/>
      <c r="J945" s="371"/>
      <c r="K945" s="371"/>
      <c r="L945" s="371"/>
      <c r="M945" s="371"/>
      <c r="N945" s="371"/>
      <c r="O945" s="371"/>
      <c r="P945" s="371"/>
      <c r="Q945" s="371"/>
      <c r="R945" s="371"/>
      <c r="S945" s="371"/>
      <c r="T945" s="371"/>
      <c r="U945" s="371"/>
      <c r="V945" s="371"/>
      <c r="W945" s="371"/>
      <c r="X945" s="371"/>
      <c r="Y945" s="371"/>
      <c r="Z945" s="371"/>
    </row>
    <row r="946">
      <c r="A946" s="371"/>
      <c r="B946" s="307"/>
      <c r="C946" s="307"/>
      <c r="D946" s="307"/>
      <c r="E946" s="307"/>
      <c r="F946" s="371"/>
      <c r="G946" s="307"/>
      <c r="H946" s="371"/>
      <c r="I946" s="371"/>
      <c r="J946" s="371"/>
      <c r="K946" s="371"/>
      <c r="L946" s="371"/>
      <c r="M946" s="371"/>
      <c r="N946" s="371"/>
      <c r="O946" s="371"/>
      <c r="P946" s="371"/>
      <c r="Q946" s="371"/>
      <c r="R946" s="371"/>
      <c r="S946" s="371"/>
      <c r="T946" s="371"/>
      <c r="U946" s="371"/>
      <c r="V946" s="371"/>
      <c r="W946" s="371"/>
      <c r="X946" s="371"/>
      <c r="Y946" s="371"/>
      <c r="Z946" s="371"/>
    </row>
    <row r="947">
      <c r="A947" s="371"/>
      <c r="B947" s="307"/>
      <c r="C947" s="307"/>
      <c r="D947" s="307"/>
      <c r="E947" s="307"/>
      <c r="F947" s="371"/>
      <c r="G947" s="307"/>
      <c r="H947" s="371"/>
      <c r="I947" s="371"/>
      <c r="J947" s="371"/>
      <c r="K947" s="371"/>
      <c r="L947" s="371"/>
      <c r="M947" s="371"/>
      <c r="N947" s="371"/>
      <c r="O947" s="371"/>
      <c r="P947" s="371"/>
      <c r="Q947" s="371"/>
      <c r="R947" s="371"/>
      <c r="S947" s="371"/>
      <c r="T947" s="371"/>
      <c r="U947" s="371"/>
      <c r="V947" s="371"/>
      <c r="W947" s="371"/>
      <c r="X947" s="371"/>
      <c r="Y947" s="371"/>
      <c r="Z947" s="371"/>
    </row>
    <row r="948">
      <c r="A948" s="371"/>
      <c r="B948" s="307"/>
      <c r="C948" s="307"/>
      <c r="D948" s="307"/>
      <c r="E948" s="307"/>
      <c r="F948" s="371"/>
      <c r="G948" s="307"/>
      <c r="H948" s="371"/>
      <c r="I948" s="371"/>
      <c r="J948" s="371"/>
      <c r="K948" s="371"/>
      <c r="L948" s="371"/>
      <c r="M948" s="371"/>
      <c r="N948" s="371"/>
      <c r="O948" s="371"/>
      <c r="P948" s="371"/>
      <c r="Q948" s="371"/>
      <c r="R948" s="371"/>
      <c r="S948" s="371"/>
      <c r="T948" s="371"/>
      <c r="U948" s="371"/>
      <c r="V948" s="371"/>
      <c r="W948" s="371"/>
      <c r="X948" s="371"/>
      <c r="Y948" s="371"/>
      <c r="Z948" s="371"/>
    </row>
    <row r="949">
      <c r="A949" s="371"/>
      <c r="B949" s="307"/>
      <c r="C949" s="307"/>
      <c r="D949" s="307"/>
      <c r="E949" s="307"/>
      <c r="F949" s="371"/>
      <c r="G949" s="307"/>
      <c r="H949" s="371"/>
      <c r="I949" s="371"/>
      <c r="J949" s="371"/>
      <c r="K949" s="371"/>
      <c r="L949" s="371"/>
      <c r="M949" s="371"/>
      <c r="N949" s="371"/>
      <c r="O949" s="371"/>
      <c r="P949" s="371"/>
      <c r="Q949" s="371"/>
      <c r="R949" s="371"/>
      <c r="S949" s="371"/>
      <c r="T949" s="371"/>
      <c r="U949" s="371"/>
      <c r="V949" s="371"/>
      <c r="W949" s="371"/>
      <c r="X949" s="371"/>
      <c r="Y949" s="371"/>
      <c r="Z949" s="371"/>
    </row>
    <row r="950">
      <c r="A950" s="371"/>
      <c r="B950" s="307"/>
      <c r="C950" s="307"/>
      <c r="D950" s="307"/>
      <c r="E950" s="307"/>
      <c r="F950" s="371"/>
      <c r="G950" s="307"/>
      <c r="H950" s="371"/>
      <c r="I950" s="371"/>
      <c r="J950" s="371"/>
      <c r="K950" s="371"/>
      <c r="L950" s="371"/>
      <c r="M950" s="371"/>
      <c r="N950" s="371"/>
      <c r="O950" s="371"/>
      <c r="P950" s="371"/>
      <c r="Q950" s="371"/>
      <c r="R950" s="371"/>
      <c r="S950" s="371"/>
      <c r="T950" s="371"/>
      <c r="U950" s="371"/>
      <c r="V950" s="371"/>
      <c r="W950" s="371"/>
      <c r="X950" s="371"/>
      <c r="Y950" s="371"/>
      <c r="Z950" s="371"/>
    </row>
    <row r="951">
      <c r="A951" s="371"/>
      <c r="B951" s="307"/>
      <c r="C951" s="307"/>
      <c r="D951" s="307"/>
      <c r="E951" s="307"/>
      <c r="F951" s="371"/>
      <c r="G951" s="307"/>
      <c r="H951" s="371"/>
      <c r="I951" s="371"/>
      <c r="J951" s="371"/>
      <c r="K951" s="371"/>
      <c r="L951" s="371"/>
      <c r="M951" s="371"/>
      <c r="N951" s="371"/>
      <c r="O951" s="371"/>
      <c r="P951" s="371"/>
      <c r="Q951" s="371"/>
      <c r="R951" s="371"/>
      <c r="S951" s="371"/>
      <c r="T951" s="371"/>
      <c r="U951" s="371"/>
      <c r="V951" s="371"/>
      <c r="W951" s="371"/>
      <c r="X951" s="371"/>
      <c r="Y951" s="371"/>
      <c r="Z951" s="371"/>
    </row>
    <row r="952">
      <c r="A952" s="371"/>
      <c r="B952" s="307"/>
      <c r="C952" s="307"/>
      <c r="D952" s="307"/>
      <c r="E952" s="307"/>
      <c r="F952" s="371"/>
      <c r="G952" s="307"/>
      <c r="H952" s="371"/>
      <c r="I952" s="371"/>
      <c r="J952" s="371"/>
      <c r="K952" s="371"/>
      <c r="L952" s="371"/>
      <c r="M952" s="371"/>
      <c r="N952" s="371"/>
      <c r="O952" s="371"/>
      <c r="P952" s="371"/>
      <c r="Q952" s="371"/>
      <c r="R952" s="371"/>
      <c r="S952" s="371"/>
      <c r="T952" s="371"/>
      <c r="U952" s="371"/>
      <c r="V952" s="371"/>
      <c r="W952" s="371"/>
      <c r="X952" s="371"/>
      <c r="Y952" s="371"/>
      <c r="Z952" s="371"/>
    </row>
    <row r="953">
      <c r="A953" s="371"/>
      <c r="B953" s="307"/>
      <c r="C953" s="307"/>
      <c r="D953" s="307"/>
      <c r="E953" s="307"/>
      <c r="F953" s="371"/>
      <c r="G953" s="307"/>
      <c r="H953" s="371"/>
      <c r="I953" s="371"/>
      <c r="J953" s="371"/>
      <c r="K953" s="371"/>
      <c r="L953" s="371"/>
      <c r="M953" s="371"/>
      <c r="N953" s="371"/>
      <c r="O953" s="371"/>
      <c r="P953" s="371"/>
      <c r="Q953" s="371"/>
      <c r="R953" s="371"/>
      <c r="S953" s="371"/>
      <c r="T953" s="371"/>
      <c r="U953" s="371"/>
      <c r="V953" s="371"/>
      <c r="W953" s="371"/>
      <c r="X953" s="371"/>
      <c r="Y953" s="371"/>
      <c r="Z953" s="371"/>
    </row>
    <row r="954">
      <c r="A954" s="371"/>
      <c r="B954" s="307"/>
      <c r="C954" s="307"/>
      <c r="D954" s="307"/>
      <c r="E954" s="307"/>
      <c r="F954" s="371"/>
      <c r="G954" s="307"/>
      <c r="H954" s="371"/>
      <c r="I954" s="371"/>
      <c r="J954" s="371"/>
      <c r="K954" s="371"/>
      <c r="L954" s="371"/>
      <c r="M954" s="371"/>
      <c r="N954" s="371"/>
      <c r="O954" s="371"/>
      <c r="P954" s="371"/>
      <c r="Q954" s="371"/>
      <c r="R954" s="371"/>
      <c r="S954" s="371"/>
      <c r="T954" s="371"/>
      <c r="U954" s="371"/>
      <c r="V954" s="371"/>
      <c r="W954" s="371"/>
      <c r="X954" s="371"/>
      <c r="Y954" s="371"/>
      <c r="Z954" s="371"/>
    </row>
    <row r="955">
      <c r="A955" s="371"/>
      <c r="B955" s="307"/>
      <c r="C955" s="307"/>
      <c r="D955" s="307"/>
      <c r="E955" s="307"/>
      <c r="F955" s="371"/>
      <c r="G955" s="307"/>
      <c r="H955" s="371"/>
      <c r="I955" s="371"/>
      <c r="J955" s="371"/>
      <c r="K955" s="371"/>
      <c r="L955" s="371"/>
      <c r="M955" s="371"/>
      <c r="N955" s="371"/>
      <c r="O955" s="371"/>
      <c r="P955" s="371"/>
      <c r="Q955" s="371"/>
      <c r="R955" s="371"/>
      <c r="S955" s="371"/>
      <c r="T955" s="371"/>
      <c r="U955" s="371"/>
      <c r="V955" s="371"/>
      <c r="W955" s="371"/>
      <c r="X955" s="371"/>
      <c r="Y955" s="371"/>
      <c r="Z955" s="371"/>
    </row>
    <row r="956">
      <c r="A956" s="371"/>
      <c r="B956" s="307"/>
      <c r="C956" s="307"/>
      <c r="D956" s="307"/>
      <c r="E956" s="307"/>
      <c r="F956" s="371"/>
      <c r="G956" s="307"/>
      <c r="H956" s="371"/>
      <c r="I956" s="371"/>
      <c r="J956" s="371"/>
      <c r="K956" s="371"/>
      <c r="L956" s="371"/>
      <c r="M956" s="371"/>
      <c r="N956" s="371"/>
      <c r="O956" s="371"/>
      <c r="P956" s="371"/>
      <c r="Q956" s="371"/>
      <c r="R956" s="371"/>
      <c r="S956" s="371"/>
      <c r="T956" s="371"/>
      <c r="U956" s="371"/>
      <c r="V956" s="371"/>
      <c r="W956" s="371"/>
      <c r="X956" s="371"/>
      <c r="Y956" s="371"/>
      <c r="Z956" s="371"/>
    </row>
    <row r="957">
      <c r="A957" s="371"/>
      <c r="B957" s="307"/>
      <c r="C957" s="307"/>
      <c r="D957" s="307"/>
      <c r="E957" s="307"/>
      <c r="F957" s="371"/>
      <c r="G957" s="307"/>
      <c r="H957" s="371"/>
      <c r="I957" s="371"/>
      <c r="J957" s="371"/>
      <c r="K957" s="371"/>
      <c r="L957" s="371"/>
      <c r="M957" s="371"/>
      <c r="N957" s="371"/>
      <c r="O957" s="371"/>
      <c r="P957" s="371"/>
      <c r="Q957" s="371"/>
      <c r="R957" s="371"/>
      <c r="S957" s="371"/>
      <c r="T957" s="371"/>
      <c r="U957" s="371"/>
      <c r="V957" s="371"/>
      <c r="W957" s="371"/>
      <c r="X957" s="371"/>
      <c r="Y957" s="371"/>
      <c r="Z957" s="371"/>
    </row>
    <row r="958">
      <c r="A958" s="371"/>
      <c r="B958" s="307"/>
      <c r="C958" s="307"/>
      <c r="D958" s="307"/>
      <c r="E958" s="307"/>
      <c r="F958" s="371"/>
      <c r="G958" s="307"/>
      <c r="H958" s="371"/>
      <c r="I958" s="371"/>
      <c r="J958" s="371"/>
      <c r="K958" s="371"/>
      <c r="L958" s="371"/>
      <c r="M958" s="371"/>
      <c r="N958" s="371"/>
      <c r="O958" s="371"/>
      <c r="P958" s="371"/>
      <c r="Q958" s="371"/>
      <c r="R958" s="371"/>
      <c r="S958" s="371"/>
      <c r="T958" s="371"/>
      <c r="U958" s="371"/>
      <c r="V958" s="371"/>
      <c r="W958" s="371"/>
      <c r="X958" s="371"/>
      <c r="Y958" s="371"/>
      <c r="Z958" s="371"/>
    </row>
    <row r="959">
      <c r="A959" s="371"/>
      <c r="B959" s="307"/>
      <c r="C959" s="307"/>
      <c r="D959" s="307"/>
      <c r="E959" s="307"/>
      <c r="F959" s="371"/>
      <c r="G959" s="307"/>
      <c r="H959" s="371"/>
      <c r="I959" s="371"/>
      <c r="J959" s="371"/>
      <c r="K959" s="371"/>
      <c r="L959" s="371"/>
      <c r="M959" s="371"/>
      <c r="N959" s="371"/>
      <c r="O959" s="371"/>
      <c r="P959" s="371"/>
      <c r="Q959" s="371"/>
      <c r="R959" s="371"/>
      <c r="S959" s="371"/>
      <c r="T959" s="371"/>
      <c r="U959" s="371"/>
      <c r="V959" s="371"/>
      <c r="W959" s="371"/>
      <c r="X959" s="371"/>
      <c r="Y959" s="371"/>
      <c r="Z959" s="371"/>
    </row>
    <row r="960">
      <c r="A960" s="371"/>
      <c r="B960" s="307"/>
      <c r="C960" s="307"/>
      <c r="D960" s="307"/>
      <c r="E960" s="307"/>
      <c r="F960" s="371"/>
      <c r="G960" s="307"/>
      <c r="H960" s="371"/>
      <c r="I960" s="371"/>
      <c r="J960" s="371"/>
      <c r="K960" s="371"/>
      <c r="L960" s="371"/>
      <c r="M960" s="371"/>
      <c r="N960" s="371"/>
      <c r="O960" s="371"/>
      <c r="P960" s="371"/>
      <c r="Q960" s="371"/>
      <c r="R960" s="371"/>
      <c r="S960" s="371"/>
      <c r="T960" s="371"/>
      <c r="U960" s="371"/>
      <c r="V960" s="371"/>
      <c r="W960" s="371"/>
      <c r="X960" s="371"/>
      <c r="Y960" s="371"/>
      <c r="Z960" s="371"/>
    </row>
    <row r="961">
      <c r="A961" s="371"/>
      <c r="B961" s="307"/>
      <c r="C961" s="307"/>
      <c r="D961" s="307"/>
      <c r="E961" s="307"/>
      <c r="F961" s="371"/>
      <c r="G961" s="307"/>
      <c r="H961" s="371"/>
      <c r="I961" s="371"/>
      <c r="J961" s="371"/>
      <c r="K961" s="371"/>
      <c r="L961" s="371"/>
      <c r="M961" s="371"/>
      <c r="N961" s="371"/>
      <c r="O961" s="371"/>
      <c r="P961" s="371"/>
      <c r="Q961" s="371"/>
      <c r="R961" s="371"/>
      <c r="S961" s="371"/>
      <c r="T961" s="371"/>
      <c r="U961" s="371"/>
      <c r="V961" s="371"/>
      <c r="W961" s="371"/>
      <c r="X961" s="371"/>
      <c r="Y961" s="371"/>
      <c r="Z961" s="371"/>
    </row>
    <row r="962">
      <c r="A962" s="371"/>
      <c r="B962" s="307"/>
      <c r="C962" s="307"/>
      <c r="D962" s="307"/>
      <c r="E962" s="307"/>
      <c r="F962" s="371"/>
      <c r="G962" s="307"/>
      <c r="H962" s="371"/>
      <c r="I962" s="371"/>
      <c r="J962" s="371"/>
      <c r="K962" s="371"/>
      <c r="L962" s="371"/>
      <c r="M962" s="371"/>
      <c r="N962" s="371"/>
      <c r="O962" s="371"/>
      <c r="P962" s="371"/>
      <c r="Q962" s="371"/>
      <c r="R962" s="371"/>
      <c r="S962" s="371"/>
      <c r="T962" s="371"/>
      <c r="U962" s="371"/>
      <c r="V962" s="371"/>
      <c r="W962" s="371"/>
      <c r="X962" s="371"/>
      <c r="Y962" s="371"/>
      <c r="Z962" s="371"/>
    </row>
    <row r="963">
      <c r="A963" s="371"/>
      <c r="B963" s="307"/>
      <c r="C963" s="307"/>
      <c r="D963" s="307"/>
      <c r="E963" s="307"/>
      <c r="F963" s="371"/>
      <c r="G963" s="307"/>
      <c r="H963" s="371"/>
      <c r="I963" s="371"/>
      <c r="J963" s="371"/>
      <c r="K963" s="371"/>
      <c r="L963" s="371"/>
      <c r="M963" s="371"/>
      <c r="N963" s="371"/>
      <c r="O963" s="371"/>
      <c r="P963" s="371"/>
      <c r="Q963" s="371"/>
      <c r="R963" s="371"/>
      <c r="S963" s="371"/>
      <c r="T963" s="371"/>
      <c r="U963" s="371"/>
      <c r="V963" s="371"/>
      <c r="W963" s="371"/>
      <c r="X963" s="371"/>
      <c r="Y963" s="371"/>
      <c r="Z963" s="371"/>
    </row>
    <row r="964">
      <c r="A964" s="371"/>
      <c r="B964" s="307"/>
      <c r="C964" s="307"/>
      <c r="D964" s="307"/>
      <c r="E964" s="307"/>
      <c r="F964" s="371"/>
      <c r="G964" s="307"/>
      <c r="H964" s="371"/>
      <c r="I964" s="371"/>
      <c r="J964" s="371"/>
      <c r="K964" s="371"/>
      <c r="L964" s="371"/>
      <c r="M964" s="371"/>
      <c r="N964" s="371"/>
      <c r="O964" s="371"/>
      <c r="P964" s="371"/>
      <c r="Q964" s="371"/>
      <c r="R964" s="371"/>
      <c r="S964" s="371"/>
      <c r="T964" s="371"/>
      <c r="U964" s="371"/>
      <c r="V964" s="371"/>
      <c r="W964" s="371"/>
      <c r="X964" s="371"/>
      <c r="Y964" s="371"/>
      <c r="Z964" s="371"/>
    </row>
    <row r="965">
      <c r="A965" s="371"/>
      <c r="B965" s="307"/>
      <c r="C965" s="307"/>
      <c r="D965" s="307"/>
      <c r="E965" s="307"/>
      <c r="F965" s="371"/>
      <c r="G965" s="307"/>
      <c r="H965" s="371"/>
      <c r="I965" s="371"/>
      <c r="J965" s="371"/>
      <c r="K965" s="371"/>
      <c r="L965" s="371"/>
      <c r="M965" s="371"/>
      <c r="N965" s="371"/>
      <c r="O965" s="371"/>
      <c r="P965" s="371"/>
      <c r="Q965" s="371"/>
      <c r="R965" s="371"/>
      <c r="S965" s="371"/>
      <c r="T965" s="371"/>
      <c r="U965" s="371"/>
      <c r="V965" s="371"/>
      <c r="W965" s="371"/>
      <c r="X965" s="371"/>
      <c r="Y965" s="371"/>
      <c r="Z965" s="371"/>
    </row>
    <row r="966">
      <c r="A966" s="371"/>
      <c r="B966" s="307"/>
      <c r="C966" s="307"/>
      <c r="D966" s="307"/>
      <c r="E966" s="307"/>
      <c r="F966" s="371"/>
      <c r="G966" s="307"/>
      <c r="H966" s="371"/>
      <c r="I966" s="371"/>
      <c r="J966" s="371"/>
      <c r="K966" s="371"/>
      <c r="L966" s="371"/>
      <c r="M966" s="371"/>
      <c r="N966" s="371"/>
      <c r="O966" s="371"/>
      <c r="P966" s="371"/>
      <c r="Q966" s="371"/>
      <c r="R966" s="371"/>
      <c r="S966" s="371"/>
      <c r="T966" s="371"/>
      <c r="U966" s="371"/>
      <c r="V966" s="371"/>
      <c r="W966" s="371"/>
      <c r="X966" s="371"/>
      <c r="Y966" s="371"/>
      <c r="Z966" s="371"/>
    </row>
    <row r="967">
      <c r="A967" s="371"/>
      <c r="B967" s="307"/>
      <c r="C967" s="307"/>
      <c r="D967" s="307"/>
      <c r="E967" s="307"/>
      <c r="F967" s="371"/>
      <c r="G967" s="307"/>
      <c r="H967" s="371"/>
      <c r="I967" s="371"/>
      <c r="J967" s="371"/>
      <c r="K967" s="371"/>
      <c r="L967" s="371"/>
      <c r="M967" s="371"/>
      <c r="N967" s="371"/>
      <c r="O967" s="371"/>
      <c r="P967" s="371"/>
      <c r="Q967" s="371"/>
      <c r="R967" s="371"/>
      <c r="S967" s="371"/>
      <c r="T967" s="371"/>
      <c r="U967" s="371"/>
      <c r="V967" s="371"/>
      <c r="W967" s="371"/>
      <c r="X967" s="371"/>
      <c r="Y967" s="371"/>
      <c r="Z967" s="371"/>
    </row>
    <row r="968">
      <c r="A968" s="371"/>
      <c r="B968" s="307"/>
      <c r="C968" s="307"/>
      <c r="D968" s="307"/>
      <c r="E968" s="307"/>
      <c r="F968" s="371"/>
      <c r="G968" s="307"/>
      <c r="H968" s="371"/>
      <c r="I968" s="371"/>
      <c r="J968" s="371"/>
      <c r="K968" s="371"/>
      <c r="L968" s="371"/>
      <c r="M968" s="371"/>
      <c r="N968" s="371"/>
      <c r="O968" s="371"/>
      <c r="P968" s="371"/>
      <c r="Q968" s="371"/>
      <c r="R968" s="371"/>
      <c r="S968" s="371"/>
      <c r="T968" s="371"/>
      <c r="U968" s="371"/>
      <c r="V968" s="371"/>
      <c r="W968" s="371"/>
      <c r="X968" s="371"/>
      <c r="Y968" s="371"/>
      <c r="Z968" s="371"/>
    </row>
    <row r="969">
      <c r="A969" s="371"/>
      <c r="B969" s="307"/>
      <c r="C969" s="307"/>
      <c r="D969" s="307"/>
      <c r="E969" s="307"/>
      <c r="F969" s="371"/>
      <c r="G969" s="307"/>
      <c r="H969" s="371"/>
      <c r="I969" s="371"/>
      <c r="J969" s="371"/>
      <c r="K969" s="371"/>
      <c r="L969" s="371"/>
      <c r="M969" s="371"/>
      <c r="N969" s="371"/>
      <c r="O969" s="371"/>
      <c r="P969" s="371"/>
      <c r="Q969" s="371"/>
      <c r="R969" s="371"/>
      <c r="S969" s="371"/>
      <c r="T969" s="371"/>
      <c r="U969" s="371"/>
      <c r="V969" s="371"/>
      <c r="W969" s="371"/>
      <c r="X969" s="371"/>
      <c r="Y969" s="371"/>
      <c r="Z969" s="371"/>
    </row>
    <row r="970">
      <c r="A970" s="371"/>
      <c r="B970" s="307"/>
      <c r="C970" s="307"/>
      <c r="D970" s="307"/>
      <c r="E970" s="307"/>
      <c r="F970" s="371"/>
      <c r="G970" s="307"/>
      <c r="H970" s="371"/>
      <c r="I970" s="371"/>
      <c r="J970" s="371"/>
      <c r="K970" s="371"/>
      <c r="L970" s="371"/>
      <c r="M970" s="371"/>
      <c r="N970" s="371"/>
      <c r="O970" s="371"/>
      <c r="P970" s="371"/>
      <c r="Q970" s="371"/>
      <c r="R970" s="371"/>
      <c r="S970" s="371"/>
      <c r="T970" s="371"/>
      <c r="U970" s="371"/>
      <c r="V970" s="371"/>
      <c r="W970" s="371"/>
      <c r="X970" s="371"/>
      <c r="Y970" s="371"/>
      <c r="Z970" s="371"/>
    </row>
    <row r="971">
      <c r="A971" s="371"/>
      <c r="B971" s="307"/>
      <c r="C971" s="307"/>
      <c r="D971" s="307"/>
      <c r="E971" s="307"/>
      <c r="F971" s="371"/>
      <c r="G971" s="307"/>
      <c r="H971" s="371"/>
      <c r="I971" s="371"/>
      <c r="J971" s="371"/>
      <c r="K971" s="371"/>
      <c r="L971" s="371"/>
      <c r="M971" s="371"/>
      <c r="N971" s="371"/>
      <c r="O971" s="371"/>
      <c r="P971" s="371"/>
      <c r="Q971" s="371"/>
      <c r="R971" s="371"/>
      <c r="S971" s="371"/>
      <c r="T971" s="371"/>
      <c r="U971" s="371"/>
      <c r="V971" s="371"/>
      <c r="W971" s="371"/>
      <c r="X971" s="371"/>
      <c r="Y971" s="371"/>
      <c r="Z971" s="371"/>
    </row>
    <row r="972">
      <c r="A972" s="371"/>
      <c r="B972" s="307"/>
      <c r="C972" s="307"/>
      <c r="D972" s="307"/>
      <c r="E972" s="307"/>
      <c r="F972" s="371"/>
      <c r="G972" s="307"/>
      <c r="H972" s="371"/>
      <c r="I972" s="371"/>
      <c r="J972" s="371"/>
      <c r="K972" s="371"/>
      <c r="L972" s="371"/>
      <c r="M972" s="371"/>
      <c r="N972" s="371"/>
      <c r="O972" s="371"/>
      <c r="P972" s="371"/>
      <c r="Q972" s="371"/>
      <c r="R972" s="371"/>
      <c r="S972" s="371"/>
      <c r="T972" s="371"/>
      <c r="U972" s="371"/>
      <c r="V972" s="371"/>
      <c r="W972" s="371"/>
      <c r="X972" s="371"/>
      <c r="Y972" s="371"/>
      <c r="Z972" s="371"/>
    </row>
    <row r="973">
      <c r="A973" s="371"/>
      <c r="B973" s="307"/>
      <c r="C973" s="307"/>
      <c r="D973" s="307"/>
      <c r="E973" s="307"/>
      <c r="F973" s="371"/>
      <c r="G973" s="307"/>
      <c r="H973" s="371"/>
      <c r="I973" s="371"/>
      <c r="J973" s="371"/>
      <c r="K973" s="371"/>
      <c r="L973" s="371"/>
      <c r="M973" s="371"/>
      <c r="N973" s="371"/>
      <c r="O973" s="371"/>
      <c r="P973" s="371"/>
      <c r="Q973" s="371"/>
      <c r="R973" s="371"/>
      <c r="S973" s="371"/>
      <c r="T973" s="371"/>
      <c r="U973" s="371"/>
      <c r="V973" s="371"/>
      <c r="W973" s="371"/>
      <c r="X973" s="371"/>
      <c r="Y973" s="371"/>
      <c r="Z973" s="371"/>
    </row>
    <row r="974">
      <c r="A974" s="371"/>
      <c r="B974" s="307"/>
      <c r="C974" s="307"/>
      <c r="D974" s="307"/>
      <c r="E974" s="307"/>
      <c r="F974" s="371"/>
      <c r="G974" s="307"/>
      <c r="H974" s="371"/>
      <c r="I974" s="371"/>
      <c r="J974" s="371"/>
      <c r="K974" s="371"/>
      <c r="L974" s="371"/>
      <c r="M974" s="371"/>
      <c r="N974" s="371"/>
      <c r="O974" s="371"/>
      <c r="P974" s="371"/>
      <c r="Q974" s="371"/>
      <c r="R974" s="371"/>
      <c r="S974" s="371"/>
      <c r="T974" s="371"/>
      <c r="U974" s="371"/>
      <c r="V974" s="371"/>
      <c r="W974" s="371"/>
      <c r="X974" s="371"/>
      <c r="Y974" s="371"/>
      <c r="Z974" s="371"/>
    </row>
    <row r="975">
      <c r="A975" s="371"/>
      <c r="B975" s="307"/>
      <c r="C975" s="307"/>
      <c r="D975" s="307"/>
      <c r="E975" s="307"/>
      <c r="F975" s="371"/>
      <c r="G975" s="307"/>
      <c r="H975" s="371"/>
      <c r="I975" s="371"/>
      <c r="J975" s="371"/>
      <c r="K975" s="371"/>
      <c r="L975" s="371"/>
      <c r="M975" s="371"/>
      <c r="N975" s="371"/>
      <c r="O975" s="371"/>
      <c r="P975" s="371"/>
      <c r="Q975" s="371"/>
      <c r="R975" s="371"/>
      <c r="S975" s="371"/>
      <c r="T975" s="371"/>
      <c r="U975" s="371"/>
      <c r="V975" s="371"/>
      <c r="W975" s="371"/>
      <c r="X975" s="371"/>
      <c r="Y975" s="371"/>
      <c r="Z975" s="371"/>
    </row>
    <row r="976">
      <c r="A976" s="371"/>
      <c r="B976" s="307"/>
      <c r="C976" s="307"/>
      <c r="D976" s="307"/>
      <c r="E976" s="307"/>
      <c r="F976" s="371"/>
      <c r="G976" s="307"/>
      <c r="H976" s="371"/>
      <c r="I976" s="371"/>
      <c r="J976" s="371"/>
      <c r="K976" s="371"/>
      <c r="L976" s="371"/>
      <c r="M976" s="371"/>
      <c r="N976" s="371"/>
      <c r="O976" s="371"/>
      <c r="P976" s="371"/>
      <c r="Q976" s="371"/>
      <c r="R976" s="371"/>
      <c r="S976" s="371"/>
      <c r="T976" s="371"/>
      <c r="U976" s="371"/>
      <c r="V976" s="371"/>
      <c r="W976" s="371"/>
      <c r="X976" s="371"/>
      <c r="Y976" s="371"/>
      <c r="Z976" s="371"/>
    </row>
    <row r="977">
      <c r="A977" s="371"/>
      <c r="B977" s="307"/>
      <c r="C977" s="307"/>
      <c r="D977" s="307"/>
      <c r="E977" s="307"/>
      <c r="F977" s="371"/>
      <c r="G977" s="307"/>
      <c r="H977" s="371"/>
      <c r="I977" s="371"/>
      <c r="J977" s="371"/>
      <c r="K977" s="371"/>
      <c r="L977" s="371"/>
      <c r="M977" s="371"/>
      <c r="N977" s="371"/>
      <c r="O977" s="371"/>
      <c r="P977" s="371"/>
      <c r="Q977" s="371"/>
      <c r="R977" s="371"/>
      <c r="S977" s="371"/>
      <c r="T977" s="371"/>
      <c r="U977" s="371"/>
      <c r="V977" s="371"/>
      <c r="W977" s="371"/>
      <c r="X977" s="371"/>
      <c r="Y977" s="371"/>
      <c r="Z977" s="371"/>
    </row>
    <row r="978">
      <c r="A978" s="371"/>
      <c r="B978" s="307"/>
      <c r="C978" s="307"/>
      <c r="D978" s="307"/>
      <c r="E978" s="307"/>
      <c r="F978" s="371"/>
      <c r="G978" s="307"/>
      <c r="H978" s="371"/>
      <c r="I978" s="371"/>
      <c r="J978" s="371"/>
      <c r="K978" s="371"/>
      <c r="L978" s="371"/>
      <c r="M978" s="371"/>
      <c r="N978" s="371"/>
      <c r="O978" s="371"/>
      <c r="P978" s="371"/>
      <c r="Q978" s="371"/>
      <c r="R978" s="371"/>
      <c r="S978" s="371"/>
      <c r="T978" s="371"/>
      <c r="U978" s="371"/>
      <c r="V978" s="371"/>
      <c r="W978" s="371"/>
      <c r="X978" s="371"/>
      <c r="Y978" s="371"/>
      <c r="Z978" s="371"/>
    </row>
    <row r="979">
      <c r="A979" s="371"/>
      <c r="B979" s="307"/>
      <c r="C979" s="307"/>
      <c r="D979" s="307"/>
      <c r="E979" s="307"/>
      <c r="F979" s="371"/>
      <c r="G979" s="307"/>
      <c r="H979" s="371"/>
      <c r="I979" s="371"/>
      <c r="J979" s="371"/>
      <c r="K979" s="371"/>
      <c r="L979" s="371"/>
      <c r="M979" s="371"/>
      <c r="N979" s="371"/>
      <c r="O979" s="371"/>
      <c r="P979" s="371"/>
      <c r="Q979" s="371"/>
      <c r="R979" s="371"/>
      <c r="S979" s="371"/>
      <c r="T979" s="371"/>
      <c r="U979" s="371"/>
      <c r="V979" s="371"/>
      <c r="W979" s="371"/>
      <c r="X979" s="371"/>
      <c r="Y979" s="371"/>
      <c r="Z979" s="371"/>
    </row>
    <row r="980">
      <c r="A980" s="371"/>
      <c r="B980" s="307"/>
      <c r="C980" s="307"/>
      <c r="D980" s="307"/>
      <c r="E980" s="307"/>
      <c r="F980" s="371"/>
      <c r="G980" s="307"/>
      <c r="H980" s="371"/>
      <c r="I980" s="371"/>
      <c r="J980" s="371"/>
      <c r="K980" s="371"/>
      <c r="L980" s="371"/>
      <c r="M980" s="371"/>
      <c r="N980" s="371"/>
      <c r="O980" s="371"/>
      <c r="P980" s="371"/>
      <c r="Q980" s="371"/>
      <c r="R980" s="371"/>
      <c r="S980" s="371"/>
      <c r="T980" s="371"/>
      <c r="U980" s="371"/>
      <c r="V980" s="371"/>
      <c r="W980" s="371"/>
      <c r="X980" s="371"/>
      <c r="Y980" s="371"/>
      <c r="Z980" s="371"/>
    </row>
    <row r="981">
      <c r="A981" s="371"/>
      <c r="B981" s="307"/>
      <c r="C981" s="307"/>
      <c r="D981" s="307"/>
      <c r="E981" s="307"/>
      <c r="F981" s="371"/>
      <c r="G981" s="307"/>
      <c r="H981" s="371"/>
      <c r="I981" s="371"/>
      <c r="J981" s="371"/>
      <c r="K981" s="371"/>
      <c r="L981" s="371"/>
      <c r="M981" s="371"/>
      <c r="N981" s="371"/>
      <c r="O981" s="371"/>
      <c r="P981" s="371"/>
      <c r="Q981" s="371"/>
      <c r="R981" s="371"/>
      <c r="S981" s="371"/>
      <c r="T981" s="371"/>
      <c r="U981" s="371"/>
      <c r="V981" s="371"/>
      <c r="W981" s="371"/>
      <c r="X981" s="371"/>
      <c r="Y981" s="371"/>
      <c r="Z981" s="371"/>
    </row>
    <row r="982">
      <c r="A982" s="371"/>
      <c r="B982" s="307"/>
      <c r="C982" s="307"/>
      <c r="D982" s="307"/>
      <c r="E982" s="307"/>
      <c r="F982" s="371"/>
      <c r="G982" s="307"/>
      <c r="H982" s="371"/>
      <c r="I982" s="371"/>
      <c r="J982" s="371"/>
      <c r="K982" s="371"/>
      <c r="L982" s="371"/>
      <c r="M982" s="371"/>
      <c r="N982" s="371"/>
      <c r="O982" s="371"/>
      <c r="P982" s="371"/>
      <c r="Q982" s="371"/>
      <c r="R982" s="371"/>
      <c r="S982" s="371"/>
      <c r="T982" s="371"/>
      <c r="U982" s="371"/>
      <c r="V982" s="371"/>
      <c r="W982" s="371"/>
      <c r="X982" s="371"/>
      <c r="Y982" s="371"/>
      <c r="Z982" s="371"/>
    </row>
    <row r="983">
      <c r="A983" s="371"/>
      <c r="B983" s="307"/>
      <c r="C983" s="307"/>
      <c r="D983" s="307"/>
      <c r="E983" s="307"/>
      <c r="F983" s="371"/>
      <c r="G983" s="307"/>
      <c r="H983" s="371"/>
      <c r="I983" s="371"/>
      <c r="J983" s="371"/>
      <c r="K983" s="371"/>
      <c r="L983" s="371"/>
      <c r="M983" s="371"/>
      <c r="N983" s="371"/>
      <c r="O983" s="371"/>
      <c r="P983" s="371"/>
      <c r="Q983" s="371"/>
      <c r="R983" s="371"/>
      <c r="S983" s="371"/>
      <c r="T983" s="371"/>
      <c r="U983" s="371"/>
      <c r="V983" s="371"/>
      <c r="W983" s="371"/>
      <c r="X983" s="371"/>
      <c r="Y983" s="371"/>
      <c r="Z983" s="371"/>
    </row>
    <row r="984">
      <c r="A984" s="371"/>
      <c r="B984" s="307"/>
      <c r="C984" s="307"/>
      <c r="D984" s="307"/>
      <c r="E984" s="307"/>
      <c r="F984" s="371"/>
      <c r="G984" s="307"/>
      <c r="H984" s="371"/>
      <c r="I984" s="371"/>
      <c r="J984" s="371"/>
      <c r="K984" s="371"/>
      <c r="L984" s="371"/>
      <c r="M984" s="371"/>
      <c r="N984" s="371"/>
      <c r="O984" s="371"/>
      <c r="P984" s="371"/>
      <c r="Q984" s="371"/>
      <c r="R984" s="371"/>
      <c r="S984" s="371"/>
      <c r="T984" s="371"/>
      <c r="U984" s="371"/>
      <c r="V984" s="371"/>
      <c r="W984" s="371"/>
      <c r="X984" s="371"/>
      <c r="Y984" s="371"/>
      <c r="Z984" s="371"/>
    </row>
    <row r="985">
      <c r="A985" s="371"/>
      <c r="B985" s="307"/>
      <c r="C985" s="307"/>
      <c r="D985" s="307"/>
      <c r="E985" s="307"/>
      <c r="F985" s="371"/>
      <c r="G985" s="307"/>
      <c r="H985" s="371"/>
      <c r="I985" s="371"/>
      <c r="J985" s="371"/>
      <c r="K985" s="371"/>
      <c r="L985" s="371"/>
      <c r="M985" s="371"/>
      <c r="N985" s="371"/>
      <c r="O985" s="371"/>
      <c r="P985" s="371"/>
      <c r="Q985" s="371"/>
      <c r="R985" s="371"/>
      <c r="S985" s="371"/>
      <c r="T985" s="371"/>
      <c r="U985" s="371"/>
      <c r="V985" s="371"/>
      <c r="W985" s="371"/>
      <c r="X985" s="371"/>
      <c r="Y985" s="371"/>
      <c r="Z985" s="371"/>
    </row>
    <row r="986">
      <c r="A986" s="371"/>
      <c r="B986" s="307"/>
      <c r="C986" s="307"/>
      <c r="D986" s="307"/>
      <c r="E986" s="307"/>
      <c r="F986" s="371"/>
      <c r="G986" s="307"/>
      <c r="H986" s="371"/>
      <c r="I986" s="371"/>
      <c r="J986" s="371"/>
      <c r="K986" s="371"/>
      <c r="L986" s="371"/>
      <c r="M986" s="371"/>
      <c r="N986" s="371"/>
      <c r="O986" s="371"/>
      <c r="P986" s="371"/>
      <c r="Q986" s="371"/>
      <c r="R986" s="371"/>
      <c r="S986" s="371"/>
      <c r="T986" s="371"/>
      <c r="U986" s="371"/>
      <c r="V986" s="371"/>
      <c r="W986" s="371"/>
      <c r="X986" s="371"/>
      <c r="Y986" s="371"/>
      <c r="Z986" s="371"/>
    </row>
    <row r="987">
      <c r="A987" s="371"/>
      <c r="B987" s="307"/>
      <c r="C987" s="307"/>
      <c r="D987" s="307"/>
      <c r="E987" s="307"/>
      <c r="F987" s="371"/>
      <c r="G987" s="307"/>
      <c r="H987" s="371"/>
      <c r="I987" s="371"/>
      <c r="J987" s="371"/>
      <c r="K987" s="371"/>
      <c r="L987" s="371"/>
      <c r="M987" s="371"/>
      <c r="N987" s="371"/>
      <c r="O987" s="371"/>
      <c r="P987" s="371"/>
      <c r="Q987" s="371"/>
      <c r="R987" s="371"/>
      <c r="S987" s="371"/>
      <c r="T987" s="371"/>
      <c r="U987" s="371"/>
      <c r="V987" s="371"/>
      <c r="W987" s="371"/>
      <c r="X987" s="371"/>
      <c r="Y987" s="371"/>
      <c r="Z987" s="371"/>
    </row>
    <row r="988">
      <c r="A988" s="371"/>
      <c r="B988" s="307"/>
      <c r="C988" s="307"/>
      <c r="D988" s="307"/>
      <c r="E988" s="307"/>
      <c r="F988" s="371"/>
      <c r="G988" s="307"/>
      <c r="H988" s="371"/>
      <c r="I988" s="371"/>
      <c r="J988" s="371"/>
      <c r="K988" s="371"/>
      <c r="L988" s="371"/>
      <c r="M988" s="371"/>
      <c r="N988" s="371"/>
      <c r="O988" s="371"/>
      <c r="P988" s="371"/>
      <c r="Q988" s="371"/>
      <c r="R988" s="371"/>
      <c r="S988" s="371"/>
      <c r="T988" s="371"/>
      <c r="U988" s="371"/>
      <c r="V988" s="371"/>
      <c r="W988" s="371"/>
      <c r="X988" s="371"/>
      <c r="Y988" s="371"/>
      <c r="Z988" s="371"/>
    </row>
    <row r="989">
      <c r="A989" s="371"/>
      <c r="B989" s="307"/>
      <c r="C989" s="307"/>
      <c r="D989" s="307"/>
      <c r="E989" s="307"/>
      <c r="F989" s="371"/>
      <c r="G989" s="307"/>
      <c r="H989" s="371"/>
      <c r="I989" s="371"/>
      <c r="J989" s="371"/>
      <c r="K989" s="371"/>
      <c r="L989" s="371"/>
      <c r="M989" s="371"/>
      <c r="N989" s="371"/>
      <c r="O989" s="371"/>
      <c r="P989" s="371"/>
      <c r="Q989" s="371"/>
      <c r="R989" s="371"/>
      <c r="S989" s="371"/>
      <c r="T989" s="371"/>
      <c r="U989" s="371"/>
      <c r="V989" s="371"/>
      <c r="W989" s="371"/>
      <c r="X989" s="371"/>
      <c r="Y989" s="371"/>
      <c r="Z989" s="371"/>
    </row>
    <row r="990">
      <c r="A990" s="371"/>
      <c r="B990" s="307"/>
      <c r="C990" s="307"/>
      <c r="D990" s="307"/>
      <c r="E990" s="307"/>
      <c r="F990" s="371"/>
      <c r="G990" s="307"/>
      <c r="H990" s="371"/>
      <c r="I990" s="371"/>
      <c r="J990" s="371"/>
      <c r="K990" s="371"/>
      <c r="L990" s="371"/>
      <c r="M990" s="371"/>
      <c r="N990" s="371"/>
      <c r="O990" s="371"/>
      <c r="P990" s="371"/>
      <c r="Q990" s="371"/>
      <c r="R990" s="371"/>
      <c r="S990" s="371"/>
      <c r="T990" s="371"/>
      <c r="U990" s="371"/>
      <c r="V990" s="371"/>
      <c r="W990" s="371"/>
      <c r="X990" s="371"/>
      <c r="Y990" s="371"/>
      <c r="Z990" s="371"/>
    </row>
    <row r="991">
      <c r="A991" s="371"/>
      <c r="B991" s="307"/>
      <c r="C991" s="307"/>
      <c r="D991" s="307"/>
      <c r="E991" s="307"/>
      <c r="F991" s="371"/>
      <c r="G991" s="307"/>
      <c r="H991" s="371"/>
      <c r="I991" s="371"/>
      <c r="J991" s="371"/>
      <c r="K991" s="371"/>
      <c r="L991" s="371"/>
      <c r="M991" s="371"/>
      <c r="N991" s="371"/>
      <c r="O991" s="371"/>
      <c r="P991" s="371"/>
      <c r="Q991" s="371"/>
      <c r="R991" s="371"/>
      <c r="S991" s="371"/>
      <c r="T991" s="371"/>
      <c r="U991" s="371"/>
      <c r="V991" s="371"/>
      <c r="W991" s="371"/>
      <c r="X991" s="371"/>
      <c r="Y991" s="371"/>
      <c r="Z991" s="371"/>
    </row>
    <row r="992">
      <c r="A992" s="371"/>
      <c r="B992" s="307"/>
      <c r="C992" s="307"/>
      <c r="D992" s="307"/>
      <c r="E992" s="307"/>
      <c r="F992" s="371"/>
      <c r="G992" s="307"/>
      <c r="H992" s="371"/>
      <c r="I992" s="371"/>
      <c r="J992" s="371"/>
      <c r="K992" s="371"/>
      <c r="L992" s="371"/>
      <c r="M992" s="371"/>
      <c r="N992" s="371"/>
      <c r="O992" s="371"/>
      <c r="P992" s="371"/>
      <c r="Q992" s="371"/>
      <c r="R992" s="371"/>
      <c r="S992" s="371"/>
      <c r="T992" s="371"/>
      <c r="U992" s="371"/>
      <c r="V992" s="371"/>
      <c r="W992" s="371"/>
      <c r="X992" s="371"/>
      <c r="Y992" s="371"/>
      <c r="Z992" s="371"/>
    </row>
    <row r="993">
      <c r="A993" s="371"/>
      <c r="B993" s="307"/>
      <c r="C993" s="307"/>
      <c r="D993" s="307"/>
      <c r="E993" s="307"/>
      <c r="F993" s="371"/>
      <c r="G993" s="307"/>
      <c r="H993" s="371"/>
      <c r="I993" s="371"/>
      <c r="J993" s="371"/>
      <c r="K993" s="371"/>
      <c r="L993" s="371"/>
      <c r="M993" s="371"/>
      <c r="N993" s="371"/>
      <c r="O993" s="371"/>
      <c r="P993" s="371"/>
      <c r="Q993" s="371"/>
      <c r="R993" s="371"/>
      <c r="S993" s="371"/>
      <c r="T993" s="371"/>
      <c r="U993" s="371"/>
      <c r="V993" s="371"/>
      <c r="W993" s="371"/>
      <c r="X993" s="371"/>
      <c r="Y993" s="371"/>
      <c r="Z993" s="371"/>
    </row>
    <row r="994">
      <c r="A994" s="371"/>
      <c r="B994" s="307"/>
      <c r="C994" s="307"/>
      <c r="D994" s="307"/>
      <c r="E994" s="307"/>
      <c r="F994" s="371"/>
      <c r="G994" s="307"/>
      <c r="H994" s="371"/>
      <c r="I994" s="371"/>
      <c r="J994" s="371"/>
      <c r="K994" s="371"/>
      <c r="L994" s="371"/>
      <c r="M994" s="371"/>
      <c r="N994" s="371"/>
      <c r="O994" s="371"/>
      <c r="P994" s="371"/>
      <c r="Q994" s="371"/>
      <c r="R994" s="371"/>
      <c r="S994" s="371"/>
      <c r="T994" s="371"/>
      <c r="U994" s="371"/>
      <c r="V994" s="371"/>
      <c r="W994" s="371"/>
      <c r="X994" s="371"/>
      <c r="Y994" s="371"/>
      <c r="Z994" s="371"/>
    </row>
    <row r="995">
      <c r="A995" s="371"/>
      <c r="B995" s="307"/>
      <c r="C995" s="307"/>
      <c r="D995" s="307"/>
      <c r="E995" s="307"/>
      <c r="F995" s="371"/>
      <c r="G995" s="307"/>
      <c r="H995" s="371"/>
      <c r="I995" s="371"/>
      <c r="J995" s="371"/>
      <c r="K995" s="371"/>
      <c r="L995" s="371"/>
      <c r="M995" s="371"/>
      <c r="N995" s="371"/>
      <c r="O995" s="371"/>
      <c r="P995" s="371"/>
      <c r="Q995" s="371"/>
      <c r="R995" s="371"/>
      <c r="S995" s="371"/>
      <c r="T995" s="371"/>
      <c r="U995" s="371"/>
      <c r="V995" s="371"/>
      <c r="W995" s="371"/>
      <c r="X995" s="371"/>
      <c r="Y995" s="371"/>
      <c r="Z995" s="371"/>
    </row>
    <row r="996">
      <c r="A996" s="371"/>
      <c r="B996" s="307"/>
      <c r="C996" s="307"/>
      <c r="D996" s="307"/>
      <c r="E996" s="307"/>
      <c r="F996" s="371"/>
      <c r="G996" s="307"/>
      <c r="H996" s="371"/>
      <c r="I996" s="371"/>
      <c r="J996" s="371"/>
      <c r="K996" s="371"/>
      <c r="L996" s="371"/>
      <c r="M996" s="371"/>
      <c r="N996" s="371"/>
      <c r="O996" s="371"/>
      <c r="P996" s="371"/>
      <c r="Q996" s="371"/>
      <c r="R996" s="371"/>
      <c r="S996" s="371"/>
      <c r="T996" s="371"/>
      <c r="U996" s="371"/>
      <c r="V996" s="371"/>
      <c r="W996" s="371"/>
      <c r="X996" s="371"/>
      <c r="Y996" s="371"/>
      <c r="Z996" s="371"/>
    </row>
    <row r="997">
      <c r="A997" s="371"/>
      <c r="B997" s="307"/>
      <c r="C997" s="307"/>
      <c r="D997" s="307"/>
      <c r="E997" s="307"/>
      <c r="F997" s="371"/>
      <c r="G997" s="307"/>
      <c r="H997" s="371"/>
      <c r="I997" s="371"/>
      <c r="J997" s="371"/>
      <c r="K997" s="371"/>
      <c r="L997" s="371"/>
      <c r="M997" s="371"/>
      <c r="N997" s="371"/>
      <c r="O997" s="371"/>
      <c r="P997" s="371"/>
      <c r="Q997" s="371"/>
      <c r="R997" s="371"/>
      <c r="S997" s="371"/>
      <c r="T997" s="371"/>
      <c r="U997" s="371"/>
      <c r="V997" s="371"/>
      <c r="W997" s="371"/>
      <c r="X997" s="371"/>
      <c r="Y997" s="371"/>
      <c r="Z997" s="371"/>
    </row>
    <row r="998">
      <c r="A998" s="371"/>
      <c r="B998" s="307"/>
      <c r="C998" s="307"/>
      <c r="D998" s="307"/>
      <c r="E998" s="307"/>
      <c r="F998" s="371"/>
      <c r="G998" s="307"/>
      <c r="H998" s="371"/>
      <c r="I998" s="371"/>
      <c r="J998" s="371"/>
      <c r="K998" s="371"/>
      <c r="L998" s="371"/>
      <c r="M998" s="371"/>
      <c r="N998" s="371"/>
      <c r="O998" s="371"/>
      <c r="P998" s="371"/>
      <c r="Q998" s="371"/>
      <c r="R998" s="371"/>
      <c r="S998" s="371"/>
      <c r="T998" s="371"/>
      <c r="U998" s="371"/>
      <c r="V998" s="371"/>
      <c r="W998" s="371"/>
      <c r="X998" s="371"/>
      <c r="Y998" s="371"/>
      <c r="Z998" s="371"/>
    </row>
    <row r="999">
      <c r="A999" s="371"/>
      <c r="B999" s="307"/>
      <c r="C999" s="307"/>
      <c r="D999" s="307"/>
      <c r="E999" s="307"/>
      <c r="F999" s="371"/>
      <c r="G999" s="307"/>
      <c r="H999" s="371"/>
      <c r="I999" s="371"/>
      <c r="J999" s="371"/>
      <c r="K999" s="371"/>
      <c r="L999" s="371"/>
      <c r="M999" s="371"/>
      <c r="N999" s="371"/>
      <c r="O999" s="371"/>
      <c r="P999" s="371"/>
      <c r="Q999" s="371"/>
      <c r="R999" s="371"/>
      <c r="S999" s="371"/>
      <c r="T999" s="371"/>
      <c r="U999" s="371"/>
      <c r="V999" s="371"/>
      <c r="W999" s="371"/>
      <c r="X999" s="371"/>
      <c r="Y999" s="371"/>
      <c r="Z999" s="371"/>
    </row>
  </sheetData>
  <autoFilter ref="$A$1:$G$999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4.75"/>
    <col customWidth="1" min="2" max="2" width="7.75"/>
    <col customWidth="1" min="3" max="3" width="14.63"/>
    <col customWidth="1" min="4" max="5" width="10.5"/>
    <col customWidth="1" min="6" max="7" width="16.13"/>
    <col customWidth="1" min="8" max="8" width="10.0"/>
    <col customWidth="1" min="9" max="9" width="10.5"/>
    <col customWidth="1" min="10" max="10" width="4.25"/>
  </cols>
  <sheetData>
    <row r="1">
      <c r="A1" s="1044" t="s">
        <v>4534</v>
      </c>
      <c r="B1" s="450"/>
      <c r="C1" s="450" t="s">
        <v>4535</v>
      </c>
      <c r="D1" s="1045" t="s">
        <v>4536</v>
      </c>
      <c r="E1" s="1046" t="s">
        <v>3</v>
      </c>
      <c r="F1" s="1047" t="s">
        <v>3661</v>
      </c>
      <c r="G1" s="1047"/>
      <c r="H1" s="460" t="s">
        <v>4537</v>
      </c>
      <c r="I1" s="450" t="s">
        <v>3949</v>
      </c>
      <c r="J1" s="479"/>
      <c r="K1" s="479"/>
      <c r="L1" s="461" t="s">
        <v>4538</v>
      </c>
      <c r="M1" s="479"/>
      <c r="N1" s="479"/>
      <c r="O1" s="479"/>
      <c r="P1" s="479"/>
      <c r="Q1" s="479"/>
      <c r="R1" s="479"/>
      <c r="S1" s="479"/>
      <c r="T1" s="479"/>
      <c r="U1" s="479"/>
      <c r="V1" s="479"/>
      <c r="W1" s="479"/>
      <c r="X1" s="479"/>
      <c r="Y1" s="479"/>
      <c r="Z1" s="479"/>
      <c r="AA1" s="479"/>
      <c r="AB1" s="479"/>
    </row>
    <row r="2">
      <c r="A2" s="1048" t="s">
        <v>4539</v>
      </c>
      <c r="B2" s="1049"/>
      <c r="C2" s="1049">
        <v>10.0</v>
      </c>
      <c r="D2" s="1050"/>
      <c r="E2" s="1051">
        <v>0.0</v>
      </c>
      <c r="F2" s="1049"/>
      <c r="G2" s="1049"/>
      <c r="H2" s="1052">
        <v>50200.0</v>
      </c>
      <c r="I2" s="1053">
        <f t="shared" ref="I2:I98" si="1">F2*H2</f>
        <v>0</v>
      </c>
      <c r="J2" s="1054"/>
      <c r="K2" s="1054"/>
      <c r="L2" s="1053">
        <f t="shared" ref="L2:L64" si="2">G2*H2</f>
        <v>0</v>
      </c>
      <c r="M2" s="1054"/>
      <c r="N2" s="1054"/>
      <c r="O2" s="1054"/>
      <c r="P2" s="1054"/>
      <c r="Q2" s="1054"/>
      <c r="R2" s="1054"/>
      <c r="S2" s="1054"/>
      <c r="T2" s="1054"/>
      <c r="U2" s="1054"/>
      <c r="V2" s="1054"/>
      <c r="W2" s="1054"/>
      <c r="X2" s="1054"/>
      <c r="Y2" s="1054"/>
      <c r="Z2" s="1054"/>
      <c r="AA2" s="1054"/>
      <c r="AB2" s="1054"/>
    </row>
    <row r="3">
      <c r="A3" s="1048" t="s">
        <v>4540</v>
      </c>
      <c r="B3" s="1049"/>
      <c r="C3" s="1049">
        <v>0.0</v>
      </c>
      <c r="D3" s="1050"/>
      <c r="E3" s="1051">
        <v>0.0</v>
      </c>
      <c r="F3" s="1049"/>
      <c r="G3" s="1049"/>
      <c r="H3" s="1052">
        <v>50200.0</v>
      </c>
      <c r="I3" s="1053">
        <f t="shared" si="1"/>
        <v>0</v>
      </c>
      <c r="J3" s="1054"/>
      <c r="K3" s="1054"/>
      <c r="L3" s="1053">
        <f t="shared" si="2"/>
        <v>0</v>
      </c>
      <c r="M3" s="1054"/>
      <c r="N3" s="1054"/>
      <c r="O3" s="1054"/>
      <c r="P3" s="1054"/>
      <c r="Q3" s="1054"/>
      <c r="R3" s="1054"/>
      <c r="S3" s="1054"/>
      <c r="T3" s="1054"/>
      <c r="U3" s="1054"/>
      <c r="V3" s="1054"/>
      <c r="W3" s="1054"/>
      <c r="X3" s="1054"/>
      <c r="Y3" s="1054"/>
      <c r="Z3" s="1054"/>
      <c r="AA3" s="1054"/>
      <c r="AB3" s="1054"/>
    </row>
    <row r="4">
      <c r="A4" s="1048" t="s">
        <v>4541</v>
      </c>
      <c r="B4" s="1049"/>
      <c r="C4" s="1049">
        <v>0.0</v>
      </c>
      <c r="D4" s="1050"/>
      <c r="E4" s="1051">
        <v>0.0</v>
      </c>
      <c r="F4" s="1049"/>
      <c r="G4" s="1049"/>
      <c r="H4" s="1052">
        <v>50200.0</v>
      </c>
      <c r="I4" s="1053">
        <f t="shared" si="1"/>
        <v>0</v>
      </c>
      <c r="J4" s="1054"/>
      <c r="K4" s="1054"/>
      <c r="L4" s="1053">
        <f t="shared" si="2"/>
        <v>0</v>
      </c>
      <c r="M4" s="1054"/>
      <c r="N4" s="1054"/>
      <c r="O4" s="1054"/>
      <c r="P4" s="1054"/>
      <c r="Q4" s="1054"/>
      <c r="R4" s="1054"/>
      <c r="S4" s="1054"/>
      <c r="T4" s="1054"/>
      <c r="U4" s="1054"/>
      <c r="V4" s="1054"/>
      <c r="W4" s="1054"/>
      <c r="X4" s="1054"/>
      <c r="Y4" s="1054"/>
      <c r="Z4" s="1054"/>
      <c r="AA4" s="1054"/>
      <c r="AB4" s="1054"/>
    </row>
    <row r="5">
      <c r="A5" s="1048" t="s">
        <v>4542</v>
      </c>
      <c r="B5" s="1049"/>
      <c r="C5" s="1049">
        <v>0.0</v>
      </c>
      <c r="D5" s="1050"/>
      <c r="E5" s="1051">
        <v>0.0</v>
      </c>
      <c r="F5" s="1049"/>
      <c r="G5" s="1049"/>
      <c r="H5" s="1052">
        <v>50200.0</v>
      </c>
      <c r="I5" s="1053">
        <f t="shared" si="1"/>
        <v>0</v>
      </c>
      <c r="J5" s="1054"/>
      <c r="K5" s="1054"/>
      <c r="L5" s="1053">
        <f t="shared" si="2"/>
        <v>0</v>
      </c>
      <c r="M5" s="1054"/>
      <c r="N5" s="1054"/>
      <c r="O5" s="1054"/>
      <c r="P5" s="1054"/>
      <c r="Q5" s="1054"/>
      <c r="R5" s="1054"/>
      <c r="S5" s="1054"/>
      <c r="T5" s="1054"/>
      <c r="U5" s="1054"/>
      <c r="V5" s="1054"/>
      <c r="W5" s="1054"/>
      <c r="X5" s="1054"/>
      <c r="Y5" s="1054"/>
      <c r="Z5" s="1054"/>
      <c r="AA5" s="1054"/>
      <c r="AB5" s="1054"/>
    </row>
    <row r="6">
      <c r="A6" s="1048" t="s">
        <v>4543</v>
      </c>
      <c r="B6" s="1049"/>
      <c r="C6" s="1049">
        <v>0.0</v>
      </c>
      <c r="D6" s="1050"/>
      <c r="E6" s="1051">
        <v>0.0</v>
      </c>
      <c r="F6" s="1049"/>
      <c r="G6" s="1049"/>
      <c r="H6" s="1052">
        <v>50200.0</v>
      </c>
      <c r="I6" s="1053">
        <f t="shared" si="1"/>
        <v>0</v>
      </c>
      <c r="J6" s="1054"/>
      <c r="K6" s="1054"/>
      <c r="L6" s="1053">
        <f t="shared" si="2"/>
        <v>0</v>
      </c>
      <c r="M6" s="1054"/>
      <c r="N6" s="1054"/>
      <c r="O6" s="1054"/>
      <c r="P6" s="1054"/>
      <c r="Q6" s="1054"/>
      <c r="R6" s="1054"/>
      <c r="S6" s="1054"/>
      <c r="T6" s="1054"/>
      <c r="U6" s="1054"/>
      <c r="V6" s="1054"/>
      <c r="W6" s="1054"/>
      <c r="X6" s="1054"/>
      <c r="Y6" s="1054"/>
      <c r="Z6" s="1054"/>
      <c r="AA6" s="1054"/>
      <c r="AB6" s="1054"/>
    </row>
    <row r="7">
      <c r="A7" s="1048" t="s">
        <v>4544</v>
      </c>
      <c r="B7" s="1049"/>
      <c r="C7" s="1049">
        <v>2.0</v>
      </c>
      <c r="D7" s="1050"/>
      <c r="E7" s="1051">
        <v>0.0</v>
      </c>
      <c r="F7" s="1049"/>
      <c r="G7" s="1049"/>
      <c r="H7" s="1052">
        <v>50200.0</v>
      </c>
      <c r="I7" s="1053">
        <f t="shared" si="1"/>
        <v>0</v>
      </c>
      <c r="J7" s="1054"/>
      <c r="K7" s="1054"/>
      <c r="L7" s="1053">
        <f t="shared" si="2"/>
        <v>0</v>
      </c>
      <c r="M7" s="1054"/>
      <c r="N7" s="1054"/>
      <c r="O7" s="1054"/>
      <c r="P7" s="1054"/>
      <c r="Q7" s="1054"/>
      <c r="R7" s="1054"/>
      <c r="S7" s="1054"/>
      <c r="T7" s="1054"/>
      <c r="U7" s="1054"/>
      <c r="V7" s="1054"/>
      <c r="W7" s="1054"/>
      <c r="X7" s="1054"/>
      <c r="Y7" s="1054"/>
      <c r="Z7" s="1054"/>
      <c r="AA7" s="1054"/>
      <c r="AB7" s="1054"/>
    </row>
    <row r="8">
      <c r="A8" s="1048" t="s">
        <v>4545</v>
      </c>
      <c r="B8" s="1049"/>
      <c r="C8" s="1049">
        <v>0.0</v>
      </c>
      <c r="D8" s="1050"/>
      <c r="E8" s="1051">
        <v>0.0</v>
      </c>
      <c r="F8" s="1049"/>
      <c r="G8" s="1049"/>
      <c r="H8" s="1052">
        <v>50200.0</v>
      </c>
      <c r="I8" s="1053">
        <f t="shared" si="1"/>
        <v>0</v>
      </c>
      <c r="J8" s="1054"/>
      <c r="K8" s="1054"/>
      <c r="L8" s="1053">
        <f t="shared" si="2"/>
        <v>0</v>
      </c>
      <c r="M8" s="1054"/>
      <c r="N8" s="1054"/>
      <c r="O8" s="1054"/>
      <c r="P8" s="1054"/>
      <c r="Q8" s="1054"/>
      <c r="R8" s="1054"/>
      <c r="S8" s="1054"/>
      <c r="T8" s="1054"/>
      <c r="U8" s="1054"/>
      <c r="V8" s="1054"/>
      <c r="W8" s="1054"/>
      <c r="X8" s="1054"/>
      <c r="Y8" s="1054"/>
      <c r="Z8" s="1054"/>
      <c r="AA8" s="1054"/>
      <c r="AB8" s="1054"/>
    </row>
    <row r="9">
      <c r="A9" s="1048" t="s">
        <v>4546</v>
      </c>
      <c r="B9" s="1049"/>
      <c r="C9" s="1049">
        <v>3.0</v>
      </c>
      <c r="D9" s="1050"/>
      <c r="E9" s="1051">
        <v>3.0</v>
      </c>
      <c r="F9" s="1049"/>
      <c r="G9" s="1049"/>
      <c r="H9" s="1052">
        <v>62501.0</v>
      </c>
      <c r="I9" s="1053">
        <f t="shared" si="1"/>
        <v>0</v>
      </c>
      <c r="J9" s="1054"/>
      <c r="K9" s="1054"/>
      <c r="L9" s="1053">
        <f t="shared" si="2"/>
        <v>0</v>
      </c>
      <c r="M9" s="1054"/>
      <c r="N9" s="1054"/>
      <c r="O9" s="1054"/>
      <c r="P9" s="1054"/>
      <c r="Q9" s="1054"/>
      <c r="R9" s="1054"/>
      <c r="S9" s="1054"/>
      <c r="T9" s="1054"/>
      <c r="U9" s="1054"/>
      <c r="V9" s="1054"/>
      <c r="W9" s="1054"/>
      <c r="X9" s="1054"/>
      <c r="Y9" s="1054"/>
      <c r="Z9" s="1054"/>
      <c r="AA9" s="1054"/>
      <c r="AB9" s="1054"/>
    </row>
    <row r="10">
      <c r="A10" s="1048" t="s">
        <v>4547</v>
      </c>
      <c r="B10" s="1049"/>
      <c r="C10" s="1049">
        <v>0.0</v>
      </c>
      <c r="D10" s="1050"/>
      <c r="E10" s="1051">
        <v>0.0</v>
      </c>
      <c r="F10" s="1049"/>
      <c r="G10" s="1049"/>
      <c r="H10" s="1052">
        <v>50200.0</v>
      </c>
      <c r="I10" s="1053">
        <f t="shared" si="1"/>
        <v>0</v>
      </c>
      <c r="J10" s="1054"/>
      <c r="K10" s="1054"/>
      <c r="L10" s="1053">
        <f t="shared" si="2"/>
        <v>0</v>
      </c>
      <c r="M10" s="1054"/>
      <c r="N10" s="1054"/>
      <c r="O10" s="1054"/>
      <c r="P10" s="1054"/>
      <c r="Q10" s="1054"/>
      <c r="R10" s="1054"/>
      <c r="S10" s="1054"/>
      <c r="T10" s="1054"/>
      <c r="U10" s="1054"/>
      <c r="V10" s="1054"/>
      <c r="W10" s="1054"/>
      <c r="X10" s="1054"/>
      <c r="Y10" s="1054"/>
      <c r="Z10" s="1054"/>
      <c r="AA10" s="1054"/>
      <c r="AB10" s="1054"/>
    </row>
    <row r="11">
      <c r="A11" s="1048" t="s">
        <v>4548</v>
      </c>
      <c r="B11" s="1049"/>
      <c r="C11" s="1049">
        <v>0.0</v>
      </c>
      <c r="D11" s="1050"/>
      <c r="E11" s="1051">
        <v>0.0</v>
      </c>
      <c r="F11" s="1049"/>
      <c r="G11" s="1049"/>
      <c r="H11" s="1052">
        <v>50200.0</v>
      </c>
      <c r="I11" s="1053">
        <f t="shared" si="1"/>
        <v>0</v>
      </c>
      <c r="J11" s="1054"/>
      <c r="K11" s="1054"/>
      <c r="L11" s="1053">
        <f t="shared" si="2"/>
        <v>0</v>
      </c>
      <c r="M11" s="1054"/>
      <c r="N11" s="1054"/>
      <c r="O11" s="1054"/>
      <c r="P11" s="1054"/>
      <c r="Q11" s="1054"/>
      <c r="R11" s="1054"/>
      <c r="S11" s="1054"/>
      <c r="T11" s="1054"/>
      <c r="U11" s="1054"/>
      <c r="V11" s="1054"/>
      <c r="W11" s="1054"/>
      <c r="X11" s="1054"/>
      <c r="Y11" s="1054"/>
      <c r="Z11" s="1054"/>
      <c r="AA11" s="1054"/>
      <c r="AB11" s="1054"/>
    </row>
    <row r="12">
      <c r="A12" s="1048" t="s">
        <v>4549</v>
      </c>
      <c r="B12" s="1049"/>
      <c r="C12" s="1049">
        <v>0.0</v>
      </c>
      <c r="D12" s="1050"/>
      <c r="E12" s="1051">
        <v>0.0</v>
      </c>
      <c r="F12" s="1049"/>
      <c r="G12" s="1049"/>
      <c r="H12" s="1052">
        <v>50200.0</v>
      </c>
      <c r="I12" s="1053">
        <f t="shared" si="1"/>
        <v>0</v>
      </c>
      <c r="J12" s="1054"/>
      <c r="K12" s="1054"/>
      <c r="L12" s="1053">
        <f t="shared" si="2"/>
        <v>0</v>
      </c>
      <c r="M12" s="1054"/>
      <c r="N12" s="1054"/>
      <c r="O12" s="1054"/>
      <c r="P12" s="1054"/>
      <c r="Q12" s="1054"/>
      <c r="R12" s="1054"/>
      <c r="S12" s="1054"/>
      <c r="T12" s="1054"/>
      <c r="U12" s="1054"/>
      <c r="V12" s="1054"/>
      <c r="W12" s="1054"/>
      <c r="X12" s="1054"/>
      <c r="Y12" s="1054"/>
      <c r="Z12" s="1054"/>
      <c r="AA12" s="1054"/>
      <c r="AB12" s="1054"/>
    </row>
    <row r="13">
      <c r="A13" s="1048" t="s">
        <v>4550</v>
      </c>
      <c r="B13" s="1049"/>
      <c r="C13" s="1049">
        <v>0.0</v>
      </c>
      <c r="D13" s="1050"/>
      <c r="E13" s="1051">
        <v>0.0</v>
      </c>
      <c r="F13" s="1049"/>
      <c r="G13" s="1049"/>
      <c r="H13" s="1052">
        <v>50200.0</v>
      </c>
      <c r="I13" s="1053">
        <f t="shared" si="1"/>
        <v>0</v>
      </c>
      <c r="J13" s="1054"/>
      <c r="K13" s="1054"/>
      <c r="L13" s="1053">
        <f t="shared" si="2"/>
        <v>0</v>
      </c>
      <c r="M13" s="1054"/>
      <c r="N13" s="1054"/>
      <c r="O13" s="1054"/>
      <c r="P13" s="1054"/>
      <c r="Q13" s="1054"/>
      <c r="R13" s="1054"/>
      <c r="S13" s="1054"/>
      <c r="T13" s="1054"/>
      <c r="U13" s="1054"/>
      <c r="V13" s="1054"/>
      <c r="W13" s="1054"/>
      <c r="X13" s="1054"/>
      <c r="Y13" s="1054"/>
      <c r="Z13" s="1054"/>
      <c r="AA13" s="1054"/>
      <c r="AB13" s="1054"/>
    </row>
    <row r="14">
      <c r="A14" s="1048" t="s">
        <v>4551</v>
      </c>
      <c r="B14" s="1049"/>
      <c r="C14" s="1049">
        <v>0.0</v>
      </c>
      <c r="D14" s="1050"/>
      <c r="E14" s="1051">
        <v>0.0</v>
      </c>
      <c r="F14" s="1049"/>
      <c r="G14" s="1049"/>
      <c r="H14" s="1052">
        <v>50200.0</v>
      </c>
      <c r="I14" s="1053">
        <f t="shared" si="1"/>
        <v>0</v>
      </c>
      <c r="J14" s="1054"/>
      <c r="K14" s="1054"/>
      <c r="L14" s="1053">
        <f t="shared" si="2"/>
        <v>0</v>
      </c>
      <c r="M14" s="1054"/>
      <c r="N14" s="1054"/>
      <c r="O14" s="1054"/>
      <c r="P14" s="1054"/>
      <c r="Q14" s="1054"/>
      <c r="R14" s="1054"/>
      <c r="S14" s="1054"/>
      <c r="T14" s="1054"/>
      <c r="U14" s="1054"/>
      <c r="V14" s="1054"/>
      <c r="W14" s="1054"/>
      <c r="X14" s="1054"/>
      <c r="Y14" s="1054"/>
      <c r="Z14" s="1054"/>
      <c r="AA14" s="1054"/>
      <c r="AB14" s="1054"/>
    </row>
    <row r="15">
      <c r="A15" s="1048" t="s">
        <v>4552</v>
      </c>
      <c r="B15" s="1049"/>
      <c r="C15" s="1049">
        <v>0.0</v>
      </c>
      <c r="D15" s="1050"/>
      <c r="E15" s="1051">
        <v>0.0</v>
      </c>
      <c r="F15" s="1049"/>
      <c r="G15" s="1049"/>
      <c r="H15" s="1052">
        <v>50200.0</v>
      </c>
      <c r="I15" s="1053">
        <f t="shared" si="1"/>
        <v>0</v>
      </c>
      <c r="J15" s="1054"/>
      <c r="K15" s="1054"/>
      <c r="L15" s="1053">
        <f t="shared" si="2"/>
        <v>0</v>
      </c>
      <c r="M15" s="1054"/>
      <c r="N15" s="1054"/>
      <c r="O15" s="1054"/>
      <c r="P15" s="1054"/>
      <c r="Q15" s="1054"/>
      <c r="R15" s="1054"/>
      <c r="S15" s="1054"/>
      <c r="T15" s="1054"/>
      <c r="U15" s="1054"/>
      <c r="V15" s="1054"/>
      <c r="W15" s="1054"/>
      <c r="X15" s="1054"/>
      <c r="Y15" s="1054"/>
      <c r="Z15" s="1054"/>
      <c r="AA15" s="1054"/>
      <c r="AB15" s="1054"/>
    </row>
    <row r="16">
      <c r="A16" s="1048" t="s">
        <v>4553</v>
      </c>
      <c r="B16" s="1049"/>
      <c r="C16" s="1049">
        <v>0.0</v>
      </c>
      <c r="D16" s="1050"/>
      <c r="E16" s="1051">
        <v>0.0</v>
      </c>
      <c r="F16" s="1049"/>
      <c r="G16" s="1049"/>
      <c r="H16" s="1052">
        <v>50200.0</v>
      </c>
      <c r="I16" s="1053">
        <f t="shared" si="1"/>
        <v>0</v>
      </c>
      <c r="J16" s="1054"/>
      <c r="K16" s="1054"/>
      <c r="L16" s="1053">
        <f t="shared" si="2"/>
        <v>0</v>
      </c>
      <c r="M16" s="1054"/>
      <c r="N16" s="1054"/>
      <c r="O16" s="1054"/>
      <c r="P16" s="1054"/>
      <c r="Q16" s="1054"/>
      <c r="R16" s="1054"/>
      <c r="S16" s="1054"/>
      <c r="T16" s="1054"/>
      <c r="U16" s="1054"/>
      <c r="V16" s="1054"/>
      <c r="W16" s="1054"/>
      <c r="X16" s="1054"/>
      <c r="Y16" s="1054"/>
      <c r="Z16" s="1054"/>
      <c r="AA16" s="1054"/>
      <c r="AB16" s="1054"/>
    </row>
    <row r="17">
      <c r="A17" s="1048" t="s">
        <v>1686</v>
      </c>
      <c r="B17" s="1049"/>
      <c r="C17" s="1049">
        <v>23.0</v>
      </c>
      <c r="D17" s="1050"/>
      <c r="E17" s="1051">
        <v>0.0</v>
      </c>
      <c r="F17" s="1049"/>
      <c r="G17" s="1049"/>
      <c r="H17" s="1052">
        <v>50200.0</v>
      </c>
      <c r="I17" s="1053">
        <f t="shared" si="1"/>
        <v>0</v>
      </c>
      <c r="J17" s="1054"/>
      <c r="K17" s="1054"/>
      <c r="L17" s="1053">
        <f t="shared" si="2"/>
        <v>0</v>
      </c>
      <c r="M17" s="1054"/>
      <c r="N17" s="1054"/>
      <c r="O17" s="1054"/>
      <c r="P17" s="1054"/>
      <c r="Q17" s="1054"/>
      <c r="R17" s="1054"/>
      <c r="S17" s="1054"/>
      <c r="T17" s="1054"/>
      <c r="U17" s="1054"/>
      <c r="V17" s="1054"/>
      <c r="W17" s="1054"/>
      <c r="X17" s="1054"/>
      <c r="Y17" s="1054"/>
      <c r="Z17" s="1054"/>
      <c r="AA17" s="1054"/>
      <c r="AB17" s="1054"/>
    </row>
    <row r="18">
      <c r="A18" s="1048" t="s">
        <v>1687</v>
      </c>
      <c r="B18" s="1049"/>
      <c r="C18" s="1049">
        <v>18.0</v>
      </c>
      <c r="D18" s="1050"/>
      <c r="E18" s="1051">
        <v>0.0</v>
      </c>
      <c r="F18" s="1049"/>
      <c r="G18" s="1049"/>
      <c r="H18" s="1052">
        <v>50200.0</v>
      </c>
      <c r="I18" s="1053">
        <f t="shared" si="1"/>
        <v>0</v>
      </c>
      <c r="J18" s="1054"/>
      <c r="K18" s="1054"/>
      <c r="L18" s="1053">
        <f t="shared" si="2"/>
        <v>0</v>
      </c>
      <c r="M18" s="1054"/>
      <c r="N18" s="1054"/>
      <c r="O18" s="1054"/>
      <c r="P18" s="1054"/>
      <c r="Q18" s="1054"/>
      <c r="R18" s="1054"/>
      <c r="S18" s="1054"/>
      <c r="T18" s="1054"/>
      <c r="U18" s="1054"/>
      <c r="V18" s="1054"/>
      <c r="W18" s="1054"/>
      <c r="X18" s="1054"/>
      <c r="Y18" s="1054"/>
      <c r="Z18" s="1054"/>
      <c r="AA18" s="1054"/>
      <c r="AB18" s="1054"/>
    </row>
    <row r="19">
      <c r="A19" s="1048" t="s">
        <v>1688</v>
      </c>
      <c r="B19" s="1049"/>
      <c r="C19" s="1049">
        <v>0.0</v>
      </c>
      <c r="D19" s="1050"/>
      <c r="E19" s="1051">
        <v>8.0</v>
      </c>
      <c r="F19" s="1049"/>
      <c r="G19" s="1049"/>
      <c r="H19" s="1052">
        <v>50200.0</v>
      </c>
      <c r="I19" s="1053">
        <f t="shared" si="1"/>
        <v>0</v>
      </c>
      <c r="J19" s="1054"/>
      <c r="K19" s="1054"/>
      <c r="L19" s="1053">
        <f t="shared" si="2"/>
        <v>0</v>
      </c>
      <c r="M19" s="1054"/>
      <c r="N19" s="1054"/>
      <c r="O19" s="1054"/>
      <c r="P19" s="1054"/>
      <c r="Q19" s="1054"/>
      <c r="R19" s="1054"/>
      <c r="S19" s="1054"/>
      <c r="T19" s="1054"/>
      <c r="U19" s="1054"/>
      <c r="V19" s="1054"/>
      <c r="W19" s="1054"/>
      <c r="X19" s="1054"/>
      <c r="Y19" s="1054"/>
      <c r="Z19" s="1054"/>
      <c r="AA19" s="1054"/>
      <c r="AB19" s="1054"/>
    </row>
    <row r="20">
      <c r="A20" s="1048" t="s">
        <v>1689</v>
      </c>
      <c r="B20" s="1049"/>
      <c r="C20" s="1049">
        <v>5.0</v>
      </c>
      <c r="D20" s="1050"/>
      <c r="E20" s="1051">
        <v>0.0</v>
      </c>
      <c r="F20" s="1049"/>
      <c r="G20" s="1049"/>
      <c r="H20" s="1052">
        <v>50200.0</v>
      </c>
      <c r="I20" s="1053">
        <f t="shared" si="1"/>
        <v>0</v>
      </c>
      <c r="J20" s="1054"/>
      <c r="K20" s="1054"/>
      <c r="L20" s="1053">
        <f t="shared" si="2"/>
        <v>0</v>
      </c>
      <c r="M20" s="1054"/>
      <c r="N20" s="1054"/>
      <c r="O20" s="1054"/>
      <c r="P20" s="1054"/>
      <c r="Q20" s="1054"/>
      <c r="R20" s="1054"/>
      <c r="S20" s="1054"/>
      <c r="T20" s="1054"/>
      <c r="U20" s="1054"/>
      <c r="V20" s="1054"/>
      <c r="W20" s="1054"/>
      <c r="X20" s="1054"/>
      <c r="Y20" s="1054"/>
      <c r="Z20" s="1054"/>
      <c r="AA20" s="1054"/>
      <c r="AB20" s="1054"/>
    </row>
    <row r="21">
      <c r="A21" s="1048" t="s">
        <v>1690</v>
      </c>
      <c r="B21" s="1049"/>
      <c r="C21" s="1049">
        <v>7.0</v>
      </c>
      <c r="D21" s="1050"/>
      <c r="E21" s="1051">
        <v>0.0</v>
      </c>
      <c r="F21" s="1049"/>
      <c r="G21" s="1049"/>
      <c r="H21" s="1052">
        <v>50200.0</v>
      </c>
      <c r="I21" s="1053">
        <f t="shared" si="1"/>
        <v>0</v>
      </c>
      <c r="J21" s="1054"/>
      <c r="K21" s="1054"/>
      <c r="L21" s="1053">
        <f t="shared" si="2"/>
        <v>0</v>
      </c>
      <c r="M21" s="1054"/>
      <c r="N21" s="1054"/>
      <c r="O21" s="1054"/>
      <c r="P21" s="1054"/>
      <c r="Q21" s="1054"/>
      <c r="R21" s="1054"/>
      <c r="S21" s="1054"/>
      <c r="T21" s="1054"/>
      <c r="U21" s="1054"/>
      <c r="V21" s="1054"/>
      <c r="W21" s="1054"/>
      <c r="X21" s="1054"/>
      <c r="Y21" s="1054"/>
      <c r="Z21" s="1054"/>
      <c r="AA21" s="1054"/>
      <c r="AB21" s="1054"/>
    </row>
    <row r="22">
      <c r="A22" s="1048" t="s">
        <v>1691</v>
      </c>
      <c r="B22" s="1049"/>
      <c r="C22" s="1049">
        <v>8.0</v>
      </c>
      <c r="D22" s="1050"/>
      <c r="E22" s="1051">
        <v>0.0</v>
      </c>
      <c r="F22" s="1049"/>
      <c r="G22" s="1049"/>
      <c r="H22" s="1052">
        <v>50200.0</v>
      </c>
      <c r="I22" s="1053">
        <f t="shared" si="1"/>
        <v>0</v>
      </c>
      <c r="J22" s="1054"/>
      <c r="K22" s="1054"/>
      <c r="L22" s="1053">
        <f t="shared" si="2"/>
        <v>0</v>
      </c>
      <c r="M22" s="1054"/>
      <c r="N22" s="1054"/>
      <c r="O22" s="1054"/>
      <c r="P22" s="1054"/>
      <c r="Q22" s="1054"/>
      <c r="R22" s="1054"/>
      <c r="S22" s="1054"/>
      <c r="T22" s="1054"/>
      <c r="U22" s="1054"/>
      <c r="V22" s="1054"/>
      <c r="W22" s="1054"/>
      <c r="X22" s="1054"/>
      <c r="Y22" s="1054"/>
      <c r="Z22" s="1054"/>
      <c r="AA22" s="1054"/>
      <c r="AB22" s="1054"/>
    </row>
    <row r="23">
      <c r="A23" s="1048" t="s">
        <v>4554</v>
      </c>
      <c r="B23" s="1049"/>
      <c r="C23" s="1049">
        <v>1.0</v>
      </c>
      <c r="D23" s="1050"/>
      <c r="E23" s="1051">
        <v>0.0</v>
      </c>
      <c r="F23" s="1049"/>
      <c r="G23" s="1049"/>
      <c r="H23" s="1052">
        <v>62501.0</v>
      </c>
      <c r="I23" s="1053">
        <f t="shared" si="1"/>
        <v>0</v>
      </c>
      <c r="J23" s="1054"/>
      <c r="K23" s="1054"/>
      <c r="L23" s="1053">
        <f t="shared" si="2"/>
        <v>0</v>
      </c>
      <c r="M23" s="1054"/>
      <c r="N23" s="1054"/>
      <c r="O23" s="1054"/>
      <c r="P23" s="1054"/>
      <c r="Q23" s="1054"/>
      <c r="R23" s="1054"/>
      <c r="S23" s="1054"/>
      <c r="T23" s="1054"/>
      <c r="U23" s="1054"/>
      <c r="V23" s="1054"/>
      <c r="W23" s="1054"/>
      <c r="X23" s="1054"/>
      <c r="Y23" s="1054"/>
      <c r="Z23" s="1054"/>
      <c r="AA23" s="1054"/>
      <c r="AB23" s="1054"/>
    </row>
    <row r="24">
      <c r="A24" s="1048" t="s">
        <v>4555</v>
      </c>
      <c r="B24" s="1049"/>
      <c r="C24" s="1049">
        <v>0.0</v>
      </c>
      <c r="D24" s="1050"/>
      <c r="E24" s="1051">
        <v>2.0</v>
      </c>
      <c r="F24" s="1049"/>
      <c r="G24" s="1049"/>
      <c r="H24" s="1052">
        <v>50200.0</v>
      </c>
      <c r="I24" s="1053">
        <f t="shared" si="1"/>
        <v>0</v>
      </c>
      <c r="J24" s="1054"/>
      <c r="K24" s="1054"/>
      <c r="L24" s="1053">
        <f t="shared" si="2"/>
        <v>0</v>
      </c>
      <c r="M24" s="1054"/>
      <c r="N24" s="1054"/>
      <c r="O24" s="1054"/>
      <c r="P24" s="1054"/>
      <c r="Q24" s="1054"/>
      <c r="R24" s="1054"/>
      <c r="S24" s="1054"/>
      <c r="T24" s="1054"/>
      <c r="U24" s="1054"/>
      <c r="V24" s="1054"/>
      <c r="W24" s="1054"/>
      <c r="X24" s="1054"/>
      <c r="Y24" s="1054"/>
      <c r="Z24" s="1054"/>
      <c r="AA24" s="1054"/>
      <c r="AB24" s="1054"/>
    </row>
    <row r="25">
      <c r="A25" s="1048" t="s">
        <v>4556</v>
      </c>
      <c r="B25" s="1049"/>
      <c r="C25" s="1049">
        <v>2.0</v>
      </c>
      <c r="D25" s="1050"/>
      <c r="E25" s="1051">
        <v>0.0</v>
      </c>
      <c r="F25" s="1049"/>
      <c r="G25" s="1049"/>
      <c r="H25" s="1052">
        <v>50200.0</v>
      </c>
      <c r="I25" s="1053">
        <f t="shared" si="1"/>
        <v>0</v>
      </c>
      <c r="J25" s="1054"/>
      <c r="K25" s="1054"/>
      <c r="L25" s="1053">
        <f t="shared" si="2"/>
        <v>0</v>
      </c>
      <c r="M25" s="1054"/>
      <c r="N25" s="1054"/>
      <c r="O25" s="1054"/>
      <c r="P25" s="1054"/>
      <c r="Q25" s="1054"/>
      <c r="R25" s="1054"/>
      <c r="S25" s="1054"/>
      <c r="T25" s="1054"/>
      <c r="U25" s="1054"/>
      <c r="V25" s="1054"/>
      <c r="W25" s="1054"/>
      <c r="X25" s="1054"/>
      <c r="Y25" s="1054"/>
      <c r="Z25" s="1054"/>
      <c r="AA25" s="1054"/>
      <c r="AB25" s="1054"/>
    </row>
    <row r="26">
      <c r="A26" s="1048" t="s">
        <v>4557</v>
      </c>
      <c r="B26" s="1049"/>
      <c r="C26" s="1049">
        <v>1.0</v>
      </c>
      <c r="D26" s="1050"/>
      <c r="E26" s="1051">
        <v>1.0</v>
      </c>
      <c r="F26" s="1049"/>
      <c r="G26" s="1049"/>
      <c r="H26" s="1052">
        <v>50200.0</v>
      </c>
      <c r="I26" s="1053">
        <f t="shared" si="1"/>
        <v>0</v>
      </c>
      <c r="J26" s="1054"/>
      <c r="K26" s="1054"/>
      <c r="L26" s="1053">
        <f t="shared" si="2"/>
        <v>0</v>
      </c>
      <c r="M26" s="1054"/>
      <c r="N26" s="1054"/>
      <c r="O26" s="1054"/>
      <c r="P26" s="1054"/>
      <c r="Q26" s="1054"/>
      <c r="R26" s="1054"/>
      <c r="S26" s="1054"/>
      <c r="T26" s="1054"/>
      <c r="U26" s="1054"/>
      <c r="V26" s="1054"/>
      <c r="W26" s="1054"/>
      <c r="X26" s="1054"/>
      <c r="Y26" s="1054"/>
      <c r="Z26" s="1054"/>
      <c r="AA26" s="1054"/>
      <c r="AB26" s="1054"/>
    </row>
    <row r="27">
      <c r="A27" s="1048" t="s">
        <v>4558</v>
      </c>
      <c r="B27" s="1049"/>
      <c r="C27" s="1049">
        <v>0.0</v>
      </c>
      <c r="D27" s="1050"/>
      <c r="E27" s="1051">
        <v>2.0</v>
      </c>
      <c r="F27" s="1049"/>
      <c r="G27" s="1049"/>
      <c r="H27" s="1052">
        <v>50200.0</v>
      </c>
      <c r="I27" s="1053">
        <f t="shared" si="1"/>
        <v>0</v>
      </c>
      <c r="J27" s="1054"/>
      <c r="K27" s="1054"/>
      <c r="L27" s="1053">
        <f t="shared" si="2"/>
        <v>0</v>
      </c>
      <c r="M27" s="1054"/>
      <c r="N27" s="1054"/>
      <c r="O27" s="1054"/>
      <c r="P27" s="1054"/>
      <c r="Q27" s="1054"/>
      <c r="R27" s="1054"/>
      <c r="S27" s="1054"/>
      <c r="T27" s="1054"/>
      <c r="U27" s="1054"/>
      <c r="V27" s="1054"/>
      <c r="W27" s="1054"/>
      <c r="X27" s="1054"/>
      <c r="Y27" s="1054"/>
      <c r="Z27" s="1054"/>
      <c r="AA27" s="1054"/>
      <c r="AB27" s="1054"/>
    </row>
    <row r="28">
      <c r="A28" s="1048" t="s">
        <v>4559</v>
      </c>
      <c r="B28" s="1049"/>
      <c r="C28" s="1049">
        <v>1.0</v>
      </c>
      <c r="D28" s="1050"/>
      <c r="E28" s="1051">
        <v>1.0</v>
      </c>
      <c r="F28" s="1049"/>
      <c r="G28" s="1049"/>
      <c r="H28" s="1052">
        <v>50200.0</v>
      </c>
      <c r="I28" s="1053">
        <f t="shared" si="1"/>
        <v>0</v>
      </c>
      <c r="J28" s="1054"/>
      <c r="K28" s="1054"/>
      <c r="L28" s="1053">
        <f t="shared" si="2"/>
        <v>0</v>
      </c>
      <c r="M28" s="1054"/>
      <c r="N28" s="1054"/>
      <c r="O28" s="1054"/>
      <c r="P28" s="1054"/>
      <c r="Q28" s="1054"/>
      <c r="R28" s="1054"/>
      <c r="S28" s="1054"/>
      <c r="T28" s="1054"/>
      <c r="U28" s="1054"/>
      <c r="V28" s="1054"/>
      <c r="W28" s="1054"/>
      <c r="X28" s="1054"/>
      <c r="Y28" s="1054"/>
      <c r="Z28" s="1054"/>
      <c r="AA28" s="1054"/>
      <c r="AB28" s="1054"/>
    </row>
    <row r="29">
      <c r="A29" s="1048" t="s">
        <v>4560</v>
      </c>
      <c r="B29" s="1049"/>
      <c r="C29" s="1049">
        <v>1.0</v>
      </c>
      <c r="D29" s="1050"/>
      <c r="E29" s="1051">
        <v>1.0</v>
      </c>
      <c r="F29" s="1049"/>
      <c r="G29" s="1049"/>
      <c r="H29" s="1052">
        <v>50200.0</v>
      </c>
      <c r="I29" s="1053">
        <f t="shared" si="1"/>
        <v>0</v>
      </c>
      <c r="J29" s="1054"/>
      <c r="K29" s="1054"/>
      <c r="L29" s="1053">
        <f t="shared" si="2"/>
        <v>0</v>
      </c>
      <c r="M29" s="1054"/>
      <c r="N29" s="1054"/>
      <c r="O29" s="1054"/>
      <c r="P29" s="1054"/>
      <c r="Q29" s="1054"/>
      <c r="R29" s="1054"/>
      <c r="S29" s="1054"/>
      <c r="T29" s="1054"/>
      <c r="U29" s="1054"/>
      <c r="V29" s="1054"/>
      <c r="W29" s="1054"/>
      <c r="X29" s="1054"/>
      <c r="Y29" s="1054"/>
      <c r="Z29" s="1054"/>
      <c r="AA29" s="1054"/>
      <c r="AB29" s="1054"/>
    </row>
    <row r="30">
      <c r="A30" s="1048" t="s">
        <v>4561</v>
      </c>
      <c r="B30" s="1049"/>
      <c r="C30" s="1049">
        <v>20.0</v>
      </c>
      <c r="D30" s="1050"/>
      <c r="E30" s="1051">
        <v>0.0</v>
      </c>
      <c r="F30" s="1049"/>
      <c r="G30" s="1049"/>
      <c r="H30" s="1052">
        <v>50200.0</v>
      </c>
      <c r="I30" s="1053">
        <f t="shared" si="1"/>
        <v>0</v>
      </c>
      <c r="J30" s="1054"/>
      <c r="K30" s="1054"/>
      <c r="L30" s="1053">
        <f t="shared" si="2"/>
        <v>0</v>
      </c>
      <c r="M30" s="1054"/>
      <c r="N30" s="1054"/>
      <c r="O30" s="1054"/>
      <c r="P30" s="1054"/>
      <c r="Q30" s="1054"/>
      <c r="R30" s="1054"/>
      <c r="S30" s="1054"/>
      <c r="T30" s="1054"/>
      <c r="U30" s="1054"/>
      <c r="V30" s="1054"/>
      <c r="W30" s="1054"/>
      <c r="X30" s="1054"/>
      <c r="Y30" s="1054"/>
      <c r="Z30" s="1054"/>
      <c r="AA30" s="1054"/>
      <c r="AB30" s="1054"/>
    </row>
    <row r="31">
      <c r="A31" s="1048" t="s">
        <v>1693</v>
      </c>
      <c r="B31" s="1049"/>
      <c r="C31" s="1049">
        <v>4.0</v>
      </c>
      <c r="D31" s="1050"/>
      <c r="E31" s="1051">
        <v>0.0</v>
      </c>
      <c r="F31" s="1049"/>
      <c r="G31" s="1049"/>
      <c r="H31" s="1052">
        <v>50200.0</v>
      </c>
      <c r="I31" s="1053">
        <f t="shared" si="1"/>
        <v>0</v>
      </c>
      <c r="J31" s="1054"/>
      <c r="K31" s="1054"/>
      <c r="L31" s="1053">
        <f t="shared" si="2"/>
        <v>0</v>
      </c>
      <c r="M31" s="1054"/>
      <c r="N31" s="1054"/>
      <c r="O31" s="1054"/>
      <c r="P31" s="1054"/>
      <c r="Q31" s="1054"/>
      <c r="R31" s="1054"/>
      <c r="S31" s="1054"/>
      <c r="T31" s="1054"/>
      <c r="U31" s="1054"/>
      <c r="V31" s="1054"/>
      <c r="W31" s="1054"/>
      <c r="X31" s="1054"/>
      <c r="Y31" s="1054"/>
      <c r="Z31" s="1054"/>
      <c r="AA31" s="1054"/>
      <c r="AB31" s="1054"/>
    </row>
    <row r="32">
      <c r="A32" s="1048" t="s">
        <v>1694</v>
      </c>
      <c r="B32" s="1049"/>
      <c r="C32" s="1049">
        <v>18.0</v>
      </c>
      <c r="D32" s="1050"/>
      <c r="E32" s="1051">
        <v>0.0</v>
      </c>
      <c r="F32" s="1049"/>
      <c r="G32" s="1049"/>
      <c r="H32" s="1052">
        <v>50200.0</v>
      </c>
      <c r="I32" s="1053">
        <f t="shared" si="1"/>
        <v>0</v>
      </c>
      <c r="J32" s="1054"/>
      <c r="K32" s="1054"/>
      <c r="L32" s="1053">
        <f t="shared" si="2"/>
        <v>0</v>
      </c>
      <c r="M32" s="1054"/>
      <c r="N32" s="1054"/>
      <c r="O32" s="1054"/>
      <c r="P32" s="1054"/>
      <c r="Q32" s="1054"/>
      <c r="R32" s="1054"/>
      <c r="S32" s="1054"/>
      <c r="T32" s="1054"/>
      <c r="U32" s="1054"/>
      <c r="V32" s="1054"/>
      <c r="W32" s="1054"/>
      <c r="X32" s="1054"/>
      <c r="Y32" s="1054"/>
      <c r="Z32" s="1054"/>
      <c r="AA32" s="1054"/>
      <c r="AB32" s="1054"/>
    </row>
    <row r="33">
      <c r="A33" s="1048" t="s">
        <v>1695</v>
      </c>
      <c r="B33" s="1049"/>
      <c r="C33" s="1049">
        <v>3.0</v>
      </c>
      <c r="D33" s="1050"/>
      <c r="E33" s="1051">
        <v>0.0</v>
      </c>
      <c r="F33" s="1049"/>
      <c r="G33" s="1049"/>
      <c r="H33" s="1052">
        <v>50200.0</v>
      </c>
      <c r="I33" s="1053">
        <f t="shared" si="1"/>
        <v>0</v>
      </c>
      <c r="J33" s="1054"/>
      <c r="K33" s="1054"/>
      <c r="L33" s="1053">
        <f t="shared" si="2"/>
        <v>0</v>
      </c>
      <c r="M33" s="1054"/>
      <c r="N33" s="1054"/>
      <c r="O33" s="1054"/>
      <c r="P33" s="1054"/>
      <c r="Q33" s="1054"/>
      <c r="R33" s="1054"/>
      <c r="S33" s="1054"/>
      <c r="T33" s="1054"/>
      <c r="U33" s="1054"/>
      <c r="V33" s="1054"/>
      <c r="W33" s="1054"/>
      <c r="X33" s="1054"/>
      <c r="Y33" s="1054"/>
      <c r="Z33" s="1054"/>
      <c r="AA33" s="1054"/>
      <c r="AB33" s="1054"/>
    </row>
    <row r="34">
      <c r="A34" s="1048" t="s">
        <v>1696</v>
      </c>
      <c r="B34" s="1049"/>
      <c r="C34" s="1049">
        <v>2.0</v>
      </c>
      <c r="D34" s="1050"/>
      <c r="E34" s="1051">
        <v>0.0</v>
      </c>
      <c r="F34" s="1049"/>
      <c r="G34" s="1049"/>
      <c r="H34" s="1052">
        <v>50200.0</v>
      </c>
      <c r="I34" s="1053">
        <f t="shared" si="1"/>
        <v>0</v>
      </c>
      <c r="J34" s="1054"/>
      <c r="K34" s="1054"/>
      <c r="L34" s="1053">
        <f t="shared" si="2"/>
        <v>0</v>
      </c>
      <c r="M34" s="1054"/>
      <c r="N34" s="1054"/>
      <c r="O34" s="1054"/>
      <c r="P34" s="1054"/>
      <c r="Q34" s="1054"/>
      <c r="R34" s="1054"/>
      <c r="S34" s="1054"/>
      <c r="T34" s="1054"/>
      <c r="U34" s="1054"/>
      <c r="V34" s="1054"/>
      <c r="W34" s="1054"/>
      <c r="X34" s="1054"/>
      <c r="Y34" s="1054"/>
      <c r="Z34" s="1054"/>
      <c r="AA34" s="1054"/>
      <c r="AB34" s="1054"/>
    </row>
    <row r="35">
      <c r="A35" s="1048" t="s">
        <v>1697</v>
      </c>
      <c r="B35" s="1049"/>
      <c r="C35" s="1049">
        <v>0.0</v>
      </c>
      <c r="D35" s="1050"/>
      <c r="E35" s="1051">
        <v>0.0</v>
      </c>
      <c r="F35" s="1049"/>
      <c r="G35" s="1049"/>
      <c r="H35" s="1052">
        <v>50200.0</v>
      </c>
      <c r="I35" s="1053">
        <f t="shared" si="1"/>
        <v>0</v>
      </c>
      <c r="J35" s="1054"/>
      <c r="K35" s="1054"/>
      <c r="L35" s="1053">
        <f t="shared" si="2"/>
        <v>0</v>
      </c>
      <c r="M35" s="1054"/>
      <c r="N35" s="1054"/>
      <c r="O35" s="1054"/>
      <c r="P35" s="1054"/>
      <c r="Q35" s="1054"/>
      <c r="R35" s="1054"/>
      <c r="S35" s="1054"/>
      <c r="T35" s="1054"/>
      <c r="U35" s="1054"/>
      <c r="V35" s="1054"/>
      <c r="W35" s="1054"/>
      <c r="X35" s="1054"/>
      <c r="Y35" s="1054"/>
      <c r="Z35" s="1054"/>
      <c r="AA35" s="1054"/>
      <c r="AB35" s="1054"/>
    </row>
    <row r="36">
      <c r="A36" s="1048" t="s">
        <v>1698</v>
      </c>
      <c r="B36" s="1049"/>
      <c r="C36" s="1049">
        <v>1.0</v>
      </c>
      <c r="D36" s="1050"/>
      <c r="E36" s="1051">
        <v>0.0</v>
      </c>
      <c r="F36" s="1049"/>
      <c r="G36" s="1049"/>
      <c r="H36" s="1052">
        <v>50200.0</v>
      </c>
      <c r="I36" s="1053">
        <f t="shared" si="1"/>
        <v>0</v>
      </c>
      <c r="J36" s="1054"/>
      <c r="K36" s="1054"/>
      <c r="L36" s="1053">
        <f t="shared" si="2"/>
        <v>0</v>
      </c>
      <c r="M36" s="1054"/>
      <c r="N36" s="1054"/>
      <c r="O36" s="1054"/>
      <c r="P36" s="1054"/>
      <c r="Q36" s="1054"/>
      <c r="R36" s="1054"/>
      <c r="S36" s="1054"/>
      <c r="T36" s="1054"/>
      <c r="U36" s="1054"/>
      <c r="V36" s="1054"/>
      <c r="W36" s="1054"/>
      <c r="X36" s="1054"/>
      <c r="Y36" s="1054"/>
      <c r="Z36" s="1054"/>
      <c r="AA36" s="1054"/>
      <c r="AB36" s="1054"/>
    </row>
    <row r="37">
      <c r="A37" s="1048" t="s">
        <v>4562</v>
      </c>
      <c r="B37" s="1049"/>
      <c r="C37" s="1049">
        <v>26.0</v>
      </c>
      <c r="D37" s="1050"/>
      <c r="E37" s="1051">
        <v>0.0</v>
      </c>
      <c r="F37" s="1049"/>
      <c r="G37" s="1049"/>
      <c r="H37" s="1052">
        <v>62501.0</v>
      </c>
      <c r="I37" s="1053">
        <f t="shared" si="1"/>
        <v>0</v>
      </c>
      <c r="J37" s="1054"/>
      <c r="K37" s="1054"/>
      <c r="L37" s="1053">
        <f t="shared" si="2"/>
        <v>0</v>
      </c>
      <c r="M37" s="1054"/>
      <c r="N37" s="1054"/>
      <c r="O37" s="1054"/>
      <c r="P37" s="1054"/>
      <c r="Q37" s="1054"/>
      <c r="R37" s="1054"/>
      <c r="S37" s="1054"/>
      <c r="T37" s="1054"/>
      <c r="U37" s="1054"/>
      <c r="V37" s="1054"/>
      <c r="W37" s="1054"/>
      <c r="X37" s="1054"/>
      <c r="Y37" s="1054"/>
      <c r="Z37" s="1054"/>
      <c r="AA37" s="1054"/>
      <c r="AB37" s="1054"/>
    </row>
    <row r="38">
      <c r="A38" s="1048" t="s">
        <v>4563</v>
      </c>
      <c r="B38" s="1049"/>
      <c r="C38" s="1049">
        <v>1.0</v>
      </c>
      <c r="D38" s="1050"/>
      <c r="E38" s="1051">
        <v>0.0</v>
      </c>
      <c r="F38" s="1049"/>
      <c r="G38" s="1049"/>
      <c r="H38" s="1052">
        <v>50200.0</v>
      </c>
      <c r="I38" s="1053">
        <f t="shared" si="1"/>
        <v>0</v>
      </c>
      <c r="J38" s="1054"/>
      <c r="K38" s="1054"/>
      <c r="L38" s="1053">
        <f t="shared" si="2"/>
        <v>0</v>
      </c>
      <c r="M38" s="1054"/>
      <c r="N38" s="1054"/>
      <c r="O38" s="1054"/>
      <c r="P38" s="1054"/>
      <c r="Q38" s="1054"/>
      <c r="R38" s="1054"/>
      <c r="S38" s="1054"/>
      <c r="T38" s="1054"/>
      <c r="U38" s="1054"/>
      <c r="V38" s="1054"/>
      <c r="W38" s="1054"/>
      <c r="X38" s="1054"/>
      <c r="Y38" s="1054"/>
      <c r="Z38" s="1054"/>
      <c r="AA38" s="1054"/>
      <c r="AB38" s="1054"/>
    </row>
    <row r="39">
      <c r="A39" s="1048" t="s">
        <v>4564</v>
      </c>
      <c r="B39" s="1049"/>
      <c r="C39" s="1049">
        <v>0.0</v>
      </c>
      <c r="D39" s="1050"/>
      <c r="E39" s="1051">
        <v>0.0</v>
      </c>
      <c r="F39" s="1049"/>
      <c r="G39" s="1049"/>
      <c r="H39" s="1052">
        <v>50200.0</v>
      </c>
      <c r="I39" s="1053">
        <f t="shared" si="1"/>
        <v>0</v>
      </c>
      <c r="J39" s="1054"/>
      <c r="K39" s="1054"/>
      <c r="L39" s="1053">
        <f t="shared" si="2"/>
        <v>0</v>
      </c>
      <c r="M39" s="1054"/>
      <c r="N39" s="1054"/>
      <c r="O39" s="1054"/>
      <c r="P39" s="1054"/>
      <c r="Q39" s="1054"/>
      <c r="R39" s="1054"/>
      <c r="S39" s="1054"/>
      <c r="T39" s="1054"/>
      <c r="U39" s="1054"/>
      <c r="V39" s="1054"/>
      <c r="W39" s="1054"/>
      <c r="X39" s="1054"/>
      <c r="Y39" s="1054"/>
      <c r="Z39" s="1054"/>
      <c r="AA39" s="1054"/>
      <c r="AB39" s="1054"/>
    </row>
    <row r="40">
      <c r="A40" s="1048" t="s">
        <v>4565</v>
      </c>
      <c r="B40" s="1049"/>
      <c r="C40" s="1049">
        <v>0.0</v>
      </c>
      <c r="D40" s="1050"/>
      <c r="E40" s="1051">
        <v>0.0</v>
      </c>
      <c r="F40" s="1049"/>
      <c r="G40" s="1049"/>
      <c r="H40" s="1052">
        <v>50200.0</v>
      </c>
      <c r="I40" s="1053">
        <f t="shared" si="1"/>
        <v>0</v>
      </c>
      <c r="J40" s="1054"/>
      <c r="K40" s="1054"/>
      <c r="L40" s="1053">
        <f t="shared" si="2"/>
        <v>0</v>
      </c>
      <c r="M40" s="1054"/>
      <c r="N40" s="1054"/>
      <c r="O40" s="1054"/>
      <c r="P40" s="1054"/>
      <c r="Q40" s="1054"/>
      <c r="R40" s="1054"/>
      <c r="S40" s="1054"/>
      <c r="T40" s="1054"/>
      <c r="U40" s="1054"/>
      <c r="V40" s="1054"/>
      <c r="W40" s="1054"/>
      <c r="X40" s="1054"/>
      <c r="Y40" s="1054"/>
      <c r="Z40" s="1054"/>
      <c r="AA40" s="1054"/>
      <c r="AB40" s="1054"/>
    </row>
    <row r="41">
      <c r="A41" s="1048" t="s">
        <v>4566</v>
      </c>
      <c r="B41" s="1049"/>
      <c r="C41" s="1049">
        <v>2.0</v>
      </c>
      <c r="D41" s="1050"/>
      <c r="E41" s="1051">
        <v>0.0</v>
      </c>
      <c r="F41" s="1049"/>
      <c r="G41" s="1049"/>
      <c r="H41" s="1052">
        <v>50200.0</v>
      </c>
      <c r="I41" s="1053">
        <f t="shared" si="1"/>
        <v>0</v>
      </c>
      <c r="J41" s="1054"/>
      <c r="K41" s="1054"/>
      <c r="L41" s="1053">
        <f t="shared" si="2"/>
        <v>0</v>
      </c>
      <c r="M41" s="1054"/>
      <c r="N41" s="1054"/>
      <c r="O41" s="1054"/>
      <c r="P41" s="1054"/>
      <c r="Q41" s="1054"/>
      <c r="R41" s="1054"/>
      <c r="S41" s="1054"/>
      <c r="T41" s="1054"/>
      <c r="U41" s="1054"/>
      <c r="V41" s="1054"/>
      <c r="W41" s="1054"/>
      <c r="X41" s="1054"/>
      <c r="Y41" s="1054"/>
      <c r="Z41" s="1054"/>
      <c r="AA41" s="1054"/>
      <c r="AB41" s="1054"/>
    </row>
    <row r="42">
      <c r="A42" s="1048" t="s">
        <v>4567</v>
      </c>
      <c r="B42" s="1049"/>
      <c r="C42" s="1049">
        <v>1.0</v>
      </c>
      <c r="D42" s="1050"/>
      <c r="E42" s="1051">
        <v>0.0</v>
      </c>
      <c r="F42" s="1049"/>
      <c r="G42" s="1049"/>
      <c r="H42" s="1052">
        <v>50200.0</v>
      </c>
      <c r="I42" s="1053">
        <f t="shared" si="1"/>
        <v>0</v>
      </c>
      <c r="J42" s="1054"/>
      <c r="K42" s="1054"/>
      <c r="L42" s="1053">
        <f t="shared" si="2"/>
        <v>0</v>
      </c>
      <c r="M42" s="1054"/>
      <c r="N42" s="1054"/>
      <c r="O42" s="1054"/>
      <c r="P42" s="1054"/>
      <c r="Q42" s="1054"/>
      <c r="R42" s="1054"/>
      <c r="S42" s="1054"/>
      <c r="T42" s="1054"/>
      <c r="U42" s="1054"/>
      <c r="V42" s="1054"/>
      <c r="W42" s="1054"/>
      <c r="X42" s="1054"/>
      <c r="Y42" s="1054"/>
      <c r="Z42" s="1054"/>
      <c r="AA42" s="1054"/>
      <c r="AB42" s="1054"/>
    </row>
    <row r="43">
      <c r="A43" s="1048" t="s">
        <v>4568</v>
      </c>
      <c r="B43" s="1049"/>
      <c r="C43" s="1049">
        <v>0.0</v>
      </c>
      <c r="D43" s="1050"/>
      <c r="E43" s="1051">
        <v>0.0</v>
      </c>
      <c r="F43" s="1049"/>
      <c r="G43" s="1049"/>
      <c r="H43" s="1052">
        <v>50200.0</v>
      </c>
      <c r="I43" s="1053">
        <f t="shared" si="1"/>
        <v>0</v>
      </c>
      <c r="J43" s="1054"/>
      <c r="K43" s="1054"/>
      <c r="L43" s="1053">
        <f t="shared" si="2"/>
        <v>0</v>
      </c>
      <c r="M43" s="1054"/>
      <c r="N43" s="1054"/>
      <c r="O43" s="1054"/>
      <c r="P43" s="1054"/>
      <c r="Q43" s="1054"/>
      <c r="R43" s="1054"/>
      <c r="S43" s="1054"/>
      <c r="T43" s="1054"/>
      <c r="U43" s="1054"/>
      <c r="V43" s="1054"/>
      <c r="W43" s="1054"/>
      <c r="X43" s="1054"/>
      <c r="Y43" s="1054"/>
      <c r="Z43" s="1054"/>
      <c r="AA43" s="1054"/>
      <c r="AB43" s="1054"/>
    </row>
    <row r="44">
      <c r="A44" s="1048" t="s">
        <v>4569</v>
      </c>
      <c r="B44" s="1049"/>
      <c r="C44" s="1049">
        <v>17.0</v>
      </c>
      <c r="D44" s="1050"/>
      <c r="E44" s="1051">
        <v>0.0</v>
      </c>
      <c r="F44" s="1049"/>
      <c r="G44" s="1049"/>
      <c r="H44" s="1052">
        <v>41800.0</v>
      </c>
      <c r="I44" s="1053">
        <f t="shared" si="1"/>
        <v>0</v>
      </c>
      <c r="J44" s="1054"/>
      <c r="K44" s="1054"/>
      <c r="L44" s="1053">
        <f t="shared" si="2"/>
        <v>0</v>
      </c>
      <c r="M44" s="1054"/>
      <c r="N44" s="1054"/>
      <c r="O44" s="1054"/>
      <c r="P44" s="1054"/>
      <c r="Q44" s="1054"/>
      <c r="R44" s="1054"/>
      <c r="S44" s="1054"/>
      <c r="T44" s="1054"/>
      <c r="U44" s="1054"/>
      <c r="V44" s="1054"/>
      <c r="W44" s="1054"/>
      <c r="X44" s="1054"/>
      <c r="Y44" s="1054"/>
      <c r="Z44" s="1054"/>
      <c r="AA44" s="1054"/>
      <c r="AB44" s="1054"/>
    </row>
    <row r="45">
      <c r="A45" s="1048" t="s">
        <v>1718</v>
      </c>
      <c r="B45" s="1049"/>
      <c r="C45" s="1049">
        <v>1.0</v>
      </c>
      <c r="D45" s="1050"/>
      <c r="E45" s="1051">
        <v>0.0</v>
      </c>
      <c r="F45" s="1049"/>
      <c r="G45" s="1049"/>
      <c r="H45" s="1052">
        <v>41800.0</v>
      </c>
      <c r="I45" s="1053">
        <f t="shared" si="1"/>
        <v>0</v>
      </c>
      <c r="J45" s="1054"/>
      <c r="K45" s="1054"/>
      <c r="L45" s="1053">
        <f t="shared" si="2"/>
        <v>0</v>
      </c>
      <c r="M45" s="1054"/>
      <c r="N45" s="1054"/>
      <c r="O45" s="1054"/>
      <c r="P45" s="1054"/>
      <c r="Q45" s="1054"/>
      <c r="R45" s="1054"/>
      <c r="S45" s="1054"/>
      <c r="T45" s="1054"/>
      <c r="U45" s="1054"/>
      <c r="V45" s="1054"/>
      <c r="W45" s="1054"/>
      <c r="X45" s="1054"/>
      <c r="Y45" s="1054"/>
      <c r="Z45" s="1054"/>
      <c r="AA45" s="1054"/>
      <c r="AB45" s="1054"/>
    </row>
    <row r="46">
      <c r="A46" s="1048" t="s">
        <v>1719</v>
      </c>
      <c r="B46" s="1049"/>
      <c r="C46" s="1049">
        <v>2.0</v>
      </c>
      <c r="D46" s="1050"/>
      <c r="E46" s="1051">
        <v>0.0</v>
      </c>
      <c r="F46" s="1049"/>
      <c r="G46" s="1049"/>
      <c r="H46" s="1052">
        <v>41800.0</v>
      </c>
      <c r="I46" s="1053">
        <f t="shared" si="1"/>
        <v>0</v>
      </c>
      <c r="J46" s="1054"/>
      <c r="K46" s="1054"/>
      <c r="L46" s="1053">
        <f t="shared" si="2"/>
        <v>0</v>
      </c>
      <c r="M46" s="1054"/>
      <c r="N46" s="1054"/>
      <c r="O46" s="1054"/>
      <c r="P46" s="1054"/>
      <c r="Q46" s="1054"/>
      <c r="R46" s="1054"/>
      <c r="S46" s="1054"/>
      <c r="T46" s="1054"/>
      <c r="U46" s="1054"/>
      <c r="V46" s="1054"/>
      <c r="W46" s="1054"/>
      <c r="X46" s="1054"/>
      <c r="Y46" s="1054"/>
      <c r="Z46" s="1054"/>
      <c r="AA46" s="1054"/>
      <c r="AB46" s="1054"/>
    </row>
    <row r="47">
      <c r="A47" s="1048" t="s">
        <v>1717</v>
      </c>
      <c r="B47" s="1049"/>
      <c r="C47" s="1049">
        <v>7.0</v>
      </c>
      <c r="D47" s="1050"/>
      <c r="E47" s="1051">
        <v>0.0</v>
      </c>
      <c r="F47" s="1049"/>
      <c r="G47" s="1049"/>
      <c r="H47" s="1052">
        <v>41800.0</v>
      </c>
      <c r="I47" s="1053">
        <f t="shared" si="1"/>
        <v>0</v>
      </c>
      <c r="J47" s="1054"/>
      <c r="K47" s="1054"/>
      <c r="L47" s="1053">
        <f t="shared" si="2"/>
        <v>0</v>
      </c>
      <c r="M47" s="1054"/>
      <c r="N47" s="1054"/>
      <c r="O47" s="1054"/>
      <c r="P47" s="1054"/>
      <c r="Q47" s="1054"/>
      <c r="R47" s="1054"/>
      <c r="S47" s="1054"/>
      <c r="T47" s="1054"/>
      <c r="U47" s="1054"/>
      <c r="V47" s="1054"/>
      <c r="W47" s="1054"/>
      <c r="X47" s="1054"/>
      <c r="Y47" s="1054"/>
      <c r="Z47" s="1054"/>
      <c r="AA47" s="1054"/>
      <c r="AB47" s="1054"/>
    </row>
    <row r="48">
      <c r="A48" s="1048" t="s">
        <v>4570</v>
      </c>
      <c r="B48" s="1049"/>
      <c r="C48" s="1049">
        <v>0.0</v>
      </c>
      <c r="D48" s="1050"/>
      <c r="E48" s="1051">
        <v>10.0</v>
      </c>
      <c r="F48" s="1049"/>
      <c r="G48" s="1049"/>
      <c r="H48" s="1052">
        <v>41800.0</v>
      </c>
      <c r="I48" s="1053">
        <f t="shared" si="1"/>
        <v>0</v>
      </c>
      <c r="J48" s="1054"/>
      <c r="K48" s="1054"/>
      <c r="L48" s="1053">
        <f t="shared" si="2"/>
        <v>0</v>
      </c>
      <c r="M48" s="1054"/>
      <c r="N48" s="1054"/>
      <c r="O48" s="1054"/>
      <c r="P48" s="1054"/>
      <c r="Q48" s="1054"/>
      <c r="R48" s="1054"/>
      <c r="S48" s="1054"/>
      <c r="T48" s="1054"/>
      <c r="U48" s="1054"/>
      <c r="V48" s="1054"/>
      <c r="W48" s="1054"/>
      <c r="X48" s="1054"/>
      <c r="Y48" s="1054"/>
      <c r="Z48" s="1054"/>
      <c r="AA48" s="1054"/>
      <c r="AB48" s="1054"/>
    </row>
    <row r="49">
      <c r="A49" s="1048" t="s">
        <v>1721</v>
      </c>
      <c r="B49" s="1049"/>
      <c r="C49" s="1049">
        <v>0.0</v>
      </c>
      <c r="D49" s="1050"/>
      <c r="E49" s="1051">
        <v>0.0</v>
      </c>
      <c r="F49" s="1049"/>
      <c r="G49" s="1049"/>
      <c r="H49" s="1052">
        <v>41800.0</v>
      </c>
      <c r="I49" s="1053">
        <f t="shared" si="1"/>
        <v>0</v>
      </c>
      <c r="J49" s="1054"/>
      <c r="K49" s="1054"/>
      <c r="L49" s="1053">
        <f t="shared" si="2"/>
        <v>0</v>
      </c>
      <c r="M49" s="1054"/>
      <c r="N49" s="1054"/>
      <c r="O49" s="1054"/>
      <c r="P49" s="1054"/>
      <c r="Q49" s="1054"/>
      <c r="R49" s="1054"/>
      <c r="S49" s="1054"/>
      <c r="T49" s="1054"/>
      <c r="U49" s="1054"/>
      <c r="V49" s="1054"/>
      <c r="W49" s="1054"/>
      <c r="X49" s="1054"/>
      <c r="Y49" s="1054"/>
      <c r="Z49" s="1054"/>
      <c r="AA49" s="1054"/>
      <c r="AB49" s="1054"/>
    </row>
    <row r="50">
      <c r="A50" s="1048" t="s">
        <v>1723</v>
      </c>
      <c r="B50" s="1049"/>
      <c r="C50" s="1049">
        <v>0.0</v>
      </c>
      <c r="D50" s="1050"/>
      <c r="E50" s="1051">
        <v>0.0</v>
      </c>
      <c r="F50" s="1049"/>
      <c r="G50" s="1049"/>
      <c r="H50" s="1052">
        <v>41800.0</v>
      </c>
      <c r="I50" s="1053">
        <f t="shared" si="1"/>
        <v>0</v>
      </c>
      <c r="J50" s="1054"/>
      <c r="K50" s="1054"/>
      <c r="L50" s="1053">
        <f t="shared" si="2"/>
        <v>0</v>
      </c>
      <c r="M50" s="1054"/>
      <c r="N50" s="1054"/>
      <c r="O50" s="1054"/>
      <c r="P50" s="1054"/>
      <c r="Q50" s="1054"/>
      <c r="R50" s="1054"/>
      <c r="S50" s="1054"/>
      <c r="T50" s="1054"/>
      <c r="U50" s="1054"/>
      <c r="V50" s="1054"/>
      <c r="W50" s="1054"/>
      <c r="X50" s="1054"/>
      <c r="Y50" s="1054"/>
      <c r="Z50" s="1054"/>
      <c r="AA50" s="1054"/>
      <c r="AB50" s="1054"/>
    </row>
    <row r="51">
      <c r="A51" s="1048" t="s">
        <v>1722</v>
      </c>
      <c r="B51" s="1049"/>
      <c r="C51" s="1049">
        <v>0.0</v>
      </c>
      <c r="D51" s="1050"/>
      <c r="E51" s="1051">
        <v>5.0</v>
      </c>
      <c r="F51" s="1049"/>
      <c r="G51" s="1049"/>
      <c r="H51" s="1052">
        <v>41800.0</v>
      </c>
      <c r="I51" s="1053">
        <f t="shared" si="1"/>
        <v>0</v>
      </c>
      <c r="J51" s="1054"/>
      <c r="K51" s="1054"/>
      <c r="L51" s="1053">
        <f t="shared" si="2"/>
        <v>0</v>
      </c>
      <c r="M51" s="1054"/>
      <c r="N51" s="1054"/>
      <c r="O51" s="1054"/>
      <c r="P51" s="1054"/>
      <c r="Q51" s="1054"/>
      <c r="R51" s="1054"/>
      <c r="S51" s="1054"/>
      <c r="T51" s="1054"/>
      <c r="U51" s="1054"/>
      <c r="V51" s="1054"/>
      <c r="W51" s="1054"/>
      <c r="X51" s="1054"/>
      <c r="Y51" s="1054"/>
      <c r="Z51" s="1054"/>
      <c r="AA51" s="1054"/>
      <c r="AB51" s="1054"/>
    </row>
    <row r="52">
      <c r="A52" s="1048" t="s">
        <v>4571</v>
      </c>
      <c r="B52" s="1049"/>
      <c r="C52" s="1049">
        <v>4.0</v>
      </c>
      <c r="D52" s="1050"/>
      <c r="E52" s="1051">
        <v>2.0</v>
      </c>
      <c r="F52" s="1049"/>
      <c r="G52" s="1049"/>
      <c r="H52" s="1052">
        <v>41800.0</v>
      </c>
      <c r="I52" s="1053">
        <f t="shared" si="1"/>
        <v>0</v>
      </c>
      <c r="J52" s="1054"/>
      <c r="K52" s="1054"/>
      <c r="L52" s="1053">
        <f t="shared" si="2"/>
        <v>0</v>
      </c>
      <c r="M52" s="1054"/>
      <c r="N52" s="1054"/>
      <c r="O52" s="1054"/>
      <c r="P52" s="1054"/>
      <c r="Q52" s="1054"/>
      <c r="R52" s="1054"/>
      <c r="S52" s="1054"/>
      <c r="T52" s="1054"/>
      <c r="U52" s="1054"/>
      <c r="V52" s="1054"/>
      <c r="W52" s="1054"/>
      <c r="X52" s="1054"/>
      <c r="Y52" s="1054"/>
      <c r="Z52" s="1054"/>
      <c r="AA52" s="1054"/>
      <c r="AB52" s="1054"/>
    </row>
    <row r="53">
      <c r="A53" s="1048" t="s">
        <v>1725</v>
      </c>
      <c r="B53" s="1049"/>
      <c r="C53" s="1049">
        <v>0.0</v>
      </c>
      <c r="D53" s="1050"/>
      <c r="E53" s="1051">
        <v>0.0</v>
      </c>
      <c r="F53" s="1049"/>
      <c r="G53" s="1049"/>
      <c r="H53" s="1052">
        <v>41800.0</v>
      </c>
      <c r="I53" s="1053">
        <f t="shared" si="1"/>
        <v>0</v>
      </c>
      <c r="J53" s="1054"/>
      <c r="K53" s="1054"/>
      <c r="L53" s="1053">
        <f t="shared" si="2"/>
        <v>0</v>
      </c>
      <c r="M53" s="1054"/>
      <c r="N53" s="1054"/>
      <c r="O53" s="1054"/>
      <c r="P53" s="1054"/>
      <c r="Q53" s="1054"/>
      <c r="R53" s="1054"/>
      <c r="S53" s="1054"/>
      <c r="T53" s="1054"/>
      <c r="U53" s="1054"/>
      <c r="V53" s="1054"/>
      <c r="W53" s="1054"/>
      <c r="X53" s="1054"/>
      <c r="Y53" s="1054"/>
      <c r="Z53" s="1054"/>
      <c r="AA53" s="1054"/>
      <c r="AB53" s="1054"/>
    </row>
    <row r="54">
      <c r="A54" s="1048" t="s">
        <v>1726</v>
      </c>
      <c r="B54" s="1049"/>
      <c r="C54" s="1049">
        <v>0.0</v>
      </c>
      <c r="D54" s="1050"/>
      <c r="E54" s="1051">
        <v>0.0</v>
      </c>
      <c r="F54" s="1049"/>
      <c r="G54" s="1049"/>
      <c r="H54" s="1052">
        <v>41800.0</v>
      </c>
      <c r="I54" s="1053">
        <f t="shared" si="1"/>
        <v>0</v>
      </c>
      <c r="J54" s="1054"/>
      <c r="K54" s="1054"/>
      <c r="L54" s="1053">
        <f t="shared" si="2"/>
        <v>0</v>
      </c>
      <c r="M54" s="1054"/>
      <c r="N54" s="1054"/>
      <c r="O54" s="1054"/>
      <c r="P54" s="1054"/>
      <c r="Q54" s="1054"/>
      <c r="R54" s="1054"/>
      <c r="S54" s="1054"/>
      <c r="T54" s="1054"/>
      <c r="U54" s="1054"/>
      <c r="V54" s="1054"/>
      <c r="W54" s="1054"/>
      <c r="X54" s="1054"/>
      <c r="Y54" s="1054"/>
      <c r="Z54" s="1054"/>
      <c r="AA54" s="1054"/>
      <c r="AB54" s="1054"/>
    </row>
    <row r="55">
      <c r="A55" s="1048" t="s">
        <v>1727</v>
      </c>
      <c r="B55" s="1049"/>
      <c r="C55" s="1049">
        <v>0.0</v>
      </c>
      <c r="D55" s="1050"/>
      <c r="E55" s="1051">
        <v>0.0</v>
      </c>
      <c r="F55" s="1049"/>
      <c r="G55" s="1049"/>
      <c r="H55" s="1052">
        <v>41800.0</v>
      </c>
      <c r="I55" s="1053">
        <f t="shared" si="1"/>
        <v>0</v>
      </c>
      <c r="J55" s="1054"/>
      <c r="K55" s="1054"/>
      <c r="L55" s="1053">
        <f t="shared" si="2"/>
        <v>0</v>
      </c>
      <c r="M55" s="1054"/>
      <c r="N55" s="1054"/>
      <c r="O55" s="1054"/>
      <c r="P55" s="1054"/>
      <c r="Q55" s="1054"/>
      <c r="R55" s="1054"/>
      <c r="S55" s="1054"/>
      <c r="T55" s="1054"/>
      <c r="U55" s="1054"/>
      <c r="V55" s="1054"/>
      <c r="W55" s="1054"/>
      <c r="X55" s="1054"/>
      <c r="Y55" s="1054"/>
      <c r="Z55" s="1054"/>
      <c r="AA55" s="1054"/>
      <c r="AB55" s="1054"/>
    </row>
    <row r="56">
      <c r="A56" s="1048" t="s">
        <v>4572</v>
      </c>
      <c r="B56" s="1049"/>
      <c r="C56" s="1049">
        <v>0.0</v>
      </c>
      <c r="D56" s="1050"/>
      <c r="E56" s="1051">
        <v>10.0</v>
      </c>
      <c r="F56" s="1049"/>
      <c r="G56" s="1049"/>
      <c r="H56" s="1052">
        <v>111300.0</v>
      </c>
      <c r="I56" s="1053">
        <f t="shared" si="1"/>
        <v>0</v>
      </c>
      <c r="J56" s="1054"/>
      <c r="K56" s="1054"/>
      <c r="L56" s="1053">
        <f t="shared" si="2"/>
        <v>0</v>
      </c>
      <c r="M56" s="1054"/>
      <c r="N56" s="1054"/>
      <c r="O56" s="1054"/>
      <c r="P56" s="1054"/>
      <c r="Q56" s="1054"/>
      <c r="R56" s="1054"/>
      <c r="S56" s="1054"/>
      <c r="T56" s="1054"/>
      <c r="U56" s="1054"/>
      <c r="V56" s="1054"/>
      <c r="W56" s="1054"/>
      <c r="X56" s="1054"/>
      <c r="Y56" s="1054"/>
      <c r="Z56" s="1054"/>
      <c r="AA56" s="1054"/>
      <c r="AB56" s="1054"/>
    </row>
    <row r="57">
      <c r="A57" s="1048" t="s">
        <v>1714</v>
      </c>
      <c r="B57" s="1049"/>
      <c r="C57" s="1049">
        <v>0.0</v>
      </c>
      <c r="D57" s="1050"/>
      <c r="E57" s="1051">
        <v>5.0</v>
      </c>
      <c r="F57" s="1049"/>
      <c r="G57" s="1049"/>
      <c r="H57" s="1052">
        <v>19040.0</v>
      </c>
      <c r="I57" s="1053">
        <f t="shared" si="1"/>
        <v>0</v>
      </c>
      <c r="J57" s="1054"/>
      <c r="K57" s="1054"/>
      <c r="L57" s="1053">
        <f t="shared" si="2"/>
        <v>0</v>
      </c>
      <c r="M57" s="1054"/>
      <c r="N57" s="1054"/>
      <c r="O57" s="1054"/>
      <c r="P57" s="1054"/>
      <c r="Q57" s="1054"/>
      <c r="R57" s="1054"/>
      <c r="S57" s="1054"/>
      <c r="T57" s="1054"/>
      <c r="U57" s="1054"/>
      <c r="V57" s="1054"/>
      <c r="W57" s="1054"/>
      <c r="X57" s="1054"/>
      <c r="Y57" s="1054"/>
      <c r="Z57" s="1054"/>
      <c r="AA57" s="1054"/>
      <c r="AB57" s="1054"/>
    </row>
    <row r="58">
      <c r="A58" s="1048" t="s">
        <v>1708</v>
      </c>
      <c r="B58" s="1049"/>
      <c r="C58" s="1049">
        <v>0.0</v>
      </c>
      <c r="D58" s="1050"/>
      <c r="E58" s="1051">
        <v>0.0</v>
      </c>
      <c r="F58" s="1049"/>
      <c r="G58" s="1049"/>
      <c r="H58" s="1052">
        <v>19040.0</v>
      </c>
      <c r="I58" s="1053">
        <f t="shared" si="1"/>
        <v>0</v>
      </c>
      <c r="J58" s="1054"/>
      <c r="K58" s="1054"/>
      <c r="L58" s="1053">
        <f t="shared" si="2"/>
        <v>0</v>
      </c>
      <c r="M58" s="1054"/>
      <c r="N58" s="1054"/>
      <c r="O58" s="1054"/>
      <c r="P58" s="1054"/>
      <c r="Q58" s="1054"/>
      <c r="R58" s="1054"/>
      <c r="S58" s="1054"/>
      <c r="T58" s="1054"/>
      <c r="U58" s="1054"/>
      <c r="V58" s="1054"/>
      <c r="W58" s="1054"/>
      <c r="X58" s="1054"/>
      <c r="Y58" s="1054"/>
      <c r="Z58" s="1054"/>
      <c r="AA58" s="1054"/>
      <c r="AB58" s="1054"/>
    </row>
    <row r="59">
      <c r="A59" s="1048" t="s">
        <v>1709</v>
      </c>
      <c r="B59" s="1049"/>
      <c r="C59" s="1049">
        <v>0.0</v>
      </c>
      <c r="D59" s="1050"/>
      <c r="E59" s="1051">
        <v>0.0</v>
      </c>
      <c r="F59" s="1049"/>
      <c r="G59" s="1049"/>
      <c r="H59" s="1052">
        <v>19040.0</v>
      </c>
      <c r="I59" s="1053">
        <f t="shared" si="1"/>
        <v>0</v>
      </c>
      <c r="J59" s="1054"/>
      <c r="K59" s="1054"/>
      <c r="L59" s="1053">
        <f t="shared" si="2"/>
        <v>0</v>
      </c>
      <c r="M59" s="1054"/>
      <c r="N59" s="1054"/>
      <c r="O59" s="1054"/>
      <c r="P59" s="1054"/>
      <c r="Q59" s="1054"/>
      <c r="R59" s="1054"/>
      <c r="S59" s="1054"/>
      <c r="T59" s="1054"/>
      <c r="U59" s="1054"/>
      <c r="V59" s="1054"/>
      <c r="W59" s="1054"/>
      <c r="X59" s="1054"/>
      <c r="Y59" s="1054"/>
      <c r="Z59" s="1054"/>
      <c r="AA59" s="1054"/>
      <c r="AB59" s="1054"/>
    </row>
    <row r="60">
      <c r="A60" s="1048" t="s">
        <v>1710</v>
      </c>
      <c r="B60" s="1049"/>
      <c r="C60" s="1049">
        <v>0.0</v>
      </c>
      <c r="D60" s="1050"/>
      <c r="E60" s="1051">
        <v>0.0</v>
      </c>
      <c r="F60" s="1049"/>
      <c r="G60" s="1049"/>
      <c r="H60" s="1052">
        <v>19040.0</v>
      </c>
      <c r="I60" s="1053">
        <f t="shared" si="1"/>
        <v>0</v>
      </c>
      <c r="J60" s="1054"/>
      <c r="K60" s="1054"/>
      <c r="L60" s="1053">
        <f t="shared" si="2"/>
        <v>0</v>
      </c>
      <c r="M60" s="1054"/>
      <c r="N60" s="1054"/>
      <c r="O60" s="1054"/>
      <c r="P60" s="1054"/>
      <c r="Q60" s="1054"/>
      <c r="R60" s="1054"/>
      <c r="S60" s="1054"/>
      <c r="T60" s="1054"/>
      <c r="U60" s="1054"/>
      <c r="V60" s="1054"/>
      <c r="W60" s="1054"/>
      <c r="X60" s="1054"/>
      <c r="Y60" s="1054"/>
      <c r="Z60" s="1054"/>
      <c r="AA60" s="1054"/>
      <c r="AB60" s="1054"/>
    </row>
    <row r="61">
      <c r="A61" s="1048" t="s">
        <v>1711</v>
      </c>
      <c r="B61" s="1049"/>
      <c r="C61" s="1049">
        <v>0.0</v>
      </c>
      <c r="D61" s="1050"/>
      <c r="E61" s="1051">
        <v>0.0</v>
      </c>
      <c r="F61" s="1049"/>
      <c r="G61" s="1049"/>
      <c r="H61" s="1052">
        <v>19040.0</v>
      </c>
      <c r="I61" s="1053">
        <f t="shared" si="1"/>
        <v>0</v>
      </c>
      <c r="J61" s="1054"/>
      <c r="K61" s="1054"/>
      <c r="L61" s="1053">
        <f t="shared" si="2"/>
        <v>0</v>
      </c>
      <c r="M61" s="1054"/>
      <c r="N61" s="1054"/>
      <c r="O61" s="1054"/>
      <c r="P61" s="1054"/>
      <c r="Q61" s="1054"/>
      <c r="R61" s="1054"/>
      <c r="S61" s="1054"/>
      <c r="T61" s="1054"/>
      <c r="U61" s="1054"/>
      <c r="V61" s="1054"/>
      <c r="W61" s="1054"/>
      <c r="X61" s="1054"/>
      <c r="Y61" s="1054"/>
      <c r="Z61" s="1054"/>
      <c r="AA61" s="1054"/>
      <c r="AB61" s="1054"/>
    </row>
    <row r="62">
      <c r="A62" s="1048" t="s">
        <v>1712</v>
      </c>
      <c r="B62" s="1049"/>
      <c r="C62" s="1049">
        <v>0.0</v>
      </c>
      <c r="D62" s="1050"/>
      <c r="E62" s="1051">
        <v>0.0</v>
      </c>
      <c r="F62" s="1049"/>
      <c r="G62" s="1049"/>
      <c r="H62" s="1052">
        <v>19040.0</v>
      </c>
      <c r="I62" s="1053">
        <f t="shared" si="1"/>
        <v>0</v>
      </c>
      <c r="J62" s="1054"/>
      <c r="K62" s="1054"/>
      <c r="L62" s="1053">
        <f t="shared" si="2"/>
        <v>0</v>
      </c>
      <c r="M62" s="1054"/>
      <c r="N62" s="1054"/>
      <c r="O62" s="1054"/>
      <c r="P62" s="1054"/>
      <c r="Q62" s="1054"/>
      <c r="R62" s="1054"/>
      <c r="S62" s="1054"/>
      <c r="T62" s="1054"/>
      <c r="U62" s="1054"/>
      <c r="V62" s="1054"/>
      <c r="W62" s="1054"/>
      <c r="X62" s="1054"/>
      <c r="Y62" s="1054"/>
      <c r="Z62" s="1054"/>
      <c r="AA62" s="1054"/>
      <c r="AB62" s="1054"/>
    </row>
    <row r="63">
      <c r="A63" s="1048" t="s">
        <v>1713</v>
      </c>
      <c r="B63" s="1049"/>
      <c r="C63" s="1049">
        <v>0.0</v>
      </c>
      <c r="D63" s="1050"/>
      <c r="E63" s="1051">
        <v>0.0</v>
      </c>
      <c r="F63" s="1049"/>
      <c r="G63" s="1049"/>
      <c r="H63" s="1052">
        <v>19040.0</v>
      </c>
      <c r="I63" s="1053">
        <f t="shared" si="1"/>
        <v>0</v>
      </c>
      <c r="J63" s="1054"/>
      <c r="K63" s="1054"/>
      <c r="L63" s="1053">
        <f t="shared" si="2"/>
        <v>0</v>
      </c>
      <c r="M63" s="1054"/>
      <c r="N63" s="1054"/>
      <c r="O63" s="1054"/>
      <c r="P63" s="1054"/>
      <c r="Q63" s="1054"/>
      <c r="R63" s="1054"/>
      <c r="S63" s="1054"/>
      <c r="T63" s="1054"/>
      <c r="U63" s="1054"/>
      <c r="V63" s="1054"/>
      <c r="W63" s="1054"/>
      <c r="X63" s="1054"/>
      <c r="Y63" s="1054"/>
      <c r="Z63" s="1054"/>
      <c r="AA63" s="1054"/>
      <c r="AB63" s="1054"/>
    </row>
    <row r="64">
      <c r="A64" s="1048" t="s">
        <v>1715</v>
      </c>
      <c r="B64" s="1049"/>
      <c r="C64" s="1049">
        <v>0.0</v>
      </c>
      <c r="D64" s="1050"/>
      <c r="E64" s="1051">
        <v>5.0</v>
      </c>
      <c r="F64" s="1049"/>
      <c r="G64" s="1049"/>
      <c r="H64" s="1052">
        <v>19040.0</v>
      </c>
      <c r="I64" s="1053">
        <f t="shared" si="1"/>
        <v>0</v>
      </c>
      <c r="J64" s="1054"/>
      <c r="K64" s="1054"/>
      <c r="L64" s="1053">
        <f t="shared" si="2"/>
        <v>0</v>
      </c>
      <c r="M64" s="1054"/>
      <c r="N64" s="1054"/>
      <c r="O64" s="1054"/>
      <c r="P64" s="1054"/>
      <c r="Q64" s="1054"/>
      <c r="R64" s="1054"/>
      <c r="S64" s="1054"/>
      <c r="T64" s="1054"/>
      <c r="U64" s="1054"/>
      <c r="V64" s="1054"/>
      <c r="W64" s="1054"/>
      <c r="X64" s="1054"/>
      <c r="Y64" s="1054"/>
      <c r="Z64" s="1054"/>
      <c r="AA64" s="1054"/>
      <c r="AB64" s="1054"/>
    </row>
    <row r="65">
      <c r="A65" s="1048" t="s">
        <v>4573</v>
      </c>
      <c r="B65" s="1049"/>
      <c r="C65" s="1049">
        <v>1.0</v>
      </c>
      <c r="D65" s="1050"/>
      <c r="E65" s="1051">
        <v>2.0</v>
      </c>
      <c r="F65" s="1049"/>
      <c r="G65" s="1049"/>
      <c r="H65" s="1052">
        <v>19040.0</v>
      </c>
      <c r="I65" s="1053">
        <f t="shared" si="1"/>
        <v>0</v>
      </c>
      <c r="J65" s="1054"/>
      <c r="K65" s="1054"/>
      <c r="L65" s="1055"/>
      <c r="M65" s="1054"/>
      <c r="N65" s="1054"/>
      <c r="O65" s="1054"/>
      <c r="P65" s="1054"/>
      <c r="Q65" s="1054"/>
      <c r="R65" s="1054"/>
      <c r="S65" s="1054"/>
      <c r="T65" s="1054"/>
      <c r="U65" s="1054"/>
      <c r="V65" s="1054"/>
      <c r="W65" s="1054"/>
      <c r="X65" s="1054"/>
      <c r="Y65" s="1054"/>
      <c r="Z65" s="1054"/>
      <c r="AA65" s="1054"/>
      <c r="AB65" s="1054"/>
    </row>
    <row r="66">
      <c r="A66" s="1048" t="s">
        <v>1716</v>
      </c>
      <c r="B66" s="1049"/>
      <c r="C66" s="1049">
        <v>0.0</v>
      </c>
      <c r="D66" s="1050"/>
      <c r="E66" s="1051">
        <v>3.0</v>
      </c>
      <c r="F66" s="1049"/>
      <c r="G66" s="1049"/>
      <c r="H66" s="1052">
        <v>19040.0</v>
      </c>
      <c r="I66" s="1053">
        <f t="shared" si="1"/>
        <v>0</v>
      </c>
      <c r="J66" s="1054"/>
      <c r="K66" s="1054"/>
      <c r="L66" s="1053">
        <f t="shared" ref="L66:L98" si="3">G66*H66</f>
        <v>0</v>
      </c>
      <c r="M66" s="1054"/>
      <c r="N66" s="1054"/>
      <c r="O66" s="1054"/>
      <c r="P66" s="1054"/>
      <c r="Q66" s="1054"/>
      <c r="R66" s="1054"/>
      <c r="S66" s="1054"/>
      <c r="T66" s="1054"/>
      <c r="U66" s="1054"/>
      <c r="V66" s="1054"/>
      <c r="W66" s="1054"/>
      <c r="X66" s="1054"/>
      <c r="Y66" s="1054"/>
      <c r="Z66" s="1054"/>
      <c r="AA66" s="1054"/>
      <c r="AB66" s="1054"/>
    </row>
    <row r="67">
      <c r="A67" s="1048" t="s">
        <v>4574</v>
      </c>
      <c r="B67" s="1049"/>
      <c r="C67" s="1049">
        <v>20.0</v>
      </c>
      <c r="D67" s="1050"/>
      <c r="E67" s="1051">
        <v>0.0</v>
      </c>
      <c r="F67" s="1049"/>
      <c r="G67" s="1049"/>
      <c r="H67" s="1052">
        <v>19040.0</v>
      </c>
      <c r="I67" s="1053">
        <f t="shared" si="1"/>
        <v>0</v>
      </c>
      <c r="J67" s="1054"/>
      <c r="K67" s="1054"/>
      <c r="L67" s="1053">
        <f t="shared" si="3"/>
        <v>0</v>
      </c>
      <c r="M67" s="1054"/>
      <c r="N67" s="1054"/>
      <c r="O67" s="1054"/>
      <c r="P67" s="1054"/>
      <c r="Q67" s="1054"/>
      <c r="R67" s="1054"/>
      <c r="S67" s="1054"/>
      <c r="T67" s="1054"/>
      <c r="U67" s="1054"/>
      <c r="V67" s="1054"/>
      <c r="W67" s="1054"/>
      <c r="X67" s="1054"/>
      <c r="Y67" s="1054"/>
      <c r="Z67" s="1054"/>
      <c r="AA67" s="1054"/>
      <c r="AB67" s="1054"/>
    </row>
    <row r="68">
      <c r="A68" s="1048" t="s">
        <v>4575</v>
      </c>
      <c r="B68" s="1049"/>
      <c r="C68" s="1049">
        <v>0.0</v>
      </c>
      <c r="D68" s="1050"/>
      <c r="E68" s="1051">
        <v>0.0</v>
      </c>
      <c r="F68" s="1049"/>
      <c r="G68" s="1049"/>
      <c r="H68" s="1052">
        <v>19040.0</v>
      </c>
      <c r="I68" s="1053">
        <f t="shared" si="1"/>
        <v>0</v>
      </c>
      <c r="J68" s="1054"/>
      <c r="K68" s="1054"/>
      <c r="L68" s="1053">
        <f t="shared" si="3"/>
        <v>0</v>
      </c>
      <c r="M68" s="1054"/>
      <c r="N68" s="1054"/>
      <c r="O68" s="1054"/>
      <c r="P68" s="1054"/>
      <c r="Q68" s="1054"/>
      <c r="R68" s="1054"/>
      <c r="S68" s="1054"/>
      <c r="T68" s="1054"/>
      <c r="U68" s="1054"/>
      <c r="V68" s="1054"/>
      <c r="W68" s="1054"/>
      <c r="X68" s="1054"/>
      <c r="Y68" s="1054"/>
      <c r="Z68" s="1054"/>
      <c r="AA68" s="1054"/>
      <c r="AB68" s="1054"/>
    </row>
    <row r="69">
      <c r="A69" s="1048" t="s">
        <v>4576</v>
      </c>
      <c r="B69" s="1049"/>
      <c r="C69" s="1049">
        <v>0.0</v>
      </c>
      <c r="D69" s="1050"/>
      <c r="E69" s="1051">
        <v>0.0</v>
      </c>
      <c r="F69" s="1049"/>
      <c r="G69" s="1049"/>
      <c r="H69" s="1052">
        <v>19040.0</v>
      </c>
      <c r="I69" s="1053">
        <f t="shared" si="1"/>
        <v>0</v>
      </c>
      <c r="J69" s="1054"/>
      <c r="K69" s="1054"/>
      <c r="L69" s="1053">
        <f t="shared" si="3"/>
        <v>0</v>
      </c>
      <c r="M69" s="1054"/>
      <c r="N69" s="1054"/>
      <c r="O69" s="1054"/>
      <c r="P69" s="1054"/>
      <c r="Q69" s="1054"/>
      <c r="R69" s="1054"/>
      <c r="S69" s="1054"/>
      <c r="T69" s="1054"/>
      <c r="U69" s="1054"/>
      <c r="V69" s="1054"/>
      <c r="W69" s="1054"/>
      <c r="X69" s="1054"/>
      <c r="Y69" s="1054"/>
      <c r="Z69" s="1054"/>
      <c r="AA69" s="1054"/>
      <c r="AB69" s="1054"/>
    </row>
    <row r="70">
      <c r="A70" s="1048" t="s">
        <v>4577</v>
      </c>
      <c r="B70" s="1049"/>
      <c r="C70" s="1049">
        <v>0.0</v>
      </c>
      <c r="D70" s="1050"/>
      <c r="E70" s="1051">
        <v>0.0</v>
      </c>
      <c r="F70" s="1049"/>
      <c r="G70" s="1049"/>
      <c r="H70" s="1052">
        <v>19040.0</v>
      </c>
      <c r="I70" s="1053">
        <f t="shared" si="1"/>
        <v>0</v>
      </c>
      <c r="J70" s="1054"/>
      <c r="K70" s="1054"/>
      <c r="L70" s="1053">
        <f t="shared" si="3"/>
        <v>0</v>
      </c>
      <c r="M70" s="1054"/>
      <c r="N70" s="1054"/>
      <c r="O70" s="1054"/>
      <c r="P70" s="1054"/>
      <c r="Q70" s="1054"/>
      <c r="R70" s="1054"/>
      <c r="S70" s="1054"/>
      <c r="T70" s="1054"/>
      <c r="U70" s="1054"/>
      <c r="V70" s="1054"/>
      <c r="W70" s="1054"/>
      <c r="X70" s="1054"/>
      <c r="Y70" s="1054"/>
      <c r="Z70" s="1054"/>
      <c r="AA70" s="1054"/>
      <c r="AB70" s="1054"/>
    </row>
    <row r="71">
      <c r="A71" s="1048" t="s">
        <v>4578</v>
      </c>
      <c r="B71" s="1049"/>
      <c r="C71" s="1049">
        <v>0.0</v>
      </c>
      <c r="D71" s="1050"/>
      <c r="E71" s="1051">
        <v>5.0</v>
      </c>
      <c r="F71" s="1049"/>
      <c r="G71" s="1049"/>
      <c r="H71" s="1052">
        <v>19040.0</v>
      </c>
      <c r="I71" s="1053">
        <f t="shared" si="1"/>
        <v>0</v>
      </c>
      <c r="J71" s="1054"/>
      <c r="K71" s="1054"/>
      <c r="L71" s="1053">
        <f t="shared" si="3"/>
        <v>0</v>
      </c>
      <c r="M71" s="1054"/>
      <c r="N71" s="1054"/>
      <c r="O71" s="1054"/>
      <c r="P71" s="1054"/>
      <c r="Q71" s="1054"/>
      <c r="R71" s="1054"/>
      <c r="S71" s="1054"/>
      <c r="T71" s="1054"/>
      <c r="U71" s="1054"/>
      <c r="V71" s="1054"/>
      <c r="W71" s="1054"/>
      <c r="X71" s="1054"/>
      <c r="Y71" s="1054"/>
      <c r="Z71" s="1054"/>
      <c r="AA71" s="1054"/>
      <c r="AB71" s="1054"/>
    </row>
    <row r="72">
      <c r="A72" s="1048" t="s">
        <v>4579</v>
      </c>
      <c r="B72" s="1049"/>
      <c r="C72" s="1049">
        <v>0.0</v>
      </c>
      <c r="D72" s="1050"/>
      <c r="E72" s="1051">
        <v>0.0</v>
      </c>
      <c r="F72" s="1049"/>
      <c r="G72" s="1049"/>
      <c r="H72" s="1052">
        <v>19040.0</v>
      </c>
      <c r="I72" s="1053">
        <f t="shared" si="1"/>
        <v>0</v>
      </c>
      <c r="J72" s="1054"/>
      <c r="K72" s="1054"/>
      <c r="L72" s="1053">
        <f t="shared" si="3"/>
        <v>0</v>
      </c>
      <c r="M72" s="1054"/>
      <c r="N72" s="1054"/>
      <c r="O72" s="1054"/>
      <c r="P72" s="1054"/>
      <c r="Q72" s="1054"/>
      <c r="R72" s="1054"/>
      <c r="S72" s="1054"/>
      <c r="T72" s="1054"/>
      <c r="U72" s="1054"/>
      <c r="V72" s="1054"/>
      <c r="W72" s="1054"/>
      <c r="X72" s="1054"/>
      <c r="Y72" s="1054"/>
      <c r="Z72" s="1054"/>
      <c r="AA72" s="1054"/>
      <c r="AB72" s="1054"/>
    </row>
    <row r="73">
      <c r="A73" s="1048" t="s">
        <v>4580</v>
      </c>
      <c r="B73" s="1049"/>
      <c r="C73" s="1049">
        <v>0.0</v>
      </c>
      <c r="D73" s="1050"/>
      <c r="E73" s="1051">
        <v>0.0</v>
      </c>
      <c r="F73" s="1049"/>
      <c r="G73" s="1049"/>
      <c r="H73" s="1052">
        <v>19040.0</v>
      </c>
      <c r="I73" s="1053">
        <f t="shared" si="1"/>
        <v>0</v>
      </c>
      <c r="J73" s="1054"/>
      <c r="K73" s="1054"/>
      <c r="L73" s="1053">
        <f t="shared" si="3"/>
        <v>0</v>
      </c>
      <c r="M73" s="1054"/>
      <c r="N73" s="1054"/>
      <c r="O73" s="1054"/>
      <c r="P73" s="1054"/>
      <c r="Q73" s="1054"/>
      <c r="R73" s="1054"/>
      <c r="S73" s="1054"/>
      <c r="T73" s="1054"/>
      <c r="U73" s="1054"/>
      <c r="V73" s="1054"/>
      <c r="W73" s="1054"/>
      <c r="X73" s="1054"/>
      <c r="Y73" s="1054"/>
      <c r="Z73" s="1054"/>
      <c r="AA73" s="1054"/>
      <c r="AB73" s="1054"/>
    </row>
    <row r="74">
      <c r="A74" s="1048" t="s">
        <v>4581</v>
      </c>
      <c r="B74" s="1049"/>
      <c r="C74" s="1049">
        <v>0.0</v>
      </c>
      <c r="D74" s="1050"/>
      <c r="E74" s="1051">
        <v>0.0</v>
      </c>
      <c r="F74" s="1049"/>
      <c r="G74" s="1049"/>
      <c r="H74" s="1052">
        <v>19040.0</v>
      </c>
      <c r="I74" s="1053">
        <f t="shared" si="1"/>
        <v>0</v>
      </c>
      <c r="J74" s="1054"/>
      <c r="K74" s="1054"/>
      <c r="L74" s="1053">
        <f t="shared" si="3"/>
        <v>0</v>
      </c>
      <c r="M74" s="1054"/>
      <c r="N74" s="1054"/>
      <c r="O74" s="1054"/>
      <c r="P74" s="1054"/>
      <c r="Q74" s="1054"/>
      <c r="R74" s="1054"/>
      <c r="S74" s="1054"/>
      <c r="T74" s="1054"/>
      <c r="U74" s="1054"/>
      <c r="V74" s="1054"/>
      <c r="W74" s="1054"/>
      <c r="X74" s="1054"/>
      <c r="Y74" s="1054"/>
      <c r="Z74" s="1054"/>
      <c r="AA74" s="1054"/>
      <c r="AB74" s="1054"/>
    </row>
    <row r="75">
      <c r="A75" s="1056" t="s">
        <v>4582</v>
      </c>
      <c r="B75" s="1057"/>
      <c r="C75" s="1057">
        <v>3.0</v>
      </c>
      <c r="D75" s="1050"/>
      <c r="E75" s="1051">
        <v>0.0</v>
      </c>
      <c r="F75" s="1049"/>
      <c r="G75" s="1049"/>
      <c r="H75" s="1052">
        <v>19040.0</v>
      </c>
      <c r="I75" s="1053">
        <f t="shared" si="1"/>
        <v>0</v>
      </c>
      <c r="J75" s="1054"/>
      <c r="K75" s="1054"/>
      <c r="L75" s="1053">
        <f t="shared" si="3"/>
        <v>0</v>
      </c>
      <c r="M75" s="1054"/>
      <c r="N75" s="1054"/>
      <c r="O75" s="1054"/>
      <c r="P75" s="1054"/>
      <c r="Q75" s="1054"/>
      <c r="R75" s="1054"/>
      <c r="S75" s="1054"/>
      <c r="T75" s="1054"/>
      <c r="U75" s="1054"/>
      <c r="V75" s="1054"/>
      <c r="W75" s="1054"/>
      <c r="X75" s="1054"/>
      <c r="Y75" s="1054"/>
      <c r="Z75" s="1054"/>
      <c r="AA75" s="1054"/>
      <c r="AB75" s="1054"/>
    </row>
    <row r="76">
      <c r="A76" s="1056" t="s">
        <v>4583</v>
      </c>
      <c r="B76" s="1057"/>
      <c r="C76" s="1057">
        <v>9.0</v>
      </c>
      <c r="D76" s="1050"/>
      <c r="E76" s="1051">
        <v>0.0</v>
      </c>
      <c r="F76" s="1049"/>
      <c r="G76" s="1049"/>
      <c r="H76" s="1052">
        <v>19040.0</v>
      </c>
      <c r="I76" s="1053">
        <f t="shared" si="1"/>
        <v>0</v>
      </c>
      <c r="J76" s="1054"/>
      <c r="K76" s="1054"/>
      <c r="L76" s="1053">
        <f t="shared" si="3"/>
        <v>0</v>
      </c>
      <c r="M76" s="1054"/>
      <c r="N76" s="1054"/>
      <c r="O76" s="1054"/>
      <c r="P76" s="1054"/>
      <c r="Q76" s="1054"/>
      <c r="R76" s="1054"/>
      <c r="S76" s="1054"/>
      <c r="T76" s="1054"/>
      <c r="U76" s="1054"/>
      <c r="V76" s="1054"/>
      <c r="W76" s="1054"/>
      <c r="X76" s="1054"/>
      <c r="Y76" s="1054"/>
      <c r="Z76" s="1054"/>
      <c r="AA76" s="1054"/>
      <c r="AB76" s="1054"/>
    </row>
    <row r="77">
      <c r="A77" s="1056" t="s">
        <v>4584</v>
      </c>
      <c r="B77" s="1057"/>
      <c r="C77" s="1057">
        <v>2.0</v>
      </c>
      <c r="D77" s="1050"/>
      <c r="E77" s="1051">
        <v>0.0</v>
      </c>
      <c r="F77" s="1049"/>
      <c r="G77" s="1049"/>
      <c r="H77" s="1052">
        <v>19040.0</v>
      </c>
      <c r="I77" s="1053">
        <f t="shared" si="1"/>
        <v>0</v>
      </c>
      <c r="J77" s="1054"/>
      <c r="K77" s="1054"/>
      <c r="L77" s="1053">
        <f t="shared" si="3"/>
        <v>0</v>
      </c>
      <c r="M77" s="1054"/>
      <c r="N77" s="1054"/>
      <c r="O77" s="1054"/>
      <c r="P77" s="1054"/>
      <c r="Q77" s="1054"/>
      <c r="R77" s="1054"/>
      <c r="S77" s="1054"/>
      <c r="T77" s="1054"/>
      <c r="U77" s="1054"/>
      <c r="V77" s="1054"/>
      <c r="W77" s="1054"/>
      <c r="X77" s="1054"/>
      <c r="Y77" s="1054"/>
      <c r="Z77" s="1054"/>
      <c r="AA77" s="1054"/>
      <c r="AB77" s="1054"/>
    </row>
    <row r="78">
      <c r="A78" s="1056" t="s">
        <v>4585</v>
      </c>
      <c r="B78" s="1057"/>
      <c r="C78" s="1057">
        <v>0.0</v>
      </c>
      <c r="D78" s="1050"/>
      <c r="E78" s="1051">
        <v>2.0</v>
      </c>
      <c r="F78" s="1049"/>
      <c r="G78" s="1049"/>
      <c r="H78" s="1052">
        <v>19040.0</v>
      </c>
      <c r="I78" s="1053">
        <f t="shared" si="1"/>
        <v>0</v>
      </c>
      <c r="J78" s="1054"/>
      <c r="K78" s="1054"/>
      <c r="L78" s="1053">
        <f t="shared" si="3"/>
        <v>0</v>
      </c>
      <c r="M78" s="1054"/>
      <c r="N78" s="1054"/>
      <c r="O78" s="1054"/>
      <c r="P78" s="1054"/>
      <c r="Q78" s="1054"/>
      <c r="R78" s="1054"/>
      <c r="S78" s="1054"/>
      <c r="T78" s="1054"/>
      <c r="U78" s="1054"/>
      <c r="V78" s="1054"/>
      <c r="W78" s="1054"/>
      <c r="X78" s="1054"/>
      <c r="Y78" s="1054"/>
      <c r="Z78" s="1054"/>
      <c r="AA78" s="1054"/>
      <c r="AB78" s="1054"/>
    </row>
    <row r="79">
      <c r="A79" s="1048" t="s">
        <v>1019</v>
      </c>
      <c r="B79" s="1049"/>
      <c r="C79" s="1049">
        <v>2.0</v>
      </c>
      <c r="D79" s="1050"/>
      <c r="E79" s="1051">
        <v>3.0</v>
      </c>
      <c r="F79" s="1049"/>
      <c r="G79" s="1049"/>
      <c r="H79" s="1052">
        <v>60000.0</v>
      </c>
      <c r="I79" s="1053">
        <f t="shared" si="1"/>
        <v>0</v>
      </c>
      <c r="J79" s="1054"/>
      <c r="K79" s="1054"/>
      <c r="L79" s="1053">
        <f t="shared" si="3"/>
        <v>0</v>
      </c>
      <c r="M79" s="1054"/>
      <c r="N79" s="1054"/>
      <c r="O79" s="1054"/>
      <c r="P79" s="1054"/>
      <c r="Q79" s="1054"/>
      <c r="R79" s="1054"/>
      <c r="S79" s="1054"/>
      <c r="T79" s="1054"/>
      <c r="U79" s="1054"/>
      <c r="V79" s="1054"/>
      <c r="W79" s="1054"/>
      <c r="X79" s="1054"/>
      <c r="Y79" s="1054"/>
      <c r="Z79" s="1054"/>
      <c r="AA79" s="1054"/>
      <c r="AB79" s="1054"/>
    </row>
    <row r="80">
      <c r="A80" s="1048" t="s">
        <v>4586</v>
      </c>
      <c r="B80" s="1049"/>
      <c r="C80" s="1049">
        <v>2.0</v>
      </c>
      <c r="D80" s="1050"/>
      <c r="E80" s="1051">
        <v>3.0</v>
      </c>
      <c r="F80" s="1049"/>
      <c r="G80" s="1049"/>
      <c r="H80" s="1052">
        <v>60000.0</v>
      </c>
      <c r="I80" s="1053">
        <f t="shared" si="1"/>
        <v>0</v>
      </c>
      <c r="J80" s="1054"/>
      <c r="K80" s="1054"/>
      <c r="L80" s="1053">
        <f t="shared" si="3"/>
        <v>0</v>
      </c>
      <c r="M80" s="1054"/>
      <c r="N80" s="1054"/>
      <c r="O80" s="1054"/>
      <c r="P80" s="1054"/>
      <c r="Q80" s="1054"/>
      <c r="R80" s="1054"/>
      <c r="S80" s="1054"/>
      <c r="T80" s="1054"/>
      <c r="U80" s="1054"/>
      <c r="V80" s="1054"/>
      <c r="W80" s="1054"/>
      <c r="X80" s="1054"/>
      <c r="Y80" s="1054"/>
      <c r="Z80" s="1054"/>
      <c r="AA80" s="1054"/>
      <c r="AB80" s="1054"/>
    </row>
    <row r="81">
      <c r="A81" s="1048" t="s">
        <v>1214</v>
      </c>
      <c r="B81" s="1049"/>
      <c r="C81" s="1049">
        <v>0.0</v>
      </c>
      <c r="D81" s="1050"/>
      <c r="E81" s="1051">
        <v>0.0</v>
      </c>
      <c r="F81" s="1049"/>
      <c r="G81" s="1049"/>
      <c r="H81" s="1052">
        <v>41129.0</v>
      </c>
      <c r="I81" s="1053">
        <f t="shared" si="1"/>
        <v>0</v>
      </c>
      <c r="J81" s="1054"/>
      <c r="K81" s="1054"/>
      <c r="L81" s="1053">
        <f t="shared" si="3"/>
        <v>0</v>
      </c>
      <c r="M81" s="1054"/>
      <c r="N81" s="1054"/>
      <c r="O81" s="1054"/>
      <c r="P81" s="1054"/>
      <c r="Q81" s="1054"/>
      <c r="R81" s="1054"/>
      <c r="S81" s="1054"/>
      <c r="T81" s="1054"/>
      <c r="U81" s="1054"/>
      <c r="V81" s="1054"/>
      <c r="W81" s="1054"/>
      <c r="X81" s="1054"/>
      <c r="Y81" s="1054"/>
      <c r="Z81" s="1054"/>
      <c r="AA81" s="1054"/>
      <c r="AB81" s="1054"/>
    </row>
    <row r="82">
      <c r="A82" s="1048" t="s">
        <v>753</v>
      </c>
      <c r="B82" s="1049"/>
      <c r="C82" s="1049">
        <v>1.0</v>
      </c>
      <c r="D82" s="1050"/>
      <c r="E82" s="1051">
        <v>0.0</v>
      </c>
      <c r="F82" s="1049"/>
      <c r="G82" s="1049"/>
      <c r="H82" s="1052">
        <v>67200.0</v>
      </c>
      <c r="I82" s="1053">
        <f t="shared" si="1"/>
        <v>0</v>
      </c>
      <c r="J82" s="1054"/>
      <c r="K82" s="1054"/>
      <c r="L82" s="1053">
        <f t="shared" si="3"/>
        <v>0</v>
      </c>
      <c r="M82" s="1054"/>
      <c r="N82" s="1054"/>
      <c r="O82" s="1054"/>
      <c r="P82" s="1054"/>
      <c r="Q82" s="1054"/>
      <c r="R82" s="1054"/>
      <c r="S82" s="1054"/>
      <c r="T82" s="1054"/>
      <c r="U82" s="1054"/>
      <c r="V82" s="1054"/>
      <c r="W82" s="1054"/>
      <c r="X82" s="1054"/>
      <c r="Y82" s="1054"/>
      <c r="Z82" s="1054"/>
      <c r="AA82" s="1054"/>
      <c r="AB82" s="1054"/>
    </row>
    <row r="83">
      <c r="A83" s="1048" t="s">
        <v>1003</v>
      </c>
      <c r="B83" s="1049"/>
      <c r="C83" s="1049">
        <v>0.0</v>
      </c>
      <c r="D83" s="1050"/>
      <c r="E83" s="1051">
        <v>0.0</v>
      </c>
      <c r="F83" s="1049"/>
      <c r="G83" s="1049"/>
      <c r="H83" s="1052">
        <v>105000.0</v>
      </c>
      <c r="I83" s="1053">
        <f t="shared" si="1"/>
        <v>0</v>
      </c>
      <c r="J83" s="1054"/>
      <c r="K83" s="1054"/>
      <c r="L83" s="1053">
        <f t="shared" si="3"/>
        <v>0</v>
      </c>
      <c r="M83" s="1054"/>
      <c r="N83" s="1054"/>
      <c r="O83" s="1054"/>
      <c r="P83" s="1054"/>
      <c r="Q83" s="1054"/>
      <c r="R83" s="1054"/>
      <c r="S83" s="1054"/>
      <c r="T83" s="1054"/>
      <c r="U83" s="1054"/>
      <c r="V83" s="1054"/>
      <c r="W83" s="1054"/>
      <c r="X83" s="1054"/>
      <c r="Y83" s="1054"/>
      <c r="Z83" s="1054"/>
      <c r="AA83" s="1054"/>
      <c r="AB83" s="1054"/>
    </row>
    <row r="84">
      <c r="A84" s="1058" t="s">
        <v>967</v>
      </c>
      <c r="B84" s="1049"/>
      <c r="C84" s="1049">
        <v>0.0</v>
      </c>
      <c r="D84" s="1050"/>
      <c r="E84" s="1051">
        <v>0.0</v>
      </c>
      <c r="F84" s="1049"/>
      <c r="G84" s="1049"/>
      <c r="H84" s="1052">
        <v>46500.0</v>
      </c>
      <c r="I84" s="1053">
        <f t="shared" si="1"/>
        <v>0</v>
      </c>
      <c r="J84" s="1054"/>
      <c r="K84" s="1054"/>
      <c r="L84" s="1053">
        <f t="shared" si="3"/>
        <v>0</v>
      </c>
      <c r="M84" s="1054"/>
      <c r="N84" s="1054"/>
      <c r="O84" s="1054"/>
      <c r="P84" s="1054"/>
      <c r="Q84" s="1054"/>
      <c r="R84" s="1054"/>
      <c r="S84" s="1054"/>
      <c r="T84" s="1054"/>
      <c r="U84" s="1054"/>
      <c r="V84" s="1054"/>
      <c r="W84" s="1054"/>
      <c r="X84" s="1054"/>
      <c r="Y84" s="1054"/>
      <c r="Z84" s="1054"/>
      <c r="AA84" s="1054"/>
      <c r="AB84" s="1054"/>
    </row>
    <row r="85">
      <c r="A85" s="1059" t="s">
        <v>1835</v>
      </c>
      <c r="B85" s="1049"/>
      <c r="C85" s="1049">
        <v>0.0</v>
      </c>
      <c r="D85" s="1050"/>
      <c r="E85" s="1051">
        <v>5.0</v>
      </c>
      <c r="F85" s="1049"/>
      <c r="G85" s="1049"/>
      <c r="H85" s="1052">
        <v>83000.0</v>
      </c>
      <c r="I85" s="1053">
        <f t="shared" si="1"/>
        <v>0</v>
      </c>
      <c r="J85" s="1054"/>
      <c r="K85" s="1054"/>
      <c r="L85" s="1053">
        <f t="shared" si="3"/>
        <v>0</v>
      </c>
      <c r="M85" s="1054"/>
      <c r="N85" s="1054"/>
      <c r="O85" s="1054"/>
      <c r="P85" s="1054"/>
      <c r="Q85" s="1054"/>
      <c r="R85" s="1054"/>
      <c r="S85" s="1054"/>
      <c r="T85" s="1054"/>
      <c r="U85" s="1054"/>
      <c r="V85" s="1054"/>
      <c r="W85" s="1054"/>
      <c r="X85" s="1054"/>
      <c r="Y85" s="1054"/>
      <c r="Z85" s="1054"/>
      <c r="AA85" s="1054"/>
      <c r="AB85" s="1054"/>
    </row>
    <row r="86">
      <c r="A86" s="1048" t="s">
        <v>609</v>
      </c>
      <c r="B86" s="1049"/>
      <c r="C86" s="1049"/>
      <c r="D86" s="1050"/>
      <c r="E86" s="1051">
        <v>0.0</v>
      </c>
      <c r="F86" s="1049"/>
      <c r="G86" s="1049"/>
      <c r="H86" s="1052">
        <v>0.0</v>
      </c>
      <c r="I86" s="1053">
        <f t="shared" si="1"/>
        <v>0</v>
      </c>
      <c r="J86" s="1054"/>
      <c r="K86" s="1054"/>
      <c r="L86" s="1053">
        <f t="shared" si="3"/>
        <v>0</v>
      </c>
      <c r="M86" s="1054"/>
      <c r="N86" s="1054"/>
      <c r="O86" s="1054"/>
      <c r="P86" s="1054"/>
      <c r="Q86" s="1054"/>
      <c r="R86" s="1054"/>
      <c r="S86" s="1054"/>
      <c r="T86" s="1054"/>
      <c r="U86" s="1054"/>
      <c r="V86" s="1054"/>
      <c r="W86" s="1054"/>
      <c r="X86" s="1054"/>
      <c r="Y86" s="1054"/>
      <c r="Z86" s="1054"/>
      <c r="AA86" s="1054"/>
      <c r="AB86" s="1054"/>
    </row>
    <row r="87">
      <c r="A87" s="1059" t="s">
        <v>4587</v>
      </c>
      <c r="B87" s="1049"/>
      <c r="C87" s="1049"/>
      <c r="D87" s="1050"/>
      <c r="E87" s="1051"/>
      <c r="F87" s="1049"/>
      <c r="G87" s="1049"/>
      <c r="H87" s="1052">
        <v>33000.0</v>
      </c>
      <c r="I87" s="1053">
        <f t="shared" si="1"/>
        <v>0</v>
      </c>
      <c r="J87" s="1054"/>
      <c r="K87" s="1054"/>
      <c r="L87" s="1053">
        <f t="shared" si="3"/>
        <v>0</v>
      </c>
      <c r="M87" s="1054"/>
      <c r="N87" s="1054"/>
      <c r="O87" s="1054"/>
      <c r="P87" s="1054"/>
      <c r="Q87" s="1054"/>
      <c r="R87" s="1054"/>
      <c r="S87" s="1054"/>
      <c r="T87" s="1054"/>
      <c r="U87" s="1054"/>
      <c r="V87" s="1054"/>
      <c r="W87" s="1054"/>
      <c r="X87" s="1054"/>
      <c r="Y87" s="1054"/>
      <c r="Z87" s="1054"/>
      <c r="AA87" s="1054"/>
      <c r="AB87" s="1054"/>
    </row>
    <row r="88">
      <c r="A88" s="1059" t="s">
        <v>4588</v>
      </c>
      <c r="B88" s="1049"/>
      <c r="C88" s="1049"/>
      <c r="D88" s="1050"/>
      <c r="E88" s="1051"/>
      <c r="F88" s="1049"/>
      <c r="G88" s="1049"/>
      <c r="H88" s="1052">
        <v>33000.0</v>
      </c>
      <c r="I88" s="1053">
        <f t="shared" si="1"/>
        <v>0</v>
      </c>
      <c r="J88" s="1054"/>
      <c r="K88" s="1054"/>
      <c r="L88" s="1053">
        <f t="shared" si="3"/>
        <v>0</v>
      </c>
      <c r="M88" s="1054"/>
      <c r="N88" s="1054"/>
      <c r="O88" s="1054"/>
      <c r="P88" s="1054"/>
      <c r="Q88" s="1054"/>
      <c r="R88" s="1054"/>
      <c r="S88" s="1054"/>
      <c r="T88" s="1054"/>
      <c r="U88" s="1054"/>
      <c r="V88" s="1054"/>
      <c r="W88" s="1054"/>
      <c r="X88" s="1054"/>
      <c r="Y88" s="1054"/>
      <c r="Z88" s="1054"/>
      <c r="AA88" s="1054"/>
      <c r="AB88" s="1054"/>
    </row>
    <row r="89">
      <c r="A89" s="1056" t="s">
        <v>775</v>
      </c>
      <c r="B89" s="1049"/>
      <c r="C89" s="1049"/>
      <c r="D89" s="1050"/>
      <c r="E89" s="1051"/>
      <c r="F89" s="1049"/>
      <c r="G89" s="1049"/>
      <c r="H89" s="1052">
        <v>33000.0</v>
      </c>
      <c r="I89" s="1053">
        <f t="shared" si="1"/>
        <v>0</v>
      </c>
      <c r="J89" s="1054"/>
      <c r="K89" s="1054"/>
      <c r="L89" s="1053">
        <f t="shared" si="3"/>
        <v>0</v>
      </c>
      <c r="M89" s="1054"/>
      <c r="N89" s="1054"/>
      <c r="O89" s="1054"/>
      <c r="P89" s="1054"/>
      <c r="Q89" s="1054"/>
      <c r="R89" s="1054"/>
      <c r="S89" s="1054"/>
      <c r="T89" s="1054"/>
      <c r="U89" s="1054"/>
      <c r="V89" s="1054"/>
      <c r="W89" s="1054"/>
      <c r="X89" s="1054"/>
      <c r="Y89" s="1054"/>
      <c r="Z89" s="1054"/>
      <c r="AA89" s="1054"/>
      <c r="AB89" s="1054"/>
    </row>
    <row r="90">
      <c r="A90" s="1060" t="s">
        <v>776</v>
      </c>
      <c r="B90" s="1049"/>
      <c r="C90" s="1049"/>
      <c r="D90" s="1050"/>
      <c r="E90" s="1051"/>
      <c r="F90" s="1049"/>
      <c r="G90" s="1049"/>
      <c r="H90" s="1052">
        <v>33000.0</v>
      </c>
      <c r="I90" s="1053">
        <f t="shared" si="1"/>
        <v>0</v>
      </c>
      <c r="J90" s="1054"/>
      <c r="K90" s="1054"/>
      <c r="L90" s="1053">
        <f t="shared" si="3"/>
        <v>0</v>
      </c>
      <c r="M90" s="1054"/>
      <c r="N90" s="1054"/>
      <c r="O90" s="1054"/>
      <c r="P90" s="1054"/>
      <c r="Q90" s="1054"/>
      <c r="R90" s="1054"/>
      <c r="S90" s="1054"/>
      <c r="T90" s="1054"/>
      <c r="U90" s="1054"/>
      <c r="V90" s="1054"/>
      <c r="W90" s="1054"/>
      <c r="X90" s="1054"/>
      <c r="Y90" s="1054"/>
      <c r="Z90" s="1054"/>
      <c r="AA90" s="1054"/>
      <c r="AB90" s="1054"/>
    </row>
    <row r="91">
      <c r="A91" s="1060" t="s">
        <v>777</v>
      </c>
      <c r="B91" s="1049"/>
      <c r="C91" s="1049"/>
      <c r="D91" s="1050"/>
      <c r="E91" s="1051"/>
      <c r="F91" s="1049"/>
      <c r="G91" s="1049"/>
      <c r="H91" s="1052">
        <v>33000.0</v>
      </c>
      <c r="I91" s="1053">
        <f t="shared" si="1"/>
        <v>0</v>
      </c>
      <c r="J91" s="1054"/>
      <c r="K91" s="1054"/>
      <c r="L91" s="1053">
        <f t="shared" si="3"/>
        <v>0</v>
      </c>
      <c r="M91" s="1054"/>
      <c r="N91" s="1054"/>
      <c r="O91" s="1054"/>
      <c r="P91" s="1054"/>
      <c r="Q91" s="1054"/>
      <c r="R91" s="1054"/>
      <c r="S91" s="1054"/>
      <c r="T91" s="1054"/>
      <c r="U91" s="1054"/>
      <c r="V91" s="1054"/>
      <c r="W91" s="1054"/>
      <c r="X91" s="1054"/>
      <c r="Y91" s="1054"/>
      <c r="Z91" s="1054"/>
      <c r="AA91" s="1054"/>
      <c r="AB91" s="1054"/>
    </row>
    <row r="92">
      <c r="A92" s="1056" t="s">
        <v>778</v>
      </c>
      <c r="B92" s="1049"/>
      <c r="C92" s="1049"/>
      <c r="D92" s="1050"/>
      <c r="E92" s="1051"/>
      <c r="F92" s="1049"/>
      <c r="G92" s="1049"/>
      <c r="H92" s="1052">
        <v>33000.0</v>
      </c>
      <c r="I92" s="1053">
        <f t="shared" si="1"/>
        <v>0</v>
      </c>
      <c r="J92" s="1054"/>
      <c r="K92" s="1054"/>
      <c r="L92" s="1053">
        <f t="shared" si="3"/>
        <v>0</v>
      </c>
      <c r="M92" s="1054"/>
      <c r="N92" s="1054"/>
      <c r="O92" s="1054"/>
      <c r="P92" s="1054"/>
      <c r="Q92" s="1054"/>
      <c r="R92" s="1054"/>
      <c r="S92" s="1054"/>
      <c r="T92" s="1054"/>
      <c r="U92" s="1054"/>
      <c r="V92" s="1054"/>
      <c r="W92" s="1054"/>
      <c r="X92" s="1054"/>
      <c r="Y92" s="1054"/>
      <c r="Z92" s="1054"/>
      <c r="AA92" s="1054"/>
      <c r="AB92" s="1054"/>
    </row>
    <row r="93">
      <c r="A93" s="1060" t="s">
        <v>779</v>
      </c>
      <c r="B93" s="1049"/>
      <c r="C93" s="1049"/>
      <c r="D93" s="1050"/>
      <c r="E93" s="1051"/>
      <c r="F93" s="1049"/>
      <c r="G93" s="1049"/>
      <c r="H93" s="1052">
        <v>33000.0</v>
      </c>
      <c r="I93" s="1053">
        <f t="shared" si="1"/>
        <v>0</v>
      </c>
      <c r="J93" s="1054"/>
      <c r="K93" s="1054"/>
      <c r="L93" s="1053">
        <f t="shared" si="3"/>
        <v>0</v>
      </c>
      <c r="M93" s="1054"/>
      <c r="N93" s="1054"/>
      <c r="O93" s="1054"/>
      <c r="P93" s="1054"/>
      <c r="Q93" s="1054"/>
      <c r="R93" s="1054"/>
      <c r="S93" s="1054"/>
      <c r="T93" s="1054"/>
      <c r="U93" s="1054"/>
      <c r="V93" s="1054"/>
      <c r="W93" s="1054"/>
      <c r="X93" s="1054"/>
      <c r="Y93" s="1054"/>
      <c r="Z93" s="1054"/>
      <c r="AA93" s="1054"/>
      <c r="AB93" s="1054"/>
    </row>
    <row r="94">
      <c r="A94" s="1056" t="s">
        <v>780</v>
      </c>
      <c r="B94" s="1049"/>
      <c r="C94" s="1049"/>
      <c r="D94" s="1050"/>
      <c r="E94" s="1051"/>
      <c r="F94" s="1049"/>
      <c r="G94" s="1049"/>
      <c r="H94" s="1052">
        <v>33000.0</v>
      </c>
      <c r="I94" s="1053">
        <f t="shared" si="1"/>
        <v>0</v>
      </c>
      <c r="J94" s="1054"/>
      <c r="K94" s="1054"/>
      <c r="L94" s="1053">
        <f t="shared" si="3"/>
        <v>0</v>
      </c>
      <c r="M94" s="1054"/>
      <c r="N94" s="1054"/>
      <c r="O94" s="1054"/>
      <c r="P94" s="1054"/>
      <c r="Q94" s="1054"/>
      <c r="R94" s="1054"/>
      <c r="S94" s="1054"/>
      <c r="T94" s="1054"/>
      <c r="U94" s="1054"/>
      <c r="V94" s="1054"/>
      <c r="W94" s="1054"/>
      <c r="X94" s="1054"/>
      <c r="Y94" s="1054"/>
      <c r="Z94" s="1054"/>
      <c r="AA94" s="1054"/>
      <c r="AB94" s="1054"/>
    </row>
    <row r="95">
      <c r="A95" s="1048" t="s">
        <v>1011</v>
      </c>
      <c r="B95" s="1049"/>
      <c r="C95" s="1049"/>
      <c r="D95" s="1050"/>
      <c r="E95" s="1051"/>
      <c r="F95" s="1049"/>
      <c r="G95" s="1049"/>
      <c r="H95" s="1052">
        <v>0.0</v>
      </c>
      <c r="I95" s="1053">
        <f t="shared" si="1"/>
        <v>0</v>
      </c>
      <c r="J95" s="1054"/>
      <c r="K95" s="1054"/>
      <c r="L95" s="1053">
        <f t="shared" si="3"/>
        <v>0</v>
      </c>
      <c r="M95" s="1054"/>
      <c r="N95" s="1054"/>
      <c r="O95" s="1054"/>
      <c r="P95" s="1054"/>
      <c r="Q95" s="1054"/>
      <c r="R95" s="1054"/>
      <c r="S95" s="1054"/>
      <c r="T95" s="1054"/>
      <c r="U95" s="1054"/>
      <c r="V95" s="1054"/>
      <c r="W95" s="1054"/>
      <c r="X95" s="1054"/>
      <c r="Y95" s="1054"/>
      <c r="Z95" s="1054"/>
      <c r="AA95" s="1054"/>
      <c r="AB95" s="1054"/>
    </row>
    <row r="96">
      <c r="A96" s="1048" t="s">
        <v>1013</v>
      </c>
      <c r="B96" s="1049"/>
      <c r="C96" s="1049"/>
      <c r="D96" s="1050"/>
      <c r="E96" s="1051"/>
      <c r="F96" s="1049"/>
      <c r="G96" s="1049"/>
      <c r="H96" s="1052">
        <v>0.0</v>
      </c>
      <c r="I96" s="1053">
        <f t="shared" si="1"/>
        <v>0</v>
      </c>
      <c r="J96" s="1054"/>
      <c r="K96" s="1054"/>
      <c r="L96" s="1053">
        <f t="shared" si="3"/>
        <v>0</v>
      </c>
      <c r="M96" s="1054"/>
      <c r="N96" s="1054"/>
      <c r="O96" s="1054"/>
      <c r="P96" s="1054"/>
      <c r="Q96" s="1054"/>
      <c r="R96" s="1054"/>
      <c r="S96" s="1054"/>
      <c r="T96" s="1054"/>
      <c r="U96" s="1054"/>
      <c r="V96" s="1054"/>
      <c r="W96" s="1054"/>
      <c r="X96" s="1054"/>
      <c r="Y96" s="1054"/>
      <c r="Z96" s="1054"/>
      <c r="AA96" s="1054"/>
      <c r="AB96" s="1054"/>
    </row>
    <row r="97">
      <c r="A97" s="1048" t="s">
        <v>1022</v>
      </c>
      <c r="B97" s="1049"/>
      <c r="C97" s="1049"/>
      <c r="D97" s="1050"/>
      <c r="E97" s="1051"/>
      <c r="F97" s="1049"/>
      <c r="G97" s="1049"/>
      <c r="H97" s="1052">
        <v>60000.0</v>
      </c>
      <c r="I97" s="1053">
        <f t="shared" si="1"/>
        <v>0</v>
      </c>
      <c r="J97" s="1054"/>
      <c r="K97" s="1054"/>
      <c r="L97" s="1053">
        <f t="shared" si="3"/>
        <v>0</v>
      </c>
      <c r="M97" s="1054"/>
      <c r="N97" s="1054"/>
      <c r="O97" s="1054"/>
      <c r="P97" s="1054"/>
      <c r="Q97" s="1054"/>
      <c r="R97" s="1054"/>
      <c r="S97" s="1054"/>
      <c r="T97" s="1054"/>
      <c r="U97" s="1054"/>
      <c r="V97" s="1054"/>
      <c r="W97" s="1054"/>
      <c r="X97" s="1054"/>
      <c r="Y97" s="1054"/>
      <c r="Z97" s="1054"/>
      <c r="AA97" s="1054"/>
      <c r="AB97" s="1054"/>
    </row>
    <row r="98">
      <c r="A98" s="1048" t="s">
        <v>1220</v>
      </c>
      <c r="B98" s="1049"/>
      <c r="C98" s="126"/>
      <c r="D98" s="1050"/>
      <c r="E98" s="1051"/>
      <c r="F98" s="1049"/>
      <c r="G98" s="1049"/>
      <c r="H98" s="1052">
        <v>0.0</v>
      </c>
      <c r="I98" s="1053">
        <f t="shared" si="1"/>
        <v>0</v>
      </c>
      <c r="J98" s="1054"/>
      <c r="K98" s="1054"/>
      <c r="L98" s="1053">
        <f t="shared" si="3"/>
        <v>0</v>
      </c>
      <c r="M98" s="1054"/>
      <c r="N98" s="1054"/>
      <c r="O98" s="1054"/>
      <c r="P98" s="1054"/>
      <c r="Q98" s="1054"/>
      <c r="R98" s="1054"/>
      <c r="S98" s="1054"/>
      <c r="T98" s="1054"/>
      <c r="U98" s="1054"/>
      <c r="V98" s="1054"/>
      <c r="W98" s="1054"/>
      <c r="X98" s="1054"/>
      <c r="Y98" s="1054"/>
      <c r="Z98" s="1054"/>
      <c r="AA98" s="1054"/>
      <c r="AB98" s="1054"/>
    </row>
    <row r="99">
      <c r="A99" s="1054"/>
      <c r="B99" s="1061"/>
      <c r="C99" s="1061"/>
      <c r="D99" s="1062"/>
      <c r="E99" s="1061"/>
      <c r="F99" s="1061"/>
      <c r="G99" s="1061"/>
      <c r="H99" s="1063"/>
      <c r="I99" s="1054"/>
      <c r="J99" s="1054"/>
      <c r="K99" s="1054"/>
      <c r="L99" s="1054"/>
      <c r="M99" s="1054"/>
      <c r="N99" s="1054"/>
      <c r="O99" s="1054"/>
      <c r="P99" s="1054"/>
      <c r="Q99" s="1054"/>
      <c r="R99" s="1054"/>
      <c r="S99" s="1054"/>
      <c r="T99" s="1054"/>
      <c r="U99" s="1054"/>
      <c r="V99" s="1054"/>
      <c r="W99" s="1054"/>
      <c r="X99" s="1054"/>
      <c r="Y99" s="1054"/>
      <c r="Z99" s="1054"/>
      <c r="AA99" s="1054"/>
      <c r="AB99" s="1054"/>
    </row>
    <row r="100" ht="19.5" customHeight="1">
      <c r="A100" s="1054"/>
      <c r="B100" s="1061"/>
      <c r="C100" s="1061"/>
      <c r="D100" s="1062"/>
      <c r="E100" s="1061"/>
      <c r="F100" s="1061"/>
      <c r="G100" s="1061"/>
      <c r="H100" s="1063"/>
      <c r="I100" s="1064">
        <f>SUM(I1:I98)</f>
        <v>0</v>
      </c>
      <c r="J100" s="1054"/>
      <c r="K100" s="1054"/>
      <c r="L100" s="1064">
        <f>SUM(L1:L98)</f>
        <v>0</v>
      </c>
      <c r="M100" s="1054"/>
      <c r="N100" s="1054"/>
      <c r="O100" s="1054"/>
      <c r="P100" s="1054"/>
      <c r="Q100" s="1054"/>
      <c r="R100" s="1054"/>
      <c r="S100" s="1054"/>
      <c r="T100" s="1054"/>
      <c r="U100" s="1054"/>
      <c r="V100" s="1054"/>
      <c r="W100" s="1054"/>
      <c r="X100" s="1054"/>
      <c r="Y100" s="1054"/>
      <c r="Z100" s="1054"/>
      <c r="AA100" s="1054"/>
      <c r="AB100" s="1054"/>
    </row>
    <row r="101">
      <c r="A101" s="1054"/>
      <c r="B101" s="1061"/>
      <c r="C101" s="1061"/>
      <c r="D101" s="1061"/>
      <c r="E101" s="1061"/>
      <c r="F101" s="1061"/>
      <c r="G101" s="1061"/>
      <c r="H101" s="1063"/>
      <c r="I101" s="1054"/>
      <c r="J101" s="1054"/>
      <c r="K101" s="1054"/>
      <c r="L101" s="1054"/>
      <c r="M101" s="1054"/>
      <c r="N101" s="1054"/>
      <c r="O101" s="1054"/>
      <c r="P101" s="1054"/>
      <c r="Q101" s="1054"/>
      <c r="R101" s="1054"/>
      <c r="S101" s="1054"/>
      <c r="T101" s="1054"/>
      <c r="U101" s="1054"/>
      <c r="V101" s="1054"/>
      <c r="W101" s="1054"/>
      <c r="X101" s="1054"/>
      <c r="Y101" s="1054"/>
      <c r="Z101" s="1054"/>
      <c r="AA101" s="1054"/>
      <c r="AB101" s="1054"/>
    </row>
    <row r="102">
      <c r="A102" s="1054"/>
      <c r="B102" s="1061"/>
      <c r="C102" s="1061"/>
      <c r="D102" s="1061"/>
      <c r="E102" s="1061"/>
      <c r="F102" s="1061"/>
      <c r="G102" s="1061"/>
      <c r="H102" s="1063"/>
      <c r="I102" s="1054"/>
      <c r="J102" s="1054"/>
      <c r="K102" s="1054"/>
      <c r="L102" s="1054"/>
      <c r="M102" s="1054"/>
      <c r="N102" s="1054"/>
      <c r="O102" s="1054"/>
      <c r="P102" s="1054"/>
      <c r="Q102" s="1054"/>
      <c r="R102" s="1054"/>
      <c r="S102" s="1054"/>
      <c r="T102" s="1054"/>
      <c r="U102" s="1054"/>
      <c r="V102" s="1054"/>
      <c r="W102" s="1054"/>
      <c r="X102" s="1054"/>
      <c r="Y102" s="1054"/>
      <c r="Z102" s="1054"/>
      <c r="AA102" s="1054"/>
      <c r="AB102" s="1054"/>
    </row>
    <row r="103">
      <c r="A103" s="1054"/>
      <c r="B103" s="1061"/>
      <c r="C103" s="1061"/>
      <c r="D103" s="1061"/>
      <c r="E103" s="1061"/>
      <c r="F103" s="1061"/>
      <c r="G103" s="1061"/>
      <c r="H103" s="1063"/>
      <c r="I103" s="1054"/>
      <c r="J103" s="1054"/>
      <c r="K103" s="1054"/>
      <c r="L103" s="1054"/>
      <c r="M103" s="1054"/>
      <c r="N103" s="1054"/>
      <c r="O103" s="1054"/>
      <c r="P103" s="1054"/>
      <c r="Q103" s="1054"/>
      <c r="R103" s="1054"/>
      <c r="S103" s="1054"/>
      <c r="T103" s="1054"/>
      <c r="U103" s="1054"/>
      <c r="V103" s="1054"/>
      <c r="W103" s="1054"/>
      <c r="X103" s="1054"/>
      <c r="Y103" s="1054"/>
      <c r="Z103" s="1054"/>
      <c r="AA103" s="1054"/>
      <c r="AB103" s="1054"/>
    </row>
    <row r="104">
      <c r="A104" s="1054"/>
      <c r="B104" s="1061"/>
      <c r="C104" s="1061"/>
      <c r="D104" s="1061"/>
      <c r="E104" s="1061"/>
      <c r="F104" s="1061"/>
      <c r="G104" s="1061"/>
      <c r="H104" s="1063"/>
      <c r="I104" s="1054"/>
      <c r="J104" s="1054"/>
      <c r="K104" s="1054"/>
      <c r="L104" s="1054"/>
      <c r="M104" s="1054"/>
      <c r="N104" s="1054"/>
      <c r="O104" s="1054"/>
      <c r="P104" s="1054"/>
      <c r="Q104" s="1054"/>
      <c r="R104" s="1054"/>
      <c r="S104" s="1054"/>
      <c r="T104" s="1054"/>
      <c r="U104" s="1054"/>
      <c r="V104" s="1054"/>
      <c r="W104" s="1054"/>
      <c r="X104" s="1054"/>
      <c r="Y104" s="1054"/>
      <c r="Z104" s="1054"/>
      <c r="AA104" s="1054"/>
      <c r="AB104" s="1054"/>
    </row>
    <row r="105">
      <c r="A105" s="1054"/>
      <c r="B105" s="1061"/>
      <c r="C105" s="1061"/>
      <c r="D105" s="1061"/>
      <c r="E105" s="1061"/>
      <c r="F105" s="1061"/>
      <c r="G105" s="1061"/>
      <c r="H105" s="1063"/>
      <c r="I105" s="1054"/>
      <c r="J105" s="1054"/>
      <c r="K105" s="1054"/>
      <c r="L105" s="1054"/>
      <c r="M105" s="1054"/>
      <c r="N105" s="1054"/>
      <c r="O105" s="1054"/>
      <c r="P105" s="1054"/>
      <c r="Q105" s="1054"/>
      <c r="R105" s="1054"/>
      <c r="S105" s="1054"/>
      <c r="T105" s="1054"/>
      <c r="U105" s="1054"/>
      <c r="V105" s="1054"/>
      <c r="W105" s="1054"/>
      <c r="X105" s="1054"/>
      <c r="Y105" s="1054"/>
      <c r="Z105" s="1054"/>
      <c r="AA105" s="1054"/>
      <c r="AB105" s="1054"/>
    </row>
    <row r="106">
      <c r="A106" s="1054"/>
      <c r="B106" s="1061"/>
      <c r="C106" s="1061"/>
      <c r="D106" s="1061"/>
      <c r="E106" s="1061"/>
      <c r="F106" s="1061"/>
      <c r="G106" s="1061"/>
      <c r="H106" s="1063"/>
      <c r="I106" s="1054"/>
      <c r="J106" s="1054"/>
      <c r="K106" s="1054"/>
      <c r="L106" s="1054"/>
      <c r="M106" s="1054"/>
      <c r="N106" s="1054"/>
      <c r="O106" s="1054"/>
      <c r="P106" s="1054"/>
      <c r="Q106" s="1054"/>
      <c r="R106" s="1054"/>
      <c r="S106" s="1054"/>
      <c r="T106" s="1054"/>
      <c r="U106" s="1054"/>
      <c r="V106" s="1054"/>
      <c r="W106" s="1054"/>
      <c r="X106" s="1054"/>
      <c r="Y106" s="1054"/>
      <c r="Z106" s="1054"/>
      <c r="AA106" s="1054"/>
      <c r="AB106" s="1054"/>
    </row>
    <row r="107">
      <c r="A107" s="1054"/>
      <c r="B107" s="1061"/>
      <c r="C107" s="1061"/>
      <c r="D107" s="1061"/>
      <c r="E107" s="1061"/>
      <c r="F107" s="1061"/>
      <c r="G107" s="1061"/>
      <c r="H107" s="1063"/>
      <c r="I107" s="1054"/>
      <c r="J107" s="1054"/>
      <c r="K107" s="1054"/>
      <c r="L107" s="1054"/>
      <c r="M107" s="1054"/>
      <c r="N107" s="1054"/>
      <c r="O107" s="1054"/>
      <c r="P107" s="1054"/>
      <c r="Q107" s="1054"/>
      <c r="R107" s="1054"/>
      <c r="S107" s="1054"/>
      <c r="T107" s="1054"/>
      <c r="U107" s="1054"/>
      <c r="V107" s="1054"/>
      <c r="W107" s="1054"/>
      <c r="X107" s="1054"/>
      <c r="Y107" s="1054"/>
      <c r="Z107" s="1054"/>
      <c r="AA107" s="1054"/>
      <c r="AB107" s="1054"/>
    </row>
    <row r="108">
      <c r="A108" s="1054"/>
      <c r="B108" s="1061"/>
      <c r="C108" s="1061"/>
      <c r="D108" s="1061"/>
      <c r="E108" s="1061"/>
      <c r="F108" s="1061"/>
      <c r="G108" s="1061"/>
      <c r="H108" s="1063"/>
      <c r="I108" s="1054"/>
      <c r="J108" s="1054"/>
      <c r="K108" s="1054"/>
      <c r="L108" s="1054"/>
      <c r="M108" s="1054"/>
      <c r="N108" s="1054"/>
      <c r="O108" s="1054"/>
      <c r="P108" s="1054"/>
      <c r="Q108" s="1054"/>
      <c r="R108" s="1054"/>
      <c r="S108" s="1054"/>
      <c r="T108" s="1054"/>
      <c r="U108" s="1054"/>
      <c r="V108" s="1054"/>
      <c r="W108" s="1054"/>
      <c r="X108" s="1054"/>
      <c r="Y108" s="1054"/>
      <c r="Z108" s="1054"/>
      <c r="AA108" s="1054"/>
      <c r="AB108" s="1054"/>
    </row>
    <row r="109">
      <c r="A109" s="1054"/>
      <c r="B109" s="1061"/>
      <c r="C109" s="1061"/>
      <c r="D109" s="1061"/>
      <c r="E109" s="1061"/>
      <c r="F109" s="1061"/>
      <c r="G109" s="1061"/>
      <c r="H109" s="1063"/>
      <c r="I109" s="1054"/>
      <c r="J109" s="1054"/>
      <c r="K109" s="1054"/>
      <c r="L109" s="1054"/>
      <c r="M109" s="1054"/>
      <c r="N109" s="1054"/>
      <c r="O109" s="1054"/>
      <c r="P109" s="1054"/>
      <c r="Q109" s="1054"/>
      <c r="R109" s="1054"/>
      <c r="S109" s="1054"/>
      <c r="T109" s="1054"/>
      <c r="U109" s="1054"/>
      <c r="V109" s="1054"/>
      <c r="W109" s="1054"/>
      <c r="X109" s="1054"/>
      <c r="Y109" s="1054"/>
      <c r="Z109" s="1054"/>
      <c r="AA109" s="1054"/>
      <c r="AB109" s="1054"/>
    </row>
    <row r="110">
      <c r="A110" s="1054"/>
      <c r="B110" s="1061"/>
      <c r="C110" s="1061"/>
      <c r="D110" s="1061"/>
      <c r="E110" s="1061"/>
      <c r="F110" s="1061"/>
      <c r="G110" s="1061"/>
      <c r="H110" s="1063"/>
      <c r="I110" s="1054"/>
      <c r="J110" s="1054"/>
      <c r="K110" s="1054"/>
      <c r="L110" s="1054"/>
      <c r="M110" s="1054"/>
      <c r="N110" s="1054"/>
      <c r="O110" s="1054"/>
      <c r="P110" s="1054"/>
      <c r="Q110" s="1054"/>
      <c r="R110" s="1054"/>
      <c r="S110" s="1054"/>
      <c r="T110" s="1054"/>
      <c r="U110" s="1054"/>
      <c r="V110" s="1054"/>
      <c r="W110" s="1054"/>
      <c r="X110" s="1054"/>
      <c r="Y110" s="1054"/>
      <c r="Z110" s="1054"/>
      <c r="AA110" s="1054"/>
      <c r="AB110" s="1054"/>
    </row>
    <row r="111">
      <c r="A111" s="1054"/>
      <c r="B111" s="1061"/>
      <c r="C111" s="1061"/>
      <c r="D111" s="1061"/>
      <c r="E111" s="1061"/>
      <c r="F111" s="1061"/>
      <c r="G111" s="1061"/>
      <c r="H111" s="1063"/>
      <c r="I111" s="1054"/>
      <c r="J111" s="1054"/>
      <c r="K111" s="1054"/>
      <c r="L111" s="1054"/>
      <c r="M111" s="1054"/>
      <c r="N111" s="1054"/>
      <c r="O111" s="1054"/>
      <c r="P111" s="1054"/>
      <c r="Q111" s="1054"/>
      <c r="R111" s="1054"/>
      <c r="S111" s="1054"/>
      <c r="T111" s="1054"/>
      <c r="U111" s="1054"/>
      <c r="V111" s="1054"/>
      <c r="W111" s="1054"/>
      <c r="X111" s="1054"/>
      <c r="Y111" s="1054"/>
      <c r="Z111" s="1054"/>
      <c r="AA111" s="1054"/>
      <c r="AB111" s="1054"/>
    </row>
    <row r="112">
      <c r="A112" s="1054"/>
      <c r="B112" s="1061"/>
      <c r="C112" s="1061"/>
      <c r="D112" s="1061"/>
      <c r="E112" s="1061"/>
      <c r="F112" s="1061"/>
      <c r="G112" s="1061"/>
      <c r="H112" s="1063"/>
      <c r="I112" s="1054"/>
      <c r="J112" s="1054"/>
      <c r="K112" s="1054"/>
      <c r="L112" s="1054"/>
      <c r="M112" s="1054"/>
      <c r="N112" s="1054"/>
      <c r="O112" s="1054"/>
      <c r="P112" s="1054"/>
      <c r="Q112" s="1054"/>
      <c r="R112" s="1054"/>
      <c r="S112" s="1054"/>
      <c r="T112" s="1054"/>
      <c r="U112" s="1054"/>
      <c r="V112" s="1054"/>
      <c r="W112" s="1054"/>
      <c r="X112" s="1054"/>
      <c r="Y112" s="1054"/>
      <c r="Z112" s="1054"/>
      <c r="AA112" s="1054"/>
      <c r="AB112" s="1054"/>
    </row>
    <row r="113">
      <c r="A113" s="1054"/>
      <c r="B113" s="1061"/>
      <c r="C113" s="1061"/>
      <c r="D113" s="1061"/>
      <c r="E113" s="1061"/>
      <c r="F113" s="1061"/>
      <c r="G113" s="1061"/>
      <c r="H113" s="1063"/>
      <c r="I113" s="1054"/>
      <c r="J113" s="1054"/>
      <c r="K113" s="1054"/>
      <c r="L113" s="1054"/>
      <c r="M113" s="1054"/>
      <c r="N113" s="1054"/>
      <c r="O113" s="1054"/>
      <c r="P113" s="1054"/>
      <c r="Q113" s="1054"/>
      <c r="R113" s="1054"/>
      <c r="S113" s="1054"/>
      <c r="T113" s="1054"/>
      <c r="U113" s="1054"/>
      <c r="V113" s="1054"/>
      <c r="W113" s="1054"/>
      <c r="X113" s="1054"/>
      <c r="Y113" s="1054"/>
      <c r="Z113" s="1054"/>
      <c r="AA113" s="1054"/>
      <c r="AB113" s="1054"/>
    </row>
    <row r="114">
      <c r="A114" s="1054"/>
      <c r="B114" s="1061"/>
      <c r="C114" s="1061"/>
      <c r="D114" s="1061"/>
      <c r="E114" s="1061"/>
      <c r="F114" s="1061"/>
      <c r="G114" s="1061"/>
      <c r="H114" s="1063"/>
      <c r="I114" s="1054"/>
      <c r="J114" s="1054"/>
      <c r="K114" s="1054"/>
      <c r="L114" s="1054"/>
      <c r="M114" s="1054"/>
      <c r="N114" s="1054"/>
      <c r="O114" s="1054"/>
      <c r="P114" s="1054"/>
      <c r="Q114" s="1054"/>
      <c r="R114" s="1054"/>
      <c r="S114" s="1054"/>
      <c r="T114" s="1054"/>
      <c r="U114" s="1054"/>
      <c r="V114" s="1054"/>
      <c r="W114" s="1054"/>
      <c r="X114" s="1054"/>
      <c r="Y114" s="1054"/>
      <c r="Z114" s="1054"/>
      <c r="AA114" s="1054"/>
      <c r="AB114" s="1054"/>
    </row>
    <row r="115">
      <c r="A115" s="1054"/>
      <c r="B115" s="1061"/>
      <c r="C115" s="1061"/>
      <c r="D115" s="1061"/>
      <c r="E115" s="1061"/>
      <c r="F115" s="1061"/>
      <c r="G115" s="1061"/>
      <c r="H115" s="1063"/>
      <c r="I115" s="1054"/>
      <c r="J115" s="1054"/>
      <c r="K115" s="1054"/>
      <c r="L115" s="1054"/>
      <c r="M115" s="1054"/>
      <c r="N115" s="1054"/>
      <c r="O115" s="1054"/>
      <c r="P115" s="1054"/>
      <c r="Q115" s="1054"/>
      <c r="R115" s="1054"/>
      <c r="S115" s="1054"/>
      <c r="T115" s="1054"/>
      <c r="U115" s="1054"/>
      <c r="V115" s="1054"/>
      <c r="W115" s="1054"/>
      <c r="X115" s="1054"/>
      <c r="Y115" s="1054"/>
      <c r="Z115" s="1054"/>
      <c r="AA115" s="1054"/>
      <c r="AB115" s="1054"/>
    </row>
    <row r="116">
      <c r="A116" s="1054"/>
      <c r="B116" s="1061"/>
      <c r="C116" s="1061"/>
      <c r="D116" s="1061"/>
      <c r="E116" s="1061"/>
      <c r="F116" s="1061"/>
      <c r="G116" s="1061"/>
      <c r="H116" s="1063"/>
      <c r="I116" s="1054"/>
      <c r="J116" s="1054"/>
      <c r="K116" s="1054"/>
      <c r="L116" s="1054"/>
      <c r="M116" s="1054"/>
      <c r="N116" s="1054"/>
      <c r="O116" s="1054"/>
      <c r="P116" s="1054"/>
      <c r="Q116" s="1054"/>
      <c r="R116" s="1054"/>
      <c r="S116" s="1054"/>
      <c r="T116" s="1054"/>
      <c r="U116" s="1054"/>
      <c r="V116" s="1054"/>
      <c r="W116" s="1054"/>
      <c r="X116" s="1054"/>
      <c r="Y116" s="1054"/>
      <c r="Z116" s="1054"/>
      <c r="AA116" s="1054"/>
      <c r="AB116" s="1054"/>
    </row>
    <row r="117">
      <c r="A117" s="1054"/>
      <c r="B117" s="1061"/>
      <c r="C117" s="1061"/>
      <c r="D117" s="1061"/>
      <c r="E117" s="1061"/>
      <c r="F117" s="1061"/>
      <c r="G117" s="1061"/>
      <c r="H117" s="1063"/>
      <c r="I117" s="1054"/>
      <c r="J117" s="1054"/>
      <c r="K117" s="1054"/>
      <c r="L117" s="1054"/>
      <c r="M117" s="1054"/>
      <c r="N117" s="1054"/>
      <c r="O117" s="1054"/>
      <c r="P117" s="1054"/>
      <c r="Q117" s="1054"/>
      <c r="R117" s="1054"/>
      <c r="S117" s="1054"/>
      <c r="T117" s="1054"/>
      <c r="U117" s="1054"/>
      <c r="V117" s="1054"/>
      <c r="W117" s="1054"/>
      <c r="X117" s="1054"/>
      <c r="Y117" s="1054"/>
      <c r="Z117" s="1054"/>
      <c r="AA117" s="1054"/>
      <c r="AB117" s="1054"/>
    </row>
    <row r="118">
      <c r="A118" s="1054"/>
      <c r="B118" s="1061"/>
      <c r="C118" s="1061"/>
      <c r="D118" s="1061"/>
      <c r="E118" s="1061"/>
      <c r="F118" s="1061"/>
      <c r="G118" s="1061"/>
      <c r="H118" s="1063"/>
      <c r="I118" s="1054"/>
      <c r="J118" s="1054"/>
      <c r="K118" s="1054"/>
      <c r="L118" s="1054"/>
      <c r="M118" s="1054"/>
      <c r="N118" s="1054"/>
      <c r="O118" s="1054"/>
      <c r="P118" s="1054"/>
      <c r="Q118" s="1054"/>
      <c r="R118" s="1054"/>
      <c r="S118" s="1054"/>
      <c r="T118" s="1054"/>
      <c r="U118" s="1054"/>
      <c r="V118" s="1054"/>
      <c r="W118" s="1054"/>
      <c r="X118" s="1054"/>
      <c r="Y118" s="1054"/>
      <c r="Z118" s="1054"/>
      <c r="AA118" s="1054"/>
      <c r="AB118" s="1054"/>
    </row>
    <row r="119">
      <c r="A119" s="1054"/>
      <c r="B119" s="1061"/>
      <c r="C119" s="1061"/>
      <c r="D119" s="1061"/>
      <c r="E119" s="1061"/>
      <c r="F119" s="1061"/>
      <c r="G119" s="1061"/>
      <c r="H119" s="1063"/>
      <c r="I119" s="1054"/>
      <c r="J119" s="1054"/>
      <c r="K119" s="1054"/>
      <c r="L119" s="1054"/>
      <c r="M119" s="1054"/>
      <c r="N119" s="1054"/>
      <c r="O119" s="1054"/>
      <c r="P119" s="1054"/>
      <c r="Q119" s="1054"/>
      <c r="R119" s="1054"/>
      <c r="S119" s="1054"/>
      <c r="T119" s="1054"/>
      <c r="U119" s="1054"/>
      <c r="V119" s="1054"/>
      <c r="W119" s="1054"/>
      <c r="X119" s="1054"/>
      <c r="Y119" s="1054"/>
      <c r="Z119" s="1054"/>
      <c r="AA119" s="1054"/>
      <c r="AB119" s="1054"/>
    </row>
    <row r="120">
      <c r="A120" s="1054"/>
      <c r="B120" s="1061"/>
      <c r="C120" s="1061"/>
      <c r="D120" s="1061"/>
      <c r="E120" s="1061"/>
      <c r="F120" s="1061"/>
      <c r="G120" s="1061"/>
      <c r="H120" s="1063"/>
      <c r="I120" s="1054"/>
      <c r="J120" s="1054"/>
      <c r="K120" s="1054"/>
      <c r="L120" s="1054"/>
      <c r="M120" s="1054"/>
      <c r="N120" s="1054"/>
      <c r="O120" s="1054"/>
      <c r="P120" s="1054"/>
      <c r="Q120" s="1054"/>
      <c r="R120" s="1054"/>
      <c r="S120" s="1054"/>
      <c r="T120" s="1054"/>
      <c r="U120" s="1054"/>
      <c r="V120" s="1054"/>
      <c r="W120" s="1054"/>
      <c r="X120" s="1054"/>
      <c r="Y120" s="1054"/>
      <c r="Z120" s="1054"/>
      <c r="AA120" s="1054"/>
      <c r="AB120" s="1054"/>
    </row>
    <row r="121">
      <c r="A121" s="1054"/>
      <c r="B121" s="1061"/>
      <c r="C121" s="1061"/>
      <c r="D121" s="1061"/>
      <c r="E121" s="1061"/>
      <c r="F121" s="1061"/>
      <c r="G121" s="1061"/>
      <c r="H121" s="1063"/>
      <c r="I121" s="1054"/>
      <c r="J121" s="1054"/>
      <c r="K121" s="1054"/>
      <c r="L121" s="1054"/>
      <c r="M121" s="1054"/>
      <c r="N121" s="1054"/>
      <c r="O121" s="1054"/>
      <c r="P121" s="1054"/>
      <c r="Q121" s="1054"/>
      <c r="R121" s="1054"/>
      <c r="S121" s="1054"/>
      <c r="T121" s="1054"/>
      <c r="U121" s="1054"/>
      <c r="V121" s="1054"/>
      <c r="W121" s="1054"/>
      <c r="X121" s="1054"/>
      <c r="Y121" s="1054"/>
      <c r="Z121" s="1054"/>
      <c r="AA121" s="1054"/>
      <c r="AB121" s="1054"/>
    </row>
    <row r="122">
      <c r="A122" s="1054"/>
      <c r="B122" s="1061"/>
      <c r="C122" s="1061"/>
      <c r="D122" s="1061"/>
      <c r="E122" s="1061"/>
      <c r="F122" s="1061"/>
      <c r="G122" s="1061"/>
      <c r="H122" s="1063"/>
      <c r="I122" s="1054"/>
      <c r="J122" s="1054"/>
      <c r="K122" s="1054"/>
      <c r="L122" s="1054"/>
      <c r="M122" s="1054"/>
      <c r="N122" s="1054"/>
      <c r="O122" s="1054"/>
      <c r="P122" s="1054"/>
      <c r="Q122" s="1054"/>
      <c r="R122" s="1054"/>
      <c r="S122" s="1054"/>
      <c r="T122" s="1054"/>
      <c r="U122" s="1054"/>
      <c r="V122" s="1054"/>
      <c r="W122" s="1054"/>
      <c r="X122" s="1054"/>
      <c r="Y122" s="1054"/>
      <c r="Z122" s="1054"/>
      <c r="AA122" s="1054"/>
      <c r="AB122" s="1054"/>
    </row>
    <row r="123">
      <c r="A123" s="1054"/>
      <c r="B123" s="1061"/>
      <c r="C123" s="1061"/>
      <c r="D123" s="1061"/>
      <c r="E123" s="1061"/>
      <c r="F123" s="1061"/>
      <c r="G123" s="1061"/>
      <c r="H123" s="1063"/>
      <c r="I123" s="1054"/>
      <c r="J123" s="1054"/>
      <c r="K123" s="1054"/>
      <c r="L123" s="1054"/>
      <c r="M123" s="1054"/>
      <c r="N123" s="1054"/>
      <c r="O123" s="1054"/>
      <c r="P123" s="1054"/>
      <c r="Q123" s="1054"/>
      <c r="R123" s="1054"/>
      <c r="S123" s="1054"/>
      <c r="T123" s="1054"/>
      <c r="U123" s="1054"/>
      <c r="V123" s="1054"/>
      <c r="W123" s="1054"/>
      <c r="X123" s="1054"/>
      <c r="Y123" s="1054"/>
      <c r="Z123" s="1054"/>
      <c r="AA123" s="1054"/>
      <c r="AB123" s="1054"/>
    </row>
    <row r="124">
      <c r="A124" s="1054"/>
      <c r="B124" s="1061"/>
      <c r="C124" s="1061"/>
      <c r="D124" s="1061"/>
      <c r="E124" s="1061"/>
      <c r="F124" s="1061"/>
      <c r="G124" s="1061"/>
      <c r="H124" s="1063"/>
      <c r="I124" s="1054"/>
      <c r="J124" s="1054"/>
      <c r="K124" s="1054"/>
      <c r="L124" s="1054"/>
      <c r="M124" s="1054"/>
      <c r="N124" s="1054"/>
      <c r="O124" s="1054"/>
      <c r="P124" s="1054"/>
      <c r="Q124" s="1054"/>
      <c r="R124" s="1054"/>
      <c r="S124" s="1054"/>
      <c r="T124" s="1054"/>
      <c r="U124" s="1054"/>
      <c r="V124" s="1054"/>
      <c r="W124" s="1054"/>
      <c r="X124" s="1054"/>
      <c r="Y124" s="1054"/>
      <c r="Z124" s="1054"/>
      <c r="AA124" s="1054"/>
      <c r="AB124" s="1054"/>
    </row>
    <row r="125">
      <c r="A125" s="1054"/>
      <c r="B125" s="1061"/>
      <c r="C125" s="1061"/>
      <c r="D125" s="1061"/>
      <c r="E125" s="1061"/>
      <c r="F125" s="1061"/>
      <c r="G125" s="1061"/>
      <c r="H125" s="1063"/>
      <c r="I125" s="1054"/>
      <c r="J125" s="1054"/>
      <c r="K125" s="1054"/>
      <c r="L125" s="1054"/>
      <c r="M125" s="1054"/>
      <c r="N125" s="1054"/>
      <c r="O125" s="1054"/>
      <c r="P125" s="1054"/>
      <c r="Q125" s="1054"/>
      <c r="R125" s="1054"/>
      <c r="S125" s="1054"/>
      <c r="T125" s="1054"/>
      <c r="U125" s="1054"/>
      <c r="V125" s="1054"/>
      <c r="W125" s="1054"/>
      <c r="X125" s="1054"/>
      <c r="Y125" s="1054"/>
      <c r="Z125" s="1054"/>
      <c r="AA125" s="1054"/>
      <c r="AB125" s="1054"/>
    </row>
    <row r="126">
      <c r="A126" s="1054"/>
      <c r="B126" s="1061"/>
      <c r="C126" s="1061"/>
      <c r="D126" s="1061"/>
      <c r="E126" s="1061"/>
      <c r="F126" s="1061"/>
      <c r="G126" s="1061"/>
      <c r="H126" s="1063"/>
      <c r="I126" s="1054"/>
      <c r="J126" s="1054"/>
      <c r="K126" s="1054"/>
      <c r="L126" s="1054"/>
      <c r="M126" s="1054"/>
      <c r="N126" s="1054"/>
      <c r="O126" s="1054"/>
      <c r="P126" s="1054"/>
      <c r="Q126" s="1054"/>
      <c r="R126" s="1054"/>
      <c r="S126" s="1054"/>
      <c r="T126" s="1054"/>
      <c r="U126" s="1054"/>
      <c r="V126" s="1054"/>
      <c r="W126" s="1054"/>
      <c r="X126" s="1054"/>
      <c r="Y126" s="1054"/>
      <c r="Z126" s="1054"/>
      <c r="AA126" s="1054"/>
      <c r="AB126" s="1054"/>
    </row>
    <row r="127">
      <c r="A127" s="1054"/>
      <c r="B127" s="1061"/>
      <c r="C127" s="1061"/>
      <c r="D127" s="1061"/>
      <c r="E127" s="1061"/>
      <c r="F127" s="1061"/>
      <c r="G127" s="1061"/>
      <c r="H127" s="1063"/>
      <c r="I127" s="1054"/>
      <c r="J127" s="1054"/>
      <c r="K127" s="1054"/>
      <c r="L127" s="1054"/>
      <c r="M127" s="1054"/>
      <c r="N127" s="1054"/>
      <c r="O127" s="1054"/>
      <c r="P127" s="1054"/>
      <c r="Q127" s="1054"/>
      <c r="R127" s="1054"/>
      <c r="S127" s="1054"/>
      <c r="T127" s="1054"/>
      <c r="U127" s="1054"/>
      <c r="V127" s="1054"/>
      <c r="W127" s="1054"/>
      <c r="X127" s="1054"/>
      <c r="Y127" s="1054"/>
      <c r="Z127" s="1054"/>
      <c r="AA127" s="1054"/>
      <c r="AB127" s="1054"/>
    </row>
    <row r="128">
      <c r="A128" s="1054"/>
      <c r="B128" s="1061"/>
      <c r="C128" s="1061"/>
      <c r="D128" s="1061"/>
      <c r="E128" s="1061"/>
      <c r="F128" s="1061"/>
      <c r="G128" s="1061"/>
      <c r="H128" s="1063"/>
      <c r="I128" s="1054"/>
      <c r="J128" s="1054"/>
      <c r="K128" s="1054"/>
      <c r="L128" s="1054"/>
      <c r="M128" s="1054"/>
      <c r="N128" s="1054"/>
      <c r="O128" s="1054"/>
      <c r="P128" s="1054"/>
      <c r="Q128" s="1054"/>
      <c r="R128" s="1054"/>
      <c r="S128" s="1054"/>
      <c r="T128" s="1054"/>
      <c r="U128" s="1054"/>
      <c r="V128" s="1054"/>
      <c r="W128" s="1054"/>
      <c r="X128" s="1054"/>
      <c r="Y128" s="1054"/>
      <c r="Z128" s="1054"/>
      <c r="AA128" s="1054"/>
      <c r="AB128" s="1054"/>
    </row>
    <row r="129">
      <c r="A129" s="1054"/>
      <c r="B129" s="1061"/>
      <c r="C129" s="1061"/>
      <c r="D129" s="1061"/>
      <c r="E129" s="1061"/>
      <c r="F129" s="1061"/>
      <c r="G129" s="1061"/>
      <c r="H129" s="1063"/>
      <c r="I129" s="1054"/>
      <c r="J129" s="1054"/>
      <c r="K129" s="1054"/>
      <c r="L129" s="1054"/>
      <c r="M129" s="1054"/>
      <c r="N129" s="1054"/>
      <c r="O129" s="1054"/>
      <c r="P129" s="1054"/>
      <c r="Q129" s="1054"/>
      <c r="R129" s="1054"/>
      <c r="S129" s="1054"/>
      <c r="T129" s="1054"/>
      <c r="U129" s="1054"/>
      <c r="V129" s="1054"/>
      <c r="W129" s="1054"/>
      <c r="X129" s="1054"/>
      <c r="Y129" s="1054"/>
      <c r="Z129" s="1054"/>
      <c r="AA129" s="1054"/>
      <c r="AB129" s="1054"/>
    </row>
    <row r="130">
      <c r="A130" s="1054"/>
      <c r="B130" s="1061"/>
      <c r="C130" s="1061"/>
      <c r="D130" s="1061"/>
      <c r="E130" s="1061"/>
      <c r="F130" s="1061"/>
      <c r="G130" s="1061"/>
      <c r="H130" s="1063"/>
      <c r="I130" s="1054"/>
      <c r="J130" s="1054"/>
      <c r="K130" s="1054"/>
      <c r="L130" s="1054"/>
      <c r="M130" s="1054"/>
      <c r="N130" s="1054"/>
      <c r="O130" s="1054"/>
      <c r="P130" s="1054"/>
      <c r="Q130" s="1054"/>
      <c r="R130" s="1054"/>
      <c r="S130" s="1054"/>
      <c r="T130" s="1054"/>
      <c r="U130" s="1054"/>
      <c r="V130" s="1054"/>
      <c r="W130" s="1054"/>
      <c r="X130" s="1054"/>
      <c r="Y130" s="1054"/>
      <c r="Z130" s="1054"/>
      <c r="AA130" s="1054"/>
      <c r="AB130" s="1054"/>
    </row>
    <row r="131">
      <c r="A131" s="1054"/>
      <c r="B131" s="1061"/>
      <c r="C131" s="1061"/>
      <c r="D131" s="1061"/>
      <c r="E131" s="1061"/>
      <c r="F131" s="1061"/>
      <c r="G131" s="1061"/>
      <c r="H131" s="1063"/>
      <c r="I131" s="1054"/>
      <c r="J131" s="1054"/>
      <c r="K131" s="1054"/>
      <c r="L131" s="1054"/>
      <c r="M131" s="1054"/>
      <c r="N131" s="1054"/>
      <c r="O131" s="1054"/>
      <c r="P131" s="1054"/>
      <c r="Q131" s="1054"/>
      <c r="R131" s="1054"/>
      <c r="S131" s="1054"/>
      <c r="T131" s="1054"/>
      <c r="U131" s="1054"/>
      <c r="V131" s="1054"/>
      <c r="W131" s="1054"/>
      <c r="X131" s="1054"/>
      <c r="Y131" s="1054"/>
      <c r="Z131" s="1054"/>
      <c r="AA131" s="1054"/>
      <c r="AB131" s="1054"/>
    </row>
    <row r="132">
      <c r="A132" s="1054"/>
      <c r="B132" s="1061"/>
      <c r="C132" s="1061"/>
      <c r="D132" s="1061"/>
      <c r="E132" s="1061"/>
      <c r="F132" s="1061"/>
      <c r="G132" s="1061"/>
      <c r="H132" s="1063"/>
      <c r="I132" s="1054"/>
      <c r="J132" s="1054"/>
      <c r="K132" s="1054"/>
      <c r="L132" s="1054"/>
      <c r="M132" s="1054"/>
      <c r="N132" s="1054"/>
      <c r="O132" s="1054"/>
      <c r="P132" s="1054"/>
      <c r="Q132" s="1054"/>
      <c r="R132" s="1054"/>
      <c r="S132" s="1054"/>
      <c r="T132" s="1054"/>
      <c r="U132" s="1054"/>
      <c r="V132" s="1054"/>
      <c r="W132" s="1054"/>
      <c r="X132" s="1054"/>
      <c r="Y132" s="1054"/>
      <c r="Z132" s="1054"/>
      <c r="AA132" s="1054"/>
      <c r="AB132" s="1054"/>
    </row>
    <row r="133">
      <c r="A133" s="1054"/>
      <c r="B133" s="1061"/>
      <c r="C133" s="1061"/>
      <c r="D133" s="1061"/>
      <c r="E133" s="1061"/>
      <c r="F133" s="1061"/>
      <c r="G133" s="1061"/>
      <c r="H133" s="1063"/>
      <c r="I133" s="1054"/>
      <c r="J133" s="1054"/>
      <c r="K133" s="1054"/>
      <c r="L133" s="1054"/>
      <c r="M133" s="1054"/>
      <c r="N133" s="1054"/>
      <c r="O133" s="1054"/>
      <c r="P133" s="1054"/>
      <c r="Q133" s="1054"/>
      <c r="R133" s="1054"/>
      <c r="S133" s="1054"/>
      <c r="T133" s="1054"/>
      <c r="U133" s="1054"/>
      <c r="V133" s="1054"/>
      <c r="W133" s="1054"/>
      <c r="X133" s="1054"/>
      <c r="Y133" s="1054"/>
      <c r="Z133" s="1054"/>
      <c r="AA133" s="1054"/>
      <c r="AB133" s="1054"/>
    </row>
    <row r="134">
      <c r="A134" s="1054"/>
      <c r="B134" s="1061"/>
      <c r="C134" s="1061"/>
      <c r="D134" s="1061"/>
      <c r="E134" s="1061"/>
      <c r="F134" s="1061"/>
      <c r="G134" s="1061"/>
      <c r="H134" s="1063"/>
      <c r="I134" s="1054"/>
      <c r="J134" s="1054"/>
      <c r="K134" s="1054"/>
      <c r="L134" s="1054"/>
      <c r="M134" s="1054"/>
      <c r="N134" s="1054"/>
      <c r="O134" s="1054"/>
      <c r="P134" s="1054"/>
      <c r="Q134" s="1054"/>
      <c r="R134" s="1054"/>
      <c r="S134" s="1054"/>
      <c r="T134" s="1054"/>
      <c r="U134" s="1054"/>
      <c r="V134" s="1054"/>
      <c r="W134" s="1054"/>
      <c r="X134" s="1054"/>
      <c r="Y134" s="1054"/>
      <c r="Z134" s="1054"/>
      <c r="AA134" s="1054"/>
      <c r="AB134" s="1054"/>
    </row>
    <row r="135">
      <c r="A135" s="1054"/>
      <c r="B135" s="1061"/>
      <c r="C135" s="1061"/>
      <c r="D135" s="1061"/>
      <c r="E135" s="1061"/>
      <c r="F135" s="1061"/>
      <c r="G135" s="1061"/>
      <c r="H135" s="1063"/>
      <c r="I135" s="1054"/>
      <c r="J135" s="1054"/>
      <c r="K135" s="1054"/>
      <c r="L135" s="1054"/>
      <c r="M135" s="1054"/>
      <c r="N135" s="1054"/>
      <c r="O135" s="1054"/>
      <c r="P135" s="1054"/>
      <c r="Q135" s="1054"/>
      <c r="R135" s="1054"/>
      <c r="S135" s="1054"/>
      <c r="T135" s="1054"/>
      <c r="U135" s="1054"/>
      <c r="V135" s="1054"/>
      <c r="W135" s="1054"/>
      <c r="X135" s="1054"/>
      <c r="Y135" s="1054"/>
      <c r="Z135" s="1054"/>
      <c r="AA135" s="1054"/>
      <c r="AB135" s="1054"/>
    </row>
    <row r="136">
      <c r="A136" s="1054"/>
      <c r="B136" s="1061"/>
      <c r="C136" s="1061"/>
      <c r="D136" s="1061"/>
      <c r="E136" s="1061"/>
      <c r="F136" s="1061"/>
      <c r="G136" s="1061"/>
      <c r="H136" s="1063"/>
      <c r="I136" s="1054"/>
      <c r="J136" s="1054"/>
      <c r="K136" s="1054"/>
      <c r="L136" s="1054"/>
      <c r="M136" s="1054"/>
      <c r="N136" s="1054"/>
      <c r="O136" s="1054"/>
      <c r="P136" s="1054"/>
      <c r="Q136" s="1054"/>
      <c r="R136" s="1054"/>
      <c r="S136" s="1054"/>
      <c r="T136" s="1054"/>
      <c r="U136" s="1054"/>
      <c r="V136" s="1054"/>
      <c r="W136" s="1054"/>
      <c r="X136" s="1054"/>
      <c r="Y136" s="1054"/>
      <c r="Z136" s="1054"/>
      <c r="AA136" s="1054"/>
      <c r="AB136" s="1054"/>
    </row>
    <row r="137">
      <c r="A137" s="1054"/>
      <c r="B137" s="1061"/>
      <c r="C137" s="1061"/>
      <c r="D137" s="1061"/>
      <c r="E137" s="1061"/>
      <c r="F137" s="1061"/>
      <c r="G137" s="1061"/>
      <c r="H137" s="1063"/>
      <c r="I137" s="1054"/>
      <c r="J137" s="1054"/>
      <c r="K137" s="1054"/>
      <c r="L137" s="1054"/>
      <c r="M137" s="1054"/>
      <c r="N137" s="1054"/>
      <c r="O137" s="1054"/>
      <c r="P137" s="1054"/>
      <c r="Q137" s="1054"/>
      <c r="R137" s="1054"/>
      <c r="S137" s="1054"/>
      <c r="T137" s="1054"/>
      <c r="U137" s="1054"/>
      <c r="V137" s="1054"/>
      <c r="W137" s="1054"/>
      <c r="X137" s="1054"/>
      <c r="Y137" s="1054"/>
      <c r="Z137" s="1054"/>
      <c r="AA137" s="1054"/>
      <c r="AB137" s="1054"/>
    </row>
    <row r="138">
      <c r="A138" s="1054"/>
      <c r="B138" s="1061"/>
      <c r="C138" s="1061"/>
      <c r="D138" s="1061"/>
      <c r="E138" s="1061"/>
      <c r="F138" s="1061"/>
      <c r="G138" s="1061"/>
      <c r="H138" s="1063"/>
      <c r="I138" s="1054"/>
      <c r="J138" s="1054"/>
      <c r="K138" s="1054"/>
      <c r="L138" s="1054"/>
      <c r="M138" s="1054"/>
      <c r="N138" s="1054"/>
      <c r="O138" s="1054"/>
      <c r="P138" s="1054"/>
      <c r="Q138" s="1054"/>
      <c r="R138" s="1054"/>
      <c r="S138" s="1054"/>
      <c r="T138" s="1054"/>
      <c r="U138" s="1054"/>
      <c r="V138" s="1054"/>
      <c r="W138" s="1054"/>
      <c r="X138" s="1054"/>
      <c r="Y138" s="1054"/>
      <c r="Z138" s="1054"/>
      <c r="AA138" s="1054"/>
      <c r="AB138" s="1054"/>
    </row>
    <row r="139">
      <c r="A139" s="1054"/>
      <c r="B139" s="1061"/>
      <c r="C139" s="1061"/>
      <c r="D139" s="1061"/>
      <c r="E139" s="1061"/>
      <c r="F139" s="1061"/>
      <c r="G139" s="1061"/>
      <c r="H139" s="1063"/>
      <c r="I139" s="1054"/>
      <c r="J139" s="1054"/>
      <c r="K139" s="1054"/>
      <c r="L139" s="1054"/>
      <c r="M139" s="1054"/>
      <c r="N139" s="1054"/>
      <c r="O139" s="1054"/>
      <c r="P139" s="1054"/>
      <c r="Q139" s="1054"/>
      <c r="R139" s="1054"/>
      <c r="S139" s="1054"/>
      <c r="T139" s="1054"/>
      <c r="U139" s="1054"/>
      <c r="V139" s="1054"/>
      <c r="W139" s="1054"/>
      <c r="X139" s="1054"/>
      <c r="Y139" s="1054"/>
      <c r="Z139" s="1054"/>
      <c r="AA139" s="1054"/>
      <c r="AB139" s="1054"/>
    </row>
    <row r="140">
      <c r="A140" s="1054"/>
      <c r="B140" s="1061"/>
      <c r="C140" s="1061"/>
      <c r="D140" s="1061"/>
      <c r="E140" s="1061"/>
      <c r="F140" s="1061"/>
      <c r="G140" s="1061"/>
      <c r="H140" s="1063"/>
      <c r="I140" s="1054"/>
      <c r="J140" s="1054"/>
      <c r="K140" s="1054"/>
      <c r="L140" s="1054"/>
      <c r="M140" s="1054"/>
      <c r="N140" s="1054"/>
      <c r="O140" s="1054"/>
      <c r="P140" s="1054"/>
      <c r="Q140" s="1054"/>
      <c r="R140" s="1054"/>
      <c r="S140" s="1054"/>
      <c r="T140" s="1054"/>
      <c r="U140" s="1054"/>
      <c r="V140" s="1054"/>
      <c r="W140" s="1054"/>
      <c r="X140" s="1054"/>
      <c r="Y140" s="1054"/>
      <c r="Z140" s="1054"/>
      <c r="AA140" s="1054"/>
      <c r="AB140" s="1054"/>
    </row>
    <row r="141">
      <c r="A141" s="1054"/>
      <c r="B141" s="1061"/>
      <c r="C141" s="1061"/>
      <c r="D141" s="1061"/>
      <c r="E141" s="1061"/>
      <c r="F141" s="1061"/>
      <c r="G141" s="1061"/>
      <c r="H141" s="1063"/>
      <c r="I141" s="1054"/>
      <c r="J141" s="1054"/>
      <c r="K141" s="1054"/>
      <c r="L141" s="1054"/>
      <c r="M141" s="1054"/>
      <c r="N141" s="1054"/>
      <c r="O141" s="1054"/>
      <c r="P141" s="1054"/>
      <c r="Q141" s="1054"/>
      <c r="R141" s="1054"/>
      <c r="S141" s="1054"/>
      <c r="T141" s="1054"/>
      <c r="U141" s="1054"/>
      <c r="V141" s="1054"/>
      <c r="W141" s="1054"/>
      <c r="X141" s="1054"/>
      <c r="Y141" s="1054"/>
      <c r="Z141" s="1054"/>
      <c r="AA141" s="1054"/>
      <c r="AB141" s="1054"/>
    </row>
    <row r="142">
      <c r="A142" s="1054"/>
      <c r="B142" s="1061"/>
      <c r="C142" s="1061"/>
      <c r="D142" s="1061"/>
      <c r="E142" s="1061"/>
      <c r="F142" s="1061"/>
      <c r="G142" s="1061"/>
      <c r="H142" s="1063"/>
      <c r="I142" s="1054"/>
      <c r="J142" s="1054"/>
      <c r="K142" s="1054"/>
      <c r="L142" s="1054"/>
      <c r="M142" s="1054"/>
      <c r="N142" s="1054"/>
      <c r="O142" s="1054"/>
      <c r="P142" s="1054"/>
      <c r="Q142" s="1054"/>
      <c r="R142" s="1054"/>
      <c r="S142" s="1054"/>
      <c r="T142" s="1054"/>
      <c r="U142" s="1054"/>
      <c r="V142" s="1054"/>
      <c r="W142" s="1054"/>
      <c r="X142" s="1054"/>
      <c r="Y142" s="1054"/>
      <c r="Z142" s="1054"/>
      <c r="AA142" s="1054"/>
      <c r="AB142" s="1054"/>
    </row>
    <row r="143">
      <c r="A143" s="1054"/>
      <c r="B143" s="1061"/>
      <c r="C143" s="1061"/>
      <c r="D143" s="1061"/>
      <c r="E143" s="1061"/>
      <c r="F143" s="1061"/>
      <c r="G143" s="1061"/>
      <c r="H143" s="1063"/>
      <c r="I143" s="1054"/>
      <c r="J143" s="1054"/>
      <c r="K143" s="1054"/>
      <c r="L143" s="1054"/>
      <c r="M143" s="1054"/>
      <c r="N143" s="1054"/>
      <c r="O143" s="1054"/>
      <c r="P143" s="1054"/>
      <c r="Q143" s="1054"/>
      <c r="R143" s="1054"/>
      <c r="S143" s="1054"/>
      <c r="T143" s="1054"/>
      <c r="U143" s="1054"/>
      <c r="V143" s="1054"/>
      <c r="W143" s="1054"/>
      <c r="X143" s="1054"/>
      <c r="Y143" s="1054"/>
      <c r="Z143" s="1054"/>
      <c r="AA143" s="1054"/>
      <c r="AB143" s="1054"/>
    </row>
    <row r="144">
      <c r="A144" s="1054"/>
      <c r="B144" s="1061"/>
      <c r="C144" s="1061"/>
      <c r="D144" s="1061"/>
      <c r="E144" s="1061"/>
      <c r="F144" s="1061"/>
      <c r="G144" s="1061"/>
      <c r="H144" s="1063"/>
      <c r="I144" s="1054"/>
      <c r="J144" s="1054"/>
      <c r="K144" s="1054"/>
      <c r="L144" s="1054"/>
      <c r="M144" s="1054"/>
      <c r="N144" s="1054"/>
      <c r="O144" s="1054"/>
      <c r="P144" s="1054"/>
      <c r="Q144" s="1054"/>
      <c r="R144" s="1054"/>
      <c r="S144" s="1054"/>
      <c r="T144" s="1054"/>
      <c r="U144" s="1054"/>
      <c r="V144" s="1054"/>
      <c r="W144" s="1054"/>
      <c r="X144" s="1054"/>
      <c r="Y144" s="1054"/>
      <c r="Z144" s="1054"/>
      <c r="AA144" s="1054"/>
      <c r="AB144" s="1054"/>
    </row>
    <row r="145">
      <c r="A145" s="1054"/>
      <c r="B145" s="1061"/>
      <c r="C145" s="1061"/>
      <c r="D145" s="1061"/>
      <c r="E145" s="1061"/>
      <c r="F145" s="1061"/>
      <c r="G145" s="1061"/>
      <c r="H145" s="1063"/>
      <c r="I145" s="1054"/>
      <c r="J145" s="1054"/>
      <c r="K145" s="1054"/>
      <c r="L145" s="1054"/>
      <c r="M145" s="1054"/>
      <c r="N145" s="1054"/>
      <c r="O145" s="1054"/>
      <c r="P145" s="1054"/>
      <c r="Q145" s="1054"/>
      <c r="R145" s="1054"/>
      <c r="S145" s="1054"/>
      <c r="T145" s="1054"/>
      <c r="U145" s="1054"/>
      <c r="V145" s="1054"/>
      <c r="W145" s="1054"/>
      <c r="X145" s="1054"/>
      <c r="Y145" s="1054"/>
      <c r="Z145" s="1054"/>
      <c r="AA145" s="1054"/>
      <c r="AB145" s="1054"/>
    </row>
    <row r="146">
      <c r="A146" s="1054"/>
      <c r="B146" s="1061"/>
      <c r="C146" s="1061"/>
      <c r="D146" s="1061"/>
      <c r="E146" s="1061"/>
      <c r="F146" s="1061"/>
      <c r="G146" s="1061"/>
      <c r="H146" s="1063"/>
      <c r="I146" s="1054"/>
      <c r="J146" s="1054"/>
      <c r="K146" s="1054"/>
      <c r="L146" s="1054"/>
      <c r="M146" s="1054"/>
      <c r="N146" s="1054"/>
      <c r="O146" s="1054"/>
      <c r="P146" s="1054"/>
      <c r="Q146" s="1054"/>
      <c r="R146" s="1054"/>
      <c r="S146" s="1054"/>
      <c r="T146" s="1054"/>
      <c r="U146" s="1054"/>
      <c r="V146" s="1054"/>
      <c r="W146" s="1054"/>
      <c r="X146" s="1054"/>
      <c r="Y146" s="1054"/>
      <c r="Z146" s="1054"/>
      <c r="AA146" s="1054"/>
      <c r="AB146" s="1054"/>
    </row>
    <row r="147">
      <c r="A147" s="1054"/>
      <c r="B147" s="1061"/>
      <c r="C147" s="1061"/>
      <c r="D147" s="1061"/>
      <c r="E147" s="1061"/>
      <c r="F147" s="1061"/>
      <c r="G147" s="1061"/>
      <c r="H147" s="1063"/>
      <c r="I147" s="1054"/>
      <c r="J147" s="1054"/>
      <c r="K147" s="1054"/>
      <c r="L147" s="1054"/>
      <c r="M147" s="1054"/>
      <c r="N147" s="1054"/>
      <c r="O147" s="1054"/>
      <c r="P147" s="1054"/>
      <c r="Q147" s="1054"/>
      <c r="R147" s="1054"/>
      <c r="S147" s="1054"/>
      <c r="T147" s="1054"/>
      <c r="U147" s="1054"/>
      <c r="V147" s="1054"/>
      <c r="W147" s="1054"/>
      <c r="X147" s="1054"/>
      <c r="Y147" s="1054"/>
      <c r="Z147" s="1054"/>
      <c r="AA147" s="1054"/>
      <c r="AB147" s="1054"/>
    </row>
    <row r="148">
      <c r="A148" s="1054"/>
      <c r="B148" s="1061"/>
      <c r="C148" s="1061"/>
      <c r="D148" s="1061"/>
      <c r="E148" s="1061"/>
      <c r="F148" s="1061"/>
      <c r="G148" s="1061"/>
      <c r="H148" s="1063"/>
      <c r="I148" s="1054"/>
      <c r="J148" s="1054"/>
      <c r="K148" s="1054"/>
      <c r="L148" s="1054"/>
      <c r="M148" s="1054"/>
      <c r="N148" s="1054"/>
      <c r="O148" s="1054"/>
      <c r="P148" s="1054"/>
      <c r="Q148" s="1054"/>
      <c r="R148" s="1054"/>
      <c r="S148" s="1054"/>
      <c r="T148" s="1054"/>
      <c r="U148" s="1054"/>
      <c r="V148" s="1054"/>
      <c r="W148" s="1054"/>
      <c r="X148" s="1054"/>
      <c r="Y148" s="1054"/>
      <c r="Z148" s="1054"/>
      <c r="AA148" s="1054"/>
      <c r="AB148" s="1054"/>
    </row>
    <row r="149">
      <c r="A149" s="1054"/>
      <c r="B149" s="1061"/>
      <c r="C149" s="1061"/>
      <c r="D149" s="1061"/>
      <c r="E149" s="1061"/>
      <c r="F149" s="1061"/>
      <c r="G149" s="1061"/>
      <c r="H149" s="1063"/>
      <c r="I149" s="1054"/>
      <c r="J149" s="1054"/>
      <c r="K149" s="1054"/>
      <c r="L149" s="1054"/>
      <c r="M149" s="1054"/>
      <c r="N149" s="1054"/>
      <c r="O149" s="1054"/>
      <c r="P149" s="1054"/>
      <c r="Q149" s="1054"/>
      <c r="R149" s="1054"/>
      <c r="S149" s="1054"/>
      <c r="T149" s="1054"/>
      <c r="U149" s="1054"/>
      <c r="V149" s="1054"/>
      <c r="W149" s="1054"/>
      <c r="X149" s="1054"/>
      <c r="Y149" s="1054"/>
      <c r="Z149" s="1054"/>
      <c r="AA149" s="1054"/>
      <c r="AB149" s="1054"/>
    </row>
    <row r="150">
      <c r="A150" s="1054"/>
      <c r="B150" s="1061"/>
      <c r="C150" s="1061"/>
      <c r="D150" s="1061"/>
      <c r="E150" s="1061"/>
      <c r="F150" s="1061"/>
      <c r="G150" s="1061"/>
      <c r="H150" s="1063"/>
      <c r="I150" s="1054"/>
      <c r="J150" s="1054"/>
      <c r="K150" s="1054"/>
      <c r="L150" s="1054"/>
      <c r="M150" s="1054"/>
      <c r="N150" s="1054"/>
      <c r="O150" s="1054"/>
      <c r="P150" s="1054"/>
      <c r="Q150" s="1054"/>
      <c r="R150" s="1054"/>
      <c r="S150" s="1054"/>
      <c r="T150" s="1054"/>
      <c r="U150" s="1054"/>
      <c r="V150" s="1054"/>
      <c r="W150" s="1054"/>
      <c r="X150" s="1054"/>
      <c r="Y150" s="1054"/>
      <c r="Z150" s="1054"/>
      <c r="AA150" s="1054"/>
      <c r="AB150" s="1054"/>
    </row>
    <row r="151">
      <c r="A151" s="1054"/>
      <c r="B151" s="1061"/>
      <c r="C151" s="1061"/>
      <c r="D151" s="1061"/>
      <c r="E151" s="1061"/>
      <c r="F151" s="1061"/>
      <c r="G151" s="1061"/>
      <c r="H151" s="1063"/>
      <c r="I151" s="1054"/>
      <c r="J151" s="1054"/>
      <c r="K151" s="1054"/>
      <c r="L151" s="1054"/>
      <c r="M151" s="1054"/>
      <c r="N151" s="1054"/>
      <c r="O151" s="1054"/>
      <c r="P151" s="1054"/>
      <c r="Q151" s="1054"/>
      <c r="R151" s="1054"/>
      <c r="S151" s="1054"/>
      <c r="T151" s="1054"/>
      <c r="U151" s="1054"/>
      <c r="V151" s="1054"/>
      <c r="W151" s="1054"/>
      <c r="X151" s="1054"/>
      <c r="Y151" s="1054"/>
      <c r="Z151" s="1054"/>
      <c r="AA151" s="1054"/>
      <c r="AB151" s="1054"/>
    </row>
    <row r="152">
      <c r="A152" s="1054"/>
      <c r="B152" s="1061"/>
      <c r="C152" s="1061"/>
      <c r="D152" s="1061"/>
      <c r="E152" s="1061"/>
      <c r="F152" s="1061"/>
      <c r="G152" s="1061"/>
      <c r="H152" s="1063"/>
      <c r="I152" s="1054"/>
      <c r="J152" s="1054"/>
      <c r="K152" s="1054"/>
      <c r="L152" s="1054"/>
      <c r="M152" s="1054"/>
      <c r="N152" s="1054"/>
      <c r="O152" s="1054"/>
      <c r="P152" s="1054"/>
      <c r="Q152" s="1054"/>
      <c r="R152" s="1054"/>
      <c r="S152" s="1054"/>
      <c r="T152" s="1054"/>
      <c r="U152" s="1054"/>
      <c r="V152" s="1054"/>
      <c r="W152" s="1054"/>
      <c r="X152" s="1054"/>
      <c r="Y152" s="1054"/>
      <c r="Z152" s="1054"/>
      <c r="AA152" s="1054"/>
      <c r="AB152" s="1054"/>
    </row>
    <row r="153">
      <c r="A153" s="1054"/>
      <c r="B153" s="1061"/>
      <c r="C153" s="1061"/>
      <c r="D153" s="1061"/>
      <c r="E153" s="1061"/>
      <c r="F153" s="1061"/>
      <c r="G153" s="1061"/>
      <c r="H153" s="1063"/>
      <c r="I153" s="1054"/>
      <c r="J153" s="1054"/>
      <c r="K153" s="1054"/>
      <c r="L153" s="1054"/>
      <c r="M153" s="1054"/>
      <c r="N153" s="1054"/>
      <c r="O153" s="1054"/>
      <c r="P153" s="1054"/>
      <c r="Q153" s="1054"/>
      <c r="R153" s="1054"/>
      <c r="S153" s="1054"/>
      <c r="T153" s="1054"/>
      <c r="U153" s="1054"/>
      <c r="V153" s="1054"/>
      <c r="W153" s="1054"/>
      <c r="X153" s="1054"/>
      <c r="Y153" s="1054"/>
      <c r="Z153" s="1054"/>
      <c r="AA153" s="1054"/>
      <c r="AB153" s="1054"/>
    </row>
    <row r="154">
      <c r="A154" s="1054"/>
      <c r="B154" s="1061"/>
      <c r="C154" s="1061"/>
      <c r="D154" s="1061"/>
      <c r="E154" s="1061"/>
      <c r="F154" s="1061"/>
      <c r="G154" s="1061"/>
      <c r="H154" s="1063"/>
      <c r="I154" s="1054"/>
      <c r="J154" s="1054"/>
      <c r="K154" s="1054"/>
      <c r="L154" s="1054"/>
      <c r="M154" s="1054"/>
      <c r="N154" s="1054"/>
      <c r="O154" s="1054"/>
      <c r="P154" s="1054"/>
      <c r="Q154" s="1054"/>
      <c r="R154" s="1054"/>
      <c r="S154" s="1054"/>
      <c r="T154" s="1054"/>
      <c r="U154" s="1054"/>
      <c r="V154" s="1054"/>
      <c r="W154" s="1054"/>
      <c r="X154" s="1054"/>
      <c r="Y154" s="1054"/>
      <c r="Z154" s="1054"/>
      <c r="AA154" s="1054"/>
      <c r="AB154" s="1054"/>
    </row>
    <row r="155">
      <c r="A155" s="1054"/>
      <c r="B155" s="1061"/>
      <c r="C155" s="1061"/>
      <c r="D155" s="1061"/>
      <c r="E155" s="1061"/>
      <c r="F155" s="1061"/>
      <c r="G155" s="1061"/>
      <c r="H155" s="1063"/>
      <c r="I155" s="1054"/>
      <c r="J155" s="1054"/>
      <c r="K155" s="1054"/>
      <c r="L155" s="1054"/>
      <c r="M155" s="1054"/>
      <c r="N155" s="1054"/>
      <c r="O155" s="1054"/>
      <c r="P155" s="1054"/>
      <c r="Q155" s="1054"/>
      <c r="R155" s="1054"/>
      <c r="S155" s="1054"/>
      <c r="T155" s="1054"/>
      <c r="U155" s="1054"/>
      <c r="V155" s="1054"/>
      <c r="W155" s="1054"/>
      <c r="X155" s="1054"/>
      <c r="Y155" s="1054"/>
      <c r="Z155" s="1054"/>
      <c r="AA155" s="1054"/>
      <c r="AB155" s="1054"/>
    </row>
    <row r="156">
      <c r="A156" s="1054"/>
      <c r="B156" s="1061"/>
      <c r="C156" s="1061"/>
      <c r="D156" s="1061"/>
      <c r="E156" s="1061"/>
      <c r="F156" s="1061"/>
      <c r="G156" s="1061"/>
      <c r="H156" s="1063"/>
      <c r="I156" s="1054"/>
      <c r="J156" s="1054"/>
      <c r="K156" s="1054"/>
      <c r="L156" s="1054"/>
      <c r="M156" s="1054"/>
      <c r="N156" s="1054"/>
      <c r="O156" s="1054"/>
      <c r="P156" s="1054"/>
      <c r="Q156" s="1054"/>
      <c r="R156" s="1054"/>
      <c r="S156" s="1054"/>
      <c r="T156" s="1054"/>
      <c r="U156" s="1054"/>
      <c r="V156" s="1054"/>
      <c r="W156" s="1054"/>
      <c r="X156" s="1054"/>
      <c r="Y156" s="1054"/>
      <c r="Z156" s="1054"/>
      <c r="AA156" s="1054"/>
      <c r="AB156" s="1054"/>
    </row>
    <row r="157">
      <c r="A157" s="1054"/>
      <c r="B157" s="1061"/>
      <c r="C157" s="1061"/>
      <c r="D157" s="1061"/>
      <c r="E157" s="1061"/>
      <c r="F157" s="1061"/>
      <c r="G157" s="1061"/>
      <c r="H157" s="1063"/>
      <c r="I157" s="1054"/>
      <c r="J157" s="1054"/>
      <c r="K157" s="1054"/>
      <c r="L157" s="1054"/>
      <c r="M157" s="1054"/>
      <c r="N157" s="1054"/>
      <c r="O157" s="1054"/>
      <c r="P157" s="1054"/>
      <c r="Q157" s="1054"/>
      <c r="R157" s="1054"/>
      <c r="S157" s="1054"/>
      <c r="T157" s="1054"/>
      <c r="U157" s="1054"/>
      <c r="V157" s="1054"/>
      <c r="W157" s="1054"/>
      <c r="X157" s="1054"/>
      <c r="Y157" s="1054"/>
      <c r="Z157" s="1054"/>
      <c r="AA157" s="1054"/>
      <c r="AB157" s="1054"/>
    </row>
    <row r="158">
      <c r="A158" s="1054"/>
      <c r="B158" s="1061"/>
      <c r="C158" s="1061"/>
      <c r="D158" s="1061"/>
      <c r="E158" s="1061"/>
      <c r="F158" s="1061"/>
      <c r="G158" s="1061"/>
      <c r="H158" s="1063"/>
      <c r="I158" s="1054"/>
      <c r="J158" s="1054"/>
      <c r="K158" s="1054"/>
      <c r="L158" s="1054"/>
      <c r="M158" s="1054"/>
      <c r="N158" s="1054"/>
      <c r="O158" s="1054"/>
      <c r="P158" s="1054"/>
      <c r="Q158" s="1054"/>
      <c r="R158" s="1054"/>
      <c r="S158" s="1054"/>
      <c r="T158" s="1054"/>
      <c r="U158" s="1054"/>
      <c r="V158" s="1054"/>
      <c r="W158" s="1054"/>
      <c r="X158" s="1054"/>
      <c r="Y158" s="1054"/>
      <c r="Z158" s="1054"/>
      <c r="AA158" s="1054"/>
      <c r="AB158" s="1054"/>
    </row>
    <row r="159">
      <c r="A159" s="1054"/>
      <c r="B159" s="1061"/>
      <c r="C159" s="1061"/>
      <c r="D159" s="1061"/>
      <c r="E159" s="1061"/>
      <c r="F159" s="1061"/>
      <c r="G159" s="1061"/>
      <c r="H159" s="1063"/>
      <c r="I159" s="1054"/>
      <c r="J159" s="1054"/>
      <c r="K159" s="1054"/>
      <c r="L159" s="1054"/>
      <c r="M159" s="1054"/>
      <c r="N159" s="1054"/>
      <c r="O159" s="1054"/>
      <c r="P159" s="1054"/>
      <c r="Q159" s="1054"/>
      <c r="R159" s="1054"/>
      <c r="S159" s="1054"/>
      <c r="T159" s="1054"/>
      <c r="U159" s="1054"/>
      <c r="V159" s="1054"/>
      <c r="W159" s="1054"/>
      <c r="X159" s="1054"/>
      <c r="Y159" s="1054"/>
      <c r="Z159" s="1054"/>
      <c r="AA159" s="1054"/>
      <c r="AB159" s="1054"/>
    </row>
    <row r="160">
      <c r="A160" s="1054"/>
      <c r="B160" s="1061"/>
      <c r="C160" s="1061"/>
      <c r="D160" s="1061"/>
      <c r="E160" s="1061"/>
      <c r="F160" s="1061"/>
      <c r="G160" s="1061"/>
      <c r="H160" s="1063"/>
      <c r="I160" s="1054"/>
      <c r="J160" s="1054"/>
      <c r="K160" s="1054"/>
      <c r="L160" s="1054"/>
      <c r="M160" s="1054"/>
      <c r="N160" s="1054"/>
      <c r="O160" s="1054"/>
      <c r="P160" s="1054"/>
      <c r="Q160" s="1054"/>
      <c r="R160" s="1054"/>
      <c r="S160" s="1054"/>
      <c r="T160" s="1054"/>
      <c r="U160" s="1054"/>
      <c r="V160" s="1054"/>
      <c r="W160" s="1054"/>
      <c r="X160" s="1054"/>
      <c r="Y160" s="1054"/>
      <c r="Z160" s="1054"/>
      <c r="AA160" s="1054"/>
      <c r="AB160" s="1054"/>
    </row>
    <row r="161">
      <c r="A161" s="1054"/>
      <c r="B161" s="1061"/>
      <c r="C161" s="1061"/>
      <c r="D161" s="1061"/>
      <c r="E161" s="1061"/>
      <c r="F161" s="1061"/>
      <c r="G161" s="1061"/>
      <c r="H161" s="1063"/>
      <c r="I161" s="1054"/>
      <c r="J161" s="1054"/>
      <c r="K161" s="1054"/>
      <c r="L161" s="1054"/>
      <c r="M161" s="1054"/>
      <c r="N161" s="1054"/>
      <c r="O161" s="1054"/>
      <c r="P161" s="1054"/>
      <c r="Q161" s="1054"/>
      <c r="R161" s="1054"/>
      <c r="S161" s="1054"/>
      <c r="T161" s="1054"/>
      <c r="U161" s="1054"/>
      <c r="V161" s="1054"/>
      <c r="W161" s="1054"/>
      <c r="X161" s="1054"/>
      <c r="Y161" s="1054"/>
      <c r="Z161" s="1054"/>
      <c r="AA161" s="1054"/>
      <c r="AB161" s="1054"/>
    </row>
    <row r="162">
      <c r="A162" s="1054"/>
      <c r="B162" s="1061"/>
      <c r="C162" s="1061"/>
      <c r="D162" s="1061"/>
      <c r="E162" s="1061"/>
      <c r="F162" s="1061"/>
      <c r="G162" s="1061"/>
      <c r="H162" s="1063"/>
      <c r="I162" s="1054"/>
      <c r="J162" s="1054"/>
      <c r="K162" s="1054"/>
      <c r="L162" s="1054"/>
      <c r="M162" s="1054"/>
      <c r="N162" s="1054"/>
      <c r="O162" s="1054"/>
      <c r="P162" s="1054"/>
      <c r="Q162" s="1054"/>
      <c r="R162" s="1054"/>
      <c r="S162" s="1054"/>
      <c r="T162" s="1054"/>
      <c r="U162" s="1054"/>
      <c r="V162" s="1054"/>
      <c r="W162" s="1054"/>
      <c r="X162" s="1054"/>
      <c r="Y162" s="1054"/>
      <c r="Z162" s="1054"/>
      <c r="AA162" s="1054"/>
      <c r="AB162" s="1054"/>
    </row>
    <row r="163">
      <c r="A163" s="1054"/>
      <c r="B163" s="1061"/>
      <c r="C163" s="1061"/>
      <c r="D163" s="1061"/>
      <c r="E163" s="1061"/>
      <c r="F163" s="1061"/>
      <c r="G163" s="1061"/>
      <c r="H163" s="1063"/>
      <c r="I163" s="1054"/>
      <c r="J163" s="1054"/>
      <c r="K163" s="1054"/>
      <c r="L163" s="1054"/>
      <c r="M163" s="1054"/>
      <c r="N163" s="1054"/>
      <c r="O163" s="1054"/>
      <c r="P163" s="1054"/>
      <c r="Q163" s="1054"/>
      <c r="R163" s="1054"/>
      <c r="S163" s="1054"/>
      <c r="T163" s="1054"/>
      <c r="U163" s="1054"/>
      <c r="V163" s="1054"/>
      <c r="W163" s="1054"/>
      <c r="X163" s="1054"/>
      <c r="Y163" s="1054"/>
      <c r="Z163" s="1054"/>
      <c r="AA163" s="1054"/>
      <c r="AB163" s="1054"/>
    </row>
    <row r="164">
      <c r="A164" s="1054"/>
      <c r="B164" s="1061"/>
      <c r="C164" s="1061"/>
      <c r="D164" s="1061"/>
      <c r="E164" s="1061"/>
      <c r="F164" s="1061"/>
      <c r="G164" s="1061"/>
      <c r="H164" s="1063"/>
      <c r="I164" s="1054"/>
      <c r="J164" s="1054"/>
      <c r="K164" s="1054"/>
      <c r="L164" s="1054"/>
      <c r="M164" s="1054"/>
      <c r="N164" s="1054"/>
      <c r="O164" s="1054"/>
      <c r="P164" s="1054"/>
      <c r="Q164" s="1054"/>
      <c r="R164" s="1054"/>
      <c r="S164" s="1054"/>
      <c r="T164" s="1054"/>
      <c r="U164" s="1054"/>
      <c r="V164" s="1054"/>
      <c r="W164" s="1054"/>
      <c r="X164" s="1054"/>
      <c r="Y164" s="1054"/>
      <c r="Z164" s="1054"/>
      <c r="AA164" s="1054"/>
      <c r="AB164" s="1054"/>
    </row>
    <row r="165">
      <c r="A165" s="1054"/>
      <c r="B165" s="1061"/>
      <c r="C165" s="1061"/>
      <c r="D165" s="1061"/>
      <c r="E165" s="1061"/>
      <c r="F165" s="1061"/>
      <c r="G165" s="1061"/>
      <c r="H165" s="1063"/>
      <c r="I165" s="1054"/>
      <c r="J165" s="1054"/>
      <c r="K165" s="1054"/>
      <c r="L165" s="1054"/>
      <c r="M165" s="1054"/>
      <c r="N165" s="1054"/>
      <c r="O165" s="1054"/>
      <c r="P165" s="1054"/>
      <c r="Q165" s="1054"/>
      <c r="R165" s="1054"/>
      <c r="S165" s="1054"/>
      <c r="T165" s="1054"/>
      <c r="U165" s="1054"/>
      <c r="V165" s="1054"/>
      <c r="W165" s="1054"/>
      <c r="X165" s="1054"/>
      <c r="Y165" s="1054"/>
      <c r="Z165" s="1054"/>
      <c r="AA165" s="1054"/>
      <c r="AB165" s="1054"/>
    </row>
    <row r="166">
      <c r="A166" s="1054"/>
      <c r="B166" s="1061"/>
      <c r="C166" s="1061"/>
      <c r="D166" s="1061"/>
      <c r="E166" s="1061"/>
      <c r="F166" s="1061"/>
      <c r="G166" s="1061"/>
      <c r="H166" s="1063"/>
      <c r="I166" s="1054"/>
      <c r="J166" s="1054"/>
      <c r="K166" s="1054"/>
      <c r="L166" s="1054"/>
      <c r="M166" s="1054"/>
      <c r="N166" s="1054"/>
      <c r="O166" s="1054"/>
      <c r="P166" s="1054"/>
      <c r="Q166" s="1054"/>
      <c r="R166" s="1054"/>
      <c r="S166" s="1054"/>
      <c r="T166" s="1054"/>
      <c r="U166" s="1054"/>
      <c r="V166" s="1054"/>
      <c r="W166" s="1054"/>
      <c r="X166" s="1054"/>
      <c r="Y166" s="1054"/>
      <c r="Z166" s="1054"/>
      <c r="AA166" s="1054"/>
      <c r="AB166" s="1054"/>
    </row>
    <row r="167">
      <c r="A167" s="1054"/>
      <c r="B167" s="1061"/>
      <c r="C167" s="1061"/>
      <c r="D167" s="1061"/>
      <c r="E167" s="1061"/>
      <c r="F167" s="1061"/>
      <c r="G167" s="1061"/>
      <c r="H167" s="1063"/>
      <c r="I167" s="1054"/>
      <c r="J167" s="1054"/>
      <c r="K167" s="1054"/>
      <c r="L167" s="1054"/>
      <c r="M167" s="1054"/>
      <c r="N167" s="1054"/>
      <c r="O167" s="1054"/>
      <c r="P167" s="1054"/>
      <c r="Q167" s="1054"/>
      <c r="R167" s="1054"/>
      <c r="S167" s="1054"/>
      <c r="T167" s="1054"/>
      <c r="U167" s="1054"/>
      <c r="V167" s="1054"/>
      <c r="W167" s="1054"/>
      <c r="X167" s="1054"/>
      <c r="Y167" s="1054"/>
      <c r="Z167" s="1054"/>
      <c r="AA167" s="1054"/>
      <c r="AB167" s="1054"/>
    </row>
    <row r="168">
      <c r="A168" s="1054"/>
      <c r="B168" s="1061"/>
      <c r="C168" s="1061"/>
      <c r="D168" s="1061"/>
      <c r="E168" s="1061"/>
      <c r="F168" s="1061"/>
      <c r="G168" s="1061"/>
      <c r="H168" s="1063"/>
      <c r="I168" s="1054"/>
      <c r="J168" s="1054"/>
      <c r="K168" s="1054"/>
      <c r="L168" s="1054"/>
      <c r="M168" s="1054"/>
      <c r="N168" s="1054"/>
      <c r="O168" s="1054"/>
      <c r="P168" s="1054"/>
      <c r="Q168" s="1054"/>
      <c r="R168" s="1054"/>
      <c r="S168" s="1054"/>
      <c r="T168" s="1054"/>
      <c r="U168" s="1054"/>
      <c r="V168" s="1054"/>
      <c r="W168" s="1054"/>
      <c r="X168" s="1054"/>
      <c r="Y168" s="1054"/>
      <c r="Z168" s="1054"/>
      <c r="AA168" s="1054"/>
      <c r="AB168" s="1054"/>
    </row>
    <row r="169">
      <c r="A169" s="1054"/>
      <c r="B169" s="1061"/>
      <c r="C169" s="1061"/>
      <c r="D169" s="1061"/>
      <c r="E169" s="1061"/>
      <c r="F169" s="1061"/>
      <c r="G169" s="1061"/>
      <c r="H169" s="1063"/>
      <c r="I169" s="1054"/>
      <c r="J169" s="1054"/>
      <c r="K169" s="1054"/>
      <c r="L169" s="1054"/>
      <c r="M169" s="1054"/>
      <c r="N169" s="1054"/>
      <c r="O169" s="1054"/>
      <c r="P169" s="1054"/>
      <c r="Q169" s="1054"/>
      <c r="R169" s="1054"/>
      <c r="S169" s="1054"/>
      <c r="T169" s="1054"/>
      <c r="U169" s="1054"/>
      <c r="V169" s="1054"/>
      <c r="W169" s="1054"/>
      <c r="X169" s="1054"/>
      <c r="Y169" s="1054"/>
      <c r="Z169" s="1054"/>
      <c r="AA169" s="1054"/>
      <c r="AB169" s="1054"/>
    </row>
    <row r="170">
      <c r="A170" s="1054"/>
      <c r="B170" s="1061"/>
      <c r="C170" s="1061"/>
      <c r="D170" s="1061"/>
      <c r="E170" s="1061"/>
      <c r="F170" s="1061"/>
      <c r="G170" s="1061"/>
      <c r="H170" s="1063"/>
      <c r="I170" s="1054"/>
      <c r="J170" s="1054"/>
      <c r="K170" s="1054"/>
      <c r="L170" s="1054"/>
      <c r="M170" s="1054"/>
      <c r="N170" s="1054"/>
      <c r="O170" s="1054"/>
      <c r="P170" s="1054"/>
      <c r="Q170" s="1054"/>
      <c r="R170" s="1054"/>
      <c r="S170" s="1054"/>
      <c r="T170" s="1054"/>
      <c r="U170" s="1054"/>
      <c r="V170" s="1054"/>
      <c r="W170" s="1054"/>
      <c r="X170" s="1054"/>
      <c r="Y170" s="1054"/>
      <c r="Z170" s="1054"/>
      <c r="AA170" s="1054"/>
      <c r="AB170" s="1054"/>
    </row>
    <row r="171">
      <c r="A171" s="1054"/>
      <c r="B171" s="1061"/>
      <c r="C171" s="1061"/>
      <c r="D171" s="1061"/>
      <c r="E171" s="1061"/>
      <c r="F171" s="1061"/>
      <c r="G171" s="1061"/>
      <c r="H171" s="1063"/>
      <c r="I171" s="1054"/>
      <c r="J171" s="1054"/>
      <c r="K171" s="1054"/>
      <c r="L171" s="1054"/>
      <c r="M171" s="1054"/>
      <c r="N171" s="1054"/>
      <c r="O171" s="1054"/>
      <c r="P171" s="1054"/>
      <c r="Q171" s="1054"/>
      <c r="R171" s="1054"/>
      <c r="S171" s="1054"/>
      <c r="T171" s="1054"/>
      <c r="U171" s="1054"/>
      <c r="V171" s="1054"/>
      <c r="W171" s="1054"/>
      <c r="X171" s="1054"/>
      <c r="Y171" s="1054"/>
      <c r="Z171" s="1054"/>
      <c r="AA171" s="1054"/>
      <c r="AB171" s="1054"/>
    </row>
    <row r="172">
      <c r="A172" s="1054"/>
      <c r="B172" s="1061"/>
      <c r="C172" s="1061"/>
      <c r="D172" s="1061"/>
      <c r="E172" s="1061"/>
      <c r="F172" s="1061"/>
      <c r="G172" s="1061"/>
      <c r="H172" s="1063"/>
      <c r="I172" s="1054"/>
      <c r="J172" s="1054"/>
      <c r="K172" s="1054"/>
      <c r="L172" s="1054"/>
      <c r="M172" s="1054"/>
      <c r="N172" s="1054"/>
      <c r="O172" s="1054"/>
      <c r="P172" s="1054"/>
      <c r="Q172" s="1054"/>
      <c r="R172" s="1054"/>
      <c r="S172" s="1054"/>
      <c r="T172" s="1054"/>
      <c r="U172" s="1054"/>
      <c r="V172" s="1054"/>
      <c r="W172" s="1054"/>
      <c r="X172" s="1054"/>
      <c r="Y172" s="1054"/>
      <c r="Z172" s="1054"/>
      <c r="AA172" s="1054"/>
      <c r="AB172" s="1054"/>
    </row>
    <row r="173">
      <c r="A173" s="1054"/>
      <c r="B173" s="1061"/>
      <c r="C173" s="1061"/>
      <c r="D173" s="1061"/>
      <c r="E173" s="1061"/>
      <c r="F173" s="1061"/>
      <c r="G173" s="1061"/>
      <c r="H173" s="1063"/>
      <c r="I173" s="1054"/>
      <c r="J173" s="1054"/>
      <c r="K173" s="1054"/>
      <c r="L173" s="1054"/>
      <c r="M173" s="1054"/>
      <c r="N173" s="1054"/>
      <c r="O173" s="1054"/>
      <c r="P173" s="1054"/>
      <c r="Q173" s="1054"/>
      <c r="R173" s="1054"/>
      <c r="S173" s="1054"/>
      <c r="T173" s="1054"/>
      <c r="U173" s="1054"/>
      <c r="V173" s="1054"/>
      <c r="W173" s="1054"/>
      <c r="X173" s="1054"/>
      <c r="Y173" s="1054"/>
      <c r="Z173" s="1054"/>
      <c r="AA173" s="1054"/>
      <c r="AB173" s="1054"/>
    </row>
    <row r="174">
      <c r="A174" s="1054"/>
      <c r="B174" s="1061"/>
      <c r="C174" s="1061"/>
      <c r="D174" s="1061"/>
      <c r="E174" s="1061"/>
      <c r="F174" s="1061"/>
      <c r="G174" s="1061"/>
      <c r="H174" s="1063"/>
      <c r="I174" s="1054"/>
      <c r="J174" s="1054"/>
      <c r="K174" s="1054"/>
      <c r="L174" s="1054"/>
      <c r="M174" s="1054"/>
      <c r="N174" s="1054"/>
      <c r="O174" s="1054"/>
      <c r="P174" s="1054"/>
      <c r="Q174" s="1054"/>
      <c r="R174" s="1054"/>
      <c r="S174" s="1054"/>
      <c r="T174" s="1054"/>
      <c r="U174" s="1054"/>
      <c r="V174" s="1054"/>
      <c r="W174" s="1054"/>
      <c r="X174" s="1054"/>
      <c r="Y174" s="1054"/>
      <c r="Z174" s="1054"/>
      <c r="AA174" s="1054"/>
      <c r="AB174" s="1054"/>
    </row>
    <row r="175">
      <c r="A175" s="1054"/>
      <c r="B175" s="1061"/>
      <c r="C175" s="1061"/>
      <c r="D175" s="1061"/>
      <c r="E175" s="1061"/>
      <c r="F175" s="1061"/>
      <c r="G175" s="1061"/>
      <c r="H175" s="1063"/>
      <c r="I175" s="1054"/>
      <c r="J175" s="1054"/>
      <c r="K175" s="1054"/>
      <c r="L175" s="1054"/>
      <c r="M175" s="1054"/>
      <c r="N175" s="1054"/>
      <c r="O175" s="1054"/>
      <c r="P175" s="1054"/>
      <c r="Q175" s="1054"/>
      <c r="R175" s="1054"/>
      <c r="S175" s="1054"/>
      <c r="T175" s="1054"/>
      <c r="U175" s="1054"/>
      <c r="V175" s="1054"/>
      <c r="W175" s="1054"/>
      <c r="X175" s="1054"/>
      <c r="Y175" s="1054"/>
      <c r="Z175" s="1054"/>
      <c r="AA175" s="1054"/>
      <c r="AB175" s="1054"/>
    </row>
    <row r="176">
      <c r="A176" s="1054"/>
      <c r="B176" s="1061"/>
      <c r="C176" s="1061"/>
      <c r="D176" s="1061"/>
      <c r="E176" s="1061"/>
      <c r="F176" s="1061"/>
      <c r="G176" s="1061"/>
      <c r="H176" s="1063"/>
      <c r="I176" s="1054"/>
      <c r="J176" s="1054"/>
      <c r="K176" s="1054"/>
      <c r="L176" s="1054"/>
      <c r="M176" s="1054"/>
      <c r="N176" s="1054"/>
      <c r="O176" s="1054"/>
      <c r="P176" s="1054"/>
      <c r="Q176" s="1054"/>
      <c r="R176" s="1054"/>
      <c r="S176" s="1054"/>
      <c r="T176" s="1054"/>
      <c r="U176" s="1054"/>
      <c r="V176" s="1054"/>
      <c r="W176" s="1054"/>
      <c r="X176" s="1054"/>
      <c r="Y176" s="1054"/>
      <c r="Z176" s="1054"/>
      <c r="AA176" s="1054"/>
      <c r="AB176" s="1054"/>
    </row>
    <row r="177">
      <c r="A177" s="1054"/>
      <c r="B177" s="1061"/>
      <c r="C177" s="1061"/>
      <c r="D177" s="1061"/>
      <c r="E177" s="1061"/>
      <c r="F177" s="1061"/>
      <c r="G177" s="1061"/>
      <c r="H177" s="1063"/>
      <c r="I177" s="1054"/>
      <c r="J177" s="1054"/>
      <c r="K177" s="1054"/>
      <c r="L177" s="1054"/>
      <c r="M177" s="1054"/>
      <c r="N177" s="1054"/>
      <c r="O177" s="1054"/>
      <c r="P177" s="1054"/>
      <c r="Q177" s="1054"/>
      <c r="R177" s="1054"/>
      <c r="S177" s="1054"/>
      <c r="T177" s="1054"/>
      <c r="U177" s="1054"/>
      <c r="V177" s="1054"/>
      <c r="W177" s="1054"/>
      <c r="X177" s="1054"/>
      <c r="Y177" s="1054"/>
      <c r="Z177" s="1054"/>
      <c r="AA177" s="1054"/>
      <c r="AB177" s="1054"/>
    </row>
    <row r="178">
      <c r="A178" s="1054"/>
      <c r="B178" s="1061"/>
      <c r="C178" s="1061"/>
      <c r="D178" s="1061"/>
      <c r="E178" s="1061"/>
      <c r="F178" s="1061"/>
      <c r="G178" s="1061"/>
      <c r="H178" s="1063"/>
      <c r="I178" s="1054"/>
      <c r="J178" s="1054"/>
      <c r="K178" s="1054"/>
      <c r="L178" s="1054"/>
      <c r="M178" s="1054"/>
      <c r="N178" s="1054"/>
      <c r="O178" s="1054"/>
      <c r="P178" s="1054"/>
      <c r="Q178" s="1054"/>
      <c r="R178" s="1054"/>
      <c r="S178" s="1054"/>
      <c r="T178" s="1054"/>
      <c r="U178" s="1054"/>
      <c r="V178" s="1054"/>
      <c r="W178" s="1054"/>
      <c r="X178" s="1054"/>
      <c r="Y178" s="1054"/>
      <c r="Z178" s="1054"/>
      <c r="AA178" s="1054"/>
      <c r="AB178" s="1054"/>
    </row>
    <row r="179">
      <c r="A179" s="1054"/>
      <c r="B179" s="1061"/>
      <c r="C179" s="1061"/>
      <c r="D179" s="1061"/>
      <c r="E179" s="1061"/>
      <c r="F179" s="1061"/>
      <c r="G179" s="1061"/>
      <c r="H179" s="1063"/>
      <c r="I179" s="1054"/>
      <c r="J179" s="1054"/>
      <c r="K179" s="1054"/>
      <c r="L179" s="1054"/>
      <c r="M179" s="1054"/>
      <c r="N179" s="1054"/>
      <c r="O179" s="1054"/>
      <c r="P179" s="1054"/>
      <c r="Q179" s="1054"/>
      <c r="R179" s="1054"/>
      <c r="S179" s="1054"/>
      <c r="T179" s="1054"/>
      <c r="U179" s="1054"/>
      <c r="V179" s="1054"/>
      <c r="W179" s="1054"/>
      <c r="X179" s="1054"/>
      <c r="Y179" s="1054"/>
      <c r="Z179" s="1054"/>
      <c r="AA179" s="1054"/>
      <c r="AB179" s="1054"/>
    </row>
    <row r="180">
      <c r="A180" s="1054"/>
      <c r="B180" s="1061"/>
      <c r="C180" s="1061"/>
      <c r="D180" s="1061"/>
      <c r="E180" s="1061"/>
      <c r="F180" s="1061"/>
      <c r="G180" s="1061"/>
      <c r="H180" s="1063"/>
      <c r="I180" s="1054"/>
      <c r="J180" s="1054"/>
      <c r="K180" s="1054"/>
      <c r="L180" s="1054"/>
      <c r="M180" s="1054"/>
      <c r="N180" s="1054"/>
      <c r="O180" s="1054"/>
      <c r="P180" s="1054"/>
      <c r="Q180" s="1054"/>
      <c r="R180" s="1054"/>
      <c r="S180" s="1054"/>
      <c r="T180" s="1054"/>
      <c r="U180" s="1054"/>
      <c r="V180" s="1054"/>
      <c r="W180" s="1054"/>
      <c r="X180" s="1054"/>
      <c r="Y180" s="1054"/>
      <c r="Z180" s="1054"/>
      <c r="AA180" s="1054"/>
      <c r="AB180" s="1054"/>
    </row>
    <row r="181">
      <c r="A181" s="1054"/>
      <c r="B181" s="1061"/>
      <c r="C181" s="1061"/>
      <c r="D181" s="1061"/>
      <c r="E181" s="1061"/>
      <c r="F181" s="1061"/>
      <c r="G181" s="1061"/>
      <c r="H181" s="1063"/>
      <c r="I181" s="1054"/>
      <c r="J181" s="1054"/>
      <c r="K181" s="1054"/>
      <c r="L181" s="1054"/>
      <c r="M181" s="1054"/>
      <c r="N181" s="1054"/>
      <c r="O181" s="1054"/>
      <c r="P181" s="1054"/>
      <c r="Q181" s="1054"/>
      <c r="R181" s="1054"/>
      <c r="S181" s="1054"/>
      <c r="T181" s="1054"/>
      <c r="U181" s="1054"/>
      <c r="V181" s="1054"/>
      <c r="W181" s="1054"/>
      <c r="X181" s="1054"/>
      <c r="Y181" s="1054"/>
      <c r="Z181" s="1054"/>
      <c r="AA181" s="1054"/>
      <c r="AB181" s="1054"/>
    </row>
    <row r="182">
      <c r="A182" s="1054"/>
      <c r="B182" s="1061"/>
      <c r="C182" s="1061"/>
      <c r="D182" s="1061"/>
      <c r="E182" s="1061"/>
      <c r="F182" s="1061"/>
      <c r="G182" s="1061"/>
      <c r="H182" s="1063"/>
      <c r="I182" s="1054"/>
      <c r="J182" s="1054"/>
      <c r="K182" s="1054"/>
      <c r="L182" s="1054"/>
      <c r="M182" s="1054"/>
      <c r="N182" s="1054"/>
      <c r="O182" s="1054"/>
      <c r="P182" s="1054"/>
      <c r="Q182" s="1054"/>
      <c r="R182" s="1054"/>
      <c r="S182" s="1054"/>
      <c r="T182" s="1054"/>
      <c r="U182" s="1054"/>
      <c r="V182" s="1054"/>
      <c r="W182" s="1054"/>
      <c r="X182" s="1054"/>
      <c r="Y182" s="1054"/>
      <c r="Z182" s="1054"/>
      <c r="AA182" s="1054"/>
      <c r="AB182" s="1054"/>
    </row>
    <row r="183">
      <c r="A183" s="1054"/>
      <c r="B183" s="1061"/>
      <c r="C183" s="1061"/>
      <c r="D183" s="1061"/>
      <c r="E183" s="1061"/>
      <c r="F183" s="1061"/>
      <c r="G183" s="1061"/>
      <c r="H183" s="1063"/>
      <c r="I183" s="1054"/>
      <c r="J183" s="1054"/>
      <c r="K183" s="1054"/>
      <c r="L183" s="1054"/>
      <c r="M183" s="1054"/>
      <c r="N183" s="1054"/>
      <c r="O183" s="1054"/>
      <c r="P183" s="1054"/>
      <c r="Q183" s="1054"/>
      <c r="R183" s="1054"/>
      <c r="S183" s="1054"/>
      <c r="T183" s="1054"/>
      <c r="U183" s="1054"/>
      <c r="V183" s="1054"/>
      <c r="W183" s="1054"/>
      <c r="X183" s="1054"/>
      <c r="Y183" s="1054"/>
      <c r="Z183" s="1054"/>
      <c r="AA183" s="1054"/>
      <c r="AB183" s="1054"/>
    </row>
    <row r="184">
      <c r="A184" s="1054"/>
      <c r="B184" s="1061"/>
      <c r="C184" s="1061"/>
      <c r="D184" s="1061"/>
      <c r="E184" s="1061"/>
      <c r="F184" s="1061"/>
      <c r="G184" s="1061"/>
      <c r="H184" s="1063"/>
      <c r="I184" s="1054"/>
      <c r="J184" s="1054"/>
      <c r="K184" s="1054"/>
      <c r="L184" s="1054"/>
      <c r="M184" s="1054"/>
      <c r="N184" s="1054"/>
      <c r="O184" s="1054"/>
      <c r="P184" s="1054"/>
      <c r="Q184" s="1054"/>
      <c r="R184" s="1054"/>
      <c r="S184" s="1054"/>
      <c r="T184" s="1054"/>
      <c r="U184" s="1054"/>
      <c r="V184" s="1054"/>
      <c r="W184" s="1054"/>
      <c r="X184" s="1054"/>
      <c r="Y184" s="1054"/>
      <c r="Z184" s="1054"/>
      <c r="AA184" s="1054"/>
      <c r="AB184" s="1054"/>
    </row>
    <row r="185">
      <c r="A185" s="1054"/>
      <c r="B185" s="1061"/>
      <c r="C185" s="1061"/>
      <c r="D185" s="1061"/>
      <c r="E185" s="1061"/>
      <c r="F185" s="1061"/>
      <c r="G185" s="1061"/>
      <c r="H185" s="1063"/>
      <c r="I185" s="1054"/>
      <c r="J185" s="1054"/>
      <c r="K185" s="1054"/>
      <c r="L185" s="1054"/>
      <c r="M185" s="1054"/>
      <c r="N185" s="1054"/>
      <c r="O185" s="1054"/>
      <c r="P185" s="1054"/>
      <c r="Q185" s="1054"/>
      <c r="R185" s="1054"/>
      <c r="S185" s="1054"/>
      <c r="T185" s="1054"/>
      <c r="U185" s="1054"/>
      <c r="V185" s="1054"/>
      <c r="W185" s="1054"/>
      <c r="X185" s="1054"/>
      <c r="Y185" s="1054"/>
      <c r="Z185" s="1054"/>
      <c r="AA185" s="1054"/>
      <c r="AB185" s="1054"/>
    </row>
    <row r="186">
      <c r="A186" s="1054"/>
      <c r="B186" s="1061"/>
      <c r="C186" s="1061"/>
      <c r="D186" s="1061"/>
      <c r="E186" s="1061"/>
      <c r="F186" s="1061"/>
      <c r="G186" s="1061"/>
      <c r="H186" s="1063"/>
      <c r="I186" s="1054"/>
      <c r="J186" s="1054"/>
      <c r="K186" s="1054"/>
      <c r="L186" s="1054"/>
      <c r="M186" s="1054"/>
      <c r="N186" s="1054"/>
      <c r="O186" s="1054"/>
      <c r="P186" s="1054"/>
      <c r="Q186" s="1054"/>
      <c r="R186" s="1054"/>
      <c r="S186" s="1054"/>
      <c r="T186" s="1054"/>
      <c r="U186" s="1054"/>
      <c r="V186" s="1054"/>
      <c r="W186" s="1054"/>
      <c r="X186" s="1054"/>
      <c r="Y186" s="1054"/>
      <c r="Z186" s="1054"/>
      <c r="AA186" s="1054"/>
      <c r="AB186" s="1054"/>
    </row>
    <row r="187">
      <c r="A187" s="1054"/>
      <c r="B187" s="1061"/>
      <c r="C187" s="1061"/>
      <c r="D187" s="1061"/>
      <c r="E187" s="1061"/>
      <c r="F187" s="1061"/>
      <c r="G187" s="1061"/>
      <c r="H187" s="1063"/>
      <c r="I187" s="1054"/>
      <c r="J187" s="1054"/>
      <c r="K187" s="1054"/>
      <c r="L187" s="1054"/>
      <c r="M187" s="1054"/>
      <c r="N187" s="1054"/>
      <c r="O187" s="1054"/>
      <c r="P187" s="1054"/>
      <c r="Q187" s="1054"/>
      <c r="R187" s="1054"/>
      <c r="S187" s="1054"/>
      <c r="T187" s="1054"/>
      <c r="U187" s="1054"/>
      <c r="V187" s="1054"/>
      <c r="W187" s="1054"/>
      <c r="X187" s="1054"/>
      <c r="Y187" s="1054"/>
      <c r="Z187" s="1054"/>
      <c r="AA187" s="1054"/>
      <c r="AB187" s="1054"/>
    </row>
    <row r="188">
      <c r="A188" s="1054"/>
      <c r="B188" s="1061"/>
      <c r="C188" s="1061"/>
      <c r="D188" s="1061"/>
      <c r="E188" s="1061"/>
      <c r="F188" s="1061"/>
      <c r="G188" s="1061"/>
      <c r="H188" s="1063"/>
      <c r="I188" s="1054"/>
      <c r="J188" s="1054"/>
      <c r="K188" s="1054"/>
      <c r="L188" s="1054"/>
      <c r="M188" s="1054"/>
      <c r="N188" s="1054"/>
      <c r="O188" s="1054"/>
      <c r="P188" s="1054"/>
      <c r="Q188" s="1054"/>
      <c r="R188" s="1054"/>
      <c r="S188" s="1054"/>
      <c r="T188" s="1054"/>
      <c r="U188" s="1054"/>
      <c r="V188" s="1054"/>
      <c r="W188" s="1054"/>
      <c r="X188" s="1054"/>
      <c r="Y188" s="1054"/>
      <c r="Z188" s="1054"/>
      <c r="AA188" s="1054"/>
      <c r="AB188" s="1054"/>
    </row>
    <row r="189">
      <c r="A189" s="1054"/>
      <c r="B189" s="1061"/>
      <c r="C189" s="1061"/>
      <c r="D189" s="1061"/>
      <c r="E189" s="1061"/>
      <c r="F189" s="1061"/>
      <c r="G189" s="1061"/>
      <c r="H189" s="1063"/>
      <c r="I189" s="1054"/>
      <c r="J189" s="1054"/>
      <c r="K189" s="1054"/>
      <c r="L189" s="1054"/>
      <c r="M189" s="1054"/>
      <c r="N189" s="1054"/>
      <c r="O189" s="1054"/>
      <c r="P189" s="1054"/>
      <c r="Q189" s="1054"/>
      <c r="R189" s="1054"/>
      <c r="S189" s="1054"/>
      <c r="T189" s="1054"/>
      <c r="U189" s="1054"/>
      <c r="V189" s="1054"/>
      <c r="W189" s="1054"/>
      <c r="X189" s="1054"/>
      <c r="Y189" s="1054"/>
      <c r="Z189" s="1054"/>
      <c r="AA189" s="1054"/>
      <c r="AB189" s="1054"/>
    </row>
    <row r="190">
      <c r="A190" s="1054"/>
      <c r="B190" s="1061"/>
      <c r="C190" s="1061"/>
      <c r="D190" s="1061"/>
      <c r="E190" s="1061"/>
      <c r="F190" s="1061"/>
      <c r="G190" s="1061"/>
      <c r="H190" s="1063"/>
      <c r="I190" s="1054"/>
      <c r="J190" s="1054"/>
      <c r="K190" s="1054"/>
      <c r="L190" s="1054"/>
      <c r="M190" s="1054"/>
      <c r="N190" s="1054"/>
      <c r="O190" s="1054"/>
      <c r="P190" s="1054"/>
      <c r="Q190" s="1054"/>
      <c r="R190" s="1054"/>
      <c r="S190" s="1054"/>
      <c r="T190" s="1054"/>
      <c r="U190" s="1054"/>
      <c r="V190" s="1054"/>
      <c r="W190" s="1054"/>
      <c r="X190" s="1054"/>
      <c r="Y190" s="1054"/>
      <c r="Z190" s="1054"/>
      <c r="AA190" s="1054"/>
      <c r="AB190" s="1054"/>
    </row>
    <row r="191">
      <c r="A191" s="1054"/>
      <c r="B191" s="1061"/>
      <c r="C191" s="1061"/>
      <c r="D191" s="1061"/>
      <c r="E191" s="1061"/>
      <c r="F191" s="1061"/>
      <c r="G191" s="1061"/>
      <c r="H191" s="1063"/>
      <c r="I191" s="1054"/>
      <c r="J191" s="1054"/>
      <c r="K191" s="1054"/>
      <c r="L191" s="1054"/>
      <c r="M191" s="1054"/>
      <c r="N191" s="1054"/>
      <c r="O191" s="1054"/>
      <c r="P191" s="1054"/>
      <c r="Q191" s="1054"/>
      <c r="R191" s="1054"/>
      <c r="S191" s="1054"/>
      <c r="T191" s="1054"/>
      <c r="U191" s="1054"/>
      <c r="V191" s="1054"/>
      <c r="W191" s="1054"/>
      <c r="X191" s="1054"/>
      <c r="Y191" s="1054"/>
      <c r="Z191" s="1054"/>
      <c r="AA191" s="1054"/>
      <c r="AB191" s="1054"/>
    </row>
    <row r="192">
      <c r="A192" s="1054"/>
      <c r="B192" s="1061"/>
      <c r="C192" s="1061"/>
      <c r="D192" s="1061"/>
      <c r="E192" s="1061"/>
      <c r="F192" s="1061"/>
      <c r="G192" s="1061"/>
      <c r="H192" s="1063"/>
      <c r="I192" s="1054"/>
      <c r="J192" s="1054"/>
      <c r="K192" s="1054"/>
      <c r="L192" s="1054"/>
      <c r="M192" s="1054"/>
      <c r="N192" s="1054"/>
      <c r="O192" s="1054"/>
      <c r="P192" s="1054"/>
      <c r="Q192" s="1054"/>
      <c r="R192" s="1054"/>
      <c r="S192" s="1054"/>
      <c r="T192" s="1054"/>
      <c r="U192" s="1054"/>
      <c r="V192" s="1054"/>
      <c r="W192" s="1054"/>
      <c r="X192" s="1054"/>
      <c r="Y192" s="1054"/>
      <c r="Z192" s="1054"/>
      <c r="AA192" s="1054"/>
      <c r="AB192" s="1054"/>
    </row>
    <row r="193">
      <c r="A193" s="1054"/>
      <c r="B193" s="1061"/>
      <c r="C193" s="1061"/>
      <c r="D193" s="1061"/>
      <c r="E193" s="1061"/>
      <c r="F193" s="1061"/>
      <c r="G193" s="1061"/>
      <c r="H193" s="1063"/>
      <c r="I193" s="1054"/>
      <c r="J193" s="1054"/>
      <c r="K193" s="1054"/>
      <c r="L193" s="1054"/>
      <c r="M193" s="1054"/>
      <c r="N193" s="1054"/>
      <c r="O193" s="1054"/>
      <c r="P193" s="1054"/>
      <c r="Q193" s="1054"/>
      <c r="R193" s="1054"/>
      <c r="S193" s="1054"/>
      <c r="T193" s="1054"/>
      <c r="U193" s="1054"/>
      <c r="V193" s="1054"/>
      <c r="W193" s="1054"/>
      <c r="X193" s="1054"/>
      <c r="Y193" s="1054"/>
      <c r="Z193" s="1054"/>
      <c r="AA193" s="1054"/>
      <c r="AB193" s="1054"/>
    </row>
    <row r="194">
      <c r="A194" s="1054"/>
      <c r="B194" s="1061"/>
      <c r="C194" s="1061"/>
      <c r="D194" s="1061"/>
      <c r="E194" s="1061"/>
      <c r="F194" s="1061"/>
      <c r="G194" s="1061"/>
      <c r="H194" s="1063"/>
      <c r="I194" s="1054"/>
      <c r="J194" s="1054"/>
      <c r="K194" s="1054"/>
      <c r="L194" s="1054"/>
      <c r="M194" s="1054"/>
      <c r="N194" s="1054"/>
      <c r="O194" s="1054"/>
      <c r="P194" s="1054"/>
      <c r="Q194" s="1054"/>
      <c r="R194" s="1054"/>
      <c r="S194" s="1054"/>
      <c r="T194" s="1054"/>
      <c r="U194" s="1054"/>
      <c r="V194" s="1054"/>
      <c r="W194" s="1054"/>
      <c r="X194" s="1054"/>
      <c r="Y194" s="1054"/>
      <c r="Z194" s="1054"/>
      <c r="AA194" s="1054"/>
      <c r="AB194" s="1054"/>
    </row>
    <row r="195">
      <c r="A195" s="1054"/>
      <c r="B195" s="1061"/>
      <c r="C195" s="1061"/>
      <c r="D195" s="1061"/>
      <c r="E195" s="1061"/>
      <c r="F195" s="1061"/>
      <c r="G195" s="1061"/>
      <c r="H195" s="1063"/>
      <c r="I195" s="1054"/>
      <c r="J195" s="1054"/>
      <c r="K195" s="1054"/>
      <c r="L195" s="1054"/>
      <c r="M195" s="1054"/>
      <c r="N195" s="1054"/>
      <c r="O195" s="1054"/>
      <c r="P195" s="1054"/>
      <c r="Q195" s="1054"/>
      <c r="R195" s="1054"/>
      <c r="S195" s="1054"/>
      <c r="T195" s="1054"/>
      <c r="U195" s="1054"/>
      <c r="V195" s="1054"/>
      <c r="W195" s="1054"/>
      <c r="X195" s="1054"/>
      <c r="Y195" s="1054"/>
      <c r="Z195" s="1054"/>
      <c r="AA195" s="1054"/>
      <c r="AB195" s="1054"/>
    </row>
    <row r="196">
      <c r="A196" s="1054"/>
      <c r="B196" s="1061"/>
      <c r="C196" s="1061"/>
      <c r="D196" s="1061"/>
      <c r="E196" s="1061"/>
      <c r="F196" s="1061"/>
      <c r="G196" s="1061"/>
      <c r="H196" s="1063"/>
      <c r="I196" s="1054"/>
      <c r="J196" s="1054"/>
      <c r="K196" s="1054"/>
      <c r="L196" s="1054"/>
      <c r="M196" s="1054"/>
      <c r="N196" s="1054"/>
      <c r="O196" s="1054"/>
      <c r="P196" s="1054"/>
      <c r="Q196" s="1054"/>
      <c r="R196" s="1054"/>
      <c r="S196" s="1054"/>
      <c r="T196" s="1054"/>
      <c r="U196" s="1054"/>
      <c r="V196" s="1054"/>
      <c r="W196" s="1054"/>
      <c r="X196" s="1054"/>
      <c r="Y196" s="1054"/>
      <c r="Z196" s="1054"/>
      <c r="AA196" s="1054"/>
      <c r="AB196" s="1054"/>
    </row>
    <row r="197">
      <c r="A197" s="1054"/>
      <c r="B197" s="1061"/>
      <c r="C197" s="1061"/>
      <c r="D197" s="1061"/>
      <c r="E197" s="1061"/>
      <c r="F197" s="1061"/>
      <c r="G197" s="1061"/>
      <c r="H197" s="1063"/>
      <c r="I197" s="1054"/>
      <c r="J197" s="1054"/>
      <c r="K197" s="1054"/>
      <c r="L197" s="1054"/>
      <c r="M197" s="1054"/>
      <c r="N197" s="1054"/>
      <c r="O197" s="1054"/>
      <c r="P197" s="1054"/>
      <c r="Q197" s="1054"/>
      <c r="R197" s="1054"/>
      <c r="S197" s="1054"/>
      <c r="T197" s="1054"/>
      <c r="U197" s="1054"/>
      <c r="V197" s="1054"/>
      <c r="W197" s="1054"/>
      <c r="X197" s="1054"/>
      <c r="Y197" s="1054"/>
      <c r="Z197" s="1054"/>
      <c r="AA197" s="1054"/>
      <c r="AB197" s="1054"/>
    </row>
    <row r="198">
      <c r="A198" s="1054"/>
      <c r="B198" s="1061"/>
      <c r="C198" s="1061"/>
      <c r="D198" s="1061"/>
      <c r="E198" s="1061"/>
      <c r="F198" s="1061"/>
      <c r="G198" s="1061"/>
      <c r="H198" s="1063"/>
      <c r="I198" s="1054"/>
      <c r="J198" s="1054"/>
      <c r="K198" s="1054"/>
      <c r="L198" s="1054"/>
      <c r="M198" s="1054"/>
      <c r="N198" s="1054"/>
      <c r="O198" s="1054"/>
      <c r="P198" s="1054"/>
      <c r="Q198" s="1054"/>
      <c r="R198" s="1054"/>
      <c r="S198" s="1054"/>
      <c r="T198" s="1054"/>
      <c r="U198" s="1054"/>
      <c r="V198" s="1054"/>
      <c r="W198" s="1054"/>
      <c r="X198" s="1054"/>
      <c r="Y198" s="1054"/>
      <c r="Z198" s="1054"/>
      <c r="AA198" s="1054"/>
      <c r="AB198" s="1054"/>
    </row>
    <row r="199">
      <c r="A199" s="1054"/>
      <c r="B199" s="1061"/>
      <c r="C199" s="1061"/>
      <c r="D199" s="1061"/>
      <c r="E199" s="1061"/>
      <c r="F199" s="1061"/>
      <c r="G199" s="1061"/>
      <c r="H199" s="1063"/>
      <c r="I199" s="1054"/>
      <c r="J199" s="1054"/>
      <c r="K199" s="1054"/>
      <c r="L199" s="1054"/>
      <c r="M199" s="1054"/>
      <c r="N199" s="1054"/>
      <c r="O199" s="1054"/>
      <c r="P199" s="1054"/>
      <c r="Q199" s="1054"/>
      <c r="R199" s="1054"/>
      <c r="S199" s="1054"/>
      <c r="T199" s="1054"/>
      <c r="U199" s="1054"/>
      <c r="V199" s="1054"/>
      <c r="W199" s="1054"/>
      <c r="X199" s="1054"/>
      <c r="Y199" s="1054"/>
      <c r="Z199" s="1054"/>
      <c r="AA199" s="1054"/>
      <c r="AB199" s="1054"/>
    </row>
    <row r="200">
      <c r="A200" s="1054"/>
      <c r="B200" s="1061"/>
      <c r="C200" s="1061"/>
      <c r="D200" s="1061"/>
      <c r="E200" s="1061"/>
      <c r="F200" s="1061"/>
      <c r="G200" s="1061"/>
      <c r="H200" s="1063"/>
      <c r="I200" s="1054"/>
      <c r="J200" s="1054"/>
      <c r="K200" s="1054"/>
      <c r="L200" s="1054"/>
      <c r="M200" s="1054"/>
      <c r="N200" s="1054"/>
      <c r="O200" s="1054"/>
      <c r="P200" s="1054"/>
      <c r="Q200" s="1054"/>
      <c r="R200" s="1054"/>
      <c r="S200" s="1054"/>
      <c r="T200" s="1054"/>
      <c r="U200" s="1054"/>
      <c r="V200" s="1054"/>
      <c r="W200" s="1054"/>
      <c r="X200" s="1054"/>
      <c r="Y200" s="1054"/>
      <c r="Z200" s="1054"/>
      <c r="AA200" s="1054"/>
      <c r="AB200" s="1054"/>
    </row>
    <row r="201">
      <c r="A201" s="1054"/>
      <c r="B201" s="1061"/>
      <c r="C201" s="1061"/>
      <c r="D201" s="1061"/>
      <c r="E201" s="1061"/>
      <c r="F201" s="1061"/>
      <c r="G201" s="1061"/>
      <c r="H201" s="1063"/>
      <c r="I201" s="1054"/>
      <c r="J201" s="1054"/>
      <c r="K201" s="1054"/>
      <c r="L201" s="1054"/>
      <c r="M201" s="1054"/>
      <c r="N201" s="1054"/>
      <c r="O201" s="1054"/>
      <c r="P201" s="1054"/>
      <c r="Q201" s="1054"/>
      <c r="R201" s="1054"/>
      <c r="S201" s="1054"/>
      <c r="T201" s="1054"/>
      <c r="U201" s="1054"/>
      <c r="V201" s="1054"/>
      <c r="W201" s="1054"/>
      <c r="X201" s="1054"/>
      <c r="Y201" s="1054"/>
      <c r="Z201" s="1054"/>
      <c r="AA201" s="1054"/>
      <c r="AB201" s="1054"/>
    </row>
    <row r="202">
      <c r="A202" s="1054"/>
      <c r="B202" s="1061"/>
      <c r="C202" s="1061"/>
      <c r="D202" s="1061"/>
      <c r="E202" s="1061"/>
      <c r="F202" s="1061"/>
      <c r="G202" s="1061"/>
      <c r="H202" s="1063"/>
      <c r="I202" s="1054"/>
      <c r="J202" s="1054"/>
      <c r="K202" s="1054"/>
      <c r="L202" s="1054"/>
      <c r="M202" s="1054"/>
      <c r="N202" s="1054"/>
      <c r="O202" s="1054"/>
      <c r="P202" s="1054"/>
      <c r="Q202" s="1054"/>
      <c r="R202" s="1054"/>
      <c r="S202" s="1054"/>
      <c r="T202" s="1054"/>
      <c r="U202" s="1054"/>
      <c r="V202" s="1054"/>
      <c r="W202" s="1054"/>
      <c r="X202" s="1054"/>
      <c r="Y202" s="1054"/>
      <c r="Z202" s="1054"/>
      <c r="AA202" s="1054"/>
      <c r="AB202" s="1054"/>
    </row>
    <row r="203">
      <c r="A203" s="1054"/>
      <c r="B203" s="1061"/>
      <c r="C203" s="1061"/>
      <c r="D203" s="1061"/>
      <c r="E203" s="1061"/>
      <c r="F203" s="1061"/>
      <c r="G203" s="1061"/>
      <c r="H203" s="1063"/>
      <c r="I203" s="1054"/>
      <c r="J203" s="1054"/>
      <c r="K203" s="1054"/>
      <c r="L203" s="1054"/>
      <c r="M203" s="1054"/>
      <c r="N203" s="1054"/>
      <c r="O203" s="1054"/>
      <c r="P203" s="1054"/>
      <c r="Q203" s="1054"/>
      <c r="R203" s="1054"/>
      <c r="S203" s="1054"/>
      <c r="T203" s="1054"/>
      <c r="U203" s="1054"/>
      <c r="V203" s="1054"/>
      <c r="W203" s="1054"/>
      <c r="X203" s="1054"/>
      <c r="Y203" s="1054"/>
      <c r="Z203" s="1054"/>
      <c r="AA203" s="1054"/>
      <c r="AB203" s="1054"/>
    </row>
    <row r="204">
      <c r="A204" s="1054"/>
      <c r="B204" s="1061"/>
      <c r="C204" s="1061"/>
      <c r="D204" s="1061"/>
      <c r="E204" s="1061"/>
      <c r="F204" s="1061"/>
      <c r="G204" s="1061"/>
      <c r="H204" s="1063"/>
      <c r="I204" s="1054"/>
      <c r="J204" s="1054"/>
      <c r="K204" s="1054"/>
      <c r="L204" s="1054"/>
      <c r="M204" s="1054"/>
      <c r="N204" s="1054"/>
      <c r="O204" s="1054"/>
      <c r="P204" s="1054"/>
      <c r="Q204" s="1054"/>
      <c r="R204" s="1054"/>
      <c r="S204" s="1054"/>
      <c r="T204" s="1054"/>
      <c r="U204" s="1054"/>
      <c r="V204" s="1054"/>
      <c r="W204" s="1054"/>
      <c r="X204" s="1054"/>
      <c r="Y204" s="1054"/>
      <c r="Z204" s="1054"/>
      <c r="AA204" s="1054"/>
      <c r="AB204" s="1054"/>
    </row>
    <row r="205">
      <c r="A205" s="1054"/>
      <c r="B205" s="1061"/>
      <c r="C205" s="1061"/>
      <c r="D205" s="1061"/>
      <c r="E205" s="1061"/>
      <c r="F205" s="1061"/>
      <c r="G205" s="1061"/>
      <c r="H205" s="1063"/>
      <c r="I205" s="1054"/>
      <c r="J205" s="1054"/>
      <c r="K205" s="1054"/>
      <c r="L205" s="1054"/>
      <c r="M205" s="1054"/>
      <c r="N205" s="1054"/>
      <c r="O205" s="1054"/>
      <c r="P205" s="1054"/>
      <c r="Q205" s="1054"/>
      <c r="R205" s="1054"/>
      <c r="S205" s="1054"/>
      <c r="T205" s="1054"/>
      <c r="U205" s="1054"/>
      <c r="V205" s="1054"/>
      <c r="W205" s="1054"/>
      <c r="X205" s="1054"/>
      <c r="Y205" s="1054"/>
      <c r="Z205" s="1054"/>
      <c r="AA205" s="1054"/>
      <c r="AB205" s="1054"/>
    </row>
    <row r="206">
      <c r="A206" s="1054"/>
      <c r="B206" s="1061"/>
      <c r="C206" s="1061"/>
      <c r="D206" s="1061"/>
      <c r="E206" s="1061"/>
      <c r="F206" s="1061"/>
      <c r="G206" s="1061"/>
      <c r="H206" s="1063"/>
      <c r="I206" s="1054"/>
      <c r="J206" s="1054"/>
      <c r="K206" s="1054"/>
      <c r="L206" s="1054"/>
      <c r="M206" s="1054"/>
      <c r="N206" s="1054"/>
      <c r="O206" s="1054"/>
      <c r="P206" s="1054"/>
      <c r="Q206" s="1054"/>
      <c r="R206" s="1054"/>
      <c r="S206" s="1054"/>
      <c r="T206" s="1054"/>
      <c r="U206" s="1054"/>
      <c r="V206" s="1054"/>
      <c r="W206" s="1054"/>
      <c r="X206" s="1054"/>
      <c r="Y206" s="1054"/>
      <c r="Z206" s="1054"/>
      <c r="AA206" s="1054"/>
      <c r="AB206" s="1054"/>
    </row>
    <row r="207">
      <c r="A207" s="1054"/>
      <c r="B207" s="1061"/>
      <c r="C207" s="1061"/>
      <c r="D207" s="1061"/>
      <c r="E207" s="1061"/>
      <c r="F207" s="1061"/>
      <c r="G207" s="1061"/>
      <c r="H207" s="1063"/>
      <c r="I207" s="1054"/>
      <c r="J207" s="1054"/>
      <c r="K207" s="1054"/>
      <c r="L207" s="1054"/>
      <c r="M207" s="1054"/>
      <c r="N207" s="1054"/>
      <c r="O207" s="1054"/>
      <c r="P207" s="1054"/>
      <c r="Q207" s="1054"/>
      <c r="R207" s="1054"/>
      <c r="S207" s="1054"/>
      <c r="T207" s="1054"/>
      <c r="U207" s="1054"/>
      <c r="V207" s="1054"/>
      <c r="W207" s="1054"/>
      <c r="X207" s="1054"/>
      <c r="Y207" s="1054"/>
      <c r="Z207" s="1054"/>
      <c r="AA207" s="1054"/>
      <c r="AB207" s="1054"/>
    </row>
    <row r="208">
      <c r="A208" s="1054"/>
      <c r="B208" s="1061"/>
      <c r="C208" s="1061"/>
      <c r="D208" s="1061"/>
      <c r="E208" s="1061"/>
      <c r="F208" s="1061"/>
      <c r="G208" s="1061"/>
      <c r="H208" s="1063"/>
      <c r="I208" s="1054"/>
      <c r="J208" s="1054"/>
      <c r="K208" s="1054"/>
      <c r="L208" s="1054"/>
      <c r="M208" s="1054"/>
      <c r="N208" s="1054"/>
      <c r="O208" s="1054"/>
      <c r="P208" s="1054"/>
      <c r="Q208" s="1054"/>
      <c r="R208" s="1054"/>
      <c r="S208" s="1054"/>
      <c r="T208" s="1054"/>
      <c r="U208" s="1054"/>
      <c r="V208" s="1054"/>
      <c r="W208" s="1054"/>
      <c r="X208" s="1054"/>
      <c r="Y208" s="1054"/>
      <c r="Z208" s="1054"/>
      <c r="AA208" s="1054"/>
      <c r="AB208" s="1054"/>
    </row>
    <row r="209">
      <c r="A209" s="1054"/>
      <c r="B209" s="1061"/>
      <c r="C209" s="1061"/>
      <c r="D209" s="1061"/>
      <c r="E209" s="1061"/>
      <c r="F209" s="1061"/>
      <c r="G209" s="1061"/>
      <c r="H209" s="1063"/>
      <c r="I209" s="1054"/>
      <c r="J209" s="1054"/>
      <c r="K209" s="1054"/>
      <c r="L209" s="1054"/>
      <c r="M209" s="1054"/>
      <c r="N209" s="1054"/>
      <c r="O209" s="1054"/>
      <c r="P209" s="1054"/>
      <c r="Q209" s="1054"/>
      <c r="R209" s="1054"/>
      <c r="S209" s="1054"/>
      <c r="T209" s="1054"/>
      <c r="U209" s="1054"/>
      <c r="V209" s="1054"/>
      <c r="W209" s="1054"/>
      <c r="X209" s="1054"/>
      <c r="Y209" s="1054"/>
      <c r="Z209" s="1054"/>
      <c r="AA209" s="1054"/>
      <c r="AB209" s="1054"/>
    </row>
    <row r="210">
      <c r="A210" s="1054"/>
      <c r="B210" s="1061"/>
      <c r="C210" s="1061"/>
      <c r="D210" s="1061"/>
      <c r="E210" s="1061"/>
      <c r="F210" s="1061"/>
      <c r="G210" s="1061"/>
      <c r="H210" s="1063"/>
      <c r="I210" s="1054"/>
      <c r="J210" s="1054"/>
      <c r="K210" s="1054"/>
      <c r="L210" s="1054"/>
      <c r="M210" s="1054"/>
      <c r="N210" s="1054"/>
      <c r="O210" s="1054"/>
      <c r="P210" s="1054"/>
      <c r="Q210" s="1054"/>
      <c r="R210" s="1054"/>
      <c r="S210" s="1054"/>
      <c r="T210" s="1054"/>
      <c r="U210" s="1054"/>
      <c r="V210" s="1054"/>
      <c r="W210" s="1054"/>
      <c r="X210" s="1054"/>
      <c r="Y210" s="1054"/>
      <c r="Z210" s="1054"/>
      <c r="AA210" s="1054"/>
      <c r="AB210" s="1054"/>
    </row>
    <row r="211">
      <c r="A211" s="1054"/>
      <c r="B211" s="1061"/>
      <c r="C211" s="1061"/>
      <c r="D211" s="1061"/>
      <c r="E211" s="1061"/>
      <c r="F211" s="1061"/>
      <c r="G211" s="1061"/>
      <c r="H211" s="1063"/>
      <c r="I211" s="1054"/>
      <c r="J211" s="1054"/>
      <c r="K211" s="1054"/>
      <c r="L211" s="1054"/>
      <c r="M211" s="1054"/>
      <c r="N211" s="1054"/>
      <c r="O211" s="1054"/>
      <c r="P211" s="1054"/>
      <c r="Q211" s="1054"/>
      <c r="R211" s="1054"/>
      <c r="S211" s="1054"/>
      <c r="T211" s="1054"/>
      <c r="U211" s="1054"/>
      <c r="V211" s="1054"/>
      <c r="W211" s="1054"/>
      <c r="X211" s="1054"/>
      <c r="Y211" s="1054"/>
      <c r="Z211" s="1054"/>
      <c r="AA211" s="1054"/>
      <c r="AB211" s="1054"/>
    </row>
    <row r="212">
      <c r="A212" s="1054"/>
      <c r="B212" s="1061"/>
      <c r="C212" s="1061"/>
      <c r="D212" s="1061"/>
      <c r="E212" s="1061"/>
      <c r="F212" s="1061"/>
      <c r="G212" s="1061"/>
      <c r="H212" s="1063"/>
      <c r="I212" s="1054"/>
      <c r="J212" s="1054"/>
      <c r="K212" s="1054"/>
      <c r="L212" s="1054"/>
      <c r="M212" s="1054"/>
      <c r="N212" s="1054"/>
      <c r="O212" s="1054"/>
      <c r="P212" s="1054"/>
      <c r="Q212" s="1054"/>
      <c r="R212" s="1054"/>
      <c r="S212" s="1054"/>
      <c r="T212" s="1054"/>
      <c r="U212" s="1054"/>
      <c r="V212" s="1054"/>
      <c r="W212" s="1054"/>
      <c r="X212" s="1054"/>
      <c r="Y212" s="1054"/>
      <c r="Z212" s="1054"/>
      <c r="AA212" s="1054"/>
      <c r="AB212" s="1054"/>
    </row>
    <row r="213">
      <c r="A213" s="1054"/>
      <c r="B213" s="1061"/>
      <c r="C213" s="1061"/>
      <c r="D213" s="1061"/>
      <c r="E213" s="1061"/>
      <c r="F213" s="1061"/>
      <c r="G213" s="1061"/>
      <c r="H213" s="1063"/>
      <c r="I213" s="1054"/>
      <c r="J213" s="1054"/>
      <c r="K213" s="1054"/>
      <c r="L213" s="1054"/>
      <c r="M213" s="1054"/>
      <c r="N213" s="1054"/>
      <c r="O213" s="1054"/>
      <c r="P213" s="1054"/>
      <c r="Q213" s="1054"/>
      <c r="R213" s="1054"/>
      <c r="S213" s="1054"/>
      <c r="T213" s="1054"/>
      <c r="U213" s="1054"/>
      <c r="V213" s="1054"/>
      <c r="W213" s="1054"/>
      <c r="X213" s="1054"/>
      <c r="Y213" s="1054"/>
      <c r="Z213" s="1054"/>
      <c r="AA213" s="1054"/>
      <c r="AB213" s="1054"/>
    </row>
    <row r="214">
      <c r="A214" s="1054"/>
      <c r="B214" s="1061"/>
      <c r="C214" s="1061"/>
      <c r="D214" s="1061"/>
      <c r="E214" s="1061"/>
      <c r="F214" s="1061"/>
      <c r="G214" s="1061"/>
      <c r="H214" s="1063"/>
      <c r="I214" s="1054"/>
      <c r="J214" s="1054"/>
      <c r="K214" s="1054"/>
      <c r="L214" s="1054"/>
      <c r="M214" s="1054"/>
      <c r="N214" s="1054"/>
      <c r="O214" s="1054"/>
      <c r="P214" s="1054"/>
      <c r="Q214" s="1054"/>
      <c r="R214" s="1054"/>
      <c r="S214" s="1054"/>
      <c r="T214" s="1054"/>
      <c r="U214" s="1054"/>
      <c r="V214" s="1054"/>
      <c r="W214" s="1054"/>
      <c r="X214" s="1054"/>
      <c r="Y214" s="1054"/>
      <c r="Z214" s="1054"/>
      <c r="AA214" s="1054"/>
      <c r="AB214" s="1054"/>
    </row>
    <row r="215">
      <c r="A215" s="1054"/>
      <c r="B215" s="1061"/>
      <c r="C215" s="1061"/>
      <c r="D215" s="1061"/>
      <c r="E215" s="1061"/>
      <c r="F215" s="1061"/>
      <c r="G215" s="1061"/>
      <c r="H215" s="1063"/>
      <c r="I215" s="1054"/>
      <c r="J215" s="1054"/>
      <c r="K215" s="1054"/>
      <c r="L215" s="1054"/>
      <c r="M215" s="1054"/>
      <c r="N215" s="1054"/>
      <c r="O215" s="1054"/>
      <c r="P215" s="1054"/>
      <c r="Q215" s="1054"/>
      <c r="R215" s="1054"/>
      <c r="S215" s="1054"/>
      <c r="T215" s="1054"/>
      <c r="U215" s="1054"/>
      <c r="V215" s="1054"/>
      <c r="W215" s="1054"/>
      <c r="X215" s="1054"/>
      <c r="Y215" s="1054"/>
      <c r="Z215" s="1054"/>
      <c r="AA215" s="1054"/>
      <c r="AB215" s="1054"/>
    </row>
    <row r="216">
      <c r="A216" s="1054"/>
      <c r="B216" s="1061"/>
      <c r="C216" s="1061"/>
      <c r="D216" s="1061"/>
      <c r="E216" s="1061"/>
      <c r="F216" s="1061"/>
      <c r="G216" s="1061"/>
      <c r="H216" s="1063"/>
      <c r="I216" s="1054"/>
      <c r="J216" s="1054"/>
      <c r="K216" s="1054"/>
      <c r="L216" s="1054"/>
      <c r="M216" s="1054"/>
      <c r="N216" s="1054"/>
      <c r="O216" s="1054"/>
      <c r="P216" s="1054"/>
      <c r="Q216" s="1054"/>
      <c r="R216" s="1054"/>
      <c r="S216" s="1054"/>
      <c r="T216" s="1054"/>
      <c r="U216" s="1054"/>
      <c r="V216" s="1054"/>
      <c r="W216" s="1054"/>
      <c r="X216" s="1054"/>
      <c r="Y216" s="1054"/>
      <c r="Z216" s="1054"/>
      <c r="AA216" s="1054"/>
      <c r="AB216" s="1054"/>
    </row>
    <row r="217">
      <c r="A217" s="1054"/>
      <c r="B217" s="1061"/>
      <c r="C217" s="1061"/>
      <c r="D217" s="1061"/>
      <c r="E217" s="1061"/>
      <c r="F217" s="1061"/>
      <c r="G217" s="1061"/>
      <c r="H217" s="1063"/>
      <c r="I217" s="1054"/>
      <c r="J217" s="1054"/>
      <c r="K217" s="1054"/>
      <c r="L217" s="1054"/>
      <c r="M217" s="1054"/>
      <c r="N217" s="1054"/>
      <c r="O217" s="1054"/>
      <c r="P217" s="1054"/>
      <c r="Q217" s="1054"/>
      <c r="R217" s="1054"/>
      <c r="S217" s="1054"/>
      <c r="T217" s="1054"/>
      <c r="U217" s="1054"/>
      <c r="V217" s="1054"/>
      <c r="W217" s="1054"/>
      <c r="X217" s="1054"/>
      <c r="Y217" s="1054"/>
      <c r="Z217" s="1054"/>
      <c r="AA217" s="1054"/>
      <c r="AB217" s="1054"/>
    </row>
    <row r="218">
      <c r="A218" s="1054"/>
      <c r="B218" s="1061"/>
      <c r="C218" s="1061"/>
      <c r="D218" s="1061"/>
      <c r="E218" s="1061"/>
      <c r="F218" s="1061"/>
      <c r="G218" s="1061"/>
      <c r="H218" s="1063"/>
      <c r="I218" s="1054"/>
      <c r="J218" s="1054"/>
      <c r="K218" s="1054"/>
      <c r="L218" s="1054"/>
      <c r="M218" s="1054"/>
      <c r="N218" s="1054"/>
      <c r="O218" s="1054"/>
      <c r="P218" s="1054"/>
      <c r="Q218" s="1054"/>
      <c r="R218" s="1054"/>
      <c r="S218" s="1054"/>
      <c r="T218" s="1054"/>
      <c r="U218" s="1054"/>
      <c r="V218" s="1054"/>
      <c r="W218" s="1054"/>
      <c r="X218" s="1054"/>
      <c r="Y218" s="1054"/>
      <c r="Z218" s="1054"/>
      <c r="AA218" s="1054"/>
      <c r="AB218" s="1054"/>
    </row>
    <row r="219">
      <c r="A219" s="1054"/>
      <c r="B219" s="1061"/>
      <c r="C219" s="1061"/>
      <c r="D219" s="1061"/>
      <c r="E219" s="1061"/>
      <c r="F219" s="1061"/>
      <c r="G219" s="1061"/>
      <c r="H219" s="1063"/>
      <c r="I219" s="1054"/>
      <c r="J219" s="1054"/>
      <c r="K219" s="1054"/>
      <c r="L219" s="1054"/>
      <c r="M219" s="1054"/>
      <c r="N219" s="1054"/>
      <c r="O219" s="1054"/>
      <c r="P219" s="1054"/>
      <c r="Q219" s="1054"/>
      <c r="R219" s="1054"/>
      <c r="S219" s="1054"/>
      <c r="T219" s="1054"/>
      <c r="U219" s="1054"/>
      <c r="V219" s="1054"/>
      <c r="W219" s="1054"/>
      <c r="X219" s="1054"/>
      <c r="Y219" s="1054"/>
      <c r="Z219" s="1054"/>
      <c r="AA219" s="1054"/>
      <c r="AB219" s="1054"/>
    </row>
    <row r="220">
      <c r="A220" s="1054"/>
      <c r="B220" s="1061"/>
      <c r="C220" s="1061"/>
      <c r="D220" s="1061"/>
      <c r="E220" s="1061"/>
      <c r="F220" s="1061"/>
      <c r="G220" s="1061"/>
      <c r="H220" s="1063"/>
      <c r="I220" s="1054"/>
      <c r="J220" s="1054"/>
      <c r="K220" s="1054"/>
      <c r="L220" s="1054"/>
      <c r="M220" s="1054"/>
      <c r="N220" s="1054"/>
      <c r="O220" s="1054"/>
      <c r="P220" s="1054"/>
      <c r="Q220" s="1054"/>
      <c r="R220" s="1054"/>
      <c r="S220" s="1054"/>
      <c r="T220" s="1054"/>
      <c r="U220" s="1054"/>
      <c r="V220" s="1054"/>
      <c r="W220" s="1054"/>
      <c r="X220" s="1054"/>
      <c r="Y220" s="1054"/>
      <c r="Z220" s="1054"/>
      <c r="AA220" s="1054"/>
      <c r="AB220" s="1054"/>
    </row>
    <row r="221">
      <c r="A221" s="1054"/>
      <c r="B221" s="1061"/>
      <c r="C221" s="1061"/>
      <c r="D221" s="1061"/>
      <c r="E221" s="1061"/>
      <c r="F221" s="1061"/>
      <c r="G221" s="1061"/>
      <c r="H221" s="1063"/>
      <c r="I221" s="1054"/>
      <c r="J221" s="1054"/>
      <c r="K221" s="1054"/>
      <c r="L221" s="1054"/>
      <c r="M221" s="1054"/>
      <c r="N221" s="1054"/>
      <c r="O221" s="1054"/>
      <c r="P221" s="1054"/>
      <c r="Q221" s="1054"/>
      <c r="R221" s="1054"/>
      <c r="S221" s="1054"/>
      <c r="T221" s="1054"/>
      <c r="U221" s="1054"/>
      <c r="V221" s="1054"/>
      <c r="W221" s="1054"/>
      <c r="X221" s="1054"/>
      <c r="Y221" s="1054"/>
      <c r="Z221" s="1054"/>
      <c r="AA221" s="1054"/>
      <c r="AB221" s="1054"/>
    </row>
    <row r="222">
      <c r="A222" s="1054"/>
      <c r="B222" s="1061"/>
      <c r="C222" s="1061"/>
      <c r="D222" s="1061"/>
      <c r="E222" s="1061"/>
      <c r="F222" s="1061"/>
      <c r="G222" s="1061"/>
      <c r="H222" s="1063"/>
      <c r="I222" s="1054"/>
      <c r="J222" s="1054"/>
      <c r="K222" s="1054"/>
      <c r="L222" s="1054"/>
      <c r="M222" s="1054"/>
      <c r="N222" s="1054"/>
      <c r="O222" s="1054"/>
      <c r="P222" s="1054"/>
      <c r="Q222" s="1054"/>
      <c r="R222" s="1054"/>
      <c r="S222" s="1054"/>
      <c r="T222" s="1054"/>
      <c r="U222" s="1054"/>
      <c r="V222" s="1054"/>
      <c r="W222" s="1054"/>
      <c r="X222" s="1054"/>
      <c r="Y222" s="1054"/>
      <c r="Z222" s="1054"/>
      <c r="AA222" s="1054"/>
      <c r="AB222" s="1054"/>
    </row>
    <row r="223">
      <c r="A223" s="1054"/>
      <c r="B223" s="1061"/>
      <c r="C223" s="1061"/>
      <c r="D223" s="1061"/>
      <c r="E223" s="1061"/>
      <c r="F223" s="1061"/>
      <c r="G223" s="1061"/>
      <c r="H223" s="1063"/>
      <c r="I223" s="1054"/>
      <c r="J223" s="1054"/>
      <c r="K223" s="1054"/>
      <c r="L223" s="1054"/>
      <c r="M223" s="1054"/>
      <c r="N223" s="1054"/>
      <c r="O223" s="1054"/>
      <c r="P223" s="1054"/>
      <c r="Q223" s="1054"/>
      <c r="R223" s="1054"/>
      <c r="S223" s="1054"/>
      <c r="T223" s="1054"/>
      <c r="U223" s="1054"/>
      <c r="V223" s="1054"/>
      <c r="W223" s="1054"/>
      <c r="X223" s="1054"/>
      <c r="Y223" s="1054"/>
      <c r="Z223" s="1054"/>
      <c r="AA223" s="1054"/>
      <c r="AB223" s="1054"/>
    </row>
    <row r="224">
      <c r="A224" s="1054"/>
      <c r="B224" s="1061"/>
      <c r="C224" s="1061"/>
      <c r="D224" s="1061"/>
      <c r="E224" s="1061"/>
      <c r="F224" s="1061"/>
      <c r="G224" s="1061"/>
      <c r="H224" s="1063"/>
      <c r="I224" s="1054"/>
      <c r="J224" s="1054"/>
      <c r="K224" s="1054"/>
      <c r="L224" s="1054"/>
      <c r="M224" s="1054"/>
      <c r="N224" s="1054"/>
      <c r="O224" s="1054"/>
      <c r="P224" s="1054"/>
      <c r="Q224" s="1054"/>
      <c r="R224" s="1054"/>
      <c r="S224" s="1054"/>
      <c r="T224" s="1054"/>
      <c r="U224" s="1054"/>
      <c r="V224" s="1054"/>
      <c r="W224" s="1054"/>
      <c r="X224" s="1054"/>
      <c r="Y224" s="1054"/>
      <c r="Z224" s="1054"/>
      <c r="AA224" s="1054"/>
      <c r="AB224" s="1054"/>
    </row>
    <row r="225">
      <c r="A225" s="1054"/>
      <c r="B225" s="1061"/>
      <c r="C225" s="1061"/>
      <c r="D225" s="1061"/>
      <c r="E225" s="1061"/>
      <c r="F225" s="1061"/>
      <c r="G225" s="1061"/>
      <c r="H225" s="1063"/>
      <c r="I225" s="1054"/>
      <c r="J225" s="1054"/>
      <c r="K225" s="1054"/>
      <c r="L225" s="1054"/>
      <c r="M225" s="1054"/>
      <c r="N225" s="1054"/>
      <c r="O225" s="1054"/>
      <c r="P225" s="1054"/>
      <c r="Q225" s="1054"/>
      <c r="R225" s="1054"/>
      <c r="S225" s="1054"/>
      <c r="T225" s="1054"/>
      <c r="U225" s="1054"/>
      <c r="V225" s="1054"/>
      <c r="W225" s="1054"/>
      <c r="X225" s="1054"/>
      <c r="Y225" s="1054"/>
      <c r="Z225" s="1054"/>
      <c r="AA225" s="1054"/>
      <c r="AB225" s="1054"/>
    </row>
    <row r="226">
      <c r="A226" s="1054"/>
      <c r="B226" s="1061"/>
      <c r="C226" s="1061"/>
      <c r="D226" s="1061"/>
      <c r="E226" s="1061"/>
      <c r="F226" s="1061"/>
      <c r="G226" s="1061"/>
      <c r="H226" s="1063"/>
      <c r="I226" s="1054"/>
      <c r="J226" s="1054"/>
      <c r="K226" s="1054"/>
      <c r="L226" s="1054"/>
      <c r="M226" s="1054"/>
      <c r="N226" s="1054"/>
      <c r="O226" s="1054"/>
      <c r="P226" s="1054"/>
      <c r="Q226" s="1054"/>
      <c r="R226" s="1054"/>
      <c r="S226" s="1054"/>
      <c r="T226" s="1054"/>
      <c r="U226" s="1054"/>
      <c r="V226" s="1054"/>
      <c r="W226" s="1054"/>
      <c r="X226" s="1054"/>
      <c r="Y226" s="1054"/>
      <c r="Z226" s="1054"/>
      <c r="AA226" s="1054"/>
      <c r="AB226" s="1054"/>
    </row>
    <row r="227">
      <c r="A227" s="1054"/>
      <c r="B227" s="1061"/>
      <c r="C227" s="1061"/>
      <c r="D227" s="1061"/>
      <c r="E227" s="1061"/>
      <c r="F227" s="1061"/>
      <c r="G227" s="1061"/>
      <c r="H227" s="1063"/>
      <c r="I227" s="1054"/>
      <c r="J227" s="1054"/>
      <c r="K227" s="1054"/>
      <c r="L227" s="1054"/>
      <c r="M227" s="1054"/>
      <c r="N227" s="1054"/>
      <c r="O227" s="1054"/>
      <c r="P227" s="1054"/>
      <c r="Q227" s="1054"/>
      <c r="R227" s="1054"/>
      <c r="S227" s="1054"/>
      <c r="T227" s="1054"/>
      <c r="U227" s="1054"/>
      <c r="V227" s="1054"/>
      <c r="W227" s="1054"/>
      <c r="X227" s="1054"/>
      <c r="Y227" s="1054"/>
      <c r="Z227" s="1054"/>
      <c r="AA227" s="1054"/>
      <c r="AB227" s="1054"/>
    </row>
    <row r="228">
      <c r="A228" s="1054"/>
      <c r="B228" s="1061"/>
      <c r="C228" s="1061"/>
      <c r="D228" s="1061"/>
      <c r="E228" s="1061"/>
      <c r="F228" s="1061"/>
      <c r="G228" s="1061"/>
      <c r="H228" s="1063"/>
      <c r="I228" s="1054"/>
      <c r="J228" s="1054"/>
      <c r="K228" s="1054"/>
      <c r="L228" s="1054"/>
      <c r="M228" s="1054"/>
      <c r="N228" s="1054"/>
      <c r="O228" s="1054"/>
      <c r="P228" s="1054"/>
      <c r="Q228" s="1054"/>
      <c r="R228" s="1054"/>
      <c r="S228" s="1054"/>
      <c r="T228" s="1054"/>
      <c r="U228" s="1054"/>
      <c r="V228" s="1054"/>
      <c r="W228" s="1054"/>
      <c r="X228" s="1054"/>
      <c r="Y228" s="1054"/>
      <c r="Z228" s="1054"/>
      <c r="AA228" s="1054"/>
      <c r="AB228" s="1054"/>
    </row>
    <row r="229">
      <c r="A229" s="1054"/>
      <c r="B229" s="1061"/>
      <c r="C229" s="1061"/>
      <c r="D229" s="1061"/>
      <c r="E229" s="1061"/>
      <c r="F229" s="1061"/>
      <c r="G229" s="1061"/>
      <c r="H229" s="1063"/>
      <c r="I229" s="1054"/>
      <c r="J229" s="1054"/>
      <c r="K229" s="1054"/>
      <c r="L229" s="1054"/>
      <c r="M229" s="1054"/>
      <c r="N229" s="1054"/>
      <c r="O229" s="1054"/>
      <c r="P229" s="1054"/>
      <c r="Q229" s="1054"/>
      <c r="R229" s="1054"/>
      <c r="S229" s="1054"/>
      <c r="T229" s="1054"/>
      <c r="U229" s="1054"/>
      <c r="V229" s="1054"/>
      <c r="W229" s="1054"/>
      <c r="X229" s="1054"/>
      <c r="Y229" s="1054"/>
      <c r="Z229" s="1054"/>
      <c r="AA229" s="1054"/>
      <c r="AB229" s="1054"/>
    </row>
    <row r="230">
      <c r="A230" s="1054"/>
      <c r="B230" s="1061"/>
      <c r="C230" s="1061"/>
      <c r="D230" s="1061"/>
      <c r="E230" s="1061"/>
      <c r="F230" s="1061"/>
      <c r="G230" s="1061"/>
      <c r="H230" s="1063"/>
      <c r="I230" s="1054"/>
      <c r="J230" s="1054"/>
      <c r="K230" s="1054"/>
      <c r="L230" s="1054"/>
      <c r="M230" s="1054"/>
      <c r="N230" s="1054"/>
      <c r="O230" s="1054"/>
      <c r="P230" s="1054"/>
      <c r="Q230" s="1054"/>
      <c r="R230" s="1054"/>
      <c r="S230" s="1054"/>
      <c r="T230" s="1054"/>
      <c r="U230" s="1054"/>
      <c r="V230" s="1054"/>
      <c r="W230" s="1054"/>
      <c r="X230" s="1054"/>
      <c r="Y230" s="1054"/>
      <c r="Z230" s="1054"/>
      <c r="AA230" s="1054"/>
      <c r="AB230" s="1054"/>
    </row>
    <row r="231">
      <c r="A231" s="1054"/>
      <c r="B231" s="1061"/>
      <c r="C231" s="1061"/>
      <c r="D231" s="1061"/>
      <c r="E231" s="1061"/>
      <c r="F231" s="1061"/>
      <c r="G231" s="1061"/>
      <c r="H231" s="1063"/>
      <c r="I231" s="1054"/>
      <c r="J231" s="1054"/>
      <c r="K231" s="1054"/>
      <c r="L231" s="1054"/>
      <c r="M231" s="1054"/>
      <c r="N231" s="1054"/>
      <c r="O231" s="1054"/>
      <c r="P231" s="1054"/>
      <c r="Q231" s="1054"/>
      <c r="R231" s="1054"/>
      <c r="S231" s="1054"/>
      <c r="T231" s="1054"/>
      <c r="U231" s="1054"/>
      <c r="V231" s="1054"/>
      <c r="W231" s="1054"/>
      <c r="X231" s="1054"/>
      <c r="Y231" s="1054"/>
      <c r="Z231" s="1054"/>
      <c r="AA231" s="1054"/>
      <c r="AB231" s="1054"/>
    </row>
    <row r="232">
      <c r="A232" s="1054"/>
      <c r="B232" s="1061"/>
      <c r="C232" s="1061"/>
      <c r="D232" s="1061"/>
      <c r="E232" s="1061"/>
      <c r="F232" s="1061"/>
      <c r="G232" s="1061"/>
      <c r="H232" s="1063"/>
      <c r="I232" s="1054"/>
      <c r="J232" s="1054"/>
      <c r="K232" s="1054"/>
      <c r="L232" s="1054"/>
      <c r="M232" s="1054"/>
      <c r="N232" s="1054"/>
      <c r="O232" s="1054"/>
      <c r="P232" s="1054"/>
      <c r="Q232" s="1054"/>
      <c r="R232" s="1054"/>
      <c r="S232" s="1054"/>
      <c r="T232" s="1054"/>
      <c r="U232" s="1054"/>
      <c r="V232" s="1054"/>
      <c r="W232" s="1054"/>
      <c r="X232" s="1054"/>
      <c r="Y232" s="1054"/>
      <c r="Z232" s="1054"/>
      <c r="AA232" s="1054"/>
      <c r="AB232" s="1054"/>
    </row>
    <row r="233">
      <c r="A233" s="1054"/>
      <c r="B233" s="1061"/>
      <c r="C233" s="1061"/>
      <c r="D233" s="1061"/>
      <c r="E233" s="1061"/>
      <c r="F233" s="1061"/>
      <c r="G233" s="1061"/>
      <c r="H233" s="1063"/>
      <c r="I233" s="1054"/>
      <c r="J233" s="1054"/>
      <c r="K233" s="1054"/>
      <c r="L233" s="1054"/>
      <c r="M233" s="1054"/>
      <c r="N233" s="1054"/>
      <c r="O233" s="1054"/>
      <c r="P233" s="1054"/>
      <c r="Q233" s="1054"/>
      <c r="R233" s="1054"/>
      <c r="S233" s="1054"/>
      <c r="T233" s="1054"/>
      <c r="U233" s="1054"/>
      <c r="V233" s="1054"/>
      <c r="W233" s="1054"/>
      <c r="X233" s="1054"/>
      <c r="Y233" s="1054"/>
      <c r="Z233" s="1054"/>
      <c r="AA233" s="1054"/>
      <c r="AB233" s="1054"/>
    </row>
    <row r="234">
      <c r="A234" s="1054"/>
      <c r="B234" s="1061"/>
      <c r="C234" s="1061"/>
      <c r="D234" s="1061"/>
      <c r="E234" s="1061"/>
      <c r="F234" s="1061"/>
      <c r="G234" s="1061"/>
      <c r="H234" s="1063"/>
      <c r="I234" s="1054"/>
      <c r="J234" s="1054"/>
      <c r="K234" s="1054"/>
      <c r="L234" s="1054"/>
      <c r="M234" s="1054"/>
      <c r="N234" s="1054"/>
      <c r="O234" s="1054"/>
      <c r="P234" s="1054"/>
      <c r="Q234" s="1054"/>
      <c r="R234" s="1054"/>
      <c r="S234" s="1054"/>
      <c r="T234" s="1054"/>
      <c r="U234" s="1054"/>
      <c r="V234" s="1054"/>
      <c r="W234" s="1054"/>
      <c r="X234" s="1054"/>
      <c r="Y234" s="1054"/>
      <c r="Z234" s="1054"/>
      <c r="AA234" s="1054"/>
      <c r="AB234" s="1054"/>
    </row>
    <row r="235">
      <c r="A235" s="1054"/>
      <c r="B235" s="1061"/>
      <c r="C235" s="1061"/>
      <c r="D235" s="1061"/>
      <c r="E235" s="1061"/>
      <c r="F235" s="1061"/>
      <c r="G235" s="1061"/>
      <c r="H235" s="1063"/>
      <c r="I235" s="1054"/>
      <c r="J235" s="1054"/>
      <c r="K235" s="1054"/>
      <c r="L235" s="1054"/>
      <c r="M235" s="1054"/>
      <c r="N235" s="1054"/>
      <c r="O235" s="1054"/>
      <c r="P235" s="1054"/>
      <c r="Q235" s="1054"/>
      <c r="R235" s="1054"/>
      <c r="S235" s="1054"/>
      <c r="T235" s="1054"/>
      <c r="U235" s="1054"/>
      <c r="V235" s="1054"/>
      <c r="W235" s="1054"/>
      <c r="X235" s="1054"/>
      <c r="Y235" s="1054"/>
      <c r="Z235" s="1054"/>
      <c r="AA235" s="1054"/>
      <c r="AB235" s="1054"/>
    </row>
    <row r="236">
      <c r="A236" s="1054"/>
      <c r="B236" s="1061"/>
      <c r="C236" s="1061"/>
      <c r="D236" s="1061"/>
      <c r="E236" s="1061"/>
      <c r="F236" s="1061"/>
      <c r="G236" s="1061"/>
      <c r="H236" s="1063"/>
      <c r="I236" s="1054"/>
      <c r="J236" s="1054"/>
      <c r="K236" s="1054"/>
      <c r="L236" s="1054"/>
      <c r="M236" s="1054"/>
      <c r="N236" s="1054"/>
      <c r="O236" s="1054"/>
      <c r="P236" s="1054"/>
      <c r="Q236" s="1054"/>
      <c r="R236" s="1054"/>
      <c r="S236" s="1054"/>
      <c r="T236" s="1054"/>
      <c r="U236" s="1054"/>
      <c r="V236" s="1054"/>
      <c r="W236" s="1054"/>
      <c r="X236" s="1054"/>
      <c r="Y236" s="1054"/>
      <c r="Z236" s="1054"/>
      <c r="AA236" s="1054"/>
      <c r="AB236" s="1054"/>
    </row>
    <row r="237">
      <c r="A237" s="1054"/>
      <c r="B237" s="1061"/>
      <c r="C237" s="1061"/>
      <c r="D237" s="1061"/>
      <c r="E237" s="1061"/>
      <c r="F237" s="1061"/>
      <c r="G237" s="1061"/>
      <c r="H237" s="1063"/>
      <c r="I237" s="1054"/>
      <c r="J237" s="1054"/>
      <c r="K237" s="1054"/>
      <c r="L237" s="1054"/>
      <c r="M237" s="1054"/>
      <c r="N237" s="1054"/>
      <c r="O237" s="1054"/>
      <c r="P237" s="1054"/>
      <c r="Q237" s="1054"/>
      <c r="R237" s="1054"/>
      <c r="S237" s="1054"/>
      <c r="T237" s="1054"/>
      <c r="U237" s="1054"/>
      <c r="V237" s="1054"/>
      <c r="W237" s="1054"/>
      <c r="X237" s="1054"/>
      <c r="Y237" s="1054"/>
      <c r="Z237" s="1054"/>
      <c r="AA237" s="1054"/>
      <c r="AB237" s="1054"/>
    </row>
    <row r="238">
      <c r="A238" s="1054"/>
      <c r="B238" s="1061"/>
      <c r="C238" s="1061"/>
      <c r="D238" s="1061"/>
      <c r="E238" s="1061"/>
      <c r="F238" s="1061"/>
      <c r="G238" s="1061"/>
      <c r="H238" s="1063"/>
      <c r="I238" s="1054"/>
      <c r="J238" s="1054"/>
      <c r="K238" s="1054"/>
      <c r="L238" s="1054"/>
      <c r="M238" s="1054"/>
      <c r="N238" s="1054"/>
      <c r="O238" s="1054"/>
      <c r="P238" s="1054"/>
      <c r="Q238" s="1054"/>
      <c r="R238" s="1054"/>
      <c r="S238" s="1054"/>
      <c r="T238" s="1054"/>
      <c r="U238" s="1054"/>
      <c r="V238" s="1054"/>
      <c r="W238" s="1054"/>
      <c r="X238" s="1054"/>
      <c r="Y238" s="1054"/>
      <c r="Z238" s="1054"/>
      <c r="AA238" s="1054"/>
      <c r="AB238" s="1054"/>
    </row>
    <row r="239">
      <c r="A239" s="1054"/>
      <c r="B239" s="1061"/>
      <c r="C239" s="1061"/>
      <c r="D239" s="1061"/>
      <c r="E239" s="1061"/>
      <c r="F239" s="1061"/>
      <c r="G239" s="1061"/>
      <c r="H239" s="1063"/>
      <c r="I239" s="1054"/>
      <c r="J239" s="1054"/>
      <c r="K239" s="1054"/>
      <c r="L239" s="1054"/>
      <c r="M239" s="1054"/>
      <c r="N239" s="1054"/>
      <c r="O239" s="1054"/>
      <c r="P239" s="1054"/>
      <c r="Q239" s="1054"/>
      <c r="R239" s="1054"/>
      <c r="S239" s="1054"/>
      <c r="T239" s="1054"/>
      <c r="U239" s="1054"/>
      <c r="V239" s="1054"/>
      <c r="W239" s="1054"/>
      <c r="X239" s="1054"/>
      <c r="Y239" s="1054"/>
      <c r="Z239" s="1054"/>
      <c r="AA239" s="1054"/>
      <c r="AB239" s="1054"/>
    </row>
    <row r="240">
      <c r="A240" s="1054"/>
      <c r="B240" s="1061"/>
      <c r="C240" s="1061"/>
      <c r="D240" s="1061"/>
      <c r="E240" s="1061"/>
      <c r="F240" s="1061"/>
      <c r="G240" s="1061"/>
      <c r="H240" s="1063"/>
      <c r="I240" s="1054"/>
      <c r="J240" s="1054"/>
      <c r="K240" s="1054"/>
      <c r="L240" s="1054"/>
      <c r="M240" s="1054"/>
      <c r="N240" s="1054"/>
      <c r="O240" s="1054"/>
      <c r="P240" s="1054"/>
      <c r="Q240" s="1054"/>
      <c r="R240" s="1054"/>
      <c r="S240" s="1054"/>
      <c r="T240" s="1054"/>
      <c r="U240" s="1054"/>
      <c r="V240" s="1054"/>
      <c r="W240" s="1054"/>
      <c r="X240" s="1054"/>
      <c r="Y240" s="1054"/>
      <c r="Z240" s="1054"/>
      <c r="AA240" s="1054"/>
      <c r="AB240" s="1054"/>
    </row>
    <row r="241">
      <c r="A241" s="1054"/>
      <c r="B241" s="1061"/>
      <c r="C241" s="1061"/>
      <c r="D241" s="1061"/>
      <c r="E241" s="1061"/>
      <c r="F241" s="1061"/>
      <c r="G241" s="1061"/>
      <c r="H241" s="1063"/>
      <c r="I241" s="1054"/>
      <c r="J241" s="1054"/>
      <c r="K241" s="1054"/>
      <c r="L241" s="1054"/>
      <c r="M241" s="1054"/>
      <c r="N241" s="1054"/>
      <c r="O241" s="1054"/>
      <c r="P241" s="1054"/>
      <c r="Q241" s="1054"/>
      <c r="R241" s="1054"/>
      <c r="S241" s="1054"/>
      <c r="T241" s="1054"/>
      <c r="U241" s="1054"/>
      <c r="V241" s="1054"/>
      <c r="W241" s="1054"/>
      <c r="X241" s="1054"/>
      <c r="Y241" s="1054"/>
      <c r="Z241" s="1054"/>
      <c r="AA241" s="1054"/>
      <c r="AB241" s="1054"/>
    </row>
    <row r="242">
      <c r="A242" s="1054"/>
      <c r="B242" s="1061"/>
      <c r="C242" s="1061"/>
      <c r="D242" s="1061"/>
      <c r="E242" s="1061"/>
      <c r="F242" s="1061"/>
      <c r="G242" s="1061"/>
      <c r="H242" s="1063"/>
      <c r="I242" s="1054"/>
      <c r="J242" s="1054"/>
      <c r="K242" s="1054"/>
      <c r="L242" s="1054"/>
      <c r="M242" s="1054"/>
      <c r="N242" s="1054"/>
      <c r="O242" s="1054"/>
      <c r="P242" s="1054"/>
      <c r="Q242" s="1054"/>
      <c r="R242" s="1054"/>
      <c r="S242" s="1054"/>
      <c r="T242" s="1054"/>
      <c r="U242" s="1054"/>
      <c r="V242" s="1054"/>
      <c r="W242" s="1054"/>
      <c r="X242" s="1054"/>
      <c r="Y242" s="1054"/>
      <c r="Z242" s="1054"/>
      <c r="AA242" s="1054"/>
      <c r="AB242" s="1054"/>
    </row>
    <row r="243">
      <c r="A243" s="1054"/>
      <c r="B243" s="1061"/>
      <c r="C243" s="1061"/>
      <c r="D243" s="1061"/>
      <c r="E243" s="1061"/>
      <c r="F243" s="1061"/>
      <c r="G243" s="1061"/>
      <c r="H243" s="1063"/>
      <c r="I243" s="1054"/>
      <c r="J243" s="1054"/>
      <c r="K243" s="1054"/>
      <c r="L243" s="1054"/>
      <c r="M243" s="1054"/>
      <c r="N243" s="1054"/>
      <c r="O243" s="1054"/>
      <c r="P243" s="1054"/>
      <c r="Q243" s="1054"/>
      <c r="R243" s="1054"/>
      <c r="S243" s="1054"/>
      <c r="T243" s="1054"/>
      <c r="U243" s="1054"/>
      <c r="V243" s="1054"/>
      <c r="W243" s="1054"/>
      <c r="X243" s="1054"/>
      <c r="Y243" s="1054"/>
      <c r="Z243" s="1054"/>
      <c r="AA243" s="1054"/>
      <c r="AB243" s="1054"/>
    </row>
    <row r="244">
      <c r="A244" s="1054"/>
      <c r="B244" s="1061"/>
      <c r="C244" s="1061"/>
      <c r="D244" s="1061"/>
      <c r="E244" s="1061"/>
      <c r="F244" s="1061"/>
      <c r="G244" s="1061"/>
      <c r="H244" s="1063"/>
      <c r="I244" s="1054"/>
      <c r="J244" s="1054"/>
      <c r="K244" s="1054"/>
      <c r="L244" s="1054"/>
      <c r="M244" s="1054"/>
      <c r="N244" s="1054"/>
      <c r="O244" s="1054"/>
      <c r="P244" s="1054"/>
      <c r="Q244" s="1054"/>
      <c r="R244" s="1054"/>
      <c r="S244" s="1054"/>
      <c r="T244" s="1054"/>
      <c r="U244" s="1054"/>
      <c r="V244" s="1054"/>
      <c r="W244" s="1054"/>
      <c r="X244" s="1054"/>
      <c r="Y244" s="1054"/>
      <c r="Z244" s="1054"/>
      <c r="AA244" s="1054"/>
      <c r="AB244" s="1054"/>
    </row>
    <row r="245">
      <c r="A245" s="1054"/>
      <c r="B245" s="1061"/>
      <c r="C245" s="1061"/>
      <c r="D245" s="1061"/>
      <c r="E245" s="1061"/>
      <c r="F245" s="1061"/>
      <c r="G245" s="1061"/>
      <c r="H245" s="1063"/>
      <c r="I245" s="1054"/>
      <c r="J245" s="1054"/>
      <c r="K245" s="1054"/>
      <c r="L245" s="1054"/>
      <c r="M245" s="1054"/>
      <c r="N245" s="1054"/>
      <c r="O245" s="1054"/>
      <c r="P245" s="1054"/>
      <c r="Q245" s="1054"/>
      <c r="R245" s="1054"/>
      <c r="S245" s="1054"/>
      <c r="T245" s="1054"/>
      <c r="U245" s="1054"/>
      <c r="V245" s="1054"/>
      <c r="W245" s="1054"/>
      <c r="X245" s="1054"/>
      <c r="Y245" s="1054"/>
      <c r="Z245" s="1054"/>
      <c r="AA245" s="1054"/>
      <c r="AB245" s="1054"/>
    </row>
    <row r="246">
      <c r="A246" s="1054"/>
      <c r="B246" s="1061"/>
      <c r="C246" s="1061"/>
      <c r="D246" s="1061"/>
      <c r="E246" s="1061"/>
      <c r="F246" s="1061"/>
      <c r="G246" s="1061"/>
      <c r="H246" s="1063"/>
      <c r="I246" s="1054"/>
      <c r="J246" s="1054"/>
      <c r="K246" s="1054"/>
      <c r="L246" s="1054"/>
      <c r="M246" s="1054"/>
      <c r="N246" s="1054"/>
      <c r="O246" s="1054"/>
      <c r="P246" s="1054"/>
      <c r="Q246" s="1054"/>
      <c r="R246" s="1054"/>
      <c r="S246" s="1054"/>
      <c r="T246" s="1054"/>
      <c r="U246" s="1054"/>
      <c r="V246" s="1054"/>
      <c r="W246" s="1054"/>
      <c r="X246" s="1054"/>
      <c r="Y246" s="1054"/>
      <c r="Z246" s="1054"/>
      <c r="AA246" s="1054"/>
      <c r="AB246" s="1054"/>
    </row>
    <row r="247">
      <c r="A247" s="1054"/>
      <c r="B247" s="1061"/>
      <c r="C247" s="1061"/>
      <c r="D247" s="1061"/>
      <c r="E247" s="1061"/>
      <c r="F247" s="1061"/>
      <c r="G247" s="1061"/>
      <c r="H247" s="1063"/>
      <c r="I247" s="1054"/>
      <c r="J247" s="1054"/>
      <c r="K247" s="1054"/>
      <c r="L247" s="1054"/>
      <c r="M247" s="1054"/>
      <c r="N247" s="1054"/>
      <c r="O247" s="1054"/>
      <c r="P247" s="1054"/>
      <c r="Q247" s="1054"/>
      <c r="R247" s="1054"/>
      <c r="S247" s="1054"/>
      <c r="T247" s="1054"/>
      <c r="U247" s="1054"/>
      <c r="V247" s="1054"/>
      <c r="W247" s="1054"/>
      <c r="X247" s="1054"/>
      <c r="Y247" s="1054"/>
      <c r="Z247" s="1054"/>
      <c r="AA247" s="1054"/>
      <c r="AB247" s="1054"/>
    </row>
    <row r="248">
      <c r="A248" s="1054"/>
      <c r="B248" s="1061"/>
      <c r="C248" s="1061"/>
      <c r="D248" s="1061"/>
      <c r="E248" s="1061"/>
      <c r="F248" s="1061"/>
      <c r="G248" s="1061"/>
      <c r="H248" s="1063"/>
      <c r="I248" s="1054"/>
      <c r="J248" s="1054"/>
      <c r="K248" s="1054"/>
      <c r="L248" s="1054"/>
      <c r="M248" s="1054"/>
      <c r="N248" s="1054"/>
      <c r="O248" s="1054"/>
      <c r="P248" s="1054"/>
      <c r="Q248" s="1054"/>
      <c r="R248" s="1054"/>
      <c r="S248" s="1054"/>
      <c r="T248" s="1054"/>
      <c r="U248" s="1054"/>
      <c r="V248" s="1054"/>
      <c r="W248" s="1054"/>
      <c r="X248" s="1054"/>
      <c r="Y248" s="1054"/>
      <c r="Z248" s="1054"/>
      <c r="AA248" s="1054"/>
      <c r="AB248" s="1054"/>
    </row>
    <row r="249">
      <c r="A249" s="1054"/>
      <c r="B249" s="1061"/>
      <c r="C249" s="1061"/>
      <c r="D249" s="1061"/>
      <c r="E249" s="1061"/>
      <c r="F249" s="1061"/>
      <c r="G249" s="1061"/>
      <c r="H249" s="1063"/>
      <c r="I249" s="1054"/>
      <c r="J249" s="1054"/>
      <c r="K249" s="1054"/>
      <c r="L249" s="1054"/>
      <c r="M249" s="1054"/>
      <c r="N249" s="1054"/>
      <c r="O249" s="1054"/>
      <c r="P249" s="1054"/>
      <c r="Q249" s="1054"/>
      <c r="R249" s="1054"/>
      <c r="S249" s="1054"/>
      <c r="T249" s="1054"/>
      <c r="U249" s="1054"/>
      <c r="V249" s="1054"/>
      <c r="W249" s="1054"/>
      <c r="X249" s="1054"/>
      <c r="Y249" s="1054"/>
      <c r="Z249" s="1054"/>
      <c r="AA249" s="1054"/>
      <c r="AB249" s="1054"/>
    </row>
    <row r="250">
      <c r="A250" s="1054"/>
      <c r="B250" s="1061"/>
      <c r="C250" s="1061"/>
      <c r="D250" s="1061"/>
      <c r="E250" s="1061"/>
      <c r="F250" s="1061"/>
      <c r="G250" s="1061"/>
      <c r="H250" s="1063"/>
      <c r="I250" s="1054"/>
      <c r="J250" s="1054"/>
      <c r="K250" s="1054"/>
      <c r="L250" s="1054"/>
      <c r="M250" s="1054"/>
      <c r="N250" s="1054"/>
      <c r="O250" s="1054"/>
      <c r="P250" s="1054"/>
      <c r="Q250" s="1054"/>
      <c r="R250" s="1054"/>
      <c r="S250" s="1054"/>
      <c r="T250" s="1054"/>
      <c r="U250" s="1054"/>
      <c r="V250" s="1054"/>
      <c r="W250" s="1054"/>
      <c r="X250" s="1054"/>
      <c r="Y250" s="1054"/>
      <c r="Z250" s="1054"/>
      <c r="AA250" s="1054"/>
      <c r="AB250" s="1054"/>
    </row>
    <row r="251">
      <c r="A251" s="1054"/>
      <c r="B251" s="1061"/>
      <c r="C251" s="1061"/>
      <c r="D251" s="1061"/>
      <c r="E251" s="1061"/>
      <c r="F251" s="1061"/>
      <c r="G251" s="1061"/>
      <c r="H251" s="1063"/>
      <c r="I251" s="1054"/>
      <c r="J251" s="1054"/>
      <c r="K251" s="1054"/>
      <c r="L251" s="1054"/>
      <c r="M251" s="1054"/>
      <c r="N251" s="1054"/>
      <c r="O251" s="1054"/>
      <c r="P251" s="1054"/>
      <c r="Q251" s="1054"/>
      <c r="R251" s="1054"/>
      <c r="S251" s="1054"/>
      <c r="T251" s="1054"/>
      <c r="U251" s="1054"/>
      <c r="V251" s="1054"/>
      <c r="W251" s="1054"/>
      <c r="X251" s="1054"/>
      <c r="Y251" s="1054"/>
      <c r="Z251" s="1054"/>
      <c r="AA251" s="1054"/>
      <c r="AB251" s="1054"/>
    </row>
    <row r="252">
      <c r="A252" s="1054"/>
      <c r="B252" s="1061"/>
      <c r="C252" s="1061"/>
      <c r="D252" s="1061"/>
      <c r="E252" s="1061"/>
      <c r="F252" s="1061"/>
      <c r="G252" s="1061"/>
      <c r="H252" s="1063"/>
      <c r="I252" s="1054"/>
      <c r="J252" s="1054"/>
      <c r="K252" s="1054"/>
      <c r="L252" s="1054"/>
      <c r="M252" s="1054"/>
      <c r="N252" s="1054"/>
      <c r="O252" s="1054"/>
      <c r="P252" s="1054"/>
      <c r="Q252" s="1054"/>
      <c r="R252" s="1054"/>
      <c r="S252" s="1054"/>
      <c r="T252" s="1054"/>
      <c r="U252" s="1054"/>
      <c r="V252" s="1054"/>
      <c r="W252" s="1054"/>
      <c r="X252" s="1054"/>
      <c r="Y252" s="1054"/>
      <c r="Z252" s="1054"/>
      <c r="AA252" s="1054"/>
      <c r="AB252" s="1054"/>
    </row>
    <row r="253">
      <c r="A253" s="1054"/>
      <c r="B253" s="1061"/>
      <c r="C253" s="1061"/>
      <c r="D253" s="1061"/>
      <c r="E253" s="1061"/>
      <c r="F253" s="1061"/>
      <c r="G253" s="1061"/>
      <c r="H253" s="1063"/>
      <c r="I253" s="1054"/>
      <c r="J253" s="1054"/>
      <c r="K253" s="1054"/>
      <c r="L253" s="1054"/>
      <c r="M253" s="1054"/>
      <c r="N253" s="1054"/>
      <c r="O253" s="1054"/>
      <c r="P253" s="1054"/>
      <c r="Q253" s="1054"/>
      <c r="R253" s="1054"/>
      <c r="S253" s="1054"/>
      <c r="T253" s="1054"/>
      <c r="U253" s="1054"/>
      <c r="V253" s="1054"/>
      <c r="W253" s="1054"/>
      <c r="X253" s="1054"/>
      <c r="Y253" s="1054"/>
      <c r="Z253" s="1054"/>
      <c r="AA253" s="1054"/>
      <c r="AB253" s="1054"/>
    </row>
    <row r="254">
      <c r="A254" s="1054"/>
      <c r="B254" s="1061"/>
      <c r="C254" s="1061"/>
      <c r="D254" s="1061"/>
      <c r="E254" s="1061"/>
      <c r="F254" s="1061"/>
      <c r="G254" s="1061"/>
      <c r="H254" s="1063"/>
      <c r="I254" s="1054"/>
      <c r="J254" s="1054"/>
      <c r="K254" s="1054"/>
      <c r="L254" s="1054"/>
      <c r="M254" s="1054"/>
      <c r="N254" s="1054"/>
      <c r="O254" s="1054"/>
      <c r="P254" s="1054"/>
      <c r="Q254" s="1054"/>
      <c r="R254" s="1054"/>
      <c r="S254" s="1054"/>
      <c r="T254" s="1054"/>
      <c r="U254" s="1054"/>
      <c r="V254" s="1054"/>
      <c r="W254" s="1054"/>
      <c r="X254" s="1054"/>
      <c r="Y254" s="1054"/>
      <c r="Z254" s="1054"/>
      <c r="AA254" s="1054"/>
      <c r="AB254" s="1054"/>
    </row>
    <row r="255">
      <c r="A255" s="1054"/>
      <c r="B255" s="1061"/>
      <c r="C255" s="1061"/>
      <c r="D255" s="1061"/>
      <c r="E255" s="1061"/>
      <c r="F255" s="1061"/>
      <c r="G255" s="1061"/>
      <c r="H255" s="1063"/>
      <c r="I255" s="1054"/>
      <c r="J255" s="1054"/>
      <c r="K255" s="1054"/>
      <c r="L255" s="1054"/>
      <c r="M255" s="1054"/>
      <c r="N255" s="1054"/>
      <c r="O255" s="1054"/>
      <c r="P255" s="1054"/>
      <c r="Q255" s="1054"/>
      <c r="R255" s="1054"/>
      <c r="S255" s="1054"/>
      <c r="T255" s="1054"/>
      <c r="U255" s="1054"/>
      <c r="V255" s="1054"/>
      <c r="W255" s="1054"/>
      <c r="X255" s="1054"/>
      <c r="Y255" s="1054"/>
      <c r="Z255" s="1054"/>
      <c r="AA255" s="1054"/>
      <c r="AB255" s="1054"/>
    </row>
    <row r="256">
      <c r="A256" s="1054"/>
      <c r="B256" s="1061"/>
      <c r="C256" s="1061"/>
      <c r="D256" s="1061"/>
      <c r="E256" s="1061"/>
      <c r="F256" s="1061"/>
      <c r="G256" s="1061"/>
      <c r="H256" s="1063"/>
      <c r="I256" s="1054"/>
      <c r="J256" s="1054"/>
      <c r="K256" s="1054"/>
      <c r="L256" s="1054"/>
      <c r="M256" s="1054"/>
      <c r="N256" s="1054"/>
      <c r="O256" s="1054"/>
      <c r="P256" s="1054"/>
      <c r="Q256" s="1054"/>
      <c r="R256" s="1054"/>
      <c r="S256" s="1054"/>
      <c r="T256" s="1054"/>
      <c r="U256" s="1054"/>
      <c r="V256" s="1054"/>
      <c r="W256" s="1054"/>
      <c r="X256" s="1054"/>
      <c r="Y256" s="1054"/>
      <c r="Z256" s="1054"/>
      <c r="AA256" s="1054"/>
      <c r="AB256" s="1054"/>
    </row>
    <row r="257">
      <c r="A257" s="1054"/>
      <c r="B257" s="1061"/>
      <c r="C257" s="1061"/>
      <c r="D257" s="1061"/>
      <c r="E257" s="1061"/>
      <c r="F257" s="1061"/>
      <c r="G257" s="1061"/>
      <c r="H257" s="1063"/>
      <c r="I257" s="1054"/>
      <c r="J257" s="1054"/>
      <c r="K257" s="1054"/>
      <c r="L257" s="1054"/>
      <c r="M257" s="1054"/>
      <c r="N257" s="1054"/>
      <c r="O257" s="1054"/>
      <c r="P257" s="1054"/>
      <c r="Q257" s="1054"/>
      <c r="R257" s="1054"/>
      <c r="S257" s="1054"/>
      <c r="T257" s="1054"/>
      <c r="U257" s="1054"/>
      <c r="V257" s="1054"/>
      <c r="W257" s="1054"/>
      <c r="X257" s="1054"/>
      <c r="Y257" s="1054"/>
      <c r="Z257" s="1054"/>
      <c r="AA257" s="1054"/>
      <c r="AB257" s="1054"/>
    </row>
    <row r="258">
      <c r="A258" s="1054"/>
      <c r="B258" s="1061"/>
      <c r="C258" s="1061"/>
      <c r="D258" s="1061"/>
      <c r="E258" s="1061"/>
      <c r="F258" s="1061"/>
      <c r="G258" s="1061"/>
      <c r="H258" s="1063"/>
      <c r="I258" s="1054"/>
      <c r="J258" s="1054"/>
      <c r="K258" s="1054"/>
      <c r="L258" s="1054"/>
      <c r="M258" s="1054"/>
      <c r="N258" s="1054"/>
      <c r="O258" s="1054"/>
      <c r="P258" s="1054"/>
      <c r="Q258" s="1054"/>
      <c r="R258" s="1054"/>
      <c r="S258" s="1054"/>
      <c r="T258" s="1054"/>
      <c r="U258" s="1054"/>
      <c r="V258" s="1054"/>
      <c r="W258" s="1054"/>
      <c r="X258" s="1054"/>
      <c r="Y258" s="1054"/>
      <c r="Z258" s="1054"/>
      <c r="AA258" s="1054"/>
      <c r="AB258" s="1054"/>
    </row>
    <row r="259">
      <c r="A259" s="1054"/>
      <c r="B259" s="1061"/>
      <c r="C259" s="1061"/>
      <c r="D259" s="1061"/>
      <c r="E259" s="1061"/>
      <c r="F259" s="1061"/>
      <c r="G259" s="1061"/>
      <c r="H259" s="1063"/>
      <c r="I259" s="1054"/>
      <c r="J259" s="1054"/>
      <c r="K259" s="1054"/>
      <c r="L259" s="1054"/>
      <c r="M259" s="1054"/>
      <c r="N259" s="1054"/>
      <c r="O259" s="1054"/>
      <c r="P259" s="1054"/>
      <c r="Q259" s="1054"/>
      <c r="R259" s="1054"/>
      <c r="S259" s="1054"/>
      <c r="T259" s="1054"/>
      <c r="U259" s="1054"/>
      <c r="V259" s="1054"/>
      <c r="W259" s="1054"/>
      <c r="X259" s="1054"/>
      <c r="Y259" s="1054"/>
      <c r="Z259" s="1054"/>
      <c r="AA259" s="1054"/>
      <c r="AB259" s="1054"/>
    </row>
    <row r="260">
      <c r="A260" s="1054"/>
      <c r="B260" s="1061"/>
      <c r="C260" s="1061"/>
      <c r="D260" s="1061"/>
      <c r="E260" s="1061"/>
      <c r="F260" s="1061"/>
      <c r="G260" s="1061"/>
      <c r="H260" s="1063"/>
      <c r="I260" s="1054"/>
      <c r="J260" s="1054"/>
      <c r="K260" s="1054"/>
      <c r="L260" s="1054"/>
      <c r="M260" s="1054"/>
      <c r="N260" s="1054"/>
      <c r="O260" s="1054"/>
      <c r="P260" s="1054"/>
      <c r="Q260" s="1054"/>
      <c r="R260" s="1054"/>
      <c r="S260" s="1054"/>
      <c r="T260" s="1054"/>
      <c r="U260" s="1054"/>
      <c r="V260" s="1054"/>
      <c r="W260" s="1054"/>
      <c r="X260" s="1054"/>
      <c r="Y260" s="1054"/>
      <c r="Z260" s="1054"/>
      <c r="AA260" s="1054"/>
      <c r="AB260" s="1054"/>
    </row>
    <row r="261">
      <c r="A261" s="1054"/>
      <c r="B261" s="1061"/>
      <c r="C261" s="1061"/>
      <c r="D261" s="1061"/>
      <c r="E261" s="1061"/>
      <c r="F261" s="1061"/>
      <c r="G261" s="1061"/>
      <c r="H261" s="1063"/>
      <c r="I261" s="1054"/>
      <c r="J261" s="1054"/>
      <c r="K261" s="1054"/>
      <c r="L261" s="1054"/>
      <c r="M261" s="1054"/>
      <c r="N261" s="1054"/>
      <c r="O261" s="1054"/>
      <c r="P261" s="1054"/>
      <c r="Q261" s="1054"/>
      <c r="R261" s="1054"/>
      <c r="S261" s="1054"/>
      <c r="T261" s="1054"/>
      <c r="U261" s="1054"/>
      <c r="V261" s="1054"/>
      <c r="W261" s="1054"/>
      <c r="X261" s="1054"/>
      <c r="Y261" s="1054"/>
      <c r="Z261" s="1054"/>
      <c r="AA261" s="1054"/>
      <c r="AB261" s="1054"/>
    </row>
    <row r="262">
      <c r="A262" s="1054"/>
      <c r="B262" s="1061"/>
      <c r="C262" s="1061"/>
      <c r="D262" s="1061"/>
      <c r="E262" s="1061"/>
      <c r="F262" s="1061"/>
      <c r="G262" s="1061"/>
      <c r="H262" s="1063"/>
      <c r="I262" s="1054"/>
      <c r="J262" s="1054"/>
      <c r="K262" s="1054"/>
      <c r="L262" s="1054"/>
      <c r="M262" s="1054"/>
      <c r="N262" s="1054"/>
      <c r="O262" s="1054"/>
      <c r="P262" s="1054"/>
      <c r="Q262" s="1054"/>
      <c r="R262" s="1054"/>
      <c r="S262" s="1054"/>
      <c r="T262" s="1054"/>
      <c r="U262" s="1054"/>
      <c r="V262" s="1054"/>
      <c r="W262" s="1054"/>
      <c r="X262" s="1054"/>
      <c r="Y262" s="1054"/>
      <c r="Z262" s="1054"/>
      <c r="AA262" s="1054"/>
      <c r="AB262" s="1054"/>
    </row>
    <row r="263">
      <c r="A263" s="1054"/>
      <c r="B263" s="1061"/>
      <c r="C263" s="1061"/>
      <c r="D263" s="1061"/>
      <c r="E263" s="1061"/>
      <c r="F263" s="1061"/>
      <c r="G263" s="1061"/>
      <c r="H263" s="1063"/>
      <c r="I263" s="1054"/>
      <c r="J263" s="1054"/>
      <c r="K263" s="1054"/>
      <c r="L263" s="1054"/>
      <c r="M263" s="1054"/>
      <c r="N263" s="1054"/>
      <c r="O263" s="1054"/>
      <c r="P263" s="1054"/>
      <c r="Q263" s="1054"/>
      <c r="R263" s="1054"/>
      <c r="S263" s="1054"/>
      <c r="T263" s="1054"/>
      <c r="U263" s="1054"/>
      <c r="V263" s="1054"/>
      <c r="W263" s="1054"/>
      <c r="X263" s="1054"/>
      <c r="Y263" s="1054"/>
      <c r="Z263" s="1054"/>
      <c r="AA263" s="1054"/>
      <c r="AB263" s="1054"/>
    </row>
    <row r="264">
      <c r="A264" s="1054"/>
      <c r="B264" s="1061"/>
      <c r="C264" s="1061"/>
      <c r="D264" s="1061"/>
      <c r="E264" s="1061"/>
      <c r="F264" s="1061"/>
      <c r="G264" s="1061"/>
      <c r="H264" s="1063"/>
      <c r="I264" s="1054"/>
      <c r="J264" s="1054"/>
      <c r="K264" s="1054"/>
      <c r="L264" s="1054"/>
      <c r="M264" s="1054"/>
      <c r="N264" s="1054"/>
      <c r="O264" s="1054"/>
      <c r="P264" s="1054"/>
      <c r="Q264" s="1054"/>
      <c r="R264" s="1054"/>
      <c r="S264" s="1054"/>
      <c r="T264" s="1054"/>
      <c r="U264" s="1054"/>
      <c r="V264" s="1054"/>
      <c r="W264" s="1054"/>
      <c r="X264" s="1054"/>
      <c r="Y264" s="1054"/>
      <c r="Z264" s="1054"/>
      <c r="AA264" s="1054"/>
      <c r="AB264" s="1054"/>
    </row>
    <row r="265">
      <c r="A265" s="1054"/>
      <c r="B265" s="1061"/>
      <c r="C265" s="1061"/>
      <c r="D265" s="1061"/>
      <c r="E265" s="1061"/>
      <c r="F265" s="1061"/>
      <c r="G265" s="1061"/>
      <c r="H265" s="1063"/>
      <c r="I265" s="1054"/>
      <c r="J265" s="1054"/>
      <c r="K265" s="1054"/>
      <c r="L265" s="1054"/>
      <c r="M265" s="1054"/>
      <c r="N265" s="1054"/>
      <c r="O265" s="1054"/>
      <c r="P265" s="1054"/>
      <c r="Q265" s="1054"/>
      <c r="R265" s="1054"/>
      <c r="S265" s="1054"/>
      <c r="T265" s="1054"/>
      <c r="U265" s="1054"/>
      <c r="V265" s="1054"/>
      <c r="W265" s="1054"/>
      <c r="X265" s="1054"/>
      <c r="Y265" s="1054"/>
      <c r="Z265" s="1054"/>
      <c r="AA265" s="1054"/>
      <c r="AB265" s="1054"/>
    </row>
    <row r="266">
      <c r="A266" s="1054"/>
      <c r="B266" s="1061"/>
      <c r="C266" s="1061"/>
      <c r="D266" s="1061"/>
      <c r="E266" s="1061"/>
      <c r="F266" s="1061"/>
      <c r="G266" s="1061"/>
      <c r="H266" s="1063"/>
      <c r="I266" s="1054"/>
      <c r="J266" s="1054"/>
      <c r="K266" s="1054"/>
      <c r="L266" s="1054"/>
      <c r="M266" s="1054"/>
      <c r="N266" s="1054"/>
      <c r="O266" s="1054"/>
      <c r="P266" s="1054"/>
      <c r="Q266" s="1054"/>
      <c r="R266" s="1054"/>
      <c r="S266" s="1054"/>
      <c r="T266" s="1054"/>
      <c r="U266" s="1054"/>
      <c r="V266" s="1054"/>
      <c r="W266" s="1054"/>
      <c r="X266" s="1054"/>
      <c r="Y266" s="1054"/>
      <c r="Z266" s="1054"/>
      <c r="AA266" s="1054"/>
      <c r="AB266" s="1054"/>
    </row>
    <row r="267">
      <c r="A267" s="1054"/>
      <c r="B267" s="1061"/>
      <c r="C267" s="1061"/>
      <c r="D267" s="1061"/>
      <c r="E267" s="1061"/>
      <c r="F267" s="1061"/>
      <c r="G267" s="1061"/>
      <c r="H267" s="1063"/>
      <c r="I267" s="1054"/>
      <c r="J267" s="1054"/>
      <c r="K267" s="1054"/>
      <c r="L267" s="1054"/>
      <c r="M267" s="1054"/>
      <c r="N267" s="1054"/>
      <c r="O267" s="1054"/>
      <c r="P267" s="1054"/>
      <c r="Q267" s="1054"/>
      <c r="R267" s="1054"/>
      <c r="S267" s="1054"/>
      <c r="T267" s="1054"/>
      <c r="U267" s="1054"/>
      <c r="V267" s="1054"/>
      <c r="W267" s="1054"/>
      <c r="X267" s="1054"/>
      <c r="Y267" s="1054"/>
      <c r="Z267" s="1054"/>
      <c r="AA267" s="1054"/>
      <c r="AB267" s="1054"/>
    </row>
    <row r="268">
      <c r="A268" s="1054"/>
      <c r="B268" s="1061"/>
      <c r="C268" s="1061"/>
      <c r="D268" s="1061"/>
      <c r="E268" s="1061"/>
      <c r="F268" s="1061"/>
      <c r="G268" s="1061"/>
      <c r="H268" s="1063"/>
      <c r="I268" s="1054"/>
      <c r="J268" s="1054"/>
      <c r="K268" s="1054"/>
      <c r="L268" s="1054"/>
      <c r="M268" s="1054"/>
      <c r="N268" s="1054"/>
      <c r="O268" s="1054"/>
      <c r="P268" s="1054"/>
      <c r="Q268" s="1054"/>
      <c r="R268" s="1054"/>
      <c r="S268" s="1054"/>
      <c r="T268" s="1054"/>
      <c r="U268" s="1054"/>
      <c r="V268" s="1054"/>
      <c r="W268" s="1054"/>
      <c r="X268" s="1054"/>
      <c r="Y268" s="1054"/>
      <c r="Z268" s="1054"/>
      <c r="AA268" s="1054"/>
      <c r="AB268" s="1054"/>
    </row>
    <row r="269">
      <c r="A269" s="1054"/>
      <c r="B269" s="1061"/>
      <c r="C269" s="1061"/>
      <c r="D269" s="1061"/>
      <c r="E269" s="1061"/>
      <c r="F269" s="1061"/>
      <c r="G269" s="1061"/>
      <c r="H269" s="1063"/>
      <c r="I269" s="1054"/>
      <c r="J269" s="1054"/>
      <c r="K269" s="1054"/>
      <c r="L269" s="1054"/>
      <c r="M269" s="1054"/>
      <c r="N269" s="1054"/>
      <c r="O269" s="1054"/>
      <c r="P269" s="1054"/>
      <c r="Q269" s="1054"/>
      <c r="R269" s="1054"/>
      <c r="S269" s="1054"/>
      <c r="T269" s="1054"/>
      <c r="U269" s="1054"/>
      <c r="V269" s="1054"/>
      <c r="W269" s="1054"/>
      <c r="X269" s="1054"/>
      <c r="Y269" s="1054"/>
      <c r="Z269" s="1054"/>
      <c r="AA269" s="1054"/>
      <c r="AB269" s="1054"/>
    </row>
    <row r="270">
      <c r="A270" s="1054"/>
      <c r="B270" s="1061"/>
      <c r="C270" s="1061"/>
      <c r="D270" s="1061"/>
      <c r="E270" s="1061"/>
      <c r="F270" s="1061"/>
      <c r="G270" s="1061"/>
      <c r="H270" s="1063"/>
      <c r="I270" s="1054"/>
      <c r="J270" s="1054"/>
      <c r="K270" s="1054"/>
      <c r="L270" s="1054"/>
      <c r="M270" s="1054"/>
      <c r="N270" s="1054"/>
      <c r="O270" s="1054"/>
      <c r="P270" s="1054"/>
      <c r="Q270" s="1054"/>
      <c r="R270" s="1054"/>
      <c r="S270" s="1054"/>
      <c r="T270" s="1054"/>
      <c r="U270" s="1054"/>
      <c r="V270" s="1054"/>
      <c r="W270" s="1054"/>
      <c r="X270" s="1054"/>
      <c r="Y270" s="1054"/>
      <c r="Z270" s="1054"/>
      <c r="AA270" s="1054"/>
      <c r="AB270" s="1054"/>
    </row>
    <row r="271">
      <c r="A271" s="1054"/>
      <c r="B271" s="1061"/>
      <c r="C271" s="1061"/>
      <c r="D271" s="1061"/>
      <c r="E271" s="1061"/>
      <c r="F271" s="1061"/>
      <c r="G271" s="1061"/>
      <c r="H271" s="1063"/>
      <c r="I271" s="1054"/>
      <c r="J271" s="1054"/>
      <c r="K271" s="1054"/>
      <c r="L271" s="1054"/>
      <c r="M271" s="1054"/>
      <c r="N271" s="1054"/>
      <c r="O271" s="1054"/>
      <c r="P271" s="1054"/>
      <c r="Q271" s="1054"/>
      <c r="R271" s="1054"/>
      <c r="S271" s="1054"/>
      <c r="T271" s="1054"/>
      <c r="U271" s="1054"/>
      <c r="V271" s="1054"/>
      <c r="W271" s="1054"/>
      <c r="X271" s="1054"/>
      <c r="Y271" s="1054"/>
      <c r="Z271" s="1054"/>
      <c r="AA271" s="1054"/>
      <c r="AB271" s="1054"/>
    </row>
    <row r="272">
      <c r="A272" s="1054"/>
      <c r="B272" s="1061"/>
      <c r="C272" s="1061"/>
      <c r="D272" s="1061"/>
      <c r="E272" s="1061"/>
      <c r="F272" s="1061"/>
      <c r="G272" s="1061"/>
      <c r="H272" s="1063"/>
      <c r="I272" s="1054"/>
      <c r="J272" s="1054"/>
      <c r="K272" s="1054"/>
      <c r="L272" s="1054"/>
      <c r="M272" s="1054"/>
      <c r="N272" s="1054"/>
      <c r="O272" s="1054"/>
      <c r="P272" s="1054"/>
      <c r="Q272" s="1054"/>
      <c r="R272" s="1054"/>
      <c r="S272" s="1054"/>
      <c r="T272" s="1054"/>
      <c r="U272" s="1054"/>
      <c r="V272" s="1054"/>
      <c r="W272" s="1054"/>
      <c r="X272" s="1054"/>
      <c r="Y272" s="1054"/>
      <c r="Z272" s="1054"/>
      <c r="AA272" s="1054"/>
      <c r="AB272" s="1054"/>
    </row>
    <row r="273">
      <c r="A273" s="1054"/>
      <c r="B273" s="1061"/>
      <c r="C273" s="1061"/>
      <c r="D273" s="1061"/>
      <c r="E273" s="1061"/>
      <c r="F273" s="1061"/>
      <c r="G273" s="1061"/>
      <c r="H273" s="1063"/>
      <c r="I273" s="1054"/>
      <c r="J273" s="1054"/>
      <c r="K273" s="1054"/>
      <c r="L273" s="1054"/>
      <c r="M273" s="1054"/>
      <c r="N273" s="1054"/>
      <c r="O273" s="1054"/>
      <c r="P273" s="1054"/>
      <c r="Q273" s="1054"/>
      <c r="R273" s="1054"/>
      <c r="S273" s="1054"/>
      <c r="T273" s="1054"/>
      <c r="U273" s="1054"/>
      <c r="V273" s="1054"/>
      <c r="W273" s="1054"/>
      <c r="X273" s="1054"/>
      <c r="Y273" s="1054"/>
      <c r="Z273" s="1054"/>
      <c r="AA273" s="1054"/>
      <c r="AB273" s="1054"/>
    </row>
    <row r="274">
      <c r="A274" s="1054"/>
      <c r="B274" s="1061"/>
      <c r="C274" s="1061"/>
      <c r="D274" s="1061"/>
      <c r="E274" s="1061"/>
      <c r="F274" s="1061"/>
      <c r="G274" s="1061"/>
      <c r="H274" s="1063"/>
      <c r="I274" s="1054"/>
      <c r="J274" s="1054"/>
      <c r="K274" s="1054"/>
      <c r="L274" s="1054"/>
      <c r="M274" s="1054"/>
      <c r="N274" s="1054"/>
      <c r="O274" s="1054"/>
      <c r="P274" s="1054"/>
      <c r="Q274" s="1054"/>
      <c r="R274" s="1054"/>
      <c r="S274" s="1054"/>
      <c r="T274" s="1054"/>
      <c r="U274" s="1054"/>
      <c r="V274" s="1054"/>
      <c r="W274" s="1054"/>
      <c r="X274" s="1054"/>
      <c r="Y274" s="1054"/>
      <c r="Z274" s="1054"/>
      <c r="AA274" s="1054"/>
      <c r="AB274" s="1054"/>
    </row>
    <row r="275">
      <c r="A275" s="1054"/>
      <c r="B275" s="1061"/>
      <c r="C275" s="1061"/>
      <c r="D275" s="1061"/>
      <c r="E275" s="1061"/>
      <c r="F275" s="1061"/>
      <c r="G275" s="1061"/>
      <c r="H275" s="1063"/>
      <c r="I275" s="1054"/>
      <c r="J275" s="1054"/>
      <c r="K275" s="1054"/>
      <c r="L275" s="1054"/>
      <c r="M275" s="1054"/>
      <c r="N275" s="1054"/>
      <c r="O275" s="1054"/>
      <c r="P275" s="1054"/>
      <c r="Q275" s="1054"/>
      <c r="R275" s="1054"/>
      <c r="S275" s="1054"/>
      <c r="T275" s="1054"/>
      <c r="U275" s="1054"/>
      <c r="V275" s="1054"/>
      <c r="W275" s="1054"/>
      <c r="X275" s="1054"/>
      <c r="Y275" s="1054"/>
      <c r="Z275" s="1054"/>
      <c r="AA275" s="1054"/>
      <c r="AB275" s="1054"/>
    </row>
    <row r="276">
      <c r="A276" s="1054"/>
      <c r="B276" s="1061"/>
      <c r="C276" s="1061"/>
      <c r="D276" s="1061"/>
      <c r="E276" s="1061"/>
      <c r="F276" s="1061"/>
      <c r="G276" s="1061"/>
      <c r="H276" s="1063"/>
      <c r="I276" s="1054"/>
      <c r="J276" s="1054"/>
      <c r="K276" s="1054"/>
      <c r="L276" s="1054"/>
      <c r="M276" s="1054"/>
      <c r="N276" s="1054"/>
      <c r="O276" s="1054"/>
      <c r="P276" s="1054"/>
      <c r="Q276" s="1054"/>
      <c r="R276" s="1054"/>
      <c r="S276" s="1054"/>
      <c r="T276" s="1054"/>
      <c r="U276" s="1054"/>
      <c r="V276" s="1054"/>
      <c r="W276" s="1054"/>
      <c r="X276" s="1054"/>
      <c r="Y276" s="1054"/>
      <c r="Z276" s="1054"/>
      <c r="AA276" s="1054"/>
      <c r="AB276" s="1054"/>
    </row>
    <row r="277">
      <c r="A277" s="1054"/>
      <c r="B277" s="1061"/>
      <c r="C277" s="1061"/>
      <c r="D277" s="1061"/>
      <c r="E277" s="1061"/>
      <c r="F277" s="1061"/>
      <c r="G277" s="1061"/>
      <c r="H277" s="1063"/>
      <c r="I277" s="1054"/>
      <c r="J277" s="1054"/>
      <c r="K277" s="1054"/>
      <c r="L277" s="1054"/>
      <c r="M277" s="1054"/>
      <c r="N277" s="1054"/>
      <c r="O277" s="1054"/>
      <c r="P277" s="1054"/>
      <c r="Q277" s="1054"/>
      <c r="R277" s="1054"/>
      <c r="S277" s="1054"/>
      <c r="T277" s="1054"/>
      <c r="U277" s="1054"/>
      <c r="V277" s="1054"/>
      <c r="W277" s="1054"/>
      <c r="X277" s="1054"/>
      <c r="Y277" s="1054"/>
      <c r="Z277" s="1054"/>
      <c r="AA277" s="1054"/>
      <c r="AB277" s="1054"/>
    </row>
    <row r="278">
      <c r="A278" s="1054"/>
      <c r="B278" s="1061"/>
      <c r="C278" s="1061"/>
      <c r="D278" s="1061"/>
      <c r="E278" s="1061"/>
      <c r="F278" s="1061"/>
      <c r="G278" s="1061"/>
      <c r="H278" s="1063"/>
      <c r="I278" s="1054"/>
      <c r="J278" s="1054"/>
      <c r="K278" s="1054"/>
      <c r="L278" s="1054"/>
      <c r="M278" s="1054"/>
      <c r="N278" s="1054"/>
      <c r="O278" s="1054"/>
      <c r="P278" s="1054"/>
      <c r="Q278" s="1054"/>
      <c r="R278" s="1054"/>
      <c r="S278" s="1054"/>
      <c r="T278" s="1054"/>
      <c r="U278" s="1054"/>
      <c r="V278" s="1054"/>
      <c r="W278" s="1054"/>
      <c r="X278" s="1054"/>
      <c r="Y278" s="1054"/>
      <c r="Z278" s="1054"/>
      <c r="AA278" s="1054"/>
      <c r="AB278" s="1054"/>
    </row>
    <row r="279">
      <c r="A279" s="1054"/>
      <c r="B279" s="1061"/>
      <c r="C279" s="1061"/>
      <c r="D279" s="1061"/>
      <c r="E279" s="1061"/>
      <c r="F279" s="1061"/>
      <c r="G279" s="1061"/>
      <c r="H279" s="1063"/>
      <c r="I279" s="1054"/>
      <c r="J279" s="1054"/>
      <c r="K279" s="1054"/>
      <c r="L279" s="1054"/>
      <c r="M279" s="1054"/>
      <c r="N279" s="1054"/>
      <c r="O279" s="1054"/>
      <c r="P279" s="1054"/>
      <c r="Q279" s="1054"/>
      <c r="R279" s="1054"/>
      <c r="S279" s="1054"/>
      <c r="T279" s="1054"/>
      <c r="U279" s="1054"/>
      <c r="V279" s="1054"/>
      <c r="W279" s="1054"/>
      <c r="X279" s="1054"/>
      <c r="Y279" s="1054"/>
      <c r="Z279" s="1054"/>
      <c r="AA279" s="1054"/>
      <c r="AB279" s="1054"/>
    </row>
    <row r="280">
      <c r="A280" s="1054"/>
      <c r="B280" s="1061"/>
      <c r="C280" s="1061"/>
      <c r="D280" s="1061"/>
      <c r="E280" s="1061"/>
      <c r="F280" s="1061"/>
      <c r="G280" s="1061"/>
      <c r="H280" s="1063"/>
      <c r="I280" s="1054"/>
      <c r="J280" s="1054"/>
      <c r="K280" s="1054"/>
      <c r="L280" s="1054"/>
      <c r="M280" s="1054"/>
      <c r="N280" s="1054"/>
      <c r="O280" s="1054"/>
      <c r="P280" s="1054"/>
      <c r="Q280" s="1054"/>
      <c r="R280" s="1054"/>
      <c r="S280" s="1054"/>
      <c r="T280" s="1054"/>
      <c r="U280" s="1054"/>
      <c r="V280" s="1054"/>
      <c r="W280" s="1054"/>
      <c r="X280" s="1054"/>
      <c r="Y280" s="1054"/>
      <c r="Z280" s="1054"/>
      <c r="AA280" s="1054"/>
      <c r="AB280" s="1054"/>
    </row>
    <row r="281">
      <c r="A281" s="1054"/>
      <c r="B281" s="1061"/>
      <c r="C281" s="1061"/>
      <c r="D281" s="1061"/>
      <c r="E281" s="1061"/>
      <c r="F281" s="1061"/>
      <c r="G281" s="1061"/>
      <c r="H281" s="1063"/>
      <c r="I281" s="1054"/>
      <c r="J281" s="1054"/>
      <c r="K281" s="1054"/>
      <c r="L281" s="1054"/>
      <c r="M281" s="1054"/>
      <c r="N281" s="1054"/>
      <c r="O281" s="1054"/>
      <c r="P281" s="1054"/>
      <c r="Q281" s="1054"/>
      <c r="R281" s="1054"/>
      <c r="S281" s="1054"/>
      <c r="T281" s="1054"/>
      <c r="U281" s="1054"/>
      <c r="V281" s="1054"/>
      <c r="W281" s="1054"/>
      <c r="X281" s="1054"/>
      <c r="Y281" s="1054"/>
      <c r="Z281" s="1054"/>
      <c r="AA281" s="1054"/>
      <c r="AB281" s="1054"/>
    </row>
    <row r="282">
      <c r="A282" s="1054"/>
      <c r="B282" s="1061"/>
      <c r="C282" s="1061"/>
      <c r="D282" s="1061"/>
      <c r="E282" s="1061"/>
      <c r="F282" s="1061"/>
      <c r="G282" s="1061"/>
      <c r="H282" s="1063"/>
      <c r="I282" s="1054"/>
      <c r="J282" s="1054"/>
      <c r="K282" s="1054"/>
      <c r="L282" s="1054"/>
      <c r="M282" s="1054"/>
      <c r="N282" s="1054"/>
      <c r="O282" s="1054"/>
      <c r="P282" s="1054"/>
      <c r="Q282" s="1054"/>
      <c r="R282" s="1054"/>
      <c r="S282" s="1054"/>
      <c r="T282" s="1054"/>
      <c r="U282" s="1054"/>
      <c r="V282" s="1054"/>
      <c r="W282" s="1054"/>
      <c r="X282" s="1054"/>
      <c r="Y282" s="1054"/>
      <c r="Z282" s="1054"/>
      <c r="AA282" s="1054"/>
      <c r="AB282" s="1054"/>
    </row>
    <row r="283">
      <c r="A283" s="1054"/>
      <c r="B283" s="1061"/>
      <c r="C283" s="1061"/>
      <c r="D283" s="1061"/>
      <c r="E283" s="1061"/>
      <c r="F283" s="1061"/>
      <c r="G283" s="1061"/>
      <c r="H283" s="1063"/>
      <c r="I283" s="1054"/>
      <c r="J283" s="1054"/>
      <c r="K283" s="1054"/>
      <c r="L283" s="1054"/>
      <c r="M283" s="1054"/>
      <c r="N283" s="1054"/>
      <c r="O283" s="1054"/>
      <c r="P283" s="1054"/>
      <c r="Q283" s="1054"/>
      <c r="R283" s="1054"/>
      <c r="S283" s="1054"/>
      <c r="T283" s="1054"/>
      <c r="U283" s="1054"/>
      <c r="V283" s="1054"/>
      <c r="W283" s="1054"/>
      <c r="X283" s="1054"/>
      <c r="Y283" s="1054"/>
      <c r="Z283" s="1054"/>
      <c r="AA283" s="1054"/>
      <c r="AB283" s="1054"/>
    </row>
    <row r="284">
      <c r="A284" s="1054"/>
      <c r="B284" s="1061"/>
      <c r="C284" s="1061"/>
      <c r="D284" s="1061"/>
      <c r="E284" s="1061"/>
      <c r="F284" s="1061"/>
      <c r="G284" s="1061"/>
      <c r="H284" s="1063"/>
      <c r="I284" s="1054"/>
      <c r="J284" s="1054"/>
      <c r="K284" s="1054"/>
      <c r="L284" s="1054"/>
      <c r="M284" s="1054"/>
      <c r="N284" s="1054"/>
      <c r="O284" s="1054"/>
      <c r="P284" s="1054"/>
      <c r="Q284" s="1054"/>
      <c r="R284" s="1054"/>
      <c r="S284" s="1054"/>
      <c r="T284" s="1054"/>
      <c r="U284" s="1054"/>
      <c r="V284" s="1054"/>
      <c r="W284" s="1054"/>
      <c r="X284" s="1054"/>
      <c r="Y284" s="1054"/>
      <c r="Z284" s="1054"/>
      <c r="AA284" s="1054"/>
      <c r="AB284" s="1054"/>
    </row>
    <row r="285">
      <c r="A285" s="1054"/>
      <c r="B285" s="1061"/>
      <c r="C285" s="1061"/>
      <c r="D285" s="1061"/>
      <c r="E285" s="1061"/>
      <c r="F285" s="1061"/>
      <c r="G285" s="1061"/>
      <c r="H285" s="1063"/>
      <c r="I285" s="1054"/>
      <c r="J285" s="1054"/>
      <c r="K285" s="1054"/>
      <c r="L285" s="1054"/>
      <c r="M285" s="1054"/>
      <c r="N285" s="1054"/>
      <c r="O285" s="1054"/>
      <c r="P285" s="1054"/>
      <c r="Q285" s="1054"/>
      <c r="R285" s="1054"/>
      <c r="S285" s="1054"/>
      <c r="T285" s="1054"/>
      <c r="U285" s="1054"/>
      <c r="V285" s="1054"/>
      <c r="W285" s="1054"/>
      <c r="X285" s="1054"/>
      <c r="Y285" s="1054"/>
      <c r="Z285" s="1054"/>
      <c r="AA285" s="1054"/>
      <c r="AB285" s="1054"/>
    </row>
    <row r="286">
      <c r="A286" s="1054"/>
      <c r="B286" s="1061"/>
      <c r="C286" s="1061"/>
      <c r="D286" s="1061"/>
      <c r="E286" s="1061"/>
      <c r="F286" s="1061"/>
      <c r="G286" s="1061"/>
      <c r="H286" s="1063"/>
      <c r="I286" s="1054"/>
      <c r="J286" s="1054"/>
      <c r="K286" s="1054"/>
      <c r="L286" s="1054"/>
      <c r="M286" s="1054"/>
      <c r="N286" s="1054"/>
      <c r="O286" s="1054"/>
      <c r="P286" s="1054"/>
      <c r="Q286" s="1054"/>
      <c r="R286" s="1054"/>
      <c r="S286" s="1054"/>
      <c r="T286" s="1054"/>
      <c r="U286" s="1054"/>
      <c r="V286" s="1054"/>
      <c r="W286" s="1054"/>
      <c r="X286" s="1054"/>
      <c r="Y286" s="1054"/>
      <c r="Z286" s="1054"/>
      <c r="AA286" s="1054"/>
      <c r="AB286" s="1054"/>
    </row>
    <row r="287">
      <c r="A287" s="1054"/>
      <c r="B287" s="1061"/>
      <c r="C287" s="1061"/>
      <c r="D287" s="1061"/>
      <c r="E287" s="1061"/>
      <c r="F287" s="1061"/>
      <c r="G287" s="1061"/>
      <c r="H287" s="1063"/>
      <c r="I287" s="1054"/>
      <c r="J287" s="1054"/>
      <c r="K287" s="1054"/>
      <c r="L287" s="1054"/>
      <c r="M287" s="1054"/>
      <c r="N287" s="1054"/>
      <c r="O287" s="1054"/>
      <c r="P287" s="1054"/>
      <c r="Q287" s="1054"/>
      <c r="R287" s="1054"/>
      <c r="S287" s="1054"/>
      <c r="T287" s="1054"/>
      <c r="U287" s="1054"/>
      <c r="V287" s="1054"/>
      <c r="W287" s="1054"/>
      <c r="X287" s="1054"/>
      <c r="Y287" s="1054"/>
      <c r="Z287" s="1054"/>
      <c r="AA287" s="1054"/>
      <c r="AB287" s="1054"/>
    </row>
    <row r="288">
      <c r="A288" s="1054"/>
      <c r="B288" s="1061"/>
      <c r="C288" s="1061"/>
      <c r="D288" s="1061"/>
      <c r="E288" s="1061"/>
      <c r="F288" s="1061"/>
      <c r="G288" s="1061"/>
      <c r="H288" s="1063"/>
      <c r="I288" s="1054"/>
      <c r="J288" s="1054"/>
      <c r="K288" s="1054"/>
      <c r="L288" s="1054"/>
      <c r="M288" s="1054"/>
      <c r="N288" s="1054"/>
      <c r="O288" s="1054"/>
      <c r="P288" s="1054"/>
      <c r="Q288" s="1054"/>
      <c r="R288" s="1054"/>
      <c r="S288" s="1054"/>
      <c r="T288" s="1054"/>
      <c r="U288" s="1054"/>
      <c r="V288" s="1054"/>
      <c r="W288" s="1054"/>
      <c r="X288" s="1054"/>
      <c r="Y288" s="1054"/>
      <c r="Z288" s="1054"/>
      <c r="AA288" s="1054"/>
      <c r="AB288" s="1054"/>
    </row>
    <row r="289">
      <c r="A289" s="1054"/>
      <c r="B289" s="1061"/>
      <c r="C289" s="1061"/>
      <c r="D289" s="1061"/>
      <c r="E289" s="1061"/>
      <c r="F289" s="1061"/>
      <c r="G289" s="1061"/>
      <c r="H289" s="1063"/>
      <c r="I289" s="1054"/>
      <c r="J289" s="1054"/>
      <c r="K289" s="1054"/>
      <c r="L289" s="1054"/>
      <c r="M289" s="1054"/>
      <c r="N289" s="1054"/>
      <c r="O289" s="1054"/>
      <c r="P289" s="1054"/>
      <c r="Q289" s="1054"/>
      <c r="R289" s="1054"/>
      <c r="S289" s="1054"/>
      <c r="T289" s="1054"/>
      <c r="U289" s="1054"/>
      <c r="V289" s="1054"/>
      <c r="W289" s="1054"/>
      <c r="X289" s="1054"/>
      <c r="Y289" s="1054"/>
      <c r="Z289" s="1054"/>
      <c r="AA289" s="1054"/>
      <c r="AB289" s="1054"/>
    </row>
    <row r="290">
      <c r="A290" s="1054"/>
      <c r="B290" s="1061"/>
      <c r="C290" s="1061"/>
      <c r="D290" s="1061"/>
      <c r="E290" s="1061"/>
      <c r="F290" s="1061"/>
      <c r="G290" s="1061"/>
      <c r="H290" s="1063"/>
      <c r="I290" s="1054"/>
      <c r="J290" s="1054"/>
      <c r="K290" s="1054"/>
      <c r="L290" s="1054"/>
      <c r="M290" s="1054"/>
      <c r="N290" s="1054"/>
      <c r="O290" s="1054"/>
      <c r="P290" s="1054"/>
      <c r="Q290" s="1054"/>
      <c r="R290" s="1054"/>
      <c r="S290" s="1054"/>
      <c r="T290" s="1054"/>
      <c r="U290" s="1054"/>
      <c r="V290" s="1054"/>
      <c r="W290" s="1054"/>
      <c r="X290" s="1054"/>
      <c r="Y290" s="1054"/>
      <c r="Z290" s="1054"/>
      <c r="AA290" s="1054"/>
      <c r="AB290" s="1054"/>
    </row>
    <row r="291">
      <c r="A291" s="1054"/>
      <c r="B291" s="1061"/>
      <c r="C291" s="1061"/>
      <c r="D291" s="1061"/>
      <c r="E291" s="1061"/>
      <c r="F291" s="1061"/>
      <c r="G291" s="1061"/>
      <c r="H291" s="1063"/>
      <c r="I291" s="1054"/>
      <c r="J291" s="1054"/>
      <c r="K291" s="1054"/>
      <c r="L291" s="1054"/>
      <c r="M291" s="1054"/>
      <c r="N291" s="1054"/>
      <c r="O291" s="1054"/>
      <c r="P291" s="1054"/>
      <c r="Q291" s="1054"/>
      <c r="R291" s="1054"/>
      <c r="S291" s="1054"/>
      <c r="T291" s="1054"/>
      <c r="U291" s="1054"/>
      <c r="V291" s="1054"/>
      <c r="W291" s="1054"/>
      <c r="X291" s="1054"/>
      <c r="Y291" s="1054"/>
      <c r="Z291" s="1054"/>
      <c r="AA291" s="1054"/>
      <c r="AB291" s="1054"/>
    </row>
    <row r="292">
      <c r="A292" s="1054"/>
      <c r="B292" s="1061"/>
      <c r="C292" s="1061"/>
      <c r="D292" s="1061"/>
      <c r="E292" s="1061"/>
      <c r="F292" s="1061"/>
      <c r="G292" s="1061"/>
      <c r="H292" s="1063"/>
      <c r="I292" s="1054"/>
      <c r="J292" s="1054"/>
      <c r="K292" s="1054"/>
      <c r="L292" s="1054"/>
      <c r="M292" s="1054"/>
      <c r="N292" s="1054"/>
      <c r="O292" s="1054"/>
      <c r="P292" s="1054"/>
      <c r="Q292" s="1054"/>
      <c r="R292" s="1054"/>
      <c r="S292" s="1054"/>
      <c r="T292" s="1054"/>
      <c r="U292" s="1054"/>
      <c r="V292" s="1054"/>
      <c r="W292" s="1054"/>
      <c r="X292" s="1054"/>
      <c r="Y292" s="1054"/>
      <c r="Z292" s="1054"/>
      <c r="AA292" s="1054"/>
      <c r="AB292" s="1054"/>
    </row>
    <row r="293">
      <c r="A293" s="1054"/>
      <c r="B293" s="1061"/>
      <c r="C293" s="1061"/>
      <c r="D293" s="1061"/>
      <c r="E293" s="1061"/>
      <c r="F293" s="1061"/>
      <c r="G293" s="1061"/>
      <c r="H293" s="1063"/>
      <c r="I293" s="1054"/>
      <c r="J293" s="1054"/>
      <c r="K293" s="1054"/>
      <c r="L293" s="1054"/>
      <c r="M293" s="1054"/>
      <c r="N293" s="1054"/>
      <c r="O293" s="1054"/>
      <c r="P293" s="1054"/>
      <c r="Q293" s="1054"/>
      <c r="R293" s="1054"/>
      <c r="S293" s="1054"/>
      <c r="T293" s="1054"/>
      <c r="U293" s="1054"/>
      <c r="V293" s="1054"/>
      <c r="W293" s="1054"/>
      <c r="X293" s="1054"/>
      <c r="Y293" s="1054"/>
      <c r="Z293" s="1054"/>
      <c r="AA293" s="1054"/>
      <c r="AB293" s="1054"/>
    </row>
    <row r="294">
      <c r="A294" s="1054"/>
      <c r="B294" s="1061"/>
      <c r="C294" s="1061"/>
      <c r="D294" s="1061"/>
      <c r="E294" s="1061"/>
      <c r="F294" s="1061"/>
      <c r="G294" s="1061"/>
      <c r="H294" s="1063"/>
      <c r="I294" s="1054"/>
      <c r="J294" s="1054"/>
      <c r="K294" s="1054"/>
      <c r="L294" s="1054"/>
      <c r="M294" s="1054"/>
      <c r="N294" s="1054"/>
      <c r="O294" s="1054"/>
      <c r="P294" s="1054"/>
      <c r="Q294" s="1054"/>
      <c r="R294" s="1054"/>
      <c r="S294" s="1054"/>
      <c r="T294" s="1054"/>
      <c r="U294" s="1054"/>
      <c r="V294" s="1054"/>
      <c r="W294" s="1054"/>
      <c r="X294" s="1054"/>
      <c r="Y294" s="1054"/>
      <c r="Z294" s="1054"/>
      <c r="AA294" s="1054"/>
      <c r="AB294" s="1054"/>
    </row>
    <row r="295">
      <c r="A295" s="1054"/>
      <c r="B295" s="1061"/>
      <c r="C295" s="1061"/>
      <c r="D295" s="1061"/>
      <c r="E295" s="1061"/>
      <c r="F295" s="1061"/>
      <c r="G295" s="1061"/>
      <c r="H295" s="1063"/>
      <c r="I295" s="1054"/>
      <c r="J295" s="1054"/>
      <c r="K295" s="1054"/>
      <c r="L295" s="1054"/>
      <c r="M295" s="1054"/>
      <c r="N295" s="1054"/>
      <c r="O295" s="1054"/>
      <c r="P295" s="1054"/>
      <c r="Q295" s="1054"/>
      <c r="R295" s="1054"/>
      <c r="S295" s="1054"/>
      <c r="T295" s="1054"/>
      <c r="U295" s="1054"/>
      <c r="V295" s="1054"/>
      <c r="W295" s="1054"/>
      <c r="X295" s="1054"/>
      <c r="Y295" s="1054"/>
      <c r="Z295" s="1054"/>
      <c r="AA295" s="1054"/>
      <c r="AB295" s="1054"/>
    </row>
    <row r="296">
      <c r="A296" s="1054"/>
      <c r="B296" s="1061"/>
      <c r="C296" s="1061"/>
      <c r="D296" s="1061"/>
      <c r="E296" s="1061"/>
      <c r="F296" s="1061"/>
      <c r="G296" s="1061"/>
      <c r="H296" s="1063"/>
      <c r="I296" s="1054"/>
      <c r="J296" s="1054"/>
      <c r="K296" s="1054"/>
      <c r="L296" s="1054"/>
      <c r="M296" s="1054"/>
      <c r="N296" s="1054"/>
      <c r="O296" s="1054"/>
      <c r="P296" s="1054"/>
      <c r="Q296" s="1054"/>
      <c r="R296" s="1054"/>
      <c r="S296" s="1054"/>
      <c r="T296" s="1054"/>
      <c r="U296" s="1054"/>
      <c r="V296" s="1054"/>
      <c r="W296" s="1054"/>
      <c r="X296" s="1054"/>
      <c r="Y296" s="1054"/>
      <c r="Z296" s="1054"/>
      <c r="AA296" s="1054"/>
      <c r="AB296" s="1054"/>
    </row>
    <row r="297">
      <c r="A297" s="1054"/>
      <c r="B297" s="1061"/>
      <c r="C297" s="1061"/>
      <c r="D297" s="1061"/>
      <c r="E297" s="1061"/>
      <c r="F297" s="1061"/>
      <c r="G297" s="1061"/>
      <c r="H297" s="1063"/>
      <c r="I297" s="1054"/>
      <c r="J297" s="1054"/>
      <c r="K297" s="1054"/>
      <c r="L297" s="1054"/>
      <c r="M297" s="1054"/>
      <c r="N297" s="1054"/>
      <c r="O297" s="1054"/>
      <c r="P297" s="1054"/>
      <c r="Q297" s="1054"/>
      <c r="R297" s="1054"/>
      <c r="S297" s="1054"/>
      <c r="T297" s="1054"/>
      <c r="U297" s="1054"/>
      <c r="V297" s="1054"/>
      <c r="W297" s="1054"/>
      <c r="X297" s="1054"/>
      <c r="Y297" s="1054"/>
      <c r="Z297" s="1054"/>
      <c r="AA297" s="1054"/>
      <c r="AB297" s="1054"/>
    </row>
    <row r="298">
      <c r="A298" s="1054"/>
      <c r="B298" s="1061"/>
      <c r="C298" s="1061"/>
      <c r="D298" s="1061"/>
      <c r="E298" s="1061"/>
      <c r="F298" s="1061"/>
      <c r="G298" s="1061"/>
      <c r="H298" s="1063"/>
      <c r="I298" s="1054"/>
      <c r="J298" s="1054"/>
      <c r="K298" s="1054"/>
      <c r="L298" s="1054"/>
      <c r="M298" s="1054"/>
      <c r="N298" s="1054"/>
      <c r="O298" s="1054"/>
      <c r="P298" s="1054"/>
      <c r="Q298" s="1054"/>
      <c r="R298" s="1054"/>
      <c r="S298" s="1054"/>
      <c r="T298" s="1054"/>
      <c r="U298" s="1054"/>
      <c r="V298" s="1054"/>
      <c r="W298" s="1054"/>
      <c r="X298" s="1054"/>
      <c r="Y298" s="1054"/>
      <c r="Z298" s="1054"/>
      <c r="AA298" s="1054"/>
      <c r="AB298" s="1054"/>
    </row>
    <row r="299">
      <c r="A299" s="1054"/>
      <c r="B299" s="1061"/>
      <c r="C299" s="1061"/>
      <c r="D299" s="1061"/>
      <c r="E299" s="1061"/>
      <c r="F299" s="1061"/>
      <c r="G299" s="1061"/>
      <c r="H299" s="1063"/>
      <c r="I299" s="1054"/>
      <c r="J299" s="1054"/>
      <c r="K299" s="1054"/>
      <c r="L299" s="1054"/>
      <c r="M299" s="1054"/>
      <c r="N299" s="1054"/>
      <c r="O299" s="1054"/>
      <c r="P299" s="1054"/>
      <c r="Q299" s="1054"/>
      <c r="R299" s="1054"/>
      <c r="S299" s="1054"/>
      <c r="T299" s="1054"/>
      <c r="U299" s="1054"/>
      <c r="V299" s="1054"/>
      <c r="W299" s="1054"/>
      <c r="X299" s="1054"/>
      <c r="Y299" s="1054"/>
      <c r="Z299" s="1054"/>
      <c r="AA299" s="1054"/>
      <c r="AB299" s="1054"/>
    </row>
    <row r="300">
      <c r="A300" s="1054"/>
      <c r="B300" s="1061"/>
      <c r="C300" s="1061"/>
      <c r="D300" s="1061"/>
      <c r="E300" s="1061"/>
      <c r="F300" s="1061"/>
      <c r="G300" s="1061"/>
      <c r="H300" s="1063"/>
      <c r="I300" s="1054"/>
      <c r="J300" s="1054"/>
      <c r="K300" s="1054"/>
      <c r="L300" s="1054"/>
      <c r="M300" s="1054"/>
      <c r="N300" s="1054"/>
      <c r="O300" s="1054"/>
      <c r="P300" s="1054"/>
      <c r="Q300" s="1054"/>
      <c r="R300" s="1054"/>
      <c r="S300" s="1054"/>
      <c r="T300" s="1054"/>
      <c r="U300" s="1054"/>
      <c r="V300" s="1054"/>
      <c r="W300" s="1054"/>
      <c r="X300" s="1054"/>
      <c r="Y300" s="1054"/>
      <c r="Z300" s="1054"/>
      <c r="AA300" s="1054"/>
      <c r="AB300" s="1054"/>
    </row>
    <row r="301">
      <c r="A301" s="1054"/>
      <c r="B301" s="1061"/>
      <c r="C301" s="1061"/>
      <c r="D301" s="1061"/>
      <c r="E301" s="1061"/>
      <c r="F301" s="1061"/>
      <c r="G301" s="1061"/>
      <c r="H301" s="1063"/>
      <c r="I301" s="1054"/>
      <c r="J301" s="1054"/>
      <c r="K301" s="1054"/>
      <c r="L301" s="1054"/>
      <c r="M301" s="1054"/>
      <c r="N301" s="1054"/>
      <c r="O301" s="1054"/>
      <c r="P301" s="1054"/>
      <c r="Q301" s="1054"/>
      <c r="R301" s="1054"/>
      <c r="S301" s="1054"/>
      <c r="T301" s="1054"/>
      <c r="U301" s="1054"/>
      <c r="V301" s="1054"/>
      <c r="W301" s="1054"/>
      <c r="X301" s="1054"/>
      <c r="Y301" s="1054"/>
      <c r="Z301" s="1054"/>
      <c r="AA301" s="1054"/>
      <c r="AB301" s="1054"/>
    </row>
    <row r="302">
      <c r="A302" s="1054"/>
      <c r="B302" s="1061"/>
      <c r="C302" s="1061"/>
      <c r="D302" s="1061"/>
      <c r="E302" s="1061"/>
      <c r="F302" s="1061"/>
      <c r="G302" s="1061"/>
      <c r="H302" s="1063"/>
      <c r="I302" s="1054"/>
      <c r="J302" s="1054"/>
      <c r="K302" s="1054"/>
      <c r="L302" s="1054"/>
      <c r="M302" s="1054"/>
      <c r="N302" s="1054"/>
      <c r="O302" s="1054"/>
      <c r="P302" s="1054"/>
      <c r="Q302" s="1054"/>
      <c r="R302" s="1054"/>
      <c r="S302" s="1054"/>
      <c r="T302" s="1054"/>
      <c r="U302" s="1054"/>
      <c r="V302" s="1054"/>
      <c r="W302" s="1054"/>
      <c r="X302" s="1054"/>
      <c r="Y302" s="1054"/>
      <c r="Z302" s="1054"/>
      <c r="AA302" s="1054"/>
      <c r="AB302" s="1054"/>
    </row>
    <row r="303">
      <c r="A303" s="1054"/>
      <c r="B303" s="1061"/>
      <c r="C303" s="1061"/>
      <c r="D303" s="1061"/>
      <c r="E303" s="1061"/>
      <c r="F303" s="1061"/>
      <c r="G303" s="1061"/>
      <c r="H303" s="1063"/>
      <c r="I303" s="1054"/>
      <c r="J303" s="1054"/>
      <c r="K303" s="1054"/>
      <c r="L303" s="1054"/>
      <c r="M303" s="1054"/>
      <c r="N303" s="1054"/>
      <c r="O303" s="1054"/>
      <c r="P303" s="1054"/>
      <c r="Q303" s="1054"/>
      <c r="R303" s="1054"/>
      <c r="S303" s="1054"/>
      <c r="T303" s="1054"/>
      <c r="U303" s="1054"/>
      <c r="V303" s="1054"/>
      <c r="W303" s="1054"/>
      <c r="X303" s="1054"/>
      <c r="Y303" s="1054"/>
      <c r="Z303" s="1054"/>
      <c r="AA303" s="1054"/>
      <c r="AB303" s="1054"/>
    </row>
    <row r="304">
      <c r="A304" s="1054"/>
      <c r="B304" s="1061"/>
      <c r="C304" s="1061"/>
      <c r="D304" s="1061"/>
      <c r="E304" s="1061"/>
      <c r="F304" s="1061"/>
      <c r="G304" s="1061"/>
      <c r="H304" s="1063"/>
      <c r="I304" s="1054"/>
      <c r="J304" s="1054"/>
      <c r="K304" s="1054"/>
      <c r="L304" s="1054"/>
      <c r="M304" s="1054"/>
      <c r="N304" s="1054"/>
      <c r="O304" s="1054"/>
      <c r="P304" s="1054"/>
      <c r="Q304" s="1054"/>
      <c r="R304" s="1054"/>
      <c r="S304" s="1054"/>
      <c r="T304" s="1054"/>
      <c r="U304" s="1054"/>
      <c r="V304" s="1054"/>
      <c r="W304" s="1054"/>
      <c r="X304" s="1054"/>
      <c r="Y304" s="1054"/>
      <c r="Z304" s="1054"/>
      <c r="AA304" s="1054"/>
      <c r="AB304" s="1054"/>
    </row>
    <row r="305">
      <c r="A305" s="1054"/>
      <c r="B305" s="1061"/>
      <c r="C305" s="1061"/>
      <c r="D305" s="1061"/>
      <c r="E305" s="1061"/>
      <c r="F305" s="1061"/>
      <c r="G305" s="1061"/>
      <c r="H305" s="1063"/>
      <c r="I305" s="1054"/>
      <c r="J305" s="1054"/>
      <c r="K305" s="1054"/>
      <c r="L305" s="1054"/>
      <c r="M305" s="1054"/>
      <c r="N305" s="1054"/>
      <c r="O305" s="1054"/>
      <c r="P305" s="1054"/>
      <c r="Q305" s="1054"/>
      <c r="R305" s="1054"/>
      <c r="S305" s="1054"/>
      <c r="T305" s="1054"/>
      <c r="U305" s="1054"/>
      <c r="V305" s="1054"/>
      <c r="W305" s="1054"/>
      <c r="X305" s="1054"/>
      <c r="Y305" s="1054"/>
      <c r="Z305" s="1054"/>
      <c r="AA305" s="1054"/>
      <c r="AB305" s="1054"/>
    </row>
    <row r="306">
      <c r="A306" s="1054"/>
      <c r="B306" s="1061"/>
      <c r="C306" s="1061"/>
      <c r="D306" s="1061"/>
      <c r="E306" s="1061"/>
      <c r="F306" s="1061"/>
      <c r="G306" s="1061"/>
      <c r="H306" s="1063"/>
      <c r="I306" s="1054"/>
      <c r="J306" s="1054"/>
      <c r="K306" s="1054"/>
      <c r="L306" s="1054"/>
      <c r="M306" s="1054"/>
      <c r="N306" s="1054"/>
      <c r="O306" s="1054"/>
      <c r="P306" s="1054"/>
      <c r="Q306" s="1054"/>
      <c r="R306" s="1054"/>
      <c r="S306" s="1054"/>
      <c r="T306" s="1054"/>
      <c r="U306" s="1054"/>
      <c r="V306" s="1054"/>
      <c r="W306" s="1054"/>
      <c r="X306" s="1054"/>
      <c r="Y306" s="1054"/>
      <c r="Z306" s="1054"/>
      <c r="AA306" s="1054"/>
      <c r="AB306" s="1054"/>
    </row>
    <row r="307">
      <c r="A307" s="1054"/>
      <c r="B307" s="1061"/>
      <c r="C307" s="1061"/>
      <c r="D307" s="1061"/>
      <c r="E307" s="1061"/>
      <c r="F307" s="1061"/>
      <c r="G307" s="1061"/>
      <c r="H307" s="1063"/>
      <c r="I307" s="1054"/>
      <c r="J307" s="1054"/>
      <c r="K307" s="1054"/>
      <c r="L307" s="1054"/>
      <c r="M307" s="1054"/>
      <c r="N307" s="1054"/>
      <c r="O307" s="1054"/>
      <c r="P307" s="1054"/>
      <c r="Q307" s="1054"/>
      <c r="R307" s="1054"/>
      <c r="S307" s="1054"/>
      <c r="T307" s="1054"/>
      <c r="U307" s="1054"/>
      <c r="V307" s="1054"/>
      <c r="W307" s="1054"/>
      <c r="X307" s="1054"/>
      <c r="Y307" s="1054"/>
      <c r="Z307" s="1054"/>
      <c r="AA307" s="1054"/>
      <c r="AB307" s="1054"/>
    </row>
    <row r="308">
      <c r="A308" s="1054"/>
      <c r="B308" s="1061"/>
      <c r="C308" s="1061"/>
      <c r="D308" s="1061"/>
      <c r="E308" s="1061"/>
      <c r="F308" s="1061"/>
      <c r="G308" s="1061"/>
      <c r="H308" s="1063"/>
      <c r="I308" s="1054"/>
      <c r="J308" s="1054"/>
      <c r="K308" s="1054"/>
      <c r="L308" s="1054"/>
      <c r="M308" s="1054"/>
      <c r="N308" s="1054"/>
      <c r="O308" s="1054"/>
      <c r="P308" s="1054"/>
      <c r="Q308" s="1054"/>
      <c r="R308" s="1054"/>
      <c r="S308" s="1054"/>
      <c r="T308" s="1054"/>
      <c r="U308" s="1054"/>
      <c r="V308" s="1054"/>
      <c r="W308" s="1054"/>
      <c r="X308" s="1054"/>
      <c r="Y308" s="1054"/>
      <c r="Z308" s="1054"/>
      <c r="AA308" s="1054"/>
      <c r="AB308" s="1054"/>
    </row>
    <row r="309">
      <c r="A309" s="1054"/>
      <c r="B309" s="1061"/>
      <c r="C309" s="1061"/>
      <c r="D309" s="1061"/>
      <c r="E309" s="1061"/>
      <c r="F309" s="1061"/>
      <c r="G309" s="1061"/>
      <c r="H309" s="1063"/>
      <c r="I309" s="1054"/>
      <c r="J309" s="1054"/>
      <c r="K309" s="1054"/>
      <c r="L309" s="1054"/>
      <c r="M309" s="1054"/>
      <c r="N309" s="1054"/>
      <c r="O309" s="1054"/>
      <c r="P309" s="1054"/>
      <c r="Q309" s="1054"/>
      <c r="R309" s="1054"/>
      <c r="S309" s="1054"/>
      <c r="T309" s="1054"/>
      <c r="U309" s="1054"/>
      <c r="V309" s="1054"/>
      <c r="W309" s="1054"/>
      <c r="X309" s="1054"/>
      <c r="Y309" s="1054"/>
      <c r="Z309" s="1054"/>
      <c r="AA309" s="1054"/>
      <c r="AB309" s="1054"/>
    </row>
    <row r="310">
      <c r="A310" s="1054"/>
      <c r="B310" s="1061"/>
      <c r="C310" s="1061"/>
      <c r="D310" s="1061"/>
      <c r="E310" s="1061"/>
      <c r="F310" s="1061"/>
      <c r="G310" s="1061"/>
      <c r="H310" s="1063"/>
      <c r="I310" s="1054"/>
      <c r="J310" s="1054"/>
      <c r="K310" s="1054"/>
      <c r="L310" s="1054"/>
      <c r="M310" s="1054"/>
      <c r="N310" s="1054"/>
      <c r="O310" s="1054"/>
      <c r="P310" s="1054"/>
      <c r="Q310" s="1054"/>
      <c r="R310" s="1054"/>
      <c r="S310" s="1054"/>
      <c r="T310" s="1054"/>
      <c r="U310" s="1054"/>
      <c r="V310" s="1054"/>
      <c r="W310" s="1054"/>
      <c r="X310" s="1054"/>
      <c r="Y310" s="1054"/>
      <c r="Z310" s="1054"/>
      <c r="AA310" s="1054"/>
      <c r="AB310" s="1054"/>
    </row>
    <row r="311">
      <c r="A311" s="1054"/>
      <c r="B311" s="1061"/>
      <c r="C311" s="1061"/>
      <c r="D311" s="1061"/>
      <c r="E311" s="1061"/>
      <c r="F311" s="1061"/>
      <c r="G311" s="1061"/>
      <c r="H311" s="1063"/>
      <c r="I311" s="1054"/>
      <c r="J311" s="1054"/>
      <c r="K311" s="1054"/>
      <c r="L311" s="1054"/>
      <c r="M311" s="1054"/>
      <c r="N311" s="1054"/>
      <c r="O311" s="1054"/>
      <c r="P311" s="1054"/>
      <c r="Q311" s="1054"/>
      <c r="R311" s="1054"/>
      <c r="S311" s="1054"/>
      <c r="T311" s="1054"/>
      <c r="U311" s="1054"/>
      <c r="V311" s="1054"/>
      <c r="W311" s="1054"/>
      <c r="X311" s="1054"/>
      <c r="Y311" s="1054"/>
      <c r="Z311" s="1054"/>
      <c r="AA311" s="1054"/>
      <c r="AB311" s="1054"/>
    </row>
    <row r="312">
      <c r="A312" s="1054"/>
      <c r="B312" s="1061"/>
      <c r="C312" s="1061"/>
      <c r="D312" s="1061"/>
      <c r="E312" s="1061"/>
      <c r="F312" s="1061"/>
      <c r="G312" s="1061"/>
      <c r="H312" s="1063"/>
      <c r="I312" s="1054"/>
      <c r="J312" s="1054"/>
      <c r="K312" s="1054"/>
      <c r="L312" s="1054"/>
      <c r="M312" s="1054"/>
      <c r="N312" s="1054"/>
      <c r="O312" s="1054"/>
      <c r="P312" s="1054"/>
      <c r="Q312" s="1054"/>
      <c r="R312" s="1054"/>
      <c r="S312" s="1054"/>
      <c r="T312" s="1054"/>
      <c r="U312" s="1054"/>
      <c r="V312" s="1054"/>
      <c r="W312" s="1054"/>
      <c r="X312" s="1054"/>
      <c r="Y312" s="1054"/>
      <c r="Z312" s="1054"/>
      <c r="AA312" s="1054"/>
      <c r="AB312" s="1054"/>
    </row>
    <row r="313">
      <c r="A313" s="1054"/>
      <c r="B313" s="1061"/>
      <c r="C313" s="1061"/>
      <c r="D313" s="1061"/>
      <c r="E313" s="1061"/>
      <c r="F313" s="1061"/>
      <c r="G313" s="1061"/>
      <c r="H313" s="1063"/>
      <c r="I313" s="1054"/>
      <c r="J313" s="1054"/>
      <c r="K313" s="1054"/>
      <c r="L313" s="1054"/>
      <c r="M313" s="1054"/>
      <c r="N313" s="1054"/>
      <c r="O313" s="1054"/>
      <c r="P313" s="1054"/>
      <c r="Q313" s="1054"/>
      <c r="R313" s="1054"/>
      <c r="S313" s="1054"/>
      <c r="T313" s="1054"/>
      <c r="U313" s="1054"/>
      <c r="V313" s="1054"/>
      <c r="W313" s="1054"/>
      <c r="X313" s="1054"/>
      <c r="Y313" s="1054"/>
      <c r="Z313" s="1054"/>
      <c r="AA313" s="1054"/>
      <c r="AB313" s="1054"/>
    </row>
    <row r="314">
      <c r="A314" s="1054"/>
      <c r="B314" s="1061"/>
      <c r="C314" s="1061"/>
      <c r="D314" s="1061"/>
      <c r="E314" s="1061"/>
      <c r="F314" s="1061"/>
      <c r="G314" s="1061"/>
      <c r="H314" s="1063"/>
      <c r="I314" s="1054"/>
      <c r="J314" s="1054"/>
      <c r="K314" s="1054"/>
      <c r="L314" s="1054"/>
      <c r="M314" s="1054"/>
      <c r="N314" s="1054"/>
      <c r="O314" s="1054"/>
      <c r="P314" s="1054"/>
      <c r="Q314" s="1054"/>
      <c r="R314" s="1054"/>
      <c r="S314" s="1054"/>
      <c r="T314" s="1054"/>
      <c r="U314" s="1054"/>
      <c r="V314" s="1054"/>
      <c r="W314" s="1054"/>
      <c r="X314" s="1054"/>
      <c r="Y314" s="1054"/>
      <c r="Z314" s="1054"/>
      <c r="AA314" s="1054"/>
      <c r="AB314" s="1054"/>
    </row>
    <row r="315">
      <c r="A315" s="1054"/>
      <c r="B315" s="1061"/>
      <c r="C315" s="1061"/>
      <c r="D315" s="1061"/>
      <c r="E315" s="1061"/>
      <c r="F315" s="1061"/>
      <c r="G315" s="1061"/>
      <c r="H315" s="1063"/>
      <c r="I315" s="1054"/>
      <c r="J315" s="1054"/>
      <c r="K315" s="1054"/>
      <c r="L315" s="1054"/>
      <c r="M315" s="1054"/>
      <c r="N315" s="1054"/>
      <c r="O315" s="1054"/>
      <c r="P315" s="1054"/>
      <c r="Q315" s="1054"/>
      <c r="R315" s="1054"/>
      <c r="S315" s="1054"/>
      <c r="T315" s="1054"/>
      <c r="U315" s="1054"/>
      <c r="V315" s="1054"/>
      <c r="W315" s="1054"/>
      <c r="X315" s="1054"/>
      <c r="Y315" s="1054"/>
      <c r="Z315" s="1054"/>
      <c r="AA315" s="1054"/>
      <c r="AB315" s="1054"/>
    </row>
    <row r="316">
      <c r="A316" s="1054"/>
      <c r="B316" s="1061"/>
      <c r="C316" s="1061"/>
      <c r="D316" s="1061"/>
      <c r="E316" s="1061"/>
      <c r="F316" s="1061"/>
      <c r="G316" s="1061"/>
      <c r="H316" s="1063"/>
      <c r="I316" s="1054"/>
      <c r="J316" s="1054"/>
      <c r="K316" s="1054"/>
      <c r="L316" s="1054"/>
      <c r="M316" s="1054"/>
      <c r="N316" s="1054"/>
      <c r="O316" s="1054"/>
      <c r="P316" s="1054"/>
      <c r="Q316" s="1054"/>
      <c r="R316" s="1054"/>
      <c r="S316" s="1054"/>
      <c r="T316" s="1054"/>
      <c r="U316" s="1054"/>
      <c r="V316" s="1054"/>
      <c r="W316" s="1054"/>
      <c r="X316" s="1054"/>
      <c r="Y316" s="1054"/>
      <c r="Z316" s="1054"/>
      <c r="AA316" s="1054"/>
      <c r="AB316" s="1054"/>
    </row>
    <row r="317">
      <c r="A317" s="1054"/>
      <c r="B317" s="1061"/>
      <c r="C317" s="1061"/>
      <c r="D317" s="1061"/>
      <c r="E317" s="1061"/>
      <c r="F317" s="1061"/>
      <c r="G317" s="1061"/>
      <c r="H317" s="1063"/>
      <c r="I317" s="1054"/>
      <c r="J317" s="1054"/>
      <c r="K317" s="1054"/>
      <c r="L317" s="1054"/>
      <c r="M317" s="1054"/>
      <c r="N317" s="1054"/>
      <c r="O317" s="1054"/>
      <c r="P317" s="1054"/>
      <c r="Q317" s="1054"/>
      <c r="R317" s="1054"/>
      <c r="S317" s="1054"/>
      <c r="T317" s="1054"/>
      <c r="U317" s="1054"/>
      <c r="V317" s="1054"/>
      <c r="W317" s="1054"/>
      <c r="X317" s="1054"/>
      <c r="Y317" s="1054"/>
      <c r="Z317" s="1054"/>
      <c r="AA317" s="1054"/>
      <c r="AB317" s="1054"/>
    </row>
    <row r="318">
      <c r="A318" s="1054"/>
      <c r="B318" s="1061"/>
      <c r="C318" s="1061"/>
      <c r="D318" s="1061"/>
      <c r="E318" s="1061"/>
      <c r="F318" s="1061"/>
      <c r="G318" s="1061"/>
      <c r="H318" s="1063"/>
      <c r="I318" s="1054"/>
      <c r="J318" s="1054"/>
      <c r="K318" s="1054"/>
      <c r="L318" s="1054"/>
      <c r="M318" s="1054"/>
      <c r="N318" s="1054"/>
      <c r="O318" s="1054"/>
      <c r="P318" s="1054"/>
      <c r="Q318" s="1054"/>
      <c r="R318" s="1054"/>
      <c r="S318" s="1054"/>
      <c r="T318" s="1054"/>
      <c r="U318" s="1054"/>
      <c r="V318" s="1054"/>
      <c r="W318" s="1054"/>
      <c r="X318" s="1054"/>
      <c r="Y318" s="1054"/>
      <c r="Z318" s="1054"/>
      <c r="AA318" s="1054"/>
      <c r="AB318" s="1054"/>
    </row>
    <row r="319">
      <c r="A319" s="1054"/>
      <c r="B319" s="1061"/>
      <c r="C319" s="1061"/>
      <c r="D319" s="1061"/>
      <c r="E319" s="1061"/>
      <c r="F319" s="1061"/>
      <c r="G319" s="1061"/>
      <c r="H319" s="1063"/>
      <c r="I319" s="1054"/>
      <c r="J319" s="1054"/>
      <c r="K319" s="1054"/>
      <c r="L319" s="1054"/>
      <c r="M319" s="1054"/>
      <c r="N319" s="1054"/>
      <c r="O319" s="1054"/>
      <c r="P319" s="1054"/>
      <c r="Q319" s="1054"/>
      <c r="R319" s="1054"/>
      <c r="S319" s="1054"/>
      <c r="T319" s="1054"/>
      <c r="U319" s="1054"/>
      <c r="V319" s="1054"/>
      <c r="W319" s="1054"/>
      <c r="X319" s="1054"/>
      <c r="Y319" s="1054"/>
      <c r="Z319" s="1054"/>
      <c r="AA319" s="1054"/>
      <c r="AB319" s="1054"/>
    </row>
    <row r="320">
      <c r="A320" s="1054"/>
      <c r="B320" s="1061"/>
      <c r="C320" s="1061"/>
      <c r="D320" s="1061"/>
      <c r="E320" s="1061"/>
      <c r="F320" s="1061"/>
      <c r="G320" s="1061"/>
      <c r="H320" s="1063"/>
      <c r="I320" s="1054"/>
      <c r="J320" s="1054"/>
      <c r="K320" s="1054"/>
      <c r="L320" s="1054"/>
      <c r="M320" s="1054"/>
      <c r="N320" s="1054"/>
      <c r="O320" s="1054"/>
      <c r="P320" s="1054"/>
      <c r="Q320" s="1054"/>
      <c r="R320" s="1054"/>
      <c r="S320" s="1054"/>
      <c r="T320" s="1054"/>
      <c r="U320" s="1054"/>
      <c r="V320" s="1054"/>
      <c r="W320" s="1054"/>
      <c r="X320" s="1054"/>
      <c r="Y320" s="1054"/>
      <c r="Z320" s="1054"/>
      <c r="AA320" s="1054"/>
      <c r="AB320" s="1054"/>
    </row>
    <row r="321">
      <c r="A321" s="1054"/>
      <c r="B321" s="1061"/>
      <c r="C321" s="1061"/>
      <c r="D321" s="1061"/>
      <c r="E321" s="1061"/>
      <c r="F321" s="1061"/>
      <c r="G321" s="1061"/>
      <c r="H321" s="1063"/>
      <c r="I321" s="1054"/>
      <c r="J321" s="1054"/>
      <c r="K321" s="1054"/>
      <c r="L321" s="1054"/>
      <c r="M321" s="1054"/>
      <c r="N321" s="1054"/>
      <c r="O321" s="1054"/>
      <c r="P321" s="1054"/>
      <c r="Q321" s="1054"/>
      <c r="R321" s="1054"/>
      <c r="S321" s="1054"/>
      <c r="T321" s="1054"/>
      <c r="U321" s="1054"/>
      <c r="V321" s="1054"/>
      <c r="W321" s="1054"/>
      <c r="X321" s="1054"/>
      <c r="Y321" s="1054"/>
      <c r="Z321" s="1054"/>
      <c r="AA321" s="1054"/>
      <c r="AB321" s="1054"/>
    </row>
    <row r="322">
      <c r="A322" s="1054"/>
      <c r="B322" s="1061"/>
      <c r="C322" s="1061"/>
      <c r="D322" s="1061"/>
      <c r="E322" s="1061"/>
      <c r="F322" s="1061"/>
      <c r="G322" s="1061"/>
      <c r="H322" s="1063"/>
      <c r="I322" s="1054"/>
      <c r="J322" s="1054"/>
      <c r="K322" s="1054"/>
      <c r="L322" s="1054"/>
      <c r="M322" s="1054"/>
      <c r="N322" s="1054"/>
      <c r="O322" s="1054"/>
      <c r="P322" s="1054"/>
      <c r="Q322" s="1054"/>
      <c r="R322" s="1054"/>
      <c r="S322" s="1054"/>
      <c r="T322" s="1054"/>
      <c r="U322" s="1054"/>
      <c r="V322" s="1054"/>
      <c r="W322" s="1054"/>
      <c r="X322" s="1054"/>
      <c r="Y322" s="1054"/>
      <c r="Z322" s="1054"/>
      <c r="AA322" s="1054"/>
      <c r="AB322" s="1054"/>
    </row>
    <row r="323">
      <c r="A323" s="1054"/>
      <c r="B323" s="1061"/>
      <c r="C323" s="1061"/>
      <c r="D323" s="1061"/>
      <c r="E323" s="1061"/>
      <c r="F323" s="1061"/>
      <c r="G323" s="1061"/>
      <c r="H323" s="1063"/>
      <c r="I323" s="1054"/>
      <c r="J323" s="1054"/>
      <c r="K323" s="1054"/>
      <c r="L323" s="1054"/>
      <c r="M323" s="1054"/>
      <c r="N323" s="1054"/>
      <c r="O323" s="1054"/>
      <c r="P323" s="1054"/>
      <c r="Q323" s="1054"/>
      <c r="R323" s="1054"/>
      <c r="S323" s="1054"/>
      <c r="T323" s="1054"/>
      <c r="U323" s="1054"/>
      <c r="V323" s="1054"/>
      <c r="W323" s="1054"/>
      <c r="X323" s="1054"/>
      <c r="Y323" s="1054"/>
      <c r="Z323" s="1054"/>
      <c r="AA323" s="1054"/>
      <c r="AB323" s="1054"/>
    </row>
    <row r="324">
      <c r="A324" s="1054"/>
      <c r="B324" s="1061"/>
      <c r="C324" s="1061"/>
      <c r="D324" s="1061"/>
      <c r="E324" s="1061"/>
      <c r="F324" s="1061"/>
      <c r="G324" s="1061"/>
      <c r="H324" s="1063"/>
      <c r="I324" s="1054"/>
      <c r="J324" s="1054"/>
      <c r="K324" s="1054"/>
      <c r="L324" s="1054"/>
      <c r="M324" s="1054"/>
      <c r="N324" s="1054"/>
      <c r="O324" s="1054"/>
      <c r="P324" s="1054"/>
      <c r="Q324" s="1054"/>
      <c r="R324" s="1054"/>
      <c r="S324" s="1054"/>
      <c r="T324" s="1054"/>
      <c r="U324" s="1054"/>
      <c r="V324" s="1054"/>
      <c r="W324" s="1054"/>
      <c r="X324" s="1054"/>
      <c r="Y324" s="1054"/>
      <c r="Z324" s="1054"/>
      <c r="AA324" s="1054"/>
      <c r="AB324" s="1054"/>
    </row>
    <row r="325">
      <c r="A325" s="1054"/>
      <c r="B325" s="1061"/>
      <c r="C325" s="1061"/>
      <c r="D325" s="1061"/>
      <c r="E325" s="1061"/>
      <c r="F325" s="1061"/>
      <c r="G325" s="1061"/>
      <c r="H325" s="1063"/>
      <c r="I325" s="1054"/>
      <c r="J325" s="1054"/>
      <c r="K325" s="1054"/>
      <c r="L325" s="1054"/>
      <c r="M325" s="1054"/>
      <c r="N325" s="1054"/>
      <c r="O325" s="1054"/>
      <c r="P325" s="1054"/>
      <c r="Q325" s="1054"/>
      <c r="R325" s="1054"/>
      <c r="S325" s="1054"/>
      <c r="T325" s="1054"/>
      <c r="U325" s="1054"/>
      <c r="V325" s="1054"/>
      <c r="W325" s="1054"/>
      <c r="X325" s="1054"/>
      <c r="Y325" s="1054"/>
      <c r="Z325" s="1054"/>
      <c r="AA325" s="1054"/>
      <c r="AB325" s="1054"/>
    </row>
    <row r="326">
      <c r="A326" s="1054"/>
      <c r="B326" s="1061"/>
      <c r="C326" s="1061"/>
      <c r="D326" s="1061"/>
      <c r="E326" s="1061"/>
      <c r="F326" s="1061"/>
      <c r="G326" s="1061"/>
      <c r="H326" s="1063"/>
      <c r="I326" s="1054"/>
      <c r="J326" s="1054"/>
      <c r="K326" s="1054"/>
      <c r="L326" s="1054"/>
      <c r="M326" s="1054"/>
      <c r="N326" s="1054"/>
      <c r="O326" s="1054"/>
      <c r="P326" s="1054"/>
      <c r="Q326" s="1054"/>
      <c r="R326" s="1054"/>
      <c r="S326" s="1054"/>
      <c r="T326" s="1054"/>
      <c r="U326" s="1054"/>
      <c r="V326" s="1054"/>
      <c r="W326" s="1054"/>
      <c r="X326" s="1054"/>
      <c r="Y326" s="1054"/>
      <c r="Z326" s="1054"/>
      <c r="AA326" s="1054"/>
      <c r="AB326" s="1054"/>
    </row>
    <row r="327">
      <c r="A327" s="1054"/>
      <c r="B327" s="1061"/>
      <c r="C327" s="1061"/>
      <c r="D327" s="1061"/>
      <c r="E327" s="1061"/>
      <c r="F327" s="1061"/>
      <c r="G327" s="1061"/>
      <c r="H327" s="1063"/>
      <c r="I327" s="1054"/>
      <c r="J327" s="1054"/>
      <c r="K327" s="1054"/>
      <c r="L327" s="1054"/>
      <c r="M327" s="1054"/>
      <c r="N327" s="1054"/>
      <c r="O327" s="1054"/>
      <c r="P327" s="1054"/>
      <c r="Q327" s="1054"/>
      <c r="R327" s="1054"/>
      <c r="S327" s="1054"/>
      <c r="T327" s="1054"/>
      <c r="U327" s="1054"/>
      <c r="V327" s="1054"/>
      <c r="W327" s="1054"/>
      <c r="X327" s="1054"/>
      <c r="Y327" s="1054"/>
      <c r="Z327" s="1054"/>
      <c r="AA327" s="1054"/>
      <c r="AB327" s="1054"/>
    </row>
    <row r="328">
      <c r="A328" s="1054"/>
      <c r="B328" s="1061"/>
      <c r="C328" s="1061"/>
      <c r="D328" s="1061"/>
      <c r="E328" s="1061"/>
      <c r="F328" s="1061"/>
      <c r="G328" s="1061"/>
      <c r="H328" s="1063"/>
      <c r="I328" s="1054"/>
      <c r="J328" s="1054"/>
      <c r="K328" s="1054"/>
      <c r="L328" s="1054"/>
      <c r="M328" s="1054"/>
      <c r="N328" s="1054"/>
      <c r="O328" s="1054"/>
      <c r="P328" s="1054"/>
      <c r="Q328" s="1054"/>
      <c r="R328" s="1054"/>
      <c r="S328" s="1054"/>
      <c r="T328" s="1054"/>
      <c r="U328" s="1054"/>
      <c r="V328" s="1054"/>
      <c r="W328" s="1054"/>
      <c r="X328" s="1054"/>
      <c r="Y328" s="1054"/>
      <c r="Z328" s="1054"/>
      <c r="AA328" s="1054"/>
      <c r="AB328" s="1054"/>
    </row>
    <row r="329">
      <c r="A329" s="1054"/>
      <c r="B329" s="1061"/>
      <c r="C329" s="1061"/>
      <c r="D329" s="1061"/>
      <c r="E329" s="1061"/>
      <c r="F329" s="1061"/>
      <c r="G329" s="1061"/>
      <c r="H329" s="1063"/>
      <c r="I329" s="1054"/>
      <c r="J329" s="1054"/>
      <c r="K329" s="1054"/>
      <c r="L329" s="1054"/>
      <c r="M329" s="1054"/>
      <c r="N329" s="1054"/>
      <c r="O329" s="1054"/>
      <c r="P329" s="1054"/>
      <c r="Q329" s="1054"/>
      <c r="R329" s="1054"/>
      <c r="S329" s="1054"/>
      <c r="T329" s="1054"/>
      <c r="U329" s="1054"/>
      <c r="V329" s="1054"/>
      <c r="W329" s="1054"/>
      <c r="X329" s="1054"/>
      <c r="Y329" s="1054"/>
      <c r="Z329" s="1054"/>
      <c r="AA329" s="1054"/>
      <c r="AB329" s="1054"/>
    </row>
    <row r="330">
      <c r="A330" s="1054"/>
      <c r="B330" s="1061"/>
      <c r="C330" s="1061"/>
      <c r="D330" s="1061"/>
      <c r="E330" s="1061"/>
      <c r="F330" s="1061"/>
      <c r="G330" s="1061"/>
      <c r="H330" s="1063"/>
      <c r="I330" s="1054"/>
      <c r="J330" s="1054"/>
      <c r="K330" s="1054"/>
      <c r="L330" s="1054"/>
      <c r="M330" s="1054"/>
      <c r="N330" s="1054"/>
      <c r="O330" s="1054"/>
      <c r="P330" s="1054"/>
      <c r="Q330" s="1054"/>
      <c r="R330" s="1054"/>
      <c r="S330" s="1054"/>
      <c r="T330" s="1054"/>
      <c r="U330" s="1054"/>
      <c r="V330" s="1054"/>
      <c r="W330" s="1054"/>
      <c r="X330" s="1054"/>
      <c r="Y330" s="1054"/>
      <c r="Z330" s="1054"/>
      <c r="AA330" s="1054"/>
      <c r="AB330" s="1054"/>
    </row>
    <row r="331">
      <c r="A331" s="1054"/>
      <c r="B331" s="1061"/>
      <c r="C331" s="1061"/>
      <c r="D331" s="1061"/>
      <c r="E331" s="1061"/>
      <c r="F331" s="1061"/>
      <c r="G331" s="1061"/>
      <c r="H331" s="1063"/>
      <c r="I331" s="1054"/>
      <c r="J331" s="1054"/>
      <c r="K331" s="1054"/>
      <c r="L331" s="1054"/>
      <c r="M331" s="1054"/>
      <c r="N331" s="1054"/>
      <c r="O331" s="1054"/>
      <c r="P331" s="1054"/>
      <c r="Q331" s="1054"/>
      <c r="R331" s="1054"/>
      <c r="S331" s="1054"/>
      <c r="T331" s="1054"/>
      <c r="U331" s="1054"/>
      <c r="V331" s="1054"/>
      <c r="W331" s="1054"/>
      <c r="X331" s="1054"/>
      <c r="Y331" s="1054"/>
      <c r="Z331" s="1054"/>
      <c r="AA331" s="1054"/>
      <c r="AB331" s="1054"/>
    </row>
    <row r="332">
      <c r="A332" s="1054"/>
      <c r="B332" s="1061"/>
      <c r="C332" s="1061"/>
      <c r="D332" s="1061"/>
      <c r="E332" s="1061"/>
      <c r="F332" s="1061"/>
      <c r="G332" s="1061"/>
      <c r="H332" s="1063"/>
      <c r="I332" s="1054"/>
      <c r="J332" s="1054"/>
      <c r="K332" s="1054"/>
      <c r="L332" s="1054"/>
      <c r="M332" s="1054"/>
      <c r="N332" s="1054"/>
      <c r="O332" s="1054"/>
      <c r="P332" s="1054"/>
      <c r="Q332" s="1054"/>
      <c r="R332" s="1054"/>
      <c r="S332" s="1054"/>
      <c r="T332" s="1054"/>
      <c r="U332" s="1054"/>
      <c r="V332" s="1054"/>
      <c r="W332" s="1054"/>
      <c r="X332" s="1054"/>
      <c r="Y332" s="1054"/>
      <c r="Z332" s="1054"/>
      <c r="AA332" s="1054"/>
      <c r="AB332" s="1054"/>
    </row>
    <row r="333">
      <c r="A333" s="1054"/>
      <c r="B333" s="1061"/>
      <c r="C333" s="1061"/>
      <c r="D333" s="1061"/>
      <c r="E333" s="1061"/>
      <c r="F333" s="1061"/>
      <c r="G333" s="1061"/>
      <c r="H333" s="1063"/>
      <c r="I333" s="1054"/>
      <c r="J333" s="1054"/>
      <c r="K333" s="1054"/>
      <c r="L333" s="1054"/>
      <c r="M333" s="1054"/>
      <c r="N333" s="1054"/>
      <c r="O333" s="1054"/>
      <c r="P333" s="1054"/>
      <c r="Q333" s="1054"/>
      <c r="R333" s="1054"/>
      <c r="S333" s="1054"/>
      <c r="T333" s="1054"/>
      <c r="U333" s="1054"/>
      <c r="V333" s="1054"/>
      <c r="W333" s="1054"/>
      <c r="X333" s="1054"/>
      <c r="Y333" s="1054"/>
      <c r="Z333" s="1054"/>
      <c r="AA333" s="1054"/>
      <c r="AB333" s="1054"/>
    </row>
    <row r="334">
      <c r="A334" s="1054"/>
      <c r="B334" s="1061"/>
      <c r="C334" s="1061"/>
      <c r="D334" s="1061"/>
      <c r="E334" s="1061"/>
      <c r="F334" s="1061"/>
      <c r="G334" s="1061"/>
      <c r="H334" s="1063"/>
      <c r="I334" s="1054"/>
      <c r="J334" s="1054"/>
      <c r="K334" s="1054"/>
      <c r="L334" s="1054"/>
      <c r="M334" s="1054"/>
      <c r="N334" s="1054"/>
      <c r="O334" s="1054"/>
      <c r="P334" s="1054"/>
      <c r="Q334" s="1054"/>
      <c r="R334" s="1054"/>
      <c r="S334" s="1054"/>
      <c r="T334" s="1054"/>
      <c r="U334" s="1054"/>
      <c r="V334" s="1054"/>
      <c r="W334" s="1054"/>
      <c r="X334" s="1054"/>
      <c r="Y334" s="1054"/>
      <c r="Z334" s="1054"/>
      <c r="AA334" s="1054"/>
      <c r="AB334" s="1054"/>
    </row>
    <row r="335">
      <c r="A335" s="1054"/>
      <c r="B335" s="1061"/>
      <c r="C335" s="1061"/>
      <c r="D335" s="1061"/>
      <c r="E335" s="1061"/>
      <c r="F335" s="1061"/>
      <c r="G335" s="1061"/>
      <c r="H335" s="1063"/>
      <c r="I335" s="1054"/>
      <c r="J335" s="1054"/>
      <c r="K335" s="1054"/>
      <c r="L335" s="1054"/>
      <c r="M335" s="1054"/>
      <c r="N335" s="1054"/>
      <c r="O335" s="1054"/>
      <c r="P335" s="1054"/>
      <c r="Q335" s="1054"/>
      <c r="R335" s="1054"/>
      <c r="S335" s="1054"/>
      <c r="T335" s="1054"/>
      <c r="U335" s="1054"/>
      <c r="V335" s="1054"/>
      <c r="W335" s="1054"/>
      <c r="X335" s="1054"/>
      <c r="Y335" s="1054"/>
      <c r="Z335" s="1054"/>
      <c r="AA335" s="1054"/>
      <c r="AB335" s="1054"/>
    </row>
    <row r="336">
      <c r="A336" s="1054"/>
      <c r="B336" s="1061"/>
      <c r="C336" s="1061"/>
      <c r="D336" s="1061"/>
      <c r="E336" s="1061"/>
      <c r="F336" s="1061"/>
      <c r="G336" s="1061"/>
      <c r="H336" s="1063"/>
      <c r="I336" s="1054"/>
      <c r="J336" s="1054"/>
      <c r="K336" s="1054"/>
      <c r="L336" s="1054"/>
      <c r="M336" s="1054"/>
      <c r="N336" s="1054"/>
      <c r="O336" s="1054"/>
      <c r="P336" s="1054"/>
      <c r="Q336" s="1054"/>
      <c r="R336" s="1054"/>
      <c r="S336" s="1054"/>
      <c r="T336" s="1054"/>
      <c r="U336" s="1054"/>
      <c r="V336" s="1054"/>
      <c r="W336" s="1054"/>
      <c r="X336" s="1054"/>
      <c r="Y336" s="1054"/>
      <c r="Z336" s="1054"/>
      <c r="AA336" s="1054"/>
      <c r="AB336" s="1054"/>
    </row>
    <row r="337">
      <c r="A337" s="1054"/>
      <c r="B337" s="1061"/>
      <c r="C337" s="1061"/>
      <c r="D337" s="1061"/>
      <c r="E337" s="1061"/>
      <c r="F337" s="1061"/>
      <c r="G337" s="1061"/>
      <c r="H337" s="1063"/>
      <c r="I337" s="1054"/>
      <c r="J337" s="1054"/>
      <c r="K337" s="1054"/>
      <c r="L337" s="1054"/>
      <c r="M337" s="1054"/>
      <c r="N337" s="1054"/>
      <c r="O337" s="1054"/>
      <c r="P337" s="1054"/>
      <c r="Q337" s="1054"/>
      <c r="R337" s="1054"/>
      <c r="S337" s="1054"/>
      <c r="T337" s="1054"/>
      <c r="U337" s="1054"/>
      <c r="V337" s="1054"/>
      <c r="W337" s="1054"/>
      <c r="X337" s="1054"/>
      <c r="Y337" s="1054"/>
      <c r="Z337" s="1054"/>
      <c r="AA337" s="1054"/>
      <c r="AB337" s="1054"/>
    </row>
    <row r="338">
      <c r="A338" s="1054"/>
      <c r="B338" s="1061"/>
      <c r="C338" s="1061"/>
      <c r="D338" s="1061"/>
      <c r="E338" s="1061"/>
      <c r="F338" s="1061"/>
      <c r="G338" s="1061"/>
      <c r="H338" s="1063"/>
      <c r="I338" s="1054"/>
      <c r="J338" s="1054"/>
      <c r="K338" s="1054"/>
      <c r="L338" s="1054"/>
      <c r="M338" s="1054"/>
      <c r="N338" s="1054"/>
      <c r="O338" s="1054"/>
      <c r="P338" s="1054"/>
      <c r="Q338" s="1054"/>
      <c r="R338" s="1054"/>
      <c r="S338" s="1054"/>
      <c r="T338" s="1054"/>
      <c r="U338" s="1054"/>
      <c r="V338" s="1054"/>
      <c r="W338" s="1054"/>
      <c r="X338" s="1054"/>
      <c r="Y338" s="1054"/>
      <c r="Z338" s="1054"/>
      <c r="AA338" s="1054"/>
      <c r="AB338" s="1054"/>
    </row>
    <row r="339">
      <c r="A339" s="1054"/>
      <c r="B339" s="1061"/>
      <c r="C339" s="1061"/>
      <c r="D339" s="1061"/>
      <c r="E339" s="1061"/>
      <c r="F339" s="1061"/>
      <c r="G339" s="1061"/>
      <c r="H339" s="1063"/>
      <c r="I339" s="1054"/>
      <c r="J339" s="1054"/>
      <c r="K339" s="1054"/>
      <c r="L339" s="1054"/>
      <c r="M339" s="1054"/>
      <c r="N339" s="1054"/>
      <c r="O339" s="1054"/>
      <c r="P339" s="1054"/>
      <c r="Q339" s="1054"/>
      <c r="R339" s="1054"/>
      <c r="S339" s="1054"/>
      <c r="T339" s="1054"/>
      <c r="U339" s="1054"/>
      <c r="V339" s="1054"/>
      <c r="W339" s="1054"/>
      <c r="X339" s="1054"/>
      <c r="Y339" s="1054"/>
      <c r="Z339" s="1054"/>
      <c r="AA339" s="1054"/>
      <c r="AB339" s="1054"/>
    </row>
    <row r="340">
      <c r="A340" s="1054"/>
      <c r="B340" s="1061"/>
      <c r="C340" s="1061"/>
      <c r="D340" s="1061"/>
      <c r="E340" s="1061"/>
      <c r="F340" s="1061"/>
      <c r="G340" s="1061"/>
      <c r="H340" s="1063"/>
      <c r="I340" s="1054"/>
      <c r="J340" s="1054"/>
      <c r="K340" s="1054"/>
      <c r="L340" s="1054"/>
      <c r="M340" s="1054"/>
      <c r="N340" s="1054"/>
      <c r="O340" s="1054"/>
      <c r="P340" s="1054"/>
      <c r="Q340" s="1054"/>
      <c r="R340" s="1054"/>
      <c r="S340" s="1054"/>
      <c r="T340" s="1054"/>
      <c r="U340" s="1054"/>
      <c r="V340" s="1054"/>
      <c r="W340" s="1054"/>
      <c r="X340" s="1054"/>
      <c r="Y340" s="1054"/>
      <c r="Z340" s="1054"/>
      <c r="AA340" s="1054"/>
      <c r="AB340" s="1054"/>
    </row>
    <row r="341">
      <c r="A341" s="1054"/>
      <c r="B341" s="1061"/>
      <c r="C341" s="1061"/>
      <c r="D341" s="1061"/>
      <c r="E341" s="1061"/>
      <c r="F341" s="1061"/>
      <c r="G341" s="1061"/>
      <c r="H341" s="1063"/>
      <c r="I341" s="1054"/>
      <c r="J341" s="1054"/>
      <c r="K341" s="1054"/>
      <c r="L341" s="1054"/>
      <c r="M341" s="1054"/>
      <c r="N341" s="1054"/>
      <c r="O341" s="1054"/>
      <c r="P341" s="1054"/>
      <c r="Q341" s="1054"/>
      <c r="R341" s="1054"/>
      <c r="S341" s="1054"/>
      <c r="T341" s="1054"/>
      <c r="U341" s="1054"/>
      <c r="V341" s="1054"/>
      <c r="W341" s="1054"/>
      <c r="X341" s="1054"/>
      <c r="Y341" s="1054"/>
      <c r="Z341" s="1054"/>
      <c r="AA341" s="1054"/>
      <c r="AB341" s="1054"/>
    </row>
    <row r="342">
      <c r="A342" s="1054"/>
      <c r="B342" s="1061"/>
      <c r="C342" s="1061"/>
      <c r="D342" s="1061"/>
      <c r="E342" s="1061"/>
      <c r="F342" s="1061"/>
      <c r="G342" s="1061"/>
      <c r="H342" s="1063"/>
      <c r="I342" s="1054"/>
      <c r="J342" s="1054"/>
      <c r="K342" s="1054"/>
      <c r="L342" s="1054"/>
      <c r="M342" s="1054"/>
      <c r="N342" s="1054"/>
      <c r="O342" s="1054"/>
      <c r="P342" s="1054"/>
      <c r="Q342" s="1054"/>
      <c r="R342" s="1054"/>
      <c r="S342" s="1054"/>
      <c r="T342" s="1054"/>
      <c r="U342" s="1054"/>
      <c r="V342" s="1054"/>
      <c r="W342" s="1054"/>
      <c r="X342" s="1054"/>
      <c r="Y342" s="1054"/>
      <c r="Z342" s="1054"/>
      <c r="AA342" s="1054"/>
      <c r="AB342" s="1054"/>
    </row>
    <row r="343">
      <c r="A343" s="1054"/>
      <c r="B343" s="1061"/>
      <c r="C343" s="1061"/>
      <c r="D343" s="1061"/>
      <c r="E343" s="1061"/>
      <c r="F343" s="1061"/>
      <c r="G343" s="1061"/>
      <c r="H343" s="1063"/>
      <c r="I343" s="1054"/>
      <c r="J343" s="1054"/>
      <c r="K343" s="1054"/>
      <c r="L343" s="1054"/>
      <c r="M343" s="1054"/>
      <c r="N343" s="1054"/>
      <c r="O343" s="1054"/>
      <c r="P343" s="1054"/>
      <c r="Q343" s="1054"/>
      <c r="R343" s="1054"/>
      <c r="S343" s="1054"/>
      <c r="T343" s="1054"/>
      <c r="U343" s="1054"/>
      <c r="V343" s="1054"/>
      <c r="W343" s="1054"/>
      <c r="X343" s="1054"/>
      <c r="Y343" s="1054"/>
      <c r="Z343" s="1054"/>
      <c r="AA343" s="1054"/>
      <c r="AB343" s="1054"/>
    </row>
    <row r="344">
      <c r="A344" s="1054"/>
      <c r="B344" s="1061"/>
      <c r="C344" s="1061"/>
      <c r="D344" s="1061"/>
      <c r="E344" s="1061"/>
      <c r="F344" s="1061"/>
      <c r="G344" s="1061"/>
      <c r="H344" s="1063"/>
      <c r="I344" s="1054"/>
      <c r="J344" s="1054"/>
      <c r="K344" s="1054"/>
      <c r="L344" s="1054"/>
      <c r="M344" s="1054"/>
      <c r="N344" s="1054"/>
      <c r="O344" s="1054"/>
      <c r="P344" s="1054"/>
      <c r="Q344" s="1054"/>
      <c r="R344" s="1054"/>
      <c r="S344" s="1054"/>
      <c r="T344" s="1054"/>
      <c r="U344" s="1054"/>
      <c r="V344" s="1054"/>
      <c r="W344" s="1054"/>
      <c r="X344" s="1054"/>
      <c r="Y344" s="1054"/>
      <c r="Z344" s="1054"/>
      <c r="AA344" s="1054"/>
      <c r="AB344" s="1054"/>
    </row>
    <row r="345">
      <c r="A345" s="1054"/>
      <c r="B345" s="1061"/>
      <c r="C345" s="1061"/>
      <c r="D345" s="1061"/>
      <c r="E345" s="1061"/>
      <c r="F345" s="1061"/>
      <c r="G345" s="1061"/>
      <c r="H345" s="1063"/>
      <c r="I345" s="1054"/>
      <c r="J345" s="1054"/>
      <c r="K345" s="1054"/>
      <c r="L345" s="1054"/>
      <c r="M345" s="1054"/>
      <c r="N345" s="1054"/>
      <c r="O345" s="1054"/>
      <c r="P345" s="1054"/>
      <c r="Q345" s="1054"/>
      <c r="R345" s="1054"/>
      <c r="S345" s="1054"/>
      <c r="T345" s="1054"/>
      <c r="U345" s="1054"/>
      <c r="V345" s="1054"/>
      <c r="W345" s="1054"/>
      <c r="X345" s="1054"/>
      <c r="Y345" s="1054"/>
      <c r="Z345" s="1054"/>
      <c r="AA345" s="1054"/>
      <c r="AB345" s="1054"/>
    </row>
    <row r="346">
      <c r="A346" s="1054"/>
      <c r="B346" s="1061"/>
      <c r="C346" s="1061"/>
      <c r="D346" s="1061"/>
      <c r="E346" s="1061"/>
      <c r="F346" s="1061"/>
      <c r="G346" s="1061"/>
      <c r="H346" s="1063"/>
      <c r="I346" s="1054"/>
      <c r="J346" s="1054"/>
      <c r="K346" s="1054"/>
      <c r="L346" s="1054"/>
      <c r="M346" s="1054"/>
      <c r="N346" s="1054"/>
      <c r="O346" s="1054"/>
      <c r="P346" s="1054"/>
      <c r="Q346" s="1054"/>
      <c r="R346" s="1054"/>
      <c r="S346" s="1054"/>
      <c r="T346" s="1054"/>
      <c r="U346" s="1054"/>
      <c r="V346" s="1054"/>
      <c r="W346" s="1054"/>
      <c r="X346" s="1054"/>
      <c r="Y346" s="1054"/>
      <c r="Z346" s="1054"/>
      <c r="AA346" s="1054"/>
      <c r="AB346" s="1054"/>
    </row>
    <row r="347">
      <c r="A347" s="1054"/>
      <c r="B347" s="1061"/>
      <c r="C347" s="1061"/>
      <c r="D347" s="1061"/>
      <c r="E347" s="1061"/>
      <c r="F347" s="1061"/>
      <c r="G347" s="1061"/>
      <c r="H347" s="1063"/>
      <c r="I347" s="1054"/>
      <c r="J347" s="1054"/>
      <c r="K347" s="1054"/>
      <c r="L347" s="1054"/>
      <c r="M347" s="1054"/>
      <c r="N347" s="1054"/>
      <c r="O347" s="1054"/>
      <c r="P347" s="1054"/>
      <c r="Q347" s="1054"/>
      <c r="R347" s="1054"/>
      <c r="S347" s="1054"/>
      <c r="T347" s="1054"/>
      <c r="U347" s="1054"/>
      <c r="V347" s="1054"/>
      <c r="W347" s="1054"/>
      <c r="X347" s="1054"/>
      <c r="Y347" s="1054"/>
      <c r="Z347" s="1054"/>
      <c r="AA347" s="1054"/>
      <c r="AB347" s="1054"/>
    </row>
    <row r="348">
      <c r="A348" s="1054"/>
      <c r="B348" s="1061"/>
      <c r="C348" s="1061"/>
      <c r="D348" s="1061"/>
      <c r="E348" s="1061"/>
      <c r="F348" s="1061"/>
      <c r="G348" s="1061"/>
      <c r="H348" s="1063"/>
      <c r="I348" s="1054"/>
      <c r="J348" s="1054"/>
      <c r="K348" s="1054"/>
      <c r="L348" s="1054"/>
      <c r="M348" s="1054"/>
      <c r="N348" s="1054"/>
      <c r="O348" s="1054"/>
      <c r="P348" s="1054"/>
      <c r="Q348" s="1054"/>
      <c r="R348" s="1054"/>
      <c r="S348" s="1054"/>
      <c r="T348" s="1054"/>
      <c r="U348" s="1054"/>
      <c r="V348" s="1054"/>
      <c r="W348" s="1054"/>
      <c r="X348" s="1054"/>
      <c r="Y348" s="1054"/>
      <c r="Z348" s="1054"/>
      <c r="AA348" s="1054"/>
      <c r="AB348" s="1054"/>
    </row>
    <row r="349">
      <c r="A349" s="1054"/>
      <c r="B349" s="1061"/>
      <c r="C349" s="1061"/>
      <c r="D349" s="1061"/>
      <c r="E349" s="1061"/>
      <c r="F349" s="1061"/>
      <c r="G349" s="1061"/>
      <c r="H349" s="1063"/>
      <c r="I349" s="1054"/>
      <c r="J349" s="1054"/>
      <c r="K349" s="1054"/>
      <c r="L349" s="1054"/>
      <c r="M349" s="1054"/>
      <c r="N349" s="1054"/>
      <c r="O349" s="1054"/>
      <c r="P349" s="1054"/>
      <c r="Q349" s="1054"/>
      <c r="R349" s="1054"/>
      <c r="S349" s="1054"/>
      <c r="T349" s="1054"/>
      <c r="U349" s="1054"/>
      <c r="V349" s="1054"/>
      <c r="W349" s="1054"/>
      <c r="X349" s="1054"/>
      <c r="Y349" s="1054"/>
      <c r="Z349" s="1054"/>
      <c r="AA349" s="1054"/>
      <c r="AB349" s="1054"/>
    </row>
    <row r="350">
      <c r="A350" s="1054"/>
      <c r="B350" s="1061"/>
      <c r="C350" s="1061"/>
      <c r="D350" s="1061"/>
      <c r="E350" s="1061"/>
      <c r="F350" s="1061"/>
      <c r="G350" s="1061"/>
      <c r="H350" s="1063"/>
      <c r="I350" s="1054"/>
      <c r="J350" s="1054"/>
      <c r="K350" s="1054"/>
      <c r="L350" s="1054"/>
      <c r="M350" s="1054"/>
      <c r="N350" s="1054"/>
      <c r="O350" s="1054"/>
      <c r="P350" s="1054"/>
      <c r="Q350" s="1054"/>
      <c r="R350" s="1054"/>
      <c r="S350" s="1054"/>
      <c r="T350" s="1054"/>
      <c r="U350" s="1054"/>
      <c r="V350" s="1054"/>
      <c r="W350" s="1054"/>
      <c r="X350" s="1054"/>
      <c r="Y350" s="1054"/>
      <c r="Z350" s="1054"/>
      <c r="AA350" s="1054"/>
      <c r="AB350" s="1054"/>
    </row>
    <row r="351">
      <c r="A351" s="1054"/>
      <c r="B351" s="1061"/>
      <c r="C351" s="1061"/>
      <c r="D351" s="1061"/>
      <c r="E351" s="1061"/>
      <c r="F351" s="1061"/>
      <c r="G351" s="1061"/>
      <c r="H351" s="1063"/>
      <c r="I351" s="1054"/>
      <c r="J351" s="1054"/>
      <c r="K351" s="1054"/>
      <c r="L351" s="1054"/>
      <c r="M351" s="1054"/>
      <c r="N351" s="1054"/>
      <c r="O351" s="1054"/>
      <c r="P351" s="1054"/>
      <c r="Q351" s="1054"/>
      <c r="R351" s="1054"/>
      <c r="S351" s="1054"/>
      <c r="T351" s="1054"/>
      <c r="U351" s="1054"/>
      <c r="V351" s="1054"/>
      <c r="W351" s="1054"/>
      <c r="X351" s="1054"/>
      <c r="Y351" s="1054"/>
      <c r="Z351" s="1054"/>
      <c r="AA351" s="1054"/>
      <c r="AB351" s="1054"/>
    </row>
    <row r="352">
      <c r="A352" s="1054"/>
      <c r="B352" s="1061"/>
      <c r="C352" s="1061"/>
      <c r="D352" s="1061"/>
      <c r="E352" s="1061"/>
      <c r="F352" s="1061"/>
      <c r="G352" s="1061"/>
      <c r="H352" s="1063"/>
      <c r="I352" s="1054"/>
      <c r="J352" s="1054"/>
      <c r="K352" s="1054"/>
      <c r="L352" s="1054"/>
      <c r="M352" s="1054"/>
      <c r="N352" s="1054"/>
      <c r="O352" s="1054"/>
      <c r="P352" s="1054"/>
      <c r="Q352" s="1054"/>
      <c r="R352" s="1054"/>
      <c r="S352" s="1054"/>
      <c r="T352" s="1054"/>
      <c r="U352" s="1054"/>
      <c r="V352" s="1054"/>
      <c r="W352" s="1054"/>
      <c r="X352" s="1054"/>
      <c r="Y352" s="1054"/>
      <c r="Z352" s="1054"/>
      <c r="AA352" s="1054"/>
      <c r="AB352" s="1054"/>
    </row>
    <row r="353">
      <c r="A353" s="1054"/>
      <c r="B353" s="1061"/>
      <c r="C353" s="1061"/>
      <c r="D353" s="1061"/>
      <c r="E353" s="1061"/>
      <c r="F353" s="1061"/>
      <c r="G353" s="1061"/>
      <c r="H353" s="1063"/>
      <c r="I353" s="1054"/>
      <c r="J353" s="1054"/>
      <c r="K353" s="1054"/>
      <c r="L353" s="1054"/>
      <c r="M353" s="1054"/>
      <c r="N353" s="1054"/>
      <c r="O353" s="1054"/>
      <c r="P353" s="1054"/>
      <c r="Q353" s="1054"/>
      <c r="R353" s="1054"/>
      <c r="S353" s="1054"/>
      <c r="T353" s="1054"/>
      <c r="U353" s="1054"/>
      <c r="V353" s="1054"/>
      <c r="W353" s="1054"/>
      <c r="X353" s="1054"/>
      <c r="Y353" s="1054"/>
      <c r="Z353" s="1054"/>
      <c r="AA353" s="1054"/>
      <c r="AB353" s="1054"/>
    </row>
    <row r="354">
      <c r="A354" s="1054"/>
      <c r="B354" s="1061"/>
      <c r="C354" s="1061"/>
      <c r="D354" s="1061"/>
      <c r="E354" s="1061"/>
      <c r="F354" s="1061"/>
      <c r="G354" s="1061"/>
      <c r="H354" s="1063"/>
      <c r="I354" s="1054"/>
      <c r="J354" s="1054"/>
      <c r="K354" s="1054"/>
      <c r="L354" s="1054"/>
      <c r="M354" s="1054"/>
      <c r="N354" s="1054"/>
      <c r="O354" s="1054"/>
      <c r="P354" s="1054"/>
      <c r="Q354" s="1054"/>
      <c r="R354" s="1054"/>
      <c r="S354" s="1054"/>
      <c r="T354" s="1054"/>
      <c r="U354" s="1054"/>
      <c r="V354" s="1054"/>
      <c r="W354" s="1054"/>
      <c r="X354" s="1054"/>
      <c r="Y354" s="1054"/>
      <c r="Z354" s="1054"/>
      <c r="AA354" s="1054"/>
      <c r="AB354" s="1054"/>
    </row>
    <row r="355">
      <c r="A355" s="1054"/>
      <c r="B355" s="1061"/>
      <c r="C355" s="1061"/>
      <c r="D355" s="1061"/>
      <c r="E355" s="1061"/>
      <c r="F355" s="1061"/>
      <c r="G355" s="1061"/>
      <c r="H355" s="1063"/>
      <c r="I355" s="1054"/>
      <c r="J355" s="1054"/>
      <c r="K355" s="1054"/>
      <c r="L355" s="1054"/>
      <c r="M355" s="1054"/>
      <c r="N355" s="1054"/>
      <c r="O355" s="1054"/>
      <c r="P355" s="1054"/>
      <c r="Q355" s="1054"/>
      <c r="R355" s="1054"/>
      <c r="S355" s="1054"/>
      <c r="T355" s="1054"/>
      <c r="U355" s="1054"/>
      <c r="V355" s="1054"/>
      <c r="W355" s="1054"/>
      <c r="X355" s="1054"/>
      <c r="Y355" s="1054"/>
      <c r="Z355" s="1054"/>
      <c r="AA355" s="1054"/>
      <c r="AB355" s="1054"/>
    </row>
    <row r="356">
      <c r="A356" s="1054"/>
      <c r="B356" s="1061"/>
      <c r="C356" s="1061"/>
      <c r="D356" s="1061"/>
      <c r="E356" s="1061"/>
      <c r="F356" s="1061"/>
      <c r="G356" s="1061"/>
      <c r="H356" s="1063"/>
      <c r="I356" s="1054"/>
      <c r="J356" s="1054"/>
      <c r="K356" s="1054"/>
      <c r="L356" s="1054"/>
      <c r="M356" s="1054"/>
      <c r="N356" s="1054"/>
      <c r="O356" s="1054"/>
      <c r="P356" s="1054"/>
      <c r="Q356" s="1054"/>
      <c r="R356" s="1054"/>
      <c r="S356" s="1054"/>
      <c r="T356" s="1054"/>
      <c r="U356" s="1054"/>
      <c r="V356" s="1054"/>
      <c r="W356" s="1054"/>
      <c r="X356" s="1054"/>
      <c r="Y356" s="1054"/>
      <c r="Z356" s="1054"/>
      <c r="AA356" s="1054"/>
      <c r="AB356" s="1054"/>
    </row>
    <row r="357">
      <c r="A357" s="1054"/>
      <c r="B357" s="1061"/>
      <c r="C357" s="1061"/>
      <c r="D357" s="1061"/>
      <c r="E357" s="1061"/>
      <c r="F357" s="1061"/>
      <c r="G357" s="1061"/>
      <c r="H357" s="1063"/>
      <c r="I357" s="1054"/>
      <c r="J357" s="1054"/>
      <c r="K357" s="1054"/>
      <c r="L357" s="1054"/>
      <c r="M357" s="1054"/>
      <c r="N357" s="1054"/>
      <c r="O357" s="1054"/>
      <c r="P357" s="1054"/>
      <c r="Q357" s="1054"/>
      <c r="R357" s="1054"/>
      <c r="S357" s="1054"/>
      <c r="T357" s="1054"/>
      <c r="U357" s="1054"/>
      <c r="V357" s="1054"/>
      <c r="W357" s="1054"/>
      <c r="X357" s="1054"/>
      <c r="Y357" s="1054"/>
      <c r="Z357" s="1054"/>
      <c r="AA357" s="1054"/>
      <c r="AB357" s="1054"/>
    </row>
    <row r="358">
      <c r="A358" s="1054"/>
      <c r="B358" s="1061"/>
      <c r="C358" s="1061"/>
      <c r="D358" s="1061"/>
      <c r="E358" s="1061"/>
      <c r="F358" s="1061"/>
      <c r="G358" s="1061"/>
      <c r="H358" s="1063"/>
      <c r="I358" s="1054"/>
      <c r="J358" s="1054"/>
      <c r="K358" s="1054"/>
      <c r="L358" s="1054"/>
      <c r="M358" s="1054"/>
      <c r="N358" s="1054"/>
      <c r="O358" s="1054"/>
      <c r="P358" s="1054"/>
      <c r="Q358" s="1054"/>
      <c r="R358" s="1054"/>
      <c r="S358" s="1054"/>
      <c r="T358" s="1054"/>
      <c r="U358" s="1054"/>
      <c r="V358" s="1054"/>
      <c r="W358" s="1054"/>
      <c r="X358" s="1054"/>
      <c r="Y358" s="1054"/>
      <c r="Z358" s="1054"/>
      <c r="AA358" s="1054"/>
      <c r="AB358" s="1054"/>
    </row>
    <row r="359">
      <c r="A359" s="1054"/>
      <c r="B359" s="1061"/>
      <c r="C359" s="1061"/>
      <c r="D359" s="1061"/>
      <c r="E359" s="1061"/>
      <c r="F359" s="1061"/>
      <c r="G359" s="1061"/>
      <c r="H359" s="1063"/>
      <c r="I359" s="1054"/>
      <c r="J359" s="1054"/>
      <c r="K359" s="1054"/>
      <c r="L359" s="1054"/>
      <c r="M359" s="1054"/>
      <c r="N359" s="1054"/>
      <c r="O359" s="1054"/>
      <c r="P359" s="1054"/>
      <c r="Q359" s="1054"/>
      <c r="R359" s="1054"/>
      <c r="S359" s="1054"/>
      <c r="T359" s="1054"/>
      <c r="U359" s="1054"/>
      <c r="V359" s="1054"/>
      <c r="W359" s="1054"/>
      <c r="X359" s="1054"/>
      <c r="Y359" s="1054"/>
      <c r="Z359" s="1054"/>
      <c r="AA359" s="1054"/>
      <c r="AB359" s="1054"/>
    </row>
    <row r="360">
      <c r="A360" s="1054"/>
      <c r="B360" s="1061"/>
      <c r="C360" s="1061"/>
      <c r="D360" s="1061"/>
      <c r="E360" s="1061"/>
      <c r="F360" s="1061"/>
      <c r="G360" s="1061"/>
      <c r="H360" s="1063"/>
      <c r="I360" s="1054"/>
      <c r="J360" s="1054"/>
      <c r="K360" s="1054"/>
      <c r="L360" s="1054"/>
      <c r="M360" s="1054"/>
      <c r="N360" s="1054"/>
      <c r="O360" s="1054"/>
      <c r="P360" s="1054"/>
      <c r="Q360" s="1054"/>
      <c r="R360" s="1054"/>
      <c r="S360" s="1054"/>
      <c r="T360" s="1054"/>
      <c r="U360" s="1054"/>
      <c r="V360" s="1054"/>
      <c r="W360" s="1054"/>
      <c r="X360" s="1054"/>
      <c r="Y360" s="1054"/>
      <c r="Z360" s="1054"/>
      <c r="AA360" s="1054"/>
      <c r="AB360" s="1054"/>
    </row>
    <row r="361">
      <c r="A361" s="1054"/>
      <c r="B361" s="1061"/>
      <c r="C361" s="1061"/>
      <c r="D361" s="1061"/>
      <c r="E361" s="1061"/>
      <c r="F361" s="1061"/>
      <c r="G361" s="1061"/>
      <c r="H361" s="1063"/>
      <c r="I361" s="1054"/>
      <c r="J361" s="1054"/>
      <c r="K361" s="1054"/>
      <c r="L361" s="1054"/>
      <c r="M361" s="1054"/>
      <c r="N361" s="1054"/>
      <c r="O361" s="1054"/>
      <c r="P361" s="1054"/>
      <c r="Q361" s="1054"/>
      <c r="R361" s="1054"/>
      <c r="S361" s="1054"/>
      <c r="T361" s="1054"/>
      <c r="U361" s="1054"/>
      <c r="V361" s="1054"/>
      <c r="W361" s="1054"/>
      <c r="X361" s="1054"/>
      <c r="Y361" s="1054"/>
      <c r="Z361" s="1054"/>
      <c r="AA361" s="1054"/>
      <c r="AB361" s="1054"/>
    </row>
    <row r="362">
      <c r="A362" s="1054"/>
      <c r="B362" s="1061"/>
      <c r="C362" s="1061"/>
      <c r="D362" s="1061"/>
      <c r="E362" s="1061"/>
      <c r="F362" s="1061"/>
      <c r="G362" s="1061"/>
      <c r="H362" s="1063"/>
      <c r="I362" s="1054"/>
      <c r="J362" s="1054"/>
      <c r="K362" s="1054"/>
      <c r="L362" s="1054"/>
      <c r="M362" s="1054"/>
      <c r="N362" s="1054"/>
      <c r="O362" s="1054"/>
      <c r="P362" s="1054"/>
      <c r="Q362" s="1054"/>
      <c r="R362" s="1054"/>
      <c r="S362" s="1054"/>
      <c r="T362" s="1054"/>
      <c r="U362" s="1054"/>
      <c r="V362" s="1054"/>
      <c r="W362" s="1054"/>
      <c r="X362" s="1054"/>
      <c r="Y362" s="1054"/>
      <c r="Z362" s="1054"/>
      <c r="AA362" s="1054"/>
      <c r="AB362" s="1054"/>
    </row>
    <row r="363">
      <c r="A363" s="1054"/>
      <c r="B363" s="1061"/>
      <c r="C363" s="1061"/>
      <c r="D363" s="1061"/>
      <c r="E363" s="1061"/>
      <c r="F363" s="1061"/>
      <c r="G363" s="1061"/>
      <c r="H363" s="1063"/>
      <c r="I363" s="1054"/>
      <c r="J363" s="1054"/>
      <c r="K363" s="1054"/>
      <c r="L363" s="1054"/>
      <c r="M363" s="1054"/>
      <c r="N363" s="1054"/>
      <c r="O363" s="1054"/>
      <c r="P363" s="1054"/>
      <c r="Q363" s="1054"/>
      <c r="R363" s="1054"/>
      <c r="S363" s="1054"/>
      <c r="T363" s="1054"/>
      <c r="U363" s="1054"/>
      <c r="V363" s="1054"/>
      <c r="W363" s="1054"/>
      <c r="X363" s="1054"/>
      <c r="Y363" s="1054"/>
      <c r="Z363" s="1054"/>
      <c r="AA363" s="1054"/>
      <c r="AB363" s="1054"/>
    </row>
    <row r="364">
      <c r="A364" s="1054"/>
      <c r="B364" s="1061"/>
      <c r="C364" s="1061"/>
      <c r="D364" s="1061"/>
      <c r="E364" s="1061"/>
      <c r="F364" s="1061"/>
      <c r="G364" s="1061"/>
      <c r="H364" s="1063"/>
      <c r="I364" s="1054"/>
      <c r="J364" s="1054"/>
      <c r="K364" s="1054"/>
      <c r="L364" s="1054"/>
      <c r="M364" s="1054"/>
      <c r="N364" s="1054"/>
      <c r="O364" s="1054"/>
      <c r="P364" s="1054"/>
      <c r="Q364" s="1054"/>
      <c r="R364" s="1054"/>
      <c r="S364" s="1054"/>
      <c r="T364" s="1054"/>
      <c r="U364" s="1054"/>
      <c r="V364" s="1054"/>
      <c r="W364" s="1054"/>
      <c r="X364" s="1054"/>
      <c r="Y364" s="1054"/>
      <c r="Z364" s="1054"/>
      <c r="AA364" s="1054"/>
      <c r="AB364" s="1054"/>
    </row>
    <row r="365">
      <c r="A365" s="1054"/>
      <c r="B365" s="1061"/>
      <c r="C365" s="1061"/>
      <c r="D365" s="1061"/>
      <c r="E365" s="1061"/>
      <c r="F365" s="1061"/>
      <c r="G365" s="1061"/>
      <c r="H365" s="1063"/>
      <c r="I365" s="1054"/>
      <c r="J365" s="1054"/>
      <c r="K365" s="1054"/>
      <c r="L365" s="1054"/>
      <c r="M365" s="1054"/>
      <c r="N365" s="1054"/>
      <c r="O365" s="1054"/>
      <c r="P365" s="1054"/>
      <c r="Q365" s="1054"/>
      <c r="R365" s="1054"/>
      <c r="S365" s="1054"/>
      <c r="T365" s="1054"/>
      <c r="U365" s="1054"/>
      <c r="V365" s="1054"/>
      <c r="W365" s="1054"/>
      <c r="X365" s="1054"/>
      <c r="Y365" s="1054"/>
      <c r="Z365" s="1054"/>
      <c r="AA365" s="1054"/>
      <c r="AB365" s="1054"/>
    </row>
    <row r="366">
      <c r="A366" s="1054"/>
      <c r="B366" s="1061"/>
      <c r="C366" s="1061"/>
      <c r="D366" s="1061"/>
      <c r="E366" s="1061"/>
      <c r="F366" s="1061"/>
      <c r="G366" s="1061"/>
      <c r="H366" s="1063"/>
      <c r="I366" s="1054"/>
      <c r="J366" s="1054"/>
      <c r="K366" s="1054"/>
      <c r="L366" s="1054"/>
      <c r="M366" s="1054"/>
      <c r="N366" s="1054"/>
      <c r="O366" s="1054"/>
      <c r="P366" s="1054"/>
      <c r="Q366" s="1054"/>
      <c r="R366" s="1054"/>
      <c r="S366" s="1054"/>
      <c r="T366" s="1054"/>
      <c r="U366" s="1054"/>
      <c r="V366" s="1054"/>
      <c r="W366" s="1054"/>
      <c r="X366" s="1054"/>
      <c r="Y366" s="1054"/>
      <c r="Z366" s="1054"/>
      <c r="AA366" s="1054"/>
      <c r="AB366" s="1054"/>
    </row>
    <row r="367">
      <c r="A367" s="1054"/>
      <c r="B367" s="1061"/>
      <c r="C367" s="1061"/>
      <c r="D367" s="1061"/>
      <c r="E367" s="1061"/>
      <c r="F367" s="1061"/>
      <c r="G367" s="1061"/>
      <c r="H367" s="1063"/>
      <c r="I367" s="1054"/>
      <c r="J367" s="1054"/>
      <c r="K367" s="1054"/>
      <c r="L367" s="1054"/>
      <c r="M367" s="1054"/>
      <c r="N367" s="1054"/>
      <c r="O367" s="1054"/>
      <c r="P367" s="1054"/>
      <c r="Q367" s="1054"/>
      <c r="R367" s="1054"/>
      <c r="S367" s="1054"/>
      <c r="T367" s="1054"/>
      <c r="U367" s="1054"/>
      <c r="V367" s="1054"/>
      <c r="W367" s="1054"/>
      <c r="X367" s="1054"/>
      <c r="Y367" s="1054"/>
      <c r="Z367" s="1054"/>
      <c r="AA367" s="1054"/>
      <c r="AB367" s="1054"/>
    </row>
    <row r="368">
      <c r="A368" s="1054"/>
      <c r="B368" s="1061"/>
      <c r="C368" s="1061"/>
      <c r="D368" s="1061"/>
      <c r="E368" s="1061"/>
      <c r="F368" s="1061"/>
      <c r="G368" s="1061"/>
      <c r="H368" s="1063"/>
      <c r="I368" s="1054"/>
      <c r="J368" s="1054"/>
      <c r="K368" s="1054"/>
      <c r="L368" s="1054"/>
      <c r="M368" s="1054"/>
      <c r="N368" s="1054"/>
      <c r="O368" s="1054"/>
      <c r="P368" s="1054"/>
      <c r="Q368" s="1054"/>
      <c r="R368" s="1054"/>
      <c r="S368" s="1054"/>
      <c r="T368" s="1054"/>
      <c r="U368" s="1054"/>
      <c r="V368" s="1054"/>
      <c r="W368" s="1054"/>
      <c r="X368" s="1054"/>
      <c r="Y368" s="1054"/>
      <c r="Z368" s="1054"/>
      <c r="AA368" s="1054"/>
      <c r="AB368" s="1054"/>
    </row>
    <row r="369">
      <c r="A369" s="1054"/>
      <c r="B369" s="1061"/>
      <c r="C369" s="1061"/>
      <c r="D369" s="1061"/>
      <c r="E369" s="1061"/>
      <c r="F369" s="1061"/>
      <c r="G369" s="1061"/>
      <c r="H369" s="1063"/>
      <c r="I369" s="1054"/>
      <c r="J369" s="1054"/>
      <c r="K369" s="1054"/>
      <c r="L369" s="1054"/>
      <c r="M369" s="1054"/>
      <c r="N369" s="1054"/>
      <c r="O369" s="1054"/>
      <c r="P369" s="1054"/>
      <c r="Q369" s="1054"/>
      <c r="R369" s="1054"/>
      <c r="S369" s="1054"/>
      <c r="T369" s="1054"/>
      <c r="U369" s="1054"/>
      <c r="V369" s="1054"/>
      <c r="W369" s="1054"/>
      <c r="X369" s="1054"/>
      <c r="Y369" s="1054"/>
      <c r="Z369" s="1054"/>
      <c r="AA369" s="1054"/>
      <c r="AB369" s="1054"/>
    </row>
    <row r="370">
      <c r="A370" s="1054"/>
      <c r="B370" s="1061"/>
      <c r="C370" s="1061"/>
      <c r="D370" s="1061"/>
      <c r="E370" s="1061"/>
      <c r="F370" s="1061"/>
      <c r="G370" s="1061"/>
      <c r="H370" s="1063"/>
      <c r="I370" s="1054"/>
      <c r="J370" s="1054"/>
      <c r="K370" s="1054"/>
      <c r="L370" s="1054"/>
      <c r="M370" s="1054"/>
      <c r="N370" s="1054"/>
      <c r="O370" s="1054"/>
      <c r="P370" s="1054"/>
      <c r="Q370" s="1054"/>
      <c r="R370" s="1054"/>
      <c r="S370" s="1054"/>
      <c r="T370" s="1054"/>
      <c r="U370" s="1054"/>
      <c r="V370" s="1054"/>
      <c r="W370" s="1054"/>
      <c r="X370" s="1054"/>
      <c r="Y370" s="1054"/>
      <c r="Z370" s="1054"/>
      <c r="AA370" s="1054"/>
      <c r="AB370" s="1054"/>
    </row>
    <row r="371">
      <c r="A371" s="1054"/>
      <c r="B371" s="1061"/>
      <c r="C371" s="1061"/>
      <c r="D371" s="1061"/>
      <c r="E371" s="1061"/>
      <c r="F371" s="1061"/>
      <c r="G371" s="1061"/>
      <c r="H371" s="1063"/>
      <c r="I371" s="1054"/>
      <c r="J371" s="1054"/>
      <c r="K371" s="1054"/>
      <c r="L371" s="1054"/>
      <c r="M371" s="1054"/>
      <c r="N371" s="1054"/>
      <c r="O371" s="1054"/>
      <c r="P371" s="1054"/>
      <c r="Q371" s="1054"/>
      <c r="R371" s="1054"/>
      <c r="S371" s="1054"/>
      <c r="T371" s="1054"/>
      <c r="U371" s="1054"/>
      <c r="V371" s="1054"/>
      <c r="W371" s="1054"/>
      <c r="X371" s="1054"/>
      <c r="Y371" s="1054"/>
      <c r="Z371" s="1054"/>
      <c r="AA371" s="1054"/>
      <c r="AB371" s="1054"/>
    </row>
    <row r="372">
      <c r="A372" s="1054"/>
      <c r="B372" s="1061"/>
      <c r="C372" s="1061"/>
      <c r="D372" s="1061"/>
      <c r="E372" s="1061"/>
      <c r="F372" s="1061"/>
      <c r="G372" s="1061"/>
      <c r="H372" s="1063"/>
      <c r="I372" s="1054"/>
      <c r="J372" s="1054"/>
      <c r="K372" s="1054"/>
      <c r="L372" s="1054"/>
      <c r="M372" s="1054"/>
      <c r="N372" s="1054"/>
      <c r="O372" s="1054"/>
      <c r="P372" s="1054"/>
      <c r="Q372" s="1054"/>
      <c r="R372" s="1054"/>
      <c r="S372" s="1054"/>
      <c r="T372" s="1054"/>
      <c r="U372" s="1054"/>
      <c r="V372" s="1054"/>
      <c r="W372" s="1054"/>
      <c r="X372" s="1054"/>
      <c r="Y372" s="1054"/>
      <c r="Z372" s="1054"/>
      <c r="AA372" s="1054"/>
      <c r="AB372" s="1054"/>
    </row>
    <row r="373">
      <c r="A373" s="1054"/>
      <c r="B373" s="1061"/>
      <c r="C373" s="1061"/>
      <c r="D373" s="1061"/>
      <c r="E373" s="1061"/>
      <c r="F373" s="1061"/>
      <c r="G373" s="1061"/>
      <c r="H373" s="1063"/>
      <c r="I373" s="1054"/>
      <c r="J373" s="1054"/>
      <c r="K373" s="1054"/>
      <c r="L373" s="1054"/>
      <c r="M373" s="1054"/>
      <c r="N373" s="1054"/>
      <c r="O373" s="1054"/>
      <c r="P373" s="1054"/>
      <c r="Q373" s="1054"/>
      <c r="R373" s="1054"/>
      <c r="S373" s="1054"/>
      <c r="T373" s="1054"/>
      <c r="U373" s="1054"/>
      <c r="V373" s="1054"/>
      <c r="W373" s="1054"/>
      <c r="X373" s="1054"/>
      <c r="Y373" s="1054"/>
      <c r="Z373" s="1054"/>
      <c r="AA373" s="1054"/>
      <c r="AB373" s="1054"/>
    </row>
    <row r="374">
      <c r="A374" s="1054"/>
      <c r="B374" s="1061"/>
      <c r="C374" s="1061"/>
      <c r="D374" s="1061"/>
      <c r="E374" s="1061"/>
      <c r="F374" s="1061"/>
      <c r="G374" s="1061"/>
      <c r="H374" s="1063"/>
      <c r="I374" s="1054"/>
      <c r="J374" s="1054"/>
      <c r="K374" s="1054"/>
      <c r="L374" s="1054"/>
      <c r="M374" s="1054"/>
      <c r="N374" s="1054"/>
      <c r="O374" s="1054"/>
      <c r="P374" s="1054"/>
      <c r="Q374" s="1054"/>
      <c r="R374" s="1054"/>
      <c r="S374" s="1054"/>
      <c r="T374" s="1054"/>
      <c r="U374" s="1054"/>
      <c r="V374" s="1054"/>
      <c r="W374" s="1054"/>
      <c r="X374" s="1054"/>
      <c r="Y374" s="1054"/>
      <c r="Z374" s="1054"/>
      <c r="AA374" s="1054"/>
      <c r="AB374" s="1054"/>
    </row>
    <row r="375">
      <c r="A375" s="1054"/>
      <c r="B375" s="1061"/>
      <c r="C375" s="1061"/>
      <c r="D375" s="1061"/>
      <c r="E375" s="1061"/>
      <c r="F375" s="1061"/>
      <c r="G375" s="1061"/>
      <c r="H375" s="1063"/>
      <c r="I375" s="1054"/>
      <c r="J375" s="1054"/>
      <c r="K375" s="1054"/>
      <c r="L375" s="1054"/>
      <c r="M375" s="1054"/>
      <c r="N375" s="1054"/>
      <c r="O375" s="1054"/>
      <c r="P375" s="1054"/>
      <c r="Q375" s="1054"/>
      <c r="R375" s="1054"/>
      <c r="S375" s="1054"/>
      <c r="T375" s="1054"/>
      <c r="U375" s="1054"/>
      <c r="V375" s="1054"/>
      <c r="W375" s="1054"/>
      <c r="X375" s="1054"/>
      <c r="Y375" s="1054"/>
      <c r="Z375" s="1054"/>
      <c r="AA375" s="1054"/>
      <c r="AB375" s="1054"/>
    </row>
    <row r="376">
      <c r="A376" s="1054"/>
      <c r="B376" s="1061"/>
      <c r="C376" s="1061"/>
      <c r="D376" s="1061"/>
      <c r="E376" s="1061"/>
      <c r="F376" s="1061"/>
      <c r="G376" s="1061"/>
      <c r="H376" s="1063"/>
      <c r="I376" s="1054"/>
      <c r="J376" s="1054"/>
      <c r="K376" s="1054"/>
      <c r="L376" s="1054"/>
      <c r="M376" s="1054"/>
      <c r="N376" s="1054"/>
      <c r="O376" s="1054"/>
      <c r="P376" s="1054"/>
      <c r="Q376" s="1054"/>
      <c r="R376" s="1054"/>
      <c r="S376" s="1054"/>
      <c r="T376" s="1054"/>
      <c r="U376" s="1054"/>
      <c r="V376" s="1054"/>
      <c r="W376" s="1054"/>
      <c r="X376" s="1054"/>
      <c r="Y376" s="1054"/>
      <c r="Z376" s="1054"/>
      <c r="AA376" s="1054"/>
      <c r="AB376" s="1054"/>
    </row>
    <row r="377">
      <c r="A377" s="1054"/>
      <c r="B377" s="1061"/>
      <c r="C377" s="1061"/>
      <c r="D377" s="1061"/>
      <c r="E377" s="1061"/>
      <c r="F377" s="1061"/>
      <c r="G377" s="1061"/>
      <c r="H377" s="1063"/>
      <c r="I377" s="1054"/>
      <c r="J377" s="1054"/>
      <c r="K377" s="1054"/>
      <c r="L377" s="1054"/>
      <c r="M377" s="1054"/>
      <c r="N377" s="1054"/>
      <c r="O377" s="1054"/>
      <c r="P377" s="1054"/>
      <c r="Q377" s="1054"/>
      <c r="R377" s="1054"/>
      <c r="S377" s="1054"/>
      <c r="T377" s="1054"/>
      <c r="U377" s="1054"/>
      <c r="V377" s="1054"/>
      <c r="W377" s="1054"/>
      <c r="X377" s="1054"/>
      <c r="Y377" s="1054"/>
      <c r="Z377" s="1054"/>
      <c r="AA377" s="1054"/>
      <c r="AB377" s="1054"/>
    </row>
    <row r="378">
      <c r="A378" s="1054"/>
      <c r="B378" s="1061"/>
      <c r="C378" s="1061"/>
      <c r="D378" s="1061"/>
      <c r="E378" s="1061"/>
      <c r="F378" s="1061"/>
      <c r="G378" s="1061"/>
      <c r="H378" s="1063"/>
      <c r="I378" s="1054"/>
      <c r="J378" s="1054"/>
      <c r="K378" s="1054"/>
      <c r="L378" s="1054"/>
      <c r="M378" s="1054"/>
      <c r="N378" s="1054"/>
      <c r="O378" s="1054"/>
      <c r="P378" s="1054"/>
      <c r="Q378" s="1054"/>
      <c r="R378" s="1054"/>
      <c r="S378" s="1054"/>
      <c r="T378" s="1054"/>
      <c r="U378" s="1054"/>
      <c r="V378" s="1054"/>
      <c r="W378" s="1054"/>
      <c r="X378" s="1054"/>
      <c r="Y378" s="1054"/>
      <c r="Z378" s="1054"/>
      <c r="AA378" s="1054"/>
      <c r="AB378" s="1054"/>
    </row>
    <row r="379">
      <c r="A379" s="1054"/>
      <c r="B379" s="1061"/>
      <c r="C379" s="1061"/>
      <c r="D379" s="1061"/>
      <c r="E379" s="1061"/>
      <c r="F379" s="1061"/>
      <c r="G379" s="1061"/>
      <c r="H379" s="1063"/>
      <c r="I379" s="1054"/>
      <c r="J379" s="1054"/>
      <c r="K379" s="1054"/>
      <c r="L379" s="1054"/>
      <c r="M379" s="1054"/>
      <c r="N379" s="1054"/>
      <c r="O379" s="1054"/>
      <c r="P379" s="1054"/>
      <c r="Q379" s="1054"/>
      <c r="R379" s="1054"/>
      <c r="S379" s="1054"/>
      <c r="T379" s="1054"/>
      <c r="U379" s="1054"/>
      <c r="V379" s="1054"/>
      <c r="W379" s="1054"/>
      <c r="X379" s="1054"/>
      <c r="Y379" s="1054"/>
      <c r="Z379" s="1054"/>
      <c r="AA379" s="1054"/>
      <c r="AB379" s="1054"/>
    </row>
    <row r="380">
      <c r="A380" s="1054"/>
      <c r="B380" s="1061"/>
      <c r="C380" s="1061"/>
      <c r="D380" s="1061"/>
      <c r="E380" s="1061"/>
      <c r="F380" s="1061"/>
      <c r="G380" s="1061"/>
      <c r="H380" s="1063"/>
      <c r="I380" s="1054"/>
      <c r="J380" s="1054"/>
      <c r="K380" s="1054"/>
      <c r="L380" s="1054"/>
      <c r="M380" s="1054"/>
      <c r="N380" s="1054"/>
      <c r="O380" s="1054"/>
      <c r="P380" s="1054"/>
      <c r="Q380" s="1054"/>
      <c r="R380" s="1054"/>
      <c r="S380" s="1054"/>
      <c r="T380" s="1054"/>
      <c r="U380" s="1054"/>
      <c r="V380" s="1054"/>
      <c r="W380" s="1054"/>
      <c r="X380" s="1054"/>
      <c r="Y380" s="1054"/>
      <c r="Z380" s="1054"/>
      <c r="AA380" s="1054"/>
      <c r="AB380" s="1054"/>
    </row>
    <row r="381">
      <c r="A381" s="1054"/>
      <c r="B381" s="1061"/>
      <c r="C381" s="1061"/>
      <c r="D381" s="1061"/>
      <c r="E381" s="1061"/>
      <c r="F381" s="1061"/>
      <c r="G381" s="1061"/>
      <c r="H381" s="1063"/>
      <c r="I381" s="1054"/>
      <c r="J381" s="1054"/>
      <c r="K381" s="1054"/>
      <c r="L381" s="1054"/>
      <c r="M381" s="1054"/>
      <c r="N381" s="1054"/>
      <c r="O381" s="1054"/>
      <c r="P381" s="1054"/>
      <c r="Q381" s="1054"/>
      <c r="R381" s="1054"/>
      <c r="S381" s="1054"/>
      <c r="T381" s="1054"/>
      <c r="U381" s="1054"/>
      <c r="V381" s="1054"/>
      <c r="W381" s="1054"/>
      <c r="X381" s="1054"/>
      <c r="Y381" s="1054"/>
      <c r="Z381" s="1054"/>
      <c r="AA381" s="1054"/>
      <c r="AB381" s="1054"/>
    </row>
    <row r="382">
      <c r="A382" s="1054"/>
      <c r="B382" s="1061"/>
      <c r="C382" s="1061"/>
      <c r="D382" s="1061"/>
      <c r="E382" s="1061"/>
      <c r="F382" s="1061"/>
      <c r="G382" s="1061"/>
      <c r="H382" s="1063"/>
      <c r="I382" s="1054"/>
      <c r="J382" s="1054"/>
      <c r="K382" s="1054"/>
      <c r="L382" s="1054"/>
      <c r="M382" s="1054"/>
      <c r="N382" s="1054"/>
      <c r="O382" s="1054"/>
      <c r="P382" s="1054"/>
      <c r="Q382" s="1054"/>
      <c r="R382" s="1054"/>
      <c r="S382" s="1054"/>
      <c r="T382" s="1054"/>
      <c r="U382" s="1054"/>
      <c r="V382" s="1054"/>
      <c r="W382" s="1054"/>
      <c r="X382" s="1054"/>
      <c r="Y382" s="1054"/>
      <c r="Z382" s="1054"/>
      <c r="AA382" s="1054"/>
      <c r="AB382" s="1054"/>
    </row>
    <row r="383">
      <c r="A383" s="1054"/>
      <c r="B383" s="1061"/>
      <c r="C383" s="1061"/>
      <c r="D383" s="1061"/>
      <c r="E383" s="1061"/>
      <c r="F383" s="1061"/>
      <c r="G383" s="1061"/>
      <c r="H383" s="1063"/>
      <c r="I383" s="1054"/>
      <c r="J383" s="1054"/>
      <c r="K383" s="1054"/>
      <c r="L383" s="1054"/>
      <c r="M383" s="1054"/>
      <c r="N383" s="1054"/>
      <c r="O383" s="1054"/>
      <c r="P383" s="1054"/>
      <c r="Q383" s="1054"/>
      <c r="R383" s="1054"/>
      <c r="S383" s="1054"/>
      <c r="T383" s="1054"/>
      <c r="U383" s="1054"/>
      <c r="V383" s="1054"/>
      <c r="W383" s="1054"/>
      <c r="X383" s="1054"/>
      <c r="Y383" s="1054"/>
      <c r="Z383" s="1054"/>
      <c r="AA383" s="1054"/>
      <c r="AB383" s="1054"/>
    </row>
    <row r="384">
      <c r="A384" s="1054"/>
      <c r="B384" s="1061"/>
      <c r="C384" s="1061"/>
      <c r="D384" s="1061"/>
      <c r="E384" s="1061"/>
      <c r="F384" s="1061"/>
      <c r="G384" s="1061"/>
      <c r="H384" s="1063"/>
      <c r="I384" s="1054"/>
      <c r="J384" s="1054"/>
      <c r="K384" s="1054"/>
      <c r="L384" s="1054"/>
      <c r="M384" s="1054"/>
      <c r="N384" s="1054"/>
      <c r="O384" s="1054"/>
      <c r="P384" s="1054"/>
      <c r="Q384" s="1054"/>
      <c r="R384" s="1054"/>
      <c r="S384" s="1054"/>
      <c r="T384" s="1054"/>
      <c r="U384" s="1054"/>
      <c r="V384" s="1054"/>
      <c r="W384" s="1054"/>
      <c r="X384" s="1054"/>
      <c r="Y384" s="1054"/>
      <c r="Z384" s="1054"/>
      <c r="AA384" s="1054"/>
      <c r="AB384" s="1054"/>
    </row>
    <row r="385">
      <c r="A385" s="1054"/>
      <c r="B385" s="1061"/>
      <c r="C385" s="1061"/>
      <c r="D385" s="1061"/>
      <c r="E385" s="1061"/>
      <c r="F385" s="1061"/>
      <c r="G385" s="1061"/>
      <c r="H385" s="1063"/>
      <c r="I385" s="1054"/>
      <c r="J385" s="1054"/>
      <c r="K385" s="1054"/>
      <c r="L385" s="1054"/>
      <c r="M385" s="1054"/>
      <c r="N385" s="1054"/>
      <c r="O385" s="1054"/>
      <c r="P385" s="1054"/>
      <c r="Q385" s="1054"/>
      <c r="R385" s="1054"/>
      <c r="S385" s="1054"/>
      <c r="T385" s="1054"/>
      <c r="U385" s="1054"/>
      <c r="V385" s="1054"/>
      <c r="W385" s="1054"/>
      <c r="X385" s="1054"/>
      <c r="Y385" s="1054"/>
      <c r="Z385" s="1054"/>
      <c r="AA385" s="1054"/>
      <c r="AB385" s="1054"/>
    </row>
    <row r="386">
      <c r="A386" s="1054"/>
      <c r="B386" s="1061"/>
      <c r="C386" s="1061"/>
      <c r="D386" s="1061"/>
      <c r="E386" s="1061"/>
      <c r="F386" s="1061"/>
      <c r="G386" s="1061"/>
      <c r="H386" s="1063"/>
      <c r="I386" s="1054"/>
      <c r="J386" s="1054"/>
      <c r="K386" s="1054"/>
      <c r="L386" s="1054"/>
      <c r="M386" s="1054"/>
      <c r="N386" s="1054"/>
      <c r="O386" s="1054"/>
      <c r="P386" s="1054"/>
      <c r="Q386" s="1054"/>
      <c r="R386" s="1054"/>
      <c r="S386" s="1054"/>
      <c r="T386" s="1054"/>
      <c r="U386" s="1054"/>
      <c r="V386" s="1054"/>
      <c r="W386" s="1054"/>
      <c r="X386" s="1054"/>
      <c r="Y386" s="1054"/>
      <c r="Z386" s="1054"/>
      <c r="AA386" s="1054"/>
      <c r="AB386" s="1054"/>
    </row>
    <row r="387">
      <c r="A387" s="1054"/>
      <c r="B387" s="1061"/>
      <c r="C387" s="1061"/>
      <c r="D387" s="1061"/>
      <c r="E387" s="1061"/>
      <c r="F387" s="1061"/>
      <c r="G387" s="1061"/>
      <c r="H387" s="1063"/>
      <c r="I387" s="1054"/>
      <c r="J387" s="1054"/>
      <c r="K387" s="1054"/>
      <c r="L387" s="1054"/>
      <c r="M387" s="1054"/>
      <c r="N387" s="1054"/>
      <c r="O387" s="1054"/>
      <c r="P387" s="1054"/>
      <c r="Q387" s="1054"/>
      <c r="R387" s="1054"/>
      <c r="S387" s="1054"/>
      <c r="T387" s="1054"/>
      <c r="U387" s="1054"/>
      <c r="V387" s="1054"/>
      <c r="W387" s="1054"/>
      <c r="X387" s="1054"/>
      <c r="Y387" s="1054"/>
      <c r="Z387" s="1054"/>
      <c r="AA387" s="1054"/>
      <c r="AB387" s="1054"/>
    </row>
    <row r="388">
      <c r="A388" s="1054"/>
      <c r="B388" s="1061"/>
      <c r="C388" s="1061"/>
      <c r="D388" s="1061"/>
      <c r="E388" s="1061"/>
      <c r="F388" s="1061"/>
      <c r="G388" s="1061"/>
      <c r="H388" s="1063"/>
      <c r="I388" s="1054"/>
      <c r="J388" s="1054"/>
      <c r="K388" s="1054"/>
      <c r="L388" s="1054"/>
      <c r="M388" s="1054"/>
      <c r="N388" s="1054"/>
      <c r="O388" s="1054"/>
      <c r="P388" s="1054"/>
      <c r="Q388" s="1054"/>
      <c r="R388" s="1054"/>
      <c r="S388" s="1054"/>
      <c r="T388" s="1054"/>
      <c r="U388" s="1054"/>
      <c r="V388" s="1054"/>
      <c r="W388" s="1054"/>
      <c r="X388" s="1054"/>
      <c r="Y388" s="1054"/>
      <c r="Z388" s="1054"/>
      <c r="AA388" s="1054"/>
      <c r="AB388" s="1054"/>
    </row>
    <row r="389">
      <c r="A389" s="1054"/>
      <c r="B389" s="1061"/>
      <c r="C389" s="1061"/>
      <c r="D389" s="1061"/>
      <c r="E389" s="1061"/>
      <c r="F389" s="1061"/>
      <c r="G389" s="1061"/>
      <c r="H389" s="1063"/>
      <c r="I389" s="1054"/>
      <c r="J389" s="1054"/>
      <c r="K389" s="1054"/>
      <c r="L389" s="1054"/>
      <c r="M389" s="1054"/>
      <c r="N389" s="1054"/>
      <c r="O389" s="1054"/>
      <c r="P389" s="1054"/>
      <c r="Q389" s="1054"/>
      <c r="R389" s="1054"/>
      <c r="S389" s="1054"/>
      <c r="T389" s="1054"/>
      <c r="U389" s="1054"/>
      <c r="V389" s="1054"/>
      <c r="W389" s="1054"/>
      <c r="X389" s="1054"/>
      <c r="Y389" s="1054"/>
      <c r="Z389" s="1054"/>
      <c r="AA389" s="1054"/>
      <c r="AB389" s="1054"/>
    </row>
    <row r="390">
      <c r="A390" s="1054"/>
      <c r="B390" s="1061"/>
      <c r="C390" s="1061"/>
      <c r="D390" s="1061"/>
      <c r="E390" s="1061"/>
      <c r="F390" s="1061"/>
      <c r="G390" s="1061"/>
      <c r="H390" s="1063"/>
      <c r="I390" s="1054"/>
      <c r="J390" s="1054"/>
      <c r="K390" s="1054"/>
      <c r="L390" s="1054"/>
      <c r="M390" s="1054"/>
      <c r="N390" s="1054"/>
      <c r="O390" s="1054"/>
      <c r="P390" s="1054"/>
      <c r="Q390" s="1054"/>
      <c r="R390" s="1054"/>
      <c r="S390" s="1054"/>
      <c r="T390" s="1054"/>
      <c r="U390" s="1054"/>
      <c r="V390" s="1054"/>
      <c r="W390" s="1054"/>
      <c r="X390" s="1054"/>
      <c r="Y390" s="1054"/>
      <c r="Z390" s="1054"/>
      <c r="AA390" s="1054"/>
      <c r="AB390" s="1054"/>
    </row>
    <row r="391">
      <c r="A391" s="1054"/>
      <c r="B391" s="1061"/>
      <c r="C391" s="1061"/>
      <c r="D391" s="1061"/>
      <c r="E391" s="1061"/>
      <c r="F391" s="1061"/>
      <c r="G391" s="1061"/>
      <c r="H391" s="1063"/>
      <c r="I391" s="1054"/>
      <c r="J391" s="1054"/>
      <c r="K391" s="1054"/>
      <c r="L391" s="1054"/>
      <c r="M391" s="1054"/>
      <c r="N391" s="1054"/>
      <c r="O391" s="1054"/>
      <c r="P391" s="1054"/>
      <c r="Q391" s="1054"/>
      <c r="R391" s="1054"/>
      <c r="S391" s="1054"/>
      <c r="T391" s="1054"/>
      <c r="U391" s="1054"/>
      <c r="V391" s="1054"/>
      <c r="W391" s="1054"/>
      <c r="X391" s="1054"/>
      <c r="Y391" s="1054"/>
      <c r="Z391" s="1054"/>
      <c r="AA391" s="1054"/>
      <c r="AB391" s="1054"/>
    </row>
    <row r="392">
      <c r="A392" s="1054"/>
      <c r="B392" s="1061"/>
      <c r="C392" s="1061"/>
      <c r="D392" s="1061"/>
      <c r="E392" s="1061"/>
      <c r="F392" s="1061"/>
      <c r="G392" s="1061"/>
      <c r="H392" s="1063"/>
      <c r="I392" s="1054"/>
      <c r="J392" s="1054"/>
      <c r="K392" s="1054"/>
      <c r="L392" s="1054"/>
      <c r="M392" s="1054"/>
      <c r="N392" s="1054"/>
      <c r="O392" s="1054"/>
      <c r="P392" s="1054"/>
      <c r="Q392" s="1054"/>
      <c r="R392" s="1054"/>
      <c r="S392" s="1054"/>
      <c r="T392" s="1054"/>
      <c r="U392" s="1054"/>
      <c r="V392" s="1054"/>
      <c r="W392" s="1054"/>
      <c r="X392" s="1054"/>
      <c r="Y392" s="1054"/>
      <c r="Z392" s="1054"/>
      <c r="AA392" s="1054"/>
      <c r="AB392" s="1054"/>
    </row>
    <row r="393">
      <c r="A393" s="1054"/>
      <c r="B393" s="1061"/>
      <c r="C393" s="1061"/>
      <c r="D393" s="1061"/>
      <c r="E393" s="1061"/>
      <c r="F393" s="1061"/>
      <c r="G393" s="1061"/>
      <c r="H393" s="1063"/>
      <c r="I393" s="1054"/>
      <c r="J393" s="1054"/>
      <c r="K393" s="1054"/>
      <c r="L393" s="1054"/>
      <c r="M393" s="1054"/>
      <c r="N393" s="1054"/>
      <c r="O393" s="1054"/>
      <c r="P393" s="1054"/>
      <c r="Q393" s="1054"/>
      <c r="R393" s="1054"/>
      <c r="S393" s="1054"/>
      <c r="T393" s="1054"/>
      <c r="U393" s="1054"/>
      <c r="V393" s="1054"/>
      <c r="W393" s="1054"/>
      <c r="X393" s="1054"/>
      <c r="Y393" s="1054"/>
      <c r="Z393" s="1054"/>
      <c r="AA393" s="1054"/>
      <c r="AB393" s="1054"/>
    </row>
    <row r="394">
      <c r="A394" s="1054"/>
      <c r="B394" s="1061"/>
      <c r="C394" s="1061"/>
      <c r="D394" s="1061"/>
      <c r="E394" s="1061"/>
      <c r="F394" s="1061"/>
      <c r="G394" s="1061"/>
      <c r="H394" s="1063"/>
      <c r="I394" s="1054"/>
      <c r="J394" s="1054"/>
      <c r="K394" s="1054"/>
      <c r="L394" s="1054"/>
      <c r="M394" s="1054"/>
      <c r="N394" s="1054"/>
      <c r="O394" s="1054"/>
      <c r="P394" s="1054"/>
      <c r="Q394" s="1054"/>
      <c r="R394" s="1054"/>
      <c r="S394" s="1054"/>
      <c r="T394" s="1054"/>
      <c r="U394" s="1054"/>
      <c r="V394" s="1054"/>
      <c r="W394" s="1054"/>
      <c r="X394" s="1054"/>
      <c r="Y394" s="1054"/>
      <c r="Z394" s="1054"/>
      <c r="AA394" s="1054"/>
      <c r="AB394" s="1054"/>
    </row>
    <row r="395">
      <c r="A395" s="1054"/>
      <c r="B395" s="1061"/>
      <c r="C395" s="1061"/>
      <c r="D395" s="1061"/>
      <c r="E395" s="1061"/>
      <c r="F395" s="1061"/>
      <c r="G395" s="1061"/>
      <c r="H395" s="1063"/>
      <c r="I395" s="1054"/>
      <c r="J395" s="1054"/>
      <c r="K395" s="1054"/>
      <c r="L395" s="1054"/>
      <c r="M395" s="1054"/>
      <c r="N395" s="1054"/>
      <c r="O395" s="1054"/>
      <c r="P395" s="1054"/>
      <c r="Q395" s="1054"/>
      <c r="R395" s="1054"/>
      <c r="S395" s="1054"/>
      <c r="T395" s="1054"/>
      <c r="U395" s="1054"/>
      <c r="V395" s="1054"/>
      <c r="W395" s="1054"/>
      <c r="X395" s="1054"/>
      <c r="Y395" s="1054"/>
      <c r="Z395" s="1054"/>
      <c r="AA395" s="1054"/>
      <c r="AB395" s="1054"/>
    </row>
    <row r="396">
      <c r="A396" s="1054"/>
      <c r="B396" s="1061"/>
      <c r="C396" s="1061"/>
      <c r="D396" s="1061"/>
      <c r="E396" s="1061"/>
      <c r="F396" s="1061"/>
      <c r="G396" s="1061"/>
      <c r="H396" s="1063"/>
      <c r="I396" s="1054"/>
      <c r="J396" s="1054"/>
      <c r="K396" s="1054"/>
      <c r="L396" s="1054"/>
      <c r="M396" s="1054"/>
      <c r="N396" s="1054"/>
      <c r="O396" s="1054"/>
      <c r="P396" s="1054"/>
      <c r="Q396" s="1054"/>
      <c r="R396" s="1054"/>
      <c r="S396" s="1054"/>
      <c r="T396" s="1054"/>
      <c r="U396" s="1054"/>
      <c r="V396" s="1054"/>
      <c r="W396" s="1054"/>
      <c r="X396" s="1054"/>
      <c r="Y396" s="1054"/>
      <c r="Z396" s="1054"/>
      <c r="AA396" s="1054"/>
      <c r="AB396" s="1054"/>
    </row>
    <row r="397">
      <c r="A397" s="1054"/>
      <c r="B397" s="1061"/>
      <c r="C397" s="1061"/>
      <c r="D397" s="1061"/>
      <c r="E397" s="1061"/>
      <c r="F397" s="1061"/>
      <c r="G397" s="1061"/>
      <c r="H397" s="1063"/>
      <c r="I397" s="1054"/>
      <c r="J397" s="1054"/>
      <c r="K397" s="1054"/>
      <c r="L397" s="1054"/>
      <c r="M397" s="1054"/>
      <c r="N397" s="1054"/>
      <c r="O397" s="1054"/>
      <c r="P397" s="1054"/>
      <c r="Q397" s="1054"/>
      <c r="R397" s="1054"/>
      <c r="S397" s="1054"/>
      <c r="T397" s="1054"/>
      <c r="U397" s="1054"/>
      <c r="V397" s="1054"/>
      <c r="W397" s="1054"/>
      <c r="X397" s="1054"/>
      <c r="Y397" s="1054"/>
      <c r="Z397" s="1054"/>
      <c r="AA397" s="1054"/>
      <c r="AB397" s="1054"/>
    </row>
    <row r="398">
      <c r="A398" s="1054"/>
      <c r="B398" s="1061"/>
      <c r="C398" s="1061"/>
      <c r="D398" s="1061"/>
      <c r="E398" s="1061"/>
      <c r="F398" s="1061"/>
      <c r="G398" s="1061"/>
      <c r="H398" s="1063"/>
      <c r="I398" s="1054"/>
      <c r="J398" s="1054"/>
      <c r="K398" s="1054"/>
      <c r="L398" s="1054"/>
      <c r="M398" s="1054"/>
      <c r="N398" s="1054"/>
      <c r="O398" s="1054"/>
      <c r="P398" s="1054"/>
      <c r="Q398" s="1054"/>
      <c r="R398" s="1054"/>
      <c r="S398" s="1054"/>
      <c r="T398" s="1054"/>
      <c r="U398" s="1054"/>
      <c r="V398" s="1054"/>
      <c r="W398" s="1054"/>
      <c r="X398" s="1054"/>
      <c r="Y398" s="1054"/>
      <c r="Z398" s="1054"/>
      <c r="AA398" s="1054"/>
      <c r="AB398" s="1054"/>
    </row>
    <row r="399">
      <c r="A399" s="1054"/>
      <c r="B399" s="1061"/>
      <c r="C399" s="1061"/>
      <c r="D399" s="1061"/>
      <c r="E399" s="1061"/>
      <c r="F399" s="1061"/>
      <c r="G399" s="1061"/>
      <c r="H399" s="1063"/>
      <c r="I399" s="1054"/>
      <c r="J399" s="1054"/>
      <c r="K399" s="1054"/>
      <c r="L399" s="1054"/>
      <c r="M399" s="1054"/>
      <c r="N399" s="1054"/>
      <c r="O399" s="1054"/>
      <c r="P399" s="1054"/>
      <c r="Q399" s="1054"/>
      <c r="R399" s="1054"/>
      <c r="S399" s="1054"/>
      <c r="T399" s="1054"/>
      <c r="U399" s="1054"/>
      <c r="V399" s="1054"/>
      <c r="W399" s="1054"/>
      <c r="X399" s="1054"/>
      <c r="Y399" s="1054"/>
      <c r="Z399" s="1054"/>
      <c r="AA399" s="1054"/>
      <c r="AB399" s="1054"/>
    </row>
    <row r="400">
      <c r="A400" s="1054"/>
      <c r="B400" s="1061"/>
      <c r="C400" s="1061"/>
      <c r="D400" s="1061"/>
      <c r="E400" s="1061"/>
      <c r="F400" s="1061"/>
      <c r="G400" s="1061"/>
      <c r="H400" s="1063"/>
      <c r="I400" s="1054"/>
      <c r="J400" s="1054"/>
      <c r="K400" s="1054"/>
      <c r="L400" s="1054"/>
      <c r="M400" s="1054"/>
      <c r="N400" s="1054"/>
      <c r="O400" s="1054"/>
      <c r="P400" s="1054"/>
      <c r="Q400" s="1054"/>
      <c r="R400" s="1054"/>
      <c r="S400" s="1054"/>
      <c r="T400" s="1054"/>
      <c r="U400" s="1054"/>
      <c r="V400" s="1054"/>
      <c r="W400" s="1054"/>
      <c r="X400" s="1054"/>
      <c r="Y400" s="1054"/>
      <c r="Z400" s="1054"/>
      <c r="AA400" s="1054"/>
      <c r="AB400" s="1054"/>
    </row>
    <row r="401">
      <c r="A401" s="1054"/>
      <c r="B401" s="1061"/>
      <c r="C401" s="1061"/>
      <c r="D401" s="1061"/>
      <c r="E401" s="1061"/>
      <c r="F401" s="1061"/>
      <c r="G401" s="1061"/>
      <c r="H401" s="1063"/>
      <c r="I401" s="1054"/>
      <c r="J401" s="1054"/>
      <c r="K401" s="1054"/>
      <c r="L401" s="1054"/>
      <c r="M401" s="1054"/>
      <c r="N401" s="1054"/>
      <c r="O401" s="1054"/>
      <c r="P401" s="1054"/>
      <c r="Q401" s="1054"/>
      <c r="R401" s="1054"/>
      <c r="S401" s="1054"/>
      <c r="T401" s="1054"/>
      <c r="U401" s="1054"/>
      <c r="V401" s="1054"/>
      <c r="W401" s="1054"/>
      <c r="X401" s="1054"/>
      <c r="Y401" s="1054"/>
      <c r="Z401" s="1054"/>
      <c r="AA401" s="1054"/>
      <c r="AB401" s="1054"/>
    </row>
    <row r="402">
      <c r="A402" s="1054"/>
      <c r="B402" s="1061"/>
      <c r="C402" s="1061"/>
      <c r="D402" s="1061"/>
      <c r="E402" s="1061"/>
      <c r="F402" s="1061"/>
      <c r="G402" s="1061"/>
      <c r="H402" s="1063"/>
      <c r="I402" s="1054"/>
      <c r="J402" s="1054"/>
      <c r="K402" s="1054"/>
      <c r="L402" s="1054"/>
      <c r="M402" s="1054"/>
      <c r="N402" s="1054"/>
      <c r="O402" s="1054"/>
      <c r="P402" s="1054"/>
      <c r="Q402" s="1054"/>
      <c r="R402" s="1054"/>
      <c r="S402" s="1054"/>
      <c r="T402" s="1054"/>
      <c r="U402" s="1054"/>
      <c r="V402" s="1054"/>
      <c r="W402" s="1054"/>
      <c r="X402" s="1054"/>
      <c r="Y402" s="1054"/>
      <c r="Z402" s="1054"/>
      <c r="AA402" s="1054"/>
      <c r="AB402" s="1054"/>
    </row>
    <row r="403">
      <c r="A403" s="1054"/>
      <c r="B403" s="1061"/>
      <c r="C403" s="1061"/>
      <c r="D403" s="1061"/>
      <c r="E403" s="1061"/>
      <c r="F403" s="1061"/>
      <c r="G403" s="1061"/>
      <c r="H403" s="1063"/>
      <c r="I403" s="1054"/>
      <c r="J403" s="1054"/>
      <c r="K403" s="1054"/>
      <c r="L403" s="1054"/>
      <c r="M403" s="1054"/>
      <c r="N403" s="1054"/>
      <c r="O403" s="1054"/>
      <c r="P403" s="1054"/>
      <c r="Q403" s="1054"/>
      <c r="R403" s="1054"/>
      <c r="S403" s="1054"/>
      <c r="T403" s="1054"/>
      <c r="U403" s="1054"/>
      <c r="V403" s="1054"/>
      <c r="W403" s="1054"/>
      <c r="X403" s="1054"/>
      <c r="Y403" s="1054"/>
      <c r="Z403" s="1054"/>
      <c r="AA403" s="1054"/>
      <c r="AB403" s="1054"/>
    </row>
    <row r="404">
      <c r="A404" s="1054"/>
      <c r="B404" s="1061"/>
      <c r="C404" s="1061"/>
      <c r="D404" s="1061"/>
      <c r="E404" s="1061"/>
      <c r="F404" s="1061"/>
      <c r="G404" s="1061"/>
      <c r="H404" s="1063"/>
      <c r="I404" s="1054"/>
      <c r="J404" s="1054"/>
      <c r="K404" s="1054"/>
      <c r="L404" s="1054"/>
      <c r="M404" s="1054"/>
      <c r="N404" s="1054"/>
      <c r="O404" s="1054"/>
      <c r="P404" s="1054"/>
      <c r="Q404" s="1054"/>
      <c r="R404" s="1054"/>
      <c r="S404" s="1054"/>
      <c r="T404" s="1054"/>
      <c r="U404" s="1054"/>
      <c r="V404" s="1054"/>
      <c r="W404" s="1054"/>
      <c r="X404" s="1054"/>
      <c r="Y404" s="1054"/>
      <c r="Z404" s="1054"/>
      <c r="AA404" s="1054"/>
      <c r="AB404" s="1054"/>
    </row>
    <row r="405">
      <c r="A405" s="1054"/>
      <c r="B405" s="1061"/>
      <c r="C405" s="1061"/>
      <c r="D405" s="1061"/>
      <c r="E405" s="1061"/>
      <c r="F405" s="1061"/>
      <c r="G405" s="1061"/>
      <c r="H405" s="1063"/>
      <c r="I405" s="1054"/>
      <c r="J405" s="1054"/>
      <c r="K405" s="1054"/>
      <c r="L405" s="1054"/>
      <c r="M405" s="1054"/>
      <c r="N405" s="1054"/>
      <c r="O405" s="1054"/>
      <c r="P405" s="1054"/>
      <c r="Q405" s="1054"/>
      <c r="R405" s="1054"/>
      <c r="S405" s="1054"/>
      <c r="T405" s="1054"/>
      <c r="U405" s="1054"/>
      <c r="V405" s="1054"/>
      <c r="W405" s="1054"/>
      <c r="X405" s="1054"/>
      <c r="Y405" s="1054"/>
      <c r="Z405" s="1054"/>
      <c r="AA405" s="1054"/>
      <c r="AB405" s="1054"/>
    </row>
    <row r="406">
      <c r="A406" s="1054"/>
      <c r="B406" s="1061"/>
      <c r="C406" s="1061"/>
      <c r="D406" s="1061"/>
      <c r="E406" s="1061"/>
      <c r="F406" s="1061"/>
      <c r="G406" s="1061"/>
      <c r="H406" s="1063"/>
      <c r="I406" s="1054"/>
      <c r="J406" s="1054"/>
      <c r="K406" s="1054"/>
      <c r="L406" s="1054"/>
      <c r="M406" s="1054"/>
      <c r="N406" s="1054"/>
      <c r="O406" s="1054"/>
      <c r="P406" s="1054"/>
      <c r="Q406" s="1054"/>
      <c r="R406" s="1054"/>
      <c r="S406" s="1054"/>
      <c r="T406" s="1054"/>
      <c r="U406" s="1054"/>
      <c r="V406" s="1054"/>
      <c r="W406" s="1054"/>
      <c r="X406" s="1054"/>
      <c r="Y406" s="1054"/>
      <c r="Z406" s="1054"/>
      <c r="AA406" s="1054"/>
      <c r="AB406" s="1054"/>
    </row>
    <row r="407">
      <c r="A407" s="1054"/>
      <c r="B407" s="1061"/>
      <c r="C407" s="1061"/>
      <c r="D407" s="1061"/>
      <c r="E407" s="1061"/>
      <c r="F407" s="1061"/>
      <c r="G407" s="1061"/>
      <c r="H407" s="1063"/>
      <c r="I407" s="1054"/>
      <c r="J407" s="1054"/>
      <c r="K407" s="1054"/>
      <c r="L407" s="1054"/>
      <c r="M407" s="1054"/>
      <c r="N407" s="1054"/>
      <c r="O407" s="1054"/>
      <c r="P407" s="1054"/>
      <c r="Q407" s="1054"/>
      <c r="R407" s="1054"/>
      <c r="S407" s="1054"/>
      <c r="T407" s="1054"/>
      <c r="U407" s="1054"/>
      <c r="V407" s="1054"/>
      <c r="W407" s="1054"/>
      <c r="X407" s="1054"/>
      <c r="Y407" s="1054"/>
      <c r="Z407" s="1054"/>
      <c r="AA407" s="1054"/>
      <c r="AB407" s="1054"/>
    </row>
    <row r="408">
      <c r="A408" s="1054"/>
      <c r="B408" s="1061"/>
      <c r="C408" s="1061"/>
      <c r="D408" s="1061"/>
      <c r="E408" s="1061"/>
      <c r="F408" s="1061"/>
      <c r="G408" s="1061"/>
      <c r="H408" s="1063"/>
      <c r="I408" s="1054"/>
      <c r="J408" s="1054"/>
      <c r="K408" s="1054"/>
      <c r="L408" s="1054"/>
      <c r="M408" s="1054"/>
      <c r="N408" s="1054"/>
      <c r="O408" s="1054"/>
      <c r="P408" s="1054"/>
      <c r="Q408" s="1054"/>
      <c r="R408" s="1054"/>
      <c r="S408" s="1054"/>
      <c r="T408" s="1054"/>
      <c r="U408" s="1054"/>
      <c r="V408" s="1054"/>
      <c r="W408" s="1054"/>
      <c r="X408" s="1054"/>
      <c r="Y408" s="1054"/>
      <c r="Z408" s="1054"/>
      <c r="AA408" s="1054"/>
      <c r="AB408" s="1054"/>
    </row>
    <row r="409">
      <c r="A409" s="1054"/>
      <c r="B409" s="1061"/>
      <c r="C409" s="1061"/>
      <c r="D409" s="1061"/>
      <c r="E409" s="1061"/>
      <c r="F409" s="1061"/>
      <c r="G409" s="1061"/>
      <c r="H409" s="1063"/>
      <c r="I409" s="1054"/>
      <c r="J409" s="1054"/>
      <c r="K409" s="1054"/>
      <c r="L409" s="1054"/>
      <c r="M409" s="1054"/>
      <c r="N409" s="1054"/>
      <c r="O409" s="1054"/>
      <c r="P409" s="1054"/>
      <c r="Q409" s="1054"/>
      <c r="R409" s="1054"/>
      <c r="S409" s="1054"/>
      <c r="T409" s="1054"/>
      <c r="U409" s="1054"/>
      <c r="V409" s="1054"/>
      <c r="W409" s="1054"/>
      <c r="X409" s="1054"/>
      <c r="Y409" s="1054"/>
      <c r="Z409" s="1054"/>
      <c r="AA409" s="1054"/>
      <c r="AB409" s="1054"/>
    </row>
    <row r="410">
      <c r="A410" s="1054"/>
      <c r="B410" s="1061"/>
      <c r="C410" s="1061"/>
      <c r="D410" s="1061"/>
      <c r="E410" s="1061"/>
      <c r="F410" s="1061"/>
      <c r="G410" s="1061"/>
      <c r="H410" s="1063"/>
      <c r="I410" s="1054"/>
      <c r="J410" s="1054"/>
      <c r="K410" s="1054"/>
      <c r="L410" s="1054"/>
      <c r="M410" s="1054"/>
      <c r="N410" s="1054"/>
      <c r="O410" s="1054"/>
      <c r="P410" s="1054"/>
      <c r="Q410" s="1054"/>
      <c r="R410" s="1054"/>
      <c r="S410" s="1054"/>
      <c r="T410" s="1054"/>
      <c r="U410" s="1054"/>
      <c r="V410" s="1054"/>
      <c r="W410" s="1054"/>
      <c r="X410" s="1054"/>
      <c r="Y410" s="1054"/>
      <c r="Z410" s="1054"/>
      <c r="AA410" s="1054"/>
      <c r="AB410" s="1054"/>
    </row>
    <row r="411">
      <c r="A411" s="1054"/>
      <c r="B411" s="1061"/>
      <c r="C411" s="1061"/>
      <c r="D411" s="1061"/>
      <c r="E411" s="1061"/>
      <c r="F411" s="1061"/>
      <c r="G411" s="1061"/>
      <c r="H411" s="1063"/>
      <c r="I411" s="1054"/>
      <c r="J411" s="1054"/>
      <c r="K411" s="1054"/>
      <c r="L411" s="1054"/>
      <c r="M411" s="1054"/>
      <c r="N411" s="1054"/>
      <c r="O411" s="1054"/>
      <c r="P411" s="1054"/>
      <c r="Q411" s="1054"/>
      <c r="R411" s="1054"/>
      <c r="S411" s="1054"/>
      <c r="T411" s="1054"/>
      <c r="U411" s="1054"/>
      <c r="V411" s="1054"/>
      <c r="W411" s="1054"/>
      <c r="X411" s="1054"/>
      <c r="Y411" s="1054"/>
      <c r="Z411" s="1054"/>
      <c r="AA411" s="1054"/>
      <c r="AB411" s="1054"/>
    </row>
    <row r="412">
      <c r="A412" s="1054"/>
      <c r="B412" s="1061"/>
      <c r="C412" s="1061"/>
      <c r="D412" s="1061"/>
      <c r="E412" s="1061"/>
      <c r="F412" s="1061"/>
      <c r="G412" s="1061"/>
      <c r="H412" s="1063"/>
      <c r="I412" s="1054"/>
      <c r="J412" s="1054"/>
      <c r="K412" s="1054"/>
      <c r="L412" s="1054"/>
      <c r="M412" s="1054"/>
      <c r="N412" s="1054"/>
      <c r="O412" s="1054"/>
      <c r="P412" s="1054"/>
      <c r="Q412" s="1054"/>
      <c r="R412" s="1054"/>
      <c r="S412" s="1054"/>
      <c r="T412" s="1054"/>
      <c r="U412" s="1054"/>
      <c r="V412" s="1054"/>
      <c r="W412" s="1054"/>
      <c r="X412" s="1054"/>
      <c r="Y412" s="1054"/>
      <c r="Z412" s="1054"/>
      <c r="AA412" s="1054"/>
      <c r="AB412" s="1054"/>
    </row>
    <row r="413">
      <c r="A413" s="1054"/>
      <c r="B413" s="1061"/>
      <c r="C413" s="1061"/>
      <c r="D413" s="1061"/>
      <c r="E413" s="1061"/>
      <c r="F413" s="1061"/>
      <c r="G413" s="1061"/>
      <c r="H413" s="1063"/>
      <c r="I413" s="1054"/>
      <c r="J413" s="1054"/>
      <c r="K413" s="1054"/>
      <c r="L413" s="1054"/>
      <c r="M413" s="1054"/>
      <c r="N413" s="1054"/>
      <c r="O413" s="1054"/>
      <c r="P413" s="1054"/>
      <c r="Q413" s="1054"/>
      <c r="R413" s="1054"/>
      <c r="S413" s="1054"/>
      <c r="T413" s="1054"/>
      <c r="U413" s="1054"/>
      <c r="V413" s="1054"/>
      <c r="W413" s="1054"/>
      <c r="X413" s="1054"/>
      <c r="Y413" s="1054"/>
      <c r="Z413" s="1054"/>
      <c r="AA413" s="1054"/>
      <c r="AB413" s="1054"/>
    </row>
    <row r="414">
      <c r="A414" s="1054"/>
      <c r="B414" s="1061"/>
      <c r="C414" s="1061"/>
      <c r="D414" s="1061"/>
      <c r="E414" s="1061"/>
      <c r="F414" s="1061"/>
      <c r="G414" s="1061"/>
      <c r="H414" s="1063"/>
      <c r="I414" s="1054"/>
      <c r="J414" s="1054"/>
      <c r="K414" s="1054"/>
      <c r="L414" s="1054"/>
      <c r="M414" s="1054"/>
      <c r="N414" s="1054"/>
      <c r="O414" s="1054"/>
      <c r="P414" s="1054"/>
      <c r="Q414" s="1054"/>
      <c r="R414" s="1054"/>
      <c r="S414" s="1054"/>
      <c r="T414" s="1054"/>
      <c r="U414" s="1054"/>
      <c r="V414" s="1054"/>
      <c r="W414" s="1054"/>
      <c r="X414" s="1054"/>
      <c r="Y414" s="1054"/>
      <c r="Z414" s="1054"/>
      <c r="AA414" s="1054"/>
      <c r="AB414" s="1054"/>
    </row>
    <row r="415">
      <c r="A415" s="1054"/>
      <c r="B415" s="1061"/>
      <c r="C415" s="1061"/>
      <c r="D415" s="1061"/>
      <c r="E415" s="1061"/>
      <c r="F415" s="1061"/>
      <c r="G415" s="1061"/>
      <c r="H415" s="1063"/>
      <c r="I415" s="1054"/>
      <c r="J415" s="1054"/>
      <c r="K415" s="1054"/>
      <c r="L415" s="1054"/>
      <c r="M415" s="1054"/>
      <c r="N415" s="1054"/>
      <c r="O415" s="1054"/>
      <c r="P415" s="1054"/>
      <c r="Q415" s="1054"/>
      <c r="R415" s="1054"/>
      <c r="S415" s="1054"/>
      <c r="T415" s="1054"/>
      <c r="U415" s="1054"/>
      <c r="V415" s="1054"/>
      <c r="W415" s="1054"/>
      <c r="X415" s="1054"/>
      <c r="Y415" s="1054"/>
      <c r="Z415" s="1054"/>
      <c r="AA415" s="1054"/>
      <c r="AB415" s="1054"/>
    </row>
    <row r="416">
      <c r="A416" s="1054"/>
      <c r="B416" s="1061"/>
      <c r="C416" s="1061"/>
      <c r="D416" s="1061"/>
      <c r="E416" s="1061"/>
      <c r="F416" s="1061"/>
      <c r="G416" s="1061"/>
      <c r="H416" s="1063"/>
      <c r="I416" s="1054"/>
      <c r="J416" s="1054"/>
      <c r="K416" s="1054"/>
      <c r="L416" s="1054"/>
      <c r="M416" s="1054"/>
      <c r="N416" s="1054"/>
      <c r="O416" s="1054"/>
      <c r="P416" s="1054"/>
      <c r="Q416" s="1054"/>
      <c r="R416" s="1054"/>
      <c r="S416" s="1054"/>
      <c r="T416" s="1054"/>
      <c r="U416" s="1054"/>
      <c r="V416" s="1054"/>
      <c r="W416" s="1054"/>
      <c r="X416" s="1054"/>
      <c r="Y416" s="1054"/>
      <c r="Z416" s="1054"/>
      <c r="AA416" s="1054"/>
      <c r="AB416" s="1054"/>
    </row>
    <row r="417">
      <c r="A417" s="1054"/>
      <c r="B417" s="1061"/>
      <c r="C417" s="1061"/>
      <c r="D417" s="1061"/>
      <c r="E417" s="1061"/>
      <c r="F417" s="1061"/>
      <c r="G417" s="1061"/>
      <c r="H417" s="1063"/>
      <c r="I417" s="1054"/>
      <c r="J417" s="1054"/>
      <c r="K417" s="1054"/>
      <c r="L417" s="1054"/>
      <c r="M417" s="1054"/>
      <c r="N417" s="1054"/>
      <c r="O417" s="1054"/>
      <c r="P417" s="1054"/>
      <c r="Q417" s="1054"/>
      <c r="R417" s="1054"/>
      <c r="S417" s="1054"/>
      <c r="T417" s="1054"/>
      <c r="U417" s="1054"/>
      <c r="V417" s="1054"/>
      <c r="W417" s="1054"/>
      <c r="X417" s="1054"/>
      <c r="Y417" s="1054"/>
      <c r="Z417" s="1054"/>
      <c r="AA417" s="1054"/>
      <c r="AB417" s="1054"/>
    </row>
    <row r="418">
      <c r="A418" s="1054"/>
      <c r="B418" s="1061"/>
      <c r="C418" s="1061"/>
      <c r="D418" s="1061"/>
      <c r="E418" s="1061"/>
      <c r="F418" s="1061"/>
      <c r="G418" s="1061"/>
      <c r="H418" s="1063"/>
      <c r="I418" s="1054"/>
      <c r="J418" s="1054"/>
      <c r="K418" s="1054"/>
      <c r="L418" s="1054"/>
      <c r="M418" s="1054"/>
      <c r="N418" s="1054"/>
      <c r="O418" s="1054"/>
      <c r="P418" s="1054"/>
      <c r="Q418" s="1054"/>
      <c r="R418" s="1054"/>
      <c r="S418" s="1054"/>
      <c r="T418" s="1054"/>
      <c r="U418" s="1054"/>
      <c r="V418" s="1054"/>
      <c r="W418" s="1054"/>
      <c r="X418" s="1054"/>
      <c r="Y418" s="1054"/>
      <c r="Z418" s="1054"/>
      <c r="AA418" s="1054"/>
      <c r="AB418" s="1054"/>
    </row>
    <row r="419">
      <c r="A419" s="1054"/>
      <c r="B419" s="1061"/>
      <c r="C419" s="1061"/>
      <c r="D419" s="1061"/>
      <c r="E419" s="1061"/>
      <c r="F419" s="1061"/>
      <c r="G419" s="1061"/>
      <c r="H419" s="1063"/>
      <c r="I419" s="1054"/>
      <c r="J419" s="1054"/>
      <c r="K419" s="1054"/>
      <c r="L419" s="1054"/>
      <c r="M419" s="1054"/>
      <c r="N419" s="1054"/>
      <c r="O419" s="1054"/>
      <c r="P419" s="1054"/>
      <c r="Q419" s="1054"/>
      <c r="R419" s="1054"/>
      <c r="S419" s="1054"/>
      <c r="T419" s="1054"/>
      <c r="U419" s="1054"/>
      <c r="V419" s="1054"/>
      <c r="W419" s="1054"/>
      <c r="X419" s="1054"/>
      <c r="Y419" s="1054"/>
      <c r="Z419" s="1054"/>
      <c r="AA419" s="1054"/>
      <c r="AB419" s="1054"/>
    </row>
    <row r="420">
      <c r="A420" s="1054"/>
      <c r="B420" s="1061"/>
      <c r="C420" s="1061"/>
      <c r="D420" s="1061"/>
      <c r="E420" s="1061"/>
      <c r="F420" s="1061"/>
      <c r="G420" s="1061"/>
      <c r="H420" s="1063"/>
      <c r="I420" s="1054"/>
      <c r="J420" s="1054"/>
      <c r="K420" s="1054"/>
      <c r="L420" s="1054"/>
      <c r="M420" s="1054"/>
      <c r="N420" s="1054"/>
      <c r="O420" s="1054"/>
      <c r="P420" s="1054"/>
      <c r="Q420" s="1054"/>
      <c r="R420" s="1054"/>
      <c r="S420" s="1054"/>
      <c r="T420" s="1054"/>
      <c r="U420" s="1054"/>
      <c r="V420" s="1054"/>
      <c r="W420" s="1054"/>
      <c r="X420" s="1054"/>
      <c r="Y420" s="1054"/>
      <c r="Z420" s="1054"/>
      <c r="AA420" s="1054"/>
      <c r="AB420" s="1054"/>
    </row>
    <row r="421">
      <c r="A421" s="1054"/>
      <c r="B421" s="1061"/>
      <c r="C421" s="1061"/>
      <c r="D421" s="1061"/>
      <c r="E421" s="1061"/>
      <c r="F421" s="1061"/>
      <c r="G421" s="1061"/>
      <c r="H421" s="1063"/>
      <c r="I421" s="1054"/>
      <c r="J421" s="1054"/>
      <c r="K421" s="1054"/>
      <c r="L421" s="1054"/>
      <c r="M421" s="1054"/>
      <c r="N421" s="1054"/>
      <c r="O421" s="1054"/>
      <c r="P421" s="1054"/>
      <c r="Q421" s="1054"/>
      <c r="R421" s="1054"/>
      <c r="S421" s="1054"/>
      <c r="T421" s="1054"/>
      <c r="U421" s="1054"/>
      <c r="V421" s="1054"/>
      <c r="W421" s="1054"/>
      <c r="X421" s="1054"/>
      <c r="Y421" s="1054"/>
      <c r="Z421" s="1054"/>
      <c r="AA421" s="1054"/>
      <c r="AB421" s="1054"/>
    </row>
    <row r="422">
      <c r="A422" s="1054"/>
      <c r="B422" s="1061"/>
      <c r="C422" s="1061"/>
      <c r="D422" s="1061"/>
      <c r="E422" s="1061"/>
      <c r="F422" s="1061"/>
      <c r="G422" s="1061"/>
      <c r="H422" s="1063"/>
      <c r="I422" s="1054"/>
      <c r="J422" s="1054"/>
      <c r="K422" s="1054"/>
      <c r="L422" s="1054"/>
      <c r="M422" s="1054"/>
      <c r="N422" s="1054"/>
      <c r="O422" s="1054"/>
      <c r="P422" s="1054"/>
      <c r="Q422" s="1054"/>
      <c r="R422" s="1054"/>
      <c r="S422" s="1054"/>
      <c r="T422" s="1054"/>
      <c r="U422" s="1054"/>
      <c r="V422" s="1054"/>
      <c r="W422" s="1054"/>
      <c r="X422" s="1054"/>
      <c r="Y422" s="1054"/>
      <c r="Z422" s="1054"/>
      <c r="AA422" s="1054"/>
      <c r="AB422" s="1054"/>
    </row>
    <row r="423">
      <c r="A423" s="1054"/>
      <c r="B423" s="1061"/>
      <c r="C423" s="1061"/>
      <c r="D423" s="1061"/>
      <c r="E423" s="1061"/>
      <c r="F423" s="1061"/>
      <c r="G423" s="1061"/>
      <c r="H423" s="1063"/>
      <c r="I423" s="1054"/>
      <c r="J423" s="1054"/>
      <c r="K423" s="1054"/>
      <c r="L423" s="1054"/>
      <c r="M423" s="1054"/>
      <c r="N423" s="1054"/>
      <c r="O423" s="1054"/>
      <c r="P423" s="1054"/>
      <c r="Q423" s="1054"/>
      <c r="R423" s="1054"/>
      <c r="S423" s="1054"/>
      <c r="T423" s="1054"/>
      <c r="U423" s="1054"/>
      <c r="V423" s="1054"/>
      <c r="W423" s="1054"/>
      <c r="X423" s="1054"/>
      <c r="Y423" s="1054"/>
      <c r="Z423" s="1054"/>
      <c r="AA423" s="1054"/>
      <c r="AB423" s="1054"/>
    </row>
    <row r="424">
      <c r="A424" s="1054"/>
      <c r="B424" s="1061"/>
      <c r="C424" s="1061"/>
      <c r="D424" s="1061"/>
      <c r="E424" s="1061"/>
      <c r="F424" s="1061"/>
      <c r="G424" s="1061"/>
      <c r="H424" s="1063"/>
      <c r="I424" s="1054"/>
      <c r="J424" s="1054"/>
      <c r="K424" s="1054"/>
      <c r="L424" s="1054"/>
      <c r="M424" s="1054"/>
      <c r="N424" s="1054"/>
      <c r="O424" s="1054"/>
      <c r="P424" s="1054"/>
      <c r="Q424" s="1054"/>
      <c r="R424" s="1054"/>
      <c r="S424" s="1054"/>
      <c r="T424" s="1054"/>
      <c r="U424" s="1054"/>
      <c r="V424" s="1054"/>
      <c r="W424" s="1054"/>
      <c r="X424" s="1054"/>
      <c r="Y424" s="1054"/>
      <c r="Z424" s="1054"/>
      <c r="AA424" s="1054"/>
      <c r="AB424" s="1054"/>
    </row>
    <row r="425">
      <c r="A425" s="1054"/>
      <c r="B425" s="1061"/>
      <c r="C425" s="1061"/>
      <c r="D425" s="1061"/>
      <c r="E425" s="1061"/>
      <c r="F425" s="1061"/>
      <c r="G425" s="1061"/>
      <c r="H425" s="1063"/>
      <c r="I425" s="1054"/>
      <c r="J425" s="1054"/>
      <c r="K425" s="1054"/>
      <c r="L425" s="1054"/>
      <c r="M425" s="1054"/>
      <c r="N425" s="1054"/>
      <c r="O425" s="1054"/>
      <c r="P425" s="1054"/>
      <c r="Q425" s="1054"/>
      <c r="R425" s="1054"/>
      <c r="S425" s="1054"/>
      <c r="T425" s="1054"/>
      <c r="U425" s="1054"/>
      <c r="V425" s="1054"/>
      <c r="W425" s="1054"/>
      <c r="X425" s="1054"/>
      <c r="Y425" s="1054"/>
      <c r="Z425" s="1054"/>
      <c r="AA425" s="1054"/>
      <c r="AB425" s="1054"/>
    </row>
    <row r="426">
      <c r="A426" s="1054"/>
      <c r="B426" s="1061"/>
      <c r="C426" s="1061"/>
      <c r="D426" s="1061"/>
      <c r="E426" s="1061"/>
      <c r="F426" s="1061"/>
      <c r="G426" s="1061"/>
      <c r="H426" s="1063"/>
      <c r="I426" s="1054"/>
      <c r="J426" s="1054"/>
      <c r="K426" s="1054"/>
      <c r="L426" s="1054"/>
      <c r="M426" s="1054"/>
      <c r="N426" s="1054"/>
      <c r="O426" s="1054"/>
      <c r="P426" s="1054"/>
      <c r="Q426" s="1054"/>
      <c r="R426" s="1054"/>
      <c r="S426" s="1054"/>
      <c r="T426" s="1054"/>
      <c r="U426" s="1054"/>
      <c r="V426" s="1054"/>
      <c r="W426" s="1054"/>
      <c r="X426" s="1054"/>
      <c r="Y426" s="1054"/>
      <c r="Z426" s="1054"/>
      <c r="AA426" s="1054"/>
      <c r="AB426" s="1054"/>
    </row>
    <row r="427">
      <c r="A427" s="1054"/>
      <c r="B427" s="1061"/>
      <c r="C427" s="1061"/>
      <c r="D427" s="1061"/>
      <c r="E427" s="1061"/>
      <c r="F427" s="1061"/>
      <c r="G427" s="1061"/>
      <c r="H427" s="1063"/>
      <c r="I427" s="1054"/>
      <c r="J427" s="1054"/>
      <c r="K427" s="1054"/>
      <c r="L427" s="1054"/>
      <c r="M427" s="1054"/>
      <c r="N427" s="1054"/>
      <c r="O427" s="1054"/>
      <c r="P427" s="1054"/>
      <c r="Q427" s="1054"/>
      <c r="R427" s="1054"/>
      <c r="S427" s="1054"/>
      <c r="T427" s="1054"/>
      <c r="U427" s="1054"/>
      <c r="V427" s="1054"/>
      <c r="W427" s="1054"/>
      <c r="X427" s="1054"/>
      <c r="Y427" s="1054"/>
      <c r="Z427" s="1054"/>
      <c r="AA427" s="1054"/>
      <c r="AB427" s="1054"/>
    </row>
    <row r="428">
      <c r="A428" s="1054"/>
      <c r="B428" s="1061"/>
      <c r="C428" s="1061"/>
      <c r="D428" s="1061"/>
      <c r="E428" s="1061"/>
      <c r="F428" s="1061"/>
      <c r="G428" s="1061"/>
      <c r="H428" s="1063"/>
      <c r="I428" s="1054"/>
      <c r="J428" s="1054"/>
      <c r="K428" s="1054"/>
      <c r="L428" s="1054"/>
      <c r="M428" s="1054"/>
      <c r="N428" s="1054"/>
      <c r="O428" s="1054"/>
      <c r="P428" s="1054"/>
      <c r="Q428" s="1054"/>
      <c r="R428" s="1054"/>
      <c r="S428" s="1054"/>
      <c r="T428" s="1054"/>
      <c r="U428" s="1054"/>
      <c r="V428" s="1054"/>
      <c r="W428" s="1054"/>
      <c r="X428" s="1054"/>
      <c r="Y428" s="1054"/>
      <c r="Z428" s="1054"/>
      <c r="AA428" s="1054"/>
      <c r="AB428" s="1054"/>
    </row>
    <row r="429">
      <c r="A429" s="1054"/>
      <c r="B429" s="1061"/>
      <c r="C429" s="1061"/>
      <c r="D429" s="1061"/>
      <c r="E429" s="1061"/>
      <c r="F429" s="1061"/>
      <c r="G429" s="1061"/>
      <c r="H429" s="1063"/>
      <c r="I429" s="1054"/>
      <c r="J429" s="1054"/>
      <c r="K429" s="1054"/>
      <c r="L429" s="1054"/>
      <c r="M429" s="1054"/>
      <c r="N429" s="1054"/>
      <c r="O429" s="1054"/>
      <c r="P429" s="1054"/>
      <c r="Q429" s="1054"/>
      <c r="R429" s="1054"/>
      <c r="S429" s="1054"/>
      <c r="T429" s="1054"/>
      <c r="U429" s="1054"/>
      <c r="V429" s="1054"/>
      <c r="W429" s="1054"/>
      <c r="X429" s="1054"/>
      <c r="Y429" s="1054"/>
      <c r="Z429" s="1054"/>
      <c r="AA429" s="1054"/>
      <c r="AB429" s="1054"/>
    </row>
    <row r="430">
      <c r="A430" s="1054"/>
      <c r="B430" s="1061"/>
      <c r="C430" s="1061"/>
      <c r="D430" s="1061"/>
      <c r="E430" s="1061"/>
      <c r="F430" s="1061"/>
      <c r="G430" s="1061"/>
      <c r="H430" s="1063"/>
      <c r="I430" s="1054"/>
      <c r="J430" s="1054"/>
      <c r="K430" s="1054"/>
      <c r="L430" s="1054"/>
      <c r="M430" s="1054"/>
      <c r="N430" s="1054"/>
      <c r="O430" s="1054"/>
      <c r="P430" s="1054"/>
      <c r="Q430" s="1054"/>
      <c r="R430" s="1054"/>
      <c r="S430" s="1054"/>
      <c r="T430" s="1054"/>
      <c r="U430" s="1054"/>
      <c r="V430" s="1054"/>
      <c r="W430" s="1054"/>
      <c r="X430" s="1054"/>
      <c r="Y430" s="1054"/>
      <c r="Z430" s="1054"/>
      <c r="AA430" s="1054"/>
      <c r="AB430" s="1054"/>
    </row>
    <row r="431">
      <c r="A431" s="1054"/>
      <c r="B431" s="1061"/>
      <c r="C431" s="1061"/>
      <c r="D431" s="1061"/>
      <c r="E431" s="1061"/>
      <c r="F431" s="1061"/>
      <c r="G431" s="1061"/>
      <c r="H431" s="1063"/>
      <c r="I431" s="1054"/>
      <c r="J431" s="1054"/>
      <c r="K431" s="1054"/>
      <c r="L431" s="1054"/>
      <c r="M431" s="1054"/>
      <c r="N431" s="1054"/>
      <c r="O431" s="1054"/>
      <c r="P431" s="1054"/>
      <c r="Q431" s="1054"/>
      <c r="R431" s="1054"/>
      <c r="S431" s="1054"/>
      <c r="T431" s="1054"/>
      <c r="U431" s="1054"/>
      <c r="V431" s="1054"/>
      <c r="W431" s="1054"/>
      <c r="X431" s="1054"/>
      <c r="Y431" s="1054"/>
      <c r="Z431" s="1054"/>
      <c r="AA431" s="1054"/>
      <c r="AB431" s="1054"/>
    </row>
    <row r="432">
      <c r="A432" s="1054"/>
      <c r="B432" s="1061"/>
      <c r="C432" s="1061"/>
      <c r="D432" s="1061"/>
      <c r="E432" s="1061"/>
      <c r="F432" s="1061"/>
      <c r="G432" s="1061"/>
      <c r="H432" s="1063"/>
      <c r="I432" s="1054"/>
      <c r="J432" s="1054"/>
      <c r="K432" s="1054"/>
      <c r="L432" s="1054"/>
      <c r="M432" s="1054"/>
      <c r="N432" s="1054"/>
      <c r="O432" s="1054"/>
      <c r="P432" s="1054"/>
      <c r="Q432" s="1054"/>
      <c r="R432" s="1054"/>
      <c r="S432" s="1054"/>
      <c r="T432" s="1054"/>
      <c r="U432" s="1054"/>
      <c r="V432" s="1054"/>
      <c r="W432" s="1054"/>
      <c r="X432" s="1054"/>
      <c r="Y432" s="1054"/>
      <c r="Z432" s="1054"/>
      <c r="AA432" s="1054"/>
      <c r="AB432" s="1054"/>
    </row>
    <row r="433">
      <c r="A433" s="1054"/>
      <c r="B433" s="1061"/>
      <c r="C433" s="1061"/>
      <c r="D433" s="1061"/>
      <c r="E433" s="1061"/>
      <c r="F433" s="1061"/>
      <c r="G433" s="1061"/>
      <c r="H433" s="1063"/>
      <c r="I433" s="1054"/>
      <c r="J433" s="1054"/>
      <c r="K433" s="1054"/>
      <c r="L433" s="1054"/>
      <c r="M433" s="1054"/>
      <c r="N433" s="1054"/>
      <c r="O433" s="1054"/>
      <c r="P433" s="1054"/>
      <c r="Q433" s="1054"/>
      <c r="R433" s="1054"/>
      <c r="S433" s="1054"/>
      <c r="T433" s="1054"/>
      <c r="U433" s="1054"/>
      <c r="V433" s="1054"/>
      <c r="W433" s="1054"/>
      <c r="X433" s="1054"/>
      <c r="Y433" s="1054"/>
      <c r="Z433" s="1054"/>
      <c r="AA433" s="1054"/>
      <c r="AB433" s="1054"/>
    </row>
    <row r="434">
      <c r="A434" s="1054"/>
      <c r="B434" s="1061"/>
      <c r="C434" s="1061"/>
      <c r="D434" s="1061"/>
      <c r="E434" s="1061"/>
      <c r="F434" s="1061"/>
      <c r="G434" s="1061"/>
      <c r="H434" s="1063"/>
      <c r="I434" s="1054"/>
      <c r="J434" s="1054"/>
      <c r="K434" s="1054"/>
      <c r="L434" s="1054"/>
      <c r="M434" s="1054"/>
      <c r="N434" s="1054"/>
      <c r="O434" s="1054"/>
      <c r="P434" s="1054"/>
      <c r="Q434" s="1054"/>
      <c r="R434" s="1054"/>
      <c r="S434" s="1054"/>
      <c r="T434" s="1054"/>
      <c r="U434" s="1054"/>
      <c r="V434" s="1054"/>
      <c r="W434" s="1054"/>
      <c r="X434" s="1054"/>
      <c r="Y434" s="1054"/>
      <c r="Z434" s="1054"/>
      <c r="AA434" s="1054"/>
      <c r="AB434" s="1054"/>
    </row>
    <row r="435">
      <c r="A435" s="1054"/>
      <c r="B435" s="1061"/>
      <c r="C435" s="1061"/>
      <c r="D435" s="1061"/>
      <c r="E435" s="1061"/>
      <c r="F435" s="1061"/>
      <c r="G435" s="1061"/>
      <c r="H435" s="1063"/>
      <c r="I435" s="1054"/>
      <c r="J435" s="1054"/>
      <c r="K435" s="1054"/>
      <c r="L435" s="1054"/>
      <c r="M435" s="1054"/>
      <c r="N435" s="1054"/>
      <c r="O435" s="1054"/>
      <c r="P435" s="1054"/>
      <c r="Q435" s="1054"/>
      <c r="R435" s="1054"/>
      <c r="S435" s="1054"/>
      <c r="T435" s="1054"/>
      <c r="U435" s="1054"/>
      <c r="V435" s="1054"/>
      <c r="W435" s="1054"/>
      <c r="X435" s="1054"/>
      <c r="Y435" s="1054"/>
      <c r="Z435" s="1054"/>
      <c r="AA435" s="1054"/>
      <c r="AB435" s="1054"/>
    </row>
    <row r="436">
      <c r="A436" s="1054"/>
      <c r="B436" s="1061"/>
      <c r="C436" s="1061"/>
      <c r="D436" s="1061"/>
      <c r="E436" s="1061"/>
      <c r="F436" s="1061"/>
      <c r="G436" s="1061"/>
      <c r="H436" s="1063"/>
      <c r="I436" s="1054"/>
      <c r="J436" s="1054"/>
      <c r="K436" s="1054"/>
      <c r="L436" s="1054"/>
      <c r="M436" s="1054"/>
      <c r="N436" s="1054"/>
      <c r="O436" s="1054"/>
      <c r="P436" s="1054"/>
      <c r="Q436" s="1054"/>
      <c r="R436" s="1054"/>
      <c r="S436" s="1054"/>
      <c r="T436" s="1054"/>
      <c r="U436" s="1054"/>
      <c r="V436" s="1054"/>
      <c r="W436" s="1054"/>
      <c r="X436" s="1054"/>
      <c r="Y436" s="1054"/>
      <c r="Z436" s="1054"/>
      <c r="AA436" s="1054"/>
      <c r="AB436" s="1054"/>
    </row>
    <row r="437">
      <c r="A437" s="1054"/>
      <c r="B437" s="1061"/>
      <c r="C437" s="1061"/>
      <c r="D437" s="1061"/>
      <c r="E437" s="1061"/>
      <c r="F437" s="1061"/>
      <c r="G437" s="1061"/>
      <c r="H437" s="1063"/>
      <c r="I437" s="1054"/>
      <c r="J437" s="1054"/>
      <c r="K437" s="1054"/>
      <c r="L437" s="1054"/>
      <c r="M437" s="1054"/>
      <c r="N437" s="1054"/>
      <c r="O437" s="1054"/>
      <c r="P437" s="1054"/>
      <c r="Q437" s="1054"/>
      <c r="R437" s="1054"/>
      <c r="S437" s="1054"/>
      <c r="T437" s="1054"/>
      <c r="U437" s="1054"/>
      <c r="V437" s="1054"/>
      <c r="W437" s="1054"/>
      <c r="X437" s="1054"/>
      <c r="Y437" s="1054"/>
      <c r="Z437" s="1054"/>
      <c r="AA437" s="1054"/>
      <c r="AB437" s="1054"/>
    </row>
    <row r="438">
      <c r="A438" s="1054"/>
      <c r="B438" s="1061"/>
      <c r="C438" s="1061"/>
      <c r="D438" s="1061"/>
      <c r="E438" s="1061"/>
      <c r="F438" s="1061"/>
      <c r="G438" s="1061"/>
      <c r="H438" s="1063"/>
      <c r="I438" s="1054"/>
      <c r="J438" s="1054"/>
      <c r="K438" s="1054"/>
      <c r="L438" s="1054"/>
      <c r="M438" s="1054"/>
      <c r="N438" s="1054"/>
      <c r="O438" s="1054"/>
      <c r="P438" s="1054"/>
      <c r="Q438" s="1054"/>
      <c r="R438" s="1054"/>
      <c r="S438" s="1054"/>
      <c r="T438" s="1054"/>
      <c r="U438" s="1054"/>
      <c r="V438" s="1054"/>
      <c r="W438" s="1054"/>
      <c r="X438" s="1054"/>
      <c r="Y438" s="1054"/>
      <c r="Z438" s="1054"/>
      <c r="AA438" s="1054"/>
      <c r="AB438" s="1054"/>
    </row>
    <row r="439">
      <c r="A439" s="1054"/>
      <c r="B439" s="1061"/>
      <c r="C439" s="1061"/>
      <c r="D439" s="1061"/>
      <c r="E439" s="1061"/>
      <c r="F439" s="1061"/>
      <c r="G439" s="1061"/>
      <c r="H439" s="1063"/>
      <c r="I439" s="1054"/>
      <c r="J439" s="1054"/>
      <c r="K439" s="1054"/>
      <c r="L439" s="1054"/>
      <c r="M439" s="1054"/>
      <c r="N439" s="1054"/>
      <c r="O439" s="1054"/>
      <c r="P439" s="1054"/>
      <c r="Q439" s="1054"/>
      <c r="R439" s="1054"/>
      <c r="S439" s="1054"/>
      <c r="T439" s="1054"/>
      <c r="U439" s="1054"/>
      <c r="V439" s="1054"/>
      <c r="W439" s="1054"/>
      <c r="X439" s="1054"/>
      <c r="Y439" s="1054"/>
      <c r="Z439" s="1054"/>
      <c r="AA439" s="1054"/>
      <c r="AB439" s="1054"/>
    </row>
    <row r="440">
      <c r="A440" s="1054"/>
      <c r="B440" s="1061"/>
      <c r="C440" s="1061"/>
      <c r="D440" s="1061"/>
      <c r="E440" s="1061"/>
      <c r="F440" s="1061"/>
      <c r="G440" s="1061"/>
      <c r="H440" s="1063"/>
      <c r="I440" s="1054"/>
      <c r="J440" s="1054"/>
      <c r="K440" s="1054"/>
      <c r="L440" s="1054"/>
      <c r="M440" s="1054"/>
      <c r="N440" s="1054"/>
      <c r="O440" s="1054"/>
      <c r="P440" s="1054"/>
      <c r="Q440" s="1054"/>
      <c r="R440" s="1054"/>
      <c r="S440" s="1054"/>
      <c r="T440" s="1054"/>
      <c r="U440" s="1054"/>
      <c r="V440" s="1054"/>
      <c r="W440" s="1054"/>
      <c r="X440" s="1054"/>
      <c r="Y440" s="1054"/>
      <c r="Z440" s="1054"/>
      <c r="AA440" s="1054"/>
      <c r="AB440" s="1054"/>
    </row>
    <row r="441">
      <c r="A441" s="1054"/>
      <c r="B441" s="1061"/>
      <c r="C441" s="1061"/>
      <c r="D441" s="1061"/>
      <c r="E441" s="1061"/>
      <c r="F441" s="1061"/>
      <c r="G441" s="1061"/>
      <c r="H441" s="1063"/>
      <c r="I441" s="1054"/>
      <c r="J441" s="1054"/>
      <c r="K441" s="1054"/>
      <c r="L441" s="1054"/>
      <c r="M441" s="1054"/>
      <c r="N441" s="1054"/>
      <c r="O441" s="1054"/>
      <c r="P441" s="1054"/>
      <c r="Q441" s="1054"/>
      <c r="R441" s="1054"/>
      <c r="S441" s="1054"/>
      <c r="T441" s="1054"/>
      <c r="U441" s="1054"/>
      <c r="V441" s="1054"/>
      <c r="W441" s="1054"/>
      <c r="X441" s="1054"/>
      <c r="Y441" s="1054"/>
      <c r="Z441" s="1054"/>
      <c r="AA441" s="1054"/>
      <c r="AB441" s="1054"/>
    </row>
    <row r="442">
      <c r="A442" s="1054"/>
      <c r="B442" s="1061"/>
      <c r="C442" s="1061"/>
      <c r="D442" s="1061"/>
      <c r="E442" s="1061"/>
      <c r="F442" s="1061"/>
      <c r="G442" s="1061"/>
      <c r="H442" s="1063"/>
      <c r="I442" s="1054"/>
      <c r="J442" s="1054"/>
      <c r="K442" s="1054"/>
      <c r="L442" s="1054"/>
      <c r="M442" s="1054"/>
      <c r="N442" s="1054"/>
      <c r="O442" s="1054"/>
      <c r="P442" s="1054"/>
      <c r="Q442" s="1054"/>
      <c r="R442" s="1054"/>
      <c r="S442" s="1054"/>
      <c r="T442" s="1054"/>
      <c r="U442" s="1054"/>
      <c r="V442" s="1054"/>
      <c r="W442" s="1054"/>
      <c r="X442" s="1054"/>
      <c r="Y442" s="1054"/>
      <c r="Z442" s="1054"/>
      <c r="AA442" s="1054"/>
      <c r="AB442" s="1054"/>
    </row>
    <row r="443">
      <c r="A443" s="1054"/>
      <c r="B443" s="1061"/>
      <c r="C443" s="1061"/>
      <c r="D443" s="1061"/>
      <c r="E443" s="1061"/>
      <c r="F443" s="1061"/>
      <c r="G443" s="1061"/>
      <c r="H443" s="1063"/>
      <c r="I443" s="1054"/>
      <c r="J443" s="1054"/>
      <c r="K443" s="1054"/>
      <c r="L443" s="1054"/>
      <c r="M443" s="1054"/>
      <c r="N443" s="1054"/>
      <c r="O443" s="1054"/>
      <c r="P443" s="1054"/>
      <c r="Q443" s="1054"/>
      <c r="R443" s="1054"/>
      <c r="S443" s="1054"/>
      <c r="T443" s="1054"/>
      <c r="U443" s="1054"/>
      <c r="V443" s="1054"/>
      <c r="W443" s="1054"/>
      <c r="X443" s="1054"/>
      <c r="Y443" s="1054"/>
      <c r="Z443" s="1054"/>
      <c r="AA443" s="1054"/>
      <c r="AB443" s="1054"/>
    </row>
    <row r="444">
      <c r="A444" s="1054"/>
      <c r="B444" s="1061"/>
      <c r="C444" s="1061"/>
      <c r="D444" s="1061"/>
      <c r="E444" s="1061"/>
      <c r="F444" s="1061"/>
      <c r="G444" s="1061"/>
      <c r="H444" s="1063"/>
      <c r="I444" s="1054"/>
      <c r="J444" s="1054"/>
      <c r="K444" s="1054"/>
      <c r="L444" s="1054"/>
      <c r="M444" s="1054"/>
      <c r="N444" s="1054"/>
      <c r="O444" s="1054"/>
      <c r="P444" s="1054"/>
      <c r="Q444" s="1054"/>
      <c r="R444" s="1054"/>
      <c r="S444" s="1054"/>
      <c r="T444" s="1054"/>
      <c r="U444" s="1054"/>
      <c r="V444" s="1054"/>
      <c r="W444" s="1054"/>
      <c r="X444" s="1054"/>
      <c r="Y444" s="1054"/>
      <c r="Z444" s="1054"/>
      <c r="AA444" s="1054"/>
      <c r="AB444" s="1054"/>
    </row>
    <row r="445">
      <c r="A445" s="1054"/>
      <c r="B445" s="1061"/>
      <c r="C445" s="1061"/>
      <c r="D445" s="1061"/>
      <c r="E445" s="1061"/>
      <c r="F445" s="1061"/>
      <c r="G445" s="1061"/>
      <c r="H445" s="1063"/>
      <c r="I445" s="1054"/>
      <c r="J445" s="1054"/>
      <c r="K445" s="1054"/>
      <c r="L445" s="1054"/>
      <c r="M445" s="1054"/>
      <c r="N445" s="1054"/>
      <c r="O445" s="1054"/>
      <c r="P445" s="1054"/>
      <c r="Q445" s="1054"/>
      <c r="R445" s="1054"/>
      <c r="S445" s="1054"/>
      <c r="T445" s="1054"/>
      <c r="U445" s="1054"/>
      <c r="V445" s="1054"/>
      <c r="W445" s="1054"/>
      <c r="X445" s="1054"/>
      <c r="Y445" s="1054"/>
      <c r="Z445" s="1054"/>
      <c r="AA445" s="1054"/>
      <c r="AB445" s="1054"/>
    </row>
    <row r="446">
      <c r="A446" s="1054"/>
      <c r="B446" s="1061"/>
      <c r="C446" s="1061"/>
      <c r="D446" s="1061"/>
      <c r="E446" s="1061"/>
      <c r="F446" s="1061"/>
      <c r="G446" s="1061"/>
      <c r="H446" s="1063"/>
      <c r="I446" s="1054"/>
      <c r="J446" s="1054"/>
      <c r="K446" s="1054"/>
      <c r="L446" s="1054"/>
      <c r="M446" s="1054"/>
      <c r="N446" s="1054"/>
      <c r="O446" s="1054"/>
      <c r="P446" s="1054"/>
      <c r="Q446" s="1054"/>
      <c r="R446" s="1054"/>
      <c r="S446" s="1054"/>
      <c r="T446" s="1054"/>
      <c r="U446" s="1054"/>
      <c r="V446" s="1054"/>
      <c r="W446" s="1054"/>
      <c r="X446" s="1054"/>
      <c r="Y446" s="1054"/>
      <c r="Z446" s="1054"/>
      <c r="AA446" s="1054"/>
      <c r="AB446" s="1054"/>
    </row>
    <row r="447">
      <c r="A447" s="1054"/>
      <c r="B447" s="1061"/>
      <c r="C447" s="1061"/>
      <c r="D447" s="1061"/>
      <c r="E447" s="1061"/>
      <c r="F447" s="1061"/>
      <c r="G447" s="1061"/>
      <c r="H447" s="1063"/>
      <c r="I447" s="1054"/>
      <c r="J447" s="1054"/>
      <c r="K447" s="1054"/>
      <c r="L447" s="1054"/>
      <c r="M447" s="1054"/>
      <c r="N447" s="1054"/>
      <c r="O447" s="1054"/>
      <c r="P447" s="1054"/>
      <c r="Q447" s="1054"/>
      <c r="R447" s="1054"/>
      <c r="S447" s="1054"/>
      <c r="T447" s="1054"/>
      <c r="U447" s="1054"/>
      <c r="V447" s="1054"/>
      <c r="W447" s="1054"/>
      <c r="X447" s="1054"/>
      <c r="Y447" s="1054"/>
      <c r="Z447" s="1054"/>
      <c r="AA447" s="1054"/>
      <c r="AB447" s="1054"/>
    </row>
    <row r="448">
      <c r="A448" s="1054"/>
      <c r="B448" s="1061"/>
      <c r="C448" s="1061"/>
      <c r="D448" s="1061"/>
      <c r="E448" s="1061"/>
      <c r="F448" s="1061"/>
      <c r="G448" s="1061"/>
      <c r="H448" s="1063"/>
      <c r="I448" s="1054"/>
      <c r="J448" s="1054"/>
      <c r="K448" s="1054"/>
      <c r="L448" s="1054"/>
      <c r="M448" s="1054"/>
      <c r="N448" s="1054"/>
      <c r="O448" s="1054"/>
      <c r="P448" s="1054"/>
      <c r="Q448" s="1054"/>
      <c r="R448" s="1054"/>
      <c r="S448" s="1054"/>
      <c r="T448" s="1054"/>
      <c r="U448" s="1054"/>
      <c r="V448" s="1054"/>
      <c r="W448" s="1054"/>
      <c r="X448" s="1054"/>
      <c r="Y448" s="1054"/>
      <c r="Z448" s="1054"/>
      <c r="AA448" s="1054"/>
      <c r="AB448" s="1054"/>
    </row>
    <row r="449">
      <c r="A449" s="1054"/>
      <c r="B449" s="1061"/>
      <c r="C449" s="1061"/>
      <c r="D449" s="1061"/>
      <c r="E449" s="1061"/>
      <c r="F449" s="1061"/>
      <c r="G449" s="1061"/>
      <c r="H449" s="1063"/>
      <c r="I449" s="1054"/>
      <c r="J449" s="1054"/>
      <c r="K449" s="1054"/>
      <c r="L449" s="1054"/>
      <c r="M449" s="1054"/>
      <c r="N449" s="1054"/>
      <c r="O449" s="1054"/>
      <c r="P449" s="1054"/>
      <c r="Q449" s="1054"/>
      <c r="R449" s="1054"/>
      <c r="S449" s="1054"/>
      <c r="T449" s="1054"/>
      <c r="U449" s="1054"/>
      <c r="V449" s="1054"/>
      <c r="W449" s="1054"/>
      <c r="X449" s="1054"/>
      <c r="Y449" s="1054"/>
      <c r="Z449" s="1054"/>
      <c r="AA449" s="1054"/>
      <c r="AB449" s="1054"/>
    </row>
    <row r="450">
      <c r="A450" s="1054"/>
      <c r="B450" s="1061"/>
      <c r="C450" s="1061"/>
      <c r="D450" s="1061"/>
      <c r="E450" s="1061"/>
      <c r="F450" s="1061"/>
      <c r="G450" s="1061"/>
      <c r="H450" s="1063"/>
      <c r="I450" s="1054"/>
      <c r="J450" s="1054"/>
      <c r="K450" s="1054"/>
      <c r="L450" s="1054"/>
      <c r="M450" s="1054"/>
      <c r="N450" s="1054"/>
      <c r="O450" s="1054"/>
      <c r="P450" s="1054"/>
      <c r="Q450" s="1054"/>
      <c r="R450" s="1054"/>
      <c r="S450" s="1054"/>
      <c r="T450" s="1054"/>
      <c r="U450" s="1054"/>
      <c r="V450" s="1054"/>
      <c r="W450" s="1054"/>
      <c r="X450" s="1054"/>
      <c r="Y450" s="1054"/>
      <c r="Z450" s="1054"/>
      <c r="AA450" s="1054"/>
      <c r="AB450" s="1054"/>
    </row>
    <row r="451">
      <c r="A451" s="1054"/>
      <c r="B451" s="1061"/>
      <c r="C451" s="1061"/>
      <c r="D451" s="1061"/>
      <c r="E451" s="1061"/>
      <c r="F451" s="1061"/>
      <c r="G451" s="1061"/>
      <c r="H451" s="1063"/>
      <c r="I451" s="1054"/>
      <c r="J451" s="1054"/>
      <c r="K451" s="1054"/>
      <c r="L451" s="1054"/>
      <c r="M451" s="1054"/>
      <c r="N451" s="1054"/>
      <c r="O451" s="1054"/>
      <c r="P451" s="1054"/>
      <c r="Q451" s="1054"/>
      <c r="R451" s="1054"/>
      <c r="S451" s="1054"/>
      <c r="T451" s="1054"/>
      <c r="U451" s="1054"/>
      <c r="V451" s="1054"/>
      <c r="W451" s="1054"/>
      <c r="X451" s="1054"/>
      <c r="Y451" s="1054"/>
      <c r="Z451" s="1054"/>
      <c r="AA451" s="1054"/>
      <c r="AB451" s="1054"/>
    </row>
    <row r="452">
      <c r="A452" s="1054"/>
      <c r="B452" s="1061"/>
      <c r="C452" s="1061"/>
      <c r="D452" s="1061"/>
      <c r="E452" s="1061"/>
      <c r="F452" s="1061"/>
      <c r="G452" s="1061"/>
      <c r="H452" s="1063"/>
      <c r="I452" s="1054"/>
      <c r="J452" s="1054"/>
      <c r="K452" s="1054"/>
      <c r="L452" s="1054"/>
      <c r="M452" s="1054"/>
      <c r="N452" s="1054"/>
      <c r="O452" s="1054"/>
      <c r="P452" s="1054"/>
      <c r="Q452" s="1054"/>
      <c r="R452" s="1054"/>
      <c r="S452" s="1054"/>
      <c r="T452" s="1054"/>
      <c r="U452" s="1054"/>
      <c r="V452" s="1054"/>
      <c r="W452" s="1054"/>
      <c r="X452" s="1054"/>
      <c r="Y452" s="1054"/>
      <c r="Z452" s="1054"/>
      <c r="AA452" s="1054"/>
      <c r="AB452" s="1054"/>
    </row>
    <row r="453">
      <c r="A453" s="1054"/>
      <c r="B453" s="1061"/>
      <c r="C453" s="1061"/>
      <c r="D453" s="1061"/>
      <c r="E453" s="1061"/>
      <c r="F453" s="1061"/>
      <c r="G453" s="1061"/>
      <c r="H453" s="1063"/>
      <c r="I453" s="1054"/>
      <c r="J453" s="1054"/>
      <c r="K453" s="1054"/>
      <c r="L453" s="1054"/>
      <c r="M453" s="1054"/>
      <c r="N453" s="1054"/>
      <c r="O453" s="1054"/>
      <c r="P453" s="1054"/>
      <c r="Q453" s="1054"/>
      <c r="R453" s="1054"/>
      <c r="S453" s="1054"/>
      <c r="T453" s="1054"/>
      <c r="U453" s="1054"/>
      <c r="V453" s="1054"/>
      <c r="W453" s="1054"/>
      <c r="X453" s="1054"/>
      <c r="Y453" s="1054"/>
      <c r="Z453" s="1054"/>
      <c r="AA453" s="1054"/>
      <c r="AB453" s="1054"/>
    </row>
    <row r="454">
      <c r="A454" s="1054"/>
      <c r="B454" s="1061"/>
      <c r="C454" s="1061"/>
      <c r="D454" s="1061"/>
      <c r="E454" s="1061"/>
      <c r="F454" s="1061"/>
      <c r="G454" s="1061"/>
      <c r="H454" s="1063"/>
      <c r="I454" s="1054"/>
      <c r="J454" s="1054"/>
      <c r="K454" s="1054"/>
      <c r="L454" s="1054"/>
      <c r="M454" s="1054"/>
      <c r="N454" s="1054"/>
      <c r="O454" s="1054"/>
      <c r="P454" s="1054"/>
      <c r="Q454" s="1054"/>
      <c r="R454" s="1054"/>
      <c r="S454" s="1054"/>
      <c r="T454" s="1054"/>
      <c r="U454" s="1054"/>
      <c r="V454" s="1054"/>
      <c r="W454" s="1054"/>
      <c r="X454" s="1054"/>
      <c r="Y454" s="1054"/>
      <c r="Z454" s="1054"/>
      <c r="AA454" s="1054"/>
      <c r="AB454" s="1054"/>
    </row>
    <row r="455">
      <c r="A455" s="1054"/>
      <c r="B455" s="1061"/>
      <c r="C455" s="1061"/>
      <c r="D455" s="1061"/>
      <c r="E455" s="1061"/>
      <c r="F455" s="1061"/>
      <c r="G455" s="1061"/>
      <c r="H455" s="1063"/>
      <c r="I455" s="1054"/>
      <c r="J455" s="1054"/>
      <c r="K455" s="1054"/>
      <c r="L455" s="1054"/>
      <c r="M455" s="1054"/>
      <c r="N455" s="1054"/>
      <c r="O455" s="1054"/>
      <c r="P455" s="1054"/>
      <c r="Q455" s="1054"/>
      <c r="R455" s="1054"/>
      <c r="S455" s="1054"/>
      <c r="T455" s="1054"/>
      <c r="U455" s="1054"/>
      <c r="V455" s="1054"/>
      <c r="W455" s="1054"/>
      <c r="X455" s="1054"/>
      <c r="Y455" s="1054"/>
      <c r="Z455" s="1054"/>
      <c r="AA455" s="1054"/>
      <c r="AB455" s="1054"/>
    </row>
    <row r="456">
      <c r="A456" s="1054"/>
      <c r="B456" s="1061"/>
      <c r="C456" s="1061"/>
      <c r="D456" s="1061"/>
      <c r="E456" s="1061"/>
      <c r="F456" s="1061"/>
      <c r="G456" s="1061"/>
      <c r="H456" s="1063"/>
      <c r="I456" s="1054"/>
      <c r="J456" s="1054"/>
      <c r="K456" s="1054"/>
      <c r="L456" s="1054"/>
      <c r="M456" s="1054"/>
      <c r="N456" s="1054"/>
      <c r="O456" s="1054"/>
      <c r="P456" s="1054"/>
      <c r="Q456" s="1054"/>
      <c r="R456" s="1054"/>
      <c r="S456" s="1054"/>
      <c r="T456" s="1054"/>
      <c r="U456" s="1054"/>
      <c r="V456" s="1054"/>
      <c r="W456" s="1054"/>
      <c r="X456" s="1054"/>
      <c r="Y456" s="1054"/>
      <c r="Z456" s="1054"/>
      <c r="AA456" s="1054"/>
      <c r="AB456" s="1054"/>
    </row>
    <row r="457">
      <c r="A457" s="1054"/>
      <c r="B457" s="1061"/>
      <c r="C457" s="1061"/>
      <c r="D457" s="1061"/>
      <c r="E457" s="1061"/>
      <c r="F457" s="1061"/>
      <c r="G457" s="1061"/>
      <c r="H457" s="1063"/>
      <c r="I457" s="1054"/>
      <c r="J457" s="1054"/>
      <c r="K457" s="1054"/>
      <c r="L457" s="1054"/>
      <c r="M457" s="1054"/>
      <c r="N457" s="1054"/>
      <c r="O457" s="1054"/>
      <c r="P457" s="1054"/>
      <c r="Q457" s="1054"/>
      <c r="R457" s="1054"/>
      <c r="S457" s="1054"/>
      <c r="T457" s="1054"/>
      <c r="U457" s="1054"/>
      <c r="V457" s="1054"/>
      <c r="W457" s="1054"/>
      <c r="X457" s="1054"/>
      <c r="Y457" s="1054"/>
      <c r="Z457" s="1054"/>
      <c r="AA457" s="1054"/>
      <c r="AB457" s="1054"/>
    </row>
    <row r="458">
      <c r="A458" s="1054"/>
      <c r="B458" s="1061"/>
      <c r="C458" s="1061"/>
      <c r="D458" s="1061"/>
      <c r="E458" s="1061"/>
      <c r="F458" s="1061"/>
      <c r="G458" s="1061"/>
      <c r="H458" s="1063"/>
      <c r="I458" s="1054"/>
      <c r="J458" s="1054"/>
      <c r="K458" s="1054"/>
      <c r="L458" s="1054"/>
      <c r="M458" s="1054"/>
      <c r="N458" s="1054"/>
      <c r="O458" s="1054"/>
      <c r="P458" s="1054"/>
      <c r="Q458" s="1054"/>
      <c r="R458" s="1054"/>
      <c r="S458" s="1054"/>
      <c r="T458" s="1054"/>
      <c r="U458" s="1054"/>
      <c r="V458" s="1054"/>
      <c r="W458" s="1054"/>
      <c r="X458" s="1054"/>
      <c r="Y458" s="1054"/>
      <c r="Z458" s="1054"/>
      <c r="AA458" s="1054"/>
      <c r="AB458" s="1054"/>
    </row>
    <row r="459">
      <c r="A459" s="1054"/>
      <c r="B459" s="1061"/>
      <c r="C459" s="1061"/>
      <c r="D459" s="1061"/>
      <c r="E459" s="1061"/>
      <c r="F459" s="1061"/>
      <c r="G459" s="1061"/>
      <c r="H459" s="1063"/>
      <c r="I459" s="1054"/>
      <c r="J459" s="1054"/>
      <c r="K459" s="1054"/>
      <c r="L459" s="1054"/>
      <c r="M459" s="1054"/>
      <c r="N459" s="1054"/>
      <c r="O459" s="1054"/>
      <c r="P459" s="1054"/>
      <c r="Q459" s="1054"/>
      <c r="R459" s="1054"/>
      <c r="S459" s="1054"/>
      <c r="T459" s="1054"/>
      <c r="U459" s="1054"/>
      <c r="V459" s="1054"/>
      <c r="W459" s="1054"/>
      <c r="X459" s="1054"/>
      <c r="Y459" s="1054"/>
      <c r="Z459" s="1054"/>
      <c r="AA459" s="1054"/>
      <c r="AB459" s="1054"/>
    </row>
    <row r="460">
      <c r="A460" s="1054"/>
      <c r="B460" s="1061"/>
      <c r="C460" s="1061"/>
      <c r="D460" s="1061"/>
      <c r="E460" s="1061"/>
      <c r="F460" s="1061"/>
      <c r="G460" s="1061"/>
      <c r="H460" s="1063"/>
      <c r="I460" s="1054"/>
      <c r="J460" s="1054"/>
      <c r="K460" s="1054"/>
      <c r="L460" s="1054"/>
      <c r="M460" s="1054"/>
      <c r="N460" s="1054"/>
      <c r="O460" s="1054"/>
      <c r="P460" s="1054"/>
      <c r="Q460" s="1054"/>
      <c r="R460" s="1054"/>
      <c r="S460" s="1054"/>
      <c r="T460" s="1054"/>
      <c r="U460" s="1054"/>
      <c r="V460" s="1054"/>
      <c r="W460" s="1054"/>
      <c r="X460" s="1054"/>
      <c r="Y460" s="1054"/>
      <c r="Z460" s="1054"/>
      <c r="AA460" s="1054"/>
      <c r="AB460" s="1054"/>
    </row>
    <row r="461">
      <c r="A461" s="1054"/>
      <c r="B461" s="1061"/>
      <c r="C461" s="1061"/>
      <c r="D461" s="1061"/>
      <c r="E461" s="1061"/>
      <c r="F461" s="1061"/>
      <c r="G461" s="1061"/>
      <c r="H461" s="1063"/>
      <c r="I461" s="1054"/>
      <c r="J461" s="1054"/>
      <c r="K461" s="1054"/>
      <c r="L461" s="1054"/>
      <c r="M461" s="1054"/>
      <c r="N461" s="1054"/>
      <c r="O461" s="1054"/>
      <c r="P461" s="1054"/>
      <c r="Q461" s="1054"/>
      <c r="R461" s="1054"/>
      <c r="S461" s="1054"/>
      <c r="T461" s="1054"/>
      <c r="U461" s="1054"/>
      <c r="V461" s="1054"/>
      <c r="W461" s="1054"/>
      <c r="X461" s="1054"/>
      <c r="Y461" s="1054"/>
      <c r="Z461" s="1054"/>
      <c r="AA461" s="1054"/>
      <c r="AB461" s="1054"/>
    </row>
    <row r="462">
      <c r="A462" s="1054"/>
      <c r="B462" s="1061"/>
      <c r="C462" s="1061"/>
      <c r="D462" s="1061"/>
      <c r="E462" s="1061"/>
      <c r="F462" s="1061"/>
      <c r="G462" s="1061"/>
      <c r="H462" s="1063"/>
      <c r="I462" s="1054"/>
      <c r="J462" s="1054"/>
      <c r="K462" s="1054"/>
      <c r="L462" s="1054"/>
      <c r="M462" s="1054"/>
      <c r="N462" s="1054"/>
      <c r="O462" s="1054"/>
      <c r="P462" s="1054"/>
      <c r="Q462" s="1054"/>
      <c r="R462" s="1054"/>
      <c r="S462" s="1054"/>
      <c r="T462" s="1054"/>
      <c r="U462" s="1054"/>
      <c r="V462" s="1054"/>
      <c r="W462" s="1054"/>
      <c r="X462" s="1054"/>
      <c r="Y462" s="1054"/>
      <c r="Z462" s="1054"/>
      <c r="AA462" s="1054"/>
      <c r="AB462" s="1054"/>
    </row>
    <row r="463">
      <c r="A463" s="1054"/>
      <c r="B463" s="1061"/>
      <c r="C463" s="1061"/>
      <c r="D463" s="1061"/>
      <c r="E463" s="1061"/>
      <c r="F463" s="1061"/>
      <c r="G463" s="1061"/>
      <c r="H463" s="1063"/>
      <c r="I463" s="1054"/>
      <c r="J463" s="1054"/>
      <c r="K463" s="1054"/>
      <c r="L463" s="1054"/>
      <c r="M463" s="1054"/>
      <c r="N463" s="1054"/>
      <c r="O463" s="1054"/>
      <c r="P463" s="1054"/>
      <c r="Q463" s="1054"/>
      <c r="R463" s="1054"/>
      <c r="S463" s="1054"/>
      <c r="T463" s="1054"/>
      <c r="U463" s="1054"/>
      <c r="V463" s="1054"/>
      <c r="W463" s="1054"/>
      <c r="X463" s="1054"/>
      <c r="Y463" s="1054"/>
      <c r="Z463" s="1054"/>
      <c r="AA463" s="1054"/>
      <c r="AB463" s="1054"/>
    </row>
    <row r="464">
      <c r="A464" s="1054"/>
      <c r="B464" s="1061"/>
      <c r="C464" s="1061"/>
      <c r="D464" s="1061"/>
      <c r="E464" s="1061"/>
      <c r="F464" s="1061"/>
      <c r="G464" s="1061"/>
      <c r="H464" s="1063"/>
      <c r="I464" s="1054"/>
      <c r="J464" s="1054"/>
      <c r="K464" s="1054"/>
      <c r="L464" s="1054"/>
      <c r="M464" s="1054"/>
      <c r="N464" s="1054"/>
      <c r="O464" s="1054"/>
      <c r="P464" s="1054"/>
      <c r="Q464" s="1054"/>
      <c r="R464" s="1054"/>
      <c r="S464" s="1054"/>
      <c r="T464" s="1054"/>
      <c r="U464" s="1054"/>
      <c r="V464" s="1054"/>
      <c r="W464" s="1054"/>
      <c r="X464" s="1054"/>
      <c r="Y464" s="1054"/>
      <c r="Z464" s="1054"/>
      <c r="AA464" s="1054"/>
      <c r="AB464" s="1054"/>
    </row>
    <row r="465">
      <c r="A465" s="1054"/>
      <c r="B465" s="1061"/>
      <c r="C465" s="1061"/>
      <c r="D465" s="1061"/>
      <c r="E465" s="1061"/>
      <c r="F465" s="1061"/>
      <c r="G465" s="1061"/>
      <c r="H465" s="1063"/>
      <c r="I465" s="1054"/>
      <c r="J465" s="1054"/>
      <c r="K465" s="1054"/>
      <c r="L465" s="1054"/>
      <c r="M465" s="1054"/>
      <c r="N465" s="1054"/>
      <c r="O465" s="1054"/>
      <c r="P465" s="1054"/>
      <c r="Q465" s="1054"/>
      <c r="R465" s="1054"/>
      <c r="S465" s="1054"/>
      <c r="T465" s="1054"/>
      <c r="U465" s="1054"/>
      <c r="V465" s="1054"/>
      <c r="W465" s="1054"/>
      <c r="X465" s="1054"/>
      <c r="Y465" s="1054"/>
      <c r="Z465" s="1054"/>
      <c r="AA465" s="1054"/>
      <c r="AB465" s="1054"/>
    </row>
    <row r="466">
      <c r="A466" s="1054"/>
      <c r="B466" s="1061"/>
      <c r="C466" s="1061"/>
      <c r="D466" s="1061"/>
      <c r="E466" s="1061"/>
      <c r="F466" s="1061"/>
      <c r="G466" s="1061"/>
      <c r="H466" s="1063"/>
      <c r="I466" s="1054"/>
      <c r="J466" s="1054"/>
      <c r="K466" s="1054"/>
      <c r="L466" s="1054"/>
      <c r="M466" s="1054"/>
      <c r="N466" s="1054"/>
      <c r="O466" s="1054"/>
      <c r="P466" s="1054"/>
      <c r="Q466" s="1054"/>
      <c r="R466" s="1054"/>
      <c r="S466" s="1054"/>
      <c r="T466" s="1054"/>
      <c r="U466" s="1054"/>
      <c r="V466" s="1054"/>
      <c r="W466" s="1054"/>
      <c r="X466" s="1054"/>
      <c r="Y466" s="1054"/>
      <c r="Z466" s="1054"/>
      <c r="AA466" s="1054"/>
      <c r="AB466" s="1054"/>
    </row>
    <row r="467">
      <c r="A467" s="1054"/>
      <c r="B467" s="1061"/>
      <c r="C467" s="1061"/>
      <c r="D467" s="1061"/>
      <c r="E467" s="1061"/>
      <c r="F467" s="1061"/>
      <c r="G467" s="1061"/>
      <c r="H467" s="1063"/>
      <c r="I467" s="1054"/>
      <c r="J467" s="1054"/>
      <c r="K467" s="1054"/>
      <c r="L467" s="1054"/>
      <c r="M467" s="1054"/>
      <c r="N467" s="1054"/>
      <c r="O467" s="1054"/>
      <c r="P467" s="1054"/>
      <c r="Q467" s="1054"/>
      <c r="R467" s="1054"/>
      <c r="S467" s="1054"/>
      <c r="T467" s="1054"/>
      <c r="U467" s="1054"/>
      <c r="V467" s="1054"/>
      <c r="W467" s="1054"/>
      <c r="X467" s="1054"/>
      <c r="Y467" s="1054"/>
      <c r="Z467" s="1054"/>
      <c r="AA467" s="1054"/>
      <c r="AB467" s="1054"/>
    </row>
    <row r="468">
      <c r="A468" s="1054"/>
      <c r="B468" s="1061"/>
      <c r="C468" s="1061"/>
      <c r="D468" s="1061"/>
      <c r="E468" s="1061"/>
      <c r="F468" s="1061"/>
      <c r="G468" s="1061"/>
      <c r="H468" s="1063"/>
      <c r="I468" s="1054"/>
      <c r="J468" s="1054"/>
      <c r="K468" s="1054"/>
      <c r="L468" s="1054"/>
      <c r="M468" s="1054"/>
      <c r="N468" s="1054"/>
      <c r="O468" s="1054"/>
      <c r="P468" s="1054"/>
      <c r="Q468" s="1054"/>
      <c r="R468" s="1054"/>
      <c r="S468" s="1054"/>
      <c r="T468" s="1054"/>
      <c r="U468" s="1054"/>
      <c r="V468" s="1054"/>
      <c r="W468" s="1054"/>
      <c r="X468" s="1054"/>
      <c r="Y468" s="1054"/>
      <c r="Z468" s="1054"/>
      <c r="AA468" s="1054"/>
      <c r="AB468" s="1054"/>
    </row>
    <row r="469">
      <c r="A469" s="1054"/>
      <c r="B469" s="1061"/>
      <c r="C469" s="1061"/>
      <c r="D469" s="1061"/>
      <c r="E469" s="1061"/>
      <c r="F469" s="1061"/>
      <c r="G469" s="1061"/>
      <c r="H469" s="1063"/>
      <c r="I469" s="1054"/>
      <c r="J469" s="1054"/>
      <c r="K469" s="1054"/>
      <c r="L469" s="1054"/>
      <c r="M469" s="1054"/>
      <c r="N469" s="1054"/>
      <c r="O469" s="1054"/>
      <c r="P469" s="1054"/>
      <c r="Q469" s="1054"/>
      <c r="R469" s="1054"/>
      <c r="S469" s="1054"/>
      <c r="T469" s="1054"/>
      <c r="U469" s="1054"/>
      <c r="V469" s="1054"/>
      <c r="W469" s="1054"/>
      <c r="X469" s="1054"/>
      <c r="Y469" s="1054"/>
      <c r="Z469" s="1054"/>
      <c r="AA469" s="1054"/>
      <c r="AB469" s="1054"/>
    </row>
    <row r="470">
      <c r="A470" s="1054"/>
      <c r="B470" s="1061"/>
      <c r="C470" s="1061"/>
      <c r="D470" s="1061"/>
      <c r="E470" s="1061"/>
      <c r="F470" s="1061"/>
      <c r="G470" s="1061"/>
      <c r="H470" s="1063"/>
      <c r="I470" s="1054"/>
      <c r="J470" s="1054"/>
      <c r="K470" s="1054"/>
      <c r="L470" s="1054"/>
      <c r="M470" s="1054"/>
      <c r="N470" s="1054"/>
      <c r="O470" s="1054"/>
      <c r="P470" s="1054"/>
      <c r="Q470" s="1054"/>
      <c r="R470" s="1054"/>
      <c r="S470" s="1054"/>
      <c r="T470" s="1054"/>
      <c r="U470" s="1054"/>
      <c r="V470" s="1054"/>
      <c r="W470" s="1054"/>
      <c r="X470" s="1054"/>
      <c r="Y470" s="1054"/>
      <c r="Z470" s="1054"/>
      <c r="AA470" s="1054"/>
      <c r="AB470" s="1054"/>
    </row>
    <row r="471">
      <c r="A471" s="1054"/>
      <c r="B471" s="1061"/>
      <c r="C471" s="1061"/>
      <c r="D471" s="1061"/>
      <c r="E471" s="1061"/>
      <c r="F471" s="1061"/>
      <c r="G471" s="1061"/>
      <c r="H471" s="1063"/>
      <c r="I471" s="1054"/>
      <c r="J471" s="1054"/>
      <c r="K471" s="1054"/>
      <c r="L471" s="1054"/>
      <c r="M471" s="1054"/>
      <c r="N471" s="1054"/>
      <c r="O471" s="1054"/>
      <c r="P471" s="1054"/>
      <c r="Q471" s="1054"/>
      <c r="R471" s="1054"/>
      <c r="S471" s="1054"/>
      <c r="T471" s="1054"/>
      <c r="U471" s="1054"/>
      <c r="V471" s="1054"/>
      <c r="W471" s="1054"/>
      <c r="X471" s="1054"/>
      <c r="Y471" s="1054"/>
      <c r="Z471" s="1054"/>
      <c r="AA471" s="1054"/>
      <c r="AB471" s="1054"/>
    </row>
    <row r="472">
      <c r="A472" s="1054"/>
      <c r="B472" s="1061"/>
      <c r="C472" s="1061"/>
      <c r="D472" s="1061"/>
      <c r="E472" s="1061"/>
      <c r="F472" s="1061"/>
      <c r="G472" s="1061"/>
      <c r="H472" s="1063"/>
      <c r="I472" s="1054"/>
      <c r="J472" s="1054"/>
      <c r="K472" s="1054"/>
      <c r="L472" s="1054"/>
      <c r="M472" s="1054"/>
      <c r="N472" s="1054"/>
      <c r="O472" s="1054"/>
      <c r="P472" s="1054"/>
      <c r="Q472" s="1054"/>
      <c r="R472" s="1054"/>
      <c r="S472" s="1054"/>
      <c r="T472" s="1054"/>
      <c r="U472" s="1054"/>
      <c r="V472" s="1054"/>
      <c r="W472" s="1054"/>
      <c r="X472" s="1054"/>
      <c r="Y472" s="1054"/>
      <c r="Z472" s="1054"/>
      <c r="AA472" s="1054"/>
      <c r="AB472" s="1054"/>
    </row>
    <row r="473">
      <c r="A473" s="1054"/>
      <c r="B473" s="1061"/>
      <c r="C473" s="1061"/>
      <c r="D473" s="1061"/>
      <c r="E473" s="1061"/>
      <c r="F473" s="1061"/>
      <c r="G473" s="1061"/>
      <c r="H473" s="1063"/>
      <c r="I473" s="1054"/>
      <c r="J473" s="1054"/>
      <c r="K473" s="1054"/>
      <c r="L473" s="1054"/>
      <c r="M473" s="1054"/>
      <c r="N473" s="1054"/>
      <c r="O473" s="1054"/>
      <c r="P473" s="1054"/>
      <c r="Q473" s="1054"/>
      <c r="R473" s="1054"/>
      <c r="S473" s="1054"/>
      <c r="T473" s="1054"/>
      <c r="U473" s="1054"/>
      <c r="V473" s="1054"/>
      <c r="W473" s="1054"/>
      <c r="X473" s="1054"/>
      <c r="Y473" s="1054"/>
      <c r="Z473" s="1054"/>
      <c r="AA473" s="1054"/>
      <c r="AB473" s="1054"/>
    </row>
    <row r="474">
      <c r="A474" s="1054"/>
      <c r="B474" s="1061"/>
      <c r="C474" s="1061"/>
      <c r="D474" s="1061"/>
      <c r="E474" s="1061"/>
      <c r="F474" s="1061"/>
      <c r="G474" s="1061"/>
      <c r="H474" s="1063"/>
      <c r="I474" s="1054"/>
      <c r="J474" s="1054"/>
      <c r="K474" s="1054"/>
      <c r="L474" s="1054"/>
      <c r="M474" s="1054"/>
      <c r="N474" s="1054"/>
      <c r="O474" s="1054"/>
      <c r="P474" s="1054"/>
      <c r="Q474" s="1054"/>
      <c r="R474" s="1054"/>
      <c r="S474" s="1054"/>
      <c r="T474" s="1054"/>
      <c r="U474" s="1054"/>
      <c r="V474" s="1054"/>
      <c r="W474" s="1054"/>
      <c r="X474" s="1054"/>
      <c r="Y474" s="1054"/>
      <c r="Z474" s="1054"/>
      <c r="AA474" s="1054"/>
      <c r="AB474" s="1054"/>
    </row>
    <row r="475">
      <c r="A475" s="1054"/>
      <c r="B475" s="1061"/>
      <c r="C475" s="1061"/>
      <c r="D475" s="1061"/>
      <c r="E475" s="1061"/>
      <c r="F475" s="1061"/>
      <c r="G475" s="1061"/>
      <c r="H475" s="1063"/>
      <c r="I475" s="1054"/>
      <c r="J475" s="1054"/>
      <c r="K475" s="1054"/>
      <c r="L475" s="1054"/>
      <c r="M475" s="1054"/>
      <c r="N475" s="1054"/>
      <c r="O475" s="1054"/>
      <c r="P475" s="1054"/>
      <c r="Q475" s="1054"/>
      <c r="R475" s="1054"/>
      <c r="S475" s="1054"/>
      <c r="T475" s="1054"/>
      <c r="U475" s="1054"/>
      <c r="V475" s="1054"/>
      <c r="W475" s="1054"/>
      <c r="X475" s="1054"/>
      <c r="Y475" s="1054"/>
      <c r="Z475" s="1054"/>
      <c r="AA475" s="1054"/>
      <c r="AB475" s="1054"/>
    </row>
    <row r="476">
      <c r="A476" s="1054"/>
      <c r="B476" s="1061"/>
      <c r="C476" s="1061"/>
      <c r="D476" s="1061"/>
      <c r="E476" s="1061"/>
      <c r="F476" s="1061"/>
      <c r="G476" s="1061"/>
      <c r="H476" s="1063"/>
      <c r="I476" s="1054"/>
      <c r="J476" s="1054"/>
      <c r="K476" s="1054"/>
      <c r="L476" s="1054"/>
      <c r="M476" s="1054"/>
      <c r="N476" s="1054"/>
      <c r="O476" s="1054"/>
      <c r="P476" s="1054"/>
      <c r="Q476" s="1054"/>
      <c r="R476" s="1054"/>
      <c r="S476" s="1054"/>
      <c r="T476" s="1054"/>
      <c r="U476" s="1054"/>
      <c r="V476" s="1054"/>
      <c r="W476" s="1054"/>
      <c r="X476" s="1054"/>
      <c r="Y476" s="1054"/>
      <c r="Z476" s="1054"/>
      <c r="AA476" s="1054"/>
      <c r="AB476" s="1054"/>
    </row>
    <row r="477">
      <c r="A477" s="1054"/>
      <c r="B477" s="1061"/>
      <c r="C477" s="1061"/>
      <c r="D477" s="1061"/>
      <c r="E477" s="1061"/>
      <c r="F477" s="1061"/>
      <c r="G477" s="1061"/>
      <c r="H477" s="1063"/>
      <c r="I477" s="1054"/>
      <c r="J477" s="1054"/>
      <c r="K477" s="1054"/>
      <c r="L477" s="1054"/>
      <c r="M477" s="1054"/>
      <c r="N477" s="1054"/>
      <c r="O477" s="1054"/>
      <c r="P477" s="1054"/>
      <c r="Q477" s="1054"/>
      <c r="R477" s="1054"/>
      <c r="S477" s="1054"/>
      <c r="T477" s="1054"/>
      <c r="U477" s="1054"/>
      <c r="V477" s="1054"/>
      <c r="W477" s="1054"/>
      <c r="X477" s="1054"/>
      <c r="Y477" s="1054"/>
      <c r="Z477" s="1054"/>
      <c r="AA477" s="1054"/>
      <c r="AB477" s="1054"/>
    </row>
    <row r="478">
      <c r="A478" s="1054"/>
      <c r="B478" s="1061"/>
      <c r="C478" s="1061"/>
      <c r="D478" s="1061"/>
      <c r="E478" s="1061"/>
      <c r="F478" s="1061"/>
      <c r="G478" s="1061"/>
      <c r="H478" s="1063"/>
      <c r="I478" s="1054"/>
      <c r="J478" s="1054"/>
      <c r="K478" s="1054"/>
      <c r="L478" s="1054"/>
      <c r="M478" s="1054"/>
      <c r="N478" s="1054"/>
      <c r="O478" s="1054"/>
      <c r="P478" s="1054"/>
      <c r="Q478" s="1054"/>
      <c r="R478" s="1054"/>
      <c r="S478" s="1054"/>
      <c r="T478" s="1054"/>
      <c r="U478" s="1054"/>
      <c r="V478" s="1054"/>
      <c r="W478" s="1054"/>
      <c r="X478" s="1054"/>
      <c r="Y478" s="1054"/>
      <c r="Z478" s="1054"/>
      <c r="AA478" s="1054"/>
      <c r="AB478" s="1054"/>
    </row>
    <row r="479">
      <c r="A479" s="1054"/>
      <c r="B479" s="1061"/>
      <c r="C479" s="1061"/>
      <c r="D479" s="1061"/>
      <c r="E479" s="1061"/>
      <c r="F479" s="1061"/>
      <c r="G479" s="1061"/>
      <c r="H479" s="1063"/>
      <c r="I479" s="1054"/>
      <c r="J479" s="1054"/>
      <c r="K479" s="1054"/>
      <c r="L479" s="1054"/>
      <c r="M479" s="1054"/>
      <c r="N479" s="1054"/>
      <c r="O479" s="1054"/>
      <c r="P479" s="1054"/>
      <c r="Q479" s="1054"/>
      <c r="R479" s="1054"/>
      <c r="S479" s="1054"/>
      <c r="T479" s="1054"/>
      <c r="U479" s="1054"/>
      <c r="V479" s="1054"/>
      <c r="W479" s="1054"/>
      <c r="X479" s="1054"/>
      <c r="Y479" s="1054"/>
      <c r="Z479" s="1054"/>
      <c r="AA479" s="1054"/>
      <c r="AB479" s="1054"/>
    </row>
    <row r="480">
      <c r="A480" s="1054"/>
      <c r="B480" s="1061"/>
      <c r="C480" s="1061"/>
      <c r="D480" s="1061"/>
      <c r="E480" s="1061"/>
      <c r="F480" s="1061"/>
      <c r="G480" s="1061"/>
      <c r="H480" s="1063"/>
      <c r="I480" s="1054"/>
      <c r="J480" s="1054"/>
      <c r="K480" s="1054"/>
      <c r="L480" s="1054"/>
      <c r="M480" s="1054"/>
      <c r="N480" s="1054"/>
      <c r="O480" s="1054"/>
      <c r="P480" s="1054"/>
      <c r="Q480" s="1054"/>
      <c r="R480" s="1054"/>
      <c r="S480" s="1054"/>
      <c r="T480" s="1054"/>
      <c r="U480" s="1054"/>
      <c r="V480" s="1054"/>
      <c r="W480" s="1054"/>
      <c r="X480" s="1054"/>
      <c r="Y480" s="1054"/>
      <c r="Z480" s="1054"/>
      <c r="AA480" s="1054"/>
      <c r="AB480" s="1054"/>
    </row>
    <row r="481">
      <c r="A481" s="1054"/>
      <c r="B481" s="1061"/>
      <c r="C481" s="1061"/>
      <c r="D481" s="1061"/>
      <c r="E481" s="1061"/>
      <c r="F481" s="1061"/>
      <c r="G481" s="1061"/>
      <c r="H481" s="1063"/>
      <c r="I481" s="1054"/>
      <c r="J481" s="1054"/>
      <c r="K481" s="1054"/>
      <c r="L481" s="1054"/>
      <c r="M481" s="1054"/>
      <c r="N481" s="1054"/>
      <c r="O481" s="1054"/>
      <c r="P481" s="1054"/>
      <c r="Q481" s="1054"/>
      <c r="R481" s="1054"/>
      <c r="S481" s="1054"/>
      <c r="T481" s="1054"/>
      <c r="U481" s="1054"/>
      <c r="V481" s="1054"/>
      <c r="W481" s="1054"/>
      <c r="X481" s="1054"/>
      <c r="Y481" s="1054"/>
      <c r="Z481" s="1054"/>
      <c r="AA481" s="1054"/>
      <c r="AB481" s="1054"/>
    </row>
    <row r="482">
      <c r="A482" s="1054"/>
      <c r="B482" s="1061"/>
      <c r="C482" s="1061"/>
      <c r="D482" s="1061"/>
      <c r="E482" s="1061"/>
      <c r="F482" s="1061"/>
      <c r="G482" s="1061"/>
      <c r="H482" s="1063"/>
      <c r="I482" s="1054"/>
      <c r="J482" s="1054"/>
      <c r="K482" s="1054"/>
      <c r="L482" s="1054"/>
      <c r="M482" s="1054"/>
      <c r="N482" s="1054"/>
      <c r="O482" s="1054"/>
      <c r="P482" s="1054"/>
      <c r="Q482" s="1054"/>
      <c r="R482" s="1054"/>
      <c r="S482" s="1054"/>
      <c r="T482" s="1054"/>
      <c r="U482" s="1054"/>
      <c r="V482" s="1054"/>
      <c r="W482" s="1054"/>
      <c r="X482" s="1054"/>
      <c r="Y482" s="1054"/>
      <c r="Z482" s="1054"/>
      <c r="AA482" s="1054"/>
      <c r="AB482" s="1054"/>
    </row>
    <row r="483">
      <c r="A483" s="1054"/>
      <c r="B483" s="1061"/>
      <c r="C483" s="1061"/>
      <c r="D483" s="1061"/>
      <c r="E483" s="1061"/>
      <c r="F483" s="1061"/>
      <c r="G483" s="1061"/>
      <c r="H483" s="1063"/>
      <c r="I483" s="1054"/>
      <c r="J483" s="1054"/>
      <c r="K483" s="1054"/>
      <c r="L483" s="1054"/>
      <c r="M483" s="1054"/>
      <c r="N483" s="1054"/>
      <c r="O483" s="1054"/>
      <c r="P483" s="1054"/>
      <c r="Q483" s="1054"/>
      <c r="R483" s="1054"/>
      <c r="S483" s="1054"/>
      <c r="T483" s="1054"/>
      <c r="U483" s="1054"/>
      <c r="V483" s="1054"/>
      <c r="W483" s="1054"/>
      <c r="X483" s="1054"/>
      <c r="Y483" s="1054"/>
      <c r="Z483" s="1054"/>
      <c r="AA483" s="1054"/>
      <c r="AB483" s="1054"/>
    </row>
    <row r="484">
      <c r="A484" s="1054"/>
      <c r="B484" s="1061"/>
      <c r="C484" s="1061"/>
      <c r="D484" s="1061"/>
      <c r="E484" s="1061"/>
      <c r="F484" s="1061"/>
      <c r="G484" s="1061"/>
      <c r="H484" s="1063"/>
      <c r="I484" s="1054"/>
      <c r="J484" s="1054"/>
      <c r="K484" s="1054"/>
      <c r="L484" s="1054"/>
      <c r="M484" s="1054"/>
      <c r="N484" s="1054"/>
      <c r="O484" s="1054"/>
      <c r="P484" s="1054"/>
      <c r="Q484" s="1054"/>
      <c r="R484" s="1054"/>
      <c r="S484" s="1054"/>
      <c r="T484" s="1054"/>
      <c r="U484" s="1054"/>
      <c r="V484" s="1054"/>
      <c r="W484" s="1054"/>
      <c r="X484" s="1054"/>
      <c r="Y484" s="1054"/>
      <c r="Z484" s="1054"/>
      <c r="AA484" s="1054"/>
      <c r="AB484" s="1054"/>
    </row>
    <row r="485">
      <c r="A485" s="1054"/>
      <c r="B485" s="1061"/>
      <c r="C485" s="1061"/>
      <c r="D485" s="1061"/>
      <c r="E485" s="1061"/>
      <c r="F485" s="1061"/>
      <c r="G485" s="1061"/>
      <c r="H485" s="1063"/>
      <c r="I485" s="1054"/>
      <c r="J485" s="1054"/>
      <c r="K485" s="1054"/>
      <c r="L485" s="1054"/>
      <c r="M485" s="1054"/>
      <c r="N485" s="1054"/>
      <c r="O485" s="1054"/>
      <c r="P485" s="1054"/>
      <c r="Q485" s="1054"/>
      <c r="R485" s="1054"/>
      <c r="S485" s="1054"/>
      <c r="T485" s="1054"/>
      <c r="U485" s="1054"/>
      <c r="V485" s="1054"/>
      <c r="W485" s="1054"/>
      <c r="X485" s="1054"/>
      <c r="Y485" s="1054"/>
      <c r="Z485" s="1054"/>
      <c r="AA485" s="1054"/>
      <c r="AB485" s="1054"/>
    </row>
    <row r="486">
      <c r="A486" s="1054"/>
      <c r="B486" s="1061"/>
      <c r="C486" s="1061"/>
      <c r="D486" s="1061"/>
      <c r="E486" s="1061"/>
      <c r="F486" s="1061"/>
      <c r="G486" s="1061"/>
      <c r="H486" s="1063"/>
      <c r="I486" s="1054"/>
      <c r="J486" s="1054"/>
      <c r="K486" s="1054"/>
      <c r="L486" s="1054"/>
      <c r="M486" s="1054"/>
      <c r="N486" s="1054"/>
      <c r="O486" s="1054"/>
      <c r="P486" s="1054"/>
      <c r="Q486" s="1054"/>
      <c r="R486" s="1054"/>
      <c r="S486" s="1054"/>
      <c r="T486" s="1054"/>
      <c r="U486" s="1054"/>
      <c r="V486" s="1054"/>
      <c r="W486" s="1054"/>
      <c r="X486" s="1054"/>
      <c r="Y486" s="1054"/>
      <c r="Z486" s="1054"/>
      <c r="AA486" s="1054"/>
      <c r="AB486" s="1054"/>
    </row>
    <row r="487">
      <c r="A487" s="1054"/>
      <c r="B487" s="1061"/>
      <c r="C487" s="1061"/>
      <c r="D487" s="1061"/>
      <c r="E487" s="1061"/>
      <c r="F487" s="1061"/>
      <c r="G487" s="1061"/>
      <c r="H487" s="1063"/>
      <c r="I487" s="1054"/>
      <c r="J487" s="1054"/>
      <c r="K487" s="1054"/>
      <c r="L487" s="1054"/>
      <c r="M487" s="1054"/>
      <c r="N487" s="1054"/>
      <c r="O487" s="1054"/>
      <c r="P487" s="1054"/>
      <c r="Q487" s="1054"/>
      <c r="R487" s="1054"/>
      <c r="S487" s="1054"/>
      <c r="T487" s="1054"/>
      <c r="U487" s="1054"/>
      <c r="V487" s="1054"/>
      <c r="W487" s="1054"/>
      <c r="X487" s="1054"/>
      <c r="Y487" s="1054"/>
      <c r="Z487" s="1054"/>
      <c r="AA487" s="1054"/>
      <c r="AB487" s="1054"/>
    </row>
    <row r="488">
      <c r="A488" s="1054"/>
      <c r="B488" s="1061"/>
      <c r="C488" s="1061"/>
      <c r="D488" s="1061"/>
      <c r="E488" s="1061"/>
      <c r="F488" s="1061"/>
      <c r="G488" s="1061"/>
      <c r="H488" s="1063"/>
      <c r="I488" s="1054"/>
      <c r="J488" s="1054"/>
      <c r="K488" s="1054"/>
      <c r="L488" s="1054"/>
      <c r="M488" s="1054"/>
      <c r="N488" s="1054"/>
      <c r="O488" s="1054"/>
      <c r="P488" s="1054"/>
      <c r="Q488" s="1054"/>
      <c r="R488" s="1054"/>
      <c r="S488" s="1054"/>
      <c r="T488" s="1054"/>
      <c r="U488" s="1054"/>
      <c r="V488" s="1054"/>
      <c r="W488" s="1054"/>
      <c r="X488" s="1054"/>
      <c r="Y488" s="1054"/>
      <c r="Z488" s="1054"/>
      <c r="AA488" s="1054"/>
      <c r="AB488" s="1054"/>
    </row>
    <row r="489">
      <c r="A489" s="1054"/>
      <c r="B489" s="1061"/>
      <c r="C489" s="1061"/>
      <c r="D489" s="1061"/>
      <c r="E489" s="1061"/>
      <c r="F489" s="1061"/>
      <c r="G489" s="1061"/>
      <c r="H489" s="1063"/>
      <c r="I489" s="1054"/>
      <c r="J489" s="1054"/>
      <c r="K489" s="1054"/>
      <c r="L489" s="1054"/>
      <c r="M489" s="1054"/>
      <c r="N489" s="1054"/>
      <c r="O489" s="1054"/>
      <c r="P489" s="1054"/>
      <c r="Q489" s="1054"/>
      <c r="R489" s="1054"/>
      <c r="S489" s="1054"/>
      <c r="T489" s="1054"/>
      <c r="U489" s="1054"/>
      <c r="V489" s="1054"/>
      <c r="W489" s="1054"/>
      <c r="X489" s="1054"/>
      <c r="Y489" s="1054"/>
      <c r="Z489" s="1054"/>
      <c r="AA489" s="1054"/>
      <c r="AB489" s="1054"/>
    </row>
    <row r="490">
      <c r="A490" s="1054"/>
      <c r="B490" s="1061"/>
      <c r="C490" s="1061"/>
      <c r="D490" s="1061"/>
      <c r="E490" s="1061"/>
      <c r="F490" s="1061"/>
      <c r="G490" s="1061"/>
      <c r="H490" s="1063"/>
      <c r="I490" s="1054"/>
      <c r="J490" s="1054"/>
      <c r="K490" s="1054"/>
      <c r="L490" s="1054"/>
      <c r="M490" s="1054"/>
      <c r="N490" s="1054"/>
      <c r="O490" s="1054"/>
      <c r="P490" s="1054"/>
      <c r="Q490" s="1054"/>
      <c r="R490" s="1054"/>
      <c r="S490" s="1054"/>
      <c r="T490" s="1054"/>
      <c r="U490" s="1054"/>
      <c r="V490" s="1054"/>
      <c r="W490" s="1054"/>
      <c r="X490" s="1054"/>
      <c r="Y490" s="1054"/>
      <c r="Z490" s="1054"/>
      <c r="AA490" s="1054"/>
      <c r="AB490" s="1054"/>
    </row>
    <row r="491">
      <c r="A491" s="1054"/>
      <c r="B491" s="1061"/>
      <c r="C491" s="1061"/>
      <c r="D491" s="1061"/>
      <c r="E491" s="1061"/>
      <c r="F491" s="1061"/>
      <c r="G491" s="1061"/>
      <c r="H491" s="1063"/>
      <c r="I491" s="1054"/>
      <c r="J491" s="1054"/>
      <c r="K491" s="1054"/>
      <c r="L491" s="1054"/>
      <c r="M491" s="1054"/>
      <c r="N491" s="1054"/>
      <c r="O491" s="1054"/>
      <c r="P491" s="1054"/>
      <c r="Q491" s="1054"/>
      <c r="R491" s="1054"/>
      <c r="S491" s="1054"/>
      <c r="T491" s="1054"/>
      <c r="U491" s="1054"/>
      <c r="V491" s="1054"/>
      <c r="W491" s="1054"/>
      <c r="X491" s="1054"/>
      <c r="Y491" s="1054"/>
      <c r="Z491" s="1054"/>
      <c r="AA491" s="1054"/>
      <c r="AB491" s="1054"/>
    </row>
    <row r="492">
      <c r="A492" s="1054"/>
      <c r="B492" s="1061"/>
      <c r="C492" s="1061"/>
      <c r="D492" s="1061"/>
      <c r="E492" s="1061"/>
      <c r="F492" s="1061"/>
      <c r="G492" s="1061"/>
      <c r="H492" s="1063"/>
      <c r="I492" s="1054"/>
      <c r="J492" s="1054"/>
      <c r="K492" s="1054"/>
      <c r="L492" s="1054"/>
      <c r="M492" s="1054"/>
      <c r="N492" s="1054"/>
      <c r="O492" s="1054"/>
      <c r="P492" s="1054"/>
      <c r="Q492" s="1054"/>
      <c r="R492" s="1054"/>
      <c r="S492" s="1054"/>
      <c r="T492" s="1054"/>
      <c r="U492" s="1054"/>
      <c r="V492" s="1054"/>
      <c r="W492" s="1054"/>
      <c r="X492" s="1054"/>
      <c r="Y492" s="1054"/>
      <c r="Z492" s="1054"/>
      <c r="AA492" s="1054"/>
      <c r="AB492" s="1054"/>
    </row>
    <row r="493">
      <c r="A493" s="1054"/>
      <c r="B493" s="1061"/>
      <c r="C493" s="1061"/>
      <c r="D493" s="1061"/>
      <c r="E493" s="1061"/>
      <c r="F493" s="1061"/>
      <c r="G493" s="1061"/>
      <c r="H493" s="1063"/>
      <c r="I493" s="1054"/>
      <c r="J493" s="1054"/>
      <c r="K493" s="1054"/>
      <c r="L493" s="1054"/>
      <c r="M493" s="1054"/>
      <c r="N493" s="1054"/>
      <c r="O493" s="1054"/>
      <c r="P493" s="1054"/>
      <c r="Q493" s="1054"/>
      <c r="R493" s="1054"/>
      <c r="S493" s="1054"/>
      <c r="T493" s="1054"/>
      <c r="U493" s="1054"/>
      <c r="V493" s="1054"/>
      <c r="W493" s="1054"/>
      <c r="X493" s="1054"/>
      <c r="Y493" s="1054"/>
      <c r="Z493" s="1054"/>
      <c r="AA493" s="1054"/>
      <c r="AB493" s="1054"/>
    </row>
    <row r="494">
      <c r="A494" s="1054"/>
      <c r="B494" s="1061"/>
      <c r="C494" s="1061"/>
      <c r="D494" s="1061"/>
      <c r="E494" s="1061"/>
      <c r="F494" s="1061"/>
      <c r="G494" s="1061"/>
      <c r="H494" s="1063"/>
      <c r="I494" s="1054"/>
      <c r="J494" s="1054"/>
      <c r="K494" s="1054"/>
      <c r="L494" s="1054"/>
      <c r="M494" s="1054"/>
      <c r="N494" s="1054"/>
      <c r="O494" s="1054"/>
      <c r="P494" s="1054"/>
      <c r="Q494" s="1054"/>
      <c r="R494" s="1054"/>
      <c r="S494" s="1054"/>
      <c r="T494" s="1054"/>
      <c r="U494" s="1054"/>
      <c r="V494" s="1054"/>
      <c r="W494" s="1054"/>
      <c r="X494" s="1054"/>
      <c r="Y494" s="1054"/>
      <c r="Z494" s="1054"/>
      <c r="AA494" s="1054"/>
      <c r="AB494" s="1054"/>
    </row>
    <row r="495">
      <c r="A495" s="1054"/>
      <c r="B495" s="1061"/>
      <c r="C495" s="1061"/>
      <c r="D495" s="1061"/>
      <c r="E495" s="1061"/>
      <c r="F495" s="1061"/>
      <c r="G495" s="1061"/>
      <c r="H495" s="1063"/>
      <c r="I495" s="1054"/>
      <c r="J495" s="1054"/>
      <c r="K495" s="1054"/>
      <c r="L495" s="1054"/>
      <c r="M495" s="1054"/>
      <c r="N495" s="1054"/>
      <c r="O495" s="1054"/>
      <c r="P495" s="1054"/>
      <c r="Q495" s="1054"/>
      <c r="R495" s="1054"/>
      <c r="S495" s="1054"/>
      <c r="T495" s="1054"/>
      <c r="U495" s="1054"/>
      <c r="V495" s="1054"/>
      <c r="W495" s="1054"/>
      <c r="X495" s="1054"/>
      <c r="Y495" s="1054"/>
      <c r="Z495" s="1054"/>
      <c r="AA495" s="1054"/>
      <c r="AB495" s="1054"/>
    </row>
    <row r="496">
      <c r="A496" s="1054"/>
      <c r="B496" s="1061"/>
      <c r="C496" s="1061"/>
      <c r="D496" s="1061"/>
      <c r="E496" s="1061"/>
      <c r="F496" s="1061"/>
      <c r="G496" s="1061"/>
      <c r="H496" s="1063"/>
      <c r="I496" s="1054"/>
      <c r="J496" s="1054"/>
      <c r="K496" s="1054"/>
      <c r="L496" s="1054"/>
      <c r="M496" s="1054"/>
      <c r="N496" s="1054"/>
      <c r="O496" s="1054"/>
      <c r="P496" s="1054"/>
      <c r="Q496" s="1054"/>
      <c r="R496" s="1054"/>
      <c r="S496" s="1054"/>
      <c r="T496" s="1054"/>
      <c r="U496" s="1054"/>
      <c r="V496" s="1054"/>
      <c r="W496" s="1054"/>
      <c r="X496" s="1054"/>
      <c r="Y496" s="1054"/>
      <c r="Z496" s="1054"/>
      <c r="AA496" s="1054"/>
      <c r="AB496" s="1054"/>
    </row>
    <row r="497">
      <c r="A497" s="1054"/>
      <c r="B497" s="1061"/>
      <c r="C497" s="1061"/>
      <c r="D497" s="1061"/>
      <c r="E497" s="1061"/>
      <c r="F497" s="1061"/>
      <c r="G497" s="1061"/>
      <c r="H497" s="1063"/>
      <c r="I497" s="1054"/>
      <c r="J497" s="1054"/>
      <c r="K497" s="1054"/>
      <c r="L497" s="1054"/>
      <c r="M497" s="1054"/>
      <c r="N497" s="1054"/>
      <c r="O497" s="1054"/>
      <c r="P497" s="1054"/>
      <c r="Q497" s="1054"/>
      <c r="R497" s="1054"/>
      <c r="S497" s="1054"/>
      <c r="T497" s="1054"/>
      <c r="U497" s="1054"/>
      <c r="V497" s="1054"/>
      <c r="W497" s="1054"/>
      <c r="X497" s="1054"/>
      <c r="Y497" s="1054"/>
      <c r="Z497" s="1054"/>
      <c r="AA497" s="1054"/>
      <c r="AB497" s="1054"/>
    </row>
    <row r="498">
      <c r="A498" s="1054"/>
      <c r="B498" s="1061"/>
      <c r="C498" s="1061"/>
      <c r="D498" s="1061"/>
      <c r="E498" s="1061"/>
      <c r="F498" s="1061"/>
      <c r="G498" s="1061"/>
      <c r="H498" s="1063"/>
      <c r="I498" s="1054"/>
      <c r="J498" s="1054"/>
      <c r="K498" s="1054"/>
      <c r="L498" s="1054"/>
      <c r="M498" s="1054"/>
      <c r="N498" s="1054"/>
      <c r="O498" s="1054"/>
      <c r="P498" s="1054"/>
      <c r="Q498" s="1054"/>
      <c r="R498" s="1054"/>
      <c r="S498" s="1054"/>
      <c r="T498" s="1054"/>
      <c r="U498" s="1054"/>
      <c r="V498" s="1054"/>
      <c r="W498" s="1054"/>
      <c r="X498" s="1054"/>
      <c r="Y498" s="1054"/>
      <c r="Z498" s="1054"/>
      <c r="AA498" s="1054"/>
      <c r="AB498" s="1054"/>
    </row>
    <row r="499">
      <c r="A499" s="1054"/>
      <c r="B499" s="1061"/>
      <c r="C499" s="1061"/>
      <c r="D499" s="1061"/>
      <c r="E499" s="1061"/>
      <c r="F499" s="1061"/>
      <c r="G499" s="1061"/>
      <c r="H499" s="1063"/>
      <c r="I499" s="1054"/>
      <c r="J499" s="1054"/>
      <c r="K499" s="1054"/>
      <c r="L499" s="1054"/>
      <c r="M499" s="1054"/>
      <c r="N499" s="1054"/>
      <c r="O499" s="1054"/>
      <c r="P499" s="1054"/>
      <c r="Q499" s="1054"/>
      <c r="R499" s="1054"/>
      <c r="S499" s="1054"/>
      <c r="T499" s="1054"/>
      <c r="U499" s="1054"/>
      <c r="V499" s="1054"/>
      <c r="W499" s="1054"/>
      <c r="X499" s="1054"/>
      <c r="Y499" s="1054"/>
      <c r="Z499" s="1054"/>
      <c r="AA499" s="1054"/>
      <c r="AB499" s="1054"/>
    </row>
    <row r="500">
      <c r="A500" s="1054"/>
      <c r="B500" s="1061"/>
      <c r="C500" s="1061"/>
      <c r="D500" s="1061"/>
      <c r="E500" s="1061"/>
      <c r="F500" s="1061"/>
      <c r="G500" s="1061"/>
      <c r="H500" s="1063"/>
      <c r="I500" s="1054"/>
      <c r="J500" s="1054"/>
      <c r="K500" s="1054"/>
      <c r="L500" s="1054"/>
      <c r="M500" s="1054"/>
      <c r="N500" s="1054"/>
      <c r="O500" s="1054"/>
      <c r="P500" s="1054"/>
      <c r="Q500" s="1054"/>
      <c r="R500" s="1054"/>
      <c r="S500" s="1054"/>
      <c r="T500" s="1054"/>
      <c r="U500" s="1054"/>
      <c r="V500" s="1054"/>
      <c r="W500" s="1054"/>
      <c r="X500" s="1054"/>
      <c r="Y500" s="1054"/>
      <c r="Z500" s="1054"/>
      <c r="AA500" s="1054"/>
      <c r="AB500" s="1054"/>
    </row>
    <row r="501">
      <c r="A501" s="1054"/>
      <c r="B501" s="1061"/>
      <c r="C501" s="1061"/>
      <c r="D501" s="1061"/>
      <c r="E501" s="1061"/>
      <c r="F501" s="1061"/>
      <c r="G501" s="1061"/>
      <c r="H501" s="1063"/>
      <c r="I501" s="1054"/>
      <c r="J501" s="1054"/>
      <c r="K501" s="1054"/>
      <c r="L501" s="1054"/>
      <c r="M501" s="1054"/>
      <c r="N501" s="1054"/>
      <c r="O501" s="1054"/>
      <c r="P501" s="1054"/>
      <c r="Q501" s="1054"/>
      <c r="R501" s="1054"/>
      <c r="S501" s="1054"/>
      <c r="T501" s="1054"/>
      <c r="U501" s="1054"/>
      <c r="V501" s="1054"/>
      <c r="W501" s="1054"/>
      <c r="X501" s="1054"/>
      <c r="Y501" s="1054"/>
      <c r="Z501" s="1054"/>
      <c r="AA501" s="1054"/>
      <c r="AB501" s="1054"/>
    </row>
    <row r="502">
      <c r="A502" s="1054"/>
      <c r="B502" s="1061"/>
      <c r="C502" s="1061"/>
      <c r="D502" s="1061"/>
      <c r="E502" s="1061"/>
      <c r="F502" s="1061"/>
      <c r="G502" s="1061"/>
      <c r="H502" s="1063"/>
      <c r="I502" s="1054"/>
      <c r="J502" s="1054"/>
      <c r="K502" s="1054"/>
      <c r="L502" s="1054"/>
      <c r="M502" s="1054"/>
      <c r="N502" s="1054"/>
      <c r="O502" s="1054"/>
      <c r="P502" s="1054"/>
      <c r="Q502" s="1054"/>
      <c r="R502" s="1054"/>
      <c r="S502" s="1054"/>
      <c r="T502" s="1054"/>
      <c r="U502" s="1054"/>
      <c r="V502" s="1054"/>
      <c r="W502" s="1054"/>
      <c r="X502" s="1054"/>
      <c r="Y502" s="1054"/>
      <c r="Z502" s="1054"/>
      <c r="AA502" s="1054"/>
      <c r="AB502" s="1054"/>
    </row>
    <row r="503">
      <c r="A503" s="1054"/>
      <c r="B503" s="1061"/>
      <c r="C503" s="1061"/>
      <c r="D503" s="1061"/>
      <c r="E503" s="1061"/>
      <c r="F503" s="1061"/>
      <c r="G503" s="1061"/>
      <c r="H503" s="1063"/>
      <c r="I503" s="1054"/>
      <c r="J503" s="1054"/>
      <c r="K503" s="1054"/>
      <c r="L503" s="1054"/>
      <c r="M503" s="1054"/>
      <c r="N503" s="1054"/>
      <c r="O503" s="1054"/>
      <c r="P503" s="1054"/>
      <c r="Q503" s="1054"/>
      <c r="R503" s="1054"/>
      <c r="S503" s="1054"/>
      <c r="T503" s="1054"/>
      <c r="U503" s="1054"/>
      <c r="V503" s="1054"/>
      <c r="W503" s="1054"/>
      <c r="X503" s="1054"/>
      <c r="Y503" s="1054"/>
      <c r="Z503" s="1054"/>
      <c r="AA503" s="1054"/>
      <c r="AB503" s="1054"/>
    </row>
    <row r="504">
      <c r="A504" s="1054"/>
      <c r="B504" s="1061"/>
      <c r="C504" s="1061"/>
      <c r="D504" s="1061"/>
      <c r="E504" s="1061"/>
      <c r="F504" s="1061"/>
      <c r="G504" s="1061"/>
      <c r="H504" s="1063"/>
      <c r="I504" s="1054"/>
      <c r="J504" s="1054"/>
      <c r="K504" s="1054"/>
      <c r="L504" s="1054"/>
      <c r="M504" s="1054"/>
      <c r="N504" s="1054"/>
      <c r="O504" s="1054"/>
      <c r="P504" s="1054"/>
      <c r="Q504" s="1054"/>
      <c r="R504" s="1054"/>
      <c r="S504" s="1054"/>
      <c r="T504" s="1054"/>
      <c r="U504" s="1054"/>
      <c r="V504" s="1054"/>
      <c r="W504" s="1054"/>
      <c r="X504" s="1054"/>
      <c r="Y504" s="1054"/>
      <c r="Z504" s="1054"/>
      <c r="AA504" s="1054"/>
      <c r="AB504" s="1054"/>
    </row>
    <row r="505">
      <c r="A505" s="1054"/>
      <c r="B505" s="1061"/>
      <c r="C505" s="1061"/>
      <c r="D505" s="1061"/>
      <c r="E505" s="1061"/>
      <c r="F505" s="1061"/>
      <c r="G505" s="1061"/>
      <c r="H505" s="1063"/>
      <c r="I505" s="1054"/>
      <c r="J505" s="1054"/>
      <c r="K505" s="1054"/>
      <c r="L505" s="1054"/>
      <c r="M505" s="1054"/>
      <c r="N505" s="1054"/>
      <c r="O505" s="1054"/>
      <c r="P505" s="1054"/>
      <c r="Q505" s="1054"/>
      <c r="R505" s="1054"/>
      <c r="S505" s="1054"/>
      <c r="T505" s="1054"/>
      <c r="U505" s="1054"/>
      <c r="V505" s="1054"/>
      <c r="W505" s="1054"/>
      <c r="X505" s="1054"/>
      <c r="Y505" s="1054"/>
      <c r="Z505" s="1054"/>
      <c r="AA505" s="1054"/>
      <c r="AB505" s="1054"/>
    </row>
    <row r="506">
      <c r="A506" s="1054"/>
      <c r="B506" s="1061"/>
      <c r="C506" s="1061"/>
      <c r="D506" s="1061"/>
      <c r="E506" s="1061"/>
      <c r="F506" s="1061"/>
      <c r="G506" s="1061"/>
      <c r="H506" s="1063"/>
      <c r="I506" s="1054"/>
      <c r="J506" s="1054"/>
      <c r="K506" s="1054"/>
      <c r="L506" s="1054"/>
      <c r="M506" s="1054"/>
      <c r="N506" s="1054"/>
      <c r="O506" s="1054"/>
      <c r="P506" s="1054"/>
      <c r="Q506" s="1054"/>
      <c r="R506" s="1054"/>
      <c r="S506" s="1054"/>
      <c r="T506" s="1054"/>
      <c r="U506" s="1054"/>
      <c r="V506" s="1054"/>
      <c r="W506" s="1054"/>
      <c r="X506" s="1054"/>
      <c r="Y506" s="1054"/>
      <c r="Z506" s="1054"/>
      <c r="AA506" s="1054"/>
      <c r="AB506" s="1054"/>
    </row>
    <row r="507">
      <c r="A507" s="1054"/>
      <c r="B507" s="1061"/>
      <c r="C507" s="1061"/>
      <c r="D507" s="1061"/>
      <c r="E507" s="1061"/>
      <c r="F507" s="1061"/>
      <c r="G507" s="1061"/>
      <c r="H507" s="1063"/>
      <c r="I507" s="1054"/>
      <c r="J507" s="1054"/>
      <c r="K507" s="1054"/>
      <c r="L507" s="1054"/>
      <c r="M507" s="1054"/>
      <c r="N507" s="1054"/>
      <c r="O507" s="1054"/>
      <c r="P507" s="1054"/>
      <c r="Q507" s="1054"/>
      <c r="R507" s="1054"/>
      <c r="S507" s="1054"/>
      <c r="T507" s="1054"/>
      <c r="U507" s="1054"/>
      <c r="V507" s="1054"/>
      <c r="W507" s="1054"/>
      <c r="X507" s="1054"/>
      <c r="Y507" s="1054"/>
      <c r="Z507" s="1054"/>
      <c r="AA507" s="1054"/>
      <c r="AB507" s="1054"/>
    </row>
    <row r="508">
      <c r="A508" s="1054"/>
      <c r="B508" s="1061"/>
      <c r="C508" s="1061"/>
      <c r="D508" s="1061"/>
      <c r="E508" s="1061"/>
      <c r="F508" s="1061"/>
      <c r="G508" s="1061"/>
      <c r="H508" s="1063"/>
      <c r="I508" s="1054"/>
      <c r="J508" s="1054"/>
      <c r="K508" s="1054"/>
      <c r="L508" s="1054"/>
      <c r="M508" s="1054"/>
      <c r="N508" s="1054"/>
      <c r="O508" s="1054"/>
      <c r="P508" s="1054"/>
      <c r="Q508" s="1054"/>
      <c r="R508" s="1054"/>
      <c r="S508" s="1054"/>
      <c r="T508" s="1054"/>
      <c r="U508" s="1054"/>
      <c r="V508" s="1054"/>
      <c r="W508" s="1054"/>
      <c r="X508" s="1054"/>
      <c r="Y508" s="1054"/>
      <c r="Z508" s="1054"/>
      <c r="AA508" s="1054"/>
      <c r="AB508" s="1054"/>
    </row>
    <row r="509">
      <c r="A509" s="1054"/>
      <c r="B509" s="1061"/>
      <c r="C509" s="1061"/>
      <c r="D509" s="1061"/>
      <c r="E509" s="1061"/>
      <c r="F509" s="1061"/>
      <c r="G509" s="1061"/>
      <c r="H509" s="1063"/>
      <c r="I509" s="1054"/>
      <c r="J509" s="1054"/>
      <c r="K509" s="1054"/>
      <c r="L509" s="1054"/>
      <c r="M509" s="1054"/>
      <c r="N509" s="1054"/>
      <c r="O509" s="1054"/>
      <c r="P509" s="1054"/>
      <c r="Q509" s="1054"/>
      <c r="R509" s="1054"/>
      <c r="S509" s="1054"/>
      <c r="T509" s="1054"/>
      <c r="U509" s="1054"/>
      <c r="V509" s="1054"/>
      <c r="W509" s="1054"/>
      <c r="X509" s="1054"/>
      <c r="Y509" s="1054"/>
      <c r="Z509" s="1054"/>
      <c r="AA509" s="1054"/>
      <c r="AB509" s="1054"/>
    </row>
    <row r="510">
      <c r="A510" s="1054"/>
      <c r="B510" s="1061"/>
      <c r="C510" s="1061"/>
      <c r="D510" s="1061"/>
      <c r="E510" s="1061"/>
      <c r="F510" s="1061"/>
      <c r="G510" s="1061"/>
      <c r="H510" s="1063"/>
      <c r="I510" s="1054"/>
      <c r="J510" s="1054"/>
      <c r="K510" s="1054"/>
      <c r="L510" s="1054"/>
      <c r="M510" s="1054"/>
      <c r="N510" s="1054"/>
      <c r="O510" s="1054"/>
      <c r="P510" s="1054"/>
      <c r="Q510" s="1054"/>
      <c r="R510" s="1054"/>
      <c r="S510" s="1054"/>
      <c r="T510" s="1054"/>
      <c r="U510" s="1054"/>
      <c r="V510" s="1054"/>
      <c r="W510" s="1054"/>
      <c r="X510" s="1054"/>
      <c r="Y510" s="1054"/>
      <c r="Z510" s="1054"/>
      <c r="AA510" s="1054"/>
      <c r="AB510" s="1054"/>
    </row>
    <row r="511">
      <c r="A511" s="1054"/>
      <c r="B511" s="1061"/>
      <c r="C511" s="1061"/>
      <c r="D511" s="1061"/>
      <c r="E511" s="1061"/>
      <c r="F511" s="1061"/>
      <c r="G511" s="1061"/>
      <c r="H511" s="1063"/>
      <c r="I511" s="1054"/>
      <c r="J511" s="1054"/>
      <c r="K511" s="1054"/>
      <c r="L511" s="1054"/>
      <c r="M511" s="1054"/>
      <c r="N511" s="1054"/>
      <c r="O511" s="1054"/>
      <c r="P511" s="1054"/>
      <c r="Q511" s="1054"/>
      <c r="R511" s="1054"/>
      <c r="S511" s="1054"/>
      <c r="T511" s="1054"/>
      <c r="U511" s="1054"/>
      <c r="V511" s="1054"/>
      <c r="W511" s="1054"/>
      <c r="X511" s="1054"/>
      <c r="Y511" s="1054"/>
      <c r="Z511" s="1054"/>
      <c r="AA511" s="1054"/>
      <c r="AB511" s="1054"/>
    </row>
    <row r="512">
      <c r="A512" s="1054"/>
      <c r="B512" s="1061"/>
      <c r="C512" s="1061"/>
      <c r="D512" s="1061"/>
      <c r="E512" s="1061"/>
      <c r="F512" s="1061"/>
      <c r="G512" s="1061"/>
      <c r="H512" s="1063"/>
      <c r="I512" s="1054"/>
      <c r="J512" s="1054"/>
      <c r="K512" s="1054"/>
      <c r="L512" s="1054"/>
      <c r="M512" s="1054"/>
      <c r="N512" s="1054"/>
      <c r="O512" s="1054"/>
      <c r="P512" s="1054"/>
      <c r="Q512" s="1054"/>
      <c r="R512" s="1054"/>
      <c r="S512" s="1054"/>
      <c r="T512" s="1054"/>
      <c r="U512" s="1054"/>
      <c r="V512" s="1054"/>
      <c r="W512" s="1054"/>
      <c r="X512" s="1054"/>
      <c r="Y512" s="1054"/>
      <c r="Z512" s="1054"/>
      <c r="AA512" s="1054"/>
      <c r="AB512" s="1054"/>
    </row>
    <row r="513">
      <c r="A513" s="1054"/>
      <c r="B513" s="1061"/>
      <c r="C513" s="1061"/>
      <c r="D513" s="1061"/>
      <c r="E513" s="1061"/>
      <c r="F513" s="1061"/>
      <c r="G513" s="1061"/>
      <c r="H513" s="1063"/>
      <c r="I513" s="1054"/>
      <c r="J513" s="1054"/>
      <c r="K513" s="1054"/>
      <c r="L513" s="1054"/>
      <c r="M513" s="1054"/>
      <c r="N513" s="1054"/>
      <c r="O513" s="1054"/>
      <c r="P513" s="1054"/>
      <c r="Q513" s="1054"/>
      <c r="R513" s="1054"/>
      <c r="S513" s="1054"/>
      <c r="T513" s="1054"/>
      <c r="U513" s="1054"/>
      <c r="V513" s="1054"/>
      <c r="W513" s="1054"/>
      <c r="X513" s="1054"/>
      <c r="Y513" s="1054"/>
      <c r="Z513" s="1054"/>
      <c r="AA513" s="1054"/>
      <c r="AB513" s="1054"/>
    </row>
    <row r="514">
      <c r="A514" s="1054"/>
      <c r="B514" s="1061"/>
      <c r="C514" s="1061"/>
      <c r="D514" s="1061"/>
      <c r="E514" s="1061"/>
      <c r="F514" s="1061"/>
      <c r="G514" s="1061"/>
      <c r="H514" s="1063"/>
      <c r="I514" s="1054"/>
      <c r="J514" s="1054"/>
      <c r="K514" s="1054"/>
      <c r="L514" s="1054"/>
      <c r="M514" s="1054"/>
      <c r="N514" s="1054"/>
      <c r="O514" s="1054"/>
      <c r="P514" s="1054"/>
      <c r="Q514" s="1054"/>
      <c r="R514" s="1054"/>
      <c r="S514" s="1054"/>
      <c r="T514" s="1054"/>
      <c r="U514" s="1054"/>
      <c r="V514" s="1054"/>
      <c r="W514" s="1054"/>
      <c r="X514" s="1054"/>
      <c r="Y514" s="1054"/>
      <c r="Z514" s="1054"/>
      <c r="AA514" s="1054"/>
      <c r="AB514" s="1054"/>
    </row>
    <row r="515">
      <c r="A515" s="1054"/>
      <c r="B515" s="1061"/>
      <c r="C515" s="1061"/>
      <c r="D515" s="1061"/>
      <c r="E515" s="1061"/>
      <c r="F515" s="1061"/>
      <c r="G515" s="1061"/>
      <c r="H515" s="1063"/>
      <c r="I515" s="1054"/>
      <c r="J515" s="1054"/>
      <c r="K515" s="1054"/>
      <c r="L515" s="1054"/>
      <c r="M515" s="1054"/>
      <c r="N515" s="1054"/>
      <c r="O515" s="1054"/>
      <c r="P515" s="1054"/>
      <c r="Q515" s="1054"/>
      <c r="R515" s="1054"/>
      <c r="S515" s="1054"/>
      <c r="T515" s="1054"/>
      <c r="U515" s="1054"/>
      <c r="V515" s="1054"/>
      <c r="W515" s="1054"/>
      <c r="X515" s="1054"/>
      <c r="Y515" s="1054"/>
      <c r="Z515" s="1054"/>
      <c r="AA515" s="1054"/>
      <c r="AB515" s="1054"/>
    </row>
    <row r="516">
      <c r="A516" s="1054"/>
      <c r="B516" s="1061"/>
      <c r="C516" s="1061"/>
      <c r="D516" s="1061"/>
      <c r="E516" s="1061"/>
      <c r="F516" s="1061"/>
      <c r="G516" s="1061"/>
      <c r="H516" s="1063"/>
      <c r="I516" s="1054"/>
      <c r="J516" s="1054"/>
      <c r="K516" s="1054"/>
      <c r="L516" s="1054"/>
      <c r="M516" s="1054"/>
      <c r="N516" s="1054"/>
      <c r="O516" s="1054"/>
      <c r="P516" s="1054"/>
      <c r="Q516" s="1054"/>
      <c r="R516" s="1054"/>
      <c r="S516" s="1054"/>
      <c r="T516" s="1054"/>
      <c r="U516" s="1054"/>
      <c r="V516" s="1054"/>
      <c r="W516" s="1054"/>
      <c r="X516" s="1054"/>
      <c r="Y516" s="1054"/>
      <c r="Z516" s="1054"/>
      <c r="AA516" s="1054"/>
      <c r="AB516" s="1054"/>
    </row>
    <row r="517">
      <c r="A517" s="1054"/>
      <c r="B517" s="1061"/>
      <c r="C517" s="1061"/>
      <c r="D517" s="1061"/>
      <c r="E517" s="1061"/>
      <c r="F517" s="1061"/>
      <c r="G517" s="1061"/>
      <c r="H517" s="1063"/>
      <c r="I517" s="1054"/>
      <c r="J517" s="1054"/>
      <c r="K517" s="1054"/>
      <c r="L517" s="1054"/>
      <c r="M517" s="1054"/>
      <c r="N517" s="1054"/>
      <c r="O517" s="1054"/>
      <c r="P517" s="1054"/>
      <c r="Q517" s="1054"/>
      <c r="R517" s="1054"/>
      <c r="S517" s="1054"/>
      <c r="T517" s="1054"/>
      <c r="U517" s="1054"/>
      <c r="V517" s="1054"/>
      <c r="W517" s="1054"/>
      <c r="X517" s="1054"/>
      <c r="Y517" s="1054"/>
      <c r="Z517" s="1054"/>
      <c r="AA517" s="1054"/>
      <c r="AB517" s="1054"/>
    </row>
    <row r="518">
      <c r="A518" s="1054"/>
      <c r="B518" s="1061"/>
      <c r="C518" s="1061"/>
      <c r="D518" s="1061"/>
      <c r="E518" s="1061"/>
      <c r="F518" s="1061"/>
      <c r="G518" s="1061"/>
      <c r="H518" s="1063"/>
      <c r="I518" s="1054"/>
      <c r="J518" s="1054"/>
      <c r="K518" s="1054"/>
      <c r="L518" s="1054"/>
      <c r="M518" s="1054"/>
      <c r="N518" s="1054"/>
      <c r="O518" s="1054"/>
      <c r="P518" s="1054"/>
      <c r="Q518" s="1054"/>
      <c r="R518" s="1054"/>
      <c r="S518" s="1054"/>
      <c r="T518" s="1054"/>
      <c r="U518" s="1054"/>
      <c r="V518" s="1054"/>
      <c r="W518" s="1054"/>
      <c r="X518" s="1054"/>
      <c r="Y518" s="1054"/>
      <c r="Z518" s="1054"/>
      <c r="AA518" s="1054"/>
      <c r="AB518" s="1054"/>
    </row>
    <row r="519">
      <c r="A519" s="1054"/>
      <c r="B519" s="1061"/>
      <c r="C519" s="1061"/>
      <c r="D519" s="1061"/>
      <c r="E519" s="1061"/>
      <c r="F519" s="1061"/>
      <c r="G519" s="1061"/>
      <c r="H519" s="1063"/>
      <c r="I519" s="1054"/>
      <c r="J519" s="1054"/>
      <c r="K519" s="1054"/>
      <c r="L519" s="1054"/>
      <c r="M519" s="1054"/>
      <c r="N519" s="1054"/>
      <c r="O519" s="1054"/>
      <c r="P519" s="1054"/>
      <c r="Q519" s="1054"/>
      <c r="R519" s="1054"/>
      <c r="S519" s="1054"/>
      <c r="T519" s="1054"/>
      <c r="U519" s="1054"/>
      <c r="V519" s="1054"/>
      <c r="W519" s="1054"/>
      <c r="X519" s="1054"/>
      <c r="Y519" s="1054"/>
      <c r="Z519" s="1054"/>
      <c r="AA519" s="1054"/>
      <c r="AB519" s="1054"/>
    </row>
    <row r="520">
      <c r="A520" s="1054"/>
      <c r="B520" s="1061"/>
      <c r="C520" s="1061"/>
      <c r="D520" s="1061"/>
      <c r="E520" s="1061"/>
      <c r="F520" s="1061"/>
      <c r="G520" s="1061"/>
      <c r="H520" s="1063"/>
      <c r="I520" s="1054"/>
      <c r="J520" s="1054"/>
      <c r="K520" s="1054"/>
      <c r="L520" s="1054"/>
      <c r="M520" s="1054"/>
      <c r="N520" s="1054"/>
      <c r="O520" s="1054"/>
      <c r="P520" s="1054"/>
      <c r="Q520" s="1054"/>
      <c r="R520" s="1054"/>
      <c r="S520" s="1054"/>
      <c r="T520" s="1054"/>
      <c r="U520" s="1054"/>
      <c r="V520" s="1054"/>
      <c r="W520" s="1054"/>
      <c r="X520" s="1054"/>
      <c r="Y520" s="1054"/>
      <c r="Z520" s="1054"/>
      <c r="AA520" s="1054"/>
      <c r="AB520" s="1054"/>
    </row>
    <row r="521">
      <c r="A521" s="1054"/>
      <c r="B521" s="1061"/>
      <c r="C521" s="1061"/>
      <c r="D521" s="1061"/>
      <c r="E521" s="1061"/>
      <c r="F521" s="1061"/>
      <c r="G521" s="1061"/>
      <c r="H521" s="1063"/>
      <c r="I521" s="1054"/>
      <c r="J521" s="1054"/>
      <c r="K521" s="1054"/>
      <c r="L521" s="1054"/>
      <c r="M521" s="1054"/>
      <c r="N521" s="1054"/>
      <c r="O521" s="1054"/>
      <c r="P521" s="1054"/>
      <c r="Q521" s="1054"/>
      <c r="R521" s="1054"/>
      <c r="S521" s="1054"/>
      <c r="T521" s="1054"/>
      <c r="U521" s="1054"/>
      <c r="V521" s="1054"/>
      <c r="W521" s="1054"/>
      <c r="X521" s="1054"/>
      <c r="Y521" s="1054"/>
      <c r="Z521" s="1054"/>
      <c r="AA521" s="1054"/>
      <c r="AB521" s="1054"/>
    </row>
    <row r="522">
      <c r="A522" s="1054"/>
      <c r="B522" s="1061"/>
      <c r="C522" s="1061"/>
      <c r="D522" s="1061"/>
      <c r="E522" s="1061"/>
      <c r="F522" s="1061"/>
      <c r="G522" s="1061"/>
      <c r="H522" s="1063"/>
      <c r="I522" s="1054"/>
      <c r="J522" s="1054"/>
      <c r="K522" s="1054"/>
      <c r="L522" s="1054"/>
      <c r="M522" s="1054"/>
      <c r="N522" s="1054"/>
      <c r="O522" s="1054"/>
      <c r="P522" s="1054"/>
      <c r="Q522" s="1054"/>
      <c r="R522" s="1054"/>
      <c r="S522" s="1054"/>
      <c r="T522" s="1054"/>
      <c r="U522" s="1054"/>
      <c r="V522" s="1054"/>
      <c r="W522" s="1054"/>
      <c r="X522" s="1054"/>
      <c r="Y522" s="1054"/>
      <c r="Z522" s="1054"/>
      <c r="AA522" s="1054"/>
      <c r="AB522" s="1054"/>
    </row>
    <row r="523">
      <c r="A523" s="1054"/>
      <c r="B523" s="1061"/>
      <c r="C523" s="1061"/>
      <c r="D523" s="1061"/>
      <c r="E523" s="1061"/>
      <c r="F523" s="1061"/>
      <c r="G523" s="1061"/>
      <c r="H523" s="1063"/>
      <c r="I523" s="1054"/>
      <c r="J523" s="1054"/>
      <c r="K523" s="1054"/>
      <c r="L523" s="1054"/>
      <c r="M523" s="1054"/>
      <c r="N523" s="1054"/>
      <c r="O523" s="1054"/>
      <c r="P523" s="1054"/>
      <c r="Q523" s="1054"/>
      <c r="R523" s="1054"/>
      <c r="S523" s="1054"/>
      <c r="T523" s="1054"/>
      <c r="U523" s="1054"/>
      <c r="V523" s="1054"/>
      <c r="W523" s="1054"/>
      <c r="X523" s="1054"/>
      <c r="Y523" s="1054"/>
      <c r="Z523" s="1054"/>
      <c r="AA523" s="1054"/>
      <c r="AB523" s="1054"/>
    </row>
    <row r="524">
      <c r="A524" s="1054"/>
      <c r="B524" s="1061"/>
      <c r="C524" s="1061"/>
      <c r="D524" s="1061"/>
      <c r="E524" s="1061"/>
      <c r="F524" s="1061"/>
      <c r="G524" s="1061"/>
      <c r="H524" s="1063"/>
      <c r="I524" s="1054"/>
      <c r="J524" s="1054"/>
      <c r="K524" s="1054"/>
      <c r="L524" s="1054"/>
      <c r="M524" s="1054"/>
      <c r="N524" s="1054"/>
      <c r="O524" s="1054"/>
      <c r="P524" s="1054"/>
      <c r="Q524" s="1054"/>
      <c r="R524" s="1054"/>
      <c r="S524" s="1054"/>
      <c r="T524" s="1054"/>
      <c r="U524" s="1054"/>
      <c r="V524" s="1054"/>
      <c r="W524" s="1054"/>
      <c r="X524" s="1054"/>
      <c r="Y524" s="1054"/>
      <c r="Z524" s="1054"/>
      <c r="AA524" s="1054"/>
      <c r="AB524" s="1054"/>
    </row>
    <row r="525">
      <c r="A525" s="1054"/>
      <c r="B525" s="1061"/>
      <c r="C525" s="1061"/>
      <c r="D525" s="1061"/>
      <c r="E525" s="1061"/>
      <c r="F525" s="1061"/>
      <c r="G525" s="1061"/>
      <c r="H525" s="1063"/>
      <c r="I525" s="1054"/>
      <c r="J525" s="1054"/>
      <c r="K525" s="1054"/>
      <c r="L525" s="1054"/>
      <c r="M525" s="1054"/>
      <c r="N525" s="1054"/>
      <c r="O525" s="1054"/>
      <c r="P525" s="1054"/>
      <c r="Q525" s="1054"/>
      <c r="R525" s="1054"/>
      <c r="S525" s="1054"/>
      <c r="T525" s="1054"/>
      <c r="U525" s="1054"/>
      <c r="V525" s="1054"/>
      <c r="W525" s="1054"/>
      <c r="X525" s="1054"/>
      <c r="Y525" s="1054"/>
      <c r="Z525" s="1054"/>
      <c r="AA525" s="1054"/>
      <c r="AB525" s="1054"/>
    </row>
    <row r="526">
      <c r="A526" s="1054"/>
      <c r="B526" s="1061"/>
      <c r="C526" s="1061"/>
      <c r="D526" s="1061"/>
      <c r="E526" s="1061"/>
      <c r="F526" s="1061"/>
      <c r="G526" s="1061"/>
      <c r="H526" s="1063"/>
      <c r="I526" s="1054"/>
      <c r="J526" s="1054"/>
      <c r="K526" s="1054"/>
      <c r="L526" s="1054"/>
      <c r="M526" s="1054"/>
      <c r="N526" s="1054"/>
      <c r="O526" s="1054"/>
      <c r="P526" s="1054"/>
      <c r="Q526" s="1054"/>
      <c r="R526" s="1054"/>
      <c r="S526" s="1054"/>
      <c r="T526" s="1054"/>
      <c r="U526" s="1054"/>
      <c r="V526" s="1054"/>
      <c r="W526" s="1054"/>
      <c r="X526" s="1054"/>
      <c r="Y526" s="1054"/>
      <c r="Z526" s="1054"/>
      <c r="AA526" s="1054"/>
      <c r="AB526" s="1054"/>
    </row>
    <row r="527">
      <c r="A527" s="1054"/>
      <c r="B527" s="1061"/>
      <c r="C527" s="1061"/>
      <c r="D527" s="1061"/>
      <c r="E527" s="1061"/>
      <c r="F527" s="1061"/>
      <c r="G527" s="1061"/>
      <c r="H527" s="1063"/>
      <c r="I527" s="1054"/>
      <c r="J527" s="1054"/>
      <c r="K527" s="1054"/>
      <c r="L527" s="1054"/>
      <c r="M527" s="1054"/>
      <c r="N527" s="1054"/>
      <c r="O527" s="1054"/>
      <c r="P527" s="1054"/>
      <c r="Q527" s="1054"/>
      <c r="R527" s="1054"/>
      <c r="S527" s="1054"/>
      <c r="T527" s="1054"/>
      <c r="U527" s="1054"/>
      <c r="V527" s="1054"/>
      <c r="W527" s="1054"/>
      <c r="X527" s="1054"/>
      <c r="Y527" s="1054"/>
      <c r="Z527" s="1054"/>
      <c r="AA527" s="1054"/>
      <c r="AB527" s="1054"/>
    </row>
    <row r="528">
      <c r="A528" s="1054"/>
      <c r="B528" s="1061"/>
      <c r="C528" s="1061"/>
      <c r="D528" s="1061"/>
      <c r="E528" s="1061"/>
      <c r="F528" s="1061"/>
      <c r="G528" s="1061"/>
      <c r="H528" s="1063"/>
      <c r="I528" s="1054"/>
      <c r="J528" s="1054"/>
      <c r="K528" s="1054"/>
      <c r="L528" s="1054"/>
      <c r="M528" s="1054"/>
      <c r="N528" s="1054"/>
      <c r="O528" s="1054"/>
      <c r="P528" s="1054"/>
      <c r="Q528" s="1054"/>
      <c r="R528" s="1054"/>
      <c r="S528" s="1054"/>
      <c r="T528" s="1054"/>
      <c r="U528" s="1054"/>
      <c r="V528" s="1054"/>
      <c r="W528" s="1054"/>
      <c r="X528" s="1054"/>
      <c r="Y528" s="1054"/>
      <c r="Z528" s="1054"/>
      <c r="AA528" s="1054"/>
      <c r="AB528" s="1054"/>
    </row>
    <row r="529">
      <c r="A529" s="1054"/>
      <c r="B529" s="1061"/>
      <c r="C529" s="1061"/>
      <c r="D529" s="1061"/>
      <c r="E529" s="1061"/>
      <c r="F529" s="1061"/>
      <c r="G529" s="1061"/>
      <c r="H529" s="1063"/>
      <c r="I529" s="1054"/>
      <c r="J529" s="1054"/>
      <c r="K529" s="1054"/>
      <c r="L529" s="1054"/>
      <c r="M529" s="1054"/>
      <c r="N529" s="1054"/>
      <c r="O529" s="1054"/>
      <c r="P529" s="1054"/>
      <c r="Q529" s="1054"/>
      <c r="R529" s="1054"/>
      <c r="S529" s="1054"/>
      <c r="T529" s="1054"/>
      <c r="U529" s="1054"/>
      <c r="V529" s="1054"/>
      <c r="W529" s="1054"/>
      <c r="X529" s="1054"/>
      <c r="Y529" s="1054"/>
      <c r="Z529" s="1054"/>
      <c r="AA529" s="1054"/>
      <c r="AB529" s="1054"/>
    </row>
    <row r="530">
      <c r="A530" s="1054"/>
      <c r="B530" s="1061"/>
      <c r="C530" s="1061"/>
      <c r="D530" s="1061"/>
      <c r="E530" s="1061"/>
      <c r="F530" s="1061"/>
      <c r="G530" s="1061"/>
      <c r="H530" s="1063"/>
      <c r="I530" s="1054"/>
      <c r="J530" s="1054"/>
      <c r="K530" s="1054"/>
      <c r="L530" s="1054"/>
      <c r="M530" s="1054"/>
      <c r="N530" s="1054"/>
      <c r="O530" s="1054"/>
      <c r="P530" s="1054"/>
      <c r="Q530" s="1054"/>
      <c r="R530" s="1054"/>
      <c r="S530" s="1054"/>
      <c r="T530" s="1054"/>
      <c r="U530" s="1054"/>
      <c r="V530" s="1054"/>
      <c r="W530" s="1054"/>
      <c r="X530" s="1054"/>
      <c r="Y530" s="1054"/>
      <c r="Z530" s="1054"/>
      <c r="AA530" s="1054"/>
      <c r="AB530" s="1054"/>
    </row>
    <row r="531">
      <c r="A531" s="1054"/>
      <c r="B531" s="1061"/>
      <c r="C531" s="1061"/>
      <c r="D531" s="1061"/>
      <c r="E531" s="1061"/>
      <c r="F531" s="1061"/>
      <c r="G531" s="1061"/>
      <c r="H531" s="1063"/>
      <c r="I531" s="1054"/>
      <c r="J531" s="1054"/>
      <c r="K531" s="1054"/>
      <c r="L531" s="1054"/>
      <c r="M531" s="1054"/>
      <c r="N531" s="1054"/>
      <c r="O531" s="1054"/>
      <c r="P531" s="1054"/>
      <c r="Q531" s="1054"/>
      <c r="R531" s="1054"/>
      <c r="S531" s="1054"/>
      <c r="T531" s="1054"/>
      <c r="U531" s="1054"/>
      <c r="V531" s="1054"/>
      <c r="W531" s="1054"/>
      <c r="X531" s="1054"/>
      <c r="Y531" s="1054"/>
      <c r="Z531" s="1054"/>
      <c r="AA531" s="1054"/>
      <c r="AB531" s="1054"/>
    </row>
    <row r="532">
      <c r="A532" s="1054"/>
      <c r="B532" s="1061"/>
      <c r="C532" s="1061"/>
      <c r="D532" s="1061"/>
      <c r="E532" s="1061"/>
      <c r="F532" s="1061"/>
      <c r="G532" s="1061"/>
      <c r="H532" s="1063"/>
      <c r="I532" s="1054"/>
      <c r="J532" s="1054"/>
      <c r="K532" s="1054"/>
      <c r="L532" s="1054"/>
      <c r="M532" s="1054"/>
      <c r="N532" s="1054"/>
      <c r="O532" s="1054"/>
      <c r="P532" s="1054"/>
      <c r="Q532" s="1054"/>
      <c r="R532" s="1054"/>
      <c r="S532" s="1054"/>
      <c r="T532" s="1054"/>
      <c r="U532" s="1054"/>
      <c r="V532" s="1054"/>
      <c r="W532" s="1054"/>
      <c r="X532" s="1054"/>
      <c r="Y532" s="1054"/>
      <c r="Z532" s="1054"/>
      <c r="AA532" s="1054"/>
      <c r="AB532" s="1054"/>
    </row>
    <row r="533">
      <c r="A533" s="1054"/>
      <c r="B533" s="1061"/>
      <c r="C533" s="1061"/>
      <c r="D533" s="1061"/>
      <c r="E533" s="1061"/>
      <c r="F533" s="1061"/>
      <c r="G533" s="1061"/>
      <c r="H533" s="1063"/>
      <c r="I533" s="1054"/>
      <c r="J533" s="1054"/>
      <c r="K533" s="1054"/>
      <c r="L533" s="1054"/>
      <c r="M533" s="1054"/>
      <c r="N533" s="1054"/>
      <c r="O533" s="1054"/>
      <c r="P533" s="1054"/>
      <c r="Q533" s="1054"/>
      <c r="R533" s="1054"/>
      <c r="S533" s="1054"/>
      <c r="T533" s="1054"/>
      <c r="U533" s="1054"/>
      <c r="V533" s="1054"/>
      <c r="W533" s="1054"/>
      <c r="X533" s="1054"/>
      <c r="Y533" s="1054"/>
      <c r="Z533" s="1054"/>
      <c r="AA533" s="1054"/>
      <c r="AB533" s="1054"/>
    </row>
    <row r="534">
      <c r="A534" s="1054"/>
      <c r="B534" s="1061"/>
      <c r="C534" s="1061"/>
      <c r="D534" s="1061"/>
      <c r="E534" s="1061"/>
      <c r="F534" s="1061"/>
      <c r="G534" s="1061"/>
      <c r="H534" s="1063"/>
      <c r="I534" s="1054"/>
      <c r="J534" s="1054"/>
      <c r="K534" s="1054"/>
      <c r="L534" s="1054"/>
      <c r="M534" s="1054"/>
      <c r="N534" s="1054"/>
      <c r="O534" s="1054"/>
      <c r="P534" s="1054"/>
      <c r="Q534" s="1054"/>
      <c r="R534" s="1054"/>
      <c r="S534" s="1054"/>
      <c r="T534" s="1054"/>
      <c r="U534" s="1054"/>
      <c r="V534" s="1054"/>
      <c r="W534" s="1054"/>
      <c r="X534" s="1054"/>
      <c r="Y534" s="1054"/>
      <c r="Z534" s="1054"/>
      <c r="AA534" s="1054"/>
      <c r="AB534" s="1054"/>
    </row>
    <row r="535">
      <c r="A535" s="1054"/>
      <c r="B535" s="1061"/>
      <c r="C535" s="1061"/>
      <c r="D535" s="1061"/>
      <c r="E535" s="1061"/>
      <c r="F535" s="1061"/>
      <c r="G535" s="1061"/>
      <c r="H535" s="1063"/>
      <c r="I535" s="1054"/>
      <c r="J535" s="1054"/>
      <c r="K535" s="1054"/>
      <c r="L535" s="1054"/>
      <c r="M535" s="1054"/>
      <c r="N535" s="1054"/>
      <c r="O535" s="1054"/>
      <c r="P535" s="1054"/>
      <c r="Q535" s="1054"/>
      <c r="R535" s="1054"/>
      <c r="S535" s="1054"/>
      <c r="T535" s="1054"/>
      <c r="U535" s="1054"/>
      <c r="V535" s="1054"/>
      <c r="W535" s="1054"/>
      <c r="X535" s="1054"/>
      <c r="Y535" s="1054"/>
      <c r="Z535" s="1054"/>
      <c r="AA535" s="1054"/>
      <c r="AB535" s="1054"/>
    </row>
    <row r="536">
      <c r="A536" s="1054"/>
      <c r="B536" s="1061"/>
      <c r="C536" s="1061"/>
      <c r="D536" s="1061"/>
      <c r="E536" s="1061"/>
      <c r="F536" s="1061"/>
      <c r="G536" s="1061"/>
      <c r="H536" s="1063"/>
      <c r="I536" s="1054"/>
      <c r="J536" s="1054"/>
      <c r="K536" s="1054"/>
      <c r="L536" s="1054"/>
      <c r="M536" s="1054"/>
      <c r="N536" s="1054"/>
      <c r="O536" s="1054"/>
      <c r="P536" s="1054"/>
      <c r="Q536" s="1054"/>
      <c r="R536" s="1054"/>
      <c r="S536" s="1054"/>
      <c r="T536" s="1054"/>
      <c r="U536" s="1054"/>
      <c r="V536" s="1054"/>
      <c r="W536" s="1054"/>
      <c r="X536" s="1054"/>
      <c r="Y536" s="1054"/>
      <c r="Z536" s="1054"/>
      <c r="AA536" s="1054"/>
      <c r="AB536" s="1054"/>
    </row>
    <row r="537">
      <c r="A537" s="1054"/>
      <c r="B537" s="1061"/>
      <c r="C537" s="1061"/>
      <c r="D537" s="1061"/>
      <c r="E537" s="1061"/>
      <c r="F537" s="1061"/>
      <c r="G537" s="1061"/>
      <c r="H537" s="1063"/>
      <c r="I537" s="1054"/>
      <c r="J537" s="1054"/>
      <c r="K537" s="1054"/>
      <c r="L537" s="1054"/>
      <c r="M537" s="1054"/>
      <c r="N537" s="1054"/>
      <c r="O537" s="1054"/>
      <c r="P537" s="1054"/>
      <c r="Q537" s="1054"/>
      <c r="R537" s="1054"/>
      <c r="S537" s="1054"/>
      <c r="T537" s="1054"/>
      <c r="U537" s="1054"/>
      <c r="V537" s="1054"/>
      <c r="W537" s="1054"/>
      <c r="X537" s="1054"/>
      <c r="Y537" s="1054"/>
      <c r="Z537" s="1054"/>
      <c r="AA537" s="1054"/>
      <c r="AB537" s="1054"/>
    </row>
    <row r="538">
      <c r="A538" s="1054"/>
      <c r="B538" s="1061"/>
      <c r="C538" s="1061"/>
      <c r="D538" s="1061"/>
      <c r="E538" s="1061"/>
      <c r="F538" s="1061"/>
      <c r="G538" s="1061"/>
      <c r="H538" s="1063"/>
      <c r="I538" s="1054"/>
      <c r="J538" s="1054"/>
      <c r="K538" s="1054"/>
      <c r="L538" s="1054"/>
      <c r="M538" s="1054"/>
      <c r="N538" s="1054"/>
      <c r="O538" s="1054"/>
      <c r="P538" s="1054"/>
      <c r="Q538" s="1054"/>
      <c r="R538" s="1054"/>
      <c r="S538" s="1054"/>
      <c r="T538" s="1054"/>
      <c r="U538" s="1054"/>
      <c r="V538" s="1054"/>
      <c r="W538" s="1054"/>
      <c r="X538" s="1054"/>
      <c r="Y538" s="1054"/>
      <c r="Z538" s="1054"/>
      <c r="AA538" s="1054"/>
      <c r="AB538" s="1054"/>
    </row>
    <row r="539">
      <c r="A539" s="1054"/>
      <c r="B539" s="1061"/>
      <c r="C539" s="1061"/>
      <c r="D539" s="1061"/>
      <c r="E539" s="1061"/>
      <c r="F539" s="1061"/>
      <c r="G539" s="1061"/>
      <c r="H539" s="1063"/>
      <c r="I539" s="1054"/>
      <c r="J539" s="1054"/>
      <c r="K539" s="1054"/>
      <c r="L539" s="1054"/>
      <c r="M539" s="1054"/>
      <c r="N539" s="1054"/>
      <c r="O539" s="1054"/>
      <c r="P539" s="1054"/>
      <c r="Q539" s="1054"/>
      <c r="R539" s="1054"/>
      <c r="S539" s="1054"/>
      <c r="T539" s="1054"/>
      <c r="U539" s="1054"/>
      <c r="V539" s="1054"/>
      <c r="W539" s="1054"/>
      <c r="X539" s="1054"/>
      <c r="Y539" s="1054"/>
      <c r="Z539" s="1054"/>
      <c r="AA539" s="1054"/>
      <c r="AB539" s="1054"/>
    </row>
    <row r="540">
      <c r="A540" s="1054"/>
      <c r="B540" s="1061"/>
      <c r="C540" s="1061"/>
      <c r="D540" s="1061"/>
      <c r="E540" s="1061"/>
      <c r="F540" s="1061"/>
      <c r="G540" s="1061"/>
      <c r="H540" s="1063"/>
      <c r="I540" s="1054"/>
      <c r="J540" s="1054"/>
      <c r="K540" s="1054"/>
      <c r="L540" s="1054"/>
      <c r="M540" s="1054"/>
      <c r="N540" s="1054"/>
      <c r="O540" s="1054"/>
      <c r="P540" s="1054"/>
      <c r="Q540" s="1054"/>
      <c r="R540" s="1054"/>
      <c r="S540" s="1054"/>
      <c r="T540" s="1054"/>
      <c r="U540" s="1054"/>
      <c r="V540" s="1054"/>
      <c r="W540" s="1054"/>
      <c r="X540" s="1054"/>
      <c r="Y540" s="1054"/>
      <c r="Z540" s="1054"/>
      <c r="AA540" s="1054"/>
      <c r="AB540" s="1054"/>
    </row>
    <row r="541">
      <c r="A541" s="1054"/>
      <c r="B541" s="1061"/>
      <c r="C541" s="1061"/>
      <c r="D541" s="1061"/>
      <c r="E541" s="1061"/>
      <c r="F541" s="1061"/>
      <c r="G541" s="1061"/>
      <c r="H541" s="1063"/>
      <c r="I541" s="1054"/>
      <c r="J541" s="1054"/>
      <c r="K541" s="1054"/>
      <c r="L541" s="1054"/>
      <c r="M541" s="1054"/>
      <c r="N541" s="1054"/>
      <c r="O541" s="1054"/>
      <c r="P541" s="1054"/>
      <c r="Q541" s="1054"/>
      <c r="R541" s="1054"/>
      <c r="S541" s="1054"/>
      <c r="T541" s="1054"/>
      <c r="U541" s="1054"/>
      <c r="V541" s="1054"/>
      <c r="W541" s="1054"/>
      <c r="X541" s="1054"/>
      <c r="Y541" s="1054"/>
      <c r="Z541" s="1054"/>
      <c r="AA541" s="1054"/>
      <c r="AB541" s="1054"/>
    </row>
    <row r="542">
      <c r="A542" s="1054"/>
      <c r="B542" s="1061"/>
      <c r="C542" s="1061"/>
      <c r="D542" s="1061"/>
      <c r="E542" s="1061"/>
      <c r="F542" s="1061"/>
      <c r="G542" s="1061"/>
      <c r="H542" s="1063"/>
      <c r="I542" s="1054"/>
      <c r="J542" s="1054"/>
      <c r="K542" s="1054"/>
      <c r="L542" s="1054"/>
      <c r="M542" s="1054"/>
      <c r="N542" s="1054"/>
      <c r="O542" s="1054"/>
      <c r="P542" s="1054"/>
      <c r="Q542" s="1054"/>
      <c r="R542" s="1054"/>
      <c r="S542" s="1054"/>
      <c r="T542" s="1054"/>
      <c r="U542" s="1054"/>
      <c r="V542" s="1054"/>
      <c r="W542" s="1054"/>
      <c r="X542" s="1054"/>
      <c r="Y542" s="1054"/>
      <c r="Z542" s="1054"/>
      <c r="AA542" s="1054"/>
      <c r="AB542" s="1054"/>
    </row>
    <row r="543">
      <c r="A543" s="1054"/>
      <c r="B543" s="1061"/>
      <c r="C543" s="1061"/>
      <c r="D543" s="1061"/>
      <c r="E543" s="1061"/>
      <c r="F543" s="1061"/>
      <c r="G543" s="1061"/>
      <c r="H543" s="1063"/>
      <c r="I543" s="1054"/>
      <c r="J543" s="1054"/>
      <c r="K543" s="1054"/>
      <c r="L543" s="1054"/>
      <c r="M543" s="1054"/>
      <c r="N543" s="1054"/>
      <c r="O543" s="1054"/>
      <c r="P543" s="1054"/>
      <c r="Q543" s="1054"/>
      <c r="R543" s="1054"/>
      <c r="S543" s="1054"/>
      <c r="T543" s="1054"/>
      <c r="U543" s="1054"/>
      <c r="V543" s="1054"/>
      <c r="W543" s="1054"/>
      <c r="X543" s="1054"/>
      <c r="Y543" s="1054"/>
      <c r="Z543" s="1054"/>
      <c r="AA543" s="1054"/>
      <c r="AB543" s="1054"/>
    </row>
    <row r="544">
      <c r="A544" s="1054"/>
      <c r="B544" s="1061"/>
      <c r="C544" s="1061"/>
      <c r="D544" s="1061"/>
      <c r="E544" s="1061"/>
      <c r="F544" s="1061"/>
      <c r="G544" s="1061"/>
      <c r="H544" s="1063"/>
      <c r="I544" s="1054"/>
      <c r="J544" s="1054"/>
      <c r="K544" s="1054"/>
      <c r="L544" s="1054"/>
      <c r="M544" s="1054"/>
      <c r="N544" s="1054"/>
      <c r="O544" s="1054"/>
      <c r="P544" s="1054"/>
      <c r="Q544" s="1054"/>
      <c r="R544" s="1054"/>
      <c r="S544" s="1054"/>
      <c r="T544" s="1054"/>
      <c r="U544" s="1054"/>
      <c r="V544" s="1054"/>
      <c r="W544" s="1054"/>
      <c r="X544" s="1054"/>
      <c r="Y544" s="1054"/>
      <c r="Z544" s="1054"/>
      <c r="AA544" s="1054"/>
      <c r="AB544" s="1054"/>
    </row>
    <row r="545">
      <c r="A545" s="1054"/>
      <c r="B545" s="1061"/>
      <c r="C545" s="1061"/>
      <c r="D545" s="1061"/>
      <c r="E545" s="1061"/>
      <c r="F545" s="1061"/>
      <c r="G545" s="1061"/>
      <c r="H545" s="1063"/>
      <c r="I545" s="1054"/>
      <c r="J545" s="1054"/>
      <c r="K545" s="1054"/>
      <c r="L545" s="1054"/>
      <c r="M545" s="1054"/>
      <c r="N545" s="1054"/>
      <c r="O545" s="1054"/>
      <c r="P545" s="1054"/>
      <c r="Q545" s="1054"/>
      <c r="R545" s="1054"/>
      <c r="S545" s="1054"/>
      <c r="T545" s="1054"/>
      <c r="U545" s="1054"/>
      <c r="V545" s="1054"/>
      <c r="W545" s="1054"/>
      <c r="X545" s="1054"/>
      <c r="Y545" s="1054"/>
      <c r="Z545" s="1054"/>
      <c r="AA545" s="1054"/>
      <c r="AB545" s="1054"/>
    </row>
    <row r="546">
      <c r="A546" s="1054"/>
      <c r="B546" s="1061"/>
      <c r="C546" s="1061"/>
      <c r="D546" s="1061"/>
      <c r="E546" s="1061"/>
      <c r="F546" s="1061"/>
      <c r="G546" s="1061"/>
      <c r="H546" s="1063"/>
      <c r="I546" s="1054"/>
      <c r="J546" s="1054"/>
      <c r="K546" s="1054"/>
      <c r="L546" s="1054"/>
      <c r="M546" s="1054"/>
      <c r="N546" s="1054"/>
      <c r="O546" s="1054"/>
      <c r="P546" s="1054"/>
      <c r="Q546" s="1054"/>
      <c r="R546" s="1054"/>
      <c r="S546" s="1054"/>
      <c r="T546" s="1054"/>
      <c r="U546" s="1054"/>
      <c r="V546" s="1054"/>
      <c r="W546" s="1054"/>
      <c r="X546" s="1054"/>
      <c r="Y546" s="1054"/>
      <c r="Z546" s="1054"/>
      <c r="AA546" s="1054"/>
      <c r="AB546" s="1054"/>
    </row>
    <row r="547">
      <c r="A547" s="1054"/>
      <c r="B547" s="1061"/>
      <c r="C547" s="1061"/>
      <c r="D547" s="1061"/>
      <c r="E547" s="1061"/>
      <c r="F547" s="1061"/>
      <c r="G547" s="1061"/>
      <c r="H547" s="1063"/>
      <c r="I547" s="1054"/>
      <c r="J547" s="1054"/>
      <c r="K547" s="1054"/>
      <c r="L547" s="1054"/>
      <c r="M547" s="1054"/>
      <c r="N547" s="1054"/>
      <c r="O547" s="1054"/>
      <c r="P547" s="1054"/>
      <c r="Q547" s="1054"/>
      <c r="R547" s="1054"/>
      <c r="S547" s="1054"/>
      <c r="T547" s="1054"/>
      <c r="U547" s="1054"/>
      <c r="V547" s="1054"/>
      <c r="W547" s="1054"/>
      <c r="X547" s="1054"/>
      <c r="Y547" s="1054"/>
      <c r="Z547" s="1054"/>
      <c r="AA547" s="1054"/>
      <c r="AB547" s="1054"/>
    </row>
    <row r="548">
      <c r="A548" s="1054"/>
      <c r="B548" s="1061"/>
      <c r="C548" s="1061"/>
      <c r="D548" s="1061"/>
      <c r="E548" s="1061"/>
      <c r="F548" s="1061"/>
      <c r="G548" s="1061"/>
      <c r="H548" s="1063"/>
      <c r="I548" s="1054"/>
      <c r="J548" s="1054"/>
      <c r="K548" s="1054"/>
      <c r="L548" s="1054"/>
      <c r="M548" s="1054"/>
      <c r="N548" s="1054"/>
      <c r="O548" s="1054"/>
      <c r="P548" s="1054"/>
      <c r="Q548" s="1054"/>
      <c r="R548" s="1054"/>
      <c r="S548" s="1054"/>
      <c r="T548" s="1054"/>
      <c r="U548" s="1054"/>
      <c r="V548" s="1054"/>
      <c r="W548" s="1054"/>
      <c r="X548" s="1054"/>
      <c r="Y548" s="1054"/>
      <c r="Z548" s="1054"/>
      <c r="AA548" s="1054"/>
      <c r="AB548" s="1054"/>
    </row>
    <row r="549">
      <c r="A549" s="1054"/>
      <c r="B549" s="1061"/>
      <c r="C549" s="1061"/>
      <c r="D549" s="1061"/>
      <c r="E549" s="1061"/>
      <c r="F549" s="1061"/>
      <c r="G549" s="1061"/>
      <c r="H549" s="1063"/>
      <c r="I549" s="1054"/>
      <c r="J549" s="1054"/>
      <c r="K549" s="1054"/>
      <c r="L549" s="1054"/>
      <c r="M549" s="1054"/>
      <c r="N549" s="1054"/>
      <c r="O549" s="1054"/>
      <c r="P549" s="1054"/>
      <c r="Q549" s="1054"/>
      <c r="R549" s="1054"/>
      <c r="S549" s="1054"/>
      <c r="T549" s="1054"/>
      <c r="U549" s="1054"/>
      <c r="V549" s="1054"/>
      <c r="W549" s="1054"/>
      <c r="X549" s="1054"/>
      <c r="Y549" s="1054"/>
      <c r="Z549" s="1054"/>
      <c r="AA549" s="1054"/>
      <c r="AB549" s="1054"/>
    </row>
    <row r="550">
      <c r="A550" s="1054"/>
      <c r="B550" s="1061"/>
      <c r="C550" s="1061"/>
      <c r="D550" s="1061"/>
      <c r="E550" s="1061"/>
      <c r="F550" s="1061"/>
      <c r="G550" s="1061"/>
      <c r="H550" s="1063"/>
      <c r="I550" s="1054"/>
      <c r="J550" s="1054"/>
      <c r="K550" s="1054"/>
      <c r="L550" s="1054"/>
      <c r="M550" s="1054"/>
      <c r="N550" s="1054"/>
      <c r="O550" s="1054"/>
      <c r="P550" s="1054"/>
      <c r="Q550" s="1054"/>
      <c r="R550" s="1054"/>
      <c r="S550" s="1054"/>
      <c r="T550" s="1054"/>
      <c r="U550" s="1054"/>
      <c r="V550" s="1054"/>
      <c r="W550" s="1054"/>
      <c r="X550" s="1054"/>
      <c r="Y550" s="1054"/>
      <c r="Z550" s="1054"/>
      <c r="AA550" s="1054"/>
      <c r="AB550" s="1054"/>
    </row>
    <row r="551">
      <c r="A551" s="1054"/>
      <c r="B551" s="1061"/>
      <c r="C551" s="1061"/>
      <c r="D551" s="1061"/>
      <c r="E551" s="1061"/>
      <c r="F551" s="1061"/>
      <c r="G551" s="1061"/>
      <c r="H551" s="1063"/>
      <c r="I551" s="1054"/>
      <c r="J551" s="1054"/>
      <c r="K551" s="1054"/>
      <c r="L551" s="1054"/>
      <c r="M551" s="1054"/>
      <c r="N551" s="1054"/>
      <c r="O551" s="1054"/>
      <c r="P551" s="1054"/>
      <c r="Q551" s="1054"/>
      <c r="R551" s="1054"/>
      <c r="S551" s="1054"/>
      <c r="T551" s="1054"/>
      <c r="U551" s="1054"/>
      <c r="V551" s="1054"/>
      <c r="W551" s="1054"/>
      <c r="X551" s="1054"/>
      <c r="Y551" s="1054"/>
      <c r="Z551" s="1054"/>
      <c r="AA551" s="1054"/>
      <c r="AB551" s="1054"/>
    </row>
    <row r="552">
      <c r="A552" s="1054"/>
      <c r="B552" s="1061"/>
      <c r="C552" s="1061"/>
      <c r="D552" s="1061"/>
      <c r="E552" s="1061"/>
      <c r="F552" s="1061"/>
      <c r="G552" s="1061"/>
      <c r="H552" s="1063"/>
      <c r="I552" s="1054"/>
      <c r="J552" s="1054"/>
      <c r="K552" s="1054"/>
      <c r="L552" s="1054"/>
      <c r="M552" s="1054"/>
      <c r="N552" s="1054"/>
      <c r="O552" s="1054"/>
      <c r="P552" s="1054"/>
      <c r="Q552" s="1054"/>
      <c r="R552" s="1054"/>
      <c r="S552" s="1054"/>
      <c r="T552" s="1054"/>
      <c r="U552" s="1054"/>
      <c r="V552" s="1054"/>
      <c r="W552" s="1054"/>
      <c r="X552" s="1054"/>
      <c r="Y552" s="1054"/>
      <c r="Z552" s="1054"/>
      <c r="AA552" s="1054"/>
      <c r="AB552" s="1054"/>
    </row>
    <row r="553">
      <c r="A553" s="1054"/>
      <c r="B553" s="1061"/>
      <c r="C553" s="1061"/>
      <c r="D553" s="1061"/>
      <c r="E553" s="1061"/>
      <c r="F553" s="1061"/>
      <c r="G553" s="1061"/>
      <c r="H553" s="1063"/>
      <c r="I553" s="1054"/>
      <c r="J553" s="1054"/>
      <c r="K553" s="1054"/>
      <c r="L553" s="1054"/>
      <c r="M553" s="1054"/>
      <c r="N553" s="1054"/>
      <c r="O553" s="1054"/>
      <c r="P553" s="1054"/>
      <c r="Q553" s="1054"/>
      <c r="R553" s="1054"/>
      <c r="S553" s="1054"/>
      <c r="T553" s="1054"/>
      <c r="U553" s="1054"/>
      <c r="V553" s="1054"/>
      <c r="W553" s="1054"/>
      <c r="X553" s="1054"/>
      <c r="Y553" s="1054"/>
      <c r="Z553" s="1054"/>
      <c r="AA553" s="1054"/>
      <c r="AB553" s="1054"/>
    </row>
    <row r="554">
      <c r="A554" s="1054"/>
      <c r="B554" s="1061"/>
      <c r="C554" s="1061"/>
      <c r="D554" s="1061"/>
      <c r="E554" s="1061"/>
      <c r="F554" s="1061"/>
      <c r="G554" s="1061"/>
      <c r="H554" s="1063"/>
      <c r="I554" s="1054"/>
      <c r="J554" s="1054"/>
      <c r="K554" s="1054"/>
      <c r="L554" s="1054"/>
      <c r="M554" s="1054"/>
      <c r="N554" s="1054"/>
      <c r="O554" s="1054"/>
      <c r="P554" s="1054"/>
      <c r="Q554" s="1054"/>
      <c r="R554" s="1054"/>
      <c r="S554" s="1054"/>
      <c r="T554" s="1054"/>
      <c r="U554" s="1054"/>
      <c r="V554" s="1054"/>
      <c r="W554" s="1054"/>
      <c r="X554" s="1054"/>
      <c r="Y554" s="1054"/>
      <c r="Z554" s="1054"/>
      <c r="AA554" s="1054"/>
      <c r="AB554" s="1054"/>
    </row>
    <row r="555">
      <c r="A555" s="1054"/>
      <c r="B555" s="1061"/>
      <c r="C555" s="1061"/>
      <c r="D555" s="1061"/>
      <c r="E555" s="1061"/>
      <c r="F555" s="1061"/>
      <c r="G555" s="1061"/>
      <c r="H555" s="1063"/>
      <c r="I555" s="1054"/>
      <c r="J555" s="1054"/>
      <c r="K555" s="1054"/>
      <c r="L555" s="1054"/>
      <c r="M555" s="1054"/>
      <c r="N555" s="1054"/>
      <c r="O555" s="1054"/>
      <c r="P555" s="1054"/>
      <c r="Q555" s="1054"/>
      <c r="R555" s="1054"/>
      <c r="S555" s="1054"/>
      <c r="T555" s="1054"/>
      <c r="U555" s="1054"/>
      <c r="V555" s="1054"/>
      <c r="W555" s="1054"/>
      <c r="X555" s="1054"/>
      <c r="Y555" s="1054"/>
      <c r="Z555" s="1054"/>
      <c r="AA555" s="1054"/>
      <c r="AB555" s="1054"/>
    </row>
    <row r="556">
      <c r="A556" s="1054"/>
      <c r="B556" s="1061"/>
      <c r="C556" s="1061"/>
      <c r="D556" s="1061"/>
      <c r="E556" s="1061"/>
      <c r="F556" s="1061"/>
      <c r="G556" s="1061"/>
      <c r="H556" s="1063"/>
      <c r="I556" s="1054"/>
      <c r="J556" s="1054"/>
      <c r="K556" s="1054"/>
      <c r="L556" s="1054"/>
      <c r="M556" s="1054"/>
      <c r="N556" s="1054"/>
      <c r="O556" s="1054"/>
      <c r="P556" s="1054"/>
      <c r="Q556" s="1054"/>
      <c r="R556" s="1054"/>
      <c r="S556" s="1054"/>
      <c r="T556" s="1054"/>
      <c r="U556" s="1054"/>
      <c r="V556" s="1054"/>
      <c r="W556" s="1054"/>
      <c r="X556" s="1054"/>
      <c r="Y556" s="1054"/>
      <c r="Z556" s="1054"/>
      <c r="AA556" s="1054"/>
      <c r="AB556" s="1054"/>
    </row>
    <row r="557">
      <c r="A557" s="1054"/>
      <c r="B557" s="1061"/>
      <c r="C557" s="1061"/>
      <c r="D557" s="1061"/>
      <c r="E557" s="1061"/>
      <c r="F557" s="1061"/>
      <c r="G557" s="1061"/>
      <c r="H557" s="1063"/>
      <c r="I557" s="1054"/>
      <c r="J557" s="1054"/>
      <c r="K557" s="1054"/>
      <c r="L557" s="1054"/>
      <c r="M557" s="1054"/>
      <c r="N557" s="1054"/>
      <c r="O557" s="1054"/>
      <c r="P557" s="1054"/>
      <c r="Q557" s="1054"/>
      <c r="R557" s="1054"/>
      <c r="S557" s="1054"/>
      <c r="T557" s="1054"/>
      <c r="U557" s="1054"/>
      <c r="V557" s="1054"/>
      <c r="W557" s="1054"/>
      <c r="X557" s="1054"/>
      <c r="Y557" s="1054"/>
      <c r="Z557" s="1054"/>
      <c r="AA557" s="1054"/>
      <c r="AB557" s="1054"/>
    </row>
    <row r="558">
      <c r="A558" s="1054"/>
      <c r="B558" s="1061"/>
      <c r="C558" s="1061"/>
      <c r="D558" s="1061"/>
      <c r="E558" s="1061"/>
      <c r="F558" s="1061"/>
      <c r="G558" s="1061"/>
      <c r="H558" s="1063"/>
      <c r="I558" s="1054"/>
      <c r="J558" s="1054"/>
      <c r="K558" s="1054"/>
      <c r="L558" s="1054"/>
      <c r="M558" s="1054"/>
      <c r="N558" s="1054"/>
      <c r="O558" s="1054"/>
      <c r="P558" s="1054"/>
      <c r="Q558" s="1054"/>
      <c r="R558" s="1054"/>
      <c r="S558" s="1054"/>
      <c r="T558" s="1054"/>
      <c r="U558" s="1054"/>
      <c r="V558" s="1054"/>
      <c r="W558" s="1054"/>
      <c r="X558" s="1054"/>
      <c r="Y558" s="1054"/>
      <c r="Z558" s="1054"/>
      <c r="AA558" s="1054"/>
      <c r="AB558" s="1054"/>
    </row>
    <row r="559">
      <c r="A559" s="1054"/>
      <c r="B559" s="1061"/>
      <c r="C559" s="1061"/>
      <c r="D559" s="1061"/>
      <c r="E559" s="1061"/>
      <c r="F559" s="1061"/>
      <c r="G559" s="1061"/>
      <c r="H559" s="1063"/>
      <c r="I559" s="1054"/>
      <c r="J559" s="1054"/>
      <c r="K559" s="1054"/>
      <c r="L559" s="1054"/>
      <c r="M559" s="1054"/>
      <c r="N559" s="1054"/>
      <c r="O559" s="1054"/>
      <c r="P559" s="1054"/>
      <c r="Q559" s="1054"/>
      <c r="R559" s="1054"/>
      <c r="S559" s="1054"/>
      <c r="T559" s="1054"/>
      <c r="U559" s="1054"/>
      <c r="V559" s="1054"/>
      <c r="W559" s="1054"/>
      <c r="X559" s="1054"/>
      <c r="Y559" s="1054"/>
      <c r="Z559" s="1054"/>
      <c r="AA559" s="1054"/>
      <c r="AB559" s="1054"/>
    </row>
    <row r="560">
      <c r="A560" s="1054"/>
      <c r="B560" s="1061"/>
      <c r="C560" s="1061"/>
      <c r="D560" s="1061"/>
      <c r="E560" s="1061"/>
      <c r="F560" s="1061"/>
      <c r="G560" s="1061"/>
      <c r="H560" s="1063"/>
      <c r="I560" s="1054"/>
      <c r="J560" s="1054"/>
      <c r="K560" s="1054"/>
      <c r="L560" s="1054"/>
      <c r="M560" s="1054"/>
      <c r="N560" s="1054"/>
      <c r="O560" s="1054"/>
      <c r="P560" s="1054"/>
      <c r="Q560" s="1054"/>
      <c r="R560" s="1054"/>
      <c r="S560" s="1054"/>
      <c r="T560" s="1054"/>
      <c r="U560" s="1054"/>
      <c r="V560" s="1054"/>
      <c r="W560" s="1054"/>
      <c r="X560" s="1054"/>
      <c r="Y560" s="1054"/>
      <c r="Z560" s="1054"/>
      <c r="AA560" s="1054"/>
      <c r="AB560" s="1054"/>
    </row>
    <row r="561">
      <c r="A561" s="1054"/>
      <c r="B561" s="1061"/>
      <c r="C561" s="1061"/>
      <c r="D561" s="1061"/>
      <c r="E561" s="1061"/>
      <c r="F561" s="1061"/>
      <c r="G561" s="1061"/>
      <c r="H561" s="1063"/>
      <c r="I561" s="1054"/>
      <c r="J561" s="1054"/>
      <c r="K561" s="1054"/>
      <c r="L561" s="1054"/>
      <c r="M561" s="1054"/>
      <c r="N561" s="1054"/>
      <c r="O561" s="1054"/>
      <c r="P561" s="1054"/>
      <c r="Q561" s="1054"/>
      <c r="R561" s="1054"/>
      <c r="S561" s="1054"/>
      <c r="T561" s="1054"/>
      <c r="U561" s="1054"/>
      <c r="V561" s="1054"/>
      <c r="W561" s="1054"/>
      <c r="X561" s="1054"/>
      <c r="Y561" s="1054"/>
      <c r="Z561" s="1054"/>
      <c r="AA561" s="1054"/>
      <c r="AB561" s="1054"/>
    </row>
    <row r="562">
      <c r="A562" s="1054"/>
      <c r="B562" s="1061"/>
      <c r="C562" s="1061"/>
      <c r="D562" s="1061"/>
      <c r="E562" s="1061"/>
      <c r="F562" s="1061"/>
      <c r="G562" s="1061"/>
      <c r="H562" s="1063"/>
      <c r="I562" s="1054"/>
      <c r="J562" s="1054"/>
      <c r="K562" s="1054"/>
      <c r="L562" s="1054"/>
      <c r="M562" s="1054"/>
      <c r="N562" s="1054"/>
      <c r="O562" s="1054"/>
      <c r="P562" s="1054"/>
      <c r="Q562" s="1054"/>
      <c r="R562" s="1054"/>
      <c r="S562" s="1054"/>
      <c r="T562" s="1054"/>
      <c r="U562" s="1054"/>
      <c r="V562" s="1054"/>
      <c r="W562" s="1054"/>
      <c r="X562" s="1054"/>
      <c r="Y562" s="1054"/>
      <c r="Z562" s="1054"/>
      <c r="AA562" s="1054"/>
      <c r="AB562" s="1054"/>
    </row>
    <row r="563">
      <c r="A563" s="1054"/>
      <c r="B563" s="1061"/>
      <c r="C563" s="1061"/>
      <c r="D563" s="1061"/>
      <c r="E563" s="1061"/>
      <c r="F563" s="1061"/>
      <c r="G563" s="1061"/>
      <c r="H563" s="1063"/>
      <c r="I563" s="1054"/>
      <c r="J563" s="1054"/>
      <c r="K563" s="1054"/>
      <c r="L563" s="1054"/>
      <c r="M563" s="1054"/>
      <c r="N563" s="1054"/>
      <c r="O563" s="1054"/>
      <c r="P563" s="1054"/>
      <c r="Q563" s="1054"/>
      <c r="R563" s="1054"/>
      <c r="S563" s="1054"/>
      <c r="T563" s="1054"/>
      <c r="U563" s="1054"/>
      <c r="V563" s="1054"/>
      <c r="W563" s="1054"/>
      <c r="X563" s="1054"/>
      <c r="Y563" s="1054"/>
      <c r="Z563" s="1054"/>
      <c r="AA563" s="1054"/>
      <c r="AB563" s="1054"/>
    </row>
    <row r="564">
      <c r="A564" s="1054"/>
      <c r="B564" s="1061"/>
      <c r="C564" s="1061"/>
      <c r="D564" s="1061"/>
      <c r="E564" s="1061"/>
      <c r="F564" s="1061"/>
      <c r="G564" s="1061"/>
      <c r="H564" s="1063"/>
      <c r="I564" s="1054"/>
      <c r="J564" s="1054"/>
      <c r="K564" s="1054"/>
      <c r="L564" s="1054"/>
      <c r="M564" s="1054"/>
      <c r="N564" s="1054"/>
      <c r="O564" s="1054"/>
      <c r="P564" s="1054"/>
      <c r="Q564" s="1054"/>
      <c r="R564" s="1054"/>
      <c r="S564" s="1054"/>
      <c r="T564" s="1054"/>
      <c r="U564" s="1054"/>
      <c r="V564" s="1054"/>
      <c r="W564" s="1054"/>
      <c r="X564" s="1054"/>
      <c r="Y564" s="1054"/>
      <c r="Z564" s="1054"/>
      <c r="AA564" s="1054"/>
      <c r="AB564" s="1054"/>
    </row>
    <row r="565">
      <c r="A565" s="1054"/>
      <c r="B565" s="1061"/>
      <c r="C565" s="1061"/>
      <c r="D565" s="1061"/>
      <c r="E565" s="1061"/>
      <c r="F565" s="1061"/>
      <c r="G565" s="1061"/>
      <c r="H565" s="1063"/>
      <c r="I565" s="1054"/>
      <c r="J565" s="1054"/>
      <c r="K565" s="1054"/>
      <c r="L565" s="1054"/>
      <c r="M565" s="1054"/>
      <c r="N565" s="1054"/>
      <c r="O565" s="1054"/>
      <c r="P565" s="1054"/>
      <c r="Q565" s="1054"/>
      <c r="R565" s="1054"/>
      <c r="S565" s="1054"/>
      <c r="T565" s="1054"/>
      <c r="U565" s="1054"/>
      <c r="V565" s="1054"/>
      <c r="W565" s="1054"/>
      <c r="X565" s="1054"/>
      <c r="Y565" s="1054"/>
      <c r="Z565" s="1054"/>
      <c r="AA565" s="1054"/>
      <c r="AB565" s="1054"/>
    </row>
    <row r="566">
      <c r="A566" s="1054"/>
      <c r="B566" s="1061"/>
      <c r="C566" s="1061"/>
      <c r="D566" s="1061"/>
      <c r="E566" s="1061"/>
      <c r="F566" s="1061"/>
      <c r="G566" s="1061"/>
      <c r="H566" s="1063"/>
      <c r="I566" s="1054"/>
      <c r="J566" s="1054"/>
      <c r="K566" s="1054"/>
      <c r="L566" s="1054"/>
      <c r="M566" s="1054"/>
      <c r="N566" s="1054"/>
      <c r="O566" s="1054"/>
      <c r="P566" s="1054"/>
      <c r="Q566" s="1054"/>
      <c r="R566" s="1054"/>
      <c r="S566" s="1054"/>
      <c r="T566" s="1054"/>
      <c r="U566" s="1054"/>
      <c r="V566" s="1054"/>
      <c r="W566" s="1054"/>
      <c r="X566" s="1054"/>
      <c r="Y566" s="1054"/>
      <c r="Z566" s="1054"/>
      <c r="AA566" s="1054"/>
      <c r="AB566" s="1054"/>
    </row>
    <row r="567">
      <c r="A567" s="1054"/>
      <c r="B567" s="1061"/>
      <c r="C567" s="1061"/>
      <c r="D567" s="1061"/>
      <c r="E567" s="1061"/>
      <c r="F567" s="1061"/>
      <c r="G567" s="1061"/>
      <c r="H567" s="1063"/>
      <c r="I567" s="1054"/>
      <c r="J567" s="1054"/>
      <c r="K567" s="1054"/>
      <c r="L567" s="1054"/>
      <c r="M567" s="1054"/>
      <c r="N567" s="1054"/>
      <c r="O567" s="1054"/>
      <c r="P567" s="1054"/>
      <c r="Q567" s="1054"/>
      <c r="R567" s="1054"/>
      <c r="S567" s="1054"/>
      <c r="T567" s="1054"/>
      <c r="U567" s="1054"/>
      <c r="V567" s="1054"/>
      <c r="W567" s="1054"/>
      <c r="X567" s="1054"/>
      <c r="Y567" s="1054"/>
      <c r="Z567" s="1054"/>
      <c r="AA567" s="1054"/>
      <c r="AB567" s="1054"/>
    </row>
    <row r="568">
      <c r="A568" s="1054"/>
      <c r="B568" s="1061"/>
      <c r="C568" s="1061"/>
      <c r="D568" s="1061"/>
      <c r="E568" s="1061"/>
      <c r="F568" s="1061"/>
      <c r="G568" s="1061"/>
      <c r="H568" s="1063"/>
      <c r="I568" s="1054"/>
      <c r="J568" s="1054"/>
      <c r="K568" s="1054"/>
      <c r="L568" s="1054"/>
      <c r="M568" s="1054"/>
      <c r="N568" s="1054"/>
      <c r="O568" s="1054"/>
      <c r="P568" s="1054"/>
      <c r="Q568" s="1054"/>
      <c r="R568" s="1054"/>
      <c r="S568" s="1054"/>
      <c r="T568" s="1054"/>
      <c r="U568" s="1054"/>
      <c r="V568" s="1054"/>
      <c r="W568" s="1054"/>
      <c r="X568" s="1054"/>
      <c r="Y568" s="1054"/>
      <c r="Z568" s="1054"/>
      <c r="AA568" s="1054"/>
      <c r="AB568" s="1054"/>
    </row>
    <row r="569">
      <c r="A569" s="1054"/>
      <c r="B569" s="1061"/>
      <c r="C569" s="1061"/>
      <c r="D569" s="1061"/>
      <c r="E569" s="1061"/>
      <c r="F569" s="1061"/>
      <c r="G569" s="1061"/>
      <c r="H569" s="1063"/>
      <c r="I569" s="1054"/>
      <c r="J569" s="1054"/>
      <c r="K569" s="1054"/>
      <c r="L569" s="1054"/>
      <c r="M569" s="1054"/>
      <c r="N569" s="1054"/>
      <c r="O569" s="1054"/>
      <c r="P569" s="1054"/>
      <c r="Q569" s="1054"/>
      <c r="R569" s="1054"/>
      <c r="S569" s="1054"/>
      <c r="T569" s="1054"/>
      <c r="U569" s="1054"/>
      <c r="V569" s="1054"/>
      <c r="W569" s="1054"/>
      <c r="X569" s="1054"/>
      <c r="Y569" s="1054"/>
      <c r="Z569" s="1054"/>
      <c r="AA569" s="1054"/>
      <c r="AB569" s="1054"/>
    </row>
    <row r="570">
      <c r="A570" s="1054"/>
      <c r="B570" s="1061"/>
      <c r="C570" s="1061"/>
      <c r="D570" s="1061"/>
      <c r="E570" s="1061"/>
      <c r="F570" s="1061"/>
      <c r="G570" s="1061"/>
      <c r="H570" s="1063"/>
      <c r="I570" s="1054"/>
      <c r="J570" s="1054"/>
      <c r="K570" s="1054"/>
      <c r="L570" s="1054"/>
      <c r="M570" s="1054"/>
      <c r="N570" s="1054"/>
      <c r="O570" s="1054"/>
      <c r="P570" s="1054"/>
      <c r="Q570" s="1054"/>
      <c r="R570" s="1054"/>
      <c r="S570" s="1054"/>
      <c r="T570" s="1054"/>
      <c r="U570" s="1054"/>
      <c r="V570" s="1054"/>
      <c r="W570" s="1054"/>
      <c r="X570" s="1054"/>
      <c r="Y570" s="1054"/>
      <c r="Z570" s="1054"/>
      <c r="AA570" s="1054"/>
      <c r="AB570" s="1054"/>
    </row>
    <row r="571">
      <c r="A571" s="1054"/>
      <c r="B571" s="1061"/>
      <c r="C571" s="1061"/>
      <c r="D571" s="1061"/>
      <c r="E571" s="1061"/>
      <c r="F571" s="1061"/>
      <c r="G571" s="1061"/>
      <c r="H571" s="1063"/>
      <c r="I571" s="1054"/>
      <c r="J571" s="1054"/>
      <c r="K571" s="1054"/>
      <c r="L571" s="1054"/>
      <c r="M571" s="1054"/>
      <c r="N571" s="1054"/>
      <c r="O571" s="1054"/>
      <c r="P571" s="1054"/>
      <c r="Q571" s="1054"/>
      <c r="R571" s="1054"/>
      <c r="S571" s="1054"/>
      <c r="T571" s="1054"/>
      <c r="U571" s="1054"/>
      <c r="V571" s="1054"/>
      <c r="W571" s="1054"/>
      <c r="X571" s="1054"/>
      <c r="Y571" s="1054"/>
      <c r="Z571" s="1054"/>
      <c r="AA571" s="1054"/>
      <c r="AB571" s="1054"/>
    </row>
    <row r="572">
      <c r="A572" s="1054"/>
      <c r="B572" s="1061"/>
      <c r="C572" s="1061"/>
      <c r="D572" s="1061"/>
      <c r="E572" s="1061"/>
      <c r="F572" s="1061"/>
      <c r="G572" s="1061"/>
      <c r="H572" s="1063"/>
      <c r="I572" s="1054"/>
      <c r="J572" s="1054"/>
      <c r="K572" s="1054"/>
      <c r="L572" s="1054"/>
      <c r="M572" s="1054"/>
      <c r="N572" s="1054"/>
      <c r="O572" s="1054"/>
      <c r="P572" s="1054"/>
      <c r="Q572" s="1054"/>
      <c r="R572" s="1054"/>
      <c r="S572" s="1054"/>
      <c r="T572" s="1054"/>
      <c r="U572" s="1054"/>
      <c r="V572" s="1054"/>
      <c r="W572" s="1054"/>
      <c r="X572" s="1054"/>
      <c r="Y572" s="1054"/>
      <c r="Z572" s="1054"/>
      <c r="AA572" s="1054"/>
      <c r="AB572" s="1054"/>
    </row>
    <row r="573">
      <c r="A573" s="1054"/>
      <c r="B573" s="1061"/>
      <c r="C573" s="1061"/>
      <c r="D573" s="1061"/>
      <c r="E573" s="1061"/>
      <c r="F573" s="1061"/>
      <c r="G573" s="1061"/>
      <c r="H573" s="1063"/>
      <c r="I573" s="1054"/>
      <c r="J573" s="1054"/>
      <c r="K573" s="1054"/>
      <c r="L573" s="1054"/>
      <c r="M573" s="1054"/>
      <c r="N573" s="1054"/>
      <c r="O573" s="1054"/>
      <c r="P573" s="1054"/>
      <c r="Q573" s="1054"/>
      <c r="R573" s="1054"/>
      <c r="S573" s="1054"/>
      <c r="T573" s="1054"/>
      <c r="U573" s="1054"/>
      <c r="V573" s="1054"/>
      <c r="W573" s="1054"/>
      <c r="X573" s="1054"/>
      <c r="Y573" s="1054"/>
      <c r="Z573" s="1054"/>
      <c r="AA573" s="1054"/>
      <c r="AB573" s="1054"/>
    </row>
    <row r="574">
      <c r="A574" s="1054"/>
      <c r="B574" s="1061"/>
      <c r="C574" s="1061"/>
      <c r="D574" s="1061"/>
      <c r="E574" s="1061"/>
      <c r="F574" s="1061"/>
      <c r="G574" s="1061"/>
      <c r="H574" s="1063"/>
      <c r="I574" s="1054"/>
      <c r="J574" s="1054"/>
      <c r="K574" s="1054"/>
      <c r="L574" s="1054"/>
      <c r="M574" s="1054"/>
      <c r="N574" s="1054"/>
      <c r="O574" s="1054"/>
      <c r="P574" s="1054"/>
      <c r="Q574" s="1054"/>
      <c r="R574" s="1054"/>
      <c r="S574" s="1054"/>
      <c r="T574" s="1054"/>
      <c r="U574" s="1054"/>
      <c r="V574" s="1054"/>
      <c r="W574" s="1054"/>
      <c r="X574" s="1054"/>
      <c r="Y574" s="1054"/>
      <c r="Z574" s="1054"/>
      <c r="AA574" s="1054"/>
      <c r="AB574" s="1054"/>
    </row>
    <row r="575">
      <c r="A575" s="1054"/>
      <c r="B575" s="1061"/>
      <c r="C575" s="1061"/>
      <c r="D575" s="1061"/>
      <c r="E575" s="1061"/>
      <c r="F575" s="1061"/>
      <c r="G575" s="1061"/>
      <c r="H575" s="1063"/>
      <c r="I575" s="1054"/>
      <c r="J575" s="1054"/>
      <c r="K575" s="1054"/>
      <c r="L575" s="1054"/>
      <c r="M575" s="1054"/>
      <c r="N575" s="1054"/>
      <c r="O575" s="1054"/>
      <c r="P575" s="1054"/>
      <c r="Q575" s="1054"/>
      <c r="R575" s="1054"/>
      <c r="S575" s="1054"/>
      <c r="T575" s="1054"/>
      <c r="U575" s="1054"/>
      <c r="V575" s="1054"/>
      <c r="W575" s="1054"/>
      <c r="X575" s="1054"/>
      <c r="Y575" s="1054"/>
      <c r="Z575" s="1054"/>
      <c r="AA575" s="1054"/>
      <c r="AB575" s="1054"/>
    </row>
    <row r="576">
      <c r="A576" s="1054"/>
      <c r="B576" s="1061"/>
      <c r="C576" s="1061"/>
      <c r="D576" s="1061"/>
      <c r="E576" s="1061"/>
      <c r="F576" s="1061"/>
      <c r="G576" s="1061"/>
      <c r="H576" s="1063"/>
      <c r="I576" s="1054"/>
      <c r="J576" s="1054"/>
      <c r="K576" s="1054"/>
      <c r="L576" s="1054"/>
      <c r="M576" s="1054"/>
      <c r="N576" s="1054"/>
      <c r="O576" s="1054"/>
      <c r="P576" s="1054"/>
      <c r="Q576" s="1054"/>
      <c r="R576" s="1054"/>
      <c r="S576" s="1054"/>
      <c r="T576" s="1054"/>
      <c r="U576" s="1054"/>
      <c r="V576" s="1054"/>
      <c r="W576" s="1054"/>
      <c r="X576" s="1054"/>
      <c r="Y576" s="1054"/>
      <c r="Z576" s="1054"/>
      <c r="AA576" s="1054"/>
      <c r="AB576" s="1054"/>
    </row>
    <row r="577">
      <c r="A577" s="1054"/>
      <c r="B577" s="1061"/>
      <c r="C577" s="1061"/>
      <c r="D577" s="1061"/>
      <c r="E577" s="1061"/>
      <c r="F577" s="1061"/>
      <c r="G577" s="1061"/>
      <c r="H577" s="1063"/>
      <c r="I577" s="1054"/>
      <c r="J577" s="1054"/>
      <c r="K577" s="1054"/>
      <c r="L577" s="1054"/>
      <c r="M577" s="1054"/>
      <c r="N577" s="1054"/>
      <c r="O577" s="1054"/>
      <c r="P577" s="1054"/>
      <c r="Q577" s="1054"/>
      <c r="R577" s="1054"/>
      <c r="S577" s="1054"/>
      <c r="T577" s="1054"/>
      <c r="U577" s="1054"/>
      <c r="V577" s="1054"/>
      <c r="W577" s="1054"/>
      <c r="X577" s="1054"/>
      <c r="Y577" s="1054"/>
      <c r="Z577" s="1054"/>
      <c r="AA577" s="1054"/>
      <c r="AB577" s="1054"/>
    </row>
    <row r="578">
      <c r="A578" s="1054"/>
      <c r="B578" s="1061"/>
      <c r="C578" s="1061"/>
      <c r="D578" s="1061"/>
      <c r="E578" s="1061"/>
      <c r="F578" s="1061"/>
      <c r="G578" s="1061"/>
      <c r="H578" s="1063"/>
      <c r="I578" s="1054"/>
      <c r="J578" s="1054"/>
      <c r="K578" s="1054"/>
      <c r="L578" s="1054"/>
      <c r="M578" s="1054"/>
      <c r="N578" s="1054"/>
      <c r="O578" s="1054"/>
      <c r="P578" s="1054"/>
      <c r="Q578" s="1054"/>
      <c r="R578" s="1054"/>
      <c r="S578" s="1054"/>
      <c r="T578" s="1054"/>
      <c r="U578" s="1054"/>
      <c r="V578" s="1054"/>
      <c r="W578" s="1054"/>
      <c r="X578" s="1054"/>
      <c r="Y578" s="1054"/>
      <c r="Z578" s="1054"/>
      <c r="AA578" s="1054"/>
      <c r="AB578" s="1054"/>
    </row>
    <row r="579">
      <c r="A579" s="1054"/>
      <c r="B579" s="1061"/>
      <c r="C579" s="1061"/>
      <c r="D579" s="1061"/>
      <c r="E579" s="1061"/>
      <c r="F579" s="1061"/>
      <c r="G579" s="1061"/>
      <c r="H579" s="1063"/>
      <c r="I579" s="1054"/>
      <c r="J579" s="1054"/>
      <c r="K579" s="1054"/>
      <c r="L579" s="1054"/>
      <c r="M579" s="1054"/>
      <c r="N579" s="1054"/>
      <c r="O579" s="1054"/>
      <c r="P579" s="1054"/>
      <c r="Q579" s="1054"/>
      <c r="R579" s="1054"/>
      <c r="S579" s="1054"/>
      <c r="T579" s="1054"/>
      <c r="U579" s="1054"/>
      <c r="V579" s="1054"/>
      <c r="W579" s="1054"/>
      <c r="X579" s="1054"/>
      <c r="Y579" s="1054"/>
      <c r="Z579" s="1054"/>
      <c r="AA579" s="1054"/>
      <c r="AB579" s="1054"/>
    </row>
    <row r="580">
      <c r="A580" s="1054"/>
      <c r="B580" s="1061"/>
      <c r="C580" s="1061"/>
      <c r="D580" s="1061"/>
      <c r="E580" s="1061"/>
      <c r="F580" s="1061"/>
      <c r="G580" s="1061"/>
      <c r="H580" s="1063"/>
      <c r="I580" s="1054"/>
      <c r="J580" s="1054"/>
      <c r="K580" s="1054"/>
      <c r="L580" s="1054"/>
      <c r="M580" s="1054"/>
      <c r="N580" s="1054"/>
      <c r="O580" s="1054"/>
      <c r="P580" s="1054"/>
      <c r="Q580" s="1054"/>
      <c r="R580" s="1054"/>
      <c r="S580" s="1054"/>
      <c r="T580" s="1054"/>
      <c r="U580" s="1054"/>
      <c r="V580" s="1054"/>
      <c r="W580" s="1054"/>
      <c r="X580" s="1054"/>
      <c r="Y580" s="1054"/>
      <c r="Z580" s="1054"/>
      <c r="AA580" s="1054"/>
      <c r="AB580" s="1054"/>
    </row>
    <row r="581">
      <c r="A581" s="1054"/>
      <c r="B581" s="1061"/>
      <c r="C581" s="1061"/>
      <c r="D581" s="1061"/>
      <c r="E581" s="1061"/>
      <c r="F581" s="1061"/>
      <c r="G581" s="1061"/>
      <c r="H581" s="1063"/>
      <c r="I581" s="1054"/>
      <c r="J581" s="1054"/>
      <c r="K581" s="1054"/>
      <c r="L581" s="1054"/>
      <c r="M581" s="1054"/>
      <c r="N581" s="1054"/>
      <c r="O581" s="1054"/>
      <c r="P581" s="1054"/>
      <c r="Q581" s="1054"/>
      <c r="R581" s="1054"/>
      <c r="S581" s="1054"/>
      <c r="T581" s="1054"/>
      <c r="U581" s="1054"/>
      <c r="V581" s="1054"/>
      <c r="W581" s="1054"/>
      <c r="X581" s="1054"/>
      <c r="Y581" s="1054"/>
      <c r="Z581" s="1054"/>
      <c r="AA581" s="1054"/>
      <c r="AB581" s="1054"/>
    </row>
    <row r="582">
      <c r="A582" s="1054"/>
      <c r="B582" s="1061"/>
      <c r="C582" s="1061"/>
      <c r="D582" s="1061"/>
      <c r="E582" s="1061"/>
      <c r="F582" s="1061"/>
      <c r="G582" s="1061"/>
      <c r="H582" s="1063"/>
      <c r="I582" s="1054"/>
      <c r="J582" s="1054"/>
      <c r="K582" s="1054"/>
      <c r="L582" s="1054"/>
      <c r="M582" s="1054"/>
      <c r="N582" s="1054"/>
      <c r="O582" s="1054"/>
      <c r="P582" s="1054"/>
      <c r="Q582" s="1054"/>
      <c r="R582" s="1054"/>
      <c r="S582" s="1054"/>
      <c r="T582" s="1054"/>
      <c r="U582" s="1054"/>
      <c r="V582" s="1054"/>
      <c r="W582" s="1054"/>
      <c r="X582" s="1054"/>
      <c r="Y582" s="1054"/>
      <c r="Z582" s="1054"/>
      <c r="AA582" s="1054"/>
      <c r="AB582" s="1054"/>
    </row>
    <row r="583">
      <c r="A583" s="1054"/>
      <c r="B583" s="1061"/>
      <c r="C583" s="1061"/>
      <c r="D583" s="1061"/>
      <c r="E583" s="1061"/>
      <c r="F583" s="1061"/>
      <c r="G583" s="1061"/>
      <c r="H583" s="1063"/>
      <c r="I583" s="1054"/>
      <c r="J583" s="1054"/>
      <c r="K583" s="1054"/>
      <c r="L583" s="1054"/>
      <c r="M583" s="1054"/>
      <c r="N583" s="1054"/>
      <c r="O583" s="1054"/>
      <c r="P583" s="1054"/>
      <c r="Q583" s="1054"/>
      <c r="R583" s="1054"/>
      <c r="S583" s="1054"/>
      <c r="T583" s="1054"/>
      <c r="U583" s="1054"/>
      <c r="V583" s="1054"/>
      <c r="W583" s="1054"/>
      <c r="X583" s="1054"/>
      <c r="Y583" s="1054"/>
      <c r="Z583" s="1054"/>
      <c r="AA583" s="1054"/>
      <c r="AB583" s="1054"/>
    </row>
    <row r="584">
      <c r="A584" s="1054"/>
      <c r="B584" s="1061"/>
      <c r="C584" s="1061"/>
      <c r="D584" s="1061"/>
      <c r="E584" s="1061"/>
      <c r="F584" s="1061"/>
      <c r="G584" s="1061"/>
      <c r="H584" s="1063"/>
      <c r="I584" s="1054"/>
      <c r="J584" s="1054"/>
      <c r="K584" s="1054"/>
      <c r="L584" s="1054"/>
      <c r="M584" s="1054"/>
      <c r="N584" s="1054"/>
      <c r="O584" s="1054"/>
      <c r="P584" s="1054"/>
      <c r="Q584" s="1054"/>
      <c r="R584" s="1054"/>
      <c r="S584" s="1054"/>
      <c r="T584" s="1054"/>
      <c r="U584" s="1054"/>
      <c r="V584" s="1054"/>
      <c r="W584" s="1054"/>
      <c r="X584" s="1054"/>
      <c r="Y584" s="1054"/>
      <c r="Z584" s="1054"/>
      <c r="AA584" s="1054"/>
      <c r="AB584" s="1054"/>
    </row>
    <row r="585">
      <c r="A585" s="1054"/>
      <c r="B585" s="1061"/>
      <c r="C585" s="1061"/>
      <c r="D585" s="1061"/>
      <c r="E585" s="1061"/>
      <c r="F585" s="1061"/>
      <c r="G585" s="1061"/>
      <c r="H585" s="1063"/>
      <c r="I585" s="1054"/>
      <c r="J585" s="1054"/>
      <c r="K585" s="1054"/>
      <c r="L585" s="1054"/>
      <c r="M585" s="1054"/>
      <c r="N585" s="1054"/>
      <c r="O585" s="1054"/>
      <c r="P585" s="1054"/>
      <c r="Q585" s="1054"/>
      <c r="R585" s="1054"/>
      <c r="S585" s="1054"/>
      <c r="T585" s="1054"/>
      <c r="U585" s="1054"/>
      <c r="V585" s="1054"/>
      <c r="W585" s="1054"/>
      <c r="X585" s="1054"/>
      <c r="Y585" s="1054"/>
      <c r="Z585" s="1054"/>
      <c r="AA585" s="1054"/>
      <c r="AB585" s="1054"/>
    </row>
    <row r="586">
      <c r="A586" s="1054"/>
      <c r="B586" s="1061"/>
      <c r="C586" s="1061"/>
      <c r="D586" s="1061"/>
      <c r="E586" s="1061"/>
      <c r="F586" s="1061"/>
      <c r="G586" s="1061"/>
      <c r="H586" s="1063"/>
      <c r="I586" s="1054"/>
      <c r="J586" s="1054"/>
      <c r="K586" s="1054"/>
      <c r="L586" s="1054"/>
      <c r="M586" s="1054"/>
      <c r="N586" s="1054"/>
      <c r="O586" s="1054"/>
      <c r="P586" s="1054"/>
      <c r="Q586" s="1054"/>
      <c r="R586" s="1054"/>
      <c r="S586" s="1054"/>
      <c r="T586" s="1054"/>
      <c r="U586" s="1054"/>
      <c r="V586" s="1054"/>
      <c r="W586" s="1054"/>
      <c r="X586" s="1054"/>
      <c r="Y586" s="1054"/>
      <c r="Z586" s="1054"/>
      <c r="AA586" s="1054"/>
      <c r="AB586" s="1054"/>
    </row>
    <row r="587">
      <c r="A587" s="1054"/>
      <c r="B587" s="1061"/>
      <c r="C587" s="1061"/>
      <c r="D587" s="1061"/>
      <c r="E587" s="1061"/>
      <c r="F587" s="1061"/>
      <c r="G587" s="1061"/>
      <c r="H587" s="1063"/>
      <c r="I587" s="1054"/>
      <c r="J587" s="1054"/>
      <c r="K587" s="1054"/>
      <c r="L587" s="1054"/>
      <c r="M587" s="1054"/>
      <c r="N587" s="1054"/>
      <c r="O587" s="1054"/>
      <c r="P587" s="1054"/>
      <c r="Q587" s="1054"/>
      <c r="R587" s="1054"/>
      <c r="S587" s="1054"/>
      <c r="T587" s="1054"/>
      <c r="U587" s="1054"/>
      <c r="V587" s="1054"/>
      <c r="W587" s="1054"/>
      <c r="X587" s="1054"/>
      <c r="Y587" s="1054"/>
      <c r="Z587" s="1054"/>
      <c r="AA587" s="1054"/>
      <c r="AB587" s="1054"/>
    </row>
    <row r="588">
      <c r="A588" s="1054"/>
      <c r="B588" s="1061"/>
      <c r="C588" s="1061"/>
      <c r="D588" s="1061"/>
      <c r="E588" s="1061"/>
      <c r="F588" s="1061"/>
      <c r="G588" s="1061"/>
      <c r="H588" s="1063"/>
      <c r="I588" s="1054"/>
      <c r="J588" s="1054"/>
      <c r="K588" s="1054"/>
      <c r="L588" s="1054"/>
      <c r="M588" s="1054"/>
      <c r="N588" s="1054"/>
      <c r="O588" s="1054"/>
      <c r="P588" s="1054"/>
      <c r="Q588" s="1054"/>
      <c r="R588" s="1054"/>
      <c r="S588" s="1054"/>
      <c r="T588" s="1054"/>
      <c r="U588" s="1054"/>
      <c r="V588" s="1054"/>
      <c r="W588" s="1054"/>
      <c r="X588" s="1054"/>
      <c r="Y588" s="1054"/>
      <c r="Z588" s="1054"/>
      <c r="AA588" s="1054"/>
      <c r="AB588" s="1054"/>
    </row>
    <row r="589">
      <c r="A589" s="1054"/>
      <c r="B589" s="1061"/>
      <c r="C589" s="1061"/>
      <c r="D589" s="1061"/>
      <c r="E589" s="1061"/>
      <c r="F589" s="1061"/>
      <c r="G589" s="1061"/>
      <c r="H589" s="1063"/>
      <c r="I589" s="1054"/>
      <c r="J589" s="1054"/>
      <c r="K589" s="1054"/>
      <c r="L589" s="1054"/>
      <c r="M589" s="1054"/>
      <c r="N589" s="1054"/>
      <c r="O589" s="1054"/>
      <c r="P589" s="1054"/>
      <c r="Q589" s="1054"/>
      <c r="R589" s="1054"/>
      <c r="S589" s="1054"/>
      <c r="T589" s="1054"/>
      <c r="U589" s="1054"/>
      <c r="V589" s="1054"/>
      <c r="W589" s="1054"/>
      <c r="X589" s="1054"/>
      <c r="Y589" s="1054"/>
      <c r="Z589" s="1054"/>
      <c r="AA589" s="1054"/>
      <c r="AB589" s="1054"/>
    </row>
    <row r="590">
      <c r="A590" s="1054"/>
      <c r="B590" s="1061"/>
      <c r="C590" s="1061"/>
      <c r="D590" s="1061"/>
      <c r="E590" s="1061"/>
      <c r="F590" s="1061"/>
      <c r="G590" s="1061"/>
      <c r="H590" s="1063"/>
      <c r="I590" s="1054"/>
      <c r="J590" s="1054"/>
      <c r="K590" s="1054"/>
      <c r="L590" s="1054"/>
      <c r="M590" s="1054"/>
      <c r="N590" s="1054"/>
      <c r="O590" s="1054"/>
      <c r="P590" s="1054"/>
      <c r="Q590" s="1054"/>
      <c r="R590" s="1054"/>
      <c r="S590" s="1054"/>
      <c r="T590" s="1054"/>
      <c r="U590" s="1054"/>
      <c r="V590" s="1054"/>
      <c r="W590" s="1054"/>
      <c r="X590" s="1054"/>
      <c r="Y590" s="1054"/>
      <c r="Z590" s="1054"/>
      <c r="AA590" s="1054"/>
      <c r="AB590" s="1054"/>
    </row>
    <row r="591">
      <c r="A591" s="1054"/>
      <c r="B591" s="1061"/>
      <c r="C591" s="1061"/>
      <c r="D591" s="1061"/>
      <c r="E591" s="1061"/>
      <c r="F591" s="1061"/>
      <c r="G591" s="1061"/>
      <c r="H591" s="1063"/>
      <c r="I591" s="1054"/>
      <c r="J591" s="1054"/>
      <c r="K591" s="1054"/>
      <c r="L591" s="1054"/>
      <c r="M591" s="1054"/>
      <c r="N591" s="1054"/>
      <c r="O591" s="1054"/>
      <c r="P591" s="1054"/>
      <c r="Q591" s="1054"/>
      <c r="R591" s="1054"/>
      <c r="S591" s="1054"/>
      <c r="T591" s="1054"/>
      <c r="U591" s="1054"/>
      <c r="V591" s="1054"/>
      <c r="W591" s="1054"/>
      <c r="X591" s="1054"/>
      <c r="Y591" s="1054"/>
      <c r="Z591" s="1054"/>
      <c r="AA591" s="1054"/>
      <c r="AB591" s="1054"/>
    </row>
    <row r="592">
      <c r="A592" s="1054"/>
      <c r="B592" s="1061"/>
      <c r="C592" s="1061"/>
      <c r="D592" s="1061"/>
      <c r="E592" s="1061"/>
      <c r="F592" s="1061"/>
      <c r="G592" s="1061"/>
      <c r="H592" s="1063"/>
      <c r="I592" s="1054"/>
      <c r="J592" s="1054"/>
      <c r="K592" s="1054"/>
      <c r="L592" s="1054"/>
      <c r="M592" s="1054"/>
      <c r="N592" s="1054"/>
      <c r="O592" s="1054"/>
      <c r="P592" s="1054"/>
      <c r="Q592" s="1054"/>
      <c r="R592" s="1054"/>
      <c r="S592" s="1054"/>
      <c r="T592" s="1054"/>
      <c r="U592" s="1054"/>
      <c r="V592" s="1054"/>
      <c r="W592" s="1054"/>
      <c r="X592" s="1054"/>
      <c r="Y592" s="1054"/>
      <c r="Z592" s="1054"/>
      <c r="AA592" s="1054"/>
      <c r="AB592" s="1054"/>
    </row>
    <row r="593">
      <c r="A593" s="1054"/>
      <c r="B593" s="1061"/>
      <c r="C593" s="1061"/>
      <c r="D593" s="1061"/>
      <c r="E593" s="1061"/>
      <c r="F593" s="1061"/>
      <c r="G593" s="1061"/>
      <c r="H593" s="1063"/>
      <c r="I593" s="1054"/>
      <c r="J593" s="1054"/>
      <c r="K593" s="1054"/>
      <c r="L593" s="1054"/>
      <c r="M593" s="1054"/>
      <c r="N593" s="1054"/>
      <c r="O593" s="1054"/>
      <c r="P593" s="1054"/>
      <c r="Q593" s="1054"/>
      <c r="R593" s="1054"/>
      <c r="S593" s="1054"/>
      <c r="T593" s="1054"/>
      <c r="U593" s="1054"/>
      <c r="V593" s="1054"/>
      <c r="W593" s="1054"/>
      <c r="X593" s="1054"/>
      <c r="Y593" s="1054"/>
      <c r="Z593" s="1054"/>
      <c r="AA593" s="1054"/>
      <c r="AB593" s="1054"/>
    </row>
    <row r="594">
      <c r="A594" s="1054"/>
      <c r="B594" s="1061"/>
      <c r="C594" s="1061"/>
      <c r="D594" s="1061"/>
      <c r="E594" s="1061"/>
      <c r="F594" s="1061"/>
      <c r="G594" s="1061"/>
      <c r="H594" s="1063"/>
      <c r="I594" s="1054"/>
      <c r="J594" s="1054"/>
      <c r="K594" s="1054"/>
      <c r="L594" s="1054"/>
      <c r="M594" s="1054"/>
      <c r="N594" s="1054"/>
      <c r="O594" s="1054"/>
      <c r="P594" s="1054"/>
      <c r="Q594" s="1054"/>
      <c r="R594" s="1054"/>
      <c r="S594" s="1054"/>
      <c r="T594" s="1054"/>
      <c r="U594" s="1054"/>
      <c r="V594" s="1054"/>
      <c r="W594" s="1054"/>
      <c r="X594" s="1054"/>
      <c r="Y594" s="1054"/>
      <c r="Z594" s="1054"/>
      <c r="AA594" s="1054"/>
      <c r="AB594" s="1054"/>
    </row>
    <row r="595">
      <c r="A595" s="1054"/>
      <c r="B595" s="1061"/>
      <c r="C595" s="1061"/>
      <c r="D595" s="1061"/>
      <c r="E595" s="1061"/>
      <c r="F595" s="1061"/>
      <c r="G595" s="1061"/>
      <c r="H595" s="1063"/>
      <c r="I595" s="1054"/>
      <c r="J595" s="1054"/>
      <c r="K595" s="1054"/>
      <c r="L595" s="1054"/>
      <c r="M595" s="1054"/>
      <c r="N595" s="1054"/>
      <c r="O595" s="1054"/>
      <c r="P595" s="1054"/>
      <c r="Q595" s="1054"/>
      <c r="R595" s="1054"/>
      <c r="S595" s="1054"/>
      <c r="T595" s="1054"/>
      <c r="U595" s="1054"/>
      <c r="V595" s="1054"/>
      <c r="W595" s="1054"/>
      <c r="X595" s="1054"/>
      <c r="Y595" s="1054"/>
      <c r="Z595" s="1054"/>
      <c r="AA595" s="1054"/>
      <c r="AB595" s="1054"/>
    </row>
    <row r="596">
      <c r="A596" s="1054"/>
      <c r="B596" s="1061"/>
      <c r="C596" s="1061"/>
      <c r="D596" s="1061"/>
      <c r="E596" s="1061"/>
      <c r="F596" s="1061"/>
      <c r="G596" s="1061"/>
      <c r="H596" s="1063"/>
      <c r="I596" s="1054"/>
      <c r="J596" s="1054"/>
      <c r="K596" s="1054"/>
      <c r="L596" s="1054"/>
      <c r="M596" s="1054"/>
      <c r="N596" s="1054"/>
      <c r="O596" s="1054"/>
      <c r="P596" s="1054"/>
      <c r="Q596" s="1054"/>
      <c r="R596" s="1054"/>
      <c r="S596" s="1054"/>
      <c r="T596" s="1054"/>
      <c r="U596" s="1054"/>
      <c r="V596" s="1054"/>
      <c r="W596" s="1054"/>
      <c r="X596" s="1054"/>
      <c r="Y596" s="1054"/>
      <c r="Z596" s="1054"/>
      <c r="AA596" s="1054"/>
      <c r="AB596" s="1054"/>
    </row>
    <row r="597">
      <c r="A597" s="1054"/>
      <c r="B597" s="1061"/>
      <c r="C597" s="1061"/>
      <c r="D597" s="1061"/>
      <c r="E597" s="1061"/>
      <c r="F597" s="1061"/>
      <c r="G597" s="1061"/>
      <c r="H597" s="1063"/>
      <c r="I597" s="1054"/>
      <c r="J597" s="1054"/>
      <c r="K597" s="1054"/>
      <c r="L597" s="1054"/>
      <c r="M597" s="1054"/>
      <c r="N597" s="1054"/>
      <c r="O597" s="1054"/>
      <c r="P597" s="1054"/>
      <c r="Q597" s="1054"/>
      <c r="R597" s="1054"/>
      <c r="S597" s="1054"/>
      <c r="T597" s="1054"/>
      <c r="U597" s="1054"/>
      <c r="V597" s="1054"/>
      <c r="W597" s="1054"/>
      <c r="X597" s="1054"/>
      <c r="Y597" s="1054"/>
      <c r="Z597" s="1054"/>
      <c r="AA597" s="1054"/>
      <c r="AB597" s="1054"/>
    </row>
    <row r="598">
      <c r="A598" s="1054"/>
      <c r="B598" s="1061"/>
      <c r="C598" s="1061"/>
      <c r="D598" s="1061"/>
      <c r="E598" s="1061"/>
      <c r="F598" s="1061"/>
      <c r="G598" s="1061"/>
      <c r="H598" s="1063"/>
      <c r="I598" s="1054"/>
      <c r="J598" s="1054"/>
      <c r="K598" s="1054"/>
      <c r="L598" s="1054"/>
      <c r="M598" s="1054"/>
      <c r="N598" s="1054"/>
      <c r="O598" s="1054"/>
      <c r="P598" s="1054"/>
      <c r="Q598" s="1054"/>
      <c r="R598" s="1054"/>
      <c r="S598" s="1054"/>
      <c r="T598" s="1054"/>
      <c r="U598" s="1054"/>
      <c r="V598" s="1054"/>
      <c r="W598" s="1054"/>
      <c r="X598" s="1054"/>
      <c r="Y598" s="1054"/>
      <c r="Z598" s="1054"/>
      <c r="AA598" s="1054"/>
      <c r="AB598" s="1054"/>
    </row>
    <row r="599">
      <c r="A599" s="1054"/>
      <c r="B599" s="1061"/>
      <c r="C599" s="1061"/>
      <c r="D599" s="1061"/>
      <c r="E599" s="1061"/>
      <c r="F599" s="1061"/>
      <c r="G599" s="1061"/>
      <c r="H599" s="1063"/>
      <c r="I599" s="1054"/>
      <c r="J599" s="1054"/>
      <c r="K599" s="1054"/>
      <c r="L599" s="1054"/>
      <c r="M599" s="1054"/>
      <c r="N599" s="1054"/>
      <c r="O599" s="1054"/>
      <c r="P599" s="1054"/>
      <c r="Q599" s="1054"/>
      <c r="R599" s="1054"/>
      <c r="S599" s="1054"/>
      <c r="T599" s="1054"/>
      <c r="U599" s="1054"/>
      <c r="V599" s="1054"/>
      <c r="W599" s="1054"/>
      <c r="X599" s="1054"/>
      <c r="Y599" s="1054"/>
      <c r="Z599" s="1054"/>
      <c r="AA599" s="1054"/>
      <c r="AB599" s="1054"/>
    </row>
    <row r="600">
      <c r="A600" s="1054"/>
      <c r="B600" s="1061"/>
      <c r="C600" s="1061"/>
      <c r="D600" s="1061"/>
      <c r="E600" s="1061"/>
      <c r="F600" s="1061"/>
      <c r="G600" s="1061"/>
      <c r="H600" s="1063"/>
      <c r="I600" s="1054"/>
      <c r="J600" s="1054"/>
      <c r="K600" s="1054"/>
      <c r="L600" s="1054"/>
      <c r="M600" s="1054"/>
      <c r="N600" s="1054"/>
      <c r="O600" s="1054"/>
      <c r="P600" s="1054"/>
      <c r="Q600" s="1054"/>
      <c r="R600" s="1054"/>
      <c r="S600" s="1054"/>
      <c r="T600" s="1054"/>
      <c r="U600" s="1054"/>
      <c r="V600" s="1054"/>
      <c r="W600" s="1054"/>
      <c r="X600" s="1054"/>
      <c r="Y600" s="1054"/>
      <c r="Z600" s="1054"/>
      <c r="AA600" s="1054"/>
      <c r="AB600" s="1054"/>
    </row>
    <row r="601">
      <c r="A601" s="1054"/>
      <c r="B601" s="1061"/>
      <c r="C601" s="1061"/>
      <c r="D601" s="1061"/>
      <c r="E601" s="1061"/>
      <c r="F601" s="1061"/>
      <c r="G601" s="1061"/>
      <c r="H601" s="1063"/>
      <c r="I601" s="1054"/>
      <c r="J601" s="1054"/>
      <c r="K601" s="1054"/>
      <c r="L601" s="1054"/>
      <c r="M601" s="1054"/>
      <c r="N601" s="1054"/>
      <c r="O601" s="1054"/>
      <c r="P601" s="1054"/>
      <c r="Q601" s="1054"/>
      <c r="R601" s="1054"/>
      <c r="S601" s="1054"/>
      <c r="T601" s="1054"/>
      <c r="U601" s="1054"/>
      <c r="V601" s="1054"/>
      <c r="W601" s="1054"/>
      <c r="X601" s="1054"/>
      <c r="Y601" s="1054"/>
      <c r="Z601" s="1054"/>
      <c r="AA601" s="1054"/>
      <c r="AB601" s="1054"/>
    </row>
    <row r="602">
      <c r="A602" s="1054"/>
      <c r="B602" s="1061"/>
      <c r="C602" s="1061"/>
      <c r="D602" s="1061"/>
      <c r="E602" s="1061"/>
      <c r="F602" s="1061"/>
      <c r="G602" s="1061"/>
      <c r="H602" s="1063"/>
      <c r="I602" s="1054"/>
      <c r="J602" s="1054"/>
      <c r="K602" s="1054"/>
      <c r="L602" s="1054"/>
      <c r="M602" s="1054"/>
      <c r="N602" s="1054"/>
      <c r="O602" s="1054"/>
      <c r="P602" s="1054"/>
      <c r="Q602" s="1054"/>
      <c r="R602" s="1054"/>
      <c r="S602" s="1054"/>
      <c r="T602" s="1054"/>
      <c r="U602" s="1054"/>
      <c r="V602" s="1054"/>
      <c r="W602" s="1054"/>
      <c r="X602" s="1054"/>
      <c r="Y602" s="1054"/>
      <c r="Z602" s="1054"/>
      <c r="AA602" s="1054"/>
      <c r="AB602" s="1054"/>
    </row>
    <row r="603">
      <c r="A603" s="1054"/>
      <c r="B603" s="1061"/>
      <c r="C603" s="1061"/>
      <c r="D603" s="1061"/>
      <c r="E603" s="1061"/>
      <c r="F603" s="1061"/>
      <c r="G603" s="1061"/>
      <c r="H603" s="1063"/>
      <c r="I603" s="1054"/>
      <c r="J603" s="1054"/>
      <c r="K603" s="1054"/>
      <c r="L603" s="1054"/>
      <c r="M603" s="1054"/>
      <c r="N603" s="1054"/>
      <c r="O603" s="1054"/>
      <c r="P603" s="1054"/>
      <c r="Q603" s="1054"/>
      <c r="R603" s="1054"/>
      <c r="S603" s="1054"/>
      <c r="T603" s="1054"/>
      <c r="U603" s="1054"/>
      <c r="V603" s="1054"/>
      <c r="W603" s="1054"/>
      <c r="X603" s="1054"/>
      <c r="Y603" s="1054"/>
      <c r="Z603" s="1054"/>
      <c r="AA603" s="1054"/>
      <c r="AB603" s="1054"/>
    </row>
    <row r="604">
      <c r="A604" s="1054"/>
      <c r="B604" s="1061"/>
      <c r="C604" s="1061"/>
      <c r="D604" s="1061"/>
      <c r="E604" s="1061"/>
      <c r="F604" s="1061"/>
      <c r="G604" s="1061"/>
      <c r="H604" s="1063"/>
      <c r="I604" s="1054"/>
      <c r="J604" s="1054"/>
      <c r="K604" s="1054"/>
      <c r="L604" s="1054"/>
      <c r="M604" s="1054"/>
      <c r="N604" s="1054"/>
      <c r="O604" s="1054"/>
      <c r="P604" s="1054"/>
      <c r="Q604" s="1054"/>
      <c r="R604" s="1054"/>
      <c r="S604" s="1054"/>
      <c r="T604" s="1054"/>
      <c r="U604" s="1054"/>
      <c r="V604" s="1054"/>
      <c r="W604" s="1054"/>
      <c r="X604" s="1054"/>
      <c r="Y604" s="1054"/>
      <c r="Z604" s="1054"/>
      <c r="AA604" s="1054"/>
      <c r="AB604" s="1054"/>
    </row>
    <row r="605">
      <c r="A605" s="1054"/>
      <c r="B605" s="1061"/>
      <c r="C605" s="1061"/>
      <c r="D605" s="1061"/>
      <c r="E605" s="1061"/>
      <c r="F605" s="1061"/>
      <c r="G605" s="1061"/>
      <c r="H605" s="1063"/>
      <c r="I605" s="1054"/>
      <c r="J605" s="1054"/>
      <c r="K605" s="1054"/>
      <c r="L605" s="1054"/>
      <c r="M605" s="1054"/>
      <c r="N605" s="1054"/>
      <c r="O605" s="1054"/>
      <c r="P605" s="1054"/>
      <c r="Q605" s="1054"/>
      <c r="R605" s="1054"/>
      <c r="S605" s="1054"/>
      <c r="T605" s="1054"/>
      <c r="U605" s="1054"/>
      <c r="V605" s="1054"/>
      <c r="W605" s="1054"/>
      <c r="X605" s="1054"/>
      <c r="Y605" s="1054"/>
      <c r="Z605" s="1054"/>
      <c r="AA605" s="1054"/>
      <c r="AB605" s="1054"/>
    </row>
    <row r="606">
      <c r="A606" s="1054"/>
      <c r="B606" s="1061"/>
      <c r="C606" s="1061"/>
      <c r="D606" s="1061"/>
      <c r="E606" s="1061"/>
      <c r="F606" s="1061"/>
      <c r="G606" s="1061"/>
      <c r="H606" s="1063"/>
      <c r="I606" s="1054"/>
      <c r="J606" s="1054"/>
      <c r="K606" s="1054"/>
      <c r="L606" s="1054"/>
      <c r="M606" s="1054"/>
      <c r="N606" s="1054"/>
      <c r="O606" s="1054"/>
      <c r="P606" s="1054"/>
      <c r="Q606" s="1054"/>
      <c r="R606" s="1054"/>
      <c r="S606" s="1054"/>
      <c r="T606" s="1054"/>
      <c r="U606" s="1054"/>
      <c r="V606" s="1054"/>
      <c r="W606" s="1054"/>
      <c r="X606" s="1054"/>
      <c r="Y606" s="1054"/>
      <c r="Z606" s="1054"/>
      <c r="AA606" s="1054"/>
      <c r="AB606" s="1054"/>
    </row>
    <row r="607">
      <c r="A607" s="1054"/>
      <c r="B607" s="1061"/>
      <c r="C607" s="1061"/>
      <c r="D607" s="1061"/>
      <c r="E607" s="1061"/>
      <c r="F607" s="1061"/>
      <c r="G607" s="1061"/>
      <c r="H607" s="1063"/>
      <c r="I607" s="1054"/>
      <c r="J607" s="1054"/>
      <c r="K607" s="1054"/>
      <c r="L607" s="1054"/>
      <c r="M607" s="1054"/>
      <c r="N607" s="1054"/>
      <c r="O607" s="1054"/>
      <c r="P607" s="1054"/>
      <c r="Q607" s="1054"/>
      <c r="R607" s="1054"/>
      <c r="S607" s="1054"/>
      <c r="T607" s="1054"/>
      <c r="U607" s="1054"/>
      <c r="V607" s="1054"/>
      <c r="W607" s="1054"/>
      <c r="X607" s="1054"/>
      <c r="Y607" s="1054"/>
      <c r="Z607" s="1054"/>
      <c r="AA607" s="1054"/>
      <c r="AB607" s="1054"/>
    </row>
    <row r="608">
      <c r="A608" s="1054"/>
      <c r="B608" s="1061"/>
      <c r="C608" s="1061"/>
      <c r="D608" s="1061"/>
      <c r="E608" s="1061"/>
      <c r="F608" s="1061"/>
      <c r="G608" s="1061"/>
      <c r="H608" s="1063"/>
      <c r="I608" s="1054"/>
      <c r="J608" s="1054"/>
      <c r="K608" s="1054"/>
      <c r="L608" s="1054"/>
      <c r="M608" s="1054"/>
      <c r="N608" s="1054"/>
      <c r="O608" s="1054"/>
      <c r="P608" s="1054"/>
      <c r="Q608" s="1054"/>
      <c r="R608" s="1054"/>
      <c r="S608" s="1054"/>
      <c r="T608" s="1054"/>
      <c r="U608" s="1054"/>
      <c r="V608" s="1054"/>
      <c r="W608" s="1054"/>
      <c r="X608" s="1054"/>
      <c r="Y608" s="1054"/>
      <c r="Z608" s="1054"/>
      <c r="AA608" s="1054"/>
      <c r="AB608" s="1054"/>
    </row>
    <row r="609">
      <c r="A609" s="1054"/>
      <c r="B609" s="1061"/>
      <c r="C609" s="1061"/>
      <c r="D609" s="1061"/>
      <c r="E609" s="1061"/>
      <c r="F609" s="1061"/>
      <c r="G609" s="1061"/>
      <c r="H609" s="1063"/>
      <c r="I609" s="1054"/>
      <c r="J609" s="1054"/>
      <c r="K609" s="1054"/>
      <c r="L609" s="1054"/>
      <c r="M609" s="1054"/>
      <c r="N609" s="1054"/>
      <c r="O609" s="1054"/>
      <c r="P609" s="1054"/>
      <c r="Q609" s="1054"/>
      <c r="R609" s="1054"/>
      <c r="S609" s="1054"/>
      <c r="T609" s="1054"/>
      <c r="U609" s="1054"/>
      <c r="V609" s="1054"/>
      <c r="W609" s="1054"/>
      <c r="X609" s="1054"/>
      <c r="Y609" s="1054"/>
      <c r="Z609" s="1054"/>
      <c r="AA609" s="1054"/>
      <c r="AB609" s="1054"/>
    </row>
    <row r="610">
      <c r="A610" s="1054"/>
      <c r="B610" s="1061"/>
      <c r="C610" s="1061"/>
      <c r="D610" s="1061"/>
      <c r="E610" s="1061"/>
      <c r="F610" s="1061"/>
      <c r="G610" s="1061"/>
      <c r="H610" s="1063"/>
      <c r="I610" s="1054"/>
      <c r="J610" s="1054"/>
      <c r="K610" s="1054"/>
      <c r="L610" s="1054"/>
      <c r="M610" s="1054"/>
      <c r="N610" s="1054"/>
      <c r="O610" s="1054"/>
      <c r="P610" s="1054"/>
      <c r="Q610" s="1054"/>
      <c r="R610" s="1054"/>
      <c r="S610" s="1054"/>
      <c r="T610" s="1054"/>
      <c r="U610" s="1054"/>
      <c r="V610" s="1054"/>
      <c r="W610" s="1054"/>
      <c r="X610" s="1054"/>
      <c r="Y610" s="1054"/>
      <c r="Z610" s="1054"/>
      <c r="AA610" s="1054"/>
      <c r="AB610" s="1054"/>
    </row>
    <row r="611">
      <c r="A611" s="1054"/>
      <c r="B611" s="1061"/>
      <c r="C611" s="1061"/>
      <c r="D611" s="1061"/>
      <c r="E611" s="1061"/>
      <c r="F611" s="1061"/>
      <c r="G611" s="1061"/>
      <c r="H611" s="1063"/>
      <c r="I611" s="1054"/>
      <c r="J611" s="1054"/>
      <c r="K611" s="1054"/>
      <c r="L611" s="1054"/>
      <c r="M611" s="1054"/>
      <c r="N611" s="1054"/>
      <c r="O611" s="1054"/>
      <c r="P611" s="1054"/>
      <c r="Q611" s="1054"/>
      <c r="R611" s="1054"/>
      <c r="S611" s="1054"/>
      <c r="T611" s="1054"/>
      <c r="U611" s="1054"/>
      <c r="V611" s="1054"/>
      <c r="W611" s="1054"/>
      <c r="X611" s="1054"/>
      <c r="Y611" s="1054"/>
      <c r="Z611" s="1054"/>
      <c r="AA611" s="1054"/>
      <c r="AB611" s="1054"/>
    </row>
    <row r="612">
      <c r="A612" s="1054"/>
      <c r="B612" s="1061"/>
      <c r="C612" s="1061"/>
      <c r="D612" s="1061"/>
      <c r="E612" s="1061"/>
      <c r="F612" s="1061"/>
      <c r="G612" s="1061"/>
      <c r="H612" s="1063"/>
      <c r="I612" s="1054"/>
      <c r="J612" s="1054"/>
      <c r="K612" s="1054"/>
      <c r="L612" s="1054"/>
      <c r="M612" s="1054"/>
      <c r="N612" s="1054"/>
      <c r="O612" s="1054"/>
      <c r="P612" s="1054"/>
      <c r="Q612" s="1054"/>
      <c r="R612" s="1054"/>
      <c r="S612" s="1054"/>
      <c r="T612" s="1054"/>
      <c r="U612" s="1054"/>
      <c r="V612" s="1054"/>
      <c r="W612" s="1054"/>
      <c r="X612" s="1054"/>
      <c r="Y612" s="1054"/>
      <c r="Z612" s="1054"/>
      <c r="AA612" s="1054"/>
      <c r="AB612" s="1054"/>
    </row>
    <row r="613">
      <c r="A613" s="1054"/>
      <c r="B613" s="1061"/>
      <c r="C613" s="1061"/>
      <c r="D613" s="1061"/>
      <c r="E613" s="1061"/>
      <c r="F613" s="1061"/>
      <c r="G613" s="1061"/>
      <c r="H613" s="1063"/>
      <c r="I613" s="1054"/>
      <c r="J613" s="1054"/>
      <c r="K613" s="1054"/>
      <c r="L613" s="1054"/>
      <c r="M613" s="1054"/>
      <c r="N613" s="1054"/>
      <c r="O613" s="1054"/>
      <c r="P613" s="1054"/>
      <c r="Q613" s="1054"/>
      <c r="R613" s="1054"/>
      <c r="S613" s="1054"/>
      <c r="T613" s="1054"/>
      <c r="U613" s="1054"/>
      <c r="V613" s="1054"/>
      <c r="W613" s="1054"/>
      <c r="X613" s="1054"/>
      <c r="Y613" s="1054"/>
      <c r="Z613" s="1054"/>
      <c r="AA613" s="1054"/>
      <c r="AB613" s="1054"/>
    </row>
    <row r="614">
      <c r="A614" s="1054"/>
      <c r="B614" s="1061"/>
      <c r="C614" s="1061"/>
      <c r="D614" s="1061"/>
      <c r="E614" s="1061"/>
      <c r="F614" s="1061"/>
      <c r="G614" s="1061"/>
      <c r="H614" s="1063"/>
      <c r="I614" s="1054"/>
      <c r="J614" s="1054"/>
      <c r="K614" s="1054"/>
      <c r="L614" s="1054"/>
      <c r="M614" s="1054"/>
      <c r="N614" s="1054"/>
      <c r="O614" s="1054"/>
      <c r="P614" s="1054"/>
      <c r="Q614" s="1054"/>
      <c r="R614" s="1054"/>
      <c r="S614" s="1054"/>
      <c r="T614" s="1054"/>
      <c r="U614" s="1054"/>
      <c r="V614" s="1054"/>
      <c r="W614" s="1054"/>
      <c r="X614" s="1054"/>
      <c r="Y614" s="1054"/>
      <c r="Z614" s="1054"/>
      <c r="AA614" s="1054"/>
      <c r="AB614" s="1054"/>
    </row>
    <row r="615">
      <c r="A615" s="1054"/>
      <c r="B615" s="1061"/>
      <c r="C615" s="1061"/>
      <c r="D615" s="1061"/>
      <c r="E615" s="1061"/>
      <c r="F615" s="1061"/>
      <c r="G615" s="1061"/>
      <c r="H615" s="1063"/>
      <c r="I615" s="1054"/>
      <c r="J615" s="1054"/>
      <c r="K615" s="1054"/>
      <c r="L615" s="1054"/>
      <c r="M615" s="1054"/>
      <c r="N615" s="1054"/>
      <c r="O615" s="1054"/>
      <c r="P615" s="1054"/>
      <c r="Q615" s="1054"/>
      <c r="R615" s="1054"/>
      <c r="S615" s="1054"/>
      <c r="T615" s="1054"/>
      <c r="U615" s="1054"/>
      <c r="V615" s="1054"/>
      <c r="W615" s="1054"/>
      <c r="X615" s="1054"/>
      <c r="Y615" s="1054"/>
      <c r="Z615" s="1054"/>
      <c r="AA615" s="1054"/>
      <c r="AB615" s="1054"/>
    </row>
    <row r="616">
      <c r="A616" s="1054"/>
      <c r="B616" s="1061"/>
      <c r="C616" s="1061"/>
      <c r="D616" s="1061"/>
      <c r="E616" s="1061"/>
      <c r="F616" s="1061"/>
      <c r="G616" s="1061"/>
      <c r="H616" s="1063"/>
      <c r="I616" s="1054"/>
      <c r="J616" s="1054"/>
      <c r="K616" s="1054"/>
      <c r="L616" s="1054"/>
      <c r="M616" s="1054"/>
      <c r="N616" s="1054"/>
      <c r="O616" s="1054"/>
      <c r="P616" s="1054"/>
      <c r="Q616" s="1054"/>
      <c r="R616" s="1054"/>
      <c r="S616" s="1054"/>
      <c r="T616" s="1054"/>
      <c r="U616" s="1054"/>
      <c r="V616" s="1054"/>
      <c r="W616" s="1054"/>
      <c r="X616" s="1054"/>
      <c r="Y616" s="1054"/>
      <c r="Z616" s="1054"/>
      <c r="AA616" s="1054"/>
      <c r="AB616" s="1054"/>
    </row>
    <row r="617">
      <c r="A617" s="1054"/>
      <c r="B617" s="1061"/>
      <c r="C617" s="1061"/>
      <c r="D617" s="1061"/>
      <c r="E617" s="1061"/>
      <c r="F617" s="1061"/>
      <c r="G617" s="1061"/>
      <c r="H617" s="1063"/>
      <c r="I617" s="1054"/>
      <c r="J617" s="1054"/>
      <c r="K617" s="1054"/>
      <c r="L617" s="1054"/>
      <c r="M617" s="1054"/>
      <c r="N617" s="1054"/>
      <c r="O617" s="1054"/>
      <c r="P617" s="1054"/>
      <c r="Q617" s="1054"/>
      <c r="R617" s="1054"/>
      <c r="S617" s="1054"/>
      <c r="T617" s="1054"/>
      <c r="U617" s="1054"/>
      <c r="V617" s="1054"/>
      <c r="W617" s="1054"/>
      <c r="X617" s="1054"/>
      <c r="Y617" s="1054"/>
      <c r="Z617" s="1054"/>
      <c r="AA617" s="1054"/>
      <c r="AB617" s="1054"/>
    </row>
    <row r="618">
      <c r="A618" s="1054"/>
      <c r="B618" s="1061"/>
      <c r="C618" s="1061"/>
      <c r="D618" s="1061"/>
      <c r="E618" s="1061"/>
      <c r="F618" s="1061"/>
      <c r="G618" s="1061"/>
      <c r="H618" s="1063"/>
      <c r="I618" s="1054"/>
      <c r="J618" s="1054"/>
      <c r="K618" s="1054"/>
      <c r="L618" s="1054"/>
      <c r="M618" s="1054"/>
      <c r="N618" s="1054"/>
      <c r="O618" s="1054"/>
      <c r="P618" s="1054"/>
      <c r="Q618" s="1054"/>
      <c r="R618" s="1054"/>
      <c r="S618" s="1054"/>
      <c r="T618" s="1054"/>
      <c r="U618" s="1054"/>
      <c r="V618" s="1054"/>
      <c r="W618" s="1054"/>
      <c r="X618" s="1054"/>
      <c r="Y618" s="1054"/>
      <c r="Z618" s="1054"/>
      <c r="AA618" s="1054"/>
      <c r="AB618" s="1054"/>
    </row>
    <row r="619">
      <c r="A619" s="1054"/>
      <c r="B619" s="1061"/>
      <c r="C619" s="1061"/>
      <c r="D619" s="1061"/>
      <c r="E619" s="1061"/>
      <c r="F619" s="1061"/>
      <c r="G619" s="1061"/>
      <c r="H619" s="1063"/>
      <c r="I619" s="1054"/>
      <c r="J619" s="1054"/>
      <c r="K619" s="1054"/>
      <c r="L619" s="1054"/>
      <c r="M619" s="1054"/>
      <c r="N619" s="1054"/>
      <c r="O619" s="1054"/>
      <c r="P619" s="1054"/>
      <c r="Q619" s="1054"/>
      <c r="R619" s="1054"/>
      <c r="S619" s="1054"/>
      <c r="T619" s="1054"/>
      <c r="U619" s="1054"/>
      <c r="V619" s="1054"/>
      <c r="W619" s="1054"/>
      <c r="X619" s="1054"/>
      <c r="Y619" s="1054"/>
      <c r="Z619" s="1054"/>
      <c r="AA619" s="1054"/>
      <c r="AB619" s="1054"/>
    </row>
    <row r="620">
      <c r="A620" s="1054"/>
      <c r="B620" s="1061"/>
      <c r="C620" s="1061"/>
      <c r="D620" s="1061"/>
      <c r="E620" s="1061"/>
      <c r="F620" s="1061"/>
      <c r="G620" s="1061"/>
      <c r="H620" s="1063"/>
      <c r="I620" s="1054"/>
      <c r="J620" s="1054"/>
      <c r="K620" s="1054"/>
      <c r="L620" s="1054"/>
      <c r="M620" s="1054"/>
      <c r="N620" s="1054"/>
      <c r="O620" s="1054"/>
      <c r="P620" s="1054"/>
      <c r="Q620" s="1054"/>
      <c r="R620" s="1054"/>
      <c r="S620" s="1054"/>
      <c r="T620" s="1054"/>
      <c r="U620" s="1054"/>
      <c r="V620" s="1054"/>
      <c r="W620" s="1054"/>
      <c r="X620" s="1054"/>
      <c r="Y620" s="1054"/>
      <c r="Z620" s="1054"/>
      <c r="AA620" s="1054"/>
      <c r="AB620" s="1054"/>
    </row>
    <row r="621">
      <c r="A621" s="1054"/>
      <c r="B621" s="1061"/>
      <c r="C621" s="1061"/>
      <c r="D621" s="1061"/>
      <c r="E621" s="1061"/>
      <c r="F621" s="1061"/>
      <c r="G621" s="1061"/>
      <c r="H621" s="1063"/>
      <c r="I621" s="1054"/>
      <c r="J621" s="1054"/>
      <c r="K621" s="1054"/>
      <c r="L621" s="1054"/>
      <c r="M621" s="1054"/>
      <c r="N621" s="1054"/>
      <c r="O621" s="1054"/>
      <c r="P621" s="1054"/>
      <c r="Q621" s="1054"/>
      <c r="R621" s="1054"/>
      <c r="S621" s="1054"/>
      <c r="T621" s="1054"/>
      <c r="U621" s="1054"/>
      <c r="V621" s="1054"/>
      <c r="W621" s="1054"/>
      <c r="X621" s="1054"/>
      <c r="Y621" s="1054"/>
      <c r="Z621" s="1054"/>
      <c r="AA621" s="1054"/>
      <c r="AB621" s="1054"/>
    </row>
    <row r="622">
      <c r="A622" s="1054"/>
      <c r="B622" s="1061"/>
      <c r="C622" s="1061"/>
      <c r="D622" s="1061"/>
      <c r="E622" s="1061"/>
      <c r="F622" s="1061"/>
      <c r="G622" s="1061"/>
      <c r="H622" s="1063"/>
      <c r="I622" s="1054"/>
      <c r="J622" s="1054"/>
      <c r="K622" s="1054"/>
      <c r="L622" s="1054"/>
      <c r="M622" s="1054"/>
      <c r="N622" s="1054"/>
      <c r="O622" s="1054"/>
      <c r="P622" s="1054"/>
      <c r="Q622" s="1054"/>
      <c r="R622" s="1054"/>
      <c r="S622" s="1054"/>
      <c r="T622" s="1054"/>
      <c r="U622" s="1054"/>
      <c r="V622" s="1054"/>
      <c r="W622" s="1054"/>
      <c r="X622" s="1054"/>
      <c r="Y622" s="1054"/>
      <c r="Z622" s="1054"/>
      <c r="AA622" s="1054"/>
      <c r="AB622" s="1054"/>
    </row>
    <row r="623">
      <c r="A623" s="1054"/>
      <c r="B623" s="1061"/>
      <c r="C623" s="1061"/>
      <c r="D623" s="1061"/>
      <c r="E623" s="1061"/>
      <c r="F623" s="1061"/>
      <c r="G623" s="1061"/>
      <c r="H623" s="1063"/>
      <c r="I623" s="1054"/>
      <c r="J623" s="1054"/>
      <c r="K623" s="1054"/>
      <c r="L623" s="1054"/>
      <c r="M623" s="1054"/>
      <c r="N623" s="1054"/>
      <c r="O623" s="1054"/>
      <c r="P623" s="1054"/>
      <c r="Q623" s="1054"/>
      <c r="R623" s="1054"/>
      <c r="S623" s="1054"/>
      <c r="T623" s="1054"/>
      <c r="U623" s="1054"/>
      <c r="V623" s="1054"/>
      <c r="W623" s="1054"/>
      <c r="X623" s="1054"/>
      <c r="Y623" s="1054"/>
      <c r="Z623" s="1054"/>
      <c r="AA623" s="1054"/>
      <c r="AB623" s="1054"/>
    </row>
    <row r="624">
      <c r="A624" s="1054"/>
      <c r="B624" s="1061"/>
      <c r="C624" s="1061"/>
      <c r="D624" s="1061"/>
      <c r="E624" s="1061"/>
      <c r="F624" s="1061"/>
      <c r="G624" s="1061"/>
      <c r="H624" s="1063"/>
      <c r="I624" s="1054"/>
      <c r="J624" s="1054"/>
      <c r="K624" s="1054"/>
      <c r="L624" s="1054"/>
      <c r="M624" s="1054"/>
      <c r="N624" s="1054"/>
      <c r="O624" s="1054"/>
      <c r="P624" s="1054"/>
      <c r="Q624" s="1054"/>
      <c r="R624" s="1054"/>
      <c r="S624" s="1054"/>
      <c r="T624" s="1054"/>
      <c r="U624" s="1054"/>
      <c r="V624" s="1054"/>
      <c r="W624" s="1054"/>
      <c r="X624" s="1054"/>
      <c r="Y624" s="1054"/>
      <c r="Z624" s="1054"/>
      <c r="AA624" s="1054"/>
      <c r="AB624" s="1054"/>
    </row>
    <row r="625">
      <c r="A625" s="1054"/>
      <c r="B625" s="1061"/>
      <c r="C625" s="1061"/>
      <c r="D625" s="1061"/>
      <c r="E625" s="1061"/>
      <c r="F625" s="1061"/>
      <c r="G625" s="1061"/>
      <c r="H625" s="1063"/>
      <c r="I625" s="1054"/>
      <c r="J625" s="1054"/>
      <c r="K625" s="1054"/>
      <c r="L625" s="1054"/>
      <c r="M625" s="1054"/>
      <c r="N625" s="1054"/>
      <c r="O625" s="1054"/>
      <c r="P625" s="1054"/>
      <c r="Q625" s="1054"/>
      <c r="R625" s="1054"/>
      <c r="S625" s="1054"/>
      <c r="T625" s="1054"/>
      <c r="U625" s="1054"/>
      <c r="V625" s="1054"/>
      <c r="W625" s="1054"/>
      <c r="X625" s="1054"/>
      <c r="Y625" s="1054"/>
      <c r="Z625" s="1054"/>
      <c r="AA625" s="1054"/>
      <c r="AB625" s="1054"/>
    </row>
    <row r="626">
      <c r="A626" s="1054"/>
      <c r="B626" s="1061"/>
      <c r="C626" s="1061"/>
      <c r="D626" s="1061"/>
      <c r="E626" s="1061"/>
      <c r="F626" s="1061"/>
      <c r="G626" s="1061"/>
      <c r="H626" s="1063"/>
      <c r="I626" s="1054"/>
      <c r="J626" s="1054"/>
      <c r="K626" s="1054"/>
      <c r="L626" s="1054"/>
      <c r="M626" s="1054"/>
      <c r="N626" s="1054"/>
      <c r="O626" s="1054"/>
      <c r="P626" s="1054"/>
      <c r="Q626" s="1054"/>
      <c r="R626" s="1054"/>
      <c r="S626" s="1054"/>
      <c r="T626" s="1054"/>
      <c r="U626" s="1054"/>
      <c r="V626" s="1054"/>
      <c r="W626" s="1054"/>
      <c r="X626" s="1054"/>
      <c r="Y626" s="1054"/>
      <c r="Z626" s="1054"/>
      <c r="AA626" s="1054"/>
      <c r="AB626" s="1054"/>
    </row>
    <row r="627">
      <c r="A627" s="1054"/>
      <c r="B627" s="1061"/>
      <c r="C627" s="1061"/>
      <c r="D627" s="1061"/>
      <c r="E627" s="1061"/>
      <c r="F627" s="1061"/>
      <c r="G627" s="1061"/>
      <c r="H627" s="1063"/>
      <c r="I627" s="1054"/>
      <c r="J627" s="1054"/>
      <c r="K627" s="1054"/>
      <c r="L627" s="1054"/>
      <c r="M627" s="1054"/>
      <c r="N627" s="1054"/>
      <c r="O627" s="1054"/>
      <c r="P627" s="1054"/>
      <c r="Q627" s="1054"/>
      <c r="R627" s="1054"/>
      <c r="S627" s="1054"/>
      <c r="T627" s="1054"/>
      <c r="U627" s="1054"/>
      <c r="V627" s="1054"/>
      <c r="W627" s="1054"/>
      <c r="X627" s="1054"/>
      <c r="Y627" s="1054"/>
      <c r="Z627" s="1054"/>
      <c r="AA627" s="1054"/>
      <c r="AB627" s="1054"/>
    </row>
    <row r="628">
      <c r="A628" s="1054"/>
      <c r="B628" s="1061"/>
      <c r="C628" s="1061"/>
      <c r="D628" s="1061"/>
      <c r="E628" s="1061"/>
      <c r="F628" s="1061"/>
      <c r="G628" s="1061"/>
      <c r="H628" s="1063"/>
      <c r="I628" s="1054"/>
      <c r="J628" s="1054"/>
      <c r="K628" s="1054"/>
      <c r="L628" s="1054"/>
      <c r="M628" s="1054"/>
      <c r="N628" s="1054"/>
      <c r="O628" s="1054"/>
      <c r="P628" s="1054"/>
      <c r="Q628" s="1054"/>
      <c r="R628" s="1054"/>
      <c r="S628" s="1054"/>
      <c r="T628" s="1054"/>
      <c r="U628" s="1054"/>
      <c r="V628" s="1054"/>
      <c r="W628" s="1054"/>
      <c r="X628" s="1054"/>
      <c r="Y628" s="1054"/>
      <c r="Z628" s="1054"/>
      <c r="AA628" s="1054"/>
      <c r="AB628" s="1054"/>
    </row>
    <row r="629">
      <c r="A629" s="1054"/>
      <c r="B629" s="1061"/>
      <c r="C629" s="1061"/>
      <c r="D629" s="1061"/>
      <c r="E629" s="1061"/>
      <c r="F629" s="1061"/>
      <c r="G629" s="1061"/>
      <c r="H629" s="1063"/>
      <c r="I629" s="1054"/>
      <c r="J629" s="1054"/>
      <c r="K629" s="1054"/>
      <c r="L629" s="1054"/>
      <c r="M629" s="1054"/>
      <c r="N629" s="1054"/>
      <c r="O629" s="1054"/>
      <c r="P629" s="1054"/>
      <c r="Q629" s="1054"/>
      <c r="R629" s="1054"/>
      <c r="S629" s="1054"/>
      <c r="T629" s="1054"/>
      <c r="U629" s="1054"/>
      <c r="V629" s="1054"/>
      <c r="W629" s="1054"/>
      <c r="X629" s="1054"/>
      <c r="Y629" s="1054"/>
      <c r="Z629" s="1054"/>
      <c r="AA629" s="1054"/>
      <c r="AB629" s="1054"/>
    </row>
    <row r="630">
      <c r="A630" s="1054"/>
      <c r="B630" s="1061"/>
      <c r="C630" s="1061"/>
      <c r="D630" s="1061"/>
      <c r="E630" s="1061"/>
      <c r="F630" s="1061"/>
      <c r="G630" s="1061"/>
      <c r="H630" s="1063"/>
      <c r="I630" s="1054"/>
      <c r="J630" s="1054"/>
      <c r="K630" s="1054"/>
      <c r="L630" s="1054"/>
      <c r="M630" s="1054"/>
      <c r="N630" s="1054"/>
      <c r="O630" s="1054"/>
      <c r="P630" s="1054"/>
      <c r="Q630" s="1054"/>
      <c r="R630" s="1054"/>
      <c r="S630" s="1054"/>
      <c r="T630" s="1054"/>
      <c r="U630" s="1054"/>
      <c r="V630" s="1054"/>
      <c r="W630" s="1054"/>
      <c r="X630" s="1054"/>
      <c r="Y630" s="1054"/>
      <c r="Z630" s="1054"/>
      <c r="AA630" s="1054"/>
      <c r="AB630" s="1054"/>
    </row>
    <row r="631">
      <c r="A631" s="1054"/>
      <c r="B631" s="1061"/>
      <c r="C631" s="1061"/>
      <c r="D631" s="1061"/>
      <c r="E631" s="1061"/>
      <c r="F631" s="1061"/>
      <c r="G631" s="1061"/>
      <c r="H631" s="1063"/>
      <c r="I631" s="1054"/>
      <c r="J631" s="1054"/>
      <c r="K631" s="1054"/>
      <c r="L631" s="1054"/>
      <c r="M631" s="1054"/>
      <c r="N631" s="1054"/>
      <c r="O631" s="1054"/>
      <c r="P631" s="1054"/>
      <c r="Q631" s="1054"/>
      <c r="R631" s="1054"/>
      <c r="S631" s="1054"/>
      <c r="T631" s="1054"/>
      <c r="U631" s="1054"/>
      <c r="V631" s="1054"/>
      <c r="W631" s="1054"/>
      <c r="X631" s="1054"/>
      <c r="Y631" s="1054"/>
      <c r="Z631" s="1054"/>
      <c r="AA631" s="1054"/>
      <c r="AB631" s="1054"/>
    </row>
    <row r="632">
      <c r="A632" s="1054"/>
      <c r="B632" s="1061"/>
      <c r="C632" s="1061"/>
      <c r="D632" s="1061"/>
      <c r="E632" s="1061"/>
      <c r="F632" s="1061"/>
      <c r="G632" s="1061"/>
      <c r="H632" s="1063"/>
      <c r="I632" s="1054"/>
      <c r="J632" s="1054"/>
      <c r="K632" s="1054"/>
      <c r="L632" s="1054"/>
      <c r="M632" s="1054"/>
      <c r="N632" s="1054"/>
      <c r="O632" s="1054"/>
      <c r="P632" s="1054"/>
      <c r="Q632" s="1054"/>
      <c r="R632" s="1054"/>
      <c r="S632" s="1054"/>
      <c r="T632" s="1054"/>
      <c r="U632" s="1054"/>
      <c r="V632" s="1054"/>
      <c r="W632" s="1054"/>
      <c r="X632" s="1054"/>
      <c r="Y632" s="1054"/>
      <c r="Z632" s="1054"/>
      <c r="AA632" s="1054"/>
      <c r="AB632" s="1054"/>
    </row>
    <row r="633">
      <c r="A633" s="1054"/>
      <c r="B633" s="1061"/>
      <c r="C633" s="1061"/>
      <c r="D633" s="1061"/>
      <c r="E633" s="1061"/>
      <c r="F633" s="1061"/>
      <c r="G633" s="1061"/>
      <c r="H633" s="1063"/>
      <c r="I633" s="1054"/>
      <c r="J633" s="1054"/>
      <c r="K633" s="1054"/>
      <c r="L633" s="1054"/>
      <c r="M633" s="1054"/>
      <c r="N633" s="1054"/>
      <c r="O633" s="1054"/>
      <c r="P633" s="1054"/>
      <c r="Q633" s="1054"/>
      <c r="R633" s="1054"/>
      <c r="S633" s="1054"/>
      <c r="T633" s="1054"/>
      <c r="U633" s="1054"/>
      <c r="V633" s="1054"/>
      <c r="W633" s="1054"/>
      <c r="X633" s="1054"/>
      <c r="Y633" s="1054"/>
      <c r="Z633" s="1054"/>
      <c r="AA633" s="1054"/>
      <c r="AB633" s="1054"/>
    </row>
    <row r="634">
      <c r="A634" s="1054"/>
      <c r="B634" s="1061"/>
      <c r="C634" s="1061"/>
      <c r="D634" s="1061"/>
      <c r="E634" s="1061"/>
      <c r="F634" s="1061"/>
      <c r="G634" s="1061"/>
      <c r="H634" s="1063"/>
      <c r="I634" s="1054"/>
      <c r="J634" s="1054"/>
      <c r="K634" s="1054"/>
      <c r="L634" s="1054"/>
      <c r="M634" s="1054"/>
      <c r="N634" s="1054"/>
      <c r="O634" s="1054"/>
      <c r="P634" s="1054"/>
      <c r="Q634" s="1054"/>
      <c r="R634" s="1054"/>
      <c r="S634" s="1054"/>
      <c r="T634" s="1054"/>
      <c r="U634" s="1054"/>
      <c r="V634" s="1054"/>
      <c r="W634" s="1054"/>
      <c r="X634" s="1054"/>
      <c r="Y634" s="1054"/>
      <c r="Z634" s="1054"/>
      <c r="AA634" s="1054"/>
      <c r="AB634" s="1054"/>
    </row>
    <row r="635">
      <c r="A635" s="1054"/>
      <c r="B635" s="1061"/>
      <c r="C635" s="1061"/>
      <c r="D635" s="1061"/>
      <c r="E635" s="1061"/>
      <c r="F635" s="1061"/>
      <c r="G635" s="1061"/>
      <c r="H635" s="1063"/>
      <c r="I635" s="1054"/>
      <c r="J635" s="1054"/>
      <c r="K635" s="1054"/>
      <c r="L635" s="1054"/>
      <c r="M635" s="1054"/>
      <c r="N635" s="1054"/>
      <c r="O635" s="1054"/>
      <c r="P635" s="1054"/>
      <c r="Q635" s="1054"/>
      <c r="R635" s="1054"/>
      <c r="S635" s="1054"/>
      <c r="T635" s="1054"/>
      <c r="U635" s="1054"/>
      <c r="V635" s="1054"/>
      <c r="W635" s="1054"/>
      <c r="X635" s="1054"/>
      <c r="Y635" s="1054"/>
      <c r="Z635" s="1054"/>
      <c r="AA635" s="1054"/>
      <c r="AB635" s="1054"/>
    </row>
    <row r="636">
      <c r="A636" s="1054"/>
      <c r="B636" s="1061"/>
      <c r="C636" s="1061"/>
      <c r="D636" s="1061"/>
      <c r="E636" s="1061"/>
      <c r="F636" s="1061"/>
      <c r="G636" s="1061"/>
      <c r="H636" s="1063"/>
      <c r="I636" s="1054"/>
      <c r="J636" s="1054"/>
      <c r="K636" s="1054"/>
      <c r="L636" s="1054"/>
      <c r="M636" s="1054"/>
      <c r="N636" s="1054"/>
      <c r="O636" s="1054"/>
      <c r="P636" s="1054"/>
      <c r="Q636" s="1054"/>
      <c r="R636" s="1054"/>
      <c r="S636" s="1054"/>
      <c r="T636" s="1054"/>
      <c r="U636" s="1054"/>
      <c r="V636" s="1054"/>
      <c r="W636" s="1054"/>
      <c r="X636" s="1054"/>
      <c r="Y636" s="1054"/>
      <c r="Z636" s="1054"/>
      <c r="AA636" s="1054"/>
      <c r="AB636" s="1054"/>
    </row>
    <row r="637">
      <c r="A637" s="1054"/>
      <c r="B637" s="1061"/>
      <c r="C637" s="1061"/>
      <c r="D637" s="1061"/>
      <c r="E637" s="1061"/>
      <c r="F637" s="1061"/>
      <c r="G637" s="1061"/>
      <c r="H637" s="1063"/>
      <c r="I637" s="1054"/>
      <c r="J637" s="1054"/>
      <c r="K637" s="1054"/>
      <c r="L637" s="1054"/>
      <c r="M637" s="1054"/>
      <c r="N637" s="1054"/>
      <c r="O637" s="1054"/>
      <c r="P637" s="1054"/>
      <c r="Q637" s="1054"/>
      <c r="R637" s="1054"/>
      <c r="S637" s="1054"/>
      <c r="T637" s="1054"/>
      <c r="U637" s="1054"/>
      <c r="V637" s="1054"/>
      <c r="W637" s="1054"/>
      <c r="X637" s="1054"/>
      <c r="Y637" s="1054"/>
      <c r="Z637" s="1054"/>
      <c r="AA637" s="1054"/>
      <c r="AB637" s="1054"/>
    </row>
    <row r="638">
      <c r="A638" s="1054"/>
      <c r="B638" s="1061"/>
      <c r="C638" s="1061"/>
      <c r="D638" s="1061"/>
      <c r="E638" s="1061"/>
      <c r="F638" s="1061"/>
      <c r="G638" s="1061"/>
      <c r="H638" s="1063"/>
      <c r="I638" s="1054"/>
      <c r="J638" s="1054"/>
      <c r="K638" s="1054"/>
      <c r="L638" s="1054"/>
      <c r="M638" s="1054"/>
      <c r="N638" s="1054"/>
      <c r="O638" s="1054"/>
      <c r="P638" s="1054"/>
      <c r="Q638" s="1054"/>
      <c r="R638" s="1054"/>
      <c r="S638" s="1054"/>
      <c r="T638" s="1054"/>
      <c r="U638" s="1054"/>
      <c r="V638" s="1054"/>
      <c r="W638" s="1054"/>
      <c r="X638" s="1054"/>
      <c r="Y638" s="1054"/>
      <c r="Z638" s="1054"/>
      <c r="AA638" s="1054"/>
      <c r="AB638" s="1054"/>
    </row>
    <row r="639">
      <c r="A639" s="1054"/>
      <c r="B639" s="1061"/>
      <c r="C639" s="1061"/>
      <c r="D639" s="1061"/>
      <c r="E639" s="1061"/>
      <c r="F639" s="1061"/>
      <c r="G639" s="1061"/>
      <c r="H639" s="1063"/>
      <c r="I639" s="1054"/>
      <c r="J639" s="1054"/>
      <c r="K639" s="1054"/>
      <c r="L639" s="1054"/>
      <c r="M639" s="1054"/>
      <c r="N639" s="1054"/>
      <c r="O639" s="1054"/>
      <c r="P639" s="1054"/>
      <c r="Q639" s="1054"/>
      <c r="R639" s="1054"/>
      <c r="S639" s="1054"/>
      <c r="T639" s="1054"/>
      <c r="U639" s="1054"/>
      <c r="V639" s="1054"/>
      <c r="W639" s="1054"/>
      <c r="X639" s="1054"/>
      <c r="Y639" s="1054"/>
      <c r="Z639" s="1054"/>
      <c r="AA639" s="1054"/>
      <c r="AB639" s="1054"/>
    </row>
    <row r="640">
      <c r="A640" s="1054"/>
      <c r="B640" s="1061"/>
      <c r="C640" s="1061"/>
      <c r="D640" s="1061"/>
      <c r="E640" s="1061"/>
      <c r="F640" s="1061"/>
      <c r="G640" s="1061"/>
      <c r="H640" s="1063"/>
      <c r="I640" s="1054"/>
      <c r="J640" s="1054"/>
      <c r="K640" s="1054"/>
      <c r="L640" s="1054"/>
      <c r="M640" s="1054"/>
      <c r="N640" s="1054"/>
      <c r="O640" s="1054"/>
      <c r="P640" s="1054"/>
      <c r="Q640" s="1054"/>
      <c r="R640" s="1054"/>
      <c r="S640" s="1054"/>
      <c r="T640" s="1054"/>
      <c r="U640" s="1054"/>
      <c r="V640" s="1054"/>
      <c r="W640" s="1054"/>
      <c r="X640" s="1054"/>
      <c r="Y640" s="1054"/>
      <c r="Z640" s="1054"/>
      <c r="AA640" s="1054"/>
      <c r="AB640" s="1054"/>
    </row>
    <row r="641">
      <c r="A641" s="1054"/>
      <c r="B641" s="1061"/>
      <c r="C641" s="1061"/>
      <c r="D641" s="1061"/>
      <c r="E641" s="1061"/>
      <c r="F641" s="1061"/>
      <c r="G641" s="1061"/>
      <c r="H641" s="1063"/>
      <c r="I641" s="1054"/>
      <c r="J641" s="1054"/>
      <c r="K641" s="1054"/>
      <c r="L641" s="1054"/>
      <c r="M641" s="1054"/>
      <c r="N641" s="1054"/>
      <c r="O641" s="1054"/>
      <c r="P641" s="1054"/>
      <c r="Q641" s="1054"/>
      <c r="R641" s="1054"/>
      <c r="S641" s="1054"/>
      <c r="T641" s="1054"/>
      <c r="U641" s="1054"/>
      <c r="V641" s="1054"/>
      <c r="W641" s="1054"/>
      <c r="X641" s="1054"/>
      <c r="Y641" s="1054"/>
      <c r="Z641" s="1054"/>
      <c r="AA641" s="1054"/>
      <c r="AB641" s="1054"/>
    </row>
    <row r="642">
      <c r="A642" s="1054"/>
      <c r="B642" s="1061"/>
      <c r="C642" s="1061"/>
      <c r="D642" s="1061"/>
      <c r="E642" s="1061"/>
      <c r="F642" s="1061"/>
      <c r="G642" s="1061"/>
      <c r="H642" s="1063"/>
      <c r="I642" s="1054"/>
      <c r="J642" s="1054"/>
      <c r="K642" s="1054"/>
      <c r="L642" s="1054"/>
      <c r="M642" s="1054"/>
      <c r="N642" s="1054"/>
      <c r="O642" s="1054"/>
      <c r="P642" s="1054"/>
      <c r="Q642" s="1054"/>
      <c r="R642" s="1054"/>
      <c r="S642" s="1054"/>
      <c r="T642" s="1054"/>
      <c r="U642" s="1054"/>
      <c r="V642" s="1054"/>
      <c r="W642" s="1054"/>
      <c r="X642" s="1054"/>
      <c r="Y642" s="1054"/>
      <c r="Z642" s="1054"/>
      <c r="AA642" s="1054"/>
      <c r="AB642" s="1054"/>
    </row>
    <row r="643">
      <c r="A643" s="1054"/>
      <c r="B643" s="1061"/>
      <c r="C643" s="1061"/>
      <c r="D643" s="1061"/>
      <c r="E643" s="1061"/>
      <c r="F643" s="1061"/>
      <c r="G643" s="1061"/>
      <c r="H643" s="1063"/>
      <c r="I643" s="1054"/>
      <c r="J643" s="1054"/>
      <c r="K643" s="1054"/>
      <c r="L643" s="1054"/>
      <c r="M643" s="1054"/>
      <c r="N643" s="1054"/>
      <c r="O643" s="1054"/>
      <c r="P643" s="1054"/>
      <c r="Q643" s="1054"/>
      <c r="R643" s="1054"/>
      <c r="S643" s="1054"/>
      <c r="T643" s="1054"/>
      <c r="U643" s="1054"/>
      <c r="V643" s="1054"/>
      <c r="W643" s="1054"/>
      <c r="X643" s="1054"/>
      <c r="Y643" s="1054"/>
      <c r="Z643" s="1054"/>
      <c r="AA643" s="1054"/>
      <c r="AB643" s="1054"/>
    </row>
    <row r="644">
      <c r="A644" s="1054"/>
      <c r="B644" s="1061"/>
      <c r="C644" s="1061"/>
      <c r="D644" s="1061"/>
      <c r="E644" s="1061"/>
      <c r="F644" s="1061"/>
      <c r="G644" s="1061"/>
      <c r="H644" s="1063"/>
      <c r="I644" s="1054"/>
      <c r="J644" s="1054"/>
      <c r="K644" s="1054"/>
      <c r="L644" s="1054"/>
      <c r="M644" s="1054"/>
      <c r="N644" s="1054"/>
      <c r="O644" s="1054"/>
      <c r="P644" s="1054"/>
      <c r="Q644" s="1054"/>
      <c r="R644" s="1054"/>
      <c r="S644" s="1054"/>
      <c r="T644" s="1054"/>
      <c r="U644" s="1054"/>
      <c r="V644" s="1054"/>
      <c r="W644" s="1054"/>
      <c r="X644" s="1054"/>
      <c r="Y644" s="1054"/>
      <c r="Z644" s="1054"/>
      <c r="AA644" s="1054"/>
      <c r="AB644" s="1054"/>
    </row>
    <row r="645">
      <c r="A645" s="1054"/>
      <c r="B645" s="1061"/>
      <c r="C645" s="1061"/>
      <c r="D645" s="1061"/>
      <c r="E645" s="1061"/>
      <c r="F645" s="1061"/>
      <c r="G645" s="1061"/>
      <c r="H645" s="1063"/>
      <c r="I645" s="1054"/>
      <c r="J645" s="1054"/>
      <c r="K645" s="1054"/>
      <c r="L645" s="1054"/>
      <c r="M645" s="1054"/>
      <c r="N645" s="1054"/>
      <c r="O645" s="1054"/>
      <c r="P645" s="1054"/>
      <c r="Q645" s="1054"/>
      <c r="R645" s="1054"/>
      <c r="S645" s="1054"/>
      <c r="T645" s="1054"/>
      <c r="U645" s="1054"/>
      <c r="V645" s="1054"/>
      <c r="W645" s="1054"/>
      <c r="X645" s="1054"/>
      <c r="Y645" s="1054"/>
      <c r="Z645" s="1054"/>
      <c r="AA645" s="1054"/>
      <c r="AB645" s="1054"/>
    </row>
    <row r="646">
      <c r="A646" s="1054"/>
      <c r="B646" s="1061"/>
      <c r="C646" s="1061"/>
      <c r="D646" s="1061"/>
      <c r="E646" s="1061"/>
      <c r="F646" s="1061"/>
      <c r="G646" s="1061"/>
      <c r="H646" s="1063"/>
      <c r="I646" s="1054"/>
      <c r="J646" s="1054"/>
      <c r="K646" s="1054"/>
      <c r="L646" s="1054"/>
      <c r="M646" s="1054"/>
      <c r="N646" s="1054"/>
      <c r="O646" s="1054"/>
      <c r="P646" s="1054"/>
      <c r="Q646" s="1054"/>
      <c r="R646" s="1054"/>
      <c r="S646" s="1054"/>
      <c r="T646" s="1054"/>
      <c r="U646" s="1054"/>
      <c r="V646" s="1054"/>
      <c r="W646" s="1054"/>
      <c r="X646" s="1054"/>
      <c r="Y646" s="1054"/>
      <c r="Z646" s="1054"/>
      <c r="AA646" s="1054"/>
      <c r="AB646" s="1054"/>
    </row>
    <row r="647">
      <c r="A647" s="1054"/>
      <c r="B647" s="1061"/>
      <c r="C647" s="1061"/>
      <c r="D647" s="1061"/>
      <c r="E647" s="1061"/>
      <c r="F647" s="1061"/>
      <c r="G647" s="1061"/>
      <c r="H647" s="1063"/>
      <c r="I647" s="1054"/>
      <c r="J647" s="1054"/>
      <c r="K647" s="1054"/>
      <c r="L647" s="1054"/>
      <c r="M647" s="1054"/>
      <c r="N647" s="1054"/>
      <c r="O647" s="1054"/>
      <c r="P647" s="1054"/>
      <c r="Q647" s="1054"/>
      <c r="R647" s="1054"/>
      <c r="S647" s="1054"/>
      <c r="T647" s="1054"/>
      <c r="U647" s="1054"/>
      <c r="V647" s="1054"/>
      <c r="W647" s="1054"/>
      <c r="X647" s="1054"/>
      <c r="Y647" s="1054"/>
      <c r="Z647" s="1054"/>
      <c r="AA647" s="1054"/>
      <c r="AB647" s="1054"/>
    </row>
    <row r="648">
      <c r="A648" s="1054"/>
      <c r="B648" s="1061"/>
      <c r="C648" s="1061"/>
      <c r="D648" s="1061"/>
      <c r="E648" s="1061"/>
      <c r="F648" s="1061"/>
      <c r="G648" s="1061"/>
      <c r="H648" s="1063"/>
      <c r="I648" s="1054"/>
      <c r="J648" s="1054"/>
      <c r="K648" s="1054"/>
      <c r="L648" s="1054"/>
      <c r="M648" s="1054"/>
      <c r="N648" s="1054"/>
      <c r="O648" s="1054"/>
      <c r="P648" s="1054"/>
      <c r="Q648" s="1054"/>
      <c r="R648" s="1054"/>
      <c r="S648" s="1054"/>
      <c r="T648" s="1054"/>
      <c r="U648" s="1054"/>
      <c r="V648" s="1054"/>
      <c r="W648" s="1054"/>
      <c r="X648" s="1054"/>
      <c r="Y648" s="1054"/>
      <c r="Z648" s="1054"/>
      <c r="AA648" s="1054"/>
      <c r="AB648" s="1054"/>
    </row>
    <row r="649">
      <c r="A649" s="1054"/>
      <c r="B649" s="1061"/>
      <c r="C649" s="1061"/>
      <c r="D649" s="1061"/>
      <c r="E649" s="1061"/>
      <c r="F649" s="1061"/>
      <c r="G649" s="1061"/>
      <c r="H649" s="1063"/>
      <c r="I649" s="1054"/>
      <c r="J649" s="1054"/>
      <c r="K649" s="1054"/>
      <c r="L649" s="1054"/>
      <c r="M649" s="1054"/>
      <c r="N649" s="1054"/>
      <c r="O649" s="1054"/>
      <c r="P649" s="1054"/>
      <c r="Q649" s="1054"/>
      <c r="R649" s="1054"/>
      <c r="S649" s="1054"/>
      <c r="T649" s="1054"/>
      <c r="U649" s="1054"/>
      <c r="V649" s="1054"/>
      <c r="W649" s="1054"/>
      <c r="X649" s="1054"/>
      <c r="Y649" s="1054"/>
      <c r="Z649" s="1054"/>
      <c r="AA649" s="1054"/>
      <c r="AB649" s="1054"/>
    </row>
    <row r="650">
      <c r="A650" s="1054"/>
      <c r="B650" s="1061"/>
      <c r="C650" s="1061"/>
      <c r="D650" s="1061"/>
      <c r="E650" s="1061"/>
      <c r="F650" s="1061"/>
      <c r="G650" s="1061"/>
      <c r="H650" s="1063"/>
      <c r="I650" s="1054"/>
      <c r="J650" s="1054"/>
      <c r="K650" s="1054"/>
      <c r="L650" s="1054"/>
      <c r="M650" s="1054"/>
      <c r="N650" s="1054"/>
      <c r="O650" s="1054"/>
      <c r="P650" s="1054"/>
      <c r="Q650" s="1054"/>
      <c r="R650" s="1054"/>
      <c r="S650" s="1054"/>
      <c r="T650" s="1054"/>
      <c r="U650" s="1054"/>
      <c r="V650" s="1054"/>
      <c r="W650" s="1054"/>
      <c r="X650" s="1054"/>
      <c r="Y650" s="1054"/>
      <c r="Z650" s="1054"/>
      <c r="AA650" s="1054"/>
      <c r="AB650" s="1054"/>
    </row>
    <row r="651">
      <c r="A651" s="1054"/>
      <c r="B651" s="1061"/>
      <c r="C651" s="1061"/>
      <c r="D651" s="1061"/>
      <c r="E651" s="1061"/>
      <c r="F651" s="1061"/>
      <c r="G651" s="1061"/>
      <c r="H651" s="1063"/>
      <c r="I651" s="1054"/>
      <c r="J651" s="1054"/>
      <c r="K651" s="1054"/>
      <c r="L651" s="1054"/>
      <c r="M651" s="1054"/>
      <c r="N651" s="1054"/>
      <c r="O651" s="1054"/>
      <c r="P651" s="1054"/>
      <c r="Q651" s="1054"/>
      <c r="R651" s="1054"/>
      <c r="S651" s="1054"/>
      <c r="T651" s="1054"/>
      <c r="U651" s="1054"/>
      <c r="V651" s="1054"/>
      <c r="W651" s="1054"/>
      <c r="X651" s="1054"/>
      <c r="Y651" s="1054"/>
      <c r="Z651" s="1054"/>
      <c r="AA651" s="1054"/>
      <c r="AB651" s="1054"/>
    </row>
    <row r="652">
      <c r="A652" s="1054"/>
      <c r="B652" s="1061"/>
      <c r="C652" s="1061"/>
      <c r="D652" s="1061"/>
      <c r="E652" s="1061"/>
      <c r="F652" s="1061"/>
      <c r="G652" s="1061"/>
      <c r="H652" s="1063"/>
      <c r="I652" s="1054"/>
      <c r="J652" s="1054"/>
      <c r="K652" s="1054"/>
      <c r="L652" s="1054"/>
      <c r="M652" s="1054"/>
      <c r="N652" s="1054"/>
      <c r="O652" s="1054"/>
      <c r="P652" s="1054"/>
      <c r="Q652" s="1054"/>
      <c r="R652" s="1054"/>
      <c r="S652" s="1054"/>
      <c r="T652" s="1054"/>
      <c r="U652" s="1054"/>
      <c r="V652" s="1054"/>
      <c r="W652" s="1054"/>
      <c r="X652" s="1054"/>
      <c r="Y652" s="1054"/>
      <c r="Z652" s="1054"/>
      <c r="AA652" s="1054"/>
      <c r="AB652" s="1054"/>
    </row>
    <row r="653">
      <c r="A653" s="1054"/>
      <c r="B653" s="1061"/>
      <c r="C653" s="1061"/>
      <c r="D653" s="1061"/>
      <c r="E653" s="1061"/>
      <c r="F653" s="1061"/>
      <c r="G653" s="1061"/>
      <c r="H653" s="1063"/>
      <c r="I653" s="1054"/>
      <c r="J653" s="1054"/>
      <c r="K653" s="1054"/>
      <c r="L653" s="1054"/>
      <c r="M653" s="1054"/>
      <c r="N653" s="1054"/>
      <c r="O653" s="1054"/>
      <c r="P653" s="1054"/>
      <c r="Q653" s="1054"/>
      <c r="R653" s="1054"/>
      <c r="S653" s="1054"/>
      <c r="T653" s="1054"/>
      <c r="U653" s="1054"/>
      <c r="V653" s="1054"/>
      <c r="W653" s="1054"/>
      <c r="X653" s="1054"/>
      <c r="Y653" s="1054"/>
      <c r="Z653" s="1054"/>
      <c r="AA653" s="1054"/>
      <c r="AB653" s="1054"/>
    </row>
    <row r="654">
      <c r="A654" s="1054"/>
      <c r="B654" s="1061"/>
      <c r="C654" s="1061"/>
      <c r="D654" s="1061"/>
      <c r="E654" s="1061"/>
      <c r="F654" s="1061"/>
      <c r="G654" s="1061"/>
      <c r="H654" s="1063"/>
      <c r="I654" s="1054"/>
      <c r="J654" s="1054"/>
      <c r="K654" s="1054"/>
      <c r="L654" s="1054"/>
      <c r="M654" s="1054"/>
      <c r="N654" s="1054"/>
      <c r="O654" s="1054"/>
      <c r="P654" s="1054"/>
      <c r="Q654" s="1054"/>
      <c r="R654" s="1054"/>
      <c r="S654" s="1054"/>
      <c r="T654" s="1054"/>
      <c r="U654" s="1054"/>
      <c r="V654" s="1054"/>
      <c r="W654" s="1054"/>
      <c r="X654" s="1054"/>
      <c r="Y654" s="1054"/>
      <c r="Z654" s="1054"/>
      <c r="AA654" s="1054"/>
      <c r="AB654" s="1054"/>
    </row>
    <row r="655">
      <c r="A655" s="1054"/>
      <c r="B655" s="1061"/>
      <c r="C655" s="1061"/>
      <c r="D655" s="1061"/>
      <c r="E655" s="1061"/>
      <c r="F655" s="1061"/>
      <c r="G655" s="1061"/>
      <c r="H655" s="1063"/>
      <c r="I655" s="1054"/>
      <c r="J655" s="1054"/>
      <c r="K655" s="1054"/>
      <c r="L655" s="1054"/>
      <c r="M655" s="1054"/>
      <c r="N655" s="1054"/>
      <c r="O655" s="1054"/>
      <c r="P655" s="1054"/>
      <c r="Q655" s="1054"/>
      <c r="R655" s="1054"/>
      <c r="S655" s="1054"/>
      <c r="T655" s="1054"/>
      <c r="U655" s="1054"/>
      <c r="V655" s="1054"/>
      <c r="W655" s="1054"/>
      <c r="X655" s="1054"/>
      <c r="Y655" s="1054"/>
      <c r="Z655" s="1054"/>
      <c r="AA655" s="1054"/>
      <c r="AB655" s="1054"/>
    </row>
    <row r="656">
      <c r="A656" s="1054"/>
      <c r="B656" s="1061"/>
      <c r="C656" s="1061"/>
      <c r="D656" s="1061"/>
      <c r="E656" s="1061"/>
      <c r="F656" s="1061"/>
      <c r="G656" s="1061"/>
      <c r="H656" s="1063"/>
      <c r="I656" s="1054"/>
      <c r="J656" s="1054"/>
      <c r="K656" s="1054"/>
      <c r="L656" s="1054"/>
      <c r="M656" s="1054"/>
      <c r="N656" s="1054"/>
      <c r="O656" s="1054"/>
      <c r="P656" s="1054"/>
      <c r="Q656" s="1054"/>
      <c r="R656" s="1054"/>
      <c r="S656" s="1054"/>
      <c r="T656" s="1054"/>
      <c r="U656" s="1054"/>
      <c r="V656" s="1054"/>
      <c r="W656" s="1054"/>
      <c r="X656" s="1054"/>
      <c r="Y656" s="1054"/>
      <c r="Z656" s="1054"/>
      <c r="AA656" s="1054"/>
      <c r="AB656" s="1054"/>
    </row>
    <row r="657">
      <c r="A657" s="1054"/>
      <c r="B657" s="1061"/>
      <c r="C657" s="1061"/>
      <c r="D657" s="1061"/>
      <c r="E657" s="1061"/>
      <c r="F657" s="1061"/>
      <c r="G657" s="1061"/>
      <c r="H657" s="1063"/>
      <c r="I657" s="1054"/>
      <c r="J657" s="1054"/>
      <c r="K657" s="1054"/>
      <c r="L657" s="1054"/>
      <c r="M657" s="1054"/>
      <c r="N657" s="1054"/>
      <c r="O657" s="1054"/>
      <c r="P657" s="1054"/>
      <c r="Q657" s="1054"/>
      <c r="R657" s="1054"/>
      <c r="S657" s="1054"/>
      <c r="T657" s="1054"/>
      <c r="U657" s="1054"/>
      <c r="V657" s="1054"/>
      <c r="W657" s="1054"/>
      <c r="X657" s="1054"/>
      <c r="Y657" s="1054"/>
      <c r="Z657" s="1054"/>
      <c r="AA657" s="1054"/>
      <c r="AB657" s="1054"/>
    </row>
    <row r="658">
      <c r="A658" s="1054"/>
      <c r="B658" s="1061"/>
      <c r="C658" s="1061"/>
      <c r="D658" s="1061"/>
      <c r="E658" s="1061"/>
      <c r="F658" s="1061"/>
      <c r="G658" s="1061"/>
      <c r="H658" s="1063"/>
      <c r="I658" s="1054"/>
      <c r="J658" s="1054"/>
      <c r="K658" s="1054"/>
      <c r="L658" s="1054"/>
      <c r="M658" s="1054"/>
      <c r="N658" s="1054"/>
      <c r="O658" s="1054"/>
      <c r="P658" s="1054"/>
      <c r="Q658" s="1054"/>
      <c r="R658" s="1054"/>
      <c r="S658" s="1054"/>
      <c r="T658" s="1054"/>
      <c r="U658" s="1054"/>
      <c r="V658" s="1054"/>
      <c r="W658" s="1054"/>
      <c r="X658" s="1054"/>
      <c r="Y658" s="1054"/>
      <c r="Z658" s="1054"/>
      <c r="AA658" s="1054"/>
      <c r="AB658" s="1054"/>
    </row>
    <row r="659">
      <c r="A659" s="1054"/>
      <c r="B659" s="1061"/>
      <c r="C659" s="1061"/>
      <c r="D659" s="1061"/>
      <c r="E659" s="1061"/>
      <c r="F659" s="1061"/>
      <c r="G659" s="1061"/>
      <c r="H659" s="1063"/>
      <c r="I659" s="1054"/>
      <c r="J659" s="1054"/>
      <c r="K659" s="1054"/>
      <c r="L659" s="1054"/>
      <c r="M659" s="1054"/>
      <c r="N659" s="1054"/>
      <c r="O659" s="1054"/>
      <c r="P659" s="1054"/>
      <c r="Q659" s="1054"/>
      <c r="R659" s="1054"/>
      <c r="S659" s="1054"/>
      <c r="T659" s="1054"/>
      <c r="U659" s="1054"/>
      <c r="V659" s="1054"/>
      <c r="W659" s="1054"/>
      <c r="X659" s="1054"/>
      <c r="Y659" s="1054"/>
      <c r="Z659" s="1054"/>
      <c r="AA659" s="1054"/>
      <c r="AB659" s="1054"/>
    </row>
    <row r="660">
      <c r="A660" s="1054"/>
      <c r="B660" s="1061"/>
      <c r="C660" s="1061"/>
      <c r="D660" s="1061"/>
      <c r="E660" s="1061"/>
      <c r="F660" s="1061"/>
      <c r="G660" s="1061"/>
      <c r="H660" s="1063"/>
      <c r="I660" s="1054"/>
      <c r="J660" s="1054"/>
      <c r="K660" s="1054"/>
      <c r="L660" s="1054"/>
      <c r="M660" s="1054"/>
      <c r="N660" s="1054"/>
      <c r="O660" s="1054"/>
      <c r="P660" s="1054"/>
      <c r="Q660" s="1054"/>
      <c r="R660" s="1054"/>
      <c r="S660" s="1054"/>
      <c r="T660" s="1054"/>
      <c r="U660" s="1054"/>
      <c r="V660" s="1054"/>
      <c r="W660" s="1054"/>
      <c r="X660" s="1054"/>
      <c r="Y660" s="1054"/>
      <c r="Z660" s="1054"/>
      <c r="AA660" s="1054"/>
      <c r="AB660" s="1054"/>
    </row>
    <row r="661">
      <c r="A661" s="1054"/>
      <c r="B661" s="1061"/>
      <c r="C661" s="1061"/>
      <c r="D661" s="1061"/>
      <c r="E661" s="1061"/>
      <c r="F661" s="1061"/>
      <c r="G661" s="1061"/>
      <c r="H661" s="1063"/>
      <c r="I661" s="1054"/>
      <c r="J661" s="1054"/>
      <c r="K661" s="1054"/>
      <c r="L661" s="1054"/>
      <c r="M661" s="1054"/>
      <c r="N661" s="1054"/>
      <c r="O661" s="1054"/>
      <c r="P661" s="1054"/>
      <c r="Q661" s="1054"/>
      <c r="R661" s="1054"/>
      <c r="S661" s="1054"/>
      <c r="T661" s="1054"/>
      <c r="U661" s="1054"/>
      <c r="V661" s="1054"/>
      <c r="W661" s="1054"/>
      <c r="X661" s="1054"/>
      <c r="Y661" s="1054"/>
      <c r="Z661" s="1054"/>
      <c r="AA661" s="1054"/>
      <c r="AB661" s="1054"/>
    </row>
    <row r="662">
      <c r="A662" s="1054"/>
      <c r="B662" s="1061"/>
      <c r="C662" s="1061"/>
      <c r="D662" s="1061"/>
      <c r="E662" s="1061"/>
      <c r="F662" s="1061"/>
      <c r="G662" s="1061"/>
      <c r="H662" s="1063"/>
      <c r="I662" s="1054"/>
      <c r="J662" s="1054"/>
      <c r="K662" s="1054"/>
      <c r="L662" s="1054"/>
      <c r="M662" s="1054"/>
      <c r="N662" s="1054"/>
      <c r="O662" s="1054"/>
      <c r="P662" s="1054"/>
      <c r="Q662" s="1054"/>
      <c r="R662" s="1054"/>
      <c r="S662" s="1054"/>
      <c r="T662" s="1054"/>
      <c r="U662" s="1054"/>
      <c r="V662" s="1054"/>
      <c r="W662" s="1054"/>
      <c r="X662" s="1054"/>
      <c r="Y662" s="1054"/>
      <c r="Z662" s="1054"/>
      <c r="AA662" s="1054"/>
      <c r="AB662" s="1054"/>
    </row>
    <row r="663">
      <c r="A663" s="1054"/>
      <c r="B663" s="1061"/>
      <c r="C663" s="1061"/>
      <c r="D663" s="1061"/>
      <c r="E663" s="1061"/>
      <c r="F663" s="1061"/>
      <c r="G663" s="1061"/>
      <c r="H663" s="1063"/>
      <c r="I663" s="1054"/>
      <c r="J663" s="1054"/>
      <c r="K663" s="1054"/>
      <c r="L663" s="1054"/>
      <c r="M663" s="1054"/>
      <c r="N663" s="1054"/>
      <c r="O663" s="1054"/>
      <c r="P663" s="1054"/>
      <c r="Q663" s="1054"/>
      <c r="R663" s="1054"/>
      <c r="S663" s="1054"/>
      <c r="T663" s="1054"/>
      <c r="U663" s="1054"/>
      <c r="V663" s="1054"/>
      <c r="W663" s="1054"/>
      <c r="X663" s="1054"/>
      <c r="Y663" s="1054"/>
      <c r="Z663" s="1054"/>
      <c r="AA663" s="1054"/>
      <c r="AB663" s="1054"/>
    </row>
    <row r="664">
      <c r="A664" s="1054"/>
      <c r="B664" s="1061"/>
      <c r="C664" s="1061"/>
      <c r="D664" s="1061"/>
      <c r="E664" s="1061"/>
      <c r="F664" s="1061"/>
      <c r="G664" s="1061"/>
      <c r="H664" s="1063"/>
      <c r="I664" s="1054"/>
      <c r="J664" s="1054"/>
      <c r="K664" s="1054"/>
      <c r="L664" s="1054"/>
      <c r="M664" s="1054"/>
      <c r="N664" s="1054"/>
      <c r="O664" s="1054"/>
      <c r="P664" s="1054"/>
      <c r="Q664" s="1054"/>
      <c r="R664" s="1054"/>
      <c r="S664" s="1054"/>
      <c r="T664" s="1054"/>
      <c r="U664" s="1054"/>
      <c r="V664" s="1054"/>
      <c r="W664" s="1054"/>
      <c r="X664" s="1054"/>
      <c r="Y664" s="1054"/>
      <c r="Z664" s="1054"/>
      <c r="AA664" s="1054"/>
      <c r="AB664" s="1054"/>
    </row>
    <row r="665">
      <c r="A665" s="1054"/>
      <c r="B665" s="1061"/>
      <c r="C665" s="1061"/>
      <c r="D665" s="1061"/>
      <c r="E665" s="1061"/>
      <c r="F665" s="1061"/>
      <c r="G665" s="1061"/>
      <c r="H665" s="1063"/>
      <c r="I665" s="1054"/>
      <c r="J665" s="1054"/>
      <c r="K665" s="1054"/>
      <c r="L665" s="1054"/>
      <c r="M665" s="1054"/>
      <c r="N665" s="1054"/>
      <c r="O665" s="1054"/>
      <c r="P665" s="1054"/>
      <c r="Q665" s="1054"/>
      <c r="R665" s="1054"/>
      <c r="S665" s="1054"/>
      <c r="T665" s="1054"/>
      <c r="U665" s="1054"/>
      <c r="V665" s="1054"/>
      <c r="W665" s="1054"/>
      <c r="X665" s="1054"/>
      <c r="Y665" s="1054"/>
      <c r="Z665" s="1054"/>
      <c r="AA665" s="1054"/>
      <c r="AB665" s="1054"/>
    </row>
    <row r="666">
      <c r="A666" s="1054"/>
      <c r="B666" s="1061"/>
      <c r="C666" s="1061"/>
      <c r="D666" s="1061"/>
      <c r="E666" s="1061"/>
      <c r="F666" s="1061"/>
      <c r="G666" s="1061"/>
      <c r="H666" s="1063"/>
      <c r="I666" s="1054"/>
      <c r="J666" s="1054"/>
      <c r="K666" s="1054"/>
      <c r="L666" s="1054"/>
      <c r="M666" s="1054"/>
      <c r="N666" s="1054"/>
      <c r="O666" s="1054"/>
      <c r="P666" s="1054"/>
      <c r="Q666" s="1054"/>
      <c r="R666" s="1054"/>
      <c r="S666" s="1054"/>
      <c r="T666" s="1054"/>
      <c r="U666" s="1054"/>
      <c r="V666" s="1054"/>
      <c r="W666" s="1054"/>
      <c r="X666" s="1054"/>
      <c r="Y666" s="1054"/>
      <c r="Z666" s="1054"/>
      <c r="AA666" s="1054"/>
      <c r="AB666" s="1054"/>
    </row>
    <row r="667">
      <c r="A667" s="1054"/>
      <c r="B667" s="1061"/>
      <c r="C667" s="1061"/>
      <c r="D667" s="1061"/>
      <c r="E667" s="1061"/>
      <c r="F667" s="1061"/>
      <c r="G667" s="1061"/>
      <c r="H667" s="1063"/>
      <c r="I667" s="1054"/>
      <c r="J667" s="1054"/>
      <c r="K667" s="1054"/>
      <c r="L667" s="1054"/>
      <c r="M667" s="1054"/>
      <c r="N667" s="1054"/>
      <c r="O667" s="1054"/>
      <c r="P667" s="1054"/>
      <c r="Q667" s="1054"/>
      <c r="R667" s="1054"/>
      <c r="S667" s="1054"/>
      <c r="T667" s="1054"/>
      <c r="U667" s="1054"/>
      <c r="V667" s="1054"/>
      <c r="W667" s="1054"/>
      <c r="X667" s="1054"/>
      <c r="Y667" s="1054"/>
      <c r="Z667" s="1054"/>
      <c r="AA667" s="1054"/>
      <c r="AB667" s="1054"/>
    </row>
    <row r="668">
      <c r="A668" s="1054"/>
      <c r="B668" s="1061"/>
      <c r="C668" s="1061"/>
      <c r="D668" s="1061"/>
      <c r="E668" s="1061"/>
      <c r="F668" s="1061"/>
      <c r="G668" s="1061"/>
      <c r="H668" s="1063"/>
      <c r="I668" s="1054"/>
      <c r="J668" s="1054"/>
      <c r="K668" s="1054"/>
      <c r="L668" s="1054"/>
      <c r="M668" s="1054"/>
      <c r="N668" s="1054"/>
      <c r="O668" s="1054"/>
      <c r="P668" s="1054"/>
      <c r="Q668" s="1054"/>
      <c r="R668" s="1054"/>
      <c r="S668" s="1054"/>
      <c r="T668" s="1054"/>
      <c r="U668" s="1054"/>
      <c r="V668" s="1054"/>
      <c r="W668" s="1054"/>
      <c r="X668" s="1054"/>
      <c r="Y668" s="1054"/>
      <c r="Z668" s="1054"/>
      <c r="AA668" s="1054"/>
      <c r="AB668" s="1054"/>
    </row>
    <row r="669">
      <c r="A669" s="1054"/>
      <c r="B669" s="1061"/>
      <c r="C669" s="1061"/>
      <c r="D669" s="1061"/>
      <c r="E669" s="1061"/>
      <c r="F669" s="1061"/>
      <c r="G669" s="1061"/>
      <c r="H669" s="1063"/>
      <c r="I669" s="1054"/>
      <c r="J669" s="1054"/>
      <c r="K669" s="1054"/>
      <c r="L669" s="1054"/>
      <c r="M669" s="1054"/>
      <c r="N669" s="1054"/>
      <c r="O669" s="1054"/>
      <c r="P669" s="1054"/>
      <c r="Q669" s="1054"/>
      <c r="R669" s="1054"/>
      <c r="S669" s="1054"/>
      <c r="T669" s="1054"/>
      <c r="U669" s="1054"/>
      <c r="V669" s="1054"/>
      <c r="W669" s="1054"/>
      <c r="X669" s="1054"/>
      <c r="Y669" s="1054"/>
      <c r="Z669" s="1054"/>
      <c r="AA669" s="1054"/>
      <c r="AB669" s="1054"/>
    </row>
    <row r="670">
      <c r="A670" s="1054"/>
      <c r="B670" s="1061"/>
      <c r="C670" s="1061"/>
      <c r="D670" s="1061"/>
      <c r="E670" s="1061"/>
      <c r="F670" s="1061"/>
      <c r="G670" s="1061"/>
      <c r="H670" s="1063"/>
      <c r="I670" s="1054"/>
      <c r="J670" s="1054"/>
      <c r="K670" s="1054"/>
      <c r="L670" s="1054"/>
      <c r="M670" s="1054"/>
      <c r="N670" s="1054"/>
      <c r="O670" s="1054"/>
      <c r="P670" s="1054"/>
      <c r="Q670" s="1054"/>
      <c r="R670" s="1054"/>
      <c r="S670" s="1054"/>
      <c r="T670" s="1054"/>
      <c r="U670" s="1054"/>
      <c r="V670" s="1054"/>
      <c r="W670" s="1054"/>
      <c r="X670" s="1054"/>
      <c r="Y670" s="1054"/>
      <c r="Z670" s="1054"/>
      <c r="AA670" s="1054"/>
      <c r="AB670" s="1054"/>
    </row>
    <row r="671">
      <c r="A671" s="1054"/>
      <c r="B671" s="1061"/>
      <c r="C671" s="1061"/>
      <c r="D671" s="1061"/>
      <c r="E671" s="1061"/>
      <c r="F671" s="1061"/>
      <c r="G671" s="1061"/>
      <c r="H671" s="1063"/>
      <c r="I671" s="1054"/>
      <c r="J671" s="1054"/>
      <c r="K671" s="1054"/>
      <c r="L671" s="1054"/>
      <c r="M671" s="1054"/>
      <c r="N671" s="1054"/>
      <c r="O671" s="1054"/>
      <c r="P671" s="1054"/>
      <c r="Q671" s="1054"/>
      <c r="R671" s="1054"/>
      <c r="S671" s="1054"/>
      <c r="T671" s="1054"/>
      <c r="U671" s="1054"/>
      <c r="V671" s="1054"/>
      <c r="W671" s="1054"/>
      <c r="X671" s="1054"/>
      <c r="Y671" s="1054"/>
      <c r="Z671" s="1054"/>
      <c r="AA671" s="1054"/>
      <c r="AB671" s="1054"/>
    </row>
    <row r="672">
      <c r="A672" s="1054"/>
      <c r="B672" s="1061"/>
      <c r="C672" s="1061"/>
      <c r="D672" s="1061"/>
      <c r="E672" s="1061"/>
      <c r="F672" s="1061"/>
      <c r="G672" s="1061"/>
      <c r="H672" s="1063"/>
      <c r="I672" s="1054"/>
      <c r="J672" s="1054"/>
      <c r="K672" s="1054"/>
      <c r="L672" s="1054"/>
      <c r="M672" s="1054"/>
      <c r="N672" s="1054"/>
      <c r="O672" s="1054"/>
      <c r="P672" s="1054"/>
      <c r="Q672" s="1054"/>
      <c r="R672" s="1054"/>
      <c r="S672" s="1054"/>
      <c r="T672" s="1054"/>
      <c r="U672" s="1054"/>
      <c r="V672" s="1054"/>
      <c r="W672" s="1054"/>
      <c r="X672" s="1054"/>
      <c r="Y672" s="1054"/>
      <c r="Z672" s="1054"/>
      <c r="AA672" s="1054"/>
      <c r="AB672" s="1054"/>
    </row>
    <row r="673">
      <c r="A673" s="1054"/>
      <c r="B673" s="1061"/>
      <c r="C673" s="1061"/>
      <c r="D673" s="1061"/>
      <c r="E673" s="1061"/>
      <c r="F673" s="1061"/>
      <c r="G673" s="1061"/>
      <c r="H673" s="1063"/>
      <c r="I673" s="1054"/>
      <c r="J673" s="1054"/>
      <c r="K673" s="1054"/>
      <c r="L673" s="1054"/>
      <c r="M673" s="1054"/>
      <c r="N673" s="1054"/>
      <c r="O673" s="1054"/>
      <c r="P673" s="1054"/>
      <c r="Q673" s="1054"/>
      <c r="R673" s="1054"/>
      <c r="S673" s="1054"/>
      <c r="T673" s="1054"/>
      <c r="U673" s="1054"/>
      <c r="V673" s="1054"/>
      <c r="W673" s="1054"/>
      <c r="X673" s="1054"/>
      <c r="Y673" s="1054"/>
      <c r="Z673" s="1054"/>
      <c r="AA673" s="1054"/>
      <c r="AB673" s="1054"/>
    </row>
    <row r="674">
      <c r="A674" s="1054"/>
      <c r="B674" s="1061"/>
      <c r="C674" s="1061"/>
      <c r="D674" s="1061"/>
      <c r="E674" s="1061"/>
      <c r="F674" s="1061"/>
      <c r="G674" s="1061"/>
      <c r="H674" s="1063"/>
      <c r="I674" s="1054"/>
      <c r="J674" s="1054"/>
      <c r="K674" s="1054"/>
      <c r="L674" s="1054"/>
      <c r="M674" s="1054"/>
      <c r="N674" s="1054"/>
      <c r="O674" s="1054"/>
      <c r="P674" s="1054"/>
      <c r="Q674" s="1054"/>
      <c r="R674" s="1054"/>
      <c r="S674" s="1054"/>
      <c r="T674" s="1054"/>
      <c r="U674" s="1054"/>
      <c r="V674" s="1054"/>
      <c r="W674" s="1054"/>
      <c r="X674" s="1054"/>
      <c r="Y674" s="1054"/>
      <c r="Z674" s="1054"/>
      <c r="AA674" s="1054"/>
      <c r="AB674" s="1054"/>
    </row>
    <row r="675">
      <c r="A675" s="1054"/>
      <c r="B675" s="1061"/>
      <c r="C675" s="1061"/>
      <c r="D675" s="1061"/>
      <c r="E675" s="1061"/>
      <c r="F675" s="1061"/>
      <c r="G675" s="1061"/>
      <c r="H675" s="1063"/>
      <c r="I675" s="1054"/>
      <c r="J675" s="1054"/>
      <c r="K675" s="1054"/>
      <c r="L675" s="1054"/>
      <c r="M675" s="1054"/>
      <c r="N675" s="1054"/>
      <c r="O675" s="1054"/>
      <c r="P675" s="1054"/>
      <c r="Q675" s="1054"/>
      <c r="R675" s="1054"/>
      <c r="S675" s="1054"/>
      <c r="T675" s="1054"/>
      <c r="U675" s="1054"/>
      <c r="V675" s="1054"/>
      <c r="W675" s="1054"/>
      <c r="X675" s="1054"/>
      <c r="Y675" s="1054"/>
      <c r="Z675" s="1054"/>
      <c r="AA675" s="1054"/>
      <c r="AB675" s="1054"/>
    </row>
    <row r="676">
      <c r="A676" s="1054"/>
      <c r="B676" s="1061"/>
      <c r="C676" s="1061"/>
      <c r="D676" s="1061"/>
      <c r="E676" s="1061"/>
      <c r="F676" s="1061"/>
      <c r="G676" s="1061"/>
      <c r="H676" s="1063"/>
      <c r="I676" s="1054"/>
      <c r="J676" s="1054"/>
      <c r="K676" s="1054"/>
      <c r="L676" s="1054"/>
      <c r="M676" s="1054"/>
      <c r="N676" s="1054"/>
      <c r="O676" s="1054"/>
      <c r="P676" s="1054"/>
      <c r="Q676" s="1054"/>
      <c r="R676" s="1054"/>
      <c r="S676" s="1054"/>
      <c r="T676" s="1054"/>
      <c r="U676" s="1054"/>
      <c r="V676" s="1054"/>
      <c r="W676" s="1054"/>
      <c r="X676" s="1054"/>
      <c r="Y676" s="1054"/>
      <c r="Z676" s="1054"/>
      <c r="AA676" s="1054"/>
      <c r="AB676" s="1054"/>
    </row>
    <row r="677">
      <c r="A677" s="1054"/>
      <c r="B677" s="1061"/>
      <c r="C677" s="1061"/>
      <c r="D677" s="1061"/>
      <c r="E677" s="1061"/>
      <c r="F677" s="1061"/>
      <c r="G677" s="1061"/>
      <c r="H677" s="1063"/>
      <c r="I677" s="1054"/>
      <c r="J677" s="1054"/>
      <c r="K677" s="1054"/>
      <c r="L677" s="1054"/>
      <c r="M677" s="1054"/>
      <c r="N677" s="1054"/>
      <c r="O677" s="1054"/>
      <c r="P677" s="1054"/>
      <c r="Q677" s="1054"/>
      <c r="R677" s="1054"/>
      <c r="S677" s="1054"/>
      <c r="T677" s="1054"/>
      <c r="U677" s="1054"/>
      <c r="V677" s="1054"/>
      <c r="W677" s="1054"/>
      <c r="X677" s="1054"/>
      <c r="Y677" s="1054"/>
      <c r="Z677" s="1054"/>
      <c r="AA677" s="1054"/>
      <c r="AB677" s="1054"/>
    </row>
    <row r="678">
      <c r="A678" s="1054"/>
      <c r="B678" s="1061"/>
      <c r="C678" s="1061"/>
      <c r="D678" s="1061"/>
      <c r="E678" s="1061"/>
      <c r="F678" s="1061"/>
      <c r="G678" s="1061"/>
      <c r="H678" s="1063"/>
      <c r="I678" s="1054"/>
      <c r="J678" s="1054"/>
      <c r="K678" s="1054"/>
      <c r="L678" s="1054"/>
      <c r="M678" s="1054"/>
      <c r="N678" s="1054"/>
      <c r="O678" s="1054"/>
      <c r="P678" s="1054"/>
      <c r="Q678" s="1054"/>
      <c r="R678" s="1054"/>
      <c r="S678" s="1054"/>
      <c r="T678" s="1054"/>
      <c r="U678" s="1054"/>
      <c r="V678" s="1054"/>
      <c r="W678" s="1054"/>
      <c r="X678" s="1054"/>
      <c r="Y678" s="1054"/>
      <c r="Z678" s="1054"/>
      <c r="AA678" s="1054"/>
      <c r="AB678" s="1054"/>
    </row>
    <row r="679">
      <c r="A679" s="1054"/>
      <c r="B679" s="1061"/>
      <c r="C679" s="1061"/>
      <c r="D679" s="1061"/>
      <c r="E679" s="1061"/>
      <c r="F679" s="1061"/>
      <c r="G679" s="1061"/>
      <c r="H679" s="1063"/>
      <c r="I679" s="1054"/>
      <c r="J679" s="1054"/>
      <c r="K679" s="1054"/>
      <c r="L679" s="1054"/>
      <c r="M679" s="1054"/>
      <c r="N679" s="1054"/>
      <c r="O679" s="1054"/>
      <c r="P679" s="1054"/>
      <c r="Q679" s="1054"/>
      <c r="R679" s="1054"/>
      <c r="S679" s="1054"/>
      <c r="T679" s="1054"/>
      <c r="U679" s="1054"/>
      <c r="V679" s="1054"/>
      <c r="W679" s="1054"/>
      <c r="X679" s="1054"/>
      <c r="Y679" s="1054"/>
      <c r="Z679" s="1054"/>
      <c r="AA679" s="1054"/>
      <c r="AB679" s="1054"/>
    </row>
    <row r="680">
      <c r="A680" s="1054"/>
      <c r="B680" s="1061"/>
      <c r="C680" s="1061"/>
      <c r="D680" s="1061"/>
      <c r="E680" s="1061"/>
      <c r="F680" s="1061"/>
      <c r="G680" s="1061"/>
      <c r="H680" s="1063"/>
      <c r="I680" s="1054"/>
      <c r="J680" s="1054"/>
      <c r="K680" s="1054"/>
      <c r="L680" s="1054"/>
      <c r="M680" s="1054"/>
      <c r="N680" s="1054"/>
      <c r="O680" s="1054"/>
      <c r="P680" s="1054"/>
      <c r="Q680" s="1054"/>
      <c r="R680" s="1054"/>
      <c r="S680" s="1054"/>
      <c r="T680" s="1054"/>
      <c r="U680" s="1054"/>
      <c r="V680" s="1054"/>
      <c r="W680" s="1054"/>
      <c r="X680" s="1054"/>
      <c r="Y680" s="1054"/>
      <c r="Z680" s="1054"/>
      <c r="AA680" s="1054"/>
      <c r="AB680" s="1054"/>
    </row>
    <row r="681">
      <c r="A681" s="1054"/>
      <c r="B681" s="1061"/>
      <c r="C681" s="1061"/>
      <c r="D681" s="1061"/>
      <c r="E681" s="1061"/>
      <c r="F681" s="1061"/>
      <c r="G681" s="1061"/>
      <c r="H681" s="1063"/>
      <c r="I681" s="1054"/>
      <c r="J681" s="1054"/>
      <c r="K681" s="1054"/>
      <c r="L681" s="1054"/>
      <c r="M681" s="1054"/>
      <c r="N681" s="1054"/>
      <c r="O681" s="1054"/>
      <c r="P681" s="1054"/>
      <c r="Q681" s="1054"/>
      <c r="R681" s="1054"/>
      <c r="S681" s="1054"/>
      <c r="T681" s="1054"/>
      <c r="U681" s="1054"/>
      <c r="V681" s="1054"/>
      <c r="W681" s="1054"/>
      <c r="X681" s="1054"/>
      <c r="Y681" s="1054"/>
      <c r="Z681" s="1054"/>
      <c r="AA681" s="1054"/>
      <c r="AB681" s="1054"/>
    </row>
    <row r="682">
      <c r="A682" s="1054"/>
      <c r="B682" s="1061"/>
      <c r="C682" s="1061"/>
      <c r="D682" s="1061"/>
      <c r="E682" s="1061"/>
      <c r="F682" s="1061"/>
      <c r="G682" s="1061"/>
      <c r="H682" s="1063"/>
      <c r="I682" s="1054"/>
      <c r="J682" s="1054"/>
      <c r="K682" s="1054"/>
      <c r="L682" s="1054"/>
      <c r="M682" s="1054"/>
      <c r="N682" s="1054"/>
      <c r="O682" s="1054"/>
      <c r="P682" s="1054"/>
      <c r="Q682" s="1054"/>
      <c r="R682" s="1054"/>
      <c r="S682" s="1054"/>
      <c r="T682" s="1054"/>
      <c r="U682" s="1054"/>
      <c r="V682" s="1054"/>
      <c r="W682" s="1054"/>
      <c r="X682" s="1054"/>
      <c r="Y682" s="1054"/>
      <c r="Z682" s="1054"/>
      <c r="AA682" s="1054"/>
      <c r="AB682" s="1054"/>
    </row>
    <row r="683">
      <c r="A683" s="1054"/>
      <c r="B683" s="1061"/>
      <c r="C683" s="1061"/>
      <c r="D683" s="1061"/>
      <c r="E683" s="1061"/>
      <c r="F683" s="1061"/>
      <c r="G683" s="1061"/>
      <c r="H683" s="1063"/>
      <c r="I683" s="1054"/>
      <c r="J683" s="1054"/>
      <c r="K683" s="1054"/>
      <c r="L683" s="1054"/>
      <c r="M683" s="1054"/>
      <c r="N683" s="1054"/>
      <c r="O683" s="1054"/>
      <c r="P683" s="1054"/>
      <c r="Q683" s="1054"/>
      <c r="R683" s="1054"/>
      <c r="S683" s="1054"/>
      <c r="T683" s="1054"/>
      <c r="U683" s="1054"/>
      <c r="V683" s="1054"/>
      <c r="W683" s="1054"/>
      <c r="X683" s="1054"/>
      <c r="Y683" s="1054"/>
      <c r="Z683" s="1054"/>
      <c r="AA683" s="1054"/>
      <c r="AB683" s="1054"/>
    </row>
    <row r="684">
      <c r="A684" s="1054"/>
      <c r="B684" s="1061"/>
      <c r="C684" s="1061"/>
      <c r="D684" s="1061"/>
      <c r="E684" s="1061"/>
      <c r="F684" s="1061"/>
      <c r="G684" s="1061"/>
      <c r="H684" s="1063"/>
      <c r="I684" s="1054"/>
      <c r="J684" s="1054"/>
      <c r="K684" s="1054"/>
      <c r="L684" s="1054"/>
      <c r="M684" s="1054"/>
      <c r="N684" s="1054"/>
      <c r="O684" s="1054"/>
      <c r="P684" s="1054"/>
      <c r="Q684" s="1054"/>
      <c r="R684" s="1054"/>
      <c r="S684" s="1054"/>
      <c r="T684" s="1054"/>
      <c r="U684" s="1054"/>
      <c r="V684" s="1054"/>
      <c r="W684" s="1054"/>
      <c r="X684" s="1054"/>
      <c r="Y684" s="1054"/>
      <c r="Z684" s="1054"/>
      <c r="AA684" s="1054"/>
      <c r="AB684" s="1054"/>
    </row>
    <row r="685">
      <c r="A685" s="1054"/>
      <c r="B685" s="1061"/>
      <c r="C685" s="1061"/>
      <c r="D685" s="1061"/>
      <c r="E685" s="1061"/>
      <c r="F685" s="1061"/>
      <c r="G685" s="1061"/>
      <c r="H685" s="1063"/>
      <c r="I685" s="1054"/>
      <c r="J685" s="1054"/>
      <c r="K685" s="1054"/>
      <c r="L685" s="1054"/>
      <c r="M685" s="1054"/>
      <c r="N685" s="1054"/>
      <c r="O685" s="1054"/>
      <c r="P685" s="1054"/>
      <c r="Q685" s="1054"/>
      <c r="R685" s="1054"/>
      <c r="S685" s="1054"/>
      <c r="T685" s="1054"/>
      <c r="U685" s="1054"/>
      <c r="V685" s="1054"/>
      <c r="W685" s="1054"/>
      <c r="X685" s="1054"/>
      <c r="Y685" s="1054"/>
      <c r="Z685" s="1054"/>
      <c r="AA685" s="1054"/>
      <c r="AB685" s="1054"/>
    </row>
    <row r="686">
      <c r="A686" s="1054"/>
      <c r="B686" s="1061"/>
      <c r="C686" s="1061"/>
      <c r="D686" s="1061"/>
      <c r="E686" s="1061"/>
      <c r="F686" s="1061"/>
      <c r="G686" s="1061"/>
      <c r="H686" s="1063"/>
      <c r="I686" s="1054"/>
      <c r="J686" s="1054"/>
      <c r="K686" s="1054"/>
      <c r="L686" s="1054"/>
      <c r="M686" s="1054"/>
      <c r="N686" s="1054"/>
      <c r="O686" s="1054"/>
      <c r="P686" s="1054"/>
      <c r="Q686" s="1054"/>
      <c r="R686" s="1054"/>
      <c r="S686" s="1054"/>
      <c r="T686" s="1054"/>
      <c r="U686" s="1054"/>
      <c r="V686" s="1054"/>
      <c r="W686" s="1054"/>
      <c r="X686" s="1054"/>
      <c r="Y686" s="1054"/>
      <c r="Z686" s="1054"/>
      <c r="AA686" s="1054"/>
      <c r="AB686" s="1054"/>
    </row>
    <row r="687">
      <c r="A687" s="1054"/>
      <c r="B687" s="1061"/>
      <c r="C687" s="1061"/>
      <c r="D687" s="1061"/>
      <c r="E687" s="1061"/>
      <c r="F687" s="1061"/>
      <c r="G687" s="1061"/>
      <c r="H687" s="1063"/>
      <c r="I687" s="1054"/>
      <c r="J687" s="1054"/>
      <c r="K687" s="1054"/>
      <c r="L687" s="1054"/>
      <c r="M687" s="1054"/>
      <c r="N687" s="1054"/>
      <c r="O687" s="1054"/>
      <c r="P687" s="1054"/>
      <c r="Q687" s="1054"/>
      <c r="R687" s="1054"/>
      <c r="S687" s="1054"/>
      <c r="T687" s="1054"/>
      <c r="U687" s="1054"/>
      <c r="V687" s="1054"/>
      <c r="W687" s="1054"/>
      <c r="X687" s="1054"/>
      <c r="Y687" s="1054"/>
      <c r="Z687" s="1054"/>
      <c r="AA687" s="1054"/>
      <c r="AB687" s="1054"/>
    </row>
    <row r="688">
      <c r="A688" s="1054"/>
      <c r="B688" s="1061"/>
      <c r="C688" s="1061"/>
      <c r="D688" s="1061"/>
      <c r="E688" s="1061"/>
      <c r="F688" s="1061"/>
      <c r="G688" s="1061"/>
      <c r="H688" s="1063"/>
      <c r="I688" s="1054"/>
      <c r="J688" s="1054"/>
      <c r="K688" s="1054"/>
      <c r="L688" s="1054"/>
      <c r="M688" s="1054"/>
      <c r="N688" s="1054"/>
      <c r="O688" s="1054"/>
      <c r="P688" s="1054"/>
      <c r="Q688" s="1054"/>
      <c r="R688" s="1054"/>
      <c r="S688" s="1054"/>
      <c r="T688" s="1054"/>
      <c r="U688" s="1054"/>
      <c r="V688" s="1054"/>
      <c r="W688" s="1054"/>
      <c r="X688" s="1054"/>
      <c r="Y688" s="1054"/>
      <c r="Z688" s="1054"/>
      <c r="AA688" s="1054"/>
      <c r="AB688" s="1054"/>
    </row>
    <row r="689">
      <c r="A689" s="1054"/>
      <c r="B689" s="1061"/>
      <c r="C689" s="1061"/>
      <c r="D689" s="1061"/>
      <c r="E689" s="1061"/>
      <c r="F689" s="1061"/>
      <c r="G689" s="1061"/>
      <c r="H689" s="1063"/>
      <c r="I689" s="1054"/>
      <c r="J689" s="1054"/>
      <c r="K689" s="1054"/>
      <c r="L689" s="1054"/>
      <c r="M689" s="1054"/>
      <c r="N689" s="1054"/>
      <c r="O689" s="1054"/>
      <c r="P689" s="1054"/>
      <c r="Q689" s="1054"/>
      <c r="R689" s="1054"/>
      <c r="S689" s="1054"/>
      <c r="T689" s="1054"/>
      <c r="U689" s="1054"/>
      <c r="V689" s="1054"/>
      <c r="W689" s="1054"/>
      <c r="X689" s="1054"/>
      <c r="Y689" s="1054"/>
      <c r="Z689" s="1054"/>
      <c r="AA689" s="1054"/>
      <c r="AB689" s="1054"/>
    </row>
    <row r="690">
      <c r="A690" s="1054"/>
      <c r="B690" s="1061"/>
      <c r="C690" s="1061"/>
      <c r="D690" s="1061"/>
      <c r="E690" s="1061"/>
      <c r="F690" s="1061"/>
      <c r="G690" s="1061"/>
      <c r="H690" s="1063"/>
      <c r="I690" s="1054"/>
      <c r="J690" s="1054"/>
      <c r="K690" s="1054"/>
      <c r="L690" s="1054"/>
      <c r="M690" s="1054"/>
      <c r="N690" s="1054"/>
      <c r="O690" s="1054"/>
      <c r="P690" s="1054"/>
      <c r="Q690" s="1054"/>
      <c r="R690" s="1054"/>
      <c r="S690" s="1054"/>
      <c r="T690" s="1054"/>
      <c r="U690" s="1054"/>
      <c r="V690" s="1054"/>
      <c r="W690" s="1054"/>
      <c r="X690" s="1054"/>
      <c r="Y690" s="1054"/>
      <c r="Z690" s="1054"/>
      <c r="AA690" s="1054"/>
      <c r="AB690" s="1054"/>
    </row>
    <row r="691">
      <c r="A691" s="1054"/>
      <c r="B691" s="1061"/>
      <c r="C691" s="1061"/>
      <c r="D691" s="1061"/>
      <c r="E691" s="1061"/>
      <c r="F691" s="1061"/>
      <c r="G691" s="1061"/>
      <c r="H691" s="1063"/>
      <c r="I691" s="1054"/>
      <c r="J691" s="1054"/>
      <c r="K691" s="1054"/>
      <c r="L691" s="1054"/>
      <c r="M691" s="1054"/>
      <c r="N691" s="1054"/>
      <c r="O691" s="1054"/>
      <c r="P691" s="1054"/>
      <c r="Q691" s="1054"/>
      <c r="R691" s="1054"/>
      <c r="S691" s="1054"/>
      <c r="T691" s="1054"/>
      <c r="U691" s="1054"/>
      <c r="V691" s="1054"/>
      <c r="W691" s="1054"/>
      <c r="X691" s="1054"/>
      <c r="Y691" s="1054"/>
      <c r="Z691" s="1054"/>
      <c r="AA691" s="1054"/>
      <c r="AB691" s="1054"/>
    </row>
    <row r="692">
      <c r="A692" s="1054"/>
      <c r="B692" s="1061"/>
      <c r="C692" s="1061"/>
      <c r="D692" s="1061"/>
      <c r="E692" s="1061"/>
      <c r="F692" s="1061"/>
      <c r="G692" s="1061"/>
      <c r="H692" s="1063"/>
      <c r="I692" s="1054"/>
      <c r="J692" s="1054"/>
      <c r="K692" s="1054"/>
      <c r="L692" s="1054"/>
      <c r="M692" s="1054"/>
      <c r="N692" s="1054"/>
      <c r="O692" s="1054"/>
      <c r="P692" s="1054"/>
      <c r="Q692" s="1054"/>
      <c r="R692" s="1054"/>
      <c r="S692" s="1054"/>
      <c r="T692" s="1054"/>
      <c r="U692" s="1054"/>
      <c r="V692" s="1054"/>
      <c r="W692" s="1054"/>
      <c r="X692" s="1054"/>
      <c r="Y692" s="1054"/>
      <c r="Z692" s="1054"/>
      <c r="AA692" s="1054"/>
      <c r="AB692" s="1054"/>
    </row>
    <row r="693">
      <c r="A693" s="1054"/>
      <c r="B693" s="1061"/>
      <c r="C693" s="1061"/>
      <c r="D693" s="1061"/>
      <c r="E693" s="1061"/>
      <c r="F693" s="1061"/>
      <c r="G693" s="1061"/>
      <c r="H693" s="1063"/>
      <c r="I693" s="1054"/>
      <c r="J693" s="1054"/>
      <c r="K693" s="1054"/>
      <c r="L693" s="1054"/>
      <c r="M693" s="1054"/>
      <c r="N693" s="1054"/>
      <c r="O693" s="1054"/>
      <c r="P693" s="1054"/>
      <c r="Q693" s="1054"/>
      <c r="R693" s="1054"/>
      <c r="S693" s="1054"/>
      <c r="T693" s="1054"/>
      <c r="U693" s="1054"/>
      <c r="V693" s="1054"/>
      <c r="W693" s="1054"/>
      <c r="X693" s="1054"/>
      <c r="Y693" s="1054"/>
      <c r="Z693" s="1054"/>
      <c r="AA693" s="1054"/>
      <c r="AB693" s="1054"/>
    </row>
    <row r="694">
      <c r="A694" s="1054"/>
      <c r="B694" s="1061"/>
      <c r="C694" s="1061"/>
      <c r="D694" s="1061"/>
      <c r="E694" s="1061"/>
      <c r="F694" s="1061"/>
      <c r="G694" s="1061"/>
      <c r="H694" s="1063"/>
      <c r="I694" s="1054"/>
      <c r="J694" s="1054"/>
      <c r="K694" s="1054"/>
      <c r="L694" s="1054"/>
      <c r="M694" s="1054"/>
      <c r="N694" s="1054"/>
      <c r="O694" s="1054"/>
      <c r="P694" s="1054"/>
      <c r="Q694" s="1054"/>
      <c r="R694" s="1054"/>
      <c r="S694" s="1054"/>
      <c r="T694" s="1054"/>
      <c r="U694" s="1054"/>
      <c r="V694" s="1054"/>
      <c r="W694" s="1054"/>
      <c r="X694" s="1054"/>
      <c r="Y694" s="1054"/>
      <c r="Z694" s="1054"/>
      <c r="AA694" s="1054"/>
      <c r="AB694" s="1054"/>
    </row>
    <row r="695">
      <c r="A695" s="1054"/>
      <c r="B695" s="1061"/>
      <c r="C695" s="1061"/>
      <c r="D695" s="1061"/>
      <c r="E695" s="1061"/>
      <c r="F695" s="1061"/>
      <c r="G695" s="1061"/>
      <c r="H695" s="1063"/>
      <c r="I695" s="1054"/>
      <c r="J695" s="1054"/>
      <c r="K695" s="1054"/>
      <c r="L695" s="1054"/>
      <c r="M695" s="1054"/>
      <c r="N695" s="1054"/>
      <c r="O695" s="1054"/>
      <c r="P695" s="1054"/>
      <c r="Q695" s="1054"/>
      <c r="R695" s="1054"/>
      <c r="S695" s="1054"/>
      <c r="T695" s="1054"/>
      <c r="U695" s="1054"/>
      <c r="V695" s="1054"/>
      <c r="W695" s="1054"/>
      <c r="X695" s="1054"/>
      <c r="Y695" s="1054"/>
      <c r="Z695" s="1054"/>
      <c r="AA695" s="1054"/>
      <c r="AB695" s="1054"/>
    </row>
    <row r="696">
      <c r="A696" s="1054"/>
      <c r="B696" s="1061"/>
      <c r="C696" s="1061"/>
      <c r="D696" s="1061"/>
      <c r="E696" s="1061"/>
      <c r="F696" s="1061"/>
      <c r="G696" s="1061"/>
      <c r="H696" s="1063"/>
      <c r="I696" s="1054"/>
      <c r="J696" s="1054"/>
      <c r="K696" s="1054"/>
      <c r="L696" s="1054"/>
      <c r="M696" s="1054"/>
      <c r="N696" s="1054"/>
      <c r="O696" s="1054"/>
      <c r="P696" s="1054"/>
      <c r="Q696" s="1054"/>
      <c r="R696" s="1054"/>
      <c r="S696" s="1054"/>
      <c r="T696" s="1054"/>
      <c r="U696" s="1054"/>
      <c r="V696" s="1054"/>
      <c r="W696" s="1054"/>
      <c r="X696" s="1054"/>
      <c r="Y696" s="1054"/>
      <c r="Z696" s="1054"/>
      <c r="AA696" s="1054"/>
      <c r="AB696" s="1054"/>
    </row>
    <row r="697">
      <c r="A697" s="1054"/>
      <c r="B697" s="1061"/>
      <c r="C697" s="1061"/>
      <c r="D697" s="1061"/>
      <c r="E697" s="1061"/>
      <c r="F697" s="1061"/>
      <c r="G697" s="1061"/>
      <c r="H697" s="1063"/>
      <c r="I697" s="1054"/>
      <c r="J697" s="1054"/>
      <c r="K697" s="1054"/>
      <c r="L697" s="1054"/>
      <c r="M697" s="1054"/>
      <c r="N697" s="1054"/>
      <c r="O697" s="1054"/>
      <c r="P697" s="1054"/>
      <c r="Q697" s="1054"/>
      <c r="R697" s="1054"/>
      <c r="S697" s="1054"/>
      <c r="T697" s="1054"/>
      <c r="U697" s="1054"/>
      <c r="V697" s="1054"/>
      <c r="W697" s="1054"/>
      <c r="X697" s="1054"/>
      <c r="Y697" s="1054"/>
      <c r="Z697" s="1054"/>
      <c r="AA697" s="1054"/>
      <c r="AB697" s="1054"/>
    </row>
    <row r="698">
      <c r="A698" s="1054"/>
      <c r="B698" s="1061"/>
      <c r="C698" s="1061"/>
      <c r="D698" s="1061"/>
      <c r="E698" s="1061"/>
      <c r="F698" s="1061"/>
      <c r="G698" s="1061"/>
      <c r="H698" s="1063"/>
      <c r="I698" s="1054"/>
      <c r="J698" s="1054"/>
      <c r="K698" s="1054"/>
      <c r="L698" s="1054"/>
      <c r="M698" s="1054"/>
      <c r="N698" s="1054"/>
      <c r="O698" s="1054"/>
      <c r="P698" s="1054"/>
      <c r="Q698" s="1054"/>
      <c r="R698" s="1054"/>
      <c r="S698" s="1054"/>
      <c r="T698" s="1054"/>
      <c r="U698" s="1054"/>
      <c r="V698" s="1054"/>
      <c r="W698" s="1054"/>
      <c r="X698" s="1054"/>
      <c r="Y698" s="1054"/>
      <c r="Z698" s="1054"/>
      <c r="AA698" s="1054"/>
      <c r="AB698" s="1054"/>
    </row>
    <row r="699">
      <c r="A699" s="1054"/>
      <c r="B699" s="1061"/>
      <c r="C699" s="1061"/>
      <c r="D699" s="1061"/>
      <c r="E699" s="1061"/>
      <c r="F699" s="1061"/>
      <c r="G699" s="1061"/>
      <c r="H699" s="1063"/>
      <c r="I699" s="1054"/>
      <c r="J699" s="1054"/>
      <c r="K699" s="1054"/>
      <c r="L699" s="1054"/>
      <c r="M699" s="1054"/>
      <c r="N699" s="1054"/>
      <c r="O699" s="1054"/>
      <c r="P699" s="1054"/>
      <c r="Q699" s="1054"/>
      <c r="R699" s="1054"/>
      <c r="S699" s="1054"/>
      <c r="T699" s="1054"/>
      <c r="U699" s="1054"/>
      <c r="V699" s="1054"/>
      <c r="W699" s="1054"/>
      <c r="X699" s="1054"/>
      <c r="Y699" s="1054"/>
      <c r="Z699" s="1054"/>
      <c r="AA699" s="1054"/>
      <c r="AB699" s="1054"/>
    </row>
    <row r="700">
      <c r="A700" s="1054"/>
      <c r="B700" s="1061"/>
      <c r="C700" s="1061"/>
      <c r="D700" s="1061"/>
      <c r="E700" s="1061"/>
      <c r="F700" s="1061"/>
      <c r="G700" s="1061"/>
      <c r="H700" s="1063"/>
      <c r="I700" s="1054"/>
      <c r="J700" s="1054"/>
      <c r="K700" s="1054"/>
      <c r="L700" s="1054"/>
      <c r="M700" s="1054"/>
      <c r="N700" s="1054"/>
      <c r="O700" s="1054"/>
      <c r="P700" s="1054"/>
      <c r="Q700" s="1054"/>
      <c r="R700" s="1054"/>
      <c r="S700" s="1054"/>
      <c r="T700" s="1054"/>
      <c r="U700" s="1054"/>
      <c r="V700" s="1054"/>
      <c r="W700" s="1054"/>
      <c r="X700" s="1054"/>
      <c r="Y700" s="1054"/>
      <c r="Z700" s="1054"/>
      <c r="AA700" s="1054"/>
      <c r="AB700" s="1054"/>
    </row>
    <row r="701">
      <c r="A701" s="1054"/>
      <c r="B701" s="1061"/>
      <c r="C701" s="1061"/>
      <c r="D701" s="1061"/>
      <c r="E701" s="1061"/>
      <c r="F701" s="1061"/>
      <c r="G701" s="1061"/>
      <c r="H701" s="1063"/>
      <c r="I701" s="1054"/>
      <c r="J701" s="1054"/>
      <c r="K701" s="1054"/>
      <c r="L701" s="1054"/>
      <c r="M701" s="1054"/>
      <c r="N701" s="1054"/>
      <c r="O701" s="1054"/>
      <c r="P701" s="1054"/>
      <c r="Q701" s="1054"/>
      <c r="R701" s="1054"/>
      <c r="S701" s="1054"/>
      <c r="T701" s="1054"/>
      <c r="U701" s="1054"/>
      <c r="V701" s="1054"/>
      <c r="W701" s="1054"/>
      <c r="X701" s="1054"/>
      <c r="Y701" s="1054"/>
      <c r="Z701" s="1054"/>
      <c r="AA701" s="1054"/>
      <c r="AB701" s="1054"/>
    </row>
    <row r="702">
      <c r="A702" s="1054"/>
      <c r="B702" s="1061"/>
      <c r="C702" s="1061"/>
      <c r="D702" s="1061"/>
      <c r="E702" s="1061"/>
      <c r="F702" s="1061"/>
      <c r="G702" s="1061"/>
      <c r="H702" s="1063"/>
      <c r="I702" s="1054"/>
      <c r="J702" s="1054"/>
      <c r="K702" s="1054"/>
      <c r="L702" s="1054"/>
      <c r="M702" s="1054"/>
      <c r="N702" s="1054"/>
      <c r="O702" s="1054"/>
      <c r="P702" s="1054"/>
      <c r="Q702" s="1054"/>
      <c r="R702" s="1054"/>
      <c r="S702" s="1054"/>
      <c r="T702" s="1054"/>
      <c r="U702" s="1054"/>
      <c r="V702" s="1054"/>
      <c r="W702" s="1054"/>
      <c r="X702" s="1054"/>
      <c r="Y702" s="1054"/>
      <c r="Z702" s="1054"/>
      <c r="AA702" s="1054"/>
      <c r="AB702" s="1054"/>
    </row>
    <row r="703">
      <c r="A703" s="1054"/>
      <c r="B703" s="1061"/>
      <c r="C703" s="1061"/>
      <c r="D703" s="1061"/>
      <c r="E703" s="1061"/>
      <c r="F703" s="1061"/>
      <c r="G703" s="1061"/>
      <c r="H703" s="1063"/>
      <c r="I703" s="1054"/>
      <c r="J703" s="1054"/>
      <c r="K703" s="1054"/>
      <c r="L703" s="1054"/>
      <c r="M703" s="1054"/>
      <c r="N703" s="1054"/>
      <c r="O703" s="1054"/>
      <c r="P703" s="1054"/>
      <c r="Q703" s="1054"/>
      <c r="R703" s="1054"/>
      <c r="S703" s="1054"/>
      <c r="T703" s="1054"/>
      <c r="U703" s="1054"/>
      <c r="V703" s="1054"/>
      <c r="W703" s="1054"/>
      <c r="X703" s="1054"/>
      <c r="Y703" s="1054"/>
      <c r="Z703" s="1054"/>
      <c r="AA703" s="1054"/>
      <c r="AB703" s="1054"/>
    </row>
    <row r="704">
      <c r="A704" s="1054"/>
      <c r="B704" s="1061"/>
      <c r="C704" s="1061"/>
      <c r="D704" s="1061"/>
      <c r="E704" s="1061"/>
      <c r="F704" s="1061"/>
      <c r="G704" s="1061"/>
      <c r="H704" s="1063"/>
      <c r="I704" s="1054"/>
      <c r="J704" s="1054"/>
      <c r="K704" s="1054"/>
      <c r="L704" s="1054"/>
      <c r="M704" s="1054"/>
      <c r="N704" s="1054"/>
      <c r="O704" s="1054"/>
      <c r="P704" s="1054"/>
      <c r="Q704" s="1054"/>
      <c r="R704" s="1054"/>
      <c r="S704" s="1054"/>
      <c r="T704" s="1054"/>
      <c r="U704" s="1054"/>
      <c r="V704" s="1054"/>
      <c r="W704" s="1054"/>
      <c r="X704" s="1054"/>
      <c r="Y704" s="1054"/>
      <c r="Z704" s="1054"/>
      <c r="AA704" s="1054"/>
      <c r="AB704" s="1054"/>
    </row>
    <row r="705">
      <c r="A705" s="1054"/>
      <c r="B705" s="1061"/>
      <c r="C705" s="1061"/>
      <c r="D705" s="1061"/>
      <c r="E705" s="1061"/>
      <c r="F705" s="1061"/>
      <c r="G705" s="1061"/>
      <c r="H705" s="1063"/>
      <c r="I705" s="1054"/>
      <c r="J705" s="1054"/>
      <c r="K705" s="1054"/>
      <c r="L705" s="1054"/>
      <c r="M705" s="1054"/>
      <c r="N705" s="1054"/>
      <c r="O705" s="1054"/>
      <c r="P705" s="1054"/>
      <c r="Q705" s="1054"/>
      <c r="R705" s="1054"/>
      <c r="S705" s="1054"/>
      <c r="T705" s="1054"/>
      <c r="U705" s="1054"/>
      <c r="V705" s="1054"/>
      <c r="W705" s="1054"/>
      <c r="X705" s="1054"/>
      <c r="Y705" s="1054"/>
      <c r="Z705" s="1054"/>
      <c r="AA705" s="1054"/>
      <c r="AB705" s="1054"/>
    </row>
    <row r="706">
      <c r="A706" s="1054"/>
      <c r="B706" s="1061"/>
      <c r="C706" s="1061"/>
      <c r="D706" s="1061"/>
      <c r="E706" s="1061"/>
      <c r="F706" s="1061"/>
      <c r="G706" s="1061"/>
      <c r="H706" s="1063"/>
      <c r="I706" s="1054"/>
      <c r="J706" s="1054"/>
      <c r="K706" s="1054"/>
      <c r="L706" s="1054"/>
      <c r="M706" s="1054"/>
      <c r="N706" s="1054"/>
      <c r="O706" s="1054"/>
      <c r="P706" s="1054"/>
      <c r="Q706" s="1054"/>
      <c r="R706" s="1054"/>
      <c r="S706" s="1054"/>
      <c r="T706" s="1054"/>
      <c r="U706" s="1054"/>
      <c r="V706" s="1054"/>
      <c r="W706" s="1054"/>
      <c r="X706" s="1054"/>
      <c r="Y706" s="1054"/>
      <c r="Z706" s="1054"/>
      <c r="AA706" s="1054"/>
      <c r="AB706" s="1054"/>
    </row>
    <row r="707">
      <c r="A707" s="1054"/>
      <c r="B707" s="1061"/>
      <c r="C707" s="1061"/>
      <c r="D707" s="1061"/>
      <c r="E707" s="1061"/>
      <c r="F707" s="1061"/>
      <c r="G707" s="1061"/>
      <c r="H707" s="1063"/>
      <c r="I707" s="1054"/>
      <c r="J707" s="1054"/>
      <c r="K707" s="1054"/>
      <c r="L707" s="1054"/>
      <c r="M707" s="1054"/>
      <c r="N707" s="1054"/>
      <c r="O707" s="1054"/>
      <c r="P707" s="1054"/>
      <c r="Q707" s="1054"/>
      <c r="R707" s="1054"/>
      <c r="S707" s="1054"/>
      <c r="T707" s="1054"/>
      <c r="U707" s="1054"/>
      <c r="V707" s="1054"/>
      <c r="W707" s="1054"/>
      <c r="X707" s="1054"/>
      <c r="Y707" s="1054"/>
      <c r="Z707" s="1054"/>
      <c r="AA707" s="1054"/>
      <c r="AB707" s="1054"/>
    </row>
    <row r="708">
      <c r="A708" s="1054"/>
      <c r="B708" s="1061"/>
      <c r="C708" s="1061"/>
      <c r="D708" s="1061"/>
      <c r="E708" s="1061"/>
      <c r="F708" s="1061"/>
      <c r="G708" s="1061"/>
      <c r="H708" s="1063"/>
      <c r="I708" s="1054"/>
      <c r="J708" s="1054"/>
      <c r="K708" s="1054"/>
      <c r="L708" s="1054"/>
      <c r="M708" s="1054"/>
      <c r="N708" s="1054"/>
      <c r="O708" s="1054"/>
      <c r="P708" s="1054"/>
      <c r="Q708" s="1054"/>
      <c r="R708" s="1054"/>
      <c r="S708" s="1054"/>
      <c r="T708" s="1054"/>
      <c r="U708" s="1054"/>
      <c r="V708" s="1054"/>
      <c r="W708" s="1054"/>
      <c r="X708" s="1054"/>
      <c r="Y708" s="1054"/>
      <c r="Z708" s="1054"/>
      <c r="AA708" s="1054"/>
      <c r="AB708" s="1054"/>
    </row>
    <row r="709">
      <c r="A709" s="1054"/>
      <c r="B709" s="1061"/>
      <c r="C709" s="1061"/>
      <c r="D709" s="1061"/>
      <c r="E709" s="1061"/>
      <c r="F709" s="1061"/>
      <c r="G709" s="1061"/>
      <c r="H709" s="1063"/>
      <c r="I709" s="1054"/>
      <c r="J709" s="1054"/>
      <c r="K709" s="1054"/>
      <c r="L709" s="1054"/>
      <c r="M709" s="1054"/>
      <c r="N709" s="1054"/>
      <c r="O709" s="1054"/>
      <c r="P709" s="1054"/>
      <c r="Q709" s="1054"/>
      <c r="R709" s="1054"/>
      <c r="S709" s="1054"/>
      <c r="T709" s="1054"/>
      <c r="U709" s="1054"/>
      <c r="V709" s="1054"/>
      <c r="W709" s="1054"/>
      <c r="X709" s="1054"/>
      <c r="Y709" s="1054"/>
      <c r="Z709" s="1054"/>
      <c r="AA709" s="1054"/>
      <c r="AB709" s="1054"/>
    </row>
    <row r="710">
      <c r="A710" s="1054"/>
      <c r="B710" s="1061"/>
      <c r="C710" s="1061"/>
      <c r="D710" s="1061"/>
      <c r="E710" s="1061"/>
      <c r="F710" s="1061"/>
      <c r="G710" s="1061"/>
      <c r="H710" s="1063"/>
      <c r="I710" s="1054"/>
      <c r="J710" s="1054"/>
      <c r="K710" s="1054"/>
      <c r="L710" s="1054"/>
      <c r="M710" s="1054"/>
      <c r="N710" s="1054"/>
      <c r="O710" s="1054"/>
      <c r="P710" s="1054"/>
      <c r="Q710" s="1054"/>
      <c r="R710" s="1054"/>
      <c r="S710" s="1054"/>
      <c r="T710" s="1054"/>
      <c r="U710" s="1054"/>
      <c r="V710" s="1054"/>
      <c r="W710" s="1054"/>
      <c r="X710" s="1054"/>
      <c r="Y710" s="1054"/>
      <c r="Z710" s="1054"/>
      <c r="AA710" s="1054"/>
      <c r="AB710" s="1054"/>
    </row>
    <row r="711">
      <c r="A711" s="1054"/>
      <c r="B711" s="1061"/>
      <c r="C711" s="1061"/>
      <c r="D711" s="1061"/>
      <c r="E711" s="1061"/>
      <c r="F711" s="1061"/>
      <c r="G711" s="1061"/>
      <c r="H711" s="1063"/>
      <c r="I711" s="1054"/>
      <c r="J711" s="1054"/>
      <c r="K711" s="1054"/>
      <c r="L711" s="1054"/>
      <c r="M711" s="1054"/>
      <c r="N711" s="1054"/>
      <c r="O711" s="1054"/>
      <c r="P711" s="1054"/>
      <c r="Q711" s="1054"/>
      <c r="R711" s="1054"/>
      <c r="S711" s="1054"/>
      <c r="T711" s="1054"/>
      <c r="U711" s="1054"/>
      <c r="V711" s="1054"/>
      <c r="W711" s="1054"/>
      <c r="X711" s="1054"/>
      <c r="Y711" s="1054"/>
      <c r="Z711" s="1054"/>
      <c r="AA711" s="1054"/>
      <c r="AB711" s="1054"/>
    </row>
    <row r="712">
      <c r="A712" s="1054"/>
      <c r="B712" s="1061"/>
      <c r="C712" s="1061"/>
      <c r="D712" s="1061"/>
      <c r="E712" s="1061"/>
      <c r="F712" s="1061"/>
      <c r="G712" s="1061"/>
      <c r="H712" s="1063"/>
      <c r="I712" s="1054"/>
      <c r="J712" s="1054"/>
      <c r="K712" s="1054"/>
      <c r="L712" s="1054"/>
      <c r="M712" s="1054"/>
      <c r="N712" s="1054"/>
      <c r="O712" s="1054"/>
      <c r="P712" s="1054"/>
      <c r="Q712" s="1054"/>
      <c r="R712" s="1054"/>
      <c r="S712" s="1054"/>
      <c r="T712" s="1054"/>
      <c r="U712" s="1054"/>
      <c r="V712" s="1054"/>
      <c r="W712" s="1054"/>
      <c r="X712" s="1054"/>
      <c r="Y712" s="1054"/>
      <c r="Z712" s="1054"/>
      <c r="AA712" s="1054"/>
      <c r="AB712" s="1054"/>
    </row>
    <row r="713">
      <c r="A713" s="1054"/>
      <c r="B713" s="1061"/>
      <c r="C713" s="1061"/>
      <c r="D713" s="1061"/>
      <c r="E713" s="1061"/>
      <c r="F713" s="1061"/>
      <c r="G713" s="1061"/>
      <c r="H713" s="1063"/>
      <c r="I713" s="1054"/>
      <c r="J713" s="1054"/>
      <c r="K713" s="1054"/>
      <c r="L713" s="1054"/>
      <c r="M713" s="1054"/>
      <c r="N713" s="1054"/>
      <c r="O713" s="1054"/>
      <c r="P713" s="1054"/>
      <c r="Q713" s="1054"/>
      <c r="R713" s="1054"/>
      <c r="S713" s="1054"/>
      <c r="T713" s="1054"/>
      <c r="U713" s="1054"/>
      <c r="V713" s="1054"/>
      <c r="W713" s="1054"/>
      <c r="X713" s="1054"/>
      <c r="Y713" s="1054"/>
      <c r="Z713" s="1054"/>
      <c r="AA713" s="1054"/>
      <c r="AB713" s="1054"/>
    </row>
    <row r="714">
      <c r="A714" s="1054"/>
      <c r="B714" s="1061"/>
      <c r="C714" s="1061"/>
      <c r="D714" s="1061"/>
      <c r="E714" s="1061"/>
      <c r="F714" s="1061"/>
      <c r="G714" s="1061"/>
      <c r="H714" s="1063"/>
      <c r="I714" s="1054"/>
      <c r="J714" s="1054"/>
      <c r="K714" s="1054"/>
      <c r="L714" s="1054"/>
      <c r="M714" s="1054"/>
      <c r="N714" s="1054"/>
      <c r="O714" s="1054"/>
      <c r="P714" s="1054"/>
      <c r="Q714" s="1054"/>
      <c r="R714" s="1054"/>
      <c r="S714" s="1054"/>
      <c r="T714" s="1054"/>
      <c r="U714" s="1054"/>
      <c r="V714" s="1054"/>
      <c r="W714" s="1054"/>
      <c r="X714" s="1054"/>
      <c r="Y714" s="1054"/>
      <c r="Z714" s="1054"/>
      <c r="AA714" s="1054"/>
      <c r="AB714" s="1054"/>
    </row>
    <row r="715">
      <c r="A715" s="1054"/>
      <c r="B715" s="1061"/>
      <c r="C715" s="1061"/>
      <c r="D715" s="1061"/>
      <c r="E715" s="1061"/>
      <c r="F715" s="1061"/>
      <c r="G715" s="1061"/>
      <c r="H715" s="1063"/>
      <c r="I715" s="1054"/>
      <c r="J715" s="1054"/>
      <c r="K715" s="1054"/>
      <c r="L715" s="1054"/>
      <c r="M715" s="1054"/>
      <c r="N715" s="1054"/>
      <c r="O715" s="1054"/>
      <c r="P715" s="1054"/>
      <c r="Q715" s="1054"/>
      <c r="R715" s="1054"/>
      <c r="S715" s="1054"/>
      <c r="T715" s="1054"/>
      <c r="U715" s="1054"/>
      <c r="V715" s="1054"/>
      <c r="W715" s="1054"/>
      <c r="X715" s="1054"/>
      <c r="Y715" s="1054"/>
      <c r="Z715" s="1054"/>
      <c r="AA715" s="1054"/>
      <c r="AB715" s="1054"/>
    </row>
    <row r="716">
      <c r="A716" s="1054"/>
      <c r="B716" s="1061"/>
      <c r="C716" s="1061"/>
      <c r="D716" s="1061"/>
      <c r="E716" s="1061"/>
      <c r="F716" s="1061"/>
      <c r="G716" s="1061"/>
      <c r="H716" s="1063"/>
      <c r="I716" s="1054"/>
      <c r="J716" s="1054"/>
      <c r="K716" s="1054"/>
      <c r="L716" s="1054"/>
      <c r="M716" s="1054"/>
      <c r="N716" s="1054"/>
      <c r="O716" s="1054"/>
      <c r="P716" s="1054"/>
      <c r="Q716" s="1054"/>
      <c r="R716" s="1054"/>
      <c r="S716" s="1054"/>
      <c r="T716" s="1054"/>
      <c r="U716" s="1054"/>
      <c r="V716" s="1054"/>
      <c r="W716" s="1054"/>
      <c r="X716" s="1054"/>
      <c r="Y716" s="1054"/>
      <c r="Z716" s="1054"/>
      <c r="AA716" s="1054"/>
      <c r="AB716" s="1054"/>
    </row>
    <row r="717">
      <c r="A717" s="1054"/>
      <c r="B717" s="1061"/>
      <c r="C717" s="1061"/>
      <c r="D717" s="1061"/>
      <c r="E717" s="1061"/>
      <c r="F717" s="1061"/>
      <c r="G717" s="1061"/>
      <c r="H717" s="1063"/>
      <c r="I717" s="1054"/>
      <c r="J717" s="1054"/>
      <c r="K717" s="1054"/>
      <c r="L717" s="1054"/>
      <c r="M717" s="1054"/>
      <c r="N717" s="1054"/>
      <c r="O717" s="1054"/>
      <c r="P717" s="1054"/>
      <c r="Q717" s="1054"/>
      <c r="R717" s="1054"/>
      <c r="S717" s="1054"/>
      <c r="T717" s="1054"/>
      <c r="U717" s="1054"/>
      <c r="V717" s="1054"/>
      <c r="W717" s="1054"/>
      <c r="X717" s="1054"/>
      <c r="Y717" s="1054"/>
      <c r="Z717" s="1054"/>
      <c r="AA717" s="1054"/>
      <c r="AB717" s="1054"/>
    </row>
    <row r="718">
      <c r="A718" s="1054"/>
      <c r="B718" s="1061"/>
      <c r="C718" s="1061"/>
      <c r="D718" s="1061"/>
      <c r="E718" s="1061"/>
      <c r="F718" s="1061"/>
      <c r="G718" s="1061"/>
      <c r="H718" s="1063"/>
      <c r="I718" s="1054"/>
      <c r="J718" s="1054"/>
      <c r="K718" s="1054"/>
      <c r="L718" s="1054"/>
      <c r="M718" s="1054"/>
      <c r="N718" s="1054"/>
      <c r="O718" s="1054"/>
      <c r="P718" s="1054"/>
      <c r="Q718" s="1054"/>
      <c r="R718" s="1054"/>
      <c r="S718" s="1054"/>
      <c r="T718" s="1054"/>
      <c r="U718" s="1054"/>
      <c r="V718" s="1054"/>
      <c r="W718" s="1054"/>
      <c r="X718" s="1054"/>
      <c r="Y718" s="1054"/>
      <c r="Z718" s="1054"/>
      <c r="AA718" s="1054"/>
      <c r="AB718" s="1054"/>
    </row>
    <row r="719">
      <c r="A719" s="1054"/>
      <c r="B719" s="1061"/>
      <c r="C719" s="1061"/>
      <c r="D719" s="1061"/>
      <c r="E719" s="1061"/>
      <c r="F719" s="1061"/>
      <c r="G719" s="1061"/>
      <c r="H719" s="1063"/>
      <c r="I719" s="1054"/>
      <c r="J719" s="1054"/>
      <c r="K719" s="1054"/>
      <c r="L719" s="1054"/>
      <c r="M719" s="1054"/>
      <c r="N719" s="1054"/>
      <c r="O719" s="1054"/>
      <c r="P719" s="1054"/>
      <c r="Q719" s="1054"/>
      <c r="R719" s="1054"/>
      <c r="S719" s="1054"/>
      <c r="T719" s="1054"/>
      <c r="U719" s="1054"/>
      <c r="V719" s="1054"/>
      <c r="W719" s="1054"/>
      <c r="X719" s="1054"/>
      <c r="Y719" s="1054"/>
      <c r="Z719" s="1054"/>
      <c r="AA719" s="1054"/>
      <c r="AB719" s="1054"/>
    </row>
    <row r="720">
      <c r="A720" s="1054"/>
      <c r="B720" s="1061"/>
      <c r="C720" s="1061"/>
      <c r="D720" s="1061"/>
      <c r="E720" s="1061"/>
      <c r="F720" s="1061"/>
      <c r="G720" s="1061"/>
      <c r="H720" s="1063"/>
      <c r="I720" s="1054"/>
      <c r="J720" s="1054"/>
      <c r="K720" s="1054"/>
      <c r="L720" s="1054"/>
      <c r="M720" s="1054"/>
      <c r="N720" s="1054"/>
      <c r="O720" s="1054"/>
      <c r="P720" s="1054"/>
      <c r="Q720" s="1054"/>
      <c r="R720" s="1054"/>
      <c r="S720" s="1054"/>
      <c r="T720" s="1054"/>
      <c r="U720" s="1054"/>
      <c r="V720" s="1054"/>
      <c r="W720" s="1054"/>
      <c r="X720" s="1054"/>
      <c r="Y720" s="1054"/>
      <c r="Z720" s="1054"/>
      <c r="AA720" s="1054"/>
      <c r="AB720" s="1054"/>
    </row>
    <row r="721">
      <c r="A721" s="1054"/>
      <c r="B721" s="1061"/>
      <c r="C721" s="1061"/>
      <c r="D721" s="1061"/>
      <c r="E721" s="1061"/>
      <c r="F721" s="1061"/>
      <c r="G721" s="1061"/>
      <c r="H721" s="1063"/>
      <c r="I721" s="1054"/>
      <c r="J721" s="1054"/>
      <c r="K721" s="1054"/>
      <c r="L721" s="1054"/>
      <c r="M721" s="1054"/>
      <c r="N721" s="1054"/>
      <c r="O721" s="1054"/>
      <c r="P721" s="1054"/>
      <c r="Q721" s="1054"/>
      <c r="R721" s="1054"/>
      <c r="S721" s="1054"/>
      <c r="T721" s="1054"/>
      <c r="U721" s="1054"/>
      <c r="V721" s="1054"/>
      <c r="W721" s="1054"/>
      <c r="X721" s="1054"/>
      <c r="Y721" s="1054"/>
      <c r="Z721" s="1054"/>
      <c r="AA721" s="1054"/>
      <c r="AB721" s="1054"/>
    </row>
    <row r="722">
      <c r="A722" s="1054"/>
      <c r="B722" s="1061"/>
      <c r="C722" s="1061"/>
      <c r="D722" s="1061"/>
      <c r="E722" s="1061"/>
      <c r="F722" s="1061"/>
      <c r="G722" s="1061"/>
      <c r="H722" s="1063"/>
      <c r="I722" s="1054"/>
      <c r="J722" s="1054"/>
      <c r="K722" s="1054"/>
      <c r="L722" s="1054"/>
      <c r="M722" s="1054"/>
      <c r="N722" s="1054"/>
      <c r="O722" s="1054"/>
      <c r="P722" s="1054"/>
      <c r="Q722" s="1054"/>
      <c r="R722" s="1054"/>
      <c r="S722" s="1054"/>
      <c r="T722" s="1054"/>
      <c r="U722" s="1054"/>
      <c r="V722" s="1054"/>
      <c r="W722" s="1054"/>
      <c r="X722" s="1054"/>
      <c r="Y722" s="1054"/>
      <c r="Z722" s="1054"/>
      <c r="AA722" s="1054"/>
      <c r="AB722" s="1054"/>
    </row>
    <row r="723">
      <c r="A723" s="1054"/>
      <c r="B723" s="1061"/>
      <c r="C723" s="1061"/>
      <c r="D723" s="1061"/>
      <c r="E723" s="1061"/>
      <c r="F723" s="1061"/>
      <c r="G723" s="1061"/>
      <c r="H723" s="1063"/>
      <c r="I723" s="1054"/>
      <c r="J723" s="1054"/>
      <c r="K723" s="1054"/>
      <c r="L723" s="1054"/>
      <c r="M723" s="1054"/>
      <c r="N723" s="1054"/>
      <c r="O723" s="1054"/>
      <c r="P723" s="1054"/>
      <c r="Q723" s="1054"/>
      <c r="R723" s="1054"/>
      <c r="S723" s="1054"/>
      <c r="T723" s="1054"/>
      <c r="U723" s="1054"/>
      <c r="V723" s="1054"/>
      <c r="W723" s="1054"/>
      <c r="X723" s="1054"/>
      <c r="Y723" s="1054"/>
      <c r="Z723" s="1054"/>
      <c r="AA723" s="1054"/>
      <c r="AB723" s="1054"/>
    </row>
    <row r="724">
      <c r="A724" s="1054"/>
      <c r="B724" s="1061"/>
      <c r="C724" s="1061"/>
      <c r="D724" s="1061"/>
      <c r="E724" s="1061"/>
      <c r="F724" s="1061"/>
      <c r="G724" s="1061"/>
      <c r="H724" s="1063"/>
      <c r="I724" s="1054"/>
      <c r="J724" s="1054"/>
      <c r="K724" s="1054"/>
      <c r="L724" s="1054"/>
      <c r="M724" s="1054"/>
      <c r="N724" s="1054"/>
      <c r="O724" s="1054"/>
      <c r="P724" s="1054"/>
      <c r="Q724" s="1054"/>
      <c r="R724" s="1054"/>
      <c r="S724" s="1054"/>
      <c r="T724" s="1054"/>
      <c r="U724" s="1054"/>
      <c r="V724" s="1054"/>
      <c r="W724" s="1054"/>
      <c r="X724" s="1054"/>
      <c r="Y724" s="1054"/>
      <c r="Z724" s="1054"/>
      <c r="AA724" s="1054"/>
      <c r="AB724" s="1054"/>
    </row>
    <row r="725">
      <c r="A725" s="1054"/>
      <c r="B725" s="1061"/>
      <c r="C725" s="1061"/>
      <c r="D725" s="1061"/>
      <c r="E725" s="1061"/>
      <c r="F725" s="1061"/>
      <c r="G725" s="1061"/>
      <c r="H725" s="1063"/>
      <c r="I725" s="1054"/>
      <c r="J725" s="1054"/>
      <c r="K725" s="1054"/>
      <c r="L725" s="1054"/>
      <c r="M725" s="1054"/>
      <c r="N725" s="1054"/>
      <c r="O725" s="1054"/>
      <c r="P725" s="1054"/>
      <c r="Q725" s="1054"/>
      <c r="R725" s="1054"/>
      <c r="S725" s="1054"/>
      <c r="T725" s="1054"/>
      <c r="U725" s="1054"/>
      <c r="V725" s="1054"/>
      <c r="W725" s="1054"/>
      <c r="X725" s="1054"/>
      <c r="Y725" s="1054"/>
      <c r="Z725" s="1054"/>
      <c r="AA725" s="1054"/>
      <c r="AB725" s="1054"/>
    </row>
    <row r="726">
      <c r="A726" s="1054"/>
      <c r="B726" s="1061"/>
      <c r="C726" s="1061"/>
      <c r="D726" s="1061"/>
      <c r="E726" s="1061"/>
      <c r="F726" s="1061"/>
      <c r="G726" s="1061"/>
      <c r="H726" s="1063"/>
      <c r="I726" s="1054"/>
      <c r="J726" s="1054"/>
      <c r="K726" s="1054"/>
      <c r="L726" s="1054"/>
      <c r="M726" s="1054"/>
      <c r="N726" s="1054"/>
      <c r="O726" s="1054"/>
      <c r="P726" s="1054"/>
      <c r="Q726" s="1054"/>
      <c r="R726" s="1054"/>
      <c r="S726" s="1054"/>
      <c r="T726" s="1054"/>
      <c r="U726" s="1054"/>
      <c r="V726" s="1054"/>
      <c r="W726" s="1054"/>
      <c r="X726" s="1054"/>
      <c r="Y726" s="1054"/>
      <c r="Z726" s="1054"/>
      <c r="AA726" s="1054"/>
      <c r="AB726" s="1054"/>
    </row>
    <row r="727">
      <c r="A727" s="1054"/>
      <c r="B727" s="1061"/>
      <c r="C727" s="1061"/>
      <c r="D727" s="1061"/>
      <c r="E727" s="1061"/>
      <c r="F727" s="1061"/>
      <c r="G727" s="1061"/>
      <c r="H727" s="1063"/>
      <c r="I727" s="1054"/>
      <c r="J727" s="1054"/>
      <c r="K727" s="1054"/>
      <c r="L727" s="1054"/>
      <c r="M727" s="1054"/>
      <c r="N727" s="1054"/>
      <c r="O727" s="1054"/>
      <c r="P727" s="1054"/>
      <c r="Q727" s="1054"/>
      <c r="R727" s="1054"/>
      <c r="S727" s="1054"/>
      <c r="T727" s="1054"/>
      <c r="U727" s="1054"/>
      <c r="V727" s="1054"/>
      <c r="W727" s="1054"/>
      <c r="X727" s="1054"/>
      <c r="Y727" s="1054"/>
      <c r="Z727" s="1054"/>
      <c r="AA727" s="1054"/>
      <c r="AB727" s="1054"/>
    </row>
    <row r="728">
      <c r="A728" s="1054"/>
      <c r="B728" s="1061"/>
      <c r="C728" s="1061"/>
      <c r="D728" s="1061"/>
      <c r="E728" s="1061"/>
      <c r="F728" s="1061"/>
      <c r="G728" s="1061"/>
      <c r="H728" s="1063"/>
      <c r="I728" s="1054"/>
      <c r="J728" s="1054"/>
      <c r="K728" s="1054"/>
      <c r="L728" s="1054"/>
      <c r="M728" s="1054"/>
      <c r="N728" s="1054"/>
      <c r="O728" s="1054"/>
      <c r="P728" s="1054"/>
      <c r="Q728" s="1054"/>
      <c r="R728" s="1054"/>
      <c r="S728" s="1054"/>
      <c r="T728" s="1054"/>
      <c r="U728" s="1054"/>
      <c r="V728" s="1054"/>
      <c r="W728" s="1054"/>
      <c r="X728" s="1054"/>
      <c r="Y728" s="1054"/>
      <c r="Z728" s="1054"/>
      <c r="AA728" s="1054"/>
      <c r="AB728" s="1054"/>
    </row>
    <row r="729">
      <c r="A729" s="1054"/>
      <c r="B729" s="1061"/>
      <c r="C729" s="1061"/>
      <c r="D729" s="1061"/>
      <c r="E729" s="1061"/>
      <c r="F729" s="1061"/>
      <c r="G729" s="1061"/>
      <c r="H729" s="1063"/>
      <c r="I729" s="1054"/>
      <c r="J729" s="1054"/>
      <c r="K729" s="1054"/>
      <c r="L729" s="1054"/>
      <c r="M729" s="1054"/>
      <c r="N729" s="1054"/>
      <c r="O729" s="1054"/>
      <c r="P729" s="1054"/>
      <c r="Q729" s="1054"/>
      <c r="R729" s="1054"/>
      <c r="S729" s="1054"/>
      <c r="T729" s="1054"/>
      <c r="U729" s="1054"/>
      <c r="V729" s="1054"/>
      <c r="W729" s="1054"/>
      <c r="X729" s="1054"/>
      <c r="Y729" s="1054"/>
      <c r="Z729" s="1054"/>
      <c r="AA729" s="1054"/>
      <c r="AB729" s="1054"/>
    </row>
    <row r="730">
      <c r="A730" s="1054"/>
      <c r="B730" s="1061"/>
      <c r="C730" s="1061"/>
      <c r="D730" s="1061"/>
      <c r="E730" s="1061"/>
      <c r="F730" s="1061"/>
      <c r="G730" s="1061"/>
      <c r="H730" s="1063"/>
      <c r="I730" s="1054"/>
      <c r="J730" s="1054"/>
      <c r="K730" s="1054"/>
      <c r="L730" s="1054"/>
      <c r="M730" s="1054"/>
      <c r="N730" s="1054"/>
      <c r="O730" s="1054"/>
      <c r="P730" s="1054"/>
      <c r="Q730" s="1054"/>
      <c r="R730" s="1054"/>
      <c r="S730" s="1054"/>
      <c r="T730" s="1054"/>
      <c r="U730" s="1054"/>
      <c r="V730" s="1054"/>
      <c r="W730" s="1054"/>
      <c r="X730" s="1054"/>
      <c r="Y730" s="1054"/>
      <c r="Z730" s="1054"/>
      <c r="AA730" s="1054"/>
      <c r="AB730" s="1054"/>
    </row>
    <row r="731">
      <c r="A731" s="1054"/>
      <c r="B731" s="1061"/>
      <c r="C731" s="1061"/>
      <c r="D731" s="1061"/>
      <c r="E731" s="1061"/>
      <c r="F731" s="1061"/>
      <c r="G731" s="1061"/>
      <c r="H731" s="1063"/>
      <c r="I731" s="1054"/>
      <c r="J731" s="1054"/>
      <c r="K731" s="1054"/>
      <c r="L731" s="1054"/>
      <c r="M731" s="1054"/>
      <c r="N731" s="1054"/>
      <c r="O731" s="1054"/>
      <c r="P731" s="1054"/>
      <c r="Q731" s="1054"/>
      <c r="R731" s="1054"/>
      <c r="S731" s="1054"/>
      <c r="T731" s="1054"/>
      <c r="U731" s="1054"/>
      <c r="V731" s="1054"/>
      <c r="W731" s="1054"/>
      <c r="X731" s="1054"/>
      <c r="Y731" s="1054"/>
      <c r="Z731" s="1054"/>
      <c r="AA731" s="1054"/>
      <c r="AB731" s="1054"/>
    </row>
    <row r="732">
      <c r="A732" s="1054"/>
      <c r="B732" s="1061"/>
      <c r="C732" s="1061"/>
      <c r="D732" s="1061"/>
      <c r="E732" s="1061"/>
      <c r="F732" s="1061"/>
      <c r="G732" s="1061"/>
      <c r="H732" s="1063"/>
      <c r="I732" s="1054"/>
      <c r="J732" s="1054"/>
      <c r="K732" s="1054"/>
      <c r="L732" s="1054"/>
      <c r="M732" s="1054"/>
      <c r="N732" s="1054"/>
      <c r="O732" s="1054"/>
      <c r="P732" s="1054"/>
      <c r="Q732" s="1054"/>
      <c r="R732" s="1054"/>
      <c r="S732" s="1054"/>
      <c r="T732" s="1054"/>
      <c r="U732" s="1054"/>
      <c r="V732" s="1054"/>
      <c r="W732" s="1054"/>
      <c r="X732" s="1054"/>
      <c r="Y732" s="1054"/>
      <c r="Z732" s="1054"/>
      <c r="AA732" s="1054"/>
      <c r="AB732" s="1054"/>
    </row>
    <row r="733">
      <c r="A733" s="1054"/>
      <c r="B733" s="1061"/>
      <c r="C733" s="1061"/>
      <c r="D733" s="1061"/>
      <c r="E733" s="1061"/>
      <c r="F733" s="1061"/>
      <c r="G733" s="1061"/>
      <c r="H733" s="1063"/>
      <c r="I733" s="1054"/>
      <c r="J733" s="1054"/>
      <c r="K733" s="1054"/>
      <c r="L733" s="1054"/>
      <c r="M733" s="1054"/>
      <c r="N733" s="1054"/>
      <c r="O733" s="1054"/>
      <c r="P733" s="1054"/>
      <c r="Q733" s="1054"/>
      <c r="R733" s="1054"/>
      <c r="S733" s="1054"/>
      <c r="T733" s="1054"/>
      <c r="U733" s="1054"/>
      <c r="V733" s="1054"/>
      <c r="W733" s="1054"/>
      <c r="X733" s="1054"/>
      <c r="Y733" s="1054"/>
      <c r="Z733" s="1054"/>
      <c r="AA733" s="1054"/>
      <c r="AB733" s="1054"/>
    </row>
    <row r="734">
      <c r="A734" s="1054"/>
      <c r="B734" s="1061"/>
      <c r="C734" s="1061"/>
      <c r="D734" s="1061"/>
      <c r="E734" s="1061"/>
      <c r="F734" s="1061"/>
      <c r="G734" s="1061"/>
      <c r="H734" s="1063"/>
      <c r="I734" s="1054"/>
      <c r="J734" s="1054"/>
      <c r="K734" s="1054"/>
      <c r="L734" s="1054"/>
      <c r="M734" s="1054"/>
      <c r="N734" s="1054"/>
      <c r="O734" s="1054"/>
      <c r="P734" s="1054"/>
      <c r="Q734" s="1054"/>
      <c r="R734" s="1054"/>
      <c r="S734" s="1054"/>
      <c r="T734" s="1054"/>
      <c r="U734" s="1054"/>
      <c r="V734" s="1054"/>
      <c r="W734" s="1054"/>
      <c r="X734" s="1054"/>
      <c r="Y734" s="1054"/>
      <c r="Z734" s="1054"/>
      <c r="AA734" s="1054"/>
      <c r="AB734" s="1054"/>
    </row>
    <row r="735">
      <c r="A735" s="1054"/>
      <c r="B735" s="1061"/>
      <c r="C735" s="1061"/>
      <c r="D735" s="1061"/>
      <c r="E735" s="1061"/>
      <c r="F735" s="1061"/>
      <c r="G735" s="1061"/>
      <c r="H735" s="1063"/>
      <c r="I735" s="1054"/>
      <c r="J735" s="1054"/>
      <c r="K735" s="1054"/>
      <c r="L735" s="1054"/>
      <c r="M735" s="1054"/>
      <c r="N735" s="1054"/>
      <c r="O735" s="1054"/>
      <c r="P735" s="1054"/>
      <c r="Q735" s="1054"/>
      <c r="R735" s="1054"/>
      <c r="S735" s="1054"/>
      <c r="T735" s="1054"/>
      <c r="U735" s="1054"/>
      <c r="V735" s="1054"/>
      <c r="W735" s="1054"/>
      <c r="X735" s="1054"/>
      <c r="Y735" s="1054"/>
      <c r="Z735" s="1054"/>
      <c r="AA735" s="1054"/>
      <c r="AB735" s="1054"/>
    </row>
    <row r="736">
      <c r="A736" s="1054"/>
      <c r="B736" s="1061"/>
      <c r="C736" s="1061"/>
      <c r="D736" s="1061"/>
      <c r="E736" s="1061"/>
      <c r="F736" s="1061"/>
      <c r="G736" s="1061"/>
      <c r="H736" s="1063"/>
      <c r="I736" s="1054"/>
      <c r="J736" s="1054"/>
      <c r="K736" s="1054"/>
      <c r="L736" s="1054"/>
      <c r="M736" s="1054"/>
      <c r="N736" s="1054"/>
      <c r="O736" s="1054"/>
      <c r="P736" s="1054"/>
      <c r="Q736" s="1054"/>
      <c r="R736" s="1054"/>
      <c r="S736" s="1054"/>
      <c r="T736" s="1054"/>
      <c r="U736" s="1054"/>
      <c r="V736" s="1054"/>
      <c r="W736" s="1054"/>
      <c r="X736" s="1054"/>
      <c r="Y736" s="1054"/>
      <c r="Z736" s="1054"/>
      <c r="AA736" s="1054"/>
      <c r="AB736" s="1054"/>
    </row>
    <row r="737">
      <c r="A737" s="1054"/>
      <c r="B737" s="1061"/>
      <c r="C737" s="1061"/>
      <c r="D737" s="1061"/>
      <c r="E737" s="1061"/>
      <c r="F737" s="1061"/>
      <c r="G737" s="1061"/>
      <c r="H737" s="1063"/>
      <c r="I737" s="1054"/>
      <c r="J737" s="1054"/>
      <c r="K737" s="1054"/>
      <c r="L737" s="1054"/>
      <c r="M737" s="1054"/>
      <c r="N737" s="1054"/>
      <c r="O737" s="1054"/>
      <c r="P737" s="1054"/>
      <c r="Q737" s="1054"/>
      <c r="R737" s="1054"/>
      <c r="S737" s="1054"/>
      <c r="T737" s="1054"/>
      <c r="U737" s="1054"/>
      <c r="V737" s="1054"/>
      <c r="W737" s="1054"/>
      <c r="X737" s="1054"/>
      <c r="Y737" s="1054"/>
      <c r="Z737" s="1054"/>
      <c r="AA737" s="1054"/>
      <c r="AB737" s="1054"/>
    </row>
    <row r="738">
      <c r="A738" s="1054"/>
      <c r="B738" s="1061"/>
      <c r="C738" s="1061"/>
      <c r="D738" s="1061"/>
      <c r="E738" s="1061"/>
      <c r="F738" s="1061"/>
      <c r="G738" s="1061"/>
      <c r="H738" s="1063"/>
      <c r="I738" s="1054"/>
      <c r="J738" s="1054"/>
      <c r="K738" s="1054"/>
      <c r="L738" s="1054"/>
      <c r="M738" s="1054"/>
      <c r="N738" s="1054"/>
      <c r="O738" s="1054"/>
      <c r="P738" s="1054"/>
      <c r="Q738" s="1054"/>
      <c r="R738" s="1054"/>
      <c r="S738" s="1054"/>
      <c r="T738" s="1054"/>
      <c r="U738" s="1054"/>
      <c r="V738" s="1054"/>
      <c r="W738" s="1054"/>
      <c r="X738" s="1054"/>
      <c r="Y738" s="1054"/>
      <c r="Z738" s="1054"/>
      <c r="AA738" s="1054"/>
      <c r="AB738" s="1054"/>
    </row>
    <row r="739">
      <c r="A739" s="1054"/>
      <c r="B739" s="1061"/>
      <c r="C739" s="1061"/>
      <c r="D739" s="1061"/>
      <c r="E739" s="1061"/>
      <c r="F739" s="1061"/>
      <c r="G739" s="1061"/>
      <c r="H739" s="1063"/>
      <c r="I739" s="1054"/>
      <c r="J739" s="1054"/>
      <c r="K739" s="1054"/>
      <c r="L739" s="1054"/>
      <c r="M739" s="1054"/>
      <c r="N739" s="1054"/>
      <c r="O739" s="1054"/>
      <c r="P739" s="1054"/>
      <c r="Q739" s="1054"/>
      <c r="R739" s="1054"/>
      <c r="S739" s="1054"/>
      <c r="T739" s="1054"/>
      <c r="U739" s="1054"/>
      <c r="V739" s="1054"/>
      <c r="W739" s="1054"/>
      <c r="X739" s="1054"/>
      <c r="Y739" s="1054"/>
      <c r="Z739" s="1054"/>
      <c r="AA739" s="1054"/>
      <c r="AB739" s="1054"/>
    </row>
    <row r="740">
      <c r="A740" s="1054"/>
      <c r="B740" s="1061"/>
      <c r="C740" s="1061"/>
      <c r="D740" s="1061"/>
      <c r="E740" s="1061"/>
      <c r="F740" s="1061"/>
      <c r="G740" s="1061"/>
      <c r="H740" s="1063"/>
      <c r="I740" s="1054"/>
      <c r="J740" s="1054"/>
      <c r="K740" s="1054"/>
      <c r="L740" s="1054"/>
      <c r="M740" s="1054"/>
      <c r="N740" s="1054"/>
      <c r="O740" s="1054"/>
      <c r="P740" s="1054"/>
      <c r="Q740" s="1054"/>
      <c r="R740" s="1054"/>
      <c r="S740" s="1054"/>
      <c r="T740" s="1054"/>
      <c r="U740" s="1054"/>
      <c r="V740" s="1054"/>
      <c r="W740" s="1054"/>
      <c r="X740" s="1054"/>
      <c r="Y740" s="1054"/>
      <c r="Z740" s="1054"/>
      <c r="AA740" s="1054"/>
      <c r="AB740" s="1054"/>
    </row>
    <row r="741">
      <c r="A741" s="1054"/>
      <c r="B741" s="1061"/>
      <c r="C741" s="1061"/>
      <c r="D741" s="1061"/>
      <c r="E741" s="1061"/>
      <c r="F741" s="1061"/>
      <c r="G741" s="1061"/>
      <c r="H741" s="1063"/>
      <c r="I741" s="1054"/>
      <c r="J741" s="1054"/>
      <c r="K741" s="1054"/>
      <c r="L741" s="1054"/>
      <c r="M741" s="1054"/>
      <c r="N741" s="1054"/>
      <c r="O741" s="1054"/>
      <c r="P741" s="1054"/>
      <c r="Q741" s="1054"/>
      <c r="R741" s="1054"/>
      <c r="S741" s="1054"/>
      <c r="T741" s="1054"/>
      <c r="U741" s="1054"/>
      <c r="V741" s="1054"/>
      <c r="W741" s="1054"/>
      <c r="X741" s="1054"/>
      <c r="Y741" s="1054"/>
      <c r="Z741" s="1054"/>
      <c r="AA741" s="1054"/>
      <c r="AB741" s="1054"/>
    </row>
    <row r="742">
      <c r="A742" s="1054"/>
      <c r="B742" s="1061"/>
      <c r="C742" s="1061"/>
      <c r="D742" s="1061"/>
      <c r="E742" s="1061"/>
      <c r="F742" s="1061"/>
      <c r="G742" s="1061"/>
      <c r="H742" s="1063"/>
      <c r="I742" s="1054"/>
      <c r="J742" s="1054"/>
      <c r="K742" s="1054"/>
      <c r="L742" s="1054"/>
      <c r="M742" s="1054"/>
      <c r="N742" s="1054"/>
      <c r="O742" s="1054"/>
      <c r="P742" s="1054"/>
      <c r="Q742" s="1054"/>
      <c r="R742" s="1054"/>
      <c r="S742" s="1054"/>
      <c r="T742" s="1054"/>
      <c r="U742" s="1054"/>
      <c r="V742" s="1054"/>
      <c r="W742" s="1054"/>
      <c r="X742" s="1054"/>
      <c r="Y742" s="1054"/>
      <c r="Z742" s="1054"/>
      <c r="AA742" s="1054"/>
      <c r="AB742" s="1054"/>
    </row>
    <row r="743">
      <c r="A743" s="1054"/>
      <c r="B743" s="1061"/>
      <c r="C743" s="1061"/>
      <c r="D743" s="1061"/>
      <c r="E743" s="1061"/>
      <c r="F743" s="1061"/>
      <c r="G743" s="1061"/>
      <c r="H743" s="1063"/>
      <c r="I743" s="1054"/>
      <c r="J743" s="1054"/>
      <c r="K743" s="1054"/>
      <c r="L743" s="1054"/>
      <c r="M743" s="1054"/>
      <c r="N743" s="1054"/>
      <c r="O743" s="1054"/>
      <c r="P743" s="1054"/>
      <c r="Q743" s="1054"/>
      <c r="R743" s="1054"/>
      <c r="S743" s="1054"/>
      <c r="T743" s="1054"/>
      <c r="U743" s="1054"/>
      <c r="V743" s="1054"/>
      <c r="W743" s="1054"/>
      <c r="X743" s="1054"/>
      <c r="Y743" s="1054"/>
      <c r="Z743" s="1054"/>
      <c r="AA743" s="1054"/>
      <c r="AB743" s="1054"/>
    </row>
    <row r="744">
      <c r="A744" s="1054"/>
      <c r="B744" s="1061"/>
      <c r="C744" s="1061"/>
      <c r="D744" s="1061"/>
      <c r="E744" s="1061"/>
      <c r="F744" s="1061"/>
      <c r="G744" s="1061"/>
      <c r="H744" s="1063"/>
      <c r="I744" s="1054"/>
      <c r="J744" s="1054"/>
      <c r="K744" s="1054"/>
      <c r="L744" s="1054"/>
      <c r="M744" s="1054"/>
      <c r="N744" s="1054"/>
      <c r="O744" s="1054"/>
      <c r="P744" s="1054"/>
      <c r="Q744" s="1054"/>
      <c r="R744" s="1054"/>
      <c r="S744" s="1054"/>
      <c r="T744" s="1054"/>
      <c r="U744" s="1054"/>
      <c r="V744" s="1054"/>
      <c r="W744" s="1054"/>
      <c r="X744" s="1054"/>
      <c r="Y744" s="1054"/>
      <c r="Z744" s="1054"/>
      <c r="AA744" s="1054"/>
      <c r="AB744" s="1054"/>
    </row>
    <row r="745">
      <c r="A745" s="1054"/>
      <c r="B745" s="1061"/>
      <c r="C745" s="1061"/>
      <c r="D745" s="1061"/>
      <c r="E745" s="1061"/>
      <c r="F745" s="1061"/>
      <c r="G745" s="1061"/>
      <c r="H745" s="1063"/>
      <c r="I745" s="1054"/>
      <c r="J745" s="1054"/>
      <c r="K745" s="1054"/>
      <c r="L745" s="1054"/>
      <c r="M745" s="1054"/>
      <c r="N745" s="1054"/>
      <c r="O745" s="1054"/>
      <c r="P745" s="1054"/>
      <c r="Q745" s="1054"/>
      <c r="R745" s="1054"/>
      <c r="S745" s="1054"/>
      <c r="T745" s="1054"/>
      <c r="U745" s="1054"/>
      <c r="V745" s="1054"/>
      <c r="W745" s="1054"/>
      <c r="X745" s="1054"/>
      <c r="Y745" s="1054"/>
      <c r="Z745" s="1054"/>
      <c r="AA745" s="1054"/>
      <c r="AB745" s="1054"/>
    </row>
    <row r="746">
      <c r="A746" s="1054"/>
      <c r="B746" s="1061"/>
      <c r="C746" s="1061"/>
      <c r="D746" s="1061"/>
      <c r="E746" s="1061"/>
      <c r="F746" s="1061"/>
      <c r="G746" s="1061"/>
      <c r="H746" s="1063"/>
      <c r="I746" s="1054"/>
      <c r="J746" s="1054"/>
      <c r="K746" s="1054"/>
      <c r="L746" s="1054"/>
      <c r="M746" s="1054"/>
      <c r="N746" s="1054"/>
      <c r="O746" s="1054"/>
      <c r="P746" s="1054"/>
      <c r="Q746" s="1054"/>
      <c r="R746" s="1054"/>
      <c r="S746" s="1054"/>
      <c r="T746" s="1054"/>
      <c r="U746" s="1054"/>
      <c r="V746" s="1054"/>
      <c r="W746" s="1054"/>
      <c r="X746" s="1054"/>
      <c r="Y746" s="1054"/>
      <c r="Z746" s="1054"/>
      <c r="AA746" s="1054"/>
      <c r="AB746" s="1054"/>
    </row>
    <row r="747">
      <c r="A747" s="1054"/>
      <c r="B747" s="1061"/>
      <c r="C747" s="1061"/>
      <c r="D747" s="1061"/>
      <c r="E747" s="1061"/>
      <c r="F747" s="1061"/>
      <c r="G747" s="1061"/>
      <c r="H747" s="1063"/>
      <c r="I747" s="1054"/>
      <c r="J747" s="1054"/>
      <c r="K747" s="1054"/>
      <c r="L747" s="1054"/>
      <c r="M747" s="1054"/>
      <c r="N747" s="1054"/>
      <c r="O747" s="1054"/>
      <c r="P747" s="1054"/>
      <c r="Q747" s="1054"/>
      <c r="R747" s="1054"/>
      <c r="S747" s="1054"/>
      <c r="T747" s="1054"/>
      <c r="U747" s="1054"/>
      <c r="V747" s="1054"/>
      <c r="W747" s="1054"/>
      <c r="X747" s="1054"/>
      <c r="Y747" s="1054"/>
      <c r="Z747" s="1054"/>
      <c r="AA747" s="1054"/>
      <c r="AB747" s="1054"/>
    </row>
    <row r="748">
      <c r="A748" s="1054"/>
      <c r="B748" s="1061"/>
      <c r="C748" s="1061"/>
      <c r="D748" s="1061"/>
      <c r="E748" s="1061"/>
      <c r="F748" s="1061"/>
      <c r="G748" s="1061"/>
      <c r="H748" s="1063"/>
      <c r="I748" s="1054"/>
      <c r="J748" s="1054"/>
      <c r="K748" s="1054"/>
      <c r="L748" s="1054"/>
      <c r="M748" s="1054"/>
      <c r="N748" s="1054"/>
      <c r="O748" s="1054"/>
      <c r="P748" s="1054"/>
      <c r="Q748" s="1054"/>
      <c r="R748" s="1054"/>
      <c r="S748" s="1054"/>
      <c r="T748" s="1054"/>
      <c r="U748" s="1054"/>
      <c r="V748" s="1054"/>
      <c r="W748" s="1054"/>
      <c r="X748" s="1054"/>
      <c r="Y748" s="1054"/>
      <c r="Z748" s="1054"/>
      <c r="AA748" s="1054"/>
      <c r="AB748" s="1054"/>
    </row>
    <row r="749">
      <c r="A749" s="1054"/>
      <c r="B749" s="1061"/>
      <c r="C749" s="1061"/>
      <c r="D749" s="1061"/>
      <c r="E749" s="1061"/>
      <c r="F749" s="1061"/>
      <c r="G749" s="1061"/>
      <c r="H749" s="1063"/>
      <c r="I749" s="1054"/>
      <c r="J749" s="1054"/>
      <c r="K749" s="1054"/>
      <c r="L749" s="1054"/>
      <c r="M749" s="1054"/>
      <c r="N749" s="1054"/>
      <c r="O749" s="1054"/>
      <c r="P749" s="1054"/>
      <c r="Q749" s="1054"/>
      <c r="R749" s="1054"/>
      <c r="S749" s="1054"/>
      <c r="T749" s="1054"/>
      <c r="U749" s="1054"/>
      <c r="V749" s="1054"/>
      <c r="W749" s="1054"/>
      <c r="X749" s="1054"/>
      <c r="Y749" s="1054"/>
      <c r="Z749" s="1054"/>
      <c r="AA749" s="1054"/>
      <c r="AB749" s="1054"/>
    </row>
    <row r="750">
      <c r="A750" s="1054"/>
      <c r="B750" s="1061"/>
      <c r="C750" s="1061"/>
      <c r="D750" s="1061"/>
      <c r="E750" s="1061"/>
      <c r="F750" s="1061"/>
      <c r="G750" s="1061"/>
      <c r="H750" s="1063"/>
      <c r="I750" s="1054"/>
      <c r="J750" s="1054"/>
      <c r="K750" s="1054"/>
      <c r="L750" s="1054"/>
      <c r="M750" s="1054"/>
      <c r="N750" s="1054"/>
      <c r="O750" s="1054"/>
      <c r="P750" s="1054"/>
      <c r="Q750" s="1054"/>
      <c r="R750" s="1054"/>
      <c r="S750" s="1054"/>
      <c r="T750" s="1054"/>
      <c r="U750" s="1054"/>
      <c r="V750" s="1054"/>
      <c r="W750" s="1054"/>
      <c r="X750" s="1054"/>
      <c r="Y750" s="1054"/>
      <c r="Z750" s="1054"/>
      <c r="AA750" s="1054"/>
      <c r="AB750" s="1054"/>
    </row>
    <row r="751">
      <c r="A751" s="1054"/>
      <c r="B751" s="1061"/>
      <c r="C751" s="1061"/>
      <c r="D751" s="1061"/>
      <c r="E751" s="1061"/>
      <c r="F751" s="1061"/>
      <c r="G751" s="1061"/>
      <c r="H751" s="1063"/>
      <c r="I751" s="1054"/>
      <c r="J751" s="1054"/>
      <c r="K751" s="1054"/>
      <c r="L751" s="1054"/>
      <c r="M751" s="1054"/>
      <c r="N751" s="1054"/>
      <c r="O751" s="1054"/>
      <c r="P751" s="1054"/>
      <c r="Q751" s="1054"/>
      <c r="R751" s="1054"/>
      <c r="S751" s="1054"/>
      <c r="T751" s="1054"/>
      <c r="U751" s="1054"/>
      <c r="V751" s="1054"/>
      <c r="W751" s="1054"/>
      <c r="X751" s="1054"/>
      <c r="Y751" s="1054"/>
      <c r="Z751" s="1054"/>
      <c r="AA751" s="1054"/>
      <c r="AB751" s="1054"/>
    </row>
    <row r="752">
      <c r="A752" s="1054"/>
      <c r="B752" s="1061"/>
      <c r="C752" s="1061"/>
      <c r="D752" s="1061"/>
      <c r="E752" s="1061"/>
      <c r="F752" s="1061"/>
      <c r="G752" s="1061"/>
      <c r="H752" s="1063"/>
      <c r="I752" s="1054"/>
      <c r="J752" s="1054"/>
      <c r="K752" s="1054"/>
      <c r="L752" s="1054"/>
      <c r="M752" s="1054"/>
      <c r="N752" s="1054"/>
      <c r="O752" s="1054"/>
      <c r="P752" s="1054"/>
      <c r="Q752" s="1054"/>
      <c r="R752" s="1054"/>
      <c r="S752" s="1054"/>
      <c r="T752" s="1054"/>
      <c r="U752" s="1054"/>
      <c r="V752" s="1054"/>
      <c r="W752" s="1054"/>
      <c r="X752" s="1054"/>
      <c r="Y752" s="1054"/>
      <c r="Z752" s="1054"/>
      <c r="AA752" s="1054"/>
      <c r="AB752" s="1054"/>
    </row>
    <row r="753">
      <c r="A753" s="1054"/>
      <c r="B753" s="1061"/>
      <c r="C753" s="1061"/>
      <c r="D753" s="1061"/>
      <c r="E753" s="1061"/>
      <c r="F753" s="1061"/>
      <c r="G753" s="1061"/>
      <c r="H753" s="1063"/>
      <c r="I753" s="1054"/>
      <c r="J753" s="1054"/>
      <c r="K753" s="1054"/>
      <c r="L753" s="1054"/>
      <c r="M753" s="1054"/>
      <c r="N753" s="1054"/>
      <c r="O753" s="1054"/>
      <c r="P753" s="1054"/>
      <c r="Q753" s="1054"/>
      <c r="R753" s="1054"/>
      <c r="S753" s="1054"/>
      <c r="T753" s="1054"/>
      <c r="U753" s="1054"/>
      <c r="V753" s="1054"/>
      <c r="W753" s="1054"/>
      <c r="X753" s="1054"/>
      <c r="Y753" s="1054"/>
      <c r="Z753" s="1054"/>
      <c r="AA753" s="1054"/>
      <c r="AB753" s="1054"/>
    </row>
    <row r="754">
      <c r="A754" s="1054"/>
      <c r="B754" s="1061"/>
      <c r="C754" s="1061"/>
      <c r="D754" s="1061"/>
      <c r="E754" s="1061"/>
      <c r="F754" s="1061"/>
      <c r="G754" s="1061"/>
      <c r="H754" s="1063"/>
      <c r="I754" s="1054"/>
      <c r="J754" s="1054"/>
      <c r="K754" s="1054"/>
      <c r="L754" s="1054"/>
      <c r="M754" s="1054"/>
      <c r="N754" s="1054"/>
      <c r="O754" s="1054"/>
      <c r="P754" s="1054"/>
      <c r="Q754" s="1054"/>
      <c r="R754" s="1054"/>
      <c r="S754" s="1054"/>
      <c r="T754" s="1054"/>
      <c r="U754" s="1054"/>
      <c r="V754" s="1054"/>
      <c r="W754" s="1054"/>
      <c r="X754" s="1054"/>
      <c r="Y754" s="1054"/>
      <c r="Z754" s="1054"/>
      <c r="AA754" s="1054"/>
      <c r="AB754" s="1054"/>
    </row>
    <row r="755">
      <c r="A755" s="1054"/>
      <c r="B755" s="1061"/>
      <c r="C755" s="1061"/>
      <c r="D755" s="1061"/>
      <c r="E755" s="1061"/>
      <c r="F755" s="1061"/>
      <c r="G755" s="1061"/>
      <c r="H755" s="1063"/>
      <c r="I755" s="1054"/>
      <c r="J755" s="1054"/>
      <c r="K755" s="1054"/>
      <c r="L755" s="1054"/>
      <c r="M755" s="1054"/>
      <c r="N755" s="1054"/>
      <c r="O755" s="1054"/>
      <c r="P755" s="1054"/>
      <c r="Q755" s="1054"/>
      <c r="R755" s="1054"/>
      <c r="S755" s="1054"/>
      <c r="T755" s="1054"/>
      <c r="U755" s="1054"/>
      <c r="V755" s="1054"/>
      <c r="W755" s="1054"/>
      <c r="X755" s="1054"/>
      <c r="Y755" s="1054"/>
      <c r="Z755" s="1054"/>
      <c r="AA755" s="1054"/>
      <c r="AB755" s="1054"/>
    </row>
    <row r="756">
      <c r="A756" s="1054"/>
      <c r="B756" s="1061"/>
      <c r="C756" s="1061"/>
      <c r="D756" s="1061"/>
      <c r="E756" s="1061"/>
      <c r="F756" s="1061"/>
      <c r="G756" s="1061"/>
      <c r="H756" s="1063"/>
      <c r="I756" s="1054"/>
      <c r="J756" s="1054"/>
      <c r="K756" s="1054"/>
      <c r="L756" s="1054"/>
      <c r="M756" s="1054"/>
      <c r="N756" s="1054"/>
      <c r="O756" s="1054"/>
      <c r="P756" s="1054"/>
      <c r="Q756" s="1054"/>
      <c r="R756" s="1054"/>
      <c r="S756" s="1054"/>
      <c r="T756" s="1054"/>
      <c r="U756" s="1054"/>
      <c r="V756" s="1054"/>
      <c r="W756" s="1054"/>
      <c r="X756" s="1054"/>
      <c r="Y756" s="1054"/>
      <c r="Z756" s="1054"/>
      <c r="AA756" s="1054"/>
      <c r="AB756" s="1054"/>
    </row>
    <row r="757">
      <c r="A757" s="1054"/>
      <c r="B757" s="1061"/>
      <c r="C757" s="1061"/>
      <c r="D757" s="1061"/>
      <c r="E757" s="1061"/>
      <c r="F757" s="1061"/>
      <c r="G757" s="1061"/>
      <c r="H757" s="1063"/>
      <c r="I757" s="1054"/>
      <c r="J757" s="1054"/>
      <c r="K757" s="1054"/>
      <c r="L757" s="1054"/>
      <c r="M757" s="1054"/>
      <c r="N757" s="1054"/>
      <c r="O757" s="1054"/>
      <c r="P757" s="1054"/>
      <c r="Q757" s="1054"/>
      <c r="R757" s="1054"/>
      <c r="S757" s="1054"/>
      <c r="T757" s="1054"/>
      <c r="U757" s="1054"/>
      <c r="V757" s="1054"/>
      <c r="W757" s="1054"/>
      <c r="X757" s="1054"/>
      <c r="Y757" s="1054"/>
      <c r="Z757" s="1054"/>
      <c r="AA757" s="1054"/>
      <c r="AB757" s="1054"/>
    </row>
    <row r="758">
      <c r="A758" s="1054"/>
      <c r="B758" s="1061"/>
      <c r="C758" s="1061"/>
      <c r="D758" s="1061"/>
      <c r="E758" s="1061"/>
      <c r="F758" s="1061"/>
      <c r="G758" s="1061"/>
      <c r="H758" s="1063"/>
      <c r="I758" s="1054"/>
      <c r="J758" s="1054"/>
      <c r="K758" s="1054"/>
      <c r="L758" s="1054"/>
      <c r="M758" s="1054"/>
      <c r="N758" s="1054"/>
      <c r="O758" s="1054"/>
      <c r="P758" s="1054"/>
      <c r="Q758" s="1054"/>
      <c r="R758" s="1054"/>
      <c r="S758" s="1054"/>
      <c r="T758" s="1054"/>
      <c r="U758" s="1054"/>
      <c r="V758" s="1054"/>
      <c r="W758" s="1054"/>
      <c r="X758" s="1054"/>
      <c r="Y758" s="1054"/>
      <c r="Z758" s="1054"/>
      <c r="AA758" s="1054"/>
      <c r="AB758" s="1054"/>
    </row>
    <row r="759">
      <c r="A759" s="1054"/>
      <c r="B759" s="1061"/>
      <c r="C759" s="1061"/>
      <c r="D759" s="1061"/>
      <c r="E759" s="1061"/>
      <c r="F759" s="1061"/>
      <c r="G759" s="1061"/>
      <c r="H759" s="1063"/>
      <c r="I759" s="1054"/>
      <c r="J759" s="1054"/>
      <c r="K759" s="1054"/>
      <c r="L759" s="1054"/>
      <c r="M759" s="1054"/>
      <c r="N759" s="1054"/>
      <c r="O759" s="1054"/>
      <c r="P759" s="1054"/>
      <c r="Q759" s="1054"/>
      <c r="R759" s="1054"/>
      <c r="S759" s="1054"/>
      <c r="T759" s="1054"/>
      <c r="U759" s="1054"/>
      <c r="V759" s="1054"/>
      <c r="W759" s="1054"/>
      <c r="X759" s="1054"/>
      <c r="Y759" s="1054"/>
      <c r="Z759" s="1054"/>
      <c r="AA759" s="1054"/>
      <c r="AB759" s="1054"/>
    </row>
    <row r="760">
      <c r="A760" s="1054"/>
      <c r="B760" s="1061"/>
      <c r="C760" s="1061"/>
      <c r="D760" s="1061"/>
      <c r="E760" s="1061"/>
      <c r="F760" s="1061"/>
      <c r="G760" s="1061"/>
      <c r="H760" s="1063"/>
      <c r="I760" s="1054"/>
      <c r="J760" s="1054"/>
      <c r="K760" s="1054"/>
      <c r="L760" s="1054"/>
      <c r="M760" s="1054"/>
      <c r="N760" s="1054"/>
      <c r="O760" s="1054"/>
      <c r="P760" s="1054"/>
      <c r="Q760" s="1054"/>
      <c r="R760" s="1054"/>
      <c r="S760" s="1054"/>
      <c r="T760" s="1054"/>
      <c r="U760" s="1054"/>
      <c r="V760" s="1054"/>
      <c r="W760" s="1054"/>
      <c r="X760" s="1054"/>
      <c r="Y760" s="1054"/>
      <c r="Z760" s="1054"/>
      <c r="AA760" s="1054"/>
      <c r="AB760" s="1054"/>
    </row>
    <row r="761">
      <c r="A761" s="1054"/>
      <c r="B761" s="1061"/>
      <c r="C761" s="1061"/>
      <c r="D761" s="1061"/>
      <c r="E761" s="1061"/>
      <c r="F761" s="1061"/>
      <c r="G761" s="1061"/>
      <c r="H761" s="1063"/>
      <c r="I761" s="1054"/>
      <c r="J761" s="1054"/>
      <c r="K761" s="1054"/>
      <c r="L761" s="1054"/>
      <c r="M761" s="1054"/>
      <c r="N761" s="1054"/>
      <c r="O761" s="1054"/>
      <c r="P761" s="1054"/>
      <c r="Q761" s="1054"/>
      <c r="R761" s="1054"/>
      <c r="S761" s="1054"/>
      <c r="T761" s="1054"/>
      <c r="U761" s="1054"/>
      <c r="V761" s="1054"/>
      <c r="W761" s="1054"/>
      <c r="X761" s="1054"/>
      <c r="Y761" s="1054"/>
      <c r="Z761" s="1054"/>
      <c r="AA761" s="1054"/>
      <c r="AB761" s="1054"/>
    </row>
    <row r="762">
      <c r="A762" s="1054"/>
      <c r="B762" s="1061"/>
      <c r="C762" s="1061"/>
      <c r="D762" s="1061"/>
      <c r="E762" s="1061"/>
      <c r="F762" s="1061"/>
      <c r="G762" s="1061"/>
      <c r="H762" s="1063"/>
      <c r="I762" s="1054"/>
      <c r="J762" s="1054"/>
      <c r="K762" s="1054"/>
      <c r="L762" s="1054"/>
      <c r="M762" s="1054"/>
      <c r="N762" s="1054"/>
      <c r="O762" s="1054"/>
      <c r="P762" s="1054"/>
      <c r="Q762" s="1054"/>
      <c r="R762" s="1054"/>
      <c r="S762" s="1054"/>
      <c r="T762" s="1054"/>
      <c r="U762" s="1054"/>
      <c r="V762" s="1054"/>
      <c r="W762" s="1054"/>
      <c r="X762" s="1054"/>
      <c r="Y762" s="1054"/>
      <c r="Z762" s="1054"/>
      <c r="AA762" s="1054"/>
      <c r="AB762" s="1054"/>
    </row>
    <row r="763">
      <c r="A763" s="1054"/>
      <c r="B763" s="1061"/>
      <c r="C763" s="1061"/>
      <c r="D763" s="1061"/>
      <c r="E763" s="1061"/>
      <c r="F763" s="1061"/>
      <c r="G763" s="1061"/>
      <c r="H763" s="1063"/>
      <c r="I763" s="1054"/>
      <c r="J763" s="1054"/>
      <c r="K763" s="1054"/>
      <c r="L763" s="1054"/>
      <c r="M763" s="1054"/>
      <c r="N763" s="1054"/>
      <c r="O763" s="1054"/>
      <c r="P763" s="1054"/>
      <c r="Q763" s="1054"/>
      <c r="R763" s="1054"/>
      <c r="S763" s="1054"/>
      <c r="T763" s="1054"/>
      <c r="U763" s="1054"/>
      <c r="V763" s="1054"/>
      <c r="W763" s="1054"/>
      <c r="X763" s="1054"/>
      <c r="Y763" s="1054"/>
      <c r="Z763" s="1054"/>
      <c r="AA763" s="1054"/>
      <c r="AB763" s="1054"/>
    </row>
    <row r="764">
      <c r="A764" s="1054"/>
      <c r="B764" s="1061"/>
      <c r="C764" s="1061"/>
      <c r="D764" s="1061"/>
      <c r="E764" s="1061"/>
      <c r="F764" s="1061"/>
      <c r="G764" s="1061"/>
      <c r="H764" s="1063"/>
      <c r="I764" s="1054"/>
      <c r="J764" s="1054"/>
      <c r="K764" s="1054"/>
      <c r="L764" s="1054"/>
      <c r="M764" s="1054"/>
      <c r="N764" s="1054"/>
      <c r="O764" s="1054"/>
      <c r="P764" s="1054"/>
      <c r="Q764" s="1054"/>
      <c r="R764" s="1054"/>
      <c r="S764" s="1054"/>
      <c r="T764" s="1054"/>
      <c r="U764" s="1054"/>
      <c r="V764" s="1054"/>
      <c r="W764" s="1054"/>
      <c r="X764" s="1054"/>
      <c r="Y764" s="1054"/>
      <c r="Z764" s="1054"/>
      <c r="AA764" s="1054"/>
      <c r="AB764" s="1054"/>
    </row>
    <row r="765">
      <c r="A765" s="1054"/>
      <c r="B765" s="1061"/>
      <c r="C765" s="1061"/>
      <c r="D765" s="1061"/>
      <c r="E765" s="1061"/>
      <c r="F765" s="1061"/>
      <c r="G765" s="1061"/>
      <c r="H765" s="1063"/>
      <c r="I765" s="1054"/>
      <c r="J765" s="1054"/>
      <c r="K765" s="1054"/>
      <c r="L765" s="1054"/>
      <c r="M765" s="1054"/>
      <c r="N765" s="1054"/>
      <c r="O765" s="1054"/>
      <c r="P765" s="1054"/>
      <c r="Q765" s="1054"/>
      <c r="R765" s="1054"/>
      <c r="S765" s="1054"/>
      <c r="T765" s="1054"/>
      <c r="U765" s="1054"/>
      <c r="V765" s="1054"/>
      <c r="W765" s="1054"/>
      <c r="X765" s="1054"/>
      <c r="Y765" s="1054"/>
      <c r="Z765" s="1054"/>
      <c r="AA765" s="1054"/>
      <c r="AB765" s="1054"/>
    </row>
    <row r="766">
      <c r="A766" s="1054"/>
      <c r="B766" s="1061"/>
      <c r="C766" s="1061"/>
      <c r="D766" s="1061"/>
      <c r="E766" s="1061"/>
      <c r="F766" s="1061"/>
      <c r="G766" s="1061"/>
      <c r="H766" s="1063"/>
      <c r="I766" s="1054"/>
      <c r="J766" s="1054"/>
      <c r="K766" s="1054"/>
      <c r="L766" s="1054"/>
      <c r="M766" s="1054"/>
      <c r="N766" s="1054"/>
      <c r="O766" s="1054"/>
      <c r="P766" s="1054"/>
      <c r="Q766" s="1054"/>
      <c r="R766" s="1054"/>
      <c r="S766" s="1054"/>
      <c r="T766" s="1054"/>
      <c r="U766" s="1054"/>
      <c r="V766" s="1054"/>
      <c r="W766" s="1054"/>
      <c r="X766" s="1054"/>
      <c r="Y766" s="1054"/>
      <c r="Z766" s="1054"/>
      <c r="AA766" s="1054"/>
      <c r="AB766" s="1054"/>
    </row>
    <row r="767">
      <c r="A767" s="1054"/>
      <c r="B767" s="1061"/>
      <c r="C767" s="1061"/>
      <c r="D767" s="1061"/>
      <c r="E767" s="1061"/>
      <c r="F767" s="1061"/>
      <c r="G767" s="1061"/>
      <c r="H767" s="1063"/>
      <c r="I767" s="1054"/>
      <c r="J767" s="1054"/>
      <c r="K767" s="1054"/>
      <c r="L767" s="1054"/>
      <c r="M767" s="1054"/>
      <c r="N767" s="1054"/>
      <c r="O767" s="1054"/>
      <c r="P767" s="1054"/>
      <c r="Q767" s="1054"/>
      <c r="R767" s="1054"/>
      <c r="S767" s="1054"/>
      <c r="T767" s="1054"/>
      <c r="U767" s="1054"/>
      <c r="V767" s="1054"/>
      <c r="W767" s="1054"/>
      <c r="X767" s="1054"/>
      <c r="Y767" s="1054"/>
      <c r="Z767" s="1054"/>
      <c r="AA767" s="1054"/>
      <c r="AB767" s="1054"/>
    </row>
    <row r="768">
      <c r="A768" s="1054"/>
      <c r="B768" s="1061"/>
      <c r="C768" s="1061"/>
      <c r="D768" s="1061"/>
      <c r="E768" s="1061"/>
      <c r="F768" s="1061"/>
      <c r="G768" s="1061"/>
      <c r="H768" s="1063"/>
      <c r="I768" s="1054"/>
      <c r="J768" s="1054"/>
      <c r="K768" s="1054"/>
      <c r="L768" s="1054"/>
      <c r="M768" s="1054"/>
      <c r="N768" s="1054"/>
      <c r="O768" s="1054"/>
      <c r="P768" s="1054"/>
      <c r="Q768" s="1054"/>
      <c r="R768" s="1054"/>
      <c r="S768" s="1054"/>
      <c r="T768" s="1054"/>
      <c r="U768" s="1054"/>
      <c r="V768" s="1054"/>
      <c r="W768" s="1054"/>
      <c r="X768" s="1054"/>
      <c r="Y768" s="1054"/>
      <c r="Z768" s="1054"/>
      <c r="AA768" s="1054"/>
      <c r="AB768" s="1054"/>
    </row>
    <row r="769">
      <c r="A769" s="1054"/>
      <c r="B769" s="1061"/>
      <c r="C769" s="1061"/>
      <c r="D769" s="1061"/>
      <c r="E769" s="1061"/>
      <c r="F769" s="1061"/>
      <c r="G769" s="1061"/>
      <c r="H769" s="1063"/>
      <c r="I769" s="1054"/>
      <c r="J769" s="1054"/>
      <c r="K769" s="1054"/>
      <c r="L769" s="1054"/>
      <c r="M769" s="1054"/>
      <c r="N769" s="1054"/>
      <c r="O769" s="1054"/>
      <c r="P769" s="1054"/>
      <c r="Q769" s="1054"/>
      <c r="R769" s="1054"/>
      <c r="S769" s="1054"/>
      <c r="T769" s="1054"/>
      <c r="U769" s="1054"/>
      <c r="V769" s="1054"/>
      <c r="W769" s="1054"/>
      <c r="X769" s="1054"/>
      <c r="Y769" s="1054"/>
      <c r="Z769" s="1054"/>
      <c r="AA769" s="1054"/>
      <c r="AB769" s="1054"/>
    </row>
    <row r="770">
      <c r="A770" s="1054"/>
      <c r="B770" s="1061"/>
      <c r="C770" s="1061"/>
      <c r="D770" s="1061"/>
      <c r="E770" s="1061"/>
      <c r="F770" s="1061"/>
      <c r="G770" s="1061"/>
      <c r="H770" s="1063"/>
      <c r="I770" s="1054"/>
      <c r="J770" s="1054"/>
      <c r="K770" s="1054"/>
      <c r="L770" s="1054"/>
      <c r="M770" s="1054"/>
      <c r="N770" s="1054"/>
      <c r="O770" s="1054"/>
      <c r="P770" s="1054"/>
      <c r="Q770" s="1054"/>
      <c r="R770" s="1054"/>
      <c r="S770" s="1054"/>
      <c r="T770" s="1054"/>
      <c r="U770" s="1054"/>
      <c r="V770" s="1054"/>
      <c r="W770" s="1054"/>
      <c r="X770" s="1054"/>
      <c r="Y770" s="1054"/>
      <c r="Z770" s="1054"/>
      <c r="AA770" s="1054"/>
      <c r="AB770" s="1054"/>
    </row>
    <row r="771">
      <c r="A771" s="1054"/>
      <c r="B771" s="1061"/>
      <c r="C771" s="1061"/>
      <c r="D771" s="1061"/>
      <c r="E771" s="1061"/>
      <c r="F771" s="1061"/>
      <c r="G771" s="1061"/>
      <c r="H771" s="1063"/>
      <c r="I771" s="1054"/>
      <c r="J771" s="1054"/>
      <c r="K771" s="1054"/>
      <c r="L771" s="1054"/>
      <c r="M771" s="1054"/>
      <c r="N771" s="1054"/>
      <c r="O771" s="1054"/>
      <c r="P771" s="1054"/>
      <c r="Q771" s="1054"/>
      <c r="R771" s="1054"/>
      <c r="S771" s="1054"/>
      <c r="T771" s="1054"/>
      <c r="U771" s="1054"/>
      <c r="V771" s="1054"/>
      <c r="W771" s="1054"/>
      <c r="X771" s="1054"/>
      <c r="Y771" s="1054"/>
      <c r="Z771" s="1054"/>
      <c r="AA771" s="1054"/>
      <c r="AB771" s="1054"/>
    </row>
    <row r="772">
      <c r="A772" s="1054"/>
      <c r="B772" s="1061"/>
      <c r="C772" s="1061"/>
      <c r="D772" s="1061"/>
      <c r="E772" s="1061"/>
      <c r="F772" s="1061"/>
      <c r="G772" s="1061"/>
      <c r="H772" s="1063"/>
      <c r="I772" s="1054"/>
      <c r="J772" s="1054"/>
      <c r="K772" s="1054"/>
      <c r="L772" s="1054"/>
      <c r="M772" s="1054"/>
      <c r="N772" s="1054"/>
      <c r="O772" s="1054"/>
      <c r="P772" s="1054"/>
      <c r="Q772" s="1054"/>
      <c r="R772" s="1054"/>
      <c r="S772" s="1054"/>
      <c r="T772" s="1054"/>
      <c r="U772" s="1054"/>
      <c r="V772" s="1054"/>
      <c r="W772" s="1054"/>
      <c r="X772" s="1054"/>
      <c r="Y772" s="1054"/>
      <c r="Z772" s="1054"/>
      <c r="AA772" s="1054"/>
      <c r="AB772" s="1054"/>
    </row>
    <row r="773">
      <c r="A773" s="1054"/>
      <c r="B773" s="1061"/>
      <c r="C773" s="1061"/>
      <c r="D773" s="1061"/>
      <c r="E773" s="1061"/>
      <c r="F773" s="1061"/>
      <c r="G773" s="1061"/>
      <c r="H773" s="1063"/>
      <c r="I773" s="1054"/>
      <c r="J773" s="1054"/>
      <c r="K773" s="1054"/>
      <c r="L773" s="1054"/>
      <c r="M773" s="1054"/>
      <c r="N773" s="1054"/>
      <c r="O773" s="1054"/>
      <c r="P773" s="1054"/>
      <c r="Q773" s="1054"/>
      <c r="R773" s="1054"/>
      <c r="S773" s="1054"/>
      <c r="T773" s="1054"/>
      <c r="U773" s="1054"/>
      <c r="V773" s="1054"/>
      <c r="W773" s="1054"/>
      <c r="X773" s="1054"/>
      <c r="Y773" s="1054"/>
      <c r="Z773" s="1054"/>
      <c r="AA773" s="1054"/>
      <c r="AB773" s="1054"/>
    </row>
    <row r="774">
      <c r="A774" s="1054"/>
      <c r="B774" s="1061"/>
      <c r="C774" s="1061"/>
      <c r="D774" s="1061"/>
      <c r="E774" s="1061"/>
      <c r="F774" s="1061"/>
      <c r="G774" s="1061"/>
      <c r="H774" s="1063"/>
      <c r="I774" s="1054"/>
      <c r="J774" s="1054"/>
      <c r="K774" s="1054"/>
      <c r="L774" s="1054"/>
      <c r="M774" s="1054"/>
      <c r="N774" s="1054"/>
      <c r="O774" s="1054"/>
      <c r="P774" s="1054"/>
      <c r="Q774" s="1054"/>
      <c r="R774" s="1054"/>
      <c r="S774" s="1054"/>
      <c r="T774" s="1054"/>
      <c r="U774" s="1054"/>
      <c r="V774" s="1054"/>
      <c r="W774" s="1054"/>
      <c r="X774" s="1054"/>
      <c r="Y774" s="1054"/>
      <c r="Z774" s="1054"/>
      <c r="AA774" s="1054"/>
      <c r="AB774" s="1054"/>
    </row>
    <row r="775">
      <c r="A775" s="1054"/>
      <c r="B775" s="1061"/>
      <c r="C775" s="1061"/>
      <c r="D775" s="1061"/>
      <c r="E775" s="1061"/>
      <c r="F775" s="1061"/>
      <c r="G775" s="1061"/>
      <c r="H775" s="1063"/>
      <c r="I775" s="1054"/>
      <c r="J775" s="1054"/>
      <c r="K775" s="1054"/>
      <c r="L775" s="1054"/>
      <c r="M775" s="1054"/>
      <c r="N775" s="1054"/>
      <c r="O775" s="1054"/>
      <c r="P775" s="1054"/>
      <c r="Q775" s="1054"/>
      <c r="R775" s="1054"/>
      <c r="S775" s="1054"/>
      <c r="T775" s="1054"/>
      <c r="U775" s="1054"/>
      <c r="V775" s="1054"/>
      <c r="W775" s="1054"/>
      <c r="X775" s="1054"/>
      <c r="Y775" s="1054"/>
      <c r="Z775" s="1054"/>
      <c r="AA775" s="1054"/>
      <c r="AB775" s="1054"/>
    </row>
    <row r="776">
      <c r="A776" s="1054"/>
      <c r="B776" s="1061"/>
      <c r="C776" s="1061"/>
      <c r="D776" s="1061"/>
      <c r="E776" s="1061"/>
      <c r="F776" s="1061"/>
      <c r="G776" s="1061"/>
      <c r="H776" s="1063"/>
      <c r="I776" s="1054"/>
      <c r="J776" s="1054"/>
      <c r="K776" s="1054"/>
      <c r="L776" s="1054"/>
      <c r="M776" s="1054"/>
      <c r="N776" s="1054"/>
      <c r="O776" s="1054"/>
      <c r="P776" s="1054"/>
      <c r="Q776" s="1054"/>
      <c r="R776" s="1054"/>
      <c r="S776" s="1054"/>
      <c r="T776" s="1054"/>
      <c r="U776" s="1054"/>
      <c r="V776" s="1054"/>
      <c r="W776" s="1054"/>
      <c r="X776" s="1054"/>
      <c r="Y776" s="1054"/>
      <c r="Z776" s="1054"/>
      <c r="AA776" s="1054"/>
      <c r="AB776" s="1054"/>
    </row>
    <row r="777">
      <c r="A777" s="1054"/>
      <c r="B777" s="1061"/>
      <c r="C777" s="1061"/>
      <c r="D777" s="1061"/>
      <c r="E777" s="1061"/>
      <c r="F777" s="1061"/>
      <c r="G777" s="1061"/>
      <c r="H777" s="1063"/>
      <c r="I777" s="1054"/>
      <c r="J777" s="1054"/>
      <c r="K777" s="1054"/>
      <c r="L777" s="1054"/>
      <c r="M777" s="1054"/>
      <c r="N777" s="1054"/>
      <c r="O777" s="1054"/>
      <c r="P777" s="1054"/>
      <c r="Q777" s="1054"/>
      <c r="R777" s="1054"/>
      <c r="S777" s="1054"/>
      <c r="T777" s="1054"/>
      <c r="U777" s="1054"/>
      <c r="V777" s="1054"/>
      <c r="W777" s="1054"/>
      <c r="X777" s="1054"/>
      <c r="Y777" s="1054"/>
      <c r="Z777" s="1054"/>
      <c r="AA777" s="1054"/>
      <c r="AB777" s="1054"/>
    </row>
    <row r="778">
      <c r="A778" s="1054"/>
      <c r="B778" s="1061"/>
      <c r="C778" s="1061"/>
      <c r="D778" s="1061"/>
      <c r="E778" s="1061"/>
      <c r="F778" s="1061"/>
      <c r="G778" s="1061"/>
      <c r="H778" s="1063"/>
      <c r="I778" s="1054"/>
      <c r="J778" s="1054"/>
      <c r="K778" s="1054"/>
      <c r="L778" s="1054"/>
      <c r="M778" s="1054"/>
      <c r="N778" s="1054"/>
      <c r="O778" s="1054"/>
      <c r="P778" s="1054"/>
      <c r="Q778" s="1054"/>
      <c r="R778" s="1054"/>
      <c r="S778" s="1054"/>
      <c r="T778" s="1054"/>
      <c r="U778" s="1054"/>
      <c r="V778" s="1054"/>
      <c r="W778" s="1054"/>
      <c r="X778" s="1054"/>
      <c r="Y778" s="1054"/>
      <c r="Z778" s="1054"/>
      <c r="AA778" s="1054"/>
      <c r="AB778" s="1054"/>
    </row>
    <row r="779">
      <c r="A779" s="1054"/>
      <c r="B779" s="1061"/>
      <c r="C779" s="1061"/>
      <c r="D779" s="1061"/>
      <c r="E779" s="1061"/>
      <c r="F779" s="1061"/>
      <c r="G779" s="1061"/>
      <c r="H779" s="1063"/>
      <c r="I779" s="1054"/>
      <c r="J779" s="1054"/>
      <c r="K779" s="1054"/>
      <c r="L779" s="1054"/>
      <c r="M779" s="1054"/>
      <c r="N779" s="1054"/>
      <c r="O779" s="1054"/>
      <c r="P779" s="1054"/>
      <c r="Q779" s="1054"/>
      <c r="R779" s="1054"/>
      <c r="S779" s="1054"/>
      <c r="T779" s="1054"/>
      <c r="U779" s="1054"/>
      <c r="V779" s="1054"/>
      <c r="W779" s="1054"/>
      <c r="X779" s="1054"/>
      <c r="Y779" s="1054"/>
      <c r="Z779" s="1054"/>
      <c r="AA779" s="1054"/>
      <c r="AB779" s="1054"/>
    </row>
    <row r="780">
      <c r="A780" s="1054"/>
      <c r="B780" s="1061"/>
      <c r="C780" s="1061"/>
      <c r="D780" s="1061"/>
      <c r="E780" s="1061"/>
      <c r="F780" s="1061"/>
      <c r="G780" s="1061"/>
      <c r="H780" s="1063"/>
      <c r="I780" s="1054"/>
      <c r="J780" s="1054"/>
      <c r="K780" s="1054"/>
      <c r="L780" s="1054"/>
      <c r="M780" s="1054"/>
      <c r="N780" s="1054"/>
      <c r="O780" s="1054"/>
      <c r="P780" s="1054"/>
      <c r="Q780" s="1054"/>
      <c r="R780" s="1054"/>
      <c r="S780" s="1054"/>
      <c r="T780" s="1054"/>
      <c r="U780" s="1054"/>
      <c r="V780" s="1054"/>
      <c r="W780" s="1054"/>
      <c r="X780" s="1054"/>
      <c r="Y780" s="1054"/>
      <c r="Z780" s="1054"/>
      <c r="AA780" s="1054"/>
      <c r="AB780" s="1054"/>
    </row>
    <row r="781">
      <c r="A781" s="1054"/>
      <c r="B781" s="1061"/>
      <c r="C781" s="1061"/>
      <c r="D781" s="1061"/>
      <c r="E781" s="1061"/>
      <c r="F781" s="1061"/>
      <c r="G781" s="1061"/>
      <c r="H781" s="1063"/>
      <c r="I781" s="1054"/>
      <c r="J781" s="1054"/>
      <c r="K781" s="1054"/>
      <c r="L781" s="1054"/>
      <c r="M781" s="1054"/>
      <c r="N781" s="1054"/>
      <c r="O781" s="1054"/>
      <c r="P781" s="1054"/>
      <c r="Q781" s="1054"/>
      <c r="R781" s="1054"/>
      <c r="S781" s="1054"/>
      <c r="T781" s="1054"/>
      <c r="U781" s="1054"/>
      <c r="V781" s="1054"/>
      <c r="W781" s="1054"/>
      <c r="X781" s="1054"/>
      <c r="Y781" s="1054"/>
      <c r="Z781" s="1054"/>
      <c r="AA781" s="1054"/>
      <c r="AB781" s="1054"/>
    </row>
    <row r="782">
      <c r="A782" s="1054"/>
      <c r="B782" s="1061"/>
      <c r="C782" s="1061"/>
      <c r="D782" s="1061"/>
      <c r="E782" s="1061"/>
      <c r="F782" s="1061"/>
      <c r="G782" s="1061"/>
      <c r="H782" s="1063"/>
      <c r="I782" s="1054"/>
      <c r="J782" s="1054"/>
      <c r="K782" s="1054"/>
      <c r="L782" s="1054"/>
      <c r="M782" s="1054"/>
      <c r="N782" s="1054"/>
      <c r="O782" s="1054"/>
      <c r="P782" s="1054"/>
      <c r="Q782" s="1054"/>
      <c r="R782" s="1054"/>
      <c r="S782" s="1054"/>
      <c r="T782" s="1054"/>
      <c r="U782" s="1054"/>
      <c r="V782" s="1054"/>
      <c r="W782" s="1054"/>
      <c r="X782" s="1054"/>
      <c r="Y782" s="1054"/>
      <c r="Z782" s="1054"/>
      <c r="AA782" s="1054"/>
      <c r="AB782" s="1054"/>
    </row>
    <row r="783">
      <c r="A783" s="1054"/>
      <c r="B783" s="1061"/>
      <c r="C783" s="1061"/>
      <c r="D783" s="1061"/>
      <c r="E783" s="1061"/>
      <c r="F783" s="1061"/>
      <c r="G783" s="1061"/>
      <c r="H783" s="1063"/>
      <c r="I783" s="1054"/>
      <c r="J783" s="1054"/>
      <c r="K783" s="1054"/>
      <c r="L783" s="1054"/>
      <c r="M783" s="1054"/>
      <c r="N783" s="1054"/>
      <c r="O783" s="1054"/>
      <c r="P783" s="1054"/>
      <c r="Q783" s="1054"/>
      <c r="R783" s="1054"/>
      <c r="S783" s="1054"/>
      <c r="T783" s="1054"/>
      <c r="U783" s="1054"/>
      <c r="V783" s="1054"/>
      <c r="W783" s="1054"/>
      <c r="X783" s="1054"/>
      <c r="Y783" s="1054"/>
      <c r="Z783" s="1054"/>
      <c r="AA783" s="1054"/>
      <c r="AB783" s="1054"/>
    </row>
    <row r="784">
      <c r="A784" s="1054"/>
      <c r="B784" s="1061"/>
      <c r="C784" s="1061"/>
      <c r="D784" s="1061"/>
      <c r="E784" s="1061"/>
      <c r="F784" s="1061"/>
      <c r="G784" s="1061"/>
      <c r="H784" s="1063"/>
      <c r="I784" s="1054"/>
      <c r="J784" s="1054"/>
      <c r="K784" s="1054"/>
      <c r="L784" s="1054"/>
      <c r="M784" s="1054"/>
      <c r="N784" s="1054"/>
      <c r="O784" s="1054"/>
      <c r="P784" s="1054"/>
      <c r="Q784" s="1054"/>
      <c r="R784" s="1054"/>
      <c r="S784" s="1054"/>
      <c r="T784" s="1054"/>
      <c r="U784" s="1054"/>
      <c r="V784" s="1054"/>
      <c r="W784" s="1054"/>
      <c r="X784" s="1054"/>
      <c r="Y784" s="1054"/>
      <c r="Z784" s="1054"/>
      <c r="AA784" s="1054"/>
      <c r="AB784" s="1054"/>
    </row>
    <row r="785">
      <c r="A785" s="1054"/>
      <c r="B785" s="1061"/>
      <c r="C785" s="1061"/>
      <c r="D785" s="1061"/>
      <c r="E785" s="1061"/>
      <c r="F785" s="1061"/>
      <c r="G785" s="1061"/>
      <c r="H785" s="1063"/>
      <c r="I785" s="1054"/>
      <c r="J785" s="1054"/>
      <c r="K785" s="1054"/>
      <c r="L785" s="1054"/>
      <c r="M785" s="1054"/>
      <c r="N785" s="1054"/>
      <c r="O785" s="1054"/>
      <c r="P785" s="1054"/>
      <c r="Q785" s="1054"/>
      <c r="R785" s="1054"/>
      <c r="S785" s="1054"/>
      <c r="T785" s="1054"/>
      <c r="U785" s="1054"/>
      <c r="V785" s="1054"/>
      <c r="W785" s="1054"/>
      <c r="X785" s="1054"/>
      <c r="Y785" s="1054"/>
      <c r="Z785" s="1054"/>
      <c r="AA785" s="1054"/>
      <c r="AB785" s="1054"/>
    </row>
    <row r="786">
      <c r="A786" s="1054"/>
      <c r="B786" s="1061"/>
      <c r="C786" s="1061"/>
      <c r="D786" s="1061"/>
      <c r="E786" s="1061"/>
      <c r="F786" s="1061"/>
      <c r="G786" s="1061"/>
      <c r="H786" s="1063"/>
      <c r="I786" s="1054"/>
      <c r="J786" s="1054"/>
      <c r="K786" s="1054"/>
      <c r="L786" s="1054"/>
      <c r="M786" s="1054"/>
      <c r="N786" s="1054"/>
      <c r="O786" s="1054"/>
      <c r="P786" s="1054"/>
      <c r="Q786" s="1054"/>
      <c r="R786" s="1054"/>
      <c r="S786" s="1054"/>
      <c r="T786" s="1054"/>
      <c r="U786" s="1054"/>
      <c r="V786" s="1054"/>
      <c r="W786" s="1054"/>
      <c r="X786" s="1054"/>
      <c r="Y786" s="1054"/>
      <c r="Z786" s="1054"/>
      <c r="AA786" s="1054"/>
      <c r="AB786" s="1054"/>
    </row>
    <row r="787">
      <c r="A787" s="1054"/>
      <c r="B787" s="1061"/>
      <c r="C787" s="1061"/>
      <c r="D787" s="1061"/>
      <c r="E787" s="1061"/>
      <c r="F787" s="1061"/>
      <c r="G787" s="1061"/>
      <c r="H787" s="1063"/>
      <c r="I787" s="1054"/>
      <c r="J787" s="1054"/>
      <c r="K787" s="1054"/>
      <c r="L787" s="1054"/>
      <c r="M787" s="1054"/>
      <c r="N787" s="1054"/>
      <c r="O787" s="1054"/>
      <c r="P787" s="1054"/>
      <c r="Q787" s="1054"/>
      <c r="R787" s="1054"/>
      <c r="S787" s="1054"/>
      <c r="T787" s="1054"/>
      <c r="U787" s="1054"/>
      <c r="V787" s="1054"/>
      <c r="W787" s="1054"/>
      <c r="X787" s="1054"/>
      <c r="Y787" s="1054"/>
      <c r="Z787" s="1054"/>
      <c r="AA787" s="1054"/>
      <c r="AB787" s="1054"/>
    </row>
    <row r="788">
      <c r="A788" s="1054"/>
      <c r="B788" s="1061"/>
      <c r="C788" s="1061"/>
      <c r="D788" s="1061"/>
      <c r="E788" s="1061"/>
      <c r="F788" s="1061"/>
      <c r="G788" s="1061"/>
      <c r="H788" s="1063"/>
      <c r="I788" s="1054"/>
      <c r="J788" s="1054"/>
      <c r="K788" s="1054"/>
      <c r="L788" s="1054"/>
      <c r="M788" s="1054"/>
      <c r="N788" s="1054"/>
      <c r="O788" s="1054"/>
      <c r="P788" s="1054"/>
      <c r="Q788" s="1054"/>
      <c r="R788" s="1054"/>
      <c r="S788" s="1054"/>
      <c r="T788" s="1054"/>
      <c r="U788" s="1054"/>
      <c r="V788" s="1054"/>
      <c r="W788" s="1054"/>
      <c r="X788" s="1054"/>
      <c r="Y788" s="1054"/>
      <c r="Z788" s="1054"/>
      <c r="AA788" s="1054"/>
      <c r="AB788" s="1054"/>
    </row>
    <row r="789">
      <c r="A789" s="1054"/>
      <c r="B789" s="1061"/>
      <c r="C789" s="1061"/>
      <c r="D789" s="1061"/>
      <c r="E789" s="1061"/>
      <c r="F789" s="1061"/>
      <c r="G789" s="1061"/>
      <c r="H789" s="1063"/>
      <c r="I789" s="1054"/>
      <c r="J789" s="1054"/>
      <c r="K789" s="1054"/>
      <c r="L789" s="1054"/>
      <c r="M789" s="1054"/>
      <c r="N789" s="1054"/>
      <c r="O789" s="1054"/>
      <c r="P789" s="1054"/>
      <c r="Q789" s="1054"/>
      <c r="R789" s="1054"/>
      <c r="S789" s="1054"/>
      <c r="T789" s="1054"/>
      <c r="U789" s="1054"/>
      <c r="V789" s="1054"/>
      <c r="W789" s="1054"/>
      <c r="X789" s="1054"/>
      <c r="Y789" s="1054"/>
      <c r="Z789" s="1054"/>
      <c r="AA789" s="1054"/>
      <c r="AB789" s="1054"/>
    </row>
    <row r="790">
      <c r="A790" s="1054"/>
      <c r="B790" s="1061"/>
      <c r="C790" s="1061"/>
      <c r="D790" s="1061"/>
      <c r="E790" s="1061"/>
      <c r="F790" s="1061"/>
      <c r="G790" s="1061"/>
      <c r="H790" s="1063"/>
      <c r="I790" s="1054"/>
      <c r="J790" s="1054"/>
      <c r="K790" s="1054"/>
      <c r="L790" s="1054"/>
      <c r="M790" s="1054"/>
      <c r="N790" s="1054"/>
      <c r="O790" s="1054"/>
      <c r="P790" s="1054"/>
      <c r="Q790" s="1054"/>
      <c r="R790" s="1054"/>
      <c r="S790" s="1054"/>
      <c r="T790" s="1054"/>
      <c r="U790" s="1054"/>
      <c r="V790" s="1054"/>
      <c r="W790" s="1054"/>
      <c r="X790" s="1054"/>
      <c r="Y790" s="1054"/>
      <c r="Z790" s="1054"/>
      <c r="AA790" s="1054"/>
      <c r="AB790" s="1054"/>
    </row>
    <row r="791">
      <c r="A791" s="1054"/>
      <c r="B791" s="1061"/>
      <c r="C791" s="1061"/>
      <c r="D791" s="1061"/>
      <c r="E791" s="1061"/>
      <c r="F791" s="1061"/>
      <c r="G791" s="1061"/>
      <c r="H791" s="1063"/>
      <c r="I791" s="1054"/>
      <c r="J791" s="1054"/>
      <c r="K791" s="1054"/>
      <c r="L791" s="1054"/>
      <c r="M791" s="1054"/>
      <c r="N791" s="1054"/>
      <c r="O791" s="1054"/>
      <c r="P791" s="1054"/>
      <c r="Q791" s="1054"/>
      <c r="R791" s="1054"/>
      <c r="S791" s="1054"/>
      <c r="T791" s="1054"/>
      <c r="U791" s="1054"/>
      <c r="V791" s="1054"/>
      <c r="W791" s="1054"/>
      <c r="X791" s="1054"/>
      <c r="Y791" s="1054"/>
      <c r="Z791" s="1054"/>
      <c r="AA791" s="1054"/>
      <c r="AB791" s="1054"/>
    </row>
    <row r="792">
      <c r="A792" s="1054"/>
      <c r="B792" s="1061"/>
      <c r="C792" s="1061"/>
      <c r="D792" s="1061"/>
      <c r="E792" s="1061"/>
      <c r="F792" s="1061"/>
      <c r="G792" s="1061"/>
      <c r="H792" s="1063"/>
      <c r="I792" s="1054"/>
      <c r="J792" s="1054"/>
      <c r="K792" s="1054"/>
      <c r="L792" s="1054"/>
      <c r="M792" s="1054"/>
      <c r="N792" s="1054"/>
      <c r="O792" s="1054"/>
      <c r="P792" s="1054"/>
      <c r="Q792" s="1054"/>
      <c r="R792" s="1054"/>
      <c r="S792" s="1054"/>
      <c r="T792" s="1054"/>
      <c r="U792" s="1054"/>
      <c r="V792" s="1054"/>
      <c r="W792" s="1054"/>
      <c r="X792" s="1054"/>
      <c r="Y792" s="1054"/>
      <c r="Z792" s="1054"/>
      <c r="AA792" s="1054"/>
      <c r="AB792" s="1054"/>
    </row>
    <row r="793">
      <c r="A793" s="1054"/>
      <c r="B793" s="1061"/>
      <c r="C793" s="1061"/>
      <c r="D793" s="1061"/>
      <c r="E793" s="1061"/>
      <c r="F793" s="1061"/>
      <c r="G793" s="1061"/>
      <c r="H793" s="1063"/>
      <c r="I793" s="1054"/>
      <c r="J793" s="1054"/>
      <c r="K793" s="1054"/>
      <c r="L793" s="1054"/>
      <c r="M793" s="1054"/>
      <c r="N793" s="1054"/>
      <c r="O793" s="1054"/>
      <c r="P793" s="1054"/>
      <c r="Q793" s="1054"/>
      <c r="R793" s="1054"/>
      <c r="S793" s="1054"/>
      <c r="T793" s="1054"/>
      <c r="U793" s="1054"/>
      <c r="V793" s="1054"/>
      <c r="W793" s="1054"/>
      <c r="X793" s="1054"/>
      <c r="Y793" s="1054"/>
      <c r="Z793" s="1054"/>
      <c r="AA793" s="1054"/>
      <c r="AB793" s="1054"/>
    </row>
    <row r="794">
      <c r="A794" s="1054"/>
      <c r="B794" s="1061"/>
      <c r="C794" s="1061"/>
      <c r="D794" s="1061"/>
      <c r="E794" s="1061"/>
      <c r="F794" s="1061"/>
      <c r="G794" s="1061"/>
      <c r="H794" s="1063"/>
      <c r="I794" s="1054"/>
      <c r="J794" s="1054"/>
      <c r="K794" s="1054"/>
      <c r="L794" s="1054"/>
      <c r="M794" s="1054"/>
      <c r="N794" s="1054"/>
      <c r="O794" s="1054"/>
      <c r="P794" s="1054"/>
      <c r="Q794" s="1054"/>
      <c r="R794" s="1054"/>
      <c r="S794" s="1054"/>
      <c r="T794" s="1054"/>
      <c r="U794" s="1054"/>
      <c r="V794" s="1054"/>
      <c r="W794" s="1054"/>
      <c r="X794" s="1054"/>
      <c r="Y794" s="1054"/>
      <c r="Z794" s="1054"/>
      <c r="AA794" s="1054"/>
      <c r="AB794" s="1054"/>
    </row>
    <row r="795">
      <c r="A795" s="1054"/>
      <c r="B795" s="1061"/>
      <c r="C795" s="1061"/>
      <c r="D795" s="1061"/>
      <c r="E795" s="1061"/>
      <c r="F795" s="1061"/>
      <c r="G795" s="1061"/>
      <c r="H795" s="1063"/>
      <c r="I795" s="1054"/>
      <c r="J795" s="1054"/>
      <c r="K795" s="1054"/>
      <c r="L795" s="1054"/>
      <c r="M795" s="1054"/>
      <c r="N795" s="1054"/>
      <c r="O795" s="1054"/>
      <c r="P795" s="1054"/>
      <c r="Q795" s="1054"/>
      <c r="R795" s="1054"/>
      <c r="S795" s="1054"/>
      <c r="T795" s="1054"/>
      <c r="U795" s="1054"/>
      <c r="V795" s="1054"/>
      <c r="W795" s="1054"/>
      <c r="X795" s="1054"/>
      <c r="Y795" s="1054"/>
      <c r="Z795" s="1054"/>
      <c r="AA795" s="1054"/>
      <c r="AB795" s="1054"/>
    </row>
    <row r="796">
      <c r="A796" s="1054"/>
      <c r="B796" s="1061"/>
      <c r="C796" s="1061"/>
      <c r="D796" s="1061"/>
      <c r="E796" s="1061"/>
      <c r="F796" s="1061"/>
      <c r="G796" s="1061"/>
      <c r="H796" s="1063"/>
      <c r="I796" s="1054"/>
      <c r="J796" s="1054"/>
      <c r="K796" s="1054"/>
      <c r="L796" s="1054"/>
      <c r="M796" s="1054"/>
      <c r="N796" s="1054"/>
      <c r="O796" s="1054"/>
      <c r="P796" s="1054"/>
      <c r="Q796" s="1054"/>
      <c r="R796" s="1054"/>
      <c r="S796" s="1054"/>
      <c r="T796" s="1054"/>
      <c r="U796" s="1054"/>
      <c r="V796" s="1054"/>
      <c r="W796" s="1054"/>
      <c r="X796" s="1054"/>
      <c r="Y796" s="1054"/>
      <c r="Z796" s="1054"/>
      <c r="AA796" s="1054"/>
      <c r="AB796" s="1054"/>
    </row>
    <row r="797">
      <c r="A797" s="1054"/>
      <c r="B797" s="1061"/>
      <c r="C797" s="1061"/>
      <c r="D797" s="1061"/>
      <c r="E797" s="1061"/>
      <c r="F797" s="1061"/>
      <c r="G797" s="1061"/>
      <c r="H797" s="1063"/>
      <c r="I797" s="1054"/>
      <c r="J797" s="1054"/>
      <c r="K797" s="1054"/>
      <c r="L797" s="1054"/>
      <c r="M797" s="1054"/>
      <c r="N797" s="1054"/>
      <c r="O797" s="1054"/>
      <c r="P797" s="1054"/>
      <c r="Q797" s="1054"/>
      <c r="R797" s="1054"/>
      <c r="S797" s="1054"/>
      <c r="T797" s="1054"/>
      <c r="U797" s="1054"/>
      <c r="V797" s="1054"/>
      <c r="W797" s="1054"/>
      <c r="X797" s="1054"/>
      <c r="Y797" s="1054"/>
      <c r="Z797" s="1054"/>
      <c r="AA797" s="1054"/>
      <c r="AB797" s="1054"/>
    </row>
    <row r="798">
      <c r="A798" s="1054"/>
      <c r="B798" s="1061"/>
      <c r="C798" s="1061"/>
      <c r="D798" s="1061"/>
      <c r="E798" s="1061"/>
      <c r="F798" s="1061"/>
      <c r="G798" s="1061"/>
      <c r="H798" s="1063"/>
      <c r="I798" s="1054"/>
      <c r="J798" s="1054"/>
      <c r="K798" s="1054"/>
      <c r="L798" s="1054"/>
      <c r="M798" s="1054"/>
      <c r="N798" s="1054"/>
      <c r="O798" s="1054"/>
      <c r="P798" s="1054"/>
      <c r="Q798" s="1054"/>
      <c r="R798" s="1054"/>
      <c r="S798" s="1054"/>
      <c r="T798" s="1054"/>
      <c r="U798" s="1054"/>
      <c r="V798" s="1054"/>
      <c r="W798" s="1054"/>
      <c r="X798" s="1054"/>
      <c r="Y798" s="1054"/>
      <c r="Z798" s="1054"/>
      <c r="AA798" s="1054"/>
      <c r="AB798" s="1054"/>
    </row>
    <row r="799">
      <c r="A799" s="1054"/>
      <c r="B799" s="1061"/>
      <c r="C799" s="1061"/>
      <c r="D799" s="1061"/>
      <c r="E799" s="1061"/>
      <c r="F799" s="1061"/>
      <c r="G799" s="1061"/>
      <c r="H799" s="1063"/>
      <c r="I799" s="1054"/>
      <c r="J799" s="1054"/>
      <c r="K799" s="1054"/>
      <c r="L799" s="1054"/>
      <c r="M799" s="1054"/>
      <c r="N799" s="1054"/>
      <c r="O799" s="1054"/>
      <c r="P799" s="1054"/>
      <c r="Q799" s="1054"/>
      <c r="R799" s="1054"/>
      <c r="S799" s="1054"/>
      <c r="T799" s="1054"/>
      <c r="U799" s="1054"/>
      <c r="V799" s="1054"/>
      <c r="W799" s="1054"/>
      <c r="X799" s="1054"/>
      <c r="Y799" s="1054"/>
      <c r="Z799" s="1054"/>
      <c r="AA799" s="1054"/>
      <c r="AB799" s="1054"/>
    </row>
    <row r="800">
      <c r="A800" s="1054"/>
      <c r="B800" s="1061"/>
      <c r="C800" s="1061"/>
      <c r="D800" s="1061"/>
      <c r="E800" s="1061"/>
      <c r="F800" s="1061"/>
      <c r="G800" s="1061"/>
      <c r="H800" s="1063"/>
      <c r="I800" s="1054"/>
      <c r="J800" s="1054"/>
      <c r="K800" s="1054"/>
      <c r="L800" s="1054"/>
      <c r="M800" s="1054"/>
      <c r="N800" s="1054"/>
      <c r="O800" s="1054"/>
      <c r="P800" s="1054"/>
      <c r="Q800" s="1054"/>
      <c r="R800" s="1054"/>
      <c r="S800" s="1054"/>
      <c r="T800" s="1054"/>
      <c r="U800" s="1054"/>
      <c r="V800" s="1054"/>
      <c r="W800" s="1054"/>
      <c r="X800" s="1054"/>
      <c r="Y800" s="1054"/>
      <c r="Z800" s="1054"/>
      <c r="AA800" s="1054"/>
      <c r="AB800" s="1054"/>
    </row>
    <row r="801">
      <c r="A801" s="1054"/>
      <c r="B801" s="1061"/>
      <c r="C801" s="1061"/>
      <c r="D801" s="1061"/>
      <c r="E801" s="1061"/>
      <c r="F801" s="1061"/>
      <c r="G801" s="1061"/>
      <c r="H801" s="1063"/>
      <c r="I801" s="1054"/>
      <c r="J801" s="1054"/>
      <c r="K801" s="1054"/>
      <c r="L801" s="1054"/>
      <c r="M801" s="1054"/>
      <c r="N801" s="1054"/>
      <c r="O801" s="1054"/>
      <c r="P801" s="1054"/>
      <c r="Q801" s="1054"/>
      <c r="R801" s="1054"/>
      <c r="S801" s="1054"/>
      <c r="T801" s="1054"/>
      <c r="U801" s="1054"/>
      <c r="V801" s="1054"/>
      <c r="W801" s="1054"/>
      <c r="X801" s="1054"/>
      <c r="Y801" s="1054"/>
      <c r="Z801" s="1054"/>
      <c r="AA801" s="1054"/>
      <c r="AB801" s="1054"/>
    </row>
    <row r="802">
      <c r="A802" s="1054"/>
      <c r="B802" s="1061"/>
      <c r="C802" s="1061"/>
      <c r="D802" s="1061"/>
      <c r="E802" s="1061"/>
      <c r="F802" s="1061"/>
      <c r="G802" s="1061"/>
      <c r="H802" s="1063"/>
      <c r="I802" s="1054"/>
      <c r="J802" s="1054"/>
      <c r="K802" s="1054"/>
      <c r="L802" s="1054"/>
      <c r="M802" s="1054"/>
      <c r="N802" s="1054"/>
      <c r="O802" s="1054"/>
      <c r="P802" s="1054"/>
      <c r="Q802" s="1054"/>
      <c r="R802" s="1054"/>
      <c r="S802" s="1054"/>
      <c r="T802" s="1054"/>
      <c r="U802" s="1054"/>
      <c r="V802" s="1054"/>
      <c r="W802" s="1054"/>
      <c r="X802" s="1054"/>
      <c r="Y802" s="1054"/>
      <c r="Z802" s="1054"/>
      <c r="AA802" s="1054"/>
      <c r="AB802" s="1054"/>
    </row>
    <row r="803">
      <c r="A803" s="1054"/>
      <c r="B803" s="1061"/>
      <c r="C803" s="1061"/>
      <c r="D803" s="1061"/>
      <c r="E803" s="1061"/>
      <c r="F803" s="1061"/>
      <c r="G803" s="1061"/>
      <c r="H803" s="1063"/>
      <c r="I803" s="1054"/>
      <c r="J803" s="1054"/>
      <c r="K803" s="1054"/>
      <c r="L803" s="1054"/>
      <c r="M803" s="1054"/>
      <c r="N803" s="1054"/>
      <c r="O803" s="1054"/>
      <c r="P803" s="1054"/>
      <c r="Q803" s="1054"/>
      <c r="R803" s="1054"/>
      <c r="S803" s="1054"/>
      <c r="T803" s="1054"/>
      <c r="U803" s="1054"/>
      <c r="V803" s="1054"/>
      <c r="W803" s="1054"/>
      <c r="X803" s="1054"/>
      <c r="Y803" s="1054"/>
      <c r="Z803" s="1054"/>
      <c r="AA803" s="1054"/>
      <c r="AB803" s="1054"/>
    </row>
    <row r="804">
      <c r="A804" s="1054"/>
      <c r="B804" s="1061"/>
      <c r="C804" s="1061"/>
      <c r="D804" s="1061"/>
      <c r="E804" s="1061"/>
      <c r="F804" s="1061"/>
      <c r="G804" s="1061"/>
      <c r="H804" s="1063"/>
      <c r="I804" s="1054"/>
      <c r="J804" s="1054"/>
      <c r="K804" s="1054"/>
      <c r="L804" s="1054"/>
      <c r="M804" s="1054"/>
      <c r="N804" s="1054"/>
      <c r="O804" s="1054"/>
      <c r="P804" s="1054"/>
      <c r="Q804" s="1054"/>
      <c r="R804" s="1054"/>
      <c r="S804" s="1054"/>
      <c r="T804" s="1054"/>
      <c r="U804" s="1054"/>
      <c r="V804" s="1054"/>
      <c r="W804" s="1054"/>
      <c r="X804" s="1054"/>
      <c r="Y804" s="1054"/>
      <c r="Z804" s="1054"/>
      <c r="AA804" s="1054"/>
      <c r="AB804" s="1054"/>
    </row>
    <row r="805">
      <c r="A805" s="1054"/>
      <c r="B805" s="1061"/>
      <c r="C805" s="1061"/>
      <c r="D805" s="1061"/>
      <c r="E805" s="1061"/>
      <c r="F805" s="1061"/>
      <c r="G805" s="1061"/>
      <c r="H805" s="1063"/>
      <c r="I805" s="1054"/>
      <c r="J805" s="1054"/>
      <c r="K805" s="1054"/>
      <c r="L805" s="1054"/>
      <c r="M805" s="1054"/>
      <c r="N805" s="1054"/>
      <c r="O805" s="1054"/>
      <c r="P805" s="1054"/>
      <c r="Q805" s="1054"/>
      <c r="R805" s="1054"/>
      <c r="S805" s="1054"/>
      <c r="T805" s="1054"/>
      <c r="U805" s="1054"/>
      <c r="V805" s="1054"/>
      <c r="W805" s="1054"/>
      <c r="X805" s="1054"/>
      <c r="Y805" s="1054"/>
      <c r="Z805" s="1054"/>
      <c r="AA805" s="1054"/>
      <c r="AB805" s="1054"/>
    </row>
    <row r="806">
      <c r="A806" s="1054"/>
      <c r="B806" s="1061"/>
      <c r="C806" s="1061"/>
      <c r="D806" s="1061"/>
      <c r="E806" s="1061"/>
      <c r="F806" s="1061"/>
      <c r="G806" s="1061"/>
      <c r="H806" s="1063"/>
      <c r="I806" s="1054"/>
      <c r="J806" s="1054"/>
      <c r="K806" s="1054"/>
      <c r="L806" s="1054"/>
      <c r="M806" s="1054"/>
      <c r="N806" s="1054"/>
      <c r="O806" s="1054"/>
      <c r="P806" s="1054"/>
      <c r="Q806" s="1054"/>
      <c r="R806" s="1054"/>
      <c r="S806" s="1054"/>
      <c r="T806" s="1054"/>
      <c r="U806" s="1054"/>
      <c r="V806" s="1054"/>
      <c r="W806" s="1054"/>
      <c r="X806" s="1054"/>
      <c r="Y806" s="1054"/>
      <c r="Z806" s="1054"/>
      <c r="AA806" s="1054"/>
      <c r="AB806" s="1054"/>
    </row>
    <row r="807">
      <c r="A807" s="1054"/>
      <c r="B807" s="1061"/>
      <c r="C807" s="1061"/>
      <c r="D807" s="1061"/>
      <c r="E807" s="1061"/>
      <c r="F807" s="1061"/>
      <c r="G807" s="1061"/>
      <c r="H807" s="1063"/>
      <c r="I807" s="1054"/>
      <c r="J807" s="1054"/>
      <c r="K807" s="1054"/>
      <c r="L807" s="1054"/>
      <c r="M807" s="1054"/>
      <c r="N807" s="1054"/>
      <c r="O807" s="1054"/>
      <c r="P807" s="1054"/>
      <c r="Q807" s="1054"/>
      <c r="R807" s="1054"/>
      <c r="S807" s="1054"/>
      <c r="T807" s="1054"/>
      <c r="U807" s="1054"/>
      <c r="V807" s="1054"/>
      <c r="W807" s="1054"/>
      <c r="X807" s="1054"/>
      <c r="Y807" s="1054"/>
      <c r="Z807" s="1054"/>
      <c r="AA807" s="1054"/>
      <c r="AB807" s="1054"/>
    </row>
    <row r="808">
      <c r="A808" s="1054"/>
      <c r="B808" s="1061"/>
      <c r="C808" s="1061"/>
      <c r="D808" s="1061"/>
      <c r="E808" s="1061"/>
      <c r="F808" s="1061"/>
      <c r="G808" s="1061"/>
      <c r="H808" s="1063"/>
      <c r="I808" s="1054"/>
      <c r="J808" s="1054"/>
      <c r="K808" s="1054"/>
      <c r="L808" s="1054"/>
      <c r="M808" s="1054"/>
      <c r="N808" s="1054"/>
      <c r="O808" s="1054"/>
      <c r="P808" s="1054"/>
      <c r="Q808" s="1054"/>
      <c r="R808" s="1054"/>
      <c r="S808" s="1054"/>
      <c r="T808" s="1054"/>
      <c r="U808" s="1054"/>
      <c r="V808" s="1054"/>
      <c r="W808" s="1054"/>
      <c r="X808" s="1054"/>
      <c r="Y808" s="1054"/>
      <c r="Z808" s="1054"/>
      <c r="AA808" s="1054"/>
      <c r="AB808" s="1054"/>
    </row>
    <row r="809">
      <c r="A809" s="1054"/>
      <c r="B809" s="1061"/>
      <c r="C809" s="1061"/>
      <c r="D809" s="1061"/>
      <c r="E809" s="1061"/>
      <c r="F809" s="1061"/>
      <c r="G809" s="1061"/>
      <c r="H809" s="1063"/>
      <c r="I809" s="1054"/>
      <c r="J809" s="1054"/>
      <c r="K809" s="1054"/>
      <c r="L809" s="1054"/>
      <c r="M809" s="1054"/>
      <c r="N809" s="1054"/>
      <c r="O809" s="1054"/>
      <c r="P809" s="1054"/>
      <c r="Q809" s="1054"/>
      <c r="R809" s="1054"/>
      <c r="S809" s="1054"/>
      <c r="T809" s="1054"/>
      <c r="U809" s="1054"/>
      <c r="V809" s="1054"/>
      <c r="W809" s="1054"/>
      <c r="X809" s="1054"/>
      <c r="Y809" s="1054"/>
      <c r="Z809" s="1054"/>
      <c r="AA809" s="1054"/>
      <c r="AB809" s="1054"/>
    </row>
    <row r="810">
      <c r="A810" s="1054"/>
      <c r="B810" s="1061"/>
      <c r="C810" s="1061"/>
      <c r="D810" s="1061"/>
      <c r="E810" s="1061"/>
      <c r="F810" s="1061"/>
      <c r="G810" s="1061"/>
      <c r="H810" s="1063"/>
      <c r="I810" s="1054"/>
      <c r="J810" s="1054"/>
      <c r="K810" s="1054"/>
      <c r="L810" s="1054"/>
      <c r="M810" s="1054"/>
      <c r="N810" s="1054"/>
      <c r="O810" s="1054"/>
      <c r="P810" s="1054"/>
      <c r="Q810" s="1054"/>
      <c r="R810" s="1054"/>
      <c r="S810" s="1054"/>
      <c r="T810" s="1054"/>
      <c r="U810" s="1054"/>
      <c r="V810" s="1054"/>
      <c r="W810" s="1054"/>
      <c r="X810" s="1054"/>
      <c r="Y810" s="1054"/>
      <c r="Z810" s="1054"/>
      <c r="AA810" s="1054"/>
      <c r="AB810" s="1054"/>
    </row>
    <row r="811">
      <c r="A811" s="1054"/>
      <c r="B811" s="1061"/>
      <c r="C811" s="1061"/>
      <c r="D811" s="1061"/>
      <c r="E811" s="1061"/>
      <c r="F811" s="1061"/>
      <c r="G811" s="1061"/>
      <c r="H811" s="1063"/>
      <c r="I811" s="1054"/>
      <c r="J811" s="1054"/>
      <c r="K811" s="1054"/>
      <c r="L811" s="1054"/>
      <c r="M811" s="1054"/>
      <c r="N811" s="1054"/>
      <c r="O811" s="1054"/>
      <c r="P811" s="1054"/>
      <c r="Q811" s="1054"/>
      <c r="R811" s="1054"/>
      <c r="S811" s="1054"/>
      <c r="T811" s="1054"/>
      <c r="U811" s="1054"/>
      <c r="V811" s="1054"/>
      <c r="W811" s="1054"/>
      <c r="X811" s="1054"/>
      <c r="Y811" s="1054"/>
      <c r="Z811" s="1054"/>
      <c r="AA811" s="1054"/>
      <c r="AB811" s="1054"/>
    </row>
    <row r="812">
      <c r="A812" s="1054"/>
      <c r="B812" s="1061"/>
      <c r="C812" s="1061"/>
      <c r="D812" s="1061"/>
      <c r="E812" s="1061"/>
      <c r="F812" s="1061"/>
      <c r="G812" s="1061"/>
      <c r="H812" s="1063"/>
      <c r="I812" s="1054"/>
      <c r="J812" s="1054"/>
      <c r="K812" s="1054"/>
      <c r="L812" s="1054"/>
      <c r="M812" s="1054"/>
      <c r="N812" s="1054"/>
      <c r="O812" s="1054"/>
      <c r="P812" s="1054"/>
      <c r="Q812" s="1054"/>
      <c r="R812" s="1054"/>
      <c r="S812" s="1054"/>
      <c r="T812" s="1054"/>
      <c r="U812" s="1054"/>
      <c r="V812" s="1054"/>
      <c r="W812" s="1054"/>
      <c r="X812" s="1054"/>
      <c r="Y812" s="1054"/>
      <c r="Z812" s="1054"/>
      <c r="AA812" s="1054"/>
      <c r="AB812" s="1054"/>
    </row>
    <row r="813">
      <c r="A813" s="1054"/>
      <c r="B813" s="1061"/>
      <c r="C813" s="1061"/>
      <c r="D813" s="1061"/>
      <c r="E813" s="1061"/>
      <c r="F813" s="1061"/>
      <c r="G813" s="1061"/>
      <c r="H813" s="1063"/>
      <c r="I813" s="1054"/>
      <c r="J813" s="1054"/>
      <c r="K813" s="1054"/>
      <c r="L813" s="1054"/>
      <c r="M813" s="1054"/>
      <c r="N813" s="1054"/>
      <c r="O813" s="1054"/>
      <c r="P813" s="1054"/>
      <c r="Q813" s="1054"/>
      <c r="R813" s="1054"/>
      <c r="S813" s="1054"/>
      <c r="T813" s="1054"/>
      <c r="U813" s="1054"/>
      <c r="V813" s="1054"/>
      <c r="W813" s="1054"/>
      <c r="X813" s="1054"/>
      <c r="Y813" s="1054"/>
      <c r="Z813" s="1054"/>
      <c r="AA813" s="1054"/>
      <c r="AB813" s="1054"/>
    </row>
    <row r="814">
      <c r="A814" s="1054"/>
      <c r="B814" s="1061"/>
      <c r="C814" s="1061"/>
      <c r="D814" s="1061"/>
      <c r="E814" s="1061"/>
      <c r="F814" s="1061"/>
      <c r="G814" s="1061"/>
      <c r="H814" s="1063"/>
      <c r="I814" s="1054"/>
      <c r="J814" s="1054"/>
      <c r="K814" s="1054"/>
      <c r="L814" s="1054"/>
      <c r="M814" s="1054"/>
      <c r="N814" s="1054"/>
      <c r="O814" s="1054"/>
      <c r="P814" s="1054"/>
      <c r="Q814" s="1054"/>
      <c r="R814" s="1054"/>
      <c r="S814" s="1054"/>
      <c r="T814" s="1054"/>
      <c r="U814" s="1054"/>
      <c r="V814" s="1054"/>
      <c r="W814" s="1054"/>
      <c r="X814" s="1054"/>
      <c r="Y814" s="1054"/>
      <c r="Z814" s="1054"/>
      <c r="AA814" s="1054"/>
      <c r="AB814" s="1054"/>
    </row>
    <row r="815">
      <c r="A815" s="1054"/>
      <c r="B815" s="1061"/>
      <c r="C815" s="1061"/>
      <c r="D815" s="1061"/>
      <c r="E815" s="1061"/>
      <c r="F815" s="1061"/>
      <c r="G815" s="1061"/>
      <c r="H815" s="1063"/>
      <c r="I815" s="1054"/>
      <c r="J815" s="1054"/>
      <c r="K815" s="1054"/>
      <c r="L815" s="1054"/>
      <c r="M815" s="1054"/>
      <c r="N815" s="1054"/>
      <c r="O815" s="1054"/>
      <c r="P815" s="1054"/>
      <c r="Q815" s="1054"/>
      <c r="R815" s="1054"/>
      <c r="S815" s="1054"/>
      <c r="T815" s="1054"/>
      <c r="U815" s="1054"/>
      <c r="V815" s="1054"/>
      <c r="W815" s="1054"/>
      <c r="X815" s="1054"/>
      <c r="Y815" s="1054"/>
      <c r="Z815" s="1054"/>
      <c r="AA815" s="1054"/>
      <c r="AB815" s="1054"/>
    </row>
    <row r="816">
      <c r="A816" s="1054"/>
      <c r="B816" s="1061"/>
      <c r="C816" s="1061"/>
      <c r="D816" s="1061"/>
      <c r="E816" s="1061"/>
      <c r="F816" s="1061"/>
      <c r="G816" s="1061"/>
      <c r="H816" s="1063"/>
      <c r="I816" s="1054"/>
      <c r="J816" s="1054"/>
      <c r="K816" s="1054"/>
      <c r="L816" s="1054"/>
      <c r="M816" s="1054"/>
      <c r="N816" s="1054"/>
      <c r="O816" s="1054"/>
      <c r="P816" s="1054"/>
      <c r="Q816" s="1054"/>
      <c r="R816" s="1054"/>
      <c r="S816" s="1054"/>
      <c r="T816" s="1054"/>
      <c r="U816" s="1054"/>
      <c r="V816" s="1054"/>
      <c r="W816" s="1054"/>
      <c r="X816" s="1054"/>
      <c r="Y816" s="1054"/>
      <c r="Z816" s="1054"/>
      <c r="AA816" s="1054"/>
      <c r="AB816" s="1054"/>
    </row>
    <row r="817">
      <c r="A817" s="1054"/>
      <c r="B817" s="1061"/>
      <c r="C817" s="1061"/>
      <c r="D817" s="1061"/>
      <c r="E817" s="1061"/>
      <c r="F817" s="1061"/>
      <c r="G817" s="1061"/>
      <c r="H817" s="1063"/>
      <c r="I817" s="1054"/>
      <c r="J817" s="1054"/>
      <c r="K817" s="1054"/>
      <c r="L817" s="1054"/>
      <c r="M817" s="1054"/>
      <c r="N817" s="1054"/>
      <c r="O817" s="1054"/>
      <c r="P817" s="1054"/>
      <c r="Q817" s="1054"/>
      <c r="R817" s="1054"/>
      <c r="S817" s="1054"/>
      <c r="T817" s="1054"/>
      <c r="U817" s="1054"/>
      <c r="V817" s="1054"/>
      <c r="W817" s="1054"/>
      <c r="X817" s="1054"/>
      <c r="Y817" s="1054"/>
      <c r="Z817" s="1054"/>
      <c r="AA817" s="1054"/>
      <c r="AB817" s="1054"/>
    </row>
    <row r="818">
      <c r="A818" s="1054"/>
      <c r="B818" s="1061"/>
      <c r="C818" s="1061"/>
      <c r="D818" s="1061"/>
      <c r="E818" s="1061"/>
      <c r="F818" s="1061"/>
      <c r="G818" s="1061"/>
      <c r="H818" s="1063"/>
      <c r="I818" s="1054"/>
      <c r="J818" s="1054"/>
      <c r="K818" s="1054"/>
      <c r="L818" s="1054"/>
      <c r="M818" s="1054"/>
      <c r="N818" s="1054"/>
      <c r="O818" s="1054"/>
      <c r="P818" s="1054"/>
      <c r="Q818" s="1054"/>
      <c r="R818" s="1054"/>
      <c r="S818" s="1054"/>
      <c r="T818" s="1054"/>
      <c r="U818" s="1054"/>
      <c r="V818" s="1054"/>
      <c r="W818" s="1054"/>
      <c r="X818" s="1054"/>
      <c r="Y818" s="1054"/>
      <c r="Z818" s="1054"/>
      <c r="AA818" s="1054"/>
      <c r="AB818" s="1054"/>
    </row>
    <row r="819">
      <c r="A819" s="1054"/>
      <c r="B819" s="1061"/>
      <c r="C819" s="1061"/>
      <c r="D819" s="1061"/>
      <c r="E819" s="1061"/>
      <c r="F819" s="1061"/>
      <c r="G819" s="1061"/>
      <c r="H819" s="1063"/>
      <c r="I819" s="1054"/>
      <c r="J819" s="1054"/>
      <c r="K819" s="1054"/>
      <c r="L819" s="1054"/>
      <c r="M819" s="1054"/>
      <c r="N819" s="1054"/>
      <c r="O819" s="1054"/>
      <c r="P819" s="1054"/>
      <c r="Q819" s="1054"/>
      <c r="R819" s="1054"/>
      <c r="S819" s="1054"/>
      <c r="T819" s="1054"/>
      <c r="U819" s="1054"/>
      <c r="V819" s="1054"/>
      <c r="W819" s="1054"/>
      <c r="X819" s="1054"/>
      <c r="Y819" s="1054"/>
      <c r="Z819" s="1054"/>
      <c r="AA819" s="1054"/>
      <c r="AB819" s="1054"/>
    </row>
    <row r="820">
      <c r="A820" s="1054"/>
      <c r="B820" s="1061"/>
      <c r="C820" s="1061"/>
      <c r="D820" s="1061"/>
      <c r="E820" s="1061"/>
      <c r="F820" s="1061"/>
      <c r="G820" s="1061"/>
      <c r="H820" s="1063"/>
      <c r="I820" s="1054"/>
      <c r="J820" s="1054"/>
      <c r="K820" s="1054"/>
      <c r="L820" s="1054"/>
      <c r="M820" s="1054"/>
      <c r="N820" s="1054"/>
      <c r="O820" s="1054"/>
      <c r="P820" s="1054"/>
      <c r="Q820" s="1054"/>
      <c r="R820" s="1054"/>
      <c r="S820" s="1054"/>
      <c r="T820" s="1054"/>
      <c r="U820" s="1054"/>
      <c r="V820" s="1054"/>
      <c r="W820" s="1054"/>
      <c r="X820" s="1054"/>
      <c r="Y820" s="1054"/>
      <c r="Z820" s="1054"/>
      <c r="AA820" s="1054"/>
      <c r="AB820" s="1054"/>
    </row>
    <row r="821">
      <c r="A821" s="1054"/>
      <c r="B821" s="1061"/>
      <c r="C821" s="1061"/>
      <c r="D821" s="1061"/>
      <c r="E821" s="1061"/>
      <c r="F821" s="1061"/>
      <c r="G821" s="1061"/>
      <c r="H821" s="1063"/>
      <c r="I821" s="1054"/>
      <c r="J821" s="1054"/>
      <c r="K821" s="1054"/>
      <c r="L821" s="1054"/>
      <c r="M821" s="1054"/>
      <c r="N821" s="1054"/>
      <c r="O821" s="1054"/>
      <c r="P821" s="1054"/>
      <c r="Q821" s="1054"/>
      <c r="R821" s="1054"/>
      <c r="S821" s="1054"/>
      <c r="T821" s="1054"/>
      <c r="U821" s="1054"/>
      <c r="V821" s="1054"/>
      <c r="W821" s="1054"/>
      <c r="X821" s="1054"/>
      <c r="Y821" s="1054"/>
      <c r="Z821" s="1054"/>
      <c r="AA821" s="1054"/>
      <c r="AB821" s="1054"/>
    </row>
    <row r="822">
      <c r="A822" s="1054"/>
      <c r="B822" s="1061"/>
      <c r="C822" s="1061"/>
      <c r="D822" s="1061"/>
      <c r="E822" s="1061"/>
      <c r="F822" s="1061"/>
      <c r="G822" s="1061"/>
      <c r="H822" s="1063"/>
      <c r="I822" s="1054"/>
      <c r="J822" s="1054"/>
      <c r="K822" s="1054"/>
      <c r="L822" s="1054"/>
      <c r="M822" s="1054"/>
      <c r="N822" s="1054"/>
      <c r="O822" s="1054"/>
      <c r="P822" s="1054"/>
      <c r="Q822" s="1054"/>
      <c r="R822" s="1054"/>
      <c r="S822" s="1054"/>
      <c r="T822" s="1054"/>
      <c r="U822" s="1054"/>
      <c r="V822" s="1054"/>
      <c r="W822" s="1054"/>
      <c r="X822" s="1054"/>
      <c r="Y822" s="1054"/>
      <c r="Z822" s="1054"/>
      <c r="AA822" s="1054"/>
      <c r="AB822" s="1054"/>
    </row>
    <row r="823">
      <c r="A823" s="1054"/>
      <c r="B823" s="1061"/>
      <c r="C823" s="1061"/>
      <c r="D823" s="1061"/>
      <c r="E823" s="1061"/>
      <c r="F823" s="1061"/>
      <c r="G823" s="1061"/>
      <c r="H823" s="1063"/>
      <c r="I823" s="1054"/>
      <c r="J823" s="1054"/>
      <c r="K823" s="1054"/>
      <c r="L823" s="1054"/>
      <c r="M823" s="1054"/>
      <c r="N823" s="1054"/>
      <c r="O823" s="1054"/>
      <c r="P823" s="1054"/>
      <c r="Q823" s="1054"/>
      <c r="R823" s="1054"/>
      <c r="S823" s="1054"/>
      <c r="T823" s="1054"/>
      <c r="U823" s="1054"/>
      <c r="V823" s="1054"/>
      <c r="W823" s="1054"/>
      <c r="X823" s="1054"/>
      <c r="Y823" s="1054"/>
      <c r="Z823" s="1054"/>
      <c r="AA823" s="1054"/>
      <c r="AB823" s="1054"/>
    </row>
    <row r="824">
      <c r="A824" s="1054"/>
      <c r="B824" s="1061"/>
      <c r="C824" s="1061"/>
      <c r="D824" s="1061"/>
      <c r="E824" s="1061"/>
      <c r="F824" s="1061"/>
      <c r="G824" s="1061"/>
      <c r="H824" s="1063"/>
      <c r="I824" s="1054"/>
      <c r="J824" s="1054"/>
      <c r="K824" s="1054"/>
      <c r="L824" s="1054"/>
      <c r="M824" s="1054"/>
      <c r="N824" s="1054"/>
      <c r="O824" s="1054"/>
      <c r="P824" s="1054"/>
      <c r="Q824" s="1054"/>
      <c r="R824" s="1054"/>
      <c r="S824" s="1054"/>
      <c r="T824" s="1054"/>
      <c r="U824" s="1054"/>
      <c r="V824" s="1054"/>
      <c r="W824" s="1054"/>
      <c r="X824" s="1054"/>
      <c r="Y824" s="1054"/>
      <c r="Z824" s="1054"/>
      <c r="AA824" s="1054"/>
      <c r="AB824" s="1054"/>
    </row>
    <row r="825">
      <c r="A825" s="1054"/>
      <c r="B825" s="1061"/>
      <c r="C825" s="1061"/>
      <c r="D825" s="1061"/>
      <c r="E825" s="1061"/>
      <c r="F825" s="1061"/>
      <c r="G825" s="1061"/>
      <c r="H825" s="1063"/>
      <c r="I825" s="1054"/>
      <c r="J825" s="1054"/>
      <c r="K825" s="1054"/>
      <c r="L825" s="1054"/>
      <c r="M825" s="1054"/>
      <c r="N825" s="1054"/>
      <c r="O825" s="1054"/>
      <c r="P825" s="1054"/>
      <c r="Q825" s="1054"/>
      <c r="R825" s="1054"/>
      <c r="S825" s="1054"/>
      <c r="T825" s="1054"/>
      <c r="U825" s="1054"/>
      <c r="V825" s="1054"/>
      <c r="W825" s="1054"/>
      <c r="X825" s="1054"/>
      <c r="Y825" s="1054"/>
      <c r="Z825" s="1054"/>
      <c r="AA825" s="1054"/>
      <c r="AB825" s="1054"/>
    </row>
    <row r="826">
      <c r="A826" s="1054"/>
      <c r="B826" s="1061"/>
      <c r="C826" s="1061"/>
      <c r="D826" s="1061"/>
      <c r="E826" s="1061"/>
      <c r="F826" s="1061"/>
      <c r="G826" s="1061"/>
      <c r="H826" s="1063"/>
      <c r="I826" s="1054"/>
      <c r="J826" s="1054"/>
      <c r="K826" s="1054"/>
      <c r="L826" s="1054"/>
      <c r="M826" s="1054"/>
      <c r="N826" s="1054"/>
      <c r="O826" s="1054"/>
      <c r="P826" s="1054"/>
      <c r="Q826" s="1054"/>
      <c r="R826" s="1054"/>
      <c r="S826" s="1054"/>
      <c r="T826" s="1054"/>
      <c r="U826" s="1054"/>
      <c r="V826" s="1054"/>
      <c r="W826" s="1054"/>
      <c r="X826" s="1054"/>
      <c r="Y826" s="1054"/>
      <c r="Z826" s="1054"/>
      <c r="AA826" s="1054"/>
      <c r="AB826" s="1054"/>
    </row>
    <row r="827">
      <c r="A827" s="1054"/>
      <c r="B827" s="1061"/>
      <c r="C827" s="1061"/>
      <c r="D827" s="1061"/>
      <c r="E827" s="1061"/>
      <c r="F827" s="1061"/>
      <c r="G827" s="1061"/>
      <c r="H827" s="1063"/>
      <c r="I827" s="1054"/>
      <c r="J827" s="1054"/>
      <c r="K827" s="1054"/>
      <c r="L827" s="1054"/>
      <c r="M827" s="1054"/>
      <c r="N827" s="1054"/>
      <c r="O827" s="1054"/>
      <c r="P827" s="1054"/>
      <c r="Q827" s="1054"/>
      <c r="R827" s="1054"/>
      <c r="S827" s="1054"/>
      <c r="T827" s="1054"/>
      <c r="U827" s="1054"/>
      <c r="V827" s="1054"/>
      <c r="W827" s="1054"/>
      <c r="X827" s="1054"/>
      <c r="Y827" s="1054"/>
      <c r="Z827" s="1054"/>
      <c r="AA827" s="1054"/>
      <c r="AB827" s="1054"/>
    </row>
    <row r="828">
      <c r="A828" s="1054"/>
      <c r="B828" s="1061"/>
      <c r="C828" s="1061"/>
      <c r="D828" s="1061"/>
      <c r="E828" s="1061"/>
      <c r="F828" s="1061"/>
      <c r="G828" s="1061"/>
      <c r="H828" s="1063"/>
      <c r="I828" s="1054"/>
      <c r="J828" s="1054"/>
      <c r="K828" s="1054"/>
      <c r="L828" s="1054"/>
      <c r="M828" s="1054"/>
      <c r="N828" s="1054"/>
      <c r="O828" s="1054"/>
      <c r="P828" s="1054"/>
      <c r="Q828" s="1054"/>
      <c r="R828" s="1054"/>
      <c r="S828" s="1054"/>
      <c r="T828" s="1054"/>
      <c r="U828" s="1054"/>
      <c r="V828" s="1054"/>
      <c r="W828" s="1054"/>
      <c r="X828" s="1054"/>
      <c r="Y828" s="1054"/>
      <c r="Z828" s="1054"/>
      <c r="AA828" s="1054"/>
      <c r="AB828" s="1054"/>
    </row>
    <row r="829">
      <c r="A829" s="1054"/>
      <c r="B829" s="1061"/>
      <c r="C829" s="1061"/>
      <c r="D829" s="1061"/>
      <c r="E829" s="1061"/>
      <c r="F829" s="1061"/>
      <c r="G829" s="1061"/>
      <c r="H829" s="1063"/>
      <c r="I829" s="1054"/>
      <c r="J829" s="1054"/>
      <c r="K829" s="1054"/>
      <c r="L829" s="1054"/>
      <c r="M829" s="1054"/>
      <c r="N829" s="1054"/>
      <c r="O829" s="1054"/>
      <c r="P829" s="1054"/>
      <c r="Q829" s="1054"/>
      <c r="R829" s="1054"/>
      <c r="S829" s="1054"/>
      <c r="T829" s="1054"/>
      <c r="U829" s="1054"/>
      <c r="V829" s="1054"/>
      <c r="W829" s="1054"/>
      <c r="X829" s="1054"/>
      <c r="Y829" s="1054"/>
      <c r="Z829" s="1054"/>
      <c r="AA829" s="1054"/>
      <c r="AB829" s="1054"/>
    </row>
    <row r="830">
      <c r="A830" s="1054"/>
      <c r="B830" s="1061"/>
      <c r="C830" s="1061"/>
      <c r="D830" s="1061"/>
      <c r="E830" s="1061"/>
      <c r="F830" s="1061"/>
      <c r="G830" s="1061"/>
      <c r="H830" s="1063"/>
      <c r="I830" s="1054"/>
      <c r="J830" s="1054"/>
      <c r="K830" s="1054"/>
      <c r="L830" s="1054"/>
      <c r="M830" s="1054"/>
      <c r="N830" s="1054"/>
      <c r="O830" s="1054"/>
      <c r="P830" s="1054"/>
      <c r="Q830" s="1054"/>
      <c r="R830" s="1054"/>
      <c r="S830" s="1054"/>
      <c r="T830" s="1054"/>
      <c r="U830" s="1054"/>
      <c r="V830" s="1054"/>
      <c r="W830" s="1054"/>
      <c r="X830" s="1054"/>
      <c r="Y830" s="1054"/>
      <c r="Z830" s="1054"/>
      <c r="AA830" s="1054"/>
      <c r="AB830" s="1054"/>
    </row>
    <row r="831">
      <c r="A831" s="1054"/>
      <c r="B831" s="1061"/>
      <c r="C831" s="1061"/>
      <c r="D831" s="1061"/>
      <c r="E831" s="1061"/>
      <c r="F831" s="1061"/>
      <c r="G831" s="1061"/>
      <c r="H831" s="1063"/>
      <c r="I831" s="1054"/>
      <c r="J831" s="1054"/>
      <c r="K831" s="1054"/>
      <c r="L831" s="1054"/>
      <c r="M831" s="1054"/>
      <c r="N831" s="1054"/>
      <c r="O831" s="1054"/>
      <c r="P831" s="1054"/>
      <c r="Q831" s="1054"/>
      <c r="R831" s="1054"/>
      <c r="S831" s="1054"/>
      <c r="T831" s="1054"/>
      <c r="U831" s="1054"/>
      <c r="V831" s="1054"/>
      <c r="W831" s="1054"/>
      <c r="X831" s="1054"/>
      <c r="Y831" s="1054"/>
      <c r="Z831" s="1054"/>
      <c r="AA831" s="1054"/>
      <c r="AB831" s="1054"/>
    </row>
    <row r="832">
      <c r="A832" s="1054"/>
      <c r="B832" s="1061"/>
      <c r="C832" s="1061"/>
      <c r="D832" s="1061"/>
      <c r="E832" s="1061"/>
      <c r="F832" s="1061"/>
      <c r="G832" s="1061"/>
      <c r="H832" s="1063"/>
      <c r="I832" s="1054"/>
      <c r="J832" s="1054"/>
      <c r="K832" s="1054"/>
      <c r="L832" s="1054"/>
      <c r="M832" s="1054"/>
      <c r="N832" s="1054"/>
      <c r="O832" s="1054"/>
      <c r="P832" s="1054"/>
      <c r="Q832" s="1054"/>
      <c r="R832" s="1054"/>
      <c r="S832" s="1054"/>
      <c r="T832" s="1054"/>
      <c r="U832" s="1054"/>
      <c r="V832" s="1054"/>
      <c r="W832" s="1054"/>
      <c r="X832" s="1054"/>
      <c r="Y832" s="1054"/>
      <c r="Z832" s="1054"/>
      <c r="AA832" s="1054"/>
      <c r="AB832" s="1054"/>
    </row>
    <row r="833">
      <c r="A833" s="1054"/>
      <c r="B833" s="1061"/>
      <c r="C833" s="1061"/>
      <c r="D833" s="1061"/>
      <c r="E833" s="1061"/>
      <c r="F833" s="1061"/>
      <c r="G833" s="1061"/>
      <c r="H833" s="1063"/>
      <c r="I833" s="1054"/>
      <c r="J833" s="1054"/>
      <c r="K833" s="1054"/>
      <c r="L833" s="1054"/>
      <c r="M833" s="1054"/>
      <c r="N833" s="1054"/>
      <c r="O833" s="1054"/>
      <c r="P833" s="1054"/>
      <c r="Q833" s="1054"/>
      <c r="R833" s="1054"/>
      <c r="S833" s="1054"/>
      <c r="T833" s="1054"/>
      <c r="U833" s="1054"/>
      <c r="V833" s="1054"/>
      <c r="W833" s="1054"/>
      <c r="X833" s="1054"/>
      <c r="Y833" s="1054"/>
      <c r="Z833" s="1054"/>
      <c r="AA833" s="1054"/>
      <c r="AB833" s="1054"/>
    </row>
    <row r="834">
      <c r="A834" s="1054"/>
      <c r="B834" s="1061"/>
      <c r="C834" s="1061"/>
      <c r="D834" s="1061"/>
      <c r="E834" s="1061"/>
      <c r="F834" s="1061"/>
      <c r="G834" s="1061"/>
      <c r="H834" s="1063"/>
      <c r="I834" s="1054"/>
      <c r="J834" s="1054"/>
      <c r="K834" s="1054"/>
      <c r="L834" s="1054"/>
      <c r="M834" s="1054"/>
      <c r="N834" s="1054"/>
      <c r="O834" s="1054"/>
      <c r="P834" s="1054"/>
      <c r="Q834" s="1054"/>
      <c r="R834" s="1054"/>
      <c r="S834" s="1054"/>
      <c r="T834" s="1054"/>
      <c r="U834" s="1054"/>
      <c r="V834" s="1054"/>
      <c r="W834" s="1054"/>
      <c r="X834" s="1054"/>
      <c r="Y834" s="1054"/>
      <c r="Z834" s="1054"/>
      <c r="AA834" s="1054"/>
      <c r="AB834" s="1054"/>
    </row>
    <row r="835">
      <c r="A835" s="1054"/>
      <c r="B835" s="1061"/>
      <c r="C835" s="1061"/>
      <c r="D835" s="1061"/>
      <c r="E835" s="1061"/>
      <c r="F835" s="1061"/>
      <c r="G835" s="1061"/>
      <c r="H835" s="1063"/>
      <c r="I835" s="1054"/>
      <c r="J835" s="1054"/>
      <c r="K835" s="1054"/>
      <c r="L835" s="1054"/>
      <c r="M835" s="1054"/>
      <c r="N835" s="1054"/>
      <c r="O835" s="1054"/>
      <c r="P835" s="1054"/>
      <c r="Q835" s="1054"/>
      <c r="R835" s="1054"/>
      <c r="S835" s="1054"/>
      <c r="T835" s="1054"/>
      <c r="U835" s="1054"/>
      <c r="V835" s="1054"/>
      <c r="W835" s="1054"/>
      <c r="X835" s="1054"/>
      <c r="Y835" s="1054"/>
      <c r="Z835" s="1054"/>
      <c r="AA835" s="1054"/>
      <c r="AB835" s="1054"/>
    </row>
    <row r="836">
      <c r="A836" s="1054"/>
      <c r="B836" s="1061"/>
      <c r="C836" s="1061"/>
      <c r="D836" s="1061"/>
      <c r="E836" s="1061"/>
      <c r="F836" s="1061"/>
      <c r="G836" s="1061"/>
      <c r="H836" s="1063"/>
      <c r="I836" s="1054"/>
      <c r="J836" s="1054"/>
      <c r="K836" s="1054"/>
      <c r="L836" s="1054"/>
      <c r="M836" s="1054"/>
      <c r="N836" s="1054"/>
      <c r="O836" s="1054"/>
      <c r="P836" s="1054"/>
      <c r="Q836" s="1054"/>
      <c r="R836" s="1054"/>
      <c r="S836" s="1054"/>
      <c r="T836" s="1054"/>
      <c r="U836" s="1054"/>
      <c r="V836" s="1054"/>
      <c r="W836" s="1054"/>
      <c r="X836" s="1054"/>
      <c r="Y836" s="1054"/>
      <c r="Z836" s="1054"/>
      <c r="AA836" s="1054"/>
      <c r="AB836" s="1054"/>
    </row>
    <row r="837">
      <c r="A837" s="1054"/>
      <c r="B837" s="1061"/>
      <c r="C837" s="1061"/>
      <c r="D837" s="1061"/>
      <c r="E837" s="1061"/>
      <c r="F837" s="1061"/>
      <c r="G837" s="1061"/>
      <c r="H837" s="1063"/>
      <c r="I837" s="1054"/>
      <c r="J837" s="1054"/>
      <c r="K837" s="1054"/>
      <c r="L837" s="1054"/>
      <c r="M837" s="1054"/>
      <c r="N837" s="1054"/>
      <c r="O837" s="1054"/>
      <c r="P837" s="1054"/>
      <c r="Q837" s="1054"/>
      <c r="R837" s="1054"/>
      <c r="S837" s="1054"/>
      <c r="T837" s="1054"/>
      <c r="U837" s="1054"/>
      <c r="V837" s="1054"/>
      <c r="W837" s="1054"/>
      <c r="X837" s="1054"/>
      <c r="Y837" s="1054"/>
      <c r="Z837" s="1054"/>
      <c r="AA837" s="1054"/>
      <c r="AB837" s="1054"/>
    </row>
    <row r="838">
      <c r="A838" s="1054"/>
      <c r="B838" s="1061"/>
      <c r="C838" s="1061"/>
      <c r="D838" s="1061"/>
      <c r="E838" s="1061"/>
      <c r="F838" s="1061"/>
      <c r="G838" s="1061"/>
      <c r="H838" s="1063"/>
      <c r="I838" s="1054"/>
      <c r="J838" s="1054"/>
      <c r="K838" s="1054"/>
      <c r="L838" s="1054"/>
      <c r="M838" s="1054"/>
      <c r="N838" s="1054"/>
      <c r="O838" s="1054"/>
      <c r="P838" s="1054"/>
      <c r="Q838" s="1054"/>
      <c r="R838" s="1054"/>
      <c r="S838" s="1054"/>
      <c r="T838" s="1054"/>
      <c r="U838" s="1054"/>
      <c r="V838" s="1054"/>
      <c r="W838" s="1054"/>
      <c r="X838" s="1054"/>
      <c r="Y838" s="1054"/>
      <c r="Z838" s="1054"/>
      <c r="AA838" s="1054"/>
      <c r="AB838" s="1054"/>
    </row>
    <row r="839">
      <c r="A839" s="1054"/>
      <c r="B839" s="1061"/>
      <c r="C839" s="1061"/>
      <c r="D839" s="1061"/>
      <c r="E839" s="1061"/>
      <c r="F839" s="1061"/>
      <c r="G839" s="1061"/>
      <c r="H839" s="1063"/>
      <c r="I839" s="1054"/>
      <c r="J839" s="1054"/>
      <c r="K839" s="1054"/>
      <c r="L839" s="1054"/>
      <c r="M839" s="1054"/>
      <c r="N839" s="1054"/>
      <c r="O839" s="1054"/>
      <c r="P839" s="1054"/>
      <c r="Q839" s="1054"/>
      <c r="R839" s="1054"/>
      <c r="S839" s="1054"/>
      <c r="T839" s="1054"/>
      <c r="U839" s="1054"/>
      <c r="V839" s="1054"/>
      <c r="W839" s="1054"/>
      <c r="X839" s="1054"/>
      <c r="Y839" s="1054"/>
      <c r="Z839" s="1054"/>
      <c r="AA839" s="1054"/>
      <c r="AB839" s="1054"/>
    </row>
    <row r="840">
      <c r="A840" s="1054"/>
      <c r="B840" s="1061"/>
      <c r="C840" s="1061"/>
      <c r="D840" s="1061"/>
      <c r="E840" s="1061"/>
      <c r="F840" s="1061"/>
      <c r="G840" s="1061"/>
      <c r="H840" s="1063"/>
      <c r="I840" s="1054"/>
      <c r="J840" s="1054"/>
      <c r="K840" s="1054"/>
      <c r="L840" s="1054"/>
      <c r="M840" s="1054"/>
      <c r="N840" s="1054"/>
      <c r="O840" s="1054"/>
      <c r="P840" s="1054"/>
      <c r="Q840" s="1054"/>
      <c r="R840" s="1054"/>
      <c r="S840" s="1054"/>
      <c r="T840" s="1054"/>
      <c r="U840" s="1054"/>
      <c r="V840" s="1054"/>
      <c r="W840" s="1054"/>
      <c r="X840" s="1054"/>
      <c r="Y840" s="1054"/>
      <c r="Z840" s="1054"/>
      <c r="AA840" s="1054"/>
      <c r="AB840" s="1054"/>
    </row>
    <row r="841">
      <c r="A841" s="1054"/>
      <c r="B841" s="1061"/>
      <c r="C841" s="1061"/>
      <c r="D841" s="1061"/>
      <c r="E841" s="1061"/>
      <c r="F841" s="1061"/>
      <c r="G841" s="1061"/>
      <c r="H841" s="1063"/>
      <c r="I841" s="1054"/>
      <c r="J841" s="1054"/>
      <c r="K841" s="1054"/>
      <c r="L841" s="1054"/>
      <c r="M841" s="1054"/>
      <c r="N841" s="1054"/>
      <c r="O841" s="1054"/>
      <c r="P841" s="1054"/>
      <c r="Q841" s="1054"/>
      <c r="R841" s="1054"/>
      <c r="S841" s="1054"/>
      <c r="T841" s="1054"/>
      <c r="U841" s="1054"/>
      <c r="V841" s="1054"/>
      <c r="W841" s="1054"/>
      <c r="X841" s="1054"/>
      <c r="Y841" s="1054"/>
      <c r="Z841" s="1054"/>
      <c r="AA841" s="1054"/>
      <c r="AB841" s="1054"/>
    </row>
    <row r="842">
      <c r="A842" s="1054"/>
      <c r="B842" s="1061"/>
      <c r="C842" s="1061"/>
      <c r="D842" s="1061"/>
      <c r="E842" s="1061"/>
      <c r="F842" s="1061"/>
      <c r="G842" s="1061"/>
      <c r="H842" s="1063"/>
      <c r="I842" s="1054"/>
      <c r="J842" s="1054"/>
      <c r="K842" s="1054"/>
      <c r="L842" s="1054"/>
      <c r="M842" s="1054"/>
      <c r="N842" s="1054"/>
      <c r="O842" s="1054"/>
      <c r="P842" s="1054"/>
      <c r="Q842" s="1054"/>
      <c r="R842" s="1054"/>
      <c r="S842" s="1054"/>
      <c r="T842" s="1054"/>
      <c r="U842" s="1054"/>
      <c r="V842" s="1054"/>
      <c r="W842" s="1054"/>
      <c r="X842" s="1054"/>
      <c r="Y842" s="1054"/>
      <c r="Z842" s="1054"/>
      <c r="AA842" s="1054"/>
      <c r="AB842" s="1054"/>
    </row>
    <row r="843">
      <c r="A843" s="1054"/>
      <c r="B843" s="1061"/>
      <c r="C843" s="1061"/>
      <c r="D843" s="1061"/>
      <c r="E843" s="1061"/>
      <c r="F843" s="1061"/>
      <c r="G843" s="1061"/>
      <c r="H843" s="1063"/>
      <c r="I843" s="1054"/>
      <c r="J843" s="1054"/>
      <c r="K843" s="1054"/>
      <c r="L843" s="1054"/>
      <c r="M843" s="1054"/>
      <c r="N843" s="1054"/>
      <c r="O843" s="1054"/>
      <c r="P843" s="1054"/>
      <c r="Q843" s="1054"/>
      <c r="R843" s="1054"/>
      <c r="S843" s="1054"/>
      <c r="T843" s="1054"/>
      <c r="U843" s="1054"/>
      <c r="V843" s="1054"/>
      <c r="W843" s="1054"/>
      <c r="X843" s="1054"/>
      <c r="Y843" s="1054"/>
      <c r="Z843" s="1054"/>
      <c r="AA843" s="1054"/>
      <c r="AB843" s="1054"/>
    </row>
    <row r="844">
      <c r="A844" s="1054"/>
      <c r="B844" s="1061"/>
      <c r="C844" s="1061"/>
      <c r="D844" s="1061"/>
      <c r="E844" s="1061"/>
      <c r="F844" s="1061"/>
      <c r="G844" s="1061"/>
      <c r="H844" s="1063"/>
      <c r="I844" s="1054"/>
      <c r="J844" s="1054"/>
      <c r="K844" s="1054"/>
      <c r="L844" s="1054"/>
      <c r="M844" s="1054"/>
      <c r="N844" s="1054"/>
      <c r="O844" s="1054"/>
      <c r="P844" s="1054"/>
      <c r="Q844" s="1054"/>
      <c r="R844" s="1054"/>
      <c r="S844" s="1054"/>
      <c r="T844" s="1054"/>
      <c r="U844" s="1054"/>
      <c r="V844" s="1054"/>
      <c r="W844" s="1054"/>
      <c r="X844" s="1054"/>
      <c r="Y844" s="1054"/>
      <c r="Z844" s="1054"/>
      <c r="AA844" s="1054"/>
      <c r="AB844" s="1054"/>
    </row>
    <row r="845">
      <c r="A845" s="1054"/>
      <c r="B845" s="1061"/>
      <c r="C845" s="1061"/>
      <c r="D845" s="1061"/>
      <c r="E845" s="1061"/>
      <c r="F845" s="1061"/>
      <c r="G845" s="1061"/>
      <c r="H845" s="1063"/>
      <c r="I845" s="1054"/>
      <c r="J845" s="1054"/>
      <c r="K845" s="1054"/>
      <c r="L845" s="1054"/>
      <c r="M845" s="1054"/>
      <c r="N845" s="1054"/>
      <c r="O845" s="1054"/>
      <c r="P845" s="1054"/>
      <c r="Q845" s="1054"/>
      <c r="R845" s="1054"/>
      <c r="S845" s="1054"/>
      <c r="T845" s="1054"/>
      <c r="U845" s="1054"/>
      <c r="V845" s="1054"/>
      <c r="W845" s="1054"/>
      <c r="X845" s="1054"/>
      <c r="Y845" s="1054"/>
      <c r="Z845" s="1054"/>
      <c r="AA845" s="1054"/>
      <c r="AB845" s="1054"/>
    </row>
    <row r="846">
      <c r="A846" s="1054"/>
      <c r="B846" s="1061"/>
      <c r="C846" s="1061"/>
      <c r="D846" s="1061"/>
      <c r="E846" s="1061"/>
      <c r="F846" s="1061"/>
      <c r="G846" s="1061"/>
      <c r="H846" s="1063"/>
      <c r="I846" s="1054"/>
      <c r="J846" s="1054"/>
      <c r="K846" s="1054"/>
      <c r="L846" s="1054"/>
      <c r="M846" s="1054"/>
      <c r="N846" s="1054"/>
      <c r="O846" s="1054"/>
      <c r="P846" s="1054"/>
      <c r="Q846" s="1054"/>
      <c r="R846" s="1054"/>
      <c r="S846" s="1054"/>
      <c r="T846" s="1054"/>
      <c r="U846" s="1054"/>
      <c r="V846" s="1054"/>
      <c r="W846" s="1054"/>
      <c r="X846" s="1054"/>
      <c r="Y846" s="1054"/>
      <c r="Z846" s="1054"/>
      <c r="AA846" s="1054"/>
      <c r="AB846" s="1054"/>
    </row>
    <row r="847">
      <c r="A847" s="1054"/>
      <c r="B847" s="1061"/>
      <c r="C847" s="1061"/>
      <c r="D847" s="1061"/>
      <c r="E847" s="1061"/>
      <c r="F847" s="1061"/>
      <c r="G847" s="1061"/>
      <c r="H847" s="1063"/>
      <c r="I847" s="1054"/>
      <c r="J847" s="1054"/>
      <c r="K847" s="1054"/>
      <c r="L847" s="1054"/>
      <c r="M847" s="1054"/>
      <c r="N847" s="1054"/>
      <c r="O847" s="1054"/>
      <c r="P847" s="1054"/>
      <c r="Q847" s="1054"/>
      <c r="R847" s="1054"/>
      <c r="S847" s="1054"/>
      <c r="T847" s="1054"/>
      <c r="U847" s="1054"/>
      <c r="V847" s="1054"/>
      <c r="W847" s="1054"/>
      <c r="X847" s="1054"/>
      <c r="Y847" s="1054"/>
      <c r="Z847" s="1054"/>
      <c r="AA847" s="1054"/>
      <c r="AB847" s="1054"/>
    </row>
    <row r="848">
      <c r="A848" s="1054"/>
      <c r="B848" s="1061"/>
      <c r="C848" s="1061"/>
      <c r="D848" s="1061"/>
      <c r="E848" s="1061"/>
      <c r="F848" s="1061"/>
      <c r="G848" s="1061"/>
      <c r="H848" s="1063"/>
      <c r="I848" s="1054"/>
      <c r="J848" s="1054"/>
      <c r="K848" s="1054"/>
      <c r="L848" s="1054"/>
      <c r="M848" s="1054"/>
      <c r="N848" s="1054"/>
      <c r="O848" s="1054"/>
      <c r="P848" s="1054"/>
      <c r="Q848" s="1054"/>
      <c r="R848" s="1054"/>
      <c r="S848" s="1054"/>
      <c r="T848" s="1054"/>
      <c r="U848" s="1054"/>
      <c r="V848" s="1054"/>
      <c r="W848" s="1054"/>
      <c r="X848" s="1054"/>
      <c r="Y848" s="1054"/>
      <c r="Z848" s="1054"/>
      <c r="AA848" s="1054"/>
      <c r="AB848" s="1054"/>
    </row>
    <row r="849">
      <c r="A849" s="1054"/>
      <c r="B849" s="1061"/>
      <c r="C849" s="1061"/>
      <c r="D849" s="1061"/>
      <c r="E849" s="1061"/>
      <c r="F849" s="1061"/>
      <c r="G849" s="1061"/>
      <c r="H849" s="1063"/>
      <c r="I849" s="1054"/>
      <c r="J849" s="1054"/>
      <c r="K849" s="1054"/>
      <c r="L849" s="1054"/>
      <c r="M849" s="1054"/>
      <c r="N849" s="1054"/>
      <c r="O849" s="1054"/>
      <c r="P849" s="1054"/>
      <c r="Q849" s="1054"/>
      <c r="R849" s="1054"/>
      <c r="S849" s="1054"/>
      <c r="T849" s="1054"/>
      <c r="U849" s="1054"/>
      <c r="V849" s="1054"/>
      <c r="W849" s="1054"/>
      <c r="X849" s="1054"/>
      <c r="Y849" s="1054"/>
      <c r="Z849" s="1054"/>
      <c r="AA849" s="1054"/>
      <c r="AB849" s="1054"/>
    </row>
    <row r="850">
      <c r="A850" s="1054"/>
      <c r="B850" s="1061"/>
      <c r="C850" s="1061"/>
      <c r="D850" s="1061"/>
      <c r="E850" s="1061"/>
      <c r="F850" s="1061"/>
      <c r="G850" s="1061"/>
      <c r="H850" s="1063"/>
      <c r="I850" s="1054"/>
      <c r="J850" s="1054"/>
      <c r="K850" s="1054"/>
      <c r="L850" s="1054"/>
      <c r="M850" s="1054"/>
      <c r="N850" s="1054"/>
      <c r="O850" s="1054"/>
      <c r="P850" s="1054"/>
      <c r="Q850" s="1054"/>
      <c r="R850" s="1054"/>
      <c r="S850" s="1054"/>
      <c r="T850" s="1054"/>
      <c r="U850" s="1054"/>
      <c r="V850" s="1054"/>
      <c r="W850" s="1054"/>
      <c r="X850" s="1054"/>
      <c r="Y850" s="1054"/>
      <c r="Z850" s="1054"/>
      <c r="AA850" s="1054"/>
      <c r="AB850" s="1054"/>
    </row>
    <row r="851">
      <c r="A851" s="1054"/>
      <c r="B851" s="1061"/>
      <c r="C851" s="1061"/>
      <c r="D851" s="1061"/>
      <c r="E851" s="1061"/>
      <c r="F851" s="1061"/>
      <c r="G851" s="1061"/>
      <c r="H851" s="1063"/>
      <c r="I851" s="1054"/>
      <c r="J851" s="1054"/>
      <c r="K851" s="1054"/>
      <c r="L851" s="1054"/>
      <c r="M851" s="1054"/>
      <c r="N851" s="1054"/>
      <c r="O851" s="1054"/>
      <c r="P851" s="1054"/>
      <c r="Q851" s="1054"/>
      <c r="R851" s="1054"/>
      <c r="S851" s="1054"/>
      <c r="T851" s="1054"/>
      <c r="U851" s="1054"/>
      <c r="V851" s="1054"/>
      <c r="W851" s="1054"/>
      <c r="X851" s="1054"/>
      <c r="Y851" s="1054"/>
      <c r="Z851" s="1054"/>
      <c r="AA851" s="1054"/>
      <c r="AB851" s="1054"/>
    </row>
    <row r="852">
      <c r="A852" s="1054"/>
      <c r="B852" s="1061"/>
      <c r="C852" s="1061"/>
      <c r="D852" s="1061"/>
      <c r="E852" s="1061"/>
      <c r="F852" s="1061"/>
      <c r="G852" s="1061"/>
      <c r="H852" s="1063"/>
      <c r="I852" s="1054"/>
      <c r="J852" s="1054"/>
      <c r="K852" s="1054"/>
      <c r="L852" s="1054"/>
      <c r="M852" s="1054"/>
      <c r="N852" s="1054"/>
      <c r="O852" s="1054"/>
      <c r="P852" s="1054"/>
      <c r="Q852" s="1054"/>
      <c r="R852" s="1054"/>
      <c r="S852" s="1054"/>
      <c r="T852" s="1054"/>
      <c r="U852" s="1054"/>
      <c r="V852" s="1054"/>
      <c r="W852" s="1054"/>
      <c r="X852" s="1054"/>
      <c r="Y852" s="1054"/>
      <c r="Z852" s="1054"/>
      <c r="AA852" s="1054"/>
      <c r="AB852" s="1054"/>
    </row>
    <row r="853">
      <c r="A853" s="1054"/>
      <c r="B853" s="1061"/>
      <c r="C853" s="1061"/>
      <c r="D853" s="1061"/>
      <c r="E853" s="1061"/>
      <c r="F853" s="1061"/>
      <c r="G853" s="1061"/>
      <c r="H853" s="1063"/>
      <c r="I853" s="1054"/>
      <c r="J853" s="1054"/>
      <c r="K853" s="1054"/>
      <c r="L853" s="1054"/>
      <c r="M853" s="1054"/>
      <c r="N853" s="1054"/>
      <c r="O853" s="1054"/>
      <c r="P853" s="1054"/>
      <c r="Q853" s="1054"/>
      <c r="R853" s="1054"/>
      <c r="S853" s="1054"/>
      <c r="T853" s="1054"/>
      <c r="U853" s="1054"/>
      <c r="V853" s="1054"/>
      <c r="W853" s="1054"/>
      <c r="X853" s="1054"/>
      <c r="Y853" s="1054"/>
      <c r="Z853" s="1054"/>
      <c r="AA853" s="1054"/>
      <c r="AB853" s="1054"/>
    </row>
    <row r="854">
      <c r="A854" s="1054"/>
      <c r="B854" s="1061"/>
      <c r="C854" s="1061"/>
      <c r="D854" s="1061"/>
      <c r="E854" s="1061"/>
      <c r="F854" s="1061"/>
      <c r="G854" s="1061"/>
      <c r="H854" s="1063"/>
      <c r="I854" s="1054"/>
      <c r="J854" s="1054"/>
      <c r="K854" s="1054"/>
      <c r="L854" s="1054"/>
      <c r="M854" s="1054"/>
      <c r="N854" s="1054"/>
      <c r="O854" s="1054"/>
      <c r="P854" s="1054"/>
      <c r="Q854" s="1054"/>
      <c r="R854" s="1054"/>
      <c r="S854" s="1054"/>
      <c r="T854" s="1054"/>
      <c r="U854" s="1054"/>
      <c r="V854" s="1054"/>
      <c r="W854" s="1054"/>
      <c r="X854" s="1054"/>
      <c r="Y854" s="1054"/>
      <c r="Z854" s="1054"/>
      <c r="AA854" s="1054"/>
      <c r="AB854" s="1054"/>
    </row>
    <row r="855">
      <c r="A855" s="1054"/>
      <c r="B855" s="1061"/>
      <c r="C855" s="1061"/>
      <c r="D855" s="1061"/>
      <c r="E855" s="1061"/>
      <c r="F855" s="1061"/>
      <c r="G855" s="1061"/>
      <c r="H855" s="1063"/>
      <c r="I855" s="1054"/>
      <c r="J855" s="1054"/>
      <c r="K855" s="1054"/>
      <c r="L855" s="1054"/>
      <c r="M855" s="1054"/>
      <c r="N855" s="1054"/>
      <c r="O855" s="1054"/>
      <c r="P855" s="1054"/>
      <c r="Q855" s="1054"/>
      <c r="R855" s="1054"/>
      <c r="S855" s="1054"/>
      <c r="T855" s="1054"/>
      <c r="U855" s="1054"/>
      <c r="V855" s="1054"/>
      <c r="W855" s="1054"/>
      <c r="X855" s="1054"/>
      <c r="Y855" s="1054"/>
      <c r="Z855" s="1054"/>
      <c r="AA855" s="1054"/>
      <c r="AB855" s="1054"/>
    </row>
    <row r="856">
      <c r="A856" s="1054"/>
      <c r="B856" s="1061"/>
      <c r="C856" s="1061"/>
      <c r="D856" s="1061"/>
      <c r="E856" s="1061"/>
      <c r="F856" s="1061"/>
      <c r="G856" s="1061"/>
      <c r="H856" s="1063"/>
      <c r="I856" s="1054"/>
      <c r="J856" s="1054"/>
      <c r="K856" s="1054"/>
      <c r="L856" s="1054"/>
      <c r="M856" s="1054"/>
      <c r="N856" s="1054"/>
      <c r="O856" s="1054"/>
      <c r="P856" s="1054"/>
      <c r="Q856" s="1054"/>
      <c r="R856" s="1054"/>
      <c r="S856" s="1054"/>
      <c r="T856" s="1054"/>
      <c r="U856" s="1054"/>
      <c r="V856" s="1054"/>
      <c r="W856" s="1054"/>
      <c r="X856" s="1054"/>
      <c r="Y856" s="1054"/>
      <c r="Z856" s="1054"/>
      <c r="AA856" s="1054"/>
      <c r="AB856" s="1054"/>
    </row>
    <row r="857">
      <c r="A857" s="1054"/>
      <c r="B857" s="1061"/>
      <c r="C857" s="1061"/>
      <c r="D857" s="1061"/>
      <c r="E857" s="1061"/>
      <c r="F857" s="1061"/>
      <c r="G857" s="1061"/>
      <c r="H857" s="1063"/>
      <c r="I857" s="1054"/>
      <c r="J857" s="1054"/>
      <c r="K857" s="1054"/>
      <c r="L857" s="1054"/>
      <c r="M857" s="1054"/>
      <c r="N857" s="1054"/>
      <c r="O857" s="1054"/>
      <c r="P857" s="1054"/>
      <c r="Q857" s="1054"/>
      <c r="R857" s="1054"/>
      <c r="S857" s="1054"/>
      <c r="T857" s="1054"/>
      <c r="U857" s="1054"/>
      <c r="V857" s="1054"/>
      <c r="W857" s="1054"/>
      <c r="X857" s="1054"/>
      <c r="Y857" s="1054"/>
      <c r="Z857" s="1054"/>
      <c r="AA857" s="1054"/>
      <c r="AB857" s="1054"/>
    </row>
    <row r="858">
      <c r="A858" s="1054"/>
      <c r="B858" s="1061"/>
      <c r="C858" s="1061"/>
      <c r="D858" s="1061"/>
      <c r="E858" s="1061"/>
      <c r="F858" s="1061"/>
      <c r="G858" s="1061"/>
      <c r="H858" s="1063"/>
      <c r="I858" s="1054"/>
      <c r="J858" s="1054"/>
      <c r="K858" s="1054"/>
      <c r="L858" s="1054"/>
      <c r="M858" s="1054"/>
      <c r="N858" s="1054"/>
      <c r="O858" s="1054"/>
      <c r="P858" s="1054"/>
      <c r="Q858" s="1054"/>
      <c r="R858" s="1054"/>
      <c r="S858" s="1054"/>
      <c r="T858" s="1054"/>
      <c r="U858" s="1054"/>
      <c r="V858" s="1054"/>
      <c r="W858" s="1054"/>
      <c r="X858" s="1054"/>
      <c r="Y858" s="1054"/>
      <c r="Z858" s="1054"/>
      <c r="AA858" s="1054"/>
      <c r="AB858" s="1054"/>
    </row>
    <row r="859">
      <c r="A859" s="1054"/>
      <c r="B859" s="1061"/>
      <c r="C859" s="1061"/>
      <c r="D859" s="1061"/>
      <c r="E859" s="1061"/>
      <c r="F859" s="1061"/>
      <c r="G859" s="1061"/>
      <c r="H859" s="1063"/>
      <c r="I859" s="1054"/>
      <c r="J859" s="1054"/>
      <c r="K859" s="1054"/>
      <c r="L859" s="1054"/>
      <c r="M859" s="1054"/>
      <c r="N859" s="1054"/>
      <c r="O859" s="1054"/>
      <c r="P859" s="1054"/>
      <c r="Q859" s="1054"/>
      <c r="R859" s="1054"/>
      <c r="S859" s="1054"/>
      <c r="T859" s="1054"/>
      <c r="U859" s="1054"/>
      <c r="V859" s="1054"/>
      <c r="W859" s="1054"/>
      <c r="X859" s="1054"/>
      <c r="Y859" s="1054"/>
      <c r="Z859" s="1054"/>
      <c r="AA859" s="1054"/>
      <c r="AB859" s="1054"/>
    </row>
    <row r="860">
      <c r="A860" s="1054"/>
      <c r="B860" s="1061"/>
      <c r="C860" s="1061"/>
      <c r="D860" s="1061"/>
      <c r="E860" s="1061"/>
      <c r="F860" s="1061"/>
      <c r="G860" s="1061"/>
      <c r="H860" s="1063"/>
      <c r="I860" s="1054"/>
      <c r="J860" s="1054"/>
      <c r="K860" s="1054"/>
      <c r="L860" s="1054"/>
      <c r="M860" s="1054"/>
      <c r="N860" s="1054"/>
      <c r="O860" s="1054"/>
      <c r="P860" s="1054"/>
      <c r="Q860" s="1054"/>
      <c r="R860" s="1054"/>
      <c r="S860" s="1054"/>
      <c r="T860" s="1054"/>
      <c r="U860" s="1054"/>
      <c r="V860" s="1054"/>
      <c r="W860" s="1054"/>
      <c r="X860" s="1054"/>
      <c r="Y860" s="1054"/>
      <c r="Z860" s="1054"/>
      <c r="AA860" s="1054"/>
      <c r="AB860" s="1054"/>
    </row>
    <row r="861">
      <c r="A861" s="1054"/>
      <c r="B861" s="1061"/>
      <c r="C861" s="1061"/>
      <c r="D861" s="1061"/>
      <c r="E861" s="1061"/>
      <c r="F861" s="1061"/>
      <c r="G861" s="1061"/>
      <c r="H861" s="1063"/>
      <c r="I861" s="1054"/>
      <c r="J861" s="1054"/>
      <c r="K861" s="1054"/>
      <c r="L861" s="1054"/>
      <c r="M861" s="1054"/>
      <c r="N861" s="1054"/>
      <c r="O861" s="1054"/>
      <c r="P861" s="1054"/>
      <c r="Q861" s="1054"/>
      <c r="R861" s="1054"/>
      <c r="S861" s="1054"/>
      <c r="T861" s="1054"/>
      <c r="U861" s="1054"/>
      <c r="V861" s="1054"/>
      <c r="W861" s="1054"/>
      <c r="X861" s="1054"/>
      <c r="Y861" s="1054"/>
      <c r="Z861" s="1054"/>
      <c r="AA861" s="1054"/>
      <c r="AB861" s="1054"/>
    </row>
    <row r="862">
      <c r="A862" s="1054"/>
      <c r="B862" s="1061"/>
      <c r="C862" s="1061"/>
      <c r="D862" s="1061"/>
      <c r="E862" s="1061"/>
      <c r="F862" s="1061"/>
      <c r="G862" s="1061"/>
      <c r="H862" s="1063"/>
      <c r="I862" s="1054"/>
      <c r="J862" s="1054"/>
      <c r="K862" s="1054"/>
      <c r="L862" s="1054"/>
      <c r="M862" s="1054"/>
      <c r="N862" s="1054"/>
      <c r="O862" s="1054"/>
      <c r="P862" s="1054"/>
      <c r="Q862" s="1054"/>
      <c r="R862" s="1054"/>
      <c r="S862" s="1054"/>
      <c r="T862" s="1054"/>
      <c r="U862" s="1054"/>
      <c r="V862" s="1054"/>
      <c r="W862" s="1054"/>
      <c r="X862" s="1054"/>
      <c r="Y862" s="1054"/>
      <c r="Z862" s="1054"/>
      <c r="AA862" s="1054"/>
      <c r="AB862" s="1054"/>
    </row>
    <row r="863">
      <c r="A863" s="1054"/>
      <c r="B863" s="1061"/>
      <c r="C863" s="1061"/>
      <c r="D863" s="1061"/>
      <c r="E863" s="1061"/>
      <c r="F863" s="1061"/>
      <c r="G863" s="1061"/>
      <c r="H863" s="1063"/>
      <c r="I863" s="1054"/>
      <c r="J863" s="1054"/>
      <c r="K863" s="1054"/>
      <c r="L863" s="1054"/>
      <c r="M863" s="1054"/>
      <c r="N863" s="1054"/>
      <c r="O863" s="1054"/>
      <c r="P863" s="1054"/>
      <c r="Q863" s="1054"/>
      <c r="R863" s="1054"/>
      <c r="S863" s="1054"/>
      <c r="T863" s="1054"/>
      <c r="U863" s="1054"/>
      <c r="V863" s="1054"/>
      <c r="W863" s="1054"/>
      <c r="X863" s="1054"/>
      <c r="Y863" s="1054"/>
      <c r="Z863" s="1054"/>
      <c r="AA863" s="1054"/>
      <c r="AB863" s="1054"/>
    </row>
    <row r="864">
      <c r="A864" s="1054"/>
      <c r="B864" s="1061"/>
      <c r="C864" s="1061"/>
      <c r="D864" s="1061"/>
      <c r="E864" s="1061"/>
      <c r="F864" s="1061"/>
      <c r="G864" s="1061"/>
      <c r="H864" s="1063"/>
      <c r="I864" s="1054"/>
      <c r="J864" s="1054"/>
      <c r="K864" s="1054"/>
      <c r="L864" s="1054"/>
      <c r="M864" s="1054"/>
      <c r="N864" s="1054"/>
      <c r="O864" s="1054"/>
      <c r="P864" s="1054"/>
      <c r="Q864" s="1054"/>
      <c r="R864" s="1054"/>
      <c r="S864" s="1054"/>
      <c r="T864" s="1054"/>
      <c r="U864" s="1054"/>
      <c r="V864" s="1054"/>
      <c r="W864" s="1054"/>
      <c r="X864" s="1054"/>
      <c r="Y864" s="1054"/>
      <c r="Z864" s="1054"/>
      <c r="AA864" s="1054"/>
      <c r="AB864" s="1054"/>
    </row>
    <row r="865">
      <c r="A865" s="1054"/>
      <c r="B865" s="1061"/>
      <c r="C865" s="1061"/>
      <c r="D865" s="1061"/>
      <c r="E865" s="1061"/>
      <c r="F865" s="1061"/>
      <c r="G865" s="1061"/>
      <c r="H865" s="1063"/>
      <c r="I865" s="1054"/>
      <c r="J865" s="1054"/>
      <c r="K865" s="1054"/>
      <c r="L865" s="1054"/>
      <c r="M865" s="1054"/>
      <c r="N865" s="1054"/>
      <c r="O865" s="1054"/>
      <c r="P865" s="1054"/>
      <c r="Q865" s="1054"/>
      <c r="R865" s="1054"/>
      <c r="S865" s="1054"/>
      <c r="T865" s="1054"/>
      <c r="U865" s="1054"/>
      <c r="V865" s="1054"/>
      <c r="W865" s="1054"/>
      <c r="X865" s="1054"/>
      <c r="Y865" s="1054"/>
      <c r="Z865" s="1054"/>
      <c r="AA865" s="1054"/>
      <c r="AB865" s="1054"/>
    </row>
    <row r="866">
      <c r="A866" s="1054"/>
      <c r="B866" s="1061"/>
      <c r="C866" s="1061"/>
      <c r="D866" s="1061"/>
      <c r="E866" s="1061"/>
      <c r="F866" s="1061"/>
      <c r="G866" s="1061"/>
      <c r="H866" s="1063"/>
      <c r="I866" s="1054"/>
      <c r="J866" s="1054"/>
      <c r="K866" s="1054"/>
      <c r="L866" s="1054"/>
      <c r="M866" s="1054"/>
      <c r="N866" s="1054"/>
      <c r="O866" s="1054"/>
      <c r="P866" s="1054"/>
      <c r="Q866" s="1054"/>
      <c r="R866" s="1054"/>
      <c r="S866" s="1054"/>
      <c r="T866" s="1054"/>
      <c r="U866" s="1054"/>
      <c r="V866" s="1054"/>
      <c r="W866" s="1054"/>
      <c r="X866" s="1054"/>
      <c r="Y866" s="1054"/>
      <c r="Z866" s="1054"/>
      <c r="AA866" s="1054"/>
      <c r="AB866" s="1054"/>
    </row>
    <row r="867">
      <c r="A867" s="1054"/>
      <c r="B867" s="1061"/>
      <c r="C867" s="1061"/>
      <c r="D867" s="1061"/>
      <c r="E867" s="1061"/>
      <c r="F867" s="1061"/>
      <c r="G867" s="1061"/>
      <c r="H867" s="1063"/>
      <c r="I867" s="1054"/>
      <c r="J867" s="1054"/>
      <c r="K867" s="1054"/>
      <c r="L867" s="1054"/>
      <c r="M867" s="1054"/>
      <c r="N867" s="1054"/>
      <c r="O867" s="1054"/>
      <c r="P867" s="1054"/>
      <c r="Q867" s="1054"/>
      <c r="R867" s="1054"/>
      <c r="S867" s="1054"/>
      <c r="T867" s="1054"/>
      <c r="U867" s="1054"/>
      <c r="V867" s="1054"/>
      <c r="W867" s="1054"/>
      <c r="X867" s="1054"/>
      <c r="Y867" s="1054"/>
      <c r="Z867" s="1054"/>
      <c r="AA867" s="1054"/>
      <c r="AB867" s="1054"/>
    </row>
    <row r="868">
      <c r="A868" s="1054"/>
      <c r="B868" s="1061"/>
      <c r="C868" s="1061"/>
      <c r="D868" s="1061"/>
      <c r="E868" s="1061"/>
      <c r="F868" s="1061"/>
      <c r="G868" s="1061"/>
      <c r="H868" s="1063"/>
      <c r="I868" s="1054"/>
      <c r="J868" s="1054"/>
      <c r="K868" s="1054"/>
      <c r="L868" s="1054"/>
      <c r="M868" s="1054"/>
      <c r="N868" s="1054"/>
      <c r="O868" s="1054"/>
      <c r="P868" s="1054"/>
      <c r="Q868" s="1054"/>
      <c r="R868" s="1054"/>
      <c r="S868" s="1054"/>
      <c r="T868" s="1054"/>
      <c r="U868" s="1054"/>
      <c r="V868" s="1054"/>
      <c r="W868" s="1054"/>
      <c r="X868" s="1054"/>
      <c r="Y868" s="1054"/>
      <c r="Z868" s="1054"/>
      <c r="AA868" s="1054"/>
      <c r="AB868" s="1054"/>
    </row>
    <row r="869">
      <c r="A869" s="1054"/>
      <c r="B869" s="1061"/>
      <c r="C869" s="1061"/>
      <c r="D869" s="1061"/>
      <c r="E869" s="1061"/>
      <c r="F869" s="1061"/>
      <c r="G869" s="1061"/>
      <c r="H869" s="1063"/>
      <c r="I869" s="1054"/>
      <c r="J869" s="1054"/>
      <c r="K869" s="1054"/>
      <c r="L869" s="1054"/>
      <c r="M869" s="1054"/>
      <c r="N869" s="1054"/>
      <c r="O869" s="1054"/>
      <c r="P869" s="1054"/>
      <c r="Q869" s="1054"/>
      <c r="R869" s="1054"/>
      <c r="S869" s="1054"/>
      <c r="T869" s="1054"/>
      <c r="U869" s="1054"/>
      <c r="V869" s="1054"/>
      <c r="W869" s="1054"/>
      <c r="X869" s="1054"/>
      <c r="Y869" s="1054"/>
      <c r="Z869" s="1054"/>
      <c r="AA869" s="1054"/>
      <c r="AB869" s="1054"/>
    </row>
    <row r="870">
      <c r="A870" s="1054"/>
      <c r="B870" s="1061"/>
      <c r="C870" s="1061"/>
      <c r="D870" s="1061"/>
      <c r="E870" s="1061"/>
      <c r="F870" s="1061"/>
      <c r="G870" s="1061"/>
      <c r="H870" s="1063"/>
      <c r="I870" s="1054"/>
      <c r="J870" s="1054"/>
      <c r="K870" s="1054"/>
      <c r="L870" s="1054"/>
      <c r="M870" s="1054"/>
      <c r="N870" s="1054"/>
      <c r="O870" s="1054"/>
      <c r="P870" s="1054"/>
      <c r="Q870" s="1054"/>
      <c r="R870" s="1054"/>
      <c r="S870" s="1054"/>
      <c r="T870" s="1054"/>
      <c r="U870" s="1054"/>
      <c r="V870" s="1054"/>
      <c r="W870" s="1054"/>
      <c r="X870" s="1054"/>
      <c r="Y870" s="1054"/>
      <c r="Z870" s="1054"/>
      <c r="AA870" s="1054"/>
      <c r="AB870" s="1054"/>
    </row>
    <row r="871">
      <c r="A871" s="1054"/>
      <c r="B871" s="1061"/>
      <c r="C871" s="1061"/>
      <c r="D871" s="1061"/>
      <c r="E871" s="1061"/>
      <c r="F871" s="1061"/>
      <c r="G871" s="1061"/>
      <c r="H871" s="1063"/>
      <c r="I871" s="1054"/>
      <c r="J871" s="1054"/>
      <c r="K871" s="1054"/>
      <c r="L871" s="1054"/>
      <c r="M871" s="1054"/>
      <c r="N871" s="1054"/>
      <c r="O871" s="1054"/>
      <c r="P871" s="1054"/>
      <c r="Q871" s="1054"/>
      <c r="R871" s="1054"/>
      <c r="S871" s="1054"/>
      <c r="T871" s="1054"/>
      <c r="U871" s="1054"/>
      <c r="V871" s="1054"/>
      <c r="W871" s="1054"/>
      <c r="X871" s="1054"/>
      <c r="Y871" s="1054"/>
      <c r="Z871" s="1054"/>
      <c r="AA871" s="1054"/>
      <c r="AB871" s="1054"/>
    </row>
    <row r="872">
      <c r="A872" s="1054"/>
      <c r="B872" s="1061"/>
      <c r="C872" s="1061"/>
      <c r="D872" s="1061"/>
      <c r="E872" s="1061"/>
      <c r="F872" s="1061"/>
      <c r="G872" s="1061"/>
      <c r="H872" s="1063"/>
      <c r="I872" s="1054"/>
      <c r="J872" s="1054"/>
      <c r="K872" s="1054"/>
      <c r="L872" s="1054"/>
      <c r="M872" s="1054"/>
      <c r="N872" s="1054"/>
      <c r="O872" s="1054"/>
      <c r="P872" s="1054"/>
      <c r="Q872" s="1054"/>
      <c r="R872" s="1054"/>
      <c r="S872" s="1054"/>
      <c r="T872" s="1054"/>
      <c r="U872" s="1054"/>
      <c r="V872" s="1054"/>
      <c r="W872" s="1054"/>
      <c r="X872" s="1054"/>
      <c r="Y872" s="1054"/>
      <c r="Z872" s="1054"/>
      <c r="AA872" s="1054"/>
      <c r="AB872" s="1054"/>
    </row>
    <row r="873">
      <c r="A873" s="1054"/>
      <c r="B873" s="1061"/>
      <c r="C873" s="1061"/>
      <c r="D873" s="1061"/>
      <c r="E873" s="1061"/>
      <c r="F873" s="1061"/>
      <c r="G873" s="1061"/>
      <c r="H873" s="1063"/>
      <c r="I873" s="1054"/>
      <c r="J873" s="1054"/>
      <c r="K873" s="1054"/>
      <c r="L873" s="1054"/>
      <c r="M873" s="1054"/>
      <c r="N873" s="1054"/>
      <c r="O873" s="1054"/>
      <c r="P873" s="1054"/>
      <c r="Q873" s="1054"/>
      <c r="R873" s="1054"/>
      <c r="S873" s="1054"/>
      <c r="T873" s="1054"/>
      <c r="U873" s="1054"/>
      <c r="V873" s="1054"/>
      <c r="W873" s="1054"/>
      <c r="X873" s="1054"/>
      <c r="Y873" s="1054"/>
      <c r="Z873" s="1054"/>
      <c r="AA873" s="1054"/>
      <c r="AB873" s="1054"/>
    </row>
    <row r="874">
      <c r="A874" s="1054"/>
      <c r="B874" s="1061"/>
      <c r="C874" s="1061"/>
      <c r="D874" s="1061"/>
      <c r="E874" s="1061"/>
      <c r="F874" s="1061"/>
      <c r="G874" s="1061"/>
      <c r="H874" s="1063"/>
      <c r="I874" s="1054"/>
      <c r="J874" s="1054"/>
      <c r="K874" s="1054"/>
      <c r="L874" s="1054"/>
      <c r="M874" s="1054"/>
      <c r="N874" s="1054"/>
      <c r="O874" s="1054"/>
      <c r="P874" s="1054"/>
      <c r="Q874" s="1054"/>
      <c r="R874" s="1054"/>
      <c r="S874" s="1054"/>
      <c r="T874" s="1054"/>
      <c r="U874" s="1054"/>
      <c r="V874" s="1054"/>
      <c r="W874" s="1054"/>
      <c r="X874" s="1054"/>
      <c r="Y874" s="1054"/>
      <c r="Z874" s="1054"/>
      <c r="AA874" s="1054"/>
      <c r="AB874" s="1054"/>
    </row>
    <row r="875">
      <c r="A875" s="1054"/>
      <c r="B875" s="1061"/>
      <c r="C875" s="1061"/>
      <c r="D875" s="1061"/>
      <c r="E875" s="1061"/>
      <c r="F875" s="1061"/>
      <c r="G875" s="1061"/>
      <c r="H875" s="1063"/>
      <c r="I875" s="1054"/>
      <c r="J875" s="1054"/>
      <c r="K875" s="1054"/>
      <c r="L875" s="1054"/>
      <c r="M875" s="1054"/>
      <c r="N875" s="1054"/>
      <c r="O875" s="1054"/>
      <c r="P875" s="1054"/>
      <c r="Q875" s="1054"/>
      <c r="R875" s="1054"/>
      <c r="S875" s="1054"/>
      <c r="T875" s="1054"/>
      <c r="U875" s="1054"/>
      <c r="V875" s="1054"/>
      <c r="W875" s="1054"/>
      <c r="X875" s="1054"/>
      <c r="Y875" s="1054"/>
      <c r="Z875" s="1054"/>
      <c r="AA875" s="1054"/>
      <c r="AB875" s="1054"/>
    </row>
    <row r="876">
      <c r="A876" s="1054"/>
      <c r="B876" s="1061"/>
      <c r="C876" s="1061"/>
      <c r="D876" s="1061"/>
      <c r="E876" s="1061"/>
      <c r="F876" s="1061"/>
      <c r="G876" s="1061"/>
      <c r="H876" s="1063"/>
      <c r="I876" s="1054"/>
      <c r="J876" s="1054"/>
      <c r="K876" s="1054"/>
      <c r="L876" s="1054"/>
      <c r="M876" s="1054"/>
      <c r="N876" s="1054"/>
      <c r="O876" s="1054"/>
      <c r="P876" s="1054"/>
      <c r="Q876" s="1054"/>
      <c r="R876" s="1054"/>
      <c r="S876" s="1054"/>
      <c r="T876" s="1054"/>
      <c r="U876" s="1054"/>
      <c r="V876" s="1054"/>
      <c r="W876" s="1054"/>
      <c r="X876" s="1054"/>
      <c r="Y876" s="1054"/>
      <c r="Z876" s="1054"/>
      <c r="AA876" s="1054"/>
      <c r="AB876" s="1054"/>
    </row>
    <row r="877">
      <c r="A877" s="1054"/>
      <c r="B877" s="1061"/>
      <c r="C877" s="1061"/>
      <c r="D877" s="1061"/>
      <c r="E877" s="1061"/>
      <c r="F877" s="1061"/>
      <c r="G877" s="1061"/>
      <c r="H877" s="1063"/>
      <c r="I877" s="1054"/>
      <c r="J877" s="1054"/>
      <c r="K877" s="1054"/>
      <c r="L877" s="1054"/>
      <c r="M877" s="1054"/>
      <c r="N877" s="1054"/>
      <c r="O877" s="1054"/>
      <c r="P877" s="1054"/>
      <c r="Q877" s="1054"/>
      <c r="R877" s="1054"/>
      <c r="S877" s="1054"/>
      <c r="T877" s="1054"/>
      <c r="U877" s="1054"/>
      <c r="V877" s="1054"/>
      <c r="W877" s="1054"/>
      <c r="X877" s="1054"/>
      <c r="Y877" s="1054"/>
      <c r="Z877" s="1054"/>
      <c r="AA877" s="1054"/>
      <c r="AB877" s="1054"/>
    </row>
    <row r="878">
      <c r="A878" s="1054"/>
      <c r="B878" s="1061"/>
      <c r="C878" s="1061"/>
      <c r="D878" s="1061"/>
      <c r="E878" s="1061"/>
      <c r="F878" s="1061"/>
      <c r="G878" s="1061"/>
      <c r="H878" s="1063"/>
      <c r="I878" s="1054"/>
      <c r="J878" s="1054"/>
      <c r="K878" s="1054"/>
      <c r="L878" s="1054"/>
      <c r="M878" s="1054"/>
      <c r="N878" s="1054"/>
      <c r="O878" s="1054"/>
      <c r="P878" s="1054"/>
      <c r="Q878" s="1054"/>
      <c r="R878" s="1054"/>
      <c r="S878" s="1054"/>
      <c r="T878" s="1054"/>
      <c r="U878" s="1054"/>
      <c r="V878" s="1054"/>
      <c r="W878" s="1054"/>
      <c r="X878" s="1054"/>
      <c r="Y878" s="1054"/>
      <c r="Z878" s="1054"/>
      <c r="AA878" s="1054"/>
      <c r="AB878" s="1054"/>
    </row>
    <row r="879">
      <c r="A879" s="1054"/>
      <c r="B879" s="1061"/>
      <c r="C879" s="1061"/>
      <c r="D879" s="1061"/>
      <c r="E879" s="1061"/>
      <c r="F879" s="1061"/>
      <c r="G879" s="1061"/>
      <c r="H879" s="1063"/>
      <c r="I879" s="1054"/>
      <c r="J879" s="1054"/>
      <c r="K879" s="1054"/>
      <c r="L879" s="1054"/>
      <c r="M879" s="1054"/>
      <c r="N879" s="1054"/>
      <c r="O879" s="1054"/>
      <c r="P879" s="1054"/>
      <c r="Q879" s="1054"/>
      <c r="R879" s="1054"/>
      <c r="S879" s="1054"/>
      <c r="T879" s="1054"/>
      <c r="U879" s="1054"/>
      <c r="V879" s="1054"/>
      <c r="W879" s="1054"/>
      <c r="X879" s="1054"/>
      <c r="Y879" s="1054"/>
      <c r="Z879" s="1054"/>
      <c r="AA879" s="1054"/>
      <c r="AB879" s="1054"/>
    </row>
    <row r="880">
      <c r="A880" s="1054"/>
      <c r="B880" s="1061"/>
      <c r="C880" s="1061"/>
      <c r="D880" s="1061"/>
      <c r="E880" s="1061"/>
      <c r="F880" s="1061"/>
      <c r="G880" s="1061"/>
      <c r="H880" s="1063"/>
      <c r="I880" s="1054"/>
      <c r="J880" s="1054"/>
      <c r="K880" s="1054"/>
      <c r="L880" s="1054"/>
      <c r="M880" s="1054"/>
      <c r="N880" s="1054"/>
      <c r="O880" s="1054"/>
      <c r="P880" s="1054"/>
      <c r="Q880" s="1054"/>
      <c r="R880" s="1054"/>
      <c r="S880" s="1054"/>
      <c r="T880" s="1054"/>
      <c r="U880" s="1054"/>
      <c r="V880" s="1054"/>
      <c r="W880" s="1054"/>
      <c r="X880" s="1054"/>
      <c r="Y880" s="1054"/>
      <c r="Z880" s="1054"/>
      <c r="AA880" s="1054"/>
      <c r="AB880" s="1054"/>
    </row>
    <row r="881">
      <c r="A881" s="1054"/>
      <c r="B881" s="1061"/>
      <c r="C881" s="1061"/>
      <c r="D881" s="1061"/>
      <c r="E881" s="1061"/>
      <c r="F881" s="1061"/>
      <c r="G881" s="1061"/>
      <c r="H881" s="1063"/>
      <c r="I881" s="1054"/>
      <c r="J881" s="1054"/>
      <c r="K881" s="1054"/>
      <c r="L881" s="1054"/>
      <c r="M881" s="1054"/>
      <c r="N881" s="1054"/>
      <c r="O881" s="1054"/>
      <c r="P881" s="1054"/>
      <c r="Q881" s="1054"/>
      <c r="R881" s="1054"/>
      <c r="S881" s="1054"/>
      <c r="T881" s="1054"/>
      <c r="U881" s="1054"/>
      <c r="V881" s="1054"/>
      <c r="W881" s="1054"/>
      <c r="X881" s="1054"/>
      <c r="Y881" s="1054"/>
      <c r="Z881" s="1054"/>
      <c r="AA881" s="1054"/>
      <c r="AB881" s="1054"/>
    </row>
    <row r="882">
      <c r="A882" s="1054"/>
      <c r="B882" s="1061"/>
      <c r="C882" s="1061"/>
      <c r="D882" s="1061"/>
      <c r="E882" s="1061"/>
      <c r="F882" s="1061"/>
      <c r="G882" s="1061"/>
      <c r="H882" s="1063"/>
      <c r="I882" s="1054"/>
      <c r="J882" s="1054"/>
      <c r="K882" s="1054"/>
      <c r="L882" s="1054"/>
      <c r="M882" s="1054"/>
      <c r="N882" s="1054"/>
      <c r="O882" s="1054"/>
      <c r="P882" s="1054"/>
      <c r="Q882" s="1054"/>
      <c r="R882" s="1054"/>
      <c r="S882" s="1054"/>
      <c r="T882" s="1054"/>
      <c r="U882" s="1054"/>
      <c r="V882" s="1054"/>
      <c r="W882" s="1054"/>
      <c r="X882" s="1054"/>
      <c r="Y882" s="1054"/>
      <c r="Z882" s="1054"/>
      <c r="AA882" s="1054"/>
      <c r="AB882" s="1054"/>
    </row>
    <row r="883">
      <c r="A883" s="1054"/>
      <c r="B883" s="1061"/>
      <c r="C883" s="1061"/>
      <c r="D883" s="1061"/>
      <c r="E883" s="1061"/>
      <c r="F883" s="1061"/>
      <c r="G883" s="1061"/>
      <c r="H883" s="1063"/>
      <c r="I883" s="1054"/>
      <c r="J883" s="1054"/>
      <c r="K883" s="1054"/>
      <c r="L883" s="1054"/>
      <c r="M883" s="1054"/>
      <c r="N883" s="1054"/>
      <c r="O883" s="1054"/>
      <c r="P883" s="1054"/>
      <c r="Q883" s="1054"/>
      <c r="R883" s="1054"/>
      <c r="S883" s="1054"/>
      <c r="T883" s="1054"/>
      <c r="U883" s="1054"/>
      <c r="V883" s="1054"/>
      <c r="W883" s="1054"/>
      <c r="X883" s="1054"/>
      <c r="Y883" s="1054"/>
      <c r="Z883" s="1054"/>
      <c r="AA883" s="1054"/>
      <c r="AB883" s="1054"/>
    </row>
    <row r="884">
      <c r="A884" s="1054"/>
      <c r="B884" s="1061"/>
      <c r="C884" s="1061"/>
      <c r="D884" s="1061"/>
      <c r="E884" s="1061"/>
      <c r="F884" s="1061"/>
      <c r="G884" s="1061"/>
      <c r="H884" s="1063"/>
      <c r="I884" s="1054"/>
      <c r="J884" s="1054"/>
      <c r="K884" s="1054"/>
      <c r="L884" s="1054"/>
      <c r="M884" s="1054"/>
      <c r="N884" s="1054"/>
      <c r="O884" s="1054"/>
      <c r="P884" s="1054"/>
      <c r="Q884" s="1054"/>
      <c r="R884" s="1054"/>
      <c r="S884" s="1054"/>
      <c r="T884" s="1054"/>
      <c r="U884" s="1054"/>
      <c r="V884" s="1054"/>
      <c r="W884" s="1054"/>
      <c r="X884" s="1054"/>
      <c r="Y884" s="1054"/>
      <c r="Z884" s="1054"/>
      <c r="AA884" s="1054"/>
      <c r="AB884" s="1054"/>
    </row>
    <row r="885">
      <c r="A885" s="1054"/>
      <c r="B885" s="1061"/>
      <c r="C885" s="1061"/>
      <c r="D885" s="1061"/>
      <c r="E885" s="1061"/>
      <c r="F885" s="1061"/>
      <c r="G885" s="1061"/>
      <c r="H885" s="1063"/>
      <c r="I885" s="1054"/>
      <c r="J885" s="1054"/>
      <c r="K885" s="1054"/>
      <c r="L885" s="1054"/>
      <c r="M885" s="1054"/>
      <c r="N885" s="1054"/>
      <c r="O885" s="1054"/>
      <c r="P885" s="1054"/>
      <c r="Q885" s="1054"/>
      <c r="R885" s="1054"/>
      <c r="S885" s="1054"/>
      <c r="T885" s="1054"/>
      <c r="U885" s="1054"/>
      <c r="V885" s="1054"/>
      <c r="W885" s="1054"/>
      <c r="X885" s="1054"/>
      <c r="Y885" s="1054"/>
      <c r="Z885" s="1054"/>
      <c r="AA885" s="1054"/>
      <c r="AB885" s="1054"/>
    </row>
    <row r="886">
      <c r="A886" s="1054"/>
      <c r="B886" s="1061"/>
      <c r="C886" s="1061"/>
      <c r="D886" s="1061"/>
      <c r="E886" s="1061"/>
      <c r="F886" s="1061"/>
      <c r="G886" s="1061"/>
      <c r="H886" s="1063"/>
      <c r="I886" s="1054"/>
      <c r="J886" s="1054"/>
      <c r="K886" s="1054"/>
      <c r="L886" s="1054"/>
      <c r="M886" s="1054"/>
      <c r="N886" s="1054"/>
      <c r="O886" s="1054"/>
      <c r="P886" s="1054"/>
      <c r="Q886" s="1054"/>
      <c r="R886" s="1054"/>
      <c r="S886" s="1054"/>
      <c r="T886" s="1054"/>
      <c r="U886" s="1054"/>
      <c r="V886" s="1054"/>
      <c r="W886" s="1054"/>
      <c r="X886" s="1054"/>
      <c r="Y886" s="1054"/>
      <c r="Z886" s="1054"/>
      <c r="AA886" s="1054"/>
      <c r="AB886" s="1054"/>
    </row>
    <row r="887">
      <c r="A887" s="1054"/>
      <c r="B887" s="1061"/>
      <c r="C887" s="1061"/>
      <c r="D887" s="1061"/>
      <c r="E887" s="1061"/>
      <c r="F887" s="1061"/>
      <c r="G887" s="1061"/>
      <c r="H887" s="1063"/>
      <c r="I887" s="1054"/>
      <c r="J887" s="1054"/>
      <c r="K887" s="1054"/>
      <c r="L887" s="1054"/>
      <c r="M887" s="1054"/>
      <c r="N887" s="1054"/>
      <c r="O887" s="1054"/>
      <c r="P887" s="1054"/>
      <c r="Q887" s="1054"/>
      <c r="R887" s="1054"/>
      <c r="S887" s="1054"/>
      <c r="T887" s="1054"/>
      <c r="U887" s="1054"/>
      <c r="V887" s="1054"/>
      <c r="W887" s="1054"/>
      <c r="X887" s="1054"/>
      <c r="Y887" s="1054"/>
      <c r="Z887" s="1054"/>
      <c r="AA887" s="1054"/>
      <c r="AB887" s="1054"/>
    </row>
    <row r="888">
      <c r="A888" s="1054"/>
      <c r="B888" s="1061"/>
      <c r="C888" s="1061"/>
      <c r="D888" s="1061"/>
      <c r="E888" s="1061"/>
      <c r="F888" s="1061"/>
      <c r="G888" s="1061"/>
      <c r="H888" s="1063"/>
      <c r="I888" s="1054"/>
      <c r="J888" s="1054"/>
      <c r="K888" s="1054"/>
      <c r="L888" s="1054"/>
      <c r="M888" s="1054"/>
      <c r="N888" s="1054"/>
      <c r="O888" s="1054"/>
      <c r="P888" s="1054"/>
      <c r="Q888" s="1054"/>
      <c r="R888" s="1054"/>
      <c r="S888" s="1054"/>
      <c r="T888" s="1054"/>
      <c r="U888" s="1054"/>
      <c r="V888" s="1054"/>
      <c r="W888" s="1054"/>
      <c r="X888" s="1054"/>
      <c r="Y888" s="1054"/>
      <c r="Z888" s="1054"/>
      <c r="AA888" s="1054"/>
      <c r="AB888" s="1054"/>
    </row>
    <row r="889">
      <c r="A889" s="1054"/>
      <c r="B889" s="1061"/>
      <c r="C889" s="1061"/>
      <c r="D889" s="1061"/>
      <c r="E889" s="1061"/>
      <c r="F889" s="1061"/>
      <c r="G889" s="1061"/>
      <c r="H889" s="1063"/>
      <c r="I889" s="1054"/>
      <c r="J889" s="1054"/>
      <c r="K889" s="1054"/>
      <c r="L889" s="1054"/>
      <c r="M889" s="1054"/>
      <c r="N889" s="1054"/>
      <c r="O889" s="1054"/>
      <c r="P889" s="1054"/>
      <c r="Q889" s="1054"/>
      <c r="R889" s="1054"/>
      <c r="S889" s="1054"/>
      <c r="T889" s="1054"/>
      <c r="U889" s="1054"/>
      <c r="V889" s="1054"/>
      <c r="W889" s="1054"/>
      <c r="X889" s="1054"/>
      <c r="Y889" s="1054"/>
      <c r="Z889" s="1054"/>
      <c r="AA889" s="1054"/>
      <c r="AB889" s="1054"/>
    </row>
    <row r="890">
      <c r="A890" s="1054"/>
      <c r="B890" s="1061"/>
      <c r="C890" s="1061"/>
      <c r="D890" s="1061"/>
      <c r="E890" s="1061"/>
      <c r="F890" s="1061"/>
      <c r="G890" s="1061"/>
      <c r="H890" s="1063"/>
      <c r="I890" s="1054"/>
      <c r="J890" s="1054"/>
      <c r="K890" s="1054"/>
      <c r="L890" s="1054"/>
      <c r="M890" s="1054"/>
      <c r="N890" s="1054"/>
      <c r="O890" s="1054"/>
      <c r="P890" s="1054"/>
      <c r="Q890" s="1054"/>
      <c r="R890" s="1054"/>
      <c r="S890" s="1054"/>
      <c r="T890" s="1054"/>
      <c r="U890" s="1054"/>
      <c r="V890" s="1054"/>
      <c r="W890" s="1054"/>
      <c r="X890" s="1054"/>
      <c r="Y890" s="1054"/>
      <c r="Z890" s="1054"/>
      <c r="AA890" s="1054"/>
      <c r="AB890" s="1054"/>
    </row>
    <row r="891">
      <c r="A891" s="1054"/>
      <c r="B891" s="1061"/>
      <c r="C891" s="1061"/>
      <c r="D891" s="1061"/>
      <c r="E891" s="1061"/>
      <c r="F891" s="1061"/>
      <c r="G891" s="1061"/>
      <c r="H891" s="1063"/>
      <c r="I891" s="1054"/>
      <c r="J891" s="1054"/>
      <c r="K891" s="1054"/>
      <c r="L891" s="1054"/>
      <c r="M891" s="1054"/>
      <c r="N891" s="1054"/>
      <c r="O891" s="1054"/>
      <c r="P891" s="1054"/>
      <c r="Q891" s="1054"/>
      <c r="R891" s="1054"/>
      <c r="S891" s="1054"/>
      <c r="T891" s="1054"/>
      <c r="U891" s="1054"/>
      <c r="V891" s="1054"/>
      <c r="W891" s="1054"/>
      <c r="X891" s="1054"/>
      <c r="Y891" s="1054"/>
      <c r="Z891" s="1054"/>
      <c r="AA891" s="1054"/>
      <c r="AB891" s="1054"/>
    </row>
    <row r="892">
      <c r="A892" s="1054"/>
      <c r="B892" s="1061"/>
      <c r="C892" s="1061"/>
      <c r="D892" s="1061"/>
      <c r="E892" s="1061"/>
      <c r="F892" s="1061"/>
      <c r="G892" s="1061"/>
      <c r="H892" s="1063"/>
      <c r="I892" s="1054"/>
      <c r="J892" s="1054"/>
      <c r="K892" s="1054"/>
      <c r="L892" s="1054"/>
      <c r="M892" s="1054"/>
      <c r="N892" s="1054"/>
      <c r="O892" s="1054"/>
      <c r="P892" s="1054"/>
      <c r="Q892" s="1054"/>
      <c r="R892" s="1054"/>
      <c r="S892" s="1054"/>
      <c r="T892" s="1054"/>
      <c r="U892" s="1054"/>
      <c r="V892" s="1054"/>
      <c r="W892" s="1054"/>
      <c r="X892" s="1054"/>
      <c r="Y892" s="1054"/>
      <c r="Z892" s="1054"/>
      <c r="AA892" s="1054"/>
      <c r="AB892" s="1054"/>
    </row>
    <row r="893">
      <c r="A893" s="1054"/>
      <c r="B893" s="1061"/>
      <c r="C893" s="1061"/>
      <c r="D893" s="1061"/>
      <c r="E893" s="1061"/>
      <c r="F893" s="1061"/>
      <c r="G893" s="1061"/>
      <c r="H893" s="1063"/>
      <c r="I893" s="1054"/>
      <c r="J893" s="1054"/>
      <c r="K893" s="1054"/>
      <c r="L893" s="1054"/>
      <c r="M893" s="1054"/>
      <c r="N893" s="1054"/>
      <c r="O893" s="1054"/>
      <c r="P893" s="1054"/>
      <c r="Q893" s="1054"/>
      <c r="R893" s="1054"/>
      <c r="S893" s="1054"/>
      <c r="T893" s="1054"/>
      <c r="U893" s="1054"/>
      <c r="V893" s="1054"/>
      <c r="W893" s="1054"/>
      <c r="X893" s="1054"/>
      <c r="Y893" s="1054"/>
      <c r="Z893" s="1054"/>
      <c r="AA893" s="1054"/>
      <c r="AB893" s="1054"/>
    </row>
    <row r="894">
      <c r="A894" s="1054"/>
      <c r="B894" s="1061"/>
      <c r="C894" s="1061"/>
      <c r="D894" s="1061"/>
      <c r="E894" s="1061"/>
      <c r="F894" s="1061"/>
      <c r="G894" s="1061"/>
      <c r="H894" s="1063"/>
      <c r="I894" s="1054"/>
      <c r="J894" s="1054"/>
      <c r="K894" s="1054"/>
      <c r="L894" s="1054"/>
      <c r="M894" s="1054"/>
      <c r="N894" s="1054"/>
      <c r="O894" s="1054"/>
      <c r="P894" s="1054"/>
      <c r="Q894" s="1054"/>
      <c r="R894" s="1054"/>
      <c r="S894" s="1054"/>
      <c r="T894" s="1054"/>
      <c r="U894" s="1054"/>
      <c r="V894" s="1054"/>
      <c r="W894" s="1054"/>
      <c r="X894" s="1054"/>
      <c r="Y894" s="1054"/>
      <c r="Z894" s="1054"/>
      <c r="AA894" s="1054"/>
      <c r="AB894" s="1054"/>
    </row>
    <row r="895">
      <c r="A895" s="1054"/>
      <c r="B895" s="1061"/>
      <c r="C895" s="1061"/>
      <c r="D895" s="1061"/>
      <c r="E895" s="1061"/>
      <c r="F895" s="1061"/>
      <c r="G895" s="1061"/>
      <c r="H895" s="1063"/>
      <c r="I895" s="1054"/>
      <c r="J895" s="1054"/>
      <c r="K895" s="1054"/>
      <c r="L895" s="1054"/>
      <c r="M895" s="1054"/>
      <c r="N895" s="1054"/>
      <c r="O895" s="1054"/>
      <c r="P895" s="1054"/>
      <c r="Q895" s="1054"/>
      <c r="R895" s="1054"/>
      <c r="S895" s="1054"/>
      <c r="T895" s="1054"/>
      <c r="U895" s="1054"/>
      <c r="V895" s="1054"/>
      <c r="W895" s="1054"/>
      <c r="X895" s="1054"/>
      <c r="Y895" s="1054"/>
      <c r="Z895" s="1054"/>
      <c r="AA895" s="1054"/>
      <c r="AB895" s="1054"/>
    </row>
    <row r="896">
      <c r="A896" s="1054"/>
      <c r="B896" s="1061"/>
      <c r="C896" s="1061"/>
      <c r="D896" s="1061"/>
      <c r="E896" s="1061"/>
      <c r="F896" s="1061"/>
      <c r="G896" s="1061"/>
      <c r="H896" s="1063"/>
      <c r="I896" s="1054"/>
      <c r="J896" s="1054"/>
      <c r="K896" s="1054"/>
      <c r="L896" s="1054"/>
      <c r="M896" s="1054"/>
      <c r="N896" s="1054"/>
      <c r="O896" s="1054"/>
      <c r="P896" s="1054"/>
      <c r="Q896" s="1054"/>
      <c r="R896" s="1054"/>
      <c r="S896" s="1054"/>
      <c r="T896" s="1054"/>
      <c r="U896" s="1054"/>
      <c r="V896" s="1054"/>
      <c r="W896" s="1054"/>
      <c r="X896" s="1054"/>
      <c r="Y896" s="1054"/>
      <c r="Z896" s="1054"/>
      <c r="AA896" s="1054"/>
      <c r="AB896" s="1054"/>
    </row>
    <row r="897">
      <c r="A897" s="1054"/>
      <c r="B897" s="1061"/>
      <c r="C897" s="1061"/>
      <c r="D897" s="1061"/>
      <c r="E897" s="1061"/>
      <c r="F897" s="1061"/>
      <c r="G897" s="1061"/>
      <c r="H897" s="1063"/>
      <c r="I897" s="1054"/>
      <c r="J897" s="1054"/>
      <c r="K897" s="1054"/>
      <c r="L897" s="1054"/>
      <c r="M897" s="1054"/>
      <c r="N897" s="1054"/>
      <c r="O897" s="1054"/>
      <c r="P897" s="1054"/>
      <c r="Q897" s="1054"/>
      <c r="R897" s="1054"/>
      <c r="S897" s="1054"/>
      <c r="T897" s="1054"/>
      <c r="U897" s="1054"/>
      <c r="V897" s="1054"/>
      <c r="W897" s="1054"/>
      <c r="X897" s="1054"/>
      <c r="Y897" s="1054"/>
      <c r="Z897" s="1054"/>
      <c r="AA897" s="1054"/>
      <c r="AB897" s="1054"/>
    </row>
    <row r="898">
      <c r="A898" s="1054"/>
      <c r="B898" s="1061"/>
      <c r="C898" s="1061"/>
      <c r="D898" s="1061"/>
      <c r="E898" s="1061"/>
      <c r="F898" s="1061"/>
      <c r="G898" s="1061"/>
      <c r="H898" s="1063"/>
      <c r="I898" s="1054"/>
      <c r="J898" s="1054"/>
      <c r="K898" s="1054"/>
      <c r="L898" s="1054"/>
      <c r="M898" s="1054"/>
      <c r="N898" s="1054"/>
      <c r="O898" s="1054"/>
      <c r="P898" s="1054"/>
      <c r="Q898" s="1054"/>
      <c r="R898" s="1054"/>
      <c r="S898" s="1054"/>
      <c r="T898" s="1054"/>
      <c r="U898" s="1054"/>
      <c r="V898" s="1054"/>
      <c r="W898" s="1054"/>
      <c r="X898" s="1054"/>
      <c r="Y898" s="1054"/>
      <c r="Z898" s="1054"/>
      <c r="AA898" s="1054"/>
      <c r="AB898" s="1054"/>
    </row>
    <row r="899">
      <c r="A899" s="1054"/>
      <c r="B899" s="1061"/>
      <c r="C899" s="1061"/>
      <c r="D899" s="1061"/>
      <c r="E899" s="1061"/>
      <c r="F899" s="1061"/>
      <c r="G899" s="1061"/>
      <c r="H899" s="1063"/>
      <c r="I899" s="1054"/>
      <c r="J899" s="1054"/>
      <c r="K899" s="1054"/>
      <c r="L899" s="1054"/>
      <c r="M899" s="1054"/>
      <c r="N899" s="1054"/>
      <c r="O899" s="1054"/>
      <c r="P899" s="1054"/>
      <c r="Q899" s="1054"/>
      <c r="R899" s="1054"/>
      <c r="S899" s="1054"/>
      <c r="T899" s="1054"/>
      <c r="U899" s="1054"/>
      <c r="V899" s="1054"/>
      <c r="W899" s="1054"/>
      <c r="X899" s="1054"/>
      <c r="Y899" s="1054"/>
      <c r="Z899" s="1054"/>
      <c r="AA899" s="1054"/>
      <c r="AB899" s="1054"/>
    </row>
    <row r="900">
      <c r="A900" s="1054"/>
      <c r="B900" s="1061"/>
      <c r="C900" s="1061"/>
      <c r="D900" s="1061"/>
      <c r="E900" s="1061"/>
      <c r="F900" s="1061"/>
      <c r="G900" s="1061"/>
      <c r="H900" s="1063"/>
      <c r="I900" s="1054"/>
      <c r="J900" s="1054"/>
      <c r="K900" s="1054"/>
      <c r="L900" s="1054"/>
      <c r="M900" s="1054"/>
      <c r="N900" s="1054"/>
      <c r="O900" s="1054"/>
      <c r="P900" s="1054"/>
      <c r="Q900" s="1054"/>
      <c r="R900" s="1054"/>
      <c r="S900" s="1054"/>
      <c r="T900" s="1054"/>
      <c r="U900" s="1054"/>
      <c r="V900" s="1054"/>
      <c r="W900" s="1054"/>
      <c r="X900" s="1054"/>
      <c r="Y900" s="1054"/>
      <c r="Z900" s="1054"/>
      <c r="AA900" s="1054"/>
      <c r="AB900" s="1054"/>
    </row>
    <row r="901">
      <c r="A901" s="1054"/>
      <c r="B901" s="1061"/>
      <c r="C901" s="1061"/>
      <c r="D901" s="1061"/>
      <c r="E901" s="1061"/>
      <c r="F901" s="1061"/>
      <c r="G901" s="1061"/>
      <c r="H901" s="1063"/>
      <c r="I901" s="1054"/>
      <c r="J901" s="1054"/>
      <c r="K901" s="1054"/>
      <c r="L901" s="1054"/>
      <c r="M901" s="1054"/>
      <c r="N901" s="1054"/>
      <c r="O901" s="1054"/>
      <c r="P901" s="1054"/>
      <c r="Q901" s="1054"/>
      <c r="R901" s="1054"/>
      <c r="S901" s="1054"/>
      <c r="T901" s="1054"/>
      <c r="U901" s="1054"/>
      <c r="V901" s="1054"/>
      <c r="W901" s="1054"/>
      <c r="X901" s="1054"/>
      <c r="Y901" s="1054"/>
      <c r="Z901" s="1054"/>
      <c r="AA901" s="1054"/>
      <c r="AB901" s="1054"/>
    </row>
    <row r="902">
      <c r="A902" s="1054"/>
      <c r="B902" s="1061"/>
      <c r="C902" s="1061"/>
      <c r="D902" s="1061"/>
      <c r="E902" s="1061"/>
      <c r="F902" s="1061"/>
      <c r="G902" s="1061"/>
      <c r="H902" s="1063"/>
      <c r="I902" s="1054"/>
      <c r="J902" s="1054"/>
      <c r="K902" s="1054"/>
      <c r="L902" s="1054"/>
      <c r="M902" s="1054"/>
      <c r="N902" s="1054"/>
      <c r="O902" s="1054"/>
      <c r="P902" s="1054"/>
      <c r="Q902" s="1054"/>
      <c r="R902" s="1054"/>
      <c r="S902" s="1054"/>
      <c r="T902" s="1054"/>
      <c r="U902" s="1054"/>
      <c r="V902" s="1054"/>
      <c r="W902" s="1054"/>
      <c r="X902" s="1054"/>
      <c r="Y902" s="1054"/>
      <c r="Z902" s="1054"/>
      <c r="AA902" s="1054"/>
      <c r="AB902" s="1054"/>
    </row>
    <row r="903">
      <c r="A903" s="1054"/>
      <c r="B903" s="1061"/>
      <c r="C903" s="1061"/>
      <c r="D903" s="1061"/>
      <c r="E903" s="1061"/>
      <c r="F903" s="1061"/>
      <c r="G903" s="1061"/>
      <c r="H903" s="1063"/>
      <c r="I903" s="1054"/>
      <c r="J903" s="1054"/>
      <c r="K903" s="1054"/>
      <c r="L903" s="1054"/>
      <c r="M903" s="1054"/>
      <c r="N903" s="1054"/>
      <c r="O903" s="1054"/>
      <c r="P903" s="1054"/>
      <c r="Q903" s="1054"/>
      <c r="R903" s="1054"/>
      <c r="S903" s="1054"/>
      <c r="T903" s="1054"/>
      <c r="U903" s="1054"/>
      <c r="V903" s="1054"/>
      <c r="W903" s="1054"/>
      <c r="X903" s="1054"/>
      <c r="Y903" s="1054"/>
      <c r="Z903" s="1054"/>
      <c r="AA903" s="1054"/>
      <c r="AB903" s="1054"/>
    </row>
    <row r="904">
      <c r="A904" s="1054"/>
      <c r="B904" s="1061"/>
      <c r="C904" s="1061"/>
      <c r="D904" s="1061"/>
      <c r="E904" s="1061"/>
      <c r="F904" s="1061"/>
      <c r="G904" s="1061"/>
      <c r="H904" s="1063"/>
      <c r="I904" s="1054"/>
      <c r="J904" s="1054"/>
      <c r="K904" s="1054"/>
      <c r="L904" s="1054"/>
      <c r="M904" s="1054"/>
      <c r="N904" s="1054"/>
      <c r="O904" s="1054"/>
      <c r="P904" s="1054"/>
      <c r="Q904" s="1054"/>
      <c r="R904" s="1054"/>
      <c r="S904" s="1054"/>
      <c r="T904" s="1054"/>
      <c r="U904" s="1054"/>
      <c r="V904" s="1054"/>
      <c r="W904" s="1054"/>
      <c r="X904" s="1054"/>
      <c r="Y904" s="1054"/>
      <c r="Z904" s="1054"/>
      <c r="AA904" s="1054"/>
      <c r="AB904" s="1054"/>
    </row>
    <row r="905">
      <c r="A905" s="1054"/>
      <c r="B905" s="1061"/>
      <c r="C905" s="1061"/>
      <c r="D905" s="1061"/>
      <c r="E905" s="1061"/>
      <c r="F905" s="1061"/>
      <c r="G905" s="1061"/>
      <c r="H905" s="1063"/>
      <c r="I905" s="1054"/>
      <c r="J905" s="1054"/>
      <c r="K905" s="1054"/>
      <c r="L905" s="1054"/>
      <c r="M905" s="1054"/>
      <c r="N905" s="1054"/>
      <c r="O905" s="1054"/>
      <c r="P905" s="1054"/>
      <c r="Q905" s="1054"/>
      <c r="R905" s="1054"/>
      <c r="S905" s="1054"/>
      <c r="T905" s="1054"/>
      <c r="U905" s="1054"/>
      <c r="V905" s="1054"/>
      <c r="W905" s="1054"/>
      <c r="X905" s="1054"/>
      <c r="Y905" s="1054"/>
      <c r="Z905" s="1054"/>
      <c r="AA905" s="1054"/>
      <c r="AB905" s="1054"/>
    </row>
    <row r="906">
      <c r="A906" s="1054"/>
      <c r="B906" s="1061"/>
      <c r="C906" s="1061"/>
      <c r="D906" s="1061"/>
      <c r="E906" s="1061"/>
      <c r="F906" s="1061"/>
      <c r="G906" s="1061"/>
      <c r="H906" s="1063"/>
      <c r="I906" s="1054"/>
      <c r="J906" s="1054"/>
      <c r="K906" s="1054"/>
      <c r="L906" s="1054"/>
      <c r="M906" s="1054"/>
      <c r="N906" s="1054"/>
      <c r="O906" s="1054"/>
      <c r="P906" s="1054"/>
      <c r="Q906" s="1054"/>
      <c r="R906" s="1054"/>
      <c r="S906" s="1054"/>
      <c r="T906" s="1054"/>
      <c r="U906" s="1054"/>
      <c r="V906" s="1054"/>
      <c r="W906" s="1054"/>
      <c r="X906" s="1054"/>
      <c r="Y906" s="1054"/>
      <c r="Z906" s="1054"/>
      <c r="AA906" s="1054"/>
      <c r="AB906" s="1054"/>
    </row>
    <row r="907">
      <c r="A907" s="1054"/>
      <c r="B907" s="1061"/>
      <c r="C907" s="1061"/>
      <c r="D907" s="1061"/>
      <c r="E907" s="1061"/>
      <c r="F907" s="1061"/>
      <c r="G907" s="1061"/>
      <c r="H907" s="1063"/>
      <c r="I907" s="1054"/>
      <c r="J907" s="1054"/>
      <c r="K907" s="1054"/>
      <c r="L907" s="1054"/>
      <c r="M907" s="1054"/>
      <c r="N907" s="1054"/>
      <c r="O907" s="1054"/>
      <c r="P907" s="1054"/>
      <c r="Q907" s="1054"/>
      <c r="R907" s="1054"/>
      <c r="S907" s="1054"/>
      <c r="T907" s="1054"/>
      <c r="U907" s="1054"/>
      <c r="V907" s="1054"/>
      <c r="W907" s="1054"/>
      <c r="X907" s="1054"/>
      <c r="Y907" s="1054"/>
      <c r="Z907" s="1054"/>
      <c r="AA907" s="1054"/>
      <c r="AB907" s="1054"/>
    </row>
    <row r="908">
      <c r="A908" s="1054"/>
      <c r="B908" s="1061"/>
      <c r="C908" s="1061"/>
      <c r="D908" s="1061"/>
      <c r="E908" s="1061"/>
      <c r="F908" s="1061"/>
      <c r="G908" s="1061"/>
      <c r="H908" s="1063"/>
      <c r="I908" s="1054"/>
      <c r="J908" s="1054"/>
      <c r="K908" s="1054"/>
      <c r="L908" s="1054"/>
      <c r="M908" s="1054"/>
      <c r="N908" s="1054"/>
      <c r="O908" s="1054"/>
      <c r="P908" s="1054"/>
      <c r="Q908" s="1054"/>
      <c r="R908" s="1054"/>
      <c r="S908" s="1054"/>
      <c r="T908" s="1054"/>
      <c r="U908" s="1054"/>
      <c r="V908" s="1054"/>
      <c r="W908" s="1054"/>
      <c r="X908" s="1054"/>
      <c r="Y908" s="1054"/>
      <c r="Z908" s="1054"/>
      <c r="AA908" s="1054"/>
      <c r="AB908" s="1054"/>
    </row>
    <row r="909">
      <c r="A909" s="1054"/>
      <c r="B909" s="1061"/>
      <c r="C909" s="1061"/>
      <c r="D909" s="1061"/>
      <c r="E909" s="1061"/>
      <c r="F909" s="1061"/>
      <c r="G909" s="1061"/>
      <c r="H909" s="1063"/>
      <c r="I909" s="1054"/>
      <c r="J909" s="1054"/>
      <c r="K909" s="1054"/>
      <c r="L909" s="1054"/>
      <c r="M909" s="1054"/>
      <c r="N909" s="1054"/>
      <c r="O909" s="1054"/>
      <c r="P909" s="1054"/>
      <c r="Q909" s="1054"/>
      <c r="R909" s="1054"/>
      <c r="S909" s="1054"/>
      <c r="T909" s="1054"/>
      <c r="U909" s="1054"/>
      <c r="V909" s="1054"/>
      <c r="W909" s="1054"/>
      <c r="X909" s="1054"/>
      <c r="Y909" s="1054"/>
      <c r="Z909" s="1054"/>
      <c r="AA909" s="1054"/>
      <c r="AB909" s="1054"/>
    </row>
    <row r="910">
      <c r="A910" s="1054"/>
      <c r="B910" s="1061"/>
      <c r="C910" s="1061"/>
      <c r="D910" s="1061"/>
      <c r="E910" s="1061"/>
      <c r="F910" s="1061"/>
      <c r="G910" s="1061"/>
      <c r="H910" s="1063"/>
      <c r="I910" s="1054"/>
      <c r="J910" s="1054"/>
      <c r="K910" s="1054"/>
      <c r="L910" s="1054"/>
      <c r="M910" s="1054"/>
      <c r="N910" s="1054"/>
      <c r="O910" s="1054"/>
      <c r="P910" s="1054"/>
      <c r="Q910" s="1054"/>
      <c r="R910" s="1054"/>
      <c r="S910" s="1054"/>
      <c r="T910" s="1054"/>
      <c r="U910" s="1054"/>
      <c r="V910" s="1054"/>
      <c r="W910" s="1054"/>
      <c r="X910" s="1054"/>
      <c r="Y910" s="1054"/>
      <c r="Z910" s="1054"/>
      <c r="AA910" s="1054"/>
      <c r="AB910" s="1054"/>
    </row>
    <row r="911">
      <c r="A911" s="1054"/>
      <c r="B911" s="1061"/>
      <c r="C911" s="1061"/>
      <c r="D911" s="1061"/>
      <c r="E911" s="1061"/>
      <c r="F911" s="1061"/>
      <c r="G911" s="1061"/>
      <c r="H911" s="1063"/>
      <c r="I911" s="1054"/>
      <c r="J911" s="1054"/>
      <c r="K911" s="1054"/>
      <c r="L911" s="1054"/>
      <c r="M911" s="1054"/>
      <c r="N911" s="1054"/>
      <c r="O911" s="1054"/>
      <c r="P911" s="1054"/>
      <c r="Q911" s="1054"/>
      <c r="R911" s="1054"/>
      <c r="S911" s="1054"/>
      <c r="T911" s="1054"/>
      <c r="U911" s="1054"/>
      <c r="V911" s="1054"/>
      <c r="W911" s="1054"/>
      <c r="X911" s="1054"/>
      <c r="Y911" s="1054"/>
      <c r="Z911" s="1054"/>
      <c r="AA911" s="1054"/>
      <c r="AB911" s="1054"/>
    </row>
    <row r="912">
      <c r="A912" s="1054"/>
      <c r="B912" s="1061"/>
      <c r="C912" s="1061"/>
      <c r="D912" s="1061"/>
      <c r="E912" s="1061"/>
      <c r="F912" s="1061"/>
      <c r="G912" s="1061"/>
      <c r="H912" s="1063"/>
      <c r="I912" s="1054"/>
      <c r="J912" s="1054"/>
      <c r="K912" s="1054"/>
      <c r="L912" s="1054"/>
      <c r="M912" s="1054"/>
      <c r="N912" s="1054"/>
      <c r="O912" s="1054"/>
      <c r="P912" s="1054"/>
      <c r="Q912" s="1054"/>
      <c r="R912" s="1054"/>
      <c r="S912" s="1054"/>
      <c r="T912" s="1054"/>
      <c r="U912" s="1054"/>
      <c r="V912" s="1054"/>
      <c r="W912" s="1054"/>
      <c r="X912" s="1054"/>
      <c r="Y912" s="1054"/>
      <c r="Z912" s="1054"/>
      <c r="AA912" s="1054"/>
      <c r="AB912" s="1054"/>
    </row>
    <row r="913">
      <c r="A913" s="1054"/>
      <c r="B913" s="1061"/>
      <c r="C913" s="1061"/>
      <c r="D913" s="1061"/>
      <c r="E913" s="1061"/>
      <c r="F913" s="1061"/>
      <c r="G913" s="1061"/>
      <c r="H913" s="1063"/>
      <c r="I913" s="1054"/>
      <c r="J913" s="1054"/>
      <c r="K913" s="1054"/>
      <c r="L913" s="1054"/>
      <c r="M913" s="1054"/>
      <c r="N913" s="1054"/>
      <c r="O913" s="1054"/>
      <c r="P913" s="1054"/>
      <c r="Q913" s="1054"/>
      <c r="R913" s="1054"/>
      <c r="S913" s="1054"/>
      <c r="T913" s="1054"/>
      <c r="U913" s="1054"/>
      <c r="V913" s="1054"/>
      <c r="W913" s="1054"/>
      <c r="X913" s="1054"/>
      <c r="Y913" s="1054"/>
      <c r="Z913" s="1054"/>
      <c r="AA913" s="1054"/>
      <c r="AB913" s="1054"/>
    </row>
    <row r="914">
      <c r="A914" s="1054"/>
      <c r="B914" s="1061"/>
      <c r="C914" s="1061"/>
      <c r="D914" s="1061"/>
      <c r="E914" s="1061"/>
      <c r="F914" s="1061"/>
      <c r="G914" s="1061"/>
      <c r="H914" s="1063"/>
      <c r="I914" s="1054"/>
      <c r="J914" s="1054"/>
      <c r="K914" s="1054"/>
      <c r="L914" s="1054"/>
      <c r="M914" s="1054"/>
      <c r="N914" s="1054"/>
      <c r="O914" s="1054"/>
      <c r="P914" s="1054"/>
      <c r="Q914" s="1054"/>
      <c r="R914" s="1054"/>
      <c r="S914" s="1054"/>
      <c r="T914" s="1054"/>
      <c r="U914" s="1054"/>
      <c r="V914" s="1054"/>
      <c r="W914" s="1054"/>
      <c r="X914" s="1054"/>
      <c r="Y914" s="1054"/>
      <c r="Z914" s="1054"/>
      <c r="AA914" s="1054"/>
      <c r="AB914" s="1054"/>
    </row>
    <row r="915">
      <c r="A915" s="1054"/>
      <c r="B915" s="1061"/>
      <c r="C915" s="1061"/>
      <c r="D915" s="1061"/>
      <c r="E915" s="1061"/>
      <c r="F915" s="1061"/>
      <c r="G915" s="1061"/>
      <c r="H915" s="1063"/>
      <c r="I915" s="1054"/>
      <c r="J915" s="1054"/>
      <c r="K915" s="1054"/>
      <c r="L915" s="1054"/>
      <c r="M915" s="1054"/>
      <c r="N915" s="1054"/>
      <c r="O915" s="1054"/>
      <c r="P915" s="1054"/>
      <c r="Q915" s="1054"/>
      <c r="R915" s="1054"/>
      <c r="S915" s="1054"/>
      <c r="T915" s="1054"/>
      <c r="U915" s="1054"/>
      <c r="V915" s="1054"/>
      <c r="W915" s="1054"/>
      <c r="X915" s="1054"/>
      <c r="Y915" s="1054"/>
      <c r="Z915" s="1054"/>
      <c r="AA915" s="1054"/>
      <c r="AB915" s="1054"/>
    </row>
    <row r="916">
      <c r="A916" s="1054"/>
      <c r="B916" s="1061"/>
      <c r="C916" s="1061"/>
      <c r="D916" s="1061"/>
      <c r="E916" s="1061"/>
      <c r="F916" s="1061"/>
      <c r="G916" s="1061"/>
      <c r="H916" s="1063"/>
      <c r="I916" s="1054"/>
      <c r="J916" s="1054"/>
      <c r="K916" s="1054"/>
      <c r="L916" s="1054"/>
      <c r="M916" s="1054"/>
      <c r="N916" s="1054"/>
      <c r="O916" s="1054"/>
      <c r="P916" s="1054"/>
      <c r="Q916" s="1054"/>
      <c r="R916" s="1054"/>
      <c r="S916" s="1054"/>
      <c r="T916" s="1054"/>
      <c r="U916" s="1054"/>
      <c r="V916" s="1054"/>
      <c r="W916" s="1054"/>
      <c r="X916" s="1054"/>
      <c r="Y916" s="1054"/>
      <c r="Z916" s="1054"/>
      <c r="AA916" s="1054"/>
      <c r="AB916" s="1054"/>
    </row>
    <row r="917">
      <c r="A917" s="1054"/>
      <c r="B917" s="1061"/>
      <c r="C917" s="1061"/>
      <c r="D917" s="1061"/>
      <c r="E917" s="1061"/>
      <c r="F917" s="1061"/>
      <c r="G917" s="1061"/>
      <c r="H917" s="1063"/>
      <c r="I917" s="1054"/>
      <c r="J917" s="1054"/>
      <c r="K917" s="1054"/>
      <c r="L917" s="1054"/>
      <c r="M917" s="1054"/>
      <c r="N917" s="1054"/>
      <c r="O917" s="1054"/>
      <c r="P917" s="1054"/>
      <c r="Q917" s="1054"/>
      <c r="R917" s="1054"/>
      <c r="S917" s="1054"/>
      <c r="T917" s="1054"/>
      <c r="U917" s="1054"/>
      <c r="V917" s="1054"/>
      <c r="W917" s="1054"/>
      <c r="X917" s="1054"/>
      <c r="Y917" s="1054"/>
      <c r="Z917" s="1054"/>
      <c r="AA917" s="1054"/>
      <c r="AB917" s="1054"/>
    </row>
    <row r="918">
      <c r="A918" s="1054"/>
      <c r="B918" s="1061"/>
      <c r="C918" s="1061"/>
      <c r="D918" s="1061"/>
      <c r="E918" s="1061"/>
      <c r="F918" s="1061"/>
      <c r="G918" s="1061"/>
      <c r="H918" s="1063"/>
      <c r="I918" s="1054"/>
      <c r="J918" s="1054"/>
      <c r="K918" s="1054"/>
      <c r="L918" s="1054"/>
      <c r="M918" s="1054"/>
      <c r="N918" s="1054"/>
      <c r="O918" s="1054"/>
      <c r="P918" s="1054"/>
      <c r="Q918" s="1054"/>
      <c r="R918" s="1054"/>
      <c r="S918" s="1054"/>
      <c r="T918" s="1054"/>
      <c r="U918" s="1054"/>
      <c r="V918" s="1054"/>
      <c r="W918" s="1054"/>
      <c r="X918" s="1054"/>
      <c r="Y918" s="1054"/>
      <c r="Z918" s="1054"/>
      <c r="AA918" s="1054"/>
      <c r="AB918" s="1054"/>
    </row>
    <row r="919">
      <c r="A919" s="1054"/>
      <c r="B919" s="1061"/>
      <c r="C919" s="1061"/>
      <c r="D919" s="1061"/>
      <c r="E919" s="1061"/>
      <c r="F919" s="1061"/>
      <c r="G919" s="1061"/>
      <c r="H919" s="1063"/>
      <c r="I919" s="1054"/>
      <c r="J919" s="1054"/>
      <c r="K919" s="1054"/>
      <c r="L919" s="1054"/>
      <c r="M919" s="1054"/>
      <c r="N919" s="1054"/>
      <c r="O919" s="1054"/>
      <c r="P919" s="1054"/>
      <c r="Q919" s="1054"/>
      <c r="R919" s="1054"/>
      <c r="S919" s="1054"/>
      <c r="T919" s="1054"/>
      <c r="U919" s="1054"/>
      <c r="V919" s="1054"/>
      <c r="W919" s="1054"/>
      <c r="X919" s="1054"/>
      <c r="Y919" s="1054"/>
      <c r="Z919" s="1054"/>
      <c r="AA919" s="1054"/>
      <c r="AB919" s="1054"/>
    </row>
    <row r="920">
      <c r="A920" s="1054"/>
      <c r="B920" s="1061"/>
      <c r="C920" s="1061"/>
      <c r="D920" s="1061"/>
      <c r="E920" s="1061"/>
      <c r="F920" s="1061"/>
      <c r="G920" s="1061"/>
      <c r="H920" s="1063"/>
      <c r="I920" s="1054"/>
      <c r="J920" s="1054"/>
      <c r="K920" s="1054"/>
      <c r="L920" s="1054"/>
      <c r="M920" s="1054"/>
      <c r="N920" s="1054"/>
      <c r="O920" s="1054"/>
      <c r="P920" s="1054"/>
      <c r="Q920" s="1054"/>
      <c r="R920" s="1054"/>
      <c r="S920" s="1054"/>
      <c r="T920" s="1054"/>
      <c r="U920" s="1054"/>
      <c r="V920" s="1054"/>
      <c r="W920" s="1054"/>
      <c r="X920" s="1054"/>
      <c r="Y920" s="1054"/>
      <c r="Z920" s="1054"/>
      <c r="AA920" s="1054"/>
      <c r="AB920" s="1054"/>
    </row>
    <row r="921">
      <c r="A921" s="1054"/>
      <c r="B921" s="1061"/>
      <c r="C921" s="1061"/>
      <c r="D921" s="1061"/>
      <c r="E921" s="1061"/>
      <c r="F921" s="1061"/>
      <c r="G921" s="1061"/>
      <c r="H921" s="1063"/>
      <c r="I921" s="1054"/>
      <c r="J921" s="1054"/>
      <c r="K921" s="1054"/>
      <c r="L921" s="1054"/>
      <c r="M921" s="1054"/>
      <c r="N921" s="1054"/>
      <c r="O921" s="1054"/>
      <c r="P921" s="1054"/>
      <c r="Q921" s="1054"/>
      <c r="R921" s="1054"/>
      <c r="S921" s="1054"/>
      <c r="T921" s="1054"/>
      <c r="U921" s="1054"/>
      <c r="V921" s="1054"/>
      <c r="W921" s="1054"/>
      <c r="X921" s="1054"/>
      <c r="Y921" s="1054"/>
      <c r="Z921" s="1054"/>
      <c r="AA921" s="1054"/>
      <c r="AB921" s="1054"/>
    </row>
    <row r="922">
      <c r="A922" s="1054"/>
      <c r="B922" s="1061"/>
      <c r="C922" s="1061"/>
      <c r="D922" s="1061"/>
      <c r="E922" s="1061"/>
      <c r="F922" s="1061"/>
      <c r="G922" s="1061"/>
      <c r="H922" s="1063"/>
      <c r="I922" s="1054"/>
      <c r="J922" s="1054"/>
      <c r="K922" s="1054"/>
      <c r="L922" s="1054"/>
      <c r="M922" s="1054"/>
      <c r="N922" s="1054"/>
      <c r="O922" s="1054"/>
      <c r="P922" s="1054"/>
      <c r="Q922" s="1054"/>
      <c r="R922" s="1054"/>
      <c r="S922" s="1054"/>
      <c r="T922" s="1054"/>
      <c r="U922" s="1054"/>
      <c r="V922" s="1054"/>
      <c r="W922" s="1054"/>
      <c r="X922" s="1054"/>
      <c r="Y922" s="1054"/>
      <c r="Z922" s="1054"/>
      <c r="AA922" s="1054"/>
      <c r="AB922" s="1054"/>
    </row>
    <row r="923">
      <c r="A923" s="1054"/>
      <c r="B923" s="1061"/>
      <c r="C923" s="1061"/>
      <c r="D923" s="1061"/>
      <c r="E923" s="1061"/>
      <c r="F923" s="1061"/>
      <c r="G923" s="1061"/>
      <c r="H923" s="1063"/>
      <c r="I923" s="1054"/>
      <c r="J923" s="1054"/>
      <c r="K923" s="1054"/>
      <c r="L923" s="1054"/>
      <c r="M923" s="1054"/>
      <c r="N923" s="1054"/>
      <c r="O923" s="1054"/>
      <c r="P923" s="1054"/>
      <c r="Q923" s="1054"/>
      <c r="R923" s="1054"/>
      <c r="S923" s="1054"/>
      <c r="T923" s="1054"/>
      <c r="U923" s="1054"/>
      <c r="V923" s="1054"/>
      <c r="W923" s="1054"/>
      <c r="X923" s="1054"/>
      <c r="Y923" s="1054"/>
      <c r="Z923" s="1054"/>
      <c r="AA923" s="1054"/>
      <c r="AB923" s="1054"/>
    </row>
    <row r="924">
      <c r="A924" s="1054"/>
      <c r="B924" s="1061"/>
      <c r="C924" s="1061"/>
      <c r="D924" s="1061"/>
      <c r="E924" s="1061"/>
      <c r="F924" s="1061"/>
      <c r="G924" s="1061"/>
      <c r="H924" s="1063"/>
      <c r="I924" s="1054"/>
      <c r="J924" s="1054"/>
      <c r="K924" s="1054"/>
      <c r="L924" s="1054"/>
      <c r="M924" s="1054"/>
      <c r="N924" s="1054"/>
      <c r="O924" s="1054"/>
      <c r="P924" s="1054"/>
      <c r="Q924" s="1054"/>
      <c r="R924" s="1054"/>
      <c r="S924" s="1054"/>
      <c r="T924" s="1054"/>
      <c r="U924" s="1054"/>
      <c r="V924" s="1054"/>
      <c r="W924" s="1054"/>
      <c r="X924" s="1054"/>
      <c r="Y924" s="1054"/>
      <c r="Z924" s="1054"/>
      <c r="AA924" s="1054"/>
      <c r="AB924" s="1054"/>
    </row>
    <row r="925">
      <c r="A925" s="1054"/>
      <c r="B925" s="1061"/>
      <c r="C925" s="1061"/>
      <c r="D925" s="1061"/>
      <c r="E925" s="1061"/>
      <c r="F925" s="1061"/>
      <c r="G925" s="1061"/>
      <c r="H925" s="1063"/>
      <c r="I925" s="1054"/>
      <c r="J925" s="1054"/>
      <c r="K925" s="1054"/>
      <c r="L925" s="1054"/>
      <c r="M925" s="1054"/>
      <c r="N925" s="1054"/>
      <c r="O925" s="1054"/>
      <c r="P925" s="1054"/>
      <c r="Q925" s="1054"/>
      <c r="R925" s="1054"/>
      <c r="S925" s="1054"/>
      <c r="T925" s="1054"/>
      <c r="U925" s="1054"/>
      <c r="V925" s="1054"/>
      <c r="W925" s="1054"/>
      <c r="X925" s="1054"/>
      <c r="Y925" s="1054"/>
      <c r="Z925" s="1054"/>
      <c r="AA925" s="1054"/>
      <c r="AB925" s="1054"/>
    </row>
    <row r="926">
      <c r="A926" s="1054"/>
      <c r="B926" s="1061"/>
      <c r="C926" s="1061"/>
      <c r="D926" s="1061"/>
      <c r="E926" s="1061"/>
      <c r="F926" s="1061"/>
      <c r="G926" s="1061"/>
      <c r="H926" s="1063"/>
      <c r="I926" s="1054"/>
      <c r="J926" s="1054"/>
      <c r="K926" s="1054"/>
      <c r="L926" s="1054"/>
      <c r="M926" s="1054"/>
      <c r="N926" s="1054"/>
      <c r="O926" s="1054"/>
      <c r="P926" s="1054"/>
      <c r="Q926" s="1054"/>
      <c r="R926" s="1054"/>
      <c r="S926" s="1054"/>
      <c r="T926" s="1054"/>
      <c r="U926" s="1054"/>
      <c r="V926" s="1054"/>
      <c r="W926" s="1054"/>
      <c r="X926" s="1054"/>
      <c r="Y926" s="1054"/>
      <c r="Z926" s="1054"/>
      <c r="AA926" s="1054"/>
      <c r="AB926" s="1054"/>
    </row>
    <row r="927">
      <c r="A927" s="1054"/>
      <c r="B927" s="1061"/>
      <c r="C927" s="1061"/>
      <c r="D927" s="1061"/>
      <c r="E927" s="1061"/>
      <c r="F927" s="1061"/>
      <c r="G927" s="1061"/>
      <c r="H927" s="1063"/>
      <c r="I927" s="1054"/>
      <c r="J927" s="1054"/>
      <c r="K927" s="1054"/>
      <c r="L927" s="1054"/>
      <c r="M927" s="1054"/>
      <c r="N927" s="1054"/>
      <c r="O927" s="1054"/>
      <c r="P927" s="1054"/>
      <c r="Q927" s="1054"/>
      <c r="R927" s="1054"/>
      <c r="S927" s="1054"/>
      <c r="T927" s="1054"/>
      <c r="U927" s="1054"/>
      <c r="V927" s="1054"/>
      <c r="W927" s="1054"/>
      <c r="X927" s="1054"/>
      <c r="Y927" s="1054"/>
      <c r="Z927" s="1054"/>
      <c r="AA927" s="1054"/>
      <c r="AB927" s="1054"/>
    </row>
    <row r="928">
      <c r="A928" s="1054"/>
      <c r="B928" s="1061"/>
      <c r="C928" s="1061"/>
      <c r="D928" s="1061"/>
      <c r="E928" s="1061"/>
      <c r="F928" s="1061"/>
      <c r="G928" s="1061"/>
      <c r="H928" s="1063"/>
      <c r="I928" s="1054"/>
      <c r="J928" s="1054"/>
      <c r="K928" s="1054"/>
      <c r="L928" s="1054"/>
      <c r="M928" s="1054"/>
      <c r="N928" s="1054"/>
      <c r="O928" s="1054"/>
      <c r="P928" s="1054"/>
      <c r="Q928" s="1054"/>
      <c r="R928" s="1054"/>
      <c r="S928" s="1054"/>
      <c r="T928" s="1054"/>
      <c r="U928" s="1054"/>
      <c r="V928" s="1054"/>
      <c r="W928" s="1054"/>
      <c r="X928" s="1054"/>
      <c r="Y928" s="1054"/>
      <c r="Z928" s="1054"/>
      <c r="AA928" s="1054"/>
      <c r="AB928" s="1054"/>
    </row>
    <row r="929">
      <c r="A929" s="1054"/>
      <c r="B929" s="1061"/>
      <c r="C929" s="1061"/>
      <c r="D929" s="1061"/>
      <c r="E929" s="1061"/>
      <c r="F929" s="1061"/>
      <c r="G929" s="1061"/>
      <c r="H929" s="1063"/>
      <c r="I929" s="1054"/>
      <c r="J929" s="1054"/>
      <c r="K929" s="1054"/>
      <c r="L929" s="1054"/>
      <c r="M929" s="1054"/>
      <c r="N929" s="1054"/>
      <c r="O929" s="1054"/>
      <c r="P929" s="1054"/>
      <c r="Q929" s="1054"/>
      <c r="R929" s="1054"/>
      <c r="S929" s="1054"/>
      <c r="T929" s="1054"/>
      <c r="U929" s="1054"/>
      <c r="V929" s="1054"/>
      <c r="W929" s="1054"/>
      <c r="X929" s="1054"/>
      <c r="Y929" s="1054"/>
      <c r="Z929" s="1054"/>
      <c r="AA929" s="1054"/>
      <c r="AB929" s="1054"/>
    </row>
    <row r="930">
      <c r="A930" s="1054"/>
      <c r="B930" s="1061"/>
      <c r="C930" s="1061"/>
      <c r="D930" s="1061"/>
      <c r="E930" s="1061"/>
      <c r="F930" s="1061"/>
      <c r="G930" s="1061"/>
      <c r="H930" s="1063"/>
      <c r="I930" s="1054"/>
      <c r="J930" s="1054"/>
      <c r="K930" s="1054"/>
      <c r="L930" s="1054"/>
      <c r="M930" s="1054"/>
      <c r="N930" s="1054"/>
      <c r="O930" s="1054"/>
      <c r="P930" s="1054"/>
      <c r="Q930" s="1054"/>
      <c r="R930" s="1054"/>
      <c r="S930" s="1054"/>
      <c r="T930" s="1054"/>
      <c r="U930" s="1054"/>
      <c r="V930" s="1054"/>
      <c r="W930" s="1054"/>
      <c r="X930" s="1054"/>
      <c r="Y930" s="1054"/>
      <c r="Z930" s="1054"/>
      <c r="AA930" s="1054"/>
      <c r="AB930" s="1054"/>
    </row>
    <row r="931">
      <c r="A931" s="1054"/>
      <c r="B931" s="1061"/>
      <c r="C931" s="1061"/>
      <c r="D931" s="1061"/>
      <c r="E931" s="1061"/>
      <c r="F931" s="1061"/>
      <c r="G931" s="1061"/>
      <c r="H931" s="1063"/>
      <c r="I931" s="1054"/>
      <c r="J931" s="1054"/>
      <c r="K931" s="1054"/>
      <c r="L931" s="1054"/>
      <c r="M931" s="1054"/>
      <c r="N931" s="1054"/>
      <c r="O931" s="1054"/>
      <c r="P931" s="1054"/>
      <c r="Q931" s="1054"/>
      <c r="R931" s="1054"/>
      <c r="S931" s="1054"/>
      <c r="T931" s="1054"/>
      <c r="U931" s="1054"/>
      <c r="V931" s="1054"/>
      <c r="W931" s="1054"/>
      <c r="X931" s="1054"/>
      <c r="Y931" s="1054"/>
      <c r="Z931" s="1054"/>
      <c r="AA931" s="1054"/>
      <c r="AB931" s="1054"/>
    </row>
    <row r="932">
      <c r="A932" s="1054"/>
      <c r="B932" s="1061"/>
      <c r="C932" s="1061"/>
      <c r="D932" s="1061"/>
      <c r="E932" s="1061"/>
      <c r="F932" s="1061"/>
      <c r="G932" s="1061"/>
      <c r="H932" s="1063"/>
      <c r="I932" s="1054"/>
      <c r="J932" s="1054"/>
      <c r="K932" s="1054"/>
      <c r="L932" s="1054"/>
      <c r="M932" s="1054"/>
      <c r="N932" s="1054"/>
      <c r="O932" s="1054"/>
      <c r="P932" s="1054"/>
      <c r="Q932" s="1054"/>
      <c r="R932" s="1054"/>
      <c r="S932" s="1054"/>
      <c r="T932" s="1054"/>
      <c r="U932" s="1054"/>
      <c r="V932" s="1054"/>
      <c r="W932" s="1054"/>
      <c r="X932" s="1054"/>
      <c r="Y932" s="1054"/>
      <c r="Z932" s="1054"/>
      <c r="AA932" s="1054"/>
      <c r="AB932" s="1054"/>
    </row>
    <row r="933">
      <c r="A933" s="1054"/>
      <c r="B933" s="1061"/>
      <c r="C933" s="1061"/>
      <c r="D933" s="1061"/>
      <c r="E933" s="1061"/>
      <c r="F933" s="1061"/>
      <c r="G933" s="1061"/>
      <c r="H933" s="1063"/>
      <c r="I933" s="1054"/>
      <c r="J933" s="1054"/>
      <c r="K933" s="1054"/>
      <c r="L933" s="1054"/>
      <c r="M933" s="1054"/>
      <c r="N933" s="1054"/>
      <c r="O933" s="1054"/>
      <c r="P933" s="1054"/>
      <c r="Q933" s="1054"/>
      <c r="R933" s="1054"/>
      <c r="S933" s="1054"/>
      <c r="T933" s="1054"/>
      <c r="U933" s="1054"/>
      <c r="V933" s="1054"/>
      <c r="W933" s="1054"/>
      <c r="X933" s="1054"/>
      <c r="Y933" s="1054"/>
      <c r="Z933" s="1054"/>
      <c r="AA933" s="1054"/>
      <c r="AB933" s="1054"/>
    </row>
    <row r="934">
      <c r="A934" s="1054"/>
      <c r="B934" s="1061"/>
      <c r="C934" s="1061"/>
      <c r="D934" s="1061"/>
      <c r="E934" s="1061"/>
      <c r="F934" s="1061"/>
      <c r="G934" s="1061"/>
      <c r="H934" s="1063"/>
      <c r="I934" s="1054"/>
      <c r="J934" s="1054"/>
      <c r="K934" s="1054"/>
      <c r="L934" s="1054"/>
      <c r="M934" s="1054"/>
      <c r="N934" s="1054"/>
      <c r="O934" s="1054"/>
      <c r="P934" s="1054"/>
      <c r="Q934" s="1054"/>
      <c r="R934" s="1054"/>
      <c r="S934" s="1054"/>
      <c r="T934" s="1054"/>
      <c r="U934" s="1054"/>
      <c r="V934" s="1054"/>
      <c r="W934" s="1054"/>
      <c r="X934" s="1054"/>
      <c r="Y934" s="1054"/>
      <c r="Z934" s="1054"/>
      <c r="AA934" s="1054"/>
      <c r="AB934" s="1054"/>
    </row>
    <row r="935">
      <c r="A935" s="1054"/>
      <c r="B935" s="1061"/>
      <c r="C935" s="1061"/>
      <c r="D935" s="1061"/>
      <c r="E935" s="1061"/>
      <c r="F935" s="1061"/>
      <c r="G935" s="1061"/>
      <c r="H935" s="1063"/>
      <c r="I935" s="1054"/>
      <c r="J935" s="1054"/>
      <c r="K935" s="1054"/>
      <c r="L935" s="1054"/>
      <c r="M935" s="1054"/>
      <c r="N935" s="1054"/>
      <c r="O935" s="1054"/>
      <c r="P935" s="1054"/>
      <c r="Q935" s="1054"/>
      <c r="R935" s="1054"/>
      <c r="S935" s="1054"/>
      <c r="T935" s="1054"/>
      <c r="U935" s="1054"/>
      <c r="V935" s="1054"/>
      <c r="W935" s="1054"/>
      <c r="X935" s="1054"/>
      <c r="Y935" s="1054"/>
      <c r="Z935" s="1054"/>
      <c r="AA935" s="1054"/>
      <c r="AB935" s="1054"/>
    </row>
    <row r="936">
      <c r="A936" s="1054"/>
      <c r="B936" s="1061"/>
      <c r="C936" s="1061"/>
      <c r="D936" s="1061"/>
      <c r="E936" s="1061"/>
      <c r="F936" s="1061"/>
      <c r="G936" s="1061"/>
      <c r="H936" s="1063"/>
      <c r="I936" s="1054"/>
      <c r="J936" s="1054"/>
      <c r="K936" s="1054"/>
      <c r="L936" s="1054"/>
      <c r="M936" s="1054"/>
      <c r="N936" s="1054"/>
      <c r="O936" s="1054"/>
      <c r="P936" s="1054"/>
      <c r="Q936" s="1054"/>
      <c r="R936" s="1054"/>
      <c r="S936" s="1054"/>
      <c r="T936" s="1054"/>
      <c r="U936" s="1054"/>
      <c r="V936" s="1054"/>
      <c r="W936" s="1054"/>
      <c r="X936" s="1054"/>
      <c r="Y936" s="1054"/>
      <c r="Z936" s="1054"/>
      <c r="AA936" s="1054"/>
      <c r="AB936" s="1054"/>
    </row>
    <row r="937">
      <c r="A937" s="1054"/>
      <c r="B937" s="1061"/>
      <c r="C937" s="1061"/>
      <c r="D937" s="1061"/>
      <c r="E937" s="1061"/>
      <c r="F937" s="1061"/>
      <c r="G937" s="1061"/>
      <c r="H937" s="1063"/>
      <c r="I937" s="1054"/>
      <c r="J937" s="1054"/>
      <c r="K937" s="1054"/>
      <c r="L937" s="1054"/>
      <c r="M937" s="1054"/>
      <c r="N937" s="1054"/>
      <c r="O937" s="1054"/>
      <c r="P937" s="1054"/>
      <c r="Q937" s="1054"/>
      <c r="R937" s="1054"/>
      <c r="S937" s="1054"/>
      <c r="T937" s="1054"/>
      <c r="U937" s="1054"/>
      <c r="V937" s="1054"/>
      <c r="W937" s="1054"/>
      <c r="X937" s="1054"/>
      <c r="Y937" s="1054"/>
      <c r="Z937" s="1054"/>
      <c r="AA937" s="1054"/>
      <c r="AB937" s="1054"/>
    </row>
    <row r="938">
      <c r="A938" s="1054"/>
      <c r="B938" s="1061"/>
      <c r="C938" s="1061"/>
      <c r="D938" s="1061"/>
      <c r="E938" s="1061"/>
      <c r="F938" s="1061"/>
      <c r="G938" s="1061"/>
      <c r="H938" s="1063"/>
      <c r="I938" s="1054"/>
      <c r="J938" s="1054"/>
      <c r="K938" s="1054"/>
      <c r="L938" s="1054"/>
      <c r="M938" s="1054"/>
      <c r="N938" s="1054"/>
      <c r="O938" s="1054"/>
      <c r="P938" s="1054"/>
      <c r="Q938" s="1054"/>
      <c r="R938" s="1054"/>
      <c r="S938" s="1054"/>
      <c r="T938" s="1054"/>
      <c r="U938" s="1054"/>
      <c r="V938" s="1054"/>
      <c r="W938" s="1054"/>
      <c r="X938" s="1054"/>
      <c r="Y938" s="1054"/>
      <c r="Z938" s="1054"/>
      <c r="AA938" s="1054"/>
      <c r="AB938" s="1054"/>
    </row>
    <row r="939">
      <c r="A939" s="1054"/>
      <c r="B939" s="1061"/>
      <c r="C939" s="1061"/>
      <c r="D939" s="1061"/>
      <c r="E939" s="1061"/>
      <c r="F939" s="1061"/>
      <c r="G939" s="1061"/>
      <c r="H939" s="1063"/>
      <c r="I939" s="1054"/>
      <c r="J939" s="1054"/>
      <c r="K939" s="1054"/>
      <c r="L939" s="1054"/>
      <c r="M939" s="1054"/>
      <c r="N939" s="1054"/>
      <c r="O939" s="1054"/>
      <c r="P939" s="1054"/>
      <c r="Q939" s="1054"/>
      <c r="R939" s="1054"/>
      <c r="S939" s="1054"/>
      <c r="T939" s="1054"/>
      <c r="U939" s="1054"/>
      <c r="V939" s="1054"/>
      <c r="W939" s="1054"/>
      <c r="X939" s="1054"/>
      <c r="Y939" s="1054"/>
      <c r="Z939" s="1054"/>
      <c r="AA939" s="1054"/>
      <c r="AB939" s="1054"/>
    </row>
    <row r="940">
      <c r="A940" s="1054"/>
      <c r="B940" s="1061"/>
      <c r="C940" s="1061"/>
      <c r="D940" s="1061"/>
      <c r="E940" s="1061"/>
      <c r="F940" s="1061"/>
      <c r="G940" s="1061"/>
      <c r="H940" s="1063"/>
      <c r="I940" s="1054"/>
      <c r="J940" s="1054"/>
      <c r="K940" s="1054"/>
      <c r="L940" s="1054"/>
      <c r="M940" s="1054"/>
      <c r="N940" s="1054"/>
      <c r="O940" s="1054"/>
      <c r="P940" s="1054"/>
      <c r="Q940" s="1054"/>
      <c r="R940" s="1054"/>
      <c r="S940" s="1054"/>
      <c r="T940" s="1054"/>
      <c r="U940" s="1054"/>
      <c r="V940" s="1054"/>
      <c r="W940" s="1054"/>
      <c r="X940" s="1054"/>
      <c r="Y940" s="1054"/>
      <c r="Z940" s="1054"/>
      <c r="AA940" s="1054"/>
      <c r="AB940" s="1054"/>
    </row>
    <row r="941">
      <c r="A941" s="1054"/>
      <c r="B941" s="1061"/>
      <c r="C941" s="1061"/>
      <c r="D941" s="1061"/>
      <c r="E941" s="1061"/>
      <c r="F941" s="1061"/>
      <c r="G941" s="1061"/>
      <c r="H941" s="1063"/>
      <c r="I941" s="1054"/>
      <c r="J941" s="1054"/>
      <c r="K941" s="1054"/>
      <c r="L941" s="1054"/>
      <c r="M941" s="1054"/>
      <c r="N941" s="1054"/>
      <c r="O941" s="1054"/>
      <c r="P941" s="1054"/>
      <c r="Q941" s="1054"/>
      <c r="R941" s="1054"/>
      <c r="S941" s="1054"/>
      <c r="T941" s="1054"/>
      <c r="U941" s="1054"/>
      <c r="V941" s="1054"/>
      <c r="W941" s="1054"/>
      <c r="X941" s="1054"/>
      <c r="Y941" s="1054"/>
      <c r="Z941" s="1054"/>
      <c r="AA941" s="1054"/>
      <c r="AB941" s="1054"/>
    </row>
    <row r="942">
      <c r="A942" s="1054"/>
      <c r="B942" s="1061"/>
      <c r="C942" s="1061"/>
      <c r="D942" s="1061"/>
      <c r="E942" s="1061"/>
      <c r="F942" s="1061"/>
      <c r="G942" s="1061"/>
      <c r="H942" s="1063"/>
      <c r="I942" s="1054"/>
      <c r="J942" s="1054"/>
      <c r="K942" s="1054"/>
      <c r="L942" s="1054"/>
      <c r="M942" s="1054"/>
      <c r="N942" s="1054"/>
      <c r="O942" s="1054"/>
      <c r="P942" s="1054"/>
      <c r="Q942" s="1054"/>
      <c r="R942" s="1054"/>
      <c r="S942" s="1054"/>
      <c r="T942" s="1054"/>
      <c r="U942" s="1054"/>
      <c r="V942" s="1054"/>
      <c r="W942" s="1054"/>
      <c r="X942" s="1054"/>
      <c r="Y942" s="1054"/>
      <c r="Z942" s="1054"/>
      <c r="AA942" s="1054"/>
      <c r="AB942" s="1054"/>
    </row>
    <row r="943">
      <c r="A943" s="1054"/>
      <c r="B943" s="1061"/>
      <c r="C943" s="1061"/>
      <c r="D943" s="1061"/>
      <c r="E943" s="1061"/>
      <c r="F943" s="1061"/>
      <c r="G943" s="1061"/>
      <c r="H943" s="1063"/>
      <c r="I943" s="1054"/>
      <c r="J943" s="1054"/>
      <c r="K943" s="1054"/>
      <c r="L943" s="1054"/>
      <c r="M943" s="1054"/>
      <c r="N943" s="1054"/>
      <c r="O943" s="1054"/>
      <c r="P943" s="1054"/>
      <c r="Q943" s="1054"/>
      <c r="R943" s="1054"/>
      <c r="S943" s="1054"/>
      <c r="T943" s="1054"/>
      <c r="U943" s="1054"/>
      <c r="V943" s="1054"/>
      <c r="W943" s="1054"/>
      <c r="X943" s="1054"/>
      <c r="Y943" s="1054"/>
      <c r="Z943" s="1054"/>
      <c r="AA943" s="1054"/>
      <c r="AB943" s="1054"/>
    </row>
    <row r="944">
      <c r="A944" s="1054"/>
      <c r="B944" s="1061"/>
      <c r="C944" s="1061"/>
      <c r="D944" s="1061"/>
      <c r="E944" s="1061"/>
      <c r="F944" s="1061"/>
      <c r="G944" s="1061"/>
      <c r="H944" s="1063"/>
      <c r="I944" s="1054"/>
      <c r="J944" s="1054"/>
      <c r="K944" s="1054"/>
      <c r="L944" s="1054"/>
      <c r="M944" s="1054"/>
      <c r="N944" s="1054"/>
      <c r="O944" s="1054"/>
      <c r="P944" s="1054"/>
      <c r="Q944" s="1054"/>
      <c r="R944" s="1054"/>
      <c r="S944" s="1054"/>
      <c r="T944" s="1054"/>
      <c r="U944" s="1054"/>
      <c r="V944" s="1054"/>
      <c r="W944" s="1054"/>
      <c r="X944" s="1054"/>
      <c r="Y944" s="1054"/>
      <c r="Z944" s="1054"/>
      <c r="AA944" s="1054"/>
      <c r="AB944" s="1054"/>
    </row>
    <row r="945">
      <c r="A945" s="1054"/>
      <c r="B945" s="1061"/>
      <c r="C945" s="1061"/>
      <c r="D945" s="1061"/>
      <c r="E945" s="1061"/>
      <c r="F945" s="1061"/>
      <c r="G945" s="1061"/>
      <c r="H945" s="1063"/>
      <c r="I945" s="1054"/>
      <c r="J945" s="1054"/>
      <c r="K945" s="1054"/>
      <c r="L945" s="1054"/>
      <c r="M945" s="1054"/>
      <c r="N945" s="1054"/>
      <c r="O945" s="1054"/>
      <c r="P945" s="1054"/>
      <c r="Q945" s="1054"/>
      <c r="R945" s="1054"/>
      <c r="S945" s="1054"/>
      <c r="T945" s="1054"/>
      <c r="U945" s="1054"/>
      <c r="V945" s="1054"/>
      <c r="W945" s="1054"/>
      <c r="X945" s="1054"/>
      <c r="Y945" s="1054"/>
      <c r="Z945" s="1054"/>
      <c r="AA945" s="1054"/>
      <c r="AB945" s="1054"/>
    </row>
    <row r="946">
      <c r="A946" s="1054"/>
      <c r="B946" s="1061"/>
      <c r="C946" s="1061"/>
      <c r="D946" s="1061"/>
      <c r="E946" s="1061"/>
      <c r="F946" s="1061"/>
      <c r="G946" s="1061"/>
      <c r="H946" s="1063"/>
      <c r="I946" s="1054"/>
      <c r="J946" s="1054"/>
      <c r="K946" s="1054"/>
      <c r="L946" s="1054"/>
      <c r="M946" s="1054"/>
      <c r="N946" s="1054"/>
      <c r="O946" s="1054"/>
      <c r="P946" s="1054"/>
      <c r="Q946" s="1054"/>
      <c r="R946" s="1054"/>
      <c r="S946" s="1054"/>
      <c r="T946" s="1054"/>
      <c r="U946" s="1054"/>
      <c r="V946" s="1054"/>
      <c r="W946" s="1054"/>
      <c r="X946" s="1054"/>
      <c r="Y946" s="1054"/>
      <c r="Z946" s="1054"/>
      <c r="AA946" s="1054"/>
      <c r="AB946" s="1054"/>
    </row>
    <row r="947">
      <c r="A947" s="1054"/>
      <c r="B947" s="1061"/>
      <c r="C947" s="1061"/>
      <c r="D947" s="1061"/>
      <c r="E947" s="1061"/>
      <c r="F947" s="1061"/>
      <c r="G947" s="1061"/>
      <c r="H947" s="1063"/>
      <c r="I947" s="1054"/>
      <c r="J947" s="1054"/>
      <c r="K947" s="1054"/>
      <c r="L947" s="1054"/>
      <c r="M947" s="1054"/>
      <c r="N947" s="1054"/>
      <c r="O947" s="1054"/>
      <c r="P947" s="1054"/>
      <c r="Q947" s="1054"/>
      <c r="R947" s="1054"/>
      <c r="S947" s="1054"/>
      <c r="T947" s="1054"/>
      <c r="U947" s="1054"/>
      <c r="V947" s="1054"/>
      <c r="W947" s="1054"/>
      <c r="X947" s="1054"/>
      <c r="Y947" s="1054"/>
      <c r="Z947" s="1054"/>
      <c r="AA947" s="1054"/>
      <c r="AB947" s="1054"/>
    </row>
    <row r="948">
      <c r="A948" s="1054"/>
      <c r="B948" s="1061"/>
      <c r="C948" s="1061"/>
      <c r="D948" s="1061"/>
      <c r="E948" s="1061"/>
      <c r="F948" s="1061"/>
      <c r="G948" s="1061"/>
      <c r="H948" s="1063"/>
      <c r="I948" s="1054"/>
      <c r="J948" s="1054"/>
      <c r="K948" s="1054"/>
      <c r="L948" s="1054"/>
      <c r="M948" s="1054"/>
      <c r="N948" s="1054"/>
      <c r="O948" s="1054"/>
      <c r="P948" s="1054"/>
      <c r="Q948" s="1054"/>
      <c r="R948" s="1054"/>
      <c r="S948" s="1054"/>
      <c r="T948" s="1054"/>
      <c r="U948" s="1054"/>
      <c r="V948" s="1054"/>
      <c r="W948" s="1054"/>
      <c r="X948" s="1054"/>
      <c r="Y948" s="1054"/>
      <c r="Z948" s="1054"/>
      <c r="AA948" s="1054"/>
      <c r="AB948" s="1054"/>
    </row>
    <row r="949">
      <c r="A949" s="1054"/>
      <c r="B949" s="1061"/>
      <c r="C949" s="1061"/>
      <c r="D949" s="1061"/>
      <c r="E949" s="1061"/>
      <c r="F949" s="1061"/>
      <c r="G949" s="1061"/>
      <c r="H949" s="1063"/>
      <c r="I949" s="1054"/>
      <c r="J949" s="1054"/>
      <c r="K949" s="1054"/>
      <c r="L949" s="1054"/>
      <c r="M949" s="1054"/>
      <c r="N949" s="1054"/>
      <c r="O949" s="1054"/>
      <c r="P949" s="1054"/>
      <c r="Q949" s="1054"/>
      <c r="R949" s="1054"/>
      <c r="S949" s="1054"/>
      <c r="T949" s="1054"/>
      <c r="U949" s="1054"/>
      <c r="V949" s="1054"/>
      <c r="W949" s="1054"/>
      <c r="X949" s="1054"/>
      <c r="Y949" s="1054"/>
      <c r="Z949" s="1054"/>
      <c r="AA949" s="1054"/>
      <c r="AB949" s="1054"/>
    </row>
    <row r="950">
      <c r="A950" s="1054"/>
      <c r="B950" s="1061"/>
      <c r="C950" s="1061"/>
      <c r="D950" s="1061"/>
      <c r="E950" s="1061"/>
      <c r="F950" s="1061"/>
      <c r="G950" s="1061"/>
      <c r="H950" s="1063"/>
      <c r="I950" s="1054"/>
      <c r="J950" s="1054"/>
      <c r="K950" s="1054"/>
      <c r="L950" s="1054"/>
      <c r="M950" s="1054"/>
      <c r="N950" s="1054"/>
      <c r="O950" s="1054"/>
      <c r="P950" s="1054"/>
      <c r="Q950" s="1054"/>
      <c r="R950" s="1054"/>
      <c r="S950" s="1054"/>
      <c r="T950" s="1054"/>
      <c r="U950" s="1054"/>
      <c r="V950" s="1054"/>
      <c r="W950" s="1054"/>
      <c r="X950" s="1054"/>
      <c r="Y950" s="1054"/>
      <c r="Z950" s="1054"/>
      <c r="AA950" s="1054"/>
      <c r="AB950" s="1054"/>
    </row>
    <row r="951">
      <c r="A951" s="1054"/>
      <c r="B951" s="1061"/>
      <c r="C951" s="1061"/>
      <c r="D951" s="1061"/>
      <c r="E951" s="1061"/>
      <c r="F951" s="1061"/>
      <c r="G951" s="1061"/>
      <c r="H951" s="1063"/>
      <c r="I951" s="1054"/>
      <c r="J951" s="1054"/>
      <c r="K951" s="1054"/>
      <c r="L951" s="1054"/>
      <c r="M951" s="1054"/>
      <c r="N951" s="1054"/>
      <c r="O951" s="1054"/>
      <c r="P951" s="1054"/>
      <c r="Q951" s="1054"/>
      <c r="R951" s="1054"/>
      <c r="S951" s="1054"/>
      <c r="T951" s="1054"/>
      <c r="U951" s="1054"/>
      <c r="V951" s="1054"/>
      <c r="W951" s="1054"/>
      <c r="X951" s="1054"/>
      <c r="Y951" s="1054"/>
      <c r="Z951" s="1054"/>
      <c r="AA951" s="1054"/>
      <c r="AB951" s="1054"/>
    </row>
    <row r="952">
      <c r="A952" s="1054"/>
      <c r="B952" s="1061"/>
      <c r="C952" s="1061"/>
      <c r="D952" s="1061"/>
      <c r="E952" s="1061"/>
      <c r="F952" s="1061"/>
      <c r="G952" s="1061"/>
      <c r="H952" s="1063"/>
      <c r="I952" s="1054"/>
      <c r="J952" s="1054"/>
      <c r="K952" s="1054"/>
      <c r="L952" s="1054"/>
      <c r="M952" s="1054"/>
      <c r="N952" s="1054"/>
      <c r="O952" s="1054"/>
      <c r="P952" s="1054"/>
      <c r="Q952" s="1054"/>
      <c r="R952" s="1054"/>
      <c r="S952" s="1054"/>
      <c r="T952" s="1054"/>
      <c r="U952" s="1054"/>
      <c r="V952" s="1054"/>
      <c r="W952" s="1054"/>
      <c r="X952" s="1054"/>
      <c r="Y952" s="1054"/>
      <c r="Z952" s="1054"/>
      <c r="AA952" s="1054"/>
      <c r="AB952" s="1054"/>
    </row>
    <row r="953">
      <c r="A953" s="1054"/>
      <c r="B953" s="1061"/>
      <c r="C953" s="1061"/>
      <c r="D953" s="1061"/>
      <c r="E953" s="1061"/>
      <c r="F953" s="1061"/>
      <c r="G953" s="1061"/>
      <c r="H953" s="1063"/>
      <c r="I953" s="1054"/>
      <c r="J953" s="1054"/>
      <c r="K953" s="1054"/>
      <c r="L953" s="1054"/>
      <c r="M953" s="1054"/>
      <c r="N953" s="1054"/>
      <c r="O953" s="1054"/>
      <c r="P953" s="1054"/>
      <c r="Q953" s="1054"/>
      <c r="R953" s="1054"/>
      <c r="S953" s="1054"/>
      <c r="T953" s="1054"/>
      <c r="U953" s="1054"/>
      <c r="V953" s="1054"/>
      <c r="W953" s="1054"/>
      <c r="X953" s="1054"/>
      <c r="Y953" s="1054"/>
      <c r="Z953" s="1054"/>
      <c r="AA953" s="1054"/>
      <c r="AB953" s="1054"/>
    </row>
    <row r="954">
      <c r="A954" s="1054"/>
      <c r="B954" s="1061"/>
      <c r="C954" s="1061"/>
      <c r="D954" s="1061"/>
      <c r="E954" s="1061"/>
      <c r="F954" s="1061"/>
      <c r="G954" s="1061"/>
      <c r="H954" s="1063"/>
      <c r="I954" s="1054"/>
      <c r="J954" s="1054"/>
      <c r="K954" s="1054"/>
      <c r="L954" s="1054"/>
      <c r="M954" s="1054"/>
      <c r="N954" s="1054"/>
      <c r="O954" s="1054"/>
      <c r="P954" s="1054"/>
      <c r="Q954" s="1054"/>
      <c r="R954" s="1054"/>
      <c r="S954" s="1054"/>
      <c r="T954" s="1054"/>
      <c r="U954" s="1054"/>
      <c r="V954" s="1054"/>
      <c r="W954" s="1054"/>
      <c r="X954" s="1054"/>
      <c r="Y954" s="1054"/>
      <c r="Z954" s="1054"/>
      <c r="AA954" s="1054"/>
      <c r="AB954" s="1054"/>
    </row>
    <row r="955">
      <c r="A955" s="1054"/>
      <c r="B955" s="1061"/>
      <c r="C955" s="1061"/>
      <c r="D955" s="1061"/>
      <c r="E955" s="1061"/>
      <c r="F955" s="1061"/>
      <c r="G955" s="1061"/>
      <c r="H955" s="1063"/>
      <c r="I955" s="1054"/>
      <c r="J955" s="1054"/>
      <c r="K955" s="1054"/>
      <c r="L955" s="1054"/>
      <c r="M955" s="1054"/>
      <c r="N955" s="1054"/>
      <c r="O955" s="1054"/>
      <c r="P955" s="1054"/>
      <c r="Q955" s="1054"/>
      <c r="R955" s="1054"/>
      <c r="S955" s="1054"/>
      <c r="T955" s="1054"/>
      <c r="U955" s="1054"/>
      <c r="V955" s="1054"/>
      <c r="W955" s="1054"/>
      <c r="X955" s="1054"/>
      <c r="Y955" s="1054"/>
      <c r="Z955" s="1054"/>
      <c r="AA955" s="1054"/>
      <c r="AB955" s="1054"/>
    </row>
    <row r="956">
      <c r="A956" s="1054"/>
      <c r="B956" s="1061"/>
      <c r="C956" s="1061"/>
      <c r="D956" s="1061"/>
      <c r="E956" s="1061"/>
      <c r="F956" s="1061"/>
      <c r="G956" s="1061"/>
      <c r="H956" s="1063"/>
      <c r="I956" s="1054"/>
      <c r="J956" s="1054"/>
      <c r="K956" s="1054"/>
      <c r="L956" s="1054"/>
      <c r="M956" s="1054"/>
      <c r="N956" s="1054"/>
      <c r="O956" s="1054"/>
      <c r="P956" s="1054"/>
      <c r="Q956" s="1054"/>
      <c r="R956" s="1054"/>
      <c r="S956" s="1054"/>
      <c r="T956" s="1054"/>
      <c r="U956" s="1054"/>
      <c r="V956" s="1054"/>
      <c r="W956" s="1054"/>
      <c r="X956" s="1054"/>
      <c r="Y956" s="1054"/>
      <c r="Z956" s="1054"/>
      <c r="AA956" s="1054"/>
      <c r="AB956" s="1054"/>
    </row>
    <row r="957">
      <c r="A957" s="1054"/>
      <c r="B957" s="1061"/>
      <c r="C957" s="1061"/>
      <c r="D957" s="1061"/>
      <c r="E957" s="1061"/>
      <c r="F957" s="1061"/>
      <c r="G957" s="1061"/>
      <c r="H957" s="1063"/>
      <c r="I957" s="1054"/>
      <c r="J957" s="1054"/>
      <c r="K957" s="1054"/>
      <c r="L957" s="1054"/>
      <c r="M957" s="1054"/>
      <c r="N957" s="1054"/>
      <c r="O957" s="1054"/>
      <c r="P957" s="1054"/>
      <c r="Q957" s="1054"/>
      <c r="R957" s="1054"/>
      <c r="S957" s="1054"/>
      <c r="T957" s="1054"/>
      <c r="U957" s="1054"/>
      <c r="V957" s="1054"/>
      <c r="W957" s="1054"/>
      <c r="X957" s="1054"/>
      <c r="Y957" s="1054"/>
      <c r="Z957" s="1054"/>
      <c r="AA957" s="1054"/>
      <c r="AB957" s="1054"/>
    </row>
    <row r="958">
      <c r="A958" s="1054"/>
      <c r="B958" s="1061"/>
      <c r="C958" s="1061"/>
      <c r="D958" s="1061"/>
      <c r="E958" s="1061"/>
      <c r="F958" s="1061"/>
      <c r="G958" s="1061"/>
      <c r="H958" s="1063"/>
      <c r="I958" s="1054"/>
      <c r="J958" s="1054"/>
      <c r="K958" s="1054"/>
      <c r="L958" s="1054"/>
      <c r="M958" s="1054"/>
      <c r="N958" s="1054"/>
      <c r="O958" s="1054"/>
      <c r="P958" s="1054"/>
      <c r="Q958" s="1054"/>
      <c r="R958" s="1054"/>
      <c r="S958" s="1054"/>
      <c r="T958" s="1054"/>
      <c r="U958" s="1054"/>
      <c r="V958" s="1054"/>
      <c r="W958" s="1054"/>
      <c r="X958" s="1054"/>
      <c r="Y958" s="1054"/>
      <c r="Z958" s="1054"/>
      <c r="AA958" s="1054"/>
      <c r="AB958" s="1054"/>
    </row>
    <row r="959">
      <c r="A959" s="1054"/>
      <c r="B959" s="1061"/>
      <c r="C959" s="1061"/>
      <c r="D959" s="1061"/>
      <c r="E959" s="1061"/>
      <c r="F959" s="1061"/>
      <c r="G959" s="1061"/>
      <c r="H959" s="1063"/>
      <c r="I959" s="1054"/>
      <c r="J959" s="1054"/>
      <c r="K959" s="1054"/>
      <c r="L959" s="1054"/>
      <c r="M959" s="1054"/>
      <c r="N959" s="1054"/>
      <c r="O959" s="1054"/>
      <c r="P959" s="1054"/>
      <c r="Q959" s="1054"/>
      <c r="R959" s="1054"/>
      <c r="S959" s="1054"/>
      <c r="T959" s="1054"/>
      <c r="U959" s="1054"/>
      <c r="V959" s="1054"/>
      <c r="W959" s="1054"/>
      <c r="X959" s="1054"/>
      <c r="Y959" s="1054"/>
      <c r="Z959" s="1054"/>
      <c r="AA959" s="1054"/>
      <c r="AB959" s="1054"/>
    </row>
    <row r="960">
      <c r="A960" s="1054"/>
      <c r="B960" s="1061"/>
      <c r="C960" s="1061"/>
      <c r="D960" s="1061"/>
      <c r="E960" s="1061"/>
      <c r="F960" s="1061"/>
      <c r="G960" s="1061"/>
      <c r="H960" s="1063"/>
      <c r="I960" s="1054"/>
      <c r="J960" s="1054"/>
      <c r="K960" s="1054"/>
      <c r="L960" s="1054"/>
      <c r="M960" s="1054"/>
      <c r="N960" s="1054"/>
      <c r="O960" s="1054"/>
      <c r="P960" s="1054"/>
      <c r="Q960" s="1054"/>
      <c r="R960" s="1054"/>
      <c r="S960" s="1054"/>
      <c r="T960" s="1054"/>
      <c r="U960" s="1054"/>
      <c r="V960" s="1054"/>
      <c r="W960" s="1054"/>
      <c r="X960" s="1054"/>
      <c r="Y960" s="1054"/>
      <c r="Z960" s="1054"/>
      <c r="AA960" s="1054"/>
      <c r="AB960" s="1054"/>
    </row>
    <row r="961">
      <c r="A961" s="1054"/>
      <c r="B961" s="1061"/>
      <c r="C961" s="1061"/>
      <c r="D961" s="1061"/>
      <c r="E961" s="1061"/>
      <c r="F961" s="1061"/>
      <c r="G961" s="1061"/>
      <c r="H961" s="1063"/>
      <c r="I961" s="1054"/>
      <c r="J961" s="1054"/>
      <c r="K961" s="1054"/>
      <c r="L961" s="1054"/>
      <c r="M961" s="1054"/>
      <c r="N961" s="1054"/>
      <c r="O961" s="1054"/>
      <c r="P961" s="1054"/>
      <c r="Q961" s="1054"/>
      <c r="R961" s="1054"/>
      <c r="S961" s="1054"/>
      <c r="T961" s="1054"/>
      <c r="U961" s="1054"/>
      <c r="V961" s="1054"/>
      <c r="W961" s="1054"/>
      <c r="X961" s="1054"/>
      <c r="Y961" s="1054"/>
      <c r="Z961" s="1054"/>
      <c r="AA961" s="1054"/>
      <c r="AB961" s="1054"/>
    </row>
    <row r="962">
      <c r="A962" s="1054"/>
      <c r="B962" s="1061"/>
      <c r="C962" s="1061"/>
      <c r="D962" s="1061"/>
      <c r="E962" s="1061"/>
      <c r="F962" s="1061"/>
      <c r="G962" s="1061"/>
      <c r="H962" s="1063"/>
      <c r="I962" s="1054"/>
      <c r="J962" s="1054"/>
      <c r="K962" s="1054"/>
      <c r="L962" s="1054"/>
      <c r="M962" s="1054"/>
      <c r="N962" s="1054"/>
      <c r="O962" s="1054"/>
      <c r="P962" s="1054"/>
      <c r="Q962" s="1054"/>
      <c r="R962" s="1054"/>
      <c r="S962" s="1054"/>
      <c r="T962" s="1054"/>
      <c r="U962" s="1054"/>
      <c r="V962" s="1054"/>
      <c r="W962" s="1054"/>
      <c r="X962" s="1054"/>
      <c r="Y962" s="1054"/>
      <c r="Z962" s="1054"/>
      <c r="AA962" s="1054"/>
      <c r="AB962" s="1054"/>
    </row>
    <row r="963">
      <c r="A963" s="1054"/>
      <c r="B963" s="1061"/>
      <c r="C963" s="1061"/>
      <c r="D963" s="1061"/>
      <c r="E963" s="1061"/>
      <c r="F963" s="1061"/>
      <c r="G963" s="1061"/>
      <c r="H963" s="1063"/>
      <c r="I963" s="1054"/>
      <c r="J963" s="1054"/>
      <c r="K963" s="1054"/>
      <c r="L963" s="1054"/>
      <c r="M963" s="1054"/>
      <c r="N963" s="1054"/>
      <c r="O963" s="1054"/>
      <c r="P963" s="1054"/>
      <c r="Q963" s="1054"/>
      <c r="R963" s="1054"/>
      <c r="S963" s="1054"/>
      <c r="T963" s="1054"/>
      <c r="U963" s="1054"/>
      <c r="V963" s="1054"/>
      <c r="W963" s="1054"/>
      <c r="X963" s="1054"/>
      <c r="Y963" s="1054"/>
      <c r="Z963" s="1054"/>
      <c r="AA963" s="1054"/>
      <c r="AB963" s="1054"/>
    </row>
    <row r="964">
      <c r="A964" s="1054"/>
      <c r="B964" s="1061"/>
      <c r="C964" s="1061"/>
      <c r="D964" s="1061"/>
      <c r="E964" s="1061"/>
      <c r="F964" s="1061"/>
      <c r="G964" s="1061"/>
      <c r="H964" s="1063"/>
      <c r="I964" s="1054"/>
      <c r="J964" s="1054"/>
      <c r="K964" s="1054"/>
      <c r="L964" s="1054"/>
      <c r="M964" s="1054"/>
      <c r="N964" s="1054"/>
      <c r="O964" s="1054"/>
      <c r="P964" s="1054"/>
      <c r="Q964" s="1054"/>
      <c r="R964" s="1054"/>
      <c r="S964" s="1054"/>
      <c r="T964" s="1054"/>
      <c r="U964" s="1054"/>
      <c r="V964" s="1054"/>
      <c r="W964" s="1054"/>
      <c r="X964" s="1054"/>
      <c r="Y964" s="1054"/>
      <c r="Z964" s="1054"/>
      <c r="AA964" s="1054"/>
      <c r="AB964" s="1054"/>
    </row>
    <row r="965">
      <c r="A965" s="1054"/>
      <c r="B965" s="1061"/>
      <c r="C965" s="1061"/>
      <c r="D965" s="1061"/>
      <c r="E965" s="1061"/>
      <c r="F965" s="1061"/>
      <c r="G965" s="1061"/>
      <c r="H965" s="1063"/>
      <c r="I965" s="1054"/>
      <c r="J965" s="1054"/>
      <c r="K965" s="1054"/>
      <c r="L965" s="1054"/>
      <c r="M965" s="1054"/>
      <c r="N965" s="1054"/>
      <c r="O965" s="1054"/>
      <c r="P965" s="1054"/>
      <c r="Q965" s="1054"/>
      <c r="R965" s="1054"/>
      <c r="S965" s="1054"/>
      <c r="T965" s="1054"/>
      <c r="U965" s="1054"/>
      <c r="V965" s="1054"/>
      <c r="W965" s="1054"/>
      <c r="X965" s="1054"/>
      <c r="Y965" s="1054"/>
      <c r="Z965" s="1054"/>
      <c r="AA965" s="1054"/>
      <c r="AB965" s="1054"/>
    </row>
    <row r="966">
      <c r="A966" s="1054"/>
      <c r="B966" s="1061"/>
      <c r="C966" s="1061"/>
      <c r="D966" s="1061"/>
      <c r="E966" s="1061"/>
      <c r="F966" s="1061"/>
      <c r="G966" s="1061"/>
      <c r="H966" s="1063"/>
      <c r="I966" s="1054"/>
      <c r="J966" s="1054"/>
      <c r="K966" s="1054"/>
      <c r="L966" s="1054"/>
      <c r="M966" s="1054"/>
      <c r="N966" s="1054"/>
      <c r="O966" s="1054"/>
      <c r="P966" s="1054"/>
      <c r="Q966" s="1054"/>
      <c r="R966" s="1054"/>
      <c r="S966" s="1054"/>
      <c r="T966" s="1054"/>
      <c r="U966" s="1054"/>
      <c r="V966" s="1054"/>
      <c r="W966" s="1054"/>
      <c r="X966" s="1054"/>
      <c r="Y966" s="1054"/>
      <c r="Z966" s="1054"/>
      <c r="AA966" s="1054"/>
      <c r="AB966" s="1054"/>
    </row>
    <row r="967">
      <c r="A967" s="1054"/>
      <c r="B967" s="1061"/>
      <c r="C967" s="1061"/>
      <c r="D967" s="1061"/>
      <c r="E967" s="1061"/>
      <c r="F967" s="1061"/>
      <c r="G967" s="1061"/>
      <c r="H967" s="1063"/>
      <c r="I967" s="1054"/>
      <c r="J967" s="1054"/>
      <c r="K967" s="1054"/>
      <c r="L967" s="1054"/>
      <c r="M967" s="1054"/>
      <c r="N967" s="1054"/>
      <c r="O967" s="1054"/>
      <c r="P967" s="1054"/>
      <c r="Q967" s="1054"/>
      <c r="R967" s="1054"/>
      <c r="S967" s="1054"/>
      <c r="T967" s="1054"/>
      <c r="U967" s="1054"/>
      <c r="V967" s="1054"/>
      <c r="W967" s="1054"/>
      <c r="X967" s="1054"/>
      <c r="Y967" s="1054"/>
      <c r="Z967" s="1054"/>
      <c r="AA967" s="1054"/>
      <c r="AB967" s="1054"/>
    </row>
    <row r="968">
      <c r="A968" s="1054"/>
      <c r="B968" s="1061"/>
      <c r="C968" s="1061"/>
      <c r="D968" s="1061"/>
      <c r="E968" s="1061"/>
      <c r="F968" s="1061"/>
      <c r="G968" s="1061"/>
      <c r="H968" s="1063"/>
      <c r="I968" s="1054"/>
      <c r="J968" s="1054"/>
      <c r="K968" s="1054"/>
      <c r="L968" s="1054"/>
      <c r="M968" s="1054"/>
      <c r="N968" s="1054"/>
      <c r="O968" s="1054"/>
      <c r="P968" s="1054"/>
      <c r="Q968" s="1054"/>
      <c r="R968" s="1054"/>
      <c r="S968" s="1054"/>
      <c r="T968" s="1054"/>
      <c r="U968" s="1054"/>
      <c r="V968" s="1054"/>
      <c r="W968" s="1054"/>
      <c r="X968" s="1054"/>
      <c r="Y968" s="1054"/>
      <c r="Z968" s="1054"/>
      <c r="AA968" s="1054"/>
      <c r="AB968" s="1054"/>
    </row>
    <row r="969">
      <c r="A969" s="1054"/>
      <c r="B969" s="1061"/>
      <c r="C969" s="1061"/>
      <c r="D969" s="1061"/>
      <c r="E969" s="1061"/>
      <c r="F969" s="1061"/>
      <c r="G969" s="1061"/>
      <c r="H969" s="1063"/>
      <c r="I969" s="1054"/>
      <c r="J969" s="1054"/>
      <c r="K969" s="1054"/>
      <c r="L969" s="1054"/>
      <c r="M969" s="1054"/>
      <c r="N969" s="1054"/>
      <c r="O969" s="1054"/>
      <c r="P969" s="1054"/>
      <c r="Q969" s="1054"/>
      <c r="R969" s="1054"/>
      <c r="S969" s="1054"/>
      <c r="T969" s="1054"/>
      <c r="U969" s="1054"/>
      <c r="V969" s="1054"/>
      <c r="W969" s="1054"/>
      <c r="X969" s="1054"/>
      <c r="Y969" s="1054"/>
      <c r="Z969" s="1054"/>
      <c r="AA969" s="1054"/>
      <c r="AB969" s="1054"/>
    </row>
    <row r="970">
      <c r="A970" s="1054"/>
      <c r="B970" s="1061"/>
      <c r="C970" s="1061"/>
      <c r="D970" s="1061"/>
      <c r="E970" s="1061"/>
      <c r="F970" s="1061"/>
      <c r="G970" s="1061"/>
      <c r="H970" s="1063"/>
      <c r="I970" s="1054"/>
      <c r="J970" s="1054"/>
      <c r="K970" s="1054"/>
      <c r="L970" s="1054"/>
      <c r="M970" s="1054"/>
      <c r="N970" s="1054"/>
      <c r="O970" s="1054"/>
      <c r="P970" s="1054"/>
      <c r="Q970" s="1054"/>
      <c r="R970" s="1054"/>
      <c r="S970" s="1054"/>
      <c r="T970" s="1054"/>
      <c r="U970" s="1054"/>
      <c r="V970" s="1054"/>
      <c r="W970" s="1054"/>
      <c r="X970" s="1054"/>
      <c r="Y970" s="1054"/>
      <c r="Z970" s="1054"/>
      <c r="AA970" s="1054"/>
      <c r="AB970" s="1054"/>
    </row>
    <row r="971">
      <c r="A971" s="1054"/>
      <c r="B971" s="1061"/>
      <c r="C971" s="1061"/>
      <c r="D971" s="1061"/>
      <c r="E971" s="1061"/>
      <c r="F971" s="1061"/>
      <c r="G971" s="1061"/>
      <c r="H971" s="1063"/>
      <c r="I971" s="1054"/>
      <c r="J971" s="1054"/>
      <c r="K971" s="1054"/>
      <c r="L971" s="1054"/>
      <c r="M971" s="1054"/>
      <c r="N971" s="1054"/>
      <c r="O971" s="1054"/>
      <c r="P971" s="1054"/>
      <c r="Q971" s="1054"/>
      <c r="R971" s="1054"/>
      <c r="S971" s="1054"/>
      <c r="T971" s="1054"/>
      <c r="U971" s="1054"/>
      <c r="V971" s="1054"/>
      <c r="W971" s="1054"/>
      <c r="X971" s="1054"/>
      <c r="Y971" s="1054"/>
      <c r="Z971" s="1054"/>
      <c r="AA971" s="1054"/>
      <c r="AB971" s="1054"/>
    </row>
    <row r="972">
      <c r="A972" s="1054"/>
      <c r="B972" s="1061"/>
      <c r="C972" s="1061"/>
      <c r="D972" s="1061"/>
      <c r="E972" s="1061"/>
      <c r="F972" s="1061"/>
      <c r="G972" s="1061"/>
      <c r="H972" s="1063"/>
      <c r="I972" s="1054"/>
      <c r="J972" s="1054"/>
      <c r="K972" s="1054"/>
      <c r="L972" s="1054"/>
      <c r="M972" s="1054"/>
      <c r="N972" s="1054"/>
      <c r="O972" s="1054"/>
      <c r="P972" s="1054"/>
      <c r="Q972" s="1054"/>
      <c r="R972" s="1054"/>
      <c r="S972" s="1054"/>
      <c r="T972" s="1054"/>
      <c r="U972" s="1054"/>
      <c r="V972" s="1054"/>
      <c r="W972" s="1054"/>
      <c r="X972" s="1054"/>
      <c r="Y972" s="1054"/>
      <c r="Z972" s="1054"/>
      <c r="AA972" s="1054"/>
      <c r="AB972" s="1054"/>
    </row>
    <row r="973">
      <c r="A973" s="1054"/>
      <c r="B973" s="1061"/>
      <c r="C973" s="1061"/>
      <c r="D973" s="1061"/>
      <c r="E973" s="1061"/>
      <c r="F973" s="1061"/>
      <c r="G973" s="1061"/>
      <c r="H973" s="1063"/>
      <c r="I973" s="1054"/>
      <c r="J973" s="1054"/>
      <c r="K973" s="1054"/>
      <c r="L973" s="1054"/>
      <c r="M973" s="1054"/>
      <c r="N973" s="1054"/>
      <c r="O973" s="1054"/>
      <c r="P973" s="1054"/>
      <c r="Q973" s="1054"/>
      <c r="R973" s="1054"/>
      <c r="S973" s="1054"/>
      <c r="T973" s="1054"/>
      <c r="U973" s="1054"/>
      <c r="V973" s="1054"/>
      <c r="W973" s="1054"/>
      <c r="X973" s="1054"/>
      <c r="Y973" s="1054"/>
      <c r="Z973" s="1054"/>
      <c r="AA973" s="1054"/>
      <c r="AB973" s="1054"/>
    </row>
    <row r="974">
      <c r="A974" s="1054"/>
      <c r="B974" s="1061"/>
      <c r="C974" s="1061"/>
      <c r="D974" s="1061"/>
      <c r="E974" s="1061"/>
      <c r="F974" s="1061"/>
      <c r="G974" s="1061"/>
      <c r="H974" s="1063"/>
      <c r="I974" s="1054"/>
      <c r="J974" s="1054"/>
      <c r="K974" s="1054"/>
      <c r="L974" s="1054"/>
      <c r="M974" s="1054"/>
      <c r="N974" s="1054"/>
      <c r="O974" s="1054"/>
      <c r="P974" s="1054"/>
      <c r="Q974" s="1054"/>
      <c r="R974" s="1054"/>
      <c r="S974" s="1054"/>
      <c r="T974" s="1054"/>
      <c r="U974" s="1054"/>
      <c r="V974" s="1054"/>
      <c r="W974" s="1054"/>
      <c r="X974" s="1054"/>
      <c r="Y974" s="1054"/>
      <c r="Z974" s="1054"/>
      <c r="AA974" s="1054"/>
      <c r="AB974" s="1054"/>
    </row>
    <row r="975">
      <c r="A975" s="1054"/>
      <c r="B975" s="1061"/>
      <c r="C975" s="1061"/>
      <c r="D975" s="1061"/>
      <c r="E975" s="1061"/>
      <c r="F975" s="1061"/>
      <c r="G975" s="1061"/>
      <c r="H975" s="1063"/>
      <c r="I975" s="1054"/>
      <c r="J975" s="1054"/>
      <c r="K975" s="1054"/>
      <c r="L975" s="1054"/>
      <c r="M975" s="1054"/>
      <c r="N975" s="1054"/>
      <c r="O975" s="1054"/>
      <c r="P975" s="1054"/>
      <c r="Q975" s="1054"/>
      <c r="R975" s="1054"/>
      <c r="S975" s="1054"/>
      <c r="T975" s="1054"/>
      <c r="U975" s="1054"/>
      <c r="V975" s="1054"/>
      <c r="W975" s="1054"/>
      <c r="X975" s="1054"/>
      <c r="Y975" s="1054"/>
      <c r="Z975" s="1054"/>
      <c r="AA975" s="1054"/>
      <c r="AB975" s="1054"/>
    </row>
    <row r="976">
      <c r="A976" s="1054"/>
      <c r="B976" s="1061"/>
      <c r="C976" s="1061"/>
      <c r="D976" s="1061"/>
      <c r="E976" s="1061"/>
      <c r="F976" s="1061"/>
      <c r="G976" s="1061"/>
      <c r="H976" s="1063"/>
      <c r="I976" s="1054"/>
      <c r="J976" s="1054"/>
      <c r="K976" s="1054"/>
      <c r="L976" s="1054"/>
      <c r="M976" s="1054"/>
      <c r="N976" s="1054"/>
      <c r="O976" s="1054"/>
      <c r="P976" s="1054"/>
      <c r="Q976" s="1054"/>
      <c r="R976" s="1054"/>
      <c r="S976" s="1054"/>
      <c r="T976" s="1054"/>
      <c r="U976" s="1054"/>
      <c r="V976" s="1054"/>
      <c r="W976" s="1054"/>
      <c r="X976" s="1054"/>
      <c r="Y976" s="1054"/>
      <c r="Z976" s="1054"/>
      <c r="AA976" s="1054"/>
      <c r="AB976" s="1054"/>
    </row>
    <row r="977">
      <c r="A977" s="1054"/>
      <c r="B977" s="1061"/>
      <c r="C977" s="1061"/>
      <c r="D977" s="1061"/>
      <c r="E977" s="1061"/>
      <c r="F977" s="1061"/>
      <c r="G977" s="1061"/>
      <c r="H977" s="1063"/>
      <c r="I977" s="1054"/>
      <c r="J977" s="1054"/>
      <c r="K977" s="1054"/>
      <c r="L977" s="1054"/>
      <c r="M977" s="1054"/>
      <c r="N977" s="1054"/>
      <c r="O977" s="1054"/>
      <c r="P977" s="1054"/>
      <c r="Q977" s="1054"/>
      <c r="R977" s="1054"/>
      <c r="S977" s="1054"/>
      <c r="T977" s="1054"/>
      <c r="U977" s="1054"/>
      <c r="V977" s="1054"/>
      <c r="W977" s="1054"/>
      <c r="X977" s="1054"/>
      <c r="Y977" s="1054"/>
      <c r="Z977" s="1054"/>
      <c r="AA977" s="1054"/>
      <c r="AB977" s="1054"/>
    </row>
    <row r="978">
      <c r="A978" s="1054"/>
      <c r="B978" s="1061"/>
      <c r="C978" s="1061"/>
      <c r="D978" s="1061"/>
      <c r="E978" s="1061"/>
      <c r="F978" s="1061"/>
      <c r="G978" s="1061"/>
      <c r="H978" s="1063"/>
      <c r="I978" s="1054"/>
      <c r="J978" s="1054"/>
      <c r="K978" s="1054"/>
      <c r="L978" s="1054"/>
      <c r="M978" s="1054"/>
      <c r="N978" s="1054"/>
      <c r="O978" s="1054"/>
      <c r="P978" s="1054"/>
      <c r="Q978" s="1054"/>
      <c r="R978" s="1054"/>
      <c r="S978" s="1054"/>
      <c r="T978" s="1054"/>
      <c r="U978" s="1054"/>
      <c r="V978" s="1054"/>
      <c r="W978" s="1054"/>
      <c r="X978" s="1054"/>
      <c r="Y978" s="1054"/>
      <c r="Z978" s="1054"/>
      <c r="AA978" s="1054"/>
      <c r="AB978" s="1054"/>
    </row>
    <row r="979">
      <c r="A979" s="1054"/>
      <c r="B979" s="1061"/>
      <c r="C979" s="1061"/>
      <c r="D979" s="1061"/>
      <c r="E979" s="1061"/>
      <c r="F979" s="1061"/>
      <c r="G979" s="1061"/>
      <c r="H979" s="1063"/>
      <c r="I979" s="1054"/>
      <c r="J979" s="1054"/>
      <c r="K979" s="1054"/>
      <c r="L979" s="1054"/>
      <c r="M979" s="1054"/>
      <c r="N979" s="1054"/>
      <c r="O979" s="1054"/>
      <c r="P979" s="1054"/>
      <c r="Q979" s="1054"/>
      <c r="R979" s="1054"/>
      <c r="S979" s="1054"/>
      <c r="T979" s="1054"/>
      <c r="U979" s="1054"/>
      <c r="V979" s="1054"/>
      <c r="W979" s="1054"/>
      <c r="X979" s="1054"/>
      <c r="Y979" s="1054"/>
      <c r="Z979" s="1054"/>
      <c r="AA979" s="1054"/>
      <c r="AB979" s="1054"/>
    </row>
    <row r="980">
      <c r="A980" s="1054"/>
      <c r="B980" s="1061"/>
      <c r="C980" s="1061"/>
      <c r="D980" s="1061"/>
      <c r="E980" s="1061"/>
      <c r="F980" s="1061"/>
      <c r="G980" s="1061"/>
      <c r="H980" s="1063"/>
      <c r="I980" s="1054"/>
      <c r="J980" s="1054"/>
      <c r="K980" s="1054"/>
      <c r="L980" s="1054"/>
      <c r="M980" s="1054"/>
      <c r="N980" s="1054"/>
      <c r="O980" s="1054"/>
      <c r="P980" s="1054"/>
      <c r="Q980" s="1054"/>
      <c r="R980" s="1054"/>
      <c r="S980" s="1054"/>
      <c r="T980" s="1054"/>
      <c r="U980" s="1054"/>
      <c r="V980" s="1054"/>
      <c r="W980" s="1054"/>
      <c r="X980" s="1054"/>
      <c r="Y980" s="1054"/>
      <c r="Z980" s="1054"/>
      <c r="AA980" s="1054"/>
      <c r="AB980" s="1054"/>
    </row>
    <row r="981">
      <c r="A981" s="1054"/>
      <c r="B981" s="1061"/>
      <c r="C981" s="1061"/>
      <c r="D981" s="1061"/>
      <c r="E981" s="1061"/>
      <c r="F981" s="1061"/>
      <c r="G981" s="1061"/>
      <c r="H981" s="1063"/>
      <c r="I981" s="1054"/>
      <c r="J981" s="1054"/>
      <c r="K981" s="1054"/>
      <c r="L981" s="1054"/>
      <c r="M981" s="1054"/>
      <c r="N981" s="1054"/>
      <c r="O981" s="1054"/>
      <c r="P981" s="1054"/>
      <c r="Q981" s="1054"/>
      <c r="R981" s="1054"/>
      <c r="S981" s="1054"/>
      <c r="T981" s="1054"/>
      <c r="U981" s="1054"/>
      <c r="V981" s="1054"/>
      <c r="W981" s="1054"/>
      <c r="X981" s="1054"/>
      <c r="Y981" s="1054"/>
      <c r="Z981" s="1054"/>
      <c r="AA981" s="1054"/>
      <c r="AB981" s="1054"/>
    </row>
    <row r="982">
      <c r="A982" s="1054"/>
      <c r="B982" s="1061"/>
      <c r="C982" s="1061"/>
      <c r="D982" s="1061"/>
      <c r="E982" s="1061"/>
      <c r="F982" s="1061"/>
      <c r="G982" s="1061"/>
      <c r="H982" s="1063"/>
      <c r="I982" s="1054"/>
      <c r="J982" s="1054"/>
      <c r="K982" s="1054"/>
      <c r="L982" s="1054"/>
      <c r="M982" s="1054"/>
      <c r="N982" s="1054"/>
      <c r="O982" s="1054"/>
      <c r="P982" s="1054"/>
      <c r="Q982" s="1054"/>
      <c r="R982" s="1054"/>
      <c r="S982" s="1054"/>
      <c r="T982" s="1054"/>
      <c r="U982" s="1054"/>
      <c r="V982" s="1054"/>
      <c r="W982" s="1054"/>
      <c r="X982" s="1054"/>
      <c r="Y982" s="1054"/>
      <c r="Z982" s="1054"/>
      <c r="AA982" s="1054"/>
      <c r="AB982" s="1054"/>
    </row>
    <row r="983">
      <c r="A983" s="1054"/>
      <c r="B983" s="1061"/>
      <c r="C983" s="1061"/>
      <c r="D983" s="1061"/>
      <c r="E983" s="1061"/>
      <c r="F983" s="1061"/>
      <c r="G983" s="1061"/>
      <c r="H983" s="1063"/>
      <c r="I983" s="1054"/>
      <c r="J983" s="1054"/>
      <c r="K983" s="1054"/>
      <c r="L983" s="1054"/>
      <c r="M983" s="1054"/>
      <c r="N983" s="1054"/>
      <c r="O983" s="1054"/>
      <c r="P983" s="1054"/>
      <c r="Q983" s="1054"/>
      <c r="R983" s="1054"/>
      <c r="S983" s="1054"/>
      <c r="T983" s="1054"/>
      <c r="U983" s="1054"/>
      <c r="V983" s="1054"/>
      <c r="W983" s="1054"/>
      <c r="X983" s="1054"/>
      <c r="Y983" s="1054"/>
      <c r="Z983" s="1054"/>
      <c r="AA983" s="1054"/>
      <c r="AB983" s="1054"/>
    </row>
    <row r="984">
      <c r="A984" s="1054"/>
      <c r="B984" s="1061"/>
      <c r="C984" s="1061"/>
      <c r="D984" s="1061"/>
      <c r="E984" s="1061"/>
      <c r="F984" s="1061"/>
      <c r="G984" s="1061"/>
      <c r="H984" s="1063"/>
      <c r="I984" s="1054"/>
      <c r="J984" s="1054"/>
      <c r="K984" s="1054"/>
      <c r="L984" s="1054"/>
      <c r="M984" s="1054"/>
      <c r="N984" s="1054"/>
      <c r="O984" s="1054"/>
      <c r="P984" s="1054"/>
      <c r="Q984" s="1054"/>
      <c r="R984" s="1054"/>
      <c r="S984" s="1054"/>
      <c r="T984" s="1054"/>
      <c r="U984" s="1054"/>
      <c r="V984" s="1054"/>
      <c r="W984" s="1054"/>
      <c r="X984" s="1054"/>
      <c r="Y984" s="1054"/>
      <c r="Z984" s="1054"/>
      <c r="AA984" s="1054"/>
      <c r="AB984" s="1054"/>
    </row>
    <row r="985">
      <c r="A985" s="1054"/>
      <c r="B985" s="1061"/>
      <c r="C985" s="1061"/>
      <c r="D985" s="1061"/>
      <c r="E985" s="1061"/>
      <c r="F985" s="1061"/>
      <c r="G985" s="1061"/>
      <c r="H985" s="1063"/>
      <c r="I985" s="1054"/>
      <c r="J985" s="1054"/>
      <c r="K985" s="1054"/>
      <c r="L985" s="1054"/>
      <c r="M985" s="1054"/>
      <c r="N985" s="1054"/>
      <c r="O985" s="1054"/>
      <c r="P985" s="1054"/>
      <c r="Q985" s="1054"/>
      <c r="R985" s="1054"/>
      <c r="S985" s="1054"/>
      <c r="T985" s="1054"/>
      <c r="U985" s="1054"/>
      <c r="V985" s="1054"/>
      <c r="W985" s="1054"/>
      <c r="X985" s="1054"/>
      <c r="Y985" s="1054"/>
      <c r="Z985" s="1054"/>
      <c r="AA985" s="1054"/>
      <c r="AB985" s="1054"/>
    </row>
    <row r="986">
      <c r="A986" s="1054"/>
      <c r="B986" s="1061"/>
      <c r="C986" s="1061"/>
      <c r="D986" s="1061"/>
      <c r="E986" s="1061"/>
      <c r="F986" s="1061"/>
      <c r="G986" s="1061"/>
      <c r="H986" s="1063"/>
      <c r="I986" s="1054"/>
      <c r="J986" s="1054"/>
      <c r="K986" s="1054"/>
      <c r="L986" s="1054"/>
      <c r="M986" s="1054"/>
      <c r="N986" s="1054"/>
      <c r="O986" s="1054"/>
      <c r="P986" s="1054"/>
      <c r="Q986" s="1054"/>
      <c r="R986" s="1054"/>
      <c r="S986" s="1054"/>
      <c r="T986" s="1054"/>
      <c r="U986" s="1054"/>
      <c r="V986" s="1054"/>
      <c r="W986" s="1054"/>
      <c r="X986" s="1054"/>
      <c r="Y986" s="1054"/>
      <c r="Z986" s="1054"/>
      <c r="AA986" s="1054"/>
      <c r="AB986" s="1054"/>
    </row>
    <row r="987">
      <c r="A987" s="1054"/>
      <c r="B987" s="1061"/>
      <c r="C987" s="1061"/>
      <c r="D987" s="1061"/>
      <c r="E987" s="1061"/>
      <c r="F987" s="1061"/>
      <c r="G987" s="1061"/>
      <c r="H987" s="1063"/>
      <c r="I987" s="1054"/>
      <c r="J987" s="1054"/>
      <c r="K987" s="1054"/>
      <c r="L987" s="1054"/>
      <c r="M987" s="1054"/>
      <c r="N987" s="1054"/>
      <c r="O987" s="1054"/>
      <c r="P987" s="1054"/>
      <c r="Q987" s="1054"/>
      <c r="R987" s="1054"/>
      <c r="S987" s="1054"/>
      <c r="T987" s="1054"/>
      <c r="U987" s="1054"/>
      <c r="V987" s="1054"/>
      <c r="W987" s="1054"/>
      <c r="X987" s="1054"/>
      <c r="Y987" s="1054"/>
      <c r="Z987" s="1054"/>
      <c r="AA987" s="1054"/>
      <c r="AB987" s="1054"/>
    </row>
    <row r="988">
      <c r="A988" s="1054"/>
      <c r="B988" s="1061"/>
      <c r="C988" s="1061"/>
      <c r="D988" s="1061"/>
      <c r="E988" s="1061"/>
      <c r="F988" s="1061"/>
      <c r="G988" s="1061"/>
      <c r="H988" s="1063"/>
      <c r="I988" s="1054"/>
      <c r="J988" s="1054"/>
      <c r="K988" s="1054"/>
      <c r="L988" s="1054"/>
      <c r="M988" s="1054"/>
      <c r="N988" s="1054"/>
      <c r="O988" s="1054"/>
      <c r="P988" s="1054"/>
      <c r="Q988" s="1054"/>
      <c r="R988" s="1054"/>
      <c r="S988" s="1054"/>
      <c r="T988" s="1054"/>
      <c r="U988" s="1054"/>
      <c r="V988" s="1054"/>
      <c r="W988" s="1054"/>
      <c r="X988" s="1054"/>
      <c r="Y988" s="1054"/>
      <c r="Z988" s="1054"/>
      <c r="AA988" s="1054"/>
      <c r="AB988" s="1054"/>
    </row>
    <row r="989">
      <c r="A989" s="1054"/>
      <c r="B989" s="1061"/>
      <c r="C989" s="1061"/>
      <c r="D989" s="1061"/>
      <c r="E989" s="1061"/>
      <c r="F989" s="1061"/>
      <c r="G989" s="1061"/>
      <c r="H989" s="1063"/>
      <c r="I989" s="1054"/>
      <c r="J989" s="1054"/>
      <c r="K989" s="1054"/>
      <c r="L989" s="1054"/>
      <c r="M989" s="1054"/>
      <c r="N989" s="1054"/>
      <c r="O989" s="1054"/>
      <c r="P989" s="1054"/>
      <c r="Q989" s="1054"/>
      <c r="R989" s="1054"/>
      <c r="S989" s="1054"/>
      <c r="T989" s="1054"/>
      <c r="U989" s="1054"/>
      <c r="V989" s="1054"/>
      <c r="W989" s="1054"/>
      <c r="X989" s="1054"/>
      <c r="Y989" s="1054"/>
      <c r="Z989" s="1054"/>
      <c r="AA989" s="1054"/>
      <c r="AB989" s="1054"/>
    </row>
    <row r="990">
      <c r="A990" s="1054"/>
      <c r="B990" s="1061"/>
      <c r="C990" s="1061"/>
      <c r="D990" s="1061"/>
      <c r="E990" s="1061"/>
      <c r="F990" s="1061"/>
      <c r="G990" s="1061"/>
      <c r="H990" s="1063"/>
      <c r="I990" s="1054"/>
      <c r="J990" s="1054"/>
      <c r="K990" s="1054"/>
      <c r="L990" s="1054"/>
      <c r="M990" s="1054"/>
      <c r="N990" s="1054"/>
      <c r="O990" s="1054"/>
      <c r="P990" s="1054"/>
      <c r="Q990" s="1054"/>
      <c r="R990" s="1054"/>
      <c r="S990" s="1054"/>
      <c r="T990" s="1054"/>
      <c r="U990" s="1054"/>
      <c r="V990" s="1054"/>
      <c r="W990" s="1054"/>
      <c r="X990" s="1054"/>
      <c r="Y990" s="1054"/>
      <c r="Z990" s="1054"/>
      <c r="AA990" s="1054"/>
      <c r="AB990" s="1054"/>
    </row>
    <row r="991">
      <c r="A991" s="1054"/>
      <c r="B991" s="1061"/>
      <c r="C991" s="1061"/>
      <c r="D991" s="1061"/>
      <c r="E991" s="1061"/>
      <c r="F991" s="1061"/>
      <c r="G991" s="1061"/>
      <c r="H991" s="1063"/>
      <c r="I991" s="1054"/>
      <c r="J991" s="1054"/>
      <c r="K991" s="1054"/>
      <c r="L991" s="1054"/>
      <c r="M991" s="1054"/>
      <c r="N991" s="1054"/>
      <c r="O991" s="1054"/>
      <c r="P991" s="1054"/>
      <c r="Q991" s="1054"/>
      <c r="R991" s="1054"/>
      <c r="S991" s="1054"/>
      <c r="T991" s="1054"/>
      <c r="U991" s="1054"/>
      <c r="V991" s="1054"/>
      <c r="W991" s="1054"/>
      <c r="X991" s="1054"/>
      <c r="Y991" s="1054"/>
      <c r="Z991" s="1054"/>
      <c r="AA991" s="1054"/>
      <c r="AB991" s="1054"/>
    </row>
    <row r="992">
      <c r="A992" s="1054"/>
      <c r="B992" s="1061"/>
      <c r="C992" s="1061"/>
      <c r="D992" s="1061"/>
      <c r="E992" s="1061"/>
      <c r="F992" s="1061"/>
      <c r="G992" s="1061"/>
      <c r="H992" s="1063"/>
      <c r="I992" s="1054"/>
      <c r="J992" s="1054"/>
      <c r="K992" s="1054"/>
      <c r="L992" s="1054"/>
      <c r="M992" s="1054"/>
      <c r="N992" s="1054"/>
      <c r="O992" s="1054"/>
      <c r="P992" s="1054"/>
      <c r="Q992" s="1054"/>
      <c r="R992" s="1054"/>
      <c r="S992" s="1054"/>
      <c r="T992" s="1054"/>
      <c r="U992" s="1054"/>
      <c r="V992" s="1054"/>
      <c r="W992" s="1054"/>
      <c r="X992" s="1054"/>
      <c r="Y992" s="1054"/>
      <c r="Z992" s="1054"/>
      <c r="AA992" s="1054"/>
      <c r="AB992" s="1054"/>
    </row>
    <row r="993">
      <c r="A993" s="1054"/>
      <c r="B993" s="1061"/>
      <c r="C993" s="1061"/>
      <c r="D993" s="1061"/>
      <c r="E993" s="1061"/>
      <c r="F993" s="1061"/>
      <c r="G993" s="1061"/>
      <c r="H993" s="1063"/>
      <c r="I993" s="1054"/>
      <c r="J993" s="1054"/>
      <c r="K993" s="1054"/>
      <c r="L993" s="1054"/>
      <c r="M993" s="1054"/>
      <c r="N993" s="1054"/>
      <c r="O993" s="1054"/>
      <c r="P993" s="1054"/>
      <c r="Q993" s="1054"/>
      <c r="R993" s="1054"/>
      <c r="S993" s="1054"/>
      <c r="T993" s="1054"/>
      <c r="U993" s="1054"/>
      <c r="V993" s="1054"/>
      <c r="W993" s="1054"/>
      <c r="X993" s="1054"/>
      <c r="Y993" s="1054"/>
      <c r="Z993" s="1054"/>
      <c r="AA993" s="1054"/>
      <c r="AB993" s="1054"/>
    </row>
    <row r="994">
      <c r="A994" s="1054"/>
      <c r="B994" s="1061"/>
      <c r="C994" s="1061"/>
      <c r="D994" s="1061"/>
      <c r="E994" s="1061"/>
      <c r="F994" s="1061"/>
      <c r="G994" s="1061"/>
      <c r="H994" s="1063"/>
      <c r="I994" s="1054"/>
      <c r="J994" s="1054"/>
      <c r="K994" s="1054"/>
      <c r="L994" s="1054"/>
      <c r="M994" s="1054"/>
      <c r="N994" s="1054"/>
      <c r="O994" s="1054"/>
      <c r="P994" s="1054"/>
      <c r="Q994" s="1054"/>
      <c r="R994" s="1054"/>
      <c r="S994" s="1054"/>
      <c r="T994" s="1054"/>
      <c r="U994" s="1054"/>
      <c r="V994" s="1054"/>
      <c r="W994" s="1054"/>
      <c r="X994" s="1054"/>
      <c r="Y994" s="1054"/>
      <c r="Z994" s="1054"/>
      <c r="AA994" s="1054"/>
      <c r="AB994" s="1054"/>
    </row>
    <row r="995">
      <c r="A995" s="1054"/>
      <c r="B995" s="1061"/>
      <c r="C995" s="1061"/>
      <c r="D995" s="1061"/>
      <c r="E995" s="1061"/>
      <c r="F995" s="1061"/>
      <c r="G995" s="1061"/>
      <c r="H995" s="1063"/>
      <c r="I995" s="1054"/>
      <c r="J995" s="1054"/>
      <c r="K995" s="1054"/>
      <c r="L995" s="1054"/>
      <c r="M995" s="1054"/>
      <c r="N995" s="1054"/>
      <c r="O995" s="1054"/>
      <c r="P995" s="1054"/>
      <c r="Q995" s="1054"/>
      <c r="R995" s="1054"/>
      <c r="S995" s="1054"/>
      <c r="T995" s="1054"/>
      <c r="U995" s="1054"/>
      <c r="V995" s="1054"/>
      <c r="W995" s="1054"/>
      <c r="X995" s="1054"/>
      <c r="Y995" s="1054"/>
      <c r="Z995" s="1054"/>
      <c r="AA995" s="1054"/>
      <c r="AB995" s="1054"/>
    </row>
    <row r="996">
      <c r="A996" s="1054"/>
      <c r="B996" s="1061"/>
      <c r="C996" s="1061"/>
      <c r="D996" s="1061"/>
      <c r="E996" s="1061"/>
      <c r="F996" s="1061"/>
      <c r="G996" s="1061"/>
      <c r="H996" s="1063"/>
      <c r="I996" s="1054"/>
      <c r="J996" s="1054"/>
      <c r="K996" s="1054"/>
      <c r="L996" s="1054"/>
      <c r="M996" s="1054"/>
      <c r="N996" s="1054"/>
      <c r="O996" s="1054"/>
      <c r="P996" s="1054"/>
      <c r="Q996" s="1054"/>
      <c r="R996" s="1054"/>
      <c r="S996" s="1054"/>
      <c r="T996" s="1054"/>
      <c r="U996" s="1054"/>
      <c r="V996" s="1054"/>
      <c r="W996" s="1054"/>
      <c r="X996" s="1054"/>
      <c r="Y996" s="1054"/>
      <c r="Z996" s="1054"/>
      <c r="AA996" s="1054"/>
      <c r="AB996" s="1054"/>
    </row>
    <row r="997">
      <c r="A997" s="1054"/>
      <c r="B997" s="1061"/>
      <c r="C997" s="1061"/>
      <c r="D997" s="1061"/>
      <c r="E997" s="1061"/>
      <c r="F997" s="1061"/>
      <c r="G997" s="1061"/>
      <c r="H997" s="1063"/>
      <c r="I997" s="1054"/>
      <c r="J997" s="1054"/>
      <c r="K997" s="1054"/>
      <c r="L997" s="1054"/>
      <c r="M997" s="1054"/>
      <c r="N997" s="1054"/>
      <c r="O997" s="1054"/>
      <c r="P997" s="1054"/>
      <c r="Q997" s="1054"/>
      <c r="R997" s="1054"/>
      <c r="S997" s="1054"/>
      <c r="T997" s="1054"/>
      <c r="U997" s="1054"/>
      <c r="V997" s="1054"/>
      <c r="W997" s="1054"/>
      <c r="X997" s="1054"/>
      <c r="Y997" s="1054"/>
      <c r="Z997" s="1054"/>
      <c r="AA997" s="1054"/>
      <c r="AB997" s="1054"/>
    </row>
    <row r="998">
      <c r="A998" s="1054"/>
      <c r="B998" s="1061"/>
      <c r="C998" s="1061"/>
      <c r="D998" s="1061"/>
      <c r="E998" s="1061"/>
      <c r="F998" s="1061"/>
      <c r="G998" s="1061"/>
      <c r="H998" s="1063"/>
      <c r="I998" s="1054"/>
      <c r="J998" s="1054"/>
      <c r="K998" s="1054"/>
      <c r="L998" s="1054"/>
      <c r="M998" s="1054"/>
      <c r="N998" s="1054"/>
      <c r="O998" s="1054"/>
      <c r="P998" s="1054"/>
      <c r="Q998" s="1054"/>
      <c r="R998" s="1054"/>
      <c r="S998" s="1054"/>
      <c r="T998" s="1054"/>
      <c r="U998" s="1054"/>
      <c r="V998" s="1054"/>
      <c r="W998" s="1054"/>
      <c r="X998" s="1054"/>
      <c r="Y998" s="1054"/>
      <c r="Z998" s="1054"/>
      <c r="AA998" s="1054"/>
      <c r="AB998" s="1054"/>
    </row>
    <row r="999">
      <c r="A999" s="1054"/>
      <c r="B999" s="1061"/>
      <c r="C999" s="1061"/>
      <c r="D999" s="1061"/>
      <c r="E999" s="1061"/>
      <c r="F999" s="1061"/>
      <c r="G999" s="1061"/>
      <c r="H999" s="1063"/>
      <c r="I999" s="1054"/>
      <c r="J999" s="1054"/>
      <c r="K999" s="1054"/>
      <c r="L999" s="1054"/>
      <c r="M999" s="1054"/>
      <c r="N999" s="1054"/>
      <c r="O999" s="1054"/>
      <c r="P999" s="1054"/>
      <c r="Q999" s="1054"/>
      <c r="R999" s="1054"/>
      <c r="S999" s="1054"/>
      <c r="T999" s="1054"/>
      <c r="U999" s="1054"/>
      <c r="V999" s="1054"/>
      <c r="W999" s="1054"/>
      <c r="X999" s="1054"/>
      <c r="Y999" s="1054"/>
      <c r="Z999" s="1054"/>
      <c r="AA999" s="1054"/>
      <c r="AB999" s="1054"/>
    </row>
    <row r="1000">
      <c r="A1000" s="1054"/>
      <c r="B1000" s="1061"/>
      <c r="C1000" s="1061"/>
      <c r="D1000" s="1061"/>
      <c r="E1000" s="1061"/>
      <c r="F1000" s="1061"/>
      <c r="G1000" s="1061"/>
      <c r="H1000" s="1063"/>
      <c r="I1000" s="1054"/>
      <c r="J1000" s="1054"/>
      <c r="K1000" s="1054"/>
      <c r="L1000" s="1054"/>
      <c r="M1000" s="1054"/>
      <c r="N1000" s="1054"/>
      <c r="O1000" s="1054"/>
      <c r="P1000" s="1054"/>
      <c r="Q1000" s="1054"/>
      <c r="R1000" s="1054"/>
      <c r="S1000" s="1054"/>
      <c r="T1000" s="1054"/>
      <c r="U1000" s="1054"/>
      <c r="V1000" s="1054"/>
      <c r="W1000" s="1054"/>
      <c r="X1000" s="1054"/>
      <c r="Y1000" s="1054"/>
      <c r="Z1000" s="1054"/>
      <c r="AA1000" s="1054"/>
      <c r="AB1000" s="1054"/>
    </row>
    <row r="1001">
      <c r="A1001" s="1054"/>
      <c r="B1001" s="1061"/>
      <c r="C1001" s="1061"/>
      <c r="D1001" s="1061"/>
      <c r="E1001" s="1061"/>
      <c r="F1001" s="1061"/>
      <c r="G1001" s="1061"/>
      <c r="H1001" s="1063"/>
      <c r="I1001" s="1054"/>
      <c r="J1001" s="1054"/>
      <c r="K1001" s="1054"/>
      <c r="L1001" s="1054"/>
      <c r="M1001" s="1054"/>
      <c r="N1001" s="1054"/>
      <c r="O1001" s="1054"/>
      <c r="P1001" s="1054"/>
      <c r="Q1001" s="1054"/>
      <c r="R1001" s="1054"/>
      <c r="S1001" s="1054"/>
      <c r="T1001" s="1054"/>
      <c r="U1001" s="1054"/>
      <c r="V1001" s="1054"/>
      <c r="W1001" s="1054"/>
      <c r="X1001" s="1054"/>
      <c r="Y1001" s="1054"/>
      <c r="Z1001" s="1054"/>
      <c r="AA1001" s="1054"/>
      <c r="AB1001" s="1054"/>
    </row>
    <row r="1002">
      <c r="A1002" s="1054"/>
      <c r="B1002" s="1061"/>
      <c r="C1002" s="1061"/>
      <c r="D1002" s="1061"/>
      <c r="E1002" s="1061"/>
      <c r="F1002" s="1061"/>
      <c r="G1002" s="1061"/>
      <c r="H1002" s="1063"/>
      <c r="I1002" s="1054"/>
      <c r="J1002" s="1054"/>
      <c r="K1002" s="1054"/>
      <c r="L1002" s="1054"/>
      <c r="M1002" s="1054"/>
      <c r="N1002" s="1054"/>
      <c r="O1002" s="1054"/>
      <c r="P1002" s="1054"/>
      <c r="Q1002" s="1054"/>
      <c r="R1002" s="1054"/>
      <c r="S1002" s="1054"/>
      <c r="T1002" s="1054"/>
      <c r="U1002" s="1054"/>
      <c r="V1002" s="1054"/>
      <c r="W1002" s="1054"/>
      <c r="X1002" s="1054"/>
      <c r="Y1002" s="1054"/>
      <c r="Z1002" s="1054"/>
      <c r="AA1002" s="1054"/>
      <c r="AB1002" s="1054"/>
    </row>
    <row r="1003">
      <c r="A1003" s="1054"/>
      <c r="B1003" s="1061"/>
      <c r="C1003" s="1061"/>
      <c r="D1003" s="1061"/>
      <c r="E1003" s="1061"/>
      <c r="F1003" s="1061"/>
      <c r="G1003" s="1061"/>
      <c r="H1003" s="1063"/>
      <c r="I1003" s="1054"/>
      <c r="J1003" s="1054"/>
      <c r="K1003" s="1054"/>
      <c r="L1003" s="1054"/>
      <c r="M1003" s="1054"/>
      <c r="N1003" s="1054"/>
      <c r="O1003" s="1054"/>
      <c r="P1003" s="1054"/>
      <c r="Q1003" s="1054"/>
      <c r="R1003" s="1054"/>
      <c r="S1003" s="1054"/>
      <c r="T1003" s="1054"/>
      <c r="U1003" s="1054"/>
      <c r="V1003" s="1054"/>
      <c r="W1003" s="1054"/>
      <c r="X1003" s="1054"/>
      <c r="Y1003" s="1054"/>
      <c r="Z1003" s="1054"/>
      <c r="AA1003" s="1054"/>
      <c r="AB1003" s="1054"/>
    </row>
    <row r="1004">
      <c r="A1004" s="1054"/>
      <c r="B1004" s="1061"/>
      <c r="C1004" s="1061"/>
      <c r="D1004" s="1061"/>
      <c r="E1004" s="1061"/>
      <c r="F1004" s="1061"/>
      <c r="G1004" s="1061"/>
      <c r="H1004" s="1063"/>
      <c r="I1004" s="1054"/>
      <c r="J1004" s="1054"/>
      <c r="K1004" s="1054"/>
      <c r="L1004" s="1054"/>
      <c r="M1004" s="1054"/>
      <c r="N1004" s="1054"/>
      <c r="O1004" s="1054"/>
      <c r="P1004" s="1054"/>
      <c r="Q1004" s="1054"/>
      <c r="R1004" s="1054"/>
      <c r="S1004" s="1054"/>
      <c r="T1004" s="1054"/>
      <c r="U1004" s="1054"/>
      <c r="V1004" s="1054"/>
      <c r="W1004" s="1054"/>
      <c r="X1004" s="1054"/>
      <c r="Y1004" s="1054"/>
      <c r="Z1004" s="1054"/>
      <c r="AA1004" s="1054"/>
      <c r="AB1004" s="1054"/>
    </row>
    <row r="1005">
      <c r="A1005" s="1054"/>
      <c r="B1005" s="1061"/>
      <c r="C1005" s="1061"/>
      <c r="D1005" s="1061"/>
      <c r="E1005" s="1061"/>
      <c r="F1005" s="1061"/>
      <c r="G1005" s="1061"/>
      <c r="H1005" s="1063"/>
      <c r="I1005" s="1054"/>
      <c r="J1005" s="1054"/>
      <c r="K1005" s="1054"/>
      <c r="L1005" s="1054"/>
      <c r="M1005" s="1054"/>
      <c r="N1005" s="1054"/>
      <c r="O1005" s="1054"/>
      <c r="P1005" s="1054"/>
      <c r="Q1005" s="1054"/>
      <c r="R1005" s="1054"/>
      <c r="S1005" s="1054"/>
      <c r="T1005" s="1054"/>
      <c r="U1005" s="1054"/>
      <c r="V1005" s="1054"/>
      <c r="W1005" s="1054"/>
      <c r="X1005" s="1054"/>
      <c r="Y1005" s="1054"/>
      <c r="Z1005" s="1054"/>
      <c r="AA1005" s="1054"/>
      <c r="AB1005" s="1054"/>
    </row>
    <row r="1006">
      <c r="A1006" s="1054"/>
      <c r="B1006" s="1061"/>
      <c r="C1006" s="1061"/>
      <c r="D1006" s="1061"/>
      <c r="E1006" s="1061"/>
      <c r="F1006" s="1061"/>
      <c r="G1006" s="1061"/>
      <c r="H1006" s="1063"/>
      <c r="I1006" s="1054"/>
      <c r="J1006" s="1054"/>
      <c r="K1006" s="1054"/>
      <c r="L1006" s="1054"/>
      <c r="M1006" s="1054"/>
      <c r="N1006" s="1054"/>
      <c r="O1006" s="1054"/>
      <c r="P1006" s="1054"/>
      <c r="Q1006" s="1054"/>
      <c r="R1006" s="1054"/>
      <c r="S1006" s="1054"/>
      <c r="T1006" s="1054"/>
      <c r="U1006" s="1054"/>
      <c r="V1006" s="1054"/>
      <c r="W1006" s="1054"/>
      <c r="X1006" s="1054"/>
      <c r="Y1006" s="1054"/>
      <c r="Z1006" s="1054"/>
      <c r="AA1006" s="1054"/>
      <c r="AB1006" s="1054"/>
    </row>
    <row r="1007">
      <c r="A1007" s="1054"/>
      <c r="B1007" s="1061"/>
      <c r="C1007" s="1061"/>
      <c r="D1007" s="1061"/>
      <c r="E1007" s="1061"/>
      <c r="F1007" s="1061"/>
      <c r="G1007" s="1061"/>
      <c r="H1007" s="1063"/>
      <c r="I1007" s="1054"/>
      <c r="J1007" s="1054"/>
      <c r="K1007" s="1054"/>
      <c r="L1007" s="1054"/>
      <c r="M1007" s="1054"/>
      <c r="N1007" s="1054"/>
      <c r="O1007" s="1054"/>
      <c r="P1007" s="1054"/>
      <c r="Q1007" s="1054"/>
      <c r="R1007" s="1054"/>
      <c r="S1007" s="1054"/>
      <c r="T1007" s="1054"/>
      <c r="U1007" s="1054"/>
      <c r="V1007" s="1054"/>
      <c r="W1007" s="1054"/>
      <c r="X1007" s="1054"/>
      <c r="Y1007" s="1054"/>
      <c r="Z1007" s="1054"/>
      <c r="AA1007" s="1054"/>
      <c r="AB1007" s="1054"/>
    </row>
    <row r="1008">
      <c r="A1008" s="1054"/>
      <c r="B1008" s="1061"/>
      <c r="C1008" s="1061"/>
      <c r="D1008" s="1061"/>
      <c r="E1008" s="1061"/>
      <c r="F1008" s="1061"/>
      <c r="G1008" s="1061"/>
      <c r="H1008" s="1063"/>
      <c r="I1008" s="1054"/>
      <c r="J1008" s="1054"/>
      <c r="K1008" s="1054"/>
      <c r="L1008" s="1054"/>
      <c r="M1008" s="1054"/>
      <c r="N1008" s="1054"/>
      <c r="O1008" s="1054"/>
      <c r="P1008" s="1054"/>
      <c r="Q1008" s="1054"/>
      <c r="R1008" s="1054"/>
      <c r="S1008" s="1054"/>
      <c r="T1008" s="1054"/>
      <c r="U1008" s="1054"/>
      <c r="V1008" s="1054"/>
      <c r="W1008" s="1054"/>
      <c r="X1008" s="1054"/>
      <c r="Y1008" s="1054"/>
      <c r="Z1008" s="1054"/>
      <c r="AA1008" s="1054"/>
      <c r="AB1008" s="1054"/>
    </row>
    <row r="1009">
      <c r="A1009" s="1054"/>
      <c r="B1009" s="1061"/>
      <c r="C1009" s="1061"/>
      <c r="D1009" s="1061"/>
      <c r="E1009" s="1061"/>
      <c r="F1009" s="1061"/>
      <c r="G1009" s="1061"/>
      <c r="H1009" s="1063"/>
      <c r="I1009" s="1054"/>
      <c r="J1009" s="1054"/>
      <c r="K1009" s="1054"/>
      <c r="L1009" s="1054"/>
      <c r="M1009" s="1054"/>
      <c r="N1009" s="1054"/>
      <c r="O1009" s="1054"/>
      <c r="P1009" s="1054"/>
      <c r="Q1009" s="1054"/>
      <c r="R1009" s="1054"/>
      <c r="S1009" s="1054"/>
      <c r="T1009" s="1054"/>
      <c r="U1009" s="1054"/>
      <c r="V1009" s="1054"/>
      <c r="W1009" s="1054"/>
      <c r="X1009" s="1054"/>
      <c r="Y1009" s="1054"/>
      <c r="Z1009" s="1054"/>
      <c r="AA1009" s="1054"/>
      <c r="AB1009" s="1054"/>
    </row>
    <row r="1010">
      <c r="A1010" s="1054"/>
      <c r="B1010" s="1061"/>
      <c r="C1010" s="1061"/>
      <c r="D1010" s="1061"/>
      <c r="E1010" s="1061"/>
      <c r="F1010" s="1061"/>
      <c r="G1010" s="1061"/>
      <c r="H1010" s="1063"/>
      <c r="I1010" s="1054"/>
      <c r="J1010" s="1054"/>
      <c r="K1010" s="1054"/>
      <c r="L1010" s="1054"/>
      <c r="M1010" s="1054"/>
      <c r="N1010" s="1054"/>
      <c r="O1010" s="1054"/>
      <c r="P1010" s="1054"/>
      <c r="Q1010" s="1054"/>
      <c r="R1010" s="1054"/>
      <c r="S1010" s="1054"/>
      <c r="T1010" s="1054"/>
      <c r="U1010" s="1054"/>
      <c r="V1010" s="1054"/>
      <c r="W1010" s="1054"/>
      <c r="X1010" s="1054"/>
      <c r="Y1010" s="1054"/>
      <c r="Z1010" s="1054"/>
      <c r="AA1010" s="1054"/>
      <c r="AB1010" s="1054"/>
    </row>
    <row r="1011">
      <c r="A1011" s="1054"/>
      <c r="B1011" s="1061"/>
      <c r="C1011" s="1061"/>
      <c r="D1011" s="1061"/>
      <c r="E1011" s="1061"/>
      <c r="F1011" s="1061"/>
      <c r="G1011" s="1061"/>
      <c r="H1011" s="1063"/>
      <c r="I1011" s="1054"/>
      <c r="J1011" s="1054"/>
      <c r="K1011" s="1054"/>
      <c r="L1011" s="1054"/>
      <c r="M1011" s="1054"/>
      <c r="N1011" s="1054"/>
      <c r="O1011" s="1054"/>
      <c r="P1011" s="1054"/>
      <c r="Q1011" s="1054"/>
      <c r="R1011" s="1054"/>
      <c r="S1011" s="1054"/>
      <c r="T1011" s="1054"/>
      <c r="U1011" s="1054"/>
      <c r="V1011" s="1054"/>
      <c r="W1011" s="1054"/>
      <c r="X1011" s="1054"/>
      <c r="Y1011" s="1054"/>
      <c r="Z1011" s="1054"/>
      <c r="AA1011" s="1054"/>
      <c r="AB1011" s="1054"/>
    </row>
    <row r="1012">
      <c r="A1012" s="1054"/>
      <c r="B1012" s="1061"/>
      <c r="C1012" s="1061"/>
      <c r="D1012" s="1061"/>
      <c r="E1012" s="1061"/>
      <c r="F1012" s="1061"/>
      <c r="G1012" s="1061"/>
      <c r="H1012" s="1063"/>
      <c r="I1012" s="1054"/>
      <c r="J1012" s="1054"/>
      <c r="K1012" s="1054"/>
      <c r="L1012" s="1054"/>
      <c r="M1012" s="1054"/>
      <c r="N1012" s="1054"/>
      <c r="O1012" s="1054"/>
      <c r="P1012" s="1054"/>
      <c r="Q1012" s="1054"/>
      <c r="R1012" s="1054"/>
      <c r="S1012" s="1054"/>
      <c r="T1012" s="1054"/>
      <c r="U1012" s="1054"/>
      <c r="V1012" s="1054"/>
      <c r="W1012" s="1054"/>
      <c r="X1012" s="1054"/>
      <c r="Y1012" s="1054"/>
      <c r="Z1012" s="1054"/>
      <c r="AA1012" s="1054"/>
      <c r="AB1012" s="1054"/>
    </row>
    <row r="1013">
      <c r="A1013" s="1054"/>
      <c r="B1013" s="1061"/>
      <c r="C1013" s="1061"/>
      <c r="D1013" s="1061"/>
      <c r="E1013" s="1061"/>
      <c r="F1013" s="1061"/>
      <c r="G1013" s="1061"/>
      <c r="H1013" s="1063"/>
      <c r="I1013" s="1054"/>
      <c r="J1013" s="1054"/>
      <c r="K1013" s="1054"/>
      <c r="L1013" s="1054"/>
      <c r="M1013" s="1054"/>
      <c r="N1013" s="1054"/>
      <c r="O1013" s="1054"/>
      <c r="P1013" s="1054"/>
      <c r="Q1013" s="1054"/>
      <c r="R1013" s="1054"/>
      <c r="S1013" s="1054"/>
      <c r="T1013" s="1054"/>
      <c r="U1013" s="1054"/>
      <c r="V1013" s="1054"/>
      <c r="W1013" s="1054"/>
      <c r="X1013" s="1054"/>
      <c r="Y1013" s="1054"/>
      <c r="Z1013" s="1054"/>
      <c r="AA1013" s="1054"/>
      <c r="AB1013" s="1054"/>
    </row>
    <row r="1014">
      <c r="A1014" s="1054"/>
      <c r="B1014" s="1061"/>
      <c r="C1014" s="1061"/>
      <c r="D1014" s="1061"/>
      <c r="E1014" s="1061"/>
      <c r="F1014" s="1061"/>
      <c r="G1014" s="1061"/>
      <c r="H1014" s="1063"/>
      <c r="I1014" s="1054"/>
      <c r="J1014" s="1054"/>
      <c r="K1014" s="1054"/>
      <c r="L1014" s="1054"/>
      <c r="M1014" s="1054"/>
      <c r="N1014" s="1054"/>
      <c r="O1014" s="1054"/>
      <c r="P1014" s="1054"/>
      <c r="Q1014" s="1054"/>
      <c r="R1014" s="1054"/>
      <c r="S1014" s="1054"/>
      <c r="T1014" s="1054"/>
      <c r="U1014" s="1054"/>
      <c r="V1014" s="1054"/>
      <c r="W1014" s="1054"/>
      <c r="X1014" s="1054"/>
      <c r="Y1014" s="1054"/>
      <c r="Z1014" s="1054"/>
      <c r="AA1014" s="1054"/>
      <c r="AB1014" s="1054"/>
    </row>
  </sheetData>
  <autoFilter ref="$A$1:$I$1014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8.0"/>
    <col customWidth="1" min="3" max="3" width="24.5"/>
    <col customWidth="1" min="4" max="4" width="9.63"/>
    <col customWidth="1" min="5" max="12" width="3.88"/>
    <col customWidth="1" min="13" max="13" width="5.38"/>
    <col customWidth="1" min="14" max="14" width="4.88"/>
    <col customWidth="1" min="15" max="15" width="6.38"/>
    <col customWidth="1" min="16" max="16" width="8.63"/>
    <col customWidth="1" min="17" max="17" width="9.5"/>
    <col customWidth="1" min="18" max="18" width="8.63"/>
    <col customWidth="1" min="19" max="19" width="11.63"/>
    <col customWidth="1" min="20" max="20" width="8.63"/>
    <col customWidth="1" min="21" max="21" width="7.38"/>
    <col customWidth="1" min="22" max="22" width="9.25"/>
    <col customWidth="1" min="23" max="23" width="11.63"/>
    <col customWidth="1" min="24" max="25" width="16.75"/>
  </cols>
  <sheetData>
    <row r="1" ht="54.0" customHeight="1">
      <c r="A1" s="1065"/>
      <c r="B1" s="1065"/>
      <c r="C1" s="1066" t="s">
        <v>328</v>
      </c>
      <c r="D1" s="1065" t="s">
        <v>4589</v>
      </c>
      <c r="E1" s="1067" t="s">
        <v>4590</v>
      </c>
      <c r="F1" s="1067" t="s">
        <v>4591</v>
      </c>
      <c r="G1" s="1067" t="s">
        <v>4592</v>
      </c>
      <c r="H1" s="1067" t="s">
        <v>4593</v>
      </c>
      <c r="I1" s="1067" t="s">
        <v>4594</v>
      </c>
      <c r="J1" s="1067" t="s">
        <v>4595</v>
      </c>
      <c r="K1" s="1068" t="s">
        <v>4596</v>
      </c>
      <c r="L1" s="1067" t="s">
        <v>4597</v>
      </c>
      <c r="M1" s="1069" t="s">
        <v>4598</v>
      </c>
      <c r="N1" s="1067" t="s">
        <v>4599</v>
      </c>
      <c r="O1" s="1070" t="s">
        <v>4600</v>
      </c>
      <c r="P1" s="1067" t="s">
        <v>4601</v>
      </c>
      <c r="Q1" s="1071" t="s">
        <v>4602</v>
      </c>
      <c r="R1" s="1072" t="s">
        <v>4603</v>
      </c>
      <c r="S1" s="1073" t="s">
        <v>4604</v>
      </c>
      <c r="T1" s="1073" t="s">
        <v>4605</v>
      </c>
      <c r="U1" s="1074" t="s">
        <v>4606</v>
      </c>
      <c r="V1" s="1075" t="s">
        <v>4536</v>
      </c>
      <c r="W1" s="1076" t="s">
        <v>4607</v>
      </c>
      <c r="X1" s="1077" t="s">
        <v>4608</v>
      </c>
      <c r="Y1" s="1077" t="s">
        <v>4609</v>
      </c>
      <c r="Z1" s="716"/>
      <c r="AA1" s="716"/>
      <c r="AB1" s="716"/>
      <c r="AC1" s="716"/>
      <c r="AD1" s="716"/>
      <c r="AE1" s="716"/>
      <c r="AF1" s="716"/>
      <c r="AG1" s="716"/>
      <c r="AH1" s="716"/>
      <c r="AI1" s="716"/>
      <c r="AJ1" s="716"/>
      <c r="AK1" s="716"/>
      <c r="AL1" s="716"/>
      <c r="AM1" s="716"/>
      <c r="AN1" s="716"/>
      <c r="AO1" s="716"/>
      <c r="AP1" s="716"/>
      <c r="AQ1" s="716"/>
    </row>
    <row r="2" hidden="1">
      <c r="A2" s="1078">
        <v>6.0031852E7</v>
      </c>
      <c r="B2" s="1079" t="s">
        <v>4610</v>
      </c>
      <c r="C2" s="1080" t="s">
        <v>4611</v>
      </c>
      <c r="D2" s="293" t="s">
        <v>4612</v>
      </c>
      <c r="E2" s="1081">
        <v>0.0</v>
      </c>
      <c r="F2" s="1081">
        <v>0.0</v>
      </c>
      <c r="G2" s="1081"/>
      <c r="H2" s="1082">
        <v>3.0</v>
      </c>
      <c r="I2" s="1082">
        <v>3.0</v>
      </c>
      <c r="J2" s="1081">
        <v>3.0</v>
      </c>
      <c r="K2" s="1081">
        <v>5.0</v>
      </c>
      <c r="L2" s="1081">
        <v>0.0</v>
      </c>
      <c r="M2" s="1083">
        <v>0.0</v>
      </c>
      <c r="N2" s="1081">
        <v>4.0</v>
      </c>
      <c r="O2" s="288">
        <v>0.0</v>
      </c>
      <c r="P2" s="288">
        <v>0.0</v>
      </c>
      <c r="Q2" s="288">
        <f t="shared" ref="Q2:Q154" si="1">SUM(E2:O2)</f>
        <v>18</v>
      </c>
      <c r="R2" s="1084">
        <v>5.0</v>
      </c>
      <c r="S2" s="1085"/>
      <c r="T2" s="1085"/>
      <c r="U2" s="293"/>
      <c r="V2" s="1086"/>
      <c r="W2" s="1086"/>
      <c r="X2" s="1087" t="s">
        <v>4613</v>
      </c>
      <c r="Y2" s="1087" t="s">
        <v>4614</v>
      </c>
    </row>
    <row r="3" hidden="1">
      <c r="A3" s="1078">
        <v>6.0031856E7</v>
      </c>
      <c r="B3" s="1079" t="s">
        <v>4615</v>
      </c>
      <c r="C3" s="1080" t="s">
        <v>4616</v>
      </c>
      <c r="D3" s="288" t="s">
        <v>4617</v>
      </c>
      <c r="E3" s="1081">
        <v>0.0</v>
      </c>
      <c r="F3" s="1081">
        <v>5.0</v>
      </c>
      <c r="G3" s="1081"/>
      <c r="H3" s="1088">
        <v>5.0</v>
      </c>
      <c r="I3" s="1088">
        <v>3.0</v>
      </c>
      <c r="J3" s="1081">
        <v>2.0</v>
      </c>
      <c r="K3" s="1081">
        <v>8.0</v>
      </c>
      <c r="L3" s="1081">
        <v>10.0</v>
      </c>
      <c r="M3" s="1083">
        <v>0.0</v>
      </c>
      <c r="N3" s="1081">
        <v>4.0</v>
      </c>
      <c r="O3" s="288">
        <v>0.0</v>
      </c>
      <c r="P3" s="288">
        <v>0.0</v>
      </c>
      <c r="Q3" s="288">
        <f t="shared" si="1"/>
        <v>37</v>
      </c>
      <c r="R3" s="1084">
        <v>5.0</v>
      </c>
      <c r="S3" s="1085"/>
      <c r="T3" s="1085"/>
      <c r="U3" s="293"/>
      <c r="V3" s="1086"/>
      <c r="W3" s="1086"/>
      <c r="X3" s="1089" t="s">
        <v>4618</v>
      </c>
      <c r="Y3" s="1090" t="s">
        <v>4619</v>
      </c>
    </row>
    <row r="4" hidden="1">
      <c r="A4" s="1078">
        <v>6.0031862E7</v>
      </c>
      <c r="B4" s="1079" t="s">
        <v>4620</v>
      </c>
      <c r="C4" s="1080" t="s">
        <v>4621</v>
      </c>
      <c r="D4" s="288" t="s">
        <v>4622</v>
      </c>
      <c r="E4" s="1081">
        <v>0.0</v>
      </c>
      <c r="F4" s="1081">
        <v>5.0</v>
      </c>
      <c r="G4" s="1081"/>
      <c r="H4" s="1081"/>
      <c r="I4" s="1081">
        <v>5.0</v>
      </c>
      <c r="J4" s="1081">
        <v>0.0</v>
      </c>
      <c r="K4" s="1081">
        <v>2.0</v>
      </c>
      <c r="L4" s="1081">
        <v>4.0</v>
      </c>
      <c r="M4" s="1083">
        <v>3.0</v>
      </c>
      <c r="N4" s="1081">
        <v>4.0</v>
      </c>
      <c r="O4" s="288">
        <v>0.0</v>
      </c>
      <c r="P4" s="288">
        <v>0.0</v>
      </c>
      <c r="Q4" s="288">
        <f t="shared" si="1"/>
        <v>23</v>
      </c>
      <c r="R4" s="1084">
        <v>5.0</v>
      </c>
      <c r="S4" s="1091"/>
      <c r="T4" s="1085"/>
      <c r="U4" s="293"/>
      <c r="V4" s="1086"/>
      <c r="W4" s="1086"/>
      <c r="X4" s="1092" t="s">
        <v>4623</v>
      </c>
      <c r="Y4" s="1092" t="s">
        <v>4623</v>
      </c>
    </row>
    <row r="5">
      <c r="A5" s="1078">
        <v>6.0031867E7</v>
      </c>
      <c r="B5" s="1079" t="s">
        <v>4624</v>
      </c>
      <c r="C5" s="1080" t="s">
        <v>4616</v>
      </c>
      <c r="D5" s="288" t="s">
        <v>4625</v>
      </c>
      <c r="E5" s="1081">
        <v>0.0</v>
      </c>
      <c r="F5" s="1081">
        <v>5.0</v>
      </c>
      <c r="G5" s="1081"/>
      <c r="H5" s="1088">
        <v>5.0</v>
      </c>
      <c r="I5" s="1088">
        <v>5.0</v>
      </c>
      <c r="J5" s="1081">
        <v>6.0</v>
      </c>
      <c r="K5" s="1081">
        <v>0.0</v>
      </c>
      <c r="L5" s="1081">
        <v>10.0</v>
      </c>
      <c r="M5" s="1083">
        <v>6.0</v>
      </c>
      <c r="N5" s="1081">
        <v>9.0</v>
      </c>
      <c r="O5" s="288">
        <v>10.0</v>
      </c>
      <c r="P5" s="1093" t="s">
        <v>4626</v>
      </c>
      <c r="Q5" s="288">
        <f t="shared" si="1"/>
        <v>56</v>
      </c>
      <c r="R5" s="1084">
        <v>10.0</v>
      </c>
      <c r="S5" s="1091"/>
      <c r="T5" s="1085"/>
      <c r="U5" s="293"/>
      <c r="V5" s="1086"/>
      <c r="W5" s="1086"/>
    </row>
    <row r="6" hidden="1">
      <c r="A6" s="1078">
        <v>6.0031875E7</v>
      </c>
      <c r="B6" s="1079" t="s">
        <v>4627</v>
      </c>
      <c r="C6" s="1080" t="s">
        <v>4616</v>
      </c>
      <c r="D6" s="288" t="s">
        <v>4628</v>
      </c>
      <c r="E6" s="1081">
        <v>0.0</v>
      </c>
      <c r="F6" s="1081">
        <v>5.0</v>
      </c>
      <c r="G6" s="1081"/>
      <c r="H6" s="1088">
        <v>5.0</v>
      </c>
      <c r="I6" s="1088">
        <v>5.0</v>
      </c>
      <c r="J6" s="1081">
        <v>5.0</v>
      </c>
      <c r="K6" s="1081">
        <v>8.0</v>
      </c>
      <c r="L6" s="1081">
        <v>0.0</v>
      </c>
      <c r="M6" s="1083">
        <v>4.0</v>
      </c>
      <c r="N6" s="1081">
        <v>8.0</v>
      </c>
      <c r="O6" s="288">
        <v>10.0</v>
      </c>
      <c r="P6" s="288">
        <v>0.0</v>
      </c>
      <c r="Q6" s="288">
        <f t="shared" si="1"/>
        <v>50</v>
      </c>
      <c r="R6" s="1084">
        <v>10.0</v>
      </c>
      <c r="S6" s="1091"/>
      <c r="T6" s="1085"/>
      <c r="U6" s="293"/>
      <c r="V6" s="1086"/>
      <c r="W6" s="1086"/>
      <c r="X6" s="788"/>
    </row>
    <row r="7" hidden="1">
      <c r="A7" s="1078"/>
      <c r="B7" s="1079" t="s">
        <v>4629</v>
      </c>
      <c r="C7" s="1080" t="s">
        <v>4630</v>
      </c>
      <c r="D7" s="288" t="s">
        <v>4628</v>
      </c>
      <c r="E7" s="1081">
        <v>0.0</v>
      </c>
      <c r="F7" s="1081">
        <v>5.0</v>
      </c>
      <c r="G7" s="1081"/>
      <c r="H7" s="1088">
        <v>5.0</v>
      </c>
      <c r="I7" s="1088"/>
      <c r="J7" s="1081">
        <v>3.0</v>
      </c>
      <c r="K7" s="1081">
        <v>0.0</v>
      </c>
      <c r="L7" s="1081">
        <v>0.0</v>
      </c>
      <c r="M7" s="1083">
        <v>0.0</v>
      </c>
      <c r="N7" s="1081">
        <v>5.0</v>
      </c>
      <c r="O7" s="288">
        <v>0.0</v>
      </c>
      <c r="P7" s="288">
        <v>0.0</v>
      </c>
      <c r="Q7" s="288">
        <f t="shared" si="1"/>
        <v>18</v>
      </c>
      <c r="R7" s="1084">
        <v>5.0</v>
      </c>
      <c r="S7" s="1091"/>
      <c r="T7" s="1085"/>
      <c r="U7" s="293"/>
      <c r="V7" s="1086"/>
      <c r="W7" s="1086"/>
    </row>
    <row r="8" hidden="1">
      <c r="A8" s="1078"/>
      <c r="B8" s="1079" t="s">
        <v>4631</v>
      </c>
      <c r="C8" s="1080" t="s">
        <v>4630</v>
      </c>
      <c r="D8" s="288" t="s">
        <v>4625</v>
      </c>
      <c r="E8" s="1081">
        <v>0.0</v>
      </c>
      <c r="F8" s="1081">
        <v>5.0</v>
      </c>
      <c r="G8" s="1081"/>
      <c r="H8" s="1088">
        <v>5.0</v>
      </c>
      <c r="I8" s="1088"/>
      <c r="J8" s="1081">
        <v>3.0</v>
      </c>
      <c r="K8" s="1081">
        <v>2.0</v>
      </c>
      <c r="L8" s="1081">
        <v>6.0</v>
      </c>
      <c r="M8" s="1083">
        <v>7.0</v>
      </c>
      <c r="N8" s="1081">
        <v>0.0</v>
      </c>
      <c r="O8" s="288">
        <v>0.0</v>
      </c>
      <c r="P8" s="288">
        <v>0.0</v>
      </c>
      <c r="Q8" s="288">
        <f t="shared" si="1"/>
        <v>28</v>
      </c>
      <c r="R8" s="1084">
        <v>5.0</v>
      </c>
      <c r="S8" s="1091"/>
      <c r="T8" s="1085"/>
      <c r="U8" s="293"/>
      <c r="V8" s="1086"/>
      <c r="W8" s="1086"/>
    </row>
    <row r="9" hidden="1">
      <c r="A9" s="1078"/>
      <c r="B9" s="1079" t="s">
        <v>4632</v>
      </c>
      <c r="C9" s="1080" t="s">
        <v>4633</v>
      </c>
      <c r="D9" s="288" t="s">
        <v>4628</v>
      </c>
      <c r="E9" s="1081">
        <v>0.0</v>
      </c>
      <c r="F9" s="1081">
        <v>5.0</v>
      </c>
      <c r="G9" s="1081"/>
      <c r="H9" s="1088">
        <v>5.0</v>
      </c>
      <c r="I9" s="1088">
        <v>5.0</v>
      </c>
      <c r="J9" s="1081">
        <v>5.0</v>
      </c>
      <c r="K9" s="1081">
        <v>5.0</v>
      </c>
      <c r="L9" s="1081">
        <v>0.0</v>
      </c>
      <c r="M9" s="1083">
        <v>6.0</v>
      </c>
      <c r="N9" s="1081">
        <v>4.0</v>
      </c>
      <c r="O9" s="288">
        <v>10.0</v>
      </c>
      <c r="P9" s="288">
        <v>0.0</v>
      </c>
      <c r="Q9" s="288">
        <f t="shared" si="1"/>
        <v>45</v>
      </c>
      <c r="R9" s="1084">
        <v>10.0</v>
      </c>
      <c r="S9" s="1091"/>
      <c r="T9" s="1085"/>
      <c r="U9" s="293"/>
      <c r="V9" s="1086"/>
      <c r="W9" s="1086"/>
    </row>
    <row r="10" hidden="1">
      <c r="A10" s="1078"/>
      <c r="B10" s="1079" t="s">
        <v>4634</v>
      </c>
      <c r="C10" s="1080" t="s">
        <v>4621</v>
      </c>
      <c r="D10" s="288" t="s">
        <v>4635</v>
      </c>
      <c r="E10" s="1081">
        <v>0.0</v>
      </c>
      <c r="F10" s="1081">
        <v>5.0</v>
      </c>
      <c r="G10" s="1081"/>
      <c r="H10" s="1081"/>
      <c r="I10" s="1081">
        <v>3.0</v>
      </c>
      <c r="J10" s="1081">
        <v>5.0</v>
      </c>
      <c r="K10" s="1081">
        <v>5.0</v>
      </c>
      <c r="L10" s="1081">
        <v>0.0</v>
      </c>
      <c r="M10" s="1083">
        <v>7.0</v>
      </c>
      <c r="N10" s="1081">
        <v>2.0</v>
      </c>
      <c r="O10" s="288">
        <v>0.0</v>
      </c>
      <c r="P10" s="288">
        <v>0.0</v>
      </c>
      <c r="Q10" s="288">
        <f t="shared" si="1"/>
        <v>27</v>
      </c>
      <c r="R10" s="1084">
        <v>5.0</v>
      </c>
      <c r="S10" s="1091"/>
      <c r="T10" s="1085"/>
      <c r="U10" s="293"/>
      <c r="V10" s="1086"/>
      <c r="W10" s="1086"/>
    </row>
    <row r="11" hidden="1">
      <c r="A11" s="1078"/>
      <c r="B11" s="1079" t="s">
        <v>4636</v>
      </c>
      <c r="C11" s="1080" t="s">
        <v>4637</v>
      </c>
      <c r="D11" s="288" t="s">
        <v>4638</v>
      </c>
      <c r="E11" s="1081">
        <v>0.0</v>
      </c>
      <c r="F11" s="1081">
        <v>0.0</v>
      </c>
      <c r="G11" s="1081"/>
      <c r="H11" s="1081"/>
      <c r="I11" s="1081"/>
      <c r="J11" s="1094">
        <v>3.0</v>
      </c>
      <c r="K11" s="1081">
        <v>2.0</v>
      </c>
      <c r="L11" s="1081">
        <v>3.0</v>
      </c>
      <c r="M11" s="1083">
        <v>4.0</v>
      </c>
      <c r="N11" s="1081">
        <v>0.0</v>
      </c>
      <c r="O11" s="288">
        <v>0.0</v>
      </c>
      <c r="P11" s="288">
        <v>0.0</v>
      </c>
      <c r="Q11" s="288">
        <f t="shared" si="1"/>
        <v>12</v>
      </c>
      <c r="R11" s="1084">
        <v>5.0</v>
      </c>
      <c r="S11" s="1091"/>
      <c r="T11" s="1085"/>
      <c r="U11" s="293"/>
      <c r="V11" s="1086"/>
      <c r="W11" s="1086"/>
    </row>
    <row r="12" hidden="1">
      <c r="A12" s="1078">
        <v>6.0032284E7</v>
      </c>
      <c r="B12" s="1079" t="s">
        <v>4639</v>
      </c>
      <c r="C12" s="1080" t="s">
        <v>4640</v>
      </c>
      <c r="D12" s="288" t="s">
        <v>4641</v>
      </c>
      <c r="E12" s="1081">
        <v>0.0</v>
      </c>
      <c r="F12" s="1081">
        <v>0.0</v>
      </c>
      <c r="G12" s="1081"/>
      <c r="H12" s="1081"/>
      <c r="I12" s="1081">
        <v>3.0</v>
      </c>
      <c r="J12" s="1081">
        <v>0.0</v>
      </c>
      <c r="K12" s="1081">
        <v>2.0</v>
      </c>
      <c r="L12" s="1081">
        <v>0.0</v>
      </c>
      <c r="M12" s="1083">
        <v>2.0</v>
      </c>
      <c r="N12" s="1081">
        <v>3.0</v>
      </c>
      <c r="O12" s="288">
        <v>5.0</v>
      </c>
      <c r="P12" s="288">
        <v>0.0</v>
      </c>
      <c r="Q12" s="288">
        <f t="shared" si="1"/>
        <v>15</v>
      </c>
      <c r="R12" s="1084">
        <v>5.0</v>
      </c>
      <c r="S12" s="1091"/>
      <c r="T12" s="1085"/>
      <c r="U12" s="293"/>
      <c r="V12" s="1086"/>
      <c r="W12" s="1086"/>
    </row>
    <row r="13" hidden="1">
      <c r="A13" s="1078">
        <v>6.0032296E7</v>
      </c>
      <c r="B13" s="1079" t="s">
        <v>4642</v>
      </c>
      <c r="C13" s="1080" t="s">
        <v>4643</v>
      </c>
      <c r="D13" s="288" t="s">
        <v>4644</v>
      </c>
      <c r="E13" s="1081"/>
      <c r="F13" s="1081"/>
      <c r="G13" s="1081"/>
      <c r="H13" s="1081"/>
      <c r="I13" s="1081"/>
      <c r="J13" s="1095"/>
      <c r="K13" s="1081"/>
      <c r="L13" s="1081">
        <v>10.0</v>
      </c>
      <c r="M13" s="1083">
        <v>5.0</v>
      </c>
      <c r="N13" s="1081">
        <v>5.0</v>
      </c>
      <c r="O13" s="288">
        <v>5.0</v>
      </c>
      <c r="P13" s="288">
        <v>0.0</v>
      </c>
      <c r="Q13" s="288">
        <f t="shared" si="1"/>
        <v>25</v>
      </c>
      <c r="R13" s="1084">
        <v>5.0</v>
      </c>
      <c r="S13" s="1091"/>
      <c r="T13" s="1085"/>
      <c r="U13" s="293"/>
      <c r="V13" s="1086"/>
      <c r="W13" s="1086"/>
    </row>
    <row r="14" hidden="1">
      <c r="A14" s="1078">
        <v>6.0032304E7</v>
      </c>
      <c r="B14" s="1079" t="s">
        <v>4645</v>
      </c>
      <c r="C14" s="1080" t="s">
        <v>4646</v>
      </c>
      <c r="D14" s="288" t="s">
        <v>4644</v>
      </c>
      <c r="E14" s="1081">
        <v>2.0</v>
      </c>
      <c r="F14" s="1081">
        <v>0.0</v>
      </c>
      <c r="G14" s="1081">
        <v>2.0</v>
      </c>
      <c r="H14" s="1081"/>
      <c r="I14" s="1081"/>
      <c r="J14" s="1095"/>
      <c r="K14" s="1081">
        <v>2.0</v>
      </c>
      <c r="L14" s="1081">
        <v>3.0</v>
      </c>
      <c r="M14" s="1083">
        <v>4.0</v>
      </c>
      <c r="N14" s="1081">
        <v>4.0</v>
      </c>
      <c r="O14" s="288">
        <v>5.0</v>
      </c>
      <c r="P14" s="288">
        <v>0.0</v>
      </c>
      <c r="Q14" s="288">
        <f t="shared" si="1"/>
        <v>22</v>
      </c>
      <c r="R14" s="1084">
        <v>5.0</v>
      </c>
      <c r="S14" s="1091"/>
      <c r="T14" s="1085"/>
      <c r="U14" s="293"/>
      <c r="V14" s="1086"/>
      <c r="W14" s="1086"/>
    </row>
    <row r="15">
      <c r="A15" s="1078"/>
      <c r="B15" s="1079" t="s">
        <v>4639</v>
      </c>
      <c r="C15" s="1080" t="s">
        <v>4640</v>
      </c>
      <c r="D15" s="288" t="s">
        <v>4644</v>
      </c>
      <c r="E15" s="1081">
        <v>0.0</v>
      </c>
      <c r="F15" s="1081">
        <v>0.0</v>
      </c>
      <c r="G15" s="1081">
        <v>3.0</v>
      </c>
      <c r="H15" s="1081"/>
      <c r="I15" s="1081"/>
      <c r="J15" s="1095"/>
      <c r="K15" s="1081">
        <v>0.0</v>
      </c>
      <c r="L15" s="1081">
        <v>3.0</v>
      </c>
      <c r="M15" s="1083">
        <v>1.0</v>
      </c>
      <c r="N15" s="1081">
        <v>3.0</v>
      </c>
      <c r="O15" s="288">
        <v>0.0</v>
      </c>
      <c r="P15" s="288">
        <v>5.0</v>
      </c>
      <c r="Q15" s="288">
        <f t="shared" si="1"/>
        <v>10</v>
      </c>
      <c r="R15" s="1084">
        <v>5.0</v>
      </c>
      <c r="S15" s="1091"/>
      <c r="T15" s="1085"/>
      <c r="U15" s="293"/>
      <c r="V15" s="1086"/>
      <c r="W15" s="1086"/>
    </row>
    <row r="16">
      <c r="A16" s="1078"/>
      <c r="B16" s="1079"/>
      <c r="C16" s="1080" t="s">
        <v>4647</v>
      </c>
      <c r="D16" s="288" t="s">
        <v>4644</v>
      </c>
      <c r="E16" s="1081"/>
      <c r="F16" s="1081"/>
      <c r="G16" s="1081"/>
      <c r="H16" s="1081"/>
      <c r="I16" s="1081"/>
      <c r="J16" s="1095"/>
      <c r="K16" s="1081"/>
      <c r="L16" s="1081"/>
      <c r="M16" s="1083">
        <v>0.0</v>
      </c>
      <c r="N16" s="1081">
        <v>0.0</v>
      </c>
      <c r="O16" s="288">
        <v>0.0</v>
      </c>
      <c r="P16" s="288">
        <v>5.0</v>
      </c>
      <c r="Q16" s="288">
        <f t="shared" si="1"/>
        <v>0</v>
      </c>
      <c r="R16" s="1084">
        <v>5.0</v>
      </c>
      <c r="S16" s="1091"/>
      <c r="T16" s="1085"/>
      <c r="U16" s="293"/>
      <c r="V16" s="1086"/>
      <c r="W16" s="1086"/>
    </row>
    <row r="17" hidden="1">
      <c r="A17" s="1078">
        <v>6.003223E8</v>
      </c>
      <c r="B17" s="1079" t="s">
        <v>4648</v>
      </c>
      <c r="C17" s="1080" t="s">
        <v>4649</v>
      </c>
      <c r="D17" s="288" t="s">
        <v>4644</v>
      </c>
      <c r="E17" s="1081">
        <v>2.0</v>
      </c>
      <c r="F17" s="1081">
        <v>0.0</v>
      </c>
      <c r="G17" s="1081">
        <v>3.0</v>
      </c>
      <c r="H17" s="1081"/>
      <c r="I17" s="1081"/>
      <c r="J17" s="1081">
        <v>0.0</v>
      </c>
      <c r="K17" s="1081">
        <v>4.0</v>
      </c>
      <c r="L17" s="1081">
        <v>0.0</v>
      </c>
      <c r="M17" s="1083">
        <v>0.0</v>
      </c>
      <c r="N17" s="1081">
        <v>5.0</v>
      </c>
      <c r="O17" s="288">
        <v>0.0</v>
      </c>
      <c r="P17" s="288">
        <v>0.0</v>
      </c>
      <c r="Q17" s="288">
        <f t="shared" si="1"/>
        <v>14</v>
      </c>
      <c r="R17" s="1084">
        <v>5.0</v>
      </c>
      <c r="S17" s="1091"/>
      <c r="T17" s="1085"/>
      <c r="U17" s="293"/>
      <c r="V17" s="1086"/>
      <c r="W17" s="1086"/>
    </row>
    <row r="18">
      <c r="A18" s="1078"/>
      <c r="B18" s="1079" t="s">
        <v>4650</v>
      </c>
      <c r="C18" s="1080" t="s">
        <v>4646</v>
      </c>
      <c r="D18" s="288" t="s">
        <v>4651</v>
      </c>
      <c r="E18" s="1081">
        <v>2.0</v>
      </c>
      <c r="F18" s="1081">
        <v>0.0</v>
      </c>
      <c r="G18" s="1081"/>
      <c r="H18" s="1081"/>
      <c r="I18" s="1081">
        <v>3.0</v>
      </c>
      <c r="J18" s="1095"/>
      <c r="K18" s="1081">
        <v>4.0</v>
      </c>
      <c r="L18" s="1081">
        <v>0.0</v>
      </c>
      <c r="M18" s="1083">
        <v>2.0</v>
      </c>
      <c r="N18" s="1081">
        <v>2.0</v>
      </c>
      <c r="O18" s="288">
        <v>0.0</v>
      </c>
      <c r="P18" s="288">
        <v>5.0</v>
      </c>
      <c r="Q18" s="288">
        <f t="shared" si="1"/>
        <v>13</v>
      </c>
      <c r="R18" s="1084">
        <v>5.0</v>
      </c>
      <c r="S18" s="1091"/>
      <c r="T18" s="1085"/>
      <c r="U18" s="293"/>
      <c r="V18" s="1086"/>
      <c r="W18" s="1086"/>
    </row>
    <row r="19">
      <c r="A19" s="1078"/>
      <c r="B19" s="1079"/>
      <c r="C19" s="1080" t="s">
        <v>4646</v>
      </c>
      <c r="D19" s="288" t="s">
        <v>4652</v>
      </c>
      <c r="E19" s="1081">
        <v>0.0</v>
      </c>
      <c r="F19" s="1081">
        <v>0.0</v>
      </c>
      <c r="G19" s="1081"/>
      <c r="H19" s="1081"/>
      <c r="I19" s="1081"/>
      <c r="J19" s="1081">
        <v>0.0</v>
      </c>
      <c r="K19" s="1081">
        <v>2.0</v>
      </c>
      <c r="L19" s="1081">
        <v>2.0</v>
      </c>
      <c r="M19" s="1083">
        <v>4.0</v>
      </c>
      <c r="N19" s="1081">
        <v>0.0</v>
      </c>
      <c r="O19" s="288">
        <v>0.0</v>
      </c>
      <c r="P19" s="288">
        <v>5.0</v>
      </c>
      <c r="Q19" s="288">
        <f t="shared" si="1"/>
        <v>8</v>
      </c>
      <c r="R19" s="1084">
        <v>5.0</v>
      </c>
      <c r="S19" s="1091"/>
      <c r="T19" s="1085"/>
      <c r="U19" s="293"/>
      <c r="V19" s="1086"/>
      <c r="W19" s="1086"/>
    </row>
    <row r="20">
      <c r="A20" s="1078"/>
      <c r="B20" s="1079"/>
      <c r="C20" s="1080" t="s">
        <v>4653</v>
      </c>
      <c r="D20" s="288" t="s">
        <v>4654</v>
      </c>
      <c r="E20" s="1081">
        <v>0.0</v>
      </c>
      <c r="F20" s="1081">
        <v>2.0</v>
      </c>
      <c r="G20" s="1081"/>
      <c r="H20" s="1081"/>
      <c r="I20" s="1081"/>
      <c r="J20" s="1095"/>
      <c r="K20" s="1081">
        <v>4.0</v>
      </c>
      <c r="L20" s="1081">
        <v>4.0</v>
      </c>
      <c r="M20" s="1083">
        <v>1.0</v>
      </c>
      <c r="N20" s="1081">
        <v>4.0</v>
      </c>
      <c r="O20" s="288">
        <v>5.0</v>
      </c>
      <c r="P20" s="1093">
        <v>5.0</v>
      </c>
      <c r="Q20" s="288">
        <f t="shared" si="1"/>
        <v>20</v>
      </c>
      <c r="R20" s="1084">
        <v>5.0</v>
      </c>
      <c r="S20" s="1091"/>
      <c r="T20" s="1085"/>
      <c r="U20" s="293"/>
      <c r="V20" s="1086"/>
      <c r="W20" s="1086"/>
    </row>
    <row r="21">
      <c r="A21" s="1078"/>
      <c r="B21" s="1079"/>
      <c r="C21" s="1080" t="s">
        <v>4653</v>
      </c>
      <c r="D21" s="288" t="s">
        <v>4655</v>
      </c>
      <c r="E21" s="1081">
        <v>2.0</v>
      </c>
      <c r="F21" s="1081">
        <v>5.0</v>
      </c>
      <c r="G21" s="1081"/>
      <c r="H21" s="1081"/>
      <c r="I21" s="1081">
        <v>3.0</v>
      </c>
      <c r="J21" s="1095"/>
      <c r="K21" s="1081">
        <v>5.0</v>
      </c>
      <c r="L21" s="1081">
        <v>6.0</v>
      </c>
      <c r="M21" s="1083">
        <v>4.0</v>
      </c>
      <c r="N21" s="1081">
        <v>6.0</v>
      </c>
      <c r="O21" s="288">
        <v>5.0</v>
      </c>
      <c r="P21" s="288">
        <v>5.0</v>
      </c>
      <c r="Q21" s="288">
        <f t="shared" si="1"/>
        <v>36</v>
      </c>
      <c r="R21" s="1084">
        <v>5.0</v>
      </c>
      <c r="S21" s="1091"/>
      <c r="T21" s="1085"/>
      <c r="U21" s="293"/>
      <c r="V21" s="1086"/>
      <c r="W21" s="1086"/>
    </row>
    <row r="22">
      <c r="A22" s="1096"/>
      <c r="B22" s="1079" t="s">
        <v>4656</v>
      </c>
      <c r="C22" s="1080" t="s">
        <v>4657</v>
      </c>
      <c r="D22" s="288" t="s">
        <v>4658</v>
      </c>
      <c r="E22" s="1081">
        <v>0.0</v>
      </c>
      <c r="F22" s="1081">
        <v>2.0</v>
      </c>
      <c r="G22" s="1081">
        <v>5.0</v>
      </c>
      <c r="H22" s="1081"/>
      <c r="I22" s="1081">
        <v>5.0</v>
      </c>
      <c r="J22" s="1081">
        <v>5.0</v>
      </c>
      <c r="K22" s="1081">
        <v>5.0</v>
      </c>
      <c r="L22" s="1081">
        <v>3.0</v>
      </c>
      <c r="M22" s="1083">
        <v>0.0</v>
      </c>
      <c r="N22" s="1081">
        <v>5.0</v>
      </c>
      <c r="O22" s="288">
        <v>5.0</v>
      </c>
      <c r="P22" s="1093">
        <v>5.0</v>
      </c>
      <c r="Q22" s="288">
        <f t="shared" si="1"/>
        <v>35</v>
      </c>
      <c r="R22" s="1084">
        <v>5.0</v>
      </c>
      <c r="S22" s="1091"/>
      <c r="T22" s="1085"/>
      <c r="U22" s="293"/>
      <c r="V22" s="1086"/>
      <c r="W22" s="1086"/>
    </row>
    <row r="23">
      <c r="A23" s="1078"/>
      <c r="B23" s="1079" t="s">
        <v>4659</v>
      </c>
      <c r="C23" s="1080" t="s">
        <v>4660</v>
      </c>
      <c r="D23" s="288" t="s">
        <v>4658</v>
      </c>
      <c r="E23" s="1081">
        <v>0.0</v>
      </c>
      <c r="F23" s="1081">
        <v>5.0</v>
      </c>
      <c r="G23" s="1081">
        <v>6.0</v>
      </c>
      <c r="H23" s="1088">
        <v>2.0</v>
      </c>
      <c r="I23" s="1088">
        <v>5.0</v>
      </c>
      <c r="J23" s="1081">
        <v>8.0</v>
      </c>
      <c r="K23" s="1081">
        <v>8.0</v>
      </c>
      <c r="L23" s="1081">
        <v>10.0</v>
      </c>
      <c r="M23" s="1083">
        <v>10.0</v>
      </c>
      <c r="N23" s="1081">
        <v>15.0</v>
      </c>
      <c r="O23" s="288">
        <v>10.0</v>
      </c>
      <c r="P23" s="1093">
        <v>5.0</v>
      </c>
      <c r="Q23" s="288">
        <f t="shared" si="1"/>
        <v>79</v>
      </c>
      <c r="R23" s="1084">
        <v>10.0</v>
      </c>
      <c r="S23" s="1091"/>
      <c r="T23" s="1085"/>
      <c r="U23" s="293"/>
      <c r="V23" s="1086"/>
      <c r="W23" s="1086"/>
    </row>
    <row r="24" hidden="1">
      <c r="A24" s="1078"/>
      <c r="B24" s="1079" t="s">
        <v>4661</v>
      </c>
      <c r="C24" s="1080" t="s">
        <v>4640</v>
      </c>
      <c r="D24" s="288" t="s">
        <v>4662</v>
      </c>
      <c r="E24" s="1081">
        <v>0.0</v>
      </c>
      <c r="F24" s="1081">
        <v>0.0</v>
      </c>
      <c r="G24" s="1081">
        <v>4.0</v>
      </c>
      <c r="H24" s="1081"/>
      <c r="I24" s="1081"/>
      <c r="J24" s="1081">
        <v>3.0</v>
      </c>
      <c r="K24" s="1081">
        <v>2.0</v>
      </c>
      <c r="L24" s="1081"/>
      <c r="M24" s="1083">
        <v>3.0</v>
      </c>
      <c r="N24" s="1081">
        <v>3.0</v>
      </c>
      <c r="O24" s="288">
        <v>0.0</v>
      </c>
      <c r="P24" s="288">
        <v>0.0</v>
      </c>
      <c r="Q24" s="288">
        <f t="shared" si="1"/>
        <v>15</v>
      </c>
      <c r="R24" s="1084">
        <v>5.0</v>
      </c>
      <c r="S24" s="1091"/>
      <c r="T24" s="1085"/>
      <c r="U24" s="293"/>
      <c r="V24" s="1086"/>
      <c r="W24" s="1086"/>
    </row>
    <row r="25">
      <c r="A25" s="1078"/>
      <c r="B25" s="1079" t="s">
        <v>4663</v>
      </c>
      <c r="C25" s="1080" t="s">
        <v>4649</v>
      </c>
      <c r="D25" s="288" t="s">
        <v>4641</v>
      </c>
      <c r="E25" s="1081">
        <v>0.0</v>
      </c>
      <c r="F25" s="1081">
        <v>0.0</v>
      </c>
      <c r="G25" s="1081"/>
      <c r="H25" s="1081"/>
      <c r="I25" s="1081"/>
      <c r="J25" s="1081">
        <v>0.0</v>
      </c>
      <c r="K25" s="1081">
        <v>5.0</v>
      </c>
      <c r="L25" s="1081">
        <v>0.0</v>
      </c>
      <c r="M25" s="1083">
        <v>2.0</v>
      </c>
      <c r="N25" s="1081">
        <v>0.0</v>
      </c>
      <c r="O25" s="288">
        <v>0.0</v>
      </c>
      <c r="P25" s="288">
        <v>5.0</v>
      </c>
      <c r="Q25" s="288">
        <f t="shared" si="1"/>
        <v>7</v>
      </c>
      <c r="R25" s="1084">
        <v>5.0</v>
      </c>
      <c r="S25" s="1091"/>
      <c r="T25" s="1085"/>
      <c r="U25" s="293"/>
      <c r="V25" s="1086"/>
      <c r="W25" s="1086"/>
    </row>
    <row r="26">
      <c r="A26" s="1078"/>
      <c r="B26" s="1079"/>
      <c r="C26" s="1080" t="s">
        <v>4649</v>
      </c>
      <c r="D26" s="749" t="s">
        <v>4651</v>
      </c>
      <c r="E26" s="1081">
        <v>0.0</v>
      </c>
      <c r="F26" s="1081">
        <v>0.0</v>
      </c>
      <c r="G26" s="1081"/>
      <c r="H26" s="1081"/>
      <c r="I26" s="1081"/>
      <c r="J26" s="1081">
        <v>0.0</v>
      </c>
      <c r="K26" s="1081">
        <v>4.0</v>
      </c>
      <c r="L26" s="1081">
        <v>4.0</v>
      </c>
      <c r="M26" s="1083">
        <v>4.0</v>
      </c>
      <c r="N26" s="1081">
        <v>0.0</v>
      </c>
      <c r="O26" s="288">
        <v>0.0</v>
      </c>
      <c r="P26" s="288">
        <v>5.0</v>
      </c>
      <c r="Q26" s="288">
        <f t="shared" si="1"/>
        <v>12</v>
      </c>
      <c r="R26" s="1084">
        <v>5.0</v>
      </c>
      <c r="S26" s="1091"/>
      <c r="T26" s="1085"/>
      <c r="U26" s="293"/>
      <c r="V26" s="1086"/>
      <c r="W26" s="1086"/>
    </row>
    <row r="27" hidden="1">
      <c r="A27" s="1078"/>
      <c r="B27" s="1079" t="s">
        <v>4664</v>
      </c>
      <c r="C27" s="1080" t="s">
        <v>4665</v>
      </c>
      <c r="D27" s="288" t="s">
        <v>4658</v>
      </c>
      <c r="E27" s="1081">
        <v>0.0</v>
      </c>
      <c r="F27" s="1081">
        <v>0.0</v>
      </c>
      <c r="G27" s="1081">
        <v>3.0</v>
      </c>
      <c r="H27" s="1081"/>
      <c r="I27" s="1081"/>
      <c r="J27" s="1081">
        <v>7.0</v>
      </c>
      <c r="K27" s="1081">
        <v>3.0</v>
      </c>
      <c r="L27" s="1081">
        <v>0.0</v>
      </c>
      <c r="M27" s="1083">
        <v>1.0</v>
      </c>
      <c r="N27" s="1081">
        <v>5.0</v>
      </c>
      <c r="O27" s="288">
        <v>0.0</v>
      </c>
      <c r="P27" s="288">
        <v>0.0</v>
      </c>
      <c r="Q27" s="288">
        <f t="shared" si="1"/>
        <v>19</v>
      </c>
      <c r="R27" s="1084">
        <v>5.0</v>
      </c>
      <c r="S27" s="1091"/>
      <c r="T27" s="1085"/>
      <c r="U27" s="293"/>
      <c r="V27" s="1086"/>
      <c r="W27" s="1086"/>
    </row>
    <row r="28">
      <c r="A28" s="1078"/>
      <c r="B28" s="1079"/>
      <c r="C28" s="1080" t="s">
        <v>4653</v>
      </c>
      <c r="D28" s="288" t="s">
        <v>4666</v>
      </c>
      <c r="E28" s="1081">
        <v>0.0</v>
      </c>
      <c r="F28" s="1081">
        <v>0.0</v>
      </c>
      <c r="G28" s="1081">
        <v>5.0</v>
      </c>
      <c r="H28" s="1081"/>
      <c r="I28" s="1081"/>
      <c r="J28" s="1081">
        <v>3.0</v>
      </c>
      <c r="K28" s="1081">
        <v>4.0</v>
      </c>
      <c r="L28" s="1081">
        <v>0.0</v>
      </c>
      <c r="M28" s="1083">
        <v>5.0</v>
      </c>
      <c r="N28" s="1081">
        <v>0.0</v>
      </c>
      <c r="O28" s="288">
        <v>5.0</v>
      </c>
      <c r="P28" s="1093">
        <v>5.0</v>
      </c>
      <c r="Q28" s="288">
        <f t="shared" si="1"/>
        <v>22</v>
      </c>
      <c r="R28" s="1084">
        <v>5.0</v>
      </c>
      <c r="S28" s="1091"/>
      <c r="T28" s="1085"/>
      <c r="U28" s="293"/>
      <c r="V28" s="1086"/>
      <c r="W28" s="1086"/>
    </row>
    <row r="29">
      <c r="A29" s="1078"/>
      <c r="B29" s="1079"/>
      <c r="C29" s="1080" t="s">
        <v>4667</v>
      </c>
      <c r="D29" s="288" t="s">
        <v>4666</v>
      </c>
      <c r="E29" s="1081">
        <v>0.0</v>
      </c>
      <c r="F29" s="1081">
        <v>0.0</v>
      </c>
      <c r="G29" s="1081">
        <v>3.0</v>
      </c>
      <c r="H29" s="1081"/>
      <c r="I29" s="1081"/>
      <c r="J29" s="1081">
        <v>3.0</v>
      </c>
      <c r="K29" s="1081">
        <v>6.0</v>
      </c>
      <c r="L29" s="1081">
        <v>4.0</v>
      </c>
      <c r="M29" s="1083">
        <v>0.0</v>
      </c>
      <c r="N29" s="1081">
        <v>0.0</v>
      </c>
      <c r="O29" s="288">
        <v>0.0</v>
      </c>
      <c r="P29" s="288">
        <v>5.0</v>
      </c>
      <c r="Q29" s="288">
        <f t="shared" si="1"/>
        <v>16</v>
      </c>
      <c r="R29" s="1084">
        <v>5.0</v>
      </c>
      <c r="S29" s="1091"/>
      <c r="T29" s="1085"/>
      <c r="U29" s="293"/>
      <c r="V29" s="1086"/>
      <c r="W29" s="1086"/>
    </row>
    <row r="30" hidden="1">
      <c r="A30" s="1078"/>
      <c r="B30" s="1079"/>
      <c r="C30" s="1080" t="s">
        <v>4668</v>
      </c>
      <c r="D30" s="288" t="s">
        <v>4662</v>
      </c>
      <c r="E30" s="1081">
        <v>0.0</v>
      </c>
      <c r="F30" s="1081">
        <v>0.0</v>
      </c>
      <c r="G30" s="1081">
        <v>4.0</v>
      </c>
      <c r="H30" s="1088">
        <v>3.0</v>
      </c>
      <c r="I30" s="1088"/>
      <c r="J30" s="1081">
        <v>4.0</v>
      </c>
      <c r="K30" s="1081">
        <v>4.0</v>
      </c>
      <c r="L30" s="1081"/>
      <c r="M30" s="1083">
        <v>2.0</v>
      </c>
      <c r="N30" s="1081">
        <v>6.0</v>
      </c>
      <c r="O30" s="288">
        <v>5.0</v>
      </c>
      <c r="P30" s="288">
        <v>0.0</v>
      </c>
      <c r="Q30" s="288">
        <f t="shared" si="1"/>
        <v>28</v>
      </c>
      <c r="R30" s="1084">
        <v>5.0</v>
      </c>
      <c r="S30" s="1091"/>
      <c r="T30" s="1085"/>
      <c r="U30" s="293"/>
      <c r="V30" s="1086"/>
      <c r="W30" s="1086"/>
    </row>
    <row r="31" hidden="1">
      <c r="A31" s="1078">
        <v>6003224.0</v>
      </c>
      <c r="B31" s="1079" t="s">
        <v>4669</v>
      </c>
      <c r="C31" s="1080" t="s">
        <v>4668</v>
      </c>
      <c r="D31" s="288" t="s">
        <v>4670</v>
      </c>
      <c r="E31" s="1081">
        <v>0.0</v>
      </c>
      <c r="F31" s="1081">
        <v>0.0</v>
      </c>
      <c r="G31" s="1081">
        <v>2.0</v>
      </c>
      <c r="H31" s="1081"/>
      <c r="I31" s="1081"/>
      <c r="J31" s="1081">
        <v>3.0</v>
      </c>
      <c r="K31" s="1081">
        <v>0.0</v>
      </c>
      <c r="L31" s="1081">
        <v>0.0</v>
      </c>
      <c r="M31" s="1083">
        <v>3.0</v>
      </c>
      <c r="N31" s="1081">
        <v>3.0</v>
      </c>
      <c r="O31" s="288">
        <v>0.0</v>
      </c>
      <c r="P31" s="288">
        <v>0.0</v>
      </c>
      <c r="Q31" s="288">
        <f t="shared" si="1"/>
        <v>11</v>
      </c>
      <c r="R31" s="1084">
        <v>5.0</v>
      </c>
      <c r="S31" s="1091"/>
      <c r="T31" s="1085"/>
      <c r="U31" s="293"/>
      <c r="V31" s="1086"/>
      <c r="W31" s="1086"/>
    </row>
    <row r="32">
      <c r="A32" s="1078"/>
      <c r="B32" s="1079"/>
      <c r="C32" s="1080" t="s">
        <v>4671</v>
      </c>
      <c r="D32" s="288" t="s">
        <v>4672</v>
      </c>
      <c r="E32" s="1081">
        <v>0.0</v>
      </c>
      <c r="F32" s="1081">
        <v>0.0</v>
      </c>
      <c r="G32" s="1081"/>
      <c r="H32" s="1081"/>
      <c r="I32" s="1081"/>
      <c r="J32" s="1081">
        <v>0.0</v>
      </c>
      <c r="K32" s="1081">
        <v>4.0</v>
      </c>
      <c r="L32" s="1081">
        <v>4.0</v>
      </c>
      <c r="M32" s="1083">
        <v>1.0</v>
      </c>
      <c r="N32" s="1081">
        <v>0.0</v>
      </c>
      <c r="O32" s="288">
        <v>5.0</v>
      </c>
      <c r="P32" s="1093">
        <v>5.0</v>
      </c>
      <c r="Q32" s="288">
        <f t="shared" si="1"/>
        <v>14</v>
      </c>
      <c r="R32" s="1084">
        <v>5.0</v>
      </c>
      <c r="S32" s="1091"/>
      <c r="T32" s="1085"/>
      <c r="U32" s="293"/>
      <c r="V32" s="1086"/>
      <c r="W32" s="1086"/>
    </row>
    <row r="33">
      <c r="A33" s="1078">
        <v>6.0003223E8</v>
      </c>
      <c r="B33" s="1079" t="s">
        <v>4673</v>
      </c>
      <c r="C33" s="1080" t="s">
        <v>4671</v>
      </c>
      <c r="D33" s="288" t="s">
        <v>4674</v>
      </c>
      <c r="E33" s="1081">
        <v>0.0</v>
      </c>
      <c r="F33" s="1081">
        <v>0.0</v>
      </c>
      <c r="G33" s="1081"/>
      <c r="H33" s="1081"/>
      <c r="I33" s="1081"/>
      <c r="J33" s="1081">
        <v>0.0</v>
      </c>
      <c r="K33" s="1081">
        <v>6.0</v>
      </c>
      <c r="L33" s="1081">
        <v>4.0</v>
      </c>
      <c r="M33" s="1083">
        <v>4.0</v>
      </c>
      <c r="N33" s="1081">
        <v>4.0</v>
      </c>
      <c r="O33" s="288">
        <v>0.0</v>
      </c>
      <c r="P33" s="1093">
        <v>5.0</v>
      </c>
      <c r="Q33" s="288">
        <f t="shared" si="1"/>
        <v>18</v>
      </c>
      <c r="R33" s="1084">
        <v>5.0</v>
      </c>
      <c r="S33" s="1091"/>
      <c r="T33" s="1085"/>
      <c r="U33" s="293"/>
      <c r="V33" s="1086"/>
      <c r="W33" s="1086"/>
    </row>
    <row r="34">
      <c r="A34" s="1078"/>
      <c r="B34" s="1079"/>
      <c r="C34" s="1080" t="s">
        <v>4643</v>
      </c>
      <c r="D34" s="288" t="s">
        <v>4651</v>
      </c>
      <c r="E34" s="1081">
        <v>0.0</v>
      </c>
      <c r="F34" s="1081">
        <v>0.0</v>
      </c>
      <c r="G34" s="1081">
        <v>3.0</v>
      </c>
      <c r="H34" s="1088">
        <v>2.0</v>
      </c>
      <c r="I34" s="1088"/>
      <c r="J34" s="1095"/>
      <c r="K34" s="1081">
        <v>4.0</v>
      </c>
      <c r="L34" s="1081">
        <v>4.0</v>
      </c>
      <c r="M34" s="1083">
        <v>5.0</v>
      </c>
      <c r="N34" s="1081">
        <v>5.0</v>
      </c>
      <c r="O34" s="288">
        <v>5.0</v>
      </c>
      <c r="P34" s="288">
        <v>5.0</v>
      </c>
      <c r="Q34" s="288">
        <f t="shared" si="1"/>
        <v>28</v>
      </c>
      <c r="R34" s="1084">
        <v>5.0</v>
      </c>
      <c r="S34" s="1091"/>
      <c r="T34" s="1085"/>
      <c r="U34" s="293"/>
      <c r="V34" s="1086"/>
      <c r="W34" s="1086"/>
    </row>
    <row r="35" hidden="1">
      <c r="A35" s="1078"/>
      <c r="B35" s="1079"/>
      <c r="C35" s="1080" t="s">
        <v>4675</v>
      </c>
      <c r="D35" s="288" t="s">
        <v>4652</v>
      </c>
      <c r="E35" s="1081">
        <v>0.0</v>
      </c>
      <c r="F35" s="1081">
        <v>5.0</v>
      </c>
      <c r="G35" s="1081"/>
      <c r="H35" s="1081"/>
      <c r="I35" s="1081"/>
      <c r="J35" s="1095"/>
      <c r="K35" s="1081">
        <v>4.0</v>
      </c>
      <c r="L35" s="1081">
        <v>5.0</v>
      </c>
      <c r="M35" s="1083">
        <v>5.0</v>
      </c>
      <c r="N35" s="1081">
        <v>2.0</v>
      </c>
      <c r="O35" s="288">
        <v>0.0</v>
      </c>
      <c r="P35" s="288">
        <v>0.0</v>
      </c>
      <c r="Q35" s="288">
        <f t="shared" si="1"/>
        <v>21</v>
      </c>
      <c r="R35" s="1084">
        <v>5.0</v>
      </c>
      <c r="S35" s="1091"/>
      <c r="T35" s="1085"/>
      <c r="U35" s="293"/>
      <c r="V35" s="1086"/>
      <c r="W35" s="1086"/>
    </row>
    <row r="36" hidden="1">
      <c r="A36" s="1078">
        <v>6.0032202E7</v>
      </c>
      <c r="B36" s="1079" t="s">
        <v>4676</v>
      </c>
      <c r="C36" s="1080" t="s">
        <v>4677</v>
      </c>
      <c r="D36" s="288" t="s">
        <v>4678</v>
      </c>
      <c r="E36" s="1081">
        <v>0.0</v>
      </c>
      <c r="F36" s="1081">
        <v>0.0</v>
      </c>
      <c r="G36" s="1081">
        <v>3.0</v>
      </c>
      <c r="H36" s="1088">
        <v>2.0</v>
      </c>
      <c r="I36" s="1088"/>
      <c r="J36" s="1081">
        <v>3.0</v>
      </c>
      <c r="K36" s="1081">
        <v>4.0</v>
      </c>
      <c r="L36" s="1081">
        <v>4.0</v>
      </c>
      <c r="M36" s="1083">
        <v>3.0</v>
      </c>
      <c r="N36" s="1081">
        <v>5.0</v>
      </c>
      <c r="O36" s="288">
        <v>5.0</v>
      </c>
      <c r="P36" s="288">
        <v>0.0</v>
      </c>
      <c r="Q36" s="288">
        <f t="shared" si="1"/>
        <v>29</v>
      </c>
      <c r="R36" s="1084">
        <v>5.0</v>
      </c>
      <c r="S36" s="1091"/>
      <c r="T36" s="1085"/>
      <c r="U36" s="293"/>
      <c r="V36" s="1086"/>
      <c r="W36" s="1086"/>
    </row>
    <row r="37" hidden="1">
      <c r="A37" s="1078"/>
      <c r="B37" s="1079"/>
      <c r="C37" s="1080" t="s">
        <v>4653</v>
      </c>
      <c r="D37" s="288" t="s">
        <v>4678</v>
      </c>
      <c r="E37" s="1081"/>
      <c r="F37" s="1081"/>
      <c r="G37" s="1081"/>
      <c r="H37" s="1088"/>
      <c r="I37" s="1088"/>
      <c r="J37" s="1081">
        <v>0.0</v>
      </c>
      <c r="K37" s="1081">
        <v>0.0</v>
      </c>
      <c r="L37" s="1081">
        <v>0.0</v>
      </c>
      <c r="M37" s="1083">
        <v>0.0</v>
      </c>
      <c r="N37" s="1081">
        <v>0.0</v>
      </c>
      <c r="O37" s="288">
        <v>5.0</v>
      </c>
      <c r="P37" s="288">
        <v>0.0</v>
      </c>
      <c r="Q37" s="288">
        <f t="shared" si="1"/>
        <v>5</v>
      </c>
      <c r="R37" s="1084">
        <v>5.0</v>
      </c>
      <c r="S37" s="1091"/>
      <c r="T37" s="1085"/>
      <c r="U37" s="293"/>
      <c r="V37" s="1086"/>
      <c r="W37" s="1086"/>
    </row>
    <row r="38" hidden="1">
      <c r="A38" s="1078">
        <v>6.003222E7</v>
      </c>
      <c r="B38" s="1079" t="s">
        <v>4679</v>
      </c>
      <c r="C38" s="1080" t="s">
        <v>4677</v>
      </c>
      <c r="D38" s="288" t="s">
        <v>4662</v>
      </c>
      <c r="E38" s="1081">
        <v>0.0</v>
      </c>
      <c r="F38" s="1081">
        <v>0.0</v>
      </c>
      <c r="G38" s="1081">
        <v>5.0</v>
      </c>
      <c r="H38" s="1088">
        <v>2.0</v>
      </c>
      <c r="I38" s="1088"/>
      <c r="J38" s="1081">
        <v>3.0</v>
      </c>
      <c r="K38" s="1081">
        <v>5.0</v>
      </c>
      <c r="L38" s="1081"/>
      <c r="M38" s="1083">
        <v>6.0</v>
      </c>
      <c r="N38" s="1081">
        <v>6.0</v>
      </c>
      <c r="O38" s="288">
        <v>5.0</v>
      </c>
      <c r="P38" s="288">
        <v>0.0</v>
      </c>
      <c r="Q38" s="288">
        <f t="shared" si="1"/>
        <v>32</v>
      </c>
      <c r="R38" s="1084">
        <v>5.0</v>
      </c>
      <c r="S38" s="1091"/>
      <c r="T38" s="1085"/>
      <c r="U38" s="293"/>
      <c r="V38" s="1086"/>
      <c r="W38" s="1086"/>
    </row>
    <row r="39">
      <c r="A39" s="1078"/>
      <c r="B39" s="1079"/>
      <c r="C39" s="1080" t="s">
        <v>4680</v>
      </c>
      <c r="D39" s="288" t="s">
        <v>4681</v>
      </c>
      <c r="E39" s="1081">
        <v>0.0</v>
      </c>
      <c r="F39" s="1081">
        <v>0.0</v>
      </c>
      <c r="G39" s="1081"/>
      <c r="H39" s="1081"/>
      <c r="I39" s="1081"/>
      <c r="J39" s="1081">
        <v>0.0</v>
      </c>
      <c r="K39" s="1081">
        <v>0.0</v>
      </c>
      <c r="L39" s="1081">
        <v>0.0</v>
      </c>
      <c r="M39" s="1083">
        <v>2.0</v>
      </c>
      <c r="N39" s="1081">
        <v>2.0</v>
      </c>
      <c r="O39" s="288">
        <v>0.0</v>
      </c>
      <c r="P39" s="1093">
        <v>5.0</v>
      </c>
      <c r="Q39" s="288">
        <f t="shared" si="1"/>
        <v>4</v>
      </c>
      <c r="R39" s="1084">
        <v>5.0</v>
      </c>
      <c r="S39" s="1091"/>
      <c r="T39" s="1085"/>
      <c r="U39" s="293"/>
      <c r="V39" s="1086"/>
      <c r="W39" s="1086"/>
    </row>
    <row r="40">
      <c r="A40" s="1078"/>
      <c r="B40" s="1079"/>
      <c r="C40" s="1080" t="s">
        <v>4682</v>
      </c>
      <c r="D40" s="288" t="s">
        <v>4681</v>
      </c>
      <c r="E40" s="1081">
        <v>5.0</v>
      </c>
      <c r="F40" s="1081">
        <v>0.0</v>
      </c>
      <c r="G40" s="1081"/>
      <c r="H40" s="1081"/>
      <c r="I40" s="1081"/>
      <c r="J40" s="1095"/>
      <c r="K40" s="1081">
        <v>4.0</v>
      </c>
      <c r="L40" s="1081">
        <v>5.0</v>
      </c>
      <c r="M40" s="1083">
        <v>5.0</v>
      </c>
      <c r="N40" s="1081">
        <v>5.0</v>
      </c>
      <c r="O40" s="288">
        <v>0.0</v>
      </c>
      <c r="P40" s="288">
        <v>5.0</v>
      </c>
      <c r="Q40" s="288">
        <f t="shared" si="1"/>
        <v>24</v>
      </c>
      <c r="R40" s="1084">
        <v>5.0</v>
      </c>
      <c r="S40" s="1091"/>
      <c r="T40" s="1085"/>
      <c r="U40" s="1097"/>
      <c r="V40" s="1086"/>
      <c r="W40" s="1086"/>
    </row>
    <row r="41" hidden="1">
      <c r="A41" s="1078">
        <v>6.003197E7</v>
      </c>
      <c r="B41" s="1079" t="s">
        <v>4683</v>
      </c>
      <c r="C41" s="1080" t="s">
        <v>4684</v>
      </c>
      <c r="D41" s="288" t="s">
        <v>4685</v>
      </c>
      <c r="E41" s="1081">
        <v>0.0</v>
      </c>
      <c r="F41" s="1081">
        <v>0.0</v>
      </c>
      <c r="G41" s="1081"/>
      <c r="H41" s="1081"/>
      <c r="I41" s="1081"/>
      <c r="J41" s="1081">
        <v>0.0</v>
      </c>
      <c r="K41" s="1081">
        <v>3.0</v>
      </c>
      <c r="L41" s="1081">
        <v>3.0</v>
      </c>
      <c r="M41" s="1083">
        <v>0.0</v>
      </c>
      <c r="N41" s="1081">
        <v>3.0</v>
      </c>
      <c r="O41" s="288">
        <v>0.0</v>
      </c>
      <c r="P41" s="288">
        <v>0.0</v>
      </c>
      <c r="Q41" s="288">
        <f t="shared" si="1"/>
        <v>9</v>
      </c>
      <c r="R41" s="1084">
        <v>5.0</v>
      </c>
      <c r="S41" s="1091"/>
      <c r="T41" s="1085"/>
      <c r="U41" s="293"/>
      <c r="V41" s="1086"/>
      <c r="W41" s="1086"/>
    </row>
    <row r="42" hidden="1">
      <c r="A42" s="1078"/>
      <c r="B42" s="1079" t="s">
        <v>4686</v>
      </c>
      <c r="C42" s="1080" t="s">
        <v>4687</v>
      </c>
      <c r="D42" s="288" t="s">
        <v>4688</v>
      </c>
      <c r="E42" s="1081">
        <v>4.0</v>
      </c>
      <c r="F42" s="1081">
        <v>0.0</v>
      </c>
      <c r="G42" s="1081"/>
      <c r="H42" s="1081"/>
      <c r="I42" s="1081"/>
      <c r="J42" s="1081">
        <v>3.0</v>
      </c>
      <c r="K42" s="1081">
        <v>5.0</v>
      </c>
      <c r="L42" s="1081">
        <v>4.0</v>
      </c>
      <c r="M42" s="1083">
        <v>1.0</v>
      </c>
      <c r="N42" s="1081">
        <v>0.0</v>
      </c>
      <c r="O42" s="288">
        <v>0.0</v>
      </c>
      <c r="P42" s="288">
        <v>0.0</v>
      </c>
      <c r="Q42" s="288">
        <f t="shared" si="1"/>
        <v>17</v>
      </c>
      <c r="R42" s="1084">
        <v>5.0</v>
      </c>
      <c r="S42" s="1091"/>
      <c r="T42" s="1085"/>
      <c r="U42" s="293"/>
      <c r="V42" s="1086"/>
      <c r="W42" s="1086"/>
    </row>
    <row r="43">
      <c r="A43" s="1078"/>
      <c r="B43" s="1079"/>
      <c r="C43" s="1080" t="s">
        <v>4684</v>
      </c>
      <c r="D43" s="288" t="s">
        <v>4689</v>
      </c>
      <c r="E43" s="1081">
        <v>0.0</v>
      </c>
      <c r="F43" s="1081">
        <v>0.0</v>
      </c>
      <c r="G43" s="1081"/>
      <c r="H43" s="1088">
        <v>1.0</v>
      </c>
      <c r="I43" s="1088"/>
      <c r="J43" s="1081">
        <v>0.0</v>
      </c>
      <c r="K43" s="1081">
        <v>0.0</v>
      </c>
      <c r="L43" s="1081">
        <v>2.0</v>
      </c>
      <c r="M43" s="1083">
        <v>3.0</v>
      </c>
      <c r="N43" s="1081">
        <v>0.0</v>
      </c>
      <c r="O43" s="288">
        <v>0.0</v>
      </c>
      <c r="P43" s="288">
        <v>5.0</v>
      </c>
      <c r="Q43" s="288">
        <f t="shared" si="1"/>
        <v>6</v>
      </c>
      <c r="R43" s="1084">
        <v>5.0</v>
      </c>
      <c r="S43" s="1091"/>
      <c r="T43" s="1085"/>
      <c r="U43" s="293"/>
      <c r="V43" s="1086"/>
      <c r="W43" s="1086"/>
    </row>
    <row r="44" hidden="1">
      <c r="A44" s="1078">
        <v>6.0031786E7</v>
      </c>
      <c r="B44" s="1079" t="s">
        <v>4690</v>
      </c>
      <c r="C44" s="1080" t="s">
        <v>4691</v>
      </c>
      <c r="D44" s="288" t="s">
        <v>4692</v>
      </c>
      <c r="E44" s="1081">
        <v>0.0</v>
      </c>
      <c r="F44" s="1081">
        <v>4.0</v>
      </c>
      <c r="G44" s="1081">
        <v>2.0</v>
      </c>
      <c r="H44" s="1081"/>
      <c r="I44" s="1081"/>
      <c r="J44" s="1081">
        <v>2.0</v>
      </c>
      <c r="K44" s="1081">
        <v>4.0</v>
      </c>
      <c r="L44" s="1081">
        <v>0.0</v>
      </c>
      <c r="M44" s="1083">
        <v>1.0</v>
      </c>
      <c r="N44" s="1081">
        <v>5.0</v>
      </c>
      <c r="O44" s="288">
        <v>0.0</v>
      </c>
      <c r="P44" s="288">
        <v>0.0</v>
      </c>
      <c r="Q44" s="288">
        <f t="shared" si="1"/>
        <v>18</v>
      </c>
      <c r="R44" s="1084">
        <v>5.0</v>
      </c>
      <c r="S44" s="1091"/>
      <c r="T44" s="1085"/>
      <c r="U44" s="293"/>
      <c r="V44" s="1086"/>
      <c r="W44" s="1086"/>
    </row>
    <row r="45">
      <c r="A45" s="1078"/>
      <c r="B45" s="1079"/>
      <c r="C45" s="1080" t="s">
        <v>4693</v>
      </c>
      <c r="D45" s="288" t="s">
        <v>4692</v>
      </c>
      <c r="E45" s="1081">
        <v>0.0</v>
      </c>
      <c r="F45" s="1081">
        <v>5.0</v>
      </c>
      <c r="G45" s="1081">
        <v>2.0</v>
      </c>
      <c r="H45" s="1081"/>
      <c r="I45" s="1081"/>
      <c r="J45" s="1081">
        <v>2.0</v>
      </c>
      <c r="K45" s="1081">
        <v>5.0</v>
      </c>
      <c r="L45" s="1081">
        <v>5.0</v>
      </c>
      <c r="M45" s="1083">
        <v>1.0</v>
      </c>
      <c r="N45" s="1081">
        <v>0.0</v>
      </c>
      <c r="O45" s="288">
        <v>5.0</v>
      </c>
      <c r="P45" s="1093">
        <v>5.0</v>
      </c>
      <c r="Q45" s="288">
        <f t="shared" si="1"/>
        <v>25</v>
      </c>
      <c r="R45" s="1084">
        <v>5.0</v>
      </c>
      <c r="S45" s="1091"/>
      <c r="T45" s="1085"/>
      <c r="U45" s="293"/>
      <c r="V45" s="1086"/>
      <c r="W45" s="1086"/>
    </row>
    <row r="46" hidden="1">
      <c r="A46" s="1078">
        <v>6.003181E7</v>
      </c>
      <c r="B46" s="1079" t="s">
        <v>4694</v>
      </c>
      <c r="C46" s="1080" t="s">
        <v>4695</v>
      </c>
      <c r="D46" s="288" t="s">
        <v>4696</v>
      </c>
      <c r="E46" s="1081">
        <v>0.0</v>
      </c>
      <c r="F46" s="1081">
        <v>5.0</v>
      </c>
      <c r="G46" s="1081">
        <v>6.0</v>
      </c>
      <c r="H46" s="1081"/>
      <c r="I46" s="1081">
        <v>2.0</v>
      </c>
      <c r="J46" s="1081">
        <v>5.0</v>
      </c>
      <c r="K46" s="1081">
        <v>0.0</v>
      </c>
      <c r="L46" s="1081">
        <v>3.0</v>
      </c>
      <c r="M46" s="1083">
        <v>1.0</v>
      </c>
      <c r="N46" s="1081">
        <v>3.0</v>
      </c>
      <c r="O46" s="288">
        <v>0.0</v>
      </c>
      <c r="P46" s="288">
        <v>0.0</v>
      </c>
      <c r="Q46" s="288">
        <f t="shared" si="1"/>
        <v>25</v>
      </c>
      <c r="R46" s="1084">
        <v>5.0</v>
      </c>
      <c r="S46" s="1091"/>
      <c r="T46" s="1085"/>
      <c r="U46" s="293"/>
      <c r="V46" s="1086"/>
      <c r="W46" s="1086"/>
    </row>
    <row r="47" hidden="1">
      <c r="A47" s="1078">
        <v>6.0031805E7</v>
      </c>
      <c r="B47" s="1079"/>
      <c r="C47" s="1080" t="s">
        <v>4697</v>
      </c>
      <c r="D47" s="288" t="s">
        <v>4696</v>
      </c>
      <c r="E47" s="1081">
        <v>0.0</v>
      </c>
      <c r="F47" s="1081">
        <v>5.0</v>
      </c>
      <c r="G47" s="1081">
        <v>5.0</v>
      </c>
      <c r="H47" s="1088">
        <v>6.0</v>
      </c>
      <c r="I47" s="1088">
        <v>5.0</v>
      </c>
      <c r="J47" s="1081">
        <v>6.0</v>
      </c>
      <c r="K47" s="1081">
        <v>8.0</v>
      </c>
      <c r="L47" s="1081">
        <v>8.0</v>
      </c>
      <c r="M47" s="1083">
        <v>10.0</v>
      </c>
      <c r="N47" s="1081">
        <v>15.0</v>
      </c>
      <c r="O47" s="288">
        <v>5.0</v>
      </c>
      <c r="P47" s="288">
        <v>0.0</v>
      </c>
      <c r="Q47" s="288">
        <f t="shared" si="1"/>
        <v>73</v>
      </c>
      <c r="R47" s="1084">
        <v>10.0</v>
      </c>
      <c r="S47" s="1091"/>
      <c r="T47" s="1085"/>
      <c r="U47" s="293"/>
      <c r="V47" s="1086"/>
      <c r="W47" s="1086"/>
    </row>
    <row r="48" hidden="1">
      <c r="A48" s="1078">
        <v>6.00318E7</v>
      </c>
      <c r="B48" s="1079" t="s">
        <v>4698</v>
      </c>
      <c r="C48" s="1080" t="s">
        <v>4699</v>
      </c>
      <c r="D48" s="288" t="s">
        <v>4696</v>
      </c>
      <c r="E48" s="1081">
        <v>0.0</v>
      </c>
      <c r="F48" s="1081">
        <v>4.0</v>
      </c>
      <c r="G48" s="1081">
        <v>5.0</v>
      </c>
      <c r="H48" s="1088">
        <v>2.0</v>
      </c>
      <c r="I48" s="1088">
        <v>2.0</v>
      </c>
      <c r="J48" s="1081">
        <v>4.0</v>
      </c>
      <c r="K48" s="1081">
        <v>8.0</v>
      </c>
      <c r="L48" s="1081">
        <v>5.0</v>
      </c>
      <c r="M48" s="1083">
        <v>1.0</v>
      </c>
      <c r="N48" s="1081">
        <v>9.0</v>
      </c>
      <c r="O48" s="288">
        <v>0.0</v>
      </c>
      <c r="P48" s="288">
        <v>0.0</v>
      </c>
      <c r="Q48" s="288">
        <f t="shared" si="1"/>
        <v>40</v>
      </c>
      <c r="R48" s="1084">
        <v>10.0</v>
      </c>
      <c r="S48" s="1091"/>
      <c r="T48" s="1085"/>
      <c r="U48" s="293"/>
      <c r="V48" s="1086"/>
      <c r="W48" s="1086"/>
    </row>
    <row r="49" hidden="1">
      <c r="A49" s="1078"/>
      <c r="B49" s="1079" t="s">
        <v>4700</v>
      </c>
      <c r="C49" s="1080" t="s">
        <v>4701</v>
      </c>
      <c r="D49" s="288" t="s">
        <v>4702</v>
      </c>
      <c r="E49" s="1081">
        <v>0.0</v>
      </c>
      <c r="F49" s="1081">
        <v>0.0</v>
      </c>
      <c r="G49" s="1081">
        <v>3.0</v>
      </c>
      <c r="H49" s="1081"/>
      <c r="I49" s="1081"/>
      <c r="J49" s="1081">
        <v>3.0</v>
      </c>
      <c r="K49" s="1081">
        <v>0.0</v>
      </c>
      <c r="L49" s="1081">
        <v>0.0</v>
      </c>
      <c r="M49" s="1083">
        <v>2.0</v>
      </c>
      <c r="N49" s="1081">
        <v>0.0</v>
      </c>
      <c r="O49" s="288">
        <v>0.0</v>
      </c>
      <c r="P49" s="288">
        <v>0.0</v>
      </c>
      <c r="Q49" s="288">
        <f t="shared" si="1"/>
        <v>8</v>
      </c>
      <c r="R49" s="1084">
        <v>5.0</v>
      </c>
      <c r="S49" s="1091"/>
      <c r="T49" s="1085"/>
      <c r="U49" s="293"/>
      <c r="V49" s="1086"/>
      <c r="W49" s="1086"/>
    </row>
    <row r="50">
      <c r="A50" s="1078"/>
      <c r="B50" s="1079"/>
      <c r="C50" s="1080" t="s">
        <v>4703</v>
      </c>
      <c r="D50" s="288" t="s">
        <v>4704</v>
      </c>
      <c r="E50" s="1081">
        <v>0.0</v>
      </c>
      <c r="F50" s="1081">
        <v>0.0</v>
      </c>
      <c r="G50" s="1081"/>
      <c r="H50" s="1081"/>
      <c r="I50" s="1081"/>
      <c r="J50" s="1081">
        <v>0.0</v>
      </c>
      <c r="K50" s="1081">
        <v>1.0</v>
      </c>
      <c r="L50" s="1081">
        <v>2.0</v>
      </c>
      <c r="M50" s="1083">
        <v>2.0</v>
      </c>
      <c r="N50" s="1081">
        <v>0.0</v>
      </c>
      <c r="O50" s="288">
        <v>5.0</v>
      </c>
      <c r="P50" s="1093">
        <v>5.0</v>
      </c>
      <c r="Q50" s="288">
        <f t="shared" si="1"/>
        <v>10</v>
      </c>
      <c r="R50" s="1084">
        <v>5.0</v>
      </c>
      <c r="S50" s="1091"/>
      <c r="T50" s="1085"/>
      <c r="U50" s="293"/>
      <c r="V50" s="1086"/>
      <c r="W50" s="1086"/>
    </row>
    <row r="51">
      <c r="A51" s="1078"/>
      <c r="B51" s="1079"/>
      <c r="C51" s="1080" t="s">
        <v>4705</v>
      </c>
      <c r="D51" s="288" t="s">
        <v>4706</v>
      </c>
      <c r="E51" s="1081"/>
      <c r="F51" s="1081"/>
      <c r="G51" s="1081"/>
      <c r="H51" s="1081"/>
      <c r="I51" s="1081"/>
      <c r="J51" s="1081"/>
      <c r="K51" s="1081"/>
      <c r="L51" s="1081"/>
      <c r="M51" s="1083">
        <v>0.0</v>
      </c>
      <c r="N51" s="1081">
        <v>0.0</v>
      </c>
      <c r="O51" s="288">
        <v>0.0</v>
      </c>
      <c r="P51" s="288">
        <v>5.0</v>
      </c>
      <c r="Q51" s="288">
        <f t="shared" si="1"/>
        <v>0</v>
      </c>
      <c r="R51" s="1084">
        <v>5.0</v>
      </c>
      <c r="S51" s="1091"/>
      <c r="T51" s="1085"/>
      <c r="U51" s="293"/>
      <c r="V51" s="1086"/>
      <c r="W51" s="1086"/>
    </row>
    <row r="52">
      <c r="A52" s="1098"/>
      <c r="B52" s="1098"/>
      <c r="C52" s="1080" t="s">
        <v>4707</v>
      </c>
      <c r="D52" s="288" t="s">
        <v>4706</v>
      </c>
      <c r="E52" s="1081"/>
      <c r="F52" s="1081"/>
      <c r="G52" s="1081"/>
      <c r="H52" s="1081"/>
      <c r="I52" s="1081"/>
      <c r="J52" s="1081"/>
      <c r="K52" s="1081"/>
      <c r="L52" s="1081"/>
      <c r="M52" s="1083">
        <v>0.0</v>
      </c>
      <c r="N52" s="1081">
        <v>0.0</v>
      </c>
      <c r="O52" s="288">
        <v>0.0</v>
      </c>
      <c r="P52" s="1093">
        <v>5.0</v>
      </c>
      <c r="Q52" s="288">
        <f t="shared" si="1"/>
        <v>0</v>
      </c>
      <c r="R52" s="1084">
        <v>5.0</v>
      </c>
      <c r="S52" s="1091"/>
      <c r="T52" s="1085"/>
      <c r="U52" s="293"/>
      <c r="V52" s="1086"/>
      <c r="W52" s="1086"/>
    </row>
    <row r="53" hidden="1">
      <c r="A53" s="1078"/>
      <c r="B53" s="1079" t="s">
        <v>4708</v>
      </c>
      <c r="C53" s="1080" t="s">
        <v>4709</v>
      </c>
      <c r="D53" s="288" t="s">
        <v>4710</v>
      </c>
      <c r="E53" s="1081">
        <v>2.0</v>
      </c>
      <c r="F53" s="1081">
        <v>0.0</v>
      </c>
      <c r="G53" s="1081"/>
      <c r="H53" s="1088">
        <v>3.0</v>
      </c>
      <c r="I53" s="1088">
        <v>5.0</v>
      </c>
      <c r="J53" s="1081">
        <v>3.0</v>
      </c>
      <c r="K53" s="1081">
        <v>4.0</v>
      </c>
      <c r="L53" s="1081">
        <v>5.0</v>
      </c>
      <c r="M53" s="1083">
        <v>4.0</v>
      </c>
      <c r="N53" s="1081">
        <v>0.0</v>
      </c>
      <c r="O53" s="288">
        <v>5.0</v>
      </c>
      <c r="P53" s="288">
        <v>0.0</v>
      </c>
      <c r="Q53" s="288">
        <f t="shared" si="1"/>
        <v>31</v>
      </c>
      <c r="R53" s="1084">
        <v>5.0</v>
      </c>
      <c r="S53" s="1091"/>
      <c r="T53" s="1085"/>
      <c r="U53" s="293"/>
      <c r="V53" s="1086"/>
      <c r="W53" s="1086"/>
    </row>
    <row r="54">
      <c r="A54" s="1078"/>
      <c r="B54" s="1079" t="s">
        <v>4711</v>
      </c>
      <c r="C54" s="1080" t="s">
        <v>4712</v>
      </c>
      <c r="D54" s="288" t="s">
        <v>4713</v>
      </c>
      <c r="E54" s="1081">
        <v>0.0</v>
      </c>
      <c r="F54" s="1081">
        <v>0.0</v>
      </c>
      <c r="G54" s="1081"/>
      <c r="H54" s="1081"/>
      <c r="I54" s="1081"/>
      <c r="J54" s="1081">
        <v>0.0</v>
      </c>
      <c r="K54" s="1081">
        <v>0.0</v>
      </c>
      <c r="L54" s="1081">
        <v>0.0</v>
      </c>
      <c r="M54" s="1083">
        <v>2.0</v>
      </c>
      <c r="N54" s="1081">
        <v>0.0</v>
      </c>
      <c r="O54" s="288">
        <v>0.0</v>
      </c>
      <c r="P54" s="288">
        <v>5.0</v>
      </c>
      <c r="Q54" s="288">
        <f t="shared" si="1"/>
        <v>2</v>
      </c>
      <c r="R54" s="1084">
        <v>5.0</v>
      </c>
      <c r="S54" s="1091"/>
      <c r="T54" s="1085"/>
      <c r="U54" s="293"/>
      <c r="V54" s="1086"/>
      <c r="W54" s="1086"/>
    </row>
    <row r="55" hidden="1">
      <c r="A55" s="1078"/>
      <c r="B55" s="1079" t="s">
        <v>4714</v>
      </c>
      <c r="C55" s="1080" t="s">
        <v>4712</v>
      </c>
      <c r="D55" s="288" t="s">
        <v>4715</v>
      </c>
      <c r="E55" s="1081">
        <v>0.0</v>
      </c>
      <c r="F55" s="1081">
        <v>0.0</v>
      </c>
      <c r="G55" s="1081">
        <v>5.0</v>
      </c>
      <c r="H55" s="1081"/>
      <c r="I55" s="1081"/>
      <c r="J55" s="1081">
        <v>3.0</v>
      </c>
      <c r="K55" s="1081">
        <v>4.0</v>
      </c>
      <c r="L55" s="1081">
        <v>5.0</v>
      </c>
      <c r="M55" s="1083">
        <v>0.0</v>
      </c>
      <c r="N55" s="1081">
        <v>3.0</v>
      </c>
      <c r="O55" s="288">
        <v>0.0</v>
      </c>
      <c r="P55" s="288">
        <v>0.0</v>
      </c>
      <c r="Q55" s="288">
        <f t="shared" si="1"/>
        <v>20</v>
      </c>
      <c r="R55" s="1084">
        <v>5.0</v>
      </c>
      <c r="S55" s="1091"/>
      <c r="T55" s="1085"/>
      <c r="U55" s="293"/>
      <c r="V55" s="1086"/>
      <c r="W55" s="1086"/>
    </row>
    <row r="56" hidden="1">
      <c r="A56" s="1078">
        <v>6.0031756E7</v>
      </c>
      <c r="B56" s="1079"/>
      <c r="C56" s="1080" t="s">
        <v>4716</v>
      </c>
      <c r="D56" s="288" t="s">
        <v>4710</v>
      </c>
      <c r="E56" s="1081">
        <v>0.0</v>
      </c>
      <c r="F56" s="1081">
        <v>0.0</v>
      </c>
      <c r="G56" s="1081"/>
      <c r="H56" s="1088">
        <v>5.0</v>
      </c>
      <c r="I56" s="1088">
        <v>3.0</v>
      </c>
      <c r="J56" s="1095"/>
      <c r="K56" s="1081">
        <v>1.0</v>
      </c>
      <c r="L56" s="1081">
        <v>3.0</v>
      </c>
      <c r="M56" s="1083">
        <v>3.0</v>
      </c>
      <c r="N56" s="1081">
        <v>3.0</v>
      </c>
      <c r="O56" s="288">
        <v>5.0</v>
      </c>
      <c r="P56" s="288">
        <v>0.0</v>
      </c>
      <c r="Q56" s="288">
        <f t="shared" si="1"/>
        <v>23</v>
      </c>
      <c r="R56" s="1084">
        <v>5.0</v>
      </c>
      <c r="S56" s="1091"/>
      <c r="T56" s="1085"/>
      <c r="U56" s="293"/>
      <c r="V56" s="1086"/>
      <c r="W56" s="1086"/>
    </row>
    <row r="57" hidden="1">
      <c r="A57" s="1078"/>
      <c r="B57" s="1079"/>
      <c r="C57" s="1080" t="s">
        <v>4717</v>
      </c>
      <c r="D57" s="288" t="s">
        <v>4715</v>
      </c>
      <c r="E57" s="1081">
        <v>0.0</v>
      </c>
      <c r="F57" s="1081">
        <v>0.0</v>
      </c>
      <c r="G57" s="1081"/>
      <c r="H57" s="1081"/>
      <c r="I57" s="1081"/>
      <c r="J57" s="1081">
        <v>0.0</v>
      </c>
      <c r="K57" s="1081">
        <v>2.0</v>
      </c>
      <c r="L57" s="1081">
        <v>2.0</v>
      </c>
      <c r="M57" s="1083">
        <v>4.0</v>
      </c>
      <c r="N57" s="1081">
        <v>4.0</v>
      </c>
      <c r="O57" s="288">
        <v>0.0</v>
      </c>
      <c r="P57" s="288">
        <v>0.0</v>
      </c>
      <c r="Q57" s="288">
        <f t="shared" si="1"/>
        <v>12</v>
      </c>
      <c r="R57" s="1084">
        <v>5.0</v>
      </c>
      <c r="S57" s="1091"/>
      <c r="T57" s="1085"/>
      <c r="U57" s="293"/>
      <c r="V57" s="1086"/>
      <c r="W57" s="1086"/>
    </row>
    <row r="58" hidden="1">
      <c r="A58" s="1078">
        <v>6.0031754E7</v>
      </c>
      <c r="B58" s="1079"/>
      <c r="C58" s="1080" t="s">
        <v>4718</v>
      </c>
      <c r="D58" s="288" t="s">
        <v>4710</v>
      </c>
      <c r="E58" s="1081">
        <v>0.0</v>
      </c>
      <c r="F58" s="1081">
        <v>0.0</v>
      </c>
      <c r="G58" s="1081"/>
      <c r="H58" s="1088">
        <v>5.0</v>
      </c>
      <c r="I58" s="1088">
        <v>3.0</v>
      </c>
      <c r="J58" s="1081">
        <v>3.0</v>
      </c>
      <c r="K58" s="1081">
        <v>2.0</v>
      </c>
      <c r="L58" s="1081">
        <v>3.0</v>
      </c>
      <c r="M58" s="1083">
        <v>0.0</v>
      </c>
      <c r="N58" s="1081">
        <v>5.0</v>
      </c>
      <c r="O58" s="288">
        <v>0.0</v>
      </c>
      <c r="P58" s="288">
        <v>0.0</v>
      </c>
      <c r="Q58" s="288">
        <f t="shared" si="1"/>
        <v>21</v>
      </c>
      <c r="R58" s="1084">
        <v>5.0</v>
      </c>
      <c r="S58" s="1091"/>
      <c r="T58" s="1085"/>
      <c r="U58" s="293"/>
      <c r="V58" s="1086"/>
      <c r="W58" s="1086"/>
    </row>
    <row r="59">
      <c r="A59" s="1078"/>
      <c r="B59" s="1079"/>
      <c r="C59" s="1080" t="s">
        <v>4719</v>
      </c>
      <c r="D59" s="288" t="s">
        <v>4713</v>
      </c>
      <c r="E59" s="1081">
        <v>0.0</v>
      </c>
      <c r="F59" s="1081">
        <v>0.0</v>
      </c>
      <c r="G59" s="1081">
        <v>3.0</v>
      </c>
      <c r="H59" s="1081"/>
      <c r="I59" s="1081"/>
      <c r="J59" s="1095"/>
      <c r="K59" s="1081">
        <v>3.0</v>
      </c>
      <c r="L59" s="1081">
        <v>3.0</v>
      </c>
      <c r="M59" s="1083">
        <v>4.0</v>
      </c>
      <c r="N59" s="1081">
        <v>4.0</v>
      </c>
      <c r="O59" s="288">
        <v>0.0</v>
      </c>
      <c r="P59" s="288">
        <v>5.0</v>
      </c>
      <c r="Q59" s="288">
        <f t="shared" si="1"/>
        <v>17</v>
      </c>
      <c r="R59" s="1084">
        <v>5.0</v>
      </c>
      <c r="S59" s="1091"/>
      <c r="T59" s="1085"/>
      <c r="U59" s="293"/>
      <c r="V59" s="1086"/>
      <c r="W59" s="1086"/>
    </row>
    <row r="60">
      <c r="A60" s="1078"/>
      <c r="B60" s="1079"/>
      <c r="C60" s="1080" t="s">
        <v>4719</v>
      </c>
      <c r="D60" s="288" t="s">
        <v>4715</v>
      </c>
      <c r="E60" s="1081">
        <v>0.0</v>
      </c>
      <c r="F60" s="1081">
        <v>0.0</v>
      </c>
      <c r="G60" s="1081">
        <v>2.0</v>
      </c>
      <c r="H60" s="1081"/>
      <c r="I60" s="1081"/>
      <c r="J60" s="1081">
        <v>3.0</v>
      </c>
      <c r="K60" s="1081">
        <v>3.0</v>
      </c>
      <c r="L60" s="1081">
        <v>0.0</v>
      </c>
      <c r="M60" s="1083">
        <v>1.0</v>
      </c>
      <c r="N60" s="1081">
        <v>0.0</v>
      </c>
      <c r="O60" s="288">
        <v>0.0</v>
      </c>
      <c r="P60" s="288">
        <v>5.0</v>
      </c>
      <c r="Q60" s="288">
        <f t="shared" si="1"/>
        <v>9</v>
      </c>
      <c r="R60" s="1084">
        <v>5.0</v>
      </c>
      <c r="S60" s="1091"/>
      <c r="T60" s="1085"/>
      <c r="U60" s="293"/>
      <c r="V60" s="1086"/>
      <c r="W60" s="1086"/>
    </row>
    <row r="61" hidden="1">
      <c r="A61" s="1078"/>
      <c r="B61" s="1079" t="s">
        <v>4720</v>
      </c>
      <c r="C61" s="1080" t="s">
        <v>4721</v>
      </c>
      <c r="D61" s="288" t="s">
        <v>4722</v>
      </c>
      <c r="E61" s="1081">
        <v>0.0</v>
      </c>
      <c r="F61" s="1081">
        <v>0.0</v>
      </c>
      <c r="G61" s="1081">
        <v>5.0</v>
      </c>
      <c r="H61" s="1088">
        <v>5.0</v>
      </c>
      <c r="I61" s="1088">
        <v>2.0</v>
      </c>
      <c r="J61" s="1081">
        <v>2.0</v>
      </c>
      <c r="K61" s="1081">
        <v>0.0</v>
      </c>
      <c r="L61" s="1081">
        <v>0.0</v>
      </c>
      <c r="M61" s="1083">
        <v>1.0</v>
      </c>
      <c r="N61" s="1081">
        <v>0.0</v>
      </c>
      <c r="O61" s="288">
        <v>0.0</v>
      </c>
      <c r="P61" s="288">
        <v>0.0</v>
      </c>
      <c r="Q61" s="288">
        <f t="shared" si="1"/>
        <v>15</v>
      </c>
      <c r="R61" s="1084">
        <v>5.0</v>
      </c>
      <c r="S61" s="1091"/>
      <c r="T61" s="1085"/>
      <c r="U61" s="293"/>
      <c r="V61" s="1086"/>
      <c r="W61" s="1086"/>
    </row>
    <row r="62">
      <c r="A62" s="1078"/>
      <c r="B62" s="1079"/>
      <c r="C62" s="1080" t="s">
        <v>4723</v>
      </c>
      <c r="D62" s="288" t="s">
        <v>4722</v>
      </c>
      <c r="E62" s="1081">
        <v>0.0</v>
      </c>
      <c r="F62" s="1081">
        <v>0.0</v>
      </c>
      <c r="G62" s="1081">
        <v>5.0</v>
      </c>
      <c r="H62" s="1088">
        <v>5.0</v>
      </c>
      <c r="I62" s="1088"/>
      <c r="J62" s="1081">
        <v>3.0</v>
      </c>
      <c r="K62" s="1081">
        <v>4.0</v>
      </c>
      <c r="L62" s="1081">
        <v>6.0</v>
      </c>
      <c r="M62" s="1083">
        <v>3.0</v>
      </c>
      <c r="N62" s="1081">
        <v>2.0</v>
      </c>
      <c r="O62" s="288">
        <v>5.0</v>
      </c>
      <c r="P62" s="288">
        <v>5.0</v>
      </c>
      <c r="Q62" s="288">
        <f t="shared" si="1"/>
        <v>33</v>
      </c>
      <c r="R62" s="1084">
        <v>5.0</v>
      </c>
      <c r="S62" s="1091"/>
      <c r="T62" s="1085"/>
      <c r="U62" s="293"/>
      <c r="V62" s="1086"/>
      <c r="W62" s="1086"/>
    </row>
    <row r="63" hidden="1">
      <c r="A63" s="1078">
        <v>6.0032656E7</v>
      </c>
      <c r="B63" s="1079"/>
      <c r="C63" s="1080" t="s">
        <v>4724</v>
      </c>
      <c r="D63" s="288" t="s">
        <v>4722</v>
      </c>
      <c r="E63" s="1081">
        <v>0.0</v>
      </c>
      <c r="F63" s="1081">
        <v>5.0</v>
      </c>
      <c r="G63" s="1081">
        <v>5.0</v>
      </c>
      <c r="H63" s="1088">
        <v>5.0</v>
      </c>
      <c r="I63" s="1088"/>
      <c r="J63" s="1081">
        <v>4.0</v>
      </c>
      <c r="K63" s="1081">
        <v>9.0</v>
      </c>
      <c r="L63" s="1081">
        <v>6.0</v>
      </c>
      <c r="M63" s="1083">
        <v>5.0</v>
      </c>
      <c r="N63" s="1081">
        <v>9.0</v>
      </c>
      <c r="O63" s="288">
        <v>5.0</v>
      </c>
      <c r="P63" s="288">
        <v>0.0</v>
      </c>
      <c r="Q63" s="288">
        <f t="shared" si="1"/>
        <v>53</v>
      </c>
      <c r="R63" s="1084">
        <v>10.0</v>
      </c>
      <c r="S63" s="1091"/>
      <c r="T63" s="1085"/>
      <c r="U63" s="293"/>
      <c r="V63" s="1086"/>
      <c r="W63" s="1086"/>
    </row>
    <row r="64" hidden="1">
      <c r="A64" s="1078"/>
      <c r="B64" s="1079" t="s">
        <v>4725</v>
      </c>
      <c r="C64" s="1080" t="s">
        <v>4726</v>
      </c>
      <c r="D64" s="1099" t="s">
        <v>4727</v>
      </c>
      <c r="E64" s="1081"/>
      <c r="F64" s="1081">
        <v>0.0</v>
      </c>
      <c r="G64" s="1081"/>
      <c r="H64" s="1081"/>
      <c r="I64" s="1081"/>
      <c r="J64" s="1081">
        <v>0.0</v>
      </c>
      <c r="K64" s="1081">
        <v>4.0</v>
      </c>
      <c r="L64" s="1081">
        <v>10.0</v>
      </c>
      <c r="M64" s="1083">
        <v>0.0</v>
      </c>
      <c r="N64" s="1081">
        <v>0.0</v>
      </c>
      <c r="O64" s="288">
        <v>0.0</v>
      </c>
      <c r="P64" s="288">
        <v>0.0</v>
      </c>
      <c r="Q64" s="288">
        <f t="shared" si="1"/>
        <v>14</v>
      </c>
      <c r="R64" s="1084">
        <v>5.0</v>
      </c>
      <c r="S64" s="1091"/>
      <c r="T64" s="1085"/>
      <c r="U64" s="293"/>
      <c r="V64" s="1086"/>
      <c r="W64" s="1086"/>
    </row>
    <row r="65">
      <c r="A65" s="1078">
        <v>6.0032108E7</v>
      </c>
      <c r="B65" s="1079" t="s">
        <v>4728</v>
      </c>
      <c r="C65" s="1080" t="s">
        <v>4729</v>
      </c>
      <c r="D65" s="1099" t="s">
        <v>4727</v>
      </c>
      <c r="E65" s="1081"/>
      <c r="F65" s="1081">
        <v>0.0</v>
      </c>
      <c r="G65" s="1081"/>
      <c r="H65" s="1081"/>
      <c r="I65" s="1081"/>
      <c r="J65" s="1081">
        <v>0.0</v>
      </c>
      <c r="K65" s="1081">
        <v>4.0</v>
      </c>
      <c r="L65" s="1081">
        <v>4.0</v>
      </c>
      <c r="M65" s="1083">
        <v>4.0</v>
      </c>
      <c r="N65" s="1081">
        <v>5.0</v>
      </c>
      <c r="O65" s="288">
        <v>0.0</v>
      </c>
      <c r="P65" s="1093" t="s">
        <v>4730</v>
      </c>
      <c r="Q65" s="288">
        <f t="shared" si="1"/>
        <v>17</v>
      </c>
      <c r="R65" s="1084">
        <v>5.0</v>
      </c>
      <c r="S65" s="1091"/>
      <c r="T65" s="1085"/>
      <c r="U65" s="293"/>
      <c r="V65" s="1086"/>
      <c r="W65" s="1086"/>
    </row>
    <row r="66">
      <c r="A66" s="1078"/>
      <c r="B66" s="1079" t="s">
        <v>4731</v>
      </c>
      <c r="C66" s="1080" t="s">
        <v>4732</v>
      </c>
      <c r="D66" s="1100" t="s">
        <v>4733</v>
      </c>
      <c r="E66" s="1081">
        <v>2.0</v>
      </c>
      <c r="F66" s="1081">
        <v>0.0</v>
      </c>
      <c r="G66" s="1081"/>
      <c r="H66" s="1081"/>
      <c r="I66" s="1081"/>
      <c r="J66" s="1081">
        <v>1.0</v>
      </c>
      <c r="K66" s="1081">
        <v>2.0</v>
      </c>
      <c r="L66" s="1081">
        <v>2.0</v>
      </c>
      <c r="M66" s="1083">
        <v>3.0</v>
      </c>
      <c r="N66" s="1081">
        <v>0.0</v>
      </c>
      <c r="O66" s="288">
        <v>0.0</v>
      </c>
      <c r="P66" s="1093">
        <v>5.0</v>
      </c>
      <c r="Q66" s="288">
        <f t="shared" si="1"/>
        <v>10</v>
      </c>
      <c r="R66" s="1084">
        <v>2.0</v>
      </c>
      <c r="S66" s="1091"/>
      <c r="T66" s="1085"/>
      <c r="U66" s="293"/>
      <c r="V66" s="1086"/>
      <c r="W66" s="1086"/>
    </row>
    <row r="67">
      <c r="A67" s="1078"/>
      <c r="B67" s="1079"/>
      <c r="C67" s="1080" t="s">
        <v>4732</v>
      </c>
      <c r="D67" s="288" t="s">
        <v>4734</v>
      </c>
      <c r="E67" s="1081">
        <v>0.0</v>
      </c>
      <c r="F67" s="1081">
        <v>0.0</v>
      </c>
      <c r="G67" s="1081"/>
      <c r="H67" s="1081"/>
      <c r="I67" s="1081"/>
      <c r="J67" s="1081">
        <v>0.0</v>
      </c>
      <c r="K67" s="1081">
        <v>0.0</v>
      </c>
      <c r="L67" s="1081">
        <v>0.0</v>
      </c>
      <c r="M67" s="1083">
        <v>2.0</v>
      </c>
      <c r="N67" s="1081">
        <v>2.0</v>
      </c>
      <c r="O67" s="288">
        <v>0.0</v>
      </c>
      <c r="P67" s="1093">
        <v>5.0</v>
      </c>
      <c r="Q67" s="288">
        <f t="shared" si="1"/>
        <v>4</v>
      </c>
      <c r="R67" s="1084">
        <v>5.0</v>
      </c>
      <c r="S67" s="1091"/>
      <c r="T67" s="1085"/>
      <c r="U67" s="293"/>
      <c r="V67" s="1086"/>
      <c r="W67" s="1086"/>
    </row>
    <row r="68">
      <c r="A68" s="1078"/>
      <c r="B68" s="1079"/>
      <c r="C68" s="1080" t="s">
        <v>4735</v>
      </c>
      <c r="D68" s="288" t="s">
        <v>4736</v>
      </c>
      <c r="E68" s="1081">
        <v>0.0</v>
      </c>
      <c r="F68" s="1081">
        <v>0.0</v>
      </c>
      <c r="G68" s="1081"/>
      <c r="H68" s="1081"/>
      <c r="I68" s="1081"/>
      <c r="J68" s="1081">
        <v>0.0</v>
      </c>
      <c r="K68" s="1081">
        <v>0.0</v>
      </c>
      <c r="L68" s="1081">
        <v>0.0</v>
      </c>
      <c r="M68" s="1083">
        <v>0.0</v>
      </c>
      <c r="N68" s="1081">
        <v>2.0</v>
      </c>
      <c r="O68" s="288">
        <v>0.0</v>
      </c>
      <c r="P68" s="1093">
        <v>5.0</v>
      </c>
      <c r="Q68" s="288">
        <f t="shared" si="1"/>
        <v>2</v>
      </c>
      <c r="R68" s="1084">
        <v>5.0</v>
      </c>
      <c r="S68" s="1091"/>
      <c r="T68" s="1085"/>
      <c r="U68" s="293"/>
      <c r="V68" s="1086"/>
      <c r="W68" s="1086"/>
    </row>
    <row r="69">
      <c r="A69" s="1078"/>
      <c r="B69" s="1079"/>
      <c r="C69" s="1080" t="s">
        <v>4735</v>
      </c>
      <c r="D69" s="288" t="s">
        <v>4737</v>
      </c>
      <c r="E69" s="1081">
        <v>0.0</v>
      </c>
      <c r="F69" s="1081">
        <v>0.0</v>
      </c>
      <c r="G69" s="1081"/>
      <c r="H69" s="1081"/>
      <c r="I69" s="1081"/>
      <c r="J69" s="1081">
        <v>0.0</v>
      </c>
      <c r="K69" s="1081">
        <v>0.0</v>
      </c>
      <c r="L69" s="1081">
        <v>0.0</v>
      </c>
      <c r="M69" s="1083">
        <v>2.0</v>
      </c>
      <c r="N69" s="1081">
        <v>2.0</v>
      </c>
      <c r="O69" s="288">
        <v>0.0</v>
      </c>
      <c r="P69" s="288">
        <v>5.0</v>
      </c>
      <c r="Q69" s="288">
        <f t="shared" si="1"/>
        <v>4</v>
      </c>
      <c r="R69" s="1084">
        <v>5.0</v>
      </c>
      <c r="S69" s="1091"/>
      <c r="T69" s="1085"/>
      <c r="U69" s="293"/>
      <c r="V69" s="1086"/>
      <c r="W69" s="1086"/>
    </row>
    <row r="70">
      <c r="A70" s="1078"/>
      <c r="B70" s="1079"/>
      <c r="C70" s="1080" t="s">
        <v>4738</v>
      </c>
      <c r="D70" s="288" t="s">
        <v>4739</v>
      </c>
      <c r="E70" s="1081">
        <v>0.0</v>
      </c>
      <c r="F70" s="1081">
        <v>0.0</v>
      </c>
      <c r="G70" s="1081"/>
      <c r="H70" s="1081"/>
      <c r="I70" s="1081"/>
      <c r="J70" s="1081">
        <v>0.0</v>
      </c>
      <c r="K70" s="1081">
        <v>0.0</v>
      </c>
      <c r="L70" s="1081">
        <v>0.0</v>
      </c>
      <c r="M70" s="1083">
        <v>2.0</v>
      </c>
      <c r="N70" s="1081">
        <v>2.0</v>
      </c>
      <c r="O70" s="288">
        <v>0.0</v>
      </c>
      <c r="P70" s="1093">
        <v>5.0</v>
      </c>
      <c r="Q70" s="288">
        <f t="shared" si="1"/>
        <v>4</v>
      </c>
      <c r="R70" s="1084">
        <v>5.0</v>
      </c>
      <c r="S70" s="1091"/>
      <c r="T70" s="1085"/>
      <c r="U70" s="293"/>
      <c r="V70" s="1086"/>
      <c r="W70" s="1086"/>
    </row>
    <row r="71">
      <c r="A71" s="1078"/>
      <c r="B71" s="1079"/>
      <c r="C71" s="1080" t="s">
        <v>4735</v>
      </c>
      <c r="D71" s="288" t="s">
        <v>4740</v>
      </c>
      <c r="E71" s="1081">
        <v>0.0</v>
      </c>
      <c r="F71" s="1081">
        <v>0.0</v>
      </c>
      <c r="G71" s="1081"/>
      <c r="H71" s="1081"/>
      <c r="I71" s="1081"/>
      <c r="J71" s="1081">
        <v>0.0</v>
      </c>
      <c r="K71" s="1081">
        <v>0.0</v>
      </c>
      <c r="L71" s="1081">
        <v>0.0</v>
      </c>
      <c r="M71" s="1083">
        <v>2.0</v>
      </c>
      <c r="N71" s="1081">
        <v>2.0</v>
      </c>
      <c r="O71" s="288">
        <v>0.0</v>
      </c>
      <c r="P71" s="1093">
        <v>5.0</v>
      </c>
      <c r="Q71" s="288">
        <f t="shared" si="1"/>
        <v>4</v>
      </c>
      <c r="R71" s="1084">
        <v>5.0</v>
      </c>
      <c r="S71" s="1091"/>
      <c r="T71" s="1085"/>
      <c r="U71" s="293"/>
      <c r="V71" s="1086"/>
      <c r="W71" s="1086"/>
    </row>
    <row r="72">
      <c r="A72" s="1078"/>
      <c r="B72" s="1079"/>
      <c r="C72" s="1080" t="s">
        <v>4741</v>
      </c>
      <c r="D72" s="288" t="s">
        <v>4736</v>
      </c>
      <c r="E72" s="1081">
        <v>0.0</v>
      </c>
      <c r="F72" s="1081">
        <v>0.0</v>
      </c>
      <c r="G72" s="1081"/>
      <c r="H72" s="1081"/>
      <c r="I72" s="1081"/>
      <c r="J72" s="1081">
        <v>0.0</v>
      </c>
      <c r="K72" s="1081">
        <v>0.0</v>
      </c>
      <c r="L72" s="1081">
        <v>0.0</v>
      </c>
      <c r="M72" s="1083">
        <v>2.0</v>
      </c>
      <c r="N72" s="1081">
        <v>2.0</v>
      </c>
      <c r="O72" s="288">
        <v>0.0</v>
      </c>
      <c r="P72" s="1093">
        <v>5.0</v>
      </c>
      <c r="Q72" s="288">
        <f t="shared" si="1"/>
        <v>4</v>
      </c>
      <c r="R72" s="1084">
        <v>5.0</v>
      </c>
      <c r="S72" s="1091"/>
      <c r="T72" s="1085"/>
      <c r="U72" s="293"/>
      <c r="V72" s="1086"/>
      <c r="W72" s="1086"/>
    </row>
    <row r="73">
      <c r="A73" s="1078"/>
      <c r="B73" s="1079"/>
      <c r="C73" s="1080" t="s">
        <v>4742</v>
      </c>
      <c r="D73" s="288" t="s">
        <v>4743</v>
      </c>
      <c r="E73" s="1081">
        <v>0.0</v>
      </c>
      <c r="F73" s="1081">
        <v>0.0</v>
      </c>
      <c r="G73" s="1081"/>
      <c r="H73" s="1081"/>
      <c r="I73" s="1081"/>
      <c r="J73" s="1081">
        <v>0.0</v>
      </c>
      <c r="K73" s="1081">
        <v>0.0</v>
      </c>
      <c r="L73" s="1081">
        <v>0.0</v>
      </c>
      <c r="M73" s="1083">
        <v>2.0</v>
      </c>
      <c r="N73" s="1081">
        <v>2.0</v>
      </c>
      <c r="O73" s="288">
        <v>0.0</v>
      </c>
      <c r="P73" s="1093">
        <v>5.0</v>
      </c>
      <c r="Q73" s="288">
        <f t="shared" si="1"/>
        <v>4</v>
      </c>
      <c r="R73" s="1084">
        <v>5.0</v>
      </c>
      <c r="S73" s="1091"/>
      <c r="T73" s="1085"/>
      <c r="U73" s="293"/>
      <c r="V73" s="1086"/>
      <c r="W73" s="1086"/>
    </row>
    <row r="74">
      <c r="A74" s="1078"/>
      <c r="B74" s="1079"/>
      <c r="C74" s="1080" t="s">
        <v>4744</v>
      </c>
      <c r="D74" s="288" t="s">
        <v>4745</v>
      </c>
      <c r="E74" s="1081">
        <v>0.0</v>
      </c>
      <c r="F74" s="1081">
        <v>0.0</v>
      </c>
      <c r="G74" s="1081"/>
      <c r="H74" s="1088">
        <v>1.0</v>
      </c>
      <c r="I74" s="1088"/>
      <c r="J74" s="1081">
        <v>0.0</v>
      </c>
      <c r="K74" s="1081">
        <v>0.0</v>
      </c>
      <c r="L74" s="1081">
        <v>2.0</v>
      </c>
      <c r="M74" s="1083">
        <v>2.0</v>
      </c>
      <c r="N74" s="1081">
        <v>2.0</v>
      </c>
      <c r="O74" s="288">
        <v>0.0</v>
      </c>
      <c r="P74" s="1093">
        <v>5.0</v>
      </c>
      <c r="Q74" s="288">
        <f t="shared" si="1"/>
        <v>7</v>
      </c>
      <c r="R74" s="1084">
        <v>5.0</v>
      </c>
      <c r="S74" s="1091"/>
      <c r="T74" s="1085"/>
      <c r="U74" s="293"/>
      <c r="V74" s="1086"/>
      <c r="W74" s="1086"/>
    </row>
    <row r="75">
      <c r="A75" s="1078"/>
      <c r="B75" s="1079"/>
      <c r="C75" s="1080" t="s">
        <v>4746</v>
      </c>
      <c r="D75" s="288" t="s">
        <v>4747</v>
      </c>
      <c r="E75" s="1081">
        <v>0.0</v>
      </c>
      <c r="F75" s="1081">
        <v>0.0</v>
      </c>
      <c r="G75" s="1081"/>
      <c r="H75" s="1081"/>
      <c r="I75" s="1081"/>
      <c r="J75" s="1081">
        <v>0.0</v>
      </c>
      <c r="K75" s="1081">
        <v>0.0</v>
      </c>
      <c r="L75" s="1081">
        <v>0.0</v>
      </c>
      <c r="M75" s="1083">
        <v>2.0</v>
      </c>
      <c r="N75" s="1081">
        <v>0.0</v>
      </c>
      <c r="O75" s="288">
        <v>0.0</v>
      </c>
      <c r="P75" s="288">
        <v>5.0</v>
      </c>
      <c r="Q75" s="288">
        <f t="shared" si="1"/>
        <v>2</v>
      </c>
      <c r="R75" s="1084">
        <v>0.0</v>
      </c>
      <c r="S75" s="1091"/>
      <c r="T75" s="1085"/>
      <c r="U75" s="293"/>
      <c r="V75" s="1086"/>
      <c r="W75" s="1086"/>
    </row>
    <row r="76">
      <c r="A76" s="1078"/>
      <c r="B76" s="1079"/>
      <c r="C76" s="1080" t="s">
        <v>4746</v>
      </c>
      <c r="D76" s="288" t="s">
        <v>4748</v>
      </c>
      <c r="E76" s="1081"/>
      <c r="F76" s="1081"/>
      <c r="G76" s="1081"/>
      <c r="H76" s="1081"/>
      <c r="I76" s="1081"/>
      <c r="J76" s="1081"/>
      <c r="K76" s="1081"/>
      <c r="L76" s="1081"/>
      <c r="M76" s="1083">
        <v>0.0</v>
      </c>
      <c r="N76" s="1081">
        <v>3.0</v>
      </c>
      <c r="O76" s="288">
        <v>0.0</v>
      </c>
      <c r="P76" s="1093">
        <v>5.0</v>
      </c>
      <c r="Q76" s="288">
        <f t="shared" si="1"/>
        <v>3</v>
      </c>
      <c r="R76" s="1084">
        <v>5.0</v>
      </c>
      <c r="S76" s="1091"/>
      <c r="T76" s="1085"/>
      <c r="U76" s="293"/>
      <c r="V76" s="1086"/>
      <c r="W76" s="1086"/>
    </row>
    <row r="77" hidden="1">
      <c r="A77" s="1078"/>
      <c r="B77" s="1079" t="s">
        <v>4749</v>
      </c>
      <c r="C77" s="1080" t="s">
        <v>4750</v>
      </c>
      <c r="D77" s="1099" t="s">
        <v>4751</v>
      </c>
      <c r="E77" s="1081">
        <v>0.0</v>
      </c>
      <c r="F77" s="1081">
        <v>0.0</v>
      </c>
      <c r="G77" s="1081"/>
      <c r="H77" s="1081"/>
      <c r="I77" s="1081">
        <v>3.0</v>
      </c>
      <c r="J77" s="1081">
        <v>3.0</v>
      </c>
      <c r="K77" s="1081">
        <v>2.0</v>
      </c>
      <c r="L77" s="1081">
        <v>3.0</v>
      </c>
      <c r="M77" s="1083">
        <v>0.0</v>
      </c>
      <c r="N77" s="1081">
        <v>3.0</v>
      </c>
      <c r="O77" s="288">
        <v>5.0</v>
      </c>
      <c r="P77" s="288">
        <v>0.0</v>
      </c>
      <c r="Q77" s="288">
        <f t="shared" si="1"/>
        <v>19</v>
      </c>
      <c r="R77" s="1084">
        <v>5.0</v>
      </c>
      <c r="S77" s="1091"/>
      <c r="T77" s="1085"/>
      <c r="U77" s="293"/>
      <c r="V77" s="1086"/>
      <c r="W77" s="1086"/>
    </row>
    <row r="78">
      <c r="A78" s="1078"/>
      <c r="B78" s="1079"/>
      <c r="C78" s="1080" t="s">
        <v>4752</v>
      </c>
      <c r="D78" s="1099" t="s">
        <v>4751</v>
      </c>
      <c r="E78" s="1081">
        <v>0.0</v>
      </c>
      <c r="F78" s="1081">
        <v>0.0</v>
      </c>
      <c r="G78" s="1081"/>
      <c r="H78" s="1081"/>
      <c r="I78" s="1081">
        <v>3.0</v>
      </c>
      <c r="J78" s="1081">
        <v>3.0</v>
      </c>
      <c r="K78" s="1081">
        <v>0.0</v>
      </c>
      <c r="L78" s="1081">
        <v>0.0</v>
      </c>
      <c r="M78" s="1083">
        <v>2.0</v>
      </c>
      <c r="N78" s="1081">
        <v>3.0</v>
      </c>
      <c r="O78" s="288">
        <v>5.0</v>
      </c>
      <c r="P78" s="1093">
        <v>5.0</v>
      </c>
      <c r="Q78" s="288">
        <f t="shared" si="1"/>
        <v>16</v>
      </c>
      <c r="R78" s="1084">
        <v>5.0</v>
      </c>
      <c r="S78" s="1091"/>
      <c r="T78" s="1085"/>
      <c r="U78" s="293"/>
      <c r="V78" s="1086"/>
      <c r="W78" s="1086"/>
    </row>
    <row r="79" hidden="1">
      <c r="A79" s="1078">
        <v>6.0032413E7</v>
      </c>
      <c r="B79" s="1079" t="s">
        <v>4753</v>
      </c>
      <c r="C79" s="1080" t="s">
        <v>4754</v>
      </c>
      <c r="D79" s="1099" t="s">
        <v>4755</v>
      </c>
      <c r="E79" s="1081">
        <v>0.0</v>
      </c>
      <c r="F79" s="1081">
        <v>4.0</v>
      </c>
      <c r="G79" s="1081">
        <v>3.0</v>
      </c>
      <c r="H79" s="1088">
        <v>4.0</v>
      </c>
      <c r="I79" s="1088">
        <v>3.0</v>
      </c>
      <c r="J79" s="1081">
        <v>5.0</v>
      </c>
      <c r="K79" s="1081">
        <v>8.0</v>
      </c>
      <c r="L79" s="1081">
        <v>0.0</v>
      </c>
      <c r="M79" s="1083">
        <v>10.0</v>
      </c>
      <c r="N79" s="1081">
        <v>12.0</v>
      </c>
      <c r="O79" s="288">
        <v>5.0</v>
      </c>
      <c r="P79" s="288">
        <v>0.0</v>
      </c>
      <c r="Q79" s="288">
        <f t="shared" si="1"/>
        <v>54</v>
      </c>
      <c r="R79" s="1084">
        <v>10.0</v>
      </c>
      <c r="S79" s="1091"/>
      <c r="T79" s="1085"/>
      <c r="U79" s="293"/>
      <c r="V79" s="1086"/>
      <c r="W79" s="1086"/>
    </row>
    <row r="80">
      <c r="A80" s="1078"/>
      <c r="B80" s="1079" t="s">
        <v>4756</v>
      </c>
      <c r="C80" s="1080" t="s">
        <v>4757</v>
      </c>
      <c r="D80" s="1099" t="s">
        <v>4755</v>
      </c>
      <c r="E80" s="1081">
        <v>0.0</v>
      </c>
      <c r="F80" s="1081">
        <v>4.0</v>
      </c>
      <c r="G80" s="1081">
        <v>5.0</v>
      </c>
      <c r="H80" s="1081"/>
      <c r="I80" s="1081">
        <v>3.0</v>
      </c>
      <c r="J80" s="1081">
        <v>5.0</v>
      </c>
      <c r="K80" s="1081">
        <v>7.0</v>
      </c>
      <c r="L80" s="1081">
        <v>0.0</v>
      </c>
      <c r="M80" s="1083">
        <v>4.0</v>
      </c>
      <c r="N80" s="1081">
        <v>8.0</v>
      </c>
      <c r="O80" s="288">
        <v>5.0</v>
      </c>
      <c r="P80" s="288">
        <v>5.0</v>
      </c>
      <c r="Q80" s="288">
        <f t="shared" si="1"/>
        <v>41</v>
      </c>
      <c r="R80" s="1084">
        <v>10.0</v>
      </c>
      <c r="S80" s="1091"/>
      <c r="T80" s="1085"/>
      <c r="U80" s="293"/>
      <c r="V80" s="1086"/>
      <c r="W80" s="1086"/>
    </row>
    <row r="81">
      <c r="A81" s="1078"/>
      <c r="B81" s="1079" t="s">
        <v>4758</v>
      </c>
      <c r="C81" s="1080" t="s">
        <v>4757</v>
      </c>
      <c r="D81" s="1099" t="s">
        <v>4759</v>
      </c>
      <c r="E81" s="1081">
        <v>0.0</v>
      </c>
      <c r="F81" s="1081">
        <v>10.0</v>
      </c>
      <c r="G81" s="1081">
        <v>0.0</v>
      </c>
      <c r="H81" s="1081"/>
      <c r="I81" s="1081">
        <v>5.0</v>
      </c>
      <c r="J81" s="1081">
        <v>5.0</v>
      </c>
      <c r="K81" s="1081">
        <v>6.0</v>
      </c>
      <c r="L81" s="1081">
        <v>10.0</v>
      </c>
      <c r="M81" s="1083">
        <v>3.0</v>
      </c>
      <c r="N81" s="1081">
        <v>10.0</v>
      </c>
      <c r="O81" s="288">
        <v>0.0</v>
      </c>
      <c r="P81" s="1093">
        <v>5.0</v>
      </c>
      <c r="Q81" s="288">
        <f t="shared" si="1"/>
        <v>49</v>
      </c>
      <c r="R81" s="1084">
        <v>10.0</v>
      </c>
      <c r="S81" s="1091"/>
      <c r="T81" s="1085"/>
      <c r="U81" s="293"/>
      <c r="V81" s="1086"/>
      <c r="W81" s="1086"/>
    </row>
    <row r="82">
      <c r="A82" s="1078">
        <v>6.0032404E7</v>
      </c>
      <c r="B82" s="1079" t="s">
        <v>4760</v>
      </c>
      <c r="C82" s="1080" t="s">
        <v>4761</v>
      </c>
      <c r="D82" s="1100" t="s">
        <v>4759</v>
      </c>
      <c r="E82" s="1081">
        <v>0.0</v>
      </c>
      <c r="F82" s="1081">
        <v>5.0</v>
      </c>
      <c r="G82" s="1081">
        <v>0.0</v>
      </c>
      <c r="H82" s="1088">
        <v>6.0</v>
      </c>
      <c r="I82" s="1088"/>
      <c r="J82" s="1081">
        <v>3.0</v>
      </c>
      <c r="K82" s="1081">
        <v>0.0</v>
      </c>
      <c r="L82" s="1081">
        <v>3.0</v>
      </c>
      <c r="M82" s="1083">
        <v>2.0</v>
      </c>
      <c r="N82" s="1081">
        <v>4.0</v>
      </c>
      <c r="O82" s="288">
        <v>5.0</v>
      </c>
      <c r="P82" s="288">
        <v>5.0</v>
      </c>
      <c r="Q82" s="288">
        <f t="shared" si="1"/>
        <v>28</v>
      </c>
      <c r="R82" s="1084">
        <v>5.0</v>
      </c>
      <c r="S82" s="1091"/>
      <c r="T82" s="1085"/>
      <c r="U82" s="293"/>
      <c r="V82" s="1086"/>
      <c r="W82" s="1086"/>
    </row>
    <row r="83" hidden="1">
      <c r="A83" s="1078">
        <v>6.0032401E7</v>
      </c>
      <c r="B83" s="1079"/>
      <c r="C83" s="1080" t="s">
        <v>4754</v>
      </c>
      <c r="D83" s="288" t="s">
        <v>4759</v>
      </c>
      <c r="E83" s="1081">
        <v>0.0</v>
      </c>
      <c r="F83" s="1081">
        <v>3.0</v>
      </c>
      <c r="G83" s="1081">
        <v>5.0</v>
      </c>
      <c r="H83" s="1081"/>
      <c r="I83" s="1081">
        <v>5.0</v>
      </c>
      <c r="J83" s="1081">
        <v>4.0</v>
      </c>
      <c r="K83" s="1081">
        <v>3.0</v>
      </c>
      <c r="L83" s="1081">
        <v>8.0</v>
      </c>
      <c r="M83" s="1083">
        <v>0.0</v>
      </c>
      <c r="N83" s="1081">
        <v>8.0</v>
      </c>
      <c r="O83" s="288">
        <v>5.0</v>
      </c>
      <c r="P83" s="288">
        <v>0.0</v>
      </c>
      <c r="Q83" s="288">
        <f t="shared" si="1"/>
        <v>41</v>
      </c>
      <c r="R83" s="1084">
        <v>10.0</v>
      </c>
      <c r="S83" s="1091"/>
      <c r="T83" s="1085"/>
      <c r="U83" s="293"/>
      <c r="V83" s="1086"/>
      <c r="W83" s="1086"/>
    </row>
    <row r="84">
      <c r="A84" s="1078">
        <v>6.0032406E7</v>
      </c>
      <c r="B84" s="1079"/>
      <c r="C84" s="1080" t="s">
        <v>4754</v>
      </c>
      <c r="D84" s="288" t="s">
        <v>4762</v>
      </c>
      <c r="E84" s="1081">
        <v>0.0</v>
      </c>
      <c r="F84" s="1081">
        <v>0.0</v>
      </c>
      <c r="G84" s="1081">
        <v>5.0</v>
      </c>
      <c r="H84" s="1081"/>
      <c r="I84" s="1081"/>
      <c r="J84" s="1081">
        <v>4.0</v>
      </c>
      <c r="K84" s="1081">
        <v>6.0</v>
      </c>
      <c r="L84" s="1081">
        <v>6.0</v>
      </c>
      <c r="M84" s="1083">
        <v>3.0</v>
      </c>
      <c r="N84" s="1081">
        <v>6.0</v>
      </c>
      <c r="O84" s="288">
        <v>5.0</v>
      </c>
      <c r="P84" s="288">
        <v>5.0</v>
      </c>
      <c r="Q84" s="288">
        <f t="shared" si="1"/>
        <v>35</v>
      </c>
      <c r="R84" s="1084">
        <v>10.0</v>
      </c>
      <c r="S84" s="1091"/>
      <c r="T84" s="1085"/>
      <c r="U84" s="293"/>
      <c r="V84" s="1086"/>
      <c r="W84" s="1086"/>
    </row>
    <row r="85" hidden="1">
      <c r="A85" s="1078"/>
      <c r="B85" s="1079" t="s">
        <v>4763</v>
      </c>
      <c r="C85" s="1080" t="s">
        <v>4764</v>
      </c>
      <c r="D85" s="288" t="s">
        <v>4765</v>
      </c>
      <c r="E85" s="1081">
        <v>0.0</v>
      </c>
      <c r="F85" s="1081">
        <v>10.0</v>
      </c>
      <c r="G85" s="1081">
        <v>10.0</v>
      </c>
      <c r="H85" s="1088">
        <v>10.0</v>
      </c>
      <c r="I85" s="1088">
        <v>5.0</v>
      </c>
      <c r="J85" s="1081">
        <v>12.0</v>
      </c>
      <c r="K85" s="1081">
        <v>8.0</v>
      </c>
      <c r="L85" s="1081">
        <v>8.0</v>
      </c>
      <c r="M85" s="1083">
        <v>0.0</v>
      </c>
      <c r="N85" s="1081">
        <v>10.0</v>
      </c>
      <c r="O85" s="288">
        <v>0.0</v>
      </c>
      <c r="P85" s="288">
        <v>0.0</v>
      </c>
      <c r="Q85" s="288">
        <f t="shared" si="1"/>
        <v>73</v>
      </c>
      <c r="R85" s="1084">
        <v>15.0</v>
      </c>
      <c r="S85" s="1091"/>
      <c r="T85" s="1085"/>
      <c r="U85" s="293"/>
      <c r="V85" s="1086"/>
      <c r="W85" s="1086"/>
    </row>
    <row r="86">
      <c r="A86" s="1078"/>
      <c r="B86" s="1079" t="s">
        <v>4766</v>
      </c>
      <c r="C86" s="1080" t="s">
        <v>4767</v>
      </c>
      <c r="D86" s="288" t="s">
        <v>4768</v>
      </c>
      <c r="E86" s="1081">
        <v>0.0</v>
      </c>
      <c r="F86" s="1081">
        <v>0.0</v>
      </c>
      <c r="G86" s="1081"/>
      <c r="H86" s="1081"/>
      <c r="I86" s="1081"/>
      <c r="J86" s="1081">
        <v>0.0</v>
      </c>
      <c r="K86" s="1081">
        <v>2.0</v>
      </c>
      <c r="L86" s="1081">
        <v>0.0</v>
      </c>
      <c r="M86" s="1083">
        <v>2.0</v>
      </c>
      <c r="N86" s="1081">
        <v>0.0</v>
      </c>
      <c r="O86" s="288">
        <v>5.0</v>
      </c>
      <c r="P86" s="288">
        <v>5.0</v>
      </c>
      <c r="Q86" s="288">
        <f t="shared" si="1"/>
        <v>9</v>
      </c>
      <c r="R86" s="1084">
        <v>5.0</v>
      </c>
      <c r="S86" s="1091"/>
      <c r="T86" s="1085"/>
      <c r="U86" s="293"/>
      <c r="V86" s="1086"/>
      <c r="W86" s="1086"/>
    </row>
    <row r="87">
      <c r="A87" s="1078"/>
      <c r="B87" s="1079" t="s">
        <v>4769</v>
      </c>
      <c r="C87" s="1080" t="s">
        <v>4770</v>
      </c>
      <c r="D87" s="288" t="s">
        <v>4771</v>
      </c>
      <c r="E87" s="1081">
        <v>0.0</v>
      </c>
      <c r="F87" s="1081">
        <v>0.0</v>
      </c>
      <c r="G87" s="1081">
        <v>10.0</v>
      </c>
      <c r="H87" s="1081"/>
      <c r="I87" s="1081"/>
      <c r="J87" s="1081">
        <v>3.0</v>
      </c>
      <c r="K87" s="1081">
        <v>6.0</v>
      </c>
      <c r="L87" s="1081">
        <v>10.0</v>
      </c>
      <c r="M87" s="1083">
        <v>3.0</v>
      </c>
      <c r="N87" s="1081">
        <v>2.0</v>
      </c>
      <c r="O87" s="288">
        <v>0.0</v>
      </c>
      <c r="P87" s="1093" t="s">
        <v>4772</v>
      </c>
      <c r="Q87" s="288">
        <f t="shared" si="1"/>
        <v>34</v>
      </c>
      <c r="R87" s="1084">
        <v>10.0</v>
      </c>
      <c r="S87" s="1091"/>
      <c r="T87" s="1085"/>
      <c r="U87" s="293"/>
      <c r="V87" s="1086"/>
      <c r="W87" s="1086"/>
    </row>
    <row r="88">
      <c r="A88" s="1078"/>
      <c r="B88" s="1079"/>
      <c r="C88" s="1080" t="s">
        <v>4773</v>
      </c>
      <c r="D88" s="288" t="s">
        <v>4774</v>
      </c>
      <c r="E88" s="1081">
        <v>0.0</v>
      </c>
      <c r="F88" s="1081">
        <v>0.0</v>
      </c>
      <c r="G88" s="1081">
        <v>3.0</v>
      </c>
      <c r="H88" s="1081"/>
      <c r="I88" s="1081">
        <v>5.0</v>
      </c>
      <c r="J88" s="1081">
        <v>3.0</v>
      </c>
      <c r="K88" s="1081">
        <v>4.0</v>
      </c>
      <c r="L88" s="1081">
        <v>6.0</v>
      </c>
      <c r="M88" s="1083">
        <v>3.0</v>
      </c>
      <c r="N88" s="1081">
        <v>2.0</v>
      </c>
      <c r="O88" s="288">
        <v>0.0</v>
      </c>
      <c r="P88" s="288">
        <v>5.0</v>
      </c>
      <c r="Q88" s="288">
        <f t="shared" si="1"/>
        <v>26</v>
      </c>
      <c r="R88" s="1084">
        <v>5.0</v>
      </c>
      <c r="S88" s="1091"/>
      <c r="T88" s="1085"/>
      <c r="U88" s="293"/>
      <c r="V88" s="1086"/>
      <c r="W88" s="1086"/>
    </row>
    <row r="89">
      <c r="A89" s="1078"/>
      <c r="B89" s="1079" t="s">
        <v>4775</v>
      </c>
      <c r="C89" s="1080" t="s">
        <v>4776</v>
      </c>
      <c r="D89" s="288" t="s">
        <v>4774</v>
      </c>
      <c r="E89" s="1081">
        <v>0.0</v>
      </c>
      <c r="F89" s="1081">
        <v>0.0</v>
      </c>
      <c r="G89" s="1081">
        <v>2.0</v>
      </c>
      <c r="H89" s="1081"/>
      <c r="I89" s="1081"/>
      <c r="J89" s="1081">
        <v>2.0</v>
      </c>
      <c r="K89" s="1081">
        <v>2.0</v>
      </c>
      <c r="L89" s="1081">
        <v>3.0</v>
      </c>
      <c r="M89" s="1083">
        <v>1.0</v>
      </c>
      <c r="N89" s="1081">
        <v>0.0</v>
      </c>
      <c r="O89" s="288">
        <v>0.0</v>
      </c>
      <c r="P89" s="1093">
        <v>5.0</v>
      </c>
      <c r="Q89" s="288">
        <f t="shared" si="1"/>
        <v>10</v>
      </c>
      <c r="R89" s="1084">
        <v>5.0</v>
      </c>
      <c r="S89" s="1091"/>
      <c r="T89" s="1085"/>
      <c r="U89" s="293"/>
      <c r="V89" s="1086"/>
      <c r="W89" s="1086"/>
    </row>
    <row r="90" hidden="1">
      <c r="A90" s="1078"/>
      <c r="B90" s="1079"/>
      <c r="C90" s="1080"/>
      <c r="D90" s="288"/>
      <c r="E90" s="1081"/>
      <c r="F90" s="1081"/>
      <c r="G90" s="1081"/>
      <c r="H90" s="1081"/>
      <c r="I90" s="1081"/>
      <c r="J90" s="1081"/>
      <c r="K90" s="1081"/>
      <c r="L90" s="1081"/>
      <c r="M90" s="1083"/>
      <c r="N90" s="1081"/>
      <c r="O90" s="288"/>
      <c r="P90" s="288"/>
      <c r="Q90" s="288">
        <f t="shared" si="1"/>
        <v>0</v>
      </c>
      <c r="R90" s="288"/>
      <c r="S90" s="288"/>
      <c r="T90" s="293"/>
      <c r="U90" s="293"/>
      <c r="V90" s="288"/>
      <c r="W90" s="288"/>
    </row>
    <row r="91">
      <c r="A91" s="1101"/>
      <c r="B91" s="1102" t="s">
        <v>4777</v>
      </c>
      <c r="C91" s="1103" t="s">
        <v>4778</v>
      </c>
      <c r="D91" s="1104">
        <v>15001.0</v>
      </c>
      <c r="E91" s="1081">
        <v>0.0</v>
      </c>
      <c r="F91" s="1081">
        <v>0.0</v>
      </c>
      <c r="G91" s="1081"/>
      <c r="H91" s="1081"/>
      <c r="I91" s="1081">
        <v>3.0</v>
      </c>
      <c r="J91" s="1095"/>
      <c r="K91" s="1105">
        <v>2.0</v>
      </c>
      <c r="L91" s="1081"/>
      <c r="M91" s="1083">
        <v>0.0</v>
      </c>
      <c r="N91" s="1081">
        <v>2.0</v>
      </c>
      <c r="O91" s="288">
        <v>0.0</v>
      </c>
      <c r="P91" s="288">
        <v>2.0</v>
      </c>
      <c r="Q91" s="288">
        <f t="shared" si="1"/>
        <v>7</v>
      </c>
      <c r="R91" s="1104">
        <v>3.0</v>
      </c>
      <c r="S91" s="1104"/>
      <c r="T91" s="1106"/>
      <c r="U91" s="293"/>
      <c r="V91" s="1086"/>
      <c r="W91" s="1086"/>
    </row>
    <row r="92" hidden="1">
      <c r="A92" s="1078"/>
      <c r="B92" s="1079"/>
      <c r="C92" s="1080" t="s">
        <v>4779</v>
      </c>
      <c r="D92" s="288" t="s">
        <v>4696</v>
      </c>
      <c r="E92" s="1081"/>
      <c r="F92" s="1081"/>
      <c r="G92" s="1081"/>
      <c r="H92" s="1081"/>
      <c r="I92" s="1081"/>
      <c r="J92" s="1081"/>
      <c r="K92" s="1105"/>
      <c r="L92" s="1081"/>
      <c r="M92" s="1083">
        <v>0.0</v>
      </c>
      <c r="N92" s="1081">
        <v>0.0</v>
      </c>
      <c r="O92" s="288">
        <v>0.0</v>
      </c>
      <c r="P92" s="288"/>
      <c r="Q92" s="288">
        <f t="shared" si="1"/>
        <v>0</v>
      </c>
      <c r="R92" s="1084"/>
      <c r="S92" s="1091"/>
      <c r="T92" s="1085"/>
      <c r="U92" s="293"/>
      <c r="V92" s="1086"/>
      <c r="W92" s="1086"/>
    </row>
    <row r="93" hidden="1">
      <c r="A93" s="1078"/>
      <c r="B93" s="1079"/>
      <c r="C93" s="1080" t="s">
        <v>4780</v>
      </c>
      <c r="D93" s="288" t="s">
        <v>4781</v>
      </c>
      <c r="E93" s="1081"/>
      <c r="F93" s="1081"/>
      <c r="G93" s="1081"/>
      <c r="H93" s="1081"/>
      <c r="I93" s="1081"/>
      <c r="J93" s="1081"/>
      <c r="K93" s="1105"/>
      <c r="L93" s="1081"/>
      <c r="M93" s="1083">
        <v>1.0</v>
      </c>
      <c r="N93" s="1081">
        <v>0.0</v>
      </c>
      <c r="O93" s="288">
        <v>0.0</v>
      </c>
      <c r="P93" s="288"/>
      <c r="Q93" s="288">
        <f t="shared" si="1"/>
        <v>1</v>
      </c>
      <c r="R93" s="1084"/>
      <c r="S93" s="1091"/>
      <c r="T93" s="1085"/>
      <c r="U93" s="293"/>
      <c r="V93" s="1086"/>
      <c r="W93" s="1086"/>
    </row>
    <row r="94" hidden="1">
      <c r="A94" s="1078"/>
      <c r="B94" s="1079"/>
      <c r="C94" s="1080" t="s">
        <v>4782</v>
      </c>
      <c r="D94" s="288" t="s">
        <v>4612</v>
      </c>
      <c r="E94" s="1081"/>
      <c r="F94" s="1081"/>
      <c r="G94" s="1081"/>
      <c r="H94" s="1081"/>
      <c r="I94" s="1081"/>
      <c r="J94" s="1081"/>
      <c r="K94" s="1105"/>
      <c r="L94" s="1081"/>
      <c r="M94" s="1083">
        <v>0.0</v>
      </c>
      <c r="N94" s="1081">
        <v>0.0</v>
      </c>
      <c r="O94" s="288">
        <v>0.0</v>
      </c>
      <c r="P94" s="288"/>
      <c r="Q94" s="288">
        <f t="shared" si="1"/>
        <v>0</v>
      </c>
      <c r="R94" s="1084"/>
      <c r="S94" s="1091"/>
      <c r="T94" s="1085"/>
      <c r="U94" s="293"/>
      <c r="V94" s="1086"/>
      <c r="W94" s="1086"/>
    </row>
    <row r="95" hidden="1">
      <c r="A95" s="1078"/>
      <c r="B95" s="1079"/>
      <c r="C95" s="1080" t="s">
        <v>4783</v>
      </c>
      <c r="D95" s="288" t="s">
        <v>4625</v>
      </c>
      <c r="E95" s="1081"/>
      <c r="F95" s="1081"/>
      <c r="G95" s="1081"/>
      <c r="H95" s="1081"/>
      <c r="I95" s="1081"/>
      <c r="J95" s="1081"/>
      <c r="K95" s="1105">
        <v>4.0</v>
      </c>
      <c r="L95" s="1081"/>
      <c r="M95" s="1083">
        <v>0.0</v>
      </c>
      <c r="N95" s="1081">
        <v>0.0</v>
      </c>
      <c r="O95" s="288">
        <v>0.0</v>
      </c>
      <c r="P95" s="288"/>
      <c r="Q95" s="288">
        <f t="shared" si="1"/>
        <v>4</v>
      </c>
      <c r="R95" s="1084"/>
      <c r="S95" s="1091"/>
      <c r="T95" s="1085"/>
      <c r="U95" s="293"/>
      <c r="V95" s="1086"/>
      <c r="W95" s="1086"/>
    </row>
    <row r="96" hidden="1">
      <c r="A96" s="1078"/>
      <c r="B96" s="1079"/>
      <c r="C96" s="1080" t="s">
        <v>4784</v>
      </c>
      <c r="D96" s="288" t="s">
        <v>4685</v>
      </c>
      <c r="E96" s="1081"/>
      <c r="F96" s="1081"/>
      <c r="G96" s="1081"/>
      <c r="H96" s="1081"/>
      <c r="I96" s="1081"/>
      <c r="J96" s="1081"/>
      <c r="K96" s="1081"/>
      <c r="L96" s="1081"/>
      <c r="M96" s="1083">
        <v>0.0</v>
      </c>
      <c r="N96" s="1081">
        <v>0.0</v>
      </c>
      <c r="O96" s="288">
        <v>0.0</v>
      </c>
      <c r="P96" s="288"/>
      <c r="Q96" s="288">
        <f t="shared" si="1"/>
        <v>0</v>
      </c>
      <c r="R96" s="1084"/>
      <c r="S96" s="1091"/>
      <c r="T96" s="1085"/>
      <c r="U96" s="293"/>
      <c r="V96" s="1086"/>
      <c r="W96" s="1086"/>
    </row>
    <row r="97" hidden="1">
      <c r="A97" s="1078"/>
      <c r="B97" s="1079"/>
      <c r="C97" s="1080" t="s">
        <v>4785</v>
      </c>
      <c r="D97" s="288" t="s">
        <v>4786</v>
      </c>
      <c r="E97" s="1081"/>
      <c r="F97" s="1081"/>
      <c r="G97" s="1081"/>
      <c r="H97" s="1081"/>
      <c r="I97" s="1081"/>
      <c r="J97" s="1081"/>
      <c r="K97" s="1081"/>
      <c r="L97" s="1081"/>
      <c r="M97" s="1083">
        <v>0.0</v>
      </c>
      <c r="N97" s="1081">
        <v>0.0</v>
      </c>
      <c r="O97" s="288">
        <v>0.0</v>
      </c>
      <c r="P97" s="288"/>
      <c r="Q97" s="288">
        <f t="shared" si="1"/>
        <v>0</v>
      </c>
      <c r="R97" s="1084"/>
      <c r="S97" s="1091"/>
      <c r="T97" s="1085"/>
      <c r="U97" s="293"/>
      <c r="V97" s="1086"/>
      <c r="W97" s="1086"/>
    </row>
    <row r="98" hidden="1">
      <c r="A98" s="1078"/>
      <c r="B98" s="1079"/>
      <c r="C98" s="1080" t="s">
        <v>4785</v>
      </c>
      <c r="D98" s="288" t="s">
        <v>4787</v>
      </c>
      <c r="E98" s="1081"/>
      <c r="F98" s="1081"/>
      <c r="G98" s="1081"/>
      <c r="H98" s="1081"/>
      <c r="I98" s="1081"/>
      <c r="J98" s="1081"/>
      <c r="K98" s="1081"/>
      <c r="L98" s="1081"/>
      <c r="M98" s="1083">
        <v>0.0</v>
      </c>
      <c r="N98" s="1081">
        <v>0.0</v>
      </c>
      <c r="O98" s="288">
        <v>0.0</v>
      </c>
      <c r="P98" s="288"/>
      <c r="Q98" s="288">
        <f t="shared" si="1"/>
        <v>0</v>
      </c>
      <c r="R98" s="1084"/>
      <c r="S98" s="1091"/>
      <c r="T98" s="1085"/>
      <c r="U98" s="293"/>
      <c r="V98" s="1086"/>
      <c r="W98" s="1086"/>
    </row>
    <row r="99" hidden="1">
      <c r="A99" s="1078"/>
      <c r="B99" s="1079"/>
      <c r="C99" s="1080" t="s">
        <v>4780</v>
      </c>
      <c r="D99" s="288" t="s">
        <v>4788</v>
      </c>
      <c r="E99" s="1081"/>
      <c r="F99" s="1081"/>
      <c r="G99" s="1081"/>
      <c r="H99" s="1081"/>
      <c r="I99" s="1081"/>
      <c r="J99" s="1081"/>
      <c r="K99" s="1081"/>
      <c r="L99" s="1081"/>
      <c r="M99" s="1083">
        <v>0.0</v>
      </c>
      <c r="N99" s="1081">
        <v>0.0</v>
      </c>
      <c r="O99" s="288">
        <v>0.0</v>
      </c>
      <c r="P99" s="288"/>
      <c r="Q99" s="288">
        <f t="shared" si="1"/>
        <v>0</v>
      </c>
      <c r="R99" s="1084"/>
      <c r="S99" s="1091"/>
      <c r="T99" s="1085"/>
      <c r="U99" s="293"/>
      <c r="V99" s="1086"/>
      <c r="W99" s="1086"/>
    </row>
    <row r="100" hidden="1">
      <c r="A100" s="1107"/>
      <c r="B100" s="1107"/>
      <c r="C100" s="1080"/>
      <c r="D100" s="288"/>
      <c r="E100" s="1081"/>
      <c r="F100" s="1081"/>
      <c r="G100" s="1081"/>
      <c r="H100" s="1081"/>
      <c r="I100" s="1081"/>
      <c r="J100" s="1081"/>
      <c r="K100" s="1081"/>
      <c r="L100" s="1081"/>
      <c r="M100" s="1083"/>
      <c r="N100" s="1081"/>
      <c r="O100" s="288"/>
      <c r="P100" s="288"/>
      <c r="Q100" s="288">
        <f t="shared" si="1"/>
        <v>0</v>
      </c>
      <c r="R100" s="288"/>
      <c r="S100" s="288"/>
      <c r="T100" s="293"/>
      <c r="U100" s="293"/>
      <c r="V100" s="288"/>
      <c r="W100" s="288"/>
    </row>
    <row r="101" hidden="1">
      <c r="A101" s="1108"/>
      <c r="B101" s="1109" t="s">
        <v>4777</v>
      </c>
      <c r="C101" s="1110" t="s">
        <v>4789</v>
      </c>
      <c r="D101" s="1111">
        <v>15002.0</v>
      </c>
      <c r="E101" s="1081">
        <v>1.0</v>
      </c>
      <c r="F101" s="1081">
        <v>2.0</v>
      </c>
      <c r="G101" s="1081"/>
      <c r="H101" s="1081">
        <v>1.0</v>
      </c>
      <c r="I101" s="1081">
        <v>0.0</v>
      </c>
      <c r="J101" s="1081">
        <f>R101-S101</f>
        <v>3</v>
      </c>
      <c r="K101" s="1081">
        <v>2.0</v>
      </c>
      <c r="L101" s="1081">
        <v>1.0</v>
      </c>
      <c r="M101" s="1083">
        <v>1.0</v>
      </c>
      <c r="N101" s="1081">
        <v>0.0</v>
      </c>
      <c r="O101" s="288">
        <v>0.0</v>
      </c>
      <c r="P101" s="288">
        <v>0.0</v>
      </c>
      <c r="Q101" s="288">
        <f t="shared" si="1"/>
        <v>11</v>
      </c>
      <c r="R101" s="1111">
        <v>3.0</v>
      </c>
      <c r="S101" s="1111"/>
      <c r="T101" s="1112"/>
      <c r="U101" s="293"/>
      <c r="V101" s="1086"/>
      <c r="W101" s="1086"/>
    </row>
    <row r="102" hidden="1">
      <c r="A102" s="1078"/>
      <c r="B102" s="1079"/>
      <c r="C102" s="1113" t="s">
        <v>4790</v>
      </c>
      <c r="D102" s="288" t="s">
        <v>4791</v>
      </c>
      <c r="E102" s="1081"/>
      <c r="F102" s="1081"/>
      <c r="G102" s="1081"/>
      <c r="H102" s="1081"/>
      <c r="I102" s="1081"/>
      <c r="J102" s="1081"/>
      <c r="K102" s="1081"/>
      <c r="L102" s="1081"/>
      <c r="M102" s="1083">
        <v>1.0</v>
      </c>
      <c r="N102" s="1081">
        <v>0.0</v>
      </c>
      <c r="O102" s="288">
        <v>0.0</v>
      </c>
      <c r="P102" s="288"/>
      <c r="Q102" s="288">
        <f t="shared" si="1"/>
        <v>1</v>
      </c>
      <c r="R102" s="1084"/>
      <c r="S102" s="1085"/>
      <c r="T102" s="1085"/>
      <c r="U102" s="293"/>
      <c r="V102" s="1086"/>
      <c r="W102" s="1086"/>
    </row>
    <row r="103" hidden="1">
      <c r="A103" s="1078"/>
      <c r="B103" s="1079"/>
      <c r="C103" s="1113" t="s">
        <v>4792</v>
      </c>
      <c r="D103" s="288" t="s">
        <v>4670</v>
      </c>
      <c r="E103" s="1081"/>
      <c r="F103" s="1081"/>
      <c r="G103" s="1081"/>
      <c r="H103" s="1081"/>
      <c r="I103" s="1081"/>
      <c r="J103" s="1081"/>
      <c r="K103" s="1081"/>
      <c r="L103" s="1081"/>
      <c r="M103" s="1083">
        <v>0.0</v>
      </c>
      <c r="N103" s="1081">
        <v>0.0</v>
      </c>
      <c r="O103" s="288">
        <v>0.0</v>
      </c>
      <c r="P103" s="288"/>
      <c r="Q103" s="288">
        <f t="shared" si="1"/>
        <v>0</v>
      </c>
      <c r="R103" s="1084"/>
      <c r="S103" s="1091"/>
      <c r="T103" s="1085"/>
      <c r="U103" s="293"/>
      <c r="V103" s="1086"/>
      <c r="W103" s="1086"/>
    </row>
    <row r="104" hidden="1">
      <c r="A104" s="1078"/>
      <c r="B104" s="1079"/>
      <c r="C104" s="1113" t="s">
        <v>4793</v>
      </c>
      <c r="D104" s="288" t="s">
        <v>4658</v>
      </c>
      <c r="E104" s="1081"/>
      <c r="F104" s="1081"/>
      <c r="G104" s="1081"/>
      <c r="H104" s="1081"/>
      <c r="I104" s="1081"/>
      <c r="J104" s="1081"/>
      <c r="K104" s="1105"/>
      <c r="L104" s="1081"/>
      <c r="M104" s="1083">
        <v>0.0</v>
      </c>
      <c r="N104" s="1081">
        <v>0.0</v>
      </c>
      <c r="O104" s="288">
        <v>0.0</v>
      </c>
      <c r="P104" s="288"/>
      <c r="Q104" s="288">
        <f t="shared" si="1"/>
        <v>0</v>
      </c>
      <c r="R104" s="1084"/>
      <c r="S104" s="1091"/>
      <c r="T104" s="1085"/>
      <c r="U104" s="293"/>
      <c r="V104" s="1086"/>
      <c r="W104" s="1086"/>
    </row>
    <row r="105" hidden="1">
      <c r="A105" s="1078"/>
      <c r="B105" s="1079"/>
      <c r="C105" s="1113" t="s">
        <v>4794</v>
      </c>
      <c r="D105" s="288" t="s">
        <v>4715</v>
      </c>
      <c r="E105" s="1081"/>
      <c r="F105" s="1081"/>
      <c r="G105" s="1081"/>
      <c r="H105" s="1081"/>
      <c r="I105" s="1081"/>
      <c r="J105" s="1081"/>
      <c r="K105" s="1105"/>
      <c r="L105" s="1081"/>
      <c r="M105" s="1083">
        <v>0.0</v>
      </c>
      <c r="N105" s="1081">
        <v>0.0</v>
      </c>
      <c r="O105" s="288">
        <v>0.0</v>
      </c>
      <c r="P105" s="288"/>
      <c r="Q105" s="288">
        <f t="shared" si="1"/>
        <v>0</v>
      </c>
      <c r="R105" s="1084"/>
      <c r="S105" s="1091"/>
      <c r="T105" s="1085"/>
      <c r="U105" s="293"/>
      <c r="V105" s="1086"/>
      <c r="W105" s="1086"/>
    </row>
    <row r="106" hidden="1">
      <c r="A106" s="1078"/>
      <c r="B106" s="1079"/>
      <c r="C106" s="1113" t="s">
        <v>4792</v>
      </c>
      <c r="D106" s="288" t="s">
        <v>4759</v>
      </c>
      <c r="E106" s="1081"/>
      <c r="F106" s="1081"/>
      <c r="G106" s="1081"/>
      <c r="H106" s="1081"/>
      <c r="I106" s="1081"/>
      <c r="J106" s="1081"/>
      <c r="K106" s="1105"/>
      <c r="L106" s="1081"/>
      <c r="M106" s="1083">
        <v>0.0</v>
      </c>
      <c r="N106" s="1081">
        <v>0.0</v>
      </c>
      <c r="O106" s="288">
        <v>0.0</v>
      </c>
      <c r="P106" s="288"/>
      <c r="Q106" s="288">
        <f t="shared" si="1"/>
        <v>0</v>
      </c>
      <c r="R106" s="1084"/>
      <c r="S106" s="1091"/>
      <c r="T106" s="1085"/>
      <c r="U106" s="293"/>
      <c r="V106" s="1086"/>
      <c r="W106" s="1086"/>
    </row>
    <row r="107" hidden="1">
      <c r="A107" s="1078"/>
      <c r="B107" s="1079"/>
      <c r="C107" s="1113" t="s">
        <v>4795</v>
      </c>
      <c r="D107" s="288" t="s">
        <v>4796</v>
      </c>
      <c r="E107" s="1081"/>
      <c r="F107" s="1081"/>
      <c r="G107" s="1081"/>
      <c r="H107" s="1081"/>
      <c r="I107" s="1081"/>
      <c r="J107" s="1081"/>
      <c r="K107" s="1105"/>
      <c r="L107" s="1081"/>
      <c r="M107" s="1083">
        <v>1.0</v>
      </c>
      <c r="N107" s="1081">
        <v>0.0</v>
      </c>
      <c r="O107" s="288">
        <v>0.0</v>
      </c>
      <c r="P107" s="288"/>
      <c r="Q107" s="288">
        <f t="shared" si="1"/>
        <v>1</v>
      </c>
      <c r="R107" s="1084"/>
      <c r="S107" s="1091"/>
      <c r="T107" s="1085"/>
      <c r="U107" s="293"/>
      <c r="V107" s="1086"/>
      <c r="W107" s="1086"/>
    </row>
    <row r="108" hidden="1">
      <c r="A108" s="1078"/>
      <c r="B108" s="1079"/>
      <c r="C108" s="1113" t="s">
        <v>4792</v>
      </c>
      <c r="D108" s="288" t="s">
        <v>4797</v>
      </c>
      <c r="E108" s="1081"/>
      <c r="F108" s="1081"/>
      <c r="G108" s="1081"/>
      <c r="H108" s="1081"/>
      <c r="I108" s="1081"/>
      <c r="J108" s="1081"/>
      <c r="K108" s="1105"/>
      <c r="L108" s="1081"/>
      <c r="M108" s="1083">
        <v>0.0</v>
      </c>
      <c r="N108" s="1081">
        <v>0.0</v>
      </c>
      <c r="O108" s="288">
        <v>0.0</v>
      </c>
      <c r="P108" s="288"/>
      <c r="Q108" s="288">
        <f t="shared" si="1"/>
        <v>0</v>
      </c>
      <c r="R108" s="1084"/>
      <c r="S108" s="1091"/>
      <c r="T108" s="1085"/>
      <c r="U108" s="293"/>
      <c r="V108" s="1086"/>
      <c r="W108" s="1086"/>
    </row>
    <row r="109" hidden="1">
      <c r="A109" s="1078"/>
      <c r="B109" s="1079"/>
      <c r="C109" s="1113" t="s">
        <v>4798</v>
      </c>
      <c r="D109" s="288" t="s">
        <v>4774</v>
      </c>
      <c r="E109" s="1081"/>
      <c r="F109" s="1081"/>
      <c r="G109" s="1081"/>
      <c r="H109" s="1081"/>
      <c r="I109" s="1081"/>
      <c r="J109" s="1081"/>
      <c r="K109" s="1105">
        <v>4.0</v>
      </c>
      <c r="L109" s="1081"/>
      <c r="M109" s="1083">
        <v>0.0</v>
      </c>
      <c r="N109" s="1081">
        <v>0.0</v>
      </c>
      <c r="O109" s="288">
        <v>0.0</v>
      </c>
      <c r="P109" s="288"/>
      <c r="Q109" s="288">
        <f t="shared" si="1"/>
        <v>4</v>
      </c>
      <c r="R109" s="1084"/>
      <c r="S109" s="1091"/>
      <c r="T109" s="1085"/>
      <c r="U109" s="293"/>
      <c r="V109" s="1086"/>
      <c r="W109" s="1086"/>
    </row>
    <row r="110" hidden="1">
      <c r="A110" s="1107"/>
      <c r="B110" s="1107"/>
      <c r="C110" s="1080"/>
      <c r="D110" s="288"/>
      <c r="E110" s="1081"/>
      <c r="F110" s="1081"/>
      <c r="G110" s="1081"/>
      <c r="H110" s="1081"/>
      <c r="I110" s="1081"/>
      <c r="J110" s="1081"/>
      <c r="K110" s="1081"/>
      <c r="L110" s="1081"/>
      <c r="M110" s="1083"/>
      <c r="N110" s="1081"/>
      <c r="O110" s="288"/>
      <c r="P110" s="288"/>
      <c r="Q110" s="288">
        <f t="shared" si="1"/>
        <v>0</v>
      </c>
      <c r="R110" s="288"/>
      <c r="S110" s="288"/>
      <c r="T110" s="293"/>
      <c r="U110" s="293"/>
      <c r="V110" s="288"/>
      <c r="W110" s="288"/>
    </row>
    <row r="111" hidden="1">
      <c r="A111" s="1114"/>
      <c r="B111" s="1115" t="s">
        <v>4777</v>
      </c>
      <c r="C111" s="1116" t="s">
        <v>4799</v>
      </c>
      <c r="D111" s="1117">
        <v>15003.0</v>
      </c>
      <c r="E111" s="1081"/>
      <c r="F111" s="1081"/>
      <c r="G111" s="1081"/>
      <c r="H111" s="1081"/>
      <c r="I111" s="1081"/>
      <c r="J111" s="1081"/>
      <c r="K111" s="1105"/>
      <c r="L111" s="1081"/>
      <c r="M111" s="1083"/>
      <c r="N111" s="1081">
        <v>3.0</v>
      </c>
      <c r="O111" s="288">
        <v>0.0</v>
      </c>
      <c r="P111" s="288">
        <v>0.0</v>
      </c>
      <c r="Q111" s="288">
        <f t="shared" si="1"/>
        <v>3</v>
      </c>
      <c r="R111" s="1117">
        <v>3.0</v>
      </c>
      <c r="S111" s="1117"/>
      <c r="T111" s="1118"/>
      <c r="U111" s="293"/>
      <c r="V111" s="1086"/>
      <c r="W111" s="1086"/>
      <c r="AA111" s="312" t="s">
        <v>328</v>
      </c>
    </row>
    <row r="112" hidden="1">
      <c r="A112" s="1078"/>
      <c r="B112" s="1079"/>
      <c r="C112" s="1080" t="s">
        <v>4800</v>
      </c>
      <c r="D112" s="288" t="s">
        <v>4710</v>
      </c>
      <c r="E112" s="1081"/>
      <c r="F112" s="1081"/>
      <c r="G112" s="1081"/>
      <c r="H112" s="1081"/>
      <c r="I112" s="1081"/>
      <c r="J112" s="1081"/>
      <c r="K112" s="1105"/>
      <c r="L112" s="1081"/>
      <c r="M112" s="1083"/>
      <c r="N112" s="1081">
        <v>0.0</v>
      </c>
      <c r="O112" s="288">
        <v>0.0</v>
      </c>
      <c r="P112" s="288"/>
      <c r="Q112" s="288">
        <f t="shared" si="1"/>
        <v>0</v>
      </c>
      <c r="R112" s="1084"/>
      <c r="S112" s="1091"/>
      <c r="T112" s="1085"/>
      <c r="U112" s="293"/>
      <c r="V112" s="1086"/>
      <c r="W112" s="1086"/>
    </row>
    <row r="113" hidden="1">
      <c r="A113" s="1078"/>
      <c r="B113" s="1079"/>
      <c r="C113" s="1080" t="s">
        <v>4801</v>
      </c>
      <c r="D113" s="288" t="s">
        <v>4651</v>
      </c>
      <c r="E113" s="1081"/>
      <c r="F113" s="1081"/>
      <c r="G113" s="1081"/>
      <c r="H113" s="1081"/>
      <c r="I113" s="1081"/>
      <c r="J113" s="1081"/>
      <c r="K113" s="1105"/>
      <c r="L113" s="1081"/>
      <c r="M113" s="1083"/>
      <c r="N113" s="1081">
        <v>0.0</v>
      </c>
      <c r="O113" s="288">
        <v>0.0</v>
      </c>
      <c r="P113" s="288"/>
      <c r="Q113" s="288">
        <f t="shared" si="1"/>
        <v>0</v>
      </c>
      <c r="R113" s="1084"/>
      <c r="S113" s="1091"/>
      <c r="T113" s="1085"/>
      <c r="U113" s="293"/>
      <c r="V113" s="1086"/>
      <c r="W113" s="1086"/>
    </row>
    <row r="114" hidden="1">
      <c r="A114" s="1078"/>
      <c r="B114" s="1078"/>
      <c r="C114" s="1080" t="s">
        <v>4802</v>
      </c>
      <c r="D114" s="288" t="s">
        <v>4702</v>
      </c>
      <c r="E114" s="1081"/>
      <c r="F114" s="1081"/>
      <c r="G114" s="1081"/>
      <c r="H114" s="1081"/>
      <c r="I114" s="1081"/>
      <c r="J114" s="1081"/>
      <c r="K114" s="1105"/>
      <c r="L114" s="1081"/>
      <c r="M114" s="1083"/>
      <c r="N114" s="1081">
        <v>0.0</v>
      </c>
      <c r="O114" s="288">
        <v>0.0</v>
      </c>
      <c r="P114" s="288"/>
      <c r="Q114" s="288">
        <f t="shared" si="1"/>
        <v>0</v>
      </c>
      <c r="R114" s="1084"/>
      <c r="S114" s="1091"/>
      <c r="T114" s="1085"/>
      <c r="U114" s="293"/>
      <c r="V114" s="1086"/>
      <c r="W114" s="1086"/>
    </row>
    <row r="115" hidden="1">
      <c r="A115" s="1078"/>
      <c r="B115" s="1079"/>
      <c r="C115" s="1080" t="s">
        <v>4803</v>
      </c>
      <c r="D115" s="288" t="s">
        <v>4804</v>
      </c>
      <c r="E115" s="1081"/>
      <c r="F115" s="1081"/>
      <c r="G115" s="1081"/>
      <c r="H115" s="1081"/>
      <c r="I115" s="1081"/>
      <c r="J115" s="1081"/>
      <c r="K115" s="1105"/>
      <c r="L115" s="1081"/>
      <c r="M115" s="1083"/>
      <c r="N115" s="1081">
        <v>0.0</v>
      </c>
      <c r="O115" s="288">
        <v>0.0</v>
      </c>
      <c r="P115" s="288"/>
      <c r="Q115" s="288">
        <f t="shared" si="1"/>
        <v>0</v>
      </c>
      <c r="R115" s="1084"/>
      <c r="S115" s="1091"/>
      <c r="T115" s="1085"/>
      <c r="U115" s="293"/>
      <c r="V115" s="1086"/>
      <c r="W115" s="1086"/>
    </row>
    <row r="116" hidden="1">
      <c r="A116" s="1078"/>
      <c r="B116" s="1078"/>
      <c r="C116" s="1080" t="s">
        <v>4805</v>
      </c>
      <c r="D116" s="288" t="s">
        <v>4696</v>
      </c>
      <c r="E116" s="1081"/>
      <c r="F116" s="1081"/>
      <c r="G116" s="1081"/>
      <c r="H116" s="1081"/>
      <c r="I116" s="1081"/>
      <c r="J116" s="1081"/>
      <c r="K116" s="1105"/>
      <c r="L116" s="1081"/>
      <c r="M116" s="1083"/>
      <c r="N116" s="1081">
        <v>0.0</v>
      </c>
      <c r="O116" s="288">
        <v>0.0</v>
      </c>
      <c r="P116" s="288"/>
      <c r="Q116" s="288">
        <f t="shared" si="1"/>
        <v>0</v>
      </c>
      <c r="R116" s="1084"/>
      <c r="S116" s="1091"/>
      <c r="T116" s="1085"/>
      <c r="U116" s="293"/>
      <c r="V116" s="1086"/>
      <c r="W116" s="1086"/>
    </row>
    <row r="117" hidden="1">
      <c r="A117" s="1078"/>
      <c r="B117" s="1079"/>
      <c r="C117" s="1080" t="s">
        <v>4806</v>
      </c>
      <c r="D117" s="288" t="s">
        <v>4807</v>
      </c>
      <c r="E117" s="1081"/>
      <c r="F117" s="1081"/>
      <c r="G117" s="1081"/>
      <c r="H117" s="1081"/>
      <c r="I117" s="1081"/>
      <c r="J117" s="1081"/>
      <c r="K117" s="1105"/>
      <c r="L117" s="1081"/>
      <c r="M117" s="1083"/>
      <c r="N117" s="1081">
        <v>0.0</v>
      </c>
      <c r="O117" s="288">
        <v>0.0</v>
      </c>
      <c r="P117" s="288"/>
      <c r="Q117" s="288">
        <f t="shared" si="1"/>
        <v>0</v>
      </c>
      <c r="R117" s="1084"/>
      <c r="S117" s="1091"/>
      <c r="T117" s="1085"/>
      <c r="U117" s="293"/>
      <c r="V117" s="1086"/>
      <c r="W117" s="1086"/>
    </row>
    <row r="118" hidden="1">
      <c r="A118" s="1078"/>
      <c r="B118" s="1079"/>
      <c r="C118" s="1080" t="s">
        <v>4808</v>
      </c>
      <c r="D118" s="288" t="s">
        <v>4755</v>
      </c>
      <c r="E118" s="1081"/>
      <c r="F118" s="1081"/>
      <c r="G118" s="1081"/>
      <c r="H118" s="1081"/>
      <c r="I118" s="1081"/>
      <c r="J118" s="1081"/>
      <c r="K118" s="1105"/>
      <c r="L118" s="1081"/>
      <c r="M118" s="1083"/>
      <c r="N118" s="1081">
        <v>0.0</v>
      </c>
      <c r="O118" s="288">
        <v>0.0</v>
      </c>
      <c r="P118" s="288"/>
      <c r="Q118" s="288">
        <f t="shared" si="1"/>
        <v>0</v>
      </c>
      <c r="R118" s="1084"/>
      <c r="S118" s="1091"/>
      <c r="T118" s="1085"/>
      <c r="U118" s="293"/>
      <c r="V118" s="1086"/>
      <c r="W118" s="1086"/>
    </row>
    <row r="119" hidden="1">
      <c r="A119" s="1078"/>
      <c r="B119" s="1079"/>
      <c r="C119" s="1080" t="s">
        <v>4809</v>
      </c>
      <c r="D119" s="288" t="s">
        <v>4751</v>
      </c>
      <c r="E119" s="1081"/>
      <c r="F119" s="1081"/>
      <c r="G119" s="1081"/>
      <c r="H119" s="1081"/>
      <c r="I119" s="1081"/>
      <c r="J119" s="1081"/>
      <c r="K119" s="1105"/>
      <c r="L119" s="1081"/>
      <c r="M119" s="1083"/>
      <c r="N119" s="1081">
        <v>0.0</v>
      </c>
      <c r="O119" s="288">
        <v>0.0</v>
      </c>
      <c r="P119" s="288"/>
      <c r="Q119" s="288">
        <f t="shared" si="1"/>
        <v>0</v>
      </c>
      <c r="R119" s="1084"/>
      <c r="S119" s="1091"/>
      <c r="T119" s="1085"/>
      <c r="U119" s="293"/>
      <c r="V119" s="1086"/>
      <c r="W119" s="1086"/>
    </row>
    <row r="120" hidden="1">
      <c r="A120" s="1119"/>
      <c r="B120" s="1119"/>
      <c r="C120" s="310"/>
      <c r="D120" s="280"/>
      <c r="E120" s="1120"/>
      <c r="F120" s="1120"/>
      <c r="G120" s="1120"/>
      <c r="H120" s="1120"/>
      <c r="I120" s="1120"/>
      <c r="J120" s="1120"/>
      <c r="K120" s="1120"/>
      <c r="L120" s="1120"/>
      <c r="M120" s="1120"/>
      <c r="N120" s="1120"/>
      <c r="P120" s="280"/>
      <c r="Q120" s="288">
        <f t="shared" si="1"/>
        <v>0</v>
      </c>
      <c r="R120" s="280"/>
      <c r="S120" s="280"/>
      <c r="T120" s="280"/>
      <c r="U120" s="280"/>
      <c r="W120" s="280"/>
    </row>
    <row r="121" hidden="1">
      <c r="A121" s="1121"/>
      <c r="B121" s="1122" t="s">
        <v>4810</v>
      </c>
      <c r="C121" s="1123" t="s">
        <v>4811</v>
      </c>
      <c r="D121" s="1124">
        <v>15004.0</v>
      </c>
      <c r="E121" s="1125"/>
      <c r="F121" s="1125"/>
      <c r="G121" s="1125"/>
      <c r="H121" s="1125"/>
      <c r="I121" s="1125"/>
      <c r="J121" s="1126"/>
      <c r="K121" s="1125"/>
      <c r="L121" s="1125"/>
      <c r="M121" s="1127"/>
      <c r="N121" s="1125"/>
      <c r="O121" s="288">
        <v>15.0</v>
      </c>
      <c r="P121" s="288"/>
      <c r="Q121" s="288">
        <f t="shared" si="1"/>
        <v>15</v>
      </c>
      <c r="R121" s="1124">
        <v>5.0</v>
      </c>
      <c r="S121" s="1124"/>
      <c r="T121" s="1128"/>
      <c r="U121" s="1128"/>
      <c r="V121" s="1124"/>
      <c r="W121" s="1124"/>
    </row>
    <row r="122" hidden="1">
      <c r="A122" s="1078"/>
      <c r="B122" s="1079"/>
      <c r="C122" s="1080" t="s">
        <v>4783</v>
      </c>
      <c r="D122" s="288" t="s">
        <v>4612</v>
      </c>
      <c r="E122" s="1081"/>
      <c r="F122" s="1081"/>
      <c r="G122" s="1081"/>
      <c r="H122" s="1081"/>
      <c r="I122" s="1081"/>
      <c r="J122" s="1081"/>
      <c r="K122" s="1105"/>
      <c r="L122" s="1081"/>
      <c r="M122" s="1083"/>
      <c r="N122" s="1081"/>
      <c r="O122" s="288">
        <v>0.0</v>
      </c>
      <c r="P122" s="288"/>
      <c r="Q122" s="288">
        <f t="shared" si="1"/>
        <v>0</v>
      </c>
      <c r="R122" s="1084"/>
      <c r="S122" s="1091"/>
      <c r="T122" s="1085"/>
      <c r="U122" s="293"/>
      <c r="V122" s="1086"/>
      <c r="W122" s="1086"/>
    </row>
    <row r="123" hidden="1">
      <c r="A123" s="1078"/>
      <c r="B123" s="1079"/>
      <c r="C123" s="1080" t="s">
        <v>4783</v>
      </c>
      <c r="D123" s="288" t="s">
        <v>4622</v>
      </c>
      <c r="E123" s="1081"/>
      <c r="F123" s="1081"/>
      <c r="G123" s="1081"/>
      <c r="H123" s="1081"/>
      <c r="I123" s="1081"/>
      <c r="J123" s="1081"/>
      <c r="K123" s="1105"/>
      <c r="L123" s="1081"/>
      <c r="M123" s="1083"/>
      <c r="N123" s="1081"/>
      <c r="O123" s="288">
        <v>0.0</v>
      </c>
      <c r="P123" s="288"/>
      <c r="Q123" s="288">
        <f t="shared" si="1"/>
        <v>0</v>
      </c>
      <c r="R123" s="1084"/>
      <c r="S123" s="1091"/>
      <c r="T123" s="1085"/>
      <c r="U123" s="293"/>
      <c r="V123" s="1086"/>
      <c r="W123" s="1086"/>
    </row>
    <row r="124" hidden="1">
      <c r="A124" s="1078"/>
      <c r="B124" s="1079"/>
      <c r="C124" s="1080" t="s">
        <v>4783</v>
      </c>
      <c r="D124" s="288" t="s">
        <v>4628</v>
      </c>
      <c r="E124" s="1081"/>
      <c r="F124" s="1081"/>
      <c r="G124" s="1081"/>
      <c r="H124" s="1081"/>
      <c r="I124" s="1081"/>
      <c r="J124" s="1081"/>
      <c r="K124" s="1105"/>
      <c r="L124" s="1081"/>
      <c r="M124" s="1083"/>
      <c r="N124" s="1081"/>
      <c r="O124" s="288">
        <v>0.0</v>
      </c>
      <c r="P124" s="288"/>
      <c r="Q124" s="288">
        <f t="shared" si="1"/>
        <v>0</v>
      </c>
      <c r="R124" s="1084"/>
      <c r="S124" s="1091"/>
      <c r="T124" s="1085"/>
      <c r="U124" s="293"/>
      <c r="V124" s="1086"/>
      <c r="W124" s="1086"/>
    </row>
    <row r="125" hidden="1">
      <c r="A125" s="1078"/>
      <c r="B125" s="1079"/>
      <c r="C125" s="1080" t="s">
        <v>4812</v>
      </c>
      <c r="D125" s="288" t="s">
        <v>4748</v>
      </c>
      <c r="E125" s="1081"/>
      <c r="F125" s="1081"/>
      <c r="G125" s="1081"/>
      <c r="H125" s="1081"/>
      <c r="I125" s="1081"/>
      <c r="J125" s="1081"/>
      <c r="K125" s="1105"/>
      <c r="L125" s="1081"/>
      <c r="M125" s="1083"/>
      <c r="N125" s="1081"/>
      <c r="O125" s="288">
        <v>0.0</v>
      </c>
      <c r="P125" s="288"/>
      <c r="Q125" s="288">
        <f t="shared" si="1"/>
        <v>0</v>
      </c>
      <c r="R125" s="1084"/>
      <c r="S125" s="1091"/>
      <c r="T125" s="1085"/>
      <c r="U125" s="293"/>
      <c r="V125" s="1086"/>
      <c r="W125" s="1086"/>
    </row>
    <row r="126" hidden="1">
      <c r="A126" s="1078"/>
      <c r="B126" s="1079"/>
      <c r="C126" s="1080" t="s">
        <v>4813</v>
      </c>
      <c r="D126" s="288" t="s">
        <v>4644</v>
      </c>
      <c r="E126" s="1081"/>
      <c r="F126" s="1081"/>
      <c r="G126" s="1081"/>
      <c r="H126" s="1081"/>
      <c r="I126" s="1081"/>
      <c r="J126" s="1081"/>
      <c r="K126" s="1081"/>
      <c r="L126" s="1081"/>
      <c r="M126" s="1083"/>
      <c r="N126" s="1081"/>
      <c r="O126" s="288">
        <v>0.0</v>
      </c>
      <c r="P126" s="288"/>
      <c r="Q126" s="288">
        <f t="shared" si="1"/>
        <v>0</v>
      </c>
      <c r="R126" s="1084"/>
      <c r="S126" s="1091"/>
      <c r="T126" s="1085"/>
      <c r="U126" s="293"/>
      <c r="V126" s="1086"/>
      <c r="W126" s="1086"/>
    </row>
    <row r="127" hidden="1">
      <c r="A127" s="1078"/>
      <c r="B127" s="1079"/>
      <c r="C127" s="1080" t="s">
        <v>4785</v>
      </c>
      <c r="D127" s="288" t="s">
        <v>4688</v>
      </c>
      <c r="E127" s="1081"/>
      <c r="F127" s="1081"/>
      <c r="G127" s="1081"/>
      <c r="H127" s="1081"/>
      <c r="I127" s="1081"/>
      <c r="J127" s="1081"/>
      <c r="K127" s="1081"/>
      <c r="L127" s="1081"/>
      <c r="M127" s="1083"/>
      <c r="N127" s="1081"/>
      <c r="O127" s="288">
        <v>0.0</v>
      </c>
      <c r="P127" s="288"/>
      <c r="Q127" s="288">
        <f t="shared" si="1"/>
        <v>0</v>
      </c>
      <c r="R127" s="1084"/>
      <c r="S127" s="1091"/>
      <c r="T127" s="1085"/>
      <c r="U127" s="293"/>
      <c r="V127" s="1086"/>
      <c r="W127" s="1086"/>
    </row>
    <row r="128" hidden="1">
      <c r="A128" s="1078"/>
      <c r="B128" s="1079"/>
      <c r="C128" s="1080" t="s">
        <v>4814</v>
      </c>
      <c r="D128" s="288" t="s">
        <v>4706</v>
      </c>
      <c r="E128" s="1081"/>
      <c r="F128" s="1081"/>
      <c r="G128" s="1081"/>
      <c r="H128" s="1081"/>
      <c r="I128" s="1081"/>
      <c r="J128" s="1081"/>
      <c r="K128" s="1081"/>
      <c r="L128" s="1081"/>
      <c r="M128" s="1083"/>
      <c r="N128" s="1081"/>
      <c r="O128" s="288">
        <v>0.0</v>
      </c>
      <c r="P128" s="288"/>
      <c r="Q128" s="288">
        <f t="shared" si="1"/>
        <v>0</v>
      </c>
      <c r="R128" s="1084"/>
      <c r="S128" s="1091"/>
      <c r="T128" s="1085"/>
      <c r="U128" s="293"/>
      <c r="V128" s="1086"/>
      <c r="W128" s="1086"/>
    </row>
    <row r="129" hidden="1">
      <c r="A129" s="1078"/>
      <c r="B129" s="1079"/>
      <c r="C129" s="1080" t="s">
        <v>4815</v>
      </c>
      <c r="D129" s="288" t="s">
        <v>4715</v>
      </c>
      <c r="E129" s="1081"/>
      <c r="F129" s="1081"/>
      <c r="G129" s="1081"/>
      <c r="H129" s="1081"/>
      <c r="I129" s="1081"/>
      <c r="J129" s="1081"/>
      <c r="K129" s="1081"/>
      <c r="L129" s="1081"/>
      <c r="M129" s="1083"/>
      <c r="N129" s="1081"/>
      <c r="O129" s="288">
        <v>0.0</v>
      </c>
      <c r="P129" s="288"/>
      <c r="Q129" s="288">
        <f t="shared" si="1"/>
        <v>0</v>
      </c>
      <c r="R129" s="1084"/>
      <c r="S129" s="1091"/>
      <c r="T129" s="1085"/>
      <c r="U129" s="293"/>
      <c r="V129" s="1086"/>
      <c r="W129" s="1086"/>
    </row>
    <row r="130" hidden="1">
      <c r="A130" s="1078"/>
      <c r="B130" s="1079"/>
      <c r="C130" s="1080" t="s">
        <v>4816</v>
      </c>
      <c r="D130" s="288" t="s">
        <v>4727</v>
      </c>
      <c r="E130" s="1081"/>
      <c r="F130" s="1081"/>
      <c r="G130" s="1081"/>
      <c r="H130" s="1081"/>
      <c r="I130" s="1081"/>
      <c r="J130" s="1081"/>
      <c r="K130" s="1081"/>
      <c r="L130" s="1081"/>
      <c r="M130" s="1083"/>
      <c r="N130" s="1081"/>
      <c r="O130" s="288">
        <v>0.0</v>
      </c>
      <c r="P130" s="288"/>
      <c r="Q130" s="288">
        <f t="shared" si="1"/>
        <v>0</v>
      </c>
      <c r="R130" s="1084"/>
      <c r="S130" s="1091"/>
      <c r="T130" s="1085"/>
      <c r="U130" s="293"/>
      <c r="V130" s="1086"/>
      <c r="W130" s="1086"/>
    </row>
    <row r="131" hidden="1">
      <c r="A131" s="1096"/>
      <c r="B131" s="1129"/>
      <c r="C131" s="1080" t="s">
        <v>4817</v>
      </c>
      <c r="D131" s="288"/>
      <c r="E131" s="1081"/>
      <c r="F131" s="1081"/>
      <c r="G131" s="1081"/>
      <c r="H131" s="1081"/>
      <c r="I131" s="1081"/>
      <c r="J131" s="1081"/>
      <c r="K131" s="1081"/>
      <c r="L131" s="1081"/>
      <c r="M131" s="1083"/>
      <c r="N131" s="1081"/>
      <c r="O131" s="288">
        <v>0.0</v>
      </c>
      <c r="P131" s="288"/>
      <c r="Q131" s="288">
        <f t="shared" si="1"/>
        <v>0</v>
      </c>
      <c r="R131" s="1084"/>
      <c r="S131" s="1091"/>
      <c r="T131" s="1085"/>
      <c r="U131" s="293"/>
      <c r="V131" s="1086"/>
      <c r="W131" s="1086"/>
    </row>
    <row r="132" hidden="1">
      <c r="A132" s="1096"/>
      <c r="B132" s="1129"/>
      <c r="C132" s="1080" t="s">
        <v>4818</v>
      </c>
      <c r="D132" s="288"/>
      <c r="E132" s="1081"/>
      <c r="F132" s="1081"/>
      <c r="G132" s="1081"/>
      <c r="H132" s="1081"/>
      <c r="I132" s="1081"/>
      <c r="J132" s="1081"/>
      <c r="K132" s="1081"/>
      <c r="L132" s="1081"/>
      <c r="M132" s="1083"/>
      <c r="N132" s="1081"/>
      <c r="O132" s="288">
        <v>0.0</v>
      </c>
      <c r="P132" s="288"/>
      <c r="Q132" s="288">
        <f t="shared" si="1"/>
        <v>0</v>
      </c>
      <c r="R132" s="1084"/>
      <c r="S132" s="1091"/>
      <c r="T132" s="1085"/>
      <c r="U132" s="293"/>
      <c r="V132" s="1086"/>
      <c r="W132" s="1086"/>
    </row>
    <row r="133" hidden="1">
      <c r="A133" s="1107"/>
      <c r="B133" s="1107"/>
      <c r="C133" s="1080"/>
      <c r="D133" s="288"/>
      <c r="E133" s="1081"/>
      <c r="F133" s="1081"/>
      <c r="G133" s="1081"/>
      <c r="H133" s="1081"/>
      <c r="I133" s="1081"/>
      <c r="J133" s="1081"/>
      <c r="K133" s="1081"/>
      <c r="L133" s="1081"/>
      <c r="M133" s="1083"/>
      <c r="N133" s="1081"/>
      <c r="O133" s="288"/>
      <c r="P133" s="288"/>
      <c r="Q133" s="288">
        <f t="shared" si="1"/>
        <v>0</v>
      </c>
      <c r="R133" s="288"/>
      <c r="S133" s="288"/>
      <c r="T133" s="293"/>
      <c r="U133" s="293"/>
      <c r="V133" s="288"/>
      <c r="W133" s="288"/>
    </row>
    <row r="134" hidden="1">
      <c r="A134" s="1130"/>
      <c r="B134" s="1131" t="s">
        <v>4810</v>
      </c>
      <c r="C134" s="1130" t="s">
        <v>4819</v>
      </c>
      <c r="D134" s="1132">
        <v>15005.0</v>
      </c>
      <c r="E134" s="1133"/>
      <c r="F134" s="1133"/>
      <c r="G134" s="1133"/>
      <c r="H134" s="1133"/>
      <c r="I134" s="1133"/>
      <c r="J134" s="1133"/>
      <c r="K134" s="1133"/>
      <c r="L134" s="1133"/>
      <c r="M134" s="1134"/>
      <c r="N134" s="1133"/>
      <c r="O134" s="288">
        <v>10.0</v>
      </c>
      <c r="P134" s="288"/>
      <c r="Q134" s="288">
        <f t="shared" si="1"/>
        <v>10</v>
      </c>
      <c r="R134" s="1132">
        <v>5.0</v>
      </c>
      <c r="S134" s="1132"/>
      <c r="T134" s="1135"/>
      <c r="U134" s="1135"/>
      <c r="V134" s="1132"/>
      <c r="W134" s="1132"/>
    </row>
    <row r="135" hidden="1">
      <c r="A135" s="1078"/>
      <c r="B135" s="1079"/>
      <c r="C135" s="1113" t="s">
        <v>4794</v>
      </c>
      <c r="D135" s="288" t="s">
        <v>4696</v>
      </c>
      <c r="E135" s="1081"/>
      <c r="F135" s="1081"/>
      <c r="G135" s="1081"/>
      <c r="H135" s="1081"/>
      <c r="I135" s="1081"/>
      <c r="J135" s="1081"/>
      <c r="K135" s="1081"/>
      <c r="L135" s="1081"/>
      <c r="M135" s="1083"/>
      <c r="N135" s="1081"/>
      <c r="O135" s="288">
        <v>0.0</v>
      </c>
      <c r="P135" s="288"/>
      <c r="Q135" s="288">
        <f t="shared" si="1"/>
        <v>0</v>
      </c>
      <c r="R135" s="1084"/>
      <c r="S135" s="1085"/>
      <c r="T135" s="1085"/>
      <c r="U135" s="293"/>
      <c r="V135" s="1136"/>
      <c r="W135" s="1136"/>
    </row>
    <row r="136" hidden="1">
      <c r="A136" s="1078"/>
      <c r="B136" s="1079"/>
      <c r="C136" s="1113" t="s">
        <v>4792</v>
      </c>
      <c r="D136" s="288" t="s">
        <v>4759</v>
      </c>
      <c r="E136" s="1081"/>
      <c r="F136" s="1081"/>
      <c r="G136" s="1081"/>
      <c r="H136" s="1081"/>
      <c r="I136" s="1081"/>
      <c r="J136" s="1081"/>
      <c r="K136" s="1081"/>
      <c r="L136" s="1081"/>
      <c r="M136" s="1083"/>
      <c r="N136" s="1081"/>
      <c r="O136" s="288">
        <v>0.0</v>
      </c>
      <c r="P136" s="288"/>
      <c r="Q136" s="288">
        <f t="shared" si="1"/>
        <v>0</v>
      </c>
      <c r="R136" s="1084"/>
      <c r="S136" s="1091"/>
      <c r="T136" s="1085"/>
      <c r="U136" s="293"/>
      <c r="V136" s="1136"/>
      <c r="W136" s="1136"/>
    </row>
    <row r="137" hidden="1">
      <c r="A137" s="1078"/>
      <c r="B137" s="1079"/>
      <c r="C137" s="1113" t="s">
        <v>4792</v>
      </c>
      <c r="D137" s="288" t="s">
        <v>4678</v>
      </c>
      <c r="E137" s="1081"/>
      <c r="F137" s="1081"/>
      <c r="G137" s="1081"/>
      <c r="H137" s="1081"/>
      <c r="I137" s="1081"/>
      <c r="J137" s="1081"/>
      <c r="K137" s="1105"/>
      <c r="L137" s="1081"/>
      <c r="M137" s="1083"/>
      <c r="N137" s="1081"/>
      <c r="O137" s="288">
        <v>0.0</v>
      </c>
      <c r="P137" s="288"/>
      <c r="Q137" s="288">
        <f t="shared" si="1"/>
        <v>0</v>
      </c>
      <c r="R137" s="1084"/>
      <c r="S137" s="1091"/>
      <c r="T137" s="1085"/>
      <c r="U137" s="293"/>
      <c r="V137" s="1136"/>
      <c r="W137" s="1136"/>
    </row>
    <row r="138" hidden="1">
      <c r="A138" s="1078"/>
      <c r="B138" s="1079"/>
      <c r="C138" s="1113" t="s">
        <v>4820</v>
      </c>
      <c r="D138" s="288" t="s">
        <v>4678</v>
      </c>
      <c r="E138" s="1081"/>
      <c r="F138" s="1081"/>
      <c r="G138" s="1081"/>
      <c r="H138" s="1081"/>
      <c r="I138" s="1081"/>
      <c r="J138" s="1081"/>
      <c r="K138" s="1105"/>
      <c r="L138" s="1081"/>
      <c r="M138" s="1083"/>
      <c r="N138" s="1081"/>
      <c r="O138" s="288">
        <v>0.0</v>
      </c>
      <c r="P138" s="288"/>
      <c r="Q138" s="288">
        <f t="shared" si="1"/>
        <v>0</v>
      </c>
      <c r="R138" s="1084"/>
      <c r="S138" s="1091"/>
      <c r="T138" s="1085"/>
      <c r="U138" s="293"/>
      <c r="V138" s="1136"/>
      <c r="W138" s="1136"/>
    </row>
    <row r="139" hidden="1">
      <c r="A139" s="1078"/>
      <c r="B139" s="1079"/>
      <c r="C139" s="1113" t="s">
        <v>4821</v>
      </c>
      <c r="D139" s="288" t="s">
        <v>4641</v>
      </c>
      <c r="E139" s="1081"/>
      <c r="F139" s="1081"/>
      <c r="G139" s="1081"/>
      <c r="H139" s="1081"/>
      <c r="I139" s="1081"/>
      <c r="J139" s="1081"/>
      <c r="K139" s="1105"/>
      <c r="L139" s="1081"/>
      <c r="M139" s="1083"/>
      <c r="N139" s="1081"/>
      <c r="O139" s="288">
        <v>0.0</v>
      </c>
      <c r="P139" s="288"/>
      <c r="Q139" s="288">
        <f t="shared" si="1"/>
        <v>0</v>
      </c>
      <c r="R139" s="1084"/>
      <c r="S139" s="1091"/>
      <c r="T139" s="1085"/>
      <c r="U139" s="293"/>
      <c r="V139" s="1136"/>
      <c r="W139" s="1136"/>
    </row>
    <row r="140" hidden="1">
      <c r="A140" s="1078"/>
      <c r="B140" s="1079"/>
      <c r="C140" s="1113" t="s">
        <v>4822</v>
      </c>
      <c r="D140" s="288" t="s">
        <v>4641</v>
      </c>
      <c r="E140" s="1081"/>
      <c r="F140" s="1081"/>
      <c r="G140" s="1081"/>
      <c r="H140" s="1081"/>
      <c r="I140" s="1081"/>
      <c r="J140" s="1081"/>
      <c r="K140" s="1105"/>
      <c r="L140" s="1081"/>
      <c r="M140" s="1083"/>
      <c r="N140" s="1081"/>
      <c r="O140" s="288">
        <v>0.0</v>
      </c>
      <c r="P140" s="288"/>
      <c r="Q140" s="288">
        <f t="shared" si="1"/>
        <v>0</v>
      </c>
      <c r="R140" s="1084"/>
      <c r="S140" s="1091"/>
      <c r="T140" s="1085"/>
      <c r="U140" s="293"/>
      <c r="V140" s="1136"/>
      <c r="W140" s="1136"/>
    </row>
    <row r="141" hidden="1">
      <c r="A141" s="1137"/>
      <c r="B141" s="1079"/>
      <c r="C141" s="1113" t="s">
        <v>4823</v>
      </c>
      <c r="D141" s="288" t="s">
        <v>4706</v>
      </c>
      <c r="E141" s="1081"/>
      <c r="F141" s="1081"/>
      <c r="G141" s="1081"/>
      <c r="H141" s="1081"/>
      <c r="I141" s="1081"/>
      <c r="J141" s="1081"/>
      <c r="K141" s="1105"/>
      <c r="L141" s="1081"/>
      <c r="M141" s="1083"/>
      <c r="N141" s="1081"/>
      <c r="O141" s="288">
        <v>0.0</v>
      </c>
      <c r="P141" s="288"/>
      <c r="Q141" s="288">
        <f t="shared" si="1"/>
        <v>0</v>
      </c>
      <c r="R141" s="1084"/>
      <c r="S141" s="1091"/>
      <c r="T141" s="1085"/>
      <c r="U141" s="293"/>
      <c r="V141" s="1136"/>
      <c r="W141" s="1136"/>
    </row>
    <row r="142" hidden="1">
      <c r="A142" s="1137"/>
      <c r="B142" s="1079"/>
      <c r="C142" s="1113" t="s">
        <v>4824</v>
      </c>
      <c r="D142" s="288" t="s">
        <v>4727</v>
      </c>
      <c r="E142" s="1081"/>
      <c r="F142" s="1081"/>
      <c r="G142" s="1081"/>
      <c r="H142" s="1081"/>
      <c r="I142" s="1081"/>
      <c r="J142" s="1081"/>
      <c r="K142" s="1105"/>
      <c r="L142" s="1081"/>
      <c r="M142" s="1083"/>
      <c r="N142" s="1081"/>
      <c r="O142" s="288">
        <v>0.0</v>
      </c>
      <c r="P142" s="288"/>
      <c r="Q142" s="288">
        <f t="shared" si="1"/>
        <v>0</v>
      </c>
      <c r="R142" s="1084"/>
      <c r="S142" s="1091"/>
      <c r="T142" s="1085"/>
      <c r="U142" s="293"/>
      <c r="V142" s="1136"/>
      <c r="W142" s="1136"/>
    </row>
    <row r="143" hidden="1">
      <c r="A143" s="1078"/>
      <c r="B143" s="1079"/>
      <c r="C143" s="1080" t="s">
        <v>4792</v>
      </c>
      <c r="D143" s="288" t="s">
        <v>4825</v>
      </c>
      <c r="E143" s="1081"/>
      <c r="F143" s="1081"/>
      <c r="G143" s="1081"/>
      <c r="H143" s="1081"/>
      <c r="I143" s="1081"/>
      <c r="J143" s="1081"/>
      <c r="K143" s="1081"/>
      <c r="L143" s="1081"/>
      <c r="M143" s="1083"/>
      <c r="N143" s="1081"/>
      <c r="O143" s="288"/>
      <c r="P143" s="288"/>
      <c r="Q143" s="288">
        <f t="shared" si="1"/>
        <v>0</v>
      </c>
      <c r="R143" s="1084"/>
      <c r="S143" s="1091"/>
      <c r="T143" s="1085"/>
      <c r="U143" s="293"/>
      <c r="V143" s="1136"/>
      <c r="W143" s="1136"/>
    </row>
    <row r="144" hidden="1">
      <c r="A144" s="1096"/>
      <c r="B144" s="1079"/>
      <c r="C144" s="1080" t="s">
        <v>4826</v>
      </c>
      <c r="D144" s="288"/>
      <c r="E144" s="1081"/>
      <c r="F144" s="1081"/>
      <c r="G144" s="1081"/>
      <c r="H144" s="1081"/>
      <c r="I144" s="1081"/>
      <c r="J144" s="1081"/>
      <c r="K144" s="1081"/>
      <c r="L144" s="1081"/>
      <c r="M144" s="1083"/>
      <c r="N144" s="1081"/>
      <c r="O144" s="288"/>
      <c r="P144" s="288"/>
      <c r="Q144" s="288">
        <f t="shared" si="1"/>
        <v>0</v>
      </c>
      <c r="R144" s="1084"/>
      <c r="S144" s="1091"/>
      <c r="T144" s="1085"/>
      <c r="U144" s="293"/>
      <c r="V144" s="288"/>
      <c r="W144" s="288"/>
    </row>
    <row r="145" hidden="1">
      <c r="A145" s="1107"/>
      <c r="B145" s="1107"/>
      <c r="C145" s="1080"/>
      <c r="D145" s="288"/>
      <c r="E145" s="1081"/>
      <c r="F145" s="1081"/>
      <c r="G145" s="1081"/>
      <c r="H145" s="1081"/>
      <c r="I145" s="1081"/>
      <c r="J145" s="1081"/>
      <c r="K145" s="1081"/>
      <c r="L145" s="1081"/>
      <c r="M145" s="1083"/>
      <c r="N145" s="1081"/>
      <c r="O145" s="288"/>
      <c r="P145" s="288"/>
      <c r="Q145" s="288">
        <f t="shared" si="1"/>
        <v>0</v>
      </c>
      <c r="R145" s="288"/>
      <c r="S145" s="288"/>
      <c r="T145" s="293"/>
      <c r="U145" s="293"/>
      <c r="V145" s="288"/>
      <c r="W145" s="288"/>
    </row>
    <row r="146" hidden="1">
      <c r="A146" s="1114"/>
      <c r="B146" s="1115" t="s">
        <v>4810</v>
      </c>
      <c r="C146" s="1116" t="s">
        <v>4827</v>
      </c>
      <c r="D146" s="1117">
        <v>15006.0</v>
      </c>
      <c r="E146" s="1138"/>
      <c r="F146" s="1138"/>
      <c r="G146" s="1138"/>
      <c r="H146" s="1138"/>
      <c r="I146" s="1138"/>
      <c r="J146" s="1138"/>
      <c r="K146" s="1138"/>
      <c r="L146" s="1138"/>
      <c r="M146" s="1139"/>
      <c r="N146" s="1138"/>
      <c r="O146" s="288">
        <v>5.0</v>
      </c>
      <c r="P146" s="288"/>
      <c r="Q146" s="288">
        <f t="shared" si="1"/>
        <v>5</v>
      </c>
      <c r="R146" s="1117">
        <v>5.0</v>
      </c>
      <c r="S146" s="1117"/>
      <c r="T146" s="1118"/>
      <c r="U146" s="1118"/>
      <c r="V146" s="1117"/>
      <c r="W146" s="1117"/>
      <c r="AA146" s="312" t="s">
        <v>328</v>
      </c>
    </row>
    <row r="147" hidden="1">
      <c r="A147" s="1078"/>
      <c r="B147" s="1079"/>
      <c r="C147" s="1080" t="s">
        <v>4828</v>
      </c>
      <c r="D147" s="288" t="s">
        <v>4710</v>
      </c>
      <c r="E147" s="1081"/>
      <c r="F147" s="1081"/>
      <c r="G147" s="1081"/>
      <c r="H147" s="1081"/>
      <c r="I147" s="1081"/>
      <c r="J147" s="1081"/>
      <c r="K147" s="1105"/>
      <c r="L147" s="1081"/>
      <c r="M147" s="1083"/>
      <c r="N147" s="1081"/>
      <c r="O147" s="288">
        <v>0.0</v>
      </c>
      <c r="P147" s="288"/>
      <c r="Q147" s="288">
        <f t="shared" si="1"/>
        <v>0</v>
      </c>
      <c r="R147" s="1084"/>
      <c r="S147" s="1091"/>
      <c r="T147" s="1085"/>
      <c r="U147" s="293"/>
      <c r="V147" s="1086"/>
      <c r="W147" s="1086"/>
    </row>
    <row r="148" hidden="1">
      <c r="A148" s="1078"/>
      <c r="B148" s="1079"/>
      <c r="C148" s="1080" t="s">
        <v>4829</v>
      </c>
      <c r="D148" s="288" t="s">
        <v>4715</v>
      </c>
      <c r="E148" s="1081"/>
      <c r="F148" s="1081"/>
      <c r="G148" s="1081"/>
      <c r="H148" s="1081"/>
      <c r="I148" s="1081"/>
      <c r="J148" s="1081"/>
      <c r="K148" s="1105"/>
      <c r="L148" s="1081"/>
      <c r="M148" s="1083"/>
      <c r="N148" s="1081"/>
      <c r="O148" s="288">
        <v>0.0</v>
      </c>
      <c r="P148" s="288"/>
      <c r="Q148" s="288">
        <f t="shared" si="1"/>
        <v>0</v>
      </c>
      <c r="R148" s="1084"/>
      <c r="S148" s="1091"/>
      <c r="T148" s="1085"/>
      <c r="U148" s="293"/>
      <c r="V148" s="1086"/>
      <c r="W148" s="1086"/>
    </row>
    <row r="149" hidden="1">
      <c r="A149" s="1078"/>
      <c r="B149" s="1079"/>
      <c r="C149" s="1080" t="s">
        <v>4830</v>
      </c>
      <c r="D149" s="288" t="s">
        <v>4704</v>
      </c>
      <c r="E149" s="1081"/>
      <c r="F149" s="1081"/>
      <c r="G149" s="1081"/>
      <c r="H149" s="1081"/>
      <c r="I149" s="1081"/>
      <c r="J149" s="1081"/>
      <c r="K149" s="1105"/>
      <c r="L149" s="1081"/>
      <c r="M149" s="1083"/>
      <c r="N149" s="1081"/>
      <c r="O149" s="288">
        <v>0.0</v>
      </c>
      <c r="P149" s="288"/>
      <c r="Q149" s="288">
        <f t="shared" si="1"/>
        <v>0</v>
      </c>
      <c r="R149" s="1084"/>
      <c r="S149" s="1091"/>
      <c r="T149" s="1085"/>
      <c r="U149" s="293"/>
      <c r="V149" s="1086"/>
      <c r="W149" s="1086"/>
    </row>
    <row r="150" hidden="1">
      <c r="A150" s="1078"/>
      <c r="B150" s="1079"/>
      <c r="C150" s="1080" t="s">
        <v>4831</v>
      </c>
      <c r="D150" s="288" t="s">
        <v>4706</v>
      </c>
      <c r="E150" s="1081"/>
      <c r="F150" s="1081"/>
      <c r="G150" s="1081"/>
      <c r="H150" s="1081"/>
      <c r="I150" s="1081"/>
      <c r="J150" s="1081"/>
      <c r="K150" s="1105"/>
      <c r="L150" s="1081"/>
      <c r="M150" s="1083"/>
      <c r="N150" s="1081"/>
      <c r="O150" s="288">
        <v>0.0</v>
      </c>
      <c r="P150" s="288"/>
      <c r="Q150" s="288">
        <f t="shared" si="1"/>
        <v>0</v>
      </c>
      <c r="R150" s="1084"/>
      <c r="S150" s="1091"/>
      <c r="T150" s="1085"/>
      <c r="U150" s="293"/>
      <c r="V150" s="1086"/>
      <c r="W150" s="1086"/>
    </row>
    <row r="151" hidden="1">
      <c r="A151" s="1078"/>
      <c r="B151" s="1079"/>
      <c r="C151" s="1080" t="s">
        <v>4830</v>
      </c>
      <c r="D151" s="288" t="s">
        <v>4641</v>
      </c>
      <c r="E151" s="1081"/>
      <c r="F151" s="1081"/>
      <c r="G151" s="1081"/>
      <c r="H151" s="1081"/>
      <c r="I151" s="1081"/>
      <c r="J151" s="1081"/>
      <c r="K151" s="1105"/>
      <c r="L151" s="1081"/>
      <c r="M151" s="1083"/>
      <c r="N151" s="1081"/>
      <c r="O151" s="288">
        <v>0.0</v>
      </c>
      <c r="P151" s="288"/>
      <c r="Q151" s="288">
        <f t="shared" si="1"/>
        <v>0</v>
      </c>
      <c r="R151" s="1084"/>
      <c r="S151" s="1091"/>
      <c r="T151" s="1085"/>
      <c r="U151" s="293"/>
      <c r="V151" s="1086"/>
      <c r="W151" s="1086"/>
    </row>
    <row r="152" hidden="1">
      <c r="A152" s="1078"/>
      <c r="B152" s="1079"/>
      <c r="C152" s="1080" t="s">
        <v>4830</v>
      </c>
      <c r="D152" s="288" t="s">
        <v>4832</v>
      </c>
      <c r="E152" s="1081"/>
      <c r="F152" s="1081"/>
      <c r="G152" s="1081"/>
      <c r="H152" s="1081"/>
      <c r="I152" s="1081"/>
      <c r="J152" s="1081"/>
      <c r="K152" s="1105"/>
      <c r="L152" s="1081"/>
      <c r="M152" s="1083"/>
      <c r="N152" s="1081"/>
      <c r="O152" s="288">
        <v>0.0</v>
      </c>
      <c r="P152" s="288"/>
      <c r="Q152" s="288">
        <f t="shared" si="1"/>
        <v>0</v>
      </c>
      <c r="R152" s="1084"/>
      <c r="S152" s="1091"/>
      <c r="T152" s="1085"/>
      <c r="U152" s="293"/>
      <c r="V152" s="1086"/>
      <c r="W152" s="1086"/>
    </row>
    <row r="153" hidden="1">
      <c r="A153" s="1078"/>
      <c r="B153" s="1079"/>
      <c r="C153" s="1080" t="s">
        <v>4806</v>
      </c>
      <c r="D153" s="288" t="s">
        <v>4755</v>
      </c>
      <c r="E153" s="1081"/>
      <c r="F153" s="1081"/>
      <c r="G153" s="1081"/>
      <c r="H153" s="1081"/>
      <c r="I153" s="1081"/>
      <c r="J153" s="1081"/>
      <c r="K153" s="1105"/>
      <c r="L153" s="1081"/>
      <c r="M153" s="1083"/>
      <c r="N153" s="1081"/>
      <c r="O153" s="288">
        <v>0.0</v>
      </c>
      <c r="P153" s="288"/>
      <c r="Q153" s="288">
        <f t="shared" si="1"/>
        <v>0</v>
      </c>
      <c r="R153" s="1084"/>
      <c r="S153" s="1091"/>
      <c r="T153" s="1085"/>
      <c r="U153" s="293"/>
      <c r="V153" s="1086"/>
      <c r="W153" s="1086"/>
    </row>
    <row r="154" hidden="1">
      <c r="A154" s="1078"/>
      <c r="B154" s="1079"/>
      <c r="C154" s="1080" t="s">
        <v>4828</v>
      </c>
      <c r="D154" s="288" t="s">
        <v>4722</v>
      </c>
      <c r="E154" s="1081"/>
      <c r="F154" s="1081"/>
      <c r="G154" s="1081"/>
      <c r="H154" s="1081"/>
      <c r="I154" s="1081"/>
      <c r="J154" s="1081"/>
      <c r="K154" s="1105"/>
      <c r="L154" s="1081"/>
      <c r="M154" s="1083"/>
      <c r="N154" s="1081"/>
      <c r="O154" s="288">
        <v>0.0</v>
      </c>
      <c r="P154" s="288"/>
      <c r="Q154" s="288">
        <f t="shared" si="1"/>
        <v>0</v>
      </c>
      <c r="R154" s="1084"/>
      <c r="S154" s="1091"/>
      <c r="T154" s="1085"/>
      <c r="U154" s="293"/>
      <c r="V154" s="1086"/>
      <c r="W154" s="1086"/>
    </row>
    <row r="155" hidden="1">
      <c r="A155" s="1140"/>
      <c r="B155" s="1140"/>
      <c r="C155" s="310"/>
      <c r="D155" s="280"/>
      <c r="E155" s="1120"/>
      <c r="F155" s="1120"/>
      <c r="G155" s="1120"/>
      <c r="H155" s="1120"/>
      <c r="I155" s="1120"/>
      <c r="J155" s="1120"/>
      <c r="K155" s="1141"/>
      <c r="L155" s="1120"/>
      <c r="M155" s="1120"/>
      <c r="N155" s="1120"/>
      <c r="O155" s="280"/>
      <c r="P155" s="280"/>
      <c r="Q155" s="280"/>
      <c r="R155" s="280"/>
      <c r="S155" s="280"/>
      <c r="T155" s="280"/>
      <c r="U155" s="280"/>
      <c r="W155" s="280"/>
    </row>
    <row r="156" hidden="1">
      <c r="A156" s="1140"/>
      <c r="B156" s="1140"/>
      <c r="C156" s="310"/>
      <c r="D156" s="280"/>
      <c r="E156" s="1120"/>
      <c r="F156" s="1120"/>
      <c r="G156" s="1120"/>
      <c r="H156" s="1120"/>
      <c r="I156" s="1120"/>
      <c r="J156" s="1120"/>
      <c r="K156" s="1141"/>
      <c r="L156" s="1120"/>
      <c r="M156" s="1120"/>
      <c r="N156" s="1120"/>
      <c r="O156" s="280"/>
      <c r="P156" s="280"/>
      <c r="Q156" s="280"/>
      <c r="R156" s="280"/>
      <c r="S156" s="280"/>
      <c r="T156" s="280"/>
      <c r="U156" s="280"/>
      <c r="W156" s="280"/>
    </row>
    <row r="157">
      <c r="A157" s="1142"/>
      <c r="B157" s="1142"/>
      <c r="C157" s="1143"/>
      <c r="D157" s="1144"/>
      <c r="E157" s="1145">
        <f t="shared" ref="E157:N157" si="2">SUM(E2:E119)</f>
        <v>22</v>
      </c>
      <c r="F157" s="1145">
        <f t="shared" si="2"/>
        <v>125</v>
      </c>
      <c r="G157" s="1145">
        <f t="shared" si="2"/>
        <v>142</v>
      </c>
      <c r="H157" s="1145">
        <f t="shared" si="2"/>
        <v>103</v>
      </c>
      <c r="I157" s="1145">
        <f t="shared" si="2"/>
        <v>105</v>
      </c>
      <c r="J157" s="1145">
        <f t="shared" si="2"/>
        <v>179</v>
      </c>
      <c r="K157" s="1145">
        <f t="shared" si="2"/>
        <v>274</v>
      </c>
      <c r="L157" s="1145">
        <f t="shared" si="2"/>
        <v>249</v>
      </c>
      <c r="M157" s="1145">
        <f t="shared" si="2"/>
        <v>230</v>
      </c>
      <c r="N157" s="1145">
        <f t="shared" si="2"/>
        <v>300</v>
      </c>
      <c r="O157" s="1144"/>
      <c r="P157" s="1144">
        <f>SUM(P1:P119)</f>
        <v>227</v>
      </c>
      <c r="Q157" s="1144">
        <f>SUM(Q2:Q119)</f>
        <v>1909</v>
      </c>
      <c r="R157" s="1144">
        <f>SUM(R1:R119)</f>
        <v>516</v>
      </c>
      <c r="S157" s="1144"/>
      <c r="T157" s="1144"/>
      <c r="U157" s="1144"/>
      <c r="V157" s="1144"/>
      <c r="W157" s="1144"/>
      <c r="X157" s="1146"/>
      <c r="Y157" s="1146"/>
      <c r="Z157" s="1146"/>
      <c r="AA157" s="1146"/>
      <c r="AB157" s="1146"/>
      <c r="AC157" s="1146"/>
      <c r="AD157" s="1146"/>
      <c r="AE157" s="1146"/>
      <c r="AF157" s="1146"/>
      <c r="AG157" s="1146"/>
      <c r="AH157" s="1146"/>
      <c r="AI157" s="1146"/>
      <c r="AJ157" s="1146"/>
      <c r="AK157" s="1146"/>
      <c r="AL157" s="1146"/>
      <c r="AM157" s="1146"/>
      <c r="AN157" s="1146"/>
      <c r="AO157" s="1146"/>
      <c r="AP157" s="1146"/>
      <c r="AQ157" s="1146"/>
    </row>
    <row r="158" hidden="1">
      <c r="A158" s="1140"/>
      <c r="B158" s="1140"/>
      <c r="C158" s="310"/>
      <c r="D158" s="280"/>
      <c r="E158" s="1120"/>
      <c r="F158" s="1120"/>
      <c r="G158" s="1120"/>
      <c r="H158" s="1120"/>
      <c r="I158" s="1120"/>
      <c r="J158" s="1120"/>
      <c r="K158" s="1141"/>
      <c r="L158" s="1120"/>
      <c r="M158" s="1120"/>
      <c r="N158" s="1120"/>
      <c r="O158" s="280"/>
      <c r="P158" s="280"/>
      <c r="Q158" s="280"/>
      <c r="R158" s="280"/>
      <c r="S158" s="280"/>
      <c r="T158" s="280"/>
      <c r="U158" s="280"/>
      <c r="W158" s="280"/>
    </row>
    <row r="159" hidden="1">
      <c r="A159" s="1140"/>
      <c r="B159" s="1140"/>
      <c r="C159" s="310"/>
      <c r="D159" s="280"/>
      <c r="E159" s="1120"/>
      <c r="F159" s="1120"/>
      <c r="G159" s="1120"/>
      <c r="H159" s="1120"/>
      <c r="I159" s="1120"/>
      <c r="J159" s="1147"/>
      <c r="K159" s="1147"/>
      <c r="L159" s="1147"/>
      <c r="M159" s="1147"/>
      <c r="N159" s="1147"/>
      <c r="O159" s="587"/>
      <c r="P159" s="587"/>
      <c r="Q159" s="587"/>
      <c r="R159" s="587"/>
      <c r="S159" s="587"/>
      <c r="T159" s="587"/>
      <c r="U159" s="587"/>
      <c r="V159" s="280"/>
      <c r="W159" s="280"/>
    </row>
    <row r="160" hidden="1">
      <c r="A160" s="1140"/>
      <c r="B160" s="1140"/>
      <c r="C160" s="310"/>
      <c r="D160" s="280"/>
      <c r="E160" s="1120"/>
      <c r="F160" s="1120"/>
      <c r="G160" s="1120"/>
      <c r="H160" s="1120"/>
      <c r="I160" s="1120"/>
      <c r="J160" s="1120"/>
      <c r="K160" s="1141"/>
      <c r="L160" s="1120"/>
      <c r="M160" s="1120"/>
      <c r="N160" s="1120"/>
      <c r="O160" s="280"/>
      <c r="P160" s="280"/>
      <c r="Q160" s="280"/>
      <c r="R160" s="280"/>
      <c r="S160" s="280"/>
      <c r="T160" s="280"/>
      <c r="U160" s="280"/>
      <c r="W160" s="280"/>
    </row>
  </sheetData>
  <autoFilter ref="$A$1:$AQ$160">
    <filterColumn colId="15">
      <filters>
        <filter val="no se pidio y llego 5"/>
        <filter val="2"/>
        <filter val="no se pidio y llego"/>
        <filter val="5"/>
        <filter val="227"/>
        <filter val="se pidieron 10 llegaron 5"/>
      </filters>
    </filterColumn>
  </autoFilter>
  <customSheetViews>
    <customSheetView guid="{6EA4E08C-8739-4759-AC14-EC33F83EDD6D}" filter="1" showAutoFilter="1">
      <autoFilter ref="$C$1:$V$160"/>
    </customSheetView>
  </customSheetView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6.75"/>
    <col customWidth="1" min="2" max="2" width="6.88"/>
    <col customWidth="1" min="3" max="3" width="17.75"/>
    <col customWidth="1" min="4" max="14" width="8.63"/>
    <col customWidth="1" min="15" max="15" width="6.25"/>
    <col customWidth="1" min="16" max="16" width="6.75"/>
    <col customWidth="1" min="17" max="17" width="6.25"/>
    <col customWidth="1" min="18" max="18" width="8.0"/>
    <col customWidth="1" min="19" max="19" width="6.13"/>
    <col customWidth="1" min="20" max="21" width="8.38"/>
    <col customWidth="1" min="22" max="22" width="3.75"/>
    <col customWidth="1" min="23" max="23" width="14.0"/>
    <col customWidth="1" min="24" max="24" width="7.75"/>
    <col customWidth="1" min="25" max="25" width="9.5"/>
    <col customWidth="1" min="26" max="26" width="9.25"/>
    <col customWidth="1" min="27" max="27" width="10.38"/>
    <col customWidth="1" min="28" max="29" width="9.38"/>
  </cols>
  <sheetData>
    <row r="1">
      <c r="A1" s="1148"/>
      <c r="B1" s="1148"/>
      <c r="C1" s="1148"/>
      <c r="D1" s="1149" t="s">
        <v>4833</v>
      </c>
      <c r="E1" s="1150" t="s">
        <v>4834</v>
      </c>
      <c r="F1" s="1151" t="s">
        <v>4835</v>
      </c>
      <c r="G1" s="1152" t="s">
        <v>4836</v>
      </c>
      <c r="H1" s="1153" t="s">
        <v>4837</v>
      </c>
      <c r="I1" s="1153" t="s">
        <v>4838</v>
      </c>
      <c r="J1" s="1153" t="s">
        <v>4839</v>
      </c>
      <c r="K1" s="1153" t="s">
        <v>4840</v>
      </c>
      <c r="L1" s="1153" t="s">
        <v>4841</v>
      </c>
      <c r="M1" s="1153" t="s">
        <v>4842</v>
      </c>
      <c r="N1" s="1153" t="s">
        <v>4843</v>
      </c>
      <c r="O1" s="1154"/>
      <c r="P1" s="1155" t="s">
        <v>3083</v>
      </c>
      <c r="Q1" s="1156"/>
      <c r="R1" s="1157" t="s">
        <v>4844</v>
      </c>
      <c r="S1" s="1158" t="s">
        <v>1108</v>
      </c>
      <c r="T1" s="1158" t="s">
        <v>93</v>
      </c>
      <c r="U1" s="1081" t="s">
        <v>4845</v>
      </c>
      <c r="V1" s="1159"/>
      <c r="W1" s="1159"/>
      <c r="X1" s="1160"/>
      <c r="Y1" s="1161"/>
      <c r="Z1" s="1161"/>
      <c r="AA1" s="1162" t="s">
        <v>3879</v>
      </c>
      <c r="AB1" s="1161"/>
      <c r="AC1" s="1161"/>
    </row>
    <row r="2" hidden="1">
      <c r="A2" s="288"/>
      <c r="B2" s="288"/>
      <c r="C2" s="1163"/>
      <c r="D2" s="1164"/>
      <c r="E2" s="1164"/>
      <c r="F2" s="1164"/>
      <c r="G2" s="1164"/>
      <c r="H2" s="1164"/>
      <c r="I2" s="1165"/>
      <c r="J2" s="1164"/>
      <c r="K2" s="1165"/>
      <c r="L2" s="1164"/>
      <c r="M2" s="1166"/>
      <c r="N2" s="1164"/>
      <c r="O2" s="280"/>
      <c r="P2" s="1167"/>
      <c r="R2" s="589"/>
      <c r="S2" s="589"/>
      <c r="T2" s="589"/>
      <c r="U2" s="126"/>
      <c r="W2" s="126"/>
      <c r="X2" s="163" t="s">
        <v>4846</v>
      </c>
      <c r="Y2" s="163" t="s">
        <v>4847</v>
      </c>
      <c r="Z2" s="163" t="s">
        <v>93</v>
      </c>
      <c r="AB2" s="370"/>
      <c r="AC2" s="370"/>
    </row>
    <row r="3">
      <c r="A3" s="288">
        <v>0.12</v>
      </c>
      <c r="B3" s="288" t="s">
        <v>4848</v>
      </c>
      <c r="C3" s="1163" t="s">
        <v>4849</v>
      </c>
      <c r="D3" s="712">
        <v>10.0</v>
      </c>
      <c r="E3" s="1168">
        <v>8.0</v>
      </c>
      <c r="F3" s="1169">
        <v>2.0</v>
      </c>
      <c r="G3" s="1170">
        <v>0.0</v>
      </c>
      <c r="H3" s="712">
        <v>15.0</v>
      </c>
      <c r="I3" s="712">
        <v>20.0</v>
      </c>
      <c r="J3" s="712">
        <v>3.0</v>
      </c>
      <c r="K3" s="712">
        <v>11.0</v>
      </c>
      <c r="L3" s="712">
        <v>25.0</v>
      </c>
      <c r="M3" s="712">
        <v>10.0</v>
      </c>
      <c r="N3" s="712">
        <v>15.0</v>
      </c>
      <c r="O3" s="280"/>
      <c r="P3" s="1167">
        <f t="shared" ref="P3:P45" si="1">SUM(H3:M3)</f>
        <v>84</v>
      </c>
      <c r="R3" s="163">
        <v>6400.0</v>
      </c>
      <c r="S3" s="163">
        <v>6300.0</v>
      </c>
      <c r="T3" s="163">
        <v>4500.0</v>
      </c>
      <c r="U3" s="167">
        <v>2900.0</v>
      </c>
      <c r="W3" s="167" t="s">
        <v>4850</v>
      </c>
      <c r="X3" s="102">
        <v>4000.0</v>
      </c>
      <c r="Y3" s="1171">
        <v>3360.0</v>
      </c>
      <c r="Z3" s="102">
        <v>4500.0</v>
      </c>
      <c r="AA3" s="312">
        <v>101.0</v>
      </c>
      <c r="AB3" s="370">
        <f t="shared" ref="AB3:AB6" si="2">AA3*X3</f>
        <v>404000</v>
      </c>
      <c r="AC3" s="370">
        <f t="shared" ref="AC3:AC6" si="3">AA3*Y3</f>
        <v>339360</v>
      </c>
    </row>
    <row r="4">
      <c r="A4" s="288">
        <v>0.14</v>
      </c>
      <c r="B4" s="288" t="s">
        <v>4848</v>
      </c>
      <c r="C4" s="1163" t="s">
        <v>4849</v>
      </c>
      <c r="D4" s="712">
        <v>10.0</v>
      </c>
      <c r="E4" s="1168">
        <v>9.0</v>
      </c>
      <c r="F4" s="1169">
        <v>1.0</v>
      </c>
      <c r="G4" s="1170">
        <v>0.0</v>
      </c>
      <c r="H4" s="712">
        <v>15.0</v>
      </c>
      <c r="I4" s="712">
        <v>20.0</v>
      </c>
      <c r="J4" s="712">
        <v>8.0</v>
      </c>
      <c r="K4" s="712">
        <v>12.0</v>
      </c>
      <c r="L4" s="712">
        <v>25.0</v>
      </c>
      <c r="M4" s="712">
        <v>10.0</v>
      </c>
      <c r="N4" s="712">
        <v>15.0</v>
      </c>
      <c r="O4" s="280"/>
      <c r="P4" s="1167">
        <f t="shared" si="1"/>
        <v>90</v>
      </c>
      <c r="R4" s="163">
        <v>6400.0</v>
      </c>
      <c r="S4" s="163">
        <v>6300.0</v>
      </c>
      <c r="T4" s="163">
        <v>4500.0</v>
      </c>
      <c r="U4" s="167">
        <v>2900.0</v>
      </c>
      <c r="W4" s="167" t="s">
        <v>4851</v>
      </c>
      <c r="X4" s="102">
        <v>6100.0</v>
      </c>
      <c r="Y4" s="102">
        <v>6300.0</v>
      </c>
      <c r="Z4" s="102">
        <v>6500.0</v>
      </c>
      <c r="AA4" s="312">
        <v>75.0</v>
      </c>
      <c r="AB4" s="370">
        <f t="shared" si="2"/>
        <v>457500</v>
      </c>
      <c r="AC4" s="370">
        <f t="shared" si="3"/>
        <v>472500</v>
      </c>
    </row>
    <row r="5" hidden="1">
      <c r="A5" s="288">
        <v>0.16</v>
      </c>
      <c r="B5" s="288" t="s">
        <v>4848</v>
      </c>
      <c r="C5" s="1163" t="s">
        <v>4849</v>
      </c>
      <c r="D5" s="712">
        <v>10.0</v>
      </c>
      <c r="E5" s="1168">
        <v>9.0</v>
      </c>
      <c r="F5" s="1169">
        <v>1.0</v>
      </c>
      <c r="G5" s="1170">
        <v>16.0</v>
      </c>
      <c r="H5" s="712">
        <v>15.0</v>
      </c>
      <c r="I5" s="712">
        <v>20.0</v>
      </c>
      <c r="J5" s="712">
        <v>7.0</v>
      </c>
      <c r="K5" s="712">
        <v>15.0</v>
      </c>
      <c r="L5" s="712">
        <v>25.0</v>
      </c>
      <c r="M5" s="712">
        <v>10.0</v>
      </c>
      <c r="N5" s="712">
        <v>0.0</v>
      </c>
      <c r="O5" s="280"/>
      <c r="P5" s="1167">
        <f t="shared" si="1"/>
        <v>92</v>
      </c>
      <c r="R5" s="163">
        <v>6400.0</v>
      </c>
      <c r="S5" s="163">
        <v>6300.0</v>
      </c>
      <c r="T5" s="163">
        <v>4500.0</v>
      </c>
      <c r="U5" s="167">
        <v>2900.0</v>
      </c>
      <c r="W5" s="167" t="s">
        <v>4852</v>
      </c>
      <c r="X5" s="102">
        <v>3700.0</v>
      </c>
      <c r="Y5" s="1171">
        <v>3675.0</v>
      </c>
      <c r="Z5" s="102">
        <v>4500.0</v>
      </c>
      <c r="AA5" s="312">
        <v>51.0</v>
      </c>
      <c r="AB5" s="370">
        <f t="shared" si="2"/>
        <v>188700</v>
      </c>
      <c r="AC5" s="370">
        <f t="shared" si="3"/>
        <v>187425</v>
      </c>
    </row>
    <row r="6">
      <c r="A6" s="288">
        <v>0.18</v>
      </c>
      <c r="B6" s="288" t="s">
        <v>4848</v>
      </c>
      <c r="C6" s="1163" t="s">
        <v>4849</v>
      </c>
      <c r="D6" s="712">
        <v>10.0</v>
      </c>
      <c r="E6" s="1168">
        <v>9.0</v>
      </c>
      <c r="F6" s="1169">
        <v>1.0</v>
      </c>
      <c r="G6" s="1170">
        <v>7.0</v>
      </c>
      <c r="H6" s="712">
        <v>10.0</v>
      </c>
      <c r="I6" s="712">
        <v>5.0</v>
      </c>
      <c r="J6" s="712">
        <v>10.0</v>
      </c>
      <c r="K6" s="712">
        <v>15.0</v>
      </c>
      <c r="L6" s="712">
        <v>20.0</v>
      </c>
      <c r="M6" s="712">
        <v>10.0</v>
      </c>
      <c r="N6" s="712">
        <v>3.0</v>
      </c>
      <c r="O6" s="280"/>
      <c r="P6" s="1167">
        <f t="shared" si="1"/>
        <v>70</v>
      </c>
      <c r="R6" s="163">
        <v>6400.0</v>
      </c>
      <c r="S6" s="163">
        <v>6300.0</v>
      </c>
      <c r="T6" s="163">
        <v>4500.0</v>
      </c>
      <c r="U6" s="167">
        <v>2900.0</v>
      </c>
      <c r="W6" s="167" t="s">
        <v>4853</v>
      </c>
      <c r="X6" s="102">
        <v>4900.0</v>
      </c>
      <c r="Y6" s="1171">
        <v>4725.0</v>
      </c>
      <c r="Z6" s="102">
        <v>8100.0</v>
      </c>
      <c r="AA6" s="312">
        <v>63.0</v>
      </c>
      <c r="AB6" s="370">
        <f t="shared" si="2"/>
        <v>308700</v>
      </c>
      <c r="AC6" s="370">
        <f t="shared" si="3"/>
        <v>297675</v>
      </c>
    </row>
    <row r="7" hidden="1">
      <c r="A7" s="1172">
        <v>0.2</v>
      </c>
      <c r="B7" s="288" t="s">
        <v>4848</v>
      </c>
      <c r="C7" s="1163" t="s">
        <v>4849</v>
      </c>
      <c r="D7" s="712">
        <v>0.0</v>
      </c>
      <c r="E7" s="1168">
        <v>10.0</v>
      </c>
      <c r="F7" s="1169">
        <v>0.0</v>
      </c>
      <c r="G7" s="1170">
        <v>9.0</v>
      </c>
      <c r="H7" s="712">
        <v>8.0</v>
      </c>
      <c r="I7" s="712">
        <v>0.0</v>
      </c>
      <c r="J7" s="712">
        <v>2.0</v>
      </c>
      <c r="K7" s="712">
        <v>11.0</v>
      </c>
      <c r="L7" s="712">
        <v>5.0</v>
      </c>
      <c r="M7" s="712">
        <v>0.0</v>
      </c>
      <c r="N7" s="712">
        <v>0.0</v>
      </c>
      <c r="O7" s="280"/>
      <c r="P7" s="1167">
        <f t="shared" si="1"/>
        <v>26</v>
      </c>
      <c r="R7" s="163">
        <v>6400.0</v>
      </c>
      <c r="S7" s="163">
        <v>6300.0</v>
      </c>
      <c r="T7" s="163">
        <v>4500.0</v>
      </c>
      <c r="U7" s="167">
        <v>2900.0</v>
      </c>
      <c r="W7" s="126"/>
      <c r="X7" s="39"/>
      <c r="Y7" s="39"/>
      <c r="Z7" s="39"/>
      <c r="AA7">
        <f t="shared" ref="AA7:AC7" si="4">SUM(AA2:AA6)</f>
        <v>290</v>
      </c>
      <c r="AB7" s="370">
        <f t="shared" si="4"/>
        <v>1358900</v>
      </c>
      <c r="AC7" s="370">
        <f t="shared" si="4"/>
        <v>1296960</v>
      </c>
    </row>
    <row r="8" hidden="1">
      <c r="A8" s="287"/>
      <c r="B8" s="287"/>
      <c r="C8" s="770"/>
      <c r="D8" s="1165"/>
      <c r="E8" s="1165"/>
      <c r="F8" s="1165"/>
      <c r="G8" s="1165"/>
      <c r="H8" s="1165"/>
      <c r="I8" s="1165"/>
      <c r="J8" s="1165"/>
      <c r="K8" s="1165"/>
      <c r="L8" s="1165"/>
      <c r="M8" s="1165"/>
      <c r="N8" s="712"/>
      <c r="O8" s="280"/>
      <c r="P8" s="1167">
        <f t="shared" si="1"/>
        <v>0</v>
      </c>
      <c r="R8" s="163"/>
      <c r="S8" s="163"/>
      <c r="T8" s="163"/>
      <c r="U8" s="126"/>
      <c r="X8" s="370"/>
      <c r="Y8" s="370"/>
      <c r="Z8" s="370"/>
      <c r="AB8" s="370"/>
      <c r="AC8" s="370"/>
    </row>
    <row r="9">
      <c r="A9" s="288">
        <v>0.12</v>
      </c>
      <c r="B9" s="288" t="s">
        <v>4848</v>
      </c>
      <c r="C9" s="1163" t="s">
        <v>4854</v>
      </c>
      <c r="D9" s="712">
        <v>0.0</v>
      </c>
      <c r="E9" s="1168">
        <v>8.0</v>
      </c>
      <c r="F9" s="1169">
        <v>2.0</v>
      </c>
      <c r="G9" s="1170">
        <v>6.0</v>
      </c>
      <c r="H9" s="712">
        <v>10.0</v>
      </c>
      <c r="I9" s="712">
        <v>20.0</v>
      </c>
      <c r="J9" s="712">
        <v>1.0</v>
      </c>
      <c r="K9" s="712">
        <v>0.0</v>
      </c>
      <c r="L9" s="712">
        <v>20.0</v>
      </c>
      <c r="M9" s="712">
        <v>0.0</v>
      </c>
      <c r="N9" s="712">
        <v>9.0</v>
      </c>
      <c r="O9" s="280"/>
      <c r="P9" s="1167">
        <f t="shared" si="1"/>
        <v>51</v>
      </c>
      <c r="R9" s="163">
        <v>6400.0</v>
      </c>
      <c r="S9" s="163">
        <v>6300.0</v>
      </c>
      <c r="T9" s="163">
        <v>4500.0</v>
      </c>
      <c r="U9" s="167">
        <v>2900.0</v>
      </c>
      <c r="X9" s="370"/>
      <c r="Y9" s="370"/>
      <c r="Z9" s="370"/>
      <c r="AB9" s="370"/>
      <c r="AC9" s="370"/>
    </row>
    <row r="10" hidden="1">
      <c r="A10" s="288">
        <v>0.14</v>
      </c>
      <c r="B10" s="288" t="s">
        <v>4848</v>
      </c>
      <c r="C10" s="1163" t="s">
        <v>4854</v>
      </c>
      <c r="D10" s="712">
        <v>10.0</v>
      </c>
      <c r="E10" s="1168">
        <v>6.0</v>
      </c>
      <c r="F10" s="1169">
        <v>3.0</v>
      </c>
      <c r="G10" s="1170">
        <v>16.0</v>
      </c>
      <c r="H10" s="712">
        <v>15.0</v>
      </c>
      <c r="I10" s="712">
        <v>20.0</v>
      </c>
      <c r="J10" s="712">
        <v>0.0</v>
      </c>
      <c r="K10" s="712">
        <v>5.0</v>
      </c>
      <c r="L10" s="712">
        <v>25.0</v>
      </c>
      <c r="M10" s="712">
        <v>10.0</v>
      </c>
      <c r="N10" s="712">
        <v>0.0</v>
      </c>
      <c r="O10" s="280"/>
      <c r="P10" s="1167">
        <f t="shared" si="1"/>
        <v>75</v>
      </c>
      <c r="R10" s="163">
        <v>6400.0</v>
      </c>
      <c r="S10" s="163">
        <v>6300.0</v>
      </c>
      <c r="T10" s="163">
        <v>4500.0</v>
      </c>
      <c r="U10" s="167">
        <v>2900.0</v>
      </c>
      <c r="X10" s="370"/>
      <c r="Y10" s="370"/>
      <c r="Z10" s="370"/>
      <c r="AB10" s="370"/>
      <c r="AC10" s="370"/>
    </row>
    <row r="11">
      <c r="A11" s="288">
        <v>0.16</v>
      </c>
      <c r="B11" s="288" t="s">
        <v>4848</v>
      </c>
      <c r="C11" s="1163" t="s">
        <v>4854</v>
      </c>
      <c r="D11" s="712">
        <v>10.0</v>
      </c>
      <c r="E11" s="1168">
        <v>9.0</v>
      </c>
      <c r="F11" s="1169">
        <v>1.0</v>
      </c>
      <c r="G11" s="1170">
        <v>14.0</v>
      </c>
      <c r="H11" s="712">
        <v>15.0</v>
      </c>
      <c r="I11" s="712">
        <v>20.0</v>
      </c>
      <c r="J11" s="712">
        <v>2.0</v>
      </c>
      <c r="K11" s="712">
        <v>11.0</v>
      </c>
      <c r="L11" s="712">
        <v>30.0</v>
      </c>
      <c r="M11" s="712">
        <v>10.0</v>
      </c>
      <c r="N11" s="712">
        <v>1.0</v>
      </c>
      <c r="O11" s="280"/>
      <c r="P11" s="1167">
        <f t="shared" si="1"/>
        <v>88</v>
      </c>
      <c r="R11" s="163">
        <v>6400.0</v>
      </c>
      <c r="S11" s="163">
        <v>6300.0</v>
      </c>
      <c r="T11" s="163">
        <v>4500.0</v>
      </c>
      <c r="U11" s="167">
        <v>2900.0</v>
      </c>
      <c r="X11" s="370"/>
      <c r="Y11" s="370"/>
      <c r="Z11" s="370"/>
      <c r="AB11" s="370"/>
      <c r="AC11" s="370"/>
    </row>
    <row r="12">
      <c r="A12" s="288">
        <v>0.18</v>
      </c>
      <c r="B12" s="288" t="s">
        <v>4848</v>
      </c>
      <c r="C12" s="1163" t="s">
        <v>4854</v>
      </c>
      <c r="D12" s="712">
        <v>10.0</v>
      </c>
      <c r="E12" s="1168">
        <v>9.0</v>
      </c>
      <c r="F12" s="1169">
        <v>1.0</v>
      </c>
      <c r="G12" s="1170">
        <v>7.0</v>
      </c>
      <c r="H12" s="712">
        <v>5.0</v>
      </c>
      <c r="I12" s="712">
        <v>5.0</v>
      </c>
      <c r="J12" s="712">
        <v>10.0</v>
      </c>
      <c r="K12" s="712">
        <v>13.0</v>
      </c>
      <c r="L12" s="712">
        <v>15.0</v>
      </c>
      <c r="M12" s="712">
        <v>10.0</v>
      </c>
      <c r="N12" s="712">
        <v>3.0</v>
      </c>
      <c r="O12" s="280"/>
      <c r="P12" s="1167">
        <f t="shared" si="1"/>
        <v>58</v>
      </c>
      <c r="R12" s="163">
        <v>6400.0</v>
      </c>
      <c r="S12" s="163">
        <v>6300.0</v>
      </c>
      <c r="T12" s="163">
        <v>4500.0</v>
      </c>
      <c r="U12" s="167">
        <v>2900.0</v>
      </c>
      <c r="X12" s="370"/>
      <c r="Y12" s="370"/>
      <c r="Z12" s="370"/>
      <c r="AB12" s="370"/>
      <c r="AC12" s="370"/>
    </row>
    <row r="13" hidden="1">
      <c r="A13" s="1172">
        <v>0.2</v>
      </c>
      <c r="B13" s="288" t="s">
        <v>4848</v>
      </c>
      <c r="C13" s="1163" t="s">
        <v>4854</v>
      </c>
      <c r="D13" s="712">
        <v>0.0</v>
      </c>
      <c r="E13" s="1168">
        <v>9.0</v>
      </c>
      <c r="F13" s="1169">
        <v>1.0</v>
      </c>
      <c r="G13" s="1170">
        <v>10.0</v>
      </c>
      <c r="H13" s="712">
        <v>6.0</v>
      </c>
      <c r="I13" s="712">
        <v>0.0</v>
      </c>
      <c r="J13" s="712">
        <v>2.0</v>
      </c>
      <c r="K13" s="712">
        <v>8.0</v>
      </c>
      <c r="L13" s="712">
        <v>10.0</v>
      </c>
      <c r="M13" s="712">
        <v>0.0</v>
      </c>
      <c r="N13" s="712">
        <v>0.0</v>
      </c>
      <c r="O13" s="280"/>
      <c r="P13" s="1167">
        <f t="shared" si="1"/>
        <v>26</v>
      </c>
      <c r="R13" s="163">
        <v>6400.0</v>
      </c>
      <c r="S13" s="163">
        <v>6300.0</v>
      </c>
      <c r="T13" s="163">
        <v>4500.0</v>
      </c>
      <c r="U13" s="167">
        <v>2900.0</v>
      </c>
      <c r="X13" s="370"/>
      <c r="Y13" s="370"/>
      <c r="Z13" s="370"/>
      <c r="AB13" s="370"/>
      <c r="AC13" s="370"/>
    </row>
    <row r="14" hidden="1">
      <c r="A14" s="288"/>
      <c r="B14" s="288"/>
      <c r="C14" s="1163"/>
      <c r="D14" s="712"/>
      <c r="E14" s="712"/>
      <c r="F14" s="712"/>
      <c r="G14" s="712"/>
      <c r="H14" s="712"/>
      <c r="I14" s="712"/>
      <c r="J14" s="712"/>
      <c r="K14" s="1165"/>
      <c r="L14" s="1164"/>
      <c r="M14" s="712"/>
      <c r="N14" s="712"/>
      <c r="O14" s="280"/>
      <c r="P14" s="1167">
        <f t="shared" si="1"/>
        <v>0</v>
      </c>
      <c r="R14" s="163"/>
      <c r="S14" s="163"/>
      <c r="T14" s="163"/>
      <c r="U14" s="126"/>
      <c r="X14" s="370"/>
      <c r="Y14" s="370"/>
      <c r="Z14" s="370"/>
      <c r="AB14" s="370"/>
      <c r="AC14" s="370"/>
    </row>
    <row r="15" hidden="1">
      <c r="A15" s="288" t="s">
        <v>4855</v>
      </c>
      <c r="B15" s="288" t="s">
        <v>4848</v>
      </c>
      <c r="C15" s="1163" t="s">
        <v>4856</v>
      </c>
      <c r="D15" s="712">
        <v>0.0</v>
      </c>
      <c r="E15" s="1168">
        <v>4.0</v>
      </c>
      <c r="F15" s="1169">
        <v>1.0</v>
      </c>
      <c r="G15" s="1170">
        <v>13.0</v>
      </c>
      <c r="H15" s="712">
        <v>0.0</v>
      </c>
      <c r="I15" s="712">
        <v>5.0</v>
      </c>
      <c r="J15" s="712"/>
      <c r="K15" s="712">
        <v>6.0</v>
      </c>
      <c r="L15" s="1164"/>
      <c r="M15" s="712">
        <v>0.0</v>
      </c>
      <c r="N15" s="712">
        <v>0.0</v>
      </c>
      <c r="O15" s="280"/>
      <c r="P15" s="1167">
        <f t="shared" si="1"/>
        <v>11</v>
      </c>
      <c r="R15" s="163">
        <v>6100.0</v>
      </c>
      <c r="S15" s="163">
        <v>8400.0</v>
      </c>
      <c r="T15" s="163">
        <v>6500.0</v>
      </c>
      <c r="U15" s="167">
        <v>4500.0</v>
      </c>
      <c r="X15" s="370"/>
      <c r="Y15" s="370"/>
      <c r="Z15" s="370"/>
      <c r="AB15" s="370"/>
      <c r="AC15" s="370"/>
    </row>
    <row r="16" hidden="1">
      <c r="A16" s="288" t="s">
        <v>4857</v>
      </c>
      <c r="B16" s="288" t="s">
        <v>4848</v>
      </c>
      <c r="C16" s="1163" t="s">
        <v>4856</v>
      </c>
      <c r="D16" s="712">
        <v>0.0</v>
      </c>
      <c r="E16" s="1168">
        <v>4.0</v>
      </c>
      <c r="F16" s="1169">
        <v>1.0</v>
      </c>
      <c r="G16" s="1170">
        <v>16.0</v>
      </c>
      <c r="H16" s="712">
        <v>0.0</v>
      </c>
      <c r="I16" s="712">
        <v>5.0</v>
      </c>
      <c r="J16" s="712">
        <v>2.0</v>
      </c>
      <c r="K16" s="712">
        <v>7.0</v>
      </c>
      <c r="L16" s="1164"/>
      <c r="M16" s="712">
        <v>0.0</v>
      </c>
      <c r="N16" s="712">
        <v>0.0</v>
      </c>
      <c r="O16" s="280"/>
      <c r="P16" s="1167">
        <f t="shared" si="1"/>
        <v>14</v>
      </c>
      <c r="R16" s="163">
        <v>6100.0</v>
      </c>
      <c r="S16" s="163">
        <v>8400.0</v>
      </c>
      <c r="T16" s="163">
        <v>6500.0</v>
      </c>
      <c r="U16" s="167">
        <v>4500.0</v>
      </c>
      <c r="X16" s="370"/>
      <c r="Y16" s="370"/>
      <c r="Z16" s="370"/>
      <c r="AB16" s="370"/>
      <c r="AC16" s="370"/>
    </row>
    <row r="17" hidden="1">
      <c r="A17" s="288" t="s">
        <v>4858</v>
      </c>
      <c r="B17" s="288" t="s">
        <v>4848</v>
      </c>
      <c r="C17" s="1163" t="s">
        <v>4856</v>
      </c>
      <c r="D17" s="712">
        <v>0.0</v>
      </c>
      <c r="E17" s="1168">
        <v>4.0</v>
      </c>
      <c r="F17" s="1169">
        <v>1.0</v>
      </c>
      <c r="G17" s="1170">
        <v>12.0</v>
      </c>
      <c r="H17" s="712">
        <v>0.0</v>
      </c>
      <c r="I17" s="712">
        <v>5.0</v>
      </c>
      <c r="J17" s="712">
        <v>4.0</v>
      </c>
      <c r="K17" s="712">
        <v>15.0</v>
      </c>
      <c r="L17" s="1164"/>
      <c r="M17" s="712">
        <v>0.0</v>
      </c>
      <c r="N17" s="712">
        <v>0.0</v>
      </c>
      <c r="O17" s="280"/>
      <c r="P17" s="1167">
        <f t="shared" si="1"/>
        <v>24</v>
      </c>
      <c r="R17" s="163">
        <v>6100.0</v>
      </c>
      <c r="S17" s="163">
        <v>8400.0</v>
      </c>
      <c r="T17" s="163">
        <v>6500.0</v>
      </c>
      <c r="U17" s="167">
        <v>4500.0</v>
      </c>
      <c r="X17" s="370"/>
      <c r="Y17" s="370"/>
      <c r="Z17" s="370"/>
      <c r="AB17" s="370"/>
      <c r="AC17" s="370"/>
    </row>
    <row r="18">
      <c r="A18" s="288" t="s">
        <v>4859</v>
      </c>
      <c r="B18" s="288" t="s">
        <v>4848</v>
      </c>
      <c r="C18" s="1163" t="s">
        <v>4856</v>
      </c>
      <c r="D18" s="712">
        <v>0.0</v>
      </c>
      <c r="E18" s="1168">
        <v>4.0</v>
      </c>
      <c r="F18" s="1169">
        <v>1.0</v>
      </c>
      <c r="G18" s="1170">
        <v>7.0</v>
      </c>
      <c r="H18" s="712">
        <v>0.0</v>
      </c>
      <c r="I18" s="712">
        <v>0.0</v>
      </c>
      <c r="J18" s="712">
        <v>0.0</v>
      </c>
      <c r="K18" s="712">
        <v>13.0</v>
      </c>
      <c r="L18" s="1164"/>
      <c r="M18" s="712">
        <v>0.0</v>
      </c>
      <c r="N18" s="712">
        <v>3.0</v>
      </c>
      <c r="O18" s="280"/>
      <c r="P18" s="1167">
        <f t="shared" si="1"/>
        <v>13</v>
      </c>
      <c r="R18" s="163">
        <v>6100.0</v>
      </c>
      <c r="S18" s="163">
        <v>8400.0</v>
      </c>
      <c r="T18" s="163">
        <v>6500.0</v>
      </c>
      <c r="U18" s="167">
        <v>4500.0</v>
      </c>
      <c r="X18" s="370"/>
      <c r="Y18" s="370"/>
      <c r="Z18" s="370"/>
      <c r="AB18" s="370"/>
      <c r="AC18" s="370"/>
    </row>
    <row r="19" hidden="1">
      <c r="A19" s="287"/>
      <c r="B19" s="287"/>
      <c r="C19" s="770"/>
      <c r="D19" s="1165"/>
      <c r="E19" s="1165"/>
      <c r="F19" s="1165"/>
      <c r="G19" s="1165"/>
      <c r="H19" s="1165"/>
      <c r="I19" s="1165"/>
      <c r="J19" s="1165"/>
      <c r="K19" s="1165"/>
      <c r="L19" s="1164"/>
      <c r="M19" s="1165"/>
      <c r="N19" s="1165"/>
      <c r="O19" s="280"/>
      <c r="P19" s="1167">
        <f t="shared" si="1"/>
        <v>0</v>
      </c>
      <c r="R19" s="163"/>
      <c r="S19" s="163"/>
      <c r="T19" s="163"/>
      <c r="U19" s="126"/>
      <c r="X19" s="370"/>
      <c r="Y19" s="370"/>
      <c r="Z19" s="370"/>
      <c r="AB19" s="370"/>
      <c r="AC19" s="370"/>
    </row>
    <row r="20" hidden="1">
      <c r="A20" s="288" t="s">
        <v>4855</v>
      </c>
      <c r="B20" s="288" t="s">
        <v>4848</v>
      </c>
      <c r="C20" s="1163" t="s">
        <v>4860</v>
      </c>
      <c r="D20" s="712">
        <v>6.0</v>
      </c>
      <c r="E20" s="1168">
        <v>5.0</v>
      </c>
      <c r="F20" s="1169">
        <v>0.0</v>
      </c>
      <c r="G20" s="1170">
        <v>11.0</v>
      </c>
      <c r="H20" s="712">
        <v>0.0</v>
      </c>
      <c r="I20" s="712">
        <v>0.0</v>
      </c>
      <c r="J20" s="712">
        <v>0.0</v>
      </c>
      <c r="K20" s="712">
        <v>2.0</v>
      </c>
      <c r="L20" s="1164"/>
      <c r="M20" s="712">
        <v>6.0</v>
      </c>
      <c r="N20" s="712">
        <v>0.0</v>
      </c>
      <c r="O20" s="280"/>
      <c r="P20" s="1167">
        <f t="shared" si="1"/>
        <v>8</v>
      </c>
      <c r="R20" s="163">
        <v>6100.0</v>
      </c>
      <c r="S20" s="163">
        <v>8400.0</v>
      </c>
      <c r="T20" s="163">
        <v>6500.0</v>
      </c>
      <c r="U20" s="167">
        <v>4500.0</v>
      </c>
      <c r="X20" s="370"/>
      <c r="Y20" s="370"/>
      <c r="Z20" s="370"/>
      <c r="AB20" s="370"/>
      <c r="AC20" s="370"/>
    </row>
    <row r="21" hidden="1">
      <c r="A21" s="288" t="s">
        <v>4857</v>
      </c>
      <c r="B21" s="288" t="s">
        <v>4848</v>
      </c>
      <c r="C21" s="1163" t="s">
        <v>4860</v>
      </c>
      <c r="D21" s="712">
        <v>0.0</v>
      </c>
      <c r="E21" s="1168">
        <v>5.0</v>
      </c>
      <c r="F21" s="1169">
        <v>0.0</v>
      </c>
      <c r="G21" s="1170">
        <v>14.0</v>
      </c>
      <c r="H21" s="712">
        <v>0.0</v>
      </c>
      <c r="I21" s="712">
        <v>5.0</v>
      </c>
      <c r="J21" s="712">
        <v>2.0</v>
      </c>
      <c r="K21" s="712">
        <v>8.0</v>
      </c>
      <c r="L21" s="1164"/>
      <c r="M21" s="712">
        <v>0.0</v>
      </c>
      <c r="N21" s="712">
        <v>0.0</v>
      </c>
      <c r="O21" s="280"/>
      <c r="P21" s="1167">
        <f t="shared" si="1"/>
        <v>15</v>
      </c>
      <c r="R21" s="163">
        <v>6100.0</v>
      </c>
      <c r="S21" s="163">
        <v>8400.0</v>
      </c>
      <c r="T21" s="163">
        <v>6500.0</v>
      </c>
      <c r="U21" s="167">
        <v>4500.0</v>
      </c>
      <c r="X21" s="370"/>
      <c r="Y21" s="370"/>
      <c r="Z21" s="370"/>
      <c r="AB21" s="370"/>
      <c r="AC21" s="370"/>
    </row>
    <row r="22" hidden="1">
      <c r="A22" s="288" t="s">
        <v>4858</v>
      </c>
      <c r="B22" s="288" t="s">
        <v>4848</v>
      </c>
      <c r="C22" s="1163" t="s">
        <v>4860</v>
      </c>
      <c r="D22" s="712">
        <v>0.0</v>
      </c>
      <c r="E22" s="1168">
        <v>4.0</v>
      </c>
      <c r="F22" s="1169">
        <v>1.0</v>
      </c>
      <c r="G22" s="1170">
        <v>11.0</v>
      </c>
      <c r="H22" s="712">
        <v>0.0</v>
      </c>
      <c r="I22" s="712">
        <v>0.0</v>
      </c>
      <c r="J22" s="712">
        <v>2.0</v>
      </c>
      <c r="K22" s="712">
        <v>14.0</v>
      </c>
      <c r="L22" s="1164"/>
      <c r="M22" s="712">
        <v>0.0</v>
      </c>
      <c r="N22" s="712">
        <v>0.0</v>
      </c>
      <c r="O22" s="280"/>
      <c r="P22" s="1167">
        <f t="shared" si="1"/>
        <v>16</v>
      </c>
      <c r="R22" s="163">
        <v>6100.0</v>
      </c>
      <c r="S22" s="163">
        <v>8400.0</v>
      </c>
      <c r="T22" s="163">
        <v>6500.0</v>
      </c>
      <c r="U22" s="167">
        <v>4500.0</v>
      </c>
      <c r="X22" s="370"/>
      <c r="Y22" s="370"/>
      <c r="Z22" s="370"/>
      <c r="AB22" s="370"/>
      <c r="AC22" s="370"/>
    </row>
    <row r="23" hidden="1">
      <c r="A23" s="288" t="s">
        <v>4859</v>
      </c>
      <c r="B23" s="288" t="s">
        <v>4848</v>
      </c>
      <c r="C23" s="1163" t="s">
        <v>4860</v>
      </c>
      <c r="D23" s="712">
        <v>0.0</v>
      </c>
      <c r="E23" s="1168">
        <v>4.0</v>
      </c>
      <c r="F23" s="1169">
        <v>1.0</v>
      </c>
      <c r="G23" s="1170">
        <v>11.0</v>
      </c>
      <c r="H23" s="712">
        <v>0.0</v>
      </c>
      <c r="I23" s="712">
        <v>0.0</v>
      </c>
      <c r="J23" s="712">
        <v>3.0</v>
      </c>
      <c r="K23" s="712">
        <v>10.0</v>
      </c>
      <c r="L23" s="1164"/>
      <c r="M23" s="712">
        <v>0.0</v>
      </c>
      <c r="N23" s="712">
        <v>0.0</v>
      </c>
      <c r="O23" s="280"/>
      <c r="P23" s="1167">
        <f t="shared" si="1"/>
        <v>13</v>
      </c>
      <c r="R23" s="163">
        <v>6100.0</v>
      </c>
      <c r="S23" s="163">
        <v>8400.0</v>
      </c>
      <c r="T23" s="163">
        <v>6500.0</v>
      </c>
      <c r="U23" s="167">
        <v>4500.0</v>
      </c>
      <c r="X23" s="370"/>
      <c r="Y23" s="370"/>
      <c r="Z23" s="370"/>
      <c r="AB23" s="370"/>
      <c r="AC23" s="370"/>
    </row>
    <row r="24" hidden="1">
      <c r="A24" s="288"/>
      <c r="B24" s="288"/>
      <c r="C24" s="1163"/>
      <c r="D24" s="712"/>
      <c r="E24" s="712"/>
      <c r="F24" s="712"/>
      <c r="G24" s="712"/>
      <c r="H24" s="712"/>
      <c r="I24" s="712"/>
      <c r="J24" s="712"/>
      <c r="K24" s="1165"/>
      <c r="L24" s="1164"/>
      <c r="M24" s="712"/>
      <c r="N24" s="712"/>
      <c r="O24" s="280"/>
      <c r="P24" s="1167">
        <f t="shared" si="1"/>
        <v>0</v>
      </c>
      <c r="R24" s="163"/>
      <c r="S24" s="163"/>
      <c r="T24" s="163"/>
      <c r="U24" s="126"/>
      <c r="X24" s="370"/>
      <c r="Y24" s="370"/>
      <c r="Z24" s="370"/>
      <c r="AB24" s="370"/>
      <c r="AC24" s="370"/>
    </row>
    <row r="25">
      <c r="A25" s="288">
        <v>0.12</v>
      </c>
      <c r="B25" s="288" t="s">
        <v>4861</v>
      </c>
      <c r="C25" s="1163" t="s">
        <v>4862</v>
      </c>
      <c r="D25" s="712">
        <v>0.0</v>
      </c>
      <c r="E25" s="1168">
        <v>8.0</v>
      </c>
      <c r="F25" s="1169">
        <v>0.0</v>
      </c>
      <c r="G25" s="1170">
        <v>5.0</v>
      </c>
      <c r="H25" s="712">
        <v>3.0</v>
      </c>
      <c r="I25" s="712">
        <v>3.0</v>
      </c>
      <c r="J25" s="712">
        <v>0.0</v>
      </c>
      <c r="K25" s="712">
        <v>7.0</v>
      </c>
      <c r="L25" s="1164"/>
      <c r="M25" s="712">
        <v>0.0</v>
      </c>
      <c r="N25" s="712">
        <v>5.0</v>
      </c>
      <c r="O25" s="280"/>
      <c r="P25" s="1167">
        <f t="shared" si="1"/>
        <v>13</v>
      </c>
      <c r="R25" s="163">
        <v>4200.0</v>
      </c>
      <c r="S25" s="163">
        <v>3885.0</v>
      </c>
      <c r="T25" s="163">
        <v>4500.0</v>
      </c>
      <c r="U25" s="167">
        <v>2350.0</v>
      </c>
      <c r="X25" s="370"/>
      <c r="Y25" s="370"/>
      <c r="Z25" s="370"/>
      <c r="AB25" s="370"/>
      <c r="AC25" s="370"/>
    </row>
    <row r="26">
      <c r="A26" s="288">
        <v>0.14</v>
      </c>
      <c r="B26" s="288" t="s">
        <v>4861</v>
      </c>
      <c r="C26" s="1163" t="s">
        <v>4862</v>
      </c>
      <c r="D26" s="712">
        <v>0.0</v>
      </c>
      <c r="E26" s="1168">
        <v>5.0</v>
      </c>
      <c r="F26" s="1169">
        <v>3.0</v>
      </c>
      <c r="G26" s="1170">
        <v>3.0</v>
      </c>
      <c r="H26" s="712">
        <v>3.0</v>
      </c>
      <c r="I26" s="712">
        <v>3.0</v>
      </c>
      <c r="J26" s="712">
        <v>0.0</v>
      </c>
      <c r="K26" s="712">
        <v>5.0</v>
      </c>
      <c r="L26" s="1164"/>
      <c r="M26" s="712">
        <v>0.0</v>
      </c>
      <c r="N26" s="712">
        <v>7.0</v>
      </c>
      <c r="O26" s="280"/>
      <c r="P26" s="1167">
        <f t="shared" si="1"/>
        <v>11</v>
      </c>
      <c r="R26" s="163">
        <v>4200.0</v>
      </c>
      <c r="S26" s="163">
        <v>3885.0</v>
      </c>
      <c r="T26" s="163">
        <v>4500.0</v>
      </c>
      <c r="U26" s="167">
        <v>2350.0</v>
      </c>
      <c r="X26" s="370"/>
      <c r="Y26" s="370"/>
      <c r="Z26" s="370"/>
      <c r="AB26" s="370"/>
      <c r="AC26" s="370"/>
    </row>
    <row r="27">
      <c r="A27" s="288">
        <v>0.16</v>
      </c>
      <c r="B27" s="288" t="s">
        <v>4861</v>
      </c>
      <c r="C27" s="1163" t="s">
        <v>4862</v>
      </c>
      <c r="D27" s="712">
        <v>0.0</v>
      </c>
      <c r="E27" s="1168">
        <v>4.0</v>
      </c>
      <c r="F27" s="1169">
        <v>4.0</v>
      </c>
      <c r="G27" s="1170">
        <v>1.0</v>
      </c>
      <c r="H27" s="712">
        <v>3.0</v>
      </c>
      <c r="I27" s="712">
        <v>3.0</v>
      </c>
      <c r="J27" s="712">
        <v>2.0</v>
      </c>
      <c r="K27" s="712">
        <v>7.0</v>
      </c>
      <c r="L27" s="1164"/>
      <c r="M27" s="712">
        <v>0.0</v>
      </c>
      <c r="N27" s="712">
        <v>9.0</v>
      </c>
      <c r="O27" s="280"/>
      <c r="P27" s="1167">
        <f t="shared" si="1"/>
        <v>15</v>
      </c>
      <c r="R27" s="163">
        <v>4200.0</v>
      </c>
      <c r="S27" s="163">
        <v>3885.0</v>
      </c>
      <c r="T27" s="163">
        <v>4500.0</v>
      </c>
      <c r="U27" s="167">
        <v>2350.0</v>
      </c>
      <c r="X27" s="370"/>
      <c r="Y27" s="370"/>
      <c r="Z27" s="370"/>
      <c r="AB27" s="370"/>
      <c r="AC27" s="370"/>
    </row>
    <row r="28">
      <c r="A28" s="288">
        <v>0.18</v>
      </c>
      <c r="B28" s="288" t="s">
        <v>4861</v>
      </c>
      <c r="C28" s="1163" t="s">
        <v>4862</v>
      </c>
      <c r="D28" s="712">
        <v>2.0</v>
      </c>
      <c r="E28" s="1168">
        <v>7.0</v>
      </c>
      <c r="F28" s="1169">
        <v>1.0</v>
      </c>
      <c r="G28" s="1170">
        <v>3.0</v>
      </c>
      <c r="H28" s="712">
        <v>0.0</v>
      </c>
      <c r="I28" s="712">
        <v>2.0</v>
      </c>
      <c r="J28" s="712">
        <v>1.0</v>
      </c>
      <c r="K28" s="712">
        <v>7.0</v>
      </c>
      <c r="L28" s="1164"/>
      <c r="M28" s="712">
        <v>2.0</v>
      </c>
      <c r="N28" s="712">
        <v>2.0</v>
      </c>
      <c r="O28" s="280"/>
      <c r="P28" s="1167">
        <f t="shared" si="1"/>
        <v>12</v>
      </c>
      <c r="R28" s="163">
        <v>4200.0</v>
      </c>
      <c r="S28" s="163">
        <v>3885.0</v>
      </c>
      <c r="T28" s="163">
        <v>4500.0</v>
      </c>
      <c r="U28" s="167">
        <v>2350.0</v>
      </c>
      <c r="X28" s="370"/>
      <c r="Y28" s="370"/>
      <c r="Z28" s="370"/>
      <c r="AB28" s="370"/>
      <c r="AC28" s="370"/>
    </row>
    <row r="29" hidden="1">
      <c r="A29" s="1172">
        <v>0.2</v>
      </c>
      <c r="B29" s="288" t="s">
        <v>4861</v>
      </c>
      <c r="C29" s="1163" t="s">
        <v>4862</v>
      </c>
      <c r="D29" s="712">
        <v>0.0</v>
      </c>
      <c r="E29" s="1168">
        <v>7.0</v>
      </c>
      <c r="F29" s="1169">
        <v>1.0</v>
      </c>
      <c r="G29" s="1170">
        <v>5.0</v>
      </c>
      <c r="H29" s="712">
        <v>0.0</v>
      </c>
      <c r="I29" s="712">
        <v>0.0</v>
      </c>
      <c r="J29" s="712">
        <v>1.0</v>
      </c>
      <c r="K29" s="712">
        <v>7.0</v>
      </c>
      <c r="L29" s="1164"/>
      <c r="M29" s="712">
        <v>0.0</v>
      </c>
      <c r="N29" s="712">
        <v>0.0</v>
      </c>
      <c r="O29" s="280"/>
      <c r="P29" s="1167">
        <f t="shared" si="1"/>
        <v>8</v>
      </c>
      <c r="R29" s="163">
        <v>4200.0</v>
      </c>
      <c r="S29" s="163">
        <v>3885.0</v>
      </c>
      <c r="T29" s="163">
        <v>4500.0</v>
      </c>
      <c r="U29" s="167">
        <v>2350.0</v>
      </c>
      <c r="X29" s="370"/>
      <c r="Y29" s="370"/>
      <c r="Z29" s="370"/>
      <c r="AB29" s="370"/>
      <c r="AC29" s="370"/>
    </row>
    <row r="30" hidden="1">
      <c r="A30" s="287"/>
      <c r="B30" s="287"/>
      <c r="C30" s="770"/>
      <c r="D30" s="1165"/>
      <c r="E30" s="1165"/>
      <c r="F30" s="1165"/>
      <c r="G30" s="1165"/>
      <c r="H30" s="1165"/>
      <c r="I30" s="1165"/>
      <c r="J30" s="1165"/>
      <c r="K30" s="1165"/>
      <c r="L30" s="1164"/>
      <c r="M30" s="1165"/>
      <c r="N30" s="1165"/>
      <c r="O30" s="280"/>
      <c r="P30" s="1167">
        <f t="shared" si="1"/>
        <v>0</v>
      </c>
      <c r="R30" s="163"/>
      <c r="S30" s="163"/>
      <c r="T30" s="163"/>
      <c r="U30" s="126"/>
      <c r="X30" s="370"/>
      <c r="Y30" s="370"/>
      <c r="Z30" s="370"/>
      <c r="AB30" s="370"/>
      <c r="AC30" s="370"/>
    </row>
    <row r="31">
      <c r="A31" s="288">
        <v>0.12</v>
      </c>
      <c r="B31" s="288" t="s">
        <v>4861</v>
      </c>
      <c r="C31" s="1163" t="s">
        <v>4854</v>
      </c>
      <c r="D31" s="712">
        <v>4.0</v>
      </c>
      <c r="E31" s="1168">
        <v>4.0</v>
      </c>
      <c r="F31" s="1169">
        <v>4.0</v>
      </c>
      <c r="G31" s="1170">
        <v>6.0</v>
      </c>
      <c r="H31" s="712">
        <v>3.0</v>
      </c>
      <c r="I31" s="712">
        <v>3.0</v>
      </c>
      <c r="J31" s="712">
        <v>0.0</v>
      </c>
      <c r="K31" s="712">
        <v>4.0</v>
      </c>
      <c r="L31" s="1164"/>
      <c r="M31" s="712">
        <v>4.0</v>
      </c>
      <c r="N31" s="712">
        <v>4.0</v>
      </c>
      <c r="O31" s="280"/>
      <c r="P31" s="1167">
        <f t="shared" si="1"/>
        <v>14</v>
      </c>
      <c r="R31" s="163">
        <v>4200.0</v>
      </c>
      <c r="S31" s="163">
        <v>3885.0</v>
      </c>
      <c r="T31" s="163">
        <v>4500.0</v>
      </c>
      <c r="U31" s="167">
        <v>2350.0</v>
      </c>
      <c r="X31" s="370"/>
      <c r="Y31" s="370"/>
      <c r="Z31" s="370"/>
      <c r="AB31" s="370"/>
      <c r="AC31" s="370"/>
    </row>
    <row r="32">
      <c r="A32" s="288">
        <v>0.14</v>
      </c>
      <c r="B32" s="288" t="s">
        <v>4861</v>
      </c>
      <c r="C32" s="1163" t="s">
        <v>4854</v>
      </c>
      <c r="D32" s="712">
        <v>0.0</v>
      </c>
      <c r="E32" s="1168">
        <v>5.0</v>
      </c>
      <c r="F32" s="1169">
        <v>3.0</v>
      </c>
      <c r="G32" s="1170">
        <v>8.0</v>
      </c>
      <c r="H32" s="712">
        <v>3.0</v>
      </c>
      <c r="I32" s="712">
        <v>3.0</v>
      </c>
      <c r="J32" s="712">
        <v>0.0</v>
      </c>
      <c r="K32" s="712">
        <v>0.0</v>
      </c>
      <c r="L32" s="1164"/>
      <c r="M32" s="712">
        <v>0.0</v>
      </c>
      <c r="N32" s="712">
        <v>2.0</v>
      </c>
      <c r="O32" s="280"/>
      <c r="P32" s="1167">
        <f t="shared" si="1"/>
        <v>6</v>
      </c>
      <c r="R32" s="163">
        <v>4200.0</v>
      </c>
      <c r="S32" s="163">
        <v>3885.0</v>
      </c>
      <c r="T32" s="163">
        <v>4500.0</v>
      </c>
      <c r="U32" s="167">
        <v>2350.0</v>
      </c>
      <c r="X32" s="370"/>
      <c r="Y32" s="370"/>
      <c r="Z32" s="370"/>
      <c r="AB32" s="370"/>
      <c r="AC32" s="370"/>
    </row>
    <row r="33">
      <c r="A33" s="288">
        <v>0.16</v>
      </c>
      <c r="B33" s="288" t="s">
        <v>4861</v>
      </c>
      <c r="C33" s="1163" t="s">
        <v>4854</v>
      </c>
      <c r="D33" s="712">
        <v>0.0</v>
      </c>
      <c r="E33" s="1168">
        <v>4.0</v>
      </c>
      <c r="F33" s="1169">
        <v>4.0</v>
      </c>
      <c r="G33" s="1170">
        <v>5.0</v>
      </c>
      <c r="H33" s="712">
        <v>3.0</v>
      </c>
      <c r="I33" s="712">
        <v>3.0</v>
      </c>
      <c r="J33" s="712">
        <v>0.0</v>
      </c>
      <c r="K33" s="712">
        <v>5.0</v>
      </c>
      <c r="L33" s="1164"/>
      <c r="M33" s="712">
        <v>0.0</v>
      </c>
      <c r="N33" s="712">
        <v>5.0</v>
      </c>
      <c r="O33" s="280"/>
      <c r="P33" s="1167">
        <f t="shared" si="1"/>
        <v>11</v>
      </c>
      <c r="R33" s="163">
        <v>4200.0</v>
      </c>
      <c r="S33" s="163">
        <v>3885.0</v>
      </c>
      <c r="T33" s="163">
        <v>4500.0</v>
      </c>
      <c r="U33" s="167">
        <v>2350.0</v>
      </c>
      <c r="X33" s="370"/>
      <c r="Y33" s="370"/>
      <c r="Z33" s="370"/>
      <c r="AB33" s="370"/>
      <c r="AC33" s="370"/>
    </row>
    <row r="34">
      <c r="A34" s="288">
        <v>0.18</v>
      </c>
      <c r="B34" s="288" t="s">
        <v>4861</v>
      </c>
      <c r="C34" s="1163" t="s">
        <v>4854</v>
      </c>
      <c r="D34" s="712">
        <v>0.0</v>
      </c>
      <c r="E34" s="1168">
        <v>7.0</v>
      </c>
      <c r="F34" s="1169">
        <v>1.0</v>
      </c>
      <c r="G34" s="1170">
        <v>0.0</v>
      </c>
      <c r="H34" s="712">
        <v>1.0</v>
      </c>
      <c r="I34" s="712">
        <v>2.0</v>
      </c>
      <c r="J34" s="712">
        <v>1.0</v>
      </c>
      <c r="K34" s="712">
        <v>5.0</v>
      </c>
      <c r="L34" s="1164"/>
      <c r="M34" s="712">
        <v>0.0</v>
      </c>
      <c r="N34" s="712">
        <v>5.0</v>
      </c>
      <c r="O34" s="280"/>
      <c r="P34" s="1167">
        <f t="shared" si="1"/>
        <v>9</v>
      </c>
      <c r="R34" s="163">
        <v>4200.0</v>
      </c>
      <c r="S34" s="163">
        <v>3885.0</v>
      </c>
      <c r="T34" s="163">
        <v>4500.0</v>
      </c>
      <c r="U34" s="167">
        <v>2350.0</v>
      </c>
      <c r="X34" s="370"/>
      <c r="Y34" s="370"/>
      <c r="Z34" s="370"/>
      <c r="AB34" s="370"/>
      <c r="AC34" s="370"/>
    </row>
    <row r="35" hidden="1">
      <c r="A35" s="1172">
        <v>0.2</v>
      </c>
      <c r="B35" s="288" t="s">
        <v>4861</v>
      </c>
      <c r="C35" s="1163" t="s">
        <v>4854</v>
      </c>
      <c r="D35" s="712">
        <v>3.0</v>
      </c>
      <c r="E35" s="1168">
        <v>7.0</v>
      </c>
      <c r="F35" s="1169">
        <v>1.0</v>
      </c>
      <c r="G35" s="1170">
        <v>7.0</v>
      </c>
      <c r="H35" s="712">
        <v>0.0</v>
      </c>
      <c r="I35" s="712">
        <v>0.0</v>
      </c>
      <c r="J35" s="712">
        <v>1.0</v>
      </c>
      <c r="K35" s="712">
        <v>4.0</v>
      </c>
      <c r="L35" s="1164"/>
      <c r="M35" s="712">
        <v>3.0</v>
      </c>
      <c r="N35" s="712">
        <v>0.0</v>
      </c>
      <c r="O35" s="280"/>
      <c r="P35" s="1167">
        <f t="shared" si="1"/>
        <v>8</v>
      </c>
      <c r="R35" s="163">
        <v>4200.0</v>
      </c>
      <c r="S35" s="163">
        <v>3885.0</v>
      </c>
      <c r="T35" s="163">
        <v>4500.0</v>
      </c>
      <c r="U35" s="167">
        <v>2350.0</v>
      </c>
      <c r="X35" s="370"/>
      <c r="Y35" s="370"/>
      <c r="Z35" s="370"/>
      <c r="AB35" s="370"/>
      <c r="AC35" s="370"/>
    </row>
    <row r="36" hidden="1">
      <c r="A36" s="287"/>
      <c r="B36" s="287"/>
      <c r="C36" s="770"/>
      <c r="D36" s="1165"/>
      <c r="E36" s="1165"/>
      <c r="F36" s="712"/>
      <c r="G36" s="1165"/>
      <c r="H36" s="1165"/>
      <c r="I36" s="1165"/>
      <c r="J36" s="1165"/>
      <c r="K36" s="1165"/>
      <c r="L36" s="1164"/>
      <c r="M36" s="1165"/>
      <c r="N36" s="1165"/>
      <c r="O36" s="280"/>
      <c r="P36" s="1167">
        <f t="shared" si="1"/>
        <v>0</v>
      </c>
      <c r="R36" s="163"/>
      <c r="S36" s="163"/>
      <c r="T36" s="589"/>
      <c r="U36" s="126"/>
      <c r="X36" s="370"/>
      <c r="Y36" s="370"/>
      <c r="Z36" s="370"/>
      <c r="AB36" s="370"/>
      <c r="AC36" s="370"/>
    </row>
    <row r="37">
      <c r="A37" s="288" t="s">
        <v>4855</v>
      </c>
      <c r="B37" s="288" t="s">
        <v>4863</v>
      </c>
      <c r="C37" s="1163" t="s">
        <v>4864</v>
      </c>
      <c r="D37" s="712">
        <v>0.0</v>
      </c>
      <c r="E37" s="1168">
        <v>5.0</v>
      </c>
      <c r="F37" s="1169">
        <v>0.0</v>
      </c>
      <c r="G37" s="1170">
        <v>9.0</v>
      </c>
      <c r="H37" s="712">
        <v>1.0</v>
      </c>
      <c r="I37" s="712">
        <v>2.0</v>
      </c>
      <c r="J37" s="712">
        <v>0.0</v>
      </c>
      <c r="K37" s="712">
        <v>5.0</v>
      </c>
      <c r="L37" s="1164"/>
      <c r="M37" s="712">
        <v>0.0</v>
      </c>
      <c r="N37" s="712">
        <v>1.0</v>
      </c>
      <c r="O37" s="280"/>
      <c r="P37" s="1167">
        <f t="shared" si="1"/>
        <v>8</v>
      </c>
      <c r="R37" s="163">
        <v>5500.0</v>
      </c>
      <c r="S37" s="163">
        <v>5250.0</v>
      </c>
      <c r="T37" s="163">
        <v>8100.0</v>
      </c>
      <c r="U37" s="167">
        <v>3500.0</v>
      </c>
      <c r="X37" s="370"/>
      <c r="Y37" s="370"/>
      <c r="Z37" s="370"/>
      <c r="AB37" s="370"/>
      <c r="AC37" s="370"/>
    </row>
    <row r="38">
      <c r="A38" s="288" t="s">
        <v>4857</v>
      </c>
      <c r="B38" s="288" t="s">
        <v>4863</v>
      </c>
      <c r="C38" s="1163" t="s">
        <v>4864</v>
      </c>
      <c r="D38" s="712">
        <v>0.0</v>
      </c>
      <c r="E38" s="1168">
        <v>5.0</v>
      </c>
      <c r="F38" s="1169">
        <v>0.0</v>
      </c>
      <c r="G38" s="1170">
        <v>8.0</v>
      </c>
      <c r="H38" s="712">
        <v>2.0</v>
      </c>
      <c r="I38" s="712">
        <v>3.0</v>
      </c>
      <c r="J38" s="712">
        <v>4.0</v>
      </c>
      <c r="K38" s="712">
        <v>10.0</v>
      </c>
      <c r="L38" s="1164"/>
      <c r="M38" s="712">
        <v>0.0</v>
      </c>
      <c r="N38" s="712">
        <v>2.0</v>
      </c>
      <c r="O38" s="280"/>
      <c r="P38" s="1167">
        <f t="shared" si="1"/>
        <v>19</v>
      </c>
      <c r="R38" s="163">
        <v>5500.0</v>
      </c>
      <c r="S38" s="163">
        <v>5250.0</v>
      </c>
      <c r="T38" s="163">
        <v>8100.0</v>
      </c>
      <c r="U38" s="167">
        <v>3500.0</v>
      </c>
      <c r="X38" s="370"/>
      <c r="Y38" s="370"/>
      <c r="Z38" s="370"/>
      <c r="AB38" s="370"/>
      <c r="AC38" s="370"/>
    </row>
    <row r="39">
      <c r="A39" s="288" t="s">
        <v>4858</v>
      </c>
      <c r="B39" s="288" t="s">
        <v>4863</v>
      </c>
      <c r="C39" s="1163" t="s">
        <v>4864</v>
      </c>
      <c r="D39" s="712">
        <v>3.0</v>
      </c>
      <c r="E39" s="1168">
        <v>4.0</v>
      </c>
      <c r="F39" s="1169">
        <v>1.0</v>
      </c>
      <c r="G39" s="1170">
        <v>6.0</v>
      </c>
      <c r="H39" s="712">
        <v>3.0</v>
      </c>
      <c r="I39" s="712">
        <v>1.0</v>
      </c>
      <c r="J39" s="712">
        <v>4.0</v>
      </c>
      <c r="K39" s="712">
        <v>9.0</v>
      </c>
      <c r="L39" s="1164"/>
      <c r="M39" s="712">
        <v>3.0</v>
      </c>
      <c r="N39" s="712">
        <v>4.0</v>
      </c>
      <c r="O39" s="280"/>
      <c r="P39" s="1167">
        <f t="shared" si="1"/>
        <v>20</v>
      </c>
      <c r="R39" s="163">
        <v>5500.0</v>
      </c>
      <c r="S39" s="163">
        <v>5250.0</v>
      </c>
      <c r="T39" s="163">
        <v>8100.0</v>
      </c>
      <c r="U39" s="167">
        <v>3500.0</v>
      </c>
      <c r="X39" s="370"/>
      <c r="Y39" s="370"/>
      <c r="Z39" s="370"/>
      <c r="AB39" s="370"/>
      <c r="AC39" s="370"/>
    </row>
    <row r="40">
      <c r="A40" s="288" t="s">
        <v>4859</v>
      </c>
      <c r="B40" s="288" t="s">
        <v>4863</v>
      </c>
      <c r="C40" s="1163" t="s">
        <v>4864</v>
      </c>
      <c r="D40" s="712">
        <v>4.0</v>
      </c>
      <c r="E40" s="1168">
        <v>4.0</v>
      </c>
      <c r="F40" s="1169">
        <v>1.0</v>
      </c>
      <c r="G40" s="1170">
        <v>4.0</v>
      </c>
      <c r="H40" s="712">
        <v>3.0</v>
      </c>
      <c r="I40" s="712">
        <v>0.0</v>
      </c>
      <c r="J40" s="712">
        <v>1.0</v>
      </c>
      <c r="K40" s="712">
        <v>9.0</v>
      </c>
      <c r="L40" s="1173"/>
      <c r="M40" s="712">
        <v>4.0</v>
      </c>
      <c r="N40" s="712">
        <v>6.0</v>
      </c>
      <c r="O40" s="548"/>
      <c r="P40" s="1167">
        <f t="shared" si="1"/>
        <v>17</v>
      </c>
      <c r="Q40" s="312"/>
      <c r="R40" s="163">
        <v>5500.0</v>
      </c>
      <c r="S40" s="163">
        <v>5250.0</v>
      </c>
      <c r="T40" s="163">
        <v>8100.0</v>
      </c>
      <c r="U40" s="167">
        <v>3500.0</v>
      </c>
      <c r="X40" s="370"/>
      <c r="Y40" s="370"/>
      <c r="Z40" s="370"/>
      <c r="AB40" s="370"/>
      <c r="AC40" s="370"/>
    </row>
    <row r="41" hidden="1">
      <c r="A41" s="287"/>
      <c r="B41" s="287"/>
      <c r="C41" s="770"/>
      <c r="D41" s="1165"/>
      <c r="E41" s="712"/>
      <c r="F41" s="1165"/>
      <c r="G41" s="1164"/>
      <c r="H41" s="1164"/>
      <c r="I41" s="1165"/>
      <c r="J41" s="1165"/>
      <c r="K41" s="1165"/>
      <c r="L41" s="1164"/>
      <c r="M41" s="1165"/>
      <c r="N41" s="1165"/>
      <c r="O41" s="280"/>
      <c r="P41" s="1167">
        <f t="shared" si="1"/>
        <v>0</v>
      </c>
      <c r="R41" s="163"/>
      <c r="S41" s="163"/>
      <c r="T41" s="126"/>
      <c r="U41" s="126"/>
      <c r="X41" s="370"/>
      <c r="Y41" s="370"/>
      <c r="Z41" s="370"/>
      <c r="AB41" s="370"/>
      <c r="AC41" s="370"/>
    </row>
    <row r="42" hidden="1">
      <c r="A42" s="288" t="s">
        <v>4855</v>
      </c>
      <c r="B42" s="288" t="s">
        <v>4863</v>
      </c>
      <c r="C42" s="1163" t="s">
        <v>4865</v>
      </c>
      <c r="D42" s="712">
        <v>0.0</v>
      </c>
      <c r="E42" s="1168">
        <v>5.0</v>
      </c>
      <c r="F42" s="1169">
        <v>0.0</v>
      </c>
      <c r="G42" s="1170">
        <v>13.0</v>
      </c>
      <c r="H42" s="712">
        <v>0.0</v>
      </c>
      <c r="I42" s="712">
        <v>2.0</v>
      </c>
      <c r="J42" s="712">
        <v>1.0</v>
      </c>
      <c r="K42" s="712">
        <v>6.0</v>
      </c>
      <c r="L42" s="1164"/>
      <c r="M42" s="712">
        <v>0.0</v>
      </c>
      <c r="N42" s="712">
        <v>0.0</v>
      </c>
      <c r="O42" s="280"/>
      <c r="P42" s="1167">
        <f t="shared" si="1"/>
        <v>9</v>
      </c>
      <c r="R42" s="163">
        <v>5500.0</v>
      </c>
      <c r="S42" s="163">
        <v>5250.0</v>
      </c>
      <c r="T42" s="163">
        <v>8100.0</v>
      </c>
      <c r="U42" s="167">
        <v>3500.0</v>
      </c>
      <c r="X42" s="370"/>
      <c r="Y42" s="370"/>
      <c r="Z42" s="370"/>
      <c r="AB42" s="370"/>
      <c r="AC42" s="370"/>
    </row>
    <row r="43" hidden="1">
      <c r="A43" s="288" t="s">
        <v>4857</v>
      </c>
      <c r="B43" s="288" t="s">
        <v>4863</v>
      </c>
      <c r="C43" s="1163" t="s">
        <v>4865</v>
      </c>
      <c r="D43" s="712">
        <v>4.0</v>
      </c>
      <c r="E43" s="1168">
        <v>5.0</v>
      </c>
      <c r="F43" s="1169">
        <v>0.0</v>
      </c>
      <c r="G43" s="1170">
        <v>10.0</v>
      </c>
      <c r="H43" s="712">
        <v>0.0</v>
      </c>
      <c r="I43" s="712">
        <v>3.0</v>
      </c>
      <c r="J43" s="712">
        <v>4.0</v>
      </c>
      <c r="K43" s="712">
        <v>10.0</v>
      </c>
      <c r="L43" s="1164"/>
      <c r="M43" s="712">
        <v>4.0</v>
      </c>
      <c r="N43" s="712">
        <v>0.0</v>
      </c>
      <c r="O43" s="280"/>
      <c r="P43" s="1167">
        <f t="shared" si="1"/>
        <v>21</v>
      </c>
      <c r="R43" s="163">
        <v>5500.0</v>
      </c>
      <c r="S43" s="163">
        <v>5250.0</v>
      </c>
      <c r="T43" s="163">
        <v>8100.0</v>
      </c>
      <c r="U43" s="167">
        <v>3500.0</v>
      </c>
      <c r="X43" s="370"/>
      <c r="Y43" s="370"/>
      <c r="Z43" s="370"/>
      <c r="AB43" s="370"/>
      <c r="AC43" s="370"/>
    </row>
    <row r="44">
      <c r="A44" s="288" t="s">
        <v>4858</v>
      </c>
      <c r="B44" s="288" t="s">
        <v>4863</v>
      </c>
      <c r="C44" s="1163" t="s">
        <v>4865</v>
      </c>
      <c r="D44" s="712">
        <v>3.0</v>
      </c>
      <c r="E44" s="1168">
        <v>4.0</v>
      </c>
      <c r="F44" s="1169">
        <v>1.0</v>
      </c>
      <c r="G44" s="1170">
        <v>6.0</v>
      </c>
      <c r="H44" s="712">
        <v>3.0</v>
      </c>
      <c r="I44" s="712">
        <v>5.0</v>
      </c>
      <c r="J44" s="712">
        <v>2.0</v>
      </c>
      <c r="K44" s="712">
        <v>7.0</v>
      </c>
      <c r="L44" s="1164"/>
      <c r="M44" s="712">
        <v>3.0</v>
      </c>
      <c r="N44" s="712">
        <v>4.0</v>
      </c>
      <c r="O44" s="280"/>
      <c r="P44" s="1167">
        <f t="shared" si="1"/>
        <v>20</v>
      </c>
      <c r="R44" s="163">
        <v>5500.0</v>
      </c>
      <c r="S44" s="163">
        <v>5250.0</v>
      </c>
      <c r="T44" s="163">
        <v>8100.0</v>
      </c>
      <c r="U44" s="167">
        <v>3500.0</v>
      </c>
      <c r="X44" s="370"/>
      <c r="Y44" s="370"/>
      <c r="Z44" s="370"/>
      <c r="AB44" s="370"/>
      <c r="AC44" s="370"/>
    </row>
    <row r="45">
      <c r="A45" s="288" t="s">
        <v>4859</v>
      </c>
      <c r="B45" s="288" t="s">
        <v>4863</v>
      </c>
      <c r="C45" s="1163" t="s">
        <v>4865</v>
      </c>
      <c r="D45" s="712">
        <v>4.0</v>
      </c>
      <c r="E45" s="1168">
        <v>5.0</v>
      </c>
      <c r="F45" s="1169">
        <v>0.0</v>
      </c>
      <c r="G45" s="1170">
        <v>4.0</v>
      </c>
      <c r="H45" s="712">
        <v>3.0</v>
      </c>
      <c r="I45" s="712">
        <v>0.0</v>
      </c>
      <c r="J45" s="712">
        <v>1.0</v>
      </c>
      <c r="K45" s="712">
        <v>7.0</v>
      </c>
      <c r="L45" s="1164"/>
      <c r="M45" s="712">
        <v>4.0</v>
      </c>
      <c r="N45" s="712">
        <v>6.0</v>
      </c>
      <c r="O45" s="280"/>
      <c r="P45" s="1167">
        <f t="shared" si="1"/>
        <v>15</v>
      </c>
      <c r="R45" s="163">
        <v>5500.0</v>
      </c>
      <c r="S45" s="163">
        <v>5250.0</v>
      </c>
      <c r="T45" s="163">
        <v>8100.0</v>
      </c>
      <c r="U45" s="167">
        <v>3500.0</v>
      </c>
      <c r="X45" s="370"/>
      <c r="Y45" s="370"/>
      <c r="Z45" s="370"/>
      <c r="AB45" s="370"/>
      <c r="AC45" s="370"/>
    </row>
    <row r="46" hidden="1">
      <c r="A46" s="280"/>
      <c r="B46" s="280"/>
      <c r="C46" s="617"/>
      <c r="D46" s="549" t="s">
        <v>3083</v>
      </c>
      <c r="E46" s="549"/>
      <c r="F46" s="549"/>
      <c r="G46" s="549">
        <f t="shared" ref="G46:K46" si="5">SUM(G3:G45)</f>
        <v>283</v>
      </c>
      <c r="H46" s="549">
        <f t="shared" si="5"/>
        <v>148</v>
      </c>
      <c r="I46" s="549">
        <f t="shared" si="5"/>
        <v>188</v>
      </c>
      <c r="J46" s="549">
        <f t="shared" si="5"/>
        <v>81</v>
      </c>
      <c r="K46" s="549">
        <f t="shared" si="5"/>
        <v>290</v>
      </c>
      <c r="L46" s="549"/>
      <c r="M46" s="549"/>
      <c r="N46" s="549"/>
      <c r="O46" s="549"/>
      <c r="P46" s="549">
        <f>SUM(P3:P45)</f>
        <v>1010</v>
      </c>
      <c r="R46" s="587"/>
      <c r="S46" s="587"/>
      <c r="X46" s="370"/>
      <c r="Y46" s="370"/>
      <c r="Z46" s="370"/>
      <c r="AB46" s="370"/>
      <c r="AC46" s="370"/>
    </row>
    <row r="47" ht="34.5" hidden="1" customHeight="1">
      <c r="A47" s="280"/>
      <c r="B47" s="280"/>
      <c r="C47" s="617"/>
      <c r="D47" s="1174"/>
      <c r="E47" s="1174"/>
      <c r="F47" s="1174"/>
      <c r="G47" s="1175" t="s">
        <v>4866</v>
      </c>
      <c r="H47" s="1175" t="s">
        <v>4867</v>
      </c>
      <c r="I47" s="1167"/>
      <c r="J47" s="1166"/>
      <c r="K47" s="1167"/>
      <c r="L47" s="1166"/>
      <c r="M47" s="1166"/>
      <c r="N47" s="1166"/>
      <c r="O47" s="280"/>
      <c r="P47" s="1167"/>
      <c r="R47" s="587"/>
      <c r="S47" s="587"/>
      <c r="X47" s="370"/>
      <c r="Y47" s="370"/>
      <c r="Z47" s="370"/>
      <c r="AB47" s="370"/>
      <c r="AC47" s="370"/>
    </row>
    <row r="48" hidden="1">
      <c r="A48" s="280"/>
      <c r="B48" s="280"/>
      <c r="C48" s="617"/>
      <c r="D48" s="1166"/>
      <c r="E48" s="1166"/>
      <c r="F48" s="1166"/>
      <c r="G48" s="1166"/>
      <c r="H48" s="1166"/>
      <c r="I48" s="1166"/>
      <c r="J48" s="1166"/>
      <c r="K48" s="1167"/>
      <c r="L48" s="1166"/>
      <c r="M48" s="1166"/>
      <c r="N48" s="1166"/>
      <c r="O48" s="280"/>
      <c r="P48" s="1167"/>
      <c r="R48" s="548"/>
      <c r="S48" s="587"/>
      <c r="T48" s="587"/>
      <c r="X48" s="370"/>
      <c r="Y48" s="370"/>
      <c r="Z48" s="370"/>
      <c r="AB48" s="370"/>
      <c r="AC48" s="370"/>
    </row>
    <row r="49" hidden="1">
      <c r="A49" s="280"/>
      <c r="B49" s="280"/>
      <c r="C49" s="617"/>
      <c r="D49" s="1166"/>
      <c r="E49" s="1166"/>
      <c r="F49" s="1166"/>
      <c r="G49" s="1166"/>
      <c r="H49" s="1166"/>
      <c r="I49" s="1166"/>
      <c r="J49" s="1166"/>
      <c r="K49" s="1167"/>
      <c r="L49" s="1166"/>
      <c r="M49" s="1166"/>
      <c r="N49" s="1166"/>
      <c r="O49" s="280"/>
      <c r="P49" s="1167"/>
      <c r="R49" s="548"/>
      <c r="S49" s="587"/>
      <c r="T49" s="587"/>
      <c r="X49" s="370"/>
      <c r="Y49" s="370"/>
      <c r="Z49" s="370"/>
      <c r="AB49" s="370"/>
      <c r="AC49" s="370"/>
    </row>
    <row r="50" hidden="1">
      <c r="A50" s="280"/>
      <c r="B50" s="280"/>
      <c r="C50" s="617"/>
      <c r="D50" s="1166"/>
      <c r="E50" s="1166"/>
      <c r="F50" s="1166"/>
      <c r="G50" s="1176"/>
      <c r="H50" s="1176"/>
      <c r="I50" s="1176"/>
      <c r="J50" s="1177"/>
      <c r="K50" s="1177" t="s">
        <v>4868</v>
      </c>
      <c r="L50" s="1177"/>
      <c r="M50" s="1177"/>
      <c r="N50" s="1177"/>
      <c r="O50" s="1178"/>
      <c r="P50" s="1177" t="s">
        <v>4869</v>
      </c>
      <c r="Q50" s="1178"/>
      <c r="R50" s="1081"/>
      <c r="X50" s="370"/>
      <c r="Y50" s="370"/>
      <c r="Z50" s="370"/>
      <c r="AB50" s="370"/>
      <c r="AC50" s="370"/>
    </row>
    <row r="51" hidden="1">
      <c r="A51" s="280"/>
      <c r="B51" s="280"/>
      <c r="C51" s="1179"/>
      <c r="D51" s="1167"/>
      <c r="E51" s="1167"/>
      <c r="F51" s="1167"/>
      <c r="G51" s="1177" t="s">
        <v>4848</v>
      </c>
      <c r="H51" s="1180" t="s">
        <v>4870</v>
      </c>
      <c r="I51" s="1181">
        <v>3900.0</v>
      </c>
      <c r="J51" s="1182"/>
      <c r="K51" s="1176">
        <f>SUM(D3:D13)</f>
        <v>70</v>
      </c>
      <c r="L51" s="1182"/>
      <c r="M51" s="1182"/>
      <c r="N51" s="1182"/>
      <c r="O51" s="1183"/>
      <c r="P51" s="1184">
        <f>R3</f>
        <v>6400</v>
      </c>
      <c r="Q51" s="1185"/>
      <c r="R51" s="589">
        <f t="shared" ref="R51:R52" si="6">K51*P51</f>
        <v>448000</v>
      </c>
      <c r="X51" s="587"/>
      <c r="Y51" s="587"/>
      <c r="Z51" s="587"/>
      <c r="AA51" s="280"/>
      <c r="AB51" s="587"/>
      <c r="AC51" s="587"/>
    </row>
    <row r="52" hidden="1">
      <c r="A52" s="280"/>
      <c r="D52" s="1186"/>
      <c r="E52" s="1186"/>
      <c r="F52" s="1186"/>
      <c r="G52" s="1177" t="s">
        <v>4848</v>
      </c>
      <c r="H52" s="1180" t="s">
        <v>4871</v>
      </c>
      <c r="I52" s="1181">
        <v>6100.0</v>
      </c>
      <c r="J52" s="1180"/>
      <c r="K52" s="1177">
        <f>SUM(D15:D23)</f>
        <v>6</v>
      </c>
      <c r="L52" s="1180"/>
      <c r="M52" s="1180"/>
      <c r="N52" s="1180"/>
      <c r="O52" s="1178"/>
      <c r="P52" s="1187">
        <f>R15</f>
        <v>6100</v>
      </c>
      <c r="Q52" s="1188"/>
      <c r="R52" s="589">
        <f t="shared" si="6"/>
        <v>36600</v>
      </c>
      <c r="X52" s="370"/>
      <c r="Y52" s="370"/>
      <c r="Z52" s="370"/>
      <c r="AB52" s="370"/>
      <c r="AC52" s="370"/>
    </row>
    <row r="53" hidden="1">
      <c r="A53" s="280"/>
      <c r="D53" s="1186"/>
      <c r="E53" s="1186"/>
      <c r="F53" s="1186"/>
      <c r="G53" s="1182"/>
      <c r="H53" s="1182"/>
      <c r="I53" s="1189"/>
      <c r="J53" s="1182"/>
      <c r="K53" s="1176"/>
      <c r="L53" s="1182"/>
      <c r="M53" s="1182"/>
      <c r="N53" s="1182"/>
      <c r="O53" s="1183"/>
      <c r="P53" s="1176"/>
      <c r="Q53" s="1185"/>
      <c r="R53" s="287"/>
      <c r="X53" s="370"/>
      <c r="Y53" s="370"/>
      <c r="Z53" s="370"/>
      <c r="AB53" s="370"/>
      <c r="AC53" s="370"/>
    </row>
    <row r="54" hidden="1">
      <c r="A54" s="280"/>
      <c r="D54" s="1190"/>
      <c r="E54" s="1190"/>
      <c r="F54" s="1190"/>
      <c r="G54" s="1177" t="s">
        <v>4861</v>
      </c>
      <c r="H54" s="1180" t="s">
        <v>4870</v>
      </c>
      <c r="I54" s="1181">
        <v>3360.0</v>
      </c>
      <c r="J54" s="1182"/>
      <c r="K54" s="1176">
        <f>SUM(D25:D35)</f>
        <v>9</v>
      </c>
      <c r="L54" s="1182"/>
      <c r="M54" s="1182"/>
      <c r="N54" s="1182"/>
      <c r="O54" s="1183"/>
      <c r="P54" s="1184">
        <f>R25</f>
        <v>4200</v>
      </c>
      <c r="Q54" s="1185"/>
      <c r="R54" s="589">
        <f t="shared" ref="R54:R55" si="7">K54*P54</f>
        <v>37800</v>
      </c>
      <c r="X54" s="370"/>
      <c r="Y54" s="370"/>
      <c r="Z54" s="370"/>
      <c r="AB54" s="370"/>
      <c r="AC54" s="370"/>
    </row>
    <row r="55" hidden="1">
      <c r="A55" s="280"/>
      <c r="D55" s="1186"/>
      <c r="E55" s="1186"/>
      <c r="F55" s="1186"/>
      <c r="G55" s="1177" t="s">
        <v>4863</v>
      </c>
      <c r="H55" s="1180" t="s">
        <v>4871</v>
      </c>
      <c r="I55" s="1181">
        <v>4300.0</v>
      </c>
      <c r="J55" s="1182"/>
      <c r="K55" s="1176">
        <f>SUM(D37:D45)</f>
        <v>18</v>
      </c>
      <c r="L55" s="1182"/>
      <c r="M55" s="1182"/>
      <c r="N55" s="1182"/>
      <c r="O55" s="1183"/>
      <c r="P55" s="1184">
        <f>R37</f>
        <v>5500</v>
      </c>
      <c r="Q55" s="1185"/>
      <c r="R55" s="589">
        <f t="shared" si="7"/>
        <v>99000</v>
      </c>
      <c r="X55" s="370"/>
      <c r="Y55" s="370"/>
      <c r="Z55" s="370"/>
      <c r="AB55" s="370"/>
      <c r="AC55" s="370"/>
    </row>
    <row r="56" hidden="1">
      <c r="A56" s="280"/>
      <c r="D56" s="1186"/>
      <c r="E56" s="1186"/>
      <c r="F56" s="1186"/>
      <c r="G56" s="1164"/>
      <c r="H56" s="1164"/>
      <c r="I56" s="1165"/>
      <c r="J56" s="1164"/>
      <c r="K56" s="1165"/>
      <c r="L56" s="1164"/>
      <c r="M56" s="1164"/>
      <c r="N56" s="1164"/>
      <c r="O56" s="287"/>
      <c r="P56" s="1165"/>
      <c r="Q56" s="126"/>
      <c r="R56" s="589"/>
      <c r="X56" s="370"/>
      <c r="Y56" s="370"/>
      <c r="Z56" s="370"/>
      <c r="AB56" s="370"/>
      <c r="AC56" s="370"/>
    </row>
    <row r="57" hidden="1">
      <c r="A57" s="280"/>
      <c r="B57" s="280"/>
      <c r="C57" s="617"/>
      <c r="D57" s="1166"/>
      <c r="E57" s="1166"/>
      <c r="F57" s="1166"/>
      <c r="G57" s="1164"/>
      <c r="H57" s="1164"/>
      <c r="I57" s="1165"/>
      <c r="J57" s="1164"/>
      <c r="K57" s="1165"/>
      <c r="L57" s="1191"/>
      <c r="M57" s="1191"/>
      <c r="N57" s="1191"/>
      <c r="O57" s="288"/>
      <c r="P57" s="712" t="s">
        <v>3083</v>
      </c>
      <c r="Q57" s="1192"/>
      <c r="R57" s="589">
        <f>SUM(R51:R55)</f>
        <v>621400</v>
      </c>
      <c r="X57" s="370"/>
      <c r="Y57" s="370"/>
      <c r="Z57" s="370"/>
      <c r="AB57" s="370"/>
      <c r="AC57" s="370"/>
    </row>
    <row r="58" hidden="1">
      <c r="A58" s="280"/>
      <c r="B58" s="280"/>
      <c r="C58" s="617"/>
      <c r="D58" s="1166"/>
      <c r="E58" s="1166"/>
      <c r="F58" s="1166"/>
      <c r="G58" s="1166"/>
      <c r="H58" s="1166"/>
      <c r="I58" s="1166"/>
      <c r="J58" s="1166"/>
      <c r="K58" s="1167"/>
      <c r="L58" s="1166"/>
      <c r="M58" s="1166"/>
      <c r="N58" s="1166"/>
      <c r="O58" s="280"/>
      <c r="P58" s="1167"/>
      <c r="S58" s="587"/>
      <c r="X58" s="370"/>
      <c r="Y58" s="370"/>
      <c r="Z58" s="370"/>
      <c r="AB58" s="370"/>
      <c r="AC58" s="370"/>
    </row>
    <row r="59" hidden="1">
      <c r="A59" s="280"/>
      <c r="B59" s="280"/>
      <c r="C59" s="617"/>
      <c r="D59" s="1166"/>
      <c r="E59" s="1166"/>
      <c r="F59" s="1166"/>
      <c r="G59" s="1166"/>
      <c r="H59" s="1166"/>
      <c r="I59" s="1167"/>
      <c r="J59" s="1166"/>
      <c r="K59" s="1167"/>
      <c r="L59" s="1166"/>
      <c r="M59" s="1166"/>
      <c r="N59" s="1166"/>
      <c r="O59" s="280"/>
      <c r="P59" s="1167"/>
      <c r="R59" s="587"/>
      <c r="S59" s="587"/>
      <c r="X59" s="370"/>
      <c r="Y59" s="370"/>
      <c r="Z59" s="370"/>
      <c r="AB59" s="370"/>
      <c r="AC59" s="370"/>
    </row>
    <row r="60" hidden="1">
      <c r="A60" s="280"/>
      <c r="B60" s="280"/>
      <c r="C60" s="617"/>
      <c r="D60" s="1166"/>
      <c r="E60" s="1166"/>
      <c r="F60" s="1166"/>
      <c r="G60" s="1166"/>
      <c r="H60" s="1166"/>
      <c r="I60" s="1167"/>
      <c r="J60" s="1166"/>
      <c r="K60" s="1167"/>
      <c r="L60" s="1166"/>
      <c r="M60" s="1166"/>
      <c r="N60" s="1166"/>
      <c r="O60" s="280"/>
      <c r="P60" s="1167"/>
      <c r="R60" s="587"/>
      <c r="S60" s="587"/>
      <c r="X60" s="370"/>
      <c r="Y60" s="370"/>
      <c r="Z60" s="370"/>
      <c r="AB60" s="370"/>
      <c r="AC60" s="370"/>
    </row>
    <row r="61" hidden="1">
      <c r="A61" s="280"/>
      <c r="B61" s="280"/>
      <c r="C61" s="617"/>
      <c r="D61" s="1166"/>
      <c r="E61" s="1166"/>
      <c r="F61" s="1166"/>
      <c r="G61" s="1166"/>
      <c r="H61" s="1166"/>
      <c r="I61" s="1167"/>
      <c r="J61" s="1166"/>
      <c r="K61" s="1167"/>
      <c r="L61" s="1166"/>
      <c r="M61" s="1166"/>
      <c r="N61" s="1166"/>
      <c r="O61" s="280"/>
      <c r="P61" s="1167"/>
      <c r="R61" s="587"/>
      <c r="S61" s="587"/>
      <c r="X61" s="370"/>
      <c r="Y61" s="370"/>
      <c r="Z61" s="370"/>
      <c r="AB61" s="370"/>
      <c r="AC61" s="370"/>
    </row>
    <row r="62" hidden="1">
      <c r="A62" s="280"/>
      <c r="B62" s="280"/>
      <c r="C62" s="617"/>
      <c r="D62" s="1166"/>
      <c r="E62" s="1166"/>
      <c r="F62" s="1166"/>
      <c r="G62" s="1166"/>
      <c r="H62" s="1166"/>
      <c r="I62" s="1167"/>
      <c r="J62" s="1166"/>
      <c r="K62" s="1167"/>
      <c r="L62" s="1166"/>
      <c r="M62" s="1166"/>
      <c r="N62" s="1166"/>
      <c r="O62" s="280"/>
      <c r="P62" s="1167"/>
      <c r="R62" s="587"/>
      <c r="S62" s="587"/>
      <c r="X62" s="370"/>
      <c r="Y62" s="370"/>
      <c r="Z62" s="370"/>
      <c r="AB62" s="370"/>
      <c r="AC62" s="370"/>
    </row>
    <row r="63" hidden="1">
      <c r="A63" s="280"/>
      <c r="B63" s="280"/>
      <c r="C63" s="617"/>
      <c r="D63" s="1166"/>
      <c r="E63" s="1166"/>
      <c r="F63" s="1166"/>
      <c r="G63" s="1166"/>
      <c r="H63" s="1166"/>
      <c r="I63" s="1167"/>
      <c r="J63" s="1166"/>
      <c r="K63" s="1167"/>
      <c r="L63" s="1166"/>
      <c r="M63" s="1166"/>
      <c r="N63" s="1166"/>
      <c r="O63" s="280"/>
      <c r="P63" s="1167"/>
      <c r="R63" s="587"/>
      <c r="S63" s="587"/>
      <c r="X63" s="370"/>
      <c r="Y63" s="370"/>
      <c r="Z63" s="370"/>
      <c r="AB63" s="370"/>
      <c r="AC63" s="370"/>
    </row>
    <row r="64" hidden="1">
      <c r="A64" s="280"/>
      <c r="B64" s="280"/>
      <c r="C64" s="617"/>
      <c r="D64" s="1166"/>
      <c r="E64" s="1166"/>
      <c r="F64" s="1166"/>
      <c r="G64" s="1166"/>
      <c r="H64" s="1166"/>
      <c r="I64" s="1167"/>
      <c r="J64" s="1166"/>
      <c r="K64" s="1167"/>
      <c r="L64" s="1166"/>
      <c r="M64" s="1166"/>
      <c r="N64" s="1166"/>
      <c r="O64" s="280"/>
      <c r="P64" s="1167"/>
      <c r="R64" s="587"/>
      <c r="S64" s="587"/>
      <c r="X64" s="370"/>
      <c r="Y64" s="370"/>
      <c r="Z64" s="370"/>
      <c r="AB64" s="370"/>
      <c r="AC64" s="370"/>
    </row>
    <row r="65" hidden="1">
      <c r="A65" s="280"/>
      <c r="B65" s="280"/>
      <c r="C65" s="617"/>
      <c r="D65" s="1166"/>
      <c r="E65" s="1166"/>
      <c r="F65" s="1166"/>
      <c r="G65" s="1166"/>
      <c r="H65" s="1166"/>
      <c r="I65" s="1167"/>
      <c r="J65" s="1166"/>
      <c r="K65" s="1167"/>
      <c r="L65" s="1166"/>
      <c r="M65" s="1166"/>
      <c r="N65" s="1166"/>
      <c r="O65" s="280"/>
      <c r="P65" s="1167"/>
      <c r="R65" s="587"/>
      <c r="S65" s="587"/>
      <c r="X65" s="370"/>
      <c r="Y65" s="370"/>
      <c r="Z65" s="370"/>
      <c r="AB65" s="370"/>
      <c r="AC65" s="370"/>
    </row>
    <row r="66" hidden="1">
      <c r="A66" s="280"/>
      <c r="B66" s="280"/>
      <c r="C66" s="617"/>
      <c r="D66" s="1166"/>
      <c r="E66" s="1166"/>
      <c r="F66" s="1166"/>
      <c r="G66" s="1166"/>
      <c r="H66" s="1166"/>
      <c r="I66" s="1167"/>
      <c r="J66" s="1166"/>
      <c r="K66" s="1167"/>
      <c r="L66" s="1166"/>
      <c r="M66" s="1166"/>
      <c r="N66" s="1166"/>
      <c r="O66" s="280"/>
      <c r="P66" s="1167"/>
      <c r="R66" s="587"/>
      <c r="S66" s="587"/>
      <c r="X66" s="370"/>
      <c r="Y66" s="370"/>
      <c r="Z66" s="370"/>
      <c r="AB66" s="370"/>
      <c r="AC66" s="370"/>
    </row>
    <row r="67" hidden="1">
      <c r="A67" s="280"/>
      <c r="B67" s="280"/>
      <c r="C67" s="617"/>
      <c r="D67" s="1166"/>
      <c r="E67" s="1166"/>
      <c r="F67" s="1166"/>
      <c r="G67" s="1166"/>
      <c r="H67" s="1166"/>
      <c r="I67" s="1167"/>
      <c r="J67" s="1166"/>
      <c r="K67" s="1167"/>
      <c r="L67" s="1166"/>
      <c r="M67" s="1166"/>
      <c r="N67" s="1166"/>
      <c r="O67" s="280"/>
      <c r="P67" s="1167"/>
      <c r="R67" s="587"/>
      <c r="S67" s="587"/>
      <c r="X67" s="370"/>
      <c r="Y67" s="370"/>
      <c r="Z67" s="370"/>
      <c r="AB67" s="370"/>
      <c r="AC67" s="370"/>
    </row>
    <row r="68" hidden="1">
      <c r="A68" s="280"/>
      <c r="B68" s="280"/>
      <c r="C68" s="617"/>
      <c r="D68" s="1166"/>
      <c r="E68" s="1166"/>
      <c r="F68" s="1166"/>
      <c r="G68" s="1166"/>
      <c r="H68" s="1166"/>
      <c r="I68" s="1167"/>
      <c r="J68" s="1166"/>
      <c r="K68" s="1167"/>
      <c r="L68" s="1166"/>
      <c r="M68" s="1166"/>
      <c r="N68" s="1166"/>
      <c r="O68" s="280"/>
      <c r="P68" s="1167"/>
      <c r="R68" s="587"/>
      <c r="S68" s="587"/>
      <c r="X68" s="370"/>
      <c r="Y68" s="370"/>
      <c r="Z68" s="370"/>
      <c r="AB68" s="370"/>
      <c r="AC68" s="370"/>
    </row>
    <row r="69" hidden="1">
      <c r="A69" s="280"/>
      <c r="B69" s="280"/>
      <c r="C69" s="617"/>
      <c r="D69" s="1166"/>
      <c r="E69" s="1166"/>
      <c r="F69" s="1166"/>
      <c r="G69" s="1166"/>
      <c r="H69" s="1166"/>
      <c r="I69" s="1167"/>
      <c r="J69" s="1166"/>
      <c r="K69" s="1167"/>
      <c r="L69" s="1166"/>
      <c r="M69" s="1166"/>
      <c r="N69" s="1166"/>
      <c r="O69" s="280"/>
      <c r="P69" s="1167"/>
      <c r="R69" s="587"/>
      <c r="S69" s="587"/>
      <c r="X69" s="370"/>
      <c r="Y69" s="370"/>
      <c r="Z69" s="370"/>
      <c r="AB69" s="370"/>
      <c r="AC69" s="370"/>
    </row>
    <row r="70" hidden="1">
      <c r="A70" s="280"/>
      <c r="B70" s="280"/>
      <c r="C70" s="617"/>
      <c r="D70" s="1166"/>
      <c r="E70" s="1166"/>
      <c r="F70" s="1166"/>
      <c r="G70" s="1166"/>
      <c r="H70" s="1166"/>
      <c r="I70" s="1167"/>
      <c r="J70" s="1166"/>
      <c r="K70" s="1167"/>
      <c r="L70" s="1166"/>
      <c r="M70" s="1166"/>
      <c r="N70" s="1166"/>
      <c r="O70" s="280"/>
      <c r="P70" s="1167"/>
      <c r="R70" s="587"/>
      <c r="S70" s="587"/>
      <c r="X70" s="370"/>
      <c r="Y70" s="370"/>
      <c r="Z70" s="370"/>
      <c r="AB70" s="370"/>
      <c r="AC70" s="370"/>
    </row>
    <row r="71" hidden="1">
      <c r="A71" s="280"/>
      <c r="B71" s="280"/>
      <c r="C71" s="617"/>
      <c r="D71" s="1166"/>
      <c r="E71" s="1166"/>
      <c r="F71" s="1166"/>
      <c r="G71" s="1166"/>
      <c r="H71" s="1166"/>
      <c r="I71" s="1167"/>
      <c r="J71" s="1166"/>
      <c r="K71" s="1167"/>
      <c r="L71" s="1166"/>
      <c r="M71" s="1166"/>
      <c r="N71" s="1166"/>
      <c r="O71" s="280"/>
      <c r="P71" s="1167"/>
      <c r="R71" s="587"/>
      <c r="S71" s="587"/>
      <c r="X71" s="370"/>
      <c r="Y71" s="370"/>
      <c r="Z71" s="370"/>
      <c r="AB71" s="370"/>
      <c r="AC71" s="370"/>
    </row>
    <row r="72" hidden="1">
      <c r="A72" s="280"/>
      <c r="B72" s="280"/>
      <c r="C72" s="617"/>
      <c r="D72" s="1166"/>
      <c r="E72" s="1166"/>
      <c r="F72" s="1166"/>
      <c r="G72" s="1166"/>
      <c r="H72" s="1166"/>
      <c r="I72" s="1167"/>
      <c r="J72" s="1166"/>
      <c r="K72" s="1167"/>
      <c r="L72" s="1166"/>
      <c r="M72" s="1166"/>
      <c r="N72" s="1166"/>
      <c r="O72" s="280"/>
      <c r="P72" s="1167"/>
      <c r="R72" s="587"/>
      <c r="S72" s="587"/>
      <c r="X72" s="370"/>
      <c r="Y72" s="370"/>
      <c r="Z72" s="370"/>
      <c r="AB72" s="370"/>
      <c r="AC72" s="370"/>
    </row>
    <row r="73" hidden="1">
      <c r="A73" s="280"/>
      <c r="B73" s="280"/>
      <c r="C73" s="617"/>
      <c r="D73" s="1166"/>
      <c r="E73" s="1166"/>
      <c r="F73" s="1166"/>
      <c r="G73" s="1166"/>
      <c r="H73" s="1166"/>
      <c r="I73" s="1167"/>
      <c r="J73" s="1166"/>
      <c r="K73" s="1167"/>
      <c r="L73" s="1166"/>
      <c r="M73" s="1166"/>
      <c r="N73" s="1166"/>
      <c r="O73" s="280"/>
      <c r="P73" s="1167"/>
      <c r="R73" s="587"/>
      <c r="S73" s="587"/>
      <c r="X73" s="370"/>
      <c r="Y73" s="370"/>
      <c r="Z73" s="370"/>
      <c r="AB73" s="370"/>
      <c r="AC73" s="370"/>
    </row>
    <row r="74" hidden="1">
      <c r="A74" s="280"/>
      <c r="B74" s="280"/>
      <c r="C74" s="617"/>
      <c r="D74" s="1166"/>
      <c r="E74" s="1166"/>
      <c r="F74" s="1166"/>
      <c r="G74" s="1166"/>
      <c r="H74" s="1166"/>
      <c r="I74" s="1167"/>
      <c r="J74" s="1166"/>
      <c r="K74" s="1167"/>
      <c r="L74" s="1166"/>
      <c r="M74" s="1166"/>
      <c r="N74" s="1166"/>
      <c r="O74" s="280"/>
      <c r="P74" s="1167"/>
      <c r="R74" s="587"/>
      <c r="S74" s="587"/>
      <c r="X74" s="370"/>
      <c r="Y74" s="370"/>
      <c r="Z74" s="370"/>
      <c r="AB74" s="370"/>
      <c r="AC74" s="370"/>
    </row>
    <row r="75" hidden="1">
      <c r="A75" s="280"/>
      <c r="B75" s="280"/>
      <c r="C75" s="617"/>
      <c r="D75" s="1166"/>
      <c r="E75" s="1166"/>
      <c r="F75" s="1166"/>
      <c r="G75" s="1166"/>
      <c r="H75" s="1166"/>
      <c r="I75" s="1167"/>
      <c r="J75" s="1166"/>
      <c r="K75" s="1167"/>
      <c r="L75" s="1166"/>
      <c r="M75" s="1166"/>
      <c r="N75" s="1166"/>
      <c r="O75" s="280"/>
      <c r="P75" s="1167"/>
      <c r="R75" s="587"/>
      <c r="S75" s="587"/>
      <c r="X75" s="370"/>
      <c r="Y75" s="370"/>
      <c r="Z75" s="370"/>
      <c r="AB75" s="370"/>
      <c r="AC75" s="370"/>
    </row>
    <row r="76" hidden="1">
      <c r="A76" s="280"/>
      <c r="B76" s="280"/>
      <c r="C76" s="617"/>
      <c r="D76" s="1166"/>
      <c r="E76" s="1166"/>
      <c r="F76" s="1166"/>
      <c r="G76" s="1166"/>
      <c r="H76" s="1166"/>
      <c r="I76" s="1167"/>
      <c r="J76" s="1166"/>
      <c r="K76" s="1167"/>
      <c r="L76" s="1166"/>
      <c r="M76" s="1166"/>
      <c r="N76" s="1166"/>
      <c r="O76" s="280"/>
      <c r="P76" s="1167"/>
      <c r="R76" s="587"/>
      <c r="S76" s="587"/>
      <c r="X76" s="370"/>
      <c r="Y76" s="370"/>
      <c r="Z76" s="370"/>
      <c r="AB76" s="370"/>
      <c r="AC76" s="370"/>
    </row>
    <row r="77" hidden="1">
      <c r="A77" s="280"/>
      <c r="B77" s="280"/>
      <c r="C77" s="617"/>
      <c r="D77" s="1166"/>
      <c r="E77" s="1166"/>
      <c r="F77" s="1166"/>
      <c r="G77" s="1166"/>
      <c r="H77" s="1166"/>
      <c r="I77" s="1167"/>
      <c r="J77" s="1166"/>
      <c r="K77" s="1167"/>
      <c r="L77" s="1166"/>
      <c r="M77" s="1166"/>
      <c r="N77" s="1166"/>
      <c r="O77" s="280"/>
      <c r="P77" s="1167"/>
      <c r="R77" s="587"/>
      <c r="S77" s="587"/>
      <c r="X77" s="370"/>
      <c r="Y77" s="370"/>
      <c r="Z77" s="370"/>
      <c r="AB77" s="370"/>
      <c r="AC77" s="370"/>
    </row>
    <row r="78" hidden="1">
      <c r="A78" s="280"/>
      <c r="B78" s="280"/>
      <c r="C78" s="617"/>
      <c r="D78" s="1166"/>
      <c r="E78" s="1166"/>
      <c r="F78" s="1166"/>
      <c r="G78" s="1166"/>
      <c r="H78" s="1166"/>
      <c r="I78" s="1167"/>
      <c r="J78" s="1166"/>
      <c r="K78" s="1167"/>
      <c r="L78" s="1166"/>
      <c r="M78" s="1166"/>
      <c r="N78" s="1166"/>
      <c r="O78" s="280"/>
      <c r="P78" s="1167"/>
      <c r="R78" s="587"/>
      <c r="S78" s="587"/>
      <c r="X78" s="370"/>
      <c r="Y78" s="370"/>
      <c r="Z78" s="370"/>
      <c r="AB78" s="370"/>
      <c r="AC78" s="370"/>
    </row>
    <row r="79" hidden="1">
      <c r="A79" s="280"/>
      <c r="B79" s="280"/>
      <c r="C79" s="617"/>
      <c r="D79" s="1166"/>
      <c r="E79" s="1166"/>
      <c r="F79" s="1166"/>
      <c r="G79" s="1166"/>
      <c r="H79" s="1166"/>
      <c r="I79" s="1167"/>
      <c r="J79" s="1166"/>
      <c r="K79" s="1167"/>
      <c r="L79" s="1166"/>
      <c r="M79" s="1166"/>
      <c r="N79" s="1166"/>
      <c r="O79" s="280"/>
      <c r="P79" s="1167"/>
      <c r="R79" s="587"/>
      <c r="S79" s="587"/>
      <c r="X79" s="370"/>
      <c r="Y79" s="370"/>
      <c r="Z79" s="370"/>
      <c r="AB79" s="370"/>
      <c r="AC79" s="370"/>
    </row>
    <row r="80" hidden="1">
      <c r="A80" s="280"/>
      <c r="B80" s="280"/>
      <c r="C80" s="617"/>
      <c r="D80" s="1166"/>
      <c r="E80" s="1166"/>
      <c r="F80" s="1166"/>
      <c r="G80" s="1166"/>
      <c r="H80" s="1166"/>
      <c r="I80" s="1167"/>
      <c r="J80" s="1166"/>
      <c r="K80" s="1167"/>
      <c r="L80" s="1166"/>
      <c r="M80" s="1166"/>
      <c r="N80" s="1166"/>
      <c r="O80" s="280"/>
      <c r="P80" s="1167"/>
      <c r="R80" s="587"/>
      <c r="S80" s="587"/>
      <c r="X80" s="370"/>
      <c r="Y80" s="370"/>
      <c r="Z80" s="370"/>
      <c r="AB80" s="370"/>
      <c r="AC80" s="370"/>
    </row>
    <row r="81" hidden="1">
      <c r="A81" s="280"/>
      <c r="B81" s="280"/>
      <c r="C81" s="617"/>
      <c r="D81" s="1166"/>
      <c r="E81" s="1166"/>
      <c r="F81" s="1166"/>
      <c r="G81" s="1166"/>
      <c r="H81" s="1166"/>
      <c r="I81" s="1167"/>
      <c r="J81" s="1166"/>
      <c r="K81" s="1167"/>
      <c r="L81" s="1166"/>
      <c r="M81" s="1166"/>
      <c r="N81" s="1166"/>
      <c r="O81" s="280"/>
      <c r="P81" s="1167"/>
      <c r="R81" s="587"/>
      <c r="S81" s="587"/>
      <c r="X81" s="370"/>
      <c r="Y81" s="370"/>
      <c r="Z81" s="370"/>
      <c r="AB81" s="370"/>
      <c r="AC81" s="370"/>
    </row>
    <row r="82" hidden="1">
      <c r="A82" s="280"/>
      <c r="B82" s="280"/>
      <c r="C82" s="617"/>
      <c r="D82" s="1166"/>
      <c r="E82" s="1166"/>
      <c r="F82" s="1166"/>
      <c r="G82" s="1166"/>
      <c r="H82" s="1166"/>
      <c r="I82" s="1167"/>
      <c r="J82" s="1166"/>
      <c r="K82" s="1167"/>
      <c r="L82" s="1166"/>
      <c r="M82" s="1166"/>
      <c r="N82" s="1166"/>
      <c r="O82" s="280"/>
      <c r="P82" s="1167"/>
      <c r="R82" s="587"/>
      <c r="S82" s="587"/>
      <c r="X82" s="370"/>
      <c r="Y82" s="370"/>
      <c r="Z82" s="370"/>
      <c r="AB82" s="370"/>
      <c r="AC82" s="370"/>
    </row>
    <row r="83" hidden="1">
      <c r="A83" s="280"/>
      <c r="B83" s="280"/>
      <c r="C83" s="617"/>
      <c r="D83" s="1166"/>
      <c r="E83" s="1166"/>
      <c r="F83" s="1166"/>
      <c r="G83" s="1166"/>
      <c r="H83" s="1166"/>
      <c r="I83" s="1167"/>
      <c r="J83" s="1166"/>
      <c r="K83" s="1167"/>
      <c r="L83" s="1166"/>
      <c r="M83" s="1166"/>
      <c r="N83" s="1166"/>
      <c r="O83" s="280"/>
      <c r="P83" s="1167"/>
      <c r="R83" s="587"/>
      <c r="S83" s="587"/>
      <c r="X83" s="370"/>
      <c r="Y83" s="370"/>
      <c r="Z83" s="370"/>
      <c r="AB83" s="370"/>
      <c r="AC83" s="370"/>
    </row>
    <row r="84" hidden="1">
      <c r="A84" s="280"/>
      <c r="B84" s="280"/>
      <c r="C84" s="617"/>
      <c r="D84" s="1166"/>
      <c r="E84" s="1166"/>
      <c r="F84" s="1166"/>
      <c r="G84" s="1166"/>
      <c r="H84" s="1166"/>
      <c r="I84" s="1167"/>
      <c r="J84" s="1166"/>
      <c r="K84" s="1167"/>
      <c r="L84" s="1166"/>
      <c r="M84" s="1166"/>
      <c r="N84" s="1166"/>
      <c r="O84" s="280"/>
      <c r="P84" s="1167"/>
      <c r="R84" s="587"/>
      <c r="S84" s="587"/>
      <c r="X84" s="370"/>
      <c r="Y84" s="370"/>
      <c r="Z84" s="370"/>
      <c r="AB84" s="370"/>
      <c r="AC84" s="370"/>
    </row>
    <row r="85" hidden="1">
      <c r="A85" s="280"/>
      <c r="B85" s="280"/>
      <c r="C85" s="617"/>
      <c r="D85" s="1166"/>
      <c r="E85" s="1166"/>
      <c r="F85" s="1166"/>
      <c r="G85" s="1166"/>
      <c r="H85" s="1166"/>
      <c r="I85" s="1167"/>
      <c r="J85" s="1166"/>
      <c r="K85" s="1167"/>
      <c r="L85" s="1166"/>
      <c r="M85" s="1166"/>
      <c r="N85" s="1166"/>
      <c r="O85" s="280"/>
      <c r="P85" s="1167"/>
      <c r="R85" s="587"/>
      <c r="S85" s="587"/>
      <c r="X85" s="370"/>
      <c r="Y85" s="370"/>
      <c r="Z85" s="370"/>
      <c r="AB85" s="370"/>
      <c r="AC85" s="370"/>
    </row>
    <row r="86" hidden="1">
      <c r="A86" s="280"/>
      <c r="B86" s="280"/>
      <c r="C86" s="617"/>
      <c r="D86" s="1166"/>
      <c r="E86" s="1166"/>
      <c r="F86" s="1166"/>
      <c r="G86" s="1166"/>
      <c r="H86" s="1166"/>
      <c r="I86" s="1167"/>
      <c r="J86" s="1166"/>
      <c r="K86" s="1167"/>
      <c r="L86" s="1166"/>
      <c r="M86" s="1166"/>
      <c r="N86" s="1166"/>
      <c r="O86" s="280"/>
      <c r="P86" s="1167"/>
      <c r="R86" s="587"/>
      <c r="S86" s="587"/>
      <c r="X86" s="370"/>
      <c r="Y86" s="370"/>
      <c r="Z86" s="370"/>
      <c r="AB86" s="370"/>
      <c r="AC86" s="370"/>
    </row>
    <row r="87" hidden="1">
      <c r="A87" s="280"/>
      <c r="B87" s="280"/>
      <c r="C87" s="617"/>
      <c r="D87" s="1166"/>
      <c r="E87" s="1166"/>
      <c r="F87" s="1166"/>
      <c r="G87" s="1166"/>
      <c r="H87" s="1166"/>
      <c r="I87" s="1167"/>
      <c r="J87" s="1166"/>
      <c r="K87" s="1167"/>
      <c r="L87" s="1166"/>
      <c r="M87" s="1166"/>
      <c r="N87" s="1166"/>
      <c r="O87" s="280"/>
      <c r="P87" s="1167"/>
      <c r="R87" s="587"/>
      <c r="S87" s="587"/>
      <c r="X87" s="370"/>
      <c r="Y87" s="370"/>
      <c r="Z87" s="370"/>
      <c r="AB87" s="370"/>
      <c r="AC87" s="370"/>
    </row>
    <row r="88" hidden="1">
      <c r="A88" s="280"/>
      <c r="B88" s="280"/>
      <c r="C88" s="617"/>
      <c r="D88" s="1166"/>
      <c r="E88" s="1166"/>
      <c r="F88" s="1166"/>
      <c r="G88" s="1166"/>
      <c r="H88" s="1166"/>
      <c r="I88" s="1167"/>
      <c r="J88" s="1166"/>
      <c r="K88" s="1167"/>
      <c r="L88" s="1166"/>
      <c r="M88" s="1166"/>
      <c r="N88" s="1166"/>
      <c r="O88" s="280"/>
      <c r="P88" s="1167"/>
      <c r="R88" s="587"/>
      <c r="S88" s="587"/>
      <c r="X88" s="370"/>
      <c r="Y88" s="370"/>
      <c r="Z88" s="370"/>
      <c r="AB88" s="370"/>
      <c r="AC88" s="370"/>
    </row>
    <row r="89" hidden="1">
      <c r="A89" s="280"/>
      <c r="B89" s="280"/>
      <c r="C89" s="617"/>
      <c r="D89" s="1166"/>
      <c r="E89" s="1166"/>
      <c r="F89" s="1166"/>
      <c r="G89" s="1166"/>
      <c r="H89" s="1166"/>
      <c r="I89" s="1167"/>
      <c r="J89" s="1166"/>
      <c r="K89" s="1167"/>
      <c r="L89" s="1166"/>
      <c r="M89" s="1166"/>
      <c r="N89" s="1166"/>
      <c r="O89" s="280"/>
      <c r="P89" s="1167"/>
      <c r="R89" s="587"/>
      <c r="S89" s="587"/>
      <c r="X89" s="370"/>
      <c r="Y89" s="370"/>
      <c r="Z89" s="370"/>
      <c r="AB89" s="370"/>
      <c r="AC89" s="370"/>
    </row>
    <row r="90" hidden="1">
      <c r="A90" s="280"/>
      <c r="B90" s="280"/>
      <c r="C90" s="617"/>
      <c r="D90" s="1166"/>
      <c r="E90" s="1166"/>
      <c r="F90" s="1166"/>
      <c r="G90" s="1166"/>
      <c r="H90" s="1166"/>
      <c r="I90" s="1167"/>
      <c r="J90" s="1166"/>
      <c r="K90" s="1167"/>
      <c r="L90" s="1166"/>
      <c r="M90" s="1166"/>
      <c r="N90" s="1166"/>
      <c r="O90" s="280"/>
      <c r="P90" s="1167"/>
      <c r="R90" s="587"/>
      <c r="S90" s="587"/>
      <c r="X90" s="370"/>
      <c r="Y90" s="370"/>
      <c r="Z90" s="370"/>
      <c r="AB90" s="370"/>
      <c r="AC90" s="370"/>
    </row>
    <row r="91" hidden="1">
      <c r="A91" s="280"/>
      <c r="B91" s="280"/>
      <c r="C91" s="617"/>
      <c r="D91" s="1166"/>
      <c r="E91" s="1166"/>
      <c r="F91" s="1166"/>
      <c r="G91" s="1166"/>
      <c r="H91" s="1166"/>
      <c r="I91" s="1167"/>
      <c r="J91" s="1166"/>
      <c r="K91" s="1167"/>
      <c r="L91" s="1166"/>
      <c r="M91" s="1166"/>
      <c r="N91" s="1166"/>
      <c r="O91" s="280"/>
      <c r="P91" s="1167"/>
      <c r="R91" s="587"/>
      <c r="S91" s="587"/>
      <c r="X91" s="370"/>
      <c r="Y91" s="370"/>
      <c r="Z91" s="370"/>
      <c r="AB91" s="370"/>
      <c r="AC91" s="370"/>
    </row>
    <row r="92" hidden="1">
      <c r="A92" s="280"/>
      <c r="B92" s="280"/>
      <c r="C92" s="617"/>
      <c r="D92" s="1166"/>
      <c r="E92" s="1166"/>
      <c r="F92" s="1166"/>
      <c r="G92" s="1166"/>
      <c r="H92" s="1166"/>
      <c r="I92" s="1167"/>
      <c r="J92" s="1166"/>
      <c r="K92" s="1167"/>
      <c r="L92" s="1166"/>
      <c r="M92" s="1166"/>
      <c r="N92" s="1166"/>
      <c r="O92" s="280"/>
      <c r="P92" s="1167"/>
      <c r="R92" s="587"/>
      <c r="S92" s="587"/>
      <c r="X92" s="370"/>
      <c r="Y92" s="370"/>
      <c r="Z92" s="370"/>
      <c r="AB92" s="370"/>
      <c r="AC92" s="370"/>
    </row>
    <row r="93" hidden="1">
      <c r="A93" s="280"/>
      <c r="B93" s="280"/>
      <c r="C93" s="617"/>
      <c r="D93" s="1166"/>
      <c r="E93" s="1166"/>
      <c r="F93" s="1166"/>
      <c r="G93" s="1166"/>
      <c r="H93" s="1166"/>
      <c r="I93" s="1167"/>
      <c r="J93" s="1166"/>
      <c r="K93" s="1167"/>
      <c r="L93" s="1166"/>
      <c r="M93" s="1166"/>
      <c r="N93" s="1166"/>
      <c r="O93" s="280"/>
      <c r="P93" s="1167"/>
      <c r="R93" s="587"/>
      <c r="S93" s="587"/>
      <c r="X93" s="370"/>
      <c r="Y93" s="370"/>
      <c r="Z93" s="370"/>
      <c r="AB93" s="370"/>
      <c r="AC93" s="370"/>
    </row>
    <row r="94" hidden="1">
      <c r="A94" s="280"/>
      <c r="B94" s="280"/>
      <c r="C94" s="617"/>
      <c r="D94" s="1166"/>
      <c r="E94" s="1166"/>
      <c r="F94" s="1166"/>
      <c r="G94" s="1166"/>
      <c r="H94" s="1166"/>
      <c r="I94" s="1167"/>
      <c r="J94" s="1166"/>
      <c r="K94" s="1167"/>
      <c r="L94" s="1166"/>
      <c r="M94" s="1166"/>
      <c r="N94" s="1166"/>
      <c r="O94" s="280"/>
      <c r="P94" s="1167"/>
      <c r="R94" s="587"/>
      <c r="S94" s="587"/>
      <c r="X94" s="370"/>
      <c r="Y94" s="370"/>
      <c r="Z94" s="370"/>
      <c r="AB94" s="370"/>
      <c r="AC94" s="370"/>
    </row>
    <row r="95" hidden="1">
      <c r="A95" s="280"/>
      <c r="B95" s="280"/>
      <c r="C95" s="617"/>
      <c r="D95" s="1166"/>
      <c r="E95" s="1166"/>
      <c r="F95" s="1166"/>
      <c r="G95" s="1166"/>
      <c r="H95" s="1166"/>
      <c r="I95" s="1167"/>
      <c r="J95" s="1166"/>
      <c r="K95" s="1167"/>
      <c r="L95" s="1166"/>
      <c r="M95" s="1166"/>
      <c r="N95" s="1166"/>
      <c r="O95" s="280"/>
      <c r="P95" s="1167"/>
      <c r="R95" s="587"/>
      <c r="S95" s="587"/>
      <c r="X95" s="370"/>
      <c r="Y95" s="370"/>
      <c r="Z95" s="370"/>
      <c r="AB95" s="370"/>
      <c r="AC95" s="370"/>
    </row>
    <row r="96" hidden="1">
      <c r="A96" s="280"/>
      <c r="B96" s="280"/>
      <c r="C96" s="617"/>
      <c r="D96" s="1166"/>
      <c r="E96" s="1166"/>
      <c r="F96" s="1166"/>
      <c r="G96" s="1166"/>
      <c r="H96" s="1166"/>
      <c r="I96" s="1167"/>
      <c r="J96" s="1166"/>
      <c r="K96" s="1167"/>
      <c r="L96" s="1166"/>
      <c r="M96" s="1166"/>
      <c r="N96" s="1166"/>
      <c r="O96" s="280"/>
      <c r="P96" s="1167"/>
      <c r="R96" s="587"/>
      <c r="S96" s="587"/>
      <c r="X96" s="370"/>
      <c r="Y96" s="370"/>
      <c r="Z96" s="370"/>
      <c r="AB96" s="370"/>
      <c r="AC96" s="370"/>
    </row>
    <row r="97" hidden="1">
      <c r="A97" s="280"/>
      <c r="B97" s="280"/>
      <c r="C97" s="617"/>
      <c r="D97" s="1166"/>
      <c r="E97" s="1166"/>
      <c r="F97" s="1166"/>
      <c r="G97" s="1166"/>
      <c r="H97" s="1166"/>
      <c r="I97" s="1167"/>
      <c r="J97" s="1166"/>
      <c r="K97" s="1167"/>
      <c r="L97" s="1166"/>
      <c r="M97" s="1166"/>
      <c r="N97" s="1166"/>
      <c r="O97" s="280"/>
      <c r="P97" s="1167"/>
      <c r="R97" s="587"/>
      <c r="S97" s="587"/>
      <c r="X97" s="370"/>
      <c r="Y97" s="370"/>
      <c r="Z97" s="370"/>
      <c r="AB97" s="370"/>
      <c r="AC97" s="370"/>
    </row>
    <row r="98" hidden="1">
      <c r="A98" s="280"/>
      <c r="B98" s="280"/>
      <c r="C98" s="617"/>
      <c r="D98" s="1166"/>
      <c r="E98" s="1166"/>
      <c r="F98" s="1166"/>
      <c r="G98" s="1166"/>
      <c r="H98" s="1166"/>
      <c r="I98" s="1167"/>
      <c r="J98" s="1166"/>
      <c r="K98" s="1167"/>
      <c r="L98" s="1166"/>
      <c r="M98" s="1166"/>
      <c r="N98" s="1166"/>
      <c r="O98" s="280"/>
      <c r="P98" s="1167"/>
      <c r="R98" s="587"/>
      <c r="S98" s="587"/>
      <c r="X98" s="370"/>
      <c r="Y98" s="370"/>
      <c r="Z98" s="370"/>
      <c r="AB98" s="370"/>
      <c r="AC98" s="370"/>
    </row>
    <row r="99" hidden="1">
      <c r="A99" s="280"/>
      <c r="B99" s="280"/>
      <c r="C99" s="617"/>
      <c r="D99" s="1166"/>
      <c r="E99" s="1166"/>
      <c r="F99" s="1166"/>
      <c r="G99" s="1166"/>
      <c r="H99" s="1166"/>
      <c r="I99" s="1167"/>
      <c r="J99" s="1166"/>
      <c r="K99" s="1167"/>
      <c r="L99" s="1166"/>
      <c r="M99" s="1166"/>
      <c r="N99" s="1166"/>
      <c r="O99" s="280"/>
      <c r="P99" s="1167"/>
      <c r="R99" s="587"/>
      <c r="S99" s="587"/>
      <c r="X99" s="370"/>
      <c r="Y99" s="370"/>
      <c r="Z99" s="370"/>
      <c r="AB99" s="370"/>
      <c r="AC99" s="370"/>
    </row>
    <row r="100" hidden="1">
      <c r="A100" s="280"/>
      <c r="B100" s="280"/>
      <c r="C100" s="617"/>
      <c r="D100" s="1166"/>
      <c r="E100" s="1166"/>
      <c r="F100" s="1166"/>
      <c r="G100" s="1166"/>
      <c r="H100" s="1166"/>
      <c r="I100" s="1167"/>
      <c r="J100" s="1166"/>
      <c r="K100" s="1167"/>
      <c r="L100" s="1166"/>
      <c r="M100" s="1166"/>
      <c r="N100" s="1166"/>
      <c r="O100" s="280"/>
      <c r="P100" s="1167"/>
      <c r="R100" s="587"/>
      <c r="S100" s="587"/>
      <c r="X100" s="370"/>
      <c r="Y100" s="370"/>
      <c r="Z100" s="370"/>
      <c r="AB100" s="370"/>
      <c r="AC100" s="370"/>
    </row>
    <row r="101" hidden="1">
      <c r="A101" s="280"/>
      <c r="B101" s="280"/>
      <c r="C101" s="617"/>
      <c r="D101" s="1166"/>
      <c r="E101" s="1166"/>
      <c r="F101" s="1166"/>
      <c r="G101" s="1166"/>
      <c r="H101" s="1166"/>
      <c r="I101" s="1167"/>
      <c r="J101" s="1166"/>
      <c r="K101" s="1167"/>
      <c r="L101" s="1166"/>
      <c r="M101" s="1166"/>
      <c r="N101" s="1166"/>
      <c r="O101" s="280"/>
      <c r="P101" s="1167"/>
      <c r="R101" s="587"/>
      <c r="S101" s="587"/>
      <c r="X101" s="370"/>
      <c r="Y101" s="370"/>
      <c r="Z101" s="370"/>
      <c r="AB101" s="370"/>
      <c r="AC101" s="370"/>
    </row>
    <row r="102" hidden="1">
      <c r="A102" s="280"/>
      <c r="B102" s="280"/>
      <c r="C102" s="617"/>
      <c r="D102" s="1166"/>
      <c r="E102" s="1166"/>
      <c r="F102" s="1166"/>
      <c r="G102" s="1166"/>
      <c r="H102" s="1166"/>
      <c r="I102" s="1167"/>
      <c r="J102" s="1166"/>
      <c r="K102" s="1167"/>
      <c r="L102" s="1166"/>
      <c r="M102" s="1166"/>
      <c r="N102" s="1166"/>
      <c r="O102" s="280"/>
      <c r="P102" s="1167"/>
      <c r="R102" s="587"/>
      <c r="S102" s="587"/>
      <c r="X102" s="370"/>
      <c r="Y102" s="370"/>
      <c r="Z102" s="370"/>
      <c r="AB102" s="370"/>
      <c r="AC102" s="370"/>
    </row>
    <row r="103" hidden="1">
      <c r="A103" s="280"/>
      <c r="B103" s="280"/>
      <c r="C103" s="617"/>
      <c r="D103" s="1166"/>
      <c r="E103" s="1166"/>
      <c r="F103" s="1166"/>
      <c r="G103" s="1166"/>
      <c r="H103" s="1166"/>
      <c r="I103" s="1167"/>
      <c r="J103" s="1166"/>
      <c r="K103" s="1167"/>
      <c r="L103" s="1166"/>
      <c r="M103" s="1166"/>
      <c r="N103" s="1166"/>
      <c r="O103" s="280"/>
      <c r="P103" s="1167"/>
      <c r="R103" s="587"/>
      <c r="S103" s="587"/>
      <c r="X103" s="370"/>
      <c r="Y103" s="370"/>
      <c r="Z103" s="370"/>
      <c r="AB103" s="370"/>
      <c r="AC103" s="370"/>
    </row>
    <row r="104" hidden="1">
      <c r="A104" s="280"/>
      <c r="B104" s="280"/>
      <c r="C104" s="617"/>
      <c r="D104" s="1166"/>
      <c r="E104" s="1166"/>
      <c r="F104" s="1166"/>
      <c r="G104" s="1166"/>
      <c r="H104" s="1166"/>
      <c r="I104" s="1167"/>
      <c r="J104" s="1166"/>
      <c r="K104" s="1167"/>
      <c r="L104" s="1166"/>
      <c r="M104" s="1166"/>
      <c r="N104" s="1166"/>
      <c r="O104" s="280"/>
      <c r="P104" s="1167"/>
      <c r="R104" s="587"/>
      <c r="S104" s="587"/>
      <c r="X104" s="370"/>
      <c r="Y104" s="370"/>
      <c r="Z104" s="370"/>
      <c r="AB104" s="370"/>
      <c r="AC104" s="370"/>
    </row>
    <row r="105" hidden="1">
      <c r="A105" s="280"/>
      <c r="B105" s="280"/>
      <c r="C105" s="617"/>
      <c r="D105" s="1166"/>
      <c r="E105" s="1166"/>
      <c r="F105" s="1166"/>
      <c r="G105" s="1166"/>
      <c r="H105" s="1166"/>
      <c r="I105" s="1167"/>
      <c r="J105" s="1166"/>
      <c r="K105" s="1167"/>
      <c r="L105" s="1166"/>
      <c r="M105" s="1166"/>
      <c r="N105" s="1166"/>
      <c r="O105" s="280"/>
      <c r="P105" s="1167"/>
      <c r="R105" s="587"/>
      <c r="S105" s="587"/>
      <c r="X105" s="370"/>
      <c r="Y105" s="370"/>
      <c r="Z105" s="370"/>
      <c r="AB105" s="370"/>
      <c r="AC105" s="370"/>
    </row>
    <row r="106" hidden="1">
      <c r="A106" s="280"/>
      <c r="B106" s="280"/>
      <c r="C106" s="617"/>
      <c r="D106" s="1166"/>
      <c r="E106" s="1166"/>
      <c r="F106" s="1166"/>
      <c r="G106" s="1166"/>
      <c r="H106" s="1166"/>
      <c r="I106" s="1167"/>
      <c r="J106" s="1166"/>
      <c r="K106" s="1167"/>
      <c r="L106" s="1166"/>
      <c r="M106" s="1166"/>
      <c r="N106" s="1166"/>
      <c r="O106" s="280"/>
      <c r="P106" s="1167"/>
      <c r="R106" s="587"/>
      <c r="S106" s="587"/>
      <c r="X106" s="370"/>
      <c r="Y106" s="370"/>
      <c r="Z106" s="370"/>
      <c r="AB106" s="370"/>
      <c r="AC106" s="370"/>
    </row>
    <row r="107" hidden="1">
      <c r="A107" s="280"/>
      <c r="B107" s="280"/>
      <c r="C107" s="617"/>
      <c r="D107" s="1166"/>
      <c r="E107" s="1166"/>
      <c r="F107" s="1166"/>
      <c r="G107" s="1166"/>
      <c r="H107" s="1166"/>
      <c r="I107" s="1167"/>
      <c r="J107" s="1166"/>
      <c r="K107" s="1167"/>
      <c r="L107" s="1166"/>
      <c r="M107" s="1166"/>
      <c r="N107" s="1166"/>
      <c r="O107" s="280"/>
      <c r="P107" s="1167"/>
      <c r="R107" s="587"/>
      <c r="S107" s="587"/>
      <c r="X107" s="370"/>
      <c r="Y107" s="370"/>
      <c r="Z107" s="370"/>
      <c r="AB107" s="370"/>
      <c r="AC107" s="370"/>
    </row>
    <row r="108" hidden="1">
      <c r="A108" s="280"/>
      <c r="B108" s="280"/>
      <c r="C108" s="617"/>
      <c r="D108" s="1166"/>
      <c r="E108" s="1166"/>
      <c r="F108" s="1166"/>
      <c r="G108" s="1166"/>
      <c r="H108" s="1166"/>
      <c r="I108" s="1167"/>
      <c r="J108" s="1166"/>
      <c r="K108" s="1167"/>
      <c r="L108" s="1166"/>
      <c r="M108" s="1166"/>
      <c r="N108" s="1166"/>
      <c r="O108" s="280"/>
      <c r="P108" s="1167"/>
      <c r="R108" s="587"/>
      <c r="S108" s="587"/>
      <c r="X108" s="370"/>
      <c r="Y108" s="370"/>
      <c r="Z108" s="370"/>
      <c r="AB108" s="370"/>
      <c r="AC108" s="370"/>
    </row>
    <row r="109" hidden="1">
      <c r="A109" s="280"/>
      <c r="B109" s="280"/>
      <c r="C109" s="617"/>
      <c r="D109" s="1166"/>
      <c r="E109" s="1166"/>
      <c r="F109" s="1166"/>
      <c r="G109" s="1166"/>
      <c r="H109" s="1166"/>
      <c r="I109" s="1167"/>
      <c r="J109" s="1166"/>
      <c r="K109" s="1167"/>
      <c r="L109" s="1166"/>
      <c r="M109" s="1166"/>
      <c r="N109" s="1166"/>
      <c r="O109" s="280"/>
      <c r="P109" s="1167"/>
      <c r="R109" s="587"/>
      <c r="S109" s="587"/>
      <c r="X109" s="370"/>
      <c r="Y109" s="370"/>
      <c r="Z109" s="370"/>
      <c r="AB109" s="370"/>
      <c r="AC109" s="370"/>
    </row>
    <row r="110" hidden="1">
      <c r="A110" s="280"/>
      <c r="B110" s="280"/>
      <c r="C110" s="617"/>
      <c r="D110" s="1166"/>
      <c r="E110" s="1166"/>
      <c r="F110" s="1166"/>
      <c r="G110" s="1166"/>
      <c r="H110" s="1166"/>
      <c r="I110" s="1167"/>
      <c r="J110" s="1166"/>
      <c r="K110" s="1167"/>
      <c r="L110" s="1166"/>
      <c r="M110" s="1166"/>
      <c r="N110" s="1166"/>
      <c r="O110" s="280"/>
      <c r="P110" s="1167"/>
      <c r="R110" s="587"/>
      <c r="S110" s="587"/>
      <c r="X110" s="370"/>
      <c r="Y110" s="370"/>
      <c r="Z110" s="370"/>
      <c r="AB110" s="370"/>
      <c r="AC110" s="370"/>
    </row>
    <row r="111" hidden="1">
      <c r="A111" s="280"/>
      <c r="B111" s="280"/>
      <c r="C111" s="617"/>
      <c r="D111" s="1166"/>
      <c r="E111" s="1166"/>
      <c r="F111" s="1166"/>
      <c r="G111" s="1166"/>
      <c r="H111" s="1166"/>
      <c r="I111" s="1167"/>
      <c r="J111" s="1166"/>
      <c r="K111" s="1167"/>
      <c r="L111" s="1166"/>
      <c r="M111" s="1166"/>
      <c r="N111" s="1166"/>
      <c r="O111" s="280"/>
      <c r="P111" s="1167"/>
      <c r="R111" s="587"/>
      <c r="S111" s="587"/>
      <c r="X111" s="370"/>
      <c r="Y111" s="370"/>
      <c r="Z111" s="370"/>
      <c r="AB111" s="370"/>
      <c r="AC111" s="370"/>
    </row>
    <row r="112" hidden="1">
      <c r="A112" s="280"/>
      <c r="B112" s="280"/>
      <c r="C112" s="617"/>
      <c r="D112" s="1166"/>
      <c r="E112" s="1166"/>
      <c r="F112" s="1166"/>
      <c r="G112" s="1166"/>
      <c r="H112" s="1166"/>
      <c r="I112" s="1167"/>
      <c r="J112" s="1166"/>
      <c r="K112" s="1167"/>
      <c r="L112" s="1166"/>
      <c r="M112" s="1166"/>
      <c r="N112" s="1166"/>
      <c r="O112" s="280"/>
      <c r="P112" s="1167"/>
      <c r="R112" s="587"/>
      <c r="S112" s="587"/>
      <c r="X112" s="370"/>
      <c r="Y112" s="370"/>
      <c r="Z112" s="370"/>
      <c r="AB112" s="370"/>
      <c r="AC112" s="370"/>
    </row>
    <row r="113" hidden="1">
      <c r="A113" s="280"/>
      <c r="B113" s="280"/>
      <c r="C113" s="617"/>
      <c r="D113" s="1166"/>
      <c r="E113" s="1166"/>
      <c r="F113" s="1166"/>
      <c r="G113" s="1166"/>
      <c r="H113" s="1166"/>
      <c r="I113" s="1167"/>
      <c r="J113" s="1166"/>
      <c r="K113" s="1167"/>
      <c r="L113" s="1166"/>
      <c r="M113" s="1166"/>
      <c r="N113" s="1166"/>
      <c r="O113" s="280"/>
      <c r="P113" s="1167"/>
      <c r="R113" s="587"/>
      <c r="S113" s="587"/>
      <c r="X113" s="370"/>
      <c r="Y113" s="370"/>
      <c r="Z113" s="370"/>
      <c r="AB113" s="370"/>
      <c r="AC113" s="370"/>
    </row>
    <row r="114" hidden="1">
      <c r="A114" s="280"/>
      <c r="B114" s="280"/>
      <c r="C114" s="617"/>
      <c r="D114" s="1166"/>
      <c r="E114" s="1166"/>
      <c r="F114" s="1166"/>
      <c r="G114" s="1166"/>
      <c r="H114" s="1166"/>
      <c r="I114" s="1167"/>
      <c r="J114" s="1166"/>
      <c r="K114" s="1167"/>
      <c r="L114" s="1166"/>
      <c r="M114" s="1166"/>
      <c r="N114" s="1166"/>
      <c r="O114" s="280"/>
      <c r="P114" s="1167"/>
      <c r="R114" s="587"/>
      <c r="S114" s="587"/>
      <c r="X114" s="370"/>
      <c r="Y114" s="370"/>
      <c r="Z114" s="370"/>
      <c r="AB114" s="370"/>
      <c r="AC114" s="370"/>
    </row>
    <row r="115" hidden="1">
      <c r="A115" s="280"/>
      <c r="B115" s="280"/>
      <c r="C115" s="617"/>
      <c r="D115" s="1166"/>
      <c r="E115" s="1166"/>
      <c r="F115" s="1166"/>
      <c r="G115" s="1166"/>
      <c r="H115" s="1166"/>
      <c r="I115" s="1167"/>
      <c r="J115" s="1166"/>
      <c r="K115" s="1167"/>
      <c r="L115" s="1166"/>
      <c r="M115" s="1166"/>
      <c r="N115" s="1166"/>
      <c r="O115" s="280"/>
      <c r="P115" s="1167"/>
      <c r="R115" s="587"/>
      <c r="S115" s="587"/>
      <c r="X115" s="370"/>
      <c r="Y115" s="370"/>
      <c r="Z115" s="370"/>
      <c r="AB115" s="370"/>
      <c r="AC115" s="370"/>
    </row>
    <row r="116" hidden="1">
      <c r="A116" s="280"/>
      <c r="B116" s="280"/>
      <c r="C116" s="617"/>
      <c r="D116" s="1166"/>
      <c r="E116" s="1166"/>
      <c r="F116" s="1166"/>
      <c r="G116" s="1166"/>
      <c r="H116" s="1166"/>
      <c r="I116" s="1167"/>
      <c r="J116" s="1166"/>
      <c r="K116" s="1167"/>
      <c r="L116" s="1166"/>
      <c r="M116" s="1166"/>
      <c r="N116" s="1166"/>
      <c r="O116" s="280"/>
      <c r="P116" s="1167"/>
      <c r="R116" s="587"/>
      <c r="S116" s="587"/>
      <c r="X116" s="370"/>
      <c r="Y116" s="370"/>
      <c r="Z116" s="370"/>
      <c r="AB116" s="370"/>
      <c r="AC116" s="370"/>
    </row>
    <row r="117" hidden="1">
      <c r="A117" s="280"/>
      <c r="B117" s="280"/>
      <c r="C117" s="617"/>
      <c r="D117" s="1166"/>
      <c r="E117" s="1166"/>
      <c r="F117" s="1166"/>
      <c r="G117" s="1166"/>
      <c r="H117" s="1166"/>
      <c r="I117" s="1167"/>
      <c r="J117" s="1166"/>
      <c r="K117" s="1167"/>
      <c r="L117" s="1166"/>
      <c r="M117" s="1166"/>
      <c r="N117" s="1166"/>
      <c r="O117" s="280"/>
      <c r="P117" s="1167"/>
      <c r="R117" s="587"/>
      <c r="S117" s="587"/>
      <c r="X117" s="370"/>
      <c r="Y117" s="370"/>
      <c r="Z117" s="370"/>
      <c r="AB117" s="370"/>
      <c r="AC117" s="370"/>
    </row>
    <row r="118" hidden="1">
      <c r="A118" s="280"/>
      <c r="B118" s="280"/>
      <c r="C118" s="617"/>
      <c r="D118" s="1166"/>
      <c r="E118" s="1166"/>
      <c r="F118" s="1166"/>
      <c r="G118" s="1166"/>
      <c r="H118" s="1166"/>
      <c r="I118" s="1167"/>
      <c r="J118" s="1166"/>
      <c r="K118" s="1167"/>
      <c r="L118" s="1166"/>
      <c r="M118" s="1166"/>
      <c r="N118" s="1166"/>
      <c r="O118" s="280"/>
      <c r="P118" s="1167"/>
      <c r="R118" s="587"/>
      <c r="S118" s="587"/>
      <c r="X118" s="370"/>
      <c r="Y118" s="370"/>
      <c r="Z118" s="370"/>
      <c r="AB118" s="370"/>
      <c r="AC118" s="370"/>
    </row>
    <row r="119" hidden="1">
      <c r="A119" s="280"/>
      <c r="B119" s="280"/>
      <c r="C119" s="617"/>
      <c r="D119" s="1166"/>
      <c r="E119" s="1166"/>
      <c r="F119" s="1166"/>
      <c r="G119" s="1166"/>
      <c r="H119" s="1166"/>
      <c r="I119" s="1167"/>
      <c r="J119" s="1166"/>
      <c r="K119" s="1167"/>
      <c r="L119" s="1166"/>
      <c r="M119" s="1166"/>
      <c r="N119" s="1166"/>
      <c r="O119" s="280"/>
      <c r="P119" s="1167"/>
      <c r="R119" s="587"/>
      <c r="S119" s="587"/>
      <c r="X119" s="370"/>
      <c r="Y119" s="370"/>
      <c r="Z119" s="370"/>
      <c r="AB119" s="370"/>
      <c r="AC119" s="370"/>
    </row>
    <row r="120" hidden="1">
      <c r="A120" s="280"/>
      <c r="B120" s="280"/>
      <c r="C120" s="617"/>
      <c r="D120" s="1166"/>
      <c r="E120" s="1166"/>
      <c r="F120" s="1166"/>
      <c r="G120" s="1166"/>
      <c r="H120" s="1166"/>
      <c r="I120" s="1167"/>
      <c r="J120" s="1166"/>
      <c r="K120" s="1167"/>
      <c r="L120" s="1166"/>
      <c r="M120" s="1166"/>
      <c r="N120" s="1166"/>
      <c r="O120" s="280"/>
      <c r="P120" s="1167"/>
      <c r="R120" s="587"/>
      <c r="S120" s="587"/>
      <c r="X120" s="370"/>
      <c r="Y120" s="370"/>
      <c r="Z120" s="370"/>
      <c r="AB120" s="370"/>
      <c r="AC120" s="370"/>
    </row>
    <row r="121" hidden="1">
      <c r="A121" s="280"/>
      <c r="B121" s="280"/>
      <c r="C121" s="617"/>
      <c r="D121" s="1166"/>
      <c r="E121" s="1166"/>
      <c r="F121" s="1166"/>
      <c r="G121" s="1166"/>
      <c r="H121" s="1166"/>
      <c r="I121" s="1167"/>
      <c r="J121" s="1166"/>
      <c r="K121" s="1167"/>
      <c r="L121" s="1166"/>
      <c r="M121" s="1166"/>
      <c r="N121" s="1166"/>
      <c r="O121" s="280"/>
      <c r="P121" s="1167"/>
      <c r="R121" s="587"/>
      <c r="S121" s="587"/>
      <c r="X121" s="370"/>
      <c r="Y121" s="370"/>
      <c r="Z121" s="370"/>
      <c r="AB121" s="370"/>
      <c r="AC121" s="370"/>
    </row>
    <row r="122" hidden="1">
      <c r="A122" s="280"/>
      <c r="B122" s="280"/>
      <c r="C122" s="617"/>
      <c r="D122" s="1166"/>
      <c r="E122" s="1166"/>
      <c r="F122" s="1166"/>
      <c r="G122" s="1166"/>
      <c r="H122" s="1166"/>
      <c r="I122" s="1167"/>
      <c r="J122" s="1166"/>
      <c r="K122" s="1167"/>
      <c r="L122" s="1166"/>
      <c r="M122" s="1166"/>
      <c r="N122" s="1166"/>
      <c r="O122" s="280"/>
      <c r="P122" s="1167"/>
      <c r="R122" s="587"/>
      <c r="S122" s="587"/>
      <c r="X122" s="370"/>
      <c r="Y122" s="370"/>
      <c r="Z122" s="370"/>
      <c r="AB122" s="370"/>
      <c r="AC122" s="370"/>
    </row>
    <row r="123" hidden="1">
      <c r="A123" s="280"/>
      <c r="B123" s="280"/>
      <c r="C123" s="617"/>
      <c r="D123" s="1166"/>
      <c r="E123" s="1166"/>
      <c r="F123" s="1166"/>
      <c r="G123" s="1166"/>
      <c r="H123" s="1166"/>
      <c r="I123" s="1167"/>
      <c r="J123" s="1166"/>
      <c r="K123" s="1167"/>
      <c r="L123" s="1166"/>
      <c r="M123" s="1166"/>
      <c r="N123" s="1166"/>
      <c r="O123" s="280"/>
      <c r="P123" s="1167"/>
      <c r="R123" s="587"/>
      <c r="S123" s="587"/>
      <c r="X123" s="370"/>
      <c r="Y123" s="370"/>
      <c r="Z123" s="370"/>
      <c r="AB123" s="370"/>
      <c r="AC123" s="370"/>
    </row>
    <row r="124" hidden="1">
      <c r="A124" s="280"/>
      <c r="B124" s="280"/>
      <c r="C124" s="617"/>
      <c r="D124" s="1166"/>
      <c r="E124" s="1166"/>
      <c r="F124" s="1166"/>
      <c r="G124" s="1166"/>
      <c r="H124" s="1166"/>
      <c r="I124" s="1167"/>
      <c r="J124" s="1166"/>
      <c r="K124" s="1167"/>
      <c r="L124" s="1166"/>
      <c r="M124" s="1166"/>
      <c r="N124" s="1166"/>
      <c r="O124" s="280"/>
      <c r="P124" s="1167"/>
      <c r="R124" s="587"/>
      <c r="S124" s="587"/>
      <c r="X124" s="370"/>
      <c r="Y124" s="370"/>
      <c r="Z124" s="370"/>
      <c r="AB124" s="370"/>
      <c r="AC124" s="370"/>
    </row>
    <row r="125" hidden="1">
      <c r="A125" s="280"/>
      <c r="B125" s="280"/>
      <c r="C125" s="617"/>
      <c r="D125" s="1166"/>
      <c r="E125" s="1166"/>
      <c r="F125" s="1166"/>
      <c r="G125" s="1166"/>
      <c r="H125" s="1166"/>
      <c r="I125" s="1167"/>
      <c r="J125" s="1166"/>
      <c r="K125" s="1167"/>
      <c r="L125" s="1166"/>
      <c r="M125" s="1166"/>
      <c r="N125" s="1166"/>
      <c r="O125" s="280"/>
      <c r="P125" s="1167"/>
      <c r="R125" s="587"/>
      <c r="S125" s="587"/>
      <c r="X125" s="370"/>
      <c r="Y125" s="370"/>
      <c r="Z125" s="370"/>
      <c r="AB125" s="370"/>
      <c r="AC125" s="370"/>
    </row>
    <row r="126" hidden="1">
      <c r="A126" s="280"/>
      <c r="B126" s="280"/>
      <c r="C126" s="617"/>
      <c r="D126" s="1166"/>
      <c r="E126" s="1166"/>
      <c r="F126" s="1166"/>
      <c r="G126" s="1166"/>
      <c r="H126" s="1166"/>
      <c r="I126" s="1167"/>
      <c r="J126" s="1166"/>
      <c r="K126" s="1167"/>
      <c r="L126" s="1166"/>
      <c r="M126" s="1166"/>
      <c r="N126" s="1166"/>
      <c r="O126" s="280"/>
      <c r="P126" s="1167"/>
      <c r="R126" s="587"/>
      <c r="S126" s="587"/>
      <c r="X126" s="370"/>
      <c r="Y126" s="370"/>
      <c r="Z126" s="370"/>
      <c r="AB126" s="370"/>
      <c r="AC126" s="370"/>
    </row>
    <row r="127" hidden="1">
      <c r="A127" s="280"/>
      <c r="B127" s="280"/>
      <c r="C127" s="617"/>
      <c r="D127" s="1166"/>
      <c r="E127" s="1166"/>
      <c r="F127" s="1166"/>
      <c r="G127" s="1166"/>
      <c r="H127" s="1166"/>
      <c r="I127" s="1167"/>
      <c r="J127" s="1166"/>
      <c r="K127" s="1167"/>
      <c r="L127" s="1166"/>
      <c r="M127" s="1166"/>
      <c r="N127" s="1166"/>
      <c r="O127" s="280"/>
      <c r="P127" s="1167"/>
      <c r="R127" s="587"/>
      <c r="S127" s="587"/>
      <c r="X127" s="370"/>
      <c r="Y127" s="370"/>
      <c r="Z127" s="370"/>
      <c r="AB127" s="370"/>
      <c r="AC127" s="370"/>
    </row>
    <row r="128" hidden="1">
      <c r="A128" s="280"/>
      <c r="B128" s="280"/>
      <c r="C128" s="617"/>
      <c r="D128" s="1166"/>
      <c r="E128" s="1166"/>
      <c r="F128" s="1166"/>
      <c r="G128" s="1166"/>
      <c r="H128" s="1166"/>
      <c r="I128" s="1167"/>
      <c r="J128" s="1166"/>
      <c r="K128" s="1167"/>
      <c r="L128" s="1166"/>
      <c r="M128" s="1166"/>
      <c r="N128" s="1166"/>
      <c r="O128" s="280"/>
      <c r="P128" s="1167"/>
      <c r="R128" s="587"/>
      <c r="S128" s="587"/>
      <c r="X128" s="370"/>
      <c r="Y128" s="370"/>
      <c r="Z128" s="370"/>
      <c r="AB128" s="370"/>
      <c r="AC128" s="370"/>
    </row>
    <row r="129" hidden="1">
      <c r="A129" s="280"/>
      <c r="B129" s="280"/>
      <c r="C129" s="617"/>
      <c r="D129" s="1166"/>
      <c r="E129" s="1166"/>
      <c r="F129" s="1166"/>
      <c r="G129" s="1166"/>
      <c r="H129" s="1166"/>
      <c r="I129" s="1167"/>
      <c r="J129" s="1166"/>
      <c r="K129" s="1167"/>
      <c r="L129" s="1166"/>
      <c r="M129" s="1166"/>
      <c r="N129" s="1166"/>
      <c r="O129" s="280"/>
      <c r="P129" s="1167"/>
      <c r="R129" s="587"/>
      <c r="S129" s="587"/>
      <c r="X129" s="370"/>
      <c r="Y129" s="370"/>
      <c r="Z129" s="370"/>
      <c r="AB129" s="370"/>
      <c r="AC129" s="370"/>
    </row>
    <row r="130" hidden="1">
      <c r="A130" s="280"/>
      <c r="B130" s="280"/>
      <c r="C130" s="617"/>
      <c r="D130" s="1166"/>
      <c r="E130" s="1166"/>
      <c r="F130" s="1166"/>
      <c r="G130" s="1166"/>
      <c r="H130" s="1166"/>
      <c r="I130" s="1167"/>
      <c r="J130" s="1166"/>
      <c r="K130" s="1167"/>
      <c r="L130" s="1166"/>
      <c r="M130" s="1166"/>
      <c r="N130" s="1166"/>
      <c r="O130" s="280"/>
      <c r="P130" s="1167"/>
      <c r="R130" s="587"/>
      <c r="S130" s="587"/>
      <c r="X130" s="370"/>
      <c r="Y130" s="370"/>
      <c r="Z130" s="370"/>
      <c r="AB130" s="370"/>
      <c r="AC130" s="370"/>
    </row>
    <row r="131" hidden="1">
      <c r="A131" s="280"/>
      <c r="B131" s="280"/>
      <c r="C131" s="617"/>
      <c r="D131" s="1166"/>
      <c r="E131" s="1166"/>
      <c r="F131" s="1166"/>
      <c r="G131" s="1166"/>
      <c r="H131" s="1166"/>
      <c r="I131" s="1167"/>
      <c r="J131" s="1166"/>
      <c r="K131" s="1167"/>
      <c r="L131" s="1166"/>
      <c r="M131" s="1166"/>
      <c r="N131" s="1166"/>
      <c r="O131" s="280"/>
      <c r="P131" s="1167"/>
      <c r="R131" s="587"/>
      <c r="S131" s="587"/>
      <c r="X131" s="370"/>
      <c r="Y131" s="370"/>
      <c r="Z131" s="370"/>
      <c r="AB131" s="370"/>
      <c r="AC131" s="370"/>
    </row>
    <row r="132" hidden="1">
      <c r="A132" s="280"/>
      <c r="B132" s="280"/>
      <c r="C132" s="617"/>
      <c r="D132" s="1166"/>
      <c r="E132" s="1166"/>
      <c r="F132" s="1166"/>
      <c r="G132" s="1166"/>
      <c r="H132" s="1166"/>
      <c r="I132" s="1167"/>
      <c r="J132" s="1166"/>
      <c r="K132" s="1167"/>
      <c r="L132" s="1166"/>
      <c r="M132" s="1166"/>
      <c r="N132" s="1166"/>
      <c r="O132" s="280"/>
      <c r="P132" s="1167"/>
      <c r="R132" s="587"/>
      <c r="S132" s="587"/>
      <c r="X132" s="370"/>
      <c r="Y132" s="370"/>
      <c r="Z132" s="370"/>
      <c r="AB132" s="370"/>
      <c r="AC132" s="370"/>
    </row>
    <row r="133" hidden="1">
      <c r="A133" s="280"/>
      <c r="B133" s="280"/>
      <c r="C133" s="617"/>
      <c r="D133" s="1166"/>
      <c r="E133" s="1166"/>
      <c r="F133" s="1166"/>
      <c r="G133" s="1166"/>
      <c r="H133" s="1166"/>
      <c r="I133" s="1167"/>
      <c r="J133" s="1166"/>
      <c r="K133" s="1167"/>
      <c r="L133" s="1166"/>
      <c r="M133" s="1166"/>
      <c r="N133" s="1166"/>
      <c r="O133" s="280"/>
      <c r="P133" s="1167"/>
      <c r="R133" s="587"/>
      <c r="S133" s="587"/>
      <c r="X133" s="370"/>
      <c r="Y133" s="370"/>
      <c r="Z133" s="370"/>
      <c r="AB133" s="370"/>
      <c r="AC133" s="370"/>
    </row>
    <row r="134" hidden="1">
      <c r="A134" s="280"/>
      <c r="B134" s="280"/>
      <c r="C134" s="617"/>
      <c r="D134" s="1166"/>
      <c r="E134" s="1166"/>
      <c r="F134" s="1166"/>
      <c r="G134" s="1166"/>
      <c r="H134" s="1166"/>
      <c r="I134" s="1167"/>
      <c r="J134" s="1166"/>
      <c r="K134" s="1167"/>
      <c r="L134" s="1166"/>
      <c r="M134" s="1166"/>
      <c r="N134" s="1166"/>
      <c r="O134" s="280"/>
      <c r="P134" s="1167"/>
      <c r="R134" s="587"/>
      <c r="S134" s="587"/>
      <c r="X134" s="370"/>
      <c r="Y134" s="370"/>
      <c r="Z134" s="370"/>
      <c r="AB134" s="370"/>
      <c r="AC134" s="370"/>
    </row>
    <row r="135" hidden="1">
      <c r="A135" s="280"/>
      <c r="B135" s="280"/>
      <c r="C135" s="617"/>
      <c r="D135" s="1166"/>
      <c r="E135" s="1166"/>
      <c r="F135" s="1166"/>
      <c r="G135" s="1166"/>
      <c r="H135" s="1166"/>
      <c r="I135" s="1167"/>
      <c r="J135" s="1166"/>
      <c r="K135" s="1167"/>
      <c r="L135" s="1166"/>
      <c r="M135" s="1166"/>
      <c r="N135" s="1166"/>
      <c r="O135" s="280"/>
      <c r="P135" s="1167"/>
      <c r="R135" s="587"/>
      <c r="S135" s="587"/>
      <c r="X135" s="370"/>
      <c r="Y135" s="370"/>
      <c r="Z135" s="370"/>
      <c r="AB135" s="370"/>
      <c r="AC135" s="370"/>
    </row>
    <row r="136" hidden="1">
      <c r="A136" s="280"/>
      <c r="B136" s="280"/>
      <c r="C136" s="617"/>
      <c r="D136" s="1166"/>
      <c r="E136" s="1166"/>
      <c r="F136" s="1166"/>
      <c r="G136" s="1166"/>
      <c r="H136" s="1166"/>
      <c r="I136" s="1167"/>
      <c r="J136" s="1166"/>
      <c r="K136" s="1167"/>
      <c r="L136" s="1166"/>
      <c r="M136" s="1166"/>
      <c r="N136" s="1166"/>
      <c r="O136" s="280"/>
      <c r="P136" s="1167"/>
      <c r="R136" s="587"/>
      <c r="S136" s="587"/>
      <c r="X136" s="370"/>
      <c r="Y136" s="370"/>
      <c r="Z136" s="370"/>
      <c r="AB136" s="370"/>
      <c r="AC136" s="370"/>
    </row>
    <row r="137" hidden="1">
      <c r="A137" s="280"/>
      <c r="B137" s="280"/>
      <c r="C137" s="617"/>
      <c r="D137" s="1166"/>
      <c r="E137" s="1166"/>
      <c r="F137" s="1166"/>
      <c r="G137" s="1166"/>
      <c r="H137" s="1166"/>
      <c r="I137" s="1167"/>
      <c r="J137" s="1166"/>
      <c r="K137" s="1167"/>
      <c r="L137" s="1166"/>
      <c r="M137" s="1166"/>
      <c r="N137" s="1166"/>
      <c r="O137" s="280"/>
      <c r="P137" s="1167"/>
      <c r="R137" s="587"/>
      <c r="S137" s="587"/>
      <c r="X137" s="370"/>
      <c r="Y137" s="370"/>
      <c r="Z137" s="370"/>
      <c r="AB137" s="370"/>
      <c r="AC137" s="370"/>
    </row>
    <row r="138" hidden="1">
      <c r="A138" s="280"/>
      <c r="B138" s="280"/>
      <c r="C138" s="617"/>
      <c r="D138" s="1166"/>
      <c r="E138" s="1166"/>
      <c r="F138" s="1166"/>
      <c r="G138" s="1166"/>
      <c r="H138" s="1166"/>
      <c r="I138" s="1167"/>
      <c r="J138" s="1166"/>
      <c r="K138" s="1167"/>
      <c r="L138" s="1166"/>
      <c r="M138" s="1166"/>
      <c r="N138" s="1166"/>
      <c r="O138" s="280"/>
      <c r="P138" s="1167"/>
      <c r="R138" s="587"/>
      <c r="S138" s="587"/>
      <c r="X138" s="370"/>
      <c r="Y138" s="370"/>
      <c r="Z138" s="370"/>
      <c r="AB138" s="370"/>
      <c r="AC138" s="370"/>
    </row>
    <row r="139" hidden="1">
      <c r="A139" s="280"/>
      <c r="B139" s="280"/>
      <c r="C139" s="617"/>
      <c r="D139" s="1166"/>
      <c r="E139" s="1166"/>
      <c r="F139" s="1166"/>
      <c r="G139" s="1166"/>
      <c r="H139" s="1166"/>
      <c r="I139" s="1167"/>
      <c r="J139" s="1166"/>
      <c r="K139" s="1167"/>
      <c r="L139" s="1166"/>
      <c r="M139" s="1166"/>
      <c r="N139" s="1166"/>
      <c r="O139" s="280"/>
      <c r="P139" s="1167"/>
      <c r="R139" s="587"/>
      <c r="S139" s="587"/>
      <c r="X139" s="370"/>
      <c r="Y139" s="370"/>
      <c r="Z139" s="370"/>
      <c r="AB139" s="370"/>
      <c r="AC139" s="370"/>
    </row>
    <row r="140" hidden="1">
      <c r="A140" s="280"/>
      <c r="B140" s="280"/>
      <c r="C140" s="617"/>
      <c r="D140" s="1166"/>
      <c r="E140" s="1166"/>
      <c r="F140" s="1166"/>
      <c r="G140" s="1166"/>
      <c r="H140" s="1166"/>
      <c r="I140" s="1167"/>
      <c r="J140" s="1166"/>
      <c r="K140" s="1167"/>
      <c r="L140" s="1166"/>
      <c r="M140" s="1166"/>
      <c r="N140" s="1166"/>
      <c r="O140" s="280"/>
      <c r="P140" s="1167"/>
      <c r="R140" s="587"/>
      <c r="S140" s="587"/>
      <c r="X140" s="370"/>
      <c r="Y140" s="370"/>
      <c r="Z140" s="370"/>
      <c r="AB140" s="370"/>
      <c r="AC140" s="370"/>
    </row>
    <row r="141" hidden="1">
      <c r="A141" s="280"/>
      <c r="B141" s="280"/>
      <c r="C141" s="617"/>
      <c r="D141" s="1166"/>
      <c r="E141" s="1166"/>
      <c r="F141" s="1166"/>
      <c r="G141" s="1166"/>
      <c r="H141" s="1166"/>
      <c r="I141" s="1167"/>
      <c r="J141" s="1166"/>
      <c r="K141" s="1167"/>
      <c r="L141" s="1166"/>
      <c r="M141" s="1166"/>
      <c r="N141" s="1166"/>
      <c r="O141" s="280"/>
      <c r="P141" s="1167"/>
      <c r="R141" s="587"/>
      <c r="S141" s="587"/>
      <c r="X141" s="370"/>
      <c r="Y141" s="370"/>
      <c r="Z141" s="370"/>
      <c r="AB141" s="370"/>
      <c r="AC141" s="370"/>
    </row>
    <row r="142" hidden="1">
      <c r="A142" s="280"/>
      <c r="B142" s="280"/>
      <c r="C142" s="617"/>
      <c r="D142" s="1166"/>
      <c r="E142" s="1166"/>
      <c r="F142" s="1166"/>
      <c r="G142" s="1166"/>
      <c r="H142" s="1166"/>
      <c r="I142" s="1167"/>
      <c r="J142" s="1166"/>
      <c r="K142" s="1167"/>
      <c r="L142" s="1166"/>
      <c r="M142" s="1166"/>
      <c r="N142" s="1166"/>
      <c r="O142" s="280"/>
      <c r="P142" s="1167"/>
      <c r="R142" s="587"/>
      <c r="S142" s="587"/>
      <c r="X142" s="370"/>
      <c r="Y142" s="370"/>
      <c r="Z142" s="370"/>
      <c r="AB142" s="370"/>
      <c r="AC142" s="370"/>
    </row>
    <row r="143" hidden="1">
      <c r="A143" s="280"/>
      <c r="B143" s="280"/>
      <c r="C143" s="617"/>
      <c r="D143" s="1166"/>
      <c r="E143" s="1166"/>
      <c r="F143" s="1166"/>
      <c r="G143" s="1166"/>
      <c r="H143" s="1166"/>
      <c r="I143" s="1167"/>
      <c r="J143" s="1166"/>
      <c r="K143" s="1167"/>
      <c r="L143" s="1166"/>
      <c r="M143" s="1166"/>
      <c r="N143" s="1166"/>
      <c r="O143" s="280"/>
      <c r="P143" s="1167"/>
      <c r="R143" s="587"/>
      <c r="S143" s="587"/>
      <c r="X143" s="370"/>
      <c r="Y143" s="370"/>
      <c r="Z143" s="370"/>
      <c r="AB143" s="370"/>
      <c r="AC143" s="370"/>
    </row>
    <row r="144" hidden="1">
      <c r="A144" s="280"/>
      <c r="B144" s="280"/>
      <c r="C144" s="617"/>
      <c r="D144" s="1166"/>
      <c r="E144" s="1166"/>
      <c r="F144" s="1166"/>
      <c r="G144" s="1166"/>
      <c r="H144" s="1166"/>
      <c r="I144" s="1167"/>
      <c r="J144" s="1166"/>
      <c r="K144" s="1167"/>
      <c r="L144" s="1166"/>
      <c r="M144" s="1166"/>
      <c r="N144" s="1166"/>
      <c r="O144" s="280"/>
      <c r="P144" s="1167"/>
      <c r="R144" s="587"/>
      <c r="S144" s="587"/>
      <c r="X144" s="370"/>
      <c r="Y144" s="370"/>
      <c r="Z144" s="370"/>
      <c r="AB144" s="370"/>
      <c r="AC144" s="370"/>
    </row>
    <row r="145" hidden="1">
      <c r="A145" s="280"/>
      <c r="B145" s="280"/>
      <c r="C145" s="617"/>
      <c r="D145" s="1166"/>
      <c r="E145" s="1166"/>
      <c r="F145" s="1166"/>
      <c r="G145" s="1166"/>
      <c r="H145" s="1166"/>
      <c r="I145" s="1167"/>
      <c r="J145" s="1166"/>
      <c r="K145" s="1167"/>
      <c r="L145" s="1166"/>
      <c r="M145" s="1166"/>
      <c r="N145" s="1166"/>
      <c r="O145" s="280"/>
      <c r="P145" s="1167"/>
      <c r="R145" s="587"/>
      <c r="S145" s="587"/>
      <c r="X145" s="370"/>
      <c r="Y145" s="370"/>
      <c r="Z145" s="370"/>
      <c r="AB145" s="370"/>
      <c r="AC145" s="370"/>
    </row>
    <row r="146" hidden="1">
      <c r="A146" s="280"/>
      <c r="B146" s="280"/>
      <c r="C146" s="617"/>
      <c r="D146" s="1166"/>
      <c r="E146" s="1166"/>
      <c r="F146" s="1166"/>
      <c r="G146" s="1166"/>
      <c r="H146" s="1166"/>
      <c r="I146" s="1167"/>
      <c r="J146" s="1166"/>
      <c r="K146" s="1167"/>
      <c r="L146" s="1166"/>
      <c r="M146" s="1166"/>
      <c r="N146" s="1166"/>
      <c r="O146" s="280"/>
      <c r="P146" s="1167"/>
      <c r="R146" s="587"/>
      <c r="S146" s="587"/>
      <c r="X146" s="370"/>
      <c r="Y146" s="370"/>
      <c r="Z146" s="370"/>
      <c r="AB146" s="370"/>
      <c r="AC146" s="370"/>
    </row>
    <row r="147" hidden="1">
      <c r="A147" s="280"/>
      <c r="B147" s="280"/>
      <c r="C147" s="617"/>
      <c r="D147" s="1166"/>
      <c r="E147" s="1166"/>
      <c r="F147" s="1166"/>
      <c r="G147" s="1166"/>
      <c r="H147" s="1166"/>
      <c r="I147" s="1167"/>
      <c r="J147" s="1166"/>
      <c r="K147" s="1167"/>
      <c r="L147" s="1166"/>
      <c r="M147" s="1166"/>
      <c r="N147" s="1166"/>
      <c r="O147" s="280"/>
      <c r="P147" s="1167"/>
      <c r="R147" s="587"/>
      <c r="S147" s="587"/>
      <c r="X147" s="370"/>
      <c r="Y147" s="370"/>
      <c r="Z147" s="370"/>
      <c r="AB147" s="370"/>
      <c r="AC147" s="370"/>
    </row>
    <row r="148" hidden="1">
      <c r="A148" s="280"/>
      <c r="B148" s="280"/>
      <c r="C148" s="617"/>
      <c r="D148" s="1166"/>
      <c r="E148" s="1166"/>
      <c r="F148" s="1166"/>
      <c r="G148" s="1166"/>
      <c r="H148" s="1166"/>
      <c r="I148" s="1167"/>
      <c r="J148" s="1166"/>
      <c r="K148" s="1167"/>
      <c r="L148" s="1166"/>
      <c r="M148" s="1166"/>
      <c r="N148" s="1166"/>
      <c r="O148" s="280"/>
      <c r="P148" s="1167"/>
      <c r="R148" s="587"/>
      <c r="S148" s="587"/>
      <c r="X148" s="370"/>
      <c r="Y148" s="370"/>
      <c r="Z148" s="370"/>
      <c r="AB148" s="370"/>
      <c r="AC148" s="370"/>
    </row>
    <row r="149" hidden="1">
      <c r="A149" s="280"/>
      <c r="B149" s="280"/>
      <c r="C149" s="617"/>
      <c r="D149" s="1166"/>
      <c r="E149" s="1166"/>
      <c r="F149" s="1166"/>
      <c r="G149" s="1166"/>
      <c r="H149" s="1166"/>
      <c r="I149" s="1167"/>
      <c r="J149" s="1166"/>
      <c r="K149" s="1167"/>
      <c r="L149" s="1166"/>
      <c r="M149" s="1166"/>
      <c r="N149" s="1166"/>
      <c r="O149" s="280"/>
      <c r="P149" s="1167"/>
      <c r="R149" s="587"/>
      <c r="S149" s="587"/>
      <c r="X149" s="370"/>
      <c r="Y149" s="370"/>
      <c r="Z149" s="370"/>
      <c r="AB149" s="370"/>
      <c r="AC149" s="370"/>
    </row>
    <row r="150" hidden="1">
      <c r="A150" s="280"/>
      <c r="B150" s="280"/>
      <c r="C150" s="617"/>
      <c r="D150" s="1166"/>
      <c r="E150" s="1166"/>
      <c r="F150" s="1166"/>
      <c r="G150" s="1166"/>
      <c r="H150" s="1166"/>
      <c r="I150" s="1167"/>
      <c r="J150" s="1166"/>
      <c r="K150" s="1167"/>
      <c r="L150" s="1166"/>
      <c r="M150" s="1166"/>
      <c r="N150" s="1166"/>
      <c r="O150" s="280"/>
      <c r="P150" s="1167"/>
      <c r="R150" s="587"/>
      <c r="S150" s="587"/>
      <c r="X150" s="370"/>
      <c r="Y150" s="370"/>
      <c r="Z150" s="370"/>
      <c r="AB150" s="370"/>
      <c r="AC150" s="370"/>
    </row>
    <row r="151" hidden="1">
      <c r="A151" s="280"/>
      <c r="B151" s="280"/>
      <c r="C151" s="617"/>
      <c r="D151" s="1166"/>
      <c r="E151" s="1166"/>
      <c r="F151" s="1166"/>
      <c r="G151" s="1166"/>
      <c r="H151" s="1166"/>
      <c r="I151" s="1167"/>
      <c r="J151" s="1166"/>
      <c r="K151" s="1167"/>
      <c r="L151" s="1166"/>
      <c r="M151" s="1166"/>
      <c r="N151" s="1166"/>
      <c r="O151" s="280"/>
      <c r="P151" s="1167"/>
      <c r="R151" s="587"/>
      <c r="S151" s="587"/>
      <c r="X151" s="370"/>
      <c r="Y151" s="370"/>
      <c r="Z151" s="370"/>
      <c r="AB151" s="370"/>
      <c r="AC151" s="370"/>
    </row>
    <row r="152" hidden="1">
      <c r="A152" s="280"/>
      <c r="B152" s="280"/>
      <c r="C152" s="617"/>
      <c r="D152" s="1166"/>
      <c r="E152" s="1166"/>
      <c r="F152" s="1166"/>
      <c r="G152" s="1166"/>
      <c r="H152" s="1166"/>
      <c r="I152" s="1167"/>
      <c r="J152" s="1166"/>
      <c r="K152" s="1167"/>
      <c r="L152" s="1166"/>
      <c r="M152" s="1166"/>
      <c r="N152" s="1166"/>
      <c r="O152" s="280"/>
      <c r="P152" s="1167"/>
      <c r="R152" s="587"/>
      <c r="S152" s="587"/>
      <c r="X152" s="370"/>
      <c r="Y152" s="370"/>
      <c r="Z152" s="370"/>
      <c r="AB152" s="370"/>
      <c r="AC152" s="370"/>
    </row>
    <row r="153" hidden="1">
      <c r="A153" s="280"/>
      <c r="B153" s="280"/>
      <c r="C153" s="617"/>
      <c r="D153" s="1166"/>
      <c r="E153" s="1166"/>
      <c r="F153" s="1166"/>
      <c r="G153" s="1166"/>
      <c r="H153" s="1166"/>
      <c r="I153" s="1167"/>
      <c r="J153" s="1166"/>
      <c r="K153" s="1167"/>
      <c r="L153" s="1166"/>
      <c r="M153" s="1166"/>
      <c r="N153" s="1166"/>
      <c r="O153" s="280"/>
      <c r="P153" s="1167"/>
      <c r="R153" s="587"/>
      <c r="S153" s="587"/>
      <c r="X153" s="370"/>
      <c r="Y153" s="370"/>
      <c r="Z153" s="370"/>
      <c r="AB153" s="370"/>
      <c r="AC153" s="370"/>
    </row>
    <row r="154" hidden="1">
      <c r="A154" s="280"/>
      <c r="B154" s="280"/>
      <c r="C154" s="617"/>
      <c r="D154" s="1166"/>
      <c r="E154" s="1166"/>
      <c r="F154" s="1166"/>
      <c r="G154" s="1166"/>
      <c r="H154" s="1166"/>
      <c r="I154" s="1167"/>
      <c r="J154" s="1166"/>
      <c r="K154" s="1167"/>
      <c r="L154" s="1166"/>
      <c r="M154" s="1166"/>
      <c r="N154" s="1166"/>
      <c r="O154" s="280"/>
      <c r="P154" s="1167"/>
      <c r="R154" s="587"/>
      <c r="S154" s="587"/>
      <c r="X154" s="370"/>
      <c r="Y154" s="370"/>
      <c r="Z154" s="370"/>
      <c r="AB154" s="370"/>
      <c r="AC154" s="370"/>
    </row>
    <row r="155" hidden="1">
      <c r="A155" s="280"/>
      <c r="B155" s="280"/>
      <c r="C155" s="617"/>
      <c r="D155" s="1166"/>
      <c r="E155" s="1166"/>
      <c r="F155" s="1166"/>
      <c r="G155" s="1166"/>
      <c r="H155" s="1166"/>
      <c r="I155" s="1167"/>
      <c r="J155" s="1166"/>
      <c r="K155" s="1167"/>
      <c r="L155" s="1166"/>
      <c r="M155" s="1166"/>
      <c r="N155" s="1166"/>
      <c r="O155" s="280"/>
      <c r="P155" s="1167"/>
      <c r="R155" s="587"/>
      <c r="S155" s="587"/>
      <c r="X155" s="370"/>
      <c r="Y155" s="370"/>
      <c r="Z155" s="370"/>
      <c r="AB155" s="370"/>
      <c r="AC155" s="370"/>
    </row>
    <row r="156" hidden="1">
      <c r="A156" s="280"/>
      <c r="B156" s="280"/>
      <c r="C156" s="617"/>
      <c r="D156" s="1166"/>
      <c r="E156" s="1166"/>
      <c r="F156" s="1166"/>
      <c r="G156" s="1166"/>
      <c r="H156" s="1166"/>
      <c r="I156" s="1167"/>
      <c r="J156" s="1166"/>
      <c r="K156" s="1167"/>
      <c r="L156" s="1166"/>
      <c r="M156" s="1166"/>
      <c r="N156" s="1166"/>
      <c r="O156" s="280"/>
      <c r="P156" s="1167"/>
      <c r="R156" s="587"/>
      <c r="S156" s="587"/>
      <c r="X156" s="370"/>
      <c r="Y156" s="370"/>
      <c r="Z156" s="370"/>
      <c r="AB156" s="370"/>
      <c r="AC156" s="370"/>
    </row>
    <row r="157" hidden="1">
      <c r="A157" s="280"/>
      <c r="B157" s="280"/>
      <c r="C157" s="617"/>
      <c r="D157" s="1166"/>
      <c r="E157" s="1166"/>
      <c r="F157" s="1166"/>
      <c r="G157" s="1166"/>
      <c r="H157" s="1166"/>
      <c r="I157" s="1167"/>
      <c r="J157" s="1166"/>
      <c r="K157" s="1167"/>
      <c r="L157" s="1166"/>
      <c r="M157" s="1166"/>
      <c r="N157" s="1166"/>
      <c r="O157" s="280"/>
      <c r="P157" s="1167"/>
      <c r="R157" s="587"/>
      <c r="S157" s="587"/>
      <c r="X157" s="370"/>
      <c r="Y157" s="370"/>
      <c r="Z157" s="370"/>
      <c r="AB157" s="370"/>
      <c r="AC157" s="370"/>
    </row>
    <row r="158" hidden="1">
      <c r="A158" s="280"/>
      <c r="B158" s="280"/>
      <c r="C158" s="617"/>
      <c r="D158" s="1166"/>
      <c r="E158" s="1166"/>
      <c r="F158" s="1166"/>
      <c r="G158" s="1166"/>
      <c r="H158" s="1166"/>
      <c r="I158" s="1167"/>
      <c r="J158" s="1166"/>
      <c r="K158" s="1167"/>
      <c r="L158" s="1166"/>
      <c r="M158" s="1166"/>
      <c r="N158" s="1166"/>
      <c r="O158" s="280"/>
      <c r="P158" s="1167"/>
      <c r="R158" s="587"/>
      <c r="S158" s="587"/>
      <c r="X158" s="370"/>
      <c r="Y158" s="370"/>
      <c r="Z158" s="370"/>
      <c r="AB158" s="370"/>
      <c r="AC158" s="370"/>
    </row>
    <row r="159" hidden="1">
      <c r="A159" s="280"/>
      <c r="B159" s="280"/>
      <c r="C159" s="617"/>
      <c r="D159" s="1166"/>
      <c r="E159" s="1166"/>
      <c r="F159" s="1166"/>
      <c r="G159" s="1166"/>
      <c r="H159" s="1166"/>
      <c r="I159" s="1167"/>
      <c r="J159" s="1166"/>
      <c r="K159" s="1167"/>
      <c r="L159" s="1166"/>
      <c r="M159" s="1166"/>
      <c r="N159" s="1166"/>
      <c r="O159" s="280"/>
      <c r="P159" s="1167"/>
      <c r="R159" s="587"/>
      <c r="S159" s="587"/>
      <c r="X159" s="370"/>
      <c r="Y159" s="370"/>
      <c r="Z159" s="370"/>
      <c r="AB159" s="370"/>
      <c r="AC159" s="370"/>
    </row>
    <row r="160" hidden="1">
      <c r="A160" s="280"/>
      <c r="B160" s="280"/>
      <c r="C160" s="617"/>
      <c r="D160" s="1166"/>
      <c r="E160" s="1166"/>
      <c r="F160" s="1166"/>
      <c r="G160" s="1166"/>
      <c r="H160" s="1166"/>
      <c r="I160" s="1167"/>
      <c r="J160" s="1166"/>
      <c r="K160" s="1167"/>
      <c r="L160" s="1166"/>
      <c r="M160" s="1166"/>
      <c r="N160" s="1166"/>
      <c r="O160" s="280"/>
      <c r="P160" s="1167"/>
      <c r="R160" s="587"/>
      <c r="S160" s="587"/>
      <c r="X160" s="370"/>
      <c r="Y160" s="370"/>
      <c r="Z160" s="370"/>
      <c r="AB160" s="370"/>
      <c r="AC160" s="370"/>
    </row>
    <row r="161" hidden="1">
      <c r="A161" s="280"/>
      <c r="B161" s="280"/>
      <c r="C161" s="617"/>
      <c r="D161" s="1166"/>
      <c r="E161" s="1166"/>
      <c r="F161" s="1166"/>
      <c r="G161" s="1166"/>
      <c r="H161" s="1166"/>
      <c r="I161" s="1167"/>
      <c r="J161" s="1166"/>
      <c r="K161" s="1167"/>
      <c r="L161" s="1166"/>
      <c r="M161" s="1166"/>
      <c r="N161" s="1166"/>
      <c r="O161" s="280"/>
      <c r="P161" s="1167"/>
      <c r="R161" s="587"/>
      <c r="S161" s="587"/>
      <c r="X161" s="370"/>
      <c r="Y161" s="370"/>
      <c r="Z161" s="370"/>
      <c r="AB161" s="370"/>
      <c r="AC161" s="370"/>
    </row>
    <row r="162" hidden="1">
      <c r="A162" s="280"/>
      <c r="B162" s="280"/>
      <c r="C162" s="617"/>
      <c r="D162" s="1166"/>
      <c r="E162" s="1166"/>
      <c r="F162" s="1166"/>
      <c r="G162" s="1166"/>
      <c r="H162" s="1166"/>
      <c r="I162" s="1167"/>
      <c r="J162" s="1166"/>
      <c r="K162" s="1167"/>
      <c r="L162" s="1166"/>
      <c r="M162" s="1166"/>
      <c r="N162" s="1166"/>
      <c r="O162" s="280"/>
      <c r="P162" s="1167"/>
      <c r="R162" s="587"/>
      <c r="S162" s="587"/>
      <c r="X162" s="370"/>
      <c r="Y162" s="370"/>
      <c r="Z162" s="370"/>
      <c r="AB162" s="370"/>
      <c r="AC162" s="370"/>
    </row>
    <row r="163" hidden="1">
      <c r="A163" s="280"/>
      <c r="B163" s="280"/>
      <c r="C163" s="617"/>
      <c r="D163" s="1166"/>
      <c r="E163" s="1166"/>
      <c r="F163" s="1166"/>
      <c r="G163" s="1166"/>
      <c r="H163" s="1166"/>
      <c r="I163" s="1167"/>
      <c r="J163" s="1166"/>
      <c r="K163" s="1167"/>
      <c r="L163" s="1166"/>
      <c r="M163" s="1166"/>
      <c r="N163" s="1166"/>
      <c r="O163" s="280"/>
      <c r="P163" s="1167"/>
      <c r="R163" s="587"/>
      <c r="S163" s="587"/>
      <c r="X163" s="370"/>
      <c r="Y163" s="370"/>
      <c r="Z163" s="370"/>
      <c r="AB163" s="370"/>
      <c r="AC163" s="370"/>
    </row>
    <row r="164" hidden="1">
      <c r="A164" s="280"/>
      <c r="B164" s="280"/>
      <c r="C164" s="617"/>
      <c r="D164" s="1166"/>
      <c r="E164" s="1166"/>
      <c r="F164" s="1166"/>
      <c r="G164" s="1166"/>
      <c r="H164" s="1166"/>
      <c r="I164" s="1167"/>
      <c r="J164" s="1166"/>
      <c r="K164" s="1167"/>
      <c r="L164" s="1166"/>
      <c r="M164" s="1166"/>
      <c r="N164" s="1166"/>
      <c r="O164" s="280"/>
      <c r="P164" s="1167"/>
      <c r="R164" s="587"/>
      <c r="S164" s="587"/>
      <c r="X164" s="370"/>
      <c r="Y164" s="370"/>
      <c r="Z164" s="370"/>
      <c r="AB164" s="370"/>
      <c r="AC164" s="370"/>
    </row>
    <row r="165" hidden="1">
      <c r="A165" s="280"/>
      <c r="B165" s="280"/>
      <c r="C165" s="617"/>
      <c r="D165" s="1166"/>
      <c r="E165" s="1166"/>
      <c r="F165" s="1166"/>
      <c r="G165" s="1166"/>
      <c r="H165" s="1166"/>
      <c r="I165" s="1167"/>
      <c r="J165" s="1166"/>
      <c r="K165" s="1167"/>
      <c r="L165" s="1166"/>
      <c r="M165" s="1166"/>
      <c r="N165" s="1166"/>
      <c r="O165" s="280"/>
      <c r="P165" s="1167"/>
      <c r="R165" s="587"/>
      <c r="S165" s="587"/>
      <c r="X165" s="370"/>
      <c r="Y165" s="370"/>
      <c r="Z165" s="370"/>
      <c r="AB165" s="370"/>
      <c r="AC165" s="370"/>
    </row>
    <row r="166" hidden="1">
      <c r="A166" s="280"/>
      <c r="B166" s="280"/>
      <c r="C166" s="617"/>
      <c r="D166" s="1166"/>
      <c r="E166" s="1166"/>
      <c r="F166" s="1166"/>
      <c r="G166" s="1166"/>
      <c r="H166" s="1166"/>
      <c r="I166" s="1167"/>
      <c r="J166" s="1166"/>
      <c r="K166" s="1167"/>
      <c r="L166" s="1166"/>
      <c r="M166" s="1166"/>
      <c r="N166" s="1166"/>
      <c r="O166" s="280"/>
      <c r="P166" s="1167"/>
      <c r="R166" s="587"/>
      <c r="S166" s="587"/>
      <c r="X166" s="370"/>
      <c r="Y166" s="370"/>
      <c r="Z166" s="370"/>
      <c r="AB166" s="370"/>
      <c r="AC166" s="370"/>
    </row>
    <row r="167" hidden="1">
      <c r="A167" s="280"/>
      <c r="B167" s="280"/>
      <c r="C167" s="617"/>
      <c r="D167" s="1166"/>
      <c r="E167" s="1166"/>
      <c r="F167" s="1166"/>
      <c r="G167" s="1166"/>
      <c r="H167" s="1166"/>
      <c r="I167" s="1167"/>
      <c r="J167" s="1166"/>
      <c r="K167" s="1167"/>
      <c r="L167" s="1166"/>
      <c r="M167" s="1166"/>
      <c r="N167" s="1166"/>
      <c r="O167" s="280"/>
      <c r="P167" s="1167"/>
      <c r="R167" s="587"/>
      <c r="S167" s="587"/>
      <c r="X167" s="370"/>
      <c r="Y167" s="370"/>
      <c r="Z167" s="370"/>
      <c r="AB167" s="370"/>
      <c r="AC167" s="370"/>
    </row>
    <row r="168" hidden="1">
      <c r="A168" s="280"/>
      <c r="B168" s="280"/>
      <c r="C168" s="617"/>
      <c r="D168" s="1166"/>
      <c r="E168" s="1166"/>
      <c r="F168" s="1166"/>
      <c r="G168" s="1166"/>
      <c r="H168" s="1166"/>
      <c r="I168" s="1167"/>
      <c r="J168" s="1166"/>
      <c r="K168" s="1167"/>
      <c r="L168" s="1166"/>
      <c r="M168" s="1166"/>
      <c r="N168" s="1166"/>
      <c r="O168" s="280"/>
      <c r="P168" s="1167"/>
      <c r="R168" s="587"/>
      <c r="S168" s="587"/>
      <c r="X168" s="370"/>
      <c r="Y168" s="370"/>
      <c r="Z168" s="370"/>
      <c r="AB168" s="370"/>
      <c r="AC168" s="370"/>
    </row>
    <row r="169" hidden="1">
      <c r="A169" s="280"/>
      <c r="B169" s="280"/>
      <c r="C169" s="617"/>
      <c r="D169" s="1166"/>
      <c r="E169" s="1166"/>
      <c r="F169" s="1166"/>
      <c r="G169" s="1166"/>
      <c r="H169" s="1166"/>
      <c r="I169" s="1167"/>
      <c r="J169" s="1166"/>
      <c r="K169" s="1167"/>
      <c r="L169" s="1166"/>
      <c r="M169" s="1166"/>
      <c r="N169" s="1166"/>
      <c r="O169" s="280"/>
      <c r="P169" s="1167"/>
      <c r="R169" s="587"/>
      <c r="S169" s="587"/>
      <c r="X169" s="370"/>
      <c r="Y169" s="370"/>
      <c r="Z169" s="370"/>
      <c r="AB169" s="370"/>
      <c r="AC169" s="370"/>
    </row>
    <row r="170" hidden="1">
      <c r="A170" s="280"/>
      <c r="B170" s="280"/>
      <c r="C170" s="617"/>
      <c r="D170" s="1166"/>
      <c r="E170" s="1166"/>
      <c r="F170" s="1166"/>
      <c r="G170" s="1166"/>
      <c r="H170" s="1166"/>
      <c r="I170" s="1167"/>
      <c r="J170" s="1166"/>
      <c r="K170" s="1167"/>
      <c r="L170" s="1166"/>
      <c r="M170" s="1166"/>
      <c r="N170" s="1166"/>
      <c r="O170" s="280"/>
      <c r="P170" s="1167"/>
      <c r="R170" s="587"/>
      <c r="S170" s="587"/>
      <c r="X170" s="370"/>
      <c r="Y170" s="370"/>
      <c r="Z170" s="370"/>
      <c r="AB170" s="370"/>
      <c r="AC170" s="370"/>
    </row>
    <row r="171" hidden="1">
      <c r="A171" s="280"/>
      <c r="B171" s="280"/>
      <c r="C171" s="617"/>
      <c r="D171" s="1166"/>
      <c r="E171" s="1166"/>
      <c r="F171" s="1166"/>
      <c r="G171" s="1166"/>
      <c r="H171" s="1166"/>
      <c r="I171" s="1167"/>
      <c r="J171" s="1166"/>
      <c r="K171" s="1167"/>
      <c r="L171" s="1166"/>
      <c r="M171" s="1166"/>
      <c r="N171" s="1166"/>
      <c r="O171" s="280"/>
      <c r="P171" s="1167"/>
      <c r="R171" s="587"/>
      <c r="S171" s="587"/>
      <c r="X171" s="370"/>
      <c r="Y171" s="370"/>
      <c r="Z171" s="370"/>
      <c r="AB171" s="370"/>
      <c r="AC171" s="370"/>
    </row>
    <row r="172" hidden="1">
      <c r="A172" s="280"/>
      <c r="B172" s="280"/>
      <c r="C172" s="617"/>
      <c r="D172" s="1166"/>
      <c r="E172" s="1166"/>
      <c r="F172" s="1166"/>
      <c r="G172" s="1166"/>
      <c r="H172" s="1166"/>
      <c r="I172" s="1167"/>
      <c r="J172" s="1166"/>
      <c r="K172" s="1167"/>
      <c r="L172" s="1166"/>
      <c r="M172" s="1166"/>
      <c r="N172" s="1166"/>
      <c r="O172" s="280"/>
      <c r="P172" s="1167"/>
      <c r="R172" s="587"/>
      <c r="S172" s="587"/>
      <c r="X172" s="370"/>
      <c r="Y172" s="370"/>
      <c r="Z172" s="370"/>
      <c r="AB172" s="370"/>
      <c r="AC172" s="370"/>
    </row>
    <row r="173" hidden="1">
      <c r="A173" s="280"/>
      <c r="B173" s="280"/>
      <c r="C173" s="617"/>
      <c r="D173" s="1166"/>
      <c r="E173" s="1166"/>
      <c r="F173" s="1166"/>
      <c r="G173" s="1166"/>
      <c r="H173" s="1166"/>
      <c r="I173" s="1167"/>
      <c r="J173" s="1166"/>
      <c r="K173" s="1167"/>
      <c r="L173" s="1166"/>
      <c r="M173" s="1166"/>
      <c r="N173" s="1166"/>
      <c r="O173" s="280"/>
      <c r="P173" s="1167"/>
      <c r="R173" s="587"/>
      <c r="S173" s="587"/>
      <c r="X173" s="370"/>
      <c r="Y173" s="370"/>
      <c r="Z173" s="370"/>
      <c r="AB173" s="370"/>
      <c r="AC173" s="370"/>
    </row>
    <row r="174" hidden="1">
      <c r="A174" s="280"/>
      <c r="B174" s="280"/>
      <c r="C174" s="617"/>
      <c r="D174" s="1166"/>
      <c r="E174" s="1166"/>
      <c r="F174" s="1166"/>
      <c r="G174" s="1166"/>
      <c r="H174" s="1166"/>
      <c r="I174" s="1167"/>
      <c r="J174" s="1166"/>
      <c r="K174" s="1167"/>
      <c r="L174" s="1166"/>
      <c r="M174" s="1166"/>
      <c r="N174" s="1166"/>
      <c r="O174" s="280"/>
      <c r="P174" s="1167"/>
      <c r="R174" s="587"/>
      <c r="S174" s="587"/>
      <c r="X174" s="370"/>
      <c r="Y174" s="370"/>
      <c r="Z174" s="370"/>
      <c r="AB174" s="370"/>
      <c r="AC174" s="370"/>
    </row>
    <row r="175" hidden="1">
      <c r="A175" s="280"/>
      <c r="B175" s="280"/>
      <c r="C175" s="617"/>
      <c r="D175" s="1166"/>
      <c r="E175" s="1166"/>
      <c r="F175" s="1166"/>
      <c r="G175" s="1166"/>
      <c r="H175" s="1166"/>
      <c r="I175" s="1167"/>
      <c r="J175" s="1166"/>
      <c r="K175" s="1167"/>
      <c r="L175" s="1166"/>
      <c r="M175" s="1166"/>
      <c r="N175" s="1166"/>
      <c r="O175" s="280"/>
      <c r="P175" s="1167"/>
      <c r="R175" s="587"/>
      <c r="S175" s="587"/>
      <c r="X175" s="370"/>
      <c r="Y175" s="370"/>
      <c r="Z175" s="370"/>
      <c r="AB175" s="370"/>
      <c r="AC175" s="370"/>
    </row>
    <row r="176" hidden="1">
      <c r="A176" s="280"/>
      <c r="B176" s="280"/>
      <c r="C176" s="617"/>
      <c r="D176" s="1166"/>
      <c r="E176" s="1166"/>
      <c r="F176" s="1166"/>
      <c r="G176" s="1166"/>
      <c r="H176" s="1166"/>
      <c r="I176" s="1167"/>
      <c r="J176" s="1166"/>
      <c r="K176" s="1167"/>
      <c r="L176" s="1166"/>
      <c r="M176" s="1166"/>
      <c r="N176" s="1166"/>
      <c r="O176" s="280"/>
      <c r="P176" s="1167"/>
      <c r="R176" s="587"/>
      <c r="S176" s="587"/>
      <c r="X176" s="370"/>
      <c r="Y176" s="370"/>
      <c r="Z176" s="370"/>
      <c r="AB176" s="370"/>
      <c r="AC176" s="370"/>
    </row>
    <row r="177" hidden="1">
      <c r="A177" s="280"/>
      <c r="B177" s="280"/>
      <c r="C177" s="617"/>
      <c r="D177" s="1166"/>
      <c r="E177" s="1166"/>
      <c r="F177" s="1166"/>
      <c r="G177" s="1166"/>
      <c r="H177" s="1166"/>
      <c r="I177" s="1167"/>
      <c r="J177" s="1166"/>
      <c r="K177" s="1167"/>
      <c r="L177" s="1166"/>
      <c r="M177" s="1166"/>
      <c r="N177" s="1166"/>
      <c r="O177" s="280"/>
      <c r="P177" s="1167"/>
      <c r="R177" s="587"/>
      <c r="S177" s="587"/>
      <c r="X177" s="370"/>
      <c r="Y177" s="370"/>
      <c r="Z177" s="370"/>
      <c r="AB177" s="370"/>
      <c r="AC177" s="370"/>
    </row>
    <row r="178" hidden="1">
      <c r="A178" s="280"/>
      <c r="B178" s="280"/>
      <c r="C178" s="617"/>
      <c r="D178" s="1166"/>
      <c r="E178" s="1166"/>
      <c r="F178" s="1166"/>
      <c r="G178" s="1166"/>
      <c r="H178" s="1166"/>
      <c r="I178" s="1167"/>
      <c r="J178" s="1166"/>
      <c r="K178" s="1167"/>
      <c r="L178" s="1166"/>
      <c r="M178" s="1166"/>
      <c r="N178" s="1166"/>
      <c r="O178" s="280"/>
      <c r="P178" s="1167"/>
      <c r="R178" s="587"/>
      <c r="S178" s="587"/>
      <c r="X178" s="370"/>
      <c r="Y178" s="370"/>
      <c r="Z178" s="370"/>
      <c r="AB178" s="370"/>
      <c r="AC178" s="370"/>
    </row>
    <row r="179" hidden="1">
      <c r="A179" s="280"/>
      <c r="B179" s="280"/>
      <c r="C179" s="617"/>
      <c r="D179" s="1166"/>
      <c r="E179" s="1166"/>
      <c r="F179" s="1166"/>
      <c r="G179" s="1166"/>
      <c r="H179" s="1166"/>
      <c r="I179" s="1167"/>
      <c r="J179" s="1166"/>
      <c r="K179" s="1167"/>
      <c r="L179" s="1166"/>
      <c r="M179" s="1166"/>
      <c r="N179" s="1166"/>
      <c r="O179" s="280"/>
      <c r="P179" s="1167"/>
      <c r="R179" s="587"/>
      <c r="S179" s="587"/>
      <c r="X179" s="370"/>
      <c r="Y179" s="370"/>
      <c r="Z179" s="370"/>
      <c r="AB179" s="370"/>
      <c r="AC179" s="370"/>
    </row>
    <row r="180" hidden="1">
      <c r="A180" s="280"/>
      <c r="B180" s="280"/>
      <c r="C180" s="617"/>
      <c r="D180" s="1166"/>
      <c r="E180" s="1166"/>
      <c r="F180" s="1166"/>
      <c r="G180" s="1166"/>
      <c r="H180" s="1166"/>
      <c r="I180" s="1167"/>
      <c r="J180" s="1166"/>
      <c r="K180" s="1167"/>
      <c r="L180" s="1166"/>
      <c r="M180" s="1166"/>
      <c r="N180" s="1166"/>
      <c r="O180" s="280"/>
      <c r="P180" s="1167"/>
      <c r="R180" s="587"/>
      <c r="S180" s="587"/>
      <c r="X180" s="370"/>
      <c r="Y180" s="370"/>
      <c r="Z180" s="370"/>
      <c r="AB180" s="370"/>
      <c r="AC180" s="370"/>
    </row>
    <row r="181" hidden="1">
      <c r="A181" s="280"/>
      <c r="B181" s="280"/>
      <c r="C181" s="617"/>
      <c r="D181" s="1166"/>
      <c r="E181" s="1166"/>
      <c r="F181" s="1166"/>
      <c r="G181" s="1166"/>
      <c r="H181" s="1166"/>
      <c r="I181" s="1167"/>
      <c r="J181" s="1166"/>
      <c r="K181" s="1167"/>
      <c r="L181" s="1166"/>
      <c r="M181" s="1166"/>
      <c r="N181" s="1166"/>
      <c r="O181" s="280"/>
      <c r="P181" s="1167"/>
      <c r="R181" s="587"/>
      <c r="S181" s="587"/>
      <c r="X181" s="370"/>
      <c r="Y181" s="370"/>
      <c r="Z181" s="370"/>
      <c r="AB181" s="370"/>
      <c r="AC181" s="370"/>
    </row>
    <row r="182" hidden="1">
      <c r="A182" s="280"/>
      <c r="B182" s="280"/>
      <c r="C182" s="617"/>
      <c r="D182" s="1166"/>
      <c r="E182" s="1166"/>
      <c r="F182" s="1166"/>
      <c r="G182" s="1166"/>
      <c r="H182" s="1166"/>
      <c r="I182" s="1167"/>
      <c r="J182" s="1166"/>
      <c r="K182" s="1167"/>
      <c r="L182" s="1166"/>
      <c r="M182" s="1166"/>
      <c r="N182" s="1166"/>
      <c r="O182" s="280"/>
      <c r="P182" s="1167"/>
      <c r="R182" s="587"/>
      <c r="S182" s="587"/>
      <c r="X182" s="370"/>
      <c r="Y182" s="370"/>
      <c r="Z182" s="370"/>
      <c r="AB182" s="370"/>
      <c r="AC182" s="370"/>
    </row>
    <row r="183" hidden="1">
      <c r="A183" s="280"/>
      <c r="B183" s="280"/>
      <c r="C183" s="617"/>
      <c r="D183" s="1166"/>
      <c r="E183" s="1166"/>
      <c r="F183" s="1166"/>
      <c r="G183" s="1166"/>
      <c r="H183" s="1166"/>
      <c r="I183" s="1167"/>
      <c r="J183" s="1166"/>
      <c r="K183" s="1167"/>
      <c r="L183" s="1166"/>
      <c r="M183" s="1166"/>
      <c r="N183" s="1166"/>
      <c r="O183" s="280"/>
      <c r="P183" s="1167"/>
      <c r="R183" s="587"/>
      <c r="S183" s="587"/>
      <c r="X183" s="370"/>
      <c r="Y183" s="370"/>
      <c r="Z183" s="370"/>
      <c r="AB183" s="370"/>
      <c r="AC183" s="370"/>
    </row>
    <row r="184" hidden="1">
      <c r="A184" s="280"/>
      <c r="B184" s="280"/>
      <c r="C184" s="617"/>
      <c r="D184" s="1166"/>
      <c r="E184" s="1166"/>
      <c r="F184" s="1166"/>
      <c r="G184" s="1166"/>
      <c r="H184" s="1166"/>
      <c r="I184" s="1167"/>
      <c r="J184" s="1166"/>
      <c r="K184" s="1167"/>
      <c r="L184" s="1166"/>
      <c r="M184" s="1166"/>
      <c r="N184" s="1166"/>
      <c r="O184" s="280"/>
      <c r="P184" s="1167"/>
      <c r="R184" s="587"/>
      <c r="S184" s="587"/>
      <c r="X184" s="370"/>
      <c r="Y184" s="370"/>
      <c r="Z184" s="370"/>
      <c r="AB184" s="370"/>
      <c r="AC184" s="370"/>
    </row>
    <row r="185" hidden="1">
      <c r="A185" s="280"/>
      <c r="B185" s="280"/>
      <c r="C185" s="617"/>
      <c r="D185" s="1166"/>
      <c r="E185" s="1166"/>
      <c r="F185" s="1166"/>
      <c r="G185" s="1166"/>
      <c r="H185" s="1166"/>
      <c r="I185" s="1167"/>
      <c r="J185" s="1166"/>
      <c r="K185" s="1167"/>
      <c r="L185" s="1166"/>
      <c r="M185" s="1166"/>
      <c r="N185" s="1166"/>
      <c r="O185" s="280"/>
      <c r="P185" s="1167"/>
      <c r="R185" s="587"/>
      <c r="S185" s="587"/>
      <c r="X185" s="370"/>
      <c r="Y185" s="370"/>
      <c r="Z185" s="370"/>
      <c r="AB185" s="370"/>
      <c r="AC185" s="370"/>
    </row>
    <row r="186" hidden="1">
      <c r="A186" s="280"/>
      <c r="B186" s="280"/>
      <c r="C186" s="617"/>
      <c r="D186" s="1166"/>
      <c r="E186" s="1166"/>
      <c r="F186" s="1166"/>
      <c r="G186" s="1166"/>
      <c r="H186" s="1166"/>
      <c r="I186" s="1167"/>
      <c r="J186" s="1166"/>
      <c r="K186" s="1167"/>
      <c r="L186" s="1166"/>
      <c r="M186" s="1166"/>
      <c r="N186" s="1166"/>
      <c r="O186" s="280"/>
      <c r="P186" s="1167"/>
      <c r="R186" s="587"/>
      <c r="S186" s="587"/>
      <c r="X186" s="370"/>
      <c r="Y186" s="370"/>
      <c r="Z186" s="370"/>
      <c r="AB186" s="370"/>
      <c r="AC186" s="370"/>
    </row>
    <row r="187" hidden="1">
      <c r="A187" s="280"/>
      <c r="B187" s="280"/>
      <c r="C187" s="617"/>
      <c r="D187" s="1166"/>
      <c r="E187" s="1166"/>
      <c r="F187" s="1166"/>
      <c r="G187" s="1166"/>
      <c r="H187" s="1166"/>
      <c r="I187" s="1167"/>
      <c r="J187" s="1166"/>
      <c r="K187" s="1167"/>
      <c r="L187" s="1166"/>
      <c r="M187" s="1166"/>
      <c r="N187" s="1166"/>
      <c r="O187" s="280"/>
      <c r="P187" s="1167"/>
      <c r="R187" s="587"/>
      <c r="S187" s="587"/>
      <c r="X187" s="370"/>
      <c r="Y187" s="370"/>
      <c r="Z187" s="370"/>
      <c r="AB187" s="370"/>
      <c r="AC187" s="370"/>
    </row>
    <row r="188" hidden="1">
      <c r="A188" s="280"/>
      <c r="B188" s="280"/>
      <c r="C188" s="617"/>
      <c r="D188" s="1166"/>
      <c r="E188" s="1166"/>
      <c r="F188" s="1166"/>
      <c r="G188" s="1166"/>
      <c r="H188" s="1166"/>
      <c r="I188" s="1167"/>
      <c r="J188" s="1166"/>
      <c r="K188" s="1167"/>
      <c r="L188" s="1166"/>
      <c r="M188" s="1166"/>
      <c r="N188" s="1166"/>
      <c r="O188" s="280"/>
      <c r="P188" s="1167"/>
      <c r="R188" s="587"/>
      <c r="S188" s="587"/>
      <c r="X188" s="370"/>
      <c r="Y188" s="370"/>
      <c r="Z188" s="370"/>
      <c r="AB188" s="370"/>
      <c r="AC188" s="370"/>
    </row>
    <row r="189" hidden="1">
      <c r="A189" s="280"/>
      <c r="B189" s="280"/>
      <c r="C189" s="617"/>
      <c r="D189" s="1166"/>
      <c r="E189" s="1166"/>
      <c r="F189" s="1166"/>
      <c r="G189" s="1166"/>
      <c r="H189" s="1166"/>
      <c r="I189" s="1167"/>
      <c r="J189" s="1166"/>
      <c r="K189" s="1167"/>
      <c r="L189" s="1166"/>
      <c r="M189" s="1166"/>
      <c r="N189" s="1166"/>
      <c r="O189" s="280"/>
      <c r="P189" s="1167"/>
      <c r="R189" s="587"/>
      <c r="S189" s="587"/>
      <c r="X189" s="370"/>
      <c r="Y189" s="370"/>
      <c r="Z189" s="370"/>
      <c r="AB189" s="370"/>
      <c r="AC189" s="370"/>
    </row>
    <row r="190" hidden="1">
      <c r="A190" s="280"/>
      <c r="B190" s="280"/>
      <c r="C190" s="617"/>
      <c r="D190" s="1166"/>
      <c r="E190" s="1166"/>
      <c r="F190" s="1166"/>
      <c r="G190" s="1166"/>
      <c r="H190" s="1166"/>
      <c r="I190" s="1167"/>
      <c r="J190" s="1166"/>
      <c r="K190" s="1167"/>
      <c r="L190" s="1166"/>
      <c r="M190" s="1166"/>
      <c r="N190" s="1166"/>
      <c r="O190" s="280"/>
      <c r="P190" s="1167"/>
      <c r="R190" s="587"/>
      <c r="S190" s="587"/>
      <c r="X190" s="370"/>
      <c r="Y190" s="370"/>
      <c r="Z190" s="370"/>
      <c r="AB190" s="370"/>
      <c r="AC190" s="370"/>
    </row>
    <row r="191" hidden="1">
      <c r="A191" s="280"/>
      <c r="B191" s="280"/>
      <c r="C191" s="617"/>
      <c r="D191" s="1166"/>
      <c r="E191" s="1166"/>
      <c r="F191" s="1166"/>
      <c r="G191" s="1166"/>
      <c r="H191" s="1166"/>
      <c r="I191" s="1167"/>
      <c r="J191" s="1166"/>
      <c r="K191" s="1167"/>
      <c r="L191" s="1166"/>
      <c r="M191" s="1166"/>
      <c r="N191" s="1166"/>
      <c r="O191" s="280"/>
      <c r="P191" s="1167"/>
      <c r="R191" s="587"/>
      <c r="S191" s="587"/>
      <c r="X191" s="370"/>
      <c r="Y191" s="370"/>
      <c r="Z191" s="370"/>
      <c r="AB191" s="370"/>
      <c r="AC191" s="370"/>
    </row>
    <row r="192" hidden="1">
      <c r="A192" s="280"/>
      <c r="B192" s="280"/>
      <c r="C192" s="617"/>
      <c r="D192" s="1166"/>
      <c r="E192" s="1166"/>
      <c r="F192" s="1166"/>
      <c r="G192" s="1166"/>
      <c r="H192" s="1166"/>
      <c r="I192" s="1167"/>
      <c r="J192" s="1166"/>
      <c r="K192" s="1167"/>
      <c r="L192" s="1166"/>
      <c r="M192" s="1166"/>
      <c r="N192" s="1166"/>
      <c r="O192" s="280"/>
      <c r="P192" s="1167"/>
      <c r="R192" s="587"/>
      <c r="S192" s="587"/>
      <c r="X192" s="370"/>
      <c r="Y192" s="370"/>
      <c r="Z192" s="370"/>
      <c r="AB192" s="370"/>
      <c r="AC192" s="370"/>
    </row>
    <row r="193" hidden="1">
      <c r="A193" s="280"/>
      <c r="B193" s="280"/>
      <c r="C193" s="617"/>
      <c r="D193" s="1166"/>
      <c r="E193" s="1166"/>
      <c r="F193" s="1166"/>
      <c r="G193" s="1166"/>
      <c r="H193" s="1166"/>
      <c r="I193" s="1167"/>
      <c r="J193" s="1166"/>
      <c r="K193" s="1167"/>
      <c r="L193" s="1166"/>
      <c r="M193" s="1166"/>
      <c r="N193" s="1166"/>
      <c r="O193" s="280"/>
      <c r="P193" s="1167"/>
      <c r="R193" s="587"/>
      <c r="S193" s="587"/>
      <c r="X193" s="370"/>
      <c r="Y193" s="370"/>
      <c r="Z193" s="370"/>
      <c r="AB193" s="370"/>
      <c r="AC193" s="370"/>
    </row>
    <row r="194" hidden="1">
      <c r="A194" s="280"/>
      <c r="B194" s="280"/>
      <c r="C194" s="617"/>
      <c r="D194" s="1166"/>
      <c r="E194" s="1166"/>
      <c r="F194" s="1166"/>
      <c r="G194" s="1166"/>
      <c r="H194" s="1166"/>
      <c r="I194" s="1167"/>
      <c r="J194" s="1166"/>
      <c r="K194" s="1167"/>
      <c r="L194" s="1166"/>
      <c r="M194" s="1166"/>
      <c r="N194" s="1166"/>
      <c r="O194" s="280"/>
      <c r="P194" s="1167"/>
      <c r="R194" s="587"/>
      <c r="S194" s="587"/>
      <c r="X194" s="370"/>
      <c r="Y194" s="370"/>
      <c r="Z194" s="370"/>
      <c r="AB194" s="370"/>
      <c r="AC194" s="370"/>
    </row>
    <row r="195" hidden="1">
      <c r="A195" s="280"/>
      <c r="B195" s="280"/>
      <c r="C195" s="617"/>
      <c r="D195" s="1166"/>
      <c r="E195" s="1166"/>
      <c r="F195" s="1166"/>
      <c r="G195" s="1166"/>
      <c r="H195" s="1166"/>
      <c r="I195" s="1167"/>
      <c r="J195" s="1166"/>
      <c r="K195" s="1167"/>
      <c r="L195" s="1166"/>
      <c r="M195" s="1166"/>
      <c r="N195" s="1166"/>
      <c r="O195" s="280"/>
      <c r="P195" s="1167"/>
      <c r="R195" s="587"/>
      <c r="S195" s="587"/>
      <c r="X195" s="370"/>
      <c r="Y195" s="370"/>
      <c r="Z195" s="370"/>
      <c r="AB195" s="370"/>
      <c r="AC195" s="370"/>
    </row>
    <row r="196" hidden="1">
      <c r="A196" s="280"/>
      <c r="B196" s="280"/>
      <c r="C196" s="617"/>
      <c r="D196" s="1166"/>
      <c r="E196" s="1166"/>
      <c r="F196" s="1166"/>
      <c r="G196" s="1166"/>
      <c r="H196" s="1166"/>
      <c r="I196" s="1167"/>
      <c r="J196" s="1166"/>
      <c r="K196" s="1167"/>
      <c r="L196" s="1166"/>
      <c r="M196" s="1166"/>
      <c r="N196" s="1166"/>
      <c r="O196" s="280"/>
      <c r="P196" s="1167"/>
      <c r="R196" s="587"/>
      <c r="S196" s="587"/>
      <c r="X196" s="370"/>
      <c r="Y196" s="370"/>
      <c r="Z196" s="370"/>
      <c r="AB196" s="370"/>
      <c r="AC196" s="370"/>
    </row>
    <row r="197" hidden="1">
      <c r="A197" s="280"/>
      <c r="B197" s="280"/>
      <c r="C197" s="617"/>
      <c r="D197" s="1166"/>
      <c r="E197" s="1166"/>
      <c r="F197" s="1166"/>
      <c r="G197" s="1166"/>
      <c r="H197" s="1166"/>
      <c r="I197" s="1167"/>
      <c r="J197" s="1166"/>
      <c r="K197" s="1167"/>
      <c r="L197" s="1166"/>
      <c r="M197" s="1166"/>
      <c r="N197" s="1166"/>
      <c r="O197" s="280"/>
      <c r="P197" s="1167"/>
      <c r="R197" s="587"/>
      <c r="S197" s="587"/>
      <c r="X197" s="370"/>
      <c r="Y197" s="370"/>
      <c r="Z197" s="370"/>
      <c r="AB197" s="370"/>
      <c r="AC197" s="370"/>
    </row>
    <row r="198" hidden="1">
      <c r="A198" s="280"/>
      <c r="B198" s="280"/>
      <c r="C198" s="617"/>
      <c r="D198" s="1166"/>
      <c r="E198" s="1166"/>
      <c r="F198" s="1166"/>
      <c r="G198" s="1166"/>
      <c r="H198" s="1166"/>
      <c r="I198" s="1167"/>
      <c r="J198" s="1166"/>
      <c r="K198" s="1167"/>
      <c r="L198" s="1166"/>
      <c r="M198" s="1166"/>
      <c r="N198" s="1166"/>
      <c r="O198" s="280"/>
      <c r="P198" s="1167"/>
      <c r="R198" s="587"/>
      <c r="S198" s="587"/>
      <c r="X198" s="370"/>
      <c r="Y198" s="370"/>
      <c r="Z198" s="370"/>
      <c r="AB198" s="370"/>
      <c r="AC198" s="370"/>
    </row>
    <row r="199" hidden="1">
      <c r="A199" s="280"/>
      <c r="B199" s="280"/>
      <c r="C199" s="617"/>
      <c r="D199" s="1166"/>
      <c r="E199" s="1166"/>
      <c r="F199" s="1166"/>
      <c r="G199" s="1166"/>
      <c r="H199" s="1166"/>
      <c r="I199" s="1167"/>
      <c r="J199" s="1166"/>
      <c r="K199" s="1167"/>
      <c r="L199" s="1166"/>
      <c r="M199" s="1166"/>
      <c r="N199" s="1166"/>
      <c r="O199" s="280"/>
      <c r="P199" s="1167"/>
      <c r="R199" s="587"/>
      <c r="S199" s="587"/>
      <c r="X199" s="370"/>
      <c r="Y199" s="370"/>
      <c r="Z199" s="370"/>
      <c r="AB199" s="370"/>
      <c r="AC199" s="370"/>
    </row>
    <row r="200" hidden="1">
      <c r="A200" s="280"/>
      <c r="B200" s="280"/>
      <c r="C200" s="617"/>
      <c r="D200" s="1166"/>
      <c r="E200" s="1166"/>
      <c r="F200" s="1166"/>
      <c r="G200" s="1166"/>
      <c r="H200" s="1166"/>
      <c r="I200" s="1167"/>
      <c r="J200" s="1166"/>
      <c r="K200" s="1167"/>
      <c r="L200" s="1166"/>
      <c r="M200" s="1166"/>
      <c r="N200" s="1166"/>
      <c r="O200" s="280"/>
      <c r="P200" s="1167"/>
      <c r="R200" s="587"/>
      <c r="S200" s="587"/>
      <c r="X200" s="370"/>
      <c r="Y200" s="370"/>
      <c r="Z200" s="370"/>
      <c r="AB200" s="370"/>
      <c r="AC200" s="370"/>
    </row>
    <row r="201" hidden="1">
      <c r="A201" s="280"/>
      <c r="B201" s="280"/>
      <c r="C201" s="617"/>
      <c r="D201" s="1166"/>
      <c r="E201" s="1166"/>
      <c r="F201" s="1166"/>
      <c r="G201" s="1166"/>
      <c r="H201" s="1166"/>
      <c r="I201" s="1167"/>
      <c r="J201" s="1166"/>
      <c r="K201" s="1167"/>
      <c r="L201" s="1166"/>
      <c r="M201" s="1166"/>
      <c r="N201" s="1166"/>
      <c r="O201" s="280"/>
      <c r="P201" s="1167"/>
      <c r="R201" s="587"/>
      <c r="S201" s="587"/>
      <c r="X201" s="370"/>
      <c r="Y201" s="370"/>
      <c r="Z201" s="370"/>
      <c r="AB201" s="370"/>
      <c r="AC201" s="370"/>
    </row>
    <row r="202" hidden="1">
      <c r="A202" s="280"/>
      <c r="B202" s="280"/>
      <c r="C202" s="617"/>
      <c r="D202" s="1166"/>
      <c r="E202" s="1166"/>
      <c r="F202" s="1166"/>
      <c r="G202" s="1166"/>
      <c r="H202" s="1166"/>
      <c r="I202" s="1167"/>
      <c r="J202" s="1166"/>
      <c r="K202" s="1167"/>
      <c r="L202" s="1166"/>
      <c r="M202" s="1166"/>
      <c r="N202" s="1166"/>
      <c r="O202" s="280"/>
      <c r="P202" s="1167"/>
      <c r="R202" s="587"/>
      <c r="S202" s="587"/>
      <c r="X202" s="370"/>
      <c r="Y202" s="370"/>
      <c r="Z202" s="370"/>
      <c r="AB202" s="370"/>
      <c r="AC202" s="370"/>
    </row>
    <row r="203" hidden="1">
      <c r="A203" s="280"/>
      <c r="B203" s="280"/>
      <c r="C203" s="617"/>
      <c r="D203" s="1166"/>
      <c r="E203" s="1166"/>
      <c r="F203" s="1166"/>
      <c r="G203" s="1166"/>
      <c r="H203" s="1166"/>
      <c r="I203" s="1167"/>
      <c r="J203" s="1166"/>
      <c r="K203" s="1167"/>
      <c r="L203" s="1166"/>
      <c r="M203" s="1166"/>
      <c r="N203" s="1166"/>
      <c r="O203" s="280"/>
      <c r="P203" s="1167"/>
      <c r="R203" s="587"/>
      <c r="S203" s="587"/>
      <c r="X203" s="370"/>
      <c r="Y203" s="370"/>
      <c r="Z203" s="370"/>
      <c r="AB203" s="370"/>
      <c r="AC203" s="370"/>
    </row>
    <row r="204" hidden="1">
      <c r="A204" s="280"/>
      <c r="B204" s="280"/>
      <c r="C204" s="617"/>
      <c r="D204" s="1166"/>
      <c r="E204" s="1166"/>
      <c r="F204" s="1166"/>
      <c r="G204" s="1166"/>
      <c r="H204" s="1166"/>
      <c r="I204" s="1167"/>
      <c r="J204" s="1166"/>
      <c r="K204" s="1167"/>
      <c r="L204" s="1166"/>
      <c r="M204" s="1166"/>
      <c r="N204" s="1166"/>
      <c r="O204" s="280"/>
      <c r="P204" s="1167"/>
      <c r="R204" s="587"/>
      <c r="S204" s="587"/>
      <c r="X204" s="370"/>
      <c r="Y204" s="370"/>
      <c r="Z204" s="370"/>
      <c r="AB204" s="370"/>
      <c r="AC204" s="370"/>
    </row>
    <row r="205" hidden="1">
      <c r="A205" s="280"/>
      <c r="B205" s="280"/>
      <c r="C205" s="617"/>
      <c r="D205" s="1166"/>
      <c r="E205" s="1166"/>
      <c r="F205" s="1166"/>
      <c r="G205" s="1166"/>
      <c r="H205" s="1166"/>
      <c r="I205" s="1167"/>
      <c r="J205" s="1166"/>
      <c r="K205" s="1167"/>
      <c r="L205" s="1166"/>
      <c r="M205" s="1166"/>
      <c r="N205" s="1166"/>
      <c r="O205" s="280"/>
      <c r="P205" s="1167"/>
      <c r="R205" s="587"/>
      <c r="S205" s="587"/>
      <c r="X205" s="370"/>
      <c r="Y205" s="370"/>
      <c r="Z205" s="370"/>
      <c r="AB205" s="370"/>
      <c r="AC205" s="370"/>
    </row>
    <row r="206" hidden="1">
      <c r="A206" s="280"/>
      <c r="B206" s="280"/>
      <c r="C206" s="617"/>
      <c r="D206" s="1166"/>
      <c r="E206" s="1166"/>
      <c r="F206" s="1166"/>
      <c r="G206" s="1166"/>
      <c r="H206" s="1166"/>
      <c r="I206" s="1167"/>
      <c r="J206" s="1166"/>
      <c r="K206" s="1167"/>
      <c r="L206" s="1166"/>
      <c r="M206" s="1166"/>
      <c r="N206" s="1166"/>
      <c r="O206" s="280"/>
      <c r="P206" s="1167"/>
      <c r="R206" s="587"/>
      <c r="S206" s="587"/>
      <c r="X206" s="370"/>
      <c r="Y206" s="370"/>
      <c r="Z206" s="370"/>
      <c r="AB206" s="370"/>
      <c r="AC206" s="370"/>
    </row>
    <row r="207" hidden="1">
      <c r="A207" s="280"/>
      <c r="B207" s="280"/>
      <c r="C207" s="617"/>
      <c r="D207" s="1166"/>
      <c r="E207" s="1166"/>
      <c r="F207" s="1166"/>
      <c r="G207" s="1166"/>
      <c r="H207" s="1166"/>
      <c r="I207" s="1167"/>
      <c r="J207" s="1166"/>
      <c r="K207" s="1167"/>
      <c r="L207" s="1166"/>
      <c r="M207" s="1166"/>
      <c r="N207" s="1166"/>
      <c r="O207" s="280"/>
      <c r="P207" s="1167"/>
      <c r="R207" s="587"/>
      <c r="S207" s="587"/>
      <c r="X207" s="370"/>
      <c r="Y207" s="370"/>
      <c r="Z207" s="370"/>
      <c r="AB207" s="370"/>
      <c r="AC207" s="370"/>
    </row>
    <row r="208" hidden="1">
      <c r="A208" s="280"/>
      <c r="B208" s="280"/>
      <c r="C208" s="617"/>
      <c r="D208" s="1166"/>
      <c r="E208" s="1166"/>
      <c r="F208" s="1166"/>
      <c r="G208" s="1166"/>
      <c r="H208" s="1166"/>
      <c r="I208" s="1167"/>
      <c r="J208" s="1166"/>
      <c r="K208" s="1167"/>
      <c r="L208" s="1166"/>
      <c r="M208" s="1166"/>
      <c r="N208" s="1166"/>
      <c r="O208" s="280"/>
      <c r="P208" s="1167"/>
      <c r="R208" s="587"/>
      <c r="S208" s="587"/>
      <c r="X208" s="370"/>
      <c r="Y208" s="370"/>
      <c r="Z208" s="370"/>
      <c r="AB208" s="370"/>
      <c r="AC208" s="370"/>
    </row>
    <row r="209" hidden="1">
      <c r="A209" s="280"/>
      <c r="B209" s="280"/>
      <c r="C209" s="617"/>
      <c r="D209" s="1166"/>
      <c r="E209" s="1166"/>
      <c r="F209" s="1166"/>
      <c r="G209" s="1166"/>
      <c r="H209" s="1166"/>
      <c r="I209" s="1167"/>
      <c r="J209" s="1166"/>
      <c r="K209" s="1167"/>
      <c r="L209" s="1166"/>
      <c r="M209" s="1166"/>
      <c r="N209" s="1166"/>
      <c r="O209" s="280"/>
      <c r="P209" s="1167"/>
      <c r="R209" s="587"/>
      <c r="S209" s="587"/>
      <c r="X209" s="370"/>
      <c r="Y209" s="370"/>
      <c r="Z209" s="370"/>
      <c r="AB209" s="370"/>
      <c r="AC209" s="370"/>
    </row>
    <row r="210" hidden="1">
      <c r="A210" s="280"/>
      <c r="B210" s="280"/>
      <c r="C210" s="617"/>
      <c r="D210" s="1166"/>
      <c r="E210" s="1166"/>
      <c r="F210" s="1166"/>
      <c r="G210" s="1166"/>
      <c r="H210" s="1166"/>
      <c r="I210" s="1167"/>
      <c r="J210" s="1166"/>
      <c r="K210" s="1167"/>
      <c r="L210" s="1166"/>
      <c r="M210" s="1166"/>
      <c r="N210" s="1166"/>
      <c r="O210" s="280"/>
      <c r="P210" s="1167"/>
      <c r="R210" s="587"/>
      <c r="S210" s="587"/>
      <c r="X210" s="370"/>
      <c r="Y210" s="370"/>
      <c r="Z210" s="370"/>
      <c r="AB210" s="370"/>
      <c r="AC210" s="370"/>
    </row>
    <row r="211" hidden="1">
      <c r="A211" s="280"/>
      <c r="B211" s="280"/>
      <c r="C211" s="617"/>
      <c r="D211" s="1166"/>
      <c r="E211" s="1166"/>
      <c r="F211" s="1166"/>
      <c r="G211" s="1166"/>
      <c r="H211" s="1166"/>
      <c r="I211" s="1167"/>
      <c r="J211" s="1166"/>
      <c r="K211" s="1167"/>
      <c r="L211" s="1166"/>
      <c r="M211" s="1166"/>
      <c r="N211" s="1166"/>
      <c r="O211" s="280"/>
      <c r="P211" s="1167"/>
      <c r="R211" s="587"/>
      <c r="S211" s="587"/>
      <c r="X211" s="370"/>
      <c r="Y211" s="370"/>
      <c r="Z211" s="370"/>
      <c r="AB211" s="370"/>
      <c r="AC211" s="370"/>
    </row>
    <row r="212" hidden="1">
      <c r="A212" s="280"/>
      <c r="B212" s="280"/>
      <c r="C212" s="617"/>
      <c r="D212" s="1166"/>
      <c r="E212" s="1166"/>
      <c r="F212" s="1166"/>
      <c r="G212" s="1166"/>
      <c r="H212" s="1166"/>
      <c r="I212" s="1167"/>
      <c r="J212" s="1166"/>
      <c r="K212" s="1167"/>
      <c r="L212" s="1166"/>
      <c r="M212" s="1166"/>
      <c r="N212" s="1166"/>
      <c r="O212" s="280"/>
      <c r="P212" s="1167"/>
      <c r="R212" s="587"/>
      <c r="S212" s="587"/>
      <c r="X212" s="370"/>
      <c r="Y212" s="370"/>
      <c r="Z212" s="370"/>
      <c r="AB212" s="370"/>
      <c r="AC212" s="370"/>
    </row>
    <row r="213" hidden="1">
      <c r="A213" s="280"/>
      <c r="B213" s="280"/>
      <c r="C213" s="617"/>
      <c r="D213" s="1166"/>
      <c r="E213" s="1166"/>
      <c r="F213" s="1166"/>
      <c r="G213" s="1166"/>
      <c r="H213" s="1166"/>
      <c r="I213" s="1167"/>
      <c r="J213" s="1166"/>
      <c r="K213" s="1167"/>
      <c r="L213" s="1166"/>
      <c r="M213" s="1166"/>
      <c r="N213" s="1166"/>
      <c r="O213" s="280"/>
      <c r="P213" s="1167"/>
      <c r="R213" s="587"/>
      <c r="S213" s="587"/>
      <c r="X213" s="370"/>
      <c r="Y213" s="370"/>
      <c r="Z213" s="370"/>
      <c r="AB213" s="370"/>
      <c r="AC213" s="370"/>
    </row>
    <row r="214" hidden="1">
      <c r="A214" s="280"/>
      <c r="B214" s="280"/>
      <c r="C214" s="617"/>
      <c r="D214" s="1166"/>
      <c r="E214" s="1166"/>
      <c r="F214" s="1166"/>
      <c r="G214" s="1166"/>
      <c r="H214" s="1166"/>
      <c r="I214" s="1167"/>
      <c r="J214" s="1166"/>
      <c r="K214" s="1167"/>
      <c r="L214" s="1166"/>
      <c r="M214" s="1166"/>
      <c r="N214" s="1166"/>
      <c r="O214" s="280"/>
      <c r="P214" s="1167"/>
      <c r="R214" s="587"/>
      <c r="S214" s="587"/>
      <c r="X214" s="370"/>
      <c r="Y214" s="370"/>
      <c r="Z214" s="370"/>
      <c r="AB214" s="370"/>
      <c r="AC214" s="370"/>
    </row>
    <row r="215" hidden="1">
      <c r="A215" s="280"/>
      <c r="B215" s="280"/>
      <c r="C215" s="617"/>
      <c r="D215" s="1166"/>
      <c r="E215" s="1166"/>
      <c r="F215" s="1166"/>
      <c r="G215" s="1166"/>
      <c r="H215" s="1166"/>
      <c r="I215" s="1167"/>
      <c r="J215" s="1166"/>
      <c r="K215" s="1167"/>
      <c r="L215" s="1166"/>
      <c r="M215" s="1166"/>
      <c r="N215" s="1166"/>
      <c r="O215" s="280"/>
      <c r="P215" s="1167"/>
      <c r="R215" s="587"/>
      <c r="S215" s="587"/>
      <c r="X215" s="370"/>
      <c r="Y215" s="370"/>
      <c r="Z215" s="370"/>
      <c r="AB215" s="370"/>
      <c r="AC215" s="370"/>
    </row>
    <row r="216" hidden="1">
      <c r="A216" s="280"/>
      <c r="B216" s="280"/>
      <c r="C216" s="617"/>
      <c r="D216" s="1166"/>
      <c r="E216" s="1166"/>
      <c r="F216" s="1166"/>
      <c r="G216" s="1166"/>
      <c r="H216" s="1166"/>
      <c r="I216" s="1167"/>
      <c r="J216" s="1166"/>
      <c r="K216" s="1167"/>
      <c r="L216" s="1166"/>
      <c r="M216" s="1166"/>
      <c r="N216" s="1166"/>
      <c r="O216" s="280"/>
      <c r="P216" s="1167"/>
      <c r="R216" s="587"/>
      <c r="S216" s="587"/>
      <c r="X216" s="370"/>
      <c r="Y216" s="370"/>
      <c r="Z216" s="370"/>
      <c r="AB216" s="370"/>
      <c r="AC216" s="370"/>
    </row>
    <row r="217" hidden="1">
      <c r="A217" s="280"/>
      <c r="B217" s="280"/>
      <c r="C217" s="617"/>
      <c r="D217" s="1166"/>
      <c r="E217" s="1166"/>
      <c r="F217" s="1166"/>
      <c r="G217" s="1166"/>
      <c r="H217" s="1166"/>
      <c r="I217" s="1167"/>
      <c r="J217" s="1166"/>
      <c r="K217" s="1167"/>
      <c r="L217" s="1166"/>
      <c r="M217" s="1166"/>
      <c r="N217" s="1166"/>
      <c r="O217" s="280"/>
      <c r="P217" s="1167"/>
      <c r="R217" s="587"/>
      <c r="S217" s="587"/>
      <c r="X217" s="370"/>
      <c r="Y217" s="370"/>
      <c r="Z217" s="370"/>
      <c r="AB217" s="370"/>
      <c r="AC217" s="370"/>
    </row>
    <row r="218" hidden="1">
      <c r="A218" s="280"/>
      <c r="B218" s="280"/>
      <c r="C218" s="617"/>
      <c r="D218" s="1166"/>
      <c r="E218" s="1166"/>
      <c r="F218" s="1166"/>
      <c r="G218" s="1166"/>
      <c r="H218" s="1166"/>
      <c r="I218" s="1167"/>
      <c r="J218" s="1166"/>
      <c r="K218" s="1167"/>
      <c r="L218" s="1166"/>
      <c r="M218" s="1166"/>
      <c r="N218" s="1166"/>
      <c r="O218" s="280"/>
      <c r="P218" s="1167"/>
      <c r="R218" s="587"/>
      <c r="S218" s="587"/>
      <c r="X218" s="370"/>
      <c r="Y218" s="370"/>
      <c r="Z218" s="370"/>
      <c r="AB218" s="370"/>
      <c r="AC218" s="370"/>
    </row>
    <row r="219" hidden="1">
      <c r="A219" s="280"/>
      <c r="B219" s="280"/>
      <c r="C219" s="617"/>
      <c r="D219" s="1166"/>
      <c r="E219" s="1166"/>
      <c r="F219" s="1166"/>
      <c r="G219" s="1166"/>
      <c r="H219" s="1166"/>
      <c r="I219" s="1167"/>
      <c r="J219" s="1166"/>
      <c r="K219" s="1167"/>
      <c r="L219" s="1166"/>
      <c r="M219" s="1166"/>
      <c r="N219" s="1166"/>
      <c r="O219" s="280"/>
      <c r="P219" s="1167"/>
      <c r="R219" s="587"/>
      <c r="S219" s="587"/>
      <c r="X219" s="370"/>
      <c r="Y219" s="370"/>
      <c r="Z219" s="370"/>
      <c r="AB219" s="370"/>
      <c r="AC219" s="370"/>
    </row>
    <row r="220" hidden="1">
      <c r="A220" s="280"/>
      <c r="B220" s="280"/>
      <c r="C220" s="617"/>
      <c r="D220" s="1166"/>
      <c r="E220" s="1166"/>
      <c r="F220" s="1166"/>
      <c r="G220" s="1166"/>
      <c r="H220" s="1166"/>
      <c r="I220" s="1167"/>
      <c r="J220" s="1166"/>
      <c r="K220" s="1167"/>
      <c r="L220" s="1166"/>
      <c r="M220" s="1166"/>
      <c r="N220" s="1166"/>
      <c r="O220" s="280"/>
      <c r="P220" s="1167"/>
      <c r="R220" s="587"/>
      <c r="S220" s="587"/>
      <c r="X220" s="370"/>
      <c r="Y220" s="370"/>
      <c r="Z220" s="370"/>
      <c r="AB220" s="370"/>
      <c r="AC220" s="370"/>
    </row>
    <row r="221" hidden="1">
      <c r="A221" s="280"/>
      <c r="B221" s="280"/>
      <c r="C221" s="617"/>
      <c r="D221" s="1166"/>
      <c r="E221" s="1166"/>
      <c r="F221" s="1166"/>
      <c r="G221" s="1166"/>
      <c r="H221" s="1166"/>
      <c r="I221" s="1167"/>
      <c r="J221" s="1166"/>
      <c r="K221" s="1167"/>
      <c r="L221" s="1166"/>
      <c r="M221" s="1166"/>
      <c r="N221" s="1166"/>
      <c r="O221" s="280"/>
      <c r="P221" s="1167"/>
      <c r="R221" s="587"/>
      <c r="S221" s="587"/>
      <c r="X221" s="370"/>
      <c r="Y221" s="370"/>
      <c r="Z221" s="370"/>
      <c r="AB221" s="370"/>
      <c r="AC221" s="370"/>
    </row>
    <row r="222" hidden="1">
      <c r="A222" s="280"/>
      <c r="B222" s="280"/>
      <c r="C222" s="617"/>
      <c r="D222" s="1166"/>
      <c r="E222" s="1166"/>
      <c r="F222" s="1166"/>
      <c r="G222" s="1166"/>
      <c r="H222" s="1166"/>
      <c r="I222" s="1167"/>
      <c r="J222" s="1166"/>
      <c r="K222" s="1167"/>
      <c r="L222" s="1166"/>
      <c r="M222" s="1166"/>
      <c r="N222" s="1166"/>
      <c r="O222" s="280"/>
      <c r="P222" s="1167"/>
      <c r="R222" s="587"/>
      <c r="S222" s="587"/>
      <c r="X222" s="370"/>
      <c r="Y222" s="370"/>
      <c r="Z222" s="370"/>
      <c r="AB222" s="370"/>
      <c r="AC222" s="370"/>
    </row>
    <row r="223" hidden="1">
      <c r="A223" s="280"/>
      <c r="B223" s="280"/>
      <c r="C223" s="617"/>
      <c r="D223" s="1166"/>
      <c r="E223" s="1166"/>
      <c r="F223" s="1166"/>
      <c r="G223" s="1166"/>
      <c r="H223" s="1166"/>
      <c r="I223" s="1167"/>
      <c r="J223" s="1166"/>
      <c r="K223" s="1167"/>
      <c r="L223" s="1166"/>
      <c r="M223" s="1166"/>
      <c r="N223" s="1166"/>
      <c r="O223" s="280"/>
      <c r="P223" s="1167"/>
      <c r="R223" s="587"/>
      <c r="S223" s="587"/>
      <c r="X223" s="370"/>
      <c r="Y223" s="370"/>
      <c r="Z223" s="370"/>
      <c r="AB223" s="370"/>
      <c r="AC223" s="370"/>
    </row>
    <row r="224" hidden="1">
      <c r="A224" s="280"/>
      <c r="B224" s="280"/>
      <c r="C224" s="617"/>
      <c r="D224" s="1166"/>
      <c r="E224" s="1166"/>
      <c r="F224" s="1166"/>
      <c r="G224" s="1166"/>
      <c r="H224" s="1166"/>
      <c r="I224" s="1167"/>
      <c r="J224" s="1166"/>
      <c r="K224" s="1167"/>
      <c r="L224" s="1166"/>
      <c r="M224" s="1166"/>
      <c r="N224" s="1166"/>
      <c r="O224" s="280"/>
      <c r="P224" s="1167"/>
      <c r="R224" s="587"/>
      <c r="S224" s="587"/>
      <c r="X224" s="370"/>
      <c r="Y224" s="370"/>
      <c r="Z224" s="370"/>
      <c r="AB224" s="370"/>
      <c r="AC224" s="370"/>
    </row>
    <row r="225" hidden="1">
      <c r="A225" s="280"/>
      <c r="B225" s="280"/>
      <c r="C225" s="617"/>
      <c r="D225" s="1166"/>
      <c r="E225" s="1166"/>
      <c r="F225" s="1166"/>
      <c r="G225" s="1166"/>
      <c r="H225" s="1166"/>
      <c r="I225" s="1167"/>
      <c r="J225" s="1166"/>
      <c r="K225" s="1167"/>
      <c r="L225" s="1166"/>
      <c r="M225" s="1166"/>
      <c r="N225" s="1166"/>
      <c r="O225" s="280"/>
      <c r="P225" s="1167"/>
      <c r="R225" s="587"/>
      <c r="S225" s="587"/>
      <c r="X225" s="370"/>
      <c r="Y225" s="370"/>
      <c r="Z225" s="370"/>
      <c r="AB225" s="370"/>
      <c r="AC225" s="370"/>
    </row>
    <row r="226" hidden="1">
      <c r="A226" s="280"/>
      <c r="B226" s="280"/>
      <c r="C226" s="617"/>
      <c r="D226" s="1166"/>
      <c r="E226" s="1166"/>
      <c r="F226" s="1166"/>
      <c r="G226" s="1166"/>
      <c r="H226" s="1166"/>
      <c r="I226" s="1167"/>
      <c r="J226" s="1166"/>
      <c r="K226" s="1167"/>
      <c r="L226" s="1166"/>
      <c r="M226" s="1166"/>
      <c r="N226" s="1166"/>
      <c r="O226" s="280"/>
      <c r="P226" s="1167"/>
      <c r="R226" s="587"/>
      <c r="S226" s="587"/>
      <c r="X226" s="370"/>
      <c r="Y226" s="370"/>
      <c r="Z226" s="370"/>
      <c r="AB226" s="370"/>
      <c r="AC226" s="370"/>
    </row>
    <row r="227" hidden="1">
      <c r="A227" s="280"/>
      <c r="B227" s="280"/>
      <c r="C227" s="617"/>
      <c r="D227" s="1166"/>
      <c r="E227" s="1166"/>
      <c r="F227" s="1166"/>
      <c r="G227" s="1166"/>
      <c r="H227" s="1166"/>
      <c r="I227" s="1167"/>
      <c r="J227" s="1166"/>
      <c r="K227" s="1167"/>
      <c r="L227" s="1166"/>
      <c r="M227" s="1166"/>
      <c r="N227" s="1166"/>
      <c r="O227" s="280"/>
      <c r="P227" s="1167"/>
      <c r="R227" s="587"/>
      <c r="S227" s="587"/>
      <c r="X227" s="370"/>
      <c r="Y227" s="370"/>
      <c r="Z227" s="370"/>
      <c r="AB227" s="370"/>
      <c r="AC227" s="370"/>
    </row>
    <row r="228" hidden="1">
      <c r="A228" s="280"/>
      <c r="B228" s="280"/>
      <c r="C228" s="617"/>
      <c r="D228" s="1166"/>
      <c r="E228" s="1166"/>
      <c r="F228" s="1166"/>
      <c r="G228" s="1166"/>
      <c r="H228" s="1166"/>
      <c r="I228" s="1167"/>
      <c r="J228" s="1166"/>
      <c r="K228" s="1167"/>
      <c r="L228" s="1166"/>
      <c r="M228" s="1166"/>
      <c r="N228" s="1166"/>
      <c r="O228" s="280"/>
      <c r="P228" s="1167"/>
      <c r="R228" s="587"/>
      <c r="S228" s="587"/>
      <c r="X228" s="370"/>
      <c r="Y228" s="370"/>
      <c r="Z228" s="370"/>
      <c r="AB228" s="370"/>
      <c r="AC228" s="370"/>
    </row>
    <row r="229" hidden="1">
      <c r="A229" s="280"/>
      <c r="B229" s="280"/>
      <c r="C229" s="617"/>
      <c r="D229" s="1166"/>
      <c r="E229" s="1166"/>
      <c r="F229" s="1166"/>
      <c r="G229" s="1166"/>
      <c r="H229" s="1166"/>
      <c r="I229" s="1167"/>
      <c r="J229" s="1166"/>
      <c r="K229" s="1167"/>
      <c r="L229" s="1166"/>
      <c r="M229" s="1166"/>
      <c r="N229" s="1166"/>
      <c r="O229" s="280"/>
      <c r="P229" s="1167"/>
      <c r="R229" s="587"/>
      <c r="S229" s="587"/>
      <c r="X229" s="370"/>
      <c r="Y229" s="370"/>
      <c r="Z229" s="370"/>
      <c r="AB229" s="370"/>
      <c r="AC229" s="370"/>
    </row>
    <row r="230" hidden="1">
      <c r="A230" s="280"/>
      <c r="B230" s="280"/>
      <c r="C230" s="617"/>
      <c r="D230" s="1166"/>
      <c r="E230" s="1166"/>
      <c r="F230" s="1166"/>
      <c r="G230" s="1166"/>
      <c r="H230" s="1166"/>
      <c r="I230" s="1167"/>
      <c r="J230" s="1166"/>
      <c r="K230" s="1167"/>
      <c r="L230" s="1166"/>
      <c r="M230" s="1166"/>
      <c r="N230" s="1166"/>
      <c r="O230" s="280"/>
      <c r="P230" s="1167"/>
      <c r="R230" s="587"/>
      <c r="S230" s="587"/>
      <c r="X230" s="370"/>
      <c r="Y230" s="370"/>
      <c r="Z230" s="370"/>
      <c r="AB230" s="370"/>
      <c r="AC230" s="370"/>
    </row>
    <row r="231" hidden="1">
      <c r="A231" s="280"/>
      <c r="B231" s="280"/>
      <c r="C231" s="617"/>
      <c r="D231" s="1166"/>
      <c r="E231" s="1166"/>
      <c r="F231" s="1166"/>
      <c r="G231" s="1166"/>
      <c r="H231" s="1166"/>
      <c r="I231" s="1167"/>
      <c r="J231" s="1166"/>
      <c r="K231" s="1167"/>
      <c r="L231" s="1166"/>
      <c r="M231" s="1166"/>
      <c r="N231" s="1166"/>
      <c r="O231" s="280"/>
      <c r="P231" s="1167"/>
      <c r="R231" s="587"/>
      <c r="S231" s="587"/>
      <c r="X231" s="370"/>
      <c r="Y231" s="370"/>
      <c r="Z231" s="370"/>
      <c r="AB231" s="370"/>
      <c r="AC231" s="370"/>
    </row>
    <row r="232" hidden="1">
      <c r="A232" s="280"/>
      <c r="B232" s="280"/>
      <c r="C232" s="617"/>
      <c r="D232" s="1166"/>
      <c r="E232" s="1166"/>
      <c r="F232" s="1166"/>
      <c r="G232" s="1166"/>
      <c r="H232" s="1166"/>
      <c r="I232" s="1167"/>
      <c r="J232" s="1166"/>
      <c r="K232" s="1167"/>
      <c r="L232" s="1166"/>
      <c r="M232" s="1166"/>
      <c r="N232" s="1166"/>
      <c r="O232" s="280"/>
      <c r="P232" s="1167"/>
      <c r="R232" s="587"/>
      <c r="S232" s="587"/>
      <c r="X232" s="370"/>
      <c r="Y232" s="370"/>
      <c r="Z232" s="370"/>
      <c r="AB232" s="370"/>
      <c r="AC232" s="370"/>
    </row>
    <row r="233" hidden="1">
      <c r="A233" s="280"/>
      <c r="B233" s="280"/>
      <c r="C233" s="617"/>
      <c r="D233" s="1166"/>
      <c r="E233" s="1166"/>
      <c r="F233" s="1166"/>
      <c r="G233" s="1166"/>
      <c r="H233" s="1166"/>
      <c r="I233" s="1167"/>
      <c r="J233" s="1166"/>
      <c r="K233" s="1167"/>
      <c r="L233" s="1166"/>
      <c r="M233" s="1166"/>
      <c r="N233" s="1166"/>
      <c r="O233" s="280"/>
      <c r="P233" s="1167"/>
      <c r="R233" s="587"/>
      <c r="S233" s="587"/>
      <c r="X233" s="370"/>
      <c r="Y233" s="370"/>
      <c r="Z233" s="370"/>
      <c r="AB233" s="370"/>
      <c r="AC233" s="370"/>
    </row>
    <row r="234" hidden="1">
      <c r="A234" s="280"/>
      <c r="B234" s="280"/>
      <c r="C234" s="617"/>
      <c r="D234" s="1166"/>
      <c r="E234" s="1166"/>
      <c r="F234" s="1166"/>
      <c r="G234" s="1166"/>
      <c r="H234" s="1166"/>
      <c r="I234" s="1167"/>
      <c r="J234" s="1166"/>
      <c r="K234" s="1167"/>
      <c r="L234" s="1166"/>
      <c r="M234" s="1166"/>
      <c r="N234" s="1166"/>
      <c r="O234" s="280"/>
      <c r="P234" s="1167"/>
      <c r="R234" s="587"/>
      <c r="S234" s="587"/>
      <c r="X234" s="370"/>
      <c r="Y234" s="370"/>
      <c r="Z234" s="370"/>
      <c r="AB234" s="370"/>
      <c r="AC234" s="370"/>
    </row>
    <row r="235" hidden="1">
      <c r="A235" s="280"/>
      <c r="B235" s="280"/>
      <c r="C235" s="617"/>
      <c r="D235" s="1166"/>
      <c r="E235" s="1166"/>
      <c r="F235" s="1166"/>
      <c r="G235" s="1166"/>
      <c r="H235" s="1166"/>
      <c r="I235" s="1167"/>
      <c r="J235" s="1166"/>
      <c r="K235" s="1167"/>
      <c r="L235" s="1166"/>
      <c r="M235" s="1166"/>
      <c r="N235" s="1166"/>
      <c r="O235" s="280"/>
      <c r="P235" s="1167"/>
      <c r="R235" s="587"/>
      <c r="S235" s="587"/>
      <c r="X235" s="370"/>
      <c r="Y235" s="370"/>
      <c r="Z235" s="370"/>
      <c r="AB235" s="370"/>
      <c r="AC235" s="370"/>
    </row>
    <row r="236" hidden="1">
      <c r="A236" s="280"/>
      <c r="B236" s="280"/>
      <c r="C236" s="617"/>
      <c r="D236" s="1166"/>
      <c r="E236" s="1166"/>
      <c r="F236" s="1166"/>
      <c r="G236" s="1166"/>
      <c r="H236" s="1166"/>
      <c r="I236" s="1167"/>
      <c r="J236" s="1166"/>
      <c r="K236" s="1167"/>
      <c r="L236" s="1166"/>
      <c r="M236" s="1166"/>
      <c r="N236" s="1166"/>
      <c r="O236" s="280"/>
      <c r="P236" s="1167"/>
      <c r="R236" s="587"/>
      <c r="S236" s="587"/>
      <c r="X236" s="370"/>
      <c r="Y236" s="370"/>
      <c r="Z236" s="370"/>
      <c r="AB236" s="370"/>
      <c r="AC236" s="370"/>
    </row>
    <row r="237" hidden="1">
      <c r="A237" s="280"/>
      <c r="B237" s="280"/>
      <c r="C237" s="617"/>
      <c r="D237" s="1166"/>
      <c r="E237" s="1166"/>
      <c r="F237" s="1166"/>
      <c r="G237" s="1166"/>
      <c r="H237" s="1166"/>
      <c r="I237" s="1167"/>
      <c r="J237" s="1166"/>
      <c r="K237" s="1167"/>
      <c r="L237" s="1166"/>
      <c r="M237" s="1166"/>
      <c r="N237" s="1166"/>
      <c r="O237" s="280"/>
      <c r="P237" s="1167"/>
      <c r="R237" s="587"/>
      <c r="S237" s="587"/>
      <c r="X237" s="370"/>
      <c r="Y237" s="370"/>
      <c r="Z237" s="370"/>
      <c r="AB237" s="370"/>
      <c r="AC237" s="370"/>
    </row>
    <row r="238" hidden="1">
      <c r="A238" s="280"/>
      <c r="B238" s="280"/>
      <c r="C238" s="617"/>
      <c r="D238" s="1166"/>
      <c r="E238" s="1166"/>
      <c r="F238" s="1166"/>
      <c r="G238" s="1166"/>
      <c r="H238" s="1166"/>
      <c r="I238" s="1167"/>
      <c r="J238" s="1166"/>
      <c r="K238" s="1167"/>
      <c r="L238" s="1166"/>
      <c r="M238" s="1166"/>
      <c r="N238" s="1166"/>
      <c r="O238" s="280"/>
      <c r="P238" s="1167"/>
      <c r="R238" s="587"/>
      <c r="S238" s="587"/>
      <c r="X238" s="370"/>
      <c r="Y238" s="370"/>
      <c r="Z238" s="370"/>
      <c r="AB238" s="370"/>
      <c r="AC238" s="370"/>
    </row>
    <row r="239" hidden="1">
      <c r="A239" s="280"/>
      <c r="B239" s="280"/>
      <c r="C239" s="617"/>
      <c r="D239" s="1166"/>
      <c r="E239" s="1166"/>
      <c r="F239" s="1166"/>
      <c r="G239" s="1166"/>
      <c r="H239" s="1166"/>
      <c r="I239" s="1167"/>
      <c r="J239" s="1166"/>
      <c r="K239" s="1167"/>
      <c r="L239" s="1166"/>
      <c r="M239" s="1166"/>
      <c r="N239" s="1166"/>
      <c r="O239" s="280"/>
      <c r="P239" s="1167"/>
      <c r="R239" s="587"/>
      <c r="S239" s="587"/>
      <c r="X239" s="370"/>
      <c r="Y239" s="370"/>
      <c r="Z239" s="370"/>
      <c r="AB239" s="370"/>
      <c r="AC239" s="370"/>
    </row>
    <row r="240" hidden="1">
      <c r="A240" s="280"/>
      <c r="B240" s="280"/>
      <c r="C240" s="617"/>
      <c r="D240" s="1166"/>
      <c r="E240" s="1166"/>
      <c r="F240" s="1166"/>
      <c r="G240" s="1166"/>
      <c r="H240" s="1166"/>
      <c r="I240" s="1167"/>
      <c r="J240" s="1166"/>
      <c r="K240" s="1167"/>
      <c r="L240" s="1166"/>
      <c r="M240" s="1166"/>
      <c r="N240" s="1166"/>
      <c r="O240" s="280"/>
      <c r="P240" s="1167"/>
      <c r="R240" s="587"/>
      <c r="S240" s="587"/>
      <c r="X240" s="370"/>
      <c r="Y240" s="370"/>
      <c r="Z240" s="370"/>
      <c r="AB240" s="370"/>
      <c r="AC240" s="370"/>
    </row>
    <row r="241" hidden="1">
      <c r="A241" s="280"/>
      <c r="B241" s="280"/>
      <c r="C241" s="617"/>
      <c r="D241" s="1166"/>
      <c r="E241" s="1166"/>
      <c r="F241" s="1166"/>
      <c r="G241" s="1166"/>
      <c r="H241" s="1166"/>
      <c r="I241" s="1167"/>
      <c r="J241" s="1166"/>
      <c r="K241" s="1167"/>
      <c r="L241" s="1166"/>
      <c r="M241" s="1166"/>
      <c r="N241" s="1166"/>
      <c r="O241" s="280"/>
      <c r="P241" s="1167"/>
      <c r="R241" s="587"/>
      <c r="S241" s="587"/>
      <c r="X241" s="370"/>
      <c r="Y241" s="370"/>
      <c r="Z241" s="370"/>
      <c r="AB241" s="370"/>
      <c r="AC241" s="370"/>
    </row>
    <row r="242" hidden="1">
      <c r="A242" s="280"/>
      <c r="B242" s="280"/>
      <c r="C242" s="617"/>
      <c r="D242" s="1166"/>
      <c r="E242" s="1166"/>
      <c r="F242" s="1166"/>
      <c r="G242" s="1166"/>
      <c r="H242" s="1166"/>
      <c r="I242" s="1167"/>
      <c r="J242" s="1166"/>
      <c r="K242" s="1167"/>
      <c r="L242" s="1166"/>
      <c r="M242" s="1166"/>
      <c r="N242" s="1166"/>
      <c r="O242" s="280"/>
      <c r="P242" s="1167"/>
      <c r="R242" s="587"/>
      <c r="S242" s="587"/>
      <c r="X242" s="370"/>
      <c r="Y242" s="370"/>
      <c r="Z242" s="370"/>
      <c r="AB242" s="370"/>
      <c r="AC242" s="370"/>
    </row>
    <row r="243" hidden="1">
      <c r="A243" s="280"/>
      <c r="B243" s="280"/>
      <c r="C243" s="617"/>
      <c r="D243" s="1166"/>
      <c r="E243" s="1166"/>
      <c r="F243" s="1166"/>
      <c r="G243" s="1166"/>
      <c r="H243" s="1166"/>
      <c r="I243" s="1167"/>
      <c r="J243" s="1166"/>
      <c r="K243" s="1167"/>
      <c r="L243" s="1166"/>
      <c r="M243" s="1166"/>
      <c r="N243" s="1166"/>
      <c r="O243" s="280"/>
      <c r="P243" s="1167"/>
      <c r="R243" s="587"/>
      <c r="S243" s="587"/>
      <c r="X243" s="370"/>
      <c r="Y243" s="370"/>
      <c r="Z243" s="370"/>
      <c r="AB243" s="370"/>
      <c r="AC243" s="370"/>
    </row>
    <row r="244" hidden="1">
      <c r="A244" s="280"/>
      <c r="B244" s="280"/>
      <c r="C244" s="617"/>
      <c r="D244" s="1166"/>
      <c r="E244" s="1166"/>
      <c r="F244" s="1166"/>
      <c r="G244" s="1166"/>
      <c r="H244" s="1166"/>
      <c r="I244" s="1167"/>
      <c r="J244" s="1166"/>
      <c r="K244" s="1167"/>
      <c r="L244" s="1166"/>
      <c r="M244" s="1166"/>
      <c r="N244" s="1166"/>
      <c r="O244" s="280"/>
      <c r="P244" s="1167"/>
      <c r="R244" s="587"/>
      <c r="S244" s="587"/>
      <c r="X244" s="370"/>
      <c r="Y244" s="370"/>
      <c r="Z244" s="370"/>
      <c r="AB244" s="370"/>
      <c r="AC244" s="370"/>
    </row>
    <row r="245" hidden="1">
      <c r="A245" s="280"/>
      <c r="B245" s="280"/>
      <c r="C245" s="617"/>
      <c r="D245" s="1166"/>
      <c r="E245" s="1166"/>
      <c r="F245" s="1166"/>
      <c r="G245" s="1166"/>
      <c r="H245" s="1166"/>
      <c r="I245" s="1167"/>
      <c r="J245" s="1166"/>
      <c r="K245" s="1167"/>
      <c r="L245" s="1166"/>
      <c r="M245" s="1166"/>
      <c r="N245" s="1166"/>
      <c r="O245" s="280"/>
      <c r="P245" s="1167"/>
      <c r="R245" s="587"/>
      <c r="S245" s="587"/>
      <c r="X245" s="370"/>
      <c r="Y245" s="370"/>
      <c r="Z245" s="370"/>
      <c r="AB245" s="370"/>
      <c r="AC245" s="370"/>
    </row>
    <row r="246" hidden="1">
      <c r="A246" s="280"/>
      <c r="B246" s="280"/>
      <c r="C246" s="617"/>
      <c r="D246" s="1166"/>
      <c r="E246" s="1166"/>
      <c r="F246" s="1166"/>
      <c r="G246" s="1166"/>
      <c r="H246" s="1166"/>
      <c r="I246" s="1167"/>
      <c r="J246" s="1166"/>
      <c r="K246" s="1167"/>
      <c r="L246" s="1166"/>
      <c r="M246" s="1166"/>
      <c r="N246" s="1166"/>
      <c r="O246" s="280"/>
      <c r="P246" s="1167"/>
      <c r="R246" s="587"/>
      <c r="S246" s="587"/>
      <c r="X246" s="370"/>
      <c r="Y246" s="370"/>
      <c r="Z246" s="370"/>
      <c r="AB246" s="370"/>
      <c r="AC246" s="370"/>
    </row>
    <row r="247" hidden="1">
      <c r="A247" s="280"/>
      <c r="B247" s="280"/>
      <c r="C247" s="617"/>
      <c r="D247" s="1166"/>
      <c r="E247" s="1166"/>
      <c r="F247" s="1166"/>
      <c r="G247" s="1166"/>
      <c r="H247" s="1166"/>
      <c r="I247" s="1167"/>
      <c r="J247" s="1166"/>
      <c r="K247" s="1167"/>
      <c r="L247" s="1166"/>
      <c r="M247" s="1166"/>
      <c r="N247" s="1166"/>
      <c r="O247" s="280"/>
      <c r="P247" s="1167"/>
      <c r="R247" s="587"/>
      <c r="S247" s="587"/>
      <c r="X247" s="370"/>
      <c r="Y247" s="370"/>
      <c r="Z247" s="370"/>
      <c r="AB247" s="370"/>
      <c r="AC247" s="370"/>
    </row>
    <row r="248" hidden="1">
      <c r="A248" s="280"/>
      <c r="B248" s="280"/>
      <c r="C248" s="617"/>
      <c r="D248" s="1166"/>
      <c r="E248" s="1166"/>
      <c r="F248" s="1166"/>
      <c r="G248" s="1166"/>
      <c r="H248" s="1166"/>
      <c r="I248" s="1167"/>
      <c r="J248" s="1166"/>
      <c r="K248" s="1167"/>
      <c r="L248" s="1166"/>
      <c r="M248" s="1166"/>
      <c r="N248" s="1166"/>
      <c r="O248" s="280"/>
      <c r="P248" s="1167"/>
      <c r="R248" s="587"/>
      <c r="S248" s="587"/>
      <c r="X248" s="370"/>
      <c r="Y248" s="370"/>
      <c r="Z248" s="370"/>
      <c r="AB248" s="370"/>
      <c r="AC248" s="370"/>
    </row>
    <row r="249" hidden="1">
      <c r="A249" s="280"/>
      <c r="B249" s="280"/>
      <c r="C249" s="617"/>
      <c r="D249" s="1166"/>
      <c r="E249" s="1166"/>
      <c r="F249" s="1166"/>
      <c r="G249" s="1166"/>
      <c r="H249" s="1166"/>
      <c r="I249" s="1167"/>
      <c r="J249" s="1166"/>
      <c r="K249" s="1167"/>
      <c r="L249" s="1166"/>
      <c r="M249" s="1166"/>
      <c r="N249" s="1166"/>
      <c r="O249" s="280"/>
      <c r="P249" s="1167"/>
      <c r="R249" s="587"/>
      <c r="S249" s="587"/>
      <c r="X249" s="370"/>
      <c r="Y249" s="370"/>
      <c r="Z249" s="370"/>
      <c r="AB249" s="370"/>
      <c r="AC249" s="370"/>
    </row>
    <row r="250" hidden="1">
      <c r="A250" s="280"/>
      <c r="B250" s="280"/>
      <c r="C250" s="617"/>
      <c r="D250" s="1166"/>
      <c r="E250" s="1166"/>
      <c r="F250" s="1166"/>
      <c r="G250" s="1166"/>
      <c r="H250" s="1166"/>
      <c r="I250" s="1167"/>
      <c r="J250" s="1166"/>
      <c r="K250" s="1167"/>
      <c r="L250" s="1166"/>
      <c r="M250" s="1166"/>
      <c r="N250" s="1166"/>
      <c r="O250" s="280"/>
      <c r="P250" s="1167"/>
      <c r="R250" s="587"/>
      <c r="S250" s="587"/>
      <c r="X250" s="370"/>
      <c r="Y250" s="370"/>
      <c r="Z250" s="370"/>
      <c r="AB250" s="370"/>
      <c r="AC250" s="370"/>
    </row>
    <row r="251" hidden="1">
      <c r="A251" s="280"/>
      <c r="B251" s="280"/>
      <c r="C251" s="617"/>
      <c r="D251" s="1166"/>
      <c r="E251" s="1166"/>
      <c r="F251" s="1166"/>
      <c r="G251" s="1166"/>
      <c r="H251" s="1166"/>
      <c r="I251" s="1167"/>
      <c r="J251" s="1166"/>
      <c r="K251" s="1167"/>
      <c r="L251" s="1166"/>
      <c r="M251" s="1166"/>
      <c r="N251" s="1166"/>
      <c r="O251" s="280"/>
      <c r="P251" s="1167"/>
      <c r="R251" s="587"/>
      <c r="S251" s="587"/>
      <c r="X251" s="370"/>
      <c r="Y251" s="370"/>
      <c r="Z251" s="370"/>
      <c r="AB251" s="370"/>
      <c r="AC251" s="370"/>
    </row>
    <row r="252" hidden="1">
      <c r="A252" s="280"/>
      <c r="B252" s="280"/>
      <c r="C252" s="617"/>
      <c r="D252" s="1166"/>
      <c r="E252" s="1166"/>
      <c r="F252" s="1166"/>
      <c r="G252" s="1166"/>
      <c r="H252" s="1166"/>
      <c r="I252" s="1167"/>
      <c r="J252" s="1166"/>
      <c r="K252" s="1167"/>
      <c r="L252" s="1166"/>
      <c r="M252" s="1166"/>
      <c r="N252" s="1166"/>
      <c r="O252" s="280"/>
      <c r="P252" s="1167"/>
      <c r="R252" s="587"/>
      <c r="S252" s="587"/>
      <c r="X252" s="370"/>
      <c r="Y252" s="370"/>
      <c r="Z252" s="370"/>
      <c r="AB252" s="370"/>
      <c r="AC252" s="370"/>
    </row>
    <row r="253" hidden="1">
      <c r="A253" s="280"/>
      <c r="B253" s="280"/>
      <c r="C253" s="617"/>
      <c r="D253" s="1166"/>
      <c r="E253" s="1166"/>
      <c r="F253" s="1166"/>
      <c r="G253" s="1166"/>
      <c r="H253" s="1166"/>
      <c r="I253" s="1167"/>
      <c r="J253" s="1166"/>
      <c r="K253" s="1167"/>
      <c r="L253" s="1166"/>
      <c r="M253" s="1166"/>
      <c r="N253" s="1166"/>
      <c r="O253" s="280"/>
      <c r="P253" s="1167"/>
      <c r="R253" s="587"/>
      <c r="S253" s="587"/>
      <c r="X253" s="370"/>
      <c r="Y253" s="370"/>
      <c r="Z253" s="370"/>
      <c r="AB253" s="370"/>
      <c r="AC253" s="370"/>
    </row>
    <row r="254" hidden="1">
      <c r="A254" s="280"/>
      <c r="B254" s="280"/>
      <c r="C254" s="617"/>
      <c r="D254" s="1166"/>
      <c r="E254" s="1166"/>
      <c r="F254" s="1166"/>
      <c r="G254" s="1166"/>
      <c r="H254" s="1166"/>
      <c r="I254" s="1167"/>
      <c r="J254" s="1166"/>
      <c r="K254" s="1167"/>
      <c r="L254" s="1166"/>
      <c r="M254" s="1166"/>
      <c r="N254" s="1166"/>
      <c r="O254" s="280"/>
      <c r="P254" s="1167"/>
      <c r="R254" s="587"/>
      <c r="S254" s="587"/>
      <c r="X254" s="370"/>
      <c r="Y254" s="370"/>
      <c r="Z254" s="370"/>
      <c r="AB254" s="370"/>
      <c r="AC254" s="370"/>
    </row>
    <row r="255" hidden="1">
      <c r="A255" s="280"/>
      <c r="B255" s="280"/>
      <c r="C255" s="617"/>
      <c r="D255" s="1166"/>
      <c r="E255" s="1166"/>
      <c r="F255" s="1166"/>
      <c r="G255" s="1166"/>
      <c r="H255" s="1166"/>
      <c r="I255" s="1167"/>
      <c r="J255" s="1166"/>
      <c r="K255" s="1167"/>
      <c r="L255" s="1166"/>
      <c r="M255" s="1166"/>
      <c r="N255" s="1166"/>
      <c r="O255" s="280"/>
      <c r="P255" s="1167"/>
      <c r="R255" s="587"/>
      <c r="S255" s="587"/>
      <c r="X255" s="370"/>
      <c r="Y255" s="370"/>
      <c r="Z255" s="370"/>
      <c r="AB255" s="370"/>
      <c r="AC255" s="370"/>
    </row>
    <row r="256" hidden="1">
      <c r="A256" s="280"/>
      <c r="B256" s="280"/>
      <c r="C256" s="617"/>
      <c r="D256" s="1166"/>
      <c r="E256" s="1166"/>
      <c r="F256" s="1166"/>
      <c r="G256" s="1166"/>
      <c r="H256" s="1166"/>
      <c r="I256" s="1167"/>
      <c r="J256" s="1166"/>
      <c r="K256" s="1167"/>
      <c r="L256" s="1166"/>
      <c r="M256" s="1166"/>
      <c r="N256" s="1166"/>
      <c r="O256" s="280"/>
      <c r="P256" s="1167"/>
      <c r="R256" s="587"/>
      <c r="S256" s="587"/>
      <c r="X256" s="370"/>
      <c r="Y256" s="370"/>
      <c r="Z256" s="370"/>
      <c r="AB256" s="370"/>
      <c r="AC256" s="370"/>
    </row>
    <row r="257" hidden="1">
      <c r="A257" s="280"/>
      <c r="B257" s="280"/>
      <c r="C257" s="617"/>
      <c r="D257" s="1166"/>
      <c r="E257" s="1166"/>
      <c r="F257" s="1166"/>
      <c r="G257" s="1166"/>
      <c r="H257" s="1166"/>
      <c r="I257" s="1167"/>
      <c r="J257" s="1166"/>
      <c r="K257" s="1167"/>
      <c r="L257" s="1166"/>
      <c r="M257" s="1166"/>
      <c r="N257" s="1166"/>
      <c r="O257" s="280"/>
      <c r="P257" s="1167"/>
      <c r="R257" s="587"/>
      <c r="S257" s="587"/>
      <c r="X257" s="370"/>
      <c r="Y257" s="370"/>
      <c r="Z257" s="370"/>
      <c r="AB257" s="370"/>
      <c r="AC257" s="370"/>
    </row>
    <row r="258" hidden="1">
      <c r="A258" s="280"/>
      <c r="B258" s="280"/>
      <c r="C258" s="617"/>
      <c r="D258" s="1166"/>
      <c r="E258" s="1166"/>
      <c r="F258" s="1166"/>
      <c r="G258" s="1166"/>
      <c r="H258" s="1166"/>
      <c r="I258" s="1167"/>
      <c r="J258" s="1166"/>
      <c r="K258" s="1167"/>
      <c r="L258" s="1166"/>
      <c r="M258" s="1166"/>
      <c r="N258" s="1166"/>
      <c r="O258" s="280"/>
      <c r="P258" s="1167"/>
      <c r="R258" s="587"/>
      <c r="S258" s="587"/>
      <c r="X258" s="370"/>
      <c r="Y258" s="370"/>
      <c r="Z258" s="370"/>
      <c r="AB258" s="370"/>
      <c r="AC258" s="370"/>
    </row>
    <row r="259" hidden="1">
      <c r="A259" s="280"/>
      <c r="B259" s="280"/>
      <c r="C259" s="617"/>
      <c r="D259" s="1166"/>
      <c r="E259" s="1166"/>
      <c r="F259" s="1166"/>
      <c r="G259" s="1166"/>
      <c r="H259" s="1166"/>
      <c r="I259" s="1167"/>
      <c r="J259" s="1166"/>
      <c r="K259" s="1167"/>
      <c r="L259" s="1166"/>
      <c r="M259" s="1166"/>
      <c r="N259" s="1166"/>
      <c r="O259" s="280"/>
      <c r="P259" s="1167"/>
      <c r="R259" s="587"/>
      <c r="S259" s="587"/>
      <c r="X259" s="370"/>
      <c r="Y259" s="370"/>
      <c r="Z259" s="370"/>
      <c r="AB259" s="370"/>
      <c r="AC259" s="370"/>
    </row>
    <row r="260" hidden="1">
      <c r="A260" s="280"/>
      <c r="B260" s="280"/>
      <c r="C260" s="617"/>
      <c r="D260" s="1166"/>
      <c r="E260" s="1166"/>
      <c r="F260" s="1166"/>
      <c r="G260" s="1166"/>
      <c r="H260" s="1166"/>
      <c r="I260" s="1167"/>
      <c r="J260" s="1166"/>
      <c r="K260" s="1167"/>
      <c r="L260" s="1166"/>
      <c r="M260" s="1166"/>
      <c r="N260" s="1166"/>
      <c r="O260" s="280"/>
      <c r="P260" s="1167"/>
      <c r="R260" s="587"/>
      <c r="S260" s="587"/>
      <c r="X260" s="370"/>
      <c r="Y260" s="370"/>
      <c r="Z260" s="370"/>
      <c r="AB260" s="370"/>
      <c r="AC260" s="370"/>
    </row>
    <row r="261" hidden="1">
      <c r="A261" s="280"/>
      <c r="B261" s="280"/>
      <c r="C261" s="617"/>
      <c r="D261" s="1166"/>
      <c r="E261" s="1166"/>
      <c r="F261" s="1166"/>
      <c r="G261" s="1166"/>
      <c r="H261" s="1166"/>
      <c r="I261" s="1167"/>
      <c r="J261" s="1166"/>
      <c r="K261" s="1167"/>
      <c r="L261" s="1166"/>
      <c r="M261" s="1166"/>
      <c r="N261" s="1166"/>
      <c r="O261" s="280"/>
      <c r="P261" s="1167"/>
      <c r="R261" s="587"/>
      <c r="S261" s="587"/>
      <c r="X261" s="370"/>
      <c r="Y261" s="370"/>
      <c r="Z261" s="370"/>
      <c r="AB261" s="370"/>
      <c r="AC261" s="370"/>
    </row>
    <row r="262" hidden="1">
      <c r="A262" s="280"/>
      <c r="B262" s="280"/>
      <c r="C262" s="617"/>
      <c r="D262" s="1166"/>
      <c r="E262" s="1166"/>
      <c r="F262" s="1166"/>
      <c r="G262" s="1166"/>
      <c r="H262" s="1166"/>
      <c r="I262" s="1167"/>
      <c r="J262" s="1166"/>
      <c r="K262" s="1167"/>
      <c r="L262" s="1166"/>
      <c r="M262" s="1166"/>
      <c r="N262" s="1166"/>
      <c r="O262" s="280"/>
      <c r="P262" s="1167"/>
      <c r="R262" s="587"/>
      <c r="S262" s="587"/>
      <c r="X262" s="370"/>
      <c r="Y262" s="370"/>
      <c r="Z262" s="370"/>
      <c r="AB262" s="370"/>
      <c r="AC262" s="370"/>
    </row>
    <row r="263" hidden="1">
      <c r="A263" s="280"/>
      <c r="B263" s="280"/>
      <c r="C263" s="617"/>
      <c r="D263" s="1166"/>
      <c r="E263" s="1166"/>
      <c r="F263" s="1166"/>
      <c r="G263" s="1166"/>
      <c r="H263" s="1166"/>
      <c r="I263" s="1167"/>
      <c r="J263" s="1166"/>
      <c r="K263" s="1167"/>
      <c r="L263" s="1166"/>
      <c r="M263" s="1166"/>
      <c r="N263" s="1166"/>
      <c r="O263" s="280"/>
      <c r="P263" s="1167"/>
      <c r="R263" s="587"/>
      <c r="S263" s="587"/>
      <c r="X263" s="370"/>
      <c r="Y263" s="370"/>
      <c r="Z263" s="370"/>
      <c r="AB263" s="370"/>
      <c r="AC263" s="370"/>
    </row>
    <row r="264" hidden="1">
      <c r="A264" s="280"/>
      <c r="B264" s="280"/>
      <c r="C264" s="617"/>
      <c r="D264" s="1166"/>
      <c r="E264" s="1166"/>
      <c r="F264" s="1166"/>
      <c r="G264" s="1166"/>
      <c r="H264" s="1166"/>
      <c r="I264" s="1167"/>
      <c r="J264" s="1166"/>
      <c r="K264" s="1167"/>
      <c r="L264" s="1166"/>
      <c r="M264" s="1166"/>
      <c r="N264" s="1166"/>
      <c r="O264" s="280"/>
      <c r="P264" s="1167"/>
      <c r="R264" s="587"/>
      <c r="S264" s="587"/>
      <c r="X264" s="370"/>
      <c r="Y264" s="370"/>
      <c r="Z264" s="370"/>
      <c r="AB264" s="370"/>
      <c r="AC264" s="370"/>
    </row>
    <row r="265" hidden="1">
      <c r="A265" s="280"/>
      <c r="B265" s="280"/>
      <c r="C265" s="617"/>
      <c r="D265" s="1166"/>
      <c r="E265" s="1166"/>
      <c r="F265" s="1166"/>
      <c r="G265" s="1166"/>
      <c r="H265" s="1166"/>
      <c r="I265" s="1167"/>
      <c r="J265" s="1166"/>
      <c r="K265" s="1167"/>
      <c r="L265" s="1166"/>
      <c r="M265" s="1166"/>
      <c r="N265" s="1166"/>
      <c r="O265" s="280"/>
      <c r="P265" s="1167"/>
      <c r="R265" s="587"/>
      <c r="S265" s="587"/>
      <c r="X265" s="370"/>
      <c r="Y265" s="370"/>
      <c r="Z265" s="370"/>
      <c r="AB265" s="370"/>
      <c r="AC265" s="370"/>
    </row>
    <row r="266" hidden="1">
      <c r="A266" s="280"/>
      <c r="B266" s="280"/>
      <c r="C266" s="617"/>
      <c r="D266" s="1166"/>
      <c r="E266" s="1166"/>
      <c r="F266" s="1166"/>
      <c r="G266" s="1166"/>
      <c r="H266" s="1166"/>
      <c r="I266" s="1167"/>
      <c r="J266" s="1166"/>
      <c r="K266" s="1167"/>
      <c r="L266" s="1166"/>
      <c r="M266" s="1166"/>
      <c r="N266" s="1166"/>
      <c r="O266" s="280"/>
      <c r="P266" s="1167"/>
      <c r="R266" s="587"/>
      <c r="S266" s="587"/>
      <c r="X266" s="370"/>
      <c r="Y266" s="370"/>
      <c r="Z266" s="370"/>
      <c r="AB266" s="370"/>
      <c r="AC266" s="370"/>
    </row>
    <row r="267" hidden="1">
      <c r="A267" s="280"/>
      <c r="B267" s="280"/>
      <c r="C267" s="617"/>
      <c r="D267" s="1166"/>
      <c r="E267" s="1166"/>
      <c r="F267" s="1166"/>
      <c r="G267" s="1166"/>
      <c r="H267" s="1166"/>
      <c r="I267" s="1167"/>
      <c r="J267" s="1166"/>
      <c r="K267" s="1167"/>
      <c r="L267" s="1166"/>
      <c r="M267" s="1166"/>
      <c r="N267" s="1166"/>
      <c r="O267" s="280"/>
      <c r="P267" s="1167"/>
      <c r="R267" s="587"/>
      <c r="S267" s="587"/>
      <c r="X267" s="370"/>
      <c r="Y267" s="370"/>
      <c r="Z267" s="370"/>
      <c r="AB267" s="370"/>
      <c r="AC267" s="370"/>
    </row>
    <row r="268" hidden="1">
      <c r="A268" s="280"/>
      <c r="B268" s="280"/>
      <c r="C268" s="617"/>
      <c r="D268" s="1166"/>
      <c r="E268" s="1166"/>
      <c r="F268" s="1166"/>
      <c r="G268" s="1166"/>
      <c r="H268" s="1166"/>
      <c r="I268" s="1167"/>
      <c r="J268" s="1166"/>
      <c r="K268" s="1167"/>
      <c r="L268" s="1166"/>
      <c r="M268" s="1166"/>
      <c r="N268" s="1166"/>
      <c r="O268" s="280"/>
      <c r="P268" s="1167"/>
      <c r="R268" s="587"/>
      <c r="S268" s="587"/>
      <c r="X268" s="370"/>
      <c r="Y268" s="370"/>
      <c r="Z268" s="370"/>
      <c r="AB268" s="370"/>
      <c r="AC268" s="370"/>
    </row>
    <row r="269" hidden="1">
      <c r="A269" s="280"/>
      <c r="B269" s="280"/>
      <c r="C269" s="617"/>
      <c r="D269" s="1166"/>
      <c r="E269" s="1166"/>
      <c r="F269" s="1166"/>
      <c r="G269" s="1166"/>
      <c r="H269" s="1166"/>
      <c r="I269" s="1167"/>
      <c r="J269" s="1166"/>
      <c r="K269" s="1167"/>
      <c r="L269" s="1166"/>
      <c r="M269" s="1166"/>
      <c r="N269" s="1166"/>
      <c r="O269" s="280"/>
      <c r="P269" s="1167"/>
      <c r="R269" s="587"/>
      <c r="S269" s="587"/>
      <c r="X269" s="370"/>
      <c r="Y269" s="370"/>
      <c r="Z269" s="370"/>
      <c r="AB269" s="370"/>
      <c r="AC269" s="370"/>
    </row>
    <row r="270" hidden="1">
      <c r="A270" s="280"/>
      <c r="B270" s="280"/>
      <c r="C270" s="617"/>
      <c r="D270" s="1166"/>
      <c r="E270" s="1166"/>
      <c r="F270" s="1166"/>
      <c r="G270" s="1166"/>
      <c r="H270" s="1166"/>
      <c r="I270" s="1167"/>
      <c r="J270" s="1166"/>
      <c r="K270" s="1167"/>
      <c r="L270" s="1166"/>
      <c r="M270" s="1166"/>
      <c r="N270" s="1166"/>
      <c r="O270" s="280"/>
      <c r="P270" s="1167"/>
      <c r="R270" s="587"/>
      <c r="S270" s="587"/>
      <c r="X270" s="370"/>
      <c r="Y270" s="370"/>
      <c r="Z270" s="370"/>
      <c r="AB270" s="370"/>
      <c r="AC270" s="370"/>
    </row>
    <row r="271" hidden="1">
      <c r="A271" s="280"/>
      <c r="B271" s="280"/>
      <c r="C271" s="617"/>
      <c r="D271" s="1166"/>
      <c r="E271" s="1166"/>
      <c r="F271" s="1166"/>
      <c r="G271" s="1166"/>
      <c r="H271" s="1166"/>
      <c r="I271" s="1167"/>
      <c r="J271" s="1166"/>
      <c r="K271" s="1167"/>
      <c r="L271" s="1166"/>
      <c r="M271" s="1166"/>
      <c r="N271" s="1166"/>
      <c r="O271" s="280"/>
      <c r="P271" s="1167"/>
      <c r="R271" s="587"/>
      <c r="S271" s="587"/>
      <c r="X271" s="370"/>
      <c r="Y271" s="370"/>
      <c r="Z271" s="370"/>
      <c r="AB271" s="370"/>
      <c r="AC271" s="370"/>
    </row>
    <row r="272" hidden="1">
      <c r="A272" s="280"/>
      <c r="B272" s="280"/>
      <c r="C272" s="617"/>
      <c r="D272" s="1166"/>
      <c r="E272" s="1166"/>
      <c r="F272" s="1166"/>
      <c r="G272" s="1166"/>
      <c r="H272" s="1166"/>
      <c r="I272" s="1167"/>
      <c r="J272" s="1166"/>
      <c r="K272" s="1167"/>
      <c r="L272" s="1166"/>
      <c r="M272" s="1166"/>
      <c r="N272" s="1166"/>
      <c r="O272" s="280"/>
      <c r="P272" s="1167"/>
      <c r="R272" s="587"/>
      <c r="S272" s="587"/>
      <c r="X272" s="370"/>
      <c r="Y272" s="370"/>
      <c r="Z272" s="370"/>
      <c r="AB272" s="370"/>
      <c r="AC272" s="370"/>
    </row>
    <row r="273" hidden="1">
      <c r="A273" s="280"/>
      <c r="B273" s="280"/>
      <c r="C273" s="617"/>
      <c r="D273" s="1166"/>
      <c r="E273" s="1166"/>
      <c r="F273" s="1166"/>
      <c r="G273" s="1166"/>
      <c r="H273" s="1166"/>
      <c r="I273" s="1167"/>
      <c r="J273" s="1166"/>
      <c r="K273" s="1167"/>
      <c r="L273" s="1166"/>
      <c r="M273" s="1166"/>
      <c r="N273" s="1166"/>
      <c r="O273" s="280"/>
      <c r="P273" s="1167"/>
      <c r="R273" s="587"/>
      <c r="S273" s="587"/>
      <c r="X273" s="370"/>
      <c r="Y273" s="370"/>
      <c r="Z273" s="370"/>
      <c r="AB273" s="370"/>
      <c r="AC273" s="370"/>
    </row>
    <row r="274" hidden="1">
      <c r="A274" s="280"/>
      <c r="B274" s="280"/>
      <c r="C274" s="617"/>
      <c r="D274" s="1166"/>
      <c r="E274" s="1166"/>
      <c r="F274" s="1166"/>
      <c r="G274" s="1166"/>
      <c r="H274" s="1166"/>
      <c r="I274" s="1167"/>
      <c r="J274" s="1166"/>
      <c r="K274" s="1167"/>
      <c r="L274" s="1166"/>
      <c r="M274" s="1166"/>
      <c r="N274" s="1166"/>
      <c r="O274" s="280"/>
      <c r="P274" s="1167"/>
      <c r="R274" s="587"/>
      <c r="S274" s="587"/>
      <c r="X274" s="370"/>
      <c r="Y274" s="370"/>
      <c r="Z274" s="370"/>
      <c r="AB274" s="370"/>
      <c r="AC274" s="370"/>
    </row>
    <row r="275" hidden="1">
      <c r="A275" s="280"/>
      <c r="B275" s="280"/>
      <c r="C275" s="617"/>
      <c r="D275" s="1166"/>
      <c r="E275" s="1166"/>
      <c r="F275" s="1166"/>
      <c r="G275" s="1166"/>
      <c r="H275" s="1166"/>
      <c r="I275" s="1167"/>
      <c r="J275" s="1166"/>
      <c r="K275" s="1167"/>
      <c r="L275" s="1166"/>
      <c r="M275" s="1166"/>
      <c r="N275" s="1166"/>
      <c r="O275" s="280"/>
      <c r="P275" s="1167"/>
      <c r="R275" s="587"/>
      <c r="S275" s="587"/>
      <c r="X275" s="370"/>
      <c r="Y275" s="370"/>
      <c r="Z275" s="370"/>
      <c r="AB275" s="370"/>
      <c r="AC275" s="370"/>
    </row>
    <row r="276" hidden="1">
      <c r="A276" s="280"/>
      <c r="B276" s="280"/>
      <c r="C276" s="617"/>
      <c r="D276" s="1166"/>
      <c r="E276" s="1166"/>
      <c r="F276" s="1166"/>
      <c r="G276" s="1166"/>
      <c r="H276" s="1166"/>
      <c r="I276" s="1167"/>
      <c r="J276" s="1166"/>
      <c r="K276" s="1167"/>
      <c r="L276" s="1166"/>
      <c r="M276" s="1166"/>
      <c r="N276" s="1166"/>
      <c r="O276" s="280"/>
      <c r="P276" s="1167"/>
      <c r="R276" s="587"/>
      <c r="S276" s="587"/>
      <c r="X276" s="370"/>
      <c r="Y276" s="370"/>
      <c r="Z276" s="370"/>
      <c r="AB276" s="370"/>
      <c r="AC276" s="370"/>
    </row>
    <row r="277" hidden="1">
      <c r="A277" s="280"/>
      <c r="B277" s="280"/>
      <c r="C277" s="617"/>
      <c r="D277" s="1166"/>
      <c r="E277" s="1166"/>
      <c r="F277" s="1166"/>
      <c r="G277" s="1166"/>
      <c r="H277" s="1166"/>
      <c r="I277" s="1167"/>
      <c r="J277" s="1166"/>
      <c r="K277" s="1167"/>
      <c r="L277" s="1166"/>
      <c r="M277" s="1166"/>
      <c r="N277" s="1166"/>
      <c r="O277" s="280"/>
      <c r="P277" s="1167"/>
      <c r="R277" s="587"/>
      <c r="S277" s="587"/>
      <c r="X277" s="370"/>
      <c r="Y277" s="370"/>
      <c r="Z277" s="370"/>
      <c r="AB277" s="370"/>
      <c r="AC277" s="370"/>
    </row>
    <row r="278" hidden="1">
      <c r="A278" s="280"/>
      <c r="B278" s="280"/>
      <c r="C278" s="617"/>
      <c r="D278" s="1166"/>
      <c r="E278" s="1166"/>
      <c r="F278" s="1166"/>
      <c r="G278" s="1166"/>
      <c r="H278" s="1166"/>
      <c r="I278" s="1167"/>
      <c r="J278" s="1166"/>
      <c r="K278" s="1167"/>
      <c r="L278" s="1166"/>
      <c r="M278" s="1166"/>
      <c r="N278" s="1166"/>
      <c r="O278" s="280"/>
      <c r="P278" s="1167"/>
      <c r="R278" s="587"/>
      <c r="S278" s="587"/>
      <c r="X278" s="370"/>
      <c r="Y278" s="370"/>
      <c r="Z278" s="370"/>
      <c r="AB278" s="370"/>
      <c r="AC278" s="370"/>
    </row>
    <row r="279" hidden="1">
      <c r="A279" s="280"/>
      <c r="B279" s="280"/>
      <c r="C279" s="617"/>
      <c r="D279" s="1166"/>
      <c r="E279" s="1166"/>
      <c r="F279" s="1166"/>
      <c r="G279" s="1166"/>
      <c r="H279" s="1166"/>
      <c r="I279" s="1167"/>
      <c r="J279" s="1166"/>
      <c r="K279" s="1167"/>
      <c r="L279" s="1166"/>
      <c r="M279" s="1166"/>
      <c r="N279" s="1166"/>
      <c r="O279" s="280"/>
      <c r="P279" s="1167"/>
      <c r="R279" s="587"/>
      <c r="S279" s="587"/>
      <c r="X279" s="370"/>
      <c r="Y279" s="370"/>
      <c r="Z279" s="370"/>
      <c r="AB279" s="370"/>
      <c r="AC279" s="370"/>
    </row>
    <row r="280" hidden="1">
      <c r="A280" s="280"/>
      <c r="B280" s="280"/>
      <c r="C280" s="617"/>
      <c r="D280" s="1166"/>
      <c r="E280" s="1166"/>
      <c r="F280" s="1166"/>
      <c r="G280" s="1166"/>
      <c r="H280" s="1166"/>
      <c r="I280" s="1167"/>
      <c r="J280" s="1166"/>
      <c r="K280" s="1167"/>
      <c r="L280" s="1166"/>
      <c r="M280" s="1166"/>
      <c r="N280" s="1166"/>
      <c r="O280" s="280"/>
      <c r="P280" s="1167"/>
      <c r="R280" s="587"/>
      <c r="S280" s="587"/>
      <c r="X280" s="370"/>
      <c r="Y280" s="370"/>
      <c r="Z280" s="370"/>
      <c r="AB280" s="370"/>
      <c r="AC280" s="370"/>
    </row>
    <row r="281" hidden="1">
      <c r="A281" s="280"/>
      <c r="B281" s="280"/>
      <c r="C281" s="617"/>
      <c r="D281" s="1166"/>
      <c r="E281" s="1166"/>
      <c r="F281" s="1166"/>
      <c r="G281" s="1166"/>
      <c r="H281" s="1166"/>
      <c r="I281" s="1167"/>
      <c r="J281" s="1166"/>
      <c r="K281" s="1167"/>
      <c r="L281" s="1166"/>
      <c r="M281" s="1166"/>
      <c r="N281" s="1166"/>
      <c r="O281" s="280"/>
      <c r="P281" s="1167"/>
      <c r="R281" s="587"/>
      <c r="S281" s="587"/>
      <c r="X281" s="370"/>
      <c r="Y281" s="370"/>
      <c r="Z281" s="370"/>
      <c r="AB281" s="370"/>
      <c r="AC281" s="370"/>
    </row>
    <row r="282" hidden="1">
      <c r="A282" s="280"/>
      <c r="B282" s="280"/>
      <c r="C282" s="617"/>
      <c r="D282" s="1166"/>
      <c r="E282" s="1166"/>
      <c r="F282" s="1166"/>
      <c r="G282" s="1166"/>
      <c r="H282" s="1166"/>
      <c r="I282" s="1167"/>
      <c r="J282" s="1166"/>
      <c r="K282" s="1167"/>
      <c r="L282" s="1166"/>
      <c r="M282" s="1166"/>
      <c r="N282" s="1166"/>
      <c r="O282" s="280"/>
      <c r="P282" s="1167"/>
      <c r="R282" s="587"/>
      <c r="S282" s="587"/>
      <c r="X282" s="370"/>
      <c r="Y282" s="370"/>
      <c r="Z282" s="370"/>
      <c r="AB282" s="370"/>
      <c r="AC282" s="370"/>
    </row>
    <row r="283" hidden="1">
      <c r="A283" s="280"/>
      <c r="B283" s="280"/>
      <c r="C283" s="617"/>
      <c r="D283" s="1166"/>
      <c r="E283" s="1166"/>
      <c r="F283" s="1166"/>
      <c r="G283" s="1166"/>
      <c r="H283" s="1166"/>
      <c r="I283" s="1167"/>
      <c r="J283" s="1166"/>
      <c r="K283" s="1167"/>
      <c r="L283" s="1166"/>
      <c r="M283" s="1166"/>
      <c r="N283" s="1166"/>
      <c r="O283" s="280"/>
      <c r="P283" s="1167"/>
      <c r="R283" s="587"/>
      <c r="S283" s="587"/>
      <c r="X283" s="370"/>
      <c r="Y283" s="370"/>
      <c r="Z283" s="370"/>
      <c r="AB283" s="370"/>
      <c r="AC283" s="370"/>
    </row>
    <row r="284" hidden="1">
      <c r="A284" s="280"/>
      <c r="B284" s="280"/>
      <c r="C284" s="617"/>
      <c r="D284" s="1166"/>
      <c r="E284" s="1166"/>
      <c r="F284" s="1166"/>
      <c r="G284" s="1166"/>
      <c r="H284" s="1166"/>
      <c r="I284" s="1167"/>
      <c r="J284" s="1166"/>
      <c r="K284" s="1167"/>
      <c r="L284" s="1166"/>
      <c r="M284" s="1166"/>
      <c r="N284" s="1166"/>
      <c r="O284" s="280"/>
      <c r="P284" s="1167"/>
      <c r="R284" s="587"/>
      <c r="S284" s="587"/>
      <c r="X284" s="370"/>
      <c r="Y284" s="370"/>
      <c r="Z284" s="370"/>
      <c r="AB284" s="370"/>
      <c r="AC284" s="370"/>
    </row>
    <row r="285" hidden="1">
      <c r="A285" s="280"/>
      <c r="B285" s="280"/>
      <c r="C285" s="617"/>
      <c r="D285" s="1166"/>
      <c r="E285" s="1166"/>
      <c r="F285" s="1166"/>
      <c r="G285" s="1166"/>
      <c r="H285" s="1166"/>
      <c r="I285" s="1167"/>
      <c r="J285" s="1166"/>
      <c r="K285" s="1167"/>
      <c r="L285" s="1166"/>
      <c r="M285" s="1166"/>
      <c r="N285" s="1166"/>
      <c r="O285" s="280"/>
      <c r="P285" s="1167"/>
      <c r="R285" s="587"/>
      <c r="S285" s="587"/>
      <c r="X285" s="370"/>
      <c r="Y285" s="370"/>
      <c r="Z285" s="370"/>
      <c r="AB285" s="370"/>
      <c r="AC285" s="370"/>
    </row>
    <row r="286" hidden="1">
      <c r="A286" s="280"/>
      <c r="B286" s="280"/>
      <c r="C286" s="617"/>
      <c r="D286" s="1166"/>
      <c r="E286" s="1166"/>
      <c r="F286" s="1166"/>
      <c r="G286" s="1166"/>
      <c r="H286" s="1166"/>
      <c r="I286" s="1167"/>
      <c r="J286" s="1166"/>
      <c r="K286" s="1167"/>
      <c r="L286" s="1166"/>
      <c r="M286" s="1166"/>
      <c r="N286" s="1166"/>
      <c r="O286" s="280"/>
      <c r="P286" s="1167"/>
      <c r="R286" s="587"/>
      <c r="S286" s="587"/>
      <c r="X286" s="370"/>
      <c r="Y286" s="370"/>
      <c r="Z286" s="370"/>
      <c r="AB286" s="370"/>
      <c r="AC286" s="370"/>
    </row>
    <row r="287" hidden="1">
      <c r="A287" s="280"/>
      <c r="B287" s="280"/>
      <c r="C287" s="617"/>
      <c r="D287" s="1166"/>
      <c r="E287" s="1166"/>
      <c r="F287" s="1166"/>
      <c r="G287" s="1166"/>
      <c r="H287" s="1166"/>
      <c r="I287" s="1167"/>
      <c r="J287" s="1166"/>
      <c r="K287" s="1167"/>
      <c r="L287" s="1166"/>
      <c r="M287" s="1166"/>
      <c r="N287" s="1166"/>
      <c r="O287" s="280"/>
      <c r="P287" s="1167"/>
      <c r="R287" s="587"/>
      <c r="S287" s="587"/>
      <c r="X287" s="370"/>
      <c r="Y287" s="370"/>
      <c r="Z287" s="370"/>
      <c r="AB287" s="370"/>
      <c r="AC287" s="370"/>
    </row>
    <row r="288" hidden="1">
      <c r="A288" s="280"/>
      <c r="B288" s="280"/>
      <c r="C288" s="617"/>
      <c r="D288" s="1166"/>
      <c r="E288" s="1166"/>
      <c r="F288" s="1166"/>
      <c r="G288" s="1166"/>
      <c r="H288" s="1166"/>
      <c r="I288" s="1167"/>
      <c r="J288" s="1166"/>
      <c r="K288" s="1167"/>
      <c r="L288" s="1166"/>
      <c r="M288" s="1166"/>
      <c r="N288" s="1166"/>
      <c r="O288" s="280"/>
      <c r="P288" s="1167"/>
      <c r="R288" s="587"/>
      <c r="S288" s="587"/>
      <c r="X288" s="370"/>
      <c r="Y288" s="370"/>
      <c r="Z288" s="370"/>
      <c r="AB288" s="370"/>
      <c r="AC288" s="370"/>
    </row>
    <row r="289" hidden="1">
      <c r="A289" s="280"/>
      <c r="B289" s="280"/>
      <c r="C289" s="617"/>
      <c r="D289" s="1166"/>
      <c r="E289" s="1166"/>
      <c r="F289" s="1166"/>
      <c r="G289" s="1166"/>
      <c r="H289" s="1166"/>
      <c r="I289" s="1167"/>
      <c r="J289" s="1166"/>
      <c r="K289" s="1167"/>
      <c r="L289" s="1166"/>
      <c r="M289" s="1166"/>
      <c r="N289" s="1166"/>
      <c r="O289" s="280"/>
      <c r="P289" s="1167"/>
      <c r="R289" s="587"/>
      <c r="S289" s="587"/>
      <c r="X289" s="370"/>
      <c r="Y289" s="370"/>
      <c r="Z289" s="370"/>
      <c r="AB289" s="370"/>
      <c r="AC289" s="370"/>
    </row>
    <row r="290" hidden="1">
      <c r="A290" s="280"/>
      <c r="B290" s="280"/>
      <c r="C290" s="617"/>
      <c r="D290" s="1166"/>
      <c r="E290" s="1166"/>
      <c r="F290" s="1166"/>
      <c r="G290" s="1166"/>
      <c r="H290" s="1166"/>
      <c r="I290" s="1167"/>
      <c r="J290" s="1166"/>
      <c r="K290" s="1167"/>
      <c r="L290" s="1166"/>
      <c r="M290" s="1166"/>
      <c r="N290" s="1166"/>
      <c r="O290" s="280"/>
      <c r="P290" s="1167"/>
      <c r="R290" s="587"/>
      <c r="S290" s="587"/>
      <c r="X290" s="370"/>
      <c r="Y290" s="370"/>
      <c r="Z290" s="370"/>
      <c r="AB290" s="370"/>
      <c r="AC290" s="370"/>
    </row>
    <row r="291" hidden="1">
      <c r="A291" s="280"/>
      <c r="B291" s="280"/>
      <c r="C291" s="617"/>
      <c r="D291" s="1166"/>
      <c r="E291" s="1166"/>
      <c r="F291" s="1166"/>
      <c r="G291" s="1166"/>
      <c r="H291" s="1166"/>
      <c r="I291" s="1167"/>
      <c r="J291" s="1166"/>
      <c r="K291" s="1167"/>
      <c r="L291" s="1166"/>
      <c r="M291" s="1166"/>
      <c r="N291" s="1166"/>
      <c r="O291" s="280"/>
      <c r="P291" s="1167"/>
      <c r="R291" s="587"/>
      <c r="S291" s="587"/>
      <c r="X291" s="370"/>
      <c r="Y291" s="370"/>
      <c r="Z291" s="370"/>
      <c r="AB291" s="370"/>
      <c r="AC291" s="370"/>
    </row>
    <row r="292" hidden="1">
      <c r="A292" s="280"/>
      <c r="B292" s="280"/>
      <c r="C292" s="617"/>
      <c r="D292" s="1166"/>
      <c r="E292" s="1166"/>
      <c r="F292" s="1166"/>
      <c r="G292" s="1166"/>
      <c r="H292" s="1166"/>
      <c r="I292" s="1167"/>
      <c r="J292" s="1166"/>
      <c r="K292" s="1167"/>
      <c r="L292" s="1166"/>
      <c r="M292" s="1166"/>
      <c r="N292" s="1166"/>
      <c r="O292" s="280"/>
      <c r="P292" s="1167"/>
      <c r="R292" s="587"/>
      <c r="S292" s="587"/>
      <c r="X292" s="370"/>
      <c r="Y292" s="370"/>
      <c r="Z292" s="370"/>
      <c r="AB292" s="370"/>
      <c r="AC292" s="370"/>
    </row>
    <row r="293" hidden="1">
      <c r="A293" s="280"/>
      <c r="B293" s="280"/>
      <c r="C293" s="617"/>
      <c r="D293" s="1166"/>
      <c r="E293" s="1166"/>
      <c r="F293" s="1166"/>
      <c r="G293" s="1166"/>
      <c r="H293" s="1166"/>
      <c r="I293" s="1167"/>
      <c r="J293" s="1166"/>
      <c r="K293" s="1167"/>
      <c r="L293" s="1166"/>
      <c r="M293" s="1166"/>
      <c r="N293" s="1166"/>
      <c r="O293" s="280"/>
      <c r="P293" s="1167"/>
      <c r="R293" s="587"/>
      <c r="S293" s="587"/>
      <c r="X293" s="370"/>
      <c r="Y293" s="370"/>
      <c r="Z293" s="370"/>
      <c r="AB293" s="370"/>
      <c r="AC293" s="370"/>
    </row>
    <row r="294" hidden="1">
      <c r="A294" s="280"/>
      <c r="B294" s="280"/>
      <c r="C294" s="617"/>
      <c r="D294" s="1166"/>
      <c r="E294" s="1166"/>
      <c r="F294" s="1166"/>
      <c r="G294" s="1166"/>
      <c r="H294" s="1166"/>
      <c r="I294" s="1167"/>
      <c r="J294" s="1166"/>
      <c r="K294" s="1167"/>
      <c r="L294" s="1166"/>
      <c r="M294" s="1166"/>
      <c r="N294" s="1166"/>
      <c r="O294" s="280"/>
      <c r="P294" s="1167"/>
      <c r="R294" s="587"/>
      <c r="S294" s="587"/>
      <c r="X294" s="370"/>
      <c r="Y294" s="370"/>
      <c r="Z294" s="370"/>
      <c r="AB294" s="370"/>
      <c r="AC294" s="370"/>
    </row>
    <row r="295" hidden="1">
      <c r="A295" s="280"/>
      <c r="B295" s="280"/>
      <c r="C295" s="617"/>
      <c r="D295" s="1166"/>
      <c r="E295" s="1166"/>
      <c r="F295" s="1166"/>
      <c r="G295" s="1166"/>
      <c r="H295" s="1166"/>
      <c r="I295" s="1167"/>
      <c r="J295" s="1166"/>
      <c r="K295" s="1167"/>
      <c r="L295" s="1166"/>
      <c r="M295" s="1166"/>
      <c r="N295" s="1166"/>
      <c r="O295" s="280"/>
      <c r="P295" s="1167"/>
      <c r="R295" s="587"/>
      <c r="S295" s="587"/>
      <c r="X295" s="370"/>
      <c r="Y295" s="370"/>
      <c r="Z295" s="370"/>
      <c r="AB295" s="370"/>
      <c r="AC295" s="370"/>
    </row>
    <row r="296" hidden="1">
      <c r="A296" s="280"/>
      <c r="B296" s="280"/>
      <c r="C296" s="617"/>
      <c r="D296" s="1166"/>
      <c r="E296" s="1166"/>
      <c r="F296" s="1166"/>
      <c r="G296" s="1166"/>
      <c r="H296" s="1166"/>
      <c r="I296" s="1167"/>
      <c r="J296" s="1166"/>
      <c r="K296" s="1167"/>
      <c r="L296" s="1166"/>
      <c r="M296" s="1166"/>
      <c r="N296" s="1166"/>
      <c r="O296" s="280"/>
      <c r="P296" s="1167"/>
      <c r="R296" s="587"/>
      <c r="S296" s="587"/>
      <c r="X296" s="370"/>
      <c r="Y296" s="370"/>
      <c r="Z296" s="370"/>
      <c r="AB296" s="370"/>
      <c r="AC296" s="370"/>
    </row>
    <row r="297" hidden="1">
      <c r="A297" s="280"/>
      <c r="B297" s="280"/>
      <c r="C297" s="617"/>
      <c r="D297" s="1166"/>
      <c r="E297" s="1166"/>
      <c r="F297" s="1166"/>
      <c r="G297" s="1166"/>
      <c r="H297" s="1166"/>
      <c r="I297" s="1167"/>
      <c r="J297" s="1166"/>
      <c r="K297" s="1167"/>
      <c r="L297" s="1166"/>
      <c r="M297" s="1166"/>
      <c r="N297" s="1166"/>
      <c r="O297" s="280"/>
      <c r="P297" s="1167"/>
      <c r="R297" s="587"/>
      <c r="S297" s="587"/>
      <c r="X297" s="370"/>
      <c r="Y297" s="370"/>
      <c r="Z297" s="370"/>
      <c r="AB297" s="370"/>
      <c r="AC297" s="370"/>
    </row>
    <row r="298" hidden="1">
      <c r="A298" s="280"/>
      <c r="B298" s="280"/>
      <c r="C298" s="617"/>
      <c r="D298" s="1166"/>
      <c r="E298" s="1166"/>
      <c r="F298" s="1166"/>
      <c r="G298" s="1166"/>
      <c r="H298" s="1166"/>
      <c r="I298" s="1167"/>
      <c r="J298" s="1166"/>
      <c r="K298" s="1167"/>
      <c r="L298" s="1166"/>
      <c r="M298" s="1166"/>
      <c r="N298" s="1166"/>
      <c r="O298" s="280"/>
      <c r="P298" s="1167"/>
      <c r="R298" s="587"/>
      <c r="S298" s="587"/>
      <c r="X298" s="370"/>
      <c r="Y298" s="370"/>
      <c r="Z298" s="370"/>
      <c r="AB298" s="370"/>
      <c r="AC298" s="370"/>
    </row>
    <row r="299" hidden="1">
      <c r="A299" s="280"/>
      <c r="B299" s="280"/>
      <c r="C299" s="617"/>
      <c r="D299" s="1166"/>
      <c r="E299" s="1166"/>
      <c r="F299" s="1166"/>
      <c r="G299" s="1166"/>
      <c r="H299" s="1166"/>
      <c r="I299" s="1167"/>
      <c r="J299" s="1166"/>
      <c r="K299" s="1167"/>
      <c r="L299" s="1166"/>
      <c r="M299" s="1166"/>
      <c r="N299" s="1166"/>
      <c r="O299" s="280"/>
      <c r="P299" s="1167"/>
      <c r="R299" s="587"/>
      <c r="S299" s="587"/>
      <c r="X299" s="370"/>
      <c r="Y299" s="370"/>
      <c r="Z299" s="370"/>
      <c r="AB299" s="370"/>
      <c r="AC299" s="370"/>
    </row>
    <row r="300" hidden="1">
      <c r="A300" s="280"/>
      <c r="B300" s="280"/>
      <c r="C300" s="617"/>
      <c r="D300" s="1166"/>
      <c r="E300" s="1166"/>
      <c r="F300" s="1166"/>
      <c r="G300" s="1166"/>
      <c r="H300" s="1166"/>
      <c r="I300" s="1167"/>
      <c r="J300" s="1166"/>
      <c r="K300" s="1167"/>
      <c r="L300" s="1166"/>
      <c r="M300" s="1166"/>
      <c r="N300" s="1166"/>
      <c r="O300" s="280"/>
      <c r="P300" s="1167"/>
      <c r="R300" s="587"/>
      <c r="S300" s="587"/>
      <c r="X300" s="370"/>
      <c r="Y300" s="370"/>
      <c r="Z300" s="370"/>
      <c r="AB300" s="370"/>
      <c r="AC300" s="370"/>
    </row>
    <row r="301" hidden="1">
      <c r="A301" s="280"/>
      <c r="B301" s="280"/>
      <c r="C301" s="617"/>
      <c r="D301" s="1166"/>
      <c r="E301" s="1166"/>
      <c r="F301" s="1166"/>
      <c r="G301" s="1166"/>
      <c r="H301" s="1166"/>
      <c r="I301" s="1167"/>
      <c r="J301" s="1166"/>
      <c r="K301" s="1167"/>
      <c r="L301" s="1166"/>
      <c r="M301" s="1166"/>
      <c r="N301" s="1166"/>
      <c r="O301" s="280"/>
      <c r="P301" s="1167"/>
      <c r="R301" s="587"/>
      <c r="S301" s="587"/>
      <c r="X301" s="370"/>
      <c r="Y301" s="370"/>
      <c r="Z301" s="370"/>
      <c r="AB301" s="370"/>
      <c r="AC301" s="370"/>
    </row>
    <row r="302" hidden="1">
      <c r="A302" s="280"/>
      <c r="B302" s="280"/>
      <c r="C302" s="617"/>
      <c r="D302" s="1166"/>
      <c r="E302" s="1166"/>
      <c r="F302" s="1166"/>
      <c r="G302" s="1166"/>
      <c r="H302" s="1166"/>
      <c r="I302" s="1167"/>
      <c r="J302" s="1166"/>
      <c r="K302" s="1167"/>
      <c r="L302" s="1166"/>
      <c r="M302" s="1166"/>
      <c r="N302" s="1166"/>
      <c r="O302" s="280"/>
      <c r="P302" s="1167"/>
      <c r="R302" s="587"/>
      <c r="S302" s="587"/>
      <c r="X302" s="370"/>
      <c r="Y302" s="370"/>
      <c r="Z302" s="370"/>
      <c r="AB302" s="370"/>
      <c r="AC302" s="370"/>
    </row>
    <row r="303" hidden="1">
      <c r="A303" s="280"/>
      <c r="B303" s="280"/>
      <c r="C303" s="617"/>
      <c r="D303" s="1166"/>
      <c r="E303" s="1166"/>
      <c r="F303" s="1166"/>
      <c r="G303" s="1166"/>
      <c r="H303" s="1166"/>
      <c r="I303" s="1167"/>
      <c r="J303" s="1166"/>
      <c r="K303" s="1167"/>
      <c r="L303" s="1166"/>
      <c r="M303" s="1166"/>
      <c r="N303" s="1166"/>
      <c r="O303" s="280"/>
      <c r="P303" s="1167"/>
      <c r="R303" s="587"/>
      <c r="S303" s="587"/>
      <c r="X303" s="370"/>
      <c r="Y303" s="370"/>
      <c r="Z303" s="370"/>
      <c r="AB303" s="370"/>
      <c r="AC303" s="370"/>
    </row>
    <row r="304" hidden="1">
      <c r="A304" s="280"/>
      <c r="B304" s="280"/>
      <c r="C304" s="617"/>
      <c r="D304" s="1166"/>
      <c r="E304" s="1166"/>
      <c r="F304" s="1166"/>
      <c r="G304" s="1166"/>
      <c r="H304" s="1166"/>
      <c r="I304" s="1167"/>
      <c r="J304" s="1166"/>
      <c r="K304" s="1167"/>
      <c r="L304" s="1166"/>
      <c r="M304" s="1166"/>
      <c r="N304" s="1166"/>
      <c r="O304" s="280"/>
      <c r="P304" s="1167"/>
      <c r="R304" s="587"/>
      <c r="S304" s="587"/>
      <c r="X304" s="370"/>
      <c r="Y304" s="370"/>
      <c r="Z304" s="370"/>
      <c r="AB304" s="370"/>
      <c r="AC304" s="370"/>
    </row>
    <row r="305" hidden="1">
      <c r="A305" s="280"/>
      <c r="B305" s="280"/>
      <c r="C305" s="617"/>
      <c r="D305" s="1166"/>
      <c r="E305" s="1166"/>
      <c r="F305" s="1166"/>
      <c r="G305" s="1166"/>
      <c r="H305" s="1166"/>
      <c r="I305" s="1167"/>
      <c r="J305" s="1166"/>
      <c r="K305" s="1167"/>
      <c r="L305" s="1166"/>
      <c r="M305" s="1166"/>
      <c r="N305" s="1166"/>
      <c r="O305" s="280"/>
      <c r="P305" s="1167"/>
      <c r="R305" s="587"/>
      <c r="S305" s="587"/>
      <c r="X305" s="370"/>
      <c r="Y305" s="370"/>
      <c r="Z305" s="370"/>
      <c r="AB305" s="370"/>
      <c r="AC305" s="370"/>
    </row>
    <row r="306" hidden="1">
      <c r="A306" s="280"/>
      <c r="B306" s="280"/>
      <c r="C306" s="617"/>
      <c r="D306" s="1166"/>
      <c r="E306" s="1166"/>
      <c r="F306" s="1166"/>
      <c r="G306" s="1166"/>
      <c r="H306" s="1166"/>
      <c r="I306" s="1167"/>
      <c r="J306" s="1166"/>
      <c r="K306" s="1167"/>
      <c r="L306" s="1166"/>
      <c r="M306" s="1166"/>
      <c r="N306" s="1166"/>
      <c r="O306" s="280"/>
      <c r="P306" s="1167"/>
      <c r="R306" s="587"/>
      <c r="S306" s="587"/>
      <c r="X306" s="370"/>
      <c r="Y306" s="370"/>
      <c r="Z306" s="370"/>
      <c r="AB306" s="370"/>
      <c r="AC306" s="370"/>
    </row>
    <row r="307" hidden="1">
      <c r="A307" s="280"/>
      <c r="B307" s="280"/>
      <c r="C307" s="617"/>
      <c r="D307" s="1166"/>
      <c r="E307" s="1166"/>
      <c r="F307" s="1166"/>
      <c r="G307" s="1166"/>
      <c r="H307" s="1166"/>
      <c r="I307" s="1167"/>
      <c r="J307" s="1166"/>
      <c r="K307" s="1167"/>
      <c r="L307" s="1166"/>
      <c r="M307" s="1166"/>
      <c r="N307" s="1166"/>
      <c r="O307" s="280"/>
      <c r="P307" s="1167"/>
      <c r="R307" s="587"/>
      <c r="S307" s="587"/>
      <c r="X307" s="370"/>
      <c r="Y307" s="370"/>
      <c r="Z307" s="370"/>
      <c r="AB307" s="370"/>
      <c r="AC307" s="370"/>
    </row>
    <row r="308" hidden="1">
      <c r="A308" s="280"/>
      <c r="B308" s="280"/>
      <c r="C308" s="617"/>
      <c r="D308" s="1166"/>
      <c r="E308" s="1166"/>
      <c r="F308" s="1166"/>
      <c r="G308" s="1166"/>
      <c r="H308" s="1166"/>
      <c r="I308" s="1167"/>
      <c r="J308" s="1166"/>
      <c r="K308" s="1167"/>
      <c r="L308" s="1166"/>
      <c r="M308" s="1166"/>
      <c r="N308" s="1166"/>
      <c r="O308" s="280"/>
      <c r="P308" s="1167"/>
      <c r="R308" s="587"/>
      <c r="S308" s="587"/>
      <c r="X308" s="370"/>
      <c r="Y308" s="370"/>
      <c r="Z308" s="370"/>
      <c r="AB308" s="370"/>
      <c r="AC308" s="370"/>
    </row>
    <row r="309" hidden="1">
      <c r="A309" s="280"/>
      <c r="B309" s="280"/>
      <c r="C309" s="617"/>
      <c r="D309" s="1166"/>
      <c r="E309" s="1166"/>
      <c r="F309" s="1166"/>
      <c r="G309" s="1166"/>
      <c r="H309" s="1166"/>
      <c r="I309" s="1167"/>
      <c r="J309" s="1166"/>
      <c r="K309" s="1167"/>
      <c r="L309" s="1166"/>
      <c r="M309" s="1166"/>
      <c r="N309" s="1166"/>
      <c r="O309" s="280"/>
      <c r="P309" s="1167"/>
      <c r="R309" s="587"/>
      <c r="S309" s="587"/>
      <c r="X309" s="370"/>
      <c r="Y309" s="370"/>
      <c r="Z309" s="370"/>
      <c r="AB309" s="370"/>
      <c r="AC309" s="370"/>
    </row>
    <row r="310" hidden="1">
      <c r="A310" s="280"/>
      <c r="B310" s="280"/>
      <c r="C310" s="617"/>
      <c r="D310" s="1166"/>
      <c r="E310" s="1166"/>
      <c r="F310" s="1166"/>
      <c r="G310" s="1166"/>
      <c r="H310" s="1166"/>
      <c r="I310" s="1167"/>
      <c r="J310" s="1166"/>
      <c r="K310" s="1167"/>
      <c r="L310" s="1166"/>
      <c r="M310" s="1166"/>
      <c r="N310" s="1166"/>
      <c r="O310" s="280"/>
      <c r="P310" s="1167"/>
      <c r="R310" s="587"/>
      <c r="S310" s="587"/>
      <c r="X310" s="370"/>
      <c r="Y310" s="370"/>
      <c r="Z310" s="370"/>
      <c r="AB310" s="370"/>
      <c r="AC310" s="370"/>
    </row>
    <row r="311" hidden="1">
      <c r="A311" s="280"/>
      <c r="B311" s="280"/>
      <c r="C311" s="617"/>
      <c r="D311" s="1166"/>
      <c r="E311" s="1166"/>
      <c r="F311" s="1166"/>
      <c r="G311" s="1166"/>
      <c r="H311" s="1166"/>
      <c r="I311" s="1167"/>
      <c r="J311" s="1166"/>
      <c r="K311" s="1167"/>
      <c r="L311" s="1166"/>
      <c r="M311" s="1166"/>
      <c r="N311" s="1166"/>
      <c r="O311" s="280"/>
      <c r="P311" s="1167"/>
      <c r="R311" s="587"/>
      <c r="S311" s="587"/>
      <c r="X311" s="370"/>
      <c r="Y311" s="370"/>
      <c r="Z311" s="370"/>
      <c r="AB311" s="370"/>
      <c r="AC311" s="370"/>
    </row>
    <row r="312" hidden="1">
      <c r="A312" s="280"/>
      <c r="B312" s="280"/>
      <c r="C312" s="617"/>
      <c r="D312" s="1166"/>
      <c r="E312" s="1166"/>
      <c r="F312" s="1166"/>
      <c r="G312" s="1166"/>
      <c r="H312" s="1166"/>
      <c r="I312" s="1167"/>
      <c r="J312" s="1166"/>
      <c r="K312" s="1167"/>
      <c r="L312" s="1166"/>
      <c r="M312" s="1166"/>
      <c r="N312" s="1166"/>
      <c r="O312" s="280"/>
      <c r="P312" s="1167"/>
      <c r="R312" s="587"/>
      <c r="S312" s="587"/>
      <c r="X312" s="370"/>
      <c r="Y312" s="370"/>
      <c r="Z312" s="370"/>
      <c r="AB312" s="370"/>
      <c r="AC312" s="370"/>
    </row>
    <row r="313" hidden="1">
      <c r="A313" s="280"/>
      <c r="B313" s="280"/>
      <c r="C313" s="617"/>
      <c r="D313" s="1166"/>
      <c r="E313" s="1166"/>
      <c r="F313" s="1166"/>
      <c r="G313" s="1166"/>
      <c r="H313" s="1166"/>
      <c r="I313" s="1167"/>
      <c r="J313" s="1166"/>
      <c r="K313" s="1167"/>
      <c r="L313" s="1166"/>
      <c r="M313" s="1166"/>
      <c r="N313" s="1166"/>
      <c r="O313" s="280"/>
      <c r="P313" s="1167"/>
      <c r="R313" s="587"/>
      <c r="S313" s="587"/>
      <c r="X313" s="370"/>
      <c r="Y313" s="370"/>
      <c r="Z313" s="370"/>
      <c r="AB313" s="370"/>
      <c r="AC313" s="370"/>
    </row>
    <row r="314" hidden="1">
      <c r="A314" s="280"/>
      <c r="B314" s="280"/>
      <c r="C314" s="617"/>
      <c r="D314" s="1166"/>
      <c r="E314" s="1166"/>
      <c r="F314" s="1166"/>
      <c r="G314" s="1166"/>
      <c r="H314" s="1166"/>
      <c r="I314" s="1167"/>
      <c r="J314" s="1166"/>
      <c r="K314" s="1167"/>
      <c r="L314" s="1166"/>
      <c r="M314" s="1166"/>
      <c r="N314" s="1166"/>
      <c r="O314" s="280"/>
      <c r="P314" s="1167"/>
      <c r="R314" s="587"/>
      <c r="S314" s="587"/>
      <c r="X314" s="370"/>
      <c r="Y314" s="370"/>
      <c r="Z314" s="370"/>
      <c r="AB314" s="370"/>
      <c r="AC314" s="370"/>
    </row>
    <row r="315" hidden="1">
      <c r="A315" s="280"/>
      <c r="B315" s="280"/>
      <c r="C315" s="617"/>
      <c r="D315" s="1166"/>
      <c r="E315" s="1166"/>
      <c r="F315" s="1166"/>
      <c r="G315" s="1166"/>
      <c r="H315" s="1166"/>
      <c r="I315" s="1167"/>
      <c r="J315" s="1166"/>
      <c r="K315" s="1167"/>
      <c r="L315" s="1166"/>
      <c r="M315" s="1166"/>
      <c r="N315" s="1166"/>
      <c r="O315" s="280"/>
      <c r="P315" s="1167"/>
      <c r="R315" s="587"/>
      <c r="S315" s="587"/>
      <c r="X315" s="370"/>
      <c r="Y315" s="370"/>
      <c r="Z315" s="370"/>
      <c r="AB315" s="370"/>
      <c r="AC315" s="370"/>
    </row>
    <row r="316" hidden="1">
      <c r="A316" s="280"/>
      <c r="B316" s="280"/>
      <c r="C316" s="617"/>
      <c r="D316" s="1166"/>
      <c r="E316" s="1166"/>
      <c r="F316" s="1166"/>
      <c r="G316" s="1166"/>
      <c r="H316" s="1166"/>
      <c r="I316" s="1167"/>
      <c r="J316" s="1166"/>
      <c r="K316" s="1167"/>
      <c r="L316" s="1166"/>
      <c r="M316" s="1166"/>
      <c r="N316" s="1166"/>
      <c r="O316" s="280"/>
      <c r="P316" s="1167"/>
      <c r="R316" s="587"/>
      <c r="S316" s="587"/>
      <c r="X316" s="370"/>
      <c r="Y316" s="370"/>
      <c r="Z316" s="370"/>
      <c r="AB316" s="370"/>
      <c r="AC316" s="370"/>
    </row>
    <row r="317" hidden="1">
      <c r="A317" s="280"/>
      <c r="B317" s="280"/>
      <c r="C317" s="617"/>
      <c r="D317" s="1166"/>
      <c r="E317" s="1166"/>
      <c r="F317" s="1166"/>
      <c r="G317" s="1166"/>
      <c r="H317" s="1166"/>
      <c r="I317" s="1167"/>
      <c r="J317" s="1166"/>
      <c r="K317" s="1167"/>
      <c r="L317" s="1166"/>
      <c r="M317" s="1166"/>
      <c r="N317" s="1166"/>
      <c r="O317" s="280"/>
      <c r="P317" s="1167"/>
      <c r="R317" s="587"/>
      <c r="S317" s="587"/>
      <c r="X317" s="370"/>
      <c r="Y317" s="370"/>
      <c r="Z317" s="370"/>
      <c r="AB317" s="370"/>
      <c r="AC317" s="370"/>
    </row>
    <row r="318" hidden="1">
      <c r="A318" s="280"/>
      <c r="B318" s="280"/>
      <c r="C318" s="617"/>
      <c r="D318" s="1166"/>
      <c r="E318" s="1166"/>
      <c r="F318" s="1166"/>
      <c r="G318" s="1166"/>
      <c r="H318" s="1166"/>
      <c r="I318" s="1167"/>
      <c r="J318" s="1166"/>
      <c r="K318" s="1167"/>
      <c r="L318" s="1166"/>
      <c r="M318" s="1166"/>
      <c r="N318" s="1166"/>
      <c r="O318" s="280"/>
      <c r="P318" s="1167"/>
      <c r="R318" s="587"/>
      <c r="S318" s="587"/>
      <c r="X318" s="370"/>
      <c r="Y318" s="370"/>
      <c r="Z318" s="370"/>
      <c r="AB318" s="370"/>
      <c r="AC318" s="370"/>
    </row>
    <row r="319" hidden="1">
      <c r="A319" s="280"/>
      <c r="B319" s="280"/>
      <c r="C319" s="617"/>
      <c r="D319" s="1166"/>
      <c r="E319" s="1166"/>
      <c r="F319" s="1166"/>
      <c r="G319" s="1166"/>
      <c r="H319" s="1166"/>
      <c r="I319" s="1167"/>
      <c r="J319" s="1166"/>
      <c r="K319" s="1167"/>
      <c r="L319" s="1166"/>
      <c r="M319" s="1166"/>
      <c r="N319" s="1166"/>
      <c r="O319" s="280"/>
      <c r="P319" s="1167"/>
      <c r="R319" s="587"/>
      <c r="S319" s="587"/>
      <c r="X319" s="370"/>
      <c r="Y319" s="370"/>
      <c r="Z319" s="370"/>
      <c r="AB319" s="370"/>
      <c r="AC319" s="370"/>
    </row>
    <row r="320" hidden="1">
      <c r="A320" s="280"/>
      <c r="B320" s="280"/>
      <c r="C320" s="617"/>
      <c r="D320" s="1166"/>
      <c r="E320" s="1166"/>
      <c r="F320" s="1166"/>
      <c r="G320" s="1166"/>
      <c r="H320" s="1166"/>
      <c r="I320" s="1167"/>
      <c r="J320" s="1166"/>
      <c r="K320" s="1167"/>
      <c r="L320" s="1166"/>
      <c r="M320" s="1166"/>
      <c r="N320" s="1166"/>
      <c r="O320" s="280"/>
      <c r="P320" s="1167"/>
      <c r="R320" s="587"/>
      <c r="S320" s="587"/>
      <c r="X320" s="370"/>
      <c r="Y320" s="370"/>
      <c r="Z320" s="370"/>
      <c r="AB320" s="370"/>
      <c r="AC320" s="370"/>
    </row>
    <row r="321" hidden="1">
      <c r="A321" s="280"/>
      <c r="B321" s="280"/>
      <c r="C321" s="617"/>
      <c r="D321" s="1166"/>
      <c r="E321" s="1166"/>
      <c r="F321" s="1166"/>
      <c r="G321" s="1166"/>
      <c r="H321" s="1166"/>
      <c r="I321" s="1167"/>
      <c r="J321" s="1166"/>
      <c r="K321" s="1167"/>
      <c r="L321" s="1166"/>
      <c r="M321" s="1166"/>
      <c r="N321" s="1166"/>
      <c r="O321" s="280"/>
      <c r="P321" s="1167"/>
      <c r="R321" s="587"/>
      <c r="S321" s="587"/>
      <c r="X321" s="370"/>
      <c r="Y321" s="370"/>
      <c r="Z321" s="370"/>
      <c r="AB321" s="370"/>
      <c r="AC321" s="370"/>
    </row>
    <row r="322" hidden="1">
      <c r="A322" s="280"/>
      <c r="B322" s="280"/>
      <c r="C322" s="617"/>
      <c r="D322" s="1166"/>
      <c r="E322" s="1166"/>
      <c r="F322" s="1166"/>
      <c r="G322" s="1166"/>
      <c r="H322" s="1166"/>
      <c r="I322" s="1167"/>
      <c r="J322" s="1166"/>
      <c r="K322" s="1167"/>
      <c r="L322" s="1166"/>
      <c r="M322" s="1166"/>
      <c r="N322" s="1166"/>
      <c r="O322" s="280"/>
      <c r="P322" s="1167"/>
      <c r="R322" s="587"/>
      <c r="S322" s="587"/>
      <c r="X322" s="370"/>
      <c r="Y322" s="370"/>
      <c r="Z322" s="370"/>
      <c r="AB322" s="370"/>
      <c r="AC322" s="370"/>
    </row>
    <row r="323" hidden="1">
      <c r="A323" s="280"/>
      <c r="B323" s="280"/>
      <c r="C323" s="617"/>
      <c r="D323" s="1166"/>
      <c r="E323" s="1166"/>
      <c r="F323" s="1166"/>
      <c r="G323" s="1166"/>
      <c r="H323" s="1166"/>
      <c r="I323" s="1167"/>
      <c r="J323" s="1166"/>
      <c r="K323" s="1167"/>
      <c r="L323" s="1166"/>
      <c r="M323" s="1166"/>
      <c r="N323" s="1166"/>
      <c r="O323" s="280"/>
      <c r="P323" s="1167"/>
      <c r="R323" s="587"/>
      <c r="S323" s="587"/>
      <c r="X323" s="370"/>
      <c r="Y323" s="370"/>
      <c r="Z323" s="370"/>
      <c r="AB323" s="370"/>
      <c r="AC323" s="370"/>
    </row>
    <row r="324" hidden="1">
      <c r="A324" s="280"/>
      <c r="B324" s="280"/>
      <c r="C324" s="617"/>
      <c r="D324" s="1166"/>
      <c r="E324" s="1166"/>
      <c r="F324" s="1166"/>
      <c r="G324" s="1166"/>
      <c r="H324" s="1166"/>
      <c r="I324" s="1167"/>
      <c r="J324" s="1166"/>
      <c r="K324" s="1167"/>
      <c r="L324" s="1166"/>
      <c r="M324" s="1166"/>
      <c r="N324" s="1166"/>
      <c r="O324" s="280"/>
      <c r="P324" s="1167"/>
      <c r="R324" s="587"/>
      <c r="S324" s="587"/>
      <c r="X324" s="370"/>
      <c r="Y324" s="370"/>
      <c r="Z324" s="370"/>
      <c r="AB324" s="370"/>
      <c r="AC324" s="370"/>
    </row>
    <row r="325" hidden="1">
      <c r="A325" s="280"/>
      <c r="B325" s="280"/>
      <c r="C325" s="617"/>
      <c r="D325" s="1166"/>
      <c r="E325" s="1166"/>
      <c r="F325" s="1166"/>
      <c r="G325" s="1166"/>
      <c r="H325" s="1166"/>
      <c r="I325" s="1167"/>
      <c r="J325" s="1166"/>
      <c r="K325" s="1167"/>
      <c r="L325" s="1166"/>
      <c r="M325" s="1166"/>
      <c r="N325" s="1166"/>
      <c r="O325" s="280"/>
      <c r="P325" s="1167"/>
      <c r="R325" s="587"/>
      <c r="S325" s="587"/>
      <c r="X325" s="370"/>
      <c r="Y325" s="370"/>
      <c r="Z325" s="370"/>
      <c r="AB325" s="370"/>
      <c r="AC325" s="370"/>
    </row>
    <row r="326" hidden="1">
      <c r="A326" s="280"/>
      <c r="B326" s="280"/>
      <c r="C326" s="617"/>
      <c r="D326" s="1166"/>
      <c r="E326" s="1166"/>
      <c r="F326" s="1166"/>
      <c r="G326" s="1166"/>
      <c r="H326" s="1166"/>
      <c r="I326" s="1167"/>
      <c r="J326" s="1166"/>
      <c r="K326" s="1167"/>
      <c r="L326" s="1166"/>
      <c r="M326" s="1166"/>
      <c r="N326" s="1166"/>
      <c r="O326" s="280"/>
      <c r="P326" s="1167"/>
      <c r="R326" s="587"/>
      <c r="S326" s="587"/>
      <c r="X326" s="370"/>
      <c r="Y326" s="370"/>
      <c r="Z326" s="370"/>
      <c r="AB326" s="370"/>
      <c r="AC326" s="370"/>
    </row>
    <row r="327" hidden="1">
      <c r="A327" s="280"/>
      <c r="B327" s="280"/>
      <c r="C327" s="617"/>
      <c r="D327" s="1166"/>
      <c r="E327" s="1166"/>
      <c r="F327" s="1166"/>
      <c r="G327" s="1166"/>
      <c r="H327" s="1166"/>
      <c r="I327" s="1167"/>
      <c r="J327" s="1166"/>
      <c r="K327" s="1167"/>
      <c r="L327" s="1166"/>
      <c r="M327" s="1166"/>
      <c r="N327" s="1166"/>
      <c r="O327" s="280"/>
      <c r="P327" s="1167"/>
      <c r="R327" s="587"/>
      <c r="S327" s="587"/>
      <c r="X327" s="370"/>
      <c r="Y327" s="370"/>
      <c r="Z327" s="370"/>
      <c r="AB327" s="370"/>
      <c r="AC327" s="370"/>
    </row>
    <row r="328" hidden="1">
      <c r="A328" s="280"/>
      <c r="B328" s="280"/>
      <c r="C328" s="617"/>
      <c r="D328" s="1166"/>
      <c r="E328" s="1166"/>
      <c r="F328" s="1166"/>
      <c r="G328" s="1166"/>
      <c r="H328" s="1166"/>
      <c r="I328" s="1167"/>
      <c r="J328" s="1166"/>
      <c r="K328" s="1167"/>
      <c r="L328" s="1166"/>
      <c r="M328" s="1166"/>
      <c r="N328" s="1166"/>
      <c r="O328" s="280"/>
      <c r="P328" s="1167"/>
      <c r="R328" s="587"/>
      <c r="S328" s="587"/>
      <c r="X328" s="370"/>
      <c r="Y328" s="370"/>
      <c r="Z328" s="370"/>
      <c r="AB328" s="370"/>
      <c r="AC328" s="370"/>
    </row>
    <row r="329" hidden="1">
      <c r="A329" s="280"/>
      <c r="B329" s="280"/>
      <c r="C329" s="617"/>
      <c r="D329" s="1166"/>
      <c r="E329" s="1166"/>
      <c r="F329" s="1166"/>
      <c r="G329" s="1166"/>
      <c r="H329" s="1166"/>
      <c r="I329" s="1167"/>
      <c r="J329" s="1166"/>
      <c r="K329" s="1167"/>
      <c r="L329" s="1166"/>
      <c r="M329" s="1166"/>
      <c r="N329" s="1166"/>
      <c r="O329" s="280"/>
      <c r="P329" s="1167"/>
      <c r="R329" s="587"/>
      <c r="S329" s="587"/>
      <c r="X329" s="370"/>
      <c r="Y329" s="370"/>
      <c r="Z329" s="370"/>
      <c r="AB329" s="370"/>
      <c r="AC329" s="370"/>
    </row>
    <row r="330" hidden="1">
      <c r="A330" s="280"/>
      <c r="B330" s="280"/>
      <c r="C330" s="617"/>
      <c r="D330" s="1166"/>
      <c r="E330" s="1166"/>
      <c r="F330" s="1166"/>
      <c r="G330" s="1166"/>
      <c r="H330" s="1166"/>
      <c r="I330" s="1167"/>
      <c r="J330" s="1166"/>
      <c r="K330" s="1167"/>
      <c r="L330" s="1166"/>
      <c r="M330" s="1166"/>
      <c r="N330" s="1166"/>
      <c r="O330" s="280"/>
      <c r="P330" s="1167"/>
      <c r="R330" s="587"/>
      <c r="S330" s="587"/>
      <c r="X330" s="370"/>
      <c r="Y330" s="370"/>
      <c r="Z330" s="370"/>
      <c r="AB330" s="370"/>
      <c r="AC330" s="370"/>
    </row>
    <row r="331" hidden="1">
      <c r="A331" s="280"/>
      <c r="B331" s="280"/>
      <c r="C331" s="617"/>
      <c r="D331" s="1166"/>
      <c r="E331" s="1166"/>
      <c r="F331" s="1166"/>
      <c r="G331" s="1166"/>
      <c r="H331" s="1166"/>
      <c r="I331" s="1167"/>
      <c r="J331" s="1166"/>
      <c r="K331" s="1167"/>
      <c r="L331" s="1166"/>
      <c r="M331" s="1166"/>
      <c r="N331" s="1166"/>
      <c r="O331" s="280"/>
      <c r="P331" s="1167"/>
      <c r="R331" s="587"/>
      <c r="S331" s="587"/>
      <c r="X331" s="370"/>
      <c r="Y331" s="370"/>
      <c r="Z331" s="370"/>
      <c r="AB331" s="370"/>
      <c r="AC331" s="370"/>
    </row>
    <row r="332" hidden="1">
      <c r="A332" s="280"/>
      <c r="B332" s="280"/>
      <c r="C332" s="617"/>
      <c r="D332" s="1166"/>
      <c r="E332" s="1166"/>
      <c r="F332" s="1166"/>
      <c r="G332" s="1166"/>
      <c r="H332" s="1166"/>
      <c r="I332" s="1167"/>
      <c r="J332" s="1166"/>
      <c r="K332" s="1167"/>
      <c r="L332" s="1166"/>
      <c r="M332" s="1166"/>
      <c r="N332" s="1166"/>
      <c r="O332" s="280"/>
      <c r="P332" s="1167"/>
      <c r="R332" s="587"/>
      <c r="S332" s="587"/>
      <c r="X332" s="370"/>
      <c r="Y332" s="370"/>
      <c r="Z332" s="370"/>
      <c r="AB332" s="370"/>
      <c r="AC332" s="370"/>
    </row>
    <row r="333" hidden="1">
      <c r="A333" s="280"/>
      <c r="B333" s="280"/>
      <c r="C333" s="617"/>
      <c r="D333" s="1166"/>
      <c r="E333" s="1166"/>
      <c r="F333" s="1166"/>
      <c r="G333" s="1166"/>
      <c r="H333" s="1166"/>
      <c r="I333" s="1167"/>
      <c r="J333" s="1166"/>
      <c r="K333" s="1167"/>
      <c r="L333" s="1166"/>
      <c r="M333" s="1166"/>
      <c r="N333" s="1166"/>
      <c r="O333" s="280"/>
      <c r="P333" s="1167"/>
      <c r="R333" s="587"/>
      <c r="S333" s="587"/>
      <c r="X333" s="370"/>
      <c r="Y333" s="370"/>
      <c r="Z333" s="370"/>
      <c r="AB333" s="370"/>
      <c r="AC333" s="370"/>
    </row>
    <row r="334" hidden="1">
      <c r="A334" s="280"/>
      <c r="B334" s="280"/>
      <c r="C334" s="617"/>
      <c r="D334" s="1166"/>
      <c r="E334" s="1166"/>
      <c r="F334" s="1166"/>
      <c r="G334" s="1166"/>
      <c r="H334" s="1166"/>
      <c r="I334" s="1167"/>
      <c r="J334" s="1166"/>
      <c r="K334" s="1167"/>
      <c r="L334" s="1166"/>
      <c r="M334" s="1166"/>
      <c r="N334" s="1166"/>
      <c r="O334" s="280"/>
      <c r="P334" s="1167"/>
      <c r="R334" s="587"/>
      <c r="S334" s="587"/>
      <c r="X334" s="370"/>
      <c r="Y334" s="370"/>
      <c r="Z334" s="370"/>
      <c r="AB334" s="370"/>
      <c r="AC334" s="370"/>
    </row>
    <row r="335" hidden="1">
      <c r="A335" s="280"/>
      <c r="B335" s="280"/>
      <c r="C335" s="617"/>
      <c r="D335" s="1166"/>
      <c r="E335" s="1166"/>
      <c r="F335" s="1166"/>
      <c r="G335" s="1166"/>
      <c r="H335" s="1166"/>
      <c r="I335" s="1167"/>
      <c r="J335" s="1166"/>
      <c r="K335" s="1167"/>
      <c r="L335" s="1166"/>
      <c r="M335" s="1166"/>
      <c r="N335" s="1166"/>
      <c r="O335" s="280"/>
      <c r="P335" s="1167"/>
      <c r="R335" s="587"/>
      <c r="S335" s="587"/>
      <c r="X335" s="370"/>
      <c r="Y335" s="370"/>
      <c r="Z335" s="370"/>
      <c r="AB335" s="370"/>
      <c r="AC335" s="370"/>
    </row>
    <row r="336" hidden="1">
      <c r="A336" s="280"/>
      <c r="B336" s="280"/>
      <c r="C336" s="617"/>
      <c r="D336" s="1166"/>
      <c r="E336" s="1166"/>
      <c r="F336" s="1166"/>
      <c r="G336" s="1166"/>
      <c r="H336" s="1166"/>
      <c r="I336" s="1167"/>
      <c r="J336" s="1166"/>
      <c r="K336" s="1167"/>
      <c r="L336" s="1166"/>
      <c r="M336" s="1166"/>
      <c r="N336" s="1166"/>
      <c r="O336" s="280"/>
      <c r="P336" s="1167"/>
      <c r="R336" s="587"/>
      <c r="S336" s="587"/>
      <c r="X336" s="370"/>
      <c r="Y336" s="370"/>
      <c r="Z336" s="370"/>
      <c r="AB336" s="370"/>
      <c r="AC336" s="370"/>
    </row>
    <row r="337" hidden="1">
      <c r="A337" s="280"/>
      <c r="B337" s="280"/>
      <c r="C337" s="617"/>
      <c r="D337" s="1166"/>
      <c r="E337" s="1166"/>
      <c r="F337" s="1166"/>
      <c r="G337" s="1166"/>
      <c r="H337" s="1166"/>
      <c r="I337" s="1167"/>
      <c r="J337" s="1166"/>
      <c r="K337" s="1167"/>
      <c r="L337" s="1166"/>
      <c r="M337" s="1166"/>
      <c r="N337" s="1166"/>
      <c r="O337" s="280"/>
      <c r="P337" s="1167"/>
      <c r="R337" s="587"/>
      <c r="S337" s="587"/>
      <c r="X337" s="370"/>
      <c r="Y337" s="370"/>
      <c r="Z337" s="370"/>
      <c r="AB337" s="370"/>
      <c r="AC337" s="370"/>
    </row>
    <row r="338" hidden="1">
      <c r="A338" s="280"/>
      <c r="B338" s="280"/>
      <c r="C338" s="617"/>
      <c r="D338" s="1166"/>
      <c r="E338" s="1166"/>
      <c r="F338" s="1166"/>
      <c r="G338" s="1166"/>
      <c r="H338" s="1166"/>
      <c r="I338" s="1167"/>
      <c r="J338" s="1166"/>
      <c r="K338" s="1167"/>
      <c r="L338" s="1166"/>
      <c r="M338" s="1166"/>
      <c r="N338" s="1166"/>
      <c r="O338" s="280"/>
      <c r="P338" s="1167"/>
      <c r="R338" s="587"/>
      <c r="S338" s="587"/>
      <c r="X338" s="370"/>
      <c r="Y338" s="370"/>
      <c r="Z338" s="370"/>
      <c r="AB338" s="370"/>
      <c r="AC338" s="370"/>
    </row>
    <row r="339" hidden="1">
      <c r="A339" s="280"/>
      <c r="B339" s="280"/>
      <c r="C339" s="617"/>
      <c r="D339" s="1166"/>
      <c r="E339" s="1166"/>
      <c r="F339" s="1166"/>
      <c r="G339" s="1166"/>
      <c r="H339" s="1166"/>
      <c r="I339" s="1167"/>
      <c r="J339" s="1166"/>
      <c r="K339" s="1167"/>
      <c r="L339" s="1166"/>
      <c r="M339" s="1166"/>
      <c r="N339" s="1166"/>
      <c r="O339" s="280"/>
      <c r="P339" s="1167"/>
      <c r="R339" s="587"/>
      <c r="S339" s="587"/>
      <c r="X339" s="370"/>
      <c r="Y339" s="370"/>
      <c r="Z339" s="370"/>
      <c r="AB339" s="370"/>
      <c r="AC339" s="370"/>
    </row>
    <row r="340" hidden="1">
      <c r="A340" s="280"/>
      <c r="B340" s="280"/>
      <c r="C340" s="617"/>
      <c r="D340" s="1166"/>
      <c r="E340" s="1166"/>
      <c r="F340" s="1166"/>
      <c r="G340" s="1166"/>
      <c r="H340" s="1166"/>
      <c r="I340" s="1167"/>
      <c r="J340" s="1166"/>
      <c r="K340" s="1167"/>
      <c r="L340" s="1166"/>
      <c r="M340" s="1166"/>
      <c r="N340" s="1166"/>
      <c r="O340" s="280"/>
      <c r="P340" s="1167"/>
      <c r="R340" s="587"/>
      <c r="S340" s="587"/>
      <c r="X340" s="370"/>
      <c r="Y340" s="370"/>
      <c r="Z340" s="370"/>
      <c r="AB340" s="370"/>
      <c r="AC340" s="370"/>
    </row>
    <row r="341" hidden="1">
      <c r="A341" s="280"/>
      <c r="B341" s="280"/>
      <c r="C341" s="617"/>
      <c r="D341" s="1166"/>
      <c r="E341" s="1166"/>
      <c r="F341" s="1166"/>
      <c r="G341" s="1166"/>
      <c r="H341" s="1166"/>
      <c r="I341" s="1167"/>
      <c r="J341" s="1166"/>
      <c r="K341" s="1167"/>
      <c r="L341" s="1166"/>
      <c r="M341" s="1166"/>
      <c r="N341" s="1166"/>
      <c r="O341" s="280"/>
      <c r="P341" s="1167"/>
      <c r="R341" s="587"/>
      <c r="S341" s="587"/>
      <c r="X341" s="370"/>
      <c r="Y341" s="370"/>
      <c r="Z341" s="370"/>
      <c r="AB341" s="370"/>
      <c r="AC341" s="370"/>
    </row>
    <row r="342" hidden="1">
      <c r="A342" s="280"/>
      <c r="B342" s="280"/>
      <c r="C342" s="617"/>
      <c r="D342" s="1166"/>
      <c r="E342" s="1166"/>
      <c r="F342" s="1166"/>
      <c r="G342" s="1166"/>
      <c r="H342" s="1166"/>
      <c r="I342" s="1167"/>
      <c r="J342" s="1166"/>
      <c r="K342" s="1167"/>
      <c r="L342" s="1166"/>
      <c r="M342" s="1166"/>
      <c r="N342" s="1166"/>
      <c r="O342" s="280"/>
      <c r="P342" s="1167"/>
      <c r="R342" s="587"/>
      <c r="S342" s="587"/>
      <c r="X342" s="370"/>
      <c r="Y342" s="370"/>
      <c r="Z342" s="370"/>
      <c r="AB342" s="370"/>
      <c r="AC342" s="370"/>
    </row>
    <row r="343" hidden="1">
      <c r="A343" s="280"/>
      <c r="B343" s="280"/>
      <c r="C343" s="617"/>
      <c r="D343" s="1166"/>
      <c r="E343" s="1166"/>
      <c r="F343" s="1166"/>
      <c r="G343" s="1166"/>
      <c r="H343" s="1166"/>
      <c r="I343" s="1167"/>
      <c r="J343" s="1166"/>
      <c r="K343" s="1167"/>
      <c r="L343" s="1166"/>
      <c r="M343" s="1166"/>
      <c r="N343" s="1166"/>
      <c r="O343" s="280"/>
      <c r="P343" s="1167"/>
      <c r="R343" s="587"/>
      <c r="S343" s="587"/>
      <c r="X343" s="370"/>
      <c r="Y343" s="370"/>
      <c r="Z343" s="370"/>
      <c r="AB343" s="370"/>
      <c r="AC343" s="370"/>
    </row>
    <row r="344" hidden="1">
      <c r="A344" s="280"/>
      <c r="B344" s="280"/>
      <c r="C344" s="617"/>
      <c r="D344" s="1166"/>
      <c r="E344" s="1166"/>
      <c r="F344" s="1166"/>
      <c r="G344" s="1166"/>
      <c r="H344" s="1166"/>
      <c r="I344" s="1167"/>
      <c r="J344" s="1166"/>
      <c r="K344" s="1167"/>
      <c r="L344" s="1166"/>
      <c r="M344" s="1166"/>
      <c r="N344" s="1166"/>
      <c r="O344" s="280"/>
      <c r="P344" s="1167"/>
      <c r="R344" s="587"/>
      <c r="S344" s="587"/>
      <c r="X344" s="370"/>
      <c r="Y344" s="370"/>
      <c r="Z344" s="370"/>
      <c r="AB344" s="370"/>
      <c r="AC344" s="370"/>
    </row>
    <row r="345" hidden="1">
      <c r="A345" s="280"/>
      <c r="B345" s="280"/>
      <c r="C345" s="617"/>
      <c r="D345" s="1166"/>
      <c r="E345" s="1166"/>
      <c r="F345" s="1166"/>
      <c r="G345" s="1166"/>
      <c r="H345" s="1166"/>
      <c r="I345" s="1167"/>
      <c r="J345" s="1166"/>
      <c r="K345" s="1167"/>
      <c r="L345" s="1166"/>
      <c r="M345" s="1166"/>
      <c r="N345" s="1166"/>
      <c r="O345" s="280"/>
      <c r="P345" s="1167"/>
      <c r="R345" s="587"/>
      <c r="S345" s="587"/>
      <c r="X345" s="370"/>
      <c r="Y345" s="370"/>
      <c r="Z345" s="370"/>
      <c r="AB345" s="370"/>
      <c r="AC345" s="370"/>
    </row>
    <row r="346" hidden="1">
      <c r="A346" s="280"/>
      <c r="B346" s="280"/>
      <c r="C346" s="617"/>
      <c r="D346" s="1166"/>
      <c r="E346" s="1166"/>
      <c r="F346" s="1166"/>
      <c r="G346" s="1166"/>
      <c r="H346" s="1166"/>
      <c r="I346" s="1167"/>
      <c r="J346" s="1166"/>
      <c r="K346" s="1167"/>
      <c r="L346" s="1166"/>
      <c r="M346" s="1166"/>
      <c r="N346" s="1166"/>
      <c r="O346" s="280"/>
      <c r="P346" s="1167"/>
      <c r="R346" s="587"/>
      <c r="S346" s="587"/>
      <c r="X346" s="370"/>
      <c r="Y346" s="370"/>
      <c r="Z346" s="370"/>
      <c r="AB346" s="370"/>
      <c r="AC346" s="370"/>
    </row>
    <row r="347" hidden="1">
      <c r="A347" s="280"/>
      <c r="B347" s="280"/>
      <c r="C347" s="617"/>
      <c r="D347" s="1166"/>
      <c r="E347" s="1166"/>
      <c r="F347" s="1166"/>
      <c r="G347" s="1166"/>
      <c r="H347" s="1166"/>
      <c r="I347" s="1167"/>
      <c r="J347" s="1166"/>
      <c r="K347" s="1167"/>
      <c r="L347" s="1166"/>
      <c r="M347" s="1166"/>
      <c r="N347" s="1166"/>
      <c r="O347" s="280"/>
      <c r="P347" s="1167"/>
      <c r="R347" s="587"/>
      <c r="S347" s="587"/>
      <c r="X347" s="370"/>
      <c r="Y347" s="370"/>
      <c r="Z347" s="370"/>
      <c r="AB347" s="370"/>
      <c r="AC347" s="370"/>
    </row>
    <row r="348" hidden="1">
      <c r="A348" s="280"/>
      <c r="B348" s="280"/>
      <c r="C348" s="617"/>
      <c r="D348" s="1166"/>
      <c r="E348" s="1166"/>
      <c r="F348" s="1166"/>
      <c r="G348" s="1166"/>
      <c r="H348" s="1166"/>
      <c r="I348" s="1167"/>
      <c r="J348" s="1166"/>
      <c r="K348" s="1167"/>
      <c r="L348" s="1166"/>
      <c r="M348" s="1166"/>
      <c r="N348" s="1166"/>
      <c r="O348" s="280"/>
      <c r="P348" s="1167"/>
      <c r="R348" s="587"/>
      <c r="S348" s="587"/>
      <c r="X348" s="370"/>
      <c r="Y348" s="370"/>
      <c r="Z348" s="370"/>
      <c r="AB348" s="370"/>
      <c r="AC348" s="370"/>
    </row>
    <row r="349" hidden="1">
      <c r="A349" s="280"/>
      <c r="B349" s="280"/>
      <c r="C349" s="617"/>
      <c r="D349" s="1166"/>
      <c r="E349" s="1166"/>
      <c r="F349" s="1166"/>
      <c r="G349" s="1166"/>
      <c r="H349" s="1166"/>
      <c r="I349" s="1167"/>
      <c r="J349" s="1166"/>
      <c r="K349" s="1167"/>
      <c r="L349" s="1166"/>
      <c r="M349" s="1166"/>
      <c r="N349" s="1166"/>
      <c r="O349" s="280"/>
      <c r="P349" s="1167"/>
      <c r="R349" s="587"/>
      <c r="S349" s="587"/>
      <c r="X349" s="370"/>
      <c r="Y349" s="370"/>
      <c r="Z349" s="370"/>
      <c r="AB349" s="370"/>
      <c r="AC349" s="370"/>
    </row>
    <row r="350" hidden="1">
      <c r="A350" s="280"/>
      <c r="B350" s="280"/>
      <c r="C350" s="617"/>
      <c r="D350" s="1166"/>
      <c r="E350" s="1166"/>
      <c r="F350" s="1166"/>
      <c r="G350" s="1166"/>
      <c r="H350" s="1166"/>
      <c r="I350" s="1167"/>
      <c r="J350" s="1166"/>
      <c r="K350" s="1167"/>
      <c r="L350" s="1166"/>
      <c r="M350" s="1166"/>
      <c r="N350" s="1166"/>
      <c r="O350" s="280"/>
      <c r="P350" s="1167"/>
      <c r="R350" s="587"/>
      <c r="S350" s="587"/>
      <c r="X350" s="370"/>
      <c r="Y350" s="370"/>
      <c r="Z350" s="370"/>
      <c r="AB350" s="370"/>
      <c r="AC350" s="370"/>
    </row>
    <row r="351" hidden="1">
      <c r="A351" s="280"/>
      <c r="B351" s="280"/>
      <c r="C351" s="617"/>
      <c r="D351" s="1166"/>
      <c r="E351" s="1166"/>
      <c r="F351" s="1166"/>
      <c r="G351" s="1166"/>
      <c r="H351" s="1166"/>
      <c r="I351" s="1167"/>
      <c r="J351" s="1166"/>
      <c r="K351" s="1167"/>
      <c r="L351" s="1166"/>
      <c r="M351" s="1166"/>
      <c r="N351" s="1166"/>
      <c r="O351" s="280"/>
      <c r="P351" s="1167"/>
      <c r="R351" s="587"/>
      <c r="S351" s="587"/>
      <c r="X351" s="370"/>
      <c r="Y351" s="370"/>
      <c r="Z351" s="370"/>
      <c r="AB351" s="370"/>
      <c r="AC351" s="370"/>
    </row>
    <row r="352" hidden="1">
      <c r="A352" s="280"/>
      <c r="B352" s="280"/>
      <c r="C352" s="617"/>
      <c r="D352" s="1166"/>
      <c r="E352" s="1166"/>
      <c r="F352" s="1166"/>
      <c r="G352" s="1166"/>
      <c r="H352" s="1166"/>
      <c r="I352" s="1167"/>
      <c r="J352" s="1166"/>
      <c r="K352" s="1167"/>
      <c r="L352" s="1166"/>
      <c r="M352" s="1166"/>
      <c r="N352" s="1166"/>
      <c r="O352" s="280"/>
      <c r="P352" s="1167"/>
      <c r="R352" s="587"/>
      <c r="S352" s="587"/>
      <c r="X352" s="370"/>
      <c r="Y352" s="370"/>
      <c r="Z352" s="370"/>
      <c r="AB352" s="370"/>
      <c r="AC352" s="370"/>
    </row>
    <row r="353" hidden="1">
      <c r="A353" s="280"/>
      <c r="B353" s="280"/>
      <c r="C353" s="617"/>
      <c r="D353" s="1166"/>
      <c r="E353" s="1166"/>
      <c r="F353" s="1166"/>
      <c r="G353" s="1166"/>
      <c r="H353" s="1166"/>
      <c r="I353" s="1167"/>
      <c r="J353" s="1166"/>
      <c r="K353" s="1167"/>
      <c r="L353" s="1166"/>
      <c r="M353" s="1166"/>
      <c r="N353" s="1166"/>
      <c r="O353" s="280"/>
      <c r="P353" s="1167"/>
      <c r="R353" s="587"/>
      <c r="S353" s="587"/>
      <c r="X353" s="370"/>
      <c r="Y353" s="370"/>
      <c r="Z353" s="370"/>
      <c r="AB353" s="370"/>
      <c r="AC353" s="370"/>
    </row>
    <row r="354" hidden="1">
      <c r="A354" s="280"/>
      <c r="B354" s="280"/>
      <c r="C354" s="617"/>
      <c r="D354" s="1166"/>
      <c r="E354" s="1166"/>
      <c r="F354" s="1166"/>
      <c r="G354" s="1166"/>
      <c r="H354" s="1166"/>
      <c r="I354" s="1167"/>
      <c r="J354" s="1166"/>
      <c r="K354" s="1167"/>
      <c r="L354" s="1166"/>
      <c r="M354" s="1166"/>
      <c r="N354" s="1166"/>
      <c r="O354" s="280"/>
      <c r="P354" s="1167"/>
      <c r="R354" s="587"/>
      <c r="S354" s="587"/>
      <c r="X354" s="370"/>
      <c r="Y354" s="370"/>
      <c r="Z354" s="370"/>
      <c r="AB354" s="370"/>
      <c r="AC354" s="370"/>
    </row>
    <row r="355" hidden="1">
      <c r="A355" s="280"/>
      <c r="B355" s="280"/>
      <c r="C355" s="617"/>
      <c r="D355" s="1166"/>
      <c r="E355" s="1166"/>
      <c r="F355" s="1166"/>
      <c r="G355" s="1166"/>
      <c r="H355" s="1166"/>
      <c r="I355" s="1167"/>
      <c r="J355" s="1166"/>
      <c r="K355" s="1167"/>
      <c r="L355" s="1166"/>
      <c r="M355" s="1166"/>
      <c r="N355" s="1166"/>
      <c r="O355" s="280"/>
      <c r="P355" s="1167"/>
      <c r="R355" s="587"/>
      <c r="S355" s="587"/>
      <c r="X355" s="370"/>
      <c r="Y355" s="370"/>
      <c r="Z355" s="370"/>
      <c r="AB355" s="370"/>
      <c r="AC355" s="370"/>
    </row>
    <row r="356" hidden="1">
      <c r="A356" s="280"/>
      <c r="B356" s="280"/>
      <c r="C356" s="617"/>
      <c r="D356" s="1166"/>
      <c r="E356" s="1166"/>
      <c r="F356" s="1166"/>
      <c r="G356" s="1166"/>
      <c r="H356" s="1166"/>
      <c r="I356" s="1167"/>
      <c r="J356" s="1166"/>
      <c r="K356" s="1167"/>
      <c r="L356" s="1166"/>
      <c r="M356" s="1166"/>
      <c r="N356" s="1166"/>
      <c r="O356" s="280"/>
      <c r="P356" s="1167"/>
      <c r="R356" s="587"/>
      <c r="S356" s="587"/>
      <c r="X356" s="370"/>
      <c r="Y356" s="370"/>
      <c r="Z356" s="370"/>
      <c r="AB356" s="370"/>
      <c r="AC356" s="370"/>
    </row>
    <row r="357" hidden="1">
      <c r="A357" s="280"/>
      <c r="B357" s="280"/>
      <c r="C357" s="617"/>
      <c r="D357" s="1166"/>
      <c r="E357" s="1166"/>
      <c r="F357" s="1166"/>
      <c r="G357" s="1166"/>
      <c r="H357" s="1166"/>
      <c r="I357" s="1167"/>
      <c r="J357" s="1166"/>
      <c r="K357" s="1167"/>
      <c r="L357" s="1166"/>
      <c r="M357" s="1166"/>
      <c r="N357" s="1166"/>
      <c r="O357" s="280"/>
      <c r="P357" s="1167"/>
      <c r="R357" s="587"/>
      <c r="S357" s="587"/>
      <c r="X357" s="370"/>
      <c r="Y357" s="370"/>
      <c r="Z357" s="370"/>
      <c r="AB357" s="370"/>
      <c r="AC357" s="370"/>
    </row>
    <row r="358" hidden="1">
      <c r="A358" s="280"/>
      <c r="B358" s="280"/>
      <c r="C358" s="617"/>
      <c r="D358" s="1166"/>
      <c r="E358" s="1166"/>
      <c r="F358" s="1166"/>
      <c r="G358" s="1166"/>
      <c r="H358" s="1166"/>
      <c r="I358" s="1167"/>
      <c r="J358" s="1166"/>
      <c r="K358" s="1167"/>
      <c r="L358" s="1166"/>
      <c r="M358" s="1166"/>
      <c r="N358" s="1166"/>
      <c r="O358" s="280"/>
      <c r="P358" s="1167"/>
      <c r="R358" s="587"/>
      <c r="S358" s="587"/>
      <c r="X358" s="370"/>
      <c r="Y358" s="370"/>
      <c r="Z358" s="370"/>
      <c r="AB358" s="370"/>
      <c r="AC358" s="370"/>
    </row>
    <row r="359" hidden="1">
      <c r="A359" s="280"/>
      <c r="B359" s="280"/>
      <c r="C359" s="617"/>
      <c r="D359" s="1166"/>
      <c r="E359" s="1166"/>
      <c r="F359" s="1166"/>
      <c r="G359" s="1166"/>
      <c r="H359" s="1166"/>
      <c r="I359" s="1167"/>
      <c r="J359" s="1166"/>
      <c r="K359" s="1167"/>
      <c r="L359" s="1166"/>
      <c r="M359" s="1166"/>
      <c r="N359" s="1166"/>
      <c r="O359" s="280"/>
      <c r="P359" s="1167"/>
      <c r="R359" s="587"/>
      <c r="S359" s="587"/>
      <c r="X359" s="370"/>
      <c r="Y359" s="370"/>
      <c r="Z359" s="370"/>
      <c r="AB359" s="370"/>
      <c r="AC359" s="370"/>
    </row>
    <row r="360" hidden="1">
      <c r="A360" s="280"/>
      <c r="B360" s="280"/>
      <c r="C360" s="617"/>
      <c r="D360" s="1166"/>
      <c r="E360" s="1166"/>
      <c r="F360" s="1166"/>
      <c r="G360" s="1166"/>
      <c r="H360" s="1166"/>
      <c r="I360" s="1167"/>
      <c r="J360" s="1166"/>
      <c r="K360" s="1167"/>
      <c r="L360" s="1166"/>
      <c r="M360" s="1166"/>
      <c r="N360" s="1166"/>
      <c r="O360" s="280"/>
      <c r="P360" s="1167"/>
      <c r="R360" s="587"/>
      <c r="S360" s="587"/>
      <c r="X360" s="370"/>
      <c r="Y360" s="370"/>
      <c r="Z360" s="370"/>
      <c r="AB360" s="370"/>
      <c r="AC360" s="370"/>
    </row>
    <row r="361" hidden="1">
      <c r="A361" s="280"/>
      <c r="B361" s="280"/>
      <c r="C361" s="617"/>
      <c r="D361" s="1166"/>
      <c r="E361" s="1166"/>
      <c r="F361" s="1166"/>
      <c r="G361" s="1166"/>
      <c r="H361" s="1166"/>
      <c r="I361" s="1167"/>
      <c r="J361" s="1166"/>
      <c r="K361" s="1167"/>
      <c r="L361" s="1166"/>
      <c r="M361" s="1166"/>
      <c r="N361" s="1166"/>
      <c r="O361" s="280"/>
      <c r="P361" s="1167"/>
      <c r="R361" s="587"/>
      <c r="S361" s="587"/>
      <c r="X361" s="370"/>
      <c r="Y361" s="370"/>
      <c r="Z361" s="370"/>
      <c r="AB361" s="370"/>
      <c r="AC361" s="370"/>
    </row>
    <row r="362" hidden="1">
      <c r="A362" s="280"/>
      <c r="B362" s="280"/>
      <c r="C362" s="617"/>
      <c r="D362" s="1166"/>
      <c r="E362" s="1166"/>
      <c r="F362" s="1166"/>
      <c r="G362" s="1166"/>
      <c r="H362" s="1166"/>
      <c r="I362" s="1167"/>
      <c r="J362" s="1166"/>
      <c r="K362" s="1167"/>
      <c r="L362" s="1166"/>
      <c r="M362" s="1166"/>
      <c r="N362" s="1166"/>
      <c r="O362" s="280"/>
      <c r="P362" s="1167"/>
      <c r="R362" s="587"/>
      <c r="S362" s="587"/>
      <c r="X362" s="370"/>
      <c r="Y362" s="370"/>
      <c r="Z362" s="370"/>
      <c r="AB362" s="370"/>
      <c r="AC362" s="370"/>
    </row>
    <row r="363" hidden="1">
      <c r="A363" s="280"/>
      <c r="B363" s="280"/>
      <c r="C363" s="617"/>
      <c r="D363" s="1166"/>
      <c r="E363" s="1166"/>
      <c r="F363" s="1166"/>
      <c r="G363" s="1166"/>
      <c r="H363" s="1166"/>
      <c r="I363" s="1167"/>
      <c r="J363" s="1166"/>
      <c r="K363" s="1167"/>
      <c r="L363" s="1166"/>
      <c r="M363" s="1166"/>
      <c r="N363" s="1166"/>
      <c r="O363" s="280"/>
      <c r="P363" s="1167"/>
      <c r="R363" s="587"/>
      <c r="S363" s="587"/>
      <c r="X363" s="370"/>
      <c r="Y363" s="370"/>
      <c r="Z363" s="370"/>
      <c r="AB363" s="370"/>
      <c r="AC363" s="370"/>
    </row>
    <row r="364" hidden="1">
      <c r="A364" s="280"/>
      <c r="B364" s="280"/>
      <c r="C364" s="617"/>
      <c r="D364" s="1166"/>
      <c r="E364" s="1166"/>
      <c r="F364" s="1166"/>
      <c r="G364" s="1166"/>
      <c r="H364" s="1166"/>
      <c r="I364" s="1167"/>
      <c r="J364" s="1166"/>
      <c r="K364" s="1167"/>
      <c r="L364" s="1166"/>
      <c r="M364" s="1166"/>
      <c r="N364" s="1166"/>
      <c r="O364" s="280"/>
      <c r="P364" s="1167"/>
      <c r="R364" s="587"/>
      <c r="S364" s="587"/>
      <c r="X364" s="370"/>
      <c r="Y364" s="370"/>
      <c r="Z364" s="370"/>
      <c r="AB364" s="370"/>
      <c r="AC364" s="370"/>
    </row>
    <row r="365" hidden="1">
      <c r="A365" s="280"/>
      <c r="B365" s="280"/>
      <c r="C365" s="617"/>
      <c r="D365" s="1166"/>
      <c r="E365" s="1166"/>
      <c r="F365" s="1166"/>
      <c r="G365" s="1166"/>
      <c r="H365" s="1166"/>
      <c r="I365" s="1167"/>
      <c r="J365" s="1166"/>
      <c r="K365" s="1167"/>
      <c r="L365" s="1166"/>
      <c r="M365" s="1166"/>
      <c r="N365" s="1166"/>
      <c r="O365" s="280"/>
      <c r="P365" s="1167"/>
      <c r="R365" s="587"/>
      <c r="S365" s="587"/>
      <c r="X365" s="370"/>
      <c r="Y365" s="370"/>
      <c r="Z365" s="370"/>
      <c r="AB365" s="370"/>
      <c r="AC365" s="370"/>
    </row>
    <row r="366" hidden="1">
      <c r="A366" s="280"/>
      <c r="B366" s="280"/>
      <c r="C366" s="617"/>
      <c r="D366" s="1166"/>
      <c r="E366" s="1166"/>
      <c r="F366" s="1166"/>
      <c r="G366" s="1166"/>
      <c r="H366" s="1166"/>
      <c r="I366" s="1167"/>
      <c r="J366" s="1166"/>
      <c r="K366" s="1167"/>
      <c r="L366" s="1166"/>
      <c r="M366" s="1166"/>
      <c r="N366" s="1166"/>
      <c r="O366" s="280"/>
      <c r="P366" s="1167"/>
      <c r="R366" s="587"/>
      <c r="S366" s="587"/>
      <c r="X366" s="370"/>
      <c r="Y366" s="370"/>
      <c r="Z366" s="370"/>
      <c r="AB366" s="370"/>
      <c r="AC366" s="370"/>
    </row>
    <row r="367" hidden="1">
      <c r="A367" s="280"/>
      <c r="B367" s="280"/>
      <c r="C367" s="617"/>
      <c r="D367" s="1166"/>
      <c r="E367" s="1166"/>
      <c r="F367" s="1166"/>
      <c r="G367" s="1166"/>
      <c r="H367" s="1166"/>
      <c r="I367" s="1167"/>
      <c r="J367" s="1166"/>
      <c r="K367" s="1167"/>
      <c r="L367" s="1166"/>
      <c r="M367" s="1166"/>
      <c r="N367" s="1166"/>
      <c r="O367" s="280"/>
      <c r="P367" s="1167"/>
      <c r="R367" s="587"/>
      <c r="S367" s="587"/>
      <c r="X367" s="370"/>
      <c r="Y367" s="370"/>
      <c r="Z367" s="370"/>
      <c r="AB367" s="370"/>
      <c r="AC367" s="370"/>
    </row>
    <row r="368" hidden="1">
      <c r="A368" s="280"/>
      <c r="B368" s="280"/>
      <c r="C368" s="617"/>
      <c r="D368" s="1166"/>
      <c r="E368" s="1166"/>
      <c r="F368" s="1166"/>
      <c r="G368" s="1166"/>
      <c r="H368" s="1166"/>
      <c r="I368" s="1167"/>
      <c r="J368" s="1166"/>
      <c r="K368" s="1167"/>
      <c r="L368" s="1166"/>
      <c r="M368" s="1166"/>
      <c r="N368" s="1166"/>
      <c r="O368" s="280"/>
      <c r="P368" s="1167"/>
      <c r="R368" s="587"/>
      <c r="S368" s="587"/>
      <c r="X368" s="370"/>
      <c r="Y368" s="370"/>
      <c r="Z368" s="370"/>
      <c r="AB368" s="370"/>
      <c r="AC368" s="370"/>
    </row>
    <row r="369" hidden="1">
      <c r="A369" s="280"/>
      <c r="B369" s="280"/>
      <c r="C369" s="617"/>
      <c r="D369" s="1166"/>
      <c r="E369" s="1166"/>
      <c r="F369" s="1166"/>
      <c r="G369" s="1166"/>
      <c r="H369" s="1166"/>
      <c r="I369" s="1167"/>
      <c r="J369" s="1166"/>
      <c r="K369" s="1167"/>
      <c r="L369" s="1166"/>
      <c r="M369" s="1166"/>
      <c r="N369" s="1166"/>
      <c r="O369" s="280"/>
      <c r="P369" s="1167"/>
      <c r="R369" s="587"/>
      <c r="S369" s="587"/>
      <c r="X369" s="370"/>
      <c r="Y369" s="370"/>
      <c r="Z369" s="370"/>
      <c r="AB369" s="370"/>
      <c r="AC369" s="370"/>
    </row>
    <row r="370" hidden="1">
      <c r="A370" s="280"/>
      <c r="B370" s="280"/>
      <c r="C370" s="617"/>
      <c r="D370" s="1166"/>
      <c r="E370" s="1166"/>
      <c r="F370" s="1166"/>
      <c r="G370" s="1166"/>
      <c r="H370" s="1166"/>
      <c r="I370" s="1167"/>
      <c r="J370" s="1166"/>
      <c r="K370" s="1167"/>
      <c r="L370" s="1166"/>
      <c r="M370" s="1166"/>
      <c r="N370" s="1166"/>
      <c r="O370" s="280"/>
      <c r="P370" s="1167"/>
      <c r="R370" s="587"/>
      <c r="S370" s="587"/>
      <c r="X370" s="370"/>
      <c r="Y370" s="370"/>
      <c r="Z370" s="370"/>
      <c r="AB370" s="370"/>
      <c r="AC370" s="370"/>
    </row>
    <row r="371" hidden="1">
      <c r="A371" s="280"/>
      <c r="B371" s="280"/>
      <c r="C371" s="617"/>
      <c r="D371" s="1166"/>
      <c r="E371" s="1166"/>
      <c r="F371" s="1166"/>
      <c r="G371" s="1166"/>
      <c r="H371" s="1166"/>
      <c r="I371" s="1167"/>
      <c r="J371" s="1166"/>
      <c r="K371" s="1167"/>
      <c r="L371" s="1166"/>
      <c r="M371" s="1166"/>
      <c r="N371" s="1166"/>
      <c r="O371" s="280"/>
      <c r="P371" s="1167"/>
      <c r="R371" s="587"/>
      <c r="S371" s="587"/>
      <c r="X371" s="370"/>
      <c r="Y371" s="370"/>
      <c r="Z371" s="370"/>
      <c r="AB371" s="370"/>
      <c r="AC371" s="370"/>
    </row>
    <row r="372" hidden="1">
      <c r="A372" s="280"/>
      <c r="B372" s="280"/>
      <c r="C372" s="617"/>
      <c r="D372" s="1166"/>
      <c r="E372" s="1166"/>
      <c r="F372" s="1166"/>
      <c r="G372" s="1166"/>
      <c r="H372" s="1166"/>
      <c r="I372" s="1167"/>
      <c r="J372" s="1166"/>
      <c r="K372" s="1167"/>
      <c r="L372" s="1166"/>
      <c r="M372" s="1166"/>
      <c r="N372" s="1166"/>
      <c r="O372" s="280"/>
      <c r="P372" s="1167"/>
      <c r="R372" s="587"/>
      <c r="S372" s="587"/>
      <c r="X372" s="370"/>
      <c r="Y372" s="370"/>
      <c r="Z372" s="370"/>
      <c r="AB372" s="370"/>
      <c r="AC372" s="370"/>
    </row>
    <row r="373" hidden="1">
      <c r="A373" s="280"/>
      <c r="B373" s="280"/>
      <c r="C373" s="617"/>
      <c r="D373" s="1166"/>
      <c r="E373" s="1166"/>
      <c r="F373" s="1166"/>
      <c r="G373" s="1166"/>
      <c r="H373" s="1166"/>
      <c r="I373" s="1167"/>
      <c r="J373" s="1166"/>
      <c r="K373" s="1167"/>
      <c r="L373" s="1166"/>
      <c r="M373" s="1166"/>
      <c r="N373" s="1166"/>
      <c r="O373" s="280"/>
      <c r="P373" s="1167"/>
      <c r="R373" s="587"/>
      <c r="S373" s="587"/>
      <c r="X373" s="370"/>
      <c r="Y373" s="370"/>
      <c r="Z373" s="370"/>
      <c r="AB373" s="370"/>
      <c r="AC373" s="370"/>
    </row>
    <row r="374" hidden="1">
      <c r="A374" s="280"/>
      <c r="B374" s="280"/>
      <c r="C374" s="617"/>
      <c r="D374" s="1166"/>
      <c r="E374" s="1166"/>
      <c r="F374" s="1166"/>
      <c r="G374" s="1166"/>
      <c r="H374" s="1166"/>
      <c r="I374" s="1167"/>
      <c r="J374" s="1166"/>
      <c r="K374" s="1167"/>
      <c r="L374" s="1166"/>
      <c r="M374" s="1166"/>
      <c r="N374" s="1166"/>
      <c r="O374" s="280"/>
      <c r="P374" s="1167"/>
      <c r="R374" s="587"/>
      <c r="S374" s="587"/>
      <c r="X374" s="370"/>
      <c r="Y374" s="370"/>
      <c r="Z374" s="370"/>
      <c r="AB374" s="370"/>
      <c r="AC374" s="370"/>
    </row>
    <row r="375" hidden="1">
      <c r="A375" s="280"/>
      <c r="B375" s="280"/>
      <c r="C375" s="617"/>
      <c r="D375" s="1166"/>
      <c r="E375" s="1166"/>
      <c r="F375" s="1166"/>
      <c r="G375" s="1166"/>
      <c r="H375" s="1166"/>
      <c r="I375" s="1167"/>
      <c r="J375" s="1166"/>
      <c r="K375" s="1167"/>
      <c r="L375" s="1166"/>
      <c r="M375" s="1166"/>
      <c r="N375" s="1166"/>
      <c r="O375" s="280"/>
      <c r="P375" s="1167"/>
      <c r="R375" s="587"/>
      <c r="S375" s="587"/>
      <c r="X375" s="370"/>
      <c r="Y375" s="370"/>
      <c r="Z375" s="370"/>
      <c r="AB375" s="370"/>
      <c r="AC375" s="370"/>
    </row>
    <row r="376" hidden="1">
      <c r="A376" s="280"/>
      <c r="B376" s="280"/>
      <c r="C376" s="617"/>
      <c r="D376" s="1166"/>
      <c r="E376" s="1166"/>
      <c r="F376" s="1166"/>
      <c r="G376" s="1166"/>
      <c r="H376" s="1166"/>
      <c r="I376" s="1167"/>
      <c r="J376" s="1166"/>
      <c r="K376" s="1167"/>
      <c r="L376" s="1166"/>
      <c r="M376" s="1166"/>
      <c r="N376" s="1166"/>
      <c r="O376" s="280"/>
      <c r="P376" s="1167"/>
      <c r="R376" s="587"/>
      <c r="S376" s="587"/>
      <c r="X376" s="370"/>
      <c r="Y376" s="370"/>
      <c r="Z376" s="370"/>
      <c r="AB376" s="370"/>
      <c r="AC376" s="370"/>
    </row>
    <row r="377" hidden="1">
      <c r="A377" s="280"/>
      <c r="B377" s="280"/>
      <c r="C377" s="617"/>
      <c r="D377" s="1166"/>
      <c r="E377" s="1166"/>
      <c r="F377" s="1166"/>
      <c r="G377" s="1166"/>
      <c r="H377" s="1166"/>
      <c r="I377" s="1167"/>
      <c r="J377" s="1166"/>
      <c r="K377" s="1167"/>
      <c r="L377" s="1166"/>
      <c r="M377" s="1166"/>
      <c r="N377" s="1166"/>
      <c r="O377" s="280"/>
      <c r="P377" s="1167"/>
      <c r="R377" s="587"/>
      <c r="S377" s="587"/>
      <c r="X377" s="370"/>
      <c r="Y377" s="370"/>
      <c r="Z377" s="370"/>
      <c r="AB377" s="370"/>
      <c r="AC377" s="370"/>
    </row>
    <row r="378" hidden="1">
      <c r="A378" s="280"/>
      <c r="B378" s="280"/>
      <c r="C378" s="617"/>
      <c r="D378" s="1166"/>
      <c r="E378" s="1166"/>
      <c r="F378" s="1166"/>
      <c r="G378" s="1166"/>
      <c r="H378" s="1166"/>
      <c r="I378" s="1167"/>
      <c r="J378" s="1166"/>
      <c r="K378" s="1167"/>
      <c r="L378" s="1166"/>
      <c r="M378" s="1166"/>
      <c r="N378" s="1166"/>
      <c r="O378" s="280"/>
      <c r="P378" s="1167"/>
      <c r="R378" s="587"/>
      <c r="S378" s="587"/>
      <c r="X378" s="370"/>
      <c r="Y378" s="370"/>
      <c r="Z378" s="370"/>
      <c r="AB378" s="370"/>
      <c r="AC378" s="370"/>
    </row>
    <row r="379" hidden="1">
      <c r="A379" s="280"/>
      <c r="B379" s="280"/>
      <c r="C379" s="617"/>
      <c r="D379" s="1166"/>
      <c r="E379" s="1166"/>
      <c r="F379" s="1166"/>
      <c r="G379" s="1166"/>
      <c r="H379" s="1166"/>
      <c r="I379" s="1167"/>
      <c r="J379" s="1166"/>
      <c r="K379" s="1167"/>
      <c r="L379" s="1166"/>
      <c r="M379" s="1166"/>
      <c r="N379" s="1166"/>
      <c r="O379" s="280"/>
      <c r="P379" s="1167"/>
      <c r="R379" s="587"/>
      <c r="S379" s="587"/>
      <c r="X379" s="370"/>
      <c r="Y379" s="370"/>
      <c r="Z379" s="370"/>
      <c r="AB379" s="370"/>
      <c r="AC379" s="370"/>
    </row>
    <row r="380" hidden="1">
      <c r="A380" s="280"/>
      <c r="B380" s="280"/>
      <c r="C380" s="617"/>
      <c r="D380" s="1166"/>
      <c r="E380" s="1166"/>
      <c r="F380" s="1166"/>
      <c r="G380" s="1166"/>
      <c r="H380" s="1166"/>
      <c r="I380" s="1167"/>
      <c r="J380" s="1166"/>
      <c r="K380" s="1167"/>
      <c r="L380" s="1166"/>
      <c r="M380" s="1166"/>
      <c r="N380" s="1166"/>
      <c r="O380" s="280"/>
      <c r="P380" s="1167"/>
      <c r="R380" s="587"/>
      <c r="S380" s="587"/>
      <c r="X380" s="370"/>
      <c r="Y380" s="370"/>
      <c r="Z380" s="370"/>
      <c r="AB380" s="370"/>
      <c r="AC380" s="370"/>
    </row>
    <row r="381" hidden="1">
      <c r="A381" s="280"/>
      <c r="B381" s="280"/>
      <c r="C381" s="617"/>
      <c r="D381" s="1166"/>
      <c r="E381" s="1166"/>
      <c r="F381" s="1166"/>
      <c r="G381" s="1166"/>
      <c r="H381" s="1166"/>
      <c r="I381" s="1167"/>
      <c r="J381" s="1166"/>
      <c r="K381" s="1167"/>
      <c r="L381" s="1166"/>
      <c r="M381" s="1166"/>
      <c r="N381" s="1166"/>
      <c r="O381" s="280"/>
      <c r="P381" s="1167"/>
      <c r="R381" s="587"/>
      <c r="S381" s="587"/>
      <c r="X381" s="370"/>
      <c r="Y381" s="370"/>
      <c r="Z381" s="370"/>
      <c r="AB381" s="370"/>
      <c r="AC381" s="370"/>
    </row>
    <row r="382" hidden="1">
      <c r="A382" s="280"/>
      <c r="B382" s="280"/>
      <c r="C382" s="617"/>
      <c r="D382" s="1166"/>
      <c r="E382" s="1166"/>
      <c r="F382" s="1166"/>
      <c r="G382" s="1166"/>
      <c r="H382" s="1166"/>
      <c r="I382" s="1167"/>
      <c r="J382" s="1166"/>
      <c r="K382" s="1167"/>
      <c r="L382" s="1166"/>
      <c r="M382" s="1166"/>
      <c r="N382" s="1166"/>
      <c r="O382" s="280"/>
      <c r="P382" s="1167"/>
      <c r="R382" s="587"/>
      <c r="S382" s="587"/>
      <c r="X382" s="370"/>
      <c r="Y382" s="370"/>
      <c r="Z382" s="370"/>
      <c r="AB382" s="370"/>
      <c r="AC382" s="370"/>
    </row>
    <row r="383" hidden="1">
      <c r="A383" s="280"/>
      <c r="B383" s="280"/>
      <c r="C383" s="617"/>
      <c r="D383" s="1166"/>
      <c r="E383" s="1166"/>
      <c r="F383" s="1166"/>
      <c r="G383" s="1166"/>
      <c r="H383" s="1166"/>
      <c r="I383" s="1167"/>
      <c r="J383" s="1166"/>
      <c r="K383" s="1167"/>
      <c r="L383" s="1166"/>
      <c r="M383" s="1166"/>
      <c r="N383" s="1166"/>
      <c r="O383" s="280"/>
      <c r="P383" s="1167"/>
      <c r="R383" s="587"/>
      <c r="S383" s="587"/>
      <c r="X383" s="370"/>
      <c r="Y383" s="370"/>
      <c r="Z383" s="370"/>
      <c r="AB383" s="370"/>
      <c r="AC383" s="370"/>
    </row>
    <row r="384" hidden="1">
      <c r="A384" s="280"/>
      <c r="B384" s="280"/>
      <c r="C384" s="617"/>
      <c r="D384" s="1166"/>
      <c r="E384" s="1166"/>
      <c r="F384" s="1166"/>
      <c r="G384" s="1166"/>
      <c r="H384" s="1166"/>
      <c r="I384" s="1167"/>
      <c r="J384" s="1166"/>
      <c r="K384" s="1167"/>
      <c r="L384" s="1166"/>
      <c r="M384" s="1166"/>
      <c r="N384" s="1166"/>
      <c r="O384" s="280"/>
      <c r="P384" s="1167"/>
      <c r="R384" s="587"/>
      <c r="S384" s="587"/>
      <c r="X384" s="370"/>
      <c r="Y384" s="370"/>
      <c r="Z384" s="370"/>
      <c r="AB384" s="370"/>
      <c r="AC384" s="370"/>
    </row>
    <row r="385" hidden="1">
      <c r="A385" s="280"/>
      <c r="B385" s="280"/>
      <c r="C385" s="617"/>
      <c r="D385" s="1166"/>
      <c r="E385" s="1166"/>
      <c r="F385" s="1166"/>
      <c r="G385" s="1166"/>
      <c r="H385" s="1166"/>
      <c r="I385" s="1167"/>
      <c r="J385" s="1166"/>
      <c r="K385" s="1167"/>
      <c r="L385" s="1166"/>
      <c r="M385" s="1166"/>
      <c r="N385" s="1166"/>
      <c r="O385" s="280"/>
      <c r="P385" s="1167"/>
      <c r="R385" s="587"/>
      <c r="S385" s="587"/>
      <c r="X385" s="370"/>
      <c r="Y385" s="370"/>
      <c r="Z385" s="370"/>
      <c r="AB385" s="370"/>
      <c r="AC385" s="370"/>
    </row>
    <row r="386" hidden="1">
      <c r="A386" s="280"/>
      <c r="B386" s="280"/>
      <c r="C386" s="617"/>
      <c r="D386" s="1166"/>
      <c r="E386" s="1166"/>
      <c r="F386" s="1166"/>
      <c r="G386" s="1166"/>
      <c r="H386" s="1166"/>
      <c r="I386" s="1167"/>
      <c r="J386" s="1166"/>
      <c r="K386" s="1167"/>
      <c r="L386" s="1166"/>
      <c r="M386" s="1166"/>
      <c r="N386" s="1166"/>
      <c r="O386" s="280"/>
      <c r="P386" s="1167"/>
      <c r="R386" s="587"/>
      <c r="S386" s="587"/>
      <c r="X386" s="370"/>
      <c r="Y386" s="370"/>
      <c r="Z386" s="370"/>
      <c r="AB386" s="370"/>
      <c r="AC386" s="370"/>
    </row>
    <row r="387" hidden="1">
      <c r="A387" s="280"/>
      <c r="B387" s="280"/>
      <c r="C387" s="617"/>
      <c r="D387" s="1166"/>
      <c r="E387" s="1166"/>
      <c r="F387" s="1166"/>
      <c r="G387" s="1166"/>
      <c r="H387" s="1166"/>
      <c r="I387" s="1167"/>
      <c r="J387" s="1166"/>
      <c r="K387" s="1167"/>
      <c r="L387" s="1166"/>
      <c r="M387" s="1166"/>
      <c r="N387" s="1166"/>
      <c r="O387" s="280"/>
      <c r="P387" s="1167"/>
      <c r="R387" s="587"/>
      <c r="S387" s="587"/>
      <c r="X387" s="370"/>
      <c r="Y387" s="370"/>
      <c r="Z387" s="370"/>
      <c r="AB387" s="370"/>
      <c r="AC387" s="370"/>
    </row>
    <row r="388" hidden="1">
      <c r="A388" s="280"/>
      <c r="B388" s="280"/>
      <c r="C388" s="617"/>
      <c r="D388" s="1166"/>
      <c r="E388" s="1166"/>
      <c r="F388" s="1166"/>
      <c r="G388" s="1166"/>
      <c r="H388" s="1166"/>
      <c r="I388" s="1167"/>
      <c r="J388" s="1166"/>
      <c r="K388" s="1167"/>
      <c r="L388" s="1166"/>
      <c r="M388" s="1166"/>
      <c r="N388" s="1166"/>
      <c r="O388" s="280"/>
      <c r="P388" s="1167"/>
      <c r="R388" s="587"/>
      <c r="S388" s="587"/>
      <c r="X388" s="370"/>
      <c r="Y388" s="370"/>
      <c r="Z388" s="370"/>
      <c r="AB388" s="370"/>
      <c r="AC388" s="370"/>
    </row>
    <row r="389" hidden="1">
      <c r="A389" s="280"/>
      <c r="B389" s="280"/>
      <c r="C389" s="617"/>
      <c r="D389" s="1166"/>
      <c r="E389" s="1166"/>
      <c r="F389" s="1166"/>
      <c r="G389" s="1166"/>
      <c r="H389" s="1166"/>
      <c r="I389" s="1167"/>
      <c r="J389" s="1166"/>
      <c r="K389" s="1167"/>
      <c r="L389" s="1166"/>
      <c r="M389" s="1166"/>
      <c r="N389" s="1166"/>
      <c r="O389" s="280"/>
      <c r="P389" s="1167"/>
      <c r="R389" s="587"/>
      <c r="S389" s="587"/>
      <c r="X389" s="370"/>
      <c r="Y389" s="370"/>
      <c r="Z389" s="370"/>
      <c r="AB389" s="370"/>
      <c r="AC389" s="370"/>
    </row>
    <row r="390" hidden="1">
      <c r="A390" s="280"/>
      <c r="B390" s="280"/>
      <c r="C390" s="617"/>
      <c r="D390" s="1166"/>
      <c r="E390" s="1166"/>
      <c r="F390" s="1166"/>
      <c r="G390" s="1166"/>
      <c r="H390" s="1166"/>
      <c r="I390" s="1167"/>
      <c r="J390" s="1166"/>
      <c r="K390" s="1167"/>
      <c r="L390" s="1166"/>
      <c r="M390" s="1166"/>
      <c r="N390" s="1166"/>
      <c r="O390" s="280"/>
      <c r="P390" s="1167"/>
      <c r="R390" s="587"/>
      <c r="S390" s="587"/>
      <c r="X390" s="370"/>
      <c r="Y390" s="370"/>
      <c r="Z390" s="370"/>
      <c r="AB390" s="370"/>
      <c r="AC390" s="370"/>
    </row>
    <row r="391" hidden="1">
      <c r="A391" s="280"/>
      <c r="B391" s="280"/>
      <c r="C391" s="617"/>
      <c r="D391" s="1166"/>
      <c r="E391" s="1166"/>
      <c r="F391" s="1166"/>
      <c r="G391" s="1166"/>
      <c r="H391" s="1166"/>
      <c r="I391" s="1167"/>
      <c r="J391" s="1166"/>
      <c r="K391" s="1167"/>
      <c r="L391" s="1166"/>
      <c r="M391" s="1166"/>
      <c r="N391" s="1166"/>
      <c r="O391" s="280"/>
      <c r="P391" s="1167"/>
      <c r="R391" s="587"/>
      <c r="S391" s="587"/>
      <c r="X391" s="370"/>
      <c r="Y391" s="370"/>
      <c r="Z391" s="370"/>
      <c r="AB391" s="370"/>
      <c r="AC391" s="370"/>
    </row>
    <row r="392" hidden="1">
      <c r="A392" s="280"/>
      <c r="B392" s="280"/>
      <c r="C392" s="617"/>
      <c r="D392" s="1166"/>
      <c r="E392" s="1166"/>
      <c r="F392" s="1166"/>
      <c r="G392" s="1166"/>
      <c r="H392" s="1166"/>
      <c r="I392" s="1167"/>
      <c r="J392" s="1166"/>
      <c r="K392" s="1167"/>
      <c r="L392" s="1166"/>
      <c r="M392" s="1166"/>
      <c r="N392" s="1166"/>
      <c r="O392" s="280"/>
      <c r="P392" s="1167"/>
      <c r="R392" s="587"/>
      <c r="S392" s="587"/>
      <c r="X392" s="370"/>
      <c r="Y392" s="370"/>
      <c r="Z392" s="370"/>
      <c r="AB392" s="370"/>
      <c r="AC392" s="370"/>
    </row>
    <row r="393" hidden="1">
      <c r="A393" s="280"/>
      <c r="B393" s="280"/>
      <c r="C393" s="617"/>
      <c r="D393" s="1166"/>
      <c r="E393" s="1166"/>
      <c r="F393" s="1166"/>
      <c r="G393" s="1166"/>
      <c r="H393" s="1166"/>
      <c r="I393" s="1167"/>
      <c r="J393" s="1166"/>
      <c r="K393" s="1167"/>
      <c r="L393" s="1166"/>
      <c r="M393" s="1166"/>
      <c r="N393" s="1166"/>
      <c r="O393" s="280"/>
      <c r="P393" s="1167"/>
      <c r="R393" s="587"/>
      <c r="S393" s="587"/>
      <c r="X393" s="370"/>
      <c r="Y393" s="370"/>
      <c r="Z393" s="370"/>
      <c r="AB393" s="370"/>
      <c r="AC393" s="370"/>
    </row>
    <row r="394" hidden="1">
      <c r="A394" s="280"/>
      <c r="B394" s="280"/>
      <c r="C394" s="617"/>
      <c r="D394" s="1166"/>
      <c r="E394" s="1166"/>
      <c r="F394" s="1166"/>
      <c r="G394" s="1166"/>
      <c r="H394" s="1166"/>
      <c r="I394" s="1167"/>
      <c r="J394" s="1166"/>
      <c r="K394" s="1167"/>
      <c r="L394" s="1166"/>
      <c r="M394" s="1166"/>
      <c r="N394" s="1166"/>
      <c r="O394" s="280"/>
      <c r="P394" s="1167"/>
      <c r="R394" s="587"/>
      <c r="S394" s="587"/>
      <c r="X394" s="370"/>
      <c r="Y394" s="370"/>
      <c r="Z394" s="370"/>
      <c r="AB394" s="370"/>
      <c r="AC394" s="370"/>
    </row>
    <row r="395" hidden="1">
      <c r="A395" s="280"/>
      <c r="B395" s="280"/>
      <c r="C395" s="617"/>
      <c r="D395" s="1166"/>
      <c r="E395" s="1166"/>
      <c r="F395" s="1166"/>
      <c r="G395" s="1166"/>
      <c r="H395" s="1166"/>
      <c r="I395" s="1167"/>
      <c r="J395" s="1166"/>
      <c r="K395" s="1167"/>
      <c r="L395" s="1166"/>
      <c r="M395" s="1166"/>
      <c r="N395" s="1166"/>
      <c r="O395" s="280"/>
      <c r="P395" s="1167"/>
      <c r="R395" s="587"/>
      <c r="S395" s="587"/>
      <c r="X395" s="370"/>
      <c r="Y395" s="370"/>
      <c r="Z395" s="370"/>
      <c r="AB395" s="370"/>
      <c r="AC395" s="370"/>
    </row>
    <row r="396" hidden="1">
      <c r="A396" s="280"/>
      <c r="B396" s="280"/>
      <c r="C396" s="617"/>
      <c r="D396" s="1166"/>
      <c r="E396" s="1166"/>
      <c r="F396" s="1166"/>
      <c r="G396" s="1166"/>
      <c r="H396" s="1166"/>
      <c r="I396" s="1167"/>
      <c r="J396" s="1166"/>
      <c r="K396" s="1167"/>
      <c r="L396" s="1166"/>
      <c r="M396" s="1166"/>
      <c r="N396" s="1166"/>
      <c r="O396" s="280"/>
      <c r="P396" s="1167"/>
      <c r="R396" s="587"/>
      <c r="S396" s="587"/>
      <c r="X396" s="370"/>
      <c r="Y396" s="370"/>
      <c r="Z396" s="370"/>
      <c r="AB396" s="370"/>
      <c r="AC396" s="370"/>
    </row>
    <row r="397" hidden="1">
      <c r="A397" s="280"/>
      <c r="B397" s="280"/>
      <c r="C397" s="617"/>
      <c r="D397" s="1166"/>
      <c r="E397" s="1166"/>
      <c r="F397" s="1166"/>
      <c r="G397" s="1166"/>
      <c r="H397" s="1166"/>
      <c r="I397" s="1167"/>
      <c r="J397" s="1166"/>
      <c r="K397" s="1167"/>
      <c r="L397" s="1166"/>
      <c r="M397" s="1166"/>
      <c r="N397" s="1166"/>
      <c r="O397" s="280"/>
      <c r="P397" s="1167"/>
      <c r="R397" s="587"/>
      <c r="S397" s="587"/>
      <c r="X397" s="370"/>
      <c r="Y397" s="370"/>
      <c r="Z397" s="370"/>
      <c r="AB397" s="370"/>
      <c r="AC397" s="370"/>
    </row>
    <row r="398" hidden="1">
      <c r="A398" s="280"/>
      <c r="B398" s="280"/>
      <c r="C398" s="617"/>
      <c r="D398" s="1166"/>
      <c r="E398" s="1166"/>
      <c r="F398" s="1166"/>
      <c r="G398" s="1166"/>
      <c r="H398" s="1166"/>
      <c r="I398" s="1167"/>
      <c r="J398" s="1166"/>
      <c r="K398" s="1167"/>
      <c r="L398" s="1166"/>
      <c r="M398" s="1166"/>
      <c r="N398" s="1166"/>
      <c r="O398" s="280"/>
      <c r="P398" s="1167"/>
      <c r="R398" s="587"/>
      <c r="S398" s="587"/>
      <c r="X398" s="370"/>
      <c r="Y398" s="370"/>
      <c r="Z398" s="370"/>
      <c r="AB398" s="370"/>
      <c r="AC398" s="370"/>
    </row>
    <row r="399" hidden="1">
      <c r="A399" s="280"/>
      <c r="B399" s="280"/>
      <c r="C399" s="617"/>
      <c r="D399" s="1166"/>
      <c r="E399" s="1166"/>
      <c r="F399" s="1166"/>
      <c r="G399" s="1166"/>
      <c r="H399" s="1166"/>
      <c r="I399" s="1167"/>
      <c r="J399" s="1166"/>
      <c r="K399" s="1167"/>
      <c r="L399" s="1166"/>
      <c r="M399" s="1166"/>
      <c r="N399" s="1166"/>
      <c r="O399" s="280"/>
      <c r="P399" s="1167"/>
      <c r="R399" s="587"/>
      <c r="S399" s="587"/>
      <c r="X399" s="370"/>
      <c r="Y399" s="370"/>
      <c r="Z399" s="370"/>
      <c r="AB399" s="370"/>
      <c r="AC399" s="370"/>
    </row>
    <row r="400" hidden="1">
      <c r="A400" s="280"/>
      <c r="B400" s="280"/>
      <c r="C400" s="617"/>
      <c r="D400" s="1166"/>
      <c r="E400" s="1166"/>
      <c r="F400" s="1166"/>
      <c r="G400" s="1166"/>
      <c r="H400" s="1166"/>
      <c r="I400" s="1167"/>
      <c r="J400" s="1166"/>
      <c r="K400" s="1167"/>
      <c r="L400" s="1166"/>
      <c r="M400" s="1166"/>
      <c r="N400" s="1166"/>
      <c r="O400" s="280"/>
      <c r="P400" s="1167"/>
      <c r="R400" s="587"/>
      <c r="S400" s="587"/>
      <c r="X400" s="370"/>
      <c r="Y400" s="370"/>
      <c r="Z400" s="370"/>
      <c r="AB400" s="370"/>
      <c r="AC400" s="370"/>
    </row>
    <row r="401" hidden="1">
      <c r="A401" s="280"/>
      <c r="B401" s="280"/>
      <c r="C401" s="617"/>
      <c r="D401" s="1166"/>
      <c r="E401" s="1166"/>
      <c r="F401" s="1166"/>
      <c r="G401" s="1166"/>
      <c r="H401" s="1166"/>
      <c r="I401" s="1167"/>
      <c r="J401" s="1166"/>
      <c r="K401" s="1167"/>
      <c r="L401" s="1166"/>
      <c r="M401" s="1166"/>
      <c r="N401" s="1166"/>
      <c r="O401" s="280"/>
      <c r="P401" s="1167"/>
      <c r="R401" s="587"/>
      <c r="S401" s="587"/>
      <c r="X401" s="370"/>
      <c r="Y401" s="370"/>
      <c r="Z401" s="370"/>
      <c r="AB401" s="370"/>
      <c r="AC401" s="370"/>
    </row>
    <row r="402" hidden="1">
      <c r="A402" s="280"/>
      <c r="B402" s="280"/>
      <c r="C402" s="617"/>
      <c r="D402" s="1166"/>
      <c r="E402" s="1166"/>
      <c r="F402" s="1166"/>
      <c r="G402" s="1166"/>
      <c r="H402" s="1166"/>
      <c r="I402" s="1167"/>
      <c r="J402" s="1166"/>
      <c r="K402" s="1167"/>
      <c r="L402" s="1166"/>
      <c r="M402" s="1166"/>
      <c r="N402" s="1166"/>
      <c r="O402" s="280"/>
      <c r="P402" s="1167"/>
      <c r="R402" s="587"/>
      <c r="S402" s="587"/>
      <c r="X402" s="370"/>
      <c r="Y402" s="370"/>
      <c r="Z402" s="370"/>
      <c r="AB402" s="370"/>
      <c r="AC402" s="370"/>
    </row>
    <row r="403" hidden="1">
      <c r="A403" s="280"/>
      <c r="B403" s="280"/>
      <c r="C403" s="617"/>
      <c r="D403" s="1166"/>
      <c r="E403" s="1166"/>
      <c r="F403" s="1166"/>
      <c r="G403" s="1166"/>
      <c r="H403" s="1166"/>
      <c r="I403" s="1167"/>
      <c r="J403" s="1166"/>
      <c r="K403" s="1167"/>
      <c r="L403" s="1166"/>
      <c r="M403" s="1166"/>
      <c r="N403" s="1166"/>
      <c r="O403" s="280"/>
      <c r="P403" s="1167"/>
      <c r="R403" s="587"/>
      <c r="S403" s="587"/>
      <c r="X403" s="370"/>
      <c r="Y403" s="370"/>
      <c r="Z403" s="370"/>
      <c r="AB403" s="370"/>
      <c r="AC403" s="370"/>
    </row>
    <row r="404" hidden="1">
      <c r="A404" s="280"/>
      <c r="B404" s="280"/>
      <c r="C404" s="617"/>
      <c r="D404" s="1166"/>
      <c r="E404" s="1166"/>
      <c r="F404" s="1166"/>
      <c r="G404" s="1166"/>
      <c r="H404" s="1166"/>
      <c r="I404" s="1167"/>
      <c r="J404" s="1166"/>
      <c r="K404" s="1167"/>
      <c r="L404" s="1166"/>
      <c r="M404" s="1166"/>
      <c r="N404" s="1166"/>
      <c r="O404" s="280"/>
      <c r="P404" s="1167"/>
      <c r="R404" s="587"/>
      <c r="S404" s="587"/>
      <c r="X404" s="370"/>
      <c r="Y404" s="370"/>
      <c r="Z404" s="370"/>
      <c r="AB404" s="370"/>
      <c r="AC404" s="370"/>
    </row>
    <row r="405" hidden="1">
      <c r="A405" s="280"/>
      <c r="B405" s="280"/>
      <c r="C405" s="617"/>
      <c r="D405" s="1166"/>
      <c r="E405" s="1166"/>
      <c r="F405" s="1166"/>
      <c r="G405" s="1166"/>
      <c r="H405" s="1166"/>
      <c r="I405" s="1167"/>
      <c r="J405" s="1166"/>
      <c r="K405" s="1167"/>
      <c r="L405" s="1166"/>
      <c r="M405" s="1166"/>
      <c r="N405" s="1166"/>
      <c r="O405" s="280"/>
      <c r="P405" s="1167"/>
      <c r="R405" s="587"/>
      <c r="S405" s="587"/>
      <c r="X405" s="370"/>
      <c r="Y405" s="370"/>
      <c r="Z405" s="370"/>
      <c r="AB405" s="370"/>
      <c r="AC405" s="370"/>
    </row>
    <row r="406" hidden="1">
      <c r="A406" s="280"/>
      <c r="B406" s="280"/>
      <c r="C406" s="617"/>
      <c r="D406" s="1166"/>
      <c r="E406" s="1166"/>
      <c r="F406" s="1166"/>
      <c r="G406" s="1166"/>
      <c r="H406" s="1166"/>
      <c r="I406" s="1167"/>
      <c r="J406" s="1166"/>
      <c r="K406" s="1167"/>
      <c r="L406" s="1166"/>
      <c r="M406" s="1166"/>
      <c r="N406" s="1166"/>
      <c r="O406" s="280"/>
      <c r="P406" s="1167"/>
      <c r="R406" s="587"/>
      <c r="S406" s="587"/>
      <c r="X406" s="370"/>
      <c r="Y406" s="370"/>
      <c r="Z406" s="370"/>
      <c r="AB406" s="370"/>
      <c r="AC406" s="370"/>
    </row>
    <row r="407" hidden="1">
      <c r="A407" s="280"/>
      <c r="B407" s="280"/>
      <c r="C407" s="617"/>
      <c r="D407" s="1166"/>
      <c r="E407" s="1166"/>
      <c r="F407" s="1166"/>
      <c r="G407" s="1166"/>
      <c r="H407" s="1166"/>
      <c r="I407" s="1167"/>
      <c r="J407" s="1166"/>
      <c r="K407" s="1167"/>
      <c r="L407" s="1166"/>
      <c r="M407" s="1166"/>
      <c r="N407" s="1166"/>
      <c r="O407" s="280"/>
      <c r="P407" s="1167"/>
      <c r="R407" s="587"/>
      <c r="S407" s="587"/>
      <c r="X407" s="370"/>
      <c r="Y407" s="370"/>
      <c r="Z407" s="370"/>
      <c r="AB407" s="370"/>
      <c r="AC407" s="370"/>
    </row>
    <row r="408" hidden="1">
      <c r="A408" s="280"/>
      <c r="B408" s="280"/>
      <c r="C408" s="617"/>
      <c r="D408" s="1166"/>
      <c r="E408" s="1166"/>
      <c r="F408" s="1166"/>
      <c r="G408" s="1166"/>
      <c r="H408" s="1166"/>
      <c r="I408" s="1167"/>
      <c r="J408" s="1166"/>
      <c r="K408" s="1167"/>
      <c r="L408" s="1166"/>
      <c r="M408" s="1166"/>
      <c r="N408" s="1166"/>
      <c r="O408" s="280"/>
      <c r="P408" s="1167"/>
      <c r="R408" s="587"/>
      <c r="S408" s="587"/>
      <c r="X408" s="370"/>
      <c r="Y408" s="370"/>
      <c r="Z408" s="370"/>
      <c r="AB408" s="370"/>
      <c r="AC408" s="370"/>
    </row>
    <row r="409" hidden="1">
      <c r="A409" s="280"/>
      <c r="B409" s="280"/>
      <c r="C409" s="617"/>
      <c r="D409" s="1166"/>
      <c r="E409" s="1166"/>
      <c r="F409" s="1166"/>
      <c r="G409" s="1166"/>
      <c r="H409" s="1166"/>
      <c r="I409" s="1167"/>
      <c r="J409" s="1166"/>
      <c r="K409" s="1167"/>
      <c r="L409" s="1166"/>
      <c r="M409" s="1166"/>
      <c r="N409" s="1166"/>
      <c r="O409" s="280"/>
      <c r="P409" s="1167"/>
      <c r="R409" s="587"/>
      <c r="S409" s="587"/>
      <c r="X409" s="370"/>
      <c r="Y409" s="370"/>
      <c r="Z409" s="370"/>
      <c r="AB409" s="370"/>
      <c r="AC409" s="370"/>
    </row>
    <row r="410" hidden="1">
      <c r="A410" s="280"/>
      <c r="B410" s="280"/>
      <c r="C410" s="617"/>
      <c r="D410" s="1166"/>
      <c r="E410" s="1166"/>
      <c r="F410" s="1166"/>
      <c r="G410" s="1166"/>
      <c r="H410" s="1166"/>
      <c r="I410" s="1167"/>
      <c r="J410" s="1166"/>
      <c r="K410" s="1167"/>
      <c r="L410" s="1166"/>
      <c r="M410" s="1166"/>
      <c r="N410" s="1166"/>
      <c r="O410" s="280"/>
      <c r="P410" s="1167"/>
      <c r="R410" s="587"/>
      <c r="S410" s="587"/>
      <c r="X410" s="370"/>
      <c r="Y410" s="370"/>
      <c r="Z410" s="370"/>
      <c r="AB410" s="370"/>
      <c r="AC410" s="370"/>
    </row>
    <row r="411" hidden="1">
      <c r="A411" s="280"/>
      <c r="B411" s="280"/>
      <c r="C411" s="617"/>
      <c r="D411" s="1166"/>
      <c r="E411" s="1166"/>
      <c r="F411" s="1166"/>
      <c r="G411" s="1166"/>
      <c r="H411" s="1166"/>
      <c r="I411" s="1167"/>
      <c r="J411" s="1166"/>
      <c r="K411" s="1167"/>
      <c r="L411" s="1166"/>
      <c r="M411" s="1166"/>
      <c r="N411" s="1166"/>
      <c r="O411" s="280"/>
      <c r="P411" s="1167"/>
      <c r="R411" s="587"/>
      <c r="S411" s="587"/>
      <c r="X411" s="370"/>
      <c r="Y411" s="370"/>
      <c r="Z411" s="370"/>
      <c r="AB411" s="370"/>
      <c r="AC411" s="370"/>
    </row>
    <row r="412" hidden="1">
      <c r="A412" s="280"/>
      <c r="B412" s="280"/>
      <c r="C412" s="617"/>
      <c r="D412" s="1166"/>
      <c r="E412" s="1166"/>
      <c r="F412" s="1166"/>
      <c r="G412" s="1166"/>
      <c r="H412" s="1166"/>
      <c r="I412" s="1167"/>
      <c r="J412" s="1166"/>
      <c r="K412" s="1167"/>
      <c r="L412" s="1166"/>
      <c r="M412" s="1166"/>
      <c r="N412" s="1166"/>
      <c r="O412" s="280"/>
      <c r="P412" s="1167"/>
      <c r="R412" s="587"/>
      <c r="S412" s="587"/>
      <c r="X412" s="370"/>
      <c r="Y412" s="370"/>
      <c r="Z412" s="370"/>
      <c r="AB412" s="370"/>
      <c r="AC412" s="370"/>
    </row>
    <row r="413" hidden="1">
      <c r="A413" s="280"/>
      <c r="B413" s="280"/>
      <c r="C413" s="617"/>
      <c r="D413" s="1166"/>
      <c r="E413" s="1166"/>
      <c r="F413" s="1166"/>
      <c r="G413" s="1166"/>
      <c r="H413" s="1166"/>
      <c r="I413" s="1167"/>
      <c r="J413" s="1166"/>
      <c r="K413" s="1167"/>
      <c r="L413" s="1166"/>
      <c r="M413" s="1166"/>
      <c r="N413" s="1166"/>
      <c r="O413" s="280"/>
      <c r="P413" s="1167"/>
      <c r="R413" s="587"/>
      <c r="S413" s="587"/>
      <c r="X413" s="370"/>
      <c r="Y413" s="370"/>
      <c r="Z413" s="370"/>
      <c r="AB413" s="370"/>
      <c r="AC413" s="370"/>
    </row>
    <row r="414" hidden="1">
      <c r="A414" s="280"/>
      <c r="B414" s="280"/>
      <c r="C414" s="617"/>
      <c r="D414" s="1166"/>
      <c r="E414" s="1166"/>
      <c r="F414" s="1166"/>
      <c r="G414" s="1166"/>
      <c r="H414" s="1166"/>
      <c r="I414" s="1167"/>
      <c r="J414" s="1166"/>
      <c r="K414" s="1167"/>
      <c r="L414" s="1166"/>
      <c r="M414" s="1166"/>
      <c r="N414" s="1166"/>
      <c r="O414" s="280"/>
      <c r="P414" s="1167"/>
      <c r="R414" s="587"/>
      <c r="S414" s="587"/>
      <c r="X414" s="370"/>
      <c r="Y414" s="370"/>
      <c r="Z414" s="370"/>
      <c r="AB414" s="370"/>
      <c r="AC414" s="370"/>
    </row>
    <row r="415" hidden="1">
      <c r="A415" s="280"/>
      <c r="B415" s="280"/>
      <c r="C415" s="617"/>
      <c r="D415" s="1166"/>
      <c r="E415" s="1166"/>
      <c r="F415" s="1166"/>
      <c r="G415" s="1166"/>
      <c r="H415" s="1166"/>
      <c r="I415" s="1167"/>
      <c r="J415" s="1166"/>
      <c r="K415" s="1167"/>
      <c r="L415" s="1166"/>
      <c r="M415" s="1166"/>
      <c r="N415" s="1166"/>
      <c r="O415" s="280"/>
      <c r="P415" s="1167"/>
      <c r="R415" s="587"/>
      <c r="S415" s="587"/>
      <c r="X415" s="370"/>
      <c r="Y415" s="370"/>
      <c r="Z415" s="370"/>
      <c r="AB415" s="370"/>
      <c r="AC415" s="370"/>
    </row>
    <row r="416" hidden="1">
      <c r="A416" s="280"/>
      <c r="B416" s="280"/>
      <c r="C416" s="617"/>
      <c r="D416" s="1166"/>
      <c r="E416" s="1166"/>
      <c r="F416" s="1166"/>
      <c r="G416" s="1166"/>
      <c r="H416" s="1166"/>
      <c r="I416" s="1167"/>
      <c r="J416" s="1166"/>
      <c r="K416" s="1167"/>
      <c r="L416" s="1166"/>
      <c r="M416" s="1166"/>
      <c r="N416" s="1166"/>
      <c r="O416" s="280"/>
      <c r="P416" s="1167"/>
      <c r="R416" s="587"/>
      <c r="S416" s="587"/>
      <c r="X416" s="370"/>
      <c r="Y416" s="370"/>
      <c r="Z416" s="370"/>
      <c r="AB416" s="370"/>
      <c r="AC416" s="370"/>
    </row>
    <row r="417" hidden="1">
      <c r="A417" s="280"/>
      <c r="B417" s="280"/>
      <c r="C417" s="617"/>
      <c r="D417" s="1166"/>
      <c r="E417" s="1166"/>
      <c r="F417" s="1166"/>
      <c r="G417" s="1166"/>
      <c r="H417" s="1166"/>
      <c r="I417" s="1167"/>
      <c r="J417" s="1166"/>
      <c r="K417" s="1167"/>
      <c r="L417" s="1166"/>
      <c r="M417" s="1166"/>
      <c r="N417" s="1166"/>
      <c r="O417" s="280"/>
      <c r="P417" s="1167"/>
      <c r="R417" s="587"/>
      <c r="S417" s="587"/>
      <c r="X417" s="370"/>
      <c r="Y417" s="370"/>
      <c r="Z417" s="370"/>
      <c r="AB417" s="370"/>
      <c r="AC417" s="370"/>
    </row>
    <row r="418" hidden="1">
      <c r="A418" s="280"/>
      <c r="B418" s="280"/>
      <c r="C418" s="617"/>
      <c r="D418" s="1166"/>
      <c r="E418" s="1166"/>
      <c r="F418" s="1166"/>
      <c r="G418" s="1166"/>
      <c r="H418" s="1166"/>
      <c r="I418" s="1167"/>
      <c r="J418" s="1166"/>
      <c r="K418" s="1167"/>
      <c r="L418" s="1166"/>
      <c r="M418" s="1166"/>
      <c r="N418" s="1166"/>
      <c r="O418" s="280"/>
      <c r="P418" s="1167"/>
      <c r="R418" s="587"/>
      <c r="S418" s="587"/>
      <c r="X418" s="370"/>
      <c r="Y418" s="370"/>
      <c r="Z418" s="370"/>
      <c r="AB418" s="370"/>
      <c r="AC418" s="370"/>
    </row>
    <row r="419" hidden="1">
      <c r="A419" s="280"/>
      <c r="B419" s="280"/>
      <c r="C419" s="617"/>
      <c r="D419" s="1166"/>
      <c r="E419" s="1166"/>
      <c r="F419" s="1166"/>
      <c r="G419" s="1166"/>
      <c r="H419" s="1166"/>
      <c r="I419" s="1167"/>
      <c r="J419" s="1166"/>
      <c r="K419" s="1167"/>
      <c r="L419" s="1166"/>
      <c r="M419" s="1166"/>
      <c r="N419" s="1166"/>
      <c r="O419" s="280"/>
      <c r="P419" s="1167"/>
      <c r="R419" s="587"/>
      <c r="S419" s="587"/>
      <c r="X419" s="370"/>
      <c r="Y419" s="370"/>
      <c r="Z419" s="370"/>
      <c r="AB419" s="370"/>
      <c r="AC419" s="370"/>
    </row>
    <row r="420" hidden="1">
      <c r="A420" s="280"/>
      <c r="B420" s="280"/>
      <c r="C420" s="617"/>
      <c r="D420" s="1166"/>
      <c r="E420" s="1166"/>
      <c r="F420" s="1166"/>
      <c r="G420" s="1166"/>
      <c r="H420" s="1166"/>
      <c r="I420" s="1167"/>
      <c r="J420" s="1166"/>
      <c r="K420" s="1167"/>
      <c r="L420" s="1166"/>
      <c r="M420" s="1166"/>
      <c r="N420" s="1166"/>
      <c r="O420" s="280"/>
      <c r="P420" s="1167"/>
      <c r="R420" s="587"/>
      <c r="S420" s="587"/>
      <c r="X420" s="370"/>
      <c r="Y420" s="370"/>
      <c r="Z420" s="370"/>
      <c r="AB420" s="370"/>
      <c r="AC420" s="370"/>
    </row>
    <row r="421" hidden="1">
      <c r="A421" s="280"/>
      <c r="B421" s="280"/>
      <c r="C421" s="617"/>
      <c r="D421" s="1166"/>
      <c r="E421" s="1166"/>
      <c r="F421" s="1166"/>
      <c r="G421" s="1166"/>
      <c r="H421" s="1166"/>
      <c r="I421" s="1167"/>
      <c r="J421" s="1166"/>
      <c r="K421" s="1167"/>
      <c r="L421" s="1166"/>
      <c r="M421" s="1166"/>
      <c r="N421" s="1166"/>
      <c r="O421" s="280"/>
      <c r="P421" s="1167"/>
      <c r="R421" s="587"/>
      <c r="S421" s="587"/>
      <c r="X421" s="370"/>
      <c r="Y421" s="370"/>
      <c r="Z421" s="370"/>
      <c r="AB421" s="370"/>
      <c r="AC421" s="370"/>
    </row>
    <row r="422" hidden="1">
      <c r="A422" s="280"/>
      <c r="B422" s="280"/>
      <c r="C422" s="617"/>
      <c r="D422" s="1166"/>
      <c r="E422" s="1166"/>
      <c r="F422" s="1166"/>
      <c r="G422" s="1166"/>
      <c r="H422" s="1166"/>
      <c r="I422" s="1167"/>
      <c r="J422" s="1166"/>
      <c r="K422" s="1167"/>
      <c r="L422" s="1166"/>
      <c r="M422" s="1166"/>
      <c r="N422" s="1166"/>
      <c r="O422" s="280"/>
      <c r="P422" s="1167"/>
      <c r="R422" s="587"/>
      <c r="S422" s="587"/>
      <c r="X422" s="370"/>
      <c r="Y422" s="370"/>
      <c r="Z422" s="370"/>
      <c r="AB422" s="370"/>
      <c r="AC422" s="370"/>
    </row>
    <row r="423" hidden="1">
      <c r="A423" s="280"/>
      <c r="B423" s="280"/>
      <c r="C423" s="617"/>
      <c r="D423" s="1166"/>
      <c r="E423" s="1166"/>
      <c r="F423" s="1166"/>
      <c r="G423" s="1166"/>
      <c r="H423" s="1166"/>
      <c r="I423" s="1167"/>
      <c r="J423" s="1166"/>
      <c r="K423" s="1167"/>
      <c r="L423" s="1166"/>
      <c r="M423" s="1166"/>
      <c r="N423" s="1166"/>
      <c r="O423" s="280"/>
      <c r="P423" s="1167"/>
      <c r="R423" s="587"/>
      <c r="S423" s="587"/>
      <c r="X423" s="370"/>
      <c r="Y423" s="370"/>
      <c r="Z423" s="370"/>
      <c r="AB423" s="370"/>
      <c r="AC423" s="370"/>
    </row>
    <row r="424" hidden="1">
      <c r="A424" s="280"/>
      <c r="B424" s="280"/>
      <c r="C424" s="617"/>
      <c r="D424" s="1166"/>
      <c r="E424" s="1166"/>
      <c r="F424" s="1166"/>
      <c r="G424" s="1166"/>
      <c r="H424" s="1166"/>
      <c r="I424" s="1167"/>
      <c r="J424" s="1166"/>
      <c r="K424" s="1167"/>
      <c r="L424" s="1166"/>
      <c r="M424" s="1166"/>
      <c r="N424" s="1166"/>
      <c r="O424" s="280"/>
      <c r="P424" s="1167"/>
      <c r="R424" s="587"/>
      <c r="S424" s="587"/>
      <c r="X424" s="370"/>
      <c r="Y424" s="370"/>
      <c r="Z424" s="370"/>
      <c r="AB424" s="370"/>
      <c r="AC424" s="370"/>
    </row>
    <row r="425" hidden="1">
      <c r="A425" s="280"/>
      <c r="B425" s="280"/>
      <c r="C425" s="617"/>
      <c r="D425" s="1166"/>
      <c r="E425" s="1166"/>
      <c r="F425" s="1166"/>
      <c r="G425" s="1166"/>
      <c r="H425" s="1166"/>
      <c r="I425" s="1167"/>
      <c r="J425" s="1166"/>
      <c r="K425" s="1167"/>
      <c r="L425" s="1166"/>
      <c r="M425" s="1166"/>
      <c r="N425" s="1166"/>
      <c r="O425" s="280"/>
      <c r="P425" s="1167"/>
      <c r="R425" s="587"/>
      <c r="S425" s="587"/>
      <c r="X425" s="370"/>
      <c r="Y425" s="370"/>
      <c r="Z425" s="370"/>
      <c r="AB425" s="370"/>
      <c r="AC425" s="370"/>
    </row>
    <row r="426" hidden="1">
      <c r="A426" s="280"/>
      <c r="B426" s="280"/>
      <c r="C426" s="617"/>
      <c r="D426" s="1166"/>
      <c r="E426" s="1166"/>
      <c r="F426" s="1166"/>
      <c r="G426" s="1166"/>
      <c r="H426" s="1166"/>
      <c r="I426" s="1167"/>
      <c r="J426" s="1166"/>
      <c r="K426" s="1167"/>
      <c r="L426" s="1166"/>
      <c r="M426" s="1166"/>
      <c r="N426" s="1166"/>
      <c r="O426" s="280"/>
      <c r="P426" s="1167"/>
      <c r="R426" s="587"/>
      <c r="S426" s="587"/>
      <c r="X426" s="370"/>
      <c r="Y426" s="370"/>
      <c r="Z426" s="370"/>
      <c r="AB426" s="370"/>
      <c r="AC426" s="370"/>
    </row>
    <row r="427" hidden="1">
      <c r="A427" s="280"/>
      <c r="B427" s="280"/>
      <c r="C427" s="617"/>
      <c r="D427" s="1166"/>
      <c r="E427" s="1166"/>
      <c r="F427" s="1166"/>
      <c r="G427" s="1166"/>
      <c r="H427" s="1166"/>
      <c r="I427" s="1167"/>
      <c r="J427" s="1166"/>
      <c r="K427" s="1167"/>
      <c r="L427" s="1166"/>
      <c r="M427" s="1166"/>
      <c r="N427" s="1166"/>
      <c r="O427" s="280"/>
      <c r="P427" s="1167"/>
      <c r="R427" s="587"/>
      <c r="S427" s="587"/>
      <c r="X427" s="370"/>
      <c r="Y427" s="370"/>
      <c r="Z427" s="370"/>
      <c r="AB427" s="370"/>
      <c r="AC427" s="370"/>
    </row>
    <row r="428" hidden="1">
      <c r="A428" s="280"/>
      <c r="B428" s="280"/>
      <c r="C428" s="617"/>
      <c r="D428" s="1166"/>
      <c r="E428" s="1166"/>
      <c r="F428" s="1166"/>
      <c r="G428" s="1166"/>
      <c r="H428" s="1166"/>
      <c r="I428" s="1167"/>
      <c r="J428" s="1166"/>
      <c r="K428" s="1167"/>
      <c r="L428" s="1166"/>
      <c r="M428" s="1166"/>
      <c r="N428" s="1166"/>
      <c r="O428" s="280"/>
      <c r="P428" s="1167"/>
      <c r="R428" s="587"/>
      <c r="S428" s="587"/>
      <c r="X428" s="370"/>
      <c r="Y428" s="370"/>
      <c r="Z428" s="370"/>
      <c r="AB428" s="370"/>
      <c r="AC428" s="370"/>
    </row>
    <row r="429" hidden="1">
      <c r="A429" s="280"/>
      <c r="B429" s="280"/>
      <c r="C429" s="617"/>
      <c r="D429" s="1166"/>
      <c r="E429" s="1166"/>
      <c r="F429" s="1166"/>
      <c r="G429" s="1166"/>
      <c r="H429" s="1166"/>
      <c r="I429" s="1167"/>
      <c r="J429" s="1166"/>
      <c r="K429" s="1167"/>
      <c r="L429" s="1166"/>
      <c r="M429" s="1166"/>
      <c r="N429" s="1166"/>
      <c r="O429" s="280"/>
      <c r="P429" s="1167"/>
      <c r="R429" s="587"/>
      <c r="S429" s="587"/>
      <c r="X429" s="370"/>
      <c r="Y429" s="370"/>
      <c r="Z429" s="370"/>
      <c r="AB429" s="370"/>
      <c r="AC429" s="370"/>
    </row>
    <row r="430" hidden="1">
      <c r="A430" s="280"/>
      <c r="B430" s="280"/>
      <c r="C430" s="617"/>
      <c r="D430" s="1166"/>
      <c r="E430" s="1166"/>
      <c r="F430" s="1166"/>
      <c r="G430" s="1166"/>
      <c r="H430" s="1166"/>
      <c r="I430" s="1167"/>
      <c r="J430" s="1166"/>
      <c r="K430" s="1167"/>
      <c r="L430" s="1166"/>
      <c r="M430" s="1166"/>
      <c r="N430" s="1166"/>
      <c r="O430" s="280"/>
      <c r="P430" s="1167"/>
      <c r="R430" s="587"/>
      <c r="S430" s="587"/>
      <c r="X430" s="370"/>
      <c r="Y430" s="370"/>
      <c r="Z430" s="370"/>
      <c r="AB430" s="370"/>
      <c r="AC430" s="370"/>
    </row>
    <row r="431" hidden="1">
      <c r="A431" s="280"/>
      <c r="B431" s="280"/>
      <c r="C431" s="617"/>
      <c r="D431" s="1166"/>
      <c r="E431" s="1166"/>
      <c r="F431" s="1166"/>
      <c r="G431" s="1166"/>
      <c r="H431" s="1166"/>
      <c r="I431" s="1167"/>
      <c r="J431" s="1166"/>
      <c r="K431" s="1167"/>
      <c r="L431" s="1166"/>
      <c r="M431" s="1166"/>
      <c r="N431" s="1166"/>
      <c r="O431" s="280"/>
      <c r="P431" s="1167"/>
      <c r="R431" s="587"/>
      <c r="S431" s="587"/>
      <c r="X431" s="370"/>
      <c r="Y431" s="370"/>
      <c r="Z431" s="370"/>
      <c r="AB431" s="370"/>
      <c r="AC431" s="370"/>
    </row>
    <row r="432" hidden="1">
      <c r="A432" s="280"/>
      <c r="B432" s="280"/>
      <c r="C432" s="617"/>
      <c r="D432" s="1166"/>
      <c r="E432" s="1166"/>
      <c r="F432" s="1166"/>
      <c r="G432" s="1166"/>
      <c r="H432" s="1166"/>
      <c r="I432" s="1167"/>
      <c r="J432" s="1166"/>
      <c r="K432" s="1167"/>
      <c r="L432" s="1166"/>
      <c r="M432" s="1166"/>
      <c r="N432" s="1166"/>
      <c r="O432" s="280"/>
      <c r="P432" s="1167"/>
      <c r="R432" s="587"/>
      <c r="S432" s="587"/>
      <c r="X432" s="370"/>
      <c r="Y432" s="370"/>
      <c r="Z432" s="370"/>
      <c r="AB432" s="370"/>
      <c r="AC432" s="370"/>
    </row>
    <row r="433" hidden="1">
      <c r="A433" s="280"/>
      <c r="B433" s="280"/>
      <c r="C433" s="617"/>
      <c r="D433" s="1166"/>
      <c r="E433" s="1166"/>
      <c r="F433" s="1166"/>
      <c r="G433" s="1166"/>
      <c r="H433" s="1166"/>
      <c r="I433" s="1167"/>
      <c r="J433" s="1166"/>
      <c r="K433" s="1167"/>
      <c r="L433" s="1166"/>
      <c r="M433" s="1166"/>
      <c r="N433" s="1166"/>
      <c r="O433" s="280"/>
      <c r="P433" s="1167"/>
      <c r="R433" s="587"/>
      <c r="S433" s="587"/>
      <c r="X433" s="370"/>
      <c r="Y433" s="370"/>
      <c r="Z433" s="370"/>
      <c r="AB433" s="370"/>
      <c r="AC433" s="370"/>
    </row>
    <row r="434" hidden="1">
      <c r="A434" s="280"/>
      <c r="B434" s="280"/>
      <c r="C434" s="617"/>
      <c r="D434" s="1166"/>
      <c r="E434" s="1166"/>
      <c r="F434" s="1166"/>
      <c r="G434" s="1166"/>
      <c r="H434" s="1166"/>
      <c r="I434" s="1167"/>
      <c r="J434" s="1166"/>
      <c r="K434" s="1167"/>
      <c r="L434" s="1166"/>
      <c r="M434" s="1166"/>
      <c r="N434" s="1166"/>
      <c r="O434" s="280"/>
      <c r="P434" s="1167"/>
      <c r="R434" s="587"/>
      <c r="S434" s="587"/>
      <c r="X434" s="370"/>
      <c r="Y434" s="370"/>
      <c r="Z434" s="370"/>
      <c r="AB434" s="370"/>
      <c r="AC434" s="370"/>
    </row>
    <row r="435" hidden="1">
      <c r="A435" s="280"/>
      <c r="B435" s="280"/>
      <c r="C435" s="617"/>
      <c r="D435" s="1166"/>
      <c r="E435" s="1166"/>
      <c r="F435" s="1166"/>
      <c r="G435" s="1166"/>
      <c r="H435" s="1166"/>
      <c r="I435" s="1167"/>
      <c r="J435" s="1166"/>
      <c r="K435" s="1167"/>
      <c r="L435" s="1166"/>
      <c r="M435" s="1166"/>
      <c r="N435" s="1166"/>
      <c r="O435" s="280"/>
      <c r="P435" s="1167"/>
      <c r="R435" s="587"/>
      <c r="S435" s="587"/>
      <c r="X435" s="370"/>
      <c r="Y435" s="370"/>
      <c r="Z435" s="370"/>
      <c r="AB435" s="370"/>
      <c r="AC435" s="370"/>
    </row>
    <row r="436" hidden="1">
      <c r="A436" s="280"/>
      <c r="B436" s="280"/>
      <c r="C436" s="617"/>
      <c r="D436" s="1166"/>
      <c r="E436" s="1166"/>
      <c r="F436" s="1166"/>
      <c r="G436" s="1166"/>
      <c r="H436" s="1166"/>
      <c r="I436" s="1167"/>
      <c r="J436" s="1166"/>
      <c r="K436" s="1167"/>
      <c r="L436" s="1166"/>
      <c r="M436" s="1166"/>
      <c r="N436" s="1166"/>
      <c r="O436" s="280"/>
      <c r="P436" s="1167"/>
      <c r="R436" s="587"/>
      <c r="S436" s="587"/>
      <c r="X436" s="370"/>
      <c r="Y436" s="370"/>
      <c r="Z436" s="370"/>
      <c r="AB436" s="370"/>
      <c r="AC436" s="370"/>
    </row>
    <row r="437" hidden="1">
      <c r="A437" s="280"/>
      <c r="B437" s="280"/>
      <c r="C437" s="617"/>
      <c r="D437" s="1166"/>
      <c r="E437" s="1166"/>
      <c r="F437" s="1166"/>
      <c r="G437" s="1166"/>
      <c r="H437" s="1166"/>
      <c r="I437" s="1167"/>
      <c r="J437" s="1166"/>
      <c r="K437" s="1167"/>
      <c r="L437" s="1166"/>
      <c r="M437" s="1166"/>
      <c r="N437" s="1166"/>
      <c r="O437" s="280"/>
      <c r="P437" s="1167"/>
      <c r="R437" s="587"/>
      <c r="S437" s="587"/>
      <c r="X437" s="370"/>
      <c r="Y437" s="370"/>
      <c r="Z437" s="370"/>
      <c r="AB437" s="370"/>
      <c r="AC437" s="370"/>
    </row>
    <row r="438" hidden="1">
      <c r="A438" s="280"/>
      <c r="B438" s="280"/>
      <c r="C438" s="617"/>
      <c r="D438" s="1166"/>
      <c r="E438" s="1166"/>
      <c r="F438" s="1166"/>
      <c r="G438" s="1166"/>
      <c r="H438" s="1166"/>
      <c r="I438" s="1167"/>
      <c r="J438" s="1166"/>
      <c r="K438" s="1167"/>
      <c r="L438" s="1166"/>
      <c r="M438" s="1166"/>
      <c r="N438" s="1166"/>
      <c r="O438" s="280"/>
      <c r="P438" s="1167"/>
      <c r="R438" s="587"/>
      <c r="S438" s="587"/>
      <c r="X438" s="370"/>
      <c r="Y438" s="370"/>
      <c r="Z438" s="370"/>
      <c r="AB438" s="370"/>
      <c r="AC438" s="370"/>
    </row>
    <row r="439" hidden="1">
      <c r="A439" s="280"/>
      <c r="B439" s="280"/>
      <c r="C439" s="617"/>
      <c r="D439" s="1166"/>
      <c r="E439" s="1166"/>
      <c r="F439" s="1166"/>
      <c r="G439" s="1166"/>
      <c r="H439" s="1166"/>
      <c r="I439" s="1167"/>
      <c r="J439" s="1166"/>
      <c r="K439" s="1167"/>
      <c r="L439" s="1166"/>
      <c r="M439" s="1166"/>
      <c r="N439" s="1166"/>
      <c r="O439" s="280"/>
      <c r="P439" s="1167"/>
      <c r="R439" s="587"/>
      <c r="S439" s="587"/>
      <c r="X439" s="370"/>
      <c r="Y439" s="370"/>
      <c r="Z439" s="370"/>
      <c r="AB439" s="370"/>
      <c r="AC439" s="370"/>
    </row>
    <row r="440" hidden="1">
      <c r="A440" s="280"/>
      <c r="B440" s="280"/>
      <c r="C440" s="617"/>
      <c r="D440" s="1166"/>
      <c r="E440" s="1166"/>
      <c r="F440" s="1166"/>
      <c r="G440" s="1166"/>
      <c r="H440" s="1166"/>
      <c r="I440" s="1167"/>
      <c r="J440" s="1166"/>
      <c r="K440" s="1167"/>
      <c r="L440" s="1166"/>
      <c r="M440" s="1166"/>
      <c r="N440" s="1166"/>
      <c r="O440" s="280"/>
      <c r="P440" s="1167"/>
      <c r="R440" s="587"/>
      <c r="S440" s="587"/>
      <c r="X440" s="370"/>
      <c r="Y440" s="370"/>
      <c r="Z440" s="370"/>
      <c r="AB440" s="370"/>
      <c r="AC440" s="370"/>
    </row>
    <row r="441" hidden="1">
      <c r="A441" s="280"/>
      <c r="B441" s="280"/>
      <c r="C441" s="617"/>
      <c r="D441" s="1166"/>
      <c r="E441" s="1166"/>
      <c r="F441" s="1166"/>
      <c r="G441" s="1166"/>
      <c r="H441" s="1166"/>
      <c r="I441" s="1167"/>
      <c r="J441" s="1166"/>
      <c r="K441" s="1167"/>
      <c r="L441" s="1166"/>
      <c r="M441" s="1166"/>
      <c r="N441" s="1166"/>
      <c r="O441" s="280"/>
      <c r="P441" s="1167"/>
      <c r="R441" s="587"/>
      <c r="S441" s="587"/>
      <c r="X441" s="370"/>
      <c r="Y441" s="370"/>
      <c r="Z441" s="370"/>
      <c r="AB441" s="370"/>
      <c r="AC441" s="370"/>
    </row>
    <row r="442" hidden="1">
      <c r="A442" s="280"/>
      <c r="B442" s="280"/>
      <c r="C442" s="617"/>
      <c r="D442" s="1166"/>
      <c r="E442" s="1166"/>
      <c r="F442" s="1166"/>
      <c r="G442" s="1166"/>
      <c r="H442" s="1166"/>
      <c r="I442" s="1167"/>
      <c r="J442" s="1166"/>
      <c r="K442" s="1167"/>
      <c r="L442" s="1166"/>
      <c r="M442" s="1166"/>
      <c r="N442" s="1166"/>
      <c r="O442" s="280"/>
      <c r="P442" s="1167"/>
      <c r="R442" s="587"/>
      <c r="S442" s="587"/>
      <c r="X442" s="370"/>
      <c r="Y442" s="370"/>
      <c r="Z442" s="370"/>
      <c r="AB442" s="370"/>
      <c r="AC442" s="370"/>
    </row>
    <row r="443" hidden="1">
      <c r="A443" s="280"/>
      <c r="B443" s="280"/>
      <c r="C443" s="617"/>
      <c r="D443" s="1166"/>
      <c r="E443" s="1166"/>
      <c r="F443" s="1166"/>
      <c r="G443" s="1166"/>
      <c r="H443" s="1166"/>
      <c r="I443" s="1167"/>
      <c r="J443" s="1166"/>
      <c r="K443" s="1167"/>
      <c r="L443" s="1166"/>
      <c r="M443" s="1166"/>
      <c r="N443" s="1166"/>
      <c r="O443" s="280"/>
      <c r="P443" s="1167"/>
      <c r="R443" s="587"/>
      <c r="S443" s="587"/>
      <c r="X443" s="370"/>
      <c r="Y443" s="370"/>
      <c r="Z443" s="370"/>
      <c r="AB443" s="370"/>
      <c r="AC443" s="370"/>
    </row>
    <row r="444" hidden="1">
      <c r="A444" s="280"/>
      <c r="B444" s="280"/>
      <c r="C444" s="617"/>
      <c r="D444" s="1166"/>
      <c r="E444" s="1166"/>
      <c r="F444" s="1166"/>
      <c r="G444" s="1166"/>
      <c r="H444" s="1166"/>
      <c r="I444" s="1167"/>
      <c r="J444" s="1166"/>
      <c r="K444" s="1167"/>
      <c r="L444" s="1166"/>
      <c r="M444" s="1166"/>
      <c r="N444" s="1166"/>
      <c r="O444" s="280"/>
      <c r="P444" s="1167"/>
      <c r="R444" s="587"/>
      <c r="S444" s="587"/>
      <c r="X444" s="370"/>
      <c r="Y444" s="370"/>
      <c r="Z444" s="370"/>
      <c r="AB444" s="370"/>
      <c r="AC444" s="370"/>
    </row>
    <row r="445" hidden="1">
      <c r="A445" s="280"/>
      <c r="B445" s="280"/>
      <c r="C445" s="617"/>
      <c r="D445" s="1166"/>
      <c r="E445" s="1166"/>
      <c r="F445" s="1166"/>
      <c r="G445" s="1166"/>
      <c r="H445" s="1166"/>
      <c r="I445" s="1167"/>
      <c r="J445" s="1166"/>
      <c r="K445" s="1167"/>
      <c r="L445" s="1166"/>
      <c r="M445" s="1166"/>
      <c r="N445" s="1166"/>
      <c r="O445" s="280"/>
      <c r="P445" s="1167"/>
      <c r="R445" s="587"/>
      <c r="S445" s="587"/>
      <c r="X445" s="370"/>
      <c r="Y445" s="370"/>
      <c r="Z445" s="370"/>
      <c r="AB445" s="370"/>
      <c r="AC445" s="370"/>
    </row>
    <row r="446" hidden="1">
      <c r="A446" s="280"/>
      <c r="B446" s="280"/>
      <c r="C446" s="617"/>
      <c r="D446" s="1166"/>
      <c r="E446" s="1166"/>
      <c r="F446" s="1166"/>
      <c r="G446" s="1166"/>
      <c r="H446" s="1166"/>
      <c r="I446" s="1167"/>
      <c r="J446" s="1166"/>
      <c r="K446" s="1167"/>
      <c r="L446" s="1166"/>
      <c r="M446" s="1166"/>
      <c r="N446" s="1166"/>
      <c r="O446" s="280"/>
      <c r="P446" s="1167"/>
      <c r="R446" s="587"/>
      <c r="S446" s="587"/>
      <c r="X446" s="370"/>
      <c r="Y446" s="370"/>
      <c r="Z446" s="370"/>
      <c r="AB446" s="370"/>
      <c r="AC446" s="370"/>
    </row>
    <row r="447" hidden="1">
      <c r="A447" s="280"/>
      <c r="B447" s="280"/>
      <c r="C447" s="617"/>
      <c r="D447" s="1166"/>
      <c r="E447" s="1166"/>
      <c r="F447" s="1166"/>
      <c r="G447" s="1166"/>
      <c r="H447" s="1166"/>
      <c r="I447" s="1167"/>
      <c r="J447" s="1166"/>
      <c r="K447" s="1167"/>
      <c r="L447" s="1166"/>
      <c r="M447" s="1166"/>
      <c r="N447" s="1166"/>
      <c r="O447" s="280"/>
      <c r="P447" s="1167"/>
      <c r="R447" s="587"/>
      <c r="S447" s="587"/>
      <c r="X447" s="370"/>
      <c r="Y447" s="370"/>
      <c r="Z447" s="370"/>
      <c r="AB447" s="370"/>
      <c r="AC447" s="370"/>
    </row>
    <row r="448" hidden="1">
      <c r="A448" s="280"/>
      <c r="B448" s="280"/>
      <c r="C448" s="617"/>
      <c r="D448" s="1166"/>
      <c r="E448" s="1166"/>
      <c r="F448" s="1166"/>
      <c r="G448" s="1166"/>
      <c r="H448" s="1166"/>
      <c r="I448" s="1167"/>
      <c r="J448" s="1166"/>
      <c r="K448" s="1167"/>
      <c r="L448" s="1166"/>
      <c r="M448" s="1166"/>
      <c r="N448" s="1166"/>
      <c r="O448" s="280"/>
      <c r="P448" s="1167"/>
      <c r="R448" s="587"/>
      <c r="S448" s="587"/>
      <c r="X448" s="370"/>
      <c r="Y448" s="370"/>
      <c r="Z448" s="370"/>
      <c r="AB448" s="370"/>
      <c r="AC448" s="370"/>
    </row>
    <row r="449" hidden="1">
      <c r="A449" s="280"/>
      <c r="B449" s="280"/>
      <c r="C449" s="617"/>
      <c r="D449" s="1166"/>
      <c r="E449" s="1166"/>
      <c r="F449" s="1166"/>
      <c r="G449" s="1166"/>
      <c r="H449" s="1166"/>
      <c r="I449" s="1167"/>
      <c r="J449" s="1166"/>
      <c r="K449" s="1167"/>
      <c r="L449" s="1166"/>
      <c r="M449" s="1166"/>
      <c r="N449" s="1166"/>
      <c r="O449" s="280"/>
      <c r="P449" s="1167"/>
      <c r="R449" s="587"/>
      <c r="S449" s="587"/>
      <c r="X449" s="370"/>
      <c r="Y449" s="370"/>
      <c r="Z449" s="370"/>
      <c r="AB449" s="370"/>
      <c r="AC449" s="370"/>
    </row>
    <row r="450" hidden="1">
      <c r="A450" s="280"/>
      <c r="B450" s="280"/>
      <c r="C450" s="617"/>
      <c r="D450" s="1166"/>
      <c r="E450" s="1166"/>
      <c r="F450" s="1166"/>
      <c r="G450" s="1166"/>
      <c r="H450" s="1166"/>
      <c r="I450" s="1167"/>
      <c r="J450" s="1166"/>
      <c r="K450" s="1167"/>
      <c r="L450" s="1166"/>
      <c r="M450" s="1166"/>
      <c r="N450" s="1166"/>
      <c r="O450" s="280"/>
      <c r="P450" s="1167"/>
      <c r="R450" s="587"/>
      <c r="S450" s="587"/>
      <c r="X450" s="370"/>
      <c r="Y450" s="370"/>
      <c r="Z450" s="370"/>
      <c r="AB450" s="370"/>
      <c r="AC450" s="370"/>
    </row>
    <row r="451" hidden="1">
      <c r="A451" s="280"/>
      <c r="B451" s="280"/>
      <c r="C451" s="617"/>
      <c r="D451" s="1166"/>
      <c r="E451" s="1166"/>
      <c r="F451" s="1166"/>
      <c r="G451" s="1166"/>
      <c r="H451" s="1166"/>
      <c r="I451" s="1167"/>
      <c r="J451" s="1166"/>
      <c r="K451" s="1167"/>
      <c r="L451" s="1166"/>
      <c r="M451" s="1166"/>
      <c r="N451" s="1166"/>
      <c r="O451" s="280"/>
      <c r="P451" s="1167"/>
      <c r="R451" s="587"/>
      <c r="S451" s="587"/>
      <c r="X451" s="370"/>
      <c r="Y451" s="370"/>
      <c r="Z451" s="370"/>
      <c r="AB451" s="370"/>
      <c r="AC451" s="370"/>
    </row>
    <row r="452" hidden="1">
      <c r="A452" s="280"/>
      <c r="B452" s="280"/>
      <c r="C452" s="617"/>
      <c r="D452" s="1166"/>
      <c r="E452" s="1166"/>
      <c r="F452" s="1166"/>
      <c r="G452" s="1166"/>
      <c r="H452" s="1166"/>
      <c r="I452" s="1167"/>
      <c r="J452" s="1166"/>
      <c r="K452" s="1167"/>
      <c r="L452" s="1166"/>
      <c r="M452" s="1166"/>
      <c r="N452" s="1166"/>
      <c r="O452" s="280"/>
      <c r="P452" s="1167"/>
      <c r="R452" s="587"/>
      <c r="S452" s="587"/>
      <c r="X452" s="370"/>
      <c r="Y452" s="370"/>
      <c r="Z452" s="370"/>
      <c r="AB452" s="370"/>
      <c r="AC452" s="370"/>
    </row>
    <row r="453" hidden="1">
      <c r="A453" s="280"/>
      <c r="B453" s="280"/>
      <c r="C453" s="617"/>
      <c r="D453" s="1166"/>
      <c r="E453" s="1166"/>
      <c r="F453" s="1166"/>
      <c r="G453" s="1166"/>
      <c r="H453" s="1166"/>
      <c r="I453" s="1167"/>
      <c r="J453" s="1166"/>
      <c r="K453" s="1167"/>
      <c r="L453" s="1166"/>
      <c r="M453" s="1166"/>
      <c r="N453" s="1166"/>
      <c r="O453" s="280"/>
      <c r="P453" s="1167"/>
      <c r="R453" s="587"/>
      <c r="S453" s="587"/>
      <c r="X453" s="370"/>
      <c r="Y453" s="370"/>
      <c r="Z453" s="370"/>
      <c r="AB453" s="370"/>
      <c r="AC453" s="370"/>
    </row>
    <row r="454" hidden="1">
      <c r="A454" s="280"/>
      <c r="B454" s="280"/>
      <c r="C454" s="617"/>
      <c r="D454" s="1166"/>
      <c r="E454" s="1166"/>
      <c r="F454" s="1166"/>
      <c r="G454" s="1166"/>
      <c r="H454" s="1166"/>
      <c r="I454" s="1167"/>
      <c r="J454" s="1166"/>
      <c r="K454" s="1167"/>
      <c r="L454" s="1166"/>
      <c r="M454" s="1166"/>
      <c r="N454" s="1166"/>
      <c r="O454" s="280"/>
      <c r="P454" s="1167"/>
      <c r="R454" s="587"/>
      <c r="S454" s="587"/>
      <c r="X454" s="370"/>
      <c r="Y454" s="370"/>
      <c r="Z454" s="370"/>
      <c r="AB454" s="370"/>
      <c r="AC454" s="370"/>
    </row>
    <row r="455" hidden="1">
      <c r="A455" s="280"/>
      <c r="B455" s="280"/>
      <c r="C455" s="617"/>
      <c r="D455" s="1166"/>
      <c r="E455" s="1166"/>
      <c r="F455" s="1166"/>
      <c r="G455" s="1166"/>
      <c r="H455" s="1166"/>
      <c r="I455" s="1167"/>
      <c r="J455" s="1166"/>
      <c r="K455" s="1167"/>
      <c r="L455" s="1166"/>
      <c r="M455" s="1166"/>
      <c r="N455" s="1166"/>
      <c r="O455" s="280"/>
      <c r="P455" s="1167"/>
      <c r="R455" s="587"/>
      <c r="S455" s="587"/>
      <c r="X455" s="370"/>
      <c r="Y455" s="370"/>
      <c r="Z455" s="370"/>
      <c r="AB455" s="370"/>
      <c r="AC455" s="370"/>
    </row>
    <row r="456" hidden="1">
      <c r="A456" s="280"/>
      <c r="B456" s="280"/>
      <c r="C456" s="617"/>
      <c r="D456" s="1166"/>
      <c r="E456" s="1166"/>
      <c r="F456" s="1166"/>
      <c r="G456" s="1166"/>
      <c r="H456" s="1166"/>
      <c r="I456" s="1167"/>
      <c r="J456" s="1166"/>
      <c r="K456" s="1167"/>
      <c r="L456" s="1166"/>
      <c r="M456" s="1166"/>
      <c r="N456" s="1166"/>
      <c r="O456" s="280"/>
      <c r="P456" s="1167"/>
      <c r="R456" s="587"/>
      <c r="S456" s="587"/>
      <c r="X456" s="370"/>
      <c r="Y456" s="370"/>
      <c r="Z456" s="370"/>
      <c r="AB456" s="370"/>
      <c r="AC456" s="370"/>
    </row>
    <row r="457" hidden="1">
      <c r="A457" s="280"/>
      <c r="B457" s="280"/>
      <c r="C457" s="617"/>
      <c r="D457" s="1166"/>
      <c r="E457" s="1166"/>
      <c r="F457" s="1166"/>
      <c r="G457" s="1166"/>
      <c r="H457" s="1166"/>
      <c r="I457" s="1167"/>
      <c r="J457" s="1166"/>
      <c r="K457" s="1167"/>
      <c r="L457" s="1166"/>
      <c r="M457" s="1166"/>
      <c r="N457" s="1166"/>
      <c r="O457" s="280"/>
      <c r="P457" s="1167"/>
      <c r="R457" s="587"/>
      <c r="S457" s="587"/>
      <c r="X457" s="370"/>
      <c r="Y457" s="370"/>
      <c r="Z457" s="370"/>
      <c r="AB457" s="370"/>
      <c r="AC457" s="370"/>
    </row>
    <row r="458" hidden="1">
      <c r="A458" s="280"/>
      <c r="B458" s="280"/>
      <c r="C458" s="617"/>
      <c r="D458" s="1166"/>
      <c r="E458" s="1166"/>
      <c r="F458" s="1166"/>
      <c r="G458" s="1166"/>
      <c r="H458" s="1166"/>
      <c r="I458" s="1167"/>
      <c r="J458" s="1166"/>
      <c r="K458" s="1167"/>
      <c r="L458" s="1166"/>
      <c r="M458" s="1166"/>
      <c r="N458" s="1166"/>
      <c r="O458" s="280"/>
      <c r="P458" s="1167"/>
      <c r="R458" s="587"/>
      <c r="S458" s="587"/>
      <c r="X458" s="370"/>
      <c r="Y458" s="370"/>
      <c r="Z458" s="370"/>
      <c r="AB458" s="370"/>
      <c r="AC458" s="370"/>
    </row>
    <row r="459" hidden="1">
      <c r="A459" s="280"/>
      <c r="B459" s="280"/>
      <c r="C459" s="617"/>
      <c r="D459" s="1166"/>
      <c r="E459" s="1166"/>
      <c r="F459" s="1166"/>
      <c r="G459" s="1166"/>
      <c r="H459" s="1166"/>
      <c r="I459" s="1167"/>
      <c r="J459" s="1166"/>
      <c r="K459" s="1167"/>
      <c r="L459" s="1166"/>
      <c r="M459" s="1166"/>
      <c r="N459" s="1166"/>
      <c r="O459" s="280"/>
      <c r="P459" s="1167"/>
      <c r="R459" s="587"/>
      <c r="S459" s="587"/>
      <c r="X459" s="370"/>
      <c r="Y459" s="370"/>
      <c r="Z459" s="370"/>
      <c r="AB459" s="370"/>
      <c r="AC459" s="370"/>
    </row>
    <row r="460" hidden="1">
      <c r="A460" s="280"/>
      <c r="B460" s="280"/>
      <c r="C460" s="617"/>
      <c r="D460" s="1166"/>
      <c r="E460" s="1166"/>
      <c r="F460" s="1166"/>
      <c r="G460" s="1166"/>
      <c r="H460" s="1166"/>
      <c r="I460" s="1167"/>
      <c r="J460" s="1166"/>
      <c r="K460" s="1167"/>
      <c r="L460" s="1166"/>
      <c r="M460" s="1166"/>
      <c r="N460" s="1166"/>
      <c r="O460" s="280"/>
      <c r="P460" s="1167"/>
      <c r="R460" s="587"/>
      <c r="S460" s="587"/>
      <c r="X460" s="370"/>
      <c r="Y460" s="370"/>
      <c r="Z460" s="370"/>
      <c r="AB460" s="370"/>
      <c r="AC460" s="370"/>
    </row>
    <row r="461" hidden="1">
      <c r="A461" s="280"/>
      <c r="B461" s="280"/>
      <c r="C461" s="617"/>
      <c r="D461" s="1166"/>
      <c r="E461" s="1166"/>
      <c r="F461" s="1166"/>
      <c r="G461" s="1166"/>
      <c r="H461" s="1166"/>
      <c r="I461" s="1167"/>
      <c r="J461" s="1166"/>
      <c r="K461" s="1167"/>
      <c r="L461" s="1166"/>
      <c r="M461" s="1166"/>
      <c r="N461" s="1166"/>
      <c r="O461" s="280"/>
      <c r="P461" s="1167"/>
      <c r="R461" s="587"/>
      <c r="S461" s="587"/>
      <c r="X461" s="370"/>
      <c r="Y461" s="370"/>
      <c r="Z461" s="370"/>
      <c r="AB461" s="370"/>
      <c r="AC461" s="370"/>
    </row>
    <row r="462" hidden="1">
      <c r="A462" s="280"/>
      <c r="B462" s="280"/>
      <c r="C462" s="617"/>
      <c r="D462" s="1166"/>
      <c r="E462" s="1166"/>
      <c r="F462" s="1166"/>
      <c r="G462" s="1166"/>
      <c r="H462" s="1166"/>
      <c r="I462" s="1167"/>
      <c r="J462" s="1166"/>
      <c r="K462" s="1167"/>
      <c r="L462" s="1166"/>
      <c r="M462" s="1166"/>
      <c r="N462" s="1166"/>
      <c r="O462" s="280"/>
      <c r="P462" s="1167"/>
      <c r="R462" s="587"/>
      <c r="S462" s="587"/>
      <c r="X462" s="370"/>
      <c r="Y462" s="370"/>
      <c r="Z462" s="370"/>
      <c r="AB462" s="370"/>
      <c r="AC462" s="370"/>
    </row>
    <row r="463" hidden="1">
      <c r="A463" s="280"/>
      <c r="B463" s="280"/>
      <c r="C463" s="617"/>
      <c r="D463" s="1166"/>
      <c r="E463" s="1166"/>
      <c r="F463" s="1166"/>
      <c r="G463" s="1166"/>
      <c r="H463" s="1166"/>
      <c r="I463" s="1167"/>
      <c r="J463" s="1166"/>
      <c r="K463" s="1167"/>
      <c r="L463" s="1166"/>
      <c r="M463" s="1166"/>
      <c r="N463" s="1166"/>
      <c r="O463" s="280"/>
      <c r="P463" s="1167"/>
      <c r="R463" s="587"/>
      <c r="S463" s="587"/>
      <c r="X463" s="370"/>
      <c r="Y463" s="370"/>
      <c r="Z463" s="370"/>
      <c r="AB463" s="370"/>
      <c r="AC463" s="370"/>
    </row>
    <row r="464" hidden="1">
      <c r="A464" s="280"/>
      <c r="B464" s="280"/>
      <c r="C464" s="617"/>
      <c r="D464" s="1166"/>
      <c r="E464" s="1166"/>
      <c r="F464" s="1166"/>
      <c r="G464" s="1166"/>
      <c r="H464" s="1166"/>
      <c r="I464" s="1167"/>
      <c r="J464" s="1166"/>
      <c r="K464" s="1167"/>
      <c r="L464" s="1166"/>
      <c r="M464" s="1166"/>
      <c r="N464" s="1166"/>
      <c r="O464" s="280"/>
      <c r="P464" s="1167"/>
      <c r="R464" s="587"/>
      <c r="S464" s="587"/>
      <c r="X464" s="370"/>
      <c r="Y464" s="370"/>
      <c r="Z464" s="370"/>
      <c r="AB464" s="370"/>
      <c r="AC464" s="370"/>
    </row>
    <row r="465" hidden="1">
      <c r="A465" s="280"/>
      <c r="B465" s="280"/>
      <c r="C465" s="617"/>
      <c r="D465" s="1166"/>
      <c r="E465" s="1166"/>
      <c r="F465" s="1166"/>
      <c r="G465" s="1166"/>
      <c r="H465" s="1166"/>
      <c r="I465" s="1167"/>
      <c r="J465" s="1166"/>
      <c r="K465" s="1167"/>
      <c r="L465" s="1166"/>
      <c r="M465" s="1166"/>
      <c r="N465" s="1166"/>
      <c r="O465" s="280"/>
      <c r="P465" s="1167"/>
      <c r="R465" s="587"/>
      <c r="S465" s="587"/>
      <c r="X465" s="370"/>
      <c r="Y465" s="370"/>
      <c r="Z465" s="370"/>
      <c r="AB465" s="370"/>
      <c r="AC465" s="370"/>
    </row>
    <row r="466" hidden="1">
      <c r="A466" s="280"/>
      <c r="B466" s="280"/>
      <c r="C466" s="617"/>
      <c r="D466" s="1166"/>
      <c r="E466" s="1166"/>
      <c r="F466" s="1166"/>
      <c r="G466" s="1166"/>
      <c r="H466" s="1166"/>
      <c r="I466" s="1167"/>
      <c r="J466" s="1166"/>
      <c r="K466" s="1167"/>
      <c r="L466" s="1166"/>
      <c r="M466" s="1166"/>
      <c r="N466" s="1166"/>
      <c r="O466" s="280"/>
      <c r="P466" s="1167"/>
      <c r="R466" s="587"/>
      <c r="S466" s="587"/>
      <c r="X466" s="370"/>
      <c r="Y466" s="370"/>
      <c r="Z466" s="370"/>
      <c r="AB466" s="370"/>
      <c r="AC466" s="370"/>
    </row>
    <row r="467" hidden="1">
      <c r="A467" s="280"/>
      <c r="B467" s="280"/>
      <c r="C467" s="617"/>
      <c r="D467" s="1166"/>
      <c r="E467" s="1166"/>
      <c r="F467" s="1166"/>
      <c r="G467" s="1166"/>
      <c r="H467" s="1166"/>
      <c r="I467" s="1167"/>
      <c r="J467" s="1166"/>
      <c r="K467" s="1167"/>
      <c r="L467" s="1166"/>
      <c r="M467" s="1166"/>
      <c r="N467" s="1166"/>
      <c r="O467" s="280"/>
      <c r="P467" s="1167"/>
      <c r="R467" s="587"/>
      <c r="S467" s="587"/>
      <c r="X467" s="370"/>
      <c r="Y467" s="370"/>
      <c r="Z467" s="370"/>
      <c r="AB467" s="370"/>
      <c r="AC467" s="370"/>
    </row>
    <row r="468" hidden="1">
      <c r="A468" s="280"/>
      <c r="B468" s="280"/>
      <c r="C468" s="617"/>
      <c r="D468" s="1166"/>
      <c r="E468" s="1166"/>
      <c r="F468" s="1166"/>
      <c r="G468" s="1166"/>
      <c r="H468" s="1166"/>
      <c r="I468" s="1167"/>
      <c r="J468" s="1166"/>
      <c r="K468" s="1167"/>
      <c r="L468" s="1166"/>
      <c r="M468" s="1166"/>
      <c r="N468" s="1166"/>
      <c r="O468" s="280"/>
      <c r="P468" s="1167"/>
      <c r="R468" s="587"/>
      <c r="S468" s="587"/>
      <c r="X468" s="370"/>
      <c r="Y468" s="370"/>
      <c r="Z468" s="370"/>
      <c r="AB468" s="370"/>
      <c r="AC468" s="370"/>
    </row>
    <row r="469" hidden="1">
      <c r="A469" s="280"/>
      <c r="B469" s="280"/>
      <c r="C469" s="617"/>
      <c r="D469" s="1166"/>
      <c r="E469" s="1166"/>
      <c r="F469" s="1166"/>
      <c r="G469" s="1166"/>
      <c r="H469" s="1166"/>
      <c r="I469" s="1167"/>
      <c r="J469" s="1166"/>
      <c r="K469" s="1167"/>
      <c r="L469" s="1166"/>
      <c r="M469" s="1166"/>
      <c r="N469" s="1166"/>
      <c r="O469" s="280"/>
      <c r="P469" s="1167"/>
      <c r="R469" s="587"/>
      <c r="S469" s="587"/>
      <c r="X469" s="370"/>
      <c r="Y469" s="370"/>
      <c r="Z469" s="370"/>
      <c r="AB469" s="370"/>
      <c r="AC469" s="370"/>
    </row>
    <row r="470" hidden="1">
      <c r="A470" s="280"/>
      <c r="B470" s="280"/>
      <c r="C470" s="617"/>
      <c r="D470" s="1166"/>
      <c r="E470" s="1166"/>
      <c r="F470" s="1166"/>
      <c r="G470" s="1166"/>
      <c r="H470" s="1166"/>
      <c r="I470" s="1167"/>
      <c r="J470" s="1166"/>
      <c r="K470" s="1167"/>
      <c r="L470" s="1166"/>
      <c r="M470" s="1166"/>
      <c r="N470" s="1166"/>
      <c r="O470" s="280"/>
      <c r="P470" s="1167"/>
      <c r="R470" s="587"/>
      <c r="S470" s="587"/>
      <c r="X470" s="370"/>
      <c r="Y470" s="370"/>
      <c r="Z470" s="370"/>
      <c r="AB470" s="370"/>
      <c r="AC470" s="370"/>
    </row>
    <row r="471" hidden="1">
      <c r="A471" s="280"/>
      <c r="B471" s="280"/>
      <c r="C471" s="617"/>
      <c r="D471" s="1166"/>
      <c r="E471" s="1166"/>
      <c r="F471" s="1166"/>
      <c r="G471" s="1166"/>
      <c r="H471" s="1166"/>
      <c r="I471" s="1167"/>
      <c r="J471" s="1166"/>
      <c r="K471" s="1167"/>
      <c r="L471" s="1166"/>
      <c r="M471" s="1166"/>
      <c r="N471" s="1166"/>
      <c r="O471" s="280"/>
      <c r="P471" s="1167"/>
      <c r="R471" s="587"/>
      <c r="S471" s="587"/>
      <c r="X471" s="370"/>
      <c r="Y471" s="370"/>
      <c r="Z471" s="370"/>
      <c r="AB471" s="370"/>
      <c r="AC471" s="370"/>
    </row>
    <row r="472" hidden="1">
      <c r="A472" s="280"/>
      <c r="B472" s="280"/>
      <c r="C472" s="617"/>
      <c r="D472" s="1166"/>
      <c r="E472" s="1166"/>
      <c r="F472" s="1166"/>
      <c r="G472" s="1166"/>
      <c r="H472" s="1166"/>
      <c r="I472" s="1167"/>
      <c r="J472" s="1166"/>
      <c r="K472" s="1167"/>
      <c r="L472" s="1166"/>
      <c r="M472" s="1166"/>
      <c r="N472" s="1166"/>
      <c r="O472" s="280"/>
      <c r="P472" s="1167"/>
      <c r="R472" s="587"/>
      <c r="S472" s="587"/>
      <c r="X472" s="370"/>
      <c r="Y472" s="370"/>
      <c r="Z472" s="370"/>
      <c r="AB472" s="370"/>
      <c r="AC472" s="370"/>
    </row>
    <row r="473" hidden="1">
      <c r="A473" s="280"/>
      <c r="B473" s="280"/>
      <c r="C473" s="617"/>
      <c r="D473" s="1166"/>
      <c r="E473" s="1166"/>
      <c r="F473" s="1166"/>
      <c r="G473" s="1166"/>
      <c r="H473" s="1166"/>
      <c r="I473" s="1167"/>
      <c r="J473" s="1166"/>
      <c r="K473" s="1167"/>
      <c r="L473" s="1166"/>
      <c r="M473" s="1166"/>
      <c r="N473" s="1166"/>
      <c r="O473" s="280"/>
      <c r="P473" s="1167"/>
      <c r="R473" s="587"/>
      <c r="S473" s="587"/>
      <c r="X473" s="370"/>
      <c r="Y473" s="370"/>
      <c r="Z473" s="370"/>
      <c r="AB473" s="370"/>
      <c r="AC473" s="370"/>
    </row>
    <row r="474" hidden="1">
      <c r="A474" s="280"/>
      <c r="B474" s="280"/>
      <c r="C474" s="617"/>
      <c r="D474" s="1166"/>
      <c r="E474" s="1166"/>
      <c r="F474" s="1166"/>
      <c r="G474" s="1166"/>
      <c r="H474" s="1166"/>
      <c r="I474" s="1167"/>
      <c r="J474" s="1166"/>
      <c r="K474" s="1167"/>
      <c r="L474" s="1166"/>
      <c r="M474" s="1166"/>
      <c r="N474" s="1166"/>
      <c r="O474" s="280"/>
      <c r="P474" s="1167"/>
      <c r="R474" s="587"/>
      <c r="S474" s="587"/>
      <c r="X474" s="370"/>
      <c r="Y474" s="370"/>
      <c r="Z474" s="370"/>
      <c r="AB474" s="370"/>
      <c r="AC474" s="370"/>
    </row>
    <row r="475" hidden="1">
      <c r="A475" s="280"/>
      <c r="B475" s="280"/>
      <c r="C475" s="617"/>
      <c r="D475" s="1166"/>
      <c r="E475" s="1166"/>
      <c r="F475" s="1166"/>
      <c r="G475" s="1166"/>
      <c r="H475" s="1166"/>
      <c r="I475" s="1167"/>
      <c r="J475" s="1166"/>
      <c r="K475" s="1167"/>
      <c r="L475" s="1166"/>
      <c r="M475" s="1166"/>
      <c r="N475" s="1166"/>
      <c r="O475" s="280"/>
      <c r="P475" s="1167"/>
      <c r="R475" s="587"/>
      <c r="S475" s="587"/>
      <c r="X475" s="370"/>
      <c r="Y475" s="370"/>
      <c r="Z475" s="370"/>
      <c r="AB475" s="370"/>
      <c r="AC475" s="370"/>
    </row>
    <row r="476" hidden="1">
      <c r="A476" s="280"/>
      <c r="B476" s="280"/>
      <c r="C476" s="617"/>
      <c r="D476" s="1166"/>
      <c r="E476" s="1166"/>
      <c r="F476" s="1166"/>
      <c r="G476" s="1166"/>
      <c r="H476" s="1166"/>
      <c r="I476" s="1167"/>
      <c r="J476" s="1166"/>
      <c r="K476" s="1167"/>
      <c r="L476" s="1166"/>
      <c r="M476" s="1166"/>
      <c r="N476" s="1166"/>
      <c r="O476" s="280"/>
      <c r="P476" s="1167"/>
      <c r="R476" s="587"/>
      <c r="S476" s="587"/>
      <c r="X476" s="370"/>
      <c r="Y476" s="370"/>
      <c r="Z476" s="370"/>
      <c r="AB476" s="370"/>
      <c r="AC476" s="370"/>
    </row>
    <row r="477" hidden="1">
      <c r="A477" s="280"/>
      <c r="B477" s="280"/>
      <c r="C477" s="617"/>
      <c r="D477" s="1166"/>
      <c r="E477" s="1166"/>
      <c r="F477" s="1166"/>
      <c r="G477" s="1166"/>
      <c r="H477" s="1166"/>
      <c r="I477" s="1167"/>
      <c r="J477" s="1166"/>
      <c r="K477" s="1167"/>
      <c r="L477" s="1166"/>
      <c r="M477" s="1166"/>
      <c r="N477" s="1166"/>
      <c r="O477" s="280"/>
      <c r="P477" s="1167"/>
      <c r="R477" s="587"/>
      <c r="S477" s="587"/>
      <c r="X477" s="370"/>
      <c r="Y477" s="370"/>
      <c r="Z477" s="370"/>
      <c r="AB477" s="370"/>
      <c r="AC477" s="370"/>
    </row>
    <row r="478" hidden="1">
      <c r="A478" s="280"/>
      <c r="B478" s="280"/>
      <c r="C478" s="617"/>
      <c r="D478" s="1166"/>
      <c r="E478" s="1166"/>
      <c r="F478" s="1166"/>
      <c r="G478" s="1166"/>
      <c r="H478" s="1166"/>
      <c r="I478" s="1167"/>
      <c r="J478" s="1166"/>
      <c r="K478" s="1167"/>
      <c r="L478" s="1166"/>
      <c r="M478" s="1166"/>
      <c r="N478" s="1166"/>
      <c r="O478" s="280"/>
      <c r="P478" s="1167"/>
      <c r="R478" s="587"/>
      <c r="S478" s="587"/>
      <c r="X478" s="370"/>
      <c r="Y478" s="370"/>
      <c r="Z478" s="370"/>
      <c r="AB478" s="370"/>
      <c r="AC478" s="370"/>
    </row>
    <row r="479" hidden="1">
      <c r="A479" s="280"/>
      <c r="B479" s="280"/>
      <c r="C479" s="617"/>
      <c r="D479" s="1166"/>
      <c r="E479" s="1166"/>
      <c r="F479" s="1166"/>
      <c r="G479" s="1166"/>
      <c r="H479" s="1166"/>
      <c r="I479" s="1167"/>
      <c r="J479" s="1166"/>
      <c r="K479" s="1167"/>
      <c r="L479" s="1166"/>
      <c r="M479" s="1166"/>
      <c r="N479" s="1166"/>
      <c r="O479" s="280"/>
      <c r="P479" s="1167"/>
      <c r="R479" s="587"/>
      <c r="S479" s="587"/>
      <c r="X479" s="370"/>
      <c r="Y479" s="370"/>
      <c r="Z479" s="370"/>
      <c r="AB479" s="370"/>
      <c r="AC479" s="370"/>
    </row>
    <row r="480" hidden="1">
      <c r="A480" s="280"/>
      <c r="B480" s="280"/>
      <c r="C480" s="617"/>
      <c r="D480" s="1166"/>
      <c r="E480" s="1166"/>
      <c r="F480" s="1166"/>
      <c r="G480" s="1166"/>
      <c r="H480" s="1166"/>
      <c r="I480" s="1167"/>
      <c r="J480" s="1166"/>
      <c r="K480" s="1167"/>
      <c r="L480" s="1166"/>
      <c r="M480" s="1166"/>
      <c r="N480" s="1166"/>
      <c r="O480" s="280"/>
      <c r="P480" s="1167"/>
      <c r="R480" s="587"/>
      <c r="S480" s="587"/>
      <c r="X480" s="370"/>
      <c r="Y480" s="370"/>
      <c r="Z480" s="370"/>
      <c r="AB480" s="370"/>
      <c r="AC480" s="370"/>
    </row>
    <row r="481" hidden="1">
      <c r="A481" s="280"/>
      <c r="B481" s="280"/>
      <c r="C481" s="617"/>
      <c r="D481" s="1166"/>
      <c r="E481" s="1166"/>
      <c r="F481" s="1166"/>
      <c r="G481" s="1166"/>
      <c r="H481" s="1166"/>
      <c r="I481" s="1167"/>
      <c r="J481" s="1166"/>
      <c r="K481" s="1167"/>
      <c r="L481" s="1166"/>
      <c r="M481" s="1166"/>
      <c r="N481" s="1166"/>
      <c r="O481" s="280"/>
      <c r="P481" s="1167"/>
      <c r="R481" s="587"/>
      <c r="S481" s="587"/>
      <c r="X481" s="370"/>
      <c r="Y481" s="370"/>
      <c r="Z481" s="370"/>
      <c r="AB481" s="370"/>
      <c r="AC481" s="370"/>
    </row>
    <row r="482" hidden="1">
      <c r="A482" s="280"/>
      <c r="B482" s="280"/>
      <c r="C482" s="617"/>
      <c r="D482" s="1166"/>
      <c r="E482" s="1166"/>
      <c r="F482" s="1166"/>
      <c r="G482" s="1166"/>
      <c r="H482" s="1166"/>
      <c r="I482" s="1167"/>
      <c r="J482" s="1166"/>
      <c r="K482" s="1167"/>
      <c r="L482" s="1166"/>
      <c r="M482" s="1166"/>
      <c r="N482" s="1166"/>
      <c r="O482" s="280"/>
      <c r="P482" s="1167"/>
      <c r="R482" s="587"/>
      <c r="S482" s="587"/>
      <c r="X482" s="370"/>
      <c r="Y482" s="370"/>
      <c r="Z482" s="370"/>
      <c r="AB482" s="370"/>
      <c r="AC482" s="370"/>
    </row>
    <row r="483" hidden="1">
      <c r="A483" s="280"/>
      <c r="B483" s="280"/>
      <c r="C483" s="617"/>
      <c r="D483" s="1166"/>
      <c r="E483" s="1166"/>
      <c r="F483" s="1166"/>
      <c r="G483" s="1166"/>
      <c r="H483" s="1166"/>
      <c r="I483" s="1167"/>
      <c r="J483" s="1166"/>
      <c r="K483" s="1167"/>
      <c r="L483" s="1166"/>
      <c r="M483" s="1166"/>
      <c r="N483" s="1166"/>
      <c r="O483" s="280"/>
      <c r="P483" s="1167"/>
      <c r="R483" s="587"/>
      <c r="S483" s="587"/>
      <c r="X483" s="370"/>
      <c r="Y483" s="370"/>
      <c r="Z483" s="370"/>
      <c r="AB483" s="370"/>
      <c r="AC483" s="370"/>
    </row>
    <row r="484" hidden="1">
      <c r="A484" s="280"/>
      <c r="B484" s="280"/>
      <c r="C484" s="617"/>
      <c r="D484" s="1166"/>
      <c r="E484" s="1166"/>
      <c r="F484" s="1166"/>
      <c r="G484" s="1166"/>
      <c r="H484" s="1166"/>
      <c r="I484" s="1167"/>
      <c r="J484" s="1166"/>
      <c r="K484" s="1167"/>
      <c r="L484" s="1166"/>
      <c r="M484" s="1166"/>
      <c r="N484" s="1166"/>
      <c r="O484" s="280"/>
      <c r="P484" s="1167"/>
      <c r="R484" s="587"/>
      <c r="S484" s="587"/>
      <c r="X484" s="370"/>
      <c r="Y484" s="370"/>
      <c r="Z484" s="370"/>
      <c r="AB484" s="370"/>
      <c r="AC484" s="370"/>
    </row>
    <row r="485" hidden="1">
      <c r="A485" s="280"/>
      <c r="B485" s="280"/>
      <c r="C485" s="617"/>
      <c r="D485" s="1166"/>
      <c r="E485" s="1166"/>
      <c r="F485" s="1166"/>
      <c r="G485" s="1166"/>
      <c r="H485" s="1166"/>
      <c r="I485" s="1167"/>
      <c r="J485" s="1166"/>
      <c r="K485" s="1167"/>
      <c r="L485" s="1166"/>
      <c r="M485" s="1166"/>
      <c r="N485" s="1166"/>
      <c r="O485" s="280"/>
      <c r="P485" s="1167"/>
      <c r="R485" s="587"/>
      <c r="S485" s="587"/>
      <c r="X485" s="370"/>
      <c r="Y485" s="370"/>
      <c r="Z485" s="370"/>
      <c r="AB485" s="370"/>
      <c r="AC485" s="370"/>
    </row>
    <row r="486" hidden="1">
      <c r="A486" s="280"/>
      <c r="B486" s="280"/>
      <c r="C486" s="617"/>
      <c r="D486" s="1166"/>
      <c r="E486" s="1166"/>
      <c r="F486" s="1166"/>
      <c r="G486" s="1166"/>
      <c r="H486" s="1166"/>
      <c r="I486" s="1167"/>
      <c r="J486" s="1166"/>
      <c r="K486" s="1167"/>
      <c r="L486" s="1166"/>
      <c r="M486" s="1166"/>
      <c r="N486" s="1166"/>
      <c r="O486" s="280"/>
      <c r="P486" s="1167"/>
      <c r="R486" s="587"/>
      <c r="S486" s="587"/>
      <c r="X486" s="370"/>
      <c r="Y486" s="370"/>
      <c r="Z486" s="370"/>
      <c r="AB486" s="370"/>
      <c r="AC486" s="370"/>
    </row>
    <row r="487" hidden="1">
      <c r="A487" s="280"/>
      <c r="B487" s="280"/>
      <c r="C487" s="617"/>
      <c r="D487" s="1166"/>
      <c r="E487" s="1166"/>
      <c r="F487" s="1166"/>
      <c r="G487" s="1166"/>
      <c r="H487" s="1166"/>
      <c r="I487" s="1167"/>
      <c r="J487" s="1166"/>
      <c r="K487" s="1167"/>
      <c r="L487" s="1166"/>
      <c r="M487" s="1166"/>
      <c r="N487" s="1166"/>
      <c r="O487" s="280"/>
      <c r="P487" s="1167"/>
      <c r="R487" s="587"/>
      <c r="S487" s="587"/>
      <c r="X487" s="370"/>
      <c r="Y487" s="370"/>
      <c r="Z487" s="370"/>
      <c r="AB487" s="370"/>
      <c r="AC487" s="370"/>
    </row>
    <row r="488" hidden="1">
      <c r="A488" s="280"/>
      <c r="B488" s="280"/>
      <c r="C488" s="617"/>
      <c r="D488" s="1166"/>
      <c r="E488" s="1166"/>
      <c r="F488" s="1166"/>
      <c r="G488" s="1166"/>
      <c r="H488" s="1166"/>
      <c r="I488" s="1167"/>
      <c r="J488" s="1166"/>
      <c r="K488" s="1167"/>
      <c r="L488" s="1166"/>
      <c r="M488" s="1166"/>
      <c r="N488" s="1166"/>
      <c r="O488" s="280"/>
      <c r="P488" s="1167"/>
      <c r="R488" s="587"/>
      <c r="S488" s="587"/>
      <c r="X488" s="370"/>
      <c r="Y488" s="370"/>
      <c r="Z488" s="370"/>
      <c r="AB488" s="370"/>
      <c r="AC488" s="370"/>
    </row>
    <row r="489" hidden="1">
      <c r="A489" s="280"/>
      <c r="B489" s="280"/>
      <c r="C489" s="617"/>
      <c r="D489" s="1166"/>
      <c r="E489" s="1166"/>
      <c r="F489" s="1166"/>
      <c r="G489" s="1166"/>
      <c r="H489" s="1166"/>
      <c r="I489" s="1167"/>
      <c r="J489" s="1166"/>
      <c r="K489" s="1167"/>
      <c r="L489" s="1166"/>
      <c r="M489" s="1166"/>
      <c r="N489" s="1166"/>
      <c r="O489" s="280"/>
      <c r="P489" s="1167"/>
      <c r="R489" s="587"/>
      <c r="S489" s="587"/>
      <c r="X489" s="370"/>
      <c r="Y489" s="370"/>
      <c r="Z489" s="370"/>
      <c r="AB489" s="370"/>
      <c r="AC489" s="370"/>
    </row>
    <row r="490" hidden="1">
      <c r="A490" s="280"/>
      <c r="B490" s="280"/>
      <c r="C490" s="617"/>
      <c r="D490" s="1166"/>
      <c r="E490" s="1166"/>
      <c r="F490" s="1166"/>
      <c r="G490" s="1166"/>
      <c r="H490" s="1166"/>
      <c r="I490" s="1167"/>
      <c r="J490" s="1166"/>
      <c r="K490" s="1167"/>
      <c r="L490" s="1166"/>
      <c r="M490" s="1166"/>
      <c r="N490" s="1166"/>
      <c r="O490" s="280"/>
      <c r="P490" s="1167"/>
      <c r="R490" s="587"/>
      <c r="S490" s="587"/>
      <c r="X490" s="370"/>
      <c r="Y490" s="370"/>
      <c r="Z490" s="370"/>
      <c r="AB490" s="370"/>
      <c r="AC490" s="370"/>
    </row>
    <row r="491" hidden="1">
      <c r="A491" s="280"/>
      <c r="B491" s="280"/>
      <c r="C491" s="617"/>
      <c r="D491" s="1166"/>
      <c r="E491" s="1166"/>
      <c r="F491" s="1166"/>
      <c r="G491" s="1166"/>
      <c r="H491" s="1166"/>
      <c r="I491" s="1167"/>
      <c r="J491" s="1166"/>
      <c r="K491" s="1167"/>
      <c r="L491" s="1166"/>
      <c r="M491" s="1166"/>
      <c r="N491" s="1166"/>
      <c r="O491" s="280"/>
      <c r="P491" s="1167"/>
      <c r="R491" s="587"/>
      <c r="S491" s="587"/>
      <c r="X491" s="370"/>
      <c r="Y491" s="370"/>
      <c r="Z491" s="370"/>
      <c r="AB491" s="370"/>
      <c r="AC491" s="370"/>
    </row>
    <row r="492" hidden="1">
      <c r="A492" s="280"/>
      <c r="B492" s="280"/>
      <c r="C492" s="617"/>
      <c r="D492" s="1166"/>
      <c r="E492" s="1166"/>
      <c r="F492" s="1166"/>
      <c r="G492" s="1166"/>
      <c r="H492" s="1166"/>
      <c r="I492" s="1167"/>
      <c r="J492" s="1166"/>
      <c r="K492" s="1167"/>
      <c r="L492" s="1166"/>
      <c r="M492" s="1166"/>
      <c r="N492" s="1166"/>
      <c r="O492" s="280"/>
      <c r="P492" s="1167"/>
      <c r="R492" s="587"/>
      <c r="S492" s="587"/>
      <c r="X492" s="370"/>
      <c r="Y492" s="370"/>
      <c r="Z492" s="370"/>
      <c r="AB492" s="370"/>
      <c r="AC492" s="370"/>
    </row>
    <row r="493" hidden="1">
      <c r="A493" s="280"/>
      <c r="B493" s="280"/>
      <c r="C493" s="617"/>
      <c r="D493" s="1166"/>
      <c r="E493" s="1166"/>
      <c r="F493" s="1166"/>
      <c r="G493" s="1166"/>
      <c r="H493" s="1166"/>
      <c r="I493" s="1167"/>
      <c r="J493" s="1166"/>
      <c r="K493" s="1167"/>
      <c r="L493" s="1166"/>
      <c r="M493" s="1166"/>
      <c r="N493" s="1166"/>
      <c r="O493" s="280"/>
      <c r="P493" s="1167"/>
      <c r="R493" s="587"/>
      <c r="S493" s="587"/>
      <c r="X493" s="370"/>
      <c r="Y493" s="370"/>
      <c r="Z493" s="370"/>
      <c r="AB493" s="370"/>
      <c r="AC493" s="370"/>
    </row>
    <row r="494" hidden="1">
      <c r="A494" s="280"/>
      <c r="B494" s="280"/>
      <c r="C494" s="617"/>
      <c r="D494" s="1166"/>
      <c r="E494" s="1166"/>
      <c r="F494" s="1166"/>
      <c r="G494" s="1166"/>
      <c r="H494" s="1166"/>
      <c r="I494" s="1167"/>
      <c r="J494" s="1166"/>
      <c r="K494" s="1167"/>
      <c r="L494" s="1166"/>
      <c r="M494" s="1166"/>
      <c r="N494" s="1166"/>
      <c r="O494" s="280"/>
      <c r="P494" s="1167"/>
      <c r="R494" s="587"/>
      <c r="S494" s="587"/>
      <c r="X494" s="370"/>
      <c r="Y494" s="370"/>
      <c r="Z494" s="370"/>
      <c r="AB494" s="370"/>
      <c r="AC494" s="370"/>
    </row>
    <row r="495" hidden="1">
      <c r="A495" s="280"/>
      <c r="B495" s="280"/>
      <c r="C495" s="617"/>
      <c r="D495" s="1166"/>
      <c r="E495" s="1166"/>
      <c r="F495" s="1166"/>
      <c r="G495" s="1166"/>
      <c r="H495" s="1166"/>
      <c r="I495" s="1167"/>
      <c r="J495" s="1166"/>
      <c r="K495" s="1167"/>
      <c r="L495" s="1166"/>
      <c r="M495" s="1166"/>
      <c r="N495" s="1166"/>
      <c r="O495" s="280"/>
      <c r="P495" s="1167"/>
      <c r="R495" s="587"/>
      <c r="S495" s="587"/>
      <c r="X495" s="370"/>
      <c r="Y495" s="370"/>
      <c r="Z495" s="370"/>
      <c r="AB495" s="370"/>
      <c r="AC495" s="370"/>
    </row>
    <row r="496" hidden="1">
      <c r="A496" s="280"/>
      <c r="B496" s="280"/>
      <c r="C496" s="617"/>
      <c r="D496" s="1166"/>
      <c r="E496" s="1166"/>
      <c r="F496" s="1166"/>
      <c r="G496" s="1166"/>
      <c r="H496" s="1166"/>
      <c r="I496" s="1167"/>
      <c r="J496" s="1166"/>
      <c r="K496" s="1167"/>
      <c r="L496" s="1166"/>
      <c r="M496" s="1166"/>
      <c r="N496" s="1166"/>
      <c r="O496" s="280"/>
      <c r="P496" s="1167"/>
      <c r="R496" s="587"/>
      <c r="S496" s="587"/>
      <c r="X496" s="370"/>
      <c r="Y496" s="370"/>
      <c r="Z496" s="370"/>
      <c r="AB496" s="370"/>
      <c r="AC496" s="370"/>
    </row>
    <row r="497" hidden="1">
      <c r="A497" s="280"/>
      <c r="B497" s="280"/>
      <c r="C497" s="617"/>
      <c r="D497" s="1166"/>
      <c r="E497" s="1166"/>
      <c r="F497" s="1166"/>
      <c r="G497" s="1166"/>
      <c r="H497" s="1166"/>
      <c r="I497" s="1167"/>
      <c r="J497" s="1166"/>
      <c r="K497" s="1167"/>
      <c r="L497" s="1166"/>
      <c r="M497" s="1166"/>
      <c r="N497" s="1166"/>
      <c r="O497" s="280"/>
      <c r="P497" s="1167"/>
      <c r="R497" s="587"/>
      <c r="S497" s="587"/>
      <c r="X497" s="370"/>
      <c r="Y497" s="370"/>
      <c r="Z497" s="370"/>
      <c r="AB497" s="370"/>
      <c r="AC497" s="370"/>
    </row>
    <row r="498" hidden="1">
      <c r="A498" s="280"/>
      <c r="B498" s="280"/>
      <c r="C498" s="617"/>
      <c r="D498" s="1166"/>
      <c r="E498" s="1166"/>
      <c r="F498" s="1166"/>
      <c r="G498" s="1166"/>
      <c r="H498" s="1166"/>
      <c r="I498" s="1167"/>
      <c r="J498" s="1166"/>
      <c r="K498" s="1167"/>
      <c r="L498" s="1166"/>
      <c r="M498" s="1166"/>
      <c r="N498" s="1166"/>
      <c r="O498" s="280"/>
      <c r="P498" s="1167"/>
      <c r="R498" s="587"/>
      <c r="S498" s="587"/>
      <c r="X498" s="370"/>
      <c r="Y498" s="370"/>
      <c r="Z498" s="370"/>
      <c r="AB498" s="370"/>
      <c r="AC498" s="370"/>
    </row>
    <row r="499" hidden="1">
      <c r="A499" s="280"/>
      <c r="B499" s="280"/>
      <c r="C499" s="617"/>
      <c r="D499" s="1166"/>
      <c r="E499" s="1166"/>
      <c r="F499" s="1166"/>
      <c r="G499" s="1166"/>
      <c r="H499" s="1166"/>
      <c r="I499" s="1167"/>
      <c r="J499" s="1166"/>
      <c r="K499" s="1167"/>
      <c r="L499" s="1166"/>
      <c r="M499" s="1166"/>
      <c r="N499" s="1166"/>
      <c r="O499" s="280"/>
      <c r="P499" s="1167"/>
      <c r="R499" s="587"/>
      <c r="S499" s="587"/>
      <c r="X499" s="370"/>
      <c r="Y499" s="370"/>
      <c r="Z499" s="370"/>
      <c r="AB499" s="370"/>
      <c r="AC499" s="370"/>
    </row>
    <row r="500" hidden="1">
      <c r="A500" s="280"/>
      <c r="B500" s="280"/>
      <c r="C500" s="617"/>
      <c r="D500" s="1166"/>
      <c r="E500" s="1166"/>
      <c r="F500" s="1166"/>
      <c r="G500" s="1166"/>
      <c r="H500" s="1166"/>
      <c r="I500" s="1167"/>
      <c r="J500" s="1166"/>
      <c r="K500" s="1167"/>
      <c r="L500" s="1166"/>
      <c r="M500" s="1166"/>
      <c r="N500" s="1166"/>
      <c r="O500" s="280"/>
      <c r="P500" s="1167"/>
      <c r="R500" s="587"/>
      <c r="S500" s="587"/>
      <c r="X500" s="370"/>
      <c r="Y500" s="370"/>
      <c r="Z500" s="370"/>
      <c r="AB500" s="370"/>
      <c r="AC500" s="370"/>
    </row>
    <row r="501" hidden="1">
      <c r="A501" s="280"/>
      <c r="B501" s="280"/>
      <c r="C501" s="617"/>
      <c r="D501" s="1166"/>
      <c r="E501" s="1166"/>
      <c r="F501" s="1166"/>
      <c r="G501" s="1166"/>
      <c r="H501" s="1166"/>
      <c r="I501" s="1167"/>
      <c r="J501" s="1166"/>
      <c r="K501" s="1167"/>
      <c r="L501" s="1166"/>
      <c r="M501" s="1166"/>
      <c r="N501" s="1166"/>
      <c r="O501" s="280"/>
      <c r="P501" s="1167"/>
      <c r="R501" s="587"/>
      <c r="S501" s="587"/>
      <c r="X501" s="370"/>
      <c r="Y501" s="370"/>
      <c r="Z501" s="370"/>
      <c r="AB501" s="370"/>
      <c r="AC501" s="370"/>
    </row>
    <row r="502" hidden="1">
      <c r="A502" s="280"/>
      <c r="B502" s="280"/>
      <c r="C502" s="617"/>
      <c r="D502" s="1166"/>
      <c r="E502" s="1166"/>
      <c r="F502" s="1166"/>
      <c r="G502" s="1166"/>
      <c r="H502" s="1166"/>
      <c r="I502" s="1167"/>
      <c r="J502" s="1166"/>
      <c r="K502" s="1167"/>
      <c r="L502" s="1166"/>
      <c r="M502" s="1166"/>
      <c r="N502" s="1166"/>
      <c r="O502" s="280"/>
      <c r="P502" s="1167"/>
      <c r="R502" s="587"/>
      <c r="S502" s="587"/>
      <c r="X502" s="370"/>
      <c r="Y502" s="370"/>
      <c r="Z502" s="370"/>
      <c r="AB502" s="370"/>
      <c r="AC502" s="370"/>
    </row>
    <row r="503" hidden="1">
      <c r="A503" s="280"/>
      <c r="B503" s="280"/>
      <c r="C503" s="617"/>
      <c r="D503" s="1166"/>
      <c r="E503" s="1166"/>
      <c r="F503" s="1166"/>
      <c r="G503" s="1166"/>
      <c r="H503" s="1166"/>
      <c r="I503" s="1167"/>
      <c r="J503" s="1166"/>
      <c r="K503" s="1167"/>
      <c r="L503" s="1166"/>
      <c r="M503" s="1166"/>
      <c r="N503" s="1166"/>
      <c r="O503" s="280"/>
      <c r="P503" s="1167"/>
      <c r="R503" s="587"/>
      <c r="S503" s="587"/>
      <c r="X503" s="370"/>
      <c r="Y503" s="370"/>
      <c r="Z503" s="370"/>
      <c r="AB503" s="370"/>
      <c r="AC503" s="370"/>
    </row>
    <row r="504" hidden="1">
      <c r="A504" s="280"/>
      <c r="B504" s="280"/>
      <c r="C504" s="617"/>
      <c r="D504" s="1166"/>
      <c r="E504" s="1166"/>
      <c r="F504" s="1166"/>
      <c r="G504" s="1166"/>
      <c r="H504" s="1166"/>
      <c r="I504" s="1167"/>
      <c r="J504" s="1166"/>
      <c r="K504" s="1167"/>
      <c r="L504" s="1166"/>
      <c r="M504" s="1166"/>
      <c r="N504" s="1166"/>
      <c r="O504" s="280"/>
      <c r="P504" s="1167"/>
      <c r="R504" s="587"/>
      <c r="S504" s="587"/>
      <c r="X504" s="370"/>
      <c r="Y504" s="370"/>
      <c r="Z504" s="370"/>
      <c r="AB504" s="370"/>
      <c r="AC504" s="370"/>
    </row>
    <row r="505" hidden="1">
      <c r="A505" s="280"/>
      <c r="B505" s="280"/>
      <c r="C505" s="617"/>
      <c r="D505" s="1166"/>
      <c r="E505" s="1166"/>
      <c r="F505" s="1166"/>
      <c r="G505" s="1166"/>
      <c r="H505" s="1166"/>
      <c r="I505" s="1167"/>
      <c r="J505" s="1166"/>
      <c r="K505" s="1167"/>
      <c r="L505" s="1166"/>
      <c r="M505" s="1166"/>
      <c r="N505" s="1166"/>
      <c r="O505" s="280"/>
      <c r="P505" s="1167"/>
      <c r="R505" s="587"/>
      <c r="S505" s="587"/>
      <c r="X505" s="370"/>
      <c r="Y505" s="370"/>
      <c r="Z505" s="370"/>
      <c r="AB505" s="370"/>
      <c r="AC505" s="370"/>
    </row>
    <row r="506" hidden="1">
      <c r="A506" s="280"/>
      <c r="B506" s="280"/>
      <c r="C506" s="617"/>
      <c r="D506" s="1166"/>
      <c r="E506" s="1166"/>
      <c r="F506" s="1166"/>
      <c r="G506" s="1166"/>
      <c r="H506" s="1166"/>
      <c r="I506" s="1167"/>
      <c r="J506" s="1166"/>
      <c r="K506" s="1167"/>
      <c r="L506" s="1166"/>
      <c r="M506" s="1166"/>
      <c r="N506" s="1166"/>
      <c r="O506" s="280"/>
      <c r="P506" s="1167"/>
      <c r="R506" s="587"/>
      <c r="S506" s="587"/>
      <c r="X506" s="370"/>
      <c r="Y506" s="370"/>
      <c r="Z506" s="370"/>
      <c r="AB506" s="370"/>
      <c r="AC506" s="370"/>
    </row>
    <row r="507" hidden="1">
      <c r="A507" s="280"/>
      <c r="B507" s="280"/>
      <c r="C507" s="617"/>
      <c r="D507" s="1166"/>
      <c r="E507" s="1166"/>
      <c r="F507" s="1166"/>
      <c r="G507" s="1166"/>
      <c r="H507" s="1166"/>
      <c r="I507" s="1167"/>
      <c r="J507" s="1166"/>
      <c r="K507" s="1167"/>
      <c r="L507" s="1166"/>
      <c r="M507" s="1166"/>
      <c r="N507" s="1166"/>
      <c r="O507" s="280"/>
      <c r="P507" s="1167"/>
      <c r="R507" s="587"/>
      <c r="S507" s="587"/>
      <c r="X507" s="370"/>
      <c r="Y507" s="370"/>
      <c r="Z507" s="370"/>
      <c r="AB507" s="370"/>
      <c r="AC507" s="370"/>
    </row>
    <row r="508" hidden="1">
      <c r="A508" s="280"/>
      <c r="B508" s="280"/>
      <c r="C508" s="617"/>
      <c r="D508" s="1166"/>
      <c r="E508" s="1166"/>
      <c r="F508" s="1166"/>
      <c r="G508" s="1166"/>
      <c r="H508" s="1166"/>
      <c r="I508" s="1167"/>
      <c r="J508" s="1166"/>
      <c r="K508" s="1167"/>
      <c r="L508" s="1166"/>
      <c r="M508" s="1166"/>
      <c r="N508" s="1166"/>
      <c r="O508" s="280"/>
      <c r="P508" s="1167"/>
      <c r="R508" s="587"/>
      <c r="S508" s="587"/>
      <c r="X508" s="370"/>
      <c r="Y508" s="370"/>
      <c r="Z508" s="370"/>
      <c r="AB508" s="370"/>
      <c r="AC508" s="370"/>
    </row>
    <row r="509" hidden="1">
      <c r="A509" s="280"/>
      <c r="B509" s="280"/>
      <c r="C509" s="617"/>
      <c r="D509" s="1166"/>
      <c r="E509" s="1166"/>
      <c r="F509" s="1166"/>
      <c r="G509" s="1166"/>
      <c r="H509" s="1166"/>
      <c r="I509" s="1167"/>
      <c r="J509" s="1166"/>
      <c r="K509" s="1167"/>
      <c r="L509" s="1166"/>
      <c r="M509" s="1166"/>
      <c r="N509" s="1166"/>
      <c r="O509" s="280"/>
      <c r="P509" s="1167"/>
      <c r="R509" s="587"/>
      <c r="S509" s="587"/>
      <c r="X509" s="370"/>
      <c r="Y509" s="370"/>
      <c r="Z509" s="370"/>
      <c r="AB509" s="370"/>
      <c r="AC509" s="370"/>
    </row>
    <row r="510" hidden="1">
      <c r="A510" s="280"/>
      <c r="B510" s="280"/>
      <c r="C510" s="617"/>
      <c r="D510" s="1166"/>
      <c r="E510" s="1166"/>
      <c r="F510" s="1166"/>
      <c r="G510" s="1166"/>
      <c r="H510" s="1166"/>
      <c r="I510" s="1167"/>
      <c r="J510" s="1166"/>
      <c r="K510" s="1167"/>
      <c r="L510" s="1166"/>
      <c r="M510" s="1166"/>
      <c r="N510" s="1166"/>
      <c r="O510" s="280"/>
      <c r="P510" s="1167"/>
      <c r="R510" s="587"/>
      <c r="S510" s="587"/>
      <c r="X510" s="370"/>
      <c r="Y510" s="370"/>
      <c r="Z510" s="370"/>
      <c r="AB510" s="370"/>
      <c r="AC510" s="370"/>
    </row>
    <row r="511" hidden="1">
      <c r="A511" s="280"/>
      <c r="B511" s="280"/>
      <c r="C511" s="617"/>
      <c r="D511" s="1166"/>
      <c r="E511" s="1166"/>
      <c r="F511" s="1166"/>
      <c r="G511" s="1166"/>
      <c r="H511" s="1166"/>
      <c r="I511" s="1167"/>
      <c r="J511" s="1166"/>
      <c r="K511" s="1167"/>
      <c r="L511" s="1166"/>
      <c r="M511" s="1166"/>
      <c r="N511" s="1166"/>
      <c r="O511" s="280"/>
      <c r="P511" s="1167"/>
      <c r="R511" s="587"/>
      <c r="S511" s="587"/>
      <c r="X511" s="370"/>
      <c r="Y511" s="370"/>
      <c r="Z511" s="370"/>
      <c r="AB511" s="370"/>
      <c r="AC511" s="370"/>
    </row>
    <row r="512" hidden="1">
      <c r="A512" s="280"/>
      <c r="B512" s="280"/>
      <c r="C512" s="617"/>
      <c r="D512" s="1166"/>
      <c r="E512" s="1166"/>
      <c r="F512" s="1166"/>
      <c r="G512" s="1166"/>
      <c r="H512" s="1166"/>
      <c r="I512" s="1167"/>
      <c r="J512" s="1166"/>
      <c r="K512" s="1167"/>
      <c r="L512" s="1166"/>
      <c r="M512" s="1166"/>
      <c r="N512" s="1166"/>
      <c r="O512" s="280"/>
      <c r="P512" s="1167"/>
      <c r="R512" s="587"/>
      <c r="S512" s="587"/>
      <c r="X512" s="370"/>
      <c r="Y512" s="370"/>
      <c r="Z512" s="370"/>
      <c r="AB512" s="370"/>
      <c r="AC512" s="370"/>
    </row>
    <row r="513" hidden="1">
      <c r="A513" s="280"/>
      <c r="B513" s="280"/>
      <c r="C513" s="617"/>
      <c r="D513" s="1166"/>
      <c r="E513" s="1166"/>
      <c r="F513" s="1166"/>
      <c r="G513" s="1166"/>
      <c r="H513" s="1166"/>
      <c r="I513" s="1167"/>
      <c r="J513" s="1166"/>
      <c r="K513" s="1167"/>
      <c r="L513" s="1166"/>
      <c r="M513" s="1166"/>
      <c r="N513" s="1166"/>
      <c r="O513" s="280"/>
      <c r="P513" s="1167"/>
      <c r="R513" s="587"/>
      <c r="S513" s="587"/>
      <c r="X513" s="370"/>
      <c r="Y513" s="370"/>
      <c r="Z513" s="370"/>
      <c r="AB513" s="370"/>
      <c r="AC513" s="370"/>
    </row>
    <row r="514" hidden="1">
      <c r="A514" s="280"/>
      <c r="B514" s="280"/>
      <c r="C514" s="617"/>
      <c r="D514" s="1166"/>
      <c r="E514" s="1166"/>
      <c r="F514" s="1166"/>
      <c r="G514" s="1166"/>
      <c r="H514" s="1166"/>
      <c r="I514" s="1167"/>
      <c r="J514" s="1166"/>
      <c r="K514" s="1167"/>
      <c r="L514" s="1166"/>
      <c r="M514" s="1166"/>
      <c r="N514" s="1166"/>
      <c r="O514" s="280"/>
      <c r="P514" s="1167"/>
      <c r="R514" s="587"/>
      <c r="S514" s="587"/>
      <c r="X514" s="370"/>
      <c r="Y514" s="370"/>
      <c r="Z514" s="370"/>
      <c r="AB514" s="370"/>
      <c r="AC514" s="370"/>
    </row>
    <row r="515" hidden="1">
      <c r="A515" s="280"/>
      <c r="B515" s="280"/>
      <c r="C515" s="617"/>
      <c r="D515" s="1166"/>
      <c r="E515" s="1166"/>
      <c r="F515" s="1166"/>
      <c r="G515" s="1166"/>
      <c r="H515" s="1166"/>
      <c r="I515" s="1167"/>
      <c r="J515" s="1166"/>
      <c r="K515" s="1167"/>
      <c r="L515" s="1166"/>
      <c r="M515" s="1166"/>
      <c r="N515" s="1166"/>
      <c r="O515" s="280"/>
      <c r="P515" s="1167"/>
      <c r="R515" s="587"/>
      <c r="S515" s="587"/>
      <c r="X515" s="370"/>
      <c r="Y515" s="370"/>
      <c r="Z515" s="370"/>
      <c r="AB515" s="370"/>
      <c r="AC515" s="370"/>
    </row>
    <row r="516" hidden="1">
      <c r="A516" s="280"/>
      <c r="B516" s="280"/>
      <c r="C516" s="617"/>
      <c r="D516" s="1166"/>
      <c r="E516" s="1166"/>
      <c r="F516" s="1166"/>
      <c r="G516" s="1166"/>
      <c r="H516" s="1166"/>
      <c r="I516" s="1167"/>
      <c r="J516" s="1166"/>
      <c r="K516" s="1167"/>
      <c r="L516" s="1166"/>
      <c r="M516" s="1166"/>
      <c r="N516" s="1166"/>
      <c r="O516" s="280"/>
      <c r="P516" s="1167"/>
      <c r="R516" s="587"/>
      <c r="S516" s="587"/>
      <c r="X516" s="370"/>
      <c r="Y516" s="370"/>
      <c r="Z516" s="370"/>
      <c r="AB516" s="370"/>
      <c r="AC516" s="370"/>
    </row>
    <row r="517" hidden="1">
      <c r="A517" s="280"/>
      <c r="B517" s="280"/>
      <c r="C517" s="617"/>
      <c r="D517" s="1166"/>
      <c r="E517" s="1166"/>
      <c r="F517" s="1166"/>
      <c r="G517" s="1166"/>
      <c r="H517" s="1166"/>
      <c r="I517" s="1167"/>
      <c r="J517" s="1166"/>
      <c r="K517" s="1167"/>
      <c r="L517" s="1166"/>
      <c r="M517" s="1166"/>
      <c r="N517" s="1166"/>
      <c r="O517" s="280"/>
      <c r="P517" s="1167"/>
      <c r="R517" s="587"/>
      <c r="S517" s="587"/>
      <c r="X517" s="370"/>
      <c r="Y517" s="370"/>
      <c r="Z517" s="370"/>
      <c r="AB517" s="370"/>
      <c r="AC517" s="370"/>
    </row>
    <row r="518" hidden="1">
      <c r="A518" s="280"/>
      <c r="B518" s="280"/>
      <c r="C518" s="617"/>
      <c r="D518" s="1166"/>
      <c r="E518" s="1166"/>
      <c r="F518" s="1166"/>
      <c r="G518" s="1166"/>
      <c r="H518" s="1166"/>
      <c r="I518" s="1167"/>
      <c r="J518" s="1166"/>
      <c r="K518" s="1167"/>
      <c r="L518" s="1166"/>
      <c r="M518" s="1166"/>
      <c r="N518" s="1166"/>
      <c r="O518" s="280"/>
      <c r="P518" s="1167"/>
      <c r="R518" s="587"/>
      <c r="S518" s="587"/>
      <c r="X518" s="370"/>
      <c r="Y518" s="370"/>
      <c r="Z518" s="370"/>
      <c r="AB518" s="370"/>
      <c r="AC518" s="370"/>
    </row>
    <row r="519" hidden="1">
      <c r="A519" s="280"/>
      <c r="B519" s="280"/>
      <c r="C519" s="617"/>
      <c r="D519" s="1166"/>
      <c r="E519" s="1166"/>
      <c r="F519" s="1166"/>
      <c r="G519" s="1166"/>
      <c r="H519" s="1166"/>
      <c r="I519" s="1167"/>
      <c r="J519" s="1166"/>
      <c r="K519" s="1167"/>
      <c r="L519" s="1166"/>
      <c r="M519" s="1166"/>
      <c r="N519" s="1166"/>
      <c r="O519" s="280"/>
      <c r="P519" s="1167"/>
      <c r="R519" s="587"/>
      <c r="S519" s="587"/>
      <c r="X519" s="370"/>
      <c r="Y519" s="370"/>
      <c r="Z519" s="370"/>
      <c r="AB519" s="370"/>
      <c r="AC519" s="370"/>
    </row>
    <row r="520" hidden="1">
      <c r="A520" s="280"/>
      <c r="B520" s="280"/>
      <c r="C520" s="617"/>
      <c r="D520" s="1166"/>
      <c r="E520" s="1166"/>
      <c r="F520" s="1166"/>
      <c r="G520" s="1166"/>
      <c r="H520" s="1166"/>
      <c r="I520" s="1167"/>
      <c r="J520" s="1166"/>
      <c r="K520" s="1167"/>
      <c r="L520" s="1166"/>
      <c r="M520" s="1166"/>
      <c r="N520" s="1166"/>
      <c r="O520" s="280"/>
      <c r="P520" s="1167"/>
      <c r="R520" s="587"/>
      <c r="S520" s="587"/>
      <c r="X520" s="370"/>
      <c r="Y520" s="370"/>
      <c r="Z520" s="370"/>
      <c r="AB520" s="370"/>
      <c r="AC520" s="370"/>
    </row>
    <row r="521" hidden="1">
      <c r="A521" s="280"/>
      <c r="B521" s="280"/>
      <c r="C521" s="617"/>
      <c r="D521" s="1166"/>
      <c r="E521" s="1166"/>
      <c r="F521" s="1166"/>
      <c r="G521" s="1166"/>
      <c r="H521" s="1166"/>
      <c r="I521" s="1167"/>
      <c r="J521" s="1166"/>
      <c r="K521" s="1167"/>
      <c r="L521" s="1166"/>
      <c r="M521" s="1166"/>
      <c r="N521" s="1166"/>
      <c r="O521" s="280"/>
      <c r="P521" s="1167"/>
      <c r="R521" s="587"/>
      <c r="S521" s="587"/>
      <c r="X521" s="370"/>
      <c r="Y521" s="370"/>
      <c r="Z521" s="370"/>
      <c r="AB521" s="370"/>
      <c r="AC521" s="370"/>
    </row>
    <row r="522" hidden="1">
      <c r="A522" s="280"/>
      <c r="B522" s="280"/>
      <c r="C522" s="617"/>
      <c r="D522" s="1166"/>
      <c r="E522" s="1166"/>
      <c r="F522" s="1166"/>
      <c r="G522" s="1166"/>
      <c r="H522" s="1166"/>
      <c r="I522" s="1167"/>
      <c r="J522" s="1166"/>
      <c r="K522" s="1167"/>
      <c r="L522" s="1166"/>
      <c r="M522" s="1166"/>
      <c r="N522" s="1166"/>
      <c r="O522" s="280"/>
      <c r="P522" s="1167"/>
      <c r="R522" s="587"/>
      <c r="S522" s="587"/>
      <c r="X522" s="370"/>
      <c r="Y522" s="370"/>
      <c r="Z522" s="370"/>
      <c r="AB522" s="370"/>
      <c r="AC522" s="370"/>
    </row>
    <row r="523" hidden="1">
      <c r="A523" s="280"/>
      <c r="B523" s="280"/>
      <c r="C523" s="617"/>
      <c r="D523" s="1166"/>
      <c r="E523" s="1166"/>
      <c r="F523" s="1166"/>
      <c r="G523" s="1166"/>
      <c r="H523" s="1166"/>
      <c r="I523" s="1167"/>
      <c r="J523" s="1166"/>
      <c r="K523" s="1167"/>
      <c r="L523" s="1166"/>
      <c r="M523" s="1166"/>
      <c r="N523" s="1166"/>
      <c r="O523" s="280"/>
      <c r="P523" s="1167"/>
      <c r="R523" s="587"/>
      <c r="S523" s="587"/>
      <c r="X523" s="370"/>
      <c r="Y523" s="370"/>
      <c r="Z523" s="370"/>
      <c r="AB523" s="370"/>
      <c r="AC523" s="370"/>
    </row>
    <row r="524" hidden="1">
      <c r="A524" s="280"/>
      <c r="B524" s="280"/>
      <c r="C524" s="617"/>
      <c r="D524" s="1166"/>
      <c r="E524" s="1166"/>
      <c r="F524" s="1166"/>
      <c r="G524" s="1166"/>
      <c r="H524" s="1166"/>
      <c r="I524" s="1167"/>
      <c r="J524" s="1166"/>
      <c r="K524" s="1167"/>
      <c r="L524" s="1166"/>
      <c r="M524" s="1166"/>
      <c r="N524" s="1166"/>
      <c r="O524" s="280"/>
      <c r="P524" s="1167"/>
      <c r="R524" s="587"/>
      <c r="S524" s="587"/>
      <c r="X524" s="370"/>
      <c r="Y524" s="370"/>
      <c r="Z524" s="370"/>
      <c r="AB524" s="370"/>
      <c r="AC524" s="370"/>
    </row>
    <row r="525" hidden="1">
      <c r="A525" s="280"/>
      <c r="B525" s="280"/>
      <c r="C525" s="617"/>
      <c r="D525" s="1166"/>
      <c r="E525" s="1166"/>
      <c r="F525" s="1166"/>
      <c r="G525" s="1166"/>
      <c r="H525" s="1166"/>
      <c r="I525" s="1167"/>
      <c r="J525" s="1166"/>
      <c r="K525" s="1167"/>
      <c r="L525" s="1166"/>
      <c r="M525" s="1166"/>
      <c r="N525" s="1166"/>
      <c r="O525" s="280"/>
      <c r="P525" s="1167"/>
      <c r="R525" s="587"/>
      <c r="S525" s="587"/>
      <c r="X525" s="370"/>
      <c r="Y525" s="370"/>
      <c r="Z525" s="370"/>
      <c r="AB525" s="370"/>
      <c r="AC525" s="370"/>
    </row>
    <row r="526" hidden="1">
      <c r="A526" s="280"/>
      <c r="B526" s="280"/>
      <c r="C526" s="617"/>
      <c r="D526" s="1166"/>
      <c r="E526" s="1166"/>
      <c r="F526" s="1166"/>
      <c r="G526" s="1166"/>
      <c r="H526" s="1166"/>
      <c r="I526" s="1167"/>
      <c r="J526" s="1166"/>
      <c r="K526" s="1167"/>
      <c r="L526" s="1166"/>
      <c r="M526" s="1166"/>
      <c r="N526" s="1166"/>
      <c r="O526" s="280"/>
      <c r="P526" s="1167"/>
      <c r="R526" s="587"/>
      <c r="S526" s="587"/>
      <c r="X526" s="370"/>
      <c r="Y526" s="370"/>
      <c r="Z526" s="370"/>
      <c r="AB526" s="370"/>
      <c r="AC526" s="370"/>
    </row>
    <row r="527" hidden="1">
      <c r="A527" s="280"/>
      <c r="B527" s="280"/>
      <c r="C527" s="617"/>
      <c r="D527" s="1166"/>
      <c r="E527" s="1166"/>
      <c r="F527" s="1166"/>
      <c r="G527" s="1166"/>
      <c r="H527" s="1166"/>
      <c r="I527" s="1167"/>
      <c r="J527" s="1166"/>
      <c r="K527" s="1167"/>
      <c r="L527" s="1166"/>
      <c r="M527" s="1166"/>
      <c r="N527" s="1166"/>
      <c r="O527" s="280"/>
      <c r="P527" s="1167"/>
      <c r="R527" s="587"/>
      <c r="S527" s="587"/>
      <c r="X527" s="370"/>
      <c r="Y527" s="370"/>
      <c r="Z527" s="370"/>
      <c r="AB527" s="370"/>
      <c r="AC527" s="370"/>
    </row>
    <row r="528" hidden="1">
      <c r="A528" s="280"/>
      <c r="B528" s="280"/>
      <c r="C528" s="617"/>
      <c r="D528" s="1166"/>
      <c r="E528" s="1166"/>
      <c r="F528" s="1166"/>
      <c r="G528" s="1166"/>
      <c r="H528" s="1166"/>
      <c r="I528" s="1167"/>
      <c r="J528" s="1166"/>
      <c r="K528" s="1167"/>
      <c r="L528" s="1166"/>
      <c r="M528" s="1166"/>
      <c r="N528" s="1166"/>
      <c r="O528" s="280"/>
      <c r="P528" s="1167"/>
      <c r="R528" s="587"/>
      <c r="S528" s="587"/>
      <c r="X528" s="370"/>
      <c r="Y528" s="370"/>
      <c r="Z528" s="370"/>
      <c r="AB528" s="370"/>
      <c r="AC528" s="370"/>
    </row>
    <row r="529" hidden="1">
      <c r="A529" s="280"/>
      <c r="B529" s="280"/>
      <c r="C529" s="617"/>
      <c r="D529" s="1166"/>
      <c r="E529" s="1166"/>
      <c r="F529" s="1166"/>
      <c r="G529" s="1166"/>
      <c r="H529" s="1166"/>
      <c r="I529" s="1167"/>
      <c r="J529" s="1166"/>
      <c r="K529" s="1167"/>
      <c r="L529" s="1166"/>
      <c r="M529" s="1166"/>
      <c r="N529" s="1166"/>
      <c r="O529" s="280"/>
      <c r="P529" s="1167"/>
      <c r="R529" s="587"/>
      <c r="S529" s="587"/>
      <c r="X529" s="370"/>
      <c r="Y529" s="370"/>
      <c r="Z529" s="370"/>
      <c r="AB529" s="370"/>
      <c r="AC529" s="370"/>
    </row>
    <row r="530" hidden="1">
      <c r="A530" s="280"/>
      <c r="B530" s="280"/>
      <c r="C530" s="617"/>
      <c r="D530" s="1166"/>
      <c r="E530" s="1166"/>
      <c r="F530" s="1166"/>
      <c r="G530" s="1166"/>
      <c r="H530" s="1166"/>
      <c r="I530" s="1167"/>
      <c r="J530" s="1166"/>
      <c r="K530" s="1167"/>
      <c r="L530" s="1166"/>
      <c r="M530" s="1166"/>
      <c r="N530" s="1166"/>
      <c r="O530" s="280"/>
      <c r="P530" s="1167"/>
      <c r="R530" s="587"/>
      <c r="S530" s="587"/>
      <c r="X530" s="370"/>
      <c r="Y530" s="370"/>
      <c r="Z530" s="370"/>
      <c r="AB530" s="370"/>
      <c r="AC530" s="370"/>
    </row>
    <row r="531" hidden="1">
      <c r="A531" s="280"/>
      <c r="B531" s="280"/>
      <c r="C531" s="617"/>
      <c r="D531" s="1166"/>
      <c r="E531" s="1166"/>
      <c r="F531" s="1166"/>
      <c r="G531" s="1166"/>
      <c r="H531" s="1166"/>
      <c r="I531" s="1167"/>
      <c r="J531" s="1166"/>
      <c r="K531" s="1167"/>
      <c r="L531" s="1166"/>
      <c r="M531" s="1166"/>
      <c r="N531" s="1166"/>
      <c r="O531" s="280"/>
      <c r="P531" s="1167"/>
      <c r="R531" s="587"/>
      <c r="S531" s="587"/>
      <c r="X531" s="370"/>
      <c r="Y531" s="370"/>
      <c r="Z531" s="370"/>
      <c r="AB531" s="370"/>
      <c r="AC531" s="370"/>
    </row>
    <row r="532" hidden="1">
      <c r="A532" s="280"/>
      <c r="B532" s="280"/>
      <c r="C532" s="617"/>
      <c r="D532" s="1166"/>
      <c r="E532" s="1166"/>
      <c r="F532" s="1166"/>
      <c r="G532" s="1166"/>
      <c r="H532" s="1166"/>
      <c r="I532" s="1167"/>
      <c r="J532" s="1166"/>
      <c r="K532" s="1167"/>
      <c r="L532" s="1166"/>
      <c r="M532" s="1166"/>
      <c r="N532" s="1166"/>
      <c r="O532" s="280"/>
      <c r="P532" s="1167"/>
      <c r="R532" s="587"/>
      <c r="S532" s="587"/>
      <c r="X532" s="370"/>
      <c r="Y532" s="370"/>
      <c r="Z532" s="370"/>
      <c r="AB532" s="370"/>
      <c r="AC532" s="370"/>
    </row>
    <row r="533" hidden="1">
      <c r="A533" s="280"/>
      <c r="B533" s="280"/>
      <c r="C533" s="617"/>
      <c r="D533" s="1166"/>
      <c r="E533" s="1166"/>
      <c r="F533" s="1166"/>
      <c r="G533" s="1166"/>
      <c r="H533" s="1166"/>
      <c r="I533" s="1167"/>
      <c r="J533" s="1166"/>
      <c r="K533" s="1167"/>
      <c r="L533" s="1166"/>
      <c r="M533" s="1166"/>
      <c r="N533" s="1166"/>
      <c r="O533" s="280"/>
      <c r="P533" s="1167"/>
      <c r="R533" s="587"/>
      <c r="S533" s="587"/>
      <c r="X533" s="370"/>
      <c r="Y533" s="370"/>
      <c r="Z533" s="370"/>
      <c r="AB533" s="370"/>
      <c r="AC533" s="370"/>
    </row>
    <row r="534" hidden="1">
      <c r="A534" s="280"/>
      <c r="B534" s="280"/>
      <c r="C534" s="617"/>
      <c r="D534" s="1166"/>
      <c r="E534" s="1166"/>
      <c r="F534" s="1166"/>
      <c r="G534" s="1166"/>
      <c r="H534" s="1166"/>
      <c r="I534" s="1167"/>
      <c r="J534" s="1166"/>
      <c r="K534" s="1167"/>
      <c r="L534" s="1166"/>
      <c r="M534" s="1166"/>
      <c r="N534" s="1166"/>
      <c r="O534" s="280"/>
      <c r="P534" s="1167"/>
      <c r="R534" s="587"/>
      <c r="S534" s="587"/>
      <c r="X534" s="370"/>
      <c r="Y534" s="370"/>
      <c r="Z534" s="370"/>
      <c r="AB534" s="370"/>
      <c r="AC534" s="370"/>
    </row>
    <row r="535" hidden="1">
      <c r="A535" s="280"/>
      <c r="B535" s="280"/>
      <c r="C535" s="617"/>
      <c r="D535" s="1166"/>
      <c r="E535" s="1166"/>
      <c r="F535" s="1166"/>
      <c r="G535" s="1166"/>
      <c r="H535" s="1166"/>
      <c r="I535" s="1167"/>
      <c r="J535" s="1166"/>
      <c r="K535" s="1167"/>
      <c r="L535" s="1166"/>
      <c r="M535" s="1166"/>
      <c r="N535" s="1166"/>
      <c r="O535" s="280"/>
      <c r="P535" s="1167"/>
      <c r="R535" s="587"/>
      <c r="S535" s="587"/>
      <c r="X535" s="370"/>
      <c r="Y535" s="370"/>
      <c r="Z535" s="370"/>
      <c r="AB535" s="370"/>
      <c r="AC535" s="370"/>
    </row>
    <row r="536" hidden="1">
      <c r="A536" s="280"/>
      <c r="B536" s="280"/>
      <c r="C536" s="617"/>
      <c r="D536" s="1166"/>
      <c r="E536" s="1166"/>
      <c r="F536" s="1166"/>
      <c r="G536" s="1166"/>
      <c r="H536" s="1166"/>
      <c r="I536" s="1167"/>
      <c r="J536" s="1166"/>
      <c r="K536" s="1167"/>
      <c r="L536" s="1166"/>
      <c r="M536" s="1166"/>
      <c r="N536" s="1166"/>
      <c r="O536" s="280"/>
      <c r="P536" s="1167"/>
      <c r="R536" s="587"/>
      <c r="S536" s="587"/>
      <c r="X536" s="370"/>
      <c r="Y536" s="370"/>
      <c r="Z536" s="370"/>
      <c r="AB536" s="370"/>
      <c r="AC536" s="370"/>
    </row>
    <row r="537" hidden="1">
      <c r="A537" s="280"/>
      <c r="B537" s="280"/>
      <c r="C537" s="617"/>
      <c r="D537" s="1166"/>
      <c r="E537" s="1166"/>
      <c r="F537" s="1166"/>
      <c r="G537" s="1166"/>
      <c r="H537" s="1166"/>
      <c r="I537" s="1167"/>
      <c r="J537" s="1166"/>
      <c r="K537" s="1167"/>
      <c r="L537" s="1166"/>
      <c r="M537" s="1166"/>
      <c r="N537" s="1166"/>
      <c r="O537" s="280"/>
      <c r="P537" s="1167"/>
      <c r="R537" s="587"/>
      <c r="S537" s="587"/>
      <c r="X537" s="370"/>
      <c r="Y537" s="370"/>
      <c r="Z537" s="370"/>
      <c r="AB537" s="370"/>
      <c r="AC537" s="370"/>
    </row>
    <row r="538" hidden="1">
      <c r="A538" s="280"/>
      <c r="B538" s="280"/>
      <c r="C538" s="617"/>
      <c r="D538" s="1166"/>
      <c r="E538" s="1166"/>
      <c r="F538" s="1166"/>
      <c r="G538" s="1166"/>
      <c r="H538" s="1166"/>
      <c r="I538" s="1167"/>
      <c r="J538" s="1166"/>
      <c r="K538" s="1167"/>
      <c r="L538" s="1166"/>
      <c r="M538" s="1166"/>
      <c r="N538" s="1166"/>
      <c r="O538" s="280"/>
      <c r="P538" s="1167"/>
      <c r="R538" s="587"/>
      <c r="S538" s="587"/>
      <c r="X538" s="370"/>
      <c r="Y538" s="370"/>
      <c r="Z538" s="370"/>
      <c r="AB538" s="370"/>
      <c r="AC538" s="370"/>
    </row>
    <row r="539" hidden="1">
      <c r="A539" s="280"/>
      <c r="B539" s="280"/>
      <c r="C539" s="617"/>
      <c r="D539" s="1166"/>
      <c r="E539" s="1166"/>
      <c r="F539" s="1166"/>
      <c r="G539" s="1166"/>
      <c r="H539" s="1166"/>
      <c r="I539" s="1167"/>
      <c r="J539" s="1166"/>
      <c r="K539" s="1167"/>
      <c r="L539" s="1166"/>
      <c r="M539" s="1166"/>
      <c r="N539" s="1166"/>
      <c r="O539" s="280"/>
      <c r="P539" s="1167"/>
      <c r="R539" s="587"/>
      <c r="S539" s="587"/>
      <c r="X539" s="370"/>
      <c r="Y539" s="370"/>
      <c r="Z539" s="370"/>
      <c r="AB539" s="370"/>
      <c r="AC539" s="370"/>
    </row>
    <row r="540" hidden="1">
      <c r="A540" s="280"/>
      <c r="B540" s="280"/>
      <c r="C540" s="617"/>
      <c r="D540" s="1166"/>
      <c r="E540" s="1166"/>
      <c r="F540" s="1166"/>
      <c r="G540" s="1166"/>
      <c r="H540" s="1166"/>
      <c r="I540" s="1167"/>
      <c r="J540" s="1166"/>
      <c r="K540" s="1167"/>
      <c r="L540" s="1166"/>
      <c r="M540" s="1166"/>
      <c r="N540" s="1166"/>
      <c r="O540" s="280"/>
      <c r="P540" s="1167"/>
      <c r="R540" s="587"/>
      <c r="S540" s="587"/>
      <c r="X540" s="370"/>
      <c r="Y540" s="370"/>
      <c r="Z540" s="370"/>
      <c r="AB540" s="370"/>
      <c r="AC540" s="370"/>
    </row>
    <row r="541" hidden="1">
      <c r="A541" s="280"/>
      <c r="B541" s="280"/>
      <c r="C541" s="617"/>
      <c r="D541" s="1166"/>
      <c r="E541" s="1166"/>
      <c r="F541" s="1166"/>
      <c r="G541" s="1166"/>
      <c r="H541" s="1166"/>
      <c r="I541" s="1167"/>
      <c r="J541" s="1166"/>
      <c r="K541" s="1167"/>
      <c r="L541" s="1166"/>
      <c r="M541" s="1166"/>
      <c r="N541" s="1166"/>
      <c r="O541" s="280"/>
      <c r="P541" s="1167"/>
      <c r="R541" s="587"/>
      <c r="S541" s="587"/>
      <c r="X541" s="370"/>
      <c r="Y541" s="370"/>
      <c r="Z541" s="370"/>
      <c r="AB541" s="370"/>
      <c r="AC541" s="370"/>
    </row>
    <row r="542" hidden="1">
      <c r="A542" s="280"/>
      <c r="B542" s="280"/>
      <c r="C542" s="617"/>
      <c r="D542" s="1166"/>
      <c r="E542" s="1166"/>
      <c r="F542" s="1166"/>
      <c r="G542" s="1166"/>
      <c r="H542" s="1166"/>
      <c r="I542" s="1167"/>
      <c r="J542" s="1166"/>
      <c r="K542" s="1167"/>
      <c r="L542" s="1166"/>
      <c r="M542" s="1166"/>
      <c r="N542" s="1166"/>
      <c r="O542" s="280"/>
      <c r="P542" s="1167"/>
      <c r="R542" s="587"/>
      <c r="S542" s="587"/>
      <c r="X542" s="370"/>
      <c r="Y542" s="370"/>
      <c r="Z542" s="370"/>
      <c r="AB542" s="370"/>
      <c r="AC542" s="370"/>
    </row>
    <row r="543" hidden="1">
      <c r="A543" s="280"/>
      <c r="B543" s="280"/>
      <c r="C543" s="617"/>
      <c r="D543" s="1166"/>
      <c r="E543" s="1166"/>
      <c r="F543" s="1166"/>
      <c r="G543" s="1166"/>
      <c r="H543" s="1166"/>
      <c r="I543" s="1167"/>
      <c r="J543" s="1166"/>
      <c r="K543" s="1167"/>
      <c r="L543" s="1166"/>
      <c r="M543" s="1166"/>
      <c r="N543" s="1166"/>
      <c r="O543" s="280"/>
      <c r="P543" s="1167"/>
      <c r="R543" s="587"/>
      <c r="S543" s="587"/>
      <c r="X543" s="370"/>
      <c r="Y543" s="370"/>
      <c r="Z543" s="370"/>
      <c r="AB543" s="370"/>
      <c r="AC543" s="370"/>
    </row>
    <row r="544" hidden="1">
      <c r="A544" s="280"/>
      <c r="B544" s="280"/>
      <c r="C544" s="617"/>
      <c r="D544" s="1166"/>
      <c r="E544" s="1166"/>
      <c r="F544" s="1166"/>
      <c r="G544" s="1166"/>
      <c r="H544" s="1166"/>
      <c r="I544" s="1167"/>
      <c r="J544" s="1166"/>
      <c r="K544" s="1167"/>
      <c r="L544" s="1166"/>
      <c r="M544" s="1166"/>
      <c r="N544" s="1166"/>
      <c r="O544" s="280"/>
      <c r="P544" s="1167"/>
      <c r="R544" s="587"/>
      <c r="S544" s="587"/>
      <c r="X544" s="370"/>
      <c r="Y544" s="370"/>
      <c r="Z544" s="370"/>
      <c r="AB544" s="370"/>
      <c r="AC544" s="370"/>
    </row>
    <row r="545" hidden="1">
      <c r="A545" s="280"/>
      <c r="B545" s="280"/>
      <c r="C545" s="617"/>
      <c r="D545" s="1166"/>
      <c r="E545" s="1166"/>
      <c r="F545" s="1166"/>
      <c r="G545" s="1166"/>
      <c r="H545" s="1166"/>
      <c r="I545" s="1167"/>
      <c r="J545" s="1166"/>
      <c r="K545" s="1167"/>
      <c r="L545" s="1166"/>
      <c r="M545" s="1166"/>
      <c r="N545" s="1166"/>
      <c r="O545" s="280"/>
      <c r="P545" s="1167"/>
      <c r="R545" s="587"/>
      <c r="S545" s="587"/>
      <c r="X545" s="370"/>
      <c r="Y545" s="370"/>
      <c r="Z545" s="370"/>
      <c r="AB545" s="370"/>
      <c r="AC545" s="370"/>
    </row>
    <row r="546" hidden="1">
      <c r="A546" s="280"/>
      <c r="B546" s="280"/>
      <c r="C546" s="617"/>
      <c r="D546" s="1166"/>
      <c r="E546" s="1166"/>
      <c r="F546" s="1166"/>
      <c r="G546" s="1166"/>
      <c r="H546" s="1166"/>
      <c r="I546" s="1167"/>
      <c r="J546" s="1166"/>
      <c r="K546" s="1167"/>
      <c r="L546" s="1166"/>
      <c r="M546" s="1166"/>
      <c r="N546" s="1166"/>
      <c r="O546" s="280"/>
      <c r="P546" s="1167"/>
      <c r="R546" s="587"/>
      <c r="S546" s="587"/>
      <c r="X546" s="370"/>
      <c r="Y546" s="370"/>
      <c r="Z546" s="370"/>
      <c r="AB546" s="370"/>
      <c r="AC546" s="370"/>
    </row>
    <row r="547" hidden="1">
      <c r="A547" s="280"/>
      <c r="B547" s="280"/>
      <c r="C547" s="617"/>
      <c r="D547" s="1166"/>
      <c r="E547" s="1166"/>
      <c r="F547" s="1166"/>
      <c r="G547" s="1166"/>
      <c r="H547" s="1166"/>
      <c r="I547" s="1167"/>
      <c r="J547" s="1166"/>
      <c r="K547" s="1167"/>
      <c r="L547" s="1166"/>
      <c r="M547" s="1166"/>
      <c r="N547" s="1166"/>
      <c r="O547" s="280"/>
      <c r="P547" s="1167"/>
      <c r="R547" s="587"/>
      <c r="S547" s="587"/>
      <c r="X547" s="370"/>
      <c r="Y547" s="370"/>
      <c r="Z547" s="370"/>
      <c r="AB547" s="370"/>
      <c r="AC547" s="370"/>
    </row>
    <row r="548" hidden="1">
      <c r="A548" s="280"/>
      <c r="B548" s="280"/>
      <c r="C548" s="617"/>
      <c r="D548" s="1166"/>
      <c r="E548" s="1166"/>
      <c r="F548" s="1166"/>
      <c r="G548" s="1166"/>
      <c r="H548" s="1166"/>
      <c r="I548" s="1167"/>
      <c r="J548" s="1166"/>
      <c r="K548" s="1167"/>
      <c r="L548" s="1166"/>
      <c r="M548" s="1166"/>
      <c r="N548" s="1166"/>
      <c r="O548" s="280"/>
      <c r="P548" s="1167"/>
      <c r="R548" s="587"/>
      <c r="S548" s="587"/>
      <c r="X548" s="370"/>
      <c r="Y548" s="370"/>
      <c r="Z548" s="370"/>
      <c r="AB548" s="370"/>
      <c r="AC548" s="370"/>
    </row>
    <row r="549" hidden="1">
      <c r="A549" s="280"/>
      <c r="B549" s="280"/>
      <c r="C549" s="617"/>
      <c r="D549" s="1166"/>
      <c r="E549" s="1166"/>
      <c r="F549" s="1166"/>
      <c r="G549" s="1166"/>
      <c r="H549" s="1166"/>
      <c r="I549" s="1167"/>
      <c r="J549" s="1166"/>
      <c r="K549" s="1167"/>
      <c r="L549" s="1166"/>
      <c r="M549" s="1166"/>
      <c r="N549" s="1166"/>
      <c r="O549" s="280"/>
      <c r="P549" s="1167"/>
      <c r="R549" s="587"/>
      <c r="S549" s="587"/>
      <c r="X549" s="370"/>
      <c r="Y549" s="370"/>
      <c r="Z549" s="370"/>
      <c r="AB549" s="370"/>
      <c r="AC549" s="370"/>
    </row>
    <row r="550" hidden="1">
      <c r="A550" s="280"/>
      <c r="B550" s="280"/>
      <c r="C550" s="617"/>
      <c r="D550" s="1166"/>
      <c r="E550" s="1166"/>
      <c r="F550" s="1166"/>
      <c r="G550" s="1166"/>
      <c r="H550" s="1166"/>
      <c r="I550" s="1167"/>
      <c r="J550" s="1166"/>
      <c r="K550" s="1167"/>
      <c r="L550" s="1166"/>
      <c r="M550" s="1166"/>
      <c r="N550" s="1166"/>
      <c r="O550" s="280"/>
      <c r="P550" s="1167"/>
      <c r="R550" s="587"/>
      <c r="S550" s="587"/>
      <c r="X550" s="370"/>
      <c r="Y550" s="370"/>
      <c r="Z550" s="370"/>
      <c r="AB550" s="370"/>
      <c r="AC550" s="370"/>
    </row>
    <row r="551" hidden="1">
      <c r="A551" s="280"/>
      <c r="B551" s="280"/>
      <c r="C551" s="617"/>
      <c r="D551" s="1166"/>
      <c r="E551" s="1166"/>
      <c r="F551" s="1166"/>
      <c r="G551" s="1166"/>
      <c r="H551" s="1166"/>
      <c r="I551" s="1167"/>
      <c r="J551" s="1166"/>
      <c r="K551" s="1167"/>
      <c r="L551" s="1166"/>
      <c r="M551" s="1166"/>
      <c r="N551" s="1166"/>
      <c r="O551" s="280"/>
      <c r="P551" s="1167"/>
      <c r="R551" s="587"/>
      <c r="S551" s="587"/>
      <c r="X551" s="370"/>
      <c r="Y551" s="370"/>
      <c r="Z551" s="370"/>
      <c r="AB551" s="370"/>
      <c r="AC551" s="370"/>
    </row>
    <row r="552" hidden="1">
      <c r="A552" s="280"/>
      <c r="B552" s="280"/>
      <c r="C552" s="617"/>
      <c r="D552" s="1166"/>
      <c r="E552" s="1166"/>
      <c r="F552" s="1166"/>
      <c r="G552" s="1166"/>
      <c r="H552" s="1166"/>
      <c r="I552" s="1167"/>
      <c r="J552" s="1166"/>
      <c r="K552" s="1167"/>
      <c r="L552" s="1166"/>
      <c r="M552" s="1166"/>
      <c r="N552" s="1166"/>
      <c r="O552" s="280"/>
      <c r="P552" s="1167"/>
      <c r="R552" s="587"/>
      <c r="S552" s="587"/>
      <c r="X552" s="370"/>
      <c r="Y552" s="370"/>
      <c r="Z552" s="370"/>
      <c r="AB552" s="370"/>
      <c r="AC552" s="370"/>
    </row>
    <row r="553" hidden="1">
      <c r="A553" s="280"/>
      <c r="B553" s="280"/>
      <c r="C553" s="617"/>
      <c r="D553" s="1166"/>
      <c r="E553" s="1166"/>
      <c r="F553" s="1166"/>
      <c r="G553" s="1166"/>
      <c r="H553" s="1166"/>
      <c r="I553" s="1167"/>
      <c r="J553" s="1166"/>
      <c r="K553" s="1167"/>
      <c r="L553" s="1166"/>
      <c r="M553" s="1166"/>
      <c r="N553" s="1166"/>
      <c r="O553" s="280"/>
      <c r="P553" s="1167"/>
      <c r="R553" s="587"/>
      <c r="S553" s="587"/>
      <c r="X553" s="370"/>
      <c r="Y553" s="370"/>
      <c r="Z553" s="370"/>
      <c r="AB553" s="370"/>
      <c r="AC553" s="370"/>
    </row>
    <row r="554" hidden="1">
      <c r="A554" s="280"/>
      <c r="B554" s="280"/>
      <c r="C554" s="617"/>
      <c r="D554" s="1166"/>
      <c r="E554" s="1166"/>
      <c r="F554" s="1166"/>
      <c r="G554" s="1166"/>
      <c r="H554" s="1166"/>
      <c r="I554" s="1167"/>
      <c r="J554" s="1166"/>
      <c r="K554" s="1167"/>
      <c r="L554" s="1166"/>
      <c r="M554" s="1166"/>
      <c r="N554" s="1166"/>
      <c r="O554" s="280"/>
      <c r="P554" s="1167"/>
      <c r="R554" s="587"/>
      <c r="S554" s="587"/>
      <c r="X554" s="370"/>
      <c r="Y554" s="370"/>
      <c r="Z554" s="370"/>
      <c r="AB554" s="370"/>
      <c r="AC554" s="370"/>
    </row>
    <row r="555" hidden="1">
      <c r="A555" s="280"/>
      <c r="B555" s="280"/>
      <c r="C555" s="617"/>
      <c r="D555" s="1166"/>
      <c r="E555" s="1166"/>
      <c r="F555" s="1166"/>
      <c r="G555" s="1166"/>
      <c r="H555" s="1166"/>
      <c r="I555" s="1167"/>
      <c r="J555" s="1166"/>
      <c r="K555" s="1167"/>
      <c r="L555" s="1166"/>
      <c r="M555" s="1166"/>
      <c r="N555" s="1166"/>
      <c r="O555" s="280"/>
      <c r="P555" s="1167"/>
      <c r="R555" s="587"/>
      <c r="S555" s="587"/>
      <c r="X555" s="370"/>
      <c r="Y555" s="370"/>
      <c r="Z555" s="370"/>
      <c r="AB555" s="370"/>
      <c r="AC555" s="370"/>
    </row>
    <row r="556" hidden="1">
      <c r="A556" s="280"/>
      <c r="B556" s="280"/>
      <c r="C556" s="617"/>
      <c r="D556" s="1166"/>
      <c r="E556" s="1166"/>
      <c r="F556" s="1166"/>
      <c r="G556" s="1166"/>
      <c r="H556" s="1166"/>
      <c r="I556" s="1167"/>
      <c r="J556" s="1166"/>
      <c r="K556" s="1167"/>
      <c r="L556" s="1166"/>
      <c r="M556" s="1166"/>
      <c r="N556" s="1166"/>
      <c r="O556" s="280"/>
      <c r="P556" s="1167"/>
      <c r="R556" s="587"/>
      <c r="S556" s="587"/>
      <c r="X556" s="370"/>
      <c r="Y556" s="370"/>
      <c r="Z556" s="370"/>
      <c r="AB556" s="370"/>
      <c r="AC556" s="370"/>
    </row>
    <row r="557" hidden="1">
      <c r="A557" s="280"/>
      <c r="B557" s="280"/>
      <c r="C557" s="617"/>
      <c r="D557" s="1166"/>
      <c r="E557" s="1166"/>
      <c r="F557" s="1166"/>
      <c r="G557" s="1166"/>
      <c r="H557" s="1166"/>
      <c r="I557" s="1167"/>
      <c r="J557" s="1166"/>
      <c r="K557" s="1167"/>
      <c r="L557" s="1166"/>
      <c r="M557" s="1166"/>
      <c r="N557" s="1166"/>
      <c r="O557" s="280"/>
      <c r="P557" s="1167"/>
      <c r="R557" s="587"/>
      <c r="S557" s="587"/>
      <c r="X557" s="370"/>
      <c r="Y557" s="370"/>
      <c r="Z557" s="370"/>
      <c r="AB557" s="370"/>
      <c r="AC557" s="370"/>
    </row>
    <row r="558" hidden="1">
      <c r="A558" s="280"/>
      <c r="B558" s="280"/>
      <c r="C558" s="617"/>
      <c r="D558" s="1166"/>
      <c r="E558" s="1166"/>
      <c r="F558" s="1166"/>
      <c r="G558" s="1166"/>
      <c r="H558" s="1166"/>
      <c r="I558" s="1167"/>
      <c r="J558" s="1166"/>
      <c r="K558" s="1167"/>
      <c r="L558" s="1166"/>
      <c r="M558" s="1166"/>
      <c r="N558" s="1166"/>
      <c r="O558" s="280"/>
      <c r="P558" s="1167"/>
      <c r="R558" s="587"/>
      <c r="S558" s="587"/>
      <c r="X558" s="370"/>
      <c r="Y558" s="370"/>
      <c r="Z558" s="370"/>
      <c r="AB558" s="370"/>
      <c r="AC558" s="370"/>
    </row>
    <row r="559" hidden="1">
      <c r="A559" s="280"/>
      <c r="B559" s="280"/>
      <c r="C559" s="617"/>
      <c r="D559" s="1166"/>
      <c r="E559" s="1166"/>
      <c r="F559" s="1166"/>
      <c r="G559" s="1166"/>
      <c r="H559" s="1166"/>
      <c r="I559" s="1167"/>
      <c r="J559" s="1166"/>
      <c r="K559" s="1167"/>
      <c r="L559" s="1166"/>
      <c r="M559" s="1166"/>
      <c r="N559" s="1166"/>
      <c r="O559" s="280"/>
      <c r="P559" s="1167"/>
      <c r="R559" s="587"/>
      <c r="S559" s="587"/>
      <c r="X559" s="370"/>
      <c r="Y559" s="370"/>
      <c r="Z559" s="370"/>
      <c r="AB559" s="370"/>
      <c r="AC559" s="370"/>
    </row>
    <row r="560" hidden="1">
      <c r="A560" s="280"/>
      <c r="B560" s="280"/>
      <c r="C560" s="617"/>
      <c r="D560" s="1166"/>
      <c r="E560" s="1166"/>
      <c r="F560" s="1166"/>
      <c r="G560" s="1166"/>
      <c r="H560" s="1166"/>
      <c r="I560" s="1167"/>
      <c r="J560" s="1166"/>
      <c r="K560" s="1167"/>
      <c r="L560" s="1166"/>
      <c r="M560" s="1166"/>
      <c r="N560" s="1166"/>
      <c r="O560" s="280"/>
      <c r="P560" s="1167"/>
      <c r="R560" s="587"/>
      <c r="S560" s="587"/>
      <c r="X560" s="370"/>
      <c r="Y560" s="370"/>
      <c r="Z560" s="370"/>
      <c r="AB560" s="370"/>
      <c r="AC560" s="370"/>
    </row>
    <row r="561" hidden="1">
      <c r="A561" s="280"/>
      <c r="B561" s="280"/>
      <c r="C561" s="617"/>
      <c r="D561" s="1166"/>
      <c r="E561" s="1166"/>
      <c r="F561" s="1166"/>
      <c r="G561" s="1166"/>
      <c r="H561" s="1166"/>
      <c r="I561" s="1167"/>
      <c r="J561" s="1166"/>
      <c r="K561" s="1167"/>
      <c r="L561" s="1166"/>
      <c r="M561" s="1166"/>
      <c r="N561" s="1166"/>
      <c r="O561" s="280"/>
      <c r="P561" s="1167"/>
      <c r="R561" s="587"/>
      <c r="S561" s="587"/>
      <c r="X561" s="370"/>
      <c r="Y561" s="370"/>
      <c r="Z561" s="370"/>
      <c r="AB561" s="370"/>
      <c r="AC561" s="370"/>
    </row>
    <row r="562" hidden="1">
      <c r="A562" s="280"/>
      <c r="B562" s="280"/>
      <c r="C562" s="617"/>
      <c r="D562" s="1166"/>
      <c r="E562" s="1166"/>
      <c r="F562" s="1166"/>
      <c r="G562" s="1166"/>
      <c r="H562" s="1166"/>
      <c r="I562" s="1167"/>
      <c r="J562" s="1166"/>
      <c r="K562" s="1167"/>
      <c r="L562" s="1166"/>
      <c r="M562" s="1166"/>
      <c r="N562" s="1166"/>
      <c r="O562" s="280"/>
      <c r="P562" s="1167"/>
      <c r="R562" s="587"/>
      <c r="S562" s="587"/>
      <c r="X562" s="370"/>
      <c r="Y562" s="370"/>
      <c r="Z562" s="370"/>
      <c r="AB562" s="370"/>
      <c r="AC562" s="370"/>
    </row>
    <row r="563" hidden="1">
      <c r="A563" s="280"/>
      <c r="B563" s="280"/>
      <c r="C563" s="617"/>
      <c r="D563" s="1166"/>
      <c r="E563" s="1166"/>
      <c r="F563" s="1166"/>
      <c r="G563" s="1166"/>
      <c r="H563" s="1166"/>
      <c r="I563" s="1167"/>
      <c r="J563" s="1166"/>
      <c r="K563" s="1167"/>
      <c r="L563" s="1166"/>
      <c r="M563" s="1166"/>
      <c r="N563" s="1166"/>
      <c r="O563" s="280"/>
      <c r="P563" s="1167"/>
      <c r="R563" s="587"/>
      <c r="S563" s="587"/>
      <c r="X563" s="370"/>
      <c r="Y563" s="370"/>
      <c r="Z563" s="370"/>
      <c r="AB563" s="370"/>
      <c r="AC563" s="370"/>
    </row>
    <row r="564" hidden="1">
      <c r="A564" s="280"/>
      <c r="B564" s="280"/>
      <c r="C564" s="617"/>
      <c r="D564" s="1166"/>
      <c r="E564" s="1166"/>
      <c r="F564" s="1166"/>
      <c r="G564" s="1166"/>
      <c r="H564" s="1166"/>
      <c r="I564" s="1167"/>
      <c r="J564" s="1166"/>
      <c r="K564" s="1167"/>
      <c r="L564" s="1166"/>
      <c r="M564" s="1166"/>
      <c r="N564" s="1166"/>
      <c r="O564" s="280"/>
      <c r="P564" s="1167"/>
      <c r="R564" s="587"/>
      <c r="S564" s="587"/>
      <c r="X564" s="370"/>
      <c r="Y564" s="370"/>
      <c r="Z564" s="370"/>
      <c r="AB564" s="370"/>
      <c r="AC564" s="370"/>
    </row>
    <row r="565" hidden="1">
      <c r="A565" s="280"/>
      <c r="B565" s="280"/>
      <c r="C565" s="617"/>
      <c r="D565" s="1166"/>
      <c r="E565" s="1166"/>
      <c r="F565" s="1166"/>
      <c r="G565" s="1166"/>
      <c r="H565" s="1166"/>
      <c r="I565" s="1167"/>
      <c r="J565" s="1166"/>
      <c r="K565" s="1167"/>
      <c r="L565" s="1166"/>
      <c r="M565" s="1166"/>
      <c r="N565" s="1166"/>
      <c r="O565" s="280"/>
      <c r="P565" s="1167"/>
      <c r="R565" s="587"/>
      <c r="S565" s="587"/>
      <c r="X565" s="370"/>
      <c r="Y565" s="370"/>
      <c r="Z565" s="370"/>
      <c r="AB565" s="370"/>
      <c r="AC565" s="370"/>
    </row>
    <row r="566" hidden="1">
      <c r="A566" s="280"/>
      <c r="B566" s="280"/>
      <c r="C566" s="617"/>
      <c r="D566" s="1166"/>
      <c r="E566" s="1166"/>
      <c r="F566" s="1166"/>
      <c r="G566" s="1166"/>
      <c r="H566" s="1166"/>
      <c r="I566" s="1167"/>
      <c r="J566" s="1166"/>
      <c r="K566" s="1167"/>
      <c r="L566" s="1166"/>
      <c r="M566" s="1166"/>
      <c r="N566" s="1166"/>
      <c r="O566" s="280"/>
      <c r="P566" s="1167"/>
      <c r="R566" s="587"/>
      <c r="S566" s="587"/>
      <c r="X566" s="370"/>
      <c r="Y566" s="370"/>
      <c r="Z566" s="370"/>
      <c r="AB566" s="370"/>
      <c r="AC566" s="370"/>
    </row>
    <row r="567" hidden="1">
      <c r="A567" s="280"/>
      <c r="B567" s="280"/>
      <c r="C567" s="617"/>
      <c r="D567" s="1166"/>
      <c r="E567" s="1166"/>
      <c r="F567" s="1166"/>
      <c r="G567" s="1166"/>
      <c r="H567" s="1166"/>
      <c r="I567" s="1167"/>
      <c r="J567" s="1166"/>
      <c r="K567" s="1167"/>
      <c r="L567" s="1166"/>
      <c r="M567" s="1166"/>
      <c r="N567" s="1166"/>
      <c r="O567" s="280"/>
      <c r="P567" s="1167"/>
      <c r="R567" s="587"/>
      <c r="S567" s="587"/>
      <c r="X567" s="370"/>
      <c r="Y567" s="370"/>
      <c r="Z567" s="370"/>
      <c r="AB567" s="370"/>
      <c r="AC567" s="370"/>
    </row>
    <row r="568" hidden="1">
      <c r="A568" s="280"/>
      <c r="B568" s="280"/>
      <c r="C568" s="617"/>
      <c r="D568" s="1166"/>
      <c r="E568" s="1166"/>
      <c r="F568" s="1166"/>
      <c r="G568" s="1166"/>
      <c r="H568" s="1166"/>
      <c r="I568" s="1167"/>
      <c r="J568" s="1166"/>
      <c r="K568" s="1167"/>
      <c r="L568" s="1166"/>
      <c r="M568" s="1166"/>
      <c r="N568" s="1166"/>
      <c r="O568" s="280"/>
      <c r="P568" s="1167"/>
      <c r="R568" s="587"/>
      <c r="S568" s="587"/>
      <c r="X568" s="370"/>
      <c r="Y568" s="370"/>
      <c r="Z568" s="370"/>
      <c r="AB568" s="370"/>
      <c r="AC568" s="370"/>
    </row>
    <row r="569" hidden="1">
      <c r="A569" s="280"/>
      <c r="B569" s="280"/>
      <c r="C569" s="617"/>
      <c r="D569" s="1166"/>
      <c r="E569" s="1166"/>
      <c r="F569" s="1166"/>
      <c r="G569" s="1166"/>
      <c r="H569" s="1166"/>
      <c r="I569" s="1167"/>
      <c r="J569" s="1166"/>
      <c r="K569" s="1167"/>
      <c r="L569" s="1166"/>
      <c r="M569" s="1166"/>
      <c r="N569" s="1166"/>
      <c r="O569" s="280"/>
      <c r="P569" s="1167"/>
      <c r="R569" s="587"/>
      <c r="S569" s="587"/>
      <c r="X569" s="370"/>
      <c r="Y569" s="370"/>
      <c r="Z569" s="370"/>
      <c r="AB569" s="370"/>
      <c r="AC569" s="370"/>
    </row>
    <row r="570" hidden="1">
      <c r="A570" s="280"/>
      <c r="B570" s="280"/>
      <c r="C570" s="617"/>
      <c r="D570" s="1166"/>
      <c r="E570" s="1166"/>
      <c r="F570" s="1166"/>
      <c r="G570" s="1166"/>
      <c r="H570" s="1166"/>
      <c r="I570" s="1167"/>
      <c r="J570" s="1166"/>
      <c r="K570" s="1167"/>
      <c r="L570" s="1166"/>
      <c r="M570" s="1166"/>
      <c r="N570" s="1166"/>
      <c r="O570" s="280"/>
      <c r="P570" s="1167"/>
      <c r="R570" s="587"/>
      <c r="S570" s="587"/>
      <c r="X570" s="370"/>
      <c r="Y570" s="370"/>
      <c r="Z570" s="370"/>
      <c r="AB570" s="370"/>
      <c r="AC570" s="370"/>
    </row>
    <row r="571" hidden="1">
      <c r="A571" s="280"/>
      <c r="B571" s="280"/>
      <c r="C571" s="617"/>
      <c r="D571" s="1166"/>
      <c r="E571" s="1166"/>
      <c r="F571" s="1166"/>
      <c r="G571" s="1166"/>
      <c r="H571" s="1166"/>
      <c r="I571" s="1167"/>
      <c r="J571" s="1166"/>
      <c r="K571" s="1167"/>
      <c r="L571" s="1166"/>
      <c r="M571" s="1166"/>
      <c r="N571" s="1166"/>
      <c r="O571" s="280"/>
      <c r="P571" s="1167"/>
      <c r="R571" s="587"/>
      <c r="S571" s="587"/>
      <c r="X571" s="370"/>
      <c r="Y571" s="370"/>
      <c r="Z571" s="370"/>
      <c r="AB571" s="370"/>
      <c r="AC571" s="370"/>
    </row>
    <row r="572" hidden="1">
      <c r="A572" s="280"/>
      <c r="B572" s="280"/>
      <c r="C572" s="617"/>
      <c r="D572" s="1166"/>
      <c r="E572" s="1166"/>
      <c r="F572" s="1166"/>
      <c r="G572" s="1166"/>
      <c r="H572" s="1166"/>
      <c r="I572" s="1167"/>
      <c r="J572" s="1166"/>
      <c r="K572" s="1167"/>
      <c r="L572" s="1166"/>
      <c r="M572" s="1166"/>
      <c r="N572" s="1166"/>
      <c r="O572" s="280"/>
      <c r="P572" s="1167"/>
      <c r="R572" s="587"/>
      <c r="S572" s="587"/>
      <c r="X572" s="370"/>
      <c r="Y572" s="370"/>
      <c r="Z572" s="370"/>
      <c r="AB572" s="370"/>
      <c r="AC572" s="370"/>
    </row>
    <row r="573" hidden="1">
      <c r="A573" s="280"/>
      <c r="B573" s="280"/>
      <c r="C573" s="617"/>
      <c r="D573" s="1166"/>
      <c r="E573" s="1166"/>
      <c r="F573" s="1166"/>
      <c r="G573" s="1166"/>
      <c r="H573" s="1166"/>
      <c r="I573" s="1167"/>
      <c r="J573" s="1166"/>
      <c r="K573" s="1167"/>
      <c r="L573" s="1166"/>
      <c r="M573" s="1166"/>
      <c r="N573" s="1166"/>
      <c r="O573" s="280"/>
      <c r="P573" s="1167"/>
      <c r="R573" s="587"/>
      <c r="S573" s="587"/>
      <c r="X573" s="370"/>
      <c r="Y573" s="370"/>
      <c r="Z573" s="370"/>
      <c r="AB573" s="370"/>
      <c r="AC573" s="370"/>
    </row>
    <row r="574" hidden="1">
      <c r="A574" s="280"/>
      <c r="B574" s="280"/>
      <c r="C574" s="617"/>
      <c r="D574" s="1166"/>
      <c r="E574" s="1166"/>
      <c r="F574" s="1166"/>
      <c r="G574" s="1166"/>
      <c r="H574" s="1166"/>
      <c r="I574" s="1167"/>
      <c r="J574" s="1166"/>
      <c r="K574" s="1167"/>
      <c r="L574" s="1166"/>
      <c r="M574" s="1166"/>
      <c r="N574" s="1166"/>
      <c r="O574" s="280"/>
      <c r="P574" s="1167"/>
      <c r="R574" s="587"/>
      <c r="S574" s="587"/>
      <c r="X574" s="370"/>
      <c r="Y574" s="370"/>
      <c r="Z574" s="370"/>
      <c r="AB574" s="370"/>
      <c r="AC574" s="370"/>
    </row>
    <row r="575" hidden="1">
      <c r="A575" s="280"/>
      <c r="B575" s="280"/>
      <c r="C575" s="617"/>
      <c r="D575" s="1166"/>
      <c r="E575" s="1166"/>
      <c r="F575" s="1166"/>
      <c r="G575" s="1166"/>
      <c r="H575" s="1166"/>
      <c r="I575" s="1167"/>
      <c r="J575" s="1166"/>
      <c r="K575" s="1167"/>
      <c r="L575" s="1166"/>
      <c r="M575" s="1166"/>
      <c r="N575" s="1166"/>
      <c r="O575" s="280"/>
      <c r="P575" s="1167"/>
      <c r="R575" s="587"/>
      <c r="S575" s="587"/>
      <c r="X575" s="370"/>
      <c r="Y575" s="370"/>
      <c r="Z575" s="370"/>
      <c r="AB575" s="370"/>
      <c r="AC575" s="370"/>
    </row>
    <row r="576" hidden="1">
      <c r="A576" s="280"/>
      <c r="B576" s="280"/>
      <c r="C576" s="617"/>
      <c r="D576" s="1166"/>
      <c r="E576" s="1166"/>
      <c r="F576" s="1166"/>
      <c r="G576" s="1166"/>
      <c r="H576" s="1166"/>
      <c r="I576" s="1167"/>
      <c r="J576" s="1166"/>
      <c r="K576" s="1167"/>
      <c r="L576" s="1166"/>
      <c r="M576" s="1166"/>
      <c r="N576" s="1166"/>
      <c r="O576" s="280"/>
      <c r="P576" s="1167"/>
      <c r="R576" s="587"/>
      <c r="S576" s="587"/>
      <c r="X576" s="370"/>
      <c r="Y576" s="370"/>
      <c r="Z576" s="370"/>
      <c r="AB576" s="370"/>
      <c r="AC576" s="370"/>
    </row>
    <row r="577" hidden="1">
      <c r="A577" s="280"/>
      <c r="B577" s="280"/>
      <c r="C577" s="617"/>
      <c r="D577" s="1166"/>
      <c r="E577" s="1166"/>
      <c r="F577" s="1166"/>
      <c r="G577" s="1166"/>
      <c r="H577" s="1166"/>
      <c r="I577" s="1167"/>
      <c r="J577" s="1166"/>
      <c r="K577" s="1167"/>
      <c r="L577" s="1166"/>
      <c r="M577" s="1166"/>
      <c r="N577" s="1166"/>
      <c r="O577" s="280"/>
      <c r="P577" s="1167"/>
      <c r="R577" s="587"/>
      <c r="S577" s="587"/>
      <c r="X577" s="370"/>
      <c r="Y577" s="370"/>
      <c r="Z577" s="370"/>
      <c r="AB577" s="370"/>
      <c r="AC577" s="370"/>
    </row>
    <row r="578" hidden="1">
      <c r="A578" s="280"/>
      <c r="B578" s="280"/>
      <c r="C578" s="617"/>
      <c r="D578" s="1166"/>
      <c r="E578" s="1166"/>
      <c r="F578" s="1166"/>
      <c r="G578" s="1166"/>
      <c r="H578" s="1166"/>
      <c r="I578" s="1167"/>
      <c r="J578" s="1166"/>
      <c r="K578" s="1167"/>
      <c r="L578" s="1166"/>
      <c r="M578" s="1166"/>
      <c r="N578" s="1166"/>
      <c r="O578" s="280"/>
      <c r="P578" s="1167"/>
      <c r="R578" s="587"/>
      <c r="S578" s="587"/>
      <c r="X578" s="370"/>
      <c r="Y578" s="370"/>
      <c r="Z578" s="370"/>
      <c r="AB578" s="370"/>
      <c r="AC578" s="370"/>
    </row>
    <row r="579" hidden="1">
      <c r="A579" s="280"/>
      <c r="B579" s="280"/>
      <c r="C579" s="617"/>
      <c r="D579" s="1166"/>
      <c r="E579" s="1166"/>
      <c r="F579" s="1166"/>
      <c r="G579" s="1166"/>
      <c r="H579" s="1166"/>
      <c r="I579" s="1167"/>
      <c r="J579" s="1166"/>
      <c r="K579" s="1167"/>
      <c r="L579" s="1166"/>
      <c r="M579" s="1166"/>
      <c r="N579" s="1166"/>
      <c r="O579" s="280"/>
      <c r="P579" s="1167"/>
      <c r="R579" s="587"/>
      <c r="S579" s="587"/>
      <c r="X579" s="370"/>
      <c r="Y579" s="370"/>
      <c r="Z579" s="370"/>
      <c r="AB579" s="370"/>
      <c r="AC579" s="370"/>
    </row>
    <row r="580" hidden="1">
      <c r="A580" s="280"/>
      <c r="B580" s="280"/>
      <c r="C580" s="617"/>
      <c r="D580" s="1166"/>
      <c r="E580" s="1166"/>
      <c r="F580" s="1166"/>
      <c r="G580" s="1166"/>
      <c r="H580" s="1166"/>
      <c r="I580" s="1167"/>
      <c r="J580" s="1166"/>
      <c r="K580" s="1167"/>
      <c r="L580" s="1166"/>
      <c r="M580" s="1166"/>
      <c r="N580" s="1166"/>
      <c r="O580" s="280"/>
      <c r="P580" s="1167"/>
      <c r="R580" s="587"/>
      <c r="S580" s="587"/>
      <c r="X580" s="370"/>
      <c r="Y580" s="370"/>
      <c r="Z580" s="370"/>
      <c r="AB580" s="370"/>
      <c r="AC580" s="370"/>
    </row>
    <row r="581" hidden="1">
      <c r="A581" s="280"/>
      <c r="B581" s="280"/>
      <c r="C581" s="617"/>
      <c r="D581" s="1166"/>
      <c r="E581" s="1166"/>
      <c r="F581" s="1166"/>
      <c r="G581" s="1166"/>
      <c r="H581" s="1166"/>
      <c r="I581" s="1167"/>
      <c r="J581" s="1166"/>
      <c r="K581" s="1167"/>
      <c r="L581" s="1166"/>
      <c r="M581" s="1166"/>
      <c r="N581" s="1166"/>
      <c r="O581" s="280"/>
      <c r="P581" s="1167"/>
      <c r="R581" s="587"/>
      <c r="S581" s="587"/>
      <c r="X581" s="370"/>
      <c r="Y581" s="370"/>
      <c r="Z581" s="370"/>
      <c r="AB581" s="370"/>
      <c r="AC581" s="370"/>
    </row>
    <row r="582" hidden="1">
      <c r="A582" s="280"/>
      <c r="B582" s="280"/>
      <c r="C582" s="617"/>
      <c r="D582" s="1166"/>
      <c r="E582" s="1166"/>
      <c r="F582" s="1166"/>
      <c r="G582" s="1166"/>
      <c r="H582" s="1166"/>
      <c r="I582" s="1167"/>
      <c r="J582" s="1166"/>
      <c r="K582" s="1167"/>
      <c r="L582" s="1166"/>
      <c r="M582" s="1166"/>
      <c r="N582" s="1166"/>
      <c r="O582" s="280"/>
      <c r="P582" s="1167"/>
      <c r="R582" s="587"/>
      <c r="S582" s="587"/>
      <c r="X582" s="370"/>
      <c r="Y582" s="370"/>
      <c r="Z582" s="370"/>
      <c r="AB582" s="370"/>
      <c r="AC582" s="370"/>
    </row>
    <row r="583" hidden="1">
      <c r="A583" s="280"/>
      <c r="B583" s="280"/>
      <c r="C583" s="617"/>
      <c r="D583" s="1166"/>
      <c r="E583" s="1166"/>
      <c r="F583" s="1166"/>
      <c r="G583" s="1166"/>
      <c r="H583" s="1166"/>
      <c r="I583" s="1167"/>
      <c r="J583" s="1166"/>
      <c r="K583" s="1167"/>
      <c r="L583" s="1166"/>
      <c r="M583" s="1166"/>
      <c r="N583" s="1166"/>
      <c r="O583" s="280"/>
      <c r="P583" s="1167"/>
      <c r="R583" s="587"/>
      <c r="S583" s="587"/>
      <c r="X583" s="370"/>
      <c r="Y583" s="370"/>
      <c r="Z583" s="370"/>
      <c r="AB583" s="370"/>
      <c r="AC583" s="370"/>
    </row>
    <row r="584" hidden="1">
      <c r="A584" s="280"/>
      <c r="B584" s="280"/>
      <c r="C584" s="617"/>
      <c r="D584" s="1166"/>
      <c r="E584" s="1166"/>
      <c r="F584" s="1166"/>
      <c r="G584" s="1166"/>
      <c r="H584" s="1166"/>
      <c r="I584" s="1167"/>
      <c r="J584" s="1166"/>
      <c r="K584" s="1167"/>
      <c r="L584" s="1166"/>
      <c r="M584" s="1166"/>
      <c r="N584" s="1166"/>
      <c r="O584" s="280"/>
      <c r="P584" s="1167"/>
      <c r="R584" s="587"/>
      <c r="S584" s="587"/>
      <c r="X584" s="370"/>
      <c r="Y584" s="370"/>
      <c r="Z584" s="370"/>
      <c r="AB584" s="370"/>
      <c r="AC584" s="370"/>
    </row>
    <row r="585" hidden="1">
      <c r="A585" s="280"/>
      <c r="B585" s="280"/>
      <c r="C585" s="617"/>
      <c r="D585" s="1166"/>
      <c r="E585" s="1166"/>
      <c r="F585" s="1166"/>
      <c r="G585" s="1166"/>
      <c r="H585" s="1166"/>
      <c r="I585" s="1167"/>
      <c r="J585" s="1166"/>
      <c r="K585" s="1167"/>
      <c r="L585" s="1166"/>
      <c r="M585" s="1166"/>
      <c r="N585" s="1166"/>
      <c r="O585" s="280"/>
      <c r="P585" s="1167"/>
      <c r="R585" s="587"/>
      <c r="S585" s="587"/>
      <c r="X585" s="370"/>
      <c r="Y585" s="370"/>
      <c r="Z585" s="370"/>
      <c r="AB585" s="370"/>
      <c r="AC585" s="370"/>
    </row>
    <row r="586" hidden="1">
      <c r="A586" s="280"/>
      <c r="B586" s="280"/>
      <c r="C586" s="617"/>
      <c r="D586" s="1166"/>
      <c r="E586" s="1166"/>
      <c r="F586" s="1166"/>
      <c r="G586" s="1166"/>
      <c r="H586" s="1166"/>
      <c r="I586" s="1167"/>
      <c r="J586" s="1166"/>
      <c r="K586" s="1167"/>
      <c r="L586" s="1166"/>
      <c r="M586" s="1166"/>
      <c r="N586" s="1166"/>
      <c r="O586" s="280"/>
      <c r="P586" s="1167"/>
      <c r="R586" s="587"/>
      <c r="S586" s="587"/>
      <c r="X586" s="370"/>
      <c r="Y586" s="370"/>
      <c r="Z586" s="370"/>
      <c r="AB586" s="370"/>
      <c r="AC586" s="370"/>
    </row>
    <row r="587" hidden="1">
      <c r="A587" s="280"/>
      <c r="B587" s="280"/>
      <c r="C587" s="617"/>
      <c r="D587" s="1166"/>
      <c r="E587" s="1166"/>
      <c r="F587" s="1166"/>
      <c r="G587" s="1166"/>
      <c r="H587" s="1166"/>
      <c r="I587" s="1167"/>
      <c r="J587" s="1166"/>
      <c r="K587" s="1167"/>
      <c r="L587" s="1166"/>
      <c r="M587" s="1166"/>
      <c r="N587" s="1166"/>
      <c r="O587" s="280"/>
      <c r="P587" s="1167"/>
      <c r="R587" s="587"/>
      <c r="S587" s="587"/>
      <c r="X587" s="370"/>
      <c r="Y587" s="370"/>
      <c r="Z587" s="370"/>
      <c r="AB587" s="370"/>
      <c r="AC587" s="370"/>
    </row>
    <row r="588" hidden="1">
      <c r="A588" s="280"/>
      <c r="B588" s="280"/>
      <c r="C588" s="617"/>
      <c r="D588" s="1166"/>
      <c r="E588" s="1166"/>
      <c r="F588" s="1166"/>
      <c r="G588" s="1166"/>
      <c r="H588" s="1166"/>
      <c r="I588" s="1167"/>
      <c r="J588" s="1166"/>
      <c r="K588" s="1167"/>
      <c r="L588" s="1166"/>
      <c r="M588" s="1166"/>
      <c r="N588" s="1166"/>
      <c r="O588" s="280"/>
      <c r="P588" s="1167"/>
      <c r="R588" s="587"/>
      <c r="S588" s="587"/>
      <c r="X588" s="370"/>
      <c r="Y588" s="370"/>
      <c r="Z588" s="370"/>
      <c r="AB588" s="370"/>
      <c r="AC588" s="370"/>
    </row>
    <row r="589" hidden="1">
      <c r="A589" s="280"/>
      <c r="B589" s="280"/>
      <c r="C589" s="617"/>
      <c r="D589" s="1166"/>
      <c r="E589" s="1166"/>
      <c r="F589" s="1166"/>
      <c r="G589" s="1166"/>
      <c r="H589" s="1166"/>
      <c r="I589" s="1167"/>
      <c r="J589" s="1166"/>
      <c r="K589" s="1167"/>
      <c r="L589" s="1166"/>
      <c r="M589" s="1166"/>
      <c r="N589" s="1166"/>
      <c r="O589" s="280"/>
      <c r="P589" s="1167"/>
      <c r="R589" s="587"/>
      <c r="S589" s="587"/>
      <c r="X589" s="370"/>
      <c r="Y589" s="370"/>
      <c r="Z589" s="370"/>
      <c r="AB589" s="370"/>
      <c r="AC589" s="370"/>
    </row>
    <row r="590" hidden="1">
      <c r="A590" s="280"/>
      <c r="B590" s="280"/>
      <c r="C590" s="617"/>
      <c r="D590" s="1166"/>
      <c r="E590" s="1166"/>
      <c r="F590" s="1166"/>
      <c r="G590" s="1166"/>
      <c r="H590" s="1166"/>
      <c r="I590" s="1167"/>
      <c r="J590" s="1166"/>
      <c r="K590" s="1167"/>
      <c r="L590" s="1166"/>
      <c r="M590" s="1166"/>
      <c r="N590" s="1166"/>
      <c r="O590" s="280"/>
      <c r="P590" s="1167"/>
      <c r="R590" s="587"/>
      <c r="S590" s="587"/>
      <c r="X590" s="370"/>
      <c r="Y590" s="370"/>
      <c r="Z590" s="370"/>
      <c r="AB590" s="370"/>
      <c r="AC590" s="370"/>
    </row>
    <row r="591" hidden="1">
      <c r="A591" s="280"/>
      <c r="B591" s="280"/>
      <c r="C591" s="617"/>
      <c r="D591" s="1166"/>
      <c r="E591" s="1166"/>
      <c r="F591" s="1166"/>
      <c r="G591" s="1166"/>
      <c r="H591" s="1166"/>
      <c r="I591" s="1167"/>
      <c r="J591" s="1166"/>
      <c r="K591" s="1167"/>
      <c r="L591" s="1166"/>
      <c r="M591" s="1166"/>
      <c r="N591" s="1166"/>
      <c r="O591" s="280"/>
      <c r="P591" s="1167"/>
      <c r="R591" s="587"/>
      <c r="S591" s="587"/>
      <c r="X591" s="370"/>
      <c r="Y591" s="370"/>
      <c r="Z591" s="370"/>
      <c r="AB591" s="370"/>
      <c r="AC591" s="370"/>
    </row>
    <row r="592" hidden="1">
      <c r="A592" s="280"/>
      <c r="B592" s="280"/>
      <c r="C592" s="617"/>
      <c r="D592" s="1166"/>
      <c r="E592" s="1166"/>
      <c r="F592" s="1166"/>
      <c r="G592" s="1166"/>
      <c r="H592" s="1166"/>
      <c r="I592" s="1167"/>
      <c r="J592" s="1166"/>
      <c r="K592" s="1167"/>
      <c r="L592" s="1166"/>
      <c r="M592" s="1166"/>
      <c r="N592" s="1166"/>
      <c r="O592" s="280"/>
      <c r="P592" s="1167"/>
      <c r="R592" s="587"/>
      <c r="S592" s="587"/>
      <c r="X592" s="370"/>
      <c r="Y592" s="370"/>
      <c r="Z592" s="370"/>
      <c r="AB592" s="370"/>
      <c r="AC592" s="370"/>
    </row>
    <row r="593" hidden="1">
      <c r="A593" s="280"/>
      <c r="B593" s="280"/>
      <c r="C593" s="617"/>
      <c r="D593" s="1166"/>
      <c r="E593" s="1166"/>
      <c r="F593" s="1166"/>
      <c r="G593" s="1166"/>
      <c r="H593" s="1166"/>
      <c r="I593" s="1167"/>
      <c r="J593" s="1166"/>
      <c r="K593" s="1167"/>
      <c r="L593" s="1166"/>
      <c r="M593" s="1166"/>
      <c r="N593" s="1166"/>
      <c r="O593" s="280"/>
      <c r="P593" s="1167"/>
      <c r="R593" s="587"/>
      <c r="S593" s="587"/>
      <c r="X593" s="370"/>
      <c r="Y593" s="370"/>
      <c r="Z593" s="370"/>
      <c r="AB593" s="370"/>
      <c r="AC593" s="370"/>
    </row>
    <row r="594" hidden="1">
      <c r="A594" s="280"/>
      <c r="B594" s="280"/>
      <c r="C594" s="617"/>
      <c r="D594" s="1166"/>
      <c r="E594" s="1166"/>
      <c r="F594" s="1166"/>
      <c r="G594" s="1166"/>
      <c r="H594" s="1166"/>
      <c r="I594" s="1167"/>
      <c r="J594" s="1166"/>
      <c r="K594" s="1167"/>
      <c r="L594" s="1166"/>
      <c r="M594" s="1166"/>
      <c r="N594" s="1166"/>
      <c r="O594" s="280"/>
      <c r="P594" s="1167"/>
      <c r="R594" s="587"/>
      <c r="S594" s="587"/>
      <c r="X594" s="370"/>
      <c r="Y594" s="370"/>
      <c r="Z594" s="370"/>
      <c r="AB594" s="370"/>
      <c r="AC594" s="370"/>
    </row>
    <row r="595" hidden="1">
      <c r="A595" s="280"/>
      <c r="B595" s="280"/>
      <c r="C595" s="617"/>
      <c r="D595" s="1166"/>
      <c r="E595" s="1166"/>
      <c r="F595" s="1166"/>
      <c r="G595" s="1166"/>
      <c r="H595" s="1166"/>
      <c r="I595" s="1167"/>
      <c r="J595" s="1166"/>
      <c r="K595" s="1167"/>
      <c r="L595" s="1166"/>
      <c r="M595" s="1166"/>
      <c r="N595" s="1166"/>
      <c r="O595" s="280"/>
      <c r="P595" s="1167"/>
      <c r="R595" s="587"/>
      <c r="S595" s="587"/>
      <c r="X595" s="370"/>
      <c r="Y595" s="370"/>
      <c r="Z595" s="370"/>
      <c r="AB595" s="370"/>
      <c r="AC595" s="370"/>
    </row>
    <row r="596" hidden="1">
      <c r="A596" s="280"/>
      <c r="B596" s="280"/>
      <c r="C596" s="617"/>
      <c r="D596" s="1166"/>
      <c r="E596" s="1166"/>
      <c r="F596" s="1166"/>
      <c r="G596" s="1166"/>
      <c r="H596" s="1166"/>
      <c r="I596" s="1167"/>
      <c r="J596" s="1166"/>
      <c r="K596" s="1167"/>
      <c r="L596" s="1166"/>
      <c r="M596" s="1166"/>
      <c r="N596" s="1166"/>
      <c r="O596" s="280"/>
      <c r="P596" s="1167"/>
      <c r="R596" s="587"/>
      <c r="S596" s="587"/>
      <c r="X596" s="370"/>
      <c r="Y596" s="370"/>
      <c r="Z596" s="370"/>
      <c r="AB596" s="370"/>
      <c r="AC596" s="370"/>
    </row>
    <row r="597" hidden="1">
      <c r="A597" s="280"/>
      <c r="B597" s="280"/>
      <c r="C597" s="617"/>
      <c r="D597" s="1166"/>
      <c r="E597" s="1166"/>
      <c r="F597" s="1166"/>
      <c r="G597" s="1166"/>
      <c r="H597" s="1166"/>
      <c r="I597" s="1167"/>
      <c r="J597" s="1166"/>
      <c r="K597" s="1167"/>
      <c r="L597" s="1166"/>
      <c r="M597" s="1166"/>
      <c r="N597" s="1166"/>
      <c r="O597" s="280"/>
      <c r="P597" s="1167"/>
      <c r="R597" s="587"/>
      <c r="S597" s="587"/>
      <c r="X597" s="370"/>
      <c r="Y597" s="370"/>
      <c r="Z597" s="370"/>
      <c r="AB597" s="370"/>
      <c r="AC597" s="370"/>
    </row>
    <row r="598" hidden="1">
      <c r="A598" s="280"/>
      <c r="B598" s="280"/>
      <c r="C598" s="617"/>
      <c r="D598" s="1166"/>
      <c r="E598" s="1166"/>
      <c r="F598" s="1166"/>
      <c r="G598" s="1166"/>
      <c r="H598" s="1166"/>
      <c r="I598" s="1167"/>
      <c r="J598" s="1166"/>
      <c r="K598" s="1167"/>
      <c r="L598" s="1166"/>
      <c r="M598" s="1166"/>
      <c r="N598" s="1166"/>
      <c r="O598" s="280"/>
      <c r="P598" s="1167"/>
      <c r="R598" s="587"/>
      <c r="S598" s="587"/>
      <c r="X598" s="370"/>
      <c r="Y598" s="370"/>
      <c r="Z598" s="370"/>
      <c r="AB598" s="370"/>
      <c r="AC598" s="370"/>
    </row>
    <row r="599" hidden="1">
      <c r="A599" s="280"/>
      <c r="B599" s="280"/>
      <c r="C599" s="617"/>
      <c r="D599" s="1166"/>
      <c r="E599" s="1166"/>
      <c r="F599" s="1166"/>
      <c r="G599" s="1166"/>
      <c r="H599" s="1166"/>
      <c r="I599" s="1167"/>
      <c r="J599" s="1166"/>
      <c r="K599" s="1167"/>
      <c r="L599" s="1166"/>
      <c r="M599" s="1166"/>
      <c r="N599" s="1166"/>
      <c r="O599" s="280"/>
      <c r="P599" s="1167"/>
      <c r="R599" s="587"/>
      <c r="S599" s="587"/>
      <c r="X599" s="370"/>
      <c r="Y599" s="370"/>
      <c r="Z599" s="370"/>
      <c r="AB599" s="370"/>
      <c r="AC599" s="370"/>
    </row>
    <row r="600" hidden="1">
      <c r="A600" s="280"/>
      <c r="B600" s="280"/>
      <c r="C600" s="617"/>
      <c r="D600" s="1166"/>
      <c r="E600" s="1166"/>
      <c r="F600" s="1166"/>
      <c r="G600" s="1166"/>
      <c r="H600" s="1166"/>
      <c r="I600" s="1167"/>
      <c r="J600" s="1166"/>
      <c r="K600" s="1167"/>
      <c r="L600" s="1166"/>
      <c r="M600" s="1166"/>
      <c r="N600" s="1166"/>
      <c r="O600" s="280"/>
      <c r="P600" s="1167"/>
      <c r="R600" s="587"/>
      <c r="S600" s="587"/>
      <c r="X600" s="370"/>
      <c r="Y600" s="370"/>
      <c r="Z600" s="370"/>
      <c r="AB600" s="370"/>
      <c r="AC600" s="370"/>
    </row>
    <row r="601" hidden="1">
      <c r="A601" s="280"/>
      <c r="B601" s="280"/>
      <c r="C601" s="617"/>
      <c r="D601" s="1166"/>
      <c r="E601" s="1166"/>
      <c r="F601" s="1166"/>
      <c r="G601" s="1166"/>
      <c r="H601" s="1166"/>
      <c r="I601" s="1167"/>
      <c r="J601" s="1166"/>
      <c r="K601" s="1167"/>
      <c r="L601" s="1166"/>
      <c r="M601" s="1166"/>
      <c r="N601" s="1166"/>
      <c r="O601" s="280"/>
      <c r="P601" s="1167"/>
      <c r="R601" s="587"/>
      <c r="S601" s="587"/>
      <c r="X601" s="370"/>
      <c r="Y601" s="370"/>
      <c r="Z601" s="370"/>
      <c r="AB601" s="370"/>
      <c r="AC601" s="370"/>
    </row>
    <row r="602" hidden="1">
      <c r="A602" s="280"/>
      <c r="B602" s="280"/>
      <c r="C602" s="617"/>
      <c r="D602" s="1166"/>
      <c r="E602" s="1166"/>
      <c r="F602" s="1166"/>
      <c r="G602" s="1166"/>
      <c r="H602" s="1166"/>
      <c r="I602" s="1167"/>
      <c r="J602" s="1166"/>
      <c r="K602" s="1167"/>
      <c r="L602" s="1166"/>
      <c r="M602" s="1166"/>
      <c r="N602" s="1166"/>
      <c r="O602" s="280"/>
      <c r="P602" s="1167"/>
      <c r="R602" s="587"/>
      <c r="S602" s="587"/>
      <c r="X602" s="370"/>
      <c r="Y602" s="370"/>
      <c r="Z602" s="370"/>
      <c r="AB602" s="370"/>
      <c r="AC602" s="370"/>
    </row>
    <row r="603" hidden="1">
      <c r="A603" s="280"/>
      <c r="B603" s="280"/>
      <c r="C603" s="617"/>
      <c r="D603" s="1166"/>
      <c r="E603" s="1166"/>
      <c r="F603" s="1166"/>
      <c r="G603" s="1166"/>
      <c r="H603" s="1166"/>
      <c r="I603" s="1167"/>
      <c r="J603" s="1166"/>
      <c r="K603" s="1167"/>
      <c r="L603" s="1166"/>
      <c r="M603" s="1166"/>
      <c r="N603" s="1166"/>
      <c r="O603" s="280"/>
      <c r="P603" s="1167"/>
      <c r="R603" s="587"/>
      <c r="S603" s="587"/>
      <c r="X603" s="370"/>
      <c r="Y603" s="370"/>
      <c r="Z603" s="370"/>
      <c r="AB603" s="370"/>
      <c r="AC603" s="370"/>
    </row>
    <row r="604" hidden="1">
      <c r="A604" s="280"/>
      <c r="B604" s="280"/>
      <c r="C604" s="617"/>
      <c r="D604" s="1166"/>
      <c r="E604" s="1166"/>
      <c r="F604" s="1166"/>
      <c r="G604" s="1166"/>
      <c r="H604" s="1166"/>
      <c r="I604" s="1167"/>
      <c r="J604" s="1166"/>
      <c r="K604" s="1167"/>
      <c r="L604" s="1166"/>
      <c r="M604" s="1166"/>
      <c r="N604" s="1166"/>
      <c r="O604" s="280"/>
      <c r="P604" s="1167"/>
      <c r="R604" s="587"/>
      <c r="S604" s="587"/>
      <c r="X604" s="370"/>
      <c r="Y604" s="370"/>
      <c r="Z604" s="370"/>
      <c r="AB604" s="370"/>
      <c r="AC604" s="370"/>
    </row>
    <row r="605" hidden="1">
      <c r="A605" s="280"/>
      <c r="B605" s="280"/>
      <c r="C605" s="617"/>
      <c r="D605" s="1166"/>
      <c r="E605" s="1166"/>
      <c r="F605" s="1166"/>
      <c r="G605" s="1166"/>
      <c r="H605" s="1166"/>
      <c r="I605" s="1167"/>
      <c r="J605" s="1166"/>
      <c r="K605" s="1167"/>
      <c r="L605" s="1166"/>
      <c r="M605" s="1166"/>
      <c r="N605" s="1166"/>
      <c r="O605" s="280"/>
      <c r="P605" s="1167"/>
      <c r="R605" s="587"/>
      <c r="S605" s="587"/>
      <c r="X605" s="370"/>
      <c r="Y605" s="370"/>
      <c r="Z605" s="370"/>
      <c r="AB605" s="370"/>
      <c r="AC605" s="370"/>
    </row>
    <row r="606" hidden="1">
      <c r="A606" s="280"/>
      <c r="B606" s="280"/>
      <c r="C606" s="617"/>
      <c r="D606" s="1166"/>
      <c r="E606" s="1166"/>
      <c r="F606" s="1166"/>
      <c r="G606" s="1166"/>
      <c r="H606" s="1166"/>
      <c r="I606" s="1167"/>
      <c r="J606" s="1166"/>
      <c r="K606" s="1167"/>
      <c r="L606" s="1166"/>
      <c r="M606" s="1166"/>
      <c r="N606" s="1166"/>
      <c r="O606" s="280"/>
      <c r="P606" s="1167"/>
      <c r="R606" s="587"/>
      <c r="S606" s="587"/>
      <c r="X606" s="370"/>
      <c r="Y606" s="370"/>
      <c r="Z606" s="370"/>
      <c r="AB606" s="370"/>
      <c r="AC606" s="370"/>
    </row>
    <row r="607" hidden="1">
      <c r="A607" s="280"/>
      <c r="B607" s="280"/>
      <c r="C607" s="617"/>
      <c r="D607" s="1166"/>
      <c r="E607" s="1166"/>
      <c r="F607" s="1166"/>
      <c r="G607" s="1166"/>
      <c r="H607" s="1166"/>
      <c r="I607" s="1167"/>
      <c r="J607" s="1166"/>
      <c r="K607" s="1167"/>
      <c r="L607" s="1166"/>
      <c r="M607" s="1166"/>
      <c r="N607" s="1166"/>
      <c r="O607" s="280"/>
      <c r="P607" s="1167"/>
      <c r="R607" s="587"/>
      <c r="S607" s="587"/>
      <c r="X607" s="370"/>
      <c r="Y607" s="370"/>
      <c r="Z607" s="370"/>
      <c r="AB607" s="370"/>
      <c r="AC607" s="370"/>
    </row>
    <row r="608" hidden="1">
      <c r="A608" s="280"/>
      <c r="B608" s="280"/>
      <c r="C608" s="617"/>
      <c r="D608" s="1166"/>
      <c r="E608" s="1166"/>
      <c r="F608" s="1166"/>
      <c r="G608" s="1166"/>
      <c r="H608" s="1166"/>
      <c r="I608" s="1167"/>
      <c r="J608" s="1166"/>
      <c r="K608" s="1167"/>
      <c r="L608" s="1166"/>
      <c r="M608" s="1166"/>
      <c r="N608" s="1166"/>
      <c r="O608" s="280"/>
      <c r="P608" s="1167"/>
      <c r="R608" s="587"/>
      <c r="S608" s="587"/>
      <c r="X608" s="370"/>
      <c r="Y608" s="370"/>
      <c r="Z608" s="370"/>
      <c r="AB608" s="370"/>
      <c r="AC608" s="370"/>
    </row>
    <row r="609" hidden="1">
      <c r="A609" s="280"/>
      <c r="B609" s="280"/>
      <c r="C609" s="617"/>
      <c r="D609" s="1166"/>
      <c r="E609" s="1166"/>
      <c r="F609" s="1166"/>
      <c r="G609" s="1166"/>
      <c r="H609" s="1166"/>
      <c r="I609" s="1167"/>
      <c r="J609" s="1166"/>
      <c r="K609" s="1167"/>
      <c r="L609" s="1166"/>
      <c r="M609" s="1166"/>
      <c r="N609" s="1166"/>
      <c r="O609" s="280"/>
      <c r="P609" s="1167"/>
      <c r="R609" s="587"/>
      <c r="S609" s="587"/>
      <c r="X609" s="370"/>
      <c r="Y609" s="370"/>
      <c r="Z609" s="370"/>
      <c r="AB609" s="370"/>
      <c r="AC609" s="370"/>
    </row>
    <row r="610" hidden="1">
      <c r="A610" s="280"/>
      <c r="B610" s="280"/>
      <c r="C610" s="617"/>
      <c r="D610" s="1166"/>
      <c r="E610" s="1166"/>
      <c r="F610" s="1166"/>
      <c r="G610" s="1166"/>
      <c r="H610" s="1166"/>
      <c r="I610" s="1167"/>
      <c r="J610" s="1166"/>
      <c r="K610" s="1167"/>
      <c r="L610" s="1166"/>
      <c r="M610" s="1166"/>
      <c r="N610" s="1166"/>
      <c r="O610" s="280"/>
      <c r="P610" s="1167"/>
      <c r="R610" s="587"/>
      <c r="S610" s="587"/>
      <c r="X610" s="370"/>
      <c r="Y610" s="370"/>
      <c r="Z610" s="370"/>
      <c r="AB610" s="370"/>
      <c r="AC610" s="370"/>
    </row>
    <row r="611" hidden="1">
      <c r="A611" s="280"/>
      <c r="B611" s="280"/>
      <c r="C611" s="617"/>
      <c r="D611" s="1166"/>
      <c r="E611" s="1166"/>
      <c r="F611" s="1166"/>
      <c r="G611" s="1166"/>
      <c r="H611" s="1166"/>
      <c r="I611" s="1167"/>
      <c r="J611" s="1166"/>
      <c r="K611" s="1167"/>
      <c r="L611" s="1166"/>
      <c r="M611" s="1166"/>
      <c r="N611" s="1166"/>
      <c r="O611" s="280"/>
      <c r="P611" s="1167"/>
      <c r="R611" s="587"/>
      <c r="S611" s="587"/>
      <c r="X611" s="370"/>
      <c r="Y611" s="370"/>
      <c r="Z611" s="370"/>
      <c r="AB611" s="370"/>
      <c r="AC611" s="370"/>
    </row>
    <row r="612" hidden="1">
      <c r="A612" s="280"/>
      <c r="B612" s="280"/>
      <c r="C612" s="617"/>
      <c r="D612" s="1166"/>
      <c r="E612" s="1166"/>
      <c r="F612" s="1166"/>
      <c r="G612" s="1166"/>
      <c r="H612" s="1166"/>
      <c r="I612" s="1167"/>
      <c r="J612" s="1166"/>
      <c r="K612" s="1167"/>
      <c r="L612" s="1166"/>
      <c r="M612" s="1166"/>
      <c r="N612" s="1166"/>
      <c r="O612" s="280"/>
      <c r="P612" s="1167"/>
      <c r="R612" s="587"/>
      <c r="S612" s="587"/>
      <c r="X612" s="370"/>
      <c r="Y612" s="370"/>
      <c r="Z612" s="370"/>
      <c r="AB612" s="370"/>
      <c r="AC612" s="370"/>
    </row>
    <row r="613" hidden="1">
      <c r="A613" s="280"/>
      <c r="B613" s="280"/>
      <c r="C613" s="617"/>
      <c r="D613" s="1166"/>
      <c r="E613" s="1166"/>
      <c r="F613" s="1166"/>
      <c r="G613" s="1166"/>
      <c r="H613" s="1166"/>
      <c r="I613" s="1167"/>
      <c r="J613" s="1166"/>
      <c r="K613" s="1167"/>
      <c r="L613" s="1166"/>
      <c r="M613" s="1166"/>
      <c r="N613" s="1166"/>
      <c r="O613" s="280"/>
      <c r="P613" s="1167"/>
      <c r="R613" s="587"/>
      <c r="S613" s="587"/>
      <c r="X613" s="370"/>
      <c r="Y613" s="370"/>
      <c r="Z613" s="370"/>
      <c r="AB613" s="370"/>
      <c r="AC613" s="370"/>
    </row>
    <row r="614" hidden="1">
      <c r="A614" s="280"/>
      <c r="B614" s="280"/>
      <c r="C614" s="617"/>
      <c r="D614" s="1166"/>
      <c r="E614" s="1166"/>
      <c r="F614" s="1166"/>
      <c r="G614" s="1166"/>
      <c r="H614" s="1166"/>
      <c r="I614" s="1167"/>
      <c r="J614" s="1166"/>
      <c r="K614" s="1167"/>
      <c r="L614" s="1166"/>
      <c r="M614" s="1166"/>
      <c r="N614" s="1166"/>
      <c r="O614" s="280"/>
      <c r="P614" s="1167"/>
      <c r="R614" s="587"/>
      <c r="S614" s="587"/>
      <c r="X614" s="370"/>
      <c r="Y614" s="370"/>
      <c r="Z614" s="370"/>
      <c r="AB614" s="370"/>
      <c r="AC614" s="370"/>
    </row>
    <row r="615" hidden="1">
      <c r="A615" s="280"/>
      <c r="B615" s="280"/>
      <c r="C615" s="617"/>
      <c r="D615" s="1166"/>
      <c r="E615" s="1166"/>
      <c r="F615" s="1166"/>
      <c r="G615" s="1166"/>
      <c r="H615" s="1166"/>
      <c r="I615" s="1167"/>
      <c r="J615" s="1166"/>
      <c r="K615" s="1167"/>
      <c r="L615" s="1166"/>
      <c r="M615" s="1166"/>
      <c r="N615" s="1166"/>
      <c r="O615" s="280"/>
      <c r="P615" s="1167"/>
      <c r="R615" s="587"/>
      <c r="S615" s="587"/>
      <c r="X615" s="370"/>
      <c r="Y615" s="370"/>
      <c r="Z615" s="370"/>
      <c r="AB615" s="370"/>
      <c r="AC615" s="370"/>
    </row>
    <row r="616" hidden="1">
      <c r="A616" s="280"/>
      <c r="B616" s="280"/>
      <c r="C616" s="617"/>
      <c r="D616" s="1166"/>
      <c r="E616" s="1166"/>
      <c r="F616" s="1166"/>
      <c r="G616" s="1166"/>
      <c r="H616" s="1166"/>
      <c r="I616" s="1167"/>
      <c r="J616" s="1166"/>
      <c r="K616" s="1167"/>
      <c r="L616" s="1166"/>
      <c r="M616" s="1166"/>
      <c r="N616" s="1166"/>
      <c r="O616" s="280"/>
      <c r="P616" s="1167"/>
      <c r="R616" s="587"/>
      <c r="S616" s="587"/>
      <c r="X616" s="370"/>
      <c r="Y616" s="370"/>
      <c r="Z616" s="370"/>
      <c r="AB616" s="370"/>
      <c r="AC616" s="370"/>
    </row>
    <row r="617" hidden="1">
      <c r="A617" s="280"/>
      <c r="B617" s="280"/>
      <c r="C617" s="617"/>
      <c r="D617" s="1166"/>
      <c r="E617" s="1166"/>
      <c r="F617" s="1166"/>
      <c r="G617" s="1166"/>
      <c r="H617" s="1166"/>
      <c r="I617" s="1167"/>
      <c r="J617" s="1166"/>
      <c r="K617" s="1167"/>
      <c r="L617" s="1166"/>
      <c r="M617" s="1166"/>
      <c r="N617" s="1166"/>
      <c r="O617" s="280"/>
      <c r="P617" s="1167"/>
      <c r="R617" s="587"/>
      <c r="S617" s="587"/>
      <c r="X617" s="370"/>
      <c r="Y617" s="370"/>
      <c r="Z617" s="370"/>
      <c r="AB617" s="370"/>
      <c r="AC617" s="370"/>
    </row>
    <row r="618" hidden="1">
      <c r="A618" s="280"/>
      <c r="B618" s="280"/>
      <c r="C618" s="617"/>
      <c r="D618" s="1166"/>
      <c r="E618" s="1166"/>
      <c r="F618" s="1166"/>
      <c r="G618" s="1166"/>
      <c r="H618" s="1166"/>
      <c r="I618" s="1167"/>
      <c r="J618" s="1166"/>
      <c r="K618" s="1167"/>
      <c r="L618" s="1166"/>
      <c r="M618" s="1166"/>
      <c r="N618" s="1166"/>
      <c r="O618" s="280"/>
      <c r="P618" s="1167"/>
      <c r="R618" s="587"/>
      <c r="S618" s="587"/>
      <c r="X618" s="370"/>
      <c r="Y618" s="370"/>
      <c r="Z618" s="370"/>
      <c r="AB618" s="370"/>
      <c r="AC618" s="370"/>
    </row>
    <row r="619" hidden="1">
      <c r="A619" s="280"/>
      <c r="B619" s="280"/>
      <c r="C619" s="617"/>
      <c r="D619" s="1166"/>
      <c r="E619" s="1166"/>
      <c r="F619" s="1166"/>
      <c r="G619" s="1166"/>
      <c r="H619" s="1166"/>
      <c r="I619" s="1167"/>
      <c r="J619" s="1166"/>
      <c r="K619" s="1167"/>
      <c r="L619" s="1166"/>
      <c r="M619" s="1166"/>
      <c r="N619" s="1166"/>
      <c r="O619" s="280"/>
      <c r="P619" s="1167"/>
      <c r="R619" s="587"/>
      <c r="S619" s="587"/>
      <c r="X619" s="370"/>
      <c r="Y619" s="370"/>
      <c r="Z619" s="370"/>
      <c r="AB619" s="370"/>
      <c r="AC619" s="370"/>
    </row>
    <row r="620" hidden="1">
      <c r="A620" s="280"/>
      <c r="B620" s="280"/>
      <c r="C620" s="617"/>
      <c r="D620" s="1166"/>
      <c r="E620" s="1166"/>
      <c r="F620" s="1166"/>
      <c r="G620" s="1166"/>
      <c r="H620" s="1166"/>
      <c r="I620" s="1167"/>
      <c r="J620" s="1166"/>
      <c r="K620" s="1167"/>
      <c r="L620" s="1166"/>
      <c r="M620" s="1166"/>
      <c r="N620" s="1166"/>
      <c r="O620" s="280"/>
      <c r="P620" s="1167"/>
      <c r="R620" s="587"/>
      <c r="S620" s="587"/>
      <c r="X620" s="370"/>
      <c r="Y620" s="370"/>
      <c r="Z620" s="370"/>
      <c r="AB620" s="370"/>
      <c r="AC620" s="370"/>
    </row>
    <row r="621" hidden="1">
      <c r="A621" s="280"/>
      <c r="B621" s="280"/>
      <c r="C621" s="617"/>
      <c r="D621" s="1166"/>
      <c r="E621" s="1166"/>
      <c r="F621" s="1166"/>
      <c r="G621" s="1166"/>
      <c r="H621" s="1166"/>
      <c r="I621" s="1167"/>
      <c r="J621" s="1166"/>
      <c r="K621" s="1167"/>
      <c r="L621" s="1166"/>
      <c r="M621" s="1166"/>
      <c r="N621" s="1166"/>
      <c r="O621" s="280"/>
      <c r="P621" s="1167"/>
      <c r="R621" s="587"/>
      <c r="S621" s="587"/>
      <c r="X621" s="370"/>
      <c r="Y621" s="370"/>
      <c r="Z621" s="370"/>
      <c r="AB621" s="370"/>
      <c r="AC621" s="370"/>
    </row>
    <row r="622" hidden="1">
      <c r="A622" s="280"/>
      <c r="B622" s="280"/>
      <c r="C622" s="617"/>
      <c r="D622" s="1166"/>
      <c r="E622" s="1166"/>
      <c r="F622" s="1166"/>
      <c r="G622" s="1166"/>
      <c r="H622" s="1166"/>
      <c r="I622" s="1167"/>
      <c r="J622" s="1166"/>
      <c r="K622" s="1167"/>
      <c r="L622" s="1166"/>
      <c r="M622" s="1166"/>
      <c r="N622" s="1166"/>
      <c r="O622" s="280"/>
      <c r="P622" s="1167"/>
      <c r="R622" s="587"/>
      <c r="S622" s="587"/>
      <c r="X622" s="370"/>
      <c r="Y622" s="370"/>
      <c r="Z622" s="370"/>
      <c r="AB622" s="370"/>
      <c r="AC622" s="370"/>
    </row>
    <row r="623" hidden="1">
      <c r="A623" s="280"/>
      <c r="B623" s="280"/>
      <c r="C623" s="617"/>
      <c r="D623" s="1166"/>
      <c r="E623" s="1166"/>
      <c r="F623" s="1166"/>
      <c r="G623" s="1166"/>
      <c r="H623" s="1166"/>
      <c r="I623" s="1167"/>
      <c r="J623" s="1166"/>
      <c r="K623" s="1167"/>
      <c r="L623" s="1166"/>
      <c r="M623" s="1166"/>
      <c r="N623" s="1166"/>
      <c r="O623" s="280"/>
      <c r="P623" s="1167"/>
      <c r="R623" s="587"/>
      <c r="S623" s="587"/>
      <c r="X623" s="370"/>
      <c r="Y623" s="370"/>
      <c r="Z623" s="370"/>
      <c r="AB623" s="370"/>
      <c r="AC623" s="370"/>
    </row>
    <row r="624" hidden="1">
      <c r="A624" s="280"/>
      <c r="B624" s="280"/>
      <c r="C624" s="617"/>
      <c r="D624" s="1166"/>
      <c r="E624" s="1166"/>
      <c r="F624" s="1166"/>
      <c r="G624" s="1166"/>
      <c r="H624" s="1166"/>
      <c r="I624" s="1167"/>
      <c r="J624" s="1166"/>
      <c r="K624" s="1167"/>
      <c r="L624" s="1166"/>
      <c r="M624" s="1166"/>
      <c r="N624" s="1166"/>
      <c r="O624" s="280"/>
      <c r="P624" s="1167"/>
      <c r="R624" s="587"/>
      <c r="S624" s="587"/>
      <c r="X624" s="370"/>
      <c r="Y624" s="370"/>
      <c r="Z624" s="370"/>
      <c r="AB624" s="370"/>
      <c r="AC624" s="370"/>
    </row>
    <row r="625" hidden="1">
      <c r="A625" s="280"/>
      <c r="B625" s="280"/>
      <c r="C625" s="617"/>
      <c r="D625" s="1166"/>
      <c r="E625" s="1166"/>
      <c r="F625" s="1166"/>
      <c r="G625" s="1166"/>
      <c r="H625" s="1166"/>
      <c r="I625" s="1167"/>
      <c r="J625" s="1166"/>
      <c r="K625" s="1167"/>
      <c r="L625" s="1166"/>
      <c r="M625" s="1166"/>
      <c r="N625" s="1166"/>
      <c r="O625" s="280"/>
      <c r="P625" s="1167"/>
      <c r="R625" s="587"/>
      <c r="S625" s="587"/>
      <c r="X625" s="370"/>
      <c r="Y625" s="370"/>
      <c r="Z625" s="370"/>
      <c r="AB625" s="370"/>
      <c r="AC625" s="370"/>
    </row>
    <row r="626" hidden="1">
      <c r="A626" s="280"/>
      <c r="B626" s="280"/>
      <c r="C626" s="617"/>
      <c r="D626" s="1166"/>
      <c r="E626" s="1166"/>
      <c r="F626" s="1166"/>
      <c r="G626" s="1166"/>
      <c r="H626" s="1166"/>
      <c r="I626" s="1167"/>
      <c r="J626" s="1166"/>
      <c r="K626" s="1167"/>
      <c r="L626" s="1166"/>
      <c r="M626" s="1166"/>
      <c r="N626" s="1166"/>
      <c r="O626" s="280"/>
      <c r="P626" s="1167"/>
      <c r="R626" s="587"/>
      <c r="S626" s="587"/>
      <c r="X626" s="370"/>
      <c r="Y626" s="370"/>
      <c r="Z626" s="370"/>
      <c r="AB626" s="370"/>
      <c r="AC626" s="370"/>
    </row>
    <row r="627" hidden="1">
      <c r="A627" s="280"/>
      <c r="B627" s="280"/>
      <c r="C627" s="617"/>
      <c r="D627" s="1166"/>
      <c r="E627" s="1166"/>
      <c r="F627" s="1166"/>
      <c r="G627" s="1166"/>
      <c r="H627" s="1166"/>
      <c r="I627" s="1167"/>
      <c r="J627" s="1166"/>
      <c r="K627" s="1167"/>
      <c r="L627" s="1166"/>
      <c r="M627" s="1166"/>
      <c r="N627" s="1166"/>
      <c r="O627" s="280"/>
      <c r="P627" s="1167"/>
      <c r="R627" s="587"/>
      <c r="S627" s="587"/>
      <c r="X627" s="370"/>
      <c r="Y627" s="370"/>
      <c r="Z627" s="370"/>
      <c r="AB627" s="370"/>
      <c r="AC627" s="370"/>
    </row>
    <row r="628" hidden="1">
      <c r="A628" s="280"/>
      <c r="B628" s="280"/>
      <c r="C628" s="617"/>
      <c r="D628" s="1166"/>
      <c r="E628" s="1166"/>
      <c r="F628" s="1166"/>
      <c r="G628" s="1166"/>
      <c r="H628" s="1166"/>
      <c r="I628" s="1167"/>
      <c r="J628" s="1166"/>
      <c r="K628" s="1167"/>
      <c r="L628" s="1166"/>
      <c r="M628" s="1166"/>
      <c r="N628" s="1166"/>
      <c r="O628" s="280"/>
      <c r="P628" s="1167"/>
      <c r="R628" s="587"/>
      <c r="S628" s="587"/>
      <c r="X628" s="370"/>
      <c r="Y628" s="370"/>
      <c r="Z628" s="370"/>
      <c r="AB628" s="370"/>
      <c r="AC628" s="370"/>
    </row>
    <row r="629" hidden="1">
      <c r="A629" s="280"/>
      <c r="B629" s="280"/>
      <c r="C629" s="617"/>
      <c r="D629" s="1166"/>
      <c r="E629" s="1166"/>
      <c r="F629" s="1166"/>
      <c r="G629" s="1166"/>
      <c r="H629" s="1166"/>
      <c r="I629" s="1167"/>
      <c r="J629" s="1166"/>
      <c r="K629" s="1167"/>
      <c r="L629" s="1166"/>
      <c r="M629" s="1166"/>
      <c r="N629" s="1166"/>
      <c r="O629" s="280"/>
      <c r="P629" s="1167"/>
      <c r="R629" s="587"/>
      <c r="S629" s="587"/>
      <c r="X629" s="370"/>
      <c r="Y629" s="370"/>
      <c r="Z629" s="370"/>
      <c r="AB629" s="370"/>
      <c r="AC629" s="370"/>
    </row>
    <row r="630" hidden="1">
      <c r="A630" s="280"/>
      <c r="B630" s="280"/>
      <c r="C630" s="617"/>
      <c r="D630" s="1166"/>
      <c r="E630" s="1166"/>
      <c r="F630" s="1166"/>
      <c r="G630" s="1166"/>
      <c r="H630" s="1166"/>
      <c r="I630" s="1167"/>
      <c r="J630" s="1166"/>
      <c r="K630" s="1167"/>
      <c r="L630" s="1166"/>
      <c r="M630" s="1166"/>
      <c r="N630" s="1166"/>
      <c r="O630" s="280"/>
      <c r="P630" s="1167"/>
      <c r="R630" s="587"/>
      <c r="S630" s="587"/>
      <c r="X630" s="370"/>
      <c r="Y630" s="370"/>
      <c r="Z630" s="370"/>
      <c r="AB630" s="370"/>
      <c r="AC630" s="370"/>
    </row>
    <row r="631" hidden="1">
      <c r="A631" s="280"/>
      <c r="B631" s="280"/>
      <c r="C631" s="617"/>
      <c r="D631" s="1166"/>
      <c r="E631" s="1166"/>
      <c r="F631" s="1166"/>
      <c r="G631" s="1166"/>
      <c r="H631" s="1166"/>
      <c r="I631" s="1167"/>
      <c r="J631" s="1166"/>
      <c r="K631" s="1167"/>
      <c r="L631" s="1166"/>
      <c r="M631" s="1166"/>
      <c r="N631" s="1166"/>
      <c r="O631" s="280"/>
      <c r="P631" s="1167"/>
      <c r="R631" s="587"/>
      <c r="S631" s="587"/>
      <c r="X631" s="370"/>
      <c r="Y631" s="370"/>
      <c r="Z631" s="370"/>
      <c r="AB631" s="370"/>
      <c r="AC631" s="370"/>
    </row>
    <row r="632" hidden="1">
      <c r="A632" s="280"/>
      <c r="B632" s="280"/>
      <c r="C632" s="617"/>
      <c r="D632" s="1166"/>
      <c r="E632" s="1166"/>
      <c r="F632" s="1166"/>
      <c r="G632" s="1166"/>
      <c r="H632" s="1166"/>
      <c r="I632" s="1167"/>
      <c r="J632" s="1166"/>
      <c r="K632" s="1167"/>
      <c r="L632" s="1166"/>
      <c r="M632" s="1166"/>
      <c r="N632" s="1166"/>
      <c r="O632" s="280"/>
      <c r="P632" s="1167"/>
      <c r="R632" s="587"/>
      <c r="S632" s="587"/>
      <c r="X632" s="370"/>
      <c r="Y632" s="370"/>
      <c r="Z632" s="370"/>
      <c r="AB632" s="370"/>
      <c r="AC632" s="370"/>
    </row>
    <row r="633" hidden="1">
      <c r="A633" s="280"/>
      <c r="B633" s="280"/>
      <c r="C633" s="617"/>
      <c r="D633" s="1166"/>
      <c r="E633" s="1166"/>
      <c r="F633" s="1166"/>
      <c r="G633" s="1166"/>
      <c r="H633" s="1166"/>
      <c r="I633" s="1167"/>
      <c r="J633" s="1166"/>
      <c r="K633" s="1167"/>
      <c r="L633" s="1166"/>
      <c r="M633" s="1166"/>
      <c r="N633" s="1166"/>
      <c r="O633" s="280"/>
      <c r="P633" s="1167"/>
      <c r="R633" s="587"/>
      <c r="S633" s="587"/>
      <c r="X633" s="370"/>
      <c r="Y633" s="370"/>
      <c r="Z633" s="370"/>
      <c r="AB633" s="370"/>
      <c r="AC633" s="370"/>
    </row>
    <row r="634" hidden="1">
      <c r="A634" s="280"/>
      <c r="B634" s="280"/>
      <c r="C634" s="617"/>
      <c r="D634" s="1166"/>
      <c r="E634" s="1166"/>
      <c r="F634" s="1166"/>
      <c r="G634" s="1166"/>
      <c r="H634" s="1166"/>
      <c r="I634" s="1167"/>
      <c r="J634" s="1166"/>
      <c r="K634" s="1167"/>
      <c r="L634" s="1166"/>
      <c r="M634" s="1166"/>
      <c r="N634" s="1166"/>
      <c r="O634" s="280"/>
      <c r="P634" s="1167"/>
      <c r="R634" s="587"/>
      <c r="S634" s="587"/>
      <c r="X634" s="370"/>
      <c r="Y634" s="370"/>
      <c r="Z634" s="370"/>
      <c r="AB634" s="370"/>
      <c r="AC634" s="370"/>
    </row>
    <row r="635" hidden="1">
      <c r="A635" s="280"/>
      <c r="B635" s="280"/>
      <c r="C635" s="617"/>
      <c r="D635" s="1166"/>
      <c r="E635" s="1166"/>
      <c r="F635" s="1166"/>
      <c r="G635" s="1166"/>
      <c r="H635" s="1166"/>
      <c r="I635" s="1167"/>
      <c r="J635" s="1166"/>
      <c r="K635" s="1167"/>
      <c r="L635" s="1166"/>
      <c r="M635" s="1166"/>
      <c r="N635" s="1166"/>
      <c r="O635" s="280"/>
      <c r="P635" s="1167"/>
      <c r="R635" s="587"/>
      <c r="S635" s="587"/>
      <c r="X635" s="370"/>
      <c r="Y635" s="370"/>
      <c r="Z635" s="370"/>
      <c r="AB635" s="370"/>
      <c r="AC635" s="370"/>
    </row>
    <row r="636" hidden="1">
      <c r="A636" s="280"/>
      <c r="B636" s="280"/>
      <c r="C636" s="617"/>
      <c r="D636" s="1166"/>
      <c r="E636" s="1166"/>
      <c r="F636" s="1166"/>
      <c r="G636" s="1166"/>
      <c r="H636" s="1166"/>
      <c r="I636" s="1167"/>
      <c r="J636" s="1166"/>
      <c r="K636" s="1167"/>
      <c r="L636" s="1166"/>
      <c r="M636" s="1166"/>
      <c r="N636" s="1166"/>
      <c r="O636" s="280"/>
      <c r="P636" s="1167"/>
      <c r="R636" s="587"/>
      <c r="S636" s="587"/>
      <c r="X636" s="370"/>
      <c r="Y636" s="370"/>
      <c r="Z636" s="370"/>
      <c r="AB636" s="370"/>
      <c r="AC636" s="370"/>
    </row>
    <row r="637" hidden="1">
      <c r="A637" s="280"/>
      <c r="B637" s="280"/>
      <c r="C637" s="617"/>
      <c r="D637" s="1166"/>
      <c r="E637" s="1166"/>
      <c r="F637" s="1166"/>
      <c r="G637" s="1166"/>
      <c r="H637" s="1166"/>
      <c r="I637" s="1167"/>
      <c r="J637" s="1166"/>
      <c r="K637" s="1167"/>
      <c r="L637" s="1166"/>
      <c r="M637" s="1166"/>
      <c r="N637" s="1166"/>
      <c r="O637" s="280"/>
      <c r="P637" s="1167"/>
      <c r="R637" s="587"/>
      <c r="S637" s="587"/>
      <c r="X637" s="370"/>
      <c r="Y637" s="370"/>
      <c r="Z637" s="370"/>
      <c r="AB637" s="370"/>
      <c r="AC637" s="370"/>
    </row>
    <row r="638" hidden="1">
      <c r="A638" s="280"/>
      <c r="B638" s="280"/>
      <c r="C638" s="617"/>
      <c r="D638" s="1166"/>
      <c r="E638" s="1166"/>
      <c r="F638" s="1166"/>
      <c r="G638" s="1166"/>
      <c r="H638" s="1166"/>
      <c r="I638" s="1167"/>
      <c r="J638" s="1166"/>
      <c r="K638" s="1167"/>
      <c r="L638" s="1166"/>
      <c r="M638" s="1166"/>
      <c r="N638" s="1166"/>
      <c r="O638" s="280"/>
      <c r="P638" s="1167"/>
      <c r="R638" s="587"/>
      <c r="S638" s="587"/>
      <c r="X638" s="370"/>
      <c r="Y638" s="370"/>
      <c r="Z638" s="370"/>
      <c r="AB638" s="370"/>
      <c r="AC638" s="370"/>
    </row>
    <row r="639" hidden="1">
      <c r="A639" s="280"/>
      <c r="B639" s="280"/>
      <c r="C639" s="617"/>
      <c r="D639" s="1166"/>
      <c r="E639" s="1166"/>
      <c r="F639" s="1166"/>
      <c r="G639" s="1166"/>
      <c r="H639" s="1166"/>
      <c r="I639" s="1167"/>
      <c r="J639" s="1166"/>
      <c r="K639" s="1167"/>
      <c r="L639" s="1166"/>
      <c r="M639" s="1166"/>
      <c r="N639" s="1166"/>
      <c r="O639" s="280"/>
      <c r="P639" s="1167"/>
      <c r="R639" s="587"/>
      <c r="S639" s="587"/>
      <c r="X639" s="370"/>
      <c r="Y639" s="370"/>
      <c r="Z639" s="370"/>
      <c r="AB639" s="370"/>
      <c r="AC639" s="370"/>
    </row>
    <row r="640" hidden="1">
      <c r="A640" s="280"/>
      <c r="B640" s="280"/>
      <c r="C640" s="617"/>
      <c r="D640" s="1166"/>
      <c r="E640" s="1166"/>
      <c r="F640" s="1166"/>
      <c r="G640" s="1166"/>
      <c r="H640" s="1166"/>
      <c r="I640" s="1167"/>
      <c r="J640" s="1166"/>
      <c r="K640" s="1167"/>
      <c r="L640" s="1166"/>
      <c r="M640" s="1166"/>
      <c r="N640" s="1166"/>
      <c r="O640" s="280"/>
      <c r="P640" s="1167"/>
      <c r="R640" s="587"/>
      <c r="S640" s="587"/>
      <c r="X640" s="370"/>
      <c r="Y640" s="370"/>
      <c r="Z640" s="370"/>
      <c r="AB640" s="370"/>
      <c r="AC640" s="370"/>
    </row>
    <row r="641" hidden="1">
      <c r="A641" s="280"/>
      <c r="B641" s="280"/>
      <c r="C641" s="617"/>
      <c r="D641" s="1166"/>
      <c r="E641" s="1166"/>
      <c r="F641" s="1166"/>
      <c r="G641" s="1166"/>
      <c r="H641" s="1166"/>
      <c r="I641" s="1167"/>
      <c r="J641" s="1166"/>
      <c r="K641" s="1167"/>
      <c r="L641" s="1166"/>
      <c r="M641" s="1166"/>
      <c r="N641" s="1166"/>
      <c r="O641" s="280"/>
      <c r="P641" s="1167"/>
      <c r="R641" s="587"/>
      <c r="S641" s="587"/>
      <c r="X641" s="370"/>
      <c r="Y641" s="370"/>
      <c r="Z641" s="370"/>
      <c r="AB641" s="370"/>
      <c r="AC641" s="370"/>
    </row>
    <row r="642" hidden="1">
      <c r="A642" s="280"/>
      <c r="B642" s="280"/>
      <c r="C642" s="617"/>
      <c r="D642" s="1166"/>
      <c r="E642" s="1166"/>
      <c r="F642" s="1166"/>
      <c r="G642" s="1166"/>
      <c r="H642" s="1166"/>
      <c r="I642" s="1167"/>
      <c r="J642" s="1166"/>
      <c r="K642" s="1167"/>
      <c r="L642" s="1166"/>
      <c r="M642" s="1166"/>
      <c r="N642" s="1166"/>
      <c r="O642" s="280"/>
      <c r="P642" s="1167"/>
      <c r="R642" s="587"/>
      <c r="S642" s="587"/>
      <c r="X642" s="370"/>
      <c r="Y642" s="370"/>
      <c r="Z642" s="370"/>
      <c r="AB642" s="370"/>
      <c r="AC642" s="370"/>
    </row>
    <row r="643" hidden="1">
      <c r="A643" s="280"/>
      <c r="B643" s="280"/>
      <c r="C643" s="617"/>
      <c r="D643" s="1166"/>
      <c r="E643" s="1166"/>
      <c r="F643" s="1166"/>
      <c r="G643" s="1166"/>
      <c r="H643" s="1166"/>
      <c r="I643" s="1167"/>
      <c r="J643" s="1166"/>
      <c r="K643" s="1167"/>
      <c r="L643" s="1166"/>
      <c r="M643" s="1166"/>
      <c r="N643" s="1166"/>
      <c r="O643" s="280"/>
      <c r="P643" s="1167"/>
      <c r="R643" s="587"/>
      <c r="S643" s="587"/>
      <c r="X643" s="370"/>
      <c r="Y643" s="370"/>
      <c r="Z643" s="370"/>
      <c r="AB643" s="370"/>
      <c r="AC643" s="370"/>
    </row>
    <row r="644" hidden="1">
      <c r="A644" s="280"/>
      <c r="B644" s="280"/>
      <c r="C644" s="617"/>
      <c r="D644" s="1166"/>
      <c r="E644" s="1166"/>
      <c r="F644" s="1166"/>
      <c r="G644" s="1166"/>
      <c r="H644" s="1166"/>
      <c r="I644" s="1167"/>
      <c r="J644" s="1166"/>
      <c r="K644" s="1167"/>
      <c r="L644" s="1166"/>
      <c r="M644" s="1166"/>
      <c r="N644" s="1166"/>
      <c r="O644" s="280"/>
      <c r="P644" s="1167"/>
      <c r="R644" s="587"/>
      <c r="S644" s="587"/>
      <c r="X644" s="370"/>
      <c r="Y644" s="370"/>
      <c r="Z644" s="370"/>
      <c r="AB644" s="370"/>
      <c r="AC644" s="370"/>
    </row>
    <row r="645" hidden="1">
      <c r="A645" s="280"/>
      <c r="B645" s="280"/>
      <c r="C645" s="617"/>
      <c r="D645" s="1166"/>
      <c r="E645" s="1166"/>
      <c r="F645" s="1166"/>
      <c r="G645" s="1166"/>
      <c r="H645" s="1166"/>
      <c r="I645" s="1167"/>
      <c r="J645" s="1166"/>
      <c r="K645" s="1167"/>
      <c r="L645" s="1166"/>
      <c r="M645" s="1166"/>
      <c r="N645" s="1166"/>
      <c r="O645" s="280"/>
      <c r="P645" s="1167"/>
      <c r="R645" s="587"/>
      <c r="S645" s="587"/>
      <c r="X645" s="370"/>
      <c r="Y645" s="370"/>
      <c r="Z645" s="370"/>
      <c r="AB645" s="370"/>
      <c r="AC645" s="370"/>
    </row>
    <row r="646" hidden="1">
      <c r="A646" s="280"/>
      <c r="B646" s="280"/>
      <c r="C646" s="617"/>
      <c r="D646" s="1166"/>
      <c r="E646" s="1166"/>
      <c r="F646" s="1166"/>
      <c r="G646" s="1166"/>
      <c r="H646" s="1166"/>
      <c r="I646" s="1167"/>
      <c r="J646" s="1166"/>
      <c r="K646" s="1167"/>
      <c r="L646" s="1166"/>
      <c r="M646" s="1166"/>
      <c r="N646" s="1166"/>
      <c r="O646" s="280"/>
      <c r="P646" s="1167"/>
      <c r="R646" s="587"/>
      <c r="S646" s="587"/>
      <c r="X646" s="370"/>
      <c r="Y646" s="370"/>
      <c r="Z646" s="370"/>
      <c r="AB646" s="370"/>
      <c r="AC646" s="370"/>
    </row>
    <row r="647" hidden="1">
      <c r="A647" s="280"/>
      <c r="B647" s="280"/>
      <c r="C647" s="617"/>
      <c r="D647" s="1166"/>
      <c r="E647" s="1166"/>
      <c r="F647" s="1166"/>
      <c r="G647" s="1166"/>
      <c r="H647" s="1166"/>
      <c r="I647" s="1167"/>
      <c r="J647" s="1166"/>
      <c r="K647" s="1167"/>
      <c r="L647" s="1166"/>
      <c r="M647" s="1166"/>
      <c r="N647" s="1166"/>
      <c r="O647" s="280"/>
      <c r="P647" s="1167"/>
      <c r="R647" s="587"/>
      <c r="S647" s="587"/>
      <c r="X647" s="370"/>
      <c r="Y647" s="370"/>
      <c r="Z647" s="370"/>
      <c r="AB647" s="370"/>
      <c r="AC647" s="370"/>
    </row>
    <row r="648" hidden="1">
      <c r="A648" s="280"/>
      <c r="B648" s="280"/>
      <c r="C648" s="617"/>
      <c r="D648" s="1166"/>
      <c r="E648" s="1166"/>
      <c r="F648" s="1166"/>
      <c r="G648" s="1166"/>
      <c r="H648" s="1166"/>
      <c r="I648" s="1167"/>
      <c r="J648" s="1166"/>
      <c r="K648" s="1167"/>
      <c r="L648" s="1166"/>
      <c r="M648" s="1166"/>
      <c r="N648" s="1166"/>
      <c r="O648" s="280"/>
      <c r="P648" s="1167"/>
      <c r="R648" s="587"/>
      <c r="S648" s="587"/>
      <c r="X648" s="370"/>
      <c r="Y648" s="370"/>
      <c r="Z648" s="370"/>
      <c r="AB648" s="370"/>
      <c r="AC648" s="370"/>
    </row>
    <row r="649" hidden="1">
      <c r="A649" s="280"/>
      <c r="B649" s="280"/>
      <c r="C649" s="617"/>
      <c r="D649" s="1166"/>
      <c r="E649" s="1166"/>
      <c r="F649" s="1166"/>
      <c r="G649" s="1166"/>
      <c r="H649" s="1166"/>
      <c r="I649" s="1167"/>
      <c r="J649" s="1166"/>
      <c r="K649" s="1167"/>
      <c r="L649" s="1166"/>
      <c r="M649" s="1166"/>
      <c r="N649" s="1166"/>
      <c r="O649" s="280"/>
      <c r="P649" s="1167"/>
      <c r="R649" s="587"/>
      <c r="S649" s="587"/>
      <c r="X649" s="370"/>
      <c r="Y649" s="370"/>
      <c r="Z649" s="370"/>
      <c r="AB649" s="370"/>
      <c r="AC649" s="370"/>
    </row>
    <row r="650" hidden="1">
      <c r="A650" s="280"/>
      <c r="B650" s="280"/>
      <c r="C650" s="617"/>
      <c r="D650" s="1166"/>
      <c r="E650" s="1166"/>
      <c r="F650" s="1166"/>
      <c r="G650" s="1166"/>
      <c r="H650" s="1166"/>
      <c r="I650" s="1167"/>
      <c r="J650" s="1166"/>
      <c r="K650" s="1167"/>
      <c r="L650" s="1166"/>
      <c r="M650" s="1166"/>
      <c r="N650" s="1166"/>
      <c r="O650" s="280"/>
      <c r="P650" s="1167"/>
      <c r="R650" s="587"/>
      <c r="S650" s="587"/>
      <c r="X650" s="370"/>
      <c r="Y650" s="370"/>
      <c r="Z650" s="370"/>
      <c r="AB650" s="370"/>
      <c r="AC650" s="370"/>
    </row>
    <row r="651" hidden="1">
      <c r="A651" s="280"/>
      <c r="B651" s="280"/>
      <c r="C651" s="617"/>
      <c r="D651" s="1166"/>
      <c r="E651" s="1166"/>
      <c r="F651" s="1166"/>
      <c r="G651" s="1166"/>
      <c r="H651" s="1166"/>
      <c r="I651" s="1167"/>
      <c r="J651" s="1166"/>
      <c r="K651" s="1167"/>
      <c r="L651" s="1166"/>
      <c r="M651" s="1166"/>
      <c r="N651" s="1166"/>
      <c r="O651" s="280"/>
      <c r="P651" s="1167"/>
      <c r="R651" s="587"/>
      <c r="S651" s="587"/>
      <c r="X651" s="370"/>
      <c r="Y651" s="370"/>
      <c r="Z651" s="370"/>
      <c r="AB651" s="370"/>
      <c r="AC651" s="370"/>
    </row>
    <row r="652" hidden="1">
      <c r="A652" s="280"/>
      <c r="B652" s="280"/>
      <c r="C652" s="617"/>
      <c r="D652" s="1166"/>
      <c r="E652" s="1166"/>
      <c r="F652" s="1166"/>
      <c r="G652" s="1166"/>
      <c r="H652" s="1166"/>
      <c r="I652" s="1167"/>
      <c r="J652" s="1166"/>
      <c r="K652" s="1167"/>
      <c r="L652" s="1166"/>
      <c r="M652" s="1166"/>
      <c r="N652" s="1166"/>
      <c r="O652" s="280"/>
      <c r="P652" s="1167"/>
      <c r="R652" s="587"/>
      <c r="S652" s="587"/>
      <c r="X652" s="370"/>
      <c r="Y652" s="370"/>
      <c r="Z652" s="370"/>
      <c r="AB652" s="370"/>
      <c r="AC652" s="370"/>
    </row>
    <row r="653" hidden="1">
      <c r="A653" s="280"/>
      <c r="B653" s="280"/>
      <c r="C653" s="617"/>
      <c r="D653" s="1166"/>
      <c r="E653" s="1166"/>
      <c r="F653" s="1166"/>
      <c r="G653" s="1166"/>
      <c r="H653" s="1166"/>
      <c r="I653" s="1167"/>
      <c r="J653" s="1166"/>
      <c r="K653" s="1167"/>
      <c r="L653" s="1166"/>
      <c r="M653" s="1166"/>
      <c r="N653" s="1166"/>
      <c r="O653" s="280"/>
      <c r="P653" s="1167"/>
      <c r="R653" s="587"/>
      <c r="S653" s="587"/>
      <c r="X653" s="370"/>
      <c r="Y653" s="370"/>
      <c r="Z653" s="370"/>
      <c r="AB653" s="370"/>
      <c r="AC653" s="370"/>
    </row>
    <row r="654" hidden="1">
      <c r="A654" s="280"/>
      <c r="B654" s="280"/>
      <c r="C654" s="617"/>
      <c r="D654" s="1166"/>
      <c r="E654" s="1166"/>
      <c r="F654" s="1166"/>
      <c r="G654" s="1166"/>
      <c r="H654" s="1166"/>
      <c r="I654" s="1167"/>
      <c r="J654" s="1166"/>
      <c r="K654" s="1167"/>
      <c r="L654" s="1166"/>
      <c r="M654" s="1166"/>
      <c r="N654" s="1166"/>
      <c r="O654" s="280"/>
      <c r="P654" s="1167"/>
      <c r="R654" s="587"/>
      <c r="S654" s="587"/>
      <c r="X654" s="370"/>
      <c r="Y654" s="370"/>
      <c r="Z654" s="370"/>
      <c r="AB654" s="370"/>
      <c r="AC654" s="370"/>
    </row>
    <row r="655" hidden="1">
      <c r="A655" s="280"/>
      <c r="B655" s="280"/>
      <c r="C655" s="617"/>
      <c r="D655" s="1166"/>
      <c r="E655" s="1166"/>
      <c r="F655" s="1166"/>
      <c r="G655" s="1166"/>
      <c r="H655" s="1166"/>
      <c r="I655" s="1167"/>
      <c r="J655" s="1166"/>
      <c r="K655" s="1167"/>
      <c r="L655" s="1166"/>
      <c r="M655" s="1166"/>
      <c r="N655" s="1166"/>
      <c r="O655" s="280"/>
      <c r="P655" s="1167"/>
      <c r="R655" s="587"/>
      <c r="S655" s="587"/>
      <c r="X655" s="370"/>
      <c r="Y655" s="370"/>
      <c r="Z655" s="370"/>
      <c r="AB655" s="370"/>
      <c r="AC655" s="370"/>
    </row>
    <row r="656" hidden="1">
      <c r="A656" s="280"/>
      <c r="B656" s="280"/>
      <c r="C656" s="617"/>
      <c r="D656" s="1166"/>
      <c r="E656" s="1166"/>
      <c r="F656" s="1166"/>
      <c r="G656" s="1166"/>
      <c r="H656" s="1166"/>
      <c r="I656" s="1167"/>
      <c r="J656" s="1166"/>
      <c r="K656" s="1167"/>
      <c r="L656" s="1166"/>
      <c r="M656" s="1166"/>
      <c r="N656" s="1166"/>
      <c r="O656" s="280"/>
      <c r="P656" s="1167"/>
      <c r="R656" s="587"/>
      <c r="S656" s="587"/>
      <c r="X656" s="370"/>
      <c r="Y656" s="370"/>
      <c r="Z656" s="370"/>
      <c r="AB656" s="370"/>
      <c r="AC656" s="370"/>
    </row>
    <row r="657" hidden="1">
      <c r="A657" s="280"/>
      <c r="B657" s="280"/>
      <c r="C657" s="617"/>
      <c r="D657" s="1166"/>
      <c r="E657" s="1166"/>
      <c r="F657" s="1166"/>
      <c r="G657" s="1166"/>
      <c r="H657" s="1166"/>
      <c r="I657" s="1167"/>
      <c r="J657" s="1166"/>
      <c r="K657" s="1167"/>
      <c r="L657" s="1166"/>
      <c r="M657" s="1166"/>
      <c r="N657" s="1166"/>
      <c r="O657" s="280"/>
      <c r="P657" s="1167"/>
      <c r="R657" s="587"/>
      <c r="S657" s="587"/>
      <c r="X657" s="370"/>
      <c r="Y657" s="370"/>
      <c r="Z657" s="370"/>
      <c r="AB657" s="370"/>
      <c r="AC657" s="370"/>
    </row>
    <row r="658" hidden="1">
      <c r="A658" s="280"/>
      <c r="B658" s="280"/>
      <c r="C658" s="617"/>
      <c r="D658" s="1166"/>
      <c r="E658" s="1166"/>
      <c r="F658" s="1166"/>
      <c r="G658" s="1166"/>
      <c r="H658" s="1166"/>
      <c r="I658" s="1167"/>
      <c r="J658" s="1166"/>
      <c r="K658" s="1167"/>
      <c r="L658" s="1166"/>
      <c r="M658" s="1166"/>
      <c r="N658" s="1166"/>
      <c r="O658" s="280"/>
      <c r="P658" s="1167"/>
      <c r="R658" s="587"/>
      <c r="S658" s="587"/>
      <c r="X658" s="370"/>
      <c r="Y658" s="370"/>
      <c r="Z658" s="370"/>
      <c r="AB658" s="370"/>
      <c r="AC658" s="370"/>
    </row>
    <row r="659" hidden="1">
      <c r="A659" s="280"/>
      <c r="B659" s="280"/>
      <c r="C659" s="617"/>
      <c r="D659" s="1166"/>
      <c r="E659" s="1166"/>
      <c r="F659" s="1166"/>
      <c r="G659" s="1166"/>
      <c r="H659" s="1166"/>
      <c r="I659" s="1167"/>
      <c r="J659" s="1166"/>
      <c r="K659" s="1167"/>
      <c r="L659" s="1166"/>
      <c r="M659" s="1166"/>
      <c r="N659" s="1166"/>
      <c r="O659" s="280"/>
      <c r="P659" s="1167"/>
      <c r="R659" s="587"/>
      <c r="S659" s="587"/>
      <c r="X659" s="370"/>
      <c r="Y659" s="370"/>
      <c r="Z659" s="370"/>
      <c r="AB659" s="370"/>
      <c r="AC659" s="370"/>
    </row>
    <row r="660" hidden="1">
      <c r="A660" s="280"/>
      <c r="B660" s="280"/>
      <c r="C660" s="617"/>
      <c r="D660" s="1166"/>
      <c r="E660" s="1166"/>
      <c r="F660" s="1166"/>
      <c r="G660" s="1166"/>
      <c r="H660" s="1166"/>
      <c r="I660" s="1167"/>
      <c r="J660" s="1166"/>
      <c r="K660" s="1167"/>
      <c r="L660" s="1166"/>
      <c r="M660" s="1166"/>
      <c r="N660" s="1166"/>
      <c r="O660" s="280"/>
      <c r="P660" s="1167"/>
      <c r="R660" s="587"/>
      <c r="S660" s="587"/>
      <c r="X660" s="370"/>
      <c r="Y660" s="370"/>
      <c r="Z660" s="370"/>
      <c r="AB660" s="370"/>
      <c r="AC660" s="370"/>
    </row>
    <row r="661" hidden="1">
      <c r="A661" s="280"/>
      <c r="B661" s="280"/>
      <c r="C661" s="617"/>
      <c r="D661" s="1166"/>
      <c r="E661" s="1166"/>
      <c r="F661" s="1166"/>
      <c r="G661" s="1166"/>
      <c r="H661" s="1166"/>
      <c r="I661" s="1167"/>
      <c r="J661" s="1166"/>
      <c r="K661" s="1167"/>
      <c r="L661" s="1166"/>
      <c r="M661" s="1166"/>
      <c r="N661" s="1166"/>
      <c r="O661" s="280"/>
      <c r="P661" s="1167"/>
      <c r="R661" s="587"/>
      <c r="S661" s="587"/>
      <c r="X661" s="370"/>
      <c r="Y661" s="370"/>
      <c r="Z661" s="370"/>
      <c r="AB661" s="370"/>
      <c r="AC661" s="370"/>
    </row>
    <row r="662" hidden="1">
      <c r="A662" s="280"/>
      <c r="B662" s="280"/>
      <c r="C662" s="617"/>
      <c r="D662" s="1166"/>
      <c r="E662" s="1166"/>
      <c r="F662" s="1166"/>
      <c r="G662" s="1166"/>
      <c r="H662" s="1166"/>
      <c r="I662" s="1167"/>
      <c r="J662" s="1166"/>
      <c r="K662" s="1167"/>
      <c r="L662" s="1166"/>
      <c r="M662" s="1166"/>
      <c r="N662" s="1166"/>
      <c r="O662" s="280"/>
      <c r="P662" s="1167"/>
      <c r="R662" s="587"/>
      <c r="S662" s="587"/>
      <c r="X662" s="370"/>
      <c r="Y662" s="370"/>
      <c r="Z662" s="370"/>
      <c r="AB662" s="370"/>
      <c r="AC662" s="370"/>
    </row>
    <row r="663" hidden="1">
      <c r="A663" s="280"/>
      <c r="B663" s="280"/>
      <c r="C663" s="617"/>
      <c r="D663" s="1166"/>
      <c r="E663" s="1166"/>
      <c r="F663" s="1166"/>
      <c r="G663" s="1166"/>
      <c r="H663" s="1166"/>
      <c r="I663" s="1167"/>
      <c r="J663" s="1166"/>
      <c r="K663" s="1167"/>
      <c r="L663" s="1166"/>
      <c r="M663" s="1166"/>
      <c r="N663" s="1166"/>
      <c r="O663" s="280"/>
      <c r="P663" s="1167"/>
      <c r="R663" s="587"/>
      <c r="S663" s="587"/>
      <c r="X663" s="370"/>
      <c r="Y663" s="370"/>
      <c r="Z663" s="370"/>
      <c r="AB663" s="370"/>
      <c r="AC663" s="370"/>
    </row>
    <row r="664" hidden="1">
      <c r="A664" s="280"/>
      <c r="B664" s="280"/>
      <c r="C664" s="617"/>
      <c r="D664" s="1166"/>
      <c r="E664" s="1166"/>
      <c r="F664" s="1166"/>
      <c r="G664" s="1166"/>
      <c r="H664" s="1166"/>
      <c r="I664" s="1167"/>
      <c r="J664" s="1166"/>
      <c r="K664" s="1167"/>
      <c r="L664" s="1166"/>
      <c r="M664" s="1166"/>
      <c r="N664" s="1166"/>
      <c r="O664" s="280"/>
      <c r="P664" s="1167"/>
      <c r="R664" s="587"/>
      <c r="S664" s="587"/>
      <c r="X664" s="370"/>
      <c r="Y664" s="370"/>
      <c r="Z664" s="370"/>
      <c r="AB664" s="370"/>
      <c r="AC664" s="370"/>
    </row>
    <row r="665" hidden="1">
      <c r="A665" s="280"/>
      <c r="B665" s="280"/>
      <c r="C665" s="617"/>
      <c r="D665" s="1166"/>
      <c r="E665" s="1166"/>
      <c r="F665" s="1166"/>
      <c r="G665" s="1166"/>
      <c r="H665" s="1166"/>
      <c r="I665" s="1167"/>
      <c r="J665" s="1166"/>
      <c r="K665" s="1167"/>
      <c r="L665" s="1166"/>
      <c r="M665" s="1166"/>
      <c r="N665" s="1166"/>
      <c r="O665" s="280"/>
      <c r="P665" s="1167"/>
      <c r="R665" s="587"/>
      <c r="S665" s="587"/>
      <c r="X665" s="370"/>
      <c r="Y665" s="370"/>
      <c r="Z665" s="370"/>
      <c r="AB665" s="370"/>
      <c r="AC665" s="370"/>
    </row>
    <row r="666" hidden="1">
      <c r="A666" s="280"/>
      <c r="B666" s="280"/>
      <c r="C666" s="617"/>
      <c r="D666" s="1166"/>
      <c r="E666" s="1166"/>
      <c r="F666" s="1166"/>
      <c r="G666" s="1166"/>
      <c r="H666" s="1166"/>
      <c r="I666" s="1167"/>
      <c r="J666" s="1166"/>
      <c r="K666" s="1167"/>
      <c r="L666" s="1166"/>
      <c r="M666" s="1166"/>
      <c r="N666" s="1166"/>
      <c r="O666" s="280"/>
      <c r="P666" s="1167"/>
      <c r="R666" s="587"/>
      <c r="S666" s="587"/>
      <c r="X666" s="370"/>
      <c r="Y666" s="370"/>
      <c r="Z666" s="370"/>
      <c r="AB666" s="370"/>
      <c r="AC666" s="370"/>
    </row>
    <row r="667" hidden="1">
      <c r="A667" s="280"/>
      <c r="B667" s="280"/>
      <c r="C667" s="617"/>
      <c r="D667" s="1166"/>
      <c r="E667" s="1166"/>
      <c r="F667" s="1166"/>
      <c r="G667" s="1166"/>
      <c r="H667" s="1166"/>
      <c r="I667" s="1167"/>
      <c r="J667" s="1166"/>
      <c r="K667" s="1167"/>
      <c r="L667" s="1166"/>
      <c r="M667" s="1166"/>
      <c r="N667" s="1166"/>
      <c r="O667" s="280"/>
      <c r="P667" s="1167"/>
      <c r="R667" s="587"/>
      <c r="S667" s="587"/>
      <c r="X667" s="370"/>
      <c r="Y667" s="370"/>
      <c r="Z667" s="370"/>
      <c r="AB667" s="370"/>
      <c r="AC667" s="370"/>
    </row>
    <row r="668" hidden="1">
      <c r="A668" s="280"/>
      <c r="B668" s="280"/>
      <c r="C668" s="617"/>
      <c r="D668" s="1166"/>
      <c r="E668" s="1166"/>
      <c r="F668" s="1166"/>
      <c r="G668" s="1166"/>
      <c r="H668" s="1166"/>
      <c r="I668" s="1167"/>
      <c r="J668" s="1166"/>
      <c r="K668" s="1167"/>
      <c r="L668" s="1166"/>
      <c r="M668" s="1166"/>
      <c r="N668" s="1166"/>
      <c r="O668" s="280"/>
      <c r="P668" s="1167"/>
      <c r="R668" s="587"/>
      <c r="S668" s="587"/>
      <c r="X668" s="370"/>
      <c r="Y668" s="370"/>
      <c r="Z668" s="370"/>
      <c r="AB668" s="370"/>
      <c r="AC668" s="370"/>
    </row>
    <row r="669" hidden="1">
      <c r="A669" s="280"/>
      <c r="B669" s="280"/>
      <c r="C669" s="617"/>
      <c r="D669" s="1166"/>
      <c r="E669" s="1166"/>
      <c r="F669" s="1166"/>
      <c r="G669" s="1166"/>
      <c r="H669" s="1166"/>
      <c r="I669" s="1167"/>
      <c r="J669" s="1166"/>
      <c r="K669" s="1167"/>
      <c r="L669" s="1166"/>
      <c r="M669" s="1166"/>
      <c r="N669" s="1166"/>
      <c r="O669" s="280"/>
      <c r="P669" s="1167"/>
      <c r="R669" s="587"/>
      <c r="S669" s="587"/>
      <c r="X669" s="370"/>
      <c r="Y669" s="370"/>
      <c r="Z669" s="370"/>
      <c r="AB669" s="370"/>
      <c r="AC669" s="370"/>
    </row>
    <row r="670" hidden="1">
      <c r="A670" s="280"/>
      <c r="B670" s="280"/>
      <c r="C670" s="617"/>
      <c r="D670" s="1166"/>
      <c r="E670" s="1166"/>
      <c r="F670" s="1166"/>
      <c r="G670" s="1166"/>
      <c r="H670" s="1166"/>
      <c r="I670" s="1167"/>
      <c r="J670" s="1166"/>
      <c r="K670" s="1167"/>
      <c r="L670" s="1166"/>
      <c r="M670" s="1166"/>
      <c r="N670" s="1166"/>
      <c r="O670" s="280"/>
      <c r="P670" s="1167"/>
      <c r="R670" s="587"/>
      <c r="S670" s="587"/>
      <c r="X670" s="370"/>
      <c r="Y670" s="370"/>
      <c r="Z670" s="370"/>
      <c r="AB670" s="370"/>
      <c r="AC670" s="370"/>
    </row>
    <row r="671" hidden="1">
      <c r="A671" s="280"/>
      <c r="B671" s="280"/>
      <c r="C671" s="617"/>
      <c r="D671" s="1166"/>
      <c r="E671" s="1166"/>
      <c r="F671" s="1166"/>
      <c r="G671" s="1166"/>
      <c r="H671" s="1166"/>
      <c r="I671" s="1167"/>
      <c r="J671" s="1166"/>
      <c r="K671" s="1167"/>
      <c r="L671" s="1166"/>
      <c r="M671" s="1166"/>
      <c r="N671" s="1166"/>
      <c r="O671" s="280"/>
      <c r="P671" s="1167"/>
      <c r="R671" s="587"/>
      <c r="S671" s="587"/>
      <c r="X671" s="370"/>
      <c r="Y671" s="370"/>
      <c r="Z671" s="370"/>
      <c r="AB671" s="370"/>
      <c r="AC671" s="370"/>
    </row>
    <row r="672" hidden="1">
      <c r="A672" s="280"/>
      <c r="B672" s="280"/>
      <c r="C672" s="617"/>
      <c r="D672" s="1166"/>
      <c r="E672" s="1166"/>
      <c r="F672" s="1166"/>
      <c r="G672" s="1166"/>
      <c r="H672" s="1166"/>
      <c r="I672" s="1167"/>
      <c r="J672" s="1166"/>
      <c r="K672" s="1167"/>
      <c r="L672" s="1166"/>
      <c r="M672" s="1166"/>
      <c r="N672" s="1166"/>
      <c r="O672" s="280"/>
      <c r="P672" s="1167"/>
      <c r="R672" s="587"/>
      <c r="S672" s="587"/>
      <c r="X672" s="370"/>
      <c r="Y672" s="370"/>
      <c r="Z672" s="370"/>
      <c r="AB672" s="370"/>
      <c r="AC672" s="370"/>
    </row>
    <row r="673" hidden="1">
      <c r="A673" s="280"/>
      <c r="B673" s="280"/>
      <c r="C673" s="617"/>
      <c r="D673" s="1166"/>
      <c r="E673" s="1166"/>
      <c r="F673" s="1166"/>
      <c r="G673" s="1166"/>
      <c r="H673" s="1166"/>
      <c r="I673" s="1167"/>
      <c r="J673" s="1166"/>
      <c r="K673" s="1167"/>
      <c r="L673" s="1166"/>
      <c r="M673" s="1166"/>
      <c r="N673" s="1166"/>
      <c r="O673" s="280"/>
      <c r="P673" s="1167"/>
      <c r="R673" s="587"/>
      <c r="S673" s="587"/>
      <c r="X673" s="370"/>
      <c r="Y673" s="370"/>
      <c r="Z673" s="370"/>
      <c r="AB673" s="370"/>
      <c r="AC673" s="370"/>
    </row>
    <row r="674" hidden="1">
      <c r="A674" s="280"/>
      <c r="B674" s="280"/>
      <c r="C674" s="617"/>
      <c r="D674" s="1166"/>
      <c r="E674" s="1166"/>
      <c r="F674" s="1166"/>
      <c r="G674" s="1166"/>
      <c r="H674" s="1166"/>
      <c r="I674" s="1167"/>
      <c r="J674" s="1166"/>
      <c r="K674" s="1167"/>
      <c r="L674" s="1166"/>
      <c r="M674" s="1166"/>
      <c r="N674" s="1166"/>
      <c r="O674" s="280"/>
      <c r="P674" s="1167"/>
      <c r="R674" s="587"/>
      <c r="S674" s="587"/>
      <c r="X674" s="370"/>
      <c r="Y674" s="370"/>
      <c r="Z674" s="370"/>
      <c r="AB674" s="370"/>
      <c r="AC674" s="370"/>
    </row>
    <row r="675" hidden="1">
      <c r="A675" s="280"/>
      <c r="B675" s="280"/>
      <c r="C675" s="617"/>
      <c r="D675" s="1166"/>
      <c r="E675" s="1166"/>
      <c r="F675" s="1166"/>
      <c r="G675" s="1166"/>
      <c r="H675" s="1166"/>
      <c r="I675" s="1167"/>
      <c r="J675" s="1166"/>
      <c r="K675" s="1167"/>
      <c r="L675" s="1166"/>
      <c r="M675" s="1166"/>
      <c r="N675" s="1166"/>
      <c r="O675" s="280"/>
      <c r="P675" s="1167"/>
      <c r="R675" s="587"/>
      <c r="S675" s="587"/>
      <c r="X675" s="370"/>
      <c r="Y675" s="370"/>
      <c r="Z675" s="370"/>
      <c r="AB675" s="370"/>
      <c r="AC675" s="370"/>
    </row>
    <row r="676" hidden="1">
      <c r="A676" s="280"/>
      <c r="B676" s="280"/>
      <c r="C676" s="617"/>
      <c r="D676" s="1166"/>
      <c r="E676" s="1166"/>
      <c r="F676" s="1166"/>
      <c r="G676" s="1166"/>
      <c r="H676" s="1166"/>
      <c r="I676" s="1167"/>
      <c r="J676" s="1166"/>
      <c r="K676" s="1167"/>
      <c r="L676" s="1166"/>
      <c r="M676" s="1166"/>
      <c r="N676" s="1166"/>
      <c r="O676" s="280"/>
      <c r="P676" s="1167"/>
      <c r="R676" s="587"/>
      <c r="S676" s="587"/>
      <c r="X676" s="370"/>
      <c r="Y676" s="370"/>
      <c r="Z676" s="370"/>
      <c r="AB676" s="370"/>
      <c r="AC676" s="370"/>
    </row>
    <row r="677" hidden="1">
      <c r="A677" s="280"/>
      <c r="B677" s="280"/>
      <c r="C677" s="617"/>
      <c r="D677" s="1166"/>
      <c r="E677" s="1166"/>
      <c r="F677" s="1166"/>
      <c r="G677" s="1166"/>
      <c r="H677" s="1166"/>
      <c r="I677" s="1167"/>
      <c r="J677" s="1166"/>
      <c r="K677" s="1167"/>
      <c r="L677" s="1166"/>
      <c r="M677" s="1166"/>
      <c r="N677" s="1166"/>
      <c r="O677" s="280"/>
      <c r="P677" s="1167"/>
      <c r="R677" s="587"/>
      <c r="S677" s="587"/>
      <c r="X677" s="370"/>
      <c r="Y677" s="370"/>
      <c r="Z677" s="370"/>
      <c r="AB677" s="370"/>
      <c r="AC677" s="370"/>
    </row>
    <row r="678" hidden="1">
      <c r="A678" s="280"/>
      <c r="B678" s="280"/>
      <c r="C678" s="617"/>
      <c r="D678" s="1166"/>
      <c r="E678" s="1166"/>
      <c r="F678" s="1166"/>
      <c r="G678" s="1166"/>
      <c r="H678" s="1166"/>
      <c r="I678" s="1167"/>
      <c r="J678" s="1166"/>
      <c r="K678" s="1167"/>
      <c r="L678" s="1166"/>
      <c r="M678" s="1166"/>
      <c r="N678" s="1166"/>
      <c r="O678" s="280"/>
      <c r="P678" s="1167"/>
      <c r="R678" s="587"/>
      <c r="S678" s="587"/>
      <c r="X678" s="370"/>
      <c r="Y678" s="370"/>
      <c r="Z678" s="370"/>
      <c r="AB678" s="370"/>
      <c r="AC678" s="370"/>
    </row>
    <row r="679" hidden="1">
      <c r="A679" s="280"/>
      <c r="B679" s="280"/>
      <c r="C679" s="617"/>
      <c r="D679" s="1166"/>
      <c r="E679" s="1166"/>
      <c r="F679" s="1166"/>
      <c r="G679" s="1166"/>
      <c r="H679" s="1166"/>
      <c r="I679" s="1167"/>
      <c r="J679" s="1166"/>
      <c r="K679" s="1167"/>
      <c r="L679" s="1166"/>
      <c r="M679" s="1166"/>
      <c r="N679" s="1166"/>
      <c r="O679" s="280"/>
      <c r="P679" s="1167"/>
      <c r="R679" s="587"/>
      <c r="S679" s="587"/>
      <c r="X679" s="370"/>
      <c r="Y679" s="370"/>
      <c r="Z679" s="370"/>
      <c r="AB679" s="370"/>
      <c r="AC679" s="370"/>
    </row>
    <row r="680" hidden="1">
      <c r="A680" s="280"/>
      <c r="B680" s="280"/>
      <c r="C680" s="617"/>
      <c r="D680" s="1166"/>
      <c r="E680" s="1166"/>
      <c r="F680" s="1166"/>
      <c r="G680" s="1166"/>
      <c r="H680" s="1166"/>
      <c r="I680" s="1167"/>
      <c r="J680" s="1166"/>
      <c r="K680" s="1167"/>
      <c r="L680" s="1166"/>
      <c r="M680" s="1166"/>
      <c r="N680" s="1166"/>
      <c r="O680" s="280"/>
      <c r="P680" s="1167"/>
      <c r="R680" s="587"/>
      <c r="S680" s="587"/>
      <c r="X680" s="370"/>
      <c r="Y680" s="370"/>
      <c r="Z680" s="370"/>
      <c r="AB680" s="370"/>
      <c r="AC680" s="370"/>
    </row>
    <row r="681" hidden="1">
      <c r="A681" s="280"/>
      <c r="B681" s="280"/>
      <c r="C681" s="617"/>
      <c r="D681" s="1166"/>
      <c r="E681" s="1166"/>
      <c r="F681" s="1166"/>
      <c r="G681" s="1166"/>
      <c r="H681" s="1166"/>
      <c r="I681" s="1167"/>
      <c r="J681" s="1166"/>
      <c r="K681" s="1167"/>
      <c r="L681" s="1166"/>
      <c r="M681" s="1166"/>
      <c r="N681" s="1166"/>
      <c r="O681" s="280"/>
      <c r="P681" s="1167"/>
      <c r="R681" s="587"/>
      <c r="S681" s="587"/>
      <c r="X681" s="370"/>
      <c r="Y681" s="370"/>
      <c r="Z681" s="370"/>
      <c r="AB681" s="370"/>
      <c r="AC681" s="370"/>
    </row>
    <row r="682" hidden="1">
      <c r="A682" s="280"/>
      <c r="B682" s="280"/>
      <c r="C682" s="617"/>
      <c r="D682" s="1166"/>
      <c r="E682" s="1166"/>
      <c r="F682" s="1166"/>
      <c r="G682" s="1166"/>
      <c r="H682" s="1166"/>
      <c r="I682" s="1167"/>
      <c r="J682" s="1166"/>
      <c r="K682" s="1167"/>
      <c r="L682" s="1166"/>
      <c r="M682" s="1166"/>
      <c r="N682" s="1166"/>
      <c r="O682" s="280"/>
      <c r="P682" s="1167"/>
      <c r="R682" s="587"/>
      <c r="S682" s="587"/>
      <c r="X682" s="370"/>
      <c r="Y682" s="370"/>
      <c r="Z682" s="370"/>
      <c r="AB682" s="370"/>
      <c r="AC682" s="370"/>
    </row>
    <row r="683" hidden="1">
      <c r="A683" s="280"/>
      <c r="B683" s="280"/>
      <c r="C683" s="617"/>
      <c r="D683" s="1166"/>
      <c r="E683" s="1166"/>
      <c r="F683" s="1166"/>
      <c r="G683" s="1166"/>
      <c r="H683" s="1166"/>
      <c r="I683" s="1167"/>
      <c r="J683" s="1166"/>
      <c r="K683" s="1167"/>
      <c r="L683" s="1166"/>
      <c r="M683" s="1166"/>
      <c r="N683" s="1166"/>
      <c r="O683" s="280"/>
      <c r="P683" s="1167"/>
      <c r="R683" s="587"/>
      <c r="S683" s="587"/>
      <c r="X683" s="370"/>
      <c r="Y683" s="370"/>
      <c r="Z683" s="370"/>
      <c r="AB683" s="370"/>
      <c r="AC683" s="370"/>
    </row>
    <row r="684" hidden="1">
      <c r="A684" s="280"/>
      <c r="B684" s="280"/>
      <c r="C684" s="617"/>
      <c r="D684" s="1166"/>
      <c r="E684" s="1166"/>
      <c r="F684" s="1166"/>
      <c r="G684" s="1166"/>
      <c r="H684" s="1166"/>
      <c r="I684" s="1167"/>
      <c r="J684" s="1166"/>
      <c r="K684" s="1167"/>
      <c r="L684" s="1166"/>
      <c r="M684" s="1166"/>
      <c r="N684" s="1166"/>
      <c r="O684" s="280"/>
      <c r="P684" s="1167"/>
      <c r="R684" s="587"/>
      <c r="S684" s="587"/>
      <c r="X684" s="370"/>
      <c r="Y684" s="370"/>
      <c r="Z684" s="370"/>
      <c r="AB684" s="370"/>
      <c r="AC684" s="370"/>
    </row>
    <row r="685" hidden="1">
      <c r="A685" s="280"/>
      <c r="B685" s="280"/>
      <c r="C685" s="617"/>
      <c r="D685" s="1166"/>
      <c r="E685" s="1166"/>
      <c r="F685" s="1166"/>
      <c r="G685" s="1166"/>
      <c r="H685" s="1166"/>
      <c r="I685" s="1167"/>
      <c r="J685" s="1166"/>
      <c r="K685" s="1167"/>
      <c r="L685" s="1166"/>
      <c r="M685" s="1166"/>
      <c r="N685" s="1166"/>
      <c r="O685" s="280"/>
      <c r="P685" s="1167"/>
      <c r="R685" s="587"/>
      <c r="S685" s="587"/>
      <c r="X685" s="370"/>
      <c r="Y685" s="370"/>
      <c r="Z685" s="370"/>
      <c r="AB685" s="370"/>
      <c r="AC685" s="370"/>
    </row>
    <row r="686" hidden="1">
      <c r="A686" s="280"/>
      <c r="B686" s="280"/>
      <c r="C686" s="617"/>
      <c r="D686" s="1166"/>
      <c r="E686" s="1166"/>
      <c r="F686" s="1166"/>
      <c r="G686" s="1166"/>
      <c r="H686" s="1166"/>
      <c r="I686" s="1167"/>
      <c r="J686" s="1166"/>
      <c r="K686" s="1167"/>
      <c r="L686" s="1166"/>
      <c r="M686" s="1166"/>
      <c r="N686" s="1166"/>
      <c r="O686" s="280"/>
      <c r="P686" s="1167"/>
      <c r="R686" s="587"/>
      <c r="S686" s="587"/>
      <c r="X686" s="370"/>
      <c r="Y686" s="370"/>
      <c r="Z686" s="370"/>
      <c r="AB686" s="370"/>
      <c r="AC686" s="370"/>
    </row>
    <row r="687" hidden="1">
      <c r="A687" s="280"/>
      <c r="B687" s="280"/>
      <c r="C687" s="617"/>
      <c r="D687" s="1166"/>
      <c r="E687" s="1166"/>
      <c r="F687" s="1166"/>
      <c r="G687" s="1166"/>
      <c r="H687" s="1166"/>
      <c r="I687" s="1167"/>
      <c r="J687" s="1166"/>
      <c r="K687" s="1167"/>
      <c r="L687" s="1166"/>
      <c r="M687" s="1166"/>
      <c r="N687" s="1166"/>
      <c r="O687" s="280"/>
      <c r="P687" s="1167"/>
      <c r="R687" s="587"/>
      <c r="S687" s="587"/>
      <c r="X687" s="370"/>
      <c r="Y687" s="370"/>
      <c r="Z687" s="370"/>
      <c r="AB687" s="370"/>
      <c r="AC687" s="370"/>
    </row>
    <row r="688" hidden="1">
      <c r="A688" s="280"/>
      <c r="B688" s="280"/>
      <c r="C688" s="617"/>
      <c r="D688" s="1166"/>
      <c r="E688" s="1166"/>
      <c r="F688" s="1166"/>
      <c r="G688" s="1166"/>
      <c r="H688" s="1166"/>
      <c r="I688" s="1167"/>
      <c r="J688" s="1166"/>
      <c r="K688" s="1167"/>
      <c r="L688" s="1166"/>
      <c r="M688" s="1166"/>
      <c r="N688" s="1166"/>
      <c r="O688" s="280"/>
      <c r="P688" s="1167"/>
      <c r="R688" s="587"/>
      <c r="S688" s="587"/>
      <c r="X688" s="370"/>
      <c r="Y688" s="370"/>
      <c r="Z688" s="370"/>
      <c r="AB688" s="370"/>
      <c r="AC688" s="370"/>
    </row>
    <row r="689" hidden="1">
      <c r="A689" s="280"/>
      <c r="B689" s="280"/>
      <c r="C689" s="617"/>
      <c r="D689" s="1166"/>
      <c r="E689" s="1166"/>
      <c r="F689" s="1166"/>
      <c r="G689" s="1166"/>
      <c r="H689" s="1166"/>
      <c r="I689" s="1167"/>
      <c r="J689" s="1166"/>
      <c r="K689" s="1167"/>
      <c r="L689" s="1166"/>
      <c r="M689" s="1166"/>
      <c r="N689" s="1166"/>
      <c r="O689" s="280"/>
      <c r="P689" s="1167"/>
      <c r="R689" s="587"/>
      <c r="S689" s="587"/>
      <c r="X689" s="370"/>
      <c r="Y689" s="370"/>
      <c r="Z689" s="370"/>
      <c r="AB689" s="370"/>
      <c r="AC689" s="370"/>
    </row>
    <row r="690" hidden="1">
      <c r="A690" s="280"/>
      <c r="B690" s="280"/>
      <c r="C690" s="617"/>
      <c r="D690" s="1166"/>
      <c r="E690" s="1166"/>
      <c r="F690" s="1166"/>
      <c r="G690" s="1166"/>
      <c r="H690" s="1166"/>
      <c r="I690" s="1167"/>
      <c r="J690" s="1166"/>
      <c r="K690" s="1167"/>
      <c r="L690" s="1166"/>
      <c r="M690" s="1166"/>
      <c r="N690" s="1166"/>
      <c r="O690" s="280"/>
      <c r="P690" s="1167"/>
      <c r="R690" s="587"/>
      <c r="S690" s="587"/>
      <c r="X690" s="370"/>
      <c r="Y690" s="370"/>
      <c r="Z690" s="370"/>
      <c r="AB690" s="370"/>
      <c r="AC690" s="370"/>
    </row>
    <row r="691" hidden="1">
      <c r="A691" s="280"/>
      <c r="B691" s="280"/>
      <c r="C691" s="617"/>
      <c r="D691" s="1166"/>
      <c r="E691" s="1166"/>
      <c r="F691" s="1166"/>
      <c r="G691" s="1166"/>
      <c r="H691" s="1166"/>
      <c r="I691" s="1167"/>
      <c r="J691" s="1166"/>
      <c r="K691" s="1167"/>
      <c r="L691" s="1166"/>
      <c r="M691" s="1166"/>
      <c r="N691" s="1166"/>
      <c r="O691" s="280"/>
      <c r="P691" s="1167"/>
      <c r="R691" s="587"/>
      <c r="S691" s="587"/>
      <c r="X691" s="370"/>
      <c r="Y691" s="370"/>
      <c r="Z691" s="370"/>
      <c r="AB691" s="370"/>
      <c r="AC691" s="370"/>
    </row>
    <row r="692" hidden="1">
      <c r="A692" s="280"/>
      <c r="B692" s="280"/>
      <c r="C692" s="617"/>
      <c r="D692" s="1166"/>
      <c r="E692" s="1166"/>
      <c r="F692" s="1166"/>
      <c r="G692" s="1166"/>
      <c r="H692" s="1166"/>
      <c r="I692" s="1167"/>
      <c r="J692" s="1166"/>
      <c r="K692" s="1167"/>
      <c r="L692" s="1166"/>
      <c r="M692" s="1166"/>
      <c r="N692" s="1166"/>
      <c r="O692" s="280"/>
      <c r="P692" s="1167"/>
      <c r="R692" s="587"/>
      <c r="S692" s="587"/>
      <c r="X692" s="370"/>
      <c r="Y692" s="370"/>
      <c r="Z692" s="370"/>
      <c r="AB692" s="370"/>
      <c r="AC692" s="370"/>
    </row>
    <row r="693" hidden="1">
      <c r="A693" s="280"/>
      <c r="B693" s="280"/>
      <c r="C693" s="617"/>
      <c r="D693" s="1166"/>
      <c r="E693" s="1166"/>
      <c r="F693" s="1166"/>
      <c r="G693" s="1166"/>
      <c r="H693" s="1166"/>
      <c r="I693" s="1167"/>
      <c r="J693" s="1166"/>
      <c r="K693" s="1167"/>
      <c r="L693" s="1166"/>
      <c r="M693" s="1166"/>
      <c r="N693" s="1166"/>
      <c r="O693" s="280"/>
      <c r="P693" s="1167"/>
      <c r="R693" s="587"/>
      <c r="S693" s="587"/>
      <c r="X693" s="370"/>
      <c r="Y693" s="370"/>
      <c r="Z693" s="370"/>
      <c r="AB693" s="370"/>
      <c r="AC693" s="370"/>
    </row>
    <row r="694" hidden="1">
      <c r="A694" s="280"/>
      <c r="B694" s="280"/>
      <c r="C694" s="617"/>
      <c r="D694" s="1166"/>
      <c r="E694" s="1166"/>
      <c r="F694" s="1166"/>
      <c r="G694" s="1166"/>
      <c r="H694" s="1166"/>
      <c r="I694" s="1167"/>
      <c r="J694" s="1166"/>
      <c r="K694" s="1167"/>
      <c r="L694" s="1166"/>
      <c r="M694" s="1166"/>
      <c r="N694" s="1166"/>
      <c r="O694" s="280"/>
      <c r="P694" s="1167"/>
      <c r="R694" s="587"/>
      <c r="S694" s="587"/>
      <c r="X694" s="370"/>
      <c r="Y694" s="370"/>
      <c r="Z694" s="370"/>
      <c r="AB694" s="370"/>
      <c r="AC694" s="370"/>
    </row>
    <row r="695" hidden="1">
      <c r="A695" s="280"/>
      <c r="B695" s="280"/>
      <c r="C695" s="617"/>
      <c r="D695" s="1166"/>
      <c r="E695" s="1166"/>
      <c r="F695" s="1166"/>
      <c r="G695" s="1166"/>
      <c r="H695" s="1166"/>
      <c r="I695" s="1167"/>
      <c r="J695" s="1166"/>
      <c r="K695" s="1167"/>
      <c r="L695" s="1166"/>
      <c r="M695" s="1166"/>
      <c r="N695" s="1166"/>
      <c r="O695" s="280"/>
      <c r="P695" s="1167"/>
      <c r="R695" s="587"/>
      <c r="S695" s="587"/>
      <c r="X695" s="370"/>
      <c r="Y695" s="370"/>
      <c r="Z695" s="370"/>
      <c r="AB695" s="370"/>
      <c r="AC695" s="370"/>
    </row>
    <row r="696" hidden="1">
      <c r="A696" s="280"/>
      <c r="B696" s="280"/>
      <c r="C696" s="617"/>
      <c r="D696" s="1166"/>
      <c r="E696" s="1166"/>
      <c r="F696" s="1166"/>
      <c r="G696" s="1166"/>
      <c r="H696" s="1166"/>
      <c r="I696" s="1167"/>
      <c r="J696" s="1166"/>
      <c r="K696" s="1167"/>
      <c r="L696" s="1166"/>
      <c r="M696" s="1166"/>
      <c r="N696" s="1166"/>
      <c r="O696" s="280"/>
      <c r="P696" s="1167"/>
      <c r="R696" s="587"/>
      <c r="S696" s="587"/>
      <c r="X696" s="370"/>
      <c r="Y696" s="370"/>
      <c r="Z696" s="370"/>
      <c r="AB696" s="370"/>
      <c r="AC696" s="370"/>
    </row>
    <row r="697" hidden="1">
      <c r="A697" s="280"/>
      <c r="B697" s="280"/>
      <c r="C697" s="617"/>
      <c r="D697" s="1166"/>
      <c r="E697" s="1166"/>
      <c r="F697" s="1166"/>
      <c r="G697" s="1166"/>
      <c r="H697" s="1166"/>
      <c r="I697" s="1167"/>
      <c r="J697" s="1166"/>
      <c r="K697" s="1167"/>
      <c r="L697" s="1166"/>
      <c r="M697" s="1166"/>
      <c r="N697" s="1166"/>
      <c r="O697" s="280"/>
      <c r="P697" s="1167"/>
      <c r="R697" s="587"/>
      <c r="S697" s="587"/>
      <c r="X697" s="370"/>
      <c r="Y697" s="370"/>
      <c r="Z697" s="370"/>
      <c r="AB697" s="370"/>
      <c r="AC697" s="370"/>
    </row>
    <row r="698" hidden="1">
      <c r="A698" s="280"/>
      <c r="B698" s="280"/>
      <c r="C698" s="617"/>
      <c r="D698" s="1166"/>
      <c r="E698" s="1166"/>
      <c r="F698" s="1166"/>
      <c r="G698" s="1166"/>
      <c r="H698" s="1166"/>
      <c r="I698" s="1167"/>
      <c r="J698" s="1166"/>
      <c r="K698" s="1167"/>
      <c r="L698" s="1166"/>
      <c r="M698" s="1166"/>
      <c r="N698" s="1166"/>
      <c r="O698" s="280"/>
      <c r="P698" s="1167"/>
      <c r="R698" s="587"/>
      <c r="S698" s="587"/>
      <c r="X698" s="370"/>
      <c r="Y698" s="370"/>
      <c r="Z698" s="370"/>
      <c r="AB698" s="370"/>
      <c r="AC698" s="370"/>
    </row>
    <row r="699" hidden="1">
      <c r="A699" s="280"/>
      <c r="B699" s="280"/>
      <c r="C699" s="617"/>
      <c r="D699" s="1166"/>
      <c r="E699" s="1166"/>
      <c r="F699" s="1166"/>
      <c r="G699" s="1166"/>
      <c r="H699" s="1166"/>
      <c r="I699" s="1167"/>
      <c r="J699" s="1166"/>
      <c r="K699" s="1167"/>
      <c r="L699" s="1166"/>
      <c r="M699" s="1166"/>
      <c r="N699" s="1166"/>
      <c r="O699" s="280"/>
      <c r="P699" s="1167"/>
      <c r="R699" s="587"/>
      <c r="S699" s="587"/>
      <c r="X699" s="370"/>
      <c r="Y699" s="370"/>
      <c r="Z699" s="370"/>
      <c r="AB699" s="370"/>
      <c r="AC699" s="370"/>
    </row>
    <row r="700" hidden="1">
      <c r="A700" s="280"/>
      <c r="B700" s="280"/>
      <c r="C700" s="617"/>
      <c r="D700" s="1166"/>
      <c r="E700" s="1166"/>
      <c r="F700" s="1166"/>
      <c r="G700" s="1166"/>
      <c r="H700" s="1166"/>
      <c r="I700" s="1167"/>
      <c r="J700" s="1166"/>
      <c r="K700" s="1167"/>
      <c r="L700" s="1166"/>
      <c r="M700" s="1166"/>
      <c r="N700" s="1166"/>
      <c r="O700" s="280"/>
      <c r="P700" s="1167"/>
      <c r="R700" s="587"/>
      <c r="S700" s="587"/>
      <c r="X700" s="370"/>
      <c r="Y700" s="370"/>
      <c r="Z700" s="370"/>
      <c r="AB700" s="370"/>
      <c r="AC700" s="370"/>
    </row>
    <row r="701" hidden="1">
      <c r="A701" s="280"/>
      <c r="B701" s="280"/>
      <c r="C701" s="617"/>
      <c r="D701" s="1166"/>
      <c r="E701" s="1166"/>
      <c r="F701" s="1166"/>
      <c r="G701" s="1166"/>
      <c r="H701" s="1166"/>
      <c r="I701" s="1167"/>
      <c r="J701" s="1166"/>
      <c r="K701" s="1167"/>
      <c r="L701" s="1166"/>
      <c r="M701" s="1166"/>
      <c r="N701" s="1166"/>
      <c r="O701" s="280"/>
      <c r="P701" s="1167"/>
      <c r="R701" s="587"/>
      <c r="S701" s="587"/>
      <c r="X701" s="370"/>
      <c r="Y701" s="370"/>
      <c r="Z701" s="370"/>
      <c r="AB701" s="370"/>
      <c r="AC701" s="370"/>
    </row>
    <row r="702" hidden="1">
      <c r="A702" s="280"/>
      <c r="B702" s="280"/>
      <c r="C702" s="617"/>
      <c r="D702" s="1166"/>
      <c r="E702" s="1166"/>
      <c r="F702" s="1166"/>
      <c r="G702" s="1166"/>
      <c r="H702" s="1166"/>
      <c r="I702" s="1167"/>
      <c r="J702" s="1166"/>
      <c r="K702" s="1167"/>
      <c r="L702" s="1166"/>
      <c r="M702" s="1166"/>
      <c r="N702" s="1166"/>
      <c r="O702" s="280"/>
      <c r="P702" s="1167"/>
      <c r="R702" s="587"/>
      <c r="S702" s="587"/>
      <c r="X702" s="370"/>
      <c r="Y702" s="370"/>
      <c r="Z702" s="370"/>
      <c r="AB702" s="370"/>
      <c r="AC702" s="370"/>
    </row>
    <row r="703" hidden="1">
      <c r="A703" s="280"/>
      <c r="B703" s="280"/>
      <c r="C703" s="617"/>
      <c r="D703" s="1166"/>
      <c r="E703" s="1166"/>
      <c r="F703" s="1166"/>
      <c r="G703" s="1166"/>
      <c r="H703" s="1166"/>
      <c r="I703" s="1167"/>
      <c r="J703" s="1166"/>
      <c r="K703" s="1167"/>
      <c r="L703" s="1166"/>
      <c r="M703" s="1166"/>
      <c r="N703" s="1166"/>
      <c r="O703" s="280"/>
      <c r="P703" s="1167"/>
      <c r="R703" s="587"/>
      <c r="S703" s="587"/>
      <c r="X703" s="370"/>
      <c r="Y703" s="370"/>
      <c r="Z703" s="370"/>
      <c r="AB703" s="370"/>
      <c r="AC703" s="370"/>
    </row>
    <row r="704" hidden="1">
      <c r="A704" s="280"/>
      <c r="B704" s="280"/>
      <c r="C704" s="617"/>
      <c r="D704" s="1166"/>
      <c r="E704" s="1166"/>
      <c r="F704" s="1166"/>
      <c r="G704" s="1166"/>
      <c r="H704" s="1166"/>
      <c r="I704" s="1167"/>
      <c r="J704" s="1166"/>
      <c r="K704" s="1167"/>
      <c r="L704" s="1166"/>
      <c r="M704" s="1166"/>
      <c r="N704" s="1166"/>
      <c r="O704" s="280"/>
      <c r="P704" s="1167"/>
      <c r="R704" s="587"/>
      <c r="S704" s="587"/>
      <c r="X704" s="370"/>
      <c r="Y704" s="370"/>
      <c r="Z704" s="370"/>
      <c r="AB704" s="370"/>
      <c r="AC704" s="370"/>
    </row>
    <row r="705" hidden="1">
      <c r="A705" s="280"/>
      <c r="B705" s="280"/>
      <c r="C705" s="617"/>
      <c r="D705" s="1166"/>
      <c r="E705" s="1166"/>
      <c r="F705" s="1166"/>
      <c r="G705" s="1166"/>
      <c r="H705" s="1166"/>
      <c r="I705" s="1167"/>
      <c r="J705" s="1166"/>
      <c r="K705" s="1167"/>
      <c r="L705" s="1166"/>
      <c r="M705" s="1166"/>
      <c r="N705" s="1166"/>
      <c r="O705" s="280"/>
      <c r="P705" s="1167"/>
      <c r="R705" s="587"/>
      <c r="S705" s="587"/>
      <c r="X705" s="370"/>
      <c r="Y705" s="370"/>
      <c r="Z705" s="370"/>
      <c r="AB705" s="370"/>
      <c r="AC705" s="370"/>
    </row>
    <row r="706" hidden="1">
      <c r="A706" s="280"/>
      <c r="B706" s="280"/>
      <c r="C706" s="617"/>
      <c r="D706" s="1166"/>
      <c r="E706" s="1166"/>
      <c r="F706" s="1166"/>
      <c r="G706" s="1166"/>
      <c r="H706" s="1166"/>
      <c r="I706" s="1167"/>
      <c r="J706" s="1166"/>
      <c r="K706" s="1167"/>
      <c r="L706" s="1166"/>
      <c r="M706" s="1166"/>
      <c r="N706" s="1166"/>
      <c r="O706" s="280"/>
      <c r="P706" s="1167"/>
      <c r="R706" s="587"/>
      <c r="S706" s="587"/>
      <c r="X706" s="370"/>
      <c r="Y706" s="370"/>
      <c r="Z706" s="370"/>
      <c r="AB706" s="370"/>
      <c r="AC706" s="370"/>
    </row>
    <row r="707" hidden="1">
      <c r="A707" s="280"/>
      <c r="B707" s="280"/>
      <c r="C707" s="617"/>
      <c r="D707" s="1166"/>
      <c r="E707" s="1166"/>
      <c r="F707" s="1166"/>
      <c r="G707" s="1166"/>
      <c r="H707" s="1166"/>
      <c r="I707" s="1167"/>
      <c r="J707" s="1166"/>
      <c r="K707" s="1167"/>
      <c r="L707" s="1166"/>
      <c r="M707" s="1166"/>
      <c r="N707" s="1166"/>
      <c r="O707" s="280"/>
      <c r="P707" s="1167"/>
      <c r="R707" s="587"/>
      <c r="S707" s="587"/>
      <c r="X707" s="370"/>
      <c r="Y707" s="370"/>
      <c r="Z707" s="370"/>
      <c r="AB707" s="370"/>
      <c r="AC707" s="370"/>
    </row>
    <row r="708" hidden="1">
      <c r="A708" s="280"/>
      <c r="B708" s="280"/>
      <c r="C708" s="617"/>
      <c r="D708" s="1166"/>
      <c r="E708" s="1166"/>
      <c r="F708" s="1166"/>
      <c r="G708" s="1166"/>
      <c r="H708" s="1166"/>
      <c r="I708" s="1167"/>
      <c r="J708" s="1166"/>
      <c r="K708" s="1167"/>
      <c r="L708" s="1166"/>
      <c r="M708" s="1166"/>
      <c r="N708" s="1166"/>
      <c r="O708" s="280"/>
      <c r="P708" s="1167"/>
      <c r="R708" s="587"/>
      <c r="S708" s="587"/>
      <c r="X708" s="370"/>
      <c r="Y708" s="370"/>
      <c r="Z708" s="370"/>
      <c r="AB708" s="370"/>
      <c r="AC708" s="370"/>
    </row>
    <row r="709" hidden="1">
      <c r="A709" s="280"/>
      <c r="B709" s="280"/>
      <c r="C709" s="617"/>
      <c r="D709" s="1166"/>
      <c r="E709" s="1166"/>
      <c r="F709" s="1166"/>
      <c r="G709" s="1166"/>
      <c r="H709" s="1166"/>
      <c r="I709" s="1167"/>
      <c r="J709" s="1166"/>
      <c r="K709" s="1167"/>
      <c r="L709" s="1166"/>
      <c r="M709" s="1166"/>
      <c r="N709" s="1166"/>
      <c r="O709" s="280"/>
      <c r="P709" s="1167"/>
      <c r="R709" s="587"/>
      <c r="S709" s="587"/>
      <c r="X709" s="370"/>
      <c r="Y709" s="370"/>
      <c r="Z709" s="370"/>
      <c r="AB709" s="370"/>
      <c r="AC709" s="370"/>
    </row>
    <row r="710" hidden="1">
      <c r="A710" s="280"/>
      <c r="B710" s="280"/>
      <c r="C710" s="617"/>
      <c r="D710" s="1166"/>
      <c r="E710" s="1166"/>
      <c r="F710" s="1166"/>
      <c r="G710" s="1166"/>
      <c r="H710" s="1166"/>
      <c r="I710" s="1167"/>
      <c r="J710" s="1166"/>
      <c r="K710" s="1167"/>
      <c r="L710" s="1166"/>
      <c r="M710" s="1166"/>
      <c r="N710" s="1166"/>
      <c r="O710" s="280"/>
      <c r="P710" s="1167"/>
      <c r="R710" s="587"/>
      <c r="S710" s="587"/>
      <c r="X710" s="370"/>
      <c r="Y710" s="370"/>
      <c r="Z710" s="370"/>
      <c r="AB710" s="370"/>
      <c r="AC710" s="370"/>
    </row>
    <row r="711" hidden="1">
      <c r="A711" s="280"/>
      <c r="B711" s="280"/>
      <c r="C711" s="617"/>
      <c r="D711" s="1166"/>
      <c r="E711" s="1166"/>
      <c r="F711" s="1166"/>
      <c r="G711" s="1166"/>
      <c r="H711" s="1166"/>
      <c r="I711" s="1167"/>
      <c r="J711" s="1166"/>
      <c r="K711" s="1167"/>
      <c r="L711" s="1166"/>
      <c r="M711" s="1166"/>
      <c r="N711" s="1166"/>
      <c r="O711" s="280"/>
      <c r="P711" s="1167"/>
      <c r="R711" s="587"/>
      <c r="S711" s="587"/>
      <c r="X711" s="370"/>
      <c r="Y711" s="370"/>
      <c r="Z711" s="370"/>
      <c r="AB711" s="370"/>
      <c r="AC711" s="370"/>
    </row>
    <row r="712" hidden="1">
      <c r="A712" s="280"/>
      <c r="B712" s="280"/>
      <c r="C712" s="617"/>
      <c r="D712" s="1166"/>
      <c r="E712" s="1166"/>
      <c r="F712" s="1166"/>
      <c r="G712" s="1166"/>
      <c r="H712" s="1166"/>
      <c r="I712" s="1167"/>
      <c r="J712" s="1166"/>
      <c r="K712" s="1167"/>
      <c r="L712" s="1166"/>
      <c r="M712" s="1166"/>
      <c r="N712" s="1166"/>
      <c r="O712" s="280"/>
      <c r="P712" s="1167"/>
      <c r="R712" s="587"/>
      <c r="S712" s="587"/>
      <c r="X712" s="370"/>
      <c r="Y712" s="370"/>
      <c r="Z712" s="370"/>
      <c r="AB712" s="370"/>
      <c r="AC712" s="370"/>
    </row>
    <row r="713" hidden="1">
      <c r="A713" s="280"/>
      <c r="B713" s="280"/>
      <c r="C713" s="617"/>
      <c r="D713" s="1166"/>
      <c r="E713" s="1166"/>
      <c r="F713" s="1166"/>
      <c r="G713" s="1166"/>
      <c r="H713" s="1166"/>
      <c r="I713" s="1167"/>
      <c r="J713" s="1166"/>
      <c r="K713" s="1167"/>
      <c r="L713" s="1166"/>
      <c r="M713" s="1166"/>
      <c r="N713" s="1166"/>
      <c r="O713" s="280"/>
      <c r="P713" s="1167"/>
      <c r="R713" s="587"/>
      <c r="S713" s="587"/>
      <c r="X713" s="370"/>
      <c r="Y713" s="370"/>
      <c r="Z713" s="370"/>
      <c r="AB713" s="370"/>
      <c r="AC713" s="370"/>
    </row>
    <row r="714" hidden="1">
      <c r="A714" s="280"/>
      <c r="B714" s="280"/>
      <c r="C714" s="617"/>
      <c r="D714" s="1166"/>
      <c r="E714" s="1166"/>
      <c r="F714" s="1166"/>
      <c r="G714" s="1166"/>
      <c r="H714" s="1166"/>
      <c r="I714" s="1167"/>
      <c r="J714" s="1166"/>
      <c r="K714" s="1167"/>
      <c r="L714" s="1166"/>
      <c r="M714" s="1166"/>
      <c r="N714" s="1166"/>
      <c r="O714" s="280"/>
      <c r="P714" s="1167"/>
      <c r="R714" s="587"/>
      <c r="S714" s="587"/>
      <c r="X714" s="370"/>
      <c r="Y714" s="370"/>
      <c r="Z714" s="370"/>
      <c r="AB714" s="370"/>
      <c r="AC714" s="370"/>
    </row>
    <row r="715" hidden="1">
      <c r="A715" s="280"/>
      <c r="B715" s="280"/>
      <c r="C715" s="617"/>
      <c r="D715" s="1166"/>
      <c r="E715" s="1166"/>
      <c r="F715" s="1166"/>
      <c r="G715" s="1166"/>
      <c r="H715" s="1166"/>
      <c r="I715" s="1167"/>
      <c r="J715" s="1166"/>
      <c r="K715" s="1167"/>
      <c r="L715" s="1166"/>
      <c r="M715" s="1166"/>
      <c r="N715" s="1166"/>
      <c r="O715" s="280"/>
      <c r="P715" s="1167"/>
      <c r="R715" s="587"/>
      <c r="S715" s="587"/>
      <c r="X715" s="370"/>
      <c r="Y715" s="370"/>
      <c r="Z715" s="370"/>
      <c r="AB715" s="370"/>
      <c r="AC715" s="370"/>
    </row>
    <row r="716" hidden="1">
      <c r="A716" s="280"/>
      <c r="B716" s="280"/>
      <c r="C716" s="617"/>
      <c r="D716" s="1166"/>
      <c r="E716" s="1166"/>
      <c r="F716" s="1166"/>
      <c r="G716" s="1166"/>
      <c r="H716" s="1166"/>
      <c r="I716" s="1167"/>
      <c r="J716" s="1166"/>
      <c r="K716" s="1167"/>
      <c r="L716" s="1166"/>
      <c r="M716" s="1166"/>
      <c r="N716" s="1166"/>
      <c r="O716" s="280"/>
      <c r="P716" s="1167"/>
      <c r="R716" s="587"/>
      <c r="S716" s="587"/>
      <c r="X716" s="370"/>
      <c r="Y716" s="370"/>
      <c r="Z716" s="370"/>
      <c r="AB716" s="370"/>
      <c r="AC716" s="370"/>
    </row>
    <row r="717" hidden="1">
      <c r="A717" s="280"/>
      <c r="B717" s="280"/>
      <c r="C717" s="617"/>
      <c r="D717" s="1166"/>
      <c r="E717" s="1166"/>
      <c r="F717" s="1166"/>
      <c r="G717" s="1166"/>
      <c r="H717" s="1166"/>
      <c r="I717" s="1167"/>
      <c r="J717" s="1166"/>
      <c r="K717" s="1167"/>
      <c r="L717" s="1166"/>
      <c r="M717" s="1166"/>
      <c r="N717" s="1166"/>
      <c r="O717" s="280"/>
      <c r="P717" s="1167"/>
      <c r="R717" s="587"/>
      <c r="S717" s="587"/>
      <c r="X717" s="370"/>
      <c r="Y717" s="370"/>
      <c r="Z717" s="370"/>
      <c r="AB717" s="370"/>
      <c r="AC717" s="370"/>
    </row>
    <row r="718" hidden="1">
      <c r="A718" s="280"/>
      <c r="B718" s="280"/>
      <c r="C718" s="617"/>
      <c r="D718" s="1166"/>
      <c r="E718" s="1166"/>
      <c r="F718" s="1166"/>
      <c r="G718" s="1166"/>
      <c r="H718" s="1166"/>
      <c r="I718" s="1167"/>
      <c r="J718" s="1166"/>
      <c r="K718" s="1167"/>
      <c r="L718" s="1166"/>
      <c r="M718" s="1166"/>
      <c r="N718" s="1166"/>
      <c r="O718" s="280"/>
      <c r="P718" s="1167"/>
      <c r="R718" s="587"/>
      <c r="S718" s="587"/>
      <c r="X718" s="370"/>
      <c r="Y718" s="370"/>
      <c r="Z718" s="370"/>
      <c r="AB718" s="370"/>
      <c r="AC718" s="370"/>
    </row>
    <row r="719" hidden="1">
      <c r="A719" s="280"/>
      <c r="B719" s="280"/>
      <c r="C719" s="617"/>
      <c r="D719" s="1166"/>
      <c r="E719" s="1166"/>
      <c r="F719" s="1166"/>
      <c r="G719" s="1166"/>
      <c r="H719" s="1166"/>
      <c r="I719" s="1167"/>
      <c r="J719" s="1166"/>
      <c r="K719" s="1167"/>
      <c r="L719" s="1166"/>
      <c r="M719" s="1166"/>
      <c r="N719" s="1166"/>
      <c r="O719" s="280"/>
      <c r="P719" s="1167"/>
      <c r="R719" s="587"/>
      <c r="S719" s="587"/>
      <c r="X719" s="370"/>
      <c r="Y719" s="370"/>
      <c r="Z719" s="370"/>
      <c r="AB719" s="370"/>
      <c r="AC719" s="370"/>
    </row>
    <row r="720" hidden="1">
      <c r="A720" s="280"/>
      <c r="B720" s="280"/>
      <c r="C720" s="617"/>
      <c r="D720" s="1166"/>
      <c r="E720" s="1166"/>
      <c r="F720" s="1166"/>
      <c r="G720" s="1166"/>
      <c r="H720" s="1166"/>
      <c r="I720" s="1167"/>
      <c r="J720" s="1166"/>
      <c r="K720" s="1167"/>
      <c r="L720" s="1166"/>
      <c r="M720" s="1166"/>
      <c r="N720" s="1166"/>
      <c r="O720" s="280"/>
      <c r="P720" s="1167"/>
      <c r="R720" s="587"/>
      <c r="S720" s="587"/>
      <c r="X720" s="370"/>
      <c r="Y720" s="370"/>
      <c r="Z720" s="370"/>
      <c r="AB720" s="370"/>
      <c r="AC720" s="370"/>
    </row>
    <row r="721" hidden="1">
      <c r="A721" s="280"/>
      <c r="B721" s="280"/>
      <c r="C721" s="617"/>
      <c r="D721" s="1166"/>
      <c r="E721" s="1166"/>
      <c r="F721" s="1166"/>
      <c r="G721" s="1166"/>
      <c r="H721" s="1166"/>
      <c r="I721" s="1167"/>
      <c r="J721" s="1166"/>
      <c r="K721" s="1167"/>
      <c r="L721" s="1166"/>
      <c r="M721" s="1166"/>
      <c r="N721" s="1166"/>
      <c r="O721" s="280"/>
      <c r="P721" s="1167"/>
      <c r="R721" s="587"/>
      <c r="S721" s="587"/>
      <c r="X721" s="370"/>
      <c r="Y721" s="370"/>
      <c r="Z721" s="370"/>
      <c r="AB721" s="370"/>
      <c r="AC721" s="370"/>
    </row>
    <row r="722" hidden="1">
      <c r="A722" s="280"/>
      <c r="B722" s="280"/>
      <c r="C722" s="617"/>
      <c r="D722" s="1166"/>
      <c r="E722" s="1166"/>
      <c r="F722" s="1166"/>
      <c r="G722" s="1166"/>
      <c r="H722" s="1166"/>
      <c r="I722" s="1167"/>
      <c r="J722" s="1166"/>
      <c r="K722" s="1167"/>
      <c r="L722" s="1166"/>
      <c r="M722" s="1166"/>
      <c r="N722" s="1166"/>
      <c r="O722" s="280"/>
      <c r="P722" s="1167"/>
      <c r="R722" s="587"/>
      <c r="S722" s="587"/>
      <c r="X722" s="370"/>
      <c r="Y722" s="370"/>
      <c r="Z722" s="370"/>
      <c r="AB722" s="370"/>
      <c r="AC722" s="370"/>
    </row>
    <row r="723" hidden="1">
      <c r="A723" s="280"/>
      <c r="B723" s="280"/>
      <c r="C723" s="617"/>
      <c r="D723" s="1166"/>
      <c r="E723" s="1166"/>
      <c r="F723" s="1166"/>
      <c r="G723" s="1166"/>
      <c r="H723" s="1166"/>
      <c r="I723" s="1167"/>
      <c r="J723" s="1166"/>
      <c r="K723" s="1167"/>
      <c r="L723" s="1166"/>
      <c r="M723" s="1166"/>
      <c r="N723" s="1166"/>
      <c r="O723" s="280"/>
      <c r="P723" s="1167"/>
      <c r="R723" s="587"/>
      <c r="S723" s="587"/>
      <c r="X723" s="370"/>
      <c r="Y723" s="370"/>
      <c r="Z723" s="370"/>
      <c r="AB723" s="370"/>
      <c r="AC723" s="370"/>
    </row>
    <row r="724" hidden="1">
      <c r="A724" s="280"/>
      <c r="B724" s="280"/>
      <c r="C724" s="617"/>
      <c r="D724" s="1166"/>
      <c r="E724" s="1166"/>
      <c r="F724" s="1166"/>
      <c r="G724" s="1166"/>
      <c r="H724" s="1166"/>
      <c r="I724" s="1167"/>
      <c r="J724" s="1166"/>
      <c r="K724" s="1167"/>
      <c r="L724" s="1166"/>
      <c r="M724" s="1166"/>
      <c r="N724" s="1166"/>
      <c r="O724" s="280"/>
      <c r="P724" s="1167"/>
      <c r="R724" s="587"/>
      <c r="S724" s="587"/>
      <c r="X724" s="370"/>
      <c r="Y724" s="370"/>
      <c r="Z724" s="370"/>
      <c r="AB724" s="370"/>
      <c r="AC724" s="370"/>
    </row>
    <row r="725" hidden="1">
      <c r="A725" s="280"/>
      <c r="B725" s="280"/>
      <c r="C725" s="617"/>
      <c r="D725" s="1166"/>
      <c r="E725" s="1166"/>
      <c r="F725" s="1166"/>
      <c r="G725" s="1166"/>
      <c r="H725" s="1166"/>
      <c r="I725" s="1167"/>
      <c r="J725" s="1166"/>
      <c r="K725" s="1167"/>
      <c r="L725" s="1166"/>
      <c r="M725" s="1166"/>
      <c r="N725" s="1166"/>
      <c r="O725" s="280"/>
      <c r="P725" s="1167"/>
      <c r="R725" s="587"/>
      <c r="S725" s="587"/>
      <c r="X725" s="370"/>
      <c r="Y725" s="370"/>
      <c r="Z725" s="370"/>
      <c r="AB725" s="370"/>
      <c r="AC725" s="370"/>
    </row>
    <row r="726" hidden="1">
      <c r="A726" s="280"/>
      <c r="B726" s="280"/>
      <c r="C726" s="617"/>
      <c r="D726" s="1166"/>
      <c r="E726" s="1166"/>
      <c r="F726" s="1166"/>
      <c r="G726" s="1166"/>
      <c r="H726" s="1166"/>
      <c r="I726" s="1167"/>
      <c r="J726" s="1166"/>
      <c r="K726" s="1167"/>
      <c r="L726" s="1166"/>
      <c r="M726" s="1166"/>
      <c r="N726" s="1166"/>
      <c r="O726" s="280"/>
      <c r="P726" s="1167"/>
      <c r="R726" s="587"/>
      <c r="S726" s="587"/>
      <c r="X726" s="370"/>
      <c r="Y726" s="370"/>
      <c r="Z726" s="370"/>
      <c r="AB726" s="370"/>
      <c r="AC726" s="370"/>
    </row>
    <row r="727" hidden="1">
      <c r="A727" s="280"/>
      <c r="B727" s="280"/>
      <c r="C727" s="617"/>
      <c r="D727" s="1166"/>
      <c r="E727" s="1166"/>
      <c r="F727" s="1166"/>
      <c r="G727" s="1166"/>
      <c r="H727" s="1166"/>
      <c r="I727" s="1167"/>
      <c r="J727" s="1166"/>
      <c r="K727" s="1167"/>
      <c r="L727" s="1166"/>
      <c r="M727" s="1166"/>
      <c r="N727" s="1166"/>
      <c r="O727" s="280"/>
      <c r="P727" s="1167"/>
      <c r="R727" s="587"/>
      <c r="S727" s="587"/>
      <c r="X727" s="370"/>
      <c r="Y727" s="370"/>
      <c r="Z727" s="370"/>
      <c r="AB727" s="370"/>
      <c r="AC727" s="370"/>
    </row>
    <row r="728" hidden="1">
      <c r="A728" s="280"/>
      <c r="B728" s="280"/>
      <c r="C728" s="617"/>
      <c r="D728" s="1166"/>
      <c r="E728" s="1166"/>
      <c r="F728" s="1166"/>
      <c r="G728" s="1166"/>
      <c r="H728" s="1166"/>
      <c r="I728" s="1167"/>
      <c r="J728" s="1166"/>
      <c r="K728" s="1167"/>
      <c r="L728" s="1166"/>
      <c r="M728" s="1166"/>
      <c r="N728" s="1166"/>
      <c r="O728" s="280"/>
      <c r="P728" s="1167"/>
      <c r="R728" s="587"/>
      <c r="S728" s="587"/>
      <c r="X728" s="370"/>
      <c r="Y728" s="370"/>
      <c r="Z728" s="370"/>
      <c r="AB728" s="370"/>
      <c r="AC728" s="370"/>
    </row>
    <row r="729" hidden="1">
      <c r="A729" s="280"/>
      <c r="B729" s="280"/>
      <c r="C729" s="617"/>
      <c r="D729" s="1166"/>
      <c r="E729" s="1166"/>
      <c r="F729" s="1166"/>
      <c r="G729" s="1166"/>
      <c r="H729" s="1166"/>
      <c r="I729" s="1167"/>
      <c r="J729" s="1166"/>
      <c r="K729" s="1167"/>
      <c r="L729" s="1166"/>
      <c r="M729" s="1166"/>
      <c r="N729" s="1166"/>
      <c r="O729" s="280"/>
      <c r="P729" s="1167"/>
      <c r="R729" s="587"/>
      <c r="S729" s="587"/>
      <c r="X729" s="370"/>
      <c r="Y729" s="370"/>
      <c r="Z729" s="370"/>
      <c r="AB729" s="370"/>
      <c r="AC729" s="370"/>
    </row>
    <row r="730" hidden="1">
      <c r="A730" s="280"/>
      <c r="B730" s="280"/>
      <c r="C730" s="617"/>
      <c r="D730" s="1166"/>
      <c r="E730" s="1166"/>
      <c r="F730" s="1166"/>
      <c r="G730" s="1166"/>
      <c r="H730" s="1166"/>
      <c r="I730" s="1167"/>
      <c r="J730" s="1166"/>
      <c r="K730" s="1167"/>
      <c r="L730" s="1166"/>
      <c r="M730" s="1166"/>
      <c r="N730" s="1166"/>
      <c r="O730" s="280"/>
      <c r="P730" s="1167"/>
      <c r="R730" s="587"/>
      <c r="S730" s="587"/>
      <c r="X730" s="370"/>
      <c r="Y730" s="370"/>
      <c r="Z730" s="370"/>
      <c r="AB730" s="370"/>
      <c r="AC730" s="370"/>
    </row>
    <row r="731" hidden="1">
      <c r="A731" s="280"/>
      <c r="B731" s="280"/>
      <c r="C731" s="617"/>
      <c r="D731" s="1166"/>
      <c r="E731" s="1166"/>
      <c r="F731" s="1166"/>
      <c r="G731" s="1166"/>
      <c r="H731" s="1166"/>
      <c r="I731" s="1167"/>
      <c r="J731" s="1166"/>
      <c r="K731" s="1167"/>
      <c r="L731" s="1166"/>
      <c r="M731" s="1166"/>
      <c r="N731" s="1166"/>
      <c r="O731" s="280"/>
      <c r="P731" s="1167"/>
      <c r="R731" s="587"/>
      <c r="S731" s="587"/>
      <c r="X731" s="370"/>
      <c r="Y731" s="370"/>
      <c r="Z731" s="370"/>
      <c r="AB731" s="370"/>
      <c r="AC731" s="370"/>
    </row>
    <row r="732" hidden="1">
      <c r="A732" s="280"/>
      <c r="B732" s="280"/>
      <c r="C732" s="617"/>
      <c r="D732" s="1166"/>
      <c r="E732" s="1166"/>
      <c r="F732" s="1166"/>
      <c r="G732" s="1166"/>
      <c r="H732" s="1166"/>
      <c r="I732" s="1167"/>
      <c r="J732" s="1166"/>
      <c r="K732" s="1167"/>
      <c r="L732" s="1166"/>
      <c r="M732" s="1166"/>
      <c r="N732" s="1166"/>
      <c r="O732" s="280"/>
      <c r="P732" s="1167"/>
      <c r="R732" s="587"/>
      <c r="S732" s="587"/>
      <c r="X732" s="370"/>
      <c r="Y732" s="370"/>
      <c r="Z732" s="370"/>
      <c r="AB732" s="370"/>
      <c r="AC732" s="370"/>
    </row>
    <row r="733" hidden="1">
      <c r="A733" s="280"/>
      <c r="B733" s="280"/>
      <c r="C733" s="617"/>
      <c r="D733" s="1166"/>
      <c r="E733" s="1166"/>
      <c r="F733" s="1166"/>
      <c r="G733" s="1166"/>
      <c r="H733" s="1166"/>
      <c r="I733" s="1167"/>
      <c r="J733" s="1166"/>
      <c r="K733" s="1167"/>
      <c r="L733" s="1166"/>
      <c r="M733" s="1166"/>
      <c r="N733" s="1166"/>
      <c r="O733" s="280"/>
      <c r="P733" s="1167"/>
      <c r="R733" s="587"/>
      <c r="S733" s="587"/>
      <c r="X733" s="370"/>
      <c r="Y733" s="370"/>
      <c r="Z733" s="370"/>
      <c r="AB733" s="370"/>
      <c r="AC733" s="370"/>
    </row>
    <row r="734" hidden="1">
      <c r="A734" s="280"/>
      <c r="B734" s="280"/>
      <c r="C734" s="617"/>
      <c r="D734" s="1166"/>
      <c r="E734" s="1166"/>
      <c r="F734" s="1166"/>
      <c r="G734" s="1166"/>
      <c r="H734" s="1166"/>
      <c r="I734" s="1167"/>
      <c r="J734" s="1166"/>
      <c r="K734" s="1167"/>
      <c r="L734" s="1166"/>
      <c r="M734" s="1166"/>
      <c r="N734" s="1166"/>
      <c r="O734" s="280"/>
      <c r="P734" s="1167"/>
      <c r="R734" s="587"/>
      <c r="S734" s="587"/>
      <c r="X734" s="370"/>
      <c r="Y734" s="370"/>
      <c r="Z734" s="370"/>
      <c r="AB734" s="370"/>
      <c r="AC734" s="370"/>
    </row>
    <row r="735" hidden="1">
      <c r="A735" s="280"/>
      <c r="B735" s="280"/>
      <c r="C735" s="617"/>
      <c r="D735" s="1166"/>
      <c r="E735" s="1166"/>
      <c r="F735" s="1166"/>
      <c r="G735" s="1166"/>
      <c r="H735" s="1166"/>
      <c r="I735" s="1167"/>
      <c r="J735" s="1166"/>
      <c r="K735" s="1167"/>
      <c r="L735" s="1166"/>
      <c r="M735" s="1166"/>
      <c r="N735" s="1166"/>
      <c r="O735" s="280"/>
      <c r="P735" s="1167"/>
      <c r="R735" s="587"/>
      <c r="S735" s="587"/>
      <c r="X735" s="370"/>
      <c r="Y735" s="370"/>
      <c r="Z735" s="370"/>
      <c r="AB735" s="370"/>
      <c r="AC735" s="370"/>
    </row>
    <row r="736" hidden="1">
      <c r="A736" s="280"/>
      <c r="B736" s="280"/>
      <c r="C736" s="617"/>
      <c r="D736" s="1166"/>
      <c r="E736" s="1166"/>
      <c r="F736" s="1166"/>
      <c r="G736" s="1166"/>
      <c r="H736" s="1166"/>
      <c r="I736" s="1167"/>
      <c r="J736" s="1166"/>
      <c r="K736" s="1167"/>
      <c r="L736" s="1166"/>
      <c r="M736" s="1166"/>
      <c r="N736" s="1166"/>
      <c r="O736" s="280"/>
      <c r="P736" s="1167"/>
      <c r="R736" s="587"/>
      <c r="S736" s="587"/>
      <c r="X736" s="370"/>
      <c r="Y736" s="370"/>
      <c r="Z736" s="370"/>
      <c r="AB736" s="370"/>
      <c r="AC736" s="370"/>
    </row>
    <row r="737" hidden="1">
      <c r="A737" s="280"/>
      <c r="B737" s="280"/>
      <c r="C737" s="617"/>
      <c r="D737" s="1166"/>
      <c r="E737" s="1166"/>
      <c r="F737" s="1166"/>
      <c r="G737" s="1166"/>
      <c r="H737" s="1166"/>
      <c r="I737" s="1167"/>
      <c r="J737" s="1166"/>
      <c r="K737" s="1167"/>
      <c r="L737" s="1166"/>
      <c r="M737" s="1166"/>
      <c r="N737" s="1166"/>
      <c r="O737" s="280"/>
      <c r="P737" s="1167"/>
      <c r="R737" s="587"/>
      <c r="S737" s="587"/>
      <c r="X737" s="370"/>
      <c r="Y737" s="370"/>
      <c r="Z737" s="370"/>
      <c r="AB737" s="370"/>
      <c r="AC737" s="370"/>
    </row>
    <row r="738" hidden="1">
      <c r="A738" s="280"/>
      <c r="B738" s="280"/>
      <c r="C738" s="617"/>
      <c r="D738" s="1166"/>
      <c r="E738" s="1166"/>
      <c r="F738" s="1166"/>
      <c r="G738" s="1166"/>
      <c r="H738" s="1166"/>
      <c r="I738" s="1167"/>
      <c r="J738" s="1166"/>
      <c r="K738" s="1167"/>
      <c r="L738" s="1166"/>
      <c r="M738" s="1166"/>
      <c r="N738" s="1166"/>
      <c r="O738" s="280"/>
      <c r="P738" s="1167"/>
      <c r="R738" s="587"/>
      <c r="S738" s="587"/>
      <c r="X738" s="370"/>
      <c r="Y738" s="370"/>
      <c r="Z738" s="370"/>
      <c r="AB738" s="370"/>
      <c r="AC738" s="370"/>
    </row>
    <row r="739" hidden="1">
      <c r="A739" s="280"/>
      <c r="B739" s="280"/>
      <c r="C739" s="617"/>
      <c r="D739" s="1166"/>
      <c r="E739" s="1166"/>
      <c r="F739" s="1166"/>
      <c r="G739" s="1166"/>
      <c r="H739" s="1166"/>
      <c r="I739" s="1167"/>
      <c r="J739" s="1166"/>
      <c r="K739" s="1167"/>
      <c r="L739" s="1166"/>
      <c r="M739" s="1166"/>
      <c r="N739" s="1166"/>
      <c r="O739" s="280"/>
      <c r="P739" s="1167"/>
      <c r="R739" s="587"/>
      <c r="S739" s="587"/>
      <c r="X739" s="370"/>
      <c r="Y739" s="370"/>
      <c r="Z739" s="370"/>
      <c r="AB739" s="370"/>
      <c r="AC739" s="370"/>
    </row>
    <row r="740" hidden="1">
      <c r="A740" s="280"/>
      <c r="B740" s="280"/>
      <c r="C740" s="617"/>
      <c r="D740" s="1166"/>
      <c r="E740" s="1166"/>
      <c r="F740" s="1166"/>
      <c r="G740" s="1166"/>
      <c r="H740" s="1166"/>
      <c r="I740" s="1167"/>
      <c r="J740" s="1166"/>
      <c r="K740" s="1167"/>
      <c r="L740" s="1166"/>
      <c r="M740" s="1166"/>
      <c r="N740" s="1166"/>
      <c r="O740" s="280"/>
      <c r="P740" s="1167"/>
      <c r="R740" s="587"/>
      <c r="S740" s="587"/>
      <c r="X740" s="370"/>
      <c r="Y740" s="370"/>
      <c r="Z740" s="370"/>
      <c r="AB740" s="370"/>
      <c r="AC740" s="370"/>
    </row>
    <row r="741" hidden="1">
      <c r="A741" s="280"/>
      <c r="B741" s="280"/>
      <c r="C741" s="617"/>
      <c r="D741" s="1166"/>
      <c r="E741" s="1166"/>
      <c r="F741" s="1166"/>
      <c r="G741" s="1166"/>
      <c r="H741" s="1166"/>
      <c r="I741" s="1167"/>
      <c r="J741" s="1166"/>
      <c r="K741" s="1167"/>
      <c r="L741" s="1166"/>
      <c r="M741" s="1166"/>
      <c r="N741" s="1166"/>
      <c r="O741" s="280"/>
      <c r="P741" s="1167"/>
      <c r="R741" s="587"/>
      <c r="S741" s="587"/>
      <c r="X741" s="370"/>
      <c r="Y741" s="370"/>
      <c r="Z741" s="370"/>
      <c r="AB741" s="370"/>
      <c r="AC741" s="370"/>
    </row>
    <row r="742" hidden="1">
      <c r="A742" s="280"/>
      <c r="B742" s="280"/>
      <c r="C742" s="617"/>
      <c r="D742" s="1166"/>
      <c r="E742" s="1166"/>
      <c r="F742" s="1166"/>
      <c r="G742" s="1166"/>
      <c r="H742" s="1166"/>
      <c r="I742" s="1167"/>
      <c r="J742" s="1166"/>
      <c r="K742" s="1167"/>
      <c r="L742" s="1166"/>
      <c r="M742" s="1166"/>
      <c r="N742" s="1166"/>
      <c r="O742" s="280"/>
      <c r="P742" s="1167"/>
      <c r="R742" s="587"/>
      <c r="S742" s="587"/>
      <c r="X742" s="370"/>
      <c r="Y742" s="370"/>
      <c r="Z742" s="370"/>
      <c r="AB742" s="370"/>
      <c r="AC742" s="370"/>
    </row>
    <row r="743" hidden="1">
      <c r="A743" s="280"/>
      <c r="B743" s="280"/>
      <c r="C743" s="617"/>
      <c r="D743" s="1166"/>
      <c r="E743" s="1166"/>
      <c r="F743" s="1166"/>
      <c r="G743" s="1166"/>
      <c r="H743" s="1166"/>
      <c r="I743" s="1167"/>
      <c r="J743" s="1166"/>
      <c r="K743" s="1167"/>
      <c r="L743" s="1166"/>
      <c r="M743" s="1166"/>
      <c r="N743" s="1166"/>
      <c r="O743" s="280"/>
      <c r="P743" s="1167"/>
      <c r="R743" s="587"/>
      <c r="S743" s="587"/>
      <c r="X743" s="370"/>
      <c r="Y743" s="370"/>
      <c r="Z743" s="370"/>
      <c r="AB743" s="370"/>
      <c r="AC743" s="370"/>
    </row>
    <row r="744" hidden="1">
      <c r="A744" s="280"/>
      <c r="B744" s="280"/>
      <c r="C744" s="617"/>
      <c r="D744" s="1166"/>
      <c r="E744" s="1166"/>
      <c r="F744" s="1166"/>
      <c r="G744" s="1166"/>
      <c r="H744" s="1166"/>
      <c r="I744" s="1167"/>
      <c r="J744" s="1166"/>
      <c r="K744" s="1167"/>
      <c r="L744" s="1166"/>
      <c r="M744" s="1166"/>
      <c r="N744" s="1166"/>
      <c r="O744" s="280"/>
      <c r="P744" s="1167"/>
      <c r="R744" s="587"/>
      <c r="S744" s="587"/>
      <c r="X744" s="370"/>
      <c r="Y744" s="370"/>
      <c r="Z744" s="370"/>
      <c r="AB744" s="370"/>
      <c r="AC744" s="370"/>
    </row>
    <row r="745" hidden="1">
      <c r="A745" s="280"/>
      <c r="B745" s="280"/>
      <c r="C745" s="617"/>
      <c r="D745" s="1166"/>
      <c r="E745" s="1166"/>
      <c r="F745" s="1166"/>
      <c r="G745" s="1166"/>
      <c r="H745" s="1166"/>
      <c r="I745" s="1167"/>
      <c r="J745" s="1166"/>
      <c r="K745" s="1167"/>
      <c r="L745" s="1166"/>
      <c r="M745" s="1166"/>
      <c r="N745" s="1166"/>
      <c r="O745" s="280"/>
      <c r="P745" s="1167"/>
      <c r="R745" s="587"/>
      <c r="S745" s="587"/>
      <c r="X745" s="370"/>
      <c r="Y745" s="370"/>
      <c r="Z745" s="370"/>
      <c r="AB745" s="370"/>
      <c r="AC745" s="370"/>
    </row>
    <row r="746" hidden="1">
      <c r="A746" s="280"/>
      <c r="B746" s="280"/>
      <c r="C746" s="617"/>
      <c r="D746" s="1166"/>
      <c r="E746" s="1166"/>
      <c r="F746" s="1166"/>
      <c r="G746" s="1166"/>
      <c r="H746" s="1166"/>
      <c r="I746" s="1167"/>
      <c r="J746" s="1166"/>
      <c r="K746" s="1167"/>
      <c r="L746" s="1166"/>
      <c r="M746" s="1166"/>
      <c r="N746" s="1166"/>
      <c r="O746" s="280"/>
      <c r="P746" s="1167"/>
      <c r="R746" s="587"/>
      <c r="S746" s="587"/>
      <c r="X746" s="370"/>
      <c r="Y746" s="370"/>
      <c r="Z746" s="370"/>
      <c r="AB746" s="370"/>
      <c r="AC746" s="370"/>
    </row>
    <row r="747" hidden="1">
      <c r="A747" s="280"/>
      <c r="B747" s="280"/>
      <c r="C747" s="617"/>
      <c r="D747" s="1166"/>
      <c r="E747" s="1166"/>
      <c r="F747" s="1166"/>
      <c r="G747" s="1166"/>
      <c r="H747" s="1166"/>
      <c r="I747" s="1167"/>
      <c r="J747" s="1166"/>
      <c r="K747" s="1167"/>
      <c r="L747" s="1166"/>
      <c r="M747" s="1166"/>
      <c r="N747" s="1166"/>
      <c r="O747" s="280"/>
      <c r="P747" s="1167"/>
      <c r="R747" s="587"/>
      <c r="S747" s="587"/>
      <c r="X747" s="370"/>
      <c r="Y747" s="370"/>
      <c r="Z747" s="370"/>
      <c r="AB747" s="370"/>
      <c r="AC747" s="370"/>
    </row>
    <row r="748" hidden="1">
      <c r="A748" s="280"/>
      <c r="B748" s="280"/>
      <c r="C748" s="617"/>
      <c r="D748" s="1166"/>
      <c r="E748" s="1166"/>
      <c r="F748" s="1166"/>
      <c r="G748" s="1166"/>
      <c r="H748" s="1166"/>
      <c r="I748" s="1167"/>
      <c r="J748" s="1166"/>
      <c r="K748" s="1167"/>
      <c r="L748" s="1166"/>
      <c r="M748" s="1166"/>
      <c r="N748" s="1166"/>
      <c r="O748" s="280"/>
      <c r="P748" s="1167"/>
      <c r="R748" s="587"/>
      <c r="S748" s="587"/>
      <c r="X748" s="370"/>
      <c r="Y748" s="370"/>
      <c r="Z748" s="370"/>
      <c r="AB748" s="370"/>
      <c r="AC748" s="370"/>
    </row>
    <row r="749" hidden="1">
      <c r="A749" s="280"/>
      <c r="B749" s="280"/>
      <c r="C749" s="617"/>
      <c r="D749" s="1166"/>
      <c r="E749" s="1166"/>
      <c r="F749" s="1166"/>
      <c r="G749" s="1166"/>
      <c r="H749" s="1166"/>
      <c r="I749" s="1167"/>
      <c r="J749" s="1166"/>
      <c r="K749" s="1167"/>
      <c r="L749" s="1166"/>
      <c r="M749" s="1166"/>
      <c r="N749" s="1166"/>
      <c r="O749" s="280"/>
      <c r="P749" s="1167"/>
      <c r="R749" s="587"/>
      <c r="S749" s="587"/>
      <c r="X749" s="370"/>
      <c r="Y749" s="370"/>
      <c r="Z749" s="370"/>
      <c r="AB749" s="370"/>
      <c r="AC749" s="370"/>
    </row>
    <row r="750" hidden="1">
      <c r="A750" s="280"/>
      <c r="B750" s="280"/>
      <c r="C750" s="617"/>
      <c r="D750" s="1166"/>
      <c r="E750" s="1166"/>
      <c r="F750" s="1166"/>
      <c r="G750" s="1166"/>
      <c r="H750" s="1166"/>
      <c r="I750" s="1167"/>
      <c r="J750" s="1166"/>
      <c r="K750" s="1167"/>
      <c r="L750" s="1166"/>
      <c r="M750" s="1166"/>
      <c r="N750" s="1166"/>
      <c r="O750" s="280"/>
      <c r="P750" s="1167"/>
      <c r="R750" s="587"/>
      <c r="S750" s="587"/>
      <c r="X750" s="370"/>
      <c r="Y750" s="370"/>
      <c r="Z750" s="370"/>
      <c r="AB750" s="370"/>
      <c r="AC750" s="370"/>
    </row>
    <row r="751" hidden="1">
      <c r="A751" s="280"/>
      <c r="B751" s="280"/>
      <c r="C751" s="617"/>
      <c r="D751" s="1166"/>
      <c r="E751" s="1166"/>
      <c r="F751" s="1166"/>
      <c r="G751" s="1166"/>
      <c r="H751" s="1166"/>
      <c r="I751" s="1167"/>
      <c r="J751" s="1166"/>
      <c r="K751" s="1167"/>
      <c r="L751" s="1166"/>
      <c r="M751" s="1166"/>
      <c r="N751" s="1166"/>
      <c r="O751" s="280"/>
      <c r="P751" s="1167"/>
      <c r="R751" s="587"/>
      <c r="S751" s="587"/>
      <c r="X751" s="370"/>
      <c r="Y751" s="370"/>
      <c r="Z751" s="370"/>
      <c r="AB751" s="370"/>
      <c r="AC751" s="370"/>
    </row>
    <row r="752" hidden="1">
      <c r="A752" s="280"/>
      <c r="B752" s="280"/>
      <c r="C752" s="617"/>
      <c r="D752" s="1166"/>
      <c r="E752" s="1166"/>
      <c r="F752" s="1166"/>
      <c r="G752" s="1166"/>
      <c r="H752" s="1166"/>
      <c r="I752" s="1167"/>
      <c r="J752" s="1166"/>
      <c r="K752" s="1167"/>
      <c r="L752" s="1166"/>
      <c r="M752" s="1166"/>
      <c r="N752" s="1166"/>
      <c r="O752" s="280"/>
      <c r="P752" s="1167"/>
      <c r="R752" s="587"/>
      <c r="S752" s="587"/>
      <c r="X752" s="370"/>
      <c r="Y752" s="370"/>
      <c r="Z752" s="370"/>
      <c r="AB752" s="370"/>
      <c r="AC752" s="370"/>
    </row>
    <row r="753" hidden="1">
      <c r="A753" s="280"/>
      <c r="B753" s="280"/>
      <c r="C753" s="617"/>
      <c r="D753" s="1166"/>
      <c r="E753" s="1166"/>
      <c r="F753" s="1166"/>
      <c r="G753" s="1166"/>
      <c r="H753" s="1166"/>
      <c r="I753" s="1167"/>
      <c r="J753" s="1166"/>
      <c r="K753" s="1167"/>
      <c r="L753" s="1166"/>
      <c r="M753" s="1166"/>
      <c r="N753" s="1166"/>
      <c r="O753" s="280"/>
      <c r="P753" s="1167"/>
      <c r="R753" s="587"/>
      <c r="S753" s="587"/>
      <c r="X753" s="370"/>
      <c r="Y753" s="370"/>
      <c r="Z753" s="370"/>
      <c r="AB753" s="370"/>
      <c r="AC753" s="370"/>
    </row>
    <row r="754" hidden="1">
      <c r="A754" s="280"/>
      <c r="B754" s="280"/>
      <c r="C754" s="617"/>
      <c r="D754" s="1166"/>
      <c r="E754" s="1166"/>
      <c r="F754" s="1166"/>
      <c r="G754" s="1166"/>
      <c r="H754" s="1166"/>
      <c r="I754" s="1167"/>
      <c r="J754" s="1166"/>
      <c r="K754" s="1167"/>
      <c r="L754" s="1166"/>
      <c r="M754" s="1166"/>
      <c r="N754" s="1166"/>
      <c r="O754" s="280"/>
      <c r="P754" s="1167"/>
      <c r="R754" s="587"/>
      <c r="S754" s="587"/>
      <c r="X754" s="370"/>
      <c r="Y754" s="370"/>
      <c r="Z754" s="370"/>
      <c r="AB754" s="370"/>
      <c r="AC754" s="370"/>
    </row>
    <row r="755" hidden="1">
      <c r="A755" s="280"/>
      <c r="B755" s="280"/>
      <c r="C755" s="617"/>
      <c r="D755" s="1166"/>
      <c r="E755" s="1166"/>
      <c r="F755" s="1166"/>
      <c r="G755" s="1166"/>
      <c r="H755" s="1166"/>
      <c r="I755" s="1167"/>
      <c r="J755" s="1166"/>
      <c r="K755" s="1167"/>
      <c r="L755" s="1166"/>
      <c r="M755" s="1166"/>
      <c r="N755" s="1166"/>
      <c r="O755" s="280"/>
      <c r="P755" s="1167"/>
      <c r="R755" s="587"/>
      <c r="S755" s="587"/>
      <c r="X755" s="370"/>
      <c r="Y755" s="370"/>
      <c r="Z755" s="370"/>
      <c r="AB755" s="370"/>
      <c r="AC755" s="370"/>
    </row>
    <row r="756" hidden="1">
      <c r="A756" s="280"/>
      <c r="B756" s="280"/>
      <c r="C756" s="617"/>
      <c r="D756" s="1166"/>
      <c r="E756" s="1166"/>
      <c r="F756" s="1166"/>
      <c r="G756" s="1166"/>
      <c r="H756" s="1166"/>
      <c r="I756" s="1167"/>
      <c r="J756" s="1166"/>
      <c r="K756" s="1167"/>
      <c r="L756" s="1166"/>
      <c r="M756" s="1166"/>
      <c r="N756" s="1166"/>
      <c r="O756" s="280"/>
      <c r="P756" s="1167"/>
      <c r="R756" s="587"/>
      <c r="S756" s="587"/>
      <c r="X756" s="370"/>
      <c r="Y756" s="370"/>
      <c r="Z756" s="370"/>
      <c r="AB756" s="370"/>
      <c r="AC756" s="370"/>
    </row>
    <row r="757" hidden="1">
      <c r="A757" s="280"/>
      <c r="B757" s="280"/>
      <c r="C757" s="617"/>
      <c r="D757" s="1166"/>
      <c r="E757" s="1166"/>
      <c r="F757" s="1166"/>
      <c r="G757" s="1166"/>
      <c r="H757" s="1166"/>
      <c r="I757" s="1167"/>
      <c r="J757" s="1166"/>
      <c r="K757" s="1167"/>
      <c r="L757" s="1166"/>
      <c r="M757" s="1166"/>
      <c r="N757" s="1166"/>
      <c r="O757" s="280"/>
      <c r="P757" s="1167"/>
      <c r="R757" s="587"/>
      <c r="S757" s="587"/>
      <c r="X757" s="370"/>
      <c r="Y757" s="370"/>
      <c r="Z757" s="370"/>
      <c r="AB757" s="370"/>
      <c r="AC757" s="370"/>
    </row>
    <row r="758" hidden="1">
      <c r="A758" s="280"/>
      <c r="B758" s="280"/>
      <c r="C758" s="617"/>
      <c r="D758" s="1166"/>
      <c r="E758" s="1166"/>
      <c r="F758" s="1166"/>
      <c r="G758" s="1166"/>
      <c r="H758" s="1166"/>
      <c r="I758" s="1167"/>
      <c r="J758" s="1166"/>
      <c r="K758" s="1167"/>
      <c r="L758" s="1166"/>
      <c r="M758" s="1166"/>
      <c r="N758" s="1166"/>
      <c r="O758" s="280"/>
      <c r="P758" s="1167"/>
      <c r="R758" s="587"/>
      <c r="S758" s="587"/>
      <c r="X758" s="370"/>
      <c r="Y758" s="370"/>
      <c r="Z758" s="370"/>
      <c r="AB758" s="370"/>
      <c r="AC758" s="370"/>
    </row>
    <row r="759" hidden="1">
      <c r="A759" s="280"/>
      <c r="B759" s="280"/>
      <c r="C759" s="617"/>
      <c r="D759" s="1166"/>
      <c r="E759" s="1166"/>
      <c r="F759" s="1166"/>
      <c r="G759" s="1166"/>
      <c r="H759" s="1166"/>
      <c r="I759" s="1167"/>
      <c r="J759" s="1166"/>
      <c r="K759" s="1167"/>
      <c r="L759" s="1166"/>
      <c r="M759" s="1166"/>
      <c r="N759" s="1166"/>
      <c r="O759" s="280"/>
      <c r="P759" s="1167"/>
      <c r="R759" s="587"/>
      <c r="S759" s="587"/>
      <c r="X759" s="370"/>
      <c r="Y759" s="370"/>
      <c r="Z759" s="370"/>
      <c r="AB759" s="370"/>
      <c r="AC759" s="370"/>
    </row>
    <row r="760" hidden="1">
      <c r="A760" s="280"/>
      <c r="B760" s="280"/>
      <c r="C760" s="617"/>
      <c r="D760" s="1166"/>
      <c r="E760" s="1166"/>
      <c r="F760" s="1166"/>
      <c r="G760" s="1166"/>
      <c r="H760" s="1166"/>
      <c r="I760" s="1167"/>
      <c r="J760" s="1166"/>
      <c r="K760" s="1167"/>
      <c r="L760" s="1166"/>
      <c r="M760" s="1166"/>
      <c r="N760" s="1166"/>
      <c r="O760" s="280"/>
      <c r="P760" s="1167"/>
      <c r="R760" s="587"/>
      <c r="S760" s="587"/>
      <c r="X760" s="370"/>
      <c r="Y760" s="370"/>
      <c r="Z760" s="370"/>
      <c r="AB760" s="370"/>
      <c r="AC760" s="370"/>
    </row>
    <row r="761" hidden="1">
      <c r="A761" s="280"/>
      <c r="B761" s="280"/>
      <c r="C761" s="617"/>
      <c r="D761" s="1166"/>
      <c r="E761" s="1166"/>
      <c r="F761" s="1166"/>
      <c r="G761" s="1166"/>
      <c r="H761" s="1166"/>
      <c r="I761" s="1167"/>
      <c r="J761" s="1166"/>
      <c r="K761" s="1167"/>
      <c r="L761" s="1166"/>
      <c r="M761" s="1166"/>
      <c r="N761" s="1166"/>
      <c r="O761" s="280"/>
      <c r="P761" s="1167"/>
      <c r="R761" s="587"/>
      <c r="S761" s="587"/>
      <c r="X761" s="370"/>
      <c r="Y761" s="370"/>
      <c r="Z761" s="370"/>
      <c r="AB761" s="370"/>
      <c r="AC761" s="370"/>
    </row>
    <row r="762" hidden="1">
      <c r="A762" s="280"/>
      <c r="B762" s="280"/>
      <c r="C762" s="617"/>
      <c r="D762" s="1166"/>
      <c r="E762" s="1166"/>
      <c r="F762" s="1166"/>
      <c r="G762" s="1166"/>
      <c r="H762" s="1166"/>
      <c r="I762" s="1167"/>
      <c r="J762" s="1166"/>
      <c r="K762" s="1167"/>
      <c r="L762" s="1166"/>
      <c r="M762" s="1166"/>
      <c r="N762" s="1166"/>
      <c r="O762" s="280"/>
      <c r="P762" s="1167"/>
      <c r="R762" s="587"/>
      <c r="S762" s="587"/>
      <c r="X762" s="370"/>
      <c r="Y762" s="370"/>
      <c r="Z762" s="370"/>
      <c r="AB762" s="370"/>
      <c r="AC762" s="370"/>
    </row>
    <row r="763" hidden="1">
      <c r="A763" s="280"/>
      <c r="B763" s="280"/>
      <c r="C763" s="617"/>
      <c r="D763" s="1166"/>
      <c r="E763" s="1166"/>
      <c r="F763" s="1166"/>
      <c r="G763" s="1166"/>
      <c r="H763" s="1166"/>
      <c r="I763" s="1167"/>
      <c r="J763" s="1166"/>
      <c r="K763" s="1167"/>
      <c r="L763" s="1166"/>
      <c r="M763" s="1166"/>
      <c r="N763" s="1166"/>
      <c r="O763" s="280"/>
      <c r="P763" s="1167"/>
      <c r="R763" s="587"/>
      <c r="S763" s="587"/>
      <c r="X763" s="370"/>
      <c r="Y763" s="370"/>
      <c r="Z763" s="370"/>
      <c r="AB763" s="370"/>
      <c r="AC763" s="370"/>
    </row>
    <row r="764" hidden="1">
      <c r="A764" s="280"/>
      <c r="B764" s="280"/>
      <c r="C764" s="617"/>
      <c r="D764" s="1166"/>
      <c r="E764" s="1166"/>
      <c r="F764" s="1166"/>
      <c r="G764" s="1166"/>
      <c r="H764" s="1166"/>
      <c r="I764" s="1167"/>
      <c r="J764" s="1166"/>
      <c r="K764" s="1167"/>
      <c r="L764" s="1166"/>
      <c r="M764" s="1166"/>
      <c r="N764" s="1166"/>
      <c r="O764" s="280"/>
      <c r="P764" s="1167"/>
      <c r="R764" s="587"/>
      <c r="S764" s="587"/>
      <c r="X764" s="370"/>
      <c r="Y764" s="370"/>
      <c r="Z764" s="370"/>
      <c r="AB764" s="370"/>
      <c r="AC764" s="370"/>
    </row>
    <row r="765" hidden="1">
      <c r="A765" s="280"/>
      <c r="B765" s="280"/>
      <c r="C765" s="617"/>
      <c r="D765" s="1166"/>
      <c r="E765" s="1166"/>
      <c r="F765" s="1166"/>
      <c r="G765" s="1166"/>
      <c r="H765" s="1166"/>
      <c r="I765" s="1167"/>
      <c r="J765" s="1166"/>
      <c r="K765" s="1167"/>
      <c r="L765" s="1166"/>
      <c r="M765" s="1166"/>
      <c r="N765" s="1166"/>
      <c r="O765" s="280"/>
      <c r="P765" s="1167"/>
      <c r="R765" s="587"/>
      <c r="S765" s="587"/>
      <c r="X765" s="370"/>
      <c r="Y765" s="370"/>
      <c r="Z765" s="370"/>
      <c r="AB765" s="370"/>
      <c r="AC765" s="370"/>
    </row>
    <row r="766" hidden="1">
      <c r="A766" s="280"/>
      <c r="B766" s="280"/>
      <c r="C766" s="617"/>
      <c r="D766" s="1166"/>
      <c r="E766" s="1166"/>
      <c r="F766" s="1166"/>
      <c r="G766" s="1166"/>
      <c r="H766" s="1166"/>
      <c r="I766" s="1167"/>
      <c r="J766" s="1166"/>
      <c r="K766" s="1167"/>
      <c r="L766" s="1166"/>
      <c r="M766" s="1166"/>
      <c r="N766" s="1166"/>
      <c r="O766" s="280"/>
      <c r="P766" s="1167"/>
      <c r="R766" s="587"/>
      <c r="S766" s="587"/>
      <c r="X766" s="370"/>
      <c r="Y766" s="370"/>
      <c r="Z766" s="370"/>
      <c r="AB766" s="370"/>
      <c r="AC766" s="370"/>
    </row>
    <row r="767" hidden="1">
      <c r="A767" s="280"/>
      <c r="B767" s="280"/>
      <c r="C767" s="617"/>
      <c r="D767" s="1166"/>
      <c r="E767" s="1166"/>
      <c r="F767" s="1166"/>
      <c r="G767" s="1166"/>
      <c r="H767" s="1166"/>
      <c r="I767" s="1167"/>
      <c r="J767" s="1166"/>
      <c r="K767" s="1167"/>
      <c r="L767" s="1166"/>
      <c r="M767" s="1166"/>
      <c r="N767" s="1166"/>
      <c r="O767" s="280"/>
      <c r="P767" s="1167"/>
      <c r="R767" s="587"/>
      <c r="S767" s="587"/>
      <c r="X767" s="370"/>
      <c r="Y767" s="370"/>
      <c r="Z767" s="370"/>
      <c r="AB767" s="370"/>
      <c r="AC767" s="370"/>
    </row>
    <row r="768" hidden="1">
      <c r="A768" s="280"/>
      <c r="B768" s="280"/>
      <c r="C768" s="617"/>
      <c r="D768" s="1166"/>
      <c r="E768" s="1166"/>
      <c r="F768" s="1166"/>
      <c r="G768" s="1166"/>
      <c r="H768" s="1166"/>
      <c r="I768" s="1167"/>
      <c r="J768" s="1166"/>
      <c r="K768" s="1167"/>
      <c r="L768" s="1166"/>
      <c r="M768" s="1166"/>
      <c r="N768" s="1166"/>
      <c r="O768" s="280"/>
      <c r="P768" s="1167"/>
      <c r="R768" s="587"/>
      <c r="S768" s="587"/>
      <c r="X768" s="370"/>
      <c r="Y768" s="370"/>
      <c r="Z768" s="370"/>
      <c r="AB768" s="370"/>
      <c r="AC768" s="370"/>
    </row>
    <row r="769" hidden="1">
      <c r="A769" s="280"/>
      <c r="B769" s="280"/>
      <c r="C769" s="617"/>
      <c r="D769" s="1166"/>
      <c r="E769" s="1166"/>
      <c r="F769" s="1166"/>
      <c r="G769" s="1166"/>
      <c r="H769" s="1166"/>
      <c r="I769" s="1167"/>
      <c r="J769" s="1166"/>
      <c r="K769" s="1167"/>
      <c r="L769" s="1166"/>
      <c r="M769" s="1166"/>
      <c r="N769" s="1166"/>
      <c r="O769" s="280"/>
      <c r="P769" s="1167"/>
      <c r="R769" s="587"/>
      <c r="S769" s="587"/>
      <c r="X769" s="370"/>
      <c r="Y769" s="370"/>
      <c r="Z769" s="370"/>
      <c r="AB769" s="370"/>
      <c r="AC769" s="370"/>
    </row>
    <row r="770" hidden="1">
      <c r="A770" s="280"/>
      <c r="B770" s="280"/>
      <c r="C770" s="617"/>
      <c r="D770" s="1166"/>
      <c r="E770" s="1166"/>
      <c r="F770" s="1166"/>
      <c r="G770" s="1166"/>
      <c r="H770" s="1166"/>
      <c r="I770" s="1167"/>
      <c r="J770" s="1166"/>
      <c r="K770" s="1167"/>
      <c r="L770" s="1166"/>
      <c r="M770" s="1166"/>
      <c r="N770" s="1166"/>
      <c r="O770" s="280"/>
      <c r="P770" s="1167"/>
      <c r="R770" s="587"/>
      <c r="S770" s="587"/>
      <c r="X770" s="370"/>
      <c r="Y770" s="370"/>
      <c r="Z770" s="370"/>
      <c r="AB770" s="370"/>
      <c r="AC770" s="370"/>
    </row>
    <row r="771" hidden="1">
      <c r="A771" s="280"/>
      <c r="B771" s="280"/>
      <c r="C771" s="617"/>
      <c r="D771" s="1166"/>
      <c r="E771" s="1166"/>
      <c r="F771" s="1166"/>
      <c r="G771" s="1166"/>
      <c r="H771" s="1166"/>
      <c r="I771" s="1167"/>
      <c r="J771" s="1166"/>
      <c r="K771" s="1167"/>
      <c r="L771" s="1166"/>
      <c r="M771" s="1166"/>
      <c r="N771" s="1166"/>
      <c r="O771" s="280"/>
      <c r="P771" s="1167"/>
      <c r="R771" s="587"/>
      <c r="S771" s="587"/>
      <c r="X771" s="370"/>
      <c r="Y771" s="370"/>
      <c r="Z771" s="370"/>
      <c r="AB771" s="370"/>
      <c r="AC771" s="370"/>
    </row>
    <row r="772" hidden="1">
      <c r="A772" s="280"/>
      <c r="B772" s="280"/>
      <c r="C772" s="617"/>
      <c r="D772" s="1166"/>
      <c r="E772" s="1166"/>
      <c r="F772" s="1166"/>
      <c r="G772" s="1166"/>
      <c r="H772" s="1166"/>
      <c r="I772" s="1167"/>
      <c r="J772" s="1166"/>
      <c r="K772" s="1167"/>
      <c r="L772" s="1166"/>
      <c r="M772" s="1166"/>
      <c r="N772" s="1166"/>
      <c r="O772" s="280"/>
      <c r="P772" s="1167"/>
      <c r="R772" s="587"/>
      <c r="S772" s="587"/>
      <c r="X772" s="370"/>
      <c r="Y772" s="370"/>
      <c r="Z772" s="370"/>
      <c r="AB772" s="370"/>
      <c r="AC772" s="370"/>
    </row>
    <row r="773" hidden="1">
      <c r="A773" s="280"/>
      <c r="B773" s="280"/>
      <c r="C773" s="617"/>
      <c r="D773" s="1166"/>
      <c r="E773" s="1166"/>
      <c r="F773" s="1166"/>
      <c r="G773" s="1166"/>
      <c r="H773" s="1166"/>
      <c r="I773" s="1167"/>
      <c r="J773" s="1166"/>
      <c r="K773" s="1167"/>
      <c r="L773" s="1166"/>
      <c r="M773" s="1166"/>
      <c r="N773" s="1166"/>
      <c r="O773" s="280"/>
      <c r="P773" s="1167"/>
      <c r="R773" s="587"/>
      <c r="S773" s="587"/>
      <c r="X773" s="370"/>
      <c r="Y773" s="370"/>
      <c r="Z773" s="370"/>
      <c r="AB773" s="370"/>
      <c r="AC773" s="370"/>
    </row>
    <row r="774" hidden="1">
      <c r="A774" s="280"/>
      <c r="B774" s="280"/>
      <c r="C774" s="617"/>
      <c r="D774" s="1166"/>
      <c r="E774" s="1166"/>
      <c r="F774" s="1166"/>
      <c r="G774" s="1166"/>
      <c r="H774" s="1166"/>
      <c r="I774" s="1167"/>
      <c r="J774" s="1166"/>
      <c r="K774" s="1167"/>
      <c r="L774" s="1166"/>
      <c r="M774" s="1166"/>
      <c r="N774" s="1166"/>
      <c r="O774" s="280"/>
      <c r="P774" s="1167"/>
      <c r="R774" s="587"/>
      <c r="S774" s="587"/>
      <c r="X774" s="370"/>
      <c r="Y774" s="370"/>
      <c r="Z774" s="370"/>
      <c r="AB774" s="370"/>
      <c r="AC774" s="370"/>
    </row>
    <row r="775" hidden="1">
      <c r="A775" s="280"/>
      <c r="B775" s="280"/>
      <c r="C775" s="617"/>
      <c r="D775" s="1166"/>
      <c r="E775" s="1166"/>
      <c r="F775" s="1166"/>
      <c r="G775" s="1166"/>
      <c r="H775" s="1166"/>
      <c r="I775" s="1167"/>
      <c r="J775" s="1166"/>
      <c r="K775" s="1167"/>
      <c r="L775" s="1166"/>
      <c r="M775" s="1166"/>
      <c r="N775" s="1166"/>
      <c r="O775" s="280"/>
      <c r="P775" s="1167"/>
      <c r="R775" s="587"/>
      <c r="S775" s="587"/>
      <c r="X775" s="370"/>
      <c r="Y775" s="370"/>
      <c r="Z775" s="370"/>
      <c r="AB775" s="370"/>
      <c r="AC775" s="370"/>
    </row>
    <row r="776" hidden="1">
      <c r="A776" s="280"/>
      <c r="B776" s="280"/>
      <c r="C776" s="617"/>
      <c r="D776" s="1166"/>
      <c r="E776" s="1166"/>
      <c r="F776" s="1166"/>
      <c r="G776" s="1166"/>
      <c r="H776" s="1166"/>
      <c r="I776" s="1167"/>
      <c r="J776" s="1166"/>
      <c r="K776" s="1167"/>
      <c r="L776" s="1166"/>
      <c r="M776" s="1166"/>
      <c r="N776" s="1166"/>
      <c r="O776" s="280"/>
      <c r="P776" s="1167"/>
      <c r="R776" s="587"/>
      <c r="S776" s="587"/>
      <c r="X776" s="370"/>
      <c r="Y776" s="370"/>
      <c r="Z776" s="370"/>
      <c r="AB776" s="370"/>
      <c r="AC776" s="370"/>
    </row>
    <row r="777" hidden="1">
      <c r="A777" s="280"/>
      <c r="B777" s="280"/>
      <c r="C777" s="617"/>
      <c r="D777" s="1166"/>
      <c r="E777" s="1166"/>
      <c r="F777" s="1166"/>
      <c r="G777" s="1166"/>
      <c r="H777" s="1166"/>
      <c r="I777" s="1167"/>
      <c r="J777" s="1166"/>
      <c r="K777" s="1167"/>
      <c r="L777" s="1166"/>
      <c r="M777" s="1166"/>
      <c r="N777" s="1166"/>
      <c r="O777" s="280"/>
      <c r="P777" s="1167"/>
      <c r="R777" s="587"/>
      <c r="S777" s="587"/>
      <c r="X777" s="370"/>
      <c r="Y777" s="370"/>
      <c r="Z777" s="370"/>
      <c r="AB777" s="370"/>
      <c r="AC777" s="370"/>
    </row>
    <row r="778" hidden="1">
      <c r="A778" s="280"/>
      <c r="B778" s="280"/>
      <c r="C778" s="617"/>
      <c r="D778" s="1166"/>
      <c r="E778" s="1166"/>
      <c r="F778" s="1166"/>
      <c r="G778" s="1166"/>
      <c r="H778" s="1166"/>
      <c r="I778" s="1167"/>
      <c r="J778" s="1166"/>
      <c r="K778" s="1167"/>
      <c r="L778" s="1166"/>
      <c r="M778" s="1166"/>
      <c r="N778" s="1166"/>
      <c r="O778" s="280"/>
      <c r="P778" s="1167"/>
      <c r="R778" s="587"/>
      <c r="S778" s="587"/>
      <c r="X778" s="370"/>
      <c r="Y778" s="370"/>
      <c r="Z778" s="370"/>
      <c r="AB778" s="370"/>
      <c r="AC778" s="370"/>
    </row>
    <row r="779" hidden="1">
      <c r="A779" s="280"/>
      <c r="B779" s="280"/>
      <c r="C779" s="617"/>
      <c r="D779" s="1166"/>
      <c r="E779" s="1166"/>
      <c r="F779" s="1166"/>
      <c r="G779" s="1166"/>
      <c r="H779" s="1166"/>
      <c r="I779" s="1167"/>
      <c r="J779" s="1166"/>
      <c r="K779" s="1167"/>
      <c r="L779" s="1166"/>
      <c r="M779" s="1166"/>
      <c r="N779" s="1166"/>
      <c r="O779" s="280"/>
      <c r="P779" s="1167"/>
      <c r="R779" s="587"/>
      <c r="S779" s="587"/>
      <c r="X779" s="370"/>
      <c r="Y779" s="370"/>
      <c r="Z779" s="370"/>
      <c r="AB779" s="370"/>
      <c r="AC779" s="370"/>
    </row>
    <row r="780" hidden="1">
      <c r="A780" s="280"/>
      <c r="B780" s="280"/>
      <c r="C780" s="617"/>
      <c r="D780" s="1166"/>
      <c r="E780" s="1166"/>
      <c r="F780" s="1166"/>
      <c r="G780" s="1166"/>
      <c r="H780" s="1166"/>
      <c r="I780" s="1167"/>
      <c r="J780" s="1166"/>
      <c r="K780" s="1167"/>
      <c r="L780" s="1166"/>
      <c r="M780" s="1166"/>
      <c r="N780" s="1166"/>
      <c r="O780" s="280"/>
      <c r="P780" s="1167"/>
      <c r="R780" s="587"/>
      <c r="S780" s="587"/>
      <c r="X780" s="370"/>
      <c r="Y780" s="370"/>
      <c r="Z780" s="370"/>
      <c r="AB780" s="370"/>
      <c r="AC780" s="370"/>
    </row>
    <row r="781" hidden="1">
      <c r="A781" s="280"/>
      <c r="B781" s="280"/>
      <c r="C781" s="617"/>
      <c r="D781" s="1166"/>
      <c r="E781" s="1166"/>
      <c r="F781" s="1166"/>
      <c r="G781" s="1166"/>
      <c r="H781" s="1166"/>
      <c r="I781" s="1167"/>
      <c r="J781" s="1166"/>
      <c r="K781" s="1167"/>
      <c r="L781" s="1166"/>
      <c r="M781" s="1166"/>
      <c r="N781" s="1166"/>
      <c r="O781" s="280"/>
      <c r="P781" s="1167"/>
      <c r="R781" s="587"/>
      <c r="S781" s="587"/>
      <c r="X781" s="370"/>
      <c r="Y781" s="370"/>
      <c r="Z781" s="370"/>
      <c r="AB781" s="370"/>
      <c r="AC781" s="370"/>
    </row>
    <row r="782" hidden="1">
      <c r="A782" s="280"/>
      <c r="B782" s="280"/>
      <c r="C782" s="617"/>
      <c r="D782" s="1166"/>
      <c r="E782" s="1166"/>
      <c r="F782" s="1166"/>
      <c r="G782" s="1166"/>
      <c r="H782" s="1166"/>
      <c r="I782" s="1167"/>
      <c r="J782" s="1166"/>
      <c r="K782" s="1167"/>
      <c r="L782" s="1166"/>
      <c r="M782" s="1166"/>
      <c r="N782" s="1166"/>
      <c r="O782" s="280"/>
      <c r="P782" s="1167"/>
      <c r="R782" s="587"/>
      <c r="S782" s="587"/>
      <c r="X782" s="370"/>
      <c r="Y782" s="370"/>
      <c r="Z782" s="370"/>
      <c r="AB782" s="370"/>
      <c r="AC782" s="370"/>
    </row>
    <row r="783" hidden="1">
      <c r="A783" s="280"/>
      <c r="B783" s="280"/>
      <c r="C783" s="617"/>
      <c r="D783" s="1166"/>
      <c r="E783" s="1166"/>
      <c r="F783" s="1166"/>
      <c r="G783" s="1166"/>
      <c r="H783" s="1166"/>
      <c r="I783" s="1167"/>
      <c r="J783" s="1166"/>
      <c r="K783" s="1167"/>
      <c r="L783" s="1166"/>
      <c r="M783" s="1166"/>
      <c r="N783" s="1166"/>
      <c r="O783" s="280"/>
      <c r="P783" s="1167"/>
      <c r="R783" s="587"/>
      <c r="S783" s="587"/>
      <c r="X783" s="370"/>
      <c r="Y783" s="370"/>
      <c r="Z783" s="370"/>
      <c r="AB783" s="370"/>
      <c r="AC783" s="370"/>
    </row>
    <row r="784" hidden="1">
      <c r="A784" s="280"/>
      <c r="B784" s="280"/>
      <c r="C784" s="617"/>
      <c r="D784" s="1166"/>
      <c r="E784" s="1166"/>
      <c r="F784" s="1166"/>
      <c r="G784" s="1166"/>
      <c r="H784" s="1166"/>
      <c r="I784" s="1167"/>
      <c r="J784" s="1166"/>
      <c r="K784" s="1167"/>
      <c r="L784" s="1166"/>
      <c r="M784" s="1166"/>
      <c r="N784" s="1166"/>
      <c r="O784" s="280"/>
      <c r="P784" s="1167"/>
      <c r="R784" s="587"/>
      <c r="S784" s="587"/>
      <c r="X784" s="370"/>
      <c r="Y784" s="370"/>
      <c r="Z784" s="370"/>
      <c r="AB784" s="370"/>
      <c r="AC784" s="370"/>
    </row>
    <row r="785" hidden="1">
      <c r="A785" s="280"/>
      <c r="B785" s="280"/>
      <c r="C785" s="617"/>
      <c r="D785" s="1166"/>
      <c r="E785" s="1166"/>
      <c r="F785" s="1166"/>
      <c r="G785" s="1166"/>
      <c r="H785" s="1166"/>
      <c r="I785" s="1167"/>
      <c r="J785" s="1166"/>
      <c r="K785" s="1167"/>
      <c r="L785" s="1166"/>
      <c r="M785" s="1166"/>
      <c r="N785" s="1166"/>
      <c r="O785" s="280"/>
      <c r="P785" s="1167"/>
      <c r="R785" s="587"/>
      <c r="S785" s="587"/>
      <c r="X785" s="370"/>
      <c r="Y785" s="370"/>
      <c r="Z785" s="370"/>
      <c r="AB785" s="370"/>
      <c r="AC785" s="370"/>
    </row>
    <row r="786" hidden="1">
      <c r="A786" s="280"/>
      <c r="B786" s="280"/>
      <c r="C786" s="617"/>
      <c r="D786" s="1166"/>
      <c r="E786" s="1166"/>
      <c r="F786" s="1166"/>
      <c r="G786" s="1166"/>
      <c r="H786" s="1166"/>
      <c r="I786" s="1167"/>
      <c r="J786" s="1166"/>
      <c r="K786" s="1167"/>
      <c r="L786" s="1166"/>
      <c r="M786" s="1166"/>
      <c r="N786" s="1166"/>
      <c r="O786" s="280"/>
      <c r="P786" s="1167"/>
      <c r="R786" s="587"/>
      <c r="S786" s="587"/>
      <c r="X786" s="370"/>
      <c r="Y786" s="370"/>
      <c r="Z786" s="370"/>
      <c r="AB786" s="370"/>
      <c r="AC786" s="370"/>
    </row>
    <row r="787" hidden="1">
      <c r="A787" s="280"/>
      <c r="B787" s="280"/>
      <c r="C787" s="617"/>
      <c r="D787" s="1166"/>
      <c r="E787" s="1166"/>
      <c r="F787" s="1166"/>
      <c r="G787" s="1166"/>
      <c r="H787" s="1166"/>
      <c r="I787" s="1167"/>
      <c r="J787" s="1166"/>
      <c r="K787" s="1167"/>
      <c r="L787" s="1166"/>
      <c r="M787" s="1166"/>
      <c r="N787" s="1166"/>
      <c r="O787" s="280"/>
      <c r="P787" s="1167"/>
      <c r="R787" s="587"/>
      <c r="S787" s="587"/>
      <c r="X787" s="370"/>
      <c r="Y787" s="370"/>
      <c r="Z787" s="370"/>
      <c r="AB787" s="370"/>
      <c r="AC787" s="370"/>
    </row>
    <row r="788" hidden="1">
      <c r="A788" s="280"/>
      <c r="B788" s="280"/>
      <c r="C788" s="617"/>
      <c r="D788" s="1166"/>
      <c r="E788" s="1166"/>
      <c r="F788" s="1166"/>
      <c r="G788" s="1166"/>
      <c r="H788" s="1166"/>
      <c r="I788" s="1167"/>
      <c r="J788" s="1166"/>
      <c r="K788" s="1167"/>
      <c r="L788" s="1166"/>
      <c r="M788" s="1166"/>
      <c r="N788" s="1166"/>
      <c r="O788" s="280"/>
      <c r="P788" s="1167"/>
      <c r="R788" s="587"/>
      <c r="S788" s="587"/>
      <c r="X788" s="370"/>
      <c r="Y788" s="370"/>
      <c r="Z788" s="370"/>
      <c r="AB788" s="370"/>
      <c r="AC788" s="370"/>
    </row>
    <row r="789" hidden="1">
      <c r="A789" s="280"/>
      <c r="B789" s="280"/>
      <c r="C789" s="617"/>
      <c r="D789" s="1166"/>
      <c r="E789" s="1166"/>
      <c r="F789" s="1166"/>
      <c r="G789" s="1166"/>
      <c r="H789" s="1166"/>
      <c r="I789" s="1167"/>
      <c r="J789" s="1166"/>
      <c r="K789" s="1167"/>
      <c r="L789" s="1166"/>
      <c r="M789" s="1166"/>
      <c r="N789" s="1166"/>
      <c r="O789" s="280"/>
      <c r="P789" s="1167"/>
      <c r="R789" s="587"/>
      <c r="S789" s="587"/>
      <c r="X789" s="370"/>
      <c r="Y789" s="370"/>
      <c r="Z789" s="370"/>
      <c r="AB789" s="370"/>
      <c r="AC789" s="370"/>
    </row>
    <row r="790" hidden="1">
      <c r="A790" s="280"/>
      <c r="B790" s="280"/>
      <c r="C790" s="617"/>
      <c r="D790" s="1166"/>
      <c r="E790" s="1166"/>
      <c r="F790" s="1166"/>
      <c r="G790" s="1166"/>
      <c r="H790" s="1166"/>
      <c r="I790" s="1167"/>
      <c r="J790" s="1166"/>
      <c r="K790" s="1167"/>
      <c r="L790" s="1166"/>
      <c r="M790" s="1166"/>
      <c r="N790" s="1166"/>
      <c r="O790" s="280"/>
      <c r="P790" s="1167"/>
      <c r="R790" s="587"/>
      <c r="S790" s="587"/>
      <c r="X790" s="370"/>
      <c r="Y790" s="370"/>
      <c r="Z790" s="370"/>
      <c r="AB790" s="370"/>
      <c r="AC790" s="370"/>
    </row>
    <row r="791" hidden="1">
      <c r="A791" s="280"/>
      <c r="B791" s="280"/>
      <c r="C791" s="617"/>
      <c r="D791" s="1166"/>
      <c r="E791" s="1166"/>
      <c r="F791" s="1166"/>
      <c r="G791" s="1166"/>
      <c r="H791" s="1166"/>
      <c r="I791" s="1167"/>
      <c r="J791" s="1166"/>
      <c r="K791" s="1167"/>
      <c r="L791" s="1166"/>
      <c r="M791" s="1166"/>
      <c r="N791" s="1166"/>
      <c r="O791" s="280"/>
      <c r="P791" s="1167"/>
      <c r="R791" s="587"/>
      <c r="S791" s="587"/>
      <c r="X791" s="370"/>
      <c r="Y791" s="370"/>
      <c r="Z791" s="370"/>
      <c r="AB791" s="370"/>
      <c r="AC791" s="370"/>
    </row>
    <row r="792" hidden="1">
      <c r="A792" s="280"/>
      <c r="B792" s="280"/>
      <c r="C792" s="617"/>
      <c r="D792" s="1166"/>
      <c r="E792" s="1166"/>
      <c r="F792" s="1166"/>
      <c r="G792" s="1166"/>
      <c r="H792" s="1166"/>
      <c r="I792" s="1167"/>
      <c r="J792" s="1166"/>
      <c r="K792" s="1167"/>
      <c r="L792" s="1166"/>
      <c r="M792" s="1166"/>
      <c r="N792" s="1166"/>
      <c r="O792" s="280"/>
      <c r="P792" s="1167"/>
      <c r="R792" s="587"/>
      <c r="S792" s="587"/>
      <c r="X792" s="370"/>
      <c r="Y792" s="370"/>
      <c r="Z792" s="370"/>
      <c r="AB792" s="370"/>
      <c r="AC792" s="370"/>
    </row>
    <row r="793" hidden="1">
      <c r="A793" s="280"/>
      <c r="B793" s="280"/>
      <c r="C793" s="617"/>
      <c r="D793" s="1166"/>
      <c r="E793" s="1166"/>
      <c r="F793" s="1166"/>
      <c r="G793" s="1166"/>
      <c r="H793" s="1166"/>
      <c r="I793" s="1167"/>
      <c r="J793" s="1166"/>
      <c r="K793" s="1167"/>
      <c r="L793" s="1166"/>
      <c r="M793" s="1166"/>
      <c r="N793" s="1166"/>
      <c r="O793" s="280"/>
      <c r="P793" s="1167"/>
      <c r="R793" s="587"/>
      <c r="S793" s="587"/>
      <c r="X793" s="370"/>
      <c r="Y793" s="370"/>
      <c r="Z793" s="370"/>
      <c r="AB793" s="370"/>
      <c r="AC793" s="370"/>
    </row>
    <row r="794" hidden="1">
      <c r="A794" s="280"/>
      <c r="B794" s="280"/>
      <c r="C794" s="617"/>
      <c r="D794" s="1166"/>
      <c r="E794" s="1166"/>
      <c r="F794" s="1166"/>
      <c r="G794" s="1166"/>
      <c r="H794" s="1166"/>
      <c r="I794" s="1167"/>
      <c r="J794" s="1166"/>
      <c r="K794" s="1167"/>
      <c r="L794" s="1166"/>
      <c r="M794" s="1166"/>
      <c r="N794" s="1166"/>
      <c r="O794" s="280"/>
      <c r="P794" s="1167"/>
      <c r="R794" s="587"/>
      <c r="S794" s="587"/>
      <c r="X794" s="370"/>
      <c r="Y794" s="370"/>
      <c r="Z794" s="370"/>
      <c r="AB794" s="370"/>
      <c r="AC794" s="370"/>
    </row>
    <row r="795" hidden="1">
      <c r="A795" s="280"/>
      <c r="B795" s="280"/>
      <c r="C795" s="617"/>
      <c r="D795" s="1166"/>
      <c r="E795" s="1166"/>
      <c r="F795" s="1166"/>
      <c r="G795" s="1166"/>
      <c r="H795" s="1166"/>
      <c r="I795" s="1167"/>
      <c r="J795" s="1166"/>
      <c r="K795" s="1167"/>
      <c r="L795" s="1166"/>
      <c r="M795" s="1166"/>
      <c r="N795" s="1166"/>
      <c r="O795" s="280"/>
      <c r="P795" s="1167"/>
      <c r="R795" s="587"/>
      <c r="S795" s="587"/>
      <c r="X795" s="370"/>
      <c r="Y795" s="370"/>
      <c r="Z795" s="370"/>
      <c r="AB795" s="370"/>
      <c r="AC795" s="370"/>
    </row>
    <row r="796" hidden="1">
      <c r="A796" s="280"/>
      <c r="B796" s="280"/>
      <c r="C796" s="617"/>
      <c r="D796" s="1166"/>
      <c r="E796" s="1166"/>
      <c r="F796" s="1166"/>
      <c r="G796" s="1166"/>
      <c r="H796" s="1166"/>
      <c r="I796" s="1167"/>
      <c r="J796" s="1166"/>
      <c r="K796" s="1167"/>
      <c r="L796" s="1166"/>
      <c r="M796" s="1166"/>
      <c r="N796" s="1166"/>
      <c r="O796" s="280"/>
      <c r="P796" s="1167"/>
      <c r="R796" s="587"/>
      <c r="S796" s="587"/>
      <c r="X796" s="370"/>
      <c r="Y796" s="370"/>
      <c r="Z796" s="370"/>
      <c r="AB796" s="370"/>
      <c r="AC796" s="370"/>
    </row>
    <row r="797" hidden="1">
      <c r="A797" s="280"/>
      <c r="B797" s="280"/>
      <c r="C797" s="617"/>
      <c r="D797" s="1166"/>
      <c r="E797" s="1166"/>
      <c r="F797" s="1166"/>
      <c r="G797" s="1166"/>
      <c r="H797" s="1166"/>
      <c r="I797" s="1167"/>
      <c r="J797" s="1166"/>
      <c r="K797" s="1167"/>
      <c r="L797" s="1166"/>
      <c r="M797" s="1166"/>
      <c r="N797" s="1166"/>
      <c r="O797" s="280"/>
      <c r="P797" s="1167"/>
      <c r="R797" s="587"/>
      <c r="S797" s="587"/>
      <c r="X797" s="370"/>
      <c r="Y797" s="370"/>
      <c r="Z797" s="370"/>
      <c r="AB797" s="370"/>
      <c r="AC797" s="370"/>
    </row>
    <row r="798" hidden="1">
      <c r="A798" s="280"/>
      <c r="B798" s="280"/>
      <c r="C798" s="617"/>
      <c r="D798" s="1166"/>
      <c r="E798" s="1166"/>
      <c r="F798" s="1166"/>
      <c r="G798" s="1166"/>
      <c r="H798" s="1166"/>
      <c r="I798" s="1167"/>
      <c r="J798" s="1166"/>
      <c r="K798" s="1167"/>
      <c r="L798" s="1166"/>
      <c r="M798" s="1166"/>
      <c r="N798" s="1166"/>
      <c r="O798" s="280"/>
      <c r="P798" s="1167"/>
      <c r="R798" s="587"/>
      <c r="S798" s="587"/>
      <c r="X798" s="370"/>
      <c r="Y798" s="370"/>
      <c r="Z798" s="370"/>
      <c r="AB798" s="370"/>
      <c r="AC798" s="370"/>
    </row>
    <row r="799" hidden="1">
      <c r="A799" s="280"/>
      <c r="B799" s="280"/>
      <c r="C799" s="617"/>
      <c r="D799" s="1166"/>
      <c r="E799" s="1166"/>
      <c r="F799" s="1166"/>
      <c r="G799" s="1166"/>
      <c r="H799" s="1166"/>
      <c r="I799" s="1167"/>
      <c r="J799" s="1166"/>
      <c r="K799" s="1167"/>
      <c r="L799" s="1166"/>
      <c r="M799" s="1166"/>
      <c r="N799" s="1166"/>
      <c r="O799" s="280"/>
      <c r="P799" s="1167"/>
      <c r="R799" s="587"/>
      <c r="S799" s="587"/>
      <c r="X799" s="370"/>
      <c r="Y799" s="370"/>
      <c r="Z799" s="370"/>
      <c r="AB799" s="370"/>
      <c r="AC799" s="370"/>
    </row>
    <row r="800" hidden="1">
      <c r="A800" s="280"/>
      <c r="B800" s="280"/>
      <c r="C800" s="617"/>
      <c r="D800" s="1166"/>
      <c r="E800" s="1166"/>
      <c r="F800" s="1166"/>
      <c r="G800" s="1166"/>
      <c r="H800" s="1166"/>
      <c r="I800" s="1167"/>
      <c r="J800" s="1166"/>
      <c r="K800" s="1167"/>
      <c r="L800" s="1166"/>
      <c r="M800" s="1166"/>
      <c r="N800" s="1166"/>
      <c r="O800" s="280"/>
      <c r="P800" s="1167"/>
      <c r="R800" s="587"/>
      <c r="S800" s="587"/>
      <c r="X800" s="370"/>
      <c r="Y800" s="370"/>
      <c r="Z800" s="370"/>
      <c r="AB800" s="370"/>
      <c r="AC800" s="370"/>
    </row>
    <row r="801" hidden="1">
      <c r="A801" s="280"/>
      <c r="B801" s="280"/>
      <c r="C801" s="617"/>
      <c r="D801" s="1166"/>
      <c r="E801" s="1166"/>
      <c r="F801" s="1166"/>
      <c r="G801" s="1166"/>
      <c r="H801" s="1166"/>
      <c r="I801" s="1167"/>
      <c r="J801" s="1166"/>
      <c r="K801" s="1167"/>
      <c r="L801" s="1166"/>
      <c r="M801" s="1166"/>
      <c r="N801" s="1166"/>
      <c r="O801" s="280"/>
      <c r="P801" s="1167"/>
      <c r="R801" s="587"/>
      <c r="S801" s="587"/>
      <c r="X801" s="370"/>
      <c r="Y801" s="370"/>
      <c r="Z801" s="370"/>
      <c r="AB801" s="370"/>
      <c r="AC801" s="370"/>
    </row>
    <row r="802" hidden="1">
      <c r="A802" s="280"/>
      <c r="B802" s="280"/>
      <c r="C802" s="617"/>
      <c r="D802" s="1166"/>
      <c r="E802" s="1166"/>
      <c r="F802" s="1166"/>
      <c r="G802" s="1166"/>
      <c r="H802" s="1166"/>
      <c r="I802" s="1167"/>
      <c r="J802" s="1166"/>
      <c r="K802" s="1167"/>
      <c r="L802" s="1166"/>
      <c r="M802" s="1166"/>
      <c r="N802" s="1166"/>
      <c r="O802" s="280"/>
      <c r="P802" s="1167"/>
      <c r="R802" s="587"/>
      <c r="S802" s="587"/>
      <c r="X802" s="370"/>
      <c r="Y802" s="370"/>
      <c r="Z802" s="370"/>
      <c r="AB802" s="370"/>
      <c r="AC802" s="370"/>
    </row>
    <row r="803" hidden="1">
      <c r="A803" s="280"/>
      <c r="B803" s="280"/>
      <c r="C803" s="617"/>
      <c r="D803" s="1166"/>
      <c r="E803" s="1166"/>
      <c r="F803" s="1166"/>
      <c r="G803" s="1166"/>
      <c r="H803" s="1166"/>
      <c r="I803" s="1167"/>
      <c r="J803" s="1166"/>
      <c r="K803" s="1167"/>
      <c r="L803" s="1166"/>
      <c r="M803" s="1166"/>
      <c r="N803" s="1166"/>
      <c r="O803" s="280"/>
      <c r="P803" s="1167"/>
      <c r="R803" s="587"/>
      <c r="S803" s="587"/>
      <c r="X803" s="370"/>
      <c r="Y803" s="370"/>
      <c r="Z803" s="370"/>
      <c r="AB803" s="370"/>
      <c r="AC803" s="370"/>
    </row>
    <row r="804" hidden="1">
      <c r="A804" s="280"/>
      <c r="B804" s="280"/>
      <c r="C804" s="617"/>
      <c r="D804" s="1166"/>
      <c r="E804" s="1166"/>
      <c r="F804" s="1166"/>
      <c r="G804" s="1166"/>
      <c r="H804" s="1166"/>
      <c r="I804" s="1167"/>
      <c r="J804" s="1166"/>
      <c r="K804" s="1167"/>
      <c r="L804" s="1166"/>
      <c r="M804" s="1166"/>
      <c r="N804" s="1166"/>
      <c r="O804" s="280"/>
      <c r="P804" s="1167"/>
      <c r="R804" s="587"/>
      <c r="S804" s="587"/>
      <c r="X804" s="370"/>
      <c r="Y804" s="370"/>
      <c r="Z804" s="370"/>
      <c r="AB804" s="370"/>
      <c r="AC804" s="370"/>
    </row>
    <row r="805" hidden="1">
      <c r="A805" s="280"/>
      <c r="B805" s="280"/>
      <c r="C805" s="617"/>
      <c r="D805" s="1166"/>
      <c r="E805" s="1166"/>
      <c r="F805" s="1166"/>
      <c r="G805" s="1166"/>
      <c r="H805" s="1166"/>
      <c r="I805" s="1167"/>
      <c r="J805" s="1166"/>
      <c r="K805" s="1167"/>
      <c r="L805" s="1166"/>
      <c r="M805" s="1166"/>
      <c r="N805" s="1166"/>
      <c r="O805" s="280"/>
      <c r="P805" s="1167"/>
      <c r="R805" s="587"/>
      <c r="S805" s="587"/>
      <c r="X805" s="370"/>
      <c r="Y805" s="370"/>
      <c r="Z805" s="370"/>
      <c r="AB805" s="370"/>
      <c r="AC805" s="370"/>
    </row>
    <row r="806" hidden="1">
      <c r="A806" s="280"/>
      <c r="B806" s="280"/>
      <c r="C806" s="617"/>
      <c r="D806" s="1166"/>
      <c r="E806" s="1166"/>
      <c r="F806" s="1166"/>
      <c r="G806" s="1166"/>
      <c r="H806" s="1166"/>
      <c r="I806" s="1167"/>
      <c r="J806" s="1166"/>
      <c r="K806" s="1167"/>
      <c r="L806" s="1166"/>
      <c r="M806" s="1166"/>
      <c r="N806" s="1166"/>
      <c r="O806" s="280"/>
      <c r="P806" s="1167"/>
      <c r="R806" s="587"/>
      <c r="S806" s="587"/>
      <c r="X806" s="370"/>
      <c r="Y806" s="370"/>
      <c r="Z806" s="370"/>
      <c r="AB806" s="370"/>
      <c r="AC806" s="370"/>
    </row>
    <row r="807" hidden="1">
      <c r="A807" s="280"/>
      <c r="B807" s="280"/>
      <c r="C807" s="617"/>
      <c r="D807" s="1166"/>
      <c r="E807" s="1166"/>
      <c r="F807" s="1166"/>
      <c r="G807" s="1166"/>
      <c r="H807" s="1166"/>
      <c r="I807" s="1167"/>
      <c r="J807" s="1166"/>
      <c r="K807" s="1167"/>
      <c r="L807" s="1166"/>
      <c r="M807" s="1166"/>
      <c r="N807" s="1166"/>
      <c r="O807" s="280"/>
      <c r="P807" s="1167"/>
      <c r="R807" s="587"/>
      <c r="S807" s="587"/>
      <c r="X807" s="370"/>
      <c r="Y807" s="370"/>
      <c r="Z807" s="370"/>
      <c r="AB807" s="370"/>
      <c r="AC807" s="370"/>
    </row>
    <row r="808" hidden="1">
      <c r="A808" s="280"/>
      <c r="B808" s="280"/>
      <c r="C808" s="617"/>
      <c r="D808" s="1166"/>
      <c r="E808" s="1166"/>
      <c r="F808" s="1166"/>
      <c r="G808" s="1166"/>
      <c r="H808" s="1166"/>
      <c r="I808" s="1167"/>
      <c r="J808" s="1166"/>
      <c r="K808" s="1167"/>
      <c r="L808" s="1166"/>
      <c r="M808" s="1166"/>
      <c r="N808" s="1166"/>
      <c r="O808" s="280"/>
      <c r="P808" s="1167"/>
      <c r="R808" s="587"/>
      <c r="S808" s="587"/>
      <c r="X808" s="370"/>
      <c r="Y808" s="370"/>
      <c r="Z808" s="370"/>
      <c r="AB808" s="370"/>
      <c r="AC808" s="370"/>
    </row>
    <row r="809" hidden="1">
      <c r="A809" s="280"/>
      <c r="B809" s="280"/>
      <c r="C809" s="617"/>
      <c r="D809" s="1166"/>
      <c r="E809" s="1166"/>
      <c r="F809" s="1166"/>
      <c r="G809" s="1166"/>
      <c r="H809" s="1166"/>
      <c r="I809" s="1167"/>
      <c r="J809" s="1166"/>
      <c r="K809" s="1167"/>
      <c r="L809" s="1166"/>
      <c r="M809" s="1166"/>
      <c r="N809" s="1166"/>
      <c r="O809" s="280"/>
      <c r="P809" s="1167"/>
      <c r="R809" s="587"/>
      <c r="S809" s="587"/>
      <c r="X809" s="370"/>
      <c r="Y809" s="370"/>
      <c r="Z809" s="370"/>
      <c r="AB809" s="370"/>
      <c r="AC809" s="370"/>
    </row>
    <row r="810" hidden="1">
      <c r="A810" s="280"/>
      <c r="B810" s="280"/>
      <c r="C810" s="617"/>
      <c r="D810" s="1166"/>
      <c r="E810" s="1166"/>
      <c r="F810" s="1166"/>
      <c r="G810" s="1166"/>
      <c r="H810" s="1166"/>
      <c r="I810" s="1167"/>
      <c r="J810" s="1166"/>
      <c r="K810" s="1167"/>
      <c r="L810" s="1166"/>
      <c r="M810" s="1166"/>
      <c r="N810" s="1166"/>
      <c r="O810" s="280"/>
      <c r="P810" s="1167"/>
      <c r="R810" s="587"/>
      <c r="S810" s="587"/>
      <c r="X810" s="370"/>
      <c r="Y810" s="370"/>
      <c r="Z810" s="370"/>
      <c r="AB810" s="370"/>
      <c r="AC810" s="370"/>
    </row>
    <row r="811" hidden="1">
      <c r="A811" s="280"/>
      <c r="B811" s="280"/>
      <c r="C811" s="617"/>
      <c r="D811" s="1166"/>
      <c r="E811" s="1166"/>
      <c r="F811" s="1166"/>
      <c r="G811" s="1166"/>
      <c r="H811" s="1166"/>
      <c r="I811" s="1167"/>
      <c r="J811" s="1166"/>
      <c r="K811" s="1167"/>
      <c r="L811" s="1166"/>
      <c r="M811" s="1166"/>
      <c r="N811" s="1166"/>
      <c r="O811" s="280"/>
      <c r="P811" s="1167"/>
      <c r="R811" s="587"/>
      <c r="S811" s="587"/>
      <c r="X811" s="370"/>
      <c r="Y811" s="370"/>
      <c r="Z811" s="370"/>
      <c r="AB811" s="370"/>
      <c r="AC811" s="370"/>
    </row>
    <row r="812" hidden="1">
      <c r="A812" s="280"/>
      <c r="B812" s="280"/>
      <c r="C812" s="617"/>
      <c r="D812" s="1166"/>
      <c r="E812" s="1166"/>
      <c r="F812" s="1166"/>
      <c r="G812" s="1166"/>
      <c r="H812" s="1166"/>
      <c r="I812" s="1167"/>
      <c r="J812" s="1166"/>
      <c r="K812" s="1167"/>
      <c r="L812" s="1166"/>
      <c r="M812" s="1166"/>
      <c r="N812" s="1166"/>
      <c r="O812" s="280"/>
      <c r="P812" s="1167"/>
      <c r="R812" s="587"/>
      <c r="S812" s="587"/>
      <c r="X812" s="370"/>
      <c r="Y812" s="370"/>
      <c r="Z812" s="370"/>
      <c r="AB812" s="370"/>
      <c r="AC812" s="370"/>
    </row>
    <row r="813" hidden="1">
      <c r="A813" s="280"/>
      <c r="B813" s="280"/>
      <c r="C813" s="617"/>
      <c r="D813" s="1166"/>
      <c r="E813" s="1166"/>
      <c r="F813" s="1166"/>
      <c r="G813" s="1166"/>
      <c r="H813" s="1166"/>
      <c r="I813" s="1167"/>
      <c r="J813" s="1166"/>
      <c r="K813" s="1167"/>
      <c r="L813" s="1166"/>
      <c r="M813" s="1166"/>
      <c r="N813" s="1166"/>
      <c r="O813" s="280"/>
      <c r="P813" s="1167"/>
      <c r="R813" s="587"/>
      <c r="S813" s="587"/>
      <c r="X813" s="370"/>
      <c r="Y813" s="370"/>
      <c r="Z813" s="370"/>
      <c r="AB813" s="370"/>
      <c r="AC813" s="370"/>
    </row>
    <row r="814" hidden="1">
      <c r="A814" s="280"/>
      <c r="B814" s="280"/>
      <c r="C814" s="617"/>
      <c r="D814" s="1166"/>
      <c r="E814" s="1166"/>
      <c r="F814" s="1166"/>
      <c r="G814" s="1166"/>
      <c r="H814" s="1166"/>
      <c r="I814" s="1167"/>
      <c r="J814" s="1166"/>
      <c r="K814" s="1167"/>
      <c r="L814" s="1166"/>
      <c r="M814" s="1166"/>
      <c r="N814" s="1166"/>
      <c r="O814" s="280"/>
      <c r="P814" s="1167"/>
      <c r="R814" s="587"/>
      <c r="S814" s="587"/>
      <c r="X814" s="370"/>
      <c r="Y814" s="370"/>
      <c r="Z814" s="370"/>
      <c r="AB814" s="370"/>
      <c r="AC814" s="370"/>
    </row>
    <row r="815" hidden="1">
      <c r="A815" s="280"/>
      <c r="B815" s="280"/>
      <c r="C815" s="617"/>
      <c r="D815" s="1166"/>
      <c r="E815" s="1166"/>
      <c r="F815" s="1166"/>
      <c r="G815" s="1166"/>
      <c r="H815" s="1166"/>
      <c r="I815" s="1167"/>
      <c r="J815" s="1166"/>
      <c r="K815" s="1167"/>
      <c r="L815" s="1166"/>
      <c r="M815" s="1166"/>
      <c r="N815" s="1166"/>
      <c r="O815" s="280"/>
      <c r="P815" s="1167"/>
      <c r="R815" s="587"/>
      <c r="S815" s="587"/>
      <c r="X815" s="370"/>
      <c r="Y815" s="370"/>
      <c r="Z815" s="370"/>
      <c r="AB815" s="370"/>
      <c r="AC815" s="370"/>
    </row>
    <row r="816" hidden="1">
      <c r="A816" s="280"/>
      <c r="B816" s="280"/>
      <c r="C816" s="617"/>
      <c r="D816" s="1166"/>
      <c r="E816" s="1166"/>
      <c r="F816" s="1166"/>
      <c r="G816" s="1166"/>
      <c r="H816" s="1166"/>
      <c r="I816" s="1167"/>
      <c r="J816" s="1166"/>
      <c r="K816" s="1167"/>
      <c r="L816" s="1166"/>
      <c r="M816" s="1166"/>
      <c r="N816" s="1166"/>
      <c r="O816" s="280"/>
      <c r="P816" s="1167"/>
      <c r="R816" s="587"/>
      <c r="S816" s="587"/>
      <c r="X816" s="370"/>
      <c r="Y816" s="370"/>
      <c r="Z816" s="370"/>
      <c r="AB816" s="370"/>
      <c r="AC816" s="370"/>
    </row>
    <row r="817" hidden="1">
      <c r="A817" s="280"/>
      <c r="B817" s="280"/>
      <c r="C817" s="617"/>
      <c r="D817" s="1166"/>
      <c r="E817" s="1166"/>
      <c r="F817" s="1166"/>
      <c r="G817" s="1166"/>
      <c r="H817" s="1166"/>
      <c r="I817" s="1167"/>
      <c r="J817" s="1166"/>
      <c r="K817" s="1167"/>
      <c r="L817" s="1166"/>
      <c r="M817" s="1166"/>
      <c r="N817" s="1166"/>
      <c r="O817" s="280"/>
      <c r="P817" s="1167"/>
      <c r="R817" s="587"/>
      <c r="S817" s="587"/>
      <c r="X817" s="370"/>
      <c r="Y817" s="370"/>
      <c r="Z817" s="370"/>
      <c r="AB817" s="370"/>
      <c r="AC817" s="370"/>
    </row>
    <row r="818" hidden="1">
      <c r="A818" s="280"/>
      <c r="B818" s="280"/>
      <c r="C818" s="617"/>
      <c r="D818" s="1166"/>
      <c r="E818" s="1166"/>
      <c r="F818" s="1166"/>
      <c r="G818" s="1166"/>
      <c r="H818" s="1166"/>
      <c r="I818" s="1167"/>
      <c r="J818" s="1166"/>
      <c r="K818" s="1167"/>
      <c r="L818" s="1166"/>
      <c r="M818" s="1166"/>
      <c r="N818" s="1166"/>
      <c r="O818" s="280"/>
      <c r="P818" s="1167"/>
      <c r="R818" s="587"/>
      <c r="S818" s="587"/>
      <c r="X818" s="370"/>
      <c r="Y818" s="370"/>
      <c r="Z818" s="370"/>
      <c r="AB818" s="370"/>
      <c r="AC818" s="370"/>
    </row>
    <row r="819" hidden="1">
      <c r="A819" s="280"/>
      <c r="B819" s="280"/>
      <c r="C819" s="617"/>
      <c r="D819" s="1166"/>
      <c r="E819" s="1166"/>
      <c r="F819" s="1166"/>
      <c r="G819" s="1166"/>
      <c r="H819" s="1166"/>
      <c r="I819" s="1167"/>
      <c r="J819" s="1166"/>
      <c r="K819" s="1167"/>
      <c r="L819" s="1166"/>
      <c r="M819" s="1166"/>
      <c r="N819" s="1166"/>
      <c r="O819" s="280"/>
      <c r="P819" s="1167"/>
      <c r="R819" s="587"/>
      <c r="S819" s="587"/>
      <c r="X819" s="370"/>
      <c r="Y819" s="370"/>
      <c r="Z819" s="370"/>
      <c r="AB819" s="370"/>
      <c r="AC819" s="370"/>
    </row>
    <row r="820" hidden="1">
      <c r="A820" s="280"/>
      <c r="B820" s="280"/>
      <c r="C820" s="617"/>
      <c r="D820" s="1166"/>
      <c r="E820" s="1166"/>
      <c r="F820" s="1166"/>
      <c r="G820" s="1166"/>
      <c r="H820" s="1166"/>
      <c r="I820" s="1167"/>
      <c r="J820" s="1166"/>
      <c r="K820" s="1167"/>
      <c r="L820" s="1166"/>
      <c r="M820" s="1166"/>
      <c r="N820" s="1166"/>
      <c r="O820" s="280"/>
      <c r="P820" s="1167"/>
      <c r="R820" s="587"/>
      <c r="S820" s="587"/>
      <c r="X820" s="370"/>
      <c r="Y820" s="370"/>
      <c r="Z820" s="370"/>
      <c r="AB820" s="370"/>
      <c r="AC820" s="370"/>
    </row>
    <row r="821" hidden="1">
      <c r="A821" s="280"/>
      <c r="B821" s="280"/>
      <c r="C821" s="617"/>
      <c r="D821" s="1166"/>
      <c r="E821" s="1166"/>
      <c r="F821" s="1166"/>
      <c r="G821" s="1166"/>
      <c r="H821" s="1166"/>
      <c r="I821" s="1167"/>
      <c r="J821" s="1166"/>
      <c r="K821" s="1167"/>
      <c r="L821" s="1166"/>
      <c r="M821" s="1166"/>
      <c r="N821" s="1166"/>
      <c r="O821" s="280"/>
      <c r="P821" s="1167"/>
      <c r="R821" s="587"/>
      <c r="S821" s="587"/>
      <c r="X821" s="370"/>
      <c r="Y821" s="370"/>
      <c r="Z821" s="370"/>
      <c r="AB821" s="370"/>
      <c r="AC821" s="370"/>
    </row>
    <row r="822" hidden="1">
      <c r="A822" s="280"/>
      <c r="B822" s="280"/>
      <c r="C822" s="617"/>
      <c r="D822" s="1166"/>
      <c r="E822" s="1166"/>
      <c r="F822" s="1166"/>
      <c r="G822" s="1166"/>
      <c r="H822" s="1166"/>
      <c r="I822" s="1167"/>
      <c r="J822" s="1166"/>
      <c r="K822" s="1167"/>
      <c r="L822" s="1166"/>
      <c r="M822" s="1166"/>
      <c r="N822" s="1166"/>
      <c r="O822" s="280"/>
      <c r="P822" s="1167"/>
      <c r="R822" s="587"/>
      <c r="S822" s="587"/>
      <c r="X822" s="370"/>
      <c r="Y822" s="370"/>
      <c r="Z822" s="370"/>
      <c r="AB822" s="370"/>
      <c r="AC822" s="370"/>
    </row>
    <row r="823" hidden="1">
      <c r="A823" s="280"/>
      <c r="B823" s="280"/>
      <c r="C823" s="617"/>
      <c r="D823" s="1166"/>
      <c r="E823" s="1166"/>
      <c r="F823" s="1166"/>
      <c r="G823" s="1166"/>
      <c r="H823" s="1166"/>
      <c r="I823" s="1167"/>
      <c r="J823" s="1166"/>
      <c r="K823" s="1167"/>
      <c r="L823" s="1166"/>
      <c r="M823" s="1166"/>
      <c r="N823" s="1166"/>
      <c r="O823" s="280"/>
      <c r="P823" s="1167"/>
      <c r="R823" s="587"/>
      <c r="S823" s="587"/>
      <c r="X823" s="370"/>
      <c r="Y823" s="370"/>
      <c r="Z823" s="370"/>
      <c r="AB823" s="370"/>
      <c r="AC823" s="370"/>
    </row>
    <row r="824" hidden="1">
      <c r="A824" s="280"/>
      <c r="B824" s="280"/>
      <c r="C824" s="617"/>
      <c r="D824" s="1166"/>
      <c r="E824" s="1166"/>
      <c r="F824" s="1166"/>
      <c r="G824" s="1166"/>
      <c r="H824" s="1166"/>
      <c r="I824" s="1167"/>
      <c r="J824" s="1166"/>
      <c r="K824" s="1167"/>
      <c r="L824" s="1166"/>
      <c r="M824" s="1166"/>
      <c r="N824" s="1166"/>
      <c r="O824" s="280"/>
      <c r="P824" s="1167"/>
      <c r="R824" s="587"/>
      <c r="S824" s="587"/>
      <c r="X824" s="370"/>
      <c r="Y824" s="370"/>
      <c r="Z824" s="370"/>
      <c r="AB824" s="370"/>
      <c r="AC824" s="370"/>
    </row>
    <row r="825" hidden="1">
      <c r="A825" s="280"/>
      <c r="B825" s="280"/>
      <c r="C825" s="617"/>
      <c r="D825" s="1166"/>
      <c r="E825" s="1166"/>
      <c r="F825" s="1166"/>
      <c r="G825" s="1166"/>
      <c r="H825" s="1166"/>
      <c r="I825" s="1167"/>
      <c r="J825" s="1166"/>
      <c r="K825" s="1167"/>
      <c r="L825" s="1166"/>
      <c r="M825" s="1166"/>
      <c r="N825" s="1166"/>
      <c r="O825" s="280"/>
      <c r="P825" s="1167"/>
      <c r="R825" s="587"/>
      <c r="S825" s="587"/>
      <c r="X825" s="370"/>
      <c r="Y825" s="370"/>
      <c r="Z825" s="370"/>
      <c r="AB825" s="370"/>
      <c r="AC825" s="370"/>
    </row>
    <row r="826" hidden="1">
      <c r="A826" s="280"/>
      <c r="B826" s="280"/>
      <c r="C826" s="617"/>
      <c r="D826" s="1166"/>
      <c r="E826" s="1166"/>
      <c r="F826" s="1166"/>
      <c r="G826" s="1166"/>
      <c r="H826" s="1166"/>
      <c r="I826" s="1167"/>
      <c r="J826" s="1166"/>
      <c r="K826" s="1167"/>
      <c r="L826" s="1166"/>
      <c r="M826" s="1166"/>
      <c r="N826" s="1166"/>
      <c r="O826" s="280"/>
      <c r="P826" s="1167"/>
      <c r="R826" s="587"/>
      <c r="S826" s="587"/>
      <c r="X826" s="370"/>
      <c r="Y826" s="370"/>
      <c r="Z826" s="370"/>
      <c r="AB826" s="370"/>
      <c r="AC826" s="370"/>
    </row>
    <row r="827" hidden="1">
      <c r="A827" s="280"/>
      <c r="B827" s="280"/>
      <c r="C827" s="617"/>
      <c r="D827" s="1166"/>
      <c r="E827" s="1166"/>
      <c r="F827" s="1166"/>
      <c r="G827" s="1166"/>
      <c r="H827" s="1166"/>
      <c r="I827" s="1167"/>
      <c r="J827" s="1166"/>
      <c r="K827" s="1167"/>
      <c r="L827" s="1166"/>
      <c r="M827" s="1166"/>
      <c r="N827" s="1166"/>
      <c r="O827" s="280"/>
      <c r="P827" s="1167"/>
      <c r="R827" s="587"/>
      <c r="S827" s="587"/>
      <c r="X827" s="370"/>
      <c r="Y827" s="370"/>
      <c r="Z827" s="370"/>
      <c r="AB827" s="370"/>
      <c r="AC827" s="370"/>
    </row>
    <row r="828" hidden="1">
      <c r="A828" s="280"/>
      <c r="B828" s="280"/>
      <c r="C828" s="617"/>
      <c r="D828" s="1166"/>
      <c r="E828" s="1166"/>
      <c r="F828" s="1166"/>
      <c r="G828" s="1166"/>
      <c r="H828" s="1166"/>
      <c r="I828" s="1167"/>
      <c r="J828" s="1166"/>
      <c r="K828" s="1167"/>
      <c r="L828" s="1166"/>
      <c r="M828" s="1166"/>
      <c r="N828" s="1166"/>
      <c r="O828" s="280"/>
      <c r="P828" s="1167"/>
      <c r="R828" s="587"/>
      <c r="S828" s="587"/>
      <c r="X828" s="370"/>
      <c r="Y828" s="370"/>
      <c r="Z828" s="370"/>
      <c r="AB828" s="370"/>
      <c r="AC828" s="370"/>
    </row>
    <row r="829" hidden="1">
      <c r="A829" s="280"/>
      <c r="B829" s="280"/>
      <c r="C829" s="617"/>
      <c r="D829" s="1166"/>
      <c r="E829" s="1166"/>
      <c r="F829" s="1166"/>
      <c r="G829" s="1166"/>
      <c r="H829" s="1166"/>
      <c r="I829" s="1167"/>
      <c r="J829" s="1166"/>
      <c r="K829" s="1167"/>
      <c r="L829" s="1166"/>
      <c r="M829" s="1166"/>
      <c r="N829" s="1166"/>
      <c r="O829" s="280"/>
      <c r="P829" s="1167"/>
      <c r="R829" s="587"/>
      <c r="S829" s="587"/>
      <c r="X829" s="370"/>
      <c r="Y829" s="370"/>
      <c r="Z829" s="370"/>
      <c r="AB829" s="370"/>
      <c r="AC829" s="370"/>
    </row>
    <row r="830" hidden="1">
      <c r="A830" s="280"/>
      <c r="B830" s="280"/>
      <c r="C830" s="617"/>
      <c r="D830" s="1166"/>
      <c r="E830" s="1166"/>
      <c r="F830" s="1166"/>
      <c r="G830" s="1166"/>
      <c r="H830" s="1166"/>
      <c r="I830" s="1167"/>
      <c r="J830" s="1166"/>
      <c r="K830" s="1167"/>
      <c r="L830" s="1166"/>
      <c r="M830" s="1166"/>
      <c r="N830" s="1166"/>
      <c r="O830" s="280"/>
      <c r="P830" s="1167"/>
      <c r="R830" s="587"/>
      <c r="S830" s="587"/>
      <c r="X830" s="370"/>
      <c r="Y830" s="370"/>
      <c r="Z830" s="370"/>
      <c r="AB830" s="370"/>
      <c r="AC830" s="370"/>
    </row>
    <row r="831" hidden="1">
      <c r="A831" s="280"/>
      <c r="B831" s="280"/>
      <c r="C831" s="617"/>
      <c r="D831" s="1166"/>
      <c r="E831" s="1166"/>
      <c r="F831" s="1166"/>
      <c r="G831" s="1166"/>
      <c r="H831" s="1166"/>
      <c r="I831" s="1167"/>
      <c r="J831" s="1166"/>
      <c r="K831" s="1167"/>
      <c r="L831" s="1166"/>
      <c r="M831" s="1166"/>
      <c r="N831" s="1166"/>
      <c r="O831" s="280"/>
      <c r="P831" s="1167"/>
      <c r="R831" s="587"/>
      <c r="S831" s="587"/>
      <c r="X831" s="370"/>
      <c r="Y831" s="370"/>
      <c r="Z831" s="370"/>
      <c r="AB831" s="370"/>
      <c r="AC831" s="370"/>
    </row>
    <row r="832" hidden="1">
      <c r="A832" s="280"/>
      <c r="B832" s="280"/>
      <c r="C832" s="617"/>
      <c r="D832" s="1166"/>
      <c r="E832" s="1166"/>
      <c r="F832" s="1166"/>
      <c r="G832" s="1166"/>
      <c r="H832" s="1166"/>
      <c r="I832" s="1167"/>
      <c r="J832" s="1166"/>
      <c r="K832" s="1167"/>
      <c r="L832" s="1166"/>
      <c r="M832" s="1166"/>
      <c r="N832" s="1166"/>
      <c r="O832" s="280"/>
      <c r="P832" s="1167"/>
      <c r="R832" s="587"/>
      <c r="S832" s="587"/>
      <c r="X832" s="370"/>
      <c r="Y832" s="370"/>
      <c r="Z832" s="370"/>
      <c r="AB832" s="370"/>
      <c r="AC832" s="370"/>
    </row>
    <row r="833" hidden="1">
      <c r="A833" s="280"/>
      <c r="B833" s="280"/>
      <c r="C833" s="617"/>
      <c r="D833" s="1166"/>
      <c r="E833" s="1166"/>
      <c r="F833" s="1166"/>
      <c r="G833" s="1166"/>
      <c r="H833" s="1166"/>
      <c r="I833" s="1167"/>
      <c r="J833" s="1166"/>
      <c r="K833" s="1167"/>
      <c r="L833" s="1166"/>
      <c r="M833" s="1166"/>
      <c r="N833" s="1166"/>
      <c r="O833" s="280"/>
      <c r="P833" s="1167"/>
      <c r="R833" s="587"/>
      <c r="S833" s="587"/>
      <c r="X833" s="370"/>
      <c r="Y833" s="370"/>
      <c r="Z833" s="370"/>
      <c r="AB833" s="370"/>
      <c r="AC833" s="370"/>
    </row>
    <row r="834" hidden="1">
      <c r="A834" s="280"/>
      <c r="B834" s="280"/>
      <c r="C834" s="617"/>
      <c r="D834" s="1166"/>
      <c r="E834" s="1166"/>
      <c r="F834" s="1166"/>
      <c r="G834" s="1166"/>
      <c r="H834" s="1166"/>
      <c r="I834" s="1167"/>
      <c r="J834" s="1166"/>
      <c r="K834" s="1167"/>
      <c r="L834" s="1166"/>
      <c r="M834" s="1166"/>
      <c r="N834" s="1166"/>
      <c r="O834" s="280"/>
      <c r="P834" s="1167"/>
      <c r="R834" s="587"/>
      <c r="S834" s="587"/>
      <c r="X834" s="370"/>
      <c r="Y834" s="370"/>
      <c r="Z834" s="370"/>
      <c r="AB834" s="370"/>
      <c r="AC834" s="370"/>
    </row>
    <row r="835" hidden="1">
      <c r="A835" s="280"/>
      <c r="B835" s="280"/>
      <c r="C835" s="617"/>
      <c r="D835" s="1166"/>
      <c r="E835" s="1166"/>
      <c r="F835" s="1166"/>
      <c r="G835" s="1166"/>
      <c r="H835" s="1166"/>
      <c r="I835" s="1167"/>
      <c r="J835" s="1166"/>
      <c r="K835" s="1167"/>
      <c r="L835" s="1166"/>
      <c r="M835" s="1166"/>
      <c r="N835" s="1166"/>
      <c r="O835" s="280"/>
      <c r="P835" s="1167"/>
      <c r="R835" s="587"/>
      <c r="S835" s="587"/>
      <c r="X835" s="370"/>
      <c r="Y835" s="370"/>
      <c r="Z835" s="370"/>
      <c r="AB835" s="370"/>
      <c r="AC835" s="370"/>
    </row>
    <row r="836" hidden="1">
      <c r="A836" s="280"/>
      <c r="B836" s="280"/>
      <c r="C836" s="617"/>
      <c r="D836" s="1166"/>
      <c r="E836" s="1166"/>
      <c r="F836" s="1166"/>
      <c r="G836" s="1166"/>
      <c r="H836" s="1166"/>
      <c r="I836" s="1167"/>
      <c r="J836" s="1166"/>
      <c r="K836" s="1167"/>
      <c r="L836" s="1166"/>
      <c r="M836" s="1166"/>
      <c r="N836" s="1166"/>
      <c r="O836" s="280"/>
      <c r="P836" s="1167"/>
      <c r="R836" s="587"/>
      <c r="S836" s="587"/>
      <c r="X836" s="370"/>
      <c r="Y836" s="370"/>
      <c r="Z836" s="370"/>
      <c r="AB836" s="370"/>
      <c r="AC836" s="370"/>
    </row>
    <row r="837" hidden="1">
      <c r="A837" s="280"/>
      <c r="B837" s="280"/>
      <c r="C837" s="617"/>
      <c r="D837" s="1166"/>
      <c r="E837" s="1166"/>
      <c r="F837" s="1166"/>
      <c r="G837" s="1166"/>
      <c r="H837" s="1166"/>
      <c r="I837" s="1167"/>
      <c r="J837" s="1166"/>
      <c r="K837" s="1167"/>
      <c r="L837" s="1166"/>
      <c r="M837" s="1166"/>
      <c r="N837" s="1166"/>
      <c r="O837" s="280"/>
      <c r="P837" s="1167"/>
      <c r="R837" s="587"/>
      <c r="S837" s="587"/>
      <c r="X837" s="370"/>
      <c r="Y837" s="370"/>
      <c r="Z837" s="370"/>
      <c r="AB837" s="370"/>
      <c r="AC837" s="370"/>
    </row>
    <row r="838" hidden="1">
      <c r="A838" s="280"/>
      <c r="B838" s="280"/>
      <c r="C838" s="617"/>
      <c r="D838" s="1166"/>
      <c r="E838" s="1166"/>
      <c r="F838" s="1166"/>
      <c r="G838" s="1166"/>
      <c r="H838" s="1166"/>
      <c r="I838" s="1167"/>
      <c r="J838" s="1166"/>
      <c r="K838" s="1167"/>
      <c r="L838" s="1166"/>
      <c r="M838" s="1166"/>
      <c r="N838" s="1166"/>
      <c r="O838" s="280"/>
      <c r="P838" s="1167"/>
      <c r="R838" s="587"/>
      <c r="S838" s="587"/>
      <c r="X838" s="370"/>
      <c r="Y838" s="370"/>
      <c r="Z838" s="370"/>
      <c r="AB838" s="370"/>
      <c r="AC838" s="370"/>
    </row>
    <row r="839" hidden="1">
      <c r="A839" s="280"/>
      <c r="B839" s="280"/>
      <c r="C839" s="617"/>
      <c r="D839" s="1166"/>
      <c r="E839" s="1166"/>
      <c r="F839" s="1166"/>
      <c r="G839" s="1166"/>
      <c r="H839" s="1166"/>
      <c r="I839" s="1167"/>
      <c r="J839" s="1166"/>
      <c r="K839" s="1167"/>
      <c r="L839" s="1166"/>
      <c r="M839" s="1166"/>
      <c r="N839" s="1166"/>
      <c r="O839" s="280"/>
      <c r="P839" s="1167"/>
      <c r="R839" s="587"/>
      <c r="S839" s="587"/>
      <c r="X839" s="370"/>
      <c r="Y839" s="370"/>
      <c r="Z839" s="370"/>
      <c r="AB839" s="370"/>
      <c r="AC839" s="370"/>
    </row>
    <row r="840" hidden="1">
      <c r="A840" s="280"/>
      <c r="B840" s="280"/>
      <c r="C840" s="617"/>
      <c r="D840" s="1166"/>
      <c r="E840" s="1166"/>
      <c r="F840" s="1166"/>
      <c r="G840" s="1166"/>
      <c r="H840" s="1166"/>
      <c r="I840" s="1167"/>
      <c r="J840" s="1166"/>
      <c r="K840" s="1167"/>
      <c r="L840" s="1166"/>
      <c r="M840" s="1166"/>
      <c r="N840" s="1166"/>
      <c r="O840" s="280"/>
      <c r="P840" s="1167"/>
      <c r="R840" s="587"/>
      <c r="S840" s="587"/>
      <c r="X840" s="370"/>
      <c r="Y840" s="370"/>
      <c r="Z840" s="370"/>
      <c r="AB840" s="370"/>
      <c r="AC840" s="370"/>
    </row>
    <row r="841" hidden="1">
      <c r="A841" s="280"/>
      <c r="B841" s="280"/>
      <c r="C841" s="617"/>
      <c r="D841" s="1166"/>
      <c r="E841" s="1166"/>
      <c r="F841" s="1166"/>
      <c r="G841" s="1166"/>
      <c r="H841" s="1166"/>
      <c r="I841" s="1167"/>
      <c r="J841" s="1166"/>
      <c r="K841" s="1167"/>
      <c r="L841" s="1166"/>
      <c r="M841" s="1166"/>
      <c r="N841" s="1166"/>
      <c r="O841" s="280"/>
      <c r="P841" s="1167"/>
      <c r="R841" s="587"/>
      <c r="S841" s="587"/>
      <c r="X841" s="370"/>
      <c r="Y841" s="370"/>
      <c r="Z841" s="370"/>
      <c r="AB841" s="370"/>
      <c r="AC841" s="370"/>
    </row>
    <row r="842" hidden="1">
      <c r="A842" s="280"/>
      <c r="B842" s="280"/>
      <c r="C842" s="617"/>
      <c r="D842" s="1166"/>
      <c r="E842" s="1166"/>
      <c r="F842" s="1166"/>
      <c r="G842" s="1166"/>
      <c r="H842" s="1166"/>
      <c r="I842" s="1167"/>
      <c r="J842" s="1166"/>
      <c r="K842" s="1167"/>
      <c r="L842" s="1166"/>
      <c r="M842" s="1166"/>
      <c r="N842" s="1166"/>
      <c r="O842" s="280"/>
      <c r="P842" s="1167"/>
      <c r="R842" s="587"/>
      <c r="S842" s="587"/>
      <c r="X842" s="370"/>
      <c r="Y842" s="370"/>
      <c r="Z842" s="370"/>
      <c r="AB842" s="370"/>
      <c r="AC842" s="370"/>
    </row>
    <row r="843" hidden="1">
      <c r="A843" s="280"/>
      <c r="B843" s="280"/>
      <c r="C843" s="617"/>
      <c r="D843" s="1166"/>
      <c r="E843" s="1166"/>
      <c r="F843" s="1166"/>
      <c r="G843" s="1166"/>
      <c r="H843" s="1166"/>
      <c r="I843" s="1167"/>
      <c r="J843" s="1166"/>
      <c r="K843" s="1167"/>
      <c r="L843" s="1166"/>
      <c r="M843" s="1166"/>
      <c r="N843" s="1166"/>
      <c r="O843" s="280"/>
      <c r="P843" s="1167"/>
      <c r="R843" s="587"/>
      <c r="S843" s="587"/>
      <c r="X843" s="370"/>
      <c r="Y843" s="370"/>
      <c r="Z843" s="370"/>
      <c r="AB843" s="370"/>
      <c r="AC843" s="370"/>
    </row>
    <row r="844" hidden="1">
      <c r="A844" s="280"/>
      <c r="B844" s="280"/>
      <c r="C844" s="617"/>
      <c r="D844" s="1166"/>
      <c r="E844" s="1166"/>
      <c r="F844" s="1166"/>
      <c r="G844" s="1166"/>
      <c r="H844" s="1166"/>
      <c r="I844" s="1167"/>
      <c r="J844" s="1166"/>
      <c r="K844" s="1167"/>
      <c r="L844" s="1166"/>
      <c r="M844" s="1166"/>
      <c r="N844" s="1166"/>
      <c r="O844" s="280"/>
      <c r="P844" s="1167"/>
      <c r="R844" s="587"/>
      <c r="S844" s="587"/>
      <c r="X844" s="370"/>
      <c r="Y844" s="370"/>
      <c r="Z844" s="370"/>
      <c r="AB844" s="370"/>
      <c r="AC844" s="370"/>
    </row>
    <row r="845" hidden="1">
      <c r="A845" s="280"/>
      <c r="B845" s="280"/>
      <c r="C845" s="617"/>
      <c r="D845" s="1166"/>
      <c r="E845" s="1166"/>
      <c r="F845" s="1166"/>
      <c r="G845" s="1166"/>
      <c r="H845" s="1166"/>
      <c r="I845" s="1167"/>
      <c r="J845" s="1166"/>
      <c r="K845" s="1167"/>
      <c r="L845" s="1166"/>
      <c r="M845" s="1166"/>
      <c r="N845" s="1166"/>
      <c r="O845" s="280"/>
      <c r="P845" s="1167"/>
      <c r="R845" s="587"/>
      <c r="S845" s="587"/>
      <c r="X845" s="370"/>
      <c r="Y845" s="370"/>
      <c r="Z845" s="370"/>
      <c r="AB845" s="370"/>
      <c r="AC845" s="370"/>
    </row>
    <row r="846" hidden="1">
      <c r="A846" s="280"/>
      <c r="B846" s="280"/>
      <c r="C846" s="617"/>
      <c r="D846" s="1166"/>
      <c r="E846" s="1166"/>
      <c r="F846" s="1166"/>
      <c r="G846" s="1166"/>
      <c r="H846" s="1166"/>
      <c r="I846" s="1167"/>
      <c r="J846" s="1166"/>
      <c r="K846" s="1167"/>
      <c r="L846" s="1166"/>
      <c r="M846" s="1166"/>
      <c r="N846" s="1166"/>
      <c r="O846" s="280"/>
      <c r="P846" s="1167"/>
      <c r="R846" s="587"/>
      <c r="S846" s="587"/>
      <c r="X846" s="370"/>
      <c r="Y846" s="370"/>
      <c r="Z846" s="370"/>
      <c r="AB846" s="370"/>
      <c r="AC846" s="370"/>
    </row>
    <row r="847" hidden="1">
      <c r="A847" s="280"/>
      <c r="B847" s="280"/>
      <c r="C847" s="617"/>
      <c r="D847" s="1166"/>
      <c r="E847" s="1166"/>
      <c r="F847" s="1166"/>
      <c r="G847" s="1166"/>
      <c r="H847" s="1166"/>
      <c r="I847" s="1167"/>
      <c r="J847" s="1166"/>
      <c r="K847" s="1167"/>
      <c r="L847" s="1166"/>
      <c r="M847" s="1166"/>
      <c r="N847" s="1166"/>
      <c r="O847" s="280"/>
      <c r="P847" s="1167"/>
      <c r="R847" s="587"/>
      <c r="S847" s="587"/>
      <c r="X847" s="370"/>
      <c r="Y847" s="370"/>
      <c r="Z847" s="370"/>
      <c r="AB847" s="370"/>
      <c r="AC847" s="370"/>
    </row>
    <row r="848" hidden="1">
      <c r="A848" s="280"/>
      <c r="B848" s="280"/>
      <c r="C848" s="617"/>
      <c r="D848" s="1166"/>
      <c r="E848" s="1166"/>
      <c r="F848" s="1166"/>
      <c r="G848" s="1166"/>
      <c r="H848" s="1166"/>
      <c r="I848" s="1167"/>
      <c r="J848" s="1166"/>
      <c r="K848" s="1167"/>
      <c r="L848" s="1166"/>
      <c r="M848" s="1166"/>
      <c r="N848" s="1166"/>
      <c r="O848" s="280"/>
      <c r="P848" s="1167"/>
      <c r="R848" s="587"/>
      <c r="S848" s="587"/>
      <c r="X848" s="370"/>
      <c r="Y848" s="370"/>
      <c r="Z848" s="370"/>
      <c r="AB848" s="370"/>
      <c r="AC848" s="370"/>
    </row>
    <row r="849" hidden="1">
      <c r="A849" s="280"/>
      <c r="B849" s="280"/>
      <c r="C849" s="617"/>
      <c r="D849" s="1166"/>
      <c r="E849" s="1166"/>
      <c r="F849" s="1166"/>
      <c r="G849" s="1166"/>
      <c r="H849" s="1166"/>
      <c r="I849" s="1167"/>
      <c r="J849" s="1166"/>
      <c r="K849" s="1167"/>
      <c r="L849" s="1166"/>
      <c r="M849" s="1166"/>
      <c r="N849" s="1166"/>
      <c r="O849" s="280"/>
      <c r="P849" s="1167"/>
      <c r="R849" s="587"/>
      <c r="S849" s="587"/>
      <c r="X849" s="370"/>
      <c r="Y849" s="370"/>
      <c r="Z849" s="370"/>
      <c r="AB849" s="370"/>
      <c r="AC849" s="370"/>
    </row>
    <row r="850" hidden="1">
      <c r="A850" s="280"/>
      <c r="B850" s="280"/>
      <c r="C850" s="617"/>
      <c r="D850" s="1166"/>
      <c r="E850" s="1166"/>
      <c r="F850" s="1166"/>
      <c r="G850" s="1166"/>
      <c r="H850" s="1166"/>
      <c r="I850" s="1167"/>
      <c r="J850" s="1166"/>
      <c r="K850" s="1167"/>
      <c r="L850" s="1166"/>
      <c r="M850" s="1166"/>
      <c r="N850" s="1166"/>
      <c r="O850" s="280"/>
      <c r="P850" s="1167"/>
      <c r="R850" s="587"/>
      <c r="S850" s="587"/>
      <c r="X850" s="370"/>
      <c r="Y850" s="370"/>
      <c r="Z850" s="370"/>
      <c r="AB850" s="370"/>
      <c r="AC850" s="370"/>
    </row>
    <row r="851" hidden="1">
      <c r="A851" s="280"/>
      <c r="B851" s="280"/>
      <c r="C851" s="617"/>
      <c r="D851" s="1166"/>
      <c r="E851" s="1166"/>
      <c r="F851" s="1166"/>
      <c r="G851" s="1166"/>
      <c r="H851" s="1166"/>
      <c r="I851" s="1167"/>
      <c r="J851" s="1166"/>
      <c r="K851" s="1167"/>
      <c r="L851" s="1166"/>
      <c r="M851" s="1166"/>
      <c r="N851" s="1166"/>
      <c r="O851" s="280"/>
      <c r="P851" s="1167"/>
      <c r="R851" s="587"/>
      <c r="S851" s="587"/>
      <c r="X851" s="370"/>
      <c r="Y851" s="370"/>
      <c r="Z851" s="370"/>
      <c r="AB851" s="370"/>
      <c r="AC851" s="370"/>
    </row>
    <row r="852" hidden="1">
      <c r="A852" s="280"/>
      <c r="B852" s="280"/>
      <c r="C852" s="617"/>
      <c r="D852" s="1166"/>
      <c r="E852" s="1166"/>
      <c r="F852" s="1166"/>
      <c r="G852" s="1166"/>
      <c r="H852" s="1166"/>
      <c r="I852" s="1167"/>
      <c r="J852" s="1166"/>
      <c r="K852" s="1167"/>
      <c r="L852" s="1166"/>
      <c r="M852" s="1166"/>
      <c r="N852" s="1166"/>
      <c r="O852" s="280"/>
      <c r="P852" s="1167"/>
      <c r="R852" s="587"/>
      <c r="S852" s="587"/>
      <c r="X852" s="370"/>
      <c r="Y852" s="370"/>
      <c r="Z852" s="370"/>
      <c r="AB852" s="370"/>
      <c r="AC852" s="370"/>
    </row>
    <row r="853" hidden="1">
      <c r="A853" s="280"/>
      <c r="B853" s="280"/>
      <c r="C853" s="617"/>
      <c r="D853" s="1166"/>
      <c r="E853" s="1166"/>
      <c r="F853" s="1166"/>
      <c r="G853" s="1166"/>
      <c r="H853" s="1166"/>
      <c r="I853" s="1167"/>
      <c r="J853" s="1166"/>
      <c r="K853" s="1167"/>
      <c r="L853" s="1166"/>
      <c r="M853" s="1166"/>
      <c r="N853" s="1166"/>
      <c r="O853" s="280"/>
      <c r="P853" s="1167"/>
      <c r="R853" s="587"/>
      <c r="S853" s="587"/>
      <c r="X853" s="370"/>
      <c r="Y853" s="370"/>
      <c r="Z853" s="370"/>
      <c r="AB853" s="370"/>
      <c r="AC853" s="370"/>
    </row>
    <row r="854" hidden="1">
      <c r="A854" s="280"/>
      <c r="B854" s="280"/>
      <c r="C854" s="617"/>
      <c r="D854" s="1166"/>
      <c r="E854" s="1166"/>
      <c r="F854" s="1166"/>
      <c r="G854" s="1166"/>
      <c r="H854" s="1166"/>
      <c r="I854" s="1167"/>
      <c r="J854" s="1166"/>
      <c r="K854" s="1167"/>
      <c r="L854" s="1166"/>
      <c r="M854" s="1166"/>
      <c r="N854" s="1166"/>
      <c r="O854" s="280"/>
      <c r="P854" s="1167"/>
      <c r="R854" s="587"/>
      <c r="S854" s="587"/>
      <c r="X854" s="370"/>
      <c r="Y854" s="370"/>
      <c r="Z854" s="370"/>
      <c r="AB854" s="370"/>
      <c r="AC854" s="370"/>
    </row>
    <row r="855" hidden="1">
      <c r="A855" s="280"/>
      <c r="B855" s="280"/>
      <c r="C855" s="617"/>
      <c r="D855" s="1166"/>
      <c r="E855" s="1166"/>
      <c r="F855" s="1166"/>
      <c r="G855" s="1166"/>
      <c r="H855" s="1166"/>
      <c r="I855" s="1167"/>
      <c r="J855" s="1166"/>
      <c r="K855" s="1167"/>
      <c r="L855" s="1166"/>
      <c r="M855" s="1166"/>
      <c r="N855" s="1166"/>
      <c r="O855" s="280"/>
      <c r="P855" s="1167"/>
      <c r="R855" s="587"/>
      <c r="S855" s="587"/>
      <c r="X855" s="370"/>
      <c r="Y855" s="370"/>
      <c r="Z855" s="370"/>
      <c r="AB855" s="370"/>
      <c r="AC855" s="370"/>
    </row>
    <row r="856" hidden="1">
      <c r="A856" s="280"/>
      <c r="B856" s="280"/>
      <c r="C856" s="617"/>
      <c r="D856" s="1166"/>
      <c r="E856" s="1166"/>
      <c r="F856" s="1166"/>
      <c r="G856" s="1166"/>
      <c r="H856" s="1166"/>
      <c r="I856" s="1167"/>
      <c r="J856" s="1166"/>
      <c r="K856" s="1167"/>
      <c r="L856" s="1166"/>
      <c r="M856" s="1166"/>
      <c r="N856" s="1166"/>
      <c r="O856" s="280"/>
      <c r="P856" s="1167"/>
      <c r="R856" s="587"/>
      <c r="S856" s="587"/>
      <c r="X856" s="370"/>
      <c r="Y856" s="370"/>
      <c r="Z856" s="370"/>
      <c r="AB856" s="370"/>
      <c r="AC856" s="370"/>
    </row>
    <row r="857" hidden="1">
      <c r="A857" s="280"/>
      <c r="B857" s="280"/>
      <c r="C857" s="617"/>
      <c r="D857" s="1166"/>
      <c r="E857" s="1166"/>
      <c r="F857" s="1166"/>
      <c r="G857" s="1166"/>
      <c r="H857" s="1166"/>
      <c r="I857" s="1167"/>
      <c r="J857" s="1166"/>
      <c r="K857" s="1167"/>
      <c r="L857" s="1166"/>
      <c r="M857" s="1166"/>
      <c r="N857" s="1166"/>
      <c r="O857" s="280"/>
      <c r="P857" s="1167"/>
      <c r="R857" s="587"/>
      <c r="S857" s="587"/>
      <c r="X857" s="370"/>
      <c r="Y857" s="370"/>
      <c r="Z857" s="370"/>
      <c r="AB857" s="370"/>
      <c r="AC857" s="370"/>
    </row>
    <row r="858" hidden="1">
      <c r="A858" s="280"/>
      <c r="B858" s="280"/>
      <c r="C858" s="617"/>
      <c r="D858" s="1166"/>
      <c r="E858" s="1166"/>
      <c r="F858" s="1166"/>
      <c r="G858" s="1166"/>
      <c r="H858" s="1166"/>
      <c r="I858" s="1167"/>
      <c r="J858" s="1166"/>
      <c r="K858" s="1167"/>
      <c r="L858" s="1166"/>
      <c r="M858" s="1166"/>
      <c r="N858" s="1166"/>
      <c r="O858" s="280"/>
      <c r="P858" s="1167"/>
      <c r="R858" s="587"/>
      <c r="S858" s="587"/>
      <c r="X858" s="370"/>
      <c r="Y858" s="370"/>
      <c r="Z858" s="370"/>
      <c r="AB858" s="370"/>
      <c r="AC858" s="370"/>
    </row>
    <row r="859" hidden="1">
      <c r="A859" s="280"/>
      <c r="B859" s="280"/>
      <c r="C859" s="617"/>
      <c r="D859" s="1166"/>
      <c r="E859" s="1166"/>
      <c r="F859" s="1166"/>
      <c r="G859" s="1166"/>
      <c r="H859" s="1166"/>
      <c r="I859" s="1167"/>
      <c r="J859" s="1166"/>
      <c r="K859" s="1167"/>
      <c r="L859" s="1166"/>
      <c r="M859" s="1166"/>
      <c r="N859" s="1166"/>
      <c r="O859" s="280"/>
      <c r="P859" s="1167"/>
      <c r="R859" s="587"/>
      <c r="S859" s="587"/>
      <c r="X859" s="370"/>
      <c r="Y859" s="370"/>
      <c r="Z859" s="370"/>
      <c r="AB859" s="370"/>
      <c r="AC859" s="370"/>
    </row>
    <row r="860" hidden="1">
      <c r="A860" s="280"/>
      <c r="B860" s="280"/>
      <c r="C860" s="617"/>
      <c r="D860" s="1166"/>
      <c r="E860" s="1166"/>
      <c r="F860" s="1166"/>
      <c r="G860" s="1166"/>
      <c r="H860" s="1166"/>
      <c r="I860" s="1167"/>
      <c r="J860" s="1166"/>
      <c r="K860" s="1167"/>
      <c r="L860" s="1166"/>
      <c r="M860" s="1166"/>
      <c r="N860" s="1166"/>
      <c r="O860" s="280"/>
      <c r="P860" s="1167"/>
      <c r="R860" s="587"/>
      <c r="S860" s="587"/>
      <c r="X860" s="370"/>
      <c r="Y860" s="370"/>
      <c r="Z860" s="370"/>
      <c r="AB860" s="370"/>
      <c r="AC860" s="370"/>
    </row>
    <row r="861" hidden="1">
      <c r="A861" s="280"/>
      <c r="B861" s="280"/>
      <c r="C861" s="617"/>
      <c r="D861" s="1166"/>
      <c r="E861" s="1166"/>
      <c r="F861" s="1166"/>
      <c r="G861" s="1166"/>
      <c r="H861" s="1166"/>
      <c r="I861" s="1167"/>
      <c r="J861" s="1166"/>
      <c r="K861" s="1167"/>
      <c r="L861" s="1166"/>
      <c r="M861" s="1166"/>
      <c r="N861" s="1166"/>
      <c r="O861" s="280"/>
      <c r="P861" s="1167"/>
      <c r="R861" s="587"/>
      <c r="S861" s="587"/>
      <c r="X861" s="370"/>
      <c r="Y861" s="370"/>
      <c r="Z861" s="370"/>
      <c r="AB861" s="370"/>
      <c r="AC861" s="370"/>
    </row>
    <row r="862" hidden="1">
      <c r="A862" s="280"/>
      <c r="B862" s="280"/>
      <c r="C862" s="617"/>
      <c r="D862" s="1166"/>
      <c r="E862" s="1166"/>
      <c r="F862" s="1166"/>
      <c r="G862" s="1166"/>
      <c r="H862" s="1166"/>
      <c r="I862" s="1167"/>
      <c r="J862" s="1166"/>
      <c r="K862" s="1167"/>
      <c r="L862" s="1166"/>
      <c r="M862" s="1166"/>
      <c r="N862" s="1166"/>
      <c r="O862" s="280"/>
      <c r="P862" s="1167"/>
      <c r="R862" s="587"/>
      <c r="S862" s="587"/>
      <c r="X862" s="370"/>
      <c r="Y862" s="370"/>
      <c r="Z862" s="370"/>
      <c r="AB862" s="370"/>
      <c r="AC862" s="370"/>
    </row>
    <row r="863" hidden="1">
      <c r="A863" s="280"/>
      <c r="B863" s="280"/>
      <c r="C863" s="617"/>
      <c r="D863" s="1166"/>
      <c r="E863" s="1166"/>
      <c r="F863" s="1166"/>
      <c r="G863" s="1166"/>
      <c r="H863" s="1166"/>
      <c r="I863" s="1167"/>
      <c r="J863" s="1166"/>
      <c r="K863" s="1167"/>
      <c r="L863" s="1166"/>
      <c r="M863" s="1166"/>
      <c r="N863" s="1166"/>
      <c r="O863" s="280"/>
      <c r="P863" s="1167"/>
      <c r="R863" s="587"/>
      <c r="S863" s="587"/>
      <c r="X863" s="370"/>
      <c r="Y863" s="370"/>
      <c r="Z863" s="370"/>
      <c r="AB863" s="370"/>
      <c r="AC863" s="370"/>
    </row>
    <row r="864" hidden="1">
      <c r="A864" s="280"/>
      <c r="B864" s="280"/>
      <c r="C864" s="617"/>
      <c r="D864" s="1166"/>
      <c r="E864" s="1166"/>
      <c r="F864" s="1166"/>
      <c r="G864" s="1166"/>
      <c r="H864" s="1166"/>
      <c r="I864" s="1167"/>
      <c r="J864" s="1166"/>
      <c r="K864" s="1167"/>
      <c r="L864" s="1166"/>
      <c r="M864" s="1166"/>
      <c r="N864" s="1166"/>
      <c r="O864" s="280"/>
      <c r="P864" s="1167"/>
      <c r="R864" s="587"/>
      <c r="S864" s="587"/>
      <c r="X864" s="370"/>
      <c r="Y864" s="370"/>
      <c r="Z864" s="370"/>
      <c r="AB864" s="370"/>
      <c r="AC864" s="370"/>
    </row>
    <row r="865" hidden="1">
      <c r="A865" s="280"/>
      <c r="B865" s="280"/>
      <c r="C865" s="617"/>
      <c r="D865" s="1166"/>
      <c r="E865" s="1166"/>
      <c r="F865" s="1166"/>
      <c r="G865" s="1166"/>
      <c r="H865" s="1166"/>
      <c r="I865" s="1167"/>
      <c r="J865" s="1166"/>
      <c r="K865" s="1167"/>
      <c r="L865" s="1166"/>
      <c r="M865" s="1166"/>
      <c r="N865" s="1166"/>
      <c r="O865" s="280"/>
      <c r="P865" s="1167"/>
      <c r="R865" s="587"/>
      <c r="S865" s="587"/>
      <c r="X865" s="370"/>
      <c r="Y865" s="370"/>
      <c r="Z865" s="370"/>
      <c r="AB865" s="370"/>
      <c r="AC865" s="370"/>
    </row>
    <row r="866" hidden="1">
      <c r="A866" s="280"/>
      <c r="B866" s="280"/>
      <c r="C866" s="617"/>
      <c r="D866" s="1166"/>
      <c r="E866" s="1166"/>
      <c r="F866" s="1166"/>
      <c r="G866" s="1166"/>
      <c r="H866" s="1166"/>
      <c r="I866" s="1167"/>
      <c r="J866" s="1166"/>
      <c r="K866" s="1167"/>
      <c r="L866" s="1166"/>
      <c r="M866" s="1166"/>
      <c r="N866" s="1166"/>
      <c r="O866" s="280"/>
      <c r="P866" s="1167"/>
      <c r="R866" s="587"/>
      <c r="S866" s="587"/>
      <c r="X866" s="370"/>
      <c r="Y866" s="370"/>
      <c r="Z866" s="370"/>
      <c r="AB866" s="370"/>
      <c r="AC866" s="370"/>
    </row>
    <row r="867" hidden="1">
      <c r="A867" s="280"/>
      <c r="B867" s="280"/>
      <c r="C867" s="617"/>
      <c r="D867" s="1166"/>
      <c r="E867" s="1166"/>
      <c r="F867" s="1166"/>
      <c r="G867" s="1166"/>
      <c r="H867" s="1166"/>
      <c r="I867" s="1167"/>
      <c r="J867" s="1166"/>
      <c r="K867" s="1167"/>
      <c r="L867" s="1166"/>
      <c r="M867" s="1166"/>
      <c r="N867" s="1166"/>
      <c r="O867" s="280"/>
      <c r="P867" s="1167"/>
      <c r="R867" s="587"/>
      <c r="S867" s="587"/>
      <c r="X867" s="370"/>
      <c r="Y867" s="370"/>
      <c r="Z867" s="370"/>
      <c r="AB867" s="370"/>
      <c r="AC867" s="370"/>
    </row>
    <row r="868" hidden="1">
      <c r="A868" s="280"/>
      <c r="B868" s="280"/>
      <c r="C868" s="617"/>
      <c r="D868" s="1166"/>
      <c r="E868" s="1166"/>
      <c r="F868" s="1166"/>
      <c r="G868" s="1166"/>
      <c r="H868" s="1166"/>
      <c r="I868" s="1167"/>
      <c r="J868" s="1166"/>
      <c r="K868" s="1167"/>
      <c r="L868" s="1166"/>
      <c r="M868" s="1166"/>
      <c r="N868" s="1166"/>
      <c r="O868" s="280"/>
      <c r="P868" s="1167"/>
      <c r="R868" s="587"/>
      <c r="S868" s="587"/>
      <c r="X868" s="370"/>
      <c r="Y868" s="370"/>
      <c r="Z868" s="370"/>
      <c r="AB868" s="370"/>
      <c r="AC868" s="370"/>
    </row>
    <row r="869" hidden="1">
      <c r="A869" s="280"/>
      <c r="B869" s="280"/>
      <c r="C869" s="617"/>
      <c r="D869" s="1166"/>
      <c r="E869" s="1166"/>
      <c r="F869" s="1166"/>
      <c r="G869" s="1166"/>
      <c r="H869" s="1166"/>
      <c r="I869" s="1167"/>
      <c r="J869" s="1166"/>
      <c r="K869" s="1167"/>
      <c r="L869" s="1166"/>
      <c r="M869" s="1166"/>
      <c r="N869" s="1166"/>
      <c r="O869" s="280"/>
      <c r="P869" s="1167"/>
      <c r="R869" s="587"/>
      <c r="S869" s="587"/>
      <c r="X869" s="370"/>
      <c r="Y869" s="370"/>
      <c r="Z869" s="370"/>
      <c r="AB869" s="370"/>
      <c r="AC869" s="370"/>
    </row>
    <row r="870" hidden="1">
      <c r="A870" s="280"/>
      <c r="B870" s="280"/>
      <c r="C870" s="617"/>
      <c r="D870" s="1166"/>
      <c r="E870" s="1166"/>
      <c r="F870" s="1166"/>
      <c r="G870" s="1166"/>
      <c r="H870" s="1166"/>
      <c r="I870" s="1167"/>
      <c r="J870" s="1166"/>
      <c r="K870" s="1167"/>
      <c r="L870" s="1166"/>
      <c r="M870" s="1166"/>
      <c r="N870" s="1166"/>
      <c r="O870" s="280"/>
      <c r="P870" s="1167"/>
      <c r="R870" s="587"/>
      <c r="S870" s="587"/>
      <c r="X870" s="370"/>
      <c r="Y870" s="370"/>
      <c r="Z870" s="370"/>
      <c r="AB870" s="370"/>
      <c r="AC870" s="370"/>
    </row>
    <row r="871" hidden="1">
      <c r="A871" s="280"/>
      <c r="B871" s="280"/>
      <c r="C871" s="617"/>
      <c r="D871" s="1166"/>
      <c r="E871" s="1166"/>
      <c r="F871" s="1166"/>
      <c r="G871" s="1166"/>
      <c r="H871" s="1166"/>
      <c r="I871" s="1167"/>
      <c r="J871" s="1166"/>
      <c r="K871" s="1167"/>
      <c r="L871" s="1166"/>
      <c r="M871" s="1166"/>
      <c r="N871" s="1166"/>
      <c r="O871" s="280"/>
      <c r="P871" s="1167"/>
      <c r="R871" s="587"/>
      <c r="S871" s="587"/>
      <c r="X871" s="370"/>
      <c r="Y871" s="370"/>
      <c r="Z871" s="370"/>
      <c r="AB871" s="370"/>
      <c r="AC871" s="370"/>
    </row>
    <row r="872" hidden="1">
      <c r="A872" s="280"/>
      <c r="B872" s="280"/>
      <c r="C872" s="617"/>
      <c r="D872" s="1166"/>
      <c r="E872" s="1166"/>
      <c r="F872" s="1166"/>
      <c r="G872" s="1166"/>
      <c r="H872" s="1166"/>
      <c r="I872" s="1167"/>
      <c r="J872" s="1166"/>
      <c r="K872" s="1167"/>
      <c r="L872" s="1166"/>
      <c r="M872" s="1166"/>
      <c r="N872" s="1166"/>
      <c r="O872" s="280"/>
      <c r="P872" s="1167"/>
      <c r="R872" s="587"/>
      <c r="S872" s="587"/>
      <c r="X872" s="370"/>
      <c r="Y872" s="370"/>
      <c r="Z872" s="370"/>
      <c r="AB872" s="370"/>
      <c r="AC872" s="370"/>
    </row>
    <row r="873" hidden="1">
      <c r="A873" s="280"/>
      <c r="B873" s="280"/>
      <c r="C873" s="617"/>
      <c r="D873" s="1166"/>
      <c r="E873" s="1166"/>
      <c r="F873" s="1166"/>
      <c r="G873" s="1166"/>
      <c r="H873" s="1166"/>
      <c r="I873" s="1167"/>
      <c r="J873" s="1166"/>
      <c r="K873" s="1167"/>
      <c r="L873" s="1166"/>
      <c r="M873" s="1166"/>
      <c r="N873" s="1166"/>
      <c r="O873" s="280"/>
      <c r="P873" s="1167"/>
      <c r="R873" s="587"/>
      <c r="S873" s="587"/>
      <c r="X873" s="370"/>
      <c r="Y873" s="370"/>
      <c r="Z873" s="370"/>
      <c r="AB873" s="370"/>
      <c r="AC873" s="370"/>
    </row>
    <row r="874" hidden="1">
      <c r="A874" s="280"/>
      <c r="B874" s="280"/>
      <c r="C874" s="617"/>
      <c r="D874" s="1166"/>
      <c r="E874" s="1166"/>
      <c r="F874" s="1166"/>
      <c r="G874" s="1166"/>
      <c r="H874" s="1166"/>
      <c r="I874" s="1167"/>
      <c r="J874" s="1166"/>
      <c r="K874" s="1167"/>
      <c r="L874" s="1166"/>
      <c r="M874" s="1166"/>
      <c r="N874" s="1166"/>
      <c r="O874" s="280"/>
      <c r="P874" s="1167"/>
      <c r="R874" s="587"/>
      <c r="S874" s="587"/>
      <c r="X874" s="370"/>
      <c r="Y874" s="370"/>
      <c r="Z874" s="370"/>
      <c r="AB874" s="370"/>
      <c r="AC874" s="370"/>
    </row>
    <row r="875" hidden="1">
      <c r="A875" s="280"/>
      <c r="B875" s="280"/>
      <c r="C875" s="617"/>
      <c r="D875" s="1166"/>
      <c r="E875" s="1166"/>
      <c r="F875" s="1166"/>
      <c r="G875" s="1166"/>
      <c r="H875" s="1166"/>
      <c r="I875" s="1167"/>
      <c r="J875" s="1166"/>
      <c r="K875" s="1167"/>
      <c r="L875" s="1166"/>
      <c r="M875" s="1166"/>
      <c r="N875" s="1166"/>
      <c r="O875" s="280"/>
      <c r="P875" s="1167"/>
      <c r="R875" s="587"/>
      <c r="S875" s="587"/>
      <c r="X875" s="370"/>
      <c r="Y875" s="370"/>
      <c r="Z875" s="370"/>
      <c r="AB875" s="370"/>
      <c r="AC875" s="370"/>
    </row>
    <row r="876" hidden="1">
      <c r="A876" s="280"/>
      <c r="B876" s="280"/>
      <c r="C876" s="617"/>
      <c r="D876" s="1166"/>
      <c r="E876" s="1166"/>
      <c r="F876" s="1166"/>
      <c r="G876" s="1166"/>
      <c r="H876" s="1166"/>
      <c r="I876" s="1167"/>
      <c r="J876" s="1166"/>
      <c r="K876" s="1167"/>
      <c r="L876" s="1166"/>
      <c r="M876" s="1166"/>
      <c r="N876" s="1166"/>
      <c r="O876" s="280"/>
      <c r="P876" s="1167"/>
      <c r="R876" s="587"/>
      <c r="S876" s="587"/>
      <c r="X876" s="370"/>
      <c r="Y876" s="370"/>
      <c r="Z876" s="370"/>
      <c r="AB876" s="370"/>
      <c r="AC876" s="370"/>
    </row>
    <row r="877" hidden="1">
      <c r="A877" s="280"/>
      <c r="B877" s="280"/>
      <c r="C877" s="617"/>
      <c r="D877" s="1166"/>
      <c r="E877" s="1166"/>
      <c r="F877" s="1166"/>
      <c r="G877" s="1166"/>
      <c r="H877" s="1166"/>
      <c r="I877" s="1167"/>
      <c r="J877" s="1166"/>
      <c r="K877" s="1167"/>
      <c r="L877" s="1166"/>
      <c r="M877" s="1166"/>
      <c r="N877" s="1166"/>
      <c r="O877" s="280"/>
      <c r="P877" s="1167"/>
      <c r="R877" s="587"/>
      <c r="S877" s="587"/>
      <c r="X877" s="370"/>
      <c r="Y877" s="370"/>
      <c r="Z877" s="370"/>
      <c r="AB877" s="370"/>
      <c r="AC877" s="370"/>
    </row>
    <row r="878" hidden="1">
      <c r="A878" s="280"/>
      <c r="B878" s="280"/>
      <c r="C878" s="617"/>
      <c r="D878" s="1166"/>
      <c r="E878" s="1166"/>
      <c r="F878" s="1166"/>
      <c r="G878" s="1166"/>
      <c r="H878" s="1166"/>
      <c r="I878" s="1167"/>
      <c r="J878" s="1166"/>
      <c r="K878" s="1167"/>
      <c r="L878" s="1166"/>
      <c r="M878" s="1166"/>
      <c r="N878" s="1166"/>
      <c r="O878" s="280"/>
      <c r="P878" s="1167"/>
      <c r="R878" s="587"/>
      <c r="S878" s="587"/>
      <c r="X878" s="370"/>
      <c r="Y878" s="370"/>
      <c r="Z878" s="370"/>
      <c r="AB878" s="370"/>
      <c r="AC878" s="370"/>
    </row>
    <row r="879" hidden="1">
      <c r="A879" s="280"/>
      <c r="B879" s="280"/>
      <c r="C879" s="617"/>
      <c r="D879" s="1166"/>
      <c r="E879" s="1166"/>
      <c r="F879" s="1166"/>
      <c r="G879" s="1166"/>
      <c r="H879" s="1166"/>
      <c r="I879" s="1167"/>
      <c r="J879" s="1166"/>
      <c r="K879" s="1167"/>
      <c r="L879" s="1166"/>
      <c r="M879" s="1166"/>
      <c r="N879" s="1166"/>
      <c r="O879" s="280"/>
      <c r="P879" s="1167"/>
      <c r="R879" s="587"/>
      <c r="S879" s="587"/>
      <c r="X879" s="370"/>
      <c r="Y879" s="370"/>
      <c r="Z879" s="370"/>
      <c r="AB879" s="370"/>
      <c r="AC879" s="370"/>
    </row>
    <row r="880" hidden="1">
      <c r="A880" s="280"/>
      <c r="B880" s="280"/>
      <c r="C880" s="617"/>
      <c r="D880" s="1166"/>
      <c r="E880" s="1166"/>
      <c r="F880" s="1166"/>
      <c r="G880" s="1166"/>
      <c r="H880" s="1166"/>
      <c r="I880" s="1167"/>
      <c r="J880" s="1166"/>
      <c r="K880" s="1167"/>
      <c r="L880" s="1166"/>
      <c r="M880" s="1166"/>
      <c r="N880" s="1166"/>
      <c r="O880" s="280"/>
      <c r="P880" s="1167"/>
      <c r="R880" s="587"/>
      <c r="S880" s="587"/>
      <c r="X880" s="370"/>
      <c r="Y880" s="370"/>
      <c r="Z880" s="370"/>
      <c r="AB880" s="370"/>
      <c r="AC880" s="370"/>
    </row>
    <row r="881" hidden="1">
      <c r="A881" s="280"/>
      <c r="B881" s="280"/>
      <c r="C881" s="617"/>
      <c r="D881" s="1166"/>
      <c r="E881" s="1166"/>
      <c r="F881" s="1166"/>
      <c r="G881" s="1166"/>
      <c r="H881" s="1166"/>
      <c r="I881" s="1167"/>
      <c r="J881" s="1166"/>
      <c r="K881" s="1167"/>
      <c r="L881" s="1166"/>
      <c r="M881" s="1166"/>
      <c r="N881" s="1166"/>
      <c r="O881" s="280"/>
      <c r="P881" s="1167"/>
      <c r="R881" s="587"/>
      <c r="S881" s="587"/>
      <c r="X881" s="370"/>
      <c r="Y881" s="370"/>
      <c r="Z881" s="370"/>
      <c r="AB881" s="370"/>
      <c r="AC881" s="370"/>
    </row>
    <row r="882" hidden="1">
      <c r="A882" s="280"/>
      <c r="B882" s="280"/>
      <c r="C882" s="617"/>
      <c r="D882" s="1166"/>
      <c r="E882" s="1166"/>
      <c r="F882" s="1166"/>
      <c r="G882" s="1166"/>
      <c r="H882" s="1166"/>
      <c r="I882" s="1167"/>
      <c r="J882" s="1166"/>
      <c r="K882" s="1167"/>
      <c r="L882" s="1166"/>
      <c r="M882" s="1166"/>
      <c r="N882" s="1166"/>
      <c r="O882" s="280"/>
      <c r="P882" s="1167"/>
      <c r="R882" s="587"/>
      <c r="S882" s="587"/>
      <c r="X882" s="370"/>
      <c r="Y882" s="370"/>
      <c r="Z882" s="370"/>
      <c r="AB882" s="370"/>
      <c r="AC882" s="370"/>
    </row>
    <row r="883" hidden="1">
      <c r="A883" s="280"/>
      <c r="B883" s="280"/>
      <c r="C883" s="617"/>
      <c r="D883" s="1166"/>
      <c r="E883" s="1166"/>
      <c r="F883" s="1166"/>
      <c r="G883" s="1166"/>
      <c r="H883" s="1166"/>
      <c r="I883" s="1167"/>
      <c r="J883" s="1166"/>
      <c r="K883" s="1167"/>
      <c r="L883" s="1166"/>
      <c r="M883" s="1166"/>
      <c r="N883" s="1166"/>
      <c r="O883" s="280"/>
      <c r="P883" s="1167"/>
      <c r="R883" s="587"/>
      <c r="S883" s="587"/>
      <c r="X883" s="370"/>
      <c r="Y883" s="370"/>
      <c r="Z883" s="370"/>
      <c r="AB883" s="370"/>
      <c r="AC883" s="370"/>
    </row>
    <row r="884" hidden="1">
      <c r="A884" s="280"/>
      <c r="B884" s="280"/>
      <c r="C884" s="617"/>
      <c r="D884" s="1166"/>
      <c r="E884" s="1166"/>
      <c r="F884" s="1166"/>
      <c r="G884" s="1166"/>
      <c r="H884" s="1166"/>
      <c r="I884" s="1167"/>
      <c r="J884" s="1166"/>
      <c r="K884" s="1167"/>
      <c r="L884" s="1166"/>
      <c r="M884" s="1166"/>
      <c r="N884" s="1166"/>
      <c r="O884" s="280"/>
      <c r="P884" s="1167"/>
      <c r="R884" s="587"/>
      <c r="S884" s="587"/>
      <c r="X884" s="370"/>
      <c r="Y884" s="370"/>
      <c r="Z884" s="370"/>
      <c r="AB884" s="370"/>
      <c r="AC884" s="370"/>
    </row>
    <row r="885" hidden="1">
      <c r="A885" s="280"/>
      <c r="B885" s="280"/>
      <c r="C885" s="617"/>
      <c r="D885" s="1166"/>
      <c r="E885" s="1166"/>
      <c r="F885" s="1166"/>
      <c r="G885" s="1166"/>
      <c r="H885" s="1166"/>
      <c r="I885" s="1167"/>
      <c r="J885" s="1166"/>
      <c r="K885" s="1167"/>
      <c r="L885" s="1166"/>
      <c r="M885" s="1166"/>
      <c r="N885" s="1166"/>
      <c r="O885" s="280"/>
      <c r="P885" s="1167"/>
      <c r="R885" s="587"/>
      <c r="S885" s="587"/>
      <c r="X885" s="370"/>
      <c r="Y885" s="370"/>
      <c r="Z885" s="370"/>
      <c r="AB885" s="370"/>
      <c r="AC885" s="370"/>
    </row>
    <row r="886" hidden="1">
      <c r="A886" s="280"/>
      <c r="B886" s="280"/>
      <c r="C886" s="617"/>
      <c r="D886" s="1166"/>
      <c r="E886" s="1166"/>
      <c r="F886" s="1166"/>
      <c r="G886" s="1166"/>
      <c r="H886" s="1166"/>
      <c r="I886" s="1167"/>
      <c r="J886" s="1166"/>
      <c r="K886" s="1167"/>
      <c r="L886" s="1166"/>
      <c r="M886" s="1166"/>
      <c r="N886" s="1166"/>
      <c r="O886" s="280"/>
      <c r="P886" s="1167"/>
      <c r="R886" s="587"/>
      <c r="S886" s="587"/>
      <c r="X886" s="370"/>
      <c r="Y886" s="370"/>
      <c r="Z886" s="370"/>
      <c r="AB886" s="370"/>
      <c r="AC886" s="370"/>
    </row>
    <row r="887" hidden="1">
      <c r="A887" s="280"/>
      <c r="B887" s="280"/>
      <c r="C887" s="617"/>
      <c r="D887" s="1166"/>
      <c r="E887" s="1166"/>
      <c r="F887" s="1166"/>
      <c r="G887" s="1166"/>
      <c r="H887" s="1166"/>
      <c r="I887" s="1167"/>
      <c r="J887" s="1166"/>
      <c r="K887" s="1167"/>
      <c r="L887" s="1166"/>
      <c r="M887" s="1166"/>
      <c r="N887" s="1166"/>
      <c r="O887" s="280"/>
      <c r="P887" s="1167"/>
      <c r="R887" s="587"/>
      <c r="S887" s="587"/>
      <c r="X887" s="370"/>
      <c r="Y887" s="370"/>
      <c r="Z887" s="370"/>
      <c r="AB887" s="370"/>
      <c r="AC887" s="370"/>
    </row>
    <row r="888" hidden="1">
      <c r="A888" s="280"/>
      <c r="B888" s="280"/>
      <c r="C888" s="617"/>
      <c r="D888" s="1166"/>
      <c r="E888" s="1166"/>
      <c r="F888" s="1166"/>
      <c r="G888" s="1166"/>
      <c r="H888" s="1166"/>
      <c r="I888" s="1167"/>
      <c r="J888" s="1166"/>
      <c r="K888" s="1167"/>
      <c r="L888" s="1166"/>
      <c r="M888" s="1166"/>
      <c r="N888" s="1166"/>
      <c r="O888" s="280"/>
      <c r="P888" s="1167"/>
      <c r="R888" s="587"/>
      <c r="S888" s="587"/>
      <c r="X888" s="370"/>
      <c r="Y888" s="370"/>
      <c r="Z888" s="370"/>
      <c r="AB888" s="370"/>
      <c r="AC888" s="370"/>
    </row>
    <row r="889" hidden="1">
      <c r="A889" s="280"/>
      <c r="B889" s="280"/>
      <c r="C889" s="617"/>
      <c r="D889" s="1166"/>
      <c r="E889" s="1166"/>
      <c r="F889" s="1166"/>
      <c r="G889" s="1166"/>
      <c r="H889" s="1166"/>
      <c r="I889" s="1167"/>
      <c r="J889" s="1166"/>
      <c r="K889" s="1167"/>
      <c r="L889" s="1166"/>
      <c r="M889" s="1166"/>
      <c r="N889" s="1166"/>
      <c r="O889" s="280"/>
      <c r="P889" s="1167"/>
      <c r="R889" s="587"/>
      <c r="S889" s="587"/>
      <c r="X889" s="370"/>
      <c r="Y889" s="370"/>
      <c r="Z889" s="370"/>
      <c r="AB889" s="370"/>
      <c r="AC889" s="370"/>
    </row>
    <row r="890" hidden="1">
      <c r="A890" s="280"/>
      <c r="B890" s="280"/>
      <c r="C890" s="617"/>
      <c r="D890" s="1166"/>
      <c r="E890" s="1166"/>
      <c r="F890" s="1166"/>
      <c r="G890" s="1166"/>
      <c r="H890" s="1166"/>
      <c r="I890" s="1167"/>
      <c r="J890" s="1166"/>
      <c r="K890" s="1167"/>
      <c r="L890" s="1166"/>
      <c r="M890" s="1166"/>
      <c r="N890" s="1166"/>
      <c r="O890" s="280"/>
      <c r="P890" s="1167"/>
      <c r="R890" s="587"/>
      <c r="S890" s="587"/>
      <c r="X890" s="370"/>
      <c r="Y890" s="370"/>
      <c r="Z890" s="370"/>
      <c r="AB890" s="370"/>
      <c r="AC890" s="370"/>
    </row>
    <row r="891" hidden="1">
      <c r="A891" s="280"/>
      <c r="B891" s="280"/>
      <c r="C891" s="617"/>
      <c r="D891" s="1166"/>
      <c r="E891" s="1166"/>
      <c r="F891" s="1166"/>
      <c r="G891" s="1166"/>
      <c r="H891" s="1166"/>
      <c r="I891" s="1167"/>
      <c r="J891" s="1166"/>
      <c r="K891" s="1167"/>
      <c r="L891" s="1166"/>
      <c r="M891" s="1166"/>
      <c r="N891" s="1166"/>
      <c r="O891" s="280"/>
      <c r="P891" s="1167"/>
      <c r="R891" s="587"/>
      <c r="S891" s="587"/>
      <c r="X891" s="370"/>
      <c r="Y891" s="370"/>
      <c r="Z891" s="370"/>
      <c r="AB891" s="370"/>
      <c r="AC891" s="370"/>
    </row>
    <row r="892" hidden="1">
      <c r="A892" s="280"/>
      <c r="B892" s="280"/>
      <c r="C892" s="617"/>
      <c r="D892" s="1166"/>
      <c r="E892" s="1166"/>
      <c r="F892" s="1166"/>
      <c r="G892" s="1166"/>
      <c r="H892" s="1166"/>
      <c r="I892" s="1167"/>
      <c r="J892" s="1166"/>
      <c r="K892" s="1167"/>
      <c r="L892" s="1166"/>
      <c r="M892" s="1166"/>
      <c r="N892" s="1166"/>
      <c r="O892" s="280"/>
      <c r="P892" s="1167"/>
      <c r="R892" s="587"/>
      <c r="S892" s="587"/>
      <c r="X892" s="370"/>
      <c r="Y892" s="370"/>
      <c r="Z892" s="370"/>
      <c r="AB892" s="370"/>
      <c r="AC892" s="370"/>
    </row>
    <row r="893" hidden="1">
      <c r="A893" s="280"/>
      <c r="B893" s="280"/>
      <c r="C893" s="617"/>
      <c r="D893" s="1166"/>
      <c r="E893" s="1166"/>
      <c r="F893" s="1166"/>
      <c r="G893" s="1166"/>
      <c r="H893" s="1166"/>
      <c r="I893" s="1167"/>
      <c r="J893" s="1166"/>
      <c r="K893" s="1167"/>
      <c r="L893" s="1166"/>
      <c r="M893" s="1166"/>
      <c r="N893" s="1166"/>
      <c r="O893" s="280"/>
      <c r="P893" s="1167"/>
      <c r="R893" s="587"/>
      <c r="S893" s="587"/>
      <c r="X893" s="370"/>
      <c r="Y893" s="370"/>
      <c r="Z893" s="370"/>
      <c r="AB893" s="370"/>
      <c r="AC893" s="370"/>
    </row>
    <row r="894" hidden="1">
      <c r="A894" s="280"/>
      <c r="B894" s="280"/>
      <c r="C894" s="617"/>
      <c r="D894" s="1166"/>
      <c r="E894" s="1166"/>
      <c r="F894" s="1166"/>
      <c r="G894" s="1166"/>
      <c r="H894" s="1166"/>
      <c r="I894" s="1167"/>
      <c r="J894" s="1166"/>
      <c r="K894" s="1167"/>
      <c r="L894" s="1166"/>
      <c r="M894" s="1166"/>
      <c r="N894" s="1166"/>
      <c r="O894" s="280"/>
      <c r="P894" s="1167"/>
      <c r="R894" s="587"/>
      <c r="S894" s="587"/>
      <c r="X894" s="370"/>
      <c r="Y894" s="370"/>
      <c r="Z894" s="370"/>
      <c r="AB894" s="370"/>
      <c r="AC894" s="370"/>
    </row>
    <row r="895" hidden="1">
      <c r="A895" s="280"/>
      <c r="B895" s="280"/>
      <c r="C895" s="617"/>
      <c r="D895" s="1166"/>
      <c r="E895" s="1166"/>
      <c r="F895" s="1166"/>
      <c r="G895" s="1166"/>
      <c r="H895" s="1166"/>
      <c r="I895" s="1167"/>
      <c r="J895" s="1166"/>
      <c r="K895" s="1167"/>
      <c r="L895" s="1166"/>
      <c r="M895" s="1166"/>
      <c r="N895" s="1166"/>
      <c r="O895" s="280"/>
      <c r="P895" s="1167"/>
      <c r="R895" s="587"/>
      <c r="S895" s="587"/>
      <c r="X895" s="370"/>
      <c r="Y895" s="370"/>
      <c r="Z895" s="370"/>
      <c r="AB895" s="370"/>
      <c r="AC895" s="370"/>
    </row>
    <row r="896" hidden="1">
      <c r="A896" s="280"/>
      <c r="B896" s="280"/>
      <c r="C896" s="617"/>
      <c r="D896" s="1166"/>
      <c r="E896" s="1166"/>
      <c r="F896" s="1166"/>
      <c r="G896" s="1166"/>
      <c r="H896" s="1166"/>
      <c r="I896" s="1167"/>
      <c r="J896" s="1166"/>
      <c r="K896" s="1167"/>
      <c r="L896" s="1166"/>
      <c r="M896" s="1166"/>
      <c r="N896" s="1166"/>
      <c r="O896" s="280"/>
      <c r="P896" s="1167"/>
      <c r="R896" s="587"/>
      <c r="S896" s="587"/>
      <c r="X896" s="370"/>
      <c r="Y896" s="370"/>
      <c r="Z896" s="370"/>
      <c r="AB896" s="370"/>
      <c r="AC896" s="370"/>
    </row>
    <row r="897" hidden="1">
      <c r="A897" s="280"/>
      <c r="B897" s="280"/>
      <c r="C897" s="617"/>
      <c r="D897" s="1166"/>
      <c r="E897" s="1166"/>
      <c r="F897" s="1166"/>
      <c r="G897" s="1166"/>
      <c r="H897" s="1166"/>
      <c r="I897" s="1167"/>
      <c r="J897" s="1166"/>
      <c r="K897" s="1167"/>
      <c r="L897" s="1166"/>
      <c r="M897" s="1166"/>
      <c r="N897" s="1166"/>
      <c r="O897" s="280"/>
      <c r="P897" s="1167"/>
      <c r="R897" s="587"/>
      <c r="S897" s="587"/>
      <c r="X897" s="370"/>
      <c r="Y897" s="370"/>
      <c r="Z897" s="370"/>
      <c r="AB897" s="370"/>
      <c r="AC897" s="370"/>
    </row>
    <row r="898" hidden="1">
      <c r="A898" s="280"/>
      <c r="B898" s="280"/>
      <c r="C898" s="617"/>
      <c r="D898" s="1166"/>
      <c r="E898" s="1166"/>
      <c r="F898" s="1166"/>
      <c r="G898" s="1166"/>
      <c r="H898" s="1166"/>
      <c r="I898" s="1167"/>
      <c r="J898" s="1166"/>
      <c r="K898" s="1167"/>
      <c r="L898" s="1166"/>
      <c r="M898" s="1166"/>
      <c r="N898" s="1166"/>
      <c r="O898" s="280"/>
      <c r="P898" s="1167"/>
      <c r="R898" s="587"/>
      <c r="S898" s="587"/>
      <c r="X898" s="370"/>
      <c r="Y898" s="370"/>
      <c r="Z898" s="370"/>
      <c r="AB898" s="370"/>
      <c r="AC898" s="370"/>
    </row>
    <row r="899" hidden="1">
      <c r="A899" s="280"/>
      <c r="B899" s="280"/>
      <c r="C899" s="617"/>
      <c r="D899" s="1166"/>
      <c r="E899" s="1166"/>
      <c r="F899" s="1166"/>
      <c r="G899" s="1166"/>
      <c r="H899" s="1166"/>
      <c r="I899" s="1167"/>
      <c r="J899" s="1166"/>
      <c r="K899" s="1167"/>
      <c r="L899" s="1166"/>
      <c r="M899" s="1166"/>
      <c r="N899" s="1166"/>
      <c r="O899" s="280"/>
      <c r="P899" s="1167"/>
      <c r="R899" s="587"/>
      <c r="S899" s="587"/>
      <c r="X899" s="370"/>
      <c r="Y899" s="370"/>
      <c r="Z899" s="370"/>
      <c r="AB899" s="370"/>
      <c r="AC899" s="370"/>
    </row>
    <row r="900" hidden="1">
      <c r="A900" s="280"/>
      <c r="B900" s="280"/>
      <c r="C900" s="617"/>
      <c r="D900" s="1166"/>
      <c r="E900" s="1166"/>
      <c r="F900" s="1166"/>
      <c r="G900" s="1166"/>
      <c r="H900" s="1166"/>
      <c r="I900" s="1167"/>
      <c r="J900" s="1166"/>
      <c r="K900" s="1167"/>
      <c r="L900" s="1166"/>
      <c r="M900" s="1166"/>
      <c r="N900" s="1166"/>
      <c r="O900" s="280"/>
      <c r="P900" s="1167"/>
      <c r="R900" s="587"/>
      <c r="S900" s="587"/>
      <c r="X900" s="370"/>
      <c r="Y900" s="370"/>
      <c r="Z900" s="370"/>
      <c r="AB900" s="370"/>
      <c r="AC900" s="370"/>
    </row>
    <row r="901" hidden="1">
      <c r="A901" s="280"/>
      <c r="B901" s="280"/>
      <c r="C901" s="617"/>
      <c r="D901" s="1166"/>
      <c r="E901" s="1166"/>
      <c r="F901" s="1166"/>
      <c r="G901" s="1166"/>
      <c r="H901" s="1166"/>
      <c r="I901" s="1167"/>
      <c r="J901" s="1166"/>
      <c r="K901" s="1167"/>
      <c r="L901" s="1166"/>
      <c r="M901" s="1166"/>
      <c r="N901" s="1166"/>
      <c r="O901" s="280"/>
      <c r="P901" s="1167"/>
      <c r="R901" s="587"/>
      <c r="S901" s="587"/>
      <c r="X901" s="370"/>
      <c r="Y901" s="370"/>
      <c r="Z901" s="370"/>
      <c r="AB901" s="370"/>
      <c r="AC901" s="370"/>
    </row>
    <row r="902" hidden="1">
      <c r="A902" s="280"/>
      <c r="B902" s="280"/>
      <c r="C902" s="617"/>
      <c r="D902" s="1166"/>
      <c r="E902" s="1166"/>
      <c r="F902" s="1166"/>
      <c r="G902" s="1166"/>
      <c r="H902" s="1166"/>
      <c r="I902" s="1167"/>
      <c r="J902" s="1166"/>
      <c r="K902" s="1167"/>
      <c r="L902" s="1166"/>
      <c r="M902" s="1166"/>
      <c r="N902" s="1166"/>
      <c r="O902" s="280"/>
      <c r="P902" s="1167"/>
      <c r="R902" s="587"/>
      <c r="S902" s="587"/>
      <c r="X902" s="370"/>
      <c r="Y902" s="370"/>
      <c r="Z902" s="370"/>
      <c r="AB902" s="370"/>
      <c r="AC902" s="370"/>
    </row>
    <row r="903" hidden="1">
      <c r="A903" s="280"/>
      <c r="B903" s="280"/>
      <c r="C903" s="617"/>
      <c r="D903" s="1166"/>
      <c r="E903" s="1166"/>
      <c r="F903" s="1166"/>
      <c r="G903" s="1166"/>
      <c r="H903" s="1166"/>
      <c r="I903" s="1167"/>
      <c r="J903" s="1166"/>
      <c r="K903" s="1167"/>
      <c r="L903" s="1166"/>
      <c r="M903" s="1166"/>
      <c r="N903" s="1166"/>
      <c r="O903" s="280"/>
      <c r="P903" s="1167"/>
      <c r="R903" s="587"/>
      <c r="S903" s="587"/>
      <c r="X903" s="370"/>
      <c r="Y903" s="370"/>
      <c r="Z903" s="370"/>
      <c r="AB903" s="370"/>
      <c r="AC903" s="370"/>
    </row>
    <row r="904" hidden="1">
      <c r="A904" s="280"/>
      <c r="B904" s="280"/>
      <c r="C904" s="617"/>
      <c r="D904" s="1166"/>
      <c r="E904" s="1166"/>
      <c r="F904" s="1166"/>
      <c r="G904" s="1166"/>
      <c r="H904" s="1166"/>
      <c r="I904" s="1167"/>
      <c r="J904" s="1166"/>
      <c r="K904" s="1167"/>
      <c r="L904" s="1166"/>
      <c r="M904" s="1166"/>
      <c r="N904" s="1166"/>
      <c r="O904" s="280"/>
      <c r="P904" s="1167"/>
      <c r="R904" s="587"/>
      <c r="S904" s="587"/>
      <c r="X904" s="370"/>
      <c r="Y904" s="370"/>
      <c r="Z904" s="370"/>
      <c r="AB904" s="370"/>
      <c r="AC904" s="370"/>
    </row>
    <row r="905" hidden="1">
      <c r="A905" s="280"/>
      <c r="B905" s="280"/>
      <c r="C905" s="617"/>
      <c r="D905" s="1166"/>
      <c r="E905" s="1166"/>
      <c r="F905" s="1166"/>
      <c r="G905" s="1166"/>
      <c r="H905" s="1166"/>
      <c r="I905" s="1167"/>
      <c r="J905" s="1166"/>
      <c r="K905" s="1167"/>
      <c r="L905" s="1166"/>
      <c r="M905" s="1166"/>
      <c r="N905" s="1166"/>
      <c r="O905" s="280"/>
      <c r="P905" s="1167"/>
      <c r="R905" s="587"/>
      <c r="S905" s="587"/>
      <c r="X905" s="370"/>
      <c r="Y905" s="370"/>
      <c r="Z905" s="370"/>
      <c r="AB905" s="370"/>
      <c r="AC905" s="370"/>
    </row>
    <row r="906" hidden="1">
      <c r="A906" s="280"/>
      <c r="B906" s="280"/>
      <c r="C906" s="617"/>
      <c r="D906" s="1166"/>
      <c r="E906" s="1166"/>
      <c r="F906" s="1166"/>
      <c r="G906" s="1166"/>
      <c r="H906" s="1166"/>
      <c r="I906" s="1167"/>
      <c r="J906" s="1166"/>
      <c r="K906" s="1167"/>
      <c r="L906" s="1166"/>
      <c r="M906" s="1166"/>
      <c r="N906" s="1166"/>
      <c r="O906" s="280"/>
      <c r="P906" s="1167"/>
      <c r="R906" s="587"/>
      <c r="S906" s="587"/>
      <c r="X906" s="370"/>
      <c r="Y906" s="370"/>
      <c r="Z906" s="370"/>
      <c r="AB906" s="370"/>
      <c r="AC906" s="370"/>
    </row>
    <row r="907" hidden="1">
      <c r="A907" s="280"/>
      <c r="B907" s="280"/>
      <c r="C907" s="617"/>
      <c r="D907" s="1166"/>
      <c r="E907" s="1166"/>
      <c r="F907" s="1166"/>
      <c r="G907" s="1166"/>
      <c r="H907" s="1166"/>
      <c r="I907" s="1167"/>
      <c r="J907" s="1166"/>
      <c r="K907" s="1167"/>
      <c r="L907" s="1166"/>
      <c r="M907" s="1166"/>
      <c r="N907" s="1166"/>
      <c r="O907" s="280"/>
      <c r="P907" s="1167"/>
      <c r="R907" s="587"/>
      <c r="S907" s="587"/>
      <c r="X907" s="370"/>
      <c r="Y907" s="370"/>
      <c r="Z907" s="370"/>
      <c r="AB907" s="370"/>
      <c r="AC907" s="370"/>
    </row>
    <row r="908" hidden="1">
      <c r="A908" s="280"/>
      <c r="B908" s="280"/>
      <c r="C908" s="617"/>
      <c r="D908" s="1166"/>
      <c r="E908" s="1166"/>
      <c r="F908" s="1166"/>
      <c r="G908" s="1166"/>
      <c r="H908" s="1166"/>
      <c r="I908" s="1167"/>
      <c r="J908" s="1166"/>
      <c r="K908" s="1167"/>
      <c r="L908" s="1166"/>
      <c r="M908" s="1166"/>
      <c r="N908" s="1166"/>
      <c r="O908" s="280"/>
      <c r="P908" s="1167"/>
      <c r="R908" s="587"/>
      <c r="S908" s="587"/>
      <c r="X908" s="370"/>
      <c r="Y908" s="370"/>
      <c r="Z908" s="370"/>
      <c r="AB908" s="370"/>
      <c r="AC908" s="370"/>
    </row>
    <row r="909" hidden="1">
      <c r="A909" s="280"/>
      <c r="B909" s="280"/>
      <c r="C909" s="617"/>
      <c r="D909" s="1166"/>
      <c r="E909" s="1166"/>
      <c r="F909" s="1166"/>
      <c r="G909" s="1166"/>
      <c r="H909" s="1166"/>
      <c r="I909" s="1167"/>
      <c r="J909" s="1166"/>
      <c r="K909" s="1167"/>
      <c r="L909" s="1166"/>
      <c r="M909" s="1166"/>
      <c r="N909" s="1166"/>
      <c r="O909" s="280"/>
      <c r="P909" s="1167"/>
      <c r="R909" s="587"/>
      <c r="S909" s="587"/>
      <c r="X909" s="370"/>
      <c r="Y909" s="370"/>
      <c r="Z909" s="370"/>
      <c r="AB909" s="370"/>
      <c r="AC909" s="370"/>
    </row>
    <row r="910" hidden="1">
      <c r="A910" s="280"/>
      <c r="B910" s="280"/>
      <c r="C910" s="617"/>
      <c r="D910" s="1166"/>
      <c r="E910" s="1166"/>
      <c r="F910" s="1166"/>
      <c r="G910" s="1166"/>
      <c r="H910" s="1166"/>
      <c r="I910" s="1167"/>
      <c r="J910" s="1166"/>
      <c r="K910" s="1167"/>
      <c r="L910" s="1166"/>
      <c r="M910" s="1166"/>
      <c r="N910" s="1166"/>
      <c r="O910" s="280"/>
      <c r="P910" s="1167"/>
      <c r="R910" s="587"/>
      <c r="S910" s="587"/>
      <c r="X910" s="370"/>
      <c r="Y910" s="370"/>
      <c r="Z910" s="370"/>
      <c r="AB910" s="370"/>
      <c r="AC910" s="370"/>
    </row>
    <row r="911" hidden="1">
      <c r="A911" s="280"/>
      <c r="B911" s="280"/>
      <c r="C911" s="617"/>
      <c r="D911" s="1166"/>
      <c r="E911" s="1166"/>
      <c r="F911" s="1166"/>
      <c r="G911" s="1166"/>
      <c r="H911" s="1166"/>
      <c r="I911" s="1167"/>
      <c r="J911" s="1166"/>
      <c r="K911" s="1167"/>
      <c r="L911" s="1166"/>
      <c r="M911" s="1166"/>
      <c r="N911" s="1166"/>
      <c r="O911" s="280"/>
      <c r="P911" s="1167"/>
      <c r="R911" s="587"/>
      <c r="S911" s="587"/>
      <c r="X911" s="370"/>
      <c r="Y911" s="370"/>
      <c r="Z911" s="370"/>
      <c r="AB911" s="370"/>
      <c r="AC911" s="370"/>
    </row>
    <row r="912" hidden="1">
      <c r="A912" s="280"/>
      <c r="B912" s="280"/>
      <c r="C912" s="617"/>
      <c r="D912" s="1166"/>
      <c r="E912" s="1166"/>
      <c r="F912" s="1166"/>
      <c r="G912" s="1166"/>
      <c r="H912" s="1166"/>
      <c r="I912" s="1167"/>
      <c r="J912" s="1166"/>
      <c r="K912" s="1167"/>
      <c r="L912" s="1166"/>
      <c r="M912" s="1166"/>
      <c r="N912" s="1166"/>
      <c r="O912" s="280"/>
      <c r="P912" s="1167"/>
      <c r="R912" s="587"/>
      <c r="S912" s="587"/>
      <c r="X912" s="370"/>
      <c r="Y912" s="370"/>
      <c r="Z912" s="370"/>
      <c r="AB912" s="370"/>
      <c r="AC912" s="370"/>
    </row>
    <row r="913" hidden="1">
      <c r="A913" s="280"/>
      <c r="B913" s="280"/>
      <c r="C913" s="617"/>
      <c r="D913" s="1166"/>
      <c r="E913" s="1166"/>
      <c r="F913" s="1166"/>
      <c r="G913" s="1166"/>
      <c r="H913" s="1166"/>
      <c r="I913" s="1167"/>
      <c r="J913" s="1166"/>
      <c r="K913" s="1167"/>
      <c r="L913" s="1166"/>
      <c r="M913" s="1166"/>
      <c r="N913" s="1166"/>
      <c r="O913" s="280"/>
      <c r="P913" s="1167"/>
      <c r="R913" s="587"/>
      <c r="S913" s="587"/>
      <c r="X913" s="370"/>
      <c r="Y913" s="370"/>
      <c r="Z913" s="370"/>
      <c r="AB913" s="370"/>
      <c r="AC913" s="370"/>
    </row>
    <row r="914" hidden="1">
      <c r="A914" s="280"/>
      <c r="B914" s="280"/>
      <c r="C914" s="617"/>
      <c r="D914" s="1166"/>
      <c r="E914" s="1166"/>
      <c r="F914" s="1166"/>
      <c r="G914" s="1166"/>
      <c r="H914" s="1166"/>
      <c r="I914" s="1167"/>
      <c r="J914" s="1166"/>
      <c r="K914" s="1167"/>
      <c r="L914" s="1166"/>
      <c r="M914" s="1166"/>
      <c r="N914" s="1166"/>
      <c r="O914" s="280"/>
      <c r="P914" s="1167"/>
      <c r="R914" s="587"/>
      <c r="S914" s="587"/>
      <c r="X914" s="370"/>
      <c r="Y914" s="370"/>
      <c r="Z914" s="370"/>
      <c r="AB914" s="370"/>
      <c r="AC914" s="370"/>
    </row>
    <row r="915" hidden="1">
      <c r="A915" s="280"/>
      <c r="B915" s="280"/>
      <c r="C915" s="617"/>
      <c r="D915" s="1166"/>
      <c r="E915" s="1166"/>
      <c r="F915" s="1166"/>
      <c r="G915" s="1166"/>
      <c r="H915" s="1166"/>
      <c r="I915" s="1167"/>
      <c r="J915" s="1166"/>
      <c r="K915" s="1167"/>
      <c r="L915" s="1166"/>
      <c r="M915" s="1166"/>
      <c r="N915" s="1166"/>
      <c r="O915" s="280"/>
      <c r="P915" s="1167"/>
      <c r="R915" s="587"/>
      <c r="S915" s="587"/>
      <c r="X915" s="370"/>
      <c r="Y915" s="370"/>
      <c r="Z915" s="370"/>
      <c r="AB915" s="370"/>
      <c r="AC915" s="370"/>
    </row>
    <row r="916" hidden="1">
      <c r="A916" s="280"/>
      <c r="B916" s="280"/>
      <c r="C916" s="617"/>
      <c r="D916" s="1166"/>
      <c r="E916" s="1166"/>
      <c r="F916" s="1166"/>
      <c r="G916" s="1166"/>
      <c r="H916" s="1166"/>
      <c r="I916" s="1167"/>
      <c r="J916" s="1166"/>
      <c r="K916" s="1167"/>
      <c r="L916" s="1166"/>
      <c r="M916" s="1166"/>
      <c r="N916" s="1166"/>
      <c r="O916" s="280"/>
      <c r="P916" s="1167"/>
      <c r="R916" s="587"/>
      <c r="S916" s="587"/>
      <c r="X916" s="370"/>
      <c r="Y916" s="370"/>
      <c r="Z916" s="370"/>
      <c r="AB916" s="370"/>
      <c r="AC916" s="370"/>
    </row>
    <row r="917" hidden="1">
      <c r="A917" s="280"/>
      <c r="B917" s="280"/>
      <c r="C917" s="617"/>
      <c r="D917" s="1166"/>
      <c r="E917" s="1166"/>
      <c r="F917" s="1166"/>
      <c r="G917" s="1166"/>
      <c r="H917" s="1166"/>
      <c r="I917" s="1167"/>
      <c r="J917" s="1166"/>
      <c r="K917" s="1167"/>
      <c r="L917" s="1166"/>
      <c r="M917" s="1166"/>
      <c r="N917" s="1166"/>
      <c r="O917" s="280"/>
      <c r="P917" s="1167"/>
      <c r="R917" s="587"/>
      <c r="S917" s="587"/>
      <c r="X917" s="370"/>
      <c r="Y917" s="370"/>
      <c r="Z917" s="370"/>
      <c r="AB917" s="370"/>
      <c r="AC917" s="370"/>
    </row>
    <row r="918" hidden="1">
      <c r="A918" s="280"/>
      <c r="B918" s="280"/>
      <c r="C918" s="617"/>
      <c r="D918" s="1166"/>
      <c r="E918" s="1166"/>
      <c r="F918" s="1166"/>
      <c r="G918" s="1166"/>
      <c r="H918" s="1166"/>
      <c r="I918" s="1167"/>
      <c r="J918" s="1166"/>
      <c r="K918" s="1167"/>
      <c r="L918" s="1166"/>
      <c r="M918" s="1166"/>
      <c r="N918" s="1166"/>
      <c r="O918" s="280"/>
      <c r="P918" s="1167"/>
      <c r="R918" s="587"/>
      <c r="S918" s="587"/>
      <c r="X918" s="370"/>
      <c r="Y918" s="370"/>
      <c r="Z918" s="370"/>
      <c r="AB918" s="370"/>
      <c r="AC918" s="370"/>
    </row>
    <row r="919" hidden="1">
      <c r="A919" s="280"/>
      <c r="B919" s="280"/>
      <c r="C919" s="617"/>
      <c r="D919" s="1166"/>
      <c r="E919" s="1166"/>
      <c r="F919" s="1166"/>
      <c r="G919" s="1166"/>
      <c r="H919" s="1166"/>
      <c r="I919" s="1167"/>
      <c r="J919" s="1166"/>
      <c r="K919" s="1167"/>
      <c r="L919" s="1166"/>
      <c r="M919" s="1166"/>
      <c r="N919" s="1166"/>
      <c r="O919" s="280"/>
      <c r="P919" s="1167"/>
      <c r="R919" s="587"/>
      <c r="S919" s="587"/>
      <c r="X919" s="370"/>
      <c r="Y919" s="370"/>
      <c r="Z919" s="370"/>
      <c r="AB919" s="370"/>
      <c r="AC919" s="370"/>
    </row>
    <row r="920" hidden="1">
      <c r="A920" s="280"/>
      <c r="B920" s="280"/>
      <c r="C920" s="617"/>
      <c r="D920" s="1166"/>
      <c r="E920" s="1166"/>
      <c r="F920" s="1166"/>
      <c r="G920" s="1166"/>
      <c r="H920" s="1166"/>
      <c r="I920" s="1167"/>
      <c r="J920" s="1166"/>
      <c r="K920" s="1167"/>
      <c r="L920" s="1166"/>
      <c r="M920" s="1166"/>
      <c r="N920" s="1166"/>
      <c r="O920" s="280"/>
      <c r="P920" s="1167"/>
      <c r="R920" s="587"/>
      <c r="S920" s="587"/>
      <c r="X920" s="370"/>
      <c r="Y920" s="370"/>
      <c r="Z920" s="370"/>
      <c r="AB920" s="370"/>
      <c r="AC920" s="370"/>
    </row>
    <row r="921" hidden="1">
      <c r="A921" s="280"/>
      <c r="B921" s="280"/>
      <c r="C921" s="617"/>
      <c r="D921" s="1166"/>
      <c r="E921" s="1166"/>
      <c r="F921" s="1166"/>
      <c r="G921" s="1166"/>
      <c r="H921" s="1166"/>
      <c r="I921" s="1167"/>
      <c r="J921" s="1166"/>
      <c r="K921" s="1167"/>
      <c r="L921" s="1166"/>
      <c r="M921" s="1166"/>
      <c r="N921" s="1166"/>
      <c r="O921" s="280"/>
      <c r="P921" s="1167"/>
      <c r="R921" s="587"/>
      <c r="S921" s="587"/>
      <c r="X921" s="370"/>
      <c r="Y921" s="370"/>
      <c r="Z921" s="370"/>
      <c r="AB921" s="370"/>
      <c r="AC921" s="370"/>
    </row>
    <row r="922" hidden="1">
      <c r="A922" s="280"/>
      <c r="B922" s="280"/>
      <c r="C922" s="617"/>
      <c r="D922" s="1166"/>
      <c r="E922" s="1166"/>
      <c r="F922" s="1166"/>
      <c r="G922" s="1166"/>
      <c r="H922" s="1166"/>
      <c r="I922" s="1167"/>
      <c r="J922" s="1166"/>
      <c r="K922" s="1167"/>
      <c r="L922" s="1166"/>
      <c r="M922" s="1166"/>
      <c r="N922" s="1166"/>
      <c r="O922" s="280"/>
      <c r="P922" s="1167"/>
      <c r="R922" s="587"/>
      <c r="S922" s="587"/>
      <c r="X922" s="370"/>
      <c r="Y922" s="370"/>
      <c r="Z922" s="370"/>
      <c r="AB922" s="370"/>
      <c r="AC922" s="370"/>
    </row>
    <row r="923" hidden="1">
      <c r="A923" s="280"/>
      <c r="B923" s="280"/>
      <c r="C923" s="617"/>
      <c r="D923" s="1166"/>
      <c r="E923" s="1166"/>
      <c r="F923" s="1166"/>
      <c r="G923" s="1166"/>
      <c r="H923" s="1166"/>
      <c r="I923" s="1167"/>
      <c r="J923" s="1166"/>
      <c r="K923" s="1167"/>
      <c r="L923" s="1166"/>
      <c r="M923" s="1166"/>
      <c r="N923" s="1166"/>
      <c r="O923" s="280"/>
      <c r="P923" s="1167"/>
      <c r="R923" s="587"/>
      <c r="S923" s="587"/>
      <c r="X923" s="370"/>
      <c r="Y923" s="370"/>
      <c r="Z923" s="370"/>
      <c r="AB923" s="370"/>
      <c r="AC923" s="370"/>
    </row>
    <row r="924" hidden="1">
      <c r="A924" s="280"/>
      <c r="B924" s="280"/>
      <c r="C924" s="617"/>
      <c r="D924" s="1166"/>
      <c r="E924" s="1166"/>
      <c r="F924" s="1166"/>
      <c r="G924" s="1166"/>
      <c r="H924" s="1166"/>
      <c r="I924" s="1167"/>
      <c r="J924" s="1166"/>
      <c r="K924" s="1167"/>
      <c r="L924" s="1166"/>
      <c r="M924" s="1166"/>
      <c r="N924" s="1166"/>
      <c r="O924" s="280"/>
      <c r="P924" s="1167"/>
      <c r="R924" s="587"/>
      <c r="S924" s="587"/>
      <c r="X924" s="370"/>
      <c r="Y924" s="370"/>
      <c r="Z924" s="370"/>
      <c r="AB924" s="370"/>
      <c r="AC924" s="370"/>
    </row>
    <row r="925" hidden="1">
      <c r="A925" s="280"/>
      <c r="B925" s="280"/>
      <c r="C925" s="617"/>
      <c r="D925" s="1166"/>
      <c r="E925" s="1166"/>
      <c r="F925" s="1166"/>
      <c r="G925" s="1166"/>
      <c r="H925" s="1166"/>
      <c r="I925" s="1167"/>
      <c r="J925" s="1166"/>
      <c r="K925" s="1167"/>
      <c r="L925" s="1166"/>
      <c r="M925" s="1166"/>
      <c r="N925" s="1166"/>
      <c r="O925" s="280"/>
      <c r="P925" s="1167"/>
      <c r="R925" s="587"/>
      <c r="S925" s="587"/>
      <c r="X925" s="370"/>
      <c r="Y925" s="370"/>
      <c r="Z925" s="370"/>
      <c r="AB925" s="370"/>
      <c r="AC925" s="370"/>
    </row>
    <row r="926" hidden="1">
      <c r="A926" s="280"/>
      <c r="B926" s="280"/>
      <c r="C926" s="617"/>
      <c r="D926" s="1166"/>
      <c r="E926" s="1166"/>
      <c r="F926" s="1166"/>
      <c r="G926" s="1166"/>
      <c r="H926" s="1166"/>
      <c r="I926" s="1167"/>
      <c r="J926" s="1166"/>
      <c r="K926" s="1167"/>
      <c r="L926" s="1166"/>
      <c r="M926" s="1166"/>
      <c r="N926" s="1166"/>
      <c r="O926" s="280"/>
      <c r="P926" s="1167"/>
      <c r="R926" s="587"/>
      <c r="S926" s="587"/>
      <c r="X926" s="370"/>
      <c r="Y926" s="370"/>
      <c r="Z926" s="370"/>
      <c r="AB926" s="370"/>
      <c r="AC926" s="370"/>
    </row>
    <row r="927" hidden="1">
      <c r="A927" s="280"/>
      <c r="B927" s="280"/>
      <c r="C927" s="617"/>
      <c r="D927" s="1166"/>
      <c r="E927" s="1166"/>
      <c r="F927" s="1166"/>
      <c r="G927" s="1166"/>
      <c r="H927" s="1166"/>
      <c r="I927" s="1167"/>
      <c r="J927" s="1166"/>
      <c r="K927" s="1167"/>
      <c r="L927" s="1166"/>
      <c r="M927" s="1166"/>
      <c r="N927" s="1166"/>
      <c r="O927" s="280"/>
      <c r="P927" s="1167"/>
      <c r="R927" s="587"/>
      <c r="S927" s="587"/>
      <c r="X927" s="370"/>
      <c r="Y927" s="370"/>
      <c r="Z927" s="370"/>
      <c r="AB927" s="370"/>
      <c r="AC927" s="370"/>
    </row>
    <row r="928" hidden="1">
      <c r="A928" s="280"/>
      <c r="B928" s="280"/>
      <c r="C928" s="617"/>
      <c r="D928" s="1166"/>
      <c r="E928" s="1166"/>
      <c r="F928" s="1166"/>
      <c r="G928" s="1166"/>
      <c r="H928" s="1166"/>
      <c r="I928" s="1167"/>
      <c r="J928" s="1166"/>
      <c r="K928" s="1167"/>
      <c r="L928" s="1166"/>
      <c r="M928" s="1166"/>
      <c r="N928" s="1166"/>
      <c r="O928" s="280"/>
      <c r="P928" s="1167"/>
      <c r="R928" s="587"/>
      <c r="S928" s="587"/>
      <c r="X928" s="370"/>
      <c r="Y928" s="370"/>
      <c r="Z928" s="370"/>
      <c r="AB928" s="370"/>
      <c r="AC928" s="370"/>
    </row>
    <row r="929" hidden="1">
      <c r="A929" s="280"/>
      <c r="B929" s="280"/>
      <c r="C929" s="617"/>
      <c r="D929" s="1166"/>
      <c r="E929" s="1166"/>
      <c r="F929" s="1166"/>
      <c r="G929" s="1166"/>
      <c r="H929" s="1166"/>
      <c r="I929" s="1167"/>
      <c r="J929" s="1166"/>
      <c r="K929" s="1167"/>
      <c r="L929" s="1166"/>
      <c r="M929" s="1166"/>
      <c r="N929" s="1166"/>
      <c r="O929" s="280"/>
      <c r="P929" s="1167"/>
      <c r="R929" s="587"/>
      <c r="S929" s="587"/>
      <c r="X929" s="370"/>
      <c r="Y929" s="370"/>
      <c r="Z929" s="370"/>
      <c r="AB929" s="370"/>
      <c r="AC929" s="370"/>
    </row>
    <row r="930" hidden="1">
      <c r="A930" s="280"/>
      <c r="B930" s="280"/>
      <c r="C930" s="617"/>
      <c r="D930" s="1166"/>
      <c r="E930" s="1166"/>
      <c r="F930" s="1166"/>
      <c r="G930" s="1166"/>
      <c r="H930" s="1166"/>
      <c r="I930" s="1167"/>
      <c r="J930" s="1166"/>
      <c r="K930" s="1167"/>
      <c r="L930" s="1166"/>
      <c r="M930" s="1166"/>
      <c r="N930" s="1166"/>
      <c r="O930" s="280"/>
      <c r="P930" s="1167"/>
      <c r="R930" s="587"/>
      <c r="S930" s="587"/>
      <c r="X930" s="370"/>
      <c r="Y930" s="370"/>
      <c r="Z930" s="370"/>
      <c r="AB930" s="370"/>
      <c r="AC930" s="370"/>
    </row>
    <row r="931" hidden="1">
      <c r="A931" s="280"/>
      <c r="B931" s="280"/>
      <c r="C931" s="617"/>
      <c r="D931" s="1166"/>
      <c r="E931" s="1166"/>
      <c r="F931" s="1166"/>
      <c r="G931" s="1166"/>
      <c r="H931" s="1166"/>
      <c r="I931" s="1167"/>
      <c r="J931" s="1166"/>
      <c r="K931" s="1167"/>
      <c r="L931" s="1166"/>
      <c r="M931" s="1166"/>
      <c r="N931" s="1166"/>
      <c r="O931" s="280"/>
      <c r="P931" s="1167"/>
      <c r="R931" s="587"/>
      <c r="S931" s="587"/>
      <c r="X931" s="370"/>
      <c r="Y931" s="370"/>
      <c r="Z931" s="370"/>
      <c r="AB931" s="370"/>
      <c r="AC931" s="370"/>
    </row>
    <row r="932" hidden="1">
      <c r="A932" s="280"/>
      <c r="B932" s="280"/>
      <c r="C932" s="617"/>
      <c r="D932" s="1166"/>
      <c r="E932" s="1166"/>
      <c r="F932" s="1166"/>
      <c r="G932" s="1166"/>
      <c r="H932" s="1166"/>
      <c r="I932" s="1167"/>
      <c r="J932" s="1166"/>
      <c r="K932" s="1167"/>
      <c r="L932" s="1166"/>
      <c r="M932" s="1166"/>
      <c r="N932" s="1166"/>
      <c r="O932" s="280"/>
      <c r="P932" s="1167"/>
      <c r="R932" s="587"/>
      <c r="S932" s="587"/>
      <c r="X932" s="370"/>
      <c r="Y932" s="370"/>
      <c r="Z932" s="370"/>
      <c r="AB932" s="370"/>
      <c r="AC932" s="370"/>
    </row>
    <row r="933" hidden="1">
      <c r="A933" s="280"/>
      <c r="B933" s="280"/>
      <c r="C933" s="617"/>
      <c r="D933" s="1166"/>
      <c r="E933" s="1166"/>
      <c r="F933" s="1166"/>
      <c r="G933" s="1166"/>
      <c r="H933" s="1166"/>
      <c r="I933" s="1167"/>
      <c r="J933" s="1166"/>
      <c r="K933" s="1167"/>
      <c r="L933" s="1166"/>
      <c r="M933" s="1166"/>
      <c r="N933" s="1166"/>
      <c r="O933" s="280"/>
      <c r="P933" s="1167"/>
      <c r="R933" s="587"/>
      <c r="S933" s="587"/>
      <c r="X933" s="370"/>
      <c r="Y933" s="370"/>
      <c r="Z933" s="370"/>
      <c r="AB933" s="370"/>
      <c r="AC933" s="370"/>
    </row>
    <row r="934" hidden="1">
      <c r="A934" s="280"/>
      <c r="B934" s="280"/>
      <c r="C934" s="617"/>
      <c r="D934" s="1166"/>
      <c r="E934" s="1166"/>
      <c r="F934" s="1166"/>
      <c r="G934" s="1166"/>
      <c r="H934" s="1166"/>
      <c r="I934" s="1167"/>
      <c r="J934" s="1166"/>
      <c r="K934" s="1167"/>
      <c r="L934" s="1166"/>
      <c r="M934" s="1166"/>
      <c r="N934" s="1166"/>
      <c r="O934" s="280"/>
      <c r="P934" s="1167"/>
      <c r="R934" s="587"/>
      <c r="S934" s="587"/>
      <c r="X934" s="370"/>
      <c r="Y934" s="370"/>
      <c r="Z934" s="370"/>
      <c r="AB934" s="370"/>
      <c r="AC934" s="370"/>
    </row>
    <row r="935" hidden="1">
      <c r="A935" s="280"/>
      <c r="B935" s="280"/>
      <c r="C935" s="617"/>
      <c r="D935" s="1166"/>
      <c r="E935" s="1166"/>
      <c r="F935" s="1166"/>
      <c r="G935" s="1166"/>
      <c r="H935" s="1166"/>
      <c r="I935" s="1167"/>
      <c r="J935" s="1166"/>
      <c r="K935" s="1167"/>
      <c r="L935" s="1166"/>
      <c r="M935" s="1166"/>
      <c r="N935" s="1166"/>
      <c r="O935" s="280"/>
      <c r="P935" s="1167"/>
      <c r="R935" s="587"/>
      <c r="S935" s="587"/>
      <c r="X935" s="370"/>
      <c r="Y935" s="370"/>
      <c r="Z935" s="370"/>
      <c r="AB935" s="370"/>
      <c r="AC935" s="370"/>
    </row>
    <row r="936" hidden="1">
      <c r="A936" s="280"/>
      <c r="B936" s="280"/>
      <c r="C936" s="617"/>
      <c r="D936" s="1166"/>
      <c r="E936" s="1166"/>
      <c r="F936" s="1166"/>
      <c r="G936" s="1166"/>
      <c r="H936" s="1166"/>
      <c r="I936" s="1167"/>
      <c r="J936" s="1166"/>
      <c r="K936" s="1167"/>
      <c r="L936" s="1166"/>
      <c r="M936" s="1166"/>
      <c r="N936" s="1166"/>
      <c r="O936" s="280"/>
      <c r="P936" s="1167"/>
      <c r="R936" s="587"/>
      <c r="S936" s="587"/>
      <c r="X936" s="370"/>
      <c r="Y936" s="370"/>
      <c r="Z936" s="370"/>
      <c r="AB936" s="370"/>
      <c r="AC936" s="370"/>
    </row>
    <row r="937" hidden="1">
      <c r="A937" s="280"/>
      <c r="B937" s="280"/>
      <c r="C937" s="617"/>
      <c r="D937" s="1166"/>
      <c r="E937" s="1166"/>
      <c r="F937" s="1166"/>
      <c r="G937" s="1166"/>
      <c r="H937" s="1166"/>
      <c r="I937" s="1167"/>
      <c r="J937" s="1166"/>
      <c r="K937" s="1167"/>
      <c r="L937" s="1166"/>
      <c r="M937" s="1166"/>
      <c r="N937" s="1166"/>
      <c r="O937" s="280"/>
      <c r="P937" s="1167"/>
      <c r="R937" s="587"/>
      <c r="S937" s="587"/>
      <c r="X937" s="370"/>
      <c r="Y937" s="370"/>
      <c r="Z937" s="370"/>
      <c r="AB937" s="370"/>
      <c r="AC937" s="370"/>
    </row>
    <row r="938" hidden="1">
      <c r="A938" s="280"/>
      <c r="B938" s="280"/>
      <c r="C938" s="617"/>
      <c r="D938" s="1166"/>
      <c r="E938" s="1166"/>
      <c r="F938" s="1166"/>
      <c r="G938" s="1166"/>
      <c r="H938" s="1166"/>
      <c r="I938" s="1167"/>
      <c r="J938" s="1166"/>
      <c r="K938" s="1167"/>
      <c r="L938" s="1166"/>
      <c r="M938" s="1166"/>
      <c r="N938" s="1166"/>
      <c r="O938" s="280"/>
      <c r="P938" s="1167"/>
      <c r="R938" s="587"/>
      <c r="S938" s="587"/>
      <c r="X938" s="370"/>
      <c r="Y938" s="370"/>
      <c r="Z938" s="370"/>
      <c r="AB938" s="370"/>
      <c r="AC938" s="370"/>
    </row>
    <row r="939" hidden="1">
      <c r="A939" s="280"/>
      <c r="B939" s="280"/>
      <c r="C939" s="617"/>
      <c r="D939" s="1166"/>
      <c r="E939" s="1166"/>
      <c r="F939" s="1166"/>
      <c r="G939" s="1166"/>
      <c r="H939" s="1166"/>
      <c r="I939" s="1167"/>
      <c r="J939" s="1166"/>
      <c r="K939" s="1167"/>
      <c r="L939" s="1166"/>
      <c r="M939" s="1166"/>
      <c r="N939" s="1166"/>
      <c r="O939" s="280"/>
      <c r="P939" s="1167"/>
      <c r="R939" s="587"/>
      <c r="S939" s="587"/>
      <c r="X939" s="370"/>
      <c r="Y939" s="370"/>
      <c r="Z939" s="370"/>
      <c r="AB939" s="370"/>
      <c r="AC939" s="370"/>
    </row>
    <row r="940" hidden="1">
      <c r="A940" s="280"/>
      <c r="B940" s="280"/>
      <c r="C940" s="617"/>
      <c r="D940" s="1166"/>
      <c r="E940" s="1166"/>
      <c r="F940" s="1166"/>
      <c r="G940" s="1166"/>
      <c r="H940" s="1166"/>
      <c r="I940" s="1167"/>
      <c r="J940" s="1166"/>
      <c r="K940" s="1167"/>
      <c r="L940" s="1166"/>
      <c r="M940" s="1166"/>
      <c r="N940" s="1166"/>
      <c r="O940" s="280"/>
      <c r="P940" s="1167"/>
      <c r="R940" s="587"/>
      <c r="S940" s="587"/>
      <c r="X940" s="370"/>
      <c r="Y940" s="370"/>
      <c r="Z940" s="370"/>
      <c r="AB940" s="370"/>
      <c r="AC940" s="370"/>
    </row>
    <row r="941" hidden="1">
      <c r="A941" s="280"/>
      <c r="B941" s="280"/>
      <c r="C941" s="617"/>
      <c r="D941" s="1166"/>
      <c r="E941" s="1166"/>
      <c r="F941" s="1166"/>
      <c r="G941" s="1166"/>
      <c r="H941" s="1166"/>
      <c r="I941" s="1167"/>
      <c r="J941" s="1166"/>
      <c r="K941" s="1167"/>
      <c r="L941" s="1166"/>
      <c r="M941" s="1166"/>
      <c r="N941" s="1166"/>
      <c r="O941" s="280"/>
      <c r="P941" s="1167"/>
      <c r="R941" s="587"/>
      <c r="S941" s="587"/>
      <c r="X941" s="370"/>
      <c r="Y941" s="370"/>
      <c r="Z941" s="370"/>
      <c r="AB941" s="370"/>
      <c r="AC941" s="370"/>
    </row>
    <row r="942" hidden="1">
      <c r="A942" s="280"/>
      <c r="B942" s="280"/>
      <c r="C942" s="617"/>
      <c r="D942" s="1166"/>
      <c r="E942" s="1166"/>
      <c r="F942" s="1166"/>
      <c r="G942" s="1166"/>
      <c r="H942" s="1166"/>
      <c r="I942" s="1167"/>
      <c r="J942" s="1166"/>
      <c r="K942" s="1167"/>
      <c r="L942" s="1166"/>
      <c r="M942" s="1166"/>
      <c r="N942" s="1166"/>
      <c r="O942" s="280"/>
      <c r="P942" s="1167"/>
      <c r="R942" s="587"/>
      <c r="S942" s="587"/>
      <c r="X942" s="370"/>
      <c r="Y942" s="370"/>
      <c r="Z942" s="370"/>
      <c r="AB942" s="370"/>
      <c r="AC942" s="370"/>
    </row>
    <row r="943" hidden="1">
      <c r="A943" s="280"/>
      <c r="B943" s="280"/>
      <c r="C943" s="617"/>
      <c r="D943" s="1166"/>
      <c r="E943" s="1166"/>
      <c r="F943" s="1166"/>
      <c r="G943" s="1166"/>
      <c r="H943" s="1166"/>
      <c r="I943" s="1167"/>
      <c r="J943" s="1166"/>
      <c r="K943" s="1167"/>
      <c r="L943" s="1166"/>
      <c r="M943" s="1166"/>
      <c r="N943" s="1166"/>
      <c r="O943" s="280"/>
      <c r="P943" s="1167"/>
      <c r="R943" s="587"/>
      <c r="S943" s="587"/>
      <c r="X943" s="370"/>
      <c r="Y943" s="370"/>
      <c r="Z943" s="370"/>
      <c r="AB943" s="370"/>
      <c r="AC943" s="370"/>
    </row>
    <row r="944" hidden="1">
      <c r="A944" s="280"/>
      <c r="B944" s="280"/>
      <c r="C944" s="617"/>
      <c r="D944" s="1166"/>
      <c r="E944" s="1166"/>
      <c r="F944" s="1166"/>
      <c r="G944" s="1166"/>
      <c r="H944" s="1166"/>
      <c r="I944" s="1167"/>
      <c r="J944" s="1166"/>
      <c r="K944" s="1167"/>
      <c r="L944" s="1166"/>
      <c r="M944" s="1166"/>
      <c r="N944" s="1166"/>
      <c r="O944" s="280"/>
      <c r="P944" s="1167"/>
      <c r="R944" s="587"/>
      <c r="S944" s="587"/>
      <c r="X944" s="370"/>
      <c r="Y944" s="370"/>
      <c r="Z944" s="370"/>
      <c r="AB944" s="370"/>
      <c r="AC944" s="370"/>
    </row>
    <row r="945" hidden="1">
      <c r="A945" s="280"/>
      <c r="B945" s="280"/>
      <c r="C945" s="617"/>
      <c r="D945" s="1166"/>
      <c r="E945" s="1166"/>
      <c r="F945" s="1166"/>
      <c r="G945" s="1166"/>
      <c r="H945" s="1166"/>
      <c r="I945" s="1167"/>
      <c r="J945" s="1166"/>
      <c r="K945" s="1167"/>
      <c r="L945" s="1166"/>
      <c r="M945" s="1166"/>
      <c r="N945" s="1166"/>
      <c r="O945" s="280"/>
      <c r="P945" s="1167"/>
      <c r="R945" s="587"/>
      <c r="S945" s="587"/>
      <c r="X945" s="370"/>
      <c r="Y945" s="370"/>
      <c r="Z945" s="370"/>
      <c r="AB945" s="370"/>
      <c r="AC945" s="370"/>
    </row>
    <row r="946" hidden="1">
      <c r="A946" s="280"/>
      <c r="B946" s="280"/>
      <c r="C946" s="617"/>
      <c r="D946" s="1166"/>
      <c r="E946" s="1166"/>
      <c r="F946" s="1166"/>
      <c r="G946" s="1166"/>
      <c r="H946" s="1166"/>
      <c r="I946" s="1167"/>
      <c r="J946" s="1166"/>
      <c r="K946" s="1167"/>
      <c r="L946" s="1166"/>
      <c r="M946" s="1166"/>
      <c r="N946" s="1166"/>
      <c r="O946" s="280"/>
      <c r="P946" s="1167"/>
      <c r="R946" s="587"/>
      <c r="S946" s="587"/>
      <c r="X946" s="370"/>
      <c r="Y946" s="370"/>
      <c r="Z946" s="370"/>
      <c r="AB946" s="370"/>
      <c r="AC946" s="370"/>
    </row>
    <row r="947" hidden="1">
      <c r="A947" s="280"/>
      <c r="B947" s="280"/>
      <c r="C947" s="617"/>
      <c r="D947" s="1166"/>
      <c r="E947" s="1166"/>
      <c r="F947" s="1166"/>
      <c r="G947" s="1166"/>
      <c r="H947" s="1166"/>
      <c r="I947" s="1167"/>
      <c r="J947" s="1166"/>
      <c r="K947" s="1167"/>
      <c r="L947" s="1166"/>
      <c r="M947" s="1166"/>
      <c r="N947" s="1166"/>
      <c r="O947" s="280"/>
      <c r="P947" s="1167"/>
      <c r="R947" s="587"/>
      <c r="S947" s="587"/>
      <c r="X947" s="370"/>
      <c r="Y947" s="370"/>
      <c r="Z947" s="370"/>
      <c r="AB947" s="370"/>
      <c r="AC947" s="370"/>
    </row>
    <row r="948" hidden="1">
      <c r="A948" s="280"/>
      <c r="B948" s="280"/>
      <c r="C948" s="617"/>
      <c r="D948" s="1166"/>
      <c r="E948" s="1166"/>
      <c r="F948" s="1166"/>
      <c r="G948" s="1166"/>
      <c r="H948" s="1166"/>
      <c r="I948" s="1167"/>
      <c r="J948" s="1166"/>
      <c r="K948" s="1167"/>
      <c r="L948" s="1166"/>
      <c r="M948" s="1166"/>
      <c r="N948" s="1166"/>
      <c r="O948" s="280"/>
      <c r="P948" s="1167"/>
      <c r="R948" s="587"/>
      <c r="S948" s="587"/>
      <c r="X948" s="370"/>
      <c r="Y948" s="370"/>
      <c r="Z948" s="370"/>
      <c r="AB948" s="370"/>
      <c r="AC948" s="370"/>
    </row>
    <row r="949" hidden="1">
      <c r="A949" s="280"/>
      <c r="B949" s="280"/>
      <c r="C949" s="617"/>
      <c r="D949" s="1166"/>
      <c r="E949" s="1166"/>
      <c r="F949" s="1166"/>
      <c r="G949" s="1166"/>
      <c r="H949" s="1166"/>
      <c r="I949" s="1167"/>
      <c r="J949" s="1166"/>
      <c r="K949" s="1167"/>
      <c r="L949" s="1166"/>
      <c r="M949" s="1166"/>
      <c r="N949" s="1166"/>
      <c r="O949" s="280"/>
      <c r="P949" s="1167"/>
      <c r="R949" s="587"/>
      <c r="S949" s="587"/>
      <c r="X949" s="370"/>
      <c r="Y949" s="370"/>
      <c r="Z949" s="370"/>
      <c r="AB949" s="370"/>
      <c r="AC949" s="370"/>
    </row>
    <row r="950" hidden="1">
      <c r="A950" s="280"/>
      <c r="B950" s="280"/>
      <c r="C950" s="617"/>
      <c r="D950" s="1166"/>
      <c r="E950" s="1166"/>
      <c r="F950" s="1166"/>
      <c r="G950" s="1166"/>
      <c r="H950" s="1166"/>
      <c r="I950" s="1167"/>
      <c r="J950" s="1166"/>
      <c r="K950" s="1167"/>
      <c r="L950" s="1166"/>
      <c r="M950" s="1166"/>
      <c r="N950" s="1166"/>
      <c r="O950" s="280"/>
      <c r="P950" s="1167"/>
      <c r="R950" s="587"/>
      <c r="S950" s="587"/>
      <c r="X950" s="370"/>
      <c r="Y950" s="370"/>
      <c r="Z950" s="370"/>
      <c r="AB950" s="370"/>
      <c r="AC950" s="370"/>
    </row>
    <row r="951" hidden="1">
      <c r="A951" s="280"/>
      <c r="B951" s="280"/>
      <c r="C951" s="617"/>
      <c r="D951" s="1166"/>
      <c r="E951" s="1166"/>
      <c r="F951" s="1166"/>
      <c r="G951" s="1166"/>
      <c r="H951" s="1166"/>
      <c r="I951" s="1167"/>
      <c r="J951" s="1166"/>
      <c r="K951" s="1167"/>
      <c r="L951" s="1166"/>
      <c r="M951" s="1166"/>
      <c r="N951" s="1166"/>
      <c r="O951" s="280"/>
      <c r="P951" s="1167"/>
      <c r="R951" s="587"/>
      <c r="S951" s="587"/>
      <c r="X951" s="370"/>
      <c r="Y951" s="370"/>
      <c r="Z951" s="370"/>
      <c r="AB951" s="370"/>
      <c r="AC951" s="370"/>
    </row>
    <row r="952" hidden="1">
      <c r="A952" s="280"/>
      <c r="B952" s="280"/>
      <c r="C952" s="617"/>
      <c r="D952" s="1166"/>
      <c r="E952" s="1166"/>
      <c r="F952" s="1166"/>
      <c r="G952" s="1166"/>
      <c r="H952" s="1166"/>
      <c r="I952" s="1167"/>
      <c r="J952" s="1166"/>
      <c r="K952" s="1167"/>
      <c r="L952" s="1166"/>
      <c r="M952" s="1166"/>
      <c r="N952" s="1166"/>
      <c r="O952" s="280"/>
      <c r="P952" s="1167"/>
      <c r="R952" s="587"/>
      <c r="S952" s="587"/>
      <c r="X952" s="370"/>
      <c r="Y952" s="370"/>
      <c r="Z952" s="370"/>
      <c r="AB952" s="370"/>
      <c r="AC952" s="370"/>
    </row>
    <row r="953" hidden="1">
      <c r="A953" s="280"/>
      <c r="B953" s="280"/>
      <c r="C953" s="617"/>
      <c r="D953" s="1166"/>
      <c r="E953" s="1166"/>
      <c r="F953" s="1166"/>
      <c r="G953" s="1166"/>
      <c r="H953" s="1166"/>
      <c r="I953" s="1167"/>
      <c r="J953" s="1166"/>
      <c r="K953" s="1167"/>
      <c r="L953" s="1166"/>
      <c r="M953" s="1166"/>
      <c r="N953" s="1166"/>
      <c r="O953" s="280"/>
      <c r="P953" s="1167"/>
      <c r="R953" s="587"/>
      <c r="S953" s="587"/>
      <c r="X953" s="370"/>
      <c r="Y953" s="370"/>
      <c r="Z953" s="370"/>
      <c r="AB953" s="370"/>
      <c r="AC953" s="370"/>
    </row>
    <row r="954" hidden="1">
      <c r="A954" s="280"/>
      <c r="B954" s="280"/>
      <c r="C954" s="617"/>
      <c r="D954" s="1166"/>
      <c r="E954" s="1166"/>
      <c r="F954" s="1166"/>
      <c r="G954" s="1166"/>
      <c r="H954" s="1166"/>
      <c r="I954" s="1167"/>
      <c r="J954" s="1166"/>
      <c r="K954" s="1167"/>
      <c r="L954" s="1166"/>
      <c r="M954" s="1166"/>
      <c r="N954" s="1166"/>
      <c r="O954" s="280"/>
      <c r="P954" s="1167"/>
      <c r="R954" s="587"/>
      <c r="S954" s="587"/>
      <c r="X954" s="370"/>
      <c r="Y954" s="370"/>
      <c r="Z954" s="370"/>
      <c r="AB954" s="370"/>
      <c r="AC954" s="370"/>
    </row>
    <row r="955" hidden="1">
      <c r="A955" s="280"/>
      <c r="B955" s="280"/>
      <c r="C955" s="617"/>
      <c r="D955" s="1166"/>
      <c r="E955" s="1166"/>
      <c r="F955" s="1166"/>
      <c r="G955" s="1166"/>
      <c r="H955" s="1166"/>
      <c r="I955" s="1167"/>
      <c r="J955" s="1166"/>
      <c r="K955" s="1167"/>
      <c r="L955" s="1166"/>
      <c r="M955" s="1166"/>
      <c r="N955" s="1166"/>
      <c r="O955" s="280"/>
      <c r="P955" s="1167"/>
      <c r="R955" s="587"/>
      <c r="S955" s="587"/>
      <c r="X955" s="370"/>
      <c r="Y955" s="370"/>
      <c r="Z955" s="370"/>
      <c r="AB955" s="370"/>
      <c r="AC955" s="370"/>
    </row>
    <row r="956" hidden="1">
      <c r="A956" s="280"/>
      <c r="B956" s="280"/>
      <c r="C956" s="617"/>
      <c r="D956" s="1166"/>
      <c r="E956" s="1166"/>
      <c r="F956" s="1166"/>
      <c r="G956" s="1166"/>
      <c r="H956" s="1166"/>
      <c r="I956" s="1167"/>
      <c r="J956" s="1166"/>
      <c r="K956" s="1167"/>
      <c r="L956" s="1166"/>
      <c r="M956" s="1166"/>
      <c r="N956" s="1166"/>
      <c r="O956" s="280"/>
      <c r="P956" s="1167"/>
      <c r="R956" s="587"/>
      <c r="S956" s="587"/>
      <c r="X956" s="370"/>
      <c r="Y956" s="370"/>
      <c r="Z956" s="370"/>
      <c r="AB956" s="370"/>
      <c r="AC956" s="370"/>
    </row>
    <row r="957" hidden="1">
      <c r="A957" s="280"/>
      <c r="B957" s="280"/>
      <c r="C957" s="617"/>
      <c r="D957" s="1166"/>
      <c r="E957" s="1166"/>
      <c r="F957" s="1166"/>
      <c r="G957" s="1166"/>
      <c r="H957" s="1166"/>
      <c r="I957" s="1167"/>
      <c r="J957" s="1166"/>
      <c r="K957" s="1167"/>
      <c r="L957" s="1166"/>
      <c r="M957" s="1166"/>
      <c r="N957" s="1166"/>
      <c r="O957" s="280"/>
      <c r="P957" s="1167"/>
      <c r="R957" s="587"/>
      <c r="S957" s="587"/>
      <c r="X957" s="370"/>
      <c r="Y957" s="370"/>
      <c r="Z957" s="370"/>
      <c r="AB957" s="370"/>
      <c r="AC957" s="370"/>
    </row>
    <row r="958" hidden="1">
      <c r="A958" s="280"/>
      <c r="B958" s="280"/>
      <c r="C958" s="617"/>
      <c r="D958" s="1166"/>
      <c r="E958" s="1166"/>
      <c r="F958" s="1166"/>
      <c r="G958" s="1166"/>
      <c r="H958" s="1166"/>
      <c r="I958" s="1167"/>
      <c r="J958" s="1166"/>
      <c r="K958" s="1167"/>
      <c r="L958" s="1166"/>
      <c r="M958" s="1166"/>
      <c r="N958" s="1166"/>
      <c r="O958" s="280"/>
      <c r="P958" s="1167"/>
      <c r="R958" s="587"/>
      <c r="S958" s="587"/>
      <c r="X958" s="370"/>
      <c r="Y958" s="370"/>
      <c r="Z958" s="370"/>
      <c r="AB958" s="370"/>
      <c r="AC958" s="370"/>
    </row>
    <row r="959" hidden="1">
      <c r="A959" s="280"/>
      <c r="B959" s="280"/>
      <c r="C959" s="617"/>
      <c r="D959" s="1166"/>
      <c r="E959" s="1166"/>
      <c r="F959" s="1166"/>
      <c r="G959" s="1166"/>
      <c r="H959" s="1166"/>
      <c r="I959" s="1167"/>
      <c r="J959" s="1166"/>
      <c r="K959" s="1167"/>
      <c r="L959" s="1166"/>
      <c r="M959" s="1166"/>
      <c r="N959" s="1166"/>
      <c r="O959" s="280"/>
      <c r="P959" s="1167"/>
      <c r="R959" s="587"/>
      <c r="S959" s="587"/>
      <c r="X959" s="370"/>
      <c r="Y959" s="370"/>
      <c r="Z959" s="370"/>
      <c r="AB959" s="370"/>
      <c r="AC959" s="370"/>
    </row>
    <row r="960" hidden="1">
      <c r="A960" s="280"/>
      <c r="B960" s="280"/>
      <c r="C960" s="617"/>
      <c r="D960" s="1166"/>
      <c r="E960" s="1166"/>
      <c r="F960" s="1166"/>
      <c r="G960" s="1166"/>
      <c r="H960" s="1166"/>
      <c r="I960" s="1167"/>
      <c r="J960" s="1166"/>
      <c r="K960" s="1167"/>
      <c r="L960" s="1166"/>
      <c r="M960" s="1166"/>
      <c r="N960" s="1166"/>
      <c r="O960" s="280"/>
      <c r="P960" s="1167"/>
      <c r="R960" s="587"/>
      <c r="S960" s="587"/>
      <c r="X960" s="370"/>
      <c r="Y960" s="370"/>
      <c r="Z960" s="370"/>
      <c r="AB960" s="370"/>
      <c r="AC960" s="370"/>
    </row>
    <row r="961" hidden="1">
      <c r="A961" s="280"/>
      <c r="B961" s="280"/>
      <c r="C961" s="617"/>
      <c r="D961" s="1166"/>
      <c r="E961" s="1166"/>
      <c r="F961" s="1166"/>
      <c r="G961" s="1166"/>
      <c r="H961" s="1166"/>
      <c r="I961" s="1167"/>
      <c r="J961" s="1166"/>
      <c r="K961" s="1167"/>
      <c r="L961" s="1166"/>
      <c r="M961" s="1166"/>
      <c r="N961" s="1166"/>
      <c r="O961" s="280"/>
      <c r="P961" s="1167"/>
      <c r="R961" s="587"/>
      <c r="S961" s="587"/>
      <c r="X961" s="370"/>
      <c r="Y961" s="370"/>
      <c r="Z961" s="370"/>
      <c r="AB961" s="370"/>
      <c r="AC961" s="370"/>
    </row>
    <row r="962" hidden="1">
      <c r="A962" s="280"/>
      <c r="B962" s="280"/>
      <c r="C962" s="617"/>
      <c r="D962" s="1166"/>
      <c r="E962" s="1166"/>
      <c r="F962" s="1166"/>
      <c r="G962" s="1166"/>
      <c r="H962" s="1166"/>
      <c r="I962" s="1167"/>
      <c r="J962" s="1166"/>
      <c r="K962" s="1167"/>
      <c r="L962" s="1166"/>
      <c r="M962" s="1166"/>
      <c r="N962" s="1166"/>
      <c r="O962" s="280"/>
      <c r="P962" s="1167"/>
      <c r="R962" s="587"/>
      <c r="S962" s="587"/>
      <c r="X962" s="370"/>
      <c r="Y962" s="370"/>
      <c r="Z962" s="370"/>
      <c r="AB962" s="370"/>
      <c r="AC962" s="370"/>
    </row>
    <row r="963" hidden="1">
      <c r="A963" s="280"/>
      <c r="B963" s="280"/>
      <c r="C963" s="617"/>
      <c r="D963" s="1166"/>
      <c r="E963" s="1166"/>
      <c r="F963" s="1166"/>
      <c r="G963" s="1166"/>
      <c r="H963" s="1166"/>
      <c r="I963" s="1167"/>
      <c r="J963" s="1166"/>
      <c r="K963" s="1167"/>
      <c r="L963" s="1166"/>
      <c r="M963" s="1166"/>
      <c r="N963" s="1166"/>
      <c r="O963" s="280"/>
      <c r="P963" s="1167"/>
      <c r="R963" s="587"/>
      <c r="S963" s="587"/>
      <c r="X963" s="370"/>
      <c r="Y963" s="370"/>
      <c r="Z963" s="370"/>
      <c r="AB963" s="370"/>
      <c r="AC963" s="370"/>
    </row>
    <row r="964" hidden="1">
      <c r="A964" s="280"/>
      <c r="B964" s="280"/>
      <c r="C964" s="617"/>
      <c r="D964" s="1166"/>
      <c r="E964" s="1166"/>
      <c r="F964" s="1166"/>
      <c r="G964" s="1166"/>
      <c r="H964" s="1166"/>
      <c r="I964" s="1167"/>
      <c r="J964" s="1166"/>
      <c r="K964" s="1167"/>
      <c r="L964" s="1166"/>
      <c r="M964" s="1166"/>
      <c r="N964" s="1166"/>
      <c r="O964" s="280"/>
      <c r="P964" s="1167"/>
      <c r="R964" s="587"/>
      <c r="S964" s="587"/>
      <c r="X964" s="370"/>
      <c r="Y964" s="370"/>
      <c r="Z964" s="370"/>
      <c r="AB964" s="370"/>
      <c r="AC964" s="370"/>
    </row>
    <row r="965" hidden="1">
      <c r="A965" s="280"/>
      <c r="B965" s="280"/>
      <c r="C965" s="617"/>
      <c r="D965" s="1166"/>
      <c r="E965" s="1166"/>
      <c r="F965" s="1166"/>
      <c r="G965" s="1166"/>
      <c r="H965" s="1166"/>
      <c r="I965" s="1167"/>
      <c r="J965" s="1166"/>
      <c r="K965" s="1167"/>
      <c r="L965" s="1166"/>
      <c r="M965" s="1166"/>
      <c r="N965" s="1166"/>
      <c r="O965" s="280"/>
      <c r="P965" s="1167"/>
      <c r="R965" s="587"/>
      <c r="S965" s="587"/>
      <c r="X965" s="370"/>
      <c r="Y965" s="370"/>
      <c r="Z965" s="370"/>
      <c r="AB965" s="370"/>
      <c r="AC965" s="370"/>
    </row>
    <row r="966" hidden="1">
      <c r="A966" s="280"/>
      <c r="B966" s="280"/>
      <c r="C966" s="617"/>
      <c r="D966" s="1166"/>
      <c r="E966" s="1166"/>
      <c r="F966" s="1166"/>
      <c r="G966" s="1166"/>
      <c r="H966" s="1166"/>
      <c r="I966" s="1167"/>
      <c r="J966" s="1166"/>
      <c r="K966" s="1167"/>
      <c r="L966" s="1166"/>
      <c r="M966" s="1166"/>
      <c r="N966" s="1166"/>
      <c r="O966" s="280"/>
      <c r="P966" s="1167"/>
      <c r="R966" s="587"/>
      <c r="S966" s="587"/>
      <c r="X966" s="370"/>
      <c r="Y966" s="370"/>
      <c r="Z966" s="370"/>
      <c r="AB966" s="370"/>
      <c r="AC966" s="370"/>
    </row>
    <row r="967" hidden="1">
      <c r="A967" s="280"/>
      <c r="B967" s="280"/>
      <c r="C967" s="617"/>
      <c r="D967" s="1166"/>
      <c r="E967" s="1166"/>
      <c r="F967" s="1166"/>
      <c r="G967" s="1166"/>
      <c r="H967" s="1166"/>
      <c r="I967" s="1167"/>
      <c r="J967" s="1166"/>
      <c r="K967" s="1167"/>
      <c r="L967" s="1166"/>
      <c r="M967" s="1166"/>
      <c r="N967" s="1166"/>
      <c r="O967" s="280"/>
      <c r="P967" s="1167"/>
      <c r="R967" s="587"/>
      <c r="S967" s="587"/>
      <c r="X967" s="370"/>
      <c r="Y967" s="370"/>
      <c r="Z967" s="370"/>
      <c r="AB967" s="370"/>
      <c r="AC967" s="370"/>
    </row>
    <row r="968" hidden="1">
      <c r="A968" s="280"/>
      <c r="B968" s="280"/>
      <c r="C968" s="617"/>
      <c r="D968" s="1166"/>
      <c r="E968" s="1166"/>
      <c r="F968" s="1166"/>
      <c r="G968" s="1166"/>
      <c r="H968" s="1166"/>
      <c r="I968" s="1167"/>
      <c r="J968" s="1166"/>
      <c r="K968" s="1167"/>
      <c r="L968" s="1166"/>
      <c r="M968" s="1166"/>
      <c r="N968" s="1166"/>
      <c r="O968" s="280"/>
      <c r="P968" s="1167"/>
      <c r="R968" s="587"/>
      <c r="S968" s="587"/>
      <c r="X968" s="370"/>
      <c r="Y968" s="370"/>
      <c r="Z968" s="370"/>
      <c r="AB968" s="370"/>
      <c r="AC968" s="370"/>
    </row>
    <row r="969" hidden="1">
      <c r="A969" s="280"/>
      <c r="B969" s="280"/>
      <c r="C969" s="617"/>
      <c r="D969" s="1166"/>
      <c r="E969" s="1166"/>
      <c r="F969" s="1166"/>
      <c r="G969" s="1166"/>
      <c r="H969" s="1166"/>
      <c r="I969" s="1167"/>
      <c r="J969" s="1166"/>
      <c r="K969" s="1167"/>
      <c r="L969" s="1166"/>
      <c r="M969" s="1166"/>
      <c r="N969" s="1166"/>
      <c r="O969" s="280"/>
      <c r="P969" s="1167"/>
      <c r="R969" s="587"/>
      <c r="S969" s="587"/>
      <c r="X969" s="370"/>
      <c r="Y969" s="370"/>
      <c r="Z969" s="370"/>
      <c r="AB969" s="370"/>
      <c r="AC969" s="370"/>
    </row>
    <row r="970" hidden="1">
      <c r="A970" s="280"/>
      <c r="B970" s="280"/>
      <c r="C970" s="617"/>
      <c r="D970" s="1166"/>
      <c r="E970" s="1166"/>
      <c r="F970" s="1166"/>
      <c r="G970" s="1166"/>
      <c r="H970" s="1166"/>
      <c r="I970" s="1167"/>
      <c r="J970" s="1166"/>
      <c r="K970" s="1167"/>
      <c r="L970" s="1166"/>
      <c r="M970" s="1166"/>
      <c r="N970" s="1166"/>
      <c r="O970" s="280"/>
      <c r="P970" s="1167"/>
      <c r="R970" s="587"/>
      <c r="S970" s="587"/>
      <c r="X970" s="370"/>
      <c r="Y970" s="370"/>
      <c r="Z970" s="370"/>
      <c r="AB970" s="370"/>
      <c r="AC970" s="370"/>
    </row>
    <row r="971" hidden="1">
      <c r="A971" s="280"/>
      <c r="B971" s="280"/>
      <c r="C971" s="617"/>
      <c r="D971" s="1166"/>
      <c r="E971" s="1166"/>
      <c r="F971" s="1166"/>
      <c r="G971" s="1166"/>
      <c r="H971" s="1166"/>
      <c r="I971" s="1167"/>
      <c r="J971" s="1166"/>
      <c r="K971" s="1167"/>
      <c r="L971" s="1166"/>
      <c r="M971" s="1166"/>
      <c r="N971" s="1166"/>
      <c r="O971" s="280"/>
      <c r="P971" s="1167"/>
      <c r="R971" s="587"/>
      <c r="S971" s="587"/>
      <c r="X971" s="370"/>
      <c r="Y971" s="370"/>
      <c r="Z971" s="370"/>
      <c r="AB971" s="370"/>
      <c r="AC971" s="370"/>
    </row>
    <row r="972" hidden="1">
      <c r="A972" s="280"/>
      <c r="B972" s="280"/>
      <c r="C972" s="617"/>
      <c r="D972" s="1166"/>
      <c r="E972" s="1166"/>
      <c r="F972" s="1166"/>
      <c r="G972" s="1166"/>
      <c r="H972" s="1166"/>
      <c r="I972" s="1167"/>
      <c r="J972" s="1166"/>
      <c r="K972" s="1167"/>
      <c r="L972" s="1166"/>
      <c r="M972" s="1166"/>
      <c r="N972" s="1166"/>
      <c r="O972" s="280"/>
      <c r="P972" s="1167"/>
      <c r="R972" s="587"/>
      <c r="S972" s="587"/>
      <c r="X972" s="370"/>
      <c r="Y972" s="370"/>
      <c r="Z972" s="370"/>
      <c r="AB972" s="370"/>
      <c r="AC972" s="370"/>
    </row>
    <row r="973" hidden="1">
      <c r="A973" s="280"/>
      <c r="B973" s="280"/>
      <c r="C973" s="617"/>
      <c r="D973" s="1166"/>
      <c r="E973" s="1166"/>
      <c r="F973" s="1166"/>
      <c r="G973" s="1166"/>
      <c r="H973" s="1166"/>
      <c r="I973" s="1167"/>
      <c r="J973" s="1166"/>
      <c r="K973" s="1167"/>
      <c r="L973" s="1166"/>
      <c r="M973" s="1166"/>
      <c r="N973" s="1166"/>
      <c r="O973" s="280"/>
      <c r="P973" s="1167"/>
      <c r="R973" s="587"/>
      <c r="S973" s="587"/>
      <c r="X973" s="370"/>
      <c r="Y973" s="370"/>
      <c r="Z973" s="370"/>
      <c r="AB973" s="370"/>
      <c r="AC973" s="370"/>
    </row>
    <row r="974" hidden="1">
      <c r="A974" s="280"/>
      <c r="B974" s="280"/>
      <c r="C974" s="617"/>
      <c r="D974" s="1166"/>
      <c r="E974" s="1166"/>
      <c r="F974" s="1166"/>
      <c r="G974" s="1166"/>
      <c r="H974" s="1166"/>
      <c r="I974" s="1167"/>
      <c r="J974" s="1166"/>
      <c r="K974" s="1167"/>
      <c r="L974" s="1166"/>
      <c r="M974" s="1166"/>
      <c r="N974" s="1166"/>
      <c r="O974" s="280"/>
      <c r="P974" s="1167"/>
      <c r="R974" s="587"/>
      <c r="S974" s="587"/>
      <c r="X974" s="370"/>
      <c r="Y974" s="370"/>
      <c r="Z974" s="370"/>
      <c r="AB974" s="370"/>
      <c r="AC974" s="370"/>
    </row>
    <row r="975" hidden="1">
      <c r="A975" s="280"/>
      <c r="B975" s="280"/>
      <c r="C975" s="617"/>
      <c r="D975" s="1166"/>
      <c r="E975" s="1166"/>
      <c r="F975" s="1166"/>
      <c r="G975" s="1166"/>
      <c r="H975" s="1166"/>
      <c r="I975" s="1167"/>
      <c r="J975" s="1166"/>
      <c r="K975" s="1167"/>
      <c r="L975" s="1166"/>
      <c r="M975" s="1166"/>
      <c r="N975" s="1166"/>
      <c r="O975" s="280"/>
      <c r="P975" s="1167"/>
      <c r="R975" s="587"/>
      <c r="S975" s="587"/>
      <c r="X975" s="370"/>
      <c r="Y975" s="370"/>
      <c r="Z975" s="370"/>
      <c r="AB975" s="370"/>
      <c r="AC975" s="370"/>
    </row>
    <row r="976" hidden="1">
      <c r="A976" s="280"/>
      <c r="B976" s="280"/>
      <c r="C976" s="617"/>
      <c r="D976" s="1166"/>
      <c r="E976" s="1166"/>
      <c r="F976" s="1166"/>
      <c r="G976" s="1166"/>
      <c r="H976" s="1166"/>
      <c r="I976" s="1167"/>
      <c r="J976" s="1166"/>
      <c r="K976" s="1167"/>
      <c r="L976" s="1166"/>
      <c r="M976" s="1166"/>
      <c r="N976" s="1166"/>
      <c r="O976" s="280"/>
      <c r="P976" s="1167"/>
      <c r="R976" s="587"/>
      <c r="S976" s="587"/>
      <c r="X976" s="370"/>
      <c r="Y976" s="370"/>
      <c r="Z976" s="370"/>
      <c r="AB976" s="370"/>
      <c r="AC976" s="370"/>
    </row>
    <row r="977" hidden="1">
      <c r="A977" s="280"/>
      <c r="B977" s="280"/>
      <c r="C977" s="617"/>
      <c r="D977" s="1166"/>
      <c r="E977" s="1166"/>
      <c r="F977" s="1166"/>
      <c r="G977" s="1166"/>
      <c r="H977" s="1166"/>
      <c r="I977" s="1167"/>
      <c r="J977" s="1166"/>
      <c r="K977" s="1167"/>
      <c r="L977" s="1166"/>
      <c r="M977" s="1166"/>
      <c r="N977" s="1166"/>
      <c r="O977" s="280"/>
      <c r="P977" s="1167"/>
      <c r="R977" s="587"/>
      <c r="S977" s="587"/>
      <c r="X977" s="370"/>
      <c r="Y977" s="370"/>
      <c r="Z977" s="370"/>
      <c r="AB977" s="370"/>
      <c r="AC977" s="370"/>
    </row>
    <row r="978" hidden="1">
      <c r="A978" s="280"/>
      <c r="B978" s="280"/>
      <c r="C978" s="617"/>
      <c r="D978" s="1166"/>
      <c r="E978" s="1166"/>
      <c r="F978" s="1166"/>
      <c r="G978" s="1166"/>
      <c r="H978" s="1166"/>
      <c r="I978" s="1167"/>
      <c r="J978" s="1166"/>
      <c r="K978" s="1167"/>
      <c r="L978" s="1166"/>
      <c r="M978" s="1166"/>
      <c r="N978" s="1166"/>
      <c r="O978" s="280"/>
      <c r="P978" s="1167"/>
      <c r="R978" s="587"/>
      <c r="S978" s="587"/>
      <c r="X978" s="370"/>
      <c r="Y978" s="370"/>
      <c r="Z978" s="370"/>
      <c r="AB978" s="370"/>
      <c r="AC978" s="370"/>
    </row>
    <row r="979" hidden="1">
      <c r="A979" s="280"/>
      <c r="B979" s="280"/>
      <c r="C979" s="617"/>
      <c r="D979" s="1166"/>
      <c r="E979" s="1166"/>
      <c r="F979" s="1166"/>
      <c r="G979" s="1166"/>
      <c r="H979" s="1166"/>
      <c r="I979" s="1167"/>
      <c r="J979" s="1166"/>
      <c r="K979" s="1167"/>
      <c r="L979" s="1166"/>
      <c r="M979" s="1166"/>
      <c r="N979" s="1166"/>
      <c r="O979" s="280"/>
      <c r="P979" s="1167"/>
      <c r="R979" s="587"/>
      <c r="S979" s="587"/>
      <c r="X979" s="370"/>
      <c r="Y979" s="370"/>
      <c r="Z979" s="370"/>
      <c r="AB979" s="370"/>
      <c r="AC979" s="370"/>
    </row>
    <row r="980" hidden="1">
      <c r="A980" s="280"/>
      <c r="B980" s="280"/>
      <c r="C980" s="617"/>
      <c r="D980" s="1166"/>
      <c r="E980" s="1166"/>
      <c r="F980" s="1166"/>
      <c r="G980" s="1166"/>
      <c r="H980" s="1166"/>
      <c r="I980" s="1167"/>
      <c r="J980" s="1166"/>
      <c r="K980" s="1167"/>
      <c r="L980" s="1166"/>
      <c r="M980" s="1166"/>
      <c r="N980" s="1166"/>
      <c r="O980" s="280"/>
      <c r="P980" s="1167"/>
      <c r="R980" s="587"/>
      <c r="S980" s="587"/>
      <c r="X980" s="370"/>
      <c r="Y980" s="370"/>
      <c r="Z980" s="370"/>
      <c r="AB980" s="370"/>
      <c r="AC980" s="370"/>
    </row>
    <row r="981" hidden="1">
      <c r="A981" s="280"/>
      <c r="B981" s="280"/>
      <c r="C981" s="617"/>
      <c r="D981" s="1166"/>
      <c r="E981" s="1166"/>
      <c r="F981" s="1166"/>
      <c r="G981" s="1166"/>
      <c r="H981" s="1166"/>
      <c r="I981" s="1167"/>
      <c r="J981" s="1166"/>
      <c r="K981" s="1167"/>
      <c r="L981" s="1166"/>
      <c r="M981" s="1166"/>
      <c r="N981" s="1166"/>
      <c r="O981" s="280"/>
      <c r="P981" s="1167"/>
      <c r="R981" s="587"/>
      <c r="S981" s="587"/>
      <c r="X981" s="370"/>
      <c r="Y981" s="370"/>
      <c r="Z981" s="370"/>
      <c r="AB981" s="370"/>
      <c r="AC981" s="370"/>
    </row>
    <row r="982" hidden="1">
      <c r="A982" s="280"/>
      <c r="B982" s="280"/>
      <c r="C982" s="617"/>
      <c r="D982" s="1166"/>
      <c r="E982" s="1166"/>
      <c r="F982" s="1166"/>
      <c r="G982" s="1166"/>
      <c r="H982" s="1166"/>
      <c r="I982" s="1167"/>
      <c r="J982" s="1166"/>
      <c r="K982" s="1167"/>
      <c r="L982" s="1166"/>
      <c r="M982" s="1166"/>
      <c r="N982" s="1166"/>
      <c r="O982" s="280"/>
      <c r="P982" s="1167"/>
      <c r="R982" s="587"/>
      <c r="S982" s="587"/>
      <c r="X982" s="370"/>
      <c r="Y982" s="370"/>
      <c r="Z982" s="370"/>
      <c r="AB982" s="370"/>
      <c r="AC982" s="370"/>
    </row>
    <row r="983" hidden="1">
      <c r="A983" s="280"/>
      <c r="B983" s="280"/>
      <c r="C983" s="617"/>
      <c r="D983" s="1166"/>
      <c r="E983" s="1166"/>
      <c r="F983" s="1166"/>
      <c r="G983" s="1166"/>
      <c r="H983" s="1166"/>
      <c r="I983" s="1167"/>
      <c r="J983" s="1166"/>
      <c r="K983" s="1167"/>
      <c r="L983" s="1166"/>
      <c r="M983" s="1166"/>
      <c r="N983" s="1166"/>
      <c r="O983" s="280"/>
      <c r="P983" s="1167"/>
      <c r="R983" s="587"/>
      <c r="S983" s="587"/>
      <c r="X983" s="370"/>
      <c r="Y983" s="370"/>
      <c r="Z983" s="370"/>
      <c r="AB983" s="370"/>
      <c r="AC983" s="370"/>
    </row>
    <row r="984" hidden="1">
      <c r="A984" s="280"/>
      <c r="B984" s="280"/>
      <c r="C984" s="617"/>
      <c r="D984" s="1166"/>
      <c r="E984" s="1166"/>
      <c r="F984" s="1166"/>
      <c r="G984" s="1166"/>
      <c r="H984" s="1166"/>
      <c r="I984" s="1167"/>
      <c r="J984" s="1166"/>
      <c r="K984" s="1167"/>
      <c r="L984" s="1166"/>
      <c r="M984" s="1166"/>
      <c r="N984" s="1166"/>
      <c r="O984" s="280"/>
      <c r="P984" s="1167"/>
      <c r="R984" s="587"/>
      <c r="S984" s="587"/>
      <c r="X984" s="370"/>
      <c r="Y984" s="370"/>
      <c r="Z984" s="370"/>
      <c r="AB984" s="370"/>
      <c r="AC984" s="370"/>
    </row>
    <row r="985" hidden="1">
      <c r="A985" s="280"/>
      <c r="B985" s="280"/>
      <c r="C985" s="617"/>
      <c r="D985" s="1166"/>
      <c r="E985" s="1166"/>
      <c r="F985" s="1166"/>
      <c r="G985" s="1166"/>
      <c r="H985" s="1166"/>
      <c r="I985" s="1167"/>
      <c r="J985" s="1166"/>
      <c r="K985" s="1167"/>
      <c r="L985" s="1166"/>
      <c r="M985" s="1166"/>
      <c r="N985" s="1166"/>
      <c r="O985" s="280"/>
      <c r="P985" s="1167"/>
      <c r="R985" s="587"/>
      <c r="S985" s="587"/>
      <c r="X985" s="370"/>
      <c r="Y985" s="370"/>
      <c r="Z985" s="370"/>
      <c r="AB985" s="370"/>
      <c r="AC985" s="370"/>
    </row>
    <row r="986" hidden="1">
      <c r="A986" s="280"/>
      <c r="B986" s="280"/>
      <c r="C986" s="617"/>
      <c r="D986" s="1166"/>
      <c r="E986" s="1166"/>
      <c r="F986" s="1166"/>
      <c r="G986" s="1166"/>
      <c r="H986" s="1166"/>
      <c r="I986" s="1167"/>
      <c r="J986" s="1166"/>
      <c r="K986" s="1167"/>
      <c r="L986" s="1166"/>
      <c r="M986" s="1166"/>
      <c r="N986" s="1166"/>
      <c r="O986" s="280"/>
      <c r="P986" s="1167"/>
      <c r="R986" s="587"/>
      <c r="S986" s="587"/>
      <c r="X986" s="370"/>
      <c r="Y986" s="370"/>
      <c r="Z986" s="370"/>
      <c r="AB986" s="370"/>
      <c r="AC986" s="370"/>
    </row>
    <row r="987" hidden="1">
      <c r="A987" s="280"/>
      <c r="B987" s="280"/>
      <c r="C987" s="617"/>
      <c r="D987" s="1166"/>
      <c r="E987" s="1166"/>
      <c r="F987" s="1166"/>
      <c r="G987" s="1166"/>
      <c r="H987" s="1166"/>
      <c r="I987" s="1167"/>
      <c r="J987" s="1166"/>
      <c r="K987" s="1167"/>
      <c r="L987" s="1166"/>
      <c r="M987" s="1166"/>
      <c r="N987" s="1166"/>
      <c r="O987" s="280"/>
      <c r="P987" s="1167"/>
      <c r="R987" s="587"/>
      <c r="S987" s="587"/>
      <c r="X987" s="370"/>
      <c r="Y987" s="370"/>
      <c r="Z987" s="370"/>
      <c r="AB987" s="370"/>
      <c r="AC987" s="370"/>
    </row>
    <row r="988" hidden="1">
      <c r="A988" s="280"/>
      <c r="B988" s="280"/>
      <c r="C988" s="617"/>
      <c r="D988" s="1166"/>
      <c r="E988" s="1166"/>
      <c r="F988" s="1166"/>
      <c r="G988" s="1166"/>
      <c r="H988" s="1166"/>
      <c r="I988" s="1167"/>
      <c r="J988" s="1166"/>
      <c r="K988" s="1167"/>
      <c r="L988" s="1166"/>
      <c r="M988" s="1166"/>
      <c r="N988" s="1166"/>
      <c r="O988" s="280"/>
      <c r="P988" s="1167"/>
      <c r="R988" s="587"/>
      <c r="S988" s="587"/>
      <c r="X988" s="370"/>
      <c r="Y988" s="370"/>
      <c r="Z988" s="370"/>
      <c r="AB988" s="370"/>
      <c r="AC988" s="370"/>
    </row>
    <row r="989" hidden="1">
      <c r="A989" s="280"/>
      <c r="B989" s="280"/>
      <c r="C989" s="617"/>
      <c r="D989" s="1166"/>
      <c r="E989" s="1166"/>
      <c r="F989" s="1166"/>
      <c r="G989" s="1166"/>
      <c r="H989" s="1166"/>
      <c r="I989" s="1167"/>
      <c r="J989" s="1166"/>
      <c r="K989" s="1167"/>
      <c r="L989" s="1166"/>
      <c r="M989" s="1166"/>
      <c r="N989" s="1166"/>
      <c r="O989" s="280"/>
      <c r="P989" s="1167"/>
      <c r="R989" s="587"/>
      <c r="S989" s="587"/>
      <c r="X989" s="370"/>
      <c r="Y989" s="370"/>
      <c r="Z989" s="370"/>
      <c r="AB989" s="370"/>
      <c r="AC989" s="370"/>
    </row>
    <row r="990" hidden="1">
      <c r="A990" s="280"/>
      <c r="B990" s="280"/>
      <c r="C990" s="617"/>
      <c r="D990" s="1166"/>
      <c r="E990" s="1166"/>
      <c r="F990" s="1166"/>
      <c r="G990" s="1166"/>
      <c r="H990" s="1166"/>
      <c r="I990" s="1167"/>
      <c r="J990" s="1166"/>
      <c r="K990" s="1167"/>
      <c r="L990" s="1166"/>
      <c r="M990" s="1166"/>
      <c r="N990" s="1166"/>
      <c r="O990" s="280"/>
      <c r="P990" s="1167"/>
      <c r="R990" s="587"/>
      <c r="S990" s="587"/>
      <c r="X990" s="370"/>
      <c r="Y990" s="370"/>
      <c r="Z990" s="370"/>
      <c r="AB990" s="370"/>
      <c r="AC990" s="370"/>
    </row>
    <row r="991" hidden="1">
      <c r="A991" s="280"/>
      <c r="B991" s="280"/>
      <c r="C991" s="617"/>
      <c r="D991" s="1166"/>
      <c r="E991" s="1166"/>
      <c r="F991" s="1166"/>
      <c r="G991" s="1166"/>
      <c r="H991" s="1166"/>
      <c r="I991" s="1167"/>
      <c r="J991" s="1166"/>
      <c r="K991" s="1167"/>
      <c r="L991" s="1166"/>
      <c r="M991" s="1166"/>
      <c r="N991" s="1166"/>
      <c r="O991" s="280"/>
      <c r="P991" s="1167"/>
      <c r="R991" s="587"/>
      <c r="S991" s="587"/>
      <c r="X991" s="370"/>
      <c r="Y991" s="370"/>
      <c r="Z991" s="370"/>
      <c r="AB991" s="370"/>
      <c r="AC991" s="370"/>
    </row>
    <row r="992" hidden="1">
      <c r="A992" s="280"/>
      <c r="B992" s="280"/>
      <c r="C992" s="617"/>
      <c r="D992" s="1166"/>
      <c r="E992" s="1166"/>
      <c r="F992" s="1166"/>
      <c r="G992" s="1166"/>
      <c r="H992" s="1166"/>
      <c r="I992" s="1167"/>
      <c r="J992" s="1166"/>
      <c r="K992" s="1167"/>
      <c r="L992" s="1166"/>
      <c r="M992" s="1166"/>
      <c r="N992" s="1166"/>
      <c r="O992" s="280"/>
      <c r="P992" s="1167"/>
      <c r="R992" s="587"/>
      <c r="S992" s="587"/>
      <c r="X992" s="370"/>
      <c r="Y992" s="370"/>
      <c r="Z992" s="370"/>
      <c r="AB992" s="370"/>
      <c r="AC992" s="370"/>
    </row>
    <row r="993" hidden="1">
      <c r="A993" s="280"/>
      <c r="B993" s="280"/>
      <c r="C993" s="617"/>
      <c r="D993" s="1166"/>
      <c r="E993" s="1166"/>
      <c r="F993" s="1166"/>
      <c r="G993" s="1166"/>
      <c r="H993" s="1166"/>
      <c r="I993" s="1167"/>
      <c r="J993" s="1166"/>
      <c r="K993" s="1167"/>
      <c r="L993" s="1166"/>
      <c r="M993" s="1166"/>
      <c r="N993" s="1166"/>
      <c r="O993" s="280"/>
      <c r="P993" s="1167"/>
      <c r="R993" s="587"/>
      <c r="S993" s="587"/>
      <c r="X993" s="370"/>
      <c r="Y993" s="370"/>
      <c r="Z993" s="370"/>
      <c r="AB993" s="370"/>
      <c r="AC993" s="370"/>
    </row>
    <row r="994" hidden="1">
      <c r="A994" s="280"/>
      <c r="B994" s="280"/>
      <c r="C994" s="617"/>
      <c r="D994" s="1166"/>
      <c r="E994" s="1166"/>
      <c r="F994" s="1166"/>
      <c r="G994" s="1166"/>
      <c r="H994" s="1166"/>
      <c r="I994" s="1167"/>
      <c r="J994" s="1166"/>
      <c r="K994" s="1167"/>
      <c r="L994" s="1166"/>
      <c r="M994" s="1166"/>
      <c r="N994" s="1166"/>
      <c r="O994" s="280"/>
      <c r="P994" s="1167"/>
      <c r="R994" s="587"/>
      <c r="S994" s="587"/>
      <c r="X994" s="370"/>
      <c r="Y994" s="370"/>
      <c r="Z994" s="370"/>
      <c r="AB994" s="370"/>
      <c r="AC994" s="370"/>
    </row>
    <row r="995" hidden="1">
      <c r="A995" s="280"/>
      <c r="B995" s="280"/>
      <c r="C995" s="617"/>
      <c r="D995" s="1166"/>
      <c r="E995" s="1166"/>
      <c r="F995" s="1166"/>
      <c r="G995" s="1166"/>
      <c r="H995" s="1166"/>
      <c r="I995" s="1167"/>
      <c r="J995" s="1166"/>
      <c r="K995" s="1167"/>
      <c r="L995" s="1166"/>
      <c r="M995" s="1166"/>
      <c r="N995" s="1166"/>
      <c r="O995" s="280"/>
      <c r="P995" s="1167"/>
      <c r="R995" s="587"/>
      <c r="S995" s="587"/>
      <c r="X995" s="370"/>
      <c r="Y995" s="370"/>
      <c r="Z995" s="370"/>
      <c r="AB995" s="370"/>
      <c r="AC995" s="370"/>
    </row>
    <row r="996" hidden="1">
      <c r="A996" s="280"/>
      <c r="B996" s="280"/>
      <c r="C996" s="617"/>
      <c r="D996" s="1166"/>
      <c r="E996" s="1166"/>
      <c r="F996" s="1166"/>
      <c r="G996" s="1166"/>
      <c r="H996" s="1166"/>
      <c r="I996" s="1167"/>
      <c r="J996" s="1166"/>
      <c r="K996" s="1167"/>
      <c r="L996" s="1166"/>
      <c r="M996" s="1166"/>
      <c r="N996" s="1166"/>
      <c r="O996" s="280"/>
      <c r="P996" s="1167"/>
      <c r="R996" s="587"/>
      <c r="S996" s="587"/>
      <c r="X996" s="370"/>
      <c r="Y996" s="370"/>
      <c r="Z996" s="370"/>
      <c r="AB996" s="370"/>
      <c r="AC996" s="370"/>
    </row>
    <row r="997" hidden="1">
      <c r="A997" s="280"/>
      <c r="B997" s="280"/>
      <c r="C997" s="617"/>
      <c r="D997" s="1166"/>
      <c r="E997" s="1166"/>
      <c r="F997" s="1166"/>
      <c r="G997" s="1166"/>
      <c r="H997" s="1166"/>
      <c r="I997" s="1167"/>
      <c r="J997" s="1166"/>
      <c r="K997" s="1167"/>
      <c r="L997" s="1166"/>
      <c r="M997" s="1166"/>
      <c r="N997" s="1166"/>
      <c r="O997" s="280"/>
      <c r="P997" s="1167"/>
      <c r="R997" s="587"/>
      <c r="S997" s="587"/>
      <c r="X997" s="370"/>
      <c r="Y997" s="370"/>
      <c r="Z997" s="370"/>
      <c r="AB997" s="370"/>
      <c r="AC997" s="370"/>
    </row>
    <row r="998" hidden="1">
      <c r="A998" s="280"/>
      <c r="B998" s="280"/>
      <c r="C998" s="617"/>
      <c r="D998" s="1166"/>
      <c r="E998" s="1166"/>
      <c r="F998" s="1166"/>
      <c r="G998" s="1166"/>
      <c r="H998" s="1166"/>
      <c r="I998" s="1167"/>
      <c r="J998" s="1166"/>
      <c r="K998" s="1167"/>
      <c r="L998" s="1166"/>
      <c r="M998" s="1166"/>
      <c r="N998" s="1166"/>
      <c r="O998" s="280"/>
      <c r="P998" s="1167"/>
      <c r="R998" s="587"/>
      <c r="S998" s="587"/>
      <c r="X998" s="370"/>
      <c r="Y998" s="370"/>
      <c r="Z998" s="370"/>
      <c r="AB998" s="370"/>
      <c r="AC998" s="370"/>
    </row>
    <row r="999" hidden="1">
      <c r="A999" s="280"/>
      <c r="B999" s="280"/>
      <c r="C999" s="617"/>
      <c r="D999" s="1166"/>
      <c r="E999" s="1166"/>
      <c r="F999" s="1166"/>
      <c r="G999" s="1166"/>
      <c r="H999" s="1166"/>
      <c r="I999" s="1167"/>
      <c r="J999" s="1166"/>
      <c r="K999" s="1167"/>
      <c r="L999" s="1166"/>
      <c r="M999" s="1166"/>
      <c r="N999" s="1166"/>
      <c r="O999" s="280"/>
      <c r="P999" s="1167"/>
      <c r="R999" s="587"/>
      <c r="S999" s="587"/>
      <c r="X999" s="370"/>
      <c r="Y999" s="370"/>
      <c r="Z999" s="370"/>
      <c r="AB999" s="370"/>
      <c r="AC999" s="370"/>
    </row>
    <row r="1000" hidden="1">
      <c r="A1000" s="280"/>
      <c r="B1000" s="280"/>
      <c r="C1000" s="617"/>
      <c r="D1000" s="1166"/>
      <c r="E1000" s="1166"/>
      <c r="F1000" s="1166"/>
      <c r="G1000" s="1166"/>
      <c r="H1000" s="1166"/>
      <c r="I1000" s="1167"/>
      <c r="J1000" s="1166"/>
      <c r="K1000" s="1167"/>
      <c r="L1000" s="1166"/>
      <c r="M1000" s="1166"/>
      <c r="N1000" s="1166"/>
      <c r="O1000" s="280"/>
      <c r="P1000" s="1167"/>
      <c r="R1000" s="587"/>
      <c r="S1000" s="587"/>
      <c r="X1000" s="370"/>
      <c r="Y1000" s="370"/>
      <c r="Z1000" s="370"/>
      <c r="AB1000" s="370"/>
      <c r="AC1000" s="370"/>
    </row>
    <row r="1001" hidden="1">
      <c r="A1001" s="280"/>
      <c r="B1001" s="280"/>
      <c r="C1001" s="617"/>
      <c r="D1001" s="1166"/>
      <c r="E1001" s="1166"/>
      <c r="F1001" s="1166"/>
      <c r="G1001" s="1166"/>
      <c r="H1001" s="1166"/>
      <c r="I1001" s="1167"/>
      <c r="J1001" s="1166"/>
      <c r="K1001" s="1167"/>
      <c r="L1001" s="1166"/>
      <c r="M1001" s="1166"/>
      <c r="N1001" s="1166"/>
      <c r="O1001" s="280"/>
      <c r="P1001" s="1167"/>
      <c r="R1001" s="587"/>
      <c r="S1001" s="587"/>
      <c r="X1001" s="370"/>
      <c r="Y1001" s="370"/>
      <c r="Z1001" s="370"/>
      <c r="AB1001" s="370"/>
      <c r="AC1001" s="370"/>
    </row>
    <row r="1002" hidden="1">
      <c r="A1002" s="280"/>
      <c r="B1002" s="280"/>
      <c r="C1002" s="617"/>
      <c r="D1002" s="1166"/>
      <c r="E1002" s="1166"/>
      <c r="F1002" s="1166"/>
      <c r="G1002" s="1166"/>
      <c r="H1002" s="1166"/>
      <c r="I1002" s="1167"/>
      <c r="J1002" s="1166"/>
      <c r="K1002" s="1167"/>
      <c r="L1002" s="1166"/>
      <c r="M1002" s="1166"/>
      <c r="N1002" s="1166"/>
      <c r="O1002" s="280"/>
      <c r="P1002" s="1167"/>
      <c r="R1002" s="587"/>
      <c r="S1002" s="587"/>
      <c r="X1002" s="370"/>
      <c r="Y1002" s="370"/>
      <c r="Z1002" s="370"/>
      <c r="AB1002" s="370"/>
      <c r="AC1002" s="370"/>
    </row>
    <row r="1003" hidden="1">
      <c r="A1003" s="280"/>
      <c r="B1003" s="280"/>
      <c r="C1003" s="617"/>
      <c r="D1003" s="1166"/>
      <c r="E1003" s="1166"/>
      <c r="F1003" s="1166"/>
      <c r="G1003" s="1166"/>
      <c r="H1003" s="1166"/>
      <c r="I1003" s="1167"/>
      <c r="J1003" s="1166"/>
      <c r="K1003" s="1167"/>
      <c r="L1003" s="1166"/>
      <c r="M1003" s="1166"/>
      <c r="N1003" s="1166"/>
      <c r="O1003" s="280"/>
      <c r="P1003" s="1167"/>
      <c r="R1003" s="587"/>
      <c r="S1003" s="587"/>
      <c r="X1003" s="370"/>
      <c r="Y1003" s="370"/>
      <c r="Z1003" s="370"/>
      <c r="AB1003" s="370"/>
      <c r="AC1003" s="370"/>
    </row>
    <row r="1004" hidden="1">
      <c r="A1004" s="280"/>
      <c r="B1004" s="280"/>
      <c r="C1004" s="617"/>
      <c r="D1004" s="1166"/>
      <c r="E1004" s="1166"/>
      <c r="F1004" s="1166"/>
      <c r="G1004" s="1166"/>
      <c r="H1004" s="1166"/>
      <c r="I1004" s="1167"/>
      <c r="J1004" s="1166"/>
      <c r="K1004" s="1167"/>
      <c r="L1004" s="1166"/>
      <c r="M1004" s="1166"/>
      <c r="N1004" s="1166"/>
      <c r="O1004" s="280"/>
      <c r="P1004" s="1167"/>
      <c r="R1004" s="587"/>
      <c r="S1004" s="587"/>
      <c r="X1004" s="370"/>
      <c r="Y1004" s="370"/>
      <c r="Z1004" s="370"/>
      <c r="AB1004" s="370"/>
      <c r="AC1004" s="370"/>
    </row>
    <row r="1005" hidden="1">
      <c r="A1005" s="280"/>
      <c r="B1005" s="280"/>
      <c r="C1005" s="617"/>
      <c r="D1005" s="1166"/>
      <c r="E1005" s="1166"/>
      <c r="F1005" s="1166"/>
      <c r="G1005" s="1166"/>
      <c r="H1005" s="1166"/>
      <c r="I1005" s="1167"/>
      <c r="J1005" s="1166"/>
      <c r="K1005" s="1167"/>
      <c r="L1005" s="1166"/>
      <c r="M1005" s="1166"/>
      <c r="N1005" s="1166"/>
      <c r="O1005" s="280"/>
      <c r="P1005" s="1167"/>
      <c r="R1005" s="587"/>
      <c r="S1005" s="587"/>
      <c r="X1005" s="370"/>
      <c r="Y1005" s="370"/>
      <c r="Z1005" s="370"/>
      <c r="AB1005" s="370"/>
      <c r="AC1005" s="370"/>
    </row>
    <row r="1006" hidden="1">
      <c r="A1006" s="280"/>
      <c r="B1006" s="280"/>
      <c r="C1006" s="617"/>
      <c r="D1006" s="1166"/>
      <c r="E1006" s="1166"/>
      <c r="F1006" s="1166"/>
      <c r="G1006" s="1166"/>
      <c r="H1006" s="1166"/>
      <c r="I1006" s="1167"/>
      <c r="J1006" s="1166"/>
      <c r="K1006" s="1167"/>
      <c r="L1006" s="1166"/>
      <c r="M1006" s="1166"/>
      <c r="N1006" s="1166"/>
      <c r="O1006" s="280"/>
      <c r="P1006" s="1167"/>
      <c r="R1006" s="587"/>
      <c r="S1006" s="587"/>
      <c r="X1006" s="370"/>
      <c r="Y1006" s="370"/>
      <c r="Z1006" s="370"/>
      <c r="AB1006" s="370"/>
      <c r="AC1006" s="370"/>
    </row>
    <row r="1007" hidden="1">
      <c r="A1007" s="280"/>
      <c r="B1007" s="280"/>
      <c r="C1007" s="617"/>
      <c r="D1007" s="1166"/>
      <c r="E1007" s="1166"/>
      <c r="F1007" s="1166"/>
      <c r="G1007" s="1166"/>
      <c r="H1007" s="1166"/>
      <c r="I1007" s="1167"/>
      <c r="J1007" s="1166"/>
      <c r="K1007" s="1167"/>
      <c r="L1007" s="1166"/>
      <c r="M1007" s="1166"/>
      <c r="N1007" s="1166"/>
      <c r="O1007" s="280"/>
      <c r="P1007" s="1167"/>
      <c r="R1007" s="587"/>
      <c r="S1007" s="587"/>
      <c r="X1007" s="370"/>
      <c r="Y1007" s="370"/>
      <c r="Z1007" s="370"/>
      <c r="AB1007" s="370"/>
      <c r="AC1007" s="370"/>
    </row>
    <row r="1008" hidden="1">
      <c r="A1008" s="280"/>
      <c r="B1008" s="280"/>
      <c r="C1008" s="617"/>
      <c r="D1008" s="1166"/>
      <c r="E1008" s="1166"/>
      <c r="F1008" s="1166"/>
      <c r="G1008" s="1166"/>
      <c r="H1008" s="1166"/>
      <c r="I1008" s="1167"/>
      <c r="J1008" s="1166"/>
      <c r="K1008" s="1167"/>
      <c r="L1008" s="1166"/>
      <c r="M1008" s="1166"/>
      <c r="N1008" s="1166"/>
      <c r="O1008" s="280"/>
      <c r="P1008" s="1167"/>
      <c r="R1008" s="587"/>
      <c r="S1008" s="587"/>
      <c r="X1008" s="370"/>
      <c r="Y1008" s="370"/>
      <c r="Z1008" s="370"/>
      <c r="AB1008" s="370"/>
      <c r="AC1008" s="370"/>
    </row>
    <row r="1009" hidden="1">
      <c r="A1009" s="280"/>
      <c r="B1009" s="280"/>
      <c r="C1009" s="617"/>
      <c r="D1009" s="1166"/>
      <c r="E1009" s="1166"/>
      <c r="F1009" s="1166"/>
      <c r="G1009" s="1166"/>
      <c r="H1009" s="1166"/>
      <c r="I1009" s="1167"/>
      <c r="J1009" s="1166"/>
      <c r="K1009" s="1167"/>
      <c r="L1009" s="1166"/>
      <c r="M1009" s="1166"/>
      <c r="N1009" s="1166"/>
      <c r="O1009" s="280"/>
      <c r="P1009" s="1167"/>
      <c r="R1009" s="587"/>
      <c r="S1009" s="587"/>
      <c r="X1009" s="370"/>
      <c r="Y1009" s="370"/>
      <c r="Z1009" s="370"/>
      <c r="AB1009" s="370"/>
      <c r="AC1009" s="370"/>
    </row>
    <row r="1010" hidden="1">
      <c r="A1010" s="280"/>
      <c r="B1010" s="280"/>
      <c r="C1010" s="617"/>
      <c r="D1010" s="1166"/>
      <c r="E1010" s="1166"/>
      <c r="F1010" s="1166"/>
      <c r="G1010" s="1166"/>
      <c r="H1010" s="1166"/>
      <c r="I1010" s="1167"/>
      <c r="J1010" s="1166"/>
      <c r="K1010" s="1167"/>
      <c r="L1010" s="1166"/>
      <c r="M1010" s="1166"/>
      <c r="N1010" s="1166"/>
      <c r="O1010" s="280"/>
      <c r="P1010" s="1167"/>
      <c r="R1010" s="587"/>
      <c r="S1010" s="587"/>
      <c r="X1010" s="370"/>
      <c r="Y1010" s="370"/>
      <c r="Z1010" s="370"/>
      <c r="AB1010" s="370"/>
      <c r="AC1010" s="370"/>
    </row>
    <row r="1011" hidden="1">
      <c r="A1011" s="280"/>
      <c r="B1011" s="280"/>
      <c r="C1011" s="617"/>
      <c r="D1011" s="1166"/>
      <c r="E1011" s="1166"/>
      <c r="F1011" s="1166"/>
      <c r="G1011" s="1166"/>
      <c r="H1011" s="1166"/>
      <c r="I1011" s="1167"/>
      <c r="J1011" s="1166"/>
      <c r="K1011" s="1167"/>
      <c r="L1011" s="1166"/>
      <c r="M1011" s="1166"/>
      <c r="N1011" s="1166"/>
      <c r="O1011" s="280"/>
      <c r="P1011" s="1167"/>
      <c r="R1011" s="587"/>
      <c r="S1011" s="587"/>
      <c r="X1011" s="370"/>
      <c r="Y1011" s="370"/>
      <c r="Z1011" s="370"/>
      <c r="AB1011" s="370"/>
      <c r="AC1011" s="370"/>
    </row>
    <row r="1012" hidden="1">
      <c r="A1012" s="280"/>
      <c r="B1012" s="280"/>
      <c r="C1012" s="617"/>
      <c r="D1012" s="1166"/>
      <c r="E1012" s="1166"/>
      <c r="F1012" s="1166"/>
      <c r="G1012" s="1166"/>
      <c r="H1012" s="1166"/>
      <c r="I1012" s="1167"/>
      <c r="J1012" s="1166"/>
      <c r="K1012" s="1167"/>
      <c r="L1012" s="1166"/>
      <c r="M1012" s="1166"/>
      <c r="N1012" s="1166"/>
      <c r="O1012" s="280"/>
      <c r="P1012" s="1167"/>
      <c r="R1012" s="587"/>
      <c r="S1012" s="587"/>
      <c r="X1012" s="370"/>
      <c r="Y1012" s="370"/>
      <c r="Z1012" s="370"/>
      <c r="AB1012" s="370"/>
      <c r="AC1012" s="370"/>
    </row>
    <row r="1013" hidden="1">
      <c r="A1013" s="280"/>
      <c r="B1013" s="280"/>
      <c r="C1013" s="617"/>
      <c r="D1013" s="1166"/>
      <c r="E1013" s="1166"/>
      <c r="F1013" s="1166"/>
      <c r="G1013" s="1166"/>
      <c r="H1013" s="1166"/>
      <c r="I1013" s="1167"/>
      <c r="J1013" s="1166"/>
      <c r="K1013" s="1167"/>
      <c r="L1013" s="1166"/>
      <c r="M1013" s="1166"/>
      <c r="N1013" s="1166"/>
      <c r="O1013" s="280"/>
      <c r="P1013" s="1167"/>
      <c r="R1013" s="587"/>
      <c r="S1013" s="587"/>
      <c r="X1013" s="370"/>
      <c r="Y1013" s="370"/>
      <c r="Z1013" s="370"/>
      <c r="AB1013" s="370"/>
      <c r="AC1013" s="370"/>
    </row>
    <row r="1014" hidden="1">
      <c r="A1014" s="280"/>
      <c r="B1014" s="280"/>
      <c r="C1014" s="617"/>
      <c r="D1014" s="1166"/>
      <c r="E1014" s="1166"/>
      <c r="F1014" s="1166"/>
      <c r="G1014" s="1166"/>
      <c r="H1014" s="1166"/>
      <c r="I1014" s="1167"/>
      <c r="J1014" s="1166"/>
      <c r="K1014" s="1167"/>
      <c r="L1014" s="1166"/>
      <c r="M1014" s="1166"/>
      <c r="N1014" s="1166"/>
      <c r="O1014" s="280"/>
      <c r="P1014" s="1167"/>
      <c r="R1014" s="587"/>
      <c r="S1014" s="587"/>
      <c r="X1014" s="370"/>
      <c r="Y1014" s="370"/>
      <c r="Z1014" s="370"/>
      <c r="AB1014" s="370"/>
      <c r="AC1014" s="370"/>
    </row>
    <row r="1015" hidden="1">
      <c r="A1015" s="280"/>
      <c r="B1015" s="280"/>
      <c r="C1015" s="617"/>
      <c r="D1015" s="1166"/>
      <c r="E1015" s="1166"/>
      <c r="F1015" s="1166"/>
      <c r="G1015" s="1166"/>
      <c r="H1015" s="1166"/>
      <c r="I1015" s="1167"/>
      <c r="J1015" s="1166"/>
      <c r="K1015" s="1167"/>
      <c r="L1015" s="1166"/>
      <c r="M1015" s="1166"/>
      <c r="N1015" s="1166"/>
      <c r="O1015" s="280"/>
      <c r="P1015" s="1167"/>
      <c r="R1015" s="587"/>
      <c r="S1015" s="587"/>
      <c r="X1015" s="370"/>
      <c r="Y1015" s="370"/>
      <c r="Z1015" s="370"/>
      <c r="AB1015" s="370"/>
      <c r="AC1015" s="370"/>
    </row>
    <row r="1016" hidden="1">
      <c r="A1016" s="280"/>
      <c r="B1016" s="280"/>
      <c r="C1016" s="617"/>
      <c r="D1016" s="1166"/>
      <c r="E1016" s="1166"/>
      <c r="F1016" s="1166"/>
      <c r="G1016" s="1166"/>
      <c r="H1016" s="1166"/>
      <c r="I1016" s="1167"/>
      <c r="J1016" s="1166"/>
      <c r="K1016" s="1167"/>
      <c r="L1016" s="1166"/>
      <c r="M1016" s="1166"/>
      <c r="N1016" s="1166"/>
      <c r="O1016" s="280"/>
      <c r="P1016" s="1167"/>
      <c r="R1016" s="587"/>
      <c r="S1016" s="587"/>
      <c r="X1016" s="370"/>
      <c r="Y1016" s="370"/>
      <c r="Z1016" s="370"/>
      <c r="AB1016" s="370"/>
      <c r="AC1016" s="370"/>
    </row>
    <row r="1017" hidden="1">
      <c r="A1017" s="280"/>
      <c r="B1017" s="280"/>
      <c r="C1017" s="617"/>
      <c r="D1017" s="1166"/>
      <c r="E1017" s="1166"/>
      <c r="F1017" s="1166"/>
      <c r="G1017" s="1166"/>
      <c r="H1017" s="1166"/>
      <c r="I1017" s="1167"/>
      <c r="J1017" s="1166"/>
      <c r="K1017" s="1167"/>
      <c r="L1017" s="1166"/>
      <c r="M1017" s="1166"/>
      <c r="N1017" s="1166"/>
      <c r="O1017" s="280"/>
      <c r="P1017" s="1167"/>
      <c r="R1017" s="587"/>
      <c r="S1017" s="587"/>
      <c r="X1017" s="370"/>
      <c r="Y1017" s="370"/>
      <c r="Z1017" s="370"/>
      <c r="AB1017" s="370"/>
      <c r="AC1017" s="370"/>
    </row>
    <row r="1018" hidden="1">
      <c r="A1018" s="280"/>
      <c r="B1018" s="280"/>
      <c r="C1018" s="617"/>
      <c r="D1018" s="1166"/>
      <c r="E1018" s="1166"/>
      <c r="F1018" s="1166"/>
      <c r="G1018" s="1166"/>
      <c r="H1018" s="1166"/>
      <c r="I1018" s="1167"/>
      <c r="J1018" s="1166"/>
      <c r="K1018" s="1167"/>
      <c r="L1018" s="1166"/>
      <c r="M1018" s="1166"/>
      <c r="N1018" s="1166"/>
      <c r="O1018" s="280"/>
      <c r="P1018" s="1167"/>
      <c r="R1018" s="587"/>
      <c r="S1018" s="587"/>
      <c r="X1018" s="370"/>
      <c r="Y1018" s="370"/>
      <c r="Z1018" s="370"/>
      <c r="AB1018" s="370"/>
      <c r="AC1018" s="370"/>
    </row>
    <row r="1019" hidden="1">
      <c r="A1019" s="280"/>
      <c r="B1019" s="280"/>
      <c r="C1019" s="617"/>
      <c r="D1019" s="1166"/>
      <c r="E1019" s="1166"/>
      <c r="F1019" s="1166"/>
      <c r="G1019" s="1166"/>
      <c r="H1019" s="1166"/>
      <c r="I1019" s="1167"/>
      <c r="J1019" s="1166"/>
      <c r="K1019" s="1167"/>
      <c r="L1019" s="1166"/>
      <c r="M1019" s="1166"/>
      <c r="N1019" s="1166"/>
      <c r="O1019" s="280"/>
      <c r="P1019" s="1167"/>
      <c r="R1019" s="587"/>
      <c r="S1019" s="587"/>
      <c r="X1019" s="370"/>
      <c r="Y1019" s="370"/>
      <c r="Z1019" s="370"/>
      <c r="AB1019" s="370"/>
      <c r="AC1019" s="370"/>
    </row>
    <row r="1020" hidden="1">
      <c r="A1020" s="280"/>
      <c r="B1020" s="280"/>
      <c r="C1020" s="617"/>
      <c r="D1020" s="1166"/>
      <c r="E1020" s="1166"/>
      <c r="F1020" s="1166"/>
      <c r="G1020" s="1166"/>
      <c r="H1020" s="1166"/>
      <c r="I1020" s="1167"/>
      <c r="J1020" s="1166"/>
      <c r="K1020" s="1167"/>
      <c r="L1020" s="1166"/>
      <c r="M1020" s="1166"/>
      <c r="N1020" s="1166"/>
      <c r="O1020" s="280"/>
      <c r="P1020" s="1167"/>
      <c r="R1020" s="587"/>
      <c r="S1020" s="587"/>
      <c r="X1020" s="370"/>
      <c r="Y1020" s="370"/>
      <c r="Z1020" s="370"/>
      <c r="AB1020" s="370"/>
      <c r="AC1020" s="370"/>
    </row>
    <row r="1021" hidden="1">
      <c r="A1021" s="280"/>
      <c r="B1021" s="280"/>
      <c r="C1021" s="617"/>
      <c r="D1021" s="1166"/>
      <c r="E1021" s="1166"/>
      <c r="F1021" s="1166"/>
      <c r="G1021" s="1166"/>
      <c r="H1021" s="1166"/>
      <c r="I1021" s="1167"/>
      <c r="J1021" s="1166"/>
      <c r="K1021" s="1167"/>
      <c r="L1021" s="1166"/>
      <c r="M1021" s="1166"/>
      <c r="N1021" s="1166"/>
      <c r="O1021" s="280"/>
      <c r="P1021" s="1167"/>
      <c r="R1021" s="587"/>
      <c r="S1021" s="587"/>
      <c r="X1021" s="370"/>
      <c r="Y1021" s="370"/>
      <c r="Z1021" s="370"/>
      <c r="AB1021" s="370"/>
      <c r="AC1021" s="370"/>
    </row>
    <row r="1022" hidden="1">
      <c r="A1022" s="280"/>
      <c r="B1022" s="280"/>
      <c r="C1022" s="617"/>
      <c r="D1022" s="1166"/>
      <c r="E1022" s="1166"/>
      <c r="F1022" s="1166"/>
      <c r="G1022" s="1166"/>
      <c r="H1022" s="1166"/>
      <c r="I1022" s="1167"/>
      <c r="J1022" s="1166"/>
      <c r="K1022" s="1167"/>
      <c r="L1022" s="1166"/>
      <c r="M1022" s="1166"/>
      <c r="N1022" s="1166"/>
      <c r="O1022" s="280"/>
      <c r="P1022" s="1167"/>
      <c r="R1022" s="587"/>
      <c r="S1022" s="587"/>
      <c r="X1022" s="370"/>
      <c r="Y1022" s="370"/>
      <c r="Z1022" s="370"/>
      <c r="AB1022" s="370"/>
      <c r="AC1022" s="370"/>
    </row>
    <row r="1023" hidden="1">
      <c r="A1023" s="280"/>
      <c r="B1023" s="280"/>
      <c r="C1023" s="617"/>
      <c r="D1023" s="1166"/>
      <c r="E1023" s="1166"/>
      <c r="F1023" s="1166"/>
      <c r="G1023" s="1166"/>
      <c r="H1023" s="1166"/>
      <c r="I1023" s="1167"/>
      <c r="J1023" s="1166"/>
      <c r="K1023" s="1167"/>
      <c r="L1023" s="1166"/>
      <c r="M1023" s="1166"/>
      <c r="N1023" s="1166"/>
      <c r="O1023" s="280"/>
      <c r="P1023" s="1167"/>
      <c r="R1023" s="587"/>
      <c r="S1023" s="587"/>
      <c r="X1023" s="370"/>
      <c r="Y1023" s="370"/>
      <c r="Z1023" s="370"/>
      <c r="AB1023" s="370"/>
      <c r="AC1023" s="370"/>
    </row>
    <row r="1024" hidden="1">
      <c r="A1024" s="280"/>
      <c r="B1024" s="280"/>
      <c r="C1024" s="617"/>
      <c r="D1024" s="1166"/>
      <c r="E1024" s="1166"/>
      <c r="F1024" s="1166"/>
      <c r="G1024" s="1166"/>
      <c r="H1024" s="1166"/>
      <c r="I1024" s="1167"/>
      <c r="J1024" s="1166"/>
      <c r="K1024" s="1167"/>
      <c r="L1024" s="1166"/>
      <c r="M1024" s="1166"/>
      <c r="N1024" s="1166"/>
      <c r="O1024" s="280"/>
      <c r="P1024" s="1167"/>
      <c r="R1024" s="587"/>
      <c r="S1024" s="587"/>
      <c r="X1024" s="370"/>
      <c r="Y1024" s="370"/>
      <c r="Z1024" s="370"/>
      <c r="AB1024" s="370"/>
      <c r="AC1024" s="370"/>
    </row>
    <row r="1025" hidden="1">
      <c r="A1025" s="280"/>
      <c r="B1025" s="280"/>
      <c r="C1025" s="617"/>
      <c r="D1025" s="1166"/>
      <c r="E1025" s="1166"/>
      <c r="F1025" s="1166"/>
      <c r="G1025" s="1166"/>
      <c r="H1025" s="1166"/>
      <c r="I1025" s="1167"/>
      <c r="J1025" s="1166"/>
      <c r="K1025" s="1167"/>
      <c r="L1025" s="1166"/>
      <c r="M1025" s="1166"/>
      <c r="N1025" s="1166"/>
      <c r="O1025" s="280"/>
      <c r="P1025" s="1167"/>
      <c r="R1025" s="587"/>
      <c r="S1025" s="587"/>
      <c r="X1025" s="370"/>
      <c r="Y1025" s="370"/>
      <c r="Z1025" s="370"/>
      <c r="AB1025" s="370"/>
      <c r="AC1025" s="370"/>
    </row>
    <row r="1026" hidden="1">
      <c r="A1026" s="280"/>
      <c r="B1026" s="280"/>
      <c r="C1026" s="617"/>
      <c r="D1026" s="1166"/>
      <c r="E1026" s="1166"/>
      <c r="F1026" s="1166"/>
      <c r="G1026" s="1166"/>
      <c r="H1026" s="1166"/>
      <c r="I1026" s="1167"/>
      <c r="J1026" s="1166"/>
      <c r="K1026" s="1167"/>
      <c r="L1026" s="1166"/>
      <c r="M1026" s="1166"/>
      <c r="N1026" s="1166"/>
      <c r="O1026" s="280"/>
      <c r="P1026" s="1167"/>
      <c r="R1026" s="587"/>
      <c r="S1026" s="587"/>
      <c r="X1026" s="370"/>
      <c r="Y1026" s="370"/>
      <c r="Z1026" s="370"/>
      <c r="AB1026" s="370"/>
      <c r="AC1026" s="370"/>
    </row>
    <row r="1027" hidden="1">
      <c r="A1027" s="280"/>
      <c r="B1027" s="280"/>
      <c r="C1027" s="617"/>
      <c r="D1027" s="1166"/>
      <c r="E1027" s="1166"/>
      <c r="F1027" s="1166"/>
      <c r="G1027" s="1166"/>
      <c r="H1027" s="1166"/>
      <c r="I1027" s="1167"/>
      <c r="J1027" s="1166"/>
      <c r="K1027" s="1167"/>
      <c r="L1027" s="1166"/>
      <c r="M1027" s="1166"/>
      <c r="N1027" s="1166"/>
      <c r="O1027" s="280"/>
      <c r="P1027" s="1167"/>
      <c r="R1027" s="587"/>
      <c r="S1027" s="587"/>
      <c r="X1027" s="370"/>
      <c r="Y1027" s="370"/>
      <c r="Z1027" s="370"/>
      <c r="AB1027" s="370"/>
      <c r="AC1027" s="370"/>
    </row>
    <row r="1028" hidden="1">
      <c r="A1028" s="280"/>
      <c r="B1028" s="280"/>
      <c r="C1028" s="617"/>
      <c r="D1028" s="1166"/>
      <c r="E1028" s="1166"/>
      <c r="F1028" s="1166"/>
      <c r="G1028" s="1166"/>
      <c r="H1028" s="1166"/>
      <c r="I1028" s="1167"/>
      <c r="J1028" s="1166"/>
      <c r="K1028" s="1167"/>
      <c r="L1028" s="1166"/>
      <c r="M1028" s="1166"/>
      <c r="N1028" s="1166"/>
      <c r="O1028" s="280"/>
      <c r="P1028" s="1167"/>
      <c r="R1028" s="587"/>
      <c r="S1028" s="587"/>
      <c r="X1028" s="370"/>
      <c r="Y1028" s="370"/>
      <c r="Z1028" s="370"/>
      <c r="AB1028" s="370"/>
      <c r="AC1028" s="370"/>
    </row>
    <row r="1029" hidden="1">
      <c r="A1029" s="280"/>
      <c r="B1029" s="280"/>
      <c r="C1029" s="617"/>
      <c r="D1029" s="1166"/>
      <c r="E1029" s="1166"/>
      <c r="F1029" s="1166"/>
      <c r="G1029" s="1166"/>
      <c r="H1029" s="1166"/>
      <c r="I1029" s="1167"/>
      <c r="J1029" s="1166"/>
      <c r="K1029" s="1167"/>
      <c r="L1029" s="1166"/>
      <c r="M1029" s="1166"/>
      <c r="N1029" s="1166"/>
      <c r="O1029" s="280"/>
      <c r="P1029" s="1167"/>
      <c r="R1029" s="587"/>
      <c r="S1029" s="587"/>
      <c r="X1029" s="370"/>
      <c r="Y1029" s="370"/>
      <c r="Z1029" s="370"/>
      <c r="AB1029" s="370"/>
      <c r="AC1029" s="370"/>
    </row>
    <row r="1030" hidden="1">
      <c r="A1030" s="280"/>
      <c r="B1030" s="280"/>
      <c r="C1030" s="617"/>
      <c r="D1030" s="1166"/>
      <c r="E1030" s="1166"/>
      <c r="F1030" s="1166"/>
      <c r="G1030" s="1166"/>
      <c r="H1030" s="1166"/>
      <c r="I1030" s="1167"/>
      <c r="J1030" s="1166"/>
      <c r="K1030" s="1167"/>
      <c r="L1030" s="1166"/>
      <c r="M1030" s="1166"/>
      <c r="N1030" s="1166"/>
      <c r="O1030" s="280"/>
      <c r="P1030" s="1167"/>
      <c r="R1030" s="587"/>
      <c r="S1030" s="587"/>
      <c r="X1030" s="370"/>
      <c r="Y1030" s="370"/>
      <c r="Z1030" s="370"/>
      <c r="AB1030" s="370"/>
      <c r="AC1030" s="370"/>
    </row>
    <row r="1031" hidden="1">
      <c r="A1031" s="280"/>
      <c r="B1031" s="280"/>
      <c r="C1031" s="617"/>
      <c r="D1031" s="1166"/>
      <c r="E1031" s="1166"/>
      <c r="F1031" s="1166"/>
      <c r="G1031" s="1166"/>
      <c r="H1031" s="1166"/>
      <c r="I1031" s="1167"/>
      <c r="J1031" s="1166"/>
      <c r="K1031" s="1167"/>
      <c r="L1031" s="1166"/>
      <c r="M1031" s="1166"/>
      <c r="N1031" s="1166"/>
      <c r="O1031" s="280"/>
      <c r="P1031" s="1167"/>
      <c r="R1031" s="587"/>
      <c r="S1031" s="587"/>
      <c r="X1031" s="370"/>
      <c r="Y1031" s="370"/>
      <c r="Z1031" s="370"/>
      <c r="AB1031" s="370"/>
      <c r="AC1031" s="370"/>
    </row>
    <row r="1032" hidden="1">
      <c r="A1032" s="280"/>
      <c r="B1032" s="280"/>
      <c r="C1032" s="617"/>
      <c r="D1032" s="1166"/>
      <c r="E1032" s="1166"/>
      <c r="F1032" s="1166"/>
      <c r="G1032" s="1166"/>
      <c r="H1032" s="1166"/>
      <c r="I1032" s="1167"/>
      <c r="J1032" s="1166"/>
      <c r="K1032" s="1167"/>
      <c r="L1032" s="1166"/>
      <c r="M1032" s="1166"/>
      <c r="N1032" s="1166"/>
      <c r="O1032" s="280"/>
      <c r="P1032" s="1167"/>
      <c r="R1032" s="587"/>
      <c r="S1032" s="587"/>
      <c r="X1032" s="370"/>
      <c r="Y1032" s="370"/>
      <c r="Z1032" s="370"/>
      <c r="AB1032" s="370"/>
      <c r="AC1032" s="370"/>
    </row>
  </sheetData>
  <autoFilter ref="$A$1:$AC$1032">
    <filterColumn colId="13">
      <filters>
        <filter val="1"/>
        <filter val="2"/>
        <filter val="3"/>
        <filter val="15"/>
        <filter val="4"/>
        <filter val="5"/>
        <filter val="6"/>
        <filter val="7"/>
        <filter val="9"/>
      </filters>
    </filterColumn>
  </autoFil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8.38"/>
    <col customWidth="1" min="2" max="3" width="23.0"/>
    <col customWidth="1" min="4" max="4" width="31.13"/>
    <col customWidth="1" min="5" max="5" width="32.25"/>
    <col customWidth="1" min="6" max="7" width="31.13"/>
  </cols>
  <sheetData>
    <row r="1" ht="26.25" customHeight="1">
      <c r="A1" s="1193"/>
      <c r="B1" s="1194" t="s">
        <v>4872</v>
      </c>
      <c r="C1" s="1195" t="s">
        <v>4873</v>
      </c>
      <c r="D1" s="1194" t="s">
        <v>4874</v>
      </c>
      <c r="E1" s="1194" t="s">
        <v>4875</v>
      </c>
      <c r="F1" s="1196"/>
      <c r="G1" s="1196"/>
    </row>
    <row r="2" ht="26.25" customHeight="1">
      <c r="A2" s="1197" t="s">
        <v>4876</v>
      </c>
      <c r="B2" s="1198">
        <v>3.207306607E9</v>
      </c>
      <c r="C2" s="1198"/>
      <c r="D2" s="1199" t="s">
        <v>4877</v>
      </c>
      <c r="E2" s="1199" t="s">
        <v>4878</v>
      </c>
      <c r="F2" s="1200"/>
      <c r="G2" s="1200"/>
    </row>
    <row r="3" ht="26.25" customHeight="1">
      <c r="A3" s="1201" t="s">
        <v>4879</v>
      </c>
      <c r="B3" s="1202">
        <v>3.16531673E9</v>
      </c>
      <c r="C3" s="1202"/>
      <c r="D3" s="1203" t="s">
        <v>4880</v>
      </c>
      <c r="E3" s="1203" t="s">
        <v>4881</v>
      </c>
      <c r="F3" s="1204"/>
      <c r="G3" s="1204"/>
    </row>
    <row r="4" ht="26.25" customHeight="1">
      <c r="A4" s="1201" t="s">
        <v>4882</v>
      </c>
      <c r="B4" s="1202">
        <v>3.168321135E9</v>
      </c>
      <c r="C4" s="1202"/>
      <c r="D4" s="1203" t="s">
        <v>4883</v>
      </c>
      <c r="E4" s="1203" t="s">
        <v>4884</v>
      </c>
      <c r="F4" s="1204"/>
      <c r="G4" s="1204"/>
    </row>
    <row r="5" ht="26.25" customHeight="1">
      <c r="A5" s="1197" t="s">
        <v>4885</v>
      </c>
      <c r="B5" s="1205">
        <v>3.13655564E9</v>
      </c>
      <c r="C5" s="1205"/>
      <c r="D5" s="1206" t="s">
        <v>4886</v>
      </c>
      <c r="E5" s="1203" t="s">
        <v>4887</v>
      </c>
      <c r="F5" s="1204"/>
      <c r="G5" s="1204"/>
    </row>
    <row r="6" ht="26.25" customHeight="1">
      <c r="A6" s="1197" t="s">
        <v>4888</v>
      </c>
      <c r="B6" s="1202" t="s">
        <v>4889</v>
      </c>
      <c r="C6" s="1202"/>
      <c r="D6" s="1206" t="s">
        <v>4890</v>
      </c>
      <c r="E6" s="1206" t="s">
        <v>4891</v>
      </c>
      <c r="F6" s="1207"/>
      <c r="G6" s="1207"/>
    </row>
    <row r="7" ht="26.25" customHeight="1">
      <c r="A7" s="1208" t="s">
        <v>4892</v>
      </c>
      <c r="B7" s="1209">
        <v>3.165830474E9</v>
      </c>
      <c r="C7" s="1209" t="s">
        <v>4893</v>
      </c>
      <c r="D7" s="1210" t="s">
        <v>4894</v>
      </c>
      <c r="E7" s="1210" t="s">
        <v>4895</v>
      </c>
      <c r="F7" s="1211"/>
      <c r="G7" s="1211"/>
    </row>
    <row r="8" ht="26.25" customHeight="1">
      <c r="A8" s="1212" t="s">
        <v>4896</v>
      </c>
      <c r="B8" s="1209">
        <v>3.142773355E9</v>
      </c>
      <c r="C8" s="1209"/>
      <c r="D8" s="1210" t="s">
        <v>4897</v>
      </c>
      <c r="E8" s="1210" t="s">
        <v>4898</v>
      </c>
      <c r="F8" s="1211"/>
      <c r="G8" s="1211"/>
    </row>
    <row r="9" ht="26.25" customHeight="1">
      <c r="A9" s="1208" t="s">
        <v>4899</v>
      </c>
      <c r="B9" s="1209">
        <v>3.137382677E9</v>
      </c>
      <c r="C9" s="1209"/>
      <c r="D9" s="1210" t="s">
        <v>4900</v>
      </c>
      <c r="E9" s="1210" t="s">
        <v>4901</v>
      </c>
      <c r="F9" s="1211"/>
      <c r="G9" s="1211"/>
    </row>
    <row r="10" ht="26.25" customHeight="1">
      <c r="A10" s="1208" t="s">
        <v>4902</v>
      </c>
      <c r="B10" s="1209">
        <v>3.174412649E9</v>
      </c>
      <c r="C10" s="1209"/>
      <c r="D10" s="1210" t="s">
        <v>4903</v>
      </c>
      <c r="E10" s="1210" t="s">
        <v>4904</v>
      </c>
      <c r="F10" s="1204"/>
      <c r="G10" s="1204"/>
    </row>
    <row r="11" ht="26.25" customHeight="1">
      <c r="A11" s="1208" t="s">
        <v>4905</v>
      </c>
      <c r="B11" s="1213">
        <v>3.172166132E9</v>
      </c>
      <c r="C11" s="1213"/>
      <c r="D11" s="1210" t="s">
        <v>4906</v>
      </c>
      <c r="E11" s="1210" t="s">
        <v>4907</v>
      </c>
      <c r="F11" s="1211"/>
      <c r="G11" s="1211"/>
    </row>
    <row r="12" ht="26.25" customHeight="1">
      <c r="A12" s="1197" t="s">
        <v>4908</v>
      </c>
      <c r="B12" s="1214">
        <v>3.167567368E9</v>
      </c>
      <c r="C12" s="1214"/>
      <c r="D12" s="1203" t="s">
        <v>4909</v>
      </c>
      <c r="E12" s="1203" t="s">
        <v>4910</v>
      </c>
      <c r="F12" s="1211"/>
      <c r="G12" s="1211"/>
    </row>
    <row r="13" ht="26.25" customHeight="1">
      <c r="A13" s="1201" t="s">
        <v>4911</v>
      </c>
      <c r="B13" s="1202">
        <v>3.505301442E9</v>
      </c>
      <c r="C13" s="1202"/>
      <c r="D13" s="1203" t="s">
        <v>4912</v>
      </c>
      <c r="E13" s="1203" t="s">
        <v>4913</v>
      </c>
      <c r="F13" s="1211"/>
      <c r="G13" s="1211"/>
    </row>
    <row r="14" ht="26.25" customHeight="1">
      <c r="A14" s="1208" t="s">
        <v>4914</v>
      </c>
      <c r="B14" s="1209">
        <v>3.225019462E9</v>
      </c>
      <c r="C14" s="1209"/>
      <c r="D14" s="1210" t="s">
        <v>4915</v>
      </c>
      <c r="E14" s="1210" t="s">
        <v>4916</v>
      </c>
      <c r="F14" s="1207"/>
      <c r="G14" s="1207"/>
    </row>
    <row r="15" ht="26.25" customHeight="1">
      <c r="A15" s="1208" t="s">
        <v>4917</v>
      </c>
      <c r="B15" s="1209">
        <v>3.10396242E9</v>
      </c>
      <c r="C15" s="1209"/>
      <c r="D15" s="1210" t="s">
        <v>4918</v>
      </c>
      <c r="E15" s="1210" t="s">
        <v>4919</v>
      </c>
      <c r="F15" s="1211"/>
      <c r="G15" s="1211"/>
    </row>
    <row r="16" ht="26.25" customHeight="1">
      <c r="A16" s="1208" t="s">
        <v>4920</v>
      </c>
      <c r="B16" s="1209">
        <v>3.058181516E9</v>
      </c>
      <c r="C16" s="1209"/>
      <c r="D16" s="1210" t="s">
        <v>4921</v>
      </c>
      <c r="E16" s="1210" t="s">
        <v>4922</v>
      </c>
      <c r="F16" s="1211"/>
      <c r="G16" s="1211"/>
    </row>
    <row r="17" ht="26.25" customHeight="1">
      <c r="A17" s="1197" t="s">
        <v>4923</v>
      </c>
      <c r="B17" s="1205">
        <v>3.155868257E9</v>
      </c>
      <c r="C17" s="1205"/>
      <c r="D17" s="1206" t="s">
        <v>4924</v>
      </c>
      <c r="E17" s="1206" t="s">
        <v>4925</v>
      </c>
      <c r="F17" s="1211"/>
      <c r="G17" s="1211"/>
    </row>
    <row r="18" ht="26.25" customHeight="1">
      <c r="A18" s="1208" t="s">
        <v>4926</v>
      </c>
      <c r="B18" s="1209">
        <v>3.173827512E9</v>
      </c>
      <c r="C18" s="1209"/>
      <c r="D18" s="1210" t="s">
        <v>4927</v>
      </c>
      <c r="E18" s="1210" t="s">
        <v>4928</v>
      </c>
      <c r="F18" s="1211"/>
      <c r="G18" s="1211"/>
    </row>
    <row r="19" ht="26.25" customHeight="1">
      <c r="A19" s="1208" t="s">
        <v>4929</v>
      </c>
      <c r="B19" s="1209" t="s">
        <v>4930</v>
      </c>
      <c r="C19" s="1209"/>
      <c r="D19" s="1210" t="s">
        <v>4931</v>
      </c>
      <c r="E19" s="1210" t="s">
        <v>4932</v>
      </c>
      <c r="F19" s="1207"/>
      <c r="G19" s="1207"/>
    </row>
    <row r="20" ht="26.25" customHeight="1">
      <c r="A20" s="1208" t="s">
        <v>4933</v>
      </c>
      <c r="B20" s="1209">
        <v>3.024087184E9</v>
      </c>
      <c r="C20" s="1209"/>
      <c r="D20" s="1210" t="s">
        <v>4934</v>
      </c>
      <c r="E20" s="1210" t="s">
        <v>4935</v>
      </c>
      <c r="F20" s="1211"/>
      <c r="G20" s="1211"/>
    </row>
    <row r="21" ht="26.25" customHeight="1">
      <c r="A21" s="1212" t="s">
        <v>4936</v>
      </c>
      <c r="B21" s="1215">
        <v>3.024087184E9</v>
      </c>
      <c r="C21" s="1215"/>
      <c r="D21" s="1210" t="s">
        <v>4937</v>
      </c>
      <c r="E21" s="1210" t="s">
        <v>4938</v>
      </c>
      <c r="F21" s="1211"/>
      <c r="G21" s="1211"/>
    </row>
    <row r="22" ht="26.25" customHeight="1">
      <c r="A22" s="1208" t="s">
        <v>4939</v>
      </c>
      <c r="B22" s="1209">
        <v>3.002702649E9</v>
      </c>
      <c r="C22" s="1209"/>
      <c r="D22" s="1210" t="s">
        <v>4940</v>
      </c>
      <c r="E22" s="1210" t="s">
        <v>4941</v>
      </c>
      <c r="F22" s="1211"/>
      <c r="G22" s="1211"/>
    </row>
    <row r="23" ht="26.25" customHeight="1">
      <c r="A23" s="1208" t="s">
        <v>4942</v>
      </c>
      <c r="B23" s="1209" t="s">
        <v>4943</v>
      </c>
      <c r="C23" s="1209"/>
      <c r="D23" s="1210" t="s">
        <v>4944</v>
      </c>
      <c r="E23" s="1210"/>
      <c r="F23" s="1211"/>
      <c r="G23" s="1211"/>
    </row>
    <row r="24" ht="26.25" customHeight="1">
      <c r="A24" s="1197" t="s">
        <v>4945</v>
      </c>
      <c r="B24" s="1205">
        <v>3.115882335E9</v>
      </c>
      <c r="C24" s="1205"/>
      <c r="D24" s="1206" t="s">
        <v>4946</v>
      </c>
      <c r="E24" s="1206" t="s">
        <v>4947</v>
      </c>
      <c r="F24" s="1207"/>
      <c r="G24" s="1207"/>
    </row>
    <row r="25" ht="26.25" customHeight="1">
      <c r="A25" s="1208" t="s">
        <v>4948</v>
      </c>
      <c r="B25" s="1209">
        <v>3.219098164E9</v>
      </c>
      <c r="C25" s="1209"/>
      <c r="D25" s="1210" t="s">
        <v>4949</v>
      </c>
      <c r="E25" s="1210" t="s">
        <v>4950</v>
      </c>
      <c r="F25" s="1211"/>
      <c r="G25" s="1211"/>
    </row>
    <row r="26" ht="26.25" customHeight="1">
      <c r="A26" s="1208" t="s">
        <v>4951</v>
      </c>
      <c r="B26" s="1209">
        <v>3.206449527E9</v>
      </c>
      <c r="C26" s="1209"/>
      <c r="D26" s="1210" t="s">
        <v>4952</v>
      </c>
      <c r="E26" s="1210" t="s">
        <v>4953</v>
      </c>
      <c r="F26" s="1211"/>
      <c r="G26" s="1211"/>
    </row>
    <row r="27" ht="26.25" customHeight="1">
      <c r="A27" s="1208" t="s">
        <v>4954</v>
      </c>
      <c r="D27" s="1210" t="s">
        <v>4955</v>
      </c>
      <c r="E27" s="1210" t="s">
        <v>4956</v>
      </c>
      <c r="F27" s="1207"/>
      <c r="G27" s="1207"/>
    </row>
    <row r="28" ht="26.25" customHeight="1">
      <c r="A28" s="1208" t="s">
        <v>4957</v>
      </c>
      <c r="B28" s="288">
        <v>3.163241657E9</v>
      </c>
      <c r="C28" s="288"/>
      <c r="D28" s="1210" t="s">
        <v>4958</v>
      </c>
      <c r="E28" s="1210" t="s">
        <v>4959</v>
      </c>
      <c r="F28" s="1207"/>
      <c r="G28" s="1207"/>
    </row>
    <row r="29" ht="26.25" customHeight="1">
      <c r="A29" s="1208" t="s">
        <v>4960</v>
      </c>
      <c r="B29" s="1209">
        <v>3.013759437E9</v>
      </c>
      <c r="C29" s="1209"/>
      <c r="D29" s="1210" t="s">
        <v>4961</v>
      </c>
      <c r="E29" s="1210" t="s">
        <v>4962</v>
      </c>
      <c r="F29" s="1211"/>
      <c r="G29" s="1211"/>
    </row>
    <row r="30" ht="26.25" customHeight="1">
      <c r="A30" s="1216" t="s">
        <v>4963</v>
      </c>
      <c r="B30" s="1205">
        <v>3.148659367E9</v>
      </c>
      <c r="C30" s="1205"/>
      <c r="D30" s="1206" t="s">
        <v>4964</v>
      </c>
      <c r="E30" s="1206" t="s">
        <v>4965</v>
      </c>
      <c r="F30" s="1217"/>
      <c r="G30" s="1217"/>
    </row>
    <row r="31" ht="26.25" customHeight="1">
      <c r="A31" s="1208" t="s">
        <v>4966</v>
      </c>
      <c r="B31" s="1209">
        <v>3.153432901E9</v>
      </c>
      <c r="C31" s="1209"/>
      <c r="D31" s="1210" t="s">
        <v>4967</v>
      </c>
      <c r="E31" s="1210" t="s">
        <v>4968</v>
      </c>
      <c r="F31" s="1211"/>
      <c r="G31" s="1211"/>
    </row>
    <row r="32" ht="26.25" customHeight="1">
      <c r="A32" s="1208" t="s">
        <v>4969</v>
      </c>
      <c r="B32" s="1209">
        <v>3.003141792E9</v>
      </c>
      <c r="C32" s="1209"/>
      <c r="D32" s="1210" t="s">
        <v>4970</v>
      </c>
      <c r="E32" s="1210" t="s">
        <v>4971</v>
      </c>
      <c r="F32" s="1204"/>
      <c r="G32" s="1204"/>
    </row>
    <row r="33" ht="26.25" customHeight="1">
      <c r="A33" s="1208" t="s">
        <v>4972</v>
      </c>
      <c r="B33" s="1209">
        <v>3.104630864E9</v>
      </c>
      <c r="C33" s="1209"/>
      <c r="D33" s="1210" t="s">
        <v>4973</v>
      </c>
      <c r="E33" s="1210" t="s">
        <v>4974</v>
      </c>
      <c r="F33" s="1207"/>
      <c r="G33" s="1207"/>
    </row>
    <row r="34" ht="26.25" customHeight="1">
      <c r="A34" s="1208" t="s">
        <v>4975</v>
      </c>
      <c r="B34" s="1209" t="s">
        <v>4976</v>
      </c>
      <c r="C34" s="1209"/>
      <c r="D34" s="1210" t="s">
        <v>4977</v>
      </c>
      <c r="E34" s="1210" t="s">
        <v>4978</v>
      </c>
      <c r="F34" s="1204"/>
      <c r="G34" s="1204"/>
    </row>
    <row r="35" ht="26.25" customHeight="1">
      <c r="A35" s="1197" t="s">
        <v>4979</v>
      </c>
      <c r="B35" s="1205">
        <v>3.175900919E9</v>
      </c>
      <c r="C35" s="1205"/>
      <c r="D35" s="1206" t="s">
        <v>4980</v>
      </c>
      <c r="E35" s="1206" t="s">
        <v>4981</v>
      </c>
      <c r="F35" s="1211"/>
      <c r="G35" s="1211"/>
    </row>
    <row r="36" ht="26.25" customHeight="1">
      <c r="A36" s="1208" t="s">
        <v>4982</v>
      </c>
      <c r="B36" s="1209">
        <v>3.22588534E9</v>
      </c>
      <c r="C36" s="1209"/>
      <c r="D36" s="1210" t="s">
        <v>4983</v>
      </c>
      <c r="E36" s="1210" t="s">
        <v>4984</v>
      </c>
      <c r="F36" s="1211"/>
      <c r="G36" s="1211"/>
    </row>
    <row r="37" ht="26.25" customHeight="1">
      <c r="A37" s="1208" t="s">
        <v>4985</v>
      </c>
      <c r="B37" s="1209">
        <v>3.147932758E9</v>
      </c>
      <c r="C37" s="1209"/>
      <c r="D37" s="1210" t="s">
        <v>4986</v>
      </c>
      <c r="E37" s="1210" t="s">
        <v>4987</v>
      </c>
      <c r="F37" s="1207"/>
      <c r="G37" s="1207"/>
    </row>
    <row r="38" ht="26.25" customHeight="1">
      <c r="A38" s="1197" t="s">
        <v>4988</v>
      </c>
      <c r="B38" s="1205">
        <v>3.007940024E9</v>
      </c>
      <c r="C38" s="1205"/>
      <c r="D38" s="1206" t="s">
        <v>4989</v>
      </c>
      <c r="E38" s="1206" t="s">
        <v>4990</v>
      </c>
      <c r="F38" s="1211"/>
      <c r="G38" s="1211"/>
    </row>
    <row r="39" ht="26.25" customHeight="1">
      <c r="A39" s="1212" t="s">
        <v>4991</v>
      </c>
      <c r="B39" s="1209">
        <v>3.104438565E9</v>
      </c>
      <c r="C39" s="1209"/>
      <c r="D39" s="1210" t="s">
        <v>4992</v>
      </c>
      <c r="E39" s="1210" t="s">
        <v>4993</v>
      </c>
      <c r="F39" s="1211"/>
      <c r="G39" s="1211"/>
    </row>
    <row r="40" ht="26.25" customHeight="1">
      <c r="A40" s="1218" t="s">
        <v>4994</v>
      </c>
      <c r="B40" s="1219">
        <v>3.122406598E9</v>
      </c>
      <c r="C40" s="1219"/>
      <c r="D40" s="1220" t="s">
        <v>4995</v>
      </c>
      <c r="E40" s="1220" t="s">
        <v>4996</v>
      </c>
      <c r="F40" s="1221"/>
      <c r="G40" s="1221"/>
    </row>
    <row r="41" ht="26.25" customHeight="1">
      <c r="A41" s="1208" t="s">
        <v>4997</v>
      </c>
      <c r="B41" s="1209" t="s">
        <v>4998</v>
      </c>
      <c r="C41" s="1209"/>
      <c r="D41" s="1210" t="s">
        <v>4999</v>
      </c>
      <c r="E41" s="1210" t="s">
        <v>5000</v>
      </c>
      <c r="F41" s="1221"/>
      <c r="G41" s="1221"/>
    </row>
    <row r="42" ht="26.25" customHeight="1">
      <c r="A42" s="1201" t="s">
        <v>5001</v>
      </c>
      <c r="B42" s="1202">
        <v>3.11627576E9</v>
      </c>
      <c r="C42" s="1202"/>
      <c r="D42" s="1203" t="s">
        <v>5002</v>
      </c>
      <c r="E42" s="1203" t="s">
        <v>5003</v>
      </c>
      <c r="F42" s="1217"/>
      <c r="G42" s="1217"/>
    </row>
    <row r="43" ht="26.25" customHeight="1">
      <c r="A43" s="1208" t="s">
        <v>5001</v>
      </c>
      <c r="B43" s="1209" t="s">
        <v>5004</v>
      </c>
      <c r="C43" s="1209"/>
      <c r="D43" s="1210" t="s">
        <v>5005</v>
      </c>
      <c r="E43" s="1210" t="s">
        <v>5006</v>
      </c>
      <c r="F43" s="1211"/>
      <c r="G43" s="1211"/>
    </row>
    <row r="44" ht="26.25" customHeight="1">
      <c r="A44" s="1197" t="s">
        <v>5007</v>
      </c>
      <c r="B44" s="1205">
        <v>3.167031021E9</v>
      </c>
      <c r="C44" s="1205"/>
      <c r="D44" s="1206" t="s">
        <v>5008</v>
      </c>
      <c r="E44" s="1206" t="s">
        <v>5009</v>
      </c>
      <c r="F44" s="1207"/>
      <c r="G44" s="1207"/>
    </row>
    <row r="45" ht="26.25" customHeight="1">
      <c r="A45" s="1197" t="s">
        <v>5010</v>
      </c>
      <c r="B45" s="1205">
        <v>3.137519351E9</v>
      </c>
      <c r="C45" s="1205"/>
      <c r="D45" s="1206" t="s">
        <v>5011</v>
      </c>
      <c r="E45" s="1203" t="s">
        <v>5012</v>
      </c>
      <c r="F45" s="1211"/>
      <c r="G45" s="1211"/>
    </row>
    <row r="46" ht="26.25" customHeight="1">
      <c r="A46" s="1208" t="s">
        <v>5013</v>
      </c>
      <c r="B46" s="1209">
        <v>3.136416554E9</v>
      </c>
      <c r="C46" s="1209"/>
      <c r="D46" s="1210" t="s">
        <v>5014</v>
      </c>
      <c r="E46" s="1210" t="s">
        <v>5015</v>
      </c>
      <c r="F46" s="1222"/>
      <c r="G46" s="1222"/>
    </row>
    <row r="47" ht="26.25" customHeight="1">
      <c r="A47" s="1208" t="s">
        <v>5016</v>
      </c>
      <c r="B47" s="1209">
        <v>3.16877036E9</v>
      </c>
      <c r="C47" s="1209"/>
      <c r="D47" s="1210" t="s">
        <v>5017</v>
      </c>
      <c r="E47" s="1210" t="s">
        <v>5018</v>
      </c>
      <c r="F47" s="1211"/>
      <c r="G47" s="1211"/>
    </row>
    <row r="48" ht="26.25" customHeight="1">
      <c r="A48" s="1208" t="s">
        <v>5019</v>
      </c>
      <c r="B48" s="1209">
        <v>3.186662757E9</v>
      </c>
      <c r="C48" s="1209"/>
      <c r="D48" s="1210" t="s">
        <v>5020</v>
      </c>
      <c r="E48" s="1210" t="s">
        <v>5021</v>
      </c>
      <c r="F48" s="1207"/>
      <c r="G48" s="1207"/>
    </row>
    <row r="49" ht="26.25" customHeight="1">
      <c r="A49" s="1197" t="s">
        <v>5022</v>
      </c>
      <c r="B49" s="1205">
        <v>3.177769361E9</v>
      </c>
      <c r="C49" s="1205"/>
      <c r="D49" s="1206" t="s">
        <v>5023</v>
      </c>
      <c r="E49" s="1206" t="s">
        <v>5024</v>
      </c>
      <c r="F49" s="1211"/>
      <c r="G49" s="1211"/>
    </row>
    <row r="50" ht="26.25" customHeight="1">
      <c r="A50" s="1212" t="s">
        <v>5025</v>
      </c>
      <c r="B50" s="1209">
        <v>3.102256879E9</v>
      </c>
      <c r="C50" s="1209"/>
      <c r="D50" s="1210" t="s">
        <v>5026</v>
      </c>
      <c r="E50" s="1210" t="s">
        <v>5027</v>
      </c>
      <c r="F50" s="1211"/>
      <c r="G50" s="1211"/>
    </row>
    <row r="51" ht="26.25" customHeight="1">
      <c r="A51" s="1208" t="s">
        <v>5028</v>
      </c>
      <c r="B51" s="1209">
        <v>3.108720936E9</v>
      </c>
      <c r="C51" s="1209"/>
      <c r="D51" s="1210"/>
      <c r="E51" s="1210" t="s">
        <v>5029</v>
      </c>
      <c r="F51" s="1211"/>
      <c r="G51" s="1211"/>
    </row>
    <row r="52" ht="26.25" customHeight="1">
      <c r="A52" s="1208" t="s">
        <v>5030</v>
      </c>
      <c r="B52" s="1209">
        <v>3.122855126E9</v>
      </c>
      <c r="C52" s="1209"/>
      <c r="D52" s="1210" t="s">
        <v>5031</v>
      </c>
      <c r="E52" s="1210" t="s">
        <v>5032</v>
      </c>
      <c r="F52" s="1211"/>
      <c r="G52" s="1211"/>
    </row>
    <row r="53" ht="26.25" customHeight="1">
      <c r="A53" s="1223" t="s">
        <v>5033</v>
      </c>
      <c r="B53" s="1224">
        <v>3.113334114E9</v>
      </c>
      <c r="C53" s="1224"/>
      <c r="D53" s="1225" t="s">
        <v>5034</v>
      </c>
      <c r="E53" s="1225" t="s">
        <v>5035</v>
      </c>
      <c r="F53" s="1217"/>
      <c r="G53" s="1217"/>
    </row>
    <row r="54" ht="26.25" customHeight="1">
      <c r="A54" s="1223" t="s">
        <v>5036</v>
      </c>
      <c r="B54" s="1224">
        <v>3.163241657E9</v>
      </c>
      <c r="C54" s="1224"/>
      <c r="D54" s="1225" t="s">
        <v>5037</v>
      </c>
      <c r="E54" s="1225" t="s">
        <v>5038</v>
      </c>
      <c r="F54" s="1217"/>
      <c r="G54" s="1217"/>
    </row>
    <row r="55" ht="26.25" customHeight="1">
      <c r="A55" s="1218" t="s">
        <v>5039</v>
      </c>
      <c r="B55" s="1219">
        <v>3.162376146E9</v>
      </c>
      <c r="C55" s="1219"/>
      <c r="D55" s="1220" t="s">
        <v>5040</v>
      </c>
      <c r="E55" s="1220" t="s">
        <v>5041</v>
      </c>
      <c r="F55" s="1204"/>
      <c r="G55" s="1204"/>
    </row>
    <row r="56" ht="26.25" customHeight="1">
      <c r="A56" s="1208" t="s">
        <v>5042</v>
      </c>
      <c r="B56" s="1209">
        <v>3.016720051E9</v>
      </c>
      <c r="C56" s="1209"/>
      <c r="D56" s="1210" t="s">
        <v>5043</v>
      </c>
      <c r="E56" s="1210" t="s">
        <v>5044</v>
      </c>
      <c r="F56" s="1211"/>
      <c r="G56" s="1211"/>
    </row>
    <row r="57" ht="26.25" customHeight="1">
      <c r="A57" s="1197" t="s">
        <v>5045</v>
      </c>
      <c r="B57" s="1205">
        <v>3.162213189E9</v>
      </c>
      <c r="C57" s="1205"/>
      <c r="D57" s="1206" t="s">
        <v>5046</v>
      </c>
      <c r="E57" s="1206" t="s">
        <v>5047</v>
      </c>
      <c r="F57" s="1211"/>
      <c r="G57" s="1211"/>
    </row>
    <row r="58" ht="26.25" customHeight="1">
      <c r="A58" s="1208" t="s">
        <v>5048</v>
      </c>
      <c r="B58" s="1209">
        <v>839.0</v>
      </c>
      <c r="C58" s="1209"/>
      <c r="D58" s="1210" t="s">
        <v>5049</v>
      </c>
      <c r="E58" s="1210" t="s">
        <v>5050</v>
      </c>
      <c r="F58" s="1211"/>
      <c r="G58" s="1211"/>
    </row>
    <row r="59" ht="26.25" customHeight="1">
      <c r="A59" s="1201" t="s">
        <v>5051</v>
      </c>
      <c r="B59" s="1226">
        <v>3.232891927E9</v>
      </c>
      <c r="C59" s="1226"/>
      <c r="D59" s="1227" t="s">
        <v>5052</v>
      </c>
      <c r="E59" s="1227" t="s">
        <v>5053</v>
      </c>
      <c r="F59" s="1217"/>
      <c r="G59" s="1217"/>
    </row>
    <row r="60" ht="26.25" customHeight="1">
      <c r="A60" s="1208" t="s">
        <v>5054</v>
      </c>
      <c r="B60" s="1209">
        <v>3.154429055E9</v>
      </c>
      <c r="C60" s="1209"/>
      <c r="D60" s="1210" t="s">
        <v>5055</v>
      </c>
      <c r="E60" s="1210" t="s">
        <v>5056</v>
      </c>
      <c r="F60" s="1211"/>
      <c r="G60" s="1211"/>
    </row>
    <row r="61" ht="26.25" customHeight="1">
      <c r="A61" s="1208" t="s">
        <v>5057</v>
      </c>
      <c r="B61" s="1209">
        <v>3.168674828E9</v>
      </c>
      <c r="C61" s="1209"/>
      <c r="D61" s="1210" t="s">
        <v>5058</v>
      </c>
      <c r="E61" s="1210" t="s">
        <v>5059</v>
      </c>
      <c r="F61" s="1211"/>
      <c r="G61" s="1211"/>
    </row>
    <row r="62" ht="26.25" customHeight="1">
      <c r="A62" s="1197" t="s">
        <v>5060</v>
      </c>
      <c r="B62" s="1202" t="s">
        <v>5061</v>
      </c>
      <c r="C62" s="1202"/>
      <c r="D62" s="1206" t="s">
        <v>5046</v>
      </c>
      <c r="E62" s="1206" t="s">
        <v>5062</v>
      </c>
      <c r="F62" s="1211"/>
      <c r="G62" s="1211"/>
    </row>
    <row r="63" ht="26.25" customHeight="1">
      <c r="A63" s="1208" t="s">
        <v>5063</v>
      </c>
      <c r="B63" s="1209">
        <v>3.104451759E9</v>
      </c>
      <c r="C63" s="1209"/>
      <c r="D63" s="1210" t="s">
        <v>5064</v>
      </c>
      <c r="E63" s="1210" t="s">
        <v>5065</v>
      </c>
      <c r="F63" s="1204"/>
      <c r="G63" s="1204"/>
    </row>
    <row r="64" ht="26.25" customHeight="1">
      <c r="A64" s="1208" t="s">
        <v>5066</v>
      </c>
      <c r="B64" s="1209">
        <v>3.013014106E9</v>
      </c>
      <c r="C64" s="1209"/>
      <c r="D64" s="1210" t="s">
        <v>5067</v>
      </c>
      <c r="E64" s="1210" t="s">
        <v>5068</v>
      </c>
      <c r="F64" s="1211"/>
      <c r="G64" s="1211"/>
    </row>
    <row r="65" ht="26.25" customHeight="1">
      <c r="A65" s="1208" t="s">
        <v>5069</v>
      </c>
      <c r="B65" s="1209">
        <v>3.122885607E9</v>
      </c>
      <c r="C65" s="1209"/>
      <c r="D65" s="1210" t="s">
        <v>5070</v>
      </c>
      <c r="E65" s="1210" t="s">
        <v>5071</v>
      </c>
      <c r="F65" s="1211"/>
      <c r="G65" s="1211"/>
    </row>
    <row r="66" ht="26.25" customHeight="1">
      <c r="A66" s="1208" t="s">
        <v>5072</v>
      </c>
      <c r="B66" s="1209">
        <v>3.11786944E9</v>
      </c>
      <c r="C66" s="1209"/>
      <c r="D66" s="1210" t="s">
        <v>5073</v>
      </c>
      <c r="E66" s="1210" t="s">
        <v>5074</v>
      </c>
      <c r="F66" s="1211"/>
      <c r="G66" s="1211"/>
    </row>
    <row r="67" ht="26.25" customHeight="1">
      <c r="A67" s="1208" t="s">
        <v>5075</v>
      </c>
      <c r="B67" s="1209">
        <v>3.172743918E9</v>
      </c>
      <c r="C67" s="1209"/>
      <c r="D67" s="1210" t="s">
        <v>5076</v>
      </c>
      <c r="E67" s="1210">
        <v>6616048.0</v>
      </c>
      <c r="F67" s="1211"/>
      <c r="G67" s="1211"/>
    </row>
    <row r="68" ht="26.25" customHeight="1">
      <c r="A68" s="1208" t="s">
        <v>5077</v>
      </c>
      <c r="B68" s="1224">
        <v>3.176480521E9</v>
      </c>
      <c r="C68" s="1224"/>
      <c r="D68" s="1210" t="s">
        <v>2778</v>
      </c>
      <c r="E68" s="1210">
        <v>3809066.0</v>
      </c>
      <c r="F68" s="1207"/>
      <c r="G68" s="1207"/>
    </row>
    <row r="69" ht="26.25" customHeight="1">
      <c r="A69" s="1208" t="s">
        <v>5078</v>
      </c>
      <c r="B69" s="1209">
        <v>3.204718721E9</v>
      </c>
      <c r="C69" s="1209"/>
      <c r="D69" s="1210" t="s">
        <v>5079</v>
      </c>
      <c r="E69" s="1210" t="s">
        <v>5080</v>
      </c>
      <c r="F69" s="1221"/>
      <c r="G69" s="1221"/>
    </row>
    <row r="70" ht="26.25" customHeight="1">
      <c r="A70" s="1208" t="s">
        <v>5081</v>
      </c>
      <c r="B70" s="1209">
        <v>3.104024238E9</v>
      </c>
      <c r="C70" s="1209"/>
      <c r="D70" s="1210" t="s">
        <v>5082</v>
      </c>
      <c r="E70" s="1210" t="s">
        <v>5083</v>
      </c>
      <c r="F70" s="1221"/>
      <c r="G70" s="1221"/>
    </row>
    <row r="71" ht="26.25" customHeight="1">
      <c r="A71" s="1208" t="s">
        <v>5084</v>
      </c>
      <c r="B71" s="1209">
        <v>3.132564829E9</v>
      </c>
      <c r="C71" s="1209"/>
      <c r="D71" s="1210" t="s">
        <v>5085</v>
      </c>
      <c r="E71" s="1210" t="s">
        <v>5086</v>
      </c>
      <c r="F71" s="1207"/>
      <c r="G71" s="1207"/>
    </row>
    <row r="72" ht="26.25" customHeight="1">
      <c r="A72" s="1208" t="s">
        <v>5087</v>
      </c>
      <c r="B72" s="1209">
        <v>3.184925732E9</v>
      </c>
      <c r="C72" s="1209"/>
      <c r="D72" s="1210" t="s">
        <v>5088</v>
      </c>
      <c r="E72" s="1210" t="s">
        <v>5089</v>
      </c>
      <c r="F72" s="1211"/>
      <c r="G72" s="1211"/>
    </row>
    <row r="73" ht="26.25" customHeight="1">
      <c r="A73" s="1228" t="s">
        <v>5090</v>
      </c>
      <c r="B73" s="1219">
        <v>3.184925732E9</v>
      </c>
      <c r="C73" s="1219"/>
      <c r="D73" s="1220" t="s">
        <v>5091</v>
      </c>
      <c r="E73" s="1220" t="s">
        <v>5092</v>
      </c>
      <c r="F73" s="1211"/>
      <c r="G73" s="1211"/>
    </row>
    <row r="74" ht="26.25" customHeight="1">
      <c r="A74" s="1228" t="s">
        <v>5093</v>
      </c>
      <c r="B74" s="1219">
        <v>3.218909515E9</v>
      </c>
      <c r="C74" s="1219"/>
      <c r="D74" s="1220" t="s">
        <v>5094</v>
      </c>
      <c r="E74" s="1220" t="s">
        <v>5095</v>
      </c>
      <c r="F74" s="1211"/>
      <c r="G74" s="1211"/>
    </row>
    <row r="75" ht="26.25" customHeight="1">
      <c r="A75" s="1201" t="s">
        <v>5096</v>
      </c>
      <c r="B75" s="1202" t="s">
        <v>5097</v>
      </c>
      <c r="C75" s="1202"/>
      <c r="D75" s="1203" t="s">
        <v>5098</v>
      </c>
      <c r="E75" s="1203" t="s">
        <v>3207</v>
      </c>
      <c r="F75" s="1211"/>
      <c r="G75" s="1211"/>
    </row>
    <row r="76" ht="26.25" customHeight="1">
      <c r="A76" s="1208" t="s">
        <v>5099</v>
      </c>
      <c r="B76" s="1209">
        <v>3.104983097E9</v>
      </c>
      <c r="C76" s="1209"/>
      <c r="D76" s="1210" t="s">
        <v>5100</v>
      </c>
      <c r="E76" s="1210" t="s">
        <v>5101</v>
      </c>
      <c r="F76" s="1207"/>
      <c r="G76" s="1207"/>
    </row>
    <row r="77" ht="26.25" customHeight="1">
      <c r="A77" s="1208" t="s">
        <v>5102</v>
      </c>
      <c r="B77" s="1209">
        <v>3.165209007E9</v>
      </c>
      <c r="C77" s="1209"/>
      <c r="D77" s="1210" t="s">
        <v>5103</v>
      </c>
      <c r="E77" s="1210" t="s">
        <v>5104</v>
      </c>
      <c r="F77" s="1211"/>
      <c r="G77" s="1211"/>
    </row>
    <row r="78" ht="26.25" customHeight="1">
      <c r="A78" s="1208" t="s">
        <v>5105</v>
      </c>
      <c r="B78" s="1209">
        <v>3.205106303E9</v>
      </c>
      <c r="C78" s="1209"/>
      <c r="D78" s="1210" t="s">
        <v>5106</v>
      </c>
      <c r="E78" s="1210" t="s">
        <v>5107</v>
      </c>
      <c r="F78" s="1211"/>
      <c r="G78" s="1211"/>
    </row>
    <row r="79" ht="26.25" customHeight="1">
      <c r="A79" s="1208" t="s">
        <v>5108</v>
      </c>
      <c r="B79" s="1209">
        <v>3.052264943E9</v>
      </c>
      <c r="C79" s="1209"/>
      <c r="D79" s="1210" t="s">
        <v>5109</v>
      </c>
      <c r="E79" s="1210" t="s">
        <v>5110</v>
      </c>
      <c r="F79" s="1207"/>
      <c r="G79" s="1207"/>
    </row>
    <row r="80" ht="26.25" customHeight="1">
      <c r="A80" s="1228" t="s">
        <v>5111</v>
      </c>
      <c r="B80" s="1219">
        <v>3.004087314E9</v>
      </c>
      <c r="C80" s="1219"/>
      <c r="D80" s="1220" t="s">
        <v>5112</v>
      </c>
      <c r="E80" s="1220" t="s">
        <v>5113</v>
      </c>
      <c r="F80" s="1211"/>
      <c r="G80" s="1211"/>
    </row>
    <row r="81" ht="26.25" customHeight="1">
      <c r="A81" s="1208" t="s">
        <v>5114</v>
      </c>
      <c r="B81" s="1209">
        <v>3.21769742E9</v>
      </c>
      <c r="C81" s="1209"/>
      <c r="D81" s="1210" t="s">
        <v>5115</v>
      </c>
      <c r="E81" s="1210" t="s">
        <v>5116</v>
      </c>
      <c r="F81" s="1211"/>
      <c r="G81" s="1211"/>
    </row>
    <row r="82" ht="26.25" customHeight="1">
      <c r="A82" s="1208" t="s">
        <v>5117</v>
      </c>
      <c r="B82" s="1209">
        <v>3.167648885E9</v>
      </c>
      <c r="C82" s="1209"/>
      <c r="D82" s="1210" t="s">
        <v>5118</v>
      </c>
      <c r="E82" s="1210" t="s">
        <v>5119</v>
      </c>
      <c r="F82" s="1211"/>
      <c r="G82" s="1211"/>
    </row>
    <row r="83" ht="26.25" customHeight="1">
      <c r="A83" s="1208" t="s">
        <v>5120</v>
      </c>
      <c r="B83" s="1209">
        <v>3.186131885E9</v>
      </c>
      <c r="C83" s="1209"/>
      <c r="D83" s="1210" t="s">
        <v>5121</v>
      </c>
      <c r="E83" s="1210" t="s">
        <v>5122</v>
      </c>
      <c r="F83" s="1211"/>
      <c r="G83" s="1211"/>
    </row>
    <row r="84" ht="26.25" customHeight="1">
      <c r="A84" s="1208" t="s">
        <v>5123</v>
      </c>
      <c r="B84" s="1209">
        <v>3.163153976E9</v>
      </c>
      <c r="C84" s="1209"/>
      <c r="D84" s="1210" t="s">
        <v>5124</v>
      </c>
      <c r="E84" s="1210" t="s">
        <v>5125</v>
      </c>
      <c r="F84" s="1211"/>
      <c r="G84" s="1211"/>
    </row>
    <row r="85" ht="26.25" customHeight="1">
      <c r="A85" s="1201" t="s">
        <v>5126</v>
      </c>
      <c r="B85" s="1202">
        <v>3.146201395E9</v>
      </c>
      <c r="C85" s="1202"/>
      <c r="D85" s="1203" t="s">
        <v>5127</v>
      </c>
      <c r="E85" s="1203" t="s">
        <v>3207</v>
      </c>
      <c r="F85" s="1211"/>
      <c r="G85" s="1211"/>
    </row>
    <row r="86" ht="26.25" customHeight="1">
      <c r="A86" s="1208" t="s">
        <v>5128</v>
      </c>
      <c r="B86" s="1209">
        <v>3.155063569E9</v>
      </c>
      <c r="C86" s="1209"/>
      <c r="D86" s="1210" t="s">
        <v>5129</v>
      </c>
      <c r="E86" s="1210" t="s">
        <v>5130</v>
      </c>
      <c r="F86" s="1211"/>
      <c r="G86" s="1211"/>
    </row>
    <row r="87" ht="26.25" customHeight="1">
      <c r="A87" s="1212" t="s">
        <v>5131</v>
      </c>
      <c r="B87" s="1209">
        <v>3.225960951E9</v>
      </c>
      <c r="C87" s="1209"/>
      <c r="D87" s="1210" t="s">
        <v>5132</v>
      </c>
      <c r="E87" s="1210" t="s">
        <v>5133</v>
      </c>
      <c r="F87" s="1211"/>
      <c r="G87" s="1211"/>
    </row>
    <row r="88" ht="26.25" customHeight="1">
      <c r="A88" s="1208" t="s">
        <v>5134</v>
      </c>
      <c r="B88" s="1209">
        <v>3.226699803E9</v>
      </c>
      <c r="C88" s="1209"/>
      <c r="D88" s="1210" t="s">
        <v>5135</v>
      </c>
      <c r="E88" s="1210" t="s">
        <v>5136</v>
      </c>
      <c r="F88" s="1221"/>
      <c r="G88" s="1221"/>
    </row>
    <row r="89" ht="26.25" customHeight="1">
      <c r="A89" s="1208" t="s">
        <v>5134</v>
      </c>
      <c r="B89" s="1209">
        <v>3.122756498E9</v>
      </c>
      <c r="C89" s="1209"/>
      <c r="D89" s="1210" t="s">
        <v>5137</v>
      </c>
      <c r="E89" s="1210" t="s">
        <v>5138</v>
      </c>
      <c r="F89" s="1211"/>
      <c r="G89" s="1211"/>
    </row>
    <row r="90" ht="26.25" customHeight="1">
      <c r="A90" s="1208" t="s">
        <v>5139</v>
      </c>
      <c r="B90" s="1209">
        <v>3.127583169E9</v>
      </c>
      <c r="C90" s="1209"/>
      <c r="D90" s="1210" t="s">
        <v>5140</v>
      </c>
      <c r="E90" s="1210" t="s">
        <v>5141</v>
      </c>
      <c r="F90" s="1222"/>
      <c r="G90" s="1222"/>
    </row>
    <row r="91" ht="26.25" customHeight="1">
      <c r="A91" s="1208" t="s">
        <v>5142</v>
      </c>
      <c r="B91" s="1209">
        <v>3.053052324E9</v>
      </c>
      <c r="C91" s="1209"/>
      <c r="D91" s="1210" t="s">
        <v>5143</v>
      </c>
      <c r="E91" s="1210" t="s">
        <v>5144</v>
      </c>
      <c r="F91" s="1211"/>
      <c r="G91" s="1211"/>
    </row>
    <row r="92" ht="26.25" customHeight="1">
      <c r="A92" s="1208" t="s">
        <v>5145</v>
      </c>
      <c r="B92" s="1209">
        <v>3.146875778E9</v>
      </c>
      <c r="C92" s="1209"/>
      <c r="D92" s="1210" t="s">
        <v>5146</v>
      </c>
      <c r="E92" s="1210" t="s">
        <v>5147</v>
      </c>
      <c r="F92" s="1204"/>
      <c r="G92" s="1204"/>
    </row>
    <row r="93" ht="26.25" customHeight="1">
      <c r="A93" s="1197" t="s">
        <v>5148</v>
      </c>
      <c r="B93" s="1205">
        <v>3.045444866E9</v>
      </c>
      <c r="C93" s="1205"/>
      <c r="D93" s="1206" t="s">
        <v>5149</v>
      </c>
      <c r="E93" s="1206" t="s">
        <v>5150</v>
      </c>
      <c r="F93" s="1211"/>
      <c r="G93" s="1211"/>
    </row>
    <row r="94" ht="26.25" customHeight="1">
      <c r="A94" s="1208" t="s">
        <v>5151</v>
      </c>
      <c r="B94" s="1209">
        <v>3.225874153E9</v>
      </c>
      <c r="C94" s="1209"/>
      <c r="D94" s="1210" t="s">
        <v>5152</v>
      </c>
      <c r="E94" s="1210" t="s">
        <v>5153</v>
      </c>
      <c r="F94" s="1211"/>
      <c r="G94" s="1211"/>
    </row>
    <row r="95" ht="26.25" customHeight="1">
      <c r="A95" s="1208" t="s">
        <v>5154</v>
      </c>
      <c r="B95" s="1209">
        <v>3.175887509E9</v>
      </c>
      <c r="C95" s="1209"/>
      <c r="D95" s="1210"/>
      <c r="E95" s="1210"/>
      <c r="F95" s="1211"/>
      <c r="G95" s="1211"/>
    </row>
    <row r="96" ht="26.25" customHeight="1">
      <c r="A96" s="1218" t="s">
        <v>5155</v>
      </c>
      <c r="B96" s="1224">
        <v>3.157350261E9</v>
      </c>
      <c r="C96" s="1224"/>
      <c r="D96" s="1225" t="s">
        <v>5156</v>
      </c>
      <c r="E96" s="1225" t="s">
        <v>5157</v>
      </c>
      <c r="F96" s="1211"/>
      <c r="G96" s="1211"/>
    </row>
    <row r="97" ht="26.25" customHeight="1">
      <c r="A97" s="1218" t="s">
        <v>5158</v>
      </c>
      <c r="B97" s="1224">
        <v>3.015408048E9</v>
      </c>
      <c r="C97" s="1224"/>
      <c r="D97" s="1225" t="s">
        <v>5159</v>
      </c>
      <c r="E97" s="1225" t="s">
        <v>5160</v>
      </c>
      <c r="F97" s="1211"/>
      <c r="G97" s="1211"/>
    </row>
    <row r="98" ht="26.25" customHeight="1">
      <c r="A98" s="1197" t="s">
        <v>5161</v>
      </c>
      <c r="B98" s="1205">
        <v>3.006688955E9</v>
      </c>
      <c r="C98" s="1205"/>
      <c r="D98" s="1206" t="s">
        <v>5162</v>
      </c>
      <c r="E98" s="1206" t="s">
        <v>5163</v>
      </c>
      <c r="F98" s="1211"/>
      <c r="G98" s="1211"/>
    </row>
    <row r="99" ht="26.25" customHeight="1">
      <c r="A99" s="1208" t="s">
        <v>5164</v>
      </c>
      <c r="B99" s="1209">
        <v>3.104565541E9</v>
      </c>
      <c r="C99" s="1209"/>
      <c r="D99" s="1210" t="s">
        <v>5165</v>
      </c>
      <c r="E99" s="1210" t="s">
        <v>5166</v>
      </c>
      <c r="F99" s="1211"/>
      <c r="G99" s="1211"/>
    </row>
    <row r="100" ht="26.25" customHeight="1">
      <c r="A100" s="1208" t="s">
        <v>5167</v>
      </c>
      <c r="B100" s="1209">
        <v>3.185022873E9</v>
      </c>
      <c r="C100" s="1209"/>
      <c r="D100" s="1210" t="s">
        <v>5168</v>
      </c>
      <c r="E100" s="1210" t="s">
        <v>5169</v>
      </c>
      <c r="F100" s="1211"/>
      <c r="G100" s="1211"/>
    </row>
    <row r="101" ht="26.25" customHeight="1">
      <c r="A101" s="1212" t="s">
        <v>5170</v>
      </c>
      <c r="B101" s="1209">
        <v>3.127733886E9</v>
      </c>
      <c r="C101" s="1209"/>
      <c r="D101" s="1210" t="s">
        <v>5171</v>
      </c>
      <c r="E101" s="1210" t="s">
        <v>5172</v>
      </c>
      <c r="F101" s="1211"/>
      <c r="G101" s="1211"/>
    </row>
    <row r="102" ht="26.25" customHeight="1">
      <c r="A102" s="1208" t="s">
        <v>5173</v>
      </c>
      <c r="B102" s="1209">
        <v>3.108981678E9</v>
      </c>
      <c r="C102" s="1209"/>
      <c r="D102" s="1210" t="s">
        <v>5174</v>
      </c>
      <c r="E102" s="1210" t="s">
        <v>5175</v>
      </c>
      <c r="F102" s="1217"/>
      <c r="G102" s="1217"/>
    </row>
    <row r="103" ht="26.25" customHeight="1">
      <c r="A103" s="1208" t="s">
        <v>5176</v>
      </c>
      <c r="B103" s="1209">
        <v>3.152441858E9</v>
      </c>
      <c r="C103" s="1209"/>
      <c r="D103" s="1210"/>
      <c r="E103" s="1210"/>
      <c r="F103" s="1229"/>
      <c r="G103" s="1229"/>
    </row>
    <row r="104" ht="26.25" customHeight="1">
      <c r="A104" s="1208" t="s">
        <v>5177</v>
      </c>
      <c r="B104" s="1209">
        <v>3.137474629E9</v>
      </c>
      <c r="C104" s="1209"/>
      <c r="D104" s="1210" t="s">
        <v>5178</v>
      </c>
      <c r="E104" s="1210" t="s">
        <v>5179</v>
      </c>
      <c r="F104" s="1217"/>
      <c r="G104" s="1217"/>
    </row>
    <row r="105" ht="26.25" customHeight="1">
      <c r="A105" s="1201" t="s">
        <v>5180</v>
      </c>
      <c r="B105" s="1205">
        <v>3.10449152E9</v>
      </c>
      <c r="C105" s="1205"/>
      <c r="D105" s="1206" t="s">
        <v>5181</v>
      </c>
      <c r="E105" s="1206" t="s">
        <v>5182</v>
      </c>
      <c r="F105" s="1207"/>
      <c r="G105" s="1207"/>
    </row>
    <row r="106" ht="26.25" customHeight="1">
      <c r="A106" s="1208" t="s">
        <v>5183</v>
      </c>
      <c r="B106" s="1209">
        <v>3.155165607E9</v>
      </c>
      <c r="C106" s="1209"/>
      <c r="D106" s="1210" t="s">
        <v>5184</v>
      </c>
      <c r="E106" s="1210" t="s">
        <v>5185</v>
      </c>
      <c r="F106" s="1211"/>
      <c r="G106" s="1211"/>
    </row>
    <row r="107" ht="26.25" customHeight="1">
      <c r="A107" s="1208" t="s">
        <v>5186</v>
      </c>
      <c r="B107" s="1209">
        <v>3.137618881E9</v>
      </c>
      <c r="C107" s="1209"/>
      <c r="D107" s="1210" t="s">
        <v>5187</v>
      </c>
      <c r="E107" s="1210" t="s">
        <v>5188</v>
      </c>
      <c r="F107" s="1211"/>
      <c r="G107" s="1211"/>
    </row>
    <row r="108" ht="26.25" customHeight="1">
      <c r="A108" s="1197" t="s">
        <v>5189</v>
      </c>
      <c r="B108" s="1205">
        <v>3.167412056E9</v>
      </c>
      <c r="C108" s="1205"/>
      <c r="D108" s="1206" t="s">
        <v>5190</v>
      </c>
      <c r="E108" s="1206" t="s">
        <v>5191</v>
      </c>
      <c r="F108" s="1204"/>
      <c r="G108" s="1204"/>
    </row>
    <row r="109" ht="26.25" customHeight="1">
      <c r="A109" s="1208" t="s">
        <v>5192</v>
      </c>
      <c r="B109" s="1209">
        <v>3.23380441E9</v>
      </c>
      <c r="C109" s="1209"/>
      <c r="D109" s="1210" t="s">
        <v>5193</v>
      </c>
      <c r="E109" s="1210" t="s">
        <v>5194</v>
      </c>
      <c r="F109" s="1204"/>
      <c r="G109" s="1204"/>
    </row>
    <row r="110" ht="26.25" customHeight="1">
      <c r="A110" s="1208" t="s">
        <v>5195</v>
      </c>
      <c r="B110" s="1209">
        <v>3.136273672E9</v>
      </c>
      <c r="C110" s="1209"/>
      <c r="D110" s="1210" t="s">
        <v>5196</v>
      </c>
      <c r="E110" s="1210" t="s">
        <v>5197</v>
      </c>
      <c r="F110" s="1207"/>
      <c r="G110" s="1207"/>
    </row>
    <row r="111" ht="26.25" customHeight="1">
      <c r="A111" s="1208" t="s">
        <v>5198</v>
      </c>
      <c r="B111" s="1209">
        <v>3.136258523E9</v>
      </c>
      <c r="C111" s="1209"/>
      <c r="D111" s="1210" t="s">
        <v>5199</v>
      </c>
      <c r="E111" s="1210" t="s">
        <v>5200</v>
      </c>
      <c r="F111" s="1204"/>
      <c r="G111" s="1204"/>
    </row>
    <row r="112" ht="26.25" customHeight="1">
      <c r="A112" s="1208" t="s">
        <v>5201</v>
      </c>
      <c r="B112" s="1209">
        <v>3.136258523E9</v>
      </c>
      <c r="C112" s="1209"/>
      <c r="D112" s="1210" t="s">
        <v>5202</v>
      </c>
      <c r="E112" s="1210" t="s">
        <v>5203</v>
      </c>
      <c r="F112" s="1211"/>
      <c r="G112" s="1211"/>
    </row>
    <row r="113" ht="26.25" customHeight="1">
      <c r="A113" s="1208" t="s">
        <v>5204</v>
      </c>
      <c r="B113" s="1209">
        <v>3.168681946E9</v>
      </c>
      <c r="C113" s="1209"/>
      <c r="D113" s="1210" t="s">
        <v>5205</v>
      </c>
      <c r="E113" s="1210" t="s">
        <v>5206</v>
      </c>
      <c r="F113" s="1211"/>
      <c r="G113" s="1211"/>
    </row>
    <row r="114" ht="26.25" customHeight="1">
      <c r="A114" s="1208" t="s">
        <v>5207</v>
      </c>
      <c r="B114" s="1209">
        <v>3.226143001E9</v>
      </c>
      <c r="C114" s="1209"/>
      <c r="D114" s="1210" t="s">
        <v>5208</v>
      </c>
      <c r="E114" s="1210" t="s">
        <v>5209</v>
      </c>
      <c r="F114" s="1211"/>
      <c r="G114" s="1211"/>
    </row>
    <row r="115" ht="26.25" customHeight="1">
      <c r="A115" s="1208" t="s">
        <v>5210</v>
      </c>
      <c r="B115" s="1209"/>
      <c r="C115" s="1209"/>
      <c r="D115" s="1210" t="s">
        <v>5211</v>
      </c>
      <c r="E115" s="1210" t="s">
        <v>5212</v>
      </c>
      <c r="F115" s="1204"/>
      <c r="G115" s="1204"/>
    </row>
    <row r="116" ht="26.25" customHeight="1">
      <c r="A116" s="1208" t="s">
        <v>5213</v>
      </c>
      <c r="B116" s="1209">
        <v>3.103603676E9</v>
      </c>
      <c r="C116" s="1209"/>
      <c r="D116" s="1210" t="s">
        <v>5214</v>
      </c>
      <c r="E116" s="1210" t="s">
        <v>5215</v>
      </c>
      <c r="F116" s="1211"/>
      <c r="G116" s="1211"/>
    </row>
    <row r="117" ht="26.25" customHeight="1">
      <c r="A117" s="1208" t="s">
        <v>5216</v>
      </c>
      <c r="B117" s="1209">
        <v>3.182621278E9</v>
      </c>
      <c r="C117" s="1209"/>
      <c r="D117" s="1210" t="s">
        <v>5217</v>
      </c>
      <c r="E117" s="1210" t="s">
        <v>5218</v>
      </c>
      <c r="F117" s="1211"/>
      <c r="G117" s="1211"/>
    </row>
    <row r="118" ht="26.25" customHeight="1">
      <c r="A118" s="1208" t="s">
        <v>5219</v>
      </c>
      <c r="B118" s="1209">
        <v>3.136861979E9</v>
      </c>
      <c r="C118" s="1209"/>
      <c r="D118" s="1210" t="s">
        <v>5220</v>
      </c>
      <c r="E118" s="1210" t="s">
        <v>5221</v>
      </c>
      <c r="F118" s="1211"/>
      <c r="G118" s="1211"/>
    </row>
    <row r="119" ht="26.25" customHeight="1">
      <c r="A119" s="1212" t="s">
        <v>5222</v>
      </c>
      <c r="B119" s="1209">
        <v>3.224954566E9</v>
      </c>
      <c r="C119" s="1209"/>
      <c r="D119" s="1210" t="s">
        <v>5223</v>
      </c>
      <c r="E119" s="1210" t="s">
        <v>5224</v>
      </c>
      <c r="F119" s="1211"/>
      <c r="G119" s="1211"/>
    </row>
    <row r="120" ht="26.25" customHeight="1">
      <c r="A120" s="167" t="s">
        <v>5225</v>
      </c>
      <c r="B120" s="1208">
        <v>3.148470618E9</v>
      </c>
      <c r="C120" s="1209" t="s">
        <v>5226</v>
      </c>
      <c r="D120" s="1210" t="s">
        <v>5227</v>
      </c>
      <c r="E120" s="1210" t="s">
        <v>5228</v>
      </c>
      <c r="F120" s="1207"/>
      <c r="G120" s="1207"/>
    </row>
    <row r="121" ht="26.25" customHeight="1">
      <c r="A121" s="1208" t="s">
        <v>5229</v>
      </c>
      <c r="B121" s="1209">
        <v>3.137099869E9</v>
      </c>
      <c r="C121" s="1209"/>
      <c r="D121" s="1210" t="s">
        <v>5230</v>
      </c>
      <c r="E121" s="1210" t="s">
        <v>5231</v>
      </c>
      <c r="F121" s="1211"/>
      <c r="G121" s="1211"/>
    </row>
    <row r="122" ht="26.25" customHeight="1">
      <c r="A122" s="1218" t="s">
        <v>5232</v>
      </c>
      <c r="B122" s="1224">
        <v>3.226643735E9</v>
      </c>
      <c r="C122" s="1224"/>
      <c r="D122" s="1225" t="s">
        <v>5233</v>
      </c>
      <c r="E122" s="1225" t="s">
        <v>5234</v>
      </c>
      <c r="F122" s="1217"/>
      <c r="G122" s="1217"/>
    </row>
    <row r="123" ht="26.25" customHeight="1">
      <c r="A123" s="1208" t="s">
        <v>5235</v>
      </c>
      <c r="B123" s="1209" t="s">
        <v>5236</v>
      </c>
      <c r="C123" s="1209"/>
      <c r="D123" s="1210" t="s">
        <v>5237</v>
      </c>
      <c r="E123" s="1210" t="s">
        <v>5238</v>
      </c>
      <c r="F123" s="1221"/>
      <c r="G123" s="1221"/>
    </row>
    <row r="124" ht="26.25" customHeight="1">
      <c r="A124" s="1208" t="s">
        <v>5239</v>
      </c>
      <c r="B124" s="1209">
        <v>3.166593232E9</v>
      </c>
      <c r="C124" s="1209"/>
      <c r="D124" s="1210" t="s">
        <v>5240</v>
      </c>
      <c r="E124" s="1210"/>
      <c r="F124" s="1221"/>
      <c r="G124" s="1221"/>
    </row>
    <row r="125" ht="26.25" customHeight="1">
      <c r="A125" s="1208" t="s">
        <v>5241</v>
      </c>
      <c r="B125" s="1209">
        <v>3.173730521E9</v>
      </c>
      <c r="C125" s="1209"/>
      <c r="D125" s="1210" t="s">
        <v>5242</v>
      </c>
      <c r="E125" s="1210" t="s">
        <v>5243</v>
      </c>
      <c r="F125" s="1211"/>
      <c r="G125" s="1211"/>
    </row>
    <row r="126" ht="26.25" customHeight="1">
      <c r="A126" s="1208" t="s">
        <v>5244</v>
      </c>
      <c r="B126" s="1209">
        <v>3.01664002E9</v>
      </c>
      <c r="C126" s="1209"/>
      <c r="D126" s="1210" t="s">
        <v>5245</v>
      </c>
      <c r="E126" s="1210" t="s">
        <v>5246</v>
      </c>
      <c r="F126" s="1211"/>
      <c r="G126" s="1211"/>
    </row>
    <row r="127" ht="26.25" customHeight="1">
      <c r="A127" s="1201" t="s">
        <v>5247</v>
      </c>
      <c r="B127" s="1230" t="s">
        <v>5248</v>
      </c>
      <c r="C127" s="1230"/>
      <c r="D127" s="1227" t="s">
        <v>5249</v>
      </c>
      <c r="E127" s="1227" t="s">
        <v>5250</v>
      </c>
      <c r="F127" s="1211"/>
      <c r="G127" s="1211"/>
    </row>
    <row r="128" ht="26.25" customHeight="1">
      <c r="A128" s="1208" t="s">
        <v>5251</v>
      </c>
      <c r="B128" s="1209">
        <v>3.235984316E9</v>
      </c>
      <c r="C128" s="1209"/>
      <c r="D128" s="1210" t="s">
        <v>5252</v>
      </c>
      <c r="E128" s="1210" t="s">
        <v>5253</v>
      </c>
      <c r="F128" s="1211"/>
      <c r="G128" s="1211"/>
    </row>
    <row r="129" ht="26.25" customHeight="1">
      <c r="A129" s="1201" t="s">
        <v>5254</v>
      </c>
      <c r="B129" s="1202" t="s">
        <v>5255</v>
      </c>
      <c r="C129" s="1202"/>
      <c r="D129" s="1203" t="s">
        <v>5256</v>
      </c>
      <c r="E129" s="1203" t="s">
        <v>3207</v>
      </c>
      <c r="F129" s="1211"/>
      <c r="G129" s="1211"/>
    </row>
    <row r="130" ht="26.25" customHeight="1">
      <c r="A130" s="1208" t="s">
        <v>5257</v>
      </c>
      <c r="B130" s="1209">
        <v>3.153357946E9</v>
      </c>
      <c r="C130" s="1209"/>
      <c r="D130" s="1210" t="s">
        <v>5258</v>
      </c>
      <c r="E130" s="1210" t="s">
        <v>5259</v>
      </c>
      <c r="F130" s="1211"/>
      <c r="G130" s="1211"/>
    </row>
    <row r="131" ht="26.25" customHeight="1">
      <c r="A131" s="1208" t="s">
        <v>5260</v>
      </c>
      <c r="B131" s="1209">
        <v>3.106016904E9</v>
      </c>
      <c r="C131" s="1209"/>
      <c r="D131" s="1210" t="s">
        <v>5261</v>
      </c>
      <c r="E131" s="1210" t="s">
        <v>5262</v>
      </c>
      <c r="F131" s="1211"/>
      <c r="G131" s="1211"/>
    </row>
    <row r="132" ht="26.25" customHeight="1">
      <c r="A132" s="1208" t="s">
        <v>5263</v>
      </c>
      <c r="B132" s="1209">
        <v>3.136873149E9</v>
      </c>
      <c r="C132" s="1209"/>
      <c r="D132" s="1210" t="s">
        <v>5264</v>
      </c>
      <c r="E132" s="1210" t="s">
        <v>5265</v>
      </c>
      <c r="F132" s="1211"/>
      <c r="G132" s="1211"/>
    </row>
    <row r="133" ht="26.25" customHeight="1">
      <c r="A133" s="1208" t="s">
        <v>5266</v>
      </c>
      <c r="B133" s="1209">
        <v>3.183725219E9</v>
      </c>
      <c r="C133" s="1209"/>
      <c r="D133" s="1210" t="s">
        <v>5267</v>
      </c>
      <c r="E133" s="1210" t="s">
        <v>5268</v>
      </c>
      <c r="F133" s="1211"/>
      <c r="G133" s="1211"/>
    </row>
    <row r="134" ht="26.25" customHeight="1">
      <c r="A134" s="1208" t="s">
        <v>5269</v>
      </c>
      <c r="B134" s="1209">
        <v>3.127816562E9</v>
      </c>
      <c r="C134" s="1209"/>
      <c r="D134" s="1210" t="s">
        <v>5270</v>
      </c>
      <c r="E134" s="1210" t="s">
        <v>5271</v>
      </c>
      <c r="F134" s="1211"/>
      <c r="G134" s="1211"/>
    </row>
    <row r="135" ht="26.25" customHeight="1">
      <c r="A135" s="1208" t="s">
        <v>5272</v>
      </c>
      <c r="B135" s="1209">
        <v>3.162462339E9</v>
      </c>
      <c r="C135" s="1209"/>
      <c r="D135" s="1210" t="s">
        <v>5273</v>
      </c>
      <c r="E135" s="1210" t="s">
        <v>5274</v>
      </c>
      <c r="F135" s="1211"/>
      <c r="G135" s="1211"/>
    </row>
    <row r="136" ht="26.25" customHeight="1">
      <c r="A136" s="1208" t="s">
        <v>5275</v>
      </c>
      <c r="B136" s="1209">
        <v>3.175749886E9</v>
      </c>
      <c r="C136" s="1209"/>
      <c r="D136" s="1210" t="s">
        <v>5276</v>
      </c>
      <c r="E136" s="1210" t="s">
        <v>5277</v>
      </c>
      <c r="F136" s="1211"/>
      <c r="G136" s="1211"/>
    </row>
    <row r="137" ht="26.25" customHeight="1">
      <c r="A137" s="1208" t="s">
        <v>5278</v>
      </c>
      <c r="B137" s="1209">
        <v>3.164899134E9</v>
      </c>
      <c r="C137" s="1209"/>
      <c r="D137" s="1210" t="s">
        <v>5279</v>
      </c>
      <c r="E137" s="1210" t="s">
        <v>5280</v>
      </c>
      <c r="F137" s="1211"/>
      <c r="G137" s="1211"/>
    </row>
    <row r="138" ht="26.25" customHeight="1">
      <c r="A138" s="1208" t="s">
        <v>5281</v>
      </c>
      <c r="B138" s="1209">
        <v>3.183773224E9</v>
      </c>
      <c r="C138" s="1209"/>
      <c r="D138" s="1210" t="s">
        <v>5282</v>
      </c>
      <c r="E138" s="1210" t="s">
        <v>5283</v>
      </c>
      <c r="F138" s="1211"/>
      <c r="G138" s="1211"/>
    </row>
    <row r="139" ht="26.25" customHeight="1">
      <c r="A139" s="1208" t="s">
        <v>5284</v>
      </c>
      <c r="B139" s="1209">
        <v>3.175281395E9</v>
      </c>
      <c r="C139" s="1209"/>
      <c r="D139" s="1231"/>
      <c r="E139" s="1210" t="s">
        <v>5285</v>
      </c>
      <c r="F139" s="1211"/>
      <c r="G139" s="1211"/>
    </row>
    <row r="140" ht="26.25" customHeight="1">
      <c r="A140" s="1208" t="s">
        <v>5286</v>
      </c>
      <c r="B140" s="1209">
        <v>3.158510082E9</v>
      </c>
      <c r="C140" s="1209"/>
      <c r="D140" s="1210" t="s">
        <v>5287</v>
      </c>
      <c r="E140" s="1210" t="s">
        <v>5288</v>
      </c>
      <c r="F140" s="1211"/>
      <c r="G140" s="1211"/>
    </row>
    <row r="141" ht="26.25" customHeight="1">
      <c r="A141" s="1232" t="s">
        <v>5289</v>
      </c>
      <c r="B141" s="1219">
        <v>6678521.0</v>
      </c>
      <c r="C141" s="1219"/>
      <c r="D141" s="1220" t="s">
        <v>5290</v>
      </c>
      <c r="E141" s="1220" t="s">
        <v>5291</v>
      </c>
      <c r="F141" s="1211"/>
      <c r="G141" s="1211"/>
    </row>
    <row r="142" ht="26.25" customHeight="1">
      <c r="A142" s="1233" t="s">
        <v>5292</v>
      </c>
      <c r="B142" s="1209">
        <v>3.152705826E9</v>
      </c>
      <c r="C142" s="1209"/>
      <c r="D142" s="1234"/>
      <c r="E142" s="1234"/>
      <c r="F142" s="1211"/>
      <c r="G142" s="1211"/>
    </row>
    <row r="143" ht="26.25" customHeight="1">
      <c r="A143" s="1228" t="s">
        <v>5293</v>
      </c>
      <c r="B143" s="1219">
        <v>3.112022937E9</v>
      </c>
      <c r="C143" s="1219"/>
      <c r="D143" s="1235"/>
      <c r="E143" s="1220" t="s">
        <v>5294</v>
      </c>
      <c r="F143" s="1211"/>
      <c r="G143" s="1211"/>
    </row>
    <row r="144" ht="26.25" customHeight="1">
      <c r="A144" s="1201" t="s">
        <v>5295</v>
      </c>
      <c r="B144" s="1205">
        <v>3.163616695E9</v>
      </c>
      <c r="C144" s="1205"/>
      <c r="D144" s="1206" t="s">
        <v>5296</v>
      </c>
      <c r="E144" s="1206" t="s">
        <v>5297</v>
      </c>
      <c r="F144" s="1211"/>
      <c r="G144" s="1211"/>
    </row>
    <row r="145" ht="26.25" customHeight="1">
      <c r="A145" s="1208" t="s">
        <v>5298</v>
      </c>
      <c r="B145" s="1209">
        <v>3.186251464E9</v>
      </c>
      <c r="C145" s="1209"/>
      <c r="D145" s="1210" t="s">
        <v>5299</v>
      </c>
      <c r="E145" s="1210" t="s">
        <v>5300</v>
      </c>
      <c r="F145" s="1211"/>
      <c r="G145" s="1211"/>
    </row>
    <row r="146" ht="26.25" customHeight="1">
      <c r="A146" s="1208" t="s">
        <v>5301</v>
      </c>
      <c r="B146" s="1209">
        <v>3.137503623E9</v>
      </c>
      <c r="C146" s="1209"/>
      <c r="D146" s="1210" t="s">
        <v>5302</v>
      </c>
      <c r="E146" s="1210" t="s">
        <v>5303</v>
      </c>
      <c r="F146" s="1204"/>
      <c r="G146" s="1204"/>
    </row>
    <row r="147" ht="26.25" customHeight="1">
      <c r="A147" s="1208" t="s">
        <v>5304</v>
      </c>
      <c r="B147" s="1209">
        <v>3.137668137E9</v>
      </c>
      <c r="C147" s="1209"/>
      <c r="D147" s="1210" t="s">
        <v>5305</v>
      </c>
      <c r="E147" s="1210" t="s">
        <v>5306</v>
      </c>
      <c r="F147" s="1207"/>
      <c r="G147" s="1207"/>
    </row>
    <row r="148" ht="26.25" customHeight="1">
      <c r="A148" s="1208" t="s">
        <v>5307</v>
      </c>
      <c r="B148" s="1209">
        <v>3.008236511E9</v>
      </c>
      <c r="C148" s="1209"/>
      <c r="D148" s="1210" t="s">
        <v>5308</v>
      </c>
      <c r="E148" s="1210" t="s">
        <v>5309</v>
      </c>
      <c r="F148" s="1221"/>
      <c r="G148" s="1221"/>
    </row>
    <row r="149" ht="26.25" customHeight="1">
      <c r="A149" s="1197" t="s">
        <v>5310</v>
      </c>
      <c r="B149" s="1205">
        <v>3.1165152E9</v>
      </c>
      <c r="C149" s="1205"/>
      <c r="D149" s="1206" t="s">
        <v>5311</v>
      </c>
      <c r="E149" s="1203" t="s">
        <v>5312</v>
      </c>
      <c r="F149" s="1207"/>
      <c r="G149" s="1207"/>
    </row>
    <row r="150" ht="26.25" customHeight="1">
      <c r="A150" s="1197" t="s">
        <v>5313</v>
      </c>
      <c r="B150" s="1202">
        <v>3.104300423E9</v>
      </c>
      <c r="C150" s="1202"/>
      <c r="D150" s="1203" t="s">
        <v>5314</v>
      </c>
      <c r="E150" s="1203" t="s">
        <v>5315</v>
      </c>
      <c r="F150" s="1211"/>
      <c r="G150" s="1211"/>
    </row>
    <row r="151" ht="26.25" customHeight="1">
      <c r="A151" s="1197" t="s">
        <v>5316</v>
      </c>
      <c r="B151" s="1205">
        <v>3.186128395E9</v>
      </c>
      <c r="C151" s="1205"/>
      <c r="D151" s="1206" t="s">
        <v>5317</v>
      </c>
      <c r="E151" s="1206" t="s">
        <v>5318</v>
      </c>
      <c r="F151" s="1211"/>
      <c r="G151" s="1211"/>
    </row>
    <row r="152" ht="26.25" customHeight="1">
      <c r="A152" s="1201" t="s">
        <v>5319</v>
      </c>
      <c r="B152" s="1202">
        <v>3.167921394E9</v>
      </c>
      <c r="C152" s="1202"/>
      <c r="D152" s="1203" t="s">
        <v>5320</v>
      </c>
      <c r="E152" s="1203" t="s">
        <v>5321</v>
      </c>
      <c r="F152" s="1211"/>
      <c r="G152" s="1211"/>
    </row>
    <row r="153" ht="26.25" customHeight="1">
      <c r="A153" s="1208" t="s">
        <v>5319</v>
      </c>
      <c r="B153" s="1209">
        <v>3.167921394E9</v>
      </c>
      <c r="C153" s="1209" t="s">
        <v>5322</v>
      </c>
      <c r="D153" s="1210" t="s">
        <v>5323</v>
      </c>
      <c r="E153" s="1210" t="s">
        <v>5324</v>
      </c>
      <c r="F153" s="1217"/>
      <c r="G153" s="1217"/>
    </row>
    <row r="154" ht="26.25" customHeight="1">
      <c r="A154" s="1208" t="s">
        <v>5325</v>
      </c>
      <c r="B154" s="1209" t="s">
        <v>5326</v>
      </c>
      <c r="C154" s="1209"/>
      <c r="D154" s="1210" t="s">
        <v>5327</v>
      </c>
      <c r="E154" s="1210" t="s">
        <v>5328</v>
      </c>
      <c r="F154" s="1217"/>
      <c r="G154" s="1217"/>
    </row>
    <row r="155" ht="26.25" customHeight="1">
      <c r="A155" s="1208" t="s">
        <v>5329</v>
      </c>
      <c r="B155" s="1209">
        <v>3.005159718E9</v>
      </c>
      <c r="C155" s="1209"/>
      <c r="D155" s="1210" t="s">
        <v>5330</v>
      </c>
      <c r="E155" s="1210" t="s">
        <v>5331</v>
      </c>
      <c r="F155" s="1217"/>
      <c r="G155" s="1217"/>
    </row>
    <row r="156" ht="26.25" customHeight="1">
      <c r="A156" s="1208" t="s">
        <v>5332</v>
      </c>
      <c r="B156" s="1209">
        <v>3.022898558E9</v>
      </c>
      <c r="C156" s="1209"/>
      <c r="D156" s="1210" t="s">
        <v>5333</v>
      </c>
      <c r="E156" s="1210"/>
      <c r="F156" s="1207"/>
      <c r="G156" s="1207"/>
    </row>
    <row r="157" ht="26.25" customHeight="1">
      <c r="A157" s="1208" t="s">
        <v>5334</v>
      </c>
      <c r="B157" s="1209">
        <v>3.022898558E9</v>
      </c>
      <c r="C157" s="1209"/>
      <c r="D157" s="1210" t="s">
        <v>5335</v>
      </c>
      <c r="E157" s="1210"/>
      <c r="F157" s="1207"/>
      <c r="G157" s="1207"/>
    </row>
    <row r="158" ht="26.25" customHeight="1">
      <c r="A158" s="1208" t="s">
        <v>5336</v>
      </c>
      <c r="B158" s="1209">
        <v>3.205607431E9</v>
      </c>
      <c r="C158" s="1209"/>
      <c r="D158" s="1210" t="s">
        <v>5337</v>
      </c>
      <c r="E158" s="1210" t="s">
        <v>5338</v>
      </c>
      <c r="F158" s="1207"/>
      <c r="G158" s="1207"/>
    </row>
    <row r="159" ht="26.25" customHeight="1">
      <c r="A159" s="1197" t="s">
        <v>5339</v>
      </c>
      <c r="B159" s="1202">
        <v>3.114863558E9</v>
      </c>
      <c r="C159" s="1202"/>
      <c r="D159" s="1203" t="s">
        <v>5340</v>
      </c>
      <c r="E159" s="1203" t="s">
        <v>5341</v>
      </c>
      <c r="F159" s="1211"/>
      <c r="G159" s="1211"/>
    </row>
    <row r="160" ht="26.25" customHeight="1">
      <c r="A160" s="1208" t="s">
        <v>5342</v>
      </c>
      <c r="B160" s="1209">
        <v>3.046747485E9</v>
      </c>
      <c r="C160" s="126"/>
      <c r="D160" s="1209" t="s">
        <v>5343</v>
      </c>
      <c r="E160" s="1210" t="s">
        <v>5344</v>
      </c>
      <c r="F160" s="1211"/>
      <c r="G160" s="1211"/>
    </row>
    <row r="161" ht="26.25" customHeight="1">
      <c r="A161" s="1208" t="s">
        <v>5345</v>
      </c>
      <c r="B161" s="1209">
        <v>3.116011812E9</v>
      </c>
      <c r="C161" s="1209"/>
      <c r="D161" s="1210" t="s">
        <v>5346</v>
      </c>
      <c r="E161" s="1210" t="s">
        <v>5347</v>
      </c>
      <c r="F161" s="1211"/>
      <c r="G161" s="1211"/>
    </row>
    <row r="162" ht="26.25" customHeight="1">
      <c r="A162" s="1208" t="s">
        <v>5348</v>
      </c>
      <c r="B162" s="1209">
        <v>3.183595295E9</v>
      </c>
      <c r="C162" s="1209"/>
      <c r="D162" s="1210" t="s">
        <v>5349</v>
      </c>
      <c r="E162" s="1210" t="s">
        <v>5350</v>
      </c>
      <c r="F162" s="1211"/>
      <c r="G162" s="1211"/>
    </row>
    <row r="163" ht="26.25" customHeight="1">
      <c r="A163" s="1208" t="s">
        <v>5351</v>
      </c>
      <c r="B163" s="1209">
        <v>3.184025597E9</v>
      </c>
      <c r="C163" s="1209"/>
      <c r="D163" s="1210" t="s">
        <v>5352</v>
      </c>
      <c r="E163" s="1210" t="s">
        <v>5353</v>
      </c>
      <c r="F163" s="1211"/>
      <c r="G163" s="1211"/>
    </row>
    <row r="164" ht="26.25" customHeight="1">
      <c r="A164" s="1208" t="s">
        <v>5354</v>
      </c>
      <c r="B164" s="1209">
        <v>3.182585045E9</v>
      </c>
      <c r="C164" s="1209"/>
      <c r="D164" s="1210" t="s">
        <v>5355</v>
      </c>
      <c r="E164" s="1210" t="s">
        <v>5356</v>
      </c>
      <c r="F164" s="1211"/>
      <c r="G164" s="1211"/>
    </row>
    <row r="165" ht="26.25" customHeight="1">
      <c r="A165" s="1208" t="s">
        <v>5354</v>
      </c>
      <c r="B165" s="1209">
        <v>3.182585045E9</v>
      </c>
      <c r="C165" s="1209"/>
      <c r="D165" s="1210" t="s">
        <v>5357</v>
      </c>
      <c r="E165" s="1210"/>
      <c r="F165" s="1217"/>
      <c r="G165" s="1217"/>
    </row>
    <row r="166" ht="26.25" customHeight="1">
      <c r="A166" s="1197" t="s">
        <v>5358</v>
      </c>
      <c r="B166" s="1205">
        <v>3.046751512E9</v>
      </c>
      <c r="C166" s="1205"/>
      <c r="D166" s="1206" t="s">
        <v>5359</v>
      </c>
      <c r="E166" s="1206" t="s">
        <v>5360</v>
      </c>
      <c r="F166" s="1207"/>
      <c r="G166" s="1207"/>
    </row>
    <row r="167" ht="26.25" customHeight="1">
      <c r="A167" s="1208" t="s">
        <v>5361</v>
      </c>
      <c r="B167" s="1209">
        <v>3.178541432E9</v>
      </c>
      <c r="C167" s="1209"/>
      <c r="D167" s="1210" t="s">
        <v>5362</v>
      </c>
      <c r="E167" s="1210" t="s">
        <v>5363</v>
      </c>
      <c r="F167" s="1211"/>
      <c r="G167" s="1211"/>
    </row>
    <row r="168" ht="26.25" customHeight="1">
      <c r="A168" s="1208" t="s">
        <v>5364</v>
      </c>
      <c r="B168" s="1236">
        <v>3.23411601E9</v>
      </c>
      <c r="C168" s="1236"/>
      <c r="D168" s="1210" t="s">
        <v>5365</v>
      </c>
      <c r="E168" s="1210" t="s">
        <v>5366</v>
      </c>
      <c r="F168" s="1211"/>
      <c r="G168" s="1211"/>
    </row>
    <row r="169" ht="26.25" customHeight="1">
      <c r="A169" s="1208" t="s">
        <v>5367</v>
      </c>
      <c r="B169" s="1209">
        <v>3.167100113E9</v>
      </c>
      <c r="C169" s="1209"/>
      <c r="D169" s="1210" t="s">
        <v>5368</v>
      </c>
      <c r="E169" s="1210" t="s">
        <v>5369</v>
      </c>
      <c r="F169" s="1211"/>
      <c r="G169" s="1211"/>
    </row>
    <row r="170" ht="26.25" customHeight="1">
      <c r="A170" s="1228" t="s">
        <v>5370</v>
      </c>
      <c r="B170" s="1219">
        <v>3.166858115E9</v>
      </c>
      <c r="C170" s="1219"/>
      <c r="D170" s="1220" t="s">
        <v>5371</v>
      </c>
      <c r="E170" s="1220" t="s">
        <v>5372</v>
      </c>
      <c r="F170" s="1237"/>
      <c r="G170" s="1237"/>
    </row>
    <row r="171" ht="26.25" customHeight="1">
      <c r="A171" s="1208" t="s">
        <v>5373</v>
      </c>
      <c r="B171" s="1209" t="s">
        <v>5374</v>
      </c>
      <c r="C171" s="1209"/>
      <c r="D171" s="1238"/>
      <c r="E171" s="1225" t="s">
        <v>5375</v>
      </c>
      <c r="F171" s="1211"/>
      <c r="G171" s="1211"/>
    </row>
    <row r="172" ht="26.25" customHeight="1">
      <c r="A172" s="1208" t="s">
        <v>5376</v>
      </c>
      <c r="B172" s="1209">
        <v>3.165340631E9</v>
      </c>
      <c r="C172" s="1209"/>
      <c r="D172" s="1238" t="s">
        <v>5377</v>
      </c>
      <c r="E172" s="1225" t="s">
        <v>5378</v>
      </c>
      <c r="F172" s="1211"/>
      <c r="G172" s="1211"/>
    </row>
    <row r="173" ht="26.25" customHeight="1">
      <c r="A173" s="1208" t="s">
        <v>5379</v>
      </c>
      <c r="B173" s="1209">
        <v>3.226204855E9</v>
      </c>
      <c r="C173" s="1209"/>
      <c r="D173" s="1210" t="s">
        <v>5380</v>
      </c>
      <c r="E173" s="1210" t="s">
        <v>5381</v>
      </c>
      <c r="F173" s="1222"/>
      <c r="G173" s="1222"/>
    </row>
    <row r="174" ht="26.25" customHeight="1">
      <c r="A174" s="1208" t="s">
        <v>5382</v>
      </c>
      <c r="B174" s="1209">
        <v>3.157688964E9</v>
      </c>
      <c r="C174" s="1209"/>
      <c r="D174" s="1210" t="s">
        <v>5383</v>
      </c>
      <c r="E174" s="1210" t="s">
        <v>5384</v>
      </c>
      <c r="F174" s="1207"/>
      <c r="G174" s="1207"/>
    </row>
    <row r="175" ht="26.25" customHeight="1">
      <c r="A175" s="1208" t="s">
        <v>5385</v>
      </c>
      <c r="B175" s="1239">
        <v>3.155907918E9</v>
      </c>
      <c r="C175" s="1239"/>
      <c r="D175" s="1210" t="s">
        <v>5386</v>
      </c>
      <c r="E175" s="1210" t="s">
        <v>5387</v>
      </c>
      <c r="F175" s="1207"/>
      <c r="G175" s="1207"/>
    </row>
    <row r="176" ht="26.25" customHeight="1">
      <c r="A176" s="1208" t="s">
        <v>5388</v>
      </c>
      <c r="B176" s="1209">
        <v>3.186996369E9</v>
      </c>
      <c r="C176" s="1209"/>
      <c r="D176" s="1210" t="s">
        <v>5389</v>
      </c>
      <c r="E176" s="1210" t="s">
        <v>5390</v>
      </c>
      <c r="F176" s="1217"/>
      <c r="G176" s="1217"/>
    </row>
    <row r="177" ht="26.25" customHeight="1">
      <c r="A177" s="1208" t="s">
        <v>5391</v>
      </c>
      <c r="B177" s="1209">
        <v>3.122093587E9</v>
      </c>
      <c r="C177" s="1209"/>
      <c r="D177" s="1210" t="s">
        <v>5392</v>
      </c>
      <c r="E177" s="1210" t="s">
        <v>5393</v>
      </c>
      <c r="F177" s="1211"/>
      <c r="G177" s="1211"/>
    </row>
    <row r="178" ht="26.25" customHeight="1">
      <c r="A178" s="1208" t="s">
        <v>5394</v>
      </c>
      <c r="B178" s="1209">
        <v>3.194501617E9</v>
      </c>
      <c r="C178" s="1209"/>
      <c r="D178" s="1210" t="s">
        <v>5395</v>
      </c>
      <c r="E178" s="1210" t="s">
        <v>5396</v>
      </c>
      <c r="F178" s="1211"/>
      <c r="G178" s="1211"/>
    </row>
    <row r="179" ht="26.25" customHeight="1">
      <c r="A179" s="1208" t="s">
        <v>5397</v>
      </c>
      <c r="B179" s="1209">
        <v>3.168643168E9</v>
      </c>
      <c r="C179" s="1209"/>
      <c r="D179" s="1210" t="s">
        <v>5398</v>
      </c>
      <c r="E179" s="1210" t="s">
        <v>5399</v>
      </c>
      <c r="F179" s="1211"/>
      <c r="G179" s="1211"/>
    </row>
    <row r="180" ht="26.25" customHeight="1">
      <c r="A180" s="1208" t="s">
        <v>5400</v>
      </c>
      <c r="B180" s="1209">
        <v>3.207211957E9</v>
      </c>
      <c r="C180" s="1209"/>
      <c r="D180" s="1210" t="s">
        <v>5401</v>
      </c>
      <c r="E180" s="1210" t="s">
        <v>5402</v>
      </c>
      <c r="F180" s="1211"/>
      <c r="G180" s="1211"/>
    </row>
    <row r="181" ht="26.25" customHeight="1">
      <c r="A181" s="1208" t="s">
        <v>5403</v>
      </c>
      <c r="B181" s="1209" t="s">
        <v>5404</v>
      </c>
      <c r="C181" s="1209"/>
      <c r="D181" s="1210" t="s">
        <v>5405</v>
      </c>
      <c r="E181" s="1210" t="s">
        <v>5406</v>
      </c>
      <c r="F181" s="1211"/>
      <c r="G181" s="1211"/>
    </row>
    <row r="182" ht="26.25" customHeight="1">
      <c r="A182" s="1208" t="s">
        <v>5407</v>
      </c>
      <c r="B182" s="1209">
        <v>3.18758703E9</v>
      </c>
      <c r="C182" s="1209"/>
      <c r="D182" s="1210" t="s">
        <v>5408</v>
      </c>
      <c r="E182" s="1210" t="s">
        <v>5409</v>
      </c>
      <c r="F182" s="1211"/>
      <c r="G182" s="1211"/>
    </row>
    <row r="183" ht="26.25" customHeight="1">
      <c r="A183" s="1208" t="s">
        <v>5410</v>
      </c>
      <c r="B183" s="1209">
        <v>3.166212708E9</v>
      </c>
      <c r="C183" s="1209"/>
      <c r="D183" s="1210" t="s">
        <v>5411</v>
      </c>
      <c r="E183" s="1210" t="s">
        <v>5412</v>
      </c>
      <c r="F183" s="1211"/>
      <c r="G183" s="1211"/>
    </row>
    <row r="184" ht="26.25" customHeight="1">
      <c r="A184" s="1208" t="s">
        <v>5413</v>
      </c>
      <c r="B184" s="1209">
        <v>3.22652177E9</v>
      </c>
      <c r="C184" s="1209"/>
      <c r="D184" s="1210" t="s">
        <v>5414</v>
      </c>
      <c r="E184" s="1210" t="s">
        <v>5415</v>
      </c>
      <c r="F184" s="1207"/>
      <c r="G184" s="1207"/>
    </row>
    <row r="185" ht="26.25" customHeight="1">
      <c r="A185" s="1208" t="s">
        <v>5416</v>
      </c>
      <c r="B185" s="1209">
        <v>3.174018681E9</v>
      </c>
      <c r="C185" s="1209"/>
      <c r="D185" s="1210" t="s">
        <v>5417</v>
      </c>
      <c r="E185" s="1210" t="s">
        <v>5418</v>
      </c>
      <c r="F185" s="1211"/>
      <c r="G185" s="1211"/>
    </row>
    <row r="186" ht="26.25" customHeight="1">
      <c r="A186" s="1208" t="s">
        <v>5419</v>
      </c>
      <c r="B186" s="1209">
        <v>3.165791188E9</v>
      </c>
      <c r="C186" s="1209"/>
      <c r="D186" s="1210" t="s">
        <v>5420</v>
      </c>
      <c r="E186" s="1210" t="s">
        <v>5421</v>
      </c>
      <c r="F186" s="1211"/>
      <c r="G186" s="1211"/>
    </row>
    <row r="187" ht="26.25" customHeight="1">
      <c r="A187" s="1208" t="s">
        <v>5422</v>
      </c>
      <c r="B187" s="1209">
        <v>3.143007429E9</v>
      </c>
      <c r="C187" s="1209" t="s">
        <v>5423</v>
      </c>
      <c r="D187" s="1210" t="s">
        <v>5424</v>
      </c>
      <c r="E187" s="1210" t="s">
        <v>5425</v>
      </c>
      <c r="F187" s="1217"/>
      <c r="G187" s="1217"/>
    </row>
    <row r="188" ht="26.25" customHeight="1">
      <c r="A188" s="1208" t="s">
        <v>5426</v>
      </c>
      <c r="B188" s="1209">
        <v>3.187785672E9</v>
      </c>
      <c r="C188" s="1209"/>
      <c r="D188" s="1210" t="s">
        <v>5427</v>
      </c>
      <c r="E188" s="1210" t="s">
        <v>5428</v>
      </c>
      <c r="F188" s="1217"/>
      <c r="G188" s="1217"/>
    </row>
    <row r="189" ht="26.25" customHeight="1">
      <c r="A189" s="1208" t="s">
        <v>5429</v>
      </c>
      <c r="B189" s="1209">
        <v>3.148776716E9</v>
      </c>
      <c r="C189" s="1209" t="s">
        <v>5430</v>
      </c>
      <c r="D189" s="1210" t="s">
        <v>5431</v>
      </c>
      <c r="E189" s="1210" t="s">
        <v>5432</v>
      </c>
      <c r="F189" s="1211"/>
      <c r="G189" s="1211"/>
    </row>
    <row r="190" ht="26.25" customHeight="1">
      <c r="A190" s="1208" t="s">
        <v>5433</v>
      </c>
      <c r="B190" s="1209">
        <v>3.182460429E9</v>
      </c>
      <c r="C190" s="1209"/>
      <c r="D190" s="1210" t="s">
        <v>5434</v>
      </c>
      <c r="E190" s="1210" t="s">
        <v>5435</v>
      </c>
      <c r="F190" s="1211"/>
      <c r="G190" s="1211"/>
    </row>
    <row r="191" ht="26.25" customHeight="1">
      <c r="A191" s="1208" t="s">
        <v>5436</v>
      </c>
      <c r="B191" s="1209">
        <v>3.146615305E9</v>
      </c>
      <c r="C191" s="1209"/>
      <c r="D191" s="1210" t="s">
        <v>5437</v>
      </c>
      <c r="E191" s="1210" t="s">
        <v>5438</v>
      </c>
      <c r="F191" s="1204"/>
      <c r="G191" s="1204"/>
    </row>
    <row r="192" ht="26.25" customHeight="1">
      <c r="A192" s="1208" t="s">
        <v>5439</v>
      </c>
      <c r="B192" s="1209">
        <v>3.164802989E9</v>
      </c>
      <c r="C192" s="1209"/>
      <c r="D192" s="1210" t="s">
        <v>5440</v>
      </c>
      <c r="E192" s="1210" t="s">
        <v>5441</v>
      </c>
      <c r="F192" s="1211"/>
      <c r="G192" s="1211"/>
    </row>
    <row r="193" ht="26.25" customHeight="1">
      <c r="A193" s="1208" t="s">
        <v>5442</v>
      </c>
      <c r="B193" s="1209">
        <v>3.104500708E9</v>
      </c>
      <c r="C193" s="1209"/>
      <c r="D193" s="1210" t="s">
        <v>5443</v>
      </c>
      <c r="E193" s="1210" t="s">
        <v>5444</v>
      </c>
      <c r="F193" s="1211"/>
      <c r="G193" s="1211"/>
    </row>
    <row r="194" ht="26.25" customHeight="1">
      <c r="A194" s="1208" t="s">
        <v>5445</v>
      </c>
      <c r="B194" s="1209">
        <v>3.128904461E9</v>
      </c>
      <c r="C194" s="1209"/>
      <c r="D194" s="1210"/>
      <c r="E194" s="1210"/>
      <c r="F194" s="1217"/>
      <c r="G194" s="1217"/>
    </row>
    <row r="195" ht="26.25" customHeight="1">
      <c r="A195" s="1208" t="s">
        <v>5446</v>
      </c>
      <c r="B195" s="1209">
        <v>3.232872788E9</v>
      </c>
      <c r="C195" s="1209"/>
      <c r="D195" s="1210" t="s">
        <v>5447</v>
      </c>
      <c r="E195" s="1210" t="s">
        <v>5448</v>
      </c>
      <c r="F195" s="1221"/>
      <c r="G195" s="1221"/>
    </row>
    <row r="196" ht="26.25" customHeight="1">
      <c r="A196" s="1208" t="s">
        <v>5449</v>
      </c>
      <c r="B196" s="1209" t="s">
        <v>5450</v>
      </c>
      <c r="C196" s="1209"/>
      <c r="D196" s="1210" t="s">
        <v>5451</v>
      </c>
      <c r="E196" s="1210" t="s">
        <v>5452</v>
      </c>
      <c r="F196" s="1211"/>
      <c r="G196" s="1211"/>
    </row>
    <row r="197" ht="26.25" customHeight="1">
      <c r="A197" s="1208" t="s">
        <v>5453</v>
      </c>
      <c r="B197" s="1209">
        <v>3.135017965E9</v>
      </c>
      <c r="C197" s="1209"/>
      <c r="D197" s="1210" t="s">
        <v>5454</v>
      </c>
      <c r="E197" s="1210" t="s">
        <v>5455</v>
      </c>
      <c r="F197" s="1221"/>
      <c r="G197" s="1221"/>
    </row>
    <row r="198" ht="26.25" customHeight="1">
      <c r="A198" s="1201" t="s">
        <v>5456</v>
      </c>
      <c r="B198" s="1202">
        <v>4.4056389E7</v>
      </c>
      <c r="C198" s="1202"/>
      <c r="D198" s="1203" t="s">
        <v>5457</v>
      </c>
      <c r="E198" s="1203" t="s">
        <v>5458</v>
      </c>
      <c r="F198" s="1229"/>
      <c r="G198" s="1229"/>
    </row>
    <row r="199" ht="26.25" customHeight="1">
      <c r="A199" s="1197" t="s">
        <v>5459</v>
      </c>
      <c r="B199" s="1205">
        <v>3.158348638E9</v>
      </c>
      <c r="C199" s="1205"/>
      <c r="D199" s="1206" t="s">
        <v>5460</v>
      </c>
      <c r="E199" s="1206" t="s">
        <v>5461</v>
      </c>
      <c r="F199" s="1229"/>
      <c r="G199" s="1229"/>
    </row>
    <row r="200" ht="26.25" customHeight="1">
      <c r="A200" s="1208" t="s">
        <v>5462</v>
      </c>
      <c r="B200" s="1209">
        <v>3.015045333E9</v>
      </c>
      <c r="C200" s="1209"/>
      <c r="D200" s="1225" t="s">
        <v>5463</v>
      </c>
      <c r="E200" s="1225" t="s">
        <v>5464</v>
      </c>
      <c r="F200" s="1211"/>
      <c r="G200" s="1211"/>
    </row>
    <row r="201" ht="26.25" customHeight="1">
      <c r="A201" s="1197" t="s">
        <v>5465</v>
      </c>
      <c r="B201" s="1205">
        <v>3.147760499E9</v>
      </c>
      <c r="C201" s="1205"/>
      <c r="D201" s="1206" t="s">
        <v>5466</v>
      </c>
      <c r="E201" s="1206" t="s">
        <v>5467</v>
      </c>
      <c r="F201" s="1211"/>
      <c r="G201" s="1211"/>
    </row>
    <row r="202" ht="26.25" customHeight="1">
      <c r="A202" s="1208" t="s">
        <v>5468</v>
      </c>
      <c r="B202" s="1209">
        <v>3.175250779E9</v>
      </c>
      <c r="C202" s="1209"/>
      <c r="D202" s="1210" t="s">
        <v>5469</v>
      </c>
      <c r="E202" s="1210" t="s">
        <v>5470</v>
      </c>
      <c r="F202" s="1211"/>
      <c r="G202" s="1211"/>
    </row>
    <row r="203" ht="26.25" customHeight="1">
      <c r="A203" s="1208" t="s">
        <v>5471</v>
      </c>
      <c r="B203" s="1209">
        <v>3.117121872E9</v>
      </c>
      <c r="C203" s="1209"/>
      <c r="D203" s="1210" t="s">
        <v>5472</v>
      </c>
      <c r="E203" s="1210" t="s">
        <v>5473</v>
      </c>
      <c r="F203" s="1211"/>
      <c r="G203" s="1211"/>
    </row>
    <row r="204" ht="26.25" customHeight="1">
      <c r="A204" s="1208" t="s">
        <v>5474</v>
      </c>
      <c r="B204" s="1209">
        <v>3.219896495E9</v>
      </c>
      <c r="C204" s="1209"/>
      <c r="D204" s="1210" t="s">
        <v>5475</v>
      </c>
      <c r="E204" s="1210" t="s">
        <v>5476</v>
      </c>
      <c r="F204" s="1211"/>
      <c r="G204" s="1211"/>
    </row>
    <row r="205" ht="26.25" customHeight="1">
      <c r="A205" s="1208" t="s">
        <v>5477</v>
      </c>
      <c r="B205" s="1209">
        <v>3.164306826E9</v>
      </c>
      <c r="C205" s="1209"/>
      <c r="D205" s="1210" t="s">
        <v>5478</v>
      </c>
      <c r="E205" s="1210" t="s">
        <v>5479</v>
      </c>
      <c r="F205" s="1211"/>
      <c r="G205" s="1211"/>
    </row>
    <row r="206" ht="26.25" customHeight="1">
      <c r="A206" s="1208" t="s">
        <v>5480</v>
      </c>
      <c r="B206" s="1209">
        <v>3.187073688E9</v>
      </c>
      <c r="C206" s="1209"/>
      <c r="D206" s="1210" t="s">
        <v>5481</v>
      </c>
      <c r="E206" s="1210" t="s">
        <v>5482</v>
      </c>
      <c r="F206" s="1221"/>
      <c r="G206" s="1221"/>
    </row>
    <row r="207" ht="26.25" customHeight="1">
      <c r="A207" s="1228" t="s">
        <v>5483</v>
      </c>
      <c r="B207" s="1219">
        <v>3.226513098E9</v>
      </c>
      <c r="C207" s="1219"/>
      <c r="D207" s="1220" t="s">
        <v>5484</v>
      </c>
      <c r="E207" s="1220" t="s">
        <v>5485</v>
      </c>
      <c r="F207" s="1211"/>
      <c r="G207" s="1211"/>
    </row>
    <row r="208" ht="26.25" customHeight="1">
      <c r="A208" s="1218" t="s">
        <v>5483</v>
      </c>
      <c r="B208" s="1219">
        <v>3.226513098E9</v>
      </c>
      <c r="C208" s="1219"/>
      <c r="D208" s="1220" t="s">
        <v>5486</v>
      </c>
      <c r="E208" s="1220" t="s">
        <v>5487</v>
      </c>
      <c r="F208" s="1211"/>
      <c r="G208" s="1211"/>
    </row>
    <row r="209" ht="26.25" customHeight="1">
      <c r="A209" s="1208" t="s">
        <v>5488</v>
      </c>
      <c r="B209" s="1209">
        <v>3.135748115E9</v>
      </c>
      <c r="C209" s="1209"/>
      <c r="D209" s="1210" t="s">
        <v>5489</v>
      </c>
      <c r="E209" s="1210" t="s">
        <v>5490</v>
      </c>
      <c r="F209" s="1211"/>
      <c r="G209" s="1211"/>
    </row>
    <row r="210" ht="26.25" customHeight="1">
      <c r="A210" s="1228" t="s">
        <v>5491</v>
      </c>
      <c r="B210" s="1219">
        <v>3.188860276E9</v>
      </c>
      <c r="C210" s="1219"/>
      <c r="D210" s="1220" t="s">
        <v>5492</v>
      </c>
      <c r="E210" s="1220" t="s">
        <v>5493</v>
      </c>
      <c r="F210" s="1207"/>
      <c r="G210" s="1207"/>
    </row>
    <row r="211" ht="26.25" customHeight="1">
      <c r="A211" s="1197" t="s">
        <v>5494</v>
      </c>
      <c r="B211" s="1205">
        <v>3.183933786E9</v>
      </c>
      <c r="C211" s="1205"/>
      <c r="D211" s="1206" t="s">
        <v>5495</v>
      </c>
      <c r="E211" s="1206" t="s">
        <v>5496</v>
      </c>
      <c r="F211" s="1222"/>
      <c r="G211" s="1222"/>
    </row>
    <row r="212" ht="26.25" customHeight="1">
      <c r="A212" s="1197" t="s">
        <v>5497</v>
      </c>
      <c r="B212" s="1205">
        <v>3.178870263E9</v>
      </c>
      <c r="C212" s="1205"/>
      <c r="D212" s="1203" t="s">
        <v>5498</v>
      </c>
      <c r="E212" s="1206" t="s">
        <v>5499</v>
      </c>
      <c r="F212" s="1211"/>
      <c r="G212" s="1211"/>
    </row>
    <row r="213" ht="26.25" customHeight="1">
      <c r="A213" s="1197" t="s">
        <v>5500</v>
      </c>
      <c r="B213" s="1205">
        <v>3.002018131E9</v>
      </c>
      <c r="C213" s="1205"/>
      <c r="D213" s="1203" t="s">
        <v>5501</v>
      </c>
      <c r="E213" s="1206" t="s">
        <v>5502</v>
      </c>
      <c r="F213" s="1204"/>
      <c r="G213" s="1204"/>
    </row>
    <row r="214" ht="26.25" customHeight="1">
      <c r="A214" s="1208" t="s">
        <v>5503</v>
      </c>
      <c r="B214" s="1209">
        <v>3.10548265E9</v>
      </c>
      <c r="C214" s="1209"/>
      <c r="D214" s="1210" t="s">
        <v>5504</v>
      </c>
      <c r="E214" s="1210" t="s">
        <v>5505</v>
      </c>
      <c r="F214" s="1211"/>
      <c r="G214" s="1211"/>
    </row>
    <row r="215" ht="26.25" customHeight="1">
      <c r="A215" s="1212" t="s">
        <v>5506</v>
      </c>
      <c r="B215" s="1209">
        <v>3.105362114E9</v>
      </c>
      <c r="C215" s="1209"/>
      <c r="D215" s="1210" t="s">
        <v>5507</v>
      </c>
      <c r="E215" s="1210" t="s">
        <v>5508</v>
      </c>
      <c r="F215" s="1207"/>
      <c r="G215" s="1207"/>
    </row>
    <row r="216" ht="26.25" customHeight="1">
      <c r="A216" s="1208" t="s">
        <v>5509</v>
      </c>
      <c r="B216" s="1209">
        <v>3.124822298E9</v>
      </c>
      <c r="C216" s="1209"/>
      <c r="D216" s="1210" t="s">
        <v>5510</v>
      </c>
      <c r="E216" s="1210" t="s">
        <v>5511</v>
      </c>
      <c r="F216" s="1204"/>
      <c r="G216" s="1204"/>
    </row>
    <row r="217" ht="26.25" customHeight="1">
      <c r="A217" s="1208" t="s">
        <v>5512</v>
      </c>
      <c r="B217" s="1209">
        <v>3.185857849E9</v>
      </c>
      <c r="C217" s="1209"/>
      <c r="D217" s="1210" t="s">
        <v>5513</v>
      </c>
      <c r="E217" s="1210" t="s">
        <v>5514</v>
      </c>
      <c r="F217" s="1204"/>
      <c r="G217" s="1204"/>
    </row>
    <row r="218" ht="26.25" customHeight="1">
      <c r="A218" s="1208" t="s">
        <v>5515</v>
      </c>
      <c r="B218" s="1209">
        <v>3.228711257E9</v>
      </c>
      <c r="C218" s="1209"/>
      <c r="D218" s="1210" t="s">
        <v>5516</v>
      </c>
      <c r="E218" s="1210" t="s">
        <v>5517</v>
      </c>
      <c r="F218" s="1211"/>
      <c r="G218" s="1211"/>
    </row>
    <row r="219" ht="26.25" customHeight="1">
      <c r="A219" s="1208" t="s">
        <v>5518</v>
      </c>
      <c r="B219" s="1209">
        <v>3.113453875E9</v>
      </c>
      <c r="C219" s="1209"/>
      <c r="D219" s="1210" t="s">
        <v>5519</v>
      </c>
      <c r="E219" s="1210" t="s">
        <v>5520</v>
      </c>
      <c r="F219" s="1207"/>
      <c r="G219" s="1207"/>
    </row>
    <row r="220" ht="26.25" customHeight="1">
      <c r="A220" s="1208" t="s">
        <v>5521</v>
      </c>
      <c r="B220" s="1209">
        <v>3.183831737E9</v>
      </c>
      <c r="C220" s="1209"/>
      <c r="D220" s="1210" t="s">
        <v>5522</v>
      </c>
      <c r="E220" s="1210" t="s">
        <v>5523</v>
      </c>
      <c r="F220" s="1240"/>
      <c r="G220" s="1240"/>
    </row>
    <row r="221" ht="26.25" customHeight="1">
      <c r="A221" s="1218" t="s">
        <v>5524</v>
      </c>
      <c r="B221" s="1219">
        <v>3.183831737E9</v>
      </c>
      <c r="C221" s="1219"/>
      <c r="D221" s="1220" t="s">
        <v>5525</v>
      </c>
      <c r="E221" s="1220" t="s">
        <v>5526</v>
      </c>
      <c r="F221" s="1211"/>
      <c r="G221" s="1211"/>
    </row>
    <row r="222" ht="26.25" customHeight="1">
      <c r="A222" s="1208" t="s">
        <v>5527</v>
      </c>
      <c r="B222" s="1209">
        <v>3.176531375E9</v>
      </c>
      <c r="C222" s="1209"/>
      <c r="D222" s="1210" t="s">
        <v>5528</v>
      </c>
      <c r="E222" s="1210" t="s">
        <v>5529</v>
      </c>
      <c r="F222" s="1211"/>
      <c r="G222" s="1211"/>
    </row>
    <row r="223" ht="26.25" customHeight="1">
      <c r="A223" s="1208" t="s">
        <v>5530</v>
      </c>
      <c r="B223" s="1209">
        <v>3.182338394E9</v>
      </c>
      <c r="C223" s="1209"/>
      <c r="D223" s="1210" t="s">
        <v>5531</v>
      </c>
      <c r="E223" s="1210" t="s">
        <v>5532</v>
      </c>
      <c r="F223" s="1211"/>
      <c r="G223" s="1211"/>
    </row>
    <row r="224" ht="26.25" customHeight="1">
      <c r="A224" s="1208" t="s">
        <v>5533</v>
      </c>
      <c r="B224" s="1209">
        <v>3.002252928E9</v>
      </c>
      <c r="C224" s="1209"/>
      <c r="D224" s="1210" t="s">
        <v>5534</v>
      </c>
      <c r="E224" s="1210" t="s">
        <v>5535</v>
      </c>
      <c r="F224" s="1211"/>
      <c r="G224" s="1211"/>
    </row>
    <row r="225" ht="26.25" customHeight="1">
      <c r="A225" s="1197" t="s">
        <v>5536</v>
      </c>
      <c r="B225" s="1202" t="s">
        <v>5537</v>
      </c>
      <c r="C225" s="1202"/>
      <c r="D225" s="1206" t="s">
        <v>5538</v>
      </c>
      <c r="E225" s="1206" t="s">
        <v>5539</v>
      </c>
      <c r="F225" s="1207"/>
      <c r="G225" s="1207"/>
    </row>
    <row r="226" ht="26.25" customHeight="1">
      <c r="A226" s="1208" t="s">
        <v>5540</v>
      </c>
      <c r="B226" s="1209">
        <v>3.127333622E9</v>
      </c>
      <c r="C226" s="1209"/>
      <c r="D226" s="1210" t="s">
        <v>5541</v>
      </c>
      <c r="E226" s="1210" t="s">
        <v>5542</v>
      </c>
      <c r="F226" s="1211"/>
      <c r="G226" s="1211"/>
    </row>
    <row r="227" ht="26.25" customHeight="1">
      <c r="A227" s="1208" t="s">
        <v>5543</v>
      </c>
      <c r="B227" s="1209">
        <v>3.138266328E9</v>
      </c>
      <c r="C227" s="1209"/>
      <c r="D227" s="1210" t="s">
        <v>5544</v>
      </c>
      <c r="E227" s="1210" t="s">
        <v>5545</v>
      </c>
      <c r="F227" s="1211"/>
      <c r="G227" s="1211"/>
    </row>
    <row r="228" ht="26.25" customHeight="1">
      <c r="A228" s="1208" t="s">
        <v>5546</v>
      </c>
      <c r="B228" s="1209">
        <v>3.218858306E9</v>
      </c>
      <c r="C228" s="1209"/>
      <c r="D228" s="1210" t="s">
        <v>5547</v>
      </c>
      <c r="E228" s="1210" t="s">
        <v>5548</v>
      </c>
      <c r="F228" s="1211"/>
      <c r="G228" s="1211"/>
    </row>
    <row r="229" ht="26.25" customHeight="1">
      <c r="A229" s="1241" t="s">
        <v>5549</v>
      </c>
      <c r="B229" s="1242"/>
      <c r="C229" s="1242"/>
      <c r="D229" s="1243"/>
      <c r="E229" s="1243"/>
      <c r="F229" s="1211"/>
      <c r="G229" s="1211"/>
    </row>
    <row r="230" ht="26.25" customHeight="1">
      <c r="A230" s="1208" t="s">
        <v>5550</v>
      </c>
      <c r="B230" s="1209">
        <v>3.18390423E8</v>
      </c>
      <c r="C230" s="1209"/>
      <c r="D230" s="1210" t="s">
        <v>5551</v>
      </c>
      <c r="E230" s="1210" t="s">
        <v>5552</v>
      </c>
      <c r="F230" s="1204"/>
      <c r="G230" s="1204"/>
    </row>
    <row r="231" ht="26.25" customHeight="1">
      <c r="A231" s="1208" t="s">
        <v>5553</v>
      </c>
      <c r="B231" s="1209">
        <v>3.153505589E9</v>
      </c>
      <c r="C231" s="1209"/>
      <c r="D231" s="1210" t="s">
        <v>5554</v>
      </c>
      <c r="E231" s="1210" t="s">
        <v>5555</v>
      </c>
      <c r="F231" s="1211"/>
      <c r="G231" s="1211"/>
    </row>
    <row r="232" ht="26.25" customHeight="1">
      <c r="A232" s="1208" t="s">
        <v>5556</v>
      </c>
      <c r="B232" s="1209">
        <v>3.116103919E9</v>
      </c>
      <c r="C232" s="1209"/>
      <c r="D232" s="1210" t="s">
        <v>5557</v>
      </c>
      <c r="E232" s="1210" t="s">
        <v>5558</v>
      </c>
      <c r="F232" s="1211"/>
      <c r="G232" s="1211"/>
    </row>
    <row r="233" ht="26.25" customHeight="1">
      <c r="A233" s="1208" t="s">
        <v>5559</v>
      </c>
      <c r="B233" s="1209">
        <v>3.146616272E9</v>
      </c>
      <c r="C233" s="1209"/>
      <c r="D233" s="1210" t="s">
        <v>5560</v>
      </c>
      <c r="E233" s="1210" t="s">
        <v>5561</v>
      </c>
      <c r="F233" s="1204"/>
      <c r="G233" s="1204"/>
    </row>
    <row r="234" ht="26.25" customHeight="1">
      <c r="A234" s="1201" t="s">
        <v>5562</v>
      </c>
      <c r="B234" s="1230">
        <v>3.182492992E9</v>
      </c>
      <c r="C234" s="1230"/>
      <c r="D234" s="1227" t="s">
        <v>5563</v>
      </c>
      <c r="E234" s="1227" t="s">
        <v>5564</v>
      </c>
      <c r="F234" s="1207"/>
      <c r="G234" s="1207"/>
    </row>
    <row r="235" ht="26.25" customHeight="1">
      <c r="A235" s="1201" t="s">
        <v>5565</v>
      </c>
      <c r="B235" s="1205">
        <v>3.117393371E9</v>
      </c>
      <c r="C235" s="1205"/>
      <c r="D235" s="1206" t="s">
        <v>5566</v>
      </c>
      <c r="E235" s="1206" t="s">
        <v>5567</v>
      </c>
      <c r="F235" s="1211"/>
      <c r="G235" s="1211"/>
    </row>
    <row r="236" ht="26.25" customHeight="1">
      <c r="A236" s="1201" t="s">
        <v>5568</v>
      </c>
      <c r="B236" s="1205">
        <v>3.006110406E9</v>
      </c>
      <c r="C236" s="1205"/>
      <c r="D236" s="1206" t="s">
        <v>5569</v>
      </c>
      <c r="E236" s="1206" t="s">
        <v>5570</v>
      </c>
      <c r="F236" s="1211"/>
      <c r="G236" s="1211"/>
    </row>
    <row r="237" ht="26.25" customHeight="1">
      <c r="A237" s="1218" t="s">
        <v>5568</v>
      </c>
      <c r="B237" s="1219">
        <v>3.152164187E9</v>
      </c>
      <c r="C237" s="1219"/>
      <c r="D237" s="1220" t="s">
        <v>5571</v>
      </c>
      <c r="E237" s="1220" t="s">
        <v>5572</v>
      </c>
      <c r="F237" s="1211"/>
      <c r="G237" s="1211"/>
    </row>
    <row r="238" ht="26.25" customHeight="1">
      <c r="A238" s="1201" t="s">
        <v>5573</v>
      </c>
      <c r="B238" s="1230">
        <v>3.178531374E9</v>
      </c>
      <c r="C238" s="1230"/>
      <c r="D238" s="1227" t="s">
        <v>5574</v>
      </c>
      <c r="E238" s="1227" t="s">
        <v>5575</v>
      </c>
      <c r="F238" s="1211"/>
      <c r="G238" s="1211"/>
    </row>
    <row r="239" ht="26.25" customHeight="1">
      <c r="A239" s="1208" t="s">
        <v>5576</v>
      </c>
      <c r="B239" s="1209">
        <v>3.188844969E9</v>
      </c>
      <c r="C239" s="1209"/>
      <c r="D239" s="1210" t="s">
        <v>5577</v>
      </c>
      <c r="E239" s="1210" t="s">
        <v>5578</v>
      </c>
      <c r="F239" s="1211"/>
      <c r="G239" s="1211"/>
    </row>
    <row r="240" ht="26.25" customHeight="1">
      <c r="A240" s="1208" t="s">
        <v>5579</v>
      </c>
      <c r="B240" s="1209">
        <v>3.016783514E9</v>
      </c>
      <c r="C240" s="1209"/>
      <c r="D240" s="1210" t="s">
        <v>5580</v>
      </c>
      <c r="E240" s="1210" t="s">
        <v>5581</v>
      </c>
      <c r="F240" s="1211"/>
      <c r="G240" s="1211"/>
    </row>
    <row r="241" ht="26.25" customHeight="1">
      <c r="A241" s="1208" t="s">
        <v>5582</v>
      </c>
      <c r="B241" s="1209">
        <v>3.135985061E9</v>
      </c>
      <c r="C241" s="1209"/>
      <c r="D241" s="1210" t="s">
        <v>5583</v>
      </c>
      <c r="E241" s="1210" t="s">
        <v>5584</v>
      </c>
      <c r="F241" s="1211"/>
      <c r="G241" s="1211"/>
    </row>
    <row r="242" ht="26.25" customHeight="1">
      <c r="A242" s="1208" t="s">
        <v>5585</v>
      </c>
      <c r="B242" s="1209">
        <v>3.022917932E9</v>
      </c>
      <c r="C242" s="1209"/>
      <c r="D242" s="1210" t="s">
        <v>5586</v>
      </c>
      <c r="E242" s="1210" t="s">
        <v>5587</v>
      </c>
      <c r="F242" s="1210"/>
      <c r="G242" s="1210"/>
    </row>
    <row r="243" ht="26.25" customHeight="1">
      <c r="A243" s="1208" t="s">
        <v>5588</v>
      </c>
      <c r="B243" s="1209">
        <v>3.162693469E9</v>
      </c>
      <c r="C243" s="1209"/>
      <c r="D243" s="1210"/>
      <c r="E243" s="1210" t="s">
        <v>5589</v>
      </c>
      <c r="F243" s="1211"/>
      <c r="G243" s="1211"/>
    </row>
    <row r="244" ht="26.25" customHeight="1">
      <c r="A244" s="1208" t="s">
        <v>5590</v>
      </c>
      <c r="B244" s="1209">
        <v>3.10310438E9</v>
      </c>
      <c r="C244" s="1209"/>
      <c r="D244" s="1210" t="s">
        <v>5591</v>
      </c>
      <c r="E244" s="1210" t="s">
        <v>5592</v>
      </c>
      <c r="F244" s="1211"/>
      <c r="G244" s="1211"/>
    </row>
    <row r="245" ht="26.25" customHeight="1">
      <c r="A245" s="1208" t="s">
        <v>5593</v>
      </c>
      <c r="B245" s="1209">
        <v>3.0434324E8</v>
      </c>
      <c r="C245" s="1209"/>
      <c r="D245" s="1210" t="s">
        <v>5594</v>
      </c>
      <c r="E245" s="1210" t="s">
        <v>5595</v>
      </c>
      <c r="F245" s="1217"/>
      <c r="G245" s="1217"/>
    </row>
    <row r="246" ht="26.25" customHeight="1">
      <c r="A246" s="1208" t="s">
        <v>5596</v>
      </c>
      <c r="B246" s="1209">
        <v>3.016966055E9</v>
      </c>
      <c r="C246" s="1209"/>
      <c r="D246" s="1210" t="s">
        <v>5597</v>
      </c>
      <c r="E246" s="1210" t="s">
        <v>5598</v>
      </c>
      <c r="F246" s="1211"/>
      <c r="G246" s="1211"/>
    </row>
    <row r="247" ht="26.25" customHeight="1">
      <c r="A247" s="1208" t="s">
        <v>5599</v>
      </c>
      <c r="B247" s="1209">
        <v>3.186697455E9</v>
      </c>
      <c r="C247" s="1209"/>
      <c r="D247" s="1210" t="s">
        <v>5600</v>
      </c>
      <c r="E247" s="1210" t="s">
        <v>5601</v>
      </c>
      <c r="F247" s="1211"/>
      <c r="G247" s="1211"/>
    </row>
    <row r="248" ht="26.25" customHeight="1">
      <c r="A248" s="1208" t="s">
        <v>5602</v>
      </c>
      <c r="B248" s="1209">
        <v>3.10627807E9</v>
      </c>
      <c r="C248" s="1209"/>
      <c r="D248" s="1210" t="s">
        <v>5603</v>
      </c>
      <c r="E248" s="1210" t="s">
        <v>5604</v>
      </c>
      <c r="F248" s="1211"/>
      <c r="G248" s="1211"/>
    </row>
    <row r="249" ht="26.25" customHeight="1">
      <c r="A249" s="1197" t="s">
        <v>5605</v>
      </c>
      <c r="B249" s="1205">
        <v>3.188135869E9</v>
      </c>
      <c r="C249" s="1205"/>
      <c r="D249" s="1206" t="s">
        <v>5606</v>
      </c>
      <c r="E249" s="1206" t="s">
        <v>5607</v>
      </c>
      <c r="F249" s="1211"/>
      <c r="G249" s="1211"/>
    </row>
    <row r="250" ht="26.25" customHeight="1">
      <c r="A250" s="1212" t="s">
        <v>5608</v>
      </c>
      <c r="B250" s="1209">
        <v>3.167112042E9</v>
      </c>
      <c r="C250" s="1209"/>
      <c r="D250" s="1210" t="s">
        <v>5609</v>
      </c>
      <c r="E250" s="1210" t="s">
        <v>5610</v>
      </c>
      <c r="F250" s="1211"/>
      <c r="G250" s="1211"/>
    </row>
    <row r="251" ht="26.25" customHeight="1">
      <c r="A251" s="1208" t="s">
        <v>5611</v>
      </c>
      <c r="B251" s="1209">
        <v>3.188093489E9</v>
      </c>
      <c r="C251" s="1209"/>
      <c r="D251" s="1210" t="s">
        <v>5612</v>
      </c>
      <c r="E251" s="1210" t="s">
        <v>5613</v>
      </c>
      <c r="F251" s="1211"/>
      <c r="G251" s="1211"/>
    </row>
    <row r="252" ht="26.25" customHeight="1">
      <c r="A252" s="1218" t="s">
        <v>5614</v>
      </c>
      <c r="B252" s="1219">
        <v>3.185120213E9</v>
      </c>
      <c r="C252" s="1219"/>
      <c r="D252" s="1220" t="s">
        <v>5615</v>
      </c>
      <c r="E252" s="1220" t="s">
        <v>5616</v>
      </c>
      <c r="F252" s="1211"/>
      <c r="G252" s="1211"/>
    </row>
    <row r="253" ht="26.25" customHeight="1">
      <c r="A253" s="1208" t="s">
        <v>5617</v>
      </c>
      <c r="B253" s="1209" t="s">
        <v>5618</v>
      </c>
      <c r="C253" s="1209"/>
      <c r="D253" s="1210" t="s">
        <v>5619</v>
      </c>
      <c r="E253" s="1210" t="s">
        <v>5620</v>
      </c>
      <c r="F253" s="1211"/>
      <c r="G253" s="1211"/>
    </row>
    <row r="254" ht="26.25" customHeight="1">
      <c r="A254" s="1218" t="s">
        <v>5621</v>
      </c>
      <c r="B254" s="1219">
        <v>3.182574153E9</v>
      </c>
      <c r="C254" s="1219"/>
      <c r="D254" s="1220" t="s">
        <v>5622</v>
      </c>
      <c r="E254" s="1220" t="s">
        <v>5623</v>
      </c>
      <c r="F254" s="1211"/>
      <c r="G254" s="1211"/>
    </row>
    <row r="255" ht="26.25" customHeight="1">
      <c r="A255" s="1201" t="s">
        <v>5624</v>
      </c>
      <c r="B255" s="1202" t="s">
        <v>5625</v>
      </c>
      <c r="C255" s="1202"/>
      <c r="D255" s="1244" t="s">
        <v>5626</v>
      </c>
      <c r="E255" s="1203" t="s">
        <v>5627</v>
      </c>
      <c r="F255" s="1221"/>
      <c r="G255" s="1221"/>
    </row>
    <row r="256" ht="26.25" customHeight="1">
      <c r="A256" s="1208" t="s">
        <v>5628</v>
      </c>
      <c r="B256" s="1209">
        <v>3.105338215E9</v>
      </c>
      <c r="C256" s="1209"/>
      <c r="D256" s="1210" t="s">
        <v>5629</v>
      </c>
      <c r="E256" s="1210" t="s">
        <v>5630</v>
      </c>
      <c r="F256" s="1221"/>
      <c r="G256" s="1221"/>
    </row>
    <row r="257" ht="26.25" customHeight="1">
      <c r="A257" s="1208" t="s">
        <v>5631</v>
      </c>
      <c r="B257" s="1209">
        <v>3.226511661E9</v>
      </c>
      <c r="C257" s="1209"/>
      <c r="D257" s="1210" t="s">
        <v>5632</v>
      </c>
      <c r="E257" s="1210" t="s">
        <v>5633</v>
      </c>
      <c r="F257" s="1211"/>
      <c r="G257" s="1211"/>
    </row>
    <row r="258" ht="26.25" customHeight="1">
      <c r="A258" s="1208" t="s">
        <v>5634</v>
      </c>
      <c r="B258" s="1209">
        <v>3.144820583E9</v>
      </c>
      <c r="C258" s="1209"/>
      <c r="D258" s="1210" t="s">
        <v>5635</v>
      </c>
      <c r="E258" s="1210" t="s">
        <v>5636</v>
      </c>
      <c r="F258" s="1245"/>
      <c r="G258" s="1245"/>
    </row>
    <row r="259" ht="26.25" customHeight="1">
      <c r="A259" s="1208" t="s">
        <v>5637</v>
      </c>
      <c r="B259" s="1209">
        <v>3.194043549E9</v>
      </c>
      <c r="C259" s="1209"/>
      <c r="D259" s="1210" t="s">
        <v>5638</v>
      </c>
      <c r="E259" s="1210" t="s">
        <v>5639</v>
      </c>
      <c r="F259" s="1245"/>
      <c r="G259" s="1245"/>
    </row>
    <row r="260" ht="26.25" customHeight="1">
      <c r="A260" s="1218" t="s">
        <v>5640</v>
      </c>
      <c r="B260" s="1219">
        <v>3.106831827E9</v>
      </c>
      <c r="C260" s="1219"/>
      <c r="D260" s="1220" t="s">
        <v>5641</v>
      </c>
      <c r="E260" s="1220" t="s">
        <v>5642</v>
      </c>
      <c r="F260" s="1211"/>
      <c r="G260" s="1211"/>
    </row>
    <row r="261" ht="26.25" customHeight="1">
      <c r="A261" s="1208" t="s">
        <v>5643</v>
      </c>
      <c r="B261" s="1224">
        <v>3.155150181E9</v>
      </c>
      <c r="C261" s="1224"/>
      <c r="D261" s="1225" t="s">
        <v>5644</v>
      </c>
      <c r="E261" s="1225" t="s">
        <v>5645</v>
      </c>
      <c r="F261" s="1207"/>
      <c r="G261" s="1207"/>
    </row>
    <row r="262" ht="26.25" customHeight="1">
      <c r="A262" s="1208" t="s">
        <v>5646</v>
      </c>
      <c r="B262" s="1209">
        <v>3.153246685E9</v>
      </c>
      <c r="C262" s="1209"/>
      <c r="D262" s="1210" t="s">
        <v>5647</v>
      </c>
      <c r="E262" s="1210" t="s">
        <v>5648</v>
      </c>
      <c r="F262" s="1229"/>
      <c r="G262" s="1229"/>
    </row>
    <row r="263" ht="26.25" customHeight="1">
      <c r="A263" s="1208" t="s">
        <v>5649</v>
      </c>
      <c r="B263" s="1209">
        <v>3.217678119E9</v>
      </c>
      <c r="C263" s="1209"/>
      <c r="D263" s="1210" t="s">
        <v>5650</v>
      </c>
      <c r="E263" s="1210" t="s">
        <v>5651</v>
      </c>
      <c r="F263" s="1211"/>
      <c r="G263" s="1211"/>
    </row>
    <row r="264" ht="26.25" customHeight="1">
      <c r="A264" s="1246" t="s">
        <v>5652</v>
      </c>
      <c r="B264" s="1224">
        <v>3.104028766E9</v>
      </c>
      <c r="C264" s="1224"/>
      <c r="D264" s="1225" t="s">
        <v>5653</v>
      </c>
      <c r="E264" s="1225" t="s">
        <v>5654</v>
      </c>
      <c r="F264" s="1217"/>
      <c r="G264" s="1217"/>
    </row>
    <row r="265" ht="26.25" customHeight="1">
      <c r="A265" s="1208" t="s">
        <v>5655</v>
      </c>
      <c r="B265" s="1209">
        <v>3.016830467E9</v>
      </c>
      <c r="C265" s="1209"/>
      <c r="D265" s="1234"/>
      <c r="E265" s="1234"/>
      <c r="F265" s="1217"/>
      <c r="G265" s="1217"/>
    </row>
    <row r="266" ht="26.25" customHeight="1">
      <c r="A266" s="1212" t="s">
        <v>5656</v>
      </c>
      <c r="B266" s="1209">
        <v>3.218426608E9</v>
      </c>
      <c r="C266" s="1209"/>
      <c r="D266" s="1234"/>
      <c r="E266" s="1234"/>
      <c r="F266" s="1211"/>
      <c r="G266" s="1211"/>
    </row>
    <row r="267" ht="26.25" customHeight="1">
      <c r="A267" s="1208" t="s">
        <v>5657</v>
      </c>
      <c r="B267" s="1209">
        <v>3.218550558E9</v>
      </c>
      <c r="C267" s="1209"/>
      <c r="D267" s="1210" t="s">
        <v>5658</v>
      </c>
      <c r="E267" s="1210" t="s">
        <v>5659</v>
      </c>
      <c r="F267" s="1211"/>
      <c r="G267" s="1211"/>
    </row>
    <row r="268" ht="26.25" customHeight="1">
      <c r="A268" s="1208" t="s">
        <v>5660</v>
      </c>
      <c r="B268" s="1209" t="s">
        <v>5661</v>
      </c>
      <c r="C268" s="1209" t="s">
        <v>328</v>
      </c>
      <c r="D268" s="1209" t="s">
        <v>5662</v>
      </c>
      <c r="E268" s="1210" t="s">
        <v>5663</v>
      </c>
      <c r="F268" s="1211"/>
      <c r="G268" s="1211"/>
    </row>
    <row r="269" ht="26.25" customHeight="1">
      <c r="A269" s="1208" t="s">
        <v>5664</v>
      </c>
      <c r="B269" s="1209">
        <v>3.104041113E9</v>
      </c>
      <c r="C269" s="1209"/>
      <c r="D269" s="1210" t="s">
        <v>5665</v>
      </c>
      <c r="E269" s="1210" t="s">
        <v>5666</v>
      </c>
      <c r="F269" s="1207"/>
      <c r="G269" s="1207"/>
    </row>
    <row r="270" ht="26.25" customHeight="1">
      <c r="A270" s="1208" t="s">
        <v>5667</v>
      </c>
      <c r="B270" s="1209">
        <v>3.11899453E9</v>
      </c>
      <c r="C270" s="1209"/>
      <c r="D270" s="1210" t="s">
        <v>5668</v>
      </c>
      <c r="E270" s="1210" t="s">
        <v>5669</v>
      </c>
      <c r="F270" s="1207"/>
      <c r="G270" s="1207"/>
    </row>
    <row r="271" ht="26.25" customHeight="1">
      <c r="A271" s="1208" t="s">
        <v>5670</v>
      </c>
      <c r="B271" s="1209">
        <v>3.173653876E9</v>
      </c>
      <c r="C271" s="1209"/>
      <c r="D271" s="1210" t="s">
        <v>5671</v>
      </c>
      <c r="E271" s="1210" t="s">
        <v>5672</v>
      </c>
      <c r="F271" s="1207"/>
      <c r="G271" s="1207"/>
    </row>
    <row r="272" ht="26.25" customHeight="1">
      <c r="A272" s="1208" t="s">
        <v>5673</v>
      </c>
      <c r="B272" s="1209">
        <v>3.224466673E9</v>
      </c>
      <c r="C272" s="1209"/>
      <c r="D272" s="1210" t="s">
        <v>5674</v>
      </c>
      <c r="E272" s="1210" t="s">
        <v>5675</v>
      </c>
      <c r="F272" s="1217"/>
      <c r="G272" s="1217"/>
    </row>
    <row r="273" ht="26.25" customHeight="1">
      <c r="A273" s="1208" t="s">
        <v>5676</v>
      </c>
      <c r="B273" s="1209">
        <v>3.16295654E9</v>
      </c>
      <c r="C273" s="1209"/>
      <c r="D273" s="1210" t="s">
        <v>5677</v>
      </c>
      <c r="E273" s="1210" t="s">
        <v>5678</v>
      </c>
      <c r="F273" s="1211"/>
      <c r="G273" s="1211"/>
    </row>
    <row r="274" ht="26.25" customHeight="1">
      <c r="A274" s="1208" t="s">
        <v>5679</v>
      </c>
      <c r="B274" s="1209">
        <v>3.156913699E9</v>
      </c>
      <c r="C274" s="1209"/>
      <c r="D274" s="1210" t="s">
        <v>5680</v>
      </c>
      <c r="E274" s="1210" t="s">
        <v>5681</v>
      </c>
      <c r="F274" s="1211"/>
      <c r="G274" s="1211"/>
    </row>
    <row r="275" ht="26.25" customHeight="1">
      <c r="A275" s="1208" t="s">
        <v>5682</v>
      </c>
      <c r="B275" s="1209">
        <v>3.105007619E9</v>
      </c>
      <c r="C275" s="1209"/>
      <c r="D275" s="1210" t="s">
        <v>5683</v>
      </c>
      <c r="E275" s="1210" t="s">
        <v>5684</v>
      </c>
      <c r="F275" s="1211"/>
      <c r="G275" s="1211"/>
    </row>
    <row r="276" ht="26.25" customHeight="1">
      <c r="A276" s="1208" t="s">
        <v>5685</v>
      </c>
      <c r="B276" s="1209">
        <v>3.128790067E9</v>
      </c>
      <c r="C276" s="1209"/>
      <c r="D276" s="1234"/>
      <c r="E276" s="1225" t="s">
        <v>5686</v>
      </c>
      <c r="F276" s="1211"/>
      <c r="G276" s="1211"/>
    </row>
    <row r="277" ht="26.25" customHeight="1">
      <c r="A277" s="1208" t="s">
        <v>5687</v>
      </c>
      <c r="B277" s="1209">
        <v>3.113290669E9</v>
      </c>
      <c r="C277" s="1209"/>
      <c r="D277" s="1210" t="s">
        <v>5688</v>
      </c>
      <c r="E277" s="1210" t="s">
        <v>5689</v>
      </c>
      <c r="F277" s="1211"/>
      <c r="G277" s="1211"/>
    </row>
    <row r="278" ht="26.25" customHeight="1">
      <c r="A278" s="1208" t="s">
        <v>5690</v>
      </c>
      <c r="B278" s="1209">
        <v>3.147732706E9</v>
      </c>
      <c r="C278" s="1209"/>
      <c r="D278" s="1210" t="s">
        <v>5691</v>
      </c>
      <c r="E278" s="1210" t="s">
        <v>5692</v>
      </c>
      <c r="F278" s="1211"/>
      <c r="G278" s="1211"/>
    </row>
    <row r="279" ht="26.25" customHeight="1">
      <c r="A279" s="1208" t="s">
        <v>5693</v>
      </c>
      <c r="B279" s="1209">
        <v>3.173626558E9</v>
      </c>
      <c r="C279" s="1209"/>
      <c r="D279" s="1210" t="s">
        <v>5694</v>
      </c>
      <c r="E279" s="1210" t="s">
        <v>5695</v>
      </c>
      <c r="F279" s="1217"/>
      <c r="G279" s="1217"/>
    </row>
    <row r="280" ht="26.25" customHeight="1">
      <c r="A280" s="1208" t="s">
        <v>5696</v>
      </c>
      <c r="B280" s="1247">
        <v>3.215798286E9</v>
      </c>
      <c r="C280" s="1247"/>
      <c r="D280" s="1210" t="s">
        <v>5697</v>
      </c>
      <c r="E280" s="1210" t="s">
        <v>5698</v>
      </c>
      <c r="F280" s="1229"/>
      <c r="G280" s="1229"/>
    </row>
    <row r="281" ht="26.25" customHeight="1">
      <c r="A281" s="1208" t="s">
        <v>5699</v>
      </c>
      <c r="B281" s="1209">
        <v>3.014463464E9</v>
      </c>
      <c r="C281" s="1209"/>
      <c r="D281" s="1210" t="s">
        <v>5700</v>
      </c>
      <c r="E281" s="1210" t="s">
        <v>5701</v>
      </c>
      <c r="F281" s="1211"/>
      <c r="G281" s="1211"/>
    </row>
    <row r="282" ht="26.25" customHeight="1">
      <c r="A282" s="1197" t="s">
        <v>5702</v>
      </c>
      <c r="B282" s="1205">
        <v>3.122938964E9</v>
      </c>
      <c r="C282" s="1205"/>
      <c r="D282" s="1206" t="s">
        <v>5703</v>
      </c>
      <c r="E282" s="1206" t="s">
        <v>5704</v>
      </c>
      <c r="F282" s="1211"/>
      <c r="G282" s="1211"/>
    </row>
    <row r="283" ht="26.25" customHeight="1">
      <c r="A283" s="1201" t="s">
        <v>5705</v>
      </c>
      <c r="B283" s="1230">
        <v>3.204461018E9</v>
      </c>
      <c r="C283" s="1230"/>
      <c r="D283" s="1227" t="s">
        <v>5706</v>
      </c>
      <c r="E283" s="1227" t="s">
        <v>5707</v>
      </c>
      <c r="F283" s="1211"/>
      <c r="G283" s="1211"/>
    </row>
    <row r="284" ht="26.25" customHeight="1">
      <c r="A284" s="1208" t="s">
        <v>5708</v>
      </c>
      <c r="B284" s="1209">
        <v>3.224920236E9</v>
      </c>
      <c r="C284" s="1209"/>
      <c r="D284" s="1210" t="s">
        <v>5709</v>
      </c>
      <c r="E284" s="1210" t="s">
        <v>5710</v>
      </c>
      <c r="F284" s="1211"/>
      <c r="G284" s="1211"/>
    </row>
    <row r="285" ht="26.25" customHeight="1">
      <c r="A285" s="1201" t="s">
        <v>5711</v>
      </c>
      <c r="B285" s="1202">
        <v>3.002708995E9</v>
      </c>
      <c r="C285" s="1202"/>
      <c r="D285" s="1203" t="s">
        <v>5712</v>
      </c>
      <c r="E285" s="1203" t="s">
        <v>5713</v>
      </c>
      <c r="F285" s="1204"/>
      <c r="G285" s="1204"/>
    </row>
    <row r="286" ht="26.25" customHeight="1">
      <c r="A286" s="1208" t="s">
        <v>5714</v>
      </c>
      <c r="B286" s="1209">
        <v>3.016133115E9</v>
      </c>
      <c r="C286" s="1209"/>
      <c r="D286" s="1210" t="s">
        <v>5715</v>
      </c>
      <c r="E286" s="1210">
        <v>8935148.0</v>
      </c>
      <c r="F286" s="1211"/>
      <c r="G286" s="1211"/>
    </row>
    <row r="287" ht="26.25" customHeight="1">
      <c r="A287" s="1197" t="s">
        <v>5716</v>
      </c>
      <c r="B287" s="1205">
        <v>3.00665741E9</v>
      </c>
      <c r="C287" s="1205"/>
      <c r="D287" s="1206" t="s">
        <v>5717</v>
      </c>
      <c r="E287" s="1206" t="s">
        <v>5718</v>
      </c>
      <c r="F287" s="1211"/>
      <c r="G287" s="1211"/>
    </row>
    <row r="288" ht="26.25" customHeight="1">
      <c r="A288" s="1201" t="s">
        <v>5719</v>
      </c>
      <c r="B288" s="1202">
        <v>3.106753391E9</v>
      </c>
      <c r="C288" s="1202"/>
      <c r="D288" s="1203" t="s">
        <v>5720</v>
      </c>
      <c r="E288" s="1203" t="s">
        <v>5721</v>
      </c>
      <c r="F288" s="1217"/>
      <c r="G288" s="1217"/>
    </row>
    <row r="289" ht="26.25" customHeight="1">
      <c r="A289" s="1201" t="s">
        <v>5722</v>
      </c>
      <c r="B289" s="1202">
        <v>3.187726666E9</v>
      </c>
      <c r="C289" s="1202"/>
      <c r="D289" s="1203" t="s">
        <v>5723</v>
      </c>
      <c r="E289" s="1203" t="s">
        <v>5724</v>
      </c>
      <c r="F289" s="1207"/>
      <c r="G289" s="1207"/>
    </row>
    <row r="290" ht="26.25" customHeight="1">
      <c r="A290" s="1208" t="s">
        <v>5725</v>
      </c>
      <c r="B290" s="1209">
        <v>3.225585646E9</v>
      </c>
      <c r="C290" s="1209"/>
      <c r="D290" s="1210" t="s">
        <v>5726</v>
      </c>
      <c r="E290" s="1210" t="s">
        <v>5727</v>
      </c>
      <c r="F290" s="1204"/>
      <c r="G290" s="1204"/>
    </row>
    <row r="291" ht="26.25" customHeight="1">
      <c r="A291" s="1201" t="s">
        <v>5728</v>
      </c>
      <c r="B291" s="1202">
        <v>3.053169495E9</v>
      </c>
      <c r="C291" s="1202"/>
      <c r="D291" s="1206" t="s">
        <v>5729</v>
      </c>
      <c r="E291" s="1206" t="s">
        <v>5730</v>
      </c>
      <c r="F291" s="1211"/>
      <c r="G291" s="1211"/>
    </row>
    <row r="292" ht="26.25" customHeight="1">
      <c r="A292" s="1216" t="s">
        <v>5731</v>
      </c>
      <c r="B292" s="1248">
        <v>3.215128449E9</v>
      </c>
      <c r="C292" s="1248"/>
      <c r="D292" s="1244" t="s">
        <v>5732</v>
      </c>
      <c r="E292" s="1244" t="s">
        <v>5733</v>
      </c>
      <c r="F292" s="1211"/>
      <c r="G292" s="1211"/>
    </row>
    <row r="293" ht="26.25" customHeight="1">
      <c r="A293" s="1208" t="s">
        <v>5734</v>
      </c>
      <c r="B293" s="1209">
        <v>3.116878422E9</v>
      </c>
      <c r="C293" s="1209"/>
      <c r="D293" s="1210" t="s">
        <v>5735</v>
      </c>
      <c r="E293" s="1210"/>
      <c r="F293" s="1211"/>
      <c r="G293" s="1211"/>
    </row>
    <row r="294" ht="26.25" customHeight="1">
      <c r="A294" s="1208" t="s">
        <v>5736</v>
      </c>
      <c r="B294" s="1209">
        <v>3.147760856E9</v>
      </c>
      <c r="C294" s="1209"/>
      <c r="D294" s="1210" t="s">
        <v>5737</v>
      </c>
      <c r="E294" s="1210" t="s">
        <v>5738</v>
      </c>
      <c r="F294" s="1207"/>
      <c r="G294" s="1207"/>
    </row>
    <row r="295" ht="26.25" customHeight="1">
      <c r="A295" s="1208" t="s">
        <v>5739</v>
      </c>
      <c r="B295" s="1209">
        <v>3.113858269E9</v>
      </c>
      <c r="C295" s="1209"/>
      <c r="D295" s="1210" t="s">
        <v>5740</v>
      </c>
      <c r="E295" s="1210" t="s">
        <v>5741</v>
      </c>
      <c r="F295" s="1207"/>
      <c r="G295" s="1207"/>
    </row>
    <row r="296" ht="26.25" customHeight="1">
      <c r="A296" s="1208" t="s">
        <v>5742</v>
      </c>
      <c r="B296" s="1209">
        <v>3.122612493E9</v>
      </c>
      <c r="C296" s="1209"/>
      <c r="D296" s="1210" t="s">
        <v>5743</v>
      </c>
      <c r="E296" s="1210" t="s">
        <v>5744</v>
      </c>
      <c r="F296" s="1207"/>
      <c r="G296" s="1207"/>
    </row>
    <row r="297" ht="26.25" customHeight="1">
      <c r="A297" s="1208" t="s">
        <v>5745</v>
      </c>
      <c r="B297" s="1209">
        <v>3.153852173E9</v>
      </c>
      <c r="C297" s="1209"/>
      <c r="D297" s="1210" t="s">
        <v>5746</v>
      </c>
      <c r="E297" s="1210" t="s">
        <v>5747</v>
      </c>
      <c r="F297" s="1217"/>
      <c r="G297" s="1217"/>
    </row>
    <row r="298" ht="26.25" customHeight="1">
      <c r="A298" s="1208" t="s">
        <v>5748</v>
      </c>
      <c r="B298" s="1209">
        <v>3.215606173E9</v>
      </c>
      <c r="C298" s="1209"/>
      <c r="D298" s="1210" t="s">
        <v>5749</v>
      </c>
      <c r="E298" s="1210" t="s">
        <v>5750</v>
      </c>
      <c r="F298" s="1211"/>
      <c r="G298" s="1211"/>
    </row>
    <row r="299" ht="26.25" customHeight="1">
      <c r="A299" s="1208" t="s">
        <v>5751</v>
      </c>
      <c r="B299" s="1209">
        <v>3.182345805E9</v>
      </c>
      <c r="C299" s="1209" t="s">
        <v>5752</v>
      </c>
      <c r="D299" s="1210" t="s">
        <v>5753</v>
      </c>
      <c r="E299" s="1210" t="s">
        <v>5754</v>
      </c>
      <c r="F299" s="1207"/>
      <c r="G299" s="1207"/>
    </row>
    <row r="300" ht="26.25" customHeight="1">
      <c r="A300" s="1197" t="s">
        <v>5755</v>
      </c>
      <c r="B300" s="1205">
        <v>3.104635308E9</v>
      </c>
      <c r="C300" s="1205"/>
      <c r="D300" s="1206" t="s">
        <v>5756</v>
      </c>
      <c r="E300" s="1206" t="s">
        <v>5757</v>
      </c>
      <c r="F300" s="1207"/>
      <c r="G300" s="1207"/>
    </row>
    <row r="301" ht="26.25" customHeight="1">
      <c r="A301" s="1208" t="s">
        <v>5758</v>
      </c>
      <c r="B301" s="1209">
        <v>3.117424731E9</v>
      </c>
      <c r="C301" s="1209"/>
      <c r="D301" s="1210"/>
      <c r="E301" s="1210"/>
      <c r="F301" s="1211"/>
      <c r="G301" s="1211"/>
    </row>
    <row r="302" ht="26.25" customHeight="1">
      <c r="A302" s="1208" t="s">
        <v>5759</v>
      </c>
      <c r="B302" s="1213">
        <v>3.137914709E9</v>
      </c>
      <c r="C302" s="1213"/>
      <c r="D302" s="1210" t="s">
        <v>5760</v>
      </c>
      <c r="E302" s="1210" t="s">
        <v>5761</v>
      </c>
      <c r="F302" s="1211"/>
      <c r="G302" s="1211"/>
    </row>
    <row r="303" ht="26.25" customHeight="1">
      <c r="A303" s="1208" t="s">
        <v>5762</v>
      </c>
      <c r="B303" s="1209">
        <v>3.174006135E9</v>
      </c>
      <c r="C303" s="1209"/>
      <c r="D303" s="1210" t="s">
        <v>5763</v>
      </c>
      <c r="E303" s="1210" t="s">
        <v>5764</v>
      </c>
      <c r="F303" s="1211"/>
      <c r="G303" s="1211"/>
    </row>
    <row r="304" ht="26.25" customHeight="1">
      <c r="A304" s="1208" t="s">
        <v>5765</v>
      </c>
      <c r="B304" s="1213">
        <v>3.105455138E9</v>
      </c>
      <c r="C304" s="1213"/>
      <c r="D304" s="1210" t="s">
        <v>5766</v>
      </c>
      <c r="E304" s="1210" t="s">
        <v>5767</v>
      </c>
      <c r="F304" s="1229"/>
      <c r="G304" s="1229"/>
    </row>
    <row r="305" ht="26.25" customHeight="1">
      <c r="A305" s="1208" t="s">
        <v>5768</v>
      </c>
      <c r="B305" s="1209">
        <v>3.185212809E9</v>
      </c>
      <c r="C305" s="1209"/>
      <c r="D305" s="1210" t="s">
        <v>5769</v>
      </c>
      <c r="E305" s="1210" t="s">
        <v>5770</v>
      </c>
      <c r="F305" s="1211"/>
      <c r="G305" s="1211"/>
    </row>
    <row r="306" ht="26.25" customHeight="1">
      <c r="A306" s="1208" t="s">
        <v>5771</v>
      </c>
      <c r="B306" s="1209">
        <v>3.182617793E9</v>
      </c>
      <c r="C306" s="1209"/>
      <c r="D306" s="1210" t="s">
        <v>5772</v>
      </c>
      <c r="E306" s="1210" t="s">
        <v>5773</v>
      </c>
      <c r="F306" s="1211"/>
      <c r="G306" s="1211"/>
    </row>
    <row r="307" ht="26.25" customHeight="1">
      <c r="A307" s="1201" t="s">
        <v>5774</v>
      </c>
      <c r="B307" s="1202">
        <v>3.173758089E9</v>
      </c>
      <c r="C307" s="1202"/>
      <c r="D307" s="1203" t="s">
        <v>5775</v>
      </c>
      <c r="E307" s="1203" t="s">
        <v>5776</v>
      </c>
      <c r="F307" s="1211"/>
      <c r="G307" s="1211"/>
    </row>
    <row r="308" ht="26.25" customHeight="1">
      <c r="A308" s="1208" t="s">
        <v>5777</v>
      </c>
      <c r="B308" s="1209">
        <v>3.148305467E9</v>
      </c>
      <c r="C308" s="1209"/>
      <c r="D308" s="1210" t="s">
        <v>5778</v>
      </c>
      <c r="E308" s="1210" t="s">
        <v>5779</v>
      </c>
      <c r="F308" s="1222"/>
      <c r="G308" s="1222"/>
    </row>
    <row r="309" ht="26.25" customHeight="1">
      <c r="A309" s="1208" t="s">
        <v>5780</v>
      </c>
      <c r="B309" s="1209">
        <v>3.165860665E9</v>
      </c>
      <c r="C309" s="1209"/>
      <c r="D309" s="1210" t="s">
        <v>5781</v>
      </c>
      <c r="E309" s="1210" t="s">
        <v>5782</v>
      </c>
      <c r="F309" s="1207"/>
      <c r="G309" s="1207"/>
    </row>
    <row r="310" ht="26.25" customHeight="1">
      <c r="A310" s="1201" t="s">
        <v>5783</v>
      </c>
      <c r="B310" s="1202">
        <v>3.188317701E9</v>
      </c>
      <c r="C310" s="1202"/>
      <c r="D310" s="1206" t="s">
        <v>5784</v>
      </c>
      <c r="E310" s="1203" t="s">
        <v>5785</v>
      </c>
      <c r="F310" s="1211"/>
      <c r="G310" s="1211"/>
    </row>
    <row r="311" ht="26.25" customHeight="1">
      <c r="A311" s="1208" t="s">
        <v>5786</v>
      </c>
      <c r="B311" s="1209">
        <v>3.154849633E9</v>
      </c>
      <c r="C311" s="1209"/>
      <c r="D311" s="1210" t="s">
        <v>5787</v>
      </c>
      <c r="E311" s="1210" t="s">
        <v>5788</v>
      </c>
      <c r="F311" s="1211"/>
      <c r="G311" s="1211"/>
    </row>
    <row r="312" ht="26.25" customHeight="1">
      <c r="A312" s="1197" t="s">
        <v>5789</v>
      </c>
      <c r="B312" s="1205">
        <v>3.216300804E9</v>
      </c>
      <c r="C312" s="1205"/>
      <c r="D312" s="1206" t="s">
        <v>5790</v>
      </c>
      <c r="E312" s="1206" t="s">
        <v>5791</v>
      </c>
      <c r="F312" s="1207"/>
      <c r="G312" s="1207"/>
    </row>
    <row r="313" ht="26.25" customHeight="1">
      <c r="A313" s="1208" t="s">
        <v>5792</v>
      </c>
      <c r="B313" s="1209">
        <v>3.104061581E9</v>
      </c>
      <c r="C313" s="1209"/>
      <c r="D313" s="1210" t="s">
        <v>5793</v>
      </c>
      <c r="E313" s="1210" t="s">
        <v>5794</v>
      </c>
      <c r="F313" s="1211"/>
      <c r="G313" s="1211"/>
    </row>
    <row r="314" ht="26.25" customHeight="1">
      <c r="A314" s="1208" t="s">
        <v>5795</v>
      </c>
      <c r="B314" s="1209">
        <v>3.217767454E9</v>
      </c>
      <c r="C314" s="1209"/>
      <c r="D314" s="1210" t="s">
        <v>5796</v>
      </c>
      <c r="E314" s="1210" t="s">
        <v>5797</v>
      </c>
      <c r="F314" s="1217"/>
      <c r="G314" s="1217"/>
    </row>
    <row r="315" ht="26.25" customHeight="1">
      <c r="A315" s="1212" t="s">
        <v>5798</v>
      </c>
      <c r="B315" s="1209">
        <v>3.122366284E9</v>
      </c>
      <c r="C315" s="1209"/>
      <c r="D315" s="1210" t="s">
        <v>5799</v>
      </c>
      <c r="E315" s="1210" t="s">
        <v>5800</v>
      </c>
      <c r="F315" s="1211"/>
      <c r="G315" s="1211"/>
    </row>
    <row r="316" ht="26.25" customHeight="1">
      <c r="A316" s="1212" t="s">
        <v>5801</v>
      </c>
      <c r="B316" s="1209">
        <v>3.013863233E9</v>
      </c>
      <c r="C316" s="1209"/>
      <c r="D316" s="1210" t="s">
        <v>5802</v>
      </c>
      <c r="E316" s="1210" t="s">
        <v>5803</v>
      </c>
      <c r="F316" s="1207"/>
      <c r="G316" s="1207"/>
    </row>
    <row r="317" ht="26.25" customHeight="1">
      <c r="A317" s="1208" t="s">
        <v>5804</v>
      </c>
      <c r="B317" s="1209">
        <v>3.023733231E9</v>
      </c>
      <c r="C317" s="1209"/>
      <c r="D317" s="1210" t="s">
        <v>5805</v>
      </c>
      <c r="E317" s="1210" t="s">
        <v>5806</v>
      </c>
      <c r="F317" s="1211"/>
      <c r="G317" s="1211"/>
    </row>
    <row r="318" ht="26.25" customHeight="1">
      <c r="A318" s="1208" t="s">
        <v>5807</v>
      </c>
      <c r="B318" s="1209">
        <v>3.106643304E9</v>
      </c>
      <c r="C318" s="1209"/>
      <c r="D318" s="1210" t="s">
        <v>5808</v>
      </c>
      <c r="E318" s="1210" t="s">
        <v>5809</v>
      </c>
      <c r="F318" s="1211"/>
      <c r="G318" s="1211"/>
    </row>
    <row r="319" ht="26.25" customHeight="1">
      <c r="A319" s="1208" t="s">
        <v>5810</v>
      </c>
      <c r="B319" s="1209">
        <v>3.147686604E9</v>
      </c>
      <c r="C319" s="1209"/>
      <c r="D319" s="1210" t="s">
        <v>5811</v>
      </c>
      <c r="E319" s="1210" t="s">
        <v>5812</v>
      </c>
      <c r="F319" s="1217"/>
      <c r="G319" s="1217"/>
    </row>
    <row r="320" ht="26.25" customHeight="1">
      <c r="A320" s="1208" t="s">
        <v>5813</v>
      </c>
      <c r="B320" s="1209">
        <v>3.173692472E9</v>
      </c>
      <c r="C320" s="1209"/>
      <c r="D320" s="1210" t="s">
        <v>5814</v>
      </c>
      <c r="E320" s="1210" t="s">
        <v>5815</v>
      </c>
      <c r="F320" s="1213"/>
      <c r="G320" s="1213"/>
    </row>
    <row r="321" ht="26.25" customHeight="1">
      <c r="A321" s="1208" t="s">
        <v>5816</v>
      </c>
      <c r="B321" s="1209">
        <v>3.163348784E9</v>
      </c>
      <c r="C321" s="1208"/>
      <c r="D321" s="1209" t="s">
        <v>5817</v>
      </c>
      <c r="E321" s="1209" t="s">
        <v>5818</v>
      </c>
      <c r="F321" s="1211"/>
      <c r="G321" s="1211"/>
    </row>
    <row r="322" ht="26.25" customHeight="1">
      <c r="A322" s="1208" t="s">
        <v>5819</v>
      </c>
      <c r="B322" s="1209">
        <v>3.146554643E9</v>
      </c>
      <c r="C322" s="1209"/>
      <c r="D322" s="1210" t="s">
        <v>5820</v>
      </c>
      <c r="E322" s="1210" t="s">
        <v>5821</v>
      </c>
      <c r="F322" s="1207"/>
      <c r="G322" s="1207"/>
    </row>
    <row r="323" ht="26.25" customHeight="1">
      <c r="A323" s="1208" t="s">
        <v>5822</v>
      </c>
      <c r="B323" s="1209">
        <v>3.105431183E9</v>
      </c>
      <c r="C323" s="1209"/>
      <c r="D323" s="1210" t="s">
        <v>5823</v>
      </c>
      <c r="E323" s="1210" t="s">
        <v>5824</v>
      </c>
      <c r="F323" s="1204"/>
      <c r="G323" s="1204"/>
    </row>
    <row r="324" ht="26.25" customHeight="1">
      <c r="A324" s="1218" t="s">
        <v>5825</v>
      </c>
      <c r="B324" s="1219">
        <v>3.166259676E9</v>
      </c>
      <c r="C324" s="1219"/>
      <c r="D324" s="1220" t="s">
        <v>5826</v>
      </c>
      <c r="E324" s="1220" t="s">
        <v>5827</v>
      </c>
      <c r="F324" s="1229"/>
      <c r="G324" s="1229"/>
    </row>
    <row r="325" ht="26.25" customHeight="1">
      <c r="A325" s="1208" t="s">
        <v>5828</v>
      </c>
      <c r="B325" s="1209">
        <v>3.117942569E9</v>
      </c>
      <c r="C325" s="1209"/>
      <c r="D325" s="1210" t="s">
        <v>5829</v>
      </c>
      <c r="E325" s="1210" t="s">
        <v>5830</v>
      </c>
      <c r="F325" s="1211"/>
      <c r="G325" s="1211"/>
    </row>
    <row r="326" ht="26.25" customHeight="1">
      <c r="A326" s="1208" t="s">
        <v>5831</v>
      </c>
      <c r="B326" s="1209">
        <v>3.152875276E9</v>
      </c>
      <c r="C326" s="1209"/>
      <c r="D326" s="1210" t="s">
        <v>5832</v>
      </c>
      <c r="E326" s="1210" t="s">
        <v>5833</v>
      </c>
      <c r="F326" s="1217"/>
      <c r="G326" s="1217"/>
    </row>
    <row r="327" ht="26.25" customHeight="1">
      <c r="A327" s="1208" t="s">
        <v>5834</v>
      </c>
      <c r="B327" s="1209">
        <v>3.105431183E9</v>
      </c>
      <c r="C327" s="1209"/>
      <c r="D327" s="1210" t="s">
        <v>5835</v>
      </c>
      <c r="E327" s="1210" t="s">
        <v>5836</v>
      </c>
      <c r="F327" s="1204"/>
      <c r="G327" s="1204"/>
    </row>
    <row r="328" ht="26.25" customHeight="1">
      <c r="A328" s="1208" t="s">
        <v>5837</v>
      </c>
      <c r="B328" s="1209">
        <v>3.004041361E9</v>
      </c>
      <c r="C328" s="1209"/>
      <c r="D328" s="1210" t="s">
        <v>5838</v>
      </c>
      <c r="E328" s="1210"/>
      <c r="F328" s="1204"/>
      <c r="G328" s="1204"/>
    </row>
    <row r="329" ht="26.25" customHeight="1">
      <c r="A329" s="1208" t="s">
        <v>5839</v>
      </c>
      <c r="B329" s="1209">
        <v>3.185573544E9</v>
      </c>
      <c r="C329" s="1209"/>
      <c r="D329" s="1210" t="s">
        <v>5840</v>
      </c>
      <c r="E329" s="1210" t="s">
        <v>5841</v>
      </c>
      <c r="F329" s="1207"/>
      <c r="G329" s="1207"/>
    </row>
    <row r="330" ht="26.25" customHeight="1">
      <c r="A330" s="1208" t="s">
        <v>5839</v>
      </c>
      <c r="B330" s="1209">
        <v>3.185573544E9</v>
      </c>
      <c r="C330" s="1209"/>
      <c r="D330" s="1210" t="s">
        <v>5842</v>
      </c>
      <c r="E330" s="1210" t="s">
        <v>5843</v>
      </c>
      <c r="F330" s="1204"/>
      <c r="G330" s="1204"/>
    </row>
    <row r="331" ht="26.25" customHeight="1">
      <c r="A331" s="1208" t="s">
        <v>5844</v>
      </c>
      <c r="B331" s="1209">
        <v>3.16744264E9</v>
      </c>
      <c r="C331" s="1209"/>
      <c r="D331" s="1210" t="s">
        <v>5845</v>
      </c>
      <c r="E331" s="1210" t="s">
        <v>5846</v>
      </c>
      <c r="F331" s="1204"/>
      <c r="G331" s="1204"/>
    </row>
    <row r="332" ht="26.25" customHeight="1">
      <c r="A332" s="1208" t="s">
        <v>5847</v>
      </c>
      <c r="B332" s="1209">
        <v>3.105001479E9</v>
      </c>
      <c r="C332" s="1209"/>
      <c r="D332" s="1210" t="s">
        <v>5848</v>
      </c>
      <c r="E332" s="1210" t="s">
        <v>5849</v>
      </c>
      <c r="F332" s="1207"/>
      <c r="G332" s="1207"/>
    </row>
    <row r="333" ht="26.25" customHeight="1">
      <c r="A333" s="1208" t="s">
        <v>5850</v>
      </c>
      <c r="B333" s="1209">
        <v>3.128069758E9</v>
      </c>
      <c r="C333" s="1209"/>
      <c r="D333" s="1210" t="s">
        <v>5851</v>
      </c>
      <c r="E333" s="1210" t="s">
        <v>5852</v>
      </c>
      <c r="F333" s="1204"/>
      <c r="G333" s="1204"/>
    </row>
    <row r="334" ht="26.25" customHeight="1">
      <c r="A334" s="1208" t="s">
        <v>5853</v>
      </c>
      <c r="B334" s="1209" t="s">
        <v>5854</v>
      </c>
      <c r="C334" s="1209"/>
      <c r="D334" s="1210" t="s">
        <v>5855</v>
      </c>
      <c r="E334" s="1210" t="s">
        <v>5856</v>
      </c>
      <c r="F334" s="1211"/>
      <c r="G334" s="1211"/>
    </row>
    <row r="335" ht="26.25" customHeight="1">
      <c r="A335" s="1208" t="s">
        <v>5857</v>
      </c>
      <c r="B335" s="1209">
        <v>3.219740853E9</v>
      </c>
      <c r="C335" s="1209"/>
      <c r="D335" s="1210" t="s">
        <v>5858</v>
      </c>
      <c r="E335" s="1210" t="s">
        <v>5859</v>
      </c>
      <c r="F335" s="1222"/>
      <c r="G335" s="1222"/>
    </row>
    <row r="336" ht="26.25" customHeight="1">
      <c r="A336" s="1246" t="s">
        <v>5860</v>
      </c>
      <c r="B336" s="1224">
        <v>3.11373025E9</v>
      </c>
      <c r="C336" s="1224"/>
      <c r="D336" s="1225" t="s">
        <v>5861</v>
      </c>
      <c r="E336" s="1225">
        <v>3.143267268E9</v>
      </c>
      <c r="F336" s="1211"/>
      <c r="G336" s="1211"/>
    </row>
    <row r="337" ht="26.25" customHeight="1">
      <c r="A337" s="1246" t="s">
        <v>5862</v>
      </c>
      <c r="B337" s="1224">
        <v>3.173271438E9</v>
      </c>
      <c r="C337" s="1224"/>
      <c r="D337" s="1225" t="s">
        <v>5863</v>
      </c>
      <c r="E337" s="1225" t="s">
        <v>5864</v>
      </c>
      <c r="F337" s="1211"/>
      <c r="G337" s="1211"/>
    </row>
    <row r="338" ht="26.25" customHeight="1">
      <c r="A338" s="1208" t="s">
        <v>5865</v>
      </c>
      <c r="B338" s="1209">
        <v>3.183761263E9</v>
      </c>
      <c r="C338" s="1209"/>
      <c r="D338" s="1210" t="s">
        <v>5866</v>
      </c>
      <c r="E338" s="1210" t="s">
        <v>5867</v>
      </c>
      <c r="F338" s="1211"/>
      <c r="G338" s="1211"/>
    </row>
    <row r="339" ht="26.25" customHeight="1">
      <c r="A339" s="1228" t="s">
        <v>5868</v>
      </c>
      <c r="B339" s="1219">
        <v>3.0165818E9</v>
      </c>
      <c r="C339" s="1219"/>
      <c r="D339" s="1220" t="s">
        <v>5869</v>
      </c>
      <c r="E339" s="1235"/>
      <c r="F339" s="1217"/>
      <c r="G339" s="1217"/>
    </row>
    <row r="340" ht="26.25" customHeight="1">
      <c r="A340" s="1208" t="s">
        <v>5870</v>
      </c>
      <c r="B340" s="1209">
        <v>3.023894868E9</v>
      </c>
      <c r="C340" s="1209"/>
      <c r="D340" s="1210" t="s">
        <v>5871</v>
      </c>
      <c r="E340" s="1210" t="s">
        <v>5872</v>
      </c>
      <c r="F340" s="1211"/>
      <c r="G340" s="1211"/>
    </row>
    <row r="341" ht="26.25" customHeight="1">
      <c r="A341" s="1228" t="s">
        <v>5873</v>
      </c>
      <c r="B341" s="1219">
        <v>3.142516741E9</v>
      </c>
      <c r="C341" s="1219" t="s">
        <v>5874</v>
      </c>
      <c r="D341" s="1219" t="s">
        <v>5875</v>
      </c>
      <c r="E341" s="1220" t="s">
        <v>5876</v>
      </c>
      <c r="F341" s="1211"/>
      <c r="G341" s="1211"/>
    </row>
    <row r="342" ht="26.25" customHeight="1">
      <c r="A342" s="1197" t="s">
        <v>5877</v>
      </c>
      <c r="B342" s="1205">
        <v>3.178445043E9</v>
      </c>
      <c r="C342" s="1205"/>
      <c r="D342" s="1206" t="s">
        <v>5878</v>
      </c>
      <c r="E342" s="1206" t="s">
        <v>5879</v>
      </c>
      <c r="F342" s="1207"/>
      <c r="G342" s="1207"/>
    </row>
    <row r="343" ht="26.25" customHeight="1">
      <c r="A343" s="1249" t="s">
        <v>5880</v>
      </c>
      <c r="B343" s="1250"/>
      <c r="C343" s="1250"/>
      <c r="D343" s="1234"/>
      <c r="E343" s="1234"/>
      <c r="F343" s="1207"/>
      <c r="G343" s="1207"/>
    </row>
    <row r="344" ht="26.25" customHeight="1">
      <c r="A344" s="1208" t="s">
        <v>5881</v>
      </c>
      <c r="B344" s="1209">
        <v>3.113568382E9</v>
      </c>
      <c r="C344" s="1209"/>
      <c r="D344" s="1210" t="s">
        <v>5882</v>
      </c>
      <c r="E344" s="1210" t="s">
        <v>5883</v>
      </c>
      <c r="F344" s="1207"/>
      <c r="G344" s="1207"/>
    </row>
    <row r="345" ht="26.25" customHeight="1">
      <c r="A345" s="1208" t="s">
        <v>5884</v>
      </c>
      <c r="B345" s="1209">
        <v>3.185686792E9</v>
      </c>
      <c r="C345" s="1209"/>
      <c r="D345" s="1210"/>
      <c r="E345" s="1210"/>
      <c r="F345" s="1229"/>
      <c r="G345" s="1229"/>
    </row>
    <row r="346" ht="26.25" customHeight="1">
      <c r="A346" s="1218" t="s">
        <v>5885</v>
      </c>
      <c r="B346" s="1219">
        <v>3.217267963E9</v>
      </c>
      <c r="C346" s="1219"/>
      <c r="D346" s="1220" t="s">
        <v>5886</v>
      </c>
      <c r="E346" s="1220" t="s">
        <v>5887</v>
      </c>
      <c r="F346" s="1211"/>
      <c r="G346" s="1211"/>
    </row>
    <row r="347" ht="26.25" customHeight="1">
      <c r="A347" s="1208" t="s">
        <v>5888</v>
      </c>
      <c r="B347" s="1209">
        <v>3.104208055E9</v>
      </c>
      <c r="C347" s="1209"/>
      <c r="D347" s="1210" t="s">
        <v>5889</v>
      </c>
      <c r="E347" s="1210" t="s">
        <v>5890</v>
      </c>
      <c r="F347" s="1207"/>
      <c r="G347" s="1207"/>
    </row>
    <row r="348" ht="26.25" customHeight="1">
      <c r="A348" s="1218" t="s">
        <v>5891</v>
      </c>
      <c r="B348" s="1219">
        <v>3.136959341E9</v>
      </c>
      <c r="C348" s="1219"/>
      <c r="D348" s="1220" t="s">
        <v>5892</v>
      </c>
      <c r="E348" s="1220" t="s">
        <v>5893</v>
      </c>
      <c r="F348" s="1211"/>
      <c r="G348" s="1211"/>
    </row>
    <row r="349" ht="26.25" customHeight="1">
      <c r="A349" s="1208" t="s">
        <v>5894</v>
      </c>
      <c r="B349" s="1209">
        <v>3.232227439E9</v>
      </c>
      <c r="C349" s="126"/>
      <c r="D349" s="1209" t="s">
        <v>5895</v>
      </c>
      <c r="E349" s="1210" t="s">
        <v>5896</v>
      </c>
      <c r="F349" s="1211"/>
      <c r="G349" s="1211"/>
    </row>
    <row r="350" ht="26.25" customHeight="1">
      <c r="A350" s="1212" t="s">
        <v>5897</v>
      </c>
      <c r="B350" s="1209">
        <v>3.117014023E9</v>
      </c>
      <c r="C350" s="1209"/>
      <c r="D350" s="1210" t="s">
        <v>5898</v>
      </c>
      <c r="E350" s="1210" t="s">
        <v>328</v>
      </c>
      <c r="F350" s="1211"/>
      <c r="G350" s="1211"/>
    </row>
    <row r="351" ht="26.25" customHeight="1">
      <c r="A351" s="1208" t="s">
        <v>5899</v>
      </c>
      <c r="B351" s="1209">
        <v>3.007062558E9</v>
      </c>
      <c r="C351" s="1209"/>
      <c r="D351" s="1210" t="s">
        <v>5900</v>
      </c>
      <c r="E351" s="1210" t="s">
        <v>5901</v>
      </c>
      <c r="F351" s="1207"/>
      <c r="G351" s="1207"/>
    </row>
    <row r="352" ht="26.25" customHeight="1">
      <c r="A352" s="1208" t="s">
        <v>5902</v>
      </c>
      <c r="B352" s="1209">
        <v>3.004215753E9</v>
      </c>
      <c r="C352" s="1209"/>
      <c r="D352" s="1210" t="s">
        <v>5903</v>
      </c>
      <c r="E352" s="1210" t="s">
        <v>5904</v>
      </c>
      <c r="F352" s="1211"/>
      <c r="G352" s="1211"/>
    </row>
    <row r="353" ht="26.25" customHeight="1">
      <c r="A353" s="1197" t="s">
        <v>5905</v>
      </c>
      <c r="B353" s="1205">
        <v>3.152167754E9</v>
      </c>
      <c r="C353" s="1205"/>
      <c r="D353" s="1206" t="s">
        <v>5906</v>
      </c>
      <c r="E353" s="1206" t="s">
        <v>5907</v>
      </c>
      <c r="F353" s="1217"/>
      <c r="G353" s="1217"/>
    </row>
    <row r="354" ht="26.25" customHeight="1">
      <c r="A354" s="1201" t="s">
        <v>5908</v>
      </c>
      <c r="B354" s="1205">
        <v>3.013239922E9</v>
      </c>
      <c r="C354" s="1205"/>
      <c r="D354" s="1206" t="s">
        <v>5909</v>
      </c>
      <c r="E354" s="1206" t="s">
        <v>5910</v>
      </c>
      <c r="F354" s="1211"/>
      <c r="G354" s="1211"/>
    </row>
    <row r="355" ht="26.25" customHeight="1">
      <c r="A355" s="1197" t="s">
        <v>5911</v>
      </c>
      <c r="B355" s="1251">
        <v>3.122864585E9</v>
      </c>
      <c r="C355" s="1251"/>
      <c r="D355" s="1206" t="s">
        <v>5912</v>
      </c>
      <c r="E355" s="1206" t="s">
        <v>5913</v>
      </c>
      <c r="F355" s="1211"/>
      <c r="G355" s="1211"/>
    </row>
    <row r="356" ht="26.25" customHeight="1">
      <c r="A356" s="1228" t="s">
        <v>5914</v>
      </c>
      <c r="B356" s="1252">
        <v>3.002681725E9</v>
      </c>
      <c r="C356" s="1252"/>
      <c r="D356" s="1220" t="s">
        <v>5915</v>
      </c>
      <c r="E356" s="1220" t="s">
        <v>5916</v>
      </c>
      <c r="F356" s="1217"/>
      <c r="G356" s="1217"/>
    </row>
    <row r="357" ht="26.25" customHeight="1">
      <c r="A357" s="1208" t="s">
        <v>5917</v>
      </c>
      <c r="B357" s="1209">
        <v>3.218533752E9</v>
      </c>
      <c r="C357" s="1209"/>
      <c r="D357" s="1210" t="s">
        <v>5918</v>
      </c>
      <c r="E357" s="1210" t="s">
        <v>5919</v>
      </c>
      <c r="F357" s="1217"/>
      <c r="G357" s="1217"/>
    </row>
    <row r="358" ht="26.25" customHeight="1">
      <c r="A358" s="1208" t="s">
        <v>5920</v>
      </c>
      <c r="B358" s="1209">
        <v>3.228512301E9</v>
      </c>
      <c r="C358" s="1209"/>
      <c r="D358" s="1210" t="s">
        <v>5921</v>
      </c>
      <c r="E358" s="1210" t="s">
        <v>5922</v>
      </c>
      <c r="F358" s="1222"/>
      <c r="G358" s="1222"/>
    </row>
    <row r="359" ht="26.25" customHeight="1">
      <c r="A359" s="1208" t="s">
        <v>5923</v>
      </c>
      <c r="B359" s="1209">
        <v>3.173682972E9</v>
      </c>
      <c r="C359" s="1209"/>
      <c r="D359" s="1210" t="s">
        <v>5924</v>
      </c>
      <c r="E359" s="1210" t="s">
        <v>5925</v>
      </c>
      <c r="F359" s="1211"/>
      <c r="G359" s="1211"/>
    </row>
    <row r="360" ht="26.25" customHeight="1">
      <c r="A360" s="1253" t="s">
        <v>5926</v>
      </c>
      <c r="B360" s="1209">
        <v>3.187973549E9</v>
      </c>
      <c r="C360" s="1209"/>
      <c r="D360" s="1210" t="s">
        <v>5927</v>
      </c>
      <c r="E360" s="1210" t="s">
        <v>5928</v>
      </c>
      <c r="F360" s="1211"/>
      <c r="G360" s="1211"/>
    </row>
    <row r="361" ht="26.25" customHeight="1">
      <c r="A361" s="1208" t="s">
        <v>5929</v>
      </c>
      <c r="B361" s="1209">
        <v>3.167258369E9</v>
      </c>
      <c r="C361" s="1209"/>
      <c r="D361" s="1210" t="s">
        <v>5930</v>
      </c>
      <c r="E361" s="1210" t="s">
        <v>5931</v>
      </c>
      <c r="F361" s="1211"/>
      <c r="G361" s="1211"/>
    </row>
    <row r="362" ht="26.25" customHeight="1">
      <c r="A362" s="1208" t="s">
        <v>5932</v>
      </c>
      <c r="B362" s="1209">
        <v>3.04475542E9</v>
      </c>
      <c r="C362" s="1209"/>
      <c r="D362" s="1210" t="s">
        <v>5933</v>
      </c>
      <c r="E362" s="1210" t="s">
        <v>5934</v>
      </c>
      <c r="F362" s="1211"/>
      <c r="G362" s="1211"/>
    </row>
    <row r="363" ht="26.25" customHeight="1">
      <c r="A363" s="1208" t="s">
        <v>5935</v>
      </c>
      <c r="B363" s="1209">
        <v>3.122919859E9</v>
      </c>
      <c r="C363" s="1209"/>
      <c r="D363" s="1210" t="s">
        <v>5936</v>
      </c>
      <c r="E363" s="1210" t="s">
        <v>5937</v>
      </c>
      <c r="F363" s="1211"/>
      <c r="G363" s="1211"/>
    </row>
    <row r="364" ht="26.25" customHeight="1">
      <c r="A364" s="1218" t="s">
        <v>5938</v>
      </c>
      <c r="B364" s="1219">
        <v>3.122008564E9</v>
      </c>
      <c r="C364" s="1219"/>
      <c r="D364" s="1220" t="s">
        <v>5939</v>
      </c>
      <c r="E364" s="1220" t="s">
        <v>5940</v>
      </c>
      <c r="F364" s="1211"/>
      <c r="G364" s="1211"/>
    </row>
    <row r="365" ht="26.25" customHeight="1">
      <c r="A365" s="1208" t="s">
        <v>5941</v>
      </c>
      <c r="B365" s="1209" t="s">
        <v>5942</v>
      </c>
      <c r="C365" s="1209"/>
      <c r="D365" s="1210" t="s">
        <v>5943</v>
      </c>
      <c r="E365" s="1210" t="s">
        <v>5944</v>
      </c>
      <c r="F365" s="1211"/>
      <c r="G365" s="1211"/>
    </row>
    <row r="366" ht="26.25" customHeight="1">
      <c r="A366" s="1249" t="s">
        <v>5945</v>
      </c>
      <c r="B366" s="1250"/>
      <c r="C366" s="1250"/>
      <c r="D366" s="1234"/>
      <c r="E366" s="1234"/>
      <c r="F366" s="1211"/>
      <c r="G366" s="1211"/>
    </row>
    <row r="367" ht="26.25" customHeight="1">
      <c r="A367" s="1208" t="s">
        <v>5946</v>
      </c>
      <c r="B367" s="1209">
        <v>3.5026564E9</v>
      </c>
      <c r="C367" s="1209"/>
      <c r="D367" s="1210" t="s">
        <v>5947</v>
      </c>
      <c r="E367" s="1210" t="s">
        <v>5948</v>
      </c>
      <c r="F367" s="1211"/>
      <c r="G367" s="1211"/>
    </row>
    <row r="368" ht="26.25" customHeight="1">
      <c r="A368" s="1209" t="s">
        <v>5949</v>
      </c>
      <c r="B368" s="1254">
        <v>3.20238071E9</v>
      </c>
      <c r="C368" s="1209"/>
      <c r="D368" s="1210" t="s">
        <v>5950</v>
      </c>
      <c r="E368" s="1210" t="s">
        <v>5951</v>
      </c>
      <c r="F368" s="1211"/>
      <c r="G368" s="1211"/>
    </row>
    <row r="369" ht="26.25" customHeight="1">
      <c r="A369" s="1208" t="s">
        <v>5952</v>
      </c>
      <c r="B369" s="1209">
        <v>3.104299828E9</v>
      </c>
      <c r="C369" s="1209"/>
      <c r="D369" s="1210" t="s">
        <v>5953</v>
      </c>
      <c r="E369" s="1210" t="s">
        <v>5954</v>
      </c>
      <c r="F369" s="1211"/>
      <c r="G369" s="1211"/>
    </row>
    <row r="370" ht="26.25" customHeight="1">
      <c r="A370" s="1208" t="s">
        <v>5955</v>
      </c>
      <c r="B370" s="1209">
        <v>3.208963211E9</v>
      </c>
      <c r="C370" s="1213"/>
      <c r="D370" s="1210" t="s">
        <v>5956</v>
      </c>
      <c r="E370" s="1210" t="s">
        <v>5957</v>
      </c>
      <c r="F370" s="1211"/>
      <c r="G370" s="1211"/>
    </row>
    <row r="371" ht="26.25" customHeight="1">
      <c r="A371" s="1208" t="s">
        <v>5958</v>
      </c>
      <c r="B371" s="1209">
        <v>3.226049303E9</v>
      </c>
      <c r="C371" s="1209"/>
      <c r="D371" s="1210" t="s">
        <v>5959</v>
      </c>
      <c r="E371" s="1210" t="s">
        <v>5960</v>
      </c>
      <c r="F371" s="1211"/>
      <c r="G371" s="1211"/>
    </row>
    <row r="372" ht="26.25" customHeight="1">
      <c r="A372" s="1201" t="s">
        <v>5961</v>
      </c>
      <c r="B372" s="1202" t="s">
        <v>5962</v>
      </c>
      <c r="C372" s="1202"/>
      <c r="D372" s="1203" t="s">
        <v>5963</v>
      </c>
      <c r="E372" s="1203" t="s">
        <v>5964</v>
      </c>
      <c r="F372" s="1211"/>
      <c r="G372" s="1211"/>
    </row>
    <row r="373" ht="26.25" customHeight="1">
      <c r="A373" s="1208" t="s">
        <v>5965</v>
      </c>
      <c r="B373" s="1209">
        <v>3.148223572E9</v>
      </c>
      <c r="C373" s="1209"/>
      <c r="D373" s="1210" t="s">
        <v>5966</v>
      </c>
      <c r="E373" s="1210" t="s">
        <v>5967</v>
      </c>
      <c r="F373" s="1211"/>
      <c r="G373" s="1211"/>
    </row>
    <row r="374" ht="26.25" customHeight="1">
      <c r="A374" s="1208" t="s">
        <v>5968</v>
      </c>
      <c r="B374" s="1209">
        <v>3.234831281E9</v>
      </c>
      <c r="C374" s="1209"/>
      <c r="D374" s="1210" t="s">
        <v>5969</v>
      </c>
      <c r="E374" s="1210" t="s">
        <v>5970</v>
      </c>
      <c r="F374" s="1211"/>
      <c r="G374" s="1211"/>
    </row>
    <row r="375" ht="26.25" customHeight="1">
      <c r="A375" s="1208" t="s">
        <v>5971</v>
      </c>
      <c r="B375" s="1209">
        <v>3.046097549E9</v>
      </c>
      <c r="C375" s="1209" t="s">
        <v>5972</v>
      </c>
      <c r="D375" s="1210" t="s">
        <v>5973</v>
      </c>
      <c r="E375" s="1210" t="s">
        <v>5974</v>
      </c>
      <c r="F375" s="1211"/>
      <c r="G375" s="1211"/>
    </row>
    <row r="376" ht="26.25" customHeight="1">
      <c r="A376" s="1208" t="s">
        <v>5975</v>
      </c>
      <c r="B376" s="1209">
        <v>3.21726895E9</v>
      </c>
      <c r="C376" s="1209"/>
      <c r="D376" s="1210" t="s">
        <v>5976</v>
      </c>
      <c r="E376" s="1210" t="s">
        <v>5977</v>
      </c>
      <c r="F376" s="1211"/>
      <c r="G376" s="1211"/>
    </row>
    <row r="377" ht="26.25" customHeight="1">
      <c r="A377" s="1208" t="s">
        <v>5978</v>
      </c>
      <c r="B377" s="1209">
        <v>3.104299828E9</v>
      </c>
      <c r="C377" s="1209"/>
      <c r="D377" s="1210" t="s">
        <v>5979</v>
      </c>
      <c r="E377" s="1210" t="s">
        <v>5980</v>
      </c>
      <c r="F377" s="1211"/>
      <c r="G377" s="1211"/>
    </row>
    <row r="378" ht="26.25" customHeight="1">
      <c r="A378" s="1218" t="s">
        <v>5981</v>
      </c>
      <c r="B378" s="1219">
        <v>3.207648463E9</v>
      </c>
      <c r="C378" s="1219"/>
      <c r="D378" s="1220" t="s">
        <v>5982</v>
      </c>
      <c r="E378" s="1220" t="s">
        <v>5983</v>
      </c>
      <c r="F378" s="1211"/>
      <c r="G378" s="1211"/>
    </row>
    <row r="379" ht="26.25" customHeight="1">
      <c r="A379" s="1201" t="s">
        <v>5984</v>
      </c>
      <c r="B379" s="1205">
        <v>3.117546399E9</v>
      </c>
      <c r="C379" s="1205"/>
      <c r="D379" s="1206" t="s">
        <v>5985</v>
      </c>
      <c r="E379" s="1206" t="s">
        <v>5986</v>
      </c>
      <c r="F379" s="1211"/>
      <c r="G379" s="1211"/>
    </row>
    <row r="380" ht="26.25" customHeight="1">
      <c r="A380" s="1201" t="s">
        <v>5987</v>
      </c>
      <c r="B380" s="1202">
        <v>3.107235434E9</v>
      </c>
      <c r="C380" s="1202"/>
      <c r="D380" s="1203" t="s">
        <v>5988</v>
      </c>
      <c r="E380" s="1203" t="s">
        <v>5989</v>
      </c>
      <c r="F380" s="1211"/>
      <c r="G380" s="1211"/>
    </row>
    <row r="381" ht="26.25" customHeight="1">
      <c r="A381" s="1208" t="s">
        <v>5990</v>
      </c>
      <c r="B381" s="1209">
        <v>3.176664137E9</v>
      </c>
      <c r="C381" s="1213"/>
      <c r="D381" s="1210" t="s">
        <v>5991</v>
      </c>
      <c r="E381" s="1210" t="s">
        <v>5992</v>
      </c>
      <c r="F381" s="1211"/>
      <c r="G381" s="1211"/>
    </row>
    <row r="382" ht="26.25" customHeight="1">
      <c r="A382" s="1208" t="s">
        <v>5993</v>
      </c>
      <c r="B382" s="1209">
        <v>3.186939991E9</v>
      </c>
      <c r="C382" s="126"/>
      <c r="D382" s="1209" t="s">
        <v>5994</v>
      </c>
      <c r="E382" s="1210" t="s">
        <v>5995</v>
      </c>
      <c r="F382" s="1211"/>
      <c r="G382" s="1211"/>
    </row>
    <row r="383" ht="26.25" customHeight="1">
      <c r="A383" s="1208" t="s">
        <v>5996</v>
      </c>
      <c r="B383" s="1209">
        <v>3.163492268E9</v>
      </c>
      <c r="C383" s="1209"/>
      <c r="D383" s="1210" t="s">
        <v>5997</v>
      </c>
      <c r="E383" s="1210" t="s">
        <v>5998</v>
      </c>
      <c r="F383" s="1211"/>
      <c r="G383" s="1211"/>
    </row>
    <row r="384" ht="26.25" customHeight="1">
      <c r="A384" s="1208" t="s">
        <v>5999</v>
      </c>
      <c r="B384" s="1209">
        <v>3.203927995E9</v>
      </c>
      <c r="C384" s="1209"/>
      <c r="D384" s="1210" t="s">
        <v>6000</v>
      </c>
      <c r="E384" s="1210" t="s">
        <v>6001</v>
      </c>
      <c r="F384" s="1211"/>
      <c r="G384" s="1211"/>
    </row>
    <row r="385" ht="26.25" customHeight="1">
      <c r="A385" s="1208" t="s">
        <v>6002</v>
      </c>
      <c r="B385" s="1209">
        <v>3.223599963E9</v>
      </c>
      <c r="C385" s="1209"/>
      <c r="D385" s="1210" t="s">
        <v>6003</v>
      </c>
      <c r="E385" s="1210" t="s">
        <v>6004</v>
      </c>
      <c r="F385" s="1211"/>
      <c r="G385" s="1211"/>
    </row>
    <row r="386" ht="26.25" customHeight="1">
      <c r="A386" s="1208" t="s">
        <v>6005</v>
      </c>
      <c r="B386" s="1209">
        <v>3.203927995E9</v>
      </c>
      <c r="C386" s="1209"/>
      <c r="D386" s="1210" t="s">
        <v>6000</v>
      </c>
      <c r="E386" s="1210" t="s">
        <v>6006</v>
      </c>
      <c r="F386" s="1211"/>
      <c r="G386" s="1211"/>
    </row>
    <row r="387" ht="26.25" customHeight="1">
      <c r="A387" s="1208" t="s">
        <v>6007</v>
      </c>
      <c r="B387" s="1209">
        <v>3.113105222E9</v>
      </c>
      <c r="C387" s="1209"/>
      <c r="D387" s="1210" t="s">
        <v>6008</v>
      </c>
      <c r="E387" s="1210" t="s">
        <v>6009</v>
      </c>
      <c r="F387" s="1211"/>
      <c r="G387" s="1211"/>
    </row>
    <row r="388" ht="26.25" customHeight="1">
      <c r="A388" s="1208" t="s">
        <v>6010</v>
      </c>
      <c r="B388" s="1209">
        <v>3.188096429E9</v>
      </c>
      <c r="C388" s="1209"/>
      <c r="D388" s="1210" t="s">
        <v>6011</v>
      </c>
      <c r="E388" s="1210" t="s">
        <v>6012</v>
      </c>
      <c r="F388" s="1211"/>
      <c r="G388" s="1211"/>
    </row>
    <row r="389" ht="26.25" customHeight="1">
      <c r="A389" s="1208" t="s">
        <v>6013</v>
      </c>
      <c r="B389" s="1209">
        <v>3.205165964E9</v>
      </c>
      <c r="C389" s="1209"/>
      <c r="D389" s="1210" t="s">
        <v>6014</v>
      </c>
      <c r="E389" s="1210" t="s">
        <v>6015</v>
      </c>
      <c r="F389" s="1211"/>
      <c r="G389" s="1211"/>
    </row>
    <row r="390" ht="26.25" customHeight="1">
      <c r="A390" s="1208" t="s">
        <v>6016</v>
      </c>
      <c r="B390" s="1209">
        <v>3.003012958E9</v>
      </c>
      <c r="C390" s="1209"/>
      <c r="D390" s="1210" t="s">
        <v>6017</v>
      </c>
      <c r="E390" s="1210" t="s">
        <v>6018</v>
      </c>
      <c r="F390" s="1211"/>
      <c r="G390" s="1211"/>
    </row>
    <row r="391" ht="26.25" customHeight="1">
      <c r="A391" s="1208" t="s">
        <v>6019</v>
      </c>
      <c r="B391" s="1209">
        <v>3.106836267E9</v>
      </c>
      <c r="C391" s="1209"/>
      <c r="D391" s="1210" t="s">
        <v>6020</v>
      </c>
      <c r="E391" s="1211" t="s">
        <v>6021</v>
      </c>
      <c r="F391" s="1211"/>
      <c r="G391" s="1211"/>
    </row>
    <row r="392" ht="26.25" customHeight="1">
      <c r="A392" s="1197" t="s">
        <v>6022</v>
      </c>
      <c r="B392" s="1205">
        <v>3.142784169E9</v>
      </c>
      <c r="C392" s="1205"/>
      <c r="D392" s="1206" t="s">
        <v>6023</v>
      </c>
      <c r="E392" s="1206" t="s">
        <v>6024</v>
      </c>
      <c r="F392" s="1211"/>
      <c r="G392" s="1211"/>
    </row>
    <row r="393" ht="26.25" customHeight="1">
      <c r="A393" s="1208" t="s">
        <v>6025</v>
      </c>
      <c r="B393" s="1209">
        <v>3.137290364E9</v>
      </c>
      <c r="C393" s="1209"/>
      <c r="D393" s="1210" t="s">
        <v>6026</v>
      </c>
      <c r="E393" s="1210" t="s">
        <v>6027</v>
      </c>
      <c r="F393" s="1211"/>
      <c r="G393" s="1211"/>
    </row>
    <row r="394" ht="26.25" customHeight="1">
      <c r="A394" s="1197" t="s">
        <v>6028</v>
      </c>
      <c r="B394" s="1205">
        <v>3.046128694E9</v>
      </c>
      <c r="C394" s="1205"/>
      <c r="D394" s="1206" t="s">
        <v>6029</v>
      </c>
      <c r="E394" s="1206" t="s">
        <v>6030</v>
      </c>
      <c r="F394" s="1211"/>
      <c r="G394" s="1211"/>
    </row>
    <row r="395" ht="26.25" customHeight="1">
      <c r="A395" s="1197" t="s">
        <v>6031</v>
      </c>
      <c r="B395" s="1205">
        <v>3.217288085E9</v>
      </c>
      <c r="C395" s="1205"/>
      <c r="D395" s="1206" t="s">
        <v>6032</v>
      </c>
      <c r="E395" s="1206" t="s">
        <v>6033</v>
      </c>
      <c r="F395" s="1211"/>
      <c r="G395" s="1211"/>
    </row>
    <row r="396" ht="26.25" customHeight="1">
      <c r="A396" s="1218" t="s">
        <v>6034</v>
      </c>
      <c r="B396" s="1219">
        <v>3.114018731E9</v>
      </c>
      <c r="C396" s="1219"/>
      <c r="D396" s="1220" t="s">
        <v>6035</v>
      </c>
      <c r="E396" s="1220" t="s">
        <v>6036</v>
      </c>
      <c r="F396" s="1211"/>
      <c r="G396" s="1211"/>
    </row>
    <row r="397" ht="26.25" customHeight="1">
      <c r="A397" s="1208" t="s">
        <v>6037</v>
      </c>
      <c r="B397" s="1209">
        <v>3.147734361E9</v>
      </c>
      <c r="C397" s="1209"/>
      <c r="D397" s="1210" t="s">
        <v>6038</v>
      </c>
      <c r="E397" s="1210" t="s">
        <v>6039</v>
      </c>
      <c r="F397" s="1211"/>
      <c r="G397" s="1211"/>
    </row>
    <row r="398" ht="26.25" customHeight="1">
      <c r="A398" s="1208" t="s">
        <v>6040</v>
      </c>
      <c r="B398" s="1209">
        <v>3.166081357E9</v>
      </c>
      <c r="C398" s="1209"/>
      <c r="D398" s="1210" t="s">
        <v>6041</v>
      </c>
      <c r="E398" s="1210" t="s">
        <v>6042</v>
      </c>
      <c r="F398" s="1211"/>
      <c r="G398" s="1211"/>
    </row>
    <row r="399" ht="26.25" customHeight="1">
      <c r="A399" s="1197" t="s">
        <v>6043</v>
      </c>
      <c r="B399" s="1205">
        <v>3.152488841E9</v>
      </c>
      <c r="C399" s="1205"/>
      <c r="D399" s="1206" t="s">
        <v>6044</v>
      </c>
      <c r="E399" s="1206" t="s">
        <v>6045</v>
      </c>
      <c r="F399" s="1211"/>
      <c r="G399" s="1211"/>
    </row>
    <row r="400" ht="26.25" customHeight="1">
      <c r="A400" s="1201" t="s">
        <v>6046</v>
      </c>
      <c r="B400" s="1202">
        <v>3.104246719E9</v>
      </c>
      <c r="C400" s="1205"/>
      <c r="D400" s="1203" t="s">
        <v>6047</v>
      </c>
      <c r="E400" s="1203" t="s">
        <v>6048</v>
      </c>
      <c r="F400" s="1211"/>
      <c r="G400" s="1211"/>
    </row>
    <row r="401" ht="26.25" customHeight="1">
      <c r="A401" s="1208" t="s">
        <v>6049</v>
      </c>
      <c r="B401" s="1209">
        <v>3.156163929E9</v>
      </c>
      <c r="C401" s="1209"/>
      <c r="D401" s="1210" t="s">
        <v>6050</v>
      </c>
      <c r="E401" s="1210"/>
      <c r="F401" s="1211"/>
      <c r="G401" s="1211"/>
    </row>
    <row r="402" ht="26.25" customHeight="1">
      <c r="A402" s="1208" t="s">
        <v>6051</v>
      </c>
      <c r="B402" s="1209">
        <v>3.183413012E9</v>
      </c>
      <c r="C402" s="1209"/>
      <c r="D402" s="1210" t="s">
        <v>6052</v>
      </c>
      <c r="E402" s="1210" t="s">
        <v>6053</v>
      </c>
      <c r="F402" s="1211"/>
      <c r="G402" s="1211"/>
    </row>
    <row r="403" ht="26.25" customHeight="1">
      <c r="A403" s="1208" t="s">
        <v>6054</v>
      </c>
      <c r="B403" s="1209">
        <v>3.122153099E9</v>
      </c>
      <c r="C403" s="1209"/>
      <c r="D403" s="1210" t="s">
        <v>6055</v>
      </c>
      <c r="E403" s="1210" t="s">
        <v>6056</v>
      </c>
      <c r="F403" s="1211"/>
      <c r="G403" s="1211"/>
    </row>
    <row r="404" ht="26.25" customHeight="1">
      <c r="A404" s="1208" t="s">
        <v>6057</v>
      </c>
      <c r="B404" s="1209">
        <v>3.206396074E9</v>
      </c>
      <c r="C404" s="1209"/>
      <c r="D404" s="1210" t="s">
        <v>6058</v>
      </c>
      <c r="E404" s="1210" t="s">
        <v>6059</v>
      </c>
      <c r="F404" s="1211"/>
      <c r="G404" s="1211"/>
    </row>
    <row r="405" ht="26.25" customHeight="1">
      <c r="A405" s="1212" t="s">
        <v>6060</v>
      </c>
      <c r="B405" s="1209">
        <v>3.184534377E9</v>
      </c>
      <c r="C405" s="1209"/>
      <c r="D405" s="1210" t="s">
        <v>6061</v>
      </c>
      <c r="E405" s="1210" t="s">
        <v>6062</v>
      </c>
      <c r="F405" s="1211"/>
      <c r="G405" s="1211"/>
    </row>
    <row r="406" ht="26.25" customHeight="1">
      <c r="A406" s="1208" t="s">
        <v>6063</v>
      </c>
      <c r="B406" s="1209">
        <v>3.233377752E9</v>
      </c>
      <c r="C406" s="1209"/>
      <c r="D406" s="1255" t="s">
        <v>6064</v>
      </c>
      <c r="E406" s="1234"/>
      <c r="F406" s="1211"/>
      <c r="G406" s="1211"/>
    </row>
    <row r="407" ht="26.25" customHeight="1">
      <c r="A407" s="1208" t="s">
        <v>6065</v>
      </c>
      <c r="B407" s="1209">
        <v>3.182501297E9</v>
      </c>
      <c r="C407" s="1209"/>
      <c r="D407" s="1210" t="s">
        <v>6066</v>
      </c>
      <c r="E407" s="1210" t="s">
        <v>6067</v>
      </c>
      <c r="F407" s="1211"/>
      <c r="G407" s="1211"/>
    </row>
    <row r="408" ht="26.25" customHeight="1">
      <c r="A408" s="1208" t="s">
        <v>6068</v>
      </c>
      <c r="B408" s="1209">
        <v>3.005115248E9</v>
      </c>
      <c r="C408" s="1209"/>
      <c r="D408" s="1210" t="s">
        <v>6069</v>
      </c>
      <c r="E408" s="1210" t="s">
        <v>6070</v>
      </c>
      <c r="F408" s="1211"/>
      <c r="G408" s="1211"/>
    </row>
    <row r="409" ht="26.25" customHeight="1">
      <c r="A409" s="1208" t="s">
        <v>6071</v>
      </c>
      <c r="B409" s="1209">
        <v>3.1620659E9</v>
      </c>
      <c r="C409" s="1209"/>
      <c r="D409" s="1210"/>
      <c r="E409" s="1210" t="s">
        <v>6072</v>
      </c>
      <c r="F409" s="1211"/>
      <c r="G409" s="1211"/>
    </row>
    <row r="410" ht="26.25" customHeight="1">
      <c r="A410" s="1208" t="s">
        <v>6073</v>
      </c>
      <c r="B410" s="1209">
        <v>3.155707039E9</v>
      </c>
      <c r="C410" s="1209"/>
      <c r="D410" s="1210" t="s">
        <v>6074</v>
      </c>
      <c r="E410" s="1210" t="s">
        <v>6075</v>
      </c>
      <c r="F410" s="1211"/>
      <c r="G410" s="1211"/>
    </row>
    <row r="411" ht="26.25" customHeight="1">
      <c r="A411" s="1208" t="s">
        <v>6076</v>
      </c>
      <c r="B411" s="1209">
        <v>3.112817506E9</v>
      </c>
      <c r="C411" s="1209"/>
      <c r="D411" s="1210" t="s">
        <v>6077</v>
      </c>
      <c r="E411" s="1210" t="s">
        <v>6078</v>
      </c>
      <c r="F411" s="1211"/>
      <c r="G411" s="1211"/>
    </row>
    <row r="412" ht="26.25" customHeight="1">
      <c r="A412" s="1208" t="s">
        <v>6079</v>
      </c>
      <c r="B412" s="1209">
        <v>3.174357063E9</v>
      </c>
      <c r="C412" s="1209"/>
      <c r="D412" s="1210" t="s">
        <v>5270</v>
      </c>
      <c r="E412" s="1210" t="s">
        <v>6080</v>
      </c>
      <c r="F412" s="1211"/>
      <c r="G412" s="1211"/>
    </row>
    <row r="413" ht="26.25" customHeight="1">
      <c r="A413" s="1208" t="s">
        <v>6081</v>
      </c>
      <c r="B413" s="1209">
        <v>3.104741933E9</v>
      </c>
      <c r="C413" s="1209"/>
      <c r="D413" s="1210" t="s">
        <v>6082</v>
      </c>
      <c r="E413" s="1210" t="s">
        <v>6083</v>
      </c>
      <c r="F413" s="1211"/>
      <c r="G413" s="1211"/>
    </row>
    <row r="414" ht="26.25" customHeight="1">
      <c r="A414" s="1256" t="s">
        <v>6084</v>
      </c>
      <c r="B414" s="1257">
        <v>3.104741933E9</v>
      </c>
      <c r="C414" s="1257"/>
      <c r="D414" s="1222" t="s">
        <v>6085</v>
      </c>
      <c r="E414" s="1222" t="s">
        <v>6086</v>
      </c>
      <c r="F414" s="1211"/>
      <c r="G414" s="1211"/>
    </row>
    <row r="415" ht="26.25" customHeight="1">
      <c r="A415" s="1253" t="s">
        <v>6087</v>
      </c>
      <c r="B415" s="1213">
        <v>3.166223506E9</v>
      </c>
      <c r="C415" s="1213"/>
      <c r="D415" s="1211" t="s">
        <v>6088</v>
      </c>
      <c r="E415" s="312" t="s">
        <v>6089</v>
      </c>
      <c r="F415" s="1211"/>
      <c r="G415" s="1211"/>
    </row>
    <row r="416" ht="26.25" customHeight="1">
      <c r="A416" s="1253" t="s">
        <v>6090</v>
      </c>
      <c r="B416" s="1213">
        <v>3.185435041E9</v>
      </c>
      <c r="C416" s="1213"/>
      <c r="D416" s="1211" t="s">
        <v>6091</v>
      </c>
      <c r="E416" s="1211" t="s">
        <v>6092</v>
      </c>
      <c r="F416" s="1211"/>
      <c r="G416" s="1211"/>
    </row>
    <row r="417" ht="26.25" customHeight="1">
      <c r="A417" s="1258" t="s">
        <v>6093</v>
      </c>
      <c r="B417" s="1251">
        <v>3.162741702E9</v>
      </c>
      <c r="C417" s="1251"/>
      <c r="D417" s="1207" t="s">
        <v>6094</v>
      </c>
      <c r="E417" s="1207" t="s">
        <v>6095</v>
      </c>
      <c r="F417" s="1211"/>
      <c r="G417" s="1211"/>
    </row>
    <row r="418" ht="26.25" customHeight="1">
      <c r="A418" s="1253" t="s">
        <v>6096</v>
      </c>
      <c r="B418" s="1213">
        <v>3.185435041E9</v>
      </c>
      <c r="C418" s="1213"/>
      <c r="D418" s="1211" t="s">
        <v>6097</v>
      </c>
      <c r="E418" s="1211" t="s">
        <v>6098</v>
      </c>
      <c r="F418" s="1211"/>
      <c r="G418" s="1211"/>
    </row>
    <row r="419" ht="26.25" customHeight="1">
      <c r="A419" s="1253" t="s">
        <v>6099</v>
      </c>
      <c r="B419" s="1213">
        <v>3.106441959E9</v>
      </c>
      <c r="C419" s="1213"/>
      <c r="D419" s="1211" t="s">
        <v>6100</v>
      </c>
      <c r="E419" s="1211" t="s">
        <v>6101</v>
      </c>
      <c r="F419" s="1211"/>
      <c r="G419" s="1211"/>
    </row>
    <row r="420" ht="26.25" customHeight="1">
      <c r="A420" s="1258" t="s">
        <v>6102</v>
      </c>
      <c r="B420" s="1251">
        <v>3.12309016E9</v>
      </c>
      <c r="C420" s="1251"/>
      <c r="D420" s="1207" t="s">
        <v>6103</v>
      </c>
      <c r="E420" s="1207" t="s">
        <v>6104</v>
      </c>
      <c r="F420" s="1211"/>
      <c r="G420" s="1211"/>
    </row>
    <row r="421" ht="26.25" customHeight="1">
      <c r="A421" s="1253" t="s">
        <v>6105</v>
      </c>
      <c r="B421" s="1213">
        <v>3.148331477E9</v>
      </c>
      <c r="C421" s="1213"/>
      <c r="D421" s="1211" t="s">
        <v>6106</v>
      </c>
      <c r="E421" s="1211" t="s">
        <v>6107</v>
      </c>
      <c r="F421" s="1211"/>
      <c r="G421" s="1211"/>
    </row>
    <row r="422" ht="26.25" customHeight="1">
      <c r="A422" s="1259" t="s">
        <v>6108</v>
      </c>
      <c r="B422" s="1252">
        <v>3.102741079E9</v>
      </c>
      <c r="C422" s="1252"/>
      <c r="D422" s="1217" t="s">
        <v>6109</v>
      </c>
      <c r="E422" s="1217" t="s">
        <v>6110</v>
      </c>
      <c r="F422" s="1211"/>
      <c r="G422" s="1211"/>
    </row>
    <row r="423" ht="26.25" customHeight="1">
      <c r="A423" s="1253" t="s">
        <v>6111</v>
      </c>
      <c r="B423" s="1213">
        <v>3.216040992E9</v>
      </c>
      <c r="D423" s="1213" t="s">
        <v>6112</v>
      </c>
      <c r="E423" s="1211" t="s">
        <v>6113</v>
      </c>
      <c r="F423" s="1211"/>
      <c r="G423" s="1211"/>
    </row>
    <row r="424" ht="26.25" customHeight="1">
      <c r="A424" s="1253" t="s">
        <v>6114</v>
      </c>
      <c r="B424" s="1213">
        <v>3.106615147E9</v>
      </c>
      <c r="C424" s="1213"/>
      <c r="D424" s="1211" t="s">
        <v>6115</v>
      </c>
      <c r="E424" s="1211" t="s">
        <v>6116</v>
      </c>
      <c r="F424" s="1211"/>
      <c r="G424" s="1211"/>
    </row>
    <row r="425" ht="26.25" customHeight="1">
      <c r="A425" s="1253" t="s">
        <v>6117</v>
      </c>
      <c r="B425" s="1213">
        <v>3.173602985E9</v>
      </c>
      <c r="C425" s="1213"/>
      <c r="D425" s="1211" t="s">
        <v>6118</v>
      </c>
      <c r="E425" s="1211" t="s">
        <v>6119</v>
      </c>
      <c r="F425" s="1211"/>
      <c r="G425" s="1211"/>
    </row>
    <row r="426" ht="26.25" customHeight="1">
      <c r="A426" s="1256" t="s">
        <v>6120</v>
      </c>
      <c r="B426" s="1251">
        <v>3.012055262E9</v>
      </c>
      <c r="C426" s="1251"/>
      <c r="D426" s="1207" t="s">
        <v>6121</v>
      </c>
      <c r="E426" s="1207" t="s">
        <v>6122</v>
      </c>
      <c r="F426" s="1211"/>
      <c r="G426" s="1211"/>
    </row>
    <row r="427" ht="26.25" customHeight="1">
      <c r="A427" s="1253" t="s">
        <v>6123</v>
      </c>
      <c r="B427" s="1213">
        <v>3.106615147E9</v>
      </c>
      <c r="C427" s="1213"/>
      <c r="D427" s="1211" t="s">
        <v>6124</v>
      </c>
      <c r="E427" s="1211"/>
      <c r="F427" s="1211"/>
      <c r="G427" s="1211"/>
    </row>
    <row r="428" ht="26.25" customHeight="1">
      <c r="A428" s="1253" t="s">
        <v>6125</v>
      </c>
      <c r="B428" s="1213">
        <v>3.18871892E9</v>
      </c>
      <c r="C428" s="1213"/>
      <c r="D428" s="1211" t="s">
        <v>6126</v>
      </c>
      <c r="E428" s="1211" t="s">
        <v>6127</v>
      </c>
      <c r="F428" s="1211"/>
      <c r="G428" s="1211"/>
    </row>
    <row r="429" ht="26.25" customHeight="1">
      <c r="A429" s="1259" t="s">
        <v>6128</v>
      </c>
      <c r="B429" s="1252">
        <v>3.137642035E9</v>
      </c>
      <c r="C429" s="1252"/>
      <c r="D429" s="1217" t="s">
        <v>6129</v>
      </c>
      <c r="E429" s="1217" t="s">
        <v>6130</v>
      </c>
      <c r="F429" s="1211"/>
      <c r="G429" s="1211"/>
    </row>
    <row r="430" ht="26.25" customHeight="1">
      <c r="A430" s="1253" t="s">
        <v>6131</v>
      </c>
      <c r="B430" s="1213">
        <v>3.183270844E9</v>
      </c>
      <c r="C430" s="1213"/>
      <c r="D430" s="1211" t="s">
        <v>6132</v>
      </c>
      <c r="E430" s="1213" t="s">
        <v>328</v>
      </c>
      <c r="F430" s="1211"/>
      <c r="G430" s="1211"/>
    </row>
    <row r="431" ht="26.25" customHeight="1">
      <c r="A431" s="1253" t="s">
        <v>6133</v>
      </c>
      <c r="B431" s="1213">
        <v>3.117745629E9</v>
      </c>
      <c r="C431" s="1213"/>
      <c r="D431" s="1211"/>
      <c r="E431" s="1211"/>
      <c r="F431" s="1211"/>
      <c r="G431" s="1211"/>
    </row>
    <row r="432" ht="26.25" customHeight="1">
      <c r="A432" s="1258" t="s">
        <v>6134</v>
      </c>
      <c r="B432" s="1214">
        <v>3.114061225E9</v>
      </c>
      <c r="C432" s="1214"/>
      <c r="D432" s="1207" t="s">
        <v>6135</v>
      </c>
      <c r="E432" s="1207" t="s">
        <v>6136</v>
      </c>
      <c r="F432" s="1211"/>
      <c r="G432" s="1211"/>
    </row>
    <row r="433" ht="26.25" customHeight="1">
      <c r="A433" s="1256" t="s">
        <v>6137</v>
      </c>
      <c r="B433" s="1214">
        <v>3.224359121E9</v>
      </c>
      <c r="C433" s="1214"/>
      <c r="D433" s="1204" t="s">
        <v>6138</v>
      </c>
      <c r="E433" s="1204" t="s">
        <v>6139</v>
      </c>
      <c r="F433" s="1211"/>
      <c r="G433" s="1211"/>
    </row>
    <row r="434" ht="26.25" customHeight="1">
      <c r="A434" s="1253" t="s">
        <v>6140</v>
      </c>
      <c r="B434" s="1252">
        <v>3.10537757E9</v>
      </c>
      <c r="C434" s="1252"/>
      <c r="D434" s="1211" t="s">
        <v>6141</v>
      </c>
      <c r="E434" s="1229"/>
      <c r="F434" s="1211"/>
      <c r="G434" s="1211"/>
    </row>
    <row r="435" ht="26.25" customHeight="1">
      <c r="A435" s="1253" t="s">
        <v>6142</v>
      </c>
      <c r="B435" s="1213" t="s">
        <v>328</v>
      </c>
      <c r="C435" s="1213"/>
      <c r="D435" s="1211" t="s">
        <v>6143</v>
      </c>
      <c r="E435" s="1211" t="s">
        <v>6144</v>
      </c>
      <c r="F435" s="1211"/>
      <c r="G435" s="1211"/>
    </row>
    <row r="436" ht="26.25" customHeight="1">
      <c r="A436" s="1259" t="s">
        <v>6145</v>
      </c>
      <c r="B436" s="1252">
        <v>3.177632199E9</v>
      </c>
      <c r="C436" s="1252"/>
      <c r="D436" s="1217" t="s">
        <v>6146</v>
      </c>
      <c r="E436" s="1217" t="s">
        <v>6147</v>
      </c>
      <c r="F436" s="1211"/>
      <c r="G436" s="1211"/>
    </row>
    <row r="437" ht="26.25" customHeight="1">
      <c r="A437" s="1253" t="s">
        <v>6148</v>
      </c>
      <c r="B437" s="1213">
        <v>3.162299667E9</v>
      </c>
      <c r="C437" s="1213"/>
      <c r="D437" s="1211" t="s">
        <v>6149</v>
      </c>
      <c r="E437" s="1211" t="s">
        <v>6150</v>
      </c>
      <c r="F437" s="1211"/>
      <c r="G437" s="1211"/>
    </row>
    <row r="438" ht="26.25" customHeight="1">
      <c r="A438" s="1256" t="s">
        <v>6151</v>
      </c>
      <c r="B438" s="1214">
        <v>3.206899286E9</v>
      </c>
      <c r="C438" s="1214"/>
      <c r="D438" s="1204" t="s">
        <v>6152</v>
      </c>
      <c r="E438" s="1204" t="s">
        <v>6153</v>
      </c>
      <c r="F438" s="1211"/>
      <c r="G438" s="1211"/>
    </row>
    <row r="439" ht="26.25" customHeight="1">
      <c r="A439" s="1256" t="s">
        <v>6154</v>
      </c>
      <c r="B439" s="1214">
        <v>3.18325336E8</v>
      </c>
      <c r="C439" s="1214"/>
      <c r="D439" s="1204" t="s">
        <v>6155</v>
      </c>
      <c r="E439" s="1204" t="s">
        <v>6156</v>
      </c>
      <c r="F439" s="1211"/>
      <c r="G439" s="1211"/>
    </row>
    <row r="440" ht="26.25" customHeight="1">
      <c r="A440" s="1253" t="s">
        <v>6157</v>
      </c>
      <c r="B440" s="1213">
        <v>3.143855895E9</v>
      </c>
      <c r="C440" s="1213"/>
      <c r="D440" s="1211" t="s">
        <v>6158</v>
      </c>
      <c r="E440" s="1211" t="s">
        <v>6159</v>
      </c>
      <c r="F440" s="1211"/>
      <c r="G440" s="1211"/>
    </row>
    <row r="441" ht="26.25" customHeight="1">
      <c r="A441" s="1258" t="s">
        <v>6160</v>
      </c>
      <c r="B441" s="1251">
        <v>3.002233977E9</v>
      </c>
      <c r="C441" s="1251"/>
      <c r="D441" s="1207" t="s">
        <v>6161</v>
      </c>
      <c r="E441" s="1207" t="s">
        <v>6162</v>
      </c>
      <c r="F441" s="1211"/>
      <c r="G441" s="1211"/>
    </row>
    <row r="442" ht="26.25" customHeight="1">
      <c r="A442" s="1253" t="s">
        <v>6163</v>
      </c>
      <c r="B442" s="1213">
        <v>3.046388941E9</v>
      </c>
      <c r="C442" s="1213"/>
      <c r="D442" s="1211"/>
      <c r="E442" s="1211" t="s">
        <v>6164</v>
      </c>
      <c r="F442" s="1211"/>
      <c r="G442" s="1211"/>
    </row>
    <row r="443" ht="26.25" customHeight="1">
      <c r="A443" s="1253" t="s">
        <v>6165</v>
      </c>
      <c r="B443" s="1213">
        <v>3.217944439E9</v>
      </c>
      <c r="C443" s="1213"/>
      <c r="D443" s="1211" t="s">
        <v>6166</v>
      </c>
      <c r="E443" s="1211" t="s">
        <v>6167</v>
      </c>
      <c r="F443" s="1211"/>
      <c r="G443" s="1211"/>
    </row>
    <row r="444" ht="26.25" customHeight="1">
      <c r="A444" s="1253" t="s">
        <v>6168</v>
      </c>
      <c r="B444" s="1213">
        <v>3.1743638E9</v>
      </c>
      <c r="C444" s="1213"/>
      <c r="D444" s="1211" t="s">
        <v>6169</v>
      </c>
      <c r="E444" s="1211" t="s">
        <v>6170</v>
      </c>
      <c r="F444" s="1211"/>
      <c r="G444" s="1211"/>
    </row>
    <row r="445" ht="26.25" customHeight="1">
      <c r="A445" s="1253" t="s">
        <v>6171</v>
      </c>
      <c r="B445" s="1213">
        <v>3.155057785E9</v>
      </c>
      <c r="C445" s="1213"/>
      <c r="D445" s="1211" t="s">
        <v>6172</v>
      </c>
      <c r="E445" s="1211" t="s">
        <v>6173</v>
      </c>
      <c r="F445" s="1211"/>
      <c r="G445" s="1211"/>
    </row>
    <row r="446" ht="26.25" customHeight="1">
      <c r="A446" s="1253" t="s">
        <v>6174</v>
      </c>
      <c r="B446" s="1213">
        <v>3.136528931E9</v>
      </c>
      <c r="C446" s="1213"/>
      <c r="D446" s="1211" t="s">
        <v>6175</v>
      </c>
      <c r="E446" s="1211" t="s">
        <v>6176</v>
      </c>
      <c r="F446" s="1211"/>
      <c r="G446" s="1211"/>
    </row>
    <row r="447" ht="26.25" customHeight="1">
      <c r="A447" s="1256" t="s">
        <v>6177</v>
      </c>
      <c r="B447" s="1214" t="s">
        <v>6178</v>
      </c>
      <c r="C447" s="1214"/>
      <c r="D447" s="1204" t="s">
        <v>6179</v>
      </c>
      <c r="E447" s="1204" t="s">
        <v>6180</v>
      </c>
      <c r="F447" s="1211"/>
      <c r="G447" s="1211"/>
    </row>
    <row r="448" ht="26.25" customHeight="1">
      <c r="A448" s="1256" t="s">
        <v>6181</v>
      </c>
      <c r="B448" s="1251">
        <v>3.135130997E9</v>
      </c>
      <c r="C448" s="1251"/>
      <c r="D448" s="1207" t="s">
        <v>6182</v>
      </c>
      <c r="E448" s="1207" t="s">
        <v>6183</v>
      </c>
      <c r="F448" s="1211"/>
      <c r="G448" s="1211"/>
    </row>
    <row r="449" ht="26.25" customHeight="1">
      <c r="A449" s="1253" t="s">
        <v>6184</v>
      </c>
      <c r="B449" s="1213">
        <v>3.176658142E9</v>
      </c>
      <c r="C449" s="1213"/>
      <c r="D449" s="1211" t="s">
        <v>6185</v>
      </c>
      <c r="E449" s="1211" t="s">
        <v>6186</v>
      </c>
      <c r="F449" s="1211"/>
      <c r="G449" s="1211"/>
    </row>
    <row r="450" ht="26.25" customHeight="1">
      <c r="A450" s="1256" t="s">
        <v>6187</v>
      </c>
      <c r="B450" s="1257">
        <v>3.182912967E9</v>
      </c>
      <c r="C450" s="1257"/>
      <c r="D450" s="1222" t="s">
        <v>6188</v>
      </c>
      <c r="E450" s="1222" t="s">
        <v>6189</v>
      </c>
      <c r="F450" s="1211"/>
      <c r="G450" s="1211"/>
    </row>
    <row r="451" ht="26.25" customHeight="1">
      <c r="A451" s="1253" t="s">
        <v>6190</v>
      </c>
      <c r="B451" s="1213">
        <v>3.057978988E9</v>
      </c>
      <c r="C451" s="1213"/>
      <c r="D451" s="1211" t="s">
        <v>6191</v>
      </c>
      <c r="E451" s="1211" t="s">
        <v>6192</v>
      </c>
      <c r="F451" s="1211"/>
      <c r="G451" s="1211"/>
    </row>
    <row r="452" ht="26.25" customHeight="1">
      <c r="A452" s="1253" t="s">
        <v>6193</v>
      </c>
      <c r="B452" s="1213">
        <v>3.136557335E9</v>
      </c>
      <c r="C452" s="1213"/>
      <c r="D452" s="1211" t="s">
        <v>6194</v>
      </c>
      <c r="E452" s="1211" t="s">
        <v>6195</v>
      </c>
      <c r="F452" s="1211"/>
      <c r="G452" s="1211"/>
    </row>
    <row r="453" ht="26.25" customHeight="1">
      <c r="A453" s="1253" t="s">
        <v>6196</v>
      </c>
      <c r="B453" s="1213">
        <v>3.235253476E9</v>
      </c>
      <c r="C453" s="1213"/>
      <c r="D453" s="1211" t="s">
        <v>6197</v>
      </c>
      <c r="E453" s="1211" t="s">
        <v>6198</v>
      </c>
      <c r="F453" s="1211"/>
      <c r="G453" s="1211"/>
    </row>
    <row r="454" ht="26.25" customHeight="1">
      <c r="A454" s="1253" t="s">
        <v>6199</v>
      </c>
      <c r="B454" s="1213">
        <v>3.188070952E9</v>
      </c>
      <c r="C454" s="1213"/>
      <c r="D454" s="1211" t="s">
        <v>6200</v>
      </c>
      <c r="E454" s="1211" t="s">
        <v>6201</v>
      </c>
      <c r="F454" s="1211"/>
      <c r="G454" s="1211"/>
    </row>
    <row r="455" ht="26.25" customHeight="1">
      <c r="A455" s="1253" t="s">
        <v>6202</v>
      </c>
      <c r="B455" s="1213">
        <v>3.23351747E9</v>
      </c>
      <c r="C455" s="1213"/>
      <c r="D455" s="1211" t="s">
        <v>6203</v>
      </c>
      <c r="E455" s="1211" t="s">
        <v>6204</v>
      </c>
      <c r="F455" s="1211"/>
      <c r="G455" s="1211"/>
    </row>
    <row r="456" ht="26.25" customHeight="1">
      <c r="A456" s="1253" t="s">
        <v>6205</v>
      </c>
      <c r="B456" s="1213">
        <v>3.117567666E9</v>
      </c>
      <c r="C456" s="1213"/>
      <c r="D456" s="1211" t="s">
        <v>6206</v>
      </c>
      <c r="E456" s="1211" t="s">
        <v>6207</v>
      </c>
      <c r="F456" s="1211"/>
      <c r="G456" s="1211"/>
    </row>
    <row r="457" ht="26.25" customHeight="1">
      <c r="A457" s="1253" t="s">
        <v>6208</v>
      </c>
      <c r="B457" s="1213">
        <v>3.216211625E9</v>
      </c>
      <c r="C457" s="1213"/>
      <c r="D457" s="1211" t="s">
        <v>6209</v>
      </c>
      <c r="E457" s="1211" t="s">
        <v>6210</v>
      </c>
      <c r="F457" s="1211"/>
      <c r="G457" s="1211"/>
    </row>
    <row r="458" ht="26.25" customHeight="1">
      <c r="A458" s="1253" t="s">
        <v>6211</v>
      </c>
      <c r="B458" s="1213">
        <v>3.037900079E9</v>
      </c>
      <c r="C458" s="1213"/>
      <c r="D458" s="1211" t="s">
        <v>6212</v>
      </c>
      <c r="E458" s="1211" t="s">
        <v>6213</v>
      </c>
      <c r="F458" s="1211"/>
      <c r="G458" s="1211"/>
    </row>
    <row r="459" ht="26.25" customHeight="1">
      <c r="A459" s="1256" t="s">
        <v>6214</v>
      </c>
      <c r="B459" s="1214">
        <v>3.205677467E9</v>
      </c>
      <c r="C459" s="1214"/>
      <c r="D459" s="1207"/>
      <c r="E459" s="1204" t="s">
        <v>6215</v>
      </c>
      <c r="F459" s="1211"/>
      <c r="G459" s="1211"/>
    </row>
    <row r="460" ht="26.25" customHeight="1">
      <c r="A460" s="1253" t="s">
        <v>6216</v>
      </c>
      <c r="B460" s="1213">
        <v>3.177032208E9</v>
      </c>
      <c r="C460" s="1213"/>
      <c r="D460" s="1211" t="s">
        <v>6217</v>
      </c>
      <c r="E460" s="1211" t="s">
        <v>6218</v>
      </c>
      <c r="F460" s="1211"/>
      <c r="G460" s="1211"/>
    </row>
    <row r="461" ht="26.25" customHeight="1">
      <c r="A461" s="1253" t="s">
        <v>6219</v>
      </c>
      <c r="B461" s="1213">
        <v>3.165354477E9</v>
      </c>
      <c r="C461" s="1213"/>
      <c r="D461" s="1211" t="s">
        <v>6220</v>
      </c>
      <c r="E461" s="1211" t="s">
        <v>6221</v>
      </c>
      <c r="F461" s="1211"/>
      <c r="G461" s="1211"/>
    </row>
    <row r="462" ht="26.25" customHeight="1">
      <c r="A462" s="1253" t="s">
        <v>6222</v>
      </c>
      <c r="B462" s="1213" t="s">
        <v>6223</v>
      </c>
      <c r="C462" s="1213"/>
      <c r="D462" s="1211" t="s">
        <v>6224</v>
      </c>
      <c r="E462" s="1211" t="s">
        <v>6225</v>
      </c>
      <c r="F462" s="1211"/>
      <c r="G462" s="1211"/>
    </row>
    <row r="463" ht="26.25" customHeight="1">
      <c r="A463" s="1259" t="s">
        <v>6226</v>
      </c>
      <c r="B463" s="1252" t="s">
        <v>6227</v>
      </c>
      <c r="C463" s="1252"/>
      <c r="D463" s="1217" t="s">
        <v>6228</v>
      </c>
      <c r="E463" s="1217" t="s">
        <v>6229</v>
      </c>
      <c r="F463" s="1211"/>
      <c r="G463" s="1211"/>
    </row>
    <row r="464" ht="26.25" customHeight="1">
      <c r="A464" s="1253" t="s">
        <v>6230</v>
      </c>
      <c r="B464" s="1213">
        <v>3.023362513E9</v>
      </c>
      <c r="C464" s="1213"/>
      <c r="D464" s="1211" t="s">
        <v>6231</v>
      </c>
      <c r="E464" s="1211" t="s">
        <v>6232</v>
      </c>
      <c r="F464" s="1211"/>
      <c r="G464" s="1211"/>
    </row>
    <row r="465" ht="26.25" customHeight="1">
      <c r="A465" s="1253" t="s">
        <v>6233</v>
      </c>
      <c r="B465" s="1213">
        <v>3.164923046E9</v>
      </c>
      <c r="C465" s="1213"/>
      <c r="D465" s="1211" t="s">
        <v>6234</v>
      </c>
      <c r="E465" s="1211" t="s">
        <v>6235</v>
      </c>
      <c r="F465" s="1211"/>
      <c r="G465" s="1211"/>
    </row>
    <row r="466" ht="26.25" customHeight="1">
      <c r="A466" s="1253" t="s">
        <v>6236</v>
      </c>
      <c r="B466" s="1213">
        <v>3.046731371E9</v>
      </c>
      <c r="C466" s="1213"/>
      <c r="D466" s="1211" t="s">
        <v>6237</v>
      </c>
      <c r="E466" s="1211" t="s">
        <v>6238</v>
      </c>
      <c r="F466" s="1211"/>
      <c r="G466" s="1211"/>
    </row>
    <row r="467" ht="26.25" customHeight="1">
      <c r="A467" s="1253" t="s">
        <v>6239</v>
      </c>
      <c r="B467" s="1213">
        <v>3.173852212E9</v>
      </c>
      <c r="C467" s="1213"/>
      <c r="D467" s="1211" t="s">
        <v>6240</v>
      </c>
      <c r="E467" s="1211" t="s">
        <v>6241</v>
      </c>
      <c r="F467" s="1211"/>
      <c r="G467" s="1211"/>
    </row>
    <row r="468" ht="26.25" customHeight="1">
      <c r="A468" s="1258" t="s">
        <v>6242</v>
      </c>
      <c r="B468" s="1251">
        <v>3.188762881E9</v>
      </c>
      <c r="C468" s="1251"/>
      <c r="D468" s="1207" t="s">
        <v>6243</v>
      </c>
      <c r="E468" s="1207" t="s">
        <v>6244</v>
      </c>
      <c r="F468" s="1211"/>
      <c r="G468" s="1211"/>
    </row>
    <row r="469" ht="26.25" customHeight="1">
      <c r="A469" s="1258" t="s">
        <v>6245</v>
      </c>
      <c r="B469" s="1251">
        <v>3.175860868E9</v>
      </c>
      <c r="C469" s="1251"/>
      <c r="D469" s="1207" t="s">
        <v>6246</v>
      </c>
      <c r="E469" s="1207" t="s">
        <v>6247</v>
      </c>
      <c r="F469" s="1211"/>
      <c r="G469" s="1211"/>
    </row>
    <row r="470" ht="26.25" customHeight="1">
      <c r="A470" s="1253" t="s">
        <v>6248</v>
      </c>
      <c r="B470" s="1213">
        <v>3.003055817E9</v>
      </c>
      <c r="C470" s="1213"/>
      <c r="D470" s="1211" t="s">
        <v>6249</v>
      </c>
      <c r="E470" s="1211" t="s">
        <v>6250</v>
      </c>
      <c r="F470" s="1211"/>
      <c r="G470" s="1211"/>
    </row>
    <row r="471" ht="26.25" customHeight="1">
      <c r="A471" s="1258" t="s">
        <v>6251</v>
      </c>
      <c r="B471" s="1251">
        <v>3.128585221E9</v>
      </c>
      <c r="C471" s="1251"/>
      <c r="D471" s="1207" t="s">
        <v>6252</v>
      </c>
      <c r="E471" s="1207" t="s">
        <v>6253</v>
      </c>
      <c r="F471" s="1211"/>
      <c r="G471" s="1211"/>
    </row>
    <row r="472" ht="26.25" customHeight="1">
      <c r="A472" s="1260" t="s">
        <v>6254</v>
      </c>
      <c r="B472" s="1261"/>
      <c r="C472" s="1261"/>
      <c r="D472" s="1229"/>
      <c r="E472" s="1229"/>
      <c r="F472" s="1211"/>
      <c r="G472" s="1211"/>
    </row>
    <row r="473" ht="26.25" customHeight="1">
      <c r="A473" s="1253" t="s">
        <v>6255</v>
      </c>
      <c r="B473" s="1213">
        <v>3.104322087E9</v>
      </c>
      <c r="C473" s="1213"/>
      <c r="D473" s="1211" t="s">
        <v>6256</v>
      </c>
      <c r="E473" s="1211" t="s">
        <v>6257</v>
      </c>
      <c r="F473" s="1211"/>
      <c r="G473" s="1211"/>
    </row>
    <row r="474" ht="26.25" customHeight="1">
      <c r="A474" s="1256" t="s">
        <v>6258</v>
      </c>
      <c r="B474" s="1251">
        <v>3.136035917E9</v>
      </c>
      <c r="C474" s="1251"/>
      <c r="D474" s="1207" t="s">
        <v>6259</v>
      </c>
      <c r="E474" s="1207" t="s">
        <v>6260</v>
      </c>
      <c r="F474" s="1211"/>
      <c r="G474" s="1211"/>
    </row>
    <row r="475" ht="26.25" customHeight="1">
      <c r="A475" s="1253" t="s">
        <v>6261</v>
      </c>
      <c r="B475" s="1213">
        <v>3.217789673E9</v>
      </c>
      <c r="C475" s="1213"/>
      <c r="D475" s="1211" t="s">
        <v>6262</v>
      </c>
      <c r="E475" s="1211"/>
      <c r="F475" s="1211"/>
      <c r="G475" s="1211"/>
    </row>
    <row r="476" ht="26.25" customHeight="1">
      <c r="A476" s="1253" t="s">
        <v>6263</v>
      </c>
      <c r="B476" s="1213">
        <v>3.174668987E9</v>
      </c>
      <c r="C476" s="1213"/>
      <c r="D476" s="1211" t="s">
        <v>6264</v>
      </c>
      <c r="E476" s="1211" t="s">
        <v>6265</v>
      </c>
      <c r="F476" s="1211"/>
      <c r="G476" s="1211"/>
    </row>
    <row r="477" ht="26.25" customHeight="1">
      <c r="A477" s="1253" t="s">
        <v>6266</v>
      </c>
      <c r="B477" s="1213">
        <v>3.01214129E9</v>
      </c>
      <c r="C477" s="1213"/>
      <c r="D477" s="1211" t="s">
        <v>6267</v>
      </c>
      <c r="E477" s="1211" t="s">
        <v>6268</v>
      </c>
      <c r="F477" s="1211"/>
      <c r="G477" s="1211"/>
    </row>
    <row r="478" ht="26.25" customHeight="1">
      <c r="A478" s="1253" t="s">
        <v>6269</v>
      </c>
      <c r="B478" s="1213">
        <v>3.155263448E9</v>
      </c>
      <c r="C478" s="1213"/>
      <c r="D478" s="1211"/>
      <c r="E478" s="1211" t="s">
        <v>6270</v>
      </c>
      <c r="F478" s="1211"/>
      <c r="G478" s="1211"/>
    </row>
    <row r="479" ht="26.25" customHeight="1">
      <c r="A479" s="1258" t="s">
        <v>6271</v>
      </c>
      <c r="B479" s="1251">
        <v>3.187827342E9</v>
      </c>
      <c r="C479" s="1251"/>
      <c r="D479" s="1207" t="s">
        <v>6272</v>
      </c>
      <c r="E479" s="1207" t="s">
        <v>6273</v>
      </c>
      <c r="F479" s="1211"/>
      <c r="G479" s="1211"/>
    </row>
    <row r="480" ht="26.25" customHeight="1">
      <c r="A480" s="1253" t="s">
        <v>6274</v>
      </c>
      <c r="B480" s="1213">
        <v>3.234986571E9</v>
      </c>
      <c r="C480" s="1213"/>
      <c r="D480" s="1211" t="s">
        <v>6275</v>
      </c>
      <c r="E480" s="1211" t="s">
        <v>6276</v>
      </c>
      <c r="F480" s="1211"/>
      <c r="G480" s="1211"/>
    </row>
    <row r="481" ht="26.25" customHeight="1">
      <c r="A481" s="1253" t="s">
        <v>6277</v>
      </c>
      <c r="B481" s="1213">
        <v>3.104057945E9</v>
      </c>
      <c r="C481" s="1213"/>
      <c r="D481" s="1211"/>
      <c r="E481" s="1211"/>
      <c r="F481" s="1211"/>
      <c r="G481" s="1211"/>
    </row>
    <row r="482" ht="26.25" customHeight="1">
      <c r="A482" s="1262" t="s">
        <v>6278</v>
      </c>
      <c r="B482" s="1252">
        <v>3.057755183E9</v>
      </c>
      <c r="C482" s="1252"/>
      <c r="D482" s="1217" t="s">
        <v>6279</v>
      </c>
      <c r="E482" s="1217" t="s">
        <v>6280</v>
      </c>
      <c r="F482" s="1211"/>
      <c r="G482" s="1211"/>
    </row>
    <row r="483" ht="26.25" customHeight="1">
      <c r="A483" s="1253" t="s">
        <v>6281</v>
      </c>
      <c r="B483" s="1213" t="s">
        <v>6282</v>
      </c>
      <c r="C483" s="1213"/>
      <c r="D483" s="1211" t="s">
        <v>6283</v>
      </c>
      <c r="E483" s="1211" t="s">
        <v>6284</v>
      </c>
      <c r="F483" s="1211"/>
      <c r="G483" s="1211"/>
    </row>
    <row r="484" ht="26.25" customHeight="1">
      <c r="A484" s="1253" t="s">
        <v>6285</v>
      </c>
      <c r="B484" s="1213">
        <v>3.11792445E9</v>
      </c>
      <c r="C484" s="1213"/>
      <c r="D484" s="1211" t="s">
        <v>6286</v>
      </c>
      <c r="E484" s="1211" t="s">
        <v>6287</v>
      </c>
      <c r="F484" s="1211"/>
      <c r="G484" s="1211"/>
    </row>
    <row r="485" ht="26.25" customHeight="1">
      <c r="A485" s="1253" t="s">
        <v>6288</v>
      </c>
      <c r="B485" s="1213">
        <v>3.155118574E9</v>
      </c>
      <c r="C485" s="1213"/>
      <c r="D485" s="1211" t="s">
        <v>6289</v>
      </c>
      <c r="E485" s="1211" t="s">
        <v>6290</v>
      </c>
      <c r="F485" s="1211"/>
      <c r="G485" s="1211"/>
    </row>
    <row r="486" ht="26.25" customHeight="1">
      <c r="A486" s="1259" t="s">
        <v>6291</v>
      </c>
      <c r="B486" s="1252">
        <v>3.234647194E9</v>
      </c>
      <c r="C486" s="1252"/>
      <c r="D486" s="1217" t="s">
        <v>6292</v>
      </c>
      <c r="E486" s="1217" t="s">
        <v>6293</v>
      </c>
      <c r="F486" s="1211"/>
      <c r="G486" s="1211"/>
    </row>
    <row r="487" ht="26.25" customHeight="1">
      <c r="A487" s="1259" t="s">
        <v>6294</v>
      </c>
      <c r="B487" s="1252">
        <v>3.216736751E9</v>
      </c>
      <c r="C487" s="1252"/>
      <c r="D487" s="1217" t="s">
        <v>6295</v>
      </c>
      <c r="E487" s="1217" t="s">
        <v>6296</v>
      </c>
      <c r="F487" s="1211"/>
      <c r="G487" s="1211"/>
    </row>
    <row r="488" ht="26.25" customHeight="1">
      <c r="A488" s="1253"/>
      <c r="B488" s="1213"/>
      <c r="C488" s="1213"/>
      <c r="D488" s="1211"/>
      <c r="E488" s="1211"/>
      <c r="F488" s="1211"/>
      <c r="G488" s="1211"/>
    </row>
    <row r="489" ht="26.25" customHeight="1">
      <c r="A489" s="1253"/>
      <c r="B489" s="1213"/>
      <c r="C489" s="1213"/>
      <c r="D489" s="1211"/>
      <c r="E489" s="1211"/>
      <c r="F489" s="1211"/>
      <c r="G489" s="1211"/>
    </row>
    <row r="490" ht="26.25" customHeight="1">
      <c r="A490" s="1253"/>
      <c r="B490" s="1213"/>
      <c r="C490" s="1213"/>
      <c r="D490" s="1211"/>
      <c r="E490" s="1211"/>
      <c r="F490" s="1211"/>
      <c r="G490" s="1211"/>
    </row>
    <row r="491" ht="26.25" customHeight="1">
      <c r="A491" s="1253"/>
      <c r="B491" s="1213"/>
      <c r="C491" s="1213"/>
      <c r="D491" s="1211"/>
      <c r="E491" s="1211"/>
      <c r="F491" s="1211"/>
      <c r="G491" s="1211"/>
    </row>
    <row r="492" ht="26.25" customHeight="1">
      <c r="A492" s="1253"/>
      <c r="B492" s="1213"/>
      <c r="C492" s="1213"/>
      <c r="D492" s="1211"/>
      <c r="E492" s="1211"/>
      <c r="F492" s="1211"/>
      <c r="G492" s="1211"/>
    </row>
    <row r="493" ht="26.25" customHeight="1">
      <c r="A493" s="1253"/>
      <c r="B493" s="1213"/>
      <c r="C493" s="1213"/>
      <c r="D493" s="1211"/>
      <c r="E493" s="1211"/>
      <c r="F493" s="1211"/>
      <c r="G493" s="1211"/>
    </row>
    <row r="494" ht="26.25" customHeight="1">
      <c r="A494" s="1253"/>
      <c r="B494" s="1213"/>
      <c r="C494" s="1213"/>
      <c r="D494" s="1211"/>
      <c r="E494" s="1211"/>
      <c r="F494" s="1211"/>
      <c r="G494" s="1211"/>
    </row>
    <row r="495" ht="26.25" customHeight="1">
      <c r="A495" s="1253"/>
      <c r="B495" s="1213"/>
      <c r="C495" s="1213"/>
      <c r="D495" s="1211"/>
      <c r="E495" s="1211"/>
      <c r="F495" s="1211"/>
      <c r="G495" s="1211"/>
    </row>
    <row r="496" ht="26.25" customHeight="1">
      <c r="A496" s="1253"/>
      <c r="B496" s="1213"/>
      <c r="C496" s="1213"/>
      <c r="D496" s="1211"/>
      <c r="E496" s="1211"/>
      <c r="F496" s="1211"/>
      <c r="G496" s="1211"/>
    </row>
    <row r="497" ht="26.25" customHeight="1">
      <c r="A497" s="1253"/>
      <c r="B497" s="1213"/>
      <c r="C497" s="1213"/>
      <c r="D497" s="1211"/>
      <c r="E497" s="1211"/>
      <c r="F497" s="1211"/>
      <c r="G497" s="1211"/>
    </row>
    <row r="498" ht="26.25" customHeight="1">
      <c r="A498" s="1253"/>
      <c r="B498" s="1213"/>
      <c r="C498" s="1213"/>
      <c r="D498" s="1211"/>
      <c r="E498" s="1211"/>
      <c r="F498" s="1211"/>
      <c r="G498" s="1211"/>
    </row>
    <row r="499" ht="26.25" customHeight="1">
      <c r="A499" s="1253"/>
      <c r="B499" s="1213"/>
      <c r="C499" s="1213"/>
      <c r="D499" s="1211"/>
      <c r="E499" s="1211"/>
      <c r="F499" s="1211"/>
      <c r="G499" s="1211"/>
    </row>
    <row r="500" ht="26.25" customHeight="1">
      <c r="A500" s="1253"/>
      <c r="B500" s="1213"/>
      <c r="C500" s="1213"/>
      <c r="D500" s="1211"/>
      <c r="E500" s="1211"/>
      <c r="F500" s="1211"/>
      <c r="G500" s="1211"/>
    </row>
    <row r="501" ht="26.25" customHeight="1">
      <c r="A501" s="1253"/>
      <c r="B501" s="1213"/>
      <c r="C501" s="1213"/>
      <c r="D501" s="1211"/>
      <c r="E501" s="1211"/>
      <c r="F501" s="1211"/>
      <c r="G501" s="1211"/>
    </row>
    <row r="502" ht="26.25" customHeight="1">
      <c r="A502" s="1253"/>
      <c r="B502" s="1213"/>
      <c r="C502" s="1213"/>
      <c r="D502" s="1211"/>
      <c r="E502" s="1211"/>
      <c r="F502" s="1211"/>
      <c r="G502" s="1211"/>
    </row>
    <row r="503" ht="26.25" customHeight="1">
      <c r="A503" s="1253"/>
      <c r="B503" s="1213"/>
      <c r="C503" s="1213"/>
      <c r="D503" s="1211"/>
      <c r="E503" s="1211"/>
      <c r="F503" s="1211"/>
      <c r="G503" s="1211"/>
    </row>
    <row r="504" ht="26.25" customHeight="1">
      <c r="A504" s="1253"/>
      <c r="B504" s="1213"/>
      <c r="C504" s="1213"/>
      <c r="D504" s="1211"/>
      <c r="E504" s="1211"/>
      <c r="F504" s="1211"/>
      <c r="G504" s="1211"/>
    </row>
    <row r="505" ht="26.25" customHeight="1">
      <c r="A505" s="1253"/>
      <c r="B505" s="1213"/>
      <c r="C505" s="1213"/>
      <c r="D505" s="1211"/>
      <c r="E505" s="1211"/>
      <c r="F505" s="1211"/>
      <c r="G505" s="1211"/>
    </row>
    <row r="506" ht="26.25" customHeight="1">
      <c r="A506" s="1253"/>
      <c r="B506" s="1213"/>
      <c r="C506" s="1213"/>
      <c r="D506" s="1211"/>
      <c r="E506" s="1211"/>
      <c r="F506" s="1211"/>
      <c r="G506" s="1211"/>
    </row>
    <row r="507" ht="26.25" customHeight="1">
      <c r="A507" s="1253"/>
      <c r="B507" s="1213"/>
      <c r="C507" s="1213"/>
      <c r="D507" s="1211"/>
      <c r="E507" s="1211"/>
      <c r="F507" s="1211"/>
      <c r="G507" s="1211"/>
    </row>
    <row r="508" ht="26.25" customHeight="1">
      <c r="A508" s="1253"/>
      <c r="B508" s="1213"/>
      <c r="C508" s="1213"/>
      <c r="D508" s="1211"/>
      <c r="E508" s="1211"/>
      <c r="F508" s="1211"/>
      <c r="G508" s="1211"/>
    </row>
    <row r="509" ht="26.25" customHeight="1">
      <c r="A509" s="1253"/>
      <c r="B509" s="1213"/>
      <c r="C509" s="1213"/>
      <c r="D509" s="1211"/>
      <c r="E509" s="1211"/>
      <c r="F509" s="1211"/>
      <c r="G509" s="1211"/>
    </row>
    <row r="510" ht="26.25" customHeight="1">
      <c r="A510" s="1253"/>
      <c r="B510" s="1213"/>
      <c r="C510" s="1213"/>
      <c r="D510" s="1211"/>
      <c r="E510" s="1211"/>
      <c r="F510" s="1211"/>
      <c r="G510" s="1211"/>
    </row>
    <row r="511" ht="26.25" customHeight="1">
      <c r="A511" s="1253"/>
      <c r="B511" s="1213"/>
      <c r="C511" s="1213"/>
      <c r="D511" s="1211"/>
      <c r="E511" s="1211"/>
      <c r="F511" s="1211"/>
      <c r="G511" s="1211"/>
    </row>
    <row r="512" ht="26.25" customHeight="1">
      <c r="A512" s="1253"/>
      <c r="B512" s="1213"/>
      <c r="C512" s="1213"/>
      <c r="D512" s="1211"/>
      <c r="E512" s="1211"/>
      <c r="F512" s="1211"/>
      <c r="G512" s="1211"/>
    </row>
    <row r="513" ht="26.25" customHeight="1">
      <c r="A513" s="1253"/>
      <c r="B513" s="1213"/>
      <c r="C513" s="1213"/>
      <c r="D513" s="1211"/>
      <c r="E513" s="1211"/>
      <c r="F513" s="1211"/>
      <c r="G513" s="1211"/>
    </row>
    <row r="514" ht="26.25" customHeight="1">
      <c r="A514" s="1253"/>
      <c r="B514" s="1213"/>
      <c r="C514" s="1213"/>
      <c r="D514" s="1211"/>
      <c r="E514" s="1211"/>
      <c r="F514" s="1211"/>
      <c r="G514" s="1211"/>
    </row>
    <row r="515" ht="26.25" customHeight="1">
      <c r="A515" s="1253"/>
      <c r="B515" s="1213"/>
      <c r="C515" s="1213"/>
      <c r="D515" s="1211"/>
      <c r="E515" s="1211"/>
      <c r="F515" s="1211"/>
      <c r="G515" s="1211"/>
    </row>
    <row r="516" ht="26.25" customHeight="1">
      <c r="A516" s="1253"/>
      <c r="B516" s="1213"/>
      <c r="C516" s="1213"/>
      <c r="D516" s="1211"/>
      <c r="E516" s="1211"/>
      <c r="F516" s="1211"/>
      <c r="G516" s="1211"/>
    </row>
    <row r="517" ht="26.25" customHeight="1">
      <c r="A517" s="1253"/>
      <c r="B517" s="1213"/>
      <c r="C517" s="1213"/>
      <c r="D517" s="1211"/>
      <c r="E517" s="1211"/>
      <c r="F517" s="1211"/>
      <c r="G517" s="1211"/>
    </row>
    <row r="518" ht="26.25" customHeight="1">
      <c r="A518" s="1253"/>
      <c r="B518" s="1213"/>
      <c r="C518" s="1213"/>
      <c r="D518" s="1211"/>
      <c r="E518" s="1211"/>
      <c r="F518" s="1211"/>
      <c r="G518" s="1211"/>
    </row>
    <row r="519" ht="26.25" customHeight="1">
      <c r="A519" s="1253"/>
      <c r="B519" s="1213"/>
      <c r="C519" s="1213"/>
      <c r="D519" s="1211"/>
      <c r="E519" s="1211"/>
      <c r="F519" s="1211"/>
      <c r="G519" s="1211"/>
    </row>
    <row r="520" ht="26.25" customHeight="1">
      <c r="A520" s="1253"/>
      <c r="B520" s="1213"/>
      <c r="C520" s="1213"/>
      <c r="D520" s="1211"/>
      <c r="E520" s="1211"/>
      <c r="F520" s="1211"/>
      <c r="G520" s="1211"/>
    </row>
    <row r="521" ht="26.25" customHeight="1">
      <c r="A521" s="1253"/>
      <c r="B521" s="1213"/>
      <c r="C521" s="1213"/>
      <c r="D521" s="1211"/>
      <c r="E521" s="1211"/>
      <c r="F521" s="1211"/>
      <c r="G521" s="1211"/>
    </row>
    <row r="522" ht="26.25" customHeight="1">
      <c r="A522" s="1253"/>
      <c r="B522" s="1213"/>
      <c r="C522" s="1213"/>
      <c r="D522" s="1211"/>
      <c r="E522" s="1211"/>
      <c r="F522" s="1211"/>
      <c r="G522" s="1211"/>
    </row>
    <row r="523" ht="26.25" customHeight="1">
      <c r="A523" s="1253"/>
      <c r="B523" s="1213"/>
      <c r="C523" s="1213"/>
      <c r="D523" s="1211"/>
      <c r="E523" s="1211"/>
      <c r="F523" s="1211"/>
      <c r="G523" s="1211"/>
    </row>
    <row r="524" ht="26.25" customHeight="1">
      <c r="A524" s="1253"/>
      <c r="B524" s="1213"/>
      <c r="C524" s="1213"/>
      <c r="D524" s="1211"/>
      <c r="E524" s="1211"/>
      <c r="F524" s="1211"/>
      <c r="G524" s="1211"/>
    </row>
    <row r="525" ht="26.25" customHeight="1">
      <c r="A525" s="1253"/>
      <c r="B525" s="1213"/>
      <c r="C525" s="1213"/>
      <c r="D525" s="1211"/>
      <c r="E525" s="1211"/>
      <c r="F525" s="1211"/>
      <c r="G525" s="1211"/>
    </row>
    <row r="526" ht="26.25" customHeight="1">
      <c r="A526" s="1253"/>
      <c r="B526" s="1213"/>
      <c r="C526" s="1213"/>
      <c r="D526" s="1211"/>
      <c r="E526" s="1211"/>
      <c r="F526" s="1211"/>
      <c r="G526" s="1211"/>
    </row>
    <row r="527" ht="26.25" customHeight="1">
      <c r="A527" s="1253"/>
      <c r="B527" s="1213"/>
      <c r="C527" s="1213"/>
      <c r="D527" s="1211"/>
      <c r="E527" s="1211"/>
      <c r="F527" s="1211"/>
      <c r="G527" s="1211"/>
    </row>
    <row r="528" ht="26.25" customHeight="1">
      <c r="A528" s="1253"/>
      <c r="B528" s="1213"/>
      <c r="C528" s="1213"/>
      <c r="D528" s="1211"/>
      <c r="E528" s="1211"/>
      <c r="F528" s="1211"/>
      <c r="G528" s="1211"/>
    </row>
    <row r="529" ht="26.25" customHeight="1">
      <c r="A529" s="1253"/>
      <c r="B529" s="1213"/>
      <c r="C529" s="1213"/>
      <c r="D529" s="1211"/>
      <c r="E529" s="1211"/>
      <c r="F529" s="1211"/>
      <c r="G529" s="1211"/>
    </row>
    <row r="530" ht="26.25" customHeight="1">
      <c r="A530" s="1253"/>
      <c r="B530" s="1213"/>
      <c r="C530" s="1213"/>
      <c r="D530" s="1211"/>
      <c r="E530" s="1211"/>
      <c r="F530" s="1211"/>
      <c r="G530" s="1211"/>
    </row>
    <row r="531" ht="26.25" customHeight="1">
      <c r="A531" s="1253"/>
      <c r="B531" s="1213"/>
      <c r="C531" s="1213"/>
      <c r="D531" s="1211"/>
      <c r="E531" s="1211"/>
      <c r="F531" s="1211"/>
      <c r="G531" s="1211"/>
    </row>
    <row r="532" ht="26.25" customHeight="1">
      <c r="A532" s="1253"/>
      <c r="B532" s="1213"/>
      <c r="C532" s="1213"/>
      <c r="D532" s="1211"/>
      <c r="E532" s="1211"/>
      <c r="F532" s="1211"/>
      <c r="G532" s="1211"/>
    </row>
    <row r="533" ht="26.25" customHeight="1">
      <c r="A533" s="1253"/>
      <c r="B533" s="1213"/>
      <c r="C533" s="1213"/>
      <c r="D533" s="1211"/>
      <c r="E533" s="1211"/>
      <c r="F533" s="1211"/>
      <c r="G533" s="1211"/>
    </row>
    <row r="534" ht="26.25" customHeight="1">
      <c r="A534" s="1253"/>
      <c r="B534" s="1213"/>
      <c r="C534" s="1213"/>
      <c r="D534" s="1211"/>
      <c r="E534" s="1211"/>
      <c r="F534" s="1211"/>
      <c r="G534" s="1211"/>
    </row>
    <row r="535" ht="26.25" customHeight="1">
      <c r="A535" s="1253"/>
      <c r="B535" s="1213"/>
      <c r="C535" s="1213"/>
      <c r="D535" s="1211"/>
      <c r="E535" s="1211"/>
      <c r="F535" s="1211"/>
      <c r="G535" s="1211"/>
    </row>
    <row r="536" ht="26.25" customHeight="1">
      <c r="A536" s="1253"/>
      <c r="B536" s="1213"/>
      <c r="C536" s="1213"/>
      <c r="D536" s="1211"/>
      <c r="E536" s="1211"/>
      <c r="F536" s="1211"/>
      <c r="G536" s="1211"/>
    </row>
    <row r="537" ht="26.25" customHeight="1">
      <c r="A537" s="1253"/>
      <c r="B537" s="1213"/>
      <c r="C537" s="1213"/>
      <c r="D537" s="1211"/>
      <c r="E537" s="1211"/>
      <c r="F537" s="1211"/>
      <c r="G537" s="1211"/>
    </row>
    <row r="538" ht="26.25" customHeight="1">
      <c r="A538" s="1253"/>
      <c r="B538" s="1213"/>
      <c r="C538" s="1213"/>
      <c r="D538" s="1211"/>
      <c r="E538" s="1211"/>
      <c r="F538" s="1211"/>
      <c r="G538" s="1211"/>
    </row>
    <row r="539" ht="26.25" customHeight="1">
      <c r="A539" s="1253"/>
      <c r="B539" s="1213"/>
      <c r="C539" s="1213"/>
      <c r="D539" s="1211"/>
      <c r="E539" s="1211"/>
      <c r="F539" s="1211"/>
      <c r="G539" s="1211"/>
    </row>
    <row r="540" ht="26.25" customHeight="1">
      <c r="A540" s="1253"/>
      <c r="B540" s="1213"/>
      <c r="C540" s="1213"/>
      <c r="D540" s="1211"/>
      <c r="E540" s="1211"/>
      <c r="F540" s="1211"/>
      <c r="G540" s="1211"/>
    </row>
    <row r="541" ht="26.25" customHeight="1">
      <c r="A541" s="1253"/>
      <c r="B541" s="1213"/>
      <c r="C541" s="1213"/>
      <c r="D541" s="1211"/>
      <c r="E541" s="1211"/>
      <c r="F541" s="1211"/>
      <c r="G541" s="1211"/>
    </row>
    <row r="542" ht="26.25" customHeight="1">
      <c r="A542" s="1253"/>
      <c r="B542" s="1213"/>
      <c r="C542" s="1213"/>
      <c r="D542" s="1211"/>
      <c r="E542" s="1211"/>
      <c r="F542" s="1211"/>
      <c r="G542" s="1211"/>
    </row>
    <row r="543" ht="26.25" customHeight="1">
      <c r="A543" s="1253"/>
      <c r="B543" s="1213"/>
      <c r="C543" s="1213"/>
      <c r="D543" s="1211"/>
      <c r="E543" s="1211"/>
      <c r="F543" s="1211"/>
      <c r="G543" s="1211"/>
    </row>
    <row r="544" ht="26.25" customHeight="1">
      <c r="A544" s="1253"/>
      <c r="B544" s="1213"/>
      <c r="C544" s="1213"/>
      <c r="D544" s="1211"/>
      <c r="E544" s="1211"/>
      <c r="F544" s="1211"/>
      <c r="G544" s="1211"/>
    </row>
    <row r="545" ht="26.25" customHeight="1">
      <c r="A545" s="1253"/>
      <c r="B545" s="1213"/>
      <c r="C545" s="1213"/>
      <c r="D545" s="1211"/>
      <c r="E545" s="1211"/>
      <c r="F545" s="1211"/>
      <c r="G545" s="1211"/>
    </row>
    <row r="546" ht="26.25" customHeight="1">
      <c r="A546" s="1253"/>
      <c r="B546" s="1213"/>
      <c r="C546" s="1213"/>
      <c r="D546" s="1211"/>
      <c r="E546" s="1211"/>
      <c r="F546" s="1211"/>
      <c r="G546" s="1211"/>
    </row>
    <row r="547" ht="26.25" customHeight="1">
      <c r="A547" s="1253"/>
      <c r="B547" s="1213"/>
      <c r="C547" s="1213"/>
      <c r="D547" s="1211"/>
      <c r="E547" s="1211"/>
      <c r="F547" s="1211"/>
      <c r="G547" s="1211"/>
    </row>
    <row r="548" ht="26.25" customHeight="1">
      <c r="A548" s="1253"/>
      <c r="B548" s="1213"/>
      <c r="C548" s="1213"/>
      <c r="D548" s="1211"/>
      <c r="E548" s="1211"/>
      <c r="F548" s="1211"/>
      <c r="G548" s="1211"/>
    </row>
    <row r="549" ht="26.25" customHeight="1">
      <c r="A549" s="1253"/>
      <c r="B549" s="1213"/>
      <c r="C549" s="1213"/>
      <c r="D549" s="1211"/>
      <c r="E549" s="1211"/>
      <c r="F549" s="1211"/>
      <c r="G549" s="1211"/>
    </row>
    <row r="550" ht="26.25" customHeight="1">
      <c r="A550" s="1253"/>
      <c r="B550" s="1213"/>
      <c r="C550" s="1213"/>
      <c r="D550" s="1211"/>
      <c r="E550" s="1211"/>
      <c r="F550" s="1211"/>
      <c r="G550" s="1211"/>
    </row>
    <row r="551" ht="26.25" customHeight="1">
      <c r="A551" s="1253"/>
      <c r="B551" s="1213"/>
      <c r="C551" s="1213"/>
      <c r="D551" s="1211"/>
      <c r="E551" s="1211"/>
      <c r="F551" s="1211"/>
      <c r="G551" s="1211"/>
    </row>
    <row r="552" ht="26.25" customHeight="1">
      <c r="A552" s="1253"/>
      <c r="B552" s="1213"/>
      <c r="C552" s="1213"/>
      <c r="D552" s="1211"/>
      <c r="E552" s="1211"/>
      <c r="F552" s="1211"/>
      <c r="G552" s="1211"/>
    </row>
    <row r="553" ht="26.25" customHeight="1">
      <c r="A553" s="1253"/>
      <c r="B553" s="1213"/>
      <c r="C553" s="1213"/>
      <c r="D553" s="1211"/>
      <c r="E553" s="1211"/>
      <c r="F553" s="1211"/>
      <c r="G553" s="1211"/>
    </row>
    <row r="554" ht="26.25" customHeight="1">
      <c r="A554" s="1253"/>
      <c r="B554" s="1213"/>
      <c r="C554" s="1213"/>
      <c r="D554" s="1211"/>
      <c r="E554" s="1211"/>
      <c r="F554" s="1211"/>
      <c r="G554" s="1211"/>
    </row>
    <row r="555" ht="26.25" customHeight="1">
      <c r="A555" s="1253"/>
      <c r="B555" s="1213"/>
      <c r="C555" s="1213"/>
      <c r="D555" s="1211"/>
      <c r="E555" s="1211"/>
      <c r="F555" s="1211"/>
      <c r="G555" s="1211"/>
    </row>
    <row r="556" ht="26.25" customHeight="1">
      <c r="A556" s="1253"/>
      <c r="B556" s="1213"/>
      <c r="C556" s="1213"/>
      <c r="D556" s="1211"/>
      <c r="E556" s="1211"/>
      <c r="F556" s="1211"/>
      <c r="G556" s="1211"/>
    </row>
    <row r="557" ht="26.25" customHeight="1">
      <c r="A557" s="1253"/>
      <c r="B557" s="1213"/>
      <c r="C557" s="1213"/>
      <c r="D557" s="1211"/>
      <c r="E557" s="1211"/>
      <c r="F557" s="1211"/>
      <c r="G557" s="1211"/>
    </row>
    <row r="558" ht="26.25" customHeight="1">
      <c r="A558" s="1253"/>
      <c r="B558" s="1213"/>
      <c r="C558" s="1213"/>
      <c r="D558" s="1211"/>
      <c r="E558" s="1211"/>
      <c r="F558" s="1211"/>
      <c r="G558" s="1211"/>
    </row>
    <row r="559" ht="26.25" customHeight="1">
      <c r="A559" s="1253"/>
      <c r="B559" s="1213"/>
      <c r="C559" s="1213"/>
      <c r="D559" s="1211"/>
      <c r="E559" s="1211"/>
      <c r="F559" s="1211"/>
      <c r="G559" s="1211"/>
    </row>
    <row r="560" ht="26.25" customHeight="1">
      <c r="A560" s="1253"/>
      <c r="B560" s="1213"/>
      <c r="C560" s="1213"/>
      <c r="D560" s="1211"/>
      <c r="E560" s="1211"/>
      <c r="F560" s="1211"/>
      <c r="G560" s="1211"/>
    </row>
    <row r="561" ht="26.25" customHeight="1">
      <c r="A561" s="1253"/>
      <c r="B561" s="1213"/>
      <c r="C561" s="1213"/>
      <c r="D561" s="1211"/>
      <c r="E561" s="1211"/>
      <c r="F561" s="1211"/>
      <c r="G561" s="1211"/>
    </row>
    <row r="562" ht="26.25" customHeight="1">
      <c r="A562" s="1253"/>
      <c r="B562" s="1213"/>
      <c r="C562" s="1213"/>
      <c r="D562" s="1211"/>
      <c r="E562" s="1211"/>
      <c r="F562" s="1211"/>
      <c r="G562" s="1211"/>
    </row>
    <row r="563" ht="26.25" customHeight="1">
      <c r="A563" s="1253"/>
      <c r="B563" s="1213"/>
      <c r="C563" s="1213"/>
      <c r="D563" s="1211"/>
      <c r="E563" s="1211"/>
      <c r="F563" s="1211"/>
      <c r="G563" s="1211"/>
    </row>
    <row r="564" ht="26.25" customHeight="1">
      <c r="A564" s="1253"/>
      <c r="B564" s="1213"/>
      <c r="C564" s="1213"/>
      <c r="D564" s="1211"/>
      <c r="E564" s="1211"/>
      <c r="F564" s="1211"/>
      <c r="G564" s="1211"/>
    </row>
    <row r="565" ht="26.25" customHeight="1">
      <c r="A565" s="1253"/>
      <c r="B565" s="1213"/>
      <c r="C565" s="1213"/>
      <c r="D565" s="1211"/>
      <c r="E565" s="1211"/>
      <c r="F565" s="1211"/>
      <c r="G565" s="1211"/>
    </row>
    <row r="566" ht="26.25" customHeight="1">
      <c r="A566" s="1253"/>
      <c r="B566" s="1213"/>
      <c r="C566" s="1213"/>
      <c r="D566" s="1211"/>
      <c r="E566" s="1211"/>
      <c r="F566" s="1211"/>
      <c r="G566" s="1211"/>
    </row>
    <row r="567" ht="26.25" customHeight="1">
      <c r="A567" s="1253"/>
      <c r="B567" s="1213"/>
      <c r="C567" s="1213"/>
      <c r="D567" s="1211"/>
      <c r="E567" s="1211"/>
      <c r="F567" s="1211"/>
      <c r="G567" s="1211"/>
    </row>
    <row r="568" ht="26.25" customHeight="1">
      <c r="A568" s="1253"/>
      <c r="B568" s="1213"/>
      <c r="C568" s="1213"/>
      <c r="D568" s="1211"/>
      <c r="E568" s="1211"/>
      <c r="F568" s="1211"/>
      <c r="G568" s="1211"/>
    </row>
    <row r="569" ht="26.25" customHeight="1">
      <c r="A569" s="1253"/>
      <c r="B569" s="1213"/>
      <c r="C569" s="1213"/>
      <c r="D569" s="1211"/>
      <c r="E569" s="1211"/>
      <c r="F569" s="1211"/>
      <c r="G569" s="1211"/>
    </row>
    <row r="570" ht="26.25" customHeight="1">
      <c r="A570" s="1253"/>
      <c r="B570" s="1213"/>
      <c r="C570" s="1213"/>
      <c r="D570" s="1211"/>
      <c r="E570" s="1211"/>
      <c r="F570" s="1211"/>
      <c r="G570" s="1211"/>
    </row>
    <row r="571" ht="26.25" customHeight="1">
      <c r="A571" s="1253"/>
      <c r="B571" s="1213"/>
      <c r="C571" s="1213"/>
      <c r="D571" s="1211"/>
      <c r="E571" s="1211"/>
      <c r="F571" s="1211"/>
      <c r="G571" s="1211"/>
    </row>
    <row r="572" ht="26.25" customHeight="1">
      <c r="A572" s="1253"/>
      <c r="B572" s="1213"/>
      <c r="C572" s="1213"/>
      <c r="D572" s="1211"/>
      <c r="E572" s="1211"/>
      <c r="F572" s="1211"/>
      <c r="G572" s="1211"/>
    </row>
    <row r="573" ht="26.25" customHeight="1">
      <c r="A573" s="1253"/>
      <c r="B573" s="1213"/>
      <c r="C573" s="1213"/>
      <c r="D573" s="1211"/>
      <c r="E573" s="1211"/>
      <c r="F573" s="1211"/>
      <c r="G573" s="1211"/>
    </row>
    <row r="574" ht="26.25" customHeight="1">
      <c r="A574" s="1253"/>
      <c r="B574" s="1213"/>
      <c r="C574" s="1213"/>
      <c r="D574" s="1211"/>
      <c r="E574" s="1211"/>
      <c r="F574" s="1211"/>
      <c r="G574" s="1211"/>
    </row>
    <row r="575" ht="26.25" customHeight="1">
      <c r="A575" s="1253"/>
      <c r="B575" s="1213"/>
      <c r="C575" s="1213"/>
      <c r="D575" s="1211"/>
      <c r="E575" s="1211"/>
      <c r="F575" s="1211"/>
      <c r="G575" s="1211"/>
    </row>
    <row r="576" ht="26.25" customHeight="1">
      <c r="A576" s="1253"/>
      <c r="B576" s="1213"/>
      <c r="C576" s="1213"/>
      <c r="D576" s="1211"/>
      <c r="E576" s="1211"/>
      <c r="F576" s="1211"/>
      <c r="G576" s="1211"/>
    </row>
    <row r="577" ht="26.25" customHeight="1">
      <c r="A577" s="1253"/>
      <c r="B577" s="1213"/>
      <c r="C577" s="1213"/>
      <c r="D577" s="1211"/>
      <c r="E577" s="1211"/>
      <c r="F577" s="1211"/>
      <c r="G577" s="1211"/>
    </row>
    <row r="578" ht="26.25" customHeight="1">
      <c r="A578" s="1253"/>
      <c r="B578" s="1213"/>
      <c r="C578" s="1213"/>
      <c r="D578" s="1211"/>
      <c r="E578" s="1211"/>
      <c r="F578" s="1211"/>
      <c r="G578" s="1211"/>
    </row>
    <row r="579" ht="26.25" customHeight="1">
      <c r="A579" s="1253"/>
      <c r="B579" s="1213"/>
      <c r="C579" s="1213"/>
      <c r="D579" s="1211"/>
      <c r="E579" s="1211"/>
      <c r="F579" s="1211"/>
      <c r="G579" s="1211"/>
    </row>
    <row r="580" ht="26.25" customHeight="1">
      <c r="A580" s="1253"/>
      <c r="B580" s="1213"/>
      <c r="C580" s="1213"/>
      <c r="D580" s="1211"/>
      <c r="E580" s="1211"/>
      <c r="F580" s="1211"/>
      <c r="G580" s="1211"/>
    </row>
    <row r="581" ht="26.25" customHeight="1">
      <c r="A581" s="1253"/>
      <c r="B581" s="1213"/>
      <c r="C581" s="1213"/>
      <c r="D581" s="1211"/>
      <c r="E581" s="1211"/>
      <c r="F581" s="1211"/>
      <c r="G581" s="1211"/>
    </row>
    <row r="582" ht="26.25" customHeight="1">
      <c r="A582" s="1253"/>
      <c r="B582" s="1213"/>
      <c r="C582" s="1213"/>
      <c r="D582" s="1211"/>
      <c r="E582" s="1211"/>
      <c r="F582" s="1211"/>
      <c r="G582" s="1211"/>
    </row>
    <row r="583" ht="26.25" customHeight="1">
      <c r="A583" s="1253"/>
      <c r="B583" s="1213"/>
      <c r="C583" s="1213"/>
      <c r="D583" s="1211"/>
      <c r="E583" s="1211"/>
      <c r="F583" s="1211"/>
      <c r="G583" s="1211"/>
    </row>
    <row r="584" ht="26.25" customHeight="1">
      <c r="A584" s="1253"/>
      <c r="B584" s="1213"/>
      <c r="C584" s="1213"/>
      <c r="D584" s="1211"/>
      <c r="E584" s="1211"/>
      <c r="F584" s="1211"/>
      <c r="G584" s="1211"/>
    </row>
    <row r="585" ht="26.25" customHeight="1">
      <c r="A585" s="1253"/>
      <c r="B585" s="1213"/>
      <c r="C585" s="1213"/>
      <c r="D585" s="1211"/>
      <c r="E585" s="1211"/>
      <c r="F585" s="1211"/>
      <c r="G585" s="1211"/>
    </row>
    <row r="586" ht="26.25" customHeight="1">
      <c r="A586" s="1253"/>
      <c r="B586" s="1213"/>
      <c r="C586" s="1213"/>
      <c r="D586" s="1211"/>
      <c r="E586" s="1211"/>
      <c r="F586" s="1211"/>
      <c r="G586" s="1211"/>
    </row>
    <row r="587" ht="26.25" customHeight="1">
      <c r="A587" s="1253"/>
      <c r="B587" s="1213"/>
      <c r="C587" s="1213"/>
      <c r="D587" s="1211"/>
      <c r="E587" s="1211"/>
      <c r="F587" s="1211"/>
      <c r="G587" s="1211"/>
    </row>
    <row r="588" ht="26.25" customHeight="1">
      <c r="A588" s="1253"/>
      <c r="B588" s="1213"/>
      <c r="C588" s="1213"/>
      <c r="D588" s="1211"/>
      <c r="E588" s="1211"/>
      <c r="F588" s="1211"/>
      <c r="G588" s="1211"/>
    </row>
    <row r="589" ht="26.25" customHeight="1">
      <c r="A589" s="1253"/>
      <c r="B589" s="1213"/>
      <c r="C589" s="1213"/>
      <c r="D589" s="1211"/>
      <c r="E589" s="1211"/>
      <c r="F589" s="1211"/>
      <c r="G589" s="1211"/>
    </row>
    <row r="590" ht="26.25" customHeight="1">
      <c r="A590" s="1253"/>
      <c r="B590" s="1213"/>
      <c r="C590" s="1213"/>
      <c r="D590" s="1211"/>
      <c r="E590" s="1211"/>
      <c r="F590" s="1211"/>
      <c r="G590" s="1211"/>
    </row>
    <row r="591" ht="26.25" customHeight="1">
      <c r="A591" s="1253"/>
      <c r="B591" s="1213"/>
      <c r="C591" s="1213"/>
      <c r="D591" s="1211"/>
      <c r="E591" s="1211"/>
      <c r="F591" s="1211"/>
      <c r="G591" s="1211"/>
    </row>
    <row r="592" ht="26.25" customHeight="1">
      <c r="A592" s="1253"/>
      <c r="B592" s="1213"/>
      <c r="C592" s="1213"/>
      <c r="D592" s="1211"/>
      <c r="E592" s="1211"/>
      <c r="F592" s="1211"/>
      <c r="G592" s="1211"/>
    </row>
    <row r="593" ht="26.25" customHeight="1">
      <c r="A593" s="1253"/>
      <c r="B593" s="1213"/>
      <c r="C593" s="1213"/>
      <c r="D593" s="1211"/>
      <c r="E593" s="1211"/>
      <c r="F593" s="1211"/>
      <c r="G593" s="1211"/>
    </row>
    <row r="594" ht="26.25" customHeight="1">
      <c r="A594" s="1253"/>
      <c r="B594" s="1213"/>
      <c r="C594" s="1213"/>
      <c r="D594" s="1211"/>
      <c r="E594" s="1211"/>
      <c r="F594" s="1211"/>
      <c r="G594" s="1211"/>
    </row>
    <row r="595" ht="26.25" customHeight="1">
      <c r="A595" s="1253"/>
      <c r="B595" s="1213"/>
      <c r="C595" s="1213"/>
      <c r="D595" s="1211"/>
      <c r="E595" s="1211"/>
      <c r="F595" s="1211"/>
      <c r="G595" s="1211"/>
    </row>
    <row r="596" ht="26.25" customHeight="1">
      <c r="A596" s="1253"/>
      <c r="B596" s="1213"/>
      <c r="C596" s="1213"/>
      <c r="D596" s="1211"/>
      <c r="E596" s="1211"/>
      <c r="F596" s="1211"/>
      <c r="G596" s="1211"/>
    </row>
    <row r="597" ht="26.25" customHeight="1">
      <c r="A597" s="1253"/>
      <c r="B597" s="1213"/>
      <c r="C597" s="1213"/>
      <c r="D597" s="1211"/>
      <c r="E597" s="1211"/>
      <c r="F597" s="1211"/>
      <c r="G597" s="1211"/>
    </row>
    <row r="598" ht="26.25" customHeight="1">
      <c r="A598" s="1253"/>
      <c r="B598" s="1213"/>
      <c r="C598" s="1213"/>
      <c r="D598" s="1211"/>
      <c r="E598" s="1211"/>
      <c r="F598" s="1211"/>
      <c r="G598" s="1211"/>
    </row>
    <row r="599" ht="26.25" customHeight="1">
      <c r="A599" s="1253"/>
      <c r="B599" s="1213"/>
      <c r="C599" s="1213"/>
      <c r="D599" s="1211"/>
      <c r="E599" s="1211"/>
      <c r="F599" s="1211"/>
      <c r="G599" s="1211"/>
    </row>
    <row r="600" ht="26.25" customHeight="1">
      <c r="A600" s="1253"/>
      <c r="B600" s="1213"/>
      <c r="C600" s="1213"/>
      <c r="D600" s="1211"/>
      <c r="E600" s="1211"/>
      <c r="F600" s="1211"/>
      <c r="G600" s="1211"/>
    </row>
    <row r="601" ht="26.25" customHeight="1">
      <c r="A601" s="1253"/>
      <c r="B601" s="1213"/>
      <c r="C601" s="1213"/>
      <c r="D601" s="1211"/>
      <c r="E601" s="1211"/>
      <c r="F601" s="1211"/>
      <c r="G601" s="1211"/>
    </row>
    <row r="602" ht="26.25" customHeight="1">
      <c r="A602" s="1253"/>
      <c r="B602" s="1213"/>
      <c r="C602" s="1213"/>
      <c r="D602" s="1211"/>
      <c r="E602" s="1211"/>
      <c r="F602" s="1211"/>
      <c r="G602" s="1211"/>
    </row>
    <row r="603" ht="26.25" customHeight="1">
      <c r="A603" s="1253"/>
      <c r="B603" s="1213"/>
      <c r="C603" s="1213"/>
      <c r="D603" s="1211"/>
      <c r="E603" s="1211"/>
      <c r="F603" s="1211"/>
      <c r="G603" s="1211"/>
    </row>
    <row r="604" ht="26.25" customHeight="1">
      <c r="A604" s="1253"/>
      <c r="B604" s="1213"/>
      <c r="C604" s="1213"/>
      <c r="D604" s="1211"/>
      <c r="E604" s="1211"/>
      <c r="F604" s="1211"/>
      <c r="G604" s="1211"/>
    </row>
    <row r="605" ht="26.25" customHeight="1">
      <c r="A605" s="1253"/>
      <c r="B605" s="1213"/>
      <c r="C605" s="1213"/>
      <c r="D605" s="1211"/>
      <c r="E605" s="1211"/>
      <c r="F605" s="1211"/>
      <c r="G605" s="1211"/>
    </row>
    <row r="606" ht="26.25" customHeight="1">
      <c r="A606" s="1253"/>
      <c r="B606" s="1213"/>
      <c r="C606" s="1213"/>
      <c r="D606" s="1211"/>
      <c r="E606" s="1211"/>
      <c r="F606" s="1211"/>
      <c r="G606" s="1211"/>
    </row>
    <row r="607" ht="26.25" customHeight="1">
      <c r="A607" s="1253"/>
      <c r="B607" s="1213"/>
      <c r="C607" s="1213"/>
      <c r="D607" s="1211"/>
      <c r="E607" s="1211"/>
      <c r="F607" s="1211"/>
      <c r="G607" s="1211"/>
    </row>
    <row r="608" ht="26.25" customHeight="1">
      <c r="A608" s="1253"/>
      <c r="B608" s="1213"/>
      <c r="C608" s="1213"/>
      <c r="D608" s="1211"/>
      <c r="E608" s="1211"/>
      <c r="F608" s="1211"/>
      <c r="G608" s="1211"/>
    </row>
    <row r="609" ht="26.25" customHeight="1">
      <c r="A609" s="1253"/>
      <c r="B609" s="1213"/>
      <c r="C609" s="1213"/>
      <c r="D609" s="1211"/>
      <c r="E609" s="1211"/>
      <c r="F609" s="1211"/>
      <c r="G609" s="1211"/>
    </row>
    <row r="610" ht="26.25" customHeight="1">
      <c r="A610" s="1253"/>
      <c r="B610" s="1213"/>
      <c r="C610" s="1213"/>
      <c r="D610" s="1211"/>
      <c r="E610" s="1211"/>
      <c r="F610" s="1211"/>
      <c r="G610" s="1211"/>
    </row>
    <row r="611" ht="26.25" customHeight="1">
      <c r="A611" s="1253"/>
      <c r="B611" s="1213"/>
      <c r="C611" s="1213"/>
      <c r="D611" s="1211"/>
      <c r="E611" s="1211"/>
      <c r="F611" s="1211"/>
      <c r="G611" s="1211"/>
    </row>
    <row r="612" ht="26.25" customHeight="1">
      <c r="A612" s="1253"/>
      <c r="B612" s="1213"/>
      <c r="C612" s="1213"/>
      <c r="D612" s="1211"/>
      <c r="E612" s="1211"/>
      <c r="F612" s="1211"/>
      <c r="G612" s="1211"/>
    </row>
    <row r="613" ht="26.25" customHeight="1">
      <c r="A613" s="1253"/>
      <c r="B613" s="1213"/>
      <c r="C613" s="1213"/>
      <c r="D613" s="1211"/>
      <c r="E613" s="1211"/>
      <c r="F613" s="1211"/>
      <c r="G613" s="1211"/>
    </row>
    <row r="614" ht="26.25" customHeight="1">
      <c r="A614" s="1253"/>
      <c r="B614" s="1213"/>
      <c r="C614" s="1213"/>
      <c r="D614" s="1211"/>
      <c r="E614" s="1211"/>
      <c r="F614" s="1211"/>
      <c r="G614" s="1211"/>
    </row>
    <row r="615" ht="26.25" customHeight="1">
      <c r="A615" s="1253"/>
      <c r="B615" s="1213"/>
      <c r="C615" s="1213"/>
      <c r="D615" s="1211"/>
      <c r="E615" s="1211"/>
      <c r="F615" s="1211"/>
      <c r="G615" s="1211"/>
    </row>
    <row r="616" ht="26.25" customHeight="1">
      <c r="A616" s="1253"/>
      <c r="B616" s="1213"/>
      <c r="C616" s="1213"/>
      <c r="D616" s="1211"/>
      <c r="E616" s="1211"/>
      <c r="F616" s="1211"/>
      <c r="G616" s="1211"/>
    </row>
    <row r="617" ht="26.25" customHeight="1">
      <c r="A617" s="1253"/>
      <c r="B617" s="1213"/>
      <c r="C617" s="1213"/>
      <c r="D617" s="1211"/>
      <c r="E617" s="1211"/>
      <c r="F617" s="1211"/>
      <c r="G617" s="1211"/>
    </row>
    <row r="618" ht="26.25" customHeight="1">
      <c r="A618" s="1253"/>
      <c r="B618" s="1213"/>
      <c r="C618" s="1213"/>
      <c r="D618" s="1211"/>
      <c r="E618" s="1211"/>
      <c r="F618" s="1211"/>
      <c r="G618" s="1211"/>
    </row>
    <row r="619" ht="26.25" customHeight="1">
      <c r="A619" s="1253"/>
      <c r="B619" s="1213"/>
      <c r="C619" s="1213"/>
      <c r="D619" s="1211"/>
      <c r="E619" s="1211"/>
      <c r="F619" s="1211"/>
      <c r="G619" s="1211"/>
    </row>
    <row r="620" ht="26.25" customHeight="1">
      <c r="A620" s="1253"/>
      <c r="B620" s="1213"/>
      <c r="C620" s="1213"/>
      <c r="D620" s="1211"/>
      <c r="E620" s="1211"/>
      <c r="F620" s="1211"/>
      <c r="G620" s="1211"/>
    </row>
    <row r="621" ht="26.25" customHeight="1">
      <c r="A621" s="1253"/>
      <c r="B621" s="1213"/>
      <c r="C621" s="1213"/>
      <c r="D621" s="1211"/>
      <c r="E621" s="1211"/>
      <c r="F621" s="1211"/>
      <c r="G621" s="1211"/>
    </row>
    <row r="622" ht="26.25" customHeight="1">
      <c r="A622" s="1253"/>
      <c r="B622" s="1213"/>
      <c r="C622" s="1213"/>
      <c r="D622" s="1211"/>
      <c r="E622" s="1211"/>
      <c r="F622" s="1211"/>
      <c r="G622" s="1211"/>
    </row>
    <row r="623" ht="26.25" customHeight="1">
      <c r="A623" s="1253"/>
      <c r="B623" s="1213"/>
      <c r="C623" s="1213"/>
      <c r="D623" s="1211"/>
      <c r="E623" s="1211"/>
      <c r="F623" s="1211"/>
      <c r="G623" s="1211"/>
    </row>
    <row r="624" ht="26.25" customHeight="1">
      <c r="A624" s="1253"/>
      <c r="B624" s="1213"/>
      <c r="C624" s="1213"/>
      <c r="D624" s="1211"/>
      <c r="E624" s="1211"/>
      <c r="F624" s="1211"/>
      <c r="G624" s="1211"/>
    </row>
    <row r="625" ht="26.25" customHeight="1">
      <c r="A625" s="1253"/>
      <c r="B625" s="1213"/>
      <c r="C625" s="1213"/>
      <c r="D625" s="1211"/>
      <c r="E625" s="1211"/>
      <c r="F625" s="1211"/>
      <c r="G625" s="1211"/>
    </row>
    <row r="626" ht="26.25" customHeight="1">
      <c r="A626" s="1253"/>
      <c r="B626" s="1213"/>
      <c r="C626" s="1213"/>
      <c r="D626" s="1211"/>
      <c r="E626" s="1211"/>
      <c r="F626" s="1211"/>
      <c r="G626" s="1211"/>
    </row>
    <row r="627" ht="26.25" customHeight="1">
      <c r="A627" s="1253"/>
      <c r="B627" s="1213"/>
      <c r="C627" s="1213"/>
      <c r="D627" s="1211"/>
      <c r="E627" s="1211"/>
      <c r="F627" s="1211"/>
      <c r="G627" s="1211"/>
    </row>
    <row r="628" ht="26.25" customHeight="1">
      <c r="A628" s="1253"/>
      <c r="B628" s="1213"/>
      <c r="C628" s="1213"/>
      <c r="D628" s="1211"/>
      <c r="E628" s="1211"/>
      <c r="F628" s="1211"/>
      <c r="G628" s="1211"/>
    </row>
    <row r="629" ht="26.25" customHeight="1">
      <c r="A629" s="1253"/>
      <c r="B629" s="1213"/>
      <c r="C629" s="1213"/>
      <c r="D629" s="1211"/>
      <c r="E629" s="1211"/>
      <c r="F629" s="1211"/>
      <c r="G629" s="1211"/>
    </row>
    <row r="630" ht="26.25" customHeight="1">
      <c r="A630" s="1253"/>
      <c r="B630" s="1213"/>
      <c r="C630" s="1213"/>
      <c r="D630" s="1211"/>
      <c r="E630" s="1211"/>
      <c r="F630" s="1211"/>
      <c r="G630" s="1211"/>
    </row>
    <row r="631" ht="26.25" customHeight="1">
      <c r="A631" s="1253"/>
      <c r="B631" s="1213"/>
      <c r="C631" s="1213"/>
      <c r="D631" s="1211"/>
      <c r="E631" s="1211"/>
      <c r="F631" s="1211"/>
      <c r="G631" s="1211"/>
    </row>
    <row r="632" ht="26.25" customHeight="1">
      <c r="A632" s="1253"/>
      <c r="B632" s="1213"/>
      <c r="C632" s="1213"/>
      <c r="D632" s="1211"/>
      <c r="E632" s="1211"/>
      <c r="F632" s="1211"/>
      <c r="G632" s="1211"/>
    </row>
    <row r="633" ht="26.25" customHeight="1">
      <c r="A633" s="1253"/>
      <c r="B633" s="1213"/>
      <c r="C633" s="1213"/>
      <c r="D633" s="1211"/>
      <c r="E633" s="1211"/>
      <c r="F633" s="1211"/>
      <c r="G633" s="1211"/>
    </row>
    <row r="634" ht="26.25" customHeight="1">
      <c r="A634" s="1253"/>
      <c r="B634" s="1213"/>
      <c r="C634" s="1213"/>
      <c r="D634" s="1211"/>
      <c r="E634" s="1211"/>
      <c r="F634" s="1211"/>
      <c r="G634" s="1211"/>
    </row>
    <row r="635" ht="26.25" customHeight="1">
      <c r="A635" s="1253"/>
      <c r="B635" s="1213"/>
      <c r="C635" s="1213"/>
      <c r="D635" s="1211"/>
      <c r="E635" s="1211"/>
      <c r="F635" s="1211"/>
      <c r="G635" s="1211"/>
    </row>
    <row r="636" ht="26.25" customHeight="1">
      <c r="A636" s="1253"/>
      <c r="B636" s="1213"/>
      <c r="C636" s="1213"/>
      <c r="D636" s="1211"/>
      <c r="E636" s="1211"/>
      <c r="F636" s="1211"/>
      <c r="G636" s="1211"/>
    </row>
    <row r="637" ht="26.25" customHeight="1">
      <c r="A637" s="1253"/>
      <c r="B637" s="1213"/>
      <c r="C637" s="1213"/>
      <c r="D637" s="1211"/>
      <c r="E637" s="1211"/>
      <c r="F637" s="1211"/>
      <c r="G637" s="1211"/>
    </row>
    <row r="638" ht="26.25" customHeight="1">
      <c r="A638" s="1253"/>
      <c r="B638" s="1213"/>
      <c r="C638" s="1213"/>
      <c r="D638" s="1211"/>
      <c r="E638" s="1211"/>
      <c r="F638" s="1211"/>
      <c r="G638" s="1211"/>
    </row>
    <row r="639" ht="26.25" customHeight="1">
      <c r="A639" s="1253"/>
      <c r="B639" s="1213"/>
      <c r="C639" s="1213"/>
      <c r="D639" s="1211"/>
      <c r="E639" s="1211"/>
      <c r="F639" s="1211"/>
      <c r="G639" s="1211"/>
    </row>
    <row r="640" ht="26.25" customHeight="1">
      <c r="A640" s="1253"/>
      <c r="B640" s="1213"/>
      <c r="C640" s="1213"/>
      <c r="D640" s="1211"/>
      <c r="E640" s="1211"/>
      <c r="F640" s="1211"/>
      <c r="G640" s="1211"/>
    </row>
    <row r="641" ht="26.25" customHeight="1">
      <c r="A641" s="1253"/>
      <c r="B641" s="1213"/>
      <c r="C641" s="1213"/>
      <c r="D641" s="1211"/>
      <c r="E641" s="1211"/>
      <c r="F641" s="1211"/>
      <c r="G641" s="1211"/>
    </row>
    <row r="642" ht="26.25" customHeight="1">
      <c r="A642" s="1253"/>
      <c r="B642" s="1213"/>
      <c r="C642" s="1213"/>
      <c r="D642" s="1211"/>
      <c r="E642" s="1211"/>
      <c r="F642" s="1211"/>
      <c r="G642" s="1211"/>
    </row>
    <row r="643" ht="26.25" customHeight="1">
      <c r="A643" s="1253"/>
      <c r="B643" s="1213"/>
      <c r="C643" s="1213"/>
      <c r="D643" s="1211"/>
      <c r="E643" s="1211"/>
      <c r="F643" s="1211"/>
      <c r="G643" s="1211"/>
    </row>
    <row r="644" ht="26.25" customHeight="1">
      <c r="A644" s="1253"/>
      <c r="B644" s="1213"/>
      <c r="C644" s="1213"/>
      <c r="D644" s="1211"/>
      <c r="E644" s="1211"/>
      <c r="F644" s="1211"/>
      <c r="G644" s="1211"/>
    </row>
    <row r="645" ht="26.25" customHeight="1">
      <c r="A645" s="1253"/>
      <c r="B645" s="1213"/>
      <c r="C645" s="1213"/>
      <c r="D645" s="1211"/>
      <c r="E645" s="1211"/>
      <c r="F645" s="1211"/>
      <c r="G645" s="1211"/>
    </row>
    <row r="646" ht="26.25" customHeight="1">
      <c r="A646" s="1253"/>
      <c r="B646" s="1213"/>
      <c r="C646" s="1213"/>
      <c r="D646" s="1211"/>
      <c r="E646" s="1211"/>
      <c r="F646" s="1211"/>
      <c r="G646" s="1211"/>
    </row>
    <row r="647" ht="26.25" customHeight="1">
      <c r="A647" s="1253"/>
      <c r="B647" s="1213"/>
      <c r="C647" s="1213"/>
      <c r="D647" s="1211"/>
      <c r="E647" s="1211"/>
      <c r="F647" s="1211"/>
      <c r="G647" s="1211"/>
    </row>
    <row r="648" ht="26.25" customHeight="1">
      <c r="A648" s="1253"/>
      <c r="B648" s="1213"/>
      <c r="C648" s="1213"/>
      <c r="D648" s="1211"/>
      <c r="E648" s="1211"/>
      <c r="F648" s="1211"/>
      <c r="G648" s="1211"/>
    </row>
    <row r="649" ht="26.25" customHeight="1">
      <c r="A649" s="1253"/>
      <c r="B649" s="1213"/>
      <c r="C649" s="1213"/>
      <c r="D649" s="1211"/>
      <c r="E649" s="1211"/>
      <c r="F649" s="1211"/>
      <c r="G649" s="1211"/>
    </row>
    <row r="650" ht="26.25" customHeight="1">
      <c r="A650" s="1253"/>
      <c r="B650" s="1213"/>
      <c r="C650" s="1213"/>
      <c r="D650" s="1211"/>
      <c r="E650" s="1211"/>
      <c r="F650" s="1211"/>
      <c r="G650" s="1211"/>
    </row>
    <row r="651" ht="26.25" customHeight="1">
      <c r="A651" s="1253"/>
      <c r="B651" s="1213"/>
      <c r="C651" s="1213"/>
      <c r="D651" s="1211"/>
      <c r="E651" s="1211"/>
      <c r="F651" s="1211"/>
      <c r="G651" s="1211"/>
    </row>
    <row r="652" ht="26.25" customHeight="1">
      <c r="A652" s="1253"/>
      <c r="B652" s="1213"/>
      <c r="C652" s="1213"/>
      <c r="D652" s="1211"/>
      <c r="E652" s="1211"/>
      <c r="F652" s="1211"/>
      <c r="G652" s="1211"/>
    </row>
    <row r="653" ht="26.25" customHeight="1">
      <c r="A653" s="1253"/>
      <c r="B653" s="1213"/>
      <c r="C653" s="1213"/>
      <c r="D653" s="1211"/>
      <c r="E653" s="1211"/>
      <c r="F653" s="1211"/>
      <c r="G653" s="1211"/>
    </row>
    <row r="654" ht="26.25" customHeight="1">
      <c r="A654" s="1253"/>
      <c r="B654" s="1213"/>
      <c r="C654" s="1213"/>
      <c r="D654" s="1211"/>
      <c r="E654" s="1211"/>
      <c r="F654" s="1211"/>
      <c r="G654" s="1211"/>
    </row>
    <row r="655" ht="26.25" customHeight="1">
      <c r="A655" s="1253"/>
      <c r="B655" s="1213"/>
      <c r="C655" s="1213"/>
      <c r="D655" s="1211"/>
      <c r="E655" s="1211"/>
      <c r="F655" s="1211"/>
      <c r="G655" s="1211"/>
    </row>
    <row r="656" ht="26.25" customHeight="1">
      <c r="A656" s="1253"/>
      <c r="B656" s="1213"/>
      <c r="C656" s="1213"/>
      <c r="D656" s="1211"/>
      <c r="E656" s="1211"/>
      <c r="F656" s="1211"/>
      <c r="G656" s="1211"/>
    </row>
    <row r="657" ht="26.25" customHeight="1">
      <c r="A657" s="1253"/>
      <c r="B657" s="1213"/>
      <c r="C657" s="1213"/>
      <c r="D657" s="1211"/>
      <c r="E657" s="1211"/>
      <c r="F657" s="1211"/>
      <c r="G657" s="1211"/>
    </row>
    <row r="658" ht="26.25" customHeight="1">
      <c r="A658" s="1253"/>
      <c r="B658" s="1213"/>
      <c r="C658" s="1213"/>
      <c r="D658" s="1211"/>
      <c r="E658" s="1211"/>
      <c r="F658" s="1211"/>
      <c r="G658" s="1211"/>
    </row>
    <row r="659" ht="26.25" customHeight="1">
      <c r="A659" s="1253"/>
      <c r="B659" s="1213"/>
      <c r="C659" s="1213"/>
      <c r="D659" s="1211"/>
      <c r="E659" s="1211"/>
      <c r="F659" s="1211"/>
      <c r="G659" s="1211"/>
    </row>
    <row r="660" ht="26.25" customHeight="1">
      <c r="A660" s="1253"/>
      <c r="B660" s="1213"/>
      <c r="C660" s="1213"/>
      <c r="D660" s="1211"/>
      <c r="E660" s="1211"/>
      <c r="F660" s="1211"/>
      <c r="G660" s="1211"/>
    </row>
    <row r="661" ht="26.25" customHeight="1">
      <c r="A661" s="1253"/>
      <c r="B661" s="1213"/>
      <c r="C661" s="1213"/>
      <c r="D661" s="1211"/>
      <c r="E661" s="1211"/>
      <c r="F661" s="1211"/>
      <c r="G661" s="1211"/>
    </row>
    <row r="662" ht="26.25" customHeight="1">
      <c r="A662" s="1253"/>
      <c r="B662" s="1213"/>
      <c r="C662" s="1213"/>
      <c r="D662" s="1211"/>
      <c r="E662" s="1211"/>
      <c r="F662" s="1211"/>
      <c r="G662" s="1211"/>
    </row>
    <row r="663" ht="26.25" customHeight="1">
      <c r="A663" s="1253"/>
      <c r="B663" s="1213"/>
      <c r="C663" s="1213"/>
      <c r="D663" s="1211"/>
      <c r="E663" s="1211"/>
      <c r="F663" s="1211"/>
      <c r="G663" s="1211"/>
    </row>
    <row r="664" ht="26.25" customHeight="1">
      <c r="A664" s="1253"/>
      <c r="B664" s="1213"/>
      <c r="C664" s="1213"/>
      <c r="D664" s="1211"/>
      <c r="E664" s="1211"/>
      <c r="F664" s="1211"/>
      <c r="G664" s="1211"/>
    </row>
    <row r="665" ht="26.25" customHeight="1">
      <c r="A665" s="1253"/>
      <c r="B665" s="1213"/>
      <c r="C665" s="1213"/>
      <c r="D665" s="1211"/>
      <c r="E665" s="1211"/>
      <c r="F665" s="1211"/>
      <c r="G665" s="1211"/>
    </row>
    <row r="666" ht="26.25" customHeight="1">
      <c r="A666" s="1253"/>
      <c r="B666" s="1213"/>
      <c r="C666" s="1213"/>
      <c r="D666" s="1211"/>
      <c r="E666" s="1211"/>
      <c r="F666" s="1211"/>
      <c r="G666" s="1211"/>
    </row>
    <row r="667" ht="26.25" customHeight="1">
      <c r="A667" s="1253"/>
      <c r="B667" s="1213"/>
      <c r="C667" s="1213"/>
      <c r="D667" s="1211"/>
      <c r="E667" s="1211"/>
      <c r="F667" s="1211"/>
      <c r="G667" s="1211"/>
    </row>
    <row r="668" ht="26.25" customHeight="1">
      <c r="A668" s="1253"/>
      <c r="B668" s="1213"/>
      <c r="C668" s="1213"/>
      <c r="D668" s="1211"/>
      <c r="E668" s="1211"/>
      <c r="F668" s="1211"/>
      <c r="G668" s="1211"/>
    </row>
    <row r="669" ht="26.25" customHeight="1">
      <c r="A669" s="1253"/>
      <c r="B669" s="1213"/>
      <c r="C669" s="1213"/>
      <c r="D669" s="1211"/>
      <c r="E669" s="1211"/>
      <c r="F669" s="1211"/>
      <c r="G669" s="1211"/>
    </row>
    <row r="670" ht="26.25" customHeight="1">
      <c r="A670" s="1253"/>
      <c r="B670" s="1213"/>
      <c r="C670" s="1213"/>
      <c r="D670" s="1211"/>
      <c r="E670" s="1211"/>
      <c r="F670" s="1211"/>
      <c r="G670" s="1211"/>
    </row>
    <row r="671" ht="26.25" customHeight="1">
      <c r="A671" s="1253"/>
      <c r="B671" s="1213"/>
      <c r="C671" s="1213"/>
      <c r="D671" s="1211"/>
      <c r="E671" s="1211"/>
      <c r="F671" s="1211"/>
      <c r="G671" s="1211"/>
    </row>
    <row r="672" ht="26.25" customHeight="1">
      <c r="A672" s="1253"/>
      <c r="B672" s="1213"/>
      <c r="C672" s="1213"/>
      <c r="D672" s="1211"/>
      <c r="E672" s="1211"/>
      <c r="F672" s="1211"/>
      <c r="G672" s="1211"/>
    </row>
    <row r="673" ht="26.25" customHeight="1">
      <c r="A673" s="1253"/>
      <c r="B673" s="1213"/>
      <c r="C673" s="1213"/>
      <c r="D673" s="1211"/>
      <c r="E673" s="1211"/>
      <c r="F673" s="1211"/>
      <c r="G673" s="1211"/>
    </row>
    <row r="674" ht="26.25" customHeight="1">
      <c r="A674" s="1253"/>
      <c r="B674" s="1213"/>
      <c r="C674" s="1213"/>
      <c r="D674" s="1211"/>
      <c r="E674" s="1211"/>
      <c r="F674" s="1211"/>
      <c r="G674" s="1211"/>
    </row>
    <row r="675" ht="26.25" customHeight="1">
      <c r="A675" s="1253"/>
      <c r="B675" s="1213"/>
      <c r="C675" s="1213"/>
      <c r="D675" s="1211"/>
      <c r="E675" s="1211"/>
      <c r="F675" s="1211"/>
      <c r="G675" s="1211"/>
    </row>
    <row r="676" ht="26.25" customHeight="1">
      <c r="A676" s="1253"/>
      <c r="B676" s="1213"/>
      <c r="C676" s="1213"/>
      <c r="D676" s="1211"/>
      <c r="E676" s="1211"/>
      <c r="F676" s="1211"/>
      <c r="G676" s="1211"/>
    </row>
    <row r="677" ht="26.25" customHeight="1">
      <c r="A677" s="1253"/>
      <c r="B677" s="1213"/>
      <c r="C677" s="1213"/>
      <c r="D677" s="1211"/>
      <c r="E677" s="1211"/>
      <c r="F677" s="1211"/>
      <c r="G677" s="1211"/>
    </row>
    <row r="678" ht="26.25" customHeight="1">
      <c r="A678" s="1253"/>
      <c r="B678" s="1213"/>
      <c r="C678" s="1213"/>
      <c r="D678" s="1211"/>
      <c r="E678" s="1211"/>
      <c r="F678" s="1211"/>
      <c r="G678" s="1211"/>
    </row>
    <row r="679" ht="26.25" customHeight="1">
      <c r="A679" s="1253"/>
      <c r="B679" s="1213"/>
      <c r="C679" s="1213"/>
      <c r="D679" s="1211"/>
      <c r="E679" s="1211"/>
      <c r="F679" s="1211"/>
      <c r="G679" s="1211"/>
    </row>
    <row r="680" ht="26.25" customHeight="1">
      <c r="A680" s="1253"/>
      <c r="B680" s="1213"/>
      <c r="C680" s="1213"/>
      <c r="D680" s="1211"/>
      <c r="E680" s="1211"/>
      <c r="F680" s="1211"/>
      <c r="G680" s="1211"/>
    </row>
    <row r="681" ht="26.25" customHeight="1">
      <c r="A681" s="1253"/>
      <c r="B681" s="1213"/>
      <c r="C681" s="1213"/>
      <c r="D681" s="1211"/>
      <c r="E681" s="1211"/>
      <c r="F681" s="1211"/>
      <c r="G681" s="1211"/>
    </row>
    <row r="682" ht="26.25" customHeight="1">
      <c r="A682" s="1253"/>
      <c r="B682" s="1213"/>
      <c r="C682" s="1213"/>
      <c r="D682" s="1211"/>
      <c r="E682" s="1211"/>
      <c r="F682" s="1211"/>
      <c r="G682" s="1211"/>
    </row>
    <row r="683" ht="26.25" customHeight="1">
      <c r="A683" s="1253"/>
      <c r="B683" s="1213"/>
      <c r="C683" s="1213"/>
      <c r="D683" s="1211"/>
      <c r="E683" s="1211"/>
      <c r="F683" s="1211"/>
      <c r="G683" s="1211"/>
    </row>
    <row r="684" ht="26.25" customHeight="1">
      <c r="A684" s="1253"/>
      <c r="B684" s="1213"/>
      <c r="C684" s="1213"/>
      <c r="D684" s="1211"/>
      <c r="E684" s="1211"/>
      <c r="F684" s="1211"/>
      <c r="G684" s="1211"/>
    </row>
    <row r="685" ht="26.25" customHeight="1">
      <c r="A685" s="1253"/>
      <c r="B685" s="1213"/>
      <c r="C685" s="1213"/>
      <c r="D685" s="1211"/>
      <c r="E685" s="1211"/>
      <c r="F685" s="1211"/>
      <c r="G685" s="1211"/>
    </row>
    <row r="686" ht="26.25" customHeight="1">
      <c r="A686" s="1253"/>
      <c r="B686" s="1213"/>
      <c r="C686" s="1213"/>
      <c r="D686" s="1211"/>
      <c r="E686" s="1211"/>
      <c r="F686" s="1211"/>
      <c r="G686" s="1211"/>
    </row>
    <row r="687" ht="26.25" customHeight="1">
      <c r="A687" s="1253"/>
      <c r="B687" s="1213"/>
      <c r="C687" s="1213"/>
      <c r="D687" s="1211"/>
      <c r="E687" s="1211"/>
      <c r="F687" s="1211"/>
      <c r="G687" s="1211"/>
    </row>
    <row r="688" ht="26.25" customHeight="1">
      <c r="A688" s="1253"/>
      <c r="B688" s="1213"/>
      <c r="C688" s="1213"/>
      <c r="D688" s="1211"/>
      <c r="E688" s="1211"/>
      <c r="F688" s="1211"/>
      <c r="G688" s="1211"/>
    </row>
    <row r="689" ht="26.25" customHeight="1">
      <c r="A689" s="1253"/>
      <c r="B689" s="1213"/>
      <c r="C689" s="1213"/>
      <c r="D689" s="1211"/>
      <c r="E689" s="1211"/>
      <c r="F689" s="1211"/>
      <c r="G689" s="1211"/>
    </row>
    <row r="690" ht="26.25" customHeight="1">
      <c r="A690" s="1253"/>
      <c r="B690" s="1213"/>
      <c r="C690" s="1213"/>
      <c r="D690" s="1211"/>
      <c r="E690" s="1211"/>
      <c r="F690" s="1211"/>
      <c r="G690" s="1211"/>
    </row>
    <row r="691" ht="26.25" customHeight="1">
      <c r="A691" s="1253"/>
      <c r="B691" s="1213"/>
      <c r="C691" s="1213"/>
      <c r="D691" s="1211"/>
      <c r="E691" s="1211"/>
      <c r="F691" s="1211"/>
      <c r="G691" s="1211"/>
    </row>
    <row r="692" ht="26.25" customHeight="1">
      <c r="A692" s="1253"/>
      <c r="B692" s="1213"/>
      <c r="C692" s="1213"/>
      <c r="D692" s="1211"/>
      <c r="E692" s="1211"/>
      <c r="F692" s="1211"/>
      <c r="G692" s="1211"/>
    </row>
    <row r="693" ht="26.25" customHeight="1">
      <c r="A693" s="1253"/>
      <c r="B693" s="1213"/>
      <c r="C693" s="1213"/>
      <c r="D693" s="1211"/>
      <c r="E693" s="1211"/>
      <c r="F693" s="1211"/>
      <c r="G693" s="1211"/>
    </row>
    <row r="694" ht="26.25" customHeight="1">
      <c r="A694" s="1253"/>
      <c r="B694" s="1213"/>
      <c r="C694" s="1213"/>
      <c r="D694" s="1211"/>
      <c r="E694" s="1211"/>
      <c r="F694" s="1211"/>
      <c r="G694" s="1211"/>
    </row>
    <row r="695" ht="26.25" customHeight="1">
      <c r="A695" s="1253"/>
      <c r="B695" s="1213"/>
      <c r="C695" s="1213"/>
      <c r="D695" s="1211"/>
      <c r="E695" s="1211"/>
      <c r="F695" s="1211"/>
      <c r="G695" s="1211"/>
    </row>
    <row r="696" ht="26.25" customHeight="1">
      <c r="A696" s="1253"/>
      <c r="B696" s="1213"/>
      <c r="C696" s="1213"/>
      <c r="D696" s="1211"/>
      <c r="E696" s="1211"/>
      <c r="F696" s="1211"/>
      <c r="G696" s="1211"/>
    </row>
    <row r="697" ht="26.25" customHeight="1">
      <c r="A697" s="1253"/>
      <c r="B697" s="1213"/>
      <c r="C697" s="1213"/>
      <c r="D697" s="1211"/>
      <c r="E697" s="1211"/>
      <c r="F697" s="1211"/>
      <c r="G697" s="1211"/>
    </row>
    <row r="698" ht="26.25" customHeight="1">
      <c r="A698" s="1253"/>
      <c r="B698" s="1213"/>
      <c r="C698" s="1213"/>
      <c r="D698" s="1211"/>
      <c r="E698" s="1211"/>
      <c r="F698" s="1211"/>
      <c r="G698" s="1211"/>
    </row>
    <row r="699" ht="26.25" customHeight="1">
      <c r="A699" s="1253"/>
      <c r="B699" s="1213"/>
      <c r="C699" s="1213"/>
      <c r="D699" s="1211"/>
      <c r="E699" s="1211"/>
      <c r="F699" s="1211"/>
      <c r="G699" s="1211"/>
    </row>
    <row r="700" ht="26.25" customHeight="1">
      <c r="A700" s="1253"/>
      <c r="B700" s="1213"/>
      <c r="C700" s="1213"/>
      <c r="D700" s="1211"/>
      <c r="E700" s="1211"/>
      <c r="F700" s="1211"/>
      <c r="G700" s="1211"/>
    </row>
    <row r="701" ht="26.25" customHeight="1">
      <c r="A701" s="1253"/>
      <c r="B701" s="1213"/>
      <c r="C701" s="1213"/>
      <c r="D701" s="1211"/>
      <c r="E701" s="1211"/>
      <c r="F701" s="1211"/>
      <c r="G701" s="1211"/>
    </row>
    <row r="702" ht="26.25" customHeight="1">
      <c r="A702" s="1253"/>
      <c r="B702" s="1213"/>
      <c r="C702" s="1213"/>
      <c r="D702" s="1211"/>
      <c r="E702" s="1211"/>
      <c r="F702" s="1211"/>
      <c r="G702" s="1211"/>
    </row>
    <row r="703" ht="26.25" customHeight="1">
      <c r="A703" s="1253"/>
      <c r="B703" s="1213"/>
      <c r="C703" s="1213"/>
      <c r="D703" s="1211"/>
      <c r="E703" s="1211"/>
      <c r="F703" s="1211"/>
      <c r="G703" s="1211"/>
    </row>
    <row r="704" ht="26.25" customHeight="1">
      <c r="A704" s="1253"/>
      <c r="B704" s="1213"/>
      <c r="C704" s="1213"/>
      <c r="D704" s="1211"/>
      <c r="E704" s="1211"/>
      <c r="F704" s="1211"/>
      <c r="G704" s="1211"/>
    </row>
    <row r="705" ht="26.25" customHeight="1">
      <c r="A705" s="1253"/>
      <c r="B705" s="1213"/>
      <c r="C705" s="1213"/>
      <c r="D705" s="1211"/>
      <c r="E705" s="1211"/>
      <c r="F705" s="1211"/>
      <c r="G705" s="1211"/>
    </row>
    <row r="706" ht="26.25" customHeight="1">
      <c r="A706" s="1253"/>
      <c r="B706" s="1213"/>
      <c r="C706" s="1213"/>
      <c r="D706" s="1211"/>
      <c r="E706" s="1211"/>
      <c r="F706" s="1211"/>
      <c r="G706" s="1211"/>
    </row>
    <row r="707" ht="26.25" customHeight="1">
      <c r="A707" s="1253"/>
      <c r="B707" s="1213"/>
      <c r="C707" s="1213"/>
      <c r="D707" s="1211"/>
      <c r="E707" s="1211"/>
      <c r="F707" s="1211"/>
      <c r="G707" s="1211"/>
    </row>
    <row r="708" ht="26.25" customHeight="1">
      <c r="A708" s="1253"/>
      <c r="B708" s="1213"/>
      <c r="C708" s="1213"/>
      <c r="D708" s="1211"/>
      <c r="E708" s="1211"/>
      <c r="F708" s="1211"/>
      <c r="G708" s="1211"/>
    </row>
    <row r="709" ht="26.25" customHeight="1">
      <c r="A709" s="1253"/>
      <c r="B709" s="1213"/>
      <c r="C709" s="1213"/>
      <c r="D709" s="1211"/>
      <c r="E709" s="1211"/>
      <c r="F709" s="1211"/>
      <c r="G709" s="1211"/>
    </row>
    <row r="710" ht="26.25" customHeight="1">
      <c r="A710" s="1253"/>
      <c r="B710" s="1213"/>
      <c r="C710" s="1213"/>
      <c r="D710" s="1211"/>
      <c r="E710" s="1211"/>
      <c r="F710" s="1211"/>
      <c r="G710" s="1211"/>
    </row>
    <row r="711" ht="26.25" customHeight="1">
      <c r="A711" s="1253"/>
      <c r="B711" s="1213"/>
      <c r="C711" s="1213"/>
      <c r="D711" s="1211"/>
      <c r="E711" s="1211"/>
      <c r="F711" s="1211"/>
      <c r="G711" s="1211"/>
    </row>
    <row r="712" ht="26.25" customHeight="1">
      <c r="A712" s="1253"/>
      <c r="B712" s="1213"/>
      <c r="C712" s="1213"/>
      <c r="D712" s="1211"/>
      <c r="E712" s="1211"/>
      <c r="F712" s="1211"/>
      <c r="G712" s="1211"/>
    </row>
    <row r="713" ht="26.25" customHeight="1">
      <c r="A713" s="1253"/>
      <c r="B713" s="1213"/>
      <c r="C713" s="1213"/>
      <c r="D713" s="1211"/>
      <c r="E713" s="1211"/>
      <c r="F713" s="1211"/>
      <c r="G713" s="1211"/>
    </row>
    <row r="714" ht="26.25" customHeight="1">
      <c r="A714" s="1253"/>
      <c r="B714" s="1213"/>
      <c r="C714" s="1213"/>
      <c r="D714" s="1211"/>
      <c r="E714" s="1211"/>
      <c r="F714" s="1211"/>
      <c r="G714" s="1211"/>
    </row>
    <row r="715" ht="26.25" customHeight="1">
      <c r="A715" s="1253"/>
      <c r="B715" s="1213"/>
      <c r="C715" s="1213"/>
      <c r="D715" s="1211"/>
      <c r="E715" s="1211"/>
      <c r="F715" s="1211"/>
      <c r="G715" s="1211"/>
    </row>
    <row r="716" ht="26.25" customHeight="1">
      <c r="A716" s="1253"/>
      <c r="B716" s="1213"/>
      <c r="C716" s="1213"/>
      <c r="D716" s="1211"/>
      <c r="E716" s="1211"/>
      <c r="F716" s="1211"/>
      <c r="G716" s="1211"/>
    </row>
    <row r="717" ht="26.25" customHeight="1">
      <c r="A717" s="1253"/>
      <c r="B717" s="1213"/>
      <c r="C717" s="1213"/>
      <c r="D717" s="1211"/>
      <c r="E717" s="1211"/>
      <c r="F717" s="1211"/>
      <c r="G717" s="1211"/>
    </row>
    <row r="718" ht="26.25" customHeight="1">
      <c r="A718" s="1253"/>
      <c r="B718" s="1213"/>
      <c r="C718" s="1213"/>
      <c r="D718" s="1211"/>
      <c r="E718" s="1211"/>
      <c r="F718" s="1211"/>
      <c r="G718" s="1211"/>
    </row>
    <row r="719" ht="26.25" customHeight="1">
      <c r="A719" s="1253"/>
      <c r="B719" s="1213"/>
      <c r="C719" s="1213"/>
      <c r="D719" s="1211"/>
      <c r="E719" s="1211"/>
      <c r="F719" s="1211"/>
      <c r="G719" s="1211"/>
    </row>
    <row r="720" ht="26.25" customHeight="1">
      <c r="A720" s="1253"/>
      <c r="B720" s="1213"/>
      <c r="C720" s="1213"/>
      <c r="D720" s="1211"/>
      <c r="E720" s="1211"/>
      <c r="F720" s="1211"/>
      <c r="G720" s="1211"/>
    </row>
    <row r="721" ht="26.25" customHeight="1">
      <c r="A721" s="1253"/>
      <c r="B721" s="1213"/>
      <c r="C721" s="1213"/>
      <c r="D721" s="1211"/>
      <c r="E721" s="1211"/>
      <c r="F721" s="1211"/>
      <c r="G721" s="1211"/>
    </row>
    <row r="722" ht="26.25" customHeight="1">
      <c r="A722" s="1253"/>
      <c r="B722" s="1213"/>
      <c r="C722" s="1213"/>
      <c r="D722" s="1211"/>
      <c r="E722" s="1211"/>
      <c r="F722" s="1211"/>
      <c r="G722" s="1211"/>
    </row>
    <row r="723" ht="26.25" customHeight="1">
      <c r="A723" s="1253"/>
      <c r="B723" s="1213"/>
      <c r="C723" s="1213"/>
      <c r="D723" s="1211"/>
      <c r="E723" s="1211"/>
      <c r="F723" s="1211"/>
      <c r="G723" s="1211"/>
    </row>
    <row r="724" ht="26.25" customHeight="1">
      <c r="A724" s="1253"/>
      <c r="B724" s="1213"/>
      <c r="C724" s="1213"/>
      <c r="D724" s="1211"/>
      <c r="E724" s="1211"/>
      <c r="F724" s="1211"/>
      <c r="G724" s="1211"/>
    </row>
    <row r="725" ht="26.25" customHeight="1">
      <c r="A725" s="1253"/>
      <c r="B725" s="1213"/>
      <c r="C725" s="1213"/>
      <c r="D725" s="1211"/>
      <c r="E725" s="1211"/>
      <c r="F725" s="1211"/>
      <c r="G725" s="1211"/>
    </row>
    <row r="726" ht="26.25" customHeight="1">
      <c r="A726" s="1253"/>
      <c r="B726" s="1213"/>
      <c r="C726" s="1213"/>
      <c r="D726" s="1211"/>
      <c r="E726" s="1211"/>
      <c r="F726" s="1211"/>
      <c r="G726" s="1211"/>
    </row>
    <row r="727" ht="26.25" customHeight="1">
      <c r="A727" s="1253"/>
      <c r="B727" s="1213"/>
      <c r="C727" s="1213"/>
      <c r="D727" s="1211"/>
      <c r="E727" s="1211"/>
      <c r="F727" s="1211"/>
      <c r="G727" s="1211"/>
    </row>
    <row r="728" ht="26.25" customHeight="1">
      <c r="A728" s="1253"/>
      <c r="B728" s="1213"/>
      <c r="C728" s="1213"/>
      <c r="D728" s="1211"/>
      <c r="E728" s="1211"/>
      <c r="F728" s="1211"/>
      <c r="G728" s="1211"/>
    </row>
    <row r="729" ht="26.25" customHeight="1">
      <c r="A729" s="1253"/>
      <c r="B729" s="1213"/>
      <c r="C729" s="1213"/>
      <c r="D729" s="1211"/>
      <c r="E729" s="1211"/>
      <c r="F729" s="1211"/>
      <c r="G729" s="1211"/>
    </row>
    <row r="730" ht="26.25" customHeight="1">
      <c r="A730" s="1253"/>
      <c r="B730" s="1213"/>
      <c r="C730" s="1213"/>
      <c r="D730" s="1211"/>
      <c r="E730" s="1211"/>
      <c r="F730" s="1211"/>
      <c r="G730" s="1211"/>
    </row>
    <row r="731" ht="26.25" customHeight="1">
      <c r="A731" s="1253"/>
      <c r="B731" s="1213"/>
      <c r="C731" s="1213"/>
      <c r="D731" s="1211"/>
      <c r="E731" s="1211"/>
      <c r="F731" s="1211"/>
      <c r="G731" s="1211"/>
    </row>
    <row r="732" ht="26.25" customHeight="1">
      <c r="A732" s="1253"/>
      <c r="B732" s="1213"/>
      <c r="C732" s="1213"/>
      <c r="D732" s="1211"/>
      <c r="E732" s="1211"/>
      <c r="F732" s="1211"/>
      <c r="G732" s="1211"/>
    </row>
    <row r="733" ht="26.25" customHeight="1">
      <c r="A733" s="1253"/>
      <c r="B733" s="1213"/>
      <c r="C733" s="1213"/>
      <c r="D733" s="1211"/>
      <c r="E733" s="1211"/>
      <c r="F733" s="1211"/>
      <c r="G733" s="1211"/>
    </row>
    <row r="734" ht="26.25" customHeight="1">
      <c r="A734" s="1253"/>
      <c r="B734" s="1213"/>
      <c r="C734" s="1213"/>
      <c r="D734" s="1211"/>
      <c r="E734" s="1211"/>
      <c r="F734" s="1211"/>
      <c r="G734" s="1211"/>
    </row>
    <row r="735" ht="26.25" customHeight="1">
      <c r="A735" s="1253"/>
      <c r="B735" s="1213"/>
      <c r="C735" s="1213"/>
      <c r="D735" s="1211"/>
      <c r="E735" s="1211"/>
      <c r="F735" s="1211"/>
      <c r="G735" s="1211"/>
    </row>
    <row r="736" ht="26.25" customHeight="1">
      <c r="A736" s="1253"/>
      <c r="B736" s="1213"/>
      <c r="C736" s="1213"/>
      <c r="D736" s="1211"/>
      <c r="E736" s="1211"/>
      <c r="F736" s="1211"/>
      <c r="G736" s="1211"/>
    </row>
    <row r="737" ht="26.25" customHeight="1">
      <c r="A737" s="1253"/>
      <c r="B737" s="1213"/>
      <c r="C737" s="1213"/>
      <c r="D737" s="1211"/>
      <c r="E737" s="1211"/>
      <c r="F737" s="1211"/>
      <c r="G737" s="1211"/>
    </row>
    <row r="738" ht="26.25" customHeight="1">
      <c r="A738" s="1253"/>
      <c r="B738" s="1213"/>
      <c r="C738" s="1213"/>
      <c r="D738" s="1211"/>
      <c r="E738" s="1211"/>
      <c r="F738" s="1211"/>
      <c r="G738" s="1211"/>
    </row>
    <row r="739" ht="26.25" customHeight="1">
      <c r="A739" s="1253"/>
      <c r="B739" s="1213"/>
      <c r="C739" s="1213"/>
      <c r="D739" s="1211"/>
      <c r="E739" s="1211"/>
      <c r="F739" s="1211"/>
      <c r="G739" s="1211"/>
    </row>
    <row r="740" ht="26.25" customHeight="1">
      <c r="A740" s="1253"/>
      <c r="B740" s="1213"/>
      <c r="C740" s="1213"/>
      <c r="D740" s="1211"/>
      <c r="E740" s="1211"/>
      <c r="F740" s="1211"/>
      <c r="G740" s="1211"/>
    </row>
    <row r="741" ht="26.25" customHeight="1">
      <c r="A741" s="1253"/>
      <c r="B741" s="1213"/>
      <c r="C741" s="1213"/>
      <c r="D741" s="1211"/>
      <c r="E741" s="1211"/>
      <c r="F741" s="1211"/>
      <c r="G741" s="1211"/>
    </row>
    <row r="742" ht="26.25" customHeight="1">
      <c r="A742" s="1253"/>
      <c r="B742" s="1213"/>
      <c r="C742" s="1213"/>
      <c r="D742" s="1211"/>
      <c r="E742" s="1211"/>
      <c r="F742" s="1211"/>
      <c r="G742" s="1211"/>
    </row>
    <row r="743" ht="26.25" customHeight="1">
      <c r="A743" s="1253"/>
      <c r="B743" s="1213"/>
      <c r="C743" s="1213"/>
      <c r="D743" s="1211"/>
      <c r="E743" s="1211"/>
      <c r="F743" s="1211"/>
      <c r="G743" s="1211"/>
    </row>
    <row r="744" ht="26.25" customHeight="1">
      <c r="A744" s="1253"/>
      <c r="B744" s="1213"/>
      <c r="C744" s="1213"/>
      <c r="D744" s="1211"/>
      <c r="E744" s="1211"/>
      <c r="F744" s="1211"/>
      <c r="G744" s="1211"/>
    </row>
    <row r="745" ht="26.25" customHeight="1">
      <c r="A745" s="1253"/>
      <c r="B745" s="1213"/>
      <c r="C745" s="1213"/>
      <c r="D745" s="1211"/>
      <c r="E745" s="1211"/>
      <c r="F745" s="1211"/>
      <c r="G745" s="1211"/>
    </row>
    <row r="746" ht="26.25" customHeight="1">
      <c r="A746" s="1253"/>
      <c r="B746" s="1213"/>
      <c r="C746" s="1213"/>
      <c r="D746" s="1211"/>
      <c r="E746" s="1211"/>
      <c r="F746" s="1211"/>
      <c r="G746" s="1211"/>
    </row>
    <row r="747" ht="26.25" customHeight="1">
      <c r="A747" s="1253"/>
      <c r="B747" s="1213"/>
      <c r="C747" s="1213"/>
      <c r="D747" s="1211"/>
      <c r="E747" s="1211"/>
      <c r="F747" s="1211"/>
      <c r="G747" s="1211"/>
    </row>
    <row r="748" ht="26.25" customHeight="1">
      <c r="A748" s="1253"/>
      <c r="B748" s="1213"/>
      <c r="C748" s="1213"/>
      <c r="D748" s="1211"/>
      <c r="E748" s="1211"/>
      <c r="F748" s="1211"/>
      <c r="G748" s="1211"/>
    </row>
    <row r="749" ht="26.25" customHeight="1">
      <c r="A749" s="1253"/>
      <c r="B749" s="1213"/>
      <c r="C749" s="1213"/>
      <c r="D749" s="1211"/>
      <c r="E749" s="1211"/>
      <c r="F749" s="1211"/>
      <c r="G749" s="1211"/>
    </row>
    <row r="750" ht="26.25" customHeight="1">
      <c r="A750" s="1253"/>
      <c r="B750" s="1213"/>
      <c r="C750" s="1213"/>
      <c r="D750" s="1211"/>
      <c r="E750" s="1211"/>
      <c r="F750" s="1211"/>
      <c r="G750" s="1211"/>
    </row>
    <row r="751" ht="26.25" customHeight="1">
      <c r="A751" s="1253"/>
      <c r="B751" s="1213"/>
      <c r="C751" s="1213"/>
      <c r="D751" s="1211"/>
      <c r="E751" s="1211"/>
      <c r="F751" s="1211"/>
      <c r="G751" s="1211"/>
    </row>
    <row r="752" ht="26.25" customHeight="1">
      <c r="A752" s="1253"/>
      <c r="B752" s="1213"/>
      <c r="C752" s="1213"/>
      <c r="D752" s="1211"/>
      <c r="E752" s="1211"/>
      <c r="F752" s="1211"/>
      <c r="G752" s="1211"/>
    </row>
    <row r="753" ht="26.25" customHeight="1">
      <c r="A753" s="1253"/>
      <c r="B753" s="1213"/>
      <c r="C753" s="1213"/>
      <c r="D753" s="1211"/>
      <c r="E753" s="1211"/>
      <c r="F753" s="1211"/>
      <c r="G753" s="1211"/>
    </row>
    <row r="754" ht="26.25" customHeight="1">
      <c r="A754" s="1253"/>
      <c r="B754" s="1213"/>
      <c r="C754" s="1213"/>
      <c r="D754" s="1211"/>
      <c r="E754" s="1211"/>
      <c r="F754" s="1211"/>
      <c r="G754" s="1211"/>
    </row>
    <row r="755" ht="26.25" customHeight="1">
      <c r="A755" s="1253"/>
      <c r="B755" s="1213"/>
      <c r="C755" s="1213"/>
      <c r="D755" s="1211"/>
      <c r="E755" s="1211"/>
      <c r="F755" s="1211"/>
      <c r="G755" s="1211"/>
    </row>
    <row r="756" ht="26.25" customHeight="1">
      <c r="A756" s="1253"/>
      <c r="B756" s="1213"/>
      <c r="C756" s="1213"/>
      <c r="D756" s="1211"/>
      <c r="E756" s="1211"/>
      <c r="F756" s="1211"/>
      <c r="G756" s="1211"/>
    </row>
    <row r="757" ht="26.25" customHeight="1">
      <c r="A757" s="1253"/>
      <c r="B757" s="1213"/>
      <c r="C757" s="1213"/>
      <c r="D757" s="1211"/>
      <c r="E757" s="1211"/>
      <c r="F757" s="1211"/>
      <c r="G757" s="1211"/>
    </row>
    <row r="758" ht="26.25" customHeight="1">
      <c r="A758" s="1253"/>
      <c r="B758" s="1213"/>
      <c r="C758" s="1213"/>
      <c r="D758" s="1211"/>
      <c r="E758" s="1211"/>
      <c r="F758" s="1211"/>
      <c r="G758" s="1211"/>
    </row>
    <row r="759" ht="26.25" customHeight="1">
      <c r="A759" s="1253"/>
      <c r="B759" s="1213"/>
      <c r="C759" s="1213"/>
      <c r="D759" s="1211"/>
      <c r="E759" s="1211"/>
      <c r="F759" s="1211"/>
      <c r="G759" s="1211"/>
    </row>
    <row r="760" ht="26.25" customHeight="1">
      <c r="A760" s="1253"/>
      <c r="B760" s="1213"/>
      <c r="C760" s="1213"/>
      <c r="D760" s="1211"/>
      <c r="E760" s="1211"/>
      <c r="F760" s="1211"/>
      <c r="G760" s="1211"/>
    </row>
    <row r="761" ht="26.25" customHeight="1">
      <c r="A761" s="1253"/>
      <c r="B761" s="1213"/>
      <c r="C761" s="1213"/>
      <c r="D761" s="1211"/>
      <c r="E761" s="1211"/>
      <c r="F761" s="1211"/>
      <c r="G761" s="1211"/>
    </row>
    <row r="762" ht="26.25" customHeight="1">
      <c r="A762" s="1253"/>
      <c r="B762" s="1213"/>
      <c r="C762" s="1213"/>
      <c r="D762" s="1211"/>
      <c r="E762" s="1211"/>
      <c r="F762" s="1211"/>
      <c r="G762" s="1211"/>
    </row>
    <row r="763" ht="26.25" customHeight="1">
      <c r="A763" s="1253"/>
      <c r="B763" s="1213"/>
      <c r="C763" s="1213"/>
      <c r="D763" s="1211"/>
      <c r="E763" s="1211"/>
      <c r="F763" s="1211"/>
      <c r="G763" s="1211"/>
    </row>
    <row r="764" ht="26.25" customHeight="1">
      <c r="A764" s="1253"/>
      <c r="B764" s="1213"/>
      <c r="C764" s="1213"/>
      <c r="D764" s="1211"/>
      <c r="E764" s="1211"/>
      <c r="F764" s="1211"/>
      <c r="G764" s="1211"/>
    </row>
    <row r="765" ht="26.25" customHeight="1">
      <c r="A765" s="1253"/>
      <c r="B765" s="1213"/>
      <c r="C765" s="1213"/>
      <c r="D765" s="1211"/>
      <c r="E765" s="1211"/>
      <c r="F765" s="1211"/>
      <c r="G765" s="1211"/>
    </row>
    <row r="766" ht="26.25" customHeight="1">
      <c r="A766" s="1253"/>
      <c r="B766" s="1213"/>
      <c r="C766" s="1213"/>
      <c r="D766" s="1211"/>
      <c r="E766" s="1211"/>
      <c r="F766" s="1211"/>
      <c r="G766" s="1211"/>
    </row>
    <row r="767" ht="26.25" customHeight="1">
      <c r="A767" s="1253"/>
      <c r="B767" s="1213"/>
      <c r="C767" s="1213"/>
      <c r="D767" s="1211"/>
      <c r="E767" s="1211"/>
      <c r="F767" s="1211"/>
      <c r="G767" s="1211"/>
    </row>
    <row r="768" ht="26.25" customHeight="1">
      <c r="A768" s="1253"/>
      <c r="B768" s="1213"/>
      <c r="C768" s="1213"/>
      <c r="D768" s="1211"/>
      <c r="E768" s="1211"/>
      <c r="F768" s="1211"/>
      <c r="G768" s="1211"/>
    </row>
    <row r="769" ht="26.25" customHeight="1">
      <c r="A769" s="1253"/>
      <c r="B769" s="1213"/>
      <c r="C769" s="1213"/>
      <c r="D769" s="1211"/>
      <c r="E769" s="1211"/>
      <c r="F769" s="1211"/>
      <c r="G769" s="1211"/>
    </row>
    <row r="770" ht="26.25" customHeight="1">
      <c r="A770" s="1253"/>
      <c r="B770" s="1213"/>
      <c r="C770" s="1213"/>
      <c r="D770" s="1211"/>
      <c r="E770" s="1211"/>
      <c r="F770" s="1211"/>
      <c r="G770" s="1211"/>
    </row>
    <row r="771" ht="26.25" customHeight="1">
      <c r="A771" s="1253"/>
      <c r="B771" s="1213"/>
      <c r="C771" s="1213"/>
      <c r="D771" s="1211"/>
      <c r="E771" s="1211"/>
      <c r="F771" s="1211"/>
      <c r="G771" s="1211"/>
    </row>
    <row r="772" ht="26.25" customHeight="1">
      <c r="A772" s="1253"/>
      <c r="B772" s="1213"/>
      <c r="C772" s="1213"/>
      <c r="D772" s="1211"/>
      <c r="E772" s="1211"/>
      <c r="F772" s="1211"/>
      <c r="G772" s="1211"/>
    </row>
    <row r="773" ht="26.25" customHeight="1">
      <c r="A773" s="1253"/>
      <c r="B773" s="1213"/>
      <c r="C773" s="1213"/>
      <c r="D773" s="1211"/>
      <c r="E773" s="1211"/>
      <c r="F773" s="1211"/>
      <c r="G773" s="1211"/>
    </row>
    <row r="774" ht="26.25" customHeight="1">
      <c r="A774" s="1253"/>
      <c r="B774" s="1213"/>
      <c r="C774" s="1213"/>
      <c r="D774" s="1211"/>
      <c r="E774" s="1211"/>
      <c r="F774" s="1211"/>
      <c r="G774" s="1211"/>
    </row>
    <row r="775" ht="26.25" customHeight="1">
      <c r="A775" s="1253"/>
      <c r="B775" s="1213"/>
      <c r="C775" s="1213"/>
      <c r="D775" s="1211"/>
      <c r="E775" s="1211"/>
      <c r="F775" s="1211"/>
      <c r="G775" s="1211"/>
    </row>
    <row r="776" ht="26.25" customHeight="1">
      <c r="A776" s="1253"/>
      <c r="B776" s="1213"/>
      <c r="C776" s="1213"/>
      <c r="D776" s="1211"/>
      <c r="E776" s="1211"/>
      <c r="F776" s="1211"/>
      <c r="G776" s="1211"/>
    </row>
    <row r="777" ht="26.25" customHeight="1">
      <c r="A777" s="1253"/>
      <c r="B777" s="1213"/>
      <c r="C777" s="1213"/>
      <c r="D777" s="1211"/>
      <c r="E777" s="1211"/>
      <c r="F777" s="1211"/>
      <c r="G777" s="1211"/>
    </row>
    <row r="778" ht="26.25" customHeight="1">
      <c r="A778" s="1253"/>
      <c r="B778" s="1213"/>
      <c r="C778" s="1213"/>
      <c r="D778" s="1211"/>
      <c r="E778" s="1211"/>
      <c r="F778" s="1211"/>
      <c r="G778" s="1211"/>
    </row>
    <row r="779" ht="26.25" customHeight="1">
      <c r="A779" s="1253"/>
      <c r="B779" s="1213"/>
      <c r="C779" s="1213"/>
      <c r="D779" s="1211"/>
      <c r="E779" s="1211"/>
      <c r="F779" s="1211"/>
      <c r="G779" s="1211"/>
    </row>
    <row r="780" ht="26.25" customHeight="1">
      <c r="A780" s="1253"/>
      <c r="B780" s="1213"/>
      <c r="C780" s="1213"/>
      <c r="D780" s="1211"/>
      <c r="E780" s="1211"/>
      <c r="F780" s="1211"/>
      <c r="G780" s="1211"/>
    </row>
    <row r="781" ht="26.25" customHeight="1">
      <c r="A781" s="1253"/>
      <c r="B781" s="1213"/>
      <c r="C781" s="1213"/>
      <c r="D781" s="1211"/>
      <c r="E781" s="1211"/>
      <c r="F781" s="1211"/>
      <c r="G781" s="1211"/>
    </row>
    <row r="782" ht="26.25" customHeight="1">
      <c r="A782" s="1253"/>
      <c r="B782" s="1213"/>
      <c r="C782" s="1213"/>
      <c r="D782" s="1211"/>
      <c r="E782" s="1211"/>
      <c r="F782" s="1211"/>
      <c r="G782" s="1211"/>
    </row>
    <row r="783" ht="26.25" customHeight="1">
      <c r="A783" s="1253"/>
      <c r="B783" s="1213"/>
      <c r="C783" s="1213"/>
      <c r="D783" s="1211"/>
      <c r="E783" s="1211"/>
      <c r="F783" s="1211"/>
      <c r="G783" s="1211"/>
    </row>
    <row r="784" ht="26.25" customHeight="1">
      <c r="A784" s="1253"/>
      <c r="B784" s="1213"/>
      <c r="C784" s="1213"/>
      <c r="D784" s="1211"/>
      <c r="E784" s="1211"/>
      <c r="F784" s="1211"/>
      <c r="G784" s="1211"/>
    </row>
    <row r="785" ht="26.25" customHeight="1">
      <c r="A785" s="1253"/>
      <c r="B785" s="1213"/>
      <c r="C785" s="1213"/>
      <c r="D785" s="1211"/>
      <c r="E785" s="1211"/>
      <c r="F785" s="1211"/>
      <c r="G785" s="1211"/>
    </row>
    <row r="786" ht="26.25" customHeight="1">
      <c r="A786" s="1253"/>
      <c r="B786" s="1213"/>
      <c r="C786" s="1213"/>
      <c r="D786" s="1211"/>
      <c r="E786" s="1211"/>
      <c r="F786" s="1211"/>
      <c r="G786" s="1211"/>
    </row>
    <row r="787" ht="26.25" customHeight="1">
      <c r="A787" s="1253"/>
      <c r="B787" s="1213"/>
      <c r="C787" s="1213"/>
      <c r="D787" s="1211"/>
      <c r="E787" s="1211"/>
      <c r="F787" s="1211"/>
      <c r="G787" s="1211"/>
    </row>
    <row r="788" ht="26.25" customHeight="1">
      <c r="A788" s="1253"/>
      <c r="B788" s="1213"/>
      <c r="C788" s="1213"/>
      <c r="D788" s="1211"/>
      <c r="E788" s="1211"/>
      <c r="F788" s="1211"/>
      <c r="G788" s="1211"/>
    </row>
    <row r="789" ht="26.25" customHeight="1">
      <c r="A789" s="1253"/>
      <c r="B789" s="1213"/>
      <c r="C789" s="1213"/>
      <c r="D789" s="1211"/>
      <c r="E789" s="1211"/>
      <c r="F789" s="1211"/>
      <c r="G789" s="1211"/>
    </row>
    <row r="790" ht="26.25" customHeight="1">
      <c r="A790" s="1253"/>
      <c r="B790" s="1213"/>
      <c r="C790" s="1213"/>
      <c r="D790" s="1211"/>
      <c r="E790" s="1211"/>
      <c r="F790" s="1211"/>
      <c r="G790" s="1211"/>
    </row>
    <row r="791" ht="26.25" customHeight="1">
      <c r="A791" s="1253"/>
      <c r="B791" s="1213"/>
      <c r="C791" s="1213"/>
      <c r="D791" s="1211"/>
      <c r="E791" s="1211"/>
      <c r="F791" s="1211"/>
      <c r="G791" s="1211"/>
    </row>
    <row r="792" ht="26.25" customHeight="1">
      <c r="A792" s="1253"/>
      <c r="B792" s="1213"/>
      <c r="C792" s="1213"/>
      <c r="D792" s="1211"/>
      <c r="E792" s="1211"/>
      <c r="F792" s="1211"/>
      <c r="G792" s="1211"/>
    </row>
    <row r="793" ht="26.25" customHeight="1">
      <c r="A793" s="1253"/>
      <c r="B793" s="1213"/>
      <c r="C793" s="1213"/>
      <c r="D793" s="1211"/>
      <c r="E793" s="1211"/>
      <c r="F793" s="1211"/>
      <c r="G793" s="1211"/>
    </row>
    <row r="794" ht="26.25" customHeight="1">
      <c r="A794" s="1253"/>
      <c r="B794" s="1213"/>
      <c r="C794" s="1213"/>
      <c r="D794" s="1211"/>
      <c r="E794" s="1211"/>
      <c r="F794" s="1211"/>
      <c r="G794" s="1211"/>
    </row>
    <row r="795" ht="26.25" customHeight="1">
      <c r="A795" s="1253"/>
      <c r="B795" s="1213"/>
      <c r="C795" s="1213"/>
      <c r="D795" s="1211"/>
      <c r="E795" s="1211"/>
      <c r="F795" s="1211"/>
      <c r="G795" s="1211"/>
    </row>
    <row r="796" ht="26.25" customHeight="1">
      <c r="A796" s="1253"/>
      <c r="B796" s="1213"/>
      <c r="C796" s="1213"/>
      <c r="D796" s="1211"/>
      <c r="E796" s="1211"/>
      <c r="F796" s="1211"/>
      <c r="G796" s="1211"/>
    </row>
    <row r="797" ht="26.25" customHeight="1">
      <c r="A797" s="1253"/>
      <c r="B797" s="1213"/>
      <c r="C797" s="1213"/>
      <c r="D797" s="1211"/>
      <c r="E797" s="1211"/>
      <c r="F797" s="1211"/>
      <c r="G797" s="1211"/>
    </row>
    <row r="798" ht="26.25" customHeight="1">
      <c r="A798" s="1253"/>
      <c r="B798" s="1213"/>
      <c r="C798" s="1213"/>
      <c r="D798" s="1211"/>
      <c r="E798" s="1211"/>
      <c r="F798" s="1211"/>
      <c r="G798" s="1211"/>
    </row>
    <row r="799" ht="26.25" customHeight="1">
      <c r="A799" s="1253"/>
      <c r="B799" s="1213"/>
      <c r="C799" s="1213"/>
      <c r="D799" s="1211"/>
      <c r="E799" s="1211"/>
      <c r="F799" s="1211"/>
      <c r="G799" s="1211"/>
    </row>
    <row r="800" ht="26.25" customHeight="1">
      <c r="A800" s="1253"/>
      <c r="B800" s="1213"/>
      <c r="C800" s="1213"/>
      <c r="D800" s="1211"/>
      <c r="E800" s="1211"/>
      <c r="F800" s="1211"/>
      <c r="G800" s="1211"/>
    </row>
    <row r="801" ht="26.25" customHeight="1">
      <c r="A801" s="1253"/>
      <c r="B801" s="1213"/>
      <c r="C801" s="1213"/>
      <c r="D801" s="1211"/>
      <c r="E801" s="1211"/>
      <c r="F801" s="1211"/>
      <c r="G801" s="1211"/>
    </row>
    <row r="802" ht="26.25" customHeight="1">
      <c r="A802" s="1253"/>
      <c r="B802" s="1213"/>
      <c r="C802" s="1213"/>
      <c r="D802" s="1211"/>
      <c r="E802" s="1211"/>
      <c r="F802" s="1211"/>
      <c r="G802" s="1211"/>
    </row>
    <row r="803" ht="26.25" customHeight="1">
      <c r="A803" s="1253"/>
      <c r="B803" s="1213"/>
      <c r="C803" s="1213"/>
      <c r="D803" s="1211"/>
      <c r="E803" s="1211"/>
      <c r="F803" s="1211"/>
      <c r="G803" s="1211"/>
    </row>
    <row r="804" ht="26.25" customHeight="1">
      <c r="A804" s="1253"/>
      <c r="B804" s="1213"/>
      <c r="C804" s="1213"/>
      <c r="D804" s="1211"/>
      <c r="E804" s="1211"/>
      <c r="F804" s="1211"/>
      <c r="G804" s="1211"/>
    </row>
    <row r="805" ht="26.25" customHeight="1">
      <c r="A805" s="1253"/>
      <c r="B805" s="1213"/>
      <c r="C805" s="1213"/>
      <c r="D805" s="1211"/>
      <c r="E805" s="1211"/>
      <c r="F805" s="1211"/>
      <c r="G805" s="1211"/>
    </row>
    <row r="806" ht="26.25" customHeight="1">
      <c r="A806" s="1253"/>
      <c r="B806" s="1213"/>
      <c r="C806" s="1213"/>
      <c r="D806" s="1211"/>
      <c r="E806" s="1211"/>
      <c r="F806" s="1211"/>
      <c r="G806" s="1211"/>
    </row>
    <row r="807" ht="26.25" customHeight="1">
      <c r="A807" s="1253"/>
      <c r="B807" s="1213"/>
      <c r="C807" s="1213"/>
      <c r="D807" s="1211"/>
      <c r="E807" s="1211"/>
      <c r="F807" s="1211"/>
      <c r="G807" s="1211"/>
    </row>
    <row r="808" ht="26.25" customHeight="1">
      <c r="A808" s="1253"/>
      <c r="B808" s="1213"/>
      <c r="C808" s="1213"/>
      <c r="D808" s="1211"/>
      <c r="E808" s="1211"/>
      <c r="F808" s="1211"/>
      <c r="G808" s="1211"/>
    </row>
    <row r="809" ht="26.25" customHeight="1">
      <c r="A809" s="1253"/>
      <c r="B809" s="1213"/>
      <c r="C809" s="1213"/>
      <c r="D809" s="1211"/>
      <c r="E809" s="1211"/>
      <c r="F809" s="1211"/>
      <c r="G809" s="1211"/>
    </row>
    <row r="810" ht="26.25" customHeight="1">
      <c r="A810" s="1253"/>
      <c r="B810" s="1213"/>
      <c r="C810" s="1213"/>
      <c r="D810" s="1211"/>
      <c r="E810" s="1211"/>
      <c r="F810" s="1211"/>
      <c r="G810" s="1211"/>
    </row>
    <row r="811" ht="26.25" customHeight="1">
      <c r="A811" s="1253"/>
      <c r="B811" s="1213"/>
      <c r="C811" s="1213"/>
      <c r="D811" s="1211"/>
      <c r="E811" s="1211"/>
      <c r="F811" s="1211"/>
      <c r="G811" s="1211"/>
    </row>
    <row r="812" ht="26.25" customHeight="1">
      <c r="A812" s="1253"/>
      <c r="B812" s="1213"/>
      <c r="C812" s="1213"/>
      <c r="D812" s="1211"/>
      <c r="E812" s="1211"/>
      <c r="F812" s="1211"/>
      <c r="G812" s="1211"/>
    </row>
    <row r="813" ht="26.25" customHeight="1">
      <c r="A813" s="1253"/>
      <c r="B813" s="1213"/>
      <c r="C813" s="1213"/>
      <c r="D813" s="1211"/>
      <c r="E813" s="1211"/>
      <c r="F813" s="1211"/>
      <c r="G813" s="1211"/>
    </row>
    <row r="814" ht="26.25" customHeight="1">
      <c r="A814" s="1253"/>
      <c r="B814" s="1213"/>
      <c r="C814" s="1213"/>
      <c r="D814" s="1211"/>
      <c r="E814" s="1211"/>
      <c r="F814" s="1211"/>
      <c r="G814" s="1211"/>
    </row>
    <row r="815" ht="26.25" customHeight="1">
      <c r="A815" s="1253"/>
      <c r="B815" s="1213"/>
      <c r="C815" s="1213"/>
      <c r="D815" s="1211"/>
      <c r="E815" s="1211"/>
      <c r="F815" s="1211"/>
      <c r="G815" s="1211"/>
    </row>
    <row r="816" ht="26.25" customHeight="1">
      <c r="A816" s="1253"/>
      <c r="B816" s="1213"/>
      <c r="C816" s="1213"/>
      <c r="D816" s="1211"/>
      <c r="E816" s="1211"/>
      <c r="F816" s="1211"/>
      <c r="G816" s="1211"/>
    </row>
    <row r="817" ht="26.25" customHeight="1">
      <c r="A817" s="1253"/>
      <c r="B817" s="1213"/>
      <c r="C817" s="1213"/>
      <c r="D817" s="1211"/>
      <c r="E817" s="1211"/>
      <c r="F817" s="1211"/>
      <c r="G817" s="1211"/>
    </row>
    <row r="818" ht="26.25" customHeight="1">
      <c r="A818" s="1253"/>
      <c r="B818" s="1213"/>
      <c r="C818" s="1213"/>
      <c r="D818" s="1211"/>
      <c r="E818" s="1211"/>
      <c r="F818" s="1211"/>
      <c r="G818" s="1211"/>
    </row>
    <row r="819" ht="26.25" customHeight="1">
      <c r="A819" s="1253"/>
      <c r="B819" s="1213"/>
      <c r="C819" s="1213"/>
      <c r="D819" s="1211"/>
      <c r="E819" s="1211"/>
      <c r="F819" s="1211"/>
      <c r="G819" s="1211"/>
    </row>
    <row r="820" ht="26.25" customHeight="1">
      <c r="A820" s="1253"/>
      <c r="B820" s="1213"/>
      <c r="C820" s="1213"/>
      <c r="D820" s="1211"/>
      <c r="E820" s="1211"/>
      <c r="F820" s="1211"/>
      <c r="G820" s="1211"/>
    </row>
    <row r="821" ht="26.25" customHeight="1">
      <c r="A821" s="1253"/>
      <c r="B821" s="1213"/>
      <c r="C821" s="1213"/>
      <c r="D821" s="1211"/>
      <c r="E821" s="1211"/>
      <c r="F821" s="1211"/>
      <c r="G821" s="1211"/>
    </row>
    <row r="822" ht="26.25" customHeight="1">
      <c r="A822" s="1253"/>
      <c r="B822" s="1213"/>
      <c r="C822" s="1213"/>
      <c r="D822" s="1211"/>
      <c r="E822" s="1211"/>
      <c r="F822" s="1211"/>
      <c r="G822" s="1211"/>
    </row>
    <row r="823" ht="26.25" customHeight="1">
      <c r="A823" s="1253"/>
      <c r="B823" s="1213"/>
      <c r="C823" s="1213"/>
      <c r="D823" s="1211"/>
      <c r="E823" s="1211"/>
      <c r="F823" s="1211"/>
      <c r="G823" s="1211"/>
    </row>
    <row r="824" ht="26.25" customHeight="1">
      <c r="A824" s="1253"/>
      <c r="B824" s="1213"/>
      <c r="C824" s="1213"/>
      <c r="D824" s="1211"/>
      <c r="E824" s="1211"/>
      <c r="F824" s="1211"/>
      <c r="G824" s="1211"/>
    </row>
    <row r="825" ht="26.25" customHeight="1">
      <c r="A825" s="1253"/>
      <c r="B825" s="1213"/>
      <c r="C825" s="1213"/>
      <c r="D825" s="1211"/>
      <c r="E825" s="1211"/>
      <c r="F825" s="1211"/>
      <c r="G825" s="1211"/>
    </row>
    <row r="826" ht="26.25" customHeight="1">
      <c r="A826" s="1253"/>
      <c r="B826" s="1213"/>
      <c r="C826" s="1213"/>
      <c r="D826" s="1211"/>
      <c r="E826" s="1211"/>
      <c r="F826" s="1211"/>
      <c r="G826" s="1211"/>
    </row>
    <row r="827" ht="26.25" customHeight="1">
      <c r="A827" s="1253"/>
      <c r="B827" s="1213"/>
      <c r="C827" s="1213"/>
      <c r="D827" s="1211"/>
      <c r="E827" s="1211"/>
      <c r="F827" s="1211"/>
      <c r="G827" s="1211"/>
    </row>
    <row r="828" ht="26.25" customHeight="1">
      <c r="A828" s="1253"/>
      <c r="B828" s="1213"/>
      <c r="C828" s="1213"/>
      <c r="D828" s="1211"/>
      <c r="E828" s="1211"/>
      <c r="F828" s="1211"/>
      <c r="G828" s="1211"/>
    </row>
    <row r="829" ht="26.25" customHeight="1">
      <c r="A829" s="1253"/>
      <c r="B829" s="1213"/>
      <c r="C829" s="1213"/>
      <c r="D829" s="1211"/>
      <c r="E829" s="1211"/>
      <c r="F829" s="1211"/>
      <c r="G829" s="1211"/>
    </row>
    <row r="830" ht="26.25" customHeight="1">
      <c r="A830" s="1253"/>
      <c r="B830" s="1213"/>
      <c r="C830" s="1213"/>
      <c r="D830" s="1211"/>
      <c r="E830" s="1211"/>
      <c r="F830" s="1211"/>
      <c r="G830" s="1211"/>
    </row>
    <row r="831" ht="26.25" customHeight="1">
      <c r="A831" s="1253"/>
      <c r="B831" s="1213"/>
      <c r="C831" s="1213"/>
      <c r="D831" s="1211"/>
      <c r="E831" s="1211"/>
      <c r="F831" s="1211"/>
      <c r="G831" s="1211"/>
    </row>
    <row r="832" ht="26.25" customHeight="1">
      <c r="A832" s="1253"/>
      <c r="B832" s="1213"/>
      <c r="C832" s="1213"/>
      <c r="D832" s="1211"/>
      <c r="E832" s="1211"/>
      <c r="F832" s="1211"/>
      <c r="G832" s="1211"/>
    </row>
    <row r="833" ht="26.25" customHeight="1">
      <c r="A833" s="1253"/>
      <c r="B833" s="1213"/>
      <c r="C833" s="1213"/>
      <c r="D833" s="1211"/>
      <c r="E833" s="1211"/>
      <c r="F833" s="1211"/>
      <c r="G833" s="1211"/>
    </row>
    <row r="834" ht="26.25" customHeight="1">
      <c r="A834" s="1253"/>
      <c r="B834" s="1213"/>
      <c r="C834" s="1213"/>
      <c r="D834" s="1211"/>
      <c r="E834" s="1211"/>
      <c r="F834" s="1211"/>
      <c r="G834" s="1211"/>
    </row>
    <row r="835" ht="26.25" customHeight="1">
      <c r="A835" s="1253"/>
      <c r="B835" s="1213"/>
      <c r="C835" s="1213"/>
      <c r="D835" s="1211"/>
      <c r="E835" s="1211"/>
      <c r="F835" s="1211"/>
      <c r="G835" s="1211"/>
    </row>
    <row r="836" ht="26.25" customHeight="1">
      <c r="A836" s="1253"/>
      <c r="B836" s="1213"/>
      <c r="C836" s="1213"/>
      <c r="D836" s="1211"/>
      <c r="E836" s="1211"/>
      <c r="F836" s="1211"/>
      <c r="G836" s="1211"/>
    </row>
    <row r="837" ht="26.25" customHeight="1">
      <c r="A837" s="1253"/>
      <c r="B837" s="1213"/>
      <c r="C837" s="1213"/>
      <c r="D837" s="1211"/>
      <c r="E837" s="1211"/>
      <c r="F837" s="1211"/>
      <c r="G837" s="1211"/>
    </row>
    <row r="838" ht="26.25" customHeight="1">
      <c r="A838" s="1253"/>
      <c r="B838" s="1213"/>
      <c r="C838" s="1213"/>
      <c r="D838" s="1211"/>
      <c r="E838" s="1211"/>
      <c r="F838" s="1211"/>
      <c r="G838" s="1211"/>
    </row>
    <row r="839" ht="26.25" customHeight="1">
      <c r="A839" s="1253"/>
      <c r="B839" s="1213"/>
      <c r="C839" s="1213"/>
      <c r="D839" s="1211"/>
      <c r="E839" s="1211"/>
      <c r="F839" s="1211"/>
      <c r="G839" s="1211"/>
    </row>
    <row r="840" ht="26.25" customHeight="1">
      <c r="A840" s="1253"/>
      <c r="B840" s="1213"/>
      <c r="C840" s="1213"/>
      <c r="D840" s="1211"/>
      <c r="E840" s="1211"/>
      <c r="F840" s="1211"/>
      <c r="G840" s="1211"/>
    </row>
    <row r="841" ht="26.25" customHeight="1">
      <c r="A841" s="1253"/>
      <c r="B841" s="1213"/>
      <c r="C841" s="1213"/>
      <c r="D841" s="1211"/>
      <c r="E841" s="1211"/>
      <c r="F841" s="1211"/>
      <c r="G841" s="1211"/>
    </row>
    <row r="842" ht="26.25" customHeight="1">
      <c r="A842" s="1253"/>
      <c r="B842" s="1213"/>
      <c r="C842" s="1213"/>
      <c r="D842" s="1211"/>
      <c r="E842" s="1211"/>
      <c r="F842" s="1211"/>
      <c r="G842" s="1211"/>
    </row>
    <row r="843" ht="26.25" customHeight="1">
      <c r="A843" s="1253"/>
      <c r="B843" s="1213"/>
      <c r="C843" s="1213"/>
      <c r="D843" s="1211"/>
      <c r="E843" s="1211"/>
      <c r="F843" s="1211"/>
      <c r="G843" s="1211"/>
    </row>
    <row r="844" ht="26.25" customHeight="1">
      <c r="A844" s="1253"/>
      <c r="B844" s="1213"/>
      <c r="C844" s="1213"/>
      <c r="D844" s="1211"/>
      <c r="E844" s="1211"/>
      <c r="F844" s="1211"/>
      <c r="G844" s="1211"/>
    </row>
    <row r="845" ht="26.25" customHeight="1">
      <c r="A845" s="1253"/>
      <c r="B845" s="1213"/>
      <c r="C845" s="1213"/>
      <c r="D845" s="1211"/>
      <c r="E845" s="1211"/>
      <c r="F845" s="1211"/>
      <c r="G845" s="1211"/>
    </row>
    <row r="846" ht="26.25" customHeight="1">
      <c r="A846" s="1253"/>
      <c r="B846" s="1213"/>
      <c r="C846" s="1213"/>
      <c r="D846" s="1211"/>
      <c r="E846" s="1211"/>
      <c r="F846" s="1211"/>
      <c r="G846" s="1211"/>
    </row>
    <row r="847" ht="26.25" customHeight="1">
      <c r="A847" s="1253"/>
      <c r="B847" s="1213"/>
      <c r="C847" s="1213"/>
      <c r="D847" s="1211"/>
      <c r="E847" s="1211"/>
      <c r="F847" s="1211"/>
      <c r="G847" s="1211"/>
    </row>
    <row r="848" ht="26.25" customHeight="1">
      <c r="A848" s="1253"/>
      <c r="B848" s="1213"/>
      <c r="C848" s="1213"/>
      <c r="D848" s="1211"/>
      <c r="E848" s="1211"/>
      <c r="F848" s="1211"/>
      <c r="G848" s="1211"/>
    </row>
    <row r="849" ht="26.25" customHeight="1">
      <c r="A849" s="1253"/>
      <c r="B849" s="1213"/>
      <c r="C849" s="1213"/>
      <c r="D849" s="1211"/>
      <c r="E849" s="1211"/>
      <c r="F849" s="1211"/>
      <c r="G849" s="1211"/>
    </row>
    <row r="850" ht="26.25" customHeight="1">
      <c r="A850" s="1253"/>
      <c r="B850" s="1213"/>
      <c r="C850" s="1213"/>
      <c r="D850" s="1211"/>
      <c r="E850" s="1211"/>
      <c r="F850" s="1211"/>
      <c r="G850" s="1211"/>
    </row>
    <row r="851" ht="26.25" customHeight="1">
      <c r="A851" s="1253"/>
      <c r="B851" s="1213"/>
      <c r="C851" s="1213"/>
      <c r="D851" s="1211"/>
      <c r="E851" s="1211"/>
      <c r="F851" s="1211"/>
      <c r="G851" s="1211"/>
    </row>
    <row r="852" ht="26.25" customHeight="1">
      <c r="A852" s="1253"/>
      <c r="B852" s="1213"/>
      <c r="C852" s="1213"/>
      <c r="D852" s="1211"/>
      <c r="E852" s="1211"/>
      <c r="F852" s="1211"/>
      <c r="G852" s="1211"/>
    </row>
    <row r="853" ht="26.25" customHeight="1">
      <c r="A853" s="1253"/>
      <c r="B853" s="1213"/>
      <c r="C853" s="1213"/>
      <c r="D853" s="1211"/>
      <c r="E853" s="1211"/>
      <c r="F853" s="1211"/>
      <c r="G853" s="1211"/>
    </row>
    <row r="854" ht="26.25" customHeight="1">
      <c r="A854" s="1253"/>
      <c r="B854" s="1213"/>
      <c r="C854" s="1213"/>
      <c r="D854" s="1211"/>
      <c r="E854" s="1211"/>
      <c r="F854" s="1211"/>
      <c r="G854" s="1211"/>
    </row>
    <row r="855" ht="26.25" customHeight="1">
      <c r="A855" s="1253"/>
      <c r="B855" s="1213"/>
      <c r="C855" s="1213"/>
      <c r="D855" s="1211"/>
      <c r="E855" s="1211"/>
      <c r="F855" s="1211"/>
      <c r="G855" s="1211"/>
    </row>
    <row r="856" ht="26.25" customHeight="1">
      <c r="A856" s="1253"/>
      <c r="B856" s="1213"/>
      <c r="C856" s="1213"/>
      <c r="D856" s="1211"/>
      <c r="E856" s="1211"/>
      <c r="F856" s="1211"/>
      <c r="G856" s="1211"/>
    </row>
    <row r="857" ht="26.25" customHeight="1">
      <c r="A857" s="1253"/>
      <c r="B857" s="1213"/>
      <c r="C857" s="1213"/>
      <c r="D857" s="1211"/>
      <c r="E857" s="1211"/>
      <c r="F857" s="1211"/>
      <c r="G857" s="1211"/>
    </row>
    <row r="858" ht="26.25" customHeight="1">
      <c r="A858" s="1253"/>
      <c r="B858" s="1213"/>
      <c r="C858" s="1213"/>
      <c r="D858" s="1211"/>
      <c r="E858" s="1211"/>
      <c r="F858" s="1211"/>
      <c r="G858" s="1211"/>
    </row>
    <row r="859" ht="26.25" customHeight="1">
      <c r="A859" s="1253"/>
      <c r="B859" s="1213"/>
      <c r="C859" s="1213"/>
      <c r="D859" s="1211"/>
      <c r="E859" s="1211"/>
      <c r="F859" s="1211"/>
      <c r="G859" s="1211"/>
    </row>
    <row r="860" ht="26.25" customHeight="1">
      <c r="A860" s="1253"/>
      <c r="B860" s="1213"/>
      <c r="C860" s="1213"/>
      <c r="D860" s="1211"/>
      <c r="E860" s="1211"/>
      <c r="F860" s="1211"/>
      <c r="G860" s="1211"/>
    </row>
    <row r="861" ht="26.25" customHeight="1">
      <c r="A861" s="1253"/>
      <c r="B861" s="1213"/>
      <c r="C861" s="1213"/>
      <c r="D861" s="1211"/>
      <c r="E861" s="1211"/>
      <c r="F861" s="1211"/>
      <c r="G861" s="1211"/>
    </row>
    <row r="862" ht="26.25" customHeight="1">
      <c r="A862" s="1253"/>
      <c r="B862" s="1213"/>
      <c r="C862" s="1213"/>
      <c r="D862" s="1211"/>
      <c r="E862" s="1211"/>
      <c r="F862" s="1211"/>
      <c r="G862" s="1211"/>
    </row>
    <row r="863" ht="26.25" customHeight="1">
      <c r="A863" s="1253"/>
      <c r="B863" s="1213"/>
      <c r="C863" s="1213"/>
      <c r="D863" s="1211"/>
      <c r="E863" s="1211"/>
      <c r="F863" s="1211"/>
      <c r="G863" s="1211"/>
    </row>
    <row r="864" ht="26.25" customHeight="1">
      <c r="A864" s="1253"/>
      <c r="B864" s="1213"/>
      <c r="C864" s="1213"/>
      <c r="D864" s="1211"/>
      <c r="E864" s="1211"/>
      <c r="F864" s="1211"/>
      <c r="G864" s="1211"/>
    </row>
    <row r="865" ht="26.25" customHeight="1">
      <c r="A865" s="1253"/>
      <c r="B865" s="1213"/>
      <c r="C865" s="1213"/>
      <c r="D865" s="1211"/>
      <c r="E865" s="1211"/>
      <c r="F865" s="1211"/>
      <c r="G865" s="1211"/>
    </row>
    <row r="866" ht="26.25" customHeight="1">
      <c r="A866" s="1253"/>
      <c r="B866" s="1213"/>
      <c r="C866" s="1213"/>
      <c r="D866" s="1211"/>
      <c r="E866" s="1211"/>
      <c r="F866" s="1211"/>
      <c r="G866" s="1211"/>
    </row>
    <row r="867" ht="26.25" customHeight="1">
      <c r="A867" s="1253"/>
      <c r="B867" s="1213"/>
      <c r="C867" s="1213"/>
      <c r="D867" s="1211"/>
      <c r="E867" s="1211"/>
      <c r="F867" s="1211"/>
      <c r="G867" s="1211"/>
    </row>
    <row r="868" ht="26.25" customHeight="1">
      <c r="A868" s="1253"/>
      <c r="B868" s="1213"/>
      <c r="C868" s="1213"/>
      <c r="D868" s="1211"/>
      <c r="E868" s="1211"/>
      <c r="F868" s="1211"/>
      <c r="G868" s="1211"/>
    </row>
    <row r="869" ht="26.25" customHeight="1">
      <c r="A869" s="1253"/>
      <c r="B869" s="1213"/>
      <c r="C869" s="1213"/>
      <c r="D869" s="1211"/>
      <c r="E869" s="1211"/>
      <c r="F869" s="1211"/>
      <c r="G869" s="1211"/>
    </row>
    <row r="870" ht="26.25" customHeight="1">
      <c r="A870" s="1253"/>
      <c r="B870" s="1213"/>
      <c r="C870" s="1213"/>
      <c r="D870" s="1211"/>
      <c r="E870" s="1211"/>
      <c r="F870" s="1211"/>
      <c r="G870" s="1211"/>
    </row>
    <row r="871" ht="26.25" customHeight="1">
      <c r="A871" s="1253"/>
      <c r="B871" s="1213"/>
      <c r="C871" s="1213"/>
      <c r="D871" s="1211"/>
      <c r="E871" s="1211"/>
      <c r="F871" s="1211"/>
      <c r="G871" s="1211"/>
    </row>
    <row r="872" ht="26.25" customHeight="1">
      <c r="A872" s="1253"/>
      <c r="B872" s="1213"/>
      <c r="C872" s="1213"/>
      <c r="D872" s="1211"/>
      <c r="E872" s="1211"/>
      <c r="F872" s="1211"/>
      <c r="G872" s="1211"/>
    </row>
    <row r="873" ht="26.25" customHeight="1">
      <c r="A873" s="1253"/>
      <c r="B873" s="1213"/>
      <c r="C873" s="1213"/>
      <c r="D873" s="1211"/>
      <c r="E873" s="1211"/>
      <c r="F873" s="1211"/>
      <c r="G873" s="1211"/>
    </row>
    <row r="874" ht="26.25" customHeight="1">
      <c r="A874" s="1253"/>
      <c r="B874" s="1213"/>
      <c r="C874" s="1213"/>
      <c r="D874" s="1211"/>
      <c r="E874" s="1211"/>
      <c r="F874" s="1211"/>
      <c r="G874" s="1211"/>
    </row>
    <row r="875" ht="26.25" customHeight="1">
      <c r="A875" s="1253"/>
      <c r="B875" s="1213"/>
      <c r="C875" s="1213"/>
      <c r="D875" s="1211"/>
      <c r="E875" s="1211"/>
      <c r="F875" s="1211"/>
      <c r="G875" s="1211"/>
    </row>
    <row r="876" ht="26.25" customHeight="1">
      <c r="A876" s="1253"/>
      <c r="B876" s="1213"/>
      <c r="C876" s="1213"/>
      <c r="D876" s="1211"/>
      <c r="E876" s="1211"/>
      <c r="F876" s="1211"/>
      <c r="G876" s="1211"/>
    </row>
    <row r="877" ht="26.25" customHeight="1">
      <c r="A877" s="1253"/>
      <c r="B877" s="1213"/>
      <c r="C877" s="1213"/>
      <c r="D877" s="1211"/>
      <c r="E877" s="1211"/>
      <c r="F877" s="1211"/>
      <c r="G877" s="1211"/>
    </row>
    <row r="878" ht="26.25" customHeight="1">
      <c r="A878" s="1253"/>
      <c r="B878" s="1213"/>
      <c r="C878" s="1213"/>
      <c r="D878" s="1211"/>
      <c r="E878" s="1211"/>
      <c r="F878" s="1211"/>
      <c r="G878" s="1211"/>
    </row>
    <row r="879" ht="26.25" customHeight="1">
      <c r="A879" s="1253"/>
      <c r="B879" s="1213"/>
      <c r="C879" s="1213"/>
      <c r="D879" s="1211"/>
      <c r="E879" s="1211"/>
      <c r="F879" s="1211"/>
      <c r="G879" s="1211"/>
    </row>
    <row r="880" ht="26.25" customHeight="1">
      <c r="A880" s="1253"/>
      <c r="B880" s="1213"/>
      <c r="C880" s="1213"/>
      <c r="D880" s="1211"/>
      <c r="E880" s="1211"/>
      <c r="F880" s="1211"/>
      <c r="G880" s="1211"/>
    </row>
    <row r="881" ht="26.25" customHeight="1">
      <c r="A881" s="1253"/>
      <c r="B881" s="1213"/>
      <c r="C881" s="1213"/>
      <c r="D881" s="1211"/>
      <c r="E881" s="1211"/>
      <c r="F881" s="1211"/>
      <c r="G881" s="1211"/>
    </row>
    <row r="882" ht="26.25" customHeight="1">
      <c r="A882" s="1253"/>
      <c r="B882" s="1213"/>
      <c r="C882" s="1213"/>
      <c r="D882" s="1211"/>
      <c r="E882" s="1211"/>
      <c r="F882" s="1211"/>
      <c r="G882" s="1211"/>
    </row>
    <row r="883" ht="26.25" customHeight="1">
      <c r="A883" s="1253"/>
      <c r="B883" s="1213"/>
      <c r="C883" s="1213"/>
      <c r="D883" s="1211"/>
      <c r="E883" s="1211"/>
      <c r="F883" s="1211"/>
      <c r="G883" s="1211"/>
    </row>
    <row r="884" ht="26.25" customHeight="1">
      <c r="A884" s="1253"/>
      <c r="B884" s="1213"/>
      <c r="C884" s="1213"/>
      <c r="D884" s="1211"/>
      <c r="E884" s="1211"/>
      <c r="F884" s="1211"/>
      <c r="G884" s="1211"/>
    </row>
    <row r="885" ht="26.25" customHeight="1">
      <c r="A885" s="1253"/>
      <c r="B885" s="1213"/>
      <c r="C885" s="1213"/>
      <c r="D885" s="1211"/>
      <c r="E885" s="1211"/>
      <c r="F885" s="1211"/>
      <c r="G885" s="1211"/>
    </row>
    <row r="886" ht="26.25" customHeight="1">
      <c r="A886" s="1253"/>
      <c r="B886" s="1213"/>
      <c r="C886" s="1213"/>
      <c r="D886" s="1211"/>
      <c r="E886" s="1211"/>
      <c r="F886" s="1211"/>
      <c r="G886" s="1211"/>
    </row>
    <row r="887" ht="26.25" customHeight="1">
      <c r="A887" s="1253"/>
      <c r="B887" s="1213"/>
      <c r="C887" s="1213"/>
      <c r="D887" s="1211"/>
      <c r="E887" s="1211"/>
      <c r="F887" s="1211"/>
      <c r="G887" s="1211"/>
    </row>
    <row r="888" ht="26.25" customHeight="1">
      <c r="A888" s="1253"/>
      <c r="B888" s="1213"/>
      <c r="C888" s="1213"/>
      <c r="D888" s="1211"/>
      <c r="E888" s="1211"/>
      <c r="F888" s="1211"/>
      <c r="G888" s="1211"/>
    </row>
    <row r="889" ht="26.25" customHeight="1">
      <c r="A889" s="1253"/>
      <c r="B889" s="1213"/>
      <c r="C889" s="1213"/>
      <c r="D889" s="1211"/>
      <c r="E889" s="1211"/>
      <c r="F889" s="1211"/>
      <c r="G889" s="1211"/>
    </row>
    <row r="890" ht="26.25" customHeight="1">
      <c r="A890" s="1253"/>
      <c r="B890" s="1213"/>
      <c r="C890" s="1213"/>
      <c r="D890" s="1211"/>
      <c r="E890" s="1211"/>
      <c r="F890" s="1211"/>
      <c r="G890" s="1211"/>
    </row>
    <row r="891" ht="26.25" customHeight="1">
      <c r="A891" s="1253"/>
      <c r="B891" s="1213"/>
      <c r="C891" s="1213"/>
      <c r="D891" s="1211"/>
      <c r="E891" s="1211"/>
      <c r="F891" s="1211"/>
      <c r="G891" s="1211"/>
    </row>
    <row r="892" ht="26.25" customHeight="1">
      <c r="A892" s="1253"/>
      <c r="B892" s="1213"/>
      <c r="C892" s="1213"/>
      <c r="D892" s="1211"/>
      <c r="E892" s="1211"/>
      <c r="F892" s="1211"/>
      <c r="G892" s="1211"/>
    </row>
    <row r="893" ht="26.25" customHeight="1">
      <c r="A893" s="1253"/>
      <c r="B893" s="1213"/>
      <c r="C893" s="1213"/>
      <c r="D893" s="1211"/>
      <c r="E893" s="1211"/>
      <c r="F893" s="1211"/>
      <c r="G893" s="1211"/>
    </row>
    <row r="894" ht="26.25" customHeight="1">
      <c r="A894" s="1253"/>
      <c r="B894" s="1213"/>
      <c r="C894" s="1213"/>
      <c r="D894" s="1211"/>
      <c r="E894" s="1211"/>
      <c r="F894" s="1211"/>
      <c r="G894" s="1211"/>
    </row>
    <row r="895" ht="26.25" customHeight="1">
      <c r="A895" s="1253"/>
      <c r="B895" s="1213"/>
      <c r="C895" s="1213"/>
      <c r="D895" s="1211"/>
      <c r="E895" s="1211"/>
      <c r="F895" s="1211"/>
      <c r="G895" s="1211"/>
    </row>
    <row r="896" ht="26.25" customHeight="1">
      <c r="A896" s="1253"/>
      <c r="B896" s="1213"/>
      <c r="C896" s="1213"/>
      <c r="D896" s="1211"/>
      <c r="E896" s="1211"/>
      <c r="F896" s="1211"/>
      <c r="G896" s="1211"/>
    </row>
    <row r="897" ht="26.25" customHeight="1">
      <c r="A897" s="1253"/>
      <c r="B897" s="1213"/>
      <c r="C897" s="1213"/>
      <c r="D897" s="1211"/>
      <c r="E897" s="1211"/>
      <c r="F897" s="1211"/>
      <c r="G897" s="1211"/>
    </row>
    <row r="898" ht="26.25" customHeight="1">
      <c r="A898" s="1253"/>
      <c r="B898" s="1213"/>
      <c r="C898" s="1213"/>
      <c r="D898" s="1211"/>
      <c r="E898" s="1211"/>
      <c r="F898" s="1211"/>
      <c r="G898" s="1211"/>
    </row>
    <row r="899" ht="26.25" customHeight="1">
      <c r="A899" s="1253"/>
      <c r="B899" s="1213"/>
      <c r="C899" s="1213"/>
      <c r="D899" s="1211"/>
      <c r="E899" s="1211"/>
      <c r="F899" s="1211"/>
      <c r="G899" s="1211"/>
    </row>
    <row r="900" ht="26.25" customHeight="1">
      <c r="A900" s="1253"/>
      <c r="B900" s="1213"/>
      <c r="C900" s="1213"/>
      <c r="D900" s="1211"/>
      <c r="E900" s="1211"/>
      <c r="F900" s="1211"/>
      <c r="G900" s="1211"/>
    </row>
    <row r="901" ht="26.25" customHeight="1">
      <c r="A901" s="1253"/>
      <c r="B901" s="1213"/>
      <c r="C901" s="1213"/>
      <c r="D901" s="1211"/>
      <c r="E901" s="1211"/>
      <c r="F901" s="1211"/>
      <c r="G901" s="1211"/>
    </row>
    <row r="902" ht="26.25" customHeight="1">
      <c r="A902" s="1253"/>
      <c r="B902" s="1213"/>
      <c r="C902" s="1213"/>
      <c r="D902" s="1211"/>
      <c r="E902" s="1211"/>
      <c r="F902" s="1211"/>
      <c r="G902" s="1211"/>
    </row>
    <row r="903" ht="26.25" customHeight="1">
      <c r="A903" s="1253"/>
      <c r="B903" s="1213"/>
      <c r="C903" s="1213"/>
      <c r="D903" s="1211"/>
      <c r="E903" s="1211"/>
      <c r="F903" s="1211"/>
      <c r="G903" s="1211"/>
    </row>
    <row r="904" ht="26.25" customHeight="1">
      <c r="A904" s="1253"/>
      <c r="B904" s="1213"/>
      <c r="C904" s="1213"/>
      <c r="D904" s="1211"/>
      <c r="E904" s="1211"/>
      <c r="F904" s="1211"/>
      <c r="G904" s="1211"/>
    </row>
    <row r="905" ht="26.25" customHeight="1">
      <c r="A905" s="1253"/>
      <c r="B905" s="1213"/>
      <c r="C905" s="1213"/>
      <c r="D905" s="1211"/>
      <c r="E905" s="1211"/>
      <c r="F905" s="1211"/>
      <c r="G905" s="1211"/>
    </row>
    <row r="906" ht="26.25" customHeight="1">
      <c r="A906" s="1253"/>
      <c r="B906" s="1213"/>
      <c r="C906" s="1213"/>
      <c r="D906" s="1211"/>
      <c r="E906" s="1211"/>
      <c r="F906" s="1211"/>
      <c r="G906" s="1211"/>
    </row>
    <row r="907" ht="26.25" customHeight="1">
      <c r="A907" s="1253"/>
      <c r="B907" s="1213"/>
      <c r="C907" s="1213"/>
      <c r="D907" s="1211"/>
      <c r="E907" s="1211"/>
      <c r="F907" s="1211"/>
      <c r="G907" s="1211"/>
    </row>
    <row r="908" ht="26.25" customHeight="1">
      <c r="A908" s="1253"/>
      <c r="B908" s="1213"/>
      <c r="C908" s="1213"/>
      <c r="D908" s="1211"/>
      <c r="E908" s="1211"/>
      <c r="F908" s="1211"/>
      <c r="G908" s="1211"/>
    </row>
    <row r="909" ht="26.25" customHeight="1">
      <c r="A909" s="1253"/>
      <c r="B909" s="1213"/>
      <c r="C909" s="1213"/>
      <c r="D909" s="1211"/>
      <c r="E909" s="1211"/>
      <c r="F909" s="1211"/>
      <c r="G909" s="1211"/>
    </row>
    <row r="910" ht="26.25" customHeight="1">
      <c r="A910" s="1253"/>
      <c r="B910" s="1213"/>
      <c r="C910" s="1213"/>
      <c r="D910" s="1211"/>
      <c r="E910" s="1211"/>
      <c r="F910" s="1211"/>
      <c r="G910" s="1211"/>
    </row>
    <row r="911" ht="26.25" customHeight="1">
      <c r="A911" s="1253"/>
      <c r="B911" s="1213"/>
      <c r="C911" s="1213"/>
      <c r="D911" s="1211"/>
      <c r="E911" s="1211"/>
      <c r="F911" s="1211"/>
      <c r="G911" s="1211"/>
    </row>
    <row r="912" ht="26.25" customHeight="1">
      <c r="A912" s="1253"/>
      <c r="B912" s="1213"/>
      <c r="C912" s="1213"/>
      <c r="D912" s="1211"/>
      <c r="E912" s="1211"/>
      <c r="F912" s="1211"/>
      <c r="G912" s="1211"/>
    </row>
    <row r="913" ht="26.25" customHeight="1">
      <c r="A913" s="1253"/>
      <c r="B913" s="1213"/>
      <c r="C913" s="1213"/>
      <c r="D913" s="1211"/>
      <c r="E913" s="1211"/>
      <c r="F913" s="1211"/>
      <c r="G913" s="1211"/>
    </row>
    <row r="914" ht="26.25" customHeight="1">
      <c r="A914" s="1253"/>
      <c r="B914" s="1213"/>
      <c r="C914" s="1213"/>
      <c r="D914" s="1211"/>
      <c r="E914" s="1211"/>
      <c r="F914" s="1211"/>
      <c r="G914" s="1211"/>
    </row>
    <row r="915" ht="26.25" customHeight="1">
      <c r="A915" s="1253"/>
      <c r="B915" s="1213"/>
      <c r="C915" s="1213"/>
      <c r="D915" s="1211"/>
      <c r="E915" s="1211"/>
      <c r="F915" s="1211"/>
      <c r="G915" s="1211"/>
    </row>
    <row r="916" ht="26.25" customHeight="1">
      <c r="A916" s="1253"/>
      <c r="B916" s="1213"/>
      <c r="C916" s="1213"/>
      <c r="D916" s="1211"/>
      <c r="E916" s="1211"/>
      <c r="F916" s="1211"/>
      <c r="G916" s="1211"/>
    </row>
    <row r="917" ht="26.25" customHeight="1">
      <c r="A917" s="1253"/>
      <c r="B917" s="1213"/>
      <c r="C917" s="1213"/>
      <c r="D917" s="1211"/>
      <c r="E917" s="1211"/>
      <c r="F917" s="1211"/>
      <c r="G917" s="1211"/>
    </row>
    <row r="918" ht="26.25" customHeight="1">
      <c r="A918" s="1253"/>
      <c r="B918" s="1213"/>
      <c r="C918" s="1213"/>
      <c r="D918" s="1211"/>
      <c r="E918" s="1211"/>
      <c r="F918" s="1211"/>
      <c r="G918" s="1211"/>
    </row>
    <row r="919" ht="26.25" customHeight="1">
      <c r="A919" s="1253"/>
      <c r="B919" s="1213"/>
      <c r="C919" s="1213"/>
      <c r="D919" s="1211"/>
      <c r="E919" s="1211"/>
      <c r="F919" s="1211"/>
      <c r="G919" s="1211"/>
    </row>
    <row r="920" ht="26.25" customHeight="1">
      <c r="A920" s="1253"/>
      <c r="B920" s="1213"/>
      <c r="C920" s="1213"/>
      <c r="D920" s="1211"/>
      <c r="E920" s="1211"/>
      <c r="F920" s="1211"/>
      <c r="G920" s="1211"/>
    </row>
    <row r="921" ht="26.25" customHeight="1">
      <c r="A921" s="1253"/>
      <c r="B921" s="1213"/>
      <c r="C921" s="1213"/>
      <c r="D921" s="1211"/>
      <c r="E921" s="1211"/>
      <c r="F921" s="1211"/>
      <c r="G921" s="1211"/>
    </row>
    <row r="922" ht="26.25" customHeight="1">
      <c r="A922" s="1253"/>
      <c r="B922" s="1213"/>
      <c r="C922" s="1213"/>
      <c r="D922" s="1211"/>
      <c r="E922" s="1211"/>
      <c r="F922" s="1211"/>
      <c r="G922" s="1211"/>
    </row>
    <row r="923" ht="26.25" customHeight="1">
      <c r="A923" s="1253"/>
      <c r="B923" s="1213"/>
      <c r="C923" s="1213"/>
      <c r="D923" s="1211"/>
      <c r="E923" s="1211"/>
      <c r="F923" s="1211"/>
      <c r="G923" s="1211"/>
    </row>
    <row r="924" ht="26.25" customHeight="1">
      <c r="A924" s="1253"/>
      <c r="B924" s="1213"/>
      <c r="C924" s="1213"/>
      <c r="D924" s="1211"/>
      <c r="E924" s="1211"/>
      <c r="F924" s="1211"/>
      <c r="G924" s="1211"/>
    </row>
    <row r="925" ht="26.25" customHeight="1">
      <c r="A925" s="1253"/>
      <c r="B925" s="1213"/>
      <c r="C925" s="1213"/>
      <c r="D925" s="1211"/>
      <c r="E925" s="1211"/>
      <c r="F925" s="1211"/>
      <c r="G925" s="1211"/>
    </row>
    <row r="926" ht="26.25" customHeight="1">
      <c r="A926" s="1253"/>
      <c r="B926" s="1213"/>
      <c r="C926" s="1213"/>
      <c r="D926" s="1211"/>
      <c r="E926" s="1211"/>
      <c r="F926" s="1211"/>
      <c r="G926" s="1211"/>
    </row>
    <row r="927" ht="26.25" customHeight="1">
      <c r="A927" s="1253"/>
      <c r="B927" s="1213"/>
      <c r="C927" s="1213"/>
      <c r="D927" s="1211"/>
      <c r="E927" s="1211"/>
      <c r="F927" s="1211"/>
      <c r="G927" s="1211"/>
    </row>
    <row r="928" ht="26.25" customHeight="1">
      <c r="A928" s="1253"/>
      <c r="B928" s="1213"/>
      <c r="C928" s="1213"/>
      <c r="D928" s="1211"/>
      <c r="E928" s="1211"/>
      <c r="F928" s="1211"/>
      <c r="G928" s="1211"/>
    </row>
    <row r="929" ht="26.25" customHeight="1">
      <c r="A929" s="1253"/>
      <c r="B929" s="1213"/>
      <c r="C929" s="1213"/>
      <c r="D929" s="1211"/>
      <c r="E929" s="1211"/>
      <c r="F929" s="1211"/>
      <c r="G929" s="1211"/>
    </row>
    <row r="930" ht="26.25" customHeight="1">
      <c r="A930" s="1253"/>
      <c r="B930" s="1213"/>
      <c r="C930" s="1213"/>
      <c r="D930" s="1211"/>
      <c r="E930" s="1211"/>
      <c r="F930" s="1211"/>
      <c r="G930" s="1211"/>
    </row>
    <row r="931" ht="26.25" customHeight="1">
      <c r="A931" s="1253"/>
      <c r="B931" s="1213"/>
      <c r="C931" s="1213"/>
      <c r="D931" s="1211"/>
      <c r="E931" s="1211"/>
      <c r="F931" s="1211"/>
      <c r="G931" s="1211"/>
    </row>
    <row r="932" ht="26.25" customHeight="1">
      <c r="A932" s="1253"/>
      <c r="B932" s="1213"/>
      <c r="C932" s="1213"/>
      <c r="D932" s="1211"/>
      <c r="E932" s="1211"/>
      <c r="F932" s="1211"/>
      <c r="G932" s="1211"/>
    </row>
    <row r="933" ht="26.25" customHeight="1">
      <c r="A933" s="1253"/>
      <c r="B933" s="1213"/>
      <c r="C933" s="1213"/>
      <c r="D933" s="1211"/>
      <c r="E933" s="1211"/>
      <c r="F933" s="1211"/>
      <c r="G933" s="1211"/>
    </row>
    <row r="934" ht="26.25" customHeight="1">
      <c r="A934" s="1253"/>
      <c r="B934" s="1213"/>
      <c r="C934" s="1213"/>
      <c r="D934" s="1211"/>
      <c r="E934" s="1211"/>
      <c r="F934" s="1211"/>
      <c r="G934" s="1211"/>
    </row>
    <row r="935" ht="26.25" customHeight="1">
      <c r="A935" s="1253"/>
      <c r="B935" s="1213"/>
      <c r="C935" s="1213"/>
      <c r="D935" s="1211"/>
      <c r="E935" s="1211"/>
      <c r="F935" s="1211"/>
      <c r="G935" s="1211"/>
    </row>
    <row r="936" ht="26.25" customHeight="1">
      <c r="A936" s="1253"/>
      <c r="B936" s="1213"/>
      <c r="C936" s="1213"/>
      <c r="D936" s="1211"/>
      <c r="E936" s="1211"/>
      <c r="F936" s="1211"/>
      <c r="G936" s="1211"/>
    </row>
    <row r="937" ht="26.25" customHeight="1">
      <c r="A937" s="1253"/>
      <c r="B937" s="1213"/>
      <c r="C937" s="1213"/>
      <c r="D937" s="1211"/>
      <c r="E937" s="1211"/>
      <c r="F937" s="1211"/>
      <c r="G937" s="1211"/>
    </row>
    <row r="938" ht="26.25" customHeight="1">
      <c r="A938" s="1253"/>
      <c r="B938" s="1213"/>
      <c r="C938" s="1213"/>
      <c r="D938" s="1211"/>
      <c r="E938" s="1211"/>
      <c r="F938" s="1211"/>
      <c r="G938" s="1211"/>
    </row>
    <row r="939" ht="26.25" customHeight="1">
      <c r="A939" s="1253"/>
      <c r="B939" s="1213"/>
      <c r="C939" s="1213"/>
      <c r="D939" s="1211"/>
      <c r="E939" s="1211"/>
      <c r="F939" s="1211"/>
      <c r="G939" s="1211"/>
    </row>
    <row r="940" ht="26.25" customHeight="1">
      <c r="A940" s="1253"/>
      <c r="B940" s="1213"/>
      <c r="C940" s="1213"/>
      <c r="D940" s="1211"/>
      <c r="E940" s="1211"/>
      <c r="F940" s="1211"/>
      <c r="G940" s="1211"/>
    </row>
    <row r="941" ht="26.25" customHeight="1">
      <c r="A941" s="1253"/>
      <c r="B941" s="1213"/>
      <c r="C941" s="1213"/>
      <c r="D941" s="1211"/>
      <c r="E941" s="1211"/>
      <c r="F941" s="1211"/>
      <c r="G941" s="1211"/>
    </row>
    <row r="942" ht="26.25" customHeight="1">
      <c r="A942" s="1253"/>
      <c r="B942" s="1213"/>
      <c r="C942" s="1213"/>
      <c r="D942" s="1211"/>
      <c r="E942" s="1211"/>
      <c r="F942" s="1211"/>
      <c r="G942" s="1211"/>
    </row>
    <row r="943" ht="26.25" customHeight="1">
      <c r="A943" s="1253"/>
      <c r="B943" s="1213"/>
      <c r="C943" s="1213"/>
      <c r="D943" s="1211"/>
      <c r="E943" s="1211"/>
      <c r="F943" s="1211"/>
      <c r="G943" s="1211"/>
    </row>
    <row r="944" ht="26.25" customHeight="1">
      <c r="A944" s="1253"/>
      <c r="B944" s="1213"/>
      <c r="C944" s="1213"/>
      <c r="D944" s="1211"/>
      <c r="E944" s="1211"/>
      <c r="F944" s="1211"/>
      <c r="G944" s="1211"/>
    </row>
    <row r="945" ht="26.25" customHeight="1">
      <c r="A945" s="1253"/>
      <c r="B945" s="1213"/>
      <c r="C945" s="1213"/>
      <c r="D945" s="1211"/>
      <c r="E945" s="1211"/>
      <c r="F945" s="1211"/>
      <c r="G945" s="1211"/>
    </row>
    <row r="946" ht="26.25" customHeight="1">
      <c r="A946" s="1253"/>
      <c r="B946" s="1213"/>
      <c r="C946" s="1213"/>
      <c r="D946" s="1211"/>
      <c r="E946" s="1211"/>
      <c r="F946" s="1211"/>
      <c r="G946" s="1211"/>
    </row>
    <row r="947" ht="26.25" customHeight="1">
      <c r="A947" s="1253"/>
      <c r="B947" s="1213"/>
      <c r="C947" s="1213"/>
      <c r="D947" s="1211"/>
      <c r="E947" s="1211"/>
      <c r="F947" s="1211"/>
      <c r="G947" s="1211"/>
    </row>
    <row r="948" ht="26.25" customHeight="1">
      <c r="A948" s="1253"/>
      <c r="B948" s="1213"/>
      <c r="C948" s="1213"/>
      <c r="D948" s="1211"/>
      <c r="E948" s="1211"/>
      <c r="F948" s="1211"/>
      <c r="G948" s="1211"/>
    </row>
    <row r="949" ht="26.25" customHeight="1">
      <c r="A949" s="1253"/>
      <c r="B949" s="1213"/>
      <c r="C949" s="1213"/>
      <c r="D949" s="1211"/>
      <c r="E949" s="1211"/>
      <c r="F949" s="1211"/>
      <c r="G949" s="1211"/>
    </row>
    <row r="950" ht="26.25" customHeight="1">
      <c r="A950" s="1253"/>
      <c r="B950" s="1213"/>
      <c r="C950" s="1213"/>
      <c r="D950" s="1211"/>
      <c r="E950" s="1211"/>
      <c r="F950" s="1211"/>
      <c r="G950" s="1211"/>
    </row>
    <row r="951" ht="26.25" customHeight="1">
      <c r="A951" s="1253"/>
      <c r="B951" s="1213"/>
      <c r="C951" s="1213"/>
      <c r="D951" s="1211"/>
      <c r="E951" s="1211"/>
      <c r="F951" s="1211"/>
      <c r="G951" s="1211"/>
    </row>
    <row r="952" ht="26.25" customHeight="1">
      <c r="A952" s="1253"/>
      <c r="B952" s="1213"/>
      <c r="C952" s="1213"/>
      <c r="D952" s="1211"/>
      <c r="E952" s="1211"/>
      <c r="F952" s="1211"/>
      <c r="G952" s="1211"/>
    </row>
    <row r="953" ht="26.25" customHeight="1">
      <c r="A953" s="1253"/>
      <c r="B953" s="1213"/>
      <c r="C953" s="1213"/>
      <c r="D953" s="1211"/>
      <c r="E953" s="1211"/>
      <c r="F953" s="1211"/>
      <c r="G953" s="1211"/>
    </row>
    <row r="954" ht="26.25" customHeight="1">
      <c r="A954" s="1253"/>
      <c r="B954" s="1213"/>
      <c r="C954" s="1213"/>
      <c r="D954" s="1211"/>
      <c r="E954" s="1211"/>
      <c r="F954" s="1211"/>
      <c r="G954" s="1211"/>
    </row>
    <row r="955" ht="26.25" customHeight="1">
      <c r="A955" s="1253"/>
      <c r="B955" s="1213"/>
      <c r="C955" s="1213"/>
      <c r="D955" s="1211"/>
      <c r="E955" s="1211"/>
      <c r="F955" s="1211"/>
      <c r="G955" s="1211"/>
    </row>
    <row r="956" ht="26.25" customHeight="1">
      <c r="A956" s="1253"/>
      <c r="B956" s="1213"/>
      <c r="C956" s="1213"/>
      <c r="D956" s="1211"/>
      <c r="E956" s="1211"/>
      <c r="F956" s="1211"/>
      <c r="G956" s="1211"/>
    </row>
    <row r="957" ht="26.25" customHeight="1">
      <c r="A957" s="1253"/>
      <c r="B957" s="1213"/>
      <c r="C957" s="1213"/>
      <c r="D957" s="1211"/>
      <c r="E957" s="1211"/>
      <c r="F957" s="1211"/>
      <c r="G957" s="1211"/>
    </row>
    <row r="958" ht="26.25" customHeight="1">
      <c r="A958" s="1253"/>
      <c r="B958" s="1213"/>
      <c r="C958" s="1213"/>
      <c r="D958" s="1211"/>
      <c r="E958" s="1211"/>
      <c r="F958" s="1211"/>
      <c r="G958" s="1211"/>
    </row>
    <row r="959" ht="26.25" customHeight="1">
      <c r="A959" s="1253"/>
      <c r="B959" s="1213"/>
      <c r="C959" s="1213"/>
      <c r="D959" s="1211"/>
      <c r="E959" s="1211"/>
      <c r="F959" s="1211"/>
      <c r="G959" s="1211"/>
    </row>
    <row r="960" ht="26.25" customHeight="1">
      <c r="A960" s="1253"/>
      <c r="B960" s="1213"/>
      <c r="C960" s="1213"/>
      <c r="D960" s="1211"/>
      <c r="E960" s="1211"/>
      <c r="F960" s="1211"/>
      <c r="G960" s="1211"/>
    </row>
    <row r="961" ht="26.25" customHeight="1">
      <c r="A961" s="1253"/>
      <c r="B961" s="1213"/>
      <c r="C961" s="1213"/>
      <c r="D961" s="1211"/>
      <c r="E961" s="1211"/>
      <c r="F961" s="1211"/>
      <c r="G961" s="1211"/>
    </row>
    <row r="962" ht="26.25" customHeight="1">
      <c r="A962" s="1253"/>
      <c r="B962" s="1213"/>
      <c r="C962" s="1213"/>
      <c r="D962" s="1211"/>
      <c r="E962" s="1211"/>
      <c r="F962" s="1211"/>
      <c r="G962" s="1211"/>
    </row>
    <row r="963" ht="26.25" customHeight="1">
      <c r="A963" s="1253"/>
      <c r="B963" s="1213"/>
      <c r="C963" s="1213"/>
      <c r="D963" s="1211"/>
      <c r="E963" s="1211"/>
      <c r="F963" s="1211"/>
      <c r="G963" s="1211"/>
    </row>
    <row r="964" ht="26.25" customHeight="1">
      <c r="A964" s="1253"/>
      <c r="B964" s="1213"/>
      <c r="C964" s="1213"/>
      <c r="D964" s="1211"/>
      <c r="E964" s="1211"/>
      <c r="F964" s="1211"/>
      <c r="G964" s="1211"/>
    </row>
    <row r="965" ht="26.25" customHeight="1">
      <c r="A965" s="1253"/>
      <c r="B965" s="1213"/>
      <c r="C965" s="1213"/>
      <c r="D965" s="1211"/>
      <c r="E965" s="1211"/>
      <c r="F965" s="1211"/>
      <c r="G965" s="1211"/>
    </row>
    <row r="966" ht="26.25" customHeight="1">
      <c r="A966" s="1253"/>
      <c r="B966" s="1213"/>
      <c r="C966" s="1213"/>
      <c r="D966" s="1211"/>
      <c r="E966" s="1211"/>
      <c r="F966" s="1211"/>
      <c r="G966" s="1211"/>
    </row>
    <row r="967" ht="26.25" customHeight="1">
      <c r="A967" s="1253"/>
      <c r="B967" s="1213"/>
      <c r="C967" s="1213"/>
      <c r="D967" s="1211"/>
      <c r="E967" s="1211"/>
      <c r="F967" s="1211"/>
      <c r="G967" s="1211"/>
    </row>
    <row r="968" ht="26.25" customHeight="1">
      <c r="A968" s="1253"/>
      <c r="B968" s="1213"/>
      <c r="C968" s="1213"/>
      <c r="D968" s="1211"/>
      <c r="E968" s="1211"/>
      <c r="F968" s="1211"/>
      <c r="G968" s="1211"/>
    </row>
    <row r="969" ht="26.25" customHeight="1">
      <c r="A969" s="1253"/>
      <c r="B969" s="1213"/>
      <c r="C969" s="1213"/>
      <c r="D969" s="1211"/>
      <c r="E969" s="1211"/>
      <c r="F969" s="1211"/>
      <c r="G969" s="1211"/>
    </row>
    <row r="970" ht="26.25" customHeight="1">
      <c r="A970" s="1253"/>
      <c r="B970" s="1213"/>
      <c r="C970" s="1213"/>
      <c r="D970" s="1211"/>
      <c r="E970" s="1211"/>
      <c r="F970" s="1211"/>
      <c r="G970" s="1211"/>
    </row>
    <row r="971" ht="26.25" customHeight="1">
      <c r="A971" s="1253"/>
      <c r="B971" s="1213"/>
      <c r="C971" s="1213"/>
      <c r="D971" s="1211"/>
      <c r="E971" s="1211"/>
      <c r="F971" s="1211"/>
      <c r="G971" s="1211"/>
    </row>
    <row r="972" ht="26.25" customHeight="1">
      <c r="A972" s="1253"/>
      <c r="B972" s="1213"/>
      <c r="C972" s="1213"/>
      <c r="D972" s="1211"/>
      <c r="E972" s="1211"/>
      <c r="F972" s="1211"/>
      <c r="G972" s="1211"/>
    </row>
    <row r="973" ht="26.25" customHeight="1">
      <c r="A973" s="1253"/>
      <c r="B973" s="1213"/>
      <c r="C973" s="1213"/>
      <c r="D973" s="1211"/>
      <c r="E973" s="1211"/>
      <c r="F973" s="1211"/>
      <c r="G973" s="1211"/>
    </row>
    <row r="974" ht="26.25" customHeight="1">
      <c r="A974" s="1253"/>
      <c r="B974" s="1213"/>
      <c r="C974" s="1213"/>
      <c r="D974" s="1211"/>
      <c r="E974" s="1211"/>
      <c r="F974" s="1211"/>
      <c r="G974" s="1211"/>
    </row>
    <row r="975" ht="26.25" customHeight="1">
      <c r="A975" s="1253"/>
      <c r="B975" s="1213"/>
      <c r="C975" s="1213"/>
      <c r="D975" s="1211"/>
      <c r="E975" s="1211"/>
      <c r="F975" s="1211"/>
      <c r="G975" s="1211"/>
    </row>
    <row r="976" ht="26.25" customHeight="1">
      <c r="A976" s="1253"/>
      <c r="B976" s="1213"/>
      <c r="C976" s="1213"/>
      <c r="D976" s="1211"/>
      <c r="E976" s="1211"/>
      <c r="F976" s="1211"/>
      <c r="G976" s="1211"/>
    </row>
    <row r="977" ht="26.25" customHeight="1">
      <c r="A977" s="1253"/>
      <c r="B977" s="1213"/>
      <c r="C977" s="1213"/>
      <c r="D977" s="1211"/>
      <c r="E977" s="1211"/>
      <c r="F977" s="1211"/>
      <c r="G977" s="1211"/>
    </row>
    <row r="978" ht="26.25" customHeight="1">
      <c r="A978" s="1253"/>
      <c r="B978" s="1213"/>
      <c r="C978" s="1213"/>
      <c r="D978" s="1211"/>
      <c r="E978" s="1211"/>
      <c r="F978" s="1211"/>
      <c r="G978" s="1211"/>
    </row>
    <row r="979" ht="26.25" customHeight="1">
      <c r="A979" s="1253"/>
      <c r="B979" s="1213"/>
      <c r="C979" s="1213"/>
      <c r="D979" s="1211"/>
      <c r="E979" s="1211"/>
      <c r="F979" s="1211"/>
      <c r="G979" s="1211"/>
    </row>
    <row r="980" ht="26.25" customHeight="1">
      <c r="A980" s="1253"/>
      <c r="B980" s="1213"/>
      <c r="C980" s="1213"/>
      <c r="D980" s="1211"/>
      <c r="E980" s="1211"/>
      <c r="F980" s="1211"/>
      <c r="G980" s="1211"/>
    </row>
    <row r="981" ht="26.25" customHeight="1">
      <c r="A981" s="1253"/>
      <c r="B981" s="1213"/>
      <c r="C981" s="1213"/>
      <c r="D981" s="1211"/>
      <c r="E981" s="1211"/>
      <c r="F981" s="1211"/>
      <c r="G981" s="1211"/>
    </row>
    <row r="982" ht="26.25" customHeight="1">
      <c r="A982" s="1253"/>
      <c r="B982" s="1213"/>
      <c r="C982" s="1213"/>
      <c r="D982" s="1211"/>
      <c r="E982" s="1211"/>
      <c r="F982" s="1211"/>
      <c r="G982" s="1211"/>
    </row>
    <row r="983" ht="26.25" customHeight="1">
      <c r="A983" s="1253"/>
      <c r="B983" s="1213"/>
      <c r="C983" s="1213"/>
      <c r="D983" s="1211"/>
      <c r="E983" s="1211"/>
      <c r="F983" s="1211"/>
      <c r="G983" s="1211"/>
    </row>
    <row r="984" ht="26.25" customHeight="1">
      <c r="A984" s="1253"/>
      <c r="B984" s="1213"/>
      <c r="C984" s="1213"/>
      <c r="D984" s="1211"/>
      <c r="E984" s="1211"/>
      <c r="F984" s="1211"/>
      <c r="G984" s="1211"/>
    </row>
    <row r="985" ht="26.25" customHeight="1">
      <c r="A985" s="1253"/>
      <c r="B985" s="1213"/>
      <c r="C985" s="1213"/>
      <c r="D985" s="1211"/>
      <c r="E985" s="1211"/>
      <c r="F985" s="1211"/>
      <c r="G985" s="1211"/>
    </row>
    <row r="986" ht="26.25" customHeight="1">
      <c r="A986" s="1253"/>
      <c r="B986" s="1213"/>
      <c r="C986" s="1213"/>
      <c r="D986" s="1211"/>
      <c r="E986" s="1211"/>
      <c r="F986" s="1211"/>
      <c r="G986" s="1211"/>
    </row>
    <row r="987" ht="26.25" customHeight="1">
      <c r="A987" s="1253"/>
      <c r="B987" s="1213"/>
      <c r="C987" s="1213"/>
      <c r="D987" s="1211"/>
      <c r="E987" s="1211"/>
      <c r="F987" s="1211"/>
      <c r="G987" s="1211"/>
    </row>
    <row r="988" ht="26.25" customHeight="1">
      <c r="A988" s="1253"/>
      <c r="B988" s="1213"/>
      <c r="C988" s="1213"/>
      <c r="D988" s="1211"/>
      <c r="E988" s="1211"/>
      <c r="F988" s="1211"/>
      <c r="G988" s="1211"/>
    </row>
    <row r="989" ht="26.25" customHeight="1">
      <c r="A989" s="1253"/>
      <c r="B989" s="1213"/>
      <c r="C989" s="1213"/>
      <c r="D989" s="1211"/>
      <c r="E989" s="1211"/>
      <c r="F989" s="1211"/>
      <c r="G989" s="1211"/>
    </row>
    <row r="990" ht="26.25" customHeight="1">
      <c r="A990" s="1253"/>
      <c r="B990" s="1213"/>
      <c r="C990" s="1213"/>
      <c r="D990" s="1211"/>
      <c r="E990" s="1211"/>
      <c r="F990" s="1211"/>
      <c r="G990" s="1211"/>
    </row>
    <row r="991" ht="26.25" customHeight="1">
      <c r="A991" s="1253"/>
      <c r="B991" s="1213"/>
      <c r="C991" s="1213"/>
      <c r="D991" s="1211"/>
      <c r="E991" s="1211"/>
      <c r="F991" s="1211"/>
      <c r="G991" s="1211"/>
    </row>
    <row r="992" ht="26.25" customHeight="1">
      <c r="A992" s="1253"/>
      <c r="B992" s="1213"/>
      <c r="C992" s="1213"/>
      <c r="D992" s="1211"/>
      <c r="E992" s="1211"/>
      <c r="F992" s="1211"/>
      <c r="G992" s="1211"/>
    </row>
    <row r="993" ht="26.25" customHeight="1">
      <c r="A993" s="1253"/>
      <c r="B993" s="1213"/>
      <c r="C993" s="1213"/>
      <c r="D993" s="1211"/>
      <c r="E993" s="1211"/>
      <c r="F993" s="1211"/>
      <c r="G993" s="1211"/>
    </row>
    <row r="994" ht="26.25" customHeight="1">
      <c r="A994" s="1253"/>
      <c r="B994" s="1213"/>
      <c r="C994" s="1213"/>
      <c r="D994" s="1211"/>
      <c r="E994" s="1211"/>
      <c r="F994" s="1211"/>
      <c r="G994" s="1211"/>
    </row>
    <row r="995" ht="26.25" customHeight="1">
      <c r="A995" s="1253"/>
      <c r="B995" s="1213"/>
      <c r="C995" s="1213"/>
      <c r="D995" s="1211"/>
      <c r="E995" s="1211"/>
      <c r="F995" s="1211"/>
      <c r="G995" s="1211"/>
    </row>
    <row r="996" ht="26.25" customHeight="1">
      <c r="A996" s="1253"/>
      <c r="B996" s="1213"/>
      <c r="C996" s="1213"/>
      <c r="D996" s="1211"/>
      <c r="E996" s="1211"/>
      <c r="F996" s="1211"/>
      <c r="G996" s="1211"/>
    </row>
    <row r="997" ht="26.25" customHeight="1">
      <c r="A997" s="1253"/>
      <c r="B997" s="1213"/>
      <c r="C997" s="1213"/>
      <c r="D997" s="1211"/>
      <c r="E997" s="1211"/>
      <c r="F997" s="1211"/>
      <c r="G997" s="1211"/>
    </row>
    <row r="998" ht="26.25" customHeight="1">
      <c r="A998" s="1253"/>
      <c r="B998" s="1213"/>
      <c r="C998" s="1213"/>
      <c r="D998" s="1211"/>
      <c r="E998" s="1211"/>
      <c r="F998" s="1211"/>
      <c r="G998" s="1211"/>
    </row>
    <row r="999" ht="26.25" customHeight="1">
      <c r="A999" s="1253"/>
      <c r="B999" s="1213"/>
      <c r="C999" s="1213"/>
      <c r="D999" s="1211"/>
      <c r="E999" s="1211"/>
      <c r="F999" s="1211"/>
      <c r="G999" s="1211"/>
    </row>
    <row r="1000" ht="26.25" customHeight="1">
      <c r="A1000" s="1253"/>
      <c r="B1000" s="1213"/>
      <c r="C1000" s="1213"/>
      <c r="D1000" s="1211"/>
      <c r="E1000" s="1211"/>
      <c r="F1000" s="1211"/>
      <c r="G1000" s="1211"/>
    </row>
    <row r="1001" ht="26.25" customHeight="1">
      <c r="A1001" s="1253"/>
      <c r="B1001" s="1213"/>
      <c r="C1001" s="1213"/>
      <c r="D1001" s="1211"/>
      <c r="E1001" s="1211"/>
      <c r="F1001" s="1211"/>
      <c r="G1001" s="1211"/>
    </row>
    <row r="1002" ht="26.25" customHeight="1">
      <c r="A1002" s="1253"/>
      <c r="B1002" s="1213"/>
      <c r="C1002" s="1213"/>
      <c r="D1002" s="1211"/>
      <c r="E1002" s="1211"/>
      <c r="F1002" s="1211"/>
      <c r="G1002" s="1211"/>
    </row>
    <row r="1003" ht="26.25" customHeight="1">
      <c r="A1003" s="1253"/>
      <c r="B1003" s="1213"/>
      <c r="C1003" s="1213"/>
      <c r="D1003" s="1211"/>
      <c r="E1003" s="1211"/>
      <c r="F1003" s="1211"/>
      <c r="G1003" s="1211"/>
    </row>
    <row r="1004" ht="26.25" customHeight="1">
      <c r="A1004" s="1253"/>
      <c r="B1004" s="1213"/>
      <c r="C1004" s="1213"/>
      <c r="D1004" s="1211"/>
      <c r="E1004" s="1211"/>
      <c r="F1004" s="1211"/>
      <c r="G1004" s="1211"/>
    </row>
    <row r="1005" ht="26.25" customHeight="1">
      <c r="A1005" s="1253"/>
      <c r="B1005" s="1213"/>
      <c r="C1005" s="1213"/>
      <c r="D1005" s="1211"/>
      <c r="E1005" s="1211"/>
      <c r="F1005" s="1211"/>
      <c r="G1005" s="1211"/>
    </row>
    <row r="1006" ht="26.25" customHeight="1">
      <c r="A1006" s="1253"/>
      <c r="B1006" s="1213"/>
      <c r="C1006" s="1213"/>
      <c r="D1006" s="1211"/>
      <c r="E1006" s="1211"/>
      <c r="F1006" s="1211"/>
      <c r="G1006" s="1211"/>
    </row>
    <row r="1007" ht="26.25" customHeight="1">
      <c r="A1007" s="1253"/>
      <c r="B1007" s="1213"/>
      <c r="C1007" s="1213"/>
      <c r="D1007" s="1211"/>
      <c r="E1007" s="1211"/>
      <c r="F1007" s="1211"/>
      <c r="G1007" s="1211"/>
    </row>
    <row r="1008" ht="26.25" customHeight="1">
      <c r="A1008" s="1253"/>
      <c r="B1008" s="1213"/>
      <c r="C1008" s="1213"/>
      <c r="D1008" s="1211"/>
      <c r="E1008" s="1211"/>
      <c r="F1008" s="1211"/>
      <c r="G1008" s="1211"/>
    </row>
    <row r="1009" ht="26.25" customHeight="1">
      <c r="A1009" s="1253"/>
      <c r="B1009" s="1213"/>
      <c r="C1009" s="1213"/>
      <c r="D1009" s="1211"/>
      <c r="E1009" s="1211"/>
      <c r="F1009" s="1211"/>
      <c r="G1009" s="1211"/>
    </row>
    <row r="1010" ht="26.25" customHeight="1">
      <c r="A1010" s="1253"/>
      <c r="B1010" s="1213"/>
      <c r="C1010" s="1213"/>
      <c r="D1010" s="1211"/>
      <c r="E1010" s="1211"/>
      <c r="F1010" s="1211"/>
      <c r="G1010" s="1211"/>
    </row>
    <row r="1011" ht="26.25" customHeight="1">
      <c r="A1011" s="1253"/>
      <c r="B1011" s="1213"/>
      <c r="C1011" s="1213"/>
      <c r="D1011" s="1211"/>
      <c r="E1011" s="1211"/>
      <c r="F1011" s="1211"/>
      <c r="G1011" s="1211"/>
    </row>
    <row r="1012" ht="26.25" customHeight="1">
      <c r="A1012" s="1253"/>
      <c r="B1012" s="1213"/>
      <c r="C1012" s="1213"/>
      <c r="D1012" s="1211"/>
      <c r="E1012" s="1211"/>
      <c r="F1012" s="1211"/>
      <c r="G1012" s="1211"/>
    </row>
    <row r="1013" ht="26.25" customHeight="1">
      <c r="A1013" s="1253"/>
      <c r="B1013" s="1213"/>
      <c r="C1013" s="1213"/>
      <c r="D1013" s="1211"/>
      <c r="E1013" s="1211"/>
      <c r="F1013" s="1211"/>
      <c r="G1013" s="1211"/>
    </row>
    <row r="1014" ht="26.25" customHeight="1">
      <c r="A1014" s="1253"/>
      <c r="B1014" s="1213"/>
      <c r="C1014" s="1213"/>
      <c r="D1014" s="1211"/>
      <c r="E1014" s="1211"/>
      <c r="F1014" s="1211"/>
      <c r="G1014" s="1211"/>
    </row>
    <row r="1015" ht="26.25" customHeight="1">
      <c r="A1015" s="1253"/>
      <c r="B1015" s="1213"/>
      <c r="C1015" s="1213"/>
      <c r="D1015" s="1211"/>
      <c r="E1015" s="1211"/>
      <c r="F1015" s="1211"/>
      <c r="G1015" s="1211"/>
    </row>
    <row r="1016" ht="26.25" customHeight="1">
      <c r="A1016" s="1253"/>
      <c r="B1016" s="1213"/>
      <c r="C1016" s="1213"/>
      <c r="D1016" s="1211"/>
      <c r="E1016" s="1211"/>
      <c r="F1016" s="1211"/>
      <c r="G1016" s="1211"/>
    </row>
    <row r="1017" ht="26.25" customHeight="1">
      <c r="A1017" s="1253"/>
      <c r="B1017" s="1213"/>
      <c r="C1017" s="1213"/>
      <c r="D1017" s="1211"/>
      <c r="E1017" s="1211"/>
      <c r="F1017" s="1211"/>
      <c r="G1017" s="1211"/>
    </row>
    <row r="1018" ht="26.25" customHeight="1">
      <c r="A1018" s="1253"/>
      <c r="B1018" s="1213"/>
      <c r="C1018" s="1213"/>
      <c r="D1018" s="1211"/>
      <c r="E1018" s="1211"/>
      <c r="F1018" s="1211"/>
      <c r="G1018" s="1211"/>
    </row>
    <row r="1019" ht="26.25" customHeight="1">
      <c r="A1019" s="1253"/>
      <c r="B1019" s="1213"/>
      <c r="C1019" s="1213"/>
      <c r="D1019" s="1211"/>
      <c r="E1019" s="1211"/>
      <c r="F1019" s="1211"/>
      <c r="G1019" s="1211"/>
    </row>
    <row r="1020" ht="26.25" customHeight="1">
      <c r="A1020" s="1253"/>
      <c r="B1020" s="1213"/>
      <c r="C1020" s="1213"/>
      <c r="D1020" s="1211"/>
      <c r="E1020" s="1211"/>
      <c r="F1020" s="1211"/>
      <c r="G1020" s="1211"/>
    </row>
    <row r="1021" ht="26.25" customHeight="1">
      <c r="A1021" s="1253"/>
      <c r="B1021" s="1213"/>
      <c r="C1021" s="1213"/>
      <c r="D1021" s="1211"/>
      <c r="E1021" s="1211"/>
      <c r="F1021" s="1211"/>
      <c r="G1021" s="1211"/>
    </row>
    <row r="1022" ht="26.25" customHeight="1">
      <c r="A1022" s="1253"/>
      <c r="B1022" s="1213"/>
      <c r="C1022" s="1213"/>
      <c r="D1022" s="1211"/>
      <c r="E1022" s="1211"/>
      <c r="F1022" s="1211"/>
      <c r="G1022" s="1211"/>
    </row>
    <row r="1023" ht="26.25" customHeight="1">
      <c r="A1023" s="1253"/>
      <c r="B1023" s="1213"/>
      <c r="C1023" s="1213"/>
      <c r="D1023" s="1211"/>
      <c r="E1023" s="1211"/>
      <c r="F1023" s="1211"/>
      <c r="G1023" s="1211"/>
    </row>
    <row r="1024" ht="26.25" customHeight="1">
      <c r="A1024" s="1253"/>
      <c r="B1024" s="1213"/>
      <c r="C1024" s="1213"/>
      <c r="D1024" s="1211"/>
      <c r="E1024" s="1211"/>
      <c r="F1024" s="1211"/>
      <c r="G1024" s="1211"/>
    </row>
    <row r="1025" ht="26.25" customHeight="1">
      <c r="A1025" s="1253"/>
      <c r="B1025" s="1213"/>
      <c r="C1025" s="1213"/>
      <c r="D1025" s="1211"/>
      <c r="E1025" s="1211"/>
      <c r="F1025" s="1211"/>
      <c r="G1025" s="1211"/>
    </row>
    <row r="1026" ht="26.25" customHeight="1">
      <c r="A1026" s="1253"/>
      <c r="B1026" s="1213"/>
      <c r="C1026" s="1213"/>
      <c r="D1026" s="1211"/>
      <c r="E1026" s="1211"/>
      <c r="F1026" s="1211"/>
      <c r="G1026" s="1211"/>
    </row>
    <row r="1027" ht="26.25" customHeight="1">
      <c r="A1027" s="1253"/>
      <c r="B1027" s="1213"/>
      <c r="C1027" s="1213"/>
      <c r="D1027" s="1211"/>
      <c r="E1027" s="1211"/>
      <c r="F1027" s="1211"/>
      <c r="G1027" s="1211"/>
    </row>
    <row r="1028" ht="26.25" customHeight="1">
      <c r="A1028" s="1253"/>
      <c r="B1028" s="1213"/>
      <c r="C1028" s="1213"/>
      <c r="D1028" s="1211"/>
      <c r="E1028" s="1211"/>
      <c r="F1028" s="1211"/>
      <c r="G1028" s="1211"/>
    </row>
    <row r="1029" ht="26.25" customHeight="1">
      <c r="A1029" s="1253"/>
      <c r="B1029" s="1213"/>
      <c r="C1029" s="1213"/>
      <c r="D1029" s="1211"/>
      <c r="E1029" s="1211"/>
      <c r="F1029" s="1211"/>
      <c r="G1029" s="1211"/>
    </row>
    <row r="1030" ht="26.25" customHeight="1">
      <c r="A1030" s="1253"/>
      <c r="B1030" s="1213"/>
      <c r="C1030" s="1213"/>
      <c r="D1030" s="1211"/>
      <c r="E1030" s="1211"/>
      <c r="F1030" s="1211"/>
      <c r="G1030" s="1211"/>
    </row>
    <row r="1031" ht="26.25" customHeight="1">
      <c r="A1031" s="1253"/>
      <c r="B1031" s="1213"/>
      <c r="C1031" s="1213"/>
      <c r="D1031" s="1211"/>
      <c r="E1031" s="1211"/>
      <c r="F1031" s="1211"/>
      <c r="G1031" s="1211"/>
    </row>
    <row r="1032" ht="26.25" customHeight="1">
      <c r="A1032" s="1253"/>
      <c r="B1032" s="1213"/>
      <c r="C1032" s="1213"/>
      <c r="D1032" s="1211"/>
      <c r="E1032" s="1211"/>
      <c r="F1032" s="1211"/>
      <c r="G1032" s="1211"/>
    </row>
    <row r="1033" ht="26.25" customHeight="1">
      <c r="A1033" s="1253"/>
      <c r="B1033" s="1213"/>
      <c r="C1033" s="1213"/>
      <c r="D1033" s="1211"/>
      <c r="E1033" s="1211"/>
      <c r="F1033" s="1211"/>
      <c r="G1033" s="1211"/>
    </row>
    <row r="1034" ht="26.25" customHeight="1">
      <c r="A1034" s="1253"/>
      <c r="B1034" s="1213"/>
      <c r="C1034" s="1213"/>
      <c r="D1034" s="1211"/>
      <c r="E1034" s="1211"/>
      <c r="F1034" s="1211"/>
      <c r="G1034" s="1211"/>
    </row>
    <row r="1035" ht="26.25" customHeight="1">
      <c r="A1035" s="1253"/>
      <c r="B1035" s="1213"/>
      <c r="C1035" s="1213"/>
      <c r="D1035" s="1211"/>
      <c r="E1035" s="1211"/>
      <c r="F1035" s="1211"/>
      <c r="G1035" s="1211"/>
    </row>
    <row r="1036" ht="26.25" customHeight="1">
      <c r="A1036" s="1253"/>
      <c r="B1036" s="1213"/>
      <c r="C1036" s="1213"/>
      <c r="D1036" s="1211"/>
      <c r="E1036" s="1211"/>
      <c r="F1036" s="1211"/>
      <c r="G1036" s="1211"/>
    </row>
    <row r="1037" ht="26.25" customHeight="1">
      <c r="A1037" s="1253"/>
      <c r="B1037" s="1213"/>
      <c r="C1037" s="1213"/>
      <c r="D1037" s="1211"/>
      <c r="E1037" s="1211"/>
      <c r="F1037" s="1211"/>
      <c r="G1037" s="1211"/>
    </row>
    <row r="1038" ht="26.25" customHeight="1">
      <c r="A1038" s="1253"/>
      <c r="B1038" s="1213"/>
      <c r="C1038" s="1213"/>
      <c r="D1038" s="1211"/>
      <c r="E1038" s="1211"/>
      <c r="F1038" s="1211"/>
      <c r="G1038" s="1211"/>
    </row>
    <row r="1039" ht="26.25" customHeight="1">
      <c r="A1039" s="1253"/>
      <c r="B1039" s="1213"/>
      <c r="C1039" s="1213"/>
      <c r="D1039" s="1211"/>
      <c r="E1039" s="1211"/>
      <c r="F1039" s="1211"/>
      <c r="G1039" s="1211"/>
    </row>
    <row r="1040" ht="26.25" customHeight="1">
      <c r="A1040" s="1253"/>
      <c r="B1040" s="1213"/>
      <c r="C1040" s="1213"/>
      <c r="D1040" s="1211"/>
      <c r="E1040" s="1211"/>
      <c r="F1040" s="1211"/>
      <c r="G1040" s="1211"/>
    </row>
    <row r="1041" ht="26.25" customHeight="1">
      <c r="A1041" s="1253"/>
      <c r="B1041" s="1213"/>
      <c r="C1041" s="1213"/>
      <c r="D1041" s="1211"/>
      <c r="E1041" s="1211"/>
      <c r="F1041" s="1211"/>
      <c r="G1041" s="1211"/>
    </row>
    <row r="1042" ht="26.25" customHeight="1">
      <c r="A1042" s="1253"/>
      <c r="B1042" s="1213"/>
      <c r="C1042" s="1213"/>
      <c r="D1042" s="1211"/>
      <c r="E1042" s="1211"/>
      <c r="F1042" s="1211"/>
      <c r="G1042" s="1211"/>
    </row>
    <row r="1043" ht="26.25" customHeight="1">
      <c r="A1043" s="1253"/>
      <c r="B1043" s="1213"/>
      <c r="C1043" s="1213"/>
      <c r="D1043" s="1211"/>
      <c r="E1043" s="1211"/>
      <c r="F1043" s="1211"/>
      <c r="G1043" s="1211"/>
    </row>
    <row r="1044" ht="26.25" customHeight="1">
      <c r="A1044" s="1253"/>
      <c r="B1044" s="1213"/>
      <c r="C1044" s="1213"/>
      <c r="D1044" s="1211"/>
      <c r="E1044" s="1211"/>
      <c r="F1044" s="1211"/>
      <c r="G1044" s="1211"/>
    </row>
    <row r="1045" ht="26.25" customHeight="1">
      <c r="A1045" s="1253"/>
      <c r="B1045" s="1213"/>
      <c r="C1045" s="1213"/>
      <c r="D1045" s="1211"/>
      <c r="E1045" s="1211"/>
      <c r="F1045" s="1211"/>
      <c r="G1045" s="1211"/>
    </row>
    <row r="1046" ht="26.25" customHeight="1">
      <c r="A1046" s="1253"/>
      <c r="B1046" s="1213"/>
      <c r="C1046" s="1213"/>
      <c r="D1046" s="1211"/>
      <c r="E1046" s="1211"/>
      <c r="F1046" s="1211"/>
      <c r="G1046" s="1211"/>
    </row>
    <row r="1047" ht="26.25" customHeight="1">
      <c r="A1047" s="1253"/>
      <c r="B1047" s="1213"/>
      <c r="C1047" s="1213"/>
      <c r="D1047" s="1211"/>
      <c r="E1047" s="1211"/>
      <c r="F1047" s="1211"/>
      <c r="G1047" s="1211"/>
    </row>
    <row r="1048" ht="26.25" customHeight="1">
      <c r="A1048" s="1253"/>
      <c r="B1048" s="1213"/>
      <c r="C1048" s="1213"/>
      <c r="D1048" s="1211"/>
      <c r="E1048" s="1211"/>
      <c r="F1048" s="1211"/>
      <c r="G1048" s="1211"/>
    </row>
    <row r="1049" ht="26.25" customHeight="1">
      <c r="A1049" s="1253"/>
      <c r="B1049" s="1213"/>
      <c r="C1049" s="1213"/>
      <c r="D1049" s="1211"/>
      <c r="E1049" s="1211"/>
      <c r="F1049" s="1211"/>
      <c r="G1049" s="1211"/>
    </row>
    <row r="1050" ht="26.25" customHeight="1">
      <c r="A1050" s="1253"/>
      <c r="B1050" s="1213"/>
      <c r="C1050" s="1213"/>
      <c r="D1050" s="1211"/>
      <c r="E1050" s="1211"/>
      <c r="F1050" s="1211"/>
      <c r="G1050" s="1211"/>
    </row>
    <row r="1051" ht="26.25" customHeight="1">
      <c r="A1051" s="1253"/>
      <c r="B1051" s="1213"/>
      <c r="C1051" s="1213"/>
      <c r="D1051" s="1211"/>
      <c r="E1051" s="1211"/>
      <c r="F1051" s="1211"/>
      <c r="G1051" s="1211"/>
    </row>
    <row r="1052" ht="26.25" customHeight="1">
      <c r="A1052" s="1253"/>
      <c r="B1052" s="1213"/>
      <c r="C1052" s="1213"/>
      <c r="D1052" s="1211"/>
      <c r="E1052" s="1211"/>
      <c r="F1052" s="1211"/>
      <c r="G1052" s="1211"/>
    </row>
    <row r="1053" ht="26.25" customHeight="1">
      <c r="A1053" s="1253"/>
      <c r="B1053" s="1213"/>
      <c r="C1053" s="1213"/>
      <c r="D1053" s="1211"/>
      <c r="E1053" s="1211"/>
      <c r="F1053" s="1211"/>
      <c r="G1053" s="1211"/>
    </row>
    <row r="1054" ht="26.25" customHeight="1">
      <c r="A1054" s="1253"/>
      <c r="B1054" s="1213"/>
      <c r="C1054" s="1213"/>
      <c r="D1054" s="1211"/>
      <c r="E1054" s="1211"/>
      <c r="F1054" s="1211"/>
      <c r="G1054" s="1211"/>
    </row>
    <row r="1055" ht="26.25" customHeight="1">
      <c r="A1055" s="1253"/>
      <c r="B1055" s="1213"/>
      <c r="C1055" s="1213"/>
      <c r="D1055" s="1211"/>
      <c r="E1055" s="1211"/>
      <c r="F1055" s="1211"/>
      <c r="G1055" s="1211"/>
    </row>
    <row r="1056" ht="26.25" customHeight="1">
      <c r="A1056" s="1253"/>
      <c r="B1056" s="1213"/>
      <c r="C1056" s="1213"/>
      <c r="D1056" s="1211"/>
      <c r="E1056" s="1211"/>
      <c r="F1056" s="1211"/>
      <c r="G1056" s="1211"/>
    </row>
    <row r="1057" ht="26.25" customHeight="1">
      <c r="A1057" s="1253"/>
      <c r="B1057" s="1213"/>
      <c r="C1057" s="1213"/>
      <c r="D1057" s="1211"/>
      <c r="E1057" s="1211"/>
      <c r="F1057" s="1211"/>
      <c r="G1057" s="1211"/>
    </row>
    <row r="1058" ht="26.25" customHeight="1">
      <c r="A1058" s="1253"/>
      <c r="B1058" s="1213"/>
      <c r="C1058" s="1213"/>
      <c r="D1058" s="1211"/>
      <c r="E1058" s="1211"/>
      <c r="F1058" s="1211"/>
      <c r="G1058" s="1211"/>
    </row>
    <row r="1059" ht="26.25" customHeight="1">
      <c r="A1059" s="1253"/>
      <c r="B1059" s="1213"/>
      <c r="C1059" s="1213"/>
      <c r="D1059" s="1211"/>
      <c r="E1059" s="1211"/>
      <c r="F1059" s="1211"/>
      <c r="G1059" s="1211"/>
    </row>
    <row r="1060" ht="26.25" customHeight="1">
      <c r="A1060" s="1253"/>
      <c r="B1060" s="1213"/>
      <c r="C1060" s="1213"/>
      <c r="D1060" s="1211"/>
      <c r="E1060" s="1211"/>
      <c r="F1060" s="1211"/>
      <c r="G1060" s="1211"/>
    </row>
    <row r="1061" ht="26.25" customHeight="1">
      <c r="A1061" s="1253"/>
      <c r="B1061" s="1213"/>
      <c r="C1061" s="1213"/>
      <c r="D1061" s="1211"/>
      <c r="E1061" s="1211"/>
      <c r="F1061" s="1211"/>
      <c r="G1061" s="1211"/>
    </row>
    <row r="1062" ht="26.25" customHeight="1">
      <c r="A1062" s="1253"/>
      <c r="B1062" s="1213"/>
      <c r="C1062" s="1213"/>
      <c r="D1062" s="1211"/>
      <c r="E1062" s="1211"/>
      <c r="F1062" s="1211"/>
      <c r="G1062" s="1211"/>
    </row>
    <row r="1063" ht="26.25" customHeight="1">
      <c r="A1063" s="1253"/>
      <c r="B1063" s="1213"/>
      <c r="C1063" s="1213"/>
      <c r="D1063" s="1211"/>
      <c r="E1063" s="1211"/>
      <c r="F1063" s="1211"/>
      <c r="G1063" s="1211"/>
    </row>
    <row r="1064" ht="26.25" customHeight="1">
      <c r="A1064" s="1253"/>
      <c r="B1064" s="1213"/>
      <c r="C1064" s="1213"/>
      <c r="D1064" s="1211"/>
      <c r="E1064" s="1211"/>
      <c r="F1064" s="1211"/>
      <c r="G1064" s="1211"/>
    </row>
    <row r="1065" ht="26.25" customHeight="1">
      <c r="A1065" s="1253"/>
      <c r="B1065" s="1213"/>
      <c r="C1065" s="1213"/>
      <c r="D1065" s="1211"/>
      <c r="E1065" s="1211"/>
      <c r="F1065" s="1211"/>
      <c r="G1065" s="1211"/>
    </row>
    <row r="1066" ht="26.25" customHeight="1">
      <c r="A1066" s="1253"/>
      <c r="B1066" s="1213"/>
      <c r="C1066" s="1213"/>
      <c r="D1066" s="1211"/>
      <c r="E1066" s="1211"/>
      <c r="F1066" s="1211"/>
      <c r="G1066" s="1211"/>
    </row>
    <row r="1067" ht="26.25" customHeight="1">
      <c r="A1067" s="1253"/>
      <c r="B1067" s="1213"/>
      <c r="C1067" s="1213"/>
      <c r="D1067" s="1211"/>
      <c r="E1067" s="1211"/>
      <c r="F1067" s="1211"/>
      <c r="G1067" s="1211"/>
    </row>
    <row r="1068" ht="26.25" customHeight="1">
      <c r="A1068" s="1253"/>
      <c r="B1068" s="1213"/>
      <c r="C1068" s="1213"/>
      <c r="D1068" s="1211"/>
      <c r="E1068" s="1211"/>
      <c r="F1068" s="1211"/>
      <c r="G1068" s="1211"/>
    </row>
    <row r="1069" ht="26.25" customHeight="1">
      <c r="A1069" s="1253"/>
      <c r="B1069" s="1213"/>
      <c r="C1069" s="1213"/>
      <c r="D1069" s="1211"/>
      <c r="E1069" s="1211"/>
      <c r="F1069" s="1211"/>
      <c r="G1069" s="1211"/>
    </row>
    <row r="1070" ht="26.25" customHeight="1">
      <c r="A1070" s="1253"/>
      <c r="B1070" s="1213"/>
      <c r="C1070" s="1213"/>
      <c r="D1070" s="1211"/>
      <c r="E1070" s="1211"/>
      <c r="F1070" s="1211"/>
      <c r="G1070" s="1211"/>
    </row>
    <row r="1071" ht="26.25" customHeight="1">
      <c r="A1071" s="1253"/>
      <c r="B1071" s="1213"/>
      <c r="C1071" s="1213"/>
      <c r="D1071" s="1211"/>
      <c r="E1071" s="1211"/>
      <c r="F1071" s="1211"/>
      <c r="G1071" s="1211"/>
    </row>
    <row r="1072" ht="26.25" customHeight="1">
      <c r="A1072" s="1253"/>
      <c r="B1072" s="1213"/>
      <c r="C1072" s="1213"/>
      <c r="D1072" s="1211"/>
      <c r="E1072" s="1211"/>
      <c r="F1072" s="1211"/>
      <c r="G1072" s="1211"/>
    </row>
    <row r="1073" ht="26.25" customHeight="1">
      <c r="A1073" s="1253"/>
      <c r="B1073" s="1213"/>
      <c r="C1073" s="1213"/>
      <c r="D1073" s="1211"/>
      <c r="E1073" s="1211"/>
      <c r="F1073" s="1211"/>
      <c r="G1073" s="1211"/>
    </row>
    <row r="1074" ht="26.25" customHeight="1">
      <c r="A1074" s="1253"/>
      <c r="B1074" s="1213"/>
      <c r="C1074" s="1213"/>
      <c r="D1074" s="1211"/>
      <c r="E1074" s="1211"/>
      <c r="F1074" s="1211"/>
      <c r="G1074" s="1211"/>
    </row>
    <row r="1075" ht="26.25" customHeight="1">
      <c r="A1075" s="1253"/>
      <c r="B1075" s="1213"/>
      <c r="C1075" s="1213"/>
      <c r="D1075" s="1211"/>
      <c r="E1075" s="1211"/>
      <c r="F1075" s="1211"/>
      <c r="G1075" s="1211"/>
    </row>
    <row r="1076" ht="26.25" customHeight="1">
      <c r="A1076" s="1253"/>
      <c r="B1076" s="1213"/>
      <c r="C1076" s="1213"/>
      <c r="D1076" s="1211"/>
      <c r="E1076" s="1211"/>
      <c r="F1076" s="1211"/>
      <c r="G1076" s="1211"/>
    </row>
    <row r="1077" ht="26.25" customHeight="1">
      <c r="A1077" s="1253"/>
      <c r="B1077" s="1213"/>
      <c r="C1077" s="1213"/>
      <c r="D1077" s="1211"/>
      <c r="E1077" s="1211"/>
      <c r="F1077" s="1211"/>
      <c r="G1077" s="1211"/>
    </row>
    <row r="1078" ht="26.25" customHeight="1">
      <c r="A1078" s="1253"/>
      <c r="B1078" s="1213"/>
      <c r="C1078" s="1213"/>
      <c r="D1078" s="1211"/>
      <c r="E1078" s="1211"/>
      <c r="F1078" s="1211"/>
      <c r="G1078" s="1211"/>
    </row>
    <row r="1079" ht="26.25" customHeight="1">
      <c r="A1079" s="1253"/>
      <c r="B1079" s="1213"/>
      <c r="C1079" s="1213"/>
      <c r="D1079" s="1211"/>
      <c r="E1079" s="1211"/>
      <c r="F1079" s="1211"/>
      <c r="G1079" s="1211"/>
    </row>
    <row r="1080" ht="26.25" customHeight="1">
      <c r="A1080" s="1253"/>
      <c r="B1080" s="1213"/>
      <c r="C1080" s="1213"/>
      <c r="D1080" s="1211"/>
      <c r="E1080" s="1211"/>
      <c r="F1080" s="1211"/>
      <c r="G1080" s="1211"/>
    </row>
    <row r="1081" ht="26.25" customHeight="1">
      <c r="A1081" s="1253"/>
      <c r="B1081" s="1213"/>
      <c r="C1081" s="1213"/>
      <c r="D1081" s="1211"/>
      <c r="E1081" s="1211"/>
      <c r="F1081" s="1211"/>
      <c r="G1081" s="1211"/>
    </row>
    <row r="1082" ht="26.25" customHeight="1">
      <c r="A1082" s="1253"/>
      <c r="B1082" s="1213"/>
      <c r="C1082" s="1213"/>
      <c r="D1082" s="1211"/>
      <c r="E1082" s="1211"/>
      <c r="F1082" s="1211"/>
      <c r="G1082" s="1211"/>
    </row>
    <row r="1083" ht="26.25" customHeight="1">
      <c r="A1083" s="1253"/>
      <c r="B1083" s="1213"/>
      <c r="C1083" s="1213"/>
      <c r="D1083" s="1211"/>
      <c r="E1083" s="1211"/>
      <c r="F1083" s="1211"/>
      <c r="G1083" s="1211"/>
    </row>
    <row r="1084" ht="26.25" customHeight="1">
      <c r="A1084" s="1253"/>
      <c r="B1084" s="1213"/>
      <c r="C1084" s="1213"/>
      <c r="D1084" s="1211"/>
      <c r="E1084" s="1211"/>
      <c r="F1084" s="1211"/>
      <c r="G1084" s="1211"/>
    </row>
    <row r="1085" ht="26.25" customHeight="1">
      <c r="A1085" s="1253"/>
      <c r="B1085" s="1213"/>
      <c r="C1085" s="1213"/>
      <c r="D1085" s="1211"/>
      <c r="E1085" s="1211"/>
      <c r="F1085" s="1211"/>
      <c r="G1085" s="1211"/>
    </row>
    <row r="1086" ht="26.25" customHeight="1">
      <c r="A1086" s="1253"/>
      <c r="B1086" s="1213"/>
      <c r="C1086" s="1213"/>
      <c r="D1086" s="1211"/>
      <c r="E1086" s="1211"/>
      <c r="F1086" s="1211"/>
      <c r="G1086" s="1211"/>
    </row>
    <row r="1087" ht="26.25" customHeight="1">
      <c r="A1087" s="1253"/>
      <c r="B1087" s="1213"/>
      <c r="C1087" s="1213"/>
      <c r="D1087" s="1211"/>
      <c r="E1087" s="1211"/>
      <c r="F1087" s="1211"/>
      <c r="G1087" s="1211"/>
    </row>
    <row r="1088" ht="26.25" customHeight="1">
      <c r="A1088" s="1253"/>
      <c r="B1088" s="1213"/>
      <c r="C1088" s="1213"/>
      <c r="D1088" s="1211"/>
      <c r="E1088" s="1211"/>
      <c r="F1088" s="1211"/>
      <c r="G1088" s="1211"/>
    </row>
    <row r="1089" ht="26.25" customHeight="1">
      <c r="A1089" s="1253"/>
      <c r="B1089" s="1213"/>
      <c r="C1089" s="1213"/>
      <c r="D1089" s="1211"/>
      <c r="E1089" s="1211"/>
      <c r="F1089" s="1211"/>
      <c r="G1089" s="1211"/>
    </row>
    <row r="1090" ht="26.25" customHeight="1">
      <c r="A1090" s="1253"/>
      <c r="B1090" s="1213"/>
      <c r="C1090" s="1213"/>
      <c r="D1090" s="1211"/>
      <c r="E1090" s="1211"/>
      <c r="F1090" s="1211"/>
      <c r="G1090" s="1211"/>
    </row>
    <row r="1091" ht="26.25" customHeight="1">
      <c r="A1091" s="1253"/>
      <c r="B1091" s="1213"/>
      <c r="C1091" s="1213"/>
      <c r="D1091" s="1211"/>
      <c r="E1091" s="1211"/>
      <c r="F1091" s="1211"/>
      <c r="G1091" s="1211"/>
    </row>
    <row r="1092" ht="26.25" customHeight="1">
      <c r="A1092" s="1253"/>
      <c r="B1092" s="1213"/>
      <c r="C1092" s="1213"/>
      <c r="D1092" s="1211"/>
      <c r="E1092" s="1211"/>
      <c r="F1092" s="1211"/>
      <c r="G1092" s="1211"/>
    </row>
    <row r="1093" ht="26.25" customHeight="1">
      <c r="A1093" s="1253"/>
      <c r="B1093" s="1213"/>
      <c r="C1093" s="1213"/>
      <c r="D1093" s="1211"/>
      <c r="E1093" s="1211"/>
      <c r="F1093" s="1211"/>
      <c r="G1093" s="1211"/>
    </row>
    <row r="1094" ht="26.25" customHeight="1">
      <c r="A1094" s="1253"/>
      <c r="B1094" s="1213"/>
      <c r="C1094" s="1213"/>
      <c r="D1094" s="1211"/>
      <c r="E1094" s="1211"/>
      <c r="F1094" s="1211"/>
      <c r="G1094" s="1211"/>
    </row>
    <row r="1095" ht="26.25" customHeight="1">
      <c r="A1095" s="1253"/>
      <c r="B1095" s="1213"/>
      <c r="C1095" s="1213"/>
      <c r="D1095" s="1211"/>
      <c r="E1095" s="1211"/>
      <c r="F1095" s="1211"/>
      <c r="G1095" s="1211"/>
    </row>
    <row r="1096" ht="26.25" customHeight="1">
      <c r="A1096" s="1253"/>
      <c r="B1096" s="1213"/>
      <c r="C1096" s="1213"/>
      <c r="D1096" s="1211"/>
      <c r="E1096" s="1211"/>
      <c r="F1096" s="1211"/>
      <c r="G1096" s="1211"/>
    </row>
    <row r="1097" ht="26.25" customHeight="1">
      <c r="A1097" s="1253"/>
      <c r="B1097" s="1213"/>
      <c r="C1097" s="1213"/>
      <c r="D1097" s="1211"/>
      <c r="E1097" s="1211"/>
      <c r="F1097" s="1211"/>
      <c r="G1097" s="1211"/>
    </row>
    <row r="1098" ht="26.25" customHeight="1">
      <c r="A1098" s="1253"/>
      <c r="B1098" s="1213"/>
      <c r="C1098" s="1213"/>
      <c r="D1098" s="1211"/>
      <c r="E1098" s="1211"/>
      <c r="F1098" s="1211"/>
      <c r="G1098" s="1211"/>
    </row>
    <row r="1099" ht="26.25" customHeight="1">
      <c r="A1099" s="1253"/>
      <c r="B1099" s="1213"/>
      <c r="C1099" s="1213"/>
      <c r="D1099" s="1211"/>
      <c r="E1099" s="1211"/>
      <c r="F1099" s="1211"/>
      <c r="G1099" s="1211"/>
    </row>
    <row r="1100" ht="26.25" customHeight="1">
      <c r="A1100" s="1253"/>
      <c r="B1100" s="1213"/>
      <c r="C1100" s="1213"/>
      <c r="D1100" s="1211"/>
      <c r="E1100" s="1211"/>
      <c r="F1100" s="1211"/>
      <c r="G1100" s="1211"/>
    </row>
    <row r="1101" ht="26.25" customHeight="1">
      <c r="A1101" s="1253"/>
      <c r="B1101" s="1213"/>
      <c r="C1101" s="1213"/>
      <c r="D1101" s="1211"/>
      <c r="E1101" s="1211"/>
      <c r="F1101" s="1211"/>
      <c r="G1101" s="1211"/>
    </row>
    <row r="1102" ht="26.25" customHeight="1">
      <c r="A1102" s="1253"/>
      <c r="B1102" s="1213"/>
      <c r="C1102" s="1213"/>
      <c r="D1102" s="1211"/>
      <c r="E1102" s="1211"/>
      <c r="F1102" s="1211"/>
      <c r="G1102" s="1211"/>
    </row>
    <row r="1103" ht="26.25" customHeight="1">
      <c r="A1103" s="1253"/>
      <c r="B1103" s="1213"/>
      <c r="C1103" s="1213"/>
      <c r="D1103" s="1211"/>
      <c r="E1103" s="1211"/>
      <c r="F1103" s="1211"/>
      <c r="G1103" s="1211"/>
    </row>
    <row r="1104" ht="26.25" customHeight="1">
      <c r="A1104" s="1253"/>
      <c r="B1104" s="1213"/>
      <c r="C1104" s="1213"/>
      <c r="D1104" s="1211"/>
      <c r="E1104" s="1211"/>
      <c r="F1104" s="1211"/>
      <c r="G1104" s="1211"/>
    </row>
    <row r="1105" ht="26.25" customHeight="1">
      <c r="A1105" s="1253"/>
      <c r="B1105" s="1213"/>
      <c r="C1105" s="1213"/>
      <c r="D1105" s="1211"/>
      <c r="E1105" s="1211"/>
      <c r="F1105" s="1211"/>
      <c r="G1105" s="1211"/>
    </row>
    <row r="1106" ht="26.25" customHeight="1">
      <c r="A1106" s="1253"/>
      <c r="B1106" s="1213"/>
      <c r="C1106" s="1213"/>
      <c r="D1106" s="1211"/>
      <c r="E1106" s="1211"/>
      <c r="F1106" s="1211"/>
      <c r="G1106" s="1211"/>
    </row>
    <row r="1107" ht="26.25" customHeight="1">
      <c r="A1107" s="1253"/>
      <c r="B1107" s="1213"/>
      <c r="C1107" s="1213"/>
      <c r="D1107" s="1211"/>
      <c r="E1107" s="1211"/>
      <c r="F1107" s="1211"/>
      <c r="G1107" s="1211"/>
    </row>
    <row r="1108" ht="26.25" customHeight="1">
      <c r="A1108" s="1253"/>
      <c r="B1108" s="1213"/>
      <c r="C1108" s="1213"/>
      <c r="D1108" s="1211"/>
      <c r="E1108" s="1211"/>
      <c r="F1108" s="1211"/>
      <c r="G1108" s="1211"/>
    </row>
    <row r="1109" ht="26.25" customHeight="1">
      <c r="A1109" s="1253"/>
      <c r="B1109" s="1213"/>
      <c r="C1109" s="1213"/>
      <c r="D1109" s="1211"/>
      <c r="E1109" s="1211"/>
      <c r="F1109" s="1211"/>
      <c r="G1109" s="1211"/>
    </row>
    <row r="1110" ht="26.25" customHeight="1">
      <c r="A1110" s="1253"/>
      <c r="B1110" s="1213"/>
      <c r="C1110" s="1213"/>
      <c r="D1110" s="1211"/>
      <c r="E1110" s="1211"/>
      <c r="F1110" s="1211"/>
      <c r="G1110" s="1211"/>
    </row>
    <row r="1111" ht="26.25" customHeight="1">
      <c r="A1111" s="1253"/>
      <c r="B1111" s="1213"/>
      <c r="C1111" s="1213"/>
      <c r="D1111" s="1211"/>
      <c r="E1111" s="1211"/>
      <c r="F1111" s="1211"/>
      <c r="G1111" s="1211"/>
    </row>
    <row r="1112" ht="26.25" customHeight="1">
      <c r="A1112" s="1253"/>
      <c r="B1112" s="1213"/>
      <c r="C1112" s="1213"/>
      <c r="D1112" s="1211"/>
      <c r="E1112" s="1211"/>
      <c r="F1112" s="1211"/>
      <c r="G1112" s="1211"/>
    </row>
    <row r="1113" ht="26.25" customHeight="1">
      <c r="A1113" s="1253"/>
      <c r="B1113" s="1213"/>
      <c r="C1113" s="1213"/>
      <c r="D1113" s="1211"/>
      <c r="E1113" s="1211"/>
      <c r="F1113" s="1211"/>
      <c r="G1113" s="1211"/>
    </row>
    <row r="1114" ht="26.25" customHeight="1">
      <c r="A1114" s="1253"/>
      <c r="B1114" s="1213"/>
      <c r="C1114" s="1213"/>
      <c r="D1114" s="1211"/>
      <c r="E1114" s="1211"/>
      <c r="F1114" s="1211"/>
      <c r="G1114" s="1211"/>
    </row>
    <row r="1115" ht="26.25" customHeight="1">
      <c r="A1115" s="1253"/>
      <c r="B1115" s="1213"/>
      <c r="C1115" s="1213"/>
      <c r="D1115" s="1211"/>
      <c r="E1115" s="1211"/>
      <c r="F1115" s="1211"/>
      <c r="G1115" s="1211"/>
    </row>
    <row r="1116" ht="26.25" customHeight="1">
      <c r="A1116" s="1253"/>
      <c r="B1116" s="1213"/>
      <c r="C1116" s="1213"/>
      <c r="D1116" s="1211"/>
      <c r="E1116" s="1211"/>
      <c r="F1116" s="1211"/>
      <c r="G1116" s="1211"/>
    </row>
    <row r="1117" ht="26.25" customHeight="1">
      <c r="A1117" s="1253"/>
      <c r="B1117" s="1213"/>
      <c r="C1117" s="1213"/>
      <c r="D1117" s="1211"/>
      <c r="E1117" s="1211"/>
      <c r="F1117" s="1211"/>
      <c r="G1117" s="1211"/>
    </row>
    <row r="1118" ht="26.25" customHeight="1">
      <c r="A1118" s="1253"/>
      <c r="B1118" s="1213"/>
      <c r="C1118" s="1213"/>
      <c r="D1118" s="1211"/>
      <c r="E1118" s="1211"/>
      <c r="F1118" s="1211"/>
      <c r="G1118" s="1211"/>
    </row>
    <row r="1119" ht="26.25" customHeight="1">
      <c r="A1119" s="1253"/>
      <c r="B1119" s="1213"/>
      <c r="C1119" s="1213"/>
      <c r="D1119" s="1211"/>
      <c r="E1119" s="1211"/>
      <c r="F1119" s="1211"/>
      <c r="G1119" s="1211"/>
    </row>
    <row r="1120" ht="26.25" customHeight="1">
      <c r="A1120" s="1253"/>
      <c r="B1120" s="1213"/>
      <c r="C1120" s="1213"/>
      <c r="D1120" s="1211"/>
      <c r="E1120" s="1211"/>
      <c r="F1120" s="1211"/>
      <c r="G1120" s="1211"/>
    </row>
    <row r="1121" ht="26.25" customHeight="1">
      <c r="A1121" s="1253"/>
      <c r="B1121" s="1213"/>
      <c r="C1121" s="1213"/>
      <c r="D1121" s="1211"/>
      <c r="E1121" s="1211"/>
      <c r="F1121" s="1211"/>
      <c r="G1121" s="1211"/>
    </row>
    <row r="1122" ht="26.25" customHeight="1">
      <c r="A1122" s="1253"/>
      <c r="B1122" s="1213"/>
      <c r="C1122" s="1213"/>
      <c r="D1122" s="1211"/>
      <c r="E1122" s="1211"/>
      <c r="F1122" s="1211"/>
      <c r="G1122" s="1211"/>
    </row>
    <row r="1123" ht="26.25" customHeight="1">
      <c r="A1123" s="1253"/>
      <c r="B1123" s="1213"/>
      <c r="C1123" s="1213"/>
      <c r="D1123" s="1211"/>
      <c r="E1123" s="1211"/>
      <c r="F1123" s="1211"/>
      <c r="G1123" s="1211"/>
    </row>
    <row r="1124" ht="26.25" customHeight="1">
      <c r="A1124" s="1253"/>
      <c r="B1124" s="1213"/>
      <c r="C1124" s="1213"/>
      <c r="D1124" s="1211"/>
      <c r="E1124" s="1211"/>
      <c r="F1124" s="1211"/>
      <c r="G1124" s="1211"/>
    </row>
    <row r="1125" ht="26.25" customHeight="1">
      <c r="A1125" s="1253"/>
      <c r="B1125" s="1213"/>
      <c r="C1125" s="1213"/>
      <c r="D1125" s="1211"/>
      <c r="E1125" s="1211"/>
      <c r="F1125" s="1211"/>
      <c r="G1125" s="1211"/>
    </row>
    <row r="1126" ht="26.25" customHeight="1">
      <c r="A1126" s="1253"/>
      <c r="B1126" s="1213"/>
      <c r="C1126" s="1213"/>
      <c r="D1126" s="1211"/>
      <c r="E1126" s="1211"/>
      <c r="F1126" s="1211"/>
      <c r="G1126" s="1211"/>
    </row>
    <row r="1127" ht="26.25" customHeight="1">
      <c r="A1127" s="1253"/>
      <c r="B1127" s="1213"/>
      <c r="C1127" s="1213"/>
      <c r="D1127" s="1211"/>
      <c r="E1127" s="1211"/>
      <c r="F1127" s="1211"/>
      <c r="G1127" s="1211"/>
    </row>
    <row r="1128" ht="26.25" customHeight="1">
      <c r="A1128" s="1253"/>
      <c r="B1128" s="1213"/>
      <c r="C1128" s="1213"/>
      <c r="D1128" s="1211"/>
      <c r="E1128" s="1211"/>
      <c r="F1128" s="1211"/>
      <c r="G1128" s="1211"/>
    </row>
    <row r="1129" ht="26.25" customHeight="1">
      <c r="A1129" s="1253"/>
      <c r="B1129" s="1213"/>
      <c r="C1129" s="1213"/>
      <c r="D1129" s="1211"/>
      <c r="E1129" s="1211"/>
      <c r="F1129" s="1211"/>
      <c r="G1129" s="1211"/>
    </row>
    <row r="1130" ht="26.25" customHeight="1">
      <c r="A1130" s="1253"/>
      <c r="B1130" s="1213"/>
      <c r="C1130" s="1213"/>
      <c r="D1130" s="1211"/>
      <c r="E1130" s="1211"/>
      <c r="F1130" s="1211"/>
      <c r="G1130" s="1211"/>
    </row>
    <row r="1131" ht="26.25" customHeight="1">
      <c r="A1131" s="1253"/>
      <c r="B1131" s="1213"/>
      <c r="C1131" s="1213"/>
      <c r="D1131" s="1211"/>
      <c r="E1131" s="1211"/>
      <c r="F1131" s="1211"/>
      <c r="G1131" s="1211"/>
    </row>
    <row r="1132" ht="26.25" customHeight="1">
      <c r="A1132" s="1253"/>
      <c r="B1132" s="1213"/>
      <c r="C1132" s="1213"/>
      <c r="D1132" s="1211"/>
      <c r="E1132" s="1211"/>
      <c r="F1132" s="1211"/>
      <c r="G1132" s="1211"/>
    </row>
    <row r="1133" ht="26.25" customHeight="1">
      <c r="A1133" s="1253"/>
      <c r="B1133" s="1213"/>
      <c r="C1133" s="1213"/>
      <c r="D1133" s="1211"/>
      <c r="E1133" s="1211"/>
      <c r="F1133" s="1211"/>
      <c r="G1133" s="1211"/>
    </row>
    <row r="1134" ht="26.25" customHeight="1">
      <c r="A1134" s="1253"/>
      <c r="B1134" s="1213"/>
      <c r="C1134" s="1213"/>
      <c r="D1134" s="1211"/>
      <c r="E1134" s="1211"/>
      <c r="F1134" s="1211"/>
      <c r="G1134" s="1211"/>
    </row>
    <row r="1135" ht="26.25" customHeight="1">
      <c r="A1135" s="1253"/>
      <c r="B1135" s="1213"/>
      <c r="C1135" s="1213"/>
      <c r="D1135" s="1211"/>
      <c r="E1135" s="1211"/>
      <c r="F1135" s="1211"/>
      <c r="G1135" s="1211"/>
    </row>
    <row r="1136" ht="26.25" customHeight="1">
      <c r="A1136" s="1253"/>
      <c r="B1136" s="1213"/>
      <c r="C1136" s="1213"/>
      <c r="D1136" s="1211"/>
      <c r="E1136" s="1211"/>
      <c r="F1136" s="1211"/>
      <c r="G1136" s="1211"/>
    </row>
    <row r="1137" ht="26.25" customHeight="1">
      <c r="A1137" s="1253"/>
      <c r="B1137" s="1213"/>
      <c r="C1137" s="1213"/>
      <c r="D1137" s="1211"/>
      <c r="E1137" s="1211"/>
      <c r="F1137" s="1211"/>
      <c r="G1137" s="1211"/>
    </row>
    <row r="1138" ht="26.25" customHeight="1">
      <c r="A1138" s="1253"/>
      <c r="B1138" s="1213"/>
      <c r="C1138" s="1213"/>
      <c r="D1138" s="1211"/>
      <c r="E1138" s="1211"/>
      <c r="F1138" s="1211"/>
      <c r="G1138" s="1211"/>
    </row>
    <row r="1139" ht="26.25" customHeight="1">
      <c r="A1139" s="1253"/>
      <c r="B1139" s="1213"/>
      <c r="C1139" s="1213"/>
      <c r="D1139" s="1211"/>
      <c r="E1139" s="1211"/>
      <c r="F1139" s="1211"/>
      <c r="G1139" s="1211"/>
    </row>
    <row r="1140" ht="26.25" customHeight="1">
      <c r="A1140" s="1253"/>
      <c r="B1140" s="1213"/>
      <c r="C1140" s="1213"/>
      <c r="D1140" s="1211"/>
      <c r="E1140" s="1211"/>
      <c r="F1140" s="1211"/>
      <c r="G1140" s="1211"/>
    </row>
    <row r="1141" ht="26.25" customHeight="1">
      <c r="A1141" s="1253"/>
      <c r="B1141" s="1213"/>
      <c r="C1141" s="1213"/>
      <c r="D1141" s="1211"/>
      <c r="E1141" s="1211"/>
      <c r="F1141" s="1211"/>
      <c r="G1141" s="1211"/>
    </row>
    <row r="1142" ht="26.25" customHeight="1">
      <c r="A1142" s="1253"/>
      <c r="B1142" s="1213"/>
      <c r="C1142" s="1213"/>
      <c r="D1142" s="1211"/>
      <c r="E1142" s="1211"/>
      <c r="F1142" s="1211"/>
      <c r="G1142" s="1211"/>
    </row>
    <row r="1143" ht="26.25" customHeight="1">
      <c r="A1143" s="1253"/>
      <c r="B1143" s="1213"/>
      <c r="C1143" s="1213"/>
      <c r="D1143" s="1211"/>
      <c r="E1143" s="1211"/>
      <c r="F1143" s="1211"/>
      <c r="G1143" s="1211"/>
    </row>
    <row r="1144" ht="26.25" customHeight="1">
      <c r="A1144" s="1253"/>
      <c r="B1144" s="1213"/>
      <c r="C1144" s="1213"/>
      <c r="D1144" s="1211"/>
      <c r="E1144" s="1211"/>
      <c r="F1144" s="1211"/>
      <c r="G1144" s="1211"/>
    </row>
    <row r="1145" ht="26.25" customHeight="1">
      <c r="A1145" s="1253"/>
      <c r="B1145" s="1213"/>
      <c r="C1145" s="1213"/>
      <c r="D1145" s="1211"/>
      <c r="E1145" s="1211"/>
      <c r="F1145" s="1211"/>
      <c r="G1145" s="1211"/>
    </row>
    <row r="1146" ht="26.25" customHeight="1">
      <c r="A1146" s="1253"/>
      <c r="B1146" s="1213"/>
      <c r="C1146" s="1213"/>
      <c r="D1146" s="1211"/>
      <c r="E1146" s="1211"/>
      <c r="F1146" s="1211"/>
      <c r="G1146" s="1211"/>
    </row>
    <row r="1147" ht="26.25" customHeight="1">
      <c r="A1147" s="1253"/>
      <c r="B1147" s="1213"/>
      <c r="C1147" s="1213"/>
      <c r="D1147" s="1211"/>
      <c r="E1147" s="1211"/>
      <c r="F1147" s="1211"/>
      <c r="G1147" s="1211"/>
    </row>
    <row r="1148" ht="26.25" customHeight="1">
      <c r="A1148" s="1253"/>
      <c r="B1148" s="1213"/>
      <c r="C1148" s="1213"/>
      <c r="D1148" s="1211"/>
      <c r="E1148" s="1211"/>
      <c r="F1148" s="1211"/>
      <c r="G1148" s="1211"/>
    </row>
    <row r="1149" ht="26.25" customHeight="1">
      <c r="A1149" s="1253"/>
      <c r="B1149" s="1213"/>
      <c r="C1149" s="1213"/>
      <c r="D1149" s="1211"/>
      <c r="E1149" s="1211"/>
      <c r="F1149" s="1211"/>
      <c r="G1149" s="1211"/>
    </row>
    <row r="1150" ht="26.25" customHeight="1">
      <c r="A1150" s="1253"/>
      <c r="B1150" s="1213"/>
      <c r="C1150" s="1213"/>
      <c r="D1150" s="1211"/>
      <c r="E1150" s="1211"/>
      <c r="F1150" s="1211"/>
      <c r="G1150" s="1211"/>
    </row>
    <row r="1151" ht="26.25" customHeight="1">
      <c r="A1151" s="1253"/>
      <c r="B1151" s="1213"/>
      <c r="C1151" s="1213"/>
      <c r="D1151" s="1211"/>
      <c r="E1151" s="1211"/>
      <c r="F1151" s="1211"/>
      <c r="G1151" s="1211"/>
    </row>
    <row r="1152" ht="26.25" customHeight="1">
      <c r="A1152" s="1253"/>
      <c r="B1152" s="1213"/>
      <c r="C1152" s="1213"/>
      <c r="D1152" s="1211"/>
      <c r="E1152" s="1211"/>
      <c r="F1152" s="1211"/>
      <c r="G1152" s="1211"/>
    </row>
    <row r="1153" ht="26.25" customHeight="1">
      <c r="A1153" s="1253"/>
      <c r="B1153" s="1213"/>
      <c r="C1153" s="1213"/>
      <c r="D1153" s="1211"/>
      <c r="E1153" s="1211"/>
      <c r="F1153" s="1211"/>
      <c r="G1153" s="1211"/>
    </row>
    <row r="1154" ht="26.25" customHeight="1">
      <c r="A1154" s="1253"/>
      <c r="B1154" s="1213"/>
      <c r="C1154" s="1213"/>
      <c r="D1154" s="1211"/>
      <c r="E1154" s="1211"/>
      <c r="F1154" s="1211"/>
      <c r="G1154" s="1211"/>
    </row>
    <row r="1155" ht="26.25" customHeight="1">
      <c r="A1155" s="1253"/>
      <c r="B1155" s="1213"/>
      <c r="C1155" s="1213"/>
      <c r="D1155" s="1211"/>
      <c r="E1155" s="1211"/>
      <c r="F1155" s="1211"/>
      <c r="G1155" s="1211"/>
    </row>
    <row r="1156" ht="26.25" customHeight="1">
      <c r="A1156" s="1253"/>
      <c r="B1156" s="1213"/>
      <c r="C1156" s="1213"/>
      <c r="D1156" s="1211"/>
      <c r="E1156" s="1211"/>
      <c r="F1156" s="1211"/>
      <c r="G1156" s="1211"/>
    </row>
    <row r="1157" ht="26.25" customHeight="1">
      <c r="A1157" s="1253"/>
      <c r="B1157" s="1213"/>
      <c r="C1157" s="1213"/>
      <c r="D1157" s="1211"/>
      <c r="E1157" s="1211"/>
      <c r="F1157" s="1211"/>
      <c r="G1157" s="1211"/>
    </row>
    <row r="1158" ht="26.25" customHeight="1">
      <c r="A1158" s="1253"/>
      <c r="B1158" s="1213"/>
      <c r="C1158" s="1213"/>
      <c r="D1158" s="1211"/>
      <c r="E1158" s="1211"/>
      <c r="F1158" s="1211"/>
      <c r="G1158" s="1211"/>
    </row>
    <row r="1159" ht="26.25" customHeight="1">
      <c r="A1159" s="1253"/>
      <c r="B1159" s="1213"/>
      <c r="C1159" s="1213"/>
      <c r="D1159" s="1211"/>
      <c r="E1159" s="1211"/>
      <c r="F1159" s="1211"/>
      <c r="G1159" s="1211"/>
    </row>
    <row r="1160" ht="26.25" customHeight="1">
      <c r="A1160" s="1253"/>
      <c r="B1160" s="1213"/>
      <c r="C1160" s="1213"/>
      <c r="D1160" s="1211"/>
      <c r="E1160" s="1211"/>
      <c r="F1160" s="1211"/>
      <c r="G1160" s="1211"/>
    </row>
    <row r="1161" ht="26.25" customHeight="1">
      <c r="A1161" s="1253"/>
      <c r="B1161" s="1213"/>
      <c r="C1161" s="1213"/>
      <c r="D1161" s="1211"/>
      <c r="E1161" s="1211"/>
      <c r="F1161" s="1211"/>
      <c r="G1161" s="1211"/>
    </row>
    <row r="1162" ht="26.25" customHeight="1">
      <c r="A1162" s="1253"/>
      <c r="B1162" s="1213"/>
      <c r="C1162" s="1213"/>
      <c r="D1162" s="1211"/>
      <c r="E1162" s="1211"/>
      <c r="F1162" s="1211"/>
      <c r="G1162" s="1211"/>
    </row>
    <row r="1163" ht="26.25" customHeight="1">
      <c r="A1163" s="1253"/>
      <c r="B1163" s="1213"/>
      <c r="C1163" s="1213"/>
      <c r="D1163" s="1211"/>
      <c r="E1163" s="1211"/>
      <c r="F1163" s="1211"/>
      <c r="G1163" s="1211"/>
    </row>
    <row r="1164" ht="26.25" customHeight="1">
      <c r="A1164" s="1253"/>
      <c r="B1164" s="1213"/>
      <c r="C1164" s="1213"/>
      <c r="D1164" s="1211"/>
      <c r="E1164" s="1211"/>
      <c r="F1164" s="1211"/>
      <c r="G1164" s="1211"/>
    </row>
    <row r="1165" ht="26.25" customHeight="1">
      <c r="A1165" s="1253"/>
      <c r="B1165" s="1213"/>
      <c r="C1165" s="1213"/>
      <c r="D1165" s="1211"/>
      <c r="E1165" s="1211"/>
      <c r="F1165" s="1211"/>
      <c r="G1165" s="1211"/>
    </row>
    <row r="1166" ht="26.25" customHeight="1">
      <c r="A1166" s="1253"/>
      <c r="B1166" s="1213"/>
      <c r="C1166" s="1213"/>
      <c r="D1166" s="1211"/>
      <c r="E1166" s="1211"/>
      <c r="F1166" s="1211"/>
      <c r="G1166" s="1211"/>
    </row>
    <row r="1167" ht="26.25" customHeight="1">
      <c r="A1167" s="1253"/>
      <c r="B1167" s="1213"/>
      <c r="C1167" s="1213"/>
      <c r="D1167" s="1211"/>
      <c r="E1167" s="1211"/>
      <c r="F1167" s="1211"/>
      <c r="G1167" s="1211"/>
    </row>
    <row r="1168" ht="26.25" customHeight="1">
      <c r="A1168" s="1253"/>
      <c r="B1168" s="1213"/>
      <c r="C1168" s="1213"/>
      <c r="D1168" s="1211"/>
      <c r="E1168" s="1211"/>
      <c r="F1168" s="1211"/>
      <c r="G1168" s="1211"/>
    </row>
    <row r="1169" ht="26.25" customHeight="1">
      <c r="A1169" s="1253"/>
      <c r="B1169" s="1213"/>
      <c r="C1169" s="1213"/>
      <c r="D1169" s="1211"/>
      <c r="E1169" s="1211"/>
      <c r="F1169" s="1211"/>
      <c r="G1169" s="1211"/>
    </row>
    <row r="1170" ht="26.25" customHeight="1">
      <c r="A1170" s="1253"/>
      <c r="B1170" s="1213"/>
      <c r="C1170" s="1213"/>
      <c r="D1170" s="1211"/>
      <c r="E1170" s="1211"/>
      <c r="F1170" s="1211"/>
      <c r="G1170" s="1211"/>
    </row>
    <row r="1171" ht="26.25" customHeight="1">
      <c r="A1171" s="1253"/>
      <c r="B1171" s="1213"/>
      <c r="C1171" s="1213"/>
      <c r="D1171" s="1211"/>
      <c r="E1171" s="1211"/>
      <c r="F1171" s="1211"/>
      <c r="G1171" s="1211"/>
    </row>
    <row r="1172" ht="26.25" customHeight="1">
      <c r="A1172" s="1253"/>
      <c r="B1172" s="1213"/>
      <c r="C1172" s="1213"/>
      <c r="D1172" s="1211"/>
      <c r="E1172" s="1211"/>
      <c r="F1172" s="1211"/>
      <c r="G1172" s="1211"/>
    </row>
    <row r="1173" ht="26.25" customHeight="1">
      <c r="A1173" s="1253"/>
      <c r="B1173" s="1213"/>
      <c r="C1173" s="1213"/>
      <c r="D1173" s="1211"/>
      <c r="E1173" s="1211"/>
      <c r="F1173" s="1211"/>
      <c r="G1173" s="1211"/>
    </row>
    <row r="1174" ht="26.25" customHeight="1">
      <c r="A1174" s="1253"/>
      <c r="B1174" s="1213"/>
      <c r="C1174" s="1213"/>
      <c r="D1174" s="1211"/>
      <c r="E1174" s="1211"/>
      <c r="F1174" s="1211"/>
      <c r="G1174" s="1211"/>
    </row>
    <row r="1175" ht="26.25" customHeight="1">
      <c r="A1175" s="1253"/>
      <c r="B1175" s="1213"/>
      <c r="C1175" s="1213"/>
      <c r="D1175" s="1211"/>
      <c r="E1175" s="1211"/>
      <c r="F1175" s="1211"/>
      <c r="G1175" s="1211"/>
    </row>
    <row r="1176" ht="26.25" customHeight="1">
      <c r="A1176" s="1253"/>
      <c r="B1176" s="1213"/>
      <c r="C1176" s="1213"/>
      <c r="D1176" s="1211"/>
      <c r="E1176" s="1211"/>
      <c r="F1176" s="1211"/>
      <c r="G1176" s="1211"/>
    </row>
    <row r="1177" ht="26.25" customHeight="1">
      <c r="A1177" s="1253"/>
      <c r="B1177" s="1213"/>
      <c r="C1177" s="1213"/>
      <c r="D1177" s="1211"/>
      <c r="E1177" s="1211"/>
      <c r="F1177" s="1211"/>
      <c r="G1177" s="1211"/>
    </row>
    <row r="1178" ht="26.25" customHeight="1">
      <c r="A1178" s="1253"/>
      <c r="B1178" s="1213"/>
      <c r="C1178" s="1213"/>
      <c r="D1178" s="1211"/>
      <c r="E1178" s="1211"/>
      <c r="F1178" s="1211"/>
      <c r="G1178" s="1211"/>
    </row>
    <row r="1179" ht="26.25" customHeight="1">
      <c r="A1179" s="1253"/>
      <c r="B1179" s="1213"/>
      <c r="C1179" s="1213"/>
      <c r="D1179" s="1211"/>
      <c r="E1179" s="1211"/>
      <c r="F1179" s="1211"/>
      <c r="G1179" s="1211"/>
    </row>
    <row r="1180" ht="26.25" customHeight="1">
      <c r="A1180" s="1253"/>
      <c r="B1180" s="1213"/>
      <c r="C1180" s="1213"/>
      <c r="D1180" s="1211"/>
      <c r="E1180" s="1211"/>
      <c r="F1180" s="1211"/>
      <c r="G1180" s="1211"/>
    </row>
    <row r="1181" ht="26.25" customHeight="1">
      <c r="A1181" s="1253"/>
      <c r="B1181" s="1213"/>
      <c r="C1181" s="1213"/>
      <c r="D1181" s="1211"/>
      <c r="E1181" s="1211"/>
      <c r="F1181" s="1211"/>
      <c r="G1181" s="1211"/>
    </row>
    <row r="1182" ht="26.25" customHeight="1">
      <c r="A1182" s="1253"/>
      <c r="B1182" s="1213"/>
      <c r="C1182" s="1213"/>
      <c r="D1182" s="1211"/>
      <c r="E1182" s="1211"/>
      <c r="F1182" s="1211"/>
      <c r="G1182" s="1211"/>
    </row>
    <row r="1183" ht="26.25" customHeight="1">
      <c r="A1183" s="1253"/>
      <c r="B1183" s="1213"/>
      <c r="C1183" s="1213"/>
      <c r="D1183" s="1211"/>
      <c r="E1183" s="1211"/>
      <c r="F1183" s="1211"/>
      <c r="G1183" s="1211"/>
    </row>
    <row r="1184" ht="26.25" customHeight="1">
      <c r="A1184" s="1253"/>
      <c r="B1184" s="1213"/>
      <c r="C1184" s="1213"/>
      <c r="D1184" s="1211"/>
      <c r="E1184" s="1211"/>
      <c r="F1184" s="1211"/>
      <c r="G1184" s="1211"/>
    </row>
    <row r="1185" ht="26.25" customHeight="1">
      <c r="A1185" s="1253"/>
      <c r="B1185" s="1213"/>
      <c r="C1185" s="1213"/>
      <c r="D1185" s="1211"/>
      <c r="E1185" s="1211"/>
      <c r="F1185" s="1211"/>
      <c r="G1185" s="1211"/>
    </row>
    <row r="1186" ht="26.25" customHeight="1">
      <c r="A1186" s="1253"/>
      <c r="B1186" s="1213"/>
      <c r="C1186" s="1213"/>
      <c r="D1186" s="1211"/>
      <c r="E1186" s="1211"/>
      <c r="F1186" s="1211"/>
      <c r="G1186" s="1211"/>
    </row>
    <row r="1187" ht="26.25" customHeight="1">
      <c r="A1187" s="1253"/>
      <c r="B1187" s="1213"/>
      <c r="C1187" s="1213"/>
      <c r="D1187" s="1211"/>
      <c r="E1187" s="1211"/>
      <c r="F1187" s="1211"/>
      <c r="G1187" s="1211"/>
    </row>
    <row r="1188" ht="26.25" customHeight="1">
      <c r="A1188" s="1253"/>
      <c r="B1188" s="1213"/>
      <c r="C1188" s="1213"/>
      <c r="D1188" s="1211"/>
      <c r="E1188" s="1211"/>
      <c r="F1188" s="1211"/>
      <c r="G1188" s="1211"/>
    </row>
    <row r="1189" ht="26.25" customHeight="1">
      <c r="A1189" s="1253"/>
      <c r="B1189" s="1213"/>
      <c r="C1189" s="1213"/>
      <c r="D1189" s="1211"/>
      <c r="E1189" s="1211"/>
      <c r="F1189" s="1211"/>
      <c r="G1189" s="1211"/>
    </row>
    <row r="1190" ht="26.25" customHeight="1">
      <c r="A1190" s="1253"/>
      <c r="B1190" s="1213"/>
      <c r="C1190" s="1213"/>
      <c r="D1190" s="1211"/>
      <c r="E1190" s="1211"/>
      <c r="F1190" s="1211"/>
      <c r="G1190" s="1211"/>
    </row>
    <row r="1191" ht="26.25" customHeight="1">
      <c r="A1191" s="1253"/>
      <c r="B1191" s="1213"/>
      <c r="C1191" s="1213"/>
      <c r="D1191" s="1211"/>
      <c r="E1191" s="1211"/>
      <c r="F1191" s="1211"/>
      <c r="G1191" s="1211"/>
    </row>
    <row r="1192" ht="26.25" customHeight="1">
      <c r="A1192" s="1253"/>
      <c r="B1192" s="1213"/>
      <c r="C1192" s="1213"/>
      <c r="D1192" s="1211"/>
      <c r="E1192" s="1211"/>
      <c r="F1192" s="1211"/>
      <c r="G1192" s="1211"/>
    </row>
    <row r="1193" ht="26.25" customHeight="1">
      <c r="A1193" s="1253"/>
      <c r="B1193" s="1213"/>
      <c r="C1193" s="1213"/>
      <c r="D1193" s="1211"/>
      <c r="E1193" s="1211"/>
      <c r="F1193" s="1211"/>
      <c r="G1193" s="1211"/>
    </row>
    <row r="1194" ht="26.25" customHeight="1">
      <c r="A1194" s="1253"/>
      <c r="B1194" s="1213"/>
      <c r="C1194" s="1213"/>
      <c r="D1194" s="1211"/>
      <c r="E1194" s="1211"/>
      <c r="F1194" s="1211"/>
      <c r="G1194" s="1211"/>
    </row>
    <row r="1195" ht="26.25" customHeight="1">
      <c r="A1195" s="1253"/>
      <c r="B1195" s="1213"/>
      <c r="C1195" s="1213"/>
      <c r="D1195" s="1211"/>
      <c r="E1195" s="1211"/>
      <c r="F1195" s="1211"/>
      <c r="G1195" s="1211"/>
    </row>
    <row r="1196" ht="26.25" customHeight="1">
      <c r="A1196" s="1253"/>
      <c r="B1196" s="1213"/>
      <c r="C1196" s="1213"/>
      <c r="D1196" s="1211"/>
      <c r="E1196" s="1211"/>
      <c r="F1196" s="1211"/>
      <c r="G1196" s="1211"/>
    </row>
    <row r="1197" ht="26.25" customHeight="1">
      <c r="A1197" s="1253"/>
      <c r="B1197" s="1213"/>
      <c r="C1197" s="1213"/>
      <c r="D1197" s="1211"/>
      <c r="E1197" s="1211"/>
      <c r="F1197" s="1211"/>
      <c r="G1197" s="1211"/>
    </row>
    <row r="1198" ht="26.25" customHeight="1">
      <c r="A1198" s="1253"/>
      <c r="B1198" s="1213"/>
      <c r="C1198" s="1213"/>
      <c r="D1198" s="1211"/>
      <c r="E1198" s="1211"/>
      <c r="F1198" s="1211"/>
      <c r="G1198" s="1211"/>
    </row>
    <row r="1199" ht="26.25" customHeight="1">
      <c r="A1199" s="1253"/>
      <c r="B1199" s="1213"/>
      <c r="C1199" s="1213"/>
      <c r="D1199" s="1211"/>
      <c r="E1199" s="1211"/>
      <c r="F1199" s="1211"/>
      <c r="G1199" s="1211"/>
    </row>
    <row r="1200" ht="26.25" customHeight="1">
      <c r="A1200" s="1253"/>
      <c r="B1200" s="1213"/>
      <c r="C1200" s="1213"/>
      <c r="D1200" s="1211"/>
      <c r="E1200" s="1211"/>
      <c r="F1200" s="1211"/>
      <c r="G1200" s="1211"/>
    </row>
    <row r="1201" ht="26.25" customHeight="1">
      <c r="A1201" s="1253"/>
      <c r="B1201" s="1213"/>
      <c r="C1201" s="1213"/>
      <c r="D1201" s="1211"/>
      <c r="E1201" s="1211"/>
      <c r="F1201" s="1211"/>
      <c r="G1201" s="1211"/>
    </row>
    <row r="1202" ht="26.25" customHeight="1">
      <c r="A1202" s="1253"/>
      <c r="B1202" s="1213"/>
      <c r="C1202" s="1213"/>
      <c r="D1202" s="1211"/>
      <c r="E1202" s="1211"/>
      <c r="F1202" s="1211"/>
      <c r="G1202" s="1211"/>
    </row>
    <row r="1203" ht="26.25" customHeight="1">
      <c r="A1203" s="1253"/>
      <c r="B1203" s="1213"/>
      <c r="C1203" s="1213"/>
      <c r="D1203" s="1211"/>
      <c r="E1203" s="1211"/>
      <c r="F1203" s="1211"/>
      <c r="G1203" s="1211"/>
    </row>
    <row r="1204" ht="26.25" customHeight="1">
      <c r="A1204" s="1253"/>
      <c r="B1204" s="1213"/>
      <c r="C1204" s="1213"/>
      <c r="D1204" s="1211"/>
      <c r="E1204" s="1211"/>
      <c r="F1204" s="1211"/>
      <c r="G1204" s="1211"/>
    </row>
    <row r="1205" ht="26.25" customHeight="1">
      <c r="A1205" s="1253"/>
      <c r="B1205" s="1213"/>
      <c r="C1205" s="1213"/>
      <c r="D1205" s="1211"/>
      <c r="E1205" s="1211"/>
      <c r="F1205" s="1211"/>
      <c r="G1205" s="1211"/>
    </row>
    <row r="1206" ht="26.25" customHeight="1">
      <c r="A1206" s="1253"/>
      <c r="B1206" s="1213"/>
      <c r="C1206" s="1213"/>
      <c r="D1206" s="1211"/>
      <c r="E1206" s="1211"/>
      <c r="F1206" s="1211"/>
      <c r="G1206" s="1211"/>
    </row>
    <row r="1207" ht="26.25" customHeight="1">
      <c r="A1207" s="1253"/>
      <c r="B1207" s="1213"/>
      <c r="C1207" s="1213"/>
      <c r="D1207" s="1211"/>
      <c r="E1207" s="1211"/>
      <c r="F1207" s="1211"/>
      <c r="G1207" s="1211"/>
    </row>
    <row r="1208" ht="26.25" customHeight="1">
      <c r="A1208" s="1253"/>
      <c r="B1208" s="1213"/>
      <c r="C1208" s="1213"/>
      <c r="D1208" s="1211"/>
      <c r="E1208" s="1211"/>
      <c r="F1208" s="1211"/>
      <c r="G1208" s="1211"/>
    </row>
    <row r="1209" ht="26.25" customHeight="1">
      <c r="A1209" s="1253"/>
      <c r="B1209" s="1213"/>
      <c r="C1209" s="1213"/>
      <c r="D1209" s="1211"/>
      <c r="E1209" s="1211"/>
      <c r="F1209" s="1211"/>
      <c r="G1209" s="1211"/>
    </row>
    <row r="1210" ht="26.25" customHeight="1">
      <c r="A1210" s="1253"/>
      <c r="B1210" s="1213"/>
      <c r="C1210" s="1213"/>
      <c r="D1210" s="1211"/>
      <c r="E1210" s="1211"/>
      <c r="F1210" s="1211"/>
      <c r="G1210" s="1211"/>
    </row>
    <row r="1211" ht="26.25" customHeight="1">
      <c r="A1211" s="1253"/>
      <c r="B1211" s="1213"/>
      <c r="C1211" s="1213"/>
      <c r="D1211" s="1211"/>
      <c r="E1211" s="1211"/>
      <c r="F1211" s="1211"/>
      <c r="G1211" s="1211"/>
    </row>
    <row r="1212" ht="26.25" customHeight="1">
      <c r="A1212" s="1253"/>
      <c r="B1212" s="1213"/>
      <c r="C1212" s="1213"/>
      <c r="D1212" s="1211"/>
      <c r="E1212" s="1211"/>
      <c r="F1212" s="1211"/>
      <c r="G1212" s="1211"/>
    </row>
    <row r="1213" ht="26.25" customHeight="1">
      <c r="A1213" s="1253"/>
      <c r="B1213" s="1213"/>
      <c r="C1213" s="1213"/>
      <c r="D1213" s="1211"/>
      <c r="E1213" s="1211"/>
      <c r="F1213" s="1211"/>
      <c r="G1213" s="1211"/>
    </row>
    <row r="1214" ht="26.25" customHeight="1">
      <c r="A1214" s="1253"/>
      <c r="B1214" s="1213"/>
      <c r="C1214" s="1213"/>
      <c r="D1214" s="1211"/>
      <c r="E1214" s="1211"/>
      <c r="F1214" s="1211"/>
      <c r="G1214" s="1211"/>
    </row>
    <row r="1215" ht="26.25" customHeight="1">
      <c r="A1215" s="1253"/>
      <c r="B1215" s="1213"/>
      <c r="C1215" s="1213"/>
      <c r="D1215" s="1211"/>
      <c r="E1215" s="1211"/>
      <c r="F1215" s="1211"/>
      <c r="G1215" s="1211"/>
    </row>
    <row r="1216" ht="26.25" customHeight="1">
      <c r="A1216" s="1253"/>
      <c r="B1216" s="1213"/>
      <c r="C1216" s="1213"/>
      <c r="D1216" s="1211"/>
      <c r="E1216" s="1211"/>
      <c r="F1216" s="1211"/>
      <c r="G1216" s="1211"/>
    </row>
    <row r="1217" ht="26.25" customHeight="1">
      <c r="A1217" s="1253"/>
      <c r="B1217" s="1213"/>
      <c r="C1217" s="1213"/>
      <c r="D1217" s="1211"/>
      <c r="E1217" s="1211"/>
      <c r="F1217" s="1211"/>
      <c r="G1217" s="1211"/>
    </row>
    <row r="1218" ht="26.25" customHeight="1">
      <c r="A1218" s="1253"/>
      <c r="B1218" s="1213"/>
      <c r="C1218" s="1213"/>
      <c r="D1218" s="1211"/>
      <c r="E1218" s="1211"/>
      <c r="F1218" s="1211"/>
      <c r="G1218" s="1211"/>
    </row>
    <row r="1219" ht="26.25" customHeight="1">
      <c r="A1219" s="1253"/>
      <c r="B1219" s="1213"/>
      <c r="C1219" s="1213"/>
      <c r="D1219" s="1211"/>
      <c r="E1219" s="1211"/>
      <c r="F1219" s="1211"/>
      <c r="G1219" s="1211"/>
    </row>
    <row r="1220" ht="26.25" customHeight="1">
      <c r="A1220" s="1253"/>
      <c r="B1220" s="1213"/>
      <c r="C1220" s="1213"/>
      <c r="D1220" s="1211"/>
      <c r="E1220" s="1211"/>
      <c r="F1220" s="1211"/>
      <c r="G1220" s="1211"/>
    </row>
    <row r="1221" ht="26.25" customHeight="1">
      <c r="A1221" s="1253"/>
      <c r="B1221" s="1213"/>
      <c r="C1221" s="1213"/>
      <c r="D1221" s="1211"/>
      <c r="E1221" s="1211"/>
      <c r="F1221" s="1211"/>
      <c r="G1221" s="1211"/>
    </row>
    <row r="1222" ht="26.25" customHeight="1">
      <c r="A1222" s="1253"/>
      <c r="B1222" s="1213"/>
      <c r="C1222" s="1213"/>
      <c r="D1222" s="1211"/>
      <c r="E1222" s="1211"/>
      <c r="F1222" s="1211"/>
      <c r="G1222" s="1211"/>
    </row>
    <row r="1223" ht="26.25" customHeight="1">
      <c r="A1223" s="1253"/>
      <c r="B1223" s="1213"/>
      <c r="C1223" s="1213"/>
      <c r="D1223" s="1211"/>
      <c r="E1223" s="1211"/>
      <c r="F1223" s="1211"/>
      <c r="G1223" s="1211"/>
    </row>
    <row r="1224" ht="26.25" customHeight="1">
      <c r="A1224" s="1253"/>
      <c r="B1224" s="1213"/>
      <c r="C1224" s="1213"/>
      <c r="D1224" s="1211"/>
      <c r="E1224" s="1211"/>
      <c r="F1224" s="1211"/>
      <c r="G1224" s="1211"/>
    </row>
    <row r="1225" ht="26.25" customHeight="1">
      <c r="A1225" s="1253"/>
      <c r="B1225" s="1213"/>
      <c r="C1225" s="1213"/>
      <c r="D1225" s="1211"/>
      <c r="E1225" s="1211"/>
      <c r="F1225" s="1211"/>
      <c r="G1225" s="1211"/>
    </row>
    <row r="1226" ht="26.25" customHeight="1">
      <c r="A1226" s="1253"/>
      <c r="B1226" s="1213"/>
      <c r="C1226" s="1213"/>
      <c r="D1226" s="1211"/>
      <c r="E1226" s="1211"/>
      <c r="F1226" s="1211"/>
      <c r="G1226" s="1211"/>
    </row>
    <row r="1227" ht="26.25" customHeight="1">
      <c r="A1227" s="1253"/>
      <c r="B1227" s="1213"/>
      <c r="C1227" s="1213"/>
      <c r="D1227" s="1211"/>
      <c r="E1227" s="1211"/>
      <c r="F1227" s="1211"/>
      <c r="G1227" s="1211"/>
    </row>
    <row r="1228" ht="26.25" customHeight="1">
      <c r="A1228" s="1253"/>
      <c r="B1228" s="1213"/>
      <c r="C1228" s="1213"/>
      <c r="D1228" s="1211"/>
      <c r="E1228" s="1211"/>
      <c r="F1228" s="1211"/>
      <c r="G1228" s="1211"/>
    </row>
    <row r="1229" ht="26.25" customHeight="1">
      <c r="A1229" s="1253"/>
      <c r="B1229" s="1213"/>
      <c r="C1229" s="1213"/>
      <c r="D1229" s="1211"/>
      <c r="E1229" s="1211"/>
      <c r="F1229" s="1211"/>
      <c r="G1229" s="1211"/>
    </row>
    <row r="1230" ht="26.25" customHeight="1">
      <c r="A1230" s="1253"/>
      <c r="B1230" s="1213"/>
      <c r="C1230" s="1213"/>
      <c r="D1230" s="1211"/>
      <c r="E1230" s="1211"/>
      <c r="F1230" s="1211"/>
      <c r="G1230" s="1211"/>
    </row>
    <row r="1231" ht="26.25" customHeight="1">
      <c r="A1231" s="1253"/>
      <c r="B1231" s="1213"/>
      <c r="C1231" s="1213"/>
      <c r="D1231" s="1211"/>
      <c r="E1231" s="1211"/>
      <c r="F1231" s="1211"/>
      <c r="G1231" s="1211"/>
    </row>
    <row r="1232" ht="26.25" customHeight="1">
      <c r="A1232" s="1253"/>
      <c r="B1232" s="1213"/>
      <c r="C1232" s="1213"/>
      <c r="D1232" s="1211"/>
      <c r="E1232" s="1211"/>
      <c r="F1232" s="1211"/>
      <c r="G1232" s="1211"/>
    </row>
    <row r="1233" ht="26.25" customHeight="1">
      <c r="A1233" s="1253"/>
      <c r="B1233" s="1213"/>
      <c r="C1233" s="1213"/>
      <c r="D1233" s="1211"/>
      <c r="E1233" s="1211"/>
      <c r="F1233" s="1211"/>
      <c r="G1233" s="1211"/>
    </row>
    <row r="1234" ht="26.25" customHeight="1">
      <c r="A1234" s="1253"/>
      <c r="B1234" s="1213"/>
      <c r="C1234" s="1213"/>
      <c r="D1234" s="1211"/>
      <c r="E1234" s="1211"/>
      <c r="F1234" s="1211"/>
      <c r="G1234" s="1211"/>
    </row>
    <row r="1235" ht="26.25" customHeight="1">
      <c r="A1235" s="1253"/>
      <c r="B1235" s="1213"/>
      <c r="C1235" s="1213"/>
      <c r="D1235" s="1211"/>
      <c r="E1235" s="1211"/>
      <c r="F1235" s="1211"/>
      <c r="G1235" s="1211"/>
    </row>
    <row r="1236" ht="26.25" customHeight="1">
      <c r="A1236" s="1253"/>
      <c r="B1236" s="1213"/>
      <c r="C1236" s="1213"/>
      <c r="D1236" s="1211"/>
      <c r="E1236" s="1211"/>
      <c r="F1236" s="1211"/>
      <c r="G1236" s="1211"/>
    </row>
    <row r="1237" ht="26.25" customHeight="1">
      <c r="A1237" s="1253"/>
      <c r="B1237" s="1213"/>
      <c r="C1237" s="1213"/>
      <c r="D1237" s="1211"/>
      <c r="E1237" s="1211"/>
      <c r="F1237" s="1211"/>
      <c r="G1237" s="1211"/>
    </row>
    <row r="1238" ht="26.25" customHeight="1">
      <c r="A1238" s="1253"/>
      <c r="B1238" s="1213"/>
      <c r="C1238" s="1213"/>
      <c r="D1238" s="1211"/>
      <c r="E1238" s="1211"/>
      <c r="F1238" s="1211"/>
      <c r="G1238" s="1211"/>
    </row>
    <row r="1239" ht="26.25" customHeight="1">
      <c r="A1239" s="1253"/>
      <c r="B1239" s="1213"/>
      <c r="C1239" s="1213"/>
      <c r="D1239" s="1211"/>
      <c r="E1239" s="1211"/>
      <c r="F1239" s="1211"/>
      <c r="G1239" s="1211"/>
    </row>
    <row r="1240" ht="26.25" customHeight="1">
      <c r="A1240" s="1253"/>
      <c r="B1240" s="1213"/>
      <c r="C1240" s="1213"/>
      <c r="D1240" s="1211"/>
      <c r="E1240" s="1211"/>
      <c r="F1240" s="1211"/>
      <c r="G1240" s="1211"/>
    </row>
    <row r="1241" ht="26.25" customHeight="1">
      <c r="A1241" s="1253"/>
      <c r="B1241" s="1213"/>
      <c r="C1241" s="1213"/>
      <c r="D1241" s="1211"/>
      <c r="E1241" s="1211"/>
      <c r="F1241" s="1211"/>
      <c r="G1241" s="1211"/>
    </row>
    <row r="1242" ht="26.25" customHeight="1">
      <c r="A1242" s="1253"/>
      <c r="B1242" s="1213"/>
      <c r="C1242" s="1213"/>
      <c r="D1242" s="1211"/>
      <c r="E1242" s="1211"/>
      <c r="F1242" s="1211"/>
      <c r="G1242" s="1211"/>
    </row>
    <row r="1243" ht="26.25" customHeight="1">
      <c r="A1243" s="1253"/>
      <c r="B1243" s="1213"/>
      <c r="C1243" s="1213"/>
      <c r="D1243" s="1211"/>
      <c r="E1243" s="1211"/>
      <c r="F1243" s="1211"/>
      <c r="G1243" s="1211"/>
    </row>
    <row r="1244" ht="26.25" customHeight="1">
      <c r="A1244" s="1253"/>
      <c r="B1244" s="1213"/>
      <c r="C1244" s="1213"/>
      <c r="D1244" s="1211"/>
      <c r="E1244" s="1211"/>
      <c r="F1244" s="1211"/>
      <c r="G1244" s="1211"/>
    </row>
    <row r="1245" ht="26.25" customHeight="1">
      <c r="A1245" s="1253"/>
      <c r="B1245" s="1213"/>
      <c r="C1245" s="1213"/>
      <c r="D1245" s="1211"/>
      <c r="E1245" s="1211"/>
      <c r="F1245" s="1211"/>
      <c r="G1245" s="1211"/>
    </row>
    <row r="1246" ht="26.25" customHeight="1">
      <c r="A1246" s="1253"/>
      <c r="B1246" s="1213"/>
      <c r="C1246" s="1213"/>
      <c r="D1246" s="1211"/>
      <c r="E1246" s="1211"/>
      <c r="F1246" s="1211"/>
      <c r="G1246" s="1211"/>
    </row>
    <row r="1247" ht="26.25" customHeight="1">
      <c r="A1247" s="1253"/>
      <c r="B1247" s="1213"/>
      <c r="C1247" s="1213"/>
      <c r="D1247" s="1211"/>
      <c r="E1247" s="1211"/>
      <c r="F1247" s="1211"/>
      <c r="G1247" s="1211"/>
    </row>
    <row r="1248" ht="26.25" customHeight="1">
      <c r="A1248" s="1253"/>
      <c r="B1248" s="1213"/>
      <c r="C1248" s="1213"/>
      <c r="D1248" s="1211"/>
      <c r="E1248" s="1211"/>
      <c r="F1248" s="1211"/>
      <c r="G1248" s="1211"/>
    </row>
    <row r="1249" ht="26.25" customHeight="1">
      <c r="A1249" s="1253"/>
      <c r="B1249" s="1213"/>
      <c r="C1249" s="1213"/>
      <c r="D1249" s="1211"/>
      <c r="E1249" s="1211"/>
      <c r="F1249" s="1211"/>
      <c r="G1249" s="1211"/>
    </row>
    <row r="1250" ht="26.25" customHeight="1">
      <c r="A1250" s="1253"/>
      <c r="B1250" s="1213"/>
      <c r="C1250" s="1213"/>
      <c r="D1250" s="1211"/>
      <c r="E1250" s="1211"/>
      <c r="F1250" s="1211"/>
      <c r="G1250" s="1211"/>
    </row>
    <row r="1251" ht="26.25" customHeight="1">
      <c r="A1251" s="1253"/>
      <c r="B1251" s="1213"/>
      <c r="C1251" s="1213"/>
      <c r="D1251" s="1211"/>
      <c r="E1251" s="1211"/>
      <c r="F1251" s="1211"/>
      <c r="G1251" s="1211"/>
    </row>
    <row r="1252" ht="26.25" customHeight="1">
      <c r="A1252" s="1253"/>
      <c r="B1252" s="1213"/>
      <c r="C1252" s="1213"/>
      <c r="D1252" s="1211"/>
      <c r="E1252" s="1211"/>
      <c r="F1252" s="1211"/>
      <c r="G1252" s="1211"/>
    </row>
    <row r="1253" ht="26.25" customHeight="1">
      <c r="A1253" s="1253"/>
      <c r="B1253" s="1213"/>
      <c r="C1253" s="1213"/>
      <c r="D1253" s="1211"/>
      <c r="E1253" s="1211"/>
      <c r="F1253" s="1211"/>
      <c r="G1253" s="1211"/>
    </row>
    <row r="1254" ht="26.25" customHeight="1">
      <c r="A1254" s="1253"/>
      <c r="B1254" s="1213"/>
      <c r="C1254" s="1213"/>
      <c r="D1254" s="1211"/>
      <c r="E1254" s="1211"/>
      <c r="F1254" s="1211"/>
      <c r="G1254" s="1211"/>
    </row>
    <row r="1255" ht="26.25" customHeight="1">
      <c r="A1255" s="1253"/>
      <c r="B1255" s="1213"/>
      <c r="C1255" s="1213"/>
      <c r="D1255" s="1211"/>
      <c r="E1255" s="1211"/>
      <c r="F1255" s="1211"/>
      <c r="G1255" s="1211"/>
    </row>
    <row r="1256" ht="26.25" customHeight="1">
      <c r="A1256" s="1253"/>
      <c r="B1256" s="1213"/>
      <c r="C1256" s="1213"/>
      <c r="D1256" s="1211"/>
      <c r="E1256" s="1211"/>
      <c r="F1256" s="1211"/>
      <c r="G1256" s="1211"/>
    </row>
    <row r="1257" ht="26.25" customHeight="1">
      <c r="A1257" s="1253"/>
      <c r="B1257" s="1213"/>
      <c r="C1257" s="1213"/>
      <c r="D1257" s="1211"/>
      <c r="E1257" s="1211"/>
      <c r="F1257" s="1211"/>
      <c r="G1257" s="1211"/>
    </row>
    <row r="1258" ht="26.25" customHeight="1">
      <c r="A1258" s="1253"/>
      <c r="B1258" s="1213"/>
      <c r="C1258" s="1213"/>
      <c r="D1258" s="1211"/>
      <c r="E1258" s="1211"/>
      <c r="F1258" s="1211"/>
      <c r="G1258" s="1211"/>
    </row>
    <row r="1259" ht="26.25" customHeight="1">
      <c r="A1259" s="1253"/>
      <c r="B1259" s="1213"/>
      <c r="C1259" s="1213"/>
      <c r="D1259" s="1211"/>
      <c r="E1259" s="1211"/>
      <c r="F1259" s="1211"/>
      <c r="G1259" s="1211"/>
    </row>
    <row r="1260" ht="26.25" customHeight="1">
      <c r="A1260" s="1253"/>
      <c r="B1260" s="1213"/>
      <c r="C1260" s="1213"/>
      <c r="D1260" s="1211"/>
      <c r="E1260" s="1211"/>
      <c r="F1260" s="1211"/>
      <c r="G1260" s="1211"/>
    </row>
    <row r="1261" ht="26.25" customHeight="1">
      <c r="A1261" s="1253"/>
      <c r="B1261" s="1213"/>
      <c r="C1261" s="1213"/>
      <c r="D1261" s="1211"/>
      <c r="E1261" s="1211"/>
      <c r="F1261" s="1211"/>
      <c r="G1261" s="1211"/>
    </row>
    <row r="1262" ht="26.25" customHeight="1">
      <c r="A1262" s="1253"/>
      <c r="B1262" s="1213"/>
      <c r="C1262" s="1213"/>
      <c r="D1262" s="1211"/>
      <c r="E1262" s="1211"/>
      <c r="F1262" s="1211"/>
      <c r="G1262" s="1211"/>
    </row>
    <row r="1263" ht="26.25" customHeight="1">
      <c r="A1263" s="1253"/>
      <c r="B1263" s="1213"/>
      <c r="C1263" s="1213"/>
      <c r="D1263" s="1211"/>
      <c r="E1263" s="1211"/>
      <c r="F1263" s="1211"/>
      <c r="G1263" s="1211"/>
    </row>
    <row r="1264" ht="26.25" customHeight="1">
      <c r="A1264" s="1253"/>
      <c r="B1264" s="1213"/>
      <c r="C1264" s="1213"/>
      <c r="D1264" s="1211"/>
      <c r="E1264" s="1211"/>
      <c r="F1264" s="1211"/>
      <c r="G1264" s="1211"/>
    </row>
    <row r="1265" ht="26.25" customHeight="1">
      <c r="A1265" s="1253"/>
      <c r="B1265" s="1213"/>
      <c r="C1265" s="1213"/>
      <c r="D1265" s="1211"/>
      <c r="E1265" s="1211"/>
      <c r="F1265" s="1211"/>
      <c r="G1265" s="1211"/>
    </row>
    <row r="1266" ht="26.25" customHeight="1">
      <c r="A1266" s="1253"/>
      <c r="B1266" s="1213"/>
      <c r="C1266" s="1213"/>
      <c r="D1266" s="1211"/>
      <c r="E1266" s="1211"/>
      <c r="F1266" s="1211"/>
      <c r="G1266" s="1211"/>
    </row>
    <row r="1267" ht="26.25" customHeight="1">
      <c r="A1267" s="1253"/>
      <c r="B1267" s="1213"/>
      <c r="C1267" s="1213"/>
      <c r="D1267" s="1211"/>
      <c r="E1267" s="1211"/>
      <c r="F1267" s="1211"/>
      <c r="G1267" s="1211"/>
    </row>
    <row r="1268" ht="26.25" customHeight="1">
      <c r="A1268" s="1253"/>
      <c r="B1268" s="1213"/>
      <c r="C1268" s="1213"/>
      <c r="D1268" s="1211"/>
      <c r="E1268" s="1211"/>
      <c r="F1268" s="1211"/>
      <c r="G1268" s="1211"/>
    </row>
    <row r="1269" ht="26.25" customHeight="1">
      <c r="A1269" s="1253"/>
      <c r="B1269" s="1213"/>
      <c r="C1269" s="1213"/>
      <c r="D1269" s="1211"/>
      <c r="E1269" s="1211"/>
      <c r="F1269" s="1211"/>
      <c r="G1269" s="1211"/>
    </row>
    <row r="1270" ht="26.25" customHeight="1">
      <c r="A1270" s="1253"/>
      <c r="B1270" s="1213"/>
      <c r="C1270" s="1213"/>
      <c r="D1270" s="1211"/>
      <c r="E1270" s="1211"/>
      <c r="F1270" s="1211"/>
      <c r="G1270" s="1211"/>
    </row>
    <row r="1271" ht="26.25" customHeight="1">
      <c r="A1271" s="1253"/>
      <c r="B1271" s="1213"/>
      <c r="C1271" s="1213"/>
      <c r="D1271" s="1211"/>
      <c r="E1271" s="1211"/>
      <c r="F1271" s="1211"/>
      <c r="G1271" s="1211"/>
    </row>
    <row r="1272" ht="26.25" customHeight="1">
      <c r="A1272" s="1253"/>
      <c r="B1272" s="1213"/>
      <c r="C1272" s="1213"/>
      <c r="D1272" s="1211"/>
      <c r="E1272" s="1211"/>
      <c r="F1272" s="1211"/>
      <c r="G1272" s="1211"/>
    </row>
    <row r="1273" ht="26.25" customHeight="1">
      <c r="A1273" s="1253"/>
      <c r="B1273" s="1213"/>
      <c r="C1273" s="1213"/>
      <c r="D1273" s="1211"/>
      <c r="E1273" s="1211"/>
      <c r="F1273" s="1211"/>
      <c r="G1273" s="1211"/>
    </row>
    <row r="1274" ht="26.25" customHeight="1">
      <c r="A1274" s="1253"/>
      <c r="B1274" s="1213"/>
      <c r="C1274" s="1213"/>
      <c r="D1274" s="1211"/>
      <c r="E1274" s="1211"/>
      <c r="F1274" s="1211"/>
      <c r="G1274" s="1211"/>
    </row>
    <row r="1275" ht="26.25" customHeight="1">
      <c r="A1275" s="1253"/>
      <c r="B1275" s="1213"/>
      <c r="C1275" s="1213"/>
      <c r="D1275" s="1211"/>
      <c r="E1275" s="1211"/>
      <c r="F1275" s="1211"/>
      <c r="G1275" s="1211"/>
    </row>
    <row r="1276" ht="26.25" customHeight="1">
      <c r="A1276" s="1253"/>
      <c r="B1276" s="1213"/>
      <c r="C1276" s="1213"/>
      <c r="D1276" s="1211"/>
      <c r="E1276" s="1211"/>
      <c r="F1276" s="1211"/>
      <c r="G1276" s="1211"/>
    </row>
    <row r="1277" ht="26.25" customHeight="1">
      <c r="A1277" s="1253"/>
      <c r="B1277" s="1213"/>
      <c r="C1277" s="1213"/>
      <c r="D1277" s="1211"/>
      <c r="E1277" s="1211"/>
      <c r="F1277" s="1211"/>
      <c r="G1277" s="1211"/>
    </row>
    <row r="1278" ht="26.25" customHeight="1">
      <c r="A1278" s="1253"/>
      <c r="B1278" s="1213"/>
      <c r="C1278" s="1213"/>
      <c r="D1278" s="1211"/>
      <c r="E1278" s="1211"/>
      <c r="F1278" s="1211"/>
      <c r="G1278" s="1211"/>
    </row>
    <row r="1279" ht="26.25" customHeight="1">
      <c r="A1279" s="1253"/>
      <c r="B1279" s="1213"/>
      <c r="C1279" s="1213"/>
      <c r="D1279" s="1211"/>
      <c r="E1279" s="1211"/>
      <c r="F1279" s="1211"/>
      <c r="G1279" s="1211"/>
    </row>
    <row r="1280" ht="26.25" customHeight="1">
      <c r="A1280" s="1253"/>
      <c r="B1280" s="1213"/>
      <c r="C1280" s="1213"/>
      <c r="D1280" s="1211"/>
      <c r="E1280" s="1211"/>
      <c r="F1280" s="1211"/>
      <c r="G1280" s="1211"/>
    </row>
    <row r="1281" ht="26.25" customHeight="1">
      <c r="A1281" s="1253"/>
      <c r="B1281" s="1213"/>
      <c r="C1281" s="1213"/>
      <c r="D1281" s="1211"/>
      <c r="E1281" s="1211"/>
      <c r="F1281" s="1211"/>
      <c r="G1281" s="1211"/>
    </row>
    <row r="1282" ht="26.25" customHeight="1">
      <c r="A1282" s="1253"/>
      <c r="B1282" s="1213"/>
      <c r="C1282" s="1213"/>
      <c r="D1282" s="1211"/>
      <c r="E1282" s="1211"/>
      <c r="F1282" s="1211"/>
      <c r="G1282" s="1211"/>
    </row>
    <row r="1283" ht="26.25" customHeight="1">
      <c r="A1283" s="1253"/>
      <c r="B1283" s="1213"/>
      <c r="C1283" s="1213"/>
      <c r="D1283" s="1211"/>
      <c r="E1283" s="1211"/>
      <c r="F1283" s="1211"/>
      <c r="G1283" s="1211"/>
    </row>
    <row r="1284" ht="26.25" customHeight="1">
      <c r="A1284" s="1253"/>
      <c r="B1284" s="1213"/>
      <c r="C1284" s="1213"/>
      <c r="D1284" s="1211"/>
      <c r="E1284" s="1211"/>
      <c r="F1284" s="1211"/>
      <c r="G1284" s="1211"/>
    </row>
    <row r="1285" ht="26.25" customHeight="1">
      <c r="A1285" s="1253"/>
      <c r="B1285" s="1213"/>
      <c r="C1285" s="1213"/>
      <c r="D1285" s="1211"/>
      <c r="E1285" s="1211"/>
      <c r="F1285" s="1211"/>
      <c r="G1285" s="1211"/>
    </row>
    <row r="1286" ht="26.25" customHeight="1">
      <c r="A1286" s="1253"/>
      <c r="B1286" s="1213"/>
      <c r="C1286" s="1213"/>
      <c r="D1286" s="1211"/>
      <c r="E1286" s="1211"/>
      <c r="F1286" s="1211"/>
      <c r="G1286" s="1211"/>
    </row>
    <row r="1287" ht="26.25" customHeight="1">
      <c r="A1287" s="1253"/>
      <c r="B1287" s="1213"/>
      <c r="C1287" s="1213"/>
      <c r="D1287" s="1211"/>
      <c r="E1287" s="1211"/>
      <c r="F1287" s="1211"/>
      <c r="G1287" s="1211"/>
    </row>
    <row r="1288" ht="26.25" customHeight="1">
      <c r="A1288" s="1253"/>
      <c r="B1288" s="1213"/>
      <c r="C1288" s="1213"/>
      <c r="D1288" s="1211"/>
      <c r="E1288" s="1211"/>
      <c r="F1288" s="1211"/>
      <c r="G1288" s="1211"/>
    </row>
    <row r="1289" ht="26.25" customHeight="1">
      <c r="A1289" s="1253"/>
      <c r="B1289" s="1213"/>
      <c r="C1289" s="1213"/>
      <c r="D1289" s="1211"/>
      <c r="E1289" s="1211"/>
      <c r="F1289" s="1211"/>
      <c r="G1289" s="1211"/>
    </row>
    <row r="1290" ht="26.25" customHeight="1">
      <c r="A1290" s="1253"/>
      <c r="B1290" s="1213"/>
      <c r="C1290" s="1213"/>
      <c r="D1290" s="1211"/>
      <c r="E1290" s="1211"/>
      <c r="F1290" s="1211"/>
      <c r="G1290" s="1211"/>
    </row>
    <row r="1291" ht="26.25" customHeight="1">
      <c r="A1291" s="1253"/>
      <c r="B1291" s="1213"/>
      <c r="C1291" s="1213"/>
      <c r="D1291" s="1211"/>
      <c r="E1291" s="1211"/>
      <c r="F1291" s="1211"/>
      <c r="G1291" s="1211"/>
    </row>
    <row r="1292" ht="26.25" customHeight="1">
      <c r="A1292" s="1253"/>
      <c r="B1292" s="1213"/>
      <c r="C1292" s="1213"/>
      <c r="D1292" s="1211"/>
      <c r="E1292" s="1211"/>
      <c r="F1292" s="1211"/>
      <c r="G1292" s="1211"/>
    </row>
    <row r="1293" ht="26.25" customHeight="1">
      <c r="A1293" s="1253"/>
      <c r="B1293" s="1213"/>
      <c r="C1293" s="1213"/>
      <c r="D1293" s="1211"/>
      <c r="E1293" s="1211"/>
      <c r="F1293" s="1211"/>
      <c r="G1293" s="1211"/>
    </row>
    <row r="1294" ht="26.25" customHeight="1">
      <c r="A1294" s="1253"/>
      <c r="B1294" s="1213"/>
      <c r="C1294" s="1213"/>
      <c r="D1294" s="1211"/>
      <c r="E1294" s="1211"/>
      <c r="F1294" s="1211"/>
      <c r="G1294" s="1211"/>
    </row>
    <row r="1295" ht="26.25" customHeight="1">
      <c r="A1295" s="1253"/>
      <c r="B1295" s="1213"/>
      <c r="C1295" s="1213"/>
      <c r="D1295" s="1211"/>
      <c r="E1295" s="1211"/>
      <c r="F1295" s="1211"/>
      <c r="G1295" s="1211"/>
    </row>
    <row r="1296" ht="26.25" customHeight="1">
      <c r="A1296" s="1253"/>
      <c r="B1296" s="1213"/>
      <c r="C1296" s="1213"/>
      <c r="D1296" s="1211"/>
      <c r="E1296" s="1211"/>
      <c r="F1296" s="1211"/>
      <c r="G1296" s="1211"/>
    </row>
    <row r="1297" ht="26.25" customHeight="1">
      <c r="A1297" s="1253"/>
      <c r="B1297" s="1213"/>
      <c r="C1297" s="1213"/>
      <c r="D1297" s="1211"/>
      <c r="E1297" s="1211"/>
      <c r="F1297" s="1211"/>
      <c r="G1297" s="1211"/>
    </row>
    <row r="1298" ht="26.25" customHeight="1">
      <c r="A1298" s="1253"/>
      <c r="B1298" s="1213"/>
      <c r="C1298" s="1213"/>
      <c r="D1298" s="1211"/>
      <c r="E1298" s="1211"/>
      <c r="F1298" s="1211"/>
      <c r="G1298" s="1211"/>
    </row>
    <row r="1299" ht="26.25" customHeight="1">
      <c r="A1299" s="1253"/>
      <c r="B1299" s="1213"/>
      <c r="C1299" s="1213"/>
      <c r="D1299" s="1211"/>
      <c r="E1299" s="1211"/>
      <c r="F1299" s="1211"/>
      <c r="G1299" s="1211"/>
    </row>
    <row r="1300" ht="26.25" customHeight="1">
      <c r="A1300" s="1253"/>
      <c r="B1300" s="1213"/>
      <c r="C1300" s="1213"/>
      <c r="D1300" s="1211"/>
      <c r="E1300" s="1211"/>
      <c r="F1300" s="1211"/>
      <c r="G1300" s="1211"/>
    </row>
    <row r="1301" ht="26.25" customHeight="1">
      <c r="A1301" s="1253"/>
      <c r="B1301" s="1213"/>
      <c r="C1301" s="1213"/>
      <c r="D1301" s="1211"/>
      <c r="E1301" s="1211"/>
      <c r="F1301" s="1211"/>
      <c r="G1301" s="1211"/>
    </row>
    <row r="1302" ht="26.25" customHeight="1">
      <c r="A1302" s="1253"/>
      <c r="B1302" s="1213"/>
      <c r="C1302" s="1213"/>
      <c r="D1302" s="1211"/>
      <c r="E1302" s="1211"/>
      <c r="F1302" s="1211"/>
      <c r="G1302" s="1211"/>
    </row>
    <row r="1303" ht="26.25" customHeight="1">
      <c r="A1303" s="1253"/>
      <c r="B1303" s="1213"/>
      <c r="C1303" s="1213"/>
      <c r="D1303" s="1211"/>
      <c r="E1303" s="1211"/>
      <c r="F1303" s="1211"/>
      <c r="G1303" s="1211"/>
    </row>
    <row r="1304" ht="26.25" customHeight="1">
      <c r="A1304" s="1253"/>
      <c r="B1304" s="1213"/>
      <c r="C1304" s="1213"/>
      <c r="D1304" s="1211"/>
      <c r="E1304" s="1211"/>
      <c r="F1304" s="1211"/>
      <c r="G1304" s="1211"/>
    </row>
    <row r="1305" ht="26.25" customHeight="1">
      <c r="A1305" s="1253"/>
      <c r="B1305" s="1213"/>
      <c r="C1305" s="1213"/>
      <c r="D1305" s="1211"/>
      <c r="E1305" s="1211"/>
      <c r="F1305" s="1211"/>
      <c r="G1305" s="1211"/>
    </row>
    <row r="1306" ht="26.25" customHeight="1">
      <c r="A1306" s="1253"/>
      <c r="B1306" s="1213"/>
      <c r="C1306" s="1213"/>
      <c r="D1306" s="1211"/>
      <c r="E1306" s="1211"/>
      <c r="F1306" s="1211"/>
      <c r="G1306" s="1211"/>
    </row>
    <row r="1307" ht="26.25" customHeight="1">
      <c r="A1307" s="1253"/>
      <c r="B1307" s="1213"/>
      <c r="C1307" s="1213"/>
      <c r="D1307" s="1211"/>
      <c r="E1307" s="1211"/>
      <c r="F1307" s="1211"/>
      <c r="G1307" s="1211"/>
    </row>
    <row r="1308" ht="26.25" customHeight="1">
      <c r="A1308" s="1253"/>
      <c r="B1308" s="1213"/>
      <c r="C1308" s="1213"/>
      <c r="D1308" s="1211"/>
      <c r="E1308" s="1211"/>
      <c r="F1308" s="1211"/>
      <c r="G1308" s="1211"/>
    </row>
    <row r="1309" ht="26.25" customHeight="1">
      <c r="A1309" s="1253"/>
      <c r="B1309" s="1213"/>
      <c r="C1309" s="1213"/>
      <c r="D1309" s="1211"/>
      <c r="E1309" s="1211"/>
      <c r="F1309" s="1211"/>
      <c r="G1309" s="1211"/>
    </row>
    <row r="1310" ht="26.25" customHeight="1">
      <c r="A1310" s="1253"/>
      <c r="B1310" s="1213"/>
      <c r="C1310" s="1213"/>
      <c r="D1310" s="1211"/>
      <c r="E1310" s="1211"/>
      <c r="F1310" s="1211"/>
      <c r="G1310" s="1211"/>
    </row>
    <row r="1311" ht="26.25" customHeight="1">
      <c r="A1311" s="1253"/>
      <c r="B1311" s="1213"/>
      <c r="C1311" s="1213"/>
      <c r="D1311" s="1211"/>
      <c r="E1311" s="1211"/>
      <c r="F1311" s="1211"/>
      <c r="G1311" s="1211"/>
    </row>
    <row r="1312" ht="26.25" customHeight="1">
      <c r="A1312" s="1253"/>
      <c r="B1312" s="1213"/>
      <c r="C1312" s="1213"/>
      <c r="D1312" s="1211"/>
      <c r="E1312" s="1211"/>
      <c r="F1312" s="1211"/>
      <c r="G1312" s="1211"/>
    </row>
    <row r="1313" ht="26.25" customHeight="1">
      <c r="A1313" s="1253"/>
      <c r="B1313" s="1213"/>
      <c r="C1313" s="1213"/>
      <c r="D1313" s="1211"/>
      <c r="E1313" s="1211"/>
      <c r="F1313" s="1211"/>
      <c r="G1313" s="1211"/>
    </row>
    <row r="1314" ht="26.25" customHeight="1">
      <c r="A1314" s="1253"/>
      <c r="B1314" s="1213"/>
      <c r="C1314" s="1213"/>
      <c r="D1314" s="1211"/>
      <c r="E1314" s="1211"/>
      <c r="F1314" s="1211"/>
      <c r="G1314" s="1211"/>
    </row>
    <row r="1315" ht="26.25" customHeight="1">
      <c r="A1315" s="1253"/>
      <c r="B1315" s="1213"/>
      <c r="C1315" s="1213"/>
      <c r="D1315" s="1211"/>
      <c r="E1315" s="1211"/>
      <c r="F1315" s="1211"/>
      <c r="G1315" s="1211"/>
    </row>
    <row r="1316" ht="26.25" customHeight="1">
      <c r="A1316" s="1253"/>
      <c r="B1316" s="1213"/>
      <c r="C1316" s="1213"/>
      <c r="D1316" s="1211"/>
      <c r="E1316" s="1211"/>
      <c r="F1316" s="1211"/>
      <c r="G1316" s="1211"/>
    </row>
    <row r="1317" ht="26.25" customHeight="1">
      <c r="A1317" s="1253"/>
      <c r="B1317" s="1213"/>
      <c r="C1317" s="1213"/>
      <c r="D1317" s="1211"/>
      <c r="E1317" s="1211"/>
      <c r="F1317" s="1211"/>
      <c r="G1317" s="1211"/>
    </row>
    <row r="1318" ht="26.25" customHeight="1">
      <c r="A1318" s="1253"/>
      <c r="B1318" s="1213"/>
      <c r="C1318" s="1213"/>
      <c r="D1318" s="1211"/>
      <c r="E1318" s="1211"/>
      <c r="F1318" s="1211"/>
      <c r="G1318" s="1211"/>
    </row>
    <row r="1319" ht="26.25" customHeight="1">
      <c r="A1319" s="1253"/>
      <c r="B1319" s="1213"/>
      <c r="C1319" s="1213"/>
      <c r="D1319" s="1211"/>
      <c r="E1319" s="1211"/>
      <c r="F1319" s="1211"/>
      <c r="G1319" s="1211"/>
    </row>
    <row r="1320" ht="26.25" customHeight="1">
      <c r="A1320" s="1253"/>
      <c r="B1320" s="1213"/>
      <c r="C1320" s="1213"/>
      <c r="D1320" s="1211"/>
      <c r="E1320" s="1211"/>
      <c r="F1320" s="1211"/>
      <c r="G1320" s="1211"/>
    </row>
    <row r="1321" ht="26.25" customHeight="1">
      <c r="A1321" s="1253"/>
      <c r="B1321" s="1213"/>
      <c r="C1321" s="1213"/>
      <c r="D1321" s="1211"/>
      <c r="E1321" s="1211"/>
      <c r="F1321" s="1211"/>
      <c r="G1321" s="1211"/>
    </row>
    <row r="1322" ht="26.25" customHeight="1">
      <c r="A1322" s="1253"/>
      <c r="B1322" s="1213"/>
      <c r="C1322" s="1213"/>
      <c r="D1322" s="1211"/>
      <c r="E1322" s="1211"/>
      <c r="F1322" s="1211"/>
      <c r="G1322" s="1211"/>
    </row>
    <row r="1323" ht="26.25" customHeight="1">
      <c r="A1323" s="1253"/>
      <c r="B1323" s="1213"/>
      <c r="C1323" s="1213"/>
      <c r="D1323" s="1211"/>
      <c r="E1323" s="1211"/>
      <c r="F1323" s="1211"/>
      <c r="G1323" s="1211"/>
    </row>
    <row r="1324" ht="26.25" customHeight="1">
      <c r="A1324" s="1253"/>
      <c r="B1324" s="1213"/>
      <c r="C1324" s="1213"/>
      <c r="D1324" s="1211"/>
      <c r="E1324" s="1211"/>
      <c r="F1324" s="1211"/>
      <c r="G1324" s="1211"/>
    </row>
    <row r="1325" ht="26.25" customHeight="1">
      <c r="A1325" s="1253"/>
      <c r="B1325" s="1213"/>
      <c r="C1325" s="1213"/>
      <c r="D1325" s="1211"/>
      <c r="E1325" s="1211"/>
      <c r="F1325" s="1211"/>
      <c r="G1325" s="1211"/>
    </row>
    <row r="1326" ht="26.25" customHeight="1">
      <c r="A1326" s="1253"/>
      <c r="B1326" s="1213"/>
      <c r="C1326" s="1213"/>
      <c r="D1326" s="1211"/>
      <c r="E1326" s="1211"/>
      <c r="F1326" s="1211"/>
      <c r="G1326" s="1211"/>
    </row>
    <row r="1327" ht="26.25" customHeight="1">
      <c r="A1327" s="1253"/>
      <c r="B1327" s="1213"/>
      <c r="C1327" s="1213"/>
      <c r="D1327" s="1211"/>
      <c r="E1327" s="1211"/>
      <c r="F1327" s="1211"/>
      <c r="G1327" s="1211"/>
    </row>
    <row r="1328" ht="26.25" customHeight="1">
      <c r="A1328" s="1253"/>
      <c r="B1328" s="1213"/>
      <c r="C1328" s="1213"/>
      <c r="D1328" s="1211"/>
      <c r="E1328" s="1211"/>
      <c r="F1328" s="1211"/>
      <c r="G1328" s="1211"/>
    </row>
    <row r="1329" ht="26.25" customHeight="1">
      <c r="A1329" s="1253"/>
      <c r="B1329" s="1213"/>
      <c r="C1329" s="1213"/>
      <c r="D1329" s="1211"/>
      <c r="E1329" s="1211"/>
      <c r="F1329" s="1211"/>
      <c r="G1329" s="1211"/>
    </row>
    <row r="1330" ht="26.25" customHeight="1">
      <c r="A1330" s="1253"/>
      <c r="B1330" s="1213"/>
      <c r="C1330" s="1213"/>
      <c r="D1330" s="1211"/>
      <c r="E1330" s="1211"/>
      <c r="F1330" s="1211"/>
      <c r="G1330" s="1211"/>
    </row>
    <row r="1331" ht="26.25" customHeight="1">
      <c r="A1331" s="1253"/>
      <c r="B1331" s="1213"/>
      <c r="C1331" s="1213"/>
      <c r="D1331" s="1211"/>
      <c r="E1331" s="1211"/>
      <c r="F1331" s="1211"/>
      <c r="G1331" s="1211"/>
    </row>
    <row r="1332" ht="26.25" customHeight="1">
      <c r="A1332" s="1253"/>
      <c r="B1332" s="1213"/>
      <c r="C1332" s="1213"/>
      <c r="D1332" s="1211"/>
      <c r="E1332" s="1211"/>
      <c r="F1332" s="1211"/>
      <c r="G1332" s="1211"/>
    </row>
    <row r="1333" ht="26.25" customHeight="1">
      <c r="A1333" s="1253"/>
      <c r="B1333" s="1213"/>
      <c r="C1333" s="1213"/>
      <c r="D1333" s="1211"/>
      <c r="E1333" s="1211"/>
      <c r="F1333" s="1211"/>
      <c r="G1333" s="1211"/>
    </row>
    <row r="1334" ht="26.25" customHeight="1">
      <c r="A1334" s="1253"/>
      <c r="B1334" s="1213"/>
      <c r="C1334" s="1213"/>
      <c r="D1334" s="1211"/>
      <c r="E1334" s="1211"/>
      <c r="F1334" s="1211"/>
      <c r="G1334" s="1211"/>
    </row>
    <row r="1335" ht="26.25" customHeight="1">
      <c r="A1335" s="1253"/>
      <c r="B1335" s="1213"/>
      <c r="C1335" s="1213"/>
      <c r="D1335" s="1211"/>
      <c r="E1335" s="1211"/>
      <c r="F1335" s="1211"/>
      <c r="G1335" s="1211"/>
    </row>
    <row r="1336" ht="26.25" customHeight="1">
      <c r="A1336" s="1253"/>
      <c r="B1336" s="1213"/>
      <c r="C1336" s="1213"/>
      <c r="D1336" s="1211"/>
      <c r="E1336" s="1211"/>
      <c r="F1336" s="1211"/>
      <c r="G1336" s="1211"/>
    </row>
    <row r="1337" ht="26.25" customHeight="1">
      <c r="A1337" s="1253"/>
      <c r="B1337" s="1213"/>
      <c r="C1337" s="1213"/>
      <c r="D1337" s="1211"/>
      <c r="E1337" s="1211"/>
      <c r="F1337" s="1211"/>
      <c r="G1337" s="1211"/>
    </row>
    <row r="1338" ht="26.25" customHeight="1">
      <c r="A1338" s="1253"/>
      <c r="B1338" s="1213"/>
      <c r="C1338" s="1213"/>
      <c r="D1338" s="1211"/>
      <c r="E1338" s="1211"/>
      <c r="F1338" s="1211"/>
      <c r="G1338" s="1211"/>
    </row>
    <row r="1339" ht="26.25" customHeight="1">
      <c r="A1339" s="1253"/>
      <c r="B1339" s="1213"/>
      <c r="C1339" s="1213"/>
      <c r="D1339" s="1211"/>
      <c r="E1339" s="1211"/>
      <c r="F1339" s="1211"/>
      <c r="G1339" s="1211"/>
    </row>
    <row r="1340" ht="26.25" customHeight="1">
      <c r="A1340" s="1253"/>
      <c r="B1340" s="1213"/>
      <c r="C1340" s="1213"/>
      <c r="D1340" s="1211"/>
      <c r="E1340" s="1211"/>
      <c r="F1340" s="1211"/>
      <c r="G1340" s="1211"/>
    </row>
    <row r="1341" ht="26.25" customHeight="1">
      <c r="A1341" s="1253"/>
      <c r="B1341" s="1213"/>
      <c r="C1341" s="1213"/>
      <c r="D1341" s="1211"/>
      <c r="E1341" s="1211"/>
      <c r="F1341" s="1211"/>
      <c r="G1341" s="1211"/>
    </row>
    <row r="1342" ht="26.25" customHeight="1">
      <c r="A1342" s="1253"/>
      <c r="B1342" s="1213"/>
      <c r="C1342" s="1213"/>
      <c r="D1342" s="1211"/>
      <c r="E1342" s="1211"/>
      <c r="F1342" s="1211"/>
      <c r="G1342" s="1211"/>
    </row>
    <row r="1343" ht="26.25" customHeight="1">
      <c r="A1343" s="1253"/>
      <c r="B1343" s="1213"/>
      <c r="C1343" s="1213"/>
      <c r="D1343" s="1211"/>
      <c r="E1343" s="1211"/>
      <c r="F1343" s="1211"/>
      <c r="G1343" s="1211"/>
    </row>
    <row r="1344" ht="26.25" customHeight="1">
      <c r="A1344" s="1253"/>
      <c r="B1344" s="1213"/>
      <c r="C1344" s="1213"/>
      <c r="D1344" s="1211"/>
      <c r="E1344" s="1211"/>
      <c r="F1344" s="1211"/>
      <c r="G1344" s="1211"/>
    </row>
    <row r="1345" ht="26.25" customHeight="1">
      <c r="A1345" s="1253"/>
      <c r="B1345" s="1213"/>
      <c r="C1345" s="1213"/>
      <c r="D1345" s="1211"/>
      <c r="E1345" s="1211"/>
      <c r="F1345" s="1211"/>
      <c r="G1345" s="1211"/>
    </row>
    <row r="1346" ht="26.25" customHeight="1">
      <c r="A1346" s="1253"/>
      <c r="B1346" s="1213"/>
      <c r="C1346" s="1213"/>
      <c r="D1346" s="1211"/>
      <c r="E1346" s="1211"/>
      <c r="F1346" s="1211"/>
      <c r="G1346" s="1211"/>
    </row>
    <row r="1347" ht="26.25" customHeight="1">
      <c r="A1347" s="1253"/>
      <c r="B1347" s="1213"/>
      <c r="C1347" s="1213"/>
      <c r="D1347" s="1211"/>
      <c r="E1347" s="1211"/>
      <c r="F1347" s="1211"/>
      <c r="G1347" s="1211"/>
    </row>
    <row r="1348" ht="26.25" customHeight="1">
      <c r="A1348" s="1253"/>
      <c r="B1348" s="1213"/>
      <c r="C1348" s="1213"/>
      <c r="D1348" s="1211"/>
      <c r="E1348" s="1211"/>
      <c r="F1348" s="1211"/>
      <c r="G1348" s="1211"/>
    </row>
    <row r="1349" ht="26.25" customHeight="1">
      <c r="A1349" s="1253"/>
      <c r="B1349" s="1213"/>
      <c r="C1349" s="1213"/>
      <c r="D1349" s="1211"/>
      <c r="E1349" s="1211"/>
      <c r="F1349" s="1211"/>
      <c r="G1349" s="1211"/>
    </row>
    <row r="1350" ht="26.25" customHeight="1">
      <c r="A1350" s="1253"/>
      <c r="B1350" s="1213"/>
      <c r="C1350" s="1213"/>
      <c r="D1350" s="1211"/>
      <c r="E1350" s="1211"/>
      <c r="F1350" s="1211"/>
      <c r="G1350" s="1211"/>
    </row>
    <row r="1351" ht="26.25" customHeight="1">
      <c r="A1351" s="1253"/>
      <c r="B1351" s="1213"/>
      <c r="C1351" s="1213"/>
      <c r="D1351" s="1211"/>
      <c r="E1351" s="1211"/>
      <c r="F1351" s="1211"/>
      <c r="G1351" s="1211"/>
    </row>
    <row r="1352" ht="26.25" customHeight="1">
      <c r="A1352" s="1253"/>
      <c r="B1352" s="1213"/>
      <c r="C1352" s="1213"/>
      <c r="D1352" s="1211"/>
      <c r="E1352" s="1211"/>
      <c r="F1352" s="1211"/>
      <c r="G1352" s="1211"/>
    </row>
    <row r="1353" ht="26.25" customHeight="1">
      <c r="A1353" s="1253"/>
      <c r="B1353" s="1213"/>
      <c r="C1353" s="1213"/>
      <c r="D1353" s="1211"/>
      <c r="E1353" s="1211"/>
      <c r="F1353" s="1211"/>
      <c r="G1353" s="1211"/>
    </row>
    <row r="1354" ht="26.25" customHeight="1">
      <c r="A1354" s="1253"/>
      <c r="B1354" s="1213"/>
      <c r="C1354" s="1213"/>
      <c r="D1354" s="1211"/>
      <c r="E1354" s="1211"/>
      <c r="F1354" s="1211"/>
      <c r="G1354" s="1211"/>
    </row>
    <row r="1355" ht="26.25" customHeight="1">
      <c r="A1355" s="1253"/>
      <c r="B1355" s="1213"/>
      <c r="C1355" s="1213"/>
      <c r="D1355" s="1211"/>
      <c r="E1355" s="1211"/>
      <c r="F1355" s="1211"/>
      <c r="G1355" s="1211"/>
    </row>
    <row r="1356" ht="26.25" customHeight="1">
      <c r="A1356" s="1253"/>
      <c r="B1356" s="1213"/>
      <c r="C1356" s="1213"/>
      <c r="D1356" s="1211"/>
      <c r="E1356" s="1211"/>
      <c r="F1356" s="1211"/>
      <c r="G1356" s="1211"/>
    </row>
    <row r="1357" ht="26.25" customHeight="1">
      <c r="A1357" s="1253"/>
      <c r="B1357" s="1213"/>
      <c r="C1357" s="1213"/>
      <c r="D1357" s="1211"/>
      <c r="E1357" s="1211"/>
      <c r="F1357" s="1211"/>
      <c r="G1357" s="1211"/>
    </row>
    <row r="1358" ht="26.25" customHeight="1">
      <c r="A1358" s="1253"/>
      <c r="B1358" s="1213"/>
      <c r="C1358" s="1213"/>
      <c r="D1358" s="1211"/>
      <c r="E1358" s="1211"/>
      <c r="F1358" s="1211"/>
      <c r="G1358" s="1211"/>
    </row>
    <row r="1359" ht="26.25" customHeight="1">
      <c r="A1359" s="1253"/>
      <c r="B1359" s="1213"/>
      <c r="C1359" s="1213"/>
      <c r="D1359" s="1211"/>
      <c r="E1359" s="1211"/>
      <c r="F1359" s="1211"/>
      <c r="G1359" s="1211"/>
    </row>
    <row r="1360" ht="26.25" customHeight="1">
      <c r="A1360" s="1253"/>
      <c r="B1360" s="1213"/>
      <c r="C1360" s="1213"/>
      <c r="D1360" s="1211"/>
      <c r="E1360" s="1211"/>
      <c r="F1360" s="1211"/>
      <c r="G1360" s="1211"/>
    </row>
    <row r="1361" ht="26.25" customHeight="1">
      <c r="A1361" s="1253"/>
      <c r="B1361" s="1213"/>
      <c r="C1361" s="1213"/>
      <c r="D1361" s="1211"/>
      <c r="E1361" s="1211"/>
      <c r="F1361" s="1211"/>
      <c r="G1361" s="1211"/>
    </row>
    <row r="1362" ht="26.25" customHeight="1">
      <c r="A1362" s="1253"/>
      <c r="B1362" s="1213"/>
      <c r="C1362" s="1213"/>
      <c r="D1362" s="1211"/>
      <c r="E1362" s="1211"/>
      <c r="F1362" s="1211"/>
      <c r="G1362" s="1211"/>
    </row>
    <row r="1363" ht="26.25" customHeight="1">
      <c r="A1363" s="1253"/>
      <c r="B1363" s="1213"/>
      <c r="C1363" s="1213"/>
      <c r="D1363" s="1211"/>
      <c r="E1363" s="1211"/>
      <c r="F1363" s="1211"/>
      <c r="G1363" s="1211"/>
    </row>
    <row r="1364" ht="26.25" customHeight="1">
      <c r="A1364" s="1253"/>
      <c r="B1364" s="1213"/>
      <c r="C1364" s="1213"/>
      <c r="D1364" s="1211"/>
      <c r="E1364" s="1211"/>
      <c r="F1364" s="1211"/>
      <c r="G1364" s="1211"/>
    </row>
    <row r="1365" ht="26.25" customHeight="1">
      <c r="A1365" s="1253"/>
      <c r="B1365" s="1213"/>
      <c r="C1365" s="1213"/>
      <c r="D1365" s="1211"/>
      <c r="E1365" s="1211"/>
      <c r="F1365" s="1211"/>
      <c r="G1365" s="1211"/>
    </row>
    <row r="1366" ht="26.25" customHeight="1">
      <c r="A1366" s="1253"/>
      <c r="B1366" s="1213"/>
      <c r="C1366" s="1213"/>
      <c r="D1366" s="1211"/>
      <c r="E1366" s="1211"/>
      <c r="F1366" s="1211"/>
      <c r="G1366" s="1211"/>
    </row>
    <row r="1367" ht="26.25" customHeight="1">
      <c r="A1367" s="1253"/>
      <c r="B1367" s="1213"/>
      <c r="C1367" s="1213"/>
      <c r="D1367" s="1211"/>
      <c r="E1367" s="1211"/>
      <c r="F1367" s="1211"/>
      <c r="G1367" s="1211"/>
    </row>
    <row r="1368" ht="26.25" customHeight="1">
      <c r="A1368" s="1253"/>
      <c r="B1368" s="1213"/>
      <c r="C1368" s="1213"/>
      <c r="D1368" s="1211"/>
      <c r="E1368" s="1211"/>
      <c r="F1368" s="1211"/>
      <c r="G1368" s="1211"/>
    </row>
    <row r="1369" ht="26.25" customHeight="1">
      <c r="A1369" s="1253"/>
      <c r="B1369" s="1213"/>
      <c r="C1369" s="1213"/>
      <c r="D1369" s="1211"/>
      <c r="E1369" s="1211"/>
      <c r="F1369" s="1211"/>
      <c r="G1369" s="1211"/>
    </row>
    <row r="1370" ht="26.25" customHeight="1">
      <c r="A1370" s="1253"/>
      <c r="B1370" s="1213"/>
      <c r="C1370" s="1213"/>
      <c r="D1370" s="1211"/>
      <c r="E1370" s="1211"/>
      <c r="F1370" s="1211"/>
      <c r="G1370" s="1211"/>
    </row>
    <row r="1371" ht="26.25" customHeight="1">
      <c r="A1371" s="1253"/>
      <c r="B1371" s="1213"/>
      <c r="C1371" s="1213"/>
      <c r="D1371" s="1211"/>
      <c r="E1371" s="1211"/>
      <c r="F1371" s="1211"/>
      <c r="G1371" s="1211"/>
    </row>
    <row r="1372" ht="26.25" customHeight="1">
      <c r="A1372" s="1253"/>
      <c r="B1372" s="1213"/>
      <c r="C1372" s="1213"/>
      <c r="D1372" s="1211"/>
      <c r="E1372" s="1211"/>
      <c r="F1372" s="1211"/>
      <c r="G1372" s="1211"/>
    </row>
    <row r="1373" ht="26.25" customHeight="1">
      <c r="A1373" s="1253"/>
      <c r="B1373" s="1213"/>
      <c r="C1373" s="1213"/>
      <c r="D1373" s="1211"/>
      <c r="E1373" s="1211"/>
      <c r="F1373" s="1211"/>
      <c r="G1373" s="1211"/>
    </row>
    <row r="1374" ht="26.25" customHeight="1">
      <c r="A1374" s="1253"/>
      <c r="B1374" s="1213"/>
      <c r="C1374" s="1213"/>
      <c r="D1374" s="1211"/>
      <c r="E1374" s="1211"/>
      <c r="F1374" s="1211"/>
      <c r="G1374" s="1211"/>
    </row>
    <row r="1375" ht="26.25" customHeight="1">
      <c r="A1375" s="1253"/>
      <c r="B1375" s="1213"/>
      <c r="C1375" s="1213"/>
      <c r="D1375" s="1211"/>
      <c r="E1375" s="1211"/>
      <c r="F1375" s="1211"/>
      <c r="G1375" s="1211"/>
    </row>
    <row r="1376" ht="26.25" customHeight="1">
      <c r="A1376" s="1253"/>
      <c r="B1376" s="1213"/>
      <c r="C1376" s="1213"/>
      <c r="D1376" s="1211"/>
      <c r="E1376" s="1211"/>
      <c r="F1376" s="1211"/>
      <c r="G1376" s="1211"/>
    </row>
    <row r="1377" ht="26.25" customHeight="1">
      <c r="A1377" s="1253"/>
      <c r="B1377" s="1213"/>
      <c r="C1377" s="1213"/>
      <c r="D1377" s="1211"/>
      <c r="E1377" s="1211"/>
      <c r="F1377" s="1211"/>
      <c r="G1377" s="1211"/>
    </row>
    <row r="1378" ht="26.25" customHeight="1">
      <c r="A1378" s="1253"/>
      <c r="B1378" s="1213"/>
      <c r="C1378" s="1213"/>
      <c r="D1378" s="1211"/>
      <c r="E1378" s="1211"/>
      <c r="F1378" s="1211"/>
      <c r="G1378" s="1211"/>
    </row>
    <row r="1379" ht="26.25" customHeight="1">
      <c r="A1379" s="1253"/>
      <c r="B1379" s="1213"/>
      <c r="C1379" s="1213"/>
      <c r="D1379" s="1211"/>
      <c r="E1379" s="1211"/>
      <c r="F1379" s="1211"/>
      <c r="G1379" s="1211"/>
    </row>
    <row r="1380" ht="26.25" customHeight="1">
      <c r="A1380" s="1253"/>
      <c r="B1380" s="1213"/>
      <c r="C1380" s="1213"/>
      <c r="D1380" s="1211"/>
      <c r="E1380" s="1211"/>
      <c r="F1380" s="1211"/>
      <c r="G1380" s="1211"/>
    </row>
    <row r="1381" ht="26.25" customHeight="1">
      <c r="A1381" s="1253"/>
      <c r="B1381" s="1213"/>
      <c r="C1381" s="1213"/>
      <c r="D1381" s="1211"/>
      <c r="E1381" s="1211"/>
      <c r="F1381" s="1211"/>
      <c r="G1381" s="1211"/>
    </row>
    <row r="1382" ht="26.25" customHeight="1">
      <c r="A1382" s="1253"/>
      <c r="B1382" s="1213"/>
      <c r="C1382" s="1213"/>
      <c r="D1382" s="1211"/>
      <c r="E1382" s="1211"/>
      <c r="F1382" s="1211"/>
      <c r="G1382" s="1211"/>
    </row>
    <row r="1383" ht="26.25" customHeight="1">
      <c r="A1383" s="1253"/>
      <c r="B1383" s="1213"/>
      <c r="C1383" s="1213"/>
      <c r="D1383" s="1211"/>
      <c r="E1383" s="1211"/>
      <c r="F1383" s="1211"/>
      <c r="G1383" s="1211"/>
    </row>
    <row r="1384" ht="26.25" customHeight="1">
      <c r="A1384" s="1253"/>
      <c r="B1384" s="1213"/>
      <c r="C1384" s="1213"/>
      <c r="D1384" s="1211"/>
      <c r="E1384" s="1211"/>
      <c r="F1384" s="1211"/>
      <c r="G1384" s="1211"/>
    </row>
    <row r="1385" ht="26.25" customHeight="1">
      <c r="A1385" s="1253"/>
      <c r="B1385" s="1213"/>
      <c r="C1385" s="1213"/>
      <c r="D1385" s="1211"/>
      <c r="E1385" s="1211"/>
      <c r="F1385" s="1211"/>
      <c r="G1385" s="1211"/>
    </row>
    <row r="1386" ht="26.25" customHeight="1">
      <c r="A1386" s="1253"/>
      <c r="B1386" s="1213"/>
      <c r="C1386" s="1213"/>
      <c r="D1386" s="1211"/>
      <c r="E1386" s="1211"/>
      <c r="F1386" s="1211"/>
      <c r="G1386" s="1211"/>
    </row>
    <row r="1387" ht="26.25" customHeight="1">
      <c r="A1387" s="1253"/>
      <c r="B1387" s="1213"/>
      <c r="C1387" s="1213"/>
      <c r="D1387" s="1211"/>
      <c r="E1387" s="1211"/>
      <c r="F1387" s="1211"/>
      <c r="G1387" s="1211"/>
    </row>
    <row r="1388" ht="26.25" customHeight="1">
      <c r="A1388" s="1253"/>
      <c r="B1388" s="1213"/>
      <c r="C1388" s="1213"/>
      <c r="D1388" s="1211"/>
      <c r="E1388" s="1211"/>
      <c r="F1388" s="1211"/>
      <c r="G1388" s="1211"/>
    </row>
    <row r="1389" ht="26.25" customHeight="1">
      <c r="A1389" s="1253"/>
      <c r="B1389" s="1213"/>
      <c r="C1389" s="1213"/>
      <c r="D1389" s="1211"/>
      <c r="E1389" s="1211"/>
      <c r="F1389" s="1211"/>
      <c r="G1389" s="1211"/>
    </row>
    <row r="1390" ht="26.25" customHeight="1">
      <c r="A1390" s="1253"/>
      <c r="B1390" s="1213"/>
      <c r="C1390" s="1213"/>
      <c r="D1390" s="1211"/>
      <c r="E1390" s="1211"/>
      <c r="F1390" s="1211"/>
      <c r="G1390" s="1211"/>
    </row>
    <row r="1391" ht="26.25" customHeight="1">
      <c r="A1391" s="1253"/>
      <c r="B1391" s="1213"/>
      <c r="C1391" s="1213"/>
      <c r="D1391" s="1211"/>
      <c r="E1391" s="1211"/>
      <c r="F1391" s="1211"/>
      <c r="G1391" s="1211"/>
    </row>
    <row r="1392" ht="26.25" customHeight="1">
      <c r="A1392" s="1253"/>
      <c r="B1392" s="1213"/>
      <c r="C1392" s="1213"/>
      <c r="D1392" s="1211"/>
      <c r="E1392" s="1211"/>
      <c r="F1392" s="1211"/>
      <c r="G1392" s="1211"/>
    </row>
    <row r="1393" ht="26.25" customHeight="1">
      <c r="A1393" s="1253"/>
      <c r="B1393" s="1213"/>
      <c r="C1393" s="1213"/>
      <c r="D1393" s="1211"/>
      <c r="E1393" s="1211"/>
      <c r="F1393" s="1211"/>
      <c r="G1393" s="1211"/>
    </row>
    <row r="1394" ht="26.25" customHeight="1">
      <c r="A1394" s="1253"/>
      <c r="B1394" s="1213"/>
      <c r="C1394" s="1213"/>
      <c r="D1394" s="1211"/>
      <c r="E1394" s="1211"/>
      <c r="F1394" s="1211"/>
      <c r="G1394" s="1211"/>
    </row>
    <row r="1395" ht="26.25" customHeight="1">
      <c r="A1395" s="1253"/>
      <c r="B1395" s="1213"/>
      <c r="C1395" s="1213"/>
      <c r="D1395" s="1211"/>
      <c r="E1395" s="1211"/>
      <c r="F1395" s="1211"/>
      <c r="G1395" s="1211"/>
    </row>
    <row r="1396" ht="26.25" customHeight="1">
      <c r="A1396" s="1253"/>
      <c r="B1396" s="1213"/>
      <c r="C1396" s="1213"/>
      <c r="D1396" s="1211"/>
      <c r="E1396" s="1211"/>
      <c r="F1396" s="1211"/>
      <c r="G1396" s="1211"/>
    </row>
    <row r="1397" ht="26.25" customHeight="1">
      <c r="A1397" s="1253"/>
      <c r="B1397" s="1213"/>
      <c r="C1397" s="1213"/>
      <c r="D1397" s="1211"/>
      <c r="E1397" s="1211"/>
      <c r="F1397" s="1211"/>
      <c r="G1397" s="1211"/>
    </row>
    <row r="1398" ht="26.25" customHeight="1">
      <c r="A1398" s="1253"/>
      <c r="B1398" s="1213"/>
      <c r="C1398" s="1213"/>
      <c r="D1398" s="1211"/>
      <c r="E1398" s="1211"/>
      <c r="F1398" s="1211"/>
      <c r="G1398" s="1211"/>
    </row>
    <row r="1399" ht="26.25" customHeight="1">
      <c r="A1399" s="1253"/>
      <c r="B1399" s="1213"/>
      <c r="C1399" s="1213"/>
      <c r="D1399" s="1211"/>
      <c r="E1399" s="1211"/>
      <c r="F1399" s="1211"/>
      <c r="G1399" s="1211"/>
    </row>
    <row r="1400" ht="26.25" customHeight="1">
      <c r="A1400" s="1253"/>
      <c r="B1400" s="1213"/>
      <c r="C1400" s="1213"/>
      <c r="D1400" s="1211"/>
      <c r="E1400" s="1211"/>
      <c r="F1400" s="1211"/>
      <c r="G1400" s="1211"/>
    </row>
    <row r="1401" ht="26.25" customHeight="1">
      <c r="A1401" s="1253"/>
      <c r="B1401" s="1213"/>
      <c r="C1401" s="1213"/>
      <c r="D1401" s="1211"/>
      <c r="E1401" s="1211"/>
      <c r="F1401" s="1211"/>
      <c r="G1401" s="1211"/>
    </row>
    <row r="1402" ht="26.25" customHeight="1">
      <c r="A1402" s="1253"/>
      <c r="B1402" s="1213"/>
      <c r="C1402" s="1213"/>
      <c r="D1402" s="1211"/>
      <c r="E1402" s="1211"/>
      <c r="F1402" s="1211"/>
      <c r="G1402" s="1211"/>
    </row>
    <row r="1403" ht="26.25" customHeight="1">
      <c r="A1403" s="1253"/>
      <c r="B1403" s="1213"/>
      <c r="C1403" s="1213"/>
      <c r="D1403" s="1211"/>
      <c r="E1403" s="1211"/>
      <c r="F1403" s="1211"/>
      <c r="G1403" s="1211"/>
    </row>
    <row r="1404" ht="26.25" customHeight="1">
      <c r="A1404" s="1253"/>
      <c r="B1404" s="1213"/>
      <c r="C1404" s="1213"/>
      <c r="D1404" s="1211"/>
      <c r="E1404" s="1211"/>
      <c r="F1404" s="1211"/>
      <c r="G1404" s="1211"/>
    </row>
    <row r="1405" ht="26.25" customHeight="1">
      <c r="A1405" s="1253"/>
      <c r="B1405" s="1213"/>
      <c r="C1405" s="1213"/>
      <c r="D1405" s="1211"/>
      <c r="E1405" s="1211"/>
      <c r="F1405" s="1211"/>
      <c r="G1405" s="1211"/>
    </row>
    <row r="1406" ht="26.25" customHeight="1">
      <c r="A1406" s="1253"/>
      <c r="B1406" s="1213"/>
      <c r="C1406" s="1213"/>
      <c r="D1406" s="1211"/>
      <c r="E1406" s="1211"/>
      <c r="F1406" s="1211"/>
      <c r="G1406" s="1211"/>
    </row>
    <row r="1407" ht="26.25" customHeight="1">
      <c r="A1407" s="1253"/>
      <c r="B1407" s="1213"/>
      <c r="C1407" s="1213"/>
      <c r="D1407" s="1211"/>
      <c r="E1407" s="1211"/>
      <c r="F1407" s="1211"/>
      <c r="G1407" s="1211"/>
    </row>
    <row r="1408" ht="26.25" customHeight="1">
      <c r="A1408" s="1253"/>
      <c r="B1408" s="1213"/>
      <c r="C1408" s="1213"/>
      <c r="D1408" s="1211"/>
      <c r="E1408" s="1211"/>
      <c r="F1408" s="1211"/>
      <c r="G1408" s="1211"/>
    </row>
    <row r="1409" ht="26.25" customHeight="1">
      <c r="A1409" s="1253"/>
      <c r="B1409" s="1213"/>
      <c r="C1409" s="1213"/>
      <c r="D1409" s="1211"/>
      <c r="E1409" s="1211"/>
      <c r="F1409" s="1211"/>
      <c r="G1409" s="1211"/>
    </row>
    <row r="1410" ht="26.25" customHeight="1">
      <c r="A1410" s="1253"/>
      <c r="B1410" s="1213"/>
      <c r="C1410" s="1213"/>
      <c r="D1410" s="1211"/>
      <c r="E1410" s="1211"/>
      <c r="F1410" s="1211"/>
      <c r="G1410" s="1211"/>
    </row>
    <row r="1411" ht="26.25" customHeight="1">
      <c r="A1411" s="1253"/>
      <c r="B1411" s="1213"/>
      <c r="C1411" s="1213"/>
      <c r="D1411" s="1211"/>
      <c r="E1411" s="1211"/>
      <c r="F1411" s="1211"/>
      <c r="G1411" s="1211"/>
    </row>
    <row r="1412" ht="26.25" customHeight="1">
      <c r="A1412" s="1253"/>
      <c r="B1412" s="1213"/>
      <c r="C1412" s="1213"/>
      <c r="D1412" s="1211"/>
      <c r="E1412" s="1211"/>
      <c r="F1412" s="1211"/>
      <c r="G1412" s="1211"/>
    </row>
    <row r="1413" ht="26.25" customHeight="1">
      <c r="A1413" s="1253"/>
      <c r="B1413" s="1213"/>
      <c r="C1413" s="1213"/>
      <c r="D1413" s="1211"/>
      <c r="E1413" s="1211"/>
      <c r="F1413" s="1211"/>
      <c r="G1413" s="1211"/>
    </row>
  </sheetData>
  <autoFilter ref="$A$1:$E$487">
    <sortState ref="A1:E487">
      <sortCondition ref="A1:A487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2" width="13.63"/>
    <col customWidth="1" min="3" max="3" width="12.75"/>
    <col customWidth="1" min="4" max="4" width="4.38"/>
    <col customWidth="1" min="5" max="5" width="12.75"/>
    <col customWidth="1" min="6" max="6" width="7.63"/>
    <col customWidth="1" min="8" max="8" width="16.5"/>
  </cols>
  <sheetData>
    <row r="1" ht="12.0" customHeight="1">
      <c r="A1" s="1263"/>
      <c r="B1" s="1140"/>
      <c r="C1" s="1264"/>
      <c r="D1" s="1265"/>
      <c r="E1" s="1265"/>
      <c r="F1" s="1265"/>
      <c r="G1" s="1265"/>
      <c r="H1" s="1263"/>
      <c r="I1" s="1264"/>
      <c r="J1" s="1265"/>
      <c r="K1" s="1265"/>
      <c r="L1" s="1265"/>
      <c r="M1" s="1265"/>
      <c r="N1" s="1265"/>
      <c r="O1" s="1265"/>
      <c r="P1" s="1265"/>
    </row>
    <row r="2" ht="17.25" customHeight="1">
      <c r="A2" s="1266" t="s">
        <v>6297</v>
      </c>
      <c r="B2" s="1267"/>
      <c r="C2" s="1268" t="s">
        <v>4869</v>
      </c>
      <c r="D2" s="1038"/>
      <c r="E2" s="1269" t="s">
        <v>6298</v>
      </c>
      <c r="F2" s="1038"/>
      <c r="G2" s="1266" t="s">
        <v>6299</v>
      </c>
      <c r="H2" s="1267"/>
      <c r="I2" s="1270"/>
      <c r="J2" s="1271"/>
      <c r="K2" s="1271"/>
      <c r="L2" s="1271"/>
      <c r="M2" s="1271"/>
      <c r="N2" s="1271"/>
      <c r="O2" s="1271"/>
      <c r="P2" s="1271"/>
    </row>
    <row r="3" ht="17.25" customHeight="1">
      <c r="A3" s="461" t="s">
        <v>6300</v>
      </c>
      <c r="B3" s="1272" t="s">
        <v>6301</v>
      </c>
      <c r="C3" s="741">
        <v>715000.0</v>
      </c>
      <c r="D3" s="1265"/>
      <c r="E3" s="1273" t="s">
        <v>6302</v>
      </c>
      <c r="F3" s="1265"/>
      <c r="G3" s="461" t="s">
        <v>6303</v>
      </c>
      <c r="H3" s="461" t="s">
        <v>6304</v>
      </c>
      <c r="I3" s="741">
        <v>300000.0</v>
      </c>
      <c r="J3" s="1265"/>
      <c r="K3" s="1265"/>
      <c r="L3" s="1265"/>
      <c r="M3" s="1265"/>
      <c r="N3" s="1265"/>
      <c r="O3" s="1265"/>
      <c r="P3" s="1265"/>
    </row>
    <row r="4" ht="17.25" customHeight="1">
      <c r="A4" s="461" t="s">
        <v>6305</v>
      </c>
      <c r="B4" s="1272" t="s">
        <v>6301</v>
      </c>
      <c r="C4" s="741">
        <v>700000.0</v>
      </c>
      <c r="D4" s="1265"/>
      <c r="E4" s="1273" t="s">
        <v>6306</v>
      </c>
      <c r="F4" s="1265"/>
      <c r="G4" s="461" t="s">
        <v>6303</v>
      </c>
      <c r="H4" s="461" t="s">
        <v>6307</v>
      </c>
      <c r="I4" s="741">
        <v>112000.0</v>
      </c>
      <c r="J4" s="1265"/>
      <c r="K4" s="1265"/>
      <c r="L4" s="1265"/>
      <c r="M4" s="1265"/>
      <c r="N4" s="1265"/>
      <c r="O4" s="1265"/>
      <c r="P4" s="1265"/>
    </row>
    <row r="5" ht="17.25" customHeight="1">
      <c r="A5" s="461" t="s">
        <v>6308</v>
      </c>
      <c r="B5" s="1272" t="s">
        <v>6301</v>
      </c>
      <c r="C5" s="741">
        <v>660000.0</v>
      </c>
      <c r="D5" s="1265"/>
      <c r="E5" s="1273" t="s">
        <v>6309</v>
      </c>
      <c r="F5" s="1265"/>
      <c r="G5" s="461" t="s">
        <v>6303</v>
      </c>
      <c r="H5" s="461" t="s">
        <v>6310</v>
      </c>
      <c r="I5" s="741">
        <v>279000.0</v>
      </c>
      <c r="J5" s="1265"/>
      <c r="K5" s="1265"/>
      <c r="L5" s="1265"/>
      <c r="M5" s="1265"/>
      <c r="N5" s="1265"/>
      <c r="O5" s="1265"/>
      <c r="P5" s="1265"/>
    </row>
    <row r="6" ht="17.25" customHeight="1">
      <c r="A6" s="461" t="s">
        <v>6311</v>
      </c>
      <c r="B6" s="1272" t="s">
        <v>6301</v>
      </c>
      <c r="C6" s="741">
        <v>700000.0</v>
      </c>
      <c r="D6" s="1265"/>
      <c r="E6" s="1273" t="s">
        <v>6312</v>
      </c>
      <c r="F6" s="1265"/>
      <c r="G6" s="461" t="s">
        <v>6303</v>
      </c>
      <c r="H6" s="461" t="s">
        <v>1435</v>
      </c>
      <c r="I6" s="741">
        <v>1500000.0</v>
      </c>
      <c r="J6" s="1265"/>
      <c r="K6" s="1265"/>
      <c r="L6" s="1265"/>
      <c r="M6" s="1265"/>
      <c r="N6" s="1265"/>
      <c r="O6" s="1265"/>
      <c r="P6" s="1265"/>
    </row>
    <row r="7" ht="17.25" customHeight="1">
      <c r="A7" s="461" t="s">
        <v>6313</v>
      </c>
      <c r="B7" s="1272" t="s">
        <v>6301</v>
      </c>
      <c r="C7" s="741">
        <v>470000.0</v>
      </c>
      <c r="D7" s="1265"/>
      <c r="E7" s="1273" t="s">
        <v>6314</v>
      </c>
      <c r="F7" s="1265"/>
      <c r="G7" s="461" t="s">
        <v>6303</v>
      </c>
      <c r="H7" s="461" t="s">
        <v>6315</v>
      </c>
      <c r="I7" s="741">
        <v>1100000.0</v>
      </c>
      <c r="J7" s="1265"/>
      <c r="K7" s="1265"/>
      <c r="L7" s="1265"/>
      <c r="M7" s="1265"/>
      <c r="N7" s="1265"/>
      <c r="O7" s="1265"/>
      <c r="P7" s="1265"/>
    </row>
    <row r="8" ht="17.25" customHeight="1">
      <c r="A8" s="461" t="s">
        <v>6316</v>
      </c>
      <c r="B8" s="1272" t="s">
        <v>6301</v>
      </c>
      <c r="C8" s="741">
        <v>400000.0</v>
      </c>
      <c r="D8" s="1265"/>
      <c r="E8" s="1273" t="s">
        <v>6317</v>
      </c>
      <c r="F8" s="1265"/>
      <c r="G8" s="1274">
        <v>45078.0</v>
      </c>
      <c r="H8" s="461" t="s">
        <v>6318</v>
      </c>
      <c r="I8" s="741">
        <v>600000.0</v>
      </c>
      <c r="J8" s="1265"/>
      <c r="K8" s="1265"/>
      <c r="L8" s="1265"/>
      <c r="M8" s="1265"/>
      <c r="N8" s="1265"/>
      <c r="O8" s="1265"/>
      <c r="P8" s="1265"/>
    </row>
    <row r="9" ht="17.25" customHeight="1">
      <c r="A9" s="461">
        <v>101.0</v>
      </c>
      <c r="B9" s="1272" t="s">
        <v>6319</v>
      </c>
      <c r="C9" s="741">
        <v>0.0</v>
      </c>
      <c r="D9" s="1265"/>
      <c r="E9" s="1273" t="s">
        <v>6320</v>
      </c>
      <c r="F9" s="1265"/>
      <c r="G9" s="461" t="s">
        <v>6321</v>
      </c>
      <c r="H9" s="461" t="s">
        <v>6315</v>
      </c>
      <c r="I9" s="741">
        <v>750000.0</v>
      </c>
      <c r="J9" s="1265"/>
      <c r="K9" s="1265"/>
      <c r="L9" s="1265"/>
      <c r="M9" s="1265"/>
      <c r="N9" s="1265"/>
      <c r="O9" s="1265"/>
      <c r="P9" s="1265"/>
    </row>
    <row r="10" ht="17.25" customHeight="1">
      <c r="A10" s="461">
        <v>102.0</v>
      </c>
      <c r="B10" s="1272" t="s">
        <v>6319</v>
      </c>
      <c r="C10" s="741">
        <v>500000.0</v>
      </c>
      <c r="D10" s="1265"/>
      <c r="E10" s="1273" t="s">
        <v>966</v>
      </c>
      <c r="F10" s="1265"/>
      <c r="G10" s="461" t="s">
        <v>6321</v>
      </c>
      <c r="H10" s="461" t="s">
        <v>6315</v>
      </c>
      <c r="I10" s="741">
        <v>680000.0</v>
      </c>
      <c r="J10" s="1265"/>
      <c r="K10" s="1265"/>
      <c r="L10" s="1265"/>
      <c r="M10" s="1265"/>
      <c r="N10" s="1265"/>
      <c r="O10" s="1265"/>
      <c r="P10" s="1265"/>
    </row>
    <row r="11" ht="17.25" customHeight="1">
      <c r="A11" s="461">
        <v>201.0</v>
      </c>
      <c r="B11" s="1272" t="s">
        <v>6319</v>
      </c>
      <c r="C11" s="741"/>
      <c r="D11" s="1265"/>
      <c r="E11" s="1273" t="s">
        <v>6322</v>
      </c>
      <c r="F11" s="1265"/>
      <c r="G11" s="461" t="s">
        <v>6321</v>
      </c>
      <c r="H11" s="461" t="s">
        <v>6323</v>
      </c>
      <c r="I11" s="741">
        <v>40000.0</v>
      </c>
      <c r="J11" s="1265"/>
      <c r="K11" s="1265"/>
      <c r="L11" s="1265"/>
      <c r="M11" s="1265"/>
      <c r="N11" s="1265"/>
      <c r="O11" s="1265"/>
      <c r="P11" s="1265"/>
    </row>
    <row r="12" ht="17.25" customHeight="1">
      <c r="A12" s="461">
        <v>202.0</v>
      </c>
      <c r="B12" s="1272" t="s">
        <v>6319</v>
      </c>
      <c r="C12" s="741">
        <v>0.0</v>
      </c>
      <c r="D12" s="1265"/>
      <c r="E12" s="1275"/>
      <c r="F12" s="1265"/>
      <c r="G12" s="461" t="s">
        <v>6321</v>
      </c>
      <c r="H12" s="288" t="s">
        <v>6324</v>
      </c>
      <c r="I12" s="163">
        <v>450000.0</v>
      </c>
      <c r="J12" s="1265"/>
      <c r="K12" s="1265"/>
      <c r="L12" s="1265"/>
      <c r="M12" s="1265"/>
      <c r="N12" s="1265"/>
      <c r="O12" s="1265"/>
      <c r="P12" s="1265"/>
    </row>
    <row r="13" ht="17.25" customHeight="1">
      <c r="A13" s="461">
        <v>301.0</v>
      </c>
      <c r="B13" s="1272" t="s">
        <v>6319</v>
      </c>
      <c r="C13" s="741">
        <v>350000.0</v>
      </c>
      <c r="D13" s="1265"/>
      <c r="E13" s="1273"/>
      <c r="F13" s="1265"/>
      <c r="G13" s="1276">
        <v>45097.0</v>
      </c>
      <c r="H13" s="288" t="s">
        <v>6318</v>
      </c>
      <c r="I13" s="163">
        <v>400000.0</v>
      </c>
      <c r="J13" s="1265"/>
      <c r="K13" s="1265"/>
      <c r="L13" s="1265"/>
      <c r="M13" s="1265"/>
      <c r="N13" s="1265"/>
      <c r="O13" s="1265"/>
      <c r="P13" s="1265"/>
    </row>
    <row r="14" ht="17.25" customHeight="1">
      <c r="A14" s="1277"/>
      <c r="B14" s="1272" t="s">
        <v>6325</v>
      </c>
      <c r="C14" s="741">
        <v>750000.0</v>
      </c>
      <c r="D14" s="1265"/>
      <c r="E14" s="1273" t="s">
        <v>6326</v>
      </c>
      <c r="F14" s="1278"/>
      <c r="G14" s="461" t="s">
        <v>6321</v>
      </c>
      <c r="H14" s="288" t="s">
        <v>6327</v>
      </c>
      <c r="I14" s="163">
        <v>300000.0</v>
      </c>
      <c r="J14" s="1265"/>
      <c r="K14" s="1265"/>
      <c r="L14" s="1265"/>
      <c r="M14" s="1265"/>
      <c r="N14" s="1265"/>
      <c r="O14" s="1265"/>
      <c r="P14" s="1265"/>
    </row>
    <row r="15" ht="17.25" customHeight="1">
      <c r="A15" s="1263"/>
      <c r="B15" s="1279" t="s">
        <v>3083</v>
      </c>
      <c r="C15" s="1280">
        <f>SUM(C1:C14)</f>
        <v>5245000</v>
      </c>
      <c r="D15" s="1265"/>
      <c r="E15" s="1265"/>
      <c r="F15" s="1265"/>
      <c r="G15" s="126"/>
      <c r="H15" s="1277"/>
      <c r="I15" s="1281"/>
      <c r="J15" s="1265"/>
      <c r="K15" s="1265"/>
      <c r="L15" s="1265"/>
      <c r="M15" s="1265"/>
      <c r="N15" s="1265"/>
      <c r="O15" s="1265"/>
      <c r="P15" s="1265"/>
    </row>
    <row r="16" ht="17.25" customHeight="1">
      <c r="A16" s="1282"/>
      <c r="B16" s="1282"/>
      <c r="C16" s="1282"/>
      <c r="D16" s="1265"/>
      <c r="E16" s="1265"/>
      <c r="F16" s="1265"/>
      <c r="G16" s="1265"/>
      <c r="H16" s="1283" t="s">
        <v>3083</v>
      </c>
      <c r="I16" s="1280">
        <f>SUM(I3:I15)</f>
        <v>6511000</v>
      </c>
      <c r="J16" s="1265"/>
      <c r="K16" s="1265"/>
      <c r="L16" s="1265"/>
      <c r="M16" s="1265"/>
      <c r="N16" s="1265"/>
      <c r="O16" s="1265"/>
      <c r="P16" s="1265"/>
    </row>
    <row r="17" ht="6.0" customHeight="1">
      <c r="A17" s="1282"/>
      <c r="B17" s="1282"/>
      <c r="C17" s="1282"/>
      <c r="D17" s="1265"/>
      <c r="E17" s="1265"/>
      <c r="F17" s="1265"/>
      <c r="G17" s="1265"/>
      <c r="H17" s="1263"/>
      <c r="I17" s="1264"/>
      <c r="J17" s="1265"/>
      <c r="K17" s="1265"/>
      <c r="L17" s="1265"/>
      <c r="M17" s="1265"/>
      <c r="N17" s="1265"/>
      <c r="O17" s="1265"/>
      <c r="P17" s="1265"/>
    </row>
    <row r="18" ht="17.25" customHeight="1">
      <c r="A18" s="1282"/>
      <c r="B18" s="1282"/>
      <c r="C18" s="1282"/>
      <c r="D18" s="1265"/>
      <c r="E18" s="1265"/>
      <c r="F18" s="1265"/>
      <c r="G18" s="1265"/>
      <c r="H18" s="301" t="s">
        <v>6328</v>
      </c>
      <c r="I18" s="1284">
        <f>C15-I16</f>
        <v>-1266000</v>
      </c>
      <c r="J18" s="1265"/>
      <c r="K18" s="1265"/>
      <c r="L18" s="1265"/>
      <c r="M18" s="1265"/>
      <c r="N18" s="1265"/>
      <c r="O18" s="1265"/>
      <c r="P18" s="1265"/>
    </row>
    <row r="19" ht="17.25" customHeight="1">
      <c r="A19" s="1282"/>
      <c r="B19" s="1282"/>
      <c r="C19" s="1282"/>
      <c r="D19" s="1265"/>
      <c r="E19" s="1265"/>
      <c r="F19" s="1265"/>
      <c r="G19" s="1265"/>
      <c r="H19" s="1263"/>
      <c r="I19" s="1264"/>
      <c r="J19" s="1265"/>
      <c r="K19" s="1265"/>
      <c r="L19" s="1265"/>
      <c r="M19" s="1265"/>
      <c r="N19" s="1265"/>
      <c r="O19" s="1265"/>
      <c r="P19" s="1265"/>
    </row>
    <row r="20" ht="17.25" customHeight="1">
      <c r="A20" s="1282"/>
      <c r="B20" s="1282"/>
      <c r="C20" s="1282"/>
      <c r="D20" s="1265"/>
      <c r="E20" s="1265"/>
      <c r="F20" s="1265"/>
      <c r="G20" s="1265"/>
      <c r="H20" s="1263"/>
      <c r="I20" s="1264"/>
      <c r="J20" s="1265"/>
      <c r="K20" s="1265"/>
      <c r="L20" s="1265"/>
      <c r="M20" s="1265"/>
      <c r="N20" s="1265"/>
      <c r="O20" s="1265"/>
      <c r="P20" s="1265"/>
    </row>
    <row r="21" ht="17.25" customHeight="1">
      <c r="A21" s="1282"/>
      <c r="B21" s="1282"/>
      <c r="C21" s="1282"/>
      <c r="D21" s="1265"/>
      <c r="E21" s="1265"/>
      <c r="F21" s="1265"/>
      <c r="G21" s="1265"/>
      <c r="H21" s="1263"/>
      <c r="I21" s="1264"/>
      <c r="J21" s="1265"/>
      <c r="K21" s="1265"/>
      <c r="L21" s="1265"/>
      <c r="M21" s="1265"/>
      <c r="N21" s="1265"/>
      <c r="O21" s="1265"/>
      <c r="P21" s="1265"/>
    </row>
    <row r="22" ht="17.25" customHeight="1">
      <c r="A22" s="1282"/>
      <c r="B22" s="1282"/>
      <c r="C22" s="1282"/>
      <c r="D22" s="1265"/>
      <c r="E22" s="1265"/>
      <c r="F22" s="1265"/>
      <c r="G22" s="1265"/>
      <c r="H22" s="1263"/>
      <c r="I22" s="1264"/>
      <c r="J22" s="1265"/>
      <c r="K22" s="1265"/>
      <c r="L22" s="1265"/>
      <c r="M22" s="1265"/>
      <c r="N22" s="1265"/>
      <c r="O22" s="1265"/>
      <c r="P22" s="1265"/>
    </row>
    <row r="23" ht="17.25" customHeight="1">
      <c r="A23" s="1282"/>
      <c r="B23" s="1282"/>
      <c r="C23" s="1282"/>
      <c r="D23" s="1265"/>
      <c r="E23" s="1265"/>
      <c r="F23" s="1265"/>
      <c r="G23" s="1265"/>
      <c r="H23" s="1263"/>
      <c r="I23" s="1264"/>
      <c r="J23" s="1265"/>
      <c r="K23" s="1265"/>
      <c r="L23" s="1265"/>
      <c r="M23" s="1265"/>
      <c r="N23" s="1265"/>
      <c r="O23" s="1265"/>
      <c r="P23" s="1265"/>
    </row>
    <row r="24" ht="17.25" customHeight="1">
      <c r="A24" s="1263"/>
      <c r="B24" s="1140"/>
      <c r="C24" s="1264"/>
      <c r="D24" s="1265"/>
      <c r="E24" s="1265"/>
      <c r="F24" s="1265"/>
      <c r="G24" s="1265"/>
      <c r="H24" s="1263"/>
      <c r="I24" s="1264"/>
      <c r="J24" s="1265"/>
      <c r="K24" s="1265"/>
      <c r="L24" s="1265"/>
      <c r="M24" s="1265"/>
      <c r="N24" s="1265"/>
      <c r="O24" s="1265"/>
      <c r="P24" s="1265"/>
    </row>
    <row r="25" ht="17.25" customHeight="1">
      <c r="A25" s="1263"/>
      <c r="B25" s="1140"/>
      <c r="C25" s="1264"/>
      <c r="D25" s="1265"/>
      <c r="E25" s="1265"/>
      <c r="F25" s="1265"/>
      <c r="G25" s="1265"/>
      <c r="H25" s="1263"/>
      <c r="I25" s="1264"/>
      <c r="J25" s="1265"/>
      <c r="K25" s="1265"/>
      <c r="L25" s="1265"/>
      <c r="M25" s="1265"/>
      <c r="N25" s="1265"/>
      <c r="O25" s="1265"/>
      <c r="P25" s="1265"/>
    </row>
    <row r="26" ht="17.25" customHeight="1">
      <c r="A26" s="1263"/>
      <c r="B26" s="1140"/>
      <c r="C26" s="1264"/>
      <c r="D26" s="1265"/>
      <c r="E26" s="1265"/>
      <c r="F26" s="1265"/>
      <c r="G26" s="1265"/>
      <c r="H26" s="1263"/>
      <c r="I26" s="1264"/>
      <c r="J26" s="1265"/>
      <c r="K26" s="1265"/>
      <c r="L26" s="1265"/>
      <c r="M26" s="1265"/>
      <c r="N26" s="1265"/>
      <c r="O26" s="1265"/>
      <c r="P26" s="1265"/>
    </row>
    <row r="27" ht="17.25" customHeight="1">
      <c r="A27" s="1263"/>
      <c r="B27" s="1140"/>
      <c r="C27" s="1264"/>
      <c r="D27" s="1265"/>
      <c r="E27" s="1265"/>
      <c r="F27" s="1265"/>
      <c r="G27" s="1265"/>
      <c r="H27" s="1263"/>
      <c r="I27" s="1264"/>
      <c r="J27" s="1265"/>
      <c r="K27" s="1265"/>
      <c r="L27" s="1265"/>
      <c r="M27" s="1265"/>
      <c r="N27" s="1265"/>
      <c r="O27" s="1265"/>
      <c r="P27" s="1265"/>
    </row>
    <row r="28" ht="17.25" customHeight="1">
      <c r="A28" s="1263"/>
      <c r="B28" s="1140"/>
      <c r="C28" s="1264"/>
      <c r="D28" s="1265"/>
      <c r="E28" s="1265"/>
      <c r="F28" s="1265"/>
      <c r="G28" s="1265"/>
      <c r="H28" s="1263"/>
      <c r="I28" s="1264"/>
      <c r="J28" s="1265"/>
      <c r="K28" s="1265"/>
      <c r="L28" s="1265"/>
      <c r="M28" s="1265"/>
      <c r="N28" s="1265"/>
      <c r="O28" s="1265"/>
      <c r="P28" s="1265"/>
    </row>
    <row r="29" ht="17.25" customHeight="1">
      <c r="A29" s="1263"/>
      <c r="B29" s="1140"/>
      <c r="C29" s="1264"/>
      <c r="D29" s="1265"/>
      <c r="E29" s="1265"/>
      <c r="F29" s="1265"/>
      <c r="G29" s="1265"/>
      <c r="H29" s="1263"/>
      <c r="I29" s="1264"/>
      <c r="J29" s="1265"/>
      <c r="K29" s="1265"/>
      <c r="L29" s="1265"/>
      <c r="M29" s="1265"/>
      <c r="N29" s="1265"/>
      <c r="O29" s="1265"/>
      <c r="P29" s="1265"/>
    </row>
    <row r="30" ht="17.25" customHeight="1">
      <c r="A30" s="1263"/>
      <c r="B30" s="1140"/>
      <c r="C30" s="1264"/>
      <c r="D30" s="1265"/>
      <c r="E30" s="1265"/>
      <c r="F30" s="1265"/>
      <c r="G30" s="1265"/>
      <c r="H30" s="1263"/>
      <c r="I30" s="1264"/>
      <c r="J30" s="1265"/>
      <c r="K30" s="1265"/>
      <c r="L30" s="1265"/>
      <c r="M30" s="1265"/>
      <c r="N30" s="1265"/>
      <c r="O30" s="1265"/>
      <c r="P30" s="1265"/>
    </row>
    <row r="31" ht="17.25" customHeight="1">
      <c r="A31" s="1263"/>
      <c r="B31" s="1140"/>
      <c r="C31" s="1264"/>
      <c r="D31" s="1265"/>
      <c r="E31" s="1265"/>
      <c r="F31" s="1265"/>
      <c r="G31" s="1265"/>
      <c r="H31" s="1263"/>
      <c r="I31" s="1264"/>
      <c r="J31" s="1265"/>
      <c r="K31" s="1265"/>
      <c r="L31" s="1265"/>
      <c r="M31" s="1265"/>
      <c r="N31" s="1265"/>
      <c r="O31" s="1265"/>
      <c r="P31" s="1265"/>
    </row>
    <row r="32" ht="17.25" customHeight="1">
      <c r="A32" s="1263"/>
      <c r="B32" s="1140"/>
      <c r="C32" s="1264"/>
      <c r="D32" s="1265"/>
      <c r="E32" s="1265"/>
      <c r="F32" s="1265"/>
      <c r="G32" s="1265"/>
      <c r="H32" s="1263"/>
      <c r="I32" s="1264"/>
      <c r="J32" s="1265"/>
      <c r="K32" s="1265"/>
      <c r="L32" s="1265"/>
      <c r="M32" s="1265"/>
      <c r="N32" s="1265"/>
      <c r="O32" s="1265"/>
      <c r="P32" s="1265"/>
    </row>
    <row r="33" ht="17.25" customHeight="1">
      <c r="A33" s="1263"/>
      <c r="B33" s="1140"/>
      <c r="C33" s="1264"/>
      <c r="D33" s="1265"/>
      <c r="E33" s="1265"/>
      <c r="F33" s="1265"/>
      <c r="G33" s="1265"/>
      <c r="H33" s="1263"/>
      <c r="I33" s="1264"/>
      <c r="J33" s="1265"/>
      <c r="K33" s="1265"/>
      <c r="L33" s="1265"/>
      <c r="M33" s="1265"/>
      <c r="N33" s="1265"/>
      <c r="O33" s="1265"/>
      <c r="P33" s="1265"/>
    </row>
    <row r="34" ht="17.25" customHeight="1">
      <c r="A34" s="1263"/>
      <c r="B34" s="1140"/>
      <c r="C34" s="1264"/>
      <c r="D34" s="1265"/>
      <c r="E34" s="1265"/>
      <c r="F34" s="1265"/>
      <c r="G34" s="1265"/>
      <c r="H34" s="1263"/>
      <c r="I34" s="1264"/>
      <c r="J34" s="1265"/>
      <c r="K34" s="1265"/>
      <c r="L34" s="1265"/>
      <c r="M34" s="1265"/>
      <c r="N34" s="1265"/>
      <c r="O34" s="1265"/>
      <c r="P34" s="1265"/>
    </row>
    <row r="35" ht="17.25" customHeight="1">
      <c r="A35" s="1263"/>
      <c r="B35" s="1140"/>
      <c r="C35" s="1264"/>
      <c r="D35" s="1265"/>
      <c r="E35" s="1265"/>
      <c r="F35" s="1265"/>
      <c r="G35" s="1265"/>
      <c r="H35" s="1263"/>
      <c r="I35" s="1264"/>
      <c r="J35" s="1265"/>
      <c r="K35" s="1265"/>
      <c r="L35" s="1265"/>
      <c r="M35" s="1265"/>
      <c r="N35" s="1265"/>
      <c r="O35" s="1265"/>
      <c r="P35" s="1265"/>
    </row>
    <row r="36" ht="17.25" customHeight="1">
      <c r="A36" s="1263"/>
      <c r="B36" s="1140"/>
      <c r="C36" s="1264"/>
      <c r="D36" s="1265"/>
      <c r="E36" s="1265"/>
      <c r="F36" s="1265"/>
      <c r="G36" s="1265"/>
      <c r="H36" s="1263"/>
      <c r="I36" s="1264"/>
      <c r="J36" s="1265"/>
      <c r="K36" s="1265"/>
      <c r="L36" s="1265"/>
      <c r="M36" s="1265"/>
      <c r="N36" s="1265"/>
      <c r="O36" s="1265"/>
      <c r="P36" s="1265"/>
    </row>
    <row r="37" ht="17.25" customHeight="1">
      <c r="A37" s="1263"/>
      <c r="B37" s="1140"/>
      <c r="C37" s="1264"/>
      <c r="D37" s="1265"/>
      <c r="E37" s="1265"/>
      <c r="F37" s="1265"/>
      <c r="G37" s="1265"/>
      <c r="H37" s="1263"/>
      <c r="I37" s="1264"/>
      <c r="J37" s="1265"/>
      <c r="K37" s="1265"/>
      <c r="L37" s="1265"/>
      <c r="M37" s="1265"/>
      <c r="N37" s="1265"/>
      <c r="O37" s="1265"/>
      <c r="P37" s="1265"/>
    </row>
    <row r="38" ht="17.25" customHeight="1">
      <c r="A38" s="1263"/>
      <c r="B38" s="1140"/>
      <c r="C38" s="1264"/>
      <c r="D38" s="1265"/>
      <c r="E38" s="1265"/>
      <c r="F38" s="1265"/>
      <c r="G38" s="1265"/>
      <c r="H38" s="1263"/>
      <c r="I38" s="1264"/>
      <c r="J38" s="1265"/>
      <c r="K38" s="1265"/>
      <c r="L38" s="1265"/>
      <c r="M38" s="1265"/>
      <c r="N38" s="1265"/>
      <c r="O38" s="1265"/>
      <c r="P38" s="1265"/>
    </row>
    <row r="39" ht="17.25" customHeight="1">
      <c r="A39" s="1263"/>
      <c r="B39" s="1140"/>
      <c r="C39" s="1264"/>
      <c r="D39" s="1265"/>
      <c r="E39" s="1265"/>
      <c r="F39" s="1265"/>
      <c r="G39" s="1265"/>
      <c r="H39" s="1263"/>
      <c r="I39" s="1264"/>
      <c r="J39" s="1265"/>
      <c r="K39" s="1265"/>
      <c r="L39" s="1265"/>
      <c r="M39" s="1265"/>
      <c r="N39" s="1265"/>
      <c r="O39" s="1265"/>
      <c r="P39" s="1265"/>
    </row>
    <row r="40" ht="17.25" customHeight="1">
      <c r="A40" s="1263"/>
      <c r="B40" s="1140"/>
      <c r="C40" s="1264"/>
      <c r="D40" s="1265"/>
      <c r="E40" s="1265"/>
      <c r="F40" s="1265"/>
      <c r="G40" s="1265"/>
      <c r="H40" s="1263"/>
      <c r="I40" s="1264"/>
      <c r="J40" s="1265"/>
      <c r="K40" s="1265"/>
      <c r="L40" s="1265"/>
      <c r="M40" s="1265"/>
      <c r="N40" s="1265"/>
      <c r="O40" s="1265"/>
      <c r="P40" s="1265"/>
    </row>
    <row r="41" ht="17.25" customHeight="1">
      <c r="A41" s="1263"/>
      <c r="B41" s="1140"/>
      <c r="C41" s="1264"/>
      <c r="D41" s="1265"/>
      <c r="E41" s="1265"/>
      <c r="F41" s="1265"/>
      <c r="G41" s="1265"/>
      <c r="H41" s="1263"/>
      <c r="I41" s="1264"/>
      <c r="J41" s="1265"/>
      <c r="K41" s="1265"/>
      <c r="L41" s="1265"/>
      <c r="M41" s="1265"/>
      <c r="N41" s="1265"/>
      <c r="O41" s="1265"/>
      <c r="P41" s="1265"/>
    </row>
    <row r="42" ht="17.25" customHeight="1">
      <c r="A42" s="1263"/>
      <c r="B42" s="1140"/>
      <c r="C42" s="1264"/>
      <c r="D42" s="1265"/>
      <c r="E42" s="1265"/>
      <c r="F42" s="1265"/>
      <c r="G42" s="1265"/>
      <c r="H42" s="1263"/>
      <c r="I42" s="1264"/>
      <c r="J42" s="1265"/>
      <c r="K42" s="1265"/>
      <c r="L42" s="1265"/>
      <c r="M42" s="1265"/>
      <c r="N42" s="1265"/>
      <c r="O42" s="1265"/>
      <c r="P42" s="1265"/>
    </row>
    <row r="43" ht="17.25" customHeight="1">
      <c r="A43" s="1263"/>
      <c r="B43" s="1140"/>
      <c r="C43" s="1264"/>
      <c r="D43" s="1265"/>
      <c r="E43" s="1265"/>
      <c r="F43" s="1265"/>
      <c r="G43" s="1265"/>
      <c r="H43" s="1263"/>
      <c r="I43" s="1264"/>
      <c r="J43" s="1265"/>
      <c r="K43" s="1265"/>
      <c r="L43" s="1265"/>
      <c r="M43" s="1265"/>
      <c r="N43" s="1265"/>
      <c r="O43" s="1265"/>
      <c r="P43" s="1265"/>
    </row>
    <row r="44" ht="17.25" customHeight="1">
      <c r="A44" s="1263"/>
      <c r="B44" s="1140"/>
      <c r="C44" s="1264"/>
      <c r="D44" s="1265"/>
      <c r="E44" s="1265"/>
      <c r="F44" s="1265"/>
      <c r="G44" s="1265"/>
      <c r="H44" s="1263"/>
      <c r="I44" s="1264"/>
      <c r="J44" s="1265"/>
      <c r="K44" s="1265"/>
      <c r="L44" s="1265"/>
      <c r="M44" s="1265"/>
      <c r="N44" s="1265"/>
      <c r="O44" s="1265"/>
      <c r="P44" s="1265"/>
    </row>
    <row r="45" ht="17.25" customHeight="1">
      <c r="A45" s="1263"/>
      <c r="B45" s="1140"/>
      <c r="C45" s="1264"/>
      <c r="D45" s="1265"/>
      <c r="E45" s="1265"/>
      <c r="F45" s="1265"/>
      <c r="G45" s="1265"/>
      <c r="H45" s="1263"/>
      <c r="I45" s="1264"/>
      <c r="J45" s="1265"/>
      <c r="K45" s="1265"/>
      <c r="L45" s="1265"/>
      <c r="M45" s="1265"/>
      <c r="N45" s="1265"/>
      <c r="O45" s="1265"/>
      <c r="P45" s="1265"/>
    </row>
    <row r="46" ht="17.25" customHeight="1">
      <c r="A46" s="1263"/>
      <c r="B46" s="1140"/>
      <c r="C46" s="1264"/>
      <c r="D46" s="1265"/>
      <c r="E46" s="1265"/>
      <c r="F46" s="1265"/>
      <c r="G46" s="1265"/>
      <c r="H46" s="1263"/>
      <c r="I46" s="1264"/>
      <c r="J46" s="1265"/>
      <c r="K46" s="1265"/>
      <c r="L46" s="1265"/>
      <c r="M46" s="1265"/>
      <c r="N46" s="1265"/>
      <c r="O46" s="1265"/>
      <c r="P46" s="1265"/>
    </row>
    <row r="47" ht="17.25" customHeight="1">
      <c r="A47" s="1263"/>
      <c r="B47" s="1140"/>
      <c r="C47" s="1264"/>
      <c r="D47" s="1265"/>
      <c r="E47" s="1265"/>
      <c r="F47" s="1265"/>
      <c r="G47" s="1265"/>
      <c r="H47" s="1263"/>
      <c r="I47" s="1264"/>
      <c r="J47" s="1265"/>
      <c r="K47" s="1265"/>
      <c r="L47" s="1265"/>
      <c r="M47" s="1265"/>
      <c r="N47" s="1265"/>
      <c r="O47" s="1265"/>
      <c r="P47" s="1265"/>
    </row>
    <row r="48" ht="17.25" customHeight="1">
      <c r="A48" s="1263"/>
      <c r="B48" s="1140"/>
      <c r="C48" s="1264"/>
      <c r="D48" s="1265"/>
      <c r="E48" s="1265"/>
      <c r="F48" s="1265"/>
      <c r="G48" s="1265"/>
      <c r="H48" s="1263"/>
      <c r="I48" s="1264"/>
      <c r="J48" s="1265"/>
      <c r="K48" s="1265"/>
      <c r="L48" s="1265"/>
      <c r="M48" s="1265"/>
      <c r="N48" s="1265"/>
      <c r="O48" s="1265"/>
      <c r="P48" s="1265"/>
    </row>
    <row r="49" ht="17.25" customHeight="1">
      <c r="A49" s="1263"/>
      <c r="B49" s="1140"/>
      <c r="C49" s="1264"/>
      <c r="D49" s="1265"/>
      <c r="E49" s="1265"/>
      <c r="F49" s="1265"/>
      <c r="G49" s="1265"/>
      <c r="H49" s="1263"/>
      <c r="I49" s="1264"/>
      <c r="J49" s="1265"/>
      <c r="K49" s="1265"/>
      <c r="L49" s="1265"/>
      <c r="M49" s="1265"/>
      <c r="N49" s="1265"/>
      <c r="O49" s="1265"/>
      <c r="P49" s="1265"/>
    </row>
    <row r="50" ht="17.25" customHeight="1">
      <c r="A50" s="1263"/>
      <c r="B50" s="1140"/>
      <c r="C50" s="1264"/>
      <c r="D50" s="1265"/>
      <c r="E50" s="1265"/>
      <c r="F50" s="1265"/>
      <c r="G50" s="1265"/>
      <c r="H50" s="1263"/>
      <c r="I50" s="1264"/>
      <c r="J50" s="1265"/>
      <c r="K50" s="1265"/>
      <c r="L50" s="1265"/>
      <c r="M50" s="1265"/>
      <c r="N50" s="1265"/>
      <c r="O50" s="1265"/>
      <c r="P50" s="1265"/>
    </row>
    <row r="51" ht="17.25" customHeight="1">
      <c r="A51" s="1263"/>
      <c r="B51" s="1140"/>
      <c r="C51" s="1264"/>
      <c r="D51" s="1265"/>
      <c r="E51" s="1265"/>
      <c r="F51" s="1265"/>
      <c r="G51" s="1265"/>
      <c r="H51" s="1263"/>
      <c r="I51" s="1264"/>
      <c r="J51" s="1265"/>
      <c r="K51" s="1265"/>
      <c r="L51" s="1265"/>
      <c r="M51" s="1265"/>
      <c r="N51" s="1265"/>
      <c r="O51" s="1265"/>
      <c r="P51" s="1265"/>
    </row>
    <row r="52" ht="17.25" customHeight="1">
      <c r="A52" s="1263"/>
      <c r="B52" s="1140"/>
      <c r="C52" s="1264"/>
      <c r="D52" s="1265"/>
      <c r="E52" s="1265"/>
      <c r="F52" s="1265"/>
      <c r="G52" s="1265"/>
      <c r="H52" s="1263"/>
      <c r="I52" s="1264"/>
      <c r="J52" s="1265"/>
      <c r="K52" s="1265"/>
      <c r="L52" s="1265"/>
      <c r="M52" s="1265"/>
      <c r="N52" s="1265"/>
      <c r="O52" s="1265"/>
      <c r="P52" s="1265"/>
    </row>
    <row r="53" ht="17.25" customHeight="1">
      <c r="A53" s="1263"/>
      <c r="B53" s="1140"/>
      <c r="C53" s="1264"/>
      <c r="D53" s="1265"/>
      <c r="E53" s="1265"/>
      <c r="F53" s="1265"/>
      <c r="G53" s="1265"/>
      <c r="H53" s="1263"/>
      <c r="I53" s="1264"/>
      <c r="J53" s="1265"/>
      <c r="K53" s="1265"/>
      <c r="L53" s="1265"/>
      <c r="M53" s="1265"/>
      <c r="N53" s="1265"/>
      <c r="O53" s="1265"/>
      <c r="P53" s="1265"/>
    </row>
    <row r="54" ht="17.25" customHeight="1">
      <c r="A54" s="1263"/>
      <c r="B54" s="1140"/>
      <c r="C54" s="1264"/>
      <c r="D54" s="1265"/>
      <c r="E54" s="1265"/>
      <c r="F54" s="1265"/>
      <c r="G54" s="1265"/>
      <c r="H54" s="1263"/>
      <c r="I54" s="1264"/>
      <c r="J54" s="1265"/>
      <c r="K54" s="1265"/>
      <c r="L54" s="1265"/>
      <c r="M54" s="1265"/>
      <c r="N54" s="1265"/>
      <c r="O54" s="1265"/>
      <c r="P54" s="1265"/>
    </row>
    <row r="55" ht="17.25" customHeight="1">
      <c r="A55" s="1263"/>
      <c r="B55" s="1140"/>
      <c r="C55" s="1264"/>
      <c r="D55" s="1265"/>
      <c r="E55" s="1265"/>
      <c r="F55" s="1265"/>
      <c r="G55" s="1265"/>
      <c r="H55" s="1263"/>
      <c r="I55" s="1264"/>
      <c r="J55" s="1265"/>
      <c r="K55" s="1265"/>
      <c r="L55" s="1265"/>
      <c r="M55" s="1265"/>
      <c r="N55" s="1265"/>
      <c r="O55" s="1265"/>
      <c r="P55" s="1265"/>
    </row>
    <row r="56" ht="17.25" customHeight="1">
      <c r="A56" s="1263"/>
      <c r="B56" s="1140"/>
      <c r="C56" s="1264"/>
      <c r="D56" s="1265"/>
      <c r="E56" s="1265"/>
      <c r="F56" s="1265"/>
      <c r="G56" s="1265"/>
      <c r="H56" s="1263"/>
      <c r="I56" s="1264"/>
      <c r="J56" s="1265"/>
      <c r="K56" s="1265"/>
      <c r="L56" s="1265"/>
      <c r="M56" s="1265"/>
      <c r="N56" s="1265"/>
      <c r="O56" s="1265"/>
      <c r="P56" s="1265"/>
    </row>
    <row r="57" ht="17.25" customHeight="1">
      <c r="A57" s="1263"/>
      <c r="B57" s="1140"/>
      <c r="C57" s="1264"/>
      <c r="D57" s="1265"/>
      <c r="E57" s="1265"/>
      <c r="F57" s="1265"/>
      <c r="G57" s="1265"/>
      <c r="H57" s="1263"/>
      <c r="I57" s="1264"/>
      <c r="J57" s="1265"/>
      <c r="K57" s="1265"/>
      <c r="L57" s="1265"/>
      <c r="M57" s="1265"/>
      <c r="N57" s="1265"/>
      <c r="O57" s="1265"/>
      <c r="P57" s="1265"/>
    </row>
    <row r="58" ht="17.25" customHeight="1">
      <c r="A58" s="1263"/>
      <c r="B58" s="1140"/>
      <c r="C58" s="1264"/>
      <c r="D58" s="1265"/>
      <c r="E58" s="1265"/>
      <c r="F58" s="1265"/>
      <c r="G58" s="1265"/>
      <c r="H58" s="1263"/>
      <c r="I58" s="1264"/>
      <c r="J58" s="1265"/>
      <c r="K58" s="1265"/>
      <c r="L58" s="1265"/>
      <c r="M58" s="1265"/>
      <c r="N58" s="1265"/>
      <c r="O58" s="1265"/>
      <c r="P58" s="1265"/>
    </row>
    <row r="59" ht="17.25" customHeight="1">
      <c r="A59" s="1263"/>
      <c r="B59" s="1140"/>
      <c r="C59" s="1264"/>
      <c r="D59" s="1265"/>
      <c r="E59" s="1265"/>
      <c r="F59" s="1265"/>
      <c r="G59" s="1265"/>
      <c r="H59" s="1263"/>
      <c r="I59" s="1264"/>
      <c r="J59" s="1265"/>
      <c r="K59" s="1265"/>
      <c r="L59" s="1265"/>
      <c r="M59" s="1265"/>
      <c r="N59" s="1265"/>
      <c r="O59" s="1265"/>
      <c r="P59" s="1265"/>
    </row>
    <row r="60" ht="17.25" customHeight="1">
      <c r="A60" s="1263"/>
      <c r="B60" s="1140"/>
      <c r="C60" s="1264"/>
      <c r="D60" s="1265"/>
      <c r="E60" s="1265"/>
      <c r="F60" s="1265"/>
      <c r="G60" s="1265"/>
      <c r="H60" s="1263"/>
      <c r="I60" s="1264"/>
      <c r="J60" s="1265"/>
      <c r="K60" s="1265"/>
      <c r="L60" s="1265"/>
      <c r="M60" s="1265"/>
      <c r="N60" s="1265"/>
      <c r="O60" s="1265"/>
      <c r="P60" s="1265"/>
    </row>
    <row r="61" ht="17.25" customHeight="1">
      <c r="A61" s="1263"/>
      <c r="B61" s="1140"/>
      <c r="C61" s="1264"/>
      <c r="D61" s="1265"/>
      <c r="E61" s="1265"/>
      <c r="F61" s="1265"/>
      <c r="G61" s="1265"/>
      <c r="H61" s="1263"/>
      <c r="I61" s="1264"/>
      <c r="J61" s="1265"/>
      <c r="K61" s="1265"/>
      <c r="L61" s="1265"/>
      <c r="M61" s="1265"/>
      <c r="N61" s="1265"/>
      <c r="O61" s="1265"/>
      <c r="P61" s="1265"/>
    </row>
    <row r="62" ht="17.25" customHeight="1">
      <c r="A62" s="1263"/>
      <c r="B62" s="1140"/>
      <c r="C62" s="1264"/>
      <c r="D62" s="1265"/>
      <c r="E62" s="1265"/>
      <c r="F62" s="1265"/>
      <c r="G62" s="1265"/>
      <c r="H62" s="1263"/>
      <c r="I62" s="1264"/>
      <c r="J62" s="1265"/>
      <c r="K62" s="1265"/>
      <c r="L62" s="1265"/>
      <c r="M62" s="1265"/>
      <c r="N62" s="1265"/>
      <c r="O62" s="1265"/>
      <c r="P62" s="1265"/>
    </row>
    <row r="63" ht="17.25" customHeight="1">
      <c r="A63" s="1263"/>
      <c r="B63" s="1140"/>
      <c r="C63" s="1264"/>
      <c r="D63" s="1265"/>
      <c r="E63" s="1265"/>
      <c r="F63" s="1265"/>
      <c r="G63" s="1265"/>
      <c r="H63" s="1263"/>
      <c r="I63" s="1264"/>
      <c r="J63" s="1265"/>
      <c r="K63" s="1265"/>
      <c r="L63" s="1265"/>
      <c r="M63" s="1265"/>
      <c r="N63" s="1265"/>
      <c r="O63" s="1265"/>
      <c r="P63" s="1265"/>
    </row>
    <row r="64" ht="17.25" customHeight="1">
      <c r="A64" s="1263"/>
      <c r="B64" s="1140"/>
      <c r="C64" s="1264"/>
      <c r="D64" s="1265"/>
      <c r="E64" s="1265"/>
      <c r="F64" s="1265"/>
      <c r="G64" s="1265"/>
      <c r="H64" s="1263"/>
      <c r="I64" s="1264"/>
      <c r="J64" s="1265"/>
      <c r="K64" s="1265"/>
      <c r="L64" s="1265"/>
      <c r="M64" s="1265"/>
      <c r="N64" s="1265"/>
      <c r="O64" s="1265"/>
      <c r="P64" s="1265"/>
    </row>
    <row r="65" ht="17.25" customHeight="1">
      <c r="A65" s="1263"/>
      <c r="B65" s="1140"/>
      <c r="C65" s="1264"/>
      <c r="D65" s="1265"/>
      <c r="E65" s="1265"/>
      <c r="F65" s="1265"/>
      <c r="G65" s="1265"/>
      <c r="H65" s="1263"/>
      <c r="I65" s="1264"/>
      <c r="J65" s="1265"/>
      <c r="K65" s="1265"/>
      <c r="L65" s="1265"/>
      <c r="M65" s="1265"/>
      <c r="N65" s="1265"/>
      <c r="O65" s="1265"/>
      <c r="P65" s="1265"/>
    </row>
    <row r="66" ht="17.25" customHeight="1">
      <c r="A66" s="1263"/>
      <c r="B66" s="1140"/>
      <c r="C66" s="1264"/>
      <c r="D66" s="1265"/>
      <c r="E66" s="1265"/>
      <c r="F66" s="1265"/>
      <c r="G66" s="1265"/>
      <c r="H66" s="1263"/>
      <c r="I66" s="1264"/>
      <c r="J66" s="1265"/>
      <c r="K66" s="1265"/>
      <c r="L66" s="1265"/>
      <c r="M66" s="1265"/>
      <c r="N66" s="1265"/>
      <c r="O66" s="1265"/>
      <c r="P66" s="1265"/>
    </row>
    <row r="67" ht="17.25" customHeight="1">
      <c r="A67" s="1263"/>
      <c r="B67" s="1140"/>
      <c r="C67" s="1264"/>
      <c r="D67" s="1265"/>
      <c r="E67" s="1265"/>
      <c r="F67" s="1265"/>
      <c r="G67" s="1265"/>
      <c r="H67" s="1263"/>
      <c r="I67" s="1264"/>
      <c r="J67" s="1265"/>
      <c r="K67" s="1265"/>
      <c r="L67" s="1265"/>
      <c r="M67" s="1265"/>
      <c r="N67" s="1265"/>
      <c r="O67" s="1265"/>
      <c r="P67" s="1265"/>
    </row>
    <row r="68" ht="17.25" customHeight="1">
      <c r="A68" s="1263"/>
      <c r="B68" s="1140"/>
      <c r="C68" s="1264"/>
      <c r="D68" s="1265"/>
      <c r="E68" s="1265"/>
      <c r="F68" s="1265"/>
      <c r="G68" s="1265"/>
      <c r="H68" s="1263"/>
      <c r="I68" s="1264"/>
      <c r="J68" s="1265"/>
      <c r="K68" s="1265"/>
      <c r="L68" s="1265"/>
      <c r="M68" s="1265"/>
      <c r="N68" s="1265"/>
      <c r="O68" s="1265"/>
      <c r="P68" s="1265"/>
    </row>
    <row r="69" ht="17.25" customHeight="1">
      <c r="A69" s="1263"/>
      <c r="B69" s="1140"/>
      <c r="C69" s="1264"/>
      <c r="D69" s="1265"/>
      <c r="E69" s="1265"/>
      <c r="F69" s="1265"/>
      <c r="G69" s="1265"/>
      <c r="H69" s="1263"/>
      <c r="I69" s="1264"/>
      <c r="J69" s="1265"/>
      <c r="K69" s="1265"/>
      <c r="L69" s="1265"/>
      <c r="M69" s="1265"/>
      <c r="N69" s="1265"/>
      <c r="O69" s="1265"/>
      <c r="P69" s="1265"/>
    </row>
    <row r="70" ht="17.25" customHeight="1">
      <c r="A70" s="1263"/>
      <c r="B70" s="1140"/>
      <c r="C70" s="1264"/>
      <c r="D70" s="1265"/>
      <c r="E70" s="1265"/>
      <c r="F70" s="1265"/>
      <c r="G70" s="1265"/>
      <c r="H70" s="1263"/>
      <c r="I70" s="1264"/>
      <c r="J70" s="1265"/>
      <c r="K70" s="1265"/>
      <c r="L70" s="1265"/>
      <c r="M70" s="1265"/>
      <c r="N70" s="1265"/>
      <c r="O70" s="1265"/>
      <c r="P70" s="1265"/>
    </row>
    <row r="71" ht="17.25" customHeight="1">
      <c r="A71" s="1263"/>
      <c r="B71" s="1140"/>
      <c r="C71" s="1264"/>
      <c r="D71" s="1265"/>
      <c r="E71" s="1265"/>
      <c r="F71" s="1265"/>
      <c r="G71" s="1265"/>
      <c r="H71" s="1263"/>
      <c r="I71" s="1264"/>
      <c r="J71" s="1265"/>
      <c r="K71" s="1265"/>
      <c r="L71" s="1265"/>
      <c r="M71" s="1265"/>
      <c r="N71" s="1265"/>
      <c r="O71" s="1265"/>
      <c r="P71" s="1265"/>
    </row>
    <row r="72" ht="17.25" customHeight="1">
      <c r="A72" s="1263"/>
      <c r="B72" s="1140"/>
      <c r="C72" s="1264"/>
      <c r="D72" s="1265"/>
      <c r="E72" s="1265"/>
      <c r="F72" s="1265"/>
      <c r="G72" s="1265"/>
      <c r="H72" s="1263"/>
      <c r="I72" s="1264"/>
      <c r="J72" s="1265"/>
      <c r="K72" s="1265"/>
      <c r="L72" s="1265"/>
      <c r="M72" s="1265"/>
      <c r="N72" s="1265"/>
      <c r="O72" s="1265"/>
      <c r="P72" s="1265"/>
    </row>
    <row r="73" ht="17.25" customHeight="1">
      <c r="A73" s="1263"/>
      <c r="B73" s="1140"/>
      <c r="C73" s="1264"/>
      <c r="D73" s="1265"/>
      <c r="E73" s="1265"/>
      <c r="F73" s="1265"/>
      <c r="G73" s="1265"/>
      <c r="H73" s="1263"/>
      <c r="I73" s="1264"/>
      <c r="J73" s="1265"/>
      <c r="K73" s="1265"/>
      <c r="L73" s="1265"/>
      <c r="M73" s="1265"/>
      <c r="N73" s="1265"/>
      <c r="O73" s="1265"/>
      <c r="P73" s="1265"/>
    </row>
    <row r="74" ht="17.25" customHeight="1">
      <c r="A74" s="1263"/>
      <c r="B74" s="1140"/>
      <c r="C74" s="1264"/>
      <c r="D74" s="1265"/>
      <c r="E74" s="1265"/>
      <c r="F74" s="1265"/>
      <c r="G74" s="1265"/>
      <c r="H74" s="1263"/>
      <c r="I74" s="1264"/>
      <c r="J74" s="1265"/>
      <c r="K74" s="1265"/>
      <c r="L74" s="1265"/>
      <c r="M74" s="1265"/>
      <c r="N74" s="1265"/>
      <c r="O74" s="1265"/>
      <c r="P74" s="1265"/>
    </row>
    <row r="75" ht="17.25" customHeight="1">
      <c r="A75" s="1263"/>
      <c r="B75" s="1140"/>
      <c r="C75" s="1264"/>
      <c r="D75" s="1265"/>
      <c r="E75" s="1265"/>
      <c r="F75" s="1265"/>
      <c r="G75" s="1265"/>
      <c r="H75" s="1263"/>
      <c r="I75" s="1264"/>
      <c r="J75" s="1265"/>
      <c r="K75" s="1265"/>
      <c r="L75" s="1265"/>
      <c r="M75" s="1265"/>
      <c r="N75" s="1265"/>
      <c r="O75" s="1265"/>
      <c r="P75" s="1265"/>
    </row>
    <row r="76" ht="17.25" customHeight="1">
      <c r="A76" s="1263"/>
      <c r="B76" s="1140"/>
      <c r="C76" s="1264"/>
      <c r="D76" s="1265"/>
      <c r="E76" s="1265"/>
      <c r="F76" s="1265"/>
      <c r="G76" s="1265"/>
      <c r="H76" s="1263"/>
      <c r="I76" s="1264"/>
      <c r="J76" s="1265"/>
      <c r="K76" s="1265"/>
      <c r="L76" s="1265"/>
      <c r="M76" s="1265"/>
      <c r="N76" s="1265"/>
      <c r="O76" s="1265"/>
      <c r="P76" s="1265"/>
    </row>
    <row r="77" ht="17.25" customHeight="1">
      <c r="A77" s="1263"/>
      <c r="B77" s="1140"/>
      <c r="C77" s="1264"/>
      <c r="D77" s="1265"/>
      <c r="E77" s="1265"/>
      <c r="F77" s="1265"/>
      <c r="G77" s="1265"/>
      <c r="H77" s="1263"/>
      <c r="I77" s="1264"/>
      <c r="J77" s="1265"/>
      <c r="K77" s="1265"/>
      <c r="L77" s="1265"/>
      <c r="M77" s="1265"/>
      <c r="N77" s="1265"/>
      <c r="O77" s="1265"/>
      <c r="P77" s="1265"/>
    </row>
    <row r="78" ht="17.25" customHeight="1">
      <c r="A78" s="1263"/>
      <c r="B78" s="1140"/>
      <c r="C78" s="1264"/>
      <c r="D78" s="1265"/>
      <c r="E78" s="1265"/>
      <c r="F78" s="1265"/>
      <c r="G78" s="1265"/>
      <c r="H78" s="1263"/>
      <c r="I78" s="1264"/>
      <c r="J78" s="1265"/>
      <c r="K78" s="1265"/>
      <c r="L78" s="1265"/>
      <c r="M78" s="1265"/>
      <c r="N78" s="1265"/>
      <c r="O78" s="1265"/>
      <c r="P78" s="1265"/>
    </row>
    <row r="79" ht="17.25" customHeight="1">
      <c r="A79" s="1263"/>
      <c r="B79" s="1140"/>
      <c r="C79" s="1264"/>
      <c r="D79" s="1265"/>
      <c r="E79" s="1265"/>
      <c r="F79" s="1265"/>
      <c r="G79" s="1265"/>
      <c r="H79" s="1263"/>
      <c r="I79" s="1264"/>
      <c r="J79" s="1265"/>
      <c r="K79" s="1265"/>
      <c r="L79" s="1265"/>
      <c r="M79" s="1265"/>
      <c r="N79" s="1265"/>
      <c r="O79" s="1265"/>
      <c r="P79" s="1265"/>
    </row>
    <row r="80" ht="17.25" customHeight="1">
      <c r="A80" s="1263"/>
      <c r="B80" s="1140"/>
      <c r="C80" s="1264"/>
      <c r="D80" s="1265"/>
      <c r="E80" s="1265"/>
      <c r="F80" s="1265"/>
      <c r="G80" s="1265"/>
      <c r="H80" s="1263"/>
      <c r="I80" s="1264"/>
      <c r="J80" s="1265"/>
      <c r="K80" s="1265"/>
      <c r="L80" s="1265"/>
      <c r="M80" s="1265"/>
      <c r="N80" s="1265"/>
      <c r="O80" s="1265"/>
      <c r="P80" s="1265"/>
    </row>
    <row r="81" ht="17.25" customHeight="1">
      <c r="A81" s="1263"/>
      <c r="B81" s="1140"/>
      <c r="C81" s="1264"/>
      <c r="D81" s="1265"/>
      <c r="E81" s="1265"/>
      <c r="F81" s="1265"/>
      <c r="G81" s="1265"/>
      <c r="H81" s="1263"/>
      <c r="I81" s="1264"/>
      <c r="J81" s="1265"/>
      <c r="K81" s="1265"/>
      <c r="L81" s="1265"/>
      <c r="M81" s="1265"/>
      <c r="N81" s="1265"/>
      <c r="O81" s="1265"/>
      <c r="P81" s="1265"/>
    </row>
    <row r="82" ht="17.25" customHeight="1">
      <c r="A82" s="1263"/>
      <c r="B82" s="1140"/>
      <c r="C82" s="1264"/>
      <c r="D82" s="1265"/>
      <c r="E82" s="1265"/>
      <c r="F82" s="1265"/>
      <c r="G82" s="1265"/>
      <c r="H82" s="1263"/>
      <c r="I82" s="1264"/>
      <c r="J82" s="1265"/>
      <c r="K82" s="1265"/>
      <c r="L82" s="1265"/>
      <c r="M82" s="1265"/>
      <c r="N82" s="1265"/>
      <c r="O82" s="1265"/>
      <c r="P82" s="1265"/>
    </row>
    <row r="83" ht="17.25" customHeight="1">
      <c r="A83" s="1263"/>
      <c r="B83" s="1140"/>
      <c r="C83" s="1264"/>
      <c r="D83" s="1265"/>
      <c r="E83" s="1265"/>
      <c r="F83" s="1265"/>
      <c r="G83" s="1265"/>
      <c r="H83" s="1263"/>
      <c r="I83" s="1264"/>
      <c r="J83" s="1265"/>
      <c r="K83" s="1265"/>
      <c r="L83" s="1265"/>
      <c r="M83" s="1265"/>
      <c r="N83" s="1265"/>
      <c r="O83" s="1265"/>
      <c r="P83" s="1265"/>
    </row>
    <row r="84" ht="17.25" customHeight="1">
      <c r="A84" s="1263"/>
      <c r="B84" s="1140"/>
      <c r="C84" s="1264"/>
      <c r="D84" s="1265"/>
      <c r="E84" s="1265"/>
      <c r="F84" s="1265"/>
      <c r="G84" s="1265"/>
      <c r="H84" s="1263"/>
      <c r="I84" s="1264"/>
      <c r="J84" s="1265"/>
      <c r="K84" s="1265"/>
      <c r="L84" s="1265"/>
      <c r="M84" s="1265"/>
      <c r="N84" s="1265"/>
      <c r="O84" s="1265"/>
      <c r="P84" s="1265"/>
    </row>
    <row r="85" ht="17.25" customHeight="1">
      <c r="A85" s="1263"/>
      <c r="B85" s="1140"/>
      <c r="C85" s="1264"/>
      <c r="D85" s="1265"/>
      <c r="E85" s="1265"/>
      <c r="F85" s="1265"/>
      <c r="G85" s="1265"/>
      <c r="H85" s="1263"/>
      <c r="I85" s="1264"/>
      <c r="J85" s="1265"/>
      <c r="K85" s="1265"/>
      <c r="L85" s="1265"/>
      <c r="M85" s="1265"/>
      <c r="N85" s="1265"/>
      <c r="O85" s="1265"/>
      <c r="P85" s="1265"/>
    </row>
    <row r="86" ht="17.25" customHeight="1">
      <c r="A86" s="1263"/>
      <c r="B86" s="1140"/>
      <c r="C86" s="1264"/>
      <c r="D86" s="1265"/>
      <c r="E86" s="1265"/>
      <c r="F86" s="1265"/>
      <c r="G86" s="1265"/>
      <c r="H86" s="1263"/>
      <c r="I86" s="1264"/>
      <c r="J86" s="1265"/>
      <c r="K86" s="1265"/>
      <c r="L86" s="1265"/>
      <c r="M86" s="1265"/>
      <c r="N86" s="1265"/>
      <c r="O86" s="1265"/>
      <c r="P86" s="1265"/>
    </row>
    <row r="87" ht="17.25" customHeight="1">
      <c r="A87" s="1263"/>
      <c r="B87" s="1140"/>
      <c r="C87" s="1264"/>
      <c r="D87" s="1265"/>
      <c r="E87" s="1265"/>
      <c r="F87" s="1265"/>
      <c r="G87" s="1265"/>
      <c r="H87" s="1263"/>
      <c r="I87" s="1264"/>
      <c r="J87" s="1265"/>
      <c r="K87" s="1265"/>
      <c r="L87" s="1265"/>
      <c r="M87" s="1265"/>
      <c r="N87" s="1265"/>
      <c r="O87" s="1265"/>
      <c r="P87" s="1265"/>
    </row>
    <row r="88" ht="17.25" customHeight="1">
      <c r="A88" s="1263"/>
      <c r="B88" s="1140"/>
      <c r="C88" s="1264"/>
      <c r="D88" s="1265"/>
      <c r="E88" s="1265"/>
      <c r="F88" s="1265"/>
      <c r="G88" s="1265"/>
      <c r="H88" s="1263"/>
      <c r="I88" s="1264"/>
      <c r="J88" s="1265"/>
      <c r="K88" s="1265"/>
      <c r="L88" s="1265"/>
      <c r="M88" s="1265"/>
      <c r="N88" s="1265"/>
      <c r="O88" s="1265"/>
      <c r="P88" s="1265"/>
    </row>
    <row r="89" ht="17.25" customHeight="1">
      <c r="A89" s="1263"/>
      <c r="B89" s="1140"/>
      <c r="C89" s="1264"/>
      <c r="D89" s="1265"/>
      <c r="E89" s="1265"/>
      <c r="F89" s="1265"/>
      <c r="G89" s="1265"/>
      <c r="H89" s="1263"/>
      <c r="I89" s="1264"/>
      <c r="J89" s="1265"/>
      <c r="K89" s="1265"/>
      <c r="L89" s="1265"/>
      <c r="M89" s="1265"/>
      <c r="N89" s="1265"/>
      <c r="O89" s="1265"/>
      <c r="P89" s="1265"/>
    </row>
    <row r="90" ht="17.25" customHeight="1">
      <c r="A90" s="1263"/>
      <c r="B90" s="1140"/>
      <c r="C90" s="1264"/>
      <c r="D90" s="1265"/>
      <c r="E90" s="1265"/>
      <c r="F90" s="1265"/>
      <c r="G90" s="1265"/>
      <c r="H90" s="1263"/>
      <c r="I90" s="1264"/>
      <c r="J90" s="1265"/>
      <c r="K90" s="1265"/>
      <c r="L90" s="1265"/>
      <c r="M90" s="1265"/>
      <c r="N90" s="1265"/>
      <c r="O90" s="1265"/>
      <c r="P90" s="1265"/>
    </row>
    <row r="91" ht="17.25" customHeight="1">
      <c r="A91" s="1263"/>
      <c r="B91" s="1140"/>
      <c r="C91" s="1264"/>
      <c r="D91" s="1265"/>
      <c r="E91" s="1265"/>
      <c r="F91" s="1265"/>
      <c r="G91" s="1265"/>
      <c r="H91" s="1263"/>
      <c r="I91" s="1264"/>
      <c r="J91" s="1265"/>
      <c r="K91" s="1265"/>
      <c r="L91" s="1265"/>
      <c r="M91" s="1265"/>
      <c r="N91" s="1265"/>
      <c r="O91" s="1265"/>
      <c r="P91" s="1265"/>
    </row>
    <row r="92" ht="17.25" customHeight="1">
      <c r="A92" s="1263"/>
      <c r="B92" s="1140"/>
      <c r="C92" s="1264"/>
      <c r="D92" s="1265"/>
      <c r="E92" s="1265"/>
      <c r="F92" s="1265"/>
      <c r="G92" s="1265"/>
      <c r="H92" s="1263"/>
      <c r="I92" s="1264"/>
      <c r="J92" s="1265"/>
      <c r="K92" s="1265"/>
      <c r="L92" s="1265"/>
      <c r="M92" s="1265"/>
      <c r="N92" s="1265"/>
      <c r="O92" s="1265"/>
      <c r="P92" s="1265"/>
    </row>
    <row r="93" ht="17.25" customHeight="1">
      <c r="A93" s="1263"/>
      <c r="B93" s="1140"/>
      <c r="C93" s="1264"/>
      <c r="D93" s="1265"/>
      <c r="E93" s="1265"/>
      <c r="F93" s="1265"/>
      <c r="G93" s="1265"/>
      <c r="H93" s="1263"/>
      <c r="I93" s="1264"/>
      <c r="J93" s="1265"/>
      <c r="K93" s="1265"/>
      <c r="L93" s="1265"/>
      <c r="M93" s="1265"/>
      <c r="N93" s="1265"/>
      <c r="O93" s="1265"/>
      <c r="P93" s="1265"/>
    </row>
    <row r="94" ht="17.25" customHeight="1">
      <c r="A94" s="1263"/>
      <c r="B94" s="1140"/>
      <c r="C94" s="1264"/>
      <c r="D94" s="1265"/>
      <c r="E94" s="1265"/>
      <c r="F94" s="1265"/>
      <c r="G94" s="1265"/>
      <c r="H94" s="1263"/>
      <c r="I94" s="1264"/>
      <c r="J94" s="1265"/>
      <c r="K94" s="1265"/>
      <c r="L94" s="1265"/>
      <c r="M94" s="1265"/>
      <c r="N94" s="1265"/>
      <c r="O94" s="1265"/>
      <c r="P94" s="1265"/>
    </row>
    <row r="95" ht="17.25" customHeight="1">
      <c r="A95" s="1263"/>
      <c r="B95" s="1140"/>
      <c r="C95" s="1264"/>
      <c r="D95" s="1265"/>
      <c r="E95" s="1265"/>
      <c r="F95" s="1265"/>
      <c r="G95" s="1265"/>
      <c r="H95" s="1263"/>
      <c r="I95" s="1264"/>
      <c r="J95" s="1265"/>
      <c r="K95" s="1265"/>
      <c r="L95" s="1265"/>
      <c r="M95" s="1265"/>
      <c r="N95" s="1265"/>
      <c r="O95" s="1265"/>
      <c r="P95" s="1265"/>
    </row>
    <row r="96" ht="17.25" customHeight="1">
      <c r="A96" s="1263"/>
      <c r="B96" s="1140"/>
      <c r="C96" s="1264"/>
      <c r="D96" s="1265"/>
      <c r="E96" s="1265"/>
      <c r="F96" s="1265"/>
      <c r="G96" s="1265"/>
      <c r="H96" s="1263"/>
      <c r="I96" s="1264"/>
      <c r="J96" s="1265"/>
      <c r="K96" s="1265"/>
      <c r="L96" s="1265"/>
      <c r="M96" s="1265"/>
      <c r="N96" s="1265"/>
      <c r="O96" s="1265"/>
      <c r="P96" s="1265"/>
    </row>
    <row r="97" ht="17.25" customHeight="1">
      <c r="A97" s="1263"/>
      <c r="B97" s="1140"/>
      <c r="C97" s="1264"/>
      <c r="D97" s="1265"/>
      <c r="E97" s="1265"/>
      <c r="F97" s="1265"/>
      <c r="G97" s="1265"/>
      <c r="H97" s="1263"/>
      <c r="I97" s="1264"/>
      <c r="J97" s="1265"/>
      <c r="K97" s="1265"/>
      <c r="L97" s="1265"/>
      <c r="M97" s="1265"/>
      <c r="N97" s="1265"/>
      <c r="O97" s="1265"/>
      <c r="P97" s="1265"/>
    </row>
    <row r="98" ht="17.25" customHeight="1">
      <c r="A98" s="1263"/>
      <c r="B98" s="1140"/>
      <c r="C98" s="1264"/>
      <c r="D98" s="1265"/>
      <c r="E98" s="1265"/>
      <c r="F98" s="1265"/>
      <c r="G98" s="1265"/>
      <c r="H98" s="1263"/>
      <c r="I98" s="1264"/>
      <c r="J98" s="1265"/>
      <c r="K98" s="1265"/>
      <c r="L98" s="1265"/>
      <c r="M98" s="1265"/>
      <c r="N98" s="1265"/>
      <c r="O98" s="1265"/>
      <c r="P98" s="1265"/>
    </row>
    <row r="99" ht="17.25" customHeight="1">
      <c r="A99" s="1263"/>
      <c r="B99" s="1140"/>
      <c r="C99" s="1264"/>
      <c r="D99" s="1265"/>
      <c r="E99" s="1265"/>
      <c r="F99" s="1265"/>
      <c r="G99" s="1265"/>
      <c r="H99" s="1263"/>
      <c r="I99" s="1264"/>
      <c r="J99" s="1265"/>
      <c r="K99" s="1265"/>
      <c r="L99" s="1265"/>
      <c r="M99" s="1265"/>
      <c r="N99" s="1265"/>
      <c r="O99" s="1265"/>
      <c r="P99" s="1265"/>
    </row>
    <row r="100" ht="17.25" customHeight="1">
      <c r="A100" s="1263"/>
      <c r="B100" s="1140"/>
      <c r="C100" s="1264"/>
      <c r="D100" s="1265"/>
      <c r="E100" s="1265"/>
      <c r="F100" s="1265"/>
      <c r="G100" s="1265"/>
      <c r="H100" s="1263"/>
      <c r="I100" s="1264"/>
      <c r="J100" s="1265"/>
      <c r="K100" s="1265"/>
      <c r="L100" s="1265"/>
      <c r="M100" s="1265"/>
      <c r="N100" s="1265"/>
      <c r="O100" s="1265"/>
      <c r="P100" s="1265"/>
    </row>
    <row r="101" ht="17.25" customHeight="1">
      <c r="A101" s="1263"/>
      <c r="B101" s="1140"/>
      <c r="C101" s="1264"/>
      <c r="D101" s="1265"/>
      <c r="E101" s="1265"/>
      <c r="F101" s="1265"/>
      <c r="G101" s="1265"/>
      <c r="H101" s="1263"/>
      <c r="I101" s="1264"/>
      <c r="J101" s="1265"/>
      <c r="K101" s="1265"/>
      <c r="L101" s="1265"/>
      <c r="M101" s="1265"/>
      <c r="N101" s="1265"/>
      <c r="O101" s="1265"/>
      <c r="P101" s="1265"/>
    </row>
    <row r="102" ht="17.25" customHeight="1">
      <c r="A102" s="1263"/>
      <c r="B102" s="1140"/>
      <c r="C102" s="1264"/>
      <c r="D102" s="1265"/>
      <c r="E102" s="1265"/>
      <c r="F102" s="1265"/>
      <c r="G102" s="1265"/>
      <c r="H102" s="1263"/>
      <c r="I102" s="1264"/>
      <c r="J102" s="1265"/>
      <c r="K102" s="1265"/>
      <c r="L102" s="1265"/>
      <c r="M102" s="1265"/>
      <c r="N102" s="1265"/>
      <c r="O102" s="1265"/>
      <c r="P102" s="1265"/>
    </row>
    <row r="103" ht="17.25" customHeight="1">
      <c r="A103" s="1263"/>
      <c r="B103" s="1140"/>
      <c r="C103" s="1264"/>
      <c r="D103" s="1265"/>
      <c r="E103" s="1265"/>
      <c r="F103" s="1265"/>
      <c r="G103" s="1265"/>
      <c r="H103" s="1263"/>
      <c r="I103" s="1264"/>
      <c r="J103" s="1265"/>
      <c r="K103" s="1265"/>
      <c r="L103" s="1265"/>
      <c r="M103" s="1265"/>
      <c r="N103" s="1265"/>
      <c r="O103" s="1265"/>
      <c r="P103" s="1265"/>
    </row>
    <row r="104" ht="17.25" customHeight="1">
      <c r="A104" s="1263"/>
      <c r="B104" s="1140"/>
      <c r="C104" s="1264"/>
      <c r="D104" s="1265"/>
      <c r="E104" s="1265"/>
      <c r="F104" s="1265"/>
      <c r="G104" s="1265"/>
      <c r="H104" s="1263"/>
      <c r="I104" s="1264"/>
      <c r="J104" s="1265"/>
      <c r="K104" s="1265"/>
      <c r="L104" s="1265"/>
      <c r="M104" s="1265"/>
      <c r="N104" s="1265"/>
      <c r="O104" s="1265"/>
      <c r="P104" s="1265"/>
    </row>
    <row r="105" ht="17.25" customHeight="1">
      <c r="A105" s="1263"/>
      <c r="B105" s="1140"/>
      <c r="C105" s="1264"/>
      <c r="D105" s="1265"/>
      <c r="E105" s="1265"/>
      <c r="F105" s="1265"/>
      <c r="G105" s="1265"/>
      <c r="H105" s="1263"/>
      <c r="I105" s="1264"/>
      <c r="J105" s="1265"/>
      <c r="K105" s="1265"/>
      <c r="L105" s="1265"/>
      <c r="M105" s="1265"/>
      <c r="N105" s="1265"/>
      <c r="O105" s="1265"/>
      <c r="P105" s="1265"/>
    </row>
    <row r="106" ht="17.25" customHeight="1">
      <c r="A106" s="1263"/>
      <c r="B106" s="1140"/>
      <c r="C106" s="1264"/>
      <c r="D106" s="1265"/>
      <c r="E106" s="1265"/>
      <c r="F106" s="1265"/>
      <c r="G106" s="1265"/>
      <c r="H106" s="1263"/>
      <c r="I106" s="1264"/>
      <c r="J106" s="1265"/>
      <c r="K106" s="1265"/>
      <c r="L106" s="1265"/>
      <c r="M106" s="1265"/>
      <c r="N106" s="1265"/>
      <c r="O106" s="1265"/>
      <c r="P106" s="1265"/>
    </row>
    <row r="107" ht="17.25" customHeight="1">
      <c r="A107" s="1263"/>
      <c r="B107" s="1140"/>
      <c r="C107" s="1264"/>
      <c r="D107" s="1265"/>
      <c r="E107" s="1265"/>
      <c r="F107" s="1265"/>
      <c r="G107" s="1265"/>
      <c r="H107" s="1263"/>
      <c r="I107" s="1264"/>
      <c r="J107" s="1265"/>
      <c r="K107" s="1265"/>
      <c r="L107" s="1265"/>
      <c r="M107" s="1265"/>
      <c r="N107" s="1265"/>
      <c r="O107" s="1265"/>
      <c r="P107" s="1265"/>
    </row>
    <row r="108" ht="17.25" customHeight="1">
      <c r="A108" s="1263"/>
      <c r="B108" s="1140"/>
      <c r="C108" s="1264"/>
      <c r="D108" s="1265"/>
      <c r="E108" s="1265"/>
      <c r="F108" s="1265"/>
      <c r="G108" s="1265"/>
      <c r="H108" s="1263"/>
      <c r="I108" s="1264"/>
      <c r="J108" s="1265"/>
      <c r="K108" s="1265"/>
      <c r="L108" s="1265"/>
      <c r="M108" s="1265"/>
      <c r="N108" s="1265"/>
      <c r="O108" s="1265"/>
      <c r="P108" s="1265"/>
    </row>
    <row r="109" ht="17.25" customHeight="1">
      <c r="A109" s="1263"/>
      <c r="B109" s="1140"/>
      <c r="C109" s="1264"/>
      <c r="D109" s="1265"/>
      <c r="E109" s="1265"/>
      <c r="F109" s="1265"/>
      <c r="G109" s="1265"/>
      <c r="H109" s="1263"/>
      <c r="I109" s="1264"/>
      <c r="J109" s="1265"/>
      <c r="K109" s="1265"/>
      <c r="L109" s="1265"/>
      <c r="M109" s="1265"/>
      <c r="N109" s="1265"/>
      <c r="O109" s="1265"/>
      <c r="P109" s="1265"/>
    </row>
    <row r="110" ht="17.25" customHeight="1">
      <c r="A110" s="1263"/>
      <c r="B110" s="1140"/>
      <c r="C110" s="1264"/>
      <c r="D110" s="1265"/>
      <c r="E110" s="1265"/>
      <c r="F110" s="1265"/>
      <c r="G110" s="1265"/>
      <c r="H110" s="1263"/>
      <c r="I110" s="1264"/>
      <c r="J110" s="1265"/>
      <c r="K110" s="1265"/>
      <c r="L110" s="1265"/>
      <c r="M110" s="1265"/>
      <c r="N110" s="1265"/>
      <c r="O110" s="1265"/>
      <c r="P110" s="1265"/>
    </row>
    <row r="111" ht="17.25" customHeight="1">
      <c r="A111" s="1263"/>
      <c r="B111" s="1140"/>
      <c r="C111" s="1264"/>
      <c r="D111" s="1265"/>
      <c r="E111" s="1265"/>
      <c r="F111" s="1265"/>
      <c r="G111" s="1265"/>
      <c r="H111" s="1263"/>
      <c r="I111" s="1264"/>
      <c r="J111" s="1265"/>
      <c r="K111" s="1265"/>
      <c r="L111" s="1265"/>
      <c r="M111" s="1265"/>
      <c r="N111" s="1265"/>
      <c r="O111" s="1265"/>
      <c r="P111" s="1265"/>
    </row>
    <row r="112" ht="17.25" customHeight="1">
      <c r="A112" s="1263"/>
      <c r="B112" s="1140"/>
      <c r="C112" s="1264"/>
      <c r="D112" s="1265"/>
      <c r="E112" s="1265"/>
      <c r="F112" s="1265"/>
      <c r="G112" s="1265"/>
      <c r="H112" s="1263"/>
      <c r="I112" s="1264"/>
      <c r="J112" s="1265"/>
      <c r="K112" s="1265"/>
      <c r="L112" s="1265"/>
      <c r="M112" s="1265"/>
      <c r="N112" s="1265"/>
      <c r="O112" s="1265"/>
      <c r="P112" s="1265"/>
    </row>
    <row r="113" ht="17.25" customHeight="1">
      <c r="A113" s="1263"/>
      <c r="B113" s="1140"/>
      <c r="C113" s="1264"/>
      <c r="D113" s="1265"/>
      <c r="E113" s="1265"/>
      <c r="F113" s="1265"/>
      <c r="G113" s="1265"/>
      <c r="H113" s="1263"/>
      <c r="I113" s="1264"/>
      <c r="J113" s="1265"/>
      <c r="K113" s="1265"/>
      <c r="L113" s="1265"/>
      <c r="M113" s="1265"/>
      <c r="N113" s="1265"/>
      <c r="O113" s="1265"/>
      <c r="P113" s="1265"/>
    </row>
    <row r="114" ht="17.25" customHeight="1">
      <c r="A114" s="1263"/>
      <c r="B114" s="1140"/>
      <c r="C114" s="1264"/>
      <c r="D114" s="1265"/>
      <c r="E114" s="1265"/>
      <c r="F114" s="1265"/>
      <c r="G114" s="1265"/>
      <c r="H114" s="1263"/>
      <c r="I114" s="1264"/>
      <c r="J114" s="1265"/>
      <c r="K114" s="1265"/>
      <c r="L114" s="1265"/>
      <c r="M114" s="1265"/>
      <c r="N114" s="1265"/>
      <c r="O114" s="1265"/>
      <c r="P114" s="1265"/>
    </row>
    <row r="115" ht="17.25" customHeight="1">
      <c r="A115" s="1263"/>
      <c r="B115" s="1140"/>
      <c r="C115" s="1264"/>
      <c r="D115" s="1265"/>
      <c r="E115" s="1265"/>
      <c r="F115" s="1265"/>
      <c r="G115" s="1265"/>
      <c r="H115" s="1263"/>
      <c r="I115" s="1264"/>
      <c r="J115" s="1265"/>
      <c r="K115" s="1265"/>
      <c r="L115" s="1265"/>
      <c r="M115" s="1265"/>
      <c r="N115" s="1265"/>
      <c r="O115" s="1265"/>
      <c r="P115" s="1265"/>
    </row>
    <row r="116" ht="17.25" customHeight="1">
      <c r="A116" s="1263"/>
      <c r="B116" s="1140"/>
      <c r="C116" s="1264"/>
      <c r="D116" s="1265"/>
      <c r="E116" s="1265"/>
      <c r="F116" s="1265"/>
      <c r="G116" s="1265"/>
      <c r="H116" s="1263"/>
      <c r="I116" s="1264"/>
      <c r="J116" s="1265"/>
      <c r="K116" s="1265"/>
      <c r="L116" s="1265"/>
      <c r="M116" s="1265"/>
      <c r="N116" s="1265"/>
      <c r="O116" s="1265"/>
      <c r="P116" s="1265"/>
    </row>
    <row r="117" ht="17.25" customHeight="1">
      <c r="A117" s="1263"/>
      <c r="B117" s="1140"/>
      <c r="C117" s="1264"/>
      <c r="D117" s="1265"/>
      <c r="E117" s="1265"/>
      <c r="F117" s="1265"/>
      <c r="G117" s="1265"/>
      <c r="H117" s="1263"/>
      <c r="I117" s="1264"/>
      <c r="J117" s="1265"/>
      <c r="K117" s="1265"/>
      <c r="L117" s="1265"/>
      <c r="M117" s="1265"/>
      <c r="N117" s="1265"/>
      <c r="O117" s="1265"/>
      <c r="P117" s="1265"/>
    </row>
    <row r="118" ht="17.25" customHeight="1">
      <c r="A118" s="1263"/>
      <c r="B118" s="1140"/>
      <c r="C118" s="1264"/>
      <c r="D118" s="1265"/>
      <c r="E118" s="1265"/>
      <c r="F118" s="1265"/>
      <c r="G118" s="1265"/>
      <c r="H118" s="1263"/>
      <c r="I118" s="1264"/>
      <c r="J118" s="1265"/>
      <c r="K118" s="1265"/>
      <c r="L118" s="1265"/>
      <c r="M118" s="1265"/>
      <c r="N118" s="1265"/>
      <c r="O118" s="1265"/>
      <c r="P118" s="1265"/>
    </row>
    <row r="119" ht="17.25" customHeight="1">
      <c r="A119" s="1263"/>
      <c r="B119" s="1140"/>
      <c r="C119" s="1264"/>
      <c r="D119" s="1265"/>
      <c r="E119" s="1265"/>
      <c r="F119" s="1265"/>
      <c r="G119" s="1265"/>
      <c r="H119" s="1263"/>
      <c r="I119" s="1264"/>
      <c r="J119" s="1265"/>
      <c r="K119" s="1265"/>
      <c r="L119" s="1265"/>
      <c r="M119" s="1265"/>
      <c r="N119" s="1265"/>
      <c r="O119" s="1265"/>
      <c r="P119" s="1265"/>
    </row>
    <row r="120" ht="17.25" customHeight="1">
      <c r="A120" s="1263"/>
      <c r="B120" s="1140"/>
      <c r="C120" s="1264"/>
      <c r="D120" s="1265"/>
      <c r="E120" s="1265"/>
      <c r="F120" s="1265"/>
      <c r="G120" s="1265"/>
      <c r="H120" s="1263"/>
      <c r="I120" s="1264"/>
      <c r="J120" s="1265"/>
      <c r="K120" s="1265"/>
      <c r="L120" s="1265"/>
      <c r="M120" s="1265"/>
      <c r="N120" s="1265"/>
      <c r="O120" s="1265"/>
      <c r="P120" s="1265"/>
    </row>
    <row r="121" ht="17.25" customHeight="1">
      <c r="A121" s="1263"/>
      <c r="B121" s="1140"/>
      <c r="C121" s="1264"/>
      <c r="D121" s="1265"/>
      <c r="E121" s="1265"/>
      <c r="F121" s="1265"/>
      <c r="G121" s="1265"/>
      <c r="H121" s="1263"/>
      <c r="I121" s="1264"/>
      <c r="J121" s="1265"/>
      <c r="K121" s="1265"/>
      <c r="L121" s="1265"/>
      <c r="M121" s="1265"/>
      <c r="N121" s="1265"/>
      <c r="O121" s="1265"/>
      <c r="P121" s="1265"/>
    </row>
    <row r="122" ht="17.25" customHeight="1">
      <c r="A122" s="1263"/>
      <c r="B122" s="1140"/>
      <c r="C122" s="1264"/>
      <c r="D122" s="1265"/>
      <c r="E122" s="1265"/>
      <c r="F122" s="1265"/>
      <c r="G122" s="1265"/>
      <c r="H122" s="1263"/>
      <c r="I122" s="1264"/>
      <c r="J122" s="1265"/>
      <c r="K122" s="1265"/>
      <c r="L122" s="1265"/>
      <c r="M122" s="1265"/>
      <c r="N122" s="1265"/>
      <c r="O122" s="1265"/>
      <c r="P122" s="1265"/>
    </row>
    <row r="123" ht="17.25" customHeight="1">
      <c r="A123" s="1263"/>
      <c r="B123" s="1140"/>
      <c r="C123" s="1264"/>
      <c r="D123" s="1265"/>
      <c r="E123" s="1265"/>
      <c r="F123" s="1265"/>
      <c r="G123" s="1265"/>
      <c r="H123" s="1263"/>
      <c r="I123" s="1264"/>
      <c r="J123" s="1265"/>
      <c r="K123" s="1265"/>
      <c r="L123" s="1265"/>
      <c r="M123" s="1265"/>
      <c r="N123" s="1265"/>
      <c r="O123" s="1265"/>
      <c r="P123" s="1265"/>
    </row>
    <row r="124" ht="17.25" customHeight="1">
      <c r="A124" s="1263"/>
      <c r="B124" s="1140"/>
      <c r="C124" s="1264"/>
      <c r="D124" s="1265"/>
      <c r="E124" s="1265"/>
      <c r="F124" s="1265"/>
      <c r="G124" s="1265"/>
      <c r="H124" s="1263"/>
      <c r="I124" s="1264"/>
      <c r="J124" s="1265"/>
      <c r="K124" s="1265"/>
      <c r="L124" s="1265"/>
      <c r="M124" s="1265"/>
      <c r="N124" s="1265"/>
      <c r="O124" s="1265"/>
      <c r="P124" s="1265"/>
    </row>
    <row r="125" ht="17.25" customHeight="1">
      <c r="A125" s="1263"/>
      <c r="B125" s="1140"/>
      <c r="C125" s="1264"/>
      <c r="D125" s="1265"/>
      <c r="E125" s="1265"/>
      <c r="F125" s="1265"/>
      <c r="G125" s="1265"/>
      <c r="H125" s="1263"/>
      <c r="I125" s="1264"/>
      <c r="J125" s="1265"/>
      <c r="K125" s="1265"/>
      <c r="L125" s="1265"/>
      <c r="M125" s="1265"/>
      <c r="N125" s="1265"/>
      <c r="O125" s="1265"/>
      <c r="P125" s="1265"/>
    </row>
    <row r="126" ht="17.25" customHeight="1">
      <c r="A126" s="1263"/>
      <c r="B126" s="1140"/>
      <c r="C126" s="1264"/>
      <c r="D126" s="1265"/>
      <c r="E126" s="1265"/>
      <c r="F126" s="1265"/>
      <c r="G126" s="1265"/>
      <c r="H126" s="1263"/>
      <c r="I126" s="1264"/>
      <c r="J126" s="1265"/>
      <c r="K126" s="1265"/>
      <c r="L126" s="1265"/>
      <c r="M126" s="1265"/>
      <c r="N126" s="1265"/>
      <c r="O126" s="1265"/>
      <c r="P126" s="1265"/>
    </row>
    <row r="127" ht="17.25" customHeight="1">
      <c r="A127" s="1263"/>
      <c r="B127" s="1140"/>
      <c r="C127" s="1264"/>
      <c r="D127" s="1265"/>
      <c r="E127" s="1265"/>
      <c r="F127" s="1265"/>
      <c r="G127" s="1265"/>
      <c r="H127" s="1263"/>
      <c r="I127" s="1264"/>
      <c r="J127" s="1265"/>
      <c r="K127" s="1265"/>
      <c r="L127" s="1265"/>
      <c r="M127" s="1265"/>
      <c r="N127" s="1265"/>
      <c r="O127" s="1265"/>
      <c r="P127" s="1265"/>
    </row>
    <row r="128" ht="17.25" customHeight="1">
      <c r="A128" s="1263"/>
      <c r="B128" s="1140"/>
      <c r="C128" s="1264"/>
      <c r="D128" s="1265"/>
      <c r="E128" s="1265"/>
      <c r="F128" s="1265"/>
      <c r="G128" s="1265"/>
      <c r="H128" s="1263"/>
      <c r="I128" s="1264"/>
      <c r="J128" s="1265"/>
      <c r="K128" s="1265"/>
      <c r="L128" s="1265"/>
      <c r="M128" s="1265"/>
      <c r="N128" s="1265"/>
      <c r="O128" s="1265"/>
      <c r="P128" s="1265"/>
    </row>
    <row r="129" ht="17.25" customHeight="1">
      <c r="A129" s="1263"/>
      <c r="B129" s="1140"/>
      <c r="C129" s="1264"/>
      <c r="D129" s="1265"/>
      <c r="E129" s="1265"/>
      <c r="F129" s="1265"/>
      <c r="G129" s="1265"/>
      <c r="H129" s="1263"/>
      <c r="I129" s="1264"/>
      <c r="J129" s="1265"/>
      <c r="K129" s="1265"/>
      <c r="L129" s="1265"/>
      <c r="M129" s="1265"/>
      <c r="N129" s="1265"/>
      <c r="O129" s="1265"/>
      <c r="P129" s="1265"/>
    </row>
    <row r="130" ht="17.25" customHeight="1">
      <c r="A130" s="1263"/>
      <c r="B130" s="1140"/>
      <c r="C130" s="1264"/>
      <c r="D130" s="1265"/>
      <c r="E130" s="1265"/>
      <c r="F130" s="1265"/>
      <c r="G130" s="1265"/>
      <c r="H130" s="1263"/>
      <c r="I130" s="1264"/>
      <c r="J130" s="1265"/>
      <c r="K130" s="1265"/>
      <c r="L130" s="1265"/>
      <c r="M130" s="1265"/>
      <c r="N130" s="1265"/>
      <c r="O130" s="1265"/>
      <c r="P130" s="1265"/>
    </row>
    <row r="131" ht="17.25" customHeight="1">
      <c r="A131" s="1263"/>
      <c r="B131" s="1140"/>
      <c r="C131" s="1264"/>
      <c r="D131" s="1265"/>
      <c r="E131" s="1265"/>
      <c r="F131" s="1265"/>
      <c r="G131" s="1265"/>
      <c r="H131" s="1263"/>
      <c r="I131" s="1264"/>
      <c r="J131" s="1265"/>
      <c r="K131" s="1265"/>
      <c r="L131" s="1265"/>
      <c r="M131" s="1265"/>
      <c r="N131" s="1265"/>
      <c r="O131" s="1265"/>
      <c r="P131" s="1265"/>
    </row>
    <row r="132" ht="17.25" customHeight="1">
      <c r="A132" s="1263"/>
      <c r="B132" s="1140"/>
      <c r="C132" s="1264"/>
      <c r="D132" s="1265"/>
      <c r="E132" s="1265"/>
      <c r="F132" s="1265"/>
      <c r="G132" s="1265"/>
      <c r="H132" s="1263"/>
      <c r="I132" s="1264"/>
      <c r="J132" s="1265"/>
      <c r="K132" s="1265"/>
      <c r="L132" s="1265"/>
      <c r="M132" s="1265"/>
      <c r="N132" s="1265"/>
      <c r="O132" s="1265"/>
      <c r="P132" s="1265"/>
    </row>
    <row r="133" ht="17.25" customHeight="1">
      <c r="A133" s="1263"/>
      <c r="B133" s="1140"/>
      <c r="C133" s="1264"/>
      <c r="D133" s="1265"/>
      <c r="E133" s="1265"/>
      <c r="F133" s="1265"/>
      <c r="G133" s="1265"/>
      <c r="H133" s="1263"/>
      <c r="I133" s="1264"/>
      <c r="J133" s="1265"/>
      <c r="K133" s="1265"/>
      <c r="L133" s="1265"/>
      <c r="M133" s="1265"/>
      <c r="N133" s="1265"/>
      <c r="O133" s="1265"/>
      <c r="P133" s="1265"/>
    </row>
    <row r="134" ht="17.25" customHeight="1">
      <c r="A134" s="1263"/>
      <c r="B134" s="1140"/>
      <c r="C134" s="1264"/>
      <c r="D134" s="1265"/>
      <c r="E134" s="1265"/>
      <c r="F134" s="1265"/>
      <c r="G134" s="1265"/>
      <c r="H134" s="1263"/>
      <c r="I134" s="1264"/>
      <c r="J134" s="1265"/>
      <c r="K134" s="1265"/>
      <c r="L134" s="1265"/>
      <c r="M134" s="1265"/>
      <c r="N134" s="1265"/>
      <c r="O134" s="1265"/>
      <c r="P134" s="1265"/>
    </row>
    <row r="135" ht="17.25" customHeight="1">
      <c r="A135" s="1263"/>
      <c r="B135" s="1140"/>
      <c r="C135" s="1264"/>
      <c r="D135" s="1265"/>
      <c r="E135" s="1265"/>
      <c r="F135" s="1265"/>
      <c r="G135" s="1265"/>
      <c r="H135" s="1263"/>
      <c r="I135" s="1264"/>
      <c r="J135" s="1265"/>
      <c r="K135" s="1265"/>
      <c r="L135" s="1265"/>
      <c r="M135" s="1265"/>
      <c r="N135" s="1265"/>
      <c r="O135" s="1265"/>
      <c r="P135" s="1265"/>
    </row>
    <row r="136" ht="17.25" customHeight="1">
      <c r="A136" s="1263"/>
      <c r="B136" s="1140"/>
      <c r="C136" s="1264"/>
      <c r="D136" s="1265"/>
      <c r="E136" s="1265"/>
      <c r="F136" s="1265"/>
      <c r="G136" s="1265"/>
      <c r="H136" s="1263"/>
      <c r="I136" s="1264"/>
      <c r="J136" s="1265"/>
      <c r="K136" s="1265"/>
      <c r="L136" s="1265"/>
      <c r="M136" s="1265"/>
      <c r="N136" s="1265"/>
      <c r="O136" s="1265"/>
      <c r="P136" s="1265"/>
    </row>
    <row r="137" ht="17.25" customHeight="1">
      <c r="A137" s="1263"/>
      <c r="B137" s="1140"/>
      <c r="C137" s="1264"/>
      <c r="D137" s="1265"/>
      <c r="E137" s="1265"/>
      <c r="F137" s="1265"/>
      <c r="G137" s="1265"/>
      <c r="H137" s="1263"/>
      <c r="I137" s="1264"/>
      <c r="J137" s="1265"/>
      <c r="K137" s="1265"/>
      <c r="L137" s="1265"/>
      <c r="M137" s="1265"/>
      <c r="N137" s="1265"/>
      <c r="O137" s="1265"/>
      <c r="P137" s="1265"/>
    </row>
    <row r="138" ht="17.25" customHeight="1">
      <c r="A138" s="1263"/>
      <c r="B138" s="1140"/>
      <c r="C138" s="1264"/>
      <c r="D138" s="1265"/>
      <c r="E138" s="1265"/>
      <c r="F138" s="1265"/>
      <c r="G138" s="1265"/>
      <c r="H138" s="1263"/>
      <c r="I138" s="1264"/>
      <c r="J138" s="1265"/>
      <c r="K138" s="1265"/>
      <c r="L138" s="1265"/>
      <c r="M138" s="1265"/>
      <c r="N138" s="1265"/>
      <c r="O138" s="1265"/>
      <c r="P138" s="1265"/>
    </row>
    <row r="139" ht="17.25" customHeight="1">
      <c r="A139" s="1263"/>
      <c r="B139" s="1140"/>
      <c r="C139" s="1264"/>
      <c r="D139" s="1265"/>
      <c r="E139" s="1265"/>
      <c r="F139" s="1265"/>
      <c r="G139" s="1265"/>
      <c r="H139" s="1263"/>
      <c r="I139" s="1264"/>
      <c r="J139" s="1265"/>
      <c r="K139" s="1265"/>
      <c r="L139" s="1265"/>
      <c r="M139" s="1265"/>
      <c r="N139" s="1265"/>
      <c r="O139" s="1265"/>
      <c r="P139" s="1265"/>
    </row>
    <row r="140" ht="17.25" customHeight="1">
      <c r="A140" s="1263"/>
      <c r="B140" s="1140"/>
      <c r="C140" s="1264"/>
      <c r="D140" s="1265"/>
      <c r="E140" s="1265"/>
      <c r="F140" s="1265"/>
      <c r="G140" s="1265"/>
      <c r="H140" s="1263"/>
      <c r="I140" s="1264"/>
      <c r="J140" s="1265"/>
      <c r="K140" s="1265"/>
      <c r="L140" s="1265"/>
      <c r="M140" s="1265"/>
      <c r="N140" s="1265"/>
      <c r="O140" s="1265"/>
      <c r="P140" s="1265"/>
    </row>
    <row r="141" ht="17.25" customHeight="1">
      <c r="A141" s="1263"/>
      <c r="B141" s="1140"/>
      <c r="C141" s="1264"/>
      <c r="D141" s="1265"/>
      <c r="E141" s="1265"/>
      <c r="F141" s="1265"/>
      <c r="G141" s="1265"/>
      <c r="H141" s="1263"/>
      <c r="I141" s="1264"/>
      <c r="J141" s="1265"/>
      <c r="K141" s="1265"/>
      <c r="L141" s="1265"/>
      <c r="M141" s="1265"/>
      <c r="N141" s="1265"/>
      <c r="O141" s="1265"/>
      <c r="P141" s="1265"/>
    </row>
    <row r="142" ht="17.25" customHeight="1">
      <c r="A142" s="1263"/>
      <c r="B142" s="1140"/>
      <c r="C142" s="1264"/>
      <c r="D142" s="1265"/>
      <c r="E142" s="1265"/>
      <c r="F142" s="1265"/>
      <c r="G142" s="1265"/>
      <c r="H142" s="1263"/>
      <c r="I142" s="1264"/>
      <c r="J142" s="1265"/>
      <c r="K142" s="1265"/>
      <c r="L142" s="1265"/>
      <c r="M142" s="1265"/>
      <c r="N142" s="1265"/>
      <c r="O142" s="1265"/>
      <c r="P142" s="1265"/>
    </row>
    <row r="143" ht="17.25" customHeight="1">
      <c r="A143" s="1263"/>
      <c r="B143" s="1140"/>
      <c r="C143" s="1264"/>
      <c r="D143" s="1265"/>
      <c r="E143" s="1265"/>
      <c r="F143" s="1265"/>
      <c r="G143" s="1265"/>
      <c r="H143" s="1263"/>
      <c r="I143" s="1264"/>
      <c r="J143" s="1265"/>
      <c r="K143" s="1265"/>
      <c r="L143" s="1265"/>
      <c r="M143" s="1265"/>
      <c r="N143" s="1265"/>
      <c r="O143" s="1265"/>
      <c r="P143" s="1265"/>
    </row>
    <row r="144" ht="17.25" customHeight="1">
      <c r="A144" s="1263"/>
      <c r="B144" s="1140"/>
      <c r="C144" s="1264"/>
      <c r="D144" s="1265"/>
      <c r="E144" s="1265"/>
      <c r="F144" s="1265"/>
      <c r="G144" s="1265"/>
      <c r="H144" s="1263"/>
      <c r="I144" s="1264"/>
      <c r="J144" s="1265"/>
      <c r="K144" s="1265"/>
      <c r="L144" s="1265"/>
      <c r="M144" s="1265"/>
      <c r="N144" s="1265"/>
      <c r="O144" s="1265"/>
      <c r="P144" s="1265"/>
    </row>
    <row r="145" ht="17.25" customHeight="1">
      <c r="A145" s="1263"/>
      <c r="B145" s="1140"/>
      <c r="C145" s="1264"/>
      <c r="D145" s="1265"/>
      <c r="E145" s="1265"/>
      <c r="F145" s="1265"/>
      <c r="G145" s="1265"/>
      <c r="H145" s="1263"/>
      <c r="I145" s="1264"/>
      <c r="J145" s="1265"/>
      <c r="K145" s="1265"/>
      <c r="L145" s="1265"/>
      <c r="M145" s="1265"/>
      <c r="N145" s="1265"/>
      <c r="O145" s="1265"/>
      <c r="P145" s="1265"/>
    </row>
    <row r="146" ht="17.25" customHeight="1">
      <c r="A146" s="1263"/>
      <c r="B146" s="1140"/>
      <c r="C146" s="1264"/>
      <c r="D146" s="1265"/>
      <c r="E146" s="1265"/>
      <c r="F146" s="1265"/>
      <c r="G146" s="1265"/>
      <c r="H146" s="1263"/>
      <c r="I146" s="1264"/>
      <c r="J146" s="1265"/>
      <c r="K146" s="1265"/>
      <c r="L146" s="1265"/>
      <c r="M146" s="1265"/>
      <c r="N146" s="1265"/>
      <c r="O146" s="1265"/>
      <c r="P146" s="1265"/>
    </row>
    <row r="147" ht="17.25" customHeight="1">
      <c r="A147" s="1263"/>
      <c r="B147" s="1140"/>
      <c r="C147" s="1264"/>
      <c r="D147" s="1265"/>
      <c r="E147" s="1265"/>
      <c r="F147" s="1265"/>
      <c r="G147" s="1265"/>
      <c r="H147" s="1263"/>
      <c r="I147" s="1264"/>
      <c r="J147" s="1265"/>
      <c r="K147" s="1265"/>
      <c r="L147" s="1265"/>
      <c r="M147" s="1265"/>
      <c r="N147" s="1265"/>
      <c r="O147" s="1265"/>
      <c r="P147" s="1265"/>
    </row>
    <row r="148" ht="17.25" customHeight="1">
      <c r="A148" s="1263"/>
      <c r="B148" s="1140"/>
      <c r="C148" s="1264"/>
      <c r="D148" s="1265"/>
      <c r="E148" s="1265"/>
      <c r="F148" s="1265"/>
      <c r="G148" s="1265"/>
      <c r="H148" s="1263"/>
      <c r="I148" s="1264"/>
      <c r="J148" s="1265"/>
      <c r="K148" s="1265"/>
      <c r="L148" s="1265"/>
      <c r="M148" s="1265"/>
      <c r="N148" s="1265"/>
      <c r="O148" s="1265"/>
      <c r="P148" s="1265"/>
    </row>
    <row r="149" ht="17.25" customHeight="1">
      <c r="A149" s="1263"/>
      <c r="B149" s="1140"/>
      <c r="C149" s="1264"/>
      <c r="D149" s="1265"/>
      <c r="E149" s="1265"/>
      <c r="F149" s="1265"/>
      <c r="G149" s="1265"/>
      <c r="H149" s="1263"/>
      <c r="I149" s="1264"/>
      <c r="J149" s="1265"/>
      <c r="K149" s="1265"/>
      <c r="L149" s="1265"/>
      <c r="M149" s="1265"/>
      <c r="N149" s="1265"/>
      <c r="O149" s="1265"/>
      <c r="P149" s="1265"/>
    </row>
    <row r="150" ht="17.25" customHeight="1">
      <c r="A150" s="1263"/>
      <c r="B150" s="1140"/>
      <c r="C150" s="1264"/>
      <c r="D150" s="1265"/>
      <c r="E150" s="1265"/>
      <c r="F150" s="1265"/>
      <c r="G150" s="1265"/>
      <c r="H150" s="1263"/>
      <c r="I150" s="1264"/>
      <c r="J150" s="1265"/>
      <c r="K150" s="1265"/>
      <c r="L150" s="1265"/>
      <c r="M150" s="1265"/>
      <c r="N150" s="1265"/>
      <c r="O150" s="1265"/>
      <c r="P150" s="1265"/>
    </row>
    <row r="151" ht="17.25" customHeight="1">
      <c r="A151" s="1263"/>
      <c r="B151" s="1140"/>
      <c r="C151" s="1264"/>
      <c r="D151" s="1265"/>
      <c r="E151" s="1265"/>
      <c r="F151" s="1265"/>
      <c r="G151" s="1265"/>
      <c r="H151" s="1263"/>
      <c r="I151" s="1264"/>
      <c r="J151" s="1265"/>
      <c r="K151" s="1265"/>
      <c r="L151" s="1265"/>
      <c r="M151" s="1265"/>
      <c r="N151" s="1265"/>
      <c r="O151" s="1265"/>
      <c r="P151" s="1265"/>
    </row>
    <row r="152" ht="17.25" customHeight="1">
      <c r="A152" s="1263"/>
      <c r="B152" s="1140"/>
      <c r="C152" s="1264"/>
      <c r="D152" s="1265"/>
      <c r="E152" s="1265"/>
      <c r="F152" s="1265"/>
      <c r="G152" s="1265"/>
      <c r="H152" s="1263"/>
      <c r="I152" s="1264"/>
      <c r="J152" s="1265"/>
      <c r="K152" s="1265"/>
      <c r="L152" s="1265"/>
      <c r="M152" s="1265"/>
      <c r="N152" s="1265"/>
      <c r="O152" s="1265"/>
      <c r="P152" s="1265"/>
    </row>
    <row r="153" ht="17.25" customHeight="1">
      <c r="A153" s="1263"/>
      <c r="B153" s="1140"/>
      <c r="C153" s="1264"/>
      <c r="D153" s="1265"/>
      <c r="E153" s="1265"/>
      <c r="F153" s="1265"/>
      <c r="G153" s="1265"/>
      <c r="H153" s="1263"/>
      <c r="I153" s="1264"/>
      <c r="J153" s="1265"/>
      <c r="K153" s="1265"/>
      <c r="L153" s="1265"/>
      <c r="M153" s="1265"/>
      <c r="N153" s="1265"/>
      <c r="O153" s="1265"/>
      <c r="P153" s="1265"/>
    </row>
    <row r="154" ht="17.25" customHeight="1">
      <c r="A154" s="1263"/>
      <c r="B154" s="1140"/>
      <c r="C154" s="1264"/>
      <c r="D154" s="1265"/>
      <c r="E154" s="1265"/>
      <c r="F154" s="1265"/>
      <c r="G154" s="1265"/>
      <c r="H154" s="1263"/>
      <c r="I154" s="1264"/>
      <c r="J154" s="1265"/>
      <c r="K154" s="1265"/>
      <c r="L154" s="1265"/>
      <c r="M154" s="1265"/>
      <c r="N154" s="1265"/>
      <c r="O154" s="1265"/>
      <c r="P154" s="1265"/>
    </row>
    <row r="155" ht="17.25" customHeight="1">
      <c r="A155" s="1263"/>
      <c r="B155" s="1140"/>
      <c r="C155" s="1264"/>
      <c r="D155" s="1265"/>
      <c r="E155" s="1265"/>
      <c r="F155" s="1265"/>
      <c r="G155" s="1265"/>
      <c r="H155" s="1263"/>
      <c r="I155" s="1264"/>
      <c r="J155" s="1265"/>
      <c r="K155" s="1265"/>
      <c r="L155" s="1265"/>
      <c r="M155" s="1265"/>
      <c r="N155" s="1265"/>
      <c r="O155" s="1265"/>
      <c r="P155" s="1265"/>
    </row>
    <row r="156" ht="17.25" customHeight="1">
      <c r="A156" s="1263"/>
      <c r="B156" s="1140"/>
      <c r="C156" s="1264"/>
      <c r="D156" s="1265"/>
      <c r="E156" s="1265"/>
      <c r="F156" s="1265"/>
      <c r="G156" s="1265"/>
      <c r="H156" s="1263"/>
      <c r="I156" s="1264"/>
      <c r="J156" s="1265"/>
      <c r="K156" s="1265"/>
      <c r="L156" s="1265"/>
      <c r="M156" s="1265"/>
      <c r="N156" s="1265"/>
      <c r="O156" s="1265"/>
      <c r="P156" s="1265"/>
    </row>
    <row r="157" ht="17.25" customHeight="1">
      <c r="A157" s="1263"/>
      <c r="B157" s="1140"/>
      <c r="C157" s="1264"/>
      <c r="D157" s="1265"/>
      <c r="E157" s="1265"/>
      <c r="F157" s="1265"/>
      <c r="G157" s="1265"/>
      <c r="H157" s="1263"/>
      <c r="I157" s="1264"/>
      <c r="J157" s="1265"/>
      <c r="K157" s="1265"/>
      <c r="L157" s="1265"/>
      <c r="M157" s="1265"/>
      <c r="N157" s="1265"/>
      <c r="O157" s="1265"/>
      <c r="P157" s="1265"/>
    </row>
    <row r="158" ht="17.25" customHeight="1">
      <c r="A158" s="1263"/>
      <c r="B158" s="1140"/>
      <c r="C158" s="1264"/>
      <c r="D158" s="1265"/>
      <c r="E158" s="1265"/>
      <c r="F158" s="1265"/>
      <c r="G158" s="1265"/>
      <c r="H158" s="1263"/>
      <c r="I158" s="1264"/>
      <c r="J158" s="1265"/>
      <c r="K158" s="1265"/>
      <c r="L158" s="1265"/>
      <c r="M158" s="1265"/>
      <c r="N158" s="1265"/>
      <c r="O158" s="1265"/>
      <c r="P158" s="1265"/>
    </row>
    <row r="159" ht="17.25" customHeight="1">
      <c r="A159" s="1263"/>
      <c r="B159" s="1140"/>
      <c r="C159" s="1264"/>
      <c r="D159" s="1265"/>
      <c r="E159" s="1265"/>
      <c r="F159" s="1265"/>
      <c r="G159" s="1265"/>
      <c r="H159" s="1263"/>
      <c r="I159" s="1264"/>
      <c r="J159" s="1265"/>
      <c r="K159" s="1265"/>
      <c r="L159" s="1265"/>
      <c r="M159" s="1265"/>
      <c r="N159" s="1265"/>
      <c r="O159" s="1265"/>
      <c r="P159" s="1265"/>
    </row>
    <row r="160" ht="17.25" customHeight="1">
      <c r="A160" s="1263"/>
      <c r="B160" s="1140"/>
      <c r="C160" s="1264"/>
      <c r="D160" s="1265"/>
      <c r="E160" s="1265"/>
      <c r="F160" s="1265"/>
      <c r="G160" s="1265"/>
      <c r="H160" s="1263"/>
      <c r="I160" s="1264"/>
      <c r="J160" s="1265"/>
      <c r="K160" s="1265"/>
      <c r="L160" s="1265"/>
      <c r="M160" s="1265"/>
      <c r="N160" s="1265"/>
      <c r="O160" s="1265"/>
      <c r="P160" s="1265"/>
    </row>
    <row r="161" ht="17.25" customHeight="1">
      <c r="A161" s="1263"/>
      <c r="B161" s="1140"/>
      <c r="C161" s="1264"/>
      <c r="D161" s="1265"/>
      <c r="E161" s="1265"/>
      <c r="F161" s="1265"/>
      <c r="G161" s="1265"/>
      <c r="H161" s="1263"/>
      <c r="I161" s="1264"/>
      <c r="J161" s="1265"/>
      <c r="K161" s="1265"/>
      <c r="L161" s="1265"/>
      <c r="M161" s="1265"/>
      <c r="N161" s="1265"/>
      <c r="O161" s="1265"/>
      <c r="P161" s="1265"/>
    </row>
    <row r="162" ht="17.25" customHeight="1">
      <c r="A162" s="1263"/>
      <c r="B162" s="1140"/>
      <c r="C162" s="1264"/>
      <c r="D162" s="1265"/>
      <c r="E162" s="1265"/>
      <c r="F162" s="1265"/>
      <c r="G162" s="1265"/>
      <c r="H162" s="1263"/>
      <c r="I162" s="1264"/>
      <c r="J162" s="1265"/>
      <c r="K162" s="1265"/>
      <c r="L162" s="1265"/>
      <c r="M162" s="1265"/>
      <c r="N162" s="1265"/>
      <c r="O162" s="1265"/>
      <c r="P162" s="1265"/>
    </row>
    <row r="163" ht="17.25" customHeight="1">
      <c r="A163" s="1263"/>
      <c r="B163" s="1140"/>
      <c r="C163" s="1264"/>
      <c r="D163" s="1265"/>
      <c r="E163" s="1265"/>
      <c r="F163" s="1265"/>
      <c r="G163" s="1265"/>
      <c r="H163" s="1263"/>
      <c r="I163" s="1264"/>
      <c r="J163" s="1265"/>
      <c r="K163" s="1265"/>
      <c r="L163" s="1265"/>
      <c r="M163" s="1265"/>
      <c r="N163" s="1265"/>
      <c r="O163" s="1265"/>
      <c r="P163" s="1265"/>
    </row>
    <row r="164" ht="17.25" customHeight="1">
      <c r="A164" s="1263"/>
      <c r="B164" s="1140"/>
      <c r="C164" s="1264"/>
      <c r="D164" s="1265"/>
      <c r="E164" s="1265"/>
      <c r="F164" s="1265"/>
      <c r="G164" s="1265"/>
      <c r="H164" s="1263"/>
      <c r="I164" s="1264"/>
      <c r="J164" s="1265"/>
      <c r="K164" s="1265"/>
      <c r="L164" s="1265"/>
      <c r="M164" s="1265"/>
      <c r="N164" s="1265"/>
      <c r="O164" s="1265"/>
      <c r="P164" s="1265"/>
    </row>
    <row r="165" ht="17.25" customHeight="1">
      <c r="A165" s="1263"/>
      <c r="B165" s="1140"/>
      <c r="C165" s="1264"/>
      <c r="D165" s="1265"/>
      <c r="E165" s="1265"/>
      <c r="F165" s="1265"/>
      <c r="G165" s="1265"/>
      <c r="H165" s="1263"/>
      <c r="I165" s="1264"/>
      <c r="J165" s="1265"/>
      <c r="K165" s="1265"/>
      <c r="L165" s="1265"/>
      <c r="M165" s="1265"/>
      <c r="N165" s="1265"/>
      <c r="O165" s="1265"/>
      <c r="P165" s="1265"/>
    </row>
    <row r="166" ht="17.25" customHeight="1">
      <c r="A166" s="1263"/>
      <c r="B166" s="1140"/>
      <c r="C166" s="1264"/>
      <c r="D166" s="1265"/>
      <c r="E166" s="1265"/>
      <c r="F166" s="1265"/>
      <c r="G166" s="1265"/>
      <c r="H166" s="1263"/>
      <c r="I166" s="1264"/>
      <c r="J166" s="1265"/>
      <c r="K166" s="1265"/>
      <c r="L166" s="1265"/>
      <c r="M166" s="1265"/>
      <c r="N166" s="1265"/>
      <c r="O166" s="1265"/>
      <c r="P166" s="1265"/>
    </row>
    <row r="167" ht="17.25" customHeight="1">
      <c r="A167" s="1263"/>
      <c r="B167" s="1140"/>
      <c r="C167" s="1264"/>
      <c r="D167" s="1265"/>
      <c r="E167" s="1265"/>
      <c r="F167" s="1265"/>
      <c r="G167" s="1265"/>
      <c r="H167" s="1263"/>
      <c r="I167" s="1264"/>
      <c r="J167" s="1265"/>
      <c r="K167" s="1265"/>
      <c r="L167" s="1265"/>
      <c r="M167" s="1265"/>
      <c r="N167" s="1265"/>
      <c r="O167" s="1265"/>
      <c r="P167" s="1265"/>
    </row>
    <row r="168" ht="17.25" customHeight="1">
      <c r="A168" s="1263"/>
      <c r="B168" s="1140"/>
      <c r="C168" s="1264"/>
      <c r="D168" s="1265"/>
      <c r="E168" s="1265"/>
      <c r="F168" s="1265"/>
      <c r="G168" s="1265"/>
      <c r="H168" s="1263"/>
      <c r="I168" s="1264"/>
      <c r="J168" s="1265"/>
      <c r="K168" s="1265"/>
      <c r="L168" s="1265"/>
      <c r="M168" s="1265"/>
      <c r="N168" s="1265"/>
      <c r="O168" s="1265"/>
      <c r="P168" s="1265"/>
    </row>
    <row r="169" ht="17.25" customHeight="1">
      <c r="A169" s="1263"/>
      <c r="B169" s="1140"/>
      <c r="C169" s="1264"/>
      <c r="D169" s="1265"/>
      <c r="E169" s="1265"/>
      <c r="F169" s="1265"/>
      <c r="G169" s="1265"/>
      <c r="H169" s="1263"/>
      <c r="I169" s="1264"/>
      <c r="J169" s="1265"/>
      <c r="K169" s="1265"/>
      <c r="L169" s="1265"/>
      <c r="M169" s="1265"/>
      <c r="N169" s="1265"/>
      <c r="O169" s="1265"/>
      <c r="P169" s="1265"/>
    </row>
    <row r="170" ht="17.25" customHeight="1">
      <c r="A170" s="1263"/>
      <c r="B170" s="1140"/>
      <c r="C170" s="1264"/>
      <c r="D170" s="1265"/>
      <c r="E170" s="1265"/>
      <c r="F170" s="1265"/>
      <c r="G170" s="1265"/>
      <c r="H170" s="1263"/>
      <c r="I170" s="1264"/>
      <c r="J170" s="1265"/>
      <c r="K170" s="1265"/>
      <c r="L170" s="1265"/>
      <c r="M170" s="1265"/>
      <c r="N170" s="1265"/>
      <c r="O170" s="1265"/>
      <c r="P170" s="1265"/>
    </row>
    <row r="171" ht="17.25" customHeight="1">
      <c r="A171" s="1263"/>
      <c r="B171" s="1140"/>
      <c r="C171" s="1264"/>
      <c r="D171" s="1265"/>
      <c r="E171" s="1265"/>
      <c r="F171" s="1265"/>
      <c r="G171" s="1265"/>
      <c r="H171" s="1263"/>
      <c r="I171" s="1264"/>
      <c r="J171" s="1265"/>
      <c r="K171" s="1265"/>
      <c r="L171" s="1265"/>
      <c r="M171" s="1265"/>
      <c r="N171" s="1265"/>
      <c r="O171" s="1265"/>
      <c r="P171" s="1265"/>
    </row>
    <row r="172" ht="17.25" customHeight="1">
      <c r="A172" s="1263"/>
      <c r="B172" s="1140"/>
      <c r="C172" s="1264"/>
      <c r="D172" s="1265"/>
      <c r="E172" s="1265"/>
      <c r="F172" s="1265"/>
      <c r="G172" s="1265"/>
      <c r="H172" s="1263"/>
      <c r="I172" s="1264"/>
      <c r="J172" s="1265"/>
      <c r="K172" s="1265"/>
      <c r="L172" s="1265"/>
      <c r="M172" s="1265"/>
      <c r="N172" s="1265"/>
      <c r="O172" s="1265"/>
      <c r="P172" s="1265"/>
    </row>
    <row r="173" ht="17.25" customHeight="1">
      <c r="A173" s="1263"/>
      <c r="B173" s="1140"/>
      <c r="C173" s="1264"/>
      <c r="D173" s="1265"/>
      <c r="E173" s="1265"/>
      <c r="F173" s="1265"/>
      <c r="G173" s="1265"/>
      <c r="H173" s="1263"/>
      <c r="I173" s="1264"/>
      <c r="J173" s="1265"/>
      <c r="K173" s="1265"/>
      <c r="L173" s="1265"/>
      <c r="M173" s="1265"/>
      <c r="N173" s="1265"/>
      <c r="O173" s="1265"/>
      <c r="P173" s="1265"/>
    </row>
    <row r="174" ht="17.25" customHeight="1">
      <c r="A174" s="1263"/>
      <c r="B174" s="1140"/>
      <c r="C174" s="1264"/>
      <c r="D174" s="1265"/>
      <c r="E174" s="1265"/>
      <c r="F174" s="1265"/>
      <c r="G174" s="1265"/>
      <c r="H174" s="1263"/>
      <c r="I174" s="1264"/>
      <c r="J174" s="1265"/>
      <c r="K174" s="1265"/>
      <c r="L174" s="1265"/>
      <c r="M174" s="1265"/>
      <c r="N174" s="1265"/>
      <c r="O174" s="1265"/>
      <c r="P174" s="1265"/>
    </row>
    <row r="175" ht="17.25" customHeight="1">
      <c r="A175" s="1263"/>
      <c r="B175" s="1140"/>
      <c r="C175" s="1264"/>
      <c r="D175" s="1265"/>
      <c r="E175" s="1265"/>
      <c r="F175" s="1265"/>
      <c r="G175" s="1265"/>
      <c r="H175" s="1263"/>
      <c r="I175" s="1264"/>
      <c r="J175" s="1265"/>
      <c r="K175" s="1265"/>
      <c r="L175" s="1265"/>
      <c r="M175" s="1265"/>
      <c r="N175" s="1265"/>
      <c r="O175" s="1265"/>
      <c r="P175" s="1265"/>
    </row>
    <row r="176" ht="17.25" customHeight="1">
      <c r="A176" s="1263"/>
      <c r="B176" s="1140"/>
      <c r="C176" s="1264"/>
      <c r="D176" s="1265"/>
      <c r="E176" s="1265"/>
      <c r="F176" s="1265"/>
      <c r="G176" s="1265"/>
      <c r="H176" s="1263"/>
      <c r="I176" s="1264"/>
      <c r="J176" s="1265"/>
      <c r="K176" s="1265"/>
      <c r="L176" s="1265"/>
      <c r="M176" s="1265"/>
      <c r="N176" s="1265"/>
      <c r="O176" s="1265"/>
      <c r="P176" s="1265"/>
    </row>
    <row r="177" ht="17.25" customHeight="1">
      <c r="A177" s="1263"/>
      <c r="B177" s="1140"/>
      <c r="C177" s="1264"/>
      <c r="D177" s="1265"/>
      <c r="E177" s="1265"/>
      <c r="F177" s="1265"/>
      <c r="G177" s="1265"/>
      <c r="H177" s="1263"/>
      <c r="I177" s="1264"/>
      <c r="J177" s="1265"/>
      <c r="K177" s="1265"/>
      <c r="L177" s="1265"/>
      <c r="M177" s="1265"/>
      <c r="N177" s="1265"/>
      <c r="O177" s="1265"/>
      <c r="P177" s="1265"/>
    </row>
    <row r="178" ht="17.25" customHeight="1">
      <c r="A178" s="1263"/>
      <c r="B178" s="1140"/>
      <c r="C178" s="1264"/>
      <c r="D178" s="1265"/>
      <c r="E178" s="1265"/>
      <c r="F178" s="1265"/>
      <c r="G178" s="1265"/>
      <c r="H178" s="1263"/>
      <c r="I178" s="1264"/>
      <c r="J178" s="1265"/>
      <c r="K178" s="1265"/>
      <c r="L178" s="1265"/>
      <c r="M178" s="1265"/>
      <c r="N178" s="1265"/>
      <c r="O178" s="1265"/>
      <c r="P178" s="1265"/>
    </row>
    <row r="179" ht="17.25" customHeight="1">
      <c r="A179" s="1263"/>
      <c r="B179" s="1140"/>
      <c r="C179" s="1264"/>
      <c r="D179" s="1265"/>
      <c r="E179" s="1265"/>
      <c r="F179" s="1265"/>
      <c r="G179" s="1265"/>
      <c r="H179" s="1263"/>
      <c r="I179" s="1264"/>
      <c r="J179" s="1265"/>
      <c r="K179" s="1265"/>
      <c r="L179" s="1265"/>
      <c r="M179" s="1265"/>
      <c r="N179" s="1265"/>
      <c r="O179" s="1265"/>
      <c r="P179" s="1265"/>
    </row>
    <row r="180" ht="17.25" customHeight="1">
      <c r="A180" s="1263"/>
      <c r="B180" s="1140"/>
      <c r="C180" s="1264"/>
      <c r="D180" s="1265"/>
      <c r="E180" s="1265"/>
      <c r="F180" s="1265"/>
      <c r="G180" s="1265"/>
      <c r="H180" s="1263"/>
      <c r="I180" s="1264"/>
      <c r="J180" s="1265"/>
      <c r="K180" s="1265"/>
      <c r="L180" s="1265"/>
      <c r="M180" s="1265"/>
      <c r="N180" s="1265"/>
      <c r="O180" s="1265"/>
      <c r="P180" s="1265"/>
    </row>
    <row r="181" ht="17.25" customHeight="1">
      <c r="A181" s="1263"/>
      <c r="B181" s="1140"/>
      <c r="C181" s="1264"/>
      <c r="D181" s="1265"/>
      <c r="E181" s="1265"/>
      <c r="F181" s="1265"/>
      <c r="G181" s="1265"/>
      <c r="H181" s="1263"/>
      <c r="I181" s="1264"/>
      <c r="J181" s="1265"/>
      <c r="K181" s="1265"/>
      <c r="L181" s="1265"/>
      <c r="M181" s="1265"/>
      <c r="N181" s="1265"/>
      <c r="O181" s="1265"/>
      <c r="P181" s="1265"/>
    </row>
    <row r="182" ht="17.25" customHeight="1">
      <c r="A182" s="1263"/>
      <c r="B182" s="1140"/>
      <c r="C182" s="1264"/>
      <c r="D182" s="1265"/>
      <c r="E182" s="1265"/>
      <c r="F182" s="1265"/>
      <c r="G182" s="1265"/>
      <c r="H182" s="1263"/>
      <c r="I182" s="1264"/>
      <c r="J182" s="1265"/>
      <c r="K182" s="1265"/>
      <c r="L182" s="1265"/>
      <c r="M182" s="1265"/>
      <c r="N182" s="1265"/>
      <c r="O182" s="1265"/>
      <c r="P182" s="1265"/>
    </row>
    <row r="183" ht="17.25" customHeight="1">
      <c r="A183" s="1263"/>
      <c r="B183" s="1140"/>
      <c r="C183" s="1264"/>
      <c r="D183" s="1265"/>
      <c r="E183" s="1265"/>
      <c r="F183" s="1265"/>
      <c r="G183" s="1265"/>
      <c r="H183" s="1263"/>
      <c r="I183" s="1264"/>
      <c r="J183" s="1265"/>
      <c r="K183" s="1265"/>
      <c r="L183" s="1265"/>
      <c r="M183" s="1265"/>
      <c r="N183" s="1265"/>
      <c r="O183" s="1265"/>
      <c r="P183" s="1265"/>
    </row>
    <row r="184" ht="17.25" customHeight="1">
      <c r="A184" s="1263"/>
      <c r="B184" s="1140"/>
      <c r="C184" s="1264"/>
      <c r="D184" s="1265"/>
      <c r="E184" s="1265"/>
      <c r="F184" s="1265"/>
      <c r="G184" s="1265"/>
      <c r="H184" s="1263"/>
      <c r="I184" s="1264"/>
      <c r="J184" s="1265"/>
      <c r="K184" s="1265"/>
      <c r="L184" s="1265"/>
      <c r="M184" s="1265"/>
      <c r="N184" s="1265"/>
      <c r="O184" s="1265"/>
      <c r="P184" s="1265"/>
    </row>
    <row r="185" ht="17.25" customHeight="1">
      <c r="A185" s="1263"/>
      <c r="B185" s="1140"/>
      <c r="C185" s="1264"/>
      <c r="D185" s="1265"/>
      <c r="E185" s="1265"/>
      <c r="F185" s="1265"/>
      <c r="G185" s="1265"/>
      <c r="H185" s="1263"/>
      <c r="I185" s="1264"/>
      <c r="J185" s="1265"/>
      <c r="K185" s="1265"/>
      <c r="L185" s="1265"/>
      <c r="M185" s="1265"/>
      <c r="N185" s="1265"/>
      <c r="O185" s="1265"/>
      <c r="P185" s="1265"/>
    </row>
    <row r="186" ht="17.25" customHeight="1">
      <c r="A186" s="1263"/>
      <c r="B186" s="1140"/>
      <c r="C186" s="1264"/>
      <c r="D186" s="1265"/>
      <c r="E186" s="1265"/>
      <c r="F186" s="1265"/>
      <c r="G186" s="1265"/>
      <c r="H186" s="1263"/>
      <c r="I186" s="1264"/>
      <c r="J186" s="1265"/>
      <c r="K186" s="1265"/>
      <c r="L186" s="1265"/>
      <c r="M186" s="1265"/>
      <c r="N186" s="1265"/>
      <c r="O186" s="1265"/>
      <c r="P186" s="1265"/>
    </row>
    <row r="187" ht="17.25" customHeight="1">
      <c r="A187" s="1263"/>
      <c r="B187" s="1140"/>
      <c r="C187" s="1264"/>
      <c r="D187" s="1265"/>
      <c r="E187" s="1265"/>
      <c r="F187" s="1265"/>
      <c r="G187" s="1265"/>
      <c r="H187" s="1263"/>
      <c r="I187" s="1264"/>
      <c r="J187" s="1265"/>
      <c r="K187" s="1265"/>
      <c r="L187" s="1265"/>
      <c r="M187" s="1265"/>
      <c r="N187" s="1265"/>
      <c r="O187" s="1265"/>
      <c r="P187" s="1265"/>
    </row>
    <row r="188" ht="17.25" customHeight="1">
      <c r="A188" s="1263"/>
      <c r="B188" s="1140"/>
      <c r="C188" s="1264"/>
      <c r="D188" s="1265"/>
      <c r="E188" s="1265"/>
      <c r="F188" s="1265"/>
      <c r="G188" s="1265"/>
      <c r="H188" s="1263"/>
      <c r="I188" s="1264"/>
      <c r="J188" s="1265"/>
      <c r="K188" s="1265"/>
      <c r="L188" s="1265"/>
      <c r="M188" s="1265"/>
      <c r="N188" s="1265"/>
      <c r="O188" s="1265"/>
      <c r="P188" s="1265"/>
    </row>
    <row r="189" ht="17.25" customHeight="1">
      <c r="A189" s="1263"/>
      <c r="B189" s="1140"/>
      <c r="C189" s="1264"/>
      <c r="D189" s="1265"/>
      <c r="E189" s="1265"/>
      <c r="F189" s="1265"/>
      <c r="G189" s="1265"/>
      <c r="H189" s="1263"/>
      <c r="I189" s="1264"/>
      <c r="J189" s="1265"/>
      <c r="K189" s="1265"/>
      <c r="L189" s="1265"/>
      <c r="M189" s="1265"/>
      <c r="N189" s="1265"/>
      <c r="O189" s="1265"/>
      <c r="P189" s="1265"/>
    </row>
    <row r="190" ht="17.25" customHeight="1">
      <c r="A190" s="1263"/>
      <c r="B190" s="1140"/>
      <c r="C190" s="1264"/>
      <c r="D190" s="1265"/>
      <c r="E190" s="1265"/>
      <c r="F190" s="1265"/>
      <c r="G190" s="1265"/>
      <c r="H190" s="1263"/>
      <c r="I190" s="1264"/>
      <c r="J190" s="1265"/>
      <c r="K190" s="1265"/>
      <c r="L190" s="1265"/>
      <c r="M190" s="1265"/>
      <c r="N190" s="1265"/>
      <c r="O190" s="1265"/>
      <c r="P190" s="1265"/>
    </row>
    <row r="191" ht="17.25" customHeight="1">
      <c r="A191" s="1263"/>
      <c r="B191" s="1140"/>
      <c r="C191" s="1264"/>
      <c r="D191" s="1265"/>
      <c r="E191" s="1265"/>
      <c r="F191" s="1265"/>
      <c r="G191" s="1265"/>
      <c r="H191" s="1263"/>
      <c r="I191" s="1264"/>
      <c r="J191" s="1265"/>
      <c r="K191" s="1265"/>
      <c r="L191" s="1265"/>
      <c r="M191" s="1265"/>
      <c r="N191" s="1265"/>
      <c r="O191" s="1265"/>
      <c r="P191" s="1265"/>
    </row>
    <row r="192" ht="17.25" customHeight="1">
      <c r="A192" s="1263"/>
      <c r="B192" s="1140"/>
      <c r="C192" s="1264"/>
      <c r="D192" s="1265"/>
      <c r="E192" s="1265"/>
      <c r="F192" s="1265"/>
      <c r="G192" s="1265"/>
      <c r="H192" s="1263"/>
      <c r="I192" s="1264"/>
      <c r="J192" s="1265"/>
      <c r="K192" s="1265"/>
      <c r="L192" s="1265"/>
      <c r="M192" s="1265"/>
      <c r="N192" s="1265"/>
      <c r="O192" s="1265"/>
      <c r="P192" s="1265"/>
    </row>
    <row r="193" ht="17.25" customHeight="1">
      <c r="A193" s="1263"/>
      <c r="B193" s="1140"/>
      <c r="C193" s="1264"/>
      <c r="D193" s="1265"/>
      <c r="E193" s="1265"/>
      <c r="F193" s="1265"/>
      <c r="G193" s="1265"/>
      <c r="H193" s="1263"/>
      <c r="I193" s="1264"/>
      <c r="J193" s="1265"/>
      <c r="K193" s="1265"/>
      <c r="L193" s="1265"/>
      <c r="M193" s="1265"/>
      <c r="N193" s="1265"/>
      <c r="O193" s="1265"/>
      <c r="P193" s="1265"/>
    </row>
    <row r="194" ht="17.25" customHeight="1">
      <c r="A194" s="1263"/>
      <c r="B194" s="1140"/>
      <c r="C194" s="1264"/>
      <c r="D194" s="1265"/>
      <c r="E194" s="1265"/>
      <c r="F194" s="1265"/>
      <c r="G194" s="1265"/>
      <c r="H194" s="1263"/>
      <c r="I194" s="1264"/>
      <c r="J194" s="1265"/>
      <c r="K194" s="1265"/>
      <c r="L194" s="1265"/>
      <c r="M194" s="1265"/>
      <c r="N194" s="1265"/>
      <c r="O194" s="1265"/>
      <c r="P194" s="1265"/>
    </row>
    <row r="195" ht="17.25" customHeight="1">
      <c r="A195" s="1263"/>
      <c r="B195" s="1140"/>
      <c r="C195" s="1264"/>
      <c r="D195" s="1265"/>
      <c r="E195" s="1265"/>
      <c r="F195" s="1265"/>
      <c r="G195" s="1265"/>
      <c r="H195" s="1263"/>
      <c r="I195" s="1264"/>
      <c r="J195" s="1265"/>
      <c r="K195" s="1265"/>
      <c r="L195" s="1265"/>
      <c r="M195" s="1265"/>
      <c r="N195" s="1265"/>
      <c r="O195" s="1265"/>
      <c r="P195" s="1265"/>
    </row>
    <row r="196" ht="17.25" customHeight="1">
      <c r="A196" s="1263"/>
      <c r="B196" s="1140"/>
      <c r="C196" s="1264"/>
      <c r="D196" s="1265"/>
      <c r="E196" s="1265"/>
      <c r="F196" s="1265"/>
      <c r="G196" s="1265"/>
      <c r="H196" s="1263"/>
      <c r="I196" s="1264"/>
      <c r="J196" s="1265"/>
      <c r="K196" s="1265"/>
      <c r="L196" s="1265"/>
      <c r="M196" s="1265"/>
      <c r="N196" s="1265"/>
      <c r="O196" s="1265"/>
      <c r="P196" s="1265"/>
    </row>
    <row r="197" ht="17.25" customHeight="1">
      <c r="A197" s="1263"/>
      <c r="B197" s="1140"/>
      <c r="C197" s="1264"/>
      <c r="D197" s="1265"/>
      <c r="E197" s="1265"/>
      <c r="F197" s="1265"/>
      <c r="G197" s="1265"/>
      <c r="H197" s="1263"/>
      <c r="I197" s="1264"/>
      <c r="J197" s="1265"/>
      <c r="K197" s="1265"/>
      <c r="L197" s="1265"/>
      <c r="M197" s="1265"/>
      <c r="N197" s="1265"/>
      <c r="O197" s="1265"/>
      <c r="P197" s="1265"/>
    </row>
    <row r="198" ht="17.25" customHeight="1">
      <c r="A198" s="1263"/>
      <c r="B198" s="1140"/>
      <c r="C198" s="1264"/>
      <c r="D198" s="1265"/>
      <c r="E198" s="1265"/>
      <c r="F198" s="1265"/>
      <c r="G198" s="1265"/>
      <c r="H198" s="1263"/>
      <c r="I198" s="1264"/>
      <c r="J198" s="1265"/>
      <c r="K198" s="1265"/>
      <c r="L198" s="1265"/>
      <c r="M198" s="1265"/>
      <c r="N198" s="1265"/>
      <c r="O198" s="1265"/>
      <c r="P198" s="1265"/>
    </row>
    <row r="199" ht="17.25" customHeight="1">
      <c r="A199" s="1263"/>
      <c r="B199" s="1140"/>
      <c r="C199" s="1264"/>
      <c r="D199" s="1265"/>
      <c r="E199" s="1265"/>
      <c r="F199" s="1265"/>
      <c r="G199" s="1265"/>
      <c r="H199" s="1263"/>
      <c r="I199" s="1264"/>
      <c r="J199" s="1265"/>
      <c r="K199" s="1265"/>
      <c r="L199" s="1265"/>
      <c r="M199" s="1265"/>
      <c r="N199" s="1265"/>
      <c r="O199" s="1265"/>
      <c r="P199" s="1265"/>
    </row>
    <row r="200" ht="17.25" customHeight="1">
      <c r="A200" s="1263"/>
      <c r="B200" s="1140"/>
      <c r="C200" s="1264"/>
      <c r="D200" s="1265"/>
      <c r="E200" s="1265"/>
      <c r="F200" s="1265"/>
      <c r="G200" s="1265"/>
      <c r="H200" s="1263"/>
      <c r="I200" s="1264"/>
      <c r="J200" s="1265"/>
      <c r="K200" s="1265"/>
      <c r="L200" s="1265"/>
      <c r="M200" s="1265"/>
      <c r="N200" s="1265"/>
      <c r="O200" s="1265"/>
      <c r="P200" s="1265"/>
    </row>
    <row r="201" ht="17.25" customHeight="1">
      <c r="A201" s="1263"/>
      <c r="B201" s="1140"/>
      <c r="C201" s="1264"/>
      <c r="D201" s="1265"/>
      <c r="E201" s="1265"/>
      <c r="F201" s="1265"/>
      <c r="G201" s="1265"/>
      <c r="H201" s="1263"/>
      <c r="I201" s="1264"/>
      <c r="J201" s="1265"/>
      <c r="K201" s="1265"/>
      <c r="L201" s="1265"/>
      <c r="M201" s="1265"/>
      <c r="N201" s="1265"/>
      <c r="O201" s="1265"/>
      <c r="P201" s="1265"/>
    </row>
    <row r="202" ht="17.25" customHeight="1">
      <c r="A202" s="1263"/>
      <c r="B202" s="1140"/>
      <c r="C202" s="1264"/>
      <c r="D202" s="1265"/>
      <c r="E202" s="1265"/>
      <c r="F202" s="1265"/>
      <c r="G202" s="1265"/>
      <c r="H202" s="1263"/>
      <c r="I202" s="1264"/>
      <c r="J202" s="1265"/>
      <c r="K202" s="1265"/>
      <c r="L202" s="1265"/>
      <c r="M202" s="1265"/>
      <c r="N202" s="1265"/>
      <c r="O202" s="1265"/>
      <c r="P202" s="1265"/>
    </row>
    <row r="203" ht="17.25" customHeight="1">
      <c r="A203" s="1263"/>
      <c r="B203" s="1140"/>
      <c r="C203" s="1264"/>
      <c r="D203" s="1265"/>
      <c r="E203" s="1265"/>
      <c r="F203" s="1265"/>
      <c r="G203" s="1265"/>
      <c r="H203" s="1263"/>
      <c r="I203" s="1264"/>
      <c r="J203" s="1265"/>
      <c r="K203" s="1265"/>
      <c r="L203" s="1265"/>
      <c r="M203" s="1265"/>
      <c r="N203" s="1265"/>
      <c r="O203" s="1265"/>
      <c r="P203" s="1265"/>
    </row>
    <row r="204" ht="17.25" customHeight="1">
      <c r="A204" s="1263"/>
      <c r="B204" s="1140"/>
      <c r="C204" s="1264"/>
      <c r="D204" s="1265"/>
      <c r="E204" s="1265"/>
      <c r="F204" s="1265"/>
      <c r="G204" s="1265"/>
      <c r="H204" s="1263"/>
      <c r="I204" s="1264"/>
      <c r="J204" s="1265"/>
      <c r="K204" s="1265"/>
      <c r="L204" s="1265"/>
      <c r="M204" s="1265"/>
      <c r="N204" s="1265"/>
      <c r="O204" s="1265"/>
      <c r="P204" s="1265"/>
    </row>
    <row r="205" ht="17.25" customHeight="1">
      <c r="A205" s="1263"/>
      <c r="B205" s="1140"/>
      <c r="C205" s="1264"/>
      <c r="D205" s="1265"/>
      <c r="E205" s="1265"/>
      <c r="F205" s="1265"/>
      <c r="G205" s="1265"/>
      <c r="H205" s="1263"/>
      <c r="I205" s="1264"/>
      <c r="J205" s="1265"/>
      <c r="K205" s="1265"/>
      <c r="L205" s="1265"/>
      <c r="M205" s="1265"/>
      <c r="N205" s="1265"/>
      <c r="O205" s="1265"/>
      <c r="P205" s="1265"/>
    </row>
    <row r="206" ht="17.25" customHeight="1">
      <c r="A206" s="1263"/>
      <c r="B206" s="1140"/>
      <c r="C206" s="1264"/>
      <c r="D206" s="1265"/>
      <c r="E206" s="1265"/>
      <c r="F206" s="1265"/>
      <c r="G206" s="1265"/>
      <c r="H206" s="1263"/>
      <c r="I206" s="1264"/>
      <c r="J206" s="1265"/>
      <c r="K206" s="1265"/>
      <c r="L206" s="1265"/>
      <c r="M206" s="1265"/>
      <c r="N206" s="1265"/>
      <c r="O206" s="1265"/>
      <c r="P206" s="1265"/>
    </row>
    <row r="207" ht="17.25" customHeight="1">
      <c r="A207" s="1263"/>
      <c r="B207" s="1140"/>
      <c r="C207" s="1264"/>
      <c r="D207" s="1265"/>
      <c r="E207" s="1265"/>
      <c r="F207" s="1265"/>
      <c r="G207" s="1265"/>
      <c r="H207" s="1263"/>
      <c r="I207" s="1264"/>
      <c r="J207" s="1265"/>
      <c r="K207" s="1265"/>
      <c r="L207" s="1265"/>
      <c r="M207" s="1265"/>
      <c r="N207" s="1265"/>
      <c r="O207" s="1265"/>
      <c r="P207" s="1265"/>
    </row>
    <row r="208" ht="17.25" customHeight="1">
      <c r="A208" s="1263"/>
      <c r="B208" s="1140"/>
      <c r="C208" s="1264"/>
      <c r="D208" s="1265"/>
      <c r="E208" s="1265"/>
      <c r="F208" s="1265"/>
      <c r="G208" s="1265"/>
      <c r="H208" s="1263"/>
      <c r="I208" s="1264"/>
      <c r="J208" s="1265"/>
      <c r="K208" s="1265"/>
      <c r="L208" s="1265"/>
      <c r="M208" s="1265"/>
      <c r="N208" s="1265"/>
      <c r="O208" s="1265"/>
      <c r="P208" s="1265"/>
    </row>
    <row r="209" ht="17.25" customHeight="1">
      <c r="A209" s="1263"/>
      <c r="B209" s="1140"/>
      <c r="C209" s="1264"/>
      <c r="D209" s="1265"/>
      <c r="E209" s="1265"/>
      <c r="F209" s="1265"/>
      <c r="G209" s="1265"/>
      <c r="H209" s="1263"/>
      <c r="I209" s="1264"/>
      <c r="J209" s="1265"/>
      <c r="K209" s="1265"/>
      <c r="L209" s="1265"/>
      <c r="M209" s="1265"/>
      <c r="N209" s="1265"/>
      <c r="O209" s="1265"/>
      <c r="P209" s="1265"/>
    </row>
    <row r="210" ht="17.25" customHeight="1">
      <c r="A210" s="1263"/>
      <c r="B210" s="1140"/>
      <c r="C210" s="1264"/>
      <c r="D210" s="1265"/>
      <c r="E210" s="1265"/>
      <c r="F210" s="1265"/>
      <c r="G210" s="1265"/>
      <c r="H210" s="1263"/>
      <c r="I210" s="1264"/>
      <c r="J210" s="1265"/>
      <c r="K210" s="1265"/>
      <c r="L210" s="1265"/>
      <c r="M210" s="1265"/>
      <c r="N210" s="1265"/>
      <c r="O210" s="1265"/>
      <c r="P210" s="1265"/>
    </row>
    <row r="211" ht="17.25" customHeight="1">
      <c r="A211" s="1263"/>
      <c r="B211" s="1140"/>
      <c r="C211" s="1264"/>
      <c r="D211" s="1265"/>
      <c r="E211" s="1265"/>
      <c r="F211" s="1265"/>
      <c r="G211" s="1265"/>
      <c r="H211" s="1263"/>
      <c r="I211" s="1264"/>
      <c r="J211" s="1265"/>
      <c r="K211" s="1265"/>
      <c r="L211" s="1265"/>
      <c r="M211" s="1265"/>
      <c r="N211" s="1265"/>
      <c r="O211" s="1265"/>
      <c r="P211" s="1265"/>
    </row>
    <row r="212" ht="17.25" customHeight="1">
      <c r="A212" s="1263"/>
      <c r="B212" s="1140"/>
      <c r="C212" s="1264"/>
      <c r="D212" s="1265"/>
      <c r="E212" s="1265"/>
      <c r="F212" s="1265"/>
      <c r="G212" s="1265"/>
      <c r="H212" s="1263"/>
      <c r="I212" s="1264"/>
      <c r="J212" s="1265"/>
      <c r="K212" s="1265"/>
      <c r="L212" s="1265"/>
      <c r="M212" s="1265"/>
      <c r="N212" s="1265"/>
      <c r="O212" s="1265"/>
      <c r="P212" s="1265"/>
    </row>
    <row r="213" ht="17.25" customHeight="1">
      <c r="A213" s="1263"/>
      <c r="B213" s="1140"/>
      <c r="C213" s="1264"/>
      <c r="D213" s="1265"/>
      <c r="E213" s="1265"/>
      <c r="F213" s="1265"/>
      <c r="G213" s="1265"/>
      <c r="H213" s="1263"/>
      <c r="I213" s="1264"/>
      <c r="J213" s="1265"/>
      <c r="K213" s="1265"/>
      <c r="L213" s="1265"/>
      <c r="M213" s="1265"/>
      <c r="N213" s="1265"/>
      <c r="O213" s="1265"/>
      <c r="P213" s="1265"/>
    </row>
    <row r="214" ht="17.25" customHeight="1">
      <c r="A214" s="1263"/>
      <c r="B214" s="1140"/>
      <c r="C214" s="1264"/>
      <c r="D214" s="1265"/>
      <c r="E214" s="1265"/>
      <c r="F214" s="1265"/>
      <c r="G214" s="1265"/>
      <c r="H214" s="1263"/>
      <c r="I214" s="1264"/>
      <c r="J214" s="1265"/>
      <c r="K214" s="1265"/>
      <c r="L214" s="1265"/>
      <c r="M214" s="1265"/>
      <c r="N214" s="1265"/>
      <c r="O214" s="1265"/>
      <c r="P214" s="1265"/>
    </row>
    <row r="215" ht="17.25" customHeight="1">
      <c r="A215" s="1263"/>
      <c r="B215" s="1140"/>
      <c r="C215" s="1264"/>
      <c r="D215" s="1265"/>
      <c r="E215" s="1265"/>
      <c r="F215" s="1265"/>
      <c r="G215" s="1265"/>
      <c r="H215" s="1263"/>
      <c r="I215" s="1264"/>
      <c r="J215" s="1265"/>
      <c r="K215" s="1265"/>
      <c r="L215" s="1265"/>
      <c r="M215" s="1265"/>
      <c r="N215" s="1265"/>
      <c r="O215" s="1265"/>
      <c r="P215" s="1265"/>
    </row>
    <row r="216" ht="17.25" customHeight="1">
      <c r="A216" s="1263"/>
      <c r="B216" s="1140"/>
      <c r="C216" s="1264"/>
      <c r="D216" s="1265"/>
      <c r="E216" s="1265"/>
      <c r="F216" s="1265"/>
      <c r="G216" s="1265"/>
      <c r="H216" s="1263"/>
      <c r="I216" s="1264"/>
      <c r="J216" s="1265"/>
      <c r="K216" s="1265"/>
      <c r="L216" s="1265"/>
      <c r="M216" s="1265"/>
      <c r="N216" s="1265"/>
      <c r="O216" s="1265"/>
      <c r="P216" s="1265"/>
    </row>
    <row r="217" ht="17.25" customHeight="1">
      <c r="A217" s="1263"/>
      <c r="B217" s="1140"/>
      <c r="C217" s="1264"/>
      <c r="D217" s="1265"/>
      <c r="E217" s="1265"/>
      <c r="F217" s="1265"/>
      <c r="G217" s="1265"/>
      <c r="H217" s="1263"/>
      <c r="I217" s="1264"/>
      <c r="J217" s="1265"/>
      <c r="K217" s="1265"/>
      <c r="L217" s="1265"/>
      <c r="M217" s="1265"/>
      <c r="N217" s="1265"/>
      <c r="O217" s="1265"/>
      <c r="P217" s="1265"/>
    </row>
    <row r="218" ht="17.25" customHeight="1">
      <c r="A218" s="1263"/>
      <c r="B218" s="1140"/>
      <c r="C218" s="1264"/>
      <c r="D218" s="1265"/>
      <c r="E218" s="1265"/>
      <c r="F218" s="1265"/>
      <c r="G218" s="1265"/>
      <c r="H218" s="1263"/>
      <c r="I218" s="1264"/>
      <c r="J218" s="1265"/>
      <c r="K218" s="1265"/>
      <c r="L218" s="1265"/>
      <c r="M218" s="1265"/>
      <c r="N218" s="1265"/>
      <c r="O218" s="1265"/>
      <c r="P218" s="1265"/>
    </row>
    <row r="219" ht="17.25" customHeight="1">
      <c r="A219" s="1263"/>
      <c r="B219" s="1140"/>
      <c r="C219" s="1264"/>
      <c r="D219" s="1265"/>
      <c r="E219" s="1265"/>
      <c r="F219" s="1265"/>
      <c r="G219" s="1265"/>
      <c r="H219" s="1263"/>
      <c r="I219" s="1264"/>
      <c r="J219" s="1265"/>
      <c r="K219" s="1265"/>
      <c r="L219" s="1265"/>
      <c r="M219" s="1265"/>
      <c r="N219" s="1265"/>
      <c r="O219" s="1265"/>
      <c r="P219" s="1265"/>
    </row>
    <row r="220" ht="17.25" customHeight="1">
      <c r="A220" s="1263"/>
      <c r="B220" s="1140"/>
      <c r="C220" s="1264"/>
      <c r="D220" s="1265"/>
      <c r="E220" s="1265"/>
      <c r="F220" s="1265"/>
      <c r="G220" s="1265"/>
      <c r="H220" s="1263"/>
      <c r="I220" s="1264"/>
      <c r="J220" s="1265"/>
      <c r="K220" s="1265"/>
      <c r="L220" s="1265"/>
      <c r="M220" s="1265"/>
      <c r="N220" s="1265"/>
      <c r="O220" s="1265"/>
      <c r="P220" s="1265"/>
    </row>
    <row r="221" ht="17.25" customHeight="1">
      <c r="A221" s="1263"/>
      <c r="B221" s="1140"/>
      <c r="C221" s="1264"/>
      <c r="D221" s="1265"/>
      <c r="E221" s="1265"/>
      <c r="F221" s="1265"/>
      <c r="G221" s="1265"/>
      <c r="H221" s="1263"/>
      <c r="I221" s="1264"/>
      <c r="J221" s="1265"/>
      <c r="K221" s="1265"/>
      <c r="L221" s="1265"/>
      <c r="M221" s="1265"/>
      <c r="N221" s="1265"/>
      <c r="O221" s="1265"/>
      <c r="P221" s="1265"/>
    </row>
    <row r="222" ht="17.25" customHeight="1">
      <c r="A222" s="1263"/>
      <c r="B222" s="1140"/>
      <c r="C222" s="1264"/>
      <c r="D222" s="1265"/>
      <c r="E222" s="1265"/>
      <c r="F222" s="1265"/>
      <c r="G222" s="1265"/>
      <c r="H222" s="1263"/>
      <c r="I222" s="1264"/>
      <c r="J222" s="1265"/>
      <c r="K222" s="1265"/>
      <c r="L222" s="1265"/>
      <c r="M222" s="1265"/>
      <c r="N222" s="1265"/>
      <c r="O222" s="1265"/>
      <c r="P222" s="1265"/>
    </row>
    <row r="223" ht="17.25" customHeight="1">
      <c r="A223" s="1263"/>
      <c r="B223" s="1140"/>
      <c r="C223" s="1264"/>
      <c r="D223" s="1265"/>
      <c r="E223" s="1265"/>
      <c r="F223" s="1265"/>
      <c r="G223" s="1265"/>
      <c r="H223" s="1263"/>
      <c r="I223" s="1264"/>
      <c r="J223" s="1265"/>
      <c r="K223" s="1265"/>
      <c r="L223" s="1265"/>
      <c r="M223" s="1265"/>
      <c r="N223" s="1265"/>
      <c r="O223" s="1265"/>
      <c r="P223" s="1265"/>
    </row>
    <row r="224" ht="17.25" customHeight="1">
      <c r="A224" s="1263"/>
      <c r="B224" s="1140"/>
      <c r="C224" s="1264"/>
      <c r="D224" s="1265"/>
      <c r="E224" s="1265"/>
      <c r="F224" s="1265"/>
      <c r="G224" s="1265"/>
      <c r="H224" s="1263"/>
      <c r="I224" s="1264"/>
      <c r="J224" s="1265"/>
      <c r="K224" s="1265"/>
      <c r="L224" s="1265"/>
      <c r="M224" s="1265"/>
      <c r="N224" s="1265"/>
      <c r="O224" s="1265"/>
      <c r="P224" s="1265"/>
    </row>
    <row r="225" ht="17.25" customHeight="1">
      <c r="A225" s="1263"/>
      <c r="B225" s="1140"/>
      <c r="C225" s="1264"/>
      <c r="D225" s="1265"/>
      <c r="E225" s="1265"/>
      <c r="F225" s="1265"/>
      <c r="G225" s="1265"/>
      <c r="H225" s="1263"/>
      <c r="I225" s="1264"/>
      <c r="J225" s="1265"/>
      <c r="K225" s="1265"/>
      <c r="L225" s="1265"/>
      <c r="M225" s="1265"/>
      <c r="N225" s="1265"/>
      <c r="O225" s="1265"/>
      <c r="P225" s="1265"/>
    </row>
    <row r="226" ht="17.25" customHeight="1">
      <c r="A226" s="1263"/>
      <c r="B226" s="1140"/>
      <c r="C226" s="1264"/>
      <c r="D226" s="1265"/>
      <c r="E226" s="1265"/>
      <c r="F226" s="1265"/>
      <c r="G226" s="1265"/>
      <c r="H226" s="1263"/>
      <c r="I226" s="1264"/>
      <c r="J226" s="1265"/>
      <c r="K226" s="1265"/>
      <c r="L226" s="1265"/>
      <c r="M226" s="1265"/>
      <c r="N226" s="1265"/>
      <c r="O226" s="1265"/>
      <c r="P226" s="1265"/>
    </row>
    <row r="227" ht="17.25" customHeight="1">
      <c r="A227" s="1263"/>
      <c r="B227" s="1140"/>
      <c r="C227" s="1264"/>
      <c r="D227" s="1265"/>
      <c r="E227" s="1265"/>
      <c r="F227" s="1265"/>
      <c r="G227" s="1265"/>
      <c r="H227" s="1263"/>
      <c r="I227" s="1264"/>
      <c r="J227" s="1265"/>
      <c r="K227" s="1265"/>
      <c r="L227" s="1265"/>
      <c r="M227" s="1265"/>
      <c r="N227" s="1265"/>
      <c r="O227" s="1265"/>
      <c r="P227" s="1265"/>
    </row>
    <row r="228" ht="17.25" customHeight="1">
      <c r="A228" s="1263"/>
      <c r="B228" s="1140"/>
      <c r="C228" s="1264"/>
      <c r="D228" s="1265"/>
      <c r="E228" s="1265"/>
      <c r="F228" s="1265"/>
      <c r="G228" s="1265"/>
      <c r="H228" s="1263"/>
      <c r="I228" s="1264"/>
      <c r="J228" s="1265"/>
      <c r="K228" s="1265"/>
      <c r="L228" s="1265"/>
      <c r="M228" s="1265"/>
      <c r="N228" s="1265"/>
      <c r="O228" s="1265"/>
      <c r="P228" s="1265"/>
    </row>
    <row r="229" ht="17.25" customHeight="1">
      <c r="A229" s="1263"/>
      <c r="B229" s="1140"/>
      <c r="C229" s="1264"/>
      <c r="D229" s="1265"/>
      <c r="E229" s="1265"/>
      <c r="F229" s="1265"/>
      <c r="G229" s="1265"/>
      <c r="H229" s="1263"/>
      <c r="I229" s="1264"/>
      <c r="J229" s="1265"/>
      <c r="K229" s="1265"/>
      <c r="L229" s="1265"/>
      <c r="M229" s="1265"/>
      <c r="N229" s="1265"/>
      <c r="O229" s="1265"/>
      <c r="P229" s="1265"/>
    </row>
    <row r="230" ht="17.25" customHeight="1">
      <c r="A230" s="1263"/>
      <c r="B230" s="1140"/>
      <c r="C230" s="1264"/>
      <c r="D230" s="1265"/>
      <c r="E230" s="1265"/>
      <c r="F230" s="1265"/>
      <c r="G230" s="1265"/>
      <c r="H230" s="1263"/>
      <c r="I230" s="1264"/>
      <c r="J230" s="1265"/>
      <c r="K230" s="1265"/>
      <c r="L230" s="1265"/>
      <c r="M230" s="1265"/>
      <c r="N230" s="1265"/>
      <c r="O230" s="1265"/>
      <c r="P230" s="1265"/>
    </row>
    <row r="231" ht="17.25" customHeight="1">
      <c r="A231" s="1263"/>
      <c r="B231" s="1140"/>
      <c r="C231" s="1264"/>
      <c r="D231" s="1265"/>
      <c r="E231" s="1265"/>
      <c r="F231" s="1265"/>
      <c r="G231" s="1265"/>
      <c r="H231" s="1263"/>
      <c r="I231" s="1264"/>
      <c r="J231" s="1265"/>
      <c r="K231" s="1265"/>
      <c r="L231" s="1265"/>
      <c r="M231" s="1265"/>
      <c r="N231" s="1265"/>
      <c r="O231" s="1265"/>
      <c r="P231" s="1265"/>
    </row>
    <row r="232" ht="17.25" customHeight="1">
      <c r="A232" s="1263"/>
      <c r="B232" s="1140"/>
      <c r="C232" s="1264"/>
      <c r="D232" s="1265"/>
      <c r="E232" s="1265"/>
      <c r="F232" s="1265"/>
      <c r="G232" s="1265"/>
      <c r="H232" s="1263"/>
      <c r="I232" s="1264"/>
      <c r="J232" s="1265"/>
      <c r="K232" s="1265"/>
      <c r="L232" s="1265"/>
      <c r="M232" s="1265"/>
      <c r="N232" s="1265"/>
      <c r="O232" s="1265"/>
      <c r="P232" s="1265"/>
    </row>
    <row r="233" ht="17.25" customHeight="1">
      <c r="A233" s="1263"/>
      <c r="B233" s="1140"/>
      <c r="C233" s="1264"/>
      <c r="D233" s="1265"/>
      <c r="E233" s="1265"/>
      <c r="F233" s="1265"/>
      <c r="G233" s="1265"/>
      <c r="H233" s="1263"/>
      <c r="I233" s="1264"/>
      <c r="J233" s="1265"/>
      <c r="K233" s="1265"/>
      <c r="L233" s="1265"/>
      <c r="M233" s="1265"/>
      <c r="N233" s="1265"/>
      <c r="O233" s="1265"/>
      <c r="P233" s="1265"/>
    </row>
    <row r="234" ht="17.25" customHeight="1">
      <c r="A234" s="1263"/>
      <c r="B234" s="1140"/>
      <c r="C234" s="1264"/>
      <c r="D234" s="1265"/>
      <c r="E234" s="1265"/>
      <c r="F234" s="1265"/>
      <c r="G234" s="1265"/>
      <c r="H234" s="1263"/>
      <c r="I234" s="1264"/>
      <c r="J234" s="1265"/>
      <c r="K234" s="1265"/>
      <c r="L234" s="1265"/>
      <c r="M234" s="1265"/>
      <c r="N234" s="1265"/>
      <c r="O234" s="1265"/>
      <c r="P234" s="1265"/>
    </row>
    <row r="235" ht="17.25" customHeight="1">
      <c r="A235" s="1263"/>
      <c r="B235" s="1140"/>
      <c r="C235" s="1264"/>
      <c r="D235" s="1265"/>
      <c r="E235" s="1265"/>
      <c r="F235" s="1265"/>
      <c r="G235" s="1265"/>
      <c r="H235" s="1263"/>
      <c r="I235" s="1264"/>
      <c r="J235" s="1265"/>
      <c r="K235" s="1265"/>
      <c r="L235" s="1265"/>
      <c r="M235" s="1265"/>
      <c r="N235" s="1265"/>
      <c r="O235" s="1265"/>
      <c r="P235" s="1265"/>
    </row>
    <row r="236" ht="17.25" customHeight="1">
      <c r="A236" s="1263"/>
      <c r="B236" s="1140"/>
      <c r="C236" s="1264"/>
      <c r="D236" s="1265"/>
      <c r="E236" s="1265"/>
      <c r="F236" s="1265"/>
      <c r="G236" s="1265"/>
      <c r="H236" s="1263"/>
      <c r="I236" s="1264"/>
      <c r="J236" s="1265"/>
      <c r="K236" s="1265"/>
      <c r="L236" s="1265"/>
      <c r="M236" s="1265"/>
      <c r="N236" s="1265"/>
      <c r="O236" s="1265"/>
      <c r="P236" s="1265"/>
    </row>
    <row r="237" ht="17.25" customHeight="1">
      <c r="A237" s="1263"/>
      <c r="B237" s="1140"/>
      <c r="C237" s="1264"/>
      <c r="D237" s="1265"/>
      <c r="E237" s="1265"/>
      <c r="F237" s="1265"/>
      <c r="G237" s="1265"/>
      <c r="H237" s="1263"/>
      <c r="I237" s="1264"/>
      <c r="J237" s="1265"/>
      <c r="K237" s="1265"/>
      <c r="L237" s="1265"/>
      <c r="M237" s="1265"/>
      <c r="N237" s="1265"/>
      <c r="O237" s="1265"/>
      <c r="P237" s="1265"/>
    </row>
    <row r="238" ht="17.25" customHeight="1">
      <c r="A238" s="1263"/>
      <c r="B238" s="1140"/>
      <c r="C238" s="1264"/>
      <c r="D238" s="1265"/>
      <c r="E238" s="1265"/>
      <c r="F238" s="1265"/>
      <c r="G238" s="1265"/>
      <c r="H238" s="1263"/>
      <c r="I238" s="1264"/>
      <c r="J238" s="1265"/>
      <c r="K238" s="1265"/>
      <c r="L238" s="1265"/>
      <c r="M238" s="1265"/>
      <c r="N238" s="1265"/>
      <c r="O238" s="1265"/>
      <c r="P238" s="1265"/>
    </row>
    <row r="239" ht="17.25" customHeight="1">
      <c r="A239" s="1263"/>
      <c r="B239" s="1140"/>
      <c r="C239" s="1264"/>
      <c r="D239" s="1265"/>
      <c r="E239" s="1265"/>
      <c r="F239" s="1265"/>
      <c r="G239" s="1265"/>
      <c r="H239" s="1263"/>
      <c r="I239" s="1264"/>
      <c r="J239" s="1265"/>
      <c r="K239" s="1265"/>
      <c r="L239" s="1265"/>
      <c r="M239" s="1265"/>
      <c r="N239" s="1265"/>
      <c r="O239" s="1265"/>
      <c r="P239" s="1265"/>
    </row>
    <row r="240" ht="17.25" customHeight="1">
      <c r="A240" s="1263"/>
      <c r="B240" s="1140"/>
      <c r="C240" s="1264"/>
      <c r="D240" s="1265"/>
      <c r="E240" s="1265"/>
      <c r="F240" s="1265"/>
      <c r="G240" s="1265"/>
      <c r="H240" s="1263"/>
      <c r="I240" s="1264"/>
      <c r="J240" s="1265"/>
      <c r="K240" s="1265"/>
      <c r="L240" s="1265"/>
      <c r="M240" s="1265"/>
      <c r="N240" s="1265"/>
      <c r="O240" s="1265"/>
      <c r="P240" s="1265"/>
    </row>
    <row r="241" ht="17.25" customHeight="1">
      <c r="A241" s="1263"/>
      <c r="B241" s="1140"/>
      <c r="C241" s="1264"/>
      <c r="D241" s="1265"/>
      <c r="E241" s="1265"/>
      <c r="F241" s="1265"/>
      <c r="G241" s="1265"/>
      <c r="H241" s="1263"/>
      <c r="I241" s="1264"/>
      <c r="J241" s="1265"/>
      <c r="K241" s="1265"/>
      <c r="L241" s="1265"/>
      <c r="M241" s="1265"/>
      <c r="N241" s="1265"/>
      <c r="O241" s="1265"/>
      <c r="P241" s="1265"/>
    </row>
    <row r="242" ht="17.25" customHeight="1">
      <c r="A242" s="1263"/>
      <c r="B242" s="1140"/>
      <c r="C242" s="1264"/>
      <c r="D242" s="1265"/>
      <c r="E242" s="1265"/>
      <c r="F242" s="1265"/>
      <c r="G242" s="1265"/>
      <c r="H242" s="1263"/>
      <c r="I242" s="1264"/>
      <c r="J242" s="1265"/>
      <c r="K242" s="1265"/>
      <c r="L242" s="1265"/>
      <c r="M242" s="1265"/>
      <c r="N242" s="1265"/>
      <c r="O242" s="1265"/>
      <c r="P242" s="1265"/>
    </row>
    <row r="243" ht="17.25" customHeight="1">
      <c r="A243" s="1263"/>
      <c r="B243" s="1140"/>
      <c r="C243" s="1264"/>
      <c r="D243" s="1265"/>
      <c r="E243" s="1265"/>
      <c r="F243" s="1265"/>
      <c r="G243" s="1265"/>
      <c r="H243" s="1263"/>
      <c r="I243" s="1264"/>
      <c r="J243" s="1265"/>
      <c r="K243" s="1265"/>
      <c r="L243" s="1265"/>
      <c r="M243" s="1265"/>
      <c r="N243" s="1265"/>
      <c r="O243" s="1265"/>
      <c r="P243" s="1265"/>
    </row>
    <row r="244" ht="17.25" customHeight="1">
      <c r="A244" s="1263"/>
      <c r="B244" s="1140"/>
      <c r="C244" s="1264"/>
      <c r="D244" s="1265"/>
      <c r="E244" s="1265"/>
      <c r="F244" s="1265"/>
      <c r="G244" s="1265"/>
      <c r="H244" s="1263"/>
      <c r="I244" s="1264"/>
      <c r="J244" s="1265"/>
      <c r="K244" s="1265"/>
      <c r="L244" s="1265"/>
      <c r="M244" s="1265"/>
      <c r="N244" s="1265"/>
      <c r="O244" s="1265"/>
      <c r="P244" s="1265"/>
    </row>
    <row r="245" ht="17.25" customHeight="1">
      <c r="A245" s="1263"/>
      <c r="B245" s="1140"/>
      <c r="C245" s="1264"/>
      <c r="D245" s="1265"/>
      <c r="E245" s="1265"/>
      <c r="F245" s="1265"/>
      <c r="G245" s="1265"/>
      <c r="H245" s="1263"/>
      <c r="I245" s="1264"/>
      <c r="J245" s="1265"/>
      <c r="K245" s="1265"/>
      <c r="L245" s="1265"/>
      <c r="M245" s="1265"/>
      <c r="N245" s="1265"/>
      <c r="O245" s="1265"/>
      <c r="P245" s="1265"/>
    </row>
    <row r="246" ht="17.25" customHeight="1">
      <c r="A246" s="1263"/>
      <c r="B246" s="1140"/>
      <c r="C246" s="1264"/>
      <c r="D246" s="1265"/>
      <c r="E246" s="1265"/>
      <c r="F246" s="1265"/>
      <c r="G246" s="1265"/>
      <c r="H246" s="1263"/>
      <c r="I246" s="1264"/>
      <c r="J246" s="1265"/>
      <c r="K246" s="1265"/>
      <c r="L246" s="1265"/>
      <c r="M246" s="1265"/>
      <c r="N246" s="1265"/>
      <c r="O246" s="1265"/>
      <c r="P246" s="1265"/>
    </row>
    <row r="247" ht="17.25" customHeight="1">
      <c r="A247" s="1263"/>
      <c r="B247" s="1140"/>
      <c r="C247" s="1264"/>
      <c r="D247" s="1265"/>
      <c r="E247" s="1265"/>
      <c r="F247" s="1265"/>
      <c r="G247" s="1265"/>
      <c r="H247" s="1263"/>
      <c r="I247" s="1264"/>
      <c r="J247" s="1265"/>
      <c r="K247" s="1265"/>
      <c r="L247" s="1265"/>
      <c r="M247" s="1265"/>
      <c r="N247" s="1265"/>
      <c r="O247" s="1265"/>
      <c r="P247" s="1265"/>
    </row>
    <row r="248" ht="17.25" customHeight="1">
      <c r="A248" s="1263"/>
      <c r="B248" s="1140"/>
      <c r="C248" s="1264"/>
      <c r="D248" s="1265"/>
      <c r="E248" s="1265"/>
      <c r="F248" s="1265"/>
      <c r="G248" s="1265"/>
      <c r="H248" s="1263"/>
      <c r="I248" s="1264"/>
      <c r="J248" s="1265"/>
      <c r="K248" s="1265"/>
      <c r="L248" s="1265"/>
      <c r="M248" s="1265"/>
      <c r="N248" s="1265"/>
      <c r="O248" s="1265"/>
      <c r="P248" s="1265"/>
    </row>
    <row r="249" ht="17.25" customHeight="1">
      <c r="A249" s="1263"/>
      <c r="B249" s="1140"/>
      <c r="C249" s="1264"/>
      <c r="D249" s="1265"/>
      <c r="E249" s="1265"/>
      <c r="F249" s="1265"/>
      <c r="G249" s="1265"/>
      <c r="H249" s="1263"/>
      <c r="I249" s="1264"/>
      <c r="J249" s="1265"/>
      <c r="K249" s="1265"/>
      <c r="L249" s="1265"/>
      <c r="M249" s="1265"/>
      <c r="N249" s="1265"/>
      <c r="O249" s="1265"/>
      <c r="P249" s="1265"/>
    </row>
    <row r="250" ht="17.25" customHeight="1">
      <c r="A250" s="1263"/>
      <c r="B250" s="1140"/>
      <c r="C250" s="1264"/>
      <c r="D250" s="1265"/>
      <c r="E250" s="1265"/>
      <c r="F250" s="1265"/>
      <c r="G250" s="1265"/>
      <c r="H250" s="1263"/>
      <c r="I250" s="1264"/>
      <c r="J250" s="1265"/>
      <c r="K250" s="1265"/>
      <c r="L250" s="1265"/>
      <c r="M250" s="1265"/>
      <c r="N250" s="1265"/>
      <c r="O250" s="1265"/>
      <c r="P250" s="1265"/>
    </row>
    <row r="251" ht="17.25" customHeight="1">
      <c r="A251" s="1263"/>
      <c r="B251" s="1140"/>
      <c r="C251" s="1264"/>
      <c r="D251" s="1265"/>
      <c r="E251" s="1265"/>
      <c r="F251" s="1265"/>
      <c r="G251" s="1265"/>
      <c r="H251" s="1263"/>
      <c r="I251" s="1264"/>
      <c r="J251" s="1265"/>
      <c r="K251" s="1265"/>
      <c r="L251" s="1265"/>
      <c r="M251" s="1265"/>
      <c r="N251" s="1265"/>
      <c r="O251" s="1265"/>
      <c r="P251" s="1265"/>
    </row>
    <row r="252" ht="17.25" customHeight="1">
      <c r="A252" s="1263"/>
      <c r="B252" s="1140"/>
      <c r="C252" s="1264"/>
      <c r="D252" s="1265"/>
      <c r="E252" s="1265"/>
      <c r="F252" s="1265"/>
      <c r="G252" s="1265"/>
      <c r="H252" s="1263"/>
      <c r="I252" s="1264"/>
      <c r="J252" s="1265"/>
      <c r="K252" s="1265"/>
      <c r="L252" s="1265"/>
      <c r="M252" s="1265"/>
      <c r="N252" s="1265"/>
      <c r="O252" s="1265"/>
      <c r="P252" s="1265"/>
    </row>
    <row r="253" ht="17.25" customHeight="1">
      <c r="A253" s="1263"/>
      <c r="B253" s="1140"/>
      <c r="C253" s="1264"/>
      <c r="D253" s="1265"/>
      <c r="E253" s="1265"/>
      <c r="F253" s="1265"/>
      <c r="G253" s="1265"/>
      <c r="H253" s="1263"/>
      <c r="I253" s="1264"/>
      <c r="J253" s="1265"/>
      <c r="K253" s="1265"/>
      <c r="L253" s="1265"/>
      <c r="M253" s="1265"/>
      <c r="N253" s="1265"/>
      <c r="O253" s="1265"/>
      <c r="P253" s="1265"/>
    </row>
    <row r="254" ht="17.25" customHeight="1">
      <c r="A254" s="1263"/>
      <c r="B254" s="1140"/>
      <c r="C254" s="1264"/>
      <c r="D254" s="1265"/>
      <c r="E254" s="1265"/>
      <c r="F254" s="1265"/>
      <c r="G254" s="1265"/>
      <c r="H254" s="1263"/>
      <c r="I254" s="1264"/>
      <c r="J254" s="1265"/>
      <c r="K254" s="1265"/>
      <c r="L254" s="1265"/>
      <c r="M254" s="1265"/>
      <c r="N254" s="1265"/>
      <c r="O254" s="1265"/>
      <c r="P254" s="1265"/>
    </row>
    <row r="255" ht="17.25" customHeight="1">
      <c r="A255" s="1263"/>
      <c r="B255" s="1140"/>
      <c r="C255" s="1264"/>
      <c r="D255" s="1265"/>
      <c r="E255" s="1265"/>
      <c r="F255" s="1265"/>
      <c r="G255" s="1265"/>
      <c r="H255" s="1263"/>
      <c r="I255" s="1264"/>
      <c r="J255" s="1265"/>
      <c r="K255" s="1265"/>
      <c r="L255" s="1265"/>
      <c r="M255" s="1265"/>
      <c r="N255" s="1265"/>
      <c r="O255" s="1265"/>
      <c r="P255" s="1265"/>
    </row>
    <row r="256" ht="17.25" customHeight="1">
      <c r="A256" s="1263"/>
      <c r="B256" s="1140"/>
      <c r="C256" s="1264"/>
      <c r="D256" s="1265"/>
      <c r="E256" s="1265"/>
      <c r="F256" s="1265"/>
      <c r="G256" s="1265"/>
      <c r="H256" s="1263"/>
      <c r="I256" s="1264"/>
      <c r="J256" s="1265"/>
      <c r="K256" s="1265"/>
      <c r="L256" s="1265"/>
      <c r="M256" s="1265"/>
      <c r="N256" s="1265"/>
      <c r="O256" s="1265"/>
      <c r="P256" s="1265"/>
    </row>
    <row r="257" ht="17.25" customHeight="1">
      <c r="A257" s="1263"/>
      <c r="B257" s="1140"/>
      <c r="C257" s="1264"/>
      <c r="D257" s="1265"/>
      <c r="E257" s="1265"/>
      <c r="F257" s="1265"/>
      <c r="G257" s="1265"/>
      <c r="H257" s="1263"/>
      <c r="I257" s="1264"/>
      <c r="J257" s="1265"/>
      <c r="K257" s="1265"/>
      <c r="L257" s="1265"/>
      <c r="M257" s="1265"/>
      <c r="N257" s="1265"/>
      <c r="O257" s="1265"/>
      <c r="P257" s="1265"/>
    </row>
    <row r="258" ht="17.25" customHeight="1">
      <c r="A258" s="1263"/>
      <c r="B258" s="1140"/>
      <c r="C258" s="1264"/>
      <c r="D258" s="1265"/>
      <c r="E258" s="1265"/>
      <c r="F258" s="1265"/>
      <c r="G258" s="1265"/>
      <c r="H258" s="1263"/>
      <c r="I258" s="1264"/>
      <c r="J258" s="1265"/>
      <c r="K258" s="1265"/>
      <c r="L258" s="1265"/>
      <c r="M258" s="1265"/>
      <c r="N258" s="1265"/>
      <c r="O258" s="1265"/>
      <c r="P258" s="1265"/>
    </row>
    <row r="259" ht="17.25" customHeight="1">
      <c r="A259" s="1263"/>
      <c r="B259" s="1140"/>
      <c r="C259" s="1264"/>
      <c r="D259" s="1265"/>
      <c r="E259" s="1265"/>
      <c r="F259" s="1265"/>
      <c r="G259" s="1265"/>
      <c r="H259" s="1263"/>
      <c r="I259" s="1264"/>
      <c r="J259" s="1265"/>
      <c r="K259" s="1265"/>
      <c r="L259" s="1265"/>
      <c r="M259" s="1265"/>
      <c r="N259" s="1265"/>
      <c r="O259" s="1265"/>
      <c r="P259" s="1265"/>
    </row>
    <row r="260" ht="17.25" customHeight="1">
      <c r="A260" s="1263"/>
      <c r="B260" s="1140"/>
      <c r="C260" s="1264"/>
      <c r="D260" s="1265"/>
      <c r="E260" s="1265"/>
      <c r="F260" s="1265"/>
      <c r="G260" s="1265"/>
      <c r="H260" s="1263"/>
      <c r="I260" s="1264"/>
      <c r="J260" s="1265"/>
      <c r="K260" s="1265"/>
      <c r="L260" s="1265"/>
      <c r="M260" s="1265"/>
      <c r="N260" s="1265"/>
      <c r="O260" s="1265"/>
      <c r="P260" s="1265"/>
    </row>
    <row r="261" ht="17.25" customHeight="1">
      <c r="A261" s="1263"/>
      <c r="B261" s="1140"/>
      <c r="C261" s="1264"/>
      <c r="D261" s="1265"/>
      <c r="E261" s="1265"/>
      <c r="F261" s="1265"/>
      <c r="G261" s="1265"/>
      <c r="H261" s="1263"/>
      <c r="I261" s="1264"/>
      <c r="J261" s="1265"/>
      <c r="K261" s="1265"/>
      <c r="L261" s="1265"/>
      <c r="M261" s="1265"/>
      <c r="N261" s="1265"/>
      <c r="O261" s="1265"/>
      <c r="P261" s="1265"/>
    </row>
    <row r="262" ht="17.25" customHeight="1">
      <c r="A262" s="1263"/>
      <c r="B262" s="1140"/>
      <c r="C262" s="1264"/>
      <c r="D262" s="1265"/>
      <c r="E262" s="1265"/>
      <c r="F262" s="1265"/>
      <c r="G262" s="1265"/>
      <c r="H262" s="1263"/>
      <c r="I262" s="1264"/>
      <c r="J262" s="1265"/>
      <c r="K262" s="1265"/>
      <c r="L262" s="1265"/>
      <c r="M262" s="1265"/>
      <c r="N262" s="1265"/>
      <c r="O262" s="1265"/>
      <c r="P262" s="1265"/>
    </row>
    <row r="263" ht="17.25" customHeight="1">
      <c r="A263" s="1263"/>
      <c r="B263" s="1140"/>
      <c r="C263" s="1264"/>
      <c r="D263" s="1265"/>
      <c r="E263" s="1265"/>
      <c r="F263" s="1265"/>
      <c r="G263" s="1265"/>
      <c r="H263" s="1263"/>
      <c r="I263" s="1264"/>
      <c r="J263" s="1265"/>
      <c r="K263" s="1265"/>
      <c r="L263" s="1265"/>
      <c r="M263" s="1265"/>
      <c r="N263" s="1265"/>
      <c r="O263" s="1265"/>
      <c r="P263" s="1265"/>
    </row>
    <row r="264" ht="17.25" customHeight="1">
      <c r="A264" s="1263"/>
      <c r="B264" s="1140"/>
      <c r="C264" s="1264"/>
      <c r="D264" s="1265"/>
      <c r="E264" s="1265"/>
      <c r="F264" s="1265"/>
      <c r="G264" s="1265"/>
      <c r="H264" s="1263"/>
      <c r="I264" s="1264"/>
      <c r="J264" s="1265"/>
      <c r="K264" s="1265"/>
      <c r="L264" s="1265"/>
      <c r="M264" s="1265"/>
      <c r="N264" s="1265"/>
      <c r="O264" s="1265"/>
      <c r="P264" s="1265"/>
    </row>
    <row r="265" ht="17.25" customHeight="1">
      <c r="A265" s="1263"/>
      <c r="B265" s="1140"/>
      <c r="C265" s="1264"/>
      <c r="D265" s="1265"/>
      <c r="E265" s="1265"/>
      <c r="F265" s="1265"/>
      <c r="G265" s="1265"/>
      <c r="H265" s="1263"/>
      <c r="I265" s="1264"/>
      <c r="J265" s="1265"/>
      <c r="K265" s="1265"/>
      <c r="L265" s="1265"/>
      <c r="M265" s="1265"/>
      <c r="N265" s="1265"/>
      <c r="O265" s="1265"/>
      <c r="P265" s="1265"/>
    </row>
    <row r="266" ht="17.25" customHeight="1">
      <c r="A266" s="1263"/>
      <c r="B266" s="1140"/>
      <c r="C266" s="1264"/>
      <c r="D266" s="1265"/>
      <c r="E266" s="1265"/>
      <c r="F266" s="1265"/>
      <c r="G266" s="1265"/>
      <c r="H266" s="1263"/>
      <c r="I266" s="1264"/>
      <c r="J266" s="1265"/>
      <c r="K266" s="1265"/>
      <c r="L266" s="1265"/>
      <c r="M266" s="1265"/>
      <c r="N266" s="1265"/>
      <c r="O266" s="1265"/>
      <c r="P266" s="1265"/>
    </row>
    <row r="267" ht="17.25" customHeight="1">
      <c r="A267" s="1263"/>
      <c r="B267" s="1140"/>
      <c r="C267" s="1264"/>
      <c r="D267" s="1265"/>
      <c r="E267" s="1265"/>
      <c r="F267" s="1265"/>
      <c r="G267" s="1265"/>
      <c r="H267" s="1263"/>
      <c r="I267" s="1264"/>
      <c r="J267" s="1265"/>
      <c r="K267" s="1265"/>
      <c r="L267" s="1265"/>
      <c r="M267" s="1265"/>
      <c r="N267" s="1265"/>
      <c r="O267" s="1265"/>
      <c r="P267" s="1265"/>
    </row>
    <row r="268" ht="17.25" customHeight="1">
      <c r="A268" s="1263"/>
      <c r="B268" s="1140"/>
      <c r="C268" s="1264"/>
      <c r="D268" s="1265"/>
      <c r="E268" s="1265"/>
      <c r="F268" s="1265"/>
      <c r="G268" s="1265"/>
      <c r="H268" s="1263"/>
      <c r="I268" s="1264"/>
      <c r="J268" s="1265"/>
      <c r="K268" s="1265"/>
      <c r="L268" s="1265"/>
      <c r="M268" s="1265"/>
      <c r="N268" s="1265"/>
      <c r="O268" s="1265"/>
      <c r="P268" s="1265"/>
    </row>
    <row r="269" ht="17.25" customHeight="1">
      <c r="A269" s="1263"/>
      <c r="B269" s="1140"/>
      <c r="C269" s="1264"/>
      <c r="D269" s="1265"/>
      <c r="E269" s="1265"/>
      <c r="F269" s="1265"/>
      <c r="G269" s="1265"/>
      <c r="H269" s="1263"/>
      <c r="I269" s="1264"/>
      <c r="J269" s="1265"/>
      <c r="K269" s="1265"/>
      <c r="L269" s="1265"/>
      <c r="M269" s="1265"/>
      <c r="N269" s="1265"/>
      <c r="O269" s="1265"/>
      <c r="P269" s="1265"/>
    </row>
    <row r="270" ht="17.25" customHeight="1">
      <c r="A270" s="1263"/>
      <c r="B270" s="1140"/>
      <c r="C270" s="1264"/>
      <c r="D270" s="1265"/>
      <c r="E270" s="1265"/>
      <c r="F270" s="1265"/>
      <c r="G270" s="1265"/>
      <c r="H270" s="1263"/>
      <c r="I270" s="1264"/>
      <c r="J270" s="1265"/>
      <c r="K270" s="1265"/>
      <c r="L270" s="1265"/>
      <c r="M270" s="1265"/>
      <c r="N270" s="1265"/>
      <c r="O270" s="1265"/>
      <c r="P270" s="1265"/>
    </row>
    <row r="271" ht="17.25" customHeight="1">
      <c r="A271" s="1263"/>
      <c r="B271" s="1140"/>
      <c r="C271" s="1264"/>
      <c r="D271" s="1265"/>
      <c r="E271" s="1265"/>
      <c r="F271" s="1265"/>
      <c r="G271" s="1265"/>
      <c r="H271" s="1263"/>
      <c r="I271" s="1264"/>
      <c r="J271" s="1265"/>
      <c r="K271" s="1265"/>
      <c r="L271" s="1265"/>
      <c r="M271" s="1265"/>
      <c r="N271" s="1265"/>
      <c r="O271" s="1265"/>
      <c r="P271" s="1265"/>
    </row>
    <row r="272" ht="17.25" customHeight="1">
      <c r="A272" s="1263"/>
      <c r="B272" s="1140"/>
      <c r="C272" s="1264"/>
      <c r="D272" s="1265"/>
      <c r="E272" s="1265"/>
      <c r="F272" s="1265"/>
      <c r="G272" s="1265"/>
      <c r="H272" s="1263"/>
      <c r="I272" s="1264"/>
      <c r="J272" s="1265"/>
      <c r="K272" s="1265"/>
      <c r="L272" s="1265"/>
      <c r="M272" s="1265"/>
      <c r="N272" s="1265"/>
      <c r="O272" s="1265"/>
      <c r="P272" s="1265"/>
    </row>
    <row r="273" ht="17.25" customHeight="1">
      <c r="A273" s="1263"/>
      <c r="B273" s="1140"/>
      <c r="C273" s="1264"/>
      <c r="D273" s="1265"/>
      <c r="E273" s="1265"/>
      <c r="F273" s="1265"/>
      <c r="G273" s="1265"/>
      <c r="H273" s="1263"/>
      <c r="I273" s="1264"/>
      <c r="J273" s="1265"/>
      <c r="K273" s="1265"/>
      <c r="L273" s="1265"/>
      <c r="M273" s="1265"/>
      <c r="N273" s="1265"/>
      <c r="O273" s="1265"/>
      <c r="P273" s="1265"/>
    </row>
    <row r="274" ht="17.25" customHeight="1">
      <c r="A274" s="1263"/>
      <c r="B274" s="1140"/>
      <c r="C274" s="1264"/>
      <c r="D274" s="1265"/>
      <c r="E274" s="1265"/>
      <c r="F274" s="1265"/>
      <c r="G274" s="1265"/>
      <c r="H274" s="1263"/>
      <c r="I274" s="1264"/>
      <c r="J274" s="1265"/>
      <c r="K274" s="1265"/>
      <c r="L274" s="1265"/>
      <c r="M274" s="1265"/>
      <c r="N274" s="1265"/>
      <c r="O274" s="1265"/>
      <c r="P274" s="1265"/>
    </row>
    <row r="275" ht="17.25" customHeight="1">
      <c r="A275" s="1263"/>
      <c r="B275" s="1140"/>
      <c r="C275" s="1264"/>
      <c r="D275" s="1265"/>
      <c r="E275" s="1265"/>
      <c r="F275" s="1265"/>
      <c r="G275" s="1265"/>
      <c r="H275" s="1263"/>
      <c r="I275" s="1264"/>
      <c r="J275" s="1265"/>
      <c r="K275" s="1265"/>
      <c r="L275" s="1265"/>
      <c r="M275" s="1265"/>
      <c r="N275" s="1265"/>
      <c r="O275" s="1265"/>
      <c r="P275" s="1265"/>
    </row>
    <row r="276" ht="17.25" customHeight="1">
      <c r="A276" s="1263"/>
      <c r="B276" s="1140"/>
      <c r="C276" s="1264"/>
      <c r="D276" s="1265"/>
      <c r="E276" s="1265"/>
      <c r="F276" s="1265"/>
      <c r="G276" s="1265"/>
      <c r="H276" s="1263"/>
      <c r="I276" s="1264"/>
      <c r="J276" s="1265"/>
      <c r="K276" s="1265"/>
      <c r="L276" s="1265"/>
      <c r="M276" s="1265"/>
      <c r="N276" s="1265"/>
      <c r="O276" s="1265"/>
      <c r="P276" s="1265"/>
    </row>
    <row r="277" ht="17.25" customHeight="1">
      <c r="A277" s="1263"/>
      <c r="B277" s="1140"/>
      <c r="C277" s="1264"/>
      <c r="D277" s="1265"/>
      <c r="E277" s="1265"/>
      <c r="F277" s="1265"/>
      <c r="G277" s="1265"/>
      <c r="H277" s="1263"/>
      <c r="I277" s="1264"/>
      <c r="J277" s="1265"/>
      <c r="K277" s="1265"/>
      <c r="L277" s="1265"/>
      <c r="M277" s="1265"/>
      <c r="N277" s="1265"/>
      <c r="O277" s="1265"/>
      <c r="P277" s="1265"/>
    </row>
    <row r="278" ht="17.25" customHeight="1">
      <c r="A278" s="1263"/>
      <c r="B278" s="1140"/>
      <c r="C278" s="1264"/>
      <c r="D278" s="1265"/>
      <c r="E278" s="1265"/>
      <c r="F278" s="1265"/>
      <c r="G278" s="1265"/>
      <c r="H278" s="1263"/>
      <c r="I278" s="1264"/>
      <c r="J278" s="1265"/>
      <c r="K278" s="1265"/>
      <c r="L278" s="1265"/>
      <c r="M278" s="1265"/>
      <c r="N278" s="1265"/>
      <c r="O278" s="1265"/>
      <c r="P278" s="1265"/>
    </row>
    <row r="279" ht="17.25" customHeight="1">
      <c r="A279" s="1263"/>
      <c r="B279" s="1140"/>
      <c r="C279" s="1264"/>
      <c r="D279" s="1265"/>
      <c r="E279" s="1265"/>
      <c r="F279" s="1265"/>
      <c r="G279" s="1265"/>
      <c r="H279" s="1263"/>
      <c r="I279" s="1264"/>
      <c r="J279" s="1265"/>
      <c r="K279" s="1265"/>
      <c r="L279" s="1265"/>
      <c r="M279" s="1265"/>
      <c r="N279" s="1265"/>
      <c r="O279" s="1265"/>
      <c r="P279" s="1265"/>
    </row>
    <row r="280" ht="17.25" customHeight="1">
      <c r="A280" s="1263"/>
      <c r="B280" s="1140"/>
      <c r="C280" s="1264"/>
      <c r="D280" s="1265"/>
      <c r="E280" s="1265"/>
      <c r="F280" s="1265"/>
      <c r="G280" s="1265"/>
      <c r="H280" s="1263"/>
      <c r="I280" s="1264"/>
      <c r="J280" s="1265"/>
      <c r="K280" s="1265"/>
      <c r="L280" s="1265"/>
      <c r="M280" s="1265"/>
      <c r="N280" s="1265"/>
      <c r="O280" s="1265"/>
      <c r="P280" s="1265"/>
    </row>
    <row r="281" ht="17.25" customHeight="1">
      <c r="A281" s="1263"/>
      <c r="B281" s="1140"/>
      <c r="C281" s="1264"/>
      <c r="D281" s="1265"/>
      <c r="E281" s="1265"/>
      <c r="F281" s="1265"/>
      <c r="G281" s="1265"/>
      <c r="H281" s="1263"/>
      <c r="I281" s="1264"/>
      <c r="J281" s="1265"/>
      <c r="K281" s="1265"/>
      <c r="L281" s="1265"/>
      <c r="M281" s="1265"/>
      <c r="N281" s="1265"/>
      <c r="O281" s="1265"/>
      <c r="P281" s="1265"/>
    </row>
    <row r="282" ht="17.25" customHeight="1">
      <c r="A282" s="1263"/>
      <c r="B282" s="1140"/>
      <c r="C282" s="1264"/>
      <c r="D282" s="1265"/>
      <c r="E282" s="1265"/>
      <c r="F282" s="1265"/>
      <c r="G282" s="1265"/>
      <c r="H282" s="1263"/>
      <c r="I282" s="1264"/>
      <c r="J282" s="1265"/>
      <c r="K282" s="1265"/>
      <c r="L282" s="1265"/>
      <c r="M282" s="1265"/>
      <c r="N282" s="1265"/>
      <c r="O282" s="1265"/>
      <c r="P282" s="1265"/>
    </row>
    <row r="283" ht="17.25" customHeight="1">
      <c r="A283" s="1263"/>
      <c r="B283" s="1140"/>
      <c r="C283" s="1264"/>
      <c r="D283" s="1265"/>
      <c r="E283" s="1265"/>
      <c r="F283" s="1265"/>
      <c r="G283" s="1265"/>
      <c r="H283" s="1263"/>
      <c r="I283" s="1264"/>
      <c r="J283" s="1265"/>
      <c r="K283" s="1265"/>
      <c r="L283" s="1265"/>
      <c r="M283" s="1265"/>
      <c r="N283" s="1265"/>
      <c r="O283" s="1265"/>
      <c r="P283" s="1265"/>
    </row>
    <row r="284" ht="17.25" customHeight="1">
      <c r="A284" s="1263"/>
      <c r="B284" s="1140"/>
      <c r="C284" s="1264"/>
      <c r="D284" s="1265"/>
      <c r="E284" s="1265"/>
      <c r="F284" s="1265"/>
      <c r="G284" s="1265"/>
      <c r="H284" s="1263"/>
      <c r="I284" s="1264"/>
      <c r="J284" s="1265"/>
      <c r="K284" s="1265"/>
      <c r="L284" s="1265"/>
      <c r="M284" s="1265"/>
      <c r="N284" s="1265"/>
      <c r="O284" s="1265"/>
      <c r="P284" s="1265"/>
    </row>
    <row r="285" ht="17.25" customHeight="1">
      <c r="A285" s="1263"/>
      <c r="B285" s="1140"/>
      <c r="C285" s="1264"/>
      <c r="D285" s="1265"/>
      <c r="E285" s="1265"/>
      <c r="F285" s="1265"/>
      <c r="G285" s="1265"/>
      <c r="H285" s="1263"/>
      <c r="I285" s="1264"/>
      <c r="J285" s="1265"/>
      <c r="K285" s="1265"/>
      <c r="L285" s="1265"/>
      <c r="M285" s="1265"/>
      <c r="N285" s="1265"/>
      <c r="O285" s="1265"/>
      <c r="P285" s="1265"/>
    </row>
    <row r="286" ht="17.25" customHeight="1">
      <c r="A286" s="1263"/>
      <c r="B286" s="1140"/>
      <c r="C286" s="1264"/>
      <c r="D286" s="1265"/>
      <c r="E286" s="1265"/>
      <c r="F286" s="1265"/>
      <c r="G286" s="1265"/>
      <c r="H286" s="1263"/>
      <c r="I286" s="1264"/>
      <c r="J286" s="1265"/>
      <c r="K286" s="1265"/>
      <c r="L286" s="1265"/>
      <c r="M286" s="1265"/>
      <c r="N286" s="1265"/>
      <c r="O286" s="1265"/>
      <c r="P286" s="1265"/>
    </row>
    <row r="287" ht="17.25" customHeight="1">
      <c r="A287" s="1263"/>
      <c r="B287" s="1140"/>
      <c r="C287" s="1264"/>
      <c r="D287" s="1265"/>
      <c r="E287" s="1265"/>
      <c r="F287" s="1265"/>
      <c r="G287" s="1265"/>
      <c r="H287" s="1263"/>
      <c r="I287" s="1264"/>
      <c r="J287" s="1265"/>
      <c r="K287" s="1265"/>
      <c r="L287" s="1265"/>
      <c r="M287" s="1265"/>
      <c r="N287" s="1265"/>
      <c r="O287" s="1265"/>
      <c r="P287" s="1265"/>
    </row>
    <row r="288" ht="17.25" customHeight="1">
      <c r="A288" s="1263"/>
      <c r="B288" s="1140"/>
      <c r="C288" s="1264"/>
      <c r="D288" s="1265"/>
      <c r="E288" s="1265"/>
      <c r="F288" s="1265"/>
      <c r="G288" s="1265"/>
      <c r="H288" s="1263"/>
      <c r="I288" s="1264"/>
      <c r="J288" s="1265"/>
      <c r="K288" s="1265"/>
      <c r="L288" s="1265"/>
      <c r="M288" s="1265"/>
      <c r="N288" s="1265"/>
      <c r="O288" s="1265"/>
      <c r="P288" s="1265"/>
    </row>
    <row r="289" ht="17.25" customHeight="1">
      <c r="A289" s="1263"/>
      <c r="B289" s="1140"/>
      <c r="C289" s="1264"/>
      <c r="D289" s="1265"/>
      <c r="E289" s="1265"/>
      <c r="F289" s="1265"/>
      <c r="G289" s="1265"/>
      <c r="H289" s="1263"/>
      <c r="I289" s="1264"/>
      <c r="J289" s="1265"/>
      <c r="K289" s="1265"/>
      <c r="L289" s="1265"/>
      <c r="M289" s="1265"/>
      <c r="N289" s="1265"/>
      <c r="O289" s="1265"/>
      <c r="P289" s="1265"/>
    </row>
    <row r="290" ht="17.25" customHeight="1">
      <c r="A290" s="1263"/>
      <c r="B290" s="1140"/>
      <c r="C290" s="1264"/>
      <c r="D290" s="1265"/>
      <c r="E290" s="1265"/>
      <c r="F290" s="1265"/>
      <c r="G290" s="1265"/>
      <c r="H290" s="1263"/>
      <c r="I290" s="1264"/>
      <c r="J290" s="1265"/>
      <c r="K290" s="1265"/>
      <c r="L290" s="1265"/>
      <c r="M290" s="1265"/>
      <c r="N290" s="1265"/>
      <c r="O290" s="1265"/>
      <c r="P290" s="1265"/>
    </row>
    <row r="291" ht="17.25" customHeight="1">
      <c r="A291" s="1263"/>
      <c r="B291" s="1140"/>
      <c r="C291" s="1264"/>
      <c r="D291" s="1265"/>
      <c r="E291" s="1265"/>
      <c r="F291" s="1265"/>
      <c r="G291" s="1265"/>
      <c r="H291" s="1263"/>
      <c r="I291" s="1264"/>
      <c r="J291" s="1265"/>
      <c r="K291" s="1265"/>
      <c r="L291" s="1265"/>
      <c r="M291" s="1265"/>
      <c r="N291" s="1265"/>
      <c r="O291" s="1265"/>
      <c r="P291" s="1265"/>
    </row>
    <row r="292" ht="17.25" customHeight="1">
      <c r="A292" s="1263"/>
      <c r="B292" s="1140"/>
      <c r="C292" s="1264"/>
      <c r="D292" s="1265"/>
      <c r="E292" s="1265"/>
      <c r="F292" s="1265"/>
      <c r="G292" s="1265"/>
      <c r="H292" s="1263"/>
      <c r="I292" s="1264"/>
      <c r="J292" s="1265"/>
      <c r="K292" s="1265"/>
      <c r="L292" s="1265"/>
      <c r="M292" s="1265"/>
      <c r="N292" s="1265"/>
      <c r="O292" s="1265"/>
      <c r="P292" s="1265"/>
    </row>
    <row r="293" ht="17.25" customHeight="1">
      <c r="A293" s="1263"/>
      <c r="B293" s="1140"/>
      <c r="C293" s="1264"/>
      <c r="D293" s="1265"/>
      <c r="E293" s="1265"/>
      <c r="F293" s="1265"/>
      <c r="G293" s="1265"/>
      <c r="H293" s="1263"/>
      <c r="I293" s="1264"/>
      <c r="J293" s="1265"/>
      <c r="K293" s="1265"/>
      <c r="L293" s="1265"/>
      <c r="M293" s="1265"/>
      <c r="N293" s="1265"/>
      <c r="O293" s="1265"/>
      <c r="P293" s="1265"/>
    </row>
    <row r="294" ht="17.25" customHeight="1">
      <c r="A294" s="1263"/>
      <c r="B294" s="1140"/>
      <c r="C294" s="1264"/>
      <c r="D294" s="1265"/>
      <c r="E294" s="1265"/>
      <c r="F294" s="1265"/>
      <c r="G294" s="1265"/>
      <c r="H294" s="1263"/>
      <c r="I294" s="1264"/>
      <c r="J294" s="1265"/>
      <c r="K294" s="1265"/>
      <c r="L294" s="1265"/>
      <c r="M294" s="1265"/>
      <c r="N294" s="1265"/>
      <c r="O294" s="1265"/>
      <c r="P294" s="1265"/>
    </row>
    <row r="295" ht="17.25" customHeight="1">
      <c r="A295" s="1263"/>
      <c r="B295" s="1140"/>
      <c r="C295" s="1264"/>
      <c r="D295" s="1265"/>
      <c r="E295" s="1265"/>
      <c r="F295" s="1265"/>
      <c r="G295" s="1265"/>
      <c r="H295" s="1263"/>
      <c r="I295" s="1264"/>
      <c r="J295" s="1265"/>
      <c r="K295" s="1265"/>
      <c r="L295" s="1265"/>
      <c r="M295" s="1265"/>
      <c r="N295" s="1265"/>
      <c r="O295" s="1265"/>
      <c r="P295" s="1265"/>
    </row>
    <row r="296" ht="17.25" customHeight="1">
      <c r="A296" s="1263"/>
      <c r="B296" s="1140"/>
      <c r="C296" s="1264"/>
      <c r="D296" s="1265"/>
      <c r="E296" s="1265"/>
      <c r="F296" s="1265"/>
      <c r="G296" s="1265"/>
      <c r="H296" s="1263"/>
      <c r="I296" s="1264"/>
      <c r="J296" s="1265"/>
      <c r="K296" s="1265"/>
      <c r="L296" s="1265"/>
      <c r="M296" s="1265"/>
      <c r="N296" s="1265"/>
      <c r="O296" s="1265"/>
      <c r="P296" s="1265"/>
    </row>
    <row r="297" ht="17.25" customHeight="1">
      <c r="A297" s="1263"/>
      <c r="B297" s="1140"/>
      <c r="C297" s="1264"/>
      <c r="D297" s="1265"/>
      <c r="E297" s="1265"/>
      <c r="F297" s="1265"/>
      <c r="G297" s="1265"/>
      <c r="H297" s="1263"/>
      <c r="I297" s="1264"/>
      <c r="J297" s="1265"/>
      <c r="K297" s="1265"/>
      <c r="L297" s="1265"/>
      <c r="M297" s="1265"/>
      <c r="N297" s="1265"/>
      <c r="O297" s="1265"/>
      <c r="P297" s="1265"/>
    </row>
    <row r="298" ht="17.25" customHeight="1">
      <c r="A298" s="1263"/>
      <c r="B298" s="1140"/>
      <c r="C298" s="1264"/>
      <c r="D298" s="1265"/>
      <c r="E298" s="1265"/>
      <c r="F298" s="1265"/>
      <c r="G298" s="1265"/>
      <c r="H298" s="1263"/>
      <c r="I298" s="1264"/>
      <c r="J298" s="1265"/>
      <c r="K298" s="1265"/>
      <c r="L298" s="1265"/>
      <c r="M298" s="1265"/>
      <c r="N298" s="1265"/>
      <c r="O298" s="1265"/>
      <c r="P298" s="1265"/>
    </row>
    <row r="299" ht="17.25" customHeight="1">
      <c r="A299" s="1263"/>
      <c r="B299" s="1140"/>
      <c r="C299" s="1264"/>
      <c r="D299" s="1265"/>
      <c r="E299" s="1265"/>
      <c r="F299" s="1265"/>
      <c r="G299" s="1265"/>
      <c r="H299" s="1263"/>
      <c r="I299" s="1264"/>
      <c r="J299" s="1265"/>
      <c r="K299" s="1265"/>
      <c r="L299" s="1265"/>
      <c r="M299" s="1265"/>
      <c r="N299" s="1265"/>
      <c r="O299" s="1265"/>
      <c r="P299" s="1265"/>
    </row>
    <row r="300" ht="17.25" customHeight="1">
      <c r="A300" s="1263"/>
      <c r="B300" s="1140"/>
      <c r="C300" s="1264"/>
      <c r="D300" s="1265"/>
      <c r="E300" s="1265"/>
      <c r="F300" s="1265"/>
      <c r="G300" s="1265"/>
      <c r="H300" s="1263"/>
      <c r="I300" s="1264"/>
      <c r="J300" s="1265"/>
      <c r="K300" s="1265"/>
      <c r="L300" s="1265"/>
      <c r="M300" s="1265"/>
      <c r="N300" s="1265"/>
      <c r="O300" s="1265"/>
      <c r="P300" s="1265"/>
    </row>
    <row r="301" ht="17.25" customHeight="1">
      <c r="A301" s="1263"/>
      <c r="B301" s="1140"/>
      <c r="C301" s="1264"/>
      <c r="D301" s="1265"/>
      <c r="E301" s="1265"/>
      <c r="F301" s="1265"/>
      <c r="G301" s="1265"/>
      <c r="H301" s="1263"/>
      <c r="I301" s="1264"/>
      <c r="J301" s="1265"/>
      <c r="K301" s="1265"/>
      <c r="L301" s="1265"/>
      <c r="M301" s="1265"/>
      <c r="N301" s="1265"/>
      <c r="O301" s="1265"/>
      <c r="P301" s="1265"/>
    </row>
    <row r="302" ht="17.25" customHeight="1">
      <c r="A302" s="1263"/>
      <c r="B302" s="1140"/>
      <c r="C302" s="1264"/>
      <c r="D302" s="1265"/>
      <c r="E302" s="1265"/>
      <c r="F302" s="1265"/>
      <c r="G302" s="1265"/>
      <c r="H302" s="1263"/>
      <c r="I302" s="1264"/>
      <c r="J302" s="1265"/>
      <c r="K302" s="1265"/>
      <c r="L302" s="1265"/>
      <c r="M302" s="1265"/>
      <c r="N302" s="1265"/>
      <c r="O302" s="1265"/>
      <c r="P302" s="1265"/>
    </row>
    <row r="303" ht="17.25" customHeight="1">
      <c r="A303" s="1263"/>
      <c r="B303" s="1140"/>
      <c r="C303" s="1264"/>
      <c r="D303" s="1265"/>
      <c r="E303" s="1265"/>
      <c r="F303" s="1265"/>
      <c r="G303" s="1265"/>
      <c r="H303" s="1263"/>
      <c r="I303" s="1264"/>
      <c r="J303" s="1265"/>
      <c r="K303" s="1265"/>
      <c r="L303" s="1265"/>
      <c r="M303" s="1265"/>
      <c r="N303" s="1265"/>
      <c r="O303" s="1265"/>
      <c r="P303" s="1265"/>
    </row>
    <row r="304" ht="17.25" customHeight="1">
      <c r="A304" s="1263"/>
      <c r="B304" s="1140"/>
      <c r="C304" s="1264"/>
      <c r="D304" s="1265"/>
      <c r="E304" s="1265"/>
      <c r="F304" s="1265"/>
      <c r="G304" s="1265"/>
      <c r="H304" s="1263"/>
      <c r="I304" s="1264"/>
      <c r="J304" s="1265"/>
      <c r="K304" s="1265"/>
      <c r="L304" s="1265"/>
      <c r="M304" s="1265"/>
      <c r="N304" s="1265"/>
      <c r="O304" s="1265"/>
      <c r="P304" s="1265"/>
    </row>
    <row r="305" ht="17.25" customHeight="1">
      <c r="A305" s="1263"/>
      <c r="B305" s="1140"/>
      <c r="C305" s="1264"/>
      <c r="D305" s="1265"/>
      <c r="E305" s="1265"/>
      <c r="F305" s="1265"/>
      <c r="G305" s="1265"/>
      <c r="H305" s="1263"/>
      <c r="I305" s="1264"/>
      <c r="J305" s="1265"/>
      <c r="K305" s="1265"/>
      <c r="L305" s="1265"/>
      <c r="M305" s="1265"/>
      <c r="N305" s="1265"/>
      <c r="O305" s="1265"/>
      <c r="P305" s="1265"/>
    </row>
    <row r="306" ht="17.25" customHeight="1">
      <c r="A306" s="1263"/>
      <c r="B306" s="1140"/>
      <c r="C306" s="1264"/>
      <c r="D306" s="1265"/>
      <c r="E306" s="1265"/>
      <c r="F306" s="1265"/>
      <c r="G306" s="1265"/>
      <c r="H306" s="1263"/>
      <c r="I306" s="1264"/>
      <c r="J306" s="1265"/>
      <c r="K306" s="1265"/>
      <c r="L306" s="1265"/>
      <c r="M306" s="1265"/>
      <c r="N306" s="1265"/>
      <c r="O306" s="1265"/>
      <c r="P306" s="1265"/>
    </row>
    <row r="307" ht="17.25" customHeight="1">
      <c r="A307" s="1263"/>
      <c r="B307" s="1140"/>
      <c r="C307" s="1264"/>
      <c r="D307" s="1265"/>
      <c r="E307" s="1265"/>
      <c r="F307" s="1265"/>
      <c r="G307" s="1265"/>
      <c r="H307" s="1263"/>
      <c r="I307" s="1264"/>
      <c r="J307" s="1265"/>
      <c r="K307" s="1265"/>
      <c r="L307" s="1265"/>
      <c r="M307" s="1265"/>
      <c r="N307" s="1265"/>
      <c r="O307" s="1265"/>
      <c r="P307" s="1265"/>
    </row>
    <row r="308" ht="17.25" customHeight="1">
      <c r="A308" s="1263"/>
      <c r="B308" s="1140"/>
      <c r="C308" s="1264"/>
      <c r="D308" s="1265"/>
      <c r="E308" s="1265"/>
      <c r="F308" s="1265"/>
      <c r="G308" s="1265"/>
      <c r="H308" s="1263"/>
      <c r="I308" s="1264"/>
      <c r="J308" s="1265"/>
      <c r="K308" s="1265"/>
      <c r="L308" s="1265"/>
      <c r="M308" s="1265"/>
      <c r="N308" s="1265"/>
      <c r="O308" s="1265"/>
      <c r="P308" s="1265"/>
    </row>
    <row r="309" ht="17.25" customHeight="1">
      <c r="A309" s="1263"/>
      <c r="B309" s="1140"/>
      <c r="C309" s="1264"/>
      <c r="D309" s="1265"/>
      <c r="E309" s="1265"/>
      <c r="F309" s="1265"/>
      <c r="G309" s="1265"/>
      <c r="H309" s="1263"/>
      <c r="I309" s="1264"/>
      <c r="J309" s="1265"/>
      <c r="K309" s="1265"/>
      <c r="L309" s="1265"/>
      <c r="M309" s="1265"/>
      <c r="N309" s="1265"/>
      <c r="O309" s="1265"/>
      <c r="P309" s="1265"/>
    </row>
    <row r="310" ht="17.25" customHeight="1">
      <c r="A310" s="1263"/>
      <c r="B310" s="1140"/>
      <c r="C310" s="1264"/>
      <c r="D310" s="1265"/>
      <c r="E310" s="1265"/>
      <c r="F310" s="1265"/>
      <c r="G310" s="1265"/>
      <c r="H310" s="1263"/>
      <c r="I310" s="1264"/>
      <c r="J310" s="1265"/>
      <c r="K310" s="1265"/>
      <c r="L310" s="1265"/>
      <c r="M310" s="1265"/>
      <c r="N310" s="1265"/>
      <c r="O310" s="1265"/>
      <c r="P310" s="1265"/>
    </row>
    <row r="311" ht="17.25" customHeight="1">
      <c r="A311" s="1263"/>
      <c r="B311" s="1140"/>
      <c r="C311" s="1264"/>
      <c r="D311" s="1265"/>
      <c r="E311" s="1265"/>
      <c r="F311" s="1265"/>
      <c r="G311" s="1265"/>
      <c r="H311" s="1263"/>
      <c r="I311" s="1264"/>
      <c r="J311" s="1265"/>
      <c r="K311" s="1265"/>
      <c r="L311" s="1265"/>
      <c r="M311" s="1265"/>
      <c r="N311" s="1265"/>
      <c r="O311" s="1265"/>
      <c r="P311" s="1265"/>
    </row>
    <row r="312" ht="17.25" customHeight="1">
      <c r="A312" s="1263"/>
      <c r="B312" s="1140"/>
      <c r="C312" s="1264"/>
      <c r="D312" s="1265"/>
      <c r="E312" s="1265"/>
      <c r="F312" s="1265"/>
      <c r="G312" s="1265"/>
      <c r="H312" s="1263"/>
      <c r="I312" s="1264"/>
      <c r="J312" s="1265"/>
      <c r="K312" s="1265"/>
      <c r="L312" s="1265"/>
      <c r="M312" s="1265"/>
      <c r="N312" s="1265"/>
      <c r="O312" s="1265"/>
      <c r="P312" s="1265"/>
    </row>
    <row r="313" ht="17.25" customHeight="1">
      <c r="A313" s="1263"/>
      <c r="B313" s="1140"/>
      <c r="C313" s="1264"/>
      <c r="D313" s="1265"/>
      <c r="E313" s="1265"/>
      <c r="F313" s="1265"/>
      <c r="G313" s="1265"/>
      <c r="H313" s="1263"/>
      <c r="I313" s="1264"/>
      <c r="J313" s="1265"/>
      <c r="K313" s="1265"/>
      <c r="L313" s="1265"/>
      <c r="M313" s="1265"/>
      <c r="N313" s="1265"/>
      <c r="O313" s="1265"/>
      <c r="P313" s="1265"/>
    </row>
    <row r="314" ht="17.25" customHeight="1">
      <c r="A314" s="1263"/>
      <c r="B314" s="1140"/>
      <c r="C314" s="1264"/>
      <c r="D314" s="1265"/>
      <c r="E314" s="1265"/>
      <c r="F314" s="1265"/>
      <c r="G314" s="1265"/>
      <c r="H314" s="1263"/>
      <c r="I314" s="1264"/>
      <c r="J314" s="1265"/>
      <c r="K314" s="1265"/>
      <c r="L314" s="1265"/>
      <c r="M314" s="1265"/>
      <c r="N314" s="1265"/>
      <c r="O314" s="1265"/>
      <c r="P314" s="1265"/>
    </row>
    <row r="315" ht="17.25" customHeight="1">
      <c r="A315" s="1263"/>
      <c r="B315" s="1140"/>
      <c r="C315" s="1264"/>
      <c r="D315" s="1265"/>
      <c r="E315" s="1265"/>
      <c r="F315" s="1265"/>
      <c r="G315" s="1265"/>
      <c r="H315" s="1263"/>
      <c r="I315" s="1264"/>
      <c r="J315" s="1265"/>
      <c r="K315" s="1265"/>
      <c r="L315" s="1265"/>
      <c r="M315" s="1265"/>
      <c r="N315" s="1265"/>
      <c r="O315" s="1265"/>
      <c r="P315" s="1265"/>
    </row>
    <row r="316" ht="17.25" customHeight="1">
      <c r="A316" s="1263"/>
      <c r="B316" s="1140"/>
      <c r="C316" s="1264"/>
      <c r="D316" s="1265"/>
      <c r="E316" s="1265"/>
      <c r="F316" s="1265"/>
      <c r="G316" s="1265"/>
      <c r="H316" s="1263"/>
      <c r="I316" s="1264"/>
      <c r="J316" s="1265"/>
      <c r="K316" s="1265"/>
      <c r="L316" s="1265"/>
      <c r="M316" s="1265"/>
      <c r="N316" s="1265"/>
      <c r="O316" s="1265"/>
      <c r="P316" s="1265"/>
    </row>
    <row r="317" ht="17.25" customHeight="1">
      <c r="A317" s="1263"/>
      <c r="B317" s="1140"/>
      <c r="C317" s="1264"/>
      <c r="D317" s="1265"/>
      <c r="E317" s="1265"/>
      <c r="F317" s="1265"/>
      <c r="G317" s="1265"/>
      <c r="H317" s="1263"/>
      <c r="I317" s="1264"/>
      <c r="J317" s="1265"/>
      <c r="K317" s="1265"/>
      <c r="L317" s="1265"/>
      <c r="M317" s="1265"/>
      <c r="N317" s="1265"/>
      <c r="O317" s="1265"/>
      <c r="P317" s="1265"/>
    </row>
    <row r="318" ht="17.25" customHeight="1">
      <c r="A318" s="1263"/>
      <c r="B318" s="1140"/>
      <c r="C318" s="1264"/>
      <c r="D318" s="1265"/>
      <c r="E318" s="1265"/>
      <c r="F318" s="1265"/>
      <c r="G318" s="1265"/>
      <c r="H318" s="1263"/>
      <c r="I318" s="1264"/>
      <c r="J318" s="1265"/>
      <c r="K318" s="1265"/>
      <c r="L318" s="1265"/>
      <c r="M318" s="1265"/>
      <c r="N318" s="1265"/>
      <c r="O318" s="1265"/>
      <c r="P318" s="1265"/>
    </row>
    <row r="319" ht="17.25" customHeight="1">
      <c r="A319" s="1263"/>
      <c r="B319" s="1140"/>
      <c r="C319" s="1264"/>
      <c r="D319" s="1265"/>
      <c r="E319" s="1265"/>
      <c r="F319" s="1265"/>
      <c r="G319" s="1265"/>
      <c r="H319" s="1263"/>
      <c r="I319" s="1264"/>
      <c r="J319" s="1265"/>
      <c r="K319" s="1265"/>
      <c r="L319" s="1265"/>
      <c r="M319" s="1265"/>
      <c r="N319" s="1265"/>
      <c r="O319" s="1265"/>
      <c r="P319" s="1265"/>
    </row>
    <row r="320" ht="17.25" customHeight="1">
      <c r="A320" s="1263"/>
      <c r="B320" s="1140"/>
      <c r="C320" s="1264"/>
      <c r="D320" s="1265"/>
      <c r="E320" s="1265"/>
      <c r="F320" s="1265"/>
      <c r="G320" s="1265"/>
      <c r="H320" s="1263"/>
      <c r="I320" s="1264"/>
      <c r="J320" s="1265"/>
      <c r="K320" s="1265"/>
      <c r="L320" s="1265"/>
      <c r="M320" s="1265"/>
      <c r="N320" s="1265"/>
      <c r="O320" s="1265"/>
      <c r="P320" s="1265"/>
    </row>
    <row r="321" ht="17.25" customHeight="1">
      <c r="A321" s="1263"/>
      <c r="B321" s="1140"/>
      <c r="C321" s="1264"/>
      <c r="D321" s="1265"/>
      <c r="E321" s="1265"/>
      <c r="F321" s="1265"/>
      <c r="G321" s="1265"/>
      <c r="H321" s="1263"/>
      <c r="I321" s="1264"/>
      <c r="J321" s="1265"/>
      <c r="K321" s="1265"/>
      <c r="L321" s="1265"/>
      <c r="M321" s="1265"/>
      <c r="N321" s="1265"/>
      <c r="O321" s="1265"/>
      <c r="P321" s="1265"/>
    </row>
    <row r="322" ht="17.25" customHeight="1">
      <c r="A322" s="1263"/>
      <c r="B322" s="1140"/>
      <c r="C322" s="1264"/>
      <c r="D322" s="1265"/>
      <c r="E322" s="1265"/>
      <c r="F322" s="1265"/>
      <c r="G322" s="1265"/>
      <c r="H322" s="1263"/>
      <c r="I322" s="1264"/>
      <c r="J322" s="1265"/>
      <c r="K322" s="1265"/>
      <c r="L322" s="1265"/>
      <c r="M322" s="1265"/>
      <c r="N322" s="1265"/>
      <c r="O322" s="1265"/>
      <c r="P322" s="1265"/>
    </row>
    <row r="323" ht="17.25" customHeight="1">
      <c r="A323" s="1263"/>
      <c r="B323" s="1140"/>
      <c r="C323" s="1264"/>
      <c r="D323" s="1265"/>
      <c r="E323" s="1265"/>
      <c r="F323" s="1265"/>
      <c r="G323" s="1265"/>
      <c r="H323" s="1263"/>
      <c r="I323" s="1264"/>
      <c r="J323" s="1265"/>
      <c r="K323" s="1265"/>
      <c r="L323" s="1265"/>
      <c r="M323" s="1265"/>
      <c r="N323" s="1265"/>
      <c r="O323" s="1265"/>
      <c r="P323" s="1265"/>
    </row>
    <row r="324" ht="17.25" customHeight="1">
      <c r="A324" s="1263"/>
      <c r="B324" s="1140"/>
      <c r="C324" s="1264"/>
      <c r="D324" s="1265"/>
      <c r="E324" s="1265"/>
      <c r="F324" s="1265"/>
      <c r="G324" s="1265"/>
      <c r="H324" s="1263"/>
      <c r="I324" s="1264"/>
      <c r="J324" s="1265"/>
      <c r="K324" s="1265"/>
      <c r="L324" s="1265"/>
      <c r="M324" s="1265"/>
      <c r="N324" s="1265"/>
      <c r="O324" s="1265"/>
      <c r="P324" s="1265"/>
    </row>
    <row r="325" ht="17.25" customHeight="1">
      <c r="A325" s="1263"/>
      <c r="B325" s="1140"/>
      <c r="C325" s="1264"/>
      <c r="D325" s="1265"/>
      <c r="E325" s="1265"/>
      <c r="F325" s="1265"/>
      <c r="G325" s="1265"/>
      <c r="H325" s="1263"/>
      <c r="I325" s="1264"/>
      <c r="J325" s="1265"/>
      <c r="K325" s="1265"/>
      <c r="L325" s="1265"/>
      <c r="M325" s="1265"/>
      <c r="N325" s="1265"/>
      <c r="O325" s="1265"/>
      <c r="P325" s="1265"/>
    </row>
    <row r="326" ht="17.25" customHeight="1">
      <c r="A326" s="1263"/>
      <c r="B326" s="1140"/>
      <c r="C326" s="1264"/>
      <c r="D326" s="1265"/>
      <c r="E326" s="1265"/>
      <c r="F326" s="1265"/>
      <c r="G326" s="1265"/>
      <c r="H326" s="1263"/>
      <c r="I326" s="1264"/>
      <c r="J326" s="1265"/>
      <c r="K326" s="1265"/>
      <c r="L326" s="1265"/>
      <c r="M326" s="1265"/>
      <c r="N326" s="1265"/>
      <c r="O326" s="1265"/>
      <c r="P326" s="1265"/>
    </row>
    <row r="327" ht="17.25" customHeight="1">
      <c r="A327" s="1263"/>
      <c r="B327" s="1140"/>
      <c r="C327" s="1264"/>
      <c r="D327" s="1265"/>
      <c r="E327" s="1265"/>
      <c r="F327" s="1265"/>
      <c r="G327" s="1265"/>
      <c r="H327" s="1263"/>
      <c r="I327" s="1264"/>
      <c r="J327" s="1265"/>
      <c r="K327" s="1265"/>
      <c r="L327" s="1265"/>
      <c r="M327" s="1265"/>
      <c r="N327" s="1265"/>
      <c r="O327" s="1265"/>
      <c r="P327" s="1265"/>
    </row>
    <row r="328" ht="17.25" customHeight="1">
      <c r="A328" s="1263"/>
      <c r="B328" s="1140"/>
      <c r="C328" s="1264"/>
      <c r="D328" s="1265"/>
      <c r="E328" s="1265"/>
      <c r="F328" s="1265"/>
      <c r="G328" s="1265"/>
      <c r="H328" s="1263"/>
      <c r="I328" s="1264"/>
      <c r="J328" s="1265"/>
      <c r="K328" s="1265"/>
      <c r="L328" s="1265"/>
      <c r="M328" s="1265"/>
      <c r="N328" s="1265"/>
      <c r="O328" s="1265"/>
      <c r="P328" s="1265"/>
    </row>
    <row r="329" ht="17.25" customHeight="1">
      <c r="A329" s="1263"/>
      <c r="B329" s="1140"/>
      <c r="C329" s="1264"/>
      <c r="D329" s="1265"/>
      <c r="E329" s="1265"/>
      <c r="F329" s="1265"/>
      <c r="G329" s="1265"/>
      <c r="H329" s="1263"/>
      <c r="I329" s="1264"/>
      <c r="J329" s="1265"/>
      <c r="K329" s="1265"/>
      <c r="L329" s="1265"/>
      <c r="M329" s="1265"/>
      <c r="N329" s="1265"/>
      <c r="O329" s="1265"/>
      <c r="P329" s="1265"/>
    </row>
    <row r="330" ht="17.25" customHeight="1">
      <c r="A330" s="1263"/>
      <c r="B330" s="1140"/>
      <c r="C330" s="1264"/>
      <c r="D330" s="1265"/>
      <c r="E330" s="1265"/>
      <c r="F330" s="1265"/>
      <c r="G330" s="1265"/>
      <c r="H330" s="1263"/>
      <c r="I330" s="1264"/>
      <c r="J330" s="1265"/>
      <c r="K330" s="1265"/>
      <c r="L330" s="1265"/>
      <c r="M330" s="1265"/>
      <c r="N330" s="1265"/>
      <c r="O330" s="1265"/>
      <c r="P330" s="1265"/>
    </row>
    <row r="331" ht="17.25" customHeight="1">
      <c r="A331" s="1263"/>
      <c r="B331" s="1140"/>
      <c r="C331" s="1264"/>
      <c r="D331" s="1265"/>
      <c r="E331" s="1265"/>
      <c r="F331" s="1265"/>
      <c r="G331" s="1265"/>
      <c r="H331" s="1263"/>
      <c r="I331" s="1264"/>
      <c r="J331" s="1265"/>
      <c r="K331" s="1265"/>
      <c r="L331" s="1265"/>
      <c r="M331" s="1265"/>
      <c r="N331" s="1265"/>
      <c r="O331" s="1265"/>
      <c r="P331" s="1265"/>
    </row>
    <row r="332" ht="17.25" customHeight="1">
      <c r="A332" s="1263"/>
      <c r="B332" s="1140"/>
      <c r="C332" s="1264"/>
      <c r="D332" s="1265"/>
      <c r="E332" s="1265"/>
      <c r="F332" s="1265"/>
      <c r="G332" s="1265"/>
      <c r="H332" s="1263"/>
      <c r="I332" s="1264"/>
      <c r="J332" s="1265"/>
      <c r="K332" s="1265"/>
      <c r="L332" s="1265"/>
      <c r="M332" s="1265"/>
      <c r="N332" s="1265"/>
      <c r="O332" s="1265"/>
      <c r="P332" s="1265"/>
    </row>
    <row r="333" ht="17.25" customHeight="1">
      <c r="A333" s="1263"/>
      <c r="B333" s="1140"/>
      <c r="C333" s="1264"/>
      <c r="D333" s="1265"/>
      <c r="E333" s="1265"/>
      <c r="F333" s="1265"/>
      <c r="G333" s="1265"/>
      <c r="H333" s="1263"/>
      <c r="I333" s="1264"/>
      <c r="J333" s="1265"/>
      <c r="K333" s="1265"/>
      <c r="L333" s="1265"/>
      <c r="M333" s="1265"/>
      <c r="N333" s="1265"/>
      <c r="O333" s="1265"/>
      <c r="P333" s="1265"/>
    </row>
    <row r="334" ht="17.25" customHeight="1">
      <c r="A334" s="1263"/>
      <c r="B334" s="1140"/>
      <c r="C334" s="1264"/>
      <c r="D334" s="1265"/>
      <c r="E334" s="1265"/>
      <c r="F334" s="1265"/>
      <c r="G334" s="1265"/>
      <c r="H334" s="1263"/>
      <c r="I334" s="1264"/>
      <c r="J334" s="1265"/>
      <c r="K334" s="1265"/>
      <c r="L334" s="1265"/>
      <c r="M334" s="1265"/>
      <c r="N334" s="1265"/>
      <c r="O334" s="1265"/>
      <c r="P334" s="1265"/>
    </row>
    <row r="335" ht="17.25" customHeight="1">
      <c r="A335" s="1263"/>
      <c r="B335" s="1140"/>
      <c r="C335" s="1264"/>
      <c r="D335" s="1265"/>
      <c r="E335" s="1265"/>
      <c r="F335" s="1265"/>
      <c r="G335" s="1265"/>
      <c r="H335" s="1263"/>
      <c r="I335" s="1264"/>
      <c r="J335" s="1265"/>
      <c r="K335" s="1265"/>
      <c r="L335" s="1265"/>
      <c r="M335" s="1265"/>
      <c r="N335" s="1265"/>
      <c r="O335" s="1265"/>
      <c r="P335" s="1265"/>
    </row>
    <row r="336" ht="17.25" customHeight="1">
      <c r="A336" s="1263"/>
      <c r="B336" s="1140"/>
      <c r="C336" s="1264"/>
      <c r="D336" s="1265"/>
      <c r="E336" s="1265"/>
      <c r="F336" s="1265"/>
      <c r="G336" s="1265"/>
      <c r="H336" s="1263"/>
      <c r="I336" s="1264"/>
      <c r="J336" s="1265"/>
      <c r="K336" s="1265"/>
      <c r="L336" s="1265"/>
      <c r="M336" s="1265"/>
      <c r="N336" s="1265"/>
      <c r="O336" s="1265"/>
      <c r="P336" s="1265"/>
    </row>
    <row r="337" ht="17.25" customHeight="1">
      <c r="A337" s="1263"/>
      <c r="B337" s="1140"/>
      <c r="C337" s="1264"/>
      <c r="D337" s="1265"/>
      <c r="E337" s="1265"/>
      <c r="F337" s="1265"/>
      <c r="G337" s="1265"/>
      <c r="H337" s="1263"/>
      <c r="I337" s="1264"/>
      <c r="J337" s="1265"/>
      <c r="K337" s="1265"/>
      <c r="L337" s="1265"/>
      <c r="M337" s="1265"/>
      <c r="N337" s="1265"/>
      <c r="O337" s="1265"/>
      <c r="P337" s="1265"/>
    </row>
    <row r="338" ht="17.25" customHeight="1">
      <c r="A338" s="1263"/>
      <c r="B338" s="1140"/>
      <c r="C338" s="1264"/>
      <c r="D338" s="1265"/>
      <c r="E338" s="1265"/>
      <c r="F338" s="1265"/>
      <c r="G338" s="1265"/>
      <c r="H338" s="1263"/>
      <c r="I338" s="1264"/>
      <c r="J338" s="1265"/>
      <c r="K338" s="1265"/>
      <c r="L338" s="1265"/>
      <c r="M338" s="1265"/>
      <c r="N338" s="1265"/>
      <c r="O338" s="1265"/>
      <c r="P338" s="1265"/>
    </row>
    <row r="339" ht="17.25" customHeight="1">
      <c r="A339" s="1263"/>
      <c r="B339" s="1140"/>
      <c r="C339" s="1264"/>
      <c r="D339" s="1265"/>
      <c r="E339" s="1265"/>
      <c r="F339" s="1265"/>
      <c r="G339" s="1265"/>
      <c r="H339" s="1263"/>
      <c r="I339" s="1264"/>
      <c r="J339" s="1265"/>
      <c r="K339" s="1265"/>
      <c r="L339" s="1265"/>
      <c r="M339" s="1265"/>
      <c r="N339" s="1265"/>
      <c r="O339" s="1265"/>
      <c r="P339" s="1265"/>
    </row>
    <row r="340" ht="17.25" customHeight="1">
      <c r="A340" s="1263"/>
      <c r="B340" s="1140"/>
      <c r="C340" s="1264"/>
      <c r="D340" s="1265"/>
      <c r="E340" s="1265"/>
      <c r="F340" s="1265"/>
      <c r="G340" s="1265"/>
      <c r="H340" s="1263"/>
      <c r="I340" s="1264"/>
      <c r="J340" s="1265"/>
      <c r="K340" s="1265"/>
      <c r="L340" s="1265"/>
      <c r="M340" s="1265"/>
      <c r="N340" s="1265"/>
      <c r="O340" s="1265"/>
      <c r="P340" s="1265"/>
    </row>
    <row r="341" ht="17.25" customHeight="1">
      <c r="A341" s="1263"/>
      <c r="B341" s="1140"/>
      <c r="C341" s="1264"/>
      <c r="D341" s="1265"/>
      <c r="E341" s="1265"/>
      <c r="F341" s="1265"/>
      <c r="G341" s="1265"/>
      <c r="H341" s="1263"/>
      <c r="I341" s="1264"/>
      <c r="J341" s="1265"/>
      <c r="K341" s="1265"/>
      <c r="L341" s="1265"/>
      <c r="M341" s="1265"/>
      <c r="N341" s="1265"/>
      <c r="O341" s="1265"/>
      <c r="P341" s="1265"/>
    </row>
    <row r="342" ht="17.25" customHeight="1">
      <c r="A342" s="1263"/>
      <c r="B342" s="1140"/>
      <c r="C342" s="1264"/>
      <c r="D342" s="1265"/>
      <c r="E342" s="1265"/>
      <c r="F342" s="1265"/>
      <c r="G342" s="1265"/>
      <c r="H342" s="1263"/>
      <c r="I342" s="1264"/>
      <c r="J342" s="1265"/>
      <c r="K342" s="1265"/>
      <c r="L342" s="1265"/>
      <c r="M342" s="1265"/>
      <c r="N342" s="1265"/>
      <c r="O342" s="1265"/>
      <c r="P342" s="1265"/>
    </row>
    <row r="343" ht="17.25" customHeight="1">
      <c r="A343" s="1263"/>
      <c r="B343" s="1140"/>
      <c r="C343" s="1264"/>
      <c r="D343" s="1265"/>
      <c r="E343" s="1265"/>
      <c r="F343" s="1265"/>
      <c r="G343" s="1265"/>
      <c r="H343" s="1263"/>
      <c r="I343" s="1264"/>
      <c r="J343" s="1265"/>
      <c r="K343" s="1265"/>
      <c r="L343" s="1265"/>
      <c r="M343" s="1265"/>
      <c r="N343" s="1265"/>
      <c r="O343" s="1265"/>
      <c r="P343" s="1265"/>
    </row>
    <row r="344" ht="17.25" customHeight="1">
      <c r="A344" s="1263"/>
      <c r="B344" s="1140"/>
      <c r="C344" s="1264"/>
      <c r="D344" s="1265"/>
      <c r="E344" s="1265"/>
      <c r="F344" s="1265"/>
      <c r="G344" s="1265"/>
      <c r="H344" s="1263"/>
      <c r="I344" s="1264"/>
      <c r="J344" s="1265"/>
      <c r="K344" s="1265"/>
      <c r="L344" s="1265"/>
      <c r="M344" s="1265"/>
      <c r="N344" s="1265"/>
      <c r="O344" s="1265"/>
      <c r="P344" s="1265"/>
    </row>
    <row r="345" ht="17.25" customHeight="1">
      <c r="A345" s="1263"/>
      <c r="B345" s="1140"/>
      <c r="C345" s="1264"/>
      <c r="D345" s="1265"/>
      <c r="E345" s="1265"/>
      <c r="F345" s="1265"/>
      <c r="G345" s="1265"/>
      <c r="H345" s="1263"/>
      <c r="I345" s="1264"/>
      <c r="J345" s="1265"/>
      <c r="K345" s="1265"/>
      <c r="L345" s="1265"/>
      <c r="M345" s="1265"/>
      <c r="N345" s="1265"/>
      <c r="O345" s="1265"/>
      <c r="P345" s="1265"/>
    </row>
    <row r="346" ht="17.25" customHeight="1">
      <c r="A346" s="1263"/>
      <c r="B346" s="1140"/>
      <c r="C346" s="1264"/>
      <c r="D346" s="1265"/>
      <c r="E346" s="1265"/>
      <c r="F346" s="1265"/>
      <c r="G346" s="1265"/>
      <c r="H346" s="1263"/>
      <c r="I346" s="1264"/>
      <c r="J346" s="1265"/>
      <c r="K346" s="1265"/>
      <c r="L346" s="1265"/>
      <c r="M346" s="1265"/>
      <c r="N346" s="1265"/>
      <c r="O346" s="1265"/>
      <c r="P346" s="1265"/>
    </row>
    <row r="347" ht="17.25" customHeight="1">
      <c r="A347" s="1263"/>
      <c r="B347" s="1140"/>
      <c r="C347" s="1264"/>
      <c r="D347" s="1265"/>
      <c r="E347" s="1265"/>
      <c r="F347" s="1265"/>
      <c r="G347" s="1265"/>
      <c r="H347" s="1263"/>
      <c r="I347" s="1264"/>
      <c r="J347" s="1265"/>
      <c r="K347" s="1265"/>
      <c r="L347" s="1265"/>
      <c r="M347" s="1265"/>
      <c r="N347" s="1265"/>
      <c r="O347" s="1265"/>
      <c r="P347" s="1265"/>
    </row>
    <row r="348" ht="17.25" customHeight="1">
      <c r="A348" s="1263"/>
      <c r="B348" s="1140"/>
      <c r="C348" s="1264"/>
      <c r="D348" s="1265"/>
      <c r="E348" s="1265"/>
      <c r="F348" s="1265"/>
      <c r="G348" s="1265"/>
      <c r="H348" s="1263"/>
      <c r="I348" s="1264"/>
      <c r="J348" s="1265"/>
      <c r="K348" s="1265"/>
      <c r="L348" s="1265"/>
      <c r="M348" s="1265"/>
      <c r="N348" s="1265"/>
      <c r="O348" s="1265"/>
      <c r="P348" s="1265"/>
    </row>
    <row r="349" ht="17.25" customHeight="1">
      <c r="A349" s="1263"/>
      <c r="B349" s="1140"/>
      <c r="C349" s="1264"/>
      <c r="D349" s="1265"/>
      <c r="E349" s="1265"/>
      <c r="F349" s="1265"/>
      <c r="G349" s="1265"/>
      <c r="H349" s="1263"/>
      <c r="I349" s="1264"/>
      <c r="J349" s="1265"/>
      <c r="K349" s="1265"/>
      <c r="L349" s="1265"/>
      <c r="M349" s="1265"/>
      <c r="N349" s="1265"/>
      <c r="O349" s="1265"/>
      <c r="P349" s="1265"/>
    </row>
    <row r="350" ht="17.25" customHeight="1">
      <c r="A350" s="1263"/>
      <c r="B350" s="1140"/>
      <c r="C350" s="1264"/>
      <c r="D350" s="1265"/>
      <c r="E350" s="1265"/>
      <c r="F350" s="1265"/>
      <c r="G350" s="1265"/>
      <c r="H350" s="1263"/>
      <c r="I350" s="1264"/>
      <c r="J350" s="1265"/>
      <c r="K350" s="1265"/>
      <c r="L350" s="1265"/>
      <c r="M350" s="1265"/>
      <c r="N350" s="1265"/>
      <c r="O350" s="1265"/>
      <c r="P350" s="1265"/>
    </row>
    <row r="351" ht="17.25" customHeight="1">
      <c r="A351" s="1263"/>
      <c r="B351" s="1140"/>
      <c r="C351" s="1264"/>
      <c r="D351" s="1265"/>
      <c r="E351" s="1265"/>
      <c r="F351" s="1265"/>
      <c r="G351" s="1265"/>
      <c r="H351" s="1263"/>
      <c r="I351" s="1264"/>
      <c r="J351" s="1265"/>
      <c r="K351" s="1265"/>
      <c r="L351" s="1265"/>
      <c r="M351" s="1265"/>
      <c r="N351" s="1265"/>
      <c r="O351" s="1265"/>
      <c r="P351" s="1265"/>
    </row>
    <row r="352" ht="17.25" customHeight="1">
      <c r="A352" s="1263"/>
      <c r="B352" s="1140"/>
      <c r="C352" s="1264"/>
      <c r="D352" s="1265"/>
      <c r="E352" s="1265"/>
      <c r="F352" s="1265"/>
      <c r="G352" s="1265"/>
      <c r="H352" s="1263"/>
      <c r="I352" s="1264"/>
      <c r="J352" s="1265"/>
      <c r="K352" s="1265"/>
      <c r="L352" s="1265"/>
      <c r="M352" s="1265"/>
      <c r="N352" s="1265"/>
      <c r="O352" s="1265"/>
      <c r="P352" s="1265"/>
    </row>
    <row r="353" ht="17.25" customHeight="1">
      <c r="A353" s="1263"/>
      <c r="B353" s="1140"/>
      <c r="C353" s="1264"/>
      <c r="D353" s="1265"/>
      <c r="E353" s="1265"/>
      <c r="F353" s="1265"/>
      <c r="G353" s="1265"/>
      <c r="H353" s="1263"/>
      <c r="I353" s="1264"/>
      <c r="J353" s="1265"/>
      <c r="K353" s="1265"/>
      <c r="L353" s="1265"/>
      <c r="M353" s="1265"/>
      <c r="N353" s="1265"/>
      <c r="O353" s="1265"/>
      <c r="P353" s="1265"/>
    </row>
    <row r="354" ht="17.25" customHeight="1">
      <c r="A354" s="1263"/>
      <c r="B354" s="1140"/>
      <c r="C354" s="1264"/>
      <c r="D354" s="1265"/>
      <c r="E354" s="1265"/>
      <c r="F354" s="1265"/>
      <c r="G354" s="1265"/>
      <c r="H354" s="1263"/>
      <c r="I354" s="1264"/>
      <c r="J354" s="1265"/>
      <c r="K354" s="1265"/>
      <c r="L354" s="1265"/>
      <c r="M354" s="1265"/>
      <c r="N354" s="1265"/>
      <c r="O354" s="1265"/>
      <c r="P354" s="1265"/>
    </row>
    <row r="355" ht="17.25" customHeight="1">
      <c r="A355" s="1263"/>
      <c r="B355" s="1140"/>
      <c r="C355" s="1264"/>
      <c r="D355" s="1265"/>
      <c r="E355" s="1265"/>
      <c r="F355" s="1265"/>
      <c r="G355" s="1265"/>
      <c r="H355" s="1263"/>
      <c r="I355" s="1264"/>
      <c r="J355" s="1265"/>
      <c r="K355" s="1265"/>
      <c r="L355" s="1265"/>
      <c r="M355" s="1265"/>
      <c r="N355" s="1265"/>
      <c r="O355" s="1265"/>
      <c r="P355" s="1265"/>
    </row>
    <row r="356" ht="17.25" customHeight="1">
      <c r="A356" s="1263"/>
      <c r="B356" s="1140"/>
      <c r="C356" s="1264"/>
      <c r="D356" s="1265"/>
      <c r="E356" s="1265"/>
      <c r="F356" s="1265"/>
      <c r="G356" s="1265"/>
      <c r="H356" s="1263"/>
      <c r="I356" s="1264"/>
      <c r="J356" s="1265"/>
      <c r="K356" s="1265"/>
      <c r="L356" s="1265"/>
      <c r="M356" s="1265"/>
      <c r="N356" s="1265"/>
      <c r="O356" s="1265"/>
      <c r="P356" s="1265"/>
    </row>
    <row r="357" ht="17.25" customHeight="1">
      <c r="A357" s="1263"/>
      <c r="B357" s="1140"/>
      <c r="C357" s="1264"/>
      <c r="D357" s="1265"/>
      <c r="E357" s="1265"/>
      <c r="F357" s="1265"/>
      <c r="G357" s="1265"/>
      <c r="H357" s="1263"/>
      <c r="I357" s="1264"/>
      <c r="J357" s="1265"/>
      <c r="K357" s="1265"/>
      <c r="L357" s="1265"/>
      <c r="M357" s="1265"/>
      <c r="N357" s="1265"/>
      <c r="O357" s="1265"/>
      <c r="P357" s="1265"/>
    </row>
    <row r="358" ht="17.25" customHeight="1">
      <c r="A358" s="1263"/>
      <c r="B358" s="1140"/>
      <c r="C358" s="1264"/>
      <c r="D358" s="1265"/>
      <c r="E358" s="1265"/>
      <c r="F358" s="1265"/>
      <c r="G358" s="1265"/>
      <c r="H358" s="1263"/>
      <c r="I358" s="1264"/>
      <c r="J358" s="1265"/>
      <c r="K358" s="1265"/>
      <c r="L358" s="1265"/>
      <c r="M358" s="1265"/>
      <c r="N358" s="1265"/>
      <c r="O358" s="1265"/>
      <c r="P358" s="1265"/>
    </row>
    <row r="359" ht="17.25" customHeight="1">
      <c r="A359" s="1263"/>
      <c r="B359" s="1140"/>
      <c r="C359" s="1264"/>
      <c r="D359" s="1265"/>
      <c r="E359" s="1265"/>
      <c r="F359" s="1265"/>
      <c r="G359" s="1265"/>
      <c r="H359" s="1263"/>
      <c r="I359" s="1264"/>
      <c r="J359" s="1265"/>
      <c r="K359" s="1265"/>
      <c r="L359" s="1265"/>
      <c r="M359" s="1265"/>
      <c r="N359" s="1265"/>
      <c r="O359" s="1265"/>
      <c r="P359" s="1265"/>
    </row>
    <row r="360" ht="17.25" customHeight="1">
      <c r="A360" s="1263"/>
      <c r="B360" s="1140"/>
      <c r="C360" s="1264"/>
      <c r="D360" s="1265"/>
      <c r="E360" s="1265"/>
      <c r="F360" s="1265"/>
      <c r="G360" s="1265"/>
      <c r="H360" s="1263"/>
      <c r="I360" s="1264"/>
      <c r="J360" s="1265"/>
      <c r="K360" s="1265"/>
      <c r="L360" s="1265"/>
      <c r="M360" s="1265"/>
      <c r="N360" s="1265"/>
      <c r="O360" s="1265"/>
      <c r="P360" s="1265"/>
    </row>
    <row r="361" ht="17.25" customHeight="1">
      <c r="A361" s="1263"/>
      <c r="B361" s="1140"/>
      <c r="C361" s="1264"/>
      <c r="D361" s="1265"/>
      <c r="E361" s="1265"/>
      <c r="F361" s="1265"/>
      <c r="G361" s="1265"/>
      <c r="H361" s="1263"/>
      <c r="I361" s="1264"/>
      <c r="J361" s="1265"/>
      <c r="K361" s="1265"/>
      <c r="L361" s="1265"/>
      <c r="M361" s="1265"/>
      <c r="N361" s="1265"/>
      <c r="O361" s="1265"/>
      <c r="P361" s="1265"/>
    </row>
    <row r="362" ht="17.25" customHeight="1">
      <c r="A362" s="1263"/>
      <c r="B362" s="1140"/>
      <c r="C362" s="1264"/>
      <c r="D362" s="1265"/>
      <c r="E362" s="1265"/>
      <c r="F362" s="1265"/>
      <c r="G362" s="1265"/>
      <c r="H362" s="1263"/>
      <c r="I362" s="1264"/>
      <c r="J362" s="1265"/>
      <c r="K362" s="1265"/>
      <c r="L362" s="1265"/>
      <c r="M362" s="1265"/>
      <c r="N362" s="1265"/>
      <c r="O362" s="1265"/>
      <c r="P362" s="1265"/>
    </row>
    <row r="363" ht="17.25" customHeight="1">
      <c r="A363" s="1263"/>
      <c r="B363" s="1140"/>
      <c r="C363" s="1264"/>
      <c r="D363" s="1265"/>
      <c r="E363" s="1265"/>
      <c r="F363" s="1265"/>
      <c r="G363" s="1265"/>
      <c r="H363" s="1263"/>
      <c r="I363" s="1264"/>
      <c r="J363" s="1265"/>
      <c r="K363" s="1265"/>
      <c r="L363" s="1265"/>
      <c r="M363" s="1265"/>
      <c r="N363" s="1265"/>
      <c r="O363" s="1265"/>
      <c r="P363" s="1265"/>
    </row>
    <row r="364" ht="17.25" customHeight="1">
      <c r="A364" s="1263"/>
      <c r="B364" s="1140"/>
      <c r="C364" s="1264"/>
      <c r="D364" s="1265"/>
      <c r="E364" s="1265"/>
      <c r="F364" s="1265"/>
      <c r="G364" s="1265"/>
      <c r="H364" s="1263"/>
      <c r="I364" s="1264"/>
      <c r="J364" s="1265"/>
      <c r="K364" s="1265"/>
      <c r="L364" s="1265"/>
      <c r="M364" s="1265"/>
      <c r="N364" s="1265"/>
      <c r="O364" s="1265"/>
      <c r="P364" s="1265"/>
    </row>
    <row r="365" ht="17.25" customHeight="1">
      <c r="A365" s="1263"/>
      <c r="B365" s="1140"/>
      <c r="C365" s="1264"/>
      <c r="D365" s="1265"/>
      <c r="E365" s="1265"/>
      <c r="F365" s="1265"/>
      <c r="G365" s="1265"/>
      <c r="H365" s="1263"/>
      <c r="I365" s="1264"/>
      <c r="J365" s="1265"/>
      <c r="K365" s="1265"/>
      <c r="L365" s="1265"/>
      <c r="M365" s="1265"/>
      <c r="N365" s="1265"/>
      <c r="O365" s="1265"/>
      <c r="P365" s="1265"/>
    </row>
    <row r="366" ht="17.25" customHeight="1">
      <c r="A366" s="1263"/>
      <c r="B366" s="1140"/>
      <c r="C366" s="1264"/>
      <c r="D366" s="1265"/>
      <c r="E366" s="1265"/>
      <c r="F366" s="1265"/>
      <c r="G366" s="1265"/>
      <c r="H366" s="1263"/>
      <c r="I366" s="1264"/>
      <c r="J366" s="1265"/>
      <c r="K366" s="1265"/>
      <c r="L366" s="1265"/>
      <c r="M366" s="1265"/>
      <c r="N366" s="1265"/>
      <c r="O366" s="1265"/>
      <c r="P366" s="1265"/>
    </row>
    <row r="367" ht="17.25" customHeight="1">
      <c r="A367" s="1263"/>
      <c r="B367" s="1140"/>
      <c r="C367" s="1264"/>
      <c r="D367" s="1265"/>
      <c r="E367" s="1265"/>
      <c r="F367" s="1265"/>
      <c r="G367" s="1265"/>
      <c r="H367" s="1263"/>
      <c r="I367" s="1264"/>
      <c r="J367" s="1265"/>
      <c r="K367" s="1265"/>
      <c r="L367" s="1265"/>
      <c r="M367" s="1265"/>
      <c r="N367" s="1265"/>
      <c r="O367" s="1265"/>
      <c r="P367" s="1265"/>
    </row>
    <row r="368" ht="17.25" customHeight="1">
      <c r="A368" s="1263"/>
      <c r="B368" s="1140"/>
      <c r="C368" s="1264"/>
      <c r="D368" s="1265"/>
      <c r="E368" s="1265"/>
      <c r="F368" s="1265"/>
      <c r="G368" s="1265"/>
      <c r="H368" s="1263"/>
      <c r="I368" s="1264"/>
      <c r="J368" s="1265"/>
      <c r="K368" s="1265"/>
      <c r="L368" s="1265"/>
      <c r="M368" s="1265"/>
      <c r="N368" s="1265"/>
      <c r="O368" s="1265"/>
      <c r="P368" s="1265"/>
    </row>
    <row r="369" ht="17.25" customHeight="1">
      <c r="A369" s="1263"/>
      <c r="B369" s="1140"/>
      <c r="C369" s="1264"/>
      <c r="D369" s="1265"/>
      <c r="E369" s="1265"/>
      <c r="F369" s="1265"/>
      <c r="G369" s="1265"/>
      <c r="H369" s="1263"/>
      <c r="I369" s="1264"/>
      <c r="J369" s="1265"/>
      <c r="K369" s="1265"/>
      <c r="L369" s="1265"/>
      <c r="M369" s="1265"/>
      <c r="N369" s="1265"/>
      <c r="O369" s="1265"/>
      <c r="P369" s="1265"/>
    </row>
    <row r="370" ht="17.25" customHeight="1">
      <c r="A370" s="1263"/>
      <c r="B370" s="1140"/>
      <c r="C370" s="1264"/>
      <c r="D370" s="1265"/>
      <c r="E370" s="1265"/>
      <c r="F370" s="1265"/>
      <c r="G370" s="1265"/>
      <c r="H370" s="1263"/>
      <c r="I370" s="1264"/>
      <c r="J370" s="1265"/>
      <c r="K370" s="1265"/>
      <c r="L370" s="1265"/>
      <c r="M370" s="1265"/>
      <c r="N370" s="1265"/>
      <c r="O370" s="1265"/>
      <c r="P370" s="1265"/>
    </row>
    <row r="371" ht="17.25" customHeight="1">
      <c r="A371" s="1263"/>
      <c r="B371" s="1140"/>
      <c r="C371" s="1264"/>
      <c r="D371" s="1265"/>
      <c r="E371" s="1265"/>
      <c r="F371" s="1265"/>
      <c r="G371" s="1265"/>
      <c r="H371" s="1263"/>
      <c r="I371" s="1264"/>
      <c r="J371" s="1265"/>
      <c r="K371" s="1265"/>
      <c r="L371" s="1265"/>
      <c r="M371" s="1265"/>
      <c r="N371" s="1265"/>
      <c r="O371" s="1265"/>
      <c r="P371" s="1265"/>
    </row>
    <row r="372" ht="17.25" customHeight="1">
      <c r="A372" s="1263"/>
      <c r="B372" s="1140"/>
      <c r="C372" s="1264"/>
      <c r="D372" s="1265"/>
      <c r="E372" s="1265"/>
      <c r="F372" s="1265"/>
      <c r="G372" s="1265"/>
      <c r="H372" s="1263"/>
      <c r="I372" s="1264"/>
      <c r="J372" s="1265"/>
      <c r="K372" s="1265"/>
      <c r="L372" s="1265"/>
      <c r="M372" s="1265"/>
      <c r="N372" s="1265"/>
      <c r="O372" s="1265"/>
      <c r="P372" s="1265"/>
    </row>
    <row r="373" ht="17.25" customHeight="1">
      <c r="A373" s="1263"/>
      <c r="B373" s="1140"/>
      <c r="C373" s="1264"/>
      <c r="D373" s="1265"/>
      <c r="E373" s="1265"/>
      <c r="F373" s="1265"/>
      <c r="G373" s="1265"/>
      <c r="H373" s="1263"/>
      <c r="I373" s="1264"/>
      <c r="J373" s="1265"/>
      <c r="K373" s="1265"/>
      <c r="L373" s="1265"/>
      <c r="M373" s="1265"/>
      <c r="N373" s="1265"/>
      <c r="O373" s="1265"/>
      <c r="P373" s="1265"/>
    </row>
    <row r="374" ht="17.25" customHeight="1">
      <c r="A374" s="1263"/>
      <c r="B374" s="1140"/>
      <c r="C374" s="1264"/>
      <c r="D374" s="1265"/>
      <c r="E374" s="1265"/>
      <c r="F374" s="1265"/>
      <c r="G374" s="1265"/>
      <c r="H374" s="1263"/>
      <c r="I374" s="1264"/>
      <c r="J374" s="1265"/>
      <c r="K374" s="1265"/>
      <c r="L374" s="1265"/>
      <c r="M374" s="1265"/>
      <c r="N374" s="1265"/>
      <c r="O374" s="1265"/>
      <c r="P374" s="1265"/>
    </row>
    <row r="375" ht="17.25" customHeight="1">
      <c r="A375" s="1263"/>
      <c r="B375" s="1140"/>
      <c r="C375" s="1264"/>
      <c r="D375" s="1265"/>
      <c r="E375" s="1265"/>
      <c r="F375" s="1265"/>
      <c r="G375" s="1265"/>
      <c r="H375" s="1263"/>
      <c r="I375" s="1264"/>
      <c r="J375" s="1265"/>
      <c r="K375" s="1265"/>
      <c r="L375" s="1265"/>
      <c r="M375" s="1265"/>
      <c r="N375" s="1265"/>
      <c r="O375" s="1265"/>
      <c r="P375" s="1265"/>
    </row>
    <row r="376" ht="17.25" customHeight="1">
      <c r="A376" s="1263"/>
      <c r="B376" s="1140"/>
      <c r="C376" s="1264"/>
      <c r="D376" s="1265"/>
      <c r="E376" s="1265"/>
      <c r="F376" s="1265"/>
      <c r="G376" s="1265"/>
      <c r="H376" s="1263"/>
      <c r="I376" s="1264"/>
      <c r="J376" s="1265"/>
      <c r="K376" s="1265"/>
      <c r="L376" s="1265"/>
      <c r="M376" s="1265"/>
      <c r="N376" s="1265"/>
      <c r="O376" s="1265"/>
      <c r="P376" s="1265"/>
    </row>
    <row r="377" ht="17.25" customHeight="1">
      <c r="A377" s="1263"/>
      <c r="B377" s="1140"/>
      <c r="C377" s="1264"/>
      <c r="D377" s="1265"/>
      <c r="E377" s="1265"/>
      <c r="F377" s="1265"/>
      <c r="G377" s="1265"/>
      <c r="H377" s="1263"/>
      <c r="I377" s="1264"/>
      <c r="J377" s="1265"/>
      <c r="K377" s="1265"/>
      <c r="L377" s="1265"/>
      <c r="M377" s="1265"/>
      <c r="N377" s="1265"/>
      <c r="O377" s="1265"/>
      <c r="P377" s="1265"/>
    </row>
    <row r="378" ht="17.25" customHeight="1">
      <c r="A378" s="1263"/>
      <c r="B378" s="1140"/>
      <c r="C378" s="1264"/>
      <c r="D378" s="1265"/>
      <c r="E378" s="1265"/>
      <c r="F378" s="1265"/>
      <c r="G378" s="1265"/>
      <c r="H378" s="1263"/>
      <c r="I378" s="1264"/>
      <c r="J378" s="1265"/>
      <c r="K378" s="1265"/>
      <c r="L378" s="1265"/>
      <c r="M378" s="1265"/>
      <c r="N378" s="1265"/>
      <c r="O378" s="1265"/>
      <c r="P378" s="1265"/>
    </row>
    <row r="379" ht="17.25" customHeight="1">
      <c r="A379" s="1263"/>
      <c r="B379" s="1140"/>
      <c r="C379" s="1264"/>
      <c r="D379" s="1265"/>
      <c r="E379" s="1265"/>
      <c r="F379" s="1265"/>
      <c r="G379" s="1265"/>
      <c r="H379" s="1263"/>
      <c r="I379" s="1264"/>
      <c r="J379" s="1265"/>
      <c r="K379" s="1265"/>
      <c r="L379" s="1265"/>
      <c r="M379" s="1265"/>
      <c r="N379" s="1265"/>
      <c r="O379" s="1265"/>
      <c r="P379" s="1265"/>
    </row>
    <row r="380" ht="17.25" customHeight="1">
      <c r="A380" s="1263"/>
      <c r="B380" s="1140"/>
      <c r="C380" s="1264"/>
      <c r="D380" s="1265"/>
      <c r="E380" s="1265"/>
      <c r="F380" s="1265"/>
      <c r="G380" s="1265"/>
      <c r="H380" s="1263"/>
      <c r="I380" s="1264"/>
      <c r="J380" s="1265"/>
      <c r="K380" s="1265"/>
      <c r="L380" s="1265"/>
      <c r="M380" s="1265"/>
      <c r="N380" s="1265"/>
      <c r="O380" s="1265"/>
      <c r="P380" s="1265"/>
    </row>
    <row r="381" ht="17.25" customHeight="1">
      <c r="A381" s="1263"/>
      <c r="B381" s="1140"/>
      <c r="C381" s="1264"/>
      <c r="D381" s="1265"/>
      <c r="E381" s="1265"/>
      <c r="F381" s="1265"/>
      <c r="G381" s="1265"/>
      <c r="H381" s="1263"/>
      <c r="I381" s="1264"/>
      <c r="J381" s="1265"/>
      <c r="K381" s="1265"/>
      <c r="L381" s="1265"/>
      <c r="M381" s="1265"/>
      <c r="N381" s="1265"/>
      <c r="O381" s="1265"/>
      <c r="P381" s="1265"/>
    </row>
    <row r="382" ht="17.25" customHeight="1">
      <c r="A382" s="1263"/>
      <c r="B382" s="1140"/>
      <c r="C382" s="1264"/>
      <c r="D382" s="1265"/>
      <c r="E382" s="1265"/>
      <c r="F382" s="1265"/>
      <c r="G382" s="1265"/>
      <c r="H382" s="1263"/>
      <c r="I382" s="1264"/>
      <c r="J382" s="1265"/>
      <c r="K382" s="1265"/>
      <c r="L382" s="1265"/>
      <c r="M382" s="1265"/>
      <c r="N382" s="1265"/>
      <c r="O382" s="1265"/>
      <c r="P382" s="1265"/>
    </row>
    <row r="383" ht="17.25" customHeight="1">
      <c r="A383" s="1263"/>
      <c r="B383" s="1140"/>
      <c r="C383" s="1264"/>
      <c r="D383" s="1265"/>
      <c r="E383" s="1265"/>
      <c r="F383" s="1265"/>
      <c r="G383" s="1265"/>
      <c r="H383" s="1263"/>
      <c r="I383" s="1264"/>
      <c r="J383" s="1265"/>
      <c r="K383" s="1265"/>
      <c r="L383" s="1265"/>
      <c r="M383" s="1265"/>
      <c r="N383" s="1265"/>
      <c r="O383" s="1265"/>
      <c r="P383" s="1265"/>
    </row>
    <row r="384" ht="17.25" customHeight="1">
      <c r="A384" s="1263"/>
      <c r="B384" s="1140"/>
      <c r="C384" s="1264"/>
      <c r="D384" s="1265"/>
      <c r="E384" s="1265"/>
      <c r="F384" s="1265"/>
      <c r="G384" s="1265"/>
      <c r="H384" s="1263"/>
      <c r="I384" s="1264"/>
      <c r="J384" s="1265"/>
      <c r="K384" s="1265"/>
      <c r="L384" s="1265"/>
      <c r="M384" s="1265"/>
      <c r="N384" s="1265"/>
      <c r="O384" s="1265"/>
      <c r="P384" s="1265"/>
    </row>
    <row r="385" ht="17.25" customHeight="1">
      <c r="A385" s="1263"/>
      <c r="B385" s="1140"/>
      <c r="C385" s="1264"/>
      <c r="D385" s="1265"/>
      <c r="E385" s="1265"/>
      <c r="F385" s="1265"/>
      <c r="G385" s="1265"/>
      <c r="H385" s="1263"/>
      <c r="I385" s="1264"/>
      <c r="J385" s="1265"/>
      <c r="K385" s="1265"/>
      <c r="L385" s="1265"/>
      <c r="M385" s="1265"/>
      <c r="N385" s="1265"/>
      <c r="O385" s="1265"/>
      <c r="P385" s="1265"/>
    </row>
    <row r="386" ht="17.25" customHeight="1">
      <c r="A386" s="1263"/>
      <c r="B386" s="1140"/>
      <c r="C386" s="1264"/>
      <c r="D386" s="1265"/>
      <c r="E386" s="1265"/>
      <c r="F386" s="1265"/>
      <c r="G386" s="1265"/>
      <c r="H386" s="1263"/>
      <c r="I386" s="1264"/>
      <c r="J386" s="1265"/>
      <c r="K386" s="1265"/>
      <c r="L386" s="1265"/>
      <c r="M386" s="1265"/>
      <c r="N386" s="1265"/>
      <c r="O386" s="1265"/>
      <c r="P386" s="1265"/>
    </row>
    <row r="387" ht="17.25" customHeight="1">
      <c r="A387" s="1263"/>
      <c r="B387" s="1140"/>
      <c r="C387" s="1264"/>
      <c r="D387" s="1265"/>
      <c r="E387" s="1265"/>
      <c r="F387" s="1265"/>
      <c r="G387" s="1265"/>
      <c r="H387" s="1263"/>
      <c r="I387" s="1264"/>
      <c r="J387" s="1265"/>
      <c r="K387" s="1265"/>
      <c r="L387" s="1265"/>
      <c r="M387" s="1265"/>
      <c r="N387" s="1265"/>
      <c r="O387" s="1265"/>
      <c r="P387" s="1265"/>
    </row>
    <row r="388" ht="17.25" customHeight="1">
      <c r="A388" s="1263"/>
      <c r="B388" s="1140"/>
      <c r="C388" s="1264"/>
      <c r="D388" s="1265"/>
      <c r="E388" s="1265"/>
      <c r="F388" s="1265"/>
      <c r="G388" s="1265"/>
      <c r="H388" s="1263"/>
      <c r="I388" s="1264"/>
      <c r="J388" s="1265"/>
      <c r="K388" s="1265"/>
      <c r="L388" s="1265"/>
      <c r="M388" s="1265"/>
      <c r="N388" s="1265"/>
      <c r="O388" s="1265"/>
      <c r="P388" s="1265"/>
    </row>
    <row r="389" ht="17.25" customHeight="1">
      <c r="A389" s="1263"/>
      <c r="B389" s="1140"/>
      <c r="C389" s="1264"/>
      <c r="D389" s="1265"/>
      <c r="E389" s="1265"/>
      <c r="F389" s="1265"/>
      <c r="G389" s="1265"/>
      <c r="H389" s="1263"/>
      <c r="I389" s="1264"/>
      <c r="J389" s="1265"/>
      <c r="K389" s="1265"/>
      <c r="L389" s="1265"/>
      <c r="M389" s="1265"/>
      <c r="N389" s="1265"/>
      <c r="O389" s="1265"/>
      <c r="P389" s="1265"/>
    </row>
    <row r="390" ht="17.25" customHeight="1">
      <c r="A390" s="1263"/>
      <c r="B390" s="1140"/>
      <c r="C390" s="1264"/>
      <c r="D390" s="1265"/>
      <c r="E390" s="1265"/>
      <c r="F390" s="1265"/>
      <c r="G390" s="1265"/>
      <c r="H390" s="1263"/>
      <c r="I390" s="1264"/>
      <c r="J390" s="1265"/>
      <c r="K390" s="1265"/>
      <c r="L390" s="1265"/>
      <c r="M390" s="1265"/>
      <c r="N390" s="1265"/>
      <c r="O390" s="1265"/>
      <c r="P390" s="1265"/>
    </row>
    <row r="391" ht="17.25" customHeight="1">
      <c r="A391" s="1263"/>
      <c r="B391" s="1140"/>
      <c r="C391" s="1264"/>
      <c r="D391" s="1265"/>
      <c r="E391" s="1265"/>
      <c r="F391" s="1265"/>
      <c r="G391" s="1265"/>
      <c r="H391" s="1263"/>
      <c r="I391" s="1264"/>
      <c r="J391" s="1265"/>
      <c r="K391" s="1265"/>
      <c r="L391" s="1265"/>
      <c r="M391" s="1265"/>
      <c r="N391" s="1265"/>
      <c r="O391" s="1265"/>
      <c r="P391" s="1265"/>
    </row>
    <row r="392" ht="17.25" customHeight="1">
      <c r="A392" s="1263"/>
      <c r="B392" s="1140"/>
      <c r="C392" s="1264"/>
      <c r="D392" s="1265"/>
      <c r="E392" s="1265"/>
      <c r="F392" s="1265"/>
      <c r="G392" s="1265"/>
      <c r="H392" s="1263"/>
      <c r="I392" s="1264"/>
      <c r="J392" s="1265"/>
      <c r="K392" s="1265"/>
      <c r="L392" s="1265"/>
      <c r="M392" s="1265"/>
      <c r="N392" s="1265"/>
      <c r="O392" s="1265"/>
      <c r="P392" s="1265"/>
    </row>
    <row r="393" ht="17.25" customHeight="1">
      <c r="A393" s="1263"/>
      <c r="B393" s="1140"/>
      <c r="C393" s="1264"/>
      <c r="D393" s="1265"/>
      <c r="E393" s="1265"/>
      <c r="F393" s="1265"/>
      <c r="G393" s="1265"/>
      <c r="H393" s="1263"/>
      <c r="I393" s="1264"/>
      <c r="J393" s="1265"/>
      <c r="K393" s="1265"/>
      <c r="L393" s="1265"/>
      <c r="M393" s="1265"/>
      <c r="N393" s="1265"/>
      <c r="O393" s="1265"/>
      <c r="P393" s="1265"/>
    </row>
    <row r="394" ht="17.25" customHeight="1">
      <c r="A394" s="1263"/>
      <c r="B394" s="1140"/>
      <c r="C394" s="1264"/>
      <c r="D394" s="1265"/>
      <c r="E394" s="1265"/>
      <c r="F394" s="1265"/>
      <c r="G394" s="1265"/>
      <c r="H394" s="1263"/>
      <c r="I394" s="1264"/>
      <c r="J394" s="1265"/>
      <c r="K394" s="1265"/>
      <c r="L394" s="1265"/>
      <c r="M394" s="1265"/>
      <c r="N394" s="1265"/>
      <c r="O394" s="1265"/>
      <c r="P394" s="1265"/>
    </row>
    <row r="395" ht="17.25" customHeight="1">
      <c r="A395" s="1263"/>
      <c r="B395" s="1140"/>
      <c r="C395" s="1264"/>
      <c r="D395" s="1265"/>
      <c r="E395" s="1265"/>
      <c r="F395" s="1265"/>
      <c r="G395" s="1265"/>
      <c r="H395" s="1263"/>
      <c r="I395" s="1264"/>
      <c r="J395" s="1265"/>
      <c r="K395" s="1265"/>
      <c r="L395" s="1265"/>
      <c r="M395" s="1265"/>
      <c r="N395" s="1265"/>
      <c r="O395" s="1265"/>
      <c r="P395" s="1265"/>
    </row>
    <row r="396" ht="17.25" customHeight="1">
      <c r="A396" s="1263"/>
      <c r="B396" s="1140"/>
      <c r="C396" s="1264"/>
      <c r="D396" s="1265"/>
      <c r="E396" s="1265"/>
      <c r="F396" s="1265"/>
      <c r="G396" s="1265"/>
      <c r="H396" s="1263"/>
      <c r="I396" s="1264"/>
      <c r="J396" s="1265"/>
      <c r="K396" s="1265"/>
      <c r="L396" s="1265"/>
      <c r="M396" s="1265"/>
      <c r="N396" s="1265"/>
      <c r="O396" s="1265"/>
      <c r="P396" s="1265"/>
    </row>
    <row r="397" ht="17.25" customHeight="1">
      <c r="A397" s="1263"/>
      <c r="B397" s="1140"/>
      <c r="C397" s="1264"/>
      <c r="D397" s="1265"/>
      <c r="E397" s="1265"/>
      <c r="F397" s="1265"/>
      <c r="G397" s="1265"/>
      <c r="H397" s="1263"/>
      <c r="I397" s="1264"/>
      <c r="J397" s="1265"/>
      <c r="K397" s="1265"/>
      <c r="L397" s="1265"/>
      <c r="M397" s="1265"/>
      <c r="N397" s="1265"/>
      <c r="O397" s="1265"/>
      <c r="P397" s="1265"/>
    </row>
    <row r="398" ht="17.25" customHeight="1">
      <c r="A398" s="1263"/>
      <c r="B398" s="1140"/>
      <c r="C398" s="1264"/>
      <c r="D398" s="1265"/>
      <c r="E398" s="1265"/>
      <c r="F398" s="1265"/>
      <c r="G398" s="1265"/>
      <c r="H398" s="1263"/>
      <c r="I398" s="1264"/>
      <c r="J398" s="1265"/>
      <c r="K398" s="1265"/>
      <c r="L398" s="1265"/>
      <c r="M398" s="1265"/>
      <c r="N398" s="1265"/>
      <c r="O398" s="1265"/>
      <c r="P398" s="1265"/>
    </row>
    <row r="399" ht="17.25" customHeight="1">
      <c r="A399" s="1263"/>
      <c r="B399" s="1140"/>
      <c r="C399" s="1264"/>
      <c r="D399" s="1265"/>
      <c r="E399" s="1265"/>
      <c r="F399" s="1265"/>
      <c r="G399" s="1265"/>
      <c r="H399" s="1263"/>
      <c r="I399" s="1264"/>
      <c r="J399" s="1265"/>
      <c r="K399" s="1265"/>
      <c r="L399" s="1265"/>
      <c r="M399" s="1265"/>
      <c r="N399" s="1265"/>
      <c r="O399" s="1265"/>
      <c r="P399" s="1265"/>
    </row>
    <row r="400" ht="17.25" customHeight="1">
      <c r="A400" s="1263"/>
      <c r="B400" s="1140"/>
      <c r="C400" s="1264"/>
      <c r="D400" s="1265"/>
      <c r="E400" s="1265"/>
      <c r="F400" s="1265"/>
      <c r="G400" s="1265"/>
      <c r="H400" s="1263"/>
      <c r="I400" s="1264"/>
      <c r="J400" s="1265"/>
      <c r="K400" s="1265"/>
      <c r="L400" s="1265"/>
      <c r="M400" s="1265"/>
      <c r="N400" s="1265"/>
      <c r="O400" s="1265"/>
      <c r="P400" s="1265"/>
    </row>
    <row r="401" ht="17.25" customHeight="1">
      <c r="A401" s="1263"/>
      <c r="B401" s="1140"/>
      <c r="C401" s="1264"/>
      <c r="D401" s="1265"/>
      <c r="E401" s="1265"/>
      <c r="F401" s="1265"/>
      <c r="G401" s="1265"/>
      <c r="H401" s="1263"/>
      <c r="I401" s="1264"/>
      <c r="J401" s="1265"/>
      <c r="K401" s="1265"/>
      <c r="L401" s="1265"/>
      <c r="M401" s="1265"/>
      <c r="N401" s="1265"/>
      <c r="O401" s="1265"/>
      <c r="P401" s="1265"/>
    </row>
    <row r="402" ht="17.25" customHeight="1">
      <c r="A402" s="1263"/>
      <c r="B402" s="1140"/>
      <c r="C402" s="1264"/>
      <c r="D402" s="1265"/>
      <c r="E402" s="1265"/>
      <c r="F402" s="1265"/>
      <c r="G402" s="1265"/>
      <c r="H402" s="1263"/>
      <c r="I402" s="1264"/>
      <c r="J402" s="1265"/>
      <c r="K402" s="1265"/>
      <c r="L402" s="1265"/>
      <c r="M402" s="1265"/>
      <c r="N402" s="1265"/>
      <c r="O402" s="1265"/>
      <c r="P402" s="1265"/>
    </row>
    <row r="403" ht="17.25" customHeight="1">
      <c r="A403" s="1263"/>
      <c r="B403" s="1140"/>
      <c r="C403" s="1264"/>
      <c r="D403" s="1265"/>
      <c r="E403" s="1265"/>
      <c r="F403" s="1265"/>
      <c r="G403" s="1265"/>
      <c r="H403" s="1263"/>
      <c r="I403" s="1264"/>
      <c r="J403" s="1265"/>
      <c r="K403" s="1265"/>
      <c r="L403" s="1265"/>
      <c r="M403" s="1265"/>
      <c r="N403" s="1265"/>
      <c r="O403" s="1265"/>
      <c r="P403" s="1265"/>
    </row>
    <row r="404" ht="17.25" customHeight="1">
      <c r="A404" s="1263"/>
      <c r="B404" s="1140"/>
      <c r="C404" s="1264"/>
      <c r="D404" s="1265"/>
      <c r="E404" s="1265"/>
      <c r="F404" s="1265"/>
      <c r="G404" s="1265"/>
      <c r="H404" s="1263"/>
      <c r="I404" s="1264"/>
      <c r="J404" s="1265"/>
      <c r="K404" s="1265"/>
      <c r="L404" s="1265"/>
      <c r="M404" s="1265"/>
      <c r="N404" s="1265"/>
      <c r="O404" s="1265"/>
      <c r="P404" s="1265"/>
    </row>
    <row r="405" ht="17.25" customHeight="1">
      <c r="A405" s="1263"/>
      <c r="B405" s="1140"/>
      <c r="C405" s="1264"/>
      <c r="D405" s="1265"/>
      <c r="E405" s="1265"/>
      <c r="F405" s="1265"/>
      <c r="G405" s="1265"/>
      <c r="H405" s="1263"/>
      <c r="I405" s="1264"/>
      <c r="J405" s="1265"/>
      <c r="K405" s="1265"/>
      <c r="L405" s="1265"/>
      <c r="M405" s="1265"/>
      <c r="N405" s="1265"/>
      <c r="O405" s="1265"/>
      <c r="P405" s="1265"/>
    </row>
    <row r="406" ht="17.25" customHeight="1">
      <c r="A406" s="1263"/>
      <c r="B406" s="1140"/>
      <c r="C406" s="1264"/>
      <c r="D406" s="1265"/>
      <c r="E406" s="1265"/>
      <c r="F406" s="1265"/>
      <c r="G406" s="1265"/>
      <c r="H406" s="1263"/>
      <c r="I406" s="1264"/>
      <c r="J406" s="1265"/>
      <c r="K406" s="1265"/>
      <c r="L406" s="1265"/>
      <c r="M406" s="1265"/>
      <c r="N406" s="1265"/>
      <c r="O406" s="1265"/>
      <c r="P406" s="1265"/>
    </row>
    <row r="407" ht="17.25" customHeight="1">
      <c r="A407" s="1263"/>
      <c r="B407" s="1140"/>
      <c r="C407" s="1264"/>
      <c r="D407" s="1265"/>
      <c r="E407" s="1265"/>
      <c r="F407" s="1265"/>
      <c r="G407" s="1265"/>
      <c r="H407" s="1263"/>
      <c r="I407" s="1264"/>
      <c r="J407" s="1265"/>
      <c r="K407" s="1265"/>
      <c r="L407" s="1265"/>
      <c r="M407" s="1265"/>
      <c r="N407" s="1265"/>
      <c r="O407" s="1265"/>
      <c r="P407" s="1265"/>
    </row>
    <row r="408" ht="17.25" customHeight="1">
      <c r="A408" s="1263"/>
      <c r="B408" s="1140"/>
      <c r="C408" s="1264"/>
      <c r="D408" s="1265"/>
      <c r="E408" s="1265"/>
      <c r="F408" s="1265"/>
      <c r="G408" s="1265"/>
      <c r="H408" s="1263"/>
      <c r="I408" s="1264"/>
      <c r="J408" s="1265"/>
      <c r="K408" s="1265"/>
      <c r="L408" s="1265"/>
      <c r="M408" s="1265"/>
      <c r="N408" s="1265"/>
      <c r="O408" s="1265"/>
      <c r="P408" s="1265"/>
    </row>
    <row r="409" ht="17.25" customHeight="1">
      <c r="A409" s="1263"/>
      <c r="B409" s="1140"/>
      <c r="C409" s="1264"/>
      <c r="D409" s="1265"/>
      <c r="E409" s="1265"/>
      <c r="F409" s="1265"/>
      <c r="G409" s="1265"/>
      <c r="H409" s="1263"/>
      <c r="I409" s="1264"/>
      <c r="J409" s="1265"/>
      <c r="K409" s="1265"/>
      <c r="L409" s="1265"/>
      <c r="M409" s="1265"/>
      <c r="N409" s="1265"/>
      <c r="O409" s="1265"/>
      <c r="P409" s="1265"/>
    </row>
    <row r="410" ht="17.25" customHeight="1">
      <c r="A410" s="1263"/>
      <c r="B410" s="1140"/>
      <c r="C410" s="1264"/>
      <c r="D410" s="1265"/>
      <c r="E410" s="1265"/>
      <c r="F410" s="1265"/>
      <c r="G410" s="1265"/>
      <c r="H410" s="1263"/>
      <c r="I410" s="1264"/>
      <c r="J410" s="1265"/>
      <c r="K410" s="1265"/>
      <c r="L410" s="1265"/>
      <c r="M410" s="1265"/>
      <c r="N410" s="1265"/>
      <c r="O410" s="1265"/>
      <c r="P410" s="1265"/>
    </row>
    <row r="411" ht="17.25" customHeight="1">
      <c r="A411" s="1263"/>
      <c r="B411" s="1140"/>
      <c r="C411" s="1264"/>
      <c r="D411" s="1265"/>
      <c r="E411" s="1265"/>
      <c r="F411" s="1265"/>
      <c r="G411" s="1265"/>
      <c r="H411" s="1263"/>
      <c r="I411" s="1264"/>
      <c r="J411" s="1265"/>
      <c r="K411" s="1265"/>
      <c r="L411" s="1265"/>
      <c r="M411" s="1265"/>
      <c r="N411" s="1265"/>
      <c r="O411" s="1265"/>
      <c r="P411" s="1265"/>
    </row>
    <row r="412" ht="17.25" customHeight="1">
      <c r="A412" s="1263"/>
      <c r="B412" s="1140"/>
      <c r="C412" s="1264"/>
      <c r="D412" s="1265"/>
      <c r="E412" s="1265"/>
      <c r="F412" s="1265"/>
      <c r="G412" s="1265"/>
      <c r="H412" s="1263"/>
      <c r="I412" s="1264"/>
      <c r="J412" s="1265"/>
      <c r="K412" s="1265"/>
      <c r="L412" s="1265"/>
      <c r="M412" s="1265"/>
      <c r="N412" s="1265"/>
      <c r="O412" s="1265"/>
      <c r="P412" s="1265"/>
    </row>
    <row r="413" ht="17.25" customHeight="1">
      <c r="A413" s="1263"/>
      <c r="B413" s="1140"/>
      <c r="C413" s="1264"/>
      <c r="D413" s="1265"/>
      <c r="E413" s="1265"/>
      <c r="F413" s="1265"/>
      <c r="G413" s="1265"/>
      <c r="H413" s="1263"/>
      <c r="I413" s="1264"/>
      <c r="J413" s="1265"/>
      <c r="K413" s="1265"/>
      <c r="L413" s="1265"/>
      <c r="M413" s="1265"/>
      <c r="N413" s="1265"/>
      <c r="O413" s="1265"/>
      <c r="P413" s="1265"/>
    </row>
    <row r="414" ht="17.25" customHeight="1">
      <c r="A414" s="1263"/>
      <c r="B414" s="1140"/>
      <c r="C414" s="1264"/>
      <c r="D414" s="1265"/>
      <c r="E414" s="1265"/>
      <c r="F414" s="1265"/>
      <c r="G414" s="1265"/>
      <c r="H414" s="1263"/>
      <c r="I414" s="1264"/>
      <c r="J414" s="1265"/>
      <c r="K414" s="1265"/>
      <c r="L414" s="1265"/>
      <c r="M414" s="1265"/>
      <c r="N414" s="1265"/>
      <c r="O414" s="1265"/>
      <c r="P414" s="1265"/>
    </row>
    <row r="415" ht="17.25" customHeight="1">
      <c r="A415" s="1263"/>
      <c r="B415" s="1140"/>
      <c r="C415" s="1264"/>
      <c r="D415" s="1265"/>
      <c r="E415" s="1265"/>
      <c r="F415" s="1265"/>
      <c r="G415" s="1265"/>
      <c r="H415" s="1263"/>
      <c r="I415" s="1264"/>
      <c r="J415" s="1265"/>
      <c r="K415" s="1265"/>
      <c r="L415" s="1265"/>
      <c r="M415" s="1265"/>
      <c r="N415" s="1265"/>
      <c r="O415" s="1265"/>
      <c r="P415" s="1265"/>
    </row>
    <row r="416" ht="17.25" customHeight="1">
      <c r="A416" s="1263"/>
      <c r="B416" s="1140"/>
      <c r="C416" s="1264"/>
      <c r="D416" s="1265"/>
      <c r="E416" s="1265"/>
      <c r="F416" s="1265"/>
      <c r="G416" s="1265"/>
      <c r="H416" s="1263"/>
      <c r="I416" s="1264"/>
      <c r="J416" s="1265"/>
      <c r="K416" s="1265"/>
      <c r="L416" s="1265"/>
      <c r="M416" s="1265"/>
      <c r="N416" s="1265"/>
      <c r="O416" s="1265"/>
      <c r="P416" s="1265"/>
    </row>
    <row r="417" ht="17.25" customHeight="1">
      <c r="A417" s="1263"/>
      <c r="B417" s="1140"/>
      <c r="C417" s="1264"/>
      <c r="D417" s="1265"/>
      <c r="E417" s="1265"/>
      <c r="F417" s="1265"/>
      <c r="G417" s="1265"/>
      <c r="H417" s="1263"/>
      <c r="I417" s="1264"/>
      <c r="J417" s="1265"/>
      <c r="K417" s="1265"/>
      <c r="L417" s="1265"/>
      <c r="M417" s="1265"/>
      <c r="N417" s="1265"/>
      <c r="O417" s="1265"/>
      <c r="P417" s="1265"/>
    </row>
    <row r="418" ht="17.25" customHeight="1">
      <c r="A418" s="1263"/>
      <c r="B418" s="1140"/>
      <c r="C418" s="1264"/>
      <c r="D418" s="1265"/>
      <c r="E418" s="1265"/>
      <c r="F418" s="1265"/>
      <c r="G418" s="1265"/>
      <c r="H418" s="1263"/>
      <c r="I418" s="1264"/>
      <c r="J418" s="1265"/>
      <c r="K418" s="1265"/>
      <c r="L418" s="1265"/>
      <c r="M418" s="1265"/>
      <c r="N418" s="1265"/>
      <c r="O418" s="1265"/>
      <c r="P418" s="1265"/>
    </row>
    <row r="419" ht="17.25" customHeight="1">
      <c r="A419" s="1263"/>
      <c r="B419" s="1140"/>
      <c r="C419" s="1264"/>
      <c r="D419" s="1265"/>
      <c r="E419" s="1265"/>
      <c r="F419" s="1265"/>
      <c r="G419" s="1265"/>
      <c r="H419" s="1263"/>
      <c r="I419" s="1264"/>
      <c r="J419" s="1265"/>
      <c r="K419" s="1265"/>
      <c r="L419" s="1265"/>
      <c r="M419" s="1265"/>
      <c r="N419" s="1265"/>
      <c r="O419" s="1265"/>
      <c r="P419" s="1265"/>
    </row>
    <row r="420" ht="17.25" customHeight="1">
      <c r="A420" s="1263"/>
      <c r="B420" s="1140"/>
      <c r="C420" s="1264"/>
      <c r="D420" s="1265"/>
      <c r="E420" s="1265"/>
      <c r="F420" s="1265"/>
      <c r="G420" s="1265"/>
      <c r="H420" s="1263"/>
      <c r="I420" s="1264"/>
      <c r="J420" s="1265"/>
      <c r="K420" s="1265"/>
      <c r="L420" s="1265"/>
      <c r="M420" s="1265"/>
      <c r="N420" s="1265"/>
      <c r="O420" s="1265"/>
      <c r="P420" s="1265"/>
    </row>
    <row r="421" ht="17.25" customHeight="1">
      <c r="A421" s="1263"/>
      <c r="B421" s="1140"/>
      <c r="C421" s="1264"/>
      <c r="D421" s="1265"/>
      <c r="E421" s="1265"/>
      <c r="F421" s="1265"/>
      <c r="G421" s="1265"/>
      <c r="H421" s="1263"/>
      <c r="I421" s="1264"/>
      <c r="J421" s="1265"/>
      <c r="K421" s="1265"/>
      <c r="L421" s="1265"/>
      <c r="M421" s="1265"/>
      <c r="N421" s="1265"/>
      <c r="O421" s="1265"/>
      <c r="P421" s="1265"/>
    </row>
    <row r="422" ht="17.25" customHeight="1">
      <c r="A422" s="1263"/>
      <c r="B422" s="1140"/>
      <c r="C422" s="1264"/>
      <c r="D422" s="1265"/>
      <c r="E422" s="1265"/>
      <c r="F422" s="1265"/>
      <c r="G422" s="1265"/>
      <c r="H422" s="1263"/>
      <c r="I422" s="1264"/>
      <c r="J422" s="1265"/>
      <c r="K422" s="1265"/>
      <c r="L422" s="1265"/>
      <c r="M422" s="1265"/>
      <c r="N422" s="1265"/>
      <c r="O422" s="1265"/>
      <c r="P422" s="1265"/>
    </row>
    <row r="423" ht="17.25" customHeight="1">
      <c r="A423" s="1263"/>
      <c r="B423" s="1140"/>
      <c r="C423" s="1264"/>
      <c r="D423" s="1265"/>
      <c r="E423" s="1265"/>
      <c r="F423" s="1265"/>
      <c r="G423" s="1265"/>
      <c r="H423" s="1263"/>
      <c r="I423" s="1264"/>
      <c r="J423" s="1265"/>
      <c r="K423" s="1265"/>
      <c r="L423" s="1265"/>
      <c r="M423" s="1265"/>
      <c r="N423" s="1265"/>
      <c r="O423" s="1265"/>
      <c r="P423" s="1265"/>
    </row>
    <row r="424" ht="17.25" customHeight="1">
      <c r="A424" s="1263"/>
      <c r="B424" s="1140"/>
      <c r="C424" s="1264"/>
      <c r="D424" s="1265"/>
      <c r="E424" s="1265"/>
      <c r="F424" s="1265"/>
      <c r="G424" s="1265"/>
      <c r="H424" s="1263"/>
      <c r="I424" s="1264"/>
      <c r="J424" s="1265"/>
      <c r="K424" s="1265"/>
      <c r="L424" s="1265"/>
      <c r="M424" s="1265"/>
      <c r="N424" s="1265"/>
      <c r="O424" s="1265"/>
      <c r="P424" s="1265"/>
    </row>
    <row r="425" ht="17.25" customHeight="1">
      <c r="A425" s="1263"/>
      <c r="B425" s="1140"/>
      <c r="C425" s="1264"/>
      <c r="D425" s="1265"/>
      <c r="E425" s="1265"/>
      <c r="F425" s="1265"/>
      <c r="G425" s="1265"/>
      <c r="H425" s="1263"/>
      <c r="I425" s="1264"/>
      <c r="J425" s="1265"/>
      <c r="K425" s="1265"/>
      <c r="L425" s="1265"/>
      <c r="M425" s="1265"/>
      <c r="N425" s="1265"/>
      <c r="O425" s="1265"/>
      <c r="P425" s="1265"/>
    </row>
    <row r="426" ht="17.25" customHeight="1">
      <c r="A426" s="1263"/>
      <c r="B426" s="1140"/>
      <c r="C426" s="1264"/>
      <c r="D426" s="1265"/>
      <c r="E426" s="1265"/>
      <c r="F426" s="1265"/>
      <c r="G426" s="1265"/>
      <c r="H426" s="1263"/>
      <c r="I426" s="1264"/>
      <c r="J426" s="1265"/>
      <c r="K426" s="1265"/>
      <c r="L426" s="1265"/>
      <c r="M426" s="1265"/>
      <c r="N426" s="1265"/>
      <c r="O426" s="1265"/>
      <c r="P426" s="1265"/>
    </row>
    <row r="427" ht="17.25" customHeight="1">
      <c r="A427" s="1263"/>
      <c r="B427" s="1140"/>
      <c r="C427" s="1264"/>
      <c r="D427" s="1265"/>
      <c r="E427" s="1265"/>
      <c r="F427" s="1265"/>
      <c r="G427" s="1265"/>
      <c r="H427" s="1263"/>
      <c r="I427" s="1264"/>
      <c r="J427" s="1265"/>
      <c r="K427" s="1265"/>
      <c r="L427" s="1265"/>
      <c r="M427" s="1265"/>
      <c r="N427" s="1265"/>
      <c r="O427" s="1265"/>
      <c r="P427" s="1265"/>
    </row>
    <row r="428" ht="17.25" customHeight="1">
      <c r="A428" s="1263"/>
      <c r="B428" s="1140"/>
      <c r="C428" s="1264"/>
      <c r="D428" s="1265"/>
      <c r="E428" s="1265"/>
      <c r="F428" s="1265"/>
      <c r="G428" s="1265"/>
      <c r="H428" s="1263"/>
      <c r="I428" s="1264"/>
      <c r="J428" s="1265"/>
      <c r="K428" s="1265"/>
      <c r="L428" s="1265"/>
      <c r="M428" s="1265"/>
      <c r="N428" s="1265"/>
      <c r="O428" s="1265"/>
      <c r="P428" s="1265"/>
    </row>
    <row r="429" ht="17.25" customHeight="1">
      <c r="A429" s="1263"/>
      <c r="B429" s="1140"/>
      <c r="C429" s="1264"/>
      <c r="D429" s="1265"/>
      <c r="E429" s="1265"/>
      <c r="F429" s="1265"/>
      <c r="G429" s="1265"/>
      <c r="H429" s="1263"/>
      <c r="I429" s="1264"/>
      <c r="J429" s="1265"/>
      <c r="K429" s="1265"/>
      <c r="L429" s="1265"/>
      <c r="M429" s="1265"/>
      <c r="N429" s="1265"/>
      <c r="O429" s="1265"/>
      <c r="P429" s="1265"/>
    </row>
    <row r="430" ht="17.25" customHeight="1">
      <c r="A430" s="1263"/>
      <c r="B430" s="1140"/>
      <c r="C430" s="1264"/>
      <c r="D430" s="1265"/>
      <c r="E430" s="1265"/>
      <c r="F430" s="1265"/>
      <c r="G430" s="1265"/>
      <c r="H430" s="1263"/>
      <c r="I430" s="1264"/>
      <c r="J430" s="1265"/>
      <c r="K430" s="1265"/>
      <c r="L430" s="1265"/>
      <c r="M430" s="1265"/>
      <c r="N430" s="1265"/>
      <c r="O430" s="1265"/>
      <c r="P430" s="1265"/>
    </row>
    <row r="431" ht="17.25" customHeight="1">
      <c r="A431" s="1263"/>
      <c r="B431" s="1140"/>
      <c r="C431" s="1264"/>
      <c r="D431" s="1265"/>
      <c r="E431" s="1265"/>
      <c r="F431" s="1265"/>
      <c r="G431" s="1265"/>
      <c r="H431" s="1263"/>
      <c r="I431" s="1264"/>
      <c r="J431" s="1265"/>
      <c r="K431" s="1265"/>
      <c r="L431" s="1265"/>
      <c r="M431" s="1265"/>
      <c r="N431" s="1265"/>
      <c r="O431" s="1265"/>
      <c r="P431" s="1265"/>
    </row>
    <row r="432" ht="17.25" customHeight="1">
      <c r="A432" s="1263"/>
      <c r="B432" s="1140"/>
      <c r="C432" s="1264"/>
      <c r="D432" s="1265"/>
      <c r="E432" s="1265"/>
      <c r="F432" s="1265"/>
      <c r="G432" s="1265"/>
      <c r="H432" s="1263"/>
      <c r="I432" s="1264"/>
      <c r="J432" s="1265"/>
      <c r="K432" s="1265"/>
      <c r="L432" s="1265"/>
      <c r="M432" s="1265"/>
      <c r="N432" s="1265"/>
      <c r="O432" s="1265"/>
      <c r="P432" s="1265"/>
    </row>
    <row r="433" ht="17.25" customHeight="1">
      <c r="A433" s="1263"/>
      <c r="B433" s="1140"/>
      <c r="C433" s="1264"/>
      <c r="D433" s="1265"/>
      <c r="E433" s="1265"/>
      <c r="F433" s="1265"/>
      <c r="G433" s="1265"/>
      <c r="H433" s="1263"/>
      <c r="I433" s="1264"/>
      <c r="J433" s="1265"/>
      <c r="K433" s="1265"/>
      <c r="L433" s="1265"/>
      <c r="M433" s="1265"/>
      <c r="N433" s="1265"/>
      <c r="O433" s="1265"/>
      <c r="P433" s="1265"/>
    </row>
    <row r="434" ht="17.25" customHeight="1">
      <c r="A434" s="1263"/>
      <c r="B434" s="1140"/>
      <c r="C434" s="1264"/>
      <c r="D434" s="1265"/>
      <c r="E434" s="1265"/>
      <c r="F434" s="1265"/>
      <c r="G434" s="1265"/>
      <c r="H434" s="1263"/>
      <c r="I434" s="1264"/>
      <c r="J434" s="1265"/>
      <c r="K434" s="1265"/>
      <c r="L434" s="1265"/>
      <c r="M434" s="1265"/>
      <c r="N434" s="1265"/>
      <c r="O434" s="1265"/>
      <c r="P434" s="1265"/>
    </row>
    <row r="435" ht="17.25" customHeight="1">
      <c r="A435" s="1263"/>
      <c r="B435" s="1140"/>
      <c r="C435" s="1264"/>
      <c r="D435" s="1265"/>
      <c r="E435" s="1265"/>
      <c r="F435" s="1265"/>
      <c r="G435" s="1265"/>
      <c r="H435" s="1263"/>
      <c r="I435" s="1264"/>
      <c r="J435" s="1265"/>
      <c r="K435" s="1265"/>
      <c r="L435" s="1265"/>
      <c r="M435" s="1265"/>
      <c r="N435" s="1265"/>
      <c r="O435" s="1265"/>
      <c r="P435" s="1265"/>
    </row>
    <row r="436" ht="17.25" customHeight="1">
      <c r="A436" s="1263"/>
      <c r="B436" s="1140"/>
      <c r="C436" s="1264"/>
      <c r="D436" s="1265"/>
      <c r="E436" s="1265"/>
      <c r="F436" s="1265"/>
      <c r="G436" s="1265"/>
      <c r="H436" s="1263"/>
      <c r="I436" s="1264"/>
      <c r="J436" s="1265"/>
      <c r="K436" s="1265"/>
      <c r="L436" s="1265"/>
      <c r="M436" s="1265"/>
      <c r="N436" s="1265"/>
      <c r="O436" s="1265"/>
      <c r="P436" s="1265"/>
    </row>
    <row r="437" ht="17.25" customHeight="1">
      <c r="A437" s="1263"/>
      <c r="B437" s="1140"/>
      <c r="C437" s="1264"/>
      <c r="D437" s="1265"/>
      <c r="E437" s="1265"/>
      <c r="F437" s="1265"/>
      <c r="G437" s="1265"/>
      <c r="H437" s="1263"/>
      <c r="I437" s="1264"/>
      <c r="J437" s="1265"/>
      <c r="K437" s="1265"/>
      <c r="L437" s="1265"/>
      <c r="M437" s="1265"/>
      <c r="N437" s="1265"/>
      <c r="O437" s="1265"/>
      <c r="P437" s="1265"/>
    </row>
    <row r="438" ht="17.25" customHeight="1">
      <c r="A438" s="1263"/>
      <c r="B438" s="1140"/>
      <c r="C438" s="1264"/>
      <c r="D438" s="1265"/>
      <c r="E438" s="1265"/>
      <c r="F438" s="1265"/>
      <c r="G438" s="1265"/>
      <c r="H438" s="1263"/>
      <c r="I438" s="1264"/>
      <c r="J438" s="1265"/>
      <c r="K438" s="1265"/>
      <c r="L438" s="1265"/>
      <c r="M438" s="1265"/>
      <c r="N438" s="1265"/>
      <c r="O438" s="1265"/>
      <c r="P438" s="1265"/>
    </row>
    <row r="439" ht="17.25" customHeight="1">
      <c r="A439" s="1263"/>
      <c r="B439" s="1140"/>
      <c r="C439" s="1264"/>
      <c r="D439" s="1265"/>
      <c r="E439" s="1265"/>
      <c r="F439" s="1265"/>
      <c r="G439" s="1265"/>
      <c r="H439" s="1263"/>
      <c r="I439" s="1264"/>
      <c r="J439" s="1265"/>
      <c r="K439" s="1265"/>
      <c r="L439" s="1265"/>
      <c r="M439" s="1265"/>
      <c r="N439" s="1265"/>
      <c r="O439" s="1265"/>
      <c r="P439" s="1265"/>
    </row>
    <row r="440" ht="17.25" customHeight="1">
      <c r="A440" s="1263"/>
      <c r="B440" s="1140"/>
      <c r="C440" s="1264"/>
      <c r="D440" s="1265"/>
      <c r="E440" s="1265"/>
      <c r="F440" s="1265"/>
      <c r="G440" s="1265"/>
      <c r="H440" s="1263"/>
      <c r="I440" s="1264"/>
      <c r="J440" s="1265"/>
      <c r="K440" s="1265"/>
      <c r="L440" s="1265"/>
      <c r="M440" s="1265"/>
      <c r="N440" s="1265"/>
      <c r="O440" s="1265"/>
      <c r="P440" s="1265"/>
    </row>
    <row r="441" ht="17.25" customHeight="1">
      <c r="A441" s="1263"/>
      <c r="B441" s="1140"/>
      <c r="C441" s="1264"/>
      <c r="D441" s="1265"/>
      <c r="E441" s="1265"/>
      <c r="F441" s="1265"/>
      <c r="G441" s="1265"/>
      <c r="H441" s="1263"/>
      <c r="I441" s="1264"/>
      <c r="J441" s="1265"/>
      <c r="K441" s="1265"/>
      <c r="L441" s="1265"/>
      <c r="M441" s="1265"/>
      <c r="N441" s="1265"/>
      <c r="O441" s="1265"/>
      <c r="P441" s="1265"/>
    </row>
    <row r="442" ht="17.25" customHeight="1">
      <c r="A442" s="1263"/>
      <c r="B442" s="1140"/>
      <c r="C442" s="1264"/>
      <c r="D442" s="1265"/>
      <c r="E442" s="1265"/>
      <c r="F442" s="1265"/>
      <c r="G442" s="1265"/>
      <c r="H442" s="1263"/>
      <c r="I442" s="1264"/>
      <c r="J442" s="1265"/>
      <c r="K442" s="1265"/>
      <c r="L442" s="1265"/>
      <c r="M442" s="1265"/>
      <c r="N442" s="1265"/>
      <c r="O442" s="1265"/>
      <c r="P442" s="1265"/>
    </row>
    <row r="443" ht="17.25" customHeight="1">
      <c r="A443" s="1263"/>
      <c r="B443" s="1140"/>
      <c r="C443" s="1264"/>
      <c r="D443" s="1265"/>
      <c r="E443" s="1265"/>
      <c r="F443" s="1265"/>
      <c r="G443" s="1265"/>
      <c r="H443" s="1263"/>
      <c r="I443" s="1264"/>
      <c r="J443" s="1265"/>
      <c r="K443" s="1265"/>
      <c r="L443" s="1265"/>
      <c r="M443" s="1265"/>
      <c r="N443" s="1265"/>
      <c r="O443" s="1265"/>
      <c r="P443" s="1265"/>
    </row>
    <row r="444" ht="17.25" customHeight="1">
      <c r="A444" s="1263"/>
      <c r="B444" s="1140"/>
      <c r="C444" s="1264"/>
      <c r="D444" s="1265"/>
      <c r="E444" s="1265"/>
      <c r="F444" s="1265"/>
      <c r="G444" s="1265"/>
      <c r="H444" s="1263"/>
      <c r="I444" s="1264"/>
      <c r="J444" s="1265"/>
      <c r="K444" s="1265"/>
      <c r="L444" s="1265"/>
      <c r="M444" s="1265"/>
      <c r="N444" s="1265"/>
      <c r="O444" s="1265"/>
      <c r="P444" s="1265"/>
    </row>
    <row r="445" ht="17.25" customHeight="1">
      <c r="A445" s="1263"/>
      <c r="B445" s="1140"/>
      <c r="C445" s="1264"/>
      <c r="D445" s="1265"/>
      <c r="E445" s="1265"/>
      <c r="F445" s="1265"/>
      <c r="G445" s="1265"/>
      <c r="H445" s="1263"/>
      <c r="I445" s="1264"/>
      <c r="J445" s="1265"/>
      <c r="K445" s="1265"/>
      <c r="L445" s="1265"/>
      <c r="M445" s="1265"/>
      <c r="N445" s="1265"/>
      <c r="O445" s="1265"/>
      <c r="P445" s="1265"/>
    </row>
    <row r="446" ht="17.25" customHeight="1">
      <c r="A446" s="1263"/>
      <c r="B446" s="1140"/>
      <c r="C446" s="1264"/>
      <c r="D446" s="1265"/>
      <c r="E446" s="1265"/>
      <c r="F446" s="1265"/>
      <c r="G446" s="1265"/>
      <c r="H446" s="1263"/>
      <c r="I446" s="1264"/>
      <c r="J446" s="1265"/>
      <c r="K446" s="1265"/>
      <c r="L446" s="1265"/>
      <c r="M446" s="1265"/>
      <c r="N446" s="1265"/>
      <c r="O446" s="1265"/>
      <c r="P446" s="1265"/>
    </row>
    <row r="447" ht="17.25" customHeight="1">
      <c r="A447" s="1263"/>
      <c r="B447" s="1140"/>
      <c r="C447" s="1264"/>
      <c r="D447" s="1265"/>
      <c r="E447" s="1265"/>
      <c r="F447" s="1265"/>
      <c r="G447" s="1265"/>
      <c r="H447" s="1263"/>
      <c r="I447" s="1264"/>
      <c r="J447" s="1265"/>
      <c r="K447" s="1265"/>
      <c r="L447" s="1265"/>
      <c r="M447" s="1265"/>
      <c r="N447" s="1265"/>
      <c r="O447" s="1265"/>
      <c r="P447" s="1265"/>
    </row>
    <row r="448" ht="17.25" customHeight="1">
      <c r="A448" s="1263"/>
      <c r="B448" s="1140"/>
      <c r="C448" s="1264"/>
      <c r="D448" s="1265"/>
      <c r="E448" s="1265"/>
      <c r="F448" s="1265"/>
      <c r="G448" s="1265"/>
      <c r="H448" s="1263"/>
      <c r="I448" s="1264"/>
      <c r="J448" s="1265"/>
      <c r="K448" s="1265"/>
      <c r="L448" s="1265"/>
      <c r="M448" s="1265"/>
      <c r="N448" s="1265"/>
      <c r="O448" s="1265"/>
      <c r="P448" s="1265"/>
    </row>
    <row r="449" ht="17.25" customHeight="1">
      <c r="A449" s="1263"/>
      <c r="B449" s="1140"/>
      <c r="C449" s="1264"/>
      <c r="D449" s="1265"/>
      <c r="E449" s="1265"/>
      <c r="F449" s="1265"/>
      <c r="G449" s="1265"/>
      <c r="H449" s="1263"/>
      <c r="I449" s="1264"/>
      <c r="J449" s="1265"/>
      <c r="K449" s="1265"/>
      <c r="L449" s="1265"/>
      <c r="M449" s="1265"/>
      <c r="N449" s="1265"/>
      <c r="O449" s="1265"/>
      <c r="P449" s="1265"/>
    </row>
    <row r="450" ht="17.25" customHeight="1">
      <c r="A450" s="1263"/>
      <c r="B450" s="1140"/>
      <c r="C450" s="1264"/>
      <c r="D450" s="1265"/>
      <c r="E450" s="1265"/>
      <c r="F450" s="1265"/>
      <c r="G450" s="1265"/>
      <c r="H450" s="1263"/>
      <c r="I450" s="1264"/>
      <c r="J450" s="1265"/>
      <c r="K450" s="1265"/>
      <c r="L450" s="1265"/>
      <c r="M450" s="1265"/>
      <c r="N450" s="1265"/>
      <c r="O450" s="1265"/>
      <c r="P450" s="1265"/>
    </row>
    <row r="451" ht="17.25" customHeight="1">
      <c r="A451" s="1263"/>
      <c r="B451" s="1140"/>
      <c r="C451" s="1264"/>
      <c r="D451" s="1265"/>
      <c r="E451" s="1265"/>
      <c r="F451" s="1265"/>
      <c r="G451" s="1265"/>
      <c r="H451" s="1263"/>
      <c r="I451" s="1264"/>
      <c r="J451" s="1265"/>
      <c r="K451" s="1265"/>
      <c r="L451" s="1265"/>
      <c r="M451" s="1265"/>
      <c r="N451" s="1265"/>
      <c r="O451" s="1265"/>
      <c r="P451" s="1265"/>
    </row>
    <row r="452" ht="17.25" customHeight="1">
      <c r="A452" s="1263"/>
      <c r="B452" s="1140"/>
      <c r="C452" s="1264"/>
      <c r="D452" s="1265"/>
      <c r="E452" s="1265"/>
      <c r="F452" s="1265"/>
      <c r="G452" s="1265"/>
      <c r="H452" s="1263"/>
      <c r="I452" s="1264"/>
      <c r="J452" s="1265"/>
      <c r="K452" s="1265"/>
      <c r="L452" s="1265"/>
      <c r="M452" s="1265"/>
      <c r="N452" s="1265"/>
      <c r="O452" s="1265"/>
      <c r="P452" s="1265"/>
    </row>
    <row r="453" ht="17.25" customHeight="1">
      <c r="A453" s="1263"/>
      <c r="B453" s="1140"/>
      <c r="C453" s="1264"/>
      <c r="D453" s="1265"/>
      <c r="E453" s="1265"/>
      <c r="F453" s="1265"/>
      <c r="G453" s="1265"/>
      <c r="H453" s="1263"/>
      <c r="I453" s="1264"/>
      <c r="J453" s="1265"/>
      <c r="K453" s="1265"/>
      <c r="L453" s="1265"/>
      <c r="M453" s="1265"/>
      <c r="N453" s="1265"/>
      <c r="O453" s="1265"/>
      <c r="P453" s="1265"/>
    </row>
    <row r="454" ht="17.25" customHeight="1">
      <c r="A454" s="1263"/>
      <c r="B454" s="1140"/>
      <c r="C454" s="1264"/>
      <c r="D454" s="1265"/>
      <c r="E454" s="1265"/>
      <c r="F454" s="1265"/>
      <c r="G454" s="1265"/>
      <c r="H454" s="1263"/>
      <c r="I454" s="1264"/>
      <c r="J454" s="1265"/>
      <c r="K454" s="1265"/>
      <c r="L454" s="1265"/>
      <c r="M454" s="1265"/>
      <c r="N454" s="1265"/>
      <c r="O454" s="1265"/>
      <c r="P454" s="1265"/>
    </row>
    <row r="455" ht="17.25" customHeight="1">
      <c r="A455" s="1263"/>
      <c r="B455" s="1140"/>
      <c r="C455" s="1264"/>
      <c r="D455" s="1265"/>
      <c r="E455" s="1265"/>
      <c r="F455" s="1265"/>
      <c r="G455" s="1265"/>
      <c r="H455" s="1263"/>
      <c r="I455" s="1264"/>
      <c r="J455" s="1265"/>
      <c r="K455" s="1265"/>
      <c r="L455" s="1265"/>
      <c r="M455" s="1265"/>
      <c r="N455" s="1265"/>
      <c r="O455" s="1265"/>
      <c r="P455" s="1265"/>
    </row>
    <row r="456" ht="17.25" customHeight="1">
      <c r="A456" s="1263"/>
      <c r="B456" s="1140"/>
      <c r="C456" s="1264"/>
      <c r="D456" s="1265"/>
      <c r="E456" s="1265"/>
      <c r="F456" s="1265"/>
      <c r="G456" s="1265"/>
      <c r="H456" s="1263"/>
      <c r="I456" s="1264"/>
      <c r="J456" s="1265"/>
      <c r="K456" s="1265"/>
      <c r="L456" s="1265"/>
      <c r="M456" s="1265"/>
      <c r="N456" s="1265"/>
      <c r="O456" s="1265"/>
      <c r="P456" s="1265"/>
    </row>
    <row r="457" ht="17.25" customHeight="1">
      <c r="A457" s="1263"/>
      <c r="B457" s="1140"/>
      <c r="C457" s="1264"/>
      <c r="D457" s="1265"/>
      <c r="E457" s="1265"/>
      <c r="F457" s="1265"/>
      <c r="G457" s="1265"/>
      <c r="H457" s="1263"/>
      <c r="I457" s="1264"/>
      <c r="J457" s="1265"/>
      <c r="K457" s="1265"/>
      <c r="L457" s="1265"/>
      <c r="M457" s="1265"/>
      <c r="N457" s="1265"/>
      <c r="O457" s="1265"/>
      <c r="P457" s="1265"/>
    </row>
    <row r="458" ht="17.25" customHeight="1">
      <c r="A458" s="1263"/>
      <c r="B458" s="1140"/>
      <c r="C458" s="1264"/>
      <c r="D458" s="1265"/>
      <c r="E458" s="1265"/>
      <c r="F458" s="1265"/>
      <c r="G458" s="1265"/>
      <c r="H458" s="1263"/>
      <c r="I458" s="1264"/>
      <c r="J458" s="1265"/>
      <c r="K458" s="1265"/>
      <c r="L458" s="1265"/>
      <c r="M458" s="1265"/>
      <c r="N458" s="1265"/>
      <c r="O458" s="1265"/>
      <c r="P458" s="1265"/>
    </row>
    <row r="459" ht="17.25" customHeight="1">
      <c r="A459" s="1263"/>
      <c r="B459" s="1140"/>
      <c r="C459" s="1264"/>
      <c r="D459" s="1265"/>
      <c r="E459" s="1265"/>
      <c r="F459" s="1265"/>
      <c r="G459" s="1265"/>
      <c r="H459" s="1263"/>
      <c r="I459" s="1264"/>
      <c r="J459" s="1265"/>
      <c r="K459" s="1265"/>
      <c r="L459" s="1265"/>
      <c r="M459" s="1265"/>
      <c r="N459" s="1265"/>
      <c r="O459" s="1265"/>
      <c r="P459" s="1265"/>
    </row>
    <row r="460" ht="17.25" customHeight="1">
      <c r="A460" s="1263"/>
      <c r="B460" s="1140"/>
      <c r="C460" s="1264"/>
      <c r="D460" s="1265"/>
      <c r="E460" s="1265"/>
      <c r="F460" s="1265"/>
      <c r="G460" s="1265"/>
      <c r="H460" s="1263"/>
      <c r="I460" s="1264"/>
      <c r="J460" s="1265"/>
      <c r="K460" s="1265"/>
      <c r="L460" s="1265"/>
      <c r="M460" s="1265"/>
      <c r="N460" s="1265"/>
      <c r="O460" s="1265"/>
      <c r="P460" s="1265"/>
    </row>
    <row r="461" ht="17.25" customHeight="1">
      <c r="A461" s="1263"/>
      <c r="B461" s="1140"/>
      <c r="C461" s="1264"/>
      <c r="D461" s="1265"/>
      <c r="E461" s="1265"/>
      <c r="F461" s="1265"/>
      <c r="G461" s="1265"/>
      <c r="H461" s="1263"/>
      <c r="I461" s="1264"/>
      <c r="J461" s="1265"/>
      <c r="K461" s="1265"/>
      <c r="L461" s="1265"/>
      <c r="M461" s="1265"/>
      <c r="N461" s="1265"/>
      <c r="O461" s="1265"/>
      <c r="P461" s="1265"/>
    </row>
    <row r="462" ht="17.25" customHeight="1">
      <c r="A462" s="1263"/>
      <c r="B462" s="1140"/>
      <c r="C462" s="1264"/>
      <c r="D462" s="1265"/>
      <c r="E462" s="1265"/>
      <c r="F462" s="1265"/>
      <c r="G462" s="1265"/>
      <c r="H462" s="1263"/>
      <c r="I462" s="1264"/>
      <c r="J462" s="1265"/>
      <c r="K462" s="1265"/>
      <c r="L462" s="1265"/>
      <c r="M462" s="1265"/>
      <c r="N462" s="1265"/>
      <c r="O462" s="1265"/>
      <c r="P462" s="1265"/>
    </row>
    <row r="463" ht="17.25" customHeight="1">
      <c r="A463" s="1263"/>
      <c r="B463" s="1140"/>
      <c r="C463" s="1264"/>
      <c r="D463" s="1265"/>
      <c r="E463" s="1265"/>
      <c r="F463" s="1265"/>
      <c r="G463" s="1265"/>
      <c r="H463" s="1263"/>
      <c r="I463" s="1264"/>
      <c r="J463" s="1265"/>
      <c r="K463" s="1265"/>
      <c r="L463" s="1265"/>
      <c r="M463" s="1265"/>
      <c r="N463" s="1265"/>
      <c r="O463" s="1265"/>
      <c r="P463" s="1265"/>
    </row>
    <row r="464" ht="17.25" customHeight="1">
      <c r="A464" s="1263"/>
      <c r="B464" s="1140"/>
      <c r="C464" s="1264"/>
      <c r="D464" s="1265"/>
      <c r="E464" s="1265"/>
      <c r="F464" s="1265"/>
      <c r="G464" s="1265"/>
      <c r="H464" s="1263"/>
      <c r="I464" s="1264"/>
      <c r="J464" s="1265"/>
      <c r="K464" s="1265"/>
      <c r="L464" s="1265"/>
      <c r="M464" s="1265"/>
      <c r="N464" s="1265"/>
      <c r="O464" s="1265"/>
      <c r="P464" s="1265"/>
    </row>
    <row r="465" ht="17.25" customHeight="1">
      <c r="A465" s="1263"/>
      <c r="B465" s="1140"/>
      <c r="C465" s="1264"/>
      <c r="D465" s="1265"/>
      <c r="E465" s="1265"/>
      <c r="F465" s="1265"/>
      <c r="G465" s="1265"/>
      <c r="H465" s="1263"/>
      <c r="I465" s="1264"/>
      <c r="J465" s="1265"/>
      <c r="K465" s="1265"/>
      <c r="L465" s="1265"/>
      <c r="M465" s="1265"/>
      <c r="N465" s="1265"/>
      <c r="O465" s="1265"/>
      <c r="P465" s="1265"/>
    </row>
    <row r="466" ht="17.25" customHeight="1">
      <c r="A466" s="1263"/>
      <c r="B466" s="1140"/>
      <c r="C466" s="1264"/>
      <c r="D466" s="1265"/>
      <c r="E466" s="1265"/>
      <c r="F466" s="1265"/>
      <c r="G466" s="1265"/>
      <c r="H466" s="1263"/>
      <c r="I466" s="1264"/>
      <c r="J466" s="1265"/>
      <c r="K466" s="1265"/>
      <c r="L466" s="1265"/>
      <c r="M466" s="1265"/>
      <c r="N466" s="1265"/>
      <c r="O466" s="1265"/>
      <c r="P466" s="1265"/>
    </row>
    <row r="467" ht="17.25" customHeight="1">
      <c r="A467" s="1263"/>
      <c r="B467" s="1140"/>
      <c r="C467" s="1264"/>
      <c r="D467" s="1265"/>
      <c r="E467" s="1265"/>
      <c r="F467" s="1265"/>
      <c r="G467" s="1265"/>
      <c r="H467" s="1263"/>
      <c r="I467" s="1264"/>
      <c r="J467" s="1265"/>
      <c r="K467" s="1265"/>
      <c r="L467" s="1265"/>
      <c r="M467" s="1265"/>
      <c r="N467" s="1265"/>
      <c r="O467" s="1265"/>
      <c r="P467" s="1265"/>
    </row>
    <row r="468" ht="17.25" customHeight="1">
      <c r="A468" s="1263"/>
      <c r="B468" s="1140"/>
      <c r="C468" s="1264"/>
      <c r="D468" s="1265"/>
      <c r="E468" s="1265"/>
      <c r="F468" s="1265"/>
      <c r="G468" s="1265"/>
      <c r="H468" s="1263"/>
      <c r="I468" s="1264"/>
      <c r="J468" s="1265"/>
      <c r="K468" s="1265"/>
      <c r="L468" s="1265"/>
      <c r="M468" s="1265"/>
      <c r="N468" s="1265"/>
      <c r="O468" s="1265"/>
      <c r="P468" s="1265"/>
    </row>
    <row r="469" ht="17.25" customHeight="1">
      <c r="A469" s="1263"/>
      <c r="B469" s="1140"/>
      <c r="C469" s="1264"/>
      <c r="D469" s="1265"/>
      <c r="E469" s="1265"/>
      <c r="F469" s="1265"/>
      <c r="G469" s="1265"/>
      <c r="H469" s="1263"/>
      <c r="I469" s="1264"/>
      <c r="J469" s="1265"/>
      <c r="K469" s="1265"/>
      <c r="L469" s="1265"/>
      <c r="M469" s="1265"/>
      <c r="N469" s="1265"/>
      <c r="O469" s="1265"/>
      <c r="P469" s="1265"/>
    </row>
    <row r="470" ht="17.25" customHeight="1">
      <c r="A470" s="1263"/>
      <c r="B470" s="1140"/>
      <c r="C470" s="1264"/>
      <c r="D470" s="1265"/>
      <c r="E470" s="1265"/>
      <c r="F470" s="1265"/>
      <c r="G470" s="1265"/>
      <c r="H470" s="1263"/>
      <c r="I470" s="1264"/>
      <c r="J470" s="1265"/>
      <c r="K470" s="1265"/>
      <c r="L470" s="1265"/>
      <c r="M470" s="1265"/>
      <c r="N470" s="1265"/>
      <c r="O470" s="1265"/>
      <c r="P470" s="1265"/>
    </row>
    <row r="471" ht="17.25" customHeight="1">
      <c r="A471" s="1263"/>
      <c r="B471" s="1140"/>
      <c r="C471" s="1264"/>
      <c r="D471" s="1265"/>
      <c r="E471" s="1265"/>
      <c r="F471" s="1265"/>
      <c r="G471" s="1265"/>
      <c r="H471" s="1263"/>
      <c r="I471" s="1264"/>
      <c r="J471" s="1265"/>
      <c r="K471" s="1265"/>
      <c r="L471" s="1265"/>
      <c r="M471" s="1265"/>
      <c r="N471" s="1265"/>
      <c r="O471" s="1265"/>
      <c r="P471" s="1265"/>
    </row>
    <row r="472" ht="17.25" customHeight="1">
      <c r="A472" s="1263"/>
      <c r="B472" s="1140"/>
      <c r="C472" s="1264"/>
      <c r="D472" s="1265"/>
      <c r="E472" s="1265"/>
      <c r="F472" s="1265"/>
      <c r="G472" s="1265"/>
      <c r="H472" s="1263"/>
      <c r="I472" s="1264"/>
      <c r="J472" s="1265"/>
      <c r="K472" s="1265"/>
      <c r="L472" s="1265"/>
      <c r="M472" s="1265"/>
      <c r="N472" s="1265"/>
      <c r="O472" s="1265"/>
      <c r="P472" s="1265"/>
    </row>
    <row r="473" ht="17.25" customHeight="1">
      <c r="A473" s="1263"/>
      <c r="B473" s="1140"/>
      <c r="C473" s="1264"/>
      <c r="D473" s="1265"/>
      <c r="E473" s="1265"/>
      <c r="F473" s="1265"/>
      <c r="G473" s="1265"/>
      <c r="H473" s="1263"/>
      <c r="I473" s="1264"/>
      <c r="J473" s="1265"/>
      <c r="K473" s="1265"/>
      <c r="L473" s="1265"/>
      <c r="M473" s="1265"/>
      <c r="N473" s="1265"/>
      <c r="O473" s="1265"/>
      <c r="P473" s="1265"/>
    </row>
    <row r="474" ht="17.25" customHeight="1">
      <c r="A474" s="1263"/>
      <c r="B474" s="1140"/>
      <c r="C474" s="1264"/>
      <c r="D474" s="1265"/>
      <c r="E474" s="1265"/>
      <c r="F474" s="1265"/>
      <c r="G474" s="1265"/>
      <c r="H474" s="1263"/>
      <c r="I474" s="1264"/>
      <c r="J474" s="1265"/>
      <c r="K474" s="1265"/>
      <c r="L474" s="1265"/>
      <c r="M474" s="1265"/>
      <c r="N474" s="1265"/>
      <c r="O474" s="1265"/>
      <c r="P474" s="1265"/>
    </row>
    <row r="475" ht="17.25" customHeight="1">
      <c r="A475" s="1263"/>
      <c r="B475" s="1140"/>
      <c r="C475" s="1264"/>
      <c r="D475" s="1265"/>
      <c r="E475" s="1265"/>
      <c r="F475" s="1265"/>
      <c r="G475" s="1265"/>
      <c r="H475" s="1263"/>
      <c r="I475" s="1264"/>
      <c r="J475" s="1265"/>
      <c r="K475" s="1265"/>
      <c r="L475" s="1265"/>
      <c r="M475" s="1265"/>
      <c r="N475" s="1265"/>
      <c r="O475" s="1265"/>
      <c r="P475" s="1265"/>
    </row>
    <row r="476" ht="17.25" customHeight="1">
      <c r="A476" s="1263"/>
      <c r="B476" s="1140"/>
      <c r="C476" s="1264"/>
      <c r="D476" s="1265"/>
      <c r="E476" s="1265"/>
      <c r="F476" s="1265"/>
      <c r="G476" s="1265"/>
      <c r="H476" s="1263"/>
      <c r="I476" s="1264"/>
      <c r="J476" s="1265"/>
      <c r="K476" s="1265"/>
      <c r="L476" s="1265"/>
      <c r="M476" s="1265"/>
      <c r="N476" s="1265"/>
      <c r="O476" s="1265"/>
      <c r="P476" s="1265"/>
    </row>
    <row r="477" ht="17.25" customHeight="1">
      <c r="A477" s="1263"/>
      <c r="B477" s="1140"/>
      <c r="C477" s="1264"/>
      <c r="D477" s="1265"/>
      <c r="E477" s="1265"/>
      <c r="F477" s="1265"/>
      <c r="G477" s="1265"/>
      <c r="H477" s="1263"/>
      <c r="I477" s="1264"/>
      <c r="J477" s="1265"/>
      <c r="K477" s="1265"/>
      <c r="L477" s="1265"/>
      <c r="M477" s="1265"/>
      <c r="N477" s="1265"/>
      <c r="O477" s="1265"/>
      <c r="P477" s="1265"/>
    </row>
    <row r="478" ht="17.25" customHeight="1">
      <c r="A478" s="1263"/>
      <c r="B478" s="1140"/>
      <c r="C478" s="1264"/>
      <c r="D478" s="1265"/>
      <c r="E478" s="1265"/>
      <c r="F478" s="1265"/>
      <c r="G478" s="1265"/>
      <c r="H478" s="1263"/>
      <c r="I478" s="1264"/>
      <c r="J478" s="1265"/>
      <c r="K478" s="1265"/>
      <c r="L478" s="1265"/>
      <c r="M478" s="1265"/>
      <c r="N478" s="1265"/>
      <c r="O478" s="1265"/>
      <c r="P478" s="1265"/>
    </row>
    <row r="479" ht="17.25" customHeight="1">
      <c r="A479" s="1263"/>
      <c r="B479" s="1140"/>
      <c r="C479" s="1264"/>
      <c r="D479" s="1265"/>
      <c r="E479" s="1265"/>
      <c r="F479" s="1265"/>
      <c r="G479" s="1265"/>
      <c r="H479" s="1263"/>
      <c r="I479" s="1264"/>
      <c r="J479" s="1265"/>
      <c r="K479" s="1265"/>
      <c r="L479" s="1265"/>
      <c r="M479" s="1265"/>
      <c r="N479" s="1265"/>
      <c r="O479" s="1265"/>
      <c r="P479" s="1265"/>
    </row>
    <row r="480" ht="17.25" customHeight="1">
      <c r="A480" s="1263"/>
      <c r="B480" s="1140"/>
      <c r="C480" s="1264"/>
      <c r="D480" s="1265"/>
      <c r="E480" s="1265"/>
      <c r="F480" s="1265"/>
      <c r="G480" s="1265"/>
      <c r="H480" s="1263"/>
      <c r="I480" s="1264"/>
      <c r="J480" s="1265"/>
      <c r="K480" s="1265"/>
      <c r="L480" s="1265"/>
      <c r="M480" s="1265"/>
      <c r="N480" s="1265"/>
      <c r="O480" s="1265"/>
      <c r="P480" s="1265"/>
    </row>
    <row r="481" ht="17.25" customHeight="1">
      <c r="A481" s="1263"/>
      <c r="B481" s="1140"/>
      <c r="C481" s="1264"/>
      <c r="D481" s="1265"/>
      <c r="E481" s="1265"/>
      <c r="F481" s="1265"/>
      <c r="G481" s="1265"/>
      <c r="H481" s="1263"/>
      <c r="I481" s="1264"/>
      <c r="J481" s="1265"/>
      <c r="K481" s="1265"/>
      <c r="L481" s="1265"/>
      <c r="M481" s="1265"/>
      <c r="N481" s="1265"/>
      <c r="O481" s="1265"/>
      <c r="P481" s="1265"/>
    </row>
    <row r="482" ht="17.25" customHeight="1">
      <c r="A482" s="1263"/>
      <c r="B482" s="1140"/>
      <c r="C482" s="1264"/>
      <c r="D482" s="1265"/>
      <c r="E482" s="1265"/>
      <c r="F482" s="1265"/>
      <c r="G482" s="1265"/>
      <c r="H482" s="1263"/>
      <c r="I482" s="1264"/>
      <c r="J482" s="1265"/>
      <c r="K482" s="1265"/>
      <c r="L482" s="1265"/>
      <c r="M482" s="1265"/>
      <c r="N482" s="1265"/>
      <c r="O482" s="1265"/>
      <c r="P482" s="1265"/>
    </row>
    <row r="483" ht="17.25" customHeight="1">
      <c r="A483" s="1263"/>
      <c r="B483" s="1140"/>
      <c r="C483" s="1264"/>
      <c r="D483" s="1265"/>
      <c r="E483" s="1265"/>
      <c r="F483" s="1265"/>
      <c r="G483" s="1265"/>
      <c r="H483" s="1263"/>
      <c r="I483" s="1264"/>
      <c r="J483" s="1265"/>
      <c r="K483" s="1265"/>
      <c r="L483" s="1265"/>
      <c r="M483" s="1265"/>
      <c r="N483" s="1265"/>
      <c r="O483" s="1265"/>
      <c r="P483" s="1265"/>
    </row>
    <row r="484" ht="17.25" customHeight="1">
      <c r="A484" s="1263"/>
      <c r="B484" s="1140"/>
      <c r="C484" s="1264"/>
      <c r="D484" s="1265"/>
      <c r="E484" s="1265"/>
      <c r="F484" s="1265"/>
      <c r="G484" s="1265"/>
      <c r="H484" s="1263"/>
      <c r="I484" s="1264"/>
      <c r="J484" s="1265"/>
      <c r="K484" s="1265"/>
      <c r="L484" s="1265"/>
      <c r="M484" s="1265"/>
      <c r="N484" s="1265"/>
      <c r="O484" s="1265"/>
      <c r="P484" s="1265"/>
    </row>
    <row r="485" ht="17.25" customHeight="1">
      <c r="A485" s="1263"/>
      <c r="B485" s="1140"/>
      <c r="C485" s="1264"/>
      <c r="D485" s="1265"/>
      <c r="E485" s="1265"/>
      <c r="F485" s="1265"/>
      <c r="G485" s="1265"/>
      <c r="H485" s="1263"/>
      <c r="I485" s="1264"/>
      <c r="J485" s="1265"/>
      <c r="K485" s="1265"/>
      <c r="L485" s="1265"/>
      <c r="M485" s="1265"/>
      <c r="N485" s="1265"/>
      <c r="O485" s="1265"/>
      <c r="P485" s="1265"/>
    </row>
    <row r="486" ht="17.25" customHeight="1">
      <c r="A486" s="1263"/>
      <c r="B486" s="1140"/>
      <c r="C486" s="1264"/>
      <c r="D486" s="1265"/>
      <c r="E486" s="1265"/>
      <c r="F486" s="1265"/>
      <c r="G486" s="1265"/>
      <c r="H486" s="1263"/>
      <c r="I486" s="1264"/>
      <c r="J486" s="1265"/>
      <c r="K486" s="1265"/>
      <c r="L486" s="1265"/>
      <c r="M486" s="1265"/>
      <c r="N486" s="1265"/>
      <c r="O486" s="1265"/>
      <c r="P486" s="1265"/>
    </row>
    <row r="487" ht="17.25" customHeight="1">
      <c r="A487" s="1263"/>
      <c r="B487" s="1140"/>
      <c r="C487" s="1264"/>
      <c r="D487" s="1265"/>
      <c r="E487" s="1265"/>
      <c r="F487" s="1265"/>
      <c r="G487" s="1265"/>
      <c r="H487" s="1263"/>
      <c r="I487" s="1264"/>
      <c r="J487" s="1265"/>
      <c r="K487" s="1265"/>
      <c r="L487" s="1265"/>
      <c r="M487" s="1265"/>
      <c r="N487" s="1265"/>
      <c r="O487" s="1265"/>
      <c r="P487" s="1265"/>
    </row>
    <row r="488" ht="17.25" customHeight="1">
      <c r="A488" s="1263"/>
      <c r="B488" s="1140"/>
      <c r="C488" s="1264"/>
      <c r="D488" s="1265"/>
      <c r="E488" s="1265"/>
      <c r="F488" s="1265"/>
      <c r="G488" s="1265"/>
      <c r="H488" s="1263"/>
      <c r="I488" s="1264"/>
      <c r="J488" s="1265"/>
      <c r="K488" s="1265"/>
      <c r="L488" s="1265"/>
      <c r="M488" s="1265"/>
      <c r="N488" s="1265"/>
      <c r="O488" s="1265"/>
      <c r="P488" s="1265"/>
    </row>
    <row r="489" ht="17.25" customHeight="1">
      <c r="A489" s="1263"/>
      <c r="B489" s="1140"/>
      <c r="C489" s="1264"/>
      <c r="D489" s="1265"/>
      <c r="E489" s="1265"/>
      <c r="F489" s="1265"/>
      <c r="G489" s="1265"/>
      <c r="H489" s="1263"/>
      <c r="I489" s="1264"/>
      <c r="J489" s="1265"/>
      <c r="K489" s="1265"/>
      <c r="L489" s="1265"/>
      <c r="M489" s="1265"/>
      <c r="N489" s="1265"/>
      <c r="O489" s="1265"/>
      <c r="P489" s="1265"/>
    </row>
    <row r="490" ht="17.25" customHeight="1">
      <c r="A490" s="1263"/>
      <c r="B490" s="1140"/>
      <c r="C490" s="1264"/>
      <c r="D490" s="1265"/>
      <c r="E490" s="1265"/>
      <c r="F490" s="1265"/>
      <c r="G490" s="1265"/>
      <c r="H490" s="1263"/>
      <c r="I490" s="1264"/>
      <c r="J490" s="1265"/>
      <c r="K490" s="1265"/>
      <c r="L490" s="1265"/>
      <c r="M490" s="1265"/>
      <c r="N490" s="1265"/>
      <c r="O490" s="1265"/>
      <c r="P490" s="1265"/>
    </row>
    <row r="491" ht="17.25" customHeight="1">
      <c r="A491" s="1263"/>
      <c r="B491" s="1140"/>
      <c r="C491" s="1264"/>
      <c r="D491" s="1265"/>
      <c r="E491" s="1265"/>
      <c r="F491" s="1265"/>
      <c r="G491" s="1265"/>
      <c r="H491" s="1263"/>
      <c r="I491" s="1264"/>
      <c r="J491" s="1265"/>
      <c r="K491" s="1265"/>
      <c r="L491" s="1265"/>
      <c r="M491" s="1265"/>
      <c r="N491" s="1265"/>
      <c r="O491" s="1265"/>
      <c r="P491" s="1265"/>
    </row>
    <row r="492" ht="17.25" customHeight="1">
      <c r="A492" s="1263"/>
      <c r="B492" s="1140"/>
      <c r="C492" s="1264"/>
      <c r="D492" s="1265"/>
      <c r="E492" s="1265"/>
      <c r="F492" s="1265"/>
      <c r="G492" s="1265"/>
      <c r="H492" s="1263"/>
      <c r="I492" s="1264"/>
      <c r="J492" s="1265"/>
      <c r="K492" s="1265"/>
      <c r="L492" s="1265"/>
      <c r="M492" s="1265"/>
      <c r="N492" s="1265"/>
      <c r="O492" s="1265"/>
      <c r="P492" s="1265"/>
    </row>
    <row r="493" ht="17.25" customHeight="1">
      <c r="A493" s="1263"/>
      <c r="B493" s="1140"/>
      <c r="C493" s="1264"/>
      <c r="D493" s="1265"/>
      <c r="E493" s="1265"/>
      <c r="F493" s="1265"/>
      <c r="G493" s="1265"/>
      <c r="H493" s="1263"/>
      <c r="I493" s="1264"/>
      <c r="J493" s="1265"/>
      <c r="K493" s="1265"/>
      <c r="L493" s="1265"/>
      <c r="M493" s="1265"/>
      <c r="N493" s="1265"/>
      <c r="O493" s="1265"/>
      <c r="P493" s="1265"/>
    </row>
    <row r="494" ht="17.25" customHeight="1">
      <c r="A494" s="1263"/>
      <c r="B494" s="1140"/>
      <c r="C494" s="1264"/>
      <c r="D494" s="1265"/>
      <c r="E494" s="1265"/>
      <c r="F494" s="1265"/>
      <c r="G494" s="1265"/>
      <c r="H494" s="1263"/>
      <c r="I494" s="1264"/>
      <c r="J494" s="1265"/>
      <c r="K494" s="1265"/>
      <c r="L494" s="1265"/>
      <c r="M494" s="1265"/>
      <c r="N494" s="1265"/>
      <c r="O494" s="1265"/>
      <c r="P494" s="1265"/>
    </row>
    <row r="495" ht="17.25" customHeight="1">
      <c r="A495" s="1263"/>
      <c r="B495" s="1140"/>
      <c r="C495" s="1264"/>
      <c r="D495" s="1265"/>
      <c r="E495" s="1265"/>
      <c r="F495" s="1265"/>
      <c r="G495" s="1265"/>
      <c r="H495" s="1263"/>
      <c r="I495" s="1264"/>
      <c r="J495" s="1265"/>
      <c r="K495" s="1265"/>
      <c r="L495" s="1265"/>
      <c r="M495" s="1265"/>
      <c r="N495" s="1265"/>
      <c r="O495" s="1265"/>
      <c r="P495" s="1265"/>
    </row>
    <row r="496" ht="17.25" customHeight="1">
      <c r="A496" s="1263"/>
      <c r="B496" s="1140"/>
      <c r="C496" s="1264"/>
      <c r="D496" s="1265"/>
      <c r="E496" s="1265"/>
      <c r="F496" s="1265"/>
      <c r="G496" s="1265"/>
      <c r="H496" s="1263"/>
      <c r="I496" s="1264"/>
      <c r="J496" s="1265"/>
      <c r="K496" s="1265"/>
      <c r="L496" s="1265"/>
      <c r="M496" s="1265"/>
      <c r="N496" s="1265"/>
      <c r="O496" s="1265"/>
      <c r="P496" s="1265"/>
    </row>
    <row r="497" ht="17.25" customHeight="1">
      <c r="A497" s="1263"/>
      <c r="B497" s="1140"/>
      <c r="C497" s="1264"/>
      <c r="D497" s="1265"/>
      <c r="E497" s="1265"/>
      <c r="F497" s="1265"/>
      <c r="G497" s="1265"/>
      <c r="H497" s="1263"/>
      <c r="I497" s="1264"/>
      <c r="J497" s="1265"/>
      <c r="K497" s="1265"/>
      <c r="L497" s="1265"/>
      <c r="M497" s="1265"/>
      <c r="N497" s="1265"/>
      <c r="O497" s="1265"/>
      <c r="P497" s="1265"/>
    </row>
    <row r="498" ht="17.25" customHeight="1">
      <c r="A498" s="1263"/>
      <c r="B498" s="1140"/>
      <c r="C498" s="1264"/>
      <c r="D498" s="1265"/>
      <c r="E498" s="1265"/>
      <c r="F498" s="1265"/>
      <c r="G498" s="1265"/>
      <c r="H498" s="1263"/>
      <c r="I498" s="1264"/>
      <c r="J498" s="1265"/>
      <c r="K498" s="1265"/>
      <c r="L498" s="1265"/>
      <c r="M498" s="1265"/>
      <c r="N498" s="1265"/>
      <c r="O498" s="1265"/>
      <c r="P498" s="1265"/>
    </row>
    <row r="499" ht="17.25" customHeight="1">
      <c r="A499" s="1263"/>
      <c r="B499" s="1140"/>
      <c r="C499" s="1264"/>
      <c r="D499" s="1265"/>
      <c r="E499" s="1265"/>
      <c r="F499" s="1265"/>
      <c r="G499" s="1265"/>
      <c r="H499" s="1263"/>
      <c r="I499" s="1264"/>
      <c r="J499" s="1265"/>
      <c r="K499" s="1265"/>
      <c r="L499" s="1265"/>
      <c r="M499" s="1265"/>
      <c r="N499" s="1265"/>
      <c r="O499" s="1265"/>
      <c r="P499" s="1265"/>
    </row>
    <row r="500" ht="17.25" customHeight="1">
      <c r="A500" s="1263"/>
      <c r="B500" s="1140"/>
      <c r="C500" s="1264"/>
      <c r="D500" s="1265"/>
      <c r="E500" s="1265"/>
      <c r="F500" s="1265"/>
      <c r="G500" s="1265"/>
      <c r="H500" s="1263"/>
      <c r="I500" s="1264"/>
      <c r="J500" s="1265"/>
      <c r="K500" s="1265"/>
      <c r="L500" s="1265"/>
      <c r="M500" s="1265"/>
      <c r="N500" s="1265"/>
      <c r="O500" s="1265"/>
      <c r="P500" s="1265"/>
    </row>
    <row r="501" ht="17.25" customHeight="1">
      <c r="A501" s="1263"/>
      <c r="B501" s="1140"/>
      <c r="C501" s="1264"/>
      <c r="D501" s="1265"/>
      <c r="E501" s="1265"/>
      <c r="F501" s="1265"/>
      <c r="G501" s="1265"/>
      <c r="H501" s="1263"/>
      <c r="I501" s="1264"/>
      <c r="J501" s="1265"/>
      <c r="K501" s="1265"/>
      <c r="L501" s="1265"/>
      <c r="M501" s="1265"/>
      <c r="N501" s="1265"/>
      <c r="O501" s="1265"/>
      <c r="P501" s="1265"/>
    </row>
    <row r="502" ht="17.25" customHeight="1">
      <c r="A502" s="1263"/>
      <c r="B502" s="1140"/>
      <c r="C502" s="1264"/>
      <c r="D502" s="1265"/>
      <c r="E502" s="1265"/>
      <c r="F502" s="1265"/>
      <c r="G502" s="1265"/>
      <c r="H502" s="1263"/>
      <c r="I502" s="1264"/>
      <c r="J502" s="1265"/>
      <c r="K502" s="1265"/>
      <c r="L502" s="1265"/>
      <c r="M502" s="1265"/>
      <c r="N502" s="1265"/>
      <c r="O502" s="1265"/>
      <c r="P502" s="1265"/>
    </row>
    <row r="503" ht="17.25" customHeight="1">
      <c r="A503" s="1263"/>
      <c r="B503" s="1140"/>
      <c r="C503" s="1264"/>
      <c r="D503" s="1265"/>
      <c r="E503" s="1265"/>
      <c r="F503" s="1265"/>
      <c r="G503" s="1265"/>
      <c r="H503" s="1263"/>
      <c r="I503" s="1264"/>
      <c r="J503" s="1265"/>
      <c r="K503" s="1265"/>
      <c r="L503" s="1265"/>
      <c r="M503" s="1265"/>
      <c r="N503" s="1265"/>
      <c r="O503" s="1265"/>
      <c r="P503" s="1265"/>
    </row>
    <row r="504" ht="17.25" customHeight="1">
      <c r="A504" s="1263"/>
      <c r="B504" s="1140"/>
      <c r="C504" s="1264"/>
      <c r="D504" s="1265"/>
      <c r="E504" s="1265"/>
      <c r="F504" s="1265"/>
      <c r="G504" s="1265"/>
      <c r="H504" s="1263"/>
      <c r="I504" s="1264"/>
      <c r="J504" s="1265"/>
      <c r="K504" s="1265"/>
      <c r="L504" s="1265"/>
      <c r="M504" s="1265"/>
      <c r="N504" s="1265"/>
      <c r="O504" s="1265"/>
      <c r="P504" s="1265"/>
    </row>
    <row r="505" ht="17.25" customHeight="1">
      <c r="A505" s="1263"/>
      <c r="B505" s="1140"/>
      <c r="C505" s="1264"/>
      <c r="D505" s="1265"/>
      <c r="E505" s="1265"/>
      <c r="F505" s="1265"/>
      <c r="G505" s="1265"/>
      <c r="H505" s="1263"/>
      <c r="I505" s="1264"/>
      <c r="J505" s="1265"/>
      <c r="K505" s="1265"/>
      <c r="L505" s="1265"/>
      <c r="M505" s="1265"/>
      <c r="N505" s="1265"/>
      <c r="O505" s="1265"/>
      <c r="P505" s="1265"/>
    </row>
    <row r="506" ht="17.25" customHeight="1">
      <c r="A506" s="1263"/>
      <c r="B506" s="1140"/>
      <c r="C506" s="1264"/>
      <c r="D506" s="1265"/>
      <c r="E506" s="1265"/>
      <c r="F506" s="1265"/>
      <c r="G506" s="1265"/>
      <c r="H506" s="1263"/>
      <c r="I506" s="1264"/>
      <c r="J506" s="1265"/>
      <c r="K506" s="1265"/>
      <c r="L506" s="1265"/>
      <c r="M506" s="1265"/>
      <c r="N506" s="1265"/>
      <c r="O506" s="1265"/>
      <c r="P506" s="1265"/>
    </row>
    <row r="507" ht="17.25" customHeight="1">
      <c r="A507" s="1263"/>
      <c r="B507" s="1140"/>
      <c r="C507" s="1264"/>
      <c r="D507" s="1265"/>
      <c r="E507" s="1265"/>
      <c r="F507" s="1265"/>
      <c r="G507" s="1265"/>
      <c r="H507" s="1263"/>
      <c r="I507" s="1264"/>
      <c r="J507" s="1265"/>
      <c r="K507" s="1265"/>
      <c r="L507" s="1265"/>
      <c r="M507" s="1265"/>
      <c r="N507" s="1265"/>
      <c r="O507" s="1265"/>
      <c r="P507" s="1265"/>
    </row>
    <row r="508" ht="17.25" customHeight="1">
      <c r="A508" s="1263"/>
      <c r="B508" s="1140"/>
      <c r="C508" s="1264"/>
      <c r="D508" s="1265"/>
      <c r="E508" s="1265"/>
      <c r="F508" s="1265"/>
      <c r="G508" s="1265"/>
      <c r="H508" s="1263"/>
      <c r="I508" s="1264"/>
      <c r="J508" s="1265"/>
      <c r="K508" s="1265"/>
      <c r="L508" s="1265"/>
      <c r="M508" s="1265"/>
      <c r="N508" s="1265"/>
      <c r="O508" s="1265"/>
      <c r="P508" s="1265"/>
    </row>
    <row r="509" ht="17.25" customHeight="1">
      <c r="A509" s="1263"/>
      <c r="B509" s="1140"/>
      <c r="C509" s="1264"/>
      <c r="D509" s="1265"/>
      <c r="E509" s="1265"/>
      <c r="F509" s="1265"/>
      <c r="G509" s="1265"/>
      <c r="H509" s="1263"/>
      <c r="I509" s="1264"/>
      <c r="J509" s="1265"/>
      <c r="K509" s="1265"/>
      <c r="L509" s="1265"/>
      <c r="M509" s="1265"/>
      <c r="N509" s="1265"/>
      <c r="O509" s="1265"/>
      <c r="P509" s="1265"/>
    </row>
    <row r="510" ht="17.25" customHeight="1">
      <c r="A510" s="1263"/>
      <c r="B510" s="1140"/>
      <c r="C510" s="1264"/>
      <c r="D510" s="1265"/>
      <c r="E510" s="1265"/>
      <c r="F510" s="1265"/>
      <c r="G510" s="1265"/>
      <c r="H510" s="1263"/>
      <c r="I510" s="1264"/>
      <c r="J510" s="1265"/>
      <c r="K510" s="1265"/>
      <c r="L510" s="1265"/>
      <c r="M510" s="1265"/>
      <c r="N510" s="1265"/>
      <c r="O510" s="1265"/>
      <c r="P510" s="1265"/>
    </row>
    <row r="511" ht="17.25" customHeight="1">
      <c r="A511" s="1263"/>
      <c r="B511" s="1140"/>
      <c r="C511" s="1264"/>
      <c r="D511" s="1265"/>
      <c r="E511" s="1265"/>
      <c r="F511" s="1265"/>
      <c r="G511" s="1265"/>
      <c r="H511" s="1263"/>
      <c r="I511" s="1264"/>
      <c r="J511" s="1265"/>
      <c r="K511" s="1265"/>
      <c r="L511" s="1265"/>
      <c r="M511" s="1265"/>
      <c r="N511" s="1265"/>
      <c r="O511" s="1265"/>
      <c r="P511" s="1265"/>
    </row>
    <row r="512" ht="17.25" customHeight="1">
      <c r="A512" s="1263"/>
      <c r="B512" s="1140"/>
      <c r="C512" s="1264"/>
      <c r="D512" s="1265"/>
      <c r="E512" s="1265"/>
      <c r="F512" s="1265"/>
      <c r="G512" s="1265"/>
      <c r="H512" s="1263"/>
      <c r="I512" s="1264"/>
      <c r="J512" s="1265"/>
      <c r="K512" s="1265"/>
      <c r="L512" s="1265"/>
      <c r="M512" s="1265"/>
      <c r="N512" s="1265"/>
      <c r="O512" s="1265"/>
      <c r="P512" s="1265"/>
    </row>
    <row r="513" ht="17.25" customHeight="1">
      <c r="A513" s="1263"/>
      <c r="B513" s="1140"/>
      <c r="C513" s="1264"/>
      <c r="D513" s="1265"/>
      <c r="E513" s="1265"/>
      <c r="F513" s="1265"/>
      <c r="G513" s="1265"/>
      <c r="H513" s="1263"/>
      <c r="I513" s="1264"/>
      <c r="J513" s="1265"/>
      <c r="K513" s="1265"/>
      <c r="L513" s="1265"/>
      <c r="M513" s="1265"/>
      <c r="N513" s="1265"/>
      <c r="O513" s="1265"/>
      <c r="P513" s="1265"/>
    </row>
    <row r="514" ht="17.25" customHeight="1">
      <c r="A514" s="1263"/>
      <c r="B514" s="1140"/>
      <c r="C514" s="1264"/>
      <c r="D514" s="1265"/>
      <c r="E514" s="1265"/>
      <c r="F514" s="1265"/>
      <c r="G514" s="1265"/>
      <c r="H514" s="1263"/>
      <c r="I514" s="1264"/>
      <c r="J514" s="1265"/>
      <c r="K514" s="1265"/>
      <c r="L514" s="1265"/>
      <c r="M514" s="1265"/>
      <c r="N514" s="1265"/>
      <c r="O514" s="1265"/>
      <c r="P514" s="1265"/>
    </row>
    <row r="515" ht="17.25" customHeight="1">
      <c r="A515" s="1263"/>
      <c r="B515" s="1140"/>
      <c r="C515" s="1264"/>
      <c r="D515" s="1265"/>
      <c r="E515" s="1265"/>
      <c r="F515" s="1265"/>
      <c r="G515" s="1265"/>
      <c r="H515" s="1263"/>
      <c r="I515" s="1264"/>
      <c r="J515" s="1265"/>
      <c r="K515" s="1265"/>
      <c r="L515" s="1265"/>
      <c r="M515" s="1265"/>
      <c r="N515" s="1265"/>
      <c r="O515" s="1265"/>
      <c r="P515" s="1265"/>
    </row>
    <row r="516" ht="17.25" customHeight="1">
      <c r="A516" s="1263"/>
      <c r="B516" s="1140"/>
      <c r="C516" s="1264"/>
      <c r="D516" s="1265"/>
      <c r="E516" s="1265"/>
      <c r="F516" s="1265"/>
      <c r="G516" s="1265"/>
      <c r="H516" s="1263"/>
      <c r="I516" s="1264"/>
      <c r="J516" s="1265"/>
      <c r="K516" s="1265"/>
      <c r="L516" s="1265"/>
      <c r="M516" s="1265"/>
      <c r="N516" s="1265"/>
      <c r="O516" s="1265"/>
      <c r="P516" s="1265"/>
    </row>
    <row r="517" ht="17.25" customHeight="1">
      <c r="A517" s="1263"/>
      <c r="B517" s="1140"/>
      <c r="C517" s="1264"/>
      <c r="D517" s="1265"/>
      <c r="E517" s="1265"/>
      <c r="F517" s="1265"/>
      <c r="G517" s="1265"/>
      <c r="H517" s="1263"/>
      <c r="I517" s="1264"/>
      <c r="J517" s="1265"/>
      <c r="K517" s="1265"/>
      <c r="L517" s="1265"/>
      <c r="M517" s="1265"/>
      <c r="N517" s="1265"/>
      <c r="O517" s="1265"/>
      <c r="P517" s="1265"/>
    </row>
    <row r="518" ht="17.25" customHeight="1">
      <c r="A518" s="1263"/>
      <c r="B518" s="1140"/>
      <c r="C518" s="1264"/>
      <c r="D518" s="1265"/>
      <c r="E518" s="1265"/>
      <c r="F518" s="1265"/>
      <c r="G518" s="1265"/>
      <c r="H518" s="1263"/>
      <c r="I518" s="1264"/>
      <c r="J518" s="1265"/>
      <c r="K518" s="1265"/>
      <c r="L518" s="1265"/>
      <c r="M518" s="1265"/>
      <c r="N518" s="1265"/>
      <c r="O518" s="1265"/>
      <c r="P518" s="1265"/>
    </row>
    <row r="519" ht="17.25" customHeight="1">
      <c r="A519" s="1263"/>
      <c r="B519" s="1140"/>
      <c r="C519" s="1264"/>
      <c r="D519" s="1265"/>
      <c r="E519" s="1265"/>
      <c r="F519" s="1265"/>
      <c r="G519" s="1265"/>
      <c r="H519" s="1263"/>
      <c r="I519" s="1264"/>
      <c r="J519" s="1265"/>
      <c r="K519" s="1265"/>
      <c r="L519" s="1265"/>
      <c r="M519" s="1265"/>
      <c r="N519" s="1265"/>
      <c r="O519" s="1265"/>
      <c r="P519" s="1265"/>
    </row>
    <row r="520" ht="17.25" customHeight="1">
      <c r="A520" s="1263"/>
      <c r="B520" s="1140"/>
      <c r="C520" s="1264"/>
      <c r="D520" s="1265"/>
      <c r="E520" s="1265"/>
      <c r="F520" s="1265"/>
      <c r="G520" s="1265"/>
      <c r="H520" s="1263"/>
      <c r="I520" s="1264"/>
      <c r="J520" s="1265"/>
      <c r="K520" s="1265"/>
      <c r="L520" s="1265"/>
      <c r="M520" s="1265"/>
      <c r="N520" s="1265"/>
      <c r="O520" s="1265"/>
      <c r="P520" s="1265"/>
    </row>
    <row r="521" ht="17.25" customHeight="1">
      <c r="A521" s="1263"/>
      <c r="B521" s="1140"/>
      <c r="C521" s="1264"/>
      <c r="D521" s="1265"/>
      <c r="E521" s="1265"/>
      <c r="F521" s="1265"/>
      <c r="G521" s="1265"/>
      <c r="H521" s="1263"/>
      <c r="I521" s="1264"/>
      <c r="J521" s="1265"/>
      <c r="K521" s="1265"/>
      <c r="L521" s="1265"/>
      <c r="M521" s="1265"/>
      <c r="N521" s="1265"/>
      <c r="O521" s="1265"/>
      <c r="P521" s="1265"/>
    </row>
    <row r="522" ht="17.25" customHeight="1">
      <c r="A522" s="1263"/>
      <c r="B522" s="1140"/>
      <c r="C522" s="1264"/>
      <c r="D522" s="1265"/>
      <c r="E522" s="1265"/>
      <c r="F522" s="1265"/>
      <c r="G522" s="1265"/>
      <c r="H522" s="1263"/>
      <c r="I522" s="1264"/>
      <c r="J522" s="1265"/>
      <c r="K522" s="1265"/>
      <c r="L522" s="1265"/>
      <c r="M522" s="1265"/>
      <c r="N522" s="1265"/>
      <c r="O522" s="1265"/>
      <c r="P522" s="1265"/>
    </row>
    <row r="523" ht="17.25" customHeight="1">
      <c r="A523" s="1263"/>
      <c r="B523" s="1140"/>
      <c r="C523" s="1264"/>
      <c r="D523" s="1265"/>
      <c r="E523" s="1265"/>
      <c r="F523" s="1265"/>
      <c r="G523" s="1265"/>
      <c r="H523" s="1263"/>
      <c r="I523" s="1264"/>
      <c r="J523" s="1265"/>
      <c r="K523" s="1265"/>
      <c r="L523" s="1265"/>
      <c r="M523" s="1265"/>
      <c r="N523" s="1265"/>
      <c r="O523" s="1265"/>
      <c r="P523" s="1265"/>
    </row>
    <row r="524" ht="17.25" customHeight="1">
      <c r="A524" s="1263"/>
      <c r="B524" s="1140"/>
      <c r="C524" s="1264"/>
      <c r="D524" s="1265"/>
      <c r="E524" s="1265"/>
      <c r="F524" s="1265"/>
      <c r="G524" s="1265"/>
      <c r="H524" s="1263"/>
      <c r="I524" s="1264"/>
      <c r="J524" s="1265"/>
      <c r="K524" s="1265"/>
      <c r="L524" s="1265"/>
      <c r="M524" s="1265"/>
      <c r="N524" s="1265"/>
      <c r="O524" s="1265"/>
      <c r="P524" s="1265"/>
    </row>
    <row r="525" ht="17.25" customHeight="1">
      <c r="A525" s="1263"/>
      <c r="B525" s="1140"/>
      <c r="C525" s="1264"/>
      <c r="D525" s="1265"/>
      <c r="E525" s="1265"/>
      <c r="F525" s="1265"/>
      <c r="G525" s="1265"/>
      <c r="H525" s="1263"/>
      <c r="I525" s="1264"/>
      <c r="J525" s="1265"/>
      <c r="K525" s="1265"/>
      <c r="L525" s="1265"/>
      <c r="M525" s="1265"/>
      <c r="N525" s="1265"/>
      <c r="O525" s="1265"/>
      <c r="P525" s="1265"/>
    </row>
    <row r="526" ht="17.25" customHeight="1">
      <c r="A526" s="1263"/>
      <c r="B526" s="1140"/>
      <c r="C526" s="1264"/>
      <c r="D526" s="1265"/>
      <c r="E526" s="1265"/>
      <c r="F526" s="1265"/>
      <c r="G526" s="1265"/>
      <c r="H526" s="1263"/>
      <c r="I526" s="1264"/>
      <c r="J526" s="1265"/>
      <c r="K526" s="1265"/>
      <c r="L526" s="1265"/>
      <c r="M526" s="1265"/>
      <c r="N526" s="1265"/>
      <c r="O526" s="1265"/>
      <c r="P526" s="1265"/>
    </row>
    <row r="527" ht="17.25" customHeight="1">
      <c r="A527" s="1263"/>
      <c r="B527" s="1140"/>
      <c r="C527" s="1264"/>
      <c r="D527" s="1265"/>
      <c r="E527" s="1265"/>
      <c r="F527" s="1265"/>
      <c r="G527" s="1265"/>
      <c r="H527" s="1263"/>
      <c r="I527" s="1264"/>
      <c r="J527" s="1265"/>
      <c r="K527" s="1265"/>
      <c r="L527" s="1265"/>
      <c r="M527" s="1265"/>
      <c r="N527" s="1265"/>
      <c r="O527" s="1265"/>
      <c r="P527" s="1265"/>
    </row>
    <row r="528" ht="17.25" customHeight="1">
      <c r="A528" s="1263"/>
      <c r="B528" s="1140"/>
      <c r="C528" s="1264"/>
      <c r="D528" s="1265"/>
      <c r="E528" s="1265"/>
      <c r="F528" s="1265"/>
      <c r="G528" s="1265"/>
      <c r="H528" s="1263"/>
      <c r="I528" s="1264"/>
      <c r="J528" s="1265"/>
      <c r="K528" s="1265"/>
      <c r="L528" s="1265"/>
      <c r="M528" s="1265"/>
      <c r="N528" s="1265"/>
      <c r="O528" s="1265"/>
      <c r="P528" s="1265"/>
    </row>
    <row r="529" ht="17.25" customHeight="1">
      <c r="A529" s="1263"/>
      <c r="B529" s="1140"/>
      <c r="C529" s="1264"/>
      <c r="D529" s="1265"/>
      <c r="E529" s="1265"/>
      <c r="F529" s="1265"/>
      <c r="G529" s="1265"/>
      <c r="H529" s="1263"/>
      <c r="I529" s="1264"/>
      <c r="J529" s="1265"/>
      <c r="K529" s="1265"/>
      <c r="L529" s="1265"/>
      <c r="M529" s="1265"/>
      <c r="N529" s="1265"/>
      <c r="O529" s="1265"/>
      <c r="P529" s="1265"/>
    </row>
    <row r="530" ht="17.25" customHeight="1">
      <c r="A530" s="1263"/>
      <c r="B530" s="1140"/>
      <c r="C530" s="1264"/>
      <c r="D530" s="1265"/>
      <c r="E530" s="1265"/>
      <c r="F530" s="1265"/>
      <c r="G530" s="1265"/>
      <c r="H530" s="1263"/>
      <c r="I530" s="1264"/>
      <c r="J530" s="1265"/>
      <c r="K530" s="1265"/>
      <c r="L530" s="1265"/>
      <c r="M530" s="1265"/>
      <c r="N530" s="1265"/>
      <c r="O530" s="1265"/>
      <c r="P530" s="1265"/>
    </row>
    <row r="531" ht="17.25" customHeight="1">
      <c r="A531" s="1263"/>
      <c r="B531" s="1140"/>
      <c r="C531" s="1264"/>
      <c r="D531" s="1265"/>
      <c r="E531" s="1265"/>
      <c r="F531" s="1265"/>
      <c r="G531" s="1265"/>
      <c r="H531" s="1263"/>
      <c r="I531" s="1264"/>
      <c r="J531" s="1265"/>
      <c r="K531" s="1265"/>
      <c r="L531" s="1265"/>
      <c r="M531" s="1265"/>
      <c r="N531" s="1265"/>
      <c r="O531" s="1265"/>
      <c r="P531" s="1265"/>
    </row>
    <row r="532" ht="17.25" customHeight="1">
      <c r="A532" s="1263"/>
      <c r="B532" s="1140"/>
      <c r="C532" s="1264"/>
      <c r="D532" s="1265"/>
      <c r="E532" s="1265"/>
      <c r="F532" s="1265"/>
      <c r="G532" s="1265"/>
      <c r="H532" s="1263"/>
      <c r="I532" s="1264"/>
      <c r="J532" s="1265"/>
      <c r="K532" s="1265"/>
      <c r="L532" s="1265"/>
      <c r="M532" s="1265"/>
      <c r="N532" s="1265"/>
      <c r="O532" s="1265"/>
      <c r="P532" s="1265"/>
    </row>
    <row r="533" ht="17.25" customHeight="1">
      <c r="A533" s="1263"/>
      <c r="B533" s="1140"/>
      <c r="C533" s="1264"/>
      <c r="D533" s="1265"/>
      <c r="E533" s="1265"/>
      <c r="F533" s="1265"/>
      <c r="G533" s="1265"/>
      <c r="H533" s="1263"/>
      <c r="I533" s="1264"/>
      <c r="J533" s="1265"/>
      <c r="K533" s="1265"/>
      <c r="L533" s="1265"/>
      <c r="M533" s="1265"/>
      <c r="N533" s="1265"/>
      <c r="O533" s="1265"/>
      <c r="P533" s="1265"/>
    </row>
    <row r="534" ht="17.25" customHeight="1">
      <c r="A534" s="1263"/>
      <c r="B534" s="1140"/>
      <c r="C534" s="1264"/>
      <c r="D534" s="1265"/>
      <c r="E534" s="1265"/>
      <c r="F534" s="1265"/>
      <c r="G534" s="1265"/>
      <c r="H534" s="1263"/>
      <c r="I534" s="1264"/>
      <c r="J534" s="1265"/>
      <c r="K534" s="1265"/>
      <c r="L534" s="1265"/>
      <c r="M534" s="1265"/>
      <c r="N534" s="1265"/>
      <c r="O534" s="1265"/>
      <c r="P534" s="1265"/>
    </row>
    <row r="535" ht="17.25" customHeight="1">
      <c r="A535" s="1263"/>
      <c r="B535" s="1140"/>
      <c r="C535" s="1264"/>
      <c r="D535" s="1265"/>
      <c r="E535" s="1265"/>
      <c r="F535" s="1265"/>
      <c r="G535" s="1265"/>
      <c r="H535" s="1263"/>
      <c r="I535" s="1264"/>
      <c r="J535" s="1265"/>
      <c r="K535" s="1265"/>
      <c r="L535" s="1265"/>
      <c r="M535" s="1265"/>
      <c r="N535" s="1265"/>
      <c r="O535" s="1265"/>
      <c r="P535" s="1265"/>
    </row>
    <row r="536" ht="17.25" customHeight="1">
      <c r="A536" s="1263"/>
      <c r="B536" s="1140"/>
      <c r="C536" s="1264"/>
      <c r="D536" s="1265"/>
      <c r="E536" s="1265"/>
      <c r="F536" s="1265"/>
      <c r="G536" s="1265"/>
      <c r="H536" s="1263"/>
      <c r="I536" s="1264"/>
      <c r="J536" s="1265"/>
      <c r="K536" s="1265"/>
      <c r="L536" s="1265"/>
      <c r="M536" s="1265"/>
      <c r="N536" s="1265"/>
      <c r="O536" s="1265"/>
      <c r="P536" s="1265"/>
    </row>
    <row r="537" ht="17.25" customHeight="1">
      <c r="A537" s="1263"/>
      <c r="B537" s="1140"/>
      <c r="C537" s="1264"/>
      <c r="D537" s="1265"/>
      <c r="E537" s="1265"/>
      <c r="F537" s="1265"/>
      <c r="G537" s="1265"/>
      <c r="H537" s="1263"/>
      <c r="I537" s="1264"/>
      <c r="J537" s="1265"/>
      <c r="K537" s="1265"/>
      <c r="L537" s="1265"/>
      <c r="M537" s="1265"/>
      <c r="N537" s="1265"/>
      <c r="O537" s="1265"/>
      <c r="P537" s="1265"/>
    </row>
    <row r="538" ht="17.25" customHeight="1">
      <c r="A538" s="1263"/>
      <c r="B538" s="1140"/>
      <c r="C538" s="1264"/>
      <c r="D538" s="1265"/>
      <c r="E538" s="1265"/>
      <c r="F538" s="1265"/>
      <c r="G538" s="1265"/>
      <c r="H538" s="1263"/>
      <c r="I538" s="1264"/>
      <c r="J538" s="1265"/>
      <c r="K538" s="1265"/>
      <c r="L538" s="1265"/>
      <c r="M538" s="1265"/>
      <c r="N538" s="1265"/>
      <c r="O538" s="1265"/>
      <c r="P538" s="1265"/>
    </row>
    <row r="539" ht="17.25" customHeight="1">
      <c r="A539" s="1263"/>
      <c r="B539" s="1140"/>
      <c r="C539" s="1264"/>
      <c r="D539" s="1265"/>
      <c r="E539" s="1265"/>
      <c r="F539" s="1265"/>
      <c r="G539" s="1265"/>
      <c r="H539" s="1263"/>
      <c r="I539" s="1264"/>
      <c r="J539" s="1265"/>
      <c r="K539" s="1265"/>
      <c r="L539" s="1265"/>
      <c r="M539" s="1265"/>
      <c r="N539" s="1265"/>
      <c r="O539" s="1265"/>
      <c r="P539" s="1265"/>
    </row>
    <row r="540" ht="17.25" customHeight="1">
      <c r="A540" s="1263"/>
      <c r="B540" s="1140"/>
      <c r="C540" s="1264"/>
      <c r="D540" s="1265"/>
      <c r="E540" s="1265"/>
      <c r="F540" s="1265"/>
      <c r="G540" s="1265"/>
      <c r="H540" s="1263"/>
      <c r="I540" s="1264"/>
      <c r="J540" s="1265"/>
      <c r="K540" s="1265"/>
      <c r="L540" s="1265"/>
      <c r="M540" s="1265"/>
      <c r="N540" s="1265"/>
      <c r="O540" s="1265"/>
      <c r="P540" s="1265"/>
    </row>
    <row r="541" ht="17.25" customHeight="1">
      <c r="A541" s="1263"/>
      <c r="B541" s="1140"/>
      <c r="C541" s="1264"/>
      <c r="D541" s="1265"/>
      <c r="E541" s="1265"/>
      <c r="F541" s="1265"/>
      <c r="G541" s="1265"/>
      <c r="H541" s="1263"/>
      <c r="I541" s="1264"/>
      <c r="J541" s="1265"/>
      <c r="K541" s="1265"/>
      <c r="L541" s="1265"/>
      <c r="M541" s="1265"/>
      <c r="N541" s="1265"/>
      <c r="O541" s="1265"/>
      <c r="P541" s="1265"/>
    </row>
    <row r="542" ht="17.25" customHeight="1">
      <c r="A542" s="1263"/>
      <c r="B542" s="1140"/>
      <c r="C542" s="1264"/>
      <c r="D542" s="1265"/>
      <c r="E542" s="1265"/>
      <c r="F542" s="1265"/>
      <c r="G542" s="1265"/>
      <c r="H542" s="1263"/>
      <c r="I542" s="1264"/>
      <c r="J542" s="1265"/>
      <c r="K542" s="1265"/>
      <c r="L542" s="1265"/>
      <c r="M542" s="1265"/>
      <c r="N542" s="1265"/>
      <c r="O542" s="1265"/>
      <c r="P542" s="1265"/>
    </row>
    <row r="543" ht="17.25" customHeight="1">
      <c r="A543" s="1263"/>
      <c r="B543" s="1140"/>
      <c r="C543" s="1264"/>
      <c r="D543" s="1265"/>
      <c r="E543" s="1265"/>
      <c r="F543" s="1265"/>
      <c r="G543" s="1265"/>
      <c r="H543" s="1263"/>
      <c r="I543" s="1264"/>
      <c r="J543" s="1265"/>
      <c r="K543" s="1265"/>
      <c r="L543" s="1265"/>
      <c r="M543" s="1265"/>
      <c r="N543" s="1265"/>
      <c r="O543" s="1265"/>
      <c r="P543" s="1265"/>
    </row>
    <row r="544" ht="17.25" customHeight="1">
      <c r="A544" s="1263"/>
      <c r="B544" s="1140"/>
      <c r="C544" s="1264"/>
      <c r="D544" s="1265"/>
      <c r="E544" s="1265"/>
      <c r="F544" s="1265"/>
      <c r="G544" s="1265"/>
      <c r="H544" s="1263"/>
      <c r="I544" s="1264"/>
      <c r="J544" s="1265"/>
      <c r="K544" s="1265"/>
      <c r="L544" s="1265"/>
      <c r="M544" s="1265"/>
      <c r="N544" s="1265"/>
      <c r="O544" s="1265"/>
      <c r="P544" s="1265"/>
    </row>
    <row r="545" ht="17.25" customHeight="1">
      <c r="A545" s="1263"/>
      <c r="B545" s="1140"/>
      <c r="C545" s="1264"/>
      <c r="D545" s="1265"/>
      <c r="E545" s="1265"/>
      <c r="F545" s="1265"/>
      <c r="G545" s="1265"/>
      <c r="H545" s="1263"/>
      <c r="I545" s="1264"/>
      <c r="J545" s="1265"/>
      <c r="K545" s="1265"/>
      <c r="L545" s="1265"/>
      <c r="M545" s="1265"/>
      <c r="N545" s="1265"/>
      <c r="O545" s="1265"/>
      <c r="P545" s="1265"/>
    </row>
    <row r="546" ht="17.25" customHeight="1">
      <c r="A546" s="1263"/>
      <c r="B546" s="1140"/>
      <c r="C546" s="1264"/>
      <c r="D546" s="1265"/>
      <c r="E546" s="1265"/>
      <c r="F546" s="1265"/>
      <c r="G546" s="1265"/>
      <c r="H546" s="1263"/>
      <c r="I546" s="1264"/>
      <c r="J546" s="1265"/>
      <c r="K546" s="1265"/>
      <c r="L546" s="1265"/>
      <c r="M546" s="1265"/>
      <c r="N546" s="1265"/>
      <c r="O546" s="1265"/>
      <c r="P546" s="1265"/>
    </row>
    <row r="547" ht="17.25" customHeight="1">
      <c r="A547" s="1263"/>
      <c r="B547" s="1140"/>
      <c r="C547" s="1264"/>
      <c r="D547" s="1265"/>
      <c r="E547" s="1265"/>
      <c r="F547" s="1265"/>
      <c r="G547" s="1265"/>
      <c r="H547" s="1263"/>
      <c r="I547" s="1264"/>
      <c r="J547" s="1265"/>
      <c r="K547" s="1265"/>
      <c r="L547" s="1265"/>
      <c r="M547" s="1265"/>
      <c r="N547" s="1265"/>
      <c r="O547" s="1265"/>
      <c r="P547" s="1265"/>
    </row>
    <row r="548" ht="17.25" customHeight="1">
      <c r="A548" s="1263"/>
      <c r="B548" s="1140"/>
      <c r="C548" s="1264"/>
      <c r="D548" s="1265"/>
      <c r="E548" s="1265"/>
      <c r="F548" s="1265"/>
      <c r="G548" s="1265"/>
      <c r="H548" s="1263"/>
      <c r="I548" s="1264"/>
      <c r="J548" s="1265"/>
      <c r="K548" s="1265"/>
      <c r="L548" s="1265"/>
      <c r="M548" s="1265"/>
      <c r="N548" s="1265"/>
      <c r="O548" s="1265"/>
      <c r="P548" s="1265"/>
    </row>
    <row r="549" ht="17.25" customHeight="1">
      <c r="A549" s="1263"/>
      <c r="B549" s="1140"/>
      <c r="C549" s="1264"/>
      <c r="D549" s="1265"/>
      <c r="E549" s="1265"/>
      <c r="F549" s="1265"/>
      <c r="G549" s="1265"/>
      <c r="H549" s="1263"/>
      <c r="I549" s="1264"/>
      <c r="J549" s="1265"/>
      <c r="K549" s="1265"/>
      <c r="L549" s="1265"/>
      <c r="M549" s="1265"/>
      <c r="N549" s="1265"/>
      <c r="O549" s="1265"/>
      <c r="P549" s="1265"/>
    </row>
    <row r="550" ht="17.25" customHeight="1">
      <c r="A550" s="1263"/>
      <c r="B550" s="1140"/>
      <c r="C550" s="1264"/>
      <c r="D550" s="1265"/>
      <c r="E550" s="1265"/>
      <c r="F550" s="1265"/>
      <c r="G550" s="1265"/>
      <c r="H550" s="1263"/>
      <c r="I550" s="1264"/>
      <c r="J550" s="1265"/>
      <c r="K550" s="1265"/>
      <c r="L550" s="1265"/>
      <c r="M550" s="1265"/>
      <c r="N550" s="1265"/>
      <c r="O550" s="1265"/>
      <c r="P550" s="1265"/>
    </row>
    <row r="551" ht="17.25" customHeight="1">
      <c r="A551" s="1263"/>
      <c r="B551" s="1140"/>
      <c r="C551" s="1264"/>
      <c r="D551" s="1265"/>
      <c r="E551" s="1265"/>
      <c r="F551" s="1265"/>
      <c r="G551" s="1265"/>
      <c r="H551" s="1263"/>
      <c r="I551" s="1264"/>
      <c r="J551" s="1265"/>
      <c r="K551" s="1265"/>
      <c r="L551" s="1265"/>
      <c r="M551" s="1265"/>
      <c r="N551" s="1265"/>
      <c r="O551" s="1265"/>
      <c r="P551" s="1265"/>
    </row>
    <row r="552" ht="17.25" customHeight="1">
      <c r="A552" s="1263"/>
      <c r="B552" s="1140"/>
      <c r="C552" s="1264"/>
      <c r="D552" s="1265"/>
      <c r="E552" s="1265"/>
      <c r="F552" s="1265"/>
      <c r="G552" s="1265"/>
      <c r="H552" s="1263"/>
      <c r="I552" s="1264"/>
      <c r="J552" s="1265"/>
      <c r="K552" s="1265"/>
      <c r="L552" s="1265"/>
      <c r="M552" s="1265"/>
      <c r="N552" s="1265"/>
      <c r="O552" s="1265"/>
      <c r="P552" s="1265"/>
    </row>
    <row r="553" ht="17.25" customHeight="1">
      <c r="A553" s="1263"/>
      <c r="B553" s="1140"/>
      <c r="C553" s="1264"/>
      <c r="D553" s="1265"/>
      <c r="E553" s="1265"/>
      <c r="F553" s="1265"/>
      <c r="G553" s="1265"/>
      <c r="H553" s="1263"/>
      <c r="I553" s="1264"/>
      <c r="J553" s="1265"/>
      <c r="K553" s="1265"/>
      <c r="L553" s="1265"/>
      <c r="M553" s="1265"/>
      <c r="N553" s="1265"/>
      <c r="O553" s="1265"/>
      <c r="P553" s="1265"/>
    </row>
    <row r="554" ht="17.25" customHeight="1">
      <c r="A554" s="1263"/>
      <c r="B554" s="1140"/>
      <c r="C554" s="1264"/>
      <c r="D554" s="1265"/>
      <c r="E554" s="1265"/>
      <c r="F554" s="1265"/>
      <c r="G554" s="1265"/>
      <c r="H554" s="1263"/>
      <c r="I554" s="1264"/>
      <c r="J554" s="1265"/>
      <c r="K554" s="1265"/>
      <c r="L554" s="1265"/>
      <c r="M554" s="1265"/>
      <c r="N554" s="1265"/>
      <c r="O554" s="1265"/>
      <c r="P554" s="1265"/>
    </row>
    <row r="555" ht="17.25" customHeight="1">
      <c r="A555" s="1263"/>
      <c r="B555" s="1140"/>
      <c r="C555" s="1264"/>
      <c r="D555" s="1265"/>
      <c r="E555" s="1265"/>
      <c r="F555" s="1265"/>
      <c r="G555" s="1265"/>
      <c r="H555" s="1263"/>
      <c r="I555" s="1264"/>
      <c r="J555" s="1265"/>
      <c r="K555" s="1265"/>
      <c r="L555" s="1265"/>
      <c r="M555" s="1265"/>
      <c r="N555" s="1265"/>
      <c r="O555" s="1265"/>
      <c r="P555" s="1265"/>
    </row>
    <row r="556" ht="17.25" customHeight="1">
      <c r="A556" s="1263"/>
      <c r="B556" s="1140"/>
      <c r="C556" s="1264"/>
      <c r="D556" s="1265"/>
      <c r="E556" s="1265"/>
      <c r="F556" s="1265"/>
      <c r="G556" s="1265"/>
      <c r="H556" s="1263"/>
      <c r="I556" s="1264"/>
      <c r="J556" s="1265"/>
      <c r="K556" s="1265"/>
      <c r="L556" s="1265"/>
      <c r="M556" s="1265"/>
      <c r="N556" s="1265"/>
      <c r="O556" s="1265"/>
      <c r="P556" s="1265"/>
    </row>
    <row r="557" ht="17.25" customHeight="1">
      <c r="A557" s="1263"/>
      <c r="B557" s="1140"/>
      <c r="C557" s="1264"/>
      <c r="D557" s="1265"/>
      <c r="E557" s="1265"/>
      <c r="F557" s="1265"/>
      <c r="G557" s="1265"/>
      <c r="H557" s="1263"/>
      <c r="I557" s="1264"/>
      <c r="J557" s="1265"/>
      <c r="K557" s="1265"/>
      <c r="L557" s="1265"/>
      <c r="M557" s="1265"/>
      <c r="N557" s="1265"/>
      <c r="O557" s="1265"/>
      <c r="P557" s="1265"/>
    </row>
    <row r="558" ht="17.25" customHeight="1">
      <c r="A558" s="1263"/>
      <c r="B558" s="1140"/>
      <c r="C558" s="1264"/>
      <c r="D558" s="1265"/>
      <c r="E558" s="1265"/>
      <c r="F558" s="1265"/>
      <c r="G558" s="1265"/>
      <c r="H558" s="1263"/>
      <c r="I558" s="1264"/>
      <c r="J558" s="1265"/>
      <c r="K558" s="1265"/>
      <c r="L558" s="1265"/>
      <c r="M558" s="1265"/>
      <c r="N558" s="1265"/>
      <c r="O558" s="1265"/>
      <c r="P558" s="1265"/>
    </row>
    <row r="559" ht="17.25" customHeight="1">
      <c r="A559" s="1263"/>
      <c r="B559" s="1140"/>
      <c r="C559" s="1264"/>
      <c r="D559" s="1265"/>
      <c r="E559" s="1265"/>
      <c r="F559" s="1265"/>
      <c r="G559" s="1265"/>
      <c r="H559" s="1263"/>
      <c r="I559" s="1264"/>
      <c r="J559" s="1265"/>
      <c r="K559" s="1265"/>
      <c r="L559" s="1265"/>
      <c r="M559" s="1265"/>
      <c r="N559" s="1265"/>
      <c r="O559" s="1265"/>
      <c r="P559" s="1265"/>
    </row>
    <row r="560" ht="17.25" customHeight="1">
      <c r="A560" s="1263"/>
      <c r="B560" s="1140"/>
      <c r="C560" s="1264"/>
      <c r="D560" s="1265"/>
      <c r="E560" s="1265"/>
      <c r="F560" s="1265"/>
      <c r="G560" s="1265"/>
      <c r="H560" s="1263"/>
      <c r="I560" s="1264"/>
      <c r="J560" s="1265"/>
      <c r="K560" s="1265"/>
      <c r="L560" s="1265"/>
      <c r="M560" s="1265"/>
      <c r="N560" s="1265"/>
      <c r="O560" s="1265"/>
      <c r="P560" s="1265"/>
    </row>
    <row r="561" ht="17.25" customHeight="1">
      <c r="A561" s="1263"/>
      <c r="B561" s="1140"/>
      <c r="C561" s="1264"/>
      <c r="D561" s="1265"/>
      <c r="E561" s="1265"/>
      <c r="F561" s="1265"/>
      <c r="G561" s="1265"/>
      <c r="H561" s="1263"/>
      <c r="I561" s="1264"/>
      <c r="J561" s="1265"/>
      <c r="K561" s="1265"/>
      <c r="L561" s="1265"/>
      <c r="M561" s="1265"/>
      <c r="N561" s="1265"/>
      <c r="O561" s="1265"/>
      <c r="P561" s="1265"/>
    </row>
    <row r="562" ht="17.25" customHeight="1">
      <c r="A562" s="1263"/>
      <c r="B562" s="1140"/>
      <c r="C562" s="1264"/>
      <c r="D562" s="1265"/>
      <c r="E562" s="1265"/>
      <c r="F562" s="1265"/>
      <c r="G562" s="1265"/>
      <c r="H562" s="1263"/>
      <c r="I562" s="1264"/>
      <c r="J562" s="1265"/>
      <c r="K562" s="1265"/>
      <c r="L562" s="1265"/>
      <c r="M562" s="1265"/>
      <c r="N562" s="1265"/>
      <c r="O562" s="1265"/>
      <c r="P562" s="1265"/>
    </row>
    <row r="563" ht="17.25" customHeight="1">
      <c r="A563" s="1263"/>
      <c r="B563" s="1140"/>
      <c r="C563" s="1264"/>
      <c r="D563" s="1265"/>
      <c r="E563" s="1265"/>
      <c r="F563" s="1265"/>
      <c r="G563" s="1265"/>
      <c r="H563" s="1263"/>
      <c r="I563" s="1264"/>
      <c r="J563" s="1265"/>
      <c r="K563" s="1265"/>
      <c r="L563" s="1265"/>
      <c r="M563" s="1265"/>
      <c r="N563" s="1265"/>
      <c r="O563" s="1265"/>
      <c r="P563" s="1265"/>
    </row>
    <row r="564" ht="17.25" customHeight="1">
      <c r="A564" s="1263"/>
      <c r="B564" s="1140"/>
      <c r="C564" s="1264"/>
      <c r="D564" s="1265"/>
      <c r="E564" s="1265"/>
      <c r="F564" s="1265"/>
      <c r="G564" s="1265"/>
      <c r="H564" s="1263"/>
      <c r="I564" s="1264"/>
      <c r="J564" s="1265"/>
      <c r="K564" s="1265"/>
      <c r="L564" s="1265"/>
      <c r="M564" s="1265"/>
      <c r="N564" s="1265"/>
      <c r="O564" s="1265"/>
      <c r="P564" s="1265"/>
    </row>
    <row r="565" ht="17.25" customHeight="1">
      <c r="A565" s="1263"/>
      <c r="B565" s="1140"/>
      <c r="C565" s="1264"/>
      <c r="D565" s="1265"/>
      <c r="E565" s="1265"/>
      <c r="F565" s="1265"/>
      <c r="G565" s="1265"/>
      <c r="H565" s="1263"/>
      <c r="I565" s="1264"/>
      <c r="J565" s="1265"/>
      <c r="K565" s="1265"/>
      <c r="L565" s="1265"/>
      <c r="M565" s="1265"/>
      <c r="N565" s="1265"/>
      <c r="O565" s="1265"/>
      <c r="P565" s="1265"/>
    </row>
    <row r="566" ht="17.25" customHeight="1">
      <c r="A566" s="1263"/>
      <c r="B566" s="1140"/>
      <c r="C566" s="1264"/>
      <c r="D566" s="1265"/>
      <c r="E566" s="1265"/>
      <c r="F566" s="1265"/>
      <c r="G566" s="1265"/>
      <c r="H566" s="1263"/>
      <c r="I566" s="1264"/>
      <c r="J566" s="1265"/>
      <c r="K566" s="1265"/>
      <c r="L566" s="1265"/>
      <c r="M566" s="1265"/>
      <c r="N566" s="1265"/>
      <c r="O566" s="1265"/>
      <c r="P566" s="1265"/>
    </row>
    <row r="567" ht="17.25" customHeight="1">
      <c r="A567" s="1263"/>
      <c r="B567" s="1140"/>
      <c r="C567" s="1264"/>
      <c r="D567" s="1265"/>
      <c r="E567" s="1265"/>
      <c r="F567" s="1265"/>
      <c r="G567" s="1265"/>
      <c r="H567" s="1263"/>
      <c r="I567" s="1264"/>
      <c r="J567" s="1265"/>
      <c r="K567" s="1265"/>
      <c r="L567" s="1265"/>
      <c r="M567" s="1265"/>
      <c r="N567" s="1265"/>
      <c r="O567" s="1265"/>
      <c r="P567" s="1265"/>
    </row>
    <row r="568" ht="17.25" customHeight="1">
      <c r="A568" s="1263"/>
      <c r="B568" s="1140"/>
      <c r="C568" s="1264"/>
      <c r="D568" s="1265"/>
      <c r="E568" s="1265"/>
      <c r="F568" s="1265"/>
      <c r="G568" s="1265"/>
      <c r="H568" s="1263"/>
      <c r="I568" s="1264"/>
      <c r="J568" s="1265"/>
      <c r="K568" s="1265"/>
      <c r="L568" s="1265"/>
      <c r="M568" s="1265"/>
      <c r="N568" s="1265"/>
      <c r="O568" s="1265"/>
      <c r="P568" s="1265"/>
    </row>
    <row r="569" ht="17.25" customHeight="1">
      <c r="A569" s="1263"/>
      <c r="B569" s="1140"/>
      <c r="C569" s="1264"/>
      <c r="D569" s="1265"/>
      <c r="E569" s="1265"/>
      <c r="F569" s="1265"/>
      <c r="G569" s="1265"/>
      <c r="H569" s="1263"/>
      <c r="I569" s="1264"/>
      <c r="J569" s="1265"/>
      <c r="K569" s="1265"/>
      <c r="L569" s="1265"/>
      <c r="M569" s="1265"/>
      <c r="N569" s="1265"/>
      <c r="O569" s="1265"/>
      <c r="P569" s="1265"/>
    </row>
    <row r="570" ht="17.25" customHeight="1">
      <c r="A570" s="1263"/>
      <c r="B570" s="1140"/>
      <c r="C570" s="1264"/>
      <c r="D570" s="1265"/>
      <c r="E570" s="1265"/>
      <c r="F570" s="1265"/>
      <c r="G570" s="1265"/>
      <c r="H570" s="1263"/>
      <c r="I570" s="1264"/>
      <c r="J570" s="1265"/>
      <c r="K570" s="1265"/>
      <c r="L570" s="1265"/>
      <c r="M570" s="1265"/>
      <c r="N570" s="1265"/>
      <c r="O570" s="1265"/>
      <c r="P570" s="1265"/>
    </row>
    <row r="571" ht="17.25" customHeight="1">
      <c r="A571" s="1263"/>
      <c r="B571" s="1140"/>
      <c r="C571" s="1264"/>
      <c r="D571" s="1265"/>
      <c r="E571" s="1265"/>
      <c r="F571" s="1265"/>
      <c r="G571" s="1265"/>
      <c r="H571" s="1263"/>
      <c r="I571" s="1264"/>
      <c r="J571" s="1265"/>
      <c r="K571" s="1265"/>
      <c r="L571" s="1265"/>
      <c r="M571" s="1265"/>
      <c r="N571" s="1265"/>
      <c r="O571" s="1265"/>
      <c r="P571" s="1265"/>
    </row>
    <row r="572" ht="17.25" customHeight="1">
      <c r="A572" s="1263"/>
      <c r="B572" s="1140"/>
      <c r="C572" s="1264"/>
      <c r="D572" s="1265"/>
      <c r="E572" s="1265"/>
      <c r="F572" s="1265"/>
      <c r="G572" s="1265"/>
      <c r="H572" s="1263"/>
      <c r="I572" s="1264"/>
      <c r="J572" s="1265"/>
      <c r="K572" s="1265"/>
      <c r="L572" s="1265"/>
      <c r="M572" s="1265"/>
      <c r="N572" s="1265"/>
      <c r="O572" s="1265"/>
      <c r="P572" s="1265"/>
    </row>
    <row r="573" ht="17.25" customHeight="1">
      <c r="A573" s="1263"/>
      <c r="B573" s="1140"/>
      <c r="C573" s="1264"/>
      <c r="D573" s="1265"/>
      <c r="E573" s="1265"/>
      <c r="F573" s="1265"/>
      <c r="G573" s="1265"/>
      <c r="H573" s="1263"/>
      <c r="I573" s="1264"/>
      <c r="J573" s="1265"/>
      <c r="K573" s="1265"/>
      <c r="L573" s="1265"/>
      <c r="M573" s="1265"/>
      <c r="N573" s="1265"/>
      <c r="O573" s="1265"/>
      <c r="P573" s="1265"/>
    </row>
    <row r="574" ht="17.25" customHeight="1">
      <c r="A574" s="1263"/>
      <c r="B574" s="1140"/>
      <c r="C574" s="1264"/>
      <c r="D574" s="1265"/>
      <c r="E574" s="1265"/>
      <c r="F574" s="1265"/>
      <c r="G574" s="1265"/>
      <c r="H574" s="1263"/>
      <c r="I574" s="1264"/>
      <c r="J574" s="1265"/>
      <c r="K574" s="1265"/>
      <c r="L574" s="1265"/>
      <c r="M574" s="1265"/>
      <c r="N574" s="1265"/>
      <c r="O574" s="1265"/>
      <c r="P574" s="1265"/>
    </row>
    <row r="575" ht="17.25" customHeight="1">
      <c r="A575" s="1263"/>
      <c r="B575" s="1140"/>
      <c r="C575" s="1264"/>
      <c r="D575" s="1265"/>
      <c r="E575" s="1265"/>
      <c r="F575" s="1265"/>
      <c r="G575" s="1265"/>
      <c r="H575" s="1263"/>
      <c r="I575" s="1264"/>
      <c r="J575" s="1265"/>
      <c r="K575" s="1265"/>
      <c r="L575" s="1265"/>
      <c r="M575" s="1265"/>
      <c r="N575" s="1265"/>
      <c r="O575" s="1265"/>
      <c r="P575" s="1265"/>
    </row>
    <row r="576" ht="17.25" customHeight="1">
      <c r="A576" s="1263"/>
      <c r="B576" s="1140"/>
      <c r="C576" s="1264"/>
      <c r="D576" s="1265"/>
      <c r="E576" s="1265"/>
      <c r="F576" s="1265"/>
      <c r="G576" s="1265"/>
      <c r="H576" s="1263"/>
      <c r="I576" s="1264"/>
      <c r="J576" s="1265"/>
      <c r="K576" s="1265"/>
      <c r="L576" s="1265"/>
      <c r="M576" s="1265"/>
      <c r="N576" s="1265"/>
      <c r="O576" s="1265"/>
      <c r="P576" s="1265"/>
    </row>
    <row r="577" ht="17.25" customHeight="1">
      <c r="A577" s="1263"/>
      <c r="B577" s="1140"/>
      <c r="C577" s="1264"/>
      <c r="D577" s="1265"/>
      <c r="E577" s="1265"/>
      <c r="F577" s="1265"/>
      <c r="G577" s="1265"/>
      <c r="H577" s="1263"/>
      <c r="I577" s="1264"/>
      <c r="J577" s="1265"/>
      <c r="K577" s="1265"/>
      <c r="L577" s="1265"/>
      <c r="M577" s="1265"/>
      <c r="N577" s="1265"/>
      <c r="O577" s="1265"/>
      <c r="P577" s="1265"/>
    </row>
    <row r="578" ht="17.25" customHeight="1">
      <c r="A578" s="1263"/>
      <c r="B578" s="1140"/>
      <c r="C578" s="1264"/>
      <c r="D578" s="1265"/>
      <c r="E578" s="1265"/>
      <c r="F578" s="1265"/>
      <c r="G578" s="1265"/>
      <c r="H578" s="1263"/>
      <c r="I578" s="1264"/>
      <c r="J578" s="1265"/>
      <c r="K578" s="1265"/>
      <c r="L578" s="1265"/>
      <c r="M578" s="1265"/>
      <c r="N578" s="1265"/>
      <c r="O578" s="1265"/>
      <c r="P578" s="1265"/>
    </row>
    <row r="579" ht="17.25" customHeight="1">
      <c r="A579" s="1263"/>
      <c r="B579" s="1140"/>
      <c r="C579" s="1264"/>
      <c r="D579" s="1265"/>
      <c r="E579" s="1265"/>
      <c r="F579" s="1265"/>
      <c r="G579" s="1265"/>
      <c r="H579" s="1263"/>
      <c r="I579" s="1264"/>
      <c r="J579" s="1265"/>
      <c r="K579" s="1265"/>
      <c r="L579" s="1265"/>
      <c r="M579" s="1265"/>
      <c r="N579" s="1265"/>
      <c r="O579" s="1265"/>
      <c r="P579" s="1265"/>
    </row>
    <row r="580" ht="17.25" customHeight="1">
      <c r="A580" s="1263"/>
      <c r="B580" s="1140"/>
      <c r="C580" s="1264"/>
      <c r="D580" s="1265"/>
      <c r="E580" s="1265"/>
      <c r="F580" s="1265"/>
      <c r="G580" s="1265"/>
      <c r="H580" s="1263"/>
      <c r="I580" s="1264"/>
      <c r="J580" s="1265"/>
      <c r="K580" s="1265"/>
      <c r="L580" s="1265"/>
      <c r="M580" s="1265"/>
      <c r="N580" s="1265"/>
      <c r="O580" s="1265"/>
      <c r="P580" s="1265"/>
    </row>
    <row r="581" ht="17.25" customHeight="1">
      <c r="A581" s="1263"/>
      <c r="B581" s="1140"/>
      <c r="C581" s="1264"/>
      <c r="D581" s="1265"/>
      <c r="E581" s="1265"/>
      <c r="F581" s="1265"/>
      <c r="G581" s="1265"/>
      <c r="H581" s="1263"/>
      <c r="I581" s="1264"/>
      <c r="J581" s="1265"/>
      <c r="K581" s="1265"/>
      <c r="L581" s="1265"/>
      <c r="M581" s="1265"/>
      <c r="N581" s="1265"/>
      <c r="O581" s="1265"/>
      <c r="P581" s="1265"/>
    </row>
    <row r="582" ht="17.25" customHeight="1">
      <c r="A582" s="1263"/>
      <c r="B582" s="1140"/>
      <c r="C582" s="1264"/>
      <c r="D582" s="1265"/>
      <c r="E582" s="1265"/>
      <c r="F582" s="1265"/>
      <c r="G582" s="1265"/>
      <c r="H582" s="1263"/>
      <c r="I582" s="1264"/>
      <c r="J582" s="1265"/>
      <c r="K582" s="1265"/>
      <c r="L582" s="1265"/>
      <c r="M582" s="1265"/>
      <c r="N582" s="1265"/>
      <c r="O582" s="1265"/>
      <c r="P582" s="1265"/>
    </row>
    <row r="583" ht="17.25" customHeight="1">
      <c r="A583" s="1263"/>
      <c r="B583" s="1140"/>
      <c r="C583" s="1264"/>
      <c r="D583" s="1265"/>
      <c r="E583" s="1265"/>
      <c r="F583" s="1265"/>
      <c r="G583" s="1265"/>
      <c r="H583" s="1263"/>
      <c r="I583" s="1264"/>
      <c r="J583" s="1265"/>
      <c r="K583" s="1265"/>
      <c r="L583" s="1265"/>
      <c r="M583" s="1265"/>
      <c r="N583" s="1265"/>
      <c r="O583" s="1265"/>
      <c r="P583" s="1265"/>
    </row>
    <row r="584" ht="17.25" customHeight="1">
      <c r="A584" s="1263"/>
      <c r="B584" s="1140"/>
      <c r="C584" s="1264"/>
      <c r="D584" s="1265"/>
      <c r="E584" s="1265"/>
      <c r="F584" s="1265"/>
      <c r="G584" s="1265"/>
      <c r="H584" s="1263"/>
      <c r="I584" s="1264"/>
      <c r="J584" s="1265"/>
      <c r="K584" s="1265"/>
      <c r="L584" s="1265"/>
      <c r="M584" s="1265"/>
      <c r="N584" s="1265"/>
      <c r="O584" s="1265"/>
      <c r="P584" s="1265"/>
    </row>
    <row r="585" ht="17.25" customHeight="1">
      <c r="A585" s="1263"/>
      <c r="B585" s="1140"/>
      <c r="C585" s="1264"/>
      <c r="D585" s="1265"/>
      <c r="E585" s="1265"/>
      <c r="F585" s="1265"/>
      <c r="G585" s="1265"/>
      <c r="H585" s="1263"/>
      <c r="I585" s="1264"/>
      <c r="J585" s="1265"/>
      <c r="K585" s="1265"/>
      <c r="L585" s="1265"/>
      <c r="M585" s="1265"/>
      <c r="N585" s="1265"/>
      <c r="O585" s="1265"/>
      <c r="P585" s="1265"/>
    </row>
    <row r="586" ht="17.25" customHeight="1">
      <c r="A586" s="1263"/>
      <c r="B586" s="1140"/>
      <c r="C586" s="1264"/>
      <c r="D586" s="1265"/>
      <c r="E586" s="1265"/>
      <c r="F586" s="1265"/>
      <c r="G586" s="1265"/>
      <c r="H586" s="1263"/>
      <c r="I586" s="1264"/>
      <c r="J586" s="1265"/>
      <c r="K586" s="1265"/>
      <c r="L586" s="1265"/>
      <c r="M586" s="1265"/>
      <c r="N586" s="1265"/>
      <c r="O586" s="1265"/>
      <c r="P586" s="1265"/>
    </row>
    <row r="587" ht="17.25" customHeight="1">
      <c r="A587" s="1263"/>
      <c r="B587" s="1140"/>
      <c r="C587" s="1264"/>
      <c r="D587" s="1265"/>
      <c r="E587" s="1265"/>
      <c r="F587" s="1265"/>
      <c r="G587" s="1265"/>
      <c r="H587" s="1263"/>
      <c r="I587" s="1264"/>
      <c r="J587" s="1265"/>
      <c r="K587" s="1265"/>
      <c r="L587" s="1265"/>
      <c r="M587" s="1265"/>
      <c r="N587" s="1265"/>
      <c r="O587" s="1265"/>
      <c r="P587" s="1265"/>
    </row>
    <row r="588" ht="17.25" customHeight="1">
      <c r="A588" s="1263"/>
      <c r="B588" s="1140"/>
      <c r="C588" s="1264"/>
      <c r="D588" s="1265"/>
      <c r="E588" s="1265"/>
      <c r="F588" s="1265"/>
      <c r="G588" s="1265"/>
      <c r="H588" s="1263"/>
      <c r="I588" s="1264"/>
      <c r="J588" s="1265"/>
      <c r="K588" s="1265"/>
      <c r="L588" s="1265"/>
      <c r="M588" s="1265"/>
      <c r="N588" s="1265"/>
      <c r="O588" s="1265"/>
      <c r="P588" s="1265"/>
    </row>
    <row r="589" ht="17.25" customHeight="1">
      <c r="A589" s="1263"/>
      <c r="B589" s="1140"/>
      <c r="C589" s="1264"/>
      <c r="D589" s="1265"/>
      <c r="E589" s="1265"/>
      <c r="F589" s="1265"/>
      <c r="G589" s="1265"/>
      <c r="H589" s="1263"/>
      <c r="I589" s="1264"/>
      <c r="J589" s="1265"/>
      <c r="K589" s="1265"/>
      <c r="L589" s="1265"/>
      <c r="M589" s="1265"/>
      <c r="N589" s="1265"/>
      <c r="O589" s="1265"/>
      <c r="P589" s="1265"/>
    </row>
    <row r="590" ht="17.25" customHeight="1">
      <c r="A590" s="1263"/>
      <c r="B590" s="1140"/>
      <c r="C590" s="1264"/>
      <c r="D590" s="1265"/>
      <c r="E590" s="1265"/>
      <c r="F590" s="1265"/>
      <c r="G590" s="1265"/>
      <c r="H590" s="1263"/>
      <c r="I590" s="1264"/>
      <c r="J590" s="1265"/>
      <c r="K590" s="1265"/>
      <c r="L590" s="1265"/>
      <c r="M590" s="1265"/>
      <c r="N590" s="1265"/>
      <c r="O590" s="1265"/>
      <c r="P590" s="1265"/>
    </row>
    <row r="591" ht="17.25" customHeight="1">
      <c r="A591" s="1263"/>
      <c r="B591" s="1140"/>
      <c r="C591" s="1264"/>
      <c r="D591" s="1265"/>
      <c r="E591" s="1265"/>
      <c r="F591" s="1265"/>
      <c r="G591" s="1265"/>
      <c r="H591" s="1263"/>
      <c r="I591" s="1264"/>
      <c r="J591" s="1265"/>
      <c r="K591" s="1265"/>
      <c r="L591" s="1265"/>
      <c r="M591" s="1265"/>
      <c r="N591" s="1265"/>
      <c r="O591" s="1265"/>
      <c r="P591" s="1265"/>
    </row>
    <row r="592" ht="17.25" customHeight="1">
      <c r="A592" s="1263"/>
      <c r="B592" s="1140"/>
      <c r="C592" s="1264"/>
      <c r="D592" s="1265"/>
      <c r="E592" s="1265"/>
      <c r="F592" s="1265"/>
      <c r="G592" s="1265"/>
      <c r="H592" s="1263"/>
      <c r="I592" s="1264"/>
      <c r="J592" s="1265"/>
      <c r="K592" s="1265"/>
      <c r="L592" s="1265"/>
      <c r="M592" s="1265"/>
      <c r="N592" s="1265"/>
      <c r="O592" s="1265"/>
      <c r="P592" s="1265"/>
    </row>
    <row r="593" ht="17.25" customHeight="1">
      <c r="A593" s="1263"/>
      <c r="B593" s="1140"/>
      <c r="C593" s="1264"/>
      <c r="D593" s="1265"/>
      <c r="E593" s="1265"/>
      <c r="F593" s="1265"/>
      <c r="G593" s="1265"/>
      <c r="H593" s="1263"/>
      <c r="I593" s="1264"/>
      <c r="J593" s="1265"/>
      <c r="K593" s="1265"/>
      <c r="L593" s="1265"/>
      <c r="M593" s="1265"/>
      <c r="N593" s="1265"/>
      <c r="O593" s="1265"/>
      <c r="P593" s="1265"/>
    </row>
    <row r="594" ht="17.25" customHeight="1">
      <c r="A594" s="1263"/>
      <c r="B594" s="1140"/>
      <c r="C594" s="1264"/>
      <c r="D594" s="1265"/>
      <c r="E594" s="1265"/>
      <c r="F594" s="1265"/>
      <c r="G594" s="1265"/>
      <c r="H594" s="1263"/>
      <c r="I594" s="1264"/>
      <c r="J594" s="1265"/>
      <c r="K594" s="1265"/>
      <c r="L594" s="1265"/>
      <c r="M594" s="1265"/>
      <c r="N594" s="1265"/>
      <c r="O594" s="1265"/>
      <c r="P594" s="1265"/>
    </row>
    <row r="595" ht="17.25" customHeight="1">
      <c r="A595" s="1263"/>
      <c r="B595" s="1140"/>
      <c r="C595" s="1264"/>
      <c r="D595" s="1265"/>
      <c r="E595" s="1265"/>
      <c r="F595" s="1265"/>
      <c r="G595" s="1265"/>
      <c r="H595" s="1263"/>
      <c r="I595" s="1264"/>
      <c r="J595" s="1265"/>
      <c r="K595" s="1265"/>
      <c r="L595" s="1265"/>
      <c r="M595" s="1265"/>
      <c r="N595" s="1265"/>
      <c r="O595" s="1265"/>
      <c r="P595" s="1265"/>
    </row>
    <row r="596" ht="17.25" customHeight="1">
      <c r="A596" s="1263"/>
      <c r="B596" s="1140"/>
      <c r="C596" s="1264"/>
      <c r="D596" s="1265"/>
      <c r="E596" s="1265"/>
      <c r="F596" s="1265"/>
      <c r="G596" s="1265"/>
      <c r="H596" s="1263"/>
      <c r="I596" s="1264"/>
      <c r="J596" s="1265"/>
      <c r="K596" s="1265"/>
      <c r="L596" s="1265"/>
      <c r="M596" s="1265"/>
      <c r="N596" s="1265"/>
      <c r="O596" s="1265"/>
      <c r="P596" s="1265"/>
    </row>
    <row r="597" ht="17.25" customHeight="1">
      <c r="A597" s="1263"/>
      <c r="B597" s="1140"/>
      <c r="C597" s="1264"/>
      <c r="D597" s="1265"/>
      <c r="E597" s="1265"/>
      <c r="F597" s="1265"/>
      <c r="G597" s="1265"/>
      <c r="H597" s="1263"/>
      <c r="I597" s="1264"/>
      <c r="J597" s="1265"/>
      <c r="K597" s="1265"/>
      <c r="L597" s="1265"/>
      <c r="M597" s="1265"/>
      <c r="N597" s="1265"/>
      <c r="O597" s="1265"/>
      <c r="P597" s="1265"/>
    </row>
    <row r="598" ht="17.25" customHeight="1">
      <c r="A598" s="1263"/>
      <c r="B598" s="1140"/>
      <c r="C598" s="1264"/>
      <c r="D598" s="1265"/>
      <c r="E598" s="1265"/>
      <c r="F598" s="1265"/>
      <c r="G598" s="1265"/>
      <c r="H598" s="1263"/>
      <c r="I598" s="1264"/>
      <c r="J598" s="1265"/>
      <c r="K598" s="1265"/>
      <c r="L598" s="1265"/>
      <c r="M598" s="1265"/>
      <c r="N598" s="1265"/>
      <c r="O598" s="1265"/>
      <c r="P598" s="1265"/>
    </row>
    <row r="599" ht="17.25" customHeight="1">
      <c r="A599" s="1263"/>
      <c r="B599" s="1140"/>
      <c r="C599" s="1264"/>
      <c r="D599" s="1265"/>
      <c r="E599" s="1265"/>
      <c r="F599" s="1265"/>
      <c r="G599" s="1265"/>
      <c r="H599" s="1263"/>
      <c r="I599" s="1264"/>
      <c r="J599" s="1265"/>
      <c r="K599" s="1265"/>
      <c r="L599" s="1265"/>
      <c r="M599" s="1265"/>
      <c r="N599" s="1265"/>
      <c r="O599" s="1265"/>
      <c r="P599" s="1265"/>
    </row>
    <row r="600" ht="17.25" customHeight="1">
      <c r="A600" s="1263"/>
      <c r="B600" s="1140"/>
      <c r="C600" s="1264"/>
      <c r="D600" s="1265"/>
      <c r="E600" s="1265"/>
      <c r="F600" s="1265"/>
      <c r="G600" s="1265"/>
      <c r="H600" s="1263"/>
      <c r="I600" s="1264"/>
      <c r="J600" s="1265"/>
      <c r="K600" s="1265"/>
      <c r="L600" s="1265"/>
      <c r="M600" s="1265"/>
      <c r="N600" s="1265"/>
      <c r="O600" s="1265"/>
      <c r="P600" s="1265"/>
    </row>
    <row r="601" ht="17.25" customHeight="1">
      <c r="A601" s="1263"/>
      <c r="B601" s="1140"/>
      <c r="C601" s="1264"/>
      <c r="D601" s="1265"/>
      <c r="E601" s="1265"/>
      <c r="F601" s="1265"/>
      <c r="G601" s="1265"/>
      <c r="H601" s="1263"/>
      <c r="I601" s="1264"/>
      <c r="J601" s="1265"/>
      <c r="K601" s="1265"/>
      <c r="L601" s="1265"/>
      <c r="M601" s="1265"/>
      <c r="N601" s="1265"/>
      <c r="O601" s="1265"/>
      <c r="P601" s="1265"/>
    </row>
    <row r="602" ht="17.25" customHeight="1">
      <c r="A602" s="1263"/>
      <c r="B602" s="1140"/>
      <c r="C602" s="1264"/>
      <c r="D602" s="1265"/>
      <c r="E602" s="1265"/>
      <c r="F602" s="1265"/>
      <c r="G602" s="1265"/>
      <c r="H602" s="1263"/>
      <c r="I602" s="1264"/>
      <c r="J602" s="1265"/>
      <c r="K602" s="1265"/>
      <c r="L602" s="1265"/>
      <c r="M602" s="1265"/>
      <c r="N602" s="1265"/>
      <c r="O602" s="1265"/>
      <c r="P602" s="1265"/>
    </row>
    <row r="603" ht="17.25" customHeight="1">
      <c r="A603" s="1263"/>
      <c r="B603" s="1140"/>
      <c r="C603" s="1264"/>
      <c r="D603" s="1265"/>
      <c r="E603" s="1265"/>
      <c r="F603" s="1265"/>
      <c r="G603" s="1265"/>
      <c r="H603" s="1263"/>
      <c r="I603" s="1264"/>
      <c r="J603" s="1265"/>
      <c r="K603" s="1265"/>
      <c r="L603" s="1265"/>
      <c r="M603" s="1265"/>
      <c r="N603" s="1265"/>
      <c r="O603" s="1265"/>
      <c r="P603" s="1265"/>
    </row>
    <row r="604" ht="17.25" customHeight="1">
      <c r="A604" s="1263"/>
      <c r="B604" s="1140"/>
      <c r="C604" s="1264"/>
      <c r="D604" s="1265"/>
      <c r="E604" s="1265"/>
      <c r="F604" s="1265"/>
      <c r="G604" s="1265"/>
      <c r="H604" s="1263"/>
      <c r="I604" s="1264"/>
      <c r="J604" s="1265"/>
      <c r="K604" s="1265"/>
      <c r="L604" s="1265"/>
      <c r="M604" s="1265"/>
      <c r="N604" s="1265"/>
      <c r="O604" s="1265"/>
      <c r="P604" s="1265"/>
    </row>
    <row r="605" ht="17.25" customHeight="1">
      <c r="A605" s="1263"/>
      <c r="B605" s="1140"/>
      <c r="C605" s="1264"/>
      <c r="D605" s="1265"/>
      <c r="E605" s="1265"/>
      <c r="F605" s="1265"/>
      <c r="G605" s="1265"/>
      <c r="H605" s="1263"/>
      <c r="I605" s="1264"/>
      <c r="J605" s="1265"/>
      <c r="K605" s="1265"/>
      <c r="L605" s="1265"/>
      <c r="M605" s="1265"/>
      <c r="N605" s="1265"/>
      <c r="O605" s="1265"/>
      <c r="P605" s="1265"/>
    </row>
    <row r="606" ht="17.25" customHeight="1">
      <c r="A606" s="1263"/>
      <c r="B606" s="1140"/>
      <c r="C606" s="1264"/>
      <c r="D606" s="1265"/>
      <c r="E606" s="1265"/>
      <c r="F606" s="1265"/>
      <c r="G606" s="1265"/>
      <c r="H606" s="1263"/>
      <c r="I606" s="1264"/>
      <c r="J606" s="1265"/>
      <c r="K606" s="1265"/>
      <c r="L606" s="1265"/>
      <c r="M606" s="1265"/>
      <c r="N606" s="1265"/>
      <c r="O606" s="1265"/>
      <c r="P606" s="1265"/>
    </row>
    <row r="607" ht="17.25" customHeight="1">
      <c r="A607" s="1263"/>
      <c r="B607" s="1140"/>
      <c r="C607" s="1264"/>
      <c r="D607" s="1265"/>
      <c r="E607" s="1265"/>
      <c r="F607" s="1265"/>
      <c r="G607" s="1265"/>
      <c r="H607" s="1263"/>
      <c r="I607" s="1264"/>
      <c r="J607" s="1265"/>
      <c r="K607" s="1265"/>
      <c r="L607" s="1265"/>
      <c r="M607" s="1265"/>
      <c r="N607" s="1265"/>
      <c r="O607" s="1265"/>
      <c r="P607" s="1265"/>
    </row>
    <row r="608" ht="17.25" customHeight="1">
      <c r="A608" s="1263"/>
      <c r="B608" s="1140"/>
      <c r="C608" s="1264"/>
      <c r="D608" s="1265"/>
      <c r="E608" s="1265"/>
      <c r="F608" s="1265"/>
      <c r="G608" s="1265"/>
      <c r="H608" s="1263"/>
      <c r="I608" s="1264"/>
      <c r="J608" s="1265"/>
      <c r="K608" s="1265"/>
      <c r="L608" s="1265"/>
      <c r="M608" s="1265"/>
      <c r="N608" s="1265"/>
      <c r="O608" s="1265"/>
      <c r="P608" s="1265"/>
    </row>
    <row r="609" ht="17.25" customHeight="1">
      <c r="A609" s="1263"/>
      <c r="B609" s="1140"/>
      <c r="C609" s="1264"/>
      <c r="D609" s="1265"/>
      <c r="E609" s="1265"/>
      <c r="F609" s="1265"/>
      <c r="G609" s="1265"/>
      <c r="H609" s="1263"/>
      <c r="I609" s="1264"/>
      <c r="J609" s="1265"/>
      <c r="K609" s="1265"/>
      <c r="L609" s="1265"/>
      <c r="M609" s="1265"/>
      <c r="N609" s="1265"/>
      <c r="O609" s="1265"/>
      <c r="P609" s="1265"/>
    </row>
    <row r="610" ht="17.25" customHeight="1">
      <c r="A610" s="1263"/>
      <c r="B610" s="1140"/>
      <c r="C610" s="1264"/>
      <c r="D610" s="1265"/>
      <c r="E610" s="1265"/>
      <c r="F610" s="1265"/>
      <c r="G610" s="1265"/>
      <c r="H610" s="1263"/>
      <c r="I610" s="1264"/>
      <c r="J610" s="1265"/>
      <c r="K610" s="1265"/>
      <c r="L610" s="1265"/>
      <c r="M610" s="1265"/>
      <c r="N610" s="1265"/>
      <c r="O610" s="1265"/>
      <c r="P610" s="1265"/>
    </row>
    <row r="611" ht="17.25" customHeight="1">
      <c r="A611" s="1263"/>
      <c r="B611" s="1140"/>
      <c r="C611" s="1264"/>
      <c r="D611" s="1265"/>
      <c r="E611" s="1265"/>
      <c r="F611" s="1265"/>
      <c r="G611" s="1265"/>
      <c r="H611" s="1263"/>
      <c r="I611" s="1264"/>
      <c r="J611" s="1265"/>
      <c r="K611" s="1265"/>
      <c r="L611" s="1265"/>
      <c r="M611" s="1265"/>
      <c r="N611" s="1265"/>
      <c r="O611" s="1265"/>
      <c r="P611" s="1265"/>
    </row>
    <row r="612" ht="17.25" customHeight="1">
      <c r="A612" s="1263"/>
      <c r="B612" s="1140"/>
      <c r="C612" s="1264"/>
      <c r="D612" s="1265"/>
      <c r="E612" s="1265"/>
      <c r="F612" s="1265"/>
      <c r="G612" s="1265"/>
      <c r="H612" s="1263"/>
      <c r="I612" s="1264"/>
      <c r="J612" s="1265"/>
      <c r="K612" s="1265"/>
      <c r="L612" s="1265"/>
      <c r="M612" s="1265"/>
      <c r="N612" s="1265"/>
      <c r="O612" s="1265"/>
      <c r="P612" s="1265"/>
    </row>
    <row r="613" ht="17.25" customHeight="1">
      <c r="A613" s="1263"/>
      <c r="B613" s="1140"/>
      <c r="C613" s="1264"/>
      <c r="D613" s="1265"/>
      <c r="E613" s="1265"/>
      <c r="F613" s="1265"/>
      <c r="G613" s="1265"/>
      <c r="H613" s="1263"/>
      <c r="I613" s="1264"/>
      <c r="J613" s="1265"/>
      <c r="K613" s="1265"/>
      <c r="L613" s="1265"/>
      <c r="M613" s="1265"/>
      <c r="N613" s="1265"/>
      <c r="O613" s="1265"/>
      <c r="P613" s="1265"/>
    </row>
    <row r="614" ht="17.25" customHeight="1">
      <c r="A614" s="1263"/>
      <c r="B614" s="1140"/>
      <c r="C614" s="1264"/>
      <c r="D614" s="1265"/>
      <c r="E614" s="1265"/>
      <c r="F614" s="1265"/>
      <c r="G614" s="1265"/>
      <c r="H614" s="1263"/>
      <c r="I614" s="1264"/>
      <c r="J614" s="1265"/>
      <c r="K614" s="1265"/>
      <c r="L614" s="1265"/>
      <c r="M614" s="1265"/>
      <c r="N614" s="1265"/>
      <c r="O614" s="1265"/>
      <c r="P614" s="1265"/>
    </row>
    <row r="615" ht="17.25" customHeight="1">
      <c r="A615" s="1263"/>
      <c r="B615" s="1140"/>
      <c r="C615" s="1264"/>
      <c r="D615" s="1265"/>
      <c r="E615" s="1265"/>
      <c r="F615" s="1265"/>
      <c r="G615" s="1265"/>
      <c r="H615" s="1263"/>
      <c r="I615" s="1264"/>
      <c r="J615" s="1265"/>
      <c r="K615" s="1265"/>
      <c r="L615" s="1265"/>
      <c r="M615" s="1265"/>
      <c r="N615" s="1265"/>
      <c r="O615" s="1265"/>
      <c r="P615" s="1265"/>
    </row>
    <row r="616" ht="17.25" customHeight="1">
      <c r="A616" s="1263"/>
      <c r="B616" s="1140"/>
      <c r="C616" s="1264"/>
      <c r="D616" s="1265"/>
      <c r="E616" s="1265"/>
      <c r="F616" s="1265"/>
      <c r="G616" s="1265"/>
      <c r="H616" s="1263"/>
      <c r="I616" s="1264"/>
      <c r="J616" s="1265"/>
      <c r="K616" s="1265"/>
      <c r="L616" s="1265"/>
      <c r="M616" s="1265"/>
      <c r="N616" s="1265"/>
      <c r="O616" s="1265"/>
      <c r="P616" s="1265"/>
    </row>
    <row r="617" ht="17.25" customHeight="1">
      <c r="A617" s="1263"/>
      <c r="B617" s="1140"/>
      <c r="C617" s="1264"/>
      <c r="D617" s="1265"/>
      <c r="E617" s="1265"/>
      <c r="F617" s="1265"/>
      <c r="G617" s="1265"/>
      <c r="H617" s="1263"/>
      <c r="I617" s="1264"/>
      <c r="J617" s="1265"/>
      <c r="K617" s="1265"/>
      <c r="L617" s="1265"/>
      <c r="M617" s="1265"/>
      <c r="N617" s="1265"/>
      <c r="O617" s="1265"/>
      <c r="P617" s="1265"/>
    </row>
    <row r="618" ht="17.25" customHeight="1">
      <c r="A618" s="1263"/>
      <c r="B618" s="1140"/>
      <c r="C618" s="1264"/>
      <c r="D618" s="1265"/>
      <c r="E618" s="1265"/>
      <c r="F618" s="1265"/>
      <c r="G618" s="1265"/>
      <c r="H618" s="1263"/>
      <c r="I618" s="1264"/>
      <c r="J618" s="1265"/>
      <c r="K618" s="1265"/>
      <c r="L618" s="1265"/>
      <c r="M618" s="1265"/>
      <c r="N618" s="1265"/>
      <c r="O618" s="1265"/>
      <c r="P618" s="1265"/>
    </row>
    <row r="619" ht="17.25" customHeight="1">
      <c r="A619" s="1263"/>
      <c r="B619" s="1140"/>
      <c r="C619" s="1264"/>
      <c r="D619" s="1265"/>
      <c r="E619" s="1265"/>
      <c r="F619" s="1265"/>
      <c r="G619" s="1265"/>
      <c r="H619" s="1263"/>
      <c r="I619" s="1264"/>
      <c r="J619" s="1265"/>
      <c r="K619" s="1265"/>
      <c r="L619" s="1265"/>
      <c r="M619" s="1265"/>
      <c r="N619" s="1265"/>
      <c r="O619" s="1265"/>
      <c r="P619" s="1265"/>
    </row>
    <row r="620" ht="17.25" customHeight="1">
      <c r="A620" s="1263"/>
      <c r="B620" s="1140"/>
      <c r="C620" s="1264"/>
      <c r="D620" s="1265"/>
      <c r="E620" s="1265"/>
      <c r="F620" s="1265"/>
      <c r="G620" s="1265"/>
      <c r="H620" s="1263"/>
      <c r="I620" s="1264"/>
      <c r="J620" s="1265"/>
      <c r="K620" s="1265"/>
      <c r="L620" s="1265"/>
      <c r="M620" s="1265"/>
      <c r="N620" s="1265"/>
      <c r="O620" s="1265"/>
      <c r="P620" s="1265"/>
    </row>
    <row r="621" ht="17.25" customHeight="1">
      <c r="A621" s="1263"/>
      <c r="B621" s="1140"/>
      <c r="C621" s="1264"/>
      <c r="D621" s="1265"/>
      <c r="E621" s="1265"/>
      <c r="F621" s="1265"/>
      <c r="G621" s="1265"/>
      <c r="H621" s="1263"/>
      <c r="I621" s="1264"/>
      <c r="J621" s="1265"/>
      <c r="K621" s="1265"/>
      <c r="L621" s="1265"/>
      <c r="M621" s="1265"/>
      <c r="N621" s="1265"/>
      <c r="O621" s="1265"/>
      <c r="P621" s="1265"/>
    </row>
    <row r="622" ht="17.25" customHeight="1">
      <c r="A622" s="1263"/>
      <c r="B622" s="1140"/>
      <c r="C622" s="1264"/>
      <c r="D622" s="1265"/>
      <c r="E622" s="1265"/>
      <c r="F622" s="1265"/>
      <c r="G622" s="1265"/>
      <c r="H622" s="1263"/>
      <c r="I622" s="1264"/>
      <c r="J622" s="1265"/>
      <c r="K622" s="1265"/>
      <c r="L622" s="1265"/>
      <c r="M622" s="1265"/>
      <c r="N622" s="1265"/>
      <c r="O622" s="1265"/>
      <c r="P622" s="1265"/>
    </row>
    <row r="623" ht="17.25" customHeight="1">
      <c r="A623" s="1263"/>
      <c r="B623" s="1140"/>
      <c r="C623" s="1264"/>
      <c r="D623" s="1265"/>
      <c r="E623" s="1265"/>
      <c r="F623" s="1265"/>
      <c r="G623" s="1265"/>
      <c r="H623" s="1263"/>
      <c r="I623" s="1264"/>
      <c r="J623" s="1265"/>
      <c r="K623" s="1265"/>
      <c r="L623" s="1265"/>
      <c r="M623" s="1265"/>
      <c r="N623" s="1265"/>
      <c r="O623" s="1265"/>
      <c r="P623" s="1265"/>
    </row>
    <row r="624" ht="17.25" customHeight="1">
      <c r="A624" s="1263"/>
      <c r="B624" s="1140"/>
      <c r="C624" s="1264"/>
      <c r="D624" s="1265"/>
      <c r="E624" s="1265"/>
      <c r="F624" s="1265"/>
      <c r="G624" s="1265"/>
      <c r="H624" s="1263"/>
      <c r="I624" s="1264"/>
      <c r="J624" s="1265"/>
      <c r="K624" s="1265"/>
      <c r="L624" s="1265"/>
      <c r="M624" s="1265"/>
      <c r="N624" s="1265"/>
      <c r="O624" s="1265"/>
      <c r="P624" s="1265"/>
    </row>
    <row r="625" ht="17.25" customHeight="1">
      <c r="A625" s="1263"/>
      <c r="B625" s="1140"/>
      <c r="C625" s="1264"/>
      <c r="D625" s="1265"/>
      <c r="E625" s="1265"/>
      <c r="F625" s="1265"/>
      <c r="G625" s="1265"/>
      <c r="H625" s="1263"/>
      <c r="I625" s="1264"/>
      <c r="J625" s="1265"/>
      <c r="K625" s="1265"/>
      <c r="L625" s="1265"/>
      <c r="M625" s="1265"/>
      <c r="N625" s="1265"/>
      <c r="O625" s="1265"/>
      <c r="P625" s="1265"/>
    </row>
    <row r="626" ht="17.25" customHeight="1">
      <c r="A626" s="1263"/>
      <c r="B626" s="1140"/>
      <c r="C626" s="1264"/>
      <c r="D626" s="1265"/>
      <c r="E626" s="1265"/>
      <c r="F626" s="1265"/>
      <c r="G626" s="1265"/>
      <c r="H626" s="1263"/>
      <c r="I626" s="1264"/>
      <c r="J626" s="1265"/>
      <c r="K626" s="1265"/>
      <c r="L626" s="1265"/>
      <c r="M626" s="1265"/>
      <c r="N626" s="1265"/>
      <c r="O626" s="1265"/>
      <c r="P626" s="1265"/>
    </row>
    <row r="627" ht="17.25" customHeight="1">
      <c r="A627" s="1263"/>
      <c r="B627" s="1140"/>
      <c r="C627" s="1264"/>
      <c r="D627" s="1265"/>
      <c r="E627" s="1265"/>
      <c r="F627" s="1265"/>
      <c r="G627" s="1265"/>
      <c r="H627" s="1263"/>
      <c r="I627" s="1264"/>
      <c r="J627" s="1265"/>
      <c r="K627" s="1265"/>
      <c r="L627" s="1265"/>
      <c r="M627" s="1265"/>
      <c r="N627" s="1265"/>
      <c r="O627" s="1265"/>
      <c r="P627" s="1265"/>
    </row>
    <row r="628" ht="17.25" customHeight="1">
      <c r="A628" s="1263"/>
      <c r="B628" s="1140"/>
      <c r="C628" s="1264"/>
      <c r="D628" s="1265"/>
      <c r="E628" s="1265"/>
      <c r="F628" s="1265"/>
      <c r="G628" s="1265"/>
      <c r="H628" s="1263"/>
      <c r="I628" s="1264"/>
      <c r="J628" s="1265"/>
      <c r="K628" s="1265"/>
      <c r="L628" s="1265"/>
      <c r="M628" s="1265"/>
      <c r="N628" s="1265"/>
      <c r="O628" s="1265"/>
      <c r="P628" s="1265"/>
    </row>
    <row r="629" ht="17.25" customHeight="1">
      <c r="A629" s="1263"/>
      <c r="B629" s="1140"/>
      <c r="C629" s="1264"/>
      <c r="D629" s="1265"/>
      <c r="E629" s="1265"/>
      <c r="F629" s="1265"/>
      <c r="G629" s="1265"/>
      <c r="H629" s="1263"/>
      <c r="I629" s="1264"/>
      <c r="J629" s="1265"/>
      <c r="K629" s="1265"/>
      <c r="L629" s="1265"/>
      <c r="M629" s="1265"/>
      <c r="N629" s="1265"/>
      <c r="O629" s="1265"/>
      <c r="P629" s="1265"/>
    </row>
    <row r="630" ht="17.25" customHeight="1">
      <c r="A630" s="1263"/>
      <c r="B630" s="1140"/>
      <c r="C630" s="1264"/>
      <c r="D630" s="1265"/>
      <c r="E630" s="1265"/>
      <c r="F630" s="1265"/>
      <c r="G630" s="1265"/>
      <c r="H630" s="1263"/>
      <c r="I630" s="1264"/>
      <c r="J630" s="1265"/>
      <c r="K630" s="1265"/>
      <c r="L630" s="1265"/>
      <c r="M630" s="1265"/>
      <c r="N630" s="1265"/>
      <c r="O630" s="1265"/>
      <c r="P630" s="1265"/>
    </row>
    <row r="631" ht="17.25" customHeight="1">
      <c r="A631" s="1263"/>
      <c r="B631" s="1140"/>
      <c r="C631" s="1264"/>
      <c r="D631" s="1265"/>
      <c r="E631" s="1265"/>
      <c r="F631" s="1265"/>
      <c r="G631" s="1265"/>
      <c r="H631" s="1263"/>
      <c r="I631" s="1264"/>
      <c r="J631" s="1265"/>
      <c r="K631" s="1265"/>
      <c r="L631" s="1265"/>
      <c r="M631" s="1265"/>
      <c r="N631" s="1265"/>
      <c r="O631" s="1265"/>
      <c r="P631" s="1265"/>
    </row>
    <row r="632" ht="17.25" customHeight="1">
      <c r="A632" s="1263"/>
      <c r="B632" s="1140"/>
      <c r="C632" s="1264"/>
      <c r="D632" s="1265"/>
      <c r="E632" s="1265"/>
      <c r="F632" s="1265"/>
      <c r="G632" s="1265"/>
      <c r="H632" s="1263"/>
      <c r="I632" s="1264"/>
      <c r="J632" s="1265"/>
      <c r="K632" s="1265"/>
      <c r="L632" s="1265"/>
      <c r="M632" s="1265"/>
      <c r="N632" s="1265"/>
      <c r="O632" s="1265"/>
      <c r="P632" s="1265"/>
    </row>
    <row r="633" ht="17.25" customHeight="1">
      <c r="A633" s="1263"/>
      <c r="B633" s="1140"/>
      <c r="C633" s="1264"/>
      <c r="D633" s="1265"/>
      <c r="E633" s="1265"/>
      <c r="F633" s="1265"/>
      <c r="G633" s="1265"/>
      <c r="H633" s="1263"/>
      <c r="I633" s="1264"/>
      <c r="J633" s="1265"/>
      <c r="K633" s="1265"/>
      <c r="L633" s="1265"/>
      <c r="M633" s="1265"/>
      <c r="N633" s="1265"/>
      <c r="O633" s="1265"/>
      <c r="P633" s="1265"/>
    </row>
    <row r="634" ht="17.25" customHeight="1">
      <c r="A634" s="1263"/>
      <c r="B634" s="1140"/>
      <c r="C634" s="1264"/>
      <c r="D634" s="1265"/>
      <c r="E634" s="1265"/>
      <c r="F634" s="1265"/>
      <c r="G634" s="1265"/>
      <c r="H634" s="1263"/>
      <c r="I634" s="1264"/>
      <c r="J634" s="1265"/>
      <c r="K634" s="1265"/>
      <c r="L634" s="1265"/>
      <c r="M634" s="1265"/>
      <c r="N634" s="1265"/>
      <c r="O634" s="1265"/>
      <c r="P634" s="1265"/>
    </row>
    <row r="635" ht="17.25" customHeight="1">
      <c r="A635" s="1263"/>
      <c r="B635" s="1140"/>
      <c r="C635" s="1264"/>
      <c r="D635" s="1265"/>
      <c r="E635" s="1265"/>
      <c r="F635" s="1265"/>
      <c r="G635" s="1265"/>
      <c r="H635" s="1263"/>
      <c r="I635" s="1264"/>
      <c r="J635" s="1265"/>
      <c r="K635" s="1265"/>
      <c r="L635" s="1265"/>
      <c r="M635" s="1265"/>
      <c r="N635" s="1265"/>
      <c r="O635" s="1265"/>
      <c r="P635" s="1265"/>
    </row>
    <row r="636" ht="17.25" customHeight="1">
      <c r="A636" s="1263"/>
      <c r="B636" s="1140"/>
      <c r="C636" s="1264"/>
      <c r="D636" s="1265"/>
      <c r="E636" s="1265"/>
      <c r="F636" s="1265"/>
      <c r="G636" s="1265"/>
      <c r="H636" s="1263"/>
      <c r="I636" s="1264"/>
      <c r="J636" s="1265"/>
      <c r="K636" s="1265"/>
      <c r="L636" s="1265"/>
      <c r="M636" s="1265"/>
      <c r="N636" s="1265"/>
      <c r="O636" s="1265"/>
      <c r="P636" s="1265"/>
    </row>
    <row r="637" ht="17.25" customHeight="1">
      <c r="A637" s="1263"/>
      <c r="B637" s="1140"/>
      <c r="C637" s="1264"/>
      <c r="D637" s="1265"/>
      <c r="E637" s="1265"/>
      <c r="F637" s="1265"/>
      <c r="G637" s="1265"/>
      <c r="H637" s="1263"/>
      <c r="I637" s="1264"/>
      <c r="J637" s="1265"/>
      <c r="K637" s="1265"/>
      <c r="L637" s="1265"/>
      <c r="M637" s="1265"/>
      <c r="N637" s="1265"/>
      <c r="O637" s="1265"/>
      <c r="P637" s="1265"/>
    </row>
    <row r="638" ht="17.25" customHeight="1">
      <c r="A638" s="1263"/>
      <c r="B638" s="1140"/>
      <c r="C638" s="1264"/>
      <c r="D638" s="1265"/>
      <c r="E638" s="1265"/>
      <c r="F638" s="1265"/>
      <c r="G638" s="1265"/>
      <c r="H638" s="1263"/>
      <c r="I638" s="1264"/>
      <c r="J638" s="1265"/>
      <c r="K638" s="1265"/>
      <c r="L638" s="1265"/>
      <c r="M638" s="1265"/>
      <c r="N638" s="1265"/>
      <c r="O638" s="1265"/>
      <c r="P638" s="1265"/>
    </row>
    <row r="639" ht="17.25" customHeight="1">
      <c r="A639" s="1263"/>
      <c r="B639" s="1140"/>
      <c r="C639" s="1264"/>
      <c r="D639" s="1265"/>
      <c r="E639" s="1265"/>
      <c r="F639" s="1265"/>
      <c r="G639" s="1265"/>
      <c r="H639" s="1263"/>
      <c r="I639" s="1264"/>
      <c r="J639" s="1265"/>
      <c r="K639" s="1265"/>
      <c r="L639" s="1265"/>
      <c r="M639" s="1265"/>
      <c r="N639" s="1265"/>
      <c r="O639" s="1265"/>
      <c r="P639" s="1265"/>
    </row>
    <row r="640" ht="17.25" customHeight="1">
      <c r="A640" s="1263"/>
      <c r="B640" s="1140"/>
      <c r="C640" s="1264"/>
      <c r="D640" s="1265"/>
      <c r="E640" s="1265"/>
      <c r="F640" s="1265"/>
      <c r="G640" s="1265"/>
      <c r="H640" s="1263"/>
      <c r="I640" s="1264"/>
      <c r="J640" s="1265"/>
      <c r="K640" s="1265"/>
      <c r="L640" s="1265"/>
      <c r="M640" s="1265"/>
      <c r="N640" s="1265"/>
      <c r="O640" s="1265"/>
      <c r="P640" s="1265"/>
    </row>
    <row r="641" ht="17.25" customHeight="1">
      <c r="A641" s="1263"/>
      <c r="B641" s="1140"/>
      <c r="C641" s="1264"/>
      <c r="D641" s="1265"/>
      <c r="E641" s="1265"/>
      <c r="F641" s="1265"/>
      <c r="G641" s="1265"/>
      <c r="H641" s="1263"/>
      <c r="I641" s="1264"/>
      <c r="J641" s="1265"/>
      <c r="K641" s="1265"/>
      <c r="L641" s="1265"/>
      <c r="M641" s="1265"/>
      <c r="N641" s="1265"/>
      <c r="O641" s="1265"/>
      <c r="P641" s="1265"/>
    </row>
    <row r="642" ht="17.25" customHeight="1">
      <c r="A642" s="1263"/>
      <c r="B642" s="1140"/>
      <c r="C642" s="1264"/>
      <c r="D642" s="1265"/>
      <c r="E642" s="1265"/>
      <c r="F642" s="1265"/>
      <c r="G642" s="1265"/>
      <c r="H642" s="1263"/>
      <c r="I642" s="1264"/>
      <c r="J642" s="1265"/>
      <c r="K642" s="1265"/>
      <c r="L642" s="1265"/>
      <c r="M642" s="1265"/>
      <c r="N642" s="1265"/>
      <c r="O642" s="1265"/>
      <c r="P642" s="1265"/>
    </row>
    <row r="643" ht="17.25" customHeight="1">
      <c r="A643" s="1263"/>
      <c r="B643" s="1140"/>
      <c r="C643" s="1264"/>
      <c r="D643" s="1265"/>
      <c r="E643" s="1265"/>
      <c r="F643" s="1265"/>
      <c r="G643" s="1265"/>
      <c r="H643" s="1263"/>
      <c r="I643" s="1264"/>
      <c r="J643" s="1265"/>
      <c r="K643" s="1265"/>
      <c r="L643" s="1265"/>
      <c r="M643" s="1265"/>
      <c r="N643" s="1265"/>
      <c r="O643" s="1265"/>
      <c r="P643" s="1265"/>
    </row>
    <row r="644" ht="17.25" customHeight="1">
      <c r="A644" s="1263"/>
      <c r="B644" s="1140"/>
      <c r="C644" s="1264"/>
      <c r="D644" s="1265"/>
      <c r="E644" s="1265"/>
      <c r="F644" s="1265"/>
      <c r="G644" s="1265"/>
      <c r="H644" s="1263"/>
      <c r="I644" s="1264"/>
      <c r="J644" s="1265"/>
      <c r="K644" s="1265"/>
      <c r="L644" s="1265"/>
      <c r="M644" s="1265"/>
      <c r="N644" s="1265"/>
      <c r="O644" s="1265"/>
      <c r="P644" s="1265"/>
    </row>
    <row r="645" ht="17.25" customHeight="1">
      <c r="A645" s="1263"/>
      <c r="B645" s="1140"/>
      <c r="C645" s="1264"/>
      <c r="D645" s="1265"/>
      <c r="E645" s="1265"/>
      <c r="F645" s="1265"/>
      <c r="G645" s="1265"/>
      <c r="H645" s="1263"/>
      <c r="I645" s="1264"/>
      <c r="J645" s="1265"/>
      <c r="K645" s="1265"/>
      <c r="L645" s="1265"/>
      <c r="M645" s="1265"/>
      <c r="N645" s="1265"/>
      <c r="O645" s="1265"/>
      <c r="P645" s="1265"/>
    </row>
    <row r="646" ht="17.25" customHeight="1">
      <c r="A646" s="1263"/>
      <c r="B646" s="1140"/>
      <c r="C646" s="1264"/>
      <c r="D646" s="1265"/>
      <c r="E646" s="1265"/>
      <c r="F646" s="1265"/>
      <c r="G646" s="1265"/>
      <c r="H646" s="1263"/>
      <c r="I646" s="1264"/>
      <c r="J646" s="1265"/>
      <c r="K646" s="1265"/>
      <c r="L646" s="1265"/>
      <c r="M646" s="1265"/>
      <c r="N646" s="1265"/>
      <c r="O646" s="1265"/>
      <c r="P646" s="1265"/>
    </row>
    <row r="647" ht="17.25" customHeight="1">
      <c r="A647" s="1263"/>
      <c r="B647" s="1140"/>
      <c r="C647" s="1264"/>
      <c r="D647" s="1265"/>
      <c r="E647" s="1265"/>
      <c r="F647" s="1265"/>
      <c r="G647" s="1265"/>
      <c r="H647" s="1263"/>
      <c r="I647" s="1264"/>
      <c r="J647" s="1265"/>
      <c r="K647" s="1265"/>
      <c r="L647" s="1265"/>
      <c r="M647" s="1265"/>
      <c r="N647" s="1265"/>
      <c r="O647" s="1265"/>
      <c r="P647" s="1265"/>
    </row>
    <row r="648" ht="17.25" customHeight="1">
      <c r="A648" s="1263"/>
      <c r="B648" s="1140"/>
      <c r="C648" s="1264"/>
      <c r="D648" s="1265"/>
      <c r="E648" s="1265"/>
      <c r="F648" s="1265"/>
      <c r="G648" s="1265"/>
      <c r="H648" s="1263"/>
      <c r="I648" s="1264"/>
      <c r="J648" s="1265"/>
      <c r="K648" s="1265"/>
      <c r="L648" s="1265"/>
      <c r="M648" s="1265"/>
      <c r="N648" s="1265"/>
      <c r="O648" s="1265"/>
      <c r="P648" s="1265"/>
    </row>
    <row r="649" ht="17.25" customHeight="1">
      <c r="A649" s="1263"/>
      <c r="B649" s="1140"/>
      <c r="C649" s="1264"/>
      <c r="D649" s="1265"/>
      <c r="E649" s="1265"/>
      <c r="F649" s="1265"/>
      <c r="G649" s="1265"/>
      <c r="H649" s="1263"/>
      <c r="I649" s="1264"/>
      <c r="J649" s="1265"/>
      <c r="K649" s="1265"/>
      <c r="L649" s="1265"/>
      <c r="M649" s="1265"/>
      <c r="N649" s="1265"/>
      <c r="O649" s="1265"/>
      <c r="P649" s="1265"/>
    </row>
    <row r="650" ht="17.25" customHeight="1">
      <c r="A650" s="1263"/>
      <c r="B650" s="1140"/>
      <c r="C650" s="1264"/>
      <c r="D650" s="1265"/>
      <c r="E650" s="1265"/>
      <c r="F650" s="1265"/>
      <c r="G650" s="1265"/>
      <c r="H650" s="1263"/>
      <c r="I650" s="1264"/>
      <c r="J650" s="1265"/>
      <c r="K650" s="1265"/>
      <c r="L650" s="1265"/>
      <c r="M650" s="1265"/>
      <c r="N650" s="1265"/>
      <c r="O650" s="1265"/>
      <c r="P650" s="1265"/>
    </row>
    <row r="651" ht="17.25" customHeight="1">
      <c r="A651" s="1263"/>
      <c r="B651" s="1140"/>
      <c r="C651" s="1264"/>
      <c r="D651" s="1265"/>
      <c r="E651" s="1265"/>
      <c r="F651" s="1265"/>
      <c r="G651" s="1265"/>
      <c r="H651" s="1263"/>
      <c r="I651" s="1264"/>
      <c r="J651" s="1265"/>
      <c r="K651" s="1265"/>
      <c r="L651" s="1265"/>
      <c r="M651" s="1265"/>
      <c r="N651" s="1265"/>
      <c r="O651" s="1265"/>
      <c r="P651" s="1265"/>
    </row>
    <row r="652" ht="17.25" customHeight="1">
      <c r="A652" s="1263"/>
      <c r="B652" s="1140"/>
      <c r="C652" s="1264"/>
      <c r="D652" s="1265"/>
      <c r="E652" s="1265"/>
      <c r="F652" s="1265"/>
      <c r="G652" s="1265"/>
      <c r="H652" s="1263"/>
      <c r="I652" s="1264"/>
      <c r="J652" s="1265"/>
      <c r="K652" s="1265"/>
      <c r="L652" s="1265"/>
      <c r="M652" s="1265"/>
      <c r="N652" s="1265"/>
      <c r="O652" s="1265"/>
      <c r="P652" s="1265"/>
    </row>
    <row r="653" ht="17.25" customHeight="1">
      <c r="A653" s="1263"/>
      <c r="B653" s="1140"/>
      <c r="C653" s="1264"/>
      <c r="D653" s="1265"/>
      <c r="E653" s="1265"/>
      <c r="F653" s="1265"/>
      <c r="G653" s="1265"/>
      <c r="H653" s="1263"/>
      <c r="I653" s="1264"/>
      <c r="J653" s="1265"/>
      <c r="K653" s="1265"/>
      <c r="L653" s="1265"/>
      <c r="M653" s="1265"/>
      <c r="N653" s="1265"/>
      <c r="O653" s="1265"/>
      <c r="P653" s="1265"/>
    </row>
    <row r="654" ht="17.25" customHeight="1">
      <c r="A654" s="1263"/>
      <c r="B654" s="1140"/>
      <c r="C654" s="1264"/>
      <c r="D654" s="1265"/>
      <c r="E654" s="1265"/>
      <c r="F654" s="1265"/>
      <c r="G654" s="1265"/>
      <c r="H654" s="1263"/>
      <c r="I654" s="1264"/>
      <c r="J654" s="1265"/>
      <c r="K654" s="1265"/>
      <c r="L654" s="1265"/>
      <c r="M654" s="1265"/>
      <c r="N654" s="1265"/>
      <c r="O654" s="1265"/>
      <c r="P654" s="1265"/>
    </row>
    <row r="655" ht="17.25" customHeight="1">
      <c r="A655" s="1263"/>
      <c r="B655" s="1140"/>
      <c r="C655" s="1264"/>
      <c r="D655" s="1265"/>
      <c r="E655" s="1265"/>
      <c r="F655" s="1265"/>
      <c r="G655" s="1265"/>
      <c r="H655" s="1263"/>
      <c r="I655" s="1264"/>
      <c r="J655" s="1265"/>
      <c r="K655" s="1265"/>
      <c r="L655" s="1265"/>
      <c r="M655" s="1265"/>
      <c r="N655" s="1265"/>
      <c r="O655" s="1265"/>
      <c r="P655" s="1265"/>
    </row>
    <row r="656" ht="17.25" customHeight="1">
      <c r="A656" s="1263"/>
      <c r="B656" s="1140"/>
      <c r="C656" s="1264"/>
      <c r="D656" s="1265"/>
      <c r="E656" s="1265"/>
      <c r="F656" s="1265"/>
      <c r="G656" s="1265"/>
      <c r="H656" s="1263"/>
      <c r="I656" s="1264"/>
      <c r="J656" s="1265"/>
      <c r="K656" s="1265"/>
      <c r="L656" s="1265"/>
      <c r="M656" s="1265"/>
      <c r="N656" s="1265"/>
      <c r="O656" s="1265"/>
      <c r="P656" s="1265"/>
    </row>
    <row r="657" ht="17.25" customHeight="1">
      <c r="A657" s="1263"/>
      <c r="B657" s="1140"/>
      <c r="C657" s="1264"/>
      <c r="D657" s="1265"/>
      <c r="E657" s="1265"/>
      <c r="F657" s="1265"/>
      <c r="G657" s="1265"/>
      <c r="H657" s="1263"/>
      <c r="I657" s="1264"/>
      <c r="J657" s="1265"/>
      <c r="K657" s="1265"/>
      <c r="L657" s="1265"/>
      <c r="M657" s="1265"/>
      <c r="N657" s="1265"/>
      <c r="O657" s="1265"/>
      <c r="P657" s="1265"/>
    </row>
    <row r="658" ht="17.25" customHeight="1">
      <c r="A658" s="1263"/>
      <c r="B658" s="1140"/>
      <c r="C658" s="1264"/>
      <c r="D658" s="1265"/>
      <c r="E658" s="1265"/>
      <c r="F658" s="1265"/>
      <c r="G658" s="1265"/>
      <c r="H658" s="1263"/>
      <c r="I658" s="1264"/>
      <c r="J658" s="1265"/>
      <c r="K658" s="1265"/>
      <c r="L658" s="1265"/>
      <c r="M658" s="1265"/>
      <c r="N658" s="1265"/>
      <c r="O658" s="1265"/>
      <c r="P658" s="1265"/>
    </row>
    <row r="659" ht="17.25" customHeight="1">
      <c r="A659" s="1263"/>
      <c r="B659" s="1140"/>
      <c r="C659" s="1264"/>
      <c r="D659" s="1265"/>
      <c r="E659" s="1265"/>
      <c r="F659" s="1265"/>
      <c r="G659" s="1265"/>
      <c r="H659" s="1263"/>
      <c r="I659" s="1264"/>
      <c r="J659" s="1265"/>
      <c r="K659" s="1265"/>
      <c r="L659" s="1265"/>
      <c r="M659" s="1265"/>
      <c r="N659" s="1265"/>
      <c r="O659" s="1265"/>
      <c r="P659" s="1265"/>
    </row>
    <row r="660" ht="17.25" customHeight="1">
      <c r="A660" s="1263"/>
      <c r="B660" s="1140"/>
      <c r="C660" s="1264"/>
      <c r="D660" s="1265"/>
      <c r="E660" s="1265"/>
      <c r="F660" s="1265"/>
      <c r="G660" s="1265"/>
      <c r="H660" s="1263"/>
      <c r="I660" s="1264"/>
      <c r="J660" s="1265"/>
      <c r="K660" s="1265"/>
      <c r="L660" s="1265"/>
      <c r="M660" s="1265"/>
      <c r="N660" s="1265"/>
      <c r="O660" s="1265"/>
      <c r="P660" s="1265"/>
    </row>
    <row r="661" ht="17.25" customHeight="1">
      <c r="A661" s="1263"/>
      <c r="B661" s="1140"/>
      <c r="C661" s="1264"/>
      <c r="D661" s="1265"/>
      <c r="E661" s="1265"/>
      <c r="F661" s="1265"/>
      <c r="G661" s="1265"/>
      <c r="H661" s="1263"/>
      <c r="I661" s="1264"/>
      <c r="J661" s="1265"/>
      <c r="K661" s="1265"/>
      <c r="L661" s="1265"/>
      <c r="M661" s="1265"/>
      <c r="N661" s="1265"/>
      <c r="O661" s="1265"/>
      <c r="P661" s="1265"/>
    </row>
    <row r="662" ht="17.25" customHeight="1">
      <c r="A662" s="1263"/>
      <c r="B662" s="1140"/>
      <c r="C662" s="1264"/>
      <c r="D662" s="1265"/>
      <c r="E662" s="1265"/>
      <c r="F662" s="1265"/>
      <c r="G662" s="1265"/>
      <c r="H662" s="1263"/>
      <c r="I662" s="1264"/>
      <c r="J662" s="1265"/>
      <c r="K662" s="1265"/>
      <c r="L662" s="1265"/>
      <c r="M662" s="1265"/>
      <c r="N662" s="1265"/>
      <c r="O662" s="1265"/>
      <c r="P662" s="1265"/>
    </row>
    <row r="663" ht="17.25" customHeight="1">
      <c r="A663" s="1263"/>
      <c r="B663" s="1140"/>
      <c r="C663" s="1264"/>
      <c r="D663" s="1265"/>
      <c r="E663" s="1265"/>
      <c r="F663" s="1265"/>
      <c r="G663" s="1265"/>
      <c r="H663" s="1263"/>
      <c r="I663" s="1264"/>
      <c r="J663" s="1265"/>
      <c r="K663" s="1265"/>
      <c r="L663" s="1265"/>
      <c r="M663" s="1265"/>
      <c r="N663" s="1265"/>
      <c r="O663" s="1265"/>
      <c r="P663" s="1265"/>
    </row>
    <row r="664" ht="17.25" customHeight="1">
      <c r="A664" s="1263"/>
      <c r="B664" s="1140"/>
      <c r="C664" s="1264"/>
      <c r="D664" s="1265"/>
      <c r="E664" s="1265"/>
      <c r="F664" s="1265"/>
      <c r="G664" s="1265"/>
      <c r="H664" s="1263"/>
      <c r="I664" s="1264"/>
      <c r="J664" s="1265"/>
      <c r="K664" s="1265"/>
      <c r="L664" s="1265"/>
      <c r="M664" s="1265"/>
      <c r="N664" s="1265"/>
      <c r="O664" s="1265"/>
      <c r="P664" s="1265"/>
    </row>
    <row r="665" ht="17.25" customHeight="1">
      <c r="A665" s="1263"/>
      <c r="B665" s="1140"/>
      <c r="C665" s="1264"/>
      <c r="D665" s="1265"/>
      <c r="E665" s="1265"/>
      <c r="F665" s="1265"/>
      <c r="G665" s="1265"/>
      <c r="H665" s="1263"/>
      <c r="I665" s="1264"/>
      <c r="J665" s="1265"/>
      <c r="K665" s="1265"/>
      <c r="L665" s="1265"/>
      <c r="M665" s="1265"/>
      <c r="N665" s="1265"/>
      <c r="O665" s="1265"/>
      <c r="P665" s="1265"/>
    </row>
    <row r="666" ht="17.25" customHeight="1">
      <c r="A666" s="1263"/>
      <c r="B666" s="1140"/>
      <c r="C666" s="1264"/>
      <c r="D666" s="1265"/>
      <c r="E666" s="1265"/>
      <c r="F666" s="1265"/>
      <c r="G666" s="1265"/>
      <c r="H666" s="1263"/>
      <c r="I666" s="1264"/>
      <c r="J666" s="1265"/>
      <c r="K666" s="1265"/>
      <c r="L666" s="1265"/>
      <c r="M666" s="1265"/>
      <c r="N666" s="1265"/>
      <c r="O666" s="1265"/>
      <c r="P666" s="1265"/>
    </row>
    <row r="667" ht="17.25" customHeight="1">
      <c r="A667" s="1263"/>
      <c r="B667" s="1140"/>
      <c r="C667" s="1264"/>
      <c r="D667" s="1265"/>
      <c r="E667" s="1265"/>
      <c r="F667" s="1265"/>
      <c r="G667" s="1265"/>
      <c r="H667" s="1263"/>
      <c r="I667" s="1264"/>
      <c r="J667" s="1265"/>
      <c r="K667" s="1265"/>
      <c r="L667" s="1265"/>
      <c r="M667" s="1265"/>
      <c r="N667" s="1265"/>
      <c r="O667" s="1265"/>
      <c r="P667" s="1265"/>
    </row>
    <row r="668" ht="17.25" customHeight="1">
      <c r="A668" s="1263"/>
      <c r="B668" s="1140"/>
      <c r="C668" s="1264"/>
      <c r="D668" s="1265"/>
      <c r="E668" s="1265"/>
      <c r="F668" s="1265"/>
      <c r="G668" s="1265"/>
      <c r="H668" s="1263"/>
      <c r="I668" s="1264"/>
      <c r="J668" s="1265"/>
      <c r="K668" s="1265"/>
      <c r="L668" s="1265"/>
      <c r="M668" s="1265"/>
      <c r="N668" s="1265"/>
      <c r="O668" s="1265"/>
      <c r="P668" s="1265"/>
    </row>
    <row r="669" ht="17.25" customHeight="1">
      <c r="A669" s="1263"/>
      <c r="B669" s="1140"/>
      <c r="C669" s="1264"/>
      <c r="D669" s="1265"/>
      <c r="E669" s="1265"/>
      <c r="F669" s="1265"/>
      <c r="G669" s="1265"/>
      <c r="H669" s="1263"/>
      <c r="I669" s="1264"/>
      <c r="J669" s="1265"/>
      <c r="K669" s="1265"/>
      <c r="L669" s="1265"/>
      <c r="M669" s="1265"/>
      <c r="N669" s="1265"/>
      <c r="O669" s="1265"/>
      <c r="P669" s="1265"/>
    </row>
    <row r="670" ht="17.25" customHeight="1">
      <c r="A670" s="1263"/>
      <c r="B670" s="1140"/>
      <c r="C670" s="1264"/>
      <c r="D670" s="1265"/>
      <c r="E670" s="1265"/>
      <c r="F670" s="1265"/>
      <c r="G670" s="1265"/>
      <c r="H670" s="1263"/>
      <c r="I670" s="1264"/>
      <c r="J670" s="1265"/>
      <c r="K670" s="1265"/>
      <c r="L670" s="1265"/>
      <c r="M670" s="1265"/>
      <c r="N670" s="1265"/>
      <c r="O670" s="1265"/>
      <c r="P670" s="1265"/>
    </row>
    <row r="671" ht="17.25" customHeight="1">
      <c r="A671" s="1263"/>
      <c r="B671" s="1140"/>
      <c r="C671" s="1264"/>
      <c r="D671" s="1265"/>
      <c r="E671" s="1265"/>
      <c r="F671" s="1265"/>
      <c r="G671" s="1265"/>
      <c r="H671" s="1263"/>
      <c r="I671" s="1264"/>
      <c r="J671" s="1265"/>
      <c r="K671" s="1265"/>
      <c r="L671" s="1265"/>
      <c r="M671" s="1265"/>
      <c r="N671" s="1265"/>
      <c r="O671" s="1265"/>
      <c r="P671" s="1265"/>
    </row>
    <row r="672" ht="17.25" customHeight="1">
      <c r="A672" s="1263"/>
      <c r="B672" s="1140"/>
      <c r="C672" s="1264"/>
      <c r="D672" s="1265"/>
      <c r="E672" s="1265"/>
      <c r="F672" s="1265"/>
      <c r="G672" s="1265"/>
      <c r="H672" s="1263"/>
      <c r="I672" s="1264"/>
      <c r="J672" s="1265"/>
      <c r="K672" s="1265"/>
      <c r="L672" s="1265"/>
      <c r="M672" s="1265"/>
      <c r="N672" s="1265"/>
      <c r="O672" s="1265"/>
      <c r="P672" s="1265"/>
    </row>
    <row r="673" ht="17.25" customHeight="1">
      <c r="A673" s="1263"/>
      <c r="B673" s="1140"/>
      <c r="C673" s="1264"/>
      <c r="D673" s="1265"/>
      <c r="E673" s="1265"/>
      <c r="F673" s="1265"/>
      <c r="G673" s="1265"/>
      <c r="H673" s="1263"/>
      <c r="I673" s="1264"/>
      <c r="J673" s="1265"/>
      <c r="K673" s="1265"/>
      <c r="L673" s="1265"/>
      <c r="M673" s="1265"/>
      <c r="N673" s="1265"/>
      <c r="O673" s="1265"/>
      <c r="P673" s="1265"/>
    </row>
    <row r="674" ht="17.25" customHeight="1">
      <c r="A674" s="1263"/>
      <c r="B674" s="1140"/>
      <c r="C674" s="1264"/>
      <c r="D674" s="1265"/>
      <c r="E674" s="1265"/>
      <c r="F674" s="1265"/>
      <c r="G674" s="1265"/>
      <c r="H674" s="1263"/>
      <c r="I674" s="1264"/>
      <c r="J674" s="1265"/>
      <c r="K674" s="1265"/>
      <c r="L674" s="1265"/>
      <c r="M674" s="1265"/>
      <c r="N674" s="1265"/>
      <c r="O674" s="1265"/>
      <c r="P674" s="1265"/>
    </row>
    <row r="675" ht="17.25" customHeight="1">
      <c r="A675" s="1263"/>
      <c r="B675" s="1140"/>
      <c r="C675" s="1264"/>
      <c r="D675" s="1265"/>
      <c r="E675" s="1265"/>
      <c r="F675" s="1265"/>
      <c r="G675" s="1265"/>
      <c r="H675" s="1263"/>
      <c r="I675" s="1264"/>
      <c r="J675" s="1265"/>
      <c r="K675" s="1265"/>
      <c r="L675" s="1265"/>
      <c r="M675" s="1265"/>
      <c r="N675" s="1265"/>
      <c r="O675" s="1265"/>
      <c r="P675" s="1265"/>
    </row>
    <row r="676" ht="17.25" customHeight="1">
      <c r="A676" s="1263"/>
      <c r="B676" s="1140"/>
      <c r="C676" s="1264"/>
      <c r="D676" s="1265"/>
      <c r="E676" s="1265"/>
      <c r="F676" s="1265"/>
      <c r="G676" s="1265"/>
      <c r="H676" s="1263"/>
      <c r="I676" s="1264"/>
      <c r="J676" s="1265"/>
      <c r="K676" s="1265"/>
      <c r="L676" s="1265"/>
      <c r="M676" s="1265"/>
      <c r="N676" s="1265"/>
      <c r="O676" s="1265"/>
      <c r="P676" s="1265"/>
    </row>
    <row r="677" ht="17.25" customHeight="1">
      <c r="A677" s="1263"/>
      <c r="B677" s="1140"/>
      <c r="C677" s="1264"/>
      <c r="D677" s="1265"/>
      <c r="E677" s="1265"/>
      <c r="F677" s="1265"/>
      <c r="G677" s="1265"/>
      <c r="H677" s="1263"/>
      <c r="I677" s="1264"/>
      <c r="J677" s="1265"/>
      <c r="K677" s="1265"/>
      <c r="L677" s="1265"/>
      <c r="M677" s="1265"/>
      <c r="N677" s="1265"/>
      <c r="O677" s="1265"/>
      <c r="P677" s="1265"/>
    </row>
    <row r="678" ht="17.25" customHeight="1">
      <c r="A678" s="1263"/>
      <c r="B678" s="1140"/>
      <c r="C678" s="1264"/>
      <c r="D678" s="1265"/>
      <c r="E678" s="1265"/>
      <c r="F678" s="1265"/>
      <c r="G678" s="1265"/>
      <c r="H678" s="1263"/>
      <c r="I678" s="1264"/>
      <c r="J678" s="1265"/>
      <c r="K678" s="1265"/>
      <c r="L678" s="1265"/>
      <c r="M678" s="1265"/>
      <c r="N678" s="1265"/>
      <c r="O678" s="1265"/>
      <c r="P678" s="1265"/>
    </row>
    <row r="679" ht="17.25" customHeight="1">
      <c r="A679" s="1263"/>
      <c r="B679" s="1140"/>
      <c r="C679" s="1264"/>
      <c r="D679" s="1265"/>
      <c r="E679" s="1265"/>
      <c r="F679" s="1265"/>
      <c r="G679" s="1265"/>
      <c r="H679" s="1263"/>
      <c r="I679" s="1264"/>
      <c r="J679" s="1265"/>
      <c r="K679" s="1265"/>
      <c r="L679" s="1265"/>
      <c r="M679" s="1265"/>
      <c r="N679" s="1265"/>
      <c r="O679" s="1265"/>
      <c r="P679" s="1265"/>
    </row>
    <row r="680" ht="17.25" customHeight="1">
      <c r="A680" s="1263"/>
      <c r="B680" s="1140"/>
      <c r="C680" s="1264"/>
      <c r="D680" s="1265"/>
      <c r="E680" s="1265"/>
      <c r="F680" s="1265"/>
      <c r="G680" s="1265"/>
      <c r="H680" s="1263"/>
      <c r="I680" s="1264"/>
      <c r="J680" s="1265"/>
      <c r="K680" s="1265"/>
      <c r="L680" s="1265"/>
      <c r="M680" s="1265"/>
      <c r="N680" s="1265"/>
      <c r="O680" s="1265"/>
      <c r="P680" s="1265"/>
    </row>
    <row r="681" ht="17.25" customHeight="1">
      <c r="A681" s="1263"/>
      <c r="B681" s="1140"/>
      <c r="C681" s="1264"/>
      <c r="D681" s="1265"/>
      <c r="E681" s="1265"/>
      <c r="F681" s="1265"/>
      <c r="G681" s="1265"/>
      <c r="H681" s="1263"/>
      <c r="I681" s="1264"/>
      <c r="J681" s="1265"/>
      <c r="K681" s="1265"/>
      <c r="L681" s="1265"/>
      <c r="M681" s="1265"/>
      <c r="N681" s="1265"/>
      <c r="O681" s="1265"/>
      <c r="P681" s="1265"/>
    </row>
    <row r="682" ht="17.25" customHeight="1">
      <c r="A682" s="1263"/>
      <c r="B682" s="1140"/>
      <c r="C682" s="1264"/>
      <c r="D682" s="1265"/>
      <c r="E682" s="1265"/>
      <c r="F682" s="1265"/>
      <c r="G682" s="1265"/>
      <c r="H682" s="1263"/>
      <c r="I682" s="1264"/>
      <c r="J682" s="1265"/>
      <c r="K682" s="1265"/>
      <c r="L682" s="1265"/>
      <c r="M682" s="1265"/>
      <c r="N682" s="1265"/>
      <c r="O682" s="1265"/>
      <c r="P682" s="1265"/>
    </row>
    <row r="683" ht="17.25" customHeight="1">
      <c r="A683" s="1263"/>
      <c r="B683" s="1140"/>
      <c r="C683" s="1264"/>
      <c r="D683" s="1265"/>
      <c r="E683" s="1265"/>
      <c r="F683" s="1265"/>
      <c r="G683" s="1265"/>
      <c r="H683" s="1263"/>
      <c r="I683" s="1264"/>
      <c r="J683" s="1265"/>
      <c r="K683" s="1265"/>
      <c r="L683" s="1265"/>
      <c r="M683" s="1265"/>
      <c r="N683" s="1265"/>
      <c r="O683" s="1265"/>
      <c r="P683" s="1265"/>
    </row>
    <row r="684" ht="17.25" customHeight="1">
      <c r="A684" s="1263"/>
      <c r="B684" s="1140"/>
      <c r="C684" s="1264"/>
      <c r="D684" s="1265"/>
      <c r="E684" s="1265"/>
      <c r="F684" s="1265"/>
      <c r="G684" s="1265"/>
      <c r="H684" s="1263"/>
      <c r="I684" s="1264"/>
      <c r="J684" s="1265"/>
      <c r="K684" s="1265"/>
      <c r="L684" s="1265"/>
      <c r="M684" s="1265"/>
      <c r="N684" s="1265"/>
      <c r="O684" s="1265"/>
      <c r="P684" s="1265"/>
    </row>
    <row r="685" ht="17.25" customHeight="1">
      <c r="A685" s="1263"/>
      <c r="B685" s="1140"/>
      <c r="C685" s="1264"/>
      <c r="D685" s="1265"/>
      <c r="E685" s="1265"/>
      <c r="F685" s="1265"/>
      <c r="G685" s="1265"/>
      <c r="H685" s="1263"/>
      <c r="I685" s="1264"/>
      <c r="J685" s="1265"/>
      <c r="K685" s="1265"/>
      <c r="L685" s="1265"/>
      <c r="M685" s="1265"/>
      <c r="N685" s="1265"/>
      <c r="O685" s="1265"/>
      <c r="P685" s="1265"/>
    </row>
    <row r="686" ht="17.25" customHeight="1">
      <c r="A686" s="1263"/>
      <c r="B686" s="1140"/>
      <c r="C686" s="1264"/>
      <c r="D686" s="1265"/>
      <c r="E686" s="1265"/>
      <c r="F686" s="1265"/>
      <c r="G686" s="1265"/>
      <c r="H686" s="1263"/>
      <c r="I686" s="1264"/>
      <c r="J686" s="1265"/>
      <c r="K686" s="1265"/>
      <c r="L686" s="1265"/>
      <c r="M686" s="1265"/>
      <c r="N686" s="1265"/>
      <c r="O686" s="1265"/>
      <c r="P686" s="1265"/>
    </row>
    <row r="687" ht="17.25" customHeight="1">
      <c r="A687" s="1263"/>
      <c r="B687" s="1140"/>
      <c r="C687" s="1264"/>
      <c r="D687" s="1265"/>
      <c r="E687" s="1265"/>
      <c r="F687" s="1265"/>
      <c r="G687" s="1265"/>
      <c r="H687" s="1263"/>
      <c r="I687" s="1264"/>
      <c r="J687" s="1265"/>
      <c r="K687" s="1265"/>
      <c r="L687" s="1265"/>
      <c r="M687" s="1265"/>
      <c r="N687" s="1265"/>
      <c r="O687" s="1265"/>
      <c r="P687" s="1265"/>
    </row>
    <row r="688" ht="17.25" customHeight="1">
      <c r="A688" s="1263"/>
      <c r="B688" s="1140"/>
      <c r="C688" s="1264"/>
      <c r="D688" s="1265"/>
      <c r="E688" s="1265"/>
      <c r="F688" s="1265"/>
      <c r="G688" s="1265"/>
      <c r="H688" s="1263"/>
      <c r="I688" s="1264"/>
      <c r="J688" s="1265"/>
      <c r="K688" s="1265"/>
      <c r="L688" s="1265"/>
      <c r="M688" s="1265"/>
      <c r="N688" s="1265"/>
      <c r="O688" s="1265"/>
      <c r="P688" s="1265"/>
    </row>
    <row r="689" ht="17.25" customHeight="1">
      <c r="A689" s="1263"/>
      <c r="B689" s="1140"/>
      <c r="C689" s="1264"/>
      <c r="D689" s="1265"/>
      <c r="E689" s="1265"/>
      <c r="F689" s="1265"/>
      <c r="G689" s="1265"/>
      <c r="H689" s="1263"/>
      <c r="I689" s="1264"/>
      <c r="J689" s="1265"/>
      <c r="K689" s="1265"/>
      <c r="L689" s="1265"/>
      <c r="M689" s="1265"/>
      <c r="N689" s="1265"/>
      <c r="O689" s="1265"/>
      <c r="P689" s="1265"/>
    </row>
    <row r="690" ht="17.25" customHeight="1">
      <c r="A690" s="1263"/>
      <c r="B690" s="1140"/>
      <c r="C690" s="1264"/>
      <c r="D690" s="1265"/>
      <c r="E690" s="1265"/>
      <c r="F690" s="1265"/>
      <c r="G690" s="1265"/>
      <c r="H690" s="1263"/>
      <c r="I690" s="1264"/>
      <c r="J690" s="1265"/>
      <c r="K690" s="1265"/>
      <c r="L690" s="1265"/>
      <c r="M690" s="1265"/>
      <c r="N690" s="1265"/>
      <c r="O690" s="1265"/>
      <c r="P690" s="1265"/>
    </row>
    <row r="691" ht="17.25" customHeight="1">
      <c r="A691" s="1263"/>
      <c r="B691" s="1140"/>
      <c r="C691" s="1264"/>
      <c r="D691" s="1265"/>
      <c r="E691" s="1265"/>
      <c r="F691" s="1265"/>
      <c r="G691" s="1265"/>
      <c r="H691" s="1263"/>
      <c r="I691" s="1264"/>
      <c r="J691" s="1265"/>
      <c r="K691" s="1265"/>
      <c r="L691" s="1265"/>
      <c r="M691" s="1265"/>
      <c r="N691" s="1265"/>
      <c r="O691" s="1265"/>
      <c r="P691" s="1265"/>
    </row>
    <row r="692" ht="17.25" customHeight="1">
      <c r="A692" s="1263"/>
      <c r="B692" s="1140"/>
      <c r="C692" s="1264"/>
      <c r="D692" s="1265"/>
      <c r="E692" s="1265"/>
      <c r="F692" s="1265"/>
      <c r="G692" s="1265"/>
      <c r="H692" s="1263"/>
      <c r="I692" s="1264"/>
      <c r="J692" s="1265"/>
      <c r="K692" s="1265"/>
      <c r="L692" s="1265"/>
      <c r="M692" s="1265"/>
      <c r="N692" s="1265"/>
      <c r="O692" s="1265"/>
      <c r="P692" s="1265"/>
    </row>
    <row r="693" ht="17.25" customHeight="1">
      <c r="A693" s="1263"/>
      <c r="B693" s="1140"/>
      <c r="C693" s="1264"/>
      <c r="D693" s="1265"/>
      <c r="E693" s="1265"/>
      <c r="F693" s="1265"/>
      <c r="G693" s="1265"/>
      <c r="H693" s="1263"/>
      <c r="I693" s="1264"/>
      <c r="J693" s="1265"/>
      <c r="K693" s="1265"/>
      <c r="L693" s="1265"/>
      <c r="M693" s="1265"/>
      <c r="N693" s="1265"/>
      <c r="O693" s="1265"/>
      <c r="P693" s="1265"/>
    </row>
    <row r="694" ht="17.25" customHeight="1">
      <c r="A694" s="1263"/>
      <c r="B694" s="1140"/>
      <c r="C694" s="1264"/>
      <c r="D694" s="1265"/>
      <c r="E694" s="1265"/>
      <c r="F694" s="1265"/>
      <c r="G694" s="1265"/>
      <c r="H694" s="1263"/>
      <c r="I694" s="1264"/>
      <c r="J694" s="1265"/>
      <c r="K694" s="1265"/>
      <c r="L694" s="1265"/>
      <c r="M694" s="1265"/>
      <c r="N694" s="1265"/>
      <c r="O694" s="1265"/>
      <c r="P694" s="1265"/>
    </row>
    <row r="695" ht="17.25" customHeight="1">
      <c r="A695" s="1263"/>
      <c r="B695" s="1140"/>
      <c r="C695" s="1264"/>
      <c r="D695" s="1265"/>
      <c r="E695" s="1265"/>
      <c r="F695" s="1265"/>
      <c r="G695" s="1265"/>
      <c r="H695" s="1263"/>
      <c r="I695" s="1264"/>
      <c r="J695" s="1265"/>
      <c r="K695" s="1265"/>
      <c r="L695" s="1265"/>
      <c r="M695" s="1265"/>
      <c r="N695" s="1265"/>
      <c r="O695" s="1265"/>
      <c r="P695" s="1265"/>
    </row>
    <row r="696" ht="17.25" customHeight="1">
      <c r="A696" s="1263"/>
      <c r="B696" s="1140"/>
      <c r="C696" s="1264"/>
      <c r="D696" s="1265"/>
      <c r="E696" s="1265"/>
      <c r="F696" s="1265"/>
      <c r="G696" s="1265"/>
      <c r="H696" s="1263"/>
      <c r="I696" s="1264"/>
      <c r="J696" s="1265"/>
      <c r="K696" s="1265"/>
      <c r="L696" s="1265"/>
      <c r="M696" s="1265"/>
      <c r="N696" s="1265"/>
      <c r="O696" s="1265"/>
      <c r="P696" s="1265"/>
    </row>
    <row r="697" ht="17.25" customHeight="1">
      <c r="A697" s="1263"/>
      <c r="B697" s="1140"/>
      <c r="C697" s="1264"/>
      <c r="D697" s="1265"/>
      <c r="E697" s="1265"/>
      <c r="F697" s="1265"/>
      <c r="G697" s="1265"/>
      <c r="H697" s="1263"/>
      <c r="I697" s="1264"/>
      <c r="J697" s="1265"/>
      <c r="K697" s="1265"/>
      <c r="L697" s="1265"/>
      <c r="M697" s="1265"/>
      <c r="N697" s="1265"/>
      <c r="O697" s="1265"/>
      <c r="P697" s="1265"/>
    </row>
    <row r="698" ht="17.25" customHeight="1">
      <c r="A698" s="1263"/>
      <c r="B698" s="1140"/>
      <c r="C698" s="1264"/>
      <c r="D698" s="1265"/>
      <c r="E698" s="1265"/>
      <c r="F698" s="1265"/>
      <c r="G698" s="1265"/>
      <c r="H698" s="1263"/>
      <c r="I698" s="1264"/>
      <c r="J698" s="1265"/>
      <c r="K698" s="1265"/>
      <c r="L698" s="1265"/>
      <c r="M698" s="1265"/>
      <c r="N698" s="1265"/>
      <c r="O698" s="1265"/>
      <c r="P698" s="1265"/>
    </row>
    <row r="699" ht="17.25" customHeight="1">
      <c r="A699" s="1263"/>
      <c r="B699" s="1140"/>
      <c r="C699" s="1264"/>
      <c r="D699" s="1265"/>
      <c r="E699" s="1265"/>
      <c r="F699" s="1265"/>
      <c r="G699" s="1265"/>
      <c r="H699" s="1263"/>
      <c r="I699" s="1264"/>
      <c r="J699" s="1265"/>
      <c r="K699" s="1265"/>
      <c r="L699" s="1265"/>
      <c r="M699" s="1265"/>
      <c r="N699" s="1265"/>
      <c r="O699" s="1265"/>
      <c r="P699" s="1265"/>
    </row>
    <row r="700" ht="17.25" customHeight="1">
      <c r="A700" s="1263"/>
      <c r="B700" s="1140"/>
      <c r="C700" s="1264"/>
      <c r="D700" s="1265"/>
      <c r="E700" s="1265"/>
      <c r="F700" s="1265"/>
      <c r="G700" s="1265"/>
      <c r="H700" s="1263"/>
      <c r="I700" s="1264"/>
      <c r="J700" s="1265"/>
      <c r="K700" s="1265"/>
      <c r="L700" s="1265"/>
      <c r="M700" s="1265"/>
      <c r="N700" s="1265"/>
      <c r="O700" s="1265"/>
      <c r="P700" s="1265"/>
    </row>
    <row r="701" ht="17.25" customHeight="1">
      <c r="A701" s="1263"/>
      <c r="B701" s="1140"/>
      <c r="C701" s="1264"/>
      <c r="D701" s="1265"/>
      <c r="E701" s="1265"/>
      <c r="F701" s="1265"/>
      <c r="G701" s="1265"/>
      <c r="H701" s="1263"/>
      <c r="I701" s="1264"/>
      <c r="J701" s="1265"/>
      <c r="K701" s="1265"/>
      <c r="L701" s="1265"/>
      <c r="M701" s="1265"/>
      <c r="N701" s="1265"/>
      <c r="O701" s="1265"/>
      <c r="P701" s="1265"/>
    </row>
    <row r="702" ht="17.25" customHeight="1">
      <c r="A702" s="1263"/>
      <c r="B702" s="1140"/>
      <c r="C702" s="1264"/>
      <c r="D702" s="1265"/>
      <c r="E702" s="1265"/>
      <c r="F702" s="1265"/>
      <c r="G702" s="1265"/>
      <c r="H702" s="1263"/>
      <c r="I702" s="1264"/>
      <c r="J702" s="1265"/>
      <c r="K702" s="1265"/>
      <c r="L702" s="1265"/>
      <c r="M702" s="1265"/>
      <c r="N702" s="1265"/>
      <c r="O702" s="1265"/>
      <c r="P702" s="1265"/>
    </row>
    <row r="703" ht="17.25" customHeight="1">
      <c r="A703" s="1263"/>
      <c r="B703" s="1140"/>
      <c r="C703" s="1264"/>
      <c r="D703" s="1265"/>
      <c r="E703" s="1265"/>
      <c r="F703" s="1265"/>
      <c r="G703" s="1265"/>
      <c r="H703" s="1263"/>
      <c r="I703" s="1264"/>
      <c r="J703" s="1265"/>
      <c r="K703" s="1265"/>
      <c r="L703" s="1265"/>
      <c r="M703" s="1265"/>
      <c r="N703" s="1265"/>
      <c r="O703" s="1265"/>
      <c r="P703" s="1265"/>
    </row>
    <row r="704" ht="17.25" customHeight="1">
      <c r="A704" s="1263"/>
      <c r="B704" s="1140"/>
      <c r="C704" s="1264"/>
      <c r="D704" s="1265"/>
      <c r="E704" s="1265"/>
      <c r="F704" s="1265"/>
      <c r="G704" s="1265"/>
      <c r="H704" s="1263"/>
      <c r="I704" s="1264"/>
      <c r="J704" s="1265"/>
      <c r="K704" s="1265"/>
      <c r="L704" s="1265"/>
      <c r="M704" s="1265"/>
      <c r="N704" s="1265"/>
      <c r="O704" s="1265"/>
      <c r="P704" s="1265"/>
    </row>
    <row r="705" ht="17.25" customHeight="1">
      <c r="A705" s="1263"/>
      <c r="B705" s="1140"/>
      <c r="C705" s="1264"/>
      <c r="D705" s="1265"/>
      <c r="E705" s="1265"/>
      <c r="F705" s="1265"/>
      <c r="G705" s="1265"/>
      <c r="H705" s="1263"/>
      <c r="I705" s="1264"/>
      <c r="J705" s="1265"/>
      <c r="K705" s="1265"/>
      <c r="L705" s="1265"/>
      <c r="M705" s="1265"/>
      <c r="N705" s="1265"/>
      <c r="O705" s="1265"/>
      <c r="P705" s="1265"/>
    </row>
    <row r="706" ht="17.25" customHeight="1">
      <c r="A706" s="1263"/>
      <c r="B706" s="1140"/>
      <c r="C706" s="1264"/>
      <c r="D706" s="1265"/>
      <c r="E706" s="1265"/>
      <c r="F706" s="1265"/>
      <c r="G706" s="1265"/>
      <c r="H706" s="1263"/>
      <c r="I706" s="1264"/>
      <c r="J706" s="1265"/>
      <c r="K706" s="1265"/>
      <c r="L706" s="1265"/>
      <c r="M706" s="1265"/>
      <c r="N706" s="1265"/>
      <c r="O706" s="1265"/>
      <c r="P706" s="1265"/>
    </row>
    <row r="707" ht="17.25" customHeight="1">
      <c r="A707" s="1263"/>
      <c r="B707" s="1140"/>
      <c r="C707" s="1264"/>
      <c r="D707" s="1265"/>
      <c r="E707" s="1265"/>
      <c r="F707" s="1265"/>
      <c r="G707" s="1265"/>
      <c r="H707" s="1263"/>
      <c r="I707" s="1264"/>
      <c r="J707" s="1265"/>
      <c r="K707" s="1265"/>
      <c r="L707" s="1265"/>
      <c r="M707" s="1265"/>
      <c r="N707" s="1265"/>
      <c r="O707" s="1265"/>
      <c r="P707" s="1265"/>
    </row>
    <row r="708" ht="17.25" customHeight="1">
      <c r="A708" s="1263"/>
      <c r="B708" s="1140"/>
      <c r="C708" s="1264"/>
      <c r="D708" s="1265"/>
      <c r="E708" s="1265"/>
      <c r="F708" s="1265"/>
      <c r="G708" s="1265"/>
      <c r="H708" s="1263"/>
      <c r="I708" s="1264"/>
      <c r="J708" s="1265"/>
      <c r="K708" s="1265"/>
      <c r="L708" s="1265"/>
      <c r="M708" s="1265"/>
      <c r="N708" s="1265"/>
      <c r="O708" s="1265"/>
      <c r="P708" s="1265"/>
    </row>
    <row r="709" ht="17.25" customHeight="1">
      <c r="A709" s="1263"/>
      <c r="B709" s="1140"/>
      <c r="C709" s="1264"/>
      <c r="D709" s="1265"/>
      <c r="E709" s="1265"/>
      <c r="F709" s="1265"/>
      <c r="G709" s="1265"/>
      <c r="H709" s="1263"/>
      <c r="I709" s="1264"/>
      <c r="J709" s="1265"/>
      <c r="K709" s="1265"/>
      <c r="L709" s="1265"/>
      <c r="M709" s="1265"/>
      <c r="N709" s="1265"/>
      <c r="O709" s="1265"/>
      <c r="P709" s="1265"/>
    </row>
    <row r="710" ht="17.25" customHeight="1">
      <c r="A710" s="1263"/>
      <c r="B710" s="1140"/>
      <c r="C710" s="1264"/>
      <c r="D710" s="1265"/>
      <c r="E710" s="1265"/>
      <c r="F710" s="1265"/>
      <c r="G710" s="1265"/>
      <c r="H710" s="1263"/>
      <c r="I710" s="1264"/>
      <c r="J710" s="1265"/>
      <c r="K710" s="1265"/>
      <c r="L710" s="1265"/>
      <c r="M710" s="1265"/>
      <c r="N710" s="1265"/>
      <c r="O710" s="1265"/>
      <c r="P710" s="1265"/>
    </row>
    <row r="711" ht="17.25" customHeight="1">
      <c r="A711" s="1263"/>
      <c r="B711" s="1140"/>
      <c r="C711" s="1264"/>
      <c r="D711" s="1265"/>
      <c r="E711" s="1265"/>
      <c r="F711" s="1265"/>
      <c r="G711" s="1265"/>
      <c r="H711" s="1263"/>
      <c r="I711" s="1264"/>
      <c r="J711" s="1265"/>
      <c r="K711" s="1265"/>
      <c r="L711" s="1265"/>
      <c r="M711" s="1265"/>
      <c r="N711" s="1265"/>
      <c r="O711" s="1265"/>
      <c r="P711" s="1265"/>
    </row>
    <row r="712" ht="17.25" customHeight="1">
      <c r="A712" s="1263"/>
      <c r="B712" s="1140"/>
      <c r="C712" s="1264"/>
      <c r="D712" s="1265"/>
      <c r="E712" s="1265"/>
      <c r="F712" s="1265"/>
      <c r="G712" s="1265"/>
      <c r="H712" s="1263"/>
      <c r="I712" s="1264"/>
      <c r="J712" s="1265"/>
      <c r="K712" s="1265"/>
      <c r="L712" s="1265"/>
      <c r="M712" s="1265"/>
      <c r="N712" s="1265"/>
      <c r="O712" s="1265"/>
      <c r="P712" s="1265"/>
    </row>
    <row r="713" ht="17.25" customHeight="1">
      <c r="A713" s="1263"/>
      <c r="B713" s="1140"/>
      <c r="C713" s="1264"/>
      <c r="D713" s="1265"/>
      <c r="E713" s="1265"/>
      <c r="F713" s="1265"/>
      <c r="G713" s="1265"/>
      <c r="H713" s="1263"/>
      <c r="I713" s="1264"/>
      <c r="J713" s="1265"/>
      <c r="K713" s="1265"/>
      <c r="L713" s="1265"/>
      <c r="M713" s="1265"/>
      <c r="N713" s="1265"/>
      <c r="O713" s="1265"/>
      <c r="P713" s="1265"/>
    </row>
    <row r="714" ht="17.25" customHeight="1">
      <c r="A714" s="1263"/>
      <c r="B714" s="1140"/>
      <c r="C714" s="1264"/>
      <c r="D714" s="1265"/>
      <c r="E714" s="1265"/>
      <c r="F714" s="1265"/>
      <c r="G714" s="1265"/>
      <c r="H714" s="1263"/>
      <c r="I714" s="1264"/>
      <c r="J714" s="1265"/>
      <c r="K714" s="1265"/>
      <c r="L714" s="1265"/>
      <c r="M714" s="1265"/>
      <c r="N714" s="1265"/>
      <c r="O714" s="1265"/>
      <c r="P714" s="1265"/>
    </row>
    <row r="715" ht="17.25" customHeight="1">
      <c r="A715" s="1263"/>
      <c r="B715" s="1140"/>
      <c r="C715" s="1264"/>
      <c r="D715" s="1265"/>
      <c r="E715" s="1265"/>
      <c r="F715" s="1265"/>
      <c r="G715" s="1265"/>
      <c r="H715" s="1263"/>
      <c r="I715" s="1264"/>
      <c r="J715" s="1265"/>
      <c r="K715" s="1265"/>
      <c r="L715" s="1265"/>
      <c r="M715" s="1265"/>
      <c r="N715" s="1265"/>
      <c r="O715" s="1265"/>
      <c r="P715" s="1265"/>
    </row>
    <row r="716" ht="17.25" customHeight="1">
      <c r="A716" s="1263"/>
      <c r="B716" s="1140"/>
      <c r="C716" s="1264"/>
      <c r="D716" s="1265"/>
      <c r="E716" s="1265"/>
      <c r="F716" s="1265"/>
      <c r="G716" s="1265"/>
      <c r="H716" s="1263"/>
      <c r="I716" s="1264"/>
      <c r="J716" s="1265"/>
      <c r="K716" s="1265"/>
      <c r="L716" s="1265"/>
      <c r="M716" s="1265"/>
      <c r="N716" s="1265"/>
      <c r="O716" s="1265"/>
      <c r="P716" s="1265"/>
    </row>
    <row r="717" ht="17.25" customHeight="1">
      <c r="A717" s="1263"/>
      <c r="B717" s="1140"/>
      <c r="C717" s="1264"/>
      <c r="D717" s="1265"/>
      <c r="E717" s="1265"/>
      <c r="F717" s="1265"/>
      <c r="G717" s="1265"/>
      <c r="H717" s="1263"/>
      <c r="I717" s="1264"/>
      <c r="J717" s="1265"/>
      <c r="K717" s="1265"/>
      <c r="L717" s="1265"/>
      <c r="M717" s="1265"/>
      <c r="N717" s="1265"/>
      <c r="O717" s="1265"/>
      <c r="P717" s="1265"/>
    </row>
    <row r="718" ht="17.25" customHeight="1">
      <c r="A718" s="1263"/>
      <c r="B718" s="1140"/>
      <c r="C718" s="1264"/>
      <c r="D718" s="1265"/>
      <c r="E718" s="1265"/>
      <c r="F718" s="1265"/>
      <c r="G718" s="1265"/>
      <c r="H718" s="1263"/>
      <c r="I718" s="1264"/>
      <c r="J718" s="1265"/>
      <c r="K718" s="1265"/>
      <c r="L718" s="1265"/>
      <c r="M718" s="1265"/>
      <c r="N718" s="1265"/>
      <c r="O718" s="1265"/>
      <c r="P718" s="1265"/>
    </row>
    <row r="719" ht="17.25" customHeight="1">
      <c r="A719" s="1263"/>
      <c r="B719" s="1140"/>
      <c r="C719" s="1264"/>
      <c r="D719" s="1265"/>
      <c r="E719" s="1265"/>
      <c r="F719" s="1265"/>
      <c r="G719" s="1265"/>
      <c r="H719" s="1263"/>
      <c r="I719" s="1264"/>
      <c r="J719" s="1265"/>
      <c r="K719" s="1265"/>
      <c r="L719" s="1265"/>
      <c r="M719" s="1265"/>
      <c r="N719" s="1265"/>
      <c r="O719" s="1265"/>
      <c r="P719" s="1265"/>
    </row>
    <row r="720" ht="17.25" customHeight="1">
      <c r="A720" s="1263"/>
      <c r="B720" s="1140"/>
      <c r="C720" s="1264"/>
      <c r="D720" s="1265"/>
      <c r="E720" s="1265"/>
      <c r="F720" s="1265"/>
      <c r="G720" s="1265"/>
      <c r="H720" s="1263"/>
      <c r="I720" s="1264"/>
      <c r="J720" s="1265"/>
      <c r="K720" s="1265"/>
      <c r="L720" s="1265"/>
      <c r="M720" s="1265"/>
      <c r="N720" s="1265"/>
      <c r="O720" s="1265"/>
      <c r="P720" s="1265"/>
    </row>
    <row r="721" ht="17.25" customHeight="1">
      <c r="A721" s="1263"/>
      <c r="B721" s="1140"/>
      <c r="C721" s="1264"/>
      <c r="D721" s="1265"/>
      <c r="E721" s="1265"/>
      <c r="F721" s="1265"/>
      <c r="G721" s="1265"/>
      <c r="H721" s="1263"/>
      <c r="I721" s="1264"/>
      <c r="J721" s="1265"/>
      <c r="K721" s="1265"/>
      <c r="L721" s="1265"/>
      <c r="M721" s="1265"/>
      <c r="N721" s="1265"/>
      <c r="O721" s="1265"/>
      <c r="P721" s="1265"/>
    </row>
    <row r="722" ht="17.25" customHeight="1">
      <c r="A722" s="1263"/>
      <c r="B722" s="1140"/>
      <c r="C722" s="1264"/>
      <c r="D722" s="1265"/>
      <c r="E722" s="1265"/>
      <c r="F722" s="1265"/>
      <c r="G722" s="1265"/>
      <c r="H722" s="1263"/>
      <c r="I722" s="1264"/>
      <c r="J722" s="1265"/>
      <c r="K722" s="1265"/>
      <c r="L722" s="1265"/>
      <c r="M722" s="1265"/>
      <c r="N722" s="1265"/>
      <c r="O722" s="1265"/>
      <c r="P722" s="1265"/>
    </row>
    <row r="723" ht="17.25" customHeight="1">
      <c r="A723" s="1263"/>
      <c r="B723" s="1140"/>
      <c r="C723" s="1264"/>
      <c r="D723" s="1265"/>
      <c r="E723" s="1265"/>
      <c r="F723" s="1265"/>
      <c r="G723" s="1265"/>
      <c r="H723" s="1263"/>
      <c r="I723" s="1264"/>
      <c r="J723" s="1265"/>
      <c r="K723" s="1265"/>
      <c r="L723" s="1265"/>
      <c r="M723" s="1265"/>
      <c r="N723" s="1265"/>
      <c r="O723" s="1265"/>
      <c r="P723" s="1265"/>
    </row>
    <row r="724" ht="17.25" customHeight="1">
      <c r="A724" s="1263"/>
      <c r="B724" s="1140"/>
      <c r="C724" s="1264"/>
      <c r="D724" s="1265"/>
      <c r="E724" s="1265"/>
      <c r="F724" s="1265"/>
      <c r="G724" s="1265"/>
      <c r="H724" s="1263"/>
      <c r="I724" s="1264"/>
      <c r="J724" s="1265"/>
      <c r="K724" s="1265"/>
      <c r="L724" s="1265"/>
      <c r="M724" s="1265"/>
      <c r="N724" s="1265"/>
      <c r="O724" s="1265"/>
      <c r="P724" s="1265"/>
    </row>
    <row r="725" ht="17.25" customHeight="1">
      <c r="A725" s="1263"/>
      <c r="B725" s="1140"/>
      <c r="C725" s="1264"/>
      <c r="D725" s="1265"/>
      <c r="E725" s="1265"/>
      <c r="F725" s="1265"/>
      <c r="G725" s="1265"/>
      <c r="H725" s="1263"/>
      <c r="I725" s="1264"/>
      <c r="J725" s="1265"/>
      <c r="K725" s="1265"/>
      <c r="L725" s="1265"/>
      <c r="M725" s="1265"/>
      <c r="N725" s="1265"/>
      <c r="O725" s="1265"/>
      <c r="P725" s="1265"/>
    </row>
    <row r="726" ht="17.25" customHeight="1">
      <c r="A726" s="1263"/>
      <c r="B726" s="1140"/>
      <c r="C726" s="1264"/>
      <c r="D726" s="1265"/>
      <c r="E726" s="1265"/>
      <c r="F726" s="1265"/>
      <c r="G726" s="1265"/>
      <c r="H726" s="1263"/>
      <c r="I726" s="1264"/>
      <c r="J726" s="1265"/>
      <c r="K726" s="1265"/>
      <c r="L726" s="1265"/>
      <c r="M726" s="1265"/>
      <c r="N726" s="1265"/>
      <c r="O726" s="1265"/>
      <c r="P726" s="1265"/>
    </row>
    <row r="727" ht="17.25" customHeight="1">
      <c r="A727" s="1263"/>
      <c r="B727" s="1140"/>
      <c r="C727" s="1264"/>
      <c r="D727" s="1265"/>
      <c r="E727" s="1265"/>
      <c r="F727" s="1265"/>
      <c r="G727" s="1265"/>
      <c r="H727" s="1263"/>
      <c r="I727" s="1264"/>
      <c r="J727" s="1265"/>
      <c r="K727" s="1265"/>
      <c r="L727" s="1265"/>
      <c r="M727" s="1265"/>
      <c r="N727" s="1265"/>
      <c r="O727" s="1265"/>
      <c r="P727" s="1265"/>
    </row>
    <row r="728" ht="17.25" customHeight="1">
      <c r="A728" s="1263"/>
      <c r="B728" s="1140"/>
      <c r="C728" s="1264"/>
      <c r="D728" s="1265"/>
      <c r="E728" s="1265"/>
      <c r="F728" s="1265"/>
      <c r="G728" s="1265"/>
      <c r="H728" s="1263"/>
      <c r="I728" s="1264"/>
      <c r="J728" s="1265"/>
      <c r="K728" s="1265"/>
      <c r="L728" s="1265"/>
      <c r="M728" s="1265"/>
      <c r="N728" s="1265"/>
      <c r="O728" s="1265"/>
      <c r="P728" s="1265"/>
    </row>
    <row r="729" ht="17.25" customHeight="1">
      <c r="A729" s="1263"/>
      <c r="B729" s="1140"/>
      <c r="C729" s="1264"/>
      <c r="D729" s="1265"/>
      <c r="E729" s="1265"/>
      <c r="F729" s="1265"/>
      <c r="G729" s="1265"/>
      <c r="H729" s="1263"/>
      <c r="I729" s="1264"/>
      <c r="J729" s="1265"/>
      <c r="K729" s="1265"/>
      <c r="L729" s="1265"/>
      <c r="M729" s="1265"/>
      <c r="N729" s="1265"/>
      <c r="O729" s="1265"/>
      <c r="P729" s="1265"/>
    </row>
    <row r="730" ht="17.25" customHeight="1">
      <c r="A730" s="1263"/>
      <c r="B730" s="1140"/>
      <c r="C730" s="1264"/>
      <c r="D730" s="1265"/>
      <c r="E730" s="1265"/>
      <c r="F730" s="1265"/>
      <c r="G730" s="1265"/>
      <c r="H730" s="1263"/>
      <c r="I730" s="1264"/>
      <c r="J730" s="1265"/>
      <c r="K730" s="1265"/>
      <c r="L730" s="1265"/>
      <c r="M730" s="1265"/>
      <c r="N730" s="1265"/>
      <c r="O730" s="1265"/>
      <c r="P730" s="1265"/>
    </row>
    <row r="731" ht="17.25" customHeight="1">
      <c r="A731" s="1263"/>
      <c r="B731" s="1140"/>
      <c r="C731" s="1264"/>
      <c r="D731" s="1265"/>
      <c r="E731" s="1265"/>
      <c r="F731" s="1265"/>
      <c r="G731" s="1265"/>
      <c r="H731" s="1263"/>
      <c r="I731" s="1264"/>
      <c r="J731" s="1265"/>
      <c r="K731" s="1265"/>
      <c r="L731" s="1265"/>
      <c r="M731" s="1265"/>
      <c r="N731" s="1265"/>
      <c r="O731" s="1265"/>
      <c r="P731" s="1265"/>
    </row>
    <row r="732" ht="17.25" customHeight="1">
      <c r="A732" s="1263"/>
      <c r="B732" s="1140"/>
      <c r="C732" s="1264"/>
      <c r="D732" s="1265"/>
      <c r="E732" s="1265"/>
      <c r="F732" s="1265"/>
      <c r="G732" s="1265"/>
      <c r="H732" s="1263"/>
      <c r="I732" s="1264"/>
      <c r="J732" s="1265"/>
      <c r="K732" s="1265"/>
      <c r="L732" s="1265"/>
      <c r="M732" s="1265"/>
      <c r="N732" s="1265"/>
      <c r="O732" s="1265"/>
      <c r="P732" s="1265"/>
    </row>
    <row r="733" ht="17.25" customHeight="1">
      <c r="A733" s="1263"/>
      <c r="B733" s="1140"/>
      <c r="C733" s="1264"/>
      <c r="D733" s="1265"/>
      <c r="E733" s="1265"/>
      <c r="F733" s="1265"/>
      <c r="G733" s="1265"/>
      <c r="H733" s="1263"/>
      <c r="I733" s="1264"/>
      <c r="J733" s="1265"/>
      <c r="K733" s="1265"/>
      <c r="L733" s="1265"/>
      <c r="M733" s="1265"/>
      <c r="N733" s="1265"/>
      <c r="O733" s="1265"/>
      <c r="P733" s="1265"/>
    </row>
    <row r="734" ht="17.25" customHeight="1">
      <c r="A734" s="1263"/>
      <c r="B734" s="1140"/>
      <c r="C734" s="1264"/>
      <c r="D734" s="1265"/>
      <c r="E734" s="1265"/>
      <c r="F734" s="1265"/>
      <c r="G734" s="1265"/>
      <c r="H734" s="1263"/>
      <c r="I734" s="1264"/>
      <c r="J734" s="1265"/>
      <c r="K734" s="1265"/>
      <c r="L734" s="1265"/>
      <c r="M734" s="1265"/>
      <c r="N734" s="1265"/>
      <c r="O734" s="1265"/>
      <c r="P734" s="1265"/>
    </row>
    <row r="735" ht="17.25" customHeight="1">
      <c r="A735" s="1263"/>
      <c r="B735" s="1140"/>
      <c r="C735" s="1264"/>
      <c r="D735" s="1265"/>
      <c r="E735" s="1265"/>
      <c r="F735" s="1265"/>
      <c r="G735" s="1265"/>
      <c r="H735" s="1263"/>
      <c r="I735" s="1264"/>
      <c r="J735" s="1265"/>
      <c r="K735" s="1265"/>
      <c r="L735" s="1265"/>
      <c r="M735" s="1265"/>
      <c r="N735" s="1265"/>
      <c r="O735" s="1265"/>
      <c r="P735" s="1265"/>
    </row>
    <row r="736" ht="17.25" customHeight="1">
      <c r="A736" s="1263"/>
      <c r="B736" s="1140"/>
      <c r="C736" s="1264"/>
      <c r="D736" s="1265"/>
      <c r="E736" s="1265"/>
      <c r="F736" s="1265"/>
      <c r="G736" s="1265"/>
      <c r="H736" s="1263"/>
      <c r="I736" s="1264"/>
      <c r="J736" s="1265"/>
      <c r="K736" s="1265"/>
      <c r="L736" s="1265"/>
      <c r="M736" s="1265"/>
      <c r="N736" s="1265"/>
      <c r="O736" s="1265"/>
      <c r="P736" s="1265"/>
    </row>
    <row r="737" ht="17.25" customHeight="1">
      <c r="A737" s="1263"/>
      <c r="B737" s="1140"/>
      <c r="C737" s="1264"/>
      <c r="D737" s="1265"/>
      <c r="E737" s="1265"/>
      <c r="F737" s="1265"/>
      <c r="G737" s="1265"/>
      <c r="H737" s="1263"/>
      <c r="I737" s="1264"/>
      <c r="J737" s="1265"/>
      <c r="K737" s="1265"/>
      <c r="L737" s="1265"/>
      <c r="M737" s="1265"/>
      <c r="N737" s="1265"/>
      <c r="O737" s="1265"/>
      <c r="P737" s="1265"/>
    </row>
    <row r="738" ht="17.25" customHeight="1">
      <c r="A738" s="1263"/>
      <c r="B738" s="1140"/>
      <c r="C738" s="1264"/>
      <c r="D738" s="1265"/>
      <c r="E738" s="1265"/>
      <c r="F738" s="1265"/>
      <c r="G738" s="1265"/>
      <c r="H738" s="1263"/>
      <c r="I738" s="1264"/>
      <c r="J738" s="1265"/>
      <c r="K738" s="1265"/>
      <c r="L738" s="1265"/>
      <c r="M738" s="1265"/>
      <c r="N738" s="1265"/>
      <c r="O738" s="1265"/>
      <c r="P738" s="1265"/>
    </row>
    <row r="739" ht="17.25" customHeight="1">
      <c r="A739" s="1263"/>
      <c r="B739" s="1140"/>
      <c r="C739" s="1264"/>
      <c r="D739" s="1265"/>
      <c r="E739" s="1265"/>
      <c r="F739" s="1265"/>
      <c r="G739" s="1265"/>
      <c r="H739" s="1263"/>
      <c r="I739" s="1264"/>
      <c r="J739" s="1265"/>
      <c r="K739" s="1265"/>
      <c r="L739" s="1265"/>
      <c r="M739" s="1265"/>
      <c r="N739" s="1265"/>
      <c r="O739" s="1265"/>
      <c r="P739" s="1265"/>
    </row>
    <row r="740" ht="17.25" customHeight="1">
      <c r="A740" s="1263"/>
      <c r="B740" s="1140"/>
      <c r="C740" s="1264"/>
      <c r="D740" s="1265"/>
      <c r="E740" s="1265"/>
      <c r="F740" s="1265"/>
      <c r="G740" s="1265"/>
      <c r="H740" s="1263"/>
      <c r="I740" s="1264"/>
      <c r="J740" s="1265"/>
      <c r="K740" s="1265"/>
      <c r="L740" s="1265"/>
      <c r="M740" s="1265"/>
      <c r="N740" s="1265"/>
      <c r="O740" s="1265"/>
      <c r="P740" s="1265"/>
    </row>
    <row r="741" ht="17.25" customHeight="1">
      <c r="A741" s="1263"/>
      <c r="B741" s="1140"/>
      <c r="C741" s="1264"/>
      <c r="D741" s="1265"/>
      <c r="E741" s="1265"/>
      <c r="F741" s="1265"/>
      <c r="G741" s="1265"/>
      <c r="H741" s="1263"/>
      <c r="I741" s="1264"/>
      <c r="J741" s="1265"/>
      <c r="K741" s="1265"/>
      <c r="L741" s="1265"/>
      <c r="M741" s="1265"/>
      <c r="N741" s="1265"/>
      <c r="O741" s="1265"/>
      <c r="P741" s="1265"/>
    </row>
    <row r="742" ht="17.25" customHeight="1">
      <c r="A742" s="1263"/>
      <c r="B742" s="1140"/>
      <c r="C742" s="1264"/>
      <c r="D742" s="1265"/>
      <c r="E742" s="1265"/>
      <c r="F742" s="1265"/>
      <c r="G742" s="1265"/>
      <c r="H742" s="1263"/>
      <c r="I742" s="1264"/>
      <c r="J742" s="1265"/>
      <c r="K742" s="1265"/>
      <c r="L742" s="1265"/>
      <c r="M742" s="1265"/>
      <c r="N742" s="1265"/>
      <c r="O742" s="1265"/>
      <c r="P742" s="1265"/>
    </row>
    <row r="743" ht="17.25" customHeight="1">
      <c r="A743" s="1263"/>
      <c r="B743" s="1140"/>
      <c r="C743" s="1264"/>
      <c r="D743" s="1265"/>
      <c r="E743" s="1265"/>
      <c r="F743" s="1265"/>
      <c r="G743" s="1265"/>
      <c r="H743" s="1263"/>
      <c r="I743" s="1264"/>
      <c r="J743" s="1265"/>
      <c r="K743" s="1265"/>
      <c r="L743" s="1265"/>
      <c r="M743" s="1265"/>
      <c r="N743" s="1265"/>
      <c r="O743" s="1265"/>
      <c r="P743" s="1265"/>
    </row>
    <row r="744" ht="17.25" customHeight="1">
      <c r="A744" s="1263"/>
      <c r="B744" s="1140"/>
      <c r="C744" s="1264"/>
      <c r="D744" s="1265"/>
      <c r="E744" s="1265"/>
      <c r="F744" s="1265"/>
      <c r="G744" s="1265"/>
      <c r="H744" s="1263"/>
      <c r="I744" s="1264"/>
      <c r="J744" s="1265"/>
      <c r="K744" s="1265"/>
      <c r="L744" s="1265"/>
      <c r="M744" s="1265"/>
      <c r="N744" s="1265"/>
      <c r="O744" s="1265"/>
      <c r="P744" s="1265"/>
    </row>
    <row r="745" ht="17.25" customHeight="1">
      <c r="A745" s="1263"/>
      <c r="B745" s="1140"/>
      <c r="C745" s="1264"/>
      <c r="D745" s="1265"/>
      <c r="E745" s="1265"/>
      <c r="F745" s="1265"/>
      <c r="G745" s="1265"/>
      <c r="H745" s="1263"/>
      <c r="I745" s="1264"/>
      <c r="J745" s="1265"/>
      <c r="K745" s="1265"/>
      <c r="L745" s="1265"/>
      <c r="M745" s="1265"/>
      <c r="N745" s="1265"/>
      <c r="O745" s="1265"/>
      <c r="P745" s="1265"/>
    </row>
    <row r="746" ht="17.25" customHeight="1">
      <c r="A746" s="1263"/>
      <c r="B746" s="1140"/>
      <c r="C746" s="1264"/>
      <c r="D746" s="1265"/>
      <c r="E746" s="1265"/>
      <c r="F746" s="1265"/>
      <c r="G746" s="1265"/>
      <c r="H746" s="1263"/>
      <c r="I746" s="1264"/>
      <c r="J746" s="1265"/>
      <c r="K746" s="1265"/>
      <c r="L746" s="1265"/>
      <c r="M746" s="1265"/>
      <c r="N746" s="1265"/>
      <c r="O746" s="1265"/>
      <c r="P746" s="1265"/>
    </row>
    <row r="747" ht="17.25" customHeight="1">
      <c r="A747" s="1263"/>
      <c r="B747" s="1140"/>
      <c r="C747" s="1264"/>
      <c r="D747" s="1265"/>
      <c r="E747" s="1265"/>
      <c r="F747" s="1265"/>
      <c r="G747" s="1265"/>
      <c r="H747" s="1263"/>
      <c r="I747" s="1264"/>
      <c r="J747" s="1265"/>
      <c r="K747" s="1265"/>
      <c r="L747" s="1265"/>
      <c r="M747" s="1265"/>
      <c r="N747" s="1265"/>
      <c r="O747" s="1265"/>
      <c r="P747" s="1265"/>
    </row>
    <row r="748" ht="17.25" customHeight="1">
      <c r="A748" s="1263"/>
      <c r="B748" s="1140"/>
      <c r="C748" s="1264"/>
      <c r="D748" s="1265"/>
      <c r="E748" s="1265"/>
      <c r="F748" s="1265"/>
      <c r="G748" s="1265"/>
      <c r="H748" s="1263"/>
      <c r="I748" s="1264"/>
      <c r="J748" s="1265"/>
      <c r="K748" s="1265"/>
      <c r="L748" s="1265"/>
      <c r="M748" s="1265"/>
      <c r="N748" s="1265"/>
      <c r="O748" s="1265"/>
      <c r="P748" s="1265"/>
    </row>
    <row r="749" ht="17.25" customHeight="1">
      <c r="A749" s="1263"/>
      <c r="B749" s="1140"/>
      <c r="C749" s="1264"/>
      <c r="D749" s="1265"/>
      <c r="E749" s="1265"/>
      <c r="F749" s="1265"/>
      <c r="G749" s="1265"/>
      <c r="H749" s="1263"/>
      <c r="I749" s="1264"/>
      <c r="J749" s="1265"/>
      <c r="K749" s="1265"/>
      <c r="L749" s="1265"/>
      <c r="M749" s="1265"/>
      <c r="N749" s="1265"/>
      <c r="O749" s="1265"/>
      <c r="P749" s="1265"/>
    </row>
    <row r="750" ht="17.25" customHeight="1">
      <c r="A750" s="1263"/>
      <c r="B750" s="1140"/>
      <c r="C750" s="1264"/>
      <c r="D750" s="1265"/>
      <c r="E750" s="1265"/>
      <c r="F750" s="1265"/>
      <c r="G750" s="1265"/>
      <c r="H750" s="1263"/>
      <c r="I750" s="1264"/>
      <c r="J750" s="1265"/>
      <c r="K750" s="1265"/>
      <c r="L750" s="1265"/>
      <c r="M750" s="1265"/>
      <c r="N750" s="1265"/>
      <c r="O750" s="1265"/>
      <c r="P750" s="1265"/>
    </row>
    <row r="751" ht="17.25" customHeight="1">
      <c r="A751" s="1263"/>
      <c r="B751" s="1140"/>
      <c r="C751" s="1264"/>
      <c r="D751" s="1265"/>
      <c r="E751" s="1265"/>
      <c r="F751" s="1265"/>
      <c r="G751" s="1265"/>
      <c r="H751" s="1263"/>
      <c r="I751" s="1264"/>
      <c r="J751" s="1265"/>
      <c r="K751" s="1265"/>
      <c r="L751" s="1265"/>
      <c r="M751" s="1265"/>
      <c r="N751" s="1265"/>
      <c r="O751" s="1265"/>
      <c r="P751" s="1265"/>
    </row>
    <row r="752" ht="17.25" customHeight="1">
      <c r="A752" s="1263"/>
      <c r="B752" s="1140"/>
      <c r="C752" s="1264"/>
      <c r="D752" s="1265"/>
      <c r="E752" s="1265"/>
      <c r="F752" s="1265"/>
      <c r="G752" s="1265"/>
      <c r="H752" s="1263"/>
      <c r="I752" s="1264"/>
      <c r="J752" s="1265"/>
      <c r="K752" s="1265"/>
      <c r="L752" s="1265"/>
      <c r="M752" s="1265"/>
      <c r="N752" s="1265"/>
      <c r="O752" s="1265"/>
      <c r="P752" s="1265"/>
    </row>
    <row r="753" ht="17.25" customHeight="1">
      <c r="A753" s="1263"/>
      <c r="B753" s="1140"/>
      <c r="C753" s="1264"/>
      <c r="D753" s="1265"/>
      <c r="E753" s="1265"/>
      <c r="F753" s="1265"/>
      <c r="G753" s="1265"/>
      <c r="H753" s="1263"/>
      <c r="I753" s="1264"/>
      <c r="J753" s="1265"/>
      <c r="K753" s="1265"/>
      <c r="L753" s="1265"/>
      <c r="M753" s="1265"/>
      <c r="N753" s="1265"/>
      <c r="O753" s="1265"/>
      <c r="P753" s="1265"/>
    </row>
    <row r="754" ht="17.25" customHeight="1">
      <c r="A754" s="1263"/>
      <c r="B754" s="1140"/>
      <c r="C754" s="1264"/>
      <c r="D754" s="1265"/>
      <c r="E754" s="1265"/>
      <c r="F754" s="1265"/>
      <c r="G754" s="1265"/>
      <c r="H754" s="1263"/>
      <c r="I754" s="1264"/>
      <c r="J754" s="1265"/>
      <c r="K754" s="1265"/>
      <c r="L754" s="1265"/>
      <c r="M754" s="1265"/>
      <c r="N754" s="1265"/>
      <c r="O754" s="1265"/>
      <c r="P754" s="1265"/>
    </row>
    <row r="755" ht="17.25" customHeight="1">
      <c r="A755" s="1263"/>
      <c r="B755" s="1140"/>
      <c r="C755" s="1264"/>
      <c r="D755" s="1265"/>
      <c r="E755" s="1265"/>
      <c r="F755" s="1265"/>
      <c r="G755" s="1265"/>
      <c r="H755" s="1263"/>
      <c r="I755" s="1264"/>
      <c r="J755" s="1265"/>
      <c r="K755" s="1265"/>
      <c r="L755" s="1265"/>
      <c r="M755" s="1265"/>
      <c r="N755" s="1265"/>
      <c r="O755" s="1265"/>
      <c r="P755" s="1265"/>
    </row>
    <row r="756" ht="17.25" customHeight="1">
      <c r="A756" s="1263"/>
      <c r="B756" s="1140"/>
      <c r="C756" s="1264"/>
      <c r="D756" s="1265"/>
      <c r="E756" s="1265"/>
      <c r="F756" s="1265"/>
      <c r="G756" s="1265"/>
      <c r="H756" s="1263"/>
      <c r="I756" s="1264"/>
      <c r="J756" s="1265"/>
      <c r="K756" s="1265"/>
      <c r="L756" s="1265"/>
      <c r="M756" s="1265"/>
      <c r="N756" s="1265"/>
      <c r="O756" s="1265"/>
      <c r="P756" s="1265"/>
    </row>
    <row r="757" ht="17.25" customHeight="1">
      <c r="A757" s="1263"/>
      <c r="B757" s="1140"/>
      <c r="C757" s="1264"/>
      <c r="D757" s="1265"/>
      <c r="E757" s="1265"/>
      <c r="F757" s="1265"/>
      <c r="G757" s="1265"/>
      <c r="H757" s="1263"/>
      <c r="I757" s="1264"/>
      <c r="J757" s="1265"/>
      <c r="K757" s="1265"/>
      <c r="L757" s="1265"/>
      <c r="M757" s="1265"/>
      <c r="N757" s="1265"/>
      <c r="O757" s="1265"/>
      <c r="P757" s="1265"/>
    </row>
    <row r="758" ht="17.25" customHeight="1">
      <c r="A758" s="1263"/>
      <c r="B758" s="1140"/>
      <c r="C758" s="1264"/>
      <c r="D758" s="1265"/>
      <c r="E758" s="1265"/>
      <c r="F758" s="1265"/>
      <c r="G758" s="1265"/>
      <c r="H758" s="1263"/>
      <c r="I758" s="1264"/>
      <c r="J758" s="1265"/>
      <c r="K758" s="1265"/>
      <c r="L758" s="1265"/>
      <c r="M758" s="1265"/>
      <c r="N758" s="1265"/>
      <c r="O758" s="1265"/>
      <c r="P758" s="1265"/>
    </row>
    <row r="759" ht="17.25" customHeight="1">
      <c r="A759" s="1263"/>
      <c r="B759" s="1140"/>
      <c r="C759" s="1264"/>
      <c r="D759" s="1265"/>
      <c r="E759" s="1265"/>
      <c r="F759" s="1265"/>
      <c r="G759" s="1265"/>
      <c r="H759" s="1263"/>
      <c r="I759" s="1264"/>
      <c r="J759" s="1265"/>
      <c r="K759" s="1265"/>
      <c r="L759" s="1265"/>
      <c r="M759" s="1265"/>
      <c r="N759" s="1265"/>
      <c r="O759" s="1265"/>
      <c r="P759" s="1265"/>
    </row>
    <row r="760" ht="17.25" customHeight="1">
      <c r="A760" s="1263"/>
      <c r="B760" s="1140"/>
      <c r="C760" s="1264"/>
      <c r="D760" s="1265"/>
      <c r="E760" s="1265"/>
      <c r="F760" s="1265"/>
      <c r="G760" s="1265"/>
      <c r="H760" s="1263"/>
      <c r="I760" s="1264"/>
      <c r="J760" s="1265"/>
      <c r="K760" s="1265"/>
      <c r="L760" s="1265"/>
      <c r="M760" s="1265"/>
      <c r="N760" s="1265"/>
      <c r="O760" s="1265"/>
      <c r="P760" s="1265"/>
    </row>
    <row r="761" ht="17.25" customHeight="1">
      <c r="A761" s="1263"/>
      <c r="B761" s="1140"/>
      <c r="C761" s="1264"/>
      <c r="D761" s="1265"/>
      <c r="E761" s="1265"/>
      <c r="F761" s="1265"/>
      <c r="G761" s="1265"/>
      <c r="H761" s="1263"/>
      <c r="I761" s="1264"/>
      <c r="J761" s="1265"/>
      <c r="K761" s="1265"/>
      <c r="L761" s="1265"/>
      <c r="M761" s="1265"/>
      <c r="N761" s="1265"/>
      <c r="O761" s="1265"/>
      <c r="P761" s="1265"/>
    </row>
    <row r="762" ht="17.25" customHeight="1">
      <c r="A762" s="1263"/>
      <c r="B762" s="1140"/>
      <c r="C762" s="1264"/>
      <c r="D762" s="1265"/>
      <c r="E762" s="1265"/>
      <c r="F762" s="1265"/>
      <c r="G762" s="1265"/>
      <c r="H762" s="1263"/>
      <c r="I762" s="1264"/>
      <c r="J762" s="1265"/>
      <c r="K762" s="1265"/>
      <c r="L762" s="1265"/>
      <c r="M762" s="1265"/>
      <c r="N762" s="1265"/>
      <c r="O762" s="1265"/>
      <c r="P762" s="1265"/>
    </row>
    <row r="763" ht="17.25" customHeight="1">
      <c r="A763" s="1263"/>
      <c r="B763" s="1140"/>
      <c r="C763" s="1264"/>
      <c r="D763" s="1265"/>
      <c r="E763" s="1265"/>
      <c r="F763" s="1265"/>
      <c r="G763" s="1265"/>
      <c r="H763" s="1263"/>
      <c r="I763" s="1264"/>
      <c r="J763" s="1265"/>
      <c r="K763" s="1265"/>
      <c r="L763" s="1265"/>
      <c r="M763" s="1265"/>
      <c r="N763" s="1265"/>
      <c r="O763" s="1265"/>
      <c r="P763" s="1265"/>
    </row>
    <row r="764" ht="17.25" customHeight="1">
      <c r="A764" s="1263"/>
      <c r="B764" s="1140"/>
      <c r="C764" s="1264"/>
      <c r="D764" s="1265"/>
      <c r="E764" s="1265"/>
      <c r="F764" s="1265"/>
      <c r="G764" s="1265"/>
      <c r="H764" s="1263"/>
      <c r="I764" s="1264"/>
      <c r="J764" s="1265"/>
      <c r="K764" s="1265"/>
      <c r="L764" s="1265"/>
      <c r="M764" s="1265"/>
      <c r="N764" s="1265"/>
      <c r="O764" s="1265"/>
      <c r="P764" s="1265"/>
    </row>
    <row r="765" ht="17.25" customHeight="1">
      <c r="A765" s="1263"/>
      <c r="B765" s="1140"/>
      <c r="C765" s="1264"/>
      <c r="D765" s="1265"/>
      <c r="E765" s="1265"/>
      <c r="F765" s="1265"/>
      <c r="G765" s="1265"/>
      <c r="H765" s="1263"/>
      <c r="I765" s="1264"/>
      <c r="J765" s="1265"/>
      <c r="K765" s="1265"/>
      <c r="L765" s="1265"/>
      <c r="M765" s="1265"/>
      <c r="N765" s="1265"/>
      <c r="O765" s="1265"/>
      <c r="P765" s="1265"/>
    </row>
    <row r="766" ht="17.25" customHeight="1">
      <c r="A766" s="1263"/>
      <c r="B766" s="1140"/>
      <c r="C766" s="1264"/>
      <c r="D766" s="1265"/>
      <c r="E766" s="1265"/>
      <c r="F766" s="1265"/>
      <c r="G766" s="1265"/>
      <c r="H766" s="1263"/>
      <c r="I766" s="1264"/>
      <c r="J766" s="1265"/>
      <c r="K766" s="1265"/>
      <c r="L766" s="1265"/>
      <c r="M766" s="1265"/>
      <c r="N766" s="1265"/>
      <c r="O766" s="1265"/>
      <c r="P766" s="1265"/>
    </row>
    <row r="767" ht="17.25" customHeight="1">
      <c r="A767" s="1263"/>
      <c r="B767" s="1140"/>
      <c r="C767" s="1264"/>
      <c r="D767" s="1265"/>
      <c r="E767" s="1265"/>
      <c r="F767" s="1265"/>
      <c r="G767" s="1265"/>
      <c r="H767" s="1263"/>
      <c r="I767" s="1264"/>
      <c r="J767" s="1265"/>
      <c r="K767" s="1265"/>
      <c r="L767" s="1265"/>
      <c r="M767" s="1265"/>
      <c r="N767" s="1265"/>
      <c r="O767" s="1265"/>
      <c r="P767" s="1265"/>
    </row>
    <row r="768" ht="17.25" customHeight="1">
      <c r="A768" s="1263"/>
      <c r="B768" s="1140"/>
      <c r="C768" s="1264"/>
      <c r="D768" s="1265"/>
      <c r="E768" s="1265"/>
      <c r="F768" s="1265"/>
      <c r="G768" s="1265"/>
      <c r="H768" s="1263"/>
      <c r="I768" s="1264"/>
      <c r="J768" s="1265"/>
      <c r="K768" s="1265"/>
      <c r="L768" s="1265"/>
      <c r="M768" s="1265"/>
      <c r="N768" s="1265"/>
      <c r="O768" s="1265"/>
      <c r="P768" s="1265"/>
    </row>
    <row r="769" ht="17.25" customHeight="1">
      <c r="A769" s="1263"/>
      <c r="B769" s="1140"/>
      <c r="C769" s="1264"/>
      <c r="D769" s="1265"/>
      <c r="E769" s="1265"/>
      <c r="F769" s="1265"/>
      <c r="G769" s="1265"/>
      <c r="H769" s="1263"/>
      <c r="I769" s="1264"/>
      <c r="J769" s="1265"/>
      <c r="K769" s="1265"/>
      <c r="L769" s="1265"/>
      <c r="M769" s="1265"/>
      <c r="N769" s="1265"/>
      <c r="O769" s="1265"/>
      <c r="P769" s="1265"/>
    </row>
    <row r="770" ht="17.25" customHeight="1">
      <c r="A770" s="1263"/>
      <c r="B770" s="1140"/>
      <c r="C770" s="1264"/>
      <c r="D770" s="1265"/>
      <c r="E770" s="1265"/>
      <c r="F770" s="1265"/>
      <c r="G770" s="1265"/>
      <c r="H770" s="1263"/>
      <c r="I770" s="1264"/>
      <c r="J770" s="1265"/>
      <c r="K770" s="1265"/>
      <c r="L770" s="1265"/>
      <c r="M770" s="1265"/>
      <c r="N770" s="1265"/>
      <c r="O770" s="1265"/>
      <c r="P770" s="1265"/>
    </row>
    <row r="771" ht="17.25" customHeight="1">
      <c r="A771" s="1263"/>
      <c r="B771" s="1140"/>
      <c r="C771" s="1264"/>
      <c r="D771" s="1265"/>
      <c r="E771" s="1265"/>
      <c r="F771" s="1265"/>
      <c r="G771" s="1265"/>
      <c r="H771" s="1263"/>
      <c r="I771" s="1264"/>
      <c r="J771" s="1265"/>
      <c r="K771" s="1265"/>
      <c r="L771" s="1265"/>
      <c r="M771" s="1265"/>
      <c r="N771" s="1265"/>
      <c r="O771" s="1265"/>
      <c r="P771" s="1265"/>
    </row>
    <row r="772" ht="17.25" customHeight="1">
      <c r="A772" s="1263"/>
      <c r="B772" s="1140"/>
      <c r="C772" s="1264"/>
      <c r="D772" s="1265"/>
      <c r="E772" s="1265"/>
      <c r="F772" s="1265"/>
      <c r="G772" s="1265"/>
      <c r="H772" s="1263"/>
      <c r="I772" s="1264"/>
      <c r="J772" s="1265"/>
      <c r="K772" s="1265"/>
      <c r="L772" s="1265"/>
      <c r="M772" s="1265"/>
      <c r="N772" s="1265"/>
      <c r="O772" s="1265"/>
      <c r="P772" s="1265"/>
    </row>
    <row r="773" ht="17.25" customHeight="1">
      <c r="A773" s="1263"/>
      <c r="B773" s="1140"/>
      <c r="C773" s="1264"/>
      <c r="D773" s="1265"/>
      <c r="E773" s="1265"/>
      <c r="F773" s="1265"/>
      <c r="G773" s="1265"/>
      <c r="H773" s="1263"/>
      <c r="I773" s="1264"/>
      <c r="J773" s="1265"/>
      <c r="K773" s="1265"/>
      <c r="L773" s="1265"/>
      <c r="M773" s="1265"/>
      <c r="N773" s="1265"/>
      <c r="O773" s="1265"/>
      <c r="P773" s="1265"/>
    </row>
    <row r="774" ht="17.25" customHeight="1">
      <c r="A774" s="1263"/>
      <c r="B774" s="1140"/>
      <c r="C774" s="1264"/>
      <c r="D774" s="1265"/>
      <c r="E774" s="1265"/>
      <c r="F774" s="1265"/>
      <c r="G774" s="1265"/>
      <c r="H774" s="1263"/>
      <c r="I774" s="1264"/>
      <c r="J774" s="1265"/>
      <c r="K774" s="1265"/>
      <c r="L774" s="1265"/>
      <c r="M774" s="1265"/>
      <c r="N774" s="1265"/>
      <c r="O774" s="1265"/>
      <c r="P774" s="1265"/>
    </row>
    <row r="775" ht="17.25" customHeight="1">
      <c r="A775" s="1263"/>
      <c r="B775" s="1140"/>
      <c r="C775" s="1264"/>
      <c r="D775" s="1265"/>
      <c r="E775" s="1265"/>
      <c r="F775" s="1265"/>
      <c r="G775" s="1265"/>
      <c r="H775" s="1263"/>
      <c r="I775" s="1264"/>
      <c r="J775" s="1265"/>
      <c r="K775" s="1265"/>
      <c r="L775" s="1265"/>
      <c r="M775" s="1265"/>
      <c r="N775" s="1265"/>
      <c r="O775" s="1265"/>
      <c r="P775" s="1265"/>
    </row>
    <row r="776" ht="17.25" customHeight="1">
      <c r="A776" s="1263"/>
      <c r="B776" s="1140"/>
      <c r="C776" s="1264"/>
      <c r="D776" s="1265"/>
      <c r="E776" s="1265"/>
      <c r="F776" s="1265"/>
      <c r="G776" s="1265"/>
      <c r="H776" s="1263"/>
      <c r="I776" s="1264"/>
      <c r="J776" s="1265"/>
      <c r="K776" s="1265"/>
      <c r="L776" s="1265"/>
      <c r="M776" s="1265"/>
      <c r="N776" s="1265"/>
      <c r="O776" s="1265"/>
      <c r="P776" s="1265"/>
    </row>
    <row r="777" ht="17.25" customHeight="1">
      <c r="A777" s="1263"/>
      <c r="B777" s="1140"/>
      <c r="C777" s="1264"/>
      <c r="D777" s="1265"/>
      <c r="E777" s="1265"/>
      <c r="F777" s="1265"/>
      <c r="G777" s="1265"/>
      <c r="H777" s="1263"/>
      <c r="I777" s="1264"/>
      <c r="J777" s="1265"/>
      <c r="K777" s="1265"/>
      <c r="L777" s="1265"/>
      <c r="M777" s="1265"/>
      <c r="N777" s="1265"/>
      <c r="O777" s="1265"/>
      <c r="P777" s="1265"/>
    </row>
    <row r="778" ht="17.25" customHeight="1">
      <c r="A778" s="1263"/>
      <c r="B778" s="1140"/>
      <c r="C778" s="1264"/>
      <c r="D778" s="1265"/>
      <c r="E778" s="1265"/>
      <c r="F778" s="1265"/>
      <c r="G778" s="1265"/>
      <c r="H778" s="1263"/>
      <c r="I778" s="1264"/>
      <c r="J778" s="1265"/>
      <c r="K778" s="1265"/>
      <c r="L778" s="1265"/>
      <c r="M778" s="1265"/>
      <c r="N778" s="1265"/>
      <c r="O778" s="1265"/>
      <c r="P778" s="1265"/>
    </row>
    <row r="779" ht="17.25" customHeight="1">
      <c r="A779" s="1263"/>
      <c r="B779" s="1140"/>
      <c r="C779" s="1264"/>
      <c r="D779" s="1265"/>
      <c r="E779" s="1265"/>
      <c r="F779" s="1265"/>
      <c r="G779" s="1265"/>
      <c r="H779" s="1263"/>
      <c r="I779" s="1264"/>
      <c r="J779" s="1265"/>
      <c r="K779" s="1265"/>
      <c r="L779" s="1265"/>
      <c r="M779" s="1265"/>
      <c r="N779" s="1265"/>
      <c r="O779" s="1265"/>
      <c r="P779" s="1265"/>
    </row>
    <row r="780" ht="17.25" customHeight="1">
      <c r="A780" s="1263"/>
      <c r="B780" s="1140"/>
      <c r="C780" s="1264"/>
      <c r="D780" s="1265"/>
      <c r="E780" s="1265"/>
      <c r="F780" s="1265"/>
      <c r="G780" s="1265"/>
      <c r="H780" s="1263"/>
      <c r="I780" s="1264"/>
      <c r="J780" s="1265"/>
      <c r="K780" s="1265"/>
      <c r="L780" s="1265"/>
      <c r="M780" s="1265"/>
      <c r="N780" s="1265"/>
      <c r="O780" s="1265"/>
      <c r="P780" s="1265"/>
    </row>
    <row r="781" ht="17.25" customHeight="1">
      <c r="A781" s="1263"/>
      <c r="B781" s="1140"/>
      <c r="C781" s="1264"/>
      <c r="D781" s="1265"/>
      <c r="E781" s="1265"/>
      <c r="F781" s="1265"/>
      <c r="G781" s="1265"/>
      <c r="H781" s="1263"/>
      <c r="I781" s="1264"/>
      <c r="J781" s="1265"/>
      <c r="K781" s="1265"/>
      <c r="L781" s="1265"/>
      <c r="M781" s="1265"/>
      <c r="N781" s="1265"/>
      <c r="O781" s="1265"/>
      <c r="P781" s="1265"/>
    </row>
    <row r="782" ht="17.25" customHeight="1">
      <c r="A782" s="1263"/>
      <c r="B782" s="1140"/>
      <c r="C782" s="1264"/>
      <c r="D782" s="1265"/>
      <c r="E782" s="1265"/>
      <c r="F782" s="1265"/>
      <c r="G782" s="1265"/>
      <c r="H782" s="1263"/>
      <c r="I782" s="1264"/>
      <c r="J782" s="1265"/>
      <c r="K782" s="1265"/>
      <c r="L782" s="1265"/>
      <c r="M782" s="1265"/>
      <c r="N782" s="1265"/>
      <c r="O782" s="1265"/>
      <c r="P782" s="1265"/>
    </row>
    <row r="783" ht="17.25" customHeight="1">
      <c r="A783" s="1263"/>
      <c r="B783" s="1140"/>
      <c r="C783" s="1264"/>
      <c r="D783" s="1265"/>
      <c r="E783" s="1265"/>
      <c r="F783" s="1265"/>
      <c r="G783" s="1265"/>
      <c r="H783" s="1263"/>
      <c r="I783" s="1264"/>
      <c r="J783" s="1265"/>
      <c r="K783" s="1265"/>
      <c r="L783" s="1265"/>
      <c r="M783" s="1265"/>
      <c r="N783" s="1265"/>
      <c r="O783" s="1265"/>
      <c r="P783" s="1265"/>
    </row>
    <row r="784" ht="17.25" customHeight="1">
      <c r="A784" s="1263"/>
      <c r="B784" s="1140"/>
      <c r="C784" s="1264"/>
      <c r="D784" s="1265"/>
      <c r="E784" s="1265"/>
      <c r="F784" s="1265"/>
      <c r="G784" s="1265"/>
      <c r="H784" s="1263"/>
      <c r="I784" s="1264"/>
      <c r="J784" s="1265"/>
      <c r="K784" s="1265"/>
      <c r="L784" s="1265"/>
      <c r="M784" s="1265"/>
      <c r="N784" s="1265"/>
      <c r="O784" s="1265"/>
      <c r="P784" s="1265"/>
    </row>
    <row r="785" ht="17.25" customHeight="1">
      <c r="A785" s="1263"/>
      <c r="B785" s="1140"/>
      <c r="C785" s="1264"/>
      <c r="D785" s="1265"/>
      <c r="E785" s="1265"/>
      <c r="F785" s="1265"/>
      <c r="G785" s="1265"/>
      <c r="H785" s="1263"/>
      <c r="I785" s="1264"/>
      <c r="J785" s="1265"/>
      <c r="K785" s="1265"/>
      <c r="L785" s="1265"/>
      <c r="M785" s="1265"/>
      <c r="N785" s="1265"/>
      <c r="O785" s="1265"/>
      <c r="P785" s="1265"/>
    </row>
    <row r="786" ht="17.25" customHeight="1">
      <c r="A786" s="1263"/>
      <c r="B786" s="1140"/>
      <c r="C786" s="1264"/>
      <c r="D786" s="1265"/>
      <c r="E786" s="1265"/>
      <c r="F786" s="1265"/>
      <c r="G786" s="1265"/>
      <c r="H786" s="1263"/>
      <c r="I786" s="1264"/>
      <c r="J786" s="1265"/>
      <c r="K786" s="1265"/>
      <c r="L786" s="1265"/>
      <c r="M786" s="1265"/>
      <c r="N786" s="1265"/>
      <c r="O786" s="1265"/>
      <c r="P786" s="1265"/>
    </row>
    <row r="787" ht="17.25" customHeight="1">
      <c r="A787" s="1263"/>
      <c r="B787" s="1140"/>
      <c r="C787" s="1264"/>
      <c r="D787" s="1265"/>
      <c r="E787" s="1265"/>
      <c r="F787" s="1265"/>
      <c r="G787" s="1265"/>
      <c r="H787" s="1263"/>
      <c r="I787" s="1264"/>
      <c r="J787" s="1265"/>
      <c r="K787" s="1265"/>
      <c r="L787" s="1265"/>
      <c r="M787" s="1265"/>
      <c r="N787" s="1265"/>
      <c r="O787" s="1265"/>
      <c r="P787" s="1265"/>
    </row>
    <row r="788" ht="17.25" customHeight="1">
      <c r="A788" s="1263"/>
      <c r="B788" s="1140"/>
      <c r="C788" s="1264"/>
      <c r="D788" s="1265"/>
      <c r="E788" s="1265"/>
      <c r="F788" s="1265"/>
      <c r="G788" s="1265"/>
      <c r="H788" s="1263"/>
      <c r="I788" s="1264"/>
      <c r="J788" s="1265"/>
      <c r="K788" s="1265"/>
      <c r="L788" s="1265"/>
      <c r="M788" s="1265"/>
      <c r="N788" s="1265"/>
      <c r="O788" s="1265"/>
      <c r="P788" s="1265"/>
    </row>
    <row r="789" ht="17.25" customHeight="1">
      <c r="A789" s="1263"/>
      <c r="B789" s="1140"/>
      <c r="C789" s="1264"/>
      <c r="D789" s="1265"/>
      <c r="E789" s="1265"/>
      <c r="F789" s="1265"/>
      <c r="G789" s="1265"/>
      <c r="H789" s="1263"/>
      <c r="I789" s="1264"/>
      <c r="J789" s="1265"/>
      <c r="K789" s="1265"/>
      <c r="L789" s="1265"/>
      <c r="M789" s="1265"/>
      <c r="N789" s="1265"/>
      <c r="O789" s="1265"/>
      <c r="P789" s="1265"/>
    </row>
    <row r="790" ht="17.25" customHeight="1">
      <c r="A790" s="1263"/>
      <c r="B790" s="1140"/>
      <c r="C790" s="1264"/>
      <c r="D790" s="1265"/>
      <c r="E790" s="1265"/>
      <c r="F790" s="1265"/>
      <c r="G790" s="1265"/>
      <c r="H790" s="1263"/>
      <c r="I790" s="1264"/>
      <c r="J790" s="1265"/>
      <c r="K790" s="1265"/>
      <c r="L790" s="1265"/>
      <c r="M790" s="1265"/>
      <c r="N790" s="1265"/>
      <c r="O790" s="1265"/>
      <c r="P790" s="1265"/>
    </row>
    <row r="791" ht="17.25" customHeight="1">
      <c r="A791" s="1263"/>
      <c r="B791" s="1140"/>
      <c r="C791" s="1264"/>
      <c r="D791" s="1265"/>
      <c r="E791" s="1265"/>
      <c r="F791" s="1265"/>
      <c r="G791" s="1265"/>
      <c r="H791" s="1263"/>
      <c r="I791" s="1264"/>
      <c r="J791" s="1265"/>
      <c r="K791" s="1265"/>
      <c r="L791" s="1265"/>
      <c r="M791" s="1265"/>
      <c r="N791" s="1265"/>
      <c r="O791" s="1265"/>
      <c r="P791" s="1265"/>
    </row>
    <row r="792" ht="17.25" customHeight="1">
      <c r="A792" s="1263"/>
      <c r="B792" s="1140"/>
      <c r="C792" s="1264"/>
      <c r="D792" s="1265"/>
      <c r="E792" s="1265"/>
      <c r="F792" s="1265"/>
      <c r="G792" s="1265"/>
      <c r="H792" s="1263"/>
      <c r="I792" s="1264"/>
      <c r="J792" s="1265"/>
      <c r="K792" s="1265"/>
      <c r="L792" s="1265"/>
      <c r="M792" s="1265"/>
      <c r="N792" s="1265"/>
      <c r="O792" s="1265"/>
      <c r="P792" s="1265"/>
    </row>
    <row r="793" ht="17.25" customHeight="1">
      <c r="A793" s="1263"/>
      <c r="B793" s="1140"/>
      <c r="C793" s="1264"/>
      <c r="D793" s="1265"/>
      <c r="E793" s="1265"/>
      <c r="F793" s="1265"/>
      <c r="G793" s="1265"/>
      <c r="H793" s="1263"/>
      <c r="I793" s="1264"/>
      <c r="J793" s="1265"/>
      <c r="K793" s="1265"/>
      <c r="L793" s="1265"/>
      <c r="M793" s="1265"/>
      <c r="N793" s="1265"/>
      <c r="O793" s="1265"/>
      <c r="P793" s="1265"/>
    </row>
    <row r="794" ht="17.25" customHeight="1">
      <c r="A794" s="1263"/>
      <c r="B794" s="1140"/>
      <c r="C794" s="1264"/>
      <c r="D794" s="1265"/>
      <c r="E794" s="1265"/>
      <c r="F794" s="1265"/>
      <c r="G794" s="1265"/>
      <c r="H794" s="1263"/>
      <c r="I794" s="1264"/>
      <c r="J794" s="1265"/>
      <c r="K794" s="1265"/>
      <c r="L794" s="1265"/>
      <c r="M794" s="1265"/>
      <c r="N794" s="1265"/>
      <c r="O794" s="1265"/>
      <c r="P794" s="1265"/>
    </row>
    <row r="795" ht="17.25" customHeight="1">
      <c r="A795" s="1263"/>
      <c r="B795" s="1140"/>
      <c r="C795" s="1264"/>
      <c r="D795" s="1265"/>
      <c r="E795" s="1265"/>
      <c r="F795" s="1265"/>
      <c r="G795" s="1265"/>
      <c r="H795" s="1263"/>
      <c r="I795" s="1264"/>
      <c r="J795" s="1265"/>
      <c r="K795" s="1265"/>
      <c r="L795" s="1265"/>
      <c r="M795" s="1265"/>
      <c r="N795" s="1265"/>
      <c r="O795" s="1265"/>
      <c r="P795" s="1265"/>
    </row>
    <row r="796" ht="17.25" customHeight="1">
      <c r="A796" s="1263"/>
      <c r="B796" s="1140"/>
      <c r="C796" s="1264"/>
      <c r="D796" s="1265"/>
      <c r="E796" s="1265"/>
      <c r="F796" s="1265"/>
      <c r="G796" s="1265"/>
      <c r="H796" s="1263"/>
      <c r="I796" s="1264"/>
      <c r="J796" s="1265"/>
      <c r="K796" s="1265"/>
      <c r="L796" s="1265"/>
      <c r="M796" s="1265"/>
      <c r="N796" s="1265"/>
      <c r="O796" s="1265"/>
      <c r="P796" s="1265"/>
    </row>
    <row r="797" ht="17.25" customHeight="1">
      <c r="A797" s="1263"/>
      <c r="B797" s="1140"/>
      <c r="C797" s="1264"/>
      <c r="D797" s="1265"/>
      <c r="E797" s="1265"/>
      <c r="F797" s="1265"/>
      <c r="G797" s="1265"/>
      <c r="H797" s="1263"/>
      <c r="I797" s="1264"/>
      <c r="J797" s="1265"/>
      <c r="K797" s="1265"/>
      <c r="L797" s="1265"/>
      <c r="M797" s="1265"/>
      <c r="N797" s="1265"/>
      <c r="O797" s="1265"/>
      <c r="P797" s="1265"/>
    </row>
    <row r="798" ht="17.25" customHeight="1">
      <c r="A798" s="1263"/>
      <c r="B798" s="1140"/>
      <c r="C798" s="1264"/>
      <c r="D798" s="1265"/>
      <c r="E798" s="1265"/>
      <c r="F798" s="1265"/>
      <c r="G798" s="1265"/>
      <c r="H798" s="1263"/>
      <c r="I798" s="1264"/>
      <c r="J798" s="1265"/>
      <c r="K798" s="1265"/>
      <c r="L798" s="1265"/>
      <c r="M798" s="1265"/>
      <c r="N798" s="1265"/>
      <c r="O798" s="1265"/>
      <c r="P798" s="1265"/>
    </row>
    <row r="799" ht="17.25" customHeight="1">
      <c r="A799" s="1263"/>
      <c r="B799" s="1140"/>
      <c r="C799" s="1264"/>
      <c r="D799" s="1265"/>
      <c r="E799" s="1265"/>
      <c r="F799" s="1265"/>
      <c r="G799" s="1265"/>
      <c r="H799" s="1263"/>
      <c r="I799" s="1264"/>
      <c r="J799" s="1265"/>
      <c r="K799" s="1265"/>
      <c r="L799" s="1265"/>
      <c r="M799" s="1265"/>
      <c r="N799" s="1265"/>
      <c r="O799" s="1265"/>
      <c r="P799" s="1265"/>
    </row>
    <row r="800" ht="17.25" customHeight="1">
      <c r="A800" s="1263"/>
      <c r="B800" s="1140"/>
      <c r="C800" s="1264"/>
      <c r="D800" s="1265"/>
      <c r="E800" s="1265"/>
      <c r="F800" s="1265"/>
      <c r="G800" s="1265"/>
      <c r="H800" s="1263"/>
      <c r="I800" s="1264"/>
      <c r="J800" s="1265"/>
      <c r="K800" s="1265"/>
      <c r="L800" s="1265"/>
      <c r="M800" s="1265"/>
      <c r="N800" s="1265"/>
      <c r="O800" s="1265"/>
      <c r="P800" s="1265"/>
    </row>
    <row r="801" ht="17.25" customHeight="1">
      <c r="A801" s="1263"/>
      <c r="B801" s="1140"/>
      <c r="C801" s="1264"/>
      <c r="D801" s="1265"/>
      <c r="E801" s="1265"/>
      <c r="F801" s="1265"/>
      <c r="G801" s="1265"/>
      <c r="H801" s="1263"/>
      <c r="I801" s="1264"/>
      <c r="J801" s="1265"/>
      <c r="K801" s="1265"/>
      <c r="L801" s="1265"/>
      <c r="M801" s="1265"/>
      <c r="N801" s="1265"/>
      <c r="O801" s="1265"/>
      <c r="P801" s="1265"/>
    </row>
    <row r="802" ht="17.25" customHeight="1">
      <c r="A802" s="1263"/>
      <c r="B802" s="1140"/>
      <c r="C802" s="1264"/>
      <c r="D802" s="1265"/>
      <c r="E802" s="1265"/>
      <c r="F802" s="1265"/>
      <c r="G802" s="1265"/>
      <c r="H802" s="1263"/>
      <c r="I802" s="1264"/>
      <c r="J802" s="1265"/>
      <c r="K802" s="1265"/>
      <c r="L802" s="1265"/>
      <c r="M802" s="1265"/>
      <c r="N802" s="1265"/>
      <c r="O802" s="1265"/>
      <c r="P802" s="1265"/>
    </row>
    <row r="803" ht="17.25" customHeight="1">
      <c r="A803" s="1263"/>
      <c r="B803" s="1140"/>
      <c r="C803" s="1264"/>
      <c r="D803" s="1265"/>
      <c r="E803" s="1265"/>
      <c r="F803" s="1265"/>
      <c r="G803" s="1265"/>
      <c r="H803" s="1263"/>
      <c r="I803" s="1264"/>
      <c r="J803" s="1265"/>
      <c r="K803" s="1265"/>
      <c r="L803" s="1265"/>
      <c r="M803" s="1265"/>
      <c r="N803" s="1265"/>
      <c r="O803" s="1265"/>
      <c r="P803" s="1265"/>
    </row>
    <row r="804" ht="17.25" customHeight="1">
      <c r="A804" s="1263"/>
      <c r="B804" s="1140"/>
      <c r="C804" s="1264"/>
      <c r="D804" s="1265"/>
      <c r="E804" s="1265"/>
      <c r="F804" s="1265"/>
      <c r="G804" s="1265"/>
      <c r="H804" s="1263"/>
      <c r="I804" s="1264"/>
      <c r="J804" s="1265"/>
      <c r="K804" s="1265"/>
      <c r="L804" s="1265"/>
      <c r="M804" s="1265"/>
      <c r="N804" s="1265"/>
      <c r="O804" s="1265"/>
      <c r="P804" s="1265"/>
    </row>
    <row r="805" ht="17.25" customHeight="1">
      <c r="A805" s="1263"/>
      <c r="B805" s="1140"/>
      <c r="C805" s="1264"/>
      <c r="D805" s="1265"/>
      <c r="E805" s="1265"/>
      <c r="F805" s="1265"/>
      <c r="G805" s="1265"/>
      <c r="H805" s="1263"/>
      <c r="I805" s="1264"/>
      <c r="J805" s="1265"/>
      <c r="K805" s="1265"/>
      <c r="L805" s="1265"/>
      <c r="M805" s="1265"/>
      <c r="N805" s="1265"/>
      <c r="O805" s="1265"/>
      <c r="P805" s="1265"/>
    </row>
    <row r="806" ht="17.25" customHeight="1">
      <c r="A806" s="1263"/>
      <c r="B806" s="1140"/>
      <c r="C806" s="1264"/>
      <c r="D806" s="1265"/>
      <c r="E806" s="1265"/>
      <c r="F806" s="1265"/>
      <c r="G806" s="1265"/>
      <c r="H806" s="1263"/>
      <c r="I806" s="1264"/>
      <c r="J806" s="1265"/>
      <c r="K806" s="1265"/>
      <c r="L806" s="1265"/>
      <c r="M806" s="1265"/>
      <c r="N806" s="1265"/>
      <c r="O806" s="1265"/>
      <c r="P806" s="1265"/>
    </row>
    <row r="807" ht="17.25" customHeight="1">
      <c r="A807" s="1263"/>
      <c r="B807" s="1140"/>
      <c r="C807" s="1264"/>
      <c r="D807" s="1265"/>
      <c r="E807" s="1265"/>
      <c r="F807" s="1265"/>
      <c r="G807" s="1265"/>
      <c r="H807" s="1263"/>
      <c r="I807" s="1264"/>
      <c r="J807" s="1265"/>
      <c r="K807" s="1265"/>
      <c r="L807" s="1265"/>
      <c r="M807" s="1265"/>
      <c r="N807" s="1265"/>
      <c r="O807" s="1265"/>
      <c r="P807" s="1265"/>
    </row>
    <row r="808" ht="17.25" customHeight="1">
      <c r="A808" s="1263"/>
      <c r="B808" s="1140"/>
      <c r="C808" s="1264"/>
      <c r="D808" s="1265"/>
      <c r="E808" s="1265"/>
      <c r="F808" s="1265"/>
      <c r="G808" s="1265"/>
      <c r="H808" s="1263"/>
      <c r="I808" s="1264"/>
      <c r="J808" s="1265"/>
      <c r="K808" s="1265"/>
      <c r="L808" s="1265"/>
      <c r="M808" s="1265"/>
      <c r="N808" s="1265"/>
      <c r="O808" s="1265"/>
      <c r="P808" s="1265"/>
    </row>
    <row r="809" ht="17.25" customHeight="1">
      <c r="A809" s="1263"/>
      <c r="B809" s="1140"/>
      <c r="C809" s="1264"/>
      <c r="D809" s="1265"/>
      <c r="E809" s="1265"/>
      <c r="F809" s="1265"/>
      <c r="G809" s="1265"/>
      <c r="H809" s="1263"/>
      <c r="I809" s="1264"/>
      <c r="J809" s="1265"/>
      <c r="K809" s="1265"/>
      <c r="L809" s="1265"/>
      <c r="M809" s="1265"/>
      <c r="N809" s="1265"/>
      <c r="O809" s="1265"/>
      <c r="P809" s="1265"/>
    </row>
    <row r="810" ht="17.25" customHeight="1">
      <c r="A810" s="1263"/>
      <c r="B810" s="1140"/>
      <c r="C810" s="1264"/>
      <c r="D810" s="1265"/>
      <c r="E810" s="1265"/>
      <c r="F810" s="1265"/>
      <c r="G810" s="1265"/>
      <c r="H810" s="1263"/>
      <c r="I810" s="1264"/>
      <c r="J810" s="1265"/>
      <c r="K810" s="1265"/>
      <c r="L810" s="1265"/>
      <c r="M810" s="1265"/>
      <c r="N810" s="1265"/>
      <c r="O810" s="1265"/>
      <c r="P810" s="1265"/>
    </row>
    <row r="811" ht="17.25" customHeight="1">
      <c r="A811" s="1263"/>
      <c r="B811" s="1140"/>
      <c r="C811" s="1264"/>
      <c r="D811" s="1265"/>
      <c r="E811" s="1265"/>
      <c r="F811" s="1265"/>
      <c r="G811" s="1265"/>
      <c r="H811" s="1263"/>
      <c r="I811" s="1264"/>
      <c r="J811" s="1265"/>
      <c r="K811" s="1265"/>
      <c r="L811" s="1265"/>
      <c r="M811" s="1265"/>
      <c r="N811" s="1265"/>
      <c r="O811" s="1265"/>
      <c r="P811" s="1265"/>
    </row>
    <row r="812" ht="17.25" customHeight="1">
      <c r="A812" s="1263"/>
      <c r="B812" s="1140"/>
      <c r="C812" s="1264"/>
      <c r="D812" s="1265"/>
      <c r="E812" s="1265"/>
      <c r="F812" s="1265"/>
      <c r="G812" s="1265"/>
      <c r="H812" s="1263"/>
      <c r="I812" s="1264"/>
      <c r="J812" s="1265"/>
      <c r="K812" s="1265"/>
      <c r="L812" s="1265"/>
      <c r="M812" s="1265"/>
      <c r="N812" s="1265"/>
      <c r="O812" s="1265"/>
      <c r="P812" s="1265"/>
    </row>
    <row r="813" ht="17.25" customHeight="1">
      <c r="A813" s="1263"/>
      <c r="B813" s="1140"/>
      <c r="C813" s="1264"/>
      <c r="D813" s="1265"/>
      <c r="E813" s="1265"/>
      <c r="F813" s="1265"/>
      <c r="G813" s="1265"/>
      <c r="H813" s="1263"/>
      <c r="I813" s="1264"/>
      <c r="J813" s="1265"/>
      <c r="K813" s="1265"/>
      <c r="L813" s="1265"/>
      <c r="M813" s="1265"/>
      <c r="N813" s="1265"/>
      <c r="O813" s="1265"/>
      <c r="P813" s="1265"/>
    </row>
    <row r="814" ht="17.25" customHeight="1">
      <c r="A814" s="1263"/>
      <c r="B814" s="1140"/>
      <c r="C814" s="1264"/>
      <c r="D814" s="1265"/>
      <c r="E814" s="1265"/>
      <c r="F814" s="1265"/>
      <c r="G814" s="1265"/>
      <c r="H814" s="1263"/>
      <c r="I814" s="1264"/>
      <c r="J814" s="1265"/>
      <c r="K814" s="1265"/>
      <c r="L814" s="1265"/>
      <c r="M814" s="1265"/>
      <c r="N814" s="1265"/>
      <c r="O814" s="1265"/>
      <c r="P814" s="1265"/>
    </row>
    <row r="815" ht="17.25" customHeight="1">
      <c r="A815" s="1263"/>
      <c r="B815" s="1140"/>
      <c r="C815" s="1264"/>
      <c r="D815" s="1265"/>
      <c r="E815" s="1265"/>
      <c r="F815" s="1265"/>
      <c r="G815" s="1265"/>
      <c r="H815" s="1263"/>
      <c r="I815" s="1264"/>
      <c r="J815" s="1265"/>
      <c r="K815" s="1265"/>
      <c r="L815" s="1265"/>
      <c r="M815" s="1265"/>
      <c r="N815" s="1265"/>
      <c r="O815" s="1265"/>
      <c r="P815" s="1265"/>
    </row>
    <row r="816" ht="17.25" customHeight="1">
      <c r="A816" s="1263"/>
      <c r="B816" s="1140"/>
      <c r="C816" s="1264"/>
      <c r="D816" s="1265"/>
      <c r="E816" s="1265"/>
      <c r="F816" s="1265"/>
      <c r="G816" s="1265"/>
      <c r="H816" s="1263"/>
      <c r="I816" s="1264"/>
      <c r="J816" s="1265"/>
      <c r="K816" s="1265"/>
      <c r="L816" s="1265"/>
      <c r="M816" s="1265"/>
      <c r="N816" s="1265"/>
      <c r="O816" s="1265"/>
      <c r="P816" s="1265"/>
    </row>
    <row r="817" ht="17.25" customHeight="1">
      <c r="A817" s="1263"/>
      <c r="B817" s="1140"/>
      <c r="C817" s="1264"/>
      <c r="D817" s="1265"/>
      <c r="E817" s="1265"/>
      <c r="F817" s="1265"/>
      <c r="G817" s="1265"/>
      <c r="H817" s="1263"/>
      <c r="I817" s="1264"/>
      <c r="J817" s="1265"/>
      <c r="K817" s="1265"/>
      <c r="L817" s="1265"/>
      <c r="M817" s="1265"/>
      <c r="N817" s="1265"/>
      <c r="O817" s="1265"/>
      <c r="P817" s="1265"/>
    </row>
    <row r="818" ht="17.25" customHeight="1">
      <c r="A818" s="1263"/>
      <c r="B818" s="1140"/>
      <c r="C818" s="1264"/>
      <c r="D818" s="1265"/>
      <c r="E818" s="1265"/>
      <c r="F818" s="1265"/>
      <c r="G818" s="1265"/>
      <c r="H818" s="1263"/>
      <c r="I818" s="1264"/>
      <c r="J818" s="1265"/>
      <c r="K818" s="1265"/>
      <c r="L818" s="1265"/>
      <c r="M818" s="1265"/>
      <c r="N818" s="1265"/>
      <c r="O818" s="1265"/>
      <c r="P818" s="1265"/>
    </row>
    <row r="819" ht="17.25" customHeight="1">
      <c r="A819" s="1263"/>
      <c r="B819" s="1140"/>
      <c r="C819" s="1264"/>
      <c r="D819" s="1265"/>
      <c r="E819" s="1265"/>
      <c r="F819" s="1265"/>
      <c r="G819" s="1265"/>
      <c r="H819" s="1263"/>
      <c r="I819" s="1264"/>
      <c r="J819" s="1265"/>
      <c r="K819" s="1265"/>
      <c r="L819" s="1265"/>
      <c r="M819" s="1265"/>
      <c r="N819" s="1265"/>
      <c r="O819" s="1265"/>
      <c r="P819" s="1265"/>
    </row>
    <row r="820" ht="17.25" customHeight="1">
      <c r="A820" s="1263"/>
      <c r="B820" s="1140"/>
      <c r="C820" s="1264"/>
      <c r="D820" s="1265"/>
      <c r="E820" s="1265"/>
      <c r="F820" s="1265"/>
      <c r="G820" s="1265"/>
      <c r="H820" s="1263"/>
      <c r="I820" s="1264"/>
      <c r="J820" s="1265"/>
      <c r="K820" s="1265"/>
      <c r="L820" s="1265"/>
      <c r="M820" s="1265"/>
      <c r="N820" s="1265"/>
      <c r="O820" s="1265"/>
      <c r="P820" s="1265"/>
    </row>
    <row r="821" ht="17.25" customHeight="1">
      <c r="A821" s="1263"/>
      <c r="B821" s="1140"/>
      <c r="C821" s="1264"/>
      <c r="D821" s="1265"/>
      <c r="E821" s="1265"/>
      <c r="F821" s="1265"/>
      <c r="G821" s="1265"/>
      <c r="H821" s="1263"/>
      <c r="I821" s="1264"/>
      <c r="J821" s="1265"/>
      <c r="K821" s="1265"/>
      <c r="L821" s="1265"/>
      <c r="M821" s="1265"/>
      <c r="N821" s="1265"/>
      <c r="O821" s="1265"/>
      <c r="P821" s="1265"/>
    </row>
    <row r="822" ht="17.25" customHeight="1">
      <c r="A822" s="1263"/>
      <c r="B822" s="1140"/>
      <c r="C822" s="1264"/>
      <c r="D822" s="1265"/>
      <c r="E822" s="1265"/>
      <c r="F822" s="1265"/>
      <c r="G822" s="1265"/>
      <c r="H822" s="1263"/>
      <c r="I822" s="1264"/>
      <c r="J822" s="1265"/>
      <c r="K822" s="1265"/>
      <c r="L822" s="1265"/>
      <c r="M822" s="1265"/>
      <c r="N822" s="1265"/>
      <c r="O822" s="1265"/>
      <c r="P822" s="1265"/>
    </row>
    <row r="823" ht="17.25" customHeight="1">
      <c r="A823" s="1263"/>
      <c r="B823" s="1140"/>
      <c r="C823" s="1264"/>
      <c r="D823" s="1265"/>
      <c r="E823" s="1265"/>
      <c r="F823" s="1265"/>
      <c r="G823" s="1265"/>
      <c r="H823" s="1263"/>
      <c r="I823" s="1264"/>
      <c r="J823" s="1265"/>
      <c r="K823" s="1265"/>
      <c r="L823" s="1265"/>
      <c r="M823" s="1265"/>
      <c r="N823" s="1265"/>
      <c r="O823" s="1265"/>
      <c r="P823" s="1265"/>
    </row>
    <row r="824" ht="17.25" customHeight="1">
      <c r="A824" s="1263"/>
      <c r="B824" s="1140"/>
      <c r="C824" s="1264"/>
      <c r="D824" s="1265"/>
      <c r="E824" s="1265"/>
      <c r="F824" s="1265"/>
      <c r="G824" s="1265"/>
      <c r="H824" s="1263"/>
      <c r="I824" s="1264"/>
      <c r="J824" s="1265"/>
      <c r="K824" s="1265"/>
      <c r="L824" s="1265"/>
      <c r="M824" s="1265"/>
      <c r="N824" s="1265"/>
      <c r="O824" s="1265"/>
      <c r="P824" s="1265"/>
    </row>
    <row r="825" ht="17.25" customHeight="1">
      <c r="A825" s="1263"/>
      <c r="B825" s="1140"/>
      <c r="C825" s="1264"/>
      <c r="D825" s="1265"/>
      <c r="E825" s="1265"/>
      <c r="F825" s="1265"/>
      <c r="G825" s="1265"/>
      <c r="H825" s="1263"/>
      <c r="I825" s="1264"/>
      <c r="J825" s="1265"/>
      <c r="K825" s="1265"/>
      <c r="L825" s="1265"/>
      <c r="M825" s="1265"/>
      <c r="N825" s="1265"/>
      <c r="O825" s="1265"/>
      <c r="P825" s="1265"/>
    </row>
    <row r="826" ht="17.25" customHeight="1">
      <c r="A826" s="1263"/>
      <c r="B826" s="1140"/>
      <c r="C826" s="1264"/>
      <c r="D826" s="1265"/>
      <c r="E826" s="1265"/>
      <c r="F826" s="1265"/>
      <c r="G826" s="1265"/>
      <c r="H826" s="1263"/>
      <c r="I826" s="1264"/>
      <c r="J826" s="1265"/>
      <c r="K826" s="1265"/>
      <c r="L826" s="1265"/>
      <c r="M826" s="1265"/>
      <c r="N826" s="1265"/>
      <c r="O826" s="1265"/>
      <c r="P826" s="1265"/>
    </row>
    <row r="827" ht="17.25" customHeight="1">
      <c r="A827" s="1263"/>
      <c r="B827" s="1140"/>
      <c r="C827" s="1264"/>
      <c r="D827" s="1265"/>
      <c r="E827" s="1265"/>
      <c r="F827" s="1265"/>
      <c r="G827" s="1265"/>
      <c r="H827" s="1263"/>
      <c r="I827" s="1264"/>
      <c r="J827" s="1265"/>
      <c r="K827" s="1265"/>
      <c r="L827" s="1265"/>
      <c r="M827" s="1265"/>
      <c r="N827" s="1265"/>
      <c r="O827" s="1265"/>
      <c r="P827" s="1265"/>
    </row>
    <row r="828" ht="17.25" customHeight="1">
      <c r="A828" s="1263"/>
      <c r="B828" s="1140"/>
      <c r="C828" s="1264"/>
      <c r="D828" s="1265"/>
      <c r="E828" s="1265"/>
      <c r="F828" s="1265"/>
      <c r="G828" s="1265"/>
      <c r="H828" s="1263"/>
      <c r="I828" s="1264"/>
      <c r="J828" s="1265"/>
      <c r="K828" s="1265"/>
      <c r="L828" s="1265"/>
      <c r="M828" s="1265"/>
      <c r="N828" s="1265"/>
      <c r="O828" s="1265"/>
      <c r="P828" s="1265"/>
    </row>
    <row r="829" ht="17.25" customHeight="1">
      <c r="A829" s="1263"/>
      <c r="B829" s="1140"/>
      <c r="C829" s="1264"/>
      <c r="D829" s="1265"/>
      <c r="E829" s="1265"/>
      <c r="F829" s="1265"/>
      <c r="G829" s="1265"/>
      <c r="H829" s="1263"/>
      <c r="I829" s="1264"/>
      <c r="J829" s="1265"/>
      <c r="K829" s="1265"/>
      <c r="L829" s="1265"/>
      <c r="M829" s="1265"/>
      <c r="N829" s="1265"/>
      <c r="O829" s="1265"/>
      <c r="P829" s="1265"/>
    </row>
    <row r="830" ht="17.25" customHeight="1">
      <c r="A830" s="1263"/>
      <c r="B830" s="1140"/>
      <c r="C830" s="1264"/>
      <c r="D830" s="1265"/>
      <c r="E830" s="1265"/>
      <c r="F830" s="1265"/>
      <c r="G830" s="1265"/>
      <c r="H830" s="1263"/>
      <c r="I830" s="1264"/>
      <c r="J830" s="1265"/>
      <c r="K830" s="1265"/>
      <c r="L830" s="1265"/>
      <c r="M830" s="1265"/>
      <c r="N830" s="1265"/>
      <c r="O830" s="1265"/>
      <c r="P830" s="1265"/>
    </row>
    <row r="831" ht="17.25" customHeight="1">
      <c r="A831" s="1263"/>
      <c r="B831" s="1140"/>
      <c r="C831" s="1264"/>
      <c r="D831" s="1265"/>
      <c r="E831" s="1265"/>
      <c r="F831" s="1265"/>
      <c r="G831" s="1265"/>
      <c r="H831" s="1263"/>
      <c r="I831" s="1264"/>
      <c r="J831" s="1265"/>
      <c r="K831" s="1265"/>
      <c r="L831" s="1265"/>
      <c r="M831" s="1265"/>
      <c r="N831" s="1265"/>
      <c r="O831" s="1265"/>
      <c r="P831" s="1265"/>
    </row>
    <row r="832" ht="17.25" customHeight="1">
      <c r="A832" s="1263"/>
      <c r="B832" s="1140"/>
      <c r="C832" s="1264"/>
      <c r="D832" s="1265"/>
      <c r="E832" s="1265"/>
      <c r="F832" s="1265"/>
      <c r="G832" s="1265"/>
      <c r="H832" s="1263"/>
      <c r="I832" s="1264"/>
      <c r="J832" s="1265"/>
      <c r="K832" s="1265"/>
      <c r="L832" s="1265"/>
      <c r="M832" s="1265"/>
      <c r="N832" s="1265"/>
      <c r="O832" s="1265"/>
      <c r="P832" s="1265"/>
    </row>
    <row r="833" ht="17.25" customHeight="1">
      <c r="A833" s="1263"/>
      <c r="B833" s="1140"/>
      <c r="C833" s="1264"/>
      <c r="D833" s="1265"/>
      <c r="E833" s="1265"/>
      <c r="F833" s="1265"/>
      <c r="G833" s="1265"/>
      <c r="H833" s="1263"/>
      <c r="I833" s="1264"/>
      <c r="J833" s="1265"/>
      <c r="K833" s="1265"/>
      <c r="L833" s="1265"/>
      <c r="M833" s="1265"/>
      <c r="N833" s="1265"/>
      <c r="O833" s="1265"/>
      <c r="P833" s="1265"/>
    </row>
    <row r="834" ht="17.25" customHeight="1">
      <c r="A834" s="1263"/>
      <c r="B834" s="1140"/>
      <c r="C834" s="1264"/>
      <c r="D834" s="1265"/>
      <c r="E834" s="1265"/>
      <c r="F834" s="1265"/>
      <c r="G834" s="1265"/>
      <c r="H834" s="1263"/>
      <c r="I834" s="1264"/>
      <c r="J834" s="1265"/>
      <c r="K834" s="1265"/>
      <c r="L834" s="1265"/>
      <c r="M834" s="1265"/>
      <c r="N834" s="1265"/>
      <c r="O834" s="1265"/>
      <c r="P834" s="1265"/>
    </row>
    <row r="835" ht="17.25" customHeight="1">
      <c r="A835" s="1263"/>
      <c r="B835" s="1140"/>
      <c r="C835" s="1264"/>
      <c r="D835" s="1265"/>
      <c r="E835" s="1265"/>
      <c r="F835" s="1265"/>
      <c r="G835" s="1265"/>
      <c r="H835" s="1263"/>
      <c r="I835" s="1264"/>
      <c r="J835" s="1265"/>
      <c r="K835" s="1265"/>
      <c r="L835" s="1265"/>
      <c r="M835" s="1265"/>
      <c r="N835" s="1265"/>
      <c r="O835" s="1265"/>
      <c r="P835" s="1265"/>
    </row>
    <row r="836" ht="17.25" customHeight="1">
      <c r="A836" s="1263"/>
      <c r="B836" s="1140"/>
      <c r="C836" s="1264"/>
      <c r="D836" s="1265"/>
      <c r="E836" s="1265"/>
      <c r="F836" s="1265"/>
      <c r="G836" s="1265"/>
      <c r="H836" s="1263"/>
      <c r="I836" s="1264"/>
      <c r="J836" s="1265"/>
      <c r="K836" s="1265"/>
      <c r="L836" s="1265"/>
      <c r="M836" s="1265"/>
      <c r="N836" s="1265"/>
      <c r="O836" s="1265"/>
      <c r="P836" s="1265"/>
    </row>
    <row r="837" ht="17.25" customHeight="1">
      <c r="A837" s="1263"/>
      <c r="B837" s="1140"/>
      <c r="C837" s="1264"/>
      <c r="D837" s="1265"/>
      <c r="E837" s="1265"/>
      <c r="F837" s="1265"/>
      <c r="G837" s="1265"/>
      <c r="H837" s="1263"/>
      <c r="I837" s="1264"/>
      <c r="J837" s="1265"/>
      <c r="K837" s="1265"/>
      <c r="L837" s="1265"/>
      <c r="M837" s="1265"/>
      <c r="N837" s="1265"/>
      <c r="O837" s="1265"/>
      <c r="P837" s="1265"/>
    </row>
    <row r="838" ht="17.25" customHeight="1">
      <c r="A838" s="1263"/>
      <c r="B838" s="1140"/>
      <c r="C838" s="1264"/>
      <c r="D838" s="1265"/>
      <c r="E838" s="1265"/>
      <c r="F838" s="1265"/>
      <c r="G838" s="1265"/>
      <c r="H838" s="1263"/>
      <c r="I838" s="1264"/>
      <c r="J838" s="1265"/>
      <c r="K838" s="1265"/>
      <c r="L838" s="1265"/>
      <c r="M838" s="1265"/>
      <c r="N838" s="1265"/>
      <c r="O838" s="1265"/>
      <c r="P838" s="1265"/>
    </row>
    <row r="839" ht="17.25" customHeight="1">
      <c r="A839" s="1263"/>
      <c r="B839" s="1140"/>
      <c r="C839" s="1264"/>
      <c r="D839" s="1265"/>
      <c r="E839" s="1265"/>
      <c r="F839" s="1265"/>
      <c r="G839" s="1265"/>
      <c r="H839" s="1263"/>
      <c r="I839" s="1264"/>
      <c r="J839" s="1265"/>
      <c r="K839" s="1265"/>
      <c r="L839" s="1265"/>
      <c r="M839" s="1265"/>
      <c r="N839" s="1265"/>
      <c r="O839" s="1265"/>
      <c r="P839" s="1265"/>
    </row>
    <row r="840" ht="17.25" customHeight="1">
      <c r="A840" s="1263"/>
      <c r="B840" s="1140"/>
      <c r="C840" s="1264"/>
      <c r="D840" s="1265"/>
      <c r="E840" s="1265"/>
      <c r="F840" s="1265"/>
      <c r="G840" s="1265"/>
      <c r="H840" s="1263"/>
      <c r="I840" s="1264"/>
      <c r="J840" s="1265"/>
      <c r="K840" s="1265"/>
      <c r="L840" s="1265"/>
      <c r="M840" s="1265"/>
      <c r="N840" s="1265"/>
      <c r="O840" s="1265"/>
      <c r="P840" s="1265"/>
    </row>
    <row r="841" ht="17.25" customHeight="1">
      <c r="A841" s="1263"/>
      <c r="B841" s="1140"/>
      <c r="C841" s="1264"/>
      <c r="D841" s="1265"/>
      <c r="E841" s="1265"/>
      <c r="F841" s="1265"/>
      <c r="G841" s="1265"/>
      <c r="H841" s="1263"/>
      <c r="I841" s="1264"/>
      <c r="J841" s="1265"/>
      <c r="K841" s="1265"/>
      <c r="L841" s="1265"/>
      <c r="M841" s="1265"/>
      <c r="N841" s="1265"/>
      <c r="O841" s="1265"/>
      <c r="P841" s="1265"/>
    </row>
    <row r="842" ht="17.25" customHeight="1">
      <c r="A842" s="1263"/>
      <c r="B842" s="1140"/>
      <c r="C842" s="1264"/>
      <c r="D842" s="1265"/>
      <c r="E842" s="1265"/>
      <c r="F842" s="1265"/>
      <c r="G842" s="1265"/>
      <c r="H842" s="1263"/>
      <c r="I842" s="1264"/>
      <c r="J842" s="1265"/>
      <c r="K842" s="1265"/>
      <c r="L842" s="1265"/>
      <c r="M842" s="1265"/>
      <c r="N842" s="1265"/>
      <c r="O842" s="1265"/>
      <c r="P842" s="1265"/>
    </row>
    <row r="843" ht="17.25" customHeight="1">
      <c r="A843" s="1263"/>
      <c r="B843" s="1140"/>
      <c r="C843" s="1264"/>
      <c r="D843" s="1265"/>
      <c r="E843" s="1265"/>
      <c r="F843" s="1265"/>
      <c r="G843" s="1265"/>
      <c r="H843" s="1263"/>
      <c r="I843" s="1264"/>
      <c r="J843" s="1265"/>
      <c r="K843" s="1265"/>
      <c r="L843" s="1265"/>
      <c r="M843" s="1265"/>
      <c r="N843" s="1265"/>
      <c r="O843" s="1265"/>
      <c r="P843" s="1265"/>
    </row>
    <row r="844" ht="17.25" customHeight="1">
      <c r="A844" s="1263"/>
      <c r="B844" s="1140"/>
      <c r="C844" s="1264"/>
      <c r="D844" s="1265"/>
      <c r="E844" s="1265"/>
      <c r="F844" s="1265"/>
      <c r="G844" s="1265"/>
      <c r="H844" s="1263"/>
      <c r="I844" s="1264"/>
      <c r="J844" s="1265"/>
      <c r="K844" s="1265"/>
      <c r="L844" s="1265"/>
      <c r="M844" s="1265"/>
      <c r="N844" s="1265"/>
      <c r="O844" s="1265"/>
      <c r="P844" s="1265"/>
    </row>
    <row r="845" ht="17.25" customHeight="1">
      <c r="A845" s="1263"/>
      <c r="B845" s="1140"/>
      <c r="C845" s="1264"/>
      <c r="D845" s="1265"/>
      <c r="E845" s="1265"/>
      <c r="F845" s="1265"/>
      <c r="G845" s="1265"/>
      <c r="H845" s="1263"/>
      <c r="I845" s="1264"/>
      <c r="J845" s="1265"/>
      <c r="K845" s="1265"/>
      <c r="L845" s="1265"/>
      <c r="M845" s="1265"/>
      <c r="N845" s="1265"/>
      <c r="O845" s="1265"/>
      <c r="P845" s="1265"/>
    </row>
    <row r="846" ht="17.25" customHeight="1">
      <c r="A846" s="1263"/>
      <c r="B846" s="1140"/>
      <c r="C846" s="1264"/>
      <c r="D846" s="1265"/>
      <c r="E846" s="1265"/>
      <c r="F846" s="1265"/>
      <c r="G846" s="1265"/>
      <c r="H846" s="1263"/>
      <c r="I846" s="1264"/>
      <c r="J846" s="1265"/>
      <c r="K846" s="1265"/>
      <c r="L846" s="1265"/>
      <c r="M846" s="1265"/>
      <c r="N846" s="1265"/>
      <c r="O846" s="1265"/>
      <c r="P846" s="1265"/>
    </row>
    <row r="847" ht="17.25" customHeight="1">
      <c r="A847" s="1263"/>
      <c r="B847" s="1140"/>
      <c r="C847" s="1264"/>
      <c r="D847" s="1265"/>
      <c r="E847" s="1265"/>
      <c r="F847" s="1265"/>
      <c r="G847" s="1265"/>
      <c r="H847" s="1263"/>
      <c r="I847" s="1264"/>
      <c r="J847" s="1265"/>
      <c r="K847" s="1265"/>
      <c r="L847" s="1265"/>
      <c r="M847" s="1265"/>
      <c r="N847" s="1265"/>
      <c r="O847" s="1265"/>
      <c r="P847" s="1265"/>
    </row>
    <row r="848" ht="17.25" customHeight="1">
      <c r="A848" s="1263"/>
      <c r="B848" s="1140"/>
      <c r="C848" s="1264"/>
      <c r="D848" s="1265"/>
      <c r="E848" s="1265"/>
      <c r="F848" s="1265"/>
      <c r="G848" s="1265"/>
      <c r="H848" s="1263"/>
      <c r="I848" s="1264"/>
      <c r="J848" s="1265"/>
      <c r="K848" s="1265"/>
      <c r="L848" s="1265"/>
      <c r="M848" s="1265"/>
      <c r="N848" s="1265"/>
      <c r="O848" s="1265"/>
      <c r="P848" s="1265"/>
    </row>
    <row r="849" ht="17.25" customHeight="1">
      <c r="A849" s="1263"/>
      <c r="B849" s="1140"/>
      <c r="C849" s="1264"/>
      <c r="D849" s="1265"/>
      <c r="E849" s="1265"/>
      <c r="F849" s="1265"/>
      <c r="G849" s="1265"/>
      <c r="H849" s="1263"/>
      <c r="I849" s="1264"/>
      <c r="J849" s="1265"/>
      <c r="K849" s="1265"/>
      <c r="L849" s="1265"/>
      <c r="M849" s="1265"/>
      <c r="N849" s="1265"/>
      <c r="O849" s="1265"/>
      <c r="P849" s="1265"/>
    </row>
    <row r="850" ht="17.25" customHeight="1">
      <c r="A850" s="1263"/>
      <c r="B850" s="1140"/>
      <c r="C850" s="1264"/>
      <c r="D850" s="1265"/>
      <c r="E850" s="1265"/>
      <c r="F850" s="1265"/>
      <c r="G850" s="1265"/>
      <c r="H850" s="1263"/>
      <c r="I850" s="1264"/>
      <c r="J850" s="1265"/>
      <c r="K850" s="1265"/>
      <c r="L850" s="1265"/>
      <c r="M850" s="1265"/>
      <c r="N850" s="1265"/>
      <c r="O850" s="1265"/>
      <c r="P850" s="1265"/>
    </row>
    <row r="851" ht="17.25" customHeight="1">
      <c r="A851" s="1263"/>
      <c r="B851" s="1140"/>
      <c r="C851" s="1264"/>
      <c r="D851" s="1265"/>
      <c r="E851" s="1265"/>
      <c r="F851" s="1265"/>
      <c r="G851" s="1265"/>
      <c r="H851" s="1263"/>
      <c r="I851" s="1264"/>
      <c r="J851" s="1265"/>
      <c r="K851" s="1265"/>
      <c r="L851" s="1265"/>
      <c r="M851" s="1265"/>
      <c r="N851" s="1265"/>
      <c r="O851" s="1265"/>
      <c r="P851" s="1265"/>
    </row>
    <row r="852" ht="17.25" customHeight="1">
      <c r="A852" s="1263"/>
      <c r="B852" s="1140"/>
      <c r="C852" s="1264"/>
      <c r="D852" s="1265"/>
      <c r="E852" s="1265"/>
      <c r="F852" s="1265"/>
      <c r="G852" s="1265"/>
      <c r="H852" s="1263"/>
      <c r="I852" s="1264"/>
      <c r="J852" s="1265"/>
      <c r="K852" s="1265"/>
      <c r="L852" s="1265"/>
      <c r="M852" s="1265"/>
      <c r="N852" s="1265"/>
      <c r="O852" s="1265"/>
      <c r="P852" s="1265"/>
    </row>
    <row r="853" ht="17.25" customHeight="1">
      <c r="A853" s="1263"/>
      <c r="B853" s="1140"/>
      <c r="C853" s="1264"/>
      <c r="D853" s="1265"/>
      <c r="E853" s="1265"/>
      <c r="F853" s="1265"/>
      <c r="G853" s="1265"/>
      <c r="H853" s="1263"/>
      <c r="I853" s="1264"/>
      <c r="J853" s="1265"/>
      <c r="K853" s="1265"/>
      <c r="L853" s="1265"/>
      <c r="M853" s="1265"/>
      <c r="N853" s="1265"/>
      <c r="O853" s="1265"/>
      <c r="P853" s="1265"/>
    </row>
    <row r="854" ht="17.25" customHeight="1">
      <c r="A854" s="1263"/>
      <c r="B854" s="1140"/>
      <c r="C854" s="1264"/>
      <c r="D854" s="1265"/>
      <c r="E854" s="1265"/>
      <c r="F854" s="1265"/>
      <c r="G854" s="1265"/>
      <c r="H854" s="1263"/>
      <c r="I854" s="1264"/>
      <c r="J854" s="1265"/>
      <c r="K854" s="1265"/>
      <c r="L854" s="1265"/>
      <c r="M854" s="1265"/>
      <c r="N854" s="1265"/>
      <c r="O854" s="1265"/>
      <c r="P854" s="1265"/>
    </row>
    <row r="855" ht="17.25" customHeight="1">
      <c r="A855" s="1263"/>
      <c r="B855" s="1140"/>
      <c r="C855" s="1264"/>
      <c r="D855" s="1265"/>
      <c r="E855" s="1265"/>
      <c r="F855" s="1265"/>
      <c r="G855" s="1265"/>
      <c r="H855" s="1263"/>
      <c r="I855" s="1264"/>
      <c r="J855" s="1265"/>
      <c r="K855" s="1265"/>
      <c r="L855" s="1265"/>
      <c r="M855" s="1265"/>
      <c r="N855" s="1265"/>
      <c r="O855" s="1265"/>
      <c r="P855" s="1265"/>
    </row>
    <row r="856" ht="17.25" customHeight="1">
      <c r="A856" s="1263"/>
      <c r="B856" s="1140"/>
      <c r="C856" s="1264"/>
      <c r="D856" s="1265"/>
      <c r="E856" s="1265"/>
      <c r="F856" s="1265"/>
      <c r="G856" s="1265"/>
      <c r="H856" s="1263"/>
      <c r="I856" s="1264"/>
      <c r="J856" s="1265"/>
      <c r="K856" s="1265"/>
      <c r="L856" s="1265"/>
      <c r="M856" s="1265"/>
      <c r="N856" s="1265"/>
      <c r="O856" s="1265"/>
      <c r="P856" s="1265"/>
    </row>
    <row r="857" ht="17.25" customHeight="1">
      <c r="A857" s="1263"/>
      <c r="B857" s="1140"/>
      <c r="C857" s="1264"/>
      <c r="D857" s="1265"/>
      <c r="E857" s="1265"/>
      <c r="F857" s="1265"/>
      <c r="G857" s="1265"/>
      <c r="H857" s="1263"/>
      <c r="I857" s="1264"/>
      <c r="J857" s="1265"/>
      <c r="K857" s="1265"/>
      <c r="L857" s="1265"/>
      <c r="M857" s="1265"/>
      <c r="N857" s="1265"/>
      <c r="O857" s="1265"/>
      <c r="P857" s="1265"/>
    </row>
    <row r="858" ht="17.25" customHeight="1">
      <c r="A858" s="1263"/>
      <c r="B858" s="1140"/>
      <c r="C858" s="1264"/>
      <c r="D858" s="1265"/>
      <c r="E858" s="1265"/>
      <c r="F858" s="1265"/>
      <c r="G858" s="1265"/>
      <c r="H858" s="1263"/>
      <c r="I858" s="1264"/>
      <c r="J858" s="1265"/>
      <c r="K858" s="1265"/>
      <c r="L858" s="1265"/>
      <c r="M858" s="1265"/>
      <c r="N858" s="1265"/>
      <c r="O858" s="1265"/>
      <c r="P858" s="1265"/>
    </row>
    <row r="859" ht="17.25" customHeight="1">
      <c r="A859" s="1263"/>
      <c r="B859" s="1140"/>
      <c r="C859" s="1264"/>
      <c r="D859" s="1265"/>
      <c r="E859" s="1265"/>
      <c r="F859" s="1265"/>
      <c r="G859" s="1265"/>
      <c r="H859" s="1263"/>
      <c r="I859" s="1264"/>
      <c r="J859" s="1265"/>
      <c r="K859" s="1265"/>
      <c r="L859" s="1265"/>
      <c r="M859" s="1265"/>
      <c r="N859" s="1265"/>
      <c r="O859" s="1265"/>
      <c r="P859" s="1265"/>
    </row>
    <row r="860" ht="17.25" customHeight="1">
      <c r="A860" s="1263"/>
      <c r="B860" s="1140"/>
      <c r="C860" s="1264"/>
      <c r="D860" s="1265"/>
      <c r="E860" s="1265"/>
      <c r="F860" s="1265"/>
      <c r="G860" s="1265"/>
      <c r="H860" s="1263"/>
      <c r="I860" s="1264"/>
      <c r="J860" s="1265"/>
      <c r="K860" s="1265"/>
      <c r="L860" s="1265"/>
      <c r="M860" s="1265"/>
      <c r="N860" s="1265"/>
      <c r="O860" s="1265"/>
      <c r="P860" s="1265"/>
    </row>
    <row r="861" ht="17.25" customHeight="1">
      <c r="A861" s="1263"/>
      <c r="B861" s="1140"/>
      <c r="C861" s="1264"/>
      <c r="D861" s="1265"/>
      <c r="E861" s="1265"/>
      <c r="F861" s="1265"/>
      <c r="G861" s="1265"/>
      <c r="H861" s="1263"/>
      <c r="I861" s="1264"/>
      <c r="J861" s="1265"/>
      <c r="K861" s="1265"/>
      <c r="L861" s="1265"/>
      <c r="M861" s="1265"/>
      <c r="N861" s="1265"/>
      <c r="O861" s="1265"/>
      <c r="P861" s="1265"/>
    </row>
    <row r="862" ht="17.25" customHeight="1">
      <c r="A862" s="1263"/>
      <c r="B862" s="1140"/>
      <c r="C862" s="1264"/>
      <c r="D862" s="1265"/>
      <c r="E862" s="1265"/>
      <c r="F862" s="1265"/>
      <c r="G862" s="1265"/>
      <c r="H862" s="1263"/>
      <c r="I862" s="1264"/>
      <c r="J862" s="1265"/>
      <c r="K862" s="1265"/>
      <c r="L862" s="1265"/>
      <c r="M862" s="1265"/>
      <c r="N862" s="1265"/>
      <c r="O862" s="1265"/>
      <c r="P862" s="1265"/>
    </row>
    <row r="863" ht="17.25" customHeight="1">
      <c r="A863" s="1263"/>
      <c r="B863" s="1140"/>
      <c r="C863" s="1264"/>
      <c r="D863" s="1265"/>
      <c r="E863" s="1265"/>
      <c r="F863" s="1265"/>
      <c r="G863" s="1265"/>
      <c r="H863" s="1263"/>
      <c r="I863" s="1264"/>
      <c r="J863" s="1265"/>
      <c r="K863" s="1265"/>
      <c r="L863" s="1265"/>
      <c r="M863" s="1265"/>
      <c r="N863" s="1265"/>
      <c r="O863" s="1265"/>
      <c r="P863" s="1265"/>
    </row>
    <row r="864" ht="17.25" customHeight="1">
      <c r="A864" s="1263"/>
      <c r="B864" s="1140"/>
      <c r="C864" s="1264"/>
      <c r="D864" s="1265"/>
      <c r="E864" s="1265"/>
      <c r="F864" s="1265"/>
      <c r="G864" s="1265"/>
      <c r="H864" s="1263"/>
      <c r="I864" s="1264"/>
      <c r="J864" s="1265"/>
      <c r="K864" s="1265"/>
      <c r="L864" s="1265"/>
      <c r="M864" s="1265"/>
      <c r="N864" s="1265"/>
      <c r="O864" s="1265"/>
      <c r="P864" s="1265"/>
    </row>
    <row r="865" ht="17.25" customHeight="1">
      <c r="A865" s="1263"/>
      <c r="B865" s="1140"/>
      <c r="C865" s="1264"/>
      <c r="D865" s="1265"/>
      <c r="E865" s="1265"/>
      <c r="F865" s="1265"/>
      <c r="G865" s="1265"/>
      <c r="H865" s="1263"/>
      <c r="I865" s="1264"/>
      <c r="J865" s="1265"/>
      <c r="K865" s="1265"/>
      <c r="L865" s="1265"/>
      <c r="M865" s="1265"/>
      <c r="N865" s="1265"/>
      <c r="O865" s="1265"/>
      <c r="P865" s="1265"/>
    </row>
    <row r="866" ht="17.25" customHeight="1">
      <c r="A866" s="1263"/>
      <c r="B866" s="1140"/>
      <c r="C866" s="1264"/>
      <c r="D866" s="1265"/>
      <c r="E866" s="1265"/>
      <c r="F866" s="1265"/>
      <c r="G866" s="1265"/>
      <c r="H866" s="1263"/>
      <c r="I866" s="1264"/>
      <c r="J866" s="1265"/>
      <c r="K866" s="1265"/>
      <c r="L866" s="1265"/>
      <c r="M866" s="1265"/>
      <c r="N866" s="1265"/>
      <c r="O866" s="1265"/>
      <c r="P866" s="1265"/>
    </row>
    <row r="867" ht="17.25" customHeight="1">
      <c r="A867" s="1263"/>
      <c r="B867" s="1140"/>
      <c r="C867" s="1264"/>
      <c r="D867" s="1265"/>
      <c r="E867" s="1265"/>
      <c r="F867" s="1265"/>
      <c r="G867" s="1265"/>
      <c r="H867" s="1263"/>
      <c r="I867" s="1264"/>
      <c r="J867" s="1265"/>
      <c r="K867" s="1265"/>
      <c r="L867" s="1265"/>
      <c r="M867" s="1265"/>
      <c r="N867" s="1265"/>
      <c r="O867" s="1265"/>
      <c r="P867" s="1265"/>
    </row>
    <row r="868" ht="17.25" customHeight="1">
      <c r="A868" s="1263"/>
      <c r="B868" s="1140"/>
      <c r="C868" s="1264"/>
      <c r="D868" s="1265"/>
      <c r="E868" s="1265"/>
      <c r="F868" s="1265"/>
      <c r="G868" s="1265"/>
      <c r="H868" s="1263"/>
      <c r="I868" s="1264"/>
      <c r="J868" s="1265"/>
      <c r="K868" s="1265"/>
      <c r="L868" s="1265"/>
      <c r="M868" s="1265"/>
      <c r="N868" s="1265"/>
      <c r="O868" s="1265"/>
      <c r="P868" s="1265"/>
    </row>
    <row r="869" ht="17.25" customHeight="1">
      <c r="A869" s="1263"/>
      <c r="B869" s="1140"/>
      <c r="C869" s="1264"/>
      <c r="D869" s="1265"/>
      <c r="E869" s="1265"/>
      <c r="F869" s="1265"/>
      <c r="G869" s="1265"/>
      <c r="H869" s="1263"/>
      <c r="I869" s="1264"/>
      <c r="J869" s="1265"/>
      <c r="K869" s="1265"/>
      <c r="L869" s="1265"/>
      <c r="M869" s="1265"/>
      <c r="N869" s="1265"/>
      <c r="O869" s="1265"/>
      <c r="P869" s="1265"/>
    </row>
    <row r="870" ht="17.25" customHeight="1">
      <c r="A870" s="1263"/>
      <c r="B870" s="1140"/>
      <c r="C870" s="1264"/>
      <c r="D870" s="1265"/>
      <c r="E870" s="1265"/>
      <c r="F870" s="1265"/>
      <c r="G870" s="1265"/>
      <c r="H870" s="1263"/>
      <c r="I870" s="1264"/>
      <c r="J870" s="1265"/>
      <c r="K870" s="1265"/>
      <c r="L870" s="1265"/>
      <c r="M870" s="1265"/>
      <c r="N870" s="1265"/>
      <c r="O870" s="1265"/>
      <c r="P870" s="1265"/>
    </row>
    <row r="871" ht="17.25" customHeight="1">
      <c r="A871" s="1263"/>
      <c r="B871" s="1140"/>
      <c r="C871" s="1264"/>
      <c r="D871" s="1265"/>
      <c r="E871" s="1265"/>
      <c r="F871" s="1265"/>
      <c r="G871" s="1265"/>
      <c r="H871" s="1263"/>
      <c r="I871" s="1264"/>
      <c r="J871" s="1265"/>
      <c r="K871" s="1265"/>
      <c r="L871" s="1265"/>
      <c r="M871" s="1265"/>
      <c r="N871" s="1265"/>
      <c r="O871" s="1265"/>
      <c r="P871" s="1265"/>
    </row>
    <row r="872" ht="17.25" customHeight="1">
      <c r="A872" s="1263"/>
      <c r="B872" s="1140"/>
      <c r="C872" s="1264"/>
      <c r="D872" s="1265"/>
      <c r="E872" s="1265"/>
      <c r="F872" s="1265"/>
      <c r="G872" s="1265"/>
      <c r="H872" s="1263"/>
      <c r="I872" s="1264"/>
      <c r="J872" s="1265"/>
      <c r="K872" s="1265"/>
      <c r="L872" s="1265"/>
      <c r="M872" s="1265"/>
      <c r="N872" s="1265"/>
      <c r="O872" s="1265"/>
      <c r="P872" s="1265"/>
    </row>
    <row r="873" ht="17.25" customHeight="1">
      <c r="A873" s="1263"/>
      <c r="B873" s="1140"/>
      <c r="C873" s="1264"/>
      <c r="D873" s="1265"/>
      <c r="E873" s="1265"/>
      <c r="F873" s="1265"/>
      <c r="G873" s="1265"/>
      <c r="H873" s="1263"/>
      <c r="I873" s="1264"/>
      <c r="J873" s="1265"/>
      <c r="K873" s="1265"/>
      <c r="L873" s="1265"/>
      <c r="M873" s="1265"/>
      <c r="N873" s="1265"/>
      <c r="O873" s="1265"/>
      <c r="P873" s="1265"/>
    </row>
    <row r="874" ht="17.25" customHeight="1">
      <c r="A874" s="1263"/>
      <c r="B874" s="1140"/>
      <c r="C874" s="1264"/>
      <c r="D874" s="1265"/>
      <c r="E874" s="1265"/>
      <c r="F874" s="1265"/>
      <c r="G874" s="1265"/>
      <c r="H874" s="1263"/>
      <c r="I874" s="1264"/>
      <c r="J874" s="1265"/>
      <c r="K874" s="1265"/>
      <c r="L874" s="1265"/>
      <c r="M874" s="1265"/>
      <c r="N874" s="1265"/>
      <c r="O874" s="1265"/>
      <c r="P874" s="1265"/>
    </row>
    <row r="875" ht="17.25" customHeight="1">
      <c r="A875" s="1263"/>
      <c r="B875" s="1140"/>
      <c r="C875" s="1264"/>
      <c r="D875" s="1265"/>
      <c r="E875" s="1265"/>
      <c r="F875" s="1265"/>
      <c r="G875" s="1265"/>
      <c r="H875" s="1263"/>
      <c r="I875" s="1264"/>
      <c r="J875" s="1265"/>
      <c r="K875" s="1265"/>
      <c r="L875" s="1265"/>
      <c r="M875" s="1265"/>
      <c r="N875" s="1265"/>
      <c r="O875" s="1265"/>
      <c r="P875" s="1265"/>
    </row>
    <row r="876" ht="17.25" customHeight="1">
      <c r="A876" s="1263"/>
      <c r="B876" s="1140"/>
      <c r="C876" s="1264"/>
      <c r="D876" s="1265"/>
      <c r="E876" s="1265"/>
      <c r="F876" s="1265"/>
      <c r="G876" s="1265"/>
      <c r="H876" s="1263"/>
      <c r="I876" s="1264"/>
      <c r="J876" s="1265"/>
      <c r="K876" s="1265"/>
      <c r="L876" s="1265"/>
      <c r="M876" s="1265"/>
      <c r="N876" s="1265"/>
      <c r="O876" s="1265"/>
      <c r="P876" s="1265"/>
    </row>
    <row r="877" ht="17.25" customHeight="1">
      <c r="A877" s="1263"/>
      <c r="B877" s="1140"/>
      <c r="C877" s="1264"/>
      <c r="D877" s="1265"/>
      <c r="E877" s="1265"/>
      <c r="F877" s="1265"/>
      <c r="G877" s="1265"/>
      <c r="H877" s="1263"/>
      <c r="I877" s="1264"/>
      <c r="J877" s="1265"/>
      <c r="K877" s="1265"/>
      <c r="L877" s="1265"/>
      <c r="M877" s="1265"/>
      <c r="N877" s="1265"/>
      <c r="O877" s="1265"/>
      <c r="P877" s="1265"/>
    </row>
    <row r="878" ht="17.25" customHeight="1">
      <c r="A878" s="1263"/>
      <c r="B878" s="1140"/>
      <c r="C878" s="1264"/>
      <c r="D878" s="1265"/>
      <c r="E878" s="1265"/>
      <c r="F878" s="1265"/>
      <c r="G878" s="1265"/>
      <c r="H878" s="1263"/>
      <c r="I878" s="1264"/>
      <c r="J878" s="1265"/>
      <c r="K878" s="1265"/>
      <c r="L878" s="1265"/>
      <c r="M878" s="1265"/>
      <c r="N878" s="1265"/>
      <c r="O878" s="1265"/>
      <c r="P878" s="1265"/>
    </row>
    <row r="879" ht="17.25" customHeight="1">
      <c r="A879" s="1263"/>
      <c r="B879" s="1140"/>
      <c r="C879" s="1264"/>
      <c r="D879" s="1265"/>
      <c r="E879" s="1265"/>
      <c r="F879" s="1265"/>
      <c r="G879" s="1265"/>
      <c r="H879" s="1263"/>
      <c r="I879" s="1264"/>
      <c r="J879" s="1265"/>
      <c r="K879" s="1265"/>
      <c r="L879" s="1265"/>
      <c r="M879" s="1265"/>
      <c r="N879" s="1265"/>
      <c r="O879" s="1265"/>
      <c r="P879" s="1265"/>
    </row>
    <row r="880" ht="17.25" customHeight="1">
      <c r="A880" s="1263"/>
      <c r="B880" s="1140"/>
      <c r="C880" s="1264"/>
      <c r="D880" s="1265"/>
      <c r="E880" s="1265"/>
      <c r="F880" s="1265"/>
      <c r="G880" s="1265"/>
      <c r="H880" s="1263"/>
      <c r="I880" s="1264"/>
      <c r="J880" s="1265"/>
      <c r="K880" s="1265"/>
      <c r="L880" s="1265"/>
      <c r="M880" s="1265"/>
      <c r="N880" s="1265"/>
      <c r="O880" s="1265"/>
      <c r="P880" s="1265"/>
    </row>
    <row r="881" ht="17.25" customHeight="1">
      <c r="A881" s="1263"/>
      <c r="B881" s="1140"/>
      <c r="C881" s="1264"/>
      <c r="D881" s="1265"/>
      <c r="E881" s="1265"/>
      <c r="F881" s="1265"/>
      <c r="G881" s="1265"/>
      <c r="H881" s="1263"/>
      <c r="I881" s="1264"/>
      <c r="J881" s="1265"/>
      <c r="K881" s="1265"/>
      <c r="L881" s="1265"/>
      <c r="M881" s="1265"/>
      <c r="N881" s="1265"/>
      <c r="O881" s="1265"/>
      <c r="P881" s="1265"/>
    </row>
    <row r="882" ht="17.25" customHeight="1">
      <c r="A882" s="1263"/>
      <c r="B882" s="1140"/>
      <c r="C882" s="1264"/>
      <c r="D882" s="1265"/>
      <c r="E882" s="1265"/>
      <c r="F882" s="1265"/>
      <c r="G882" s="1265"/>
      <c r="H882" s="1263"/>
      <c r="I882" s="1264"/>
      <c r="J882" s="1265"/>
      <c r="K882" s="1265"/>
      <c r="L882" s="1265"/>
      <c r="M882" s="1265"/>
      <c r="N882" s="1265"/>
      <c r="O882" s="1265"/>
      <c r="P882" s="1265"/>
    </row>
    <row r="883" ht="17.25" customHeight="1">
      <c r="A883" s="1263"/>
      <c r="B883" s="1140"/>
      <c r="C883" s="1264"/>
      <c r="D883" s="1265"/>
      <c r="E883" s="1265"/>
      <c r="F883" s="1265"/>
      <c r="G883" s="1265"/>
      <c r="H883" s="1263"/>
      <c r="I883" s="1264"/>
      <c r="J883" s="1265"/>
      <c r="K883" s="1265"/>
      <c r="L883" s="1265"/>
      <c r="M883" s="1265"/>
      <c r="N883" s="1265"/>
      <c r="O883" s="1265"/>
      <c r="P883" s="1265"/>
    </row>
    <row r="884" ht="17.25" customHeight="1">
      <c r="A884" s="1263"/>
      <c r="B884" s="1140"/>
      <c r="C884" s="1264"/>
      <c r="D884" s="1265"/>
      <c r="E884" s="1265"/>
      <c r="F884" s="1265"/>
      <c r="G884" s="1265"/>
      <c r="H884" s="1263"/>
      <c r="I884" s="1264"/>
      <c r="J884" s="1265"/>
      <c r="K884" s="1265"/>
      <c r="L884" s="1265"/>
      <c r="M884" s="1265"/>
      <c r="N884" s="1265"/>
      <c r="O884" s="1265"/>
      <c r="P884" s="1265"/>
    </row>
    <row r="885" ht="17.25" customHeight="1">
      <c r="A885" s="1263"/>
      <c r="B885" s="1140"/>
      <c r="C885" s="1264"/>
      <c r="D885" s="1265"/>
      <c r="E885" s="1265"/>
      <c r="F885" s="1265"/>
      <c r="G885" s="1265"/>
      <c r="H885" s="1263"/>
      <c r="I885" s="1264"/>
      <c r="J885" s="1265"/>
      <c r="K885" s="1265"/>
      <c r="L885" s="1265"/>
      <c r="M885" s="1265"/>
      <c r="N885" s="1265"/>
      <c r="O885" s="1265"/>
      <c r="P885" s="1265"/>
    </row>
    <row r="886" ht="17.25" customHeight="1">
      <c r="A886" s="1263"/>
      <c r="B886" s="1140"/>
      <c r="C886" s="1264"/>
      <c r="D886" s="1265"/>
      <c r="E886" s="1265"/>
      <c r="F886" s="1265"/>
      <c r="G886" s="1265"/>
      <c r="H886" s="1263"/>
      <c r="I886" s="1264"/>
      <c r="J886" s="1265"/>
      <c r="K886" s="1265"/>
      <c r="L886" s="1265"/>
      <c r="M886" s="1265"/>
      <c r="N886" s="1265"/>
      <c r="O886" s="1265"/>
      <c r="P886" s="1265"/>
    </row>
    <row r="887" ht="17.25" customHeight="1">
      <c r="A887" s="1263"/>
      <c r="B887" s="1140"/>
      <c r="C887" s="1264"/>
      <c r="D887" s="1265"/>
      <c r="E887" s="1265"/>
      <c r="F887" s="1265"/>
      <c r="G887" s="1265"/>
      <c r="H887" s="1263"/>
      <c r="I887" s="1264"/>
      <c r="J887" s="1265"/>
      <c r="K887" s="1265"/>
      <c r="L887" s="1265"/>
      <c r="M887" s="1265"/>
      <c r="N887" s="1265"/>
      <c r="O887" s="1265"/>
      <c r="P887" s="1265"/>
    </row>
    <row r="888" ht="17.25" customHeight="1">
      <c r="A888" s="1263"/>
      <c r="B888" s="1140"/>
      <c r="C888" s="1264"/>
      <c r="D888" s="1265"/>
      <c r="E888" s="1265"/>
      <c r="F888" s="1265"/>
      <c r="G888" s="1265"/>
      <c r="H888" s="1263"/>
      <c r="I888" s="1264"/>
      <c r="J888" s="1265"/>
      <c r="K888" s="1265"/>
      <c r="L888" s="1265"/>
      <c r="M888" s="1265"/>
      <c r="N888" s="1265"/>
      <c r="O888" s="1265"/>
      <c r="P888" s="1265"/>
    </row>
    <row r="889" ht="17.25" customHeight="1">
      <c r="A889" s="1263"/>
      <c r="B889" s="1140"/>
      <c r="C889" s="1264"/>
      <c r="D889" s="1265"/>
      <c r="E889" s="1265"/>
      <c r="F889" s="1265"/>
      <c r="G889" s="1265"/>
      <c r="H889" s="1263"/>
      <c r="I889" s="1264"/>
      <c r="J889" s="1265"/>
      <c r="K889" s="1265"/>
      <c r="L889" s="1265"/>
      <c r="M889" s="1265"/>
      <c r="N889" s="1265"/>
      <c r="O889" s="1265"/>
      <c r="P889" s="1265"/>
    </row>
    <row r="890" ht="17.25" customHeight="1">
      <c r="A890" s="1263"/>
      <c r="B890" s="1140"/>
      <c r="C890" s="1264"/>
      <c r="D890" s="1265"/>
      <c r="E890" s="1265"/>
      <c r="F890" s="1265"/>
      <c r="G890" s="1265"/>
      <c r="H890" s="1263"/>
      <c r="I890" s="1264"/>
      <c r="J890" s="1265"/>
      <c r="K890" s="1265"/>
      <c r="L890" s="1265"/>
      <c r="M890" s="1265"/>
      <c r="N890" s="1265"/>
      <c r="O890" s="1265"/>
      <c r="P890" s="1265"/>
    </row>
    <row r="891" ht="17.25" customHeight="1">
      <c r="A891" s="1263"/>
      <c r="B891" s="1140"/>
      <c r="C891" s="1264"/>
      <c r="D891" s="1265"/>
      <c r="E891" s="1265"/>
      <c r="F891" s="1265"/>
      <c r="G891" s="1265"/>
      <c r="H891" s="1263"/>
      <c r="I891" s="1264"/>
      <c r="J891" s="1265"/>
      <c r="K891" s="1265"/>
      <c r="L891" s="1265"/>
      <c r="M891" s="1265"/>
      <c r="N891" s="1265"/>
      <c r="O891" s="1265"/>
      <c r="P891" s="1265"/>
    </row>
    <row r="892" ht="17.25" customHeight="1">
      <c r="A892" s="1263"/>
      <c r="B892" s="1140"/>
      <c r="C892" s="1264"/>
      <c r="D892" s="1265"/>
      <c r="E892" s="1265"/>
      <c r="F892" s="1265"/>
      <c r="G892" s="1265"/>
      <c r="H892" s="1263"/>
      <c r="I892" s="1264"/>
      <c r="J892" s="1265"/>
      <c r="K892" s="1265"/>
      <c r="L892" s="1265"/>
      <c r="M892" s="1265"/>
      <c r="N892" s="1265"/>
      <c r="O892" s="1265"/>
      <c r="P892" s="1265"/>
    </row>
    <row r="893" ht="17.25" customHeight="1">
      <c r="A893" s="1263"/>
      <c r="B893" s="1140"/>
      <c r="C893" s="1264"/>
      <c r="D893" s="1265"/>
      <c r="E893" s="1265"/>
      <c r="F893" s="1265"/>
      <c r="G893" s="1265"/>
      <c r="H893" s="1263"/>
      <c r="I893" s="1264"/>
      <c r="J893" s="1265"/>
      <c r="K893" s="1265"/>
      <c r="L893" s="1265"/>
      <c r="M893" s="1265"/>
      <c r="N893" s="1265"/>
      <c r="O893" s="1265"/>
      <c r="P893" s="1265"/>
    </row>
    <row r="894" ht="17.25" customHeight="1">
      <c r="A894" s="1263"/>
      <c r="B894" s="1140"/>
      <c r="C894" s="1264"/>
      <c r="D894" s="1265"/>
      <c r="E894" s="1265"/>
      <c r="F894" s="1265"/>
      <c r="G894" s="1265"/>
      <c r="H894" s="1263"/>
      <c r="I894" s="1264"/>
      <c r="J894" s="1265"/>
      <c r="K894" s="1265"/>
      <c r="L894" s="1265"/>
      <c r="M894" s="1265"/>
      <c r="N894" s="1265"/>
      <c r="O894" s="1265"/>
      <c r="P894" s="1265"/>
    </row>
    <row r="895" ht="17.25" customHeight="1">
      <c r="A895" s="1263"/>
      <c r="B895" s="1140"/>
      <c r="C895" s="1264"/>
      <c r="D895" s="1265"/>
      <c r="E895" s="1265"/>
      <c r="F895" s="1265"/>
      <c r="G895" s="1265"/>
      <c r="H895" s="1263"/>
      <c r="I895" s="1264"/>
      <c r="J895" s="1265"/>
      <c r="K895" s="1265"/>
      <c r="L895" s="1265"/>
      <c r="M895" s="1265"/>
      <c r="N895" s="1265"/>
      <c r="O895" s="1265"/>
      <c r="P895" s="1265"/>
    </row>
    <row r="896" ht="17.25" customHeight="1">
      <c r="A896" s="1263"/>
      <c r="B896" s="1140"/>
      <c r="C896" s="1264"/>
      <c r="D896" s="1265"/>
      <c r="E896" s="1265"/>
      <c r="F896" s="1265"/>
      <c r="G896" s="1265"/>
      <c r="H896" s="1263"/>
      <c r="I896" s="1264"/>
      <c r="J896" s="1265"/>
      <c r="K896" s="1265"/>
      <c r="L896" s="1265"/>
      <c r="M896" s="1265"/>
      <c r="N896" s="1265"/>
      <c r="O896" s="1265"/>
      <c r="P896" s="1265"/>
    </row>
    <row r="897" ht="17.25" customHeight="1">
      <c r="A897" s="1263"/>
      <c r="B897" s="1140"/>
      <c r="C897" s="1264"/>
      <c r="D897" s="1265"/>
      <c r="E897" s="1265"/>
      <c r="F897" s="1265"/>
      <c r="G897" s="1265"/>
      <c r="H897" s="1263"/>
      <c r="I897" s="1264"/>
      <c r="J897" s="1265"/>
      <c r="K897" s="1265"/>
      <c r="L897" s="1265"/>
      <c r="M897" s="1265"/>
      <c r="N897" s="1265"/>
      <c r="O897" s="1265"/>
      <c r="P897" s="1265"/>
    </row>
    <row r="898" ht="17.25" customHeight="1">
      <c r="A898" s="1263"/>
      <c r="B898" s="1140"/>
      <c r="C898" s="1264"/>
      <c r="D898" s="1265"/>
      <c r="E898" s="1265"/>
      <c r="F898" s="1265"/>
      <c r="G898" s="1265"/>
      <c r="H898" s="1263"/>
      <c r="I898" s="1264"/>
      <c r="J898" s="1265"/>
      <c r="K898" s="1265"/>
      <c r="L898" s="1265"/>
      <c r="M898" s="1265"/>
      <c r="N898" s="1265"/>
      <c r="O898" s="1265"/>
      <c r="P898" s="1265"/>
    </row>
    <row r="899" ht="17.25" customHeight="1">
      <c r="A899" s="1263"/>
      <c r="B899" s="1140"/>
      <c r="C899" s="1264"/>
      <c r="D899" s="1265"/>
      <c r="E899" s="1265"/>
      <c r="F899" s="1265"/>
      <c r="G899" s="1265"/>
      <c r="H899" s="1263"/>
      <c r="I899" s="1264"/>
      <c r="J899" s="1265"/>
      <c r="K899" s="1265"/>
      <c r="L899" s="1265"/>
      <c r="M899" s="1265"/>
      <c r="N899" s="1265"/>
      <c r="O899" s="1265"/>
      <c r="P899" s="1265"/>
    </row>
    <row r="900" ht="17.25" customHeight="1">
      <c r="A900" s="1263"/>
      <c r="B900" s="1140"/>
      <c r="C900" s="1264"/>
      <c r="D900" s="1265"/>
      <c r="E900" s="1265"/>
      <c r="F900" s="1265"/>
      <c r="G900" s="1265"/>
      <c r="H900" s="1263"/>
      <c r="I900" s="1264"/>
      <c r="J900" s="1265"/>
      <c r="K900" s="1265"/>
      <c r="L900" s="1265"/>
      <c r="M900" s="1265"/>
      <c r="N900" s="1265"/>
      <c r="O900" s="1265"/>
      <c r="P900" s="1265"/>
    </row>
    <row r="901" ht="17.25" customHeight="1">
      <c r="A901" s="1263"/>
      <c r="B901" s="1140"/>
      <c r="C901" s="1264"/>
      <c r="D901" s="1265"/>
      <c r="E901" s="1265"/>
      <c r="F901" s="1265"/>
      <c r="G901" s="1265"/>
      <c r="H901" s="1263"/>
      <c r="I901" s="1264"/>
      <c r="J901" s="1265"/>
      <c r="K901" s="1265"/>
      <c r="L901" s="1265"/>
      <c r="M901" s="1265"/>
      <c r="N901" s="1265"/>
      <c r="O901" s="1265"/>
      <c r="P901" s="1265"/>
    </row>
    <row r="902" ht="17.25" customHeight="1">
      <c r="A902" s="1263"/>
      <c r="B902" s="1140"/>
      <c r="C902" s="1264"/>
      <c r="D902" s="1265"/>
      <c r="E902" s="1265"/>
      <c r="F902" s="1265"/>
      <c r="G902" s="1265"/>
      <c r="H902" s="1263"/>
      <c r="I902" s="1264"/>
      <c r="J902" s="1265"/>
      <c r="K902" s="1265"/>
      <c r="L902" s="1265"/>
      <c r="M902" s="1265"/>
      <c r="N902" s="1265"/>
      <c r="O902" s="1265"/>
      <c r="P902" s="1265"/>
    </row>
    <row r="903" ht="17.25" customHeight="1">
      <c r="A903" s="1263"/>
      <c r="B903" s="1140"/>
      <c r="C903" s="1264"/>
      <c r="D903" s="1265"/>
      <c r="E903" s="1265"/>
      <c r="F903" s="1265"/>
      <c r="G903" s="1265"/>
      <c r="H903" s="1263"/>
      <c r="I903" s="1264"/>
      <c r="J903" s="1265"/>
      <c r="K903" s="1265"/>
      <c r="L903" s="1265"/>
      <c r="M903" s="1265"/>
      <c r="N903" s="1265"/>
      <c r="O903" s="1265"/>
      <c r="P903" s="1265"/>
    </row>
    <row r="904" ht="17.25" customHeight="1">
      <c r="A904" s="1263"/>
      <c r="B904" s="1140"/>
      <c r="C904" s="1264"/>
      <c r="D904" s="1265"/>
      <c r="E904" s="1265"/>
      <c r="F904" s="1265"/>
      <c r="G904" s="1265"/>
      <c r="H904" s="1263"/>
      <c r="I904" s="1264"/>
      <c r="J904" s="1265"/>
      <c r="K904" s="1265"/>
      <c r="L904" s="1265"/>
      <c r="M904" s="1265"/>
      <c r="N904" s="1265"/>
      <c r="O904" s="1265"/>
      <c r="P904" s="1265"/>
    </row>
    <row r="905" ht="17.25" customHeight="1">
      <c r="A905" s="1263"/>
      <c r="B905" s="1140"/>
      <c r="C905" s="1264"/>
      <c r="D905" s="1265"/>
      <c r="E905" s="1265"/>
      <c r="F905" s="1265"/>
      <c r="G905" s="1265"/>
      <c r="H905" s="1263"/>
      <c r="I905" s="1264"/>
      <c r="J905" s="1265"/>
      <c r="K905" s="1265"/>
      <c r="L905" s="1265"/>
      <c r="M905" s="1265"/>
      <c r="N905" s="1265"/>
      <c r="O905" s="1265"/>
      <c r="P905" s="1265"/>
    </row>
    <row r="906" ht="17.25" customHeight="1">
      <c r="A906" s="1263"/>
      <c r="B906" s="1140"/>
      <c r="C906" s="1264"/>
      <c r="D906" s="1265"/>
      <c r="E906" s="1265"/>
      <c r="F906" s="1265"/>
      <c r="G906" s="1265"/>
      <c r="H906" s="1263"/>
      <c r="I906" s="1264"/>
      <c r="J906" s="1265"/>
      <c r="K906" s="1265"/>
      <c r="L906" s="1265"/>
      <c r="M906" s="1265"/>
      <c r="N906" s="1265"/>
      <c r="O906" s="1265"/>
      <c r="P906" s="1265"/>
    </row>
    <row r="907" ht="17.25" customHeight="1">
      <c r="A907" s="1263"/>
      <c r="B907" s="1140"/>
      <c r="C907" s="1264"/>
      <c r="D907" s="1265"/>
      <c r="E907" s="1265"/>
      <c r="F907" s="1265"/>
      <c r="G907" s="1265"/>
      <c r="H907" s="1263"/>
      <c r="I907" s="1264"/>
      <c r="J907" s="1265"/>
      <c r="K907" s="1265"/>
      <c r="L907" s="1265"/>
      <c r="M907" s="1265"/>
      <c r="N907" s="1265"/>
      <c r="O907" s="1265"/>
      <c r="P907" s="1265"/>
    </row>
    <row r="908" ht="17.25" customHeight="1">
      <c r="A908" s="1263"/>
      <c r="B908" s="1140"/>
      <c r="C908" s="1264"/>
      <c r="D908" s="1265"/>
      <c r="E908" s="1265"/>
      <c r="F908" s="1265"/>
      <c r="G908" s="1265"/>
      <c r="H908" s="1263"/>
      <c r="I908" s="1264"/>
      <c r="J908" s="1265"/>
      <c r="K908" s="1265"/>
      <c r="L908" s="1265"/>
      <c r="M908" s="1265"/>
      <c r="N908" s="1265"/>
      <c r="O908" s="1265"/>
      <c r="P908" s="1265"/>
    </row>
    <row r="909" ht="17.25" customHeight="1">
      <c r="A909" s="1263"/>
      <c r="B909" s="1140"/>
      <c r="C909" s="1264"/>
      <c r="D909" s="1265"/>
      <c r="E909" s="1265"/>
      <c r="F909" s="1265"/>
      <c r="G909" s="1265"/>
      <c r="H909" s="1263"/>
      <c r="I909" s="1264"/>
      <c r="J909" s="1265"/>
      <c r="K909" s="1265"/>
      <c r="L909" s="1265"/>
      <c r="M909" s="1265"/>
      <c r="N909" s="1265"/>
      <c r="O909" s="1265"/>
      <c r="P909" s="1265"/>
    </row>
    <row r="910" ht="17.25" customHeight="1">
      <c r="A910" s="1263"/>
      <c r="B910" s="1140"/>
      <c r="C910" s="1264"/>
      <c r="D910" s="1265"/>
      <c r="E910" s="1265"/>
      <c r="F910" s="1265"/>
      <c r="G910" s="1265"/>
      <c r="H910" s="1263"/>
      <c r="I910" s="1264"/>
      <c r="J910" s="1265"/>
      <c r="K910" s="1265"/>
      <c r="L910" s="1265"/>
      <c r="M910" s="1265"/>
      <c r="N910" s="1265"/>
      <c r="O910" s="1265"/>
      <c r="P910" s="1265"/>
    </row>
    <row r="911" ht="17.25" customHeight="1">
      <c r="A911" s="1263"/>
      <c r="B911" s="1140"/>
      <c r="C911" s="1264"/>
      <c r="D911" s="1265"/>
      <c r="E911" s="1265"/>
      <c r="F911" s="1265"/>
      <c r="G911" s="1265"/>
      <c r="H911" s="1263"/>
      <c r="I911" s="1264"/>
      <c r="J911" s="1265"/>
      <c r="K911" s="1265"/>
      <c r="L911" s="1265"/>
      <c r="M911" s="1265"/>
      <c r="N911" s="1265"/>
      <c r="O911" s="1265"/>
      <c r="P911" s="1265"/>
    </row>
    <row r="912" ht="17.25" customHeight="1">
      <c r="A912" s="1263"/>
      <c r="B912" s="1140"/>
      <c r="C912" s="1264"/>
      <c r="D912" s="1265"/>
      <c r="E912" s="1265"/>
      <c r="F912" s="1265"/>
      <c r="G912" s="1265"/>
      <c r="H912" s="1263"/>
      <c r="I912" s="1264"/>
      <c r="J912" s="1265"/>
      <c r="K912" s="1265"/>
      <c r="L912" s="1265"/>
      <c r="M912" s="1265"/>
      <c r="N912" s="1265"/>
      <c r="O912" s="1265"/>
      <c r="P912" s="1265"/>
    </row>
    <row r="913" ht="17.25" customHeight="1">
      <c r="A913" s="1263"/>
      <c r="B913" s="1140"/>
      <c r="C913" s="1264"/>
      <c r="D913" s="1265"/>
      <c r="E913" s="1265"/>
      <c r="F913" s="1265"/>
      <c r="G913" s="1265"/>
      <c r="H913" s="1263"/>
      <c r="I913" s="1264"/>
      <c r="J913" s="1265"/>
      <c r="K913" s="1265"/>
      <c r="L913" s="1265"/>
      <c r="M913" s="1265"/>
      <c r="N913" s="1265"/>
      <c r="O913" s="1265"/>
      <c r="P913" s="1265"/>
    </row>
    <row r="914" ht="17.25" customHeight="1">
      <c r="A914" s="1263"/>
      <c r="B914" s="1140"/>
      <c r="C914" s="1264"/>
      <c r="D914" s="1265"/>
      <c r="E914" s="1265"/>
      <c r="F914" s="1265"/>
      <c r="G914" s="1265"/>
      <c r="H914" s="1263"/>
      <c r="I914" s="1264"/>
      <c r="J914" s="1265"/>
      <c r="K914" s="1265"/>
      <c r="L914" s="1265"/>
      <c r="M914" s="1265"/>
      <c r="N914" s="1265"/>
      <c r="O914" s="1265"/>
      <c r="P914" s="1265"/>
    </row>
    <row r="915" ht="17.25" customHeight="1">
      <c r="A915" s="1263"/>
      <c r="B915" s="1140"/>
      <c r="C915" s="1264"/>
      <c r="D915" s="1265"/>
      <c r="E915" s="1265"/>
      <c r="F915" s="1265"/>
      <c r="G915" s="1265"/>
      <c r="H915" s="1263"/>
      <c r="I915" s="1264"/>
      <c r="J915" s="1265"/>
      <c r="K915" s="1265"/>
      <c r="L915" s="1265"/>
      <c r="M915" s="1265"/>
      <c r="N915" s="1265"/>
      <c r="O915" s="1265"/>
      <c r="P915" s="1265"/>
    </row>
    <row r="916" ht="17.25" customHeight="1">
      <c r="A916" s="1263"/>
      <c r="B916" s="1140"/>
      <c r="C916" s="1264"/>
      <c r="D916" s="1265"/>
      <c r="E916" s="1265"/>
      <c r="F916" s="1265"/>
      <c r="G916" s="1265"/>
      <c r="H916" s="1263"/>
      <c r="I916" s="1264"/>
      <c r="J916" s="1265"/>
      <c r="K916" s="1265"/>
      <c r="L916" s="1265"/>
      <c r="M916" s="1265"/>
      <c r="N916" s="1265"/>
      <c r="O916" s="1265"/>
      <c r="P916" s="1265"/>
    </row>
    <row r="917" ht="17.25" customHeight="1">
      <c r="A917" s="1263"/>
      <c r="B917" s="1140"/>
      <c r="C917" s="1264"/>
      <c r="D917" s="1265"/>
      <c r="E917" s="1265"/>
      <c r="F917" s="1265"/>
      <c r="G917" s="1265"/>
      <c r="H917" s="1263"/>
      <c r="I917" s="1264"/>
      <c r="J917" s="1265"/>
      <c r="K917" s="1265"/>
      <c r="L917" s="1265"/>
      <c r="M917" s="1265"/>
      <c r="N917" s="1265"/>
      <c r="O917" s="1265"/>
      <c r="P917" s="1265"/>
    </row>
    <row r="918" ht="17.25" customHeight="1">
      <c r="A918" s="1263"/>
      <c r="B918" s="1140"/>
      <c r="C918" s="1264"/>
      <c r="D918" s="1265"/>
      <c r="E918" s="1265"/>
      <c r="F918" s="1265"/>
      <c r="G918" s="1265"/>
      <c r="H918" s="1263"/>
      <c r="I918" s="1264"/>
      <c r="J918" s="1265"/>
      <c r="K918" s="1265"/>
      <c r="L918" s="1265"/>
      <c r="M918" s="1265"/>
      <c r="N918" s="1265"/>
      <c r="O918" s="1265"/>
      <c r="P918" s="1265"/>
    </row>
    <row r="919" ht="17.25" customHeight="1">
      <c r="A919" s="1263"/>
      <c r="B919" s="1140"/>
      <c r="C919" s="1264"/>
      <c r="D919" s="1265"/>
      <c r="E919" s="1265"/>
      <c r="F919" s="1265"/>
      <c r="G919" s="1265"/>
      <c r="H919" s="1263"/>
      <c r="I919" s="1264"/>
      <c r="J919" s="1265"/>
      <c r="K919" s="1265"/>
      <c r="L919" s="1265"/>
      <c r="M919" s="1265"/>
      <c r="N919" s="1265"/>
      <c r="O919" s="1265"/>
      <c r="P919" s="1265"/>
    </row>
    <row r="920" ht="17.25" customHeight="1">
      <c r="A920" s="1263"/>
      <c r="B920" s="1140"/>
      <c r="C920" s="1264"/>
      <c r="D920" s="1265"/>
      <c r="E920" s="1265"/>
      <c r="F920" s="1265"/>
      <c r="G920" s="1265"/>
      <c r="H920" s="1263"/>
      <c r="I920" s="1264"/>
      <c r="J920" s="1265"/>
      <c r="K920" s="1265"/>
      <c r="L920" s="1265"/>
      <c r="M920" s="1265"/>
      <c r="N920" s="1265"/>
      <c r="O920" s="1265"/>
      <c r="P920" s="1265"/>
    </row>
    <row r="921" ht="17.25" customHeight="1">
      <c r="A921" s="1263"/>
      <c r="B921" s="1140"/>
      <c r="C921" s="1264"/>
      <c r="D921" s="1265"/>
      <c r="E921" s="1265"/>
      <c r="F921" s="1265"/>
      <c r="G921" s="1265"/>
      <c r="H921" s="1263"/>
      <c r="I921" s="1264"/>
      <c r="J921" s="1265"/>
      <c r="K921" s="1265"/>
      <c r="L921" s="1265"/>
      <c r="M921" s="1265"/>
      <c r="N921" s="1265"/>
      <c r="O921" s="1265"/>
      <c r="P921" s="1265"/>
    </row>
    <row r="922" ht="17.25" customHeight="1">
      <c r="A922" s="1263"/>
      <c r="B922" s="1140"/>
      <c r="C922" s="1264"/>
      <c r="D922" s="1265"/>
      <c r="E922" s="1265"/>
      <c r="F922" s="1265"/>
      <c r="G922" s="1265"/>
      <c r="H922" s="1263"/>
      <c r="I922" s="1264"/>
      <c r="J922" s="1265"/>
      <c r="K922" s="1265"/>
      <c r="L922" s="1265"/>
      <c r="M922" s="1265"/>
      <c r="N922" s="1265"/>
      <c r="O922" s="1265"/>
      <c r="P922" s="1265"/>
    </row>
    <row r="923" ht="17.25" customHeight="1">
      <c r="A923" s="1263"/>
      <c r="B923" s="1140"/>
      <c r="C923" s="1264"/>
      <c r="D923" s="1265"/>
      <c r="E923" s="1265"/>
      <c r="F923" s="1265"/>
      <c r="G923" s="1265"/>
      <c r="H923" s="1263"/>
      <c r="I923" s="1264"/>
      <c r="J923" s="1265"/>
      <c r="K923" s="1265"/>
      <c r="L923" s="1265"/>
      <c r="M923" s="1265"/>
      <c r="N923" s="1265"/>
      <c r="O923" s="1265"/>
      <c r="P923" s="1265"/>
    </row>
    <row r="924" ht="17.25" customHeight="1">
      <c r="A924" s="1263"/>
      <c r="B924" s="1140"/>
      <c r="C924" s="1264"/>
      <c r="D924" s="1265"/>
      <c r="E924" s="1265"/>
      <c r="F924" s="1265"/>
      <c r="G924" s="1265"/>
      <c r="H924" s="1263"/>
      <c r="I924" s="1264"/>
      <c r="J924" s="1265"/>
      <c r="K924" s="1265"/>
      <c r="L924" s="1265"/>
      <c r="M924" s="1265"/>
      <c r="N924" s="1265"/>
      <c r="O924" s="1265"/>
      <c r="P924" s="1265"/>
    </row>
    <row r="925" ht="17.25" customHeight="1">
      <c r="A925" s="1263"/>
      <c r="B925" s="1140"/>
      <c r="C925" s="1264"/>
      <c r="D925" s="1265"/>
      <c r="E925" s="1265"/>
      <c r="F925" s="1265"/>
      <c r="G925" s="1265"/>
      <c r="H925" s="1263"/>
      <c r="I925" s="1264"/>
      <c r="J925" s="1265"/>
      <c r="K925" s="1265"/>
      <c r="L925" s="1265"/>
      <c r="M925" s="1265"/>
      <c r="N925" s="1265"/>
      <c r="O925" s="1265"/>
      <c r="P925" s="1265"/>
    </row>
    <row r="926" ht="17.25" customHeight="1">
      <c r="A926" s="1263"/>
      <c r="B926" s="1140"/>
      <c r="C926" s="1264"/>
      <c r="D926" s="1265"/>
      <c r="E926" s="1265"/>
      <c r="F926" s="1265"/>
      <c r="G926" s="1265"/>
      <c r="H926" s="1263"/>
      <c r="I926" s="1264"/>
      <c r="J926" s="1265"/>
      <c r="K926" s="1265"/>
      <c r="L926" s="1265"/>
      <c r="M926" s="1265"/>
      <c r="N926" s="1265"/>
      <c r="O926" s="1265"/>
      <c r="P926" s="1265"/>
    </row>
    <row r="927" ht="17.25" customHeight="1">
      <c r="A927" s="1263"/>
      <c r="B927" s="1140"/>
      <c r="C927" s="1264"/>
      <c r="D927" s="1265"/>
      <c r="E927" s="1265"/>
      <c r="F927" s="1265"/>
      <c r="G927" s="1265"/>
      <c r="H927" s="1263"/>
      <c r="I927" s="1264"/>
      <c r="J927" s="1265"/>
      <c r="K927" s="1265"/>
      <c r="L927" s="1265"/>
      <c r="M927" s="1265"/>
      <c r="N927" s="1265"/>
      <c r="O927" s="1265"/>
      <c r="P927" s="1265"/>
    </row>
    <row r="928" ht="17.25" customHeight="1">
      <c r="A928" s="1263"/>
      <c r="B928" s="1140"/>
      <c r="C928" s="1264"/>
      <c r="D928" s="1265"/>
      <c r="E928" s="1265"/>
      <c r="F928" s="1265"/>
      <c r="G928" s="1265"/>
      <c r="H928" s="1263"/>
      <c r="I928" s="1264"/>
      <c r="J928" s="1265"/>
      <c r="K928" s="1265"/>
      <c r="L928" s="1265"/>
      <c r="M928" s="1265"/>
      <c r="N928" s="1265"/>
      <c r="O928" s="1265"/>
      <c r="P928" s="1265"/>
    </row>
    <row r="929" ht="17.25" customHeight="1">
      <c r="A929" s="1263"/>
      <c r="B929" s="1140"/>
      <c r="C929" s="1264"/>
      <c r="D929" s="1265"/>
      <c r="E929" s="1265"/>
      <c r="F929" s="1265"/>
      <c r="G929" s="1265"/>
      <c r="H929" s="1263"/>
      <c r="I929" s="1264"/>
      <c r="J929" s="1265"/>
      <c r="K929" s="1265"/>
      <c r="L929" s="1265"/>
      <c r="M929" s="1265"/>
      <c r="N929" s="1265"/>
      <c r="O929" s="1265"/>
      <c r="P929" s="1265"/>
    </row>
    <row r="930" ht="17.25" customHeight="1">
      <c r="A930" s="1263"/>
      <c r="B930" s="1140"/>
      <c r="C930" s="1264"/>
      <c r="D930" s="1265"/>
      <c r="E930" s="1265"/>
      <c r="F930" s="1265"/>
      <c r="G930" s="1265"/>
      <c r="H930" s="1263"/>
      <c r="I930" s="1264"/>
      <c r="J930" s="1265"/>
      <c r="K930" s="1265"/>
      <c r="L930" s="1265"/>
      <c r="M930" s="1265"/>
      <c r="N930" s="1265"/>
      <c r="O930" s="1265"/>
      <c r="P930" s="1265"/>
    </row>
    <row r="931" ht="17.25" customHeight="1">
      <c r="A931" s="1263"/>
      <c r="B931" s="1140"/>
      <c r="C931" s="1264"/>
      <c r="D931" s="1265"/>
      <c r="E931" s="1265"/>
      <c r="F931" s="1265"/>
      <c r="G931" s="1265"/>
      <c r="H931" s="1263"/>
      <c r="I931" s="1264"/>
      <c r="J931" s="1265"/>
      <c r="K931" s="1265"/>
      <c r="L931" s="1265"/>
      <c r="M931" s="1265"/>
      <c r="N931" s="1265"/>
      <c r="O931" s="1265"/>
      <c r="P931" s="1265"/>
    </row>
    <row r="932" ht="17.25" customHeight="1">
      <c r="A932" s="1263"/>
      <c r="B932" s="1140"/>
      <c r="C932" s="1264"/>
      <c r="D932" s="1265"/>
      <c r="E932" s="1265"/>
      <c r="F932" s="1265"/>
      <c r="G932" s="1265"/>
      <c r="H932" s="1263"/>
      <c r="I932" s="1264"/>
      <c r="J932" s="1265"/>
      <c r="K932" s="1265"/>
      <c r="L932" s="1265"/>
      <c r="M932" s="1265"/>
      <c r="N932" s="1265"/>
      <c r="O932" s="1265"/>
      <c r="P932" s="1265"/>
    </row>
    <row r="933" ht="17.25" customHeight="1">
      <c r="A933" s="1263"/>
      <c r="B933" s="1140"/>
      <c r="C933" s="1264"/>
      <c r="D933" s="1265"/>
      <c r="E933" s="1265"/>
      <c r="F933" s="1265"/>
      <c r="G933" s="1265"/>
      <c r="H933" s="1263"/>
      <c r="I933" s="1264"/>
      <c r="J933" s="1265"/>
      <c r="K933" s="1265"/>
      <c r="L933" s="1265"/>
      <c r="M933" s="1265"/>
      <c r="N933" s="1265"/>
      <c r="O933" s="1265"/>
      <c r="P933" s="1265"/>
    </row>
    <row r="934" ht="17.25" customHeight="1">
      <c r="A934" s="1263"/>
      <c r="B934" s="1140"/>
      <c r="C934" s="1264"/>
      <c r="D934" s="1265"/>
      <c r="E934" s="1265"/>
      <c r="F934" s="1265"/>
      <c r="G934" s="1265"/>
      <c r="H934" s="1263"/>
      <c r="I934" s="1264"/>
      <c r="J934" s="1265"/>
      <c r="K934" s="1265"/>
      <c r="L934" s="1265"/>
      <c r="M934" s="1265"/>
      <c r="N934" s="1265"/>
      <c r="O934" s="1265"/>
      <c r="P934" s="1265"/>
    </row>
    <row r="935" ht="17.25" customHeight="1">
      <c r="A935" s="1263"/>
      <c r="B935" s="1140"/>
      <c r="C935" s="1264"/>
      <c r="D935" s="1265"/>
      <c r="E935" s="1265"/>
      <c r="F935" s="1265"/>
      <c r="G935" s="1265"/>
      <c r="H935" s="1263"/>
      <c r="I935" s="1264"/>
      <c r="J935" s="1265"/>
      <c r="K935" s="1265"/>
      <c r="L935" s="1265"/>
      <c r="M935" s="1265"/>
      <c r="N935" s="1265"/>
      <c r="O935" s="1265"/>
      <c r="P935" s="1265"/>
    </row>
    <row r="936" ht="17.25" customHeight="1">
      <c r="A936" s="1263"/>
      <c r="B936" s="1140"/>
      <c r="C936" s="1264"/>
      <c r="D936" s="1265"/>
      <c r="E936" s="1265"/>
      <c r="F936" s="1265"/>
      <c r="G936" s="1265"/>
      <c r="H936" s="1263"/>
      <c r="I936" s="1264"/>
      <c r="J936" s="1265"/>
      <c r="K936" s="1265"/>
      <c r="L936" s="1265"/>
      <c r="M936" s="1265"/>
      <c r="N936" s="1265"/>
      <c r="O936" s="1265"/>
      <c r="P936" s="1265"/>
    </row>
    <row r="937" ht="17.25" customHeight="1">
      <c r="A937" s="1263"/>
      <c r="B937" s="1140"/>
      <c r="C937" s="1264"/>
      <c r="D937" s="1265"/>
      <c r="E937" s="1265"/>
      <c r="F937" s="1265"/>
      <c r="G937" s="1265"/>
      <c r="H937" s="1263"/>
      <c r="I937" s="1264"/>
      <c r="J937" s="1265"/>
      <c r="K937" s="1265"/>
      <c r="L937" s="1265"/>
      <c r="M937" s="1265"/>
      <c r="N937" s="1265"/>
      <c r="O937" s="1265"/>
      <c r="P937" s="1265"/>
    </row>
    <row r="938" ht="17.25" customHeight="1">
      <c r="A938" s="1263"/>
      <c r="B938" s="1140"/>
      <c r="C938" s="1264"/>
      <c r="D938" s="1265"/>
      <c r="E938" s="1265"/>
      <c r="F938" s="1265"/>
      <c r="G938" s="1265"/>
      <c r="H938" s="1263"/>
      <c r="I938" s="1264"/>
      <c r="J938" s="1265"/>
      <c r="K938" s="1265"/>
      <c r="L938" s="1265"/>
      <c r="M938" s="1265"/>
      <c r="N938" s="1265"/>
      <c r="O938" s="1265"/>
      <c r="P938" s="1265"/>
    </row>
    <row r="939" ht="17.25" customHeight="1">
      <c r="A939" s="1263"/>
      <c r="B939" s="1140"/>
      <c r="C939" s="1264"/>
      <c r="D939" s="1265"/>
      <c r="E939" s="1265"/>
      <c r="F939" s="1265"/>
      <c r="G939" s="1265"/>
      <c r="H939" s="1263"/>
      <c r="I939" s="1264"/>
      <c r="J939" s="1265"/>
      <c r="K939" s="1265"/>
      <c r="L939" s="1265"/>
      <c r="M939" s="1265"/>
      <c r="N939" s="1265"/>
      <c r="O939" s="1265"/>
      <c r="P939" s="1265"/>
    </row>
    <row r="940" ht="17.25" customHeight="1">
      <c r="A940" s="1263"/>
      <c r="B940" s="1140"/>
      <c r="C940" s="1264"/>
      <c r="D940" s="1265"/>
      <c r="E940" s="1265"/>
      <c r="F940" s="1265"/>
      <c r="G940" s="1265"/>
      <c r="H940" s="1263"/>
      <c r="I940" s="1264"/>
      <c r="J940" s="1265"/>
      <c r="K940" s="1265"/>
      <c r="L940" s="1265"/>
      <c r="M940" s="1265"/>
      <c r="N940" s="1265"/>
      <c r="O940" s="1265"/>
      <c r="P940" s="1265"/>
    </row>
    <row r="941" ht="17.25" customHeight="1">
      <c r="A941" s="1263"/>
      <c r="B941" s="1140"/>
      <c r="C941" s="1264"/>
      <c r="D941" s="1265"/>
      <c r="E941" s="1265"/>
      <c r="F941" s="1265"/>
      <c r="G941" s="1265"/>
      <c r="H941" s="1263"/>
      <c r="I941" s="1264"/>
      <c r="J941" s="1265"/>
      <c r="K941" s="1265"/>
      <c r="L941" s="1265"/>
      <c r="M941" s="1265"/>
      <c r="N941" s="1265"/>
      <c r="O941" s="1265"/>
      <c r="P941" s="1265"/>
    </row>
    <row r="942" ht="17.25" customHeight="1">
      <c r="A942" s="1263"/>
      <c r="B942" s="1140"/>
      <c r="C942" s="1264"/>
      <c r="D942" s="1265"/>
      <c r="E942" s="1265"/>
      <c r="F942" s="1265"/>
      <c r="G942" s="1265"/>
      <c r="H942" s="1263"/>
      <c r="I942" s="1264"/>
      <c r="J942" s="1265"/>
      <c r="K942" s="1265"/>
      <c r="L942" s="1265"/>
      <c r="M942" s="1265"/>
      <c r="N942" s="1265"/>
      <c r="O942" s="1265"/>
      <c r="P942" s="1265"/>
    </row>
    <row r="943" ht="17.25" customHeight="1">
      <c r="A943" s="1263"/>
      <c r="B943" s="1140"/>
      <c r="C943" s="1264"/>
      <c r="D943" s="1265"/>
      <c r="E943" s="1265"/>
      <c r="F943" s="1265"/>
      <c r="G943" s="1265"/>
      <c r="H943" s="1263"/>
      <c r="I943" s="1264"/>
      <c r="J943" s="1265"/>
      <c r="K943" s="1265"/>
      <c r="L943" s="1265"/>
      <c r="M943" s="1265"/>
      <c r="N943" s="1265"/>
      <c r="O943" s="1265"/>
      <c r="P943" s="1265"/>
    </row>
    <row r="944" ht="17.25" customHeight="1">
      <c r="A944" s="1263"/>
      <c r="B944" s="1140"/>
      <c r="C944" s="1264"/>
      <c r="D944" s="1265"/>
      <c r="E944" s="1265"/>
      <c r="F944" s="1265"/>
      <c r="G944" s="1265"/>
      <c r="H944" s="1263"/>
      <c r="I944" s="1264"/>
      <c r="J944" s="1265"/>
      <c r="K944" s="1265"/>
      <c r="L944" s="1265"/>
      <c r="M944" s="1265"/>
      <c r="N944" s="1265"/>
      <c r="O944" s="1265"/>
      <c r="P944" s="1265"/>
    </row>
    <row r="945" ht="17.25" customHeight="1">
      <c r="A945" s="1263"/>
      <c r="B945" s="1140"/>
      <c r="C945" s="1264"/>
      <c r="D945" s="1265"/>
      <c r="E945" s="1265"/>
      <c r="F945" s="1265"/>
      <c r="G945" s="1265"/>
      <c r="H945" s="1263"/>
      <c r="I945" s="1264"/>
      <c r="J945" s="1265"/>
      <c r="K945" s="1265"/>
      <c r="L945" s="1265"/>
      <c r="M945" s="1265"/>
      <c r="N945" s="1265"/>
      <c r="O945" s="1265"/>
      <c r="P945" s="1265"/>
    </row>
    <row r="946" ht="17.25" customHeight="1">
      <c r="A946" s="1263"/>
      <c r="B946" s="1140"/>
      <c r="C946" s="1264"/>
      <c r="D946" s="1265"/>
      <c r="E946" s="1265"/>
      <c r="F946" s="1265"/>
      <c r="G946" s="1265"/>
      <c r="H946" s="1263"/>
      <c r="I946" s="1264"/>
      <c r="J946" s="1265"/>
      <c r="K946" s="1265"/>
      <c r="L946" s="1265"/>
      <c r="M946" s="1265"/>
      <c r="N946" s="1265"/>
      <c r="O946" s="1265"/>
      <c r="P946" s="1265"/>
    </row>
    <row r="947" ht="17.25" customHeight="1">
      <c r="A947" s="1263"/>
      <c r="B947" s="1140"/>
      <c r="C947" s="1264"/>
      <c r="D947" s="1265"/>
      <c r="E947" s="1265"/>
      <c r="F947" s="1265"/>
      <c r="G947" s="1265"/>
      <c r="H947" s="1263"/>
      <c r="I947" s="1264"/>
      <c r="J947" s="1265"/>
      <c r="K947" s="1265"/>
      <c r="L947" s="1265"/>
      <c r="M947" s="1265"/>
      <c r="N947" s="1265"/>
      <c r="O947" s="1265"/>
      <c r="P947" s="1265"/>
    </row>
    <row r="948" ht="17.25" customHeight="1">
      <c r="A948" s="1263"/>
      <c r="B948" s="1140"/>
      <c r="C948" s="1264"/>
      <c r="D948" s="1265"/>
      <c r="E948" s="1265"/>
      <c r="F948" s="1265"/>
      <c r="G948" s="1265"/>
      <c r="H948" s="1263"/>
      <c r="I948" s="1264"/>
      <c r="J948" s="1265"/>
      <c r="K948" s="1265"/>
      <c r="L948" s="1265"/>
      <c r="M948" s="1265"/>
      <c r="N948" s="1265"/>
      <c r="O948" s="1265"/>
      <c r="P948" s="1265"/>
    </row>
    <row r="949" ht="17.25" customHeight="1">
      <c r="A949" s="1263"/>
      <c r="B949" s="1140"/>
      <c r="C949" s="1264"/>
      <c r="D949" s="1265"/>
      <c r="E949" s="1265"/>
      <c r="F949" s="1265"/>
      <c r="G949" s="1265"/>
      <c r="H949" s="1263"/>
      <c r="I949" s="1264"/>
      <c r="J949" s="1265"/>
      <c r="K949" s="1265"/>
      <c r="L949" s="1265"/>
      <c r="M949" s="1265"/>
      <c r="N949" s="1265"/>
      <c r="O949" s="1265"/>
      <c r="P949" s="1265"/>
    </row>
    <row r="950" ht="17.25" customHeight="1">
      <c r="A950" s="1263"/>
      <c r="B950" s="1140"/>
      <c r="C950" s="1264"/>
      <c r="D950" s="1265"/>
      <c r="E950" s="1265"/>
      <c r="F950" s="1265"/>
      <c r="G950" s="1265"/>
      <c r="H950" s="1263"/>
      <c r="I950" s="1264"/>
      <c r="J950" s="1265"/>
      <c r="K950" s="1265"/>
      <c r="L950" s="1265"/>
      <c r="M950" s="1265"/>
      <c r="N950" s="1265"/>
      <c r="O950" s="1265"/>
      <c r="P950" s="1265"/>
    </row>
    <row r="951" ht="17.25" customHeight="1">
      <c r="A951" s="1263"/>
      <c r="B951" s="1140"/>
      <c r="C951" s="1264"/>
      <c r="D951" s="1265"/>
      <c r="E951" s="1265"/>
      <c r="F951" s="1265"/>
      <c r="G951" s="1265"/>
      <c r="H951" s="1263"/>
      <c r="I951" s="1264"/>
      <c r="J951" s="1265"/>
      <c r="K951" s="1265"/>
      <c r="L951" s="1265"/>
      <c r="M951" s="1265"/>
      <c r="N951" s="1265"/>
      <c r="O951" s="1265"/>
      <c r="P951" s="1265"/>
    </row>
    <row r="952" ht="17.25" customHeight="1">
      <c r="A952" s="1263"/>
      <c r="B952" s="1140"/>
      <c r="C952" s="1264"/>
      <c r="D952" s="1265"/>
      <c r="E952" s="1265"/>
      <c r="F952" s="1265"/>
      <c r="G952" s="1265"/>
      <c r="H952" s="1263"/>
      <c r="I952" s="1264"/>
      <c r="J952" s="1265"/>
      <c r="K952" s="1265"/>
      <c r="L952" s="1265"/>
      <c r="M952" s="1265"/>
      <c r="N952" s="1265"/>
      <c r="O952" s="1265"/>
      <c r="P952" s="1265"/>
    </row>
    <row r="953" ht="17.25" customHeight="1">
      <c r="A953" s="1263"/>
      <c r="B953" s="1140"/>
      <c r="C953" s="1264"/>
      <c r="D953" s="1265"/>
      <c r="E953" s="1265"/>
      <c r="F953" s="1265"/>
      <c r="G953" s="1265"/>
      <c r="H953" s="1263"/>
      <c r="I953" s="1264"/>
      <c r="J953" s="1265"/>
      <c r="K953" s="1265"/>
      <c r="L953" s="1265"/>
      <c r="M953" s="1265"/>
      <c r="N953" s="1265"/>
      <c r="O953" s="1265"/>
      <c r="P953" s="1265"/>
    </row>
    <row r="954" ht="17.25" customHeight="1">
      <c r="A954" s="1263"/>
      <c r="B954" s="1140"/>
      <c r="C954" s="1264"/>
      <c r="D954" s="1265"/>
      <c r="E954" s="1265"/>
      <c r="F954" s="1265"/>
      <c r="G954" s="1265"/>
      <c r="H954" s="1263"/>
      <c r="I954" s="1264"/>
      <c r="J954" s="1265"/>
      <c r="K954" s="1265"/>
      <c r="L954" s="1265"/>
      <c r="M954" s="1265"/>
      <c r="N954" s="1265"/>
      <c r="O954" s="1265"/>
      <c r="P954" s="1265"/>
    </row>
    <row r="955" ht="17.25" customHeight="1">
      <c r="A955" s="1263"/>
      <c r="B955" s="1140"/>
      <c r="C955" s="1264"/>
      <c r="D955" s="1265"/>
      <c r="E955" s="1265"/>
      <c r="F955" s="1265"/>
      <c r="G955" s="1265"/>
      <c r="H955" s="1263"/>
      <c r="I955" s="1264"/>
      <c r="J955" s="1265"/>
      <c r="K955" s="1265"/>
      <c r="L955" s="1265"/>
      <c r="M955" s="1265"/>
      <c r="N955" s="1265"/>
      <c r="O955" s="1265"/>
      <c r="P955" s="1265"/>
    </row>
    <row r="956" ht="17.25" customHeight="1">
      <c r="A956" s="1263"/>
      <c r="B956" s="1140"/>
      <c r="C956" s="1264"/>
      <c r="D956" s="1265"/>
      <c r="E956" s="1265"/>
      <c r="F956" s="1265"/>
      <c r="G956" s="1265"/>
      <c r="H956" s="1263"/>
      <c r="I956" s="1264"/>
      <c r="J956" s="1265"/>
      <c r="K956" s="1265"/>
      <c r="L956" s="1265"/>
      <c r="M956" s="1265"/>
      <c r="N956" s="1265"/>
      <c r="O956" s="1265"/>
      <c r="P956" s="1265"/>
    </row>
    <row r="957" ht="17.25" customHeight="1">
      <c r="A957" s="1263"/>
      <c r="B957" s="1140"/>
      <c r="C957" s="1264"/>
      <c r="D957" s="1265"/>
      <c r="E957" s="1265"/>
      <c r="F957" s="1265"/>
      <c r="G957" s="1265"/>
      <c r="H957" s="1263"/>
      <c r="I957" s="1264"/>
      <c r="J957" s="1265"/>
      <c r="K957" s="1265"/>
      <c r="L957" s="1265"/>
      <c r="M957" s="1265"/>
      <c r="N957" s="1265"/>
      <c r="O957" s="1265"/>
      <c r="P957" s="1265"/>
    </row>
    <row r="958" ht="17.25" customHeight="1">
      <c r="A958" s="1263"/>
      <c r="B958" s="1140"/>
      <c r="C958" s="1264"/>
      <c r="D958" s="1265"/>
      <c r="E958" s="1265"/>
      <c r="F958" s="1265"/>
      <c r="G958" s="1265"/>
      <c r="H958" s="1263"/>
      <c r="I958" s="1264"/>
      <c r="J958" s="1265"/>
      <c r="K958" s="1265"/>
      <c r="L958" s="1265"/>
      <c r="M958" s="1265"/>
      <c r="N958" s="1265"/>
      <c r="O958" s="1265"/>
      <c r="P958" s="1265"/>
    </row>
    <row r="959" ht="17.25" customHeight="1">
      <c r="A959" s="1263"/>
      <c r="B959" s="1140"/>
      <c r="C959" s="1264"/>
      <c r="D959" s="1265"/>
      <c r="E959" s="1265"/>
      <c r="F959" s="1265"/>
      <c r="G959" s="1265"/>
      <c r="H959" s="1263"/>
      <c r="I959" s="1264"/>
      <c r="J959" s="1265"/>
      <c r="K959" s="1265"/>
      <c r="L959" s="1265"/>
      <c r="M959" s="1265"/>
      <c r="N959" s="1265"/>
      <c r="O959" s="1265"/>
      <c r="P959" s="1265"/>
    </row>
    <row r="960" ht="17.25" customHeight="1">
      <c r="A960" s="1263"/>
      <c r="B960" s="1140"/>
      <c r="C960" s="1264"/>
      <c r="D960" s="1265"/>
      <c r="E960" s="1265"/>
      <c r="F960" s="1265"/>
      <c r="G960" s="1265"/>
      <c r="H960" s="1263"/>
      <c r="I960" s="1264"/>
      <c r="J960" s="1265"/>
      <c r="K960" s="1265"/>
      <c r="L960" s="1265"/>
      <c r="M960" s="1265"/>
      <c r="N960" s="1265"/>
      <c r="O960" s="1265"/>
      <c r="P960" s="1265"/>
    </row>
    <row r="961" ht="17.25" customHeight="1">
      <c r="A961" s="1263"/>
      <c r="B961" s="1140"/>
      <c r="C961" s="1264"/>
      <c r="D961" s="1265"/>
      <c r="E961" s="1265"/>
      <c r="F961" s="1265"/>
      <c r="G961" s="1265"/>
      <c r="H961" s="1263"/>
      <c r="I961" s="1264"/>
      <c r="J961" s="1265"/>
      <c r="K961" s="1265"/>
      <c r="L961" s="1265"/>
      <c r="M961" s="1265"/>
      <c r="N961" s="1265"/>
      <c r="O961" s="1265"/>
      <c r="P961" s="1265"/>
    </row>
    <row r="962" ht="17.25" customHeight="1">
      <c r="A962" s="1263"/>
      <c r="B962" s="1140"/>
      <c r="C962" s="1264"/>
      <c r="D962" s="1265"/>
      <c r="E962" s="1265"/>
      <c r="F962" s="1265"/>
      <c r="G962" s="1265"/>
      <c r="H962" s="1263"/>
      <c r="I962" s="1264"/>
      <c r="J962" s="1265"/>
      <c r="K962" s="1265"/>
      <c r="L962" s="1265"/>
      <c r="M962" s="1265"/>
      <c r="N962" s="1265"/>
      <c r="O962" s="1265"/>
      <c r="P962" s="1265"/>
    </row>
    <row r="963" ht="17.25" customHeight="1">
      <c r="A963" s="1263"/>
      <c r="B963" s="1140"/>
      <c r="C963" s="1264"/>
      <c r="D963" s="1265"/>
      <c r="E963" s="1265"/>
      <c r="F963" s="1265"/>
      <c r="G963" s="1265"/>
      <c r="H963" s="1263"/>
      <c r="I963" s="1264"/>
      <c r="J963" s="1265"/>
      <c r="K963" s="1265"/>
      <c r="L963" s="1265"/>
      <c r="M963" s="1265"/>
      <c r="N963" s="1265"/>
      <c r="O963" s="1265"/>
      <c r="P963" s="1265"/>
    </row>
    <row r="964" ht="17.25" customHeight="1">
      <c r="A964" s="1263"/>
      <c r="B964" s="1140"/>
      <c r="C964" s="1264"/>
      <c r="D964" s="1265"/>
      <c r="E964" s="1265"/>
      <c r="F964" s="1265"/>
      <c r="G964" s="1265"/>
      <c r="H964" s="1263"/>
      <c r="I964" s="1264"/>
      <c r="J964" s="1265"/>
      <c r="K964" s="1265"/>
      <c r="L964" s="1265"/>
      <c r="M964" s="1265"/>
      <c r="N964" s="1265"/>
      <c r="O964" s="1265"/>
      <c r="P964" s="1265"/>
    </row>
    <row r="965" ht="17.25" customHeight="1">
      <c r="A965" s="1263"/>
      <c r="B965" s="1140"/>
      <c r="C965" s="1264"/>
      <c r="D965" s="1265"/>
      <c r="E965" s="1265"/>
      <c r="F965" s="1265"/>
      <c r="G965" s="1265"/>
      <c r="H965" s="1263"/>
      <c r="I965" s="1264"/>
      <c r="J965" s="1265"/>
      <c r="K965" s="1265"/>
      <c r="L965" s="1265"/>
      <c r="M965" s="1265"/>
      <c r="N965" s="1265"/>
      <c r="O965" s="1265"/>
      <c r="P965" s="1265"/>
    </row>
    <row r="966" ht="17.25" customHeight="1">
      <c r="A966" s="1263"/>
      <c r="B966" s="1140"/>
      <c r="C966" s="1264"/>
      <c r="D966" s="1265"/>
      <c r="E966" s="1265"/>
      <c r="F966" s="1265"/>
      <c r="G966" s="1265"/>
      <c r="H966" s="1263"/>
      <c r="I966" s="1264"/>
      <c r="J966" s="1265"/>
      <c r="K966" s="1265"/>
      <c r="L966" s="1265"/>
      <c r="M966" s="1265"/>
      <c r="N966" s="1265"/>
      <c r="O966" s="1265"/>
      <c r="P966" s="1265"/>
    </row>
    <row r="967" ht="17.25" customHeight="1">
      <c r="A967" s="1263"/>
      <c r="B967" s="1140"/>
      <c r="C967" s="1264"/>
      <c r="D967" s="1265"/>
      <c r="E967" s="1265"/>
      <c r="F967" s="1265"/>
      <c r="G967" s="1265"/>
      <c r="H967" s="1263"/>
      <c r="I967" s="1264"/>
      <c r="J967" s="1265"/>
      <c r="K967" s="1265"/>
      <c r="L967" s="1265"/>
      <c r="M967" s="1265"/>
      <c r="N967" s="1265"/>
      <c r="O967" s="1265"/>
      <c r="P967" s="1265"/>
    </row>
    <row r="968" ht="17.25" customHeight="1">
      <c r="A968" s="1263"/>
      <c r="B968" s="1140"/>
      <c r="C968" s="1264"/>
      <c r="D968" s="1265"/>
      <c r="E968" s="1265"/>
      <c r="F968" s="1265"/>
      <c r="G968" s="1265"/>
      <c r="H968" s="1263"/>
      <c r="I968" s="1264"/>
      <c r="J968" s="1265"/>
      <c r="K968" s="1265"/>
      <c r="L968" s="1265"/>
      <c r="M968" s="1265"/>
      <c r="N968" s="1265"/>
      <c r="O968" s="1265"/>
      <c r="P968" s="1265"/>
    </row>
    <row r="969" ht="17.25" customHeight="1">
      <c r="A969" s="1263"/>
      <c r="B969" s="1140"/>
      <c r="C969" s="1264"/>
      <c r="D969" s="1265"/>
      <c r="E969" s="1265"/>
      <c r="F969" s="1265"/>
      <c r="G969" s="1265"/>
      <c r="H969" s="1263"/>
      <c r="I969" s="1264"/>
      <c r="J969" s="1265"/>
      <c r="K969" s="1265"/>
      <c r="L969" s="1265"/>
      <c r="M969" s="1265"/>
      <c r="N969" s="1265"/>
      <c r="O969" s="1265"/>
      <c r="P969" s="1265"/>
    </row>
    <row r="970" ht="17.25" customHeight="1">
      <c r="A970" s="1263"/>
      <c r="B970" s="1140"/>
      <c r="C970" s="1264"/>
      <c r="D970" s="1265"/>
      <c r="E970" s="1265"/>
      <c r="F970" s="1265"/>
      <c r="G970" s="1265"/>
      <c r="H970" s="1263"/>
      <c r="I970" s="1264"/>
      <c r="J970" s="1265"/>
      <c r="K970" s="1265"/>
      <c r="L970" s="1265"/>
      <c r="M970" s="1265"/>
      <c r="N970" s="1265"/>
      <c r="O970" s="1265"/>
      <c r="P970" s="1265"/>
    </row>
    <row r="971" ht="17.25" customHeight="1">
      <c r="A971" s="1263"/>
      <c r="B971" s="1140"/>
      <c r="C971" s="1264"/>
      <c r="D971" s="1265"/>
      <c r="E971" s="1265"/>
      <c r="F971" s="1265"/>
      <c r="G971" s="1265"/>
      <c r="H971" s="1263"/>
      <c r="I971" s="1264"/>
      <c r="J971" s="1265"/>
      <c r="K971" s="1265"/>
      <c r="L971" s="1265"/>
      <c r="M971" s="1265"/>
      <c r="N971" s="1265"/>
      <c r="O971" s="1265"/>
      <c r="P971" s="1265"/>
    </row>
    <row r="972" ht="17.25" customHeight="1">
      <c r="A972" s="1263"/>
      <c r="B972" s="1140"/>
      <c r="C972" s="1264"/>
      <c r="D972" s="1265"/>
      <c r="E972" s="1265"/>
      <c r="F972" s="1265"/>
      <c r="G972" s="1265"/>
      <c r="H972" s="1263"/>
      <c r="I972" s="1264"/>
      <c r="J972" s="1265"/>
      <c r="K972" s="1265"/>
      <c r="L972" s="1265"/>
      <c r="M972" s="1265"/>
      <c r="N972" s="1265"/>
      <c r="O972" s="1265"/>
      <c r="P972" s="1265"/>
    </row>
    <row r="973" ht="17.25" customHeight="1">
      <c r="A973" s="1263"/>
      <c r="B973" s="1140"/>
      <c r="C973" s="1264"/>
      <c r="D973" s="1265"/>
      <c r="E973" s="1265"/>
      <c r="F973" s="1265"/>
      <c r="G973" s="1265"/>
      <c r="H973" s="1263"/>
      <c r="I973" s="1264"/>
      <c r="J973" s="1265"/>
      <c r="K973" s="1265"/>
      <c r="L973" s="1265"/>
      <c r="M973" s="1265"/>
      <c r="N973" s="1265"/>
      <c r="O973" s="1265"/>
      <c r="P973" s="1265"/>
    </row>
    <row r="974" ht="17.25" customHeight="1">
      <c r="A974" s="1263"/>
      <c r="B974" s="1140"/>
      <c r="C974" s="1264"/>
      <c r="D974" s="1265"/>
      <c r="E974" s="1265"/>
      <c r="F974" s="1265"/>
      <c r="G974" s="1265"/>
      <c r="H974" s="1263"/>
      <c r="I974" s="1264"/>
      <c r="J974" s="1265"/>
      <c r="K974" s="1265"/>
      <c r="L974" s="1265"/>
      <c r="M974" s="1265"/>
      <c r="N974" s="1265"/>
      <c r="O974" s="1265"/>
      <c r="P974" s="1265"/>
    </row>
    <row r="975" ht="17.25" customHeight="1">
      <c r="A975" s="1263"/>
      <c r="B975" s="1140"/>
      <c r="C975" s="1264"/>
      <c r="D975" s="1265"/>
      <c r="E975" s="1265"/>
      <c r="F975" s="1265"/>
      <c r="G975" s="1265"/>
      <c r="H975" s="1263"/>
      <c r="I975" s="1264"/>
      <c r="J975" s="1265"/>
      <c r="K975" s="1265"/>
      <c r="L975" s="1265"/>
      <c r="M975" s="1265"/>
      <c r="N975" s="1265"/>
      <c r="O975" s="1265"/>
      <c r="P975" s="1265"/>
    </row>
    <row r="976" ht="17.25" customHeight="1">
      <c r="A976" s="1263"/>
      <c r="B976" s="1140"/>
      <c r="C976" s="1264"/>
      <c r="D976" s="1265"/>
      <c r="E976" s="1265"/>
      <c r="F976" s="1265"/>
      <c r="G976" s="1265"/>
      <c r="H976" s="1263"/>
      <c r="I976" s="1264"/>
      <c r="J976" s="1265"/>
      <c r="K976" s="1265"/>
      <c r="L976" s="1265"/>
      <c r="M976" s="1265"/>
      <c r="N976" s="1265"/>
      <c r="O976" s="1265"/>
      <c r="P976" s="1265"/>
    </row>
    <row r="977" ht="17.25" customHeight="1">
      <c r="A977" s="1263"/>
      <c r="B977" s="1140"/>
      <c r="C977" s="1264"/>
      <c r="D977" s="1265"/>
      <c r="E977" s="1265"/>
      <c r="F977" s="1265"/>
      <c r="G977" s="1265"/>
      <c r="H977" s="1263"/>
      <c r="I977" s="1264"/>
      <c r="J977" s="1265"/>
      <c r="K977" s="1265"/>
      <c r="L977" s="1265"/>
      <c r="M977" s="1265"/>
      <c r="N977" s="1265"/>
      <c r="O977" s="1265"/>
      <c r="P977" s="1265"/>
    </row>
    <row r="978" ht="17.25" customHeight="1">
      <c r="A978" s="1263"/>
      <c r="B978" s="1140"/>
      <c r="C978" s="1264"/>
      <c r="D978" s="1265"/>
      <c r="E978" s="1265"/>
      <c r="F978" s="1265"/>
      <c r="G978" s="1265"/>
      <c r="H978" s="1263"/>
      <c r="I978" s="1264"/>
      <c r="J978" s="1265"/>
      <c r="K978" s="1265"/>
      <c r="L978" s="1265"/>
      <c r="M978" s="1265"/>
      <c r="N978" s="1265"/>
      <c r="O978" s="1265"/>
      <c r="P978" s="1265"/>
    </row>
    <row r="979" ht="17.25" customHeight="1">
      <c r="A979" s="1263"/>
      <c r="B979" s="1140"/>
      <c r="C979" s="1264"/>
      <c r="D979" s="1265"/>
      <c r="E979" s="1265"/>
      <c r="F979" s="1265"/>
      <c r="G979" s="1265"/>
      <c r="H979" s="1263"/>
      <c r="I979" s="1264"/>
      <c r="J979" s="1265"/>
      <c r="K979" s="1265"/>
      <c r="L979" s="1265"/>
      <c r="M979" s="1265"/>
      <c r="N979" s="1265"/>
      <c r="O979" s="1265"/>
      <c r="P979" s="1265"/>
    </row>
    <row r="980" ht="17.25" customHeight="1">
      <c r="A980" s="1263"/>
      <c r="B980" s="1140"/>
      <c r="C980" s="1264"/>
      <c r="D980" s="1265"/>
      <c r="E980" s="1265"/>
      <c r="F980" s="1265"/>
      <c r="G980" s="1265"/>
      <c r="H980" s="1263"/>
      <c r="I980" s="1264"/>
      <c r="J980" s="1265"/>
      <c r="K980" s="1265"/>
      <c r="L980" s="1265"/>
      <c r="M980" s="1265"/>
      <c r="N980" s="1265"/>
      <c r="O980" s="1265"/>
      <c r="P980" s="1265"/>
    </row>
    <row r="981" ht="17.25" customHeight="1">
      <c r="A981" s="1263"/>
      <c r="B981" s="1140"/>
      <c r="C981" s="1264"/>
      <c r="D981" s="1265"/>
      <c r="E981" s="1265"/>
      <c r="F981" s="1265"/>
      <c r="G981" s="1265"/>
      <c r="H981" s="1263"/>
      <c r="I981" s="1264"/>
      <c r="J981" s="1265"/>
      <c r="K981" s="1265"/>
      <c r="L981" s="1265"/>
      <c r="M981" s="1265"/>
      <c r="N981" s="1265"/>
      <c r="O981" s="1265"/>
      <c r="P981" s="1265"/>
    </row>
    <row r="982" ht="17.25" customHeight="1">
      <c r="A982" s="1263"/>
      <c r="B982" s="1140"/>
      <c r="C982" s="1264"/>
      <c r="D982" s="1265"/>
      <c r="E982" s="1265"/>
      <c r="F982" s="1265"/>
      <c r="G982" s="1265"/>
      <c r="H982" s="1263"/>
      <c r="I982" s="1264"/>
      <c r="J982" s="1265"/>
      <c r="K982" s="1265"/>
      <c r="L982" s="1265"/>
      <c r="M982" s="1265"/>
      <c r="N982" s="1265"/>
      <c r="O982" s="1265"/>
      <c r="P982" s="1265"/>
    </row>
    <row r="983" ht="17.25" customHeight="1">
      <c r="A983" s="1263"/>
      <c r="B983" s="1140"/>
      <c r="C983" s="1264"/>
      <c r="D983" s="1265"/>
      <c r="E983" s="1265"/>
      <c r="F983" s="1265"/>
      <c r="G983" s="1265"/>
      <c r="H983" s="1263"/>
      <c r="I983" s="1264"/>
      <c r="J983" s="1265"/>
      <c r="K983" s="1265"/>
      <c r="L983" s="1265"/>
      <c r="M983" s="1265"/>
      <c r="N983" s="1265"/>
      <c r="O983" s="1265"/>
      <c r="P983" s="1265"/>
    </row>
  </sheetData>
  <autoFilter ref="$A$1:$C$14"/>
  <customSheetViews>
    <customSheetView guid="{CF39F706-2E36-4DD4-99F2-F6ADFA474844}" filter="1" showAutoFilter="1">
      <autoFilter ref="$H$18:$I$18"/>
    </customSheetView>
  </customSheetViews>
  <mergeCells count="2">
    <mergeCell ref="A2:B2"/>
    <mergeCell ref="G2:I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2.75"/>
  <cols>
    <col customWidth="1" min="1" max="1" width="5.38"/>
    <col customWidth="1" min="2" max="2" width="42.13"/>
    <col customWidth="1" min="3" max="3" width="10.63"/>
    <col customWidth="1" min="4" max="4" width="5.25"/>
    <col customWidth="1" min="5" max="5" width="12.0"/>
    <col customWidth="1" min="6" max="6" width="9.13"/>
    <col customWidth="1" min="7" max="7" width="11.88"/>
    <col customWidth="1" min="8" max="8" width="12.0"/>
    <col customWidth="1" min="9" max="9" width="30.88"/>
    <col customWidth="1" min="10" max="10" width="7.88"/>
    <col customWidth="1" min="11" max="11" width="11.88"/>
    <col customWidth="1" min="12" max="12" width="10.13"/>
    <col customWidth="1" min="13" max="13" width="3.75"/>
    <col customWidth="1" min="14" max="14" width="10.0"/>
    <col customWidth="1" min="15" max="15" width="9.63"/>
    <col customWidth="1" min="16" max="16" width="8.38"/>
    <col customWidth="1" min="17" max="17" width="7.25"/>
    <col customWidth="1" min="18" max="18" width="8.38"/>
    <col customWidth="1" min="19" max="20" width="7.38"/>
    <col customWidth="1" min="21" max="22" width="10.13"/>
    <col customWidth="1" min="23" max="28" width="3.5"/>
    <col customWidth="1" min="29" max="29" width="33.38"/>
  </cols>
  <sheetData>
    <row r="1" ht="30.0" customHeight="1">
      <c r="A1" s="1285"/>
      <c r="B1" s="1286" t="s">
        <v>6329</v>
      </c>
      <c r="C1" s="1287"/>
      <c r="D1" s="1287"/>
      <c r="E1" s="1287"/>
      <c r="F1" s="1287"/>
      <c r="G1" s="1287"/>
      <c r="H1" s="1287"/>
      <c r="I1" s="1288"/>
      <c r="J1" s="1289"/>
      <c r="K1" s="1290"/>
      <c r="L1" s="587"/>
      <c r="N1" s="1291"/>
      <c r="O1" s="370"/>
      <c r="P1" s="1291"/>
      <c r="Q1" s="1291"/>
      <c r="R1" s="1291"/>
      <c r="S1" s="370"/>
    </row>
    <row r="2">
      <c r="A2" s="1292"/>
      <c r="B2" s="1293"/>
      <c r="C2" s="1294" t="s">
        <v>3879</v>
      </c>
      <c r="D2" s="1295" t="s">
        <v>6330</v>
      </c>
      <c r="E2" s="1296" t="s">
        <v>6331</v>
      </c>
      <c r="F2" s="163" t="s">
        <v>6332</v>
      </c>
      <c r="G2" s="163"/>
      <c r="H2" s="163" t="s">
        <v>6333</v>
      </c>
      <c r="I2" s="1297" t="s">
        <v>6334</v>
      </c>
      <c r="J2" s="1298" t="s">
        <v>6335</v>
      </c>
      <c r="K2" s="1299" t="s">
        <v>6336</v>
      </c>
      <c r="L2" s="587"/>
      <c r="N2" s="1291"/>
      <c r="O2" s="370"/>
      <c r="P2" s="1291"/>
      <c r="Q2" s="1291"/>
      <c r="R2" s="1291"/>
      <c r="S2" s="370"/>
    </row>
    <row r="3">
      <c r="A3" s="1292"/>
      <c r="B3" s="1293" t="s">
        <v>6337</v>
      </c>
      <c r="C3" s="1294">
        <v>3.0</v>
      </c>
      <c r="D3" s="1295">
        <v>5.5</v>
      </c>
      <c r="E3" s="1296">
        <v>800.0</v>
      </c>
      <c r="F3" s="163">
        <f t="shared" ref="F3:F59" si="1">D3*E3</f>
        <v>4400</v>
      </c>
      <c r="G3" s="589"/>
      <c r="H3" s="589">
        <f t="shared" ref="H3:H59" si="2">F3*C3</f>
        <v>13200</v>
      </c>
      <c r="I3" s="1300">
        <v>30000.0</v>
      </c>
      <c r="J3" s="1301">
        <f t="shared" ref="J3:J4" si="3">I3/F3-1</f>
        <v>5.818181818</v>
      </c>
      <c r="K3" s="1302">
        <f t="shared" ref="K3:K4" si="4">I3*C3</f>
        <v>90000</v>
      </c>
      <c r="L3" s="587"/>
      <c r="N3" s="1291"/>
      <c r="O3" s="370"/>
      <c r="P3" s="1291"/>
      <c r="Q3" s="1291"/>
      <c r="R3" s="1291"/>
      <c r="S3" s="370"/>
    </row>
    <row r="4">
      <c r="A4" s="1292"/>
      <c r="B4" s="1293" t="s">
        <v>6338</v>
      </c>
      <c r="C4" s="1294">
        <v>2.0</v>
      </c>
      <c r="D4" s="1295">
        <v>5.5</v>
      </c>
      <c r="E4" s="1296">
        <v>800.0</v>
      </c>
      <c r="F4" s="163">
        <f t="shared" si="1"/>
        <v>4400</v>
      </c>
      <c r="G4" s="589"/>
      <c r="H4" s="589">
        <f t="shared" si="2"/>
        <v>8800</v>
      </c>
      <c r="I4" s="1300">
        <v>24000.0</v>
      </c>
      <c r="J4" s="1301">
        <f t="shared" si="3"/>
        <v>4.454545455</v>
      </c>
      <c r="K4" s="1302">
        <f t="shared" si="4"/>
        <v>48000</v>
      </c>
      <c r="L4" s="587"/>
      <c r="N4" s="1291"/>
      <c r="O4" s="370"/>
      <c r="P4" s="1291"/>
      <c r="Q4" s="1291"/>
      <c r="R4" s="1291"/>
      <c r="S4" s="370"/>
    </row>
    <row r="5">
      <c r="A5" s="1292"/>
      <c r="B5" s="1293" t="s">
        <v>6339</v>
      </c>
      <c r="C5" s="1294"/>
      <c r="D5" s="1295">
        <v>0.0</v>
      </c>
      <c r="E5" s="1296">
        <v>800.0</v>
      </c>
      <c r="F5" s="163">
        <f t="shared" si="1"/>
        <v>0</v>
      </c>
      <c r="G5" s="589"/>
      <c r="H5" s="589">
        <f t="shared" si="2"/>
        <v>0</v>
      </c>
      <c r="I5" s="1300"/>
      <c r="J5" s="1301"/>
      <c r="K5" s="1302"/>
      <c r="L5" s="587"/>
      <c r="N5" s="1291"/>
      <c r="O5" s="370"/>
      <c r="P5" s="1291"/>
      <c r="Q5" s="1291"/>
      <c r="R5" s="1291"/>
      <c r="S5" s="370"/>
    </row>
    <row r="6">
      <c r="A6" s="1292"/>
      <c r="B6" s="1293" t="s">
        <v>6340</v>
      </c>
      <c r="C6" s="1294"/>
      <c r="D6" s="1295">
        <v>0.0</v>
      </c>
      <c r="E6" s="1296">
        <v>800.0</v>
      </c>
      <c r="F6" s="163">
        <f t="shared" si="1"/>
        <v>0</v>
      </c>
      <c r="G6" s="589"/>
      <c r="H6" s="589">
        <f t="shared" si="2"/>
        <v>0</v>
      </c>
      <c r="I6" s="1303"/>
      <c r="J6" s="1301"/>
      <c r="K6" s="1302"/>
      <c r="L6" s="587"/>
      <c r="N6" s="1291"/>
      <c r="O6" s="370"/>
      <c r="P6" s="1291"/>
      <c r="Q6" s="1291"/>
      <c r="R6" s="1291"/>
      <c r="S6" s="370"/>
    </row>
    <row r="7">
      <c r="A7" s="1292"/>
      <c r="B7" s="1293" t="s">
        <v>6341</v>
      </c>
      <c r="C7" s="1294">
        <v>2.0</v>
      </c>
      <c r="D7" s="1295">
        <v>1.0</v>
      </c>
      <c r="E7" s="1296">
        <v>800.0</v>
      </c>
      <c r="F7" s="163">
        <f t="shared" si="1"/>
        <v>800</v>
      </c>
      <c r="G7" s="589"/>
      <c r="H7" s="589">
        <f t="shared" si="2"/>
        <v>1600</v>
      </c>
      <c r="I7" s="1300">
        <v>40000.0</v>
      </c>
      <c r="J7" s="1301">
        <f t="shared" ref="J7:J9" si="5">I7/F7-1</f>
        <v>49</v>
      </c>
      <c r="K7" s="1302">
        <f t="shared" ref="K7:K9" si="6">I7*C7</f>
        <v>80000</v>
      </c>
      <c r="L7" s="587"/>
      <c r="N7" s="1291"/>
      <c r="O7" s="370"/>
      <c r="P7" s="1291"/>
      <c r="Q7" s="1291"/>
      <c r="R7" s="1291"/>
      <c r="S7" s="370"/>
    </row>
    <row r="8">
      <c r="A8" s="1292"/>
      <c r="B8" s="1293" t="s">
        <v>6342</v>
      </c>
      <c r="C8" s="1294">
        <v>6.0</v>
      </c>
      <c r="D8" s="1295">
        <v>29.0</v>
      </c>
      <c r="E8" s="1296">
        <v>800.0</v>
      </c>
      <c r="F8" s="163">
        <f t="shared" si="1"/>
        <v>23200</v>
      </c>
      <c r="G8" s="589"/>
      <c r="H8" s="589">
        <f t="shared" si="2"/>
        <v>139200</v>
      </c>
      <c r="I8" s="1300">
        <v>55000.0</v>
      </c>
      <c r="J8" s="1301">
        <f t="shared" si="5"/>
        <v>1.370689655</v>
      </c>
      <c r="K8" s="1302">
        <f t="shared" si="6"/>
        <v>330000</v>
      </c>
      <c r="L8" s="587"/>
      <c r="N8" s="1291"/>
      <c r="O8" s="370"/>
      <c r="P8" s="1291"/>
      <c r="Q8" s="1291"/>
      <c r="R8" s="1291"/>
      <c r="S8" s="370"/>
    </row>
    <row r="9">
      <c r="A9" s="1292"/>
      <c r="B9" s="1293" t="s">
        <v>6343</v>
      </c>
      <c r="C9" s="1294">
        <v>4.0</v>
      </c>
      <c r="D9" s="1295">
        <v>10.0</v>
      </c>
      <c r="E9" s="1296">
        <v>800.0</v>
      </c>
      <c r="F9" s="163">
        <f t="shared" si="1"/>
        <v>8000</v>
      </c>
      <c r="G9" s="589"/>
      <c r="H9" s="589">
        <f t="shared" si="2"/>
        <v>32000</v>
      </c>
      <c r="I9" s="1303">
        <f>2500*30</f>
        <v>75000</v>
      </c>
      <c r="J9" s="1301">
        <f t="shared" si="5"/>
        <v>8.375</v>
      </c>
      <c r="K9" s="1302">
        <f t="shared" si="6"/>
        <v>300000</v>
      </c>
      <c r="L9" s="587"/>
      <c r="N9" s="1291"/>
      <c r="O9" s="370"/>
      <c r="P9" s="1291"/>
      <c r="Q9" s="1291"/>
      <c r="R9" s="1291"/>
      <c r="S9" s="370"/>
    </row>
    <row r="10">
      <c r="A10" s="1292"/>
      <c r="B10" s="1293" t="s">
        <v>6344</v>
      </c>
      <c r="C10" s="1294"/>
      <c r="D10" s="1295"/>
      <c r="E10" s="1296">
        <v>800.0</v>
      </c>
      <c r="F10" s="163">
        <f t="shared" si="1"/>
        <v>0</v>
      </c>
      <c r="G10" s="589"/>
      <c r="H10" s="589">
        <f t="shared" si="2"/>
        <v>0</v>
      </c>
      <c r="I10" s="1303"/>
      <c r="J10" s="1301"/>
      <c r="K10" s="1302"/>
      <c r="L10" s="587"/>
      <c r="N10" s="1291"/>
      <c r="O10" s="370"/>
      <c r="P10" s="1291"/>
      <c r="Q10" s="1291"/>
      <c r="R10" s="1291"/>
      <c r="S10" s="370"/>
    </row>
    <row r="11">
      <c r="A11" s="1292"/>
      <c r="B11" s="1293" t="s">
        <v>6345</v>
      </c>
      <c r="C11" s="1294"/>
      <c r="D11" s="1295"/>
      <c r="E11" s="1296">
        <v>800.0</v>
      </c>
      <c r="F11" s="163">
        <f t="shared" si="1"/>
        <v>0</v>
      </c>
      <c r="G11" s="589"/>
      <c r="H11" s="589">
        <f t="shared" si="2"/>
        <v>0</v>
      </c>
      <c r="I11" s="1303"/>
      <c r="J11" s="1301"/>
      <c r="K11" s="1302"/>
      <c r="L11" s="587"/>
      <c r="N11" s="1291"/>
      <c r="O11" s="370"/>
      <c r="P11" s="1291"/>
      <c r="Q11" s="1291"/>
      <c r="R11" s="1291"/>
      <c r="S11" s="370"/>
    </row>
    <row r="12">
      <c r="A12" s="1292"/>
      <c r="B12" s="1293" t="s">
        <v>6346</v>
      </c>
      <c r="C12" s="1294"/>
      <c r="D12" s="1295"/>
      <c r="E12" s="1296">
        <v>800.0</v>
      </c>
      <c r="F12" s="163">
        <f t="shared" si="1"/>
        <v>0</v>
      </c>
      <c r="G12" s="589"/>
      <c r="H12" s="589">
        <f t="shared" si="2"/>
        <v>0</v>
      </c>
      <c r="I12" s="1303"/>
      <c r="J12" s="1301"/>
      <c r="K12" s="1302"/>
      <c r="L12" s="587"/>
      <c r="N12" s="1291"/>
      <c r="O12" s="370"/>
      <c r="P12" s="1291"/>
      <c r="Q12" s="1291"/>
      <c r="R12" s="1291"/>
      <c r="S12" s="370"/>
    </row>
    <row r="13">
      <c r="A13" s="1292"/>
      <c r="B13" s="1293" t="s">
        <v>6347</v>
      </c>
      <c r="C13" s="1294"/>
      <c r="D13" s="1295"/>
      <c r="E13" s="1296">
        <v>800.0</v>
      </c>
      <c r="F13" s="163">
        <f t="shared" si="1"/>
        <v>0</v>
      </c>
      <c r="G13" s="589"/>
      <c r="H13" s="589">
        <f t="shared" si="2"/>
        <v>0</v>
      </c>
      <c r="I13" s="1303"/>
      <c r="J13" s="1301"/>
      <c r="K13" s="1302"/>
      <c r="L13" s="587"/>
      <c r="N13" s="1291"/>
      <c r="O13" s="370"/>
      <c r="P13" s="1291"/>
      <c r="Q13" s="1291"/>
      <c r="R13" s="1291"/>
      <c r="S13" s="370"/>
    </row>
    <row r="14">
      <c r="A14" s="1292"/>
      <c r="B14" s="1293" t="s">
        <v>6348</v>
      </c>
      <c r="C14" s="1294"/>
      <c r="D14" s="1295"/>
      <c r="E14" s="1296">
        <v>800.0</v>
      </c>
      <c r="F14" s="163">
        <f t="shared" si="1"/>
        <v>0</v>
      </c>
      <c r="G14" s="589"/>
      <c r="H14" s="589">
        <f t="shared" si="2"/>
        <v>0</v>
      </c>
      <c r="I14" s="1303"/>
      <c r="J14" s="1301"/>
      <c r="K14" s="1302"/>
      <c r="L14" s="587"/>
      <c r="N14" s="1291"/>
      <c r="O14" s="370"/>
      <c r="P14" s="1291"/>
      <c r="Q14" s="1291"/>
      <c r="R14" s="1291"/>
      <c r="S14" s="370"/>
    </row>
    <row r="15">
      <c r="A15" s="548"/>
      <c r="B15" s="1304" t="s">
        <v>6349</v>
      </c>
      <c r="C15" s="288">
        <v>3.0</v>
      </c>
      <c r="D15" s="163">
        <v>8.0</v>
      </c>
      <c r="E15" s="1296">
        <v>800.0</v>
      </c>
      <c r="F15" s="163">
        <f t="shared" si="1"/>
        <v>6400</v>
      </c>
      <c r="G15" s="589"/>
      <c r="H15" s="589">
        <f t="shared" si="2"/>
        <v>19200</v>
      </c>
      <c r="I15" s="1300">
        <v>25000.0</v>
      </c>
      <c r="J15" s="1301">
        <f t="shared" ref="J15:J16" si="7">I15/F15-1</f>
        <v>2.90625</v>
      </c>
      <c r="K15" s="1302">
        <f t="shared" ref="K15:K16" si="8">I15*C15</f>
        <v>75000</v>
      </c>
      <c r="L15" s="587"/>
      <c r="N15" s="1291"/>
      <c r="O15" s="370"/>
      <c r="P15" s="1291"/>
      <c r="Q15" s="1291"/>
      <c r="R15" s="1291"/>
      <c r="S15" s="370"/>
    </row>
    <row r="16">
      <c r="A16" s="548" t="s">
        <v>4326</v>
      </c>
      <c r="B16" s="1304" t="s">
        <v>403</v>
      </c>
      <c r="C16" s="288">
        <v>1.0</v>
      </c>
      <c r="D16" s="163">
        <v>22.0</v>
      </c>
      <c r="E16" s="1296">
        <v>800.0</v>
      </c>
      <c r="F16" s="163">
        <f t="shared" si="1"/>
        <v>17600</v>
      </c>
      <c r="G16" s="589"/>
      <c r="H16" s="589">
        <f t="shared" si="2"/>
        <v>17600</v>
      </c>
      <c r="I16" s="1303">
        <f>2000*16</f>
        <v>32000</v>
      </c>
      <c r="J16" s="1301">
        <f t="shared" si="7"/>
        <v>0.8181818182</v>
      </c>
      <c r="K16" s="1302">
        <f t="shared" si="8"/>
        <v>32000</v>
      </c>
      <c r="L16" s="587"/>
      <c r="N16" s="1291"/>
      <c r="O16" s="370"/>
      <c r="P16" s="1291"/>
      <c r="Q16" s="1291"/>
      <c r="R16" s="1291"/>
      <c r="S16" s="370"/>
    </row>
    <row r="17">
      <c r="A17" s="1292" t="s">
        <v>4326</v>
      </c>
      <c r="B17" s="1293" t="s">
        <v>6350</v>
      </c>
      <c r="C17" s="1294"/>
      <c r="D17" s="1295"/>
      <c r="E17" s="1296">
        <v>800.0</v>
      </c>
      <c r="F17" s="163">
        <f t="shared" si="1"/>
        <v>0</v>
      </c>
      <c r="G17" s="589"/>
      <c r="H17" s="589">
        <f t="shared" si="2"/>
        <v>0</v>
      </c>
      <c r="I17" s="1303"/>
      <c r="J17" s="1301"/>
      <c r="K17" s="1302"/>
      <c r="L17" s="587"/>
      <c r="N17" s="1291"/>
      <c r="O17" s="370"/>
      <c r="P17" s="1291"/>
      <c r="Q17" s="1291"/>
      <c r="R17" s="1291"/>
      <c r="S17" s="370"/>
    </row>
    <row r="18">
      <c r="A18" s="1292"/>
      <c r="B18" s="1293" t="s">
        <v>6351</v>
      </c>
      <c r="C18" s="1294">
        <v>4.0</v>
      </c>
      <c r="D18" s="1295">
        <v>10.0</v>
      </c>
      <c r="E18" s="1296">
        <v>800.0</v>
      </c>
      <c r="F18" s="163">
        <f t="shared" si="1"/>
        <v>8000</v>
      </c>
      <c r="G18" s="589"/>
      <c r="H18" s="589">
        <f t="shared" si="2"/>
        <v>32000</v>
      </c>
      <c r="I18" s="1300">
        <v>28000.0</v>
      </c>
      <c r="J18" s="1301">
        <f t="shared" ref="J18:J20" si="9">I18/F18-1</f>
        <v>2.5</v>
      </c>
      <c r="K18" s="1302">
        <f t="shared" ref="K18:K20" si="10">I18*C18</f>
        <v>112000</v>
      </c>
      <c r="L18" s="587"/>
      <c r="N18" s="1291"/>
      <c r="O18" s="370"/>
      <c r="P18" s="1291"/>
      <c r="Q18" s="1291"/>
      <c r="R18" s="1291"/>
      <c r="S18" s="370"/>
    </row>
    <row r="19">
      <c r="A19" s="1292"/>
      <c r="B19" s="1293" t="s">
        <v>6352</v>
      </c>
      <c r="C19" s="1294">
        <v>14.0</v>
      </c>
      <c r="D19" s="1295">
        <v>8.0</v>
      </c>
      <c r="E19" s="1296">
        <v>800.0</v>
      </c>
      <c r="F19" s="163">
        <f t="shared" si="1"/>
        <v>6400</v>
      </c>
      <c r="G19" s="589"/>
      <c r="H19" s="589">
        <f t="shared" si="2"/>
        <v>89600</v>
      </c>
      <c r="I19" s="1300">
        <v>80000.0</v>
      </c>
      <c r="J19" s="1301">
        <f t="shared" si="9"/>
        <v>11.5</v>
      </c>
      <c r="K19" s="1302">
        <f t="shared" si="10"/>
        <v>1120000</v>
      </c>
      <c r="L19" s="587"/>
      <c r="N19" s="1291"/>
      <c r="O19" s="370"/>
      <c r="P19" s="1291"/>
      <c r="Q19" s="1291"/>
      <c r="R19" s="1291"/>
      <c r="S19" s="370"/>
    </row>
    <row r="20">
      <c r="A20" s="1292"/>
      <c r="B20" s="1293" t="s">
        <v>6353</v>
      </c>
      <c r="C20" s="1294">
        <v>6.0</v>
      </c>
      <c r="D20" s="1295">
        <v>27.8</v>
      </c>
      <c r="E20" s="1296">
        <v>800.0</v>
      </c>
      <c r="F20" s="163">
        <f t="shared" si="1"/>
        <v>22240</v>
      </c>
      <c r="G20" s="589"/>
      <c r="H20" s="589">
        <f t="shared" si="2"/>
        <v>133440</v>
      </c>
      <c r="I20" s="1300">
        <v>32000.0</v>
      </c>
      <c r="J20" s="1301">
        <f t="shared" si="9"/>
        <v>0.4388489209</v>
      </c>
      <c r="K20" s="1302">
        <f t="shared" si="10"/>
        <v>192000</v>
      </c>
      <c r="L20" s="587"/>
      <c r="N20" s="1291"/>
      <c r="O20" s="370"/>
      <c r="P20" s="1291"/>
      <c r="Q20" s="1291"/>
      <c r="R20" s="1291"/>
      <c r="S20" s="370"/>
    </row>
    <row r="21">
      <c r="A21" s="1292"/>
      <c r="B21" s="1293" t="s">
        <v>6354</v>
      </c>
      <c r="C21" s="1294"/>
      <c r="D21" s="1295"/>
      <c r="E21" s="1296">
        <v>800.0</v>
      </c>
      <c r="F21" s="163">
        <f t="shared" si="1"/>
        <v>0</v>
      </c>
      <c r="G21" s="589"/>
      <c r="H21" s="589">
        <f t="shared" si="2"/>
        <v>0</v>
      </c>
      <c r="I21" s="1303"/>
      <c r="J21" s="1301"/>
      <c r="K21" s="1302"/>
      <c r="L21" s="587"/>
      <c r="N21" s="1291"/>
      <c r="O21" s="370"/>
      <c r="P21" s="1291"/>
      <c r="Q21" s="1291"/>
      <c r="R21" s="1291"/>
      <c r="S21" s="370"/>
    </row>
    <row r="22">
      <c r="A22" s="1292"/>
      <c r="B22" s="1293" t="s">
        <v>6355</v>
      </c>
      <c r="C22" s="1294"/>
      <c r="D22" s="1295"/>
      <c r="E22" s="1296">
        <v>800.0</v>
      </c>
      <c r="F22" s="163">
        <f t="shared" si="1"/>
        <v>0</v>
      </c>
      <c r="G22" s="589"/>
      <c r="H22" s="589">
        <f t="shared" si="2"/>
        <v>0</v>
      </c>
      <c r="I22" s="1303"/>
      <c r="J22" s="1301"/>
      <c r="K22" s="1302"/>
      <c r="L22" s="587"/>
      <c r="N22" s="1291"/>
      <c r="O22" s="370"/>
      <c r="P22" s="1291"/>
      <c r="Q22" s="1291"/>
      <c r="R22" s="1291"/>
      <c r="S22" s="370"/>
    </row>
    <row r="23">
      <c r="A23" s="1292"/>
      <c r="B23" s="1293" t="s">
        <v>6356</v>
      </c>
      <c r="C23" s="287"/>
      <c r="D23" s="589"/>
      <c r="E23" s="1296">
        <v>800.0</v>
      </c>
      <c r="F23" s="163">
        <f t="shared" si="1"/>
        <v>0</v>
      </c>
      <c r="G23" s="589"/>
      <c r="H23" s="589">
        <f t="shared" si="2"/>
        <v>0</v>
      </c>
      <c r="I23" s="1303"/>
      <c r="J23" s="1301"/>
      <c r="K23" s="1302"/>
      <c r="L23" s="587"/>
      <c r="N23" s="1291"/>
      <c r="O23" s="370"/>
      <c r="P23" s="1291"/>
      <c r="Q23" s="1291"/>
      <c r="R23" s="1291"/>
      <c r="S23" s="370"/>
    </row>
    <row r="24">
      <c r="A24" s="1292" t="s">
        <v>4326</v>
      </c>
      <c r="B24" s="1293" t="s">
        <v>6357</v>
      </c>
      <c r="C24" s="288">
        <v>1.0</v>
      </c>
      <c r="D24" s="163">
        <v>13.9</v>
      </c>
      <c r="E24" s="1296">
        <v>800.0</v>
      </c>
      <c r="F24" s="163">
        <f t="shared" si="1"/>
        <v>11120</v>
      </c>
      <c r="G24" s="589"/>
      <c r="H24" s="589">
        <f t="shared" si="2"/>
        <v>11120</v>
      </c>
      <c r="I24" s="1300">
        <v>20000.0</v>
      </c>
      <c r="J24" s="1301"/>
      <c r="K24" s="1302"/>
      <c r="L24" s="587"/>
      <c r="N24" s="1291"/>
      <c r="O24" s="370"/>
      <c r="P24" s="1291"/>
      <c r="Q24" s="1291"/>
      <c r="R24" s="1291"/>
      <c r="S24" s="370"/>
    </row>
    <row r="25">
      <c r="A25" s="1292" t="s">
        <v>4326</v>
      </c>
      <c r="B25" s="1293" t="s">
        <v>6358</v>
      </c>
      <c r="C25" s="288">
        <v>10.0</v>
      </c>
      <c r="D25" s="163">
        <v>110.0</v>
      </c>
      <c r="E25" s="1296">
        <v>800.0</v>
      </c>
      <c r="F25" s="163">
        <f t="shared" si="1"/>
        <v>88000</v>
      </c>
      <c r="G25" s="589"/>
      <c r="H25" s="589">
        <f t="shared" si="2"/>
        <v>880000</v>
      </c>
      <c r="I25" s="1300">
        <v>180000.0</v>
      </c>
      <c r="J25" s="1301">
        <f>I25/F25-1</f>
        <v>1.045454545</v>
      </c>
      <c r="K25" s="1302">
        <f>I25*C25</f>
        <v>1800000</v>
      </c>
      <c r="L25" s="587"/>
      <c r="N25" s="1291"/>
      <c r="O25" s="370"/>
      <c r="P25" s="1291"/>
      <c r="Q25" s="1291"/>
      <c r="R25" s="1291"/>
      <c r="S25" s="370"/>
    </row>
    <row r="26">
      <c r="A26" s="1292"/>
      <c r="B26" s="1293" t="s">
        <v>6359</v>
      </c>
      <c r="C26" s="287"/>
      <c r="D26" s="589"/>
      <c r="E26" s="1296">
        <v>800.0</v>
      </c>
      <c r="F26" s="163">
        <f t="shared" si="1"/>
        <v>0</v>
      </c>
      <c r="G26" s="589"/>
      <c r="H26" s="589">
        <f t="shared" si="2"/>
        <v>0</v>
      </c>
      <c r="I26" s="1303"/>
      <c r="J26" s="1301"/>
      <c r="K26" s="1302"/>
      <c r="L26" s="587"/>
      <c r="N26" s="1291"/>
      <c r="O26" s="370"/>
      <c r="P26" s="1291"/>
      <c r="Q26" s="1291"/>
      <c r="R26" s="1291"/>
      <c r="S26" s="370"/>
    </row>
    <row r="27">
      <c r="A27" s="1292"/>
      <c r="B27" s="1293" t="s">
        <v>6360</v>
      </c>
      <c r="C27" s="288">
        <v>3.0</v>
      </c>
      <c r="D27" s="163">
        <v>55.0</v>
      </c>
      <c r="E27" s="1296">
        <v>800.0</v>
      </c>
      <c r="F27" s="163">
        <f t="shared" si="1"/>
        <v>44000</v>
      </c>
      <c r="G27" s="589"/>
      <c r="H27" s="589">
        <f t="shared" si="2"/>
        <v>132000</v>
      </c>
      <c r="I27" s="1300">
        <v>100000.0</v>
      </c>
      <c r="J27" s="1301">
        <f t="shared" ref="J27:J29" si="11">I27/F27-1</f>
        <v>1.272727273</v>
      </c>
      <c r="K27" s="1302">
        <f t="shared" ref="K27:K29" si="12">I27*C27</f>
        <v>300000</v>
      </c>
      <c r="L27" s="587"/>
      <c r="N27" s="1291"/>
      <c r="O27" s="370"/>
      <c r="P27" s="1291"/>
      <c r="Q27" s="1291"/>
      <c r="R27" s="1291"/>
      <c r="S27" s="370"/>
    </row>
    <row r="28">
      <c r="A28" s="548"/>
      <c r="B28" s="1304" t="s">
        <v>6361</v>
      </c>
      <c r="C28" s="288">
        <v>5.0</v>
      </c>
      <c r="D28" s="163">
        <v>18.0</v>
      </c>
      <c r="E28" s="1296">
        <v>800.0</v>
      </c>
      <c r="F28" s="163">
        <f t="shared" si="1"/>
        <v>14400</v>
      </c>
      <c r="G28" s="589"/>
      <c r="H28" s="589">
        <f t="shared" si="2"/>
        <v>72000</v>
      </c>
      <c r="I28" s="1300">
        <v>28000.0</v>
      </c>
      <c r="J28" s="1301">
        <f t="shared" si="11"/>
        <v>0.9444444444</v>
      </c>
      <c r="K28" s="1302">
        <f t="shared" si="12"/>
        <v>140000</v>
      </c>
      <c r="L28" s="587"/>
      <c r="N28" s="1291"/>
      <c r="O28" s="370"/>
      <c r="P28" s="1291"/>
      <c r="Q28" s="1291"/>
      <c r="R28" s="1291"/>
      <c r="S28" s="370"/>
    </row>
    <row r="29">
      <c r="A29" s="548" t="s">
        <v>4326</v>
      </c>
      <c r="B29" s="1304" t="s">
        <v>6362</v>
      </c>
      <c r="C29" s="288">
        <v>6.0</v>
      </c>
      <c r="D29" s="163">
        <v>13.0</v>
      </c>
      <c r="E29" s="1296">
        <v>800.0</v>
      </c>
      <c r="F29" s="163">
        <f t="shared" si="1"/>
        <v>10400</v>
      </c>
      <c r="G29" s="589"/>
      <c r="H29" s="589">
        <f t="shared" si="2"/>
        <v>62400</v>
      </c>
      <c r="I29" s="1300">
        <v>25000.0</v>
      </c>
      <c r="J29" s="1301">
        <f t="shared" si="11"/>
        <v>1.403846154</v>
      </c>
      <c r="K29" s="1302">
        <f t="shared" si="12"/>
        <v>150000</v>
      </c>
      <c r="L29" s="587"/>
      <c r="N29" s="1291"/>
      <c r="O29" s="370"/>
      <c r="P29" s="1291"/>
      <c r="Q29" s="1291"/>
      <c r="R29" s="1291"/>
      <c r="S29" s="370"/>
    </row>
    <row r="30">
      <c r="A30" s="1292"/>
      <c r="B30" s="1293" t="s">
        <v>823</v>
      </c>
      <c r="C30" s="287"/>
      <c r="D30" s="589"/>
      <c r="E30" s="1296">
        <v>800.0</v>
      </c>
      <c r="F30" s="163">
        <f t="shared" si="1"/>
        <v>0</v>
      </c>
      <c r="G30" s="589"/>
      <c r="H30" s="589">
        <f t="shared" si="2"/>
        <v>0</v>
      </c>
      <c r="I30" s="1303"/>
      <c r="J30" s="1301"/>
      <c r="K30" s="1302"/>
      <c r="L30" s="587"/>
      <c r="N30" s="1291"/>
      <c r="O30" s="370"/>
      <c r="P30" s="1291"/>
      <c r="Q30" s="1291"/>
      <c r="R30" s="1291"/>
      <c r="S30" s="370"/>
    </row>
    <row r="31">
      <c r="A31" s="1292" t="s">
        <v>4326</v>
      </c>
      <c r="B31" s="1293" t="s">
        <v>826</v>
      </c>
      <c r="C31" s="288">
        <v>19.0</v>
      </c>
      <c r="D31" s="163">
        <v>8.0</v>
      </c>
      <c r="E31" s="1296">
        <v>800.0</v>
      </c>
      <c r="F31" s="163">
        <f t="shared" si="1"/>
        <v>6400</v>
      </c>
      <c r="G31" s="589"/>
      <c r="H31" s="589">
        <f t="shared" si="2"/>
        <v>121600</v>
      </c>
      <c r="I31" s="1300">
        <v>15000.0</v>
      </c>
      <c r="J31" s="1301">
        <f>I31/F31-1</f>
        <v>1.34375</v>
      </c>
      <c r="K31" s="1302">
        <f>I31*C31</f>
        <v>285000</v>
      </c>
      <c r="L31" s="587"/>
      <c r="N31" s="1291"/>
      <c r="O31" s="370"/>
      <c r="P31" s="1291"/>
      <c r="Q31" s="1291"/>
      <c r="R31" s="1291"/>
      <c r="S31" s="370"/>
    </row>
    <row r="32">
      <c r="A32" s="1305"/>
      <c r="B32" s="1306" t="s">
        <v>6363</v>
      </c>
      <c r="C32" s="287"/>
      <c r="D32" s="589"/>
      <c r="E32" s="1296">
        <v>800.0</v>
      </c>
      <c r="F32" s="163">
        <f t="shared" si="1"/>
        <v>0</v>
      </c>
      <c r="G32" s="589"/>
      <c r="H32" s="589">
        <f t="shared" si="2"/>
        <v>0</v>
      </c>
      <c r="I32" s="1303"/>
      <c r="J32" s="1301"/>
      <c r="K32" s="1302"/>
      <c r="L32" s="587"/>
      <c r="N32" s="1291"/>
      <c r="O32" s="370"/>
      <c r="P32" s="1291"/>
      <c r="Q32" s="1291"/>
      <c r="R32" s="1291"/>
      <c r="S32" s="370"/>
    </row>
    <row r="33">
      <c r="A33" s="1305"/>
      <c r="B33" s="1306" t="s">
        <v>6364</v>
      </c>
      <c r="C33" s="287"/>
      <c r="D33" s="589"/>
      <c r="E33" s="1296">
        <v>800.0</v>
      </c>
      <c r="F33" s="163">
        <f t="shared" si="1"/>
        <v>0</v>
      </c>
      <c r="G33" s="589"/>
      <c r="H33" s="589">
        <f t="shared" si="2"/>
        <v>0</v>
      </c>
      <c r="I33" s="1303"/>
      <c r="J33" s="1301"/>
      <c r="K33" s="1302"/>
      <c r="L33" s="587"/>
      <c r="N33" s="1291"/>
      <c r="O33" s="370"/>
      <c r="P33" s="1291"/>
      <c r="Q33" s="1291"/>
      <c r="R33" s="1291"/>
      <c r="S33" s="370"/>
    </row>
    <row r="34">
      <c r="A34" s="1305"/>
      <c r="B34" s="1306" t="s">
        <v>6365</v>
      </c>
      <c r="C34" s="287"/>
      <c r="D34" s="589"/>
      <c r="E34" s="1296">
        <v>800.0</v>
      </c>
      <c r="F34" s="163">
        <f t="shared" si="1"/>
        <v>0</v>
      </c>
      <c r="G34" s="589"/>
      <c r="H34" s="589">
        <f t="shared" si="2"/>
        <v>0</v>
      </c>
      <c r="I34" s="1303"/>
      <c r="J34" s="1301"/>
      <c r="K34" s="1302"/>
      <c r="L34" s="587"/>
      <c r="N34" s="1291"/>
      <c r="O34" s="370"/>
      <c r="P34" s="1291"/>
      <c r="Q34" s="1291"/>
      <c r="R34" s="1291"/>
      <c r="S34" s="370"/>
    </row>
    <row r="35">
      <c r="A35" s="548"/>
      <c r="B35" s="1304" t="s">
        <v>6366</v>
      </c>
      <c r="C35" s="288">
        <v>1.0</v>
      </c>
      <c r="D35" s="163">
        <v>17.5</v>
      </c>
      <c r="E35" s="1296">
        <v>800.0</v>
      </c>
      <c r="F35" s="163">
        <f t="shared" si="1"/>
        <v>14000</v>
      </c>
      <c r="G35" s="589"/>
      <c r="H35" s="589">
        <f t="shared" si="2"/>
        <v>14000</v>
      </c>
      <c r="I35" s="1300">
        <v>30000.0</v>
      </c>
      <c r="J35" s="1301">
        <f>I35/F35-1</f>
        <v>1.142857143</v>
      </c>
      <c r="K35" s="1302">
        <f>I35*C35</f>
        <v>30000</v>
      </c>
      <c r="L35" s="587"/>
      <c r="N35" s="1291"/>
      <c r="O35" s="370"/>
      <c r="P35" s="1291"/>
      <c r="Q35" s="1291"/>
      <c r="R35" s="1291"/>
      <c r="S35" s="370"/>
    </row>
    <row r="36">
      <c r="A36" s="1305"/>
      <c r="B36" s="1306" t="s">
        <v>6367</v>
      </c>
      <c r="C36" s="287"/>
      <c r="D36" s="589"/>
      <c r="E36" s="1296">
        <v>800.0</v>
      </c>
      <c r="F36" s="163">
        <f t="shared" si="1"/>
        <v>0</v>
      </c>
      <c r="G36" s="589"/>
      <c r="H36" s="589">
        <f t="shared" si="2"/>
        <v>0</v>
      </c>
      <c r="I36" s="1303"/>
      <c r="J36" s="1301"/>
      <c r="K36" s="1302"/>
      <c r="L36" s="587"/>
      <c r="N36" s="1291"/>
      <c r="O36" s="370"/>
      <c r="P36" s="1291"/>
      <c r="Q36" s="1291"/>
      <c r="R36" s="1291"/>
      <c r="S36" s="370"/>
    </row>
    <row r="37">
      <c r="A37" s="548"/>
      <c r="B37" s="1304" t="s">
        <v>6368</v>
      </c>
      <c r="C37" s="288">
        <v>3.0</v>
      </c>
      <c r="D37" s="163">
        <v>12.5</v>
      </c>
      <c r="E37" s="1296">
        <v>800.0</v>
      </c>
      <c r="F37" s="163">
        <f t="shared" si="1"/>
        <v>10000</v>
      </c>
      <c r="G37" s="589"/>
      <c r="H37" s="589">
        <f t="shared" si="2"/>
        <v>30000</v>
      </c>
      <c r="I37" s="1300">
        <v>20000.0</v>
      </c>
      <c r="J37" s="1301">
        <f t="shared" ref="J37:J40" si="13">I37/F37-1</f>
        <v>1</v>
      </c>
      <c r="K37" s="1302">
        <f t="shared" ref="K37:K40" si="14">I37*C37</f>
        <v>60000</v>
      </c>
      <c r="L37" s="587"/>
      <c r="N37" s="1291"/>
      <c r="O37" s="370"/>
      <c r="P37" s="1291"/>
      <c r="Q37" s="1291"/>
      <c r="R37" s="1291"/>
      <c r="S37" s="370"/>
    </row>
    <row r="38">
      <c r="A38" s="548" t="s">
        <v>4326</v>
      </c>
      <c r="B38" s="1304" t="s">
        <v>6369</v>
      </c>
      <c r="C38" s="288">
        <v>3.0</v>
      </c>
      <c r="D38" s="163">
        <v>14.8</v>
      </c>
      <c r="E38" s="1296">
        <v>800.0</v>
      </c>
      <c r="F38" s="163">
        <f t="shared" si="1"/>
        <v>11840</v>
      </c>
      <c r="G38" s="589"/>
      <c r="H38" s="589">
        <f t="shared" si="2"/>
        <v>35520</v>
      </c>
      <c r="I38" s="1300">
        <v>25000.0</v>
      </c>
      <c r="J38" s="1301">
        <f t="shared" si="13"/>
        <v>1.111486486</v>
      </c>
      <c r="K38" s="1302">
        <f t="shared" si="14"/>
        <v>75000</v>
      </c>
      <c r="L38" s="587"/>
      <c r="N38" s="1291"/>
      <c r="O38" s="370"/>
      <c r="P38" s="1291"/>
      <c r="Q38" s="1291"/>
      <c r="R38" s="1291"/>
      <c r="S38" s="370"/>
    </row>
    <row r="39">
      <c r="A39" s="548" t="s">
        <v>4326</v>
      </c>
      <c r="B39" s="1304" t="s">
        <v>6370</v>
      </c>
      <c r="C39" s="288">
        <v>2.0</v>
      </c>
      <c r="D39" s="163">
        <v>31.2</v>
      </c>
      <c r="E39" s="1296">
        <v>800.0</v>
      </c>
      <c r="F39" s="163">
        <f t="shared" si="1"/>
        <v>24960</v>
      </c>
      <c r="G39" s="589"/>
      <c r="H39" s="589">
        <f t="shared" si="2"/>
        <v>49920</v>
      </c>
      <c r="I39" s="1300">
        <v>45000.0</v>
      </c>
      <c r="J39" s="1301">
        <f t="shared" si="13"/>
        <v>0.8028846154</v>
      </c>
      <c r="K39" s="1302">
        <f t="shared" si="14"/>
        <v>90000</v>
      </c>
      <c r="L39" s="587"/>
      <c r="N39" s="1291"/>
      <c r="O39" s="370"/>
      <c r="P39" s="1291"/>
      <c r="Q39" s="1291"/>
      <c r="R39" s="1291"/>
      <c r="S39" s="370"/>
    </row>
    <row r="40">
      <c r="A40" s="1292" t="s">
        <v>4326</v>
      </c>
      <c r="B40" s="1293" t="s">
        <v>1443</v>
      </c>
      <c r="C40" s="288">
        <v>6.0</v>
      </c>
      <c r="D40" s="163">
        <v>42.6</v>
      </c>
      <c r="E40" s="1296">
        <v>800.0</v>
      </c>
      <c r="F40" s="163">
        <f t="shared" si="1"/>
        <v>34080</v>
      </c>
      <c r="G40" s="589"/>
      <c r="H40" s="589">
        <f t="shared" si="2"/>
        <v>204480</v>
      </c>
      <c r="I40" s="1300">
        <v>75000.0</v>
      </c>
      <c r="J40" s="1301">
        <f t="shared" si="13"/>
        <v>1.200704225</v>
      </c>
      <c r="K40" s="1302">
        <f t="shared" si="14"/>
        <v>450000</v>
      </c>
      <c r="L40" s="587"/>
      <c r="N40" s="1291"/>
      <c r="O40" s="370"/>
      <c r="P40" s="1291"/>
      <c r="Q40" s="1291"/>
      <c r="R40" s="1291"/>
      <c r="S40" s="370"/>
    </row>
    <row r="41">
      <c r="A41" s="1305"/>
      <c r="B41" s="1306" t="s">
        <v>6371</v>
      </c>
      <c r="C41" s="287"/>
      <c r="D41" s="589"/>
      <c r="E41" s="1296">
        <v>800.0</v>
      </c>
      <c r="F41" s="163">
        <f t="shared" si="1"/>
        <v>0</v>
      </c>
      <c r="G41" s="589"/>
      <c r="H41" s="589">
        <f t="shared" si="2"/>
        <v>0</v>
      </c>
      <c r="I41" s="1303"/>
      <c r="J41" s="1301"/>
      <c r="K41" s="1302"/>
      <c r="L41" s="587"/>
      <c r="N41" s="1291"/>
      <c r="O41" s="370"/>
      <c r="P41" s="1291"/>
      <c r="Q41" s="1291"/>
      <c r="R41" s="1291"/>
      <c r="S41" s="370"/>
    </row>
    <row r="42">
      <c r="A42" s="1305"/>
      <c r="B42" s="1306" t="s">
        <v>6372</v>
      </c>
      <c r="C42" s="287"/>
      <c r="D42" s="589"/>
      <c r="E42" s="1296">
        <v>800.0</v>
      </c>
      <c r="F42" s="163">
        <f t="shared" si="1"/>
        <v>0</v>
      </c>
      <c r="G42" s="589"/>
      <c r="H42" s="589">
        <f t="shared" si="2"/>
        <v>0</v>
      </c>
      <c r="I42" s="1303"/>
      <c r="J42" s="1301"/>
      <c r="K42" s="1302"/>
      <c r="L42" s="587"/>
      <c r="N42" s="1291"/>
      <c r="O42" s="370"/>
      <c r="P42" s="1291"/>
      <c r="Q42" s="1291"/>
      <c r="R42" s="1291"/>
      <c r="S42" s="370"/>
    </row>
    <row r="43">
      <c r="A43" s="1292"/>
      <c r="B43" s="1293" t="s">
        <v>6373</v>
      </c>
      <c r="C43" s="287"/>
      <c r="D43" s="589"/>
      <c r="E43" s="1296">
        <v>800.0</v>
      </c>
      <c r="F43" s="163">
        <f t="shared" si="1"/>
        <v>0</v>
      </c>
      <c r="G43" s="589"/>
      <c r="H43" s="589">
        <f t="shared" si="2"/>
        <v>0</v>
      </c>
      <c r="I43" s="1303"/>
      <c r="J43" s="1301"/>
      <c r="K43" s="1302"/>
      <c r="L43" s="587"/>
      <c r="N43" s="1291"/>
      <c r="O43" s="370"/>
      <c r="P43" s="1291"/>
      <c r="Q43" s="1291"/>
      <c r="R43" s="1291"/>
      <c r="S43" s="370"/>
    </row>
    <row r="44">
      <c r="A44" s="548"/>
      <c r="B44" s="1304" t="s">
        <v>6374</v>
      </c>
      <c r="C44" s="288">
        <v>2.0</v>
      </c>
      <c r="D44" s="163">
        <v>27.5</v>
      </c>
      <c r="E44" s="1296">
        <v>800.0</v>
      </c>
      <c r="F44" s="163">
        <f t="shared" si="1"/>
        <v>22000</v>
      </c>
      <c r="G44" s="589"/>
      <c r="H44" s="589">
        <f t="shared" si="2"/>
        <v>44000</v>
      </c>
      <c r="I44" s="1300">
        <v>38000.0</v>
      </c>
      <c r="J44" s="1301">
        <f>I44/F44-1</f>
        <v>0.7272727273</v>
      </c>
      <c r="K44" s="1302">
        <f>I44*C44</f>
        <v>76000</v>
      </c>
      <c r="L44" s="587"/>
      <c r="N44" s="1291"/>
      <c r="O44" s="370"/>
      <c r="P44" s="1291"/>
      <c r="Q44" s="1291"/>
      <c r="R44" s="1291"/>
      <c r="S44" s="370"/>
    </row>
    <row r="45">
      <c r="A45" s="1292"/>
      <c r="B45" s="1293" t="s">
        <v>6375</v>
      </c>
      <c r="C45" s="287"/>
      <c r="D45" s="589"/>
      <c r="E45" s="1296">
        <v>800.0</v>
      </c>
      <c r="F45" s="163">
        <f t="shared" si="1"/>
        <v>0</v>
      </c>
      <c r="G45" s="589"/>
      <c r="H45" s="589">
        <f t="shared" si="2"/>
        <v>0</v>
      </c>
      <c r="I45" s="1303"/>
      <c r="J45" s="1301"/>
      <c r="K45" s="1302"/>
      <c r="L45" s="587"/>
      <c r="N45" s="1291"/>
      <c r="O45" s="370"/>
      <c r="P45" s="1291"/>
      <c r="Q45" s="1291"/>
      <c r="R45" s="1291"/>
      <c r="S45" s="370"/>
    </row>
    <row r="46">
      <c r="A46" s="1292"/>
      <c r="B46" s="1293" t="s">
        <v>6376</v>
      </c>
      <c r="C46" s="287"/>
      <c r="D46" s="589"/>
      <c r="E46" s="1296">
        <v>800.0</v>
      </c>
      <c r="F46" s="163">
        <f t="shared" si="1"/>
        <v>0</v>
      </c>
      <c r="G46" s="589"/>
      <c r="H46" s="589">
        <f t="shared" si="2"/>
        <v>0</v>
      </c>
      <c r="I46" s="1303"/>
      <c r="J46" s="1301"/>
      <c r="K46" s="1302"/>
      <c r="L46" s="587"/>
      <c r="N46" s="1291"/>
      <c r="O46" s="370"/>
      <c r="P46" s="1291"/>
      <c r="Q46" s="1291"/>
      <c r="R46" s="1291"/>
      <c r="S46" s="370"/>
    </row>
    <row r="47">
      <c r="A47" s="1292"/>
      <c r="B47" s="1293" t="s">
        <v>6377</v>
      </c>
      <c r="C47" s="288">
        <v>5.0</v>
      </c>
      <c r="D47" s="163">
        <v>19.5</v>
      </c>
      <c r="E47" s="1296">
        <v>800.0</v>
      </c>
      <c r="F47" s="163">
        <f t="shared" si="1"/>
        <v>15600</v>
      </c>
      <c r="G47" s="589"/>
      <c r="H47" s="589">
        <f t="shared" si="2"/>
        <v>78000</v>
      </c>
      <c r="I47" s="1300">
        <v>36000.0</v>
      </c>
      <c r="J47" s="1301">
        <f>I47/F47-1</f>
        <v>1.307692308</v>
      </c>
      <c r="K47" s="1302">
        <f>I47*C47</f>
        <v>180000</v>
      </c>
      <c r="L47" s="587"/>
      <c r="N47" s="1291"/>
      <c r="O47" s="370"/>
      <c r="P47" s="1291"/>
      <c r="Q47" s="1291"/>
      <c r="R47" s="1291"/>
      <c r="S47" s="370"/>
    </row>
    <row r="48">
      <c r="A48" s="1292"/>
      <c r="B48" s="1293" t="s">
        <v>2367</v>
      </c>
      <c r="C48" s="287"/>
      <c r="D48" s="589"/>
      <c r="E48" s="1296">
        <v>800.0</v>
      </c>
      <c r="F48" s="163">
        <f t="shared" si="1"/>
        <v>0</v>
      </c>
      <c r="G48" s="589"/>
      <c r="H48" s="589">
        <f t="shared" si="2"/>
        <v>0</v>
      </c>
      <c r="I48" s="1303"/>
      <c r="J48" s="1301"/>
      <c r="K48" s="1302"/>
      <c r="L48" s="587"/>
      <c r="N48" s="1291"/>
      <c r="O48" s="370"/>
      <c r="P48" s="1291"/>
      <c r="Q48" s="1291"/>
      <c r="R48" s="1291"/>
      <c r="S48" s="370"/>
    </row>
    <row r="49">
      <c r="A49" s="1292" t="s">
        <v>4326</v>
      </c>
      <c r="B49" s="1293" t="s">
        <v>6378</v>
      </c>
      <c r="C49" s="287"/>
      <c r="D49" s="589"/>
      <c r="E49" s="1296">
        <v>800.0</v>
      </c>
      <c r="F49" s="163">
        <f t="shared" si="1"/>
        <v>0</v>
      </c>
      <c r="G49" s="589"/>
      <c r="H49" s="589">
        <f t="shared" si="2"/>
        <v>0</v>
      </c>
      <c r="I49" s="1303"/>
      <c r="J49" s="1301"/>
      <c r="K49" s="1302"/>
      <c r="L49" s="587"/>
      <c r="N49" s="1291"/>
      <c r="O49" s="370"/>
      <c r="P49" s="1291"/>
      <c r="Q49" s="1291"/>
      <c r="R49" s="1291"/>
      <c r="S49" s="370"/>
    </row>
    <row r="50">
      <c r="A50" s="1292"/>
      <c r="B50" s="1293" t="s">
        <v>6379</v>
      </c>
      <c r="C50" s="287"/>
      <c r="D50" s="589"/>
      <c r="E50" s="1296">
        <v>800.0</v>
      </c>
      <c r="F50" s="163">
        <f t="shared" si="1"/>
        <v>0</v>
      </c>
      <c r="G50" s="589"/>
      <c r="H50" s="589">
        <f t="shared" si="2"/>
        <v>0</v>
      </c>
      <c r="I50" s="1303"/>
      <c r="J50" s="1301"/>
      <c r="K50" s="1302"/>
      <c r="L50" s="587"/>
      <c r="N50" s="1291"/>
      <c r="O50" s="370"/>
      <c r="P50" s="1291"/>
      <c r="Q50" s="1291"/>
      <c r="R50" s="1291"/>
      <c r="S50" s="370"/>
    </row>
    <row r="51">
      <c r="A51" s="1292"/>
      <c r="B51" s="1293" t="s">
        <v>6380</v>
      </c>
      <c r="C51" s="287"/>
      <c r="D51" s="589"/>
      <c r="E51" s="1296">
        <v>800.0</v>
      </c>
      <c r="F51" s="163">
        <f t="shared" si="1"/>
        <v>0</v>
      </c>
      <c r="G51" s="589"/>
      <c r="H51" s="589">
        <f t="shared" si="2"/>
        <v>0</v>
      </c>
      <c r="I51" s="1303"/>
      <c r="J51" s="1301"/>
      <c r="K51" s="1302"/>
      <c r="L51" s="587"/>
      <c r="N51" s="1291"/>
      <c r="O51" s="370"/>
      <c r="P51" s="1291"/>
      <c r="Q51" s="1291"/>
      <c r="R51" s="1291"/>
      <c r="S51" s="370"/>
    </row>
    <row r="52">
      <c r="A52" s="1292"/>
      <c r="B52" s="1293" t="s">
        <v>6381</v>
      </c>
      <c r="C52" s="287"/>
      <c r="D52" s="589"/>
      <c r="E52" s="1296">
        <v>800.0</v>
      </c>
      <c r="F52" s="163">
        <f t="shared" si="1"/>
        <v>0</v>
      </c>
      <c r="G52" s="589"/>
      <c r="H52" s="589">
        <f t="shared" si="2"/>
        <v>0</v>
      </c>
      <c r="I52" s="1303"/>
      <c r="J52" s="1301"/>
      <c r="K52" s="1302"/>
      <c r="L52" s="587"/>
      <c r="N52" s="1291"/>
      <c r="O52" s="370"/>
      <c r="P52" s="1291"/>
      <c r="Q52" s="1291"/>
      <c r="R52" s="1291"/>
      <c r="S52" s="370"/>
    </row>
    <row r="53">
      <c r="A53" s="1292"/>
      <c r="B53" s="1293" t="s">
        <v>6382</v>
      </c>
      <c r="C53" s="287"/>
      <c r="D53" s="589"/>
      <c r="E53" s="1296">
        <v>800.0</v>
      </c>
      <c r="F53" s="163">
        <f t="shared" si="1"/>
        <v>0</v>
      </c>
      <c r="G53" s="589"/>
      <c r="H53" s="589">
        <f t="shared" si="2"/>
        <v>0</v>
      </c>
      <c r="I53" s="1303"/>
      <c r="J53" s="1301"/>
      <c r="K53" s="1302"/>
      <c r="L53" s="587"/>
      <c r="N53" s="1291"/>
      <c r="O53" s="370"/>
      <c r="P53" s="1291"/>
      <c r="Q53" s="1291"/>
      <c r="R53" s="1291"/>
      <c r="S53" s="370"/>
    </row>
    <row r="54">
      <c r="A54" s="1292"/>
      <c r="B54" s="1293" t="s">
        <v>6383</v>
      </c>
      <c r="C54" s="287"/>
      <c r="D54" s="589"/>
      <c r="E54" s="1296">
        <v>800.0</v>
      </c>
      <c r="F54" s="163">
        <f t="shared" si="1"/>
        <v>0</v>
      </c>
      <c r="G54" s="589"/>
      <c r="H54" s="589">
        <f t="shared" si="2"/>
        <v>0</v>
      </c>
      <c r="I54" s="1303"/>
      <c r="J54" s="1301"/>
      <c r="K54" s="1302"/>
      <c r="L54" s="587"/>
      <c r="N54" s="1291"/>
      <c r="O54" s="370"/>
      <c r="P54" s="1291"/>
      <c r="Q54" s="1291"/>
      <c r="R54" s="1291"/>
      <c r="S54" s="370"/>
    </row>
    <row r="55">
      <c r="A55" s="548"/>
      <c r="B55" s="1304" t="s">
        <v>6384</v>
      </c>
      <c r="C55" s="288">
        <v>3.0</v>
      </c>
      <c r="D55" s="163">
        <v>13.0</v>
      </c>
      <c r="E55" s="1296">
        <v>800.0</v>
      </c>
      <c r="F55" s="163">
        <f t="shared" si="1"/>
        <v>10400</v>
      </c>
      <c r="G55" s="589"/>
      <c r="H55" s="589">
        <f t="shared" si="2"/>
        <v>31200</v>
      </c>
      <c r="I55" s="1303">
        <f t="shared" ref="I55:I56" si="15">50*800</f>
        <v>40000</v>
      </c>
      <c r="J55" s="1301">
        <f t="shared" ref="J55:J56" si="16">I55/F55-1</f>
        <v>2.846153846</v>
      </c>
      <c r="K55" s="1302">
        <f t="shared" ref="K55:K56" si="17">I55*C55</f>
        <v>120000</v>
      </c>
      <c r="L55" s="587"/>
      <c r="N55" s="1291"/>
      <c r="O55" s="370"/>
      <c r="P55" s="1291"/>
      <c r="Q55" s="1291"/>
      <c r="R55" s="1291"/>
      <c r="S55" s="370"/>
    </row>
    <row r="56">
      <c r="A56" s="548"/>
      <c r="B56" s="1304" t="s">
        <v>6385</v>
      </c>
      <c r="C56" s="288">
        <v>6.0</v>
      </c>
      <c r="D56" s="163">
        <v>16.0</v>
      </c>
      <c r="E56" s="1296">
        <v>800.0</v>
      </c>
      <c r="F56" s="163">
        <f t="shared" si="1"/>
        <v>12800</v>
      </c>
      <c r="G56" s="589"/>
      <c r="H56" s="589">
        <f t="shared" si="2"/>
        <v>76800</v>
      </c>
      <c r="I56" s="1303">
        <f t="shared" si="15"/>
        <v>40000</v>
      </c>
      <c r="J56" s="1301">
        <f t="shared" si="16"/>
        <v>2.125</v>
      </c>
      <c r="K56" s="1302">
        <f t="shared" si="17"/>
        <v>240000</v>
      </c>
      <c r="L56" s="587"/>
      <c r="N56" s="1291"/>
      <c r="O56" s="370"/>
      <c r="P56" s="1291"/>
      <c r="Q56" s="1291"/>
      <c r="R56" s="1291"/>
      <c r="S56" s="370"/>
    </row>
    <row r="57">
      <c r="A57" s="1292" t="s">
        <v>4326</v>
      </c>
      <c r="B57" s="1293" t="s">
        <v>6386</v>
      </c>
      <c r="C57" s="287"/>
      <c r="D57" s="589"/>
      <c r="E57" s="1296">
        <v>800.0</v>
      </c>
      <c r="F57" s="163">
        <f t="shared" si="1"/>
        <v>0</v>
      </c>
      <c r="G57" s="589"/>
      <c r="H57" s="589">
        <f t="shared" si="2"/>
        <v>0</v>
      </c>
      <c r="I57" s="1303"/>
      <c r="J57" s="1301"/>
      <c r="K57" s="1302"/>
      <c r="L57" s="587"/>
      <c r="N57" s="1291"/>
      <c r="O57" s="370"/>
      <c r="P57" s="1291"/>
      <c r="Q57" s="1291"/>
      <c r="R57" s="1291"/>
      <c r="S57" s="370"/>
    </row>
    <row r="58">
      <c r="A58" s="548"/>
      <c r="B58" s="1304" t="s">
        <v>6387</v>
      </c>
      <c r="C58" s="288">
        <v>5.0</v>
      </c>
      <c r="D58" s="163">
        <v>14.0</v>
      </c>
      <c r="E58" s="1296">
        <v>800.0</v>
      </c>
      <c r="F58" s="163">
        <f t="shared" si="1"/>
        <v>11200</v>
      </c>
      <c r="G58" s="589"/>
      <c r="H58" s="589">
        <f t="shared" si="2"/>
        <v>56000</v>
      </c>
      <c r="I58" s="1300">
        <v>22000.0</v>
      </c>
      <c r="J58" s="1301">
        <f>I58/F58-1</f>
        <v>0.9642857143</v>
      </c>
      <c r="K58" s="1302">
        <f>I58*C58</f>
        <v>110000</v>
      </c>
      <c r="L58" s="587"/>
      <c r="N58" s="1291"/>
      <c r="O58" s="370"/>
      <c r="P58" s="1291"/>
      <c r="Q58" s="1291"/>
      <c r="R58" s="1291"/>
      <c r="S58" s="370"/>
    </row>
    <row r="59">
      <c r="A59" s="548"/>
      <c r="B59" s="1304" t="s">
        <v>6388</v>
      </c>
      <c r="C59" s="288">
        <v>3.0</v>
      </c>
      <c r="D59" s="163">
        <v>0.0</v>
      </c>
      <c r="E59" s="1296">
        <v>800.0</v>
      </c>
      <c r="F59" s="163">
        <f t="shared" si="1"/>
        <v>0</v>
      </c>
      <c r="G59" s="589"/>
      <c r="H59" s="589">
        <f t="shared" si="2"/>
        <v>0</v>
      </c>
      <c r="I59" s="1303"/>
      <c r="J59" s="1301"/>
      <c r="K59" s="1302"/>
      <c r="L59" s="587"/>
      <c r="N59" s="1291"/>
      <c r="O59" s="370"/>
      <c r="P59" s="1291"/>
      <c r="Q59" s="1291"/>
      <c r="R59" s="1291"/>
      <c r="S59" s="370"/>
    </row>
    <row r="60">
      <c r="A60" s="280"/>
      <c r="B60" s="1307"/>
      <c r="C60" s="1308"/>
      <c r="D60" s="1309"/>
      <c r="E60" s="1310"/>
      <c r="F60" s="1311"/>
      <c r="G60" s="1309"/>
      <c r="H60" s="1309"/>
      <c r="I60" s="587"/>
      <c r="J60" s="1301"/>
      <c r="K60" s="1299"/>
      <c r="L60" s="587"/>
      <c r="N60" s="1291"/>
      <c r="O60" s="370"/>
      <c r="P60" s="1291"/>
      <c r="Q60" s="1291"/>
      <c r="R60" s="1291"/>
      <c r="S60" s="370"/>
    </row>
    <row r="61">
      <c r="A61" s="280"/>
      <c r="B61" s="1312"/>
      <c r="C61" s="1313"/>
      <c r="D61" s="1314"/>
      <c r="E61" s="1315"/>
      <c r="F61" s="1316" t="s">
        <v>6389</v>
      </c>
      <c r="G61" s="1314"/>
      <c r="H61" s="1314">
        <f>SUM(H3:H58)</f>
        <v>2385680</v>
      </c>
      <c r="I61" s="1317"/>
      <c r="J61" s="1315"/>
      <c r="K61" s="1318">
        <f>SUM(K2:K58)</f>
        <v>6485000</v>
      </c>
      <c r="L61" s="587"/>
      <c r="N61" s="1291"/>
      <c r="O61" s="370"/>
      <c r="P61" s="1291"/>
      <c r="Q61" s="1291"/>
      <c r="R61" s="1291"/>
      <c r="S61" s="370"/>
    </row>
    <row r="62">
      <c r="A62" s="280"/>
      <c r="C62" s="280"/>
      <c r="D62" s="587"/>
      <c r="E62" s="1319"/>
      <c r="F62" s="587"/>
      <c r="G62" s="587"/>
      <c r="H62" s="587"/>
      <c r="I62" s="587"/>
      <c r="J62" s="1319"/>
      <c r="K62" s="587"/>
      <c r="L62" s="587"/>
      <c r="N62" s="1291"/>
      <c r="O62" s="370"/>
      <c r="P62" s="1291"/>
      <c r="Q62" s="1291"/>
      <c r="R62" s="1291"/>
      <c r="S62" s="370"/>
    </row>
    <row r="63">
      <c r="A63" s="1285"/>
      <c r="B63" s="1320" t="s">
        <v>6390</v>
      </c>
      <c r="C63" s="1321"/>
      <c r="D63" s="1321"/>
      <c r="E63" s="1321"/>
      <c r="F63" s="1321"/>
      <c r="G63" s="1321"/>
      <c r="H63" s="1321"/>
      <c r="I63" s="1322"/>
      <c r="J63" s="1323"/>
      <c r="K63" s="1324"/>
      <c r="L63" s="587"/>
      <c r="N63" s="1291"/>
      <c r="O63" s="370"/>
      <c r="P63" s="1291"/>
      <c r="Q63" s="1291"/>
      <c r="R63" s="1291"/>
      <c r="S63" s="370"/>
    </row>
    <row r="64">
      <c r="A64" s="1292"/>
      <c r="B64" s="1325"/>
      <c r="C64" s="1294" t="s">
        <v>3879</v>
      </c>
      <c r="D64" s="1295" t="s">
        <v>6330</v>
      </c>
      <c r="E64" s="1296" t="s">
        <v>6331</v>
      </c>
      <c r="F64" s="163" t="s">
        <v>6332</v>
      </c>
      <c r="G64" s="163"/>
      <c r="H64" s="163" t="s">
        <v>6333</v>
      </c>
      <c r="I64" s="1326" t="s">
        <v>6334</v>
      </c>
      <c r="J64" s="1298" t="s">
        <v>6335</v>
      </c>
      <c r="K64" s="1327" t="s">
        <v>6336</v>
      </c>
      <c r="L64" s="595" t="s">
        <v>6391</v>
      </c>
      <c r="N64" s="1291"/>
      <c r="O64" s="370"/>
      <c r="P64" s="1291"/>
      <c r="Q64" s="1291"/>
      <c r="R64" s="1291"/>
      <c r="S64" s="370"/>
    </row>
    <row r="65">
      <c r="A65" s="1328"/>
      <c r="B65" s="1329" t="s">
        <v>6339</v>
      </c>
      <c r="C65" s="1330">
        <v>6.0</v>
      </c>
      <c r="D65" s="163">
        <v>6.9</v>
      </c>
      <c r="E65" s="1298">
        <v>800.0</v>
      </c>
      <c r="F65" s="589">
        <f t="shared" ref="F65:F66" si="18">SUM(C65*D65)</f>
        <v>41.4</v>
      </c>
      <c r="G65" s="589"/>
      <c r="H65" s="589">
        <f t="shared" ref="H65:H66" si="19">D65*E65</f>
        <v>5520</v>
      </c>
      <c r="I65" s="163">
        <v>12000.0</v>
      </c>
      <c r="J65" s="1301"/>
      <c r="K65" s="1331">
        <f t="shared" ref="K65:K66" si="20">I65*C65</f>
        <v>72000</v>
      </c>
      <c r="L65" s="595" t="s">
        <v>6392</v>
      </c>
      <c r="N65" s="1291"/>
      <c r="O65" s="370"/>
      <c r="P65" s="1291"/>
      <c r="Q65" s="1291"/>
      <c r="R65" s="1291"/>
      <c r="S65" s="370"/>
    </row>
    <row r="66">
      <c r="A66" s="1328"/>
      <c r="B66" s="1329" t="s">
        <v>6393</v>
      </c>
      <c r="C66" s="1330">
        <v>1.0</v>
      </c>
      <c r="D66" s="163">
        <v>7.9</v>
      </c>
      <c r="E66" s="1298">
        <v>800.0</v>
      </c>
      <c r="F66" s="589">
        <f t="shared" si="18"/>
        <v>7.9</v>
      </c>
      <c r="G66" s="589"/>
      <c r="H66" s="589">
        <f t="shared" si="19"/>
        <v>6320</v>
      </c>
      <c r="I66" s="589"/>
      <c r="J66" s="1301"/>
      <c r="K66" s="1331">
        <f t="shared" si="20"/>
        <v>0</v>
      </c>
      <c r="L66" s="595" t="s">
        <v>6394</v>
      </c>
      <c r="N66" s="1291"/>
      <c r="O66" s="370"/>
      <c r="P66" s="1291"/>
      <c r="Q66" s="1291"/>
      <c r="R66" s="1291"/>
      <c r="S66" s="370"/>
    </row>
    <row r="67">
      <c r="A67" s="1328"/>
      <c r="B67" s="1329" t="s">
        <v>101</v>
      </c>
      <c r="C67" s="1330"/>
      <c r="D67" s="163"/>
      <c r="E67" s="1298"/>
      <c r="F67" s="589"/>
      <c r="G67" s="589"/>
      <c r="H67" s="589"/>
      <c r="I67" s="589"/>
      <c r="J67" s="1301"/>
      <c r="K67" s="1331"/>
      <c r="L67" s="587"/>
      <c r="N67" s="1291"/>
      <c r="O67" s="370"/>
      <c r="P67" s="1291"/>
      <c r="Q67" s="1291"/>
      <c r="R67" s="1291"/>
      <c r="S67" s="370"/>
    </row>
    <row r="68">
      <c r="A68" s="1328"/>
      <c r="B68" s="1329" t="s">
        <v>6341</v>
      </c>
      <c r="C68" s="1330"/>
      <c r="D68" s="589"/>
      <c r="E68" s="1298"/>
      <c r="F68" s="589"/>
      <c r="G68" s="589"/>
      <c r="H68" s="589"/>
      <c r="I68" s="589"/>
      <c r="J68" s="1301"/>
      <c r="K68" s="1331"/>
      <c r="L68" s="587"/>
      <c r="N68" s="1291"/>
      <c r="O68" s="370"/>
      <c r="P68" s="1291"/>
      <c r="Q68" s="1291"/>
      <c r="R68" s="1291"/>
      <c r="S68" s="370"/>
    </row>
    <row r="69">
      <c r="A69" s="1328"/>
      <c r="B69" s="1329" t="s">
        <v>6342</v>
      </c>
      <c r="C69" s="1330">
        <v>3.0</v>
      </c>
      <c r="D69" s="163">
        <v>29.0</v>
      </c>
      <c r="E69" s="1298">
        <v>800.0</v>
      </c>
      <c r="F69" s="589">
        <f t="shared" ref="F69:F76" si="21">SUM(C69*D69)</f>
        <v>87</v>
      </c>
      <c r="G69" s="589"/>
      <c r="H69" s="589">
        <f t="shared" ref="H69:H76" si="22">D69*E69</f>
        <v>23200</v>
      </c>
      <c r="I69" s="589"/>
      <c r="J69" s="1301"/>
      <c r="K69" s="1331">
        <f t="shared" ref="K69:K76" si="23">I69*C69</f>
        <v>0</v>
      </c>
      <c r="L69" s="595" t="s">
        <v>6392</v>
      </c>
      <c r="N69" s="1291"/>
      <c r="O69" s="370"/>
      <c r="P69" s="1291"/>
      <c r="Q69" s="1291"/>
      <c r="R69" s="1291"/>
      <c r="S69" s="370"/>
    </row>
    <row r="70">
      <c r="A70" s="1328"/>
      <c r="B70" s="1329" t="s">
        <v>6395</v>
      </c>
      <c r="C70" s="1330">
        <v>6.0</v>
      </c>
      <c r="D70" s="163">
        <v>21.1</v>
      </c>
      <c r="E70" s="1298">
        <v>800.0</v>
      </c>
      <c r="F70" s="589">
        <f t="shared" si="21"/>
        <v>126.6</v>
      </c>
      <c r="G70" s="589"/>
      <c r="H70" s="589">
        <f t="shared" si="22"/>
        <v>16880</v>
      </c>
      <c r="I70" s="589"/>
      <c r="J70" s="1301"/>
      <c r="K70" s="1331">
        <f t="shared" si="23"/>
        <v>0</v>
      </c>
      <c r="L70" s="595" t="s">
        <v>6394</v>
      </c>
      <c r="N70" s="1291"/>
      <c r="O70" s="370"/>
      <c r="P70" s="1291"/>
      <c r="Q70" s="1291"/>
      <c r="R70" s="1291"/>
      <c r="S70" s="370"/>
    </row>
    <row r="71">
      <c r="A71" s="1328"/>
      <c r="B71" s="1329" t="s">
        <v>6396</v>
      </c>
      <c r="C71" s="1330">
        <v>2.0</v>
      </c>
      <c r="D71" s="163">
        <v>15.0</v>
      </c>
      <c r="E71" s="1298">
        <v>800.0</v>
      </c>
      <c r="F71" s="589">
        <f t="shared" si="21"/>
        <v>30</v>
      </c>
      <c r="G71" s="589"/>
      <c r="H71" s="589">
        <f t="shared" si="22"/>
        <v>12000</v>
      </c>
      <c r="I71" s="589"/>
      <c r="J71" s="1301"/>
      <c r="K71" s="1331">
        <f t="shared" si="23"/>
        <v>0</v>
      </c>
      <c r="L71" s="595" t="s">
        <v>6394</v>
      </c>
      <c r="N71" s="1291"/>
      <c r="O71" s="370"/>
      <c r="P71" s="1291"/>
      <c r="Q71" s="1291"/>
      <c r="R71" s="1291"/>
      <c r="S71" s="370"/>
    </row>
    <row r="72">
      <c r="A72" s="1328"/>
      <c r="B72" s="1329" t="s">
        <v>6396</v>
      </c>
      <c r="C72" s="1330">
        <v>1.0</v>
      </c>
      <c r="D72" s="163">
        <v>15.0</v>
      </c>
      <c r="E72" s="1298">
        <v>800.0</v>
      </c>
      <c r="F72" s="589">
        <f t="shared" si="21"/>
        <v>15</v>
      </c>
      <c r="G72" s="589"/>
      <c r="H72" s="589">
        <f t="shared" si="22"/>
        <v>12000</v>
      </c>
      <c r="I72" s="589"/>
      <c r="J72" s="1301"/>
      <c r="K72" s="1331">
        <f t="shared" si="23"/>
        <v>0</v>
      </c>
      <c r="L72" s="595" t="s">
        <v>6397</v>
      </c>
      <c r="N72" s="1291"/>
      <c r="O72" s="370"/>
      <c r="P72" s="1291"/>
      <c r="Q72" s="1291"/>
      <c r="R72" s="1291"/>
      <c r="S72" s="370"/>
    </row>
    <row r="73">
      <c r="A73" s="1328"/>
      <c r="B73" s="1329" t="s">
        <v>6398</v>
      </c>
      <c r="C73" s="1330">
        <v>1.0</v>
      </c>
      <c r="D73" s="163">
        <v>14.0</v>
      </c>
      <c r="E73" s="1298">
        <v>800.0</v>
      </c>
      <c r="F73" s="589">
        <f t="shared" si="21"/>
        <v>14</v>
      </c>
      <c r="G73" s="589"/>
      <c r="H73" s="589">
        <f t="shared" si="22"/>
        <v>11200</v>
      </c>
      <c r="I73" s="589"/>
      <c r="J73" s="1301"/>
      <c r="K73" s="1331">
        <f t="shared" si="23"/>
        <v>0</v>
      </c>
      <c r="L73" s="595" t="s">
        <v>6392</v>
      </c>
      <c r="N73" s="1291"/>
      <c r="O73" s="370"/>
      <c r="P73" s="1291"/>
      <c r="Q73" s="1291"/>
      <c r="R73" s="1291"/>
      <c r="S73" s="370"/>
    </row>
    <row r="74">
      <c r="A74" s="1328"/>
      <c r="B74" s="1329" t="s">
        <v>6398</v>
      </c>
      <c r="C74" s="1330">
        <v>3.0</v>
      </c>
      <c r="D74" s="163">
        <v>15.0</v>
      </c>
      <c r="E74" s="1298">
        <v>800.0</v>
      </c>
      <c r="F74" s="589">
        <f t="shared" si="21"/>
        <v>45</v>
      </c>
      <c r="G74" s="589"/>
      <c r="H74" s="589">
        <f t="shared" si="22"/>
        <v>12000</v>
      </c>
      <c r="I74" s="589"/>
      <c r="J74" s="1301"/>
      <c r="K74" s="1331">
        <f t="shared" si="23"/>
        <v>0</v>
      </c>
      <c r="L74" s="595" t="s">
        <v>6397</v>
      </c>
      <c r="N74" s="1291"/>
      <c r="O74" s="370"/>
      <c r="P74" s="1291"/>
      <c r="Q74" s="1291"/>
      <c r="R74" s="1291"/>
      <c r="S74" s="370"/>
    </row>
    <row r="75">
      <c r="A75" s="1328"/>
      <c r="B75" s="1329" t="s">
        <v>6346</v>
      </c>
      <c r="C75" s="1330">
        <v>20.0</v>
      </c>
      <c r="D75" s="163">
        <v>12.0</v>
      </c>
      <c r="E75" s="1298">
        <v>800.0</v>
      </c>
      <c r="F75" s="589">
        <f t="shared" si="21"/>
        <v>240</v>
      </c>
      <c r="G75" s="589"/>
      <c r="H75" s="589">
        <f t="shared" si="22"/>
        <v>9600</v>
      </c>
      <c r="I75" s="589"/>
      <c r="J75" s="1301"/>
      <c r="K75" s="1331">
        <f t="shared" si="23"/>
        <v>0</v>
      </c>
      <c r="L75" s="595" t="s">
        <v>6397</v>
      </c>
      <c r="N75" s="1291"/>
      <c r="O75" s="370"/>
      <c r="P75" s="1291"/>
      <c r="Q75" s="1291"/>
      <c r="R75" s="1291"/>
      <c r="S75" s="370"/>
    </row>
    <row r="76">
      <c r="A76" s="1328"/>
      <c r="B76" s="1329" t="s">
        <v>6348</v>
      </c>
      <c r="C76" s="1330">
        <v>20.0</v>
      </c>
      <c r="D76" s="163">
        <v>12.0</v>
      </c>
      <c r="E76" s="1298">
        <v>800.0</v>
      </c>
      <c r="F76" s="589">
        <f t="shared" si="21"/>
        <v>240</v>
      </c>
      <c r="G76" s="589"/>
      <c r="H76" s="589">
        <f t="shared" si="22"/>
        <v>9600</v>
      </c>
      <c r="I76" s="589"/>
      <c r="J76" s="1301"/>
      <c r="K76" s="1331">
        <f t="shared" si="23"/>
        <v>0</v>
      </c>
      <c r="L76" s="595" t="s">
        <v>6397</v>
      </c>
      <c r="N76" s="1291"/>
      <c r="O76" s="370"/>
      <c r="P76" s="1291"/>
      <c r="Q76" s="1291"/>
      <c r="R76" s="1291"/>
      <c r="S76" s="370"/>
    </row>
    <row r="77">
      <c r="A77" s="1328"/>
      <c r="B77" s="1329" t="s">
        <v>6399</v>
      </c>
      <c r="C77" s="1330"/>
      <c r="D77" s="589"/>
      <c r="E77" s="1298"/>
      <c r="F77" s="589"/>
      <c r="G77" s="589"/>
      <c r="H77" s="589"/>
      <c r="I77" s="589"/>
      <c r="J77" s="1301"/>
      <c r="K77" s="1331"/>
      <c r="L77" s="587"/>
      <c r="N77" s="1291"/>
      <c r="O77" s="370"/>
      <c r="P77" s="1291"/>
      <c r="Q77" s="1291"/>
      <c r="R77" s="1291"/>
      <c r="S77" s="370"/>
    </row>
    <row r="78">
      <c r="A78" s="1328"/>
      <c r="B78" s="1329" t="s">
        <v>6400</v>
      </c>
      <c r="C78" s="1330">
        <v>10.0</v>
      </c>
      <c r="D78" s="163">
        <v>72.0</v>
      </c>
      <c r="E78" s="1298">
        <v>800.0</v>
      </c>
      <c r="F78" s="589">
        <f t="shared" ref="F78:F83" si="24">SUM(C78*D78)</f>
        <v>720</v>
      </c>
      <c r="G78" s="589"/>
      <c r="H78" s="589">
        <f t="shared" ref="H78:H83" si="25">D78*E78</f>
        <v>57600</v>
      </c>
      <c r="I78" s="589"/>
      <c r="J78" s="1301"/>
      <c r="K78" s="1331">
        <f t="shared" ref="K78:K83" si="26">I78*C78</f>
        <v>0</v>
      </c>
      <c r="L78" s="595" t="s">
        <v>6397</v>
      </c>
      <c r="N78" s="1291"/>
      <c r="O78" s="370"/>
      <c r="P78" s="1291"/>
      <c r="Q78" s="1291"/>
      <c r="R78" s="1291"/>
      <c r="S78" s="370"/>
    </row>
    <row r="79">
      <c r="A79" s="1328"/>
      <c r="B79" s="1329" t="s">
        <v>6401</v>
      </c>
      <c r="C79" s="1330">
        <v>1.0</v>
      </c>
      <c r="D79" s="163">
        <v>72.0</v>
      </c>
      <c r="E79" s="1298">
        <v>800.0</v>
      </c>
      <c r="F79" s="589">
        <f t="shared" si="24"/>
        <v>72</v>
      </c>
      <c r="G79" s="589"/>
      <c r="H79" s="589">
        <f t="shared" si="25"/>
        <v>57600</v>
      </c>
      <c r="I79" s="589"/>
      <c r="J79" s="1301"/>
      <c r="K79" s="1331">
        <f t="shared" si="26"/>
        <v>0</v>
      </c>
      <c r="L79" s="595" t="s">
        <v>6397</v>
      </c>
      <c r="N79" s="1291"/>
      <c r="O79" s="370"/>
      <c r="P79" s="1291"/>
      <c r="Q79" s="1291"/>
      <c r="R79" s="1291"/>
      <c r="S79" s="370"/>
    </row>
    <row r="80">
      <c r="A80" s="1328"/>
      <c r="B80" s="1329" t="s">
        <v>6401</v>
      </c>
      <c r="C80" s="1330">
        <v>2.0</v>
      </c>
      <c r="D80" s="163">
        <v>92.0</v>
      </c>
      <c r="E80" s="1298">
        <v>800.0</v>
      </c>
      <c r="F80" s="589">
        <f t="shared" si="24"/>
        <v>184</v>
      </c>
      <c r="G80" s="589"/>
      <c r="H80" s="589">
        <f t="shared" si="25"/>
        <v>73600</v>
      </c>
      <c r="I80" s="589"/>
      <c r="J80" s="1301"/>
      <c r="K80" s="1331">
        <f t="shared" si="26"/>
        <v>0</v>
      </c>
      <c r="L80" s="595" t="s">
        <v>6397</v>
      </c>
      <c r="N80" s="1291"/>
      <c r="O80" s="370"/>
      <c r="P80" s="1291"/>
      <c r="Q80" s="1291"/>
      <c r="R80" s="1291"/>
      <c r="S80" s="370"/>
    </row>
    <row r="81">
      <c r="A81" s="1328"/>
      <c r="B81" s="1329" t="s">
        <v>6402</v>
      </c>
      <c r="C81" s="1330">
        <v>1.0</v>
      </c>
      <c r="D81" s="163">
        <v>72.0</v>
      </c>
      <c r="E81" s="1298">
        <v>800.0</v>
      </c>
      <c r="F81" s="589">
        <f t="shared" si="24"/>
        <v>72</v>
      </c>
      <c r="G81" s="589"/>
      <c r="H81" s="589">
        <f t="shared" si="25"/>
        <v>57600</v>
      </c>
      <c r="I81" s="589"/>
      <c r="J81" s="1301"/>
      <c r="K81" s="1331">
        <f t="shared" si="26"/>
        <v>0</v>
      </c>
      <c r="L81" s="595" t="s">
        <v>6392</v>
      </c>
      <c r="N81" s="1291"/>
      <c r="O81" s="370"/>
      <c r="P81" s="1291"/>
      <c r="Q81" s="1291"/>
      <c r="R81" s="1291"/>
      <c r="S81" s="370"/>
    </row>
    <row r="82">
      <c r="A82" s="1328"/>
      <c r="B82" s="1329" t="s">
        <v>6401</v>
      </c>
      <c r="C82" s="1330">
        <v>3.0</v>
      </c>
      <c r="D82" s="163">
        <v>72.0</v>
      </c>
      <c r="E82" s="1298">
        <v>800.0</v>
      </c>
      <c r="F82" s="589">
        <f t="shared" si="24"/>
        <v>216</v>
      </c>
      <c r="G82" s="589"/>
      <c r="H82" s="589">
        <f t="shared" si="25"/>
        <v>57600</v>
      </c>
      <c r="I82" s="589"/>
      <c r="J82" s="1301"/>
      <c r="K82" s="1331">
        <f t="shared" si="26"/>
        <v>0</v>
      </c>
      <c r="L82" s="595" t="s">
        <v>6392</v>
      </c>
      <c r="N82" s="1291"/>
      <c r="O82" s="370"/>
      <c r="P82" s="1291"/>
      <c r="Q82" s="1291"/>
      <c r="R82" s="1291"/>
      <c r="S82" s="370"/>
    </row>
    <row r="83">
      <c r="A83" s="1328" t="s">
        <v>4326</v>
      </c>
      <c r="B83" s="1329" t="s">
        <v>6403</v>
      </c>
      <c r="C83" s="1330">
        <v>9.0</v>
      </c>
      <c r="D83" s="163">
        <v>72.0</v>
      </c>
      <c r="E83" s="1298">
        <v>800.0</v>
      </c>
      <c r="F83" s="589">
        <f t="shared" si="24"/>
        <v>648</v>
      </c>
      <c r="G83" s="589"/>
      <c r="H83" s="589">
        <f t="shared" si="25"/>
        <v>57600</v>
      </c>
      <c r="I83" s="589"/>
      <c r="J83" s="1301"/>
      <c r="K83" s="1331">
        <f t="shared" si="26"/>
        <v>0</v>
      </c>
      <c r="L83" s="595" t="s">
        <v>6392</v>
      </c>
      <c r="N83" s="1291"/>
      <c r="O83" s="370"/>
      <c r="P83" s="1291"/>
      <c r="Q83" s="1291"/>
      <c r="R83" s="1291"/>
      <c r="S83" s="370"/>
    </row>
    <row r="84">
      <c r="A84" s="1328"/>
      <c r="B84" s="1329" t="s">
        <v>6350</v>
      </c>
      <c r="C84" s="1330"/>
      <c r="D84" s="163"/>
      <c r="E84" s="1298"/>
      <c r="F84" s="589"/>
      <c r="G84" s="589"/>
      <c r="H84" s="589"/>
      <c r="I84" s="589"/>
      <c r="J84" s="1301"/>
      <c r="K84" s="1331"/>
      <c r="L84" s="587"/>
      <c r="N84" s="1291"/>
      <c r="O84" s="370"/>
      <c r="P84" s="1291"/>
      <c r="Q84" s="1291"/>
      <c r="R84" s="1291"/>
      <c r="S84" s="370"/>
    </row>
    <row r="85">
      <c r="A85" s="1328"/>
      <c r="B85" s="1329" t="s">
        <v>6404</v>
      </c>
      <c r="C85" s="1330">
        <v>10.0</v>
      </c>
      <c r="D85" s="163">
        <v>9.5</v>
      </c>
      <c r="E85" s="1298">
        <v>800.0</v>
      </c>
      <c r="F85" s="589">
        <f t="shared" ref="F85:F87" si="27">SUM(C85*D85)</f>
        <v>95</v>
      </c>
      <c r="G85" s="589"/>
      <c r="H85" s="589">
        <f t="shared" ref="H85:H87" si="28">D85*E85</f>
        <v>7600</v>
      </c>
      <c r="I85" s="589"/>
      <c r="J85" s="1301"/>
      <c r="K85" s="1331">
        <f t="shared" ref="K85:K87" si="29">I85*C85</f>
        <v>0</v>
      </c>
      <c r="L85" s="595" t="s">
        <v>6397</v>
      </c>
      <c r="N85" s="1291"/>
      <c r="O85" s="370"/>
      <c r="P85" s="1291"/>
      <c r="Q85" s="1291"/>
      <c r="R85" s="1291"/>
      <c r="S85" s="370"/>
    </row>
    <row r="86">
      <c r="A86" s="1328"/>
      <c r="B86" s="1329" t="s">
        <v>453</v>
      </c>
      <c r="C86" s="1330">
        <v>44.0</v>
      </c>
      <c r="D86" s="163">
        <v>9.0</v>
      </c>
      <c r="E86" s="1298">
        <v>800.0</v>
      </c>
      <c r="F86" s="589">
        <f t="shared" si="27"/>
        <v>396</v>
      </c>
      <c r="G86" s="589"/>
      <c r="H86" s="589">
        <f t="shared" si="28"/>
        <v>7200</v>
      </c>
      <c r="I86" s="589"/>
      <c r="J86" s="1301"/>
      <c r="K86" s="1331">
        <f t="shared" si="29"/>
        <v>0</v>
      </c>
      <c r="L86" s="595" t="s">
        <v>6397</v>
      </c>
      <c r="N86" s="1291"/>
      <c r="O86" s="370"/>
      <c r="P86" s="1291"/>
      <c r="Q86" s="1291"/>
      <c r="R86" s="1291"/>
      <c r="S86" s="370"/>
    </row>
    <row r="87">
      <c r="A87" s="1328"/>
      <c r="B87" s="1329" t="s">
        <v>6405</v>
      </c>
      <c r="C87" s="1330">
        <v>1.0</v>
      </c>
      <c r="D87" s="163">
        <v>48.0</v>
      </c>
      <c r="E87" s="1298">
        <v>800.0</v>
      </c>
      <c r="F87" s="589">
        <f t="shared" si="27"/>
        <v>48</v>
      </c>
      <c r="G87" s="589"/>
      <c r="H87" s="589">
        <f t="shared" si="28"/>
        <v>38400</v>
      </c>
      <c r="I87" s="589"/>
      <c r="J87" s="1301"/>
      <c r="K87" s="1331">
        <f t="shared" si="29"/>
        <v>0</v>
      </c>
      <c r="L87" s="595" t="s">
        <v>6397</v>
      </c>
      <c r="N87" s="1291"/>
      <c r="O87" s="370"/>
      <c r="P87" s="1291"/>
      <c r="Q87" s="1291"/>
      <c r="R87" s="1291"/>
      <c r="S87" s="370"/>
    </row>
    <row r="88">
      <c r="A88" s="1328"/>
      <c r="B88" s="1329" t="s">
        <v>6406</v>
      </c>
      <c r="C88" s="1330"/>
      <c r="D88" s="589"/>
      <c r="E88" s="1298"/>
      <c r="F88" s="589"/>
      <c r="G88" s="589"/>
      <c r="H88" s="589"/>
      <c r="I88" s="589"/>
      <c r="J88" s="1301"/>
      <c r="K88" s="1331"/>
      <c r="L88" s="587"/>
      <c r="N88" s="1291"/>
      <c r="O88" s="370"/>
      <c r="P88" s="1291"/>
      <c r="Q88" s="1291"/>
      <c r="R88" s="1291"/>
      <c r="S88" s="370"/>
    </row>
    <row r="89">
      <c r="A89" s="1328"/>
      <c r="B89" s="1329" t="s">
        <v>6407</v>
      </c>
      <c r="C89" s="1330">
        <v>2.0</v>
      </c>
      <c r="D89" s="163">
        <v>85.0</v>
      </c>
      <c r="E89" s="1298">
        <v>800.0</v>
      </c>
      <c r="F89" s="589">
        <f>SUM(C89*D89)</f>
        <v>170</v>
      </c>
      <c r="G89" s="589"/>
      <c r="H89" s="589">
        <f>D89*E89</f>
        <v>68000</v>
      </c>
      <c r="I89" s="589"/>
      <c r="J89" s="1301"/>
      <c r="K89" s="1331">
        <f>I89*C89</f>
        <v>0</v>
      </c>
      <c r="L89" s="595" t="s">
        <v>6397</v>
      </c>
      <c r="N89" s="1291"/>
      <c r="O89" s="370"/>
      <c r="P89" s="1291"/>
      <c r="Q89" s="1291"/>
      <c r="R89" s="1291"/>
      <c r="S89" s="370"/>
    </row>
    <row r="90">
      <c r="A90" s="1328"/>
      <c r="B90" s="1329" t="s">
        <v>6357</v>
      </c>
      <c r="C90" s="1330"/>
      <c r="D90" s="589"/>
      <c r="E90" s="1298"/>
      <c r="F90" s="589"/>
      <c r="G90" s="589"/>
      <c r="H90" s="589"/>
      <c r="I90" s="589"/>
      <c r="J90" s="1301"/>
      <c r="K90" s="1331"/>
      <c r="L90" s="587"/>
      <c r="N90" s="1291"/>
      <c r="O90" s="370"/>
      <c r="P90" s="1291"/>
      <c r="Q90" s="1291"/>
      <c r="R90" s="1291"/>
      <c r="S90" s="370"/>
    </row>
    <row r="91">
      <c r="A91" s="1328"/>
      <c r="B91" s="1329" t="s">
        <v>6358</v>
      </c>
      <c r="C91" s="1330">
        <v>3.0</v>
      </c>
      <c r="D91" s="163">
        <v>135.0</v>
      </c>
      <c r="E91" s="1298">
        <v>800.0</v>
      </c>
      <c r="F91" s="589">
        <f t="shared" ref="F91:F98" si="30">SUM(C91*D91)</f>
        <v>405</v>
      </c>
      <c r="G91" s="589"/>
      <c r="H91" s="589">
        <f t="shared" ref="H91:H98" si="31">D91*E91</f>
        <v>108000</v>
      </c>
      <c r="I91" s="589"/>
      <c r="J91" s="1301"/>
      <c r="K91" s="1331">
        <f t="shared" ref="K91:K98" si="32">I91*C91</f>
        <v>0</v>
      </c>
      <c r="L91" s="595" t="s">
        <v>6394</v>
      </c>
      <c r="N91" s="1291"/>
      <c r="O91" s="370"/>
      <c r="P91" s="1291"/>
      <c r="Q91" s="1291"/>
      <c r="R91" s="1291"/>
      <c r="S91" s="370"/>
    </row>
    <row r="92">
      <c r="A92" s="1328"/>
      <c r="B92" s="1329" t="s">
        <v>6408</v>
      </c>
      <c r="C92" s="1330">
        <v>3.0</v>
      </c>
      <c r="D92" s="163">
        <v>10.0</v>
      </c>
      <c r="E92" s="1298">
        <v>800.0</v>
      </c>
      <c r="F92" s="589">
        <f t="shared" si="30"/>
        <v>30</v>
      </c>
      <c r="G92" s="589"/>
      <c r="H92" s="589">
        <f t="shared" si="31"/>
        <v>8000</v>
      </c>
      <c r="I92" s="589"/>
      <c r="J92" s="1301"/>
      <c r="K92" s="1331">
        <f t="shared" si="32"/>
        <v>0</v>
      </c>
      <c r="L92" s="595" t="s">
        <v>6397</v>
      </c>
      <c r="N92" s="1291"/>
      <c r="O92" s="370"/>
      <c r="P92" s="1291"/>
      <c r="Q92" s="1291"/>
      <c r="R92" s="1291"/>
      <c r="S92" s="370"/>
    </row>
    <row r="93">
      <c r="A93" s="1328"/>
      <c r="B93" s="1329" t="s">
        <v>826</v>
      </c>
      <c r="C93" s="1330">
        <v>10.0</v>
      </c>
      <c r="D93" s="163">
        <v>8.0</v>
      </c>
      <c r="E93" s="1298">
        <v>800.0</v>
      </c>
      <c r="F93" s="589">
        <f t="shared" si="30"/>
        <v>80</v>
      </c>
      <c r="G93" s="589"/>
      <c r="H93" s="589">
        <f t="shared" si="31"/>
        <v>6400</v>
      </c>
      <c r="I93" s="589"/>
      <c r="J93" s="1301"/>
      <c r="K93" s="1331">
        <f t="shared" si="32"/>
        <v>0</v>
      </c>
      <c r="L93" s="595" t="s">
        <v>6397</v>
      </c>
      <c r="N93" s="1291"/>
      <c r="O93" s="370"/>
      <c r="P93" s="1291"/>
      <c r="Q93" s="1291"/>
      <c r="R93" s="1291"/>
      <c r="S93" s="370"/>
    </row>
    <row r="94">
      <c r="A94" s="1328"/>
      <c r="B94" s="1329" t="s">
        <v>6409</v>
      </c>
      <c r="C94" s="1330">
        <v>2.0</v>
      </c>
      <c r="D94" s="163">
        <v>9.0</v>
      </c>
      <c r="E94" s="1298">
        <v>800.0</v>
      </c>
      <c r="F94" s="589">
        <f t="shared" si="30"/>
        <v>18</v>
      </c>
      <c r="G94" s="589"/>
      <c r="H94" s="589">
        <f t="shared" si="31"/>
        <v>7200</v>
      </c>
      <c r="I94" s="589"/>
      <c r="J94" s="1301"/>
      <c r="K94" s="1331">
        <f t="shared" si="32"/>
        <v>0</v>
      </c>
      <c r="L94" s="595" t="s">
        <v>6397</v>
      </c>
      <c r="N94" s="1291"/>
      <c r="O94" s="370"/>
      <c r="P94" s="1291"/>
      <c r="Q94" s="1291"/>
      <c r="R94" s="1291"/>
      <c r="S94" s="370"/>
    </row>
    <row r="95">
      <c r="A95" s="1328"/>
      <c r="B95" s="1329" t="s">
        <v>6410</v>
      </c>
      <c r="C95" s="1330">
        <v>1.0</v>
      </c>
      <c r="D95" s="163">
        <v>38.0</v>
      </c>
      <c r="E95" s="1298">
        <v>800.0</v>
      </c>
      <c r="F95" s="589">
        <f t="shared" si="30"/>
        <v>38</v>
      </c>
      <c r="G95" s="589"/>
      <c r="H95" s="589">
        <f t="shared" si="31"/>
        <v>30400</v>
      </c>
      <c r="I95" s="589"/>
      <c r="J95" s="1301"/>
      <c r="K95" s="1331">
        <f t="shared" si="32"/>
        <v>0</v>
      </c>
      <c r="L95" s="595" t="s">
        <v>6397</v>
      </c>
      <c r="N95" s="1291"/>
      <c r="O95" s="370"/>
      <c r="P95" s="1291"/>
      <c r="Q95" s="1291"/>
      <c r="R95" s="1291"/>
      <c r="S95" s="370"/>
    </row>
    <row r="96">
      <c r="A96" s="1328"/>
      <c r="B96" s="1329" t="s">
        <v>6411</v>
      </c>
      <c r="C96" s="1330">
        <v>6.0</v>
      </c>
      <c r="D96" s="163">
        <v>12.5</v>
      </c>
      <c r="E96" s="1298">
        <v>800.0</v>
      </c>
      <c r="F96" s="589">
        <f t="shared" si="30"/>
        <v>75</v>
      </c>
      <c r="G96" s="589"/>
      <c r="H96" s="589">
        <f t="shared" si="31"/>
        <v>10000</v>
      </c>
      <c r="I96" s="589"/>
      <c r="J96" s="1301"/>
      <c r="K96" s="1331">
        <f t="shared" si="32"/>
        <v>0</v>
      </c>
      <c r="L96" s="595" t="s">
        <v>6394</v>
      </c>
      <c r="N96" s="1291"/>
      <c r="O96" s="370"/>
      <c r="P96" s="1291"/>
      <c r="Q96" s="1291"/>
      <c r="R96" s="1291"/>
      <c r="S96" s="370"/>
    </row>
    <row r="97">
      <c r="A97" s="1328"/>
      <c r="B97" s="1329" t="s">
        <v>6412</v>
      </c>
      <c r="C97" s="1330">
        <v>6.0</v>
      </c>
      <c r="D97" s="163">
        <v>14.8</v>
      </c>
      <c r="E97" s="1298">
        <v>800.0</v>
      </c>
      <c r="F97" s="589">
        <f t="shared" si="30"/>
        <v>88.8</v>
      </c>
      <c r="G97" s="589"/>
      <c r="H97" s="589">
        <f t="shared" si="31"/>
        <v>11840</v>
      </c>
      <c r="I97" s="589"/>
      <c r="J97" s="1301"/>
      <c r="K97" s="1331">
        <f t="shared" si="32"/>
        <v>0</v>
      </c>
      <c r="L97" s="595" t="s">
        <v>6394</v>
      </c>
      <c r="N97" s="1291"/>
      <c r="O97" s="370"/>
      <c r="P97" s="1291"/>
      <c r="Q97" s="1291"/>
      <c r="R97" s="1291"/>
      <c r="S97" s="370"/>
    </row>
    <row r="98">
      <c r="A98" s="1328"/>
      <c r="B98" s="1329" t="s">
        <v>1230</v>
      </c>
      <c r="C98" s="1330">
        <v>4.0</v>
      </c>
      <c r="D98" s="163">
        <v>31.2</v>
      </c>
      <c r="E98" s="1298">
        <v>800.0</v>
      </c>
      <c r="F98" s="589">
        <f t="shared" si="30"/>
        <v>124.8</v>
      </c>
      <c r="G98" s="589"/>
      <c r="H98" s="589">
        <f t="shared" si="31"/>
        <v>24960</v>
      </c>
      <c r="I98" s="589"/>
      <c r="J98" s="1301"/>
      <c r="K98" s="1331">
        <f t="shared" si="32"/>
        <v>0</v>
      </c>
      <c r="L98" s="595" t="s">
        <v>6394</v>
      </c>
      <c r="N98" s="1291"/>
      <c r="O98" s="370"/>
      <c r="P98" s="1291"/>
      <c r="Q98" s="1291"/>
      <c r="R98" s="1291"/>
      <c r="S98" s="370"/>
    </row>
    <row r="99">
      <c r="A99" s="1328"/>
      <c r="B99" s="1329" t="s">
        <v>6413</v>
      </c>
      <c r="C99" s="1330"/>
      <c r="D99" s="589"/>
      <c r="E99" s="1298"/>
      <c r="F99" s="589"/>
      <c r="G99" s="589"/>
      <c r="H99" s="589"/>
      <c r="I99" s="589"/>
      <c r="J99" s="1301"/>
      <c r="K99" s="1331"/>
      <c r="L99" s="587"/>
      <c r="N99" s="1291"/>
      <c r="O99" s="370"/>
      <c r="P99" s="1291"/>
      <c r="Q99" s="1291"/>
      <c r="R99" s="1291"/>
      <c r="S99" s="370"/>
    </row>
    <row r="100">
      <c r="A100" s="1328"/>
      <c r="B100" s="1329" t="s">
        <v>6414</v>
      </c>
      <c r="C100" s="1330"/>
      <c r="D100" s="589"/>
      <c r="E100" s="1298"/>
      <c r="F100" s="589"/>
      <c r="G100" s="589"/>
      <c r="H100" s="589"/>
      <c r="I100" s="589"/>
      <c r="J100" s="1301"/>
      <c r="K100" s="1331"/>
      <c r="L100" s="587"/>
      <c r="N100" s="1291"/>
      <c r="O100" s="370"/>
      <c r="P100" s="1291"/>
      <c r="Q100" s="1291"/>
      <c r="R100" s="1291"/>
      <c r="S100" s="370"/>
    </row>
    <row r="101">
      <c r="A101" s="1328"/>
      <c r="B101" s="1329" t="s">
        <v>6415</v>
      </c>
      <c r="C101" s="1330"/>
      <c r="D101" s="589"/>
      <c r="E101" s="1298"/>
      <c r="F101" s="589"/>
      <c r="G101" s="589"/>
      <c r="H101" s="589"/>
      <c r="I101" s="589"/>
      <c r="J101" s="1301"/>
      <c r="K101" s="1331"/>
      <c r="L101" s="587"/>
      <c r="N101" s="1291"/>
      <c r="O101" s="370"/>
      <c r="P101" s="1291"/>
      <c r="Q101" s="1291"/>
      <c r="R101" s="1291"/>
      <c r="S101" s="370"/>
    </row>
    <row r="102">
      <c r="A102" s="1328"/>
      <c r="B102" s="1329" t="s">
        <v>6416</v>
      </c>
      <c r="C102" s="1330">
        <v>3.0</v>
      </c>
      <c r="D102" s="163">
        <v>35.0</v>
      </c>
      <c r="E102" s="1298">
        <v>800.0</v>
      </c>
      <c r="F102" s="589">
        <f t="shared" ref="F102:F103" si="33">SUM(C102*D102)</f>
        <v>105</v>
      </c>
      <c r="G102" s="589"/>
      <c r="H102" s="589">
        <f t="shared" ref="H102:H103" si="34">D102*E102</f>
        <v>28000</v>
      </c>
      <c r="I102" s="589"/>
      <c r="J102" s="1301"/>
      <c r="K102" s="1331">
        <f t="shared" ref="K102:K103" si="35">I102*C102</f>
        <v>0</v>
      </c>
      <c r="L102" s="595" t="s">
        <v>6397</v>
      </c>
      <c r="N102" s="1291"/>
      <c r="O102" s="370"/>
      <c r="P102" s="1291"/>
      <c r="Q102" s="1291"/>
      <c r="R102" s="1291"/>
      <c r="S102" s="370"/>
    </row>
    <row r="103">
      <c r="A103" s="1328"/>
      <c r="B103" s="1329" t="s">
        <v>6417</v>
      </c>
      <c r="C103" s="1330">
        <v>1.0</v>
      </c>
      <c r="D103" s="163">
        <v>42.6</v>
      </c>
      <c r="E103" s="1298">
        <v>800.0</v>
      </c>
      <c r="F103" s="589">
        <f t="shared" si="33"/>
        <v>42.6</v>
      </c>
      <c r="G103" s="589"/>
      <c r="H103" s="589">
        <f t="shared" si="34"/>
        <v>34080</v>
      </c>
      <c r="I103" s="589"/>
      <c r="J103" s="1301"/>
      <c r="K103" s="1331">
        <f t="shared" si="35"/>
        <v>0</v>
      </c>
      <c r="L103" s="595" t="s">
        <v>6394</v>
      </c>
      <c r="N103" s="1291"/>
      <c r="O103" s="370"/>
      <c r="P103" s="1291"/>
      <c r="Q103" s="1291"/>
      <c r="R103" s="1291"/>
      <c r="S103" s="370"/>
    </row>
    <row r="104">
      <c r="A104" s="1328"/>
      <c r="B104" s="1329" t="s">
        <v>6418</v>
      </c>
      <c r="C104" s="1330"/>
      <c r="D104" s="589"/>
      <c r="E104" s="1298"/>
      <c r="F104" s="589"/>
      <c r="G104" s="589"/>
      <c r="H104" s="589"/>
      <c r="I104" s="589"/>
      <c r="J104" s="1301"/>
      <c r="K104" s="1331"/>
      <c r="L104" s="587"/>
      <c r="N104" s="1291"/>
      <c r="O104" s="370"/>
      <c r="P104" s="1291"/>
      <c r="Q104" s="1291"/>
      <c r="R104" s="1291"/>
      <c r="S104" s="370"/>
    </row>
    <row r="105">
      <c r="A105" s="1328"/>
      <c r="B105" s="1329" t="s">
        <v>6419</v>
      </c>
      <c r="C105" s="1330">
        <v>3.0</v>
      </c>
      <c r="D105" s="163">
        <v>20.0</v>
      </c>
      <c r="E105" s="1298">
        <v>800.0</v>
      </c>
      <c r="F105" s="589">
        <f t="shared" ref="F105:F109" si="36">SUM(C105*D105)</f>
        <v>60</v>
      </c>
      <c r="G105" s="589"/>
      <c r="H105" s="589">
        <f t="shared" ref="H105:H109" si="37">D105*E105</f>
        <v>16000</v>
      </c>
      <c r="I105" s="589"/>
      <c r="J105" s="1301"/>
      <c r="K105" s="1331">
        <f t="shared" ref="K105:K109" si="38">I105*C105</f>
        <v>0</v>
      </c>
      <c r="L105" s="595" t="s">
        <v>6392</v>
      </c>
      <c r="N105" s="1291"/>
      <c r="O105" s="370"/>
      <c r="P105" s="1291"/>
      <c r="Q105" s="1291"/>
      <c r="R105" s="1291"/>
      <c r="S105" s="370"/>
    </row>
    <row r="106">
      <c r="A106" s="1328"/>
      <c r="B106" s="1329" t="s">
        <v>6420</v>
      </c>
      <c r="C106" s="1330">
        <v>10.0</v>
      </c>
      <c r="D106" s="163">
        <v>13.0</v>
      </c>
      <c r="E106" s="1298">
        <v>800.0</v>
      </c>
      <c r="F106" s="589">
        <f t="shared" si="36"/>
        <v>130</v>
      </c>
      <c r="G106" s="589"/>
      <c r="H106" s="589">
        <f t="shared" si="37"/>
        <v>10400</v>
      </c>
      <c r="I106" s="589"/>
      <c r="J106" s="1301"/>
      <c r="K106" s="1331">
        <f t="shared" si="38"/>
        <v>0</v>
      </c>
      <c r="L106" s="595" t="s">
        <v>6394</v>
      </c>
      <c r="N106" s="1291"/>
      <c r="O106" s="370"/>
      <c r="P106" s="1291"/>
      <c r="Q106" s="1291"/>
      <c r="R106" s="1291"/>
      <c r="S106" s="370"/>
    </row>
    <row r="107">
      <c r="A107" s="1328"/>
      <c r="B107" s="1329" t="s">
        <v>6421</v>
      </c>
      <c r="C107" s="1330">
        <v>1.0</v>
      </c>
      <c r="D107" s="163">
        <v>52.0</v>
      </c>
      <c r="E107" s="1298">
        <v>800.0</v>
      </c>
      <c r="F107" s="589">
        <f t="shared" si="36"/>
        <v>52</v>
      </c>
      <c r="G107" s="589"/>
      <c r="H107" s="589">
        <f t="shared" si="37"/>
        <v>41600</v>
      </c>
      <c r="I107" s="589"/>
      <c r="J107" s="1301"/>
      <c r="K107" s="1331">
        <f t="shared" si="38"/>
        <v>0</v>
      </c>
      <c r="L107" s="595" t="s">
        <v>6392</v>
      </c>
      <c r="N107" s="1291"/>
      <c r="O107" s="370"/>
      <c r="P107" s="1291"/>
      <c r="Q107" s="1291"/>
      <c r="R107" s="1291"/>
      <c r="S107" s="370"/>
    </row>
    <row r="108">
      <c r="A108" s="1328"/>
      <c r="B108" s="1329" t="s">
        <v>6421</v>
      </c>
      <c r="C108" s="1330">
        <v>1.0</v>
      </c>
      <c r="D108" s="163">
        <v>49.0</v>
      </c>
      <c r="E108" s="1298">
        <v>800.0</v>
      </c>
      <c r="F108" s="589">
        <f t="shared" si="36"/>
        <v>49</v>
      </c>
      <c r="G108" s="589"/>
      <c r="H108" s="589">
        <f t="shared" si="37"/>
        <v>39200</v>
      </c>
      <c r="I108" s="589"/>
      <c r="J108" s="1301"/>
      <c r="K108" s="1331">
        <f t="shared" si="38"/>
        <v>0</v>
      </c>
      <c r="L108" s="595" t="s">
        <v>6397</v>
      </c>
      <c r="N108" s="1291"/>
      <c r="O108" s="370"/>
      <c r="P108" s="1291"/>
      <c r="Q108" s="1291"/>
      <c r="R108" s="1291"/>
      <c r="S108" s="370"/>
    </row>
    <row r="109">
      <c r="A109" s="1328"/>
      <c r="B109" s="1329" t="s">
        <v>6373</v>
      </c>
      <c r="C109" s="1330">
        <v>1.0</v>
      </c>
      <c r="D109" s="163">
        <v>76.8</v>
      </c>
      <c r="E109" s="1298">
        <v>800.0</v>
      </c>
      <c r="F109" s="589">
        <f t="shared" si="36"/>
        <v>76.8</v>
      </c>
      <c r="G109" s="589"/>
      <c r="H109" s="589">
        <f t="shared" si="37"/>
        <v>61440</v>
      </c>
      <c r="I109" s="589"/>
      <c r="J109" s="1301"/>
      <c r="K109" s="1331">
        <f t="shared" si="38"/>
        <v>0</v>
      </c>
      <c r="L109" s="595" t="s">
        <v>6392</v>
      </c>
      <c r="N109" s="1291"/>
      <c r="O109" s="370"/>
      <c r="P109" s="1291"/>
      <c r="Q109" s="1291"/>
      <c r="R109" s="1291"/>
      <c r="S109" s="370"/>
    </row>
    <row r="110">
      <c r="A110" s="1328"/>
      <c r="B110" s="1329" t="s">
        <v>6422</v>
      </c>
      <c r="C110" s="1330"/>
      <c r="D110" s="589"/>
      <c r="E110" s="1298"/>
      <c r="F110" s="589"/>
      <c r="G110" s="589"/>
      <c r="H110" s="589"/>
      <c r="I110" s="589"/>
      <c r="J110" s="1301"/>
      <c r="K110" s="1331"/>
      <c r="L110" s="587"/>
      <c r="N110" s="1291"/>
      <c r="O110" s="370"/>
      <c r="P110" s="1291"/>
      <c r="Q110" s="1291"/>
      <c r="R110" s="1291"/>
      <c r="S110" s="370"/>
    </row>
    <row r="111">
      <c r="A111" s="1328"/>
      <c r="B111" s="1329" t="s">
        <v>6423</v>
      </c>
      <c r="C111" s="1330"/>
      <c r="D111" s="589"/>
      <c r="E111" s="1298"/>
      <c r="F111" s="589"/>
      <c r="G111" s="589"/>
      <c r="H111" s="589"/>
      <c r="I111" s="589"/>
      <c r="J111" s="1301"/>
      <c r="K111" s="1331"/>
      <c r="L111" s="587"/>
      <c r="N111" s="1291"/>
      <c r="O111" s="370"/>
      <c r="P111" s="1291"/>
      <c r="Q111" s="1291"/>
      <c r="R111" s="1291"/>
      <c r="S111" s="370"/>
    </row>
    <row r="112">
      <c r="A112" s="1328"/>
      <c r="B112" s="1329" t="s">
        <v>6424</v>
      </c>
      <c r="C112" s="1330"/>
      <c r="D112" s="589"/>
      <c r="E112" s="1298"/>
      <c r="F112" s="589"/>
      <c r="G112" s="589"/>
      <c r="H112" s="589"/>
      <c r="I112" s="589"/>
      <c r="J112" s="1301"/>
      <c r="K112" s="1331"/>
      <c r="L112" s="587"/>
      <c r="N112" s="1291"/>
      <c r="O112" s="370"/>
      <c r="P112" s="1291"/>
      <c r="Q112" s="1291"/>
      <c r="R112" s="1291"/>
      <c r="S112" s="370"/>
    </row>
    <row r="113">
      <c r="A113" s="1328"/>
      <c r="B113" s="1329" t="s">
        <v>6425</v>
      </c>
      <c r="C113" s="1330">
        <v>1.0</v>
      </c>
      <c r="D113" s="163">
        <v>48.5</v>
      </c>
      <c r="E113" s="1298">
        <v>800.0</v>
      </c>
      <c r="F113" s="589">
        <f t="shared" ref="F113:F114" si="39">SUM(C113*D113)</f>
        <v>48.5</v>
      </c>
      <c r="G113" s="589"/>
      <c r="H113" s="589">
        <f t="shared" ref="H113:H114" si="40">D113*E113</f>
        <v>38800</v>
      </c>
      <c r="I113" s="163">
        <v>70000.0</v>
      </c>
      <c r="J113" s="1301"/>
      <c r="K113" s="1331">
        <f t="shared" ref="K113:K114" si="41">I113*C113</f>
        <v>70000</v>
      </c>
      <c r="L113" s="595" t="s">
        <v>6397</v>
      </c>
      <c r="N113" s="1291"/>
      <c r="O113" s="370"/>
      <c r="P113" s="1291"/>
      <c r="Q113" s="1291"/>
      <c r="R113" s="1291"/>
      <c r="S113" s="370"/>
    </row>
    <row r="114">
      <c r="A114" s="1328"/>
      <c r="B114" s="1329" t="s">
        <v>6426</v>
      </c>
      <c r="C114" s="1330">
        <v>6.0</v>
      </c>
      <c r="D114" s="163">
        <v>18.9</v>
      </c>
      <c r="E114" s="1298">
        <v>800.0</v>
      </c>
      <c r="F114" s="589">
        <f t="shared" si="39"/>
        <v>113.4</v>
      </c>
      <c r="G114" s="589"/>
      <c r="H114" s="589">
        <f t="shared" si="40"/>
        <v>15120</v>
      </c>
      <c r="I114" s="589"/>
      <c r="J114" s="1301"/>
      <c r="K114" s="1331">
        <f t="shared" si="41"/>
        <v>0</v>
      </c>
      <c r="L114" s="595" t="s">
        <v>6397</v>
      </c>
      <c r="N114" s="1291"/>
      <c r="O114" s="370"/>
      <c r="P114" s="1291"/>
      <c r="Q114" s="1291"/>
      <c r="R114" s="1291"/>
      <c r="S114" s="370"/>
    </row>
    <row r="115">
      <c r="A115" s="1328"/>
      <c r="B115" s="1329" t="s">
        <v>6427</v>
      </c>
      <c r="C115" s="1330"/>
      <c r="D115" s="163"/>
      <c r="E115" s="1298"/>
      <c r="F115" s="589"/>
      <c r="G115" s="589"/>
      <c r="H115" s="589"/>
      <c r="I115" s="589"/>
      <c r="J115" s="1301"/>
      <c r="K115" s="1331"/>
      <c r="L115" s="595" t="s">
        <v>328</v>
      </c>
      <c r="N115" s="1291"/>
      <c r="O115" s="370"/>
      <c r="P115" s="1291"/>
      <c r="Q115" s="1291"/>
      <c r="R115" s="1291"/>
      <c r="S115" s="370"/>
    </row>
    <row r="116">
      <c r="A116" s="1328"/>
      <c r="B116" s="1329" t="s">
        <v>6428</v>
      </c>
      <c r="C116" s="1330">
        <v>2.0</v>
      </c>
      <c r="D116" s="163">
        <v>18.9</v>
      </c>
      <c r="E116" s="1298">
        <v>800.0</v>
      </c>
      <c r="F116" s="589">
        <f t="shared" ref="F116:F131" si="42">SUM(C116*D116)</f>
        <v>37.8</v>
      </c>
      <c r="G116" s="589"/>
      <c r="H116" s="589">
        <f t="shared" ref="H116:H125" si="43">D116*E116</f>
        <v>15120</v>
      </c>
      <c r="I116" s="589"/>
      <c r="J116" s="1301"/>
      <c r="K116" s="1331">
        <f t="shared" ref="K116:K131" si="44">I116*C116</f>
        <v>0</v>
      </c>
      <c r="L116" s="595" t="s">
        <v>6397</v>
      </c>
      <c r="N116" s="1291"/>
      <c r="O116" s="370"/>
      <c r="P116" s="1291"/>
      <c r="Q116" s="1291"/>
      <c r="R116" s="1291"/>
      <c r="S116" s="370"/>
    </row>
    <row r="117">
      <c r="A117" s="1328"/>
      <c r="B117" s="1329" t="s">
        <v>6429</v>
      </c>
      <c r="C117" s="1330">
        <v>6.0</v>
      </c>
      <c r="D117" s="163">
        <v>15.0</v>
      </c>
      <c r="E117" s="1298">
        <v>800.0</v>
      </c>
      <c r="F117" s="589">
        <f t="shared" si="42"/>
        <v>90</v>
      </c>
      <c r="G117" s="589"/>
      <c r="H117" s="589">
        <f t="shared" si="43"/>
        <v>12000</v>
      </c>
      <c r="I117" s="163">
        <v>26000.0</v>
      </c>
      <c r="J117" s="1301"/>
      <c r="K117" s="1331">
        <f t="shared" si="44"/>
        <v>156000</v>
      </c>
      <c r="L117" s="595" t="s">
        <v>6392</v>
      </c>
      <c r="N117" s="1291"/>
      <c r="O117" s="370"/>
      <c r="P117" s="1291"/>
      <c r="Q117" s="1291"/>
      <c r="R117" s="1291"/>
      <c r="S117" s="370"/>
    </row>
    <row r="118">
      <c r="A118" s="1328"/>
      <c r="B118" s="1329" t="s">
        <v>6430</v>
      </c>
      <c r="C118" s="1330">
        <v>6.0</v>
      </c>
      <c r="D118" s="163">
        <v>15.0</v>
      </c>
      <c r="E118" s="1298">
        <v>800.0</v>
      </c>
      <c r="F118" s="589">
        <f t="shared" si="42"/>
        <v>90</v>
      </c>
      <c r="G118" s="589"/>
      <c r="H118" s="589">
        <f t="shared" si="43"/>
        <v>12000</v>
      </c>
      <c r="I118" s="163">
        <v>26000.0</v>
      </c>
      <c r="J118" s="1301"/>
      <c r="K118" s="1331">
        <f t="shared" si="44"/>
        <v>156000</v>
      </c>
      <c r="L118" s="595" t="s">
        <v>6392</v>
      </c>
      <c r="N118" s="1291"/>
      <c r="O118" s="370"/>
      <c r="P118" s="1291"/>
      <c r="Q118" s="1291"/>
      <c r="R118" s="1291"/>
      <c r="S118" s="370"/>
    </row>
    <row r="119">
      <c r="A119" s="1328"/>
      <c r="B119" s="1329" t="s">
        <v>6431</v>
      </c>
      <c r="C119" s="1330">
        <v>6.0</v>
      </c>
      <c r="D119" s="163">
        <v>15.0</v>
      </c>
      <c r="E119" s="1298">
        <v>800.0</v>
      </c>
      <c r="F119" s="589">
        <f t="shared" si="42"/>
        <v>90</v>
      </c>
      <c r="G119" s="589"/>
      <c r="H119" s="589">
        <f t="shared" si="43"/>
        <v>12000</v>
      </c>
      <c r="I119" s="163">
        <v>26000.0</v>
      </c>
      <c r="J119" s="1301"/>
      <c r="K119" s="1331">
        <f t="shared" si="44"/>
        <v>156000</v>
      </c>
      <c r="L119" s="595" t="s">
        <v>6392</v>
      </c>
      <c r="N119" s="1291"/>
      <c r="O119" s="370"/>
      <c r="P119" s="1291"/>
      <c r="Q119" s="1291"/>
      <c r="R119" s="1291"/>
      <c r="S119" s="370"/>
    </row>
    <row r="120">
      <c r="A120" s="1328"/>
      <c r="B120" s="1329" t="s">
        <v>6432</v>
      </c>
      <c r="C120" s="1330">
        <v>6.0</v>
      </c>
      <c r="D120" s="163">
        <v>15.0</v>
      </c>
      <c r="E120" s="1298">
        <v>800.0</v>
      </c>
      <c r="F120" s="589">
        <f t="shared" si="42"/>
        <v>90</v>
      </c>
      <c r="G120" s="589"/>
      <c r="H120" s="589">
        <f t="shared" si="43"/>
        <v>12000</v>
      </c>
      <c r="I120" s="163">
        <v>26000.0</v>
      </c>
      <c r="J120" s="1301"/>
      <c r="K120" s="1331">
        <f t="shared" si="44"/>
        <v>156000</v>
      </c>
      <c r="L120" s="595" t="s">
        <v>6392</v>
      </c>
      <c r="N120" s="1291"/>
      <c r="O120" s="370"/>
      <c r="P120" s="1291"/>
      <c r="Q120" s="1291"/>
      <c r="R120" s="1291"/>
      <c r="S120" s="370"/>
    </row>
    <row r="121">
      <c r="A121" s="1328"/>
      <c r="B121" s="1329" t="s">
        <v>2400</v>
      </c>
      <c r="C121" s="1330">
        <v>4.0</v>
      </c>
      <c r="D121" s="163">
        <v>16.5</v>
      </c>
      <c r="E121" s="1298">
        <v>800.0</v>
      </c>
      <c r="F121" s="589">
        <f t="shared" si="42"/>
        <v>66</v>
      </c>
      <c r="G121" s="589"/>
      <c r="H121" s="589">
        <f t="shared" si="43"/>
        <v>13200</v>
      </c>
      <c r="I121" s="589"/>
      <c r="J121" s="1301"/>
      <c r="K121" s="1331">
        <f t="shared" si="44"/>
        <v>0</v>
      </c>
      <c r="L121" s="595" t="s">
        <v>6392</v>
      </c>
      <c r="N121" s="1291"/>
      <c r="O121" s="370"/>
      <c r="P121" s="1291"/>
      <c r="Q121" s="1291"/>
      <c r="R121" s="1291"/>
      <c r="S121" s="370"/>
    </row>
    <row r="122">
      <c r="A122" s="1328"/>
      <c r="B122" s="1329" t="s">
        <v>2402</v>
      </c>
      <c r="C122" s="1330">
        <v>10.0</v>
      </c>
      <c r="D122" s="163">
        <v>16.5</v>
      </c>
      <c r="E122" s="1298">
        <v>800.0</v>
      </c>
      <c r="F122" s="589">
        <f t="shared" si="42"/>
        <v>165</v>
      </c>
      <c r="G122" s="589"/>
      <c r="H122" s="589">
        <f t="shared" si="43"/>
        <v>13200</v>
      </c>
      <c r="I122" s="589"/>
      <c r="J122" s="1301"/>
      <c r="K122" s="1331">
        <f t="shared" si="44"/>
        <v>0</v>
      </c>
      <c r="L122" s="595" t="s">
        <v>6392</v>
      </c>
      <c r="N122" s="1291"/>
      <c r="O122" s="370"/>
      <c r="P122" s="1291"/>
      <c r="Q122" s="1291"/>
      <c r="R122" s="1291"/>
      <c r="S122" s="370"/>
    </row>
    <row r="123">
      <c r="A123" s="1328"/>
      <c r="B123" s="1329" t="s">
        <v>2405</v>
      </c>
      <c r="C123" s="1330">
        <v>10.0</v>
      </c>
      <c r="D123" s="163">
        <v>16.5</v>
      </c>
      <c r="E123" s="1298">
        <v>800.0</v>
      </c>
      <c r="F123" s="589">
        <f t="shared" si="42"/>
        <v>165</v>
      </c>
      <c r="G123" s="589"/>
      <c r="H123" s="589">
        <f t="shared" si="43"/>
        <v>13200</v>
      </c>
      <c r="I123" s="589"/>
      <c r="J123" s="1301"/>
      <c r="K123" s="1331">
        <f t="shared" si="44"/>
        <v>0</v>
      </c>
      <c r="L123" s="595" t="s">
        <v>6392</v>
      </c>
      <c r="N123" s="1291"/>
      <c r="O123" s="370"/>
      <c r="P123" s="1291"/>
      <c r="Q123" s="1291"/>
      <c r="R123" s="1291"/>
      <c r="S123" s="370"/>
    </row>
    <row r="124">
      <c r="A124" s="1328"/>
      <c r="B124" s="1329" t="s">
        <v>2406</v>
      </c>
      <c r="C124" s="1330">
        <v>6.0</v>
      </c>
      <c r="D124" s="163">
        <v>16.5</v>
      </c>
      <c r="E124" s="1298">
        <v>800.0</v>
      </c>
      <c r="F124" s="589">
        <f t="shared" si="42"/>
        <v>99</v>
      </c>
      <c r="G124" s="589"/>
      <c r="H124" s="589">
        <f t="shared" si="43"/>
        <v>13200</v>
      </c>
      <c r="I124" s="589"/>
      <c r="J124" s="1301"/>
      <c r="K124" s="1331">
        <f t="shared" si="44"/>
        <v>0</v>
      </c>
      <c r="L124" s="595" t="s">
        <v>6392</v>
      </c>
      <c r="N124" s="1291"/>
      <c r="O124" s="370"/>
      <c r="P124" s="1291"/>
      <c r="Q124" s="1291"/>
      <c r="R124" s="1291"/>
      <c r="S124" s="370"/>
    </row>
    <row r="125">
      <c r="A125" s="1328"/>
      <c r="B125" s="1329" t="s">
        <v>6433</v>
      </c>
      <c r="C125" s="1330">
        <v>1.0</v>
      </c>
      <c r="D125" s="163">
        <v>25.0</v>
      </c>
      <c r="E125" s="1298">
        <v>800.0</v>
      </c>
      <c r="F125" s="589">
        <f t="shared" si="42"/>
        <v>25</v>
      </c>
      <c r="G125" s="589"/>
      <c r="H125" s="589">
        <f t="shared" si="43"/>
        <v>20000</v>
      </c>
      <c r="I125" s="589"/>
      <c r="J125" s="1301"/>
      <c r="K125" s="1331">
        <f t="shared" si="44"/>
        <v>0</v>
      </c>
      <c r="L125" s="595" t="s">
        <v>6397</v>
      </c>
      <c r="N125" s="1291"/>
      <c r="O125" s="370"/>
      <c r="P125" s="1291"/>
      <c r="Q125" s="1291"/>
      <c r="R125" s="1291"/>
      <c r="S125" s="370"/>
    </row>
    <row r="126">
      <c r="A126" s="1328"/>
      <c r="B126" s="1329" t="s">
        <v>6434</v>
      </c>
      <c r="C126" s="1330">
        <v>3.0</v>
      </c>
      <c r="D126" s="163">
        <v>13.0</v>
      </c>
      <c r="E126" s="1298">
        <v>800.0</v>
      </c>
      <c r="F126" s="589">
        <f t="shared" si="42"/>
        <v>39</v>
      </c>
      <c r="G126" s="589"/>
      <c r="H126" s="589">
        <f>D127*E127</f>
        <v>22640</v>
      </c>
      <c r="I126" s="589"/>
      <c r="J126" s="1301"/>
      <c r="K126" s="1331">
        <f t="shared" si="44"/>
        <v>0</v>
      </c>
      <c r="L126" s="595" t="s">
        <v>6394</v>
      </c>
      <c r="N126" s="1291"/>
      <c r="O126" s="370"/>
      <c r="P126" s="1291"/>
      <c r="Q126" s="1291"/>
      <c r="R126" s="1291"/>
      <c r="S126" s="370"/>
    </row>
    <row r="127">
      <c r="A127" s="1328"/>
      <c r="B127" s="1329" t="s">
        <v>6435</v>
      </c>
      <c r="C127" s="1330">
        <v>3.0</v>
      </c>
      <c r="D127" s="163">
        <v>28.3</v>
      </c>
      <c r="E127" s="1298">
        <v>800.0</v>
      </c>
      <c r="F127" s="589">
        <f t="shared" si="42"/>
        <v>84.9</v>
      </c>
      <c r="G127" s="370"/>
      <c r="H127" s="587"/>
      <c r="I127" s="589"/>
      <c r="J127" s="1301"/>
      <c r="K127" s="1331">
        <f t="shared" si="44"/>
        <v>0</v>
      </c>
      <c r="L127" s="595" t="s">
        <v>6394</v>
      </c>
      <c r="N127" s="1291"/>
      <c r="O127" s="370"/>
      <c r="P127" s="1291"/>
      <c r="Q127" s="1291"/>
      <c r="R127" s="1291"/>
      <c r="S127" s="370"/>
    </row>
    <row r="128">
      <c r="A128" s="1328"/>
      <c r="B128" s="1329" t="s">
        <v>6435</v>
      </c>
      <c r="C128" s="1332">
        <v>1.0</v>
      </c>
      <c r="D128" s="1311">
        <v>27.83</v>
      </c>
      <c r="E128" s="1298">
        <v>800.0</v>
      </c>
      <c r="F128" s="589">
        <f t="shared" si="42"/>
        <v>27.83</v>
      </c>
      <c r="G128" s="589"/>
      <c r="H128" s="589">
        <f t="shared" ref="H128:H131" si="45">D128*E128</f>
        <v>22264</v>
      </c>
      <c r="I128" s="1309"/>
      <c r="J128" s="1310"/>
      <c r="K128" s="1331">
        <f t="shared" si="44"/>
        <v>0</v>
      </c>
      <c r="L128" s="595" t="s">
        <v>6397</v>
      </c>
      <c r="N128" s="1291"/>
      <c r="O128" s="370"/>
      <c r="P128" s="1291"/>
      <c r="Q128" s="1291"/>
      <c r="R128" s="1291"/>
      <c r="S128" s="370"/>
    </row>
    <row r="129">
      <c r="A129" s="1328"/>
      <c r="B129" s="1329" t="s">
        <v>6436</v>
      </c>
      <c r="C129" s="1332">
        <v>2.0</v>
      </c>
      <c r="D129" s="1311">
        <v>14.0</v>
      </c>
      <c r="E129" s="1298">
        <v>800.0</v>
      </c>
      <c r="F129" s="589">
        <f t="shared" si="42"/>
        <v>28</v>
      </c>
      <c r="G129" s="589"/>
      <c r="H129" s="589">
        <f t="shared" si="45"/>
        <v>11200</v>
      </c>
      <c r="I129" s="1309"/>
      <c r="J129" s="1310"/>
      <c r="K129" s="1331">
        <f t="shared" si="44"/>
        <v>0</v>
      </c>
      <c r="L129" s="595" t="s">
        <v>6392</v>
      </c>
      <c r="N129" s="1291"/>
      <c r="O129" s="370"/>
      <c r="P129" s="1291"/>
      <c r="Q129" s="1291"/>
      <c r="R129" s="1291"/>
      <c r="S129" s="370"/>
    </row>
    <row r="130">
      <c r="A130" s="1328"/>
      <c r="B130" s="1333" t="s">
        <v>2767</v>
      </c>
      <c r="C130" s="1334">
        <v>3.0</v>
      </c>
      <c r="D130" s="1335">
        <v>16.0</v>
      </c>
      <c r="E130" s="1298">
        <v>800.0</v>
      </c>
      <c r="F130" s="589">
        <f t="shared" si="42"/>
        <v>48</v>
      </c>
      <c r="G130" s="589"/>
      <c r="H130" s="589">
        <f t="shared" si="45"/>
        <v>12800</v>
      </c>
      <c r="I130" s="1336"/>
      <c r="J130" s="1337"/>
      <c r="K130" s="1331">
        <f t="shared" si="44"/>
        <v>0</v>
      </c>
      <c r="L130" s="595" t="s">
        <v>6394</v>
      </c>
      <c r="N130" s="1291"/>
      <c r="O130" s="370"/>
      <c r="P130" s="1291"/>
      <c r="Q130" s="1291"/>
      <c r="R130" s="1291"/>
      <c r="S130" s="370"/>
    </row>
    <row r="131">
      <c r="A131" s="548"/>
      <c r="B131" s="312" t="s">
        <v>6437</v>
      </c>
      <c r="C131" s="548">
        <v>3.0</v>
      </c>
      <c r="D131" s="595">
        <v>12.9</v>
      </c>
      <c r="E131" s="1298">
        <v>800.0</v>
      </c>
      <c r="F131" s="589">
        <f t="shared" si="42"/>
        <v>38.7</v>
      </c>
      <c r="G131" s="589"/>
      <c r="H131" s="589">
        <f t="shared" si="45"/>
        <v>10320</v>
      </c>
      <c r="I131" s="163">
        <v>24000.0</v>
      </c>
      <c r="J131" s="1301"/>
      <c r="K131" s="1331">
        <f t="shared" si="44"/>
        <v>72000</v>
      </c>
      <c r="L131" s="595" t="s">
        <v>6397</v>
      </c>
      <c r="N131" s="1291"/>
      <c r="O131" s="370"/>
      <c r="P131" s="1291"/>
      <c r="Q131" s="1291"/>
      <c r="R131" s="1291"/>
      <c r="S131" s="370"/>
    </row>
    <row r="132">
      <c r="A132" s="280"/>
      <c r="C132" s="280"/>
      <c r="D132" s="587"/>
      <c r="E132" s="1319"/>
      <c r="F132" s="587"/>
      <c r="G132" s="587"/>
      <c r="H132" s="587"/>
      <c r="I132" s="587"/>
      <c r="J132" s="1319"/>
      <c r="K132" s="587"/>
      <c r="L132" s="587"/>
      <c r="N132" s="1291"/>
      <c r="O132" s="370"/>
      <c r="P132" s="1291"/>
      <c r="Q132" s="1291"/>
      <c r="R132" s="1291"/>
      <c r="S132" s="370"/>
    </row>
    <row r="133">
      <c r="A133" s="280"/>
      <c r="C133" s="280"/>
      <c r="D133" s="587"/>
      <c r="E133" s="1319"/>
      <c r="F133" s="587"/>
      <c r="G133" s="587"/>
      <c r="H133" s="587"/>
      <c r="I133" s="587"/>
      <c r="J133" s="1319"/>
      <c r="K133" s="587"/>
      <c r="L133" s="587"/>
      <c r="N133" s="1291"/>
      <c r="O133" s="370"/>
      <c r="P133" s="1291"/>
      <c r="Q133" s="1291"/>
      <c r="R133" s="1291"/>
      <c r="S133" s="370"/>
    </row>
    <row r="134">
      <c r="A134" s="280"/>
      <c r="C134" s="280"/>
      <c r="D134" s="587"/>
      <c r="E134" s="1319"/>
      <c r="F134" s="587"/>
      <c r="G134" s="587"/>
      <c r="H134" s="587"/>
      <c r="I134" s="587"/>
      <c r="J134" s="1319"/>
      <c r="K134" s="587"/>
      <c r="L134" s="587"/>
      <c r="N134" s="1291"/>
      <c r="O134" s="370"/>
      <c r="P134" s="1291"/>
      <c r="Q134" s="1291"/>
      <c r="R134" s="1291"/>
      <c r="S134" s="370"/>
    </row>
    <row r="135">
      <c r="A135" s="1285"/>
      <c r="B135" s="1338" t="s">
        <v>6438</v>
      </c>
      <c r="C135" s="1267"/>
      <c r="D135" s="1267"/>
      <c r="E135" s="1267"/>
      <c r="F135" s="1267"/>
      <c r="G135" s="1267"/>
      <c r="H135" s="1267"/>
      <c r="I135" s="1270"/>
      <c r="J135" s="1301"/>
      <c r="K135" s="589"/>
      <c r="L135" s="589"/>
      <c r="N135" s="1291"/>
      <c r="O135" s="370"/>
      <c r="P135" s="1291"/>
      <c r="Q135" s="1291"/>
      <c r="R135" s="1291"/>
      <c r="S135" s="370"/>
    </row>
    <row r="136">
      <c r="A136" s="1292"/>
      <c r="B136" s="1339"/>
      <c r="C136" s="1294" t="s">
        <v>3879</v>
      </c>
      <c r="D136" s="1295" t="s">
        <v>6439</v>
      </c>
      <c r="E136" s="1296" t="s">
        <v>6440</v>
      </c>
      <c r="F136" s="163" t="s">
        <v>6441</v>
      </c>
      <c r="G136" s="163"/>
      <c r="H136" s="163" t="s">
        <v>6442</v>
      </c>
      <c r="I136" s="1340" t="s">
        <v>6443</v>
      </c>
      <c r="J136" s="1298"/>
      <c r="K136" s="754" t="s">
        <v>6444</v>
      </c>
      <c r="L136" s="754" t="s">
        <v>6445</v>
      </c>
      <c r="N136" s="1341"/>
      <c r="O136" s="1342"/>
      <c r="P136" s="1343"/>
      <c r="Q136" s="1343"/>
      <c r="R136" s="1343"/>
      <c r="S136" s="614"/>
    </row>
    <row r="137">
      <c r="A137" s="1344"/>
      <c r="B137" s="1345" t="s">
        <v>6446</v>
      </c>
      <c r="C137" s="1346">
        <v>0.0</v>
      </c>
      <c r="D137" s="163"/>
      <c r="E137" s="1298"/>
      <c r="F137" s="163"/>
      <c r="G137" s="589"/>
      <c r="H137" s="589"/>
      <c r="I137" s="1347"/>
      <c r="J137" s="1348"/>
      <c r="K137" s="589"/>
      <c r="L137" s="163"/>
      <c r="N137" s="1291"/>
      <c r="O137" s="370" t="str">
        <f>P137</f>
        <v/>
      </c>
      <c r="P137" s="1291"/>
      <c r="Q137" s="1291"/>
      <c r="R137" s="1291" t="str">
        <f>L137</f>
        <v/>
      </c>
    </row>
    <row r="138">
      <c r="A138" s="1344"/>
      <c r="B138" s="1345" t="s">
        <v>6339</v>
      </c>
      <c r="C138" s="1346">
        <v>0.0</v>
      </c>
      <c r="D138" s="163"/>
      <c r="E138" s="1298"/>
      <c r="F138" s="589"/>
      <c r="G138" s="589"/>
      <c r="H138" s="589"/>
      <c r="I138" s="1347"/>
      <c r="J138" s="1348"/>
      <c r="K138" s="589"/>
      <c r="L138" s="163"/>
      <c r="N138" s="1291"/>
      <c r="O138" s="370"/>
      <c r="P138" s="1291"/>
      <c r="Q138" s="1291"/>
      <c r="R138" s="1291"/>
    </row>
    <row r="139">
      <c r="A139" s="1344"/>
      <c r="B139" s="1345" t="s">
        <v>6447</v>
      </c>
      <c r="C139" s="1346">
        <v>0.0</v>
      </c>
      <c r="D139" s="163"/>
      <c r="E139" s="1298"/>
      <c r="F139" s="589"/>
      <c r="G139" s="589"/>
      <c r="H139" s="589"/>
      <c r="I139" s="1347"/>
      <c r="J139" s="1348"/>
      <c r="K139" s="589"/>
      <c r="L139" s="163"/>
      <c r="N139" s="1291"/>
      <c r="O139" s="370"/>
      <c r="P139" s="1291"/>
      <c r="Q139" s="1291"/>
      <c r="R139" s="1291"/>
    </row>
    <row r="140">
      <c r="A140" s="1344"/>
      <c r="B140" s="1345" t="s">
        <v>6393</v>
      </c>
      <c r="C140" s="1346">
        <v>0.0</v>
      </c>
      <c r="D140" s="163"/>
      <c r="E140" s="1298"/>
      <c r="F140" s="589"/>
      <c r="G140" s="589"/>
      <c r="H140" s="589"/>
      <c r="I140" s="1349"/>
      <c r="J140" s="1348"/>
      <c r="K140" s="589"/>
      <c r="L140" s="163"/>
      <c r="N140" s="1291"/>
      <c r="O140" s="370"/>
      <c r="P140" s="1291"/>
      <c r="Q140" s="1291"/>
      <c r="R140" s="1291"/>
    </row>
    <row r="141">
      <c r="A141" s="1344"/>
      <c r="B141" s="1345" t="s">
        <v>101</v>
      </c>
      <c r="C141" s="1346">
        <v>0.0</v>
      </c>
      <c r="D141" s="163"/>
      <c r="E141" s="1298"/>
      <c r="F141" s="589"/>
      <c r="G141" s="589"/>
      <c r="H141" s="589"/>
      <c r="I141" s="1349"/>
      <c r="J141" s="1350"/>
      <c r="K141" s="589"/>
      <c r="L141" s="589"/>
      <c r="N141" s="1291"/>
      <c r="O141" s="370"/>
      <c r="P141" s="1291"/>
      <c r="Q141" s="1291"/>
      <c r="R141" s="1291"/>
    </row>
    <row r="142">
      <c r="A142" s="1344"/>
      <c r="B142" s="1345" t="s">
        <v>6341</v>
      </c>
      <c r="C142" s="1346">
        <v>0.0</v>
      </c>
      <c r="D142" s="589"/>
      <c r="E142" s="1298"/>
      <c r="F142" s="589"/>
      <c r="G142" s="163"/>
      <c r="H142" s="163"/>
      <c r="I142" s="1349"/>
      <c r="J142" s="1350"/>
      <c r="K142" s="589"/>
      <c r="L142" s="589"/>
      <c r="N142" s="1291"/>
      <c r="O142" s="370"/>
      <c r="P142" s="1291"/>
      <c r="Q142" s="1291"/>
      <c r="R142" s="1291"/>
    </row>
    <row r="143">
      <c r="A143" s="1344"/>
      <c r="B143" s="1345" t="s">
        <v>6395</v>
      </c>
      <c r="C143" s="1346">
        <v>0.0</v>
      </c>
      <c r="D143" s="163"/>
      <c r="E143" s="1298"/>
      <c r="F143" s="589"/>
      <c r="G143" s="163"/>
      <c r="H143" s="163"/>
      <c r="I143" s="1349"/>
      <c r="J143" s="1350"/>
      <c r="K143" s="589"/>
      <c r="L143" s="163"/>
      <c r="N143" s="1291"/>
      <c r="O143" s="370"/>
      <c r="P143" s="1291"/>
      <c r="Q143" s="1291"/>
      <c r="R143" s="1291"/>
    </row>
    <row r="144">
      <c r="A144" s="1344"/>
      <c r="B144" s="1345" t="s">
        <v>6342</v>
      </c>
      <c r="C144" s="1351">
        <v>12.0</v>
      </c>
      <c r="D144" s="163">
        <v>29.0</v>
      </c>
      <c r="E144" s="1298"/>
      <c r="F144" s="589"/>
      <c r="G144" s="719"/>
      <c r="H144" s="719">
        <v>29.0</v>
      </c>
      <c r="I144" s="1347">
        <v>55000.0</v>
      </c>
      <c r="J144" s="1298">
        <v>800.0</v>
      </c>
      <c r="K144" s="589">
        <f>H144*J144</f>
        <v>23200</v>
      </c>
      <c r="L144" s="163">
        <f>C144*H144</f>
        <v>348</v>
      </c>
      <c r="N144" s="1291"/>
      <c r="O144" s="370"/>
      <c r="P144" s="1291"/>
      <c r="Q144" s="1291"/>
      <c r="R144" s="1291"/>
      <c r="S144" s="614"/>
    </row>
    <row r="145">
      <c r="A145" s="1344"/>
      <c r="B145" s="1345" t="s">
        <v>6396</v>
      </c>
      <c r="C145" s="1346">
        <v>0.0</v>
      </c>
      <c r="D145" s="163"/>
      <c r="E145" s="1298"/>
      <c r="F145" s="589"/>
      <c r="G145" s="589"/>
      <c r="H145" s="589"/>
      <c r="I145" s="1349"/>
      <c r="J145" s="1350"/>
      <c r="K145" s="589"/>
      <c r="L145" s="163"/>
      <c r="N145" s="1291"/>
      <c r="O145" s="370"/>
      <c r="P145" s="1291"/>
      <c r="Q145" s="1291"/>
      <c r="R145" s="1291"/>
    </row>
    <row r="146">
      <c r="A146" s="1344"/>
      <c r="B146" s="1345" t="s">
        <v>6396</v>
      </c>
      <c r="C146" s="1346">
        <v>0.0</v>
      </c>
      <c r="D146" s="163"/>
      <c r="E146" s="1298"/>
      <c r="F146" s="589"/>
      <c r="G146" s="589"/>
      <c r="H146" s="589"/>
      <c r="I146" s="1349"/>
      <c r="J146" s="1350"/>
      <c r="K146" s="589"/>
      <c r="L146" s="163"/>
      <c r="N146" s="1291"/>
      <c r="O146" s="370"/>
      <c r="P146" s="1291"/>
      <c r="Q146" s="1291"/>
      <c r="R146" s="1291"/>
    </row>
    <row r="147">
      <c r="A147" s="1344"/>
      <c r="B147" s="1345" t="s">
        <v>6398</v>
      </c>
      <c r="C147" s="1346">
        <v>0.0</v>
      </c>
      <c r="D147" s="163"/>
      <c r="E147" s="1298"/>
      <c r="F147" s="589"/>
      <c r="G147" s="589"/>
      <c r="H147" s="589"/>
      <c r="I147" s="1349"/>
      <c r="J147" s="1350"/>
      <c r="K147" s="589"/>
      <c r="L147" s="163"/>
      <c r="N147" s="1291"/>
      <c r="O147" s="370"/>
      <c r="P147" s="1291"/>
      <c r="Q147" s="1291"/>
      <c r="R147" s="1291"/>
    </row>
    <row r="148">
      <c r="A148" s="1344"/>
      <c r="B148" s="1345" t="s">
        <v>6398</v>
      </c>
      <c r="C148" s="1346">
        <v>0.0</v>
      </c>
      <c r="D148" s="163"/>
      <c r="E148" s="1298"/>
      <c r="F148" s="589"/>
      <c r="G148" s="589"/>
      <c r="H148" s="589"/>
      <c r="I148" s="1349"/>
      <c r="J148" s="1350"/>
      <c r="K148" s="589"/>
      <c r="L148" s="163"/>
      <c r="N148" s="1291"/>
      <c r="O148" s="370"/>
      <c r="P148" s="1291"/>
      <c r="Q148" s="1291"/>
      <c r="R148" s="1291"/>
    </row>
    <row r="149">
      <c r="A149" s="1344"/>
      <c r="B149" s="1345" t="s">
        <v>6346</v>
      </c>
      <c r="C149" s="1346">
        <v>0.0</v>
      </c>
      <c r="D149" s="163"/>
      <c r="E149" s="1298"/>
      <c r="F149" s="163"/>
      <c r="G149" s="163"/>
      <c r="H149" s="163"/>
      <c r="I149" s="1349"/>
      <c r="J149" s="1350"/>
      <c r="K149" s="589"/>
      <c r="L149" s="163"/>
      <c r="N149" s="1291"/>
      <c r="O149" s="370"/>
      <c r="P149" s="1291"/>
      <c r="Q149" s="1291"/>
      <c r="R149" s="1291"/>
    </row>
    <row r="150">
      <c r="A150" s="1344"/>
      <c r="B150" s="1345" t="s">
        <v>6345</v>
      </c>
      <c r="C150" s="1351">
        <v>10.0</v>
      </c>
      <c r="D150" s="163"/>
      <c r="E150" s="1298" t="s">
        <v>328</v>
      </c>
      <c r="F150" s="1352"/>
      <c r="G150" s="719"/>
      <c r="H150" s="719">
        <v>11.5</v>
      </c>
      <c r="I150" s="1347">
        <v>1000.0</v>
      </c>
      <c r="J150" s="1298">
        <v>800.0</v>
      </c>
      <c r="K150" s="589">
        <f>H150*J150</f>
        <v>9200</v>
      </c>
      <c r="L150" s="163">
        <f>C150*H150</f>
        <v>115</v>
      </c>
      <c r="N150" s="1291"/>
      <c r="O150" s="370"/>
      <c r="P150" s="1291"/>
      <c r="Q150" s="1291"/>
      <c r="R150" s="1291"/>
      <c r="S150" s="614"/>
    </row>
    <row r="151">
      <c r="A151" s="1344"/>
      <c r="B151" s="1345" t="s">
        <v>6399</v>
      </c>
      <c r="C151" s="1346">
        <v>0.0</v>
      </c>
      <c r="D151" s="589"/>
      <c r="E151" s="1298"/>
      <c r="F151" s="589"/>
      <c r="G151" s="589"/>
      <c r="H151" s="589"/>
      <c r="I151" s="1349"/>
      <c r="J151" s="1350"/>
      <c r="K151" s="589"/>
      <c r="L151" s="589"/>
      <c r="N151" s="1291"/>
      <c r="O151" s="370"/>
      <c r="P151" s="1291"/>
      <c r="Q151" s="1291"/>
      <c r="R151" s="1291"/>
    </row>
    <row r="152">
      <c r="A152" s="1344"/>
      <c r="B152" s="1345" t="s">
        <v>6347</v>
      </c>
      <c r="C152" s="1351">
        <v>10.0</v>
      </c>
      <c r="D152" s="163"/>
      <c r="E152" s="1298" t="s">
        <v>328</v>
      </c>
      <c r="F152" s="1352"/>
      <c r="G152" s="719"/>
      <c r="H152" s="719">
        <v>11.5</v>
      </c>
      <c r="I152" s="1347">
        <v>1000.0</v>
      </c>
      <c r="J152" s="1298">
        <v>800.0</v>
      </c>
      <c r="K152" s="589">
        <f t="shared" ref="K152:K153" si="46">H152*J152</f>
        <v>9200</v>
      </c>
      <c r="L152" s="163">
        <f t="shared" ref="L152:L153" si="47">C152*H152</f>
        <v>115</v>
      </c>
      <c r="N152" s="1291"/>
      <c r="O152" s="370"/>
      <c r="P152" s="1291"/>
      <c r="Q152" s="1291"/>
      <c r="R152" s="1291"/>
      <c r="S152" s="614"/>
    </row>
    <row r="153">
      <c r="A153" s="1344"/>
      <c r="B153" s="1345" t="s">
        <v>6348</v>
      </c>
      <c r="C153" s="1351">
        <v>9.0</v>
      </c>
      <c r="D153" s="163">
        <v>12.0</v>
      </c>
      <c r="E153" s="1298" t="s">
        <v>328</v>
      </c>
      <c r="F153" s="1352"/>
      <c r="G153" s="719"/>
      <c r="H153" s="719">
        <v>11.5</v>
      </c>
      <c r="I153" s="1347">
        <v>1000.0</v>
      </c>
      <c r="J153" s="1298">
        <v>800.0</v>
      </c>
      <c r="K153" s="589">
        <f t="shared" si="46"/>
        <v>9200</v>
      </c>
      <c r="L153" s="163">
        <f t="shared" si="47"/>
        <v>103.5</v>
      </c>
      <c r="N153" s="1291"/>
      <c r="O153" s="370"/>
      <c r="P153" s="1291"/>
      <c r="Q153" s="1291"/>
      <c r="R153" s="1291"/>
      <c r="S153" s="614"/>
    </row>
    <row r="154">
      <c r="A154" s="1344"/>
      <c r="B154" s="1345" t="s">
        <v>6448</v>
      </c>
      <c r="C154" s="1353">
        <v>2.0</v>
      </c>
      <c r="D154" s="163"/>
      <c r="E154" s="1298">
        <v>9.5</v>
      </c>
      <c r="F154" s="1352"/>
      <c r="G154" s="163"/>
      <c r="H154" s="163"/>
      <c r="I154" s="1347">
        <v>1000.0</v>
      </c>
      <c r="J154" s="1298">
        <v>800.0</v>
      </c>
      <c r="K154" s="589">
        <f>E154*J154</f>
        <v>7600</v>
      </c>
      <c r="L154" s="163">
        <f>C154*E154</f>
        <v>19</v>
      </c>
      <c r="N154" s="1291"/>
      <c r="O154" s="370"/>
      <c r="P154" s="1291"/>
      <c r="Q154" s="1291"/>
      <c r="R154" s="1291"/>
      <c r="S154" s="370"/>
    </row>
    <row r="155">
      <c r="A155" s="1344"/>
      <c r="B155" s="1345" t="s">
        <v>6400</v>
      </c>
      <c r="C155" s="1346">
        <v>0.0</v>
      </c>
      <c r="D155" s="163"/>
      <c r="E155" s="1298"/>
      <c r="F155" s="589"/>
      <c r="G155" s="589"/>
      <c r="H155" s="589"/>
      <c r="I155" s="1347">
        <v>160000.0</v>
      </c>
      <c r="J155" s="1350"/>
      <c r="K155" s="589"/>
      <c r="L155" s="163"/>
      <c r="N155" s="1291"/>
      <c r="O155" s="370"/>
      <c r="P155" s="1291"/>
      <c r="Q155" s="1291"/>
      <c r="R155" s="1291"/>
    </row>
    <row r="156">
      <c r="A156" s="1344"/>
      <c r="B156" s="1345" t="s">
        <v>6401</v>
      </c>
      <c r="C156" s="1346">
        <v>0.0</v>
      </c>
      <c r="D156" s="163"/>
      <c r="E156" s="1298"/>
      <c r="F156" s="589"/>
      <c r="G156" s="589"/>
      <c r="H156" s="589"/>
      <c r="I156" s="1347">
        <v>160000.0</v>
      </c>
      <c r="J156" s="1350"/>
      <c r="K156" s="589"/>
      <c r="L156" s="163"/>
      <c r="N156" s="1291"/>
      <c r="O156" s="370"/>
      <c r="P156" s="1291"/>
      <c r="Q156" s="1291"/>
      <c r="R156" s="1291"/>
    </row>
    <row r="157">
      <c r="A157" s="1344"/>
      <c r="B157" s="1345" t="s">
        <v>6401</v>
      </c>
      <c r="C157" s="1346">
        <v>0.0</v>
      </c>
      <c r="D157" s="163"/>
      <c r="E157" s="1298"/>
      <c r="F157" s="589"/>
      <c r="G157" s="589"/>
      <c r="H157" s="589"/>
      <c r="I157" s="1347">
        <v>160000.0</v>
      </c>
      <c r="J157" s="1350"/>
      <c r="K157" s="589"/>
      <c r="L157" s="163"/>
      <c r="N157" s="1291"/>
      <c r="O157" s="370"/>
      <c r="P157" s="1291"/>
      <c r="Q157" s="1291"/>
      <c r="R157" s="1291"/>
    </row>
    <row r="158">
      <c r="A158" s="1344"/>
      <c r="B158" s="1345" t="s">
        <v>6402</v>
      </c>
      <c r="C158" s="1346">
        <v>0.0</v>
      </c>
      <c r="D158" s="163"/>
      <c r="E158" s="1298"/>
      <c r="F158" s="589"/>
      <c r="G158" s="589"/>
      <c r="H158" s="589"/>
      <c r="I158" s="1347">
        <v>160000.0</v>
      </c>
      <c r="J158" s="1350"/>
      <c r="K158" s="589"/>
      <c r="L158" s="163"/>
      <c r="N158" s="1291"/>
      <c r="O158" s="370"/>
      <c r="P158" s="1291"/>
      <c r="Q158" s="1291"/>
      <c r="R158" s="1291"/>
    </row>
    <row r="159">
      <c r="A159" s="1344"/>
      <c r="B159" s="1345" t="s">
        <v>6401</v>
      </c>
      <c r="C159" s="1346">
        <v>0.0</v>
      </c>
      <c r="D159" s="163"/>
      <c r="E159" s="1298"/>
      <c r="F159" s="589"/>
      <c r="G159" s="589"/>
      <c r="H159" s="589"/>
      <c r="I159" s="1347">
        <v>160000.0</v>
      </c>
      <c r="J159" s="1350"/>
      <c r="K159" s="589"/>
      <c r="L159" s="163"/>
      <c r="N159" s="1291"/>
      <c r="O159" s="370"/>
      <c r="P159" s="1291"/>
      <c r="Q159" s="1291"/>
      <c r="R159" s="1291"/>
    </row>
    <row r="160">
      <c r="A160" s="1344"/>
      <c r="B160" s="1345" t="s">
        <v>6403</v>
      </c>
      <c r="C160" s="1346">
        <v>0.0</v>
      </c>
      <c r="D160" s="163"/>
      <c r="E160" s="1298"/>
      <c r="F160" s="589"/>
      <c r="G160" s="589"/>
      <c r="H160" s="589"/>
      <c r="I160" s="1347">
        <v>160000.0</v>
      </c>
      <c r="J160" s="1350"/>
      <c r="K160" s="589"/>
      <c r="L160" s="163"/>
      <c r="N160" s="1291"/>
      <c r="O160" s="370"/>
      <c r="P160" s="1291"/>
      <c r="Q160" s="1291"/>
      <c r="R160" s="1291"/>
    </row>
    <row r="161">
      <c r="A161" s="1344"/>
      <c r="B161" s="1345" t="s">
        <v>6350</v>
      </c>
      <c r="C161" s="1346">
        <v>0.0</v>
      </c>
      <c r="D161" s="163"/>
      <c r="E161" s="1298"/>
      <c r="F161" s="589"/>
      <c r="G161" s="589"/>
      <c r="H161" s="589"/>
      <c r="I161" s="1349"/>
      <c r="J161" s="1350"/>
      <c r="K161" s="589"/>
      <c r="L161" s="589"/>
      <c r="N161" s="1291"/>
      <c r="O161" s="370"/>
      <c r="P161" s="1291"/>
      <c r="Q161" s="1291"/>
      <c r="R161" s="1291"/>
    </row>
    <row r="162">
      <c r="A162" s="1344"/>
      <c r="B162" s="1345" t="s">
        <v>6449</v>
      </c>
      <c r="C162" s="1346">
        <v>0.0</v>
      </c>
      <c r="D162" s="589"/>
      <c r="E162" s="1298"/>
      <c r="F162" s="589"/>
      <c r="G162" s="589"/>
      <c r="H162" s="589"/>
      <c r="I162" s="1349"/>
      <c r="J162" s="1350"/>
      <c r="K162" s="589"/>
      <c r="L162" s="589"/>
      <c r="N162" s="1291"/>
      <c r="O162" s="370"/>
      <c r="P162" s="1291"/>
      <c r="Q162" s="1291"/>
      <c r="R162" s="1291"/>
    </row>
    <row r="163">
      <c r="A163" s="1344"/>
      <c r="B163" s="1345" t="s">
        <v>6404</v>
      </c>
      <c r="C163" s="1351">
        <v>10.0</v>
      </c>
      <c r="D163" s="163">
        <v>9.5</v>
      </c>
      <c r="E163" s="1298"/>
      <c r="F163" s="163"/>
      <c r="G163" s="719"/>
      <c r="H163" s="719">
        <v>9.5</v>
      </c>
      <c r="I163" s="1347">
        <v>30000.0</v>
      </c>
      <c r="J163" s="1298">
        <v>800.0</v>
      </c>
      <c r="K163" s="589">
        <f>H163*J163</f>
        <v>7600</v>
      </c>
      <c r="L163" s="163">
        <f>C163*H163</f>
        <v>95</v>
      </c>
      <c r="N163" s="1291"/>
      <c r="O163" s="370"/>
      <c r="P163" s="1291"/>
      <c r="Q163" s="1291"/>
      <c r="R163" s="1291"/>
      <c r="S163" s="614"/>
    </row>
    <row r="164">
      <c r="A164" s="1344"/>
      <c r="B164" s="1345" t="s">
        <v>6450</v>
      </c>
      <c r="C164" s="1354">
        <v>15.0</v>
      </c>
      <c r="D164" s="163">
        <v>9.0</v>
      </c>
      <c r="E164" s="1298" t="s">
        <v>328</v>
      </c>
      <c r="F164" s="1355">
        <v>3.5</v>
      </c>
      <c r="G164" s="1352"/>
      <c r="H164" s="1352" t="s">
        <v>328</v>
      </c>
      <c r="I164" s="1347">
        <v>8000.0</v>
      </c>
      <c r="J164" s="1298">
        <v>800.0</v>
      </c>
      <c r="K164" s="589">
        <f t="shared" ref="K164:K165" si="48">F164*J164</f>
        <v>2800</v>
      </c>
      <c r="L164" s="163">
        <f>C164*F164</f>
        <v>52.5</v>
      </c>
      <c r="N164" s="1291"/>
      <c r="O164" s="370"/>
      <c r="P164" s="1291"/>
      <c r="Q164" s="1291"/>
      <c r="R164" s="1291"/>
      <c r="S164" s="370"/>
    </row>
    <row r="165">
      <c r="A165" s="1344"/>
      <c r="B165" s="1345" t="s">
        <v>6451</v>
      </c>
      <c r="C165" s="1354">
        <v>10.0</v>
      </c>
      <c r="D165" s="163"/>
      <c r="E165" s="1298"/>
      <c r="F165" s="1355">
        <v>2.65</v>
      </c>
      <c r="G165" s="1352"/>
      <c r="H165" s="1352"/>
      <c r="I165" s="1347">
        <v>8000.0</v>
      </c>
      <c r="J165" s="1298">
        <v>800.0</v>
      </c>
      <c r="K165" s="589">
        <f t="shared" si="48"/>
        <v>2120</v>
      </c>
      <c r="L165" s="163">
        <f>F165*C165</f>
        <v>26.5</v>
      </c>
      <c r="N165" s="1291"/>
      <c r="O165" s="370"/>
      <c r="P165" s="1291"/>
      <c r="Q165" s="1291"/>
      <c r="R165" s="1291"/>
      <c r="S165" s="370"/>
    </row>
    <row r="166">
      <c r="A166" s="1344"/>
      <c r="B166" s="1345" t="s">
        <v>6452</v>
      </c>
      <c r="C166" s="1351">
        <v>25.0</v>
      </c>
      <c r="D166" s="163"/>
      <c r="E166" s="1298"/>
      <c r="F166" s="589"/>
      <c r="G166" s="719"/>
      <c r="H166" s="719">
        <v>9.0</v>
      </c>
      <c r="I166" s="1347">
        <v>8000.0</v>
      </c>
      <c r="J166" s="1298">
        <v>800.0</v>
      </c>
      <c r="K166" s="589">
        <f t="shared" ref="K166:K167" si="49">H166*J166</f>
        <v>7200</v>
      </c>
      <c r="L166" s="163">
        <f t="shared" ref="L166:L167" si="50">C166*H166</f>
        <v>225</v>
      </c>
      <c r="N166" s="1291"/>
      <c r="O166" s="370"/>
      <c r="P166" s="1291"/>
      <c r="Q166" s="1291"/>
      <c r="R166" s="1291"/>
      <c r="S166" s="614"/>
    </row>
    <row r="167">
      <c r="A167" s="1292"/>
      <c r="B167" s="1339" t="s">
        <v>6453</v>
      </c>
      <c r="C167" s="1351">
        <v>10.0</v>
      </c>
      <c r="D167" s="163"/>
      <c r="E167" s="1298"/>
      <c r="F167" s="589"/>
      <c r="G167" s="719"/>
      <c r="H167" s="719">
        <v>24.9</v>
      </c>
      <c r="I167" s="1347">
        <v>35000.0</v>
      </c>
      <c r="J167" s="1298">
        <v>800.0</v>
      </c>
      <c r="K167" s="589">
        <f t="shared" si="49"/>
        <v>19920</v>
      </c>
      <c r="L167" s="163">
        <f t="shared" si="50"/>
        <v>249</v>
      </c>
      <c r="N167" s="1291"/>
      <c r="O167" s="370"/>
      <c r="P167" s="1291"/>
      <c r="Q167" s="1291"/>
      <c r="R167" s="1291"/>
      <c r="S167" s="614"/>
    </row>
    <row r="168">
      <c r="A168" s="1292"/>
      <c r="B168" s="1339" t="s">
        <v>6454</v>
      </c>
      <c r="C168" s="1354">
        <v>6.0</v>
      </c>
      <c r="D168" s="163"/>
      <c r="E168" s="1298"/>
      <c r="F168" s="1355">
        <v>18.4</v>
      </c>
      <c r="G168" s="1352"/>
      <c r="H168" s="1352"/>
      <c r="I168" s="1347">
        <v>28000.0</v>
      </c>
      <c r="J168" s="1298">
        <v>800.0</v>
      </c>
      <c r="K168" s="589">
        <f>F168*J168</f>
        <v>14720</v>
      </c>
      <c r="L168" s="163">
        <f>F168*C168</f>
        <v>110.4</v>
      </c>
      <c r="N168" s="1291"/>
      <c r="O168" s="370"/>
      <c r="P168" s="1291"/>
      <c r="Q168" s="1291"/>
      <c r="R168" s="1291"/>
      <c r="S168" s="370"/>
    </row>
    <row r="169">
      <c r="A169" s="1344"/>
      <c r="B169" s="1345" t="s">
        <v>6455</v>
      </c>
      <c r="C169" s="1351">
        <v>3.0</v>
      </c>
      <c r="D169" s="163">
        <v>48.0</v>
      </c>
      <c r="E169" s="1298"/>
      <c r="F169" s="163"/>
      <c r="G169" s="719"/>
      <c r="H169" s="719">
        <v>30.0</v>
      </c>
      <c r="I169" s="1347">
        <v>30000.0</v>
      </c>
      <c r="J169" s="1298">
        <v>800.0</v>
      </c>
      <c r="K169" s="589">
        <f>H169*J169</f>
        <v>24000</v>
      </c>
      <c r="L169" s="163">
        <f>C169*H169</f>
        <v>90</v>
      </c>
      <c r="N169" s="1291"/>
      <c r="O169" s="370"/>
      <c r="P169" s="1291"/>
      <c r="Q169" s="1291"/>
      <c r="R169" s="1291"/>
      <c r="S169" s="614"/>
    </row>
    <row r="170">
      <c r="A170" s="1344"/>
      <c r="B170" s="1345" t="s">
        <v>6407</v>
      </c>
      <c r="C170" s="1346">
        <v>0.0</v>
      </c>
      <c r="D170" s="163"/>
      <c r="E170" s="1298"/>
      <c r="F170" s="589"/>
      <c r="G170" s="589"/>
      <c r="H170" s="589"/>
      <c r="I170" s="1349"/>
      <c r="J170" s="1350"/>
      <c r="K170" s="589"/>
      <c r="L170" s="163"/>
      <c r="N170" s="1291"/>
      <c r="O170" s="370"/>
      <c r="P170" s="1291"/>
      <c r="Q170" s="1291"/>
      <c r="R170" s="1291"/>
    </row>
    <row r="171">
      <c r="A171" s="1344"/>
      <c r="B171" s="1345" t="s">
        <v>6408</v>
      </c>
      <c r="C171" s="1346">
        <v>0.0</v>
      </c>
      <c r="D171" s="163"/>
      <c r="E171" s="1298"/>
      <c r="F171" s="589"/>
      <c r="G171" s="589"/>
      <c r="H171" s="589"/>
      <c r="I171" s="1349"/>
      <c r="J171" s="1350"/>
      <c r="K171" s="589"/>
      <c r="L171" s="163"/>
      <c r="N171" s="1291"/>
      <c r="O171" s="370"/>
      <c r="P171" s="1291"/>
      <c r="Q171" s="1291"/>
      <c r="R171" s="1291"/>
    </row>
    <row r="172">
      <c r="A172" s="1344"/>
      <c r="B172" s="1345" t="s">
        <v>6456</v>
      </c>
      <c r="C172" s="1351">
        <v>60.0</v>
      </c>
      <c r="D172" s="589"/>
      <c r="E172" s="1298"/>
      <c r="F172" s="163"/>
      <c r="G172" s="719"/>
      <c r="H172" s="719">
        <v>8.9</v>
      </c>
      <c r="I172" s="1347">
        <v>22000.0</v>
      </c>
      <c r="J172" s="1298">
        <v>800.0</v>
      </c>
      <c r="K172" s="589">
        <f t="shared" ref="K172:K173" si="51">H172*J172</f>
        <v>7120</v>
      </c>
      <c r="L172" s="163">
        <f t="shared" ref="L172:L173" si="52">C172*H172</f>
        <v>534</v>
      </c>
      <c r="N172" s="1291"/>
      <c r="O172" s="370"/>
      <c r="P172" s="1291"/>
      <c r="Q172" s="1291"/>
      <c r="R172" s="1291"/>
      <c r="S172" s="614"/>
    </row>
    <row r="173">
      <c r="A173" s="1344"/>
      <c r="B173" s="1345" t="s">
        <v>6457</v>
      </c>
      <c r="C173" s="1351">
        <v>20.0</v>
      </c>
      <c r="D173" s="163">
        <v>135.0</v>
      </c>
      <c r="E173" s="1298"/>
      <c r="F173" s="1356"/>
      <c r="G173" s="719"/>
      <c r="H173" s="719">
        <v>105.0</v>
      </c>
      <c r="I173" s="1347">
        <v>170000.0</v>
      </c>
      <c r="J173" s="1298">
        <v>800.0</v>
      </c>
      <c r="K173" s="589">
        <f t="shared" si="51"/>
        <v>84000</v>
      </c>
      <c r="L173" s="163">
        <f t="shared" si="52"/>
        <v>2100</v>
      </c>
      <c r="N173" s="1291"/>
      <c r="O173" s="370"/>
      <c r="P173" s="1357"/>
      <c r="Q173" s="1291"/>
      <c r="R173" s="1291"/>
      <c r="S173" s="614"/>
    </row>
    <row r="174">
      <c r="A174" s="1344"/>
      <c r="B174" s="1345" t="s">
        <v>6458</v>
      </c>
      <c r="C174" s="1354">
        <v>2.0</v>
      </c>
      <c r="D174" s="163"/>
      <c r="E174" s="1298"/>
      <c r="F174" s="1355">
        <v>59.5</v>
      </c>
      <c r="G174" s="1352"/>
      <c r="H174" s="1352"/>
      <c r="I174" s="1347">
        <v>90000.0</v>
      </c>
      <c r="J174" s="1298">
        <v>800.0</v>
      </c>
      <c r="K174" s="589">
        <f>F174*J174</f>
        <v>47600</v>
      </c>
      <c r="L174" s="163">
        <f>F174*C174</f>
        <v>119</v>
      </c>
      <c r="N174" s="1291"/>
      <c r="O174" s="370"/>
      <c r="P174" s="1291"/>
      <c r="Q174" s="1291"/>
      <c r="R174" s="1291"/>
      <c r="S174" s="370"/>
    </row>
    <row r="175">
      <c r="A175" s="1344"/>
      <c r="B175" s="1345" t="s">
        <v>6459</v>
      </c>
      <c r="C175" s="1346">
        <v>0.0</v>
      </c>
      <c r="D175" s="163"/>
      <c r="E175" s="1298"/>
      <c r="F175" s="589"/>
      <c r="G175" s="589"/>
      <c r="H175" s="589"/>
      <c r="I175" s="1349"/>
      <c r="J175" s="1350"/>
      <c r="K175" s="589"/>
      <c r="L175" s="163"/>
      <c r="N175" s="1291"/>
      <c r="O175" s="370"/>
      <c r="P175" s="1291"/>
      <c r="Q175" s="1291"/>
      <c r="R175" s="1291"/>
    </row>
    <row r="176">
      <c r="A176" s="1344"/>
      <c r="B176" s="1345" t="s">
        <v>653</v>
      </c>
      <c r="C176" s="1354">
        <v>3.0</v>
      </c>
      <c r="D176" s="163"/>
      <c r="E176" s="1298"/>
      <c r="F176" s="1355">
        <v>24.2</v>
      </c>
      <c r="G176" s="589"/>
      <c r="H176" s="589"/>
      <c r="I176" s="1347">
        <v>45000.0</v>
      </c>
      <c r="J176" s="1298">
        <v>800.0</v>
      </c>
      <c r="K176" s="589">
        <f>F176*J176</f>
        <v>19360</v>
      </c>
      <c r="L176" s="163">
        <f>F176*C176</f>
        <v>72.6</v>
      </c>
      <c r="N176" s="1291"/>
      <c r="O176" s="370"/>
      <c r="P176" s="1291"/>
      <c r="Q176" s="1291"/>
      <c r="R176" s="1291"/>
      <c r="S176" s="370"/>
    </row>
    <row r="177">
      <c r="A177" s="1344"/>
      <c r="B177" s="1345" t="s">
        <v>6409</v>
      </c>
      <c r="C177" s="1346">
        <v>0.0</v>
      </c>
      <c r="D177" s="163"/>
      <c r="E177" s="1298"/>
      <c r="F177" s="589"/>
      <c r="G177" s="589"/>
      <c r="H177" s="589"/>
      <c r="I177" s="1349"/>
      <c r="J177" s="1350"/>
      <c r="K177" s="589"/>
      <c r="L177" s="163"/>
      <c r="N177" s="1291"/>
      <c r="O177" s="370"/>
      <c r="P177" s="1291"/>
      <c r="Q177" s="1291"/>
      <c r="R177" s="1291"/>
    </row>
    <row r="178">
      <c r="A178" s="1344"/>
      <c r="B178" s="1345" t="s">
        <v>6460</v>
      </c>
      <c r="C178" s="1351">
        <v>10.0</v>
      </c>
      <c r="D178" s="163">
        <v>8.0</v>
      </c>
      <c r="E178" s="1298"/>
      <c r="F178" s="589"/>
      <c r="G178" s="719"/>
      <c r="H178" s="719">
        <v>8.0</v>
      </c>
      <c r="I178" s="1347">
        <v>15000.0</v>
      </c>
      <c r="J178" s="1298">
        <v>800.0</v>
      </c>
      <c r="K178" s="589">
        <f>H178*J178</f>
        <v>6400</v>
      </c>
      <c r="L178" s="163">
        <f>C178*C180</f>
        <v>20</v>
      </c>
      <c r="N178" s="1291"/>
      <c r="O178" s="370"/>
      <c r="P178" s="1291"/>
      <c r="Q178" s="1291"/>
      <c r="R178" s="1291"/>
      <c r="S178" s="614"/>
    </row>
    <row r="179">
      <c r="A179" s="1344"/>
      <c r="B179" s="1345" t="s">
        <v>1230</v>
      </c>
      <c r="C179" s="1346">
        <v>0.0</v>
      </c>
      <c r="D179" s="163"/>
      <c r="E179" s="1298"/>
      <c r="F179" s="163"/>
      <c r="G179" s="589"/>
      <c r="H179" s="589"/>
      <c r="I179" s="1349"/>
      <c r="J179" s="1350"/>
      <c r="K179" s="589"/>
      <c r="L179" s="163"/>
      <c r="N179" s="1291"/>
      <c r="O179" s="370"/>
      <c r="P179" s="1291"/>
      <c r="Q179" s="1291"/>
      <c r="R179" s="1291"/>
    </row>
    <row r="180">
      <c r="A180" s="1344"/>
      <c r="B180" s="1345" t="s">
        <v>6461</v>
      </c>
      <c r="C180" s="1346">
        <v>2.0</v>
      </c>
      <c r="D180" s="163"/>
      <c r="E180" s="1348">
        <v>6.5</v>
      </c>
      <c r="F180" s="589"/>
      <c r="G180" s="589"/>
      <c r="H180" s="589"/>
      <c r="I180" s="1347">
        <v>1000.0</v>
      </c>
      <c r="J180" s="1298">
        <v>800.0</v>
      </c>
      <c r="K180" s="589">
        <f t="shared" ref="K180:K181" si="53">E180*J180</f>
        <v>5200</v>
      </c>
      <c r="L180" s="163">
        <f t="shared" ref="L180:L181" si="54">C180*E180</f>
        <v>13</v>
      </c>
      <c r="N180" s="1291"/>
      <c r="O180" s="370"/>
      <c r="P180" s="1291"/>
      <c r="Q180" s="1291"/>
      <c r="R180" s="1291"/>
      <c r="S180" s="370"/>
    </row>
    <row r="181">
      <c r="A181" s="1344"/>
      <c r="B181" s="1345" t="s">
        <v>6462</v>
      </c>
      <c r="C181" s="1346">
        <v>2.0</v>
      </c>
      <c r="D181" s="163"/>
      <c r="E181" s="1348">
        <v>10.5</v>
      </c>
      <c r="F181" s="589"/>
      <c r="G181" s="589"/>
      <c r="H181" s="589"/>
      <c r="I181" s="1347">
        <v>1000.0</v>
      </c>
      <c r="J181" s="1298">
        <v>800.0</v>
      </c>
      <c r="K181" s="589">
        <f t="shared" si="53"/>
        <v>8400</v>
      </c>
      <c r="L181" s="163">
        <f t="shared" si="54"/>
        <v>21</v>
      </c>
      <c r="N181" s="1291"/>
      <c r="O181" s="370"/>
      <c r="P181" s="1291"/>
      <c r="Q181" s="1291"/>
      <c r="R181" s="1291"/>
      <c r="S181" s="370"/>
    </row>
    <row r="182">
      <c r="A182" s="1344"/>
      <c r="B182" s="1345" t="s">
        <v>6463</v>
      </c>
      <c r="C182" s="1354">
        <v>5.0</v>
      </c>
      <c r="D182" s="163">
        <v>38.0</v>
      </c>
      <c r="E182" s="1298"/>
      <c r="F182" s="1355">
        <v>39.9</v>
      </c>
      <c r="G182" s="589"/>
      <c r="H182" s="589"/>
      <c r="I182" s="1347">
        <v>90000.0</v>
      </c>
      <c r="J182" s="1298">
        <v>800.0</v>
      </c>
      <c r="K182" s="589">
        <f t="shared" ref="K182:K184" si="55">F182*J182</f>
        <v>31920</v>
      </c>
      <c r="L182" s="163">
        <f t="shared" ref="L182:L184" si="56">F182*C182</f>
        <v>199.5</v>
      </c>
      <c r="N182" s="1291"/>
      <c r="O182" s="370"/>
      <c r="P182" s="1291"/>
      <c r="Q182" s="1291"/>
      <c r="R182" s="1291"/>
      <c r="S182" s="370"/>
    </row>
    <row r="183">
      <c r="A183" s="1344"/>
      <c r="B183" s="1345" t="s">
        <v>6411</v>
      </c>
      <c r="C183" s="1354">
        <v>22.0</v>
      </c>
      <c r="D183" s="163">
        <v>12.5</v>
      </c>
      <c r="E183" s="1298"/>
      <c r="F183" s="1355">
        <v>12.5</v>
      </c>
      <c r="G183" s="589"/>
      <c r="H183" s="589"/>
      <c r="I183" s="1347">
        <v>20000.0</v>
      </c>
      <c r="J183" s="1298">
        <v>800.0</v>
      </c>
      <c r="K183" s="589">
        <f t="shared" si="55"/>
        <v>10000</v>
      </c>
      <c r="L183" s="163">
        <f t="shared" si="56"/>
        <v>275</v>
      </c>
      <c r="N183" s="1291"/>
      <c r="O183" s="370"/>
      <c r="P183" s="1291"/>
      <c r="Q183" s="1291"/>
      <c r="R183" s="1291"/>
      <c r="S183" s="370"/>
    </row>
    <row r="184">
      <c r="A184" s="1344"/>
      <c r="B184" s="1345" t="s">
        <v>6412</v>
      </c>
      <c r="C184" s="1354">
        <v>18.0</v>
      </c>
      <c r="D184" s="163">
        <v>14.8</v>
      </c>
      <c r="E184" s="1298"/>
      <c r="F184" s="1355">
        <v>14.8</v>
      </c>
      <c r="G184" s="589"/>
      <c r="H184" s="589"/>
      <c r="I184" s="1347">
        <v>25000.0</v>
      </c>
      <c r="J184" s="1298">
        <v>800.0</v>
      </c>
      <c r="K184" s="589">
        <f t="shared" si="55"/>
        <v>11840</v>
      </c>
      <c r="L184" s="163">
        <f t="shared" si="56"/>
        <v>266.4</v>
      </c>
      <c r="N184" s="1291"/>
      <c r="O184" s="370"/>
      <c r="P184" s="1291"/>
      <c r="Q184" s="1291"/>
      <c r="R184" s="1291"/>
      <c r="S184" s="370"/>
    </row>
    <row r="185">
      <c r="A185" s="1344"/>
      <c r="B185" s="1345" t="s">
        <v>6413</v>
      </c>
      <c r="C185" s="1346">
        <v>0.0</v>
      </c>
      <c r="D185" s="589"/>
      <c r="E185" s="1298"/>
      <c r="F185" s="589"/>
      <c r="G185" s="589"/>
      <c r="H185" s="589"/>
      <c r="I185" s="1349"/>
      <c r="J185" s="1350"/>
      <c r="K185" s="589"/>
      <c r="L185" s="589"/>
      <c r="N185" s="1291"/>
      <c r="O185" s="370"/>
      <c r="P185" s="1291"/>
      <c r="Q185" s="1291"/>
      <c r="R185" s="1291"/>
    </row>
    <row r="186">
      <c r="A186" s="1344"/>
      <c r="B186" s="1345" t="s">
        <v>6414</v>
      </c>
      <c r="C186" s="1346">
        <v>0.0</v>
      </c>
      <c r="D186" s="589"/>
      <c r="E186" s="1298"/>
      <c r="F186" s="589"/>
      <c r="G186" s="589"/>
      <c r="H186" s="589"/>
      <c r="I186" s="1349"/>
      <c r="J186" s="1350"/>
      <c r="K186" s="589"/>
      <c r="L186" s="589"/>
      <c r="N186" s="1291"/>
      <c r="O186" s="370"/>
      <c r="P186" s="1291"/>
      <c r="Q186" s="1291"/>
      <c r="R186" s="1291"/>
    </row>
    <row r="187">
      <c r="A187" s="1344"/>
      <c r="B187" s="1345" t="s">
        <v>6415</v>
      </c>
      <c r="C187" s="1346">
        <v>0.0</v>
      </c>
      <c r="D187" s="589"/>
      <c r="E187" s="1298"/>
      <c r="F187" s="589"/>
      <c r="G187" s="589"/>
      <c r="H187" s="589"/>
      <c r="I187" s="1349"/>
      <c r="J187" s="1350"/>
      <c r="K187" s="589"/>
      <c r="L187" s="589"/>
      <c r="N187" s="1291"/>
      <c r="O187" s="370"/>
      <c r="P187" s="1291"/>
      <c r="Q187" s="1291"/>
      <c r="R187" s="1291"/>
    </row>
    <row r="188">
      <c r="A188" s="1344"/>
      <c r="B188" s="1345" t="s">
        <v>6417</v>
      </c>
      <c r="C188" s="1351">
        <v>7.0</v>
      </c>
      <c r="D188" s="163">
        <v>42.6</v>
      </c>
      <c r="E188" s="1298"/>
      <c r="F188" s="163"/>
      <c r="G188" s="719"/>
      <c r="H188" s="719">
        <v>43.0</v>
      </c>
      <c r="I188" s="1347">
        <v>74000.0</v>
      </c>
      <c r="J188" s="1298">
        <v>800.0</v>
      </c>
      <c r="K188" s="589">
        <f t="shared" ref="K188:K189" si="57">H188*J188</f>
        <v>34400</v>
      </c>
      <c r="L188" s="163">
        <f t="shared" ref="L188:L189" si="58">C188*H188</f>
        <v>301</v>
      </c>
      <c r="N188" s="1291"/>
      <c r="O188" s="370"/>
      <c r="P188" s="1291"/>
      <c r="Q188" s="1291"/>
      <c r="R188" s="1291"/>
      <c r="S188" s="614"/>
    </row>
    <row r="189">
      <c r="A189" s="1344"/>
      <c r="B189" s="1345" t="s">
        <v>6418</v>
      </c>
      <c r="C189" s="1351">
        <v>13.0</v>
      </c>
      <c r="D189" s="589"/>
      <c r="E189" s="1298"/>
      <c r="F189" s="163"/>
      <c r="G189" s="719"/>
      <c r="H189" s="719">
        <v>43.0</v>
      </c>
      <c r="I189" s="1347">
        <v>74000.0</v>
      </c>
      <c r="J189" s="1298">
        <v>800.0</v>
      </c>
      <c r="K189" s="589">
        <f t="shared" si="57"/>
        <v>34400</v>
      </c>
      <c r="L189" s="163">
        <f t="shared" si="58"/>
        <v>559</v>
      </c>
      <c r="N189" s="1291"/>
      <c r="O189" s="370"/>
      <c r="P189" s="1291"/>
      <c r="Q189" s="1291"/>
      <c r="R189" s="1291"/>
      <c r="S189" s="614"/>
    </row>
    <row r="190">
      <c r="A190" s="1344"/>
      <c r="B190" s="1345" t="s">
        <v>1609</v>
      </c>
      <c r="C190" s="1354">
        <v>4.0</v>
      </c>
      <c r="D190" s="589"/>
      <c r="E190" s="1298"/>
      <c r="F190" s="1355">
        <v>38.8</v>
      </c>
      <c r="G190" s="589"/>
      <c r="H190" s="589"/>
      <c r="I190" s="1347">
        <v>60000.0</v>
      </c>
      <c r="J190" s="1298">
        <v>800.0</v>
      </c>
      <c r="K190" s="589">
        <f>F190*J190</f>
        <v>31040</v>
      </c>
      <c r="L190" s="163">
        <f>F190*C190</f>
        <v>155.2</v>
      </c>
      <c r="N190" s="1291"/>
      <c r="O190" s="370"/>
      <c r="P190" s="1291"/>
      <c r="Q190" s="1291"/>
      <c r="R190" s="1291"/>
      <c r="S190" s="370"/>
    </row>
    <row r="191">
      <c r="A191" s="1344"/>
      <c r="B191" s="1345" t="s">
        <v>6419</v>
      </c>
      <c r="C191" s="1346">
        <v>1.0</v>
      </c>
      <c r="D191" s="163">
        <v>20.0</v>
      </c>
      <c r="E191" s="1348">
        <v>20.0</v>
      </c>
      <c r="F191" s="589"/>
      <c r="G191" s="589"/>
      <c r="H191" s="589"/>
      <c r="I191" s="1347">
        <v>25000.0</v>
      </c>
      <c r="J191" s="1298">
        <v>800.0</v>
      </c>
      <c r="K191" s="589">
        <f>E191*J191</f>
        <v>16000</v>
      </c>
      <c r="L191" s="163">
        <f>C191*E191</f>
        <v>20</v>
      </c>
      <c r="N191" s="1291"/>
      <c r="O191" s="370"/>
      <c r="P191" s="1291"/>
      <c r="Q191" s="1291"/>
      <c r="R191" s="1291"/>
      <c r="S191" s="370"/>
    </row>
    <row r="192">
      <c r="A192" s="1344"/>
      <c r="B192" s="1345" t="s">
        <v>6420</v>
      </c>
      <c r="C192" s="1354">
        <v>21.0</v>
      </c>
      <c r="D192" s="163">
        <v>13.0</v>
      </c>
      <c r="E192" s="1298" t="s">
        <v>328</v>
      </c>
      <c r="F192" s="1355">
        <v>13.5</v>
      </c>
      <c r="G192" s="163"/>
      <c r="H192" s="163" t="s">
        <v>328</v>
      </c>
      <c r="I192" s="1347">
        <v>25000.0</v>
      </c>
      <c r="J192" s="1298">
        <v>800.0</v>
      </c>
      <c r="K192" s="589">
        <f>F192*J192</f>
        <v>10800</v>
      </c>
      <c r="L192" s="163">
        <f>C192*F192</f>
        <v>283.5</v>
      </c>
      <c r="N192" s="1291"/>
      <c r="O192" s="370"/>
      <c r="P192" s="1291"/>
      <c r="Q192" s="1291"/>
      <c r="R192" s="1291"/>
      <c r="S192" s="370"/>
    </row>
    <row r="193">
      <c r="A193" s="1344"/>
      <c r="B193" s="1345" t="s">
        <v>6464</v>
      </c>
      <c r="C193" s="1346">
        <v>4.0</v>
      </c>
      <c r="D193" s="163"/>
      <c r="E193" s="1348">
        <v>11.0</v>
      </c>
      <c r="F193" s="1352"/>
      <c r="G193" s="163"/>
      <c r="H193" s="163"/>
      <c r="I193" s="1347">
        <v>25000.0</v>
      </c>
      <c r="J193" s="1298">
        <v>800.0</v>
      </c>
      <c r="K193" s="589">
        <f t="shared" ref="K193:K194" si="59">E193*J193</f>
        <v>8800</v>
      </c>
      <c r="L193" s="163">
        <f t="shared" ref="L193:L194" si="60">C193*E193</f>
        <v>44</v>
      </c>
      <c r="N193" s="1291"/>
      <c r="O193" s="370"/>
      <c r="P193" s="1291"/>
      <c r="Q193" s="1291"/>
      <c r="R193" s="1291"/>
      <c r="S193" s="370"/>
    </row>
    <row r="194">
      <c r="A194" s="1344"/>
      <c r="B194" s="1345" t="s">
        <v>6465</v>
      </c>
      <c r="C194" s="1346">
        <v>9.0</v>
      </c>
      <c r="D194" s="163"/>
      <c r="E194" s="1348">
        <v>9.0</v>
      </c>
      <c r="F194" s="1352"/>
      <c r="G194" s="163"/>
      <c r="H194" s="163"/>
      <c r="I194" s="1347">
        <v>1000.0</v>
      </c>
      <c r="J194" s="1298">
        <v>800.0</v>
      </c>
      <c r="K194" s="589">
        <f t="shared" si="59"/>
        <v>7200</v>
      </c>
      <c r="L194" s="163">
        <f t="shared" si="60"/>
        <v>81</v>
      </c>
      <c r="N194" s="1291"/>
      <c r="O194" s="370"/>
      <c r="P194" s="1291"/>
      <c r="Q194" s="1291"/>
      <c r="R194" s="1291"/>
      <c r="S194" s="370"/>
    </row>
    <row r="195">
      <c r="A195" s="1344"/>
      <c r="B195" s="1345" t="s">
        <v>6421</v>
      </c>
      <c r="C195" s="1346">
        <v>0.0</v>
      </c>
      <c r="D195" s="163"/>
      <c r="E195" s="1298"/>
      <c r="F195" s="589"/>
      <c r="G195" s="589"/>
      <c r="H195" s="589"/>
      <c r="I195" s="1349"/>
      <c r="J195" s="1350"/>
      <c r="K195" s="589"/>
      <c r="L195" s="163"/>
      <c r="N195" s="1291"/>
      <c r="O195" s="370"/>
      <c r="P195" s="1291"/>
      <c r="Q195" s="1291"/>
      <c r="R195" s="1291"/>
    </row>
    <row r="196">
      <c r="A196" s="1344"/>
      <c r="B196" s="1345" t="s">
        <v>6373</v>
      </c>
      <c r="C196" s="1346">
        <v>0.0</v>
      </c>
      <c r="D196" s="163"/>
      <c r="E196" s="1298"/>
      <c r="F196" s="589"/>
      <c r="G196" s="589"/>
      <c r="H196" s="589"/>
      <c r="I196" s="1349"/>
      <c r="J196" s="1350"/>
      <c r="K196" s="589"/>
      <c r="L196" s="163"/>
      <c r="N196" s="1291"/>
      <c r="O196" s="370"/>
      <c r="P196" s="1291"/>
      <c r="Q196" s="1291"/>
      <c r="R196" s="1291"/>
    </row>
    <row r="197">
      <c r="A197" s="1344"/>
      <c r="B197" s="1345" t="s">
        <v>6422</v>
      </c>
      <c r="C197" s="1346">
        <v>0.0</v>
      </c>
      <c r="D197" s="589"/>
      <c r="E197" s="1298"/>
      <c r="F197" s="589"/>
      <c r="G197" s="589"/>
      <c r="H197" s="589"/>
      <c r="I197" s="1349"/>
      <c r="J197" s="1350"/>
      <c r="K197" s="589"/>
      <c r="L197" s="589"/>
      <c r="N197" s="1291"/>
      <c r="O197" s="370"/>
      <c r="P197" s="1291"/>
      <c r="Q197" s="1291"/>
      <c r="R197" s="1291"/>
    </row>
    <row r="198">
      <c r="A198" s="1344"/>
      <c r="B198" s="1345" t="s">
        <v>6466</v>
      </c>
      <c r="C198" s="1354">
        <v>3.0</v>
      </c>
      <c r="D198" s="163"/>
      <c r="E198" s="1298"/>
      <c r="F198" s="1355">
        <v>63.5</v>
      </c>
      <c r="G198" s="589"/>
      <c r="H198" s="589"/>
      <c r="I198" s="1347">
        <v>80000.0</v>
      </c>
      <c r="J198" s="1298">
        <v>800.0</v>
      </c>
      <c r="K198" s="589">
        <f>F198*J198</f>
        <v>50800</v>
      </c>
      <c r="L198" s="163">
        <f>F198*C198</f>
        <v>190.5</v>
      </c>
      <c r="N198" s="1291"/>
      <c r="O198" s="370"/>
      <c r="P198" s="1291"/>
      <c r="Q198" s="1291"/>
      <c r="R198" s="1291"/>
      <c r="S198" s="370"/>
    </row>
    <row r="199">
      <c r="A199" s="1344"/>
      <c r="B199" s="1345" t="s">
        <v>6423</v>
      </c>
      <c r="C199" s="1346">
        <v>0.0</v>
      </c>
      <c r="D199" s="589"/>
      <c r="E199" s="1298"/>
      <c r="F199" s="589"/>
      <c r="G199" s="589"/>
      <c r="H199" s="589"/>
      <c r="I199" s="1349"/>
      <c r="J199" s="1350"/>
      <c r="K199" s="589"/>
      <c r="L199" s="589"/>
      <c r="N199" s="1291"/>
      <c r="O199" s="370"/>
      <c r="P199" s="1291"/>
      <c r="Q199" s="1291"/>
      <c r="R199" s="1291"/>
    </row>
    <row r="200">
      <c r="A200" s="1344"/>
      <c r="B200" s="1345" t="s">
        <v>6424</v>
      </c>
      <c r="C200" s="1346">
        <v>0.0</v>
      </c>
      <c r="D200" s="589"/>
      <c r="E200" s="1298"/>
      <c r="F200" s="589"/>
      <c r="G200" s="589"/>
      <c r="H200" s="589"/>
      <c r="I200" s="1349"/>
      <c r="J200" s="1350"/>
      <c r="K200" s="589"/>
      <c r="L200" s="589"/>
      <c r="N200" s="1291"/>
      <c r="O200" s="370"/>
      <c r="P200" s="1291"/>
      <c r="Q200" s="1291"/>
      <c r="R200" s="1291"/>
    </row>
    <row r="201">
      <c r="A201" s="1344"/>
      <c r="B201" s="1345" t="s">
        <v>6425</v>
      </c>
      <c r="C201" s="1346">
        <v>0.0</v>
      </c>
      <c r="D201" s="163"/>
      <c r="E201" s="1298"/>
      <c r="F201" s="589"/>
      <c r="G201" s="589"/>
      <c r="H201" s="589"/>
      <c r="I201" s="1347"/>
      <c r="J201" s="1350"/>
      <c r="K201" s="589"/>
      <c r="L201" s="163"/>
      <c r="N201" s="1291"/>
      <c r="O201" s="370"/>
      <c r="P201" s="1291"/>
      <c r="Q201" s="1291"/>
      <c r="R201" s="1291"/>
    </row>
    <row r="202">
      <c r="A202" s="1344"/>
      <c r="B202" s="1345" t="s">
        <v>6426</v>
      </c>
      <c r="C202" s="1346">
        <v>0.0</v>
      </c>
      <c r="D202" s="163"/>
      <c r="E202" s="1298"/>
      <c r="F202" s="163"/>
      <c r="G202" s="589"/>
      <c r="H202" s="589"/>
      <c r="I202" s="1349"/>
      <c r="J202" s="1350"/>
      <c r="K202" s="589"/>
      <c r="L202" s="163"/>
      <c r="N202" s="1291"/>
      <c r="O202" s="370"/>
      <c r="P202" s="1291"/>
      <c r="Q202" s="1291"/>
      <c r="R202" s="1291"/>
    </row>
    <row r="203">
      <c r="A203" s="1344"/>
      <c r="B203" s="1345" t="s">
        <v>6427</v>
      </c>
      <c r="C203" s="1346">
        <v>0.0</v>
      </c>
      <c r="D203" s="163"/>
      <c r="E203" s="1298"/>
      <c r="F203" s="163"/>
      <c r="G203" s="589"/>
      <c r="H203" s="589"/>
      <c r="I203" s="1349"/>
      <c r="J203" s="1350"/>
      <c r="K203" s="589"/>
      <c r="L203" s="163"/>
      <c r="N203" s="1291"/>
      <c r="O203" s="370"/>
      <c r="P203" s="1291"/>
      <c r="Q203" s="1291"/>
      <c r="R203" s="1291"/>
    </row>
    <row r="204">
      <c r="A204" s="1344"/>
      <c r="B204" s="1345" t="s">
        <v>6428</v>
      </c>
      <c r="C204" s="1346">
        <v>0.0</v>
      </c>
      <c r="D204" s="163"/>
      <c r="E204" s="1298"/>
      <c r="F204" s="589"/>
      <c r="G204" s="589"/>
      <c r="H204" s="589"/>
      <c r="I204" s="1349"/>
      <c r="J204" s="1350"/>
      <c r="K204" s="589"/>
      <c r="L204" s="163"/>
      <c r="N204" s="1291"/>
      <c r="O204" s="370"/>
      <c r="P204" s="1291"/>
      <c r="Q204" s="1291"/>
      <c r="R204" s="1291"/>
    </row>
    <row r="205">
      <c r="A205" s="1344"/>
      <c r="B205" s="1345" t="s">
        <v>6429</v>
      </c>
      <c r="C205" s="1346">
        <v>0.0</v>
      </c>
      <c r="D205" s="163"/>
      <c r="E205" s="1298"/>
      <c r="F205" s="589"/>
      <c r="G205" s="589"/>
      <c r="H205" s="589"/>
      <c r="I205" s="1347"/>
      <c r="J205" s="1350"/>
      <c r="K205" s="589"/>
      <c r="L205" s="163"/>
      <c r="N205" s="1291"/>
      <c r="O205" s="370"/>
      <c r="P205" s="1291"/>
      <c r="Q205" s="1291"/>
      <c r="R205" s="1291"/>
    </row>
    <row r="206">
      <c r="A206" s="1344"/>
      <c r="B206" s="1345" t="s">
        <v>6430</v>
      </c>
      <c r="C206" s="1346">
        <v>0.0</v>
      </c>
      <c r="D206" s="163"/>
      <c r="E206" s="1298"/>
      <c r="F206" s="589"/>
      <c r="G206" s="589"/>
      <c r="H206" s="589"/>
      <c r="I206" s="1347"/>
      <c r="J206" s="1350"/>
      <c r="K206" s="589"/>
      <c r="L206" s="163"/>
      <c r="N206" s="1291"/>
      <c r="O206" s="370"/>
      <c r="P206" s="1291"/>
      <c r="Q206" s="1291"/>
      <c r="R206" s="1291"/>
    </row>
    <row r="207">
      <c r="A207" s="1344"/>
      <c r="B207" s="1345" t="s">
        <v>6431</v>
      </c>
      <c r="C207" s="1346">
        <v>0.0</v>
      </c>
      <c r="D207" s="163"/>
      <c r="E207" s="1298"/>
      <c r="F207" s="589"/>
      <c r="G207" s="589"/>
      <c r="H207" s="589"/>
      <c r="I207" s="1347"/>
      <c r="J207" s="1350"/>
      <c r="K207" s="589"/>
      <c r="L207" s="163"/>
      <c r="N207" s="1291"/>
      <c r="O207" s="370"/>
      <c r="P207" s="1291"/>
      <c r="Q207" s="1291"/>
      <c r="R207" s="1291"/>
    </row>
    <row r="208">
      <c r="A208" s="1344"/>
      <c r="B208" s="1345" t="s">
        <v>6432</v>
      </c>
      <c r="C208" s="1346">
        <v>0.0</v>
      </c>
      <c r="D208" s="163"/>
      <c r="E208" s="1298"/>
      <c r="F208" s="589"/>
      <c r="G208" s="589"/>
      <c r="H208" s="589"/>
      <c r="I208" s="1347"/>
      <c r="J208" s="1350"/>
      <c r="K208" s="589"/>
      <c r="L208" s="163"/>
      <c r="N208" s="1291"/>
      <c r="O208" s="370"/>
      <c r="P208" s="1291"/>
      <c r="Q208" s="1291"/>
      <c r="R208" s="1291"/>
    </row>
    <row r="209">
      <c r="A209" s="1344"/>
      <c r="B209" s="1345" t="s">
        <v>2400</v>
      </c>
      <c r="C209" s="1346">
        <v>0.0</v>
      </c>
      <c r="D209" s="163"/>
      <c r="E209" s="1298"/>
      <c r="F209" s="163"/>
      <c r="G209" s="589"/>
      <c r="H209" s="589"/>
      <c r="I209" s="1349"/>
      <c r="J209" s="1350"/>
      <c r="K209" s="589"/>
      <c r="L209" s="163"/>
      <c r="N209" s="1291"/>
      <c r="O209" s="370"/>
      <c r="P209" s="1291"/>
      <c r="Q209" s="1291"/>
      <c r="R209" s="1291"/>
    </row>
    <row r="210">
      <c r="A210" s="1344"/>
      <c r="B210" s="1345" t="s">
        <v>2402</v>
      </c>
      <c r="C210" s="1346">
        <v>0.0</v>
      </c>
      <c r="D210" s="163"/>
      <c r="E210" s="1298"/>
      <c r="F210" s="589"/>
      <c r="G210" s="589"/>
      <c r="H210" s="589"/>
      <c r="I210" s="1349"/>
      <c r="J210" s="1350"/>
      <c r="K210" s="589"/>
      <c r="L210" s="163"/>
      <c r="N210" s="1291"/>
      <c r="O210" s="370"/>
      <c r="P210" s="1291"/>
      <c r="Q210" s="1291"/>
      <c r="R210" s="1291"/>
    </row>
    <row r="211">
      <c r="A211" s="1344"/>
      <c r="B211" s="1345" t="s">
        <v>2405</v>
      </c>
      <c r="C211" s="1346">
        <v>0.0</v>
      </c>
      <c r="D211" s="163"/>
      <c r="E211" s="1298"/>
      <c r="F211" s="589"/>
      <c r="G211" s="589"/>
      <c r="H211" s="589"/>
      <c r="I211" s="1349"/>
      <c r="J211" s="1350"/>
      <c r="K211" s="589"/>
      <c r="L211" s="163"/>
      <c r="N211" s="1291"/>
      <c r="O211" s="370"/>
      <c r="P211" s="1291"/>
      <c r="Q211" s="1291"/>
      <c r="R211" s="1291"/>
    </row>
    <row r="212">
      <c r="A212" s="1344"/>
      <c r="B212" s="1345" t="s">
        <v>2406</v>
      </c>
      <c r="C212" s="1346">
        <v>0.0</v>
      </c>
      <c r="D212" s="163"/>
      <c r="E212" s="1298"/>
      <c r="F212" s="589"/>
      <c r="G212" s="589"/>
      <c r="H212" s="589"/>
      <c r="I212" s="1349"/>
      <c r="J212" s="1350"/>
      <c r="K212" s="589"/>
      <c r="L212" s="163"/>
      <c r="N212" s="1291"/>
      <c r="O212" s="370"/>
      <c r="P212" s="1291"/>
      <c r="Q212" s="1291"/>
      <c r="R212" s="1291"/>
    </row>
    <row r="213">
      <c r="A213" s="1344"/>
      <c r="B213" s="1345" t="s">
        <v>6433</v>
      </c>
      <c r="C213" s="1346">
        <v>0.0</v>
      </c>
      <c r="D213" s="163"/>
      <c r="E213" s="1298"/>
      <c r="F213" s="589"/>
      <c r="G213" s="589"/>
      <c r="H213" s="589"/>
      <c r="I213" s="1349"/>
      <c r="J213" s="1350"/>
      <c r="K213" s="589"/>
      <c r="L213" s="163"/>
      <c r="N213" s="1291"/>
      <c r="O213" s="370"/>
      <c r="P213" s="1291"/>
      <c r="Q213" s="1291"/>
      <c r="R213" s="1291"/>
    </row>
    <row r="214">
      <c r="A214" s="1344"/>
      <c r="B214" s="1345" t="s">
        <v>6467</v>
      </c>
      <c r="C214" s="1346">
        <v>1.0</v>
      </c>
      <c r="D214" s="163"/>
      <c r="E214" s="1298">
        <v>43.5</v>
      </c>
      <c r="F214" s="589"/>
      <c r="G214" s="589"/>
      <c r="H214" s="589"/>
      <c r="I214" s="1347">
        <v>50000.0</v>
      </c>
      <c r="J214" s="1298">
        <v>800.0</v>
      </c>
      <c r="K214" s="589">
        <f t="shared" ref="K214:K215" si="61">E214*J214</f>
        <v>34800</v>
      </c>
      <c r="L214" s="163">
        <f t="shared" ref="L214:L215" si="62">C214*E214</f>
        <v>43.5</v>
      </c>
      <c r="N214" s="1291"/>
      <c r="O214" s="370"/>
      <c r="P214" s="1291"/>
      <c r="Q214" s="1291"/>
      <c r="R214" s="1291"/>
      <c r="S214" s="370"/>
    </row>
    <row r="215">
      <c r="A215" s="1344"/>
      <c r="B215" s="1345" t="s">
        <v>6468</v>
      </c>
      <c r="C215" s="1346">
        <v>1.0</v>
      </c>
      <c r="D215" s="163"/>
      <c r="E215" s="1298">
        <v>45.0</v>
      </c>
      <c r="F215" s="589"/>
      <c r="G215" s="589"/>
      <c r="H215" s="589"/>
      <c r="I215" s="1347">
        <v>65000.0</v>
      </c>
      <c r="J215" s="1298">
        <v>800.0</v>
      </c>
      <c r="K215" s="589">
        <f t="shared" si="61"/>
        <v>36000</v>
      </c>
      <c r="L215" s="163">
        <f t="shared" si="62"/>
        <v>45</v>
      </c>
      <c r="N215" s="1291"/>
      <c r="O215" s="370"/>
      <c r="P215" s="1291"/>
      <c r="Q215" s="1291"/>
      <c r="R215" s="1291"/>
      <c r="S215" s="370"/>
    </row>
    <row r="216">
      <c r="A216" s="1344"/>
      <c r="B216" s="1345" t="s">
        <v>6434</v>
      </c>
      <c r="C216" s="1346">
        <v>0.0</v>
      </c>
      <c r="D216" s="163"/>
      <c r="E216" s="1298"/>
      <c r="F216" s="163"/>
      <c r="G216" s="589"/>
      <c r="H216" s="589"/>
      <c r="I216" s="1349"/>
      <c r="J216" s="1350"/>
      <c r="K216" s="589"/>
      <c r="L216" s="163"/>
      <c r="N216" s="1291"/>
      <c r="O216" s="370"/>
      <c r="P216" s="1291"/>
      <c r="Q216" s="1291"/>
      <c r="R216" s="1291"/>
    </row>
    <row r="217">
      <c r="A217" s="1344"/>
      <c r="B217" s="1345" t="s">
        <v>6435</v>
      </c>
      <c r="C217" s="1346">
        <v>0.0</v>
      </c>
      <c r="D217" s="163"/>
      <c r="E217" s="1298"/>
      <c r="F217" s="589"/>
      <c r="G217" s="589"/>
      <c r="H217" s="589"/>
      <c r="I217" s="1349"/>
      <c r="J217" s="1350"/>
      <c r="K217" s="589"/>
      <c r="L217" s="163"/>
      <c r="N217" s="1291"/>
      <c r="O217" s="370"/>
      <c r="P217" s="1291"/>
      <c r="Q217" s="1291"/>
      <c r="R217" s="1291"/>
    </row>
    <row r="218">
      <c r="A218" s="1344"/>
      <c r="B218" s="1345" t="s">
        <v>6435</v>
      </c>
      <c r="C218" s="1346">
        <v>0.0</v>
      </c>
      <c r="D218" s="163"/>
      <c r="E218" s="1298"/>
      <c r="F218" s="589"/>
      <c r="G218" s="589"/>
      <c r="H218" s="589"/>
      <c r="I218" s="1349"/>
      <c r="J218" s="1350"/>
      <c r="K218" s="589"/>
      <c r="L218" s="163"/>
      <c r="N218" s="1291"/>
      <c r="O218" s="370"/>
      <c r="P218" s="1291"/>
      <c r="Q218" s="1291"/>
      <c r="R218" s="1291"/>
    </row>
    <row r="219">
      <c r="A219" s="1344"/>
      <c r="B219" s="1345" t="s">
        <v>6436</v>
      </c>
      <c r="C219" s="1346">
        <v>0.0</v>
      </c>
      <c r="D219" s="163"/>
      <c r="E219" s="1298"/>
      <c r="F219" s="589"/>
      <c r="G219" s="589"/>
      <c r="H219" s="589"/>
      <c r="I219" s="1349"/>
      <c r="J219" s="1350"/>
      <c r="K219" s="589"/>
      <c r="L219" s="163"/>
      <c r="N219" s="1291"/>
      <c r="O219" s="370"/>
      <c r="P219" s="1291"/>
      <c r="Q219" s="1291"/>
      <c r="R219" s="1291"/>
    </row>
    <row r="220">
      <c r="A220" s="1344"/>
      <c r="B220" s="1345" t="s">
        <v>2767</v>
      </c>
      <c r="C220" s="1346">
        <v>0.0</v>
      </c>
      <c r="D220" s="163"/>
      <c r="E220" s="1298"/>
      <c r="F220" s="589"/>
      <c r="G220" s="589"/>
      <c r="H220" s="589"/>
      <c r="I220" s="1349"/>
      <c r="J220" s="1350"/>
      <c r="K220" s="589"/>
      <c r="L220" s="163"/>
      <c r="N220" s="1291"/>
      <c r="O220" s="370"/>
      <c r="P220" s="1291"/>
      <c r="Q220" s="1291"/>
      <c r="R220" s="1291"/>
    </row>
    <row r="221">
      <c r="A221" s="548"/>
      <c r="B221" s="167" t="s">
        <v>6437</v>
      </c>
      <c r="C221" s="1346">
        <v>0.0</v>
      </c>
      <c r="D221" s="163"/>
      <c r="E221" s="1298"/>
      <c r="F221" s="589"/>
      <c r="G221" s="589"/>
      <c r="H221" s="589"/>
      <c r="I221" s="1347"/>
      <c r="J221" s="1350"/>
      <c r="K221" s="589"/>
      <c r="L221" s="163"/>
      <c r="N221" s="1291"/>
      <c r="O221" s="370"/>
      <c r="P221" s="1291"/>
      <c r="Q221" s="1291"/>
      <c r="R221" s="1291"/>
    </row>
    <row r="222">
      <c r="A222" s="548" t="s">
        <v>4326</v>
      </c>
      <c r="B222" s="167" t="s">
        <v>6469</v>
      </c>
      <c r="C222" s="1346">
        <v>0.0</v>
      </c>
      <c r="D222" s="589"/>
      <c r="E222" s="1298"/>
      <c r="F222" s="163"/>
      <c r="G222" s="163"/>
      <c r="H222" s="163"/>
      <c r="I222" s="1349"/>
      <c r="J222" s="1350"/>
      <c r="K222" s="589"/>
      <c r="L222" s="589"/>
      <c r="N222" s="1291"/>
      <c r="O222" s="370"/>
      <c r="P222" s="1291"/>
      <c r="Q222" s="1291"/>
      <c r="R222" s="1291"/>
    </row>
    <row r="223">
      <c r="A223" s="548"/>
      <c r="B223" s="167" t="s">
        <v>403</v>
      </c>
      <c r="C223" s="1346">
        <v>0.0</v>
      </c>
      <c r="D223" s="589"/>
      <c r="E223" s="1301"/>
      <c r="F223" s="589"/>
      <c r="G223" s="589"/>
      <c r="H223" s="589"/>
      <c r="I223" s="1349"/>
      <c r="J223" s="1350"/>
      <c r="K223" s="589"/>
      <c r="L223" s="589"/>
      <c r="N223" s="1291"/>
      <c r="O223" s="370"/>
      <c r="P223" s="1291"/>
      <c r="Q223" s="1291"/>
      <c r="R223" s="1291"/>
    </row>
    <row r="224">
      <c r="A224" s="1292"/>
      <c r="B224" s="1339" t="s">
        <v>823</v>
      </c>
      <c r="C224" s="1346">
        <v>0.0</v>
      </c>
      <c r="D224" s="589"/>
      <c r="E224" s="1301"/>
      <c r="F224" s="589"/>
      <c r="G224" s="589"/>
      <c r="H224" s="589"/>
      <c r="I224" s="1349"/>
      <c r="J224" s="1350"/>
      <c r="K224" s="589"/>
      <c r="L224" s="589"/>
      <c r="N224" s="1291"/>
      <c r="O224" s="370"/>
      <c r="P224" s="1291"/>
      <c r="Q224" s="1291"/>
      <c r="R224" s="1291"/>
    </row>
    <row r="225">
      <c r="A225" s="1305"/>
      <c r="B225" s="1358" t="s">
        <v>6371</v>
      </c>
      <c r="C225" s="1346">
        <v>0.0</v>
      </c>
      <c r="D225" s="589"/>
      <c r="E225" s="1301"/>
      <c r="F225" s="39"/>
      <c r="G225" s="589"/>
      <c r="H225" s="589"/>
      <c r="I225" s="1349"/>
      <c r="J225" s="1350"/>
      <c r="K225" s="589"/>
      <c r="L225" s="589"/>
      <c r="N225" s="1291"/>
      <c r="O225" s="370"/>
      <c r="P225" s="1291"/>
      <c r="Q225" s="1291"/>
      <c r="R225" s="1291"/>
    </row>
    <row r="226">
      <c r="A226" s="1359"/>
      <c r="B226" s="1360" t="s">
        <v>6470</v>
      </c>
      <c r="C226" s="1346">
        <v>0.0</v>
      </c>
      <c r="D226" s="589"/>
      <c r="E226" s="1301"/>
      <c r="F226" s="587"/>
      <c r="G226" s="587"/>
      <c r="H226" s="589"/>
      <c r="I226" s="1349"/>
      <c r="J226" s="1350"/>
      <c r="K226" s="589"/>
      <c r="L226" s="589"/>
      <c r="N226" s="1291"/>
      <c r="O226" s="370"/>
      <c r="P226" s="1291"/>
      <c r="Q226" s="1291"/>
      <c r="R226" s="1291"/>
    </row>
    <row r="227">
      <c r="A227" s="280"/>
      <c r="C227" s="1346"/>
      <c r="D227" s="587"/>
      <c r="E227" s="1319"/>
      <c r="F227" s="587"/>
      <c r="G227" s="587"/>
      <c r="H227" s="587"/>
      <c r="I227" s="587"/>
      <c r="J227" s="1319"/>
      <c r="K227" s="587"/>
      <c r="L227" s="587"/>
      <c r="N227" s="1291"/>
      <c r="O227" s="370"/>
      <c r="P227" s="1291"/>
      <c r="Q227" s="1291"/>
      <c r="R227" s="1291"/>
      <c r="S227" s="370"/>
    </row>
    <row r="228">
      <c r="A228" s="280"/>
      <c r="C228" s="280"/>
      <c r="D228" s="587"/>
      <c r="E228" s="1319"/>
      <c r="F228" s="587"/>
      <c r="G228" s="587"/>
      <c r="H228" s="587"/>
      <c r="I228" s="587"/>
      <c r="J228" s="1361" t="s">
        <v>2823</v>
      </c>
      <c r="K228" s="595" t="s">
        <v>6471</v>
      </c>
      <c r="L228" s="587">
        <f>SUM(L144:L226)</f>
        <v>6892.1</v>
      </c>
      <c r="N228" s="1291"/>
      <c r="O228" s="370"/>
      <c r="P228" s="1291"/>
      <c r="Q228" s="1291"/>
      <c r="R228" s="1291"/>
      <c r="S228" s="370"/>
    </row>
    <row r="229">
      <c r="A229" s="280"/>
      <c r="C229" s="280"/>
      <c r="D229" s="587"/>
      <c r="E229" s="1319"/>
      <c r="F229" s="587"/>
      <c r="G229" s="595"/>
      <c r="H229" s="595"/>
      <c r="I229" s="587"/>
      <c r="J229" s="1362"/>
      <c r="K229" s="587"/>
      <c r="L229" s="587"/>
      <c r="N229" s="1291"/>
      <c r="O229" s="370"/>
      <c r="P229" s="1291"/>
      <c r="Q229" s="1291"/>
      <c r="R229" s="1291"/>
      <c r="S229" s="370"/>
    </row>
    <row r="230">
      <c r="A230" s="280"/>
      <c r="C230" s="280"/>
      <c r="D230" s="587"/>
      <c r="E230" s="1319"/>
      <c r="F230" s="587"/>
      <c r="G230" s="587"/>
      <c r="H230" s="587"/>
      <c r="I230" s="587"/>
      <c r="J230" s="1319"/>
      <c r="K230" s="595" t="s">
        <v>6472</v>
      </c>
      <c r="L230" s="587">
        <f>L228*800</f>
        <v>5513680</v>
      </c>
      <c r="N230" s="1291"/>
      <c r="O230" s="370"/>
      <c r="P230" s="1291"/>
      <c r="Q230" s="1291"/>
      <c r="R230" s="1291"/>
      <c r="S230" s="370"/>
    </row>
    <row r="231">
      <c r="A231" s="280"/>
      <c r="C231" s="280"/>
      <c r="D231" s="587"/>
      <c r="E231" s="1319"/>
      <c r="F231" s="587"/>
      <c r="G231" s="587"/>
      <c r="H231" s="587"/>
      <c r="I231" s="587"/>
      <c r="J231" s="1319"/>
      <c r="K231" s="587"/>
      <c r="L231" s="587"/>
      <c r="N231" s="1291"/>
      <c r="O231" s="370"/>
      <c r="P231" s="1291"/>
      <c r="Q231" s="1291"/>
      <c r="R231" s="1291"/>
      <c r="S231" s="370"/>
    </row>
    <row r="232">
      <c r="A232" s="280"/>
      <c r="C232" s="280"/>
      <c r="D232" s="587"/>
      <c r="E232" s="1319"/>
      <c r="F232" s="587"/>
      <c r="G232" s="587"/>
      <c r="H232" s="587"/>
      <c r="I232" s="587"/>
      <c r="J232" s="1319"/>
      <c r="K232" s="587"/>
      <c r="L232" s="587"/>
      <c r="N232" s="1291"/>
      <c r="O232" s="370"/>
      <c r="P232" s="1291"/>
      <c r="Q232" s="1291"/>
      <c r="R232" s="1291"/>
      <c r="S232" s="370"/>
    </row>
    <row r="233">
      <c r="A233" s="280"/>
      <c r="C233" s="280"/>
      <c r="D233" s="587"/>
      <c r="E233" s="1319"/>
      <c r="F233" s="587"/>
      <c r="G233" s="587"/>
      <c r="H233" s="587"/>
      <c r="I233" s="587"/>
      <c r="J233" s="1319"/>
      <c r="K233" s="587"/>
      <c r="L233" s="587"/>
      <c r="N233" s="1291"/>
      <c r="O233" s="370"/>
      <c r="P233" s="1291"/>
      <c r="Q233" s="1291"/>
      <c r="R233" s="1291"/>
      <c r="S233" s="370"/>
    </row>
    <row r="234">
      <c r="A234" s="1285"/>
      <c r="B234" s="1338" t="s">
        <v>6473</v>
      </c>
      <c r="C234" s="1267"/>
      <c r="D234" s="1267"/>
      <c r="E234" s="1267"/>
      <c r="F234" s="1267"/>
      <c r="G234" s="1267"/>
      <c r="H234" s="1267"/>
      <c r="I234" s="1270"/>
      <c r="J234" s="1301"/>
      <c r="K234" s="589"/>
      <c r="L234" s="589"/>
      <c r="N234" s="1291"/>
      <c r="O234" s="370"/>
      <c r="P234" s="1291"/>
      <c r="Q234" s="1291"/>
      <c r="R234" s="1291"/>
      <c r="S234" s="370"/>
    </row>
    <row r="235">
      <c r="A235" s="1292"/>
      <c r="B235" s="1339"/>
      <c r="C235" s="1294" t="s">
        <v>3879</v>
      </c>
      <c r="D235" s="1295" t="s">
        <v>6439</v>
      </c>
      <c r="E235" s="1296" t="s">
        <v>6392</v>
      </c>
      <c r="F235" s="163" t="s">
        <v>6441</v>
      </c>
      <c r="G235" s="163"/>
      <c r="H235" s="163" t="s">
        <v>6442</v>
      </c>
      <c r="I235" s="1340" t="s">
        <v>6443</v>
      </c>
      <c r="J235" s="1298"/>
      <c r="K235" s="754" t="s">
        <v>6474</v>
      </c>
      <c r="L235" s="754" t="s">
        <v>6445</v>
      </c>
      <c r="N235" s="1357" t="s">
        <v>6475</v>
      </c>
      <c r="O235" s="614" t="s">
        <v>6476</v>
      </c>
      <c r="P235" s="1357" t="s">
        <v>6397</v>
      </c>
      <c r="Q235" s="1357" t="s">
        <v>6477</v>
      </c>
      <c r="R235" s="1357" t="s">
        <v>6478</v>
      </c>
      <c r="S235" s="370"/>
    </row>
    <row r="236">
      <c r="A236" s="1344"/>
      <c r="B236" s="1345" t="s">
        <v>6339</v>
      </c>
      <c r="C236" s="1346">
        <f>12*3</f>
        <v>36</v>
      </c>
      <c r="D236" s="163"/>
      <c r="E236" s="1298">
        <f t="shared" ref="E236:E237" si="63">7.76/3</f>
        <v>2.586666667</v>
      </c>
      <c r="F236" s="589">
        <f>11.3/3</f>
        <v>3.766666667</v>
      </c>
      <c r="G236" s="589"/>
      <c r="H236" s="589">
        <f>7.5/3</f>
        <v>2.5</v>
      </c>
      <c r="I236" s="1347">
        <v>12000.0</v>
      </c>
      <c r="J236" s="1298">
        <v>800.0</v>
      </c>
      <c r="K236" s="589">
        <f t="shared" ref="K236:K237" si="64">E236*J236</f>
        <v>2069.333333</v>
      </c>
      <c r="L236" s="163">
        <f t="shared" ref="L236:L237" si="65">C236*E236</f>
        <v>93.12</v>
      </c>
      <c r="N236" s="1357">
        <f t="shared" ref="N236:N237" si="66">E236*C236</f>
        <v>93.12</v>
      </c>
      <c r="O236" s="614">
        <v>22.6</v>
      </c>
      <c r="P236" s="1291">
        <f>75+48</f>
        <v>123</v>
      </c>
      <c r="Q236" s="1291"/>
      <c r="R236" s="1291"/>
      <c r="S236" s="1363"/>
    </row>
    <row r="237">
      <c r="A237" s="1344"/>
      <c r="B237" s="1345" t="s">
        <v>6447</v>
      </c>
      <c r="C237" s="1346">
        <f>10*3</f>
        <v>30</v>
      </c>
      <c r="D237" s="163"/>
      <c r="E237" s="1298">
        <f t="shared" si="63"/>
        <v>2.586666667</v>
      </c>
      <c r="F237" s="589"/>
      <c r="G237" s="589"/>
      <c r="H237" s="589"/>
      <c r="I237" s="1347">
        <v>12000.0</v>
      </c>
      <c r="J237" s="1298">
        <v>800.0</v>
      </c>
      <c r="K237" s="589">
        <f t="shared" si="64"/>
        <v>2069.333333</v>
      </c>
      <c r="L237" s="163">
        <f t="shared" si="65"/>
        <v>77.6</v>
      </c>
      <c r="N237" s="1357">
        <f t="shared" si="66"/>
        <v>77.6</v>
      </c>
      <c r="O237" s="370"/>
      <c r="P237" s="1291"/>
      <c r="Q237" s="1291"/>
      <c r="R237" s="1291"/>
      <c r="S237" s="1363"/>
    </row>
    <row r="238">
      <c r="A238" s="1344"/>
      <c r="B238" s="1345" t="s">
        <v>6479</v>
      </c>
      <c r="C238" s="1346"/>
      <c r="D238" s="163"/>
      <c r="E238" s="1298"/>
      <c r="F238" s="589"/>
      <c r="G238" s="163"/>
      <c r="H238" s="163">
        <v>22.0</v>
      </c>
      <c r="I238" s="1364">
        <v>46000.0</v>
      </c>
      <c r="J238" s="1298">
        <v>800.0</v>
      </c>
      <c r="K238" s="589">
        <f>H238*J238</f>
        <v>17600</v>
      </c>
      <c r="L238" s="589"/>
      <c r="N238" s="1291"/>
      <c r="O238" s="370"/>
      <c r="P238" s="1357">
        <v>66.0</v>
      </c>
      <c r="Q238" s="1291"/>
      <c r="R238" s="1291"/>
      <c r="S238" s="1363"/>
    </row>
    <row r="239">
      <c r="A239" s="1344" t="s">
        <v>6480</v>
      </c>
      <c r="B239" s="1345" t="s">
        <v>101</v>
      </c>
      <c r="C239" s="1346">
        <v>0.0</v>
      </c>
      <c r="D239" s="163"/>
      <c r="E239" s="1298"/>
      <c r="F239" s="589"/>
      <c r="G239" s="589"/>
      <c r="H239" s="589"/>
      <c r="I239" s="1365"/>
      <c r="J239" s="1298">
        <v>800.0</v>
      </c>
      <c r="K239" s="589"/>
      <c r="L239" s="589"/>
      <c r="N239" s="1291"/>
      <c r="O239" s="370"/>
      <c r="P239" s="1291"/>
      <c r="Q239" s="1291"/>
      <c r="R239" s="1291"/>
      <c r="S239" s="1363"/>
    </row>
    <row r="240">
      <c r="A240" s="1344"/>
      <c r="B240" s="1345" t="s">
        <v>6393</v>
      </c>
      <c r="C240" s="1346">
        <v>0.0</v>
      </c>
      <c r="D240" s="163"/>
      <c r="E240" s="1298"/>
      <c r="F240" s="589"/>
      <c r="G240" s="589"/>
      <c r="H240" s="589"/>
      <c r="I240" s="1365"/>
      <c r="J240" s="1298">
        <v>800.0</v>
      </c>
      <c r="K240" s="589"/>
      <c r="L240" s="163"/>
      <c r="N240" s="1291"/>
      <c r="O240" s="370"/>
      <c r="P240" s="1291"/>
      <c r="Q240" s="1291"/>
      <c r="R240" s="1291"/>
      <c r="S240" s="1363"/>
    </row>
    <row r="241">
      <c r="A241" s="1344"/>
      <c r="B241" s="1345" t="s">
        <v>6341</v>
      </c>
      <c r="C241" s="1346">
        <v>0.0</v>
      </c>
      <c r="D241" s="589"/>
      <c r="E241" s="1298"/>
      <c r="F241" s="589"/>
      <c r="G241" s="163"/>
      <c r="H241" s="163"/>
      <c r="I241" s="1365"/>
      <c r="J241" s="1298">
        <v>800.0</v>
      </c>
      <c r="K241" s="589"/>
      <c r="L241" s="589"/>
      <c r="N241" s="1291"/>
      <c r="O241" s="370"/>
      <c r="P241" s="1291"/>
      <c r="Q241" s="1291"/>
      <c r="R241" s="1291"/>
      <c r="S241" s="1363"/>
    </row>
    <row r="242">
      <c r="A242" s="1344"/>
      <c r="B242" s="1345" t="s">
        <v>6342</v>
      </c>
      <c r="C242" s="1346">
        <v>8.0</v>
      </c>
      <c r="D242" s="163"/>
      <c r="E242" s="1298">
        <v>33.95</v>
      </c>
      <c r="F242" s="163">
        <v>32.0</v>
      </c>
      <c r="G242" s="163"/>
      <c r="H242" s="163">
        <v>30.0</v>
      </c>
      <c r="I242" s="1347">
        <v>55000.0</v>
      </c>
      <c r="J242" s="1298">
        <v>800.0</v>
      </c>
      <c r="K242" s="589">
        <f>E242*J242</f>
        <v>27160</v>
      </c>
      <c r="L242" s="163">
        <f>C242*E242</f>
        <v>271.6</v>
      </c>
      <c r="N242" s="1357">
        <f>E242*C242</f>
        <v>271.6</v>
      </c>
      <c r="O242" s="370">
        <f>4*F242</f>
        <v>128</v>
      </c>
      <c r="P242" s="1291"/>
      <c r="Q242" s="1291">
        <f>10*30</f>
        <v>300</v>
      </c>
      <c r="R242" s="1291"/>
      <c r="S242" s="1363"/>
    </row>
    <row r="243">
      <c r="A243" s="1344"/>
      <c r="B243" s="1345" t="s">
        <v>6395</v>
      </c>
      <c r="C243" s="1346">
        <v>0.0</v>
      </c>
      <c r="D243" s="163"/>
      <c r="E243" s="1298"/>
      <c r="F243" s="163"/>
      <c r="G243" s="163"/>
      <c r="H243" s="163"/>
      <c r="I243" s="1365"/>
      <c r="J243" s="1298">
        <v>800.0</v>
      </c>
      <c r="K243" s="589"/>
      <c r="L243" s="163"/>
      <c r="N243" s="1291"/>
      <c r="O243" s="370"/>
      <c r="P243" s="1291"/>
      <c r="Q243" s="1291"/>
      <c r="R243" s="1291"/>
      <c r="S243" s="1363"/>
    </row>
    <row r="244">
      <c r="A244" s="1344"/>
      <c r="B244" s="1345" t="s">
        <v>6396</v>
      </c>
      <c r="C244" s="1346">
        <v>0.0</v>
      </c>
      <c r="D244" s="163"/>
      <c r="E244" s="1298"/>
      <c r="F244" s="589"/>
      <c r="G244" s="589"/>
      <c r="H244" s="589"/>
      <c r="I244" s="1365"/>
      <c r="J244" s="1298">
        <v>800.0</v>
      </c>
      <c r="K244" s="589"/>
      <c r="L244" s="163"/>
      <c r="N244" s="1291"/>
      <c r="O244" s="370"/>
      <c r="P244" s="1291"/>
      <c r="Q244" s="1291"/>
      <c r="R244" s="1291"/>
      <c r="S244" s="1363"/>
    </row>
    <row r="245">
      <c r="A245" s="1344"/>
      <c r="B245" s="1345" t="s">
        <v>6396</v>
      </c>
      <c r="C245" s="1346">
        <v>0.0</v>
      </c>
      <c r="D245" s="163"/>
      <c r="E245" s="1298"/>
      <c r="F245" s="589"/>
      <c r="G245" s="589"/>
      <c r="H245" s="589"/>
      <c r="I245" s="1365"/>
      <c r="J245" s="1298">
        <v>800.0</v>
      </c>
      <c r="K245" s="589"/>
      <c r="L245" s="163"/>
      <c r="N245" s="1291"/>
      <c r="O245" s="370"/>
      <c r="P245" s="1291"/>
      <c r="Q245" s="1291"/>
      <c r="R245" s="1291"/>
      <c r="S245" s="1363"/>
    </row>
    <row r="246">
      <c r="A246" s="1344"/>
      <c r="B246" s="1345" t="s">
        <v>6398</v>
      </c>
      <c r="C246" s="1346">
        <v>0.0</v>
      </c>
      <c r="D246" s="163"/>
      <c r="E246" s="1298"/>
      <c r="F246" s="589"/>
      <c r="G246" s="589"/>
      <c r="H246" s="589"/>
      <c r="I246" s="1365"/>
      <c r="J246" s="1298">
        <v>800.0</v>
      </c>
      <c r="K246" s="589"/>
      <c r="L246" s="163"/>
      <c r="N246" s="1291"/>
      <c r="O246" s="370"/>
      <c r="P246" s="1291"/>
      <c r="Q246" s="1291"/>
      <c r="R246" s="1291"/>
      <c r="S246" s="1363"/>
    </row>
    <row r="247">
      <c r="A247" s="1344"/>
      <c r="B247" s="1345" t="s">
        <v>6398</v>
      </c>
      <c r="C247" s="1346">
        <v>0.0</v>
      </c>
      <c r="D247" s="163"/>
      <c r="E247" s="1298"/>
      <c r="F247" s="589"/>
      <c r="G247" s="589"/>
      <c r="H247" s="589"/>
      <c r="I247" s="1365"/>
      <c r="J247" s="1298">
        <v>800.0</v>
      </c>
      <c r="K247" s="589"/>
      <c r="L247" s="163"/>
      <c r="N247" s="1291"/>
      <c r="O247" s="370"/>
      <c r="P247" s="1291"/>
      <c r="Q247" s="1291"/>
      <c r="R247" s="1291"/>
      <c r="S247" s="1363"/>
    </row>
    <row r="248">
      <c r="A248" s="1344"/>
      <c r="B248" s="1345" t="s">
        <v>6345</v>
      </c>
      <c r="C248" s="1346">
        <v>0.0</v>
      </c>
      <c r="D248" s="163"/>
      <c r="E248" s="1298"/>
      <c r="F248" s="163"/>
      <c r="G248" s="163"/>
      <c r="H248" s="163"/>
      <c r="I248" s="1347">
        <v>1000.0</v>
      </c>
      <c r="J248" s="1298">
        <v>800.0</v>
      </c>
      <c r="K248" s="589"/>
      <c r="L248" s="163"/>
      <c r="N248" s="1291"/>
      <c r="O248" s="370"/>
      <c r="P248" s="1291"/>
      <c r="Q248" s="1291"/>
      <c r="R248" s="1291"/>
      <c r="S248" s="1363"/>
    </row>
    <row r="249">
      <c r="A249" s="1344"/>
      <c r="B249" s="1345" t="s">
        <v>6346</v>
      </c>
      <c r="C249" s="1346">
        <v>14.0</v>
      </c>
      <c r="D249" s="163"/>
      <c r="E249" s="1298"/>
      <c r="F249" s="163"/>
      <c r="G249" s="163"/>
      <c r="H249" s="163">
        <v>11.5</v>
      </c>
      <c r="I249" s="1365"/>
      <c r="J249" s="1298">
        <v>800.0</v>
      </c>
      <c r="K249" s="589">
        <f>H249*J249</f>
        <v>9200</v>
      </c>
      <c r="L249" s="163"/>
      <c r="N249" s="1291"/>
      <c r="O249" s="370"/>
      <c r="P249" s="1291"/>
      <c r="Q249" s="1291">
        <f>C249*H249</f>
        <v>161</v>
      </c>
      <c r="R249" s="1291"/>
      <c r="S249" s="1363"/>
    </row>
    <row r="250">
      <c r="A250" s="1344"/>
      <c r="B250" s="1345" t="s">
        <v>6347</v>
      </c>
      <c r="C250" s="1346">
        <v>0.0</v>
      </c>
      <c r="D250" s="163"/>
      <c r="E250" s="1298"/>
      <c r="F250" s="163"/>
      <c r="G250" s="163"/>
      <c r="H250" s="163"/>
      <c r="I250" s="1347">
        <v>1000.0</v>
      </c>
      <c r="J250" s="1298">
        <v>800.0</v>
      </c>
      <c r="K250" s="589"/>
      <c r="L250" s="163"/>
      <c r="N250" s="1291"/>
      <c r="O250" s="370"/>
      <c r="P250" s="1291"/>
      <c r="Q250" s="1291"/>
      <c r="R250" s="1291"/>
      <c r="S250" s="370"/>
    </row>
    <row r="251">
      <c r="A251" s="1344"/>
      <c r="B251" s="1345" t="s">
        <v>6348</v>
      </c>
      <c r="C251" s="1346">
        <v>0.0</v>
      </c>
      <c r="D251" s="163"/>
      <c r="E251" s="1298"/>
      <c r="F251" s="163"/>
      <c r="G251" s="163"/>
      <c r="H251" s="163"/>
      <c r="I251" s="1347">
        <v>1000.0</v>
      </c>
      <c r="J251" s="1298">
        <v>800.0</v>
      </c>
      <c r="K251" s="589"/>
      <c r="L251" s="163"/>
      <c r="N251" s="1291"/>
      <c r="O251" s="370"/>
      <c r="P251" s="1291"/>
      <c r="Q251" s="1291"/>
      <c r="R251" s="1291"/>
    </row>
    <row r="252">
      <c r="A252" s="1344"/>
      <c r="B252" s="1345" t="s">
        <v>6448</v>
      </c>
      <c r="C252" s="1346">
        <v>0.0</v>
      </c>
      <c r="D252" s="163"/>
      <c r="E252" s="1298"/>
      <c r="F252" s="163"/>
      <c r="G252" s="163"/>
      <c r="H252" s="163"/>
      <c r="I252" s="1347">
        <v>1000.0</v>
      </c>
      <c r="J252" s="1298">
        <v>800.0</v>
      </c>
      <c r="K252" s="589"/>
      <c r="L252" s="163"/>
      <c r="N252" s="1291"/>
      <c r="O252" s="370"/>
      <c r="P252" s="1291"/>
      <c r="Q252" s="1291"/>
      <c r="R252" s="1291"/>
      <c r="S252" s="370"/>
    </row>
    <row r="253">
      <c r="A253" s="1344"/>
      <c r="B253" s="1345" t="s">
        <v>6399</v>
      </c>
      <c r="C253" s="1346">
        <v>0.0</v>
      </c>
      <c r="D253" s="589"/>
      <c r="E253" s="1298"/>
      <c r="F253" s="589"/>
      <c r="G253" s="589"/>
      <c r="H253" s="589"/>
      <c r="I253" s="1365"/>
      <c r="J253" s="1298">
        <v>800.0</v>
      </c>
      <c r="K253" s="589"/>
      <c r="L253" s="589"/>
      <c r="N253" s="1291"/>
      <c r="O253" s="370"/>
      <c r="P253" s="1291"/>
      <c r="Q253" s="1291"/>
      <c r="R253" s="1291"/>
      <c r="S253" s="370"/>
    </row>
    <row r="254">
      <c r="A254" s="548"/>
      <c r="B254" s="167" t="s">
        <v>6481</v>
      </c>
      <c r="C254" s="1346">
        <v>0.0</v>
      </c>
      <c r="D254" s="589"/>
      <c r="E254" s="1301"/>
      <c r="F254" s="589"/>
      <c r="G254" s="589"/>
      <c r="H254" s="589"/>
      <c r="I254" s="1365"/>
      <c r="J254" s="1298">
        <v>800.0</v>
      </c>
      <c r="K254" s="589"/>
      <c r="L254" s="589"/>
      <c r="N254" s="1291"/>
      <c r="O254" s="370"/>
      <c r="P254" s="1291"/>
      <c r="Q254" s="1291"/>
      <c r="R254" s="1291"/>
      <c r="S254" s="370"/>
    </row>
    <row r="255">
      <c r="A255" s="1344"/>
      <c r="B255" s="1345" t="s">
        <v>6350</v>
      </c>
      <c r="C255" s="1346">
        <v>1.0</v>
      </c>
      <c r="D255" s="163"/>
      <c r="E255" s="1298"/>
      <c r="F255" s="163">
        <v>130.0</v>
      </c>
      <c r="G255" s="589"/>
      <c r="H255" s="589"/>
      <c r="I255" s="1365"/>
      <c r="J255" s="1298">
        <v>800.0</v>
      </c>
      <c r="K255" s="589">
        <f>F255*J255</f>
        <v>104000</v>
      </c>
      <c r="L255" s="589"/>
      <c r="N255" s="1357"/>
      <c r="O255" s="614">
        <v>130.0</v>
      </c>
      <c r="P255" s="1291"/>
      <c r="Q255" s="1291"/>
      <c r="R255" s="1291"/>
      <c r="S255" s="370"/>
    </row>
    <row r="256">
      <c r="A256" s="1344"/>
      <c r="B256" s="1345" t="s">
        <v>6404</v>
      </c>
      <c r="C256" s="1346">
        <v>5.0</v>
      </c>
      <c r="D256" s="163"/>
      <c r="E256" s="1298"/>
      <c r="F256" s="163"/>
      <c r="G256" s="163"/>
      <c r="H256" s="163">
        <v>9.5</v>
      </c>
      <c r="I256" s="1347">
        <v>30000.0</v>
      </c>
      <c r="J256" s="1298">
        <v>800.0</v>
      </c>
      <c r="K256" s="589">
        <f t="shared" ref="K256:K257" si="67">H256*J256</f>
        <v>7600</v>
      </c>
      <c r="L256" s="163"/>
      <c r="N256" s="1291"/>
      <c r="O256" s="370"/>
      <c r="P256" s="1291">
        <f>C256*H256</f>
        <v>47.5</v>
      </c>
      <c r="Q256" s="1291">
        <f>9.5*5</f>
        <v>47.5</v>
      </c>
      <c r="R256" s="1291"/>
      <c r="S256" s="370"/>
    </row>
    <row r="257">
      <c r="A257" s="1344"/>
      <c r="B257" s="1345" t="s">
        <v>6452</v>
      </c>
      <c r="C257" s="1346">
        <v>16.0</v>
      </c>
      <c r="D257" s="163"/>
      <c r="E257" s="1298"/>
      <c r="F257" s="589"/>
      <c r="G257" s="163"/>
      <c r="H257" s="163">
        <v>8.9</v>
      </c>
      <c r="I257" s="1347">
        <v>8000.0</v>
      </c>
      <c r="J257" s="1298">
        <v>800.0</v>
      </c>
      <c r="K257" s="589">
        <f t="shared" si="67"/>
        <v>7120</v>
      </c>
      <c r="L257" s="163"/>
      <c r="N257" s="1291"/>
      <c r="O257" s="370"/>
      <c r="P257" s="1291"/>
      <c r="Q257" s="1291">
        <f>C257*H257</f>
        <v>142.4</v>
      </c>
      <c r="R257" s="1291"/>
      <c r="S257" s="370"/>
    </row>
    <row r="258">
      <c r="A258" s="1292"/>
      <c r="B258" s="1339" t="s">
        <v>6454</v>
      </c>
      <c r="C258" s="1346">
        <v>0.0</v>
      </c>
      <c r="D258" s="163"/>
      <c r="E258" s="1298"/>
      <c r="F258" s="163"/>
      <c r="G258" s="163"/>
      <c r="H258" s="163"/>
      <c r="I258" s="1347">
        <v>28000.0</v>
      </c>
      <c r="J258" s="1298">
        <v>800.0</v>
      </c>
      <c r="K258" s="589"/>
      <c r="L258" s="163"/>
      <c r="N258" s="1291"/>
      <c r="O258" s="370"/>
      <c r="P258" s="1291"/>
      <c r="Q258" s="1291"/>
      <c r="R258" s="1291"/>
      <c r="S258" s="370"/>
    </row>
    <row r="259">
      <c r="A259" s="1344"/>
      <c r="B259" s="1345" t="s">
        <v>6449</v>
      </c>
      <c r="C259" s="1346">
        <v>0.0</v>
      </c>
      <c r="D259" s="589"/>
      <c r="E259" s="1298"/>
      <c r="F259" s="589"/>
      <c r="G259" s="589"/>
      <c r="H259" s="589"/>
      <c r="I259" s="1365"/>
      <c r="J259" s="1298">
        <v>800.0</v>
      </c>
      <c r="K259" s="589"/>
      <c r="L259" s="589"/>
      <c r="N259" s="1291"/>
      <c r="O259" s="370"/>
      <c r="P259" s="1291"/>
      <c r="Q259" s="1291"/>
      <c r="R259" s="1291"/>
      <c r="S259" s="370"/>
    </row>
    <row r="260">
      <c r="A260" s="1344"/>
      <c r="B260" s="1345" t="s">
        <v>6455</v>
      </c>
      <c r="C260" s="1346">
        <v>0.0</v>
      </c>
      <c r="D260" s="163"/>
      <c r="E260" s="1298"/>
      <c r="F260" s="163"/>
      <c r="G260" s="163"/>
      <c r="H260" s="163"/>
      <c r="I260" s="1347">
        <v>30000.0</v>
      </c>
      <c r="J260" s="1298">
        <v>800.0</v>
      </c>
      <c r="K260" s="589"/>
      <c r="L260" s="163"/>
      <c r="N260" s="1291"/>
      <c r="O260" s="370"/>
      <c r="P260" s="1291"/>
      <c r="Q260" s="1291"/>
      <c r="R260" s="1291"/>
      <c r="S260" s="370"/>
    </row>
    <row r="261">
      <c r="A261" s="1292"/>
      <c r="B261" s="1339" t="s">
        <v>6453</v>
      </c>
      <c r="C261" s="1346">
        <v>20.0</v>
      </c>
      <c r="D261" s="163"/>
      <c r="E261" s="1298"/>
      <c r="F261" s="589"/>
      <c r="G261" s="163"/>
      <c r="H261" s="163">
        <v>24.0</v>
      </c>
      <c r="I261" s="1347">
        <v>35000.0</v>
      </c>
      <c r="J261" s="1298">
        <v>800.0</v>
      </c>
      <c r="K261" s="589">
        <f>H261*J261</f>
        <v>19200</v>
      </c>
      <c r="L261" s="163"/>
      <c r="N261" s="1291"/>
      <c r="O261" s="370"/>
      <c r="P261" s="1291">
        <f>C261*H261</f>
        <v>480</v>
      </c>
      <c r="Q261" s="1291"/>
      <c r="R261" s="1291"/>
      <c r="S261" s="370"/>
    </row>
    <row r="262">
      <c r="A262" s="1344"/>
      <c r="B262" s="1345" t="s">
        <v>6407</v>
      </c>
      <c r="C262" s="1346">
        <v>0.0</v>
      </c>
      <c r="D262" s="163"/>
      <c r="E262" s="1298"/>
      <c r="F262" s="589"/>
      <c r="G262" s="589"/>
      <c r="H262" s="589"/>
      <c r="I262" s="1365"/>
      <c r="J262" s="1298">
        <v>800.0</v>
      </c>
      <c r="K262" s="589"/>
      <c r="L262" s="163"/>
      <c r="N262" s="1291"/>
      <c r="O262" s="370"/>
      <c r="P262" s="1291"/>
      <c r="Q262" s="1291"/>
      <c r="R262" s="1291"/>
      <c r="S262" s="370"/>
    </row>
    <row r="263">
      <c r="A263" s="1344"/>
      <c r="B263" s="1345" t="s">
        <v>6456</v>
      </c>
      <c r="C263" s="1346">
        <v>12.0</v>
      </c>
      <c r="D263" s="589"/>
      <c r="E263" s="1298"/>
      <c r="F263" s="163"/>
      <c r="G263" s="163"/>
      <c r="H263" s="163">
        <v>11.0</v>
      </c>
      <c r="I263" s="1347">
        <v>22000.0</v>
      </c>
      <c r="J263" s="1298">
        <v>800.0</v>
      </c>
      <c r="K263" s="589">
        <f>H263*J263</f>
        <v>8800</v>
      </c>
      <c r="L263" s="163"/>
      <c r="N263" s="1291"/>
      <c r="O263" s="370"/>
      <c r="P263" s="1291">
        <f>C263*H263</f>
        <v>132</v>
      </c>
      <c r="Q263" s="1291">
        <f>12*30</f>
        <v>360</v>
      </c>
      <c r="R263" s="1291"/>
      <c r="S263" s="370"/>
    </row>
    <row r="264">
      <c r="A264" s="548"/>
      <c r="B264" s="167" t="s">
        <v>6469</v>
      </c>
      <c r="C264" s="1346">
        <v>0.0</v>
      </c>
      <c r="D264" s="589"/>
      <c r="E264" s="1298"/>
      <c r="F264" s="163"/>
      <c r="G264" s="163"/>
      <c r="H264" s="163"/>
      <c r="I264" s="1365"/>
      <c r="J264" s="1298">
        <v>800.0</v>
      </c>
      <c r="K264" s="589"/>
      <c r="L264" s="589"/>
      <c r="N264" s="1291"/>
      <c r="O264" s="370"/>
      <c r="P264" s="1291"/>
      <c r="Q264" s="1291"/>
      <c r="R264" s="1291"/>
      <c r="S264" s="370"/>
    </row>
    <row r="265">
      <c r="A265" s="1344"/>
      <c r="B265" s="1345" t="s">
        <v>6482</v>
      </c>
      <c r="C265" s="1346">
        <v>12.0</v>
      </c>
      <c r="D265" s="163"/>
      <c r="E265" s="1298"/>
      <c r="F265" s="163"/>
      <c r="G265" s="163"/>
      <c r="H265" s="163">
        <f>190/6</f>
        <v>31.66666667</v>
      </c>
      <c r="I265" s="1347"/>
      <c r="J265" s="1298">
        <v>800.0</v>
      </c>
      <c r="K265" s="589">
        <f t="shared" ref="K265:K267" si="68">H265*J265</f>
        <v>25333.33333</v>
      </c>
      <c r="L265" s="163"/>
      <c r="N265" s="1291"/>
      <c r="O265" s="370"/>
      <c r="P265" s="1291">
        <f t="shared" ref="P265:P267" si="69">C265*H265</f>
        <v>380</v>
      </c>
      <c r="Q265" s="1291"/>
      <c r="R265" s="1291"/>
      <c r="S265" s="370"/>
    </row>
    <row r="266">
      <c r="A266" s="1344"/>
      <c r="B266" s="1345" t="s">
        <v>6458</v>
      </c>
      <c r="C266" s="1346">
        <v>17.0</v>
      </c>
      <c r="D266" s="163"/>
      <c r="E266" s="1298"/>
      <c r="F266" s="163"/>
      <c r="G266" s="163"/>
      <c r="H266" s="163">
        <v>40.0</v>
      </c>
      <c r="I266" s="1347">
        <v>90000.0</v>
      </c>
      <c r="J266" s="1298">
        <v>800.0</v>
      </c>
      <c r="K266" s="589">
        <f t="shared" si="68"/>
        <v>32000</v>
      </c>
      <c r="L266" s="163"/>
      <c r="N266" s="1291"/>
      <c r="O266" s="370"/>
      <c r="P266" s="1291">
        <f t="shared" si="69"/>
        <v>680</v>
      </c>
      <c r="Q266" s="1291"/>
      <c r="R266" s="1291"/>
      <c r="S266" s="370"/>
    </row>
    <row r="267">
      <c r="A267" s="1344"/>
      <c r="B267" s="1345" t="s">
        <v>6457</v>
      </c>
      <c r="C267" s="1346">
        <v>10.0</v>
      </c>
      <c r="D267" s="163"/>
      <c r="E267" s="1298"/>
      <c r="F267" s="589"/>
      <c r="G267" s="163"/>
      <c r="H267" s="163">
        <v>105.0</v>
      </c>
      <c r="I267" s="1347">
        <v>170000.0</v>
      </c>
      <c r="J267" s="1298">
        <v>800.0</v>
      </c>
      <c r="K267" s="589">
        <f t="shared" si="68"/>
        <v>84000</v>
      </c>
      <c r="L267" s="163"/>
      <c r="N267" s="1291"/>
      <c r="O267" s="370"/>
      <c r="P267" s="1291">
        <f t="shared" si="69"/>
        <v>1050</v>
      </c>
      <c r="Q267" s="1291"/>
      <c r="R267" s="1291"/>
      <c r="S267" s="370"/>
    </row>
    <row r="268">
      <c r="A268" s="548"/>
      <c r="B268" s="167" t="s">
        <v>6437</v>
      </c>
      <c r="C268" s="1346">
        <v>0.0</v>
      </c>
      <c r="D268" s="163"/>
      <c r="E268" s="1298"/>
      <c r="F268" s="589"/>
      <c r="G268" s="589"/>
      <c r="H268" s="589"/>
      <c r="I268" s="1364"/>
      <c r="J268" s="1298">
        <v>800.0</v>
      </c>
      <c r="K268" s="589"/>
      <c r="L268" s="163"/>
      <c r="N268" s="1291"/>
      <c r="O268" s="370"/>
      <c r="P268" s="1291"/>
      <c r="Q268" s="1291"/>
      <c r="R268" s="1291"/>
      <c r="S268" s="370"/>
    </row>
    <row r="269">
      <c r="A269" s="1344"/>
      <c r="B269" s="1345" t="s">
        <v>6408</v>
      </c>
      <c r="C269" s="1346">
        <v>0.0</v>
      </c>
      <c r="D269" s="163"/>
      <c r="E269" s="1298"/>
      <c r="F269" s="589"/>
      <c r="G269" s="589"/>
      <c r="H269" s="589"/>
      <c r="I269" s="1365"/>
      <c r="J269" s="1298">
        <v>800.0</v>
      </c>
      <c r="K269" s="589"/>
      <c r="L269" s="163"/>
      <c r="N269" s="1291"/>
      <c r="O269" s="370"/>
      <c r="P269" s="1291"/>
      <c r="Q269" s="1291"/>
      <c r="R269" s="1291"/>
      <c r="S269" s="370"/>
    </row>
    <row r="270">
      <c r="A270" s="1344"/>
      <c r="B270" s="1345" t="s">
        <v>653</v>
      </c>
      <c r="C270" s="1346">
        <v>0.0</v>
      </c>
      <c r="D270" s="163"/>
      <c r="E270" s="1298"/>
      <c r="F270" s="163"/>
      <c r="G270" s="589"/>
      <c r="H270" s="589"/>
      <c r="I270" s="1347">
        <v>45000.0</v>
      </c>
      <c r="J270" s="1298">
        <v>800.0</v>
      </c>
      <c r="K270" s="589"/>
      <c r="L270" s="163"/>
      <c r="N270" s="1291"/>
      <c r="O270" s="370"/>
      <c r="P270" s="1291"/>
      <c r="Q270" s="1291"/>
      <c r="R270" s="1291"/>
      <c r="S270" s="370"/>
    </row>
    <row r="271">
      <c r="A271" s="1292"/>
      <c r="B271" s="1339" t="s">
        <v>6483</v>
      </c>
      <c r="C271" s="1346">
        <v>3.0</v>
      </c>
      <c r="D271" s="589"/>
      <c r="E271" s="1301"/>
      <c r="F271" s="589"/>
      <c r="G271" s="163"/>
      <c r="H271" s="163">
        <v>12.9</v>
      </c>
      <c r="I271" s="1364">
        <v>25000.0</v>
      </c>
      <c r="J271" s="1298">
        <v>800.0</v>
      </c>
      <c r="K271" s="589">
        <f>H271*J271</f>
        <v>10320</v>
      </c>
      <c r="L271" s="589"/>
      <c r="N271" s="1291"/>
      <c r="O271" s="370"/>
      <c r="P271" s="1291">
        <f>C271*H271</f>
        <v>38.7</v>
      </c>
      <c r="Q271" s="1291"/>
      <c r="R271" s="1291"/>
      <c r="S271" s="370"/>
    </row>
    <row r="272">
      <c r="A272" s="1292"/>
      <c r="B272" s="1339" t="s">
        <v>823</v>
      </c>
      <c r="C272" s="1346">
        <v>0.0</v>
      </c>
      <c r="D272" s="589"/>
      <c r="E272" s="1301"/>
      <c r="F272" s="589"/>
      <c r="G272" s="589"/>
      <c r="H272" s="589"/>
      <c r="I272" s="1365"/>
      <c r="J272" s="1298">
        <v>800.0</v>
      </c>
      <c r="K272" s="589"/>
      <c r="L272" s="589"/>
      <c r="N272" s="1291"/>
      <c r="O272" s="370"/>
      <c r="P272" s="1291"/>
      <c r="Q272" s="1291"/>
      <c r="R272" s="1291"/>
      <c r="S272" s="370"/>
    </row>
    <row r="273">
      <c r="A273" s="1344"/>
      <c r="B273" s="1345" t="s">
        <v>6459</v>
      </c>
      <c r="C273" s="1346">
        <v>10.0</v>
      </c>
      <c r="D273" s="163"/>
      <c r="E273" s="1298"/>
      <c r="F273" s="589"/>
      <c r="G273" s="163"/>
      <c r="H273" s="163">
        <v>10.0</v>
      </c>
      <c r="I273" s="1365"/>
      <c r="J273" s="1298">
        <v>800.0</v>
      </c>
      <c r="K273" s="589">
        <f t="shared" ref="K273:K274" si="70">H273*J273</f>
        <v>8000</v>
      </c>
      <c r="L273" s="163"/>
      <c r="N273" s="1291"/>
      <c r="O273" s="370"/>
      <c r="P273" s="1291"/>
      <c r="Q273" s="1291">
        <f t="shared" ref="Q273:Q274" si="71">C273*H273</f>
        <v>100</v>
      </c>
      <c r="R273" s="1291"/>
      <c r="S273" s="370"/>
    </row>
    <row r="274">
      <c r="A274" s="1344"/>
      <c r="B274" s="1345" t="s">
        <v>6460</v>
      </c>
      <c r="C274" s="1346">
        <v>20.0</v>
      </c>
      <c r="D274" s="163"/>
      <c r="E274" s="1298"/>
      <c r="F274" s="589"/>
      <c r="G274" s="163"/>
      <c r="H274" s="163">
        <v>10.0</v>
      </c>
      <c r="I274" s="1347">
        <v>15000.0</v>
      </c>
      <c r="J274" s="1298">
        <v>800.0</v>
      </c>
      <c r="K274" s="589">
        <f t="shared" si="70"/>
        <v>8000</v>
      </c>
      <c r="L274" s="163"/>
      <c r="N274" s="1291"/>
      <c r="O274" s="370"/>
      <c r="P274" s="1291"/>
      <c r="Q274" s="1291">
        <f t="shared" si="71"/>
        <v>200</v>
      </c>
      <c r="R274" s="1291"/>
      <c r="S274" s="370"/>
    </row>
    <row r="275">
      <c r="A275" s="1344"/>
      <c r="B275" s="1345" t="s">
        <v>6409</v>
      </c>
      <c r="C275" s="1346">
        <v>0.0</v>
      </c>
      <c r="D275" s="163"/>
      <c r="E275" s="1298"/>
      <c r="F275" s="589"/>
      <c r="G275" s="589"/>
      <c r="H275" s="589"/>
      <c r="I275" s="1365"/>
      <c r="J275" s="1298">
        <v>800.0</v>
      </c>
      <c r="K275" s="589"/>
      <c r="L275" s="163"/>
      <c r="N275" s="1291"/>
      <c r="O275" s="370"/>
      <c r="P275" s="1291"/>
      <c r="Q275" s="1291"/>
      <c r="R275" s="1291"/>
      <c r="S275" s="370"/>
    </row>
    <row r="276">
      <c r="A276" s="1344"/>
      <c r="B276" s="1345" t="s">
        <v>6463</v>
      </c>
      <c r="C276" s="1346">
        <v>6.0</v>
      </c>
      <c r="D276" s="163"/>
      <c r="E276" s="1298"/>
      <c r="F276" s="163">
        <v>45.0</v>
      </c>
      <c r="G276" s="163"/>
      <c r="H276" s="163">
        <v>30.0</v>
      </c>
      <c r="I276" s="1347">
        <v>70000.0</v>
      </c>
      <c r="J276" s="1298">
        <v>800.0</v>
      </c>
      <c r="K276" s="589">
        <f>H276*J276</f>
        <v>24000</v>
      </c>
      <c r="L276" s="163"/>
      <c r="N276" s="1291"/>
      <c r="O276" s="370">
        <f t="shared" ref="O276:O279" si="72">C276*F276</f>
        <v>270</v>
      </c>
      <c r="P276" s="1291"/>
      <c r="Q276" s="1291">
        <f>30*10</f>
        <v>300</v>
      </c>
      <c r="R276" s="1291"/>
      <c r="S276" s="370"/>
    </row>
    <row r="277">
      <c r="A277" s="1344"/>
      <c r="B277" s="1345" t="s">
        <v>6411</v>
      </c>
      <c r="C277" s="1346">
        <v>31.0</v>
      </c>
      <c r="D277" s="163"/>
      <c r="E277" s="1298"/>
      <c r="F277" s="163">
        <v>10.5</v>
      </c>
      <c r="G277" s="163"/>
      <c r="H277" s="163"/>
      <c r="I277" s="1347">
        <v>20000.0</v>
      </c>
      <c r="J277" s="1298">
        <v>800.0</v>
      </c>
      <c r="K277" s="589">
        <f t="shared" ref="K277:K279" si="73">J277*H277</f>
        <v>0</v>
      </c>
      <c r="L277" s="163">
        <f t="shared" ref="L277:L279" si="74">H277*C277</f>
        <v>0</v>
      </c>
      <c r="N277" s="1291"/>
      <c r="O277" s="370">
        <f t="shared" si="72"/>
        <v>325.5</v>
      </c>
      <c r="P277" s="1291"/>
      <c r="Q277" s="1291"/>
      <c r="R277" s="1291"/>
      <c r="S277" s="370"/>
    </row>
    <row r="278">
      <c r="A278" s="1344"/>
      <c r="B278" s="1345" t="s">
        <v>6412</v>
      </c>
      <c r="C278" s="1346">
        <v>34.0</v>
      </c>
      <c r="D278" s="163"/>
      <c r="E278" s="1298"/>
      <c r="F278" s="163">
        <v>12.0</v>
      </c>
      <c r="G278" s="163"/>
      <c r="H278" s="163"/>
      <c r="I278" s="1347">
        <v>25000.0</v>
      </c>
      <c r="J278" s="1298">
        <v>800.0</v>
      </c>
      <c r="K278" s="589">
        <f t="shared" si="73"/>
        <v>0</v>
      </c>
      <c r="L278" s="163">
        <f t="shared" si="74"/>
        <v>0</v>
      </c>
      <c r="N278" s="1291"/>
      <c r="O278" s="370">
        <f t="shared" si="72"/>
        <v>408</v>
      </c>
      <c r="P278" s="1291"/>
      <c r="Q278" s="1291"/>
      <c r="R278" s="1291"/>
      <c r="S278" s="370"/>
    </row>
    <row r="279">
      <c r="A279" s="1344"/>
      <c r="B279" s="1345" t="s">
        <v>6484</v>
      </c>
      <c r="C279" s="1346">
        <v>8.0</v>
      </c>
      <c r="D279" s="163"/>
      <c r="E279" s="1298"/>
      <c r="F279" s="163">
        <v>32.0</v>
      </c>
      <c r="G279" s="163"/>
      <c r="H279" s="163"/>
      <c r="I279" s="1347">
        <v>45000.0</v>
      </c>
      <c r="J279" s="1298">
        <v>800.0</v>
      </c>
      <c r="K279" s="589">
        <f t="shared" si="73"/>
        <v>0</v>
      </c>
      <c r="L279" s="163">
        <f t="shared" si="74"/>
        <v>0</v>
      </c>
      <c r="N279" s="1291"/>
      <c r="O279" s="370">
        <f t="shared" si="72"/>
        <v>256</v>
      </c>
      <c r="P279" s="1291"/>
      <c r="Q279" s="1291"/>
      <c r="R279" s="1291"/>
      <c r="S279" s="370"/>
    </row>
    <row r="280">
      <c r="A280" s="1344"/>
      <c r="B280" s="1345" t="s">
        <v>6413</v>
      </c>
      <c r="C280" s="1346">
        <v>0.0</v>
      </c>
      <c r="D280" s="589"/>
      <c r="E280" s="1298"/>
      <c r="F280" s="589"/>
      <c r="G280" s="589"/>
      <c r="H280" s="589"/>
      <c r="I280" s="1365"/>
      <c r="J280" s="1298">
        <v>800.0</v>
      </c>
      <c r="K280" s="589"/>
      <c r="L280" s="589"/>
      <c r="N280" s="1291"/>
      <c r="O280" s="370"/>
      <c r="P280" s="1291"/>
      <c r="Q280" s="1291"/>
      <c r="R280" s="1291"/>
      <c r="S280" s="370"/>
    </row>
    <row r="281">
      <c r="A281" s="1344"/>
      <c r="B281" s="1345" t="s">
        <v>6417</v>
      </c>
      <c r="C281" s="1346">
        <v>6.0</v>
      </c>
      <c r="D281" s="163"/>
      <c r="E281" s="1298">
        <v>42.0</v>
      </c>
      <c r="F281" s="163"/>
      <c r="G281" s="163"/>
      <c r="H281" s="163">
        <v>42.0</v>
      </c>
      <c r="I281" s="1347">
        <v>74000.0</v>
      </c>
      <c r="J281" s="1298">
        <v>800.0</v>
      </c>
      <c r="K281" s="589">
        <f>E281*J281</f>
        <v>33600</v>
      </c>
      <c r="L281" s="163">
        <f t="shared" ref="L281:L282" si="75">C281*E281</f>
        <v>252</v>
      </c>
      <c r="N281" s="1357">
        <f t="shared" ref="N281:N282" si="76">E281*C281</f>
        <v>252</v>
      </c>
      <c r="O281" s="370"/>
      <c r="P281" s="1291">
        <f t="shared" ref="P281:P282" si="77">C281*H281</f>
        <v>252</v>
      </c>
      <c r="Q281" s="1291">
        <f>42*2</f>
        <v>84</v>
      </c>
      <c r="R281" s="1291"/>
      <c r="S281" s="370"/>
    </row>
    <row r="282">
      <c r="A282" s="1344"/>
      <c r="B282" s="1345" t="s">
        <v>6418</v>
      </c>
      <c r="C282" s="1346">
        <v>5.0</v>
      </c>
      <c r="D282" s="589"/>
      <c r="E282" s="1298">
        <v>42.0</v>
      </c>
      <c r="F282" s="163"/>
      <c r="G282" s="163"/>
      <c r="H282" s="163">
        <v>42.0</v>
      </c>
      <c r="I282" s="1347">
        <v>74000.0</v>
      </c>
      <c r="J282" s="1298">
        <v>800.0</v>
      </c>
      <c r="K282" s="589">
        <f>H282*J282</f>
        <v>33600</v>
      </c>
      <c r="L282" s="163">
        <f t="shared" si="75"/>
        <v>210</v>
      </c>
      <c r="N282" s="1357">
        <f t="shared" si="76"/>
        <v>210</v>
      </c>
      <c r="O282" s="370"/>
      <c r="P282" s="1291">
        <f t="shared" si="77"/>
        <v>210</v>
      </c>
      <c r="Q282" s="1291">
        <f>6*42</f>
        <v>252</v>
      </c>
      <c r="R282" s="1291"/>
      <c r="S282" s="370"/>
    </row>
    <row r="283">
      <c r="A283" s="1305"/>
      <c r="B283" s="1358" t="s">
        <v>6371</v>
      </c>
      <c r="C283" s="1346">
        <v>0.0</v>
      </c>
      <c r="D283" s="589"/>
      <c r="E283" s="1301"/>
      <c r="F283" s="39"/>
      <c r="G283" s="589"/>
      <c r="H283" s="589"/>
      <c r="I283" s="1365"/>
      <c r="J283" s="1298">
        <v>800.0</v>
      </c>
      <c r="K283" s="589"/>
      <c r="L283" s="589"/>
      <c r="N283" s="1291"/>
      <c r="O283" s="370"/>
      <c r="P283" s="1291"/>
      <c r="Q283" s="1291"/>
      <c r="R283" s="1291"/>
      <c r="S283" s="370"/>
    </row>
    <row r="284">
      <c r="A284" s="1344"/>
      <c r="B284" s="1345" t="s">
        <v>1609</v>
      </c>
      <c r="C284" s="1346">
        <v>0.0</v>
      </c>
      <c r="D284" s="589"/>
      <c r="E284" s="1298"/>
      <c r="F284" s="163"/>
      <c r="G284" s="589"/>
      <c r="H284" s="589"/>
      <c r="I284" s="1347">
        <v>60000.0</v>
      </c>
      <c r="J284" s="1298">
        <v>800.0</v>
      </c>
      <c r="K284" s="589"/>
      <c r="L284" s="163"/>
      <c r="N284" s="1291"/>
      <c r="O284" s="370"/>
      <c r="P284" s="1291"/>
      <c r="Q284" s="1291"/>
      <c r="R284" s="1291"/>
      <c r="S284" s="370"/>
    </row>
    <row r="285">
      <c r="A285" s="1344"/>
      <c r="B285" s="1345" t="s">
        <v>6465</v>
      </c>
      <c r="C285" s="1346">
        <v>0.0</v>
      </c>
      <c r="D285" s="163"/>
      <c r="E285" s="1348"/>
      <c r="F285" s="163"/>
      <c r="G285" s="163"/>
      <c r="H285" s="163"/>
      <c r="I285" s="1347">
        <v>1000.0</v>
      </c>
      <c r="J285" s="1298">
        <v>800.0</v>
      </c>
      <c r="K285" s="589"/>
      <c r="L285" s="163"/>
      <c r="N285" s="1291"/>
      <c r="O285" s="370"/>
      <c r="P285" s="1291"/>
      <c r="Q285" s="1291"/>
      <c r="R285" s="1291"/>
      <c r="S285" s="370"/>
    </row>
    <row r="286">
      <c r="A286" s="1344"/>
      <c r="B286" s="1345" t="s">
        <v>6485</v>
      </c>
      <c r="C286" s="1346">
        <v>6.0</v>
      </c>
      <c r="D286" s="163"/>
      <c r="E286" s="1298"/>
      <c r="F286" s="163">
        <v>5.5</v>
      </c>
      <c r="G286" s="163"/>
      <c r="H286" s="163"/>
      <c r="I286" s="1365"/>
      <c r="J286" s="1298">
        <v>800.0</v>
      </c>
      <c r="K286" s="589"/>
      <c r="L286" s="163"/>
      <c r="N286" s="1291"/>
      <c r="O286" s="370">
        <f>C286*F286</f>
        <v>33</v>
      </c>
      <c r="P286" s="1291"/>
      <c r="Q286" s="1291"/>
      <c r="R286" s="1291"/>
      <c r="S286" s="370"/>
    </row>
    <row r="287">
      <c r="A287" s="1344"/>
      <c r="B287" s="1345" t="s">
        <v>6420</v>
      </c>
      <c r="C287" s="1346">
        <v>2.0</v>
      </c>
      <c r="D287" s="163"/>
      <c r="E287" s="1298"/>
      <c r="F287" s="163"/>
      <c r="G287" s="163"/>
      <c r="H287" s="163">
        <v>10.5</v>
      </c>
      <c r="I287" s="1347">
        <v>25000.0</v>
      </c>
      <c r="J287" s="1298">
        <v>800.0</v>
      </c>
      <c r="K287" s="589">
        <f t="shared" ref="K287:K288" si="78">H287*J287</f>
        <v>8400</v>
      </c>
      <c r="L287" s="163"/>
      <c r="N287" s="1291"/>
      <c r="O287" s="370"/>
      <c r="P287" s="1291">
        <f>C287*H287</f>
        <v>21</v>
      </c>
      <c r="Q287" s="1291"/>
      <c r="R287" s="1291"/>
      <c r="S287" s="370"/>
    </row>
    <row r="288">
      <c r="A288" s="1344"/>
      <c r="B288" s="1345" t="s">
        <v>6419</v>
      </c>
      <c r="C288" s="1346">
        <v>8.0</v>
      </c>
      <c r="D288" s="163"/>
      <c r="E288" s="1298">
        <v>20.0</v>
      </c>
      <c r="F288" s="589"/>
      <c r="G288" s="163"/>
      <c r="H288" s="163">
        <v>19.0</v>
      </c>
      <c r="I288" s="1347">
        <v>25000.0</v>
      </c>
      <c r="J288" s="1298">
        <v>800.0</v>
      </c>
      <c r="K288" s="589">
        <f t="shared" si="78"/>
        <v>15200</v>
      </c>
      <c r="L288" s="163">
        <f>C288*E288</f>
        <v>160</v>
      </c>
      <c r="N288" s="1357">
        <f>E288*C288</f>
        <v>160</v>
      </c>
      <c r="O288" s="370"/>
      <c r="P288" s="1357">
        <v>190.0</v>
      </c>
      <c r="Q288" s="1357"/>
      <c r="R288" s="1357"/>
      <c r="S288" s="370"/>
    </row>
    <row r="289">
      <c r="A289" s="1344"/>
      <c r="B289" s="1345" t="s">
        <v>6464</v>
      </c>
      <c r="C289" s="1346">
        <v>0.0</v>
      </c>
      <c r="D289" s="163"/>
      <c r="E289" s="1348"/>
      <c r="F289" s="163"/>
      <c r="G289" s="163"/>
      <c r="H289" s="163"/>
      <c r="I289" s="1347">
        <v>25000.0</v>
      </c>
      <c r="J289" s="1298">
        <v>800.0</v>
      </c>
      <c r="K289" s="589"/>
      <c r="L289" s="163"/>
      <c r="N289" s="1291"/>
      <c r="O289" s="370"/>
      <c r="P289" s="1291"/>
      <c r="Q289" s="1291"/>
      <c r="R289" s="1291"/>
      <c r="S289" s="370"/>
    </row>
    <row r="290">
      <c r="A290" s="1344"/>
      <c r="B290" s="1345" t="s">
        <v>6486</v>
      </c>
      <c r="C290" s="1346">
        <v>4.0</v>
      </c>
      <c r="D290" s="163"/>
      <c r="E290" s="1298"/>
      <c r="F290" s="163">
        <v>20.0</v>
      </c>
      <c r="G290" s="589"/>
      <c r="H290" s="589"/>
      <c r="I290" s="1347"/>
      <c r="J290" s="1298"/>
      <c r="K290" s="589"/>
      <c r="L290" s="163"/>
      <c r="N290" s="1291"/>
      <c r="O290" s="370">
        <f>C290*F290</f>
        <v>80</v>
      </c>
      <c r="P290" s="1291"/>
      <c r="Q290" s="1291"/>
      <c r="R290" s="1291"/>
      <c r="S290" s="370"/>
    </row>
    <row r="291">
      <c r="A291" s="1344"/>
      <c r="B291" s="1345" t="s">
        <v>6421</v>
      </c>
      <c r="C291" s="1346">
        <v>2.0</v>
      </c>
      <c r="D291" s="163"/>
      <c r="E291" s="1298">
        <v>87.0</v>
      </c>
      <c r="F291" s="589"/>
      <c r="G291" s="163"/>
      <c r="H291" s="163">
        <v>57.3</v>
      </c>
      <c r="I291" s="1347">
        <v>120000.0</v>
      </c>
      <c r="J291" s="1298">
        <v>800.0</v>
      </c>
      <c r="K291" s="589">
        <f>H291*J291</f>
        <v>45840</v>
      </c>
      <c r="L291" s="163">
        <f t="shared" ref="L291:L292" si="79">C291*E291</f>
        <v>174</v>
      </c>
      <c r="N291" s="1357">
        <f t="shared" ref="N291:N292" si="80">E291*C291</f>
        <v>174</v>
      </c>
      <c r="O291" s="370"/>
      <c r="P291" s="1291">
        <f>C291*H291</f>
        <v>114.6</v>
      </c>
      <c r="Q291" s="1291"/>
      <c r="R291" s="1291"/>
      <c r="S291" s="370"/>
    </row>
    <row r="292">
      <c r="A292" s="1344"/>
      <c r="B292" s="1345" t="s">
        <v>6373</v>
      </c>
      <c r="C292" s="1346">
        <v>1.0</v>
      </c>
      <c r="D292" s="163"/>
      <c r="E292" s="1298">
        <v>76.8</v>
      </c>
      <c r="F292" s="589"/>
      <c r="G292" s="589"/>
      <c r="H292" s="589"/>
      <c r="I292" s="1347">
        <v>120000.0</v>
      </c>
      <c r="J292" s="1298">
        <v>800.0</v>
      </c>
      <c r="K292" s="589">
        <f>E292*J292</f>
        <v>61440</v>
      </c>
      <c r="L292" s="163">
        <f t="shared" si="79"/>
        <v>76.8</v>
      </c>
      <c r="N292" s="1357">
        <f t="shared" si="80"/>
        <v>76.8</v>
      </c>
      <c r="O292" s="370"/>
      <c r="P292" s="1291"/>
      <c r="Q292" s="1291"/>
      <c r="R292" s="1291"/>
      <c r="S292" s="370"/>
    </row>
    <row r="293">
      <c r="A293" s="1344"/>
      <c r="B293" s="1345" t="s">
        <v>6466</v>
      </c>
      <c r="C293" s="1346">
        <v>0.0</v>
      </c>
      <c r="D293" s="163"/>
      <c r="E293" s="1298"/>
      <c r="F293" s="163"/>
      <c r="G293" s="589"/>
      <c r="H293" s="589"/>
      <c r="I293" s="1347">
        <v>80000.0</v>
      </c>
      <c r="J293" s="1298">
        <v>800.0</v>
      </c>
      <c r="K293" s="589"/>
      <c r="L293" s="163"/>
      <c r="N293" s="1291"/>
      <c r="O293" s="370"/>
      <c r="P293" s="1291"/>
      <c r="Q293" s="1291"/>
      <c r="R293" s="1291"/>
      <c r="S293" s="370"/>
    </row>
    <row r="294">
      <c r="A294" s="1344"/>
      <c r="B294" s="1345" t="s">
        <v>6425</v>
      </c>
      <c r="C294" s="1346">
        <v>0.0</v>
      </c>
      <c r="D294" s="163"/>
      <c r="E294" s="1298"/>
      <c r="F294" s="589"/>
      <c r="G294" s="589"/>
      <c r="H294" s="589"/>
      <c r="I294" s="1364"/>
      <c r="J294" s="1298">
        <v>800.0</v>
      </c>
      <c r="K294" s="589"/>
      <c r="L294" s="163"/>
      <c r="N294" s="1291"/>
      <c r="O294" s="370"/>
      <c r="P294" s="1291"/>
      <c r="Q294" s="1291"/>
      <c r="R294" s="1291"/>
      <c r="S294" s="370"/>
    </row>
    <row r="295">
      <c r="A295" s="1344"/>
      <c r="B295" s="1345" t="s">
        <v>6487</v>
      </c>
      <c r="C295" s="1346">
        <v>4.0</v>
      </c>
      <c r="D295" s="589"/>
      <c r="E295" s="1298">
        <v>13.6</v>
      </c>
      <c r="F295" s="589"/>
      <c r="G295" s="589"/>
      <c r="H295" s="589"/>
      <c r="I295" s="1347">
        <v>30000.0</v>
      </c>
      <c r="J295" s="1298">
        <v>800.0</v>
      </c>
      <c r="K295" s="589">
        <f>E295*J295</f>
        <v>10880</v>
      </c>
      <c r="L295" s="163">
        <f>C295*E295</f>
        <v>54.4</v>
      </c>
      <c r="N295" s="1357">
        <f>E295*C295</f>
        <v>54.4</v>
      </c>
      <c r="O295" s="370"/>
      <c r="P295" s="1291"/>
      <c r="Q295" s="1291"/>
      <c r="R295" s="1291"/>
      <c r="S295" s="370"/>
    </row>
    <row r="296">
      <c r="A296" s="1344"/>
      <c r="B296" s="1345" t="s">
        <v>6424</v>
      </c>
      <c r="C296" s="1346">
        <v>0.0</v>
      </c>
      <c r="D296" s="589"/>
      <c r="E296" s="1298"/>
      <c r="F296" s="589"/>
      <c r="G296" s="589"/>
      <c r="H296" s="589"/>
      <c r="I296" s="1365"/>
      <c r="J296" s="1298">
        <v>800.0</v>
      </c>
      <c r="K296" s="589"/>
      <c r="L296" s="589"/>
      <c r="N296" s="1291"/>
      <c r="O296" s="370"/>
      <c r="P296" s="1291"/>
      <c r="Q296" s="1291"/>
      <c r="R296" s="1291"/>
      <c r="S296" s="370"/>
    </row>
    <row r="297">
      <c r="A297" s="1344"/>
      <c r="B297" s="1345" t="s">
        <v>6423</v>
      </c>
      <c r="C297" s="1346">
        <v>0.0</v>
      </c>
      <c r="D297" s="589"/>
      <c r="E297" s="1298"/>
      <c r="F297" s="589"/>
      <c r="G297" s="589"/>
      <c r="H297" s="589"/>
      <c r="I297" s="1365"/>
      <c r="J297" s="1298">
        <v>800.0</v>
      </c>
      <c r="K297" s="589"/>
      <c r="L297" s="589"/>
      <c r="N297" s="1291"/>
      <c r="O297" s="370"/>
      <c r="P297" s="1291"/>
      <c r="Q297" s="1291"/>
      <c r="R297" s="1291"/>
      <c r="S297" s="370"/>
    </row>
    <row r="298">
      <c r="A298" s="1344"/>
      <c r="B298" s="1345" t="s">
        <v>6422</v>
      </c>
      <c r="C298" s="1346">
        <v>0.0</v>
      </c>
      <c r="D298" s="589"/>
      <c r="E298" s="1298"/>
      <c r="F298" s="589"/>
      <c r="G298" s="589"/>
      <c r="H298" s="589"/>
      <c r="I298" s="1365"/>
      <c r="J298" s="1298">
        <v>800.0</v>
      </c>
      <c r="K298" s="589"/>
      <c r="L298" s="589"/>
      <c r="N298" s="1291"/>
      <c r="O298" s="370"/>
      <c r="P298" s="1291"/>
      <c r="Q298" s="1291"/>
      <c r="R298" s="1291"/>
      <c r="S298" s="370"/>
    </row>
    <row r="299">
      <c r="A299" s="1344"/>
      <c r="B299" s="1345" t="s">
        <v>6488</v>
      </c>
      <c r="C299" s="1346">
        <v>100.0</v>
      </c>
      <c r="D299" s="589"/>
      <c r="E299" s="1298">
        <f>16.15/100</f>
        <v>0.1615</v>
      </c>
      <c r="F299" s="589"/>
      <c r="G299" s="589"/>
      <c r="H299" s="589"/>
      <c r="I299" s="1347">
        <v>500.0</v>
      </c>
      <c r="J299" s="1298">
        <v>800.0</v>
      </c>
      <c r="K299" s="589">
        <f>E299*J299</f>
        <v>129.2</v>
      </c>
      <c r="L299" s="163">
        <f>C299*E299</f>
        <v>16.15</v>
      </c>
      <c r="N299" s="1357">
        <f>E299*C299</f>
        <v>16.15</v>
      </c>
      <c r="O299" s="370"/>
      <c r="P299" s="1291"/>
      <c r="Q299" s="1291"/>
      <c r="R299" s="1291"/>
      <c r="S299" s="370"/>
    </row>
    <row r="300">
      <c r="A300" s="1344"/>
      <c r="B300" s="1345" t="s">
        <v>6426</v>
      </c>
      <c r="C300" s="1346">
        <v>0.0</v>
      </c>
      <c r="D300" s="163"/>
      <c r="E300" s="1298"/>
      <c r="F300" s="163"/>
      <c r="G300" s="589"/>
      <c r="H300" s="589"/>
      <c r="I300" s="1365"/>
      <c r="J300" s="1298">
        <v>800.0</v>
      </c>
      <c r="K300" s="589"/>
      <c r="L300" s="163"/>
      <c r="N300" s="1291"/>
      <c r="O300" s="370"/>
      <c r="P300" s="1291"/>
      <c r="Q300" s="1291"/>
      <c r="R300" s="1291"/>
      <c r="S300" s="370"/>
    </row>
    <row r="301">
      <c r="A301" s="1344"/>
      <c r="B301" s="1345" t="s">
        <v>6427</v>
      </c>
      <c r="C301" s="1346">
        <v>0.0</v>
      </c>
      <c r="D301" s="163"/>
      <c r="E301" s="1298"/>
      <c r="F301" s="163"/>
      <c r="G301" s="589"/>
      <c r="H301" s="589"/>
      <c r="I301" s="1365"/>
      <c r="J301" s="1298">
        <v>800.0</v>
      </c>
      <c r="K301" s="589"/>
      <c r="L301" s="163"/>
      <c r="N301" s="1291"/>
      <c r="O301" s="370"/>
      <c r="P301" s="1291"/>
      <c r="Q301" s="1291"/>
      <c r="R301" s="1291"/>
      <c r="S301" s="370"/>
    </row>
    <row r="302">
      <c r="A302" s="1344"/>
      <c r="B302" s="1345" t="s">
        <v>6428</v>
      </c>
      <c r="C302" s="1346">
        <v>0.0</v>
      </c>
      <c r="D302" s="163"/>
      <c r="E302" s="1298"/>
      <c r="F302" s="589"/>
      <c r="G302" s="589"/>
      <c r="H302" s="589"/>
      <c r="I302" s="1365"/>
      <c r="J302" s="1298">
        <v>800.0</v>
      </c>
      <c r="K302" s="589"/>
      <c r="L302" s="163"/>
      <c r="N302" s="1291"/>
      <c r="O302" s="370"/>
      <c r="P302" s="1291"/>
      <c r="Q302" s="1291"/>
      <c r="R302" s="1291"/>
      <c r="S302" s="370"/>
    </row>
    <row r="303">
      <c r="A303" s="1344"/>
      <c r="B303" s="1345" t="s">
        <v>6489</v>
      </c>
      <c r="C303" s="1346">
        <v>10.0</v>
      </c>
      <c r="D303" s="163"/>
      <c r="E303" s="1298">
        <v>20.3</v>
      </c>
      <c r="F303" s="163"/>
      <c r="G303" s="163"/>
      <c r="H303" s="163">
        <v>20.0</v>
      </c>
      <c r="I303" s="1347">
        <v>36000.0</v>
      </c>
      <c r="J303" s="1298">
        <v>800.0</v>
      </c>
      <c r="K303" s="589">
        <f>H303*J303</f>
        <v>16000</v>
      </c>
      <c r="L303" s="163">
        <f>C303*E303</f>
        <v>203</v>
      </c>
      <c r="N303" s="1357">
        <f>E303*C303</f>
        <v>203</v>
      </c>
      <c r="O303" s="370"/>
      <c r="P303" s="1291">
        <f>C303*H303</f>
        <v>200</v>
      </c>
      <c r="Q303" s="1291"/>
      <c r="R303" s="1291"/>
      <c r="S303" s="370"/>
    </row>
    <row r="304">
      <c r="A304" s="1344"/>
      <c r="B304" s="1345" t="s">
        <v>6429</v>
      </c>
      <c r="C304" s="1346">
        <v>0.0</v>
      </c>
      <c r="D304" s="163"/>
      <c r="E304" s="1298"/>
      <c r="F304" s="589"/>
      <c r="G304" s="589"/>
      <c r="H304" s="589"/>
      <c r="I304" s="1364"/>
      <c r="J304" s="1298">
        <v>800.0</v>
      </c>
      <c r="K304" s="589"/>
      <c r="L304" s="163"/>
      <c r="N304" s="1291"/>
      <c r="O304" s="370"/>
      <c r="P304" s="1291"/>
      <c r="Q304" s="1291"/>
      <c r="R304" s="1291"/>
      <c r="S304" s="370"/>
    </row>
    <row r="305">
      <c r="A305" s="1344"/>
      <c r="B305" s="1345" t="s">
        <v>6430</v>
      </c>
      <c r="C305" s="1346">
        <v>0.0</v>
      </c>
      <c r="D305" s="163"/>
      <c r="E305" s="1298"/>
      <c r="F305" s="589"/>
      <c r="G305" s="589"/>
      <c r="H305" s="589"/>
      <c r="I305" s="1364"/>
      <c r="J305" s="1298">
        <v>800.0</v>
      </c>
      <c r="K305" s="589"/>
      <c r="L305" s="163"/>
      <c r="N305" s="1291"/>
      <c r="O305" s="370"/>
      <c r="P305" s="1291"/>
      <c r="Q305" s="1291"/>
      <c r="R305" s="1291"/>
      <c r="S305" s="370"/>
    </row>
    <row r="306">
      <c r="A306" s="1344"/>
      <c r="B306" s="1345" t="s">
        <v>6431</v>
      </c>
      <c r="C306" s="1346">
        <v>0.0</v>
      </c>
      <c r="D306" s="163"/>
      <c r="E306" s="1298"/>
      <c r="F306" s="589"/>
      <c r="G306" s="589"/>
      <c r="H306" s="589"/>
      <c r="I306" s="1364"/>
      <c r="J306" s="1298">
        <v>800.0</v>
      </c>
      <c r="K306" s="589"/>
      <c r="L306" s="163"/>
      <c r="N306" s="1291"/>
      <c r="O306" s="370"/>
      <c r="P306" s="1291"/>
      <c r="Q306" s="1291"/>
      <c r="R306" s="1291"/>
      <c r="S306" s="370"/>
    </row>
    <row r="307">
      <c r="A307" s="1344"/>
      <c r="B307" s="1345" t="s">
        <v>6432</v>
      </c>
      <c r="C307" s="1346">
        <v>0.0</v>
      </c>
      <c r="D307" s="163"/>
      <c r="E307" s="1298"/>
      <c r="F307" s="589"/>
      <c r="G307" s="589"/>
      <c r="H307" s="589"/>
      <c r="I307" s="1364"/>
      <c r="J307" s="1298">
        <v>800.0</v>
      </c>
      <c r="K307" s="589"/>
      <c r="L307" s="163"/>
      <c r="N307" s="1291"/>
      <c r="O307" s="370"/>
      <c r="P307" s="1291"/>
      <c r="Q307" s="1291"/>
      <c r="R307" s="1291"/>
      <c r="S307" s="370"/>
    </row>
    <row r="308">
      <c r="A308" s="1344"/>
      <c r="B308" s="1345" t="s">
        <v>2400</v>
      </c>
      <c r="C308" s="1346">
        <v>0.0</v>
      </c>
      <c r="D308" s="163"/>
      <c r="E308" s="1298"/>
      <c r="F308" s="163"/>
      <c r="G308" s="589"/>
      <c r="H308" s="589"/>
      <c r="I308" s="1365"/>
      <c r="J308" s="1298">
        <v>800.0</v>
      </c>
      <c r="K308" s="589"/>
      <c r="L308" s="163"/>
      <c r="N308" s="1291"/>
      <c r="O308" s="370"/>
      <c r="P308" s="1291"/>
      <c r="Q308" s="1291"/>
      <c r="R308" s="1291"/>
      <c r="S308" s="370"/>
    </row>
    <row r="309">
      <c r="A309" s="1344"/>
      <c r="B309" s="1345" t="s">
        <v>2402</v>
      </c>
      <c r="C309" s="1346">
        <v>35.0</v>
      </c>
      <c r="D309" s="163"/>
      <c r="E309" s="1298">
        <v>17.0</v>
      </c>
      <c r="F309" s="589"/>
      <c r="G309" s="589"/>
      <c r="H309" s="589"/>
      <c r="I309" s="1347">
        <v>30000.0</v>
      </c>
      <c r="J309" s="1298">
        <v>800.0</v>
      </c>
      <c r="K309" s="589">
        <f>E309*J309</f>
        <v>13600</v>
      </c>
      <c r="L309" s="163">
        <f>C309*E309</f>
        <v>595</v>
      </c>
      <c r="N309" s="1357">
        <f>E309*C309</f>
        <v>595</v>
      </c>
      <c r="O309" s="370"/>
      <c r="P309" s="1291"/>
      <c r="Q309" s="1291"/>
      <c r="R309" s="1291"/>
      <c r="S309" s="370"/>
    </row>
    <row r="310">
      <c r="A310" s="1344"/>
      <c r="B310" s="1345" t="s">
        <v>2405</v>
      </c>
      <c r="C310" s="1346">
        <v>0.0</v>
      </c>
      <c r="D310" s="163"/>
      <c r="E310" s="1298"/>
      <c r="F310" s="589"/>
      <c r="G310" s="589"/>
      <c r="H310" s="589"/>
      <c r="I310" s="1365"/>
      <c r="J310" s="1298">
        <v>800.0</v>
      </c>
      <c r="K310" s="589"/>
      <c r="L310" s="163"/>
      <c r="N310" s="1291"/>
      <c r="O310" s="370"/>
      <c r="P310" s="1291"/>
      <c r="Q310" s="1291"/>
      <c r="R310" s="1291"/>
      <c r="S310" s="370"/>
    </row>
    <row r="311">
      <c r="A311" s="1344"/>
      <c r="B311" s="1345" t="s">
        <v>2406</v>
      </c>
      <c r="C311" s="1346">
        <v>0.0</v>
      </c>
      <c r="D311" s="163"/>
      <c r="E311" s="1298"/>
      <c r="F311" s="589"/>
      <c r="G311" s="589"/>
      <c r="H311" s="589"/>
      <c r="I311" s="1365"/>
      <c r="J311" s="1298">
        <v>800.0</v>
      </c>
      <c r="K311" s="589"/>
      <c r="L311" s="163"/>
      <c r="N311" s="1291"/>
      <c r="O311" s="370"/>
      <c r="P311" s="1291"/>
      <c r="Q311" s="1291"/>
      <c r="R311" s="1291"/>
      <c r="S311" s="370"/>
    </row>
    <row r="312">
      <c r="A312" s="1344" t="s">
        <v>6480</v>
      </c>
      <c r="B312" s="1345" t="s">
        <v>6433</v>
      </c>
      <c r="C312" s="1346"/>
      <c r="D312" s="163"/>
      <c r="E312" s="1298"/>
      <c r="F312" s="589"/>
      <c r="G312" s="589"/>
      <c r="H312" s="589"/>
      <c r="I312" s="1365"/>
      <c r="J312" s="1298">
        <v>800.0</v>
      </c>
      <c r="K312" s="589"/>
      <c r="L312" s="163"/>
      <c r="N312" s="1291"/>
      <c r="O312" s="370"/>
      <c r="P312" s="1291"/>
      <c r="Q312" s="1291"/>
      <c r="R312" s="1291"/>
      <c r="S312" s="370"/>
    </row>
    <row r="313">
      <c r="A313" s="1344"/>
      <c r="B313" s="1345" t="s">
        <v>6490</v>
      </c>
      <c r="C313" s="1346">
        <v>2.0</v>
      </c>
      <c r="D313" s="163"/>
      <c r="E313" s="1298">
        <f>53.35/2</f>
        <v>26.675</v>
      </c>
      <c r="F313" s="589"/>
      <c r="G313" s="589"/>
      <c r="H313" s="589"/>
      <c r="I313" s="1347">
        <v>55000.0</v>
      </c>
      <c r="J313" s="1298">
        <v>800.0</v>
      </c>
      <c r="K313" s="589">
        <f>E313*J313</f>
        <v>21340</v>
      </c>
      <c r="L313" s="163">
        <f>C313*E313</f>
        <v>53.35</v>
      </c>
      <c r="N313" s="1357">
        <f>E313*C313</f>
        <v>53.35</v>
      </c>
      <c r="O313" s="370"/>
      <c r="P313" s="1291"/>
      <c r="Q313" s="1291"/>
      <c r="R313" s="1291"/>
      <c r="S313" s="370"/>
    </row>
    <row r="314">
      <c r="A314" s="1344"/>
      <c r="B314" s="1345" t="s">
        <v>6467</v>
      </c>
      <c r="C314" s="1346">
        <v>0.0</v>
      </c>
      <c r="D314" s="163"/>
      <c r="E314" s="1298"/>
      <c r="F314" s="589"/>
      <c r="G314" s="589"/>
      <c r="H314" s="589"/>
      <c r="I314" s="1347">
        <v>50000.0</v>
      </c>
      <c r="J314" s="1298">
        <v>800.0</v>
      </c>
      <c r="K314" s="589"/>
      <c r="L314" s="163"/>
      <c r="N314" s="1291"/>
      <c r="O314" s="370"/>
      <c r="P314" s="1291"/>
      <c r="Q314" s="1291"/>
      <c r="R314" s="1291"/>
      <c r="S314" s="370"/>
    </row>
    <row r="315">
      <c r="A315" s="1344"/>
      <c r="B315" s="1345" t="s">
        <v>6468</v>
      </c>
      <c r="C315" s="1346">
        <v>0.0</v>
      </c>
      <c r="D315" s="163"/>
      <c r="E315" s="1298"/>
      <c r="F315" s="589"/>
      <c r="G315" s="589"/>
      <c r="H315" s="589"/>
      <c r="I315" s="1347">
        <v>65000.0</v>
      </c>
      <c r="J315" s="1298">
        <v>800.0</v>
      </c>
      <c r="K315" s="589"/>
      <c r="L315" s="163"/>
      <c r="N315" s="1291"/>
      <c r="O315" s="370"/>
      <c r="P315" s="1291"/>
      <c r="Q315" s="1291"/>
      <c r="R315" s="1291"/>
      <c r="S315" s="370"/>
    </row>
    <row r="316">
      <c r="A316" s="1344"/>
      <c r="B316" s="1345" t="s">
        <v>6434</v>
      </c>
      <c r="C316" s="1346">
        <v>0.0</v>
      </c>
      <c r="D316" s="163"/>
      <c r="E316" s="1298"/>
      <c r="F316" s="163"/>
      <c r="G316" s="589"/>
      <c r="H316" s="589"/>
      <c r="I316" s="1365"/>
      <c r="J316" s="1298">
        <v>800.0</v>
      </c>
      <c r="K316" s="589"/>
      <c r="L316" s="163"/>
      <c r="N316" s="1291"/>
      <c r="O316" s="370"/>
      <c r="P316" s="1291"/>
      <c r="Q316" s="1291"/>
      <c r="R316" s="1291"/>
      <c r="S316" s="370"/>
    </row>
    <row r="317">
      <c r="A317" s="1344"/>
      <c r="B317" s="1345" t="s">
        <v>2767</v>
      </c>
      <c r="C317" s="1346">
        <v>4.0</v>
      </c>
      <c r="D317" s="163"/>
      <c r="E317" s="1298"/>
      <c r="F317" s="163">
        <v>16.0</v>
      </c>
      <c r="G317" s="589"/>
      <c r="H317" s="589"/>
      <c r="I317" s="1365"/>
      <c r="J317" s="1298">
        <v>800.0</v>
      </c>
      <c r="K317" s="589"/>
      <c r="L317" s="163"/>
      <c r="N317" s="1291"/>
      <c r="O317" s="370">
        <f>C317*F317</f>
        <v>64</v>
      </c>
      <c r="P317" s="1291"/>
      <c r="Q317" s="1291"/>
      <c r="R317" s="1291"/>
      <c r="S317" s="370"/>
    </row>
    <row r="318">
      <c r="A318" s="1366"/>
      <c r="B318" s="1367" t="s">
        <v>6491</v>
      </c>
      <c r="C318" s="1346">
        <v>5.0</v>
      </c>
      <c r="D318" s="589"/>
      <c r="E318" s="1301"/>
      <c r="F318" s="589"/>
      <c r="G318" s="163"/>
      <c r="H318" s="163">
        <v>119.0</v>
      </c>
      <c r="I318" s="1365"/>
      <c r="J318" s="1298">
        <v>800.0</v>
      </c>
      <c r="K318" s="589">
        <f t="shared" ref="K318:K319" si="81">H318*J318</f>
        <v>95200</v>
      </c>
      <c r="L318" s="589"/>
      <c r="N318" s="1291"/>
      <c r="O318" s="370"/>
      <c r="P318" s="1291">
        <f t="shared" ref="P318:P319" si="82">C318*H318</f>
        <v>595</v>
      </c>
      <c r="Q318" s="1291"/>
      <c r="R318" s="1291"/>
      <c r="S318" s="370"/>
    </row>
    <row r="319">
      <c r="A319" s="1366"/>
      <c r="B319" s="1367" t="s">
        <v>6492</v>
      </c>
      <c r="C319" s="1346">
        <v>4.0</v>
      </c>
      <c r="D319" s="589"/>
      <c r="E319" s="1301"/>
      <c r="F319" s="589"/>
      <c r="G319" s="163"/>
      <c r="H319" s="163">
        <v>8.0</v>
      </c>
      <c r="I319" s="1365"/>
      <c r="J319" s="1298">
        <v>800.0</v>
      </c>
      <c r="K319" s="589">
        <f t="shared" si="81"/>
        <v>6400</v>
      </c>
      <c r="L319" s="589"/>
      <c r="N319" s="1291"/>
      <c r="O319" s="370"/>
      <c r="P319" s="1291">
        <f t="shared" si="82"/>
        <v>32</v>
      </c>
      <c r="Q319" s="1291"/>
      <c r="R319" s="1291"/>
      <c r="S319" s="370"/>
    </row>
    <row r="320">
      <c r="A320" s="1359"/>
      <c r="B320" s="1360" t="s">
        <v>6470</v>
      </c>
      <c r="C320" s="1346"/>
      <c r="D320" s="589"/>
      <c r="E320" s="1301"/>
      <c r="F320" s="589"/>
      <c r="G320" s="589"/>
      <c r="H320" s="589"/>
      <c r="I320" s="1365"/>
      <c r="J320" s="1298">
        <v>800.0</v>
      </c>
      <c r="K320" s="589"/>
      <c r="L320" s="589"/>
      <c r="N320" s="1291"/>
      <c r="O320" s="370"/>
      <c r="P320" s="1291"/>
      <c r="Q320" s="1291"/>
      <c r="R320" s="1291"/>
      <c r="S320" s="370"/>
    </row>
    <row r="321">
      <c r="A321" s="1366"/>
      <c r="B321" s="1367" t="s">
        <v>6493</v>
      </c>
      <c r="C321" s="1346">
        <f>4*16</f>
        <v>64</v>
      </c>
      <c r="D321" s="589"/>
      <c r="E321" s="1301"/>
      <c r="F321" s="589"/>
      <c r="G321" s="589"/>
      <c r="H321" s="589">
        <f>85/16</f>
        <v>5.3125</v>
      </c>
      <c r="I321" s="1365"/>
      <c r="J321" s="1298">
        <v>800.0</v>
      </c>
      <c r="K321" s="589">
        <f t="shared" ref="K321:K324" si="83">H321*J321</f>
        <v>4250</v>
      </c>
      <c r="L321" s="589"/>
      <c r="N321" s="1291"/>
      <c r="O321" s="370"/>
      <c r="P321" s="1291">
        <f t="shared" ref="P321:P323" si="84">C321*H321</f>
        <v>340</v>
      </c>
      <c r="Q321" s="1291"/>
      <c r="R321" s="1291"/>
      <c r="S321" s="370"/>
    </row>
    <row r="322">
      <c r="A322" s="1366"/>
      <c r="B322" s="1367" t="s">
        <v>6494</v>
      </c>
      <c r="C322" s="1346">
        <f>10*2</f>
        <v>20</v>
      </c>
      <c r="D322" s="589"/>
      <c r="E322" s="1301"/>
      <c r="F322" s="589"/>
      <c r="G322" s="163"/>
      <c r="H322" s="163">
        <f>125/2</f>
        <v>62.5</v>
      </c>
      <c r="I322" s="1365"/>
      <c r="J322" s="1298">
        <v>800.0</v>
      </c>
      <c r="K322" s="589">
        <f t="shared" si="83"/>
        <v>50000</v>
      </c>
      <c r="L322" s="589"/>
      <c r="N322" s="1291"/>
      <c r="O322" s="370"/>
      <c r="P322" s="1291">
        <f t="shared" si="84"/>
        <v>1250</v>
      </c>
      <c r="Q322" s="1291"/>
      <c r="R322" s="1291"/>
      <c r="S322" s="370"/>
    </row>
    <row r="323">
      <c r="A323" s="1366"/>
      <c r="B323" s="1367" t="s">
        <v>6495</v>
      </c>
      <c r="C323" s="1346">
        <v>12.0</v>
      </c>
      <c r="D323" s="589"/>
      <c r="E323" s="1301"/>
      <c r="F323" s="589"/>
      <c r="G323" s="163"/>
      <c r="H323" s="163">
        <v>45.0</v>
      </c>
      <c r="I323" s="1364">
        <v>80000.0</v>
      </c>
      <c r="J323" s="1298">
        <v>800.0</v>
      </c>
      <c r="K323" s="589">
        <f t="shared" si="83"/>
        <v>36000</v>
      </c>
      <c r="L323" s="589"/>
      <c r="N323" s="1291"/>
      <c r="O323" s="370"/>
      <c r="P323" s="1291">
        <f t="shared" si="84"/>
        <v>540</v>
      </c>
      <c r="Q323" s="1291"/>
      <c r="R323" s="1291"/>
      <c r="S323" s="370"/>
    </row>
    <row r="324">
      <c r="A324" s="1366"/>
      <c r="B324" s="1367" t="s">
        <v>6496</v>
      </c>
      <c r="C324" s="1346">
        <v>60.0</v>
      </c>
      <c r="D324" s="589"/>
      <c r="E324" s="1301"/>
      <c r="F324" s="589"/>
      <c r="G324" s="589"/>
      <c r="H324" s="589">
        <f>28/20</f>
        <v>1.4</v>
      </c>
      <c r="I324" s="1365"/>
      <c r="J324" s="1298">
        <v>800.0</v>
      </c>
      <c r="K324" s="589">
        <f t="shared" si="83"/>
        <v>1120</v>
      </c>
      <c r="L324" s="589"/>
      <c r="N324" s="1291"/>
      <c r="O324" s="370"/>
      <c r="P324" s="1291">
        <f>H324*C324</f>
        <v>84</v>
      </c>
      <c r="Q324" s="1291"/>
      <c r="R324" s="1291"/>
      <c r="S324" s="370"/>
    </row>
    <row r="325">
      <c r="A325" s="1359"/>
      <c r="B325" s="1360"/>
      <c r="C325" s="1346"/>
      <c r="D325" s="589"/>
      <c r="E325" s="1301"/>
      <c r="F325" s="589"/>
      <c r="G325" s="589"/>
      <c r="H325" s="589"/>
      <c r="I325" s="1365"/>
      <c r="J325" s="1298">
        <v>800.0</v>
      </c>
      <c r="K325" s="589"/>
      <c r="L325" s="589"/>
      <c r="N325" s="1291"/>
      <c r="O325" s="370"/>
      <c r="P325" s="1291"/>
      <c r="Q325" s="1291"/>
      <c r="R325" s="1291"/>
      <c r="S325" s="370"/>
    </row>
    <row r="326">
      <c r="A326" s="1359"/>
      <c r="B326" s="1360"/>
      <c r="C326" s="1346"/>
      <c r="D326" s="589"/>
      <c r="E326" s="1301"/>
      <c r="F326" s="589"/>
      <c r="G326" s="589"/>
      <c r="H326" s="589"/>
      <c r="I326" s="1365"/>
      <c r="J326" s="1298">
        <v>800.0</v>
      </c>
      <c r="K326" s="589"/>
      <c r="L326" s="589"/>
      <c r="N326" s="1291"/>
      <c r="O326" s="370"/>
      <c r="P326" s="1291"/>
      <c r="Q326" s="1291"/>
      <c r="R326" s="1291"/>
      <c r="S326" s="370"/>
    </row>
    <row r="327">
      <c r="A327" s="1359"/>
      <c r="B327" s="1360"/>
      <c r="C327" s="1346"/>
      <c r="D327" s="589"/>
      <c r="E327" s="1301"/>
      <c r="F327" s="589"/>
      <c r="G327" s="589"/>
      <c r="H327" s="589"/>
      <c r="I327" s="1365"/>
      <c r="J327" s="1298">
        <v>800.0</v>
      </c>
      <c r="K327" s="589"/>
      <c r="L327" s="589"/>
      <c r="N327" s="1291"/>
      <c r="O327" s="370"/>
      <c r="P327" s="1291"/>
      <c r="Q327" s="1291"/>
      <c r="R327" s="1291"/>
      <c r="S327" s="370"/>
    </row>
    <row r="328">
      <c r="A328" s="1359"/>
      <c r="B328" s="1360"/>
      <c r="C328" s="1346"/>
      <c r="D328" s="589"/>
      <c r="E328" s="1301"/>
      <c r="F328" s="589"/>
      <c r="G328" s="589"/>
      <c r="H328" s="589"/>
      <c r="I328" s="1365"/>
      <c r="J328" s="1298">
        <v>800.0</v>
      </c>
      <c r="K328" s="589"/>
      <c r="L328" s="589"/>
      <c r="N328" s="1291"/>
      <c r="O328" s="370"/>
      <c r="P328" s="1291"/>
      <c r="Q328" s="1291"/>
      <c r="R328" s="1291"/>
      <c r="S328" s="370"/>
    </row>
    <row r="329">
      <c r="A329" s="1359"/>
      <c r="B329" s="1360"/>
      <c r="C329" s="1346"/>
      <c r="D329" s="589"/>
      <c r="E329" s="1301"/>
      <c r="F329" s="589"/>
      <c r="G329" s="589"/>
      <c r="H329" s="589"/>
      <c r="I329" s="1365"/>
      <c r="J329" s="1298">
        <v>800.0</v>
      </c>
      <c r="K329" s="589"/>
      <c r="L329" s="589"/>
      <c r="N329" s="1291"/>
      <c r="O329" s="370"/>
      <c r="P329" s="1291"/>
      <c r="Q329" s="1291"/>
      <c r="R329" s="1291"/>
      <c r="S329" s="370"/>
    </row>
    <row r="330">
      <c r="A330" s="280"/>
      <c r="C330" s="1346">
        <v>0.0</v>
      </c>
      <c r="D330" s="589"/>
      <c r="E330" s="1301"/>
      <c r="F330" s="589"/>
      <c r="G330" s="589"/>
      <c r="H330" s="589"/>
      <c r="I330" s="1365"/>
      <c r="J330" s="1298">
        <v>800.0</v>
      </c>
      <c r="K330" s="589"/>
      <c r="L330" s="589"/>
      <c r="N330" s="1291"/>
      <c r="O330" s="370"/>
      <c r="P330" s="1291"/>
      <c r="Q330" s="1291"/>
      <c r="R330" s="1291"/>
      <c r="S330" s="370"/>
    </row>
    <row r="331">
      <c r="A331" s="1359"/>
      <c r="B331" s="1368"/>
      <c r="C331" s="1346"/>
      <c r="D331" s="587"/>
      <c r="E331" s="1319"/>
      <c r="F331" s="587"/>
      <c r="G331" s="587"/>
      <c r="H331" s="587"/>
      <c r="I331" s="1369"/>
      <c r="J331" s="1362"/>
      <c r="K331" s="587"/>
      <c r="L331" s="587"/>
      <c r="N331" s="1291"/>
      <c r="O331" s="370"/>
      <c r="P331" s="1291">
        <f>C331*H331</f>
        <v>0</v>
      </c>
      <c r="Q331" s="1291"/>
      <c r="R331" s="1291"/>
      <c r="S331" s="370"/>
    </row>
    <row r="332">
      <c r="A332" s="280"/>
      <c r="C332" s="1346"/>
      <c r="D332" s="587"/>
      <c r="E332" s="1319"/>
      <c r="F332" s="587"/>
      <c r="G332" s="587"/>
      <c r="H332" s="587"/>
      <c r="I332" s="587"/>
      <c r="J332" s="1319"/>
      <c r="K332" s="587"/>
      <c r="L332" s="587"/>
      <c r="N332" s="1291"/>
      <c r="O332" s="370"/>
      <c r="P332" s="1291"/>
      <c r="Q332" s="1357"/>
      <c r="R332" s="1357" t="s">
        <v>6497</v>
      </c>
      <c r="S332" s="370"/>
    </row>
    <row r="333">
      <c r="A333" s="280"/>
      <c r="C333" s="280"/>
      <c r="D333" s="587"/>
      <c r="E333" s="1319"/>
      <c r="F333" s="587"/>
      <c r="G333" s="587"/>
      <c r="H333" s="587"/>
      <c r="I333" s="587"/>
      <c r="J333" s="1361" t="s">
        <v>2823</v>
      </c>
      <c r="K333" s="595"/>
      <c r="L333" s="595" t="s">
        <v>6498</v>
      </c>
      <c r="M333" s="370"/>
      <c r="N333" s="370">
        <f t="shared" ref="N333:Q333" si="85">SUM(N236:N330)</f>
        <v>2237.02</v>
      </c>
      <c r="O333" s="370">
        <f t="shared" si="85"/>
        <v>1717.1</v>
      </c>
      <c r="P333" s="370">
        <f t="shared" si="85"/>
        <v>6825.8</v>
      </c>
      <c r="Q333" s="370">
        <f t="shared" si="85"/>
        <v>1946.9</v>
      </c>
      <c r="R333" s="614">
        <v>328.0</v>
      </c>
      <c r="S333" s="370"/>
    </row>
    <row r="334">
      <c r="A334" s="280"/>
      <c r="C334" s="280"/>
      <c r="D334" s="587"/>
      <c r="E334" s="1319"/>
      <c r="F334" s="587"/>
      <c r="G334" s="595"/>
      <c r="H334" s="595"/>
      <c r="I334" s="587"/>
      <c r="J334" s="1362"/>
      <c r="K334" s="587"/>
      <c r="L334" s="595" t="s">
        <v>6499</v>
      </c>
      <c r="N334" s="614">
        <v>800.0</v>
      </c>
      <c r="O334" s="614">
        <v>800.0</v>
      </c>
      <c r="P334" s="614">
        <v>800.0</v>
      </c>
      <c r="Q334" s="614">
        <v>800.0</v>
      </c>
      <c r="R334" s="614">
        <v>800.0</v>
      </c>
      <c r="S334" s="370"/>
    </row>
    <row r="335">
      <c r="A335" s="280"/>
      <c r="C335" s="280"/>
      <c r="D335" s="595"/>
      <c r="E335" s="1319"/>
      <c r="F335" s="587"/>
      <c r="G335" s="587"/>
      <c r="H335" s="587"/>
      <c r="I335" s="587"/>
      <c r="J335" s="1319"/>
      <c r="K335" s="595"/>
      <c r="L335" s="595" t="s">
        <v>6500</v>
      </c>
      <c r="N335" s="1370">
        <f t="shared" ref="N335:R335" si="86">N333*N334</f>
        <v>1789616</v>
      </c>
      <c r="O335" s="1370">
        <f t="shared" si="86"/>
        <v>1373680</v>
      </c>
      <c r="P335" s="1370">
        <f t="shared" si="86"/>
        <v>5460640</v>
      </c>
      <c r="Q335" s="1370">
        <f t="shared" si="86"/>
        <v>1557520</v>
      </c>
      <c r="R335" s="1370">
        <f t="shared" si="86"/>
        <v>262400</v>
      </c>
      <c r="S335" s="370"/>
    </row>
    <row r="336">
      <c r="A336" s="280"/>
      <c r="C336" s="280"/>
      <c r="D336" s="595"/>
      <c r="E336" s="1319"/>
      <c r="F336" s="587"/>
      <c r="G336" s="587"/>
      <c r="H336" s="587"/>
      <c r="I336" s="587"/>
      <c r="J336" s="1319"/>
      <c r="K336" s="595"/>
      <c r="L336" s="587"/>
      <c r="N336" s="1291"/>
      <c r="O336" s="370"/>
      <c r="P336" s="1291"/>
      <c r="Q336" s="1291"/>
      <c r="R336" s="1291"/>
      <c r="S336" s="370"/>
    </row>
    <row r="337">
      <c r="A337" s="280"/>
      <c r="C337" s="280"/>
      <c r="D337" s="587"/>
      <c r="E337" s="1319"/>
      <c r="F337" s="587"/>
      <c r="G337" s="587"/>
      <c r="H337" s="587"/>
      <c r="I337" s="587"/>
      <c r="J337" s="1319"/>
      <c r="K337" s="595"/>
      <c r="L337" s="587"/>
      <c r="N337" s="1291"/>
      <c r="O337" s="370">
        <f>N335+O335+P335+Q335+R335</f>
        <v>10443856</v>
      </c>
      <c r="P337" s="1291"/>
      <c r="Q337" s="1291"/>
      <c r="R337" s="1291"/>
      <c r="S337" s="370"/>
    </row>
    <row r="338">
      <c r="A338" s="280"/>
      <c r="C338" s="280"/>
      <c r="D338" s="587"/>
      <c r="E338" s="1319"/>
      <c r="F338" s="587"/>
      <c r="G338" s="587"/>
      <c r="H338" s="587"/>
      <c r="I338" s="587"/>
      <c r="J338" s="1319"/>
      <c r="K338" s="595"/>
      <c r="L338" s="587"/>
      <c r="N338" s="1291"/>
      <c r="O338" s="370"/>
      <c r="P338" s="1291"/>
      <c r="Q338" s="1291"/>
      <c r="R338" s="1291"/>
      <c r="S338" s="370"/>
    </row>
    <row r="339">
      <c r="A339" s="280"/>
      <c r="C339" s="280"/>
      <c r="D339" s="587"/>
      <c r="E339" s="1319"/>
      <c r="F339" s="587"/>
      <c r="G339" s="587"/>
      <c r="H339" s="587"/>
      <c r="I339" s="587"/>
      <c r="J339" s="1319"/>
      <c r="K339" s="595"/>
      <c r="L339" s="587"/>
      <c r="N339" s="1291"/>
      <c r="O339" s="370"/>
      <c r="P339" s="1291"/>
      <c r="Q339" s="1291"/>
      <c r="R339" s="1291"/>
      <c r="S339" s="370"/>
    </row>
    <row r="340">
      <c r="A340" s="1285"/>
      <c r="B340" s="1338" t="s">
        <v>6473</v>
      </c>
      <c r="C340" s="1267"/>
      <c r="D340" s="1267"/>
      <c r="E340" s="1267"/>
      <c r="F340" s="1267"/>
      <c r="G340" s="1267"/>
      <c r="H340" s="1267"/>
      <c r="I340" s="1270"/>
      <c r="J340" s="1301"/>
      <c r="K340" s="589"/>
      <c r="L340" s="589"/>
      <c r="N340" s="1291"/>
      <c r="O340" s="370"/>
      <c r="P340" s="1291"/>
      <c r="Q340" s="1291"/>
      <c r="R340" s="1291"/>
      <c r="S340" s="370"/>
    </row>
    <row r="341">
      <c r="A341" s="1292"/>
      <c r="B341" s="1339"/>
      <c r="C341" s="1294" t="s">
        <v>3879</v>
      </c>
      <c r="D341" s="1295" t="s">
        <v>6439</v>
      </c>
      <c r="E341" s="1296" t="s">
        <v>6392</v>
      </c>
      <c r="F341" s="163" t="s">
        <v>6441</v>
      </c>
      <c r="G341" s="163"/>
      <c r="H341" s="163" t="s">
        <v>6442</v>
      </c>
      <c r="I341" s="1340" t="s">
        <v>6443</v>
      </c>
      <c r="J341" s="1298"/>
      <c r="K341" s="754" t="s">
        <v>6474</v>
      </c>
      <c r="L341" s="754" t="s">
        <v>6445</v>
      </c>
      <c r="N341" s="1291"/>
      <c r="O341" s="370"/>
      <c r="P341" s="1291"/>
      <c r="Q341" s="1291"/>
      <c r="R341" s="1291"/>
      <c r="S341" s="370"/>
    </row>
    <row r="342">
      <c r="A342" s="1344"/>
      <c r="B342" s="1345" t="s">
        <v>6339</v>
      </c>
      <c r="C342" s="1346">
        <f>12*3</f>
        <v>36</v>
      </c>
      <c r="D342" s="163"/>
      <c r="E342" s="1298">
        <f t="shared" ref="E342:E343" si="87">7.76/3</f>
        <v>2.586666667</v>
      </c>
      <c r="F342" s="589">
        <f>11.3/3</f>
        <v>3.766666667</v>
      </c>
      <c r="G342" s="589"/>
      <c r="H342" s="589">
        <f>7.5/3</f>
        <v>2.5</v>
      </c>
      <c r="I342" s="1347">
        <v>12000.0</v>
      </c>
      <c r="J342" s="1298">
        <v>800.0</v>
      </c>
      <c r="K342" s="589">
        <f t="shared" ref="K342:K343" si="88">E342*J342</f>
        <v>2069.333333</v>
      </c>
      <c r="L342" s="163">
        <f t="shared" ref="L342:L343" si="89">C342*E342</f>
        <v>93.12</v>
      </c>
      <c r="N342" s="1291"/>
      <c r="O342" s="370"/>
      <c r="P342" s="1291"/>
      <c r="Q342" s="1291"/>
      <c r="R342" s="1291"/>
      <c r="S342" s="370"/>
    </row>
    <row r="343">
      <c r="A343" s="1344"/>
      <c r="B343" s="1345" t="s">
        <v>6447</v>
      </c>
      <c r="C343" s="1346">
        <f>10*3</f>
        <v>30</v>
      </c>
      <c r="D343" s="163"/>
      <c r="E343" s="1298">
        <f t="shared" si="87"/>
        <v>2.586666667</v>
      </c>
      <c r="F343" s="589"/>
      <c r="G343" s="589"/>
      <c r="H343" s="589"/>
      <c r="I343" s="1347">
        <v>12000.0</v>
      </c>
      <c r="J343" s="1298">
        <v>800.0</v>
      </c>
      <c r="K343" s="589">
        <f t="shared" si="88"/>
        <v>2069.333333</v>
      </c>
      <c r="L343" s="163">
        <f t="shared" si="89"/>
        <v>77.6</v>
      </c>
      <c r="N343" s="1291"/>
      <c r="O343" s="370"/>
      <c r="P343" s="1291"/>
      <c r="Q343" s="1291"/>
      <c r="R343" s="1291"/>
      <c r="S343" s="370"/>
    </row>
    <row r="344">
      <c r="A344" s="1344"/>
      <c r="B344" s="1345" t="s">
        <v>6479</v>
      </c>
      <c r="C344" s="1346"/>
      <c r="D344" s="163"/>
      <c r="E344" s="1298"/>
      <c r="F344" s="589"/>
      <c r="G344" s="163"/>
      <c r="H344" s="163">
        <v>22.0</v>
      </c>
      <c r="I344" s="1364">
        <v>46000.0</v>
      </c>
      <c r="J344" s="1298">
        <v>800.0</v>
      </c>
      <c r="K344" s="589">
        <f>H344*J344</f>
        <v>17600</v>
      </c>
      <c r="L344" s="589"/>
      <c r="N344" s="1291"/>
      <c r="O344" s="370"/>
      <c r="P344" s="1291"/>
      <c r="Q344" s="1291"/>
      <c r="R344" s="1291"/>
      <c r="S344" s="370"/>
    </row>
    <row r="345">
      <c r="A345" s="1344"/>
      <c r="B345" s="1345" t="s">
        <v>101</v>
      </c>
      <c r="C345" s="1346">
        <v>0.0</v>
      </c>
      <c r="D345" s="163"/>
      <c r="E345" s="1298"/>
      <c r="F345" s="589"/>
      <c r="G345" s="589"/>
      <c r="H345" s="589"/>
      <c r="I345" s="1365"/>
      <c r="J345" s="1298">
        <v>800.0</v>
      </c>
      <c r="K345" s="589"/>
      <c r="L345" s="589"/>
      <c r="N345" s="1291"/>
      <c r="O345" s="370"/>
      <c r="P345" s="1291"/>
      <c r="Q345" s="1291"/>
      <c r="R345" s="1291"/>
      <c r="S345" s="370"/>
    </row>
    <row r="346">
      <c r="A346" s="1344"/>
      <c r="B346" s="1345" t="s">
        <v>6393</v>
      </c>
      <c r="C346" s="1346">
        <v>0.0</v>
      </c>
      <c r="D346" s="163"/>
      <c r="E346" s="1298"/>
      <c r="F346" s="589"/>
      <c r="G346" s="589"/>
      <c r="H346" s="589"/>
      <c r="I346" s="1365"/>
      <c r="J346" s="1298">
        <v>800.0</v>
      </c>
      <c r="K346" s="589"/>
      <c r="L346" s="163"/>
      <c r="N346" s="1291"/>
      <c r="O346" s="370"/>
      <c r="P346" s="1291"/>
      <c r="Q346" s="1291"/>
      <c r="R346" s="1291"/>
      <c r="S346" s="370"/>
    </row>
    <row r="347">
      <c r="A347" s="1344"/>
      <c r="B347" s="1345" t="s">
        <v>6341</v>
      </c>
      <c r="C347" s="1346">
        <v>0.0</v>
      </c>
      <c r="D347" s="589"/>
      <c r="E347" s="1298"/>
      <c r="F347" s="589"/>
      <c r="G347" s="163"/>
      <c r="H347" s="163"/>
      <c r="I347" s="1365"/>
      <c r="J347" s="1298">
        <v>800.0</v>
      </c>
      <c r="K347" s="589"/>
      <c r="L347" s="589"/>
      <c r="N347" s="1291"/>
      <c r="O347" s="370"/>
      <c r="P347" s="1291"/>
      <c r="Q347" s="1291"/>
      <c r="R347" s="1291"/>
      <c r="S347" s="370"/>
    </row>
    <row r="348">
      <c r="A348" s="1344"/>
      <c r="B348" s="1345" t="s">
        <v>6342</v>
      </c>
      <c r="C348" s="1346">
        <v>8.0</v>
      </c>
      <c r="D348" s="163"/>
      <c r="E348" s="1298"/>
      <c r="F348" s="163">
        <v>32.0</v>
      </c>
      <c r="G348" s="163"/>
      <c r="H348" s="163">
        <v>30.0</v>
      </c>
      <c r="I348" s="1347">
        <v>55000.0</v>
      </c>
      <c r="J348" s="1298">
        <v>800.0</v>
      </c>
      <c r="K348" s="589">
        <f>E348*J348</f>
        <v>0</v>
      </c>
      <c r="L348" s="163">
        <f>C348*E348</f>
        <v>0</v>
      </c>
      <c r="N348" s="1291"/>
      <c r="O348" s="370"/>
      <c r="P348" s="1291"/>
      <c r="Q348" s="1291"/>
      <c r="R348" s="1291"/>
      <c r="S348" s="370"/>
    </row>
    <row r="349">
      <c r="A349" s="1344"/>
      <c r="B349" s="1345" t="s">
        <v>6395</v>
      </c>
      <c r="C349" s="1346">
        <v>0.0</v>
      </c>
      <c r="D349" s="163"/>
      <c r="E349" s="1298"/>
      <c r="F349" s="163"/>
      <c r="G349" s="163"/>
      <c r="H349" s="163"/>
      <c r="I349" s="1365"/>
      <c r="J349" s="1298">
        <v>800.0</v>
      </c>
      <c r="K349" s="589"/>
      <c r="L349" s="163"/>
      <c r="N349" s="1291"/>
      <c r="O349" s="370"/>
      <c r="P349" s="1291"/>
      <c r="Q349" s="1291"/>
      <c r="R349" s="1291"/>
      <c r="S349" s="370"/>
    </row>
    <row r="350">
      <c r="A350" s="1344"/>
      <c r="B350" s="1345" t="s">
        <v>6396</v>
      </c>
      <c r="C350" s="1346">
        <v>0.0</v>
      </c>
      <c r="D350" s="163"/>
      <c r="E350" s="1298"/>
      <c r="F350" s="589"/>
      <c r="G350" s="589"/>
      <c r="H350" s="589"/>
      <c r="I350" s="1365"/>
      <c r="J350" s="1298">
        <v>800.0</v>
      </c>
      <c r="K350" s="589"/>
      <c r="L350" s="163"/>
      <c r="N350" s="1291"/>
      <c r="O350" s="370"/>
      <c r="P350" s="1291"/>
      <c r="Q350" s="1291"/>
      <c r="R350" s="1291"/>
      <c r="S350" s="370"/>
    </row>
    <row r="351">
      <c r="A351" s="1344"/>
      <c r="B351" s="1345" t="s">
        <v>6396</v>
      </c>
      <c r="C351" s="1346">
        <v>0.0</v>
      </c>
      <c r="D351" s="163"/>
      <c r="E351" s="1298"/>
      <c r="F351" s="589"/>
      <c r="G351" s="589"/>
      <c r="H351" s="589"/>
      <c r="I351" s="1365"/>
      <c r="J351" s="1298">
        <v>800.0</v>
      </c>
      <c r="K351" s="589"/>
      <c r="L351" s="163"/>
      <c r="N351" s="1291"/>
      <c r="O351" s="370"/>
      <c r="P351" s="1291"/>
      <c r="Q351" s="1291"/>
      <c r="R351" s="1291"/>
      <c r="S351" s="370"/>
    </row>
    <row r="352">
      <c r="A352" s="1344"/>
      <c r="B352" s="1345" t="s">
        <v>6398</v>
      </c>
      <c r="C352" s="1346">
        <v>0.0</v>
      </c>
      <c r="D352" s="163"/>
      <c r="E352" s="1298"/>
      <c r="F352" s="589"/>
      <c r="G352" s="589"/>
      <c r="H352" s="589"/>
      <c r="I352" s="1365"/>
      <c r="J352" s="1298">
        <v>800.0</v>
      </c>
      <c r="K352" s="589"/>
      <c r="L352" s="163"/>
      <c r="N352" s="1291"/>
      <c r="O352" s="370"/>
      <c r="P352" s="1291"/>
      <c r="Q352" s="1291"/>
      <c r="R352" s="1291"/>
      <c r="S352" s="370"/>
    </row>
    <row r="353">
      <c r="A353" s="1344"/>
      <c r="B353" s="1345" t="s">
        <v>6501</v>
      </c>
      <c r="C353" s="1346">
        <v>0.0</v>
      </c>
      <c r="D353" s="163"/>
      <c r="E353" s="1298"/>
      <c r="F353" s="589"/>
      <c r="G353" s="589"/>
      <c r="H353" s="589"/>
      <c r="I353" s="1365"/>
      <c r="J353" s="1298">
        <v>800.0</v>
      </c>
      <c r="K353" s="589"/>
      <c r="L353" s="163"/>
      <c r="N353" s="1291"/>
      <c r="O353" s="370"/>
      <c r="P353" s="1291"/>
      <c r="Q353" s="1291"/>
      <c r="R353" s="1291"/>
      <c r="S353" s="370"/>
    </row>
    <row r="354">
      <c r="A354" s="1344"/>
      <c r="B354" s="1345" t="s">
        <v>6502</v>
      </c>
      <c r="C354" s="1346">
        <v>0.0</v>
      </c>
      <c r="D354" s="163"/>
      <c r="E354" s="1298"/>
      <c r="F354" s="589"/>
      <c r="G354" s="589"/>
      <c r="H354" s="589"/>
      <c r="I354" s="1365"/>
      <c r="J354" s="1298">
        <v>800.0</v>
      </c>
      <c r="K354" s="589"/>
      <c r="L354" s="163"/>
      <c r="N354" s="1291"/>
      <c r="O354" s="370"/>
      <c r="P354" s="1291"/>
      <c r="Q354" s="1291"/>
      <c r="R354" s="1291"/>
      <c r="S354" s="370"/>
    </row>
    <row r="355">
      <c r="A355" s="1344"/>
      <c r="B355" s="1345" t="s">
        <v>6503</v>
      </c>
      <c r="C355" s="1346">
        <v>0.0</v>
      </c>
      <c r="D355" s="163"/>
      <c r="E355" s="1298"/>
      <c r="F355" s="589"/>
      <c r="G355" s="589"/>
      <c r="H355" s="589"/>
      <c r="I355" s="1365"/>
      <c r="J355" s="1298">
        <v>800.0</v>
      </c>
      <c r="K355" s="589"/>
      <c r="L355" s="163"/>
      <c r="N355" s="1291"/>
      <c r="O355" s="370"/>
      <c r="P355" s="1291"/>
      <c r="Q355" s="1291"/>
      <c r="R355" s="1291"/>
      <c r="S355" s="370"/>
    </row>
    <row r="356">
      <c r="A356" s="1344"/>
      <c r="B356" s="1345" t="s">
        <v>6345</v>
      </c>
      <c r="C356" s="1346">
        <v>20.0</v>
      </c>
      <c r="D356" s="163"/>
      <c r="E356" s="1298"/>
      <c r="F356" s="163"/>
      <c r="G356" s="163"/>
      <c r="H356" s="163"/>
      <c r="I356" s="1347">
        <v>1000.0</v>
      </c>
      <c r="J356" s="1298">
        <v>800.0</v>
      </c>
      <c r="K356" s="589"/>
      <c r="L356" s="163"/>
      <c r="N356" s="1291"/>
      <c r="O356" s="370"/>
      <c r="P356" s="1291"/>
      <c r="Q356" s="1291"/>
      <c r="R356" s="1291"/>
      <c r="S356" s="370"/>
    </row>
    <row r="357">
      <c r="A357" s="1344"/>
      <c r="B357" s="1345" t="s">
        <v>6346</v>
      </c>
      <c r="C357" s="1346">
        <v>20.0</v>
      </c>
      <c r="D357" s="163"/>
      <c r="E357" s="1298"/>
      <c r="F357" s="163"/>
      <c r="G357" s="163"/>
      <c r="H357" s="163">
        <v>11.5</v>
      </c>
      <c r="I357" s="1365"/>
      <c r="J357" s="1298">
        <v>800.0</v>
      </c>
      <c r="K357" s="589">
        <f>H357*J357</f>
        <v>9200</v>
      </c>
      <c r="L357" s="163"/>
      <c r="N357" s="1291"/>
      <c r="O357" s="370"/>
      <c r="P357" s="1291"/>
      <c r="Q357" s="1291"/>
      <c r="R357" s="1291"/>
      <c r="S357" s="370"/>
    </row>
    <row r="358">
      <c r="A358" s="1344"/>
      <c r="B358" s="1345" t="s">
        <v>6347</v>
      </c>
      <c r="C358" s="1346">
        <v>10.0</v>
      </c>
      <c r="D358" s="163"/>
      <c r="E358" s="1298"/>
      <c r="F358" s="163"/>
      <c r="G358" s="163"/>
      <c r="H358" s="163"/>
      <c r="I358" s="1347">
        <v>1000.0</v>
      </c>
      <c r="J358" s="1298">
        <v>800.0</v>
      </c>
      <c r="K358" s="589"/>
      <c r="L358" s="163"/>
      <c r="N358" s="1291"/>
      <c r="O358" s="370"/>
      <c r="P358" s="1291"/>
      <c r="Q358" s="1291"/>
      <c r="R358" s="1291"/>
      <c r="S358" s="370"/>
    </row>
    <row r="359">
      <c r="A359" s="1344"/>
      <c r="B359" s="1345" t="s">
        <v>6348</v>
      </c>
      <c r="C359" s="1346">
        <v>20.0</v>
      </c>
      <c r="D359" s="163"/>
      <c r="E359" s="1298"/>
      <c r="F359" s="163"/>
      <c r="G359" s="163"/>
      <c r="H359" s="163"/>
      <c r="I359" s="1347">
        <v>1000.0</v>
      </c>
      <c r="J359" s="1298">
        <v>800.0</v>
      </c>
      <c r="K359" s="589"/>
      <c r="L359" s="163"/>
      <c r="N359" s="1291"/>
      <c r="O359" s="370"/>
      <c r="P359" s="1291"/>
      <c r="Q359" s="1291"/>
      <c r="R359" s="1291"/>
      <c r="S359" s="370"/>
    </row>
    <row r="360">
      <c r="A360" s="1344"/>
      <c r="B360" s="1345" t="s">
        <v>6448</v>
      </c>
      <c r="C360" s="1346">
        <v>0.0</v>
      </c>
      <c r="D360" s="163"/>
      <c r="E360" s="1298"/>
      <c r="F360" s="163"/>
      <c r="G360" s="163"/>
      <c r="H360" s="163"/>
      <c r="I360" s="1347">
        <v>1000.0</v>
      </c>
      <c r="J360" s="1298">
        <v>800.0</v>
      </c>
      <c r="K360" s="589"/>
      <c r="L360" s="163"/>
      <c r="N360" s="1291"/>
      <c r="O360" s="370"/>
      <c r="P360" s="1291"/>
      <c r="Q360" s="1291"/>
      <c r="R360" s="1291"/>
      <c r="S360" s="370"/>
    </row>
    <row r="361">
      <c r="A361" s="1344"/>
      <c r="B361" s="1345" t="s">
        <v>6399</v>
      </c>
      <c r="C361" s="1346">
        <v>0.0</v>
      </c>
      <c r="D361" s="589"/>
      <c r="E361" s="1298"/>
      <c r="F361" s="589"/>
      <c r="G361" s="589"/>
      <c r="H361" s="589"/>
      <c r="I361" s="1365"/>
      <c r="J361" s="1298">
        <v>800.0</v>
      </c>
      <c r="K361" s="589"/>
      <c r="L361" s="589"/>
      <c r="N361" s="1291"/>
      <c r="O361" s="370"/>
      <c r="P361" s="1291"/>
      <c r="Q361" s="1291"/>
      <c r="R361" s="1291"/>
      <c r="S361" s="370"/>
    </row>
    <row r="362">
      <c r="A362" s="548"/>
      <c r="B362" s="167" t="s">
        <v>6481</v>
      </c>
      <c r="C362" s="1346">
        <v>0.0</v>
      </c>
      <c r="D362" s="589"/>
      <c r="E362" s="1301"/>
      <c r="F362" s="589"/>
      <c r="G362" s="589"/>
      <c r="H362" s="589"/>
      <c r="I362" s="1365"/>
      <c r="J362" s="1298">
        <v>800.0</v>
      </c>
      <c r="K362" s="589"/>
      <c r="L362" s="589"/>
      <c r="N362" s="1291"/>
      <c r="O362" s="370"/>
      <c r="P362" s="1291"/>
      <c r="Q362" s="1291"/>
      <c r="R362" s="1291"/>
      <c r="S362" s="370"/>
    </row>
    <row r="363">
      <c r="A363" s="1344"/>
      <c r="B363" s="1345" t="s">
        <v>6350</v>
      </c>
      <c r="C363" s="1346">
        <v>1.0</v>
      </c>
      <c r="D363" s="163"/>
      <c r="E363" s="1298"/>
      <c r="F363" s="163">
        <v>130.0</v>
      </c>
      <c r="G363" s="589"/>
      <c r="H363" s="589"/>
      <c r="I363" s="1365"/>
      <c r="J363" s="1298">
        <v>800.0</v>
      </c>
      <c r="K363" s="589">
        <f>F363*J363</f>
        <v>104000</v>
      </c>
      <c r="L363" s="589"/>
      <c r="N363" s="1291"/>
      <c r="O363" s="370"/>
      <c r="P363" s="1291"/>
      <c r="Q363" s="1291"/>
      <c r="R363" s="1291"/>
      <c r="S363" s="370"/>
    </row>
    <row r="364">
      <c r="A364" s="1344"/>
      <c r="B364" s="1345" t="s">
        <v>6404</v>
      </c>
      <c r="C364" s="1346">
        <v>5.0</v>
      </c>
      <c r="D364" s="163"/>
      <c r="E364" s="1298"/>
      <c r="F364" s="163"/>
      <c r="G364" s="163"/>
      <c r="H364" s="163">
        <v>9.5</v>
      </c>
      <c r="I364" s="1347">
        <v>30000.0</v>
      </c>
      <c r="J364" s="1298">
        <v>800.0</v>
      </c>
      <c r="K364" s="589">
        <f t="shared" ref="K364:K365" si="90">H364*J364</f>
        <v>7600</v>
      </c>
      <c r="L364" s="163"/>
      <c r="N364" s="1291"/>
      <c r="O364" s="370"/>
      <c r="P364" s="1291"/>
      <c r="Q364" s="1291"/>
      <c r="R364" s="1291"/>
      <c r="S364" s="370"/>
    </row>
    <row r="365">
      <c r="A365" s="1344"/>
      <c r="B365" s="1345" t="s">
        <v>6452</v>
      </c>
      <c r="C365" s="1346">
        <v>16.0</v>
      </c>
      <c r="D365" s="163"/>
      <c r="E365" s="1298"/>
      <c r="F365" s="589"/>
      <c r="G365" s="163"/>
      <c r="H365" s="163">
        <v>8.9</v>
      </c>
      <c r="I365" s="1347">
        <v>8000.0</v>
      </c>
      <c r="J365" s="1298">
        <v>800.0</v>
      </c>
      <c r="K365" s="589">
        <f t="shared" si="90"/>
        <v>7120</v>
      </c>
      <c r="L365" s="163"/>
      <c r="N365" s="1291"/>
      <c r="O365" s="370"/>
      <c r="P365" s="1291"/>
      <c r="Q365" s="1291"/>
      <c r="R365" s="1291"/>
      <c r="S365" s="370"/>
    </row>
    <row r="366">
      <c r="A366" s="1292"/>
      <c r="B366" s="1339" t="s">
        <v>6454</v>
      </c>
      <c r="C366" s="1346">
        <v>0.0</v>
      </c>
      <c r="D366" s="163"/>
      <c r="E366" s="1298"/>
      <c r="F366" s="163"/>
      <c r="G366" s="163"/>
      <c r="H366" s="163"/>
      <c r="I366" s="1347">
        <v>28000.0</v>
      </c>
      <c r="J366" s="1298">
        <v>800.0</v>
      </c>
      <c r="K366" s="589"/>
      <c r="L366" s="163"/>
      <c r="N366" s="1291"/>
      <c r="O366" s="370"/>
      <c r="P366" s="1291"/>
      <c r="Q366" s="1291"/>
      <c r="R366" s="1291"/>
      <c r="S366" s="370"/>
    </row>
    <row r="367">
      <c r="A367" s="1344"/>
      <c r="B367" s="1345" t="s">
        <v>6449</v>
      </c>
      <c r="C367" s="1346">
        <v>0.0</v>
      </c>
      <c r="D367" s="589"/>
      <c r="E367" s="1298"/>
      <c r="F367" s="589"/>
      <c r="G367" s="589"/>
      <c r="H367" s="589"/>
      <c r="I367" s="1365"/>
      <c r="J367" s="1298">
        <v>800.0</v>
      </c>
      <c r="K367" s="589"/>
      <c r="L367" s="589"/>
      <c r="N367" s="1291"/>
      <c r="O367" s="370"/>
      <c r="P367" s="1291"/>
      <c r="Q367" s="1291"/>
      <c r="R367" s="1291"/>
      <c r="S367" s="370"/>
    </row>
    <row r="368">
      <c r="A368" s="1344"/>
      <c r="B368" s="1345" t="s">
        <v>6455</v>
      </c>
      <c r="C368" s="1346">
        <v>0.0</v>
      </c>
      <c r="D368" s="163"/>
      <c r="E368" s="1298"/>
      <c r="F368" s="163"/>
      <c r="G368" s="163"/>
      <c r="H368" s="163"/>
      <c r="I368" s="1347">
        <v>30000.0</v>
      </c>
      <c r="J368" s="1298">
        <v>800.0</v>
      </c>
      <c r="K368" s="589"/>
      <c r="L368" s="163"/>
      <c r="N368" s="1291"/>
      <c r="O368" s="370"/>
      <c r="P368" s="1291"/>
      <c r="Q368" s="1291"/>
      <c r="R368" s="1291"/>
      <c r="S368" s="370"/>
    </row>
    <row r="369">
      <c r="A369" s="1292"/>
      <c r="B369" s="1339" t="s">
        <v>6453</v>
      </c>
      <c r="C369" s="1346">
        <v>20.0</v>
      </c>
      <c r="D369" s="163"/>
      <c r="E369" s="1298"/>
      <c r="F369" s="589"/>
      <c r="G369" s="163"/>
      <c r="H369" s="163">
        <v>24.0</v>
      </c>
      <c r="I369" s="1347">
        <v>35000.0</v>
      </c>
      <c r="J369" s="1298">
        <v>800.0</v>
      </c>
      <c r="K369" s="589">
        <f>H369*J369</f>
        <v>19200</v>
      </c>
      <c r="L369" s="163"/>
      <c r="N369" s="1291"/>
      <c r="O369" s="370"/>
      <c r="P369" s="1291"/>
      <c r="Q369" s="1291"/>
      <c r="R369" s="1291"/>
      <c r="S369" s="370"/>
    </row>
    <row r="370">
      <c r="A370" s="1344"/>
      <c r="B370" s="1345" t="s">
        <v>6407</v>
      </c>
      <c r="C370" s="1346">
        <v>0.0</v>
      </c>
      <c r="D370" s="163"/>
      <c r="E370" s="1298"/>
      <c r="F370" s="589"/>
      <c r="G370" s="589"/>
      <c r="H370" s="589"/>
      <c r="I370" s="1365"/>
      <c r="J370" s="1298">
        <v>800.0</v>
      </c>
      <c r="K370" s="589"/>
      <c r="L370" s="163"/>
      <c r="N370" s="1291"/>
      <c r="O370" s="370"/>
      <c r="P370" s="1291"/>
      <c r="Q370" s="1291"/>
      <c r="R370" s="1291"/>
      <c r="S370" s="370"/>
    </row>
    <row r="371">
      <c r="A371" s="1344"/>
      <c r="B371" s="1345" t="s">
        <v>6456</v>
      </c>
      <c r="C371" s="1346">
        <v>12.0</v>
      </c>
      <c r="D371" s="589"/>
      <c r="E371" s="1298"/>
      <c r="F371" s="163"/>
      <c r="G371" s="163"/>
      <c r="H371" s="163">
        <v>11.0</v>
      </c>
      <c r="I371" s="1347">
        <v>22000.0</v>
      </c>
      <c r="J371" s="1298">
        <v>800.0</v>
      </c>
      <c r="K371" s="589">
        <f>H371*J371</f>
        <v>8800</v>
      </c>
      <c r="L371" s="163"/>
      <c r="N371" s="1291"/>
      <c r="O371" s="370"/>
      <c r="P371" s="1291"/>
      <c r="Q371" s="1291"/>
      <c r="R371" s="1291"/>
      <c r="S371" s="370"/>
    </row>
    <row r="372">
      <c r="A372" s="548"/>
      <c r="B372" s="167" t="s">
        <v>6504</v>
      </c>
      <c r="C372" s="1346">
        <v>0.0</v>
      </c>
      <c r="D372" s="589"/>
      <c r="E372" s="1298"/>
      <c r="F372" s="163"/>
      <c r="G372" s="163"/>
      <c r="H372" s="163"/>
      <c r="I372" s="1365"/>
      <c r="J372" s="1298">
        <v>800.0</v>
      </c>
      <c r="K372" s="589"/>
      <c r="L372" s="589"/>
      <c r="N372" s="1291"/>
      <c r="O372" s="370"/>
      <c r="P372" s="1291"/>
      <c r="Q372" s="1291"/>
      <c r="R372" s="1291"/>
      <c r="S372" s="370"/>
    </row>
    <row r="373">
      <c r="A373" s="1344"/>
      <c r="B373" s="1345" t="s">
        <v>6482</v>
      </c>
      <c r="C373" s="1346">
        <v>12.0</v>
      </c>
      <c r="D373" s="163"/>
      <c r="E373" s="1298"/>
      <c r="F373" s="163"/>
      <c r="G373" s="163"/>
      <c r="H373" s="163">
        <f>190/6</f>
        <v>31.66666667</v>
      </c>
      <c r="I373" s="1347"/>
      <c r="J373" s="1298">
        <v>800.0</v>
      </c>
      <c r="K373" s="589">
        <f t="shared" ref="K373:K375" si="91">H373*J373</f>
        <v>25333.33333</v>
      </c>
      <c r="L373" s="163"/>
      <c r="N373" s="1291"/>
      <c r="O373" s="370"/>
      <c r="P373" s="1291"/>
      <c r="Q373" s="1291"/>
      <c r="R373" s="1291"/>
      <c r="S373" s="370"/>
    </row>
    <row r="374">
      <c r="A374" s="1344"/>
      <c r="B374" s="1345" t="s">
        <v>6458</v>
      </c>
      <c r="C374" s="1346">
        <v>17.0</v>
      </c>
      <c r="D374" s="163"/>
      <c r="E374" s="1298"/>
      <c r="F374" s="163"/>
      <c r="G374" s="163"/>
      <c r="H374" s="163">
        <v>40.0</v>
      </c>
      <c r="I374" s="1347">
        <v>90000.0</v>
      </c>
      <c r="J374" s="1298">
        <v>800.0</v>
      </c>
      <c r="K374" s="589">
        <f t="shared" si="91"/>
        <v>32000</v>
      </c>
      <c r="L374" s="163"/>
      <c r="N374" s="1291"/>
      <c r="O374" s="370"/>
      <c r="P374" s="1291"/>
      <c r="Q374" s="1291"/>
      <c r="R374" s="1291"/>
      <c r="S374" s="370"/>
    </row>
    <row r="375">
      <c r="A375" s="1344"/>
      <c r="B375" s="1345" t="s">
        <v>6457</v>
      </c>
      <c r="C375" s="1346">
        <v>10.0</v>
      </c>
      <c r="D375" s="163"/>
      <c r="E375" s="1298"/>
      <c r="F375" s="589"/>
      <c r="G375" s="163"/>
      <c r="H375" s="163">
        <v>105.0</v>
      </c>
      <c r="I375" s="1347">
        <v>170000.0</v>
      </c>
      <c r="J375" s="1298">
        <v>800.0</v>
      </c>
      <c r="K375" s="589">
        <f t="shared" si="91"/>
        <v>84000</v>
      </c>
      <c r="L375" s="163"/>
      <c r="N375" s="1291"/>
      <c r="O375" s="370"/>
      <c r="P375" s="1291"/>
      <c r="Q375" s="1291"/>
      <c r="R375" s="1291"/>
      <c r="S375" s="370"/>
    </row>
    <row r="376">
      <c r="A376" s="548"/>
      <c r="B376" s="167" t="s">
        <v>6437</v>
      </c>
      <c r="C376" s="1346">
        <v>0.0</v>
      </c>
      <c r="D376" s="163"/>
      <c r="E376" s="1298"/>
      <c r="F376" s="589"/>
      <c r="G376" s="589"/>
      <c r="H376" s="589"/>
      <c r="I376" s="1364"/>
      <c r="J376" s="1298">
        <v>800.0</v>
      </c>
      <c r="K376" s="589"/>
      <c r="L376" s="163"/>
      <c r="N376" s="1291"/>
      <c r="O376" s="370"/>
      <c r="P376" s="1291"/>
      <c r="Q376" s="1291"/>
      <c r="R376" s="1291"/>
      <c r="S376" s="370"/>
    </row>
    <row r="377">
      <c r="A377" s="1344"/>
      <c r="B377" s="1345" t="s">
        <v>6408</v>
      </c>
      <c r="C377" s="1346">
        <v>0.0</v>
      </c>
      <c r="D377" s="163"/>
      <c r="E377" s="1298"/>
      <c r="F377" s="589"/>
      <c r="G377" s="589"/>
      <c r="H377" s="589"/>
      <c r="I377" s="1365"/>
      <c r="J377" s="1298">
        <v>800.0</v>
      </c>
      <c r="K377" s="589"/>
      <c r="L377" s="163"/>
      <c r="N377" s="1291"/>
      <c r="O377" s="370"/>
      <c r="P377" s="1291"/>
      <c r="Q377" s="1291"/>
      <c r="R377" s="1291"/>
      <c r="S377" s="370"/>
    </row>
    <row r="378">
      <c r="A378" s="1344"/>
      <c r="B378" s="1345" t="s">
        <v>653</v>
      </c>
      <c r="C378" s="1346">
        <v>0.0</v>
      </c>
      <c r="D378" s="163"/>
      <c r="E378" s="1298"/>
      <c r="F378" s="163"/>
      <c r="G378" s="589"/>
      <c r="H378" s="589"/>
      <c r="I378" s="1347">
        <v>45000.0</v>
      </c>
      <c r="J378" s="1298">
        <v>800.0</v>
      </c>
      <c r="K378" s="589"/>
      <c r="L378" s="163"/>
      <c r="N378" s="1291"/>
      <c r="O378" s="370"/>
      <c r="P378" s="1291"/>
      <c r="Q378" s="1291"/>
      <c r="R378" s="1291"/>
      <c r="S378" s="370"/>
    </row>
    <row r="379">
      <c r="A379" s="1292"/>
      <c r="B379" s="1339" t="s">
        <v>6483</v>
      </c>
      <c r="C379" s="1346">
        <v>3.0</v>
      </c>
      <c r="D379" s="589"/>
      <c r="E379" s="1301"/>
      <c r="F379" s="589"/>
      <c r="G379" s="163"/>
      <c r="H379" s="163">
        <v>12.9</v>
      </c>
      <c r="I379" s="1364">
        <v>25000.0</v>
      </c>
      <c r="J379" s="1298">
        <v>800.0</v>
      </c>
      <c r="K379" s="589">
        <f>H379*J379</f>
        <v>10320</v>
      </c>
      <c r="L379" s="589"/>
      <c r="N379" s="1291"/>
      <c r="O379" s="370"/>
      <c r="P379" s="1291"/>
      <c r="Q379" s="1291"/>
      <c r="R379" s="1291"/>
      <c r="S379" s="370"/>
    </row>
    <row r="380">
      <c r="A380" s="1292"/>
      <c r="B380" s="1339" t="s">
        <v>823</v>
      </c>
      <c r="C380" s="1346">
        <v>0.0</v>
      </c>
      <c r="D380" s="589"/>
      <c r="E380" s="1301"/>
      <c r="F380" s="589"/>
      <c r="G380" s="589"/>
      <c r="H380" s="589"/>
      <c r="I380" s="1365"/>
      <c r="J380" s="1298">
        <v>800.0</v>
      </c>
      <c r="K380" s="589"/>
      <c r="L380" s="589"/>
      <c r="N380" s="1291"/>
      <c r="O380" s="370"/>
      <c r="P380" s="1291"/>
      <c r="Q380" s="1291"/>
      <c r="R380" s="1291"/>
      <c r="S380" s="370"/>
    </row>
    <row r="381">
      <c r="A381" s="1344"/>
      <c r="B381" s="1345" t="s">
        <v>6459</v>
      </c>
      <c r="C381" s="1346">
        <v>10.0</v>
      </c>
      <c r="D381" s="163"/>
      <c r="E381" s="1298"/>
      <c r="F381" s="589"/>
      <c r="G381" s="163"/>
      <c r="H381" s="163">
        <v>10.0</v>
      </c>
      <c r="I381" s="1365"/>
      <c r="J381" s="1298">
        <v>800.0</v>
      </c>
      <c r="K381" s="589">
        <f t="shared" ref="K381:K382" si="92">H381*J381</f>
        <v>8000</v>
      </c>
      <c r="L381" s="163"/>
      <c r="N381" s="1291"/>
      <c r="O381" s="370"/>
      <c r="P381" s="1291"/>
      <c r="Q381" s="1291"/>
      <c r="R381" s="1291"/>
      <c r="S381" s="370"/>
    </row>
    <row r="382">
      <c r="A382" s="1344"/>
      <c r="B382" s="1345" t="s">
        <v>6460</v>
      </c>
      <c r="C382" s="1346">
        <v>20.0</v>
      </c>
      <c r="D382" s="163"/>
      <c r="E382" s="1298"/>
      <c r="F382" s="589"/>
      <c r="G382" s="163"/>
      <c r="H382" s="163">
        <v>10.0</v>
      </c>
      <c r="I382" s="1347">
        <v>15000.0</v>
      </c>
      <c r="J382" s="1298">
        <v>800.0</v>
      </c>
      <c r="K382" s="589">
        <f t="shared" si="92"/>
        <v>8000</v>
      </c>
      <c r="L382" s="163"/>
      <c r="N382" s="1291"/>
      <c r="O382" s="370"/>
      <c r="P382" s="1291"/>
      <c r="Q382" s="1291"/>
      <c r="R382" s="1291"/>
      <c r="S382" s="370"/>
    </row>
    <row r="383">
      <c r="A383" s="1344"/>
      <c r="B383" s="1345" t="s">
        <v>6409</v>
      </c>
      <c r="C383" s="1346">
        <v>0.0</v>
      </c>
      <c r="D383" s="163"/>
      <c r="E383" s="1298"/>
      <c r="F383" s="589"/>
      <c r="G383" s="589"/>
      <c r="H383" s="589"/>
      <c r="I383" s="1365"/>
      <c r="J383" s="1298">
        <v>800.0</v>
      </c>
      <c r="K383" s="589"/>
      <c r="L383" s="163"/>
      <c r="N383" s="1291"/>
      <c r="O383" s="370"/>
      <c r="P383" s="1291"/>
      <c r="Q383" s="1291"/>
      <c r="R383" s="1291"/>
      <c r="S383" s="370"/>
    </row>
    <row r="384">
      <c r="A384" s="1344"/>
      <c r="B384" s="1345" t="s">
        <v>6463</v>
      </c>
      <c r="C384" s="1346">
        <v>6.0</v>
      </c>
      <c r="D384" s="163"/>
      <c r="E384" s="1298"/>
      <c r="F384" s="163">
        <v>45.0</v>
      </c>
      <c r="G384" s="163"/>
      <c r="H384" s="163">
        <v>30.0</v>
      </c>
      <c r="I384" s="1347">
        <v>70000.0</v>
      </c>
      <c r="J384" s="1298">
        <v>800.0</v>
      </c>
      <c r="K384" s="589">
        <f>H384*J384</f>
        <v>24000</v>
      </c>
      <c r="L384" s="163"/>
      <c r="N384" s="1291"/>
      <c r="O384" s="370"/>
      <c r="P384" s="1291"/>
      <c r="Q384" s="1291"/>
      <c r="R384" s="1291"/>
      <c r="S384" s="370"/>
    </row>
    <row r="385">
      <c r="A385" s="1344"/>
      <c r="B385" s="1345" t="s">
        <v>6411</v>
      </c>
      <c r="C385" s="1346">
        <v>31.0</v>
      </c>
      <c r="D385" s="163"/>
      <c r="E385" s="1298"/>
      <c r="F385" s="163">
        <v>10.5</v>
      </c>
      <c r="G385" s="163"/>
      <c r="H385" s="163"/>
      <c r="I385" s="1347">
        <v>20000.0</v>
      </c>
      <c r="J385" s="1298">
        <v>800.0</v>
      </c>
      <c r="K385" s="589">
        <f t="shared" ref="K385:K387" si="93">J385*H385</f>
        <v>0</v>
      </c>
      <c r="L385" s="163">
        <f t="shared" ref="L385:L387" si="94">H385*C385</f>
        <v>0</v>
      </c>
      <c r="N385" s="1291"/>
      <c r="O385" s="370"/>
      <c r="P385" s="1291"/>
      <c r="Q385" s="1291"/>
      <c r="R385" s="1291"/>
      <c r="S385" s="370"/>
    </row>
    <row r="386">
      <c r="A386" s="1344"/>
      <c r="B386" s="1345" t="s">
        <v>6412</v>
      </c>
      <c r="C386" s="1346">
        <v>34.0</v>
      </c>
      <c r="D386" s="163"/>
      <c r="E386" s="1298"/>
      <c r="F386" s="163">
        <v>12.0</v>
      </c>
      <c r="G386" s="163"/>
      <c r="H386" s="163"/>
      <c r="I386" s="1347">
        <v>25000.0</v>
      </c>
      <c r="J386" s="1298">
        <v>800.0</v>
      </c>
      <c r="K386" s="589">
        <f t="shared" si="93"/>
        <v>0</v>
      </c>
      <c r="L386" s="163">
        <f t="shared" si="94"/>
        <v>0</v>
      </c>
      <c r="N386" s="1291"/>
      <c r="O386" s="370"/>
      <c r="P386" s="1291"/>
      <c r="Q386" s="1291"/>
      <c r="R386" s="1291"/>
      <c r="S386" s="370"/>
    </row>
    <row r="387">
      <c r="A387" s="1344"/>
      <c r="B387" s="1345" t="s">
        <v>6484</v>
      </c>
      <c r="C387" s="1346">
        <v>8.0</v>
      </c>
      <c r="D387" s="163"/>
      <c r="E387" s="1298"/>
      <c r="F387" s="163">
        <v>32.0</v>
      </c>
      <c r="G387" s="163"/>
      <c r="H387" s="163"/>
      <c r="I387" s="1347">
        <v>45000.0</v>
      </c>
      <c r="J387" s="1298">
        <v>800.0</v>
      </c>
      <c r="K387" s="589">
        <f t="shared" si="93"/>
        <v>0</v>
      </c>
      <c r="L387" s="163">
        <f t="shared" si="94"/>
        <v>0</v>
      </c>
      <c r="N387" s="1291"/>
      <c r="O387" s="370"/>
      <c r="P387" s="1291"/>
      <c r="Q387" s="1291"/>
      <c r="R387" s="1291"/>
      <c r="S387" s="370"/>
    </row>
    <row r="388">
      <c r="A388" s="1344"/>
      <c r="B388" s="1345" t="s">
        <v>6413</v>
      </c>
      <c r="C388" s="1346">
        <v>0.0</v>
      </c>
      <c r="D388" s="589"/>
      <c r="E388" s="1298"/>
      <c r="F388" s="589"/>
      <c r="G388" s="589"/>
      <c r="H388" s="589"/>
      <c r="I388" s="1365"/>
      <c r="J388" s="1298">
        <v>800.0</v>
      </c>
      <c r="K388" s="589"/>
      <c r="L388" s="589"/>
      <c r="N388" s="1291"/>
      <c r="O388" s="370"/>
      <c r="P388" s="1291"/>
      <c r="Q388" s="1291"/>
      <c r="R388" s="1291"/>
      <c r="S388" s="370"/>
    </row>
    <row r="389">
      <c r="A389" s="1344"/>
      <c r="B389" s="1345" t="s">
        <v>6417</v>
      </c>
      <c r="C389" s="1346">
        <v>6.0</v>
      </c>
      <c r="D389" s="163"/>
      <c r="E389" s="1298">
        <v>42.0</v>
      </c>
      <c r="F389" s="163"/>
      <c r="G389" s="163"/>
      <c r="H389" s="163">
        <v>42.0</v>
      </c>
      <c r="I389" s="1347">
        <v>74000.0</v>
      </c>
      <c r="J389" s="1298">
        <v>800.0</v>
      </c>
      <c r="K389" s="589">
        <f>E389*J389</f>
        <v>33600</v>
      </c>
      <c r="L389" s="163">
        <f t="shared" ref="L389:L390" si="95">C389*E389</f>
        <v>252</v>
      </c>
      <c r="N389" s="1291"/>
      <c r="O389" s="370"/>
      <c r="P389" s="1291"/>
      <c r="Q389" s="1291"/>
      <c r="R389" s="1291"/>
      <c r="S389" s="370"/>
    </row>
    <row r="390">
      <c r="A390" s="1344"/>
      <c r="B390" s="1345" t="s">
        <v>6418</v>
      </c>
      <c r="C390" s="1346">
        <v>5.0</v>
      </c>
      <c r="D390" s="589"/>
      <c r="E390" s="1298">
        <v>42.0</v>
      </c>
      <c r="F390" s="163"/>
      <c r="G390" s="163"/>
      <c r="H390" s="163">
        <v>42.0</v>
      </c>
      <c r="I390" s="1347">
        <v>74000.0</v>
      </c>
      <c r="J390" s="1298">
        <v>800.0</v>
      </c>
      <c r="K390" s="589">
        <f>H390*J390</f>
        <v>33600</v>
      </c>
      <c r="L390" s="163">
        <f t="shared" si="95"/>
        <v>210</v>
      </c>
      <c r="N390" s="1291"/>
      <c r="O390" s="370"/>
      <c r="P390" s="1291"/>
      <c r="Q390" s="1291"/>
      <c r="R390" s="1291"/>
      <c r="S390" s="370"/>
    </row>
    <row r="391">
      <c r="A391" s="1305"/>
      <c r="B391" s="1358" t="s">
        <v>6371</v>
      </c>
      <c r="C391" s="1346">
        <v>0.0</v>
      </c>
      <c r="D391" s="589"/>
      <c r="E391" s="1301"/>
      <c r="F391" s="39"/>
      <c r="G391" s="589"/>
      <c r="H391" s="589"/>
      <c r="I391" s="1365"/>
      <c r="J391" s="1298">
        <v>800.0</v>
      </c>
      <c r="K391" s="589"/>
      <c r="L391" s="589"/>
      <c r="N391" s="1291"/>
      <c r="O391" s="370"/>
      <c r="P391" s="1291"/>
      <c r="Q391" s="1291"/>
      <c r="R391" s="1291"/>
      <c r="S391" s="370"/>
    </row>
    <row r="392">
      <c r="A392" s="1344"/>
      <c r="B392" s="1345" t="s">
        <v>1609</v>
      </c>
      <c r="C392" s="1346">
        <v>0.0</v>
      </c>
      <c r="D392" s="589"/>
      <c r="E392" s="1298"/>
      <c r="F392" s="163"/>
      <c r="G392" s="589"/>
      <c r="H392" s="589"/>
      <c r="I392" s="1347">
        <v>60000.0</v>
      </c>
      <c r="J392" s="1298">
        <v>800.0</v>
      </c>
      <c r="K392" s="589"/>
      <c r="L392" s="163"/>
      <c r="N392" s="1291"/>
      <c r="O392" s="370"/>
      <c r="P392" s="1291"/>
      <c r="Q392" s="1291"/>
      <c r="R392" s="1291"/>
      <c r="S392" s="370"/>
    </row>
    <row r="393">
      <c r="A393" s="1344"/>
      <c r="B393" s="1345" t="s">
        <v>6465</v>
      </c>
      <c r="C393" s="1346">
        <v>0.0</v>
      </c>
      <c r="D393" s="163"/>
      <c r="E393" s="1348"/>
      <c r="F393" s="163"/>
      <c r="G393" s="163"/>
      <c r="H393" s="163"/>
      <c r="I393" s="1347">
        <v>1000.0</v>
      </c>
      <c r="J393" s="1298">
        <v>800.0</v>
      </c>
      <c r="K393" s="589"/>
      <c r="L393" s="163"/>
      <c r="N393" s="1291"/>
      <c r="O393" s="370"/>
      <c r="P393" s="1291"/>
      <c r="Q393" s="1291"/>
      <c r="R393" s="1291"/>
      <c r="S393" s="370"/>
    </row>
    <row r="394">
      <c r="A394" s="1344"/>
      <c r="B394" s="1345" t="s">
        <v>6485</v>
      </c>
      <c r="C394" s="1346">
        <v>6.0</v>
      </c>
      <c r="D394" s="163"/>
      <c r="E394" s="1298"/>
      <c r="F394" s="163">
        <v>5.5</v>
      </c>
      <c r="G394" s="163"/>
      <c r="H394" s="163"/>
      <c r="I394" s="1365"/>
      <c r="J394" s="1298">
        <v>800.0</v>
      </c>
      <c r="K394" s="589"/>
      <c r="L394" s="163"/>
      <c r="N394" s="1291"/>
      <c r="O394" s="370"/>
      <c r="P394" s="1291"/>
      <c r="Q394" s="1291"/>
      <c r="R394" s="1291"/>
      <c r="S394" s="370"/>
    </row>
    <row r="395">
      <c r="A395" s="1344"/>
      <c r="B395" s="1345" t="s">
        <v>6420</v>
      </c>
      <c r="C395" s="1346">
        <v>2.0</v>
      </c>
      <c r="D395" s="163"/>
      <c r="E395" s="1298"/>
      <c r="F395" s="163"/>
      <c r="G395" s="163"/>
      <c r="H395" s="163">
        <v>10.5</v>
      </c>
      <c r="I395" s="1347">
        <v>25000.0</v>
      </c>
      <c r="J395" s="1298">
        <v>800.0</v>
      </c>
      <c r="K395" s="589">
        <f t="shared" ref="K395:K396" si="96">H395*J395</f>
        <v>8400</v>
      </c>
      <c r="L395" s="163"/>
      <c r="N395" s="1291"/>
      <c r="O395" s="370"/>
      <c r="P395" s="1291"/>
      <c r="Q395" s="1291"/>
      <c r="R395" s="1291"/>
      <c r="S395" s="370"/>
    </row>
    <row r="396">
      <c r="A396" s="1344"/>
      <c r="B396" s="1345" t="s">
        <v>6419</v>
      </c>
      <c r="C396" s="1346">
        <v>8.0</v>
      </c>
      <c r="D396" s="163"/>
      <c r="E396" s="1298">
        <v>20.0</v>
      </c>
      <c r="F396" s="589"/>
      <c r="G396" s="163"/>
      <c r="H396" s="163">
        <v>19.0</v>
      </c>
      <c r="I396" s="1347">
        <v>25000.0</v>
      </c>
      <c r="J396" s="1298">
        <v>800.0</v>
      </c>
      <c r="K396" s="589">
        <f t="shared" si="96"/>
        <v>15200</v>
      </c>
      <c r="L396" s="163">
        <f>C396*E396</f>
        <v>160</v>
      </c>
      <c r="N396" s="1291"/>
      <c r="O396" s="370"/>
      <c r="P396" s="1291"/>
      <c r="Q396" s="1291"/>
      <c r="R396" s="1291"/>
      <c r="S396" s="370"/>
    </row>
    <row r="397">
      <c r="A397" s="1344"/>
      <c r="B397" s="1345" t="s">
        <v>6505</v>
      </c>
      <c r="C397" s="1346">
        <v>0.0</v>
      </c>
      <c r="D397" s="163"/>
      <c r="E397" s="1348"/>
      <c r="F397" s="163"/>
      <c r="G397" s="163"/>
      <c r="H397" s="163"/>
      <c r="I397" s="1347">
        <v>25000.0</v>
      </c>
      <c r="J397" s="1298">
        <v>800.0</v>
      </c>
      <c r="K397" s="589"/>
      <c r="L397" s="163"/>
      <c r="N397" s="1291"/>
      <c r="O397" s="370"/>
      <c r="P397" s="1291"/>
      <c r="Q397" s="1291"/>
      <c r="R397" s="1291"/>
      <c r="S397" s="370"/>
    </row>
    <row r="398">
      <c r="A398" s="1344"/>
      <c r="B398" s="1345" t="s">
        <v>6486</v>
      </c>
      <c r="C398" s="1346">
        <v>4.0</v>
      </c>
      <c r="D398" s="163"/>
      <c r="E398" s="1298"/>
      <c r="F398" s="163">
        <v>20.0</v>
      </c>
      <c r="G398" s="589"/>
      <c r="H398" s="589"/>
      <c r="I398" s="1347"/>
      <c r="J398" s="1298"/>
      <c r="K398" s="589"/>
      <c r="L398" s="163"/>
      <c r="N398" s="1291"/>
      <c r="O398" s="370"/>
      <c r="P398" s="1291"/>
      <c r="Q398" s="1291"/>
      <c r="R398" s="1291"/>
      <c r="S398" s="370"/>
    </row>
    <row r="399">
      <c r="A399" s="1344"/>
      <c r="B399" s="1345" t="s">
        <v>6421</v>
      </c>
      <c r="C399" s="1346">
        <v>2.0</v>
      </c>
      <c r="D399" s="163"/>
      <c r="E399" s="1298">
        <v>87.0</v>
      </c>
      <c r="F399" s="589"/>
      <c r="G399" s="163"/>
      <c r="H399" s="163">
        <v>57.3</v>
      </c>
      <c r="I399" s="1347">
        <v>120000.0</v>
      </c>
      <c r="J399" s="1298">
        <v>800.0</v>
      </c>
      <c r="K399" s="589">
        <f>H399*J399</f>
        <v>45840</v>
      </c>
      <c r="L399" s="163">
        <f t="shared" ref="L399:L400" si="97">C399*E399</f>
        <v>174</v>
      </c>
      <c r="N399" s="1291"/>
      <c r="O399" s="370"/>
      <c r="P399" s="1291"/>
      <c r="Q399" s="1291"/>
      <c r="R399" s="1291"/>
      <c r="S399" s="370"/>
    </row>
    <row r="400">
      <c r="A400" s="1344"/>
      <c r="B400" s="1345" t="s">
        <v>6373</v>
      </c>
      <c r="C400" s="1346">
        <v>1.0</v>
      </c>
      <c r="D400" s="163"/>
      <c r="E400" s="1298">
        <v>76.8</v>
      </c>
      <c r="F400" s="589"/>
      <c r="G400" s="589"/>
      <c r="H400" s="589"/>
      <c r="I400" s="1347">
        <v>120000.0</v>
      </c>
      <c r="J400" s="1298">
        <v>800.0</v>
      </c>
      <c r="K400" s="589">
        <f>E400*J400</f>
        <v>61440</v>
      </c>
      <c r="L400" s="163">
        <f t="shared" si="97"/>
        <v>76.8</v>
      </c>
      <c r="N400" s="1291"/>
      <c r="O400" s="370"/>
      <c r="P400" s="1291"/>
      <c r="Q400" s="1291"/>
      <c r="R400" s="1291"/>
      <c r="S400" s="370"/>
    </row>
    <row r="401">
      <c r="A401" s="1344"/>
      <c r="B401" s="1345" t="s">
        <v>6466</v>
      </c>
      <c r="C401" s="1346">
        <v>0.0</v>
      </c>
      <c r="D401" s="163"/>
      <c r="E401" s="1298"/>
      <c r="F401" s="163"/>
      <c r="G401" s="589"/>
      <c r="H401" s="589"/>
      <c r="I401" s="1347">
        <v>80000.0</v>
      </c>
      <c r="J401" s="1298">
        <v>800.0</v>
      </c>
      <c r="K401" s="589"/>
      <c r="L401" s="163"/>
      <c r="N401" s="1291"/>
      <c r="O401" s="370"/>
      <c r="P401" s="1291"/>
      <c r="Q401" s="1291"/>
      <c r="R401" s="1291"/>
      <c r="S401" s="370"/>
    </row>
    <row r="402">
      <c r="A402" s="1344"/>
      <c r="B402" s="1345" t="s">
        <v>6425</v>
      </c>
      <c r="C402" s="1346">
        <v>0.0</v>
      </c>
      <c r="D402" s="163"/>
      <c r="E402" s="1298"/>
      <c r="F402" s="589"/>
      <c r="G402" s="589"/>
      <c r="H402" s="589"/>
      <c r="I402" s="1364"/>
      <c r="J402" s="1298">
        <v>800.0</v>
      </c>
      <c r="K402" s="589"/>
      <c r="L402" s="163"/>
      <c r="N402" s="1291"/>
      <c r="O402" s="370"/>
      <c r="P402" s="1291"/>
      <c r="Q402" s="1291"/>
      <c r="R402" s="1291"/>
      <c r="S402" s="370"/>
    </row>
    <row r="403">
      <c r="A403" s="1344"/>
      <c r="B403" s="1345" t="s">
        <v>6487</v>
      </c>
      <c r="C403" s="1346">
        <v>4.0</v>
      </c>
      <c r="D403" s="589"/>
      <c r="E403" s="1298">
        <v>13.6</v>
      </c>
      <c r="F403" s="589"/>
      <c r="G403" s="589"/>
      <c r="H403" s="589"/>
      <c r="I403" s="1347">
        <v>30000.0</v>
      </c>
      <c r="J403" s="1298">
        <v>800.0</v>
      </c>
      <c r="K403" s="589">
        <f>E403*J403</f>
        <v>10880</v>
      </c>
      <c r="L403" s="163">
        <f>C403*E403</f>
        <v>54.4</v>
      </c>
      <c r="N403" s="1291"/>
      <c r="O403" s="370"/>
      <c r="P403" s="1291"/>
      <c r="Q403" s="1291"/>
      <c r="R403" s="1291"/>
      <c r="S403" s="370"/>
    </row>
    <row r="404">
      <c r="A404" s="1344"/>
      <c r="B404" s="1345" t="s">
        <v>6424</v>
      </c>
      <c r="C404" s="1346">
        <v>0.0</v>
      </c>
      <c r="D404" s="589"/>
      <c r="E404" s="1298"/>
      <c r="F404" s="589"/>
      <c r="G404" s="589"/>
      <c r="H404" s="589"/>
      <c r="I404" s="1365"/>
      <c r="J404" s="1298">
        <v>800.0</v>
      </c>
      <c r="K404" s="589"/>
      <c r="L404" s="589"/>
      <c r="N404" s="1291"/>
      <c r="O404" s="370"/>
      <c r="P404" s="1291"/>
      <c r="Q404" s="1291"/>
      <c r="R404" s="1291"/>
      <c r="S404" s="370"/>
    </row>
    <row r="405">
      <c r="A405" s="1344"/>
      <c r="B405" s="1345" t="s">
        <v>6423</v>
      </c>
      <c r="C405" s="1346">
        <v>0.0</v>
      </c>
      <c r="D405" s="589"/>
      <c r="E405" s="1298"/>
      <c r="F405" s="589"/>
      <c r="G405" s="589"/>
      <c r="H405" s="589"/>
      <c r="I405" s="1365"/>
      <c r="J405" s="1298">
        <v>800.0</v>
      </c>
      <c r="K405" s="589"/>
      <c r="L405" s="589"/>
      <c r="N405" s="1291"/>
      <c r="O405" s="370"/>
      <c r="P405" s="1291"/>
      <c r="Q405" s="1291"/>
      <c r="R405" s="1291"/>
      <c r="S405" s="370"/>
    </row>
    <row r="406">
      <c r="A406" s="1344"/>
      <c r="B406" s="1345" t="s">
        <v>6422</v>
      </c>
      <c r="C406" s="1346">
        <v>0.0</v>
      </c>
      <c r="D406" s="589"/>
      <c r="E406" s="1298"/>
      <c r="F406" s="589"/>
      <c r="G406" s="589"/>
      <c r="H406" s="589"/>
      <c r="I406" s="1365"/>
      <c r="J406" s="1298">
        <v>800.0</v>
      </c>
      <c r="K406" s="589"/>
      <c r="L406" s="589"/>
      <c r="N406" s="1291"/>
      <c r="O406" s="370"/>
      <c r="P406" s="1291"/>
      <c r="Q406" s="1291"/>
      <c r="R406" s="1291"/>
      <c r="S406" s="370"/>
    </row>
    <row r="407">
      <c r="A407" s="1344"/>
      <c r="B407" s="1345" t="s">
        <v>6488</v>
      </c>
      <c r="C407" s="1346">
        <v>100.0</v>
      </c>
      <c r="D407" s="589"/>
      <c r="E407" s="1298">
        <f>16.15/100</f>
        <v>0.1615</v>
      </c>
      <c r="F407" s="589"/>
      <c r="G407" s="589"/>
      <c r="H407" s="589"/>
      <c r="I407" s="1347">
        <v>500.0</v>
      </c>
      <c r="J407" s="1298">
        <v>800.0</v>
      </c>
      <c r="K407" s="589">
        <f>E407*J407</f>
        <v>129.2</v>
      </c>
      <c r="L407" s="163">
        <f>C407*E407</f>
        <v>16.15</v>
      </c>
      <c r="N407" s="1291"/>
      <c r="O407" s="370"/>
      <c r="P407" s="1291"/>
      <c r="Q407" s="1291"/>
      <c r="R407" s="1291"/>
      <c r="S407" s="370"/>
    </row>
    <row r="408">
      <c r="A408" s="1344"/>
      <c r="B408" s="1345" t="s">
        <v>6426</v>
      </c>
      <c r="C408" s="1346">
        <v>0.0</v>
      </c>
      <c r="D408" s="163"/>
      <c r="E408" s="1298"/>
      <c r="F408" s="163"/>
      <c r="G408" s="589"/>
      <c r="H408" s="589"/>
      <c r="I408" s="1365"/>
      <c r="J408" s="1298">
        <v>800.0</v>
      </c>
      <c r="K408" s="589"/>
      <c r="L408" s="163"/>
      <c r="N408" s="1291"/>
      <c r="O408" s="370"/>
      <c r="P408" s="1291"/>
      <c r="Q408" s="1291"/>
      <c r="R408" s="1291"/>
      <c r="S408" s="370"/>
    </row>
    <row r="409">
      <c r="A409" s="1344"/>
      <c r="B409" s="1345" t="s">
        <v>6427</v>
      </c>
      <c r="C409" s="1346">
        <v>0.0</v>
      </c>
      <c r="D409" s="163"/>
      <c r="E409" s="1298"/>
      <c r="F409" s="163"/>
      <c r="G409" s="589"/>
      <c r="H409" s="589"/>
      <c r="I409" s="1365"/>
      <c r="J409" s="1298">
        <v>800.0</v>
      </c>
      <c r="K409" s="589"/>
      <c r="L409" s="163"/>
      <c r="N409" s="1291"/>
      <c r="O409" s="370"/>
      <c r="P409" s="1291"/>
      <c r="Q409" s="1291"/>
      <c r="R409" s="1291"/>
      <c r="S409" s="370"/>
    </row>
    <row r="410">
      <c r="A410" s="1344"/>
      <c r="B410" s="1345" t="s">
        <v>6428</v>
      </c>
      <c r="C410" s="1346">
        <v>0.0</v>
      </c>
      <c r="D410" s="163"/>
      <c r="E410" s="1298"/>
      <c r="F410" s="589"/>
      <c r="G410" s="589"/>
      <c r="H410" s="589"/>
      <c r="I410" s="1365"/>
      <c r="J410" s="1298">
        <v>800.0</v>
      </c>
      <c r="K410" s="589"/>
      <c r="L410" s="163"/>
      <c r="N410" s="1291"/>
      <c r="O410" s="370"/>
      <c r="P410" s="1291"/>
      <c r="Q410" s="1291"/>
      <c r="R410" s="1291"/>
      <c r="S410" s="370"/>
    </row>
    <row r="411">
      <c r="A411" s="1344"/>
      <c r="B411" s="1345" t="s">
        <v>6489</v>
      </c>
      <c r="C411" s="1346">
        <v>10.0</v>
      </c>
      <c r="D411" s="163"/>
      <c r="E411" s="1298">
        <v>20.3</v>
      </c>
      <c r="F411" s="163"/>
      <c r="G411" s="163"/>
      <c r="H411" s="163">
        <v>20.0</v>
      </c>
      <c r="I411" s="1347">
        <v>36000.0</v>
      </c>
      <c r="J411" s="1298">
        <v>800.0</v>
      </c>
      <c r="K411" s="589">
        <f>H411*J411</f>
        <v>16000</v>
      </c>
      <c r="L411" s="163">
        <f>C411*E411</f>
        <v>203</v>
      </c>
      <c r="N411" s="1291"/>
      <c r="O411" s="370"/>
      <c r="P411" s="1291"/>
      <c r="Q411" s="1291"/>
      <c r="R411" s="1291"/>
      <c r="S411" s="370"/>
    </row>
    <row r="412">
      <c r="A412" s="1344"/>
      <c r="B412" s="1345" t="s">
        <v>6429</v>
      </c>
      <c r="C412" s="1346">
        <v>0.0</v>
      </c>
      <c r="D412" s="163"/>
      <c r="E412" s="1298"/>
      <c r="F412" s="589"/>
      <c r="G412" s="589"/>
      <c r="H412" s="589"/>
      <c r="I412" s="1364"/>
      <c r="J412" s="1298">
        <v>800.0</v>
      </c>
      <c r="K412" s="589"/>
      <c r="L412" s="163"/>
      <c r="N412" s="1291"/>
      <c r="O412" s="370"/>
      <c r="P412" s="1291"/>
      <c r="Q412" s="1291"/>
      <c r="R412" s="1291"/>
      <c r="S412" s="370"/>
    </row>
    <row r="413">
      <c r="A413" s="1344"/>
      <c r="B413" s="1345" t="s">
        <v>6430</v>
      </c>
      <c r="C413" s="1346">
        <v>0.0</v>
      </c>
      <c r="D413" s="163"/>
      <c r="E413" s="1298"/>
      <c r="F413" s="589"/>
      <c r="G413" s="589"/>
      <c r="H413" s="589"/>
      <c r="I413" s="1364"/>
      <c r="J413" s="1298">
        <v>800.0</v>
      </c>
      <c r="K413" s="589"/>
      <c r="L413" s="163"/>
      <c r="N413" s="1291"/>
      <c r="O413" s="370"/>
      <c r="P413" s="1291"/>
      <c r="Q413" s="1291"/>
      <c r="R413" s="1291"/>
      <c r="S413" s="370"/>
    </row>
    <row r="414">
      <c r="A414" s="1344"/>
      <c r="B414" s="1345" t="s">
        <v>6431</v>
      </c>
      <c r="C414" s="1346">
        <v>0.0</v>
      </c>
      <c r="D414" s="163"/>
      <c r="E414" s="1298"/>
      <c r="F414" s="589"/>
      <c r="G414" s="589"/>
      <c r="H414" s="589"/>
      <c r="I414" s="1364"/>
      <c r="J414" s="1298">
        <v>800.0</v>
      </c>
      <c r="K414" s="589"/>
      <c r="L414" s="163"/>
      <c r="N414" s="1291"/>
      <c r="O414" s="370"/>
      <c r="P414" s="1291"/>
      <c r="Q414" s="1291"/>
      <c r="R414" s="1291"/>
      <c r="S414" s="370"/>
    </row>
    <row r="415">
      <c r="A415" s="1344"/>
      <c r="B415" s="1345" t="s">
        <v>6432</v>
      </c>
      <c r="C415" s="1346">
        <v>0.0</v>
      </c>
      <c r="D415" s="163"/>
      <c r="E415" s="1298"/>
      <c r="F415" s="589"/>
      <c r="G415" s="589"/>
      <c r="H415" s="589"/>
      <c r="I415" s="1364"/>
      <c r="J415" s="1298">
        <v>800.0</v>
      </c>
      <c r="K415" s="589"/>
      <c r="L415" s="163"/>
      <c r="N415" s="1291"/>
      <c r="O415" s="370"/>
      <c r="P415" s="1291"/>
      <c r="Q415" s="1291"/>
      <c r="R415" s="1291"/>
      <c r="S415" s="370"/>
    </row>
    <row r="416" ht="19.5" customHeight="1">
      <c r="A416" s="1344"/>
      <c r="B416" s="1345" t="s">
        <v>2400</v>
      </c>
      <c r="C416" s="1346">
        <v>0.0</v>
      </c>
      <c r="D416" s="163"/>
      <c r="E416" s="1298"/>
      <c r="F416" s="163"/>
      <c r="G416" s="589"/>
      <c r="H416" s="589"/>
      <c r="I416" s="1365"/>
      <c r="J416" s="1298">
        <v>800.0</v>
      </c>
      <c r="K416" s="589"/>
      <c r="L416" s="163"/>
      <c r="N416" s="1291"/>
      <c r="O416" s="370"/>
      <c r="P416" s="1291"/>
      <c r="Q416" s="1291"/>
      <c r="R416" s="1291"/>
      <c r="S416" s="370"/>
    </row>
    <row r="417">
      <c r="A417" s="1344"/>
      <c r="B417" s="1345" t="s">
        <v>2402</v>
      </c>
      <c r="C417" s="1346">
        <v>35.0</v>
      </c>
      <c r="D417" s="163"/>
      <c r="E417" s="1298">
        <v>17.0</v>
      </c>
      <c r="F417" s="589"/>
      <c r="G417" s="589"/>
      <c r="H417" s="589"/>
      <c r="I417" s="1347">
        <v>30000.0</v>
      </c>
      <c r="J417" s="1298">
        <v>800.0</v>
      </c>
      <c r="K417" s="589">
        <f>E417*J417</f>
        <v>13600</v>
      </c>
      <c r="L417" s="163">
        <f>C417*E417</f>
        <v>595</v>
      </c>
      <c r="N417" s="1291"/>
      <c r="O417" s="370"/>
      <c r="P417" s="1291"/>
      <c r="Q417" s="1291"/>
      <c r="R417" s="1291"/>
      <c r="S417" s="370"/>
    </row>
    <row r="418">
      <c r="A418" s="1344"/>
      <c r="B418" s="1345" t="s">
        <v>2405</v>
      </c>
      <c r="C418" s="1346">
        <v>0.0</v>
      </c>
      <c r="D418" s="163"/>
      <c r="E418" s="1298"/>
      <c r="F418" s="589"/>
      <c r="G418" s="589"/>
      <c r="H418" s="589"/>
      <c r="I418" s="1365"/>
      <c r="J418" s="1298">
        <v>800.0</v>
      </c>
      <c r="K418" s="589"/>
      <c r="L418" s="163"/>
      <c r="N418" s="1291"/>
      <c r="O418" s="370"/>
      <c r="P418" s="1291"/>
      <c r="Q418" s="1291"/>
      <c r="R418" s="1291"/>
      <c r="S418" s="370"/>
    </row>
    <row r="419">
      <c r="A419" s="1344"/>
      <c r="B419" s="1345" t="s">
        <v>2406</v>
      </c>
      <c r="C419" s="1346">
        <v>0.0</v>
      </c>
      <c r="D419" s="163"/>
      <c r="E419" s="1298"/>
      <c r="F419" s="589"/>
      <c r="G419" s="589"/>
      <c r="H419" s="589"/>
      <c r="I419" s="1365"/>
      <c r="J419" s="1298">
        <v>800.0</v>
      </c>
      <c r="K419" s="589"/>
      <c r="L419" s="163"/>
      <c r="N419" s="1291"/>
      <c r="O419" s="370"/>
      <c r="P419" s="1291"/>
      <c r="Q419" s="1291"/>
      <c r="R419" s="1291"/>
      <c r="S419" s="370"/>
    </row>
    <row r="420">
      <c r="A420" s="1344" t="s">
        <v>6480</v>
      </c>
      <c r="B420" s="1345" t="s">
        <v>6433</v>
      </c>
      <c r="C420" s="1346"/>
      <c r="D420" s="163"/>
      <c r="E420" s="1298"/>
      <c r="F420" s="589"/>
      <c r="G420" s="589"/>
      <c r="H420" s="589"/>
      <c r="I420" s="1365"/>
      <c r="J420" s="1298">
        <v>800.0</v>
      </c>
      <c r="K420" s="589"/>
      <c r="L420" s="163"/>
      <c r="N420" s="1291"/>
      <c r="O420" s="370"/>
      <c r="P420" s="1291"/>
      <c r="Q420" s="1291"/>
      <c r="R420" s="1291"/>
      <c r="S420" s="370"/>
    </row>
    <row r="421">
      <c r="A421" s="1344"/>
      <c r="B421" s="1345" t="s">
        <v>6490</v>
      </c>
      <c r="C421" s="1346">
        <v>2.0</v>
      </c>
      <c r="D421" s="163"/>
      <c r="E421" s="1298">
        <f>53.35/2</f>
        <v>26.675</v>
      </c>
      <c r="F421" s="589"/>
      <c r="G421" s="589"/>
      <c r="H421" s="589"/>
      <c r="I421" s="1347">
        <v>55000.0</v>
      </c>
      <c r="J421" s="1298">
        <v>800.0</v>
      </c>
      <c r="K421" s="589">
        <f>E421*J421</f>
        <v>21340</v>
      </c>
      <c r="L421" s="163">
        <f>C421*E421</f>
        <v>53.35</v>
      </c>
      <c r="N421" s="1291"/>
      <c r="O421" s="370"/>
      <c r="P421" s="1291"/>
      <c r="Q421" s="1291"/>
      <c r="R421" s="1291"/>
      <c r="S421" s="370"/>
    </row>
    <row r="422">
      <c r="A422" s="1344"/>
      <c r="B422" s="1345" t="s">
        <v>6467</v>
      </c>
      <c r="C422" s="1346">
        <v>0.0</v>
      </c>
      <c r="D422" s="163"/>
      <c r="E422" s="1298"/>
      <c r="F422" s="589"/>
      <c r="G422" s="589"/>
      <c r="H422" s="589"/>
      <c r="I422" s="1347">
        <v>50000.0</v>
      </c>
      <c r="J422" s="1298">
        <v>800.0</v>
      </c>
      <c r="K422" s="589"/>
      <c r="L422" s="163"/>
      <c r="N422" s="1291"/>
      <c r="O422" s="370"/>
      <c r="P422" s="1291"/>
      <c r="Q422" s="1291"/>
      <c r="R422" s="1291"/>
      <c r="S422" s="370"/>
    </row>
    <row r="423">
      <c r="A423" s="1344"/>
      <c r="B423" s="1345" t="s">
        <v>6468</v>
      </c>
      <c r="C423" s="1346">
        <v>0.0</v>
      </c>
      <c r="D423" s="163"/>
      <c r="E423" s="1298"/>
      <c r="F423" s="589"/>
      <c r="G423" s="589"/>
      <c r="H423" s="589"/>
      <c r="I423" s="1347">
        <v>65000.0</v>
      </c>
      <c r="J423" s="1298">
        <v>800.0</v>
      </c>
      <c r="K423" s="589"/>
      <c r="L423" s="163"/>
      <c r="N423" s="1291"/>
      <c r="O423" s="370"/>
      <c r="P423" s="1291"/>
      <c r="Q423" s="1291"/>
      <c r="R423" s="1291"/>
      <c r="S423" s="370"/>
    </row>
    <row r="424">
      <c r="A424" s="1344"/>
      <c r="B424" s="1345" t="s">
        <v>6434</v>
      </c>
      <c r="C424" s="1346">
        <v>0.0</v>
      </c>
      <c r="D424" s="163"/>
      <c r="E424" s="1298"/>
      <c r="F424" s="163"/>
      <c r="G424" s="589"/>
      <c r="H424" s="589"/>
      <c r="I424" s="1365"/>
      <c r="J424" s="1298">
        <v>800.0</v>
      </c>
      <c r="K424" s="589"/>
      <c r="L424" s="163"/>
      <c r="N424" s="1291"/>
      <c r="O424" s="370"/>
      <c r="P424" s="1291"/>
      <c r="Q424" s="1291"/>
      <c r="R424" s="1291"/>
      <c r="S424" s="370"/>
    </row>
    <row r="425">
      <c r="A425" s="1344"/>
      <c r="B425" s="1345" t="s">
        <v>2767</v>
      </c>
      <c r="C425" s="1346">
        <v>4.0</v>
      </c>
      <c r="D425" s="163"/>
      <c r="E425" s="1298"/>
      <c r="F425" s="163">
        <v>16.0</v>
      </c>
      <c r="G425" s="589"/>
      <c r="H425" s="589"/>
      <c r="I425" s="1365"/>
      <c r="J425" s="1298">
        <v>800.0</v>
      </c>
      <c r="K425" s="589"/>
      <c r="L425" s="163"/>
      <c r="N425" s="1291"/>
      <c r="O425" s="370"/>
      <c r="P425" s="1291"/>
      <c r="Q425" s="1291"/>
      <c r="R425" s="1291"/>
      <c r="S425" s="370"/>
    </row>
    <row r="426">
      <c r="A426" s="1366"/>
      <c r="B426" s="1367" t="s">
        <v>6492</v>
      </c>
      <c r="C426" s="1346">
        <v>4.0</v>
      </c>
      <c r="D426" s="589"/>
      <c r="E426" s="1301"/>
      <c r="F426" s="589"/>
      <c r="G426" s="163"/>
      <c r="H426" s="163">
        <v>8.0</v>
      </c>
      <c r="I426" s="1365"/>
      <c r="J426" s="1298">
        <v>800.0</v>
      </c>
      <c r="K426" s="589">
        <f>H426*J426</f>
        <v>6400</v>
      </c>
      <c r="L426" s="589"/>
      <c r="N426" s="1291"/>
      <c r="O426" s="370"/>
      <c r="P426" s="1291"/>
      <c r="Q426" s="1291"/>
      <c r="R426" s="1291"/>
      <c r="S426" s="370"/>
    </row>
    <row r="427">
      <c r="A427" s="1366"/>
      <c r="B427" s="1360" t="s">
        <v>6470</v>
      </c>
      <c r="C427" s="1346"/>
      <c r="D427" s="589"/>
      <c r="E427" s="1301"/>
      <c r="F427" s="589"/>
      <c r="G427" s="589"/>
      <c r="H427" s="589"/>
      <c r="I427" s="1365"/>
      <c r="J427" s="1298">
        <v>800.0</v>
      </c>
      <c r="K427" s="589"/>
      <c r="L427" s="589"/>
      <c r="N427" s="1291"/>
      <c r="O427" s="370"/>
      <c r="P427" s="1291"/>
      <c r="Q427" s="1291"/>
      <c r="R427" s="1291"/>
      <c r="S427" s="370"/>
    </row>
    <row r="428">
      <c r="A428" s="1366"/>
      <c r="B428" s="1367" t="s">
        <v>6493</v>
      </c>
      <c r="C428" s="1346">
        <f>4*16</f>
        <v>64</v>
      </c>
      <c r="D428" s="589"/>
      <c r="E428" s="1301"/>
      <c r="F428" s="589"/>
      <c r="G428" s="589"/>
      <c r="H428" s="589">
        <f>85/16</f>
        <v>5.3125</v>
      </c>
      <c r="I428" s="1365"/>
      <c r="J428" s="1298">
        <v>800.0</v>
      </c>
      <c r="K428" s="589">
        <f>H428*J428</f>
        <v>4250</v>
      </c>
      <c r="L428" s="589"/>
      <c r="N428" s="1291"/>
      <c r="O428" s="370"/>
      <c r="P428" s="1291"/>
      <c r="Q428" s="1291"/>
      <c r="R428" s="1291"/>
      <c r="S428" s="370"/>
    </row>
    <row r="429">
      <c r="A429" s="1366"/>
      <c r="B429" s="1367"/>
      <c r="C429" s="1346"/>
      <c r="D429" s="589"/>
      <c r="E429" s="1301"/>
      <c r="F429" s="589"/>
      <c r="G429" s="163"/>
      <c r="H429" s="163"/>
      <c r="I429" s="1365"/>
      <c r="J429" s="1298"/>
      <c r="K429" s="589"/>
      <c r="L429" s="589"/>
      <c r="N429" s="1291"/>
      <c r="O429" s="370"/>
      <c r="P429" s="1291"/>
      <c r="Q429" s="1291"/>
      <c r="R429" s="1291"/>
      <c r="S429" s="370"/>
    </row>
    <row r="430">
      <c r="A430" s="1366"/>
      <c r="B430" s="1367" t="s">
        <v>6495</v>
      </c>
      <c r="C430" s="1346">
        <v>12.0</v>
      </c>
      <c r="D430" s="589"/>
      <c r="E430" s="1301"/>
      <c r="F430" s="589"/>
      <c r="G430" s="163"/>
      <c r="H430" s="163">
        <v>45.0</v>
      </c>
      <c r="I430" s="1364">
        <v>80000.0</v>
      </c>
      <c r="J430" s="1298">
        <v>800.0</v>
      </c>
      <c r="K430" s="589">
        <f t="shared" ref="K430:K431" si="98">H430*J430</f>
        <v>36000</v>
      </c>
      <c r="L430" s="589"/>
      <c r="N430" s="1291"/>
      <c r="O430" s="370"/>
      <c r="P430" s="1291"/>
      <c r="Q430" s="1291"/>
      <c r="R430" s="1291"/>
      <c r="S430" s="370"/>
    </row>
    <row r="431">
      <c r="A431" s="1366"/>
      <c r="B431" s="1367" t="s">
        <v>6496</v>
      </c>
      <c r="C431" s="1346">
        <v>60.0</v>
      </c>
      <c r="D431" s="589"/>
      <c r="E431" s="1301"/>
      <c r="F431" s="589"/>
      <c r="G431" s="589"/>
      <c r="H431" s="589">
        <f>28/20</f>
        <v>1.4</v>
      </c>
      <c r="I431" s="1365"/>
      <c r="J431" s="1298">
        <v>800.0</v>
      </c>
      <c r="K431" s="589">
        <f t="shared" si="98"/>
        <v>1120</v>
      </c>
      <c r="L431" s="589"/>
      <c r="N431" s="1291"/>
      <c r="O431" s="370"/>
      <c r="P431" s="1291"/>
      <c r="Q431" s="1291"/>
      <c r="R431" s="1291"/>
      <c r="S431" s="370"/>
    </row>
    <row r="432">
      <c r="A432" s="1366"/>
      <c r="B432" s="1367"/>
      <c r="C432" s="1346"/>
      <c r="D432" s="589"/>
      <c r="E432" s="1301"/>
      <c r="F432" s="589"/>
      <c r="G432" s="589"/>
      <c r="H432" s="589"/>
      <c r="I432" s="1365"/>
      <c r="J432" s="1298"/>
      <c r="K432" s="589"/>
      <c r="L432" s="589"/>
      <c r="N432" s="1291"/>
      <c r="O432" s="370"/>
      <c r="P432" s="1291"/>
      <c r="Q432" s="1291"/>
      <c r="R432" s="1291"/>
      <c r="S432" s="370"/>
    </row>
    <row r="433">
      <c r="A433" s="1366"/>
      <c r="B433" s="1367"/>
      <c r="C433" s="1346"/>
      <c r="D433" s="589"/>
      <c r="E433" s="1301"/>
      <c r="F433" s="589"/>
      <c r="G433" s="589"/>
      <c r="H433" s="589"/>
      <c r="I433" s="1365"/>
      <c r="J433" s="1298"/>
      <c r="K433" s="589"/>
      <c r="L433" s="589"/>
      <c r="N433" s="1291"/>
      <c r="O433" s="370"/>
      <c r="P433" s="1291"/>
      <c r="Q433" s="1291"/>
      <c r="R433" s="1291"/>
      <c r="S433" s="370"/>
    </row>
    <row r="434">
      <c r="A434" s="1366"/>
      <c r="B434" s="1367"/>
      <c r="C434" s="1346"/>
      <c r="D434" s="589"/>
      <c r="E434" s="1301"/>
      <c r="F434" s="589"/>
      <c r="G434" s="589"/>
      <c r="H434" s="589"/>
      <c r="I434" s="1365"/>
      <c r="J434" s="1298"/>
      <c r="K434" s="589"/>
      <c r="L434" s="589"/>
      <c r="N434" s="1291"/>
      <c r="O434" s="370"/>
      <c r="P434" s="1291"/>
      <c r="Q434" s="1291"/>
      <c r="R434" s="1291"/>
      <c r="S434" s="370"/>
    </row>
    <row r="435">
      <c r="A435" s="1285"/>
      <c r="B435" s="1338" t="s">
        <v>6506</v>
      </c>
      <c r="C435" s="1267"/>
      <c r="D435" s="1267"/>
      <c r="E435" s="1267"/>
      <c r="F435" s="1267"/>
      <c r="G435" s="1267"/>
      <c r="H435" s="1267"/>
      <c r="I435" s="1270"/>
      <c r="J435" s="1301"/>
      <c r="K435" s="589"/>
      <c r="L435" s="589"/>
      <c r="N435" s="1291"/>
      <c r="O435" s="370"/>
      <c r="P435" s="1291"/>
      <c r="Q435" s="1291"/>
      <c r="R435" s="1291"/>
      <c r="S435" s="370"/>
    </row>
    <row r="436">
      <c r="A436" s="1292"/>
      <c r="B436" s="1339"/>
      <c r="C436" s="1371"/>
      <c r="D436" s="1295"/>
      <c r="E436" s="1296"/>
      <c r="F436" s="163"/>
      <c r="G436" s="163"/>
      <c r="H436" s="163"/>
      <c r="I436" s="1326"/>
      <c r="J436" s="1298"/>
      <c r="K436" s="754"/>
      <c r="L436" s="754"/>
      <c r="N436" s="1291"/>
      <c r="O436" s="370"/>
      <c r="P436" s="1291"/>
      <c r="Q436" s="1291"/>
      <c r="R436" s="1291"/>
      <c r="S436" s="370"/>
    </row>
    <row r="437">
      <c r="A437" s="1344"/>
      <c r="B437" s="1345" t="s">
        <v>6339</v>
      </c>
      <c r="C437" s="1353">
        <v>0.0</v>
      </c>
      <c r="D437" s="163">
        <v>6.9</v>
      </c>
      <c r="E437" s="1298">
        <v>800.0</v>
      </c>
      <c r="F437" s="589">
        <f>SUM(C437*D437)</f>
        <v>0</v>
      </c>
      <c r="G437" s="589"/>
      <c r="H437" s="589">
        <f>D437*E437</f>
        <v>5520</v>
      </c>
      <c r="I437" s="163">
        <v>12000.0</v>
      </c>
      <c r="J437" s="1301"/>
      <c r="K437" s="589">
        <f>I437*C437</f>
        <v>0</v>
      </c>
      <c r="L437" s="163"/>
      <c r="N437" s="1291"/>
      <c r="O437" s="370"/>
      <c r="P437" s="1291"/>
      <c r="Q437" s="1291"/>
      <c r="R437" s="1291"/>
      <c r="S437" s="370"/>
    </row>
    <row r="438">
      <c r="A438" s="1344"/>
      <c r="B438" s="1372" t="s">
        <v>6479</v>
      </c>
      <c r="C438" s="1351">
        <v>3.0</v>
      </c>
      <c r="D438" s="163"/>
      <c r="E438" s="1298"/>
      <c r="F438" s="589"/>
      <c r="G438" s="163"/>
      <c r="H438" s="163">
        <v>22.0</v>
      </c>
      <c r="I438" s="102">
        <v>46000.0</v>
      </c>
      <c r="J438" s="1298">
        <v>800.0</v>
      </c>
      <c r="K438" s="589">
        <f>H438*J438</f>
        <v>17600</v>
      </c>
      <c r="L438" s="163"/>
      <c r="N438" s="1291"/>
      <c r="O438" s="370"/>
      <c r="P438" s="1291"/>
      <c r="Q438" s="1291"/>
      <c r="R438" s="1291"/>
      <c r="S438" s="370"/>
    </row>
    <row r="439">
      <c r="A439" s="1344"/>
      <c r="B439" s="1373" t="s">
        <v>6342</v>
      </c>
      <c r="C439" s="1374">
        <v>10.0</v>
      </c>
      <c r="D439" s="1295">
        <v>29.0</v>
      </c>
      <c r="E439" s="1296">
        <v>800.0</v>
      </c>
      <c r="F439" s="163">
        <f>D439*E439</f>
        <v>23200</v>
      </c>
      <c r="G439" s="589"/>
      <c r="H439" s="589">
        <f>F439*C439</f>
        <v>232000</v>
      </c>
      <c r="I439" s="163">
        <v>55000.0</v>
      </c>
      <c r="J439" s="1301">
        <f>I439/F439-1</f>
        <v>1.370689655</v>
      </c>
      <c r="K439" s="589">
        <f>I439*C439</f>
        <v>550000</v>
      </c>
      <c r="L439" s="589"/>
      <c r="N439" s="1291"/>
      <c r="O439" s="370"/>
      <c r="P439" s="1291"/>
      <c r="Q439" s="1291"/>
      <c r="R439" s="1291"/>
      <c r="S439" s="370"/>
    </row>
    <row r="440">
      <c r="A440" s="1344"/>
      <c r="B440" s="1345" t="s">
        <v>6507</v>
      </c>
      <c r="C440" s="1353">
        <v>0.0</v>
      </c>
      <c r="D440" s="163"/>
      <c r="E440" s="1298" t="s">
        <v>328</v>
      </c>
      <c r="F440" s="163"/>
      <c r="G440" s="163"/>
      <c r="H440" s="163">
        <v>11.5</v>
      </c>
      <c r="I440" s="163">
        <v>1000.0</v>
      </c>
      <c r="J440" s="1298">
        <v>800.0</v>
      </c>
      <c r="K440" s="589">
        <f>H440*J440</f>
        <v>9200</v>
      </c>
      <c r="L440" s="589"/>
      <c r="N440" s="1291"/>
      <c r="O440" s="370"/>
      <c r="P440" s="1291"/>
      <c r="Q440" s="1291"/>
      <c r="R440" s="1291"/>
      <c r="S440" s="370"/>
    </row>
    <row r="441">
      <c r="A441" s="1344"/>
      <c r="B441" s="1345" t="s">
        <v>6508</v>
      </c>
      <c r="C441" s="1353">
        <v>0.0</v>
      </c>
      <c r="D441" s="163">
        <v>12.0</v>
      </c>
      <c r="E441" s="1298">
        <v>800.0</v>
      </c>
      <c r="F441" s="589">
        <f>SUM(C441*D441)</f>
        <v>0</v>
      </c>
      <c r="G441" s="589"/>
      <c r="H441" s="589">
        <f>D441*E441</f>
        <v>9600</v>
      </c>
      <c r="I441" s="589"/>
      <c r="J441" s="1301"/>
      <c r="K441" s="589">
        <f>I441*C441</f>
        <v>0</v>
      </c>
      <c r="L441" s="163"/>
      <c r="N441" s="1291"/>
      <c r="O441" s="370"/>
      <c r="P441" s="1291"/>
      <c r="Q441" s="1291"/>
      <c r="R441" s="1291"/>
      <c r="S441" s="370"/>
    </row>
    <row r="442">
      <c r="A442" s="1344"/>
      <c r="B442" s="1372" t="s">
        <v>6509</v>
      </c>
      <c r="C442" s="1351">
        <v>10.0</v>
      </c>
      <c r="D442" s="163"/>
      <c r="E442" s="1298" t="s">
        <v>328</v>
      </c>
      <c r="F442" s="163"/>
      <c r="G442" s="163"/>
      <c r="H442" s="163">
        <v>11.5</v>
      </c>
      <c r="I442" s="163">
        <v>1000.0</v>
      </c>
      <c r="J442" s="1298">
        <v>800.0</v>
      </c>
      <c r="K442" s="589">
        <f>H442*J442</f>
        <v>9200</v>
      </c>
      <c r="L442" s="589"/>
      <c r="N442" s="1291"/>
      <c r="O442" s="370"/>
      <c r="P442" s="1291"/>
      <c r="Q442" s="1291"/>
      <c r="R442" s="1291"/>
      <c r="S442" s="370"/>
    </row>
    <row r="443">
      <c r="A443" s="1344"/>
      <c r="B443" s="1372" t="s">
        <v>6510</v>
      </c>
      <c r="C443" s="1351">
        <v>6.0</v>
      </c>
      <c r="D443" s="163">
        <v>12.0</v>
      </c>
      <c r="E443" s="1298">
        <v>800.0</v>
      </c>
      <c r="F443" s="589">
        <f t="shared" ref="F443:F444" si="99">SUM(C443*D443)</f>
        <v>72</v>
      </c>
      <c r="G443" s="589"/>
      <c r="H443" s="589">
        <f t="shared" ref="H443:H444" si="100">D443*E443</f>
        <v>9600</v>
      </c>
      <c r="I443" s="589"/>
      <c r="J443" s="1301"/>
      <c r="K443" s="589">
        <f t="shared" ref="K443:K446" si="101">I443*C443</f>
        <v>0</v>
      </c>
      <c r="L443" s="163"/>
      <c r="N443" s="1291"/>
      <c r="O443" s="370"/>
      <c r="P443" s="1291"/>
      <c r="Q443" s="1291"/>
      <c r="R443" s="1291"/>
      <c r="S443" s="370"/>
    </row>
    <row r="444">
      <c r="A444" s="1344"/>
      <c r="B444" s="1345" t="s">
        <v>6403</v>
      </c>
      <c r="C444" s="1353">
        <v>0.0</v>
      </c>
      <c r="D444" s="163">
        <v>72.0</v>
      </c>
      <c r="E444" s="1298">
        <v>800.0</v>
      </c>
      <c r="F444" s="589">
        <f t="shared" si="99"/>
        <v>0</v>
      </c>
      <c r="G444" s="589"/>
      <c r="H444" s="589">
        <f t="shared" si="100"/>
        <v>57600</v>
      </c>
      <c r="I444" s="589"/>
      <c r="J444" s="1301"/>
      <c r="K444" s="589">
        <f t="shared" si="101"/>
        <v>0</v>
      </c>
      <c r="L444" s="163"/>
      <c r="N444" s="1291"/>
      <c r="O444" s="370"/>
      <c r="P444" s="1291"/>
      <c r="Q444" s="1291"/>
      <c r="R444" s="1291"/>
      <c r="S444" s="370"/>
    </row>
    <row r="445">
      <c r="A445" s="1344"/>
      <c r="B445" s="167" t="s">
        <v>403</v>
      </c>
      <c r="C445" s="1353">
        <v>0.0</v>
      </c>
      <c r="D445" s="163">
        <v>22.0</v>
      </c>
      <c r="E445" s="1296">
        <v>800.0</v>
      </c>
      <c r="F445" s="163">
        <f t="shared" ref="F445:F446" si="102">D445*E445</f>
        <v>17600</v>
      </c>
      <c r="G445" s="589"/>
      <c r="H445" s="589">
        <f t="shared" ref="H445:H446" si="103">F445*C445</f>
        <v>0</v>
      </c>
      <c r="I445" s="589">
        <f>2000*16</f>
        <v>32000</v>
      </c>
      <c r="J445" s="1301">
        <f t="shared" ref="J445:J446" si="104">I445/F445-1</f>
        <v>0.8181818182</v>
      </c>
      <c r="K445" s="589">
        <f t="shared" si="101"/>
        <v>0</v>
      </c>
      <c r="L445" s="163"/>
      <c r="N445" s="1291"/>
      <c r="O445" s="370"/>
      <c r="P445" s="1291"/>
      <c r="Q445" s="1291"/>
      <c r="R445" s="1291"/>
      <c r="S445" s="370"/>
    </row>
    <row r="446">
      <c r="A446" s="1344"/>
      <c r="B446" s="1339" t="s">
        <v>6351</v>
      </c>
      <c r="C446" s="1353">
        <v>0.0</v>
      </c>
      <c r="D446" s="1295">
        <v>10.0</v>
      </c>
      <c r="E446" s="1296">
        <v>800.0</v>
      </c>
      <c r="F446" s="163">
        <f t="shared" si="102"/>
        <v>8000</v>
      </c>
      <c r="G446" s="589"/>
      <c r="H446" s="589">
        <f t="shared" si="103"/>
        <v>0</v>
      </c>
      <c r="I446" s="163">
        <v>28000.0</v>
      </c>
      <c r="J446" s="1301">
        <f t="shared" si="104"/>
        <v>2.5</v>
      </c>
      <c r="K446" s="589">
        <f t="shared" si="101"/>
        <v>0</v>
      </c>
      <c r="L446" s="163"/>
      <c r="N446" s="1291"/>
      <c r="O446" s="370"/>
      <c r="P446" s="1291"/>
      <c r="Q446" s="1291"/>
      <c r="R446" s="1291"/>
      <c r="S446" s="370"/>
    </row>
    <row r="447">
      <c r="A447" s="1344"/>
      <c r="B447" s="1345" t="s">
        <v>6450</v>
      </c>
      <c r="C447" s="1353">
        <v>0.0</v>
      </c>
      <c r="D447" s="163">
        <v>9.0</v>
      </c>
      <c r="E447" s="1298" t="s">
        <v>328</v>
      </c>
      <c r="F447" s="163">
        <v>3.5</v>
      </c>
      <c r="G447" s="163"/>
      <c r="H447" s="163" t="s">
        <v>328</v>
      </c>
      <c r="I447" s="163">
        <v>8000.0</v>
      </c>
      <c r="J447" s="1298">
        <v>800.0</v>
      </c>
      <c r="K447" s="589">
        <f t="shared" ref="K447:K448" si="105">F447*J447</f>
        <v>2800</v>
      </c>
      <c r="L447" s="163"/>
      <c r="N447" s="1291"/>
      <c r="O447" s="370"/>
      <c r="P447" s="1291"/>
      <c r="Q447" s="1291"/>
      <c r="R447" s="1291"/>
      <c r="S447" s="370"/>
    </row>
    <row r="448">
      <c r="A448" s="1344"/>
      <c r="B448" s="1345" t="s">
        <v>6451</v>
      </c>
      <c r="C448" s="1353">
        <v>0.0</v>
      </c>
      <c r="D448" s="163"/>
      <c r="E448" s="1298"/>
      <c r="F448" s="163">
        <v>2.65</v>
      </c>
      <c r="G448" s="163"/>
      <c r="H448" s="163"/>
      <c r="I448" s="163">
        <v>8000.0</v>
      </c>
      <c r="J448" s="1298">
        <v>800.0</v>
      </c>
      <c r="K448" s="589">
        <f t="shared" si="105"/>
        <v>2120</v>
      </c>
      <c r="L448" s="163"/>
      <c r="N448" s="1291"/>
      <c r="O448" s="370"/>
      <c r="P448" s="1291"/>
      <c r="Q448" s="1291"/>
      <c r="R448" s="1291"/>
      <c r="S448" s="370"/>
    </row>
    <row r="449">
      <c r="A449" s="1344"/>
      <c r="B449" s="1345" t="s">
        <v>6452</v>
      </c>
      <c r="C449" s="1353">
        <v>0.0</v>
      </c>
      <c r="D449" s="163"/>
      <c r="E449" s="1298"/>
      <c r="F449" s="589"/>
      <c r="G449" s="163"/>
      <c r="H449" s="163">
        <v>9.0</v>
      </c>
      <c r="I449" s="163">
        <v>8000.0</v>
      </c>
      <c r="J449" s="1298">
        <v>800.0</v>
      </c>
      <c r="K449" s="589">
        <f>H449*J449</f>
        <v>7200</v>
      </c>
      <c r="L449" s="163"/>
      <c r="N449" s="1291"/>
      <c r="O449" s="370"/>
      <c r="P449" s="1291"/>
      <c r="Q449" s="1291"/>
      <c r="R449" s="1291"/>
      <c r="S449" s="370"/>
    </row>
    <row r="450">
      <c r="A450" s="1344"/>
      <c r="B450" s="1339" t="s">
        <v>6353</v>
      </c>
      <c r="C450" s="1353">
        <v>0.0</v>
      </c>
      <c r="D450" s="1295">
        <v>27.8</v>
      </c>
      <c r="E450" s="1296">
        <v>800.0</v>
      </c>
      <c r="F450" s="163">
        <f>D450*E450</f>
        <v>22240</v>
      </c>
      <c r="G450" s="589"/>
      <c r="H450" s="589">
        <f>F450*C450</f>
        <v>0</v>
      </c>
      <c r="I450" s="163">
        <v>32000.0</v>
      </c>
      <c r="J450" s="1301">
        <f>I450/F450-1</f>
        <v>0.4388489209</v>
      </c>
      <c r="K450" s="589">
        <f t="shared" ref="K450:K451" si="106">I450*C450</f>
        <v>0</v>
      </c>
      <c r="L450" s="163"/>
      <c r="N450" s="1291"/>
      <c r="O450" s="370"/>
      <c r="P450" s="1291"/>
      <c r="Q450" s="1291"/>
      <c r="R450" s="1291"/>
      <c r="S450" s="370"/>
    </row>
    <row r="451">
      <c r="A451" s="1344"/>
      <c r="B451" s="1345" t="s">
        <v>6405</v>
      </c>
      <c r="C451" s="1353">
        <v>0.0</v>
      </c>
      <c r="D451" s="163">
        <v>48.0</v>
      </c>
      <c r="E451" s="1298">
        <v>800.0</v>
      </c>
      <c r="F451" s="589">
        <f>SUM(C451*D451)</f>
        <v>0</v>
      </c>
      <c r="G451" s="589"/>
      <c r="H451" s="589">
        <f>D451*E451</f>
        <v>38400</v>
      </c>
      <c r="I451" s="589"/>
      <c r="J451" s="1301"/>
      <c r="K451" s="589">
        <f t="shared" si="106"/>
        <v>0</v>
      </c>
      <c r="L451" s="163"/>
      <c r="N451" s="1291"/>
      <c r="O451" s="370"/>
      <c r="P451" s="1291"/>
      <c r="Q451" s="1291"/>
      <c r="R451" s="1291"/>
      <c r="S451" s="370"/>
    </row>
    <row r="452">
      <c r="A452" s="1344"/>
      <c r="B452" s="1373" t="s">
        <v>6453</v>
      </c>
      <c r="C452" s="1351">
        <v>10.0</v>
      </c>
      <c r="D452" s="163"/>
      <c r="E452" s="1298"/>
      <c r="F452" s="589"/>
      <c r="G452" s="163"/>
      <c r="H452" s="163">
        <v>24.0</v>
      </c>
      <c r="I452" s="163">
        <v>35000.0</v>
      </c>
      <c r="J452" s="1298">
        <v>800.0</v>
      </c>
      <c r="K452" s="589">
        <f>H452*J452</f>
        <v>19200</v>
      </c>
      <c r="L452" s="163"/>
      <c r="N452" s="1291"/>
      <c r="O452" s="370"/>
      <c r="P452" s="1291"/>
      <c r="Q452" s="1291"/>
      <c r="R452" s="1291"/>
      <c r="S452" s="370"/>
    </row>
    <row r="453">
      <c r="A453" s="1344"/>
      <c r="B453" s="1345" t="s">
        <v>6407</v>
      </c>
      <c r="C453" s="1353">
        <v>0.0</v>
      </c>
      <c r="D453" s="163">
        <v>85.0</v>
      </c>
      <c r="E453" s="1298">
        <v>800.0</v>
      </c>
      <c r="F453" s="589">
        <f>SUM(C453*D453)</f>
        <v>0</v>
      </c>
      <c r="G453" s="589"/>
      <c r="H453" s="589">
        <f>D453*E453</f>
        <v>68000</v>
      </c>
      <c r="I453" s="589"/>
      <c r="J453" s="1301"/>
      <c r="K453" s="589">
        <f>I453*C453</f>
        <v>0</v>
      </c>
      <c r="L453" s="163"/>
      <c r="N453" s="1291"/>
      <c r="O453" s="370"/>
      <c r="P453" s="1291"/>
      <c r="Q453" s="1291"/>
      <c r="R453" s="1291"/>
      <c r="S453" s="370"/>
    </row>
    <row r="454">
      <c r="A454" s="1344"/>
      <c r="B454" s="1372" t="s">
        <v>6456</v>
      </c>
      <c r="C454" s="1351">
        <v>10.0</v>
      </c>
      <c r="D454" s="589"/>
      <c r="E454" s="1298"/>
      <c r="F454" s="163"/>
      <c r="G454" s="163"/>
      <c r="H454" s="163">
        <v>8.9</v>
      </c>
      <c r="I454" s="163">
        <v>22000.0</v>
      </c>
      <c r="J454" s="1298">
        <v>800.0</v>
      </c>
      <c r="K454" s="589">
        <f t="shared" ref="K454:K458" si="107">H454*J454</f>
        <v>7120</v>
      </c>
      <c r="L454" s="589"/>
      <c r="N454" s="1291"/>
      <c r="O454" s="370"/>
      <c r="P454" s="1291"/>
      <c r="Q454" s="1291"/>
      <c r="R454" s="1291"/>
      <c r="S454" s="370"/>
    </row>
    <row r="455">
      <c r="A455" s="280"/>
      <c r="B455" s="1345" t="s">
        <v>6482</v>
      </c>
      <c r="C455" s="1353">
        <v>0.0</v>
      </c>
      <c r="D455" s="163"/>
      <c r="E455" s="1298"/>
      <c r="F455" s="163"/>
      <c r="G455" s="163"/>
      <c r="H455" s="163">
        <f>190/6</f>
        <v>31.66666667</v>
      </c>
      <c r="I455" s="163"/>
      <c r="J455" s="1298">
        <v>800.0</v>
      </c>
      <c r="K455" s="589">
        <f t="shared" si="107"/>
        <v>25333.33333</v>
      </c>
      <c r="L455" s="589"/>
      <c r="N455" s="1291"/>
      <c r="O455" s="370"/>
      <c r="P455" s="1291"/>
      <c r="Q455" s="1291"/>
      <c r="R455" s="1291"/>
      <c r="S455" s="370"/>
    </row>
    <row r="456">
      <c r="A456" s="1344"/>
      <c r="B456" s="1372" t="s">
        <v>6457</v>
      </c>
      <c r="C456" s="1351">
        <v>20.0</v>
      </c>
      <c r="D456" s="163"/>
      <c r="E456" s="1298"/>
      <c r="F456" s="589"/>
      <c r="G456" s="163"/>
      <c r="H456" s="163">
        <v>105.0</v>
      </c>
      <c r="I456" s="163">
        <v>170000.0</v>
      </c>
      <c r="J456" s="1298">
        <v>800.0</v>
      </c>
      <c r="K456" s="589">
        <f t="shared" si="107"/>
        <v>84000</v>
      </c>
      <c r="L456" s="589"/>
      <c r="N456" s="1291"/>
      <c r="O456" s="370"/>
      <c r="P456" s="1291"/>
      <c r="Q456" s="1291"/>
      <c r="R456" s="1291"/>
      <c r="S456" s="370"/>
    </row>
    <row r="457">
      <c r="A457" s="1344"/>
      <c r="B457" s="1367" t="s">
        <v>6494</v>
      </c>
      <c r="C457" s="1353">
        <v>0.0</v>
      </c>
      <c r="D457" s="589"/>
      <c r="E457" s="1301"/>
      <c r="F457" s="589"/>
      <c r="G457" s="163"/>
      <c r="H457" s="163">
        <f>125/2</f>
        <v>62.5</v>
      </c>
      <c r="I457" s="39"/>
      <c r="J457" s="1298">
        <v>800.0</v>
      </c>
      <c r="K457" s="589">
        <f t="shared" si="107"/>
        <v>50000</v>
      </c>
      <c r="L457" s="163"/>
      <c r="N457" s="1291"/>
      <c r="O457" s="370"/>
      <c r="P457" s="1291"/>
      <c r="Q457" s="1291"/>
      <c r="R457" s="1291"/>
      <c r="S457" s="370"/>
    </row>
    <row r="458">
      <c r="A458" s="1344"/>
      <c r="B458" s="1367" t="s">
        <v>6496</v>
      </c>
      <c r="C458" s="1353">
        <v>0.0</v>
      </c>
      <c r="D458" s="589"/>
      <c r="E458" s="1301"/>
      <c r="F458" s="589"/>
      <c r="G458" s="589"/>
      <c r="H458" s="589">
        <f>28/20</f>
        <v>1.4</v>
      </c>
      <c r="I458" s="39"/>
      <c r="J458" s="1298">
        <v>800.0</v>
      </c>
      <c r="K458" s="589">
        <f t="shared" si="107"/>
        <v>1120</v>
      </c>
      <c r="L458" s="163"/>
      <c r="N458" s="1291"/>
      <c r="O458" s="370"/>
      <c r="P458" s="1291"/>
      <c r="Q458" s="1291"/>
      <c r="R458" s="1291"/>
      <c r="S458" s="370"/>
    </row>
    <row r="459">
      <c r="A459" s="1292"/>
      <c r="B459" s="167" t="s">
        <v>6511</v>
      </c>
      <c r="C459" s="1353">
        <v>0.0</v>
      </c>
      <c r="D459" s="163">
        <v>18.0</v>
      </c>
      <c r="E459" s="1296">
        <v>800.0</v>
      </c>
      <c r="F459" s="163">
        <f>D459*E459</f>
        <v>14400</v>
      </c>
      <c r="G459" s="589"/>
      <c r="H459" s="589">
        <f>F459*C459</f>
        <v>0</v>
      </c>
      <c r="I459" s="163">
        <v>28000.0</v>
      </c>
      <c r="J459" s="1301">
        <f>I459/F459-1</f>
        <v>0.9444444444</v>
      </c>
      <c r="K459" s="589">
        <f>I459*C459</f>
        <v>0</v>
      </c>
      <c r="L459" s="163"/>
      <c r="N459" s="1291"/>
      <c r="O459" s="370"/>
      <c r="P459" s="1291"/>
      <c r="Q459" s="1291"/>
      <c r="R459" s="1291"/>
      <c r="S459" s="370"/>
    </row>
    <row r="460">
      <c r="A460" s="1344"/>
      <c r="B460" s="1372" t="s">
        <v>6459</v>
      </c>
      <c r="C460" s="1351">
        <v>10.0</v>
      </c>
      <c r="D460" s="163"/>
      <c r="E460" s="1298"/>
      <c r="F460" s="589"/>
      <c r="G460" s="163"/>
      <c r="H460" s="163">
        <v>10.0</v>
      </c>
      <c r="I460" s="39"/>
      <c r="J460" s="1298">
        <v>800.0</v>
      </c>
      <c r="K460" s="589">
        <f t="shared" ref="K460:K461" si="108">H460*J460</f>
        <v>8000</v>
      </c>
      <c r="L460" s="589"/>
      <c r="N460" s="1291"/>
      <c r="O460" s="370"/>
      <c r="P460" s="1291"/>
      <c r="Q460" s="1291"/>
      <c r="R460" s="1291"/>
      <c r="S460" s="370"/>
    </row>
    <row r="461">
      <c r="A461" s="1344"/>
      <c r="B461" s="1372" t="s">
        <v>6460</v>
      </c>
      <c r="C461" s="1351">
        <v>10.0</v>
      </c>
      <c r="D461" s="163"/>
      <c r="E461" s="1298"/>
      <c r="F461" s="589"/>
      <c r="G461" s="163"/>
      <c r="H461" s="163">
        <v>10.0</v>
      </c>
      <c r="I461" s="163">
        <v>15000.0</v>
      </c>
      <c r="J461" s="1298">
        <v>800.0</v>
      </c>
      <c r="K461" s="589">
        <f t="shared" si="108"/>
        <v>8000</v>
      </c>
      <c r="L461" s="163"/>
      <c r="N461" s="1291"/>
      <c r="O461" s="370"/>
      <c r="P461" s="1291"/>
      <c r="Q461" s="1291"/>
      <c r="R461" s="1291"/>
      <c r="S461" s="370"/>
    </row>
    <row r="462">
      <c r="A462" s="1344"/>
      <c r="B462" s="1345" t="s">
        <v>6512</v>
      </c>
      <c r="C462" s="1353">
        <v>0.0</v>
      </c>
      <c r="D462" s="163"/>
      <c r="E462" s="1298"/>
      <c r="F462" s="589"/>
      <c r="G462" s="163"/>
      <c r="H462" s="163"/>
      <c r="I462" s="163"/>
      <c r="J462" s="1298"/>
      <c r="K462" s="589"/>
      <c r="L462" s="163"/>
      <c r="N462" s="1291"/>
      <c r="O462" s="370"/>
      <c r="P462" s="1291"/>
      <c r="Q462" s="1291"/>
      <c r="R462" s="1291"/>
      <c r="S462" s="370"/>
    </row>
    <row r="463">
      <c r="A463" s="1292"/>
      <c r="B463" s="1345" t="s">
        <v>6463</v>
      </c>
      <c r="C463" s="1353">
        <v>0.0</v>
      </c>
      <c r="D463" s="163"/>
      <c r="E463" s="1298"/>
      <c r="F463" s="163">
        <v>45.0</v>
      </c>
      <c r="G463" s="163"/>
      <c r="H463" s="163">
        <v>30.0</v>
      </c>
      <c r="I463" s="163">
        <v>70000.0</v>
      </c>
      <c r="J463" s="1298">
        <v>800.0</v>
      </c>
      <c r="K463" s="589">
        <f>H463*J463</f>
        <v>24000</v>
      </c>
      <c r="L463" s="163"/>
      <c r="N463" s="1291"/>
      <c r="O463" s="370"/>
      <c r="P463" s="1291"/>
      <c r="Q463" s="1291"/>
      <c r="R463" s="1291"/>
      <c r="S463" s="370"/>
    </row>
    <row r="464">
      <c r="A464" s="1344"/>
      <c r="B464" s="167" t="s">
        <v>6368</v>
      </c>
      <c r="C464" s="1353">
        <v>0.0</v>
      </c>
      <c r="D464" s="163">
        <v>12.5</v>
      </c>
      <c r="E464" s="1296">
        <v>800.0</v>
      </c>
      <c r="F464" s="163">
        <f t="shared" ref="F464:F465" si="109">D464*E464</f>
        <v>10000</v>
      </c>
      <c r="G464" s="589"/>
      <c r="H464" s="589">
        <f t="shared" ref="H464:H465" si="110">F464*C464</f>
        <v>0</v>
      </c>
      <c r="I464" s="163">
        <v>20000.0</v>
      </c>
      <c r="J464" s="1301">
        <f t="shared" ref="J464:J465" si="111">I464/F464-1</f>
        <v>1</v>
      </c>
      <c r="K464" s="589">
        <f t="shared" ref="K464:K465" si="112">I464*C464</f>
        <v>0</v>
      </c>
      <c r="L464" s="163"/>
      <c r="N464" s="1291"/>
      <c r="O464" s="370"/>
      <c r="P464" s="1291"/>
      <c r="Q464" s="1291"/>
      <c r="R464" s="1291"/>
      <c r="S464" s="370"/>
    </row>
    <row r="465">
      <c r="A465" s="1344"/>
      <c r="B465" s="167" t="s">
        <v>6369</v>
      </c>
      <c r="C465" s="1353">
        <v>0.0</v>
      </c>
      <c r="D465" s="163">
        <v>14.8</v>
      </c>
      <c r="E465" s="1296">
        <v>800.0</v>
      </c>
      <c r="F465" s="163">
        <f t="shared" si="109"/>
        <v>11840</v>
      </c>
      <c r="G465" s="589"/>
      <c r="H465" s="589">
        <f t="shared" si="110"/>
        <v>0</v>
      </c>
      <c r="I465" s="163">
        <v>25000.0</v>
      </c>
      <c r="J465" s="1301">
        <f t="shared" si="111"/>
        <v>1.111486486</v>
      </c>
      <c r="K465" s="589">
        <f t="shared" si="112"/>
        <v>0</v>
      </c>
      <c r="L465" s="163"/>
      <c r="N465" s="1291"/>
      <c r="O465" s="370"/>
      <c r="P465" s="1291"/>
      <c r="Q465" s="1291"/>
      <c r="R465" s="1291"/>
      <c r="S465" s="370"/>
    </row>
    <row r="466">
      <c r="A466" s="280"/>
      <c r="B466" s="1345" t="s">
        <v>6484</v>
      </c>
      <c r="C466" s="1353">
        <v>0.0</v>
      </c>
      <c r="D466" s="163"/>
      <c r="E466" s="1298"/>
      <c r="F466" s="163">
        <v>32.0</v>
      </c>
      <c r="G466" s="163"/>
      <c r="H466" s="163"/>
      <c r="I466" s="163">
        <v>45000.0</v>
      </c>
      <c r="J466" s="1298">
        <v>800.0</v>
      </c>
      <c r="K466" s="589">
        <f>J466*H466</f>
        <v>0</v>
      </c>
      <c r="L466" s="589"/>
      <c r="N466" s="1291"/>
      <c r="O466" s="370"/>
      <c r="P466" s="1291"/>
      <c r="Q466" s="1291"/>
      <c r="R466" s="1291"/>
      <c r="S466" s="370"/>
    </row>
    <row r="467">
      <c r="A467" s="1344"/>
      <c r="B467" s="1345" t="s">
        <v>1230</v>
      </c>
      <c r="C467" s="1353">
        <v>0.0</v>
      </c>
      <c r="D467" s="163">
        <v>31.2</v>
      </c>
      <c r="E467" s="1298">
        <v>800.0</v>
      </c>
      <c r="F467" s="589">
        <f t="shared" ref="F467:F468" si="113">SUM(C467*D467)</f>
        <v>0</v>
      </c>
      <c r="G467" s="589"/>
      <c r="H467" s="589">
        <f t="shared" ref="H467:H468" si="114">D467*E467</f>
        <v>24960</v>
      </c>
      <c r="I467" s="589"/>
      <c r="J467" s="1301"/>
      <c r="K467" s="589">
        <f t="shared" ref="K467:K468" si="115">I467*C467</f>
        <v>0</v>
      </c>
      <c r="L467" s="163"/>
      <c r="N467" s="1291"/>
      <c r="O467" s="370"/>
      <c r="P467" s="1291"/>
      <c r="Q467" s="1291"/>
      <c r="R467" s="1291"/>
      <c r="S467" s="370"/>
    </row>
    <row r="468">
      <c r="A468" s="1344"/>
      <c r="B468" s="1372" t="s">
        <v>6417</v>
      </c>
      <c r="C468" s="1351">
        <v>10.0</v>
      </c>
      <c r="D468" s="163">
        <v>42.6</v>
      </c>
      <c r="E468" s="1298">
        <v>800.0</v>
      </c>
      <c r="F468" s="589">
        <f t="shared" si="113"/>
        <v>426</v>
      </c>
      <c r="G468" s="589"/>
      <c r="H468" s="589">
        <f t="shared" si="114"/>
        <v>34080</v>
      </c>
      <c r="I468" s="589"/>
      <c r="J468" s="1301"/>
      <c r="K468" s="589">
        <f t="shared" si="115"/>
        <v>0</v>
      </c>
      <c r="L468" s="163"/>
      <c r="N468" s="1291"/>
      <c r="O468" s="370"/>
      <c r="P468" s="1291"/>
      <c r="Q468" s="1291"/>
      <c r="R468" s="1291"/>
      <c r="S468" s="370"/>
    </row>
    <row r="469">
      <c r="A469" s="1344"/>
      <c r="B469" s="1372" t="s">
        <v>6418</v>
      </c>
      <c r="C469" s="1351">
        <v>6.0</v>
      </c>
      <c r="D469" s="589"/>
      <c r="E469" s="1298">
        <v>42.0</v>
      </c>
      <c r="F469" s="163"/>
      <c r="G469" s="163"/>
      <c r="H469" s="163">
        <v>42.0</v>
      </c>
      <c r="I469" s="163">
        <v>74000.0</v>
      </c>
      <c r="J469" s="1298">
        <v>800.0</v>
      </c>
      <c r="K469" s="589">
        <f>H469*J469</f>
        <v>33600</v>
      </c>
      <c r="L469" s="163"/>
      <c r="N469" s="1291"/>
      <c r="O469" s="370"/>
      <c r="P469" s="1291"/>
      <c r="Q469" s="1291"/>
      <c r="R469" s="1291"/>
      <c r="S469" s="370"/>
    </row>
    <row r="470">
      <c r="A470" s="280"/>
      <c r="B470" s="1345" t="s">
        <v>6420</v>
      </c>
      <c r="C470" s="1353">
        <v>0.0</v>
      </c>
      <c r="D470" s="163">
        <v>13.0</v>
      </c>
      <c r="E470" s="1298">
        <v>800.0</v>
      </c>
      <c r="F470" s="589">
        <f t="shared" ref="F470:F471" si="116">SUM(C470*D470)</f>
        <v>0</v>
      </c>
      <c r="G470" s="589"/>
      <c r="H470" s="589">
        <f t="shared" ref="H470:H471" si="117">D470*E470</f>
        <v>10400</v>
      </c>
      <c r="I470" s="589"/>
      <c r="J470" s="1301"/>
      <c r="K470" s="589">
        <f t="shared" ref="K470:K471" si="118">I470*C470</f>
        <v>0</v>
      </c>
      <c r="L470" s="163"/>
      <c r="N470" s="1291"/>
      <c r="O470" s="370"/>
      <c r="P470" s="1291"/>
      <c r="Q470" s="1291"/>
      <c r="R470" s="1291"/>
      <c r="S470" s="370"/>
    </row>
    <row r="471">
      <c r="A471" s="1344"/>
      <c r="B471" s="1345" t="s">
        <v>6421</v>
      </c>
      <c r="C471" s="1353">
        <v>0.0</v>
      </c>
      <c r="D471" s="163">
        <v>52.0</v>
      </c>
      <c r="E471" s="1298">
        <v>800.0</v>
      </c>
      <c r="F471" s="589">
        <f t="shared" si="116"/>
        <v>0</v>
      </c>
      <c r="G471" s="589"/>
      <c r="H471" s="589">
        <f t="shared" si="117"/>
        <v>41600</v>
      </c>
      <c r="I471" s="589"/>
      <c r="J471" s="1301"/>
      <c r="K471" s="589">
        <f t="shared" si="118"/>
        <v>0</v>
      </c>
      <c r="L471" s="163"/>
      <c r="N471" s="1291"/>
      <c r="O471" s="370"/>
      <c r="P471" s="1291"/>
      <c r="Q471" s="1291"/>
      <c r="R471" s="1291"/>
      <c r="S471" s="370"/>
    </row>
    <row r="472">
      <c r="A472" s="1344"/>
      <c r="B472" s="1367" t="s">
        <v>6513</v>
      </c>
      <c r="C472" s="1353">
        <v>0.0</v>
      </c>
      <c r="D472" s="589"/>
      <c r="E472" s="1301"/>
      <c r="F472" s="589"/>
      <c r="G472" s="163"/>
      <c r="H472" s="163">
        <v>45.0</v>
      </c>
      <c r="I472" s="102">
        <v>80000.0</v>
      </c>
      <c r="J472" s="1298">
        <v>800.0</v>
      </c>
      <c r="K472" s="589">
        <f>H472*J472</f>
        <v>36000</v>
      </c>
      <c r="L472" s="163"/>
      <c r="N472" s="1291"/>
      <c r="O472" s="370"/>
      <c r="P472" s="1291"/>
      <c r="Q472" s="1291"/>
      <c r="R472" s="1291"/>
      <c r="S472" s="370"/>
    </row>
    <row r="473">
      <c r="A473" s="1292"/>
      <c r="B473" s="1345" t="s">
        <v>6425</v>
      </c>
      <c r="C473" s="1353">
        <v>0.0</v>
      </c>
      <c r="D473" s="163">
        <v>48.5</v>
      </c>
      <c r="E473" s="1298">
        <v>800.0</v>
      </c>
      <c r="F473" s="589">
        <f>SUM(C473*D473)</f>
        <v>0</v>
      </c>
      <c r="G473" s="589"/>
      <c r="H473" s="589">
        <f>D473*E473</f>
        <v>38800</v>
      </c>
      <c r="I473" s="163">
        <v>70000.0</v>
      </c>
      <c r="J473" s="1301"/>
      <c r="K473" s="589">
        <f>I473*C473</f>
        <v>0</v>
      </c>
      <c r="L473" s="589"/>
      <c r="N473" s="1291"/>
      <c r="O473" s="370"/>
      <c r="P473" s="1291"/>
      <c r="Q473" s="1291"/>
      <c r="R473" s="1291"/>
      <c r="S473" s="370"/>
    </row>
    <row r="474">
      <c r="A474" s="1292"/>
      <c r="B474" s="1345" t="s">
        <v>6487</v>
      </c>
      <c r="C474" s="1353">
        <v>0.0</v>
      </c>
      <c r="D474" s="589"/>
      <c r="E474" s="1298">
        <v>13.6</v>
      </c>
      <c r="F474" s="589"/>
      <c r="G474" s="589"/>
      <c r="H474" s="589"/>
      <c r="I474" s="163">
        <v>30000.0</v>
      </c>
      <c r="J474" s="1298">
        <v>800.0</v>
      </c>
      <c r="K474" s="589">
        <f>E474*J474</f>
        <v>10880</v>
      </c>
      <c r="L474" s="589"/>
      <c r="N474" s="1291"/>
      <c r="O474" s="370"/>
      <c r="P474" s="1291"/>
      <c r="Q474" s="1291"/>
      <c r="R474" s="1291"/>
      <c r="S474" s="370"/>
    </row>
    <row r="475">
      <c r="A475" s="1344"/>
      <c r="B475" s="1339" t="s">
        <v>6377</v>
      </c>
      <c r="C475" s="1353">
        <v>0.0</v>
      </c>
      <c r="D475" s="163">
        <v>19.5</v>
      </c>
      <c r="E475" s="1296">
        <v>800.0</v>
      </c>
      <c r="F475" s="163">
        <f>D475*E475</f>
        <v>15600</v>
      </c>
      <c r="G475" s="589"/>
      <c r="H475" s="589">
        <f>F475*C475</f>
        <v>0</v>
      </c>
      <c r="I475" s="163">
        <v>36000.0</v>
      </c>
      <c r="J475" s="1301">
        <f>I475/F475-1</f>
        <v>1.307692308</v>
      </c>
      <c r="K475" s="589">
        <f t="shared" ref="K475:K477" si="119">I475*C475</f>
        <v>0</v>
      </c>
      <c r="L475" s="163"/>
      <c r="N475" s="1291"/>
      <c r="O475" s="370"/>
      <c r="P475" s="1291"/>
      <c r="Q475" s="1291"/>
      <c r="R475" s="1291"/>
      <c r="S475" s="370"/>
    </row>
    <row r="476">
      <c r="A476" s="1344"/>
      <c r="B476" s="1372" t="s">
        <v>2400</v>
      </c>
      <c r="C476" s="1351">
        <v>10.0</v>
      </c>
      <c r="D476" s="163">
        <v>16.5</v>
      </c>
      <c r="E476" s="1298">
        <v>800.0</v>
      </c>
      <c r="F476" s="589">
        <f t="shared" ref="F476:F477" si="120">SUM(C476*D476)</f>
        <v>165</v>
      </c>
      <c r="G476" s="589"/>
      <c r="H476" s="589">
        <f t="shared" ref="H476:H477" si="121">D476*E476</f>
        <v>13200</v>
      </c>
      <c r="I476" s="589"/>
      <c r="J476" s="1301"/>
      <c r="K476" s="589">
        <f t="shared" si="119"/>
        <v>0</v>
      </c>
      <c r="L476" s="163"/>
      <c r="N476" s="1291"/>
      <c r="O476" s="370"/>
      <c r="P476" s="1291"/>
      <c r="Q476" s="1291"/>
      <c r="R476" s="1291"/>
      <c r="S476" s="370"/>
    </row>
    <row r="477">
      <c r="A477" s="1344"/>
      <c r="B477" s="1372" t="s">
        <v>2402</v>
      </c>
      <c r="C477" s="1351">
        <v>10.0</v>
      </c>
      <c r="D477" s="163">
        <v>16.5</v>
      </c>
      <c r="E477" s="1298">
        <v>800.0</v>
      </c>
      <c r="F477" s="589">
        <f t="shared" si="120"/>
        <v>165</v>
      </c>
      <c r="G477" s="589"/>
      <c r="H477" s="589">
        <f t="shared" si="121"/>
        <v>13200</v>
      </c>
      <c r="I477" s="589"/>
      <c r="J477" s="1301"/>
      <c r="K477" s="589">
        <f t="shared" si="119"/>
        <v>0</v>
      </c>
      <c r="L477" s="163"/>
      <c r="N477" s="1291"/>
      <c r="O477" s="370"/>
      <c r="P477" s="1291"/>
      <c r="Q477" s="1291"/>
      <c r="R477" s="1291"/>
      <c r="S477" s="370"/>
    </row>
    <row r="478">
      <c r="A478" s="1344"/>
      <c r="B478" s="1372" t="s">
        <v>6514</v>
      </c>
      <c r="C478" s="1351">
        <v>5.0</v>
      </c>
      <c r="D478" s="163">
        <v>16.5</v>
      </c>
      <c r="E478" s="1298"/>
      <c r="F478" s="589"/>
      <c r="G478" s="589"/>
      <c r="H478" s="589"/>
      <c r="I478" s="39"/>
      <c r="J478" s="1298"/>
      <c r="K478" s="589"/>
      <c r="L478" s="163"/>
      <c r="N478" s="1291"/>
      <c r="O478" s="370"/>
      <c r="P478" s="1291"/>
      <c r="Q478" s="1291"/>
      <c r="R478" s="1291"/>
      <c r="S478" s="370"/>
    </row>
    <row r="479">
      <c r="A479" s="1344"/>
      <c r="B479" s="1372" t="s">
        <v>2405</v>
      </c>
      <c r="C479" s="1351">
        <v>10.0</v>
      </c>
      <c r="D479" s="163">
        <v>16.5</v>
      </c>
      <c r="E479" s="1298">
        <v>800.0</v>
      </c>
      <c r="F479" s="589">
        <f t="shared" ref="F479:F481" si="122">SUM(C479*D479)</f>
        <v>165</v>
      </c>
      <c r="G479" s="589"/>
      <c r="H479" s="589">
        <f t="shared" ref="H479:H481" si="123">D479*E479</f>
        <v>13200</v>
      </c>
      <c r="I479" s="589"/>
      <c r="J479" s="1301"/>
      <c r="K479" s="589">
        <f t="shared" ref="K479:K481" si="124">I479*C479</f>
        <v>0</v>
      </c>
      <c r="L479" s="163"/>
      <c r="N479" s="1291"/>
      <c r="O479" s="370"/>
      <c r="P479" s="1291"/>
      <c r="Q479" s="1291"/>
      <c r="R479" s="1291"/>
      <c r="S479" s="370"/>
    </row>
    <row r="480">
      <c r="A480" s="1344"/>
      <c r="B480" s="1372" t="s">
        <v>2406</v>
      </c>
      <c r="C480" s="1351">
        <v>10.0</v>
      </c>
      <c r="D480" s="163">
        <v>16.5</v>
      </c>
      <c r="E480" s="1298">
        <v>800.0</v>
      </c>
      <c r="F480" s="589">
        <f t="shared" si="122"/>
        <v>165</v>
      </c>
      <c r="G480" s="589"/>
      <c r="H480" s="589">
        <f t="shared" si="123"/>
        <v>13200</v>
      </c>
      <c r="I480" s="589"/>
      <c r="J480" s="1301"/>
      <c r="K480" s="589">
        <f t="shared" si="124"/>
        <v>0</v>
      </c>
      <c r="L480" s="163"/>
      <c r="N480" s="1291"/>
      <c r="O480" s="370"/>
      <c r="P480" s="1291"/>
      <c r="Q480" s="1291"/>
      <c r="R480" s="1291"/>
      <c r="S480" s="370"/>
    </row>
    <row r="481">
      <c r="A481" s="1344"/>
      <c r="B481" s="1372" t="s">
        <v>2407</v>
      </c>
      <c r="C481" s="1351">
        <v>5.0</v>
      </c>
      <c r="D481" s="163">
        <v>16.5</v>
      </c>
      <c r="E481" s="1298">
        <v>800.0</v>
      </c>
      <c r="F481" s="589">
        <f t="shared" si="122"/>
        <v>82.5</v>
      </c>
      <c r="G481" s="589"/>
      <c r="H481" s="589">
        <f t="shared" si="123"/>
        <v>13200</v>
      </c>
      <c r="I481" s="589"/>
      <c r="J481" s="1301"/>
      <c r="K481" s="589">
        <f t="shared" si="124"/>
        <v>0</v>
      </c>
      <c r="L481" s="163"/>
      <c r="N481" s="1291"/>
      <c r="O481" s="370"/>
      <c r="P481" s="1291"/>
      <c r="Q481" s="1291"/>
      <c r="R481" s="1291"/>
      <c r="S481" s="370"/>
    </row>
    <row r="482">
      <c r="A482" s="1344"/>
      <c r="B482" s="1345" t="s">
        <v>6490</v>
      </c>
      <c r="C482" s="1353">
        <v>0.0</v>
      </c>
      <c r="D482" s="163"/>
      <c r="E482" s="1298">
        <f>53.35/2</f>
        <v>26.675</v>
      </c>
      <c r="F482" s="589"/>
      <c r="G482" s="589"/>
      <c r="H482" s="589"/>
      <c r="I482" s="163">
        <v>55000.0</v>
      </c>
      <c r="J482" s="1298">
        <v>800.0</v>
      </c>
      <c r="K482" s="589">
        <f>E482*J482</f>
        <v>21340</v>
      </c>
      <c r="L482" s="163"/>
      <c r="N482" s="1291"/>
      <c r="O482" s="370"/>
      <c r="P482" s="1291"/>
      <c r="Q482" s="1291"/>
      <c r="R482" s="1291"/>
      <c r="S482" s="370"/>
    </row>
    <row r="483">
      <c r="A483" s="1344"/>
      <c r="B483" s="1345" t="s">
        <v>6435</v>
      </c>
      <c r="C483" s="1353">
        <v>0.0</v>
      </c>
      <c r="D483" s="163">
        <v>28.3</v>
      </c>
      <c r="E483" s="1298">
        <v>800.0</v>
      </c>
      <c r="F483" s="589">
        <f>SUM(C483*D483)</f>
        <v>0</v>
      </c>
      <c r="G483" s="39"/>
      <c r="H483" s="589"/>
      <c r="I483" s="589"/>
      <c r="J483" s="1301"/>
      <c r="K483" s="589">
        <f>I483*C483</f>
        <v>0</v>
      </c>
      <c r="L483" s="589"/>
      <c r="N483" s="1291"/>
      <c r="O483" s="370"/>
      <c r="P483" s="1291"/>
      <c r="Q483" s="1291"/>
      <c r="R483" s="1291"/>
      <c r="S483" s="370"/>
    </row>
    <row r="484">
      <c r="A484" s="1344"/>
      <c r="B484" s="1372" t="s">
        <v>6489</v>
      </c>
      <c r="C484" s="1351">
        <v>10.0</v>
      </c>
      <c r="D484" s="163"/>
      <c r="E484" s="1298"/>
      <c r="F484" s="163"/>
      <c r="G484" s="163"/>
      <c r="H484" s="163"/>
      <c r="I484" s="163"/>
      <c r="J484" s="1298"/>
      <c r="K484" s="589"/>
      <c r="L484" s="163"/>
      <c r="N484" s="1291"/>
      <c r="O484" s="370"/>
      <c r="P484" s="1291"/>
      <c r="Q484" s="1291"/>
      <c r="R484" s="1291"/>
      <c r="S484" s="370"/>
    </row>
    <row r="485">
      <c r="A485" s="1344"/>
      <c r="B485" s="1345"/>
      <c r="C485" s="1353">
        <v>0.0</v>
      </c>
      <c r="D485" s="589"/>
      <c r="E485" s="1298"/>
      <c r="F485" s="163"/>
      <c r="G485" s="163"/>
      <c r="H485" s="163"/>
      <c r="I485" s="163"/>
      <c r="J485" s="1298"/>
      <c r="K485" s="589"/>
      <c r="L485" s="163"/>
      <c r="N485" s="1291"/>
      <c r="O485" s="370"/>
      <c r="P485" s="1291"/>
      <c r="Q485" s="1291"/>
      <c r="R485" s="1291"/>
      <c r="S485" s="370"/>
    </row>
    <row r="486">
      <c r="A486" s="1344"/>
      <c r="B486" s="1375"/>
      <c r="C486" s="1344"/>
      <c r="D486" s="587"/>
      <c r="E486" s="1362"/>
      <c r="F486" s="595"/>
      <c r="G486" s="595"/>
      <c r="H486" s="595"/>
      <c r="I486" s="595"/>
      <c r="J486" s="1362"/>
      <c r="K486" s="587"/>
      <c r="L486" s="595"/>
      <c r="N486" s="1291"/>
      <c r="O486" s="370"/>
      <c r="P486" s="1291"/>
      <c r="Q486" s="1291"/>
      <c r="R486" s="1291"/>
      <c r="S486" s="370"/>
    </row>
    <row r="487">
      <c r="A487" s="1344"/>
      <c r="B487" s="1375"/>
      <c r="C487" s="1344"/>
      <c r="D487" s="587"/>
      <c r="E487" s="1362"/>
      <c r="F487" s="595"/>
      <c r="G487" s="595"/>
      <c r="H487" s="595"/>
      <c r="I487" s="595"/>
      <c r="J487" s="1362"/>
      <c r="K487" s="587"/>
      <c r="L487" s="595"/>
      <c r="N487" s="1291"/>
      <c r="O487" s="370"/>
      <c r="P487" s="1291"/>
      <c r="Q487" s="1291"/>
      <c r="R487" s="1291"/>
      <c r="S487" s="370"/>
    </row>
    <row r="488">
      <c r="A488" s="1344"/>
      <c r="B488" s="1376" t="s">
        <v>6515</v>
      </c>
      <c r="C488" s="1376" t="s">
        <v>3879</v>
      </c>
      <c r="D488" s="1377" t="s">
        <v>6516</v>
      </c>
      <c r="E488" s="1378" t="s">
        <v>6517</v>
      </c>
      <c r="F488" s="1377" t="s">
        <v>6518</v>
      </c>
      <c r="G488" s="1377"/>
      <c r="H488" s="1377" t="s">
        <v>6519</v>
      </c>
      <c r="I488" s="1377" t="s">
        <v>6520</v>
      </c>
      <c r="J488" s="1362"/>
      <c r="K488" s="587"/>
      <c r="L488" s="595"/>
      <c r="N488" s="1291"/>
      <c r="O488" s="370"/>
      <c r="P488" s="1291"/>
      <c r="Q488" s="1291"/>
      <c r="R488" s="1291"/>
      <c r="S488" s="370"/>
    </row>
    <row r="489">
      <c r="A489" s="1344"/>
      <c r="B489" s="1379" t="s">
        <v>6479</v>
      </c>
      <c r="C489" s="1380">
        <v>3.0</v>
      </c>
      <c r="D489" s="1381">
        <v>12.0</v>
      </c>
      <c r="E489" s="1382">
        <f t="shared" ref="E489:E507" si="125">C489*D489</f>
        <v>36</v>
      </c>
      <c r="F489" s="1381">
        <v>800.0</v>
      </c>
      <c r="G489" s="1381"/>
      <c r="H489" s="1381">
        <f t="shared" ref="H489:H507" si="126">F489*D489</f>
        <v>9600</v>
      </c>
      <c r="I489" s="1381">
        <f t="shared" ref="I489:I507" si="127">E489*F489</f>
        <v>28800</v>
      </c>
      <c r="J489" s="1362"/>
      <c r="K489" s="587"/>
      <c r="L489" s="595"/>
      <c r="N489" s="1291"/>
      <c r="O489" s="370"/>
      <c r="P489" s="1291"/>
      <c r="Q489" s="1291"/>
      <c r="R489" s="1291"/>
      <c r="S489" s="370"/>
    </row>
    <row r="490">
      <c r="A490" s="1344"/>
      <c r="B490" s="1379" t="s">
        <v>6342</v>
      </c>
      <c r="C490" s="1380">
        <v>10.0</v>
      </c>
      <c r="D490" s="1381">
        <v>29.0</v>
      </c>
      <c r="E490" s="1382">
        <f t="shared" si="125"/>
        <v>290</v>
      </c>
      <c r="F490" s="1381">
        <v>800.0</v>
      </c>
      <c r="G490" s="1381"/>
      <c r="H490" s="1381">
        <f t="shared" si="126"/>
        <v>23200</v>
      </c>
      <c r="I490" s="1381">
        <f t="shared" si="127"/>
        <v>232000</v>
      </c>
      <c r="J490" s="1362"/>
      <c r="K490" s="587"/>
      <c r="L490" s="595"/>
      <c r="N490" s="1291"/>
      <c r="O490" s="370"/>
      <c r="P490" s="1291"/>
      <c r="Q490" s="1291"/>
      <c r="R490" s="1291"/>
      <c r="S490" s="370"/>
    </row>
    <row r="491">
      <c r="A491" s="1344"/>
      <c r="B491" s="1379" t="s">
        <v>6509</v>
      </c>
      <c r="C491" s="1380">
        <v>10.0</v>
      </c>
      <c r="D491" s="1381">
        <v>12.0</v>
      </c>
      <c r="E491" s="1382">
        <f t="shared" si="125"/>
        <v>120</v>
      </c>
      <c r="F491" s="1381">
        <v>800.0</v>
      </c>
      <c r="G491" s="1381"/>
      <c r="H491" s="1381">
        <f t="shared" si="126"/>
        <v>9600</v>
      </c>
      <c r="I491" s="1381">
        <f t="shared" si="127"/>
        <v>96000</v>
      </c>
      <c r="J491" s="1362"/>
      <c r="K491" s="587"/>
      <c r="L491" s="595"/>
      <c r="N491" s="1291"/>
      <c r="O491" s="370"/>
      <c r="P491" s="1291"/>
      <c r="Q491" s="1291"/>
      <c r="R491" s="1291"/>
      <c r="S491" s="370"/>
    </row>
    <row r="492">
      <c r="A492" s="1344"/>
      <c r="B492" s="1379" t="s">
        <v>6510</v>
      </c>
      <c r="C492" s="1380">
        <v>6.0</v>
      </c>
      <c r="D492" s="1381">
        <v>12.0</v>
      </c>
      <c r="E492" s="1382">
        <f t="shared" si="125"/>
        <v>72</v>
      </c>
      <c r="F492" s="1381">
        <v>800.0</v>
      </c>
      <c r="G492" s="1381"/>
      <c r="H492" s="1381">
        <f t="shared" si="126"/>
        <v>9600</v>
      </c>
      <c r="I492" s="1381">
        <f t="shared" si="127"/>
        <v>57600</v>
      </c>
      <c r="J492" s="1362"/>
      <c r="K492" s="587"/>
      <c r="L492" s="595"/>
      <c r="N492" s="1291"/>
      <c r="O492" s="370"/>
      <c r="P492" s="1291"/>
      <c r="Q492" s="1291"/>
      <c r="R492" s="1291"/>
      <c r="S492" s="370"/>
    </row>
    <row r="493">
      <c r="A493" s="1344"/>
      <c r="B493" s="1379" t="s">
        <v>6521</v>
      </c>
      <c r="C493" s="1380">
        <v>10.0</v>
      </c>
      <c r="D493" s="1381">
        <v>12.0</v>
      </c>
      <c r="E493" s="1382">
        <f t="shared" si="125"/>
        <v>120</v>
      </c>
      <c r="F493" s="1381">
        <v>800.0</v>
      </c>
      <c r="G493" s="1381"/>
      <c r="H493" s="1381">
        <f t="shared" si="126"/>
        <v>9600</v>
      </c>
      <c r="I493" s="1381">
        <f t="shared" si="127"/>
        <v>96000</v>
      </c>
      <c r="J493" s="1362"/>
      <c r="K493" s="587"/>
      <c r="L493" s="595"/>
      <c r="N493" s="1291"/>
      <c r="O493" s="370"/>
      <c r="P493" s="1291"/>
      <c r="Q493" s="1291"/>
      <c r="R493" s="1291"/>
      <c r="S493" s="370"/>
    </row>
    <row r="494">
      <c r="A494" s="1344"/>
      <c r="B494" s="1379" t="s">
        <v>6456</v>
      </c>
      <c r="C494" s="1380">
        <v>10.0</v>
      </c>
      <c r="D494" s="1381">
        <v>13.0</v>
      </c>
      <c r="E494" s="1382">
        <f t="shared" si="125"/>
        <v>130</v>
      </c>
      <c r="F494" s="1381">
        <v>800.0</v>
      </c>
      <c r="G494" s="1381"/>
      <c r="H494" s="1381">
        <f t="shared" si="126"/>
        <v>10400</v>
      </c>
      <c r="I494" s="1381">
        <f t="shared" si="127"/>
        <v>104000</v>
      </c>
      <c r="J494" s="1362"/>
      <c r="K494" s="587"/>
      <c r="L494" s="595"/>
      <c r="N494" s="1291"/>
      <c r="O494" s="370"/>
      <c r="P494" s="1291"/>
      <c r="Q494" s="1291"/>
      <c r="R494" s="1291"/>
      <c r="S494" s="370"/>
    </row>
    <row r="495">
      <c r="A495" s="1344"/>
      <c r="B495" s="1379" t="s">
        <v>6457</v>
      </c>
      <c r="C495" s="1380">
        <v>20.0</v>
      </c>
      <c r="D495" s="1381">
        <v>110.0</v>
      </c>
      <c r="E495" s="1382">
        <f t="shared" si="125"/>
        <v>2200</v>
      </c>
      <c r="F495" s="1381">
        <v>800.0</v>
      </c>
      <c r="G495" s="1381"/>
      <c r="H495" s="1381">
        <f t="shared" si="126"/>
        <v>88000</v>
      </c>
      <c r="I495" s="1381">
        <f t="shared" si="127"/>
        <v>1760000</v>
      </c>
      <c r="J495" s="1362"/>
      <c r="K495" s="587"/>
      <c r="L495" s="595"/>
      <c r="N495" s="1291"/>
      <c r="O495" s="370"/>
      <c r="P495" s="1291"/>
      <c r="Q495" s="1291"/>
      <c r="R495" s="1291"/>
      <c r="S495" s="370"/>
    </row>
    <row r="496">
      <c r="A496" s="1344"/>
      <c r="B496" s="1379" t="s">
        <v>6522</v>
      </c>
      <c r="C496" s="1380">
        <v>10.0</v>
      </c>
      <c r="D496" s="1381">
        <v>14.0</v>
      </c>
      <c r="E496" s="1382">
        <f t="shared" si="125"/>
        <v>140</v>
      </c>
      <c r="F496" s="1381">
        <v>801.0</v>
      </c>
      <c r="G496" s="1381"/>
      <c r="H496" s="1381">
        <f t="shared" si="126"/>
        <v>11214</v>
      </c>
      <c r="I496" s="1381">
        <f t="shared" si="127"/>
        <v>112140</v>
      </c>
      <c r="J496" s="1362"/>
      <c r="K496" s="587"/>
      <c r="L496" s="595"/>
      <c r="N496" s="1291"/>
      <c r="O496" s="370"/>
      <c r="P496" s="1291"/>
      <c r="Q496" s="1291"/>
      <c r="R496" s="1291"/>
      <c r="S496" s="370"/>
    </row>
    <row r="497">
      <c r="A497" s="1344"/>
      <c r="B497" s="1379" t="s">
        <v>6459</v>
      </c>
      <c r="C497" s="1380">
        <v>10.0</v>
      </c>
      <c r="D497" s="1381">
        <v>8.0</v>
      </c>
      <c r="E497" s="1382">
        <f t="shared" si="125"/>
        <v>80</v>
      </c>
      <c r="F497" s="1381">
        <v>800.0</v>
      </c>
      <c r="G497" s="1381"/>
      <c r="H497" s="1381">
        <f t="shared" si="126"/>
        <v>6400</v>
      </c>
      <c r="I497" s="1381">
        <f t="shared" si="127"/>
        <v>64000</v>
      </c>
      <c r="J497" s="1362"/>
      <c r="K497" s="587"/>
      <c r="L497" s="595"/>
      <c r="N497" s="1291"/>
      <c r="O497" s="370"/>
      <c r="P497" s="1291"/>
      <c r="Q497" s="1291"/>
      <c r="R497" s="1291"/>
      <c r="S497" s="370"/>
    </row>
    <row r="498">
      <c r="A498" s="1344"/>
      <c r="B498" s="1379" t="s">
        <v>6460</v>
      </c>
      <c r="C498" s="1380">
        <v>10.0</v>
      </c>
      <c r="D498" s="1381">
        <v>8.0</v>
      </c>
      <c r="E498" s="1382">
        <f t="shared" si="125"/>
        <v>80</v>
      </c>
      <c r="F498" s="1381">
        <v>800.0</v>
      </c>
      <c r="G498" s="1381"/>
      <c r="H498" s="1381">
        <f t="shared" si="126"/>
        <v>6400</v>
      </c>
      <c r="I498" s="1381">
        <f t="shared" si="127"/>
        <v>64000</v>
      </c>
      <c r="J498" s="1362"/>
      <c r="K498" s="587"/>
      <c r="L498" s="595"/>
      <c r="N498" s="1291"/>
      <c r="O498" s="370"/>
      <c r="P498" s="1291"/>
      <c r="Q498" s="1291"/>
      <c r="R498" s="1291"/>
      <c r="S498" s="370"/>
    </row>
    <row r="499">
      <c r="A499" s="1344"/>
      <c r="B499" s="1379" t="s">
        <v>6417</v>
      </c>
      <c r="C499" s="1380">
        <v>10.0</v>
      </c>
      <c r="D499" s="1381">
        <v>42.6</v>
      </c>
      <c r="E499" s="1382">
        <f t="shared" si="125"/>
        <v>426</v>
      </c>
      <c r="F499" s="1381">
        <v>800.0</v>
      </c>
      <c r="G499" s="1381"/>
      <c r="H499" s="1381">
        <f t="shared" si="126"/>
        <v>34080</v>
      </c>
      <c r="I499" s="1381">
        <f t="shared" si="127"/>
        <v>340800</v>
      </c>
      <c r="J499" s="1362"/>
      <c r="K499" s="587"/>
      <c r="L499" s="595"/>
      <c r="N499" s="1291"/>
      <c r="O499" s="370"/>
      <c r="P499" s="1291"/>
      <c r="Q499" s="1291"/>
      <c r="R499" s="1291"/>
      <c r="S499" s="370"/>
    </row>
    <row r="500">
      <c r="A500" s="1344"/>
      <c r="B500" s="1379" t="s">
        <v>6418</v>
      </c>
      <c r="C500" s="1380">
        <v>6.0</v>
      </c>
      <c r="D500" s="1381">
        <v>42.6</v>
      </c>
      <c r="E500" s="1382">
        <f t="shared" si="125"/>
        <v>255.6</v>
      </c>
      <c r="F500" s="1381">
        <v>800.0</v>
      </c>
      <c r="G500" s="1381"/>
      <c r="H500" s="1381">
        <f t="shared" si="126"/>
        <v>34080</v>
      </c>
      <c r="I500" s="1381">
        <f t="shared" si="127"/>
        <v>204480</v>
      </c>
      <c r="J500" s="1362"/>
      <c r="K500" s="587"/>
      <c r="L500" s="595"/>
      <c r="N500" s="1291"/>
      <c r="O500" s="370"/>
      <c r="P500" s="1291"/>
      <c r="Q500" s="1291"/>
      <c r="R500" s="1291"/>
      <c r="S500" s="370"/>
    </row>
    <row r="501">
      <c r="A501" s="1344"/>
      <c r="B501" s="1379" t="s">
        <v>2400</v>
      </c>
      <c r="C501" s="1380">
        <v>10.0</v>
      </c>
      <c r="D501" s="1381">
        <v>16.5</v>
      </c>
      <c r="E501" s="1382">
        <f t="shared" si="125"/>
        <v>165</v>
      </c>
      <c r="F501" s="1381">
        <v>800.0</v>
      </c>
      <c r="G501" s="1381"/>
      <c r="H501" s="1381">
        <f t="shared" si="126"/>
        <v>13200</v>
      </c>
      <c r="I501" s="1381">
        <f t="shared" si="127"/>
        <v>132000</v>
      </c>
      <c r="J501" s="1362"/>
      <c r="K501" s="587"/>
      <c r="L501" s="595"/>
      <c r="N501" s="1291"/>
      <c r="O501" s="370"/>
      <c r="P501" s="1291"/>
      <c r="Q501" s="1291"/>
      <c r="R501" s="1291"/>
      <c r="S501" s="370"/>
    </row>
    <row r="502">
      <c r="A502" s="1344"/>
      <c r="B502" s="1379" t="s">
        <v>2402</v>
      </c>
      <c r="C502" s="1380">
        <v>10.0</v>
      </c>
      <c r="D502" s="1381">
        <v>16.5</v>
      </c>
      <c r="E502" s="1382">
        <f t="shared" si="125"/>
        <v>165</v>
      </c>
      <c r="F502" s="1381">
        <v>800.0</v>
      </c>
      <c r="G502" s="1381"/>
      <c r="H502" s="1381">
        <f t="shared" si="126"/>
        <v>13200</v>
      </c>
      <c r="I502" s="1381">
        <f t="shared" si="127"/>
        <v>132000</v>
      </c>
      <c r="J502" s="1362"/>
      <c r="K502" s="587"/>
      <c r="L502" s="595"/>
      <c r="N502" s="1291"/>
      <c r="O502" s="370"/>
      <c r="P502" s="1291"/>
      <c r="Q502" s="1291"/>
      <c r="R502" s="1291"/>
      <c r="S502" s="370"/>
    </row>
    <row r="503">
      <c r="A503" s="1344"/>
      <c r="B503" s="1379" t="s">
        <v>6514</v>
      </c>
      <c r="C503" s="1380">
        <v>5.0</v>
      </c>
      <c r="D503" s="1381">
        <v>16.5</v>
      </c>
      <c r="E503" s="1382">
        <f t="shared" si="125"/>
        <v>82.5</v>
      </c>
      <c r="F503" s="1381">
        <v>800.0</v>
      </c>
      <c r="G503" s="1381"/>
      <c r="H503" s="1381">
        <f t="shared" si="126"/>
        <v>13200</v>
      </c>
      <c r="I503" s="1381">
        <f t="shared" si="127"/>
        <v>66000</v>
      </c>
      <c r="J503" s="1362"/>
      <c r="K503" s="587"/>
      <c r="L503" s="595"/>
      <c r="N503" s="1291"/>
      <c r="O503" s="370"/>
      <c r="P503" s="1291"/>
      <c r="Q503" s="1291"/>
      <c r="R503" s="1291"/>
      <c r="S503" s="370"/>
    </row>
    <row r="504">
      <c r="A504" s="1344"/>
      <c r="B504" s="1379" t="s">
        <v>2405</v>
      </c>
      <c r="C504" s="1380">
        <v>10.0</v>
      </c>
      <c r="D504" s="1381">
        <v>16.5</v>
      </c>
      <c r="E504" s="1382">
        <f t="shared" si="125"/>
        <v>165</v>
      </c>
      <c r="F504" s="1381">
        <v>800.0</v>
      </c>
      <c r="G504" s="1381"/>
      <c r="H504" s="1381">
        <f t="shared" si="126"/>
        <v>13200</v>
      </c>
      <c r="I504" s="1381">
        <f t="shared" si="127"/>
        <v>132000</v>
      </c>
      <c r="J504" s="1362"/>
      <c r="K504" s="587"/>
      <c r="L504" s="595"/>
      <c r="N504" s="1291"/>
      <c r="O504" s="370"/>
      <c r="P504" s="1291"/>
      <c r="Q504" s="1291"/>
      <c r="R504" s="1291"/>
      <c r="S504" s="370"/>
    </row>
    <row r="505">
      <c r="A505" s="1344"/>
      <c r="B505" s="1379" t="s">
        <v>2406</v>
      </c>
      <c r="C505" s="1380">
        <v>10.0</v>
      </c>
      <c r="D505" s="1381">
        <v>16.5</v>
      </c>
      <c r="E505" s="1382">
        <f t="shared" si="125"/>
        <v>165</v>
      </c>
      <c r="F505" s="1381">
        <v>800.0</v>
      </c>
      <c r="G505" s="1381"/>
      <c r="H505" s="1381">
        <f t="shared" si="126"/>
        <v>13200</v>
      </c>
      <c r="I505" s="1381">
        <f t="shared" si="127"/>
        <v>132000</v>
      </c>
      <c r="J505" s="1362"/>
      <c r="K505" s="587"/>
      <c r="L505" s="595"/>
      <c r="N505" s="1291"/>
      <c r="O505" s="370"/>
      <c r="P505" s="1291"/>
      <c r="Q505" s="1291"/>
      <c r="R505" s="1291"/>
      <c r="S505" s="370"/>
    </row>
    <row r="506">
      <c r="A506" s="1344"/>
      <c r="B506" s="1379" t="s">
        <v>2407</v>
      </c>
      <c r="C506" s="1380">
        <v>5.0</v>
      </c>
      <c r="D506" s="1381">
        <v>16.5</v>
      </c>
      <c r="E506" s="1382">
        <f t="shared" si="125"/>
        <v>82.5</v>
      </c>
      <c r="F506" s="1381">
        <v>800.0</v>
      </c>
      <c r="G506" s="1381"/>
      <c r="H506" s="1381">
        <f t="shared" si="126"/>
        <v>13200</v>
      </c>
      <c r="I506" s="1381">
        <f t="shared" si="127"/>
        <v>66000</v>
      </c>
      <c r="J506" s="1362"/>
      <c r="K506" s="587"/>
      <c r="L506" s="595"/>
      <c r="N506" s="1291"/>
      <c r="O506" s="370"/>
      <c r="P506" s="1291"/>
      <c r="Q506" s="1291"/>
      <c r="R506" s="1291"/>
      <c r="S506" s="370"/>
    </row>
    <row r="507">
      <c r="A507" s="1344"/>
      <c r="B507" s="1379" t="s">
        <v>6523</v>
      </c>
      <c r="C507" s="1380">
        <v>10.0</v>
      </c>
      <c r="D507" s="1381">
        <v>15.0</v>
      </c>
      <c r="E507" s="1382">
        <f t="shared" si="125"/>
        <v>150</v>
      </c>
      <c r="F507" s="1381">
        <v>800.0</v>
      </c>
      <c r="G507" s="1381"/>
      <c r="H507" s="1381">
        <f t="shared" si="126"/>
        <v>12000</v>
      </c>
      <c r="I507" s="1381">
        <f t="shared" si="127"/>
        <v>120000</v>
      </c>
      <c r="J507" s="1362"/>
      <c r="K507" s="587"/>
      <c r="L507" s="595"/>
      <c r="N507" s="1291"/>
      <c r="O507" s="370"/>
      <c r="P507" s="1291"/>
      <c r="Q507" s="1291"/>
      <c r="R507" s="1291"/>
      <c r="S507" s="370"/>
    </row>
    <row r="508">
      <c r="A508" s="1344"/>
      <c r="B508" s="1383"/>
      <c r="C508" s="1383"/>
      <c r="D508" s="1384"/>
      <c r="E508" s="1385"/>
      <c r="F508" s="1384"/>
      <c r="G508" s="1384"/>
      <c r="H508" s="1384"/>
      <c r="I508" s="1384"/>
      <c r="J508" s="1362"/>
      <c r="K508" s="587"/>
      <c r="L508" s="595"/>
      <c r="N508" s="1291"/>
      <c r="O508" s="370"/>
      <c r="P508" s="1291"/>
      <c r="Q508" s="1291"/>
      <c r="R508" s="1291"/>
      <c r="S508" s="370"/>
    </row>
    <row r="509">
      <c r="A509" s="1344"/>
      <c r="B509" s="1383"/>
      <c r="C509" s="1383"/>
      <c r="D509" s="1384"/>
      <c r="E509" s="1382">
        <v>4.925</v>
      </c>
      <c r="F509" s="1384"/>
      <c r="G509" s="1384"/>
      <c r="H509" s="1384"/>
      <c r="I509" s="1381">
        <f>SUM(I489:I507)</f>
        <v>3939820</v>
      </c>
      <c r="J509" s="1362"/>
      <c r="K509" s="587"/>
      <c r="L509" s="595"/>
      <c r="N509" s="1291"/>
      <c r="O509" s="370"/>
      <c r="P509" s="1291"/>
      <c r="Q509" s="1291"/>
      <c r="R509" s="1291"/>
      <c r="S509" s="370"/>
    </row>
    <row r="510">
      <c r="A510" s="1344"/>
      <c r="B510" s="1375"/>
      <c r="C510" s="1344"/>
      <c r="D510" s="587"/>
      <c r="E510" s="1362"/>
      <c r="F510" s="595"/>
      <c r="G510" s="595"/>
      <c r="H510" s="595"/>
      <c r="I510" s="595"/>
      <c r="J510" s="1362"/>
      <c r="K510" s="587"/>
      <c r="L510" s="595"/>
      <c r="N510" s="1291"/>
      <c r="O510" s="370"/>
      <c r="P510" s="1291"/>
      <c r="Q510" s="1291"/>
      <c r="R510" s="1291"/>
      <c r="S510" s="370"/>
    </row>
    <row r="511">
      <c r="A511" s="1344"/>
      <c r="B511" s="1386" t="s">
        <v>6524</v>
      </c>
      <c r="J511" s="1362"/>
      <c r="K511" s="587"/>
      <c r="L511" s="595"/>
      <c r="N511" s="1291"/>
      <c r="O511" s="370"/>
      <c r="P511" s="1291"/>
      <c r="Q511" s="1291"/>
      <c r="R511" s="1291"/>
      <c r="S511" s="370"/>
    </row>
    <row r="512">
      <c r="A512" s="1344"/>
      <c r="B512" s="1375"/>
      <c r="C512" s="1344"/>
      <c r="D512" s="587"/>
      <c r="E512" s="1362"/>
      <c r="F512" s="595"/>
      <c r="G512" s="595"/>
      <c r="H512" s="595"/>
      <c r="I512" s="595"/>
      <c r="J512" s="1362"/>
      <c r="K512" s="587"/>
      <c r="L512" s="595"/>
      <c r="N512" s="1291"/>
      <c r="O512" s="370"/>
      <c r="P512" s="1291"/>
      <c r="Q512" s="1291"/>
      <c r="R512" s="1291"/>
      <c r="S512" s="370"/>
    </row>
    <row r="513">
      <c r="A513" s="1344"/>
      <c r="B513" s="1376"/>
      <c r="C513" s="1376" t="s">
        <v>3879</v>
      </c>
      <c r="D513" s="1377" t="s">
        <v>6516</v>
      </c>
      <c r="E513" s="1378" t="s">
        <v>6517</v>
      </c>
      <c r="F513" s="1377" t="s">
        <v>6518</v>
      </c>
      <c r="G513" s="1377"/>
      <c r="H513" s="1377" t="s">
        <v>6519</v>
      </c>
      <c r="I513" s="1377" t="s">
        <v>6520</v>
      </c>
      <c r="J513" s="1298" t="s">
        <v>6525</v>
      </c>
      <c r="K513" s="163" t="s">
        <v>6526</v>
      </c>
      <c r="L513" s="595"/>
      <c r="N513" s="1291"/>
      <c r="O513" s="370"/>
      <c r="P513" s="1291"/>
      <c r="Q513" s="1291"/>
      <c r="R513" s="1291"/>
      <c r="S513" s="370"/>
    </row>
    <row r="514">
      <c r="A514" s="1344"/>
      <c r="B514" s="1387" t="s">
        <v>6479</v>
      </c>
      <c r="C514" s="1388">
        <v>0.0</v>
      </c>
      <c r="D514" s="1381"/>
      <c r="E514" s="1382">
        <f t="shared" ref="E514:E561" si="128">C514*D514</f>
        <v>0</v>
      </c>
      <c r="F514" s="1381">
        <v>800.0</v>
      </c>
      <c r="G514" s="1381"/>
      <c r="H514" s="1381">
        <f t="shared" ref="H514:H561" si="129">F514*D514</f>
        <v>0</v>
      </c>
      <c r="I514" s="1381">
        <f t="shared" ref="I514:I561" si="130">E514*F514</f>
        <v>0</v>
      </c>
      <c r="J514" s="1298"/>
      <c r="K514" s="589"/>
      <c r="L514" s="595"/>
      <c r="N514" s="1291"/>
      <c r="O514" s="370"/>
      <c r="P514" s="1291"/>
      <c r="Q514" s="1291"/>
      <c r="R514" s="1291"/>
      <c r="S514" s="370"/>
    </row>
    <row r="515">
      <c r="A515" s="1344"/>
      <c r="B515" s="1389" t="s">
        <v>6527</v>
      </c>
      <c r="C515" s="1353">
        <v>0.0</v>
      </c>
      <c r="D515" s="589"/>
      <c r="E515" s="1382">
        <f t="shared" si="128"/>
        <v>0</v>
      </c>
      <c r="F515" s="1381">
        <v>800.0</v>
      </c>
      <c r="G515" s="1381"/>
      <c r="H515" s="1381">
        <f t="shared" si="129"/>
        <v>0</v>
      </c>
      <c r="I515" s="1381">
        <f t="shared" si="130"/>
        <v>0</v>
      </c>
      <c r="J515" s="1298"/>
      <c r="K515" s="589"/>
      <c r="L515" s="595"/>
      <c r="N515" s="1291"/>
      <c r="O515" s="370"/>
      <c r="P515" s="1291"/>
      <c r="Q515" s="1291"/>
      <c r="R515" s="1291"/>
      <c r="S515" s="370"/>
    </row>
    <row r="516">
      <c r="A516" s="1344"/>
      <c r="B516" s="1387" t="s">
        <v>6342</v>
      </c>
      <c r="C516" s="1353">
        <v>6.0</v>
      </c>
      <c r="D516" s="1381"/>
      <c r="E516" s="1382">
        <f t="shared" si="128"/>
        <v>0</v>
      </c>
      <c r="F516" s="1381">
        <v>800.0</v>
      </c>
      <c r="G516" s="1381"/>
      <c r="H516" s="1381">
        <f t="shared" si="129"/>
        <v>0</v>
      </c>
      <c r="I516" s="1381">
        <f t="shared" si="130"/>
        <v>0</v>
      </c>
      <c r="J516" s="1298"/>
      <c r="K516" s="163"/>
      <c r="L516" s="595"/>
      <c r="N516" s="1291"/>
      <c r="O516" s="370"/>
      <c r="P516" s="1291"/>
      <c r="Q516" s="1291"/>
      <c r="R516" s="1291"/>
      <c r="S516" s="370"/>
    </row>
    <row r="517">
      <c r="A517" s="1344" t="s">
        <v>4326</v>
      </c>
      <c r="B517" s="1389" t="s">
        <v>6528</v>
      </c>
      <c r="C517" s="1353">
        <v>10.0</v>
      </c>
      <c r="D517" s="589"/>
      <c r="E517" s="1382">
        <f t="shared" si="128"/>
        <v>0</v>
      </c>
      <c r="F517" s="1381">
        <v>800.0</v>
      </c>
      <c r="G517" s="1381"/>
      <c r="H517" s="1381">
        <f t="shared" si="129"/>
        <v>0</v>
      </c>
      <c r="I517" s="1381">
        <f t="shared" si="130"/>
        <v>0</v>
      </c>
      <c r="J517" s="1298"/>
      <c r="K517" s="163" t="s">
        <v>4326</v>
      </c>
      <c r="L517" s="595"/>
      <c r="N517" s="1291"/>
      <c r="O517" s="370"/>
      <c r="P517" s="1291"/>
      <c r="Q517" s="1291"/>
      <c r="R517" s="1291"/>
      <c r="S517" s="370"/>
    </row>
    <row r="518">
      <c r="A518" s="1344" t="s">
        <v>4326</v>
      </c>
      <c r="B518" s="1389" t="s">
        <v>6529</v>
      </c>
      <c r="C518" s="1353">
        <v>10.0</v>
      </c>
      <c r="D518" s="589"/>
      <c r="E518" s="1382">
        <f t="shared" si="128"/>
        <v>0</v>
      </c>
      <c r="F518" s="1381">
        <v>800.0</v>
      </c>
      <c r="G518" s="1381"/>
      <c r="H518" s="1381">
        <f t="shared" si="129"/>
        <v>0</v>
      </c>
      <c r="I518" s="1381">
        <f t="shared" si="130"/>
        <v>0</v>
      </c>
      <c r="J518" s="1298"/>
      <c r="K518" s="163" t="s">
        <v>4326</v>
      </c>
      <c r="L518" s="595"/>
      <c r="N518" s="1291"/>
      <c r="O518" s="370"/>
      <c r="P518" s="1291"/>
      <c r="Q518" s="1291"/>
      <c r="R518" s="1291"/>
      <c r="S518" s="370"/>
    </row>
    <row r="519">
      <c r="A519" s="1344"/>
      <c r="B519" s="1387" t="s">
        <v>6509</v>
      </c>
      <c r="C519" s="1353">
        <v>0.0</v>
      </c>
      <c r="D519" s="1381"/>
      <c r="E519" s="1382">
        <f t="shared" si="128"/>
        <v>0</v>
      </c>
      <c r="F519" s="1381">
        <v>800.0</v>
      </c>
      <c r="G519" s="1381"/>
      <c r="H519" s="1381">
        <f t="shared" si="129"/>
        <v>0</v>
      </c>
      <c r="I519" s="1381">
        <f t="shared" si="130"/>
        <v>0</v>
      </c>
      <c r="J519" s="1298"/>
      <c r="K519" s="589"/>
      <c r="L519" s="595"/>
      <c r="N519" s="1291"/>
      <c r="O519" s="370"/>
      <c r="P519" s="1291"/>
      <c r="Q519" s="1291"/>
      <c r="R519" s="1291"/>
      <c r="S519" s="370"/>
    </row>
    <row r="520">
      <c r="A520" s="1344"/>
      <c r="B520" s="1387" t="s">
        <v>6510</v>
      </c>
      <c r="C520" s="1353">
        <v>0.0</v>
      </c>
      <c r="D520" s="1381"/>
      <c r="E520" s="1382">
        <f t="shared" si="128"/>
        <v>0</v>
      </c>
      <c r="F520" s="1381">
        <v>800.0</v>
      </c>
      <c r="G520" s="1381"/>
      <c r="H520" s="1381">
        <f t="shared" si="129"/>
        <v>0</v>
      </c>
      <c r="I520" s="1381">
        <f t="shared" si="130"/>
        <v>0</v>
      </c>
      <c r="J520" s="1298"/>
      <c r="K520" s="589"/>
      <c r="L520" s="595"/>
      <c r="N520" s="1291"/>
      <c r="O520" s="370"/>
      <c r="P520" s="1291"/>
      <c r="Q520" s="1291"/>
      <c r="R520" s="1291"/>
      <c r="S520" s="370"/>
    </row>
    <row r="521">
      <c r="A521" s="1344"/>
      <c r="B521" s="1387" t="s">
        <v>6530</v>
      </c>
      <c r="C521" s="1353">
        <v>0.0</v>
      </c>
      <c r="D521" s="1381"/>
      <c r="E521" s="1382">
        <f t="shared" si="128"/>
        <v>0</v>
      </c>
      <c r="F521" s="1381">
        <v>800.0</v>
      </c>
      <c r="G521" s="1381"/>
      <c r="H521" s="1381">
        <f t="shared" si="129"/>
        <v>0</v>
      </c>
      <c r="I521" s="1381">
        <f t="shared" si="130"/>
        <v>0</v>
      </c>
      <c r="J521" s="1298" t="s">
        <v>4326</v>
      </c>
      <c r="K521" s="589"/>
      <c r="L521" s="595"/>
      <c r="N521" s="1291"/>
      <c r="O521" s="370"/>
      <c r="P521" s="1291"/>
      <c r="Q521" s="1291"/>
      <c r="R521" s="1291"/>
      <c r="S521" s="370"/>
    </row>
    <row r="522">
      <c r="A522" s="1344"/>
      <c r="B522" s="1345" t="s">
        <v>6531</v>
      </c>
      <c r="C522" s="1353">
        <v>1.0</v>
      </c>
      <c r="D522" s="1381"/>
      <c r="E522" s="1382">
        <f t="shared" si="128"/>
        <v>0</v>
      </c>
      <c r="F522" s="1381">
        <v>800.0</v>
      </c>
      <c r="G522" s="1381"/>
      <c r="H522" s="1381">
        <f t="shared" si="129"/>
        <v>0</v>
      </c>
      <c r="I522" s="1381">
        <f t="shared" si="130"/>
        <v>0</v>
      </c>
      <c r="J522" s="1298"/>
      <c r="K522" s="589"/>
      <c r="L522" s="595"/>
      <c r="N522" s="1291"/>
      <c r="O522" s="370"/>
      <c r="P522" s="1291"/>
      <c r="Q522" s="1291"/>
      <c r="R522" s="1291"/>
      <c r="S522" s="370"/>
    </row>
    <row r="523">
      <c r="A523" s="1344"/>
      <c r="B523" s="167" t="s">
        <v>6349</v>
      </c>
      <c r="C523" s="1353">
        <v>0.0</v>
      </c>
      <c r="D523" s="1381"/>
      <c r="E523" s="1382">
        <f t="shared" si="128"/>
        <v>0</v>
      </c>
      <c r="F523" s="1381">
        <v>800.0</v>
      </c>
      <c r="G523" s="1381"/>
      <c r="H523" s="1381">
        <f t="shared" si="129"/>
        <v>0</v>
      </c>
      <c r="I523" s="1381">
        <f t="shared" si="130"/>
        <v>0</v>
      </c>
      <c r="J523" s="1298"/>
      <c r="K523" s="589"/>
      <c r="L523" s="595"/>
      <c r="N523" s="1291"/>
      <c r="O523" s="370"/>
      <c r="P523" s="1291"/>
      <c r="Q523" s="1291"/>
      <c r="R523" s="1291"/>
      <c r="S523" s="370"/>
    </row>
    <row r="524">
      <c r="A524" s="1344"/>
      <c r="B524" s="1389" t="s">
        <v>6532</v>
      </c>
      <c r="C524" s="1353">
        <v>0.0</v>
      </c>
      <c r="D524" s="1381"/>
      <c r="E524" s="1382">
        <f t="shared" si="128"/>
        <v>0</v>
      </c>
      <c r="F524" s="1381">
        <v>800.0</v>
      </c>
      <c r="G524" s="1381"/>
      <c r="H524" s="1381">
        <f t="shared" si="129"/>
        <v>0</v>
      </c>
      <c r="I524" s="1381">
        <f t="shared" si="130"/>
        <v>0</v>
      </c>
      <c r="J524" s="1298"/>
      <c r="K524" s="589"/>
      <c r="L524" s="595"/>
      <c r="N524" s="1291"/>
      <c r="O524" s="370"/>
      <c r="P524" s="1291"/>
      <c r="Q524" s="1291"/>
      <c r="R524" s="1291"/>
      <c r="S524" s="370"/>
    </row>
    <row r="525">
      <c r="A525" s="1344"/>
      <c r="B525" s="1389" t="s">
        <v>365</v>
      </c>
      <c r="C525" s="1353">
        <v>0.0</v>
      </c>
      <c r="D525" s="589"/>
      <c r="E525" s="1382">
        <f t="shared" si="128"/>
        <v>0</v>
      </c>
      <c r="F525" s="1381">
        <v>800.0</v>
      </c>
      <c r="G525" s="1381"/>
      <c r="H525" s="1381">
        <f t="shared" si="129"/>
        <v>0</v>
      </c>
      <c r="I525" s="1381">
        <f t="shared" si="130"/>
        <v>0</v>
      </c>
      <c r="J525" s="1298"/>
      <c r="K525" s="589"/>
      <c r="L525" s="595"/>
      <c r="N525" s="1291"/>
      <c r="O525" s="370"/>
      <c r="P525" s="1291"/>
      <c r="Q525" s="1291"/>
      <c r="R525" s="1291"/>
      <c r="S525" s="370"/>
    </row>
    <row r="526">
      <c r="A526" s="1344"/>
      <c r="B526" s="1389" t="s">
        <v>369</v>
      </c>
      <c r="C526" s="1353">
        <v>0.0</v>
      </c>
      <c r="D526" s="589"/>
      <c r="E526" s="1382">
        <f t="shared" si="128"/>
        <v>0</v>
      </c>
      <c r="F526" s="1381">
        <v>800.0</v>
      </c>
      <c r="G526" s="1381"/>
      <c r="H526" s="1381">
        <f t="shared" si="129"/>
        <v>0</v>
      </c>
      <c r="I526" s="1381">
        <f t="shared" si="130"/>
        <v>0</v>
      </c>
      <c r="J526" s="1298" t="s">
        <v>4326</v>
      </c>
      <c r="K526" s="589"/>
      <c r="L526" s="595"/>
      <c r="N526" s="1291"/>
      <c r="O526" s="370"/>
      <c r="P526" s="1291"/>
      <c r="Q526" s="1291"/>
      <c r="R526" s="1291"/>
      <c r="S526" s="370"/>
    </row>
    <row r="527">
      <c r="A527" s="1344"/>
      <c r="B527" s="167" t="s">
        <v>403</v>
      </c>
      <c r="C527" s="1353">
        <v>0.0</v>
      </c>
      <c r="D527" s="1381"/>
      <c r="E527" s="1382">
        <f t="shared" si="128"/>
        <v>0</v>
      </c>
      <c r="F527" s="1381">
        <v>800.0</v>
      </c>
      <c r="G527" s="1381"/>
      <c r="H527" s="1381">
        <f t="shared" si="129"/>
        <v>0</v>
      </c>
      <c r="I527" s="1381">
        <f t="shared" si="130"/>
        <v>0</v>
      </c>
      <c r="J527" s="1298"/>
      <c r="K527" s="589"/>
      <c r="L527" s="595"/>
      <c r="N527" s="1291"/>
      <c r="O527" s="370"/>
      <c r="P527" s="1291"/>
      <c r="Q527" s="1291"/>
      <c r="R527" s="1291"/>
      <c r="S527" s="370"/>
    </row>
    <row r="528">
      <c r="A528" s="1344"/>
      <c r="B528" s="1389" t="s">
        <v>469</v>
      </c>
      <c r="C528" s="1353">
        <v>0.0</v>
      </c>
      <c r="D528" s="1381"/>
      <c r="E528" s="1382">
        <f t="shared" si="128"/>
        <v>0</v>
      </c>
      <c r="F528" s="1381">
        <v>800.0</v>
      </c>
      <c r="G528" s="1381"/>
      <c r="H528" s="1381">
        <f t="shared" si="129"/>
        <v>0</v>
      </c>
      <c r="I528" s="1381">
        <f t="shared" si="130"/>
        <v>0</v>
      </c>
      <c r="J528" s="1298"/>
      <c r="K528" s="589"/>
      <c r="L528" s="595"/>
      <c r="N528" s="1291"/>
      <c r="O528" s="370"/>
      <c r="P528" s="1291"/>
      <c r="Q528" s="1291"/>
      <c r="R528" s="1291"/>
      <c r="S528" s="370"/>
    </row>
    <row r="529">
      <c r="A529" s="1344"/>
      <c r="B529" s="1387" t="s">
        <v>6521</v>
      </c>
      <c r="C529" s="1353">
        <v>10.0</v>
      </c>
      <c r="D529" s="1381"/>
      <c r="E529" s="1382">
        <f t="shared" si="128"/>
        <v>0</v>
      </c>
      <c r="F529" s="1381">
        <v>800.0</v>
      </c>
      <c r="G529" s="1381"/>
      <c r="H529" s="1381">
        <f t="shared" si="129"/>
        <v>0</v>
      </c>
      <c r="I529" s="1381">
        <f t="shared" si="130"/>
        <v>0</v>
      </c>
      <c r="J529" s="1298"/>
      <c r="K529" s="589"/>
      <c r="L529" s="595"/>
      <c r="N529" s="1291"/>
      <c r="O529" s="370"/>
      <c r="P529" s="1291"/>
      <c r="Q529" s="1291"/>
      <c r="R529" s="1291"/>
      <c r="S529" s="370"/>
    </row>
    <row r="530">
      <c r="A530" s="1344"/>
      <c r="B530" s="1387" t="s">
        <v>6456</v>
      </c>
      <c r="C530" s="1353">
        <v>0.0</v>
      </c>
      <c r="D530" s="1381"/>
      <c r="E530" s="1382">
        <f t="shared" si="128"/>
        <v>0</v>
      </c>
      <c r="F530" s="1381">
        <v>800.0</v>
      </c>
      <c r="G530" s="1381"/>
      <c r="H530" s="1381">
        <f t="shared" si="129"/>
        <v>0</v>
      </c>
      <c r="I530" s="1381">
        <f t="shared" si="130"/>
        <v>0</v>
      </c>
      <c r="J530" s="1298"/>
      <c r="K530" s="589"/>
      <c r="L530" s="595"/>
      <c r="N530" s="1291"/>
      <c r="O530" s="370"/>
      <c r="P530" s="1291"/>
      <c r="Q530" s="1291"/>
      <c r="R530" s="1291"/>
      <c r="S530" s="370"/>
    </row>
    <row r="531">
      <c r="A531" s="1344"/>
      <c r="B531" s="1389" t="s">
        <v>6533</v>
      </c>
      <c r="C531" s="1353">
        <v>0.0</v>
      </c>
      <c r="D531" s="589"/>
      <c r="E531" s="1382">
        <f t="shared" si="128"/>
        <v>0</v>
      </c>
      <c r="F531" s="1381">
        <v>800.0</v>
      </c>
      <c r="G531" s="1381"/>
      <c r="H531" s="1381">
        <f t="shared" si="129"/>
        <v>0</v>
      </c>
      <c r="I531" s="1381">
        <f t="shared" si="130"/>
        <v>0</v>
      </c>
      <c r="J531" s="1298" t="s">
        <v>4326</v>
      </c>
      <c r="K531" s="589"/>
      <c r="L531" s="595"/>
      <c r="N531" s="1291"/>
      <c r="O531" s="370"/>
      <c r="P531" s="1291"/>
      <c r="Q531" s="1291"/>
      <c r="R531" s="1291"/>
      <c r="S531" s="370"/>
    </row>
    <row r="532">
      <c r="A532" s="1344"/>
      <c r="B532" s="1390" t="s">
        <v>6458</v>
      </c>
      <c r="C532" s="1353">
        <v>2.0</v>
      </c>
      <c r="D532" s="589"/>
      <c r="E532" s="1382">
        <f t="shared" si="128"/>
        <v>0</v>
      </c>
      <c r="F532" s="1381">
        <v>800.0</v>
      </c>
      <c r="G532" s="1381"/>
      <c r="H532" s="1381">
        <f t="shared" si="129"/>
        <v>0</v>
      </c>
      <c r="I532" s="1381">
        <f t="shared" si="130"/>
        <v>0</v>
      </c>
      <c r="J532" s="1298"/>
      <c r="K532" s="589"/>
      <c r="L532" s="595"/>
      <c r="N532" s="1291"/>
      <c r="O532" s="370"/>
      <c r="P532" s="1291"/>
      <c r="Q532" s="1291"/>
      <c r="R532" s="1291"/>
      <c r="S532" s="370"/>
    </row>
    <row r="533">
      <c r="A533" s="1344"/>
      <c r="B533" s="1387" t="s">
        <v>6534</v>
      </c>
      <c r="C533" s="1353">
        <v>8.0</v>
      </c>
      <c r="D533" s="1381"/>
      <c r="E533" s="1382">
        <f t="shared" si="128"/>
        <v>0</v>
      </c>
      <c r="F533" s="1381">
        <v>800.0</v>
      </c>
      <c r="G533" s="1381"/>
      <c r="H533" s="1381">
        <f t="shared" si="129"/>
        <v>0</v>
      </c>
      <c r="I533" s="1381">
        <f t="shared" si="130"/>
        <v>0</v>
      </c>
      <c r="J533" s="1298" t="s">
        <v>4326</v>
      </c>
      <c r="K533" s="589"/>
      <c r="L533" s="595"/>
      <c r="N533" s="1291"/>
      <c r="O533" s="370"/>
      <c r="P533" s="1291"/>
      <c r="Q533" s="1291"/>
      <c r="R533" s="1291"/>
      <c r="S533" s="370"/>
    </row>
    <row r="534">
      <c r="A534" s="1344"/>
      <c r="B534" s="167" t="s">
        <v>6535</v>
      </c>
      <c r="C534" s="1353">
        <v>20.0</v>
      </c>
      <c r="D534" s="1381"/>
      <c r="E534" s="1382">
        <f t="shared" si="128"/>
        <v>0</v>
      </c>
      <c r="F534" s="1381">
        <v>800.0</v>
      </c>
      <c r="G534" s="1381"/>
      <c r="H534" s="1381">
        <f t="shared" si="129"/>
        <v>0</v>
      </c>
      <c r="I534" s="1381">
        <f t="shared" si="130"/>
        <v>0</v>
      </c>
      <c r="J534" s="1298"/>
      <c r="K534" s="589"/>
      <c r="L534" s="595"/>
      <c r="N534" s="1291"/>
      <c r="O534" s="370"/>
      <c r="P534" s="1291"/>
      <c r="Q534" s="1291"/>
      <c r="R534" s="1291"/>
      <c r="S534" s="370"/>
    </row>
    <row r="535">
      <c r="A535" s="1344"/>
      <c r="B535" s="1389" t="s">
        <v>823</v>
      </c>
      <c r="C535" s="1353">
        <v>0.0</v>
      </c>
      <c r="D535" s="1381"/>
      <c r="E535" s="1382">
        <f t="shared" si="128"/>
        <v>0</v>
      </c>
      <c r="F535" s="1381">
        <v>800.0</v>
      </c>
      <c r="G535" s="1381"/>
      <c r="H535" s="1381">
        <f t="shared" si="129"/>
        <v>0</v>
      </c>
      <c r="I535" s="1381">
        <f t="shared" si="130"/>
        <v>0</v>
      </c>
      <c r="J535" s="1298"/>
      <c r="K535" s="589"/>
      <c r="L535" s="595"/>
      <c r="N535" s="1291"/>
      <c r="O535" s="370"/>
      <c r="P535" s="1291"/>
      <c r="Q535" s="1291"/>
      <c r="R535" s="1291"/>
      <c r="S535" s="370"/>
    </row>
    <row r="536">
      <c r="A536" s="1344"/>
      <c r="B536" s="1387" t="s">
        <v>6459</v>
      </c>
      <c r="C536" s="1353">
        <v>15.0</v>
      </c>
      <c r="D536" s="1381"/>
      <c r="E536" s="1382">
        <f t="shared" si="128"/>
        <v>0</v>
      </c>
      <c r="F536" s="1381">
        <v>800.0</v>
      </c>
      <c r="G536" s="1381"/>
      <c r="H536" s="1381">
        <f t="shared" si="129"/>
        <v>0</v>
      </c>
      <c r="I536" s="1381">
        <f t="shared" si="130"/>
        <v>0</v>
      </c>
      <c r="J536" s="1298"/>
      <c r="K536" s="589"/>
      <c r="L536" s="595"/>
      <c r="N536" s="1291"/>
      <c r="O536" s="370"/>
      <c r="P536" s="1291"/>
      <c r="Q536" s="1291"/>
      <c r="R536" s="1291"/>
      <c r="S536" s="370"/>
    </row>
    <row r="537">
      <c r="A537" s="1344"/>
      <c r="B537" s="1387" t="s">
        <v>6460</v>
      </c>
      <c r="C537" s="1353">
        <v>30.0</v>
      </c>
      <c r="D537" s="1381"/>
      <c r="E537" s="1382">
        <f t="shared" si="128"/>
        <v>0</v>
      </c>
      <c r="F537" s="1381">
        <v>800.0</v>
      </c>
      <c r="G537" s="1381"/>
      <c r="H537" s="1381">
        <f t="shared" si="129"/>
        <v>0</v>
      </c>
      <c r="I537" s="1381">
        <f t="shared" si="130"/>
        <v>0</v>
      </c>
      <c r="J537" s="1298" t="s">
        <v>4326</v>
      </c>
      <c r="K537" s="589"/>
      <c r="L537" s="595"/>
      <c r="N537" s="1291"/>
      <c r="O537" s="370"/>
      <c r="P537" s="1291"/>
      <c r="Q537" s="1291"/>
      <c r="R537" s="1291"/>
      <c r="S537" s="370"/>
    </row>
    <row r="538">
      <c r="A538" s="1344"/>
      <c r="B538" s="361" t="s">
        <v>1081</v>
      </c>
      <c r="C538" s="1353">
        <v>0.0</v>
      </c>
      <c r="D538" s="1381"/>
      <c r="E538" s="1382">
        <f t="shared" si="128"/>
        <v>0</v>
      </c>
      <c r="F538" s="1381">
        <v>800.0</v>
      </c>
      <c r="G538" s="1381"/>
      <c r="H538" s="1381">
        <f t="shared" si="129"/>
        <v>0</v>
      </c>
      <c r="I538" s="1381">
        <f t="shared" si="130"/>
        <v>0</v>
      </c>
      <c r="J538" s="1298"/>
      <c r="K538" s="589"/>
      <c r="L538" s="595"/>
      <c r="N538" s="1291"/>
      <c r="O538" s="370"/>
      <c r="P538" s="1291"/>
      <c r="Q538" s="1291"/>
      <c r="R538" s="1291"/>
      <c r="S538" s="370"/>
    </row>
    <row r="539">
      <c r="A539" s="1344"/>
      <c r="B539" s="167" t="s">
        <v>6368</v>
      </c>
      <c r="C539" s="1353">
        <v>5.0</v>
      </c>
      <c r="D539" s="1381"/>
      <c r="E539" s="1382">
        <f t="shared" si="128"/>
        <v>0</v>
      </c>
      <c r="F539" s="1381">
        <v>800.0</v>
      </c>
      <c r="G539" s="1381"/>
      <c r="H539" s="1381">
        <f t="shared" si="129"/>
        <v>0</v>
      </c>
      <c r="I539" s="1381">
        <f t="shared" si="130"/>
        <v>0</v>
      </c>
      <c r="J539" s="1298"/>
      <c r="K539" s="589"/>
      <c r="L539" s="595"/>
      <c r="N539" s="1291"/>
      <c r="O539" s="370"/>
      <c r="P539" s="1291"/>
      <c r="Q539" s="1291"/>
      <c r="R539" s="1291"/>
      <c r="S539" s="370"/>
    </row>
    <row r="540">
      <c r="A540" s="1344"/>
      <c r="B540" s="167" t="s">
        <v>6369</v>
      </c>
      <c r="C540" s="1353">
        <v>8.0</v>
      </c>
      <c r="D540" s="1381"/>
      <c r="E540" s="1382">
        <f t="shared" si="128"/>
        <v>0</v>
      </c>
      <c r="F540" s="1381">
        <v>800.0</v>
      </c>
      <c r="G540" s="1381"/>
      <c r="H540" s="1381">
        <f t="shared" si="129"/>
        <v>0</v>
      </c>
      <c r="I540" s="1381">
        <f t="shared" si="130"/>
        <v>0</v>
      </c>
      <c r="J540" s="1298"/>
      <c r="K540" s="589"/>
      <c r="L540" s="595"/>
      <c r="N540" s="1291"/>
      <c r="O540" s="370"/>
      <c r="P540" s="1291"/>
      <c r="Q540" s="1291"/>
      <c r="R540" s="1291"/>
      <c r="S540" s="370"/>
    </row>
    <row r="541">
      <c r="A541" s="1344"/>
      <c r="B541" s="1345" t="s">
        <v>6484</v>
      </c>
      <c r="C541" s="1353">
        <v>0.0</v>
      </c>
      <c r="D541" s="1381"/>
      <c r="E541" s="1382">
        <f t="shared" si="128"/>
        <v>0</v>
      </c>
      <c r="F541" s="1381">
        <v>800.0</v>
      </c>
      <c r="G541" s="1381"/>
      <c r="H541" s="1381">
        <f t="shared" si="129"/>
        <v>0</v>
      </c>
      <c r="I541" s="1381">
        <f t="shared" si="130"/>
        <v>0</v>
      </c>
      <c r="J541" s="1298"/>
      <c r="K541" s="589"/>
      <c r="L541" s="595"/>
      <c r="N541" s="1291"/>
      <c r="O541" s="370"/>
      <c r="P541" s="1291"/>
      <c r="Q541" s="1291"/>
      <c r="R541" s="1291"/>
      <c r="S541" s="370"/>
    </row>
    <row r="542">
      <c r="A542" s="1344"/>
      <c r="B542" s="1345" t="s">
        <v>1230</v>
      </c>
      <c r="C542" s="1353">
        <v>10.0</v>
      </c>
      <c r="D542" s="1381"/>
      <c r="E542" s="1382">
        <f t="shared" si="128"/>
        <v>0</v>
      </c>
      <c r="F542" s="1381">
        <v>800.0</v>
      </c>
      <c r="G542" s="1381"/>
      <c r="H542" s="1381">
        <f t="shared" si="129"/>
        <v>0</v>
      </c>
      <c r="I542" s="1381">
        <f t="shared" si="130"/>
        <v>0</v>
      </c>
      <c r="J542" s="1298"/>
      <c r="K542" s="589"/>
      <c r="L542" s="595"/>
      <c r="N542" s="1291"/>
      <c r="O542" s="370"/>
      <c r="P542" s="1291"/>
      <c r="Q542" s="1291"/>
      <c r="R542" s="1291"/>
      <c r="S542" s="370"/>
    </row>
    <row r="543">
      <c r="A543" s="1344"/>
      <c r="B543" s="1345" t="s">
        <v>6463</v>
      </c>
      <c r="C543" s="1353">
        <v>4.0</v>
      </c>
      <c r="D543" s="1381"/>
      <c r="E543" s="1382">
        <f t="shared" si="128"/>
        <v>0</v>
      </c>
      <c r="F543" s="1381">
        <v>800.0</v>
      </c>
      <c r="G543" s="1381"/>
      <c r="H543" s="1381">
        <f t="shared" si="129"/>
        <v>0</v>
      </c>
      <c r="I543" s="1381">
        <f t="shared" si="130"/>
        <v>0</v>
      </c>
      <c r="J543" s="1298"/>
      <c r="K543" s="589"/>
      <c r="L543" s="595"/>
      <c r="N543" s="1291"/>
      <c r="O543" s="370"/>
      <c r="P543" s="1291"/>
      <c r="Q543" s="1291"/>
      <c r="R543" s="1291"/>
      <c r="S543" s="370"/>
    </row>
    <row r="544">
      <c r="A544" s="1344"/>
      <c r="B544" s="1387" t="s">
        <v>6536</v>
      </c>
      <c r="C544" s="1353">
        <v>6.0</v>
      </c>
      <c r="D544" s="1381"/>
      <c r="E544" s="1382">
        <f t="shared" si="128"/>
        <v>0</v>
      </c>
      <c r="F544" s="1381">
        <v>800.0</v>
      </c>
      <c r="G544" s="1381"/>
      <c r="H544" s="1381">
        <f t="shared" si="129"/>
        <v>0</v>
      </c>
      <c r="I544" s="1381">
        <f t="shared" si="130"/>
        <v>0</v>
      </c>
      <c r="J544" s="1298"/>
      <c r="K544" s="589"/>
      <c r="L544" s="595"/>
      <c r="N544" s="1291"/>
      <c r="O544" s="370"/>
      <c r="P544" s="1291"/>
      <c r="Q544" s="1291"/>
      <c r="R544" s="1291"/>
      <c r="S544" s="370"/>
    </row>
    <row r="545">
      <c r="A545" s="1344"/>
      <c r="B545" s="1387" t="s">
        <v>6537</v>
      </c>
      <c r="C545" s="1353">
        <v>6.0</v>
      </c>
      <c r="D545" s="1381"/>
      <c r="E545" s="1382">
        <f t="shared" si="128"/>
        <v>0</v>
      </c>
      <c r="F545" s="1381">
        <v>800.0</v>
      </c>
      <c r="G545" s="1381"/>
      <c r="H545" s="1381">
        <f t="shared" si="129"/>
        <v>0</v>
      </c>
      <c r="I545" s="1381">
        <f t="shared" si="130"/>
        <v>0</v>
      </c>
      <c r="J545" s="1298"/>
      <c r="K545" s="589"/>
      <c r="L545" s="595"/>
      <c r="N545" s="1291"/>
      <c r="O545" s="370"/>
      <c r="P545" s="1291"/>
      <c r="Q545" s="1291"/>
      <c r="R545" s="1291"/>
      <c r="S545" s="370"/>
    </row>
    <row r="546">
      <c r="A546" s="1344"/>
      <c r="B546" s="1387" t="s">
        <v>6417</v>
      </c>
      <c r="C546" s="1353">
        <v>8.0</v>
      </c>
      <c r="D546" s="1381"/>
      <c r="E546" s="1382">
        <f t="shared" si="128"/>
        <v>0</v>
      </c>
      <c r="F546" s="1381">
        <v>800.0</v>
      </c>
      <c r="G546" s="1381"/>
      <c r="H546" s="1381">
        <f t="shared" si="129"/>
        <v>0</v>
      </c>
      <c r="I546" s="1381">
        <f t="shared" si="130"/>
        <v>0</v>
      </c>
      <c r="J546" s="1298"/>
      <c r="K546" s="589"/>
      <c r="L546" s="595"/>
      <c r="N546" s="1291"/>
      <c r="O546" s="370"/>
      <c r="P546" s="1291"/>
      <c r="Q546" s="1291"/>
      <c r="R546" s="1291"/>
      <c r="S546" s="370"/>
    </row>
    <row r="547">
      <c r="A547" s="1344"/>
      <c r="B547" s="1387" t="s">
        <v>6418</v>
      </c>
      <c r="C547" s="1353">
        <v>8.0</v>
      </c>
      <c r="D547" s="1381"/>
      <c r="E547" s="1382">
        <f t="shared" si="128"/>
        <v>0</v>
      </c>
      <c r="F547" s="1381">
        <v>800.0</v>
      </c>
      <c r="G547" s="1381"/>
      <c r="H547" s="1381">
        <f t="shared" si="129"/>
        <v>0</v>
      </c>
      <c r="I547" s="1381">
        <f t="shared" si="130"/>
        <v>0</v>
      </c>
      <c r="J547" s="1298"/>
      <c r="K547" s="589"/>
      <c r="L547" s="595"/>
      <c r="N547" s="1291"/>
      <c r="O547" s="370"/>
      <c r="P547" s="1291"/>
      <c r="Q547" s="1291"/>
      <c r="R547" s="1291"/>
      <c r="S547" s="370"/>
    </row>
    <row r="548">
      <c r="A548" s="1344"/>
      <c r="B548" s="1387" t="s">
        <v>6538</v>
      </c>
      <c r="C548" s="1353">
        <v>0.0</v>
      </c>
      <c r="D548" s="1381"/>
      <c r="E548" s="1382">
        <f t="shared" si="128"/>
        <v>0</v>
      </c>
      <c r="F548" s="1381">
        <v>800.0</v>
      </c>
      <c r="G548" s="1381"/>
      <c r="H548" s="1381">
        <f t="shared" si="129"/>
        <v>0</v>
      </c>
      <c r="I548" s="1381">
        <f t="shared" si="130"/>
        <v>0</v>
      </c>
      <c r="J548" s="1298"/>
      <c r="K548" s="589"/>
      <c r="L548" s="595"/>
      <c r="N548" s="1291"/>
      <c r="O548" s="370"/>
      <c r="P548" s="1291"/>
      <c r="Q548" s="1291"/>
      <c r="R548" s="1291"/>
      <c r="S548" s="370"/>
    </row>
    <row r="549">
      <c r="A549" s="1344"/>
      <c r="B549" s="1387" t="s">
        <v>6539</v>
      </c>
      <c r="C549" s="1353">
        <v>2.0</v>
      </c>
      <c r="D549" s="1381"/>
      <c r="E549" s="1382">
        <f t="shared" si="128"/>
        <v>0</v>
      </c>
      <c r="F549" s="1381">
        <v>800.0</v>
      </c>
      <c r="G549" s="1381"/>
      <c r="H549" s="1381">
        <f t="shared" si="129"/>
        <v>0</v>
      </c>
      <c r="I549" s="1381">
        <f t="shared" si="130"/>
        <v>0</v>
      </c>
      <c r="J549" s="1298"/>
      <c r="K549" s="589"/>
      <c r="L549" s="595"/>
      <c r="N549" s="1291"/>
      <c r="O549" s="370"/>
      <c r="P549" s="1291"/>
      <c r="Q549" s="1291"/>
      <c r="R549" s="1291"/>
      <c r="S549" s="370"/>
    </row>
    <row r="550">
      <c r="A550" s="1344"/>
      <c r="B550" s="1389" t="s">
        <v>2186</v>
      </c>
      <c r="C550" s="1353">
        <v>2.0</v>
      </c>
      <c r="D550" s="589"/>
      <c r="E550" s="1382">
        <f t="shared" si="128"/>
        <v>0</v>
      </c>
      <c r="F550" s="1381">
        <v>800.0</v>
      </c>
      <c r="G550" s="1381"/>
      <c r="H550" s="1381">
        <f t="shared" si="129"/>
        <v>0</v>
      </c>
      <c r="I550" s="1381">
        <f t="shared" si="130"/>
        <v>0</v>
      </c>
      <c r="J550" s="1298"/>
      <c r="K550" s="589"/>
      <c r="L550" s="595"/>
      <c r="N550" s="1291"/>
      <c r="O550" s="370"/>
      <c r="P550" s="1291"/>
      <c r="Q550" s="1291"/>
      <c r="R550" s="1291"/>
      <c r="S550" s="370"/>
    </row>
    <row r="551">
      <c r="A551" s="1344"/>
      <c r="B551" s="1387" t="s">
        <v>6540</v>
      </c>
      <c r="C551" s="1353">
        <v>10.0</v>
      </c>
      <c r="D551" s="1381"/>
      <c r="E551" s="1382">
        <f t="shared" si="128"/>
        <v>0</v>
      </c>
      <c r="F551" s="1381">
        <v>800.0</v>
      </c>
      <c r="G551" s="1381"/>
      <c r="H551" s="1381">
        <f t="shared" si="129"/>
        <v>0</v>
      </c>
      <c r="I551" s="1381">
        <f t="shared" si="130"/>
        <v>0</v>
      </c>
      <c r="J551" s="1298"/>
      <c r="K551" s="589"/>
      <c r="L551" s="595"/>
      <c r="N551" s="1291"/>
      <c r="O551" s="370"/>
      <c r="P551" s="1291"/>
      <c r="Q551" s="1291"/>
      <c r="R551" s="1291"/>
      <c r="S551" s="370"/>
    </row>
    <row r="552">
      <c r="A552" s="1344"/>
      <c r="B552" s="1387" t="s">
        <v>2400</v>
      </c>
      <c r="C552" s="1353">
        <v>6.0</v>
      </c>
      <c r="D552" s="1381"/>
      <c r="E552" s="1382">
        <f t="shared" si="128"/>
        <v>0</v>
      </c>
      <c r="F552" s="1381">
        <v>800.0</v>
      </c>
      <c r="G552" s="1381"/>
      <c r="H552" s="1381">
        <f t="shared" si="129"/>
        <v>0</v>
      </c>
      <c r="I552" s="1381">
        <f t="shared" si="130"/>
        <v>0</v>
      </c>
      <c r="J552" s="1298"/>
      <c r="K552" s="589"/>
      <c r="L552" s="595"/>
      <c r="N552" s="1291"/>
      <c r="O552" s="370"/>
      <c r="P552" s="1291"/>
      <c r="Q552" s="1291"/>
      <c r="R552" s="1291"/>
      <c r="S552" s="370"/>
    </row>
    <row r="553">
      <c r="A553" s="1344"/>
      <c r="B553" s="1387" t="s">
        <v>2402</v>
      </c>
      <c r="C553" s="1353">
        <v>10.0</v>
      </c>
      <c r="D553" s="1381"/>
      <c r="E553" s="1382">
        <f t="shared" si="128"/>
        <v>0</v>
      </c>
      <c r="F553" s="1381">
        <v>800.0</v>
      </c>
      <c r="G553" s="1381"/>
      <c r="H553" s="1381">
        <f t="shared" si="129"/>
        <v>0</v>
      </c>
      <c r="I553" s="1381">
        <f t="shared" si="130"/>
        <v>0</v>
      </c>
      <c r="J553" s="1298"/>
      <c r="K553" s="589"/>
      <c r="L553" s="595"/>
      <c r="N553" s="1291"/>
      <c r="O553" s="370"/>
      <c r="P553" s="1291"/>
      <c r="Q553" s="1291"/>
      <c r="R553" s="1291"/>
      <c r="S553" s="370"/>
    </row>
    <row r="554">
      <c r="A554" s="1344"/>
      <c r="B554" s="1387" t="s">
        <v>6514</v>
      </c>
      <c r="C554" s="1353">
        <v>4.0</v>
      </c>
      <c r="D554" s="1381"/>
      <c r="E554" s="1382">
        <f t="shared" si="128"/>
        <v>0</v>
      </c>
      <c r="F554" s="1381">
        <v>800.0</v>
      </c>
      <c r="G554" s="1381"/>
      <c r="H554" s="1381">
        <f t="shared" si="129"/>
        <v>0</v>
      </c>
      <c r="I554" s="1381">
        <f t="shared" si="130"/>
        <v>0</v>
      </c>
      <c r="J554" s="1298"/>
      <c r="K554" s="589"/>
      <c r="L554" s="595"/>
      <c r="N554" s="1291"/>
      <c r="O554" s="370"/>
      <c r="P554" s="1291"/>
      <c r="Q554" s="1291"/>
      <c r="R554" s="1291"/>
      <c r="S554" s="370"/>
    </row>
    <row r="555">
      <c r="A555" s="1344"/>
      <c r="B555" s="1387" t="s">
        <v>2405</v>
      </c>
      <c r="C555" s="1353">
        <v>6.0</v>
      </c>
      <c r="D555" s="1381"/>
      <c r="E555" s="1382">
        <f t="shared" si="128"/>
        <v>0</v>
      </c>
      <c r="F555" s="1381">
        <v>800.0</v>
      </c>
      <c r="G555" s="1381"/>
      <c r="H555" s="1381">
        <f t="shared" si="129"/>
        <v>0</v>
      </c>
      <c r="I555" s="1381">
        <f t="shared" si="130"/>
        <v>0</v>
      </c>
      <c r="J555" s="1298"/>
      <c r="K555" s="589"/>
      <c r="L555" s="595"/>
      <c r="N555" s="1291"/>
      <c r="O555" s="370"/>
      <c r="P555" s="1291"/>
      <c r="Q555" s="1291"/>
      <c r="R555" s="1291"/>
      <c r="S555" s="370"/>
    </row>
    <row r="556">
      <c r="A556" s="1344"/>
      <c r="B556" s="1387" t="s">
        <v>2406</v>
      </c>
      <c r="C556" s="1353">
        <v>10.0</v>
      </c>
      <c r="D556" s="1381"/>
      <c r="E556" s="1382">
        <f t="shared" si="128"/>
        <v>0</v>
      </c>
      <c r="F556" s="1381">
        <v>800.0</v>
      </c>
      <c r="G556" s="1381"/>
      <c r="H556" s="1381">
        <f t="shared" si="129"/>
        <v>0</v>
      </c>
      <c r="I556" s="1381">
        <f t="shared" si="130"/>
        <v>0</v>
      </c>
      <c r="J556" s="1298"/>
      <c r="K556" s="589"/>
      <c r="L556" s="595"/>
      <c r="N556" s="1291"/>
      <c r="O556" s="370"/>
      <c r="P556" s="1291"/>
      <c r="Q556" s="1291"/>
      <c r="R556" s="1291"/>
      <c r="S556" s="370"/>
    </row>
    <row r="557">
      <c r="A557" s="1344"/>
      <c r="B557" s="1387" t="s">
        <v>2407</v>
      </c>
      <c r="C557" s="1353">
        <v>4.0</v>
      </c>
      <c r="D557" s="1381"/>
      <c r="E557" s="1382">
        <f t="shared" si="128"/>
        <v>0</v>
      </c>
      <c r="F557" s="1381">
        <v>800.0</v>
      </c>
      <c r="G557" s="1381"/>
      <c r="H557" s="1381">
        <f t="shared" si="129"/>
        <v>0</v>
      </c>
      <c r="I557" s="1381">
        <f t="shared" si="130"/>
        <v>0</v>
      </c>
      <c r="J557" s="1298"/>
      <c r="K557" s="589"/>
      <c r="L557" s="595"/>
      <c r="N557" s="1291"/>
      <c r="O557" s="370"/>
      <c r="P557" s="1291"/>
      <c r="Q557" s="1291"/>
      <c r="R557" s="1291"/>
      <c r="S557" s="370"/>
    </row>
    <row r="558">
      <c r="A558" s="1344"/>
      <c r="B558" s="1389" t="s">
        <v>3405</v>
      </c>
      <c r="C558" s="1353">
        <v>3.0</v>
      </c>
      <c r="D558" s="589"/>
      <c r="E558" s="1382">
        <f t="shared" si="128"/>
        <v>0</v>
      </c>
      <c r="F558" s="1381">
        <v>800.0</v>
      </c>
      <c r="G558" s="1381"/>
      <c r="H558" s="1381">
        <f t="shared" si="129"/>
        <v>0</v>
      </c>
      <c r="I558" s="1381">
        <f t="shared" si="130"/>
        <v>0</v>
      </c>
      <c r="J558" s="1298"/>
      <c r="K558" s="589"/>
      <c r="L558" s="595"/>
      <c r="N558" s="1291"/>
      <c r="O558" s="370"/>
      <c r="P558" s="1291"/>
      <c r="Q558" s="1291"/>
      <c r="R558" s="1291"/>
      <c r="S558" s="370"/>
    </row>
    <row r="559">
      <c r="A559" s="1344"/>
      <c r="B559" s="1389" t="s">
        <v>2519</v>
      </c>
      <c r="C559" s="1353">
        <v>0.0</v>
      </c>
      <c r="D559" s="589"/>
      <c r="E559" s="1382">
        <f t="shared" si="128"/>
        <v>0</v>
      </c>
      <c r="F559" s="1381">
        <v>800.0</v>
      </c>
      <c r="G559" s="1381"/>
      <c r="H559" s="1381">
        <f t="shared" si="129"/>
        <v>0</v>
      </c>
      <c r="I559" s="1381">
        <f t="shared" si="130"/>
        <v>0</v>
      </c>
      <c r="J559" s="1298"/>
      <c r="K559" s="589"/>
      <c r="L559" s="595"/>
      <c r="N559" s="1291"/>
      <c r="O559" s="370"/>
      <c r="P559" s="1291"/>
      <c r="Q559" s="1291"/>
      <c r="R559" s="1291"/>
      <c r="S559" s="370"/>
    </row>
    <row r="560">
      <c r="A560" s="1344"/>
      <c r="B560" s="1391" t="s">
        <v>6435</v>
      </c>
      <c r="C560" s="1353">
        <v>30.0</v>
      </c>
      <c r="D560" s="1381"/>
      <c r="E560" s="1382">
        <f t="shared" si="128"/>
        <v>0</v>
      </c>
      <c r="F560" s="1381">
        <v>800.0</v>
      </c>
      <c r="G560" s="1381"/>
      <c r="H560" s="1381">
        <f t="shared" si="129"/>
        <v>0</v>
      </c>
      <c r="I560" s="1381">
        <f t="shared" si="130"/>
        <v>0</v>
      </c>
      <c r="J560" s="1298" t="s">
        <v>4326</v>
      </c>
      <c r="K560" s="589"/>
      <c r="L560" s="595"/>
      <c r="N560" s="1291"/>
      <c r="O560" s="370"/>
      <c r="P560" s="1291"/>
      <c r="Q560" s="1291"/>
      <c r="R560" s="1291"/>
      <c r="S560" s="370"/>
    </row>
    <row r="561">
      <c r="A561" s="1344"/>
      <c r="B561" s="529" t="s">
        <v>6541</v>
      </c>
      <c r="C561" s="1353">
        <v>0.0</v>
      </c>
      <c r="D561" s="589"/>
      <c r="E561" s="1382">
        <f t="shared" si="128"/>
        <v>0</v>
      </c>
      <c r="F561" s="1381">
        <v>800.0</v>
      </c>
      <c r="G561" s="1381"/>
      <c r="H561" s="1381">
        <f t="shared" si="129"/>
        <v>0</v>
      </c>
      <c r="I561" s="1381">
        <f t="shared" si="130"/>
        <v>0</v>
      </c>
      <c r="J561" s="1298"/>
      <c r="K561" s="589"/>
      <c r="L561" s="595"/>
      <c r="N561" s="1291"/>
      <c r="O561" s="370"/>
      <c r="P561" s="1291"/>
      <c r="Q561" s="1291"/>
      <c r="R561" s="1291"/>
      <c r="S561" s="370"/>
    </row>
    <row r="562">
      <c r="A562" s="1344"/>
      <c r="B562" s="1345"/>
      <c r="C562" s="1353"/>
      <c r="D562" s="589"/>
      <c r="E562" s="1298"/>
      <c r="F562" s="163"/>
      <c r="G562" s="163"/>
      <c r="H562" s="163"/>
      <c r="I562" s="163"/>
      <c r="J562" s="1362"/>
      <c r="K562" s="587"/>
      <c r="L562" s="595"/>
      <c r="N562" s="1291"/>
      <c r="O562" s="370"/>
      <c r="P562" s="1291"/>
      <c r="Q562" s="1291"/>
      <c r="R562" s="1291"/>
      <c r="S562" s="370"/>
    </row>
    <row r="563">
      <c r="A563" s="1344"/>
      <c r="B563" s="1375"/>
      <c r="C563" s="1344"/>
      <c r="D563" s="587"/>
      <c r="E563" s="1362"/>
      <c r="F563" s="595"/>
      <c r="G563" s="595"/>
      <c r="H563" s="595"/>
      <c r="I563" s="595"/>
      <c r="J563" s="1362"/>
      <c r="K563" s="587"/>
      <c r="L563" s="595"/>
      <c r="N563" s="1291"/>
      <c r="O563" s="370"/>
      <c r="P563" s="1291"/>
      <c r="Q563" s="1291"/>
      <c r="R563" s="1291"/>
      <c r="S563" s="370"/>
    </row>
    <row r="564">
      <c r="A564" s="1344"/>
      <c r="B564" s="1386" t="s">
        <v>6542</v>
      </c>
      <c r="J564" s="1362"/>
      <c r="K564" s="587"/>
      <c r="L564" s="595"/>
      <c r="N564" s="1291"/>
      <c r="O564" s="370"/>
      <c r="P564" s="1291"/>
      <c r="Q564" s="1291"/>
      <c r="R564" s="1291"/>
      <c r="S564" s="370"/>
    </row>
    <row r="565">
      <c r="A565" s="1344"/>
      <c r="B565" s="1375"/>
      <c r="C565" s="1344"/>
      <c r="D565" s="587"/>
      <c r="E565" s="1362"/>
      <c r="F565" s="595"/>
      <c r="G565" s="595"/>
      <c r="H565" s="595"/>
      <c r="I565" s="595"/>
      <c r="J565" s="1362"/>
      <c r="K565" s="587"/>
      <c r="L565" s="595"/>
      <c r="N565" s="1291"/>
      <c r="O565" s="370"/>
      <c r="P565" s="1291"/>
      <c r="Q565" s="1291"/>
      <c r="R565" s="1291"/>
      <c r="S565" s="370"/>
    </row>
    <row r="566">
      <c r="A566" s="1392"/>
      <c r="B566" s="1393" t="s">
        <v>6543</v>
      </c>
      <c r="C566" s="1394" t="s">
        <v>3879</v>
      </c>
      <c r="D566" s="1395" t="s">
        <v>6544</v>
      </c>
      <c r="E566" s="1396" t="s">
        <v>6517</v>
      </c>
      <c r="F566" s="1397" t="s">
        <v>6518</v>
      </c>
      <c r="G566" s="1398" t="s">
        <v>6545</v>
      </c>
      <c r="H566" s="1397"/>
      <c r="I566" s="1397" t="s">
        <v>6520</v>
      </c>
      <c r="J566" s="1399" t="s">
        <v>6525</v>
      </c>
      <c r="K566" s="1400" t="s">
        <v>6546</v>
      </c>
      <c r="L566" s="1401" t="s">
        <v>6547</v>
      </c>
      <c r="M566" s="612"/>
      <c r="N566" s="1402"/>
      <c r="O566" s="1403"/>
      <c r="P566" s="1402"/>
      <c r="Q566" s="1402"/>
      <c r="R566" s="1402"/>
      <c r="S566" s="1403"/>
      <c r="T566" s="612"/>
      <c r="U566" s="612"/>
      <c r="V566" s="612"/>
      <c r="W566" s="612"/>
      <c r="X566" s="612"/>
      <c r="Y566" s="612"/>
      <c r="Z566" s="612"/>
      <c r="AA566" s="612"/>
      <c r="AB566" s="612"/>
      <c r="AC566" s="612"/>
    </row>
    <row r="567">
      <c r="A567" s="1344"/>
      <c r="B567" s="1389" t="s">
        <v>6528</v>
      </c>
      <c r="C567" s="1353">
        <v>0.0</v>
      </c>
      <c r="D567" s="163">
        <v>140.0</v>
      </c>
      <c r="E567" s="1382">
        <f t="shared" ref="E567:E609" si="131">C567*D567</f>
        <v>0</v>
      </c>
      <c r="F567" s="1381">
        <v>770.0</v>
      </c>
      <c r="G567" s="1404">
        <f t="shared" ref="G567:G568" si="132">D567*F567</f>
        <v>107800</v>
      </c>
      <c r="H567" s="1381">
        <f>F567*D567</f>
        <v>107800</v>
      </c>
      <c r="I567" s="1381">
        <f t="shared" ref="I567:I609" si="133">E567*F567</f>
        <v>0</v>
      </c>
      <c r="J567" s="1298">
        <v>35.0</v>
      </c>
      <c r="K567" s="163">
        <v>83000.0</v>
      </c>
      <c r="L567" s="163"/>
      <c r="N567" s="1291"/>
      <c r="O567" s="370"/>
      <c r="P567" s="1291"/>
      <c r="Q567" s="1291"/>
      <c r="R567" s="1291"/>
      <c r="S567" s="370"/>
    </row>
    <row r="568">
      <c r="A568" s="1344"/>
      <c r="B568" s="1389" t="s">
        <v>6529</v>
      </c>
      <c r="C568" s="1353">
        <v>20.0</v>
      </c>
      <c r="D568" s="163">
        <v>50.0</v>
      </c>
      <c r="E568" s="1382">
        <f t="shared" si="131"/>
        <v>1000</v>
      </c>
      <c r="F568" s="1381">
        <v>770.0</v>
      </c>
      <c r="G568" s="1405">
        <f t="shared" si="132"/>
        <v>38500</v>
      </c>
      <c r="H568" s="1381"/>
      <c r="I568" s="1381">
        <f t="shared" si="133"/>
        <v>770000</v>
      </c>
      <c r="J568" s="1406"/>
      <c r="K568" s="163">
        <v>62000.0</v>
      </c>
      <c r="L568" s="163" t="s">
        <v>4527</v>
      </c>
      <c r="N568" s="1291"/>
      <c r="O568" s="370"/>
      <c r="P568" s="1291"/>
      <c r="Q568" s="1291"/>
      <c r="R568" s="1291"/>
      <c r="S568" s="370"/>
    </row>
    <row r="569">
      <c r="A569" s="1344"/>
      <c r="B569" s="1387" t="s">
        <v>6509</v>
      </c>
      <c r="C569" s="1353">
        <v>0.0</v>
      </c>
      <c r="D569" s="1381"/>
      <c r="E569" s="1382">
        <f t="shared" si="131"/>
        <v>0</v>
      </c>
      <c r="F569" s="1381">
        <v>770.0</v>
      </c>
      <c r="G569" s="1381">
        <v>0.0</v>
      </c>
      <c r="H569" s="1381">
        <f t="shared" ref="H569:H581" si="134">F569*D569</f>
        <v>0</v>
      </c>
      <c r="I569" s="1381">
        <f t="shared" si="133"/>
        <v>0</v>
      </c>
      <c r="J569" s="1298"/>
      <c r="K569" s="39"/>
      <c r="L569" s="312"/>
      <c r="N569" s="1291"/>
      <c r="O569" s="370"/>
      <c r="P569" s="1291"/>
      <c r="Q569" s="1291"/>
      <c r="R569" s="1291"/>
      <c r="S569" s="370"/>
    </row>
    <row r="570">
      <c r="A570" s="1344"/>
      <c r="B570" s="1387" t="s">
        <v>6510</v>
      </c>
      <c r="C570" s="1353">
        <v>0.0</v>
      </c>
      <c r="D570" s="1381"/>
      <c r="E570" s="1382">
        <f t="shared" si="131"/>
        <v>0</v>
      </c>
      <c r="F570" s="1381">
        <v>770.0</v>
      </c>
      <c r="G570" s="1381">
        <v>0.0</v>
      </c>
      <c r="H570" s="1381">
        <f t="shared" si="134"/>
        <v>0</v>
      </c>
      <c r="I570" s="1381">
        <f t="shared" si="133"/>
        <v>0</v>
      </c>
      <c r="J570" s="1298"/>
      <c r="K570" s="39"/>
      <c r="L570" s="312"/>
      <c r="N570" s="1291"/>
      <c r="O570" s="370"/>
      <c r="P570" s="1291"/>
      <c r="Q570" s="1291"/>
      <c r="R570" s="1291"/>
      <c r="S570" s="370"/>
    </row>
    <row r="571">
      <c r="A571" s="1344"/>
      <c r="B571" s="1387" t="s">
        <v>6530</v>
      </c>
      <c r="C571" s="1353">
        <v>0.0</v>
      </c>
      <c r="D571" s="1381"/>
      <c r="E571" s="1382">
        <f t="shared" si="131"/>
        <v>0</v>
      </c>
      <c r="F571" s="1381">
        <v>770.0</v>
      </c>
      <c r="G571" s="1381">
        <v>0.0</v>
      </c>
      <c r="H571" s="1381">
        <f t="shared" si="134"/>
        <v>0</v>
      </c>
      <c r="I571" s="1381">
        <f t="shared" si="133"/>
        <v>0</v>
      </c>
      <c r="J571" s="1298"/>
      <c r="K571" s="39"/>
      <c r="L571" s="312"/>
      <c r="N571" s="1291"/>
      <c r="O571" s="370"/>
      <c r="P571" s="1291"/>
      <c r="Q571" s="1291"/>
      <c r="R571" s="1291"/>
      <c r="S571" s="370"/>
    </row>
    <row r="572">
      <c r="A572" s="1344"/>
      <c r="B572" s="167" t="s">
        <v>6349</v>
      </c>
      <c r="C572" s="1353">
        <v>0.0</v>
      </c>
      <c r="D572" s="1381"/>
      <c r="E572" s="1382">
        <f t="shared" si="131"/>
        <v>0</v>
      </c>
      <c r="F572" s="1381">
        <v>770.0</v>
      </c>
      <c r="G572" s="1381">
        <v>0.0</v>
      </c>
      <c r="H572" s="1381">
        <f t="shared" si="134"/>
        <v>0</v>
      </c>
      <c r="I572" s="1381">
        <f t="shared" si="133"/>
        <v>0</v>
      </c>
      <c r="J572" s="1298"/>
      <c r="K572" s="39"/>
      <c r="L572" s="312"/>
      <c r="N572" s="1291"/>
      <c r="O572" s="370"/>
      <c r="P572" s="1291"/>
      <c r="Q572" s="1291"/>
      <c r="R572" s="1291"/>
      <c r="S572" s="370"/>
    </row>
    <row r="573">
      <c r="A573" s="1344"/>
      <c r="B573" s="1389" t="s">
        <v>6532</v>
      </c>
      <c r="C573" s="1353">
        <v>0.0</v>
      </c>
      <c r="D573" s="1381"/>
      <c r="E573" s="1382">
        <f t="shared" si="131"/>
        <v>0</v>
      </c>
      <c r="F573" s="1381">
        <v>770.0</v>
      </c>
      <c r="G573" s="1381">
        <v>0.0</v>
      </c>
      <c r="H573" s="1381">
        <f t="shared" si="134"/>
        <v>0</v>
      </c>
      <c r="I573" s="1381">
        <f t="shared" si="133"/>
        <v>0</v>
      </c>
      <c r="J573" s="1298"/>
      <c r="K573" s="39"/>
      <c r="L573" s="312"/>
      <c r="N573" s="1291"/>
      <c r="O573" s="370"/>
      <c r="P573" s="1291"/>
      <c r="Q573" s="1291"/>
      <c r="R573" s="1291"/>
      <c r="S573" s="370"/>
    </row>
    <row r="574">
      <c r="A574" s="1344"/>
      <c r="B574" s="1389" t="s">
        <v>365</v>
      </c>
      <c r="C574" s="1353">
        <v>0.0</v>
      </c>
      <c r="D574" s="589"/>
      <c r="E574" s="1382">
        <f t="shared" si="131"/>
        <v>0</v>
      </c>
      <c r="F574" s="1381">
        <v>770.0</v>
      </c>
      <c r="G574" s="1381">
        <v>0.0</v>
      </c>
      <c r="H574" s="1381">
        <f t="shared" si="134"/>
        <v>0</v>
      </c>
      <c r="I574" s="1381">
        <f t="shared" si="133"/>
        <v>0</v>
      </c>
      <c r="J574" s="1298"/>
      <c r="K574" s="39"/>
      <c r="L574" s="312"/>
      <c r="N574" s="1291"/>
      <c r="O574" s="370"/>
      <c r="P574" s="1291"/>
      <c r="Q574" s="1291"/>
      <c r="R574" s="1291"/>
      <c r="S574" s="370"/>
    </row>
    <row r="575">
      <c r="A575" s="1344"/>
      <c r="B575" s="1389" t="s">
        <v>369</v>
      </c>
      <c r="C575" s="1353">
        <v>0.0</v>
      </c>
      <c r="D575" s="589"/>
      <c r="E575" s="1382">
        <f t="shared" si="131"/>
        <v>0</v>
      </c>
      <c r="F575" s="1381">
        <v>770.0</v>
      </c>
      <c r="G575" s="1381">
        <v>0.0</v>
      </c>
      <c r="H575" s="1381">
        <f t="shared" si="134"/>
        <v>0</v>
      </c>
      <c r="I575" s="1381">
        <f t="shared" si="133"/>
        <v>0</v>
      </c>
      <c r="J575" s="1298"/>
      <c r="K575" s="39"/>
      <c r="L575" s="312"/>
      <c r="N575" s="1291"/>
      <c r="O575" s="370"/>
      <c r="P575" s="1291"/>
      <c r="Q575" s="1291"/>
      <c r="R575" s="1291"/>
      <c r="S575" s="370"/>
    </row>
    <row r="576">
      <c r="A576" s="1344"/>
      <c r="B576" s="167" t="s">
        <v>403</v>
      </c>
      <c r="C576" s="1353">
        <v>0.0</v>
      </c>
      <c r="D576" s="1381"/>
      <c r="E576" s="1382">
        <f t="shared" si="131"/>
        <v>0</v>
      </c>
      <c r="F576" s="1381">
        <v>770.0</v>
      </c>
      <c r="G576" s="1381">
        <v>0.0</v>
      </c>
      <c r="H576" s="1381">
        <f t="shared" si="134"/>
        <v>0</v>
      </c>
      <c r="I576" s="1381">
        <f t="shared" si="133"/>
        <v>0</v>
      </c>
      <c r="J576" s="1298"/>
      <c r="K576" s="39"/>
      <c r="L576" s="312"/>
      <c r="N576" s="1291"/>
      <c r="O576" s="370"/>
      <c r="P576" s="1291"/>
      <c r="Q576" s="1291"/>
      <c r="R576" s="1291"/>
      <c r="S576" s="370"/>
    </row>
    <row r="577">
      <c r="A577" s="1344"/>
      <c r="B577" s="1389" t="s">
        <v>469</v>
      </c>
      <c r="C577" s="1353">
        <v>0.0</v>
      </c>
      <c r="D577" s="1381"/>
      <c r="E577" s="1382">
        <f t="shared" si="131"/>
        <v>0</v>
      </c>
      <c r="F577" s="1381">
        <v>770.0</v>
      </c>
      <c r="G577" s="1381">
        <v>0.0</v>
      </c>
      <c r="H577" s="1381">
        <f t="shared" si="134"/>
        <v>0</v>
      </c>
      <c r="I577" s="1381">
        <f t="shared" si="133"/>
        <v>0</v>
      </c>
      <c r="J577" s="1298"/>
      <c r="K577" s="39"/>
      <c r="L577" s="312"/>
      <c r="N577" s="1291"/>
      <c r="O577" s="370"/>
      <c r="P577" s="1291"/>
      <c r="Q577" s="1291"/>
      <c r="R577" s="1291"/>
      <c r="S577" s="370"/>
    </row>
    <row r="578">
      <c r="A578" s="1344"/>
      <c r="B578" s="1387" t="s">
        <v>6521</v>
      </c>
      <c r="C578" s="1353">
        <v>0.0</v>
      </c>
      <c r="D578" s="1381">
        <v>30.0</v>
      </c>
      <c r="E578" s="1382">
        <f t="shared" si="131"/>
        <v>0</v>
      </c>
      <c r="F578" s="1381">
        <v>770.0</v>
      </c>
      <c r="G578" s="1404">
        <f>D578*F578</f>
        <v>23100</v>
      </c>
      <c r="H578" s="1381">
        <f t="shared" si="134"/>
        <v>23100</v>
      </c>
      <c r="I578" s="1381">
        <f t="shared" si="133"/>
        <v>0</v>
      </c>
      <c r="J578" s="1298">
        <v>28.0</v>
      </c>
      <c r="K578" s="163">
        <v>22000.0</v>
      </c>
      <c r="L578" s="163"/>
      <c r="N578" s="1291"/>
      <c r="O578" s="370"/>
      <c r="P578" s="1291"/>
      <c r="Q578" s="1291"/>
      <c r="R578" s="1291"/>
      <c r="S578" s="370"/>
    </row>
    <row r="579">
      <c r="A579" s="1344"/>
      <c r="B579" s="1387" t="s">
        <v>6456</v>
      </c>
      <c r="C579" s="1353">
        <v>0.0</v>
      </c>
      <c r="D579" s="1381"/>
      <c r="E579" s="1382">
        <f t="shared" si="131"/>
        <v>0</v>
      </c>
      <c r="F579" s="1381">
        <v>770.0</v>
      </c>
      <c r="G579" s="1381">
        <v>0.0</v>
      </c>
      <c r="H579" s="1381">
        <f t="shared" si="134"/>
        <v>0</v>
      </c>
      <c r="I579" s="1381">
        <f t="shared" si="133"/>
        <v>0</v>
      </c>
      <c r="J579" s="1298"/>
      <c r="K579" s="39"/>
      <c r="L579" s="312"/>
      <c r="N579" s="1291"/>
      <c r="O579" s="370"/>
      <c r="P579" s="1291"/>
      <c r="Q579" s="1291"/>
      <c r="R579" s="1291"/>
      <c r="S579" s="370"/>
    </row>
    <row r="580">
      <c r="A580" s="1344"/>
      <c r="B580" s="1389" t="s">
        <v>6533</v>
      </c>
      <c r="C580" s="1353">
        <v>0.0</v>
      </c>
      <c r="D580" s="589"/>
      <c r="E580" s="1382">
        <f t="shared" si="131"/>
        <v>0</v>
      </c>
      <c r="F580" s="1381">
        <v>770.0</v>
      </c>
      <c r="G580" s="1381">
        <v>0.0</v>
      </c>
      <c r="H580" s="1381">
        <f t="shared" si="134"/>
        <v>0</v>
      </c>
      <c r="I580" s="1381">
        <f t="shared" si="133"/>
        <v>0</v>
      </c>
      <c r="J580" s="1298"/>
      <c r="K580" s="39"/>
      <c r="L580" s="312"/>
      <c r="N580" s="1291"/>
      <c r="O580" s="370"/>
      <c r="P580" s="1291"/>
      <c r="Q580" s="1291"/>
      <c r="R580" s="1291"/>
      <c r="S580" s="370"/>
    </row>
    <row r="581">
      <c r="A581" s="1344"/>
      <c r="B581" s="1390" t="s">
        <v>6458</v>
      </c>
      <c r="C581" s="1353">
        <v>0.0</v>
      </c>
      <c r="D581" s="163">
        <v>240.0</v>
      </c>
      <c r="E581" s="1382">
        <f t="shared" si="131"/>
        <v>0</v>
      </c>
      <c r="F581" s="1381">
        <v>770.0</v>
      </c>
      <c r="G581" s="1404">
        <f t="shared" ref="G581:G583" si="135">D581*F581</f>
        <v>184800</v>
      </c>
      <c r="H581" s="1381">
        <f t="shared" si="134"/>
        <v>184800</v>
      </c>
      <c r="I581" s="1381">
        <f t="shared" si="133"/>
        <v>0</v>
      </c>
      <c r="J581" s="1298">
        <v>0.0</v>
      </c>
      <c r="K581" s="163">
        <v>200000.0</v>
      </c>
      <c r="L581" s="163"/>
      <c r="N581" s="1291"/>
      <c r="O581" s="370"/>
      <c r="P581" s="1291"/>
      <c r="Q581" s="1291"/>
      <c r="R581" s="1291"/>
      <c r="S581" s="370"/>
    </row>
    <row r="582">
      <c r="A582" s="1344"/>
      <c r="B582" s="1387" t="s">
        <v>6534</v>
      </c>
      <c r="C582" s="1353">
        <v>10.0</v>
      </c>
      <c r="D582" s="1381">
        <v>120.0</v>
      </c>
      <c r="E582" s="1382">
        <f t="shared" si="131"/>
        <v>1200</v>
      </c>
      <c r="F582" s="1381">
        <v>770.0</v>
      </c>
      <c r="G582" s="1405">
        <f t="shared" si="135"/>
        <v>92400</v>
      </c>
      <c r="H582" s="1381"/>
      <c r="I582" s="1381">
        <f t="shared" si="133"/>
        <v>924000</v>
      </c>
      <c r="J582" s="1406">
        <v>145.0</v>
      </c>
      <c r="K582" s="163">
        <v>200000.0</v>
      </c>
      <c r="L582" s="595" t="s">
        <v>4527</v>
      </c>
      <c r="N582" s="1291"/>
      <c r="O582" s="370"/>
      <c r="P582" s="1291"/>
      <c r="Q582" s="1291"/>
      <c r="R582" s="1291"/>
      <c r="S582" s="370"/>
    </row>
    <row r="583">
      <c r="A583" s="1344"/>
      <c r="B583" s="167" t="s">
        <v>6548</v>
      </c>
      <c r="C583" s="1353">
        <v>20.0</v>
      </c>
      <c r="D583" s="1381">
        <v>24.0</v>
      </c>
      <c r="E583" s="1382">
        <f t="shared" si="131"/>
        <v>480</v>
      </c>
      <c r="F583" s="1381">
        <v>770.0</v>
      </c>
      <c r="G583" s="1405">
        <f t="shared" si="135"/>
        <v>18480</v>
      </c>
      <c r="H583" s="1381"/>
      <c r="I583" s="1381">
        <f t="shared" si="133"/>
        <v>369600</v>
      </c>
      <c r="J583" s="1406">
        <v>10.0</v>
      </c>
      <c r="K583" s="589"/>
      <c r="L583" s="595">
        <v>32000.0</v>
      </c>
      <c r="N583" s="1291"/>
      <c r="O583" s="370"/>
      <c r="P583" s="1291"/>
      <c r="Q583" s="1291"/>
      <c r="R583" s="1291"/>
      <c r="S583" s="370"/>
    </row>
    <row r="584">
      <c r="A584" s="1344"/>
      <c r="B584" s="1389" t="s">
        <v>823</v>
      </c>
      <c r="C584" s="1353">
        <v>0.0</v>
      </c>
      <c r="D584" s="1381"/>
      <c r="E584" s="1382">
        <f t="shared" si="131"/>
        <v>0</v>
      </c>
      <c r="F584" s="1381">
        <v>770.0</v>
      </c>
      <c r="G584" s="1381">
        <v>0.0</v>
      </c>
      <c r="H584" s="1381">
        <f>F584*D584</f>
        <v>0</v>
      </c>
      <c r="I584" s="1381">
        <f t="shared" si="133"/>
        <v>0</v>
      </c>
      <c r="J584" s="1298"/>
      <c r="K584" s="39"/>
      <c r="L584" s="312"/>
      <c r="N584" s="1291"/>
      <c r="O584" s="370"/>
      <c r="P584" s="1291"/>
      <c r="Q584" s="1291"/>
      <c r="R584" s="1291"/>
      <c r="S584" s="370"/>
    </row>
    <row r="585">
      <c r="A585" s="1344"/>
      <c r="B585" s="1387" t="s">
        <v>6459</v>
      </c>
      <c r="C585" s="1353">
        <v>20.0</v>
      </c>
      <c r="D585" s="1381">
        <v>10.0</v>
      </c>
      <c r="E585" s="1382">
        <f t="shared" si="131"/>
        <v>200</v>
      </c>
      <c r="F585" s="1381">
        <v>770.0</v>
      </c>
      <c r="G585" s="1405">
        <f t="shared" ref="G585:G586" si="136">D585*F585</f>
        <v>7700</v>
      </c>
      <c r="H585" s="1381"/>
      <c r="I585" s="1381">
        <f t="shared" si="133"/>
        <v>154000</v>
      </c>
      <c r="J585" s="1406">
        <v>10.35</v>
      </c>
      <c r="K585" s="589"/>
      <c r="L585" s="595">
        <v>20000.0</v>
      </c>
      <c r="N585" s="1291"/>
      <c r="O585" s="370"/>
      <c r="P585" s="1291"/>
      <c r="Q585" s="1291"/>
      <c r="R585" s="1291"/>
      <c r="S585" s="370"/>
    </row>
    <row r="586">
      <c r="A586" s="1344"/>
      <c r="B586" s="1387" t="s">
        <v>6460</v>
      </c>
      <c r="C586" s="1353">
        <v>30.0</v>
      </c>
      <c r="D586" s="1381">
        <v>10.0</v>
      </c>
      <c r="E586" s="1382">
        <f t="shared" si="131"/>
        <v>300</v>
      </c>
      <c r="F586" s="1381">
        <v>770.0</v>
      </c>
      <c r="G586" s="1405">
        <f t="shared" si="136"/>
        <v>7700</v>
      </c>
      <c r="H586" s="1381"/>
      <c r="I586" s="1381">
        <f t="shared" si="133"/>
        <v>231000</v>
      </c>
      <c r="J586" s="1406">
        <v>10.35</v>
      </c>
      <c r="K586" s="589"/>
      <c r="L586" s="595">
        <v>20000.0</v>
      </c>
      <c r="N586" s="1291"/>
      <c r="O586" s="370"/>
      <c r="P586" s="1291"/>
      <c r="Q586" s="1291"/>
      <c r="R586" s="1291"/>
      <c r="S586" s="370"/>
    </row>
    <row r="587">
      <c r="A587" s="1344"/>
      <c r="B587" s="361" t="s">
        <v>1081</v>
      </c>
      <c r="C587" s="1353">
        <v>0.0</v>
      </c>
      <c r="D587" s="1381"/>
      <c r="E587" s="1382">
        <f t="shared" si="131"/>
        <v>0</v>
      </c>
      <c r="F587" s="1381">
        <v>770.0</v>
      </c>
      <c r="G587" s="1381">
        <v>0.0</v>
      </c>
      <c r="H587" s="1381">
        <f t="shared" ref="H587:H591" si="137">F587*D587</f>
        <v>0</v>
      </c>
      <c r="I587" s="1381">
        <f t="shared" si="133"/>
        <v>0</v>
      </c>
      <c r="J587" s="1298"/>
      <c r="K587" s="39"/>
      <c r="L587" s="312"/>
      <c r="N587" s="1291"/>
      <c r="O587" s="370"/>
      <c r="P587" s="1291"/>
      <c r="Q587" s="1291"/>
      <c r="R587" s="1291"/>
      <c r="S587" s="370"/>
    </row>
    <row r="588">
      <c r="A588" s="1344"/>
      <c r="B588" s="167" t="s">
        <v>6368</v>
      </c>
      <c r="C588" s="1353"/>
      <c r="D588" s="1381"/>
      <c r="E588" s="1382">
        <f t="shared" si="131"/>
        <v>0</v>
      </c>
      <c r="F588" s="1381">
        <v>770.0</v>
      </c>
      <c r="G588" s="1381">
        <f t="shared" ref="G588:G596" si="138">D588*F588</f>
        <v>0</v>
      </c>
      <c r="H588" s="1381">
        <f t="shared" si="137"/>
        <v>0</v>
      </c>
      <c r="I588" s="1381">
        <f t="shared" si="133"/>
        <v>0</v>
      </c>
      <c r="J588" s="1298"/>
      <c r="K588" s="589"/>
      <c r="L588" s="312"/>
      <c r="N588" s="1291"/>
      <c r="O588" s="370"/>
      <c r="P588" s="1291"/>
      <c r="Q588" s="1291"/>
      <c r="R588" s="1291"/>
      <c r="S588" s="370"/>
    </row>
    <row r="589">
      <c r="A589" s="1344"/>
      <c r="B589" s="167" t="s">
        <v>6369</v>
      </c>
      <c r="C589" s="1353"/>
      <c r="D589" s="1381"/>
      <c r="E589" s="1382">
        <f t="shared" si="131"/>
        <v>0</v>
      </c>
      <c r="F589" s="1381">
        <v>770.0</v>
      </c>
      <c r="G589" s="1381">
        <f t="shared" si="138"/>
        <v>0</v>
      </c>
      <c r="H589" s="1381">
        <f t="shared" si="137"/>
        <v>0</v>
      </c>
      <c r="I589" s="1381">
        <f t="shared" si="133"/>
        <v>0</v>
      </c>
      <c r="J589" s="1298"/>
      <c r="K589" s="589"/>
      <c r="L589" s="312"/>
      <c r="N589" s="1291"/>
      <c r="O589" s="370"/>
      <c r="P589" s="1291"/>
      <c r="Q589" s="1291"/>
      <c r="R589" s="1291"/>
      <c r="S589" s="370"/>
    </row>
    <row r="590">
      <c r="A590" s="1344"/>
      <c r="B590" s="1345" t="s">
        <v>6484</v>
      </c>
      <c r="C590" s="1353">
        <v>0.0</v>
      </c>
      <c r="D590" s="1381"/>
      <c r="E590" s="1382">
        <f t="shared" si="131"/>
        <v>0</v>
      </c>
      <c r="F590" s="1381">
        <v>770.0</v>
      </c>
      <c r="G590" s="1381">
        <f t="shared" si="138"/>
        <v>0</v>
      </c>
      <c r="H590" s="1381">
        <f t="shared" si="137"/>
        <v>0</v>
      </c>
      <c r="I590" s="1381">
        <f t="shared" si="133"/>
        <v>0</v>
      </c>
      <c r="J590" s="1298"/>
      <c r="K590" s="39"/>
      <c r="L590" s="312"/>
      <c r="N590" s="1291"/>
      <c r="O590" s="370"/>
      <c r="P590" s="1291"/>
      <c r="Q590" s="1291"/>
      <c r="R590" s="1291"/>
      <c r="S590" s="370"/>
    </row>
    <row r="591">
      <c r="A591" s="1344"/>
      <c r="B591" s="1345" t="s">
        <v>1230</v>
      </c>
      <c r="C591" s="1353"/>
      <c r="D591" s="1381"/>
      <c r="E591" s="1382">
        <f t="shared" si="131"/>
        <v>0</v>
      </c>
      <c r="F591" s="1381">
        <v>770.0</v>
      </c>
      <c r="G591" s="1381">
        <f t="shared" si="138"/>
        <v>0</v>
      </c>
      <c r="H591" s="1381">
        <f t="shared" si="137"/>
        <v>0</v>
      </c>
      <c r="I591" s="1381">
        <f t="shared" si="133"/>
        <v>0</v>
      </c>
      <c r="J591" s="1298"/>
      <c r="K591" s="589"/>
      <c r="L591" s="312"/>
      <c r="N591" s="1291"/>
      <c r="O591" s="370"/>
      <c r="P591" s="1291"/>
      <c r="Q591" s="1291"/>
      <c r="R591" s="1291"/>
      <c r="S591" s="370"/>
    </row>
    <row r="592">
      <c r="A592" s="1344"/>
      <c r="B592" s="1345" t="s">
        <v>6463</v>
      </c>
      <c r="C592" s="1353">
        <v>4.0</v>
      </c>
      <c r="D592" s="1381">
        <v>49.7</v>
      </c>
      <c r="E592" s="1382">
        <f t="shared" si="131"/>
        <v>198.8</v>
      </c>
      <c r="F592" s="1381">
        <v>770.0</v>
      </c>
      <c r="G592" s="1405">
        <f t="shared" si="138"/>
        <v>38269</v>
      </c>
      <c r="H592" s="1381"/>
      <c r="I592" s="1381">
        <f t="shared" si="133"/>
        <v>153076</v>
      </c>
      <c r="J592" s="1406">
        <v>48.0</v>
      </c>
      <c r="K592" s="589"/>
      <c r="L592" s="595" t="s">
        <v>154</v>
      </c>
      <c r="N592" s="1291"/>
      <c r="O592" s="370"/>
      <c r="P592" s="1291"/>
      <c r="Q592" s="1291"/>
      <c r="R592" s="1291"/>
      <c r="S592" s="370"/>
    </row>
    <row r="593">
      <c r="A593" s="1344"/>
      <c r="B593" s="1387" t="s">
        <v>6536</v>
      </c>
      <c r="C593" s="1353">
        <v>0.0</v>
      </c>
      <c r="D593" s="1381">
        <v>69.0</v>
      </c>
      <c r="E593" s="1382">
        <f t="shared" si="131"/>
        <v>0</v>
      </c>
      <c r="F593" s="1381">
        <v>770.0</v>
      </c>
      <c r="G593" s="1404">
        <f t="shared" si="138"/>
        <v>53130</v>
      </c>
      <c r="H593" s="1381">
        <f t="shared" ref="H593:H600" si="139">F593*D593</f>
        <v>53130</v>
      </c>
      <c r="I593" s="1381">
        <f t="shared" si="133"/>
        <v>0</v>
      </c>
      <c r="J593" s="1298">
        <v>75.0</v>
      </c>
      <c r="K593" s="163">
        <v>49820.0</v>
      </c>
      <c r="L593" s="312"/>
      <c r="N593" s="1291"/>
      <c r="O593" s="370"/>
      <c r="P593" s="1291"/>
      <c r="Q593" s="1291"/>
      <c r="R593" s="1291"/>
      <c r="S593" s="370"/>
    </row>
    <row r="594">
      <c r="A594" s="1344"/>
      <c r="B594" s="1387" t="s">
        <v>6537</v>
      </c>
      <c r="C594" s="1353">
        <v>0.0</v>
      </c>
      <c r="D594" s="1381">
        <v>76.0</v>
      </c>
      <c r="E594" s="1382">
        <f t="shared" si="131"/>
        <v>0</v>
      </c>
      <c r="F594" s="1381">
        <v>770.0</v>
      </c>
      <c r="G594" s="1404">
        <f t="shared" si="138"/>
        <v>58520</v>
      </c>
      <c r="H594" s="1381">
        <f t="shared" si="139"/>
        <v>58520</v>
      </c>
      <c r="I594" s="1381">
        <f t="shared" si="133"/>
        <v>0</v>
      </c>
      <c r="J594" s="1298">
        <v>75.0</v>
      </c>
      <c r="K594" s="163">
        <v>49820.0</v>
      </c>
      <c r="L594" s="312"/>
      <c r="N594" s="1291"/>
      <c r="O594" s="370"/>
      <c r="P594" s="1291"/>
      <c r="Q594" s="1291"/>
      <c r="R594" s="1291"/>
      <c r="S594" s="370"/>
    </row>
    <row r="595">
      <c r="A595" s="1344"/>
      <c r="B595" s="1387" t="s">
        <v>6417</v>
      </c>
      <c r="C595" s="1353">
        <v>0.0</v>
      </c>
      <c r="D595" s="1381">
        <v>76.0</v>
      </c>
      <c r="E595" s="1382">
        <f t="shared" si="131"/>
        <v>0</v>
      </c>
      <c r="F595" s="1381">
        <v>770.0</v>
      </c>
      <c r="G595" s="1404">
        <f t="shared" si="138"/>
        <v>58520</v>
      </c>
      <c r="H595" s="1381">
        <f t="shared" si="139"/>
        <v>58520</v>
      </c>
      <c r="I595" s="1381">
        <f t="shared" si="133"/>
        <v>0</v>
      </c>
      <c r="J595" s="1298">
        <v>75.0</v>
      </c>
      <c r="K595" s="163">
        <v>49820.0</v>
      </c>
      <c r="L595" s="312"/>
      <c r="N595" s="1291"/>
      <c r="O595" s="370"/>
      <c r="P595" s="1291"/>
      <c r="Q595" s="1291"/>
      <c r="R595" s="1291"/>
      <c r="S595" s="370"/>
    </row>
    <row r="596">
      <c r="A596" s="1344"/>
      <c r="B596" s="1387" t="s">
        <v>6418</v>
      </c>
      <c r="C596" s="1353">
        <v>0.0</v>
      </c>
      <c r="D596" s="1381">
        <v>76.0</v>
      </c>
      <c r="E596" s="1382">
        <f t="shared" si="131"/>
        <v>0</v>
      </c>
      <c r="F596" s="1381">
        <v>770.0</v>
      </c>
      <c r="G596" s="1404">
        <f t="shared" si="138"/>
        <v>58520</v>
      </c>
      <c r="H596" s="1381">
        <f t="shared" si="139"/>
        <v>58520</v>
      </c>
      <c r="I596" s="1381">
        <f t="shared" si="133"/>
        <v>0</v>
      </c>
      <c r="J596" s="1298">
        <v>75.0</v>
      </c>
      <c r="K596" s="163">
        <v>49820.0</v>
      </c>
      <c r="L596" s="312"/>
      <c r="N596" s="1291"/>
      <c r="O596" s="370"/>
      <c r="P596" s="1291"/>
      <c r="Q596" s="1291"/>
      <c r="R596" s="1291"/>
      <c r="S596" s="370"/>
    </row>
    <row r="597">
      <c r="A597" s="1344"/>
      <c r="B597" s="1387" t="s">
        <v>6538</v>
      </c>
      <c r="C597" s="1353">
        <v>0.0</v>
      </c>
      <c r="D597" s="1381"/>
      <c r="E597" s="1382">
        <f t="shared" si="131"/>
        <v>0</v>
      </c>
      <c r="F597" s="1381">
        <v>770.0</v>
      </c>
      <c r="G597" s="1381">
        <v>0.0</v>
      </c>
      <c r="H597" s="1381">
        <f t="shared" si="139"/>
        <v>0</v>
      </c>
      <c r="I597" s="1381">
        <f t="shared" si="133"/>
        <v>0</v>
      </c>
      <c r="J597" s="1298"/>
      <c r="K597" s="39"/>
      <c r="L597" s="312"/>
      <c r="N597" s="1291"/>
      <c r="O597" s="370"/>
      <c r="P597" s="1291"/>
      <c r="Q597" s="1291"/>
      <c r="R597" s="1291"/>
      <c r="S597" s="370"/>
    </row>
    <row r="598">
      <c r="A598" s="1344"/>
      <c r="B598" s="1387" t="s">
        <v>6539</v>
      </c>
      <c r="C598" s="1353">
        <v>0.0</v>
      </c>
      <c r="D598" s="1381"/>
      <c r="E598" s="1382">
        <f t="shared" si="131"/>
        <v>0</v>
      </c>
      <c r="F598" s="1381">
        <v>770.0</v>
      </c>
      <c r="G598" s="1381">
        <v>0.0</v>
      </c>
      <c r="H598" s="1381">
        <f t="shared" si="139"/>
        <v>0</v>
      </c>
      <c r="I598" s="1381">
        <f t="shared" si="133"/>
        <v>0</v>
      </c>
      <c r="J598" s="1298"/>
      <c r="K598" s="39"/>
      <c r="L598" s="312"/>
      <c r="N598" s="1291"/>
      <c r="O598" s="370"/>
      <c r="P598" s="1291"/>
      <c r="Q598" s="1291"/>
      <c r="R598" s="1291"/>
      <c r="S598" s="370"/>
    </row>
    <row r="599">
      <c r="A599" s="1344"/>
      <c r="B599" s="1389" t="s">
        <v>2186</v>
      </c>
      <c r="C599" s="1353">
        <v>0.0</v>
      </c>
      <c r="D599" s="589"/>
      <c r="E599" s="1382">
        <f t="shared" si="131"/>
        <v>0</v>
      </c>
      <c r="F599" s="1381">
        <v>770.0</v>
      </c>
      <c r="G599" s="1381">
        <v>0.0</v>
      </c>
      <c r="H599" s="1381">
        <f t="shared" si="139"/>
        <v>0</v>
      </c>
      <c r="I599" s="1381">
        <f t="shared" si="133"/>
        <v>0</v>
      </c>
      <c r="J599" s="1298"/>
      <c r="K599" s="39"/>
      <c r="L599" s="312"/>
      <c r="N599" s="1291"/>
      <c r="O599" s="370"/>
      <c r="P599" s="1291"/>
      <c r="Q599" s="1291"/>
      <c r="R599" s="1291"/>
      <c r="S599" s="370"/>
    </row>
    <row r="600">
      <c r="A600" s="1344"/>
      <c r="B600" s="1387" t="s">
        <v>6540</v>
      </c>
      <c r="C600" s="1353"/>
      <c r="D600" s="1381"/>
      <c r="E600" s="1382">
        <f t="shared" si="131"/>
        <v>0</v>
      </c>
      <c r="F600" s="1381">
        <v>770.0</v>
      </c>
      <c r="G600" s="1381">
        <f t="shared" ref="G600:G606" si="140">D600*F600</f>
        <v>0</v>
      </c>
      <c r="H600" s="1381">
        <f t="shared" si="139"/>
        <v>0</v>
      </c>
      <c r="I600" s="1381">
        <f t="shared" si="133"/>
        <v>0</v>
      </c>
      <c r="J600" s="1298">
        <v>22.5</v>
      </c>
      <c r="K600" s="589"/>
      <c r="L600" s="312"/>
      <c r="N600" s="1291"/>
      <c r="O600" s="370"/>
      <c r="P600" s="1291"/>
      <c r="Q600" s="1291"/>
      <c r="R600" s="1291"/>
      <c r="S600" s="370"/>
    </row>
    <row r="601">
      <c r="A601" s="1344"/>
      <c r="B601" s="1387" t="s">
        <v>2400</v>
      </c>
      <c r="C601" s="1353">
        <v>6.0</v>
      </c>
      <c r="D601" s="1381">
        <v>18.9</v>
      </c>
      <c r="E601" s="1382">
        <f t="shared" si="131"/>
        <v>113.4</v>
      </c>
      <c r="F601" s="1381">
        <v>770.0</v>
      </c>
      <c r="G601" s="1405">
        <f t="shared" si="140"/>
        <v>14553</v>
      </c>
      <c r="H601" s="1381"/>
      <c r="I601" s="1381">
        <f t="shared" si="133"/>
        <v>87318</v>
      </c>
      <c r="J601" s="1406">
        <v>18.0</v>
      </c>
      <c r="K601" s="589"/>
      <c r="L601" s="595" t="s">
        <v>154</v>
      </c>
      <c r="N601" s="1291"/>
      <c r="O601" s="370"/>
      <c r="P601" s="1291"/>
      <c r="Q601" s="1291"/>
      <c r="R601" s="1291"/>
      <c r="S601" s="370"/>
    </row>
    <row r="602">
      <c r="A602" s="1344"/>
      <c r="B602" s="1387" t="s">
        <v>2402</v>
      </c>
      <c r="C602" s="1353">
        <v>10.0</v>
      </c>
      <c r="D602" s="1381">
        <v>18.9</v>
      </c>
      <c r="E602" s="1382">
        <f t="shared" si="131"/>
        <v>189</v>
      </c>
      <c r="F602" s="1381">
        <v>770.0</v>
      </c>
      <c r="G602" s="1405">
        <f t="shared" si="140"/>
        <v>14553</v>
      </c>
      <c r="H602" s="1381"/>
      <c r="I602" s="1381">
        <f t="shared" si="133"/>
        <v>145530</v>
      </c>
      <c r="J602" s="1406">
        <v>18.0</v>
      </c>
      <c r="K602" s="589"/>
      <c r="L602" s="595" t="s">
        <v>154</v>
      </c>
      <c r="N602" s="1291"/>
      <c r="O602" s="370"/>
      <c r="P602" s="1291"/>
      <c r="Q602" s="1291"/>
      <c r="R602" s="1291"/>
      <c r="S602" s="370"/>
    </row>
    <row r="603">
      <c r="A603" s="1344"/>
      <c r="B603" s="1387" t="s">
        <v>6514</v>
      </c>
      <c r="C603" s="1353">
        <v>4.0</v>
      </c>
      <c r="D603" s="1381">
        <v>18.9</v>
      </c>
      <c r="E603" s="1382">
        <f t="shared" si="131"/>
        <v>75.6</v>
      </c>
      <c r="F603" s="1381">
        <v>770.0</v>
      </c>
      <c r="G603" s="1405">
        <f t="shared" si="140"/>
        <v>14553</v>
      </c>
      <c r="H603" s="1381"/>
      <c r="I603" s="1381">
        <f t="shared" si="133"/>
        <v>58212</v>
      </c>
      <c r="J603" s="1406">
        <v>18.0</v>
      </c>
      <c r="K603" s="589"/>
      <c r="L603" s="595" t="s">
        <v>154</v>
      </c>
      <c r="N603" s="1291"/>
      <c r="O603" s="370"/>
      <c r="P603" s="1291"/>
      <c r="Q603" s="1291"/>
      <c r="R603" s="1291"/>
      <c r="S603" s="370"/>
    </row>
    <row r="604">
      <c r="A604" s="1344"/>
      <c r="B604" s="1387" t="s">
        <v>2405</v>
      </c>
      <c r="C604" s="1353">
        <v>6.0</v>
      </c>
      <c r="D604" s="1381">
        <v>18.9</v>
      </c>
      <c r="E604" s="1382">
        <f t="shared" si="131"/>
        <v>113.4</v>
      </c>
      <c r="F604" s="1381">
        <v>770.0</v>
      </c>
      <c r="G604" s="1405">
        <f t="shared" si="140"/>
        <v>14553</v>
      </c>
      <c r="H604" s="1381"/>
      <c r="I604" s="1381">
        <f t="shared" si="133"/>
        <v>87318</v>
      </c>
      <c r="J604" s="1406">
        <v>18.0</v>
      </c>
      <c r="K604" s="589"/>
      <c r="L604" s="595" t="s">
        <v>154</v>
      </c>
      <c r="N604" s="1291"/>
      <c r="O604" s="370"/>
      <c r="P604" s="1291"/>
      <c r="Q604" s="1291"/>
      <c r="R604" s="1291"/>
      <c r="S604" s="370"/>
    </row>
    <row r="605">
      <c r="A605" s="1344"/>
      <c r="B605" s="1387" t="s">
        <v>2406</v>
      </c>
      <c r="C605" s="1353">
        <v>10.0</v>
      </c>
      <c r="D605" s="1381">
        <v>18.9</v>
      </c>
      <c r="E605" s="1382">
        <f t="shared" si="131"/>
        <v>189</v>
      </c>
      <c r="F605" s="1381">
        <v>770.0</v>
      </c>
      <c r="G605" s="1405">
        <f t="shared" si="140"/>
        <v>14553</v>
      </c>
      <c r="H605" s="1381"/>
      <c r="I605" s="1381">
        <f t="shared" si="133"/>
        <v>145530</v>
      </c>
      <c r="J605" s="1406">
        <v>18.0</v>
      </c>
      <c r="K605" s="589"/>
      <c r="L605" s="595" t="s">
        <v>154</v>
      </c>
      <c r="N605" s="1291"/>
      <c r="O605" s="370"/>
      <c r="P605" s="1291"/>
      <c r="Q605" s="1291"/>
      <c r="R605" s="1291"/>
      <c r="S605" s="370"/>
    </row>
    <row r="606">
      <c r="A606" s="1344"/>
      <c r="B606" s="1387" t="s">
        <v>2407</v>
      </c>
      <c r="C606" s="1353">
        <v>4.0</v>
      </c>
      <c r="D606" s="1381">
        <v>18.9</v>
      </c>
      <c r="E606" s="1382">
        <f t="shared" si="131"/>
        <v>75.6</v>
      </c>
      <c r="F606" s="1381">
        <v>770.0</v>
      </c>
      <c r="G606" s="1405">
        <f t="shared" si="140"/>
        <v>14553</v>
      </c>
      <c r="H606" s="1381"/>
      <c r="I606" s="1381">
        <f t="shared" si="133"/>
        <v>58212</v>
      </c>
      <c r="J606" s="1406">
        <v>18.0</v>
      </c>
      <c r="K606" s="589"/>
      <c r="L606" s="595" t="s">
        <v>154</v>
      </c>
      <c r="N606" s="1291"/>
      <c r="O606" s="370"/>
      <c r="P606" s="1291"/>
      <c r="Q606" s="1291"/>
      <c r="R606" s="1291"/>
      <c r="S606" s="370"/>
    </row>
    <row r="607">
      <c r="A607" s="1344"/>
      <c r="B607" s="1389" t="s">
        <v>3405</v>
      </c>
      <c r="C607" s="1353">
        <v>0.0</v>
      </c>
      <c r="D607" s="589"/>
      <c r="E607" s="1382">
        <f t="shared" si="131"/>
        <v>0</v>
      </c>
      <c r="F607" s="1381">
        <v>770.0</v>
      </c>
      <c r="G607" s="1381">
        <v>0.0</v>
      </c>
      <c r="H607" s="1381">
        <f t="shared" ref="H607:H608" si="141">F607*D607</f>
        <v>0</v>
      </c>
      <c r="I607" s="1381">
        <f t="shared" si="133"/>
        <v>0</v>
      </c>
      <c r="J607" s="1298"/>
      <c r="K607" s="39"/>
      <c r="L607" s="312"/>
      <c r="N607" s="1291"/>
      <c r="O607" s="370"/>
      <c r="P607" s="1291"/>
      <c r="Q607" s="1291"/>
      <c r="R607" s="1291"/>
      <c r="S607" s="370"/>
    </row>
    <row r="608">
      <c r="A608" s="1344"/>
      <c r="B608" s="1389" t="s">
        <v>2519</v>
      </c>
      <c r="C608" s="1353">
        <v>0.0</v>
      </c>
      <c r="D608" s="589"/>
      <c r="E608" s="1382">
        <f t="shared" si="131"/>
        <v>0</v>
      </c>
      <c r="F608" s="1381">
        <v>770.0</v>
      </c>
      <c r="G608" s="1381">
        <v>0.0</v>
      </c>
      <c r="H608" s="1381">
        <f t="shared" si="141"/>
        <v>0</v>
      </c>
      <c r="I608" s="1381">
        <f t="shared" si="133"/>
        <v>0</v>
      </c>
      <c r="J608" s="1298"/>
      <c r="K608" s="39"/>
      <c r="L608" s="312"/>
      <c r="N608" s="1291"/>
      <c r="O608" s="370"/>
      <c r="P608" s="1291"/>
      <c r="Q608" s="1291"/>
      <c r="R608" s="1291"/>
      <c r="S608" s="370"/>
    </row>
    <row r="609">
      <c r="A609" s="1344"/>
      <c r="B609" s="1391" t="s">
        <v>6435</v>
      </c>
      <c r="C609" s="1353">
        <v>20.0</v>
      </c>
      <c r="D609" s="1381">
        <v>30.0</v>
      </c>
      <c r="E609" s="1382">
        <f t="shared" si="131"/>
        <v>600</v>
      </c>
      <c r="F609" s="1381">
        <v>770.0</v>
      </c>
      <c r="G609" s="1405">
        <f>D609*F609</f>
        <v>23100</v>
      </c>
      <c r="H609" s="1381"/>
      <c r="I609" s="1381">
        <f t="shared" si="133"/>
        <v>462000</v>
      </c>
      <c r="J609" s="1406">
        <v>30.0</v>
      </c>
      <c r="K609" s="589"/>
      <c r="L609" s="595">
        <v>45000.0</v>
      </c>
      <c r="N609" s="1291"/>
      <c r="O609" s="370"/>
      <c r="P609" s="1291"/>
      <c r="Q609" s="1291"/>
      <c r="R609" s="1291"/>
      <c r="S609" s="370"/>
    </row>
    <row r="610">
      <c r="A610" s="1344"/>
      <c r="B610" s="1391" t="s">
        <v>6549</v>
      </c>
      <c r="C610" s="1353"/>
      <c r="D610" s="1381"/>
      <c r="E610" s="1382"/>
      <c r="F610" s="1381"/>
      <c r="G610" s="1381"/>
      <c r="H610" s="1381"/>
      <c r="I610" s="1381">
        <v>400000.0</v>
      </c>
      <c r="J610" s="1298"/>
      <c r="K610" s="589"/>
      <c r="L610" s="595"/>
      <c r="N610" s="1291"/>
      <c r="O610" s="370"/>
      <c r="P610" s="1291"/>
      <c r="Q610" s="1291"/>
      <c r="R610" s="1291"/>
      <c r="S610" s="370"/>
    </row>
    <row r="611">
      <c r="A611" s="1344"/>
      <c r="B611" s="1391"/>
      <c r="C611" s="1353"/>
      <c r="D611" s="1381"/>
      <c r="E611" s="1382"/>
      <c r="F611" s="1381"/>
      <c r="G611" s="1381"/>
      <c r="H611" s="1381"/>
      <c r="I611" s="1381">
        <f>SUM(I567:I610)</f>
        <v>4045796</v>
      </c>
      <c r="J611" s="1298"/>
      <c r="K611" s="589"/>
      <c r="L611" s="595"/>
      <c r="N611" s="1291"/>
      <c r="O611" s="370"/>
      <c r="P611" s="1291"/>
      <c r="Q611" s="1291"/>
      <c r="R611" s="1291"/>
      <c r="S611" s="370"/>
    </row>
    <row r="612">
      <c r="A612" s="1344"/>
      <c r="B612" s="1391"/>
      <c r="C612" s="1353"/>
      <c r="D612" s="1381"/>
      <c r="E612" s="1382"/>
      <c r="F612" s="1381"/>
      <c r="G612" s="1381"/>
      <c r="H612" s="1381"/>
      <c r="I612" s="1381"/>
      <c r="J612" s="1298"/>
      <c r="K612" s="589"/>
      <c r="L612" s="595"/>
      <c r="N612" s="1291"/>
      <c r="O612" s="370"/>
      <c r="P612" s="1291"/>
      <c r="Q612" s="1291"/>
      <c r="R612" s="1291"/>
      <c r="S612" s="370"/>
    </row>
    <row r="613">
      <c r="A613" s="1344"/>
      <c r="B613" s="1407"/>
      <c r="C613" s="1344"/>
      <c r="D613" s="1408"/>
      <c r="E613" s="1409"/>
      <c r="F613" s="1408"/>
      <c r="G613" s="1408"/>
      <c r="H613" s="1408"/>
      <c r="I613" s="1408"/>
      <c r="J613" s="1362"/>
      <c r="K613" s="587"/>
      <c r="L613" s="595"/>
      <c r="N613" s="1291"/>
      <c r="O613" s="370"/>
      <c r="P613" s="1291"/>
      <c r="Q613" s="1291"/>
      <c r="R613" s="1291"/>
      <c r="S613" s="370"/>
    </row>
    <row r="614">
      <c r="A614" s="1344"/>
      <c r="B614" s="1375"/>
      <c r="C614" s="1344"/>
      <c r="D614" s="587"/>
      <c r="E614" s="1362"/>
      <c r="F614" s="595"/>
      <c r="G614" s="595"/>
      <c r="H614" s="595"/>
      <c r="I614" s="595"/>
      <c r="J614" s="1362"/>
      <c r="K614" s="370"/>
      <c r="L614" s="595"/>
      <c r="N614" s="1291"/>
      <c r="O614" s="370"/>
      <c r="P614" s="1291"/>
      <c r="Q614" s="1291"/>
      <c r="R614" s="1291"/>
      <c r="S614" s="370"/>
    </row>
    <row r="615">
      <c r="A615" s="1344"/>
      <c r="B615" s="1375"/>
      <c r="C615" s="1344"/>
      <c r="D615" s="587"/>
      <c r="E615" s="1362"/>
      <c r="F615" s="595"/>
      <c r="G615" s="595"/>
      <c r="H615" s="595"/>
      <c r="I615" s="595"/>
      <c r="J615" s="1362"/>
      <c r="K615" s="587"/>
      <c r="L615" s="595"/>
      <c r="N615" s="1291"/>
      <c r="O615" s="370"/>
      <c r="P615" s="1291"/>
      <c r="Q615" s="1291"/>
      <c r="R615" s="1291"/>
      <c r="S615" s="370"/>
    </row>
    <row r="616">
      <c r="A616" s="1344"/>
      <c r="B616" s="1375"/>
      <c r="C616" s="1344"/>
      <c r="D616" s="587"/>
      <c r="E616" s="1362"/>
      <c r="F616" s="595"/>
      <c r="G616" s="595"/>
      <c r="H616" s="595"/>
      <c r="I616" s="595"/>
      <c r="J616" s="1362"/>
      <c r="K616" s="587"/>
      <c r="L616" s="595"/>
      <c r="N616" s="1291"/>
      <c r="O616" s="370"/>
      <c r="P616" s="1291"/>
      <c r="Q616" s="1291"/>
      <c r="R616" s="1291"/>
      <c r="S616" s="370"/>
    </row>
    <row r="617">
      <c r="A617" s="1344"/>
      <c r="B617" s="1375"/>
      <c r="C617" s="1344"/>
      <c r="D617" s="587"/>
      <c r="E617" s="1362"/>
      <c r="F617" s="595"/>
      <c r="G617" s="595"/>
      <c r="H617" s="595"/>
      <c r="I617" s="595"/>
      <c r="J617" s="1362"/>
      <c r="K617" s="587"/>
      <c r="L617" s="595"/>
      <c r="N617" s="1291"/>
      <c r="O617" s="370"/>
      <c r="P617" s="1291"/>
      <c r="Q617" s="1291"/>
      <c r="R617" s="1291"/>
      <c r="S617" s="370"/>
    </row>
    <row r="618">
      <c r="A618" s="1344"/>
      <c r="B618" s="1375"/>
      <c r="C618" s="1344"/>
      <c r="D618" s="587"/>
      <c r="E618" s="1362"/>
      <c r="F618" s="595"/>
      <c r="G618" s="595"/>
      <c r="H618" s="595"/>
      <c r="I618" s="595"/>
      <c r="J618" s="1362"/>
      <c r="K618" s="587"/>
      <c r="L618" s="595"/>
      <c r="N618" s="1291"/>
      <c r="O618" s="370"/>
      <c r="P618" s="1291"/>
      <c r="Q618" s="1291"/>
      <c r="R618" s="1291"/>
      <c r="S618" s="370"/>
    </row>
    <row r="619">
      <c r="A619" s="1344"/>
      <c r="B619" s="1386" t="s">
        <v>6550</v>
      </c>
      <c r="J619" s="1362"/>
      <c r="K619" s="587"/>
      <c r="L619" s="595"/>
      <c r="N619" s="1291"/>
      <c r="O619" s="370"/>
      <c r="P619" s="1291"/>
      <c r="Q619" s="1291"/>
      <c r="R619" s="1291"/>
      <c r="S619" s="370"/>
    </row>
    <row r="620">
      <c r="A620" s="1344"/>
      <c r="B620" s="1375"/>
      <c r="C620" s="1344"/>
      <c r="D620" s="587"/>
      <c r="E620" s="1362"/>
      <c r="F620" s="595"/>
      <c r="G620" s="595"/>
      <c r="H620" s="595"/>
      <c r="I620" s="595"/>
      <c r="J620" s="1362"/>
      <c r="K620" s="587"/>
      <c r="L620" s="595"/>
      <c r="N620" s="1291"/>
      <c r="O620" s="370"/>
      <c r="P620" s="1291"/>
      <c r="Q620" s="1291"/>
      <c r="R620" s="1291"/>
      <c r="S620" s="370"/>
    </row>
    <row r="621">
      <c r="A621" s="1344"/>
      <c r="B621" s="1393" t="s">
        <v>6543</v>
      </c>
      <c r="C621" s="1394" t="s">
        <v>3879</v>
      </c>
      <c r="D621" s="1395" t="s">
        <v>6544</v>
      </c>
      <c r="E621" s="1396" t="s">
        <v>6517</v>
      </c>
      <c r="F621" s="1397" t="s">
        <v>6518</v>
      </c>
      <c r="G621" s="1398" t="s">
        <v>6545</v>
      </c>
      <c r="H621" s="1397"/>
      <c r="I621" s="1397" t="s">
        <v>6520</v>
      </c>
      <c r="J621" s="1399" t="s">
        <v>6525</v>
      </c>
      <c r="K621" s="1400" t="s">
        <v>6546</v>
      </c>
      <c r="L621" s="1410" t="s">
        <v>6551</v>
      </c>
      <c r="N621" s="1411" t="s">
        <v>6552</v>
      </c>
      <c r="O621" s="1412" t="s">
        <v>6472</v>
      </c>
      <c r="P621" s="1291"/>
      <c r="Q621" s="1291"/>
      <c r="R621" s="1291"/>
      <c r="S621" s="370"/>
    </row>
    <row r="622">
      <c r="A622" s="1344"/>
      <c r="B622" s="1389" t="s">
        <v>6528</v>
      </c>
      <c r="C622" s="1353">
        <v>10.0</v>
      </c>
      <c r="D622" s="163">
        <v>140.0</v>
      </c>
      <c r="E622" s="1382">
        <f t="shared" ref="E622:E652" si="142">C622*D622</f>
        <v>1400</v>
      </c>
      <c r="F622" s="1381">
        <v>885.0</v>
      </c>
      <c r="G622" s="1413">
        <f t="shared" ref="G622:G623" si="143">D622*F622</f>
        <v>123900</v>
      </c>
      <c r="H622" s="1381">
        <f>F622*D622</f>
        <v>123900</v>
      </c>
      <c r="I622" s="1381">
        <f t="shared" ref="I622:I652" si="144">E622*F622</f>
        <v>1239000</v>
      </c>
      <c r="J622" s="1298">
        <v>35.0</v>
      </c>
      <c r="K622" s="163">
        <v>83000.0</v>
      </c>
      <c r="L622" s="713">
        <v>140.0</v>
      </c>
      <c r="N622" s="1291"/>
      <c r="O622" s="1291"/>
      <c r="P622" s="1291"/>
      <c r="Q622" s="1291"/>
      <c r="R622" s="1291"/>
      <c r="S622" s="370"/>
    </row>
    <row r="623">
      <c r="A623" s="1344"/>
      <c r="B623" s="1389" t="s">
        <v>6529</v>
      </c>
      <c r="C623" s="1353">
        <v>0.0</v>
      </c>
      <c r="D623" s="719">
        <v>50.0</v>
      </c>
      <c r="E623" s="1382">
        <f t="shared" si="142"/>
        <v>0</v>
      </c>
      <c r="F623" s="1381">
        <v>770.0</v>
      </c>
      <c r="G623" s="1405">
        <f t="shared" si="143"/>
        <v>38500</v>
      </c>
      <c r="H623" s="1381"/>
      <c r="I623" s="1381">
        <f t="shared" si="144"/>
        <v>0</v>
      </c>
      <c r="J623" s="1406"/>
      <c r="K623" s="163">
        <v>62000.0</v>
      </c>
      <c r="L623" s="595"/>
      <c r="N623" s="1291"/>
      <c r="O623" s="1291"/>
      <c r="P623" s="1291"/>
      <c r="Q623" s="1291"/>
      <c r="R623" s="1291"/>
      <c r="S623" s="370"/>
    </row>
    <row r="624">
      <c r="A624" s="1344"/>
      <c r="B624" s="1387" t="s">
        <v>6509</v>
      </c>
      <c r="C624" s="1353">
        <v>0.0</v>
      </c>
      <c r="D624" s="1381"/>
      <c r="E624" s="1382">
        <f t="shared" si="142"/>
        <v>0</v>
      </c>
      <c r="F624" s="1381">
        <v>770.0</v>
      </c>
      <c r="G624" s="1381">
        <v>0.0</v>
      </c>
      <c r="H624" s="1381">
        <f t="shared" ref="H624:H636" si="145">F624*D624</f>
        <v>0</v>
      </c>
      <c r="I624" s="1381">
        <f t="shared" si="144"/>
        <v>0</v>
      </c>
      <c r="J624" s="1298"/>
      <c r="K624" s="39"/>
      <c r="L624" s="595"/>
      <c r="M624" s="312" t="s">
        <v>340</v>
      </c>
      <c r="N624" s="1291"/>
      <c r="O624" s="1291"/>
      <c r="P624" s="1291"/>
      <c r="Q624" s="1291"/>
      <c r="R624" s="1291"/>
      <c r="S624" s="370"/>
    </row>
    <row r="625">
      <c r="A625" s="1344"/>
      <c r="B625" s="1387" t="s">
        <v>6510</v>
      </c>
      <c r="C625" s="1353">
        <v>0.0</v>
      </c>
      <c r="D625" s="1381"/>
      <c r="E625" s="1382">
        <f t="shared" si="142"/>
        <v>0</v>
      </c>
      <c r="F625" s="1381">
        <v>770.0</v>
      </c>
      <c r="G625" s="1381">
        <v>0.0</v>
      </c>
      <c r="H625" s="1381">
        <f t="shared" si="145"/>
        <v>0</v>
      </c>
      <c r="I625" s="1381">
        <f t="shared" si="144"/>
        <v>0</v>
      </c>
      <c r="J625" s="1298"/>
      <c r="K625" s="39"/>
      <c r="L625" s="595"/>
      <c r="N625" s="1291"/>
      <c r="O625" s="1291"/>
      <c r="P625" s="1291"/>
      <c r="Q625" s="1291"/>
      <c r="R625" s="1291"/>
      <c r="S625" s="370"/>
    </row>
    <row r="626">
      <c r="A626" s="1344"/>
      <c r="B626" s="1387" t="s">
        <v>6530</v>
      </c>
      <c r="C626" s="1353">
        <v>3.0</v>
      </c>
      <c r="D626" s="1381">
        <v>10.9</v>
      </c>
      <c r="E626" s="1382">
        <f t="shared" si="142"/>
        <v>32.7</v>
      </c>
      <c r="F626" s="1381">
        <v>885.0</v>
      </c>
      <c r="G626" s="1413">
        <f>D626*F626</f>
        <v>9646.5</v>
      </c>
      <c r="H626" s="1381">
        <f t="shared" si="145"/>
        <v>9646.5</v>
      </c>
      <c r="I626" s="1381">
        <f t="shared" si="144"/>
        <v>28939.5</v>
      </c>
      <c r="J626" s="1298"/>
      <c r="K626" s="39"/>
      <c r="L626" s="1414"/>
      <c r="M626" s="312" t="s">
        <v>340</v>
      </c>
      <c r="N626" s="1291">
        <f>D626*C626</f>
        <v>32.7</v>
      </c>
      <c r="O626" s="370">
        <f>G626*C626</f>
        <v>28939.5</v>
      </c>
      <c r="P626" s="1291"/>
      <c r="Q626" s="1291"/>
      <c r="R626" s="1291"/>
      <c r="S626" s="370"/>
    </row>
    <row r="627">
      <c r="A627" s="1344"/>
      <c r="B627" s="167" t="s">
        <v>6349</v>
      </c>
      <c r="C627" s="1353">
        <v>0.0</v>
      </c>
      <c r="D627" s="1381"/>
      <c r="E627" s="1382">
        <f t="shared" si="142"/>
        <v>0</v>
      </c>
      <c r="F627" s="1381">
        <v>770.0</v>
      </c>
      <c r="G627" s="1381">
        <v>0.0</v>
      </c>
      <c r="H627" s="1381">
        <f t="shared" si="145"/>
        <v>0</v>
      </c>
      <c r="I627" s="1381">
        <f t="shared" si="144"/>
        <v>0</v>
      </c>
      <c r="J627" s="1298"/>
      <c r="K627" s="39"/>
      <c r="L627" s="595"/>
      <c r="N627" s="1291"/>
      <c r="O627" s="1291"/>
      <c r="P627" s="1291"/>
      <c r="Q627" s="1291"/>
      <c r="R627" s="1291"/>
      <c r="S627" s="370"/>
    </row>
    <row r="628">
      <c r="A628" s="1344"/>
      <c r="B628" s="1389" t="s">
        <v>6532</v>
      </c>
      <c r="C628" s="1353">
        <v>0.0</v>
      </c>
      <c r="D628" s="1381"/>
      <c r="E628" s="1382">
        <f t="shared" si="142"/>
        <v>0</v>
      </c>
      <c r="F628" s="1381">
        <v>770.0</v>
      </c>
      <c r="G628" s="1381">
        <v>0.0</v>
      </c>
      <c r="H628" s="1381">
        <f t="shared" si="145"/>
        <v>0</v>
      </c>
      <c r="I628" s="1381">
        <f t="shared" si="144"/>
        <v>0</v>
      </c>
      <c r="J628" s="1298"/>
      <c r="K628" s="39"/>
      <c r="L628" s="595"/>
      <c r="N628" s="1291"/>
      <c r="O628" s="1291"/>
      <c r="P628" s="1291"/>
      <c r="Q628" s="1291"/>
      <c r="R628" s="1291"/>
      <c r="S628" s="370"/>
    </row>
    <row r="629">
      <c r="A629" s="1344"/>
      <c r="B629" s="1389" t="s">
        <v>365</v>
      </c>
      <c r="C629" s="1353">
        <v>3.0</v>
      </c>
      <c r="D629" s="163">
        <v>90.0</v>
      </c>
      <c r="E629" s="1382">
        <f t="shared" si="142"/>
        <v>270</v>
      </c>
      <c r="F629" s="1381">
        <v>885.0</v>
      </c>
      <c r="G629" s="1413">
        <f t="shared" ref="G629:G631" si="146">D629*F629</f>
        <v>79650</v>
      </c>
      <c r="H629" s="1381">
        <f t="shared" si="145"/>
        <v>79650</v>
      </c>
      <c r="I629" s="1381">
        <f t="shared" si="144"/>
        <v>238950</v>
      </c>
      <c r="J629" s="1298"/>
      <c r="K629" s="39"/>
      <c r="L629" s="765"/>
      <c r="M629" s="312" t="s">
        <v>340</v>
      </c>
      <c r="N629" s="1291">
        <f t="shared" ref="N629:N631" si="147">D629*C629</f>
        <v>270</v>
      </c>
      <c r="O629" s="370">
        <f t="shared" ref="O629:O631" si="148">G629*C629</f>
        <v>238950</v>
      </c>
      <c r="P629" s="1291"/>
      <c r="Q629" s="1291"/>
      <c r="R629" s="1291"/>
      <c r="S629" s="370"/>
    </row>
    <row r="630">
      <c r="A630" s="1344"/>
      <c r="B630" s="1389" t="s">
        <v>6553</v>
      </c>
      <c r="C630" s="1353">
        <v>2.0</v>
      </c>
      <c r="D630" s="163">
        <v>90.0</v>
      </c>
      <c r="E630" s="1382">
        <f t="shared" si="142"/>
        <v>180</v>
      </c>
      <c r="F630" s="1381">
        <v>885.0</v>
      </c>
      <c r="G630" s="1413">
        <f t="shared" si="146"/>
        <v>79650</v>
      </c>
      <c r="H630" s="1381">
        <f t="shared" si="145"/>
        <v>79650</v>
      </c>
      <c r="I630" s="1381">
        <f t="shared" si="144"/>
        <v>159300</v>
      </c>
      <c r="J630" s="1298"/>
      <c r="K630" s="39"/>
      <c r="L630" s="765"/>
      <c r="M630" s="312" t="s">
        <v>340</v>
      </c>
      <c r="N630" s="1291">
        <f t="shared" si="147"/>
        <v>180</v>
      </c>
      <c r="O630" s="370">
        <f t="shared" si="148"/>
        <v>159300</v>
      </c>
      <c r="P630" s="1291"/>
      <c r="Q630" s="1291"/>
      <c r="R630" s="1291"/>
      <c r="S630" s="370"/>
    </row>
    <row r="631">
      <c r="A631" s="1344"/>
      <c r="B631" s="167" t="s">
        <v>403</v>
      </c>
      <c r="C631" s="1353">
        <v>4.0</v>
      </c>
      <c r="D631" s="1381">
        <v>28.0</v>
      </c>
      <c r="E631" s="1382">
        <f t="shared" si="142"/>
        <v>112</v>
      </c>
      <c r="F631" s="1381">
        <v>885.0</v>
      </c>
      <c r="G631" s="1413">
        <f t="shared" si="146"/>
        <v>24780</v>
      </c>
      <c r="H631" s="1381">
        <f t="shared" si="145"/>
        <v>24780</v>
      </c>
      <c r="I631" s="1381">
        <f t="shared" si="144"/>
        <v>99120</v>
      </c>
      <c r="J631" s="1298"/>
      <c r="K631" s="39"/>
      <c r="L631" s="1414"/>
      <c r="M631" s="312" t="s">
        <v>340</v>
      </c>
      <c r="N631" s="1291">
        <f t="shared" si="147"/>
        <v>112</v>
      </c>
      <c r="O631" s="370">
        <f t="shared" si="148"/>
        <v>99120</v>
      </c>
      <c r="P631" s="1291"/>
      <c r="Q631" s="1291"/>
      <c r="R631" s="1291"/>
      <c r="S631" s="370"/>
    </row>
    <row r="632">
      <c r="A632" s="1344"/>
      <c r="B632" s="1389" t="s">
        <v>469</v>
      </c>
      <c r="C632" s="1353">
        <v>0.0</v>
      </c>
      <c r="D632" s="1381"/>
      <c r="E632" s="1382">
        <f t="shared" si="142"/>
        <v>0</v>
      </c>
      <c r="F632" s="1381">
        <v>770.0</v>
      </c>
      <c r="G632" s="1381">
        <v>0.0</v>
      </c>
      <c r="H632" s="1381">
        <f t="shared" si="145"/>
        <v>0</v>
      </c>
      <c r="I632" s="1381">
        <f t="shared" si="144"/>
        <v>0</v>
      </c>
      <c r="J632" s="1298"/>
      <c r="K632" s="39"/>
      <c r="L632" s="595"/>
      <c r="N632" s="1291"/>
      <c r="O632" s="1291"/>
      <c r="P632" s="1291"/>
      <c r="Q632" s="1291"/>
      <c r="R632" s="1291"/>
      <c r="S632" s="370"/>
    </row>
    <row r="633">
      <c r="A633" s="1344"/>
      <c r="B633" s="1387" t="s">
        <v>6521</v>
      </c>
      <c r="C633" s="1353">
        <v>0.0</v>
      </c>
      <c r="D633" s="1381">
        <v>30.0</v>
      </c>
      <c r="E633" s="1382">
        <f t="shared" si="142"/>
        <v>0</v>
      </c>
      <c r="F633" s="1381">
        <v>770.0</v>
      </c>
      <c r="G633" s="1404">
        <f t="shared" ref="G633:G641" si="149">D633*F633</f>
        <v>23100</v>
      </c>
      <c r="H633" s="1381">
        <f t="shared" si="145"/>
        <v>23100</v>
      </c>
      <c r="I633" s="1381">
        <f t="shared" si="144"/>
        <v>0</v>
      </c>
      <c r="J633" s="1298">
        <v>28.0</v>
      </c>
      <c r="K633" s="163">
        <v>22000.0</v>
      </c>
      <c r="L633" s="595"/>
      <c r="N633" s="1291"/>
      <c r="O633" s="1291"/>
      <c r="P633" s="1291"/>
      <c r="Q633" s="1291"/>
      <c r="R633" s="1291"/>
      <c r="S633" s="370"/>
    </row>
    <row r="634">
      <c r="A634" s="1344"/>
      <c r="B634" s="1387" t="s">
        <v>6456</v>
      </c>
      <c r="C634" s="1353">
        <v>0.0</v>
      </c>
      <c r="D634" s="1381">
        <v>29.9</v>
      </c>
      <c r="E634" s="1382">
        <f t="shared" si="142"/>
        <v>0</v>
      </c>
      <c r="F634" s="1381">
        <v>885.0</v>
      </c>
      <c r="G634" s="1413">
        <f t="shared" si="149"/>
        <v>26461.5</v>
      </c>
      <c r="H634" s="1381">
        <f t="shared" si="145"/>
        <v>26461.5</v>
      </c>
      <c r="I634" s="1381">
        <f t="shared" si="144"/>
        <v>0</v>
      </c>
      <c r="J634" s="1298"/>
      <c r="K634" s="39"/>
      <c r="L634" s="1414"/>
      <c r="N634" s="1291"/>
      <c r="O634" s="1291"/>
      <c r="P634" s="1291"/>
      <c r="Q634" s="1291"/>
      <c r="R634" s="1291"/>
      <c r="S634" s="370"/>
    </row>
    <row r="635">
      <c r="A635" s="1344"/>
      <c r="B635" s="1389" t="s">
        <v>6533</v>
      </c>
      <c r="C635" s="1353">
        <v>3.0</v>
      </c>
      <c r="D635" s="163">
        <v>218.0</v>
      </c>
      <c r="E635" s="1382">
        <f t="shared" si="142"/>
        <v>654</v>
      </c>
      <c r="F635" s="1381">
        <v>885.0</v>
      </c>
      <c r="G635" s="1413">
        <f t="shared" si="149"/>
        <v>192930</v>
      </c>
      <c r="H635" s="1381">
        <f t="shared" si="145"/>
        <v>192930</v>
      </c>
      <c r="I635" s="1381">
        <f t="shared" si="144"/>
        <v>578790</v>
      </c>
      <c r="J635" s="1298"/>
      <c r="K635" s="39"/>
      <c r="L635" s="765"/>
      <c r="N635" s="1291"/>
      <c r="O635" s="1291"/>
      <c r="P635" s="1291"/>
      <c r="Q635" s="1291"/>
      <c r="R635" s="1291"/>
      <c r="S635" s="370"/>
    </row>
    <row r="636">
      <c r="A636" s="1344"/>
      <c r="B636" s="1390" t="s">
        <v>6554</v>
      </c>
      <c r="C636" s="1353">
        <v>0.0</v>
      </c>
      <c r="D636" s="163">
        <v>220.0</v>
      </c>
      <c r="E636" s="1382">
        <f t="shared" si="142"/>
        <v>0</v>
      </c>
      <c r="F636" s="1381">
        <v>770.0</v>
      </c>
      <c r="G636" s="1404">
        <f t="shared" si="149"/>
        <v>169400</v>
      </c>
      <c r="H636" s="1381">
        <f t="shared" si="145"/>
        <v>169400</v>
      </c>
      <c r="I636" s="1381">
        <f t="shared" si="144"/>
        <v>0</v>
      </c>
      <c r="J636" s="1298">
        <v>0.0</v>
      </c>
      <c r="K636" s="163">
        <v>200000.0</v>
      </c>
      <c r="L636" s="713">
        <v>240.0</v>
      </c>
      <c r="N636" s="1291"/>
      <c r="O636" s="1291"/>
      <c r="P636" s="1291"/>
      <c r="Q636" s="1291"/>
      <c r="R636" s="1291"/>
      <c r="S636" s="370"/>
    </row>
    <row r="637">
      <c r="A637" s="1344"/>
      <c r="B637" s="1387" t="s">
        <v>6534</v>
      </c>
      <c r="C637" s="1353">
        <v>10.0</v>
      </c>
      <c r="D637" s="1381">
        <v>145.0</v>
      </c>
      <c r="E637" s="1382">
        <f t="shared" si="142"/>
        <v>1450</v>
      </c>
      <c r="F637" s="1381">
        <v>885.0</v>
      </c>
      <c r="G637" s="1413">
        <f t="shared" si="149"/>
        <v>128325</v>
      </c>
      <c r="H637" s="1381"/>
      <c r="I637" s="1381">
        <f t="shared" si="144"/>
        <v>1283250</v>
      </c>
      <c r="J637" s="1406">
        <v>145.0</v>
      </c>
      <c r="K637" s="163">
        <v>200000.0</v>
      </c>
      <c r="L637" s="595"/>
      <c r="M637" s="312" t="s">
        <v>340</v>
      </c>
      <c r="N637" s="1291">
        <f>D637*C637</f>
        <v>1450</v>
      </c>
      <c r="O637" s="370">
        <f>G637*C637</f>
        <v>1283250</v>
      </c>
      <c r="P637" s="1291"/>
      <c r="Q637" s="1291"/>
      <c r="R637" s="1291"/>
      <c r="S637" s="370"/>
    </row>
    <row r="638">
      <c r="A638" s="1344"/>
      <c r="B638" s="167" t="s">
        <v>6548</v>
      </c>
      <c r="C638" s="1353">
        <v>0.0</v>
      </c>
      <c r="D638" s="1405">
        <v>24.0</v>
      </c>
      <c r="E638" s="1382">
        <f t="shared" si="142"/>
        <v>0</v>
      </c>
      <c r="F638" s="1381">
        <v>770.0</v>
      </c>
      <c r="G638" s="1405">
        <f t="shared" si="149"/>
        <v>18480</v>
      </c>
      <c r="H638" s="1381"/>
      <c r="I638" s="1381">
        <f t="shared" si="144"/>
        <v>0</v>
      </c>
      <c r="J638" s="1406">
        <v>10.0</v>
      </c>
      <c r="K638" s="589"/>
      <c r="L638" s="595"/>
      <c r="N638" s="1291"/>
      <c r="O638" s="1291"/>
      <c r="P638" s="1291"/>
      <c r="Q638" s="1291"/>
      <c r="R638" s="1291"/>
      <c r="S638" s="370"/>
    </row>
    <row r="639">
      <c r="A639" s="1344"/>
      <c r="B639" s="1389" t="s">
        <v>823</v>
      </c>
      <c r="C639" s="1353">
        <v>1.0</v>
      </c>
      <c r="D639" s="1381"/>
      <c r="E639" s="1382">
        <f t="shared" si="142"/>
        <v>0</v>
      </c>
      <c r="F639" s="1381">
        <v>885.0</v>
      </c>
      <c r="G639" s="1413">
        <f t="shared" si="149"/>
        <v>0</v>
      </c>
      <c r="H639" s="1381">
        <f>F639*D639</f>
        <v>0</v>
      </c>
      <c r="I639" s="1381">
        <f t="shared" si="144"/>
        <v>0</v>
      </c>
      <c r="J639" s="1298"/>
      <c r="K639" s="39"/>
      <c r="L639" s="1414"/>
      <c r="M639" s="312" t="s">
        <v>340</v>
      </c>
      <c r="N639" s="1291">
        <f t="shared" ref="N639:N641" si="150">D639*C639</f>
        <v>0</v>
      </c>
      <c r="O639" s="370">
        <f t="shared" ref="O639:O641" si="151">G639*C639</f>
        <v>0</v>
      </c>
      <c r="P639" s="1291"/>
      <c r="Q639" s="1291"/>
      <c r="R639" s="1291"/>
      <c r="S639" s="370"/>
    </row>
    <row r="640">
      <c r="A640" s="1344"/>
      <c r="B640" s="1387" t="s">
        <v>6459</v>
      </c>
      <c r="C640" s="1353">
        <v>10.0</v>
      </c>
      <c r="D640" s="1381">
        <v>10.9</v>
      </c>
      <c r="E640" s="1382">
        <f t="shared" si="142"/>
        <v>109</v>
      </c>
      <c r="F640" s="1381">
        <v>885.0</v>
      </c>
      <c r="G640" s="1413">
        <f t="shared" si="149"/>
        <v>9646.5</v>
      </c>
      <c r="H640" s="1381"/>
      <c r="I640" s="1381">
        <f t="shared" si="144"/>
        <v>96465</v>
      </c>
      <c r="J640" s="1406">
        <v>10.35</v>
      </c>
      <c r="K640" s="589"/>
      <c r="L640" s="1414">
        <v>10.0</v>
      </c>
      <c r="M640" s="312" t="s">
        <v>340</v>
      </c>
      <c r="N640" s="1291">
        <f t="shared" si="150"/>
        <v>109</v>
      </c>
      <c r="O640" s="370">
        <f t="shared" si="151"/>
        <v>96465</v>
      </c>
      <c r="P640" s="1291"/>
      <c r="Q640" s="1291"/>
      <c r="R640" s="1291"/>
      <c r="S640" s="370"/>
    </row>
    <row r="641">
      <c r="A641" s="1344"/>
      <c r="B641" s="1387" t="s">
        <v>6460</v>
      </c>
      <c r="C641" s="1353">
        <v>10.0</v>
      </c>
      <c r="D641" s="1381">
        <v>10.9</v>
      </c>
      <c r="E641" s="1382">
        <f t="shared" si="142"/>
        <v>109</v>
      </c>
      <c r="F641" s="1381">
        <v>885.0</v>
      </c>
      <c r="G641" s="1413">
        <f t="shared" si="149"/>
        <v>9646.5</v>
      </c>
      <c r="H641" s="1381"/>
      <c r="I641" s="1381">
        <f t="shared" si="144"/>
        <v>96465</v>
      </c>
      <c r="J641" s="1406">
        <v>10.35</v>
      </c>
      <c r="K641" s="589"/>
      <c r="L641" s="1414">
        <v>10.0</v>
      </c>
      <c r="M641" s="312" t="s">
        <v>340</v>
      </c>
      <c r="N641" s="1291">
        <f t="shared" si="150"/>
        <v>109</v>
      </c>
      <c r="O641" s="370">
        <f t="shared" si="151"/>
        <v>96465</v>
      </c>
      <c r="P641" s="1291"/>
      <c r="Q641" s="1291"/>
      <c r="R641" s="1291"/>
      <c r="S641" s="370"/>
    </row>
    <row r="642">
      <c r="A642" s="1344"/>
      <c r="B642" s="361" t="s">
        <v>1081</v>
      </c>
      <c r="C642" s="1353">
        <v>0.0</v>
      </c>
      <c r="D642" s="1381"/>
      <c r="E642" s="1382">
        <f t="shared" si="142"/>
        <v>0</v>
      </c>
      <c r="F642" s="1381">
        <v>770.0</v>
      </c>
      <c r="G642" s="1381">
        <v>0.0</v>
      </c>
      <c r="H642" s="1381">
        <f t="shared" ref="H642:H646" si="152">F642*D642</f>
        <v>0</v>
      </c>
      <c r="I642" s="1381">
        <f t="shared" si="144"/>
        <v>0</v>
      </c>
      <c r="J642" s="1298"/>
      <c r="K642" s="39"/>
      <c r="L642" s="595"/>
      <c r="N642" s="1291"/>
      <c r="O642" s="1291"/>
      <c r="P642" s="1291"/>
      <c r="Q642" s="1291"/>
      <c r="R642" s="1291"/>
      <c r="S642" s="370"/>
    </row>
    <row r="643">
      <c r="A643" s="1344"/>
      <c r="B643" s="167" t="s">
        <v>6368</v>
      </c>
      <c r="C643" s="1353">
        <v>0.0</v>
      </c>
      <c r="D643" s="1381"/>
      <c r="E643" s="1382">
        <f t="shared" si="142"/>
        <v>0</v>
      </c>
      <c r="F643" s="1381">
        <v>770.0</v>
      </c>
      <c r="G643" s="1381">
        <f t="shared" ref="G643:G651" si="153">D643*F643</f>
        <v>0</v>
      </c>
      <c r="H643" s="1381">
        <f t="shared" si="152"/>
        <v>0</v>
      </c>
      <c r="I643" s="1381">
        <f t="shared" si="144"/>
        <v>0</v>
      </c>
      <c r="J643" s="1298"/>
      <c r="K643" s="589"/>
      <c r="L643" s="595"/>
      <c r="N643" s="1291"/>
      <c r="O643" s="1291"/>
      <c r="P643" s="1291"/>
      <c r="Q643" s="1291"/>
      <c r="R643" s="1291"/>
      <c r="S643" s="370"/>
    </row>
    <row r="644">
      <c r="A644" s="1344"/>
      <c r="B644" s="167" t="s">
        <v>6369</v>
      </c>
      <c r="C644" s="1353">
        <v>0.0</v>
      </c>
      <c r="D644" s="1381"/>
      <c r="E644" s="1382">
        <f t="shared" si="142"/>
        <v>0</v>
      </c>
      <c r="F644" s="1381">
        <v>770.0</v>
      </c>
      <c r="G644" s="1381">
        <f t="shared" si="153"/>
        <v>0</v>
      </c>
      <c r="H644" s="1381">
        <f t="shared" si="152"/>
        <v>0</v>
      </c>
      <c r="I644" s="1381">
        <f t="shared" si="144"/>
        <v>0</v>
      </c>
      <c r="J644" s="1298"/>
      <c r="K644" s="589"/>
      <c r="L644" s="595"/>
      <c r="N644" s="1291"/>
      <c r="O644" s="1291"/>
      <c r="P644" s="1291"/>
      <c r="Q644" s="1291"/>
      <c r="R644" s="1291"/>
      <c r="S644" s="370"/>
    </row>
    <row r="645">
      <c r="A645" s="1344"/>
      <c r="B645" s="1345" t="s">
        <v>6484</v>
      </c>
      <c r="C645" s="1353">
        <v>0.0</v>
      </c>
      <c r="D645" s="1381"/>
      <c r="E645" s="1382">
        <f t="shared" si="142"/>
        <v>0</v>
      </c>
      <c r="F645" s="1381">
        <v>770.0</v>
      </c>
      <c r="G645" s="1381">
        <f t="shared" si="153"/>
        <v>0</v>
      </c>
      <c r="H645" s="1381">
        <f t="shared" si="152"/>
        <v>0</v>
      </c>
      <c r="I645" s="1381">
        <f t="shared" si="144"/>
        <v>0</v>
      </c>
      <c r="J645" s="1298"/>
      <c r="K645" s="39"/>
      <c r="L645" s="595"/>
      <c r="N645" s="1291"/>
      <c r="O645" s="1291"/>
      <c r="P645" s="1291"/>
      <c r="Q645" s="1291"/>
      <c r="R645" s="1291"/>
      <c r="S645" s="370"/>
    </row>
    <row r="646">
      <c r="A646" s="1344"/>
      <c r="B646" s="1345" t="s">
        <v>1230</v>
      </c>
      <c r="C646" s="1353">
        <v>0.0</v>
      </c>
      <c r="D646" s="1381"/>
      <c r="E646" s="1382">
        <f t="shared" si="142"/>
        <v>0</v>
      </c>
      <c r="F646" s="1381">
        <v>770.0</v>
      </c>
      <c r="G646" s="1381">
        <f t="shared" si="153"/>
        <v>0</v>
      </c>
      <c r="H646" s="1381">
        <f t="shared" si="152"/>
        <v>0</v>
      </c>
      <c r="I646" s="1381">
        <f t="shared" si="144"/>
        <v>0</v>
      </c>
      <c r="J646" s="1298"/>
      <c r="K646" s="589"/>
      <c r="L646" s="595"/>
      <c r="N646" s="1291"/>
      <c r="O646" s="1291"/>
      <c r="P646" s="1291"/>
      <c r="Q646" s="1291"/>
      <c r="R646" s="1291"/>
      <c r="S646" s="370"/>
    </row>
    <row r="647">
      <c r="A647" s="1344"/>
      <c r="B647" s="1345" t="s">
        <v>6463</v>
      </c>
      <c r="C647" s="1353">
        <v>0.0</v>
      </c>
      <c r="D647" s="1405">
        <v>49.7</v>
      </c>
      <c r="E647" s="1382">
        <f t="shared" si="142"/>
        <v>0</v>
      </c>
      <c r="F647" s="1381">
        <v>770.0</v>
      </c>
      <c r="G647" s="1405">
        <f t="shared" si="153"/>
        <v>38269</v>
      </c>
      <c r="H647" s="1381"/>
      <c r="I647" s="1381">
        <f t="shared" si="144"/>
        <v>0</v>
      </c>
      <c r="J647" s="1406">
        <v>48.0</v>
      </c>
      <c r="K647" s="589"/>
      <c r="L647" s="595"/>
      <c r="N647" s="1291"/>
      <c r="O647" s="1291"/>
      <c r="P647" s="1291"/>
      <c r="Q647" s="1291"/>
      <c r="R647" s="1291"/>
      <c r="S647" s="370"/>
    </row>
    <row r="648">
      <c r="A648" s="1344"/>
      <c r="B648" s="1387" t="s">
        <v>6536</v>
      </c>
      <c r="C648" s="1353">
        <v>3.0</v>
      </c>
      <c r="D648" s="1381">
        <v>67.88</v>
      </c>
      <c r="E648" s="1382">
        <f t="shared" si="142"/>
        <v>203.64</v>
      </c>
      <c r="F648" s="1381">
        <v>885.0</v>
      </c>
      <c r="G648" s="1413">
        <f t="shared" si="153"/>
        <v>60073.8</v>
      </c>
      <c r="H648" s="1381">
        <f t="shared" ref="H648:H652" si="154">F648*D648</f>
        <v>60073.8</v>
      </c>
      <c r="I648" s="1381">
        <f t="shared" si="144"/>
        <v>180221.4</v>
      </c>
      <c r="J648" s="1298">
        <v>75.0</v>
      </c>
      <c r="K648" s="163">
        <v>49820.0</v>
      </c>
      <c r="L648" s="1414">
        <v>69.0</v>
      </c>
      <c r="N648" s="1291"/>
      <c r="O648" s="1291"/>
      <c r="P648" s="1291"/>
      <c r="Q648" s="1291"/>
      <c r="R648" s="1291"/>
      <c r="S648" s="370"/>
    </row>
    <row r="649">
      <c r="A649" s="1344"/>
      <c r="B649" s="1387" t="s">
        <v>6537</v>
      </c>
      <c r="C649" s="1353">
        <v>0.0</v>
      </c>
      <c r="D649" s="1381">
        <v>76.0</v>
      </c>
      <c r="E649" s="1382">
        <f t="shared" si="142"/>
        <v>0</v>
      </c>
      <c r="F649" s="1381">
        <v>770.0</v>
      </c>
      <c r="G649" s="1404">
        <f t="shared" si="153"/>
        <v>58520</v>
      </c>
      <c r="H649" s="1381">
        <f t="shared" si="154"/>
        <v>58520</v>
      </c>
      <c r="I649" s="1381">
        <f t="shared" si="144"/>
        <v>0</v>
      </c>
      <c r="J649" s="1298">
        <v>75.0</v>
      </c>
      <c r="K649" s="163">
        <v>49820.0</v>
      </c>
      <c r="L649" s="595"/>
      <c r="N649" s="1291"/>
      <c r="O649" s="1291"/>
      <c r="P649" s="1291"/>
      <c r="Q649" s="1291"/>
      <c r="R649" s="1291"/>
      <c r="S649" s="370"/>
    </row>
    <row r="650">
      <c r="A650" s="1344"/>
      <c r="B650" s="1387" t="s">
        <v>6417</v>
      </c>
      <c r="C650" s="1353">
        <v>5.0</v>
      </c>
      <c r="D650" s="1381">
        <v>67.88</v>
      </c>
      <c r="E650" s="1382">
        <f t="shared" si="142"/>
        <v>339.4</v>
      </c>
      <c r="F650" s="1381">
        <v>885.0</v>
      </c>
      <c r="G650" s="1413">
        <f t="shared" si="153"/>
        <v>60073.8</v>
      </c>
      <c r="H650" s="1381">
        <f t="shared" si="154"/>
        <v>60073.8</v>
      </c>
      <c r="I650" s="1381">
        <f t="shared" si="144"/>
        <v>300369</v>
      </c>
      <c r="J650" s="1298">
        <v>75.0</v>
      </c>
      <c r="K650" s="163">
        <v>49820.0</v>
      </c>
      <c r="L650" s="1414">
        <v>76.0</v>
      </c>
      <c r="N650" s="1291"/>
      <c r="O650" s="1291"/>
      <c r="P650" s="1291"/>
      <c r="Q650" s="1291"/>
      <c r="R650" s="1291"/>
      <c r="S650" s="370"/>
    </row>
    <row r="651">
      <c r="A651" s="1344"/>
      <c r="B651" s="1387" t="s">
        <v>6418</v>
      </c>
      <c r="C651" s="1353">
        <v>5.0</v>
      </c>
      <c r="D651" s="1381">
        <v>67.88</v>
      </c>
      <c r="E651" s="1382">
        <f t="shared" si="142"/>
        <v>339.4</v>
      </c>
      <c r="F651" s="1381">
        <v>885.0</v>
      </c>
      <c r="G651" s="1413">
        <f t="shared" si="153"/>
        <v>60073.8</v>
      </c>
      <c r="H651" s="1381">
        <f t="shared" si="154"/>
        <v>60073.8</v>
      </c>
      <c r="I651" s="1381">
        <f t="shared" si="144"/>
        <v>300369</v>
      </c>
      <c r="J651" s="1298">
        <v>75.0</v>
      </c>
      <c r="K651" s="163">
        <v>49820.0</v>
      </c>
      <c r="L651" s="1414">
        <v>76.0</v>
      </c>
      <c r="N651" s="1291"/>
      <c r="O651" s="1291"/>
      <c r="P651" s="1291"/>
      <c r="Q651" s="1291"/>
      <c r="R651" s="1291"/>
      <c r="S651" s="370"/>
    </row>
    <row r="652">
      <c r="A652" s="1344"/>
      <c r="B652" s="1387" t="s">
        <v>6538</v>
      </c>
      <c r="C652" s="1353">
        <v>0.0</v>
      </c>
      <c r="D652" s="1381"/>
      <c r="E652" s="1382">
        <f t="shared" si="142"/>
        <v>0</v>
      </c>
      <c r="F652" s="1381">
        <v>770.0</v>
      </c>
      <c r="G652" s="1381">
        <v>0.0</v>
      </c>
      <c r="H652" s="1381">
        <f t="shared" si="154"/>
        <v>0</v>
      </c>
      <c r="I652" s="1381">
        <f t="shared" si="144"/>
        <v>0</v>
      </c>
      <c r="J652" s="1298"/>
      <c r="K652" s="39"/>
      <c r="L652" s="595"/>
      <c r="N652" s="1291"/>
      <c r="O652" s="1291"/>
      <c r="P652" s="1291"/>
      <c r="Q652" s="1291"/>
      <c r="R652" s="1291"/>
      <c r="S652" s="370"/>
    </row>
    <row r="653">
      <c r="A653" s="1344"/>
      <c r="B653" s="1387" t="s">
        <v>6555</v>
      </c>
      <c r="C653" s="1353">
        <v>1.0</v>
      </c>
      <c r="D653" s="1381">
        <v>100.9</v>
      </c>
      <c r="E653" s="1382"/>
      <c r="F653" s="1381">
        <v>885.0</v>
      </c>
      <c r="G653" s="1413">
        <f t="shared" ref="G653:G654" si="155">D653*F653</f>
        <v>89296.5</v>
      </c>
      <c r="H653" s="1381"/>
      <c r="I653" s="1381"/>
      <c r="J653" s="1298"/>
      <c r="K653" s="39"/>
      <c r="L653" s="1414"/>
      <c r="N653" s="1291"/>
      <c r="O653" s="1291"/>
      <c r="P653" s="1291"/>
      <c r="Q653" s="1291"/>
      <c r="R653" s="1291"/>
      <c r="S653" s="370"/>
    </row>
    <row r="654">
      <c r="A654" s="1344"/>
      <c r="B654" s="1387" t="s">
        <v>6539</v>
      </c>
      <c r="C654" s="1353">
        <v>1.0</v>
      </c>
      <c r="D654" s="1381">
        <v>130.0</v>
      </c>
      <c r="E654" s="1382">
        <f t="shared" ref="E654:E665" si="156">C654*D654</f>
        <v>130</v>
      </c>
      <c r="F654" s="1381">
        <v>885.0</v>
      </c>
      <c r="G654" s="1413">
        <f t="shared" si="155"/>
        <v>115050</v>
      </c>
      <c r="H654" s="1381">
        <f t="shared" ref="H654:H656" si="157">F654*D654</f>
        <v>115050</v>
      </c>
      <c r="I654" s="1381">
        <f t="shared" ref="I654:I665" si="158">E654*F654</f>
        <v>115050</v>
      </c>
      <c r="J654" s="1298"/>
      <c r="K654" s="39"/>
      <c r="L654" s="1414"/>
      <c r="N654" s="1291"/>
      <c r="O654" s="1291"/>
      <c r="P654" s="1291"/>
      <c r="Q654" s="1291"/>
      <c r="R654" s="1291"/>
      <c r="S654" s="370"/>
    </row>
    <row r="655">
      <c r="A655" s="1344"/>
      <c r="B655" s="1389" t="s">
        <v>2186</v>
      </c>
      <c r="C655" s="1353">
        <v>0.0</v>
      </c>
      <c r="D655" s="589"/>
      <c r="E655" s="1382">
        <f t="shared" si="156"/>
        <v>0</v>
      </c>
      <c r="F655" s="1381">
        <v>770.0</v>
      </c>
      <c r="G655" s="1381">
        <v>0.0</v>
      </c>
      <c r="H655" s="1381">
        <f t="shared" si="157"/>
        <v>0</v>
      </c>
      <c r="I655" s="1381">
        <f t="shared" si="158"/>
        <v>0</v>
      </c>
      <c r="J655" s="1298"/>
      <c r="K655" s="39"/>
      <c r="L655" s="595"/>
      <c r="N655" s="1291"/>
      <c r="O655" s="1291"/>
      <c r="P655" s="1291"/>
      <c r="Q655" s="1291"/>
      <c r="R655" s="1291"/>
      <c r="S655" s="370"/>
    </row>
    <row r="656">
      <c r="A656" s="1344"/>
      <c r="B656" s="1387" t="s">
        <v>6540</v>
      </c>
      <c r="C656" s="1353">
        <v>0.0</v>
      </c>
      <c r="D656" s="1381"/>
      <c r="E656" s="1382">
        <f t="shared" si="156"/>
        <v>0</v>
      </c>
      <c r="F656" s="1381">
        <v>770.0</v>
      </c>
      <c r="G656" s="1381">
        <f t="shared" ref="G656:G663" si="159">D656*F656</f>
        <v>0</v>
      </c>
      <c r="H656" s="1381">
        <f t="shared" si="157"/>
        <v>0</v>
      </c>
      <c r="I656" s="1381">
        <f t="shared" si="158"/>
        <v>0</v>
      </c>
      <c r="J656" s="1298">
        <v>22.5</v>
      </c>
      <c r="K656" s="589"/>
      <c r="L656" s="595"/>
      <c r="N656" s="1291"/>
      <c r="O656" s="1291"/>
      <c r="P656" s="1291"/>
      <c r="Q656" s="1291"/>
      <c r="R656" s="1291"/>
      <c r="S656" s="370"/>
    </row>
    <row r="657">
      <c r="A657" s="1344"/>
      <c r="B657" s="1387" t="s">
        <v>2400</v>
      </c>
      <c r="C657" s="1353">
        <v>0.0</v>
      </c>
      <c r="D657" s="1381">
        <v>22.9</v>
      </c>
      <c r="E657" s="1382">
        <f t="shared" si="156"/>
        <v>0</v>
      </c>
      <c r="F657" s="1381">
        <v>885.0</v>
      </c>
      <c r="G657" s="1413">
        <f t="shared" si="159"/>
        <v>20266.5</v>
      </c>
      <c r="H657" s="1381"/>
      <c r="I657" s="1381">
        <f t="shared" si="158"/>
        <v>0</v>
      </c>
      <c r="J657" s="1406">
        <v>18.0</v>
      </c>
      <c r="K657" s="589"/>
      <c r="L657" s="1414">
        <v>18.9</v>
      </c>
      <c r="M657" s="312" t="s">
        <v>340</v>
      </c>
      <c r="N657" s="1291">
        <f t="shared" ref="N657:N662" si="160">D657*C657</f>
        <v>0</v>
      </c>
      <c r="O657" s="370">
        <f t="shared" ref="O657:O662" si="161">G657*C657</f>
        <v>0</v>
      </c>
      <c r="P657" s="1291"/>
      <c r="Q657" s="1291"/>
      <c r="R657" s="1291"/>
      <c r="S657" s="370"/>
    </row>
    <row r="658">
      <c r="A658" s="1344"/>
      <c r="B658" s="1387" t="s">
        <v>2402</v>
      </c>
      <c r="C658" s="1353">
        <v>0.0</v>
      </c>
      <c r="D658" s="1381">
        <v>22.9</v>
      </c>
      <c r="E658" s="1382">
        <f t="shared" si="156"/>
        <v>0</v>
      </c>
      <c r="F658" s="1381">
        <v>885.0</v>
      </c>
      <c r="G658" s="1413">
        <f t="shared" si="159"/>
        <v>20266.5</v>
      </c>
      <c r="H658" s="1381"/>
      <c r="I658" s="1381">
        <f t="shared" si="158"/>
        <v>0</v>
      </c>
      <c r="J658" s="1406">
        <v>18.0</v>
      </c>
      <c r="K658" s="589"/>
      <c r="L658" s="1414">
        <v>18.9</v>
      </c>
      <c r="M658" s="312" t="s">
        <v>340</v>
      </c>
      <c r="N658" s="1291">
        <f t="shared" si="160"/>
        <v>0</v>
      </c>
      <c r="O658" s="370">
        <f t="shared" si="161"/>
        <v>0</v>
      </c>
      <c r="P658" s="1291"/>
      <c r="Q658" s="1291"/>
      <c r="R658" s="1291"/>
      <c r="S658" s="370"/>
    </row>
    <row r="659">
      <c r="A659" s="1344"/>
      <c r="B659" s="1387" t="s">
        <v>6514</v>
      </c>
      <c r="C659" s="1353">
        <v>0.0</v>
      </c>
      <c r="D659" s="1381">
        <v>22.9</v>
      </c>
      <c r="E659" s="1382">
        <f t="shared" si="156"/>
        <v>0</v>
      </c>
      <c r="F659" s="1381">
        <v>885.0</v>
      </c>
      <c r="G659" s="1413">
        <f t="shared" si="159"/>
        <v>20266.5</v>
      </c>
      <c r="H659" s="1381"/>
      <c r="I659" s="1381">
        <f t="shared" si="158"/>
        <v>0</v>
      </c>
      <c r="J659" s="1406">
        <v>18.0</v>
      </c>
      <c r="K659" s="589"/>
      <c r="L659" s="1414">
        <v>18.9</v>
      </c>
      <c r="M659" s="312" t="s">
        <v>340</v>
      </c>
      <c r="N659" s="1291">
        <f t="shared" si="160"/>
        <v>0</v>
      </c>
      <c r="O659" s="370">
        <f t="shared" si="161"/>
        <v>0</v>
      </c>
      <c r="P659" s="1291"/>
      <c r="Q659" s="1291"/>
      <c r="R659" s="1291"/>
      <c r="S659" s="370"/>
    </row>
    <row r="660">
      <c r="A660" s="1344"/>
      <c r="B660" s="1387" t="s">
        <v>2405</v>
      </c>
      <c r="C660" s="1353">
        <v>10.0</v>
      </c>
      <c r="D660" s="1381">
        <v>22.9</v>
      </c>
      <c r="E660" s="1382">
        <f t="shared" si="156"/>
        <v>229</v>
      </c>
      <c r="F660" s="1381">
        <v>885.0</v>
      </c>
      <c r="G660" s="1413">
        <f t="shared" si="159"/>
        <v>20266.5</v>
      </c>
      <c r="H660" s="1381"/>
      <c r="I660" s="1381">
        <f t="shared" si="158"/>
        <v>202665</v>
      </c>
      <c r="J660" s="1406">
        <v>18.0</v>
      </c>
      <c r="K660" s="589"/>
      <c r="L660" s="1414">
        <v>18.9</v>
      </c>
      <c r="M660" s="312" t="s">
        <v>340</v>
      </c>
      <c r="N660" s="1291">
        <f t="shared" si="160"/>
        <v>229</v>
      </c>
      <c r="O660" s="370">
        <f t="shared" si="161"/>
        <v>202665</v>
      </c>
      <c r="P660" s="1291"/>
      <c r="Q660" s="1291"/>
      <c r="R660" s="1291"/>
      <c r="S660" s="370"/>
    </row>
    <row r="661">
      <c r="A661" s="1344"/>
      <c r="B661" s="1387" t="s">
        <v>2406</v>
      </c>
      <c r="C661" s="1353">
        <v>20.0</v>
      </c>
      <c r="D661" s="1381">
        <v>22.9</v>
      </c>
      <c r="E661" s="1382">
        <f t="shared" si="156"/>
        <v>458</v>
      </c>
      <c r="F661" s="1381">
        <v>885.0</v>
      </c>
      <c r="G661" s="1413">
        <f t="shared" si="159"/>
        <v>20266.5</v>
      </c>
      <c r="H661" s="1381"/>
      <c r="I661" s="1381">
        <f t="shared" si="158"/>
        <v>405330</v>
      </c>
      <c r="J661" s="1406">
        <v>18.0</v>
      </c>
      <c r="K661" s="589"/>
      <c r="L661" s="1414">
        <v>18.9</v>
      </c>
      <c r="M661" s="312" t="s">
        <v>340</v>
      </c>
      <c r="N661" s="1291">
        <f t="shared" si="160"/>
        <v>458</v>
      </c>
      <c r="O661" s="370">
        <f t="shared" si="161"/>
        <v>405330</v>
      </c>
      <c r="P661" s="1291"/>
      <c r="Q661" s="1291"/>
      <c r="R661" s="1291"/>
      <c r="S661" s="370"/>
    </row>
    <row r="662">
      <c r="A662" s="1344"/>
      <c r="B662" s="1387" t="s">
        <v>2407</v>
      </c>
      <c r="C662" s="1353">
        <v>10.0</v>
      </c>
      <c r="D662" s="1381">
        <v>22.9</v>
      </c>
      <c r="E662" s="1382">
        <f t="shared" si="156"/>
        <v>229</v>
      </c>
      <c r="F662" s="1381">
        <v>885.0</v>
      </c>
      <c r="G662" s="1413">
        <f t="shared" si="159"/>
        <v>20266.5</v>
      </c>
      <c r="H662" s="1381"/>
      <c r="I662" s="1381">
        <f t="shared" si="158"/>
        <v>202665</v>
      </c>
      <c r="J662" s="1406">
        <v>18.0</v>
      </c>
      <c r="K662" s="589"/>
      <c r="L662" s="1414">
        <v>18.9</v>
      </c>
      <c r="M662" s="312" t="s">
        <v>340</v>
      </c>
      <c r="N662" s="1291">
        <f t="shared" si="160"/>
        <v>229</v>
      </c>
      <c r="O662" s="370">
        <f t="shared" si="161"/>
        <v>202665</v>
      </c>
      <c r="P662" s="1291"/>
      <c r="Q662" s="1291"/>
      <c r="R662" s="1291"/>
      <c r="S662" s="370"/>
    </row>
    <row r="663">
      <c r="A663" s="1344"/>
      <c r="B663" s="1389" t="s">
        <v>3405</v>
      </c>
      <c r="C663" s="1353">
        <v>1.0</v>
      </c>
      <c r="D663" s="163">
        <v>90.0</v>
      </c>
      <c r="E663" s="1382">
        <f t="shared" si="156"/>
        <v>90</v>
      </c>
      <c r="F663" s="1381">
        <v>885.0</v>
      </c>
      <c r="G663" s="1413">
        <f t="shared" si="159"/>
        <v>79650</v>
      </c>
      <c r="H663" s="1381">
        <f t="shared" ref="H663:H664" si="162">F663*D663</f>
        <v>79650</v>
      </c>
      <c r="I663" s="1381">
        <f t="shared" si="158"/>
        <v>79650</v>
      </c>
      <c r="J663" s="1298"/>
      <c r="K663" s="39"/>
      <c r="L663" s="765"/>
      <c r="N663" s="1291"/>
      <c r="O663" s="1291"/>
      <c r="P663" s="1291"/>
      <c r="Q663" s="1291"/>
      <c r="R663" s="1291"/>
      <c r="S663" s="370"/>
    </row>
    <row r="664">
      <c r="A664" s="1344"/>
      <c r="B664" s="1389" t="s">
        <v>2519</v>
      </c>
      <c r="C664" s="1353">
        <v>0.0</v>
      </c>
      <c r="D664" s="589"/>
      <c r="E664" s="1382">
        <f t="shared" si="156"/>
        <v>0</v>
      </c>
      <c r="F664" s="1381">
        <v>770.0</v>
      </c>
      <c r="G664" s="1381">
        <v>0.0</v>
      </c>
      <c r="H664" s="1381">
        <f t="shared" si="162"/>
        <v>0</v>
      </c>
      <c r="I664" s="1381">
        <f t="shared" si="158"/>
        <v>0</v>
      </c>
      <c r="J664" s="1298"/>
      <c r="K664" s="39"/>
      <c r="L664" s="595"/>
      <c r="N664" s="1291"/>
      <c r="O664" s="1291"/>
      <c r="P664" s="1291"/>
      <c r="Q664" s="1291"/>
      <c r="R664" s="1291"/>
      <c r="S664" s="370"/>
    </row>
    <row r="665">
      <c r="A665" s="1344"/>
      <c r="B665" s="1391" t="s">
        <v>6435</v>
      </c>
      <c r="C665" s="1353">
        <v>10.0</v>
      </c>
      <c r="D665" s="1381">
        <v>32.0</v>
      </c>
      <c r="E665" s="1382">
        <f t="shared" si="156"/>
        <v>320</v>
      </c>
      <c r="F665" s="1381">
        <v>885.0</v>
      </c>
      <c r="G665" s="1413">
        <f>D665*F665</f>
        <v>28320</v>
      </c>
      <c r="H665" s="1381"/>
      <c r="I665" s="1381">
        <f t="shared" si="158"/>
        <v>283200</v>
      </c>
      <c r="J665" s="1406">
        <v>30.0</v>
      </c>
      <c r="K665" s="589"/>
      <c r="L665" s="1414">
        <v>30.0</v>
      </c>
      <c r="N665" s="1291"/>
      <c r="O665" s="1291"/>
      <c r="P665" s="1291"/>
      <c r="Q665" s="1291"/>
      <c r="R665" s="1291"/>
      <c r="S665" s="370"/>
    </row>
    <row r="666">
      <c r="A666" s="1344"/>
      <c r="B666" s="1391"/>
      <c r="C666" s="1353"/>
      <c r="D666" s="1381"/>
      <c r="E666" s="1382"/>
      <c r="F666" s="1381"/>
      <c r="G666" s="1381"/>
      <c r="H666" s="1381"/>
      <c r="I666" s="1381">
        <v>400000.0</v>
      </c>
      <c r="J666" s="1298"/>
      <c r="K666" s="589"/>
      <c r="L666" s="595"/>
      <c r="N666" s="1291"/>
      <c r="O666" s="370"/>
      <c r="P666" s="1291"/>
      <c r="Q666" s="1291"/>
      <c r="R666" s="1291"/>
      <c r="S666" s="370"/>
    </row>
    <row r="667">
      <c r="A667" s="1344"/>
      <c r="B667" s="1391"/>
      <c r="C667" s="1353"/>
      <c r="D667" s="1381"/>
      <c r="E667" s="1382"/>
      <c r="F667" s="1381"/>
      <c r="G667" s="1381"/>
      <c r="H667" s="1381"/>
      <c r="I667" s="1381">
        <f>SUM(I622:I666)</f>
        <v>6289798.9</v>
      </c>
      <c r="J667" s="1298"/>
      <c r="K667" s="589"/>
      <c r="L667" s="595"/>
      <c r="N667" s="1291">
        <f t="shared" ref="N667:O667" si="163">SUM(N626:N662)</f>
        <v>3178.7</v>
      </c>
      <c r="O667" s="370">
        <f t="shared" si="163"/>
        <v>2813149.5</v>
      </c>
      <c r="P667" s="1291"/>
      <c r="Q667" s="1291">
        <f>O667/N667</f>
        <v>885</v>
      </c>
      <c r="R667" s="1291"/>
      <c r="S667" s="370"/>
    </row>
    <row r="668">
      <c r="A668" s="1344"/>
      <c r="B668" s="1391"/>
      <c r="C668" s="1353"/>
      <c r="D668" s="1381"/>
      <c r="E668" s="1382"/>
      <c r="F668" s="1381"/>
      <c r="G668" s="1381"/>
      <c r="H668" s="1381"/>
      <c r="I668" s="1381"/>
      <c r="J668" s="1298"/>
      <c r="K668" s="589"/>
      <c r="L668" s="595"/>
      <c r="N668" s="1291"/>
      <c r="O668" s="370"/>
      <c r="P668" s="1291"/>
      <c r="Q668" s="1291"/>
      <c r="R668" s="1291"/>
      <c r="S668" s="370"/>
    </row>
    <row r="669">
      <c r="A669" s="1344"/>
      <c r="B669" s="1407"/>
      <c r="C669" s="1344"/>
      <c r="D669" s="1408"/>
      <c r="E669" s="1409"/>
      <c r="F669" s="1408"/>
      <c r="G669" s="1408"/>
      <c r="H669" s="1408"/>
      <c r="I669" s="1408"/>
      <c r="J669" s="1362"/>
      <c r="K669" s="587"/>
      <c r="L669" s="595"/>
      <c r="N669" s="1291"/>
      <c r="O669" s="370"/>
      <c r="P669" s="1291"/>
      <c r="Q669" s="1291"/>
      <c r="R669" s="1291"/>
      <c r="S669" s="370"/>
    </row>
    <row r="670">
      <c r="A670" s="1344"/>
      <c r="B670" s="1407"/>
      <c r="C670" s="1344"/>
      <c r="D670" s="1408"/>
      <c r="E670" s="1409"/>
      <c r="F670" s="1408"/>
      <c r="G670" s="1408"/>
      <c r="H670" s="1408"/>
      <c r="I670" s="1408"/>
      <c r="J670" s="1362"/>
      <c r="K670" s="587"/>
      <c r="L670" s="595"/>
      <c r="N670" s="1291"/>
      <c r="O670" s="370"/>
      <c r="P670" s="1291"/>
      <c r="Q670" s="1291"/>
      <c r="R670" s="1291"/>
      <c r="S670" s="370"/>
    </row>
    <row r="671">
      <c r="A671" s="1344"/>
      <c r="B671" s="1386" t="s">
        <v>6556</v>
      </c>
      <c r="J671" s="1362"/>
      <c r="K671" s="587"/>
      <c r="L671" s="595"/>
      <c r="N671" s="1291"/>
      <c r="O671" s="370"/>
      <c r="P671" s="1291"/>
      <c r="Q671" s="1291"/>
      <c r="R671" s="1291"/>
      <c r="S671" s="370"/>
    </row>
    <row r="672">
      <c r="A672" s="1344"/>
      <c r="B672" s="1375"/>
      <c r="C672" s="1344"/>
      <c r="D672" s="587"/>
      <c r="E672" s="1362"/>
      <c r="F672" s="595"/>
      <c r="G672" s="595"/>
      <c r="H672" s="595"/>
      <c r="I672" s="595"/>
      <c r="J672" s="1362"/>
      <c r="K672" s="587"/>
      <c r="L672" s="595"/>
      <c r="N672" s="1291"/>
      <c r="O672" s="370"/>
      <c r="P672" s="1291"/>
      <c r="Q672" s="1291"/>
      <c r="R672" s="1291"/>
      <c r="S672" s="370"/>
    </row>
    <row r="673">
      <c r="A673" s="1344"/>
      <c r="B673" s="1393" t="s">
        <v>6543</v>
      </c>
      <c r="C673" s="1394" t="s">
        <v>3879</v>
      </c>
      <c r="D673" s="1395" t="s">
        <v>6544</v>
      </c>
      <c r="E673" s="1396" t="s">
        <v>6517</v>
      </c>
      <c r="F673" s="1397" t="s">
        <v>6518</v>
      </c>
      <c r="G673" s="1398" t="s">
        <v>6545</v>
      </c>
      <c r="H673" s="1397"/>
      <c r="I673" s="1397" t="s">
        <v>6520</v>
      </c>
      <c r="J673" s="1399" t="s">
        <v>6525</v>
      </c>
      <c r="K673" s="1400" t="s">
        <v>6546</v>
      </c>
      <c r="L673" s="1410" t="s">
        <v>6551</v>
      </c>
      <c r="N673" s="1411" t="s">
        <v>6552</v>
      </c>
      <c r="O673" s="1412" t="s">
        <v>6472</v>
      </c>
      <c r="P673" s="1291"/>
      <c r="Q673" s="1291"/>
      <c r="R673" s="1291"/>
      <c r="S673" s="370"/>
    </row>
    <row r="674">
      <c r="A674" s="1344"/>
      <c r="B674" s="1389" t="s">
        <v>6528</v>
      </c>
      <c r="C674" s="1353">
        <v>0.0</v>
      </c>
      <c r="D674" s="163">
        <v>140.0</v>
      </c>
      <c r="E674" s="1382">
        <f t="shared" ref="E674:E704" si="164">C674*D674</f>
        <v>0</v>
      </c>
      <c r="F674" s="1381">
        <v>885.0</v>
      </c>
      <c r="G674" s="1413">
        <f t="shared" ref="G674:G675" si="165">D674*F674</f>
        <v>123900</v>
      </c>
      <c r="H674" s="1381">
        <f>F674*D674</f>
        <v>123900</v>
      </c>
      <c r="I674" s="1381">
        <f t="shared" ref="I674:I704" si="166">E674*F674</f>
        <v>0</v>
      </c>
      <c r="J674" s="1298">
        <v>35.0</v>
      </c>
      <c r="K674" s="163">
        <v>83000.0</v>
      </c>
      <c r="L674" s="713">
        <v>140.0</v>
      </c>
      <c r="N674" s="1291"/>
      <c r="O674" s="1291"/>
      <c r="P674" s="1291"/>
      <c r="Q674" s="1291"/>
      <c r="R674" s="1291"/>
      <c r="S674" s="370"/>
    </row>
    <row r="675">
      <c r="A675" s="1344"/>
      <c r="B675" s="1389" t="s">
        <v>6529</v>
      </c>
      <c r="C675" s="1353">
        <v>0.0</v>
      </c>
      <c r="D675" s="719">
        <v>50.0</v>
      </c>
      <c r="E675" s="1382">
        <f t="shared" si="164"/>
        <v>0</v>
      </c>
      <c r="F675" s="1381">
        <v>770.0</v>
      </c>
      <c r="G675" s="1405">
        <f t="shared" si="165"/>
        <v>38500</v>
      </c>
      <c r="H675" s="1381"/>
      <c r="I675" s="1381">
        <f t="shared" si="166"/>
        <v>0</v>
      </c>
      <c r="J675" s="1406"/>
      <c r="K675" s="163">
        <v>62000.0</v>
      </c>
      <c r="L675" s="595"/>
      <c r="N675" s="1291"/>
      <c r="O675" s="1291"/>
      <c r="P675" s="1291"/>
      <c r="Q675" s="1291"/>
      <c r="R675" s="1291"/>
      <c r="S675" s="370"/>
    </row>
    <row r="676">
      <c r="A676" s="1344"/>
      <c r="B676" s="1387" t="s">
        <v>6509</v>
      </c>
      <c r="C676" s="1353">
        <v>0.0</v>
      </c>
      <c r="D676" s="1381"/>
      <c r="E676" s="1382">
        <f t="shared" si="164"/>
        <v>0</v>
      </c>
      <c r="F676" s="1381">
        <v>770.0</v>
      </c>
      <c r="G676" s="1381">
        <v>0.0</v>
      </c>
      <c r="H676" s="1381">
        <f t="shared" ref="H676:H688" si="167">F676*D676</f>
        <v>0</v>
      </c>
      <c r="I676" s="1381">
        <f t="shared" si="166"/>
        <v>0</v>
      </c>
      <c r="J676" s="1298"/>
      <c r="K676" s="39"/>
      <c r="L676" s="595"/>
      <c r="M676" s="312" t="s">
        <v>340</v>
      </c>
      <c r="N676" s="1291"/>
      <c r="O676" s="1291"/>
      <c r="P676" s="1291"/>
      <c r="Q676" s="1291"/>
      <c r="R676" s="1291"/>
      <c r="S676" s="370"/>
    </row>
    <row r="677">
      <c r="A677" s="1344"/>
      <c r="B677" s="1387" t="s">
        <v>6510</v>
      </c>
      <c r="C677" s="1353">
        <v>0.0</v>
      </c>
      <c r="D677" s="1381"/>
      <c r="E677" s="1382">
        <f t="shared" si="164"/>
        <v>0</v>
      </c>
      <c r="F677" s="1381">
        <v>770.0</v>
      </c>
      <c r="G677" s="1381">
        <v>0.0</v>
      </c>
      <c r="H677" s="1381">
        <f t="shared" si="167"/>
        <v>0</v>
      </c>
      <c r="I677" s="1381">
        <f t="shared" si="166"/>
        <v>0</v>
      </c>
      <c r="J677" s="1298"/>
      <c r="K677" s="39"/>
      <c r="L677" s="595"/>
      <c r="N677" s="1291"/>
      <c r="O677" s="1291"/>
      <c r="P677" s="1291"/>
      <c r="Q677" s="1291"/>
      <c r="R677" s="1291"/>
      <c r="S677" s="370"/>
    </row>
    <row r="678">
      <c r="A678" s="1344"/>
      <c r="B678" s="1387" t="s">
        <v>6530</v>
      </c>
      <c r="C678" s="1353">
        <v>5.0</v>
      </c>
      <c r="D678" s="1381">
        <v>11.0</v>
      </c>
      <c r="E678" s="1382">
        <f t="shared" si="164"/>
        <v>55</v>
      </c>
      <c r="F678" s="1381">
        <v>890.0</v>
      </c>
      <c r="G678" s="1413">
        <f>D678*F678</f>
        <v>9790</v>
      </c>
      <c r="H678" s="1381">
        <f t="shared" si="167"/>
        <v>9790</v>
      </c>
      <c r="I678" s="1381">
        <f t="shared" si="166"/>
        <v>48950</v>
      </c>
      <c r="J678" s="1298"/>
      <c r="K678" s="39"/>
      <c r="L678" s="1414"/>
      <c r="M678" s="312" t="s">
        <v>340</v>
      </c>
      <c r="N678" s="1291">
        <f>D678*C678</f>
        <v>55</v>
      </c>
      <c r="O678" s="370">
        <f>G678*C678</f>
        <v>48950</v>
      </c>
      <c r="P678" s="1291"/>
      <c r="Q678" s="1291"/>
      <c r="R678" s="1291"/>
      <c r="S678" s="370"/>
    </row>
    <row r="679">
      <c r="A679" s="1344"/>
      <c r="B679" s="167" t="s">
        <v>6349</v>
      </c>
      <c r="C679" s="1353">
        <v>0.0</v>
      </c>
      <c r="D679" s="1381"/>
      <c r="E679" s="1382">
        <f t="shared" si="164"/>
        <v>0</v>
      </c>
      <c r="F679" s="1381">
        <v>770.0</v>
      </c>
      <c r="G679" s="1381">
        <v>0.0</v>
      </c>
      <c r="H679" s="1381">
        <f t="shared" si="167"/>
        <v>0</v>
      </c>
      <c r="I679" s="1381">
        <f t="shared" si="166"/>
        <v>0</v>
      </c>
      <c r="J679" s="1298"/>
      <c r="K679" s="39"/>
      <c r="L679" s="595"/>
      <c r="N679" s="1291"/>
      <c r="O679" s="1291"/>
      <c r="P679" s="1291"/>
      <c r="Q679" s="1291"/>
      <c r="R679" s="1291"/>
      <c r="S679" s="370"/>
    </row>
    <row r="680">
      <c r="A680" s="1344"/>
      <c r="B680" s="1389" t="s">
        <v>6532</v>
      </c>
      <c r="C680" s="1353">
        <v>0.0</v>
      </c>
      <c r="D680" s="1381"/>
      <c r="E680" s="1382">
        <f t="shared" si="164"/>
        <v>0</v>
      </c>
      <c r="F680" s="1381">
        <v>770.0</v>
      </c>
      <c r="G680" s="1381">
        <v>0.0</v>
      </c>
      <c r="H680" s="1381">
        <f t="shared" si="167"/>
        <v>0</v>
      </c>
      <c r="I680" s="1381">
        <f t="shared" si="166"/>
        <v>0</v>
      </c>
      <c r="J680" s="1298"/>
      <c r="K680" s="39"/>
      <c r="L680" s="595"/>
      <c r="N680" s="1291"/>
      <c r="O680" s="1291"/>
      <c r="P680" s="1291"/>
      <c r="Q680" s="1291"/>
      <c r="R680" s="1291"/>
      <c r="S680" s="370"/>
    </row>
    <row r="681">
      <c r="A681" s="1344"/>
      <c r="B681" s="1389" t="s">
        <v>365</v>
      </c>
      <c r="C681" s="1353">
        <v>0.0</v>
      </c>
      <c r="D681" s="163">
        <v>90.0</v>
      </c>
      <c r="E681" s="1382">
        <f t="shared" si="164"/>
        <v>0</v>
      </c>
      <c r="F681" s="1381">
        <v>885.0</v>
      </c>
      <c r="G681" s="1413">
        <f t="shared" ref="G681:G683" si="168">D681*F681</f>
        <v>79650</v>
      </c>
      <c r="H681" s="1381">
        <f t="shared" si="167"/>
        <v>79650</v>
      </c>
      <c r="I681" s="1381">
        <f t="shared" si="166"/>
        <v>0</v>
      </c>
      <c r="J681" s="1298"/>
      <c r="K681" s="39"/>
      <c r="L681" s="765"/>
      <c r="M681" s="312" t="s">
        <v>340</v>
      </c>
      <c r="N681" s="1291">
        <f t="shared" ref="N681:N683" si="169">D681*C681</f>
        <v>0</v>
      </c>
      <c r="O681" s="370">
        <f t="shared" ref="O681:O683" si="170">G681*C681</f>
        <v>0</v>
      </c>
      <c r="P681" s="1291"/>
      <c r="Q681" s="1291"/>
      <c r="R681" s="1291"/>
      <c r="S681" s="370"/>
    </row>
    <row r="682">
      <c r="A682" s="1344"/>
      <c r="B682" s="1389" t="s">
        <v>6553</v>
      </c>
      <c r="C682" s="1353">
        <v>0.0</v>
      </c>
      <c r="D682" s="163">
        <v>90.0</v>
      </c>
      <c r="E682" s="1382">
        <f t="shared" si="164"/>
        <v>0</v>
      </c>
      <c r="F682" s="1381">
        <v>885.0</v>
      </c>
      <c r="G682" s="1413">
        <f t="shared" si="168"/>
        <v>79650</v>
      </c>
      <c r="H682" s="1381">
        <f t="shared" si="167"/>
        <v>79650</v>
      </c>
      <c r="I682" s="1381">
        <f t="shared" si="166"/>
        <v>0</v>
      </c>
      <c r="J682" s="1298"/>
      <c r="K682" s="39"/>
      <c r="L682" s="765"/>
      <c r="M682" s="312" t="s">
        <v>340</v>
      </c>
      <c r="N682" s="1291">
        <f t="shared" si="169"/>
        <v>0</v>
      </c>
      <c r="O682" s="370">
        <f t="shared" si="170"/>
        <v>0</v>
      </c>
      <c r="P682" s="1291"/>
      <c r="Q682" s="1291"/>
      <c r="R682" s="1291"/>
      <c r="S682" s="370"/>
    </row>
    <row r="683">
      <c r="A683" s="1344"/>
      <c r="B683" s="167" t="s">
        <v>6557</v>
      </c>
      <c r="C683" s="1353">
        <v>5.0</v>
      </c>
      <c r="D683" s="1381">
        <v>34.0</v>
      </c>
      <c r="E683" s="1382">
        <f t="shared" si="164"/>
        <v>170</v>
      </c>
      <c r="F683" s="1381">
        <v>890.0</v>
      </c>
      <c r="G683" s="1413">
        <f t="shared" si="168"/>
        <v>30260</v>
      </c>
      <c r="H683" s="1381">
        <f t="shared" si="167"/>
        <v>30260</v>
      </c>
      <c r="I683" s="1381">
        <f t="shared" si="166"/>
        <v>151300</v>
      </c>
      <c r="J683" s="1298"/>
      <c r="K683" s="39"/>
      <c r="L683" s="1414"/>
      <c r="M683" s="312" t="s">
        <v>340</v>
      </c>
      <c r="N683" s="1291">
        <f t="shared" si="169"/>
        <v>170</v>
      </c>
      <c r="O683" s="370">
        <f t="shared" si="170"/>
        <v>151300</v>
      </c>
      <c r="P683" s="1291"/>
      <c r="Q683" s="1291"/>
      <c r="R683" s="1291"/>
      <c r="S683" s="370"/>
    </row>
    <row r="684">
      <c r="A684" s="1344"/>
      <c r="B684" s="1389" t="s">
        <v>469</v>
      </c>
      <c r="C684" s="1353">
        <v>0.0</v>
      </c>
      <c r="D684" s="1381"/>
      <c r="E684" s="1382">
        <f t="shared" si="164"/>
        <v>0</v>
      </c>
      <c r="F684" s="1381">
        <v>770.0</v>
      </c>
      <c r="G684" s="1381">
        <v>0.0</v>
      </c>
      <c r="H684" s="1381">
        <f t="shared" si="167"/>
        <v>0</v>
      </c>
      <c r="I684" s="1381">
        <f t="shared" si="166"/>
        <v>0</v>
      </c>
      <c r="J684" s="1298"/>
      <c r="K684" s="39"/>
      <c r="L684" s="595"/>
      <c r="N684" s="1291"/>
      <c r="O684" s="1291"/>
      <c r="P684" s="1291"/>
      <c r="Q684" s="1291"/>
      <c r="R684" s="1291"/>
      <c r="S684" s="370"/>
    </row>
    <row r="685">
      <c r="A685" s="1344"/>
      <c r="B685" s="1387" t="s">
        <v>6521</v>
      </c>
      <c r="C685" s="1353">
        <v>0.0</v>
      </c>
      <c r="D685" s="1381">
        <v>30.0</v>
      </c>
      <c r="E685" s="1382">
        <f t="shared" si="164"/>
        <v>0</v>
      </c>
      <c r="F685" s="1381">
        <v>770.0</v>
      </c>
      <c r="G685" s="1404">
        <f t="shared" ref="G685:G693" si="171">D685*F685</f>
        <v>23100</v>
      </c>
      <c r="H685" s="1381">
        <f t="shared" si="167"/>
        <v>23100</v>
      </c>
      <c r="I685" s="1381">
        <f t="shared" si="166"/>
        <v>0</v>
      </c>
      <c r="J685" s="1298">
        <v>28.0</v>
      </c>
      <c r="K685" s="163">
        <v>22000.0</v>
      </c>
      <c r="L685" s="595"/>
      <c r="N685" s="1291"/>
      <c r="O685" s="1291"/>
      <c r="P685" s="1291"/>
      <c r="Q685" s="1291"/>
      <c r="R685" s="1291"/>
      <c r="S685" s="370"/>
    </row>
    <row r="686">
      <c r="A686" s="1344"/>
      <c r="B686" s="1387" t="s">
        <v>6456</v>
      </c>
      <c r="C686" s="1353">
        <v>0.0</v>
      </c>
      <c r="D686" s="1381">
        <v>29.9</v>
      </c>
      <c r="E686" s="1382">
        <f t="shared" si="164"/>
        <v>0</v>
      </c>
      <c r="F686" s="1381">
        <v>885.0</v>
      </c>
      <c r="G686" s="1413">
        <f t="shared" si="171"/>
        <v>26461.5</v>
      </c>
      <c r="H686" s="1381">
        <f t="shared" si="167"/>
        <v>26461.5</v>
      </c>
      <c r="I686" s="1381">
        <f t="shared" si="166"/>
        <v>0</v>
      </c>
      <c r="J686" s="1298"/>
      <c r="K686" s="39"/>
      <c r="L686" s="1414"/>
      <c r="N686" s="1291"/>
      <c r="O686" s="1291"/>
      <c r="P686" s="1291"/>
      <c r="Q686" s="1291"/>
      <c r="R686" s="1291"/>
      <c r="S686" s="370"/>
    </row>
    <row r="687">
      <c r="A687" s="1344"/>
      <c r="B687" s="1389" t="s">
        <v>6533</v>
      </c>
      <c r="C687" s="1353">
        <v>0.0</v>
      </c>
      <c r="D687" s="163">
        <v>218.0</v>
      </c>
      <c r="E687" s="1382">
        <f t="shared" si="164"/>
        <v>0</v>
      </c>
      <c r="F687" s="1381">
        <v>885.0</v>
      </c>
      <c r="G687" s="1413">
        <f t="shared" si="171"/>
        <v>192930</v>
      </c>
      <c r="H687" s="1381">
        <f t="shared" si="167"/>
        <v>192930</v>
      </c>
      <c r="I687" s="1381">
        <f t="shared" si="166"/>
        <v>0</v>
      </c>
      <c r="J687" s="1298"/>
      <c r="K687" s="39"/>
      <c r="L687" s="765"/>
      <c r="N687" s="1291"/>
      <c r="O687" s="1291"/>
      <c r="P687" s="1291"/>
      <c r="Q687" s="1291"/>
      <c r="R687" s="1291"/>
      <c r="S687" s="370"/>
    </row>
    <row r="688">
      <c r="A688" s="1344"/>
      <c r="B688" s="1390" t="s">
        <v>6554</v>
      </c>
      <c r="C688" s="1353">
        <v>0.0</v>
      </c>
      <c r="D688" s="163">
        <v>220.0</v>
      </c>
      <c r="E688" s="1382">
        <f t="shared" si="164"/>
        <v>0</v>
      </c>
      <c r="F688" s="1381">
        <v>770.0</v>
      </c>
      <c r="G688" s="1404">
        <f t="shared" si="171"/>
        <v>169400</v>
      </c>
      <c r="H688" s="1381">
        <f t="shared" si="167"/>
        <v>169400</v>
      </c>
      <c r="I688" s="1381">
        <f t="shared" si="166"/>
        <v>0</v>
      </c>
      <c r="J688" s="1298">
        <v>0.0</v>
      </c>
      <c r="K688" s="163">
        <v>200000.0</v>
      </c>
      <c r="L688" s="713">
        <v>240.0</v>
      </c>
      <c r="N688" s="1291"/>
      <c r="O688" s="1291"/>
      <c r="P688" s="1291"/>
      <c r="Q688" s="1291"/>
      <c r="R688" s="1291"/>
      <c r="S688" s="370"/>
    </row>
    <row r="689">
      <c r="A689" s="1344"/>
      <c r="B689" s="1387" t="s">
        <v>6534</v>
      </c>
      <c r="C689" s="1353">
        <v>10.0</v>
      </c>
      <c r="D689" s="1381">
        <v>129.0</v>
      </c>
      <c r="E689" s="1382">
        <f t="shared" si="164"/>
        <v>1290</v>
      </c>
      <c r="F689" s="1381">
        <v>890.0</v>
      </c>
      <c r="G689" s="1413">
        <f t="shared" si="171"/>
        <v>114810</v>
      </c>
      <c r="H689" s="1381"/>
      <c r="I689" s="1381">
        <f t="shared" si="166"/>
        <v>1148100</v>
      </c>
      <c r="J689" s="1406">
        <v>145.0</v>
      </c>
      <c r="K689" s="163">
        <v>200000.0</v>
      </c>
      <c r="L689" s="595"/>
      <c r="M689" s="312" t="s">
        <v>340</v>
      </c>
      <c r="N689" s="1291">
        <f>D689*C689</f>
        <v>1290</v>
      </c>
      <c r="O689" s="370">
        <f>G689*C689</f>
        <v>1148100</v>
      </c>
      <c r="P689" s="1291"/>
      <c r="Q689" s="1291"/>
      <c r="R689" s="1291"/>
      <c r="S689" s="370"/>
    </row>
    <row r="690">
      <c r="A690" s="1344"/>
      <c r="B690" s="167" t="s">
        <v>6548</v>
      </c>
      <c r="C690" s="1353">
        <v>0.0</v>
      </c>
      <c r="D690" s="1405">
        <v>24.0</v>
      </c>
      <c r="E690" s="1382">
        <f t="shared" si="164"/>
        <v>0</v>
      </c>
      <c r="F690" s="1381">
        <v>770.0</v>
      </c>
      <c r="G690" s="1405">
        <f t="shared" si="171"/>
        <v>18480</v>
      </c>
      <c r="H690" s="1381"/>
      <c r="I690" s="1381">
        <f t="shared" si="166"/>
        <v>0</v>
      </c>
      <c r="J690" s="1406">
        <v>10.0</v>
      </c>
      <c r="K690" s="589"/>
      <c r="L690" s="595"/>
      <c r="N690" s="1291"/>
      <c r="O690" s="1291"/>
      <c r="P690" s="1291"/>
      <c r="Q690" s="1291"/>
      <c r="R690" s="1291"/>
      <c r="S690" s="370"/>
    </row>
    <row r="691">
      <c r="A691" s="1344"/>
      <c r="B691" s="1389" t="s">
        <v>823</v>
      </c>
      <c r="C691" s="1353">
        <v>0.0</v>
      </c>
      <c r="D691" s="1381"/>
      <c r="E691" s="1382">
        <f t="shared" si="164"/>
        <v>0</v>
      </c>
      <c r="F691" s="1381">
        <v>885.0</v>
      </c>
      <c r="G691" s="1413">
        <f t="shared" si="171"/>
        <v>0</v>
      </c>
      <c r="H691" s="1381">
        <f>F691*D691</f>
        <v>0</v>
      </c>
      <c r="I691" s="1381">
        <f t="shared" si="166"/>
        <v>0</v>
      </c>
      <c r="J691" s="1298"/>
      <c r="K691" s="39"/>
      <c r="L691" s="1414"/>
      <c r="M691" s="312" t="s">
        <v>340</v>
      </c>
      <c r="N691" s="1291">
        <f t="shared" ref="N691:N693" si="172">D691*C691</f>
        <v>0</v>
      </c>
      <c r="O691" s="370">
        <f t="shared" ref="O691:O693" si="173">G691*C691</f>
        <v>0</v>
      </c>
      <c r="P691" s="1291"/>
      <c r="Q691" s="1291"/>
      <c r="R691" s="1291"/>
      <c r="S691" s="370"/>
    </row>
    <row r="692">
      <c r="A692" s="1344"/>
      <c r="B692" s="1387" t="s">
        <v>6459</v>
      </c>
      <c r="C692" s="1353">
        <v>6.0</v>
      </c>
      <c r="D692" s="1381">
        <v>10.5</v>
      </c>
      <c r="E692" s="1382">
        <f t="shared" si="164"/>
        <v>63</v>
      </c>
      <c r="F692" s="1381">
        <v>890.0</v>
      </c>
      <c r="G692" s="1413">
        <f t="shared" si="171"/>
        <v>9345</v>
      </c>
      <c r="H692" s="1381"/>
      <c r="I692" s="1381">
        <f t="shared" si="166"/>
        <v>56070</v>
      </c>
      <c r="J692" s="1406">
        <v>10.35</v>
      </c>
      <c r="K692" s="589"/>
      <c r="L692" s="1414">
        <v>10.0</v>
      </c>
      <c r="M692" s="312" t="s">
        <v>340</v>
      </c>
      <c r="N692" s="1291">
        <f t="shared" si="172"/>
        <v>63</v>
      </c>
      <c r="O692" s="370">
        <f t="shared" si="173"/>
        <v>56070</v>
      </c>
      <c r="P692" s="1291"/>
      <c r="Q692" s="1291"/>
      <c r="R692" s="1291"/>
      <c r="S692" s="370"/>
    </row>
    <row r="693">
      <c r="A693" s="1344"/>
      <c r="B693" s="1387" t="s">
        <v>6460</v>
      </c>
      <c r="C693" s="1353">
        <v>10.0</v>
      </c>
      <c r="D693" s="1381">
        <v>10.5</v>
      </c>
      <c r="E693" s="1382">
        <f t="shared" si="164"/>
        <v>105</v>
      </c>
      <c r="F693" s="1381">
        <v>890.0</v>
      </c>
      <c r="G693" s="1413">
        <f t="shared" si="171"/>
        <v>9345</v>
      </c>
      <c r="H693" s="1381"/>
      <c r="I693" s="1381">
        <f t="shared" si="166"/>
        <v>93450</v>
      </c>
      <c r="J693" s="1406">
        <v>10.35</v>
      </c>
      <c r="K693" s="589"/>
      <c r="L693" s="1414">
        <v>10.0</v>
      </c>
      <c r="M693" s="312" t="s">
        <v>340</v>
      </c>
      <c r="N693" s="1291">
        <f t="shared" si="172"/>
        <v>105</v>
      </c>
      <c r="O693" s="370">
        <f t="shared" si="173"/>
        <v>93450</v>
      </c>
      <c r="P693" s="1291"/>
      <c r="Q693" s="1291"/>
      <c r="R693" s="1291"/>
      <c r="S693" s="370"/>
    </row>
    <row r="694">
      <c r="A694" s="1344"/>
      <c r="B694" s="361" t="s">
        <v>1081</v>
      </c>
      <c r="C694" s="1353">
        <v>0.0</v>
      </c>
      <c r="D694" s="1381"/>
      <c r="E694" s="1382">
        <f t="shared" si="164"/>
        <v>0</v>
      </c>
      <c r="F694" s="1381">
        <v>770.0</v>
      </c>
      <c r="G694" s="1381">
        <v>0.0</v>
      </c>
      <c r="H694" s="1381">
        <f t="shared" ref="H694:H698" si="174">F694*D694</f>
        <v>0</v>
      </c>
      <c r="I694" s="1381">
        <f t="shared" si="166"/>
        <v>0</v>
      </c>
      <c r="J694" s="1298"/>
      <c r="K694" s="39"/>
      <c r="L694" s="595"/>
      <c r="N694" s="1291"/>
      <c r="O694" s="1291"/>
      <c r="P694" s="1291"/>
      <c r="Q694" s="1291"/>
      <c r="R694" s="1291"/>
      <c r="S694" s="370"/>
    </row>
    <row r="695">
      <c r="A695" s="1344"/>
      <c r="B695" s="167" t="s">
        <v>6368</v>
      </c>
      <c r="C695" s="1353">
        <v>0.0</v>
      </c>
      <c r="D695" s="1381"/>
      <c r="E695" s="1382">
        <f t="shared" si="164"/>
        <v>0</v>
      </c>
      <c r="F695" s="1381">
        <v>770.0</v>
      </c>
      <c r="G695" s="1381">
        <f t="shared" ref="G695:G703" si="175">D695*F695</f>
        <v>0</v>
      </c>
      <c r="H695" s="1381">
        <f t="shared" si="174"/>
        <v>0</v>
      </c>
      <c r="I695" s="1381">
        <f t="shared" si="166"/>
        <v>0</v>
      </c>
      <c r="J695" s="1298"/>
      <c r="K695" s="589"/>
      <c r="L695" s="595"/>
      <c r="N695" s="1291"/>
      <c r="O695" s="1291"/>
      <c r="P695" s="1291"/>
      <c r="Q695" s="1291"/>
      <c r="R695" s="1291"/>
      <c r="S695" s="370"/>
    </row>
    <row r="696">
      <c r="A696" s="1344"/>
      <c r="B696" s="167" t="s">
        <v>6369</v>
      </c>
      <c r="C696" s="1353">
        <v>0.0</v>
      </c>
      <c r="D696" s="1381"/>
      <c r="E696" s="1382">
        <f t="shared" si="164"/>
        <v>0</v>
      </c>
      <c r="F696" s="1381">
        <v>770.0</v>
      </c>
      <c r="G696" s="1381">
        <f t="shared" si="175"/>
        <v>0</v>
      </c>
      <c r="H696" s="1381">
        <f t="shared" si="174"/>
        <v>0</v>
      </c>
      <c r="I696" s="1381">
        <f t="shared" si="166"/>
        <v>0</v>
      </c>
      <c r="J696" s="1298"/>
      <c r="K696" s="589"/>
      <c r="L696" s="595"/>
      <c r="N696" s="1291"/>
      <c r="O696" s="1291"/>
      <c r="P696" s="1291"/>
      <c r="Q696" s="1291"/>
      <c r="R696" s="1291"/>
      <c r="S696" s="370"/>
    </row>
    <row r="697">
      <c r="A697" s="1344"/>
      <c r="B697" s="1345" t="s">
        <v>6484</v>
      </c>
      <c r="C697" s="1353">
        <v>0.0</v>
      </c>
      <c r="D697" s="1381"/>
      <c r="E697" s="1382">
        <f t="shared" si="164"/>
        <v>0</v>
      </c>
      <c r="F697" s="1381">
        <v>770.0</v>
      </c>
      <c r="G697" s="1381">
        <f t="shared" si="175"/>
        <v>0</v>
      </c>
      <c r="H697" s="1381">
        <f t="shared" si="174"/>
        <v>0</v>
      </c>
      <c r="I697" s="1381">
        <f t="shared" si="166"/>
        <v>0</v>
      </c>
      <c r="J697" s="1298"/>
      <c r="K697" s="39"/>
      <c r="L697" s="595"/>
      <c r="N697" s="1291"/>
      <c r="O697" s="1291"/>
      <c r="P697" s="1291"/>
      <c r="Q697" s="1291"/>
      <c r="R697" s="1291"/>
      <c r="S697" s="370"/>
    </row>
    <row r="698">
      <c r="A698" s="1344"/>
      <c r="B698" s="1345" t="s">
        <v>1230</v>
      </c>
      <c r="C698" s="1353">
        <v>0.0</v>
      </c>
      <c r="D698" s="1381"/>
      <c r="E698" s="1382">
        <f t="shared" si="164"/>
        <v>0</v>
      </c>
      <c r="F698" s="1381">
        <v>770.0</v>
      </c>
      <c r="G698" s="1381">
        <f t="shared" si="175"/>
        <v>0</v>
      </c>
      <c r="H698" s="1381">
        <f t="shared" si="174"/>
        <v>0</v>
      </c>
      <c r="I698" s="1381">
        <f t="shared" si="166"/>
        <v>0</v>
      </c>
      <c r="J698" s="1298"/>
      <c r="K698" s="589"/>
      <c r="L698" s="595"/>
      <c r="N698" s="1291"/>
      <c r="O698" s="1291"/>
      <c r="P698" s="1291"/>
      <c r="Q698" s="1291"/>
      <c r="R698" s="1291"/>
      <c r="S698" s="370"/>
    </row>
    <row r="699">
      <c r="A699" s="1344"/>
      <c r="B699" s="1345" t="s">
        <v>6463</v>
      </c>
      <c r="C699" s="1353">
        <v>0.0</v>
      </c>
      <c r="D699" s="1405">
        <v>49.7</v>
      </c>
      <c r="E699" s="1382">
        <f t="shared" si="164"/>
        <v>0</v>
      </c>
      <c r="F699" s="1381">
        <v>770.0</v>
      </c>
      <c r="G699" s="1405">
        <f t="shared" si="175"/>
        <v>38269</v>
      </c>
      <c r="H699" s="1381"/>
      <c r="I699" s="1381">
        <f t="shared" si="166"/>
        <v>0</v>
      </c>
      <c r="J699" s="1406">
        <v>48.0</v>
      </c>
      <c r="K699" s="589"/>
      <c r="L699" s="595"/>
      <c r="N699" s="1291"/>
      <c r="O699" s="1291"/>
      <c r="P699" s="1291"/>
      <c r="Q699" s="1291"/>
      <c r="R699" s="1291"/>
      <c r="S699" s="370"/>
    </row>
    <row r="700">
      <c r="A700" s="1344"/>
      <c r="B700" s="1387" t="s">
        <v>6536</v>
      </c>
      <c r="C700" s="1353">
        <v>0.0</v>
      </c>
      <c r="D700" s="1381">
        <v>67.88</v>
      </c>
      <c r="E700" s="1382">
        <f t="shared" si="164"/>
        <v>0</v>
      </c>
      <c r="F700" s="1381">
        <v>885.0</v>
      </c>
      <c r="G700" s="1413">
        <f t="shared" si="175"/>
        <v>60073.8</v>
      </c>
      <c r="H700" s="1381">
        <f t="shared" ref="H700:H704" si="176">F700*D700</f>
        <v>60073.8</v>
      </c>
      <c r="I700" s="1381">
        <f t="shared" si="166"/>
        <v>0</v>
      </c>
      <c r="J700" s="1298">
        <v>75.0</v>
      </c>
      <c r="K700" s="163">
        <v>49820.0</v>
      </c>
      <c r="L700" s="1414">
        <v>69.0</v>
      </c>
      <c r="N700" s="1291"/>
      <c r="O700" s="1291"/>
      <c r="P700" s="1291"/>
      <c r="Q700" s="1291"/>
      <c r="R700" s="1291"/>
      <c r="S700" s="370"/>
    </row>
    <row r="701">
      <c r="A701" s="1344"/>
      <c r="B701" s="1387" t="s">
        <v>6537</v>
      </c>
      <c r="C701" s="1353">
        <v>0.0</v>
      </c>
      <c r="D701" s="1381">
        <v>76.0</v>
      </c>
      <c r="E701" s="1382">
        <f t="shared" si="164"/>
        <v>0</v>
      </c>
      <c r="F701" s="1381">
        <v>770.0</v>
      </c>
      <c r="G701" s="1404">
        <f t="shared" si="175"/>
        <v>58520</v>
      </c>
      <c r="H701" s="1381">
        <f t="shared" si="176"/>
        <v>58520</v>
      </c>
      <c r="I701" s="1381">
        <f t="shared" si="166"/>
        <v>0</v>
      </c>
      <c r="J701" s="1298">
        <v>75.0</v>
      </c>
      <c r="K701" s="163">
        <v>49820.0</v>
      </c>
      <c r="L701" s="595"/>
      <c r="N701" s="1291"/>
      <c r="O701" s="1291"/>
      <c r="P701" s="1291"/>
      <c r="Q701" s="1291"/>
      <c r="R701" s="1291"/>
      <c r="S701" s="370"/>
    </row>
    <row r="702">
      <c r="A702" s="1344"/>
      <c r="B702" s="1387" t="s">
        <v>6417</v>
      </c>
      <c r="C702" s="1353">
        <v>0.0</v>
      </c>
      <c r="D702" s="1381">
        <v>67.88</v>
      </c>
      <c r="E702" s="1382">
        <f t="shared" si="164"/>
        <v>0</v>
      </c>
      <c r="F702" s="1381">
        <v>885.0</v>
      </c>
      <c r="G702" s="1413">
        <f t="shared" si="175"/>
        <v>60073.8</v>
      </c>
      <c r="H702" s="1381">
        <f t="shared" si="176"/>
        <v>60073.8</v>
      </c>
      <c r="I702" s="1381">
        <f t="shared" si="166"/>
        <v>0</v>
      </c>
      <c r="J702" s="1298">
        <v>75.0</v>
      </c>
      <c r="K702" s="163">
        <v>49820.0</v>
      </c>
      <c r="L702" s="1414">
        <v>76.0</v>
      </c>
      <c r="N702" s="1291"/>
      <c r="O702" s="1291"/>
      <c r="P702" s="1291"/>
      <c r="Q702" s="1291"/>
      <c r="R702" s="1291"/>
      <c r="S702" s="370"/>
    </row>
    <row r="703">
      <c r="A703" s="1344"/>
      <c r="B703" s="1387" t="s">
        <v>6418</v>
      </c>
      <c r="C703" s="1353">
        <v>0.0</v>
      </c>
      <c r="D703" s="1381">
        <v>67.88</v>
      </c>
      <c r="E703" s="1382">
        <f t="shared" si="164"/>
        <v>0</v>
      </c>
      <c r="F703" s="1381">
        <v>885.0</v>
      </c>
      <c r="G703" s="1413">
        <f t="shared" si="175"/>
        <v>60073.8</v>
      </c>
      <c r="H703" s="1381">
        <f t="shared" si="176"/>
        <v>60073.8</v>
      </c>
      <c r="I703" s="1381">
        <f t="shared" si="166"/>
        <v>0</v>
      </c>
      <c r="J703" s="1298">
        <v>75.0</v>
      </c>
      <c r="K703" s="163">
        <v>49820.0</v>
      </c>
      <c r="L703" s="1414">
        <v>76.0</v>
      </c>
      <c r="N703" s="1291"/>
      <c r="O703" s="1291"/>
      <c r="P703" s="1291"/>
      <c r="Q703" s="1291"/>
      <c r="R703" s="1291"/>
      <c r="S703" s="370"/>
    </row>
    <row r="704">
      <c r="A704" s="1344"/>
      <c r="B704" s="1387" t="s">
        <v>6538</v>
      </c>
      <c r="C704" s="1353">
        <v>0.0</v>
      </c>
      <c r="D704" s="1381"/>
      <c r="E704" s="1382">
        <f t="shared" si="164"/>
        <v>0</v>
      </c>
      <c r="F704" s="1381">
        <v>770.0</v>
      </c>
      <c r="G704" s="1381">
        <v>0.0</v>
      </c>
      <c r="H704" s="1381">
        <f t="shared" si="176"/>
        <v>0</v>
      </c>
      <c r="I704" s="1381">
        <f t="shared" si="166"/>
        <v>0</v>
      </c>
      <c r="J704" s="1298"/>
      <c r="K704" s="39"/>
      <c r="L704" s="595"/>
      <c r="N704" s="1291"/>
      <c r="O704" s="1291"/>
      <c r="P704" s="1291"/>
      <c r="Q704" s="1291"/>
      <c r="R704" s="1291"/>
      <c r="S704" s="370"/>
    </row>
    <row r="705">
      <c r="A705" s="1344"/>
      <c r="B705" s="1387" t="s">
        <v>6555</v>
      </c>
      <c r="C705" s="1353">
        <v>0.0</v>
      </c>
      <c r="D705" s="1381">
        <v>100.9</v>
      </c>
      <c r="E705" s="1382"/>
      <c r="F705" s="1381">
        <v>885.0</v>
      </c>
      <c r="G705" s="1413">
        <f t="shared" ref="G705:G706" si="177">D705*F705</f>
        <v>89296.5</v>
      </c>
      <c r="H705" s="1381"/>
      <c r="I705" s="1381"/>
      <c r="J705" s="1298"/>
      <c r="K705" s="39"/>
      <c r="L705" s="1414"/>
      <c r="N705" s="1291"/>
      <c r="O705" s="1291"/>
      <c r="P705" s="1291"/>
      <c r="Q705" s="1291"/>
      <c r="R705" s="1291"/>
      <c r="S705" s="370"/>
    </row>
    <row r="706">
      <c r="A706" s="1344"/>
      <c r="B706" s="1387" t="s">
        <v>6539</v>
      </c>
      <c r="C706" s="1353">
        <v>0.0</v>
      </c>
      <c r="D706" s="1381">
        <v>130.0</v>
      </c>
      <c r="E706" s="1382">
        <f t="shared" ref="E706:E717" si="178">C706*D706</f>
        <v>0</v>
      </c>
      <c r="F706" s="1381">
        <v>885.0</v>
      </c>
      <c r="G706" s="1413">
        <f t="shared" si="177"/>
        <v>115050</v>
      </c>
      <c r="H706" s="1381">
        <f t="shared" ref="H706:H708" si="179">F706*D706</f>
        <v>115050</v>
      </c>
      <c r="I706" s="1381">
        <f t="shared" ref="I706:I717" si="180">E706*F706</f>
        <v>0</v>
      </c>
      <c r="J706" s="1298"/>
      <c r="K706" s="39"/>
      <c r="L706" s="1414"/>
      <c r="N706" s="1291"/>
      <c r="O706" s="1291"/>
      <c r="P706" s="1291"/>
      <c r="Q706" s="1291"/>
      <c r="R706" s="1291"/>
      <c r="S706" s="370"/>
    </row>
    <row r="707">
      <c r="A707" s="1344"/>
      <c r="B707" s="1389" t="s">
        <v>2186</v>
      </c>
      <c r="C707" s="1353">
        <v>0.0</v>
      </c>
      <c r="D707" s="589"/>
      <c r="E707" s="1382">
        <f t="shared" si="178"/>
        <v>0</v>
      </c>
      <c r="F707" s="1381">
        <v>770.0</v>
      </c>
      <c r="G707" s="1381">
        <v>0.0</v>
      </c>
      <c r="H707" s="1381">
        <f t="shared" si="179"/>
        <v>0</v>
      </c>
      <c r="I707" s="1381">
        <f t="shared" si="180"/>
        <v>0</v>
      </c>
      <c r="J707" s="1298"/>
      <c r="K707" s="39"/>
      <c r="L707" s="595"/>
      <c r="N707" s="1291"/>
      <c r="O707" s="1291"/>
      <c r="P707" s="1291"/>
      <c r="Q707" s="1291"/>
      <c r="R707" s="1291"/>
      <c r="S707" s="370"/>
    </row>
    <row r="708">
      <c r="A708" s="1344"/>
      <c r="B708" s="1387" t="s">
        <v>6540</v>
      </c>
      <c r="C708" s="1353">
        <v>0.0</v>
      </c>
      <c r="D708" s="1381"/>
      <c r="E708" s="1382">
        <f t="shared" si="178"/>
        <v>0</v>
      </c>
      <c r="F708" s="1381">
        <v>770.0</v>
      </c>
      <c r="G708" s="1381">
        <f t="shared" ref="G708:G715" si="181">D708*F708</f>
        <v>0</v>
      </c>
      <c r="H708" s="1381">
        <f t="shared" si="179"/>
        <v>0</v>
      </c>
      <c r="I708" s="1381">
        <f t="shared" si="180"/>
        <v>0</v>
      </c>
      <c r="J708" s="1298">
        <v>22.5</v>
      </c>
      <c r="K708" s="589"/>
      <c r="L708" s="595"/>
      <c r="N708" s="1291"/>
      <c r="O708" s="1291"/>
      <c r="P708" s="1291"/>
      <c r="Q708" s="1291"/>
      <c r="R708" s="1291"/>
      <c r="S708" s="370"/>
    </row>
    <row r="709">
      <c r="A709" s="1344"/>
      <c r="B709" s="1387" t="s">
        <v>2400</v>
      </c>
      <c r="C709" s="1353">
        <v>0.0</v>
      </c>
      <c r="D709" s="1381">
        <v>22.9</v>
      </c>
      <c r="E709" s="1382">
        <f t="shared" si="178"/>
        <v>0</v>
      </c>
      <c r="F709" s="1381">
        <v>885.0</v>
      </c>
      <c r="G709" s="1413">
        <f t="shared" si="181"/>
        <v>20266.5</v>
      </c>
      <c r="H709" s="1381"/>
      <c r="I709" s="1381">
        <f t="shared" si="180"/>
        <v>0</v>
      </c>
      <c r="J709" s="1406">
        <v>18.0</v>
      </c>
      <c r="K709" s="589"/>
      <c r="L709" s="1414">
        <v>18.9</v>
      </c>
      <c r="M709" s="312" t="s">
        <v>340</v>
      </c>
      <c r="N709" s="1291">
        <f t="shared" ref="N709:N714" si="182">D709*C709</f>
        <v>0</v>
      </c>
      <c r="O709" s="370">
        <f t="shared" ref="O709:O714" si="183">G709*C709</f>
        <v>0</v>
      </c>
      <c r="P709" s="1291"/>
      <c r="Q709" s="1291"/>
      <c r="R709" s="1291"/>
      <c r="S709" s="370"/>
    </row>
    <row r="710">
      <c r="A710" s="1344"/>
      <c r="B710" s="1387" t="s">
        <v>2402</v>
      </c>
      <c r="C710" s="1353">
        <v>0.0</v>
      </c>
      <c r="D710" s="1381">
        <v>22.9</v>
      </c>
      <c r="E710" s="1382">
        <f t="shared" si="178"/>
        <v>0</v>
      </c>
      <c r="F710" s="1381">
        <v>885.0</v>
      </c>
      <c r="G710" s="1413">
        <f t="shared" si="181"/>
        <v>20266.5</v>
      </c>
      <c r="H710" s="1381"/>
      <c r="I710" s="1381">
        <f t="shared" si="180"/>
        <v>0</v>
      </c>
      <c r="J710" s="1406">
        <v>18.0</v>
      </c>
      <c r="K710" s="589"/>
      <c r="L710" s="1414">
        <v>18.9</v>
      </c>
      <c r="M710" s="312" t="s">
        <v>340</v>
      </c>
      <c r="N710" s="1291">
        <f t="shared" si="182"/>
        <v>0</v>
      </c>
      <c r="O710" s="370">
        <f t="shared" si="183"/>
        <v>0</v>
      </c>
      <c r="P710" s="1291"/>
      <c r="Q710" s="1291"/>
      <c r="R710" s="1291"/>
      <c r="S710" s="370"/>
    </row>
    <row r="711">
      <c r="A711" s="1344"/>
      <c r="B711" s="1387" t="s">
        <v>6514</v>
      </c>
      <c r="C711" s="1353">
        <v>0.0</v>
      </c>
      <c r="D711" s="1381">
        <v>22.9</v>
      </c>
      <c r="E711" s="1382">
        <f t="shared" si="178"/>
        <v>0</v>
      </c>
      <c r="F711" s="1381">
        <v>885.0</v>
      </c>
      <c r="G711" s="1413">
        <f t="shared" si="181"/>
        <v>20266.5</v>
      </c>
      <c r="H711" s="1381"/>
      <c r="I711" s="1381">
        <f t="shared" si="180"/>
        <v>0</v>
      </c>
      <c r="J711" s="1406">
        <v>18.0</v>
      </c>
      <c r="K711" s="589"/>
      <c r="L711" s="1414">
        <v>18.9</v>
      </c>
      <c r="M711" s="312" t="s">
        <v>340</v>
      </c>
      <c r="N711" s="1291">
        <f t="shared" si="182"/>
        <v>0</v>
      </c>
      <c r="O711" s="370">
        <f t="shared" si="183"/>
        <v>0</v>
      </c>
      <c r="P711" s="1291"/>
      <c r="Q711" s="1291"/>
      <c r="R711" s="1291"/>
      <c r="S711" s="370"/>
    </row>
    <row r="712">
      <c r="A712" s="1344"/>
      <c r="B712" s="1387" t="s">
        <v>2405</v>
      </c>
      <c r="C712" s="1353">
        <v>0.0</v>
      </c>
      <c r="D712" s="1381">
        <v>22.9</v>
      </c>
      <c r="E712" s="1382">
        <f t="shared" si="178"/>
        <v>0</v>
      </c>
      <c r="F712" s="1381">
        <v>885.0</v>
      </c>
      <c r="G712" s="1413">
        <f t="shared" si="181"/>
        <v>20266.5</v>
      </c>
      <c r="H712" s="1381"/>
      <c r="I712" s="1381">
        <f t="shared" si="180"/>
        <v>0</v>
      </c>
      <c r="J712" s="1406">
        <v>18.0</v>
      </c>
      <c r="K712" s="589"/>
      <c r="L712" s="1414">
        <v>18.9</v>
      </c>
      <c r="M712" s="312" t="s">
        <v>340</v>
      </c>
      <c r="N712" s="1291">
        <f t="shared" si="182"/>
        <v>0</v>
      </c>
      <c r="O712" s="370">
        <f t="shared" si="183"/>
        <v>0</v>
      </c>
      <c r="P712" s="1291"/>
      <c r="Q712" s="1291"/>
      <c r="R712" s="1291"/>
      <c r="S712" s="370"/>
    </row>
    <row r="713">
      <c r="A713" s="1344"/>
      <c r="B713" s="1387" t="s">
        <v>2406</v>
      </c>
      <c r="C713" s="1353">
        <v>0.0</v>
      </c>
      <c r="D713" s="1381">
        <v>22.9</v>
      </c>
      <c r="E713" s="1382">
        <f t="shared" si="178"/>
        <v>0</v>
      </c>
      <c r="F713" s="1381">
        <v>885.0</v>
      </c>
      <c r="G713" s="1413">
        <f t="shared" si="181"/>
        <v>20266.5</v>
      </c>
      <c r="H713" s="1381"/>
      <c r="I713" s="1381">
        <f t="shared" si="180"/>
        <v>0</v>
      </c>
      <c r="J713" s="1406">
        <v>18.0</v>
      </c>
      <c r="K713" s="589"/>
      <c r="L713" s="1414">
        <v>18.9</v>
      </c>
      <c r="M713" s="312" t="s">
        <v>340</v>
      </c>
      <c r="N713" s="1291">
        <f t="shared" si="182"/>
        <v>0</v>
      </c>
      <c r="O713" s="370">
        <f t="shared" si="183"/>
        <v>0</v>
      </c>
      <c r="P713" s="1291"/>
      <c r="Q713" s="1291"/>
      <c r="R713" s="1291"/>
      <c r="S713" s="370"/>
    </row>
    <row r="714">
      <c r="A714" s="1344"/>
      <c r="B714" s="1387" t="s">
        <v>2407</v>
      </c>
      <c r="C714" s="1353">
        <v>0.0</v>
      </c>
      <c r="D714" s="1381">
        <v>22.9</v>
      </c>
      <c r="E714" s="1382">
        <f t="shared" si="178"/>
        <v>0</v>
      </c>
      <c r="F714" s="1381">
        <v>885.0</v>
      </c>
      <c r="G714" s="1413">
        <f t="shared" si="181"/>
        <v>20266.5</v>
      </c>
      <c r="H714" s="1381"/>
      <c r="I714" s="1381">
        <f t="shared" si="180"/>
        <v>0</v>
      </c>
      <c r="J714" s="1406">
        <v>18.0</v>
      </c>
      <c r="K714" s="589"/>
      <c r="L714" s="1414">
        <v>18.9</v>
      </c>
      <c r="M714" s="312" t="s">
        <v>340</v>
      </c>
      <c r="N714" s="1291">
        <f t="shared" si="182"/>
        <v>0</v>
      </c>
      <c r="O714" s="370">
        <f t="shared" si="183"/>
        <v>0</v>
      </c>
      <c r="P714" s="1291"/>
      <c r="Q714" s="1291"/>
      <c r="R714" s="1291"/>
      <c r="S714" s="370"/>
    </row>
    <row r="715">
      <c r="A715" s="1344"/>
      <c r="B715" s="1389" t="s">
        <v>3405</v>
      </c>
      <c r="C715" s="1353">
        <v>0.0</v>
      </c>
      <c r="D715" s="163">
        <v>90.0</v>
      </c>
      <c r="E715" s="1382">
        <f t="shared" si="178"/>
        <v>0</v>
      </c>
      <c r="F715" s="1381">
        <v>885.0</v>
      </c>
      <c r="G715" s="1413">
        <f t="shared" si="181"/>
        <v>79650</v>
      </c>
      <c r="H715" s="1381">
        <f t="shared" ref="H715:H716" si="184">F715*D715</f>
        <v>79650</v>
      </c>
      <c r="I715" s="1381">
        <f t="shared" si="180"/>
        <v>0</v>
      </c>
      <c r="J715" s="1298"/>
      <c r="K715" s="39"/>
      <c r="L715" s="765"/>
      <c r="N715" s="1291"/>
      <c r="O715" s="1291"/>
      <c r="P715" s="1291"/>
      <c r="Q715" s="1291"/>
      <c r="R715" s="1291"/>
      <c r="S715" s="370"/>
    </row>
    <row r="716">
      <c r="A716" s="1344"/>
      <c r="B716" s="1389" t="s">
        <v>2519</v>
      </c>
      <c r="C716" s="1353">
        <v>0.0</v>
      </c>
      <c r="D716" s="589"/>
      <c r="E716" s="1382">
        <f t="shared" si="178"/>
        <v>0</v>
      </c>
      <c r="F716" s="1381">
        <v>770.0</v>
      </c>
      <c r="G716" s="1381">
        <v>0.0</v>
      </c>
      <c r="H716" s="1381">
        <f t="shared" si="184"/>
        <v>0</v>
      </c>
      <c r="I716" s="1381">
        <f t="shared" si="180"/>
        <v>0</v>
      </c>
      <c r="J716" s="1298"/>
      <c r="K716" s="39"/>
      <c r="L716" s="595"/>
      <c r="N716" s="1291"/>
      <c r="O716" s="1291"/>
      <c r="P716" s="1291"/>
      <c r="Q716" s="1291"/>
      <c r="R716" s="1291"/>
      <c r="S716" s="370"/>
    </row>
    <row r="717">
      <c r="A717" s="1344"/>
      <c r="B717" s="1391" t="s">
        <v>6435</v>
      </c>
      <c r="C717" s="1353">
        <v>15.0</v>
      </c>
      <c r="D717" s="1381">
        <v>28.9</v>
      </c>
      <c r="E717" s="1382">
        <f t="shared" si="178"/>
        <v>433.5</v>
      </c>
      <c r="F717" s="1381">
        <v>890.0</v>
      </c>
      <c r="G717" s="1413">
        <f>D717*F717</f>
        <v>25721</v>
      </c>
      <c r="H717" s="1381"/>
      <c r="I717" s="1381">
        <f t="shared" si="180"/>
        <v>385815</v>
      </c>
      <c r="J717" s="1406">
        <v>30.0</v>
      </c>
      <c r="K717" s="589"/>
      <c r="L717" s="1414">
        <v>30.0</v>
      </c>
      <c r="N717" s="1291">
        <f>D717*C717</f>
        <v>433.5</v>
      </c>
      <c r="O717" s="370">
        <f>G717*C717</f>
        <v>385815</v>
      </c>
      <c r="P717" s="1291"/>
      <c r="Q717" s="1291"/>
      <c r="R717" s="1291"/>
      <c r="S717" s="370"/>
    </row>
    <row r="718">
      <c r="A718" s="1344"/>
      <c r="B718" s="1391"/>
      <c r="C718" s="1353"/>
      <c r="D718" s="1381"/>
      <c r="E718" s="1382"/>
      <c r="F718" s="1381"/>
      <c r="G718" s="1381"/>
      <c r="H718" s="1381"/>
      <c r="I718" s="1381">
        <v>400000.0</v>
      </c>
      <c r="J718" s="1298"/>
      <c r="K718" s="589"/>
      <c r="L718" s="595"/>
      <c r="N718" s="1291"/>
      <c r="O718" s="370"/>
      <c r="P718" s="1291"/>
      <c r="Q718" s="1291"/>
      <c r="R718" s="1291"/>
      <c r="S718" s="370"/>
    </row>
    <row r="719">
      <c r="A719" s="1344"/>
      <c r="B719" s="1391"/>
      <c r="C719" s="1353"/>
      <c r="D719" s="1381"/>
      <c r="E719" s="1382"/>
      <c r="F719" s="1381"/>
      <c r="G719" s="1381"/>
      <c r="H719" s="1381"/>
      <c r="I719" s="1381">
        <f>SUM(I674:I718)</f>
        <v>2283685</v>
      </c>
      <c r="J719" s="1298"/>
      <c r="K719" s="589"/>
      <c r="L719" s="595"/>
      <c r="N719" s="1291">
        <f t="shared" ref="N719:O719" si="185">SUM(N678:N714)</f>
        <v>1683</v>
      </c>
      <c r="O719" s="370">
        <f t="shared" si="185"/>
        <v>1497870</v>
      </c>
      <c r="P719" s="1291"/>
      <c r="Q719" s="1291">
        <f>O719/N719</f>
        <v>890</v>
      </c>
      <c r="R719" s="1291"/>
      <c r="S719" s="370"/>
    </row>
    <row r="720">
      <c r="A720" s="1344"/>
      <c r="B720" s="1407"/>
      <c r="C720" s="1344"/>
      <c r="D720" s="1408"/>
      <c r="E720" s="1409"/>
      <c r="F720" s="1408"/>
      <c r="G720" s="1408"/>
      <c r="H720" s="1408"/>
      <c r="I720" s="1408"/>
      <c r="J720" s="1362"/>
      <c r="K720" s="587"/>
      <c r="L720" s="595"/>
      <c r="N720" s="1291"/>
      <c r="O720" s="370"/>
      <c r="P720" s="1291"/>
      <c r="Q720" s="1291"/>
      <c r="R720" s="1291"/>
      <c r="S720" s="370"/>
    </row>
    <row r="721">
      <c r="A721" s="1415"/>
      <c r="B721" s="1416"/>
      <c r="C721" s="1415"/>
      <c r="D721" s="1417"/>
      <c r="E721" s="1418"/>
      <c r="F721" s="1417"/>
      <c r="G721" s="1417"/>
      <c r="H721" s="1417"/>
      <c r="I721" s="1417"/>
      <c r="J721" s="1419"/>
      <c r="K721" s="1420"/>
      <c r="L721" s="1421"/>
      <c r="M721" s="1422"/>
      <c r="N721" s="1423"/>
      <c r="O721" s="1424"/>
      <c r="P721" s="1423"/>
      <c r="Q721" s="1423"/>
      <c r="R721" s="1423"/>
      <c r="S721" s="1424"/>
      <c r="T721" s="1422"/>
      <c r="U721" s="1422"/>
      <c r="V721" s="1422"/>
      <c r="W721" s="1422"/>
      <c r="X721" s="1422"/>
      <c r="Y721" s="1422"/>
      <c r="Z721" s="1422"/>
      <c r="AA721" s="1422"/>
      <c r="AB721" s="1422"/>
      <c r="AC721" s="1422"/>
    </row>
    <row r="722">
      <c r="A722" s="1344"/>
      <c r="B722" s="1407"/>
      <c r="C722" s="1344"/>
      <c r="D722" s="1408"/>
      <c r="E722" s="1409"/>
      <c r="F722" s="1408"/>
      <c r="G722" s="1408"/>
      <c r="H722" s="1408"/>
      <c r="I722" s="1408"/>
      <c r="J722" s="1362"/>
      <c r="K722" s="587"/>
      <c r="L722" s="595"/>
      <c r="N722" s="1291"/>
      <c r="O722" s="370"/>
      <c r="P722" s="1291"/>
      <c r="Q722" s="1291"/>
      <c r="R722" s="1291"/>
      <c r="S722" s="370"/>
    </row>
    <row r="723">
      <c r="A723" s="1344"/>
      <c r="B723" s="1040" t="s">
        <v>365</v>
      </c>
      <c r="C723" s="49">
        <v>5.0</v>
      </c>
      <c r="D723" s="1425">
        <v>90.0</v>
      </c>
      <c r="E723" s="1426">
        <v>900.0</v>
      </c>
      <c r="F723" s="26">
        <f t="shared" ref="F723:F724" si="186">D723*E723</f>
        <v>81000</v>
      </c>
      <c r="G723" s="1408" t="s">
        <v>4326</v>
      </c>
      <c r="H723" s="1408">
        <f t="shared" ref="H723:H724" si="187">F723*C723</f>
        <v>405000</v>
      </c>
      <c r="I723" s="1408"/>
      <c r="J723" s="1362">
        <f t="shared" ref="J723:J725" si="188">K723*0.75</f>
        <v>120000</v>
      </c>
      <c r="K723" s="595">
        <v>160000.0</v>
      </c>
      <c r="L723" s="595">
        <f t="shared" ref="L723:L724" si="189">D723*C723</f>
        <v>450</v>
      </c>
      <c r="N723" s="1291"/>
      <c r="O723" s="370"/>
      <c r="P723" s="1291"/>
      <c r="Q723" s="1291"/>
      <c r="R723" s="1291"/>
      <c r="S723" s="370"/>
    </row>
    <row r="724">
      <c r="A724" s="1344"/>
      <c r="B724" s="1040" t="s">
        <v>367</v>
      </c>
      <c r="C724" s="49">
        <v>5.0</v>
      </c>
      <c r="D724" s="1425">
        <v>90.0</v>
      </c>
      <c r="E724" s="1426">
        <v>900.0</v>
      </c>
      <c r="F724" s="26">
        <f t="shared" si="186"/>
        <v>81000</v>
      </c>
      <c r="G724" s="1408" t="s">
        <v>4326</v>
      </c>
      <c r="H724" s="1408">
        <f t="shared" si="187"/>
        <v>405000</v>
      </c>
      <c r="I724" s="1408"/>
      <c r="J724" s="1362">
        <f t="shared" si="188"/>
        <v>120000</v>
      </c>
      <c r="K724" s="595">
        <v>160000.0</v>
      </c>
      <c r="L724" s="595">
        <f t="shared" si="189"/>
        <v>450</v>
      </c>
      <c r="N724" s="1291"/>
      <c r="O724" s="370"/>
      <c r="P724" s="1291"/>
      <c r="Q724" s="1291"/>
      <c r="R724" s="1291"/>
      <c r="S724" s="370"/>
    </row>
    <row r="725">
      <c r="A725" s="1344"/>
      <c r="B725" s="1040" t="s">
        <v>6558</v>
      </c>
      <c r="C725" s="49">
        <v>2.0</v>
      </c>
      <c r="D725" s="1425"/>
      <c r="E725" s="1426"/>
      <c r="F725" s="26"/>
      <c r="G725" s="1408"/>
      <c r="H725" s="1408"/>
      <c r="I725" s="1408"/>
      <c r="J725" s="1362">
        <f t="shared" si="188"/>
        <v>168750</v>
      </c>
      <c r="K725" s="595">
        <v>225000.0</v>
      </c>
      <c r="L725" s="595"/>
      <c r="N725" s="1291"/>
      <c r="O725" s="370"/>
      <c r="P725" s="1291"/>
      <c r="Q725" s="1291"/>
      <c r="R725" s="1291"/>
      <c r="S725" s="370"/>
    </row>
    <row r="726">
      <c r="A726" s="1344"/>
      <c r="B726" s="1040" t="s">
        <v>6559</v>
      </c>
      <c r="C726" s="49">
        <v>2.0</v>
      </c>
      <c r="D726" s="1425"/>
      <c r="E726" s="1426">
        <v>900.0</v>
      </c>
      <c r="F726" s="26">
        <f>D726*E726</f>
        <v>0</v>
      </c>
      <c r="G726" s="1408" t="s">
        <v>2899</v>
      </c>
      <c r="H726" s="1408" t="s">
        <v>6560</v>
      </c>
      <c r="I726" s="1408"/>
      <c r="J726" s="1362"/>
      <c r="K726" s="587"/>
      <c r="L726" s="595"/>
      <c r="N726" s="1291"/>
      <c r="O726" s="370"/>
      <c r="P726" s="1291"/>
      <c r="Q726" s="1291"/>
      <c r="R726" s="1291"/>
      <c r="S726" s="370"/>
    </row>
    <row r="727">
      <c r="A727" s="1344"/>
      <c r="B727" s="1040" t="s">
        <v>6561</v>
      </c>
      <c r="C727" s="49"/>
      <c r="D727" s="1425"/>
      <c r="E727" s="1426"/>
      <c r="F727" s="26"/>
      <c r="G727" s="1408"/>
      <c r="H727" s="1408"/>
      <c r="I727" s="1408"/>
      <c r="J727" s="1362">
        <f t="shared" ref="J727:J732" si="190">K727*0.75</f>
        <v>749700</v>
      </c>
      <c r="K727" s="595">
        <v>999600.0</v>
      </c>
      <c r="L727" s="595">
        <f>J727/55</f>
        <v>13630.90909</v>
      </c>
      <c r="N727" s="1291"/>
      <c r="O727" s="370"/>
      <c r="P727" s="1291"/>
      <c r="Q727" s="1291"/>
      <c r="R727" s="1291"/>
      <c r="S727" s="370"/>
    </row>
    <row r="728">
      <c r="A728" s="1344"/>
      <c r="B728" s="1040" t="s">
        <v>6562</v>
      </c>
      <c r="C728" s="49">
        <v>24.0</v>
      </c>
      <c r="D728" s="1425"/>
      <c r="E728" s="1426">
        <v>900.0</v>
      </c>
      <c r="F728" s="26">
        <f t="shared" ref="F728:F739" si="191">D728*E728</f>
        <v>0</v>
      </c>
      <c r="G728" s="1408" t="s">
        <v>2899</v>
      </c>
      <c r="H728" s="1408"/>
      <c r="I728" s="1408"/>
      <c r="J728" s="1362">
        <f t="shared" si="190"/>
        <v>75000</v>
      </c>
      <c r="K728" s="595">
        <v>100000.0</v>
      </c>
      <c r="L728" s="595" t="s">
        <v>6563</v>
      </c>
      <c r="N728" s="1291"/>
      <c r="O728" s="370"/>
      <c r="P728" s="1291"/>
      <c r="Q728" s="1291"/>
      <c r="R728" s="1291"/>
      <c r="S728" s="370"/>
    </row>
    <row r="729">
      <c r="A729" s="1344"/>
      <c r="B729" s="1040" t="s">
        <v>6564</v>
      </c>
      <c r="C729" s="49">
        <v>20.0</v>
      </c>
      <c r="D729" s="1425">
        <v>110.0</v>
      </c>
      <c r="E729" s="1426">
        <v>900.0</v>
      </c>
      <c r="F729" s="26">
        <f t="shared" si="191"/>
        <v>99000</v>
      </c>
      <c r="G729" s="1408" t="s">
        <v>4326</v>
      </c>
      <c r="H729" s="1408">
        <f>F729*C729</f>
        <v>1980000</v>
      </c>
      <c r="I729" s="1408"/>
      <c r="J729" s="1362">
        <f t="shared" si="190"/>
        <v>205275</v>
      </c>
      <c r="K729" s="587">
        <f>273700</f>
        <v>273700</v>
      </c>
      <c r="L729" s="595">
        <f>D729*C729</f>
        <v>2200</v>
      </c>
      <c r="N729" s="1291"/>
      <c r="O729" s="370"/>
      <c r="P729" s="1291"/>
      <c r="Q729" s="1291"/>
      <c r="R729" s="1291"/>
      <c r="S729" s="370"/>
    </row>
    <row r="730">
      <c r="A730" s="1344"/>
      <c r="B730" s="42" t="s">
        <v>1996</v>
      </c>
      <c r="C730" s="49">
        <v>5.0</v>
      </c>
      <c r="D730" s="1425"/>
      <c r="E730" s="1426">
        <v>900.0</v>
      </c>
      <c r="F730" s="26">
        <f t="shared" si="191"/>
        <v>0</v>
      </c>
      <c r="G730" s="1408" t="s">
        <v>2899</v>
      </c>
      <c r="H730" s="1408"/>
      <c r="I730" s="1408"/>
      <c r="J730" s="1362">
        <f t="shared" si="190"/>
        <v>31237.5</v>
      </c>
      <c r="K730" s="595">
        <v>41650.0</v>
      </c>
      <c r="L730" s="595"/>
      <c r="N730" s="1291"/>
      <c r="O730" s="370"/>
      <c r="P730" s="1291"/>
      <c r="Q730" s="1291"/>
      <c r="R730" s="1291"/>
      <c r="S730" s="370"/>
    </row>
    <row r="731">
      <c r="A731" s="1344"/>
      <c r="B731" s="1040" t="s">
        <v>3405</v>
      </c>
      <c r="C731" s="49">
        <v>2.0</v>
      </c>
      <c r="D731" s="1425">
        <v>100.0</v>
      </c>
      <c r="E731" s="1426">
        <v>900.0</v>
      </c>
      <c r="F731" s="26">
        <f t="shared" si="191"/>
        <v>90000</v>
      </c>
      <c r="G731" s="1408" t="s">
        <v>6565</v>
      </c>
      <c r="H731" s="1408"/>
      <c r="I731" s="1408"/>
      <c r="J731" s="1362">
        <f t="shared" si="190"/>
        <v>108750</v>
      </c>
      <c r="K731" s="595">
        <v>145000.0</v>
      </c>
      <c r="L731" s="595"/>
      <c r="N731" s="1291"/>
      <c r="O731" s="370"/>
      <c r="P731" s="1291"/>
      <c r="Q731" s="1291"/>
      <c r="R731" s="1291"/>
      <c r="S731" s="370"/>
    </row>
    <row r="732">
      <c r="A732" s="1344"/>
      <c r="B732" s="1040" t="s">
        <v>2519</v>
      </c>
      <c r="C732" s="49">
        <v>5.0</v>
      </c>
      <c r="D732" s="1425">
        <v>50.0</v>
      </c>
      <c r="E732" s="1426">
        <v>900.0</v>
      </c>
      <c r="F732" s="26">
        <f t="shared" si="191"/>
        <v>45000</v>
      </c>
      <c r="G732" s="1408" t="s">
        <v>6565</v>
      </c>
      <c r="H732" s="1408"/>
      <c r="I732" s="1408"/>
      <c r="J732" s="1362">
        <f t="shared" si="190"/>
        <v>33750</v>
      </c>
      <c r="K732" s="595">
        <v>45000.0</v>
      </c>
      <c r="L732" s="595"/>
      <c r="N732" s="1291"/>
      <c r="O732" s="370"/>
      <c r="P732" s="1291"/>
      <c r="Q732" s="1291"/>
      <c r="R732" s="1291"/>
      <c r="S732" s="370"/>
    </row>
    <row r="733">
      <c r="A733" s="1344"/>
      <c r="B733" s="1391" t="s">
        <v>6566</v>
      </c>
      <c r="C733" s="1353">
        <v>5.0</v>
      </c>
      <c r="D733" s="1381">
        <v>35.0</v>
      </c>
      <c r="E733" s="1426">
        <v>900.0</v>
      </c>
      <c r="F733" s="26">
        <f t="shared" si="191"/>
        <v>31500</v>
      </c>
      <c r="G733" s="1408" t="s">
        <v>4326</v>
      </c>
      <c r="H733" s="1408">
        <f>F733*C733</f>
        <v>157500</v>
      </c>
      <c r="I733" s="1408"/>
      <c r="J733" s="1362"/>
      <c r="K733" s="587"/>
      <c r="L733" s="595">
        <f>D733*C733</f>
        <v>175</v>
      </c>
      <c r="N733" s="1291"/>
      <c r="O733" s="370"/>
      <c r="P733" s="1291"/>
      <c r="Q733" s="1291"/>
      <c r="R733" s="1291"/>
      <c r="S733" s="370"/>
    </row>
    <row r="734">
      <c r="A734" s="1344"/>
      <c r="B734" s="1391" t="s">
        <v>6567</v>
      </c>
      <c r="C734" s="1353"/>
      <c r="D734" s="1381">
        <v>29.0</v>
      </c>
      <c r="E734" s="1426">
        <v>900.0</v>
      </c>
      <c r="F734" s="26">
        <f t="shared" si="191"/>
        <v>26100</v>
      </c>
      <c r="G734" s="1408" t="s">
        <v>6565</v>
      </c>
      <c r="H734" s="1408"/>
      <c r="I734" s="1408"/>
      <c r="J734" s="1427"/>
      <c r="K734" s="587"/>
      <c r="L734" s="595"/>
      <c r="N734" s="1291"/>
      <c r="O734" s="370"/>
      <c r="P734" s="1291"/>
      <c r="Q734" s="1291"/>
      <c r="R734" s="1291"/>
      <c r="S734" s="370"/>
    </row>
    <row r="735">
      <c r="A735" s="1344"/>
      <c r="B735" s="1391" t="s">
        <v>6568</v>
      </c>
      <c r="C735" s="1353">
        <v>10.0</v>
      </c>
      <c r="D735" s="1381">
        <v>10.0</v>
      </c>
      <c r="E735" s="1426">
        <v>900.0</v>
      </c>
      <c r="F735" s="26">
        <f t="shared" si="191"/>
        <v>9000</v>
      </c>
      <c r="G735" s="1408" t="s">
        <v>4326</v>
      </c>
      <c r="H735" s="1408">
        <f t="shared" ref="H735:H737" si="192">F735*C735</f>
        <v>90000</v>
      </c>
      <c r="I735" s="1408"/>
      <c r="J735" s="1362"/>
      <c r="K735" s="587"/>
      <c r="L735" s="595">
        <f t="shared" ref="L735:L737" si="193">D735*C735</f>
        <v>100</v>
      </c>
      <c r="N735" s="1291"/>
      <c r="O735" s="370"/>
      <c r="P735" s="1291"/>
      <c r="Q735" s="1291"/>
      <c r="R735" s="1291"/>
      <c r="S735" s="370"/>
    </row>
    <row r="736">
      <c r="A736" s="1344"/>
      <c r="B736" s="1391" t="s">
        <v>6569</v>
      </c>
      <c r="C736" s="1353">
        <v>10.0</v>
      </c>
      <c r="D736" s="1381">
        <v>10.0</v>
      </c>
      <c r="E736" s="1426">
        <v>900.0</v>
      </c>
      <c r="F736" s="26">
        <f t="shared" si="191"/>
        <v>9000</v>
      </c>
      <c r="G736" s="1408" t="s">
        <v>4326</v>
      </c>
      <c r="H736" s="1408">
        <f t="shared" si="192"/>
        <v>90000</v>
      </c>
      <c r="I736" s="1408"/>
      <c r="J736" s="1362"/>
      <c r="K736" s="587"/>
      <c r="L736" s="595">
        <f t="shared" si="193"/>
        <v>100</v>
      </c>
      <c r="N736" s="1291"/>
      <c r="O736" s="370"/>
      <c r="P736" s="1291"/>
      <c r="Q736" s="1291"/>
      <c r="R736" s="1291"/>
      <c r="S736" s="370"/>
    </row>
    <row r="737">
      <c r="A737" s="1344"/>
      <c r="B737" s="1391" t="s">
        <v>6570</v>
      </c>
      <c r="C737" s="1353">
        <v>5.0</v>
      </c>
      <c r="D737" s="1381">
        <v>11.0</v>
      </c>
      <c r="E737" s="1426">
        <v>900.0</v>
      </c>
      <c r="F737" s="26">
        <f t="shared" si="191"/>
        <v>9900</v>
      </c>
      <c r="G737" s="1408" t="s">
        <v>4326</v>
      </c>
      <c r="H737" s="1408">
        <f t="shared" si="192"/>
        <v>49500</v>
      </c>
      <c r="I737" s="1408"/>
      <c r="J737" s="1362"/>
      <c r="K737" s="587"/>
      <c r="L737" s="595">
        <f t="shared" si="193"/>
        <v>55</v>
      </c>
      <c r="N737" s="1291"/>
      <c r="O737" s="370"/>
      <c r="P737" s="1291"/>
      <c r="Q737" s="1291"/>
      <c r="R737" s="1291"/>
      <c r="S737" s="370"/>
    </row>
    <row r="738">
      <c r="A738" s="1344"/>
      <c r="B738" s="1387" t="s">
        <v>6417</v>
      </c>
      <c r="C738" s="1353">
        <v>5.0</v>
      </c>
      <c r="D738" s="1381">
        <v>67.5</v>
      </c>
      <c r="E738" s="1426">
        <v>900.0</v>
      </c>
      <c r="F738" s="26">
        <f t="shared" si="191"/>
        <v>60750</v>
      </c>
      <c r="G738" s="1408" t="s">
        <v>6565</v>
      </c>
      <c r="H738" s="1408"/>
      <c r="I738" s="1408"/>
      <c r="J738" s="1427"/>
      <c r="K738" s="587"/>
      <c r="L738" s="595"/>
      <c r="N738" s="1291"/>
      <c r="O738" s="370"/>
      <c r="P738" s="1291"/>
      <c r="Q738" s="1291"/>
      <c r="R738" s="1291"/>
      <c r="S738" s="370"/>
    </row>
    <row r="739">
      <c r="A739" s="1344"/>
      <c r="B739" s="1387" t="s">
        <v>6418</v>
      </c>
      <c r="C739" s="1353">
        <v>5.0</v>
      </c>
      <c r="D739" s="1381">
        <v>67.5</v>
      </c>
      <c r="E739" s="1426">
        <v>900.0</v>
      </c>
      <c r="F739" s="26">
        <f t="shared" si="191"/>
        <v>60750</v>
      </c>
      <c r="G739" s="1408" t="s">
        <v>6565</v>
      </c>
      <c r="H739" s="1408"/>
      <c r="I739" s="1408"/>
      <c r="J739" s="1427"/>
      <c r="K739" s="587"/>
      <c r="L739" s="595"/>
      <c r="N739" s="1291"/>
      <c r="O739" s="370"/>
      <c r="P739" s="1291"/>
      <c r="Q739" s="1291"/>
      <c r="R739" s="1291"/>
      <c r="S739" s="370"/>
    </row>
    <row r="740">
      <c r="A740" s="1344"/>
      <c r="B740" s="1407"/>
      <c r="C740" s="1344"/>
      <c r="D740" s="1408"/>
      <c r="E740" s="1409"/>
      <c r="F740" s="1408"/>
      <c r="G740" s="1408"/>
      <c r="H740" s="1408"/>
      <c r="I740" s="1408"/>
      <c r="J740" s="1362"/>
      <c r="K740" s="587"/>
      <c r="L740" s="595"/>
      <c r="N740" s="1291"/>
      <c r="O740" s="370"/>
      <c r="P740" s="1291"/>
      <c r="Q740" s="1291"/>
      <c r="R740" s="1291"/>
      <c r="S740" s="370"/>
    </row>
    <row r="741">
      <c r="A741" s="1344"/>
      <c r="B741" s="1407"/>
      <c r="C741" s="1344"/>
      <c r="D741" s="1408"/>
      <c r="E741" s="1409"/>
      <c r="F741" s="1408"/>
      <c r="G741" s="1408"/>
      <c r="H741" s="1408"/>
      <c r="I741" s="1408"/>
      <c r="J741" s="1362"/>
      <c r="K741" s="587"/>
      <c r="L741" s="595"/>
      <c r="N741" s="1291"/>
      <c r="O741" s="370"/>
      <c r="P741" s="1291"/>
      <c r="Q741" s="1291"/>
      <c r="R741" s="1291"/>
      <c r="S741" s="370"/>
    </row>
    <row r="742">
      <c r="A742" s="1344"/>
      <c r="B742" s="1304" t="s">
        <v>403</v>
      </c>
      <c r="C742" s="288">
        <v>1.0</v>
      </c>
      <c r="D742" s="163">
        <v>22.0</v>
      </c>
      <c r="E742" s="1296">
        <v>800.0</v>
      </c>
      <c r="F742" s="163">
        <f t="shared" ref="F742:F785" si="194">D742*E742</f>
        <v>17600</v>
      </c>
      <c r="G742" s="589"/>
      <c r="H742" s="589">
        <f t="shared" ref="H742:H785" si="195">F742*C742</f>
        <v>17600</v>
      </c>
      <c r="I742" s="1303">
        <f>2000*16</f>
        <v>32000</v>
      </c>
      <c r="J742" s="1362"/>
      <c r="K742" s="587"/>
      <c r="L742" s="595"/>
      <c r="N742" s="1291"/>
      <c r="O742" s="370"/>
      <c r="P742" s="1291"/>
      <c r="Q742" s="1291"/>
      <c r="R742" s="1291"/>
      <c r="S742" s="370"/>
    </row>
    <row r="743">
      <c r="A743" s="1344"/>
      <c r="B743" s="1293" t="s">
        <v>6350</v>
      </c>
      <c r="C743" s="1294"/>
      <c r="D743" s="1295"/>
      <c r="E743" s="1296">
        <v>800.0</v>
      </c>
      <c r="F743" s="163">
        <f t="shared" si="194"/>
        <v>0</v>
      </c>
      <c r="G743" s="589"/>
      <c r="H743" s="589">
        <f t="shared" si="195"/>
        <v>0</v>
      </c>
      <c r="I743" s="1303"/>
      <c r="J743" s="1362"/>
      <c r="K743" s="587"/>
      <c r="L743" s="595"/>
      <c r="N743" s="1291"/>
      <c r="O743" s="370"/>
      <c r="P743" s="1291"/>
      <c r="Q743" s="1291"/>
      <c r="R743" s="1291"/>
      <c r="S743" s="370"/>
    </row>
    <row r="744">
      <c r="A744" s="1344"/>
      <c r="B744" s="1293" t="s">
        <v>6351</v>
      </c>
      <c r="C744" s="1294">
        <v>4.0</v>
      </c>
      <c r="D744" s="1295">
        <v>10.0</v>
      </c>
      <c r="E744" s="1296">
        <v>800.0</v>
      </c>
      <c r="F744" s="163">
        <f t="shared" si="194"/>
        <v>8000</v>
      </c>
      <c r="G744" s="589"/>
      <c r="H744" s="589">
        <f t="shared" si="195"/>
        <v>32000</v>
      </c>
      <c r="I744" s="1300">
        <v>28000.0</v>
      </c>
      <c r="J744" s="1362"/>
      <c r="K744" s="587"/>
      <c r="L744" s="595"/>
      <c r="N744" s="1291"/>
      <c r="O744" s="370"/>
      <c r="P744" s="1291"/>
      <c r="Q744" s="1291"/>
      <c r="R744" s="1291"/>
      <c r="S744" s="370"/>
    </row>
    <row r="745">
      <c r="A745" s="1344"/>
      <c r="B745" s="1293" t="s">
        <v>6352</v>
      </c>
      <c r="C745" s="1294">
        <v>14.0</v>
      </c>
      <c r="D745" s="1295">
        <v>8.0</v>
      </c>
      <c r="E745" s="1296">
        <v>800.0</v>
      </c>
      <c r="F745" s="163">
        <f t="shared" si="194"/>
        <v>6400</v>
      </c>
      <c r="G745" s="589"/>
      <c r="H745" s="589">
        <f t="shared" si="195"/>
        <v>89600</v>
      </c>
      <c r="I745" s="1300">
        <v>80000.0</v>
      </c>
      <c r="J745" s="1362"/>
      <c r="K745" s="587"/>
      <c r="L745" s="595"/>
      <c r="N745" s="1291"/>
      <c r="O745" s="370"/>
      <c r="P745" s="1291"/>
      <c r="Q745" s="1291"/>
      <c r="R745" s="1291"/>
      <c r="S745" s="370"/>
    </row>
    <row r="746">
      <c r="A746" s="1344"/>
      <c r="B746" s="1293" t="s">
        <v>6353</v>
      </c>
      <c r="C746" s="1294">
        <v>6.0</v>
      </c>
      <c r="D746" s="1295">
        <v>27.8</v>
      </c>
      <c r="E746" s="1296">
        <v>800.0</v>
      </c>
      <c r="F746" s="163">
        <f t="shared" si="194"/>
        <v>22240</v>
      </c>
      <c r="G746" s="589"/>
      <c r="H746" s="589">
        <f t="shared" si="195"/>
        <v>133440</v>
      </c>
      <c r="I746" s="1300">
        <v>32000.0</v>
      </c>
      <c r="J746" s="1362"/>
      <c r="K746" s="587"/>
      <c r="L746" s="595"/>
      <c r="N746" s="1291"/>
      <c r="O746" s="370"/>
      <c r="P746" s="1291"/>
      <c r="Q746" s="1291"/>
      <c r="R746" s="1291"/>
      <c r="S746" s="370"/>
    </row>
    <row r="747">
      <c r="A747" s="1344"/>
      <c r="B747" s="1293" t="s">
        <v>6354</v>
      </c>
      <c r="C747" s="1294"/>
      <c r="D747" s="1295"/>
      <c r="E747" s="1296">
        <v>800.0</v>
      </c>
      <c r="F747" s="163">
        <f t="shared" si="194"/>
        <v>0</v>
      </c>
      <c r="G747" s="589"/>
      <c r="H747" s="589">
        <f t="shared" si="195"/>
        <v>0</v>
      </c>
      <c r="I747" s="1303"/>
      <c r="J747" s="1362"/>
      <c r="K747" s="587"/>
      <c r="L747" s="595"/>
      <c r="N747" s="1291"/>
      <c r="O747" s="370"/>
      <c r="P747" s="1291"/>
      <c r="Q747" s="1291"/>
      <c r="R747" s="1291"/>
      <c r="S747" s="370"/>
    </row>
    <row r="748">
      <c r="A748" s="1344"/>
      <c r="B748" s="1293" t="s">
        <v>6355</v>
      </c>
      <c r="C748" s="1294"/>
      <c r="D748" s="1295"/>
      <c r="E748" s="1296">
        <v>800.0</v>
      </c>
      <c r="F748" s="163">
        <f t="shared" si="194"/>
        <v>0</v>
      </c>
      <c r="G748" s="589"/>
      <c r="H748" s="589">
        <f t="shared" si="195"/>
        <v>0</v>
      </c>
      <c r="I748" s="1303"/>
      <c r="J748" s="1362"/>
      <c r="K748" s="587"/>
      <c r="L748" s="595"/>
      <c r="N748" s="1291"/>
      <c r="O748" s="370"/>
      <c r="P748" s="1291"/>
      <c r="Q748" s="1291"/>
      <c r="R748" s="1291"/>
      <c r="S748" s="370"/>
    </row>
    <row r="749">
      <c r="A749" s="1344"/>
      <c r="B749" s="1293" t="s">
        <v>6356</v>
      </c>
      <c r="C749" s="287"/>
      <c r="D749" s="589"/>
      <c r="E749" s="1296">
        <v>800.0</v>
      </c>
      <c r="F749" s="163">
        <f t="shared" si="194"/>
        <v>0</v>
      </c>
      <c r="G749" s="589"/>
      <c r="H749" s="589">
        <f t="shared" si="195"/>
        <v>0</v>
      </c>
      <c r="I749" s="1303"/>
      <c r="J749" s="1362"/>
      <c r="K749" s="587"/>
      <c r="L749" s="595"/>
      <c r="N749" s="1291"/>
      <c r="O749" s="370"/>
      <c r="P749" s="1291"/>
      <c r="Q749" s="1291"/>
      <c r="R749" s="1291"/>
      <c r="S749" s="370"/>
    </row>
    <row r="750">
      <c r="A750" s="1344"/>
      <c r="B750" s="1293" t="s">
        <v>6357</v>
      </c>
      <c r="C750" s="288">
        <v>1.0</v>
      </c>
      <c r="D750" s="163">
        <v>13.9</v>
      </c>
      <c r="E750" s="1296">
        <v>800.0</v>
      </c>
      <c r="F750" s="163">
        <f t="shared" si="194"/>
        <v>11120</v>
      </c>
      <c r="G750" s="589"/>
      <c r="H750" s="589">
        <f t="shared" si="195"/>
        <v>11120</v>
      </c>
      <c r="I750" s="1300">
        <v>20000.0</v>
      </c>
      <c r="J750" s="1362"/>
      <c r="K750" s="587"/>
      <c r="L750" s="595"/>
      <c r="N750" s="1291"/>
      <c r="O750" s="370"/>
      <c r="P750" s="1291"/>
      <c r="Q750" s="1291"/>
      <c r="R750" s="1291"/>
      <c r="S750" s="370"/>
    </row>
    <row r="751">
      <c r="A751" s="1344"/>
      <c r="B751" s="1293" t="s">
        <v>6358</v>
      </c>
      <c r="C751" s="288">
        <v>10.0</v>
      </c>
      <c r="D751" s="163">
        <v>110.0</v>
      </c>
      <c r="E751" s="1296">
        <v>800.0</v>
      </c>
      <c r="F751" s="163">
        <f t="shared" si="194"/>
        <v>88000</v>
      </c>
      <c r="G751" s="589"/>
      <c r="H751" s="589">
        <f t="shared" si="195"/>
        <v>880000</v>
      </c>
      <c r="I751" s="1300">
        <v>180000.0</v>
      </c>
      <c r="J751" s="1362"/>
      <c r="K751" s="587"/>
      <c r="L751" s="595"/>
      <c r="N751" s="1291"/>
      <c r="O751" s="370"/>
      <c r="P751" s="1291"/>
      <c r="Q751" s="1291"/>
      <c r="R751" s="1291"/>
      <c r="S751" s="370"/>
    </row>
    <row r="752">
      <c r="A752" s="1344"/>
      <c r="B752" s="1293" t="s">
        <v>6359</v>
      </c>
      <c r="C752" s="287"/>
      <c r="D752" s="589"/>
      <c r="E752" s="1296">
        <v>800.0</v>
      </c>
      <c r="F752" s="163">
        <f t="shared" si="194"/>
        <v>0</v>
      </c>
      <c r="G752" s="589"/>
      <c r="H752" s="589">
        <f t="shared" si="195"/>
        <v>0</v>
      </c>
      <c r="I752" s="1303"/>
      <c r="J752" s="1362"/>
      <c r="K752" s="587"/>
      <c r="L752" s="595"/>
      <c r="N752" s="1291"/>
      <c r="O752" s="370"/>
      <c r="P752" s="1291"/>
      <c r="Q752" s="1291"/>
      <c r="R752" s="1291"/>
      <c r="S752" s="370"/>
    </row>
    <row r="753">
      <c r="A753" s="1344"/>
      <c r="B753" s="1293" t="s">
        <v>6360</v>
      </c>
      <c r="C753" s="288">
        <v>3.0</v>
      </c>
      <c r="D753" s="163">
        <v>55.0</v>
      </c>
      <c r="E753" s="1296">
        <v>800.0</v>
      </c>
      <c r="F753" s="163">
        <f t="shared" si="194"/>
        <v>44000</v>
      </c>
      <c r="G753" s="589"/>
      <c r="H753" s="589">
        <f t="shared" si="195"/>
        <v>132000</v>
      </c>
      <c r="I753" s="1300">
        <v>100000.0</v>
      </c>
      <c r="J753" s="1362"/>
      <c r="K753" s="587"/>
      <c r="L753" s="595"/>
      <c r="N753" s="1291"/>
      <c r="O753" s="370"/>
      <c r="P753" s="1291"/>
      <c r="Q753" s="1291"/>
      <c r="R753" s="1291"/>
      <c r="S753" s="370"/>
    </row>
    <row r="754">
      <c r="A754" s="1344"/>
      <c r="B754" s="1304" t="s">
        <v>6361</v>
      </c>
      <c r="C754" s="288">
        <v>5.0</v>
      </c>
      <c r="D754" s="163">
        <v>18.0</v>
      </c>
      <c r="E754" s="1296">
        <v>800.0</v>
      </c>
      <c r="F754" s="163">
        <f t="shared" si="194"/>
        <v>14400</v>
      </c>
      <c r="G754" s="589"/>
      <c r="H754" s="589">
        <f t="shared" si="195"/>
        <v>72000</v>
      </c>
      <c r="I754" s="1300">
        <v>28000.0</v>
      </c>
      <c r="J754" s="1362"/>
      <c r="K754" s="587"/>
      <c r="L754" s="595"/>
      <c r="N754" s="1291"/>
      <c r="O754" s="370"/>
      <c r="P754" s="1291"/>
      <c r="Q754" s="1291"/>
      <c r="R754" s="1291"/>
      <c r="S754" s="370"/>
    </row>
    <row r="755">
      <c r="A755" s="1344"/>
      <c r="B755" s="1304" t="s">
        <v>6362</v>
      </c>
      <c r="C755" s="288">
        <v>6.0</v>
      </c>
      <c r="D755" s="163">
        <v>13.0</v>
      </c>
      <c r="E755" s="1296">
        <v>800.0</v>
      </c>
      <c r="F755" s="163">
        <f t="shared" si="194"/>
        <v>10400</v>
      </c>
      <c r="G755" s="589"/>
      <c r="H755" s="589">
        <f t="shared" si="195"/>
        <v>62400</v>
      </c>
      <c r="I755" s="1300">
        <v>25000.0</v>
      </c>
      <c r="J755" s="1362"/>
      <c r="K755" s="587"/>
      <c r="L755" s="595"/>
      <c r="N755" s="1291"/>
      <c r="O755" s="370"/>
      <c r="P755" s="1291"/>
      <c r="Q755" s="1291"/>
      <c r="R755" s="1291"/>
      <c r="S755" s="370"/>
    </row>
    <row r="756">
      <c r="A756" s="1344"/>
      <c r="B756" s="1293" t="s">
        <v>823</v>
      </c>
      <c r="C756" s="287"/>
      <c r="D756" s="589"/>
      <c r="E756" s="1296">
        <v>800.0</v>
      </c>
      <c r="F756" s="163">
        <f t="shared" si="194"/>
        <v>0</v>
      </c>
      <c r="G756" s="589"/>
      <c r="H756" s="589">
        <f t="shared" si="195"/>
        <v>0</v>
      </c>
      <c r="I756" s="1303"/>
      <c r="J756" s="1362"/>
      <c r="K756" s="587"/>
      <c r="L756" s="595"/>
      <c r="N756" s="1291"/>
      <c r="O756" s="370"/>
      <c r="P756" s="1291"/>
      <c r="Q756" s="1291"/>
      <c r="R756" s="1291"/>
      <c r="S756" s="370"/>
    </row>
    <row r="757">
      <c r="A757" s="1344"/>
      <c r="B757" s="1293" t="s">
        <v>826</v>
      </c>
      <c r="C757" s="288">
        <v>19.0</v>
      </c>
      <c r="D757" s="163">
        <v>8.0</v>
      </c>
      <c r="E757" s="1296">
        <v>800.0</v>
      </c>
      <c r="F757" s="163">
        <f t="shared" si="194"/>
        <v>6400</v>
      </c>
      <c r="G757" s="589"/>
      <c r="H757" s="589">
        <f t="shared" si="195"/>
        <v>121600</v>
      </c>
      <c r="I757" s="1300">
        <v>15000.0</v>
      </c>
      <c r="J757" s="1362"/>
      <c r="K757" s="587"/>
      <c r="L757" s="595"/>
      <c r="N757" s="1291"/>
      <c r="O757" s="370"/>
      <c r="P757" s="1291"/>
      <c r="Q757" s="1291"/>
      <c r="R757" s="1291"/>
      <c r="S757" s="370"/>
    </row>
    <row r="758">
      <c r="A758" s="1344"/>
      <c r="B758" s="1306" t="s">
        <v>6363</v>
      </c>
      <c r="C758" s="287"/>
      <c r="D758" s="589"/>
      <c r="E758" s="1296">
        <v>800.0</v>
      </c>
      <c r="F758" s="163">
        <f t="shared" si="194"/>
        <v>0</v>
      </c>
      <c r="G758" s="589"/>
      <c r="H758" s="589">
        <f t="shared" si="195"/>
        <v>0</v>
      </c>
      <c r="I758" s="1303"/>
      <c r="J758" s="1362"/>
      <c r="K758" s="587"/>
      <c r="L758" s="595"/>
      <c r="N758" s="1291"/>
      <c r="O758" s="370"/>
      <c r="P758" s="1291"/>
      <c r="Q758" s="1291"/>
      <c r="R758" s="1291"/>
      <c r="S758" s="370"/>
    </row>
    <row r="759">
      <c r="A759" s="1344"/>
      <c r="B759" s="1306" t="s">
        <v>6364</v>
      </c>
      <c r="C759" s="287"/>
      <c r="D759" s="589"/>
      <c r="E759" s="1296">
        <v>800.0</v>
      </c>
      <c r="F759" s="163">
        <f t="shared" si="194"/>
        <v>0</v>
      </c>
      <c r="G759" s="589"/>
      <c r="H759" s="589">
        <f t="shared" si="195"/>
        <v>0</v>
      </c>
      <c r="I759" s="1303"/>
      <c r="J759" s="1362"/>
      <c r="K759" s="587"/>
      <c r="L759" s="595"/>
      <c r="N759" s="1291"/>
      <c r="O759" s="370"/>
      <c r="P759" s="1291"/>
      <c r="Q759" s="1291"/>
      <c r="R759" s="1291"/>
      <c r="S759" s="370"/>
    </row>
    <row r="760">
      <c r="A760" s="1344"/>
      <c r="B760" s="1306" t="s">
        <v>6365</v>
      </c>
      <c r="C760" s="287"/>
      <c r="D760" s="589"/>
      <c r="E760" s="1296">
        <v>800.0</v>
      </c>
      <c r="F760" s="163">
        <f t="shared" si="194"/>
        <v>0</v>
      </c>
      <c r="G760" s="589"/>
      <c r="H760" s="589">
        <f t="shared" si="195"/>
        <v>0</v>
      </c>
      <c r="I760" s="1303"/>
      <c r="J760" s="1362"/>
      <c r="K760" s="587"/>
      <c r="L760" s="595"/>
      <c r="N760" s="1291"/>
      <c r="O760" s="370"/>
      <c r="P760" s="1291"/>
      <c r="Q760" s="1291"/>
      <c r="R760" s="1291"/>
      <c r="S760" s="370"/>
    </row>
    <row r="761">
      <c r="A761" s="1344"/>
      <c r="B761" s="1304" t="s">
        <v>6366</v>
      </c>
      <c r="C761" s="288">
        <v>1.0</v>
      </c>
      <c r="D761" s="163">
        <v>17.5</v>
      </c>
      <c r="E761" s="1296">
        <v>800.0</v>
      </c>
      <c r="F761" s="163">
        <f t="shared" si="194"/>
        <v>14000</v>
      </c>
      <c r="G761" s="589"/>
      <c r="H761" s="589">
        <f t="shared" si="195"/>
        <v>14000</v>
      </c>
      <c r="I761" s="1300">
        <v>30000.0</v>
      </c>
      <c r="J761" s="1362"/>
      <c r="K761" s="587"/>
      <c r="L761" s="595"/>
      <c r="N761" s="1291"/>
      <c r="O761" s="370"/>
      <c r="P761" s="1291"/>
      <c r="Q761" s="1291"/>
      <c r="R761" s="1291"/>
      <c r="S761" s="370"/>
    </row>
    <row r="762">
      <c r="A762" s="1344"/>
      <c r="B762" s="1306" t="s">
        <v>6367</v>
      </c>
      <c r="C762" s="287"/>
      <c r="D762" s="589"/>
      <c r="E762" s="1296">
        <v>800.0</v>
      </c>
      <c r="F762" s="163">
        <f t="shared" si="194"/>
        <v>0</v>
      </c>
      <c r="G762" s="589"/>
      <c r="H762" s="589">
        <f t="shared" si="195"/>
        <v>0</v>
      </c>
      <c r="I762" s="1303"/>
      <c r="J762" s="1362"/>
      <c r="K762" s="587"/>
      <c r="L762" s="595"/>
      <c r="N762" s="1291"/>
      <c r="O762" s="370"/>
      <c r="P762" s="1291"/>
      <c r="Q762" s="1291"/>
      <c r="R762" s="1291"/>
      <c r="S762" s="370"/>
    </row>
    <row r="763">
      <c r="A763" s="1344"/>
      <c r="B763" s="1304" t="s">
        <v>6368</v>
      </c>
      <c r="C763" s="288">
        <v>3.0</v>
      </c>
      <c r="D763" s="163">
        <v>12.5</v>
      </c>
      <c r="E763" s="1296">
        <v>800.0</v>
      </c>
      <c r="F763" s="163">
        <f t="shared" si="194"/>
        <v>10000</v>
      </c>
      <c r="G763" s="589"/>
      <c r="H763" s="589">
        <f t="shared" si="195"/>
        <v>30000</v>
      </c>
      <c r="I763" s="1300">
        <v>20000.0</v>
      </c>
      <c r="J763" s="1362"/>
      <c r="K763" s="587"/>
      <c r="L763" s="595"/>
      <c r="N763" s="1291"/>
      <c r="O763" s="370"/>
      <c r="P763" s="1291"/>
      <c r="Q763" s="1291"/>
      <c r="R763" s="1291"/>
      <c r="S763" s="370"/>
    </row>
    <row r="764">
      <c r="A764" s="1344"/>
      <c r="B764" s="1304" t="s">
        <v>6369</v>
      </c>
      <c r="C764" s="288">
        <v>3.0</v>
      </c>
      <c r="D764" s="163">
        <v>14.8</v>
      </c>
      <c r="E764" s="1296">
        <v>800.0</v>
      </c>
      <c r="F764" s="163">
        <f t="shared" si="194"/>
        <v>11840</v>
      </c>
      <c r="G764" s="589"/>
      <c r="H764" s="589">
        <f t="shared" si="195"/>
        <v>35520</v>
      </c>
      <c r="I764" s="1300">
        <v>25000.0</v>
      </c>
      <c r="J764" s="1362"/>
      <c r="K764" s="587"/>
      <c r="L764" s="595"/>
      <c r="N764" s="1291"/>
      <c r="O764" s="370"/>
      <c r="P764" s="1291"/>
      <c r="Q764" s="1291"/>
      <c r="R764" s="1291"/>
      <c r="S764" s="370"/>
    </row>
    <row r="765">
      <c r="A765" s="1344"/>
      <c r="B765" s="1304" t="s">
        <v>6370</v>
      </c>
      <c r="C765" s="288">
        <v>2.0</v>
      </c>
      <c r="D765" s="163">
        <v>31.2</v>
      </c>
      <c r="E765" s="1296">
        <v>800.0</v>
      </c>
      <c r="F765" s="163">
        <f t="shared" si="194"/>
        <v>24960</v>
      </c>
      <c r="G765" s="589"/>
      <c r="H765" s="589">
        <f t="shared" si="195"/>
        <v>49920</v>
      </c>
      <c r="I765" s="1300">
        <v>45000.0</v>
      </c>
      <c r="J765" s="1362"/>
      <c r="K765" s="587"/>
      <c r="L765" s="595"/>
      <c r="N765" s="1291"/>
      <c r="O765" s="370"/>
      <c r="P765" s="1291"/>
      <c r="Q765" s="1291"/>
      <c r="R765" s="1291"/>
      <c r="S765" s="370"/>
    </row>
    <row r="766">
      <c r="A766" s="1344"/>
      <c r="B766" s="1293" t="s">
        <v>1443</v>
      </c>
      <c r="C766" s="288">
        <v>6.0</v>
      </c>
      <c r="D766" s="163">
        <v>42.6</v>
      </c>
      <c r="E766" s="1296">
        <v>800.0</v>
      </c>
      <c r="F766" s="163">
        <f t="shared" si="194"/>
        <v>34080</v>
      </c>
      <c r="G766" s="589"/>
      <c r="H766" s="589">
        <f t="shared" si="195"/>
        <v>204480</v>
      </c>
      <c r="I766" s="1300">
        <v>75000.0</v>
      </c>
      <c r="J766" s="1362"/>
      <c r="K766" s="587"/>
      <c r="L766" s="595"/>
      <c r="N766" s="1291"/>
      <c r="O766" s="370"/>
      <c r="P766" s="1291"/>
      <c r="Q766" s="1291"/>
      <c r="R766" s="1291"/>
      <c r="S766" s="370"/>
    </row>
    <row r="767">
      <c r="A767" s="1344"/>
      <c r="B767" s="1306" t="s">
        <v>6371</v>
      </c>
      <c r="C767" s="287"/>
      <c r="D767" s="589"/>
      <c r="E767" s="1296">
        <v>800.0</v>
      </c>
      <c r="F767" s="163">
        <f t="shared" si="194"/>
        <v>0</v>
      </c>
      <c r="G767" s="589"/>
      <c r="H767" s="589">
        <f t="shared" si="195"/>
        <v>0</v>
      </c>
      <c r="I767" s="1303"/>
      <c r="J767" s="1362"/>
      <c r="K767" s="587"/>
      <c r="L767" s="595"/>
      <c r="N767" s="1291"/>
      <c r="O767" s="370"/>
      <c r="P767" s="1291"/>
      <c r="Q767" s="1291"/>
      <c r="R767" s="1291"/>
      <c r="S767" s="370"/>
    </row>
    <row r="768">
      <c r="A768" s="1344"/>
      <c r="B768" s="1306" t="s">
        <v>6372</v>
      </c>
      <c r="C768" s="287"/>
      <c r="D768" s="589"/>
      <c r="E768" s="1296">
        <v>800.0</v>
      </c>
      <c r="F768" s="163">
        <f t="shared" si="194"/>
        <v>0</v>
      </c>
      <c r="G768" s="589"/>
      <c r="H768" s="589">
        <f t="shared" si="195"/>
        <v>0</v>
      </c>
      <c r="I768" s="1303"/>
      <c r="J768" s="1362"/>
      <c r="K768" s="587"/>
      <c r="L768" s="595"/>
      <c r="N768" s="1291"/>
      <c r="O768" s="370"/>
      <c r="P768" s="1291"/>
      <c r="Q768" s="1291"/>
      <c r="R768" s="1291"/>
      <c r="S768" s="370"/>
    </row>
    <row r="769">
      <c r="A769" s="1344"/>
      <c r="B769" s="1293" t="s">
        <v>6373</v>
      </c>
      <c r="C769" s="287"/>
      <c r="D769" s="589"/>
      <c r="E769" s="1296">
        <v>800.0</v>
      </c>
      <c r="F769" s="163">
        <f t="shared" si="194"/>
        <v>0</v>
      </c>
      <c r="G769" s="589"/>
      <c r="H769" s="589">
        <f t="shared" si="195"/>
        <v>0</v>
      </c>
      <c r="I769" s="1303"/>
      <c r="J769" s="1362"/>
      <c r="K769" s="587"/>
      <c r="L769" s="595"/>
      <c r="N769" s="1291"/>
      <c r="O769" s="370"/>
      <c r="P769" s="1291"/>
      <c r="Q769" s="1291"/>
      <c r="R769" s="1291"/>
      <c r="S769" s="370"/>
    </row>
    <row r="770">
      <c r="A770" s="1344"/>
      <c r="B770" s="1304" t="s">
        <v>6374</v>
      </c>
      <c r="C770" s="288">
        <v>2.0</v>
      </c>
      <c r="D770" s="163">
        <v>27.5</v>
      </c>
      <c r="E770" s="1296">
        <v>800.0</v>
      </c>
      <c r="F770" s="163">
        <f t="shared" si="194"/>
        <v>22000</v>
      </c>
      <c r="G770" s="589"/>
      <c r="H770" s="589">
        <f t="shared" si="195"/>
        <v>44000</v>
      </c>
      <c r="I770" s="1300">
        <v>38000.0</v>
      </c>
      <c r="J770" s="1362"/>
      <c r="K770" s="587"/>
      <c r="L770" s="595"/>
      <c r="N770" s="1291"/>
      <c r="O770" s="370"/>
      <c r="P770" s="1291"/>
      <c r="Q770" s="1291"/>
      <c r="R770" s="1291"/>
      <c r="S770" s="370"/>
    </row>
    <row r="771">
      <c r="A771" s="1344"/>
      <c r="B771" s="1293" t="s">
        <v>6375</v>
      </c>
      <c r="C771" s="287"/>
      <c r="D771" s="589"/>
      <c r="E771" s="1296">
        <v>800.0</v>
      </c>
      <c r="F771" s="163">
        <f t="shared" si="194"/>
        <v>0</v>
      </c>
      <c r="G771" s="589"/>
      <c r="H771" s="589">
        <f t="shared" si="195"/>
        <v>0</v>
      </c>
      <c r="I771" s="1303"/>
      <c r="J771" s="1362"/>
      <c r="K771" s="587"/>
      <c r="L771" s="595"/>
      <c r="N771" s="1291"/>
      <c r="O771" s="370"/>
      <c r="P771" s="1291"/>
      <c r="Q771" s="1291"/>
      <c r="R771" s="1291"/>
      <c r="S771" s="370"/>
    </row>
    <row r="772">
      <c r="A772" s="1344"/>
      <c r="B772" s="1293" t="s">
        <v>6376</v>
      </c>
      <c r="C772" s="287"/>
      <c r="D772" s="589"/>
      <c r="E772" s="1296">
        <v>800.0</v>
      </c>
      <c r="F772" s="163">
        <f t="shared" si="194"/>
        <v>0</v>
      </c>
      <c r="G772" s="589"/>
      <c r="H772" s="589">
        <f t="shared" si="195"/>
        <v>0</v>
      </c>
      <c r="I772" s="1303"/>
      <c r="J772" s="1362"/>
      <c r="K772" s="587"/>
      <c r="L772" s="595"/>
      <c r="N772" s="1291"/>
      <c r="O772" s="370"/>
      <c r="P772" s="1291"/>
      <c r="Q772" s="1291"/>
      <c r="R772" s="1291"/>
      <c r="S772" s="370"/>
    </row>
    <row r="773">
      <c r="A773" s="1344"/>
      <c r="B773" s="1293" t="s">
        <v>6377</v>
      </c>
      <c r="C773" s="288">
        <v>5.0</v>
      </c>
      <c r="D773" s="163">
        <v>19.5</v>
      </c>
      <c r="E773" s="1296">
        <v>800.0</v>
      </c>
      <c r="F773" s="163">
        <f t="shared" si="194"/>
        <v>15600</v>
      </c>
      <c r="G773" s="589"/>
      <c r="H773" s="589">
        <f t="shared" si="195"/>
        <v>78000</v>
      </c>
      <c r="I773" s="1300">
        <v>36000.0</v>
      </c>
      <c r="J773" s="1362"/>
      <c r="K773" s="587"/>
      <c r="L773" s="595"/>
      <c r="N773" s="1291"/>
      <c r="O773" s="370"/>
      <c r="P773" s="1291"/>
      <c r="Q773" s="1291"/>
      <c r="R773" s="1291"/>
      <c r="S773" s="370"/>
    </row>
    <row r="774">
      <c r="A774" s="1344"/>
      <c r="B774" s="1293" t="s">
        <v>2367</v>
      </c>
      <c r="C774" s="287"/>
      <c r="D774" s="589"/>
      <c r="E774" s="1296">
        <v>800.0</v>
      </c>
      <c r="F774" s="163">
        <f t="shared" si="194"/>
        <v>0</v>
      </c>
      <c r="G774" s="589"/>
      <c r="H774" s="589">
        <f t="shared" si="195"/>
        <v>0</v>
      </c>
      <c r="I774" s="1303"/>
      <c r="J774" s="1362"/>
      <c r="K774" s="587"/>
      <c r="L774" s="595"/>
      <c r="N774" s="1291"/>
      <c r="O774" s="370"/>
      <c r="P774" s="1291"/>
      <c r="Q774" s="1291"/>
      <c r="R774" s="1291"/>
      <c r="S774" s="370"/>
    </row>
    <row r="775">
      <c r="A775" s="1344"/>
      <c r="B775" s="1293" t="s">
        <v>6378</v>
      </c>
      <c r="C775" s="287"/>
      <c r="D775" s="589"/>
      <c r="E775" s="1296">
        <v>800.0</v>
      </c>
      <c r="F775" s="163">
        <f t="shared" si="194"/>
        <v>0</v>
      </c>
      <c r="G775" s="589"/>
      <c r="H775" s="589">
        <f t="shared" si="195"/>
        <v>0</v>
      </c>
      <c r="I775" s="1303"/>
      <c r="J775" s="1362"/>
      <c r="K775" s="587"/>
      <c r="L775" s="595"/>
      <c r="N775" s="1291"/>
      <c r="O775" s="370"/>
      <c r="P775" s="1291"/>
      <c r="Q775" s="1291"/>
      <c r="R775" s="1291"/>
      <c r="S775" s="370"/>
    </row>
    <row r="776">
      <c r="A776" s="1344"/>
      <c r="B776" s="1293" t="s">
        <v>6379</v>
      </c>
      <c r="C776" s="287"/>
      <c r="D776" s="589"/>
      <c r="E776" s="1296">
        <v>800.0</v>
      </c>
      <c r="F776" s="163">
        <f t="shared" si="194"/>
        <v>0</v>
      </c>
      <c r="G776" s="589"/>
      <c r="H776" s="589">
        <f t="shared" si="195"/>
        <v>0</v>
      </c>
      <c r="I776" s="1303"/>
      <c r="J776" s="1362"/>
      <c r="K776" s="587"/>
      <c r="L776" s="595"/>
      <c r="N776" s="1291"/>
      <c r="O776" s="370"/>
      <c r="P776" s="1291"/>
      <c r="Q776" s="1291"/>
      <c r="R776" s="1291"/>
      <c r="S776" s="370"/>
    </row>
    <row r="777">
      <c r="A777" s="1344"/>
      <c r="B777" s="1293" t="s">
        <v>6380</v>
      </c>
      <c r="C777" s="287"/>
      <c r="D777" s="589"/>
      <c r="E777" s="1296">
        <v>800.0</v>
      </c>
      <c r="F777" s="163">
        <f t="shared" si="194"/>
        <v>0</v>
      </c>
      <c r="G777" s="589"/>
      <c r="H777" s="589">
        <f t="shared" si="195"/>
        <v>0</v>
      </c>
      <c r="I777" s="1303"/>
      <c r="J777" s="1362"/>
      <c r="K777" s="587"/>
      <c r="L777" s="595"/>
      <c r="N777" s="1291"/>
      <c r="O777" s="370"/>
      <c r="P777" s="1291"/>
      <c r="Q777" s="1291"/>
      <c r="R777" s="1291"/>
      <c r="S777" s="370"/>
    </row>
    <row r="778">
      <c r="A778" s="1344"/>
      <c r="B778" s="1293" t="s">
        <v>6381</v>
      </c>
      <c r="C778" s="287"/>
      <c r="D778" s="589"/>
      <c r="E778" s="1296">
        <v>800.0</v>
      </c>
      <c r="F778" s="163">
        <f t="shared" si="194"/>
        <v>0</v>
      </c>
      <c r="G778" s="589"/>
      <c r="H778" s="589">
        <f t="shared" si="195"/>
        <v>0</v>
      </c>
      <c r="I778" s="1303"/>
      <c r="J778" s="1362"/>
      <c r="K778" s="587"/>
      <c r="L778" s="595"/>
      <c r="N778" s="1291"/>
      <c r="O778" s="370"/>
      <c r="P778" s="1291"/>
      <c r="Q778" s="1291"/>
      <c r="R778" s="1291"/>
      <c r="S778" s="370"/>
    </row>
    <row r="779">
      <c r="A779" s="1344"/>
      <c r="B779" s="1293" t="s">
        <v>6382</v>
      </c>
      <c r="C779" s="287"/>
      <c r="D779" s="589"/>
      <c r="E779" s="1296">
        <v>800.0</v>
      </c>
      <c r="F779" s="163">
        <f t="shared" si="194"/>
        <v>0</v>
      </c>
      <c r="G779" s="589"/>
      <c r="H779" s="589">
        <f t="shared" si="195"/>
        <v>0</v>
      </c>
      <c r="I779" s="1303"/>
      <c r="J779" s="1362"/>
      <c r="K779" s="587"/>
      <c r="L779" s="595"/>
      <c r="N779" s="1291"/>
      <c r="O779" s="370"/>
      <c r="P779" s="1291"/>
      <c r="Q779" s="1291"/>
      <c r="R779" s="1291"/>
      <c r="S779" s="370"/>
    </row>
    <row r="780">
      <c r="A780" s="1344"/>
      <c r="B780" s="1293" t="s">
        <v>6383</v>
      </c>
      <c r="C780" s="287"/>
      <c r="D780" s="589"/>
      <c r="E780" s="1296">
        <v>800.0</v>
      </c>
      <c r="F780" s="163">
        <f t="shared" si="194"/>
        <v>0</v>
      </c>
      <c r="G780" s="589"/>
      <c r="H780" s="589">
        <f t="shared" si="195"/>
        <v>0</v>
      </c>
      <c r="I780" s="1303"/>
      <c r="J780" s="1362"/>
      <c r="K780" s="587"/>
      <c r="L780" s="595"/>
      <c r="N780" s="1291"/>
      <c r="O780" s="370"/>
      <c r="P780" s="1291"/>
      <c r="Q780" s="1291"/>
      <c r="R780" s="1291"/>
      <c r="S780" s="370"/>
    </row>
    <row r="781">
      <c r="A781" s="1344"/>
      <c r="B781" s="1304" t="s">
        <v>6384</v>
      </c>
      <c r="C781" s="288">
        <v>3.0</v>
      </c>
      <c r="D781" s="163">
        <v>13.0</v>
      </c>
      <c r="E781" s="1296">
        <v>800.0</v>
      </c>
      <c r="F781" s="163">
        <f t="shared" si="194"/>
        <v>10400</v>
      </c>
      <c r="G781" s="589"/>
      <c r="H781" s="589">
        <f t="shared" si="195"/>
        <v>31200</v>
      </c>
      <c r="I781" s="1303">
        <f t="shared" ref="I781:I782" si="196">50*800</f>
        <v>40000</v>
      </c>
      <c r="J781" s="1362"/>
      <c r="K781" s="587"/>
      <c r="L781" s="595"/>
      <c r="N781" s="1291"/>
      <c r="O781" s="370"/>
      <c r="P781" s="1291"/>
      <c r="Q781" s="1291"/>
      <c r="R781" s="1291"/>
      <c r="S781" s="370"/>
    </row>
    <row r="782">
      <c r="A782" s="1344"/>
      <c r="B782" s="1304" t="s">
        <v>6385</v>
      </c>
      <c r="C782" s="288">
        <v>6.0</v>
      </c>
      <c r="D782" s="163">
        <v>16.0</v>
      </c>
      <c r="E782" s="1296">
        <v>800.0</v>
      </c>
      <c r="F782" s="163">
        <f t="shared" si="194"/>
        <v>12800</v>
      </c>
      <c r="G782" s="589"/>
      <c r="H782" s="589">
        <f t="shared" si="195"/>
        <v>76800</v>
      </c>
      <c r="I782" s="1303">
        <f t="shared" si="196"/>
        <v>40000</v>
      </c>
      <c r="J782" s="1362"/>
      <c r="K782" s="587"/>
      <c r="L782" s="595"/>
      <c r="N782" s="1291"/>
      <c r="O782" s="370"/>
      <c r="P782" s="1291"/>
      <c r="Q782" s="1291"/>
      <c r="R782" s="1291"/>
      <c r="S782" s="370"/>
    </row>
    <row r="783">
      <c r="A783" s="1344"/>
      <c r="B783" s="1293" t="s">
        <v>6386</v>
      </c>
      <c r="C783" s="287"/>
      <c r="D783" s="589"/>
      <c r="E783" s="1296">
        <v>800.0</v>
      </c>
      <c r="F783" s="163">
        <f t="shared" si="194"/>
        <v>0</v>
      </c>
      <c r="G783" s="589"/>
      <c r="H783" s="589">
        <f t="shared" si="195"/>
        <v>0</v>
      </c>
      <c r="I783" s="1303"/>
      <c r="J783" s="1362"/>
      <c r="K783" s="587"/>
      <c r="L783" s="595"/>
      <c r="N783" s="1291"/>
      <c r="O783" s="370"/>
      <c r="P783" s="1291"/>
      <c r="Q783" s="1291"/>
      <c r="R783" s="1291"/>
      <c r="S783" s="370"/>
    </row>
    <row r="784">
      <c r="A784" s="1344"/>
      <c r="B784" s="1304" t="s">
        <v>6387</v>
      </c>
      <c r="C784" s="288">
        <v>5.0</v>
      </c>
      <c r="D784" s="163">
        <v>14.0</v>
      </c>
      <c r="E784" s="1296">
        <v>800.0</v>
      </c>
      <c r="F784" s="163">
        <f t="shared" si="194"/>
        <v>11200</v>
      </c>
      <c r="G784" s="589"/>
      <c r="H784" s="589">
        <f t="shared" si="195"/>
        <v>56000</v>
      </c>
      <c r="I784" s="1300">
        <v>22000.0</v>
      </c>
      <c r="J784" s="1362"/>
      <c r="K784" s="587"/>
      <c r="L784" s="595"/>
      <c r="N784" s="1291"/>
      <c r="O784" s="370"/>
      <c r="P784" s="1291"/>
      <c r="Q784" s="1291"/>
      <c r="R784" s="1291"/>
      <c r="S784" s="370"/>
    </row>
    <row r="785">
      <c r="A785" s="1344"/>
      <c r="B785" s="1304" t="s">
        <v>6388</v>
      </c>
      <c r="C785" s="288">
        <v>3.0</v>
      </c>
      <c r="D785" s="163">
        <v>0.0</v>
      </c>
      <c r="E785" s="1296">
        <v>800.0</v>
      </c>
      <c r="F785" s="163">
        <f t="shared" si="194"/>
        <v>0</v>
      </c>
      <c r="G785" s="589"/>
      <c r="H785" s="589">
        <f t="shared" si="195"/>
        <v>0</v>
      </c>
      <c r="I785" s="1303"/>
      <c r="J785" s="1362"/>
      <c r="K785" s="587"/>
      <c r="L785" s="595"/>
      <c r="N785" s="1291"/>
      <c r="O785" s="370"/>
      <c r="P785" s="1291"/>
      <c r="Q785" s="1291"/>
      <c r="R785" s="1291"/>
      <c r="S785" s="370"/>
    </row>
    <row r="786">
      <c r="A786" s="1344"/>
      <c r="B786" s="1307"/>
      <c r="C786" s="1308"/>
      <c r="D786" s="1309"/>
      <c r="E786" s="1310"/>
      <c r="F786" s="1311"/>
      <c r="G786" s="1309"/>
      <c r="H786" s="1309"/>
      <c r="I786" s="587"/>
      <c r="J786" s="1362"/>
      <c r="K786" s="587"/>
      <c r="L786" s="595"/>
      <c r="N786" s="1291"/>
      <c r="O786" s="370"/>
      <c r="P786" s="1291"/>
      <c r="Q786" s="1291"/>
      <c r="R786" s="1291"/>
      <c r="S786" s="370"/>
    </row>
    <row r="787">
      <c r="A787" s="1344"/>
      <c r="B787" s="1312"/>
      <c r="C787" s="1313"/>
      <c r="D787" s="1314"/>
      <c r="E787" s="1315"/>
      <c r="F787" s="1316" t="s">
        <v>6389</v>
      </c>
      <c r="G787" s="1314"/>
      <c r="H787" s="1314">
        <f>SUM(H729:H784)</f>
        <v>4538680</v>
      </c>
      <c r="I787" s="1317"/>
      <c r="J787" s="1362"/>
      <c r="K787" s="587"/>
      <c r="L787" s="595"/>
      <c r="N787" s="1291"/>
      <c r="O787" s="370"/>
      <c r="P787" s="1291"/>
      <c r="Q787" s="1291"/>
      <c r="R787" s="1291"/>
      <c r="S787" s="370"/>
    </row>
    <row r="788">
      <c r="A788" s="1344"/>
      <c r="C788" s="280"/>
      <c r="D788" s="587"/>
      <c r="E788" s="1319"/>
      <c r="F788" s="587"/>
      <c r="G788" s="587"/>
      <c r="H788" s="587"/>
      <c r="I788" s="587"/>
      <c r="J788" s="1362"/>
      <c r="K788" s="587"/>
      <c r="L788" s="595"/>
      <c r="N788" s="1291"/>
      <c r="O788" s="370"/>
      <c r="P788" s="1291"/>
      <c r="Q788" s="1291"/>
      <c r="R788" s="1291"/>
      <c r="S788" s="370"/>
    </row>
    <row r="789">
      <c r="A789" s="1344"/>
      <c r="C789" s="280"/>
      <c r="D789" s="587"/>
      <c r="E789" s="1319"/>
      <c r="F789" s="587"/>
      <c r="G789" s="587"/>
      <c r="H789" s="587"/>
      <c r="I789" s="587"/>
      <c r="J789" s="1362"/>
      <c r="K789" s="587"/>
      <c r="L789" s="595"/>
      <c r="N789" s="1291"/>
      <c r="O789" s="370"/>
      <c r="P789" s="1291"/>
      <c r="Q789" s="1291"/>
      <c r="R789" s="1291"/>
      <c r="S789" s="370"/>
    </row>
    <row r="790">
      <c r="A790" s="1344"/>
      <c r="B790" s="1428" t="s">
        <v>6571</v>
      </c>
      <c r="C790" s="280"/>
      <c r="D790" s="587"/>
      <c r="E790" s="1319"/>
      <c r="F790" s="587"/>
      <c r="G790" s="587"/>
      <c r="H790" s="587"/>
      <c r="I790" s="587"/>
      <c r="J790" s="1362"/>
      <c r="K790" s="587"/>
      <c r="L790" s="595"/>
      <c r="N790" s="1291"/>
      <c r="O790" s="370"/>
      <c r="P790" s="1291"/>
      <c r="Q790" s="1291"/>
      <c r="R790" s="1291"/>
      <c r="S790" s="370"/>
    </row>
    <row r="791">
      <c r="A791" s="1344"/>
      <c r="C791" s="280"/>
      <c r="D791" s="587"/>
      <c r="E791" s="1319"/>
      <c r="F791" s="587"/>
      <c r="G791" s="587"/>
      <c r="H791" s="587"/>
      <c r="I791" s="587"/>
      <c r="J791" s="1362"/>
      <c r="K791" s="587"/>
      <c r="L791" s="595"/>
      <c r="N791" s="1291"/>
      <c r="O791" s="370"/>
      <c r="P791" s="1291"/>
      <c r="Q791" s="1291"/>
      <c r="R791" s="1291"/>
      <c r="S791" s="370"/>
    </row>
    <row r="792">
      <c r="A792" s="1344"/>
      <c r="C792" s="280"/>
      <c r="D792" s="1362" t="s">
        <v>6526</v>
      </c>
      <c r="E792" s="1429" t="s">
        <v>6572</v>
      </c>
      <c r="F792" s="370"/>
      <c r="G792" s="595" t="s">
        <v>6573</v>
      </c>
      <c r="H792" s="595" t="s">
        <v>6574</v>
      </c>
      <c r="I792" s="595" t="s">
        <v>6575</v>
      </c>
      <c r="J792" s="1362" t="s">
        <v>6440</v>
      </c>
      <c r="L792" s="595"/>
      <c r="N792" s="1291"/>
      <c r="O792" s="370"/>
      <c r="P792" s="1291"/>
      <c r="Q792" s="1291"/>
      <c r="R792" s="1291"/>
      <c r="S792" s="370"/>
    </row>
    <row r="793">
      <c r="A793" s="1344"/>
      <c r="B793" s="1430" t="s">
        <v>403</v>
      </c>
      <c r="C793" s="1431">
        <v>5.0</v>
      </c>
      <c r="D793" s="1362">
        <v>59.0</v>
      </c>
      <c r="E793" s="1429" t="s">
        <v>3082</v>
      </c>
      <c r="F793" s="614">
        <v>900.0</v>
      </c>
      <c r="G793" s="587">
        <f t="shared" ref="G793:G810" si="197">D793*F793</f>
        <v>53100</v>
      </c>
      <c r="H793" s="587"/>
      <c r="I793" s="587"/>
      <c r="J793" s="1432"/>
      <c r="L793" s="595"/>
      <c r="N793" s="1291"/>
      <c r="O793" s="370"/>
      <c r="P793" s="1291"/>
      <c r="Q793" s="1291"/>
      <c r="R793" s="1291"/>
      <c r="S793" s="370"/>
    </row>
    <row r="794">
      <c r="A794" s="1344"/>
      <c r="B794" s="1433" t="s">
        <v>6576</v>
      </c>
      <c r="C794" s="1434">
        <v>5.0</v>
      </c>
      <c r="D794" s="1319"/>
      <c r="E794" s="587"/>
      <c r="F794" s="614">
        <v>900.0</v>
      </c>
      <c r="G794" s="587">
        <f t="shared" si="197"/>
        <v>0</v>
      </c>
      <c r="H794" s="587"/>
      <c r="I794" s="587"/>
      <c r="J794" s="1362"/>
      <c r="L794" s="595"/>
      <c r="N794" s="1291"/>
      <c r="O794" s="370"/>
      <c r="P794" s="1291"/>
      <c r="Q794" s="1291"/>
      <c r="R794" s="1291"/>
      <c r="S794" s="370"/>
    </row>
    <row r="795">
      <c r="A795" s="1344"/>
      <c r="B795" s="1433" t="s">
        <v>6358</v>
      </c>
      <c r="C795" s="1434">
        <v>20.0</v>
      </c>
      <c r="D795" s="1362">
        <v>145.0</v>
      </c>
      <c r="E795" s="1429">
        <v>219000.0</v>
      </c>
      <c r="F795" s="614">
        <v>900.0</v>
      </c>
      <c r="G795" s="587">
        <f t="shared" si="197"/>
        <v>130500</v>
      </c>
      <c r="H795" s="587">
        <f>E795-G795</f>
        <v>88500</v>
      </c>
      <c r="I795" s="587">
        <f>C795*H795</f>
        <v>1770000</v>
      </c>
      <c r="J795" s="1362">
        <v>145.0</v>
      </c>
      <c r="L795" s="595">
        <f>D795-J795</f>
        <v>0</v>
      </c>
      <c r="N795" s="1291"/>
      <c r="O795" s="370"/>
      <c r="P795" s="1291"/>
      <c r="Q795" s="1291"/>
      <c r="R795" s="1291"/>
      <c r="S795" s="370"/>
    </row>
    <row r="796">
      <c r="A796" s="1344"/>
      <c r="B796" s="1435" t="s">
        <v>6577</v>
      </c>
      <c r="C796" s="1434">
        <v>6.0</v>
      </c>
      <c r="D796" s="1319"/>
      <c r="E796" s="587"/>
      <c r="F796" s="614">
        <v>900.0</v>
      </c>
      <c r="G796" s="587">
        <f t="shared" si="197"/>
        <v>0</v>
      </c>
      <c r="H796" s="587"/>
      <c r="I796" s="587"/>
      <c r="J796" s="1362"/>
      <c r="L796" s="595"/>
      <c r="N796" s="1291"/>
      <c r="O796" s="370"/>
      <c r="P796" s="1291"/>
      <c r="Q796" s="1291"/>
      <c r="R796" s="1291"/>
      <c r="S796" s="370"/>
    </row>
    <row r="797">
      <c r="A797" s="1344"/>
      <c r="B797" s="1435" t="s">
        <v>6578</v>
      </c>
      <c r="C797" s="1434">
        <v>10.0</v>
      </c>
      <c r="D797" s="1319"/>
      <c r="E797" s="587"/>
      <c r="F797" s="614">
        <v>900.0</v>
      </c>
      <c r="G797" s="587">
        <f t="shared" si="197"/>
        <v>0</v>
      </c>
      <c r="H797" s="587"/>
      <c r="I797" s="587"/>
      <c r="J797" s="1362"/>
      <c r="L797" s="595"/>
      <c r="N797" s="1291"/>
      <c r="O797" s="370"/>
      <c r="P797" s="1291"/>
      <c r="Q797" s="1291"/>
      <c r="R797" s="1291"/>
      <c r="S797" s="370"/>
    </row>
    <row r="798">
      <c r="A798" s="1344"/>
      <c r="B798" s="1433" t="s">
        <v>6417</v>
      </c>
      <c r="C798" s="1434">
        <v>4.0</v>
      </c>
      <c r="D798" s="1319"/>
      <c r="E798" s="587"/>
      <c r="F798" s="614">
        <v>900.0</v>
      </c>
      <c r="G798" s="587">
        <f t="shared" si="197"/>
        <v>0</v>
      </c>
      <c r="H798" s="587"/>
      <c r="I798" s="587"/>
      <c r="J798" s="1362"/>
      <c r="L798" s="595"/>
      <c r="N798" s="1291"/>
      <c r="O798" s="370"/>
      <c r="P798" s="1291"/>
      <c r="Q798" s="1291"/>
      <c r="R798" s="1291"/>
      <c r="S798" s="370"/>
    </row>
    <row r="799">
      <c r="A799" s="1344"/>
      <c r="B799" s="1433" t="s">
        <v>6418</v>
      </c>
      <c r="C799" s="1434">
        <v>4.0</v>
      </c>
      <c r="D799" s="1319"/>
      <c r="E799" s="587"/>
      <c r="F799" s="614">
        <v>900.0</v>
      </c>
      <c r="G799" s="587">
        <f t="shared" si="197"/>
        <v>0</v>
      </c>
      <c r="H799" s="587"/>
      <c r="I799" s="587"/>
      <c r="J799" s="1362"/>
      <c r="L799" s="595"/>
      <c r="N799" s="1291"/>
      <c r="O799" s="370"/>
      <c r="P799" s="1291"/>
      <c r="Q799" s="1291"/>
      <c r="R799" s="1291"/>
      <c r="S799" s="370"/>
    </row>
    <row r="800">
      <c r="A800" s="1344"/>
      <c r="B800" s="1433" t="s">
        <v>6579</v>
      </c>
      <c r="C800" s="1434">
        <v>8.0</v>
      </c>
      <c r="D800" s="1362">
        <v>20.9</v>
      </c>
      <c r="E800" s="1429">
        <v>28800.0</v>
      </c>
      <c r="F800" s="614">
        <v>900.0</v>
      </c>
      <c r="G800" s="587">
        <f t="shared" si="197"/>
        <v>18810</v>
      </c>
      <c r="H800" s="587">
        <f t="shared" ref="H800:H803" si="198">E800-G800</f>
        <v>9990</v>
      </c>
      <c r="I800" s="587">
        <f t="shared" ref="I800:I803" si="199">C800*H800</f>
        <v>79920</v>
      </c>
      <c r="J800" s="1362">
        <v>18.0</v>
      </c>
      <c r="L800" s="595">
        <f t="shared" ref="L800:L803" si="200">D800-J800</f>
        <v>2.9</v>
      </c>
      <c r="N800" s="1291"/>
      <c r="O800" s="370"/>
      <c r="P800" s="1291"/>
      <c r="Q800" s="1291"/>
      <c r="R800" s="1291"/>
      <c r="S800" s="370"/>
    </row>
    <row r="801">
      <c r="A801" s="1344"/>
      <c r="B801" s="1433" t="s">
        <v>6580</v>
      </c>
      <c r="C801" s="1434">
        <v>5.0</v>
      </c>
      <c r="D801" s="1362">
        <v>20.9</v>
      </c>
      <c r="E801" s="1429">
        <v>28800.0</v>
      </c>
      <c r="F801" s="614">
        <v>900.0</v>
      </c>
      <c r="G801" s="587">
        <f t="shared" si="197"/>
        <v>18810</v>
      </c>
      <c r="H801" s="587">
        <f t="shared" si="198"/>
        <v>9990</v>
      </c>
      <c r="I801" s="587">
        <f t="shared" si="199"/>
        <v>49950</v>
      </c>
      <c r="J801" s="1362">
        <v>18.0</v>
      </c>
      <c r="L801" s="595">
        <f t="shared" si="200"/>
        <v>2.9</v>
      </c>
      <c r="N801" s="1291"/>
      <c r="O801" s="370"/>
      <c r="P801" s="1291"/>
      <c r="Q801" s="1291"/>
      <c r="R801" s="1291"/>
      <c r="S801" s="370"/>
    </row>
    <row r="802">
      <c r="A802" s="1344"/>
      <c r="B802" s="1433" t="s">
        <v>6581</v>
      </c>
      <c r="C802" s="1434">
        <v>3.0</v>
      </c>
      <c r="D802" s="1362">
        <v>20.9</v>
      </c>
      <c r="E802" s="1429">
        <v>28800.0</v>
      </c>
      <c r="F802" s="614">
        <v>900.0</v>
      </c>
      <c r="G802" s="587">
        <f t="shared" si="197"/>
        <v>18810</v>
      </c>
      <c r="H802" s="587">
        <f t="shared" si="198"/>
        <v>9990</v>
      </c>
      <c r="I802" s="587">
        <f t="shared" si="199"/>
        <v>29970</v>
      </c>
      <c r="J802" s="1362">
        <v>18.0</v>
      </c>
      <c r="L802" s="595">
        <f t="shared" si="200"/>
        <v>2.9</v>
      </c>
      <c r="N802" s="1291"/>
      <c r="O802" s="370"/>
      <c r="P802" s="1291"/>
      <c r="Q802" s="1291"/>
      <c r="R802" s="1291"/>
      <c r="S802" s="370"/>
    </row>
    <row r="803">
      <c r="A803" s="1344"/>
      <c r="B803" s="1433" t="s">
        <v>6582</v>
      </c>
      <c r="C803" s="1434">
        <v>2.0</v>
      </c>
      <c r="D803" s="1362">
        <v>20.9</v>
      </c>
      <c r="E803" s="1429">
        <v>28800.0</v>
      </c>
      <c r="F803" s="614">
        <v>900.0</v>
      </c>
      <c r="G803" s="587">
        <f t="shared" si="197"/>
        <v>18810</v>
      </c>
      <c r="H803" s="587">
        <f t="shared" si="198"/>
        <v>9990</v>
      </c>
      <c r="I803" s="587">
        <f t="shared" si="199"/>
        <v>19980</v>
      </c>
      <c r="J803" s="1362">
        <v>18.0</v>
      </c>
      <c r="L803" s="595">
        <f t="shared" si="200"/>
        <v>2.9</v>
      </c>
      <c r="N803" s="1291"/>
      <c r="O803" s="370"/>
      <c r="P803" s="1291"/>
      <c r="Q803" s="1291"/>
      <c r="R803" s="1291"/>
      <c r="S803" s="370"/>
    </row>
    <row r="804">
      <c r="A804" s="1344"/>
      <c r="B804" s="1433" t="s">
        <v>6583</v>
      </c>
      <c r="C804" s="1434">
        <v>10.0</v>
      </c>
      <c r="D804" s="1362">
        <v>27.7</v>
      </c>
      <c r="E804" s="1429" t="s">
        <v>3082</v>
      </c>
      <c r="F804" s="614">
        <v>900.0</v>
      </c>
      <c r="G804" s="587">
        <f t="shared" si="197"/>
        <v>24930</v>
      </c>
      <c r="H804" s="587"/>
      <c r="I804" s="587"/>
      <c r="J804" s="1432"/>
      <c r="L804" s="595"/>
      <c r="N804" s="1291"/>
      <c r="O804" s="370"/>
      <c r="P804" s="1291"/>
      <c r="Q804" s="1291"/>
      <c r="R804" s="1291"/>
      <c r="S804" s="370"/>
    </row>
    <row r="805">
      <c r="A805" s="1344"/>
      <c r="B805" s="1433" t="s">
        <v>6403</v>
      </c>
      <c r="C805" s="1434">
        <v>4.0</v>
      </c>
      <c r="D805" s="1362">
        <v>129.0</v>
      </c>
      <c r="E805" s="1429">
        <v>128000.0</v>
      </c>
      <c r="F805" s="614">
        <v>900.0</v>
      </c>
      <c r="G805" s="587">
        <f t="shared" si="197"/>
        <v>116100</v>
      </c>
      <c r="H805" s="587">
        <f t="shared" ref="H805:H806" si="201">E805-G805</f>
        <v>11900</v>
      </c>
      <c r="I805" s="587">
        <f t="shared" ref="I805:I806" si="202">C805*H805</f>
        <v>47600</v>
      </c>
      <c r="J805" s="1362">
        <v>117.0</v>
      </c>
      <c r="L805" s="595">
        <f t="shared" ref="L805:L806" si="203">D805-J805</f>
        <v>12</v>
      </c>
      <c r="N805" s="1291"/>
      <c r="O805" s="370"/>
      <c r="P805" s="1291"/>
      <c r="Q805" s="1291"/>
      <c r="R805" s="1291"/>
      <c r="S805" s="370"/>
    </row>
    <row r="806">
      <c r="A806" s="1344"/>
      <c r="B806" s="1433" t="s">
        <v>6584</v>
      </c>
      <c r="C806" s="1434">
        <v>4.0</v>
      </c>
      <c r="D806" s="1362">
        <v>129.0</v>
      </c>
      <c r="E806" s="1429">
        <v>128000.0</v>
      </c>
      <c r="F806" s="614">
        <v>900.0</v>
      </c>
      <c r="G806" s="587">
        <f t="shared" si="197"/>
        <v>116100</v>
      </c>
      <c r="H806" s="587">
        <f t="shared" si="201"/>
        <v>11900</v>
      </c>
      <c r="I806" s="587">
        <f t="shared" si="202"/>
        <v>47600</v>
      </c>
      <c r="J806" s="1362">
        <v>117.0</v>
      </c>
      <c r="L806" s="595">
        <f t="shared" si="203"/>
        <v>12</v>
      </c>
      <c r="N806" s="1291"/>
      <c r="O806" s="370"/>
      <c r="P806" s="1291"/>
      <c r="Q806" s="1291"/>
      <c r="R806" s="1291"/>
      <c r="S806" s="370"/>
    </row>
    <row r="807">
      <c r="A807" s="1344"/>
      <c r="B807" s="1436" t="s">
        <v>6528</v>
      </c>
      <c r="C807" s="1434">
        <v>6.0</v>
      </c>
      <c r="D807" s="1319"/>
      <c r="E807" s="587"/>
      <c r="F807" s="614">
        <v>900.0</v>
      </c>
      <c r="G807" s="587">
        <f t="shared" si="197"/>
        <v>0</v>
      </c>
      <c r="H807" s="587"/>
      <c r="I807" s="587"/>
      <c r="J807" s="1362"/>
      <c r="L807" s="595"/>
      <c r="N807" s="1291"/>
      <c r="O807" s="370"/>
      <c r="P807" s="1291"/>
      <c r="Q807" s="1291"/>
      <c r="R807" s="1291"/>
      <c r="S807" s="370"/>
    </row>
    <row r="808">
      <c r="A808" s="1344"/>
      <c r="B808" s="1436" t="s">
        <v>6529</v>
      </c>
      <c r="C808" s="1434">
        <v>5.0</v>
      </c>
      <c r="D808" s="1319"/>
      <c r="E808" s="587"/>
      <c r="F808" s="614">
        <v>900.0</v>
      </c>
      <c r="G808" s="587">
        <f t="shared" si="197"/>
        <v>0</v>
      </c>
      <c r="H808" s="587"/>
      <c r="I808" s="587"/>
      <c r="J808" s="1362"/>
      <c r="L808" s="1421"/>
      <c r="N808" s="1291"/>
      <c r="O808" s="370"/>
      <c r="P808" s="1291"/>
      <c r="Q808" s="1291"/>
      <c r="R808" s="1291"/>
      <c r="S808" s="370"/>
    </row>
    <row r="809">
      <c r="A809" s="1344"/>
      <c r="B809" s="1437" t="s">
        <v>6585</v>
      </c>
      <c r="C809" s="1434">
        <v>5.0</v>
      </c>
      <c r="D809" s="1362">
        <v>31.9</v>
      </c>
      <c r="E809" s="1429" t="s">
        <v>3082</v>
      </c>
      <c r="F809" s="614">
        <v>900.0</v>
      </c>
      <c r="G809" s="587">
        <f t="shared" si="197"/>
        <v>28710</v>
      </c>
      <c r="H809" s="587"/>
      <c r="I809" s="587"/>
      <c r="J809" s="1362">
        <v>18.0</v>
      </c>
      <c r="L809" s="595">
        <f t="shared" ref="L809:L810" si="204">D809-J809</f>
        <v>13.9</v>
      </c>
      <c r="N809" s="1291"/>
      <c r="O809" s="370"/>
      <c r="P809" s="1291"/>
      <c r="Q809" s="1291"/>
      <c r="R809" s="1291"/>
      <c r="S809" s="370"/>
    </row>
    <row r="810">
      <c r="A810" s="1344"/>
      <c r="B810" s="1437" t="s">
        <v>6586</v>
      </c>
      <c r="C810" s="1434">
        <v>5.0</v>
      </c>
      <c r="D810" s="1362">
        <v>11.0</v>
      </c>
      <c r="E810" s="1429" t="s">
        <v>3082</v>
      </c>
      <c r="F810" s="614">
        <v>900.0</v>
      </c>
      <c r="G810" s="587">
        <f t="shared" si="197"/>
        <v>9900</v>
      </c>
      <c r="H810" s="587"/>
      <c r="I810" s="587"/>
      <c r="J810" s="1362">
        <v>9.9</v>
      </c>
      <c r="L810" s="595">
        <f t="shared" si="204"/>
        <v>1.1</v>
      </c>
      <c r="N810" s="1291"/>
      <c r="O810" s="370"/>
      <c r="P810" s="1291"/>
      <c r="Q810" s="1291"/>
      <c r="R810" s="1291"/>
      <c r="S810" s="370"/>
    </row>
    <row r="811">
      <c r="A811" s="1344"/>
      <c r="C811" s="280"/>
      <c r="D811" s="587"/>
      <c r="E811" s="1319"/>
      <c r="F811" s="587"/>
      <c r="G811" s="587"/>
      <c r="H811" s="587"/>
      <c r="I811" s="587">
        <f>SUM(I793:I810)</f>
        <v>2045020</v>
      </c>
      <c r="J811" s="1362"/>
      <c r="K811" s="587"/>
      <c r="L811" s="595"/>
      <c r="N811" s="1291"/>
      <c r="O811" s="370"/>
      <c r="P811" s="1291"/>
      <c r="Q811" s="1291"/>
      <c r="R811" s="1291"/>
      <c r="S811" s="370"/>
    </row>
    <row r="812">
      <c r="A812" s="1344"/>
      <c r="C812" s="280"/>
      <c r="D812" s="587"/>
      <c r="E812" s="1319"/>
      <c r="F812" s="587"/>
      <c r="G812" s="587"/>
      <c r="H812" s="587"/>
      <c r="I812" s="587"/>
      <c r="J812" s="1362"/>
      <c r="K812" s="587"/>
      <c r="L812" s="595"/>
      <c r="N812" s="1291"/>
      <c r="O812" s="370"/>
      <c r="P812" s="1291"/>
      <c r="Q812" s="1291"/>
      <c r="R812" s="1291"/>
      <c r="S812" s="370"/>
    </row>
    <row r="813">
      <c r="A813" s="1344"/>
      <c r="C813" s="280"/>
      <c r="D813" s="587"/>
      <c r="E813" s="1319"/>
      <c r="F813" s="587"/>
      <c r="G813" s="587"/>
      <c r="H813" s="587"/>
      <c r="I813" s="587"/>
      <c r="J813" s="1362"/>
      <c r="K813" s="587"/>
      <c r="L813" s="595"/>
      <c r="N813" s="1291"/>
      <c r="O813" s="370"/>
      <c r="P813" s="1291"/>
      <c r="Q813" s="1291"/>
      <c r="R813" s="1291"/>
      <c r="S813" s="370"/>
    </row>
    <row r="814">
      <c r="A814" s="1344"/>
      <c r="B814" s="1430" t="s">
        <v>6587</v>
      </c>
      <c r="C814" s="288">
        <v>5.0</v>
      </c>
      <c r="D814" s="587"/>
      <c r="E814" s="1319"/>
      <c r="F814" s="587"/>
      <c r="G814" s="587"/>
      <c r="H814" s="587"/>
      <c r="I814" s="587"/>
      <c r="J814" s="1362"/>
      <c r="K814" s="587"/>
      <c r="L814" s="595"/>
      <c r="N814" s="1291"/>
      <c r="O814" s="370"/>
      <c r="P814" s="1291"/>
      <c r="Q814" s="1291"/>
      <c r="R814" s="1291"/>
      <c r="S814" s="370"/>
    </row>
    <row r="815">
      <c r="A815" s="1344"/>
      <c r="B815" s="1433" t="s">
        <v>6576</v>
      </c>
      <c r="C815" s="288">
        <v>5.0</v>
      </c>
      <c r="D815" s="587"/>
      <c r="E815" s="1319"/>
      <c r="F815" s="587"/>
      <c r="G815" s="587"/>
      <c r="H815" s="587"/>
      <c r="I815" s="587"/>
      <c r="J815" s="1362"/>
      <c r="K815" s="587"/>
      <c r="L815" s="595"/>
      <c r="N815" s="1291"/>
      <c r="O815" s="370"/>
      <c r="P815" s="1291"/>
      <c r="Q815" s="1291"/>
      <c r="R815" s="1291"/>
      <c r="S815" s="370"/>
    </row>
    <row r="816">
      <c r="A816" s="1344"/>
      <c r="B816" s="1433" t="s">
        <v>6358</v>
      </c>
      <c r="C816" s="288">
        <v>10.0</v>
      </c>
      <c r="D816" s="587"/>
      <c r="E816" s="1319"/>
      <c r="F816" s="587"/>
      <c r="G816" s="587"/>
      <c r="H816" s="587"/>
      <c r="I816" s="587"/>
      <c r="J816" s="1362"/>
      <c r="K816" s="587"/>
      <c r="L816" s="595"/>
      <c r="N816" s="1291"/>
      <c r="O816" s="370"/>
      <c r="P816" s="1291"/>
      <c r="Q816" s="1291"/>
      <c r="R816" s="1291"/>
      <c r="S816" s="370"/>
    </row>
    <row r="817">
      <c r="A817" s="1344"/>
      <c r="B817" s="1390" t="s">
        <v>6554</v>
      </c>
      <c r="C817" s="288">
        <v>20.0</v>
      </c>
      <c r="D817" s="587"/>
      <c r="E817" s="1319"/>
      <c r="F817" s="587"/>
      <c r="G817" s="587"/>
      <c r="H817" s="587"/>
      <c r="I817" s="587"/>
      <c r="J817" s="1362"/>
      <c r="K817" s="587"/>
      <c r="L817" s="595"/>
      <c r="N817" s="1291"/>
      <c r="O817" s="370"/>
      <c r="P817" s="1291"/>
      <c r="Q817" s="1291"/>
      <c r="R817" s="1291"/>
      <c r="S817" s="370"/>
    </row>
    <row r="818">
      <c r="A818" s="1344"/>
      <c r="B818" s="1433" t="s">
        <v>6583</v>
      </c>
      <c r="C818" s="288">
        <v>5.0</v>
      </c>
      <c r="D818" s="587"/>
      <c r="E818" s="1319"/>
      <c r="F818" s="587"/>
      <c r="G818" s="587"/>
      <c r="H818" s="587"/>
      <c r="I818" s="587"/>
      <c r="J818" s="1362"/>
      <c r="K818" s="587"/>
      <c r="L818" s="595"/>
      <c r="N818" s="1291"/>
      <c r="O818" s="370"/>
      <c r="P818" s="1291"/>
      <c r="Q818" s="1291"/>
      <c r="R818" s="1291"/>
      <c r="S818" s="370"/>
    </row>
    <row r="819">
      <c r="A819" s="1344"/>
      <c r="B819" s="1433" t="s">
        <v>6403</v>
      </c>
      <c r="C819" s="288">
        <v>3.0</v>
      </c>
      <c r="D819" s="587"/>
      <c r="E819" s="1319"/>
      <c r="F819" s="587"/>
      <c r="G819" s="587"/>
      <c r="H819" s="587"/>
      <c r="I819" s="587"/>
      <c r="J819" s="1362"/>
      <c r="K819" s="587"/>
      <c r="L819" s="595"/>
      <c r="N819" s="1291"/>
      <c r="O819" s="370"/>
      <c r="P819" s="1291"/>
      <c r="Q819" s="1291"/>
      <c r="R819" s="1291"/>
      <c r="S819" s="370"/>
    </row>
    <row r="820">
      <c r="A820" s="1344"/>
      <c r="B820" s="1433" t="s">
        <v>6584</v>
      </c>
      <c r="C820" s="288">
        <v>3.0</v>
      </c>
      <c r="D820" s="587"/>
      <c r="E820" s="1319"/>
      <c r="F820" s="587"/>
      <c r="G820" s="587"/>
      <c r="H820" s="587"/>
      <c r="I820" s="587"/>
      <c r="J820" s="1362"/>
      <c r="K820" s="587"/>
      <c r="L820" s="595"/>
      <c r="N820" s="1291"/>
      <c r="O820" s="370"/>
      <c r="P820" s="1291"/>
      <c r="Q820" s="1291"/>
      <c r="R820" s="1291"/>
      <c r="S820" s="370"/>
    </row>
    <row r="821">
      <c r="A821" s="1344"/>
      <c r="B821" s="1436" t="s">
        <v>6528</v>
      </c>
      <c r="C821" s="288">
        <v>10.0</v>
      </c>
      <c r="D821" s="587"/>
      <c r="E821" s="1319"/>
      <c r="F821" s="587"/>
      <c r="G821" s="587"/>
      <c r="H821" s="587"/>
      <c r="I821" s="587"/>
      <c r="J821" s="1362"/>
      <c r="K821" s="587"/>
      <c r="L821" s="595"/>
      <c r="N821" s="1291"/>
      <c r="O821" s="370"/>
      <c r="P821" s="1291"/>
      <c r="Q821" s="1291"/>
      <c r="R821" s="1291"/>
      <c r="S821" s="370"/>
    </row>
    <row r="822">
      <c r="A822" s="1344"/>
      <c r="B822" s="1436" t="s">
        <v>6529</v>
      </c>
      <c r="C822" s="288">
        <v>5.0</v>
      </c>
      <c r="D822" s="587"/>
      <c r="E822" s="1319"/>
      <c r="F822" s="587"/>
      <c r="G822" s="587"/>
      <c r="H822" s="587"/>
      <c r="I822" s="587"/>
      <c r="J822" s="1362"/>
      <c r="K822" s="587"/>
      <c r="L822" s="595"/>
      <c r="N822" s="1291"/>
      <c r="O822" s="370"/>
      <c r="P822" s="1291"/>
      <c r="Q822" s="1291"/>
      <c r="R822" s="1291"/>
      <c r="S822" s="370"/>
    </row>
    <row r="823">
      <c r="A823" s="1344"/>
      <c r="B823" s="1040" t="s">
        <v>2519</v>
      </c>
      <c r="C823" s="288">
        <v>5.0</v>
      </c>
      <c r="D823" s="587"/>
      <c r="E823" s="1319"/>
      <c r="F823" s="587"/>
      <c r="G823" s="587"/>
      <c r="H823" s="587"/>
      <c r="I823" s="587"/>
      <c r="J823" s="1362"/>
      <c r="K823" s="587"/>
      <c r="L823" s="595"/>
      <c r="N823" s="1291"/>
      <c r="O823" s="370"/>
      <c r="P823" s="1291"/>
      <c r="Q823" s="1291"/>
      <c r="R823" s="1291"/>
      <c r="S823" s="370"/>
    </row>
    <row r="824">
      <c r="A824" s="1344"/>
      <c r="C824" s="280"/>
      <c r="D824" s="587"/>
      <c r="E824" s="1319"/>
      <c r="F824" s="587"/>
      <c r="G824" s="587"/>
      <c r="H824" s="587"/>
      <c r="I824" s="587"/>
      <c r="J824" s="1362"/>
      <c r="K824" s="587"/>
      <c r="L824" s="595"/>
      <c r="N824" s="1291"/>
      <c r="O824" s="370"/>
      <c r="P824" s="1291"/>
      <c r="Q824" s="1291"/>
      <c r="R824" s="1291"/>
      <c r="S824" s="370"/>
    </row>
    <row r="825">
      <c r="A825" s="1344"/>
      <c r="C825" s="280"/>
      <c r="D825" s="587"/>
      <c r="E825" s="1319"/>
      <c r="F825" s="587"/>
      <c r="G825" s="587"/>
      <c r="H825" s="587"/>
      <c r="I825" s="587"/>
      <c r="J825" s="1362"/>
      <c r="K825" s="587"/>
      <c r="L825" s="595"/>
      <c r="N825" s="1291"/>
      <c r="O825" s="370"/>
      <c r="P825" s="1291"/>
      <c r="Q825" s="1291"/>
      <c r="R825" s="1291"/>
      <c r="S825" s="370"/>
    </row>
    <row r="826">
      <c r="A826" s="1344"/>
      <c r="B826" s="1438">
        <v>45139.0</v>
      </c>
      <c r="C826" s="280"/>
      <c r="D826" s="587"/>
      <c r="E826" s="1319"/>
      <c r="F826" s="587"/>
      <c r="G826" s="587"/>
      <c r="H826" s="587"/>
      <c r="I826" s="587"/>
      <c r="J826" s="1362"/>
      <c r="K826" s="587"/>
      <c r="L826" s="595"/>
      <c r="N826" s="1291"/>
      <c r="O826" s="370"/>
      <c r="P826" s="1291"/>
      <c r="Q826" s="1291"/>
      <c r="R826" s="1291"/>
      <c r="S826" s="370"/>
    </row>
    <row r="827">
      <c r="A827" s="1344"/>
      <c r="C827" s="280"/>
      <c r="D827" s="587"/>
      <c r="E827" s="1319"/>
      <c r="F827" s="587"/>
      <c r="G827" s="587"/>
      <c r="H827" s="587"/>
      <c r="I827" s="587"/>
      <c r="J827" s="1362"/>
      <c r="K827" s="587"/>
      <c r="L827" s="595"/>
      <c r="N827" s="1291"/>
      <c r="O827" s="370"/>
      <c r="P827" s="1291"/>
      <c r="Q827" s="1291"/>
      <c r="R827" s="1291"/>
      <c r="S827" s="370"/>
    </row>
    <row r="828">
      <c r="A828" s="1344"/>
      <c r="B828" s="1430" t="s">
        <v>6588</v>
      </c>
      <c r="C828" s="288">
        <v>6.0</v>
      </c>
      <c r="D828" s="587"/>
      <c r="E828" s="1319"/>
      <c r="F828" s="587"/>
      <c r="G828" s="587"/>
      <c r="H828" s="587"/>
      <c r="I828" s="587"/>
      <c r="J828" s="1362"/>
      <c r="K828" s="587"/>
      <c r="L828" s="595"/>
      <c r="N828" s="1291"/>
      <c r="O828" s="370"/>
      <c r="P828" s="1291"/>
      <c r="Q828" s="1291"/>
      <c r="R828" s="1291"/>
      <c r="S828" s="370"/>
    </row>
    <row r="829">
      <c r="A829" s="1344"/>
      <c r="B829" s="1433" t="s">
        <v>6576</v>
      </c>
      <c r="C829" s="288">
        <v>5.0</v>
      </c>
      <c r="D829" s="587"/>
      <c r="E829" s="1319"/>
      <c r="F829" s="587"/>
      <c r="G829" s="587"/>
      <c r="H829" s="587"/>
      <c r="I829" s="587"/>
      <c r="J829" s="1362"/>
      <c r="K829" s="587"/>
      <c r="L829" s="595"/>
      <c r="N829" s="1291"/>
      <c r="O829" s="370"/>
      <c r="P829" s="1291"/>
      <c r="Q829" s="1291"/>
      <c r="R829" s="1291"/>
      <c r="S829" s="370"/>
    </row>
    <row r="830">
      <c r="A830" s="1344"/>
      <c r="B830" s="1433" t="s">
        <v>6589</v>
      </c>
      <c r="C830" s="288">
        <v>40.0</v>
      </c>
      <c r="D830" s="587"/>
      <c r="E830" s="1319"/>
      <c r="F830" s="587"/>
      <c r="G830" s="587"/>
      <c r="H830" s="587"/>
      <c r="I830" s="587"/>
      <c r="J830" s="1362"/>
      <c r="K830" s="587"/>
      <c r="L830" s="595"/>
      <c r="N830" s="1291"/>
      <c r="O830" s="370"/>
      <c r="P830" s="1291"/>
      <c r="Q830" s="1291"/>
      <c r="R830" s="1291"/>
      <c r="S830" s="370"/>
    </row>
    <row r="831">
      <c r="A831" s="1344"/>
      <c r="B831" s="1390" t="s">
        <v>6554</v>
      </c>
      <c r="C831" s="288">
        <v>20.0</v>
      </c>
      <c r="D831" s="587"/>
      <c r="E831" s="1319"/>
      <c r="F831" s="587"/>
      <c r="G831" s="587"/>
      <c r="H831" s="587"/>
      <c r="I831" s="587"/>
      <c r="J831" s="1362"/>
      <c r="K831" s="587"/>
      <c r="L831" s="595"/>
      <c r="N831" s="1291"/>
      <c r="O831" s="370"/>
      <c r="P831" s="1291"/>
      <c r="Q831" s="1291"/>
      <c r="R831" s="1291"/>
      <c r="S831" s="370"/>
    </row>
    <row r="832">
      <c r="A832" s="1344"/>
      <c r="B832" s="1433" t="s">
        <v>6583</v>
      </c>
      <c r="C832" s="288">
        <v>5.0</v>
      </c>
      <c r="D832" s="587"/>
      <c r="E832" s="1319"/>
      <c r="F832" s="587"/>
      <c r="G832" s="587"/>
      <c r="H832" s="587"/>
      <c r="I832" s="587"/>
      <c r="J832" s="1362"/>
      <c r="K832" s="587"/>
      <c r="L832" s="595"/>
      <c r="N832" s="1291"/>
      <c r="O832" s="370"/>
      <c r="P832" s="1291"/>
      <c r="Q832" s="1291"/>
      <c r="R832" s="1291"/>
      <c r="S832" s="370"/>
    </row>
    <row r="833">
      <c r="A833" s="1344"/>
      <c r="B833" s="1433" t="s">
        <v>6403</v>
      </c>
      <c r="C833" s="288">
        <v>3.0</v>
      </c>
      <c r="D833" s="587"/>
      <c r="E833" s="1319"/>
      <c r="F833" s="587"/>
      <c r="G833" s="587"/>
      <c r="H833" s="587"/>
      <c r="I833" s="587"/>
      <c r="J833" s="1362"/>
      <c r="K833" s="587"/>
      <c r="L833" s="595"/>
      <c r="N833" s="1291"/>
      <c r="O833" s="370"/>
      <c r="P833" s="1291"/>
      <c r="Q833" s="1291"/>
      <c r="R833" s="1291"/>
      <c r="S833" s="370"/>
    </row>
    <row r="834">
      <c r="A834" s="1344"/>
      <c r="B834" s="1433" t="s">
        <v>6584</v>
      </c>
      <c r="C834" s="288">
        <v>3.0</v>
      </c>
      <c r="D834" s="587"/>
      <c r="E834" s="1319"/>
      <c r="F834" s="587"/>
      <c r="G834" s="587"/>
      <c r="H834" s="587"/>
      <c r="I834" s="587"/>
      <c r="J834" s="1362"/>
      <c r="K834" s="587"/>
      <c r="L834" s="595"/>
      <c r="N834" s="1291"/>
      <c r="O834" s="370"/>
      <c r="P834" s="1291"/>
      <c r="Q834" s="1291"/>
      <c r="R834" s="1291"/>
      <c r="S834" s="370"/>
    </row>
    <row r="835">
      <c r="A835" s="1344"/>
      <c r="B835" s="1436" t="s">
        <v>6528</v>
      </c>
      <c r="C835" s="288">
        <v>10.0</v>
      </c>
      <c r="D835" s="587"/>
      <c r="E835" s="1319"/>
      <c r="F835" s="587"/>
      <c r="G835" s="587"/>
      <c r="H835" s="587"/>
      <c r="I835" s="587"/>
      <c r="J835" s="1362"/>
      <c r="K835" s="587"/>
      <c r="L835" s="595"/>
      <c r="N835" s="1291"/>
      <c r="O835" s="370"/>
      <c r="P835" s="1291"/>
      <c r="Q835" s="1291"/>
      <c r="R835" s="1291"/>
      <c r="S835" s="370"/>
    </row>
    <row r="836">
      <c r="A836" s="1344"/>
      <c r="B836" s="1436" t="s">
        <v>6529</v>
      </c>
      <c r="C836" s="288">
        <v>5.0</v>
      </c>
      <c r="D836" s="587"/>
      <c r="E836" s="1319"/>
      <c r="F836" s="587"/>
      <c r="G836" s="587"/>
      <c r="H836" s="587"/>
      <c r="I836" s="587"/>
      <c r="J836" s="1362"/>
      <c r="K836" s="587"/>
      <c r="L836" s="595"/>
      <c r="N836" s="1291"/>
      <c r="O836" s="370"/>
      <c r="P836" s="1291"/>
      <c r="Q836" s="1291"/>
      <c r="R836" s="1291"/>
      <c r="S836" s="370"/>
    </row>
    <row r="837">
      <c r="A837" s="1344"/>
      <c r="B837" s="1040" t="s">
        <v>2519</v>
      </c>
      <c r="C837" s="288">
        <v>5.0</v>
      </c>
      <c r="D837" s="587"/>
      <c r="E837" s="1319"/>
      <c r="F837" s="587"/>
      <c r="G837" s="587"/>
      <c r="H837" s="587"/>
      <c r="I837" s="587"/>
      <c r="J837" s="1362"/>
      <c r="K837" s="587"/>
      <c r="L837" s="595"/>
      <c r="N837" s="1291"/>
      <c r="O837" s="370"/>
      <c r="P837" s="1291"/>
      <c r="Q837" s="1291"/>
      <c r="R837" s="1291"/>
      <c r="S837" s="370"/>
    </row>
    <row r="838">
      <c r="A838" s="1344"/>
      <c r="C838" s="280"/>
      <c r="D838" s="587"/>
      <c r="E838" s="1319"/>
      <c r="F838" s="587"/>
      <c r="G838" s="587"/>
      <c r="H838" s="587"/>
      <c r="I838" s="587"/>
      <c r="J838" s="1362"/>
      <c r="K838" s="587"/>
      <c r="L838" s="595"/>
      <c r="N838" s="1291"/>
      <c r="O838" s="370"/>
      <c r="P838" s="1291"/>
      <c r="Q838" s="1291"/>
      <c r="R838" s="1291"/>
      <c r="S838" s="370"/>
    </row>
    <row r="839">
      <c r="A839" s="1344"/>
      <c r="C839" s="280"/>
      <c r="D839" s="587"/>
      <c r="E839" s="1319"/>
      <c r="F839" s="587"/>
      <c r="G839" s="587"/>
      <c r="H839" s="587"/>
      <c r="I839" s="587"/>
      <c r="J839" s="1362"/>
      <c r="K839" s="587"/>
      <c r="L839" s="595"/>
      <c r="N839" s="1291"/>
      <c r="O839" s="370"/>
      <c r="P839" s="1291"/>
      <c r="Q839" s="1291"/>
      <c r="R839" s="1291"/>
      <c r="S839" s="370"/>
    </row>
    <row r="840">
      <c r="A840" s="1344"/>
      <c r="B840" s="548" t="s">
        <v>6590</v>
      </c>
      <c r="C840" s="280"/>
      <c r="D840" s="587"/>
      <c r="E840" s="1319"/>
      <c r="F840" s="587"/>
      <c r="G840" s="587"/>
      <c r="H840" s="587"/>
      <c r="I840" s="587"/>
      <c r="J840" s="1362"/>
      <c r="K840" s="587"/>
      <c r="L840" s="595"/>
      <c r="N840" s="1291"/>
      <c r="O840" s="370"/>
      <c r="P840" s="1291"/>
      <c r="Q840" s="1291"/>
      <c r="R840" s="1291"/>
      <c r="S840" s="370"/>
    </row>
    <row r="841">
      <c r="A841" s="1344"/>
      <c r="C841" s="280"/>
      <c r="D841" s="595" t="s">
        <v>6526</v>
      </c>
      <c r="E841" s="1362"/>
      <c r="F841" s="595" t="s">
        <v>6591</v>
      </c>
      <c r="G841" s="595" t="s">
        <v>6592</v>
      </c>
      <c r="H841" s="587"/>
      <c r="I841" s="587"/>
      <c r="J841" s="1362"/>
      <c r="K841" s="587"/>
      <c r="L841" s="595"/>
      <c r="N841" s="1291"/>
      <c r="O841" s="370"/>
      <c r="P841" s="1291"/>
      <c r="Q841" s="1291"/>
      <c r="R841" s="1291"/>
      <c r="S841" s="370"/>
    </row>
    <row r="842">
      <c r="A842" s="1344"/>
      <c r="B842" s="1430" t="s">
        <v>6588</v>
      </c>
      <c r="C842" s="288">
        <v>6.0</v>
      </c>
      <c r="D842" s="589"/>
      <c r="E842" s="1362">
        <v>810.0</v>
      </c>
      <c r="F842" s="587">
        <f t="shared" ref="F842:F864" si="205">D842*E842</f>
        <v>0</v>
      </c>
      <c r="G842" s="587"/>
      <c r="H842" s="587"/>
      <c r="I842" s="587"/>
      <c r="J842" s="1362"/>
      <c r="K842" s="587"/>
      <c r="L842" s="595"/>
      <c r="N842" s="1291"/>
      <c r="O842" s="370"/>
      <c r="P842" s="1291"/>
      <c r="Q842" s="1291"/>
      <c r="R842" s="1291"/>
      <c r="S842" s="370"/>
    </row>
    <row r="843">
      <c r="A843" s="1344"/>
      <c r="B843" s="1433" t="s">
        <v>6576</v>
      </c>
      <c r="C843" s="288">
        <v>5.0</v>
      </c>
      <c r="D843" s="589"/>
      <c r="E843" s="1362">
        <v>810.0</v>
      </c>
      <c r="F843" s="587">
        <f t="shared" si="205"/>
        <v>0</v>
      </c>
      <c r="G843" s="44">
        <f>230000*0.8*1.19</f>
        <v>218960</v>
      </c>
      <c r="H843" s="587"/>
      <c r="I843" s="587"/>
      <c r="J843" s="1362"/>
      <c r="K843" s="587"/>
      <c r="L843" s="595"/>
      <c r="N843" s="1291"/>
      <c r="O843" s="370"/>
      <c r="P843" s="1291"/>
      <c r="Q843" s="1291"/>
      <c r="R843" s="1291"/>
      <c r="S843" s="370"/>
    </row>
    <row r="844">
      <c r="A844" s="1344" t="s">
        <v>2799</v>
      </c>
      <c r="B844" s="1433" t="s">
        <v>6589</v>
      </c>
      <c r="C844" s="288">
        <v>50.0</v>
      </c>
      <c r="D844" s="163">
        <v>99.9</v>
      </c>
      <c r="E844" s="1362">
        <v>810.0</v>
      </c>
      <c r="F844" s="587">
        <f t="shared" si="205"/>
        <v>80919</v>
      </c>
      <c r="G844" s="44">
        <v>218960.0</v>
      </c>
      <c r="H844" s="595" t="s">
        <v>2799</v>
      </c>
      <c r="I844" s="587"/>
      <c r="J844" s="1362"/>
      <c r="K844" s="587"/>
      <c r="L844" s="595"/>
      <c r="N844" s="1291"/>
      <c r="O844" s="370"/>
      <c r="P844" s="1291"/>
      <c r="Q844" s="1291"/>
      <c r="R844" s="1291"/>
      <c r="S844" s="370"/>
    </row>
    <row r="845">
      <c r="A845" s="1344"/>
      <c r="B845" s="1390" t="s">
        <v>6554</v>
      </c>
      <c r="C845" s="288">
        <v>5.0</v>
      </c>
      <c r="D845" s="589"/>
      <c r="E845" s="1362">
        <v>810.0</v>
      </c>
      <c r="F845" s="587">
        <f t="shared" si="205"/>
        <v>0</v>
      </c>
      <c r="G845" s="26">
        <v>31733.0</v>
      </c>
      <c r="H845" s="587"/>
      <c r="I845" s="587"/>
      <c r="J845" s="1362"/>
      <c r="K845" s="587"/>
      <c r="L845" s="595"/>
      <c r="N845" s="1291"/>
      <c r="O845" s="370"/>
      <c r="P845" s="1291"/>
      <c r="Q845" s="1291"/>
      <c r="R845" s="1291"/>
      <c r="S845" s="370"/>
    </row>
    <row r="846">
      <c r="A846" s="1344"/>
      <c r="B846" s="1433" t="s">
        <v>6583</v>
      </c>
      <c r="C846" s="288">
        <v>10.0</v>
      </c>
      <c r="D846" s="589"/>
      <c r="E846" s="1362">
        <v>810.0</v>
      </c>
      <c r="F846" s="587">
        <f t="shared" si="205"/>
        <v>0</v>
      </c>
      <c r="G846" s="587"/>
      <c r="H846" s="587"/>
      <c r="I846" s="587"/>
      <c r="J846" s="1362"/>
      <c r="K846" s="587"/>
      <c r="L846" s="595"/>
      <c r="N846" s="1291"/>
      <c r="O846" s="370"/>
      <c r="P846" s="1291"/>
      <c r="Q846" s="1291"/>
      <c r="R846" s="1291"/>
      <c r="S846" s="370"/>
    </row>
    <row r="847">
      <c r="A847" s="1344" t="s">
        <v>2799</v>
      </c>
      <c r="B847" s="1433" t="s">
        <v>6403</v>
      </c>
      <c r="C847" s="288">
        <v>5.0</v>
      </c>
      <c r="D847" s="163">
        <v>104.0</v>
      </c>
      <c r="E847" s="1362">
        <v>810.0</v>
      </c>
      <c r="F847" s="587">
        <f t="shared" si="205"/>
        <v>84240</v>
      </c>
      <c r="G847" s="43">
        <f t="shared" ref="G847:G848" si="206">160000*0.8</f>
        <v>128000</v>
      </c>
      <c r="H847" s="595" t="s">
        <v>2799</v>
      </c>
      <c r="I847" s="587">
        <f>F847-G847</f>
        <v>-43760</v>
      </c>
      <c r="J847" s="1362"/>
      <c r="K847" s="587"/>
      <c r="L847" s="595"/>
      <c r="N847" s="1291"/>
      <c r="O847" s="370"/>
      <c r="P847" s="1291"/>
      <c r="Q847" s="1291"/>
      <c r="R847" s="1291"/>
      <c r="S847" s="370"/>
    </row>
    <row r="848">
      <c r="A848" s="1344"/>
      <c r="B848" s="1433" t="s">
        <v>6584</v>
      </c>
      <c r="C848" s="288">
        <v>5.0</v>
      </c>
      <c r="D848" s="589"/>
      <c r="E848" s="1362">
        <v>810.0</v>
      </c>
      <c r="F848" s="587">
        <f t="shared" si="205"/>
        <v>0</v>
      </c>
      <c r="G848" s="43">
        <f t="shared" si="206"/>
        <v>128000</v>
      </c>
      <c r="H848" s="587"/>
      <c r="I848" s="587"/>
      <c r="J848" s="1362"/>
      <c r="K848" s="587"/>
      <c r="L848" s="595"/>
      <c r="N848" s="1291"/>
      <c r="O848" s="370"/>
      <c r="P848" s="1291"/>
      <c r="Q848" s="1291"/>
      <c r="R848" s="1291"/>
      <c r="S848" s="370"/>
    </row>
    <row r="849">
      <c r="A849" s="1344" t="s">
        <v>3912</v>
      </c>
      <c r="B849" s="1436" t="s">
        <v>6528</v>
      </c>
      <c r="C849" s="288">
        <v>10.0</v>
      </c>
      <c r="D849" s="163">
        <v>140.0</v>
      </c>
      <c r="E849" s="1362">
        <v>810.0</v>
      </c>
      <c r="F849" s="587">
        <f t="shared" si="205"/>
        <v>113400</v>
      </c>
      <c r="G849" s="43">
        <f>115000*0.8</f>
        <v>92000</v>
      </c>
      <c r="H849" s="595" t="s">
        <v>3912</v>
      </c>
      <c r="I849" s="587"/>
      <c r="J849" s="1362"/>
      <c r="K849" s="587"/>
      <c r="L849" s="595"/>
      <c r="N849" s="1291"/>
      <c r="O849" s="370"/>
      <c r="P849" s="1291"/>
      <c r="Q849" s="1291"/>
      <c r="R849" s="1291"/>
      <c r="S849" s="370"/>
    </row>
    <row r="850">
      <c r="A850" s="1344" t="s">
        <v>515</v>
      </c>
      <c r="B850" s="1436" t="s">
        <v>6593</v>
      </c>
      <c r="C850" s="288">
        <v>10.0</v>
      </c>
      <c r="D850" s="163">
        <v>30.0</v>
      </c>
      <c r="E850" s="1362">
        <v>810.0</v>
      </c>
      <c r="F850" s="587">
        <f t="shared" si="205"/>
        <v>24300</v>
      </c>
      <c r="G850" s="26">
        <v>58000.0</v>
      </c>
      <c r="H850" s="595" t="s">
        <v>2799</v>
      </c>
      <c r="I850" s="587"/>
      <c r="J850" s="1362"/>
      <c r="K850" s="587"/>
      <c r="L850" s="595"/>
      <c r="N850" s="1291"/>
      <c r="O850" s="370"/>
      <c r="P850" s="1291"/>
      <c r="Q850" s="1291"/>
      <c r="R850" s="1291"/>
      <c r="S850" s="370"/>
    </row>
    <row r="851">
      <c r="A851" s="1344"/>
      <c r="B851" s="1436" t="s">
        <v>6529</v>
      </c>
      <c r="C851" s="288">
        <v>5.0</v>
      </c>
      <c r="D851" s="163">
        <v>75.0</v>
      </c>
      <c r="E851" s="1362">
        <v>810.0</v>
      </c>
      <c r="F851" s="587">
        <f t="shared" si="205"/>
        <v>60750</v>
      </c>
      <c r="G851" s="44">
        <f>80750*0.8</f>
        <v>64600</v>
      </c>
      <c r="H851" s="587"/>
      <c r="I851" s="587"/>
      <c r="J851" s="1362"/>
      <c r="K851" s="587"/>
      <c r="L851" s="595"/>
      <c r="N851" s="1291"/>
      <c r="O851" s="370"/>
      <c r="P851" s="1291"/>
      <c r="Q851" s="1291"/>
      <c r="R851" s="1291"/>
      <c r="S851" s="370"/>
    </row>
    <row r="852">
      <c r="A852" s="1344"/>
      <c r="B852" s="1040" t="s">
        <v>2519</v>
      </c>
      <c r="C852" s="288">
        <v>5.0</v>
      </c>
      <c r="D852" s="163">
        <v>36.0</v>
      </c>
      <c r="E852" s="1362">
        <v>810.0</v>
      </c>
      <c r="F852" s="587">
        <f t="shared" si="205"/>
        <v>29160</v>
      </c>
      <c r="G852" s="43">
        <f>45000*0.8</f>
        <v>36000</v>
      </c>
      <c r="H852" s="595" t="s">
        <v>3912</v>
      </c>
      <c r="I852" s="587"/>
      <c r="J852" s="1362"/>
      <c r="K852" s="587"/>
      <c r="L852" s="595"/>
      <c r="N852" s="1291"/>
      <c r="O852" s="370"/>
      <c r="P852" s="1291"/>
      <c r="Q852" s="1291"/>
      <c r="R852" s="1291"/>
      <c r="S852" s="370"/>
    </row>
    <row r="853">
      <c r="A853" s="1344"/>
      <c r="B853" s="1339" t="s">
        <v>6378</v>
      </c>
      <c r="C853" s="288">
        <v>10.0</v>
      </c>
      <c r="D853" s="163">
        <v>20.0</v>
      </c>
      <c r="E853" s="1362">
        <v>810.0</v>
      </c>
      <c r="F853" s="587">
        <f t="shared" si="205"/>
        <v>16200</v>
      </c>
      <c r="G853" s="44">
        <v>28800.0</v>
      </c>
      <c r="H853" s="595" t="s">
        <v>2799</v>
      </c>
      <c r="I853" s="587"/>
      <c r="J853" s="1362"/>
      <c r="K853" s="587"/>
      <c r="L853" s="595"/>
      <c r="N853" s="1291"/>
      <c r="O853" s="370"/>
      <c r="P853" s="1291"/>
      <c r="Q853" s="1291"/>
      <c r="R853" s="1291"/>
      <c r="S853" s="370"/>
    </row>
    <row r="854">
      <c r="A854" s="1344"/>
      <c r="B854" s="1339" t="s">
        <v>6379</v>
      </c>
      <c r="C854" s="288">
        <v>10.0</v>
      </c>
      <c r="D854" s="163">
        <v>20.0</v>
      </c>
      <c r="E854" s="1362">
        <v>810.0</v>
      </c>
      <c r="F854" s="587">
        <f t="shared" si="205"/>
        <v>16200</v>
      </c>
      <c r="G854" s="44">
        <v>28800.0</v>
      </c>
      <c r="H854" s="595" t="s">
        <v>2799</v>
      </c>
      <c r="I854" s="587"/>
      <c r="J854" s="1362"/>
      <c r="K854" s="587"/>
      <c r="L854" s="595"/>
      <c r="N854" s="1291"/>
      <c r="O854" s="370"/>
      <c r="P854" s="1291"/>
      <c r="Q854" s="1291"/>
      <c r="R854" s="1291"/>
      <c r="S854" s="370"/>
    </row>
    <row r="855">
      <c r="A855" s="1344"/>
      <c r="B855" s="1339" t="s">
        <v>6380</v>
      </c>
      <c r="C855" s="288">
        <v>8.0</v>
      </c>
      <c r="D855" s="163">
        <v>20.0</v>
      </c>
      <c r="E855" s="1362">
        <v>810.0</v>
      </c>
      <c r="F855" s="587">
        <f t="shared" si="205"/>
        <v>16200</v>
      </c>
      <c r="G855" s="44">
        <v>28800.0</v>
      </c>
      <c r="H855" s="595" t="s">
        <v>2799</v>
      </c>
      <c r="I855" s="587"/>
      <c r="J855" s="1362"/>
      <c r="K855" s="587"/>
      <c r="L855" s="595"/>
      <c r="N855" s="1291"/>
      <c r="O855" s="370"/>
      <c r="P855" s="1291"/>
      <c r="Q855" s="1291"/>
      <c r="R855" s="1291"/>
      <c r="S855" s="370"/>
    </row>
    <row r="856">
      <c r="A856" s="1344" t="s">
        <v>515</v>
      </c>
      <c r="B856" s="1339" t="s">
        <v>824</v>
      </c>
      <c r="C856" s="288">
        <v>10.0</v>
      </c>
      <c r="D856" s="163">
        <v>12.0</v>
      </c>
      <c r="E856" s="1362">
        <v>810.0</v>
      </c>
      <c r="F856" s="587">
        <f t="shared" si="205"/>
        <v>9720</v>
      </c>
      <c r="G856" s="43">
        <f t="shared" ref="G856:G858" si="207">13600*1.19</f>
        <v>16184</v>
      </c>
      <c r="H856" s="595" t="s">
        <v>1098</v>
      </c>
      <c r="I856" s="587">
        <f t="shared" ref="I856:I864" si="208">F856-G856</f>
        <v>-6464</v>
      </c>
      <c r="J856" s="1362"/>
      <c r="K856" s="587"/>
      <c r="L856" s="595"/>
      <c r="N856" s="1291"/>
      <c r="O856" s="370"/>
      <c r="P856" s="1291"/>
      <c r="Q856" s="1291"/>
      <c r="R856" s="1291"/>
      <c r="S856" s="370"/>
    </row>
    <row r="857">
      <c r="A857" s="1344" t="s">
        <v>515</v>
      </c>
      <c r="B857" s="1339" t="s">
        <v>825</v>
      </c>
      <c r="C857" s="288">
        <v>20.0</v>
      </c>
      <c r="D857" s="163">
        <v>12.0</v>
      </c>
      <c r="E857" s="1362">
        <v>810.0</v>
      </c>
      <c r="F857" s="587">
        <f t="shared" si="205"/>
        <v>9720</v>
      </c>
      <c r="G857" s="43">
        <f t="shared" si="207"/>
        <v>16184</v>
      </c>
      <c r="H857" s="595" t="s">
        <v>1098</v>
      </c>
      <c r="I857" s="587">
        <f t="shared" si="208"/>
        <v>-6464</v>
      </c>
      <c r="J857" s="1362"/>
      <c r="K857" s="587"/>
      <c r="L857" s="595"/>
      <c r="N857" s="1291"/>
      <c r="O857" s="370"/>
      <c r="P857" s="1291"/>
      <c r="Q857" s="1291"/>
      <c r="R857" s="1291"/>
      <c r="S857" s="370"/>
    </row>
    <row r="858">
      <c r="A858" s="1344" t="s">
        <v>515</v>
      </c>
      <c r="B858" s="1339" t="s">
        <v>826</v>
      </c>
      <c r="C858" s="288">
        <v>20.0</v>
      </c>
      <c r="D858" s="163">
        <v>12.0</v>
      </c>
      <c r="E858" s="1362">
        <v>810.0</v>
      </c>
      <c r="F858" s="587">
        <f t="shared" si="205"/>
        <v>9720</v>
      </c>
      <c r="G858" s="43">
        <f t="shared" si="207"/>
        <v>16184</v>
      </c>
      <c r="H858" s="595" t="s">
        <v>1098</v>
      </c>
      <c r="I858" s="587">
        <f t="shared" si="208"/>
        <v>-6464</v>
      </c>
      <c r="J858" s="1362"/>
      <c r="K858" s="587"/>
      <c r="L858" s="595"/>
      <c r="N858" s="1291"/>
      <c r="O858" s="370"/>
      <c r="P858" s="1291"/>
      <c r="Q858" s="1291"/>
      <c r="R858" s="1291"/>
      <c r="S858" s="370"/>
    </row>
    <row r="859">
      <c r="A859" s="1344"/>
      <c r="B859" s="167" t="s">
        <v>6362</v>
      </c>
      <c r="C859" s="288">
        <v>30.0</v>
      </c>
      <c r="D859" s="163">
        <v>32.0</v>
      </c>
      <c r="E859" s="1362">
        <v>810.0</v>
      </c>
      <c r="F859" s="587">
        <f t="shared" si="205"/>
        <v>25920</v>
      </c>
      <c r="G859" s="48">
        <f>15423*1.19</f>
        <v>18353.37</v>
      </c>
      <c r="H859" s="595"/>
      <c r="I859" s="587">
        <f t="shared" si="208"/>
        <v>7566.63</v>
      </c>
      <c r="J859" s="1362"/>
      <c r="K859" s="587"/>
      <c r="L859" s="595"/>
      <c r="N859" s="1291"/>
      <c r="O859" s="370"/>
      <c r="P859" s="1291"/>
      <c r="Q859" s="1291"/>
      <c r="R859" s="1291"/>
      <c r="S859" s="370"/>
    </row>
    <row r="860">
      <c r="A860" s="1344"/>
      <c r="B860" s="1439" t="s">
        <v>6507</v>
      </c>
      <c r="C860" s="288">
        <v>10.0</v>
      </c>
      <c r="D860" s="163">
        <v>12.0</v>
      </c>
      <c r="E860" s="1362">
        <v>810.0</v>
      </c>
      <c r="F860" s="587">
        <f t="shared" si="205"/>
        <v>9720</v>
      </c>
      <c r="G860" s="43">
        <f t="shared" ref="G860:G863" si="209">9600/10</f>
        <v>960</v>
      </c>
      <c r="H860" s="595" t="s">
        <v>1098</v>
      </c>
      <c r="I860" s="587">
        <f t="shared" si="208"/>
        <v>8760</v>
      </c>
      <c r="J860" s="1362"/>
      <c r="K860" s="587"/>
      <c r="L860" s="595"/>
      <c r="N860" s="1291"/>
      <c r="O860" s="370"/>
      <c r="P860" s="1291"/>
      <c r="Q860" s="1291"/>
      <c r="R860" s="1291"/>
      <c r="S860" s="370"/>
    </row>
    <row r="861">
      <c r="A861" s="1344"/>
      <c r="B861" s="1439" t="s">
        <v>6508</v>
      </c>
      <c r="C861" s="288">
        <v>10.0</v>
      </c>
      <c r="D861" s="163">
        <v>12.0</v>
      </c>
      <c r="E861" s="1362">
        <v>810.0</v>
      </c>
      <c r="F861" s="587">
        <f t="shared" si="205"/>
        <v>9720</v>
      </c>
      <c r="G861" s="43">
        <f t="shared" si="209"/>
        <v>960</v>
      </c>
      <c r="H861" s="595" t="s">
        <v>1098</v>
      </c>
      <c r="I861" s="587">
        <f t="shared" si="208"/>
        <v>8760</v>
      </c>
      <c r="J861" s="1362"/>
      <c r="K861" s="587"/>
      <c r="L861" s="595"/>
      <c r="N861" s="1291"/>
      <c r="O861" s="370"/>
      <c r="P861" s="1291"/>
      <c r="Q861" s="1291"/>
      <c r="R861" s="1291"/>
      <c r="S861" s="370"/>
    </row>
    <row r="862">
      <c r="A862" s="1344"/>
      <c r="B862" s="1439" t="s">
        <v>6509</v>
      </c>
      <c r="C862" s="288">
        <v>10.0</v>
      </c>
      <c r="D862" s="163">
        <v>12.0</v>
      </c>
      <c r="E862" s="1362">
        <v>810.0</v>
      </c>
      <c r="F862" s="587">
        <f t="shared" si="205"/>
        <v>9720</v>
      </c>
      <c r="G862" s="43">
        <f t="shared" si="209"/>
        <v>960</v>
      </c>
      <c r="H862" s="595" t="s">
        <v>1098</v>
      </c>
      <c r="I862" s="587">
        <f t="shared" si="208"/>
        <v>8760</v>
      </c>
      <c r="J862" s="1362"/>
      <c r="K862" s="587"/>
      <c r="L862" s="595"/>
      <c r="N862" s="1291"/>
      <c r="O862" s="370"/>
      <c r="P862" s="1291"/>
      <c r="Q862" s="1291"/>
      <c r="R862" s="1291"/>
      <c r="S862" s="370"/>
    </row>
    <row r="863">
      <c r="A863" s="1344"/>
      <c r="B863" s="1439" t="s">
        <v>6510</v>
      </c>
      <c r="C863" s="288">
        <v>10.0</v>
      </c>
      <c r="D863" s="163">
        <v>12.0</v>
      </c>
      <c r="E863" s="1362">
        <v>810.0</v>
      </c>
      <c r="F863" s="587">
        <f t="shared" si="205"/>
        <v>9720</v>
      </c>
      <c r="G863" s="43">
        <f t="shared" si="209"/>
        <v>960</v>
      </c>
      <c r="H863" s="595" t="s">
        <v>1098</v>
      </c>
      <c r="I863" s="587">
        <f t="shared" si="208"/>
        <v>8760</v>
      </c>
      <c r="J863" s="1362"/>
      <c r="K863" s="587"/>
      <c r="L863" s="595"/>
      <c r="N863" s="1291"/>
      <c r="O863" s="370"/>
      <c r="P863" s="1291"/>
      <c r="Q863" s="1291"/>
      <c r="R863" s="1291"/>
      <c r="S863" s="370"/>
    </row>
    <row r="864">
      <c r="A864" s="1344"/>
      <c r="B864" s="1387" t="s">
        <v>6530</v>
      </c>
      <c r="C864" s="288">
        <v>10.0</v>
      </c>
      <c r="D864" s="163">
        <v>13.0</v>
      </c>
      <c r="E864" s="1362">
        <v>810.0</v>
      </c>
      <c r="F864" s="587">
        <f t="shared" si="205"/>
        <v>10530</v>
      </c>
      <c r="G864" s="113">
        <f>9800/10</f>
        <v>980</v>
      </c>
      <c r="H864" s="595" t="s">
        <v>1098</v>
      </c>
      <c r="I864" s="587">
        <f t="shared" si="208"/>
        <v>9550</v>
      </c>
      <c r="J864" s="1362"/>
      <c r="K864" s="587"/>
      <c r="L864" s="595"/>
      <c r="N864" s="1291"/>
      <c r="O864" s="370"/>
      <c r="P864" s="1291"/>
      <c r="Q864" s="1291"/>
      <c r="R864" s="1291"/>
      <c r="S864" s="370"/>
    </row>
    <row r="865">
      <c r="A865" s="1344"/>
      <c r="C865" s="280"/>
      <c r="D865" s="587"/>
      <c r="E865" s="1319"/>
      <c r="F865" s="587"/>
      <c r="G865" s="587"/>
      <c r="H865" s="587"/>
      <c r="I865" s="587"/>
      <c r="J865" s="1362"/>
      <c r="K865" s="587"/>
      <c r="L865" s="595"/>
      <c r="N865" s="1291"/>
      <c r="O865" s="370"/>
      <c r="P865" s="1291"/>
      <c r="Q865" s="1291"/>
      <c r="R865" s="1291"/>
      <c r="S865" s="370"/>
    </row>
    <row r="866">
      <c r="A866" s="1344"/>
      <c r="C866" s="280"/>
      <c r="D866" s="587"/>
      <c r="E866" s="1319"/>
      <c r="F866" s="587"/>
      <c r="G866" s="587"/>
      <c r="H866" s="587"/>
      <c r="I866" s="587"/>
      <c r="J866" s="1362"/>
      <c r="K866" s="587"/>
      <c r="L866" s="595"/>
      <c r="N866" s="1291"/>
      <c r="O866" s="370"/>
      <c r="P866" s="1291"/>
      <c r="Q866" s="1291"/>
      <c r="R866" s="1291"/>
      <c r="S866" s="370"/>
    </row>
    <row r="867">
      <c r="A867" s="1344"/>
      <c r="B867" s="126"/>
      <c r="C867" s="287"/>
      <c r="D867" s="163" t="s">
        <v>6442</v>
      </c>
      <c r="E867" s="1362" t="s">
        <v>6594</v>
      </c>
      <c r="F867" s="587"/>
      <c r="G867" s="587"/>
      <c r="H867" s="587"/>
      <c r="I867" s="587"/>
      <c r="J867" s="1362"/>
      <c r="K867" s="587"/>
      <c r="L867" s="595"/>
      <c r="N867" s="1291"/>
      <c r="O867" s="370"/>
      <c r="P867" s="1291"/>
      <c r="Q867" s="1291"/>
      <c r="R867" s="1291"/>
      <c r="S867" s="370"/>
    </row>
    <row r="868">
      <c r="A868" s="1344"/>
      <c r="B868" s="1391" t="s">
        <v>6589</v>
      </c>
      <c r="C868" s="288">
        <v>50.0</v>
      </c>
      <c r="D868" s="163">
        <v>99.9</v>
      </c>
      <c r="E868" s="1362">
        <f t="shared" ref="E868:E874" si="210">C868*D868</f>
        <v>4995</v>
      </c>
      <c r="F868" s="595">
        <v>830.0</v>
      </c>
      <c r="G868" s="587">
        <f t="shared" ref="G868:G874" si="211">D868*F868</f>
        <v>82917</v>
      </c>
      <c r="H868" s="587">
        <f t="shared" ref="H868:H874" si="212">E868*F868</f>
        <v>4145850</v>
      </c>
      <c r="I868" s="587"/>
      <c r="J868" s="1362"/>
      <c r="K868" s="587"/>
      <c r="L868" s="595"/>
      <c r="N868" s="1291"/>
      <c r="O868" s="370"/>
      <c r="P868" s="1291"/>
      <c r="Q868" s="1291"/>
      <c r="R868" s="1291"/>
      <c r="S868" s="370"/>
    </row>
    <row r="869">
      <c r="A869" s="1344"/>
      <c r="B869" s="1391" t="s">
        <v>6403</v>
      </c>
      <c r="C869" s="288">
        <v>5.0</v>
      </c>
      <c r="D869" s="163">
        <v>104.0</v>
      </c>
      <c r="E869" s="1362">
        <f t="shared" si="210"/>
        <v>520</v>
      </c>
      <c r="F869" s="595">
        <v>830.0</v>
      </c>
      <c r="G869" s="587">
        <f t="shared" si="211"/>
        <v>86320</v>
      </c>
      <c r="H869" s="587">
        <f t="shared" si="212"/>
        <v>431600</v>
      </c>
      <c r="I869" s="587"/>
      <c r="J869" s="1362"/>
      <c r="K869" s="587"/>
      <c r="L869" s="595"/>
      <c r="N869" s="1291"/>
      <c r="O869" s="370"/>
      <c r="P869" s="1291"/>
      <c r="Q869" s="1291"/>
      <c r="R869" s="1291"/>
      <c r="S869" s="370"/>
    </row>
    <row r="870">
      <c r="A870" s="1344"/>
      <c r="B870" s="1391" t="s">
        <v>6584</v>
      </c>
      <c r="C870" s="288">
        <v>5.0</v>
      </c>
      <c r="D870" s="163">
        <v>104.0</v>
      </c>
      <c r="E870" s="1362">
        <f t="shared" si="210"/>
        <v>520</v>
      </c>
      <c r="F870" s="595">
        <v>830.0</v>
      </c>
      <c r="G870" s="587">
        <f t="shared" si="211"/>
        <v>86320</v>
      </c>
      <c r="H870" s="587">
        <f t="shared" si="212"/>
        <v>431600</v>
      </c>
      <c r="I870" s="587"/>
      <c r="J870" s="1362"/>
      <c r="K870" s="587"/>
      <c r="L870" s="595"/>
      <c r="N870" s="1291"/>
      <c r="O870" s="370"/>
      <c r="P870" s="1291"/>
      <c r="Q870" s="1291"/>
      <c r="R870" s="1291"/>
      <c r="S870" s="370"/>
    </row>
    <row r="871">
      <c r="A871" s="1344"/>
      <c r="B871" s="1440" t="s">
        <v>6593</v>
      </c>
      <c r="C871" s="288">
        <v>10.0</v>
      </c>
      <c r="D871" s="163">
        <v>30.0</v>
      </c>
      <c r="E871" s="1362">
        <f t="shared" si="210"/>
        <v>300</v>
      </c>
      <c r="F871" s="595">
        <v>830.0</v>
      </c>
      <c r="G871" s="587">
        <f t="shared" si="211"/>
        <v>24900</v>
      </c>
      <c r="H871" s="587">
        <f t="shared" si="212"/>
        <v>249000</v>
      </c>
      <c r="I871" s="587"/>
      <c r="J871" s="1362"/>
      <c r="K871" s="587"/>
      <c r="L871" s="595"/>
      <c r="N871" s="1291"/>
      <c r="O871" s="370"/>
      <c r="P871" s="1291"/>
      <c r="Q871" s="1291"/>
      <c r="R871" s="1291"/>
      <c r="S871" s="370"/>
    </row>
    <row r="872">
      <c r="A872" s="1344"/>
      <c r="B872" s="167" t="s">
        <v>6595</v>
      </c>
      <c r="C872" s="288">
        <v>75.0</v>
      </c>
      <c r="D872" s="163">
        <v>20.0</v>
      </c>
      <c r="E872" s="1362">
        <f t="shared" si="210"/>
        <v>1500</v>
      </c>
      <c r="F872" s="595">
        <v>830.0</v>
      </c>
      <c r="G872" s="587">
        <f t="shared" si="211"/>
        <v>16600</v>
      </c>
      <c r="H872" s="587">
        <f t="shared" si="212"/>
        <v>1245000</v>
      </c>
      <c r="I872" s="587"/>
      <c r="J872" s="1362"/>
      <c r="K872" s="587"/>
      <c r="L872" s="595"/>
      <c r="N872" s="1291"/>
      <c r="O872" s="370"/>
      <c r="P872" s="1291"/>
      <c r="Q872" s="1291"/>
      <c r="R872" s="1291"/>
      <c r="S872" s="370"/>
    </row>
    <row r="873">
      <c r="A873" s="1344"/>
      <c r="B873" s="1339" t="s">
        <v>826</v>
      </c>
      <c r="C873" s="288">
        <v>50.0</v>
      </c>
      <c r="D873" s="163">
        <v>15.0</v>
      </c>
      <c r="E873" s="1362">
        <f t="shared" si="210"/>
        <v>750</v>
      </c>
      <c r="F873" s="595">
        <v>830.0</v>
      </c>
      <c r="G873" s="587">
        <f t="shared" si="211"/>
        <v>12450</v>
      </c>
      <c r="H873" s="587">
        <f t="shared" si="212"/>
        <v>622500</v>
      </c>
      <c r="I873" s="587"/>
      <c r="J873" s="1362"/>
      <c r="K873" s="587"/>
      <c r="L873" s="595"/>
      <c r="N873" s="1291"/>
      <c r="O873" s="370"/>
      <c r="P873" s="1291"/>
      <c r="Q873" s="1291"/>
      <c r="R873" s="1291"/>
      <c r="S873" s="370"/>
    </row>
    <row r="874">
      <c r="A874" s="1344"/>
      <c r="B874" s="1439" t="s">
        <v>6507</v>
      </c>
      <c r="C874" s="288">
        <v>50.0</v>
      </c>
      <c r="D874" s="163">
        <v>14.0</v>
      </c>
      <c r="E874" s="1362">
        <f t="shared" si="210"/>
        <v>700</v>
      </c>
      <c r="F874" s="595">
        <v>830.0</v>
      </c>
      <c r="G874" s="587">
        <f t="shared" si="211"/>
        <v>11620</v>
      </c>
      <c r="H874" s="587">
        <f t="shared" si="212"/>
        <v>581000</v>
      </c>
      <c r="I874" s="587"/>
      <c r="J874" s="1362"/>
      <c r="K874" s="587"/>
      <c r="L874" s="595"/>
      <c r="N874" s="1291"/>
      <c r="O874" s="370"/>
      <c r="P874" s="1291"/>
      <c r="Q874" s="1291"/>
      <c r="R874" s="1291"/>
      <c r="S874" s="370"/>
    </row>
    <row r="875">
      <c r="A875" s="1344"/>
      <c r="C875" s="280"/>
      <c r="D875" s="587"/>
      <c r="E875" s="1319"/>
      <c r="F875" s="587"/>
      <c r="G875" s="587"/>
      <c r="H875" s="587"/>
      <c r="I875" s="587"/>
      <c r="J875" s="1362"/>
      <c r="K875" s="587"/>
      <c r="L875" s="595"/>
      <c r="N875" s="1291"/>
      <c r="O875" s="370"/>
      <c r="P875" s="1291"/>
      <c r="Q875" s="1291"/>
      <c r="R875" s="1291"/>
      <c r="S875" s="370"/>
    </row>
    <row r="876">
      <c r="A876" s="1344"/>
      <c r="C876" s="280"/>
      <c r="D876" s="587"/>
      <c r="E876" s="1319">
        <f>SUM(E868:E874)</f>
        <v>9285</v>
      </c>
      <c r="F876" s="1362">
        <v>830.0</v>
      </c>
      <c r="G876" s="1319"/>
      <c r="H876" s="587">
        <f>E876*F876</f>
        <v>7706550</v>
      </c>
      <c r="I876" s="587"/>
      <c r="J876" s="1362"/>
      <c r="K876" s="587"/>
      <c r="L876" s="595"/>
      <c r="N876" s="1291"/>
      <c r="O876" s="370"/>
      <c r="P876" s="1291"/>
      <c r="Q876" s="1291"/>
      <c r="R876" s="1291"/>
      <c r="S876" s="370"/>
    </row>
    <row r="877">
      <c r="A877" s="1344"/>
      <c r="C877" s="280"/>
      <c r="D877" s="587"/>
      <c r="E877" s="1319"/>
      <c r="F877" s="587"/>
      <c r="G877" s="587"/>
      <c r="H877" s="587"/>
      <c r="I877" s="587"/>
      <c r="J877" s="1362"/>
      <c r="K877" s="587"/>
      <c r="L877" s="595"/>
      <c r="N877" s="1291"/>
      <c r="O877" s="370"/>
      <c r="P877" s="1291"/>
      <c r="Q877" s="1291"/>
      <c r="R877" s="1291"/>
      <c r="S877" s="370"/>
    </row>
    <row r="878">
      <c r="A878" s="1441"/>
      <c r="B878" s="448" t="s">
        <v>6596</v>
      </c>
      <c r="C878" s="326">
        <v>15.0</v>
      </c>
      <c r="D878" s="477"/>
      <c r="E878" s="1442"/>
      <c r="F878" s="477"/>
      <c r="G878" s="477"/>
      <c r="H878" s="477"/>
      <c r="I878" s="477"/>
      <c r="J878" s="1443"/>
      <c r="K878" s="477"/>
      <c r="L878" s="490"/>
      <c r="M878" s="371"/>
      <c r="N878" s="1444"/>
      <c r="O878" s="1445"/>
      <c r="P878" s="1444"/>
      <c r="Q878" s="1444"/>
      <c r="R878" s="1444"/>
      <c r="S878" s="1445"/>
      <c r="T878" s="371"/>
      <c r="U878" s="371"/>
      <c r="V878" s="371"/>
      <c r="W878" s="371"/>
      <c r="X878" s="371"/>
      <c r="Y878" s="371"/>
      <c r="Z878" s="371"/>
      <c r="AA878" s="371"/>
      <c r="AB878" s="371"/>
      <c r="AC878" s="371"/>
    </row>
    <row r="879">
      <c r="A879" s="1441"/>
      <c r="B879" s="448" t="s">
        <v>6597</v>
      </c>
      <c r="C879" s="326">
        <v>30.0</v>
      </c>
      <c r="D879" s="477"/>
      <c r="E879" s="1442"/>
      <c r="F879" s="477"/>
      <c r="G879" s="477"/>
      <c r="H879" s="477"/>
      <c r="I879" s="477"/>
      <c r="J879" s="1443"/>
      <c r="K879" s="477"/>
      <c r="L879" s="490"/>
      <c r="M879" s="371"/>
      <c r="N879" s="1444"/>
      <c r="O879" s="1445"/>
      <c r="P879" s="1444"/>
      <c r="Q879" s="1444"/>
      <c r="R879" s="1444"/>
      <c r="S879" s="1445"/>
      <c r="T879" s="371"/>
      <c r="U879" s="371"/>
      <c r="V879" s="371"/>
      <c r="W879" s="371"/>
      <c r="X879" s="371"/>
      <c r="Y879" s="371"/>
      <c r="Z879" s="371"/>
      <c r="AA879" s="371"/>
      <c r="AB879" s="371"/>
      <c r="AC879" s="371"/>
    </row>
    <row r="880" ht="18.0" customHeight="1">
      <c r="A880" s="1441"/>
      <c r="B880" s="448" t="s">
        <v>6598</v>
      </c>
      <c r="C880" s="326">
        <v>69.0</v>
      </c>
      <c r="D880" s="477"/>
      <c r="E880" s="1442"/>
      <c r="F880" s="477"/>
      <c r="G880" s="477"/>
      <c r="H880" s="477"/>
      <c r="I880" s="477"/>
      <c r="J880" s="1443"/>
      <c r="K880" s="477"/>
      <c r="L880" s="490"/>
      <c r="M880" s="371"/>
      <c r="N880" s="1444"/>
      <c r="O880" s="1445"/>
      <c r="P880" s="1444"/>
      <c r="Q880" s="1444"/>
      <c r="R880" s="1444"/>
      <c r="S880" s="1445"/>
      <c r="T880" s="371"/>
      <c r="U880" s="371"/>
      <c r="V880" s="371"/>
      <c r="W880" s="371"/>
      <c r="X880" s="371"/>
      <c r="Y880" s="371"/>
      <c r="Z880" s="371"/>
      <c r="AA880" s="371"/>
      <c r="AB880" s="371"/>
      <c r="AC880" s="371"/>
    </row>
    <row r="881">
      <c r="A881" s="1441"/>
      <c r="B881" s="1446" t="s">
        <v>6507</v>
      </c>
      <c r="C881" s="326">
        <v>10.0</v>
      </c>
      <c r="D881" s="477"/>
      <c r="E881" s="1442"/>
      <c r="F881" s="477"/>
      <c r="G881" s="477"/>
      <c r="H881" s="477"/>
      <c r="I881" s="477"/>
      <c r="J881" s="1443"/>
      <c r="K881" s="477"/>
      <c r="L881" s="490"/>
      <c r="M881" s="371"/>
      <c r="N881" s="1444"/>
      <c r="O881" s="1445"/>
      <c r="P881" s="1444"/>
      <c r="Q881" s="1444"/>
      <c r="R881" s="1444"/>
      <c r="S881" s="1445"/>
      <c r="T881" s="371"/>
      <c r="U881" s="371"/>
      <c r="V881" s="371"/>
      <c r="W881" s="371"/>
      <c r="X881" s="371"/>
      <c r="Y881" s="371"/>
      <c r="Z881" s="371"/>
      <c r="AA881" s="371"/>
      <c r="AB881" s="371"/>
      <c r="AC881" s="371"/>
    </row>
    <row r="882">
      <c r="A882" s="1441"/>
      <c r="B882" s="1446" t="s">
        <v>6508</v>
      </c>
      <c r="C882" s="326">
        <v>10.0</v>
      </c>
      <c r="D882" s="477"/>
      <c r="E882" s="1442"/>
      <c r="F882" s="477"/>
      <c r="G882" s="477"/>
      <c r="H882" s="477"/>
      <c r="I882" s="477"/>
      <c r="J882" s="1443"/>
      <c r="K882" s="477"/>
      <c r="L882" s="490"/>
      <c r="M882" s="371"/>
      <c r="N882" s="1444"/>
      <c r="O882" s="1445"/>
      <c r="P882" s="1444"/>
      <c r="Q882" s="1444"/>
      <c r="R882" s="1444"/>
      <c r="S882" s="1445"/>
      <c r="T882" s="371"/>
      <c r="U882" s="371"/>
      <c r="V882" s="371"/>
      <c r="W882" s="371"/>
      <c r="X882" s="371"/>
      <c r="Y882" s="371"/>
      <c r="Z882" s="371"/>
      <c r="AA882" s="371"/>
      <c r="AB882" s="371"/>
      <c r="AC882" s="371"/>
    </row>
    <row r="883">
      <c r="A883" s="1441"/>
      <c r="B883" s="1446" t="s">
        <v>6509</v>
      </c>
      <c r="C883" s="326">
        <v>10.0</v>
      </c>
      <c r="D883" s="477"/>
      <c r="E883" s="1442"/>
      <c r="F883" s="477"/>
      <c r="G883" s="477"/>
      <c r="H883" s="477"/>
      <c r="I883" s="477"/>
      <c r="J883" s="1443"/>
      <c r="K883" s="477"/>
      <c r="L883" s="490"/>
      <c r="M883" s="371"/>
      <c r="N883" s="1444"/>
      <c r="O883" s="1445"/>
      <c r="P883" s="1444"/>
      <c r="Q883" s="1444"/>
      <c r="R883" s="1444"/>
      <c r="S883" s="1445"/>
      <c r="T883" s="371"/>
      <c r="U883" s="371"/>
      <c r="V883" s="371"/>
      <c r="W883" s="371"/>
      <c r="X883" s="371"/>
      <c r="Y883" s="371"/>
      <c r="Z883" s="371"/>
      <c r="AA883" s="371"/>
      <c r="AB883" s="371"/>
      <c r="AC883" s="371"/>
    </row>
    <row r="884">
      <c r="A884" s="1441"/>
      <c r="B884" s="1446" t="s">
        <v>6510</v>
      </c>
      <c r="C884" s="326">
        <v>30.0</v>
      </c>
      <c r="D884" s="477"/>
      <c r="E884" s="1442"/>
      <c r="F884" s="477"/>
      <c r="G884" s="477"/>
      <c r="H884" s="477"/>
      <c r="I884" s="477"/>
      <c r="J884" s="1443"/>
      <c r="K884" s="477"/>
      <c r="L884" s="490"/>
      <c r="M884" s="371"/>
      <c r="N884" s="1444"/>
      <c r="O884" s="1445"/>
      <c r="P884" s="1444"/>
      <c r="Q884" s="1444"/>
      <c r="R884" s="1444"/>
      <c r="S884" s="1445"/>
      <c r="T884" s="371"/>
      <c r="U884" s="371"/>
      <c r="V884" s="371"/>
      <c r="W884" s="371"/>
      <c r="X884" s="371"/>
      <c r="Y884" s="371"/>
      <c r="Z884" s="371"/>
      <c r="AA884" s="371"/>
      <c r="AB884" s="371"/>
      <c r="AC884" s="371"/>
    </row>
    <row r="885">
      <c r="A885" s="1344"/>
      <c r="B885" s="167" t="s">
        <v>6595</v>
      </c>
      <c r="C885" s="288">
        <v>40.0</v>
      </c>
      <c r="D885" s="587"/>
      <c r="E885" s="1319"/>
      <c r="F885" s="587"/>
      <c r="G885" s="587"/>
      <c r="H885" s="587"/>
      <c r="I885" s="587"/>
      <c r="J885" s="1362"/>
      <c r="K885" s="587"/>
      <c r="L885" s="595"/>
      <c r="N885" s="1291"/>
      <c r="O885" s="370"/>
      <c r="P885" s="1291"/>
      <c r="Q885" s="1291"/>
      <c r="R885" s="1291"/>
      <c r="S885" s="370"/>
    </row>
    <row r="886">
      <c r="A886" s="1344"/>
      <c r="C886" s="280"/>
      <c r="D886" s="587"/>
      <c r="E886" s="1319"/>
      <c r="F886" s="587"/>
      <c r="G886" s="587"/>
      <c r="H886" s="587"/>
      <c r="I886" s="587"/>
      <c r="J886" s="1362"/>
      <c r="K886" s="587"/>
      <c r="L886" s="595"/>
      <c r="N886" s="1291"/>
      <c r="O886" s="370"/>
      <c r="P886" s="1291"/>
      <c r="Q886" s="1291"/>
      <c r="R886" s="1291"/>
      <c r="S886" s="370"/>
    </row>
    <row r="887">
      <c r="A887" s="1344"/>
      <c r="C887" s="280"/>
      <c r="D887" s="587"/>
      <c r="E887" s="1319"/>
      <c r="F887" s="587"/>
      <c r="G887" s="587"/>
      <c r="H887" s="587"/>
      <c r="I887" s="587"/>
      <c r="J887" s="1362"/>
      <c r="K887" s="587"/>
      <c r="L887" s="595"/>
      <c r="N887" s="1291"/>
      <c r="O887" s="370"/>
      <c r="P887" s="1291"/>
      <c r="Q887" s="1291"/>
      <c r="R887" s="1291"/>
      <c r="S887" s="370"/>
    </row>
    <row r="888">
      <c r="A888" s="1344"/>
      <c r="B888" s="1447">
        <v>45323.0</v>
      </c>
      <c r="C888" s="280"/>
      <c r="D888" s="587"/>
      <c r="E888" s="1319"/>
      <c r="F888" s="587"/>
      <c r="G888" s="587"/>
      <c r="H888" s="587"/>
      <c r="I888" s="587"/>
      <c r="J888" s="1362"/>
      <c r="K888" s="587"/>
      <c r="L888" s="595"/>
      <c r="N888" s="1291"/>
      <c r="O888" s="370"/>
      <c r="P888" s="1291"/>
      <c r="Q888" s="1291"/>
      <c r="R888" s="1291"/>
      <c r="S888" s="370"/>
    </row>
    <row r="889">
      <c r="A889" s="1344"/>
      <c r="B889" s="1448"/>
      <c r="C889" s="288" t="s">
        <v>6599</v>
      </c>
      <c r="D889" s="163" t="s">
        <v>6600</v>
      </c>
      <c r="E889" s="1319"/>
      <c r="F889" s="587"/>
      <c r="G889" s="587"/>
      <c r="H889" s="587"/>
      <c r="I889" s="587"/>
      <c r="J889" s="1362"/>
      <c r="K889" s="587"/>
      <c r="L889" s="595"/>
      <c r="N889" s="1291"/>
      <c r="O889" s="370"/>
      <c r="P889" s="1291"/>
      <c r="Q889" s="1291"/>
      <c r="R889" s="1291"/>
      <c r="S889" s="370"/>
    </row>
    <row r="890">
      <c r="A890" s="1344"/>
      <c r="B890" s="167" t="s">
        <v>6601</v>
      </c>
      <c r="C890" s="288">
        <v>48.0</v>
      </c>
      <c r="D890" s="288">
        <v>0.0</v>
      </c>
      <c r="E890" s="1319"/>
      <c r="F890" s="587"/>
      <c r="G890" s="587"/>
      <c r="H890" s="587"/>
      <c r="I890" s="587"/>
      <c r="J890" s="1362"/>
      <c r="K890" s="587"/>
      <c r="L890" s="595"/>
      <c r="N890" s="1291"/>
      <c r="O890" s="370"/>
      <c r="P890" s="1291"/>
      <c r="Q890" s="1291"/>
      <c r="R890" s="1291"/>
      <c r="S890" s="370"/>
    </row>
    <row r="891">
      <c r="A891" s="1344"/>
      <c r="B891" s="167" t="s">
        <v>6602</v>
      </c>
      <c r="C891" s="288">
        <v>16.0</v>
      </c>
      <c r="D891" s="288">
        <v>0.0</v>
      </c>
      <c r="E891" s="1319"/>
      <c r="F891" s="587"/>
      <c r="G891" s="587"/>
      <c r="H891" s="587"/>
      <c r="I891" s="595"/>
      <c r="J891" s="1362"/>
      <c r="K891" s="587"/>
      <c r="L891" s="595"/>
      <c r="N891" s="1291"/>
      <c r="O891" s="370"/>
      <c r="P891" s="1291"/>
      <c r="Q891" s="1291"/>
      <c r="R891" s="1291"/>
      <c r="S891" s="370"/>
    </row>
    <row r="892">
      <c r="A892" s="1344"/>
      <c r="B892" s="167" t="s">
        <v>6603</v>
      </c>
      <c r="C892" s="288">
        <v>8.0</v>
      </c>
      <c r="D892" s="288">
        <v>0.0</v>
      </c>
      <c r="E892" s="1319"/>
      <c r="F892" s="587"/>
      <c r="G892" s="587"/>
      <c r="H892" s="587"/>
      <c r="I892" s="595"/>
      <c r="J892" s="1362"/>
      <c r="K892" s="587"/>
      <c r="L892" s="595"/>
      <c r="N892" s="1291"/>
      <c r="O892" s="370"/>
      <c r="P892" s="1291"/>
      <c r="Q892" s="1291"/>
      <c r="R892" s="1291"/>
      <c r="S892" s="370"/>
    </row>
    <row r="893">
      <c r="A893" s="1344"/>
      <c r="B893" s="1430" t="s">
        <v>6588</v>
      </c>
      <c r="C893" s="288">
        <v>6.0</v>
      </c>
      <c r="D893" s="288">
        <v>5.0</v>
      </c>
      <c r="E893" s="1319"/>
      <c r="F893" s="587"/>
      <c r="G893" s="587"/>
      <c r="H893" s="587"/>
      <c r="I893" s="595"/>
      <c r="J893" s="1362"/>
      <c r="K893" s="587"/>
      <c r="L893" s="595"/>
      <c r="N893" s="1291"/>
      <c r="O893" s="370"/>
      <c r="P893" s="1291"/>
      <c r="Q893" s="1291"/>
      <c r="R893" s="1291"/>
      <c r="S893" s="370"/>
    </row>
    <row r="894">
      <c r="A894" s="1344"/>
      <c r="B894" s="1391" t="s">
        <v>6589</v>
      </c>
      <c r="C894" s="288">
        <v>45.0</v>
      </c>
      <c r="D894" s="288"/>
      <c r="E894" s="1319"/>
      <c r="F894" s="587"/>
      <c r="G894" s="587"/>
      <c r="H894" s="587"/>
      <c r="I894" s="595"/>
      <c r="J894" s="1362"/>
      <c r="K894" s="587"/>
      <c r="L894" s="595"/>
      <c r="N894" s="1291"/>
      <c r="O894" s="370"/>
      <c r="P894" s="1291"/>
      <c r="Q894" s="1291"/>
      <c r="R894" s="1291"/>
      <c r="S894" s="370"/>
    </row>
    <row r="895">
      <c r="A895" s="1344"/>
      <c r="B895" s="1391" t="s">
        <v>6583</v>
      </c>
      <c r="C895" s="288">
        <v>0.0</v>
      </c>
      <c r="D895" s="288">
        <v>0.0</v>
      </c>
      <c r="E895" s="1319"/>
      <c r="F895" s="587"/>
      <c r="G895" s="587"/>
      <c r="H895" s="587"/>
      <c r="I895" s="595"/>
      <c r="J895" s="1362"/>
      <c r="K895" s="587"/>
      <c r="L895" s="595"/>
      <c r="N895" s="1291"/>
      <c r="O895" s="370"/>
      <c r="P895" s="1291"/>
      <c r="Q895" s="1291"/>
      <c r="R895" s="1291"/>
      <c r="S895" s="370"/>
    </row>
    <row r="896">
      <c r="A896" s="1344"/>
      <c r="B896" s="1391" t="s">
        <v>6403</v>
      </c>
      <c r="C896" s="288">
        <v>0.0</v>
      </c>
      <c r="D896" s="288">
        <v>10.0</v>
      </c>
      <c r="E896" s="1319"/>
      <c r="F896" s="587"/>
      <c r="G896" s="587"/>
      <c r="H896" s="587"/>
      <c r="I896" s="595"/>
      <c r="J896" s="1362"/>
      <c r="K896" s="587"/>
      <c r="L896" s="595"/>
      <c r="N896" s="1291"/>
      <c r="O896" s="370"/>
      <c r="P896" s="1291"/>
      <c r="Q896" s="1291"/>
      <c r="R896" s="1291"/>
      <c r="S896" s="370"/>
    </row>
    <row r="897">
      <c r="A897" s="1344"/>
      <c r="B897" s="1391" t="s">
        <v>6584</v>
      </c>
      <c r="C897" s="288">
        <v>8.0</v>
      </c>
      <c r="D897" s="288"/>
      <c r="E897" s="1319"/>
      <c r="F897" s="587"/>
      <c r="G897" s="587"/>
      <c r="H897" s="587"/>
      <c r="I897" s="595"/>
      <c r="J897" s="1362"/>
      <c r="K897" s="587"/>
      <c r="L897" s="595"/>
      <c r="N897" s="1291"/>
      <c r="O897" s="370"/>
      <c r="P897" s="1291"/>
      <c r="Q897" s="1291"/>
      <c r="R897" s="1291"/>
      <c r="S897" s="370"/>
    </row>
    <row r="898">
      <c r="A898" s="1344"/>
      <c r="B898" s="1440" t="s">
        <v>6528</v>
      </c>
      <c r="C898" s="288">
        <v>17.0</v>
      </c>
      <c r="D898" s="288">
        <v>5.0</v>
      </c>
      <c r="E898" s="1319"/>
      <c r="F898" s="587"/>
      <c r="G898" s="587"/>
      <c r="H898" s="587"/>
      <c r="I898" s="595"/>
      <c r="J898" s="1362"/>
      <c r="K898" s="587"/>
      <c r="L898" s="595"/>
      <c r="N898" s="1291"/>
      <c r="O898" s="370"/>
      <c r="P898" s="1291"/>
      <c r="Q898" s="1291"/>
      <c r="R898" s="1291"/>
      <c r="S898" s="370"/>
    </row>
    <row r="899">
      <c r="A899" s="1344"/>
      <c r="B899" s="1440" t="s">
        <v>6529</v>
      </c>
      <c r="C899" s="288">
        <v>15.0</v>
      </c>
      <c r="D899" s="288">
        <v>5.0</v>
      </c>
      <c r="E899" s="1319"/>
      <c r="F899" s="587"/>
      <c r="G899" s="587"/>
      <c r="H899" s="587"/>
      <c r="I899" s="595"/>
      <c r="J899" s="1362"/>
      <c r="K899" s="587"/>
      <c r="L899" s="595"/>
      <c r="N899" s="1291"/>
      <c r="O899" s="370"/>
      <c r="P899" s="1291"/>
      <c r="Q899" s="1291"/>
      <c r="R899" s="1291"/>
      <c r="S899" s="370"/>
    </row>
    <row r="900">
      <c r="A900" s="1344"/>
      <c r="B900" s="1339" t="s">
        <v>824</v>
      </c>
      <c r="C900" s="288">
        <v>0.0</v>
      </c>
      <c r="D900" s="288">
        <v>10.0</v>
      </c>
      <c r="E900" s="1319"/>
      <c r="F900" s="587"/>
      <c r="G900" s="587"/>
      <c r="H900" s="587"/>
      <c r="I900" s="595"/>
      <c r="J900" s="1362"/>
      <c r="K900" s="587"/>
      <c r="L900" s="595"/>
      <c r="N900" s="1291"/>
      <c r="O900" s="370"/>
      <c r="P900" s="1291"/>
      <c r="Q900" s="1291"/>
      <c r="R900" s="1291"/>
      <c r="S900" s="370"/>
    </row>
    <row r="901">
      <c r="A901" s="1344"/>
      <c r="B901" s="1339" t="s">
        <v>825</v>
      </c>
      <c r="C901" s="288">
        <v>28.0</v>
      </c>
      <c r="D901" s="288">
        <v>0.0</v>
      </c>
      <c r="E901" s="1319"/>
      <c r="F901" s="587"/>
      <c r="G901" s="587"/>
      <c r="H901" s="587"/>
      <c r="I901" s="595"/>
      <c r="J901" s="1362"/>
      <c r="K901" s="587"/>
      <c r="L901" s="595"/>
      <c r="N901" s="1291"/>
      <c r="O901" s="370"/>
      <c r="P901" s="1291"/>
      <c r="Q901" s="1291"/>
      <c r="R901" s="1291"/>
      <c r="S901" s="370"/>
    </row>
    <row r="902">
      <c r="A902" s="1344"/>
      <c r="B902" s="1339" t="s">
        <v>826</v>
      </c>
      <c r="C902" s="288">
        <v>44.0</v>
      </c>
      <c r="D902" s="288">
        <v>0.0</v>
      </c>
      <c r="E902" s="1319"/>
      <c r="F902" s="587"/>
      <c r="G902" s="587"/>
      <c r="H902" s="587"/>
      <c r="I902" s="595"/>
      <c r="J902" s="1362"/>
      <c r="K902" s="587"/>
      <c r="L902" s="595"/>
      <c r="N902" s="1291"/>
      <c r="O902" s="370"/>
      <c r="P902" s="1291"/>
      <c r="Q902" s="1291"/>
      <c r="R902" s="1291"/>
      <c r="S902" s="370"/>
    </row>
    <row r="903">
      <c r="A903" s="1344"/>
      <c r="B903" s="1387" t="s">
        <v>6530</v>
      </c>
      <c r="C903" s="288">
        <v>19.0</v>
      </c>
      <c r="D903" s="288">
        <v>0.0</v>
      </c>
      <c r="E903" s="1319"/>
      <c r="F903" s="587"/>
      <c r="G903" s="587"/>
      <c r="H903" s="587"/>
      <c r="I903" s="595"/>
      <c r="J903" s="1362"/>
      <c r="K903" s="587"/>
      <c r="L903" s="595"/>
      <c r="N903" s="1291"/>
      <c r="O903" s="370"/>
      <c r="P903" s="1291"/>
      <c r="Q903" s="1291"/>
      <c r="R903" s="1291"/>
      <c r="S903" s="370"/>
    </row>
    <row r="904">
      <c r="A904" s="1344"/>
      <c r="B904" s="1391" t="s">
        <v>6604</v>
      </c>
      <c r="C904" s="288">
        <v>2.0</v>
      </c>
      <c r="D904" s="288">
        <v>15.0</v>
      </c>
      <c r="E904" s="1319"/>
      <c r="F904" s="587"/>
      <c r="G904" s="587"/>
      <c r="H904" s="587"/>
      <c r="I904" s="595"/>
      <c r="J904" s="1362"/>
      <c r="K904" s="587"/>
      <c r="L904" s="595"/>
      <c r="N904" s="1291"/>
      <c r="O904" s="370"/>
      <c r="P904" s="1291"/>
      <c r="Q904" s="1291"/>
      <c r="R904" s="1291"/>
      <c r="S904" s="370"/>
    </row>
    <row r="905">
      <c r="A905" s="1344"/>
      <c r="B905" s="1391" t="s">
        <v>6605</v>
      </c>
      <c r="C905" s="288">
        <v>7.0</v>
      </c>
      <c r="D905" s="288">
        <v>10.0</v>
      </c>
      <c r="E905" s="1319"/>
      <c r="F905" s="587"/>
      <c r="G905" s="587"/>
      <c r="H905" s="587"/>
      <c r="I905" s="587"/>
      <c r="J905" s="1362"/>
      <c r="K905" s="587"/>
      <c r="L905" s="595"/>
      <c r="N905" s="1291"/>
      <c r="O905" s="370"/>
      <c r="P905" s="1291"/>
      <c r="Q905" s="1291"/>
      <c r="R905" s="1291"/>
      <c r="S905" s="370"/>
    </row>
    <row r="906">
      <c r="A906" s="1344"/>
      <c r="B906" s="1449"/>
      <c r="C906" s="280"/>
      <c r="D906" s="288"/>
      <c r="E906" s="1319"/>
      <c r="F906" s="587"/>
      <c r="G906" s="587"/>
      <c r="H906" s="587"/>
      <c r="I906" s="587"/>
      <c r="J906" s="1362"/>
      <c r="K906" s="587"/>
      <c r="L906" s="595"/>
      <c r="N906" s="1291"/>
      <c r="O906" s="370"/>
      <c r="P906" s="1291"/>
      <c r="Q906" s="1291"/>
      <c r="R906" s="1291"/>
      <c r="S906" s="370"/>
    </row>
    <row r="907">
      <c r="A907" s="1344"/>
      <c r="B907" s="1449"/>
      <c r="C907" s="280"/>
      <c r="D907" s="548"/>
      <c r="E907" s="1319"/>
      <c r="F907" s="587"/>
      <c r="G907" s="587"/>
      <c r="H907" s="587"/>
      <c r="I907" s="587"/>
      <c r="J907" s="1362"/>
      <c r="K907" s="587"/>
      <c r="L907" s="595"/>
      <c r="N907" s="1291"/>
      <c r="O907" s="370"/>
      <c r="P907" s="1291"/>
      <c r="Q907" s="1291"/>
      <c r="R907" s="1291"/>
      <c r="S907" s="370"/>
    </row>
    <row r="908">
      <c r="A908" s="1344"/>
      <c r="B908" s="1450">
        <v>45407.0</v>
      </c>
      <c r="C908" s="280"/>
      <c r="D908" s="548"/>
      <c r="E908" s="1319"/>
      <c r="F908" s="587"/>
      <c r="G908" s="587"/>
      <c r="H908" s="595" t="s">
        <v>6606</v>
      </c>
      <c r="I908" s="587"/>
      <c r="J908" s="1362"/>
      <c r="K908" s="587"/>
      <c r="L908" s="595"/>
      <c r="N908" s="1291"/>
      <c r="O908" s="370"/>
      <c r="P908" s="1291"/>
      <c r="Q908" s="1291"/>
      <c r="R908" s="1291"/>
      <c r="S908" s="370"/>
    </row>
    <row r="909">
      <c r="A909" s="1344"/>
      <c r="B909" s="167" t="s">
        <v>6602</v>
      </c>
      <c r="C909" s="288">
        <v>15.0</v>
      </c>
      <c r="D909" s="288">
        <v>15.0</v>
      </c>
      <c r="E909" s="1362" t="s">
        <v>6525</v>
      </c>
      <c r="F909" s="587"/>
      <c r="G909" s="587"/>
      <c r="H909" s="595" t="s">
        <v>6607</v>
      </c>
      <c r="I909" s="587"/>
      <c r="J909" s="1362"/>
      <c r="K909" s="587"/>
      <c r="L909" s="595"/>
      <c r="N909" s="1291"/>
      <c r="O909" s="370"/>
      <c r="P909" s="1291"/>
      <c r="Q909" s="1291"/>
      <c r="R909" s="1291"/>
      <c r="S909" s="370"/>
    </row>
    <row r="910">
      <c r="A910" s="1344"/>
      <c r="B910" s="167" t="s">
        <v>6603</v>
      </c>
      <c r="C910" s="288">
        <v>15.0</v>
      </c>
      <c r="D910" s="288">
        <v>15.0</v>
      </c>
      <c r="E910" s="1362" t="s">
        <v>6525</v>
      </c>
      <c r="F910" s="587"/>
      <c r="G910" s="587"/>
      <c r="H910" s="595" t="s">
        <v>6608</v>
      </c>
      <c r="I910" s="587"/>
      <c r="J910" s="1362"/>
      <c r="K910" s="587"/>
      <c r="L910" s="595"/>
      <c r="N910" s="1291"/>
      <c r="O910" s="370"/>
      <c r="P910" s="1291"/>
      <c r="Q910" s="1291"/>
      <c r="R910" s="1291"/>
      <c r="S910" s="370"/>
    </row>
    <row r="911">
      <c r="A911" s="1344"/>
      <c r="B911" s="1391" t="s">
        <v>6589</v>
      </c>
      <c r="C911" s="288">
        <v>50.0</v>
      </c>
      <c r="D911" s="288">
        <v>50.0</v>
      </c>
      <c r="E911" s="1362" t="s">
        <v>6442</v>
      </c>
      <c r="F911" s="587"/>
      <c r="G911" s="587"/>
      <c r="H911" s="587"/>
      <c r="I911" s="587"/>
      <c r="J911" s="1362"/>
      <c r="K911" s="587"/>
      <c r="L911" s="595"/>
      <c r="N911" s="1291"/>
      <c r="O911" s="370"/>
      <c r="P911" s="1291"/>
      <c r="Q911" s="1291"/>
      <c r="R911" s="1291"/>
      <c r="S911" s="370"/>
    </row>
    <row r="912">
      <c r="A912" s="1344"/>
      <c r="B912" s="1391" t="s">
        <v>6403</v>
      </c>
      <c r="C912" s="288">
        <v>10.0</v>
      </c>
      <c r="D912" s="288">
        <v>10.0</v>
      </c>
      <c r="E912" s="1362" t="s">
        <v>6526</v>
      </c>
      <c r="F912" s="587"/>
      <c r="G912" s="587"/>
      <c r="H912" s="587"/>
      <c r="I912" s="587"/>
      <c r="J912" s="1362"/>
      <c r="K912" s="587"/>
      <c r="L912" s="595"/>
      <c r="N912" s="1291"/>
      <c r="O912" s="370"/>
      <c r="P912" s="1291"/>
      <c r="Q912" s="1291"/>
      <c r="R912" s="1291"/>
      <c r="S912" s="370"/>
    </row>
    <row r="913">
      <c r="A913" s="1344"/>
      <c r="B913" s="1391" t="s">
        <v>6584</v>
      </c>
      <c r="C913" s="288">
        <v>10.0</v>
      </c>
      <c r="D913" s="288">
        <v>10.0</v>
      </c>
      <c r="E913" s="1362" t="s">
        <v>6442</v>
      </c>
      <c r="F913" s="587"/>
      <c r="G913" s="587"/>
      <c r="H913" s="587"/>
      <c r="I913" s="587"/>
      <c r="J913" s="1362"/>
      <c r="K913" s="587"/>
      <c r="L913" s="595"/>
      <c r="N913" s="1291"/>
      <c r="O913" s="370"/>
      <c r="P913" s="1291"/>
      <c r="Q913" s="1291"/>
      <c r="R913" s="1291"/>
      <c r="S913" s="370"/>
    </row>
    <row r="914">
      <c r="A914" s="1344"/>
      <c r="B914" s="1436" t="s">
        <v>6528</v>
      </c>
      <c r="C914" s="287"/>
      <c r="D914" s="288"/>
      <c r="E914" s="1319"/>
      <c r="F914" s="587"/>
      <c r="G914" s="587"/>
      <c r="H914" s="587"/>
      <c r="I914" s="587"/>
      <c r="J914" s="1362"/>
      <c r="K914" s="587"/>
      <c r="L914" s="595"/>
      <c r="N914" s="1291"/>
      <c r="O914" s="370"/>
      <c r="P914" s="1291"/>
      <c r="Q914" s="1291"/>
      <c r="R914" s="1291"/>
      <c r="S914" s="370"/>
    </row>
    <row r="915">
      <c r="A915" s="1344"/>
      <c r="B915" s="1436" t="s">
        <v>6529</v>
      </c>
      <c r="C915" s="287"/>
      <c r="D915" s="288"/>
      <c r="E915" s="1319"/>
      <c r="F915" s="587"/>
      <c r="G915" s="587"/>
      <c r="H915" s="587"/>
      <c r="I915" s="587"/>
      <c r="J915" s="1362"/>
      <c r="K915" s="587"/>
      <c r="L915" s="595"/>
      <c r="N915" s="1291"/>
      <c r="O915" s="370"/>
      <c r="P915" s="1291"/>
      <c r="Q915" s="1291"/>
      <c r="R915" s="1291"/>
      <c r="S915" s="370"/>
    </row>
    <row r="916">
      <c r="A916" s="1344"/>
      <c r="B916" s="1339" t="s">
        <v>824</v>
      </c>
      <c r="C916" s="287"/>
      <c r="D916" s="288">
        <v>1.0</v>
      </c>
      <c r="E916" s="1319"/>
      <c r="F916" s="587"/>
      <c r="G916" s="587"/>
      <c r="H916" s="587"/>
      <c r="I916" s="587"/>
      <c r="J916" s="1362"/>
      <c r="K916" s="587"/>
      <c r="L916" s="595"/>
      <c r="N916" s="1291"/>
      <c r="O916" s="370"/>
      <c r="P916" s="1291"/>
      <c r="Q916" s="1291"/>
      <c r="R916" s="1291"/>
      <c r="S916" s="370"/>
    </row>
    <row r="917">
      <c r="A917" s="1344"/>
      <c r="B917" s="1339" t="s">
        <v>826</v>
      </c>
      <c r="C917" s="287"/>
      <c r="D917" s="288">
        <v>1.0</v>
      </c>
      <c r="E917" s="1319"/>
      <c r="F917" s="587"/>
      <c r="G917" s="587"/>
      <c r="H917" s="587"/>
      <c r="I917" s="587"/>
      <c r="J917" s="1362"/>
      <c r="K917" s="587"/>
      <c r="L917" s="595"/>
      <c r="N917" s="1291"/>
      <c r="O917" s="370"/>
      <c r="P917" s="1291"/>
      <c r="Q917" s="1291"/>
      <c r="R917" s="1291"/>
      <c r="S917" s="370"/>
    </row>
    <row r="918">
      <c r="A918" s="1344"/>
      <c r="B918" s="1040" t="s">
        <v>2519</v>
      </c>
      <c r="C918" s="287"/>
      <c r="D918" s="288">
        <v>10.0</v>
      </c>
      <c r="E918" s="1319"/>
      <c r="F918" s="587"/>
      <c r="G918" s="587"/>
      <c r="H918" s="587"/>
      <c r="I918" s="587"/>
      <c r="J918" s="1362"/>
      <c r="K918" s="587"/>
      <c r="L918" s="595"/>
      <c r="N918" s="1291"/>
      <c r="O918" s="370"/>
      <c r="P918" s="1291"/>
      <c r="Q918" s="1291"/>
      <c r="R918" s="1291"/>
      <c r="S918" s="370"/>
    </row>
    <row r="919">
      <c r="A919" s="1344"/>
      <c r="B919" s="1345" t="s">
        <v>101</v>
      </c>
      <c r="C919" s="287"/>
      <c r="D919" s="288"/>
      <c r="E919" s="1319"/>
      <c r="F919" s="587"/>
      <c r="G919" s="587"/>
      <c r="H919" s="587"/>
      <c r="I919" s="587"/>
      <c r="J919" s="1362"/>
      <c r="K919" s="587"/>
      <c r="L919" s="595"/>
      <c r="N919" s="1291"/>
      <c r="O919" s="370"/>
      <c r="P919" s="1291"/>
      <c r="Q919" s="1291"/>
      <c r="R919" s="1291"/>
      <c r="S919" s="370"/>
    </row>
    <row r="920">
      <c r="A920" s="1344"/>
      <c r="B920" s="1345" t="s">
        <v>6433</v>
      </c>
      <c r="C920" s="287"/>
      <c r="D920" s="288"/>
      <c r="E920" s="1319"/>
      <c r="F920" s="587"/>
      <c r="G920" s="587"/>
      <c r="H920" s="587"/>
      <c r="I920" s="587"/>
      <c r="J920" s="1362"/>
      <c r="K920" s="587"/>
      <c r="L920" s="595"/>
      <c r="N920" s="1291"/>
      <c r="O920" s="370"/>
      <c r="P920" s="1291"/>
      <c r="Q920" s="1291"/>
      <c r="R920" s="1291"/>
      <c r="S920" s="370"/>
    </row>
    <row r="921">
      <c r="A921" s="1344"/>
      <c r="B921" s="1449"/>
      <c r="C921" s="280"/>
      <c r="D921" s="548"/>
      <c r="E921" s="1319"/>
      <c r="F921" s="587"/>
      <c r="G921" s="587"/>
      <c r="H921" s="587"/>
      <c r="I921" s="587"/>
      <c r="J921" s="1362"/>
      <c r="K921" s="587"/>
      <c r="L921" s="595"/>
      <c r="N921" s="1291"/>
      <c r="O921" s="370"/>
      <c r="P921" s="1291"/>
      <c r="Q921" s="1291"/>
      <c r="R921" s="1291"/>
      <c r="S921" s="370"/>
    </row>
    <row r="922">
      <c r="A922" s="1344"/>
      <c r="B922" s="1449"/>
      <c r="C922" s="280"/>
      <c r="D922" s="548"/>
      <c r="E922" s="1319"/>
      <c r="F922" s="587"/>
      <c r="G922" s="587"/>
      <c r="H922" s="587"/>
      <c r="I922" s="587"/>
      <c r="J922" s="1362"/>
      <c r="K922" s="587"/>
      <c r="L922" s="595"/>
      <c r="N922" s="1291"/>
      <c r="O922" s="370"/>
      <c r="P922" s="1291"/>
      <c r="Q922" s="1291"/>
      <c r="R922" s="1291"/>
      <c r="S922" s="370"/>
    </row>
    <row r="923">
      <c r="A923" s="1344"/>
      <c r="B923" s="1450">
        <v>45509.0</v>
      </c>
      <c r="C923" s="548" t="s">
        <v>6599</v>
      </c>
      <c r="D923" s="548" t="s">
        <v>6609</v>
      </c>
      <c r="E923" s="1319"/>
      <c r="F923" s="587"/>
      <c r="G923" s="587"/>
      <c r="H923" s="587"/>
      <c r="I923" s="587"/>
      <c r="J923" s="1362"/>
      <c r="K923" s="587"/>
      <c r="L923" s="595"/>
      <c r="N923" s="1291"/>
      <c r="O923" s="370"/>
      <c r="P923" s="1291"/>
      <c r="Q923" s="1291"/>
      <c r="R923" s="1291"/>
      <c r="S923" s="370"/>
    </row>
    <row r="924">
      <c r="A924" s="1344"/>
      <c r="B924" s="167" t="s">
        <v>6602</v>
      </c>
      <c r="C924" s="326">
        <v>45.0</v>
      </c>
      <c r="D924" s="326">
        <v>0.0</v>
      </c>
      <c r="E924" s="1362" t="s">
        <v>6525</v>
      </c>
      <c r="F924" s="587"/>
      <c r="G924" s="587"/>
      <c r="H924" s="587"/>
      <c r="I924" s="587"/>
      <c r="J924" s="1362"/>
      <c r="K924" s="587"/>
      <c r="L924" s="595"/>
      <c r="N924" s="1291"/>
      <c r="O924" s="370"/>
      <c r="P924" s="1291"/>
      <c r="Q924" s="1291"/>
      <c r="R924" s="1291"/>
      <c r="S924" s="370"/>
    </row>
    <row r="925">
      <c r="A925" s="1344"/>
      <c r="B925" s="167" t="s">
        <v>6603</v>
      </c>
      <c r="C925" s="326">
        <v>13.0</v>
      </c>
      <c r="D925" s="326">
        <v>30.0</v>
      </c>
      <c r="E925" s="1362" t="s">
        <v>6525</v>
      </c>
      <c r="F925" s="587"/>
      <c r="G925" s="587"/>
      <c r="H925" s="587"/>
      <c r="I925" s="587"/>
      <c r="J925" s="1362"/>
      <c r="K925" s="587"/>
      <c r="L925" s="595"/>
      <c r="N925" s="1291"/>
      <c r="O925" s="370"/>
      <c r="P925" s="1291"/>
      <c r="Q925" s="1291"/>
      <c r="R925" s="1291"/>
      <c r="S925" s="370"/>
    </row>
    <row r="926">
      <c r="A926" s="1344"/>
      <c r="B926" s="1391" t="s">
        <v>6589</v>
      </c>
      <c r="C926" s="326">
        <v>18.0</v>
      </c>
      <c r="D926" s="326">
        <v>50.0</v>
      </c>
      <c r="E926" s="1362" t="s">
        <v>6442</v>
      </c>
      <c r="F926" s="587"/>
      <c r="G926" s="587"/>
      <c r="H926" s="587"/>
      <c r="I926" s="587"/>
      <c r="J926" s="1362"/>
      <c r="K926" s="587"/>
      <c r="L926" s="595"/>
      <c r="N926" s="1291"/>
      <c r="O926" s="370"/>
      <c r="P926" s="1291"/>
      <c r="Q926" s="1291"/>
      <c r="R926" s="1291"/>
      <c r="S926" s="370"/>
    </row>
    <row r="927">
      <c r="A927" s="1344"/>
      <c r="B927" s="1391" t="s">
        <v>6403</v>
      </c>
      <c r="C927" s="326">
        <v>10.0</v>
      </c>
      <c r="D927" s="326">
        <v>10.0</v>
      </c>
      <c r="E927" s="1362" t="s">
        <v>6526</v>
      </c>
      <c r="F927" s="587"/>
      <c r="G927" s="587"/>
      <c r="H927" s="587"/>
      <c r="I927" s="587"/>
      <c r="J927" s="1362"/>
      <c r="K927" s="587"/>
      <c r="L927" s="595"/>
      <c r="N927" s="1291"/>
      <c r="O927" s="370"/>
      <c r="P927" s="1291"/>
      <c r="Q927" s="1291"/>
      <c r="R927" s="1291"/>
      <c r="S927" s="370"/>
    </row>
    <row r="928">
      <c r="A928" s="1344"/>
      <c r="B928" s="1391" t="s">
        <v>6584</v>
      </c>
      <c r="C928" s="326">
        <v>10.0</v>
      </c>
      <c r="D928" s="326">
        <v>10.0</v>
      </c>
      <c r="E928" s="1362" t="s">
        <v>6442</v>
      </c>
      <c r="F928" s="587"/>
      <c r="G928" s="587"/>
      <c r="H928" s="587"/>
      <c r="I928" s="587"/>
      <c r="J928" s="1362"/>
      <c r="K928" s="587"/>
      <c r="L928" s="595"/>
      <c r="N928" s="1291"/>
      <c r="O928" s="370"/>
      <c r="P928" s="1291"/>
      <c r="Q928" s="1291"/>
      <c r="R928" s="1291"/>
      <c r="S928" s="370"/>
    </row>
    <row r="929">
      <c r="A929" s="1344"/>
      <c r="B929" s="1436" t="s">
        <v>6528</v>
      </c>
      <c r="C929" s="329"/>
      <c r="D929" s="326">
        <v>10.0</v>
      </c>
      <c r="E929" s="1362" t="s">
        <v>1250</v>
      </c>
      <c r="F929" s="587"/>
      <c r="G929" s="587"/>
      <c r="H929" s="587"/>
      <c r="I929" s="587"/>
      <c r="J929" s="1362"/>
      <c r="K929" s="587"/>
      <c r="L929" s="595"/>
      <c r="N929" s="1291"/>
      <c r="O929" s="370"/>
      <c r="P929" s="1291"/>
      <c r="Q929" s="1291"/>
      <c r="R929" s="1291"/>
      <c r="S929" s="370"/>
    </row>
    <row r="930">
      <c r="A930" s="1344"/>
      <c r="B930" s="1436" t="s">
        <v>6529</v>
      </c>
      <c r="C930" s="329"/>
      <c r="D930" s="326"/>
      <c r="E930" s="1319"/>
      <c r="F930" s="587"/>
      <c r="G930" s="587"/>
      <c r="H930" s="587"/>
      <c r="I930" s="587"/>
      <c r="J930" s="1362"/>
      <c r="K930" s="587"/>
      <c r="L930" s="595"/>
      <c r="N930" s="1291"/>
      <c r="O930" s="370"/>
      <c r="P930" s="1291"/>
      <c r="Q930" s="1291"/>
      <c r="R930" s="1291"/>
      <c r="S930" s="370"/>
    </row>
    <row r="931">
      <c r="A931" s="1344"/>
      <c r="B931" s="1339" t="s">
        <v>824</v>
      </c>
      <c r="C931" s="329"/>
      <c r="D931" s="326">
        <v>1.0</v>
      </c>
      <c r="E931" s="1362" t="s">
        <v>6442</v>
      </c>
      <c r="F931" s="587"/>
      <c r="G931" s="587"/>
      <c r="H931" s="587"/>
      <c r="I931" s="587"/>
      <c r="J931" s="1362"/>
      <c r="K931" s="587"/>
      <c r="L931" s="595"/>
      <c r="N931" s="1291"/>
      <c r="O931" s="370"/>
      <c r="P931" s="1291"/>
      <c r="Q931" s="1291"/>
      <c r="R931" s="1291"/>
      <c r="S931" s="370"/>
    </row>
    <row r="932">
      <c r="A932" s="1344"/>
      <c r="B932" s="1339" t="s">
        <v>826</v>
      </c>
      <c r="C932" s="329"/>
      <c r="D932" s="326">
        <v>0.0</v>
      </c>
      <c r="E932" s="1319"/>
      <c r="F932" s="587"/>
      <c r="G932" s="587"/>
      <c r="H932" s="587"/>
      <c r="I932" s="587"/>
      <c r="J932" s="1362"/>
      <c r="K932" s="587"/>
      <c r="L932" s="595"/>
      <c r="N932" s="1291"/>
      <c r="O932" s="370"/>
      <c r="P932" s="1291"/>
      <c r="Q932" s="1291"/>
      <c r="R932" s="1291"/>
      <c r="S932" s="370"/>
    </row>
    <row r="933">
      <c r="A933" s="1344"/>
      <c r="B933" s="1040" t="s">
        <v>2519</v>
      </c>
      <c r="C933" s="329"/>
      <c r="D933" s="326">
        <v>0.0</v>
      </c>
      <c r="E933" s="1319"/>
      <c r="F933" s="587"/>
      <c r="G933" s="587"/>
      <c r="H933" s="587"/>
      <c r="I933" s="587"/>
      <c r="J933" s="1362"/>
      <c r="K933" s="587"/>
      <c r="L933" s="595"/>
      <c r="N933" s="1291"/>
      <c r="O933" s="370"/>
      <c r="P933" s="1291"/>
      <c r="Q933" s="1291"/>
      <c r="R933" s="1291"/>
      <c r="S933" s="370"/>
    </row>
    <row r="934">
      <c r="A934" s="1344"/>
      <c r="B934" s="1345" t="s">
        <v>101</v>
      </c>
      <c r="C934" s="329"/>
      <c r="D934" s="326"/>
      <c r="E934" s="1319"/>
      <c r="F934" s="587"/>
      <c r="G934" s="587"/>
      <c r="H934" s="587"/>
      <c r="I934" s="587"/>
      <c r="J934" s="1362"/>
      <c r="K934" s="587"/>
      <c r="L934" s="595"/>
      <c r="N934" s="1291"/>
      <c r="O934" s="370"/>
      <c r="P934" s="1291"/>
      <c r="Q934" s="1291"/>
      <c r="R934" s="1291"/>
      <c r="S934" s="370"/>
    </row>
    <row r="935">
      <c r="A935" s="1344"/>
      <c r="B935" s="1345" t="s">
        <v>6433</v>
      </c>
      <c r="C935" s="329"/>
      <c r="D935" s="326"/>
      <c r="E935" s="1319"/>
      <c r="F935" s="587"/>
      <c r="G935" s="587"/>
      <c r="H935" s="587"/>
      <c r="I935" s="587"/>
      <c r="J935" s="1362"/>
      <c r="K935" s="587"/>
      <c r="L935" s="595"/>
      <c r="N935" s="1291"/>
      <c r="O935" s="370"/>
      <c r="P935" s="1291"/>
      <c r="Q935" s="1291"/>
      <c r="R935" s="1291"/>
      <c r="S935" s="370"/>
    </row>
    <row r="936">
      <c r="A936" s="1344"/>
      <c r="B936" s="1430" t="s">
        <v>6588</v>
      </c>
      <c r="C936" s="329"/>
      <c r="D936" s="326">
        <v>5.0</v>
      </c>
      <c r="E936" s="1319"/>
      <c r="F936" s="587"/>
      <c r="G936" s="587"/>
      <c r="H936" s="587"/>
      <c r="I936" s="587"/>
      <c r="J936" s="1362"/>
      <c r="K936" s="587"/>
      <c r="L936" s="595"/>
      <c r="N936" s="1291"/>
      <c r="O936" s="370"/>
      <c r="P936" s="1291"/>
      <c r="Q936" s="1291"/>
      <c r="R936" s="1291"/>
      <c r="S936" s="370"/>
    </row>
    <row r="937">
      <c r="A937" s="1344"/>
      <c r="B937" s="1451" t="s">
        <v>6486</v>
      </c>
      <c r="C937" s="280"/>
      <c r="D937" s="548"/>
      <c r="E937" s="1319"/>
      <c r="F937" s="587"/>
      <c r="G937" s="587"/>
      <c r="H937" s="587"/>
      <c r="I937" s="587"/>
      <c r="J937" s="1362"/>
      <c r="K937" s="587"/>
      <c r="L937" s="595"/>
      <c r="N937" s="1291"/>
      <c r="O937" s="370"/>
      <c r="P937" s="1291"/>
      <c r="Q937" s="1291"/>
      <c r="R937" s="1291"/>
      <c r="S937" s="370"/>
    </row>
    <row r="938">
      <c r="A938" s="1344"/>
      <c r="B938" s="1449"/>
      <c r="C938" s="280"/>
      <c r="D938" s="548"/>
      <c r="E938" s="1319"/>
      <c r="F938" s="587"/>
      <c r="G938" s="587"/>
      <c r="H938" s="587"/>
      <c r="I938" s="587"/>
      <c r="J938" s="1362"/>
      <c r="K938" s="587"/>
      <c r="L938" s="595"/>
      <c r="N938" s="1291"/>
      <c r="O938" s="370"/>
      <c r="P938" s="1291"/>
      <c r="Q938" s="1291"/>
      <c r="R938" s="1291"/>
      <c r="S938" s="370"/>
    </row>
    <row r="939">
      <c r="A939" s="1344"/>
      <c r="B939" s="1449"/>
      <c r="C939" s="280"/>
      <c r="D939" s="548"/>
      <c r="E939" s="1319"/>
      <c r="F939" s="587"/>
      <c r="G939" s="587"/>
      <c r="H939" s="587"/>
      <c r="I939" s="587"/>
      <c r="J939" s="1362"/>
      <c r="K939" s="587"/>
      <c r="L939" s="595"/>
      <c r="N939" s="1291"/>
      <c r="O939" s="370"/>
      <c r="P939" s="1291"/>
      <c r="Q939" s="1291"/>
      <c r="R939" s="1291"/>
      <c r="S939" s="370"/>
    </row>
    <row r="940">
      <c r="A940" s="1344"/>
      <c r="B940" s="1449"/>
      <c r="C940" s="280"/>
      <c r="D940" s="548"/>
      <c r="E940" s="1319"/>
      <c r="F940" s="587"/>
      <c r="G940" s="587"/>
      <c r="H940" s="587"/>
      <c r="I940" s="587"/>
      <c r="J940" s="1362"/>
      <c r="K940" s="587"/>
      <c r="L940" s="595"/>
      <c r="N940" s="1291"/>
      <c r="O940" s="370"/>
      <c r="P940" s="1291"/>
      <c r="Q940" s="1291"/>
      <c r="R940" s="1291"/>
      <c r="S940" s="370"/>
    </row>
    <row r="941">
      <c r="A941" s="1344"/>
      <c r="B941" s="1449"/>
      <c r="C941" s="280"/>
      <c r="D941" s="548"/>
      <c r="E941" s="1319"/>
      <c r="F941" s="587"/>
      <c r="G941" s="587"/>
      <c r="H941" s="587"/>
      <c r="I941" s="587"/>
      <c r="J941" s="1362"/>
      <c r="K941" s="587"/>
      <c r="L941" s="595"/>
      <c r="N941" s="1291"/>
      <c r="O941" s="370"/>
      <c r="P941" s="1291"/>
      <c r="Q941" s="1291"/>
      <c r="R941" s="1291"/>
      <c r="S941" s="370"/>
    </row>
  </sheetData>
  <autoFilter ref="$A$1:$L$918"/>
  <mergeCells count="10">
    <mergeCell ref="B564:I564"/>
    <mergeCell ref="B619:I619"/>
    <mergeCell ref="B671:I671"/>
    <mergeCell ref="B1:I1"/>
    <mergeCell ref="B63:I63"/>
    <mergeCell ref="B135:I135"/>
    <mergeCell ref="B234:I234"/>
    <mergeCell ref="B340:I340"/>
    <mergeCell ref="B435:I435"/>
    <mergeCell ref="B511:I511"/>
  </mergeCells>
  <conditionalFormatting sqref="G622:G665 G674:G717">
    <cfRule type="notContainsBlanks" dxfId="1" priority="1">
      <formula>LEN(TRIM(G622))&gt;0</formula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2.75"/>
  <cols>
    <col customWidth="1" min="1" max="1" width="5.25"/>
    <col customWidth="1" min="2" max="2" width="45.5"/>
    <col customWidth="1" min="3" max="3" width="11.63"/>
    <col customWidth="1" min="4" max="4" width="10.63"/>
    <col customWidth="1" min="5" max="5" width="3.0"/>
  </cols>
  <sheetData>
    <row r="1">
      <c r="A1" s="287"/>
      <c r="B1" s="1452" t="s">
        <v>6610</v>
      </c>
      <c r="C1" s="39"/>
      <c r="D1" s="39"/>
    </row>
    <row r="2">
      <c r="A2" s="126"/>
      <c r="B2" s="1453" t="s">
        <v>6611</v>
      </c>
      <c r="C2" s="167" t="s">
        <v>6612</v>
      </c>
      <c r="D2" s="167"/>
    </row>
    <row r="3">
      <c r="A3" s="288">
        <v>3.0</v>
      </c>
      <c r="B3" s="1453" t="s">
        <v>6613</v>
      </c>
      <c r="C3" s="102">
        <v>35000.0</v>
      </c>
      <c r="D3" s="39">
        <f>SUM(A3*C3)</f>
        <v>105000</v>
      </c>
    </row>
    <row r="4">
      <c r="A4" s="126"/>
      <c r="B4" s="1453" t="s">
        <v>6614</v>
      </c>
      <c r="C4" s="167" t="s">
        <v>5157</v>
      </c>
      <c r="D4" s="167"/>
    </row>
    <row r="5">
      <c r="A5" s="288">
        <v>1.0</v>
      </c>
      <c r="B5" s="1453" t="s">
        <v>6615</v>
      </c>
      <c r="C5" s="102">
        <v>26000.0</v>
      </c>
      <c r="D5" s="39">
        <f t="shared" ref="D5:D9" si="1">SUM(A5*C5)</f>
        <v>26000</v>
      </c>
    </row>
    <row r="6">
      <c r="A6" s="288">
        <v>2.0</v>
      </c>
      <c r="B6" s="1453" t="s">
        <v>6616</v>
      </c>
      <c r="C6" s="102">
        <v>26000.0</v>
      </c>
      <c r="D6" s="39">
        <f t="shared" si="1"/>
        <v>52000</v>
      </c>
    </row>
    <row r="7">
      <c r="A7" s="288">
        <v>2.0</v>
      </c>
      <c r="B7" s="1453" t="s">
        <v>6617</v>
      </c>
      <c r="C7" s="102">
        <v>60000.0</v>
      </c>
      <c r="D7" s="39">
        <f t="shared" si="1"/>
        <v>120000</v>
      </c>
    </row>
    <row r="8">
      <c r="A8" s="288">
        <v>20.0</v>
      </c>
      <c r="B8" s="1453" t="s">
        <v>6618</v>
      </c>
      <c r="C8" s="102">
        <v>500.0</v>
      </c>
      <c r="D8" s="39">
        <f t="shared" si="1"/>
        <v>10000</v>
      </c>
    </row>
    <row r="9">
      <c r="A9" s="288">
        <v>4.0</v>
      </c>
      <c r="B9" s="1453" t="s">
        <v>6619</v>
      </c>
      <c r="C9" s="102">
        <v>7000.0</v>
      </c>
      <c r="D9" s="39">
        <f t="shared" si="1"/>
        <v>28000</v>
      </c>
    </row>
    <row r="10">
      <c r="A10" s="126"/>
      <c r="B10" s="1453" t="s">
        <v>6620</v>
      </c>
      <c r="C10" s="167" t="s">
        <v>6621</v>
      </c>
      <c r="D10" s="126"/>
    </row>
    <row r="11">
      <c r="A11" s="288">
        <v>3.0</v>
      </c>
      <c r="B11" s="1453" t="s">
        <v>6622</v>
      </c>
      <c r="C11" s="102">
        <v>6000.0</v>
      </c>
      <c r="D11" s="39">
        <f>SUM(A11*C11)</f>
        <v>18000</v>
      </c>
    </row>
    <row r="12">
      <c r="A12" s="126"/>
      <c r="B12" s="1453" t="s">
        <v>6623</v>
      </c>
      <c r="C12" s="167" t="s">
        <v>6621</v>
      </c>
      <c r="D12" s="126"/>
    </row>
    <row r="13">
      <c r="A13" s="288">
        <v>1.0</v>
      </c>
      <c r="B13" s="1453" t="s">
        <v>6624</v>
      </c>
      <c r="C13" s="102">
        <v>8000.0</v>
      </c>
      <c r="D13" s="39">
        <f>SUM(A13*C13)</f>
        <v>8000</v>
      </c>
    </row>
    <row r="14">
      <c r="A14" s="126"/>
      <c r="B14" s="1453" t="s">
        <v>6625</v>
      </c>
      <c r="C14" s="167" t="s">
        <v>6621</v>
      </c>
      <c r="D14" s="126"/>
    </row>
    <row r="15">
      <c r="A15" s="126"/>
      <c r="B15" s="1453" t="s">
        <v>6626</v>
      </c>
      <c r="C15" s="167" t="s">
        <v>6621</v>
      </c>
      <c r="D15" s="126"/>
    </row>
    <row r="16">
      <c r="A16" s="288">
        <v>1.0</v>
      </c>
      <c r="B16" s="1453" t="s">
        <v>6627</v>
      </c>
      <c r="C16" s="102">
        <v>80000.0</v>
      </c>
      <c r="D16" s="39">
        <f>SUM(A16*C16)</f>
        <v>80000</v>
      </c>
    </row>
    <row r="17">
      <c r="A17" s="126"/>
      <c r="B17" s="1453" t="s">
        <v>6628</v>
      </c>
      <c r="C17" s="167" t="s">
        <v>6621</v>
      </c>
      <c r="D17" s="126"/>
    </row>
    <row r="18">
      <c r="A18" s="126"/>
      <c r="B18" s="1453" t="s">
        <v>6629</v>
      </c>
      <c r="C18" s="167" t="s">
        <v>6621</v>
      </c>
      <c r="D18" s="126"/>
    </row>
    <row r="19">
      <c r="A19" s="288">
        <v>2.0</v>
      </c>
      <c r="B19" s="1453" t="s">
        <v>6630</v>
      </c>
      <c r="C19" s="102">
        <v>5000.0</v>
      </c>
      <c r="D19" s="39">
        <f t="shared" ref="D19:D20" si="2">SUM(A19*C19)</f>
        <v>10000</v>
      </c>
    </row>
    <row r="20">
      <c r="A20" s="288">
        <v>1.0</v>
      </c>
      <c r="B20" s="1453" t="s">
        <v>6631</v>
      </c>
      <c r="C20" s="102">
        <v>90000.0</v>
      </c>
      <c r="D20" s="39">
        <f t="shared" si="2"/>
        <v>90000</v>
      </c>
    </row>
    <row r="21">
      <c r="A21" s="126"/>
      <c r="B21" s="1453" t="s">
        <v>6632</v>
      </c>
      <c r="C21" s="167" t="s">
        <v>6621</v>
      </c>
      <c r="D21" s="126"/>
    </row>
    <row r="22">
      <c r="A22" s="288">
        <v>1.0</v>
      </c>
      <c r="B22" s="1453" t="s">
        <v>6633</v>
      </c>
      <c r="C22" s="102">
        <v>120000.0</v>
      </c>
      <c r="D22" s="39">
        <f t="shared" ref="D22:D30" si="3">SUM(A22*C22)</f>
        <v>120000</v>
      </c>
    </row>
    <row r="23">
      <c r="A23" s="288">
        <v>5.0</v>
      </c>
      <c r="B23" s="1453" t="s">
        <v>6634</v>
      </c>
      <c r="C23" s="102">
        <v>3500.0</v>
      </c>
      <c r="D23" s="39">
        <f t="shared" si="3"/>
        <v>17500</v>
      </c>
    </row>
    <row r="24">
      <c r="A24" s="288">
        <v>1.0</v>
      </c>
      <c r="B24" s="1453" t="s">
        <v>6635</v>
      </c>
      <c r="C24" s="102">
        <v>115000.0</v>
      </c>
      <c r="D24" s="39">
        <f t="shared" si="3"/>
        <v>115000</v>
      </c>
    </row>
    <row r="25">
      <c r="A25" s="288">
        <v>1.0</v>
      </c>
      <c r="B25" s="1453" t="s">
        <v>6636</v>
      </c>
      <c r="C25" s="102">
        <v>18000.0</v>
      </c>
      <c r="D25" s="39">
        <f t="shared" si="3"/>
        <v>18000</v>
      </c>
    </row>
    <row r="26">
      <c r="A26" s="288">
        <v>1.0</v>
      </c>
      <c r="B26" s="1453" t="s">
        <v>6637</v>
      </c>
      <c r="C26" s="102">
        <v>7500.0</v>
      </c>
      <c r="D26" s="39">
        <f t="shared" si="3"/>
        <v>7500</v>
      </c>
    </row>
    <row r="27">
      <c r="A27" s="288">
        <v>2.0</v>
      </c>
      <c r="B27" s="1453" t="s">
        <v>6638</v>
      </c>
      <c r="C27" s="102">
        <v>12000.0</v>
      </c>
      <c r="D27" s="39">
        <f t="shared" si="3"/>
        <v>24000</v>
      </c>
    </row>
    <row r="28">
      <c r="A28" s="288">
        <v>5.0</v>
      </c>
      <c r="B28" s="1453" t="s">
        <v>6639</v>
      </c>
      <c r="C28" s="102">
        <v>3000.0</v>
      </c>
      <c r="D28" s="39">
        <f t="shared" si="3"/>
        <v>15000</v>
      </c>
    </row>
    <row r="29">
      <c r="A29" s="288">
        <v>1.0</v>
      </c>
      <c r="B29" s="1453" t="s">
        <v>6640</v>
      </c>
      <c r="C29" s="102">
        <v>15000.0</v>
      </c>
      <c r="D29" s="39">
        <f t="shared" si="3"/>
        <v>15000</v>
      </c>
    </row>
    <row r="30">
      <c r="A30" s="288">
        <v>5.0</v>
      </c>
      <c r="B30" s="1453" t="s">
        <v>6641</v>
      </c>
      <c r="C30" s="102">
        <v>1000.0</v>
      </c>
      <c r="D30" s="39">
        <f t="shared" si="3"/>
        <v>5000</v>
      </c>
    </row>
    <row r="31">
      <c r="A31" s="126"/>
      <c r="B31" s="1453" t="s">
        <v>6642</v>
      </c>
      <c r="C31" s="167" t="s">
        <v>6621</v>
      </c>
      <c r="D31" s="126"/>
    </row>
    <row r="32">
      <c r="A32" s="288">
        <v>1.0</v>
      </c>
      <c r="B32" s="1453" t="s">
        <v>6643</v>
      </c>
      <c r="C32" s="102">
        <v>5000.0</v>
      </c>
      <c r="D32" s="39">
        <f t="shared" ref="D32:D40" si="4">SUM(A32*C32)</f>
        <v>5000</v>
      </c>
    </row>
    <row r="33">
      <c r="A33" s="288">
        <v>2.0</v>
      </c>
      <c r="B33" s="1453" t="s">
        <v>6644</v>
      </c>
      <c r="C33" s="102">
        <v>5000.0</v>
      </c>
      <c r="D33" s="39">
        <f t="shared" si="4"/>
        <v>10000</v>
      </c>
    </row>
    <row r="34">
      <c r="A34" s="288">
        <v>2.0</v>
      </c>
      <c r="B34" s="1453" t="s">
        <v>6645</v>
      </c>
      <c r="C34" s="102">
        <v>8000.0</v>
      </c>
      <c r="D34" s="39">
        <f t="shared" si="4"/>
        <v>16000</v>
      </c>
    </row>
    <row r="35">
      <c r="A35" s="288">
        <v>1.0</v>
      </c>
      <c r="B35" s="1453" t="s">
        <v>6646</v>
      </c>
      <c r="C35" s="102">
        <v>32000.0</v>
      </c>
      <c r="D35" s="39">
        <f t="shared" si="4"/>
        <v>32000</v>
      </c>
    </row>
    <row r="36">
      <c r="A36" s="288">
        <v>1.0</v>
      </c>
      <c r="B36" s="1453" t="s">
        <v>6647</v>
      </c>
      <c r="C36" s="102">
        <v>36000.0</v>
      </c>
      <c r="D36" s="39">
        <f t="shared" si="4"/>
        <v>36000</v>
      </c>
    </row>
    <row r="37">
      <c r="A37" s="288">
        <v>1.0</v>
      </c>
      <c r="B37" s="1453" t="s">
        <v>6648</v>
      </c>
      <c r="C37" s="102">
        <v>38000.0</v>
      </c>
      <c r="D37" s="39">
        <f t="shared" si="4"/>
        <v>38000</v>
      </c>
    </row>
    <row r="38">
      <c r="A38" s="288">
        <v>1.0</v>
      </c>
      <c r="B38" s="1453" t="s">
        <v>6649</v>
      </c>
      <c r="C38" s="102">
        <v>260000.0</v>
      </c>
      <c r="D38" s="39">
        <f t="shared" si="4"/>
        <v>260000</v>
      </c>
    </row>
    <row r="39">
      <c r="A39" s="288">
        <v>1.0</v>
      </c>
      <c r="B39" s="1453" t="s">
        <v>6650</v>
      </c>
      <c r="C39" s="102">
        <v>13000.0</v>
      </c>
      <c r="D39" s="39">
        <f t="shared" si="4"/>
        <v>13000</v>
      </c>
    </row>
    <row r="40">
      <c r="A40" s="288">
        <v>1.0</v>
      </c>
      <c r="B40" s="1453" t="s">
        <v>6651</v>
      </c>
      <c r="C40" s="102">
        <v>75000.0</v>
      </c>
      <c r="D40" s="39">
        <f t="shared" si="4"/>
        <v>75000</v>
      </c>
    </row>
    <row r="41">
      <c r="A41" s="126"/>
      <c r="B41" s="1453" t="s">
        <v>6652</v>
      </c>
      <c r="C41" s="167" t="s">
        <v>6621</v>
      </c>
      <c r="D41" s="126"/>
    </row>
    <row r="42">
      <c r="A42" s="288">
        <v>1.0</v>
      </c>
      <c r="B42" s="1453" t="s">
        <v>6653</v>
      </c>
      <c r="C42" s="102">
        <v>238000.0</v>
      </c>
      <c r="D42" s="39">
        <f t="shared" ref="D42:D53" si="5">SUM(A42*C42)</f>
        <v>238000</v>
      </c>
    </row>
    <row r="43">
      <c r="A43" s="288">
        <v>2.0</v>
      </c>
      <c r="B43" s="1453" t="s">
        <v>6654</v>
      </c>
      <c r="C43" s="102">
        <v>10000.0</v>
      </c>
      <c r="D43" s="39">
        <f t="shared" si="5"/>
        <v>20000</v>
      </c>
    </row>
    <row r="44">
      <c r="A44" s="288">
        <v>1.0</v>
      </c>
      <c r="B44" s="1453" t="s">
        <v>6655</v>
      </c>
      <c r="C44" s="102">
        <v>12000.0</v>
      </c>
      <c r="D44" s="39">
        <f t="shared" si="5"/>
        <v>12000</v>
      </c>
    </row>
    <row r="45">
      <c r="A45" s="288">
        <v>1.0</v>
      </c>
      <c r="B45" s="1454" t="s">
        <v>6656</v>
      </c>
      <c r="C45" s="102">
        <v>50000.0</v>
      </c>
      <c r="D45" s="39">
        <f t="shared" si="5"/>
        <v>50000</v>
      </c>
    </row>
    <row r="46">
      <c r="A46" s="288">
        <v>13.0</v>
      </c>
      <c r="B46" s="1454" t="s">
        <v>6657</v>
      </c>
      <c r="C46" s="102">
        <v>4000.0</v>
      </c>
      <c r="D46" s="39">
        <f t="shared" si="5"/>
        <v>52000</v>
      </c>
    </row>
    <row r="47">
      <c r="A47" s="288">
        <v>2.0</v>
      </c>
      <c r="B47" s="1454" t="s">
        <v>6658</v>
      </c>
      <c r="C47" s="102">
        <v>115000.0</v>
      </c>
      <c r="D47" s="39">
        <f t="shared" si="5"/>
        <v>230000</v>
      </c>
    </row>
    <row r="48">
      <c r="A48" s="288">
        <v>2.0</v>
      </c>
      <c r="B48" s="1454" t="s">
        <v>6659</v>
      </c>
      <c r="C48" s="102">
        <v>12000.0</v>
      </c>
      <c r="D48" s="39">
        <f t="shared" si="5"/>
        <v>24000</v>
      </c>
    </row>
    <row r="49">
      <c r="A49" s="288">
        <v>2.0</v>
      </c>
      <c r="B49" s="1454" t="s">
        <v>6660</v>
      </c>
      <c r="C49" s="102">
        <v>14000.0</v>
      </c>
      <c r="D49" s="39">
        <f t="shared" si="5"/>
        <v>28000</v>
      </c>
    </row>
    <row r="50">
      <c r="A50" s="288">
        <v>1.0</v>
      </c>
      <c r="B50" s="1454" t="s">
        <v>6661</v>
      </c>
      <c r="C50" s="102">
        <v>98000.0</v>
      </c>
      <c r="D50" s="39">
        <f t="shared" si="5"/>
        <v>98000</v>
      </c>
    </row>
    <row r="51">
      <c r="A51" s="288">
        <v>1.0</v>
      </c>
      <c r="B51" s="1454" t="s">
        <v>6662</v>
      </c>
      <c r="C51" s="102">
        <v>4000.0</v>
      </c>
      <c r="D51" s="39">
        <f t="shared" si="5"/>
        <v>4000</v>
      </c>
    </row>
    <row r="52">
      <c r="A52" s="288">
        <v>2.0</v>
      </c>
      <c r="B52" s="1454" t="s">
        <v>6663</v>
      </c>
      <c r="C52" s="102">
        <v>1000.0</v>
      </c>
      <c r="D52" s="39">
        <f t="shared" si="5"/>
        <v>2000</v>
      </c>
    </row>
    <row r="53">
      <c r="A53" s="288">
        <v>10.0</v>
      </c>
      <c r="B53" s="1454" t="s">
        <v>6664</v>
      </c>
      <c r="C53" s="102">
        <v>3500.0</v>
      </c>
      <c r="D53" s="39">
        <f t="shared" si="5"/>
        <v>35000</v>
      </c>
    </row>
    <row r="54">
      <c r="A54" s="126"/>
      <c r="B54" s="1455"/>
      <c r="C54" s="126"/>
      <c r="D54" s="126"/>
    </row>
    <row r="55">
      <c r="A55" s="287"/>
      <c r="B55" s="1456"/>
      <c r="C55" s="1457" t="s">
        <v>3083</v>
      </c>
      <c r="D55" s="1458">
        <f>SUM(D3:D53)</f>
        <v>2162000</v>
      </c>
    </row>
    <row r="56">
      <c r="A56" s="280"/>
      <c r="B56" s="1459"/>
      <c r="C56" s="370"/>
      <c r="D56" s="370"/>
    </row>
    <row r="57">
      <c r="A57" s="280"/>
      <c r="B57" s="1459"/>
      <c r="C57" s="370"/>
      <c r="D57" s="370"/>
    </row>
    <row r="58">
      <c r="A58" s="280"/>
      <c r="B58" s="1459"/>
      <c r="C58" s="370"/>
      <c r="D58" s="370"/>
    </row>
    <row r="59">
      <c r="A59" s="280"/>
      <c r="B59" s="1459"/>
      <c r="C59" s="370"/>
      <c r="D59" s="370"/>
    </row>
    <row r="60">
      <c r="A60" s="280"/>
      <c r="B60" s="1459"/>
      <c r="C60" s="370"/>
      <c r="D60" s="370"/>
    </row>
    <row r="61">
      <c r="A61" s="280"/>
      <c r="B61" s="1459"/>
      <c r="C61" s="370"/>
      <c r="D61" s="370"/>
    </row>
    <row r="62">
      <c r="A62" s="280"/>
      <c r="B62" s="1459"/>
      <c r="C62" s="370"/>
      <c r="D62" s="370"/>
    </row>
    <row r="63">
      <c r="A63" s="280"/>
      <c r="B63" s="1459"/>
      <c r="C63" s="370"/>
      <c r="D63" s="370"/>
    </row>
    <row r="64">
      <c r="A64" s="280"/>
      <c r="B64" s="1459"/>
      <c r="C64" s="370"/>
      <c r="D64" s="370"/>
    </row>
    <row r="65">
      <c r="A65" s="280"/>
      <c r="B65" s="1459"/>
      <c r="C65" s="370"/>
      <c r="D65" s="370"/>
    </row>
    <row r="66">
      <c r="A66" s="280"/>
      <c r="B66" s="1459"/>
      <c r="C66" s="370"/>
      <c r="D66" s="370"/>
    </row>
    <row r="67">
      <c r="A67" s="280"/>
      <c r="B67" s="1459"/>
      <c r="C67" s="370"/>
      <c r="D67" s="370"/>
    </row>
    <row r="68">
      <c r="A68" s="280"/>
      <c r="B68" s="1459"/>
      <c r="C68" s="370"/>
      <c r="D68" s="370"/>
    </row>
    <row r="69">
      <c r="A69" s="280"/>
      <c r="B69" s="1459"/>
      <c r="C69" s="370"/>
      <c r="D69" s="370"/>
    </row>
    <row r="70">
      <c r="A70" s="280"/>
      <c r="B70" s="1459"/>
      <c r="C70" s="370"/>
      <c r="D70" s="370"/>
    </row>
    <row r="71">
      <c r="A71" s="280"/>
      <c r="B71" s="1459"/>
      <c r="C71" s="370"/>
      <c r="D71" s="370"/>
    </row>
    <row r="72">
      <c r="A72" s="280"/>
      <c r="B72" s="1459"/>
      <c r="C72" s="370"/>
      <c r="D72" s="370"/>
    </row>
    <row r="73">
      <c r="A73" s="280"/>
      <c r="B73" s="1459"/>
      <c r="C73" s="370"/>
      <c r="D73" s="370"/>
    </row>
    <row r="74">
      <c r="A74" s="280"/>
      <c r="B74" s="1459"/>
      <c r="C74" s="370"/>
      <c r="D74" s="370"/>
    </row>
    <row r="75">
      <c r="A75" s="280"/>
      <c r="B75" s="1459"/>
      <c r="C75" s="370"/>
      <c r="D75" s="370"/>
    </row>
    <row r="76">
      <c r="A76" s="280"/>
      <c r="B76" s="1459"/>
      <c r="C76" s="370"/>
      <c r="D76" s="370"/>
    </row>
    <row r="77">
      <c r="A77" s="280"/>
      <c r="B77" s="1459"/>
      <c r="C77" s="370"/>
      <c r="D77" s="370"/>
    </row>
    <row r="78">
      <c r="A78" s="280"/>
      <c r="B78" s="1459"/>
      <c r="C78" s="370"/>
      <c r="D78" s="370"/>
    </row>
    <row r="79">
      <c r="A79" s="280"/>
      <c r="B79" s="1459"/>
      <c r="C79" s="370"/>
      <c r="D79" s="370"/>
    </row>
    <row r="80">
      <c r="A80" s="280"/>
      <c r="B80" s="1459"/>
      <c r="C80" s="370"/>
      <c r="D80" s="370"/>
    </row>
    <row r="81">
      <c r="A81" s="280"/>
      <c r="B81" s="1459"/>
      <c r="C81" s="370"/>
      <c r="D81" s="370"/>
    </row>
    <row r="82">
      <c r="A82" s="280"/>
      <c r="B82" s="1459"/>
      <c r="C82" s="370"/>
      <c r="D82" s="370"/>
    </row>
    <row r="83">
      <c r="A83" s="280"/>
      <c r="B83" s="1459"/>
      <c r="C83" s="370"/>
      <c r="D83" s="370"/>
    </row>
    <row r="84">
      <c r="A84" s="280"/>
      <c r="B84" s="1459"/>
      <c r="C84" s="370"/>
      <c r="D84" s="370"/>
    </row>
    <row r="85">
      <c r="A85" s="280"/>
      <c r="B85" s="1459"/>
      <c r="C85" s="370"/>
      <c r="D85" s="370"/>
    </row>
    <row r="86">
      <c r="A86" s="280"/>
      <c r="B86" s="1459"/>
      <c r="C86" s="370"/>
      <c r="D86" s="370"/>
    </row>
    <row r="87">
      <c r="A87" s="280"/>
      <c r="B87" s="1459"/>
      <c r="C87" s="370"/>
      <c r="D87" s="370"/>
    </row>
    <row r="88">
      <c r="A88" s="280"/>
      <c r="B88" s="1459"/>
      <c r="C88" s="370"/>
      <c r="D88" s="370"/>
    </row>
    <row r="89">
      <c r="A89" s="280"/>
      <c r="B89" s="1459"/>
      <c r="C89" s="370"/>
      <c r="D89" s="370"/>
    </row>
    <row r="90">
      <c r="A90" s="280"/>
      <c r="B90" s="1459"/>
      <c r="C90" s="370"/>
      <c r="D90" s="370"/>
    </row>
    <row r="91">
      <c r="A91" s="280"/>
      <c r="B91" s="1459"/>
      <c r="C91" s="370"/>
      <c r="D91" s="370"/>
    </row>
    <row r="92">
      <c r="A92" s="280"/>
      <c r="B92" s="1459"/>
      <c r="C92" s="370"/>
      <c r="D92" s="370"/>
    </row>
    <row r="93">
      <c r="A93" s="280"/>
      <c r="B93" s="1459"/>
      <c r="C93" s="370"/>
      <c r="D93" s="370"/>
    </row>
    <row r="94">
      <c r="A94" s="280"/>
      <c r="B94" s="1459"/>
      <c r="C94" s="370"/>
      <c r="D94" s="370"/>
    </row>
    <row r="95">
      <c r="A95" s="280"/>
      <c r="B95" s="1459"/>
      <c r="C95" s="370"/>
      <c r="D95" s="370"/>
    </row>
    <row r="96">
      <c r="A96" s="280"/>
      <c r="B96" s="1459"/>
      <c r="C96" s="370"/>
      <c r="D96" s="370"/>
    </row>
    <row r="97">
      <c r="A97" s="280"/>
      <c r="B97" s="1459"/>
      <c r="C97" s="370"/>
      <c r="D97" s="370"/>
    </row>
    <row r="98">
      <c r="A98" s="280"/>
      <c r="B98" s="1459"/>
      <c r="C98" s="370"/>
      <c r="D98" s="370"/>
    </row>
    <row r="99">
      <c r="A99" s="280"/>
      <c r="B99" s="1459"/>
      <c r="C99" s="370"/>
      <c r="D99" s="370"/>
    </row>
    <row r="100">
      <c r="A100" s="280"/>
      <c r="B100" s="1459"/>
      <c r="C100" s="370"/>
      <c r="D100" s="370"/>
    </row>
    <row r="101">
      <c r="A101" s="280"/>
      <c r="B101" s="1459"/>
      <c r="C101" s="370"/>
      <c r="D101" s="370"/>
    </row>
    <row r="102">
      <c r="A102" s="280"/>
      <c r="B102" s="1459"/>
      <c r="C102" s="370"/>
      <c r="D102" s="370"/>
    </row>
    <row r="103">
      <c r="A103" s="280"/>
      <c r="B103" s="1459"/>
      <c r="C103" s="370"/>
      <c r="D103" s="370"/>
    </row>
    <row r="104">
      <c r="A104" s="280"/>
      <c r="B104" s="1459"/>
      <c r="C104" s="370"/>
      <c r="D104" s="370"/>
    </row>
    <row r="105">
      <c r="A105" s="280"/>
      <c r="B105" s="1459"/>
      <c r="C105" s="370"/>
      <c r="D105" s="370"/>
    </row>
    <row r="106">
      <c r="A106" s="280"/>
      <c r="B106" s="1459"/>
      <c r="C106" s="370"/>
      <c r="D106" s="370"/>
    </row>
    <row r="107">
      <c r="A107" s="280"/>
      <c r="B107" s="1459"/>
      <c r="C107" s="370"/>
      <c r="D107" s="370"/>
    </row>
    <row r="108">
      <c r="A108" s="280"/>
      <c r="B108" s="1459"/>
      <c r="C108" s="370"/>
      <c r="D108" s="370"/>
    </row>
    <row r="109">
      <c r="A109" s="280"/>
      <c r="B109" s="1459"/>
      <c r="C109" s="370"/>
      <c r="D109" s="370"/>
    </row>
    <row r="110">
      <c r="A110" s="280"/>
      <c r="B110" s="1459"/>
      <c r="C110" s="370"/>
      <c r="D110" s="370"/>
    </row>
    <row r="111">
      <c r="A111" s="280"/>
      <c r="B111" s="1459"/>
      <c r="C111" s="370"/>
      <c r="D111" s="370"/>
    </row>
    <row r="112">
      <c r="A112" s="280"/>
      <c r="B112" s="1459"/>
      <c r="C112" s="370"/>
      <c r="D112" s="370"/>
    </row>
    <row r="113">
      <c r="A113" s="280"/>
      <c r="B113" s="1459"/>
      <c r="C113" s="370"/>
      <c r="D113" s="370"/>
    </row>
    <row r="114">
      <c r="A114" s="280"/>
      <c r="B114" s="1459"/>
      <c r="C114" s="370"/>
      <c r="D114" s="370"/>
    </row>
    <row r="115">
      <c r="A115" s="280"/>
      <c r="B115" s="1459"/>
      <c r="C115" s="370"/>
      <c r="D115" s="370"/>
    </row>
    <row r="116">
      <c r="A116" s="280"/>
      <c r="B116" s="1459"/>
      <c r="C116" s="370"/>
      <c r="D116" s="370"/>
    </row>
    <row r="117">
      <c r="A117" s="280"/>
      <c r="B117" s="1459"/>
      <c r="C117" s="370"/>
      <c r="D117" s="370"/>
    </row>
    <row r="118">
      <c r="A118" s="280"/>
      <c r="B118" s="1459"/>
      <c r="C118" s="370"/>
      <c r="D118" s="370"/>
    </row>
    <row r="119">
      <c r="A119" s="280"/>
      <c r="B119" s="1459"/>
      <c r="C119" s="370"/>
      <c r="D119" s="370"/>
    </row>
    <row r="120">
      <c r="A120" s="280"/>
      <c r="B120" s="1459"/>
      <c r="C120" s="370"/>
      <c r="D120" s="370"/>
    </row>
    <row r="121">
      <c r="A121" s="280"/>
      <c r="B121" s="1459"/>
      <c r="C121" s="370"/>
      <c r="D121" s="370"/>
    </row>
    <row r="122">
      <c r="A122" s="280"/>
      <c r="B122" s="1459"/>
      <c r="C122" s="370"/>
      <c r="D122" s="370"/>
    </row>
    <row r="123">
      <c r="A123" s="280"/>
      <c r="B123" s="1459"/>
      <c r="C123" s="370"/>
      <c r="D123" s="370"/>
    </row>
    <row r="124">
      <c r="A124" s="280"/>
      <c r="B124" s="1459"/>
      <c r="C124" s="370"/>
      <c r="D124" s="370"/>
    </row>
    <row r="125">
      <c r="A125" s="280"/>
      <c r="B125" s="1459"/>
      <c r="C125" s="370"/>
      <c r="D125" s="370"/>
    </row>
    <row r="126">
      <c r="A126" s="280"/>
      <c r="B126" s="1459"/>
      <c r="C126" s="370"/>
      <c r="D126" s="370"/>
    </row>
    <row r="127">
      <c r="A127" s="280"/>
      <c r="B127" s="1459"/>
      <c r="C127" s="370"/>
      <c r="D127" s="370"/>
    </row>
    <row r="128">
      <c r="A128" s="280"/>
      <c r="B128" s="1459"/>
      <c r="C128" s="370"/>
      <c r="D128" s="370"/>
    </row>
    <row r="129">
      <c r="A129" s="280"/>
      <c r="B129" s="1459"/>
      <c r="C129" s="370"/>
      <c r="D129" s="370"/>
    </row>
    <row r="130">
      <c r="A130" s="280"/>
      <c r="B130" s="1459"/>
      <c r="C130" s="370"/>
      <c r="D130" s="370"/>
    </row>
    <row r="131">
      <c r="A131" s="280"/>
      <c r="B131" s="1459"/>
      <c r="C131" s="370"/>
      <c r="D131" s="370"/>
    </row>
    <row r="132">
      <c r="A132" s="280"/>
      <c r="B132" s="1459"/>
      <c r="C132" s="370"/>
      <c r="D132" s="370"/>
    </row>
    <row r="133">
      <c r="A133" s="280"/>
      <c r="B133" s="1459"/>
      <c r="C133" s="370"/>
      <c r="D133" s="370"/>
    </row>
    <row r="134">
      <c r="A134" s="280"/>
      <c r="B134" s="1459"/>
      <c r="C134" s="370"/>
      <c r="D134" s="370"/>
    </row>
    <row r="135">
      <c r="A135" s="280"/>
      <c r="B135" s="1459"/>
      <c r="C135" s="370"/>
      <c r="D135" s="370"/>
    </row>
    <row r="136">
      <c r="A136" s="280"/>
      <c r="B136" s="1459"/>
      <c r="C136" s="370"/>
      <c r="D136" s="370"/>
    </row>
    <row r="137">
      <c r="A137" s="280"/>
      <c r="B137" s="1459"/>
      <c r="C137" s="370"/>
      <c r="D137" s="370"/>
    </row>
    <row r="138">
      <c r="A138" s="280"/>
      <c r="B138" s="1459"/>
      <c r="C138" s="370"/>
      <c r="D138" s="370"/>
    </row>
    <row r="139">
      <c r="A139" s="280"/>
      <c r="B139" s="1459"/>
      <c r="C139" s="370"/>
      <c r="D139" s="370"/>
    </row>
    <row r="140">
      <c r="A140" s="280"/>
      <c r="B140" s="1459"/>
      <c r="C140" s="370"/>
      <c r="D140" s="370"/>
    </row>
    <row r="141">
      <c r="A141" s="280"/>
      <c r="B141" s="1459"/>
      <c r="C141" s="370"/>
      <c r="D141" s="370"/>
    </row>
    <row r="142">
      <c r="A142" s="280"/>
      <c r="B142" s="1459"/>
      <c r="C142" s="370"/>
      <c r="D142" s="370"/>
    </row>
    <row r="143">
      <c r="A143" s="280"/>
      <c r="B143" s="1459"/>
      <c r="C143" s="370"/>
      <c r="D143" s="370"/>
    </row>
    <row r="144">
      <c r="A144" s="280"/>
      <c r="B144" s="1459"/>
      <c r="C144" s="370"/>
      <c r="D144" s="370"/>
    </row>
    <row r="145">
      <c r="A145" s="280"/>
      <c r="B145" s="1459"/>
      <c r="C145" s="370"/>
      <c r="D145" s="370"/>
    </row>
    <row r="146">
      <c r="A146" s="280"/>
      <c r="B146" s="1459"/>
      <c r="C146" s="370"/>
      <c r="D146" s="370"/>
    </row>
    <row r="147">
      <c r="A147" s="280"/>
      <c r="B147" s="1459"/>
      <c r="C147" s="370"/>
      <c r="D147" s="370"/>
    </row>
    <row r="148">
      <c r="A148" s="280"/>
      <c r="B148" s="1459"/>
      <c r="C148" s="370"/>
      <c r="D148" s="370"/>
    </row>
    <row r="149">
      <c r="A149" s="280"/>
      <c r="B149" s="1459"/>
      <c r="C149" s="370"/>
      <c r="D149" s="370"/>
    </row>
    <row r="150">
      <c r="A150" s="280"/>
      <c r="B150" s="1459"/>
      <c r="C150" s="370"/>
      <c r="D150" s="370"/>
    </row>
    <row r="151">
      <c r="A151" s="280"/>
      <c r="B151" s="1459"/>
      <c r="C151" s="370"/>
      <c r="D151" s="370"/>
    </row>
    <row r="152">
      <c r="A152" s="280"/>
      <c r="B152" s="1459"/>
      <c r="C152" s="370"/>
      <c r="D152" s="370"/>
    </row>
    <row r="153">
      <c r="A153" s="280"/>
      <c r="B153" s="1459"/>
      <c r="C153" s="370"/>
      <c r="D153" s="370"/>
    </row>
    <row r="154">
      <c r="A154" s="280"/>
      <c r="B154" s="1459"/>
      <c r="C154" s="370"/>
      <c r="D154" s="370"/>
    </row>
    <row r="155">
      <c r="A155" s="280"/>
      <c r="B155" s="1459"/>
      <c r="C155" s="370"/>
      <c r="D155" s="370"/>
    </row>
    <row r="156">
      <c r="A156" s="280"/>
      <c r="B156" s="1459"/>
      <c r="C156" s="370"/>
      <c r="D156" s="370"/>
    </row>
    <row r="157">
      <c r="A157" s="280"/>
      <c r="B157" s="1459"/>
      <c r="C157" s="370"/>
      <c r="D157" s="370"/>
    </row>
    <row r="158">
      <c r="A158" s="280"/>
      <c r="B158" s="1459"/>
      <c r="C158" s="370"/>
      <c r="D158" s="370"/>
    </row>
    <row r="159">
      <c r="A159" s="280"/>
      <c r="B159" s="1459"/>
      <c r="C159" s="370"/>
      <c r="D159" s="370"/>
    </row>
    <row r="160">
      <c r="A160" s="280"/>
      <c r="B160" s="1459"/>
      <c r="C160" s="370"/>
      <c r="D160" s="370"/>
    </row>
    <row r="161">
      <c r="A161" s="280"/>
      <c r="B161" s="1459"/>
      <c r="C161" s="370"/>
      <c r="D161" s="370"/>
    </row>
    <row r="162">
      <c r="A162" s="280"/>
      <c r="B162" s="1459"/>
      <c r="C162" s="370"/>
      <c r="D162" s="370"/>
    </row>
    <row r="163">
      <c r="A163" s="280"/>
      <c r="B163" s="1459"/>
      <c r="C163" s="370"/>
      <c r="D163" s="370"/>
    </row>
    <row r="164">
      <c r="A164" s="280"/>
      <c r="B164" s="1459"/>
      <c r="C164" s="370"/>
      <c r="D164" s="370"/>
    </row>
    <row r="165">
      <c r="A165" s="280"/>
      <c r="B165" s="1459"/>
      <c r="C165" s="370"/>
      <c r="D165" s="370"/>
    </row>
    <row r="166">
      <c r="A166" s="280"/>
      <c r="B166" s="1459"/>
      <c r="C166" s="370"/>
      <c r="D166" s="370"/>
    </row>
    <row r="167">
      <c r="A167" s="280"/>
      <c r="B167" s="1459"/>
      <c r="C167" s="370"/>
      <c r="D167" s="370"/>
    </row>
    <row r="168">
      <c r="A168" s="280"/>
      <c r="B168" s="1459"/>
      <c r="C168" s="370"/>
      <c r="D168" s="370"/>
    </row>
    <row r="169">
      <c r="A169" s="280"/>
      <c r="B169" s="1459"/>
      <c r="C169" s="370"/>
      <c r="D169" s="370"/>
    </row>
    <row r="170">
      <c r="A170" s="280"/>
      <c r="B170" s="1459"/>
      <c r="C170" s="370"/>
      <c r="D170" s="370"/>
    </row>
    <row r="171">
      <c r="A171" s="280"/>
      <c r="B171" s="1459"/>
      <c r="C171" s="370"/>
      <c r="D171" s="370"/>
    </row>
    <row r="172">
      <c r="A172" s="280"/>
      <c r="B172" s="1459"/>
      <c r="C172" s="370"/>
      <c r="D172" s="370"/>
    </row>
    <row r="173">
      <c r="A173" s="280"/>
      <c r="B173" s="1459"/>
      <c r="C173" s="370"/>
      <c r="D173" s="370"/>
    </row>
    <row r="174">
      <c r="A174" s="280"/>
      <c r="B174" s="1459"/>
      <c r="C174" s="370"/>
      <c r="D174" s="370"/>
    </row>
    <row r="175">
      <c r="A175" s="280"/>
      <c r="B175" s="1459"/>
      <c r="C175" s="370"/>
      <c r="D175" s="370"/>
    </row>
    <row r="176">
      <c r="A176" s="280"/>
      <c r="B176" s="1459"/>
      <c r="C176" s="370"/>
      <c r="D176" s="370"/>
    </row>
    <row r="177">
      <c r="A177" s="280"/>
      <c r="B177" s="1459"/>
      <c r="C177" s="370"/>
      <c r="D177" s="370"/>
    </row>
    <row r="178">
      <c r="A178" s="280"/>
      <c r="B178" s="1459"/>
      <c r="C178" s="370"/>
      <c r="D178" s="370"/>
    </row>
    <row r="179">
      <c r="A179" s="280"/>
      <c r="B179" s="1459"/>
      <c r="C179" s="370"/>
      <c r="D179" s="370"/>
    </row>
    <row r="180">
      <c r="A180" s="280"/>
      <c r="B180" s="1459"/>
      <c r="C180" s="370"/>
      <c r="D180" s="370"/>
    </row>
    <row r="181">
      <c r="A181" s="280"/>
      <c r="B181" s="1459"/>
      <c r="C181" s="370"/>
      <c r="D181" s="370"/>
    </row>
    <row r="182">
      <c r="A182" s="280"/>
      <c r="B182" s="1459"/>
      <c r="C182" s="370"/>
      <c r="D182" s="370"/>
    </row>
    <row r="183">
      <c r="A183" s="280"/>
      <c r="B183" s="1459"/>
      <c r="C183" s="370"/>
      <c r="D183" s="370"/>
    </row>
    <row r="184">
      <c r="A184" s="280"/>
      <c r="B184" s="1459"/>
      <c r="C184" s="370"/>
      <c r="D184" s="370"/>
    </row>
    <row r="185">
      <c r="A185" s="280"/>
      <c r="B185" s="1459"/>
      <c r="C185" s="370"/>
      <c r="D185" s="370"/>
    </row>
    <row r="186">
      <c r="A186" s="280"/>
      <c r="B186" s="1459"/>
      <c r="C186" s="370"/>
      <c r="D186" s="370"/>
    </row>
    <row r="187">
      <c r="A187" s="280"/>
      <c r="B187" s="1459"/>
      <c r="C187" s="370"/>
      <c r="D187" s="370"/>
    </row>
    <row r="188">
      <c r="A188" s="280"/>
      <c r="B188" s="1459"/>
      <c r="C188" s="370"/>
      <c r="D188" s="370"/>
    </row>
    <row r="189">
      <c r="A189" s="280"/>
      <c r="B189" s="1459"/>
      <c r="C189" s="370"/>
      <c r="D189" s="370"/>
    </row>
    <row r="190">
      <c r="A190" s="280"/>
      <c r="B190" s="1459"/>
      <c r="C190" s="370"/>
      <c r="D190" s="370"/>
    </row>
    <row r="191">
      <c r="A191" s="280"/>
      <c r="B191" s="1459"/>
      <c r="C191" s="370"/>
      <c r="D191" s="370"/>
    </row>
    <row r="192">
      <c r="A192" s="280"/>
      <c r="B192" s="1459"/>
      <c r="C192" s="370"/>
      <c r="D192" s="370"/>
    </row>
    <row r="193">
      <c r="A193" s="280"/>
      <c r="B193" s="1459"/>
      <c r="C193" s="370"/>
      <c r="D193" s="370"/>
    </row>
    <row r="194">
      <c r="A194" s="280"/>
      <c r="B194" s="1459"/>
      <c r="C194" s="370"/>
      <c r="D194" s="370"/>
    </row>
    <row r="195">
      <c r="A195" s="280"/>
      <c r="B195" s="1459"/>
      <c r="C195" s="370"/>
      <c r="D195" s="370"/>
    </row>
    <row r="196">
      <c r="A196" s="280"/>
      <c r="B196" s="1459"/>
      <c r="C196" s="370"/>
      <c r="D196" s="370"/>
    </row>
    <row r="197">
      <c r="A197" s="280"/>
      <c r="B197" s="1459"/>
      <c r="C197" s="370"/>
      <c r="D197" s="370"/>
    </row>
    <row r="198">
      <c r="A198" s="280"/>
      <c r="B198" s="1459"/>
      <c r="C198" s="370"/>
      <c r="D198" s="370"/>
    </row>
    <row r="199">
      <c r="A199" s="280"/>
      <c r="B199" s="1459"/>
      <c r="C199" s="370"/>
      <c r="D199" s="370"/>
    </row>
    <row r="200">
      <c r="A200" s="280"/>
      <c r="B200" s="1459"/>
      <c r="C200" s="370"/>
      <c r="D200" s="370"/>
    </row>
    <row r="201">
      <c r="A201" s="280"/>
      <c r="B201" s="1459"/>
      <c r="C201" s="370"/>
      <c r="D201" s="370"/>
    </row>
    <row r="202">
      <c r="A202" s="280"/>
      <c r="B202" s="1459"/>
      <c r="C202" s="370"/>
      <c r="D202" s="370"/>
    </row>
    <row r="203">
      <c r="A203" s="280"/>
      <c r="B203" s="1459"/>
      <c r="C203" s="370"/>
      <c r="D203" s="370"/>
    </row>
    <row r="204">
      <c r="A204" s="280"/>
      <c r="B204" s="1459"/>
      <c r="C204" s="370"/>
      <c r="D204" s="370"/>
    </row>
    <row r="205">
      <c r="A205" s="280"/>
      <c r="B205" s="1459"/>
      <c r="C205" s="370"/>
      <c r="D205" s="370"/>
    </row>
    <row r="206">
      <c r="A206" s="280"/>
      <c r="B206" s="1459"/>
      <c r="C206" s="370"/>
      <c r="D206" s="370"/>
    </row>
    <row r="207">
      <c r="A207" s="280"/>
      <c r="B207" s="1459"/>
      <c r="C207" s="370"/>
      <c r="D207" s="370"/>
    </row>
    <row r="208">
      <c r="A208" s="280"/>
      <c r="B208" s="1459"/>
      <c r="C208" s="370"/>
      <c r="D208" s="370"/>
    </row>
    <row r="209">
      <c r="A209" s="280"/>
      <c r="B209" s="1459"/>
      <c r="C209" s="370"/>
      <c r="D209" s="370"/>
    </row>
    <row r="210">
      <c r="A210" s="280"/>
      <c r="B210" s="1459"/>
      <c r="C210" s="370"/>
      <c r="D210" s="370"/>
    </row>
    <row r="211">
      <c r="A211" s="280"/>
      <c r="B211" s="1459"/>
      <c r="C211" s="370"/>
      <c r="D211" s="370"/>
    </row>
    <row r="212">
      <c r="A212" s="280"/>
      <c r="B212" s="1459"/>
      <c r="C212" s="370"/>
      <c r="D212" s="370"/>
    </row>
    <row r="213">
      <c r="A213" s="280"/>
      <c r="B213" s="1459"/>
      <c r="C213" s="370"/>
      <c r="D213" s="370"/>
    </row>
    <row r="214">
      <c r="A214" s="280"/>
      <c r="B214" s="1459"/>
      <c r="C214" s="370"/>
      <c r="D214" s="370"/>
    </row>
    <row r="215">
      <c r="A215" s="280"/>
      <c r="B215" s="1459"/>
      <c r="C215" s="370"/>
      <c r="D215" s="370"/>
    </row>
    <row r="216">
      <c r="A216" s="280"/>
      <c r="B216" s="1459"/>
      <c r="C216" s="370"/>
      <c r="D216" s="370"/>
    </row>
    <row r="217">
      <c r="A217" s="280"/>
      <c r="B217" s="1459"/>
      <c r="C217" s="370"/>
      <c r="D217" s="370"/>
    </row>
    <row r="218">
      <c r="A218" s="280"/>
      <c r="B218" s="1459"/>
      <c r="C218" s="370"/>
      <c r="D218" s="370"/>
    </row>
    <row r="219">
      <c r="A219" s="280"/>
      <c r="B219" s="1459"/>
      <c r="C219" s="370"/>
      <c r="D219" s="370"/>
    </row>
    <row r="220">
      <c r="A220" s="280"/>
      <c r="B220" s="1459"/>
      <c r="C220" s="370"/>
      <c r="D220" s="370"/>
    </row>
    <row r="221">
      <c r="A221" s="280"/>
      <c r="B221" s="1459"/>
      <c r="C221" s="370"/>
      <c r="D221" s="370"/>
    </row>
    <row r="222">
      <c r="A222" s="280"/>
      <c r="B222" s="1459"/>
      <c r="C222" s="370"/>
      <c r="D222" s="370"/>
    </row>
    <row r="223">
      <c r="A223" s="280"/>
      <c r="B223" s="1459"/>
      <c r="C223" s="370"/>
      <c r="D223" s="370"/>
    </row>
    <row r="224">
      <c r="A224" s="280"/>
      <c r="B224" s="1459"/>
      <c r="C224" s="370"/>
      <c r="D224" s="370"/>
    </row>
    <row r="225">
      <c r="A225" s="280"/>
      <c r="B225" s="1459"/>
      <c r="C225" s="370"/>
      <c r="D225" s="370"/>
    </row>
    <row r="226">
      <c r="A226" s="280"/>
      <c r="B226" s="1459"/>
      <c r="C226" s="370"/>
      <c r="D226" s="370"/>
    </row>
    <row r="227">
      <c r="A227" s="280"/>
      <c r="B227" s="1459"/>
      <c r="C227" s="370"/>
      <c r="D227" s="370"/>
    </row>
    <row r="228">
      <c r="A228" s="280"/>
      <c r="B228" s="1459"/>
      <c r="C228" s="370"/>
      <c r="D228" s="370"/>
    </row>
    <row r="229">
      <c r="A229" s="280"/>
      <c r="B229" s="1459"/>
      <c r="C229" s="370"/>
      <c r="D229" s="370"/>
    </row>
    <row r="230">
      <c r="A230" s="280"/>
      <c r="B230" s="1459"/>
      <c r="C230" s="370"/>
      <c r="D230" s="370"/>
    </row>
    <row r="231">
      <c r="A231" s="280"/>
      <c r="B231" s="1459"/>
      <c r="C231" s="370"/>
      <c r="D231" s="370"/>
    </row>
    <row r="232">
      <c r="A232" s="280"/>
      <c r="B232" s="1459"/>
      <c r="C232" s="370"/>
      <c r="D232" s="370"/>
    </row>
    <row r="233">
      <c r="A233" s="280"/>
      <c r="B233" s="1459"/>
      <c r="C233" s="370"/>
      <c r="D233" s="370"/>
    </row>
    <row r="234">
      <c r="A234" s="280"/>
      <c r="B234" s="1459"/>
      <c r="C234" s="370"/>
      <c r="D234" s="370"/>
    </row>
    <row r="235">
      <c r="A235" s="280"/>
      <c r="B235" s="1459"/>
      <c r="C235" s="370"/>
      <c r="D235" s="370"/>
    </row>
    <row r="236">
      <c r="A236" s="280"/>
      <c r="B236" s="1459"/>
      <c r="C236" s="370"/>
      <c r="D236" s="370"/>
    </row>
    <row r="237">
      <c r="A237" s="280"/>
      <c r="B237" s="1459"/>
      <c r="C237" s="370"/>
      <c r="D237" s="370"/>
    </row>
    <row r="238">
      <c r="A238" s="280"/>
      <c r="B238" s="1459"/>
      <c r="C238" s="370"/>
      <c r="D238" s="370"/>
    </row>
    <row r="239">
      <c r="A239" s="280"/>
      <c r="B239" s="1459"/>
      <c r="C239" s="370"/>
      <c r="D239" s="370"/>
    </row>
    <row r="240">
      <c r="A240" s="280"/>
      <c r="B240" s="1459"/>
      <c r="C240" s="370"/>
      <c r="D240" s="370"/>
    </row>
    <row r="241">
      <c r="A241" s="280"/>
      <c r="B241" s="1459"/>
      <c r="C241" s="370"/>
      <c r="D241" s="370"/>
    </row>
    <row r="242">
      <c r="A242" s="280"/>
      <c r="B242" s="1459"/>
      <c r="C242" s="370"/>
      <c r="D242" s="370"/>
    </row>
    <row r="243">
      <c r="A243" s="280"/>
      <c r="B243" s="1459"/>
      <c r="C243" s="370"/>
      <c r="D243" s="370"/>
    </row>
    <row r="244">
      <c r="A244" s="280"/>
      <c r="B244" s="1459"/>
      <c r="C244" s="370"/>
      <c r="D244" s="370"/>
    </row>
    <row r="245">
      <c r="A245" s="280"/>
      <c r="B245" s="1459"/>
      <c r="C245" s="370"/>
      <c r="D245" s="370"/>
    </row>
    <row r="246">
      <c r="A246" s="280"/>
      <c r="B246" s="1459"/>
      <c r="C246" s="370"/>
      <c r="D246" s="370"/>
    </row>
    <row r="247">
      <c r="A247" s="280"/>
      <c r="B247" s="1459"/>
      <c r="C247" s="370"/>
      <c r="D247" s="370"/>
    </row>
    <row r="248">
      <c r="A248" s="280"/>
      <c r="B248" s="1459"/>
      <c r="C248" s="370"/>
      <c r="D248" s="370"/>
    </row>
    <row r="249">
      <c r="A249" s="280"/>
      <c r="B249" s="1459"/>
      <c r="C249" s="370"/>
      <c r="D249" s="370"/>
    </row>
    <row r="250">
      <c r="A250" s="280"/>
      <c r="B250" s="1459"/>
      <c r="C250" s="370"/>
      <c r="D250" s="370"/>
    </row>
    <row r="251">
      <c r="A251" s="280"/>
      <c r="B251" s="1459"/>
      <c r="C251" s="370"/>
      <c r="D251" s="370"/>
    </row>
    <row r="252">
      <c r="A252" s="280"/>
      <c r="B252" s="1459"/>
      <c r="C252" s="370"/>
      <c r="D252" s="370"/>
    </row>
    <row r="253">
      <c r="A253" s="280"/>
      <c r="B253" s="1459"/>
      <c r="C253" s="370"/>
      <c r="D253" s="370"/>
    </row>
    <row r="254">
      <c r="A254" s="280"/>
      <c r="B254" s="1459"/>
      <c r="C254" s="370"/>
      <c r="D254" s="370"/>
    </row>
    <row r="255">
      <c r="A255" s="280"/>
      <c r="B255" s="1459"/>
      <c r="C255" s="370"/>
      <c r="D255" s="370"/>
    </row>
    <row r="256">
      <c r="A256" s="280"/>
      <c r="B256" s="1459"/>
      <c r="C256" s="370"/>
      <c r="D256" s="370"/>
    </row>
    <row r="257">
      <c r="A257" s="280"/>
      <c r="B257" s="1459"/>
      <c r="C257" s="370"/>
      <c r="D257" s="370"/>
    </row>
    <row r="258">
      <c r="A258" s="280"/>
      <c r="B258" s="1459"/>
      <c r="C258" s="370"/>
      <c r="D258" s="370"/>
    </row>
    <row r="259">
      <c r="A259" s="280"/>
      <c r="B259" s="1459"/>
      <c r="C259" s="370"/>
      <c r="D259" s="370"/>
    </row>
    <row r="260">
      <c r="A260" s="280"/>
      <c r="B260" s="1459"/>
      <c r="C260" s="370"/>
      <c r="D260" s="370"/>
    </row>
    <row r="261">
      <c r="A261" s="280"/>
      <c r="B261" s="1459"/>
      <c r="C261" s="370"/>
      <c r="D261" s="370"/>
    </row>
    <row r="262">
      <c r="A262" s="280"/>
      <c r="B262" s="1459"/>
      <c r="C262" s="370"/>
      <c r="D262" s="370"/>
    </row>
    <row r="263">
      <c r="A263" s="280"/>
      <c r="B263" s="1459"/>
      <c r="C263" s="370"/>
      <c r="D263" s="370"/>
    </row>
    <row r="264">
      <c r="A264" s="280"/>
      <c r="B264" s="1459"/>
      <c r="C264" s="370"/>
      <c r="D264" s="370"/>
    </row>
    <row r="265">
      <c r="A265" s="280"/>
      <c r="B265" s="1459"/>
      <c r="C265" s="370"/>
      <c r="D265" s="370"/>
    </row>
    <row r="266">
      <c r="A266" s="280"/>
      <c r="B266" s="1459"/>
      <c r="C266" s="370"/>
      <c r="D266" s="370"/>
    </row>
    <row r="267">
      <c r="A267" s="280"/>
      <c r="B267" s="1459"/>
      <c r="C267" s="370"/>
      <c r="D267" s="370"/>
    </row>
    <row r="268">
      <c r="A268" s="280"/>
      <c r="B268" s="1459"/>
      <c r="C268" s="370"/>
      <c r="D268" s="370"/>
    </row>
    <row r="269">
      <c r="A269" s="280"/>
      <c r="B269" s="1459"/>
      <c r="C269" s="370"/>
      <c r="D269" s="370"/>
    </row>
    <row r="270">
      <c r="A270" s="280"/>
      <c r="B270" s="1459"/>
      <c r="C270" s="370"/>
      <c r="D270" s="370"/>
    </row>
    <row r="271">
      <c r="A271" s="280"/>
      <c r="B271" s="1459"/>
      <c r="C271" s="370"/>
      <c r="D271" s="370"/>
    </row>
    <row r="272">
      <c r="A272" s="280"/>
      <c r="B272" s="1459"/>
      <c r="C272" s="370"/>
      <c r="D272" s="370"/>
    </row>
    <row r="273">
      <c r="A273" s="280"/>
      <c r="B273" s="1459"/>
      <c r="C273" s="370"/>
      <c r="D273" s="370"/>
    </row>
    <row r="274">
      <c r="A274" s="280"/>
      <c r="B274" s="1459"/>
      <c r="C274" s="370"/>
      <c r="D274" s="370"/>
    </row>
    <row r="275">
      <c r="A275" s="280"/>
      <c r="B275" s="1459"/>
      <c r="C275" s="370"/>
      <c r="D275" s="370"/>
    </row>
    <row r="276">
      <c r="A276" s="280"/>
      <c r="B276" s="1459"/>
      <c r="C276" s="370"/>
      <c r="D276" s="370"/>
    </row>
    <row r="277">
      <c r="A277" s="280"/>
      <c r="B277" s="1459"/>
      <c r="C277" s="370"/>
      <c r="D277" s="370"/>
    </row>
    <row r="278">
      <c r="A278" s="280"/>
      <c r="B278" s="1459"/>
      <c r="C278" s="370"/>
      <c r="D278" s="370"/>
    </row>
    <row r="279">
      <c r="A279" s="280"/>
      <c r="B279" s="1459"/>
      <c r="C279" s="370"/>
      <c r="D279" s="370"/>
    </row>
    <row r="280">
      <c r="A280" s="280"/>
      <c r="B280" s="1459"/>
      <c r="C280" s="370"/>
      <c r="D280" s="370"/>
    </row>
    <row r="281">
      <c r="A281" s="280"/>
      <c r="B281" s="1459"/>
      <c r="C281" s="370"/>
      <c r="D281" s="370"/>
    </row>
    <row r="282">
      <c r="A282" s="280"/>
      <c r="B282" s="1459"/>
      <c r="C282" s="370"/>
      <c r="D282" s="370"/>
    </row>
    <row r="283">
      <c r="A283" s="280"/>
      <c r="B283" s="1459"/>
      <c r="C283" s="370"/>
      <c r="D283" s="370"/>
    </row>
    <row r="284">
      <c r="A284" s="280"/>
      <c r="B284" s="1459"/>
      <c r="C284" s="370"/>
      <c r="D284" s="370"/>
    </row>
    <row r="285">
      <c r="A285" s="280"/>
      <c r="B285" s="1459"/>
      <c r="C285" s="370"/>
      <c r="D285" s="370"/>
    </row>
    <row r="286">
      <c r="A286" s="280"/>
      <c r="B286" s="1459"/>
      <c r="C286" s="370"/>
      <c r="D286" s="370"/>
    </row>
    <row r="287">
      <c r="A287" s="280"/>
      <c r="B287" s="1459"/>
      <c r="C287" s="370"/>
      <c r="D287" s="370"/>
    </row>
    <row r="288">
      <c r="A288" s="280"/>
      <c r="B288" s="1459"/>
      <c r="C288" s="370"/>
      <c r="D288" s="370"/>
    </row>
    <row r="289">
      <c r="A289" s="280"/>
      <c r="B289" s="1459"/>
      <c r="C289" s="370"/>
      <c r="D289" s="370"/>
    </row>
    <row r="290">
      <c r="A290" s="280"/>
      <c r="B290" s="1459"/>
      <c r="C290" s="370"/>
      <c r="D290" s="370"/>
    </row>
    <row r="291">
      <c r="A291" s="280"/>
      <c r="B291" s="1459"/>
      <c r="C291" s="370"/>
      <c r="D291" s="370"/>
    </row>
    <row r="292">
      <c r="A292" s="280"/>
      <c r="B292" s="1459"/>
      <c r="C292" s="370"/>
      <c r="D292" s="370"/>
    </row>
    <row r="293">
      <c r="A293" s="280"/>
      <c r="B293" s="1459"/>
      <c r="C293" s="370"/>
      <c r="D293" s="370"/>
    </row>
    <row r="294">
      <c r="A294" s="280"/>
      <c r="B294" s="1459"/>
      <c r="C294" s="370"/>
      <c r="D294" s="370"/>
    </row>
    <row r="295">
      <c r="A295" s="280"/>
      <c r="B295" s="1459"/>
      <c r="C295" s="370"/>
      <c r="D295" s="370"/>
    </row>
    <row r="296">
      <c r="A296" s="280"/>
      <c r="B296" s="1459"/>
      <c r="C296" s="370"/>
      <c r="D296" s="370"/>
    </row>
    <row r="297">
      <c r="A297" s="280"/>
      <c r="B297" s="1459"/>
      <c r="C297" s="370"/>
      <c r="D297" s="370"/>
    </row>
    <row r="298">
      <c r="A298" s="280"/>
      <c r="B298" s="1459"/>
      <c r="C298" s="370"/>
      <c r="D298" s="370"/>
    </row>
    <row r="299">
      <c r="A299" s="280"/>
      <c r="B299" s="1459"/>
      <c r="C299" s="370"/>
      <c r="D299" s="370"/>
    </row>
    <row r="300">
      <c r="A300" s="280"/>
      <c r="B300" s="1459"/>
      <c r="C300" s="370"/>
      <c r="D300" s="370"/>
    </row>
    <row r="301">
      <c r="A301" s="280"/>
      <c r="B301" s="1459"/>
      <c r="C301" s="370"/>
      <c r="D301" s="370"/>
    </row>
    <row r="302">
      <c r="A302" s="280"/>
      <c r="B302" s="1459"/>
      <c r="C302" s="370"/>
      <c r="D302" s="370"/>
    </row>
    <row r="303">
      <c r="A303" s="280"/>
      <c r="B303" s="1459"/>
      <c r="C303" s="370"/>
      <c r="D303" s="370"/>
    </row>
    <row r="304">
      <c r="A304" s="280"/>
      <c r="B304" s="1459"/>
      <c r="C304" s="370"/>
      <c r="D304" s="370"/>
    </row>
    <row r="305">
      <c r="A305" s="280"/>
      <c r="B305" s="1459"/>
      <c r="C305" s="370"/>
      <c r="D305" s="370"/>
    </row>
    <row r="306">
      <c r="A306" s="280"/>
      <c r="B306" s="1459"/>
      <c r="C306" s="370"/>
      <c r="D306" s="370"/>
    </row>
    <row r="307">
      <c r="A307" s="280"/>
      <c r="B307" s="1459"/>
      <c r="C307" s="370"/>
      <c r="D307" s="370"/>
    </row>
    <row r="308">
      <c r="A308" s="280"/>
      <c r="B308" s="1459"/>
      <c r="C308" s="370"/>
      <c r="D308" s="370"/>
    </row>
    <row r="309">
      <c r="A309" s="280"/>
      <c r="B309" s="1459"/>
      <c r="C309" s="370"/>
      <c r="D309" s="370"/>
    </row>
    <row r="310">
      <c r="A310" s="280"/>
      <c r="B310" s="1459"/>
      <c r="C310" s="370"/>
      <c r="D310" s="370"/>
    </row>
    <row r="311">
      <c r="A311" s="280"/>
      <c r="B311" s="1459"/>
      <c r="C311" s="370"/>
      <c r="D311" s="370"/>
    </row>
    <row r="312">
      <c r="A312" s="280"/>
      <c r="B312" s="1459"/>
      <c r="C312" s="370"/>
      <c r="D312" s="370"/>
    </row>
    <row r="313">
      <c r="A313" s="280"/>
      <c r="B313" s="1459"/>
      <c r="C313" s="370"/>
      <c r="D313" s="370"/>
    </row>
    <row r="314">
      <c r="A314" s="280"/>
      <c r="B314" s="1459"/>
      <c r="C314" s="370"/>
      <c r="D314" s="370"/>
    </row>
    <row r="315">
      <c r="A315" s="280"/>
      <c r="B315" s="1459"/>
      <c r="C315" s="370"/>
      <c r="D315" s="370"/>
    </row>
    <row r="316">
      <c r="A316" s="280"/>
      <c r="B316" s="1459"/>
      <c r="C316" s="370"/>
      <c r="D316" s="370"/>
    </row>
    <row r="317">
      <c r="A317" s="280"/>
      <c r="B317" s="1459"/>
      <c r="C317" s="370"/>
      <c r="D317" s="370"/>
    </row>
    <row r="318">
      <c r="A318" s="280"/>
      <c r="B318" s="1459"/>
      <c r="C318" s="370"/>
      <c r="D318" s="370"/>
    </row>
    <row r="319">
      <c r="A319" s="280"/>
      <c r="B319" s="1459"/>
      <c r="C319" s="370"/>
      <c r="D319" s="370"/>
    </row>
    <row r="320">
      <c r="A320" s="280"/>
      <c r="B320" s="1459"/>
      <c r="C320" s="370"/>
      <c r="D320" s="370"/>
    </row>
    <row r="321">
      <c r="A321" s="280"/>
      <c r="B321" s="1459"/>
      <c r="C321" s="370"/>
      <c r="D321" s="370"/>
    </row>
    <row r="322">
      <c r="A322" s="280"/>
      <c r="B322" s="1459"/>
      <c r="C322" s="370"/>
      <c r="D322" s="370"/>
    </row>
    <row r="323">
      <c r="A323" s="280"/>
      <c r="B323" s="1459"/>
      <c r="C323" s="370"/>
      <c r="D323" s="370"/>
    </row>
    <row r="324">
      <c r="A324" s="280"/>
      <c r="B324" s="1459"/>
      <c r="C324" s="370"/>
      <c r="D324" s="370"/>
    </row>
    <row r="325">
      <c r="A325" s="280"/>
      <c r="B325" s="1459"/>
      <c r="C325" s="370"/>
      <c r="D325" s="370"/>
    </row>
    <row r="326">
      <c r="A326" s="280"/>
      <c r="B326" s="1459"/>
      <c r="C326" s="370"/>
      <c r="D326" s="370"/>
    </row>
    <row r="327">
      <c r="A327" s="280"/>
      <c r="B327" s="1459"/>
      <c r="C327" s="370"/>
      <c r="D327" s="370"/>
    </row>
    <row r="328">
      <c r="A328" s="280"/>
      <c r="B328" s="1459"/>
      <c r="C328" s="370"/>
      <c r="D328" s="370"/>
    </row>
    <row r="329">
      <c r="A329" s="280"/>
      <c r="B329" s="1459"/>
      <c r="C329" s="370"/>
      <c r="D329" s="370"/>
    </row>
    <row r="330">
      <c r="A330" s="280"/>
      <c r="B330" s="1459"/>
      <c r="C330" s="370"/>
      <c r="D330" s="370"/>
    </row>
    <row r="331">
      <c r="A331" s="280"/>
      <c r="B331" s="1459"/>
      <c r="C331" s="370"/>
      <c r="D331" s="370"/>
    </row>
    <row r="332">
      <c r="A332" s="280"/>
      <c r="B332" s="1459"/>
      <c r="C332" s="370"/>
      <c r="D332" s="370"/>
    </row>
    <row r="333">
      <c r="A333" s="280"/>
      <c r="B333" s="1459"/>
      <c r="C333" s="370"/>
      <c r="D333" s="370"/>
    </row>
    <row r="334">
      <c r="A334" s="280"/>
      <c r="B334" s="1459"/>
      <c r="C334" s="370"/>
      <c r="D334" s="370"/>
    </row>
    <row r="335">
      <c r="A335" s="280"/>
      <c r="B335" s="1459"/>
      <c r="C335" s="370"/>
      <c r="D335" s="370"/>
    </row>
    <row r="336">
      <c r="A336" s="280"/>
      <c r="B336" s="1459"/>
      <c r="C336" s="370"/>
      <c r="D336" s="370"/>
    </row>
    <row r="337">
      <c r="A337" s="280"/>
      <c r="B337" s="1459"/>
      <c r="C337" s="370"/>
      <c r="D337" s="370"/>
    </row>
    <row r="338">
      <c r="A338" s="280"/>
      <c r="B338" s="1459"/>
      <c r="C338" s="370"/>
      <c r="D338" s="370"/>
    </row>
    <row r="339">
      <c r="A339" s="280"/>
      <c r="B339" s="1459"/>
      <c r="C339" s="370"/>
      <c r="D339" s="370"/>
    </row>
    <row r="340">
      <c r="A340" s="280"/>
      <c r="B340" s="1459"/>
      <c r="C340" s="370"/>
      <c r="D340" s="370"/>
    </row>
    <row r="341">
      <c r="A341" s="280"/>
      <c r="B341" s="1459"/>
      <c r="C341" s="370"/>
      <c r="D341" s="370"/>
    </row>
    <row r="342">
      <c r="A342" s="280"/>
      <c r="B342" s="1459"/>
      <c r="C342" s="370"/>
      <c r="D342" s="370"/>
    </row>
    <row r="343">
      <c r="A343" s="280"/>
      <c r="B343" s="1459"/>
      <c r="C343" s="370"/>
      <c r="D343" s="370"/>
    </row>
    <row r="344">
      <c r="A344" s="280"/>
      <c r="B344" s="1459"/>
      <c r="C344" s="370"/>
      <c r="D344" s="370"/>
    </row>
    <row r="345">
      <c r="A345" s="280"/>
      <c r="B345" s="1459"/>
      <c r="C345" s="370"/>
      <c r="D345" s="370"/>
    </row>
    <row r="346">
      <c r="A346" s="280"/>
      <c r="B346" s="1459"/>
      <c r="C346" s="370"/>
      <c r="D346" s="370"/>
    </row>
    <row r="347">
      <c r="A347" s="280"/>
      <c r="B347" s="1459"/>
      <c r="C347" s="370"/>
      <c r="D347" s="370"/>
    </row>
    <row r="348">
      <c r="A348" s="280"/>
      <c r="B348" s="1459"/>
      <c r="C348" s="370"/>
      <c r="D348" s="370"/>
    </row>
    <row r="349">
      <c r="A349" s="280"/>
      <c r="B349" s="1459"/>
      <c r="C349" s="370"/>
      <c r="D349" s="370"/>
    </row>
    <row r="350">
      <c r="A350" s="280"/>
      <c r="B350" s="1459"/>
      <c r="C350" s="370"/>
      <c r="D350" s="370"/>
    </row>
    <row r="351">
      <c r="A351" s="280"/>
      <c r="B351" s="1459"/>
      <c r="C351" s="370"/>
      <c r="D351" s="370"/>
    </row>
    <row r="352">
      <c r="A352" s="280"/>
      <c r="B352" s="1459"/>
      <c r="C352" s="370"/>
      <c r="D352" s="370"/>
    </row>
    <row r="353">
      <c r="A353" s="280"/>
      <c r="B353" s="1459"/>
      <c r="C353" s="370"/>
      <c r="D353" s="370"/>
    </row>
    <row r="354">
      <c r="A354" s="280"/>
      <c r="B354" s="1459"/>
      <c r="C354" s="370"/>
      <c r="D354" s="370"/>
    </row>
    <row r="355">
      <c r="A355" s="280"/>
      <c r="B355" s="1459"/>
      <c r="C355" s="370"/>
      <c r="D355" s="370"/>
    </row>
    <row r="356">
      <c r="A356" s="280"/>
      <c r="B356" s="1459"/>
      <c r="C356" s="370"/>
      <c r="D356" s="370"/>
    </row>
    <row r="357">
      <c r="A357" s="280"/>
      <c r="B357" s="1459"/>
      <c r="C357" s="370"/>
      <c r="D357" s="370"/>
    </row>
    <row r="358">
      <c r="A358" s="280"/>
      <c r="B358" s="1459"/>
      <c r="C358" s="370"/>
      <c r="D358" s="370"/>
    </row>
    <row r="359">
      <c r="A359" s="280"/>
      <c r="B359" s="1459"/>
      <c r="C359" s="370"/>
      <c r="D359" s="370"/>
    </row>
    <row r="360">
      <c r="A360" s="280"/>
      <c r="B360" s="1459"/>
      <c r="C360" s="370"/>
      <c r="D360" s="370"/>
    </row>
    <row r="361">
      <c r="A361" s="280"/>
      <c r="B361" s="1459"/>
      <c r="C361" s="370"/>
      <c r="D361" s="370"/>
    </row>
    <row r="362">
      <c r="A362" s="280"/>
      <c r="B362" s="1459"/>
      <c r="C362" s="370"/>
      <c r="D362" s="370"/>
    </row>
    <row r="363">
      <c r="A363" s="280"/>
      <c r="B363" s="1459"/>
      <c r="C363" s="370"/>
      <c r="D363" s="370"/>
    </row>
    <row r="364">
      <c r="A364" s="280"/>
      <c r="B364" s="1459"/>
      <c r="C364" s="370"/>
      <c r="D364" s="370"/>
    </row>
    <row r="365">
      <c r="A365" s="280"/>
      <c r="B365" s="1459"/>
      <c r="C365" s="370"/>
      <c r="D365" s="370"/>
    </row>
    <row r="366">
      <c r="A366" s="280"/>
      <c r="B366" s="1459"/>
      <c r="C366" s="370"/>
      <c r="D366" s="370"/>
    </row>
    <row r="367">
      <c r="A367" s="280"/>
      <c r="B367" s="1459"/>
      <c r="C367" s="370"/>
      <c r="D367" s="370"/>
    </row>
    <row r="368">
      <c r="A368" s="280"/>
      <c r="B368" s="1459"/>
      <c r="C368" s="370"/>
      <c r="D368" s="370"/>
    </row>
    <row r="369">
      <c r="A369" s="280"/>
      <c r="B369" s="1459"/>
      <c r="C369" s="370"/>
      <c r="D369" s="370"/>
    </row>
    <row r="370">
      <c r="A370" s="280"/>
      <c r="B370" s="1459"/>
      <c r="C370" s="370"/>
      <c r="D370" s="370"/>
    </row>
    <row r="371">
      <c r="A371" s="280"/>
      <c r="B371" s="1459"/>
      <c r="C371" s="370"/>
      <c r="D371" s="370"/>
    </row>
    <row r="372">
      <c r="A372" s="280"/>
      <c r="B372" s="1459"/>
      <c r="C372" s="370"/>
      <c r="D372" s="370"/>
    </row>
    <row r="373">
      <c r="A373" s="280"/>
      <c r="B373" s="1459"/>
      <c r="C373" s="370"/>
      <c r="D373" s="370"/>
    </row>
    <row r="374">
      <c r="A374" s="280"/>
      <c r="B374" s="1459"/>
      <c r="C374" s="370"/>
      <c r="D374" s="370"/>
    </row>
    <row r="375">
      <c r="A375" s="280"/>
      <c r="B375" s="1459"/>
      <c r="C375" s="370"/>
      <c r="D375" s="370"/>
    </row>
    <row r="376">
      <c r="A376" s="280"/>
      <c r="B376" s="1459"/>
      <c r="C376" s="370"/>
      <c r="D376" s="370"/>
    </row>
    <row r="377">
      <c r="A377" s="280"/>
      <c r="B377" s="1459"/>
      <c r="C377" s="370"/>
      <c r="D377" s="370"/>
    </row>
    <row r="378">
      <c r="A378" s="280"/>
      <c r="B378" s="1459"/>
      <c r="C378" s="370"/>
      <c r="D378" s="370"/>
    </row>
    <row r="379">
      <c r="A379" s="280"/>
      <c r="B379" s="1459"/>
      <c r="C379" s="370"/>
      <c r="D379" s="370"/>
    </row>
    <row r="380">
      <c r="A380" s="280"/>
      <c r="B380" s="1459"/>
      <c r="C380" s="370"/>
      <c r="D380" s="370"/>
    </row>
    <row r="381">
      <c r="A381" s="280"/>
      <c r="B381" s="1459"/>
      <c r="C381" s="370"/>
      <c r="D381" s="370"/>
    </row>
    <row r="382">
      <c r="A382" s="280"/>
      <c r="B382" s="1459"/>
      <c r="C382" s="370"/>
      <c r="D382" s="370"/>
    </row>
    <row r="383">
      <c r="A383" s="280"/>
      <c r="B383" s="1459"/>
      <c r="C383" s="370"/>
      <c r="D383" s="370"/>
    </row>
    <row r="384">
      <c r="A384" s="280"/>
      <c r="B384" s="1459"/>
      <c r="C384" s="370"/>
      <c r="D384" s="370"/>
    </row>
    <row r="385">
      <c r="A385" s="280"/>
      <c r="B385" s="1459"/>
      <c r="C385" s="370"/>
      <c r="D385" s="370"/>
    </row>
    <row r="386">
      <c r="A386" s="280"/>
      <c r="B386" s="1459"/>
      <c r="C386" s="370"/>
      <c r="D386" s="370"/>
    </row>
    <row r="387">
      <c r="A387" s="280"/>
      <c r="B387" s="1459"/>
      <c r="C387" s="370"/>
      <c r="D387" s="370"/>
    </row>
    <row r="388">
      <c r="A388" s="280"/>
      <c r="B388" s="1459"/>
      <c r="C388" s="370"/>
      <c r="D388" s="370"/>
    </row>
    <row r="389">
      <c r="A389" s="280"/>
      <c r="B389" s="1459"/>
      <c r="C389" s="370"/>
      <c r="D389" s="370"/>
    </row>
    <row r="390">
      <c r="A390" s="280"/>
      <c r="B390" s="1459"/>
      <c r="C390" s="370"/>
      <c r="D390" s="370"/>
    </row>
    <row r="391">
      <c r="A391" s="280"/>
      <c r="B391" s="1459"/>
      <c r="C391" s="370"/>
      <c r="D391" s="370"/>
    </row>
    <row r="392">
      <c r="A392" s="280"/>
      <c r="B392" s="1459"/>
      <c r="C392" s="370"/>
      <c r="D392" s="370"/>
    </row>
    <row r="393">
      <c r="A393" s="280"/>
      <c r="B393" s="1459"/>
      <c r="C393" s="370"/>
      <c r="D393" s="370"/>
    </row>
    <row r="394">
      <c r="A394" s="280"/>
      <c r="B394" s="1459"/>
      <c r="C394" s="370"/>
      <c r="D394" s="370"/>
    </row>
    <row r="395">
      <c r="A395" s="280"/>
      <c r="B395" s="1459"/>
      <c r="C395" s="370"/>
      <c r="D395" s="370"/>
    </row>
    <row r="396">
      <c r="A396" s="280"/>
      <c r="B396" s="1459"/>
      <c r="C396" s="370"/>
      <c r="D396" s="370"/>
    </row>
    <row r="397">
      <c r="A397" s="280"/>
      <c r="B397" s="1459"/>
      <c r="C397" s="370"/>
      <c r="D397" s="370"/>
    </row>
    <row r="398">
      <c r="A398" s="280"/>
      <c r="B398" s="1459"/>
      <c r="C398" s="370"/>
      <c r="D398" s="370"/>
    </row>
    <row r="399">
      <c r="A399" s="280"/>
      <c r="B399" s="1459"/>
      <c r="C399" s="370"/>
      <c r="D399" s="370"/>
    </row>
    <row r="400">
      <c r="A400" s="280"/>
      <c r="B400" s="1459"/>
      <c r="C400" s="370"/>
      <c r="D400" s="370"/>
    </row>
    <row r="401">
      <c r="A401" s="280"/>
      <c r="B401" s="1459"/>
      <c r="C401" s="370"/>
      <c r="D401" s="370"/>
    </row>
    <row r="402">
      <c r="A402" s="280"/>
      <c r="B402" s="1459"/>
      <c r="C402" s="370"/>
      <c r="D402" s="370"/>
    </row>
    <row r="403">
      <c r="A403" s="280"/>
      <c r="B403" s="1459"/>
      <c r="C403" s="370"/>
      <c r="D403" s="370"/>
    </row>
    <row r="404">
      <c r="A404" s="280"/>
      <c r="B404" s="1459"/>
      <c r="C404" s="370"/>
      <c r="D404" s="370"/>
    </row>
    <row r="405">
      <c r="A405" s="280"/>
      <c r="B405" s="1459"/>
      <c r="C405" s="370"/>
      <c r="D405" s="370"/>
    </row>
    <row r="406">
      <c r="A406" s="280"/>
      <c r="B406" s="1459"/>
      <c r="C406" s="370"/>
      <c r="D406" s="370"/>
    </row>
    <row r="407">
      <c r="A407" s="280"/>
      <c r="B407" s="1459"/>
      <c r="C407" s="370"/>
      <c r="D407" s="370"/>
    </row>
    <row r="408">
      <c r="A408" s="280"/>
      <c r="B408" s="1459"/>
      <c r="C408" s="370"/>
      <c r="D408" s="370"/>
    </row>
    <row r="409">
      <c r="A409" s="280"/>
      <c r="B409" s="1459"/>
      <c r="C409" s="370"/>
      <c r="D409" s="370"/>
    </row>
    <row r="410">
      <c r="A410" s="280"/>
      <c r="B410" s="1459"/>
      <c r="C410" s="370"/>
      <c r="D410" s="370"/>
    </row>
    <row r="411">
      <c r="A411" s="280"/>
      <c r="B411" s="1459"/>
      <c r="C411" s="370"/>
      <c r="D411" s="370"/>
    </row>
    <row r="412">
      <c r="A412" s="280"/>
      <c r="B412" s="1459"/>
      <c r="C412" s="370"/>
      <c r="D412" s="370"/>
    </row>
    <row r="413">
      <c r="A413" s="280"/>
      <c r="B413" s="1459"/>
      <c r="C413" s="370"/>
      <c r="D413" s="370"/>
    </row>
    <row r="414">
      <c r="A414" s="280"/>
      <c r="B414" s="1459"/>
      <c r="C414" s="370"/>
      <c r="D414" s="370"/>
    </row>
    <row r="415">
      <c r="A415" s="280"/>
      <c r="B415" s="1459"/>
      <c r="C415" s="370"/>
      <c r="D415" s="370"/>
    </row>
    <row r="416">
      <c r="A416" s="280"/>
      <c r="B416" s="1459"/>
      <c r="C416" s="370"/>
      <c r="D416" s="370"/>
    </row>
    <row r="417">
      <c r="A417" s="280"/>
      <c r="B417" s="1459"/>
      <c r="C417" s="370"/>
      <c r="D417" s="370"/>
    </row>
    <row r="418">
      <c r="A418" s="280"/>
      <c r="B418" s="1459"/>
      <c r="C418" s="370"/>
      <c r="D418" s="370"/>
    </row>
    <row r="419">
      <c r="A419" s="280"/>
      <c r="B419" s="1459"/>
      <c r="C419" s="370"/>
      <c r="D419" s="370"/>
    </row>
    <row r="420">
      <c r="A420" s="280"/>
      <c r="B420" s="1459"/>
      <c r="C420" s="370"/>
      <c r="D420" s="370"/>
    </row>
    <row r="421">
      <c r="A421" s="280"/>
      <c r="B421" s="1459"/>
      <c r="C421" s="370"/>
      <c r="D421" s="370"/>
    </row>
    <row r="422">
      <c r="A422" s="280"/>
      <c r="B422" s="1459"/>
      <c r="C422" s="370"/>
      <c r="D422" s="370"/>
    </row>
    <row r="423">
      <c r="A423" s="280"/>
      <c r="B423" s="1459"/>
      <c r="C423" s="370"/>
      <c r="D423" s="370"/>
    </row>
    <row r="424">
      <c r="A424" s="280"/>
      <c r="B424" s="1459"/>
      <c r="C424" s="370"/>
      <c r="D424" s="370"/>
    </row>
    <row r="425">
      <c r="A425" s="280"/>
      <c r="B425" s="1459"/>
      <c r="C425" s="370"/>
      <c r="D425" s="370"/>
    </row>
    <row r="426">
      <c r="A426" s="280"/>
      <c r="B426" s="1459"/>
      <c r="C426" s="370"/>
      <c r="D426" s="370"/>
    </row>
    <row r="427">
      <c r="A427" s="280"/>
      <c r="B427" s="1459"/>
      <c r="C427" s="370"/>
      <c r="D427" s="370"/>
    </row>
    <row r="428">
      <c r="A428" s="280"/>
      <c r="B428" s="1459"/>
      <c r="C428" s="370"/>
      <c r="D428" s="370"/>
    </row>
    <row r="429">
      <c r="A429" s="280"/>
      <c r="B429" s="1459"/>
      <c r="C429" s="370"/>
      <c r="D429" s="370"/>
    </row>
    <row r="430">
      <c r="A430" s="280"/>
      <c r="B430" s="1459"/>
      <c r="C430" s="370"/>
      <c r="D430" s="370"/>
    </row>
    <row r="431">
      <c r="A431" s="280"/>
      <c r="B431" s="1459"/>
      <c r="C431" s="370"/>
      <c r="D431" s="370"/>
    </row>
    <row r="432">
      <c r="A432" s="280"/>
      <c r="B432" s="1459"/>
      <c r="C432" s="370"/>
      <c r="D432" s="370"/>
    </row>
    <row r="433">
      <c r="A433" s="280"/>
      <c r="B433" s="1459"/>
      <c r="C433" s="370"/>
      <c r="D433" s="370"/>
    </row>
    <row r="434">
      <c r="A434" s="280"/>
      <c r="B434" s="1459"/>
      <c r="C434" s="370"/>
      <c r="D434" s="370"/>
    </row>
    <row r="435">
      <c r="A435" s="280"/>
      <c r="B435" s="1459"/>
      <c r="C435" s="370"/>
      <c r="D435" s="370"/>
    </row>
    <row r="436">
      <c r="A436" s="280"/>
      <c r="B436" s="1459"/>
      <c r="C436" s="370"/>
      <c r="D436" s="370"/>
    </row>
    <row r="437">
      <c r="A437" s="280"/>
      <c r="B437" s="1459"/>
      <c r="C437" s="370"/>
      <c r="D437" s="370"/>
    </row>
    <row r="438">
      <c r="A438" s="280"/>
      <c r="B438" s="1459"/>
      <c r="C438" s="370"/>
      <c r="D438" s="370"/>
    </row>
    <row r="439">
      <c r="A439" s="280"/>
      <c r="B439" s="1459"/>
      <c r="C439" s="370"/>
      <c r="D439" s="370"/>
    </row>
    <row r="440">
      <c r="A440" s="280"/>
      <c r="B440" s="1459"/>
      <c r="C440" s="370"/>
      <c r="D440" s="370"/>
    </row>
    <row r="441">
      <c r="A441" s="280"/>
      <c r="B441" s="1459"/>
      <c r="C441" s="370"/>
      <c r="D441" s="370"/>
    </row>
    <row r="442">
      <c r="A442" s="280"/>
      <c r="B442" s="1459"/>
      <c r="C442" s="370"/>
      <c r="D442" s="370"/>
    </row>
    <row r="443">
      <c r="A443" s="280"/>
      <c r="B443" s="1459"/>
      <c r="C443" s="370"/>
      <c r="D443" s="370"/>
    </row>
    <row r="444">
      <c r="A444" s="280"/>
      <c r="B444" s="1459"/>
      <c r="C444" s="370"/>
      <c r="D444" s="370"/>
    </row>
    <row r="445">
      <c r="A445" s="280"/>
      <c r="B445" s="1459"/>
      <c r="C445" s="370"/>
      <c r="D445" s="370"/>
    </row>
    <row r="446">
      <c r="A446" s="280"/>
      <c r="B446" s="1459"/>
      <c r="C446" s="370"/>
      <c r="D446" s="370"/>
    </row>
    <row r="447">
      <c r="A447" s="280"/>
      <c r="B447" s="1459"/>
      <c r="C447" s="370"/>
      <c r="D447" s="370"/>
    </row>
    <row r="448">
      <c r="A448" s="280"/>
      <c r="B448" s="1459"/>
      <c r="C448" s="370"/>
      <c r="D448" s="370"/>
    </row>
    <row r="449">
      <c r="A449" s="280"/>
      <c r="B449" s="1459"/>
      <c r="C449" s="370"/>
      <c r="D449" s="370"/>
    </row>
    <row r="450">
      <c r="A450" s="280"/>
      <c r="B450" s="1459"/>
      <c r="C450" s="370"/>
      <c r="D450" s="370"/>
    </row>
    <row r="451">
      <c r="A451" s="280"/>
      <c r="B451" s="1459"/>
      <c r="C451" s="370"/>
      <c r="D451" s="370"/>
    </row>
    <row r="452">
      <c r="A452" s="280"/>
      <c r="B452" s="1459"/>
      <c r="C452" s="370"/>
      <c r="D452" s="370"/>
    </row>
    <row r="453">
      <c r="A453" s="280"/>
      <c r="B453" s="1459"/>
      <c r="C453" s="370"/>
      <c r="D453" s="370"/>
    </row>
    <row r="454">
      <c r="A454" s="280"/>
      <c r="B454" s="1459"/>
      <c r="C454" s="370"/>
      <c r="D454" s="370"/>
    </row>
    <row r="455">
      <c r="A455" s="280"/>
      <c r="B455" s="1459"/>
      <c r="C455" s="370"/>
      <c r="D455" s="370"/>
    </row>
    <row r="456">
      <c r="A456" s="280"/>
      <c r="B456" s="1459"/>
      <c r="C456" s="370"/>
      <c r="D456" s="370"/>
    </row>
    <row r="457">
      <c r="A457" s="280"/>
      <c r="B457" s="1459"/>
      <c r="C457" s="370"/>
      <c r="D457" s="370"/>
    </row>
    <row r="458">
      <c r="A458" s="280"/>
      <c r="B458" s="1459"/>
      <c r="C458" s="370"/>
      <c r="D458" s="370"/>
    </row>
    <row r="459">
      <c r="A459" s="280"/>
      <c r="B459" s="1459"/>
      <c r="C459" s="370"/>
      <c r="D459" s="370"/>
    </row>
    <row r="460">
      <c r="A460" s="280"/>
      <c r="B460" s="1459"/>
      <c r="C460" s="370"/>
      <c r="D460" s="370"/>
    </row>
    <row r="461">
      <c r="A461" s="280"/>
      <c r="B461" s="1459"/>
      <c r="C461" s="370"/>
      <c r="D461" s="370"/>
    </row>
    <row r="462">
      <c r="A462" s="280"/>
      <c r="B462" s="1459"/>
      <c r="C462" s="370"/>
      <c r="D462" s="370"/>
    </row>
    <row r="463">
      <c r="A463" s="280"/>
      <c r="B463" s="1459"/>
      <c r="C463" s="370"/>
      <c r="D463" s="370"/>
    </row>
    <row r="464">
      <c r="A464" s="280"/>
      <c r="B464" s="1459"/>
      <c r="C464" s="370"/>
      <c r="D464" s="370"/>
    </row>
    <row r="465">
      <c r="A465" s="280"/>
      <c r="B465" s="1459"/>
      <c r="C465" s="370"/>
      <c r="D465" s="370"/>
    </row>
    <row r="466">
      <c r="A466" s="280"/>
      <c r="B466" s="1459"/>
      <c r="C466" s="370"/>
      <c r="D466" s="370"/>
    </row>
    <row r="467">
      <c r="A467" s="280"/>
      <c r="B467" s="1459"/>
      <c r="C467" s="370"/>
      <c r="D467" s="370"/>
    </row>
    <row r="468">
      <c r="A468" s="280"/>
      <c r="B468" s="1459"/>
      <c r="C468" s="370"/>
      <c r="D468" s="370"/>
    </row>
    <row r="469">
      <c r="A469" s="280"/>
      <c r="B469" s="1459"/>
      <c r="C469" s="370"/>
      <c r="D469" s="370"/>
    </row>
    <row r="470">
      <c r="A470" s="280"/>
      <c r="B470" s="1459"/>
      <c r="C470" s="370"/>
      <c r="D470" s="370"/>
    </row>
    <row r="471">
      <c r="A471" s="280"/>
      <c r="B471" s="1459"/>
      <c r="C471" s="370"/>
      <c r="D471" s="370"/>
    </row>
    <row r="472">
      <c r="A472" s="280"/>
      <c r="B472" s="1459"/>
      <c r="C472" s="370"/>
      <c r="D472" s="370"/>
    </row>
    <row r="473">
      <c r="A473" s="280"/>
      <c r="B473" s="1459"/>
      <c r="C473" s="370"/>
      <c r="D473" s="370"/>
    </row>
    <row r="474">
      <c r="A474" s="280"/>
      <c r="B474" s="1459"/>
      <c r="C474" s="370"/>
      <c r="D474" s="370"/>
    </row>
    <row r="475">
      <c r="A475" s="280"/>
      <c r="B475" s="1459"/>
      <c r="C475" s="370"/>
      <c r="D475" s="370"/>
    </row>
    <row r="476">
      <c r="A476" s="280"/>
      <c r="B476" s="1459"/>
      <c r="C476" s="370"/>
      <c r="D476" s="370"/>
    </row>
    <row r="477">
      <c r="A477" s="280"/>
      <c r="B477" s="1459"/>
      <c r="C477" s="370"/>
      <c r="D477" s="370"/>
    </row>
    <row r="478">
      <c r="A478" s="280"/>
      <c r="B478" s="1459"/>
      <c r="C478" s="370"/>
      <c r="D478" s="370"/>
    </row>
    <row r="479">
      <c r="A479" s="280"/>
      <c r="B479" s="1459"/>
      <c r="C479" s="370"/>
      <c r="D479" s="370"/>
    </row>
    <row r="480">
      <c r="A480" s="280"/>
      <c r="B480" s="1459"/>
      <c r="C480" s="370"/>
      <c r="D480" s="370"/>
    </row>
    <row r="481">
      <c r="A481" s="280"/>
      <c r="B481" s="1459"/>
      <c r="C481" s="370"/>
      <c r="D481" s="370"/>
    </row>
    <row r="482">
      <c r="A482" s="280"/>
      <c r="B482" s="1459"/>
      <c r="C482" s="370"/>
      <c r="D482" s="370"/>
    </row>
    <row r="483">
      <c r="A483" s="280"/>
      <c r="B483" s="1459"/>
      <c r="C483" s="370"/>
      <c r="D483" s="370"/>
    </row>
    <row r="484">
      <c r="A484" s="280"/>
      <c r="B484" s="1459"/>
      <c r="C484" s="370"/>
      <c r="D484" s="370"/>
    </row>
    <row r="485">
      <c r="A485" s="280"/>
      <c r="B485" s="1459"/>
      <c r="C485" s="370"/>
      <c r="D485" s="370"/>
    </row>
    <row r="486">
      <c r="A486" s="280"/>
      <c r="B486" s="1459"/>
      <c r="C486" s="370"/>
      <c r="D486" s="370"/>
    </row>
    <row r="487">
      <c r="A487" s="280"/>
      <c r="B487" s="1459"/>
      <c r="C487" s="370"/>
      <c r="D487" s="370"/>
    </row>
    <row r="488">
      <c r="A488" s="280"/>
      <c r="B488" s="1459"/>
      <c r="C488" s="370"/>
      <c r="D488" s="370"/>
    </row>
    <row r="489">
      <c r="A489" s="280"/>
      <c r="B489" s="1459"/>
      <c r="C489" s="370"/>
      <c r="D489" s="370"/>
    </row>
    <row r="490">
      <c r="A490" s="280"/>
      <c r="B490" s="1459"/>
      <c r="C490" s="370"/>
      <c r="D490" s="370"/>
    </row>
    <row r="491">
      <c r="A491" s="280"/>
      <c r="B491" s="1459"/>
      <c r="C491" s="370"/>
      <c r="D491" s="370"/>
    </row>
    <row r="492">
      <c r="A492" s="280"/>
      <c r="B492" s="1459"/>
      <c r="C492" s="370"/>
      <c r="D492" s="370"/>
    </row>
    <row r="493">
      <c r="A493" s="280"/>
      <c r="B493" s="1459"/>
      <c r="C493" s="370"/>
      <c r="D493" s="370"/>
    </row>
    <row r="494">
      <c r="A494" s="280"/>
      <c r="B494" s="1459"/>
      <c r="C494" s="370"/>
      <c r="D494" s="370"/>
    </row>
    <row r="495">
      <c r="A495" s="280"/>
      <c r="B495" s="1459"/>
      <c r="C495" s="370"/>
      <c r="D495" s="370"/>
    </row>
    <row r="496">
      <c r="A496" s="280"/>
      <c r="B496" s="1459"/>
      <c r="C496" s="370"/>
      <c r="D496" s="370"/>
    </row>
    <row r="497">
      <c r="A497" s="280"/>
      <c r="B497" s="1459"/>
      <c r="C497" s="370"/>
      <c r="D497" s="370"/>
    </row>
    <row r="498">
      <c r="A498" s="280"/>
      <c r="B498" s="1459"/>
      <c r="C498" s="370"/>
      <c r="D498" s="370"/>
    </row>
    <row r="499">
      <c r="A499" s="280"/>
      <c r="B499" s="1459"/>
      <c r="C499" s="370"/>
      <c r="D499" s="370"/>
    </row>
    <row r="500">
      <c r="A500" s="280"/>
      <c r="B500" s="1459"/>
      <c r="C500" s="370"/>
      <c r="D500" s="370"/>
    </row>
    <row r="501">
      <c r="A501" s="280"/>
      <c r="B501" s="1459"/>
      <c r="C501" s="370"/>
      <c r="D501" s="370"/>
    </row>
    <row r="502">
      <c r="A502" s="280"/>
      <c r="B502" s="1459"/>
      <c r="C502" s="370"/>
      <c r="D502" s="370"/>
    </row>
    <row r="503">
      <c r="A503" s="280"/>
      <c r="B503" s="1459"/>
      <c r="C503" s="370"/>
      <c r="D503" s="370"/>
    </row>
    <row r="504">
      <c r="A504" s="280"/>
      <c r="B504" s="1459"/>
      <c r="C504" s="370"/>
      <c r="D504" s="370"/>
    </row>
    <row r="505">
      <c r="A505" s="280"/>
      <c r="B505" s="1459"/>
      <c r="C505" s="370"/>
      <c r="D505" s="370"/>
    </row>
    <row r="506">
      <c r="A506" s="280"/>
      <c r="B506" s="1459"/>
      <c r="C506" s="370"/>
      <c r="D506" s="370"/>
    </row>
    <row r="507">
      <c r="A507" s="280"/>
      <c r="B507" s="1459"/>
      <c r="C507" s="370"/>
      <c r="D507" s="370"/>
    </row>
    <row r="508">
      <c r="A508" s="280"/>
      <c r="B508" s="1459"/>
      <c r="C508" s="370"/>
      <c r="D508" s="370"/>
    </row>
    <row r="509">
      <c r="A509" s="280"/>
      <c r="B509" s="1459"/>
      <c r="C509" s="370"/>
      <c r="D509" s="370"/>
    </row>
    <row r="510">
      <c r="A510" s="280"/>
      <c r="B510" s="1459"/>
      <c r="C510" s="370"/>
      <c r="D510" s="370"/>
    </row>
    <row r="511">
      <c r="A511" s="280"/>
      <c r="B511" s="1459"/>
      <c r="C511" s="370"/>
      <c r="D511" s="370"/>
    </row>
    <row r="512">
      <c r="A512" s="280"/>
      <c r="B512" s="1459"/>
      <c r="C512" s="370"/>
      <c r="D512" s="370"/>
    </row>
    <row r="513">
      <c r="A513" s="280"/>
      <c r="B513" s="1459"/>
      <c r="C513" s="370"/>
      <c r="D513" s="370"/>
    </row>
    <row r="514">
      <c r="A514" s="280"/>
      <c r="B514" s="1459"/>
      <c r="C514" s="370"/>
      <c r="D514" s="370"/>
    </row>
    <row r="515">
      <c r="A515" s="280"/>
      <c r="B515" s="1459"/>
      <c r="C515" s="370"/>
      <c r="D515" s="370"/>
    </row>
    <row r="516">
      <c r="A516" s="280"/>
      <c r="B516" s="1459"/>
      <c r="C516" s="370"/>
      <c r="D516" s="370"/>
    </row>
    <row r="517">
      <c r="A517" s="280"/>
      <c r="B517" s="1459"/>
      <c r="C517" s="370"/>
      <c r="D517" s="370"/>
    </row>
    <row r="518">
      <c r="A518" s="280"/>
      <c r="B518" s="1459"/>
      <c r="C518" s="370"/>
      <c r="D518" s="370"/>
    </row>
    <row r="519">
      <c r="A519" s="280"/>
      <c r="B519" s="1459"/>
      <c r="C519" s="370"/>
      <c r="D519" s="370"/>
    </row>
    <row r="520">
      <c r="A520" s="280"/>
      <c r="B520" s="1459"/>
      <c r="C520" s="370"/>
      <c r="D520" s="370"/>
    </row>
    <row r="521">
      <c r="A521" s="280"/>
      <c r="B521" s="1459"/>
      <c r="C521" s="370"/>
      <c r="D521" s="370"/>
    </row>
    <row r="522">
      <c r="A522" s="280"/>
      <c r="B522" s="1459"/>
      <c r="C522" s="370"/>
      <c r="D522" s="370"/>
    </row>
    <row r="523">
      <c r="A523" s="280"/>
      <c r="B523" s="1459"/>
      <c r="C523" s="370"/>
      <c r="D523" s="370"/>
    </row>
    <row r="524">
      <c r="A524" s="280"/>
      <c r="B524" s="1459"/>
      <c r="C524" s="370"/>
      <c r="D524" s="370"/>
    </row>
    <row r="525">
      <c r="A525" s="280"/>
      <c r="B525" s="1459"/>
      <c r="C525" s="370"/>
      <c r="D525" s="370"/>
    </row>
    <row r="526">
      <c r="A526" s="280"/>
      <c r="B526" s="1459"/>
      <c r="C526" s="370"/>
      <c r="D526" s="370"/>
    </row>
    <row r="527">
      <c r="A527" s="280"/>
      <c r="B527" s="1459"/>
      <c r="C527" s="370"/>
      <c r="D527" s="370"/>
    </row>
    <row r="528">
      <c r="A528" s="280"/>
      <c r="B528" s="1459"/>
      <c r="C528" s="370"/>
      <c r="D528" s="370"/>
    </row>
    <row r="529">
      <c r="A529" s="280"/>
      <c r="B529" s="1459"/>
      <c r="C529" s="370"/>
      <c r="D529" s="370"/>
    </row>
    <row r="530">
      <c r="A530" s="280"/>
      <c r="B530" s="1459"/>
      <c r="C530" s="370"/>
      <c r="D530" s="370"/>
    </row>
    <row r="531">
      <c r="A531" s="280"/>
      <c r="B531" s="1459"/>
      <c r="C531" s="370"/>
      <c r="D531" s="370"/>
    </row>
    <row r="532">
      <c r="A532" s="280"/>
      <c r="B532" s="1459"/>
      <c r="C532" s="370"/>
      <c r="D532" s="370"/>
    </row>
    <row r="533">
      <c r="A533" s="280"/>
      <c r="B533" s="1459"/>
      <c r="C533" s="370"/>
      <c r="D533" s="370"/>
    </row>
    <row r="534">
      <c r="A534" s="280"/>
      <c r="B534" s="1459"/>
      <c r="C534" s="370"/>
      <c r="D534" s="370"/>
    </row>
    <row r="535">
      <c r="A535" s="280"/>
      <c r="B535" s="1459"/>
      <c r="C535" s="370"/>
      <c r="D535" s="370"/>
    </row>
    <row r="536">
      <c r="A536" s="280"/>
      <c r="B536" s="1459"/>
      <c r="C536" s="370"/>
      <c r="D536" s="370"/>
    </row>
    <row r="537">
      <c r="A537" s="280"/>
      <c r="B537" s="1459"/>
      <c r="C537" s="370"/>
      <c r="D537" s="370"/>
    </row>
    <row r="538">
      <c r="A538" s="280"/>
      <c r="B538" s="1459"/>
      <c r="C538" s="370"/>
      <c r="D538" s="370"/>
    </row>
    <row r="539">
      <c r="A539" s="280"/>
      <c r="B539" s="1459"/>
      <c r="C539" s="370"/>
      <c r="D539" s="370"/>
    </row>
    <row r="540">
      <c r="A540" s="280"/>
      <c r="B540" s="1459"/>
      <c r="C540" s="370"/>
      <c r="D540" s="370"/>
    </row>
    <row r="541">
      <c r="A541" s="280"/>
      <c r="B541" s="1459"/>
      <c r="C541" s="370"/>
      <c r="D541" s="370"/>
    </row>
    <row r="542">
      <c r="A542" s="280"/>
      <c r="B542" s="1459"/>
      <c r="C542" s="370"/>
      <c r="D542" s="370"/>
    </row>
    <row r="543">
      <c r="A543" s="280"/>
      <c r="B543" s="1459"/>
      <c r="C543" s="370"/>
      <c r="D543" s="370"/>
    </row>
    <row r="544">
      <c r="A544" s="280"/>
      <c r="B544" s="1459"/>
      <c r="C544" s="370"/>
      <c r="D544" s="370"/>
    </row>
    <row r="545">
      <c r="A545" s="280"/>
      <c r="B545" s="1459"/>
      <c r="C545" s="370"/>
      <c r="D545" s="370"/>
    </row>
    <row r="546">
      <c r="A546" s="280"/>
      <c r="B546" s="1459"/>
      <c r="C546" s="370"/>
      <c r="D546" s="370"/>
    </row>
    <row r="547">
      <c r="A547" s="280"/>
      <c r="B547" s="1459"/>
      <c r="C547" s="370"/>
      <c r="D547" s="370"/>
    </row>
    <row r="548">
      <c r="A548" s="280"/>
      <c r="B548" s="1459"/>
      <c r="C548" s="370"/>
      <c r="D548" s="370"/>
    </row>
    <row r="549">
      <c r="A549" s="280"/>
      <c r="B549" s="1459"/>
      <c r="C549" s="370"/>
      <c r="D549" s="370"/>
    </row>
    <row r="550">
      <c r="A550" s="280"/>
      <c r="B550" s="1459"/>
      <c r="C550" s="370"/>
      <c r="D550" s="370"/>
    </row>
    <row r="551">
      <c r="A551" s="280"/>
      <c r="B551" s="1459"/>
      <c r="C551" s="370"/>
      <c r="D551" s="370"/>
    </row>
    <row r="552">
      <c r="A552" s="280"/>
      <c r="B552" s="1459"/>
      <c r="C552" s="370"/>
      <c r="D552" s="370"/>
    </row>
    <row r="553">
      <c r="A553" s="280"/>
      <c r="B553" s="1459"/>
      <c r="C553" s="370"/>
      <c r="D553" s="370"/>
    </row>
    <row r="554">
      <c r="A554" s="280"/>
      <c r="B554" s="1459"/>
      <c r="C554" s="370"/>
      <c r="D554" s="370"/>
    </row>
    <row r="555">
      <c r="A555" s="280"/>
      <c r="B555" s="1459"/>
      <c r="C555" s="370"/>
      <c r="D555" s="370"/>
    </row>
    <row r="556">
      <c r="A556" s="280"/>
      <c r="B556" s="1459"/>
      <c r="C556" s="370"/>
      <c r="D556" s="370"/>
    </row>
    <row r="557">
      <c r="A557" s="280"/>
      <c r="B557" s="1459"/>
      <c r="C557" s="370"/>
      <c r="D557" s="370"/>
    </row>
    <row r="558">
      <c r="A558" s="280"/>
      <c r="B558" s="1459"/>
      <c r="C558" s="370"/>
      <c r="D558" s="370"/>
    </row>
    <row r="559">
      <c r="A559" s="280"/>
      <c r="B559" s="1459"/>
      <c r="C559" s="370"/>
      <c r="D559" s="370"/>
    </row>
    <row r="560">
      <c r="A560" s="280"/>
      <c r="B560" s="1459"/>
      <c r="C560" s="370"/>
      <c r="D560" s="370"/>
    </row>
    <row r="561">
      <c r="A561" s="280"/>
      <c r="B561" s="1459"/>
      <c r="C561" s="370"/>
      <c r="D561" s="370"/>
    </row>
    <row r="562">
      <c r="A562" s="280"/>
      <c r="B562" s="1459"/>
      <c r="C562" s="370"/>
      <c r="D562" s="370"/>
    </row>
    <row r="563">
      <c r="A563" s="280"/>
      <c r="B563" s="1459"/>
      <c r="C563" s="370"/>
      <c r="D563" s="370"/>
    </row>
    <row r="564">
      <c r="A564" s="280"/>
      <c r="B564" s="1459"/>
      <c r="C564" s="370"/>
      <c r="D564" s="370"/>
    </row>
    <row r="565">
      <c r="A565" s="280"/>
      <c r="B565" s="1459"/>
      <c r="C565" s="370"/>
      <c r="D565" s="370"/>
    </row>
    <row r="566">
      <c r="A566" s="280"/>
      <c r="B566" s="1459"/>
      <c r="C566" s="370"/>
      <c r="D566" s="370"/>
    </row>
    <row r="567">
      <c r="A567" s="280"/>
      <c r="B567" s="1459"/>
      <c r="C567" s="370"/>
      <c r="D567" s="370"/>
    </row>
    <row r="568">
      <c r="A568" s="280"/>
      <c r="B568" s="1459"/>
      <c r="C568" s="370"/>
      <c r="D568" s="370"/>
    </row>
    <row r="569">
      <c r="A569" s="280"/>
      <c r="B569" s="1459"/>
      <c r="C569" s="370"/>
      <c r="D569" s="370"/>
    </row>
    <row r="570">
      <c r="A570" s="280"/>
      <c r="B570" s="1459"/>
      <c r="C570" s="370"/>
      <c r="D570" s="370"/>
    </row>
    <row r="571">
      <c r="A571" s="280"/>
      <c r="B571" s="1459"/>
      <c r="C571" s="370"/>
      <c r="D571" s="370"/>
    </row>
    <row r="572">
      <c r="A572" s="280"/>
      <c r="B572" s="1459"/>
      <c r="C572" s="370"/>
      <c r="D572" s="370"/>
    </row>
    <row r="573">
      <c r="A573" s="280"/>
      <c r="B573" s="1459"/>
      <c r="C573" s="370"/>
      <c r="D573" s="370"/>
    </row>
    <row r="574">
      <c r="A574" s="280"/>
      <c r="B574" s="1459"/>
      <c r="C574" s="370"/>
      <c r="D574" s="370"/>
    </row>
    <row r="575">
      <c r="A575" s="280"/>
      <c r="B575" s="1459"/>
      <c r="C575" s="370"/>
      <c r="D575" s="370"/>
    </row>
    <row r="576">
      <c r="A576" s="280"/>
      <c r="B576" s="1459"/>
      <c r="C576" s="370"/>
      <c r="D576" s="370"/>
    </row>
    <row r="577">
      <c r="A577" s="280"/>
      <c r="B577" s="1459"/>
      <c r="C577" s="370"/>
      <c r="D577" s="370"/>
    </row>
    <row r="578">
      <c r="A578" s="280"/>
      <c r="B578" s="1459"/>
      <c r="C578" s="370"/>
      <c r="D578" s="370"/>
    </row>
    <row r="579">
      <c r="A579" s="280"/>
      <c r="B579" s="1459"/>
      <c r="C579" s="370"/>
      <c r="D579" s="370"/>
    </row>
    <row r="580">
      <c r="A580" s="280"/>
      <c r="B580" s="1459"/>
      <c r="C580" s="370"/>
      <c r="D580" s="370"/>
    </row>
    <row r="581">
      <c r="A581" s="280"/>
      <c r="B581" s="1459"/>
      <c r="C581" s="370"/>
      <c r="D581" s="370"/>
    </row>
    <row r="582">
      <c r="A582" s="280"/>
      <c r="B582" s="1459"/>
      <c r="C582" s="370"/>
      <c r="D582" s="370"/>
    </row>
    <row r="583">
      <c r="A583" s="280"/>
      <c r="B583" s="1459"/>
      <c r="C583" s="370"/>
      <c r="D583" s="370"/>
    </row>
    <row r="584">
      <c r="A584" s="280"/>
      <c r="B584" s="1459"/>
      <c r="C584" s="370"/>
      <c r="D584" s="370"/>
    </row>
    <row r="585">
      <c r="A585" s="280"/>
      <c r="B585" s="1459"/>
      <c r="C585" s="370"/>
      <c r="D585" s="370"/>
    </row>
    <row r="586">
      <c r="A586" s="280"/>
      <c r="B586" s="1459"/>
      <c r="C586" s="370"/>
      <c r="D586" s="370"/>
    </row>
    <row r="587">
      <c r="A587" s="280"/>
      <c r="B587" s="1459"/>
      <c r="C587" s="370"/>
      <c r="D587" s="370"/>
    </row>
    <row r="588">
      <c r="A588" s="280"/>
      <c r="B588" s="1459"/>
      <c r="C588" s="370"/>
      <c r="D588" s="370"/>
    </row>
    <row r="589">
      <c r="A589" s="280"/>
      <c r="B589" s="1459"/>
      <c r="C589" s="370"/>
      <c r="D589" s="370"/>
    </row>
    <row r="590">
      <c r="A590" s="280"/>
      <c r="B590" s="1459"/>
      <c r="C590" s="370"/>
      <c r="D590" s="370"/>
    </row>
    <row r="591">
      <c r="A591" s="280"/>
      <c r="B591" s="1459"/>
      <c r="C591" s="370"/>
      <c r="D591" s="370"/>
    </row>
    <row r="592">
      <c r="A592" s="280"/>
      <c r="B592" s="1459"/>
      <c r="C592" s="370"/>
      <c r="D592" s="370"/>
    </row>
    <row r="593">
      <c r="A593" s="280"/>
      <c r="B593" s="1459"/>
      <c r="C593" s="370"/>
      <c r="D593" s="370"/>
    </row>
    <row r="594">
      <c r="A594" s="280"/>
      <c r="B594" s="1459"/>
      <c r="C594" s="370"/>
      <c r="D594" s="370"/>
    </row>
    <row r="595">
      <c r="A595" s="280"/>
      <c r="B595" s="1459"/>
      <c r="C595" s="370"/>
      <c r="D595" s="370"/>
    </row>
    <row r="596">
      <c r="A596" s="280"/>
      <c r="B596" s="1459"/>
      <c r="C596" s="370"/>
      <c r="D596" s="370"/>
    </row>
    <row r="597">
      <c r="A597" s="280"/>
      <c r="B597" s="1459"/>
      <c r="C597" s="370"/>
      <c r="D597" s="370"/>
    </row>
    <row r="598">
      <c r="A598" s="280"/>
      <c r="B598" s="1459"/>
      <c r="C598" s="370"/>
      <c r="D598" s="370"/>
    </row>
    <row r="599">
      <c r="A599" s="280"/>
      <c r="B599" s="1459"/>
      <c r="C599" s="370"/>
      <c r="D599" s="370"/>
    </row>
    <row r="600">
      <c r="A600" s="280"/>
      <c r="B600" s="1459"/>
      <c r="C600" s="370"/>
      <c r="D600" s="370"/>
    </row>
    <row r="601">
      <c r="A601" s="280"/>
      <c r="B601" s="1459"/>
      <c r="C601" s="370"/>
      <c r="D601" s="370"/>
    </row>
    <row r="602">
      <c r="A602" s="280"/>
      <c r="B602" s="1459"/>
      <c r="C602" s="370"/>
      <c r="D602" s="370"/>
    </row>
    <row r="603">
      <c r="A603" s="280"/>
      <c r="B603" s="1459"/>
      <c r="C603" s="370"/>
      <c r="D603" s="370"/>
    </row>
    <row r="604">
      <c r="A604" s="280"/>
      <c r="B604" s="1459"/>
      <c r="C604" s="370"/>
      <c r="D604" s="370"/>
    </row>
    <row r="605">
      <c r="A605" s="280"/>
      <c r="B605" s="1459"/>
      <c r="C605" s="370"/>
      <c r="D605" s="370"/>
    </row>
    <row r="606">
      <c r="A606" s="280"/>
      <c r="B606" s="1459"/>
      <c r="C606" s="370"/>
      <c r="D606" s="370"/>
    </row>
    <row r="607">
      <c r="A607" s="280"/>
      <c r="B607" s="1459"/>
      <c r="C607" s="370"/>
      <c r="D607" s="370"/>
    </row>
    <row r="608">
      <c r="A608" s="280"/>
      <c r="B608" s="1459"/>
      <c r="C608" s="370"/>
      <c r="D608" s="370"/>
    </row>
    <row r="609">
      <c r="A609" s="280"/>
      <c r="B609" s="1459"/>
      <c r="C609" s="370"/>
      <c r="D609" s="370"/>
    </row>
    <row r="610">
      <c r="A610" s="280"/>
      <c r="B610" s="1459"/>
      <c r="C610" s="370"/>
      <c r="D610" s="370"/>
    </row>
    <row r="611">
      <c r="A611" s="280"/>
      <c r="B611" s="1459"/>
      <c r="C611" s="370"/>
      <c r="D611" s="370"/>
    </row>
    <row r="612">
      <c r="A612" s="280"/>
      <c r="B612" s="1459"/>
      <c r="C612" s="370"/>
      <c r="D612" s="370"/>
    </row>
    <row r="613">
      <c r="A613" s="280"/>
      <c r="B613" s="1459"/>
      <c r="C613" s="370"/>
      <c r="D613" s="370"/>
    </row>
    <row r="614">
      <c r="A614" s="280"/>
      <c r="B614" s="1459"/>
      <c r="C614" s="370"/>
      <c r="D614" s="370"/>
    </row>
    <row r="615">
      <c r="A615" s="280"/>
      <c r="B615" s="1459"/>
      <c r="C615" s="370"/>
      <c r="D615" s="370"/>
    </row>
    <row r="616">
      <c r="A616" s="280"/>
      <c r="B616" s="1459"/>
      <c r="C616" s="370"/>
      <c r="D616" s="370"/>
    </row>
    <row r="617">
      <c r="A617" s="280"/>
      <c r="B617" s="1459"/>
      <c r="C617" s="370"/>
      <c r="D617" s="370"/>
    </row>
    <row r="618">
      <c r="A618" s="280"/>
      <c r="B618" s="1459"/>
      <c r="C618" s="370"/>
      <c r="D618" s="370"/>
    </row>
    <row r="619">
      <c r="A619" s="280"/>
      <c r="B619" s="1459"/>
      <c r="C619" s="370"/>
      <c r="D619" s="370"/>
    </row>
    <row r="620">
      <c r="A620" s="280"/>
      <c r="B620" s="1459"/>
      <c r="C620" s="370"/>
      <c r="D620" s="370"/>
    </row>
    <row r="621">
      <c r="A621" s="280"/>
      <c r="B621" s="1459"/>
      <c r="C621" s="370"/>
      <c r="D621" s="370"/>
    </row>
    <row r="622">
      <c r="A622" s="280"/>
      <c r="B622" s="1459"/>
      <c r="C622" s="370"/>
      <c r="D622" s="370"/>
    </row>
    <row r="623">
      <c r="A623" s="280"/>
      <c r="B623" s="1459"/>
      <c r="C623" s="370"/>
      <c r="D623" s="370"/>
    </row>
    <row r="624">
      <c r="A624" s="280"/>
      <c r="B624" s="1459"/>
      <c r="C624" s="370"/>
      <c r="D624" s="370"/>
    </row>
    <row r="625">
      <c r="A625" s="280"/>
      <c r="B625" s="1459"/>
      <c r="C625" s="370"/>
      <c r="D625" s="370"/>
    </row>
    <row r="626">
      <c r="A626" s="280"/>
      <c r="B626" s="1459"/>
      <c r="C626" s="370"/>
      <c r="D626" s="370"/>
    </row>
    <row r="627">
      <c r="A627" s="280"/>
      <c r="B627" s="1459"/>
      <c r="C627" s="370"/>
      <c r="D627" s="370"/>
    </row>
    <row r="628">
      <c r="A628" s="280"/>
      <c r="B628" s="1459"/>
      <c r="C628" s="370"/>
      <c r="D628" s="370"/>
    </row>
    <row r="629">
      <c r="A629" s="280"/>
      <c r="B629" s="1459"/>
      <c r="C629" s="370"/>
      <c r="D629" s="370"/>
    </row>
    <row r="630">
      <c r="A630" s="280"/>
      <c r="B630" s="1459"/>
      <c r="C630" s="370"/>
      <c r="D630" s="370"/>
    </row>
    <row r="631">
      <c r="A631" s="280"/>
      <c r="B631" s="1459"/>
      <c r="C631" s="370"/>
      <c r="D631" s="370"/>
    </row>
    <row r="632">
      <c r="A632" s="280"/>
      <c r="B632" s="1459"/>
      <c r="C632" s="370"/>
      <c r="D632" s="370"/>
    </row>
    <row r="633">
      <c r="A633" s="280"/>
      <c r="B633" s="1459"/>
      <c r="C633" s="370"/>
      <c r="D633" s="370"/>
    </row>
    <row r="634">
      <c r="A634" s="280"/>
      <c r="B634" s="1459"/>
      <c r="C634" s="370"/>
      <c r="D634" s="370"/>
    </row>
    <row r="635">
      <c r="A635" s="280"/>
      <c r="B635" s="1459"/>
      <c r="C635" s="370"/>
      <c r="D635" s="370"/>
    </row>
    <row r="636">
      <c r="A636" s="280"/>
      <c r="B636" s="1459"/>
      <c r="C636" s="370"/>
      <c r="D636" s="370"/>
    </row>
    <row r="637">
      <c r="A637" s="280"/>
      <c r="B637" s="1459"/>
      <c r="C637" s="370"/>
      <c r="D637" s="370"/>
    </row>
    <row r="638">
      <c r="A638" s="280"/>
      <c r="B638" s="1459"/>
      <c r="C638" s="370"/>
      <c r="D638" s="370"/>
    </row>
    <row r="639">
      <c r="A639" s="280"/>
      <c r="B639" s="1459"/>
      <c r="C639" s="370"/>
      <c r="D639" s="370"/>
    </row>
    <row r="640">
      <c r="A640" s="280"/>
      <c r="B640" s="1459"/>
      <c r="C640" s="370"/>
      <c r="D640" s="370"/>
    </row>
    <row r="641">
      <c r="A641" s="280"/>
      <c r="B641" s="1459"/>
      <c r="C641" s="370"/>
      <c r="D641" s="370"/>
    </row>
    <row r="642">
      <c r="A642" s="280"/>
      <c r="B642" s="1459"/>
      <c r="C642" s="370"/>
      <c r="D642" s="370"/>
    </row>
    <row r="643">
      <c r="A643" s="280"/>
      <c r="B643" s="1459"/>
      <c r="C643" s="370"/>
      <c r="D643" s="370"/>
    </row>
    <row r="644">
      <c r="A644" s="280"/>
      <c r="B644" s="1459"/>
      <c r="C644" s="370"/>
      <c r="D644" s="370"/>
    </row>
    <row r="645">
      <c r="A645" s="280"/>
      <c r="B645" s="1459"/>
      <c r="C645" s="370"/>
      <c r="D645" s="370"/>
    </row>
    <row r="646">
      <c r="A646" s="280"/>
      <c r="B646" s="1459"/>
      <c r="C646" s="370"/>
      <c r="D646" s="370"/>
    </row>
    <row r="647">
      <c r="A647" s="280"/>
      <c r="B647" s="1459"/>
      <c r="C647" s="370"/>
      <c r="D647" s="370"/>
    </row>
    <row r="648">
      <c r="A648" s="280"/>
      <c r="B648" s="1459"/>
      <c r="C648" s="370"/>
      <c r="D648" s="370"/>
    </row>
    <row r="649">
      <c r="A649" s="280"/>
      <c r="B649" s="1459"/>
      <c r="C649" s="370"/>
      <c r="D649" s="370"/>
    </row>
    <row r="650">
      <c r="A650" s="280"/>
      <c r="B650" s="1459"/>
      <c r="C650" s="370"/>
      <c r="D650" s="370"/>
    </row>
    <row r="651">
      <c r="A651" s="280"/>
      <c r="B651" s="1459"/>
      <c r="C651" s="370"/>
      <c r="D651" s="370"/>
    </row>
    <row r="652">
      <c r="A652" s="280"/>
      <c r="B652" s="1459"/>
      <c r="C652" s="370"/>
      <c r="D652" s="370"/>
    </row>
    <row r="653">
      <c r="A653" s="280"/>
      <c r="B653" s="1459"/>
      <c r="C653" s="370"/>
      <c r="D653" s="370"/>
    </row>
    <row r="654">
      <c r="A654" s="280"/>
      <c r="B654" s="1459"/>
      <c r="C654" s="370"/>
      <c r="D654" s="370"/>
    </row>
    <row r="655">
      <c r="A655" s="280"/>
      <c r="B655" s="1459"/>
      <c r="C655" s="370"/>
      <c r="D655" s="370"/>
    </row>
    <row r="656">
      <c r="A656" s="280"/>
      <c r="B656" s="1459"/>
      <c r="C656" s="370"/>
      <c r="D656" s="370"/>
    </row>
    <row r="657">
      <c r="A657" s="280"/>
      <c r="B657" s="1459"/>
      <c r="C657" s="370"/>
      <c r="D657" s="370"/>
    </row>
    <row r="658">
      <c r="A658" s="280"/>
      <c r="B658" s="1459"/>
      <c r="C658" s="370"/>
      <c r="D658" s="370"/>
    </row>
    <row r="659">
      <c r="A659" s="280"/>
      <c r="B659" s="1459"/>
      <c r="C659" s="370"/>
      <c r="D659" s="370"/>
    </row>
    <row r="660">
      <c r="A660" s="280"/>
      <c r="B660" s="1459"/>
      <c r="C660" s="370"/>
      <c r="D660" s="370"/>
    </row>
    <row r="661">
      <c r="A661" s="280"/>
      <c r="B661" s="1459"/>
      <c r="C661" s="370"/>
      <c r="D661" s="370"/>
    </row>
    <row r="662">
      <c r="A662" s="280"/>
      <c r="B662" s="1459"/>
      <c r="C662" s="370"/>
      <c r="D662" s="370"/>
    </row>
    <row r="663">
      <c r="A663" s="280"/>
      <c r="B663" s="1459"/>
      <c r="C663" s="370"/>
      <c r="D663" s="370"/>
    </row>
    <row r="664">
      <c r="A664" s="280"/>
      <c r="B664" s="1459"/>
      <c r="C664" s="370"/>
      <c r="D664" s="370"/>
    </row>
    <row r="665">
      <c r="A665" s="280"/>
      <c r="B665" s="1459"/>
      <c r="C665" s="370"/>
      <c r="D665" s="370"/>
    </row>
    <row r="666">
      <c r="A666" s="280"/>
      <c r="B666" s="1459"/>
      <c r="C666" s="370"/>
      <c r="D666" s="370"/>
    </row>
    <row r="667">
      <c r="A667" s="280"/>
      <c r="B667" s="1459"/>
      <c r="C667" s="370"/>
      <c r="D667" s="370"/>
    </row>
    <row r="668">
      <c r="A668" s="280"/>
      <c r="B668" s="1459"/>
      <c r="C668" s="370"/>
      <c r="D668" s="370"/>
    </row>
    <row r="669">
      <c r="A669" s="280"/>
      <c r="B669" s="1459"/>
      <c r="C669" s="370"/>
      <c r="D669" s="370"/>
    </row>
    <row r="670">
      <c r="A670" s="280"/>
      <c r="B670" s="1459"/>
      <c r="C670" s="370"/>
      <c r="D670" s="370"/>
    </row>
    <row r="671">
      <c r="A671" s="280"/>
      <c r="B671" s="1459"/>
      <c r="C671" s="370"/>
      <c r="D671" s="370"/>
    </row>
    <row r="672">
      <c r="A672" s="280"/>
      <c r="B672" s="1459"/>
      <c r="C672" s="370"/>
      <c r="D672" s="370"/>
    </row>
    <row r="673">
      <c r="A673" s="280"/>
      <c r="B673" s="1459"/>
      <c r="C673" s="370"/>
      <c r="D673" s="370"/>
    </row>
    <row r="674">
      <c r="A674" s="280"/>
      <c r="B674" s="1459"/>
      <c r="C674" s="370"/>
      <c r="D674" s="370"/>
    </row>
    <row r="675">
      <c r="A675" s="280"/>
      <c r="B675" s="1459"/>
      <c r="C675" s="370"/>
      <c r="D675" s="370"/>
    </row>
    <row r="676">
      <c r="A676" s="280"/>
      <c r="B676" s="1459"/>
      <c r="C676" s="370"/>
      <c r="D676" s="370"/>
    </row>
    <row r="677">
      <c r="A677" s="280"/>
      <c r="B677" s="1459"/>
      <c r="C677" s="370"/>
      <c r="D677" s="370"/>
    </row>
    <row r="678">
      <c r="A678" s="280"/>
      <c r="B678" s="1459"/>
      <c r="C678" s="370"/>
      <c r="D678" s="370"/>
    </row>
    <row r="679">
      <c r="A679" s="280"/>
      <c r="B679" s="1459"/>
      <c r="C679" s="370"/>
      <c r="D679" s="370"/>
    </row>
    <row r="680">
      <c r="A680" s="280"/>
      <c r="B680" s="1459"/>
      <c r="C680" s="370"/>
      <c r="D680" s="370"/>
    </row>
    <row r="681">
      <c r="A681" s="280"/>
      <c r="B681" s="1459"/>
      <c r="C681" s="370"/>
      <c r="D681" s="370"/>
    </row>
    <row r="682">
      <c r="A682" s="280"/>
      <c r="B682" s="1459"/>
      <c r="C682" s="370"/>
      <c r="D682" s="370"/>
    </row>
    <row r="683">
      <c r="A683" s="280"/>
      <c r="B683" s="1459"/>
      <c r="C683" s="370"/>
      <c r="D683" s="370"/>
    </row>
    <row r="684">
      <c r="A684" s="280"/>
      <c r="B684" s="1459"/>
      <c r="C684" s="370"/>
      <c r="D684" s="370"/>
    </row>
    <row r="685">
      <c r="A685" s="280"/>
      <c r="B685" s="1459"/>
      <c r="C685" s="370"/>
      <c r="D685" s="370"/>
    </row>
    <row r="686">
      <c r="A686" s="280"/>
      <c r="B686" s="1459"/>
      <c r="C686" s="370"/>
      <c r="D686" s="370"/>
    </row>
    <row r="687">
      <c r="A687" s="280"/>
      <c r="B687" s="1459"/>
      <c r="C687" s="370"/>
      <c r="D687" s="370"/>
    </row>
    <row r="688">
      <c r="A688" s="280"/>
      <c r="B688" s="1459"/>
      <c r="C688" s="370"/>
      <c r="D688" s="370"/>
    </row>
    <row r="689">
      <c r="A689" s="280"/>
      <c r="B689" s="1459"/>
      <c r="C689" s="370"/>
      <c r="D689" s="370"/>
    </row>
    <row r="690">
      <c r="A690" s="280"/>
      <c r="B690" s="1459"/>
      <c r="C690" s="370"/>
      <c r="D690" s="370"/>
    </row>
    <row r="691">
      <c r="A691" s="280"/>
      <c r="B691" s="1459"/>
      <c r="C691" s="370"/>
      <c r="D691" s="370"/>
    </row>
    <row r="692">
      <c r="A692" s="280"/>
      <c r="B692" s="1459"/>
      <c r="C692" s="370"/>
      <c r="D692" s="370"/>
    </row>
    <row r="693">
      <c r="A693" s="280"/>
      <c r="B693" s="1459"/>
      <c r="C693" s="370"/>
      <c r="D693" s="370"/>
    </row>
    <row r="694">
      <c r="A694" s="280"/>
      <c r="B694" s="1459"/>
      <c r="C694" s="370"/>
      <c r="D694" s="370"/>
    </row>
    <row r="695">
      <c r="A695" s="280"/>
      <c r="B695" s="1459"/>
      <c r="C695" s="370"/>
      <c r="D695" s="370"/>
    </row>
    <row r="696">
      <c r="A696" s="280"/>
      <c r="B696" s="1459"/>
      <c r="C696" s="370"/>
      <c r="D696" s="370"/>
    </row>
    <row r="697">
      <c r="A697" s="280"/>
      <c r="B697" s="1459"/>
      <c r="C697" s="370"/>
      <c r="D697" s="370"/>
    </row>
    <row r="698">
      <c r="A698" s="280"/>
      <c r="B698" s="1459"/>
      <c r="C698" s="370"/>
      <c r="D698" s="370"/>
    </row>
    <row r="699">
      <c r="A699" s="280"/>
      <c r="B699" s="1459"/>
      <c r="C699" s="370"/>
      <c r="D699" s="370"/>
    </row>
    <row r="700">
      <c r="A700" s="280"/>
      <c r="B700" s="1459"/>
      <c r="C700" s="370"/>
      <c r="D700" s="370"/>
    </row>
    <row r="701">
      <c r="A701" s="280"/>
      <c r="B701" s="1459"/>
      <c r="C701" s="370"/>
      <c r="D701" s="370"/>
    </row>
    <row r="702">
      <c r="A702" s="280"/>
      <c r="B702" s="1459"/>
      <c r="C702" s="370"/>
      <c r="D702" s="370"/>
    </row>
    <row r="703">
      <c r="A703" s="280"/>
      <c r="B703" s="1459"/>
      <c r="C703" s="370"/>
      <c r="D703" s="370"/>
    </row>
    <row r="704">
      <c r="A704" s="280"/>
      <c r="B704" s="1459"/>
      <c r="C704" s="370"/>
      <c r="D704" s="370"/>
    </row>
    <row r="705">
      <c r="A705" s="280"/>
      <c r="B705" s="1459"/>
      <c r="C705" s="370"/>
      <c r="D705" s="370"/>
    </row>
    <row r="706">
      <c r="A706" s="280"/>
      <c r="B706" s="1459"/>
      <c r="C706" s="370"/>
      <c r="D706" s="370"/>
    </row>
    <row r="707">
      <c r="A707" s="280"/>
      <c r="B707" s="1459"/>
      <c r="C707" s="370"/>
      <c r="D707" s="370"/>
    </row>
    <row r="708">
      <c r="A708" s="280"/>
      <c r="B708" s="1459"/>
      <c r="C708" s="370"/>
      <c r="D708" s="370"/>
    </row>
    <row r="709">
      <c r="A709" s="280"/>
      <c r="B709" s="1459"/>
      <c r="C709" s="370"/>
      <c r="D709" s="370"/>
    </row>
    <row r="710">
      <c r="A710" s="280"/>
      <c r="B710" s="1459"/>
      <c r="C710" s="370"/>
      <c r="D710" s="370"/>
    </row>
    <row r="711">
      <c r="A711" s="280"/>
      <c r="B711" s="1459"/>
      <c r="C711" s="370"/>
      <c r="D711" s="370"/>
    </row>
    <row r="712">
      <c r="A712" s="280"/>
      <c r="B712" s="1459"/>
      <c r="C712" s="370"/>
      <c r="D712" s="370"/>
    </row>
    <row r="713">
      <c r="A713" s="280"/>
      <c r="B713" s="1459"/>
      <c r="C713" s="370"/>
      <c r="D713" s="370"/>
    </row>
    <row r="714">
      <c r="A714" s="280"/>
      <c r="B714" s="1459"/>
      <c r="C714" s="370"/>
      <c r="D714" s="370"/>
    </row>
    <row r="715">
      <c r="A715" s="280"/>
      <c r="B715" s="1459"/>
      <c r="C715" s="370"/>
      <c r="D715" s="370"/>
    </row>
    <row r="716">
      <c r="A716" s="280"/>
      <c r="B716" s="1459"/>
      <c r="C716" s="370"/>
      <c r="D716" s="370"/>
    </row>
    <row r="717">
      <c r="A717" s="280"/>
      <c r="B717" s="1459"/>
      <c r="C717" s="370"/>
      <c r="D717" s="370"/>
    </row>
    <row r="718">
      <c r="A718" s="280"/>
      <c r="B718" s="1459"/>
      <c r="C718" s="370"/>
      <c r="D718" s="370"/>
    </row>
    <row r="719">
      <c r="A719" s="280"/>
      <c r="B719" s="1459"/>
      <c r="C719" s="370"/>
      <c r="D719" s="370"/>
    </row>
    <row r="720">
      <c r="A720" s="280"/>
      <c r="B720" s="1459"/>
      <c r="C720" s="370"/>
      <c r="D720" s="370"/>
    </row>
    <row r="721">
      <c r="A721" s="280"/>
      <c r="B721" s="1459"/>
      <c r="C721" s="370"/>
      <c r="D721" s="370"/>
    </row>
    <row r="722">
      <c r="A722" s="280"/>
      <c r="B722" s="1459"/>
      <c r="C722" s="370"/>
      <c r="D722" s="370"/>
    </row>
    <row r="723">
      <c r="A723" s="280"/>
      <c r="B723" s="1459"/>
      <c r="C723" s="370"/>
      <c r="D723" s="370"/>
    </row>
    <row r="724">
      <c r="A724" s="280"/>
      <c r="B724" s="1459"/>
      <c r="C724" s="370"/>
      <c r="D724" s="370"/>
    </row>
    <row r="725">
      <c r="A725" s="280"/>
      <c r="B725" s="1459"/>
      <c r="C725" s="370"/>
      <c r="D725" s="370"/>
    </row>
    <row r="726">
      <c r="A726" s="280"/>
      <c r="B726" s="1459"/>
      <c r="C726" s="370"/>
      <c r="D726" s="370"/>
    </row>
    <row r="727">
      <c r="A727" s="280"/>
      <c r="B727" s="1459"/>
      <c r="C727" s="370"/>
      <c r="D727" s="370"/>
    </row>
    <row r="728">
      <c r="A728" s="280"/>
      <c r="B728" s="1459"/>
      <c r="C728" s="370"/>
      <c r="D728" s="370"/>
    </row>
    <row r="729">
      <c r="A729" s="280"/>
      <c r="B729" s="1459"/>
      <c r="C729" s="370"/>
      <c r="D729" s="370"/>
    </row>
    <row r="730">
      <c r="A730" s="280"/>
      <c r="B730" s="1459"/>
      <c r="C730" s="370"/>
      <c r="D730" s="370"/>
    </row>
    <row r="731">
      <c r="A731" s="280"/>
      <c r="B731" s="1459"/>
      <c r="C731" s="370"/>
      <c r="D731" s="370"/>
    </row>
    <row r="732">
      <c r="A732" s="280"/>
      <c r="B732" s="1459"/>
      <c r="C732" s="370"/>
      <c r="D732" s="370"/>
    </row>
    <row r="733">
      <c r="A733" s="280"/>
      <c r="B733" s="1459"/>
      <c r="C733" s="370"/>
      <c r="D733" s="370"/>
    </row>
    <row r="734">
      <c r="A734" s="280"/>
      <c r="B734" s="1459"/>
      <c r="C734" s="370"/>
      <c r="D734" s="370"/>
    </row>
    <row r="735">
      <c r="A735" s="280"/>
      <c r="B735" s="1459"/>
      <c r="C735" s="370"/>
      <c r="D735" s="370"/>
    </row>
    <row r="736">
      <c r="A736" s="280"/>
      <c r="B736" s="1459"/>
      <c r="C736" s="370"/>
      <c r="D736" s="370"/>
    </row>
    <row r="737">
      <c r="A737" s="280"/>
      <c r="B737" s="1459"/>
      <c r="C737" s="370"/>
      <c r="D737" s="370"/>
    </row>
    <row r="738">
      <c r="A738" s="280"/>
      <c r="B738" s="1459"/>
      <c r="C738" s="370"/>
      <c r="D738" s="370"/>
    </row>
    <row r="739">
      <c r="A739" s="280"/>
      <c r="B739" s="1459"/>
      <c r="C739" s="370"/>
      <c r="D739" s="370"/>
    </row>
    <row r="740">
      <c r="A740" s="280"/>
      <c r="B740" s="1459"/>
      <c r="C740" s="370"/>
      <c r="D740" s="370"/>
    </row>
    <row r="741">
      <c r="A741" s="280"/>
      <c r="B741" s="1459"/>
      <c r="C741" s="370"/>
      <c r="D741" s="370"/>
    </row>
    <row r="742">
      <c r="A742" s="280"/>
      <c r="B742" s="1459"/>
      <c r="C742" s="370"/>
      <c r="D742" s="370"/>
    </row>
    <row r="743">
      <c r="A743" s="280"/>
      <c r="B743" s="1459"/>
      <c r="C743" s="370"/>
      <c r="D743" s="370"/>
    </row>
    <row r="744">
      <c r="A744" s="280"/>
      <c r="B744" s="1459"/>
      <c r="C744" s="370"/>
      <c r="D744" s="370"/>
    </row>
    <row r="745">
      <c r="A745" s="280"/>
      <c r="B745" s="1459"/>
      <c r="C745" s="370"/>
      <c r="D745" s="370"/>
    </row>
    <row r="746">
      <c r="A746" s="280"/>
      <c r="B746" s="1459"/>
      <c r="C746" s="370"/>
      <c r="D746" s="370"/>
    </row>
    <row r="747">
      <c r="A747" s="280"/>
      <c r="B747" s="1459"/>
      <c r="C747" s="370"/>
      <c r="D747" s="370"/>
    </row>
    <row r="748">
      <c r="A748" s="280"/>
      <c r="B748" s="1459"/>
      <c r="C748" s="370"/>
      <c r="D748" s="370"/>
    </row>
    <row r="749">
      <c r="A749" s="280"/>
      <c r="B749" s="1459"/>
      <c r="C749" s="370"/>
      <c r="D749" s="370"/>
    </row>
    <row r="750">
      <c r="A750" s="280"/>
      <c r="B750" s="1459"/>
      <c r="C750" s="370"/>
      <c r="D750" s="370"/>
    </row>
    <row r="751">
      <c r="A751" s="280"/>
      <c r="B751" s="1459"/>
      <c r="C751" s="370"/>
      <c r="D751" s="370"/>
    </row>
    <row r="752">
      <c r="A752" s="280"/>
      <c r="B752" s="1459"/>
      <c r="C752" s="370"/>
      <c r="D752" s="370"/>
    </row>
    <row r="753">
      <c r="A753" s="280"/>
      <c r="B753" s="1459"/>
      <c r="C753" s="370"/>
      <c r="D753" s="370"/>
    </row>
    <row r="754">
      <c r="A754" s="280"/>
      <c r="B754" s="1459"/>
      <c r="C754" s="370"/>
      <c r="D754" s="370"/>
    </row>
    <row r="755">
      <c r="A755" s="280"/>
      <c r="B755" s="1459"/>
      <c r="C755" s="370"/>
      <c r="D755" s="370"/>
    </row>
    <row r="756">
      <c r="A756" s="280"/>
      <c r="B756" s="1459"/>
      <c r="C756" s="370"/>
      <c r="D756" s="370"/>
    </row>
    <row r="757">
      <c r="A757" s="280"/>
      <c r="B757" s="1459"/>
      <c r="C757" s="370"/>
      <c r="D757" s="370"/>
    </row>
    <row r="758">
      <c r="A758" s="280"/>
      <c r="B758" s="1459"/>
      <c r="C758" s="370"/>
      <c r="D758" s="370"/>
    </row>
    <row r="759">
      <c r="A759" s="280"/>
      <c r="B759" s="1459"/>
      <c r="C759" s="370"/>
      <c r="D759" s="370"/>
    </row>
    <row r="760">
      <c r="A760" s="280"/>
      <c r="B760" s="1459"/>
      <c r="C760" s="370"/>
      <c r="D760" s="370"/>
    </row>
    <row r="761">
      <c r="A761" s="280"/>
      <c r="B761" s="1459"/>
      <c r="C761" s="370"/>
      <c r="D761" s="370"/>
    </row>
    <row r="762">
      <c r="A762" s="280"/>
      <c r="B762" s="1459"/>
      <c r="C762" s="370"/>
      <c r="D762" s="370"/>
    </row>
    <row r="763">
      <c r="A763" s="280"/>
      <c r="B763" s="1459"/>
      <c r="C763" s="370"/>
      <c r="D763" s="370"/>
    </row>
    <row r="764">
      <c r="A764" s="280"/>
      <c r="B764" s="1459"/>
      <c r="C764" s="370"/>
      <c r="D764" s="370"/>
    </row>
    <row r="765">
      <c r="A765" s="280"/>
      <c r="B765" s="1459"/>
      <c r="C765" s="370"/>
      <c r="D765" s="370"/>
    </row>
    <row r="766">
      <c r="A766" s="280"/>
      <c r="B766" s="1459"/>
      <c r="C766" s="370"/>
      <c r="D766" s="370"/>
    </row>
    <row r="767">
      <c r="A767" s="280"/>
      <c r="B767" s="1459"/>
      <c r="C767" s="370"/>
      <c r="D767" s="370"/>
    </row>
    <row r="768">
      <c r="A768" s="280"/>
      <c r="B768" s="1459"/>
      <c r="C768" s="370"/>
      <c r="D768" s="370"/>
    </row>
    <row r="769">
      <c r="A769" s="280"/>
      <c r="B769" s="1459"/>
      <c r="C769" s="370"/>
      <c r="D769" s="370"/>
    </row>
    <row r="770">
      <c r="A770" s="280"/>
      <c r="B770" s="1459"/>
      <c r="C770" s="370"/>
      <c r="D770" s="370"/>
    </row>
    <row r="771">
      <c r="A771" s="280"/>
      <c r="B771" s="1459"/>
      <c r="C771" s="370"/>
      <c r="D771" s="370"/>
    </row>
    <row r="772">
      <c r="A772" s="280"/>
      <c r="B772" s="1459"/>
      <c r="C772" s="370"/>
      <c r="D772" s="370"/>
    </row>
    <row r="773">
      <c r="A773" s="280"/>
      <c r="B773" s="1459"/>
      <c r="C773" s="370"/>
      <c r="D773" s="370"/>
    </row>
    <row r="774">
      <c r="A774" s="280"/>
      <c r="B774" s="1459"/>
      <c r="C774" s="370"/>
      <c r="D774" s="370"/>
    </row>
    <row r="775">
      <c r="A775" s="280"/>
      <c r="B775" s="1459"/>
      <c r="C775" s="370"/>
      <c r="D775" s="370"/>
    </row>
    <row r="776">
      <c r="A776" s="280"/>
      <c r="B776" s="1459"/>
      <c r="C776" s="370"/>
      <c r="D776" s="370"/>
    </row>
    <row r="777">
      <c r="A777" s="280"/>
      <c r="B777" s="1459"/>
      <c r="C777" s="370"/>
      <c r="D777" s="370"/>
    </row>
    <row r="778">
      <c r="A778" s="280"/>
      <c r="B778" s="1459"/>
      <c r="C778" s="370"/>
      <c r="D778" s="370"/>
    </row>
    <row r="779">
      <c r="A779" s="280"/>
      <c r="B779" s="1459"/>
      <c r="C779" s="370"/>
      <c r="D779" s="370"/>
    </row>
    <row r="780">
      <c r="A780" s="280"/>
      <c r="B780" s="1459"/>
      <c r="C780" s="370"/>
      <c r="D780" s="370"/>
    </row>
    <row r="781">
      <c r="A781" s="280"/>
      <c r="B781" s="1459"/>
      <c r="C781" s="370"/>
      <c r="D781" s="370"/>
    </row>
    <row r="782">
      <c r="A782" s="280"/>
      <c r="B782" s="1459"/>
      <c r="C782" s="370"/>
      <c r="D782" s="370"/>
    </row>
    <row r="783">
      <c r="A783" s="280"/>
      <c r="B783" s="1459"/>
      <c r="C783" s="370"/>
      <c r="D783" s="370"/>
    </row>
    <row r="784">
      <c r="A784" s="280"/>
      <c r="B784" s="1459"/>
      <c r="C784" s="370"/>
      <c r="D784" s="370"/>
    </row>
    <row r="785">
      <c r="A785" s="280"/>
      <c r="B785" s="1459"/>
      <c r="C785" s="370"/>
      <c r="D785" s="370"/>
    </row>
    <row r="786">
      <c r="A786" s="280"/>
      <c r="B786" s="1459"/>
      <c r="C786" s="370"/>
      <c r="D786" s="370"/>
    </row>
    <row r="787">
      <c r="A787" s="280"/>
      <c r="B787" s="1459"/>
      <c r="C787" s="370"/>
      <c r="D787" s="370"/>
    </row>
    <row r="788">
      <c r="A788" s="280"/>
      <c r="B788" s="1459"/>
      <c r="C788" s="370"/>
      <c r="D788" s="370"/>
    </row>
    <row r="789">
      <c r="A789" s="280"/>
      <c r="B789" s="1459"/>
      <c r="C789" s="370"/>
      <c r="D789" s="370"/>
    </row>
    <row r="790">
      <c r="A790" s="280"/>
      <c r="B790" s="1459"/>
      <c r="C790" s="370"/>
      <c r="D790" s="370"/>
    </row>
    <row r="791">
      <c r="A791" s="280"/>
      <c r="B791" s="1459"/>
      <c r="C791" s="370"/>
      <c r="D791" s="370"/>
    </row>
    <row r="792">
      <c r="A792" s="280"/>
      <c r="B792" s="1459"/>
      <c r="C792" s="370"/>
      <c r="D792" s="370"/>
    </row>
    <row r="793">
      <c r="A793" s="280"/>
      <c r="B793" s="1459"/>
      <c r="C793" s="370"/>
      <c r="D793" s="370"/>
    </row>
    <row r="794">
      <c r="A794" s="280"/>
      <c r="B794" s="1459"/>
      <c r="C794" s="370"/>
      <c r="D794" s="370"/>
    </row>
    <row r="795">
      <c r="A795" s="280"/>
      <c r="B795" s="1459"/>
      <c r="C795" s="370"/>
      <c r="D795" s="370"/>
    </row>
    <row r="796">
      <c r="A796" s="280"/>
      <c r="B796" s="1459"/>
      <c r="C796" s="370"/>
      <c r="D796" s="370"/>
    </row>
    <row r="797">
      <c r="A797" s="280"/>
      <c r="B797" s="1459"/>
      <c r="C797" s="370"/>
      <c r="D797" s="370"/>
    </row>
    <row r="798">
      <c r="A798" s="280"/>
      <c r="B798" s="1459"/>
      <c r="C798" s="370"/>
      <c r="D798" s="370"/>
    </row>
    <row r="799">
      <c r="A799" s="280"/>
      <c r="B799" s="1459"/>
      <c r="C799" s="370"/>
      <c r="D799" s="370"/>
    </row>
    <row r="800">
      <c r="A800" s="280"/>
      <c r="B800" s="1459"/>
      <c r="C800" s="370"/>
      <c r="D800" s="370"/>
    </row>
    <row r="801">
      <c r="A801" s="280"/>
      <c r="B801" s="1459"/>
      <c r="C801" s="370"/>
      <c r="D801" s="370"/>
    </row>
    <row r="802">
      <c r="A802" s="280"/>
      <c r="B802" s="1459"/>
      <c r="C802" s="370"/>
      <c r="D802" s="370"/>
    </row>
    <row r="803">
      <c r="A803" s="280"/>
      <c r="B803" s="1459"/>
      <c r="C803" s="370"/>
      <c r="D803" s="370"/>
    </row>
    <row r="804">
      <c r="A804" s="280"/>
      <c r="B804" s="1459"/>
      <c r="C804" s="370"/>
      <c r="D804" s="370"/>
    </row>
    <row r="805">
      <c r="A805" s="280"/>
      <c r="B805" s="1459"/>
      <c r="C805" s="370"/>
      <c r="D805" s="370"/>
    </row>
    <row r="806">
      <c r="A806" s="280"/>
      <c r="B806" s="1459"/>
      <c r="C806" s="370"/>
      <c r="D806" s="370"/>
    </row>
    <row r="807">
      <c r="A807" s="280"/>
      <c r="B807" s="1459"/>
      <c r="C807" s="370"/>
      <c r="D807" s="370"/>
    </row>
    <row r="808">
      <c r="A808" s="280"/>
      <c r="B808" s="1459"/>
      <c r="C808" s="370"/>
      <c r="D808" s="370"/>
    </row>
    <row r="809">
      <c r="A809" s="280"/>
      <c r="B809" s="1459"/>
      <c r="C809" s="370"/>
      <c r="D809" s="370"/>
    </row>
    <row r="810">
      <c r="A810" s="280"/>
      <c r="B810" s="1459"/>
      <c r="C810" s="370"/>
      <c r="D810" s="370"/>
    </row>
    <row r="811">
      <c r="A811" s="280"/>
      <c r="B811" s="1459"/>
      <c r="C811" s="370"/>
      <c r="D811" s="370"/>
    </row>
    <row r="812">
      <c r="A812" s="280"/>
      <c r="B812" s="1459"/>
      <c r="C812" s="370"/>
      <c r="D812" s="370"/>
    </row>
    <row r="813">
      <c r="A813" s="280"/>
      <c r="B813" s="1459"/>
      <c r="C813" s="370"/>
      <c r="D813" s="370"/>
    </row>
    <row r="814">
      <c r="A814" s="280"/>
      <c r="B814" s="1459"/>
      <c r="C814" s="370"/>
      <c r="D814" s="370"/>
    </row>
    <row r="815">
      <c r="A815" s="280"/>
      <c r="B815" s="1459"/>
      <c r="C815" s="370"/>
      <c r="D815" s="370"/>
    </row>
    <row r="816">
      <c r="A816" s="280"/>
      <c r="B816" s="1459"/>
      <c r="C816" s="370"/>
      <c r="D816" s="370"/>
    </row>
    <row r="817">
      <c r="A817" s="280"/>
      <c r="B817" s="1459"/>
      <c r="C817" s="370"/>
      <c r="D817" s="370"/>
    </row>
    <row r="818">
      <c r="A818" s="280"/>
      <c r="B818" s="1459"/>
      <c r="C818" s="370"/>
      <c r="D818" s="370"/>
    </row>
    <row r="819">
      <c r="A819" s="280"/>
      <c r="B819" s="1459"/>
      <c r="C819" s="370"/>
      <c r="D819" s="370"/>
    </row>
    <row r="820">
      <c r="A820" s="280"/>
      <c r="B820" s="1459"/>
      <c r="C820" s="370"/>
      <c r="D820" s="370"/>
    </row>
    <row r="821">
      <c r="A821" s="280"/>
      <c r="B821" s="1459"/>
      <c r="C821" s="370"/>
      <c r="D821" s="370"/>
    </row>
    <row r="822">
      <c r="A822" s="280"/>
      <c r="B822" s="1459"/>
      <c r="C822" s="370"/>
      <c r="D822" s="370"/>
    </row>
    <row r="823">
      <c r="A823" s="280"/>
      <c r="B823" s="1459"/>
      <c r="C823" s="370"/>
      <c r="D823" s="370"/>
    </row>
    <row r="824">
      <c r="A824" s="280"/>
      <c r="B824" s="1459"/>
      <c r="C824" s="370"/>
      <c r="D824" s="370"/>
    </row>
    <row r="825">
      <c r="A825" s="280"/>
      <c r="B825" s="1459"/>
      <c r="C825" s="370"/>
      <c r="D825" s="370"/>
    </row>
    <row r="826">
      <c r="A826" s="280"/>
      <c r="B826" s="1459"/>
      <c r="C826" s="370"/>
      <c r="D826" s="370"/>
    </row>
    <row r="827">
      <c r="A827" s="280"/>
      <c r="B827" s="1459"/>
      <c r="C827" s="370"/>
      <c r="D827" s="370"/>
    </row>
    <row r="828">
      <c r="A828" s="280"/>
      <c r="B828" s="1459"/>
      <c r="C828" s="370"/>
      <c r="D828" s="370"/>
    </row>
    <row r="829">
      <c r="A829" s="280"/>
      <c r="B829" s="1459"/>
      <c r="C829" s="370"/>
      <c r="D829" s="370"/>
    </row>
    <row r="830">
      <c r="A830" s="280"/>
      <c r="B830" s="1459"/>
      <c r="C830" s="370"/>
      <c r="D830" s="370"/>
    </row>
    <row r="831">
      <c r="A831" s="280"/>
      <c r="B831" s="1459"/>
      <c r="C831" s="370"/>
      <c r="D831" s="370"/>
    </row>
    <row r="832">
      <c r="A832" s="280"/>
      <c r="B832" s="1459"/>
      <c r="C832" s="370"/>
      <c r="D832" s="370"/>
    </row>
    <row r="833">
      <c r="A833" s="280"/>
      <c r="B833" s="1459"/>
      <c r="C833" s="370"/>
      <c r="D833" s="370"/>
    </row>
    <row r="834">
      <c r="A834" s="280"/>
      <c r="B834" s="1459"/>
      <c r="C834" s="370"/>
      <c r="D834" s="370"/>
    </row>
    <row r="835">
      <c r="A835" s="280"/>
      <c r="B835" s="1459"/>
      <c r="C835" s="370"/>
      <c r="D835" s="370"/>
    </row>
    <row r="836">
      <c r="A836" s="280"/>
      <c r="B836" s="1459"/>
      <c r="C836" s="370"/>
      <c r="D836" s="370"/>
    </row>
    <row r="837">
      <c r="A837" s="280"/>
      <c r="B837" s="1459"/>
      <c r="C837" s="370"/>
      <c r="D837" s="370"/>
    </row>
    <row r="838">
      <c r="A838" s="280"/>
      <c r="B838" s="1459"/>
      <c r="C838" s="370"/>
      <c r="D838" s="370"/>
    </row>
    <row r="839">
      <c r="A839" s="280"/>
      <c r="B839" s="1459"/>
      <c r="C839" s="370"/>
      <c r="D839" s="370"/>
    </row>
    <row r="840">
      <c r="A840" s="280"/>
      <c r="B840" s="1459"/>
      <c r="C840" s="370"/>
      <c r="D840" s="370"/>
    </row>
    <row r="841">
      <c r="A841" s="280"/>
      <c r="B841" s="1459"/>
      <c r="C841" s="370"/>
      <c r="D841" s="370"/>
    </row>
    <row r="842">
      <c r="A842" s="280"/>
      <c r="B842" s="1459"/>
      <c r="C842" s="370"/>
      <c r="D842" s="370"/>
    </row>
    <row r="843">
      <c r="A843" s="280"/>
      <c r="B843" s="1459"/>
      <c r="C843" s="370"/>
      <c r="D843" s="370"/>
    </row>
    <row r="844">
      <c r="A844" s="280"/>
      <c r="B844" s="1459"/>
      <c r="C844" s="370"/>
      <c r="D844" s="370"/>
    </row>
    <row r="845">
      <c r="A845" s="280"/>
      <c r="B845" s="1459"/>
      <c r="C845" s="370"/>
      <c r="D845" s="370"/>
    </row>
    <row r="846">
      <c r="A846" s="280"/>
      <c r="B846" s="1459"/>
      <c r="C846" s="370"/>
      <c r="D846" s="370"/>
    </row>
    <row r="847">
      <c r="A847" s="280"/>
      <c r="B847" s="1459"/>
      <c r="C847" s="370"/>
      <c r="D847" s="370"/>
    </row>
    <row r="848">
      <c r="A848" s="280"/>
      <c r="B848" s="1459"/>
      <c r="C848" s="370"/>
      <c r="D848" s="370"/>
    </row>
    <row r="849">
      <c r="A849" s="280"/>
      <c r="B849" s="1459"/>
      <c r="C849" s="370"/>
      <c r="D849" s="370"/>
    </row>
    <row r="850">
      <c r="A850" s="280"/>
      <c r="B850" s="1459"/>
      <c r="C850" s="370"/>
      <c r="D850" s="370"/>
    </row>
    <row r="851">
      <c r="A851" s="280"/>
      <c r="B851" s="1459"/>
      <c r="C851" s="370"/>
      <c r="D851" s="370"/>
    </row>
    <row r="852">
      <c r="A852" s="280"/>
      <c r="B852" s="1459"/>
      <c r="C852" s="370"/>
      <c r="D852" s="370"/>
    </row>
    <row r="853">
      <c r="A853" s="280"/>
      <c r="B853" s="1459"/>
      <c r="C853" s="370"/>
      <c r="D853" s="370"/>
    </row>
    <row r="854">
      <c r="A854" s="280"/>
      <c r="B854" s="1459"/>
      <c r="C854" s="370"/>
      <c r="D854" s="370"/>
    </row>
    <row r="855">
      <c r="A855" s="280"/>
      <c r="B855" s="1459"/>
      <c r="C855" s="370"/>
      <c r="D855" s="370"/>
    </row>
    <row r="856">
      <c r="A856" s="280"/>
      <c r="B856" s="1459"/>
      <c r="C856" s="370"/>
      <c r="D856" s="370"/>
    </row>
    <row r="857">
      <c r="A857" s="280"/>
      <c r="B857" s="1459"/>
      <c r="C857" s="370"/>
      <c r="D857" s="370"/>
    </row>
    <row r="858">
      <c r="A858" s="280"/>
      <c r="B858" s="1459"/>
      <c r="C858" s="370"/>
      <c r="D858" s="370"/>
    </row>
    <row r="859">
      <c r="A859" s="280"/>
      <c r="B859" s="1459"/>
      <c r="C859" s="370"/>
      <c r="D859" s="370"/>
    </row>
    <row r="860">
      <c r="A860" s="280"/>
      <c r="B860" s="1459"/>
      <c r="C860" s="370"/>
      <c r="D860" s="370"/>
    </row>
    <row r="861">
      <c r="A861" s="280"/>
      <c r="B861" s="1459"/>
      <c r="C861" s="370"/>
      <c r="D861" s="370"/>
    </row>
    <row r="862">
      <c r="A862" s="280"/>
      <c r="B862" s="1459"/>
      <c r="C862" s="370"/>
      <c r="D862" s="370"/>
    </row>
    <row r="863">
      <c r="A863" s="280"/>
      <c r="B863" s="1459"/>
      <c r="C863" s="370"/>
      <c r="D863" s="370"/>
    </row>
    <row r="864">
      <c r="A864" s="280"/>
      <c r="B864" s="1459"/>
      <c r="C864" s="370"/>
      <c r="D864" s="370"/>
    </row>
    <row r="865">
      <c r="A865" s="280"/>
      <c r="B865" s="1459"/>
      <c r="C865" s="370"/>
      <c r="D865" s="370"/>
    </row>
    <row r="866">
      <c r="A866" s="280"/>
      <c r="B866" s="1459"/>
      <c r="C866" s="370"/>
      <c r="D866" s="370"/>
    </row>
    <row r="867">
      <c r="A867" s="280"/>
      <c r="B867" s="1459"/>
      <c r="C867" s="370"/>
      <c r="D867" s="370"/>
    </row>
    <row r="868">
      <c r="A868" s="280"/>
      <c r="B868" s="1459"/>
      <c r="C868" s="370"/>
      <c r="D868" s="370"/>
    </row>
    <row r="869">
      <c r="A869" s="280"/>
      <c r="B869" s="1459"/>
      <c r="C869" s="370"/>
      <c r="D869" s="370"/>
    </row>
    <row r="870">
      <c r="A870" s="280"/>
      <c r="B870" s="1459"/>
      <c r="C870" s="370"/>
      <c r="D870" s="370"/>
    </row>
    <row r="871">
      <c r="A871" s="280"/>
      <c r="B871" s="1459"/>
      <c r="C871" s="370"/>
      <c r="D871" s="370"/>
    </row>
    <row r="872">
      <c r="A872" s="280"/>
      <c r="B872" s="1459"/>
      <c r="C872" s="370"/>
      <c r="D872" s="370"/>
    </row>
    <row r="873">
      <c r="A873" s="280"/>
      <c r="B873" s="1459"/>
      <c r="C873" s="370"/>
      <c r="D873" s="370"/>
    </row>
    <row r="874">
      <c r="A874" s="280"/>
      <c r="B874" s="1459"/>
      <c r="C874" s="370"/>
      <c r="D874" s="370"/>
    </row>
    <row r="875">
      <c r="A875" s="280"/>
      <c r="B875" s="1459"/>
      <c r="C875" s="370"/>
      <c r="D875" s="370"/>
    </row>
    <row r="876">
      <c r="A876" s="280"/>
      <c r="B876" s="1459"/>
      <c r="C876" s="370"/>
      <c r="D876" s="370"/>
    </row>
    <row r="877">
      <c r="A877" s="280"/>
      <c r="B877" s="1459"/>
      <c r="C877" s="370"/>
      <c r="D877" s="370"/>
    </row>
    <row r="878">
      <c r="A878" s="280"/>
      <c r="B878" s="1459"/>
      <c r="C878" s="370"/>
      <c r="D878" s="370"/>
    </row>
    <row r="879">
      <c r="A879" s="280"/>
      <c r="B879" s="1459"/>
      <c r="C879" s="370"/>
      <c r="D879" s="370"/>
    </row>
    <row r="880">
      <c r="A880" s="280"/>
      <c r="B880" s="1459"/>
      <c r="C880" s="370"/>
      <c r="D880" s="370"/>
    </row>
    <row r="881">
      <c r="A881" s="280"/>
      <c r="B881" s="1459"/>
      <c r="C881" s="370"/>
      <c r="D881" s="370"/>
    </row>
    <row r="882">
      <c r="A882" s="280"/>
      <c r="B882" s="1459"/>
      <c r="C882" s="370"/>
      <c r="D882" s="370"/>
    </row>
    <row r="883">
      <c r="A883" s="280"/>
      <c r="B883" s="1459"/>
      <c r="C883" s="370"/>
      <c r="D883" s="370"/>
    </row>
    <row r="884">
      <c r="A884" s="280"/>
      <c r="B884" s="1459"/>
      <c r="C884" s="370"/>
      <c r="D884" s="370"/>
    </row>
    <row r="885">
      <c r="A885" s="280"/>
      <c r="B885" s="1459"/>
      <c r="C885" s="370"/>
      <c r="D885" s="370"/>
    </row>
    <row r="886">
      <c r="A886" s="280"/>
      <c r="B886" s="1459"/>
      <c r="C886" s="370"/>
      <c r="D886" s="370"/>
    </row>
    <row r="887">
      <c r="A887" s="280"/>
      <c r="B887" s="1459"/>
      <c r="C887" s="370"/>
      <c r="D887" s="370"/>
    </row>
    <row r="888">
      <c r="A888" s="280"/>
      <c r="B888" s="1459"/>
      <c r="C888" s="370"/>
      <c r="D888" s="370"/>
    </row>
    <row r="889">
      <c r="A889" s="280"/>
      <c r="B889" s="1459"/>
      <c r="C889" s="370"/>
      <c r="D889" s="370"/>
    </row>
    <row r="890">
      <c r="A890" s="280"/>
      <c r="B890" s="1459"/>
      <c r="C890" s="370"/>
      <c r="D890" s="370"/>
    </row>
    <row r="891">
      <c r="A891" s="280"/>
      <c r="B891" s="1459"/>
      <c r="C891" s="370"/>
      <c r="D891" s="370"/>
    </row>
    <row r="892">
      <c r="A892" s="280"/>
      <c r="B892" s="1459"/>
      <c r="C892" s="370"/>
      <c r="D892" s="370"/>
    </row>
    <row r="893">
      <c r="A893" s="280"/>
      <c r="B893" s="1459"/>
      <c r="C893" s="370"/>
      <c r="D893" s="370"/>
    </row>
    <row r="894">
      <c r="A894" s="280"/>
      <c r="B894" s="1459"/>
      <c r="C894" s="370"/>
      <c r="D894" s="370"/>
    </row>
    <row r="895">
      <c r="A895" s="280"/>
      <c r="B895" s="1459"/>
      <c r="C895" s="370"/>
      <c r="D895" s="370"/>
    </row>
    <row r="896">
      <c r="A896" s="280"/>
      <c r="B896" s="1459"/>
      <c r="C896" s="370"/>
      <c r="D896" s="370"/>
    </row>
    <row r="897">
      <c r="A897" s="280"/>
      <c r="B897" s="1459"/>
      <c r="C897" s="370"/>
      <c r="D897" s="370"/>
    </row>
    <row r="898">
      <c r="A898" s="280"/>
      <c r="B898" s="1459"/>
      <c r="C898" s="370"/>
      <c r="D898" s="370"/>
    </row>
    <row r="899">
      <c r="A899" s="280"/>
      <c r="B899" s="1459"/>
      <c r="C899" s="370"/>
      <c r="D899" s="370"/>
    </row>
    <row r="900">
      <c r="A900" s="280"/>
      <c r="B900" s="1459"/>
      <c r="C900" s="370"/>
      <c r="D900" s="370"/>
    </row>
    <row r="901">
      <c r="A901" s="280"/>
      <c r="B901" s="1459"/>
      <c r="C901" s="370"/>
      <c r="D901" s="370"/>
    </row>
    <row r="902">
      <c r="A902" s="280"/>
      <c r="B902" s="1459"/>
      <c r="C902" s="370"/>
      <c r="D902" s="370"/>
    </row>
    <row r="903">
      <c r="A903" s="280"/>
      <c r="B903" s="1459"/>
      <c r="C903" s="370"/>
      <c r="D903" s="370"/>
    </row>
    <row r="904">
      <c r="A904" s="280"/>
      <c r="B904" s="1459"/>
      <c r="C904" s="370"/>
      <c r="D904" s="370"/>
    </row>
    <row r="905">
      <c r="A905" s="280"/>
      <c r="B905" s="1459"/>
      <c r="C905" s="370"/>
      <c r="D905" s="370"/>
    </row>
    <row r="906">
      <c r="A906" s="280"/>
      <c r="B906" s="1459"/>
      <c r="C906" s="370"/>
      <c r="D906" s="370"/>
    </row>
    <row r="907">
      <c r="A907" s="280"/>
      <c r="B907" s="1459"/>
      <c r="C907" s="370"/>
      <c r="D907" s="370"/>
    </row>
    <row r="908">
      <c r="A908" s="280"/>
      <c r="B908" s="1459"/>
      <c r="C908" s="370"/>
      <c r="D908" s="370"/>
    </row>
    <row r="909">
      <c r="A909" s="280"/>
      <c r="B909" s="1459"/>
      <c r="C909" s="370"/>
      <c r="D909" s="370"/>
    </row>
    <row r="910">
      <c r="A910" s="280"/>
      <c r="B910" s="1459"/>
      <c r="C910" s="370"/>
      <c r="D910" s="370"/>
    </row>
    <row r="911">
      <c r="A911" s="280"/>
      <c r="B911" s="1459"/>
      <c r="C911" s="370"/>
      <c r="D911" s="370"/>
    </row>
    <row r="912">
      <c r="A912" s="280"/>
      <c r="B912" s="1459"/>
      <c r="C912" s="370"/>
      <c r="D912" s="370"/>
    </row>
    <row r="913">
      <c r="A913" s="280"/>
      <c r="B913" s="1459"/>
      <c r="C913" s="370"/>
      <c r="D913" s="370"/>
    </row>
    <row r="914">
      <c r="A914" s="280"/>
      <c r="B914" s="1459"/>
      <c r="C914" s="370"/>
      <c r="D914" s="370"/>
    </row>
    <row r="915">
      <c r="A915" s="280"/>
      <c r="B915" s="1459"/>
      <c r="C915" s="370"/>
      <c r="D915" s="370"/>
    </row>
    <row r="916">
      <c r="A916" s="280"/>
      <c r="B916" s="1459"/>
      <c r="C916" s="370"/>
      <c r="D916" s="370"/>
    </row>
    <row r="917">
      <c r="A917" s="280"/>
      <c r="B917" s="1459"/>
      <c r="C917" s="370"/>
      <c r="D917" s="370"/>
    </row>
    <row r="918">
      <c r="A918" s="280"/>
      <c r="B918" s="1459"/>
      <c r="C918" s="370"/>
      <c r="D918" s="370"/>
    </row>
    <row r="919">
      <c r="A919" s="280"/>
      <c r="B919" s="1459"/>
      <c r="C919" s="370"/>
      <c r="D919" s="370"/>
    </row>
    <row r="920">
      <c r="A920" s="280"/>
      <c r="B920" s="1459"/>
      <c r="C920" s="370"/>
      <c r="D920" s="370"/>
    </row>
    <row r="921">
      <c r="A921" s="280"/>
      <c r="B921" s="1459"/>
      <c r="C921" s="370"/>
      <c r="D921" s="370"/>
    </row>
    <row r="922">
      <c r="A922" s="280"/>
      <c r="B922" s="1459"/>
      <c r="C922" s="370"/>
      <c r="D922" s="370"/>
    </row>
    <row r="923">
      <c r="A923" s="280"/>
      <c r="B923" s="1459"/>
      <c r="C923" s="370"/>
      <c r="D923" s="370"/>
    </row>
    <row r="924">
      <c r="A924" s="280"/>
      <c r="B924" s="1459"/>
      <c r="C924" s="370"/>
      <c r="D924" s="370"/>
    </row>
    <row r="925">
      <c r="A925" s="280"/>
      <c r="B925" s="1459"/>
      <c r="C925" s="370"/>
      <c r="D925" s="370"/>
    </row>
    <row r="926">
      <c r="A926" s="280"/>
      <c r="B926" s="1459"/>
      <c r="C926" s="370"/>
      <c r="D926" s="370"/>
    </row>
    <row r="927">
      <c r="A927" s="280"/>
      <c r="B927" s="1459"/>
      <c r="C927" s="370"/>
      <c r="D927" s="370"/>
    </row>
    <row r="928">
      <c r="A928" s="280"/>
      <c r="B928" s="1459"/>
      <c r="C928" s="370"/>
      <c r="D928" s="370"/>
    </row>
    <row r="929">
      <c r="A929" s="280"/>
      <c r="B929" s="1459"/>
      <c r="C929" s="370"/>
      <c r="D929" s="370"/>
    </row>
    <row r="930">
      <c r="A930" s="280"/>
      <c r="B930" s="1459"/>
      <c r="C930" s="370"/>
      <c r="D930" s="370"/>
    </row>
    <row r="931">
      <c r="A931" s="280"/>
      <c r="B931" s="1459"/>
      <c r="C931" s="370"/>
      <c r="D931" s="370"/>
    </row>
    <row r="932">
      <c r="A932" s="280"/>
      <c r="B932" s="1459"/>
      <c r="C932" s="370"/>
      <c r="D932" s="370"/>
    </row>
    <row r="933">
      <c r="A933" s="280"/>
      <c r="B933" s="1459"/>
      <c r="C933" s="370"/>
      <c r="D933" s="370"/>
    </row>
    <row r="934">
      <c r="A934" s="280"/>
      <c r="B934" s="1459"/>
      <c r="C934" s="370"/>
      <c r="D934" s="370"/>
    </row>
    <row r="935">
      <c r="A935" s="280"/>
      <c r="B935" s="1459"/>
      <c r="C935" s="370"/>
      <c r="D935" s="370"/>
    </row>
    <row r="936">
      <c r="A936" s="280"/>
      <c r="B936" s="1459"/>
      <c r="C936" s="370"/>
      <c r="D936" s="370"/>
    </row>
    <row r="937">
      <c r="A937" s="280"/>
      <c r="B937" s="1459"/>
      <c r="C937" s="370"/>
      <c r="D937" s="370"/>
    </row>
    <row r="938">
      <c r="A938" s="280"/>
      <c r="B938" s="1459"/>
      <c r="C938" s="370"/>
      <c r="D938" s="370"/>
    </row>
    <row r="939">
      <c r="A939" s="280"/>
      <c r="B939" s="1459"/>
      <c r="C939" s="370"/>
      <c r="D939" s="370"/>
    </row>
    <row r="940">
      <c r="A940" s="280"/>
      <c r="B940" s="1459"/>
      <c r="C940" s="370"/>
      <c r="D940" s="370"/>
    </row>
    <row r="941">
      <c r="A941" s="280"/>
      <c r="B941" s="1459"/>
      <c r="C941" s="370"/>
      <c r="D941" s="370"/>
    </row>
    <row r="942">
      <c r="A942" s="280"/>
      <c r="B942" s="1459"/>
      <c r="C942" s="370"/>
      <c r="D942" s="370"/>
    </row>
    <row r="943">
      <c r="A943" s="280"/>
      <c r="B943" s="1459"/>
      <c r="C943" s="370"/>
      <c r="D943" s="370"/>
    </row>
    <row r="944">
      <c r="A944" s="280"/>
      <c r="B944" s="1459"/>
      <c r="C944" s="370"/>
      <c r="D944" s="370"/>
    </row>
    <row r="945">
      <c r="A945" s="280"/>
      <c r="B945" s="1459"/>
      <c r="C945" s="370"/>
      <c r="D945" s="370"/>
    </row>
    <row r="946">
      <c r="A946" s="280"/>
      <c r="B946" s="1459"/>
      <c r="C946" s="370"/>
      <c r="D946" s="370"/>
    </row>
    <row r="947">
      <c r="A947" s="280"/>
      <c r="B947" s="1459"/>
      <c r="C947" s="370"/>
      <c r="D947" s="370"/>
    </row>
    <row r="948">
      <c r="A948" s="280"/>
      <c r="B948" s="1459"/>
      <c r="C948" s="370"/>
      <c r="D948" s="370"/>
    </row>
    <row r="949">
      <c r="A949" s="280"/>
      <c r="B949" s="1459"/>
      <c r="C949" s="370"/>
      <c r="D949" s="370"/>
    </row>
    <row r="950">
      <c r="A950" s="280"/>
      <c r="B950" s="1459"/>
      <c r="C950" s="370"/>
      <c r="D950" s="370"/>
    </row>
    <row r="951">
      <c r="A951" s="280"/>
      <c r="B951" s="1459"/>
      <c r="C951" s="370"/>
      <c r="D951" s="370"/>
    </row>
    <row r="952">
      <c r="A952" s="280"/>
      <c r="B952" s="1459"/>
      <c r="C952" s="370"/>
      <c r="D952" s="370"/>
    </row>
    <row r="953">
      <c r="A953" s="280"/>
      <c r="B953" s="1459"/>
      <c r="C953" s="370"/>
      <c r="D953" s="370"/>
    </row>
    <row r="954">
      <c r="A954" s="280"/>
      <c r="B954" s="1459"/>
      <c r="C954" s="370"/>
      <c r="D954" s="370"/>
    </row>
    <row r="955">
      <c r="A955" s="280"/>
      <c r="B955" s="1459"/>
      <c r="C955" s="370"/>
      <c r="D955" s="370"/>
    </row>
    <row r="956">
      <c r="A956" s="280"/>
      <c r="B956" s="1459"/>
      <c r="C956" s="370"/>
      <c r="D956" s="370"/>
    </row>
    <row r="957">
      <c r="A957" s="280"/>
      <c r="B957" s="1459"/>
      <c r="C957" s="370"/>
      <c r="D957" s="370"/>
    </row>
    <row r="958">
      <c r="A958" s="280"/>
      <c r="B958" s="1459"/>
      <c r="C958" s="370"/>
      <c r="D958" s="370"/>
    </row>
    <row r="959">
      <c r="A959" s="280"/>
      <c r="B959" s="1459"/>
      <c r="C959" s="370"/>
      <c r="D959" s="370"/>
    </row>
    <row r="960">
      <c r="A960" s="280"/>
      <c r="B960" s="1459"/>
      <c r="C960" s="370"/>
      <c r="D960" s="370"/>
    </row>
    <row r="961">
      <c r="A961" s="280"/>
      <c r="B961" s="1459"/>
      <c r="C961" s="370"/>
      <c r="D961" s="370"/>
    </row>
    <row r="962">
      <c r="A962" s="280"/>
      <c r="B962" s="1459"/>
      <c r="C962" s="370"/>
      <c r="D962" s="370"/>
    </row>
    <row r="963">
      <c r="A963" s="280"/>
      <c r="B963" s="1459"/>
      <c r="C963" s="370"/>
      <c r="D963" s="370"/>
    </row>
    <row r="964">
      <c r="A964" s="280"/>
      <c r="B964" s="1459"/>
      <c r="C964" s="370"/>
      <c r="D964" s="370"/>
    </row>
    <row r="965">
      <c r="A965" s="280"/>
      <c r="B965" s="1459"/>
      <c r="C965" s="370"/>
      <c r="D965" s="370"/>
    </row>
    <row r="966">
      <c r="A966" s="280"/>
      <c r="B966" s="1459"/>
      <c r="C966" s="370"/>
      <c r="D966" s="370"/>
    </row>
    <row r="967">
      <c r="A967" s="280"/>
      <c r="B967" s="1459"/>
      <c r="C967" s="370"/>
      <c r="D967" s="370"/>
    </row>
    <row r="968">
      <c r="A968" s="280"/>
      <c r="B968" s="1459"/>
      <c r="C968" s="370"/>
      <c r="D968" s="370"/>
    </row>
    <row r="969">
      <c r="A969" s="280"/>
      <c r="B969" s="1459"/>
      <c r="C969" s="370"/>
      <c r="D969" s="370"/>
    </row>
    <row r="970">
      <c r="A970" s="280"/>
      <c r="B970" s="1459"/>
      <c r="C970" s="370"/>
      <c r="D970" s="370"/>
    </row>
    <row r="971">
      <c r="A971" s="280"/>
      <c r="B971" s="1459"/>
      <c r="C971" s="370"/>
      <c r="D971" s="370"/>
    </row>
    <row r="972">
      <c r="A972" s="280"/>
      <c r="B972" s="1459"/>
      <c r="C972" s="370"/>
      <c r="D972" s="370"/>
    </row>
    <row r="973">
      <c r="A973" s="280"/>
      <c r="B973" s="1459"/>
      <c r="C973" s="370"/>
      <c r="D973" s="370"/>
    </row>
    <row r="974">
      <c r="A974" s="280"/>
      <c r="B974" s="1459"/>
      <c r="C974" s="370"/>
      <c r="D974" s="370"/>
    </row>
    <row r="975">
      <c r="A975" s="280"/>
      <c r="B975" s="1459"/>
      <c r="C975" s="370"/>
      <c r="D975" s="370"/>
    </row>
    <row r="976">
      <c r="A976" s="280"/>
      <c r="B976" s="1459"/>
      <c r="C976" s="370"/>
      <c r="D976" s="370"/>
    </row>
    <row r="977">
      <c r="A977" s="280"/>
      <c r="B977" s="1459"/>
      <c r="C977" s="370"/>
      <c r="D977" s="370"/>
    </row>
    <row r="978">
      <c r="A978" s="280"/>
      <c r="B978" s="1459"/>
      <c r="C978" s="370"/>
      <c r="D978" s="370"/>
    </row>
    <row r="979">
      <c r="A979" s="280"/>
      <c r="B979" s="1459"/>
      <c r="C979" s="370"/>
      <c r="D979" s="370"/>
    </row>
    <row r="980">
      <c r="A980" s="280"/>
      <c r="B980" s="1459"/>
      <c r="C980" s="370"/>
      <c r="D980" s="370"/>
    </row>
    <row r="981">
      <c r="A981" s="280"/>
      <c r="B981" s="1459"/>
      <c r="C981" s="370"/>
      <c r="D981" s="370"/>
    </row>
    <row r="982">
      <c r="A982" s="280"/>
      <c r="B982" s="1459"/>
      <c r="C982" s="370"/>
      <c r="D982" s="370"/>
    </row>
    <row r="983">
      <c r="A983" s="280"/>
      <c r="B983" s="1459"/>
      <c r="C983" s="370"/>
      <c r="D983" s="370"/>
    </row>
    <row r="984">
      <c r="A984" s="280"/>
      <c r="B984" s="1459"/>
      <c r="C984" s="370"/>
      <c r="D984" s="370"/>
    </row>
    <row r="985">
      <c r="A985" s="280"/>
      <c r="B985" s="1459"/>
      <c r="C985" s="370"/>
      <c r="D985" s="370"/>
    </row>
    <row r="986">
      <c r="A986" s="280"/>
      <c r="B986" s="1459"/>
      <c r="C986" s="370"/>
      <c r="D986" s="370"/>
    </row>
    <row r="987">
      <c r="A987" s="280"/>
      <c r="B987" s="1459"/>
      <c r="C987" s="370"/>
      <c r="D987" s="370"/>
    </row>
    <row r="988">
      <c r="A988" s="280"/>
      <c r="B988" s="1459"/>
      <c r="C988" s="370"/>
      <c r="D988" s="370"/>
    </row>
    <row r="989">
      <c r="A989" s="280"/>
      <c r="B989" s="1459"/>
      <c r="C989" s="370"/>
      <c r="D989" s="370"/>
    </row>
    <row r="990">
      <c r="A990" s="280"/>
      <c r="B990" s="1459"/>
      <c r="C990" s="370"/>
      <c r="D990" s="370"/>
    </row>
    <row r="991">
      <c r="A991" s="280"/>
      <c r="B991" s="1459"/>
      <c r="C991" s="370"/>
      <c r="D991" s="370"/>
    </row>
    <row r="992">
      <c r="A992" s="280"/>
      <c r="B992" s="1459"/>
      <c r="C992" s="370"/>
      <c r="D992" s="370"/>
    </row>
    <row r="993">
      <c r="A993" s="280"/>
      <c r="B993" s="1459"/>
      <c r="C993" s="370"/>
      <c r="D993" s="370"/>
    </row>
    <row r="994">
      <c r="A994" s="280"/>
      <c r="B994" s="1459"/>
      <c r="C994" s="370"/>
      <c r="D994" s="370"/>
    </row>
    <row r="995">
      <c r="A995" s="280"/>
      <c r="B995" s="1459"/>
      <c r="C995" s="370"/>
      <c r="D995" s="370"/>
    </row>
    <row r="996">
      <c r="A996" s="280"/>
      <c r="B996" s="1459"/>
      <c r="C996" s="370"/>
      <c r="D996" s="370"/>
    </row>
    <row r="997">
      <c r="A997" s="280"/>
      <c r="B997" s="1459"/>
      <c r="C997" s="370"/>
      <c r="D997" s="370"/>
    </row>
    <row r="998">
      <c r="A998" s="280"/>
      <c r="B998" s="1459"/>
      <c r="C998" s="370"/>
      <c r="D998" s="370"/>
    </row>
    <row r="999">
      <c r="A999" s="280"/>
      <c r="B999" s="1459"/>
      <c r="C999" s="370"/>
      <c r="D999" s="370"/>
    </row>
    <row r="1000">
      <c r="A1000" s="280"/>
      <c r="B1000" s="1459"/>
      <c r="C1000" s="370"/>
      <c r="D1000" s="370"/>
    </row>
  </sheetData>
  <autoFilter ref="$A$1:$D$55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75"/>
    <col customWidth="1" min="2" max="2" width="12.75"/>
    <col customWidth="1" min="3" max="3" width="16.63"/>
    <col customWidth="1" min="4" max="4" width="16.38"/>
    <col customWidth="1" min="5" max="5" width="32.5"/>
    <col customWidth="1" min="6" max="6" width="30.13"/>
    <col customWidth="1" min="10" max="10" width="1.63"/>
    <col customWidth="1" min="11" max="11" width="20.38"/>
    <col customWidth="1" min="12" max="12" width="4.38"/>
    <col customWidth="1" min="13" max="13" width="4.25"/>
    <col customWidth="1" min="14" max="14" width="5.13"/>
    <col customWidth="1" min="15" max="15" width="8.5"/>
    <col customWidth="1" min="16" max="16" width="4.5"/>
    <col customWidth="1" min="17" max="17" width="4.75"/>
    <col customWidth="1" min="18" max="18" width="7.13"/>
    <col customWidth="1" min="19" max="19" width="4.25"/>
    <col customWidth="1" min="21" max="21" width="4.75"/>
    <col customWidth="1" min="22" max="22" width="5.0"/>
    <col customWidth="1" min="23" max="23" width="5.13"/>
    <col customWidth="1" min="24" max="24" width="8.75"/>
    <col customWidth="1" min="25" max="25" width="4.75"/>
    <col customWidth="1" min="26" max="26" width="5.0"/>
    <col customWidth="1" min="27" max="27" width="7.0"/>
  </cols>
  <sheetData>
    <row r="1">
      <c r="A1" s="1460" t="s">
        <v>6665</v>
      </c>
      <c r="B1" s="1460" t="s">
        <v>6666</v>
      </c>
      <c r="C1" s="1460" t="s">
        <v>6667</v>
      </c>
      <c r="D1" s="1460" t="s">
        <v>6668</v>
      </c>
      <c r="E1" s="1461"/>
      <c r="F1" s="1462"/>
      <c r="G1" s="1462"/>
      <c r="H1" s="1462"/>
      <c r="I1" s="1462"/>
      <c r="J1" s="1462"/>
      <c r="K1" s="1462"/>
      <c r="L1" s="1462"/>
      <c r="M1" s="1462"/>
      <c r="N1" s="1462"/>
      <c r="O1" s="1462"/>
      <c r="P1" s="1462"/>
      <c r="Q1" s="1462"/>
      <c r="R1" s="1462"/>
      <c r="S1" s="1462"/>
      <c r="T1" s="1462"/>
      <c r="U1" s="1462"/>
      <c r="V1" s="1462"/>
      <c r="W1" s="1462"/>
      <c r="X1" s="1462"/>
      <c r="Y1" s="1462"/>
      <c r="Z1" s="1462"/>
      <c r="AA1" s="1462"/>
    </row>
    <row r="2">
      <c r="A2" s="1463" t="s">
        <v>6669</v>
      </c>
      <c r="B2" s="1464" t="s">
        <v>6670</v>
      </c>
      <c r="C2" s="1463">
        <v>100.0</v>
      </c>
      <c r="D2" s="713">
        <v>100.0</v>
      </c>
      <c r="E2" s="1461" t="s">
        <v>6671</v>
      </c>
      <c r="F2" s="1462"/>
      <c r="G2" s="1462"/>
      <c r="H2" s="1462"/>
      <c r="I2" s="1462"/>
      <c r="J2" s="1462"/>
      <c r="K2" s="1462"/>
      <c r="L2" s="1462"/>
      <c r="M2" s="1462"/>
      <c r="N2" s="1462"/>
      <c r="O2" s="1462"/>
      <c r="P2" s="1462"/>
      <c r="Q2" s="1462"/>
      <c r="R2" s="1462"/>
      <c r="S2" s="1462"/>
      <c r="T2" s="1462"/>
      <c r="U2" s="1462"/>
      <c r="V2" s="1462"/>
      <c r="W2" s="1462"/>
      <c r="X2" s="1462"/>
      <c r="Y2" s="1462"/>
      <c r="Z2" s="1462"/>
      <c r="AA2" s="1462"/>
    </row>
    <row r="3">
      <c r="A3" s="1463" t="s">
        <v>6669</v>
      </c>
      <c r="B3" s="1464" t="s">
        <v>6670</v>
      </c>
      <c r="C3" s="1463">
        <v>101.0</v>
      </c>
      <c r="D3" s="713">
        <v>101.0</v>
      </c>
      <c r="E3" s="1461" t="s">
        <v>6671</v>
      </c>
      <c r="F3" s="1462"/>
      <c r="G3" s="1462"/>
      <c r="H3" s="1462"/>
      <c r="I3" s="1462"/>
      <c r="J3" s="1462"/>
      <c r="K3" s="1462"/>
      <c r="L3" s="1462"/>
      <c r="M3" s="1462"/>
      <c r="N3" s="1462"/>
      <c r="O3" s="1462"/>
      <c r="P3" s="1462"/>
      <c r="Q3" s="1462"/>
      <c r="R3" s="1462"/>
      <c r="S3" s="1462"/>
      <c r="T3" s="1462"/>
      <c r="U3" s="1462"/>
      <c r="V3" s="1462"/>
      <c r="W3" s="1462"/>
      <c r="X3" s="1462"/>
      <c r="Y3" s="1462"/>
      <c r="Z3" s="1462"/>
      <c r="AA3" s="1462"/>
    </row>
    <row r="4">
      <c r="A4" s="1463" t="s">
        <v>6669</v>
      </c>
      <c r="B4" s="1464" t="s">
        <v>6672</v>
      </c>
      <c r="C4" s="1463">
        <v>610518.0</v>
      </c>
      <c r="D4" s="713">
        <v>102.0</v>
      </c>
      <c r="E4" s="1461"/>
      <c r="F4" s="1465"/>
      <c r="G4" s="1465"/>
      <c r="H4" s="1465"/>
      <c r="I4" s="1465"/>
      <c r="J4" s="1462"/>
      <c r="S4" s="1462"/>
      <c r="T4" s="1462"/>
      <c r="U4" s="1462"/>
      <c r="V4" s="1462"/>
      <c r="W4" s="1462"/>
      <c r="X4" s="1462"/>
      <c r="Y4" s="1462"/>
      <c r="Z4" s="1462"/>
      <c r="AA4" s="1462"/>
    </row>
    <row r="5">
      <c r="A5" s="1466" t="s">
        <v>6669</v>
      </c>
      <c r="B5" s="1467" t="s">
        <v>6670</v>
      </c>
      <c r="C5" s="1468">
        <v>103.0</v>
      </c>
      <c r="D5" s="1469">
        <v>103.0</v>
      </c>
      <c r="E5" s="1461" t="s">
        <v>6671</v>
      </c>
      <c r="F5" s="1465"/>
      <c r="G5" s="1465"/>
      <c r="H5" s="1465"/>
      <c r="I5" s="1465"/>
      <c r="J5" s="1462"/>
      <c r="K5" s="299" t="s">
        <v>6673</v>
      </c>
      <c r="S5" s="1462"/>
      <c r="T5" s="1470" t="s">
        <v>6673</v>
      </c>
      <c r="U5" s="1462"/>
      <c r="V5" s="1462"/>
      <c r="W5" s="1462"/>
      <c r="X5" s="1462"/>
      <c r="Y5" s="1462"/>
      <c r="Z5" s="1462"/>
      <c r="AA5" s="1462"/>
    </row>
    <row r="6">
      <c r="A6" s="1463" t="s">
        <v>6669</v>
      </c>
      <c r="B6" s="1464" t="s">
        <v>6670</v>
      </c>
      <c r="C6" s="1463">
        <v>24187.0</v>
      </c>
      <c r="D6" s="713">
        <v>104.0</v>
      </c>
      <c r="E6" s="1461" t="s">
        <v>6671</v>
      </c>
      <c r="F6" s="1465"/>
      <c r="G6" s="1465"/>
      <c r="H6" s="1465"/>
      <c r="I6" s="1465"/>
      <c r="J6" s="1462"/>
      <c r="S6" s="1462"/>
      <c r="T6" s="1462"/>
      <c r="U6" s="1462"/>
      <c r="V6" s="1462"/>
      <c r="W6" s="1462"/>
      <c r="X6" s="1462"/>
      <c r="Y6" s="1462"/>
      <c r="Z6" s="1462"/>
      <c r="AA6" s="1462"/>
    </row>
    <row r="7">
      <c r="A7" s="1463" t="s">
        <v>6669</v>
      </c>
      <c r="B7" s="1464" t="s">
        <v>6670</v>
      </c>
      <c r="C7" s="1463">
        <v>105.0</v>
      </c>
      <c r="D7" s="713">
        <v>105.0</v>
      </c>
      <c r="E7" s="1461" t="s">
        <v>6671</v>
      </c>
      <c r="F7" s="1462"/>
      <c r="G7" s="1462"/>
      <c r="H7" s="1462"/>
      <c r="I7" s="1462"/>
      <c r="J7" s="1462"/>
      <c r="K7" s="1471"/>
      <c r="L7" s="1471" t="s">
        <v>1464</v>
      </c>
      <c r="M7" s="1471" t="s">
        <v>6672</v>
      </c>
      <c r="N7" s="1471" t="s">
        <v>6674</v>
      </c>
      <c r="O7" s="1471" t="s">
        <v>6675</v>
      </c>
      <c r="P7" s="1471" t="s">
        <v>6676</v>
      </c>
      <c r="Q7" s="1471" t="s">
        <v>6677</v>
      </c>
      <c r="R7" s="1472" t="s">
        <v>3083</v>
      </c>
      <c r="S7" s="1462"/>
      <c r="T7" s="1473"/>
      <c r="U7" s="1473" t="s">
        <v>1464</v>
      </c>
      <c r="V7" s="1473" t="s">
        <v>6672</v>
      </c>
      <c r="W7" s="1473" t="s">
        <v>6674</v>
      </c>
      <c r="X7" s="1473" t="s">
        <v>6675</v>
      </c>
      <c r="Y7" s="1473" t="s">
        <v>6676</v>
      </c>
      <c r="Z7" s="1473" t="s">
        <v>6677</v>
      </c>
      <c r="AA7" s="1473" t="s">
        <v>3083</v>
      </c>
    </row>
    <row r="8">
      <c r="A8" s="1463" t="s">
        <v>6669</v>
      </c>
      <c r="B8" s="1464" t="s">
        <v>6670</v>
      </c>
      <c r="C8" s="1463">
        <v>106.0</v>
      </c>
      <c r="D8" s="1463">
        <v>106.0</v>
      </c>
      <c r="E8" s="1461" t="s">
        <v>6678</v>
      </c>
      <c r="F8" s="1465"/>
      <c r="G8" s="1465"/>
      <c r="H8" s="1465"/>
      <c r="I8" s="1465"/>
      <c r="J8" s="1462"/>
      <c r="K8" s="1471" t="s">
        <v>6679</v>
      </c>
      <c r="L8" s="1474"/>
      <c r="M8" s="1474"/>
      <c r="N8" s="1471"/>
      <c r="O8" s="1471"/>
      <c r="P8" s="1474"/>
      <c r="Q8" s="1474"/>
      <c r="R8" s="1475">
        <f>SUM(L8:Q8)</f>
        <v>0</v>
      </c>
      <c r="S8" s="1462"/>
      <c r="T8" s="1473" t="s">
        <v>6679</v>
      </c>
      <c r="U8" s="1474">
        <v>34.0</v>
      </c>
      <c r="V8" s="1474">
        <v>28.0</v>
      </c>
      <c r="W8" s="1473">
        <v>1.0</v>
      </c>
      <c r="X8" s="1473">
        <v>1.0</v>
      </c>
      <c r="Y8" s="1474"/>
      <c r="Z8" s="1474"/>
      <c r="AA8" s="1474">
        <v>64.0</v>
      </c>
    </row>
    <row r="9">
      <c r="A9" s="1463" t="s">
        <v>6669</v>
      </c>
      <c r="B9" s="1464" t="s">
        <v>6670</v>
      </c>
      <c r="C9" s="1463">
        <v>107.0</v>
      </c>
      <c r="D9" s="713">
        <v>107.0</v>
      </c>
      <c r="E9" s="1461" t="s">
        <v>6671</v>
      </c>
      <c r="F9" s="1471"/>
      <c r="G9" s="1465"/>
      <c r="H9" s="1465"/>
      <c r="I9" s="1465"/>
      <c r="J9" s="1462"/>
      <c r="K9" s="1471" t="s">
        <v>6680</v>
      </c>
      <c r="L9" s="1474"/>
      <c r="M9" s="1474"/>
      <c r="N9" s="1471"/>
      <c r="O9" s="1474"/>
      <c r="P9" s="1474"/>
      <c r="Q9" s="1474"/>
      <c r="R9" s="1475">
        <f>SUM(L9:N9)</f>
        <v>0</v>
      </c>
      <c r="S9" s="1462"/>
      <c r="T9" s="1473" t="s">
        <v>6680</v>
      </c>
      <c r="U9" s="1474">
        <v>14.0</v>
      </c>
      <c r="V9" s="1474">
        <v>6.0</v>
      </c>
      <c r="W9" s="1473">
        <v>1.0</v>
      </c>
      <c r="X9" s="1474"/>
      <c r="Y9" s="1474"/>
      <c r="Z9" s="1474"/>
      <c r="AA9" s="1474">
        <v>21.0</v>
      </c>
    </row>
    <row r="10">
      <c r="A10" s="1463" t="s">
        <v>6669</v>
      </c>
      <c r="B10" s="1464" t="s">
        <v>6670</v>
      </c>
      <c r="C10" s="1463">
        <v>108.0</v>
      </c>
      <c r="D10" s="713">
        <v>108.0</v>
      </c>
      <c r="E10" s="1461" t="s">
        <v>6671</v>
      </c>
      <c r="F10" s="1465"/>
      <c r="G10" s="1465"/>
      <c r="H10" s="1465"/>
      <c r="I10" s="1465"/>
      <c r="J10" s="1462"/>
      <c r="K10" s="1471" t="s">
        <v>6681</v>
      </c>
      <c r="L10" s="126"/>
      <c r="M10" s="1474"/>
      <c r="N10" s="1474"/>
      <c r="O10" s="1474"/>
      <c r="P10" s="1474"/>
      <c r="Q10" s="1474"/>
      <c r="R10" s="1472">
        <v>40.0</v>
      </c>
      <c r="S10" s="1462"/>
      <c r="T10" s="1473" t="s">
        <v>6681</v>
      </c>
      <c r="U10" s="1474"/>
      <c r="V10" s="1474"/>
      <c r="W10" s="1474"/>
      <c r="X10" s="1474"/>
      <c r="Y10" s="1474"/>
      <c r="Z10" s="1474"/>
      <c r="AA10" s="1474">
        <v>32.0</v>
      </c>
    </row>
    <row r="11">
      <c r="A11" s="1463" t="s">
        <v>6669</v>
      </c>
      <c r="B11" s="1464" t="s">
        <v>6670</v>
      </c>
      <c r="C11" s="1463">
        <v>33517.0</v>
      </c>
      <c r="D11" s="713">
        <v>109.0</v>
      </c>
      <c r="E11" s="1461" t="s">
        <v>6671</v>
      </c>
      <c r="F11" s="1465"/>
      <c r="G11" s="1465"/>
      <c r="H11" s="1465"/>
      <c r="I11" s="1465"/>
      <c r="J11" s="1462"/>
      <c r="K11" s="1471" t="s">
        <v>6682</v>
      </c>
      <c r="L11" s="1474"/>
      <c r="M11" s="1474"/>
      <c r="N11" s="1474"/>
      <c r="O11" s="1474"/>
      <c r="P11" s="1474"/>
      <c r="Q11" s="1474"/>
      <c r="R11" s="1475">
        <f>SUM(L11:M11)</f>
        <v>0</v>
      </c>
      <c r="S11" s="1462"/>
      <c r="T11" s="1473" t="s">
        <v>6682</v>
      </c>
      <c r="U11" s="1474">
        <v>6.0</v>
      </c>
      <c r="V11" s="1474">
        <v>6.0</v>
      </c>
      <c r="W11" s="1474"/>
      <c r="X11" s="1474"/>
      <c r="Y11" s="1474"/>
      <c r="Z11" s="1474"/>
      <c r="AA11" s="1474">
        <v>12.0</v>
      </c>
    </row>
    <row r="12">
      <c r="A12" s="1463" t="s">
        <v>6669</v>
      </c>
      <c r="B12" s="1464" t="s">
        <v>6670</v>
      </c>
      <c r="C12" s="1463">
        <v>110.0</v>
      </c>
      <c r="D12" s="713">
        <v>110.0</v>
      </c>
      <c r="E12" s="1461" t="s">
        <v>6671</v>
      </c>
      <c r="F12" s="1465"/>
      <c r="G12" s="1465"/>
      <c r="H12" s="1465"/>
      <c r="I12" s="1465"/>
      <c r="J12" s="1462"/>
      <c r="K12" s="1471" t="s">
        <v>6683</v>
      </c>
      <c r="L12" s="1474"/>
      <c r="M12" s="1474"/>
      <c r="N12" s="1474"/>
      <c r="O12" s="1471"/>
      <c r="P12" s="1471"/>
      <c r="Q12" s="1471"/>
      <c r="R12" s="1475">
        <f t="shared" ref="R12:R14" si="1">SUM(L12:Q12)</f>
        <v>0</v>
      </c>
      <c r="S12" s="1462"/>
      <c r="T12" s="1473" t="s">
        <v>6683</v>
      </c>
      <c r="U12" s="1474"/>
      <c r="V12" s="1474"/>
      <c r="W12" s="1474"/>
      <c r="X12" s="1473"/>
      <c r="Y12" s="1473">
        <v>2.0</v>
      </c>
      <c r="Z12" s="1473">
        <v>1.0</v>
      </c>
      <c r="AA12" s="1474">
        <v>3.0</v>
      </c>
    </row>
    <row r="13">
      <c r="A13" s="1463" t="s">
        <v>6669</v>
      </c>
      <c r="B13" s="1464" t="s">
        <v>6670</v>
      </c>
      <c r="C13" s="1463">
        <v>111.0</v>
      </c>
      <c r="D13" s="713">
        <v>111.0</v>
      </c>
      <c r="E13" s="1461" t="s">
        <v>6671</v>
      </c>
      <c r="F13" s="1476"/>
      <c r="G13" s="1462"/>
      <c r="H13" s="1462"/>
      <c r="I13" s="1462"/>
      <c r="J13" s="1462"/>
      <c r="K13" s="1471" t="s">
        <v>6684</v>
      </c>
      <c r="L13" s="1474"/>
      <c r="M13" s="1474"/>
      <c r="N13" s="1474"/>
      <c r="O13" s="1474"/>
      <c r="P13" s="1474"/>
      <c r="Q13" s="1471">
        <v>5.0</v>
      </c>
      <c r="R13" s="1475">
        <f t="shared" si="1"/>
        <v>5</v>
      </c>
      <c r="S13" s="1462"/>
      <c r="T13" s="1473" t="s">
        <v>6684</v>
      </c>
      <c r="U13" s="1474"/>
      <c r="V13" s="1474"/>
      <c r="W13" s="1474"/>
      <c r="X13" s="1474"/>
      <c r="Y13" s="1474"/>
      <c r="Z13" s="1473">
        <v>4.0</v>
      </c>
      <c r="AA13" s="1474">
        <v>4.0</v>
      </c>
    </row>
    <row r="14">
      <c r="A14" s="1463" t="s">
        <v>6669</v>
      </c>
      <c r="B14" s="1464" t="s">
        <v>6670</v>
      </c>
      <c r="C14" s="1463">
        <v>112.0</v>
      </c>
      <c r="D14" s="713">
        <v>112.0</v>
      </c>
      <c r="E14" s="1461" t="s">
        <v>6671</v>
      </c>
      <c r="F14" s="1465"/>
      <c r="G14" s="1465"/>
      <c r="H14" s="1465"/>
      <c r="I14" s="1465"/>
      <c r="J14" s="1462"/>
      <c r="K14" s="1471" t="s">
        <v>6685</v>
      </c>
      <c r="L14" s="1474"/>
      <c r="M14" s="1474"/>
      <c r="N14" s="1474"/>
      <c r="O14" s="1474"/>
      <c r="P14" s="1474"/>
      <c r="Q14" s="1471">
        <v>1.0</v>
      </c>
      <c r="R14" s="1475">
        <f t="shared" si="1"/>
        <v>1</v>
      </c>
      <c r="S14" s="1462"/>
      <c r="T14" s="1473" t="s">
        <v>6685</v>
      </c>
      <c r="U14" s="1474"/>
      <c r="V14" s="1474"/>
      <c r="W14" s="1474"/>
      <c r="X14" s="1474"/>
      <c r="Y14" s="1474"/>
      <c r="Z14" s="1473">
        <v>1.0</v>
      </c>
      <c r="AA14" s="1474">
        <v>1.0</v>
      </c>
    </row>
    <row r="15">
      <c r="A15" s="1463" t="s">
        <v>6669</v>
      </c>
      <c r="B15" s="1464" t="s">
        <v>6670</v>
      </c>
      <c r="C15" s="1463">
        <v>43215.0</v>
      </c>
      <c r="D15" s="713">
        <v>113.0</v>
      </c>
      <c r="E15" s="1461" t="s">
        <v>6671</v>
      </c>
      <c r="F15" s="1465"/>
      <c r="G15" s="1465"/>
      <c r="H15" s="1465"/>
      <c r="I15" s="1465"/>
      <c r="J15" s="1462"/>
      <c r="K15" s="1471" t="s">
        <v>6686</v>
      </c>
      <c r="L15" s="1474"/>
      <c r="M15" s="1474"/>
      <c r="N15" s="1474"/>
      <c r="O15" s="1474"/>
      <c r="P15" s="1474"/>
      <c r="Q15" s="1474"/>
      <c r="R15" s="1471">
        <v>8.0</v>
      </c>
      <c r="S15" s="1462"/>
    </row>
    <row r="16">
      <c r="A16" s="1466" t="s">
        <v>6669</v>
      </c>
      <c r="B16" s="1467" t="s">
        <v>6670</v>
      </c>
      <c r="C16" s="1468">
        <v>114.0</v>
      </c>
      <c r="D16" s="1469">
        <v>114.0</v>
      </c>
      <c r="E16" s="1461" t="s">
        <v>6671</v>
      </c>
      <c r="J16" s="1462"/>
      <c r="K16" s="1471" t="s">
        <v>6687</v>
      </c>
      <c r="L16" s="1474"/>
      <c r="M16" s="1474"/>
      <c r="N16" s="1474"/>
      <c r="O16" s="1474"/>
      <c r="P16" s="1474"/>
      <c r="Q16" s="1474"/>
      <c r="R16" s="1471">
        <v>2.0</v>
      </c>
      <c r="S16" s="1462"/>
      <c r="T16" s="858">
        <v>44948.0</v>
      </c>
    </row>
    <row r="17">
      <c r="A17" s="1466" t="s">
        <v>6669</v>
      </c>
      <c r="B17" s="1477" t="s">
        <v>6670</v>
      </c>
      <c r="C17" s="1463">
        <v>115.0</v>
      </c>
      <c r="D17" s="713">
        <v>115.0</v>
      </c>
      <c r="E17" s="1461" t="s">
        <v>6671</v>
      </c>
      <c r="F17" s="1465"/>
      <c r="G17" s="1465"/>
      <c r="H17" s="1465"/>
      <c r="I17" s="1465"/>
      <c r="J17" s="1462"/>
      <c r="K17" s="1471" t="s">
        <v>6688</v>
      </c>
      <c r="L17" s="1474"/>
      <c r="M17" s="1474"/>
      <c r="N17" s="1474"/>
      <c r="O17" s="1474"/>
      <c r="P17" s="1474"/>
      <c r="Q17" s="1474"/>
      <c r="R17" s="1471">
        <v>2.0</v>
      </c>
      <c r="S17" s="1462"/>
      <c r="T17" s="1462"/>
      <c r="U17" s="1462"/>
      <c r="V17" s="1462"/>
      <c r="W17" s="1462"/>
      <c r="X17" s="1462"/>
      <c r="Y17" s="1462"/>
      <c r="Z17" s="1462"/>
      <c r="AA17" s="1462"/>
    </row>
    <row r="18">
      <c r="A18" s="1463" t="s">
        <v>6669</v>
      </c>
      <c r="B18" s="1464" t="s">
        <v>6672</v>
      </c>
      <c r="C18" s="1463">
        <v>145169.0</v>
      </c>
      <c r="D18" s="713">
        <v>115.0</v>
      </c>
      <c r="E18" s="1461" t="s">
        <v>6671</v>
      </c>
      <c r="F18" s="1465"/>
      <c r="G18" s="1465"/>
      <c r="H18" s="1465"/>
      <c r="I18" s="1465"/>
      <c r="J18" s="1462"/>
      <c r="K18" s="1471"/>
      <c r="L18" s="1474"/>
      <c r="M18" s="1474"/>
      <c r="N18" s="1474"/>
      <c r="O18" s="1474"/>
      <c r="P18" s="1474"/>
      <c r="Q18" s="1474"/>
      <c r="R18" s="1471"/>
      <c r="S18" s="1462"/>
      <c r="T18" s="1462"/>
      <c r="U18" s="1462"/>
      <c r="V18" s="1462"/>
      <c r="W18" s="1462"/>
      <c r="X18" s="1462"/>
      <c r="Y18" s="1462"/>
      <c r="Z18" s="1462"/>
      <c r="AA18" s="1462"/>
    </row>
    <row r="19">
      <c r="A19" s="1463" t="s">
        <v>6669</v>
      </c>
      <c r="B19" s="1464" t="s">
        <v>6672</v>
      </c>
      <c r="C19" s="1463">
        <v>108305.0</v>
      </c>
      <c r="D19" s="713">
        <v>116.0</v>
      </c>
      <c r="E19" s="1461" t="s">
        <v>6671</v>
      </c>
      <c r="F19" s="1478"/>
      <c r="G19" s="1465"/>
      <c r="H19" s="1465"/>
      <c r="I19" s="1465"/>
      <c r="J19" s="1462"/>
      <c r="K19" s="1471" t="s">
        <v>6689</v>
      </c>
      <c r="L19" s="1474"/>
      <c r="M19" s="1474"/>
      <c r="N19" s="1474"/>
      <c r="O19" s="1474"/>
      <c r="P19" s="1474"/>
      <c r="Q19" s="1474"/>
      <c r="R19" s="1471">
        <v>1.0</v>
      </c>
      <c r="S19" s="1462"/>
      <c r="T19" s="1462"/>
      <c r="U19" s="1462"/>
      <c r="V19" s="1462"/>
      <c r="W19" s="1462"/>
      <c r="X19" s="1462"/>
      <c r="Y19" s="1462"/>
      <c r="Z19" s="1462"/>
      <c r="AA19" s="1462"/>
    </row>
    <row r="20">
      <c r="A20" s="1463" t="s">
        <v>6669</v>
      </c>
      <c r="B20" s="1464" t="s">
        <v>6672</v>
      </c>
      <c r="C20" s="1463">
        <v>117.0</v>
      </c>
      <c r="D20" s="713">
        <v>117.0</v>
      </c>
      <c r="E20" s="1461" t="s">
        <v>6671</v>
      </c>
      <c r="F20" s="1471"/>
      <c r="G20" s="1465"/>
      <c r="H20" s="1465"/>
      <c r="I20" s="1465"/>
      <c r="J20" s="1462"/>
      <c r="K20" s="1471" t="s">
        <v>6690</v>
      </c>
      <c r="L20" s="1474"/>
      <c r="M20" s="1474"/>
      <c r="N20" s="1474"/>
      <c r="O20" s="1474"/>
      <c r="P20" s="1474"/>
      <c r="Q20" s="1474"/>
      <c r="R20" s="1471">
        <v>1.0</v>
      </c>
      <c r="S20" s="1462"/>
      <c r="T20" s="1473"/>
      <c r="U20" s="1473" t="s">
        <v>1464</v>
      </c>
      <c r="V20" s="1473" t="s">
        <v>6672</v>
      </c>
      <c r="W20" s="1473" t="s">
        <v>6674</v>
      </c>
      <c r="X20" s="1473" t="s">
        <v>6675</v>
      </c>
      <c r="Y20" s="1473" t="s">
        <v>6676</v>
      </c>
      <c r="Z20" s="1473" t="s">
        <v>6677</v>
      </c>
      <c r="AA20" s="1473" t="s">
        <v>3083</v>
      </c>
    </row>
    <row r="21">
      <c r="A21" s="1463" t="s">
        <v>6669</v>
      </c>
      <c r="B21" s="1464" t="s">
        <v>6672</v>
      </c>
      <c r="C21" s="1463">
        <v>118.0</v>
      </c>
      <c r="D21" s="713">
        <v>118.0</v>
      </c>
      <c r="E21" s="1461" t="s">
        <v>6671</v>
      </c>
      <c r="F21" s="1476"/>
      <c r="G21" s="1476"/>
      <c r="H21" s="1476"/>
      <c r="I21" s="1476"/>
      <c r="J21" s="1462"/>
      <c r="K21" s="1471" t="s">
        <v>6691</v>
      </c>
      <c r="L21" s="1474"/>
      <c r="M21" s="1474"/>
      <c r="N21" s="1474"/>
      <c r="O21" s="1474"/>
      <c r="P21" s="1474"/>
      <c r="Q21" s="1474"/>
      <c r="R21" s="1471">
        <v>1.0</v>
      </c>
      <c r="S21" s="1462"/>
      <c r="T21" s="1473" t="s">
        <v>6679</v>
      </c>
      <c r="U21" s="1474">
        <v>38.0</v>
      </c>
      <c r="V21" s="1474">
        <v>30.0</v>
      </c>
      <c r="W21" s="1473">
        <v>1.0</v>
      </c>
      <c r="X21" s="1473">
        <v>1.0</v>
      </c>
      <c r="Y21" s="1474"/>
      <c r="Z21" s="1474"/>
      <c r="AA21" s="1474">
        <v>70.0</v>
      </c>
    </row>
    <row r="22">
      <c r="A22" s="1463" t="s">
        <v>6669</v>
      </c>
      <c r="B22" s="1464" t="s">
        <v>6674</v>
      </c>
      <c r="C22" s="1463">
        <v>119.0</v>
      </c>
      <c r="D22" s="713">
        <v>119.0</v>
      </c>
      <c r="E22" s="1461" t="s">
        <v>6671</v>
      </c>
      <c r="F22" s="1476"/>
      <c r="G22" s="1476"/>
      <c r="H22" s="1476"/>
      <c r="I22" s="1476"/>
      <c r="J22" s="1462"/>
      <c r="K22" s="1471" t="s">
        <v>6692</v>
      </c>
      <c r="L22" s="1474"/>
      <c r="M22" s="1474"/>
      <c r="N22" s="1474"/>
      <c r="O22" s="1474"/>
      <c r="P22" s="1474"/>
      <c r="Q22" s="1474"/>
      <c r="R22" s="1471">
        <v>1.0</v>
      </c>
      <c r="S22" s="1462"/>
      <c r="T22" s="1473" t="s">
        <v>6680</v>
      </c>
      <c r="U22" s="1474">
        <v>20.0</v>
      </c>
      <c r="V22" s="1474">
        <v>6.0</v>
      </c>
      <c r="W22" s="1473">
        <v>1.0</v>
      </c>
      <c r="X22" s="1474"/>
      <c r="Y22" s="1474"/>
      <c r="Z22" s="1474"/>
      <c r="AA22" s="1474">
        <v>27.0</v>
      </c>
    </row>
    <row r="23">
      <c r="A23" s="1463" t="s">
        <v>6669</v>
      </c>
      <c r="B23" s="1464" t="s">
        <v>6672</v>
      </c>
      <c r="C23" s="1463">
        <v>135192.0</v>
      </c>
      <c r="D23" s="713">
        <v>120.0</v>
      </c>
      <c r="E23" s="1461" t="s">
        <v>6693</v>
      </c>
      <c r="F23" s="1476"/>
      <c r="G23" s="1476"/>
      <c r="H23" s="1476"/>
      <c r="I23" s="1476"/>
      <c r="J23" s="1462"/>
      <c r="K23" s="1471" t="s">
        <v>6694</v>
      </c>
      <c r="L23" s="1474"/>
      <c r="M23" s="1474"/>
      <c r="N23" s="1474"/>
      <c r="O23" s="1474"/>
      <c r="P23" s="1474"/>
      <c r="Q23" s="1474"/>
      <c r="R23" s="1471">
        <v>2.0</v>
      </c>
      <c r="S23" s="1462"/>
      <c r="T23" s="1473" t="s">
        <v>6681</v>
      </c>
      <c r="U23" s="1474"/>
      <c r="V23" s="1474"/>
      <c r="W23" s="1474"/>
      <c r="X23" s="1474"/>
      <c r="Y23" s="1474"/>
      <c r="Z23" s="1474"/>
      <c r="AA23" s="1474">
        <v>32.0</v>
      </c>
    </row>
    <row r="24">
      <c r="A24" s="1463" t="s">
        <v>6669</v>
      </c>
      <c r="B24" s="1464" t="s">
        <v>6670</v>
      </c>
      <c r="C24" s="1463">
        <v>121.0</v>
      </c>
      <c r="D24" s="713">
        <v>121.0</v>
      </c>
      <c r="E24" s="1461" t="s">
        <v>6695</v>
      </c>
      <c r="F24" s="1476"/>
      <c r="G24" s="1476"/>
      <c r="H24" s="1476"/>
      <c r="I24" s="1476"/>
      <c r="J24" s="1462"/>
      <c r="K24" s="1471" t="s">
        <v>6696</v>
      </c>
      <c r="L24" s="1474"/>
      <c r="M24" s="1474"/>
      <c r="N24" s="1474"/>
      <c r="O24" s="1474"/>
      <c r="P24" s="1474"/>
      <c r="Q24" s="1474"/>
      <c r="R24" s="1471">
        <v>7.0</v>
      </c>
      <c r="S24" s="1462"/>
      <c r="T24" s="1473" t="s">
        <v>6682</v>
      </c>
      <c r="U24" s="1474">
        <v>6.0</v>
      </c>
      <c r="V24" s="1474">
        <v>6.0</v>
      </c>
      <c r="W24" s="1474"/>
      <c r="X24" s="1474"/>
      <c r="Y24" s="1474"/>
      <c r="Z24" s="1474"/>
      <c r="AA24" s="1474">
        <v>12.0</v>
      </c>
    </row>
    <row r="25">
      <c r="A25" s="1463" t="s">
        <v>6669</v>
      </c>
      <c r="B25" s="1464" t="s">
        <v>6670</v>
      </c>
      <c r="C25" s="1463">
        <v>148126.0</v>
      </c>
      <c r="D25" s="713">
        <v>122.0</v>
      </c>
      <c r="E25" s="1461" t="s">
        <v>6695</v>
      </c>
      <c r="F25" s="1476"/>
      <c r="G25" s="1476"/>
      <c r="H25" s="1476"/>
      <c r="I25" s="1476"/>
      <c r="J25" s="1462"/>
      <c r="K25" s="1471" t="s">
        <v>6697</v>
      </c>
      <c r="L25" s="1474"/>
      <c r="M25" s="1474"/>
      <c r="N25" s="1474"/>
      <c r="O25" s="1474"/>
      <c r="P25" s="1474"/>
      <c r="Q25" s="1474"/>
      <c r="R25" s="1471">
        <v>15.0</v>
      </c>
      <c r="S25" s="1462"/>
      <c r="T25" s="1473" t="s">
        <v>6683</v>
      </c>
      <c r="U25" s="1474"/>
      <c r="V25" s="1474"/>
      <c r="W25" s="1474"/>
      <c r="X25" s="1473"/>
      <c r="Y25" s="1473">
        <v>2.0</v>
      </c>
      <c r="Z25" s="1473">
        <v>1.0</v>
      </c>
      <c r="AA25" s="1474">
        <v>3.0</v>
      </c>
    </row>
    <row r="26">
      <c r="A26" s="1463" t="s">
        <v>6669</v>
      </c>
      <c r="B26" s="1464" t="s">
        <v>6672</v>
      </c>
      <c r="C26" s="1463">
        <v>602653.0</v>
      </c>
      <c r="D26" s="713">
        <v>123.0</v>
      </c>
      <c r="E26" s="1461" t="s">
        <v>6695</v>
      </c>
      <c r="F26" s="1476"/>
      <c r="G26" s="1476"/>
      <c r="H26" s="1476"/>
      <c r="I26" s="1476"/>
      <c r="J26" s="1462"/>
      <c r="S26" s="1462"/>
      <c r="T26" s="1473" t="s">
        <v>6684</v>
      </c>
      <c r="U26" s="1474"/>
      <c r="V26" s="1474"/>
      <c r="W26" s="1474"/>
      <c r="X26" s="1474"/>
      <c r="Y26" s="1474"/>
      <c r="Z26" s="1473">
        <v>4.0</v>
      </c>
      <c r="AA26" s="1474">
        <v>4.0</v>
      </c>
    </row>
    <row r="27">
      <c r="A27" s="1463" t="s">
        <v>6669</v>
      </c>
      <c r="B27" s="1464" t="s">
        <v>6670</v>
      </c>
      <c r="C27" s="1463">
        <v>43333.0</v>
      </c>
      <c r="D27" s="713">
        <v>124.0</v>
      </c>
      <c r="E27" s="1461" t="s">
        <v>6695</v>
      </c>
      <c r="F27" s="1465"/>
      <c r="G27" s="1465"/>
      <c r="H27" s="1465"/>
      <c r="I27" s="1465"/>
      <c r="J27" s="1462"/>
      <c r="K27" s="1462"/>
      <c r="L27" s="1462"/>
      <c r="M27" s="1462"/>
      <c r="N27" s="1462"/>
      <c r="O27" s="1462"/>
      <c r="P27" s="1462"/>
      <c r="Q27" s="1462"/>
      <c r="R27" s="1462"/>
      <c r="S27" s="1462"/>
      <c r="T27" s="1473" t="s">
        <v>6685</v>
      </c>
      <c r="U27" s="1474"/>
      <c r="V27" s="1474"/>
      <c r="W27" s="1474"/>
      <c r="X27" s="1474"/>
      <c r="Y27" s="1474"/>
      <c r="Z27" s="1473">
        <v>1.0</v>
      </c>
      <c r="AA27" s="1474">
        <v>1.0</v>
      </c>
    </row>
    <row r="28">
      <c r="A28" s="1463" t="s">
        <v>6669</v>
      </c>
      <c r="B28" s="1464" t="s">
        <v>6670</v>
      </c>
      <c r="C28" s="1463">
        <v>125.0</v>
      </c>
      <c r="D28" s="713">
        <v>125.0</v>
      </c>
      <c r="E28" s="1461" t="s">
        <v>6695</v>
      </c>
      <c r="F28" s="1465"/>
      <c r="G28" s="1465"/>
      <c r="H28" s="1465"/>
      <c r="I28" s="1465"/>
      <c r="J28" s="1462"/>
      <c r="K28" s="1462"/>
      <c r="L28" s="1462"/>
      <c r="M28" s="1462"/>
      <c r="N28" s="1462"/>
      <c r="O28" s="1462"/>
      <c r="P28" s="1462"/>
      <c r="Q28" s="1462"/>
      <c r="R28" s="1462"/>
      <c r="S28" s="1462"/>
      <c r="T28" s="1462"/>
      <c r="U28" s="1462"/>
      <c r="V28" s="1462"/>
      <c r="W28" s="1462"/>
      <c r="X28" s="1462"/>
      <c r="Y28" s="1462"/>
      <c r="Z28" s="1462"/>
      <c r="AA28" s="1462"/>
    </row>
    <row r="29">
      <c r="A29" s="1463" t="s">
        <v>6669</v>
      </c>
      <c r="B29" s="1464" t="s">
        <v>6670</v>
      </c>
      <c r="C29" s="1463">
        <v>127.0</v>
      </c>
      <c r="D29" s="713">
        <v>127.0</v>
      </c>
      <c r="E29" s="1461" t="s">
        <v>6695</v>
      </c>
      <c r="F29" s="1465"/>
      <c r="G29" s="1465"/>
      <c r="H29" s="1465"/>
      <c r="I29" s="1465"/>
      <c r="J29" s="1462"/>
      <c r="K29" s="1462"/>
      <c r="L29" s="1462"/>
      <c r="M29" s="1462"/>
      <c r="N29" s="1462"/>
      <c r="O29" s="1462"/>
      <c r="P29" s="1462"/>
      <c r="Q29" s="1462"/>
      <c r="R29" s="1462"/>
      <c r="S29" s="1462"/>
      <c r="T29" s="1462"/>
      <c r="U29" s="1462"/>
      <c r="V29" s="1462"/>
      <c r="W29" s="1462"/>
      <c r="X29" s="1462"/>
      <c r="Y29" s="1462"/>
      <c r="Z29" s="1462"/>
      <c r="AA29" s="1462"/>
    </row>
    <row r="30">
      <c r="A30" s="1463" t="s">
        <v>6669</v>
      </c>
      <c r="B30" s="1464" t="s">
        <v>6670</v>
      </c>
      <c r="C30" s="1463">
        <v>45888.0</v>
      </c>
      <c r="D30" s="713">
        <v>128.0</v>
      </c>
      <c r="E30" s="1461" t="s">
        <v>6695</v>
      </c>
      <c r="F30" s="1465"/>
      <c r="G30" s="1465"/>
      <c r="H30" s="1465"/>
      <c r="I30" s="1465"/>
      <c r="J30" s="1462"/>
      <c r="K30" s="1462"/>
      <c r="L30" s="1462"/>
      <c r="M30" s="1462"/>
      <c r="N30" s="1462"/>
      <c r="O30" s="1462"/>
      <c r="P30" s="1462"/>
      <c r="Q30" s="1462"/>
      <c r="R30" s="1462"/>
      <c r="S30" s="1462"/>
      <c r="T30" s="858">
        <v>44948.0</v>
      </c>
    </row>
    <row r="31">
      <c r="A31" s="1463" t="s">
        <v>6669</v>
      </c>
      <c r="B31" s="1464" t="s">
        <v>6670</v>
      </c>
      <c r="C31" s="1463">
        <v>24187.0</v>
      </c>
      <c r="D31" s="713">
        <v>129.0</v>
      </c>
      <c r="E31" s="1461" t="s">
        <v>6695</v>
      </c>
      <c r="F31" s="1465"/>
      <c r="G31" s="1465"/>
      <c r="H31" s="1465"/>
      <c r="I31" s="1465"/>
      <c r="J31" s="1462"/>
      <c r="K31" s="1462"/>
      <c r="L31" s="1462"/>
      <c r="M31" s="1462"/>
      <c r="N31" s="1462"/>
      <c r="O31" s="1462"/>
      <c r="P31" s="1462"/>
      <c r="Q31" s="1462"/>
      <c r="R31" s="1462"/>
      <c r="S31" s="1462"/>
      <c r="T31" s="1462"/>
      <c r="U31" s="1462"/>
      <c r="V31" s="1462"/>
      <c r="W31" s="1462"/>
      <c r="X31" s="1462"/>
      <c r="Y31" s="1462"/>
      <c r="Z31" s="1462"/>
      <c r="AA31" s="1462"/>
    </row>
    <row r="32">
      <c r="A32" s="1463" t="s">
        <v>6669</v>
      </c>
      <c r="B32" s="1464" t="s">
        <v>6670</v>
      </c>
      <c r="C32" s="1463">
        <v>130.0</v>
      </c>
      <c r="D32" s="713">
        <v>130.0</v>
      </c>
      <c r="E32" s="1461" t="s">
        <v>6695</v>
      </c>
      <c r="F32" s="1465"/>
      <c r="G32" s="1465"/>
      <c r="H32" s="1465"/>
      <c r="I32" s="1465"/>
      <c r="J32" s="1462"/>
      <c r="K32" s="1462"/>
      <c r="L32" s="1462"/>
      <c r="M32" s="1462"/>
      <c r="N32" s="1462"/>
      <c r="O32" s="1462"/>
      <c r="P32" s="1462"/>
      <c r="Q32" s="1462"/>
      <c r="R32" s="1462"/>
      <c r="S32" s="1462"/>
      <c r="T32" s="1473"/>
      <c r="U32" s="1473" t="s">
        <v>1464</v>
      </c>
      <c r="V32" s="1473" t="s">
        <v>6672</v>
      </c>
      <c r="W32" s="1473" t="s">
        <v>6674</v>
      </c>
      <c r="X32" s="1473" t="s">
        <v>6675</v>
      </c>
      <c r="Y32" s="1473" t="s">
        <v>6676</v>
      </c>
      <c r="Z32" s="1473" t="s">
        <v>6677</v>
      </c>
      <c r="AA32" s="1473" t="s">
        <v>3083</v>
      </c>
    </row>
    <row r="33">
      <c r="A33" s="1463" t="s">
        <v>6669</v>
      </c>
      <c r="B33" s="1464" t="s">
        <v>6670</v>
      </c>
      <c r="C33" s="1463">
        <v>131.0</v>
      </c>
      <c r="D33" s="713">
        <v>131.0</v>
      </c>
      <c r="E33" s="1461" t="s">
        <v>6695</v>
      </c>
      <c r="F33" s="1465"/>
      <c r="G33" s="1465"/>
      <c r="H33" s="1465"/>
      <c r="I33" s="1465"/>
      <c r="J33" s="1462"/>
      <c r="K33" s="1462"/>
      <c r="L33" s="1462"/>
      <c r="M33" s="1462"/>
      <c r="N33" s="1462"/>
      <c r="O33" s="1462"/>
      <c r="P33" s="1462"/>
      <c r="Q33" s="1462"/>
      <c r="R33" s="1462"/>
      <c r="S33" s="1462"/>
      <c r="T33" s="1473" t="s">
        <v>6679</v>
      </c>
      <c r="U33" s="1474"/>
      <c r="V33" s="1474"/>
      <c r="W33" s="1473"/>
      <c r="X33" s="1473"/>
      <c r="Y33" s="1474"/>
      <c r="Z33" s="1474"/>
      <c r="AA33" s="1474"/>
    </row>
    <row r="34">
      <c r="A34" s="1463" t="s">
        <v>6669</v>
      </c>
      <c r="B34" s="1464" t="s">
        <v>6672</v>
      </c>
      <c r="C34" s="1463">
        <v>704257.0</v>
      </c>
      <c r="D34" s="713">
        <v>132.0</v>
      </c>
      <c r="E34" s="1461" t="s">
        <v>6695</v>
      </c>
      <c r="F34" s="1465"/>
      <c r="G34" s="1465"/>
      <c r="H34" s="1465"/>
      <c r="I34" s="1465"/>
      <c r="J34" s="1462"/>
      <c r="K34" s="1462"/>
      <c r="L34" s="1462"/>
      <c r="M34" s="1462"/>
      <c r="N34" s="1462"/>
      <c r="O34" s="1462"/>
      <c r="P34" s="1462"/>
      <c r="Q34" s="1462"/>
      <c r="R34" s="1462"/>
      <c r="S34" s="1462"/>
      <c r="T34" s="1473" t="s">
        <v>6680</v>
      </c>
      <c r="U34" s="1474"/>
      <c r="V34" s="1474"/>
      <c r="W34" s="1473"/>
      <c r="X34" s="1474"/>
      <c r="Y34" s="1474"/>
      <c r="Z34" s="1474"/>
      <c r="AA34" s="1474"/>
    </row>
    <row r="35">
      <c r="A35" s="1463" t="s">
        <v>6669</v>
      </c>
      <c r="B35" s="1464" t="s">
        <v>6670</v>
      </c>
      <c r="C35" s="1463">
        <v>43333.0</v>
      </c>
      <c r="D35" s="713">
        <v>134.0</v>
      </c>
      <c r="E35" s="1461" t="s">
        <v>6695</v>
      </c>
      <c r="F35" s="1465"/>
      <c r="G35" s="1465"/>
      <c r="H35" s="1465"/>
      <c r="I35" s="1465"/>
      <c r="J35" s="1462"/>
      <c r="K35" s="1462"/>
      <c r="L35" s="1462"/>
      <c r="M35" s="1462"/>
      <c r="N35" s="1462"/>
      <c r="O35" s="1462"/>
      <c r="P35" s="1462"/>
      <c r="Q35" s="1462"/>
      <c r="R35" s="1462"/>
      <c r="S35" s="1462"/>
      <c r="T35" s="1473" t="s">
        <v>6681</v>
      </c>
      <c r="U35" s="1474"/>
      <c r="V35" s="1474"/>
      <c r="W35" s="1474"/>
      <c r="X35" s="1474"/>
      <c r="Y35" s="1474"/>
      <c r="Z35" s="1474"/>
      <c r="AA35" s="1474"/>
    </row>
    <row r="36">
      <c r="A36" s="1463" t="s">
        <v>6669</v>
      </c>
      <c r="B36" s="1464" t="s">
        <v>6670</v>
      </c>
      <c r="C36" s="1463">
        <v>57220.0</v>
      </c>
      <c r="D36" s="713">
        <v>135.0</v>
      </c>
      <c r="E36" s="1461" t="s">
        <v>6695</v>
      </c>
      <c r="F36" s="1462"/>
      <c r="G36" s="1462"/>
      <c r="H36" s="1462"/>
      <c r="I36" s="1462"/>
      <c r="J36" s="1462"/>
      <c r="K36" s="1462"/>
      <c r="L36" s="1462"/>
      <c r="M36" s="1462"/>
      <c r="N36" s="1462"/>
      <c r="O36" s="1462"/>
      <c r="P36" s="1462"/>
      <c r="Q36" s="1462"/>
      <c r="R36" s="1462"/>
      <c r="S36" s="1462"/>
      <c r="T36" s="1473" t="s">
        <v>6682</v>
      </c>
      <c r="U36" s="1474"/>
      <c r="V36" s="1474"/>
      <c r="W36" s="1474"/>
      <c r="X36" s="1474"/>
      <c r="Y36" s="1474"/>
      <c r="Z36" s="1474"/>
      <c r="AA36" s="1474"/>
    </row>
    <row r="37">
      <c r="A37" s="1463" t="s">
        <v>6669</v>
      </c>
      <c r="B37" s="1464" t="s">
        <v>6670</v>
      </c>
      <c r="C37" s="1463">
        <v>137.0</v>
      </c>
      <c r="D37" s="1463">
        <v>137.0</v>
      </c>
      <c r="E37" s="1461"/>
      <c r="F37" s="1465"/>
      <c r="G37" s="1465"/>
      <c r="H37" s="1465"/>
      <c r="I37" s="1465"/>
      <c r="J37" s="1462"/>
      <c r="K37" s="1462"/>
      <c r="L37" s="1462"/>
      <c r="M37" s="1462"/>
      <c r="N37" s="1462"/>
      <c r="O37" s="1462"/>
      <c r="P37" s="1462"/>
      <c r="Q37" s="1462"/>
      <c r="R37" s="1462"/>
      <c r="S37" s="1462"/>
      <c r="T37" s="1473" t="s">
        <v>6683</v>
      </c>
      <c r="U37" s="1474"/>
      <c r="V37" s="1474"/>
      <c r="W37" s="1474"/>
      <c r="X37" s="1473"/>
      <c r="Y37" s="1473"/>
      <c r="Z37" s="1473"/>
      <c r="AA37" s="1474"/>
    </row>
    <row r="38">
      <c r="A38" s="1463" t="s">
        <v>6669</v>
      </c>
      <c r="B38" s="1464" t="s">
        <v>6670</v>
      </c>
      <c r="C38" s="1463">
        <v>138.0</v>
      </c>
      <c r="D38" s="713">
        <v>138.0</v>
      </c>
      <c r="E38" s="1461" t="s">
        <v>6695</v>
      </c>
      <c r="F38" s="1462"/>
      <c r="G38" s="1462"/>
      <c r="H38" s="1462"/>
      <c r="I38" s="1462"/>
      <c r="J38" s="1462"/>
      <c r="K38" s="1462"/>
      <c r="L38" s="1462"/>
      <c r="M38" s="1462"/>
      <c r="N38" s="1462"/>
      <c r="O38" s="1462"/>
      <c r="P38" s="1462"/>
      <c r="Q38" s="1462"/>
      <c r="R38" s="1462"/>
      <c r="S38" s="1462"/>
      <c r="T38" s="1473" t="s">
        <v>6684</v>
      </c>
      <c r="U38" s="1474"/>
      <c r="V38" s="1474"/>
      <c r="W38" s="1474"/>
      <c r="X38" s="1474"/>
      <c r="Y38" s="1474"/>
      <c r="Z38" s="1473"/>
      <c r="AA38" s="1474"/>
    </row>
    <row r="39">
      <c r="A39" s="1463" t="s">
        <v>6669</v>
      </c>
      <c r="B39" s="1464" t="s">
        <v>6670</v>
      </c>
      <c r="C39" s="1463">
        <v>38491.0</v>
      </c>
      <c r="D39" s="713">
        <v>139.0</v>
      </c>
      <c r="E39" s="1461" t="s">
        <v>6695</v>
      </c>
      <c r="F39" s="1465"/>
      <c r="G39" s="1465"/>
      <c r="H39" s="1465"/>
      <c r="I39" s="1465"/>
      <c r="J39" s="1462"/>
      <c r="K39" s="1462"/>
      <c r="L39" s="1462"/>
      <c r="M39" s="1462"/>
      <c r="N39" s="1462"/>
      <c r="O39" s="1462"/>
      <c r="P39" s="1462"/>
      <c r="Q39" s="1462"/>
      <c r="R39" s="1462"/>
      <c r="S39" s="1462"/>
      <c r="T39" s="1473" t="s">
        <v>6685</v>
      </c>
      <c r="U39" s="1474"/>
      <c r="V39" s="1474"/>
      <c r="W39" s="1474"/>
      <c r="X39" s="1474"/>
      <c r="Y39" s="1474"/>
      <c r="Z39" s="1473"/>
      <c r="AA39" s="1474"/>
    </row>
    <row r="40">
      <c r="A40" s="1463" t="s">
        <v>6669</v>
      </c>
      <c r="B40" s="1464" t="s">
        <v>6672</v>
      </c>
      <c r="C40" s="1463">
        <v>603775.0</v>
      </c>
      <c r="D40" s="713">
        <v>140.0</v>
      </c>
      <c r="E40" s="1461" t="s">
        <v>6695</v>
      </c>
      <c r="F40" s="1465"/>
      <c r="G40" s="1465"/>
      <c r="H40" s="1465"/>
      <c r="I40" s="1465"/>
      <c r="J40" s="1462"/>
      <c r="K40" s="1462"/>
      <c r="L40" s="1462"/>
      <c r="M40" s="1462"/>
      <c r="N40" s="1462"/>
      <c r="O40" s="1462"/>
      <c r="P40" s="1462"/>
      <c r="Q40" s="1462"/>
      <c r="R40" s="1462"/>
      <c r="S40" s="1462"/>
      <c r="T40" s="1462"/>
      <c r="U40" s="1462"/>
      <c r="V40" s="1462"/>
      <c r="W40" s="1462"/>
      <c r="X40" s="1462"/>
      <c r="Y40" s="1462"/>
      <c r="Z40" s="1462"/>
      <c r="AA40" s="1462"/>
    </row>
    <row r="41">
      <c r="A41" s="1463" t="s">
        <v>6669</v>
      </c>
      <c r="B41" s="1464" t="s">
        <v>6672</v>
      </c>
      <c r="C41" s="1463">
        <v>616170.0</v>
      </c>
      <c r="D41" s="713">
        <v>141.0</v>
      </c>
      <c r="E41" s="1461" t="s">
        <v>6695</v>
      </c>
      <c r="F41" s="1465"/>
      <c r="G41" s="1465"/>
      <c r="H41" s="1465"/>
      <c r="I41" s="1465"/>
      <c r="J41" s="1462"/>
      <c r="K41" s="1462"/>
      <c r="L41" s="1462"/>
      <c r="M41" s="1462"/>
      <c r="N41" s="1462"/>
      <c r="O41" s="1462"/>
      <c r="P41" s="1462"/>
      <c r="Q41" s="1462"/>
      <c r="R41" s="1462"/>
      <c r="S41" s="1462"/>
      <c r="T41" s="1462"/>
      <c r="U41" s="1462"/>
      <c r="V41" s="1462"/>
      <c r="W41" s="1462"/>
      <c r="X41" s="1462"/>
      <c r="Y41" s="1462"/>
      <c r="Z41" s="1462"/>
      <c r="AA41" s="1462"/>
    </row>
    <row r="42">
      <c r="A42" s="1463" t="s">
        <v>6669</v>
      </c>
      <c r="B42" s="1464" t="s">
        <v>6670</v>
      </c>
      <c r="C42" s="1463">
        <v>142.0</v>
      </c>
      <c r="D42" s="713">
        <v>142.0</v>
      </c>
      <c r="E42" s="1461" t="s">
        <v>6695</v>
      </c>
      <c r="F42" s="1465"/>
      <c r="G42" s="1465"/>
      <c r="H42" s="1465"/>
      <c r="I42" s="1465"/>
      <c r="J42" s="1462"/>
      <c r="K42" s="1462"/>
      <c r="L42" s="1462"/>
      <c r="M42" s="1462"/>
      <c r="N42" s="1462"/>
      <c r="O42" s="1462"/>
      <c r="P42" s="1462"/>
      <c r="Q42" s="1462"/>
      <c r="R42" s="1462"/>
      <c r="S42" s="1462"/>
      <c r="T42" s="1462"/>
      <c r="U42" s="1462"/>
      <c r="V42" s="1462"/>
      <c r="W42" s="1462"/>
      <c r="X42" s="1462"/>
      <c r="Y42" s="1462"/>
      <c r="Z42" s="1462"/>
      <c r="AA42" s="1462"/>
    </row>
    <row r="43">
      <c r="A43" s="1463" t="s">
        <v>6669</v>
      </c>
      <c r="B43" s="1464" t="s">
        <v>6672</v>
      </c>
      <c r="C43" s="1463">
        <v>614577.0</v>
      </c>
      <c r="D43" s="713">
        <v>143.0</v>
      </c>
      <c r="E43" s="1461" t="s">
        <v>6695</v>
      </c>
      <c r="F43" s="1465"/>
      <c r="G43" s="1465"/>
      <c r="H43" s="1465"/>
      <c r="I43" s="1465"/>
      <c r="J43" s="1462"/>
      <c r="K43" s="1462"/>
      <c r="L43" s="1462"/>
      <c r="M43" s="1462"/>
      <c r="N43" s="1462"/>
      <c r="O43" s="1462"/>
      <c r="P43" s="1462"/>
      <c r="Q43" s="1462"/>
      <c r="R43" s="1462"/>
      <c r="S43" s="1462"/>
      <c r="T43" s="1462"/>
      <c r="U43" s="1462"/>
      <c r="V43" s="1462"/>
      <c r="W43" s="1462"/>
      <c r="X43" s="1462"/>
      <c r="Y43" s="1462"/>
      <c r="Z43" s="1462"/>
      <c r="AA43" s="1462"/>
    </row>
    <row r="44">
      <c r="A44" s="1463" t="s">
        <v>6669</v>
      </c>
      <c r="B44" s="1464" t="s">
        <v>6672</v>
      </c>
      <c r="C44" s="1463">
        <v>615163.0</v>
      </c>
      <c r="D44" s="713">
        <v>144.0</v>
      </c>
      <c r="E44" s="1461" t="s">
        <v>6695</v>
      </c>
      <c r="F44" s="1465"/>
      <c r="G44" s="1465"/>
      <c r="H44" s="1465"/>
      <c r="I44" s="1465"/>
      <c r="J44" s="1462"/>
      <c r="K44" s="1462"/>
      <c r="L44" s="1462"/>
      <c r="M44" s="1462"/>
      <c r="N44" s="1462"/>
      <c r="O44" s="1462"/>
      <c r="P44" s="1462"/>
      <c r="Q44" s="1462"/>
      <c r="R44" s="1462"/>
      <c r="S44" s="1462"/>
      <c r="T44" s="1462"/>
      <c r="U44" s="1462"/>
      <c r="V44" s="1462"/>
      <c r="W44" s="1462"/>
      <c r="X44" s="1462"/>
      <c r="Y44" s="1462"/>
      <c r="Z44" s="1462"/>
      <c r="AA44" s="1462"/>
    </row>
    <row r="45">
      <c r="A45" s="1463" t="s">
        <v>6669</v>
      </c>
      <c r="B45" s="1464" t="s">
        <v>6670</v>
      </c>
      <c r="C45" s="1463"/>
      <c r="D45" s="713">
        <v>145.0</v>
      </c>
      <c r="E45" s="1461" t="s">
        <v>6695</v>
      </c>
      <c r="F45" s="1465"/>
      <c r="G45" s="1465"/>
      <c r="H45" s="1465"/>
      <c r="I45" s="1465"/>
      <c r="J45" s="1462"/>
      <c r="K45" s="1462"/>
      <c r="L45" s="1462"/>
      <c r="M45" s="1462"/>
      <c r="N45" s="1462"/>
      <c r="O45" s="1462"/>
      <c r="P45" s="1462"/>
      <c r="Q45" s="1462"/>
      <c r="R45" s="1462"/>
      <c r="S45" s="1462"/>
      <c r="T45" s="1462"/>
      <c r="U45" s="1462"/>
      <c r="V45" s="1462"/>
      <c r="W45" s="1462"/>
      <c r="X45" s="1462"/>
      <c r="Y45" s="1462"/>
      <c r="Z45" s="1462"/>
      <c r="AA45" s="1462"/>
    </row>
    <row r="46">
      <c r="A46" s="1463" t="s">
        <v>6669</v>
      </c>
      <c r="B46" s="1464" t="s">
        <v>6670</v>
      </c>
      <c r="C46" s="1463"/>
      <c r="D46" s="713">
        <v>146.0</v>
      </c>
      <c r="E46" s="1479" t="s">
        <v>6695</v>
      </c>
      <c r="F46" s="1465"/>
      <c r="G46" s="1465"/>
      <c r="H46" s="1465"/>
      <c r="I46" s="1465"/>
      <c r="J46" s="1462"/>
      <c r="K46" s="1462"/>
      <c r="L46" s="1462"/>
      <c r="M46" s="1462"/>
      <c r="N46" s="1462"/>
      <c r="O46" s="1462"/>
      <c r="P46" s="1462"/>
      <c r="Q46" s="1462"/>
      <c r="R46" s="1462"/>
      <c r="S46" s="1462"/>
      <c r="T46" s="1462"/>
      <c r="U46" s="1462"/>
      <c r="V46" s="1462"/>
      <c r="W46" s="1462"/>
      <c r="X46" s="1462"/>
      <c r="Y46" s="1462"/>
      <c r="Z46" s="1462"/>
      <c r="AA46" s="1462"/>
    </row>
    <row r="47">
      <c r="A47" s="1463" t="s">
        <v>6669</v>
      </c>
      <c r="B47" s="1464" t="s">
        <v>6670</v>
      </c>
      <c r="C47" s="1463"/>
      <c r="D47" s="713">
        <v>147.0</v>
      </c>
      <c r="E47" s="1461" t="s">
        <v>6695</v>
      </c>
      <c r="F47" s="1465"/>
      <c r="G47" s="1465"/>
      <c r="H47" s="1465"/>
      <c r="I47" s="1465"/>
      <c r="J47" s="1462"/>
      <c r="K47" s="1462"/>
      <c r="L47" s="1462"/>
      <c r="M47" s="1462"/>
      <c r="N47" s="1462"/>
      <c r="O47" s="1462"/>
      <c r="P47" s="1462"/>
      <c r="Q47" s="1462"/>
      <c r="R47" s="1462"/>
      <c r="S47" s="1462"/>
      <c r="T47" s="1462"/>
      <c r="U47" s="1462"/>
      <c r="V47" s="1462"/>
      <c r="W47" s="1462"/>
      <c r="X47" s="1462"/>
      <c r="Y47" s="1462"/>
      <c r="Z47" s="1462"/>
      <c r="AA47" s="1462"/>
    </row>
    <row r="48">
      <c r="A48" s="1463" t="s">
        <v>6669</v>
      </c>
      <c r="B48" s="1464" t="s">
        <v>6672</v>
      </c>
      <c r="C48" s="1463"/>
      <c r="D48" s="1463"/>
      <c r="E48" s="1480" t="s">
        <v>6698</v>
      </c>
      <c r="F48" s="1465"/>
      <c r="G48" s="1465"/>
      <c r="H48" s="1465"/>
      <c r="I48" s="1465"/>
      <c r="J48" s="1462"/>
      <c r="K48" s="1462"/>
      <c r="L48" s="1462"/>
      <c r="M48" s="1462"/>
      <c r="N48" s="1462"/>
      <c r="O48" s="1462"/>
      <c r="P48" s="1462"/>
      <c r="Q48" s="1462"/>
      <c r="R48" s="1462"/>
      <c r="S48" s="1462"/>
      <c r="T48" s="1462"/>
      <c r="U48" s="1462"/>
      <c r="V48" s="1462"/>
      <c r="W48" s="1462"/>
      <c r="X48" s="1462"/>
      <c r="Y48" s="1462"/>
      <c r="Z48" s="1462"/>
      <c r="AA48" s="1462"/>
    </row>
    <row r="49">
      <c r="A49" s="1463" t="s">
        <v>6669</v>
      </c>
      <c r="B49" s="1464" t="s">
        <v>6670</v>
      </c>
      <c r="C49" s="1463">
        <v>148.0</v>
      </c>
      <c r="D49" s="713">
        <v>148.0</v>
      </c>
      <c r="E49" s="1461" t="s">
        <v>6671</v>
      </c>
      <c r="F49" s="1465"/>
      <c r="G49" s="1465"/>
      <c r="H49" s="1465"/>
      <c r="I49" s="1465"/>
      <c r="J49" s="1462"/>
      <c r="K49" s="1462"/>
      <c r="L49" s="1462"/>
      <c r="M49" s="1462"/>
      <c r="N49" s="1462"/>
      <c r="O49" s="1462"/>
      <c r="P49" s="1462"/>
      <c r="Q49" s="1462"/>
      <c r="R49" s="1462"/>
      <c r="S49" s="1462"/>
      <c r="T49" s="1462"/>
      <c r="U49" s="1462"/>
      <c r="V49" s="1462"/>
      <c r="W49" s="1462"/>
      <c r="X49" s="1462"/>
      <c r="Y49" s="1462"/>
      <c r="Z49" s="1462"/>
      <c r="AA49" s="1462"/>
    </row>
    <row r="50">
      <c r="A50" s="1463" t="s">
        <v>6669</v>
      </c>
      <c r="B50" s="1464" t="s">
        <v>6670</v>
      </c>
      <c r="C50" s="1463"/>
      <c r="D50" s="713">
        <v>149.0</v>
      </c>
      <c r="E50" s="1479"/>
      <c r="F50" s="1465"/>
      <c r="G50" s="1465"/>
      <c r="H50" s="1465"/>
      <c r="I50" s="1465"/>
      <c r="J50" s="1462"/>
      <c r="K50" s="1462"/>
      <c r="L50" s="1462"/>
      <c r="M50" s="1462"/>
      <c r="N50" s="1462"/>
      <c r="O50" s="1462"/>
      <c r="P50" s="1462"/>
      <c r="Q50" s="1462"/>
      <c r="R50" s="1462"/>
      <c r="S50" s="1462"/>
      <c r="T50" s="1462"/>
      <c r="U50" s="1462"/>
      <c r="V50" s="1462"/>
      <c r="W50" s="1462"/>
      <c r="X50" s="1462"/>
      <c r="Y50" s="1462"/>
      <c r="Z50" s="1462"/>
      <c r="AA50" s="1462"/>
    </row>
    <row r="51">
      <c r="A51" s="1463" t="s">
        <v>6669</v>
      </c>
      <c r="B51" s="1464" t="s">
        <v>6670</v>
      </c>
      <c r="C51" s="1463"/>
      <c r="D51" s="713">
        <v>151.0</v>
      </c>
      <c r="E51" s="1479"/>
      <c r="F51" s="1465"/>
      <c r="G51" s="1465"/>
      <c r="H51" s="1465"/>
      <c r="I51" s="1465"/>
      <c r="J51" s="1462"/>
      <c r="K51" s="1462"/>
      <c r="L51" s="1462"/>
      <c r="M51" s="1462"/>
      <c r="N51" s="1462"/>
      <c r="O51" s="1462"/>
      <c r="P51" s="1462"/>
      <c r="Q51" s="1462"/>
      <c r="R51" s="1462"/>
      <c r="S51" s="1462"/>
      <c r="T51" s="1462"/>
      <c r="U51" s="1462"/>
      <c r="V51" s="1462"/>
      <c r="W51" s="1462"/>
      <c r="X51" s="1462"/>
      <c r="Y51" s="1462"/>
      <c r="Z51" s="1462"/>
      <c r="AA51" s="1462"/>
    </row>
    <row r="52">
      <c r="A52" s="1463" t="s">
        <v>6669</v>
      </c>
      <c r="B52" s="1464" t="s">
        <v>6699</v>
      </c>
      <c r="C52" s="1463"/>
      <c r="D52" s="713">
        <v>150.0</v>
      </c>
      <c r="E52" s="1479"/>
      <c r="F52" s="1465"/>
      <c r="G52" s="1465"/>
      <c r="H52" s="1465"/>
      <c r="I52" s="1465"/>
      <c r="J52" s="1462"/>
      <c r="K52" s="1462"/>
      <c r="L52" s="1462"/>
      <c r="M52" s="1462"/>
      <c r="N52" s="1462"/>
      <c r="O52" s="1462"/>
      <c r="P52" s="1462"/>
      <c r="Q52" s="1462"/>
      <c r="R52" s="1462"/>
      <c r="S52" s="1462"/>
      <c r="T52" s="1462"/>
      <c r="U52" s="1462"/>
      <c r="V52" s="1462"/>
      <c r="W52" s="1462"/>
      <c r="X52" s="1462"/>
      <c r="Y52" s="1462"/>
      <c r="Z52" s="1462"/>
      <c r="AA52" s="1462"/>
    </row>
    <row r="53">
      <c r="A53" s="1463" t="s">
        <v>6669</v>
      </c>
      <c r="B53" s="1464" t="s">
        <v>6670</v>
      </c>
      <c r="C53" s="1463"/>
      <c r="D53" s="713">
        <v>152.0</v>
      </c>
      <c r="E53" s="1479"/>
      <c r="F53" s="1465"/>
      <c r="G53" s="1465"/>
      <c r="H53" s="1465"/>
      <c r="I53" s="1465"/>
      <c r="J53" s="1462"/>
      <c r="K53" s="1462"/>
      <c r="L53" s="1462"/>
      <c r="M53" s="1462"/>
      <c r="N53" s="1462"/>
      <c r="O53" s="1462"/>
      <c r="P53" s="1462"/>
      <c r="Q53" s="1462"/>
      <c r="R53" s="1462"/>
      <c r="S53" s="1462"/>
      <c r="T53" s="1462"/>
      <c r="U53" s="1462"/>
      <c r="V53" s="1462"/>
      <c r="W53" s="1462"/>
      <c r="X53" s="1462"/>
      <c r="Y53" s="1462"/>
      <c r="Z53" s="1462"/>
      <c r="AA53" s="1462"/>
    </row>
    <row r="54">
      <c r="A54" s="1463" t="s">
        <v>6669</v>
      </c>
      <c r="B54" s="1464" t="s">
        <v>6670</v>
      </c>
      <c r="C54" s="1463"/>
      <c r="D54" s="713">
        <v>153.0</v>
      </c>
      <c r="E54" s="1479"/>
      <c r="F54" s="1465"/>
      <c r="G54" s="1465"/>
      <c r="H54" s="1465"/>
      <c r="I54" s="1465"/>
      <c r="J54" s="1462"/>
      <c r="K54" s="1462"/>
      <c r="L54" s="1462"/>
      <c r="M54" s="1462"/>
      <c r="N54" s="1462"/>
      <c r="O54" s="1462"/>
      <c r="P54" s="1462"/>
      <c r="Q54" s="1462"/>
      <c r="R54" s="1462"/>
      <c r="S54" s="1462"/>
      <c r="T54" s="1462"/>
      <c r="U54" s="1462"/>
      <c r="V54" s="1462"/>
      <c r="W54" s="1462"/>
      <c r="X54" s="1462"/>
      <c r="Y54" s="1462"/>
      <c r="Z54" s="1462"/>
      <c r="AA54" s="1462"/>
    </row>
    <row r="55">
      <c r="A55" s="1463" t="s">
        <v>6679</v>
      </c>
      <c r="B55" s="1464" t="s">
        <v>6670</v>
      </c>
      <c r="C55" s="713">
        <v>23165.0</v>
      </c>
      <c r="D55" s="713"/>
      <c r="E55" s="1479"/>
      <c r="F55" s="1465"/>
      <c r="G55" s="1465"/>
      <c r="H55" s="1465"/>
      <c r="I55" s="1465"/>
      <c r="J55" s="1462"/>
      <c r="K55" s="1462"/>
      <c r="L55" s="1462"/>
      <c r="M55" s="1462"/>
      <c r="N55" s="1462"/>
      <c r="O55" s="1462"/>
      <c r="P55" s="1462"/>
      <c r="Q55" s="1462"/>
      <c r="R55" s="1462"/>
      <c r="S55" s="1462"/>
      <c r="T55" s="1462"/>
      <c r="U55" s="1462"/>
      <c r="V55" s="1462"/>
      <c r="W55" s="1462"/>
      <c r="X55" s="1462"/>
      <c r="Y55" s="1462"/>
      <c r="Z55" s="1462"/>
      <c r="AA55" s="1462"/>
    </row>
    <row r="56">
      <c r="A56" s="1463" t="s">
        <v>6679</v>
      </c>
      <c r="B56" s="1464" t="s">
        <v>6670</v>
      </c>
      <c r="C56" s="713">
        <v>109801.0</v>
      </c>
      <c r="D56" s="713"/>
      <c r="E56" s="1479"/>
      <c r="F56" s="1465"/>
      <c r="G56" s="1465"/>
      <c r="H56" s="1465"/>
      <c r="I56" s="1465"/>
      <c r="J56" s="1462"/>
      <c r="K56" s="1462"/>
      <c r="L56" s="1462"/>
      <c r="M56" s="1462"/>
      <c r="N56" s="1462"/>
      <c r="O56" s="1462"/>
      <c r="P56" s="1462"/>
      <c r="Q56" s="1462"/>
      <c r="R56" s="1462"/>
      <c r="S56" s="1462"/>
      <c r="T56" s="1462"/>
      <c r="U56" s="1462"/>
      <c r="V56" s="1462"/>
      <c r="W56" s="1462"/>
      <c r="X56" s="1462"/>
      <c r="Y56" s="1462"/>
      <c r="Z56" s="1462"/>
      <c r="AA56" s="1462"/>
    </row>
    <row r="57">
      <c r="A57" s="1463" t="s">
        <v>6679</v>
      </c>
      <c r="B57" s="1464" t="s">
        <v>6670</v>
      </c>
      <c r="C57" s="713" t="s">
        <v>6700</v>
      </c>
      <c r="D57" s="713" t="s">
        <v>6701</v>
      </c>
      <c r="E57" s="1479" t="s">
        <v>6695</v>
      </c>
      <c r="F57" s="1465"/>
      <c r="G57" s="1465"/>
      <c r="H57" s="1465"/>
      <c r="I57" s="1465"/>
      <c r="J57" s="1462"/>
      <c r="K57" s="1462"/>
      <c r="L57" s="1462"/>
      <c r="M57" s="1462"/>
      <c r="N57" s="1462"/>
      <c r="O57" s="1462"/>
      <c r="P57" s="1462"/>
      <c r="Q57" s="1462"/>
      <c r="R57" s="1462"/>
      <c r="S57" s="1462"/>
      <c r="T57" s="1462"/>
      <c r="U57" s="1462"/>
      <c r="V57" s="1462"/>
      <c r="W57" s="1462"/>
      <c r="X57" s="1462"/>
      <c r="Y57" s="1462"/>
      <c r="Z57" s="1462"/>
      <c r="AA57" s="1462"/>
    </row>
    <row r="58">
      <c r="A58" s="1463" t="s">
        <v>6702</v>
      </c>
      <c r="B58" s="1464" t="s">
        <v>6670</v>
      </c>
      <c r="C58" s="713" t="s">
        <v>6703</v>
      </c>
      <c r="D58" s="713" t="s">
        <v>6703</v>
      </c>
      <c r="E58" s="1479" t="s">
        <v>6695</v>
      </c>
      <c r="F58" s="1465"/>
      <c r="G58" s="1465"/>
      <c r="H58" s="1465"/>
      <c r="I58" s="1465"/>
      <c r="J58" s="1462"/>
      <c r="K58" s="1462"/>
      <c r="L58" s="1462"/>
      <c r="M58" s="1462"/>
      <c r="N58" s="1462"/>
      <c r="O58" s="1462"/>
      <c r="P58" s="1462"/>
      <c r="Q58" s="1462"/>
      <c r="R58" s="1462"/>
      <c r="S58" s="1462"/>
      <c r="T58" s="1462"/>
      <c r="U58" s="1462"/>
      <c r="V58" s="1462"/>
      <c r="W58" s="1462"/>
      <c r="X58" s="1462"/>
      <c r="Y58" s="1462"/>
      <c r="Z58" s="1462"/>
      <c r="AA58" s="1462"/>
    </row>
    <row r="59">
      <c r="A59" s="1463" t="s">
        <v>6702</v>
      </c>
      <c r="B59" s="1464" t="s">
        <v>6670</v>
      </c>
      <c r="C59" s="713">
        <v>195235.0</v>
      </c>
      <c r="D59" s="713">
        <v>195235.0</v>
      </c>
      <c r="E59" s="1479" t="s">
        <v>6695</v>
      </c>
      <c r="F59" s="1462"/>
      <c r="G59" s="1462"/>
      <c r="H59" s="1462"/>
      <c r="I59" s="1462"/>
      <c r="J59" s="1462"/>
      <c r="K59" s="1462"/>
      <c r="L59" s="1462"/>
      <c r="M59" s="1462"/>
      <c r="N59" s="1462"/>
      <c r="O59" s="1462"/>
      <c r="P59" s="1462"/>
      <c r="Q59" s="1462"/>
      <c r="R59" s="1462"/>
      <c r="S59" s="1462"/>
      <c r="T59" s="1462"/>
      <c r="U59" s="1462"/>
      <c r="V59" s="1462"/>
      <c r="W59" s="1462"/>
      <c r="X59" s="1462"/>
      <c r="Y59" s="1462"/>
      <c r="Z59" s="1462"/>
      <c r="AA59" s="1462"/>
    </row>
    <row r="60">
      <c r="A60" s="1463" t="s">
        <v>6702</v>
      </c>
      <c r="B60" s="1464" t="s">
        <v>6670</v>
      </c>
      <c r="C60" s="713" t="s">
        <v>6704</v>
      </c>
      <c r="D60" s="713" t="s">
        <v>6704</v>
      </c>
      <c r="E60" s="1479" t="s">
        <v>6695</v>
      </c>
      <c r="F60" s="1465"/>
      <c r="G60" s="1465"/>
      <c r="H60" s="1465"/>
      <c r="I60" s="1465"/>
      <c r="J60" s="1462"/>
      <c r="K60" s="1462"/>
      <c r="L60" s="1462"/>
      <c r="M60" s="1462"/>
      <c r="N60" s="1462"/>
      <c r="O60" s="1462"/>
      <c r="P60" s="1462"/>
      <c r="Q60" s="1462"/>
      <c r="R60" s="1462"/>
      <c r="S60" s="1462"/>
      <c r="T60" s="1462"/>
      <c r="U60" s="1462"/>
      <c r="V60" s="1462"/>
      <c r="W60" s="1462"/>
      <c r="X60" s="1462"/>
      <c r="Y60" s="1462"/>
      <c r="Z60" s="1462"/>
      <c r="AA60" s="1462"/>
    </row>
    <row r="61">
      <c r="A61" s="1463" t="s">
        <v>6702</v>
      </c>
      <c r="B61" s="1464" t="s">
        <v>6670</v>
      </c>
      <c r="C61" s="713" t="s">
        <v>6705</v>
      </c>
      <c r="D61" s="713" t="s">
        <v>6705</v>
      </c>
      <c r="E61" s="1479" t="s">
        <v>6695</v>
      </c>
      <c r="F61" s="1465"/>
      <c r="G61" s="1465"/>
      <c r="H61" s="1462"/>
      <c r="I61" s="1465"/>
      <c r="J61" s="1462"/>
      <c r="K61" s="1462"/>
      <c r="L61" s="1462"/>
      <c r="M61" s="1462"/>
      <c r="N61" s="1462"/>
      <c r="O61" s="1462"/>
      <c r="P61" s="1462"/>
      <c r="Q61" s="1462"/>
      <c r="R61" s="1462"/>
      <c r="S61" s="1462"/>
      <c r="T61" s="1462"/>
      <c r="U61" s="1462"/>
      <c r="V61" s="1462"/>
      <c r="W61" s="1462"/>
      <c r="X61" s="1462"/>
      <c r="Y61" s="1462"/>
      <c r="Z61" s="1462"/>
      <c r="AA61" s="1462"/>
    </row>
    <row r="62">
      <c r="A62" s="1463" t="s">
        <v>6702</v>
      </c>
      <c r="B62" s="1464" t="s">
        <v>6670</v>
      </c>
      <c r="C62" s="713" t="s">
        <v>6706</v>
      </c>
      <c r="D62" s="713" t="s">
        <v>6706</v>
      </c>
      <c r="E62" s="1479" t="s">
        <v>6695</v>
      </c>
      <c r="F62" s="1465"/>
      <c r="G62" s="1465"/>
      <c r="H62" s="1464"/>
      <c r="I62" s="1465"/>
      <c r="J62" s="1462"/>
      <c r="K62" s="1462"/>
      <c r="L62" s="1462"/>
      <c r="M62" s="1462"/>
      <c r="N62" s="1462"/>
      <c r="O62" s="1462"/>
      <c r="P62" s="1462"/>
      <c r="Q62" s="1462"/>
      <c r="R62" s="1462"/>
      <c r="S62" s="1462"/>
      <c r="T62" s="1462"/>
      <c r="U62" s="1462"/>
      <c r="V62" s="1462"/>
      <c r="W62" s="1462"/>
      <c r="X62" s="1462"/>
      <c r="Y62" s="1462"/>
      <c r="Z62" s="1462"/>
      <c r="AA62" s="1462"/>
    </row>
    <row r="63">
      <c r="A63" s="1463" t="s">
        <v>6702</v>
      </c>
      <c r="B63" s="1464" t="s">
        <v>6670</v>
      </c>
      <c r="C63" s="713" t="s">
        <v>6707</v>
      </c>
      <c r="D63" s="713" t="s">
        <v>6707</v>
      </c>
      <c r="E63" s="1479" t="s">
        <v>6695</v>
      </c>
      <c r="F63" s="1465"/>
      <c r="G63" s="1465"/>
      <c r="H63" s="1464"/>
      <c r="I63" s="1465"/>
      <c r="J63" s="1462"/>
      <c r="K63" s="1462"/>
      <c r="L63" s="1462"/>
      <c r="M63" s="1462"/>
      <c r="N63" s="1462"/>
      <c r="O63" s="1462"/>
      <c r="P63" s="1462"/>
      <c r="Q63" s="1462"/>
      <c r="R63" s="1462"/>
      <c r="S63" s="1462"/>
      <c r="T63" s="1462"/>
      <c r="U63" s="1462"/>
      <c r="V63" s="1462"/>
      <c r="W63" s="1462"/>
      <c r="X63" s="1462"/>
      <c r="Y63" s="1462"/>
      <c r="Z63" s="1462"/>
      <c r="AA63" s="1462"/>
    </row>
    <row r="64">
      <c r="A64" s="1463" t="s">
        <v>6702</v>
      </c>
      <c r="B64" s="1464" t="s">
        <v>6670</v>
      </c>
      <c r="C64" s="713" t="s">
        <v>6708</v>
      </c>
      <c r="D64" s="713" t="s">
        <v>6708</v>
      </c>
      <c r="E64" s="1479" t="s">
        <v>6695</v>
      </c>
      <c r="F64" s="1465"/>
      <c r="G64" s="1465"/>
      <c r="H64" s="1464"/>
      <c r="I64" s="1465"/>
      <c r="J64" s="1462"/>
      <c r="K64" s="1462"/>
      <c r="L64" s="1462"/>
      <c r="M64" s="1462"/>
      <c r="N64" s="1462"/>
      <c r="O64" s="1462"/>
      <c r="P64" s="1462"/>
      <c r="Q64" s="1462"/>
      <c r="R64" s="1462"/>
      <c r="S64" s="1462"/>
      <c r="T64" s="1462"/>
      <c r="U64" s="1462"/>
      <c r="V64" s="1462"/>
      <c r="W64" s="1462"/>
      <c r="X64" s="1462"/>
      <c r="Y64" s="1462"/>
      <c r="Z64" s="1462"/>
      <c r="AA64" s="1462"/>
    </row>
    <row r="65">
      <c r="A65" s="1463" t="s">
        <v>6702</v>
      </c>
      <c r="B65" s="1464" t="s">
        <v>6670</v>
      </c>
      <c r="C65" s="713" t="s">
        <v>6709</v>
      </c>
      <c r="D65" s="713" t="s">
        <v>6709</v>
      </c>
      <c r="E65" s="1479" t="s">
        <v>6695</v>
      </c>
      <c r="F65" s="1465"/>
      <c r="G65" s="1465"/>
      <c r="H65" s="1465"/>
      <c r="I65" s="1465"/>
      <c r="J65" s="1462"/>
      <c r="K65" s="1462"/>
      <c r="L65" s="1462"/>
      <c r="M65" s="1462"/>
      <c r="N65" s="1462"/>
      <c r="O65" s="1462"/>
      <c r="P65" s="1462"/>
      <c r="Q65" s="1462"/>
      <c r="R65" s="1462"/>
      <c r="S65" s="1462"/>
      <c r="T65" s="1462"/>
      <c r="U65" s="1462"/>
      <c r="V65" s="1462"/>
      <c r="W65" s="1462"/>
      <c r="X65" s="1462"/>
      <c r="Y65" s="1462"/>
      <c r="Z65" s="1462"/>
      <c r="AA65" s="1462"/>
    </row>
    <row r="66">
      <c r="A66" s="1463" t="s">
        <v>6702</v>
      </c>
      <c r="B66" s="1464" t="s">
        <v>6670</v>
      </c>
      <c r="C66" s="713" t="s">
        <v>6710</v>
      </c>
      <c r="D66" s="713" t="s">
        <v>6710</v>
      </c>
      <c r="E66" s="1479" t="s">
        <v>6695</v>
      </c>
      <c r="F66" s="1465"/>
      <c r="G66" s="1465"/>
      <c r="H66" s="1465"/>
      <c r="I66" s="1465"/>
      <c r="J66" s="1462"/>
      <c r="K66" s="1462"/>
      <c r="L66" s="1462"/>
      <c r="M66" s="1462"/>
      <c r="N66" s="1462"/>
      <c r="O66" s="1462"/>
      <c r="P66" s="1462"/>
      <c r="Q66" s="1462"/>
      <c r="R66" s="1462"/>
      <c r="S66" s="1462"/>
      <c r="T66" s="1462"/>
      <c r="U66" s="1462"/>
      <c r="V66" s="1462"/>
      <c r="W66" s="1462"/>
      <c r="X66" s="1462"/>
      <c r="Y66" s="1462"/>
      <c r="Z66" s="1462"/>
      <c r="AA66" s="1462"/>
    </row>
    <row r="67">
      <c r="A67" s="1463" t="s">
        <v>6702</v>
      </c>
      <c r="B67" s="1464" t="s">
        <v>6670</v>
      </c>
      <c r="C67" s="713" t="s">
        <v>6711</v>
      </c>
      <c r="D67" s="713" t="s">
        <v>6711</v>
      </c>
      <c r="E67" s="1479" t="s">
        <v>6695</v>
      </c>
      <c r="F67" s="1462"/>
      <c r="G67" s="1462"/>
      <c r="H67" s="1464"/>
      <c r="I67" s="1462"/>
      <c r="J67" s="1462"/>
      <c r="K67" s="1462"/>
      <c r="L67" s="1462"/>
      <c r="M67" s="1462"/>
      <c r="N67" s="1462"/>
      <c r="O67" s="1462"/>
      <c r="P67" s="1462"/>
      <c r="Q67" s="1462"/>
      <c r="R67" s="1462"/>
      <c r="S67" s="1462"/>
      <c r="T67" s="1462"/>
      <c r="U67" s="1462"/>
      <c r="V67" s="1462"/>
      <c r="W67" s="1462"/>
      <c r="X67" s="1462"/>
      <c r="Y67" s="1462"/>
      <c r="Z67" s="1462"/>
      <c r="AA67" s="1462"/>
    </row>
    <row r="68">
      <c r="A68" s="1463" t="s">
        <v>6702</v>
      </c>
      <c r="B68" s="1464" t="s">
        <v>6670</v>
      </c>
      <c r="C68" s="713" t="s">
        <v>6712</v>
      </c>
      <c r="D68" s="713" t="s">
        <v>6712</v>
      </c>
      <c r="E68" s="1479" t="s">
        <v>6695</v>
      </c>
      <c r="F68" s="1462"/>
      <c r="G68" s="1462"/>
      <c r="H68" s="1464"/>
      <c r="I68" s="1462"/>
      <c r="J68" s="1462"/>
      <c r="K68" s="1462"/>
      <c r="L68" s="1462"/>
      <c r="M68" s="1462"/>
      <c r="N68" s="1462"/>
      <c r="O68" s="1462"/>
      <c r="P68" s="1462"/>
      <c r="Q68" s="1462"/>
      <c r="R68" s="1462"/>
      <c r="S68" s="1462"/>
      <c r="T68" s="1462"/>
      <c r="U68" s="1462"/>
      <c r="V68" s="1462"/>
      <c r="W68" s="1462"/>
      <c r="X68" s="1462"/>
      <c r="Y68" s="1462"/>
      <c r="Z68" s="1462"/>
      <c r="AA68" s="1462"/>
    </row>
    <row r="69">
      <c r="A69" s="1463" t="s">
        <v>6702</v>
      </c>
      <c r="B69" s="1464" t="s">
        <v>6670</v>
      </c>
      <c r="C69" s="713" t="s">
        <v>6713</v>
      </c>
      <c r="D69" s="713" t="s">
        <v>6713</v>
      </c>
      <c r="E69" s="1479" t="s">
        <v>6695</v>
      </c>
      <c r="F69" s="1465"/>
      <c r="G69" s="1465"/>
      <c r="H69" s="1464"/>
      <c r="I69" s="1465"/>
      <c r="J69" s="1462"/>
      <c r="K69" s="1462"/>
      <c r="L69" s="1462"/>
      <c r="M69" s="1462"/>
      <c r="N69" s="1462"/>
      <c r="O69" s="1462"/>
      <c r="P69" s="1462"/>
      <c r="Q69" s="1462"/>
      <c r="R69" s="1462"/>
      <c r="S69" s="1462"/>
      <c r="T69" s="1462"/>
      <c r="U69" s="1462"/>
      <c r="V69" s="1462"/>
      <c r="W69" s="1462"/>
      <c r="X69" s="1462"/>
      <c r="Y69" s="1462"/>
      <c r="Z69" s="1462"/>
      <c r="AA69" s="1462"/>
    </row>
    <row r="70">
      <c r="A70" s="1463" t="s">
        <v>6702</v>
      </c>
      <c r="B70" s="1464" t="s">
        <v>6670</v>
      </c>
      <c r="C70" s="713" t="s">
        <v>6714</v>
      </c>
      <c r="D70" s="713" t="s">
        <v>6714</v>
      </c>
      <c r="E70" s="1479" t="s">
        <v>6695</v>
      </c>
      <c r="F70" s="1465"/>
      <c r="G70" s="1465"/>
      <c r="H70" s="1465"/>
      <c r="I70" s="1465"/>
      <c r="J70" s="1462"/>
      <c r="K70" s="1462"/>
      <c r="L70" s="1462"/>
      <c r="M70" s="1462"/>
      <c r="N70" s="1462"/>
      <c r="O70" s="1462"/>
      <c r="P70" s="1462"/>
      <c r="Q70" s="1462"/>
      <c r="R70" s="1462"/>
      <c r="S70" s="1462"/>
      <c r="T70" s="1462"/>
      <c r="U70" s="1462"/>
      <c r="V70" s="1462"/>
      <c r="W70" s="1462"/>
      <c r="X70" s="1462"/>
      <c r="Y70" s="1462"/>
      <c r="Z70" s="1462"/>
      <c r="AA70" s="1462"/>
    </row>
    <row r="71">
      <c r="A71" s="1463" t="s">
        <v>6702</v>
      </c>
      <c r="B71" s="1464" t="s">
        <v>6670</v>
      </c>
      <c r="C71" s="713" t="s">
        <v>6715</v>
      </c>
      <c r="D71" s="713" t="s">
        <v>6715</v>
      </c>
      <c r="E71" s="1479" t="s">
        <v>6695</v>
      </c>
      <c r="F71" s="1465"/>
      <c r="G71" s="1465"/>
      <c r="H71" s="1465"/>
      <c r="I71" s="1465"/>
      <c r="J71" s="1462"/>
      <c r="K71" s="1462"/>
      <c r="L71" s="1462"/>
      <c r="M71" s="1462"/>
      <c r="N71" s="1462"/>
      <c r="O71" s="1462"/>
      <c r="P71" s="1462"/>
      <c r="Q71" s="1462"/>
      <c r="R71" s="1462"/>
      <c r="S71" s="1462"/>
      <c r="T71" s="1462"/>
      <c r="U71" s="1462"/>
      <c r="V71" s="1462"/>
      <c r="W71" s="1462"/>
      <c r="X71" s="1462"/>
      <c r="Y71" s="1462"/>
      <c r="Z71" s="1462"/>
      <c r="AA71" s="1462"/>
    </row>
    <row r="72">
      <c r="A72" s="1463" t="s">
        <v>6702</v>
      </c>
      <c r="B72" s="1464" t="s">
        <v>6670</v>
      </c>
      <c r="C72" s="713" t="s">
        <v>6716</v>
      </c>
      <c r="D72" s="713" t="s">
        <v>6716</v>
      </c>
      <c r="E72" s="1479" t="s">
        <v>6695</v>
      </c>
      <c r="F72" s="1465"/>
      <c r="G72" s="1465"/>
      <c r="H72" s="1465"/>
      <c r="I72" s="1465"/>
      <c r="J72" s="1462"/>
      <c r="K72" s="1462"/>
      <c r="L72" s="1462"/>
      <c r="M72" s="1462"/>
      <c r="N72" s="1462"/>
      <c r="O72" s="1462"/>
      <c r="P72" s="1462"/>
      <c r="Q72" s="1462"/>
      <c r="R72" s="1462"/>
      <c r="S72" s="1462"/>
      <c r="T72" s="1462"/>
      <c r="U72" s="1462"/>
      <c r="V72" s="1462"/>
      <c r="W72" s="1462"/>
      <c r="X72" s="1462"/>
      <c r="Y72" s="1462"/>
      <c r="Z72" s="1462"/>
      <c r="AA72" s="1462"/>
    </row>
    <row r="73">
      <c r="A73" s="1463" t="s">
        <v>6702</v>
      </c>
      <c r="B73" s="1464" t="s">
        <v>6670</v>
      </c>
      <c r="C73" s="713" t="s">
        <v>6717</v>
      </c>
      <c r="D73" s="713" t="s">
        <v>6717</v>
      </c>
      <c r="E73" s="1479" t="s">
        <v>6695</v>
      </c>
      <c r="F73" s="1462"/>
      <c r="G73" s="1462"/>
      <c r="H73" s="1462"/>
      <c r="I73" s="1462"/>
      <c r="J73" s="1462"/>
      <c r="K73" s="1462"/>
      <c r="L73" s="1462"/>
      <c r="M73" s="1462"/>
      <c r="N73" s="1462"/>
      <c r="O73" s="1462"/>
      <c r="P73" s="1462"/>
      <c r="Q73" s="1462"/>
      <c r="R73" s="1462"/>
      <c r="S73" s="1462"/>
      <c r="T73" s="1462"/>
      <c r="U73" s="1462"/>
      <c r="V73" s="1462"/>
      <c r="W73" s="1462"/>
      <c r="X73" s="1462"/>
      <c r="Y73" s="1462"/>
      <c r="Z73" s="1462"/>
      <c r="AA73" s="1462"/>
    </row>
    <row r="74">
      <c r="A74" s="1463" t="s">
        <v>6702</v>
      </c>
      <c r="B74" s="1464" t="s">
        <v>6670</v>
      </c>
      <c r="C74" s="713" t="s">
        <v>6718</v>
      </c>
      <c r="D74" s="713" t="s">
        <v>6719</v>
      </c>
      <c r="E74" s="1479" t="s">
        <v>6695</v>
      </c>
      <c r="F74" s="1462"/>
      <c r="G74" s="1462"/>
      <c r="H74" s="1462"/>
      <c r="I74" s="1462"/>
      <c r="J74" s="1462"/>
      <c r="K74" s="1462"/>
      <c r="L74" s="1462"/>
      <c r="M74" s="1462"/>
      <c r="N74" s="1462"/>
      <c r="O74" s="1462"/>
      <c r="P74" s="1462"/>
      <c r="Q74" s="1462"/>
      <c r="R74" s="1462"/>
      <c r="S74" s="1462"/>
      <c r="T74" s="1462"/>
      <c r="U74" s="1462"/>
      <c r="V74" s="1462"/>
      <c r="W74" s="1462"/>
      <c r="X74" s="1462"/>
      <c r="Y74" s="1462"/>
      <c r="Z74" s="1462"/>
      <c r="AA74" s="1462"/>
    </row>
    <row r="75">
      <c r="A75" s="1463" t="s">
        <v>6702</v>
      </c>
      <c r="B75" s="1481" t="s">
        <v>6670</v>
      </c>
      <c r="C75" s="1482" t="s">
        <v>6720</v>
      </c>
      <c r="D75" s="1482" t="s">
        <v>6721</v>
      </c>
      <c r="E75" s="1479" t="s">
        <v>6695</v>
      </c>
      <c r="F75" s="1483"/>
      <c r="G75" s="1483"/>
      <c r="H75" s="1483"/>
      <c r="I75" s="1483"/>
      <c r="J75" s="1484"/>
      <c r="K75" s="1484"/>
      <c r="L75" s="1484"/>
      <c r="M75" s="1484"/>
      <c r="N75" s="1484"/>
      <c r="O75" s="1484"/>
      <c r="P75" s="1484"/>
      <c r="Q75" s="1484"/>
      <c r="R75" s="1484"/>
      <c r="S75" s="1484"/>
      <c r="T75" s="1484"/>
      <c r="U75" s="1484"/>
      <c r="V75" s="1484"/>
      <c r="W75" s="1484"/>
      <c r="X75" s="1484"/>
      <c r="Y75" s="1484"/>
      <c r="Z75" s="1484"/>
      <c r="AA75" s="1484"/>
    </row>
    <row r="76">
      <c r="A76" s="1463" t="s">
        <v>6702</v>
      </c>
      <c r="B76" s="1464" t="s">
        <v>6670</v>
      </c>
      <c r="C76" s="713">
        <v>70429.0</v>
      </c>
      <c r="D76" s="713">
        <v>70429.0</v>
      </c>
      <c r="E76" s="1479" t="s">
        <v>6695</v>
      </c>
      <c r="F76" s="1465"/>
      <c r="G76" s="1465"/>
      <c r="H76" s="1465"/>
      <c r="I76" s="1465"/>
      <c r="J76" s="1462"/>
      <c r="K76" s="1462"/>
      <c r="L76" s="1462"/>
      <c r="M76" s="1462"/>
      <c r="N76" s="1462"/>
      <c r="O76" s="1462"/>
      <c r="P76" s="1462"/>
      <c r="Q76" s="1462"/>
      <c r="R76" s="1462"/>
      <c r="S76" s="1462"/>
      <c r="T76" s="1462"/>
      <c r="U76" s="1462"/>
      <c r="V76" s="1462"/>
      <c r="W76" s="1462"/>
      <c r="X76" s="1462"/>
      <c r="Y76" s="1462"/>
      <c r="Z76" s="1462"/>
      <c r="AA76" s="1462"/>
    </row>
    <row r="77">
      <c r="A77" s="1463" t="s">
        <v>6702</v>
      </c>
      <c r="B77" s="1464" t="s">
        <v>6670</v>
      </c>
      <c r="C77" s="713" t="s">
        <v>6722</v>
      </c>
      <c r="D77" s="713" t="s">
        <v>6722</v>
      </c>
      <c r="E77" s="1479" t="s">
        <v>6695</v>
      </c>
      <c r="F77" s="1465"/>
      <c r="G77" s="1465"/>
      <c r="H77" s="1465"/>
      <c r="I77" s="1465"/>
      <c r="J77" s="1462"/>
      <c r="K77" s="1462"/>
      <c r="L77" s="1462"/>
      <c r="M77" s="1462"/>
      <c r="N77" s="1462"/>
      <c r="O77" s="1462"/>
      <c r="P77" s="1462"/>
      <c r="Q77" s="1462"/>
      <c r="R77" s="1462"/>
      <c r="S77" s="1462"/>
      <c r="T77" s="1462"/>
      <c r="U77" s="1462"/>
      <c r="V77" s="1462"/>
      <c r="W77" s="1462"/>
      <c r="X77" s="1462"/>
      <c r="Y77" s="1462"/>
      <c r="Z77" s="1462"/>
      <c r="AA77" s="1462"/>
    </row>
    <row r="78">
      <c r="A78" s="1463" t="s">
        <v>6702</v>
      </c>
      <c r="B78" s="1464" t="s">
        <v>6670</v>
      </c>
      <c r="C78" s="713" t="s">
        <v>6723</v>
      </c>
      <c r="D78" s="713" t="s">
        <v>6723</v>
      </c>
      <c r="E78" s="1479" t="s">
        <v>6695</v>
      </c>
      <c r="F78" s="1465"/>
      <c r="G78" s="1465"/>
      <c r="H78" s="1465"/>
      <c r="I78" s="1465"/>
      <c r="J78" s="1462"/>
      <c r="K78" s="1462"/>
      <c r="L78" s="1462"/>
      <c r="M78" s="1462"/>
      <c r="N78" s="1462"/>
      <c r="O78" s="1462"/>
      <c r="P78" s="1462"/>
      <c r="Q78" s="1462"/>
      <c r="R78" s="1462"/>
      <c r="S78" s="1462"/>
      <c r="T78" s="1462"/>
      <c r="U78" s="1462"/>
      <c r="V78" s="1462"/>
      <c r="W78" s="1462"/>
      <c r="X78" s="1462"/>
      <c r="Y78" s="1462"/>
      <c r="Z78" s="1462"/>
      <c r="AA78" s="1462"/>
    </row>
    <row r="79">
      <c r="A79" s="1463" t="s">
        <v>6702</v>
      </c>
      <c r="B79" s="1464" t="s">
        <v>6670</v>
      </c>
      <c r="C79" s="713">
        <v>51499.0</v>
      </c>
      <c r="D79" s="713">
        <v>51499.0</v>
      </c>
      <c r="E79" s="1479" t="s">
        <v>6695</v>
      </c>
      <c r="F79" s="1465"/>
      <c r="G79" s="1465"/>
      <c r="H79" s="1465"/>
      <c r="I79" s="1465"/>
      <c r="J79" s="1462"/>
      <c r="K79" s="1462"/>
      <c r="L79" s="1462"/>
      <c r="M79" s="1462"/>
      <c r="N79" s="1462"/>
      <c r="O79" s="1462"/>
      <c r="P79" s="1462"/>
      <c r="Q79" s="1462"/>
      <c r="R79" s="1462"/>
      <c r="S79" s="1462"/>
      <c r="T79" s="1462"/>
      <c r="U79" s="1462"/>
      <c r="V79" s="1462"/>
      <c r="W79" s="1462"/>
      <c r="X79" s="1462"/>
      <c r="Y79" s="1462"/>
      <c r="Z79" s="1462"/>
      <c r="AA79" s="1462"/>
    </row>
    <row r="80">
      <c r="A80" s="1463" t="s">
        <v>6702</v>
      </c>
      <c r="B80" s="1464" t="s">
        <v>6670</v>
      </c>
      <c r="C80" s="713" t="s">
        <v>6724</v>
      </c>
      <c r="D80" s="713" t="s">
        <v>6724</v>
      </c>
      <c r="E80" s="1479" t="s">
        <v>6695</v>
      </c>
      <c r="F80" s="1465"/>
      <c r="G80" s="1465"/>
      <c r="H80" s="1465"/>
      <c r="I80" s="1465"/>
      <c r="J80" s="1462"/>
      <c r="K80" s="1462"/>
      <c r="L80" s="1462"/>
      <c r="M80" s="1462"/>
      <c r="N80" s="1462"/>
      <c r="O80" s="1462"/>
      <c r="P80" s="1462"/>
      <c r="Q80" s="1462"/>
      <c r="R80" s="1462"/>
      <c r="S80" s="1462"/>
      <c r="T80" s="1462"/>
      <c r="U80" s="1462"/>
      <c r="V80" s="1462"/>
      <c r="W80" s="1462"/>
      <c r="X80" s="1462"/>
      <c r="Y80" s="1462"/>
      <c r="Z80" s="1462"/>
      <c r="AA80" s="1462"/>
    </row>
    <row r="81">
      <c r="A81" s="1463" t="s">
        <v>6702</v>
      </c>
      <c r="B81" s="1464" t="s">
        <v>6670</v>
      </c>
      <c r="C81" s="713" t="s">
        <v>6725</v>
      </c>
      <c r="D81" s="713" t="s">
        <v>6725</v>
      </c>
      <c r="E81" s="1479" t="s">
        <v>6695</v>
      </c>
      <c r="F81" s="1465"/>
      <c r="G81" s="1465"/>
      <c r="H81" s="1465"/>
      <c r="I81" s="1465"/>
      <c r="J81" s="1462"/>
      <c r="K81" s="1462"/>
      <c r="L81" s="1462"/>
      <c r="M81" s="1462"/>
      <c r="N81" s="1462"/>
      <c r="O81" s="1462"/>
      <c r="P81" s="1462"/>
      <c r="Q81" s="1462"/>
      <c r="R81" s="1462"/>
      <c r="S81" s="1462"/>
      <c r="T81" s="1462"/>
      <c r="U81" s="1462"/>
      <c r="V81" s="1462"/>
      <c r="W81" s="1462"/>
      <c r="X81" s="1462"/>
      <c r="Y81" s="1462"/>
      <c r="Z81" s="1462"/>
      <c r="AA81" s="1462"/>
    </row>
    <row r="82">
      <c r="A82" s="1463" t="s">
        <v>6702</v>
      </c>
      <c r="B82" s="1464" t="s">
        <v>6670</v>
      </c>
      <c r="C82" s="713" t="s">
        <v>6726</v>
      </c>
      <c r="D82" s="713" t="s">
        <v>6726</v>
      </c>
      <c r="E82" s="1479" t="s">
        <v>6695</v>
      </c>
      <c r="F82" s="1465"/>
      <c r="G82" s="1465"/>
      <c r="H82" s="1465"/>
      <c r="I82" s="1465"/>
      <c r="J82" s="1462"/>
      <c r="K82" s="1462"/>
      <c r="L82" s="1462"/>
      <c r="M82" s="1462"/>
      <c r="N82" s="1462"/>
      <c r="O82" s="1462"/>
      <c r="P82" s="1462"/>
      <c r="Q82" s="1462"/>
      <c r="R82" s="1462"/>
      <c r="S82" s="1462"/>
      <c r="T82" s="1462"/>
      <c r="U82" s="1462"/>
      <c r="V82" s="1462"/>
      <c r="W82" s="1462"/>
      <c r="X82" s="1462"/>
      <c r="Y82" s="1462"/>
      <c r="Z82" s="1462"/>
      <c r="AA82" s="1462"/>
    </row>
    <row r="83">
      <c r="A83" s="1463" t="s">
        <v>6702</v>
      </c>
      <c r="B83" s="1464" t="s">
        <v>6670</v>
      </c>
      <c r="C83" s="713" t="s">
        <v>6727</v>
      </c>
      <c r="D83" s="713" t="s">
        <v>6727</v>
      </c>
      <c r="E83" s="1479" t="s">
        <v>6695</v>
      </c>
      <c r="F83" s="1465"/>
      <c r="G83" s="1465"/>
      <c r="H83" s="1465"/>
      <c r="I83" s="1465"/>
      <c r="J83" s="1462"/>
      <c r="K83" s="1462"/>
      <c r="L83" s="1462"/>
      <c r="M83" s="1462"/>
      <c r="N83" s="1462"/>
      <c r="O83" s="1462"/>
      <c r="P83" s="1462"/>
      <c r="Q83" s="1462"/>
      <c r="R83" s="1462"/>
      <c r="S83" s="1462"/>
      <c r="T83" s="1462"/>
      <c r="U83" s="1462"/>
      <c r="V83" s="1462"/>
      <c r="W83" s="1462"/>
      <c r="X83" s="1462"/>
      <c r="Y83" s="1462"/>
      <c r="Z83" s="1462"/>
      <c r="AA83" s="1462"/>
    </row>
    <row r="84">
      <c r="A84" s="1463" t="s">
        <v>6702</v>
      </c>
      <c r="B84" s="1464" t="s">
        <v>6670</v>
      </c>
      <c r="C84" s="713" t="s">
        <v>6728</v>
      </c>
      <c r="D84" s="713" t="s">
        <v>6728</v>
      </c>
      <c r="E84" s="1479" t="s">
        <v>6695</v>
      </c>
      <c r="F84" s="1465"/>
      <c r="G84" s="1465"/>
      <c r="H84" s="1465"/>
      <c r="I84" s="1465"/>
      <c r="J84" s="1462"/>
      <c r="K84" s="1462"/>
      <c r="L84" s="1462"/>
      <c r="M84" s="1462"/>
      <c r="N84" s="1462"/>
      <c r="O84" s="1462"/>
      <c r="P84" s="1462"/>
      <c r="Q84" s="1462"/>
      <c r="R84" s="1462"/>
      <c r="S84" s="1462"/>
      <c r="T84" s="1462"/>
      <c r="U84" s="1462"/>
      <c r="V84" s="1462"/>
      <c r="W84" s="1462"/>
      <c r="X84" s="1462"/>
      <c r="Y84" s="1462"/>
      <c r="Z84" s="1462"/>
      <c r="AA84" s="1462"/>
    </row>
    <row r="85">
      <c r="A85" s="1463" t="s">
        <v>6702</v>
      </c>
      <c r="B85" s="1464" t="s">
        <v>6670</v>
      </c>
      <c r="C85" s="713" t="s">
        <v>6729</v>
      </c>
      <c r="D85" s="713" t="s">
        <v>6729</v>
      </c>
      <c r="E85" s="1479" t="s">
        <v>6695</v>
      </c>
      <c r="F85" s="1465"/>
      <c r="G85" s="1465"/>
      <c r="H85" s="1465"/>
      <c r="I85" s="1465"/>
      <c r="J85" s="1462"/>
      <c r="K85" s="1462"/>
      <c r="L85" s="1462"/>
      <c r="M85" s="1462"/>
      <c r="N85" s="1462"/>
      <c r="O85" s="1462"/>
      <c r="P85" s="1462"/>
      <c r="Q85" s="1462"/>
      <c r="R85" s="1462"/>
      <c r="S85" s="1462"/>
      <c r="T85" s="1462"/>
      <c r="U85" s="1462"/>
      <c r="V85" s="1462"/>
      <c r="W85" s="1462"/>
      <c r="X85" s="1462"/>
      <c r="Y85" s="1462"/>
      <c r="Z85" s="1462"/>
      <c r="AA85" s="1462"/>
    </row>
    <row r="86">
      <c r="A86" s="1463" t="s">
        <v>6702</v>
      </c>
      <c r="B86" s="1464" t="s">
        <v>6670</v>
      </c>
      <c r="C86" s="713" t="s">
        <v>6730</v>
      </c>
      <c r="D86" s="713" t="s">
        <v>6730</v>
      </c>
      <c r="E86" s="1479" t="s">
        <v>6695</v>
      </c>
      <c r="F86" s="1462"/>
      <c r="G86" s="1462"/>
      <c r="H86" s="1462"/>
      <c r="I86" s="1462"/>
      <c r="J86" s="1462"/>
      <c r="K86" s="1462"/>
      <c r="L86" s="1462"/>
      <c r="M86" s="1462"/>
      <c r="N86" s="1462"/>
      <c r="O86" s="1462"/>
      <c r="P86" s="1462"/>
      <c r="Q86" s="1462"/>
      <c r="R86" s="1462"/>
      <c r="S86" s="1462"/>
      <c r="T86" s="1462"/>
      <c r="U86" s="1462"/>
      <c r="V86" s="1462"/>
      <c r="W86" s="1462"/>
      <c r="X86" s="1462"/>
      <c r="Y86" s="1462"/>
      <c r="Z86" s="1462"/>
      <c r="AA86" s="1462"/>
    </row>
    <row r="87">
      <c r="A87" s="1463" t="s">
        <v>6702</v>
      </c>
      <c r="B87" s="1464" t="s">
        <v>6670</v>
      </c>
      <c r="C87" s="713" t="s">
        <v>6731</v>
      </c>
      <c r="D87" s="713" t="s">
        <v>6731</v>
      </c>
      <c r="E87" s="1479" t="s">
        <v>6695</v>
      </c>
      <c r="F87" s="1465"/>
      <c r="G87" s="1465"/>
      <c r="H87" s="1465"/>
      <c r="I87" s="1465"/>
      <c r="J87" s="1462"/>
      <c r="K87" s="1462"/>
      <c r="L87" s="1462"/>
      <c r="M87" s="1462"/>
      <c r="N87" s="1462"/>
      <c r="O87" s="1462"/>
      <c r="P87" s="1462"/>
      <c r="Q87" s="1462"/>
      <c r="R87" s="1462"/>
      <c r="S87" s="1462"/>
      <c r="T87" s="1462"/>
      <c r="U87" s="1462"/>
      <c r="V87" s="1462"/>
      <c r="W87" s="1462"/>
      <c r="X87" s="1462"/>
      <c r="Y87" s="1462"/>
      <c r="Z87" s="1462"/>
      <c r="AA87" s="1462"/>
    </row>
    <row r="88">
      <c r="A88" s="1463" t="s">
        <v>6702</v>
      </c>
      <c r="B88" s="1464" t="s">
        <v>6670</v>
      </c>
      <c r="C88" s="713" t="s">
        <v>6732</v>
      </c>
      <c r="D88" s="713">
        <v>32015.0</v>
      </c>
      <c r="E88" s="1479" t="s">
        <v>6695</v>
      </c>
      <c r="F88" s="1465"/>
      <c r="G88" s="1465"/>
      <c r="H88" s="1465"/>
      <c r="I88" s="1465"/>
      <c r="J88" s="1462"/>
      <c r="K88" s="1462"/>
      <c r="L88" s="1462"/>
      <c r="M88" s="1462"/>
      <c r="N88" s="1462"/>
      <c r="O88" s="1462"/>
      <c r="P88" s="1462"/>
      <c r="Q88" s="1462"/>
      <c r="R88" s="1462"/>
      <c r="S88" s="1462"/>
      <c r="T88" s="1462"/>
      <c r="U88" s="1462"/>
      <c r="V88" s="1462"/>
      <c r="W88" s="1462"/>
      <c r="X88" s="1462"/>
      <c r="Y88" s="1462"/>
      <c r="Z88" s="1462"/>
      <c r="AA88" s="1462"/>
    </row>
    <row r="89">
      <c r="A89" s="1463" t="s">
        <v>6702</v>
      </c>
      <c r="B89" s="1481" t="s">
        <v>6670</v>
      </c>
      <c r="C89" s="1482" t="s">
        <v>6733</v>
      </c>
      <c r="D89" s="1482" t="s">
        <v>6733</v>
      </c>
      <c r="E89" s="1479" t="s">
        <v>6695</v>
      </c>
      <c r="F89" s="1483"/>
      <c r="G89" s="1483"/>
      <c r="H89" s="1483"/>
      <c r="I89" s="1483"/>
      <c r="J89" s="1484"/>
      <c r="K89" s="1484"/>
      <c r="L89" s="1484"/>
      <c r="M89" s="1484"/>
      <c r="N89" s="1484"/>
      <c r="O89" s="1484"/>
      <c r="P89" s="1484"/>
      <c r="Q89" s="1484"/>
      <c r="R89" s="1484"/>
      <c r="S89" s="1484"/>
      <c r="T89" s="1484"/>
      <c r="U89" s="1484"/>
      <c r="V89" s="1484"/>
      <c r="W89" s="1484"/>
      <c r="X89" s="1484"/>
      <c r="Y89" s="1484"/>
      <c r="Z89" s="1484"/>
      <c r="AA89" s="1484"/>
    </row>
    <row r="90">
      <c r="A90" s="1463" t="s">
        <v>6702</v>
      </c>
      <c r="B90" s="1464" t="s">
        <v>6670</v>
      </c>
      <c r="C90" s="713" t="s">
        <v>6734</v>
      </c>
      <c r="D90" s="713" t="s">
        <v>6734</v>
      </c>
      <c r="E90" s="1479" t="s">
        <v>6695</v>
      </c>
      <c r="F90" s="1465"/>
      <c r="G90" s="1465"/>
      <c r="H90" s="1465"/>
      <c r="I90" s="1465"/>
      <c r="J90" s="1462"/>
      <c r="K90" s="1462"/>
      <c r="L90" s="1462"/>
      <c r="M90" s="1462"/>
      <c r="N90" s="1462"/>
      <c r="O90" s="1462"/>
      <c r="P90" s="1462"/>
      <c r="Q90" s="1462"/>
      <c r="R90" s="1462"/>
      <c r="S90" s="1462"/>
      <c r="T90" s="1462"/>
      <c r="U90" s="1462"/>
      <c r="V90" s="1462"/>
      <c r="W90" s="1462"/>
      <c r="X90" s="1462"/>
      <c r="Y90" s="1462"/>
      <c r="Z90" s="1462"/>
      <c r="AA90" s="1462"/>
    </row>
    <row r="91">
      <c r="A91" s="1463" t="s">
        <v>6702</v>
      </c>
      <c r="B91" s="1464" t="s">
        <v>6670</v>
      </c>
      <c r="C91" s="713" t="s">
        <v>6735</v>
      </c>
      <c r="D91" s="713" t="s">
        <v>6735</v>
      </c>
      <c r="E91" s="1479" t="s">
        <v>6695</v>
      </c>
      <c r="F91" s="1465"/>
      <c r="G91" s="1465"/>
      <c r="H91" s="1465"/>
      <c r="I91" s="1465"/>
      <c r="J91" s="1462"/>
      <c r="K91" s="1462"/>
      <c r="L91" s="1462"/>
      <c r="M91" s="1462"/>
      <c r="N91" s="1462"/>
      <c r="O91" s="1462"/>
      <c r="P91" s="1462"/>
      <c r="Q91" s="1462"/>
      <c r="R91" s="1462"/>
      <c r="S91" s="1462"/>
      <c r="T91" s="1462"/>
      <c r="U91" s="1462"/>
      <c r="V91" s="1462"/>
      <c r="W91" s="1462"/>
      <c r="X91" s="1462"/>
      <c r="Y91" s="1462"/>
      <c r="Z91" s="1462"/>
      <c r="AA91" s="1462"/>
    </row>
    <row r="92">
      <c r="A92" s="1463" t="s">
        <v>6702</v>
      </c>
      <c r="B92" s="1464" t="s">
        <v>6670</v>
      </c>
      <c r="C92" s="713" t="s">
        <v>6736</v>
      </c>
      <c r="D92" s="713" t="s">
        <v>6736</v>
      </c>
      <c r="E92" s="1479" t="s">
        <v>6695</v>
      </c>
      <c r="F92" s="1465"/>
      <c r="G92" s="1465"/>
      <c r="H92" s="1465"/>
      <c r="I92" s="1465"/>
      <c r="J92" s="1462"/>
      <c r="K92" s="1462"/>
      <c r="L92" s="1462"/>
      <c r="M92" s="1462"/>
      <c r="N92" s="1462"/>
      <c r="O92" s="1462"/>
      <c r="P92" s="1462"/>
      <c r="Q92" s="1462"/>
      <c r="R92" s="1462"/>
      <c r="S92" s="1462"/>
      <c r="T92" s="1462"/>
      <c r="U92" s="1462"/>
      <c r="V92" s="1462"/>
      <c r="W92" s="1462"/>
      <c r="X92" s="1462"/>
      <c r="Y92" s="1462"/>
      <c r="Z92" s="1462"/>
      <c r="AA92" s="1462"/>
    </row>
    <row r="93">
      <c r="A93" s="1463" t="s">
        <v>6702</v>
      </c>
      <c r="B93" s="1464" t="s">
        <v>6672</v>
      </c>
      <c r="C93" s="713">
        <v>207211.0</v>
      </c>
      <c r="D93" s="713">
        <v>207211.0</v>
      </c>
      <c r="E93" s="1479" t="s">
        <v>6695</v>
      </c>
      <c r="F93" s="1465"/>
      <c r="G93" s="1465"/>
      <c r="H93" s="1465"/>
      <c r="I93" s="1465"/>
      <c r="J93" s="1462"/>
      <c r="K93" s="1462"/>
      <c r="L93" s="1462"/>
      <c r="M93" s="1462"/>
      <c r="N93" s="1462"/>
      <c r="O93" s="1462"/>
      <c r="P93" s="1462"/>
      <c r="Q93" s="1462"/>
      <c r="R93" s="1462"/>
      <c r="S93" s="1462"/>
      <c r="T93" s="1462"/>
      <c r="U93" s="1462"/>
      <c r="V93" s="1462"/>
      <c r="W93" s="1462"/>
      <c r="X93" s="1462"/>
      <c r="Y93" s="1462"/>
      <c r="Z93" s="1462"/>
      <c r="AA93" s="1462"/>
    </row>
    <row r="94">
      <c r="A94" s="1463" t="s">
        <v>6702</v>
      </c>
      <c r="B94" s="1464" t="s">
        <v>6672</v>
      </c>
      <c r="C94" s="713">
        <v>143160.0</v>
      </c>
      <c r="D94" s="713">
        <v>143160.0</v>
      </c>
      <c r="E94" s="1479" t="s">
        <v>6695</v>
      </c>
      <c r="F94" s="1462"/>
      <c r="G94" s="1462"/>
      <c r="H94" s="1462"/>
      <c r="I94" s="1462"/>
      <c r="J94" s="1462"/>
      <c r="K94" s="1462"/>
      <c r="L94" s="1462"/>
      <c r="M94" s="1462"/>
      <c r="N94" s="1462"/>
      <c r="O94" s="1462"/>
      <c r="P94" s="1462"/>
      <c r="Q94" s="1462"/>
      <c r="R94" s="1462"/>
      <c r="S94" s="1462"/>
      <c r="T94" s="1462"/>
      <c r="U94" s="1462"/>
      <c r="V94" s="1462"/>
      <c r="W94" s="1462"/>
      <c r="X94" s="1462"/>
      <c r="Y94" s="1462"/>
      <c r="Z94" s="1462"/>
      <c r="AA94" s="1462"/>
    </row>
    <row r="95">
      <c r="A95" s="1463" t="s">
        <v>6702</v>
      </c>
      <c r="B95" s="1464" t="s">
        <v>6672</v>
      </c>
      <c r="C95" s="713">
        <v>166221.0</v>
      </c>
      <c r="D95" s="713">
        <v>166221.0</v>
      </c>
      <c r="E95" s="1479" t="s">
        <v>6695</v>
      </c>
      <c r="F95" s="1462"/>
      <c r="G95" s="1462"/>
      <c r="H95" s="1462"/>
      <c r="I95" s="1462"/>
      <c r="J95" s="1462"/>
      <c r="K95" s="1462"/>
      <c r="L95" s="1462"/>
      <c r="M95" s="1462"/>
      <c r="N95" s="1462"/>
      <c r="O95" s="1462"/>
      <c r="P95" s="1462"/>
      <c r="Q95" s="1462"/>
      <c r="R95" s="1462"/>
      <c r="S95" s="1462"/>
      <c r="T95" s="1462"/>
      <c r="U95" s="1462"/>
      <c r="V95" s="1462"/>
      <c r="W95" s="1462"/>
      <c r="X95" s="1462"/>
      <c r="Y95" s="1462"/>
      <c r="Z95" s="1462"/>
      <c r="AA95" s="1462"/>
    </row>
    <row r="96">
      <c r="A96" s="1463" t="s">
        <v>6702</v>
      </c>
      <c r="B96" s="1464" t="s">
        <v>6672</v>
      </c>
      <c r="C96" s="713">
        <v>214925.0</v>
      </c>
      <c r="D96" s="713">
        <v>214925.0</v>
      </c>
      <c r="E96" s="1479" t="s">
        <v>6695</v>
      </c>
      <c r="F96" s="1462"/>
      <c r="G96" s="1462"/>
      <c r="H96" s="1462"/>
      <c r="I96" s="1462"/>
      <c r="J96" s="1462"/>
      <c r="K96" s="1462"/>
      <c r="L96" s="1462"/>
      <c r="M96" s="1462"/>
      <c r="N96" s="1462"/>
      <c r="O96" s="1462"/>
      <c r="P96" s="1462"/>
      <c r="Q96" s="1462"/>
      <c r="R96" s="1462"/>
      <c r="S96" s="1462"/>
      <c r="T96" s="1462"/>
      <c r="U96" s="1462"/>
      <c r="V96" s="1462"/>
      <c r="W96" s="1462"/>
      <c r="X96" s="1462"/>
      <c r="Y96" s="1462"/>
      <c r="Z96" s="1462"/>
      <c r="AA96" s="1462"/>
    </row>
    <row r="97">
      <c r="A97" s="1463" t="s">
        <v>6702</v>
      </c>
      <c r="B97" s="1464" t="s">
        <v>6670</v>
      </c>
      <c r="C97" s="713" t="s">
        <v>6737</v>
      </c>
      <c r="D97" s="713" t="s">
        <v>6737</v>
      </c>
      <c r="E97" s="1479" t="s">
        <v>6695</v>
      </c>
      <c r="F97" s="1462"/>
      <c r="G97" s="1462"/>
      <c r="H97" s="1462"/>
      <c r="I97" s="1462"/>
      <c r="J97" s="1462"/>
      <c r="K97" s="1462"/>
      <c r="L97" s="1462"/>
      <c r="M97" s="1462"/>
      <c r="N97" s="1462"/>
      <c r="O97" s="1462"/>
      <c r="P97" s="1462"/>
      <c r="Q97" s="1462"/>
      <c r="R97" s="1462"/>
      <c r="S97" s="1462"/>
      <c r="T97" s="1462"/>
      <c r="U97" s="1462"/>
      <c r="V97" s="1462"/>
      <c r="W97" s="1462"/>
      <c r="X97" s="1462"/>
      <c r="Y97" s="1462"/>
      <c r="Z97" s="1462"/>
      <c r="AA97" s="1462"/>
    </row>
    <row r="98">
      <c r="A98" s="1463" t="s">
        <v>6702</v>
      </c>
      <c r="B98" s="1464" t="s">
        <v>6670</v>
      </c>
      <c r="C98" s="713" t="s">
        <v>6738</v>
      </c>
      <c r="D98" s="713" t="s">
        <v>6738</v>
      </c>
      <c r="E98" s="1479" t="s">
        <v>6695</v>
      </c>
      <c r="F98" s="1462"/>
      <c r="G98" s="1462"/>
      <c r="H98" s="1462"/>
      <c r="I98" s="1462"/>
      <c r="J98" s="1462"/>
      <c r="K98" s="1462"/>
      <c r="L98" s="1462"/>
      <c r="M98" s="1462"/>
      <c r="N98" s="1462"/>
      <c r="O98" s="1462"/>
      <c r="P98" s="1462"/>
      <c r="Q98" s="1462"/>
      <c r="R98" s="1462"/>
      <c r="S98" s="1462"/>
      <c r="T98" s="1462"/>
      <c r="U98" s="1462"/>
      <c r="V98" s="1462"/>
      <c r="W98" s="1462"/>
      <c r="X98" s="1462"/>
      <c r="Y98" s="1462"/>
      <c r="Z98" s="1462"/>
      <c r="AA98" s="1462"/>
    </row>
    <row r="99">
      <c r="A99" s="1463" t="s">
        <v>6702</v>
      </c>
      <c r="B99" s="1464" t="s">
        <v>6670</v>
      </c>
      <c r="C99" s="713" t="s">
        <v>6739</v>
      </c>
      <c r="D99" s="713" t="s">
        <v>6739</v>
      </c>
      <c r="E99" s="1479" t="s">
        <v>6695</v>
      </c>
      <c r="F99" s="1462"/>
      <c r="G99" s="1462"/>
      <c r="I99" s="1462"/>
      <c r="J99" s="1462"/>
      <c r="K99" s="1462"/>
      <c r="L99" s="1462"/>
      <c r="M99" s="1462"/>
      <c r="N99" s="1462"/>
      <c r="O99" s="1462"/>
      <c r="P99" s="1462"/>
      <c r="Q99" s="1462"/>
      <c r="R99" s="1462"/>
      <c r="S99" s="1462"/>
      <c r="T99" s="1462"/>
      <c r="U99" s="1462"/>
      <c r="V99" s="1462"/>
      <c r="W99" s="1462"/>
      <c r="X99" s="1462"/>
      <c r="Y99" s="1462"/>
      <c r="Z99" s="1462"/>
      <c r="AA99" s="1462"/>
    </row>
    <row r="100">
      <c r="A100" s="1463" t="s">
        <v>6702</v>
      </c>
      <c r="B100" s="1464" t="s">
        <v>6670</v>
      </c>
      <c r="C100" s="713" t="s">
        <v>6740</v>
      </c>
      <c r="D100" s="713" t="s">
        <v>6741</v>
      </c>
      <c r="E100" s="1479" t="s">
        <v>6695</v>
      </c>
      <c r="F100" s="1462"/>
      <c r="G100" s="1462"/>
      <c r="I100" s="1462"/>
      <c r="J100" s="1462"/>
      <c r="K100" s="1462"/>
      <c r="L100" s="1462"/>
      <c r="M100" s="1462"/>
      <c r="N100" s="1462"/>
      <c r="O100" s="1462"/>
      <c r="P100" s="1462"/>
      <c r="Q100" s="1462"/>
      <c r="R100" s="1462"/>
      <c r="S100" s="1462"/>
      <c r="T100" s="1462"/>
      <c r="U100" s="1462"/>
      <c r="V100" s="1462"/>
      <c r="W100" s="1462"/>
      <c r="X100" s="1462"/>
      <c r="Y100" s="1462"/>
      <c r="Z100" s="1462"/>
      <c r="AA100" s="1462"/>
    </row>
    <row r="101">
      <c r="A101" s="1463" t="s">
        <v>6702</v>
      </c>
      <c r="B101" s="1464" t="s">
        <v>6670</v>
      </c>
      <c r="C101" s="713" t="s">
        <v>6742</v>
      </c>
      <c r="D101" s="713" t="s">
        <v>6742</v>
      </c>
      <c r="E101" s="1479" t="s">
        <v>6695</v>
      </c>
      <c r="F101" s="1462"/>
      <c r="G101" s="1462"/>
      <c r="I101" s="1462"/>
      <c r="J101" s="1462"/>
      <c r="K101" s="1462"/>
      <c r="L101" s="1462"/>
      <c r="M101" s="1462"/>
      <c r="N101" s="1462"/>
      <c r="O101" s="1462"/>
      <c r="P101" s="1462"/>
      <c r="Q101" s="1462"/>
      <c r="R101" s="1462"/>
      <c r="S101" s="1462"/>
      <c r="T101" s="1462"/>
      <c r="U101" s="1462"/>
      <c r="V101" s="1462"/>
      <c r="W101" s="1462"/>
      <c r="X101" s="1462"/>
      <c r="Y101" s="1462"/>
      <c r="Z101" s="1462"/>
      <c r="AA101" s="1462"/>
    </row>
    <row r="102">
      <c r="A102" s="1463" t="s">
        <v>6702</v>
      </c>
      <c r="B102" s="1464" t="s">
        <v>6672</v>
      </c>
      <c r="C102" s="713">
        <v>207290.0</v>
      </c>
      <c r="D102" s="713">
        <v>207290.0</v>
      </c>
      <c r="E102" s="1479" t="s">
        <v>6695</v>
      </c>
      <c r="F102" s="1462"/>
      <c r="G102" s="1462"/>
      <c r="I102" s="1462"/>
      <c r="J102" s="1462"/>
      <c r="K102" s="1462"/>
      <c r="L102" s="1462"/>
      <c r="M102" s="1462"/>
      <c r="N102" s="1462"/>
      <c r="O102" s="1462"/>
      <c r="P102" s="1462"/>
      <c r="Q102" s="1462"/>
      <c r="R102" s="1462"/>
      <c r="S102" s="1462"/>
      <c r="T102" s="1462"/>
      <c r="U102" s="1462"/>
      <c r="V102" s="1462"/>
      <c r="W102" s="1462"/>
      <c r="X102" s="1462"/>
      <c r="Y102" s="1462"/>
      <c r="Z102" s="1462"/>
      <c r="AA102" s="1462"/>
    </row>
    <row r="103">
      <c r="A103" s="1463" t="s">
        <v>6702</v>
      </c>
      <c r="B103" s="1464" t="s">
        <v>6672</v>
      </c>
      <c r="C103" s="713">
        <v>214002.0</v>
      </c>
      <c r="D103" s="713">
        <v>214002.0</v>
      </c>
      <c r="E103" s="1479" t="s">
        <v>6695</v>
      </c>
      <c r="F103" s="1462"/>
      <c r="G103" s="1462"/>
      <c r="I103" s="1462"/>
      <c r="J103" s="1462"/>
      <c r="K103" s="1462"/>
      <c r="L103" s="1462"/>
      <c r="M103" s="1462"/>
      <c r="N103" s="1462"/>
      <c r="O103" s="1462"/>
      <c r="P103" s="1462"/>
      <c r="Q103" s="1462"/>
      <c r="R103" s="1462"/>
      <c r="S103" s="1462"/>
      <c r="T103" s="1462"/>
      <c r="U103" s="1462"/>
      <c r="V103" s="1462"/>
      <c r="W103" s="1462"/>
      <c r="X103" s="1462"/>
      <c r="Y103" s="1462"/>
      <c r="Z103" s="1462"/>
      <c r="AA103" s="1462"/>
    </row>
    <row r="104">
      <c r="A104" s="1463" t="s">
        <v>6702</v>
      </c>
      <c r="B104" s="1464" t="s">
        <v>6672</v>
      </c>
      <c r="C104" s="713">
        <v>213951.0</v>
      </c>
      <c r="D104" s="713">
        <v>213951.0</v>
      </c>
      <c r="E104" s="1479" t="s">
        <v>6695</v>
      </c>
      <c r="F104" s="1465"/>
      <c r="G104" s="1465"/>
      <c r="I104" s="1465"/>
      <c r="J104" s="1462"/>
      <c r="K104" s="1462"/>
      <c r="L104" s="1462"/>
      <c r="M104" s="1462"/>
      <c r="N104" s="1462"/>
      <c r="O104" s="1462"/>
      <c r="P104" s="1462"/>
      <c r="Q104" s="1462"/>
      <c r="R104" s="1462"/>
      <c r="S104" s="1462"/>
      <c r="T104" s="1462"/>
      <c r="U104" s="1462"/>
      <c r="V104" s="1462"/>
      <c r="W104" s="1462"/>
      <c r="X104" s="1462"/>
      <c r="Y104" s="1462"/>
      <c r="Z104" s="1462"/>
      <c r="AA104" s="1462"/>
    </row>
    <row r="105">
      <c r="A105" s="1463" t="s">
        <v>6702</v>
      </c>
      <c r="B105" s="1464" t="s">
        <v>6672</v>
      </c>
      <c r="C105" s="713">
        <v>211381.0</v>
      </c>
      <c r="D105" s="713">
        <v>211381.0</v>
      </c>
      <c r="E105" s="1479" t="s">
        <v>6695</v>
      </c>
      <c r="F105" s="1465"/>
      <c r="G105" s="1465"/>
      <c r="I105" s="1465"/>
      <c r="J105" s="1462"/>
      <c r="K105" s="1462"/>
      <c r="L105" s="1462"/>
      <c r="M105" s="1462"/>
      <c r="N105" s="1462"/>
      <c r="O105" s="1462"/>
      <c r="P105" s="1462"/>
      <c r="Q105" s="1462"/>
      <c r="R105" s="1462"/>
      <c r="S105" s="1462"/>
      <c r="T105" s="1462"/>
      <c r="U105" s="1462"/>
      <c r="V105" s="1462"/>
      <c r="W105" s="1462"/>
      <c r="X105" s="1462"/>
      <c r="Y105" s="1462"/>
      <c r="Z105" s="1462"/>
      <c r="AA105" s="1462"/>
    </row>
    <row r="106">
      <c r="A106" s="1463" t="s">
        <v>6743</v>
      </c>
      <c r="B106" s="1464" t="s">
        <v>6670</v>
      </c>
      <c r="C106" s="713" t="s">
        <v>6744</v>
      </c>
      <c r="D106" s="713" t="s">
        <v>6744</v>
      </c>
      <c r="E106" s="1479" t="s">
        <v>6695</v>
      </c>
      <c r="F106" s="1465"/>
      <c r="G106" s="1465"/>
      <c r="I106" s="1465"/>
      <c r="J106" s="1462"/>
      <c r="K106" s="1462"/>
      <c r="L106" s="1462"/>
      <c r="M106" s="1462"/>
      <c r="N106" s="1462"/>
      <c r="O106" s="1462"/>
      <c r="P106" s="1462"/>
      <c r="Q106" s="1462"/>
      <c r="R106" s="1462"/>
      <c r="S106" s="1462"/>
      <c r="T106" s="1462"/>
      <c r="U106" s="1462"/>
      <c r="V106" s="1462"/>
      <c r="W106" s="1462"/>
      <c r="X106" s="1462"/>
      <c r="Y106" s="1462"/>
      <c r="Z106" s="1462"/>
      <c r="AA106" s="1462"/>
    </row>
    <row r="107">
      <c r="A107" s="1463" t="s">
        <v>6702</v>
      </c>
      <c r="B107" s="1464" t="s">
        <v>6670</v>
      </c>
      <c r="C107" s="713" t="s">
        <v>6745</v>
      </c>
      <c r="D107" s="713" t="s">
        <v>6745</v>
      </c>
      <c r="E107" s="1479" t="s">
        <v>5468</v>
      </c>
      <c r="F107" s="1465"/>
      <c r="G107" s="1465"/>
      <c r="H107" s="1465"/>
      <c r="I107" s="1465"/>
      <c r="J107" s="1462"/>
      <c r="K107" s="1462"/>
      <c r="L107" s="1462"/>
      <c r="M107" s="1462"/>
      <c r="N107" s="1462"/>
      <c r="O107" s="1462"/>
      <c r="P107" s="1462"/>
      <c r="Q107" s="1462"/>
      <c r="R107" s="1462"/>
      <c r="S107" s="1462"/>
      <c r="T107" s="1462"/>
      <c r="U107" s="1462"/>
      <c r="V107" s="1462"/>
      <c r="W107" s="1462"/>
      <c r="X107" s="1462"/>
      <c r="Y107" s="1462"/>
      <c r="Z107" s="1462"/>
      <c r="AA107" s="1462"/>
    </row>
    <row r="108">
      <c r="A108" s="1463" t="s">
        <v>6702</v>
      </c>
      <c r="B108" s="1464" t="s">
        <v>6670</v>
      </c>
      <c r="C108" s="1463" t="s">
        <v>6746</v>
      </c>
      <c r="D108" s="1463" t="s">
        <v>6746</v>
      </c>
      <c r="E108" s="1461" t="s">
        <v>6747</v>
      </c>
      <c r="F108" s="1465"/>
      <c r="G108" s="1465"/>
      <c r="H108" s="1465"/>
      <c r="I108" s="1465"/>
      <c r="J108" s="1462"/>
      <c r="K108" s="1462"/>
      <c r="L108" s="1462"/>
      <c r="M108" s="1462"/>
      <c r="N108" s="1462"/>
      <c r="O108" s="1462"/>
      <c r="P108" s="1462"/>
      <c r="Q108" s="1462"/>
      <c r="R108" s="1462"/>
      <c r="S108" s="1462"/>
      <c r="T108" s="1462"/>
      <c r="U108" s="1462"/>
      <c r="V108" s="1462"/>
      <c r="W108" s="1462"/>
      <c r="X108" s="1462"/>
      <c r="Y108" s="1462"/>
      <c r="Z108" s="1462"/>
      <c r="AA108" s="1462"/>
    </row>
    <row r="109">
      <c r="A109" s="1463" t="s">
        <v>6702</v>
      </c>
      <c r="B109" s="1464" t="s">
        <v>6670</v>
      </c>
      <c r="C109" s="1463" t="s">
        <v>6748</v>
      </c>
      <c r="D109" s="1463" t="s">
        <v>6748</v>
      </c>
      <c r="E109" s="1461" t="s">
        <v>5468</v>
      </c>
      <c r="F109" s="1465"/>
      <c r="G109" s="1465"/>
      <c r="H109" s="1465"/>
      <c r="I109" s="1465"/>
      <c r="J109" s="1462"/>
      <c r="K109" s="1462"/>
      <c r="L109" s="1462"/>
      <c r="M109" s="1462"/>
      <c r="N109" s="1462"/>
      <c r="O109" s="1462"/>
      <c r="P109" s="1462"/>
      <c r="Q109" s="1462"/>
      <c r="R109" s="1462"/>
      <c r="S109" s="1462"/>
      <c r="T109" s="1462"/>
      <c r="U109" s="1462"/>
      <c r="V109" s="1462"/>
      <c r="W109" s="1462"/>
      <c r="X109" s="1462"/>
      <c r="Y109" s="1462"/>
      <c r="Z109" s="1462"/>
      <c r="AA109" s="1462"/>
    </row>
    <row r="110">
      <c r="A110" s="1463" t="s">
        <v>6702</v>
      </c>
      <c r="B110" s="1464" t="s">
        <v>6670</v>
      </c>
      <c r="C110" s="1463" t="s">
        <v>6749</v>
      </c>
      <c r="D110" s="1463" t="s">
        <v>6749</v>
      </c>
      <c r="E110" s="1461" t="s">
        <v>6750</v>
      </c>
      <c r="F110" s="1465"/>
      <c r="G110" s="1465"/>
      <c r="H110" s="1465"/>
      <c r="I110" s="1465"/>
      <c r="J110" s="1462"/>
      <c r="K110" s="1462"/>
      <c r="L110" s="1462"/>
      <c r="M110" s="1462"/>
      <c r="N110" s="1462"/>
      <c r="O110" s="1462"/>
      <c r="P110" s="1462"/>
      <c r="Q110" s="1462"/>
      <c r="R110" s="1462"/>
      <c r="S110" s="1462"/>
      <c r="T110" s="1462"/>
      <c r="U110" s="1462"/>
      <c r="V110" s="1462"/>
      <c r="W110" s="1462"/>
      <c r="X110" s="1462"/>
      <c r="Y110" s="1462"/>
      <c r="Z110" s="1462"/>
      <c r="AA110" s="1462"/>
    </row>
    <row r="111">
      <c r="A111" s="1463" t="s">
        <v>6702</v>
      </c>
      <c r="B111" s="1464" t="s">
        <v>6670</v>
      </c>
      <c r="C111" s="1463" t="s">
        <v>6751</v>
      </c>
      <c r="D111" s="1463" t="s">
        <v>6751</v>
      </c>
      <c r="E111" s="1461"/>
      <c r="F111" s="1465"/>
      <c r="G111" s="1465"/>
      <c r="H111" s="1465"/>
      <c r="I111" s="1465"/>
      <c r="J111" s="1462"/>
      <c r="K111" s="1462"/>
      <c r="L111" s="1462"/>
      <c r="M111" s="1462"/>
      <c r="N111" s="1462"/>
      <c r="O111" s="1462"/>
      <c r="P111" s="1462"/>
      <c r="Q111" s="1462"/>
      <c r="R111" s="1462"/>
      <c r="S111" s="1462"/>
      <c r="T111" s="1462"/>
      <c r="U111" s="1462"/>
      <c r="V111" s="1462"/>
      <c r="W111" s="1462"/>
      <c r="X111" s="1462"/>
      <c r="Y111" s="1462"/>
      <c r="Z111" s="1462"/>
      <c r="AA111" s="1462"/>
    </row>
    <row r="112">
      <c r="A112" s="1463" t="s">
        <v>6702</v>
      </c>
      <c r="B112" s="1464" t="s">
        <v>6670</v>
      </c>
      <c r="C112" s="1463" t="s">
        <v>6752</v>
      </c>
      <c r="D112" s="1463" t="s">
        <v>6752</v>
      </c>
      <c r="E112" s="1461"/>
      <c r="F112" s="1465"/>
      <c r="G112" s="1465"/>
      <c r="H112" s="1465"/>
      <c r="I112" s="1465"/>
      <c r="J112" s="1462"/>
      <c r="K112" s="1462"/>
      <c r="L112" s="1462"/>
      <c r="M112" s="1462"/>
      <c r="N112" s="1462"/>
      <c r="O112" s="1462"/>
      <c r="P112" s="1462"/>
      <c r="Q112" s="1462"/>
      <c r="R112" s="1462"/>
      <c r="S112" s="1462"/>
      <c r="T112" s="1462"/>
      <c r="U112" s="1462"/>
      <c r="V112" s="1462"/>
      <c r="W112" s="1462"/>
      <c r="X112" s="1462"/>
      <c r="Y112" s="1462"/>
      <c r="Z112" s="1462"/>
      <c r="AA112" s="1462"/>
    </row>
    <row r="113">
      <c r="A113" s="1463" t="s">
        <v>6702</v>
      </c>
      <c r="B113" s="1464" t="s">
        <v>6672</v>
      </c>
      <c r="C113" s="1463">
        <v>214707.0</v>
      </c>
      <c r="D113" s="1463">
        <v>214707.0</v>
      </c>
      <c r="E113" s="1461"/>
      <c r="F113" s="1465"/>
      <c r="G113" s="1465"/>
      <c r="H113" s="1465"/>
      <c r="I113" s="1465"/>
      <c r="J113" s="1462"/>
      <c r="K113" s="1462"/>
      <c r="L113" s="1462"/>
      <c r="M113" s="1462"/>
      <c r="N113" s="1462"/>
      <c r="O113" s="1462"/>
      <c r="P113" s="1462"/>
      <c r="Q113" s="1462"/>
      <c r="R113" s="1462"/>
      <c r="S113" s="1462"/>
      <c r="T113" s="1462"/>
      <c r="U113" s="1462"/>
      <c r="V113" s="1462"/>
      <c r="W113" s="1462"/>
      <c r="X113" s="1462"/>
      <c r="Y113" s="1462"/>
      <c r="Z113" s="1462"/>
      <c r="AA113" s="1462"/>
    </row>
    <row r="114">
      <c r="A114" s="1463" t="s">
        <v>6702</v>
      </c>
      <c r="B114" s="1464" t="s">
        <v>6672</v>
      </c>
      <c r="C114" s="1463">
        <v>283929.0</v>
      </c>
      <c r="D114" s="1463">
        <v>283929.0</v>
      </c>
      <c r="E114" s="1461"/>
      <c r="F114" s="1465"/>
      <c r="G114" s="1465"/>
      <c r="H114" s="1465"/>
      <c r="I114" s="1465"/>
      <c r="J114" s="1462"/>
      <c r="K114" s="1462"/>
      <c r="L114" s="1462"/>
      <c r="M114" s="1462"/>
      <c r="N114" s="1462"/>
      <c r="O114" s="1462"/>
      <c r="P114" s="1462"/>
      <c r="Q114" s="1462"/>
      <c r="R114" s="1462"/>
      <c r="S114" s="1462"/>
      <c r="T114" s="1462"/>
      <c r="U114" s="1462"/>
      <c r="V114" s="1462"/>
      <c r="W114" s="1462"/>
      <c r="X114" s="1462"/>
      <c r="Y114" s="1462"/>
      <c r="Z114" s="1462"/>
      <c r="AA114" s="1462"/>
    </row>
    <row r="115">
      <c r="A115" s="1463" t="s">
        <v>6702</v>
      </c>
      <c r="B115" s="1464" t="s">
        <v>6674</v>
      </c>
      <c r="C115" s="1463" t="s">
        <v>6753</v>
      </c>
      <c r="D115" s="1463" t="s">
        <v>6753</v>
      </c>
      <c r="E115" s="1461"/>
      <c r="F115" s="1465"/>
      <c r="G115" s="1465"/>
      <c r="H115" s="1465"/>
      <c r="I115" s="1465"/>
      <c r="J115" s="1462"/>
      <c r="K115" s="1462"/>
      <c r="L115" s="1462"/>
      <c r="M115" s="1462"/>
      <c r="N115" s="1462"/>
      <c r="O115" s="1462"/>
      <c r="P115" s="1462"/>
      <c r="Q115" s="1462"/>
      <c r="R115" s="1462"/>
      <c r="S115" s="1462"/>
      <c r="T115" s="1462"/>
      <c r="U115" s="1462"/>
      <c r="V115" s="1462"/>
      <c r="W115" s="1462"/>
      <c r="X115" s="1462"/>
      <c r="Y115" s="1462"/>
      <c r="Z115" s="1462"/>
      <c r="AA115" s="1462"/>
    </row>
    <row r="116">
      <c r="A116" s="1463" t="s">
        <v>6702</v>
      </c>
      <c r="B116" s="1464" t="s">
        <v>6672</v>
      </c>
      <c r="C116" s="1463" t="s">
        <v>6754</v>
      </c>
      <c r="D116" s="1463" t="s">
        <v>6754</v>
      </c>
      <c r="E116" s="1461"/>
      <c r="F116" s="1465"/>
      <c r="G116" s="1465"/>
      <c r="H116" s="1465"/>
      <c r="I116" s="1465"/>
      <c r="J116" s="1462"/>
      <c r="K116" s="1462"/>
      <c r="L116" s="1462"/>
      <c r="M116" s="1462"/>
      <c r="N116" s="1462"/>
      <c r="O116" s="1462"/>
      <c r="P116" s="1462"/>
      <c r="Q116" s="1462"/>
      <c r="R116" s="1462"/>
      <c r="S116" s="1462"/>
      <c r="T116" s="1462"/>
      <c r="U116" s="1462"/>
      <c r="V116" s="1462"/>
      <c r="W116" s="1462"/>
      <c r="X116" s="1462"/>
      <c r="Y116" s="1462"/>
      <c r="Z116" s="1462"/>
      <c r="AA116" s="1462"/>
    </row>
    <row r="117">
      <c r="A117" s="1463" t="s">
        <v>6702</v>
      </c>
      <c r="B117" s="1464" t="s">
        <v>6675</v>
      </c>
      <c r="C117" s="1463">
        <v>587.0</v>
      </c>
      <c r="D117" s="1463">
        <v>587.0</v>
      </c>
      <c r="E117" s="1461"/>
      <c r="F117" s="1465"/>
      <c r="G117" s="1465"/>
      <c r="H117" s="1465"/>
      <c r="I117" s="1465"/>
      <c r="J117" s="1462"/>
      <c r="K117" s="1462"/>
      <c r="L117" s="1462"/>
      <c r="M117" s="1462"/>
      <c r="N117" s="1462"/>
      <c r="O117" s="1462"/>
      <c r="P117" s="1462"/>
      <c r="Q117" s="1462"/>
      <c r="R117" s="1462"/>
      <c r="S117" s="1462"/>
      <c r="T117" s="1462"/>
      <c r="U117" s="1462"/>
      <c r="V117" s="1462"/>
      <c r="W117" s="1462"/>
      <c r="X117" s="1462"/>
      <c r="Y117" s="1462"/>
      <c r="Z117" s="1462"/>
      <c r="AA117" s="1462"/>
    </row>
    <row r="118">
      <c r="A118" s="1463" t="s">
        <v>6702</v>
      </c>
      <c r="B118" s="1464" t="s">
        <v>6672</v>
      </c>
      <c r="C118" s="1463">
        <v>223219.0</v>
      </c>
      <c r="D118" s="1463">
        <v>223219.0</v>
      </c>
      <c r="E118" s="1461"/>
      <c r="F118" s="1462"/>
      <c r="G118" s="1462"/>
      <c r="H118" s="1462"/>
      <c r="I118" s="1462"/>
      <c r="J118" s="1462"/>
      <c r="K118" s="1462"/>
      <c r="L118" s="1462"/>
      <c r="M118" s="1462"/>
      <c r="N118" s="1462"/>
      <c r="O118" s="1462"/>
      <c r="P118" s="1462"/>
      <c r="Q118" s="1462"/>
      <c r="R118" s="1462"/>
      <c r="S118" s="1462"/>
      <c r="T118" s="1462"/>
      <c r="U118" s="1462"/>
      <c r="V118" s="1462"/>
      <c r="W118" s="1462"/>
      <c r="X118" s="1462"/>
      <c r="Y118" s="1462"/>
      <c r="Z118" s="1462"/>
      <c r="AA118" s="1462"/>
    </row>
    <row r="119">
      <c r="A119" s="1463" t="s">
        <v>6702</v>
      </c>
      <c r="B119" s="1464" t="s">
        <v>6672</v>
      </c>
      <c r="C119" s="1463" t="s">
        <v>6755</v>
      </c>
      <c r="D119" s="1463" t="s">
        <v>6755</v>
      </c>
      <c r="E119" s="1461"/>
      <c r="F119" s="1462"/>
      <c r="G119" s="1462"/>
      <c r="H119" s="1462"/>
      <c r="I119" s="1462"/>
      <c r="J119" s="1462"/>
      <c r="K119" s="1462"/>
      <c r="L119" s="1462"/>
      <c r="M119" s="1462"/>
      <c r="N119" s="1462"/>
      <c r="O119" s="1462"/>
      <c r="P119" s="1462"/>
      <c r="Q119" s="1462"/>
      <c r="R119" s="1462"/>
      <c r="S119" s="1462"/>
      <c r="T119" s="1462"/>
      <c r="U119" s="1462"/>
      <c r="V119" s="1462"/>
      <c r="W119" s="1462"/>
      <c r="X119" s="1462"/>
      <c r="Y119" s="1462"/>
      <c r="Z119" s="1462"/>
      <c r="AA119" s="1462"/>
    </row>
    <row r="120">
      <c r="A120" s="1463" t="s">
        <v>6702</v>
      </c>
      <c r="B120" s="1464" t="s">
        <v>6672</v>
      </c>
      <c r="C120" s="1463">
        <v>203547.0</v>
      </c>
      <c r="D120" s="1463">
        <v>203547.0</v>
      </c>
      <c r="E120" s="1461"/>
      <c r="F120" s="1462"/>
      <c r="G120" s="1462"/>
      <c r="H120" s="1462"/>
      <c r="I120" s="1462"/>
      <c r="J120" s="1462"/>
      <c r="K120" s="1462"/>
      <c r="L120" s="1462"/>
      <c r="M120" s="1462"/>
      <c r="N120" s="1462"/>
      <c r="O120" s="1462"/>
      <c r="P120" s="1462"/>
      <c r="Q120" s="1462"/>
      <c r="R120" s="1462"/>
      <c r="S120" s="1462"/>
      <c r="T120" s="1462"/>
      <c r="U120" s="1462"/>
      <c r="V120" s="1462"/>
      <c r="W120" s="1462"/>
      <c r="X120" s="1462"/>
      <c r="Y120" s="1462"/>
      <c r="Z120" s="1462"/>
      <c r="AA120" s="1462"/>
    </row>
    <row r="121">
      <c r="A121" s="1463" t="s">
        <v>6702</v>
      </c>
      <c r="B121" s="1464" t="s">
        <v>6672</v>
      </c>
      <c r="C121" s="1463">
        <v>214833.0</v>
      </c>
      <c r="D121" s="1463">
        <v>214833.0</v>
      </c>
      <c r="E121" s="1461"/>
      <c r="F121" s="1462"/>
      <c r="G121" s="1462"/>
      <c r="H121" s="1462"/>
      <c r="I121" s="1462"/>
      <c r="J121" s="1462"/>
      <c r="K121" s="1462"/>
      <c r="L121" s="1462"/>
      <c r="M121" s="1462"/>
      <c r="N121" s="1462"/>
      <c r="O121" s="1462"/>
      <c r="P121" s="1462"/>
      <c r="Q121" s="1462"/>
      <c r="R121" s="1462"/>
      <c r="S121" s="1462"/>
      <c r="T121" s="1462"/>
      <c r="U121" s="1462"/>
      <c r="V121" s="1462"/>
      <c r="W121" s="1462"/>
      <c r="X121" s="1462"/>
      <c r="Y121" s="1462"/>
      <c r="Z121" s="1462"/>
      <c r="AA121" s="1462"/>
    </row>
    <row r="122">
      <c r="A122" s="1463" t="s">
        <v>6702</v>
      </c>
      <c r="B122" s="1464" t="s">
        <v>6672</v>
      </c>
      <c r="C122" s="1463">
        <v>114615.0</v>
      </c>
      <c r="D122" s="1463">
        <v>114615.0</v>
      </c>
      <c r="E122" s="1461"/>
      <c r="F122" s="1465"/>
      <c r="G122" s="1465"/>
      <c r="H122" s="1465"/>
      <c r="I122" s="1465"/>
      <c r="J122" s="1462"/>
      <c r="K122" s="1462"/>
      <c r="L122" s="1462"/>
      <c r="M122" s="1462"/>
      <c r="N122" s="1462"/>
      <c r="O122" s="1462"/>
      <c r="P122" s="1462"/>
      <c r="Q122" s="1462"/>
      <c r="R122" s="1462"/>
      <c r="S122" s="1462"/>
      <c r="T122" s="1462"/>
      <c r="U122" s="1462"/>
      <c r="V122" s="1462"/>
      <c r="W122" s="1462"/>
      <c r="X122" s="1462"/>
      <c r="Y122" s="1462"/>
      <c r="Z122" s="1462"/>
      <c r="AA122" s="1462"/>
    </row>
    <row r="123">
      <c r="A123" s="1463" t="s">
        <v>6702</v>
      </c>
      <c r="B123" s="1464" t="s">
        <v>6672</v>
      </c>
      <c r="C123" s="1463">
        <v>228701.0</v>
      </c>
      <c r="D123" s="1463">
        <v>228701.0</v>
      </c>
      <c r="E123" s="1461"/>
      <c r="F123" s="1465"/>
      <c r="G123" s="1465"/>
      <c r="H123" s="1465"/>
      <c r="I123" s="1465"/>
      <c r="J123" s="1462"/>
      <c r="K123" s="1462"/>
      <c r="L123" s="1462"/>
      <c r="M123" s="1462"/>
      <c r="N123" s="1462"/>
      <c r="O123" s="1462"/>
      <c r="P123" s="1462"/>
      <c r="Q123" s="1462"/>
      <c r="R123" s="1462"/>
      <c r="S123" s="1462"/>
      <c r="T123" s="1462"/>
      <c r="U123" s="1462"/>
      <c r="V123" s="1462"/>
      <c r="W123" s="1462"/>
      <c r="X123" s="1462"/>
      <c r="Y123" s="1462"/>
      <c r="Z123" s="1462"/>
      <c r="AA123" s="1462"/>
    </row>
    <row r="124">
      <c r="A124" s="1463" t="s">
        <v>6702</v>
      </c>
      <c r="B124" s="1464" t="s">
        <v>6672</v>
      </c>
      <c r="C124" s="1463">
        <v>138309.0</v>
      </c>
      <c r="D124" s="1463">
        <v>138309.0</v>
      </c>
      <c r="E124" s="1461"/>
      <c r="F124" s="1465"/>
      <c r="G124" s="1465"/>
      <c r="H124" s="1465"/>
      <c r="I124" s="1465"/>
      <c r="J124" s="1462"/>
      <c r="K124" s="1462"/>
      <c r="L124" s="1462"/>
      <c r="M124" s="1462"/>
      <c r="N124" s="1462"/>
      <c r="O124" s="1462"/>
      <c r="P124" s="1462"/>
      <c r="Q124" s="1462"/>
      <c r="R124" s="1462"/>
      <c r="S124" s="1462"/>
      <c r="T124" s="1462"/>
      <c r="U124" s="1462"/>
      <c r="V124" s="1462"/>
      <c r="W124" s="1462"/>
      <c r="X124" s="1462"/>
      <c r="Y124" s="1462"/>
      <c r="Z124" s="1462"/>
      <c r="AA124" s="1462"/>
    </row>
    <row r="125">
      <c r="A125" s="1463" t="s">
        <v>6702</v>
      </c>
      <c r="B125" s="1464" t="s">
        <v>6672</v>
      </c>
      <c r="C125" s="1463" t="s">
        <v>6753</v>
      </c>
      <c r="D125" s="1463" t="s">
        <v>6753</v>
      </c>
      <c r="E125" s="1461"/>
      <c r="F125" s="1465"/>
      <c r="G125" s="1465"/>
      <c r="H125" s="1465"/>
      <c r="I125" s="1465"/>
      <c r="J125" s="1462"/>
      <c r="K125" s="1462"/>
      <c r="L125" s="1462"/>
      <c r="M125" s="1462"/>
      <c r="N125" s="1462"/>
      <c r="O125" s="1462"/>
      <c r="P125" s="1462"/>
      <c r="Q125" s="1462"/>
      <c r="R125" s="1462"/>
      <c r="S125" s="1462"/>
      <c r="T125" s="1462"/>
      <c r="U125" s="1462"/>
      <c r="V125" s="1462"/>
      <c r="W125" s="1462"/>
      <c r="X125" s="1462"/>
      <c r="Y125" s="1462"/>
      <c r="Z125" s="1462"/>
      <c r="AA125" s="1462"/>
    </row>
    <row r="126">
      <c r="A126" s="1463" t="s">
        <v>6702</v>
      </c>
      <c r="B126" s="1464" t="s">
        <v>6672</v>
      </c>
      <c r="C126" s="1463">
        <v>286189.0</v>
      </c>
      <c r="D126" s="1463">
        <v>286189.0</v>
      </c>
      <c r="E126" s="1461"/>
      <c r="F126" s="1465"/>
      <c r="G126" s="1465"/>
      <c r="H126" s="1465"/>
      <c r="I126" s="1465"/>
      <c r="J126" s="1462"/>
      <c r="K126" s="1462"/>
      <c r="L126" s="1462"/>
      <c r="M126" s="1462"/>
      <c r="N126" s="1462"/>
      <c r="O126" s="1462"/>
      <c r="P126" s="1462"/>
      <c r="Q126" s="1462"/>
      <c r="R126" s="1462"/>
      <c r="S126" s="1462"/>
      <c r="T126" s="1462"/>
      <c r="U126" s="1462"/>
      <c r="V126" s="1462"/>
      <c r="W126" s="1462"/>
      <c r="X126" s="1462"/>
      <c r="Y126" s="1462"/>
      <c r="Z126" s="1462"/>
      <c r="AA126" s="1462"/>
    </row>
    <row r="127">
      <c r="A127" s="1463" t="s">
        <v>6702</v>
      </c>
      <c r="B127" s="1464" t="s">
        <v>6672</v>
      </c>
      <c r="C127" s="1463">
        <v>274292.0</v>
      </c>
      <c r="D127" s="1463">
        <v>274292.0</v>
      </c>
      <c r="E127" s="1461"/>
      <c r="F127" s="1462"/>
      <c r="G127" s="1462"/>
      <c r="H127" s="1462"/>
      <c r="I127" s="1462"/>
      <c r="J127" s="1462"/>
      <c r="K127" s="1462"/>
      <c r="L127" s="1462"/>
      <c r="M127" s="1462"/>
      <c r="N127" s="1462"/>
      <c r="O127" s="1462"/>
      <c r="P127" s="1462"/>
      <c r="Q127" s="1462"/>
      <c r="R127" s="1462"/>
      <c r="S127" s="1462"/>
      <c r="T127" s="1462"/>
      <c r="U127" s="1462"/>
      <c r="V127" s="1462"/>
      <c r="W127" s="1462"/>
      <c r="X127" s="1462"/>
      <c r="Y127" s="1462"/>
      <c r="Z127" s="1462"/>
      <c r="AA127" s="1462"/>
    </row>
    <row r="128">
      <c r="A128" s="1463" t="s">
        <v>6702</v>
      </c>
      <c r="B128" s="1464" t="s">
        <v>6672</v>
      </c>
      <c r="C128" s="1463">
        <v>268315.0</v>
      </c>
      <c r="D128" s="1463">
        <v>268315.0</v>
      </c>
      <c r="E128" s="1461"/>
      <c r="F128" s="1465"/>
      <c r="G128" s="1465"/>
      <c r="I128" s="1465"/>
      <c r="J128" s="1462"/>
      <c r="K128" s="1462"/>
      <c r="L128" s="1462"/>
      <c r="M128" s="1462"/>
      <c r="N128" s="1462"/>
      <c r="O128" s="1462"/>
      <c r="P128" s="1462"/>
      <c r="Q128" s="1462"/>
      <c r="R128" s="1462"/>
      <c r="S128" s="1462"/>
      <c r="T128" s="1462"/>
      <c r="U128" s="1462"/>
      <c r="V128" s="1462"/>
      <c r="W128" s="1462"/>
      <c r="X128" s="1462"/>
      <c r="Y128" s="1462"/>
      <c r="Z128" s="1462"/>
      <c r="AA128" s="1462"/>
    </row>
    <row r="129">
      <c r="A129" s="1463" t="s">
        <v>6702</v>
      </c>
      <c r="B129" s="1464" t="s">
        <v>6672</v>
      </c>
      <c r="C129" s="1463">
        <v>216413.0</v>
      </c>
      <c r="D129" s="1463">
        <v>216413.0</v>
      </c>
      <c r="E129" s="1461"/>
      <c r="F129" s="1465"/>
      <c r="G129" s="1465"/>
      <c r="I129" s="1465"/>
      <c r="J129" s="1462"/>
      <c r="K129" s="1462"/>
      <c r="L129" s="1462"/>
      <c r="M129" s="1462"/>
      <c r="N129" s="1462"/>
      <c r="O129" s="1462"/>
      <c r="P129" s="1462"/>
      <c r="Q129" s="1462"/>
      <c r="R129" s="1462"/>
      <c r="S129" s="1462"/>
      <c r="T129" s="1462"/>
      <c r="U129" s="1462"/>
      <c r="V129" s="1462"/>
      <c r="W129" s="1462"/>
      <c r="X129" s="1462"/>
      <c r="Y129" s="1462"/>
      <c r="Z129" s="1462"/>
      <c r="AA129" s="1462"/>
    </row>
    <row r="130">
      <c r="A130" s="1463" t="s">
        <v>6702</v>
      </c>
      <c r="B130" s="1464" t="s">
        <v>6672</v>
      </c>
      <c r="C130" s="1463">
        <v>201397.0</v>
      </c>
      <c r="D130" s="1463">
        <v>201397.0</v>
      </c>
      <c r="E130" s="1461"/>
      <c r="F130" s="1465"/>
      <c r="G130" s="1465"/>
      <c r="I130" s="1465"/>
      <c r="J130" s="1462"/>
      <c r="K130" s="1462"/>
      <c r="L130" s="1462"/>
      <c r="M130" s="1462"/>
      <c r="N130" s="1462"/>
      <c r="O130" s="1462"/>
      <c r="P130" s="1462"/>
      <c r="Q130" s="1462"/>
      <c r="R130" s="1462"/>
      <c r="S130" s="1462"/>
      <c r="T130" s="1462"/>
      <c r="U130" s="1462"/>
      <c r="V130" s="1462"/>
      <c r="W130" s="1462"/>
      <c r="X130" s="1462"/>
      <c r="Y130" s="1462"/>
      <c r="Z130" s="1462"/>
      <c r="AA130" s="1462"/>
    </row>
    <row r="131">
      <c r="A131" s="1463" t="s">
        <v>6702</v>
      </c>
      <c r="B131" s="1464" t="s">
        <v>6672</v>
      </c>
      <c r="C131" s="1463">
        <v>126362.0</v>
      </c>
      <c r="D131" s="1463">
        <v>126362.0</v>
      </c>
      <c r="E131" s="1461"/>
      <c r="F131" s="1465"/>
      <c r="G131" s="1465"/>
      <c r="I131" s="1465"/>
      <c r="J131" s="1462"/>
      <c r="K131" s="1462"/>
      <c r="L131" s="1462"/>
      <c r="M131" s="1462"/>
      <c r="N131" s="1462"/>
      <c r="O131" s="1462"/>
      <c r="P131" s="1462"/>
      <c r="Q131" s="1462"/>
      <c r="R131" s="1462"/>
      <c r="S131" s="1462"/>
      <c r="T131" s="1462"/>
      <c r="U131" s="1462"/>
      <c r="V131" s="1462"/>
      <c r="W131" s="1462"/>
      <c r="X131" s="1462"/>
      <c r="Y131" s="1462"/>
      <c r="Z131" s="1462"/>
      <c r="AA131" s="1462"/>
    </row>
    <row r="132">
      <c r="A132" s="1463" t="s">
        <v>6702</v>
      </c>
      <c r="B132" s="1464" t="s">
        <v>6672</v>
      </c>
      <c r="C132" s="1463">
        <v>215897.0</v>
      </c>
      <c r="D132" s="1463">
        <v>215897.0</v>
      </c>
      <c r="E132" s="1461"/>
      <c r="F132" s="1462"/>
      <c r="G132" s="1462"/>
      <c r="I132" s="1462"/>
      <c r="J132" s="1462"/>
      <c r="K132" s="1462"/>
      <c r="L132" s="1462"/>
      <c r="M132" s="1462"/>
      <c r="N132" s="1462"/>
      <c r="O132" s="1462"/>
      <c r="P132" s="1462"/>
      <c r="Q132" s="1462"/>
      <c r="R132" s="1462"/>
      <c r="S132" s="1462"/>
      <c r="T132" s="1462"/>
      <c r="U132" s="1462"/>
      <c r="V132" s="1462"/>
      <c r="W132" s="1462"/>
      <c r="X132" s="1462"/>
      <c r="Y132" s="1462"/>
      <c r="Z132" s="1462"/>
      <c r="AA132" s="1462"/>
    </row>
    <row r="133">
      <c r="A133" s="1463" t="s">
        <v>6702</v>
      </c>
      <c r="B133" s="1464" t="s">
        <v>6672</v>
      </c>
      <c r="C133" s="1463">
        <v>296949.0</v>
      </c>
      <c r="D133" s="1463">
        <v>296949.0</v>
      </c>
      <c r="E133" s="1461"/>
      <c r="F133" s="1465"/>
      <c r="G133" s="1465"/>
      <c r="I133" s="1462"/>
      <c r="J133" s="1462"/>
      <c r="K133" s="1462"/>
      <c r="L133" s="1462"/>
      <c r="M133" s="1462"/>
      <c r="N133" s="1462"/>
      <c r="O133" s="1462"/>
      <c r="P133" s="1462"/>
      <c r="Q133" s="1462"/>
      <c r="R133" s="1462"/>
      <c r="S133" s="1462"/>
      <c r="T133" s="1462"/>
      <c r="U133" s="1462"/>
      <c r="V133" s="1462"/>
      <c r="W133" s="1462"/>
      <c r="X133" s="1462"/>
      <c r="Y133" s="1462"/>
      <c r="Z133" s="1462"/>
      <c r="AA133" s="1462"/>
    </row>
    <row r="134">
      <c r="A134" s="1463" t="s">
        <v>6702</v>
      </c>
      <c r="B134" s="1464" t="s">
        <v>6672</v>
      </c>
      <c r="C134" s="1463">
        <v>201295.0</v>
      </c>
      <c r="D134" s="1463">
        <v>201295.0</v>
      </c>
      <c r="E134" s="1461"/>
      <c r="F134" s="1462"/>
      <c r="G134" s="1462"/>
      <c r="H134" s="1462"/>
      <c r="I134" s="1462"/>
      <c r="J134" s="1462"/>
      <c r="K134" s="1462"/>
      <c r="L134" s="1462"/>
      <c r="M134" s="1462"/>
      <c r="N134" s="1462"/>
      <c r="O134" s="1462"/>
      <c r="P134" s="1462"/>
      <c r="Q134" s="1462"/>
      <c r="R134" s="1462"/>
      <c r="S134" s="1462"/>
      <c r="T134" s="1462"/>
      <c r="U134" s="1462"/>
      <c r="V134" s="1462"/>
      <c r="W134" s="1462"/>
      <c r="X134" s="1462"/>
      <c r="Y134" s="1462"/>
      <c r="Z134" s="1462"/>
      <c r="AA134" s="1462"/>
    </row>
    <row r="135">
      <c r="A135" s="1463" t="s">
        <v>6702</v>
      </c>
      <c r="B135" s="1464" t="s">
        <v>6672</v>
      </c>
      <c r="C135" s="1463" t="s">
        <v>6756</v>
      </c>
      <c r="D135" s="1463" t="s">
        <v>6756</v>
      </c>
      <c r="E135" s="1461"/>
      <c r="F135" s="1465"/>
      <c r="G135" s="1465"/>
      <c r="H135" s="1465"/>
      <c r="I135" s="1465"/>
      <c r="J135" s="1462"/>
      <c r="K135" s="1462"/>
      <c r="L135" s="1462"/>
      <c r="M135" s="1462"/>
      <c r="N135" s="1462"/>
      <c r="O135" s="1462"/>
      <c r="P135" s="1462"/>
      <c r="Q135" s="1462"/>
      <c r="R135" s="1462"/>
      <c r="S135" s="1462"/>
      <c r="T135" s="1462"/>
      <c r="U135" s="1462"/>
      <c r="V135" s="1462"/>
      <c r="W135" s="1462"/>
      <c r="X135" s="1462"/>
      <c r="Y135" s="1462"/>
      <c r="Z135" s="1462"/>
      <c r="AA135" s="1462"/>
    </row>
    <row r="136">
      <c r="A136" s="1463" t="s">
        <v>6702</v>
      </c>
      <c r="B136" s="1464" t="s">
        <v>6672</v>
      </c>
      <c r="C136" s="1463">
        <v>211350.0</v>
      </c>
      <c r="D136" s="1463">
        <v>211350.0</v>
      </c>
      <c r="E136" s="1461" t="s">
        <v>6757</v>
      </c>
      <c r="F136" s="1465"/>
      <c r="G136" s="1465"/>
      <c r="H136" s="1465"/>
      <c r="I136" s="1465"/>
      <c r="J136" s="1462"/>
      <c r="K136" s="1462"/>
      <c r="L136" s="1462"/>
      <c r="M136" s="1462"/>
      <c r="N136" s="1462"/>
      <c r="O136" s="1462"/>
      <c r="P136" s="1462"/>
      <c r="Q136" s="1462"/>
      <c r="R136" s="1462"/>
      <c r="S136" s="1462"/>
      <c r="T136" s="1462"/>
      <c r="U136" s="1462"/>
      <c r="V136" s="1462"/>
      <c r="W136" s="1462"/>
      <c r="X136" s="1462"/>
      <c r="Y136" s="1462"/>
      <c r="Z136" s="1462"/>
      <c r="AA136" s="1462"/>
    </row>
    <row r="137">
      <c r="A137" s="1463" t="s">
        <v>6702</v>
      </c>
      <c r="B137" s="1464" t="s">
        <v>6672</v>
      </c>
      <c r="C137" s="1463">
        <v>208803.0</v>
      </c>
      <c r="D137" s="1463">
        <v>208803.0</v>
      </c>
      <c r="E137" s="1461"/>
      <c r="F137" s="1465"/>
      <c r="G137" s="1465"/>
      <c r="H137" s="1465"/>
      <c r="I137" s="1465"/>
      <c r="J137" s="1462"/>
      <c r="K137" s="1462"/>
      <c r="L137" s="1462"/>
      <c r="M137" s="1462"/>
      <c r="N137" s="1462"/>
      <c r="O137" s="1462"/>
      <c r="P137" s="1462"/>
      <c r="Q137" s="1462"/>
      <c r="R137" s="1462"/>
      <c r="S137" s="1462"/>
      <c r="T137" s="1462"/>
      <c r="U137" s="1462"/>
      <c r="V137" s="1462"/>
      <c r="W137" s="1462"/>
      <c r="X137" s="1462"/>
      <c r="Y137" s="1462"/>
      <c r="Z137" s="1462"/>
      <c r="AA137" s="1462"/>
    </row>
    <row r="138">
      <c r="A138" s="1463" t="s">
        <v>6702</v>
      </c>
      <c r="B138" s="1464" t="s">
        <v>6672</v>
      </c>
      <c r="C138" s="1463">
        <v>159192.0</v>
      </c>
      <c r="D138" s="1463">
        <v>159192.0</v>
      </c>
      <c r="E138" s="1461"/>
      <c r="F138" s="1465"/>
      <c r="G138" s="1465"/>
      <c r="H138" s="1465"/>
      <c r="I138" s="1465"/>
      <c r="J138" s="1462"/>
      <c r="K138" s="1462"/>
      <c r="L138" s="1462"/>
      <c r="M138" s="1462"/>
      <c r="N138" s="1462"/>
      <c r="O138" s="1462"/>
      <c r="P138" s="1462"/>
      <c r="Q138" s="1462"/>
      <c r="R138" s="1462"/>
      <c r="S138" s="1462"/>
      <c r="T138" s="1462"/>
      <c r="U138" s="1462"/>
      <c r="V138" s="1462"/>
      <c r="W138" s="1462"/>
      <c r="X138" s="1462"/>
      <c r="Y138" s="1462"/>
      <c r="Z138" s="1462"/>
      <c r="AA138" s="1462"/>
    </row>
    <row r="139">
      <c r="A139" s="1463" t="s">
        <v>6702</v>
      </c>
      <c r="B139" s="1464" t="s">
        <v>6672</v>
      </c>
      <c r="C139" s="1463">
        <v>148341.0</v>
      </c>
      <c r="D139" s="1463">
        <v>148341.0</v>
      </c>
      <c r="E139" s="1461"/>
      <c r="F139" s="1465"/>
      <c r="G139" s="1465"/>
      <c r="H139" s="1465"/>
      <c r="I139" s="1465"/>
      <c r="J139" s="1462"/>
      <c r="K139" s="1462"/>
      <c r="L139" s="1462"/>
      <c r="M139" s="1462"/>
      <c r="N139" s="1462"/>
      <c r="O139" s="1462"/>
      <c r="P139" s="1462"/>
      <c r="Q139" s="1462"/>
      <c r="R139" s="1462"/>
      <c r="S139" s="1462"/>
      <c r="T139" s="1462"/>
      <c r="U139" s="1462"/>
      <c r="V139" s="1462"/>
      <c r="W139" s="1462"/>
      <c r="X139" s="1462"/>
      <c r="Y139" s="1462"/>
      <c r="Z139" s="1462"/>
      <c r="AA139" s="1462"/>
    </row>
    <row r="140">
      <c r="A140" s="1463" t="s">
        <v>6702</v>
      </c>
      <c r="B140" s="1464" t="s">
        <v>6672</v>
      </c>
      <c r="C140" s="1463">
        <v>10521.0</v>
      </c>
      <c r="D140" s="1463">
        <v>10521.0</v>
      </c>
      <c r="E140" s="1461"/>
      <c r="F140" s="1485"/>
      <c r="G140" s="1485"/>
      <c r="H140" s="1485"/>
      <c r="I140" s="1485"/>
      <c r="J140" s="1462"/>
      <c r="K140" s="1462"/>
      <c r="L140" s="1462"/>
      <c r="M140" s="1462"/>
      <c r="N140" s="1462"/>
      <c r="O140" s="1462"/>
      <c r="P140" s="1462"/>
      <c r="Q140" s="1462"/>
      <c r="R140" s="1462"/>
      <c r="S140" s="1462"/>
      <c r="T140" s="1462"/>
      <c r="U140" s="1462"/>
      <c r="V140" s="1462"/>
      <c r="W140" s="1462"/>
      <c r="X140" s="1462"/>
      <c r="Y140" s="1462"/>
      <c r="Z140" s="1462"/>
      <c r="AA140" s="1462"/>
    </row>
    <row r="141">
      <c r="A141" s="1463" t="s">
        <v>6702</v>
      </c>
      <c r="B141" s="1464" t="s">
        <v>6672</v>
      </c>
      <c r="C141" s="1463">
        <v>1628676.0</v>
      </c>
      <c r="D141" s="1463">
        <v>1628676.0</v>
      </c>
      <c r="E141" s="1461" t="s">
        <v>6758</v>
      </c>
      <c r="F141" s="1465"/>
      <c r="G141" s="1465"/>
      <c r="H141" s="1465"/>
      <c r="I141" s="1465"/>
      <c r="J141" s="1462"/>
      <c r="K141" s="1462"/>
      <c r="L141" s="1462"/>
      <c r="M141" s="1462"/>
      <c r="N141" s="1462"/>
      <c r="O141" s="1462"/>
      <c r="P141" s="1462"/>
      <c r="Q141" s="1462"/>
      <c r="R141" s="1462"/>
      <c r="S141" s="1462"/>
      <c r="T141" s="1462"/>
      <c r="U141" s="1462"/>
      <c r="V141" s="1462"/>
      <c r="W141" s="1462"/>
      <c r="X141" s="1462"/>
      <c r="Y141" s="1462"/>
      <c r="Z141" s="1462"/>
      <c r="AA141" s="1462"/>
    </row>
    <row r="142">
      <c r="A142" s="1463" t="s">
        <v>6759</v>
      </c>
      <c r="B142" s="1464" t="s">
        <v>6670</v>
      </c>
      <c r="C142" s="1463">
        <v>101.0</v>
      </c>
      <c r="D142" s="713">
        <v>101.0</v>
      </c>
      <c r="E142" s="1461"/>
      <c r="F142" s="1465"/>
      <c r="G142" s="1465"/>
      <c r="H142" s="1465"/>
      <c r="I142" s="1465"/>
      <c r="J142" s="1462"/>
      <c r="K142" s="1462"/>
      <c r="L142" s="1462"/>
      <c r="M142" s="1462"/>
      <c r="N142" s="1462"/>
      <c r="O142" s="1462"/>
      <c r="P142" s="1462"/>
      <c r="Q142" s="1462"/>
      <c r="R142" s="1462"/>
      <c r="S142" s="1462"/>
      <c r="T142" s="1462"/>
      <c r="U142" s="1462"/>
      <c r="V142" s="1462"/>
      <c r="W142" s="1462"/>
      <c r="X142" s="1462"/>
      <c r="Y142" s="1462"/>
      <c r="Z142" s="1462"/>
      <c r="AA142" s="1462"/>
    </row>
    <row r="143">
      <c r="A143" s="1463" t="s">
        <v>6759</v>
      </c>
      <c r="B143" s="1464" t="s">
        <v>6672</v>
      </c>
      <c r="C143" s="1463">
        <v>101.0</v>
      </c>
      <c r="D143" s="1463">
        <v>101.0</v>
      </c>
      <c r="E143" s="1479"/>
      <c r="F143" s="1465"/>
      <c r="G143" s="1465"/>
      <c r="H143" s="1465"/>
      <c r="I143" s="1465"/>
      <c r="J143" s="1462"/>
      <c r="K143" s="1462"/>
      <c r="L143" s="1462"/>
      <c r="M143" s="1462"/>
      <c r="N143" s="1462"/>
      <c r="O143" s="1462"/>
      <c r="P143" s="1462"/>
      <c r="Q143" s="1462"/>
      <c r="R143" s="1462"/>
      <c r="S143" s="1462"/>
      <c r="T143" s="1462"/>
      <c r="U143" s="1462"/>
      <c r="V143" s="1462"/>
      <c r="W143" s="1462"/>
      <c r="X143" s="1462"/>
      <c r="Y143" s="1462"/>
      <c r="Z143" s="1462"/>
      <c r="AA143" s="1462"/>
    </row>
    <row r="144">
      <c r="A144" s="1463" t="s">
        <v>6759</v>
      </c>
      <c r="B144" s="1464" t="s">
        <v>6672</v>
      </c>
      <c r="C144" s="1463">
        <v>102.0</v>
      </c>
      <c r="D144" s="713">
        <v>102.0</v>
      </c>
      <c r="E144" s="1461"/>
      <c r="F144" s="1465"/>
      <c r="G144" s="1465"/>
      <c r="H144" s="1465"/>
      <c r="I144" s="1465"/>
      <c r="J144" s="1462"/>
      <c r="K144" s="1462"/>
      <c r="L144" s="1462"/>
      <c r="M144" s="1462"/>
      <c r="N144" s="1462"/>
      <c r="O144" s="1462"/>
      <c r="P144" s="1462"/>
      <c r="Q144" s="1462"/>
      <c r="R144" s="1462"/>
      <c r="S144" s="1462"/>
      <c r="T144" s="1462"/>
      <c r="U144" s="1462"/>
      <c r="V144" s="1462"/>
      <c r="W144" s="1462"/>
      <c r="X144" s="1462"/>
      <c r="Y144" s="1462"/>
      <c r="Z144" s="1462"/>
      <c r="AA144" s="1462"/>
    </row>
    <row r="145">
      <c r="A145" s="1463" t="s">
        <v>6759</v>
      </c>
      <c r="B145" s="1464" t="s">
        <v>6670</v>
      </c>
      <c r="C145" s="1463">
        <v>102.0</v>
      </c>
      <c r="D145" s="1463">
        <v>102.0</v>
      </c>
      <c r="E145" s="1461"/>
      <c r="F145" s="1465"/>
      <c r="G145" s="1465"/>
      <c r="H145" s="1465"/>
      <c r="I145" s="1465"/>
      <c r="J145" s="1462"/>
      <c r="K145" s="1462"/>
      <c r="L145" s="1462"/>
      <c r="M145" s="1462"/>
      <c r="N145" s="1462"/>
      <c r="O145" s="1462"/>
      <c r="P145" s="1462"/>
      <c r="Q145" s="1462"/>
      <c r="R145" s="1462"/>
      <c r="S145" s="1462"/>
      <c r="T145" s="1462"/>
      <c r="U145" s="1462"/>
      <c r="V145" s="1462"/>
      <c r="W145" s="1462"/>
      <c r="X145" s="1462"/>
      <c r="Y145" s="1462"/>
      <c r="Z145" s="1462"/>
      <c r="AA145" s="1462"/>
    </row>
    <row r="146">
      <c r="A146" s="1463" t="s">
        <v>6759</v>
      </c>
      <c r="B146" s="1464" t="s">
        <v>6672</v>
      </c>
      <c r="C146" s="1463">
        <v>103.0</v>
      </c>
      <c r="D146" s="713">
        <v>103.0</v>
      </c>
      <c r="E146" s="1461"/>
      <c r="F146" s="1465"/>
      <c r="G146" s="1465"/>
      <c r="H146" s="1465"/>
      <c r="I146" s="1465"/>
      <c r="J146" s="1462"/>
      <c r="K146" s="1462"/>
      <c r="L146" s="1462"/>
      <c r="M146" s="1462"/>
      <c r="N146" s="1462"/>
      <c r="O146" s="1462"/>
      <c r="P146" s="1462"/>
      <c r="Q146" s="1462"/>
      <c r="R146" s="1462"/>
      <c r="S146" s="1462"/>
      <c r="T146" s="1462"/>
      <c r="U146" s="1462"/>
      <c r="V146" s="1462"/>
      <c r="W146" s="1462"/>
      <c r="X146" s="1462"/>
      <c r="Y146" s="1462"/>
      <c r="Z146" s="1462"/>
      <c r="AA146" s="1462"/>
    </row>
    <row r="147">
      <c r="A147" s="1463" t="s">
        <v>6759</v>
      </c>
      <c r="B147" s="1464" t="s">
        <v>6670</v>
      </c>
      <c r="C147" s="1463">
        <v>103.0</v>
      </c>
      <c r="D147" s="713">
        <v>103.0</v>
      </c>
      <c r="E147" s="1461"/>
      <c r="F147" s="1465"/>
      <c r="G147" s="1465"/>
      <c r="H147" s="1465"/>
      <c r="I147" s="1465"/>
      <c r="J147" s="1462"/>
      <c r="K147" s="1462"/>
      <c r="L147" s="1462"/>
      <c r="M147" s="1462"/>
      <c r="N147" s="1462"/>
      <c r="O147" s="1462"/>
      <c r="P147" s="1462"/>
      <c r="Q147" s="1462"/>
      <c r="R147" s="1462"/>
      <c r="S147" s="1462"/>
      <c r="T147" s="1462"/>
      <c r="U147" s="1462"/>
      <c r="V147" s="1462"/>
      <c r="W147" s="1462"/>
      <c r="X147" s="1462"/>
      <c r="Y147" s="1462"/>
      <c r="Z147" s="1462"/>
      <c r="AA147" s="1462"/>
    </row>
    <row r="148">
      <c r="A148" s="1463" t="s">
        <v>6759</v>
      </c>
      <c r="B148" s="1464" t="s">
        <v>6672</v>
      </c>
      <c r="C148" s="1463">
        <v>104.0</v>
      </c>
      <c r="D148" s="713">
        <v>104.0</v>
      </c>
      <c r="E148" s="1461"/>
      <c r="F148" s="1465"/>
      <c r="G148" s="1465"/>
      <c r="H148" s="1465"/>
      <c r="I148" s="1465"/>
      <c r="J148" s="1462"/>
      <c r="K148" s="1462"/>
      <c r="L148" s="1462"/>
      <c r="M148" s="1462"/>
      <c r="N148" s="1462"/>
      <c r="O148" s="1462"/>
      <c r="P148" s="1462"/>
      <c r="Q148" s="1462"/>
      <c r="R148" s="1462"/>
      <c r="S148" s="1462"/>
      <c r="T148" s="1462"/>
      <c r="U148" s="1462"/>
      <c r="V148" s="1462"/>
      <c r="W148" s="1462"/>
      <c r="X148" s="1462"/>
      <c r="Y148" s="1462"/>
      <c r="Z148" s="1462"/>
      <c r="AA148" s="1462"/>
    </row>
    <row r="149">
      <c r="A149" s="1463" t="s">
        <v>6759</v>
      </c>
      <c r="B149" s="1464" t="s">
        <v>6670</v>
      </c>
      <c r="C149" s="1463">
        <v>104.0</v>
      </c>
      <c r="D149" s="1463">
        <v>104.0</v>
      </c>
      <c r="E149" s="1461"/>
      <c r="F149" s="1465"/>
      <c r="G149" s="1465"/>
      <c r="H149" s="1465"/>
      <c r="I149" s="1465"/>
      <c r="J149" s="1462"/>
      <c r="K149" s="1462"/>
      <c r="L149" s="1462"/>
      <c r="M149" s="1462"/>
      <c r="N149" s="1462"/>
      <c r="O149" s="1462"/>
      <c r="P149" s="1462"/>
      <c r="Q149" s="1462"/>
      <c r="R149" s="1462"/>
      <c r="S149" s="1462"/>
      <c r="T149" s="1462"/>
      <c r="U149" s="1462"/>
      <c r="V149" s="1462"/>
      <c r="W149" s="1462"/>
      <c r="X149" s="1462"/>
      <c r="Y149" s="1462"/>
      <c r="Z149" s="1462"/>
      <c r="AA149" s="1462"/>
    </row>
    <row r="150">
      <c r="A150" s="1463" t="s">
        <v>6759</v>
      </c>
      <c r="B150" s="1464" t="s">
        <v>6670</v>
      </c>
      <c r="C150" s="1463">
        <v>105.0</v>
      </c>
      <c r="D150" s="713">
        <v>105.0</v>
      </c>
      <c r="E150" s="1461"/>
      <c r="F150" s="1465"/>
      <c r="G150" s="1465"/>
      <c r="H150" s="1465"/>
      <c r="I150" s="1465"/>
      <c r="J150" s="1462"/>
      <c r="K150" s="1462"/>
      <c r="L150" s="1462"/>
      <c r="M150" s="1462"/>
      <c r="N150" s="1462"/>
      <c r="O150" s="1462"/>
      <c r="P150" s="1462"/>
      <c r="Q150" s="1462"/>
      <c r="R150" s="1462"/>
      <c r="S150" s="1462"/>
      <c r="T150" s="1462"/>
      <c r="U150" s="1462"/>
      <c r="V150" s="1462"/>
      <c r="W150" s="1462"/>
      <c r="X150" s="1462"/>
      <c r="Y150" s="1462"/>
      <c r="Z150" s="1462"/>
      <c r="AA150" s="1462"/>
    </row>
    <row r="151">
      <c r="A151" s="1463" t="s">
        <v>6759</v>
      </c>
      <c r="B151" s="1464" t="s">
        <v>6672</v>
      </c>
      <c r="C151" s="1463">
        <v>105.0</v>
      </c>
      <c r="D151" s="713">
        <v>105.0</v>
      </c>
      <c r="E151" s="1461"/>
      <c r="F151" s="1465"/>
      <c r="G151" s="1465"/>
      <c r="H151" s="1465"/>
      <c r="I151" s="1465"/>
      <c r="J151" s="1462"/>
      <c r="K151" s="1462"/>
      <c r="L151" s="1462"/>
      <c r="M151" s="1462"/>
      <c r="N151" s="1462"/>
      <c r="O151" s="1462"/>
      <c r="P151" s="1462"/>
      <c r="Q151" s="1462"/>
      <c r="R151" s="1462"/>
      <c r="S151" s="1462"/>
      <c r="T151" s="1462"/>
      <c r="U151" s="1462"/>
      <c r="V151" s="1462"/>
      <c r="W151" s="1462"/>
      <c r="X151" s="1462"/>
      <c r="Y151" s="1462"/>
      <c r="Z151" s="1462"/>
      <c r="AA151" s="1462"/>
    </row>
    <row r="152">
      <c r="A152" s="1463" t="s">
        <v>6759</v>
      </c>
      <c r="B152" s="1464" t="s">
        <v>6670</v>
      </c>
      <c r="C152" s="1463">
        <v>106.0</v>
      </c>
      <c r="D152" s="713">
        <v>106.0</v>
      </c>
      <c r="E152" s="1461"/>
      <c r="F152" s="1465"/>
      <c r="G152" s="1465"/>
      <c r="H152" s="1465"/>
      <c r="I152" s="1465"/>
      <c r="J152" s="1462"/>
      <c r="K152" s="1462"/>
      <c r="L152" s="1462"/>
      <c r="M152" s="1462"/>
      <c r="N152" s="1462"/>
      <c r="O152" s="1462"/>
      <c r="P152" s="1462"/>
      <c r="Q152" s="1462"/>
      <c r="R152" s="1462"/>
      <c r="S152" s="1462"/>
      <c r="T152" s="1462"/>
      <c r="U152" s="1462"/>
      <c r="V152" s="1462"/>
      <c r="W152" s="1462"/>
      <c r="X152" s="1462"/>
      <c r="Y152" s="1462"/>
      <c r="Z152" s="1462"/>
      <c r="AA152" s="1462"/>
    </row>
    <row r="153">
      <c r="A153" s="1463" t="s">
        <v>6759</v>
      </c>
      <c r="B153" s="1464" t="s">
        <v>6670</v>
      </c>
      <c r="C153" s="1463">
        <v>107.0</v>
      </c>
      <c r="D153" s="713">
        <v>107.0</v>
      </c>
      <c r="E153" s="1461"/>
      <c r="F153" s="1465"/>
      <c r="G153" s="1465"/>
      <c r="H153" s="1465"/>
      <c r="I153" s="1465"/>
      <c r="J153" s="1462"/>
      <c r="K153" s="1462"/>
      <c r="L153" s="1462"/>
      <c r="M153" s="1462"/>
      <c r="N153" s="1462"/>
      <c r="O153" s="1462"/>
      <c r="P153" s="1462"/>
      <c r="Q153" s="1462"/>
      <c r="R153" s="1462"/>
      <c r="S153" s="1462"/>
      <c r="T153" s="1462"/>
      <c r="U153" s="1462"/>
      <c r="V153" s="1462"/>
      <c r="W153" s="1462"/>
      <c r="X153" s="1462"/>
      <c r="Y153" s="1462"/>
      <c r="Z153" s="1462"/>
      <c r="AA153" s="1462"/>
    </row>
    <row r="154">
      <c r="A154" s="1463" t="s">
        <v>6759</v>
      </c>
      <c r="B154" s="1464" t="s">
        <v>6670</v>
      </c>
      <c r="C154" s="1463">
        <v>108.0</v>
      </c>
      <c r="D154" s="713">
        <v>108.0</v>
      </c>
      <c r="E154" s="1461"/>
      <c r="F154" s="1465"/>
      <c r="G154" s="1465"/>
      <c r="H154" s="1465"/>
      <c r="I154" s="1465"/>
      <c r="J154" s="1462"/>
      <c r="K154" s="1462"/>
      <c r="L154" s="1462"/>
      <c r="M154" s="1462"/>
      <c r="N154" s="1462"/>
      <c r="O154" s="1462"/>
      <c r="P154" s="1462"/>
      <c r="Q154" s="1462"/>
      <c r="R154" s="1462"/>
      <c r="S154" s="1462"/>
      <c r="T154" s="1462"/>
      <c r="U154" s="1462"/>
      <c r="V154" s="1462"/>
      <c r="W154" s="1462"/>
      <c r="X154" s="1462"/>
      <c r="Y154" s="1462"/>
      <c r="Z154" s="1462"/>
      <c r="AA154" s="1462"/>
    </row>
    <row r="155">
      <c r="A155" s="1463" t="s">
        <v>6759</v>
      </c>
      <c r="B155" s="1464" t="s">
        <v>6670</v>
      </c>
      <c r="C155" s="1463">
        <v>109.0</v>
      </c>
      <c r="D155" s="713">
        <v>109.0</v>
      </c>
      <c r="E155" s="1461"/>
      <c r="F155" s="1465"/>
      <c r="G155" s="1465"/>
      <c r="H155" s="1465"/>
      <c r="I155" s="1465"/>
      <c r="J155" s="1462"/>
      <c r="K155" s="1462"/>
      <c r="L155" s="1462"/>
      <c r="M155" s="1462"/>
      <c r="N155" s="1462"/>
      <c r="O155" s="1462"/>
      <c r="P155" s="1462"/>
      <c r="Q155" s="1462"/>
      <c r="R155" s="1462"/>
      <c r="S155" s="1462"/>
      <c r="T155" s="1462"/>
      <c r="U155" s="1462"/>
      <c r="V155" s="1462"/>
      <c r="W155" s="1462"/>
      <c r="X155" s="1462"/>
      <c r="Y155" s="1462"/>
      <c r="Z155" s="1462"/>
      <c r="AA155" s="1462"/>
    </row>
    <row r="156">
      <c r="A156" s="1463" t="s">
        <v>6759</v>
      </c>
      <c r="B156" s="1464" t="s">
        <v>6670</v>
      </c>
      <c r="C156" s="1463">
        <v>110.0</v>
      </c>
      <c r="D156" s="713">
        <v>110.0</v>
      </c>
      <c r="E156" s="1461"/>
      <c r="F156" s="1465"/>
      <c r="G156" s="1465"/>
      <c r="H156" s="1465"/>
      <c r="I156" s="1465"/>
      <c r="J156" s="1462"/>
      <c r="K156" s="1462"/>
      <c r="L156" s="1462"/>
      <c r="M156" s="1462"/>
      <c r="N156" s="1462"/>
      <c r="O156" s="1462"/>
      <c r="P156" s="1462"/>
      <c r="Q156" s="1462"/>
      <c r="R156" s="1462"/>
      <c r="S156" s="1462"/>
      <c r="T156" s="1462"/>
      <c r="U156" s="1462"/>
      <c r="V156" s="1462"/>
      <c r="W156" s="1462"/>
      <c r="X156" s="1462"/>
      <c r="Y156" s="1462"/>
      <c r="Z156" s="1462"/>
      <c r="AA156" s="1462"/>
    </row>
    <row r="157">
      <c r="A157" s="1463" t="s">
        <v>6759</v>
      </c>
      <c r="B157" s="1464" t="s">
        <v>6670</v>
      </c>
      <c r="C157" s="1463">
        <v>112.0</v>
      </c>
      <c r="D157" s="713">
        <v>112.0</v>
      </c>
      <c r="E157" s="1461"/>
      <c r="F157" s="1465"/>
      <c r="G157" s="1465"/>
      <c r="H157" s="1465"/>
      <c r="I157" s="1465"/>
      <c r="J157" s="1462"/>
      <c r="K157" s="1462"/>
      <c r="L157" s="1462"/>
      <c r="M157" s="1462"/>
      <c r="N157" s="1462"/>
      <c r="O157" s="1462"/>
      <c r="P157" s="1462"/>
      <c r="Q157" s="1462"/>
      <c r="R157" s="1462"/>
      <c r="S157" s="1462"/>
      <c r="T157" s="1462"/>
      <c r="U157" s="1462"/>
      <c r="V157" s="1462"/>
      <c r="W157" s="1462"/>
      <c r="X157" s="1462"/>
      <c r="Y157" s="1462"/>
      <c r="Z157" s="1462"/>
      <c r="AA157" s="1462"/>
    </row>
    <row r="158">
      <c r="A158" s="1463" t="s">
        <v>6759</v>
      </c>
      <c r="B158" s="1464" t="s">
        <v>6670</v>
      </c>
      <c r="C158" s="1463">
        <v>113.0</v>
      </c>
      <c r="D158" s="1463">
        <v>113.0</v>
      </c>
      <c r="E158" s="1461"/>
      <c r="F158" s="1465"/>
      <c r="G158" s="1465"/>
      <c r="H158" s="1465"/>
      <c r="I158" s="1465"/>
      <c r="J158" s="1462"/>
      <c r="K158" s="1462"/>
      <c r="L158" s="1462"/>
      <c r="M158" s="1462"/>
      <c r="N158" s="1462"/>
      <c r="O158" s="1462"/>
      <c r="P158" s="1462"/>
      <c r="Q158" s="1462"/>
      <c r="R158" s="1462"/>
      <c r="S158" s="1462"/>
      <c r="T158" s="1462"/>
      <c r="U158" s="1462"/>
      <c r="V158" s="1462"/>
      <c r="W158" s="1462"/>
      <c r="X158" s="1462"/>
      <c r="Y158" s="1462"/>
      <c r="Z158" s="1462"/>
      <c r="AA158" s="1462"/>
    </row>
    <row r="159">
      <c r="A159" s="1466" t="s">
        <v>6759</v>
      </c>
      <c r="B159" s="1467" t="s">
        <v>6670</v>
      </c>
      <c r="C159" s="1468">
        <v>115.0</v>
      </c>
      <c r="D159" s="713">
        <v>115.0</v>
      </c>
      <c r="E159" s="1461"/>
      <c r="F159" s="1462"/>
      <c r="G159" s="1462"/>
      <c r="H159" s="1462"/>
      <c r="I159" s="1462"/>
      <c r="J159" s="1462"/>
      <c r="L159" s="1462"/>
      <c r="M159" s="1462"/>
      <c r="N159" s="1462"/>
      <c r="O159" s="1462"/>
      <c r="P159" s="1462"/>
      <c r="Q159" s="1462"/>
      <c r="R159" s="1462"/>
      <c r="S159" s="1462"/>
      <c r="T159" s="1462"/>
      <c r="U159" s="1462"/>
      <c r="V159" s="1462"/>
      <c r="W159" s="1462"/>
      <c r="X159" s="1462"/>
      <c r="Y159" s="1462"/>
      <c r="Z159" s="1462"/>
      <c r="AA159" s="1462"/>
    </row>
    <row r="160">
      <c r="A160" s="1466" t="s">
        <v>6759</v>
      </c>
      <c r="B160" s="1467" t="s">
        <v>6670</v>
      </c>
      <c r="C160" s="1468">
        <v>116.0</v>
      </c>
      <c r="D160" s="713">
        <v>116.0</v>
      </c>
      <c r="E160" s="1461"/>
      <c r="F160" s="1462"/>
      <c r="G160" s="1462"/>
      <c r="H160" s="1462"/>
      <c r="I160" s="1462"/>
      <c r="J160" s="1462"/>
      <c r="L160" s="1462"/>
      <c r="M160" s="1462"/>
      <c r="N160" s="1462"/>
      <c r="O160" s="1462"/>
      <c r="P160" s="1462"/>
      <c r="Q160" s="1462"/>
      <c r="R160" s="1462"/>
      <c r="S160" s="1462"/>
      <c r="T160" s="1462"/>
      <c r="U160" s="1462"/>
      <c r="V160" s="1462"/>
      <c r="W160" s="1462"/>
      <c r="X160" s="1462"/>
      <c r="Y160" s="1462"/>
      <c r="Z160" s="1462"/>
      <c r="AA160" s="1462"/>
    </row>
    <row r="161">
      <c r="A161" s="1466" t="s">
        <v>6759</v>
      </c>
      <c r="B161" s="1467" t="s">
        <v>6670</v>
      </c>
      <c r="C161" s="1486">
        <v>117.0</v>
      </c>
      <c r="D161" s="713">
        <v>117.0</v>
      </c>
      <c r="E161" s="1461"/>
      <c r="F161" s="1462"/>
      <c r="G161" s="1462"/>
      <c r="H161" s="1462"/>
      <c r="I161" s="1462"/>
      <c r="J161" s="1462"/>
      <c r="L161" s="1462"/>
      <c r="M161" s="1462"/>
      <c r="N161" s="1462"/>
      <c r="O161" s="1462"/>
      <c r="P161" s="1462"/>
      <c r="Q161" s="1462"/>
      <c r="R161" s="1462"/>
      <c r="S161" s="1462"/>
      <c r="T161" s="1462"/>
      <c r="U161" s="1462"/>
      <c r="V161" s="1462"/>
      <c r="W161" s="1462"/>
      <c r="X161" s="1462"/>
      <c r="Y161" s="1462"/>
      <c r="Z161" s="1462"/>
      <c r="AA161" s="1462"/>
    </row>
    <row r="162">
      <c r="A162" s="1466" t="s">
        <v>6759</v>
      </c>
      <c r="B162" s="1467" t="s">
        <v>6670</v>
      </c>
      <c r="C162" s="1486">
        <v>118.0</v>
      </c>
      <c r="D162" s="713">
        <v>118.0</v>
      </c>
      <c r="E162" s="1461"/>
      <c r="F162" s="1462"/>
      <c r="G162" s="1462"/>
      <c r="H162" s="1462"/>
      <c r="I162" s="1462"/>
      <c r="J162" s="1462"/>
      <c r="L162" s="1462"/>
      <c r="M162" s="1462"/>
      <c r="N162" s="1462"/>
      <c r="O162" s="1462"/>
      <c r="P162" s="1462"/>
      <c r="Q162" s="1462"/>
      <c r="R162" s="1462"/>
      <c r="S162" s="1462"/>
      <c r="T162" s="1462"/>
      <c r="U162" s="1462"/>
      <c r="V162" s="1462"/>
      <c r="W162" s="1462"/>
      <c r="X162" s="1462"/>
      <c r="Y162" s="1462"/>
      <c r="Z162" s="1462"/>
      <c r="AA162" s="1462"/>
    </row>
    <row r="163">
      <c r="A163" s="1466" t="s">
        <v>6759</v>
      </c>
      <c r="B163" s="1467" t="s">
        <v>6670</v>
      </c>
      <c r="C163" s="1486">
        <v>118.0</v>
      </c>
      <c r="D163" s="713">
        <v>119.0</v>
      </c>
      <c r="E163" s="1461"/>
      <c r="F163" s="1462"/>
      <c r="G163" s="1462"/>
      <c r="H163" s="1462"/>
      <c r="I163" s="1462"/>
      <c r="J163" s="1462"/>
      <c r="L163" s="1462"/>
      <c r="M163" s="1462"/>
      <c r="N163" s="1462"/>
      <c r="O163" s="1462"/>
      <c r="P163" s="1462"/>
      <c r="Q163" s="1462"/>
      <c r="R163" s="1462"/>
      <c r="S163" s="1462"/>
      <c r="T163" s="1462"/>
      <c r="U163" s="1462"/>
      <c r="V163" s="1462"/>
      <c r="W163" s="1462"/>
      <c r="X163" s="1462"/>
      <c r="Y163" s="1462"/>
      <c r="Z163" s="1462"/>
      <c r="AA163" s="1462"/>
    </row>
    <row r="164">
      <c r="A164" s="1466"/>
      <c r="B164" s="1487"/>
      <c r="C164" s="1486"/>
      <c r="D164" s="713"/>
      <c r="E164" s="1461"/>
      <c r="F164" s="1462"/>
      <c r="G164" s="1462"/>
      <c r="H164" s="1462"/>
      <c r="I164" s="1462"/>
      <c r="J164" s="1462"/>
      <c r="L164" s="1462"/>
      <c r="M164" s="1462"/>
      <c r="N164" s="1462"/>
      <c r="O164" s="1462"/>
      <c r="P164" s="1462"/>
      <c r="Q164" s="1462"/>
      <c r="R164" s="1462"/>
      <c r="S164" s="1462"/>
      <c r="T164" s="1462"/>
      <c r="U164" s="1462"/>
      <c r="V164" s="1462"/>
      <c r="W164" s="1462"/>
      <c r="X164" s="1462"/>
      <c r="Y164" s="1462"/>
      <c r="Z164" s="1462"/>
      <c r="AA164" s="1462"/>
    </row>
    <row r="165">
      <c r="A165" s="1463" t="s">
        <v>6760</v>
      </c>
      <c r="B165" s="1481" t="s">
        <v>6676</v>
      </c>
      <c r="C165" s="1488"/>
      <c r="D165" s="713">
        <v>3.0</v>
      </c>
      <c r="E165" s="1489"/>
      <c r="F165" s="1462"/>
      <c r="G165" s="1462"/>
      <c r="H165" s="1462"/>
      <c r="I165" s="1462"/>
      <c r="J165" s="1462"/>
      <c r="L165" s="1462"/>
      <c r="M165" s="1462"/>
      <c r="N165" s="1462"/>
      <c r="O165" s="1462"/>
      <c r="P165" s="1462"/>
      <c r="Q165" s="1462"/>
      <c r="R165" s="1462"/>
      <c r="S165" s="1462"/>
      <c r="T165" s="1462"/>
      <c r="U165" s="1462"/>
      <c r="V165" s="1462"/>
      <c r="W165" s="1462"/>
      <c r="X165" s="1462"/>
      <c r="Y165" s="1462"/>
      <c r="Z165" s="1462"/>
      <c r="AA165" s="1462"/>
    </row>
    <row r="166">
      <c r="A166" s="1463" t="s">
        <v>6760</v>
      </c>
      <c r="B166" s="1481" t="s">
        <v>6676</v>
      </c>
      <c r="C166" s="1488"/>
      <c r="D166" s="713">
        <v>4.0</v>
      </c>
      <c r="E166" s="1489"/>
      <c r="F166" s="1462"/>
      <c r="G166" s="1462"/>
      <c r="H166" s="1462"/>
      <c r="I166" s="1462"/>
      <c r="J166" s="1462"/>
      <c r="L166" s="1462"/>
      <c r="M166" s="1462"/>
      <c r="N166" s="1462"/>
      <c r="O166" s="1462"/>
      <c r="P166" s="1462"/>
      <c r="Q166" s="1462"/>
      <c r="R166" s="1462"/>
      <c r="S166" s="1462"/>
      <c r="T166" s="1462"/>
      <c r="U166" s="1462"/>
      <c r="V166" s="1462"/>
      <c r="W166" s="1462"/>
      <c r="X166" s="1462"/>
      <c r="Y166" s="1462"/>
      <c r="Z166" s="1462"/>
      <c r="AA166" s="1462"/>
    </row>
    <row r="167">
      <c r="A167" s="1463" t="s">
        <v>6760</v>
      </c>
      <c r="B167" s="1464" t="s">
        <v>6761</v>
      </c>
      <c r="C167" s="1490"/>
      <c r="D167" s="713">
        <v>1.0</v>
      </c>
      <c r="E167" s="1489"/>
      <c r="F167" s="1462"/>
      <c r="G167" s="1462"/>
      <c r="H167" s="1462"/>
      <c r="I167" s="1462"/>
      <c r="J167" s="1462"/>
      <c r="L167" s="1462"/>
      <c r="M167" s="1462"/>
      <c r="N167" s="1462"/>
      <c r="O167" s="1462"/>
      <c r="P167" s="1462"/>
      <c r="Q167" s="1462"/>
      <c r="R167" s="1462"/>
      <c r="S167" s="1462"/>
      <c r="T167" s="1462"/>
      <c r="U167" s="1462"/>
      <c r="V167" s="1462"/>
      <c r="W167" s="1462"/>
      <c r="X167" s="1462"/>
      <c r="Y167" s="1462"/>
      <c r="Z167" s="1462"/>
      <c r="AA167" s="1462"/>
    </row>
    <row r="168">
      <c r="A168" s="1463" t="s">
        <v>6760</v>
      </c>
      <c r="B168" s="1464" t="s">
        <v>6761</v>
      </c>
      <c r="C168" s="1490"/>
      <c r="D168" s="713">
        <v>2.0</v>
      </c>
      <c r="E168" s="1489"/>
      <c r="F168" s="1462"/>
      <c r="G168" s="1462"/>
      <c r="H168" s="1462"/>
      <c r="I168" s="1462"/>
      <c r="J168" s="1462"/>
      <c r="K168" s="1462"/>
      <c r="L168" s="1462"/>
      <c r="M168" s="1462"/>
      <c r="N168" s="1462"/>
      <c r="O168" s="1462"/>
      <c r="P168" s="1462"/>
      <c r="Q168" s="1462"/>
      <c r="R168" s="1462"/>
      <c r="S168" s="1462"/>
      <c r="T168" s="1462"/>
      <c r="U168" s="1462"/>
      <c r="V168" s="1462"/>
      <c r="W168" s="1462"/>
      <c r="X168" s="1462"/>
      <c r="Y168" s="1462"/>
      <c r="Z168" s="1462"/>
      <c r="AA168" s="1462"/>
    </row>
    <row r="169">
      <c r="A169" s="1463" t="s">
        <v>6760</v>
      </c>
      <c r="B169" s="1464" t="s">
        <v>6761</v>
      </c>
      <c r="C169" s="1490"/>
      <c r="D169" s="1463">
        <v>5.0</v>
      </c>
      <c r="E169" s="1489"/>
      <c r="F169" s="1462"/>
      <c r="G169" s="1462"/>
      <c r="H169" s="1462"/>
      <c r="I169" s="1462"/>
      <c r="J169" s="1462"/>
      <c r="K169" s="1462"/>
      <c r="L169" s="1462"/>
      <c r="M169" s="1462"/>
      <c r="N169" s="1462"/>
      <c r="O169" s="1462"/>
      <c r="P169" s="1462"/>
      <c r="Q169" s="1462"/>
      <c r="R169" s="1462"/>
      <c r="S169" s="1462"/>
      <c r="T169" s="1462"/>
      <c r="U169" s="1462"/>
      <c r="V169" s="1462"/>
      <c r="W169" s="1462"/>
      <c r="X169" s="1462"/>
      <c r="Y169" s="1462"/>
      <c r="Z169" s="1462"/>
      <c r="AA169" s="1462"/>
    </row>
    <row r="170">
      <c r="A170" s="1463" t="s">
        <v>6762</v>
      </c>
      <c r="B170" s="1464" t="s">
        <v>6761</v>
      </c>
      <c r="C170" s="1490"/>
      <c r="D170" s="713">
        <v>1.0</v>
      </c>
      <c r="E170" s="1489"/>
      <c r="F170" s="1462"/>
      <c r="G170" s="1462"/>
      <c r="H170" s="1462"/>
      <c r="I170" s="1462"/>
      <c r="J170" s="1462"/>
      <c r="K170" s="1462"/>
      <c r="L170" s="1462"/>
      <c r="M170" s="1462"/>
      <c r="N170" s="1462"/>
      <c r="O170" s="1462"/>
      <c r="P170" s="1462"/>
      <c r="Q170" s="1462"/>
      <c r="R170" s="1462"/>
      <c r="S170" s="1462"/>
      <c r="T170" s="1462"/>
      <c r="U170" s="1462"/>
      <c r="V170" s="1462"/>
      <c r="W170" s="1462"/>
      <c r="X170" s="1462"/>
      <c r="Y170" s="1462"/>
      <c r="Z170" s="1462"/>
      <c r="AA170" s="1462"/>
    </row>
    <row r="171">
      <c r="A171" s="1463" t="s">
        <v>6762</v>
      </c>
      <c r="B171" s="1464" t="s">
        <v>6761</v>
      </c>
      <c r="C171" s="1463" t="s">
        <v>6763</v>
      </c>
      <c r="D171" s="713">
        <v>2.0</v>
      </c>
      <c r="E171" s="1489"/>
      <c r="F171" s="1462"/>
      <c r="G171" s="1462"/>
      <c r="H171" s="1462"/>
      <c r="I171" s="1462"/>
      <c r="J171" s="1462"/>
      <c r="K171" s="1462"/>
      <c r="L171" s="1462"/>
      <c r="M171" s="1462"/>
      <c r="N171" s="1462"/>
      <c r="O171" s="1462"/>
      <c r="P171" s="1462"/>
      <c r="Q171" s="1462"/>
      <c r="R171" s="1462"/>
      <c r="S171" s="1462"/>
      <c r="T171" s="1462"/>
      <c r="U171" s="1462"/>
      <c r="V171" s="1462"/>
      <c r="W171" s="1462"/>
      <c r="X171" s="1462"/>
      <c r="Y171" s="1462"/>
      <c r="Z171" s="1462"/>
      <c r="AA171" s="1462"/>
    </row>
    <row r="172">
      <c r="A172" s="1463" t="s">
        <v>6762</v>
      </c>
      <c r="B172" s="1464" t="s">
        <v>6761</v>
      </c>
      <c r="C172" s="1490"/>
      <c r="D172" s="713">
        <v>3.0</v>
      </c>
      <c r="E172" s="1489"/>
      <c r="F172" s="1462"/>
      <c r="G172" s="1462"/>
      <c r="H172" s="1462"/>
      <c r="I172" s="1462"/>
      <c r="J172" s="1462"/>
      <c r="K172" s="1462"/>
      <c r="L172" s="1462"/>
      <c r="M172" s="1462"/>
      <c r="N172" s="1462"/>
      <c r="O172" s="1462"/>
      <c r="P172" s="1462"/>
      <c r="Q172" s="1462"/>
      <c r="R172" s="1462"/>
      <c r="S172" s="1462"/>
      <c r="T172" s="1462"/>
      <c r="U172" s="1462"/>
      <c r="V172" s="1462"/>
      <c r="W172" s="1462"/>
      <c r="X172" s="1462"/>
      <c r="Y172" s="1462"/>
      <c r="Z172" s="1462"/>
      <c r="AA172" s="1462"/>
    </row>
    <row r="173">
      <c r="A173" s="1463" t="s">
        <v>6762</v>
      </c>
      <c r="B173" s="1464" t="s">
        <v>6761</v>
      </c>
      <c r="C173" s="1490"/>
      <c r="D173" s="713">
        <v>4.0</v>
      </c>
      <c r="E173" s="1489"/>
      <c r="F173" s="1462"/>
      <c r="G173" s="1462"/>
      <c r="H173" s="1462"/>
      <c r="I173" s="1462"/>
      <c r="J173" s="1462"/>
      <c r="K173" s="1462"/>
      <c r="L173" s="1462"/>
      <c r="M173" s="1462"/>
      <c r="N173" s="1462"/>
      <c r="O173" s="1462"/>
      <c r="P173" s="1462"/>
      <c r="Q173" s="1462"/>
      <c r="R173" s="1462"/>
      <c r="S173" s="1462"/>
      <c r="T173" s="1462"/>
      <c r="U173" s="1462"/>
      <c r="V173" s="1462"/>
      <c r="W173" s="1462"/>
      <c r="X173" s="1462"/>
      <c r="Y173" s="1462"/>
      <c r="Z173" s="1462"/>
      <c r="AA173" s="1462"/>
    </row>
    <row r="174">
      <c r="A174" s="1463" t="s">
        <v>6762</v>
      </c>
      <c r="B174" s="1464" t="s">
        <v>6761</v>
      </c>
      <c r="C174" s="1490"/>
      <c r="D174" s="1463"/>
      <c r="E174" s="1489"/>
      <c r="F174" s="1462"/>
      <c r="G174" s="1462"/>
      <c r="H174" s="1462"/>
      <c r="I174" s="1462"/>
      <c r="J174" s="1462"/>
      <c r="K174" s="1462"/>
      <c r="L174" s="1462"/>
      <c r="M174" s="1462"/>
      <c r="N174" s="1462"/>
      <c r="O174" s="1462"/>
      <c r="P174" s="1462"/>
      <c r="Q174" s="1462"/>
      <c r="R174" s="1462"/>
      <c r="S174" s="1462"/>
      <c r="T174" s="1462"/>
      <c r="U174" s="1462"/>
      <c r="V174" s="1462"/>
      <c r="W174" s="1462"/>
      <c r="X174" s="1462"/>
      <c r="Y174" s="1462"/>
      <c r="Z174" s="1462"/>
      <c r="AA174" s="1462"/>
    </row>
    <row r="175">
      <c r="A175" s="1463"/>
      <c r="B175" s="1464"/>
      <c r="C175" s="1490"/>
      <c r="D175" s="1463"/>
      <c r="E175" s="1489"/>
      <c r="F175" s="1462"/>
      <c r="G175" s="1462"/>
      <c r="H175" s="1462"/>
      <c r="I175" s="1462"/>
      <c r="J175" s="1462"/>
      <c r="K175" s="1462"/>
      <c r="L175" s="1462"/>
      <c r="M175" s="1462"/>
      <c r="N175" s="1462"/>
      <c r="O175" s="1462"/>
      <c r="P175" s="1462"/>
      <c r="Q175" s="1462"/>
      <c r="R175" s="1462"/>
      <c r="S175" s="1462"/>
      <c r="T175" s="1462"/>
      <c r="U175" s="1462"/>
      <c r="V175" s="1462"/>
      <c r="W175" s="1462"/>
      <c r="X175" s="1462"/>
      <c r="Y175" s="1462"/>
      <c r="Z175" s="1462"/>
      <c r="AA175" s="1462"/>
    </row>
    <row r="176">
      <c r="A176" s="1463" t="s">
        <v>6764</v>
      </c>
      <c r="B176" s="1491"/>
      <c r="C176" s="1463">
        <v>101.0</v>
      </c>
      <c r="D176" s="713">
        <v>100.0</v>
      </c>
      <c r="E176" s="1489"/>
      <c r="F176" s="1462"/>
      <c r="G176" s="1462"/>
      <c r="H176" s="1462"/>
      <c r="I176" s="1462"/>
      <c r="J176" s="1462"/>
      <c r="K176" s="1462"/>
      <c r="L176" s="1462"/>
      <c r="M176" s="1462"/>
      <c r="N176" s="1462"/>
      <c r="O176" s="1462"/>
      <c r="P176" s="1462"/>
      <c r="Q176" s="1462"/>
      <c r="R176" s="1462"/>
      <c r="S176" s="1462"/>
      <c r="T176" s="1462"/>
      <c r="U176" s="1462"/>
      <c r="V176" s="1462"/>
      <c r="W176" s="1462"/>
      <c r="X176" s="1462"/>
      <c r="Y176" s="1462"/>
      <c r="Z176" s="1462"/>
      <c r="AA176" s="1462"/>
    </row>
    <row r="177">
      <c r="A177" s="1463" t="s">
        <v>6764</v>
      </c>
      <c r="B177" s="1491"/>
      <c r="C177" s="1463">
        <v>101.0</v>
      </c>
      <c r="D177" s="713">
        <v>101.0</v>
      </c>
      <c r="E177" s="1489"/>
      <c r="F177" s="1462"/>
      <c r="G177" s="1462"/>
      <c r="H177" s="1462"/>
      <c r="I177" s="1462"/>
      <c r="J177" s="1462"/>
      <c r="K177" s="1462"/>
      <c r="L177" s="1462"/>
      <c r="M177" s="1462"/>
      <c r="N177" s="1462"/>
      <c r="O177" s="1462"/>
      <c r="P177" s="1462"/>
      <c r="Q177" s="1462"/>
      <c r="R177" s="1462"/>
      <c r="S177" s="1462"/>
      <c r="T177" s="1462"/>
      <c r="U177" s="1462"/>
      <c r="V177" s="1462"/>
      <c r="W177" s="1462"/>
      <c r="X177" s="1462"/>
      <c r="Y177" s="1462"/>
      <c r="Z177" s="1462"/>
      <c r="AA177" s="1462"/>
    </row>
    <row r="178">
      <c r="A178" s="1463" t="s">
        <v>6764</v>
      </c>
      <c r="B178" s="1491"/>
      <c r="C178" s="1463">
        <v>102.0</v>
      </c>
      <c r="D178" s="713">
        <v>102.0</v>
      </c>
      <c r="E178" s="1489"/>
      <c r="F178" s="1462"/>
      <c r="G178" s="1462"/>
      <c r="H178" s="1462"/>
      <c r="I178" s="1462"/>
      <c r="J178" s="1462"/>
      <c r="K178" s="1462"/>
      <c r="L178" s="1462"/>
      <c r="M178" s="1462"/>
      <c r="N178" s="1462"/>
      <c r="O178" s="1462"/>
      <c r="P178" s="1462"/>
      <c r="Q178" s="1462"/>
      <c r="R178" s="1462"/>
      <c r="S178" s="1462"/>
      <c r="T178" s="1462"/>
      <c r="U178" s="1462"/>
      <c r="V178" s="1462"/>
      <c r="W178" s="1462"/>
      <c r="X178" s="1462"/>
      <c r="Y178" s="1462"/>
      <c r="Z178" s="1462"/>
      <c r="AA178" s="1462"/>
    </row>
    <row r="179">
      <c r="A179" s="1463" t="s">
        <v>6764</v>
      </c>
      <c r="B179" s="1491"/>
      <c r="C179" s="1463">
        <v>103.0</v>
      </c>
      <c r="D179" s="713">
        <v>103.0</v>
      </c>
      <c r="E179" s="1489"/>
      <c r="F179" s="1462"/>
      <c r="G179" s="1462"/>
      <c r="H179" s="1462"/>
      <c r="I179" s="1462"/>
      <c r="J179" s="1462"/>
      <c r="K179" s="1462"/>
      <c r="L179" s="1462"/>
      <c r="M179" s="1462"/>
      <c r="N179" s="1462"/>
      <c r="O179" s="1462"/>
      <c r="P179" s="1462"/>
      <c r="Q179" s="1462"/>
      <c r="R179" s="1462"/>
      <c r="S179" s="1462"/>
      <c r="T179" s="1462"/>
      <c r="U179" s="1462"/>
      <c r="V179" s="1462"/>
      <c r="W179" s="1462"/>
      <c r="X179" s="1462"/>
      <c r="Y179" s="1462"/>
      <c r="Z179" s="1462"/>
      <c r="AA179" s="1462"/>
    </row>
    <row r="180">
      <c r="A180" s="1463" t="s">
        <v>6764</v>
      </c>
      <c r="B180" s="1491"/>
      <c r="C180" s="1463">
        <v>104.0</v>
      </c>
      <c r="D180" s="713">
        <v>104.0</v>
      </c>
      <c r="E180" s="1489"/>
      <c r="F180" s="1462"/>
      <c r="G180" s="1462"/>
      <c r="H180" s="1462"/>
      <c r="I180" s="1462"/>
      <c r="J180" s="1462"/>
      <c r="K180" s="1462"/>
      <c r="L180" s="1462"/>
      <c r="M180" s="1462"/>
      <c r="N180" s="1462"/>
      <c r="O180" s="1462"/>
      <c r="P180" s="1462"/>
      <c r="Q180" s="1462"/>
      <c r="R180" s="1462"/>
      <c r="S180" s="1462"/>
      <c r="T180" s="1462"/>
      <c r="U180" s="1462"/>
      <c r="V180" s="1462"/>
      <c r="W180" s="1462"/>
      <c r="X180" s="1462"/>
      <c r="Y180" s="1462"/>
      <c r="Z180" s="1462"/>
      <c r="AA180" s="1462"/>
    </row>
    <row r="181">
      <c r="A181" s="1463" t="s">
        <v>6764</v>
      </c>
      <c r="B181" s="1491"/>
      <c r="C181" s="1463">
        <v>105.0</v>
      </c>
      <c r="D181" s="713">
        <v>105.0</v>
      </c>
      <c r="E181" s="1489"/>
      <c r="F181" s="1462"/>
      <c r="G181" s="1462"/>
      <c r="H181" s="1462"/>
      <c r="I181" s="1462"/>
      <c r="J181" s="1462"/>
      <c r="K181" s="1462"/>
      <c r="L181" s="1462"/>
      <c r="M181" s="1462"/>
      <c r="N181" s="1462"/>
      <c r="O181" s="1462"/>
      <c r="P181" s="1462"/>
      <c r="Q181" s="1462"/>
      <c r="R181" s="1462"/>
      <c r="S181" s="1462"/>
      <c r="T181" s="1462"/>
      <c r="U181" s="1462"/>
      <c r="V181" s="1462"/>
      <c r="W181" s="1462"/>
      <c r="X181" s="1462"/>
      <c r="Y181" s="1462"/>
      <c r="Z181" s="1462"/>
      <c r="AA181" s="1462"/>
    </row>
    <row r="182">
      <c r="A182" s="1463" t="s">
        <v>6764</v>
      </c>
      <c r="B182" s="1491"/>
      <c r="C182" s="1463">
        <v>106.0</v>
      </c>
      <c r="D182" s="713">
        <v>106.0</v>
      </c>
      <c r="E182" s="1489"/>
      <c r="F182" s="1462"/>
      <c r="G182" s="1462"/>
      <c r="H182" s="1462"/>
      <c r="I182" s="1462"/>
      <c r="J182" s="1462"/>
      <c r="K182" s="1462"/>
      <c r="L182" s="1462"/>
      <c r="M182" s="1462"/>
      <c r="N182" s="1462"/>
      <c r="O182" s="1462"/>
      <c r="P182" s="1462"/>
      <c r="Q182" s="1462"/>
      <c r="R182" s="1462"/>
      <c r="S182" s="1462"/>
      <c r="T182" s="1462"/>
      <c r="U182" s="1462"/>
      <c r="V182" s="1462"/>
      <c r="W182" s="1462"/>
      <c r="X182" s="1462"/>
      <c r="Y182" s="1462"/>
      <c r="Z182" s="1462"/>
      <c r="AA182" s="1462"/>
    </row>
    <row r="183">
      <c r="A183" s="1463" t="s">
        <v>6764</v>
      </c>
      <c r="B183" s="1491"/>
      <c r="C183" s="1463">
        <v>107.0</v>
      </c>
      <c r="D183" s="713">
        <v>107.0</v>
      </c>
      <c r="E183" s="1489"/>
      <c r="F183" s="1462"/>
      <c r="G183" s="1462"/>
      <c r="H183" s="1462"/>
      <c r="I183" s="1462"/>
      <c r="J183" s="1462"/>
      <c r="K183" s="1462"/>
      <c r="L183" s="1462"/>
      <c r="M183" s="1462"/>
      <c r="N183" s="1462"/>
      <c r="O183" s="1462"/>
      <c r="P183" s="1462"/>
      <c r="Q183" s="1462"/>
      <c r="R183" s="1462"/>
      <c r="S183" s="1462"/>
      <c r="T183" s="1462"/>
      <c r="U183" s="1462"/>
      <c r="V183" s="1462"/>
      <c r="W183" s="1462"/>
      <c r="X183" s="1462"/>
      <c r="Y183" s="1462"/>
      <c r="Z183" s="1462"/>
      <c r="AA183" s="1462"/>
    </row>
    <row r="184">
      <c r="A184" s="1463" t="s">
        <v>6764</v>
      </c>
      <c r="B184" s="1491"/>
      <c r="C184" s="1463">
        <v>108.0</v>
      </c>
      <c r="D184" s="713">
        <v>108.0</v>
      </c>
      <c r="E184" s="1489"/>
      <c r="F184" s="1465"/>
      <c r="G184" s="1465"/>
      <c r="H184" s="1465"/>
      <c r="I184" s="1465"/>
      <c r="J184" s="1462"/>
      <c r="K184" s="1462"/>
      <c r="L184" s="1462"/>
      <c r="M184" s="1462"/>
      <c r="N184" s="1462"/>
      <c r="O184" s="1462"/>
      <c r="P184" s="1462"/>
      <c r="Q184" s="1462"/>
      <c r="R184" s="1462"/>
      <c r="S184" s="1462"/>
      <c r="T184" s="1462"/>
      <c r="U184" s="1462"/>
      <c r="V184" s="1462"/>
      <c r="W184" s="1462"/>
      <c r="X184" s="1462"/>
      <c r="Y184" s="1462"/>
      <c r="Z184" s="1462"/>
      <c r="AA184" s="1462"/>
    </row>
    <row r="185">
      <c r="A185" s="1463" t="s">
        <v>6764</v>
      </c>
      <c r="B185" s="1464"/>
      <c r="C185" s="1463">
        <v>109.0</v>
      </c>
      <c r="D185" s="713">
        <v>109.0</v>
      </c>
      <c r="E185" s="1489"/>
      <c r="F185" s="1465"/>
      <c r="G185" s="1465"/>
      <c r="H185" s="1465"/>
      <c r="I185" s="1465"/>
      <c r="J185" s="1462"/>
      <c r="K185" s="1462"/>
      <c r="L185" s="1462"/>
      <c r="M185" s="1462"/>
      <c r="N185" s="1462"/>
      <c r="O185" s="1462"/>
      <c r="P185" s="1462"/>
      <c r="Q185" s="1462"/>
      <c r="R185" s="1462"/>
      <c r="S185" s="1462"/>
      <c r="T185" s="1462"/>
      <c r="U185" s="1462"/>
      <c r="V185" s="1462"/>
      <c r="W185" s="1462"/>
      <c r="X185" s="1462"/>
      <c r="Y185" s="1462"/>
      <c r="Z185" s="1462"/>
      <c r="AA185" s="1462"/>
    </row>
    <row r="186">
      <c r="A186" s="1463" t="s">
        <v>6764</v>
      </c>
      <c r="B186" s="1464"/>
      <c r="C186" s="1463">
        <v>110.0</v>
      </c>
      <c r="D186" s="713">
        <v>110.0</v>
      </c>
      <c r="E186" s="1489"/>
      <c r="F186" s="1465"/>
      <c r="G186" s="1465"/>
      <c r="H186" s="1465"/>
      <c r="I186" s="1465"/>
      <c r="J186" s="1462"/>
      <c r="K186" s="1462"/>
      <c r="L186" s="1462"/>
      <c r="M186" s="1462"/>
      <c r="N186" s="1462"/>
      <c r="O186" s="1462"/>
      <c r="P186" s="1462"/>
      <c r="Q186" s="1462"/>
      <c r="R186" s="1462"/>
      <c r="S186" s="1462"/>
      <c r="T186" s="1462"/>
      <c r="U186" s="1462"/>
      <c r="V186" s="1462"/>
      <c r="W186" s="1462"/>
      <c r="X186" s="1462"/>
      <c r="Y186" s="1462"/>
      <c r="Z186" s="1462"/>
      <c r="AA186" s="1462"/>
    </row>
    <row r="187">
      <c r="A187" s="1463" t="s">
        <v>6764</v>
      </c>
      <c r="B187" s="1464"/>
      <c r="C187" s="1463">
        <v>111.0</v>
      </c>
      <c r="D187" s="713">
        <v>111.0</v>
      </c>
      <c r="E187" s="1489"/>
      <c r="F187" s="1465"/>
      <c r="G187" s="1465"/>
      <c r="H187" s="1465"/>
      <c r="I187" s="1465"/>
      <c r="J187" s="1462"/>
      <c r="K187" s="1462"/>
      <c r="L187" s="1462"/>
      <c r="M187" s="1462"/>
      <c r="N187" s="1462"/>
      <c r="O187" s="1462"/>
      <c r="P187" s="1462"/>
      <c r="Q187" s="1462"/>
      <c r="R187" s="1462"/>
      <c r="S187" s="1462"/>
      <c r="T187" s="1462"/>
      <c r="U187" s="1462"/>
      <c r="V187" s="1462"/>
      <c r="W187" s="1462"/>
      <c r="X187" s="1462"/>
      <c r="Y187" s="1462"/>
      <c r="Z187" s="1462"/>
      <c r="AA187" s="1462"/>
    </row>
    <row r="188">
      <c r="A188" s="1463" t="s">
        <v>6764</v>
      </c>
      <c r="B188" s="1464"/>
      <c r="C188" s="1463">
        <v>112.0</v>
      </c>
      <c r="D188" s="713">
        <v>112.0</v>
      </c>
      <c r="E188" s="1489"/>
      <c r="F188" s="1465"/>
      <c r="G188" s="1465"/>
      <c r="H188" s="1465"/>
      <c r="I188" s="1465"/>
      <c r="J188" s="1462"/>
      <c r="K188" s="1462"/>
      <c r="L188" s="1462"/>
      <c r="M188" s="1462"/>
      <c r="N188" s="1462"/>
      <c r="O188" s="1462"/>
      <c r="P188" s="1462"/>
      <c r="Q188" s="1462"/>
      <c r="R188" s="1462"/>
      <c r="S188" s="1462"/>
      <c r="T188" s="1462"/>
      <c r="U188" s="1462"/>
      <c r="V188" s="1462"/>
      <c r="W188" s="1462"/>
      <c r="X188" s="1462"/>
      <c r="Y188" s="1462"/>
      <c r="Z188" s="1462"/>
      <c r="AA188" s="1462"/>
    </row>
    <row r="189">
      <c r="A189" s="1463" t="s">
        <v>6764</v>
      </c>
      <c r="B189" s="1464"/>
      <c r="C189" s="1463">
        <v>113.0</v>
      </c>
      <c r="D189" s="713">
        <v>113.0</v>
      </c>
      <c r="E189" s="1489"/>
      <c r="F189" s="1465"/>
      <c r="G189" s="1465"/>
      <c r="H189" s="1465"/>
      <c r="I189" s="1465"/>
      <c r="J189" s="1462"/>
      <c r="K189" s="1462"/>
      <c r="L189" s="1462"/>
      <c r="M189" s="1462"/>
      <c r="N189" s="1462"/>
      <c r="O189" s="1462"/>
      <c r="P189" s="1462"/>
      <c r="Q189" s="1462"/>
      <c r="R189" s="1462"/>
      <c r="S189" s="1462"/>
      <c r="T189" s="1462"/>
      <c r="U189" s="1462"/>
      <c r="V189" s="1462"/>
      <c r="W189" s="1462"/>
      <c r="X189" s="1462"/>
      <c r="Y189" s="1462"/>
      <c r="Z189" s="1462"/>
      <c r="AA189" s="1462"/>
    </row>
    <row r="190">
      <c r="A190" s="1463" t="s">
        <v>6764</v>
      </c>
      <c r="B190" s="1464"/>
      <c r="C190" s="1463">
        <v>114.0</v>
      </c>
      <c r="D190" s="713">
        <v>114.0</v>
      </c>
      <c r="E190" s="1489"/>
      <c r="F190" s="1465"/>
      <c r="G190" s="1465"/>
      <c r="H190" s="1465"/>
      <c r="I190" s="1465"/>
      <c r="J190" s="1462"/>
      <c r="K190" s="1462"/>
      <c r="L190" s="1462"/>
      <c r="M190" s="1462"/>
      <c r="N190" s="1462"/>
      <c r="O190" s="1462"/>
      <c r="P190" s="1462"/>
      <c r="Q190" s="1462"/>
      <c r="R190" s="1462"/>
      <c r="S190" s="1462"/>
      <c r="T190" s="1462"/>
      <c r="U190" s="1462"/>
      <c r="V190" s="1462"/>
      <c r="W190" s="1462"/>
      <c r="X190" s="1462"/>
      <c r="Y190" s="1462"/>
      <c r="Z190" s="1462"/>
      <c r="AA190" s="1462"/>
    </row>
    <row r="191">
      <c r="A191" s="1463" t="s">
        <v>6764</v>
      </c>
      <c r="B191" s="1464"/>
      <c r="C191" s="1463">
        <v>115.0</v>
      </c>
      <c r="D191" s="713">
        <v>115.0</v>
      </c>
      <c r="E191" s="1489"/>
      <c r="F191" s="1462"/>
      <c r="G191" s="1462"/>
      <c r="H191" s="1462"/>
      <c r="I191" s="1462"/>
      <c r="J191" s="1462"/>
      <c r="K191" s="1462"/>
      <c r="L191" s="1462"/>
      <c r="M191" s="1462"/>
      <c r="N191" s="1462"/>
      <c r="O191" s="1462"/>
      <c r="P191" s="1462"/>
      <c r="Q191" s="1462"/>
      <c r="R191" s="1462"/>
      <c r="S191" s="1462"/>
      <c r="T191" s="1462"/>
      <c r="U191" s="1462"/>
      <c r="V191" s="1462"/>
      <c r="W191" s="1462"/>
      <c r="X191" s="1462"/>
      <c r="Y191" s="1462"/>
      <c r="Z191" s="1462"/>
      <c r="AA191" s="1462"/>
    </row>
    <row r="192">
      <c r="A192" s="1463" t="s">
        <v>6764</v>
      </c>
      <c r="B192" s="1464"/>
      <c r="C192" s="1463">
        <v>116.0</v>
      </c>
      <c r="D192" s="713">
        <v>116.0</v>
      </c>
      <c r="E192" s="1489"/>
      <c r="F192" s="1462"/>
      <c r="G192" s="1462"/>
      <c r="H192" s="1462"/>
      <c r="I192" s="1462"/>
      <c r="J192" s="1462"/>
      <c r="K192" s="1462"/>
      <c r="L192" s="1462"/>
      <c r="M192" s="1462"/>
      <c r="N192" s="1462"/>
      <c r="O192" s="1462"/>
      <c r="P192" s="1462"/>
      <c r="Q192" s="1462"/>
      <c r="R192" s="1462"/>
      <c r="S192" s="1462"/>
      <c r="T192" s="1462"/>
      <c r="U192" s="1462"/>
      <c r="V192" s="1462"/>
      <c r="W192" s="1462"/>
      <c r="X192" s="1462"/>
      <c r="Y192" s="1462"/>
      <c r="Z192" s="1462"/>
      <c r="AA192" s="1462"/>
    </row>
    <row r="193">
      <c r="A193" s="1463" t="s">
        <v>6764</v>
      </c>
      <c r="B193" s="1464"/>
      <c r="C193" s="1463">
        <v>117.0</v>
      </c>
      <c r="D193" s="713">
        <v>117.0</v>
      </c>
      <c r="E193" s="1489"/>
      <c r="F193" s="1462"/>
      <c r="G193" s="1462"/>
      <c r="H193" s="1462"/>
      <c r="I193" s="1462"/>
      <c r="J193" s="1462"/>
      <c r="K193" s="1462"/>
      <c r="L193" s="1462"/>
      <c r="M193" s="1462"/>
      <c r="N193" s="1462"/>
      <c r="O193" s="1462"/>
      <c r="P193" s="1462"/>
      <c r="Q193" s="1462"/>
      <c r="R193" s="1462"/>
      <c r="S193" s="1462"/>
      <c r="T193" s="1462"/>
      <c r="U193" s="1462"/>
      <c r="V193" s="1462"/>
      <c r="W193" s="1462"/>
      <c r="X193" s="1462"/>
      <c r="Y193" s="1462"/>
      <c r="Z193" s="1462"/>
      <c r="AA193" s="1462"/>
    </row>
    <row r="194">
      <c r="A194" s="1463" t="s">
        <v>6764</v>
      </c>
      <c r="B194" s="1464"/>
      <c r="C194" s="1463">
        <v>118.0</v>
      </c>
      <c r="D194" s="713">
        <v>118.0</v>
      </c>
      <c r="E194" s="1489"/>
      <c r="F194" s="1462"/>
      <c r="G194" s="1462"/>
      <c r="H194" s="1462"/>
      <c r="I194" s="1462"/>
      <c r="J194" s="1462"/>
      <c r="K194" s="1462"/>
      <c r="L194" s="1462"/>
      <c r="M194" s="1462"/>
      <c r="N194" s="1462"/>
      <c r="O194" s="1462"/>
      <c r="P194" s="1462"/>
      <c r="Q194" s="1462"/>
      <c r="R194" s="1462"/>
      <c r="S194" s="1462"/>
      <c r="T194" s="1462"/>
      <c r="U194" s="1462"/>
      <c r="V194" s="1462"/>
      <c r="W194" s="1462"/>
      <c r="X194" s="1462"/>
      <c r="Y194" s="1462"/>
      <c r="Z194" s="1462"/>
      <c r="AA194" s="1462"/>
    </row>
    <row r="195">
      <c r="A195" s="1463" t="s">
        <v>6764</v>
      </c>
      <c r="B195" s="1464"/>
      <c r="C195" s="1463">
        <v>119.0</v>
      </c>
      <c r="D195" s="713">
        <v>119.0</v>
      </c>
      <c r="E195" s="1489"/>
      <c r="F195" s="1462"/>
      <c r="G195" s="1462"/>
      <c r="H195" s="1462"/>
      <c r="I195" s="1462"/>
      <c r="J195" s="1462"/>
      <c r="K195" s="1462"/>
      <c r="L195" s="1462"/>
      <c r="M195" s="1462"/>
      <c r="N195" s="1462"/>
      <c r="O195" s="1462"/>
      <c r="P195" s="1462"/>
      <c r="Q195" s="1462"/>
      <c r="R195" s="1462"/>
      <c r="S195" s="1462"/>
      <c r="T195" s="1462"/>
      <c r="U195" s="1462"/>
      <c r="V195" s="1462"/>
      <c r="W195" s="1462"/>
      <c r="X195" s="1462"/>
      <c r="Y195" s="1462"/>
      <c r="Z195" s="1462"/>
      <c r="AA195" s="1462"/>
    </row>
    <row r="196">
      <c r="A196" s="1463" t="s">
        <v>6764</v>
      </c>
      <c r="B196" s="1464"/>
      <c r="C196" s="1463">
        <v>120.0</v>
      </c>
      <c r="D196" s="713">
        <v>120.0</v>
      </c>
      <c r="E196" s="1489"/>
      <c r="F196" s="1462"/>
      <c r="G196" s="1462"/>
      <c r="H196" s="1462"/>
      <c r="I196" s="1462"/>
      <c r="J196" s="1462"/>
      <c r="K196" s="1462"/>
      <c r="L196" s="1462"/>
      <c r="M196" s="1462"/>
      <c r="N196" s="1462"/>
      <c r="O196" s="1462"/>
      <c r="P196" s="1462"/>
      <c r="Q196" s="1462"/>
      <c r="R196" s="1462"/>
      <c r="S196" s="1462"/>
      <c r="T196" s="1462"/>
      <c r="U196" s="1462"/>
      <c r="V196" s="1462"/>
      <c r="W196" s="1462"/>
      <c r="X196" s="1462"/>
      <c r="Y196" s="1462"/>
      <c r="Z196" s="1462"/>
      <c r="AA196" s="1462"/>
    </row>
    <row r="197">
      <c r="A197" s="1463" t="s">
        <v>6764</v>
      </c>
      <c r="B197" s="1464"/>
      <c r="C197" s="1463">
        <v>121.0</v>
      </c>
      <c r="D197" s="713">
        <v>121.0</v>
      </c>
      <c r="E197" s="1489"/>
      <c r="F197" s="1462"/>
      <c r="G197" s="1462"/>
      <c r="H197" s="1462"/>
      <c r="I197" s="1462"/>
      <c r="J197" s="1462"/>
      <c r="K197" s="1462"/>
      <c r="L197" s="1462"/>
      <c r="M197" s="1462"/>
      <c r="N197" s="1462"/>
      <c r="O197" s="1462"/>
      <c r="P197" s="1462"/>
      <c r="Q197" s="1462"/>
      <c r="R197" s="1462"/>
      <c r="S197" s="1462"/>
      <c r="T197" s="1462"/>
      <c r="U197" s="1462"/>
      <c r="V197" s="1462"/>
      <c r="W197" s="1462"/>
      <c r="X197" s="1462"/>
      <c r="Y197" s="1462"/>
      <c r="Z197" s="1462"/>
      <c r="AA197" s="1462"/>
    </row>
    <row r="198">
      <c r="A198" s="1463" t="s">
        <v>6764</v>
      </c>
      <c r="B198" s="1464"/>
      <c r="C198" s="1463">
        <v>122.0</v>
      </c>
      <c r="D198" s="713">
        <v>122.0</v>
      </c>
      <c r="E198" s="1489"/>
      <c r="F198" s="1462"/>
      <c r="G198" s="1462"/>
      <c r="H198" s="1462"/>
      <c r="I198" s="1462"/>
      <c r="J198" s="1462"/>
      <c r="K198" s="1462"/>
      <c r="L198" s="1462"/>
      <c r="M198" s="1462"/>
      <c r="N198" s="1462"/>
      <c r="O198" s="1462"/>
      <c r="P198" s="1462"/>
      <c r="Q198" s="1462"/>
      <c r="R198" s="1462"/>
      <c r="S198" s="1462"/>
      <c r="T198" s="1462"/>
      <c r="U198" s="1462"/>
      <c r="V198" s="1462"/>
      <c r="W198" s="1462"/>
      <c r="X198" s="1462"/>
      <c r="Y198" s="1462"/>
      <c r="Z198" s="1462"/>
      <c r="AA198" s="1462"/>
    </row>
    <row r="199">
      <c r="A199" s="1463" t="s">
        <v>6764</v>
      </c>
      <c r="B199" s="1464"/>
      <c r="C199" s="1463">
        <v>123.0</v>
      </c>
      <c r="D199" s="713">
        <v>123.0</v>
      </c>
      <c r="E199" s="1489"/>
      <c r="F199" s="1462"/>
      <c r="G199" s="1462"/>
      <c r="H199" s="1462"/>
      <c r="I199" s="1462"/>
      <c r="J199" s="1462"/>
      <c r="K199" s="1462"/>
      <c r="L199" s="1462"/>
      <c r="M199" s="1462"/>
      <c r="N199" s="1462"/>
      <c r="O199" s="1462"/>
      <c r="P199" s="1462"/>
      <c r="Q199" s="1462"/>
      <c r="R199" s="1462"/>
      <c r="S199" s="1462"/>
      <c r="T199" s="1462"/>
      <c r="U199" s="1462"/>
      <c r="V199" s="1462"/>
      <c r="W199" s="1462"/>
      <c r="X199" s="1462"/>
      <c r="Y199" s="1462"/>
      <c r="Z199" s="1462"/>
      <c r="AA199" s="1462"/>
    </row>
    <row r="200">
      <c r="A200" s="1463" t="s">
        <v>6764</v>
      </c>
      <c r="B200" s="1464"/>
      <c r="C200" s="1463">
        <v>124.0</v>
      </c>
      <c r="D200" s="713">
        <v>124.0</v>
      </c>
      <c r="E200" s="1489"/>
      <c r="F200" s="1462"/>
      <c r="G200" s="1462"/>
      <c r="H200" s="1462"/>
      <c r="I200" s="1462"/>
      <c r="J200" s="1462"/>
      <c r="K200" s="1462"/>
      <c r="L200" s="1462"/>
      <c r="M200" s="1462"/>
      <c r="N200" s="1462"/>
      <c r="O200" s="1462"/>
      <c r="P200" s="1462"/>
      <c r="Q200" s="1462"/>
      <c r="R200" s="1462"/>
      <c r="S200" s="1462"/>
      <c r="T200" s="1462"/>
      <c r="U200" s="1462"/>
      <c r="V200" s="1462"/>
      <c r="W200" s="1462"/>
      <c r="X200" s="1462"/>
      <c r="Y200" s="1462"/>
      <c r="Z200" s="1462"/>
      <c r="AA200" s="1462"/>
    </row>
    <row r="201">
      <c r="A201" s="1463" t="s">
        <v>6764</v>
      </c>
      <c r="B201" s="1464"/>
      <c r="C201" s="1463">
        <v>125.0</v>
      </c>
      <c r="D201" s="713">
        <v>125.0</v>
      </c>
      <c r="E201" s="1489"/>
      <c r="F201" s="1462"/>
      <c r="G201" s="1462"/>
      <c r="H201" s="1462"/>
      <c r="I201" s="1462"/>
      <c r="J201" s="1462"/>
      <c r="K201" s="1462"/>
      <c r="L201" s="1462"/>
      <c r="M201" s="1462"/>
      <c r="N201" s="1462"/>
      <c r="O201" s="1462"/>
      <c r="P201" s="1462"/>
      <c r="Q201" s="1462"/>
      <c r="R201" s="1462"/>
      <c r="S201" s="1462"/>
      <c r="T201" s="1462"/>
      <c r="U201" s="1462"/>
      <c r="V201" s="1462"/>
      <c r="W201" s="1462"/>
      <c r="X201" s="1462"/>
      <c r="Y201" s="1462"/>
      <c r="Z201" s="1462"/>
      <c r="AA201" s="1462"/>
    </row>
    <row r="202">
      <c r="A202" s="1463" t="s">
        <v>6764</v>
      </c>
      <c r="B202" s="1464"/>
      <c r="C202" s="1463">
        <v>126.0</v>
      </c>
      <c r="D202" s="713">
        <v>126.0</v>
      </c>
      <c r="E202" s="1489"/>
      <c r="F202" s="1462"/>
      <c r="G202" s="1462"/>
      <c r="H202" s="1462"/>
      <c r="I202" s="1462"/>
      <c r="J202" s="1462"/>
      <c r="K202" s="1462"/>
      <c r="L202" s="1462"/>
      <c r="M202" s="1462"/>
      <c r="N202" s="1462"/>
      <c r="O202" s="1462"/>
      <c r="P202" s="1462"/>
      <c r="Q202" s="1462"/>
      <c r="R202" s="1462"/>
      <c r="S202" s="1462"/>
      <c r="T202" s="1462"/>
      <c r="U202" s="1462"/>
      <c r="V202" s="1462"/>
      <c r="W202" s="1462"/>
      <c r="X202" s="1462"/>
      <c r="Y202" s="1462"/>
      <c r="Z202" s="1462"/>
      <c r="AA202" s="1462"/>
    </row>
    <row r="203">
      <c r="A203" s="1463" t="s">
        <v>6764</v>
      </c>
      <c r="B203" s="1464"/>
      <c r="C203" s="1463">
        <v>127.0</v>
      </c>
      <c r="D203" s="713">
        <v>127.0</v>
      </c>
      <c r="E203" s="1461"/>
      <c r="F203" s="1462"/>
      <c r="G203" s="1462"/>
      <c r="H203" s="1462"/>
      <c r="I203" s="1462"/>
      <c r="J203" s="1462"/>
      <c r="K203" s="1462"/>
      <c r="L203" s="1462"/>
      <c r="M203" s="1462"/>
      <c r="N203" s="1462"/>
      <c r="O203" s="1462"/>
      <c r="P203" s="1462"/>
      <c r="Q203" s="1462"/>
      <c r="R203" s="1462"/>
      <c r="S203" s="1462"/>
      <c r="T203" s="1462"/>
      <c r="U203" s="1462"/>
      <c r="V203" s="1462"/>
      <c r="W203" s="1462"/>
      <c r="X203" s="1462"/>
      <c r="Y203" s="1462"/>
      <c r="Z203" s="1462"/>
      <c r="AA203" s="1462"/>
    </row>
    <row r="204">
      <c r="A204" s="1463" t="s">
        <v>6764</v>
      </c>
      <c r="B204" s="1464"/>
      <c r="C204" s="1463">
        <v>128.0</v>
      </c>
      <c r="D204" s="713">
        <v>128.0</v>
      </c>
      <c r="E204" s="1489"/>
      <c r="F204" s="1462"/>
      <c r="G204" s="1462"/>
      <c r="H204" s="1462"/>
      <c r="I204" s="1462"/>
      <c r="J204" s="1462"/>
      <c r="K204" s="1462"/>
      <c r="L204" s="1462"/>
      <c r="M204" s="1462"/>
      <c r="N204" s="1462"/>
      <c r="O204" s="1462"/>
      <c r="P204" s="1462"/>
      <c r="Q204" s="1462"/>
      <c r="R204" s="1462"/>
      <c r="S204" s="1462"/>
      <c r="T204" s="1462"/>
      <c r="U204" s="1462"/>
      <c r="V204" s="1462"/>
      <c r="W204" s="1462"/>
      <c r="X204" s="1462"/>
      <c r="Y204" s="1462"/>
      <c r="Z204" s="1462"/>
      <c r="AA204" s="1462"/>
    </row>
    <row r="205">
      <c r="A205" s="1463" t="s">
        <v>6764</v>
      </c>
      <c r="B205" s="1464"/>
      <c r="C205" s="1463">
        <v>129.0</v>
      </c>
      <c r="D205" s="713">
        <v>129.0</v>
      </c>
      <c r="E205" s="1489"/>
      <c r="F205" s="1462"/>
      <c r="G205" s="1462"/>
      <c r="H205" s="1462"/>
      <c r="I205" s="1462"/>
      <c r="J205" s="1462"/>
      <c r="K205" s="1462"/>
      <c r="L205" s="1462"/>
      <c r="M205" s="1462"/>
      <c r="N205" s="1462"/>
      <c r="O205" s="1462"/>
      <c r="P205" s="1462"/>
      <c r="Q205" s="1462"/>
      <c r="R205" s="1462"/>
      <c r="S205" s="1462"/>
      <c r="T205" s="1462"/>
      <c r="U205" s="1462"/>
      <c r="V205" s="1462"/>
      <c r="W205" s="1462"/>
      <c r="X205" s="1462"/>
      <c r="Y205" s="1462"/>
      <c r="Z205" s="1462"/>
      <c r="AA205" s="1462"/>
    </row>
    <row r="206">
      <c r="A206" s="1463" t="s">
        <v>6764</v>
      </c>
      <c r="B206" s="1464"/>
      <c r="C206" s="1463">
        <v>130.0</v>
      </c>
      <c r="D206" s="713">
        <v>130.0</v>
      </c>
      <c r="E206" s="1489"/>
      <c r="F206" s="1462"/>
      <c r="G206" s="1462"/>
      <c r="H206" s="1462"/>
      <c r="I206" s="1462"/>
      <c r="J206" s="1462"/>
      <c r="K206" s="1462"/>
      <c r="L206" s="1462"/>
      <c r="M206" s="1462"/>
      <c r="N206" s="1462"/>
      <c r="O206" s="1462"/>
      <c r="P206" s="1462"/>
      <c r="Q206" s="1462"/>
      <c r="R206" s="1462"/>
      <c r="S206" s="1462"/>
      <c r="T206" s="1462"/>
      <c r="U206" s="1462"/>
      <c r="V206" s="1462"/>
      <c r="W206" s="1462"/>
      <c r="X206" s="1462"/>
      <c r="Y206" s="1462"/>
      <c r="Z206" s="1462"/>
      <c r="AA206" s="1462"/>
    </row>
    <row r="207">
      <c r="A207" s="1463" t="s">
        <v>6764</v>
      </c>
      <c r="B207" s="1464"/>
      <c r="C207" s="1463">
        <v>131.0</v>
      </c>
      <c r="D207" s="713">
        <v>131.0</v>
      </c>
      <c r="E207" s="1489"/>
      <c r="F207" s="1462"/>
      <c r="G207" s="1462"/>
      <c r="H207" s="1462"/>
      <c r="I207" s="1462"/>
      <c r="J207" s="1462"/>
      <c r="K207" s="1462"/>
      <c r="L207" s="1462"/>
      <c r="M207" s="1462"/>
      <c r="N207" s="1462"/>
      <c r="O207" s="1462"/>
      <c r="P207" s="1462"/>
      <c r="Q207" s="1462"/>
      <c r="R207" s="1462"/>
      <c r="S207" s="1462"/>
      <c r="T207" s="1462"/>
      <c r="U207" s="1462"/>
      <c r="V207" s="1462"/>
      <c r="W207" s="1462"/>
      <c r="X207" s="1462"/>
      <c r="Y207" s="1462"/>
      <c r="Z207" s="1462"/>
      <c r="AA207" s="1462"/>
    </row>
    <row r="208">
      <c r="A208" s="1463" t="s">
        <v>6764</v>
      </c>
      <c r="B208" s="1464"/>
      <c r="C208" s="1463">
        <v>132.0</v>
      </c>
      <c r="D208" s="713">
        <v>132.0</v>
      </c>
      <c r="E208" s="1489"/>
      <c r="F208" s="1462"/>
      <c r="G208" s="1462"/>
      <c r="H208" s="1462"/>
      <c r="I208" s="1462"/>
      <c r="J208" s="1462"/>
      <c r="K208" s="1462"/>
      <c r="L208" s="1462"/>
      <c r="M208" s="1462"/>
      <c r="N208" s="1462"/>
      <c r="O208" s="1462"/>
      <c r="P208" s="1462"/>
      <c r="Q208" s="1462"/>
      <c r="R208" s="1462"/>
      <c r="S208" s="1462"/>
      <c r="T208" s="1462"/>
      <c r="U208" s="1462"/>
      <c r="V208" s="1462"/>
      <c r="W208" s="1462"/>
      <c r="X208" s="1462"/>
      <c r="Y208" s="1462"/>
      <c r="Z208" s="1462"/>
      <c r="AA208" s="1462"/>
    </row>
    <row r="209">
      <c r="A209" s="1463" t="s">
        <v>6764</v>
      </c>
      <c r="B209" s="1464"/>
      <c r="C209" s="1463">
        <v>133.0</v>
      </c>
      <c r="D209" s="713">
        <v>133.0</v>
      </c>
      <c r="E209" s="1489"/>
      <c r="F209" s="1462"/>
      <c r="G209" s="1462"/>
      <c r="H209" s="1462"/>
      <c r="I209" s="1462"/>
      <c r="J209" s="1462"/>
      <c r="K209" s="1462"/>
      <c r="L209" s="1462"/>
      <c r="M209" s="1462"/>
      <c r="N209" s="1462"/>
      <c r="O209" s="1462"/>
      <c r="P209" s="1462"/>
      <c r="Q209" s="1462"/>
      <c r="R209" s="1462"/>
      <c r="S209" s="1462"/>
      <c r="T209" s="1462"/>
      <c r="U209" s="1462"/>
      <c r="V209" s="1462"/>
      <c r="W209" s="1462"/>
      <c r="X209" s="1462"/>
      <c r="Y209" s="1462"/>
      <c r="Z209" s="1462"/>
      <c r="AA209" s="1462"/>
    </row>
    <row r="210">
      <c r="A210" s="1463" t="s">
        <v>6764</v>
      </c>
      <c r="B210" s="1464"/>
      <c r="C210" s="1463">
        <v>134.0</v>
      </c>
      <c r="D210" s="713">
        <v>134.0</v>
      </c>
      <c r="E210" s="1489"/>
      <c r="F210" s="1462"/>
      <c r="G210" s="1462"/>
      <c r="H210" s="1462"/>
      <c r="I210" s="1462"/>
      <c r="J210" s="1462"/>
      <c r="K210" s="1462"/>
      <c r="L210" s="1462"/>
      <c r="M210" s="1462"/>
      <c r="N210" s="1462"/>
      <c r="O210" s="1462"/>
      <c r="P210" s="1462"/>
      <c r="Q210" s="1462"/>
      <c r="R210" s="1462"/>
      <c r="S210" s="1462"/>
      <c r="T210" s="1462"/>
      <c r="U210" s="1462"/>
      <c r="V210" s="1462"/>
      <c r="W210" s="1462"/>
      <c r="X210" s="1462"/>
      <c r="Y210" s="1462"/>
      <c r="Z210" s="1462"/>
      <c r="AA210" s="1462"/>
    </row>
    <row r="211">
      <c r="A211" s="1463" t="s">
        <v>6764</v>
      </c>
      <c r="B211" s="1464"/>
      <c r="C211" s="1463">
        <v>135.0</v>
      </c>
      <c r="D211" s="713">
        <v>135.0</v>
      </c>
      <c r="E211" s="1489"/>
      <c r="F211" s="1462"/>
      <c r="G211" s="1462"/>
      <c r="H211" s="1462"/>
      <c r="I211" s="1462"/>
      <c r="J211" s="1462"/>
      <c r="K211" s="1462"/>
      <c r="L211" s="1462"/>
      <c r="M211" s="1462"/>
      <c r="N211" s="1462"/>
      <c r="O211" s="1462"/>
      <c r="P211" s="1462"/>
      <c r="Q211" s="1462"/>
      <c r="R211" s="1462"/>
      <c r="S211" s="1462"/>
      <c r="T211" s="1462"/>
      <c r="U211" s="1462"/>
      <c r="V211" s="1462"/>
      <c r="W211" s="1462"/>
      <c r="X211" s="1462"/>
      <c r="Y211" s="1462"/>
      <c r="Z211" s="1462"/>
      <c r="AA211" s="1462"/>
    </row>
    <row r="212">
      <c r="A212" s="1463" t="s">
        <v>6764</v>
      </c>
      <c r="B212" s="1464"/>
      <c r="C212" s="1463">
        <v>136.0</v>
      </c>
      <c r="D212" s="713">
        <v>136.0</v>
      </c>
      <c r="E212" s="1489"/>
      <c r="F212" s="1462"/>
      <c r="G212" s="1462"/>
      <c r="H212" s="1462"/>
      <c r="I212" s="1462"/>
      <c r="J212" s="1462"/>
      <c r="K212" s="1462"/>
      <c r="L212" s="1462"/>
      <c r="M212" s="1462"/>
      <c r="N212" s="1462"/>
      <c r="O212" s="1462"/>
      <c r="P212" s="1462"/>
      <c r="Q212" s="1462"/>
      <c r="R212" s="1462"/>
      <c r="S212" s="1462"/>
      <c r="T212" s="1462"/>
      <c r="U212" s="1462"/>
      <c r="V212" s="1462"/>
      <c r="W212" s="1462"/>
      <c r="X212" s="1462"/>
      <c r="Y212" s="1462"/>
      <c r="Z212" s="1462"/>
      <c r="AA212" s="1462"/>
    </row>
    <row r="213">
      <c r="A213" s="1463" t="s">
        <v>6764</v>
      </c>
      <c r="B213" s="1464"/>
      <c r="C213" s="1463">
        <v>137.0</v>
      </c>
      <c r="D213" s="713">
        <v>137.0</v>
      </c>
      <c r="E213" s="1489"/>
      <c r="F213" s="1462"/>
      <c r="G213" s="1462"/>
      <c r="H213" s="1462"/>
      <c r="I213" s="1462"/>
      <c r="J213" s="1462"/>
      <c r="K213" s="1462"/>
      <c r="L213" s="1462"/>
      <c r="M213" s="1462"/>
      <c r="N213" s="1462"/>
      <c r="O213" s="1462"/>
      <c r="P213" s="1462"/>
      <c r="Q213" s="1462"/>
      <c r="R213" s="1462"/>
      <c r="S213" s="1462"/>
      <c r="T213" s="1462"/>
      <c r="U213" s="1462"/>
      <c r="V213" s="1462"/>
      <c r="W213" s="1462"/>
      <c r="X213" s="1462"/>
      <c r="Y213" s="1462"/>
      <c r="Z213" s="1462"/>
      <c r="AA213" s="1462"/>
    </row>
    <row r="214">
      <c r="A214" s="1463" t="s">
        <v>6764</v>
      </c>
      <c r="B214" s="1464"/>
      <c r="C214" s="1463">
        <v>138.0</v>
      </c>
      <c r="D214" s="713">
        <v>138.0</v>
      </c>
      <c r="E214" s="1489"/>
      <c r="F214" s="1462"/>
      <c r="G214" s="1462"/>
      <c r="H214" s="1462"/>
      <c r="I214" s="1462"/>
      <c r="J214" s="1462"/>
      <c r="K214" s="1462"/>
      <c r="L214" s="1462"/>
      <c r="M214" s="1462"/>
      <c r="N214" s="1462"/>
      <c r="O214" s="1462"/>
      <c r="P214" s="1462"/>
      <c r="Q214" s="1462"/>
      <c r="R214" s="1462"/>
      <c r="S214" s="1462"/>
      <c r="T214" s="1462"/>
      <c r="U214" s="1462"/>
      <c r="V214" s="1462"/>
      <c r="W214" s="1462"/>
      <c r="X214" s="1462"/>
      <c r="Y214" s="1462"/>
      <c r="Z214" s="1462"/>
      <c r="AA214" s="1462"/>
    </row>
    <row r="215">
      <c r="A215" s="1463"/>
      <c r="B215" s="1464"/>
      <c r="C215" s="1463"/>
      <c r="D215" s="1463"/>
      <c r="E215" s="1489"/>
      <c r="F215" s="1462"/>
      <c r="G215" s="1462"/>
      <c r="H215" s="1462"/>
      <c r="I215" s="1462"/>
      <c r="J215" s="1462"/>
      <c r="K215" s="1462"/>
      <c r="L215" s="1462"/>
      <c r="M215" s="1462"/>
      <c r="N215" s="1462"/>
      <c r="O215" s="1462"/>
      <c r="P215" s="1462"/>
      <c r="Q215" s="1462"/>
      <c r="R215" s="1462"/>
      <c r="S215" s="1462"/>
      <c r="T215" s="1462"/>
      <c r="U215" s="1462"/>
      <c r="V215" s="1462"/>
      <c r="W215" s="1462"/>
      <c r="X215" s="1462"/>
      <c r="Y215" s="1462"/>
      <c r="Z215" s="1462"/>
      <c r="AA215" s="1462"/>
    </row>
    <row r="216">
      <c r="A216" s="1463"/>
      <c r="B216" s="1464"/>
      <c r="C216" s="1463"/>
      <c r="D216" s="1463"/>
      <c r="E216" s="1461"/>
      <c r="F216" s="1462"/>
      <c r="G216" s="1462"/>
      <c r="H216" s="1462"/>
      <c r="I216" s="1462"/>
      <c r="J216" s="1462"/>
      <c r="K216" s="1462"/>
      <c r="L216" s="1462"/>
      <c r="M216" s="1462"/>
      <c r="N216" s="1462"/>
      <c r="O216" s="1462"/>
      <c r="P216" s="1462"/>
      <c r="Q216" s="1462"/>
      <c r="R216" s="1462"/>
      <c r="S216" s="1462"/>
      <c r="T216" s="1462"/>
      <c r="U216" s="1462"/>
      <c r="V216" s="1462"/>
      <c r="W216" s="1462"/>
      <c r="X216" s="1462"/>
      <c r="Y216" s="1462"/>
      <c r="Z216" s="1462"/>
      <c r="AA216" s="1462"/>
    </row>
    <row r="217">
      <c r="A217" s="1463"/>
      <c r="B217" s="1464"/>
      <c r="C217" s="1463"/>
      <c r="D217" s="1463"/>
      <c r="E217" s="1461"/>
      <c r="F217" s="1462"/>
      <c r="G217" s="1462"/>
      <c r="H217" s="1462"/>
      <c r="I217" s="1462"/>
      <c r="J217" s="1462"/>
      <c r="K217" s="1462"/>
      <c r="L217" s="1462"/>
      <c r="M217" s="1462"/>
      <c r="N217" s="1462"/>
      <c r="O217" s="1462"/>
      <c r="P217" s="1462"/>
      <c r="Q217" s="1462"/>
      <c r="R217" s="1462"/>
      <c r="S217" s="1462"/>
      <c r="T217" s="1462"/>
      <c r="U217" s="1462"/>
      <c r="V217" s="1462"/>
      <c r="W217" s="1462"/>
      <c r="X217" s="1462"/>
      <c r="Y217" s="1462"/>
      <c r="Z217" s="1462"/>
      <c r="AA217" s="1462"/>
    </row>
    <row r="218">
      <c r="A218" s="1463"/>
      <c r="B218" s="1464"/>
      <c r="C218" s="1463"/>
      <c r="D218" s="1463"/>
      <c r="E218" s="1461"/>
      <c r="F218" s="1462"/>
      <c r="G218" s="1462"/>
      <c r="H218" s="1462"/>
      <c r="I218" s="1462"/>
      <c r="J218" s="1462"/>
      <c r="K218" s="1462"/>
      <c r="L218" s="1462"/>
      <c r="M218" s="1462"/>
      <c r="N218" s="1462"/>
      <c r="O218" s="1462"/>
      <c r="P218" s="1462"/>
      <c r="Q218" s="1462"/>
      <c r="R218" s="1462"/>
      <c r="S218" s="1462"/>
      <c r="T218" s="1462"/>
      <c r="U218" s="1462"/>
      <c r="V218" s="1462"/>
      <c r="W218" s="1462"/>
      <c r="X218" s="1462"/>
      <c r="Y218" s="1462"/>
      <c r="Z218" s="1462"/>
      <c r="AA218" s="1462"/>
    </row>
    <row r="219">
      <c r="A219" s="1463"/>
      <c r="B219" s="1464"/>
      <c r="C219" s="1463"/>
      <c r="D219" s="1463"/>
      <c r="E219" s="1461"/>
      <c r="F219" s="1462"/>
      <c r="G219" s="1462"/>
      <c r="H219" s="1462"/>
      <c r="I219" s="1462"/>
      <c r="J219" s="1462"/>
      <c r="K219" s="1462"/>
      <c r="L219" s="1462"/>
      <c r="M219" s="1462"/>
      <c r="N219" s="1462"/>
      <c r="O219" s="1462"/>
      <c r="P219" s="1462"/>
      <c r="Q219" s="1462"/>
      <c r="R219" s="1462"/>
      <c r="S219" s="1462"/>
      <c r="T219" s="1462"/>
      <c r="U219" s="1462"/>
      <c r="V219" s="1462"/>
      <c r="W219" s="1462"/>
      <c r="X219" s="1462"/>
      <c r="Y219" s="1462"/>
      <c r="Z219" s="1462"/>
      <c r="AA219" s="1462"/>
    </row>
    <row r="220">
      <c r="A220" s="1463"/>
      <c r="B220" s="1464"/>
      <c r="C220" s="1463"/>
      <c r="D220" s="1463"/>
      <c r="E220" s="1461"/>
      <c r="F220" s="1462"/>
      <c r="G220" s="1462"/>
      <c r="H220" s="1462"/>
      <c r="I220" s="1462"/>
      <c r="J220" s="1462"/>
      <c r="K220" s="1462"/>
      <c r="L220" s="1462"/>
      <c r="M220" s="1462"/>
      <c r="N220" s="1462"/>
      <c r="O220" s="1462"/>
      <c r="P220" s="1462"/>
      <c r="Q220" s="1462"/>
      <c r="R220" s="1462"/>
      <c r="S220" s="1462"/>
      <c r="T220" s="1462"/>
      <c r="U220" s="1462"/>
      <c r="V220" s="1462"/>
      <c r="W220" s="1462"/>
      <c r="X220" s="1462"/>
      <c r="Y220" s="1462"/>
      <c r="Z220" s="1462"/>
      <c r="AA220" s="1462"/>
    </row>
    <row r="221">
      <c r="A221" s="1463"/>
      <c r="B221" s="1464"/>
      <c r="C221" s="1463"/>
      <c r="D221" s="1463"/>
      <c r="E221" s="1461"/>
      <c r="F221" s="1462"/>
      <c r="G221" s="1462"/>
      <c r="H221" s="1462"/>
      <c r="I221" s="1462"/>
      <c r="J221" s="1462"/>
      <c r="K221" s="1462"/>
      <c r="L221" s="1462"/>
      <c r="M221" s="1462"/>
      <c r="N221" s="1462"/>
      <c r="O221" s="1462"/>
      <c r="P221" s="1462"/>
      <c r="Q221" s="1462"/>
      <c r="R221" s="1462"/>
      <c r="S221" s="1462"/>
      <c r="T221" s="1462"/>
      <c r="U221" s="1462"/>
      <c r="V221" s="1462"/>
      <c r="W221" s="1462"/>
      <c r="X221" s="1462"/>
      <c r="Y221" s="1462"/>
      <c r="Z221" s="1462"/>
      <c r="AA221" s="1462"/>
    </row>
    <row r="222">
      <c r="A222" s="1463"/>
      <c r="B222" s="1464"/>
      <c r="C222" s="1463"/>
      <c r="D222" s="1463"/>
      <c r="E222" s="1461"/>
      <c r="F222" s="1462"/>
      <c r="G222" s="1462"/>
      <c r="H222" s="1462"/>
      <c r="I222" s="1462"/>
      <c r="J222" s="1462"/>
      <c r="K222" s="1462"/>
      <c r="L222" s="1462"/>
      <c r="M222" s="1462"/>
      <c r="N222" s="1462"/>
      <c r="O222" s="1462"/>
      <c r="P222" s="1462"/>
      <c r="Q222" s="1462"/>
      <c r="R222" s="1462"/>
      <c r="S222" s="1462"/>
      <c r="T222" s="1462"/>
      <c r="U222" s="1462"/>
      <c r="V222" s="1462"/>
      <c r="W222" s="1462"/>
      <c r="X222" s="1462"/>
      <c r="Y222" s="1462"/>
      <c r="Z222" s="1462"/>
      <c r="AA222" s="1462"/>
    </row>
    <row r="223">
      <c r="A223" s="1463"/>
      <c r="B223" s="1464"/>
      <c r="C223" s="1463"/>
      <c r="D223" s="1463"/>
      <c r="E223" s="1461"/>
      <c r="F223" s="1462"/>
      <c r="G223" s="1462"/>
      <c r="H223" s="1462"/>
      <c r="I223" s="1462"/>
      <c r="J223" s="1462"/>
      <c r="K223" s="1462"/>
      <c r="L223" s="1462"/>
      <c r="M223" s="1462"/>
      <c r="N223" s="1462"/>
      <c r="O223" s="1462"/>
      <c r="P223" s="1462"/>
      <c r="Q223" s="1462"/>
      <c r="R223" s="1462"/>
      <c r="S223" s="1462"/>
      <c r="T223" s="1462"/>
      <c r="U223" s="1462"/>
      <c r="V223" s="1462"/>
      <c r="W223" s="1462"/>
      <c r="X223" s="1462"/>
      <c r="Y223" s="1462"/>
      <c r="Z223" s="1462"/>
      <c r="AA223" s="1462"/>
    </row>
    <row r="224">
      <c r="A224" s="1463"/>
      <c r="B224" s="1464"/>
      <c r="C224" s="1463"/>
      <c r="D224" s="1463"/>
      <c r="E224" s="1461"/>
      <c r="F224" s="1462"/>
      <c r="G224" s="1462"/>
      <c r="H224" s="1462"/>
      <c r="I224" s="1462"/>
      <c r="J224" s="1462"/>
      <c r="K224" s="1462"/>
      <c r="L224" s="1462"/>
      <c r="M224" s="1462"/>
      <c r="N224" s="1462"/>
      <c r="O224" s="1462"/>
      <c r="P224" s="1462"/>
      <c r="Q224" s="1462"/>
      <c r="R224" s="1462"/>
      <c r="S224" s="1462"/>
      <c r="T224" s="1462"/>
      <c r="U224" s="1462"/>
      <c r="V224" s="1462"/>
      <c r="W224" s="1462"/>
      <c r="X224" s="1462"/>
      <c r="Y224" s="1462"/>
      <c r="Z224" s="1462"/>
      <c r="AA224" s="1462"/>
    </row>
    <row r="225">
      <c r="A225" s="1463"/>
      <c r="B225" s="1464"/>
      <c r="C225" s="1463"/>
      <c r="D225" s="1463"/>
      <c r="E225" s="1461"/>
      <c r="F225" s="1462"/>
      <c r="G225" s="1462"/>
      <c r="H225" s="1462"/>
      <c r="I225" s="1462"/>
      <c r="J225" s="1462"/>
      <c r="K225" s="1462"/>
      <c r="L225" s="1462"/>
      <c r="M225" s="1462"/>
      <c r="N225" s="1462"/>
      <c r="O225" s="1462"/>
      <c r="P225" s="1462"/>
      <c r="Q225" s="1462"/>
      <c r="R225" s="1462"/>
      <c r="S225" s="1462"/>
      <c r="T225" s="1462"/>
      <c r="U225" s="1462"/>
      <c r="V225" s="1462"/>
      <c r="W225" s="1462"/>
      <c r="X225" s="1462"/>
      <c r="Y225" s="1462"/>
      <c r="Z225" s="1462"/>
      <c r="AA225" s="1462"/>
    </row>
    <row r="226">
      <c r="A226" s="1463"/>
      <c r="B226" s="1464"/>
      <c r="C226" s="1463"/>
      <c r="D226" s="1463"/>
      <c r="E226" s="1461"/>
      <c r="F226" s="1462"/>
      <c r="G226" s="1462"/>
      <c r="H226" s="1462"/>
      <c r="I226" s="1462"/>
      <c r="J226" s="1462"/>
      <c r="K226" s="1462"/>
      <c r="L226" s="1462"/>
      <c r="M226" s="1462"/>
      <c r="N226" s="1462"/>
      <c r="O226" s="1462"/>
      <c r="P226" s="1462"/>
      <c r="Q226" s="1462"/>
      <c r="R226" s="1462"/>
      <c r="S226" s="1462"/>
      <c r="T226" s="1462"/>
      <c r="U226" s="1462"/>
      <c r="V226" s="1462"/>
      <c r="W226" s="1462"/>
      <c r="X226" s="1462"/>
      <c r="Y226" s="1462"/>
      <c r="Z226" s="1462"/>
      <c r="AA226" s="1462"/>
    </row>
    <row r="227">
      <c r="A227" s="1463"/>
      <c r="B227" s="1464"/>
      <c r="C227" s="1463"/>
      <c r="D227" s="1463"/>
      <c r="E227" s="1461"/>
      <c r="F227" s="1462"/>
      <c r="G227" s="1462"/>
      <c r="H227" s="1462"/>
      <c r="I227" s="1462"/>
      <c r="J227" s="1462"/>
      <c r="K227" s="1462"/>
      <c r="L227" s="1462"/>
      <c r="M227" s="1462"/>
      <c r="N227" s="1462"/>
      <c r="O227" s="1462"/>
      <c r="P227" s="1462"/>
      <c r="Q227" s="1462"/>
      <c r="R227" s="1462"/>
      <c r="S227" s="1462"/>
      <c r="T227" s="1462"/>
      <c r="U227" s="1462"/>
      <c r="V227" s="1462"/>
      <c r="W227" s="1462"/>
      <c r="X227" s="1462"/>
      <c r="Y227" s="1462"/>
      <c r="Z227" s="1462"/>
      <c r="AA227" s="1462"/>
    </row>
    <row r="228">
      <c r="A228" s="1463"/>
      <c r="B228" s="1464"/>
      <c r="C228" s="1463"/>
      <c r="D228" s="1463"/>
      <c r="E228" s="1492"/>
      <c r="F228" s="1462"/>
      <c r="G228" s="1462"/>
      <c r="H228" s="1462"/>
      <c r="I228" s="1462"/>
      <c r="J228" s="1462"/>
      <c r="K228" s="1462"/>
      <c r="L228" s="1462"/>
      <c r="M228" s="1462"/>
      <c r="N228" s="1462"/>
      <c r="O228" s="1462"/>
      <c r="P228" s="1462"/>
      <c r="Q228" s="1462"/>
      <c r="R228" s="1462"/>
      <c r="S228" s="1462"/>
      <c r="T228" s="1462"/>
      <c r="U228" s="1462"/>
      <c r="V228" s="1462"/>
      <c r="W228" s="1462"/>
      <c r="X228" s="1462"/>
      <c r="Y228" s="1462"/>
      <c r="Z228" s="1462"/>
      <c r="AA228" s="1462"/>
    </row>
    <row r="229">
      <c r="A229" s="1463"/>
      <c r="B229" s="1464"/>
      <c r="C229" s="287"/>
      <c r="D229" s="287"/>
      <c r="E229" s="1461"/>
      <c r="F229" s="1462"/>
      <c r="G229" s="1462"/>
      <c r="H229" s="1462"/>
      <c r="I229" s="1462"/>
      <c r="J229" s="1462"/>
      <c r="K229" s="1462"/>
      <c r="L229" s="1462"/>
      <c r="M229" s="1462"/>
      <c r="N229" s="1462"/>
      <c r="O229" s="1462"/>
      <c r="P229" s="1462"/>
      <c r="Q229" s="1462"/>
      <c r="R229" s="1462"/>
      <c r="S229" s="1462"/>
      <c r="T229" s="1462"/>
      <c r="U229" s="1462"/>
      <c r="V229" s="1462"/>
      <c r="W229" s="1462"/>
      <c r="X229" s="1462"/>
      <c r="Y229" s="1462"/>
      <c r="Z229" s="1462"/>
      <c r="AA229" s="1462"/>
    </row>
    <row r="230">
      <c r="A230" s="1493"/>
      <c r="B230" s="1494"/>
      <c r="C230" s="1493"/>
      <c r="D230" s="1493"/>
      <c r="E230" s="1495"/>
      <c r="F230" s="1462"/>
      <c r="G230" s="1462"/>
      <c r="H230" s="1462"/>
      <c r="I230" s="1462"/>
      <c r="J230" s="1462"/>
      <c r="K230" s="1462"/>
      <c r="L230" s="1462"/>
      <c r="M230" s="1462"/>
      <c r="N230" s="1462"/>
      <c r="O230" s="1462"/>
      <c r="P230" s="1462"/>
      <c r="Q230" s="1462"/>
      <c r="R230" s="1462"/>
      <c r="S230" s="1462"/>
      <c r="T230" s="1462"/>
      <c r="U230" s="1462"/>
      <c r="V230" s="1462"/>
      <c r="W230" s="1462"/>
      <c r="X230" s="1462"/>
      <c r="Y230" s="1462"/>
      <c r="Z230" s="1462"/>
      <c r="AA230" s="1462"/>
    </row>
    <row r="231">
      <c r="A231" s="1493"/>
      <c r="B231" s="1494"/>
      <c r="C231" s="1493"/>
      <c r="D231" s="1493"/>
      <c r="E231" s="1495"/>
      <c r="F231" s="1462"/>
      <c r="G231" s="1462"/>
      <c r="H231" s="1462"/>
      <c r="I231" s="1462"/>
      <c r="J231" s="1462"/>
      <c r="K231" s="1462"/>
      <c r="L231" s="1462"/>
      <c r="M231" s="1462"/>
      <c r="N231" s="1462"/>
      <c r="O231" s="1462"/>
      <c r="P231" s="1462"/>
      <c r="Q231" s="1462"/>
      <c r="R231" s="1462"/>
      <c r="S231" s="1462"/>
      <c r="T231" s="1462"/>
      <c r="U231" s="1462"/>
      <c r="V231" s="1462"/>
      <c r="W231" s="1462"/>
      <c r="X231" s="1462"/>
      <c r="Y231" s="1462"/>
      <c r="Z231" s="1462"/>
      <c r="AA231" s="1462"/>
    </row>
    <row r="232">
      <c r="A232" s="1493"/>
      <c r="B232" s="1494"/>
      <c r="C232" s="1493"/>
      <c r="D232" s="1493"/>
      <c r="E232" s="1495"/>
      <c r="F232" s="1462"/>
      <c r="G232" s="1462"/>
      <c r="H232" s="1462"/>
      <c r="I232" s="1462"/>
      <c r="J232" s="1462"/>
      <c r="K232" s="1462"/>
      <c r="L232" s="1462"/>
      <c r="M232" s="1462"/>
      <c r="N232" s="1462"/>
      <c r="O232" s="1462"/>
      <c r="P232" s="1462"/>
      <c r="Q232" s="1462"/>
      <c r="R232" s="1462"/>
      <c r="S232" s="1462"/>
      <c r="T232" s="1462"/>
      <c r="U232" s="1462"/>
      <c r="V232" s="1462"/>
      <c r="W232" s="1462"/>
      <c r="X232" s="1462"/>
      <c r="Y232" s="1462"/>
      <c r="Z232" s="1462"/>
      <c r="AA232" s="1462"/>
    </row>
    <row r="233">
      <c r="A233" s="1493"/>
      <c r="B233" s="1494"/>
      <c r="C233" s="1493"/>
      <c r="D233" s="1493"/>
      <c r="E233" s="1495"/>
      <c r="F233" s="1462"/>
      <c r="G233" s="1462"/>
      <c r="H233" s="1462"/>
      <c r="I233" s="1462"/>
      <c r="J233" s="1462"/>
      <c r="K233" s="1462"/>
      <c r="L233" s="1462"/>
      <c r="M233" s="1462"/>
      <c r="N233" s="1462"/>
      <c r="O233" s="1462"/>
      <c r="P233" s="1462"/>
      <c r="Q233" s="1462"/>
      <c r="R233" s="1462"/>
      <c r="S233" s="1462"/>
      <c r="T233" s="1462"/>
      <c r="U233" s="1462"/>
      <c r="V233" s="1462"/>
      <c r="W233" s="1462"/>
      <c r="X233" s="1462"/>
      <c r="Y233" s="1462"/>
      <c r="Z233" s="1462"/>
      <c r="AA233" s="1462"/>
    </row>
    <row r="234">
      <c r="A234" s="1493"/>
      <c r="B234" s="1494"/>
      <c r="C234" s="1493"/>
      <c r="D234" s="1493"/>
      <c r="E234" s="1495"/>
      <c r="F234" s="1462"/>
      <c r="G234" s="1462"/>
      <c r="H234" s="1462"/>
      <c r="I234" s="1462"/>
      <c r="J234" s="1462"/>
      <c r="K234" s="1462"/>
      <c r="L234" s="1462"/>
      <c r="M234" s="1462"/>
      <c r="N234" s="1462"/>
      <c r="O234" s="1462"/>
      <c r="P234" s="1462"/>
      <c r="Q234" s="1462"/>
      <c r="R234" s="1462"/>
      <c r="S234" s="1462"/>
      <c r="T234" s="1462"/>
      <c r="U234" s="1462"/>
      <c r="V234" s="1462"/>
      <c r="W234" s="1462"/>
      <c r="X234" s="1462"/>
      <c r="Y234" s="1462"/>
      <c r="Z234" s="1462"/>
      <c r="AA234" s="1462"/>
    </row>
    <row r="235">
      <c r="A235" s="1493"/>
      <c r="B235" s="1494"/>
      <c r="C235" s="1493"/>
      <c r="D235" s="1493"/>
      <c r="E235" s="1495"/>
      <c r="F235" s="1462"/>
      <c r="G235" s="1462"/>
      <c r="H235" s="1462"/>
      <c r="I235" s="1462"/>
      <c r="J235" s="1462"/>
      <c r="K235" s="1462"/>
      <c r="L235" s="1462"/>
      <c r="M235" s="1462"/>
      <c r="N235" s="1462"/>
      <c r="O235" s="1462"/>
      <c r="P235" s="1462"/>
      <c r="Q235" s="1462"/>
      <c r="R235" s="1462"/>
      <c r="S235" s="1462"/>
      <c r="T235" s="1462"/>
      <c r="U235" s="1462"/>
      <c r="V235" s="1462"/>
      <c r="W235" s="1462"/>
      <c r="X235" s="1462"/>
      <c r="Y235" s="1462"/>
      <c r="Z235" s="1462"/>
      <c r="AA235" s="1462"/>
    </row>
    <row r="236">
      <c r="A236" s="1493"/>
      <c r="B236" s="1494"/>
      <c r="C236" s="1493"/>
      <c r="D236" s="1493"/>
      <c r="E236" s="1495"/>
      <c r="F236" s="1462"/>
      <c r="G236" s="1462"/>
      <c r="H236" s="1462"/>
      <c r="I236" s="1462"/>
      <c r="J236" s="1462"/>
      <c r="K236" s="1462"/>
      <c r="L236" s="1462"/>
      <c r="M236" s="1462"/>
      <c r="N236" s="1462"/>
      <c r="O236" s="1462"/>
      <c r="P236" s="1462"/>
      <c r="Q236" s="1462"/>
      <c r="R236" s="1462"/>
      <c r="S236" s="1462"/>
      <c r="T236" s="1462"/>
      <c r="U236" s="1462"/>
      <c r="V236" s="1462"/>
      <c r="W236" s="1462"/>
      <c r="X236" s="1462"/>
      <c r="Y236" s="1462"/>
      <c r="Z236" s="1462"/>
      <c r="AA236" s="1462"/>
    </row>
    <row r="237">
      <c r="A237" s="1493"/>
      <c r="B237" s="1494"/>
      <c r="C237" s="1493"/>
      <c r="D237" s="1493"/>
      <c r="E237" s="1495"/>
      <c r="F237" s="1462"/>
      <c r="G237" s="1462"/>
      <c r="H237" s="1462"/>
      <c r="I237" s="1462"/>
      <c r="J237" s="1462"/>
      <c r="K237" s="1462"/>
      <c r="L237" s="1462"/>
      <c r="M237" s="1462"/>
      <c r="N237" s="1462"/>
      <c r="O237" s="1462"/>
      <c r="P237" s="1462"/>
      <c r="Q237" s="1462"/>
      <c r="R237" s="1462"/>
      <c r="S237" s="1462"/>
      <c r="T237" s="1462"/>
      <c r="U237" s="1462"/>
      <c r="V237" s="1462"/>
      <c r="W237" s="1462"/>
      <c r="X237" s="1462"/>
      <c r="Y237" s="1462"/>
      <c r="Z237" s="1462"/>
      <c r="AA237" s="1462"/>
    </row>
    <row r="238">
      <c r="A238" s="1493"/>
      <c r="B238" s="1494"/>
      <c r="C238" s="1493"/>
      <c r="D238" s="1493"/>
      <c r="E238" s="1495"/>
      <c r="F238" s="1462"/>
      <c r="G238" s="1462"/>
      <c r="H238" s="1462"/>
      <c r="I238" s="1462"/>
      <c r="J238" s="1462"/>
      <c r="K238" s="1462"/>
      <c r="L238" s="1462"/>
      <c r="M238" s="1462"/>
      <c r="N238" s="1462"/>
      <c r="O238" s="1462"/>
      <c r="P238" s="1462"/>
      <c r="Q238" s="1462"/>
      <c r="R238" s="1462"/>
      <c r="S238" s="1462"/>
      <c r="T238" s="1462"/>
      <c r="U238" s="1462"/>
      <c r="V238" s="1462"/>
      <c r="W238" s="1462"/>
      <c r="X238" s="1462"/>
      <c r="Y238" s="1462"/>
      <c r="Z238" s="1462"/>
      <c r="AA238" s="1462"/>
    </row>
    <row r="239">
      <c r="A239" s="1493"/>
      <c r="B239" s="1494"/>
      <c r="C239" s="1493"/>
      <c r="D239" s="1493"/>
      <c r="E239" s="1495"/>
      <c r="F239" s="1462"/>
      <c r="G239" s="1462"/>
      <c r="H239" s="1462"/>
      <c r="I239" s="1462"/>
      <c r="J239" s="1462"/>
      <c r="K239" s="1462"/>
      <c r="L239" s="1462"/>
      <c r="M239" s="1462"/>
      <c r="N239" s="1462"/>
      <c r="O239" s="1462"/>
      <c r="P239" s="1462"/>
      <c r="Q239" s="1462"/>
      <c r="R239" s="1462"/>
      <c r="S239" s="1462"/>
      <c r="T239" s="1462"/>
      <c r="U239" s="1462"/>
      <c r="V239" s="1462"/>
      <c r="W239" s="1462"/>
      <c r="X239" s="1462"/>
      <c r="Y239" s="1462"/>
      <c r="Z239" s="1462"/>
      <c r="AA239" s="1462"/>
    </row>
    <row r="240">
      <c r="A240" s="1493"/>
      <c r="B240" s="1494"/>
      <c r="C240" s="1493"/>
      <c r="D240" s="1493"/>
      <c r="E240" s="1495"/>
      <c r="F240" s="1462"/>
      <c r="G240" s="1462"/>
      <c r="H240" s="1462"/>
      <c r="I240" s="1462"/>
      <c r="J240" s="1462"/>
      <c r="K240" s="1462"/>
      <c r="L240" s="1462"/>
      <c r="M240" s="1462"/>
      <c r="N240" s="1462"/>
      <c r="O240" s="1462"/>
      <c r="P240" s="1462"/>
      <c r="Q240" s="1462"/>
      <c r="R240" s="1462"/>
      <c r="S240" s="1462"/>
      <c r="T240" s="1462"/>
      <c r="U240" s="1462"/>
      <c r="V240" s="1462"/>
      <c r="W240" s="1462"/>
      <c r="X240" s="1462"/>
      <c r="Y240" s="1462"/>
      <c r="Z240" s="1462"/>
      <c r="AA240" s="1462"/>
    </row>
    <row r="241">
      <c r="A241" s="1493"/>
      <c r="B241" s="1494"/>
      <c r="C241" s="1493"/>
      <c r="D241" s="1493"/>
      <c r="E241" s="1495"/>
      <c r="F241" s="1462"/>
      <c r="G241" s="1462"/>
      <c r="H241" s="1462"/>
      <c r="I241" s="1462"/>
      <c r="J241" s="1462"/>
      <c r="K241" s="1462"/>
      <c r="L241" s="1462"/>
      <c r="M241" s="1462"/>
      <c r="N241" s="1462"/>
      <c r="O241" s="1462"/>
      <c r="P241" s="1462"/>
      <c r="Q241" s="1462"/>
      <c r="R241" s="1462"/>
      <c r="S241" s="1462"/>
      <c r="T241" s="1462"/>
      <c r="U241" s="1462"/>
      <c r="V241" s="1462"/>
      <c r="W241" s="1462"/>
      <c r="X241" s="1462"/>
      <c r="Y241" s="1462"/>
      <c r="Z241" s="1462"/>
      <c r="AA241" s="1462"/>
    </row>
    <row r="242">
      <c r="A242" s="1493"/>
      <c r="B242" s="1494"/>
      <c r="C242" s="1493"/>
      <c r="D242" s="1493"/>
      <c r="E242" s="1495"/>
      <c r="F242" s="1462"/>
      <c r="G242" s="1462"/>
      <c r="H242" s="1462"/>
      <c r="I242" s="1462"/>
      <c r="J242" s="1462"/>
      <c r="K242" s="1462"/>
      <c r="L242" s="1462"/>
      <c r="M242" s="1462"/>
      <c r="N242" s="1462"/>
      <c r="O242" s="1462"/>
      <c r="P242" s="1462"/>
      <c r="Q242" s="1462"/>
      <c r="R242" s="1462"/>
      <c r="S242" s="1462"/>
      <c r="T242" s="1462"/>
      <c r="U242" s="1462"/>
      <c r="V242" s="1462"/>
      <c r="W242" s="1462"/>
      <c r="X242" s="1462"/>
      <c r="Y242" s="1462"/>
      <c r="Z242" s="1462"/>
      <c r="AA242" s="1462"/>
    </row>
    <row r="243">
      <c r="A243" s="1493"/>
      <c r="B243" s="1494"/>
      <c r="C243" s="1493"/>
      <c r="D243" s="1493"/>
      <c r="E243" s="1495"/>
      <c r="F243" s="1462"/>
      <c r="G243" s="1462"/>
      <c r="H243" s="1462"/>
      <c r="I243" s="1462"/>
      <c r="J243" s="1462"/>
      <c r="K243" s="1462"/>
      <c r="L243" s="1462"/>
      <c r="M243" s="1462"/>
      <c r="N243" s="1462"/>
      <c r="O243" s="1462"/>
      <c r="P243" s="1462"/>
      <c r="Q243" s="1462"/>
      <c r="R243" s="1462"/>
      <c r="S243" s="1462"/>
      <c r="T243" s="1462"/>
      <c r="U243" s="1462"/>
      <c r="V243" s="1462"/>
      <c r="W243" s="1462"/>
      <c r="X243" s="1462"/>
      <c r="Y243" s="1462"/>
      <c r="Z243" s="1462"/>
      <c r="AA243" s="1462"/>
    </row>
    <row r="244">
      <c r="A244" s="1493"/>
      <c r="B244" s="1494"/>
      <c r="C244" s="1493"/>
      <c r="D244" s="1493"/>
      <c r="E244" s="1495"/>
      <c r="F244" s="1462"/>
      <c r="G244" s="1462"/>
      <c r="H244" s="1462"/>
      <c r="I244" s="1462"/>
      <c r="J244" s="1462"/>
      <c r="K244" s="1462"/>
      <c r="L244" s="1462"/>
      <c r="M244" s="1462"/>
      <c r="N244" s="1462"/>
      <c r="O244" s="1462"/>
      <c r="P244" s="1462"/>
      <c r="Q244" s="1462"/>
      <c r="R244" s="1462"/>
      <c r="S244" s="1462"/>
      <c r="T244" s="1462"/>
      <c r="U244" s="1462"/>
      <c r="V244" s="1462"/>
      <c r="W244" s="1462"/>
      <c r="X244" s="1462"/>
      <c r="Y244" s="1462"/>
      <c r="Z244" s="1462"/>
      <c r="AA244" s="1462"/>
    </row>
    <row r="245">
      <c r="A245" s="1493"/>
      <c r="B245" s="1494"/>
      <c r="C245" s="1493"/>
      <c r="D245" s="1493"/>
      <c r="E245" s="1495"/>
      <c r="F245" s="1462"/>
      <c r="G245" s="1462"/>
      <c r="H245" s="1462"/>
      <c r="I245" s="1462"/>
      <c r="J245" s="1462"/>
      <c r="K245" s="1462"/>
      <c r="L245" s="1462"/>
      <c r="M245" s="1462"/>
      <c r="N245" s="1462"/>
      <c r="O245" s="1462"/>
      <c r="P245" s="1462"/>
      <c r="Q245" s="1462"/>
      <c r="R245" s="1462"/>
      <c r="S245" s="1462"/>
      <c r="T245" s="1462"/>
      <c r="U245" s="1462"/>
      <c r="V245" s="1462"/>
      <c r="W245" s="1462"/>
      <c r="X245" s="1462"/>
      <c r="Y245" s="1462"/>
      <c r="Z245" s="1462"/>
      <c r="AA245" s="1462"/>
    </row>
    <row r="246">
      <c r="A246" s="1493"/>
      <c r="B246" s="1494"/>
      <c r="C246" s="1493"/>
      <c r="D246" s="1493"/>
      <c r="E246" s="1495"/>
      <c r="F246" s="1462"/>
      <c r="G246" s="1462"/>
      <c r="H246" s="1462"/>
      <c r="I246" s="1462"/>
      <c r="J246" s="1462"/>
      <c r="K246" s="1462"/>
      <c r="L246" s="1462"/>
      <c r="M246" s="1462"/>
      <c r="N246" s="1462"/>
      <c r="O246" s="1462"/>
      <c r="P246" s="1462"/>
      <c r="Q246" s="1462"/>
      <c r="R246" s="1462"/>
      <c r="S246" s="1462"/>
      <c r="T246" s="1462"/>
      <c r="U246" s="1462"/>
      <c r="V246" s="1462"/>
      <c r="W246" s="1462"/>
      <c r="X246" s="1462"/>
      <c r="Y246" s="1462"/>
      <c r="Z246" s="1462"/>
      <c r="AA246" s="1462"/>
    </row>
    <row r="247">
      <c r="A247" s="1493"/>
      <c r="B247" s="1494"/>
      <c r="C247" s="1493"/>
      <c r="D247" s="1493"/>
      <c r="E247" s="1495"/>
      <c r="F247" s="1462"/>
      <c r="G247" s="1462"/>
      <c r="H247" s="1462"/>
      <c r="I247" s="1462"/>
      <c r="J247" s="1462"/>
      <c r="K247" s="1462"/>
      <c r="L247" s="1462"/>
      <c r="M247" s="1462"/>
      <c r="N247" s="1462"/>
      <c r="O247" s="1462"/>
      <c r="P247" s="1462"/>
      <c r="Q247" s="1462"/>
      <c r="R247" s="1462"/>
      <c r="S247" s="1462"/>
      <c r="T247" s="1462"/>
      <c r="U247" s="1462"/>
      <c r="V247" s="1462"/>
      <c r="W247" s="1462"/>
      <c r="X247" s="1462"/>
      <c r="Y247" s="1462"/>
      <c r="Z247" s="1462"/>
      <c r="AA247" s="1462"/>
    </row>
    <row r="248">
      <c r="A248" s="1493"/>
      <c r="B248" s="1494"/>
      <c r="C248" s="1493"/>
      <c r="D248" s="1493"/>
      <c r="E248" s="1495"/>
      <c r="F248" s="1462"/>
      <c r="G248" s="1462"/>
      <c r="H248" s="1462"/>
      <c r="I248" s="1462"/>
      <c r="J248" s="1462"/>
      <c r="K248" s="1462"/>
      <c r="L248" s="1462"/>
      <c r="M248" s="1462"/>
      <c r="N248" s="1462"/>
      <c r="O248" s="1462"/>
      <c r="P248" s="1462"/>
      <c r="Q248" s="1462"/>
      <c r="R248" s="1462"/>
      <c r="S248" s="1462"/>
      <c r="T248" s="1462"/>
      <c r="U248" s="1462"/>
      <c r="V248" s="1462"/>
      <c r="W248" s="1462"/>
      <c r="X248" s="1462"/>
      <c r="Y248" s="1462"/>
      <c r="Z248" s="1462"/>
      <c r="AA248" s="1462"/>
    </row>
    <row r="249">
      <c r="A249" s="1493"/>
      <c r="B249" s="1494"/>
      <c r="C249" s="1493"/>
      <c r="D249" s="1493"/>
      <c r="E249" s="1495"/>
      <c r="F249" s="1462"/>
      <c r="G249" s="1462"/>
      <c r="H249" s="1462"/>
      <c r="I249" s="1462"/>
      <c r="J249" s="1462"/>
      <c r="K249" s="1462"/>
      <c r="L249" s="1462"/>
      <c r="M249" s="1462"/>
      <c r="N249" s="1462"/>
      <c r="O249" s="1462"/>
      <c r="P249" s="1462"/>
      <c r="Q249" s="1462"/>
      <c r="R249" s="1462"/>
      <c r="S249" s="1462"/>
      <c r="T249" s="1462"/>
      <c r="U249" s="1462"/>
      <c r="V249" s="1462"/>
      <c r="W249" s="1462"/>
      <c r="X249" s="1462"/>
      <c r="Y249" s="1462"/>
      <c r="Z249" s="1462"/>
      <c r="AA249" s="1462"/>
    </row>
    <row r="250">
      <c r="A250" s="1493"/>
      <c r="B250" s="1494"/>
      <c r="C250" s="1493"/>
      <c r="D250" s="1493"/>
      <c r="E250" s="1495"/>
      <c r="F250" s="1462"/>
      <c r="G250" s="1462"/>
      <c r="H250" s="1462"/>
      <c r="I250" s="1462"/>
      <c r="J250" s="1462"/>
      <c r="K250" s="1462"/>
      <c r="L250" s="1462"/>
      <c r="M250" s="1462"/>
      <c r="N250" s="1462"/>
      <c r="O250" s="1462"/>
      <c r="P250" s="1462"/>
      <c r="Q250" s="1462"/>
      <c r="R250" s="1462"/>
      <c r="S250" s="1462"/>
      <c r="T250" s="1462"/>
      <c r="U250" s="1462"/>
      <c r="V250" s="1462"/>
      <c r="W250" s="1462"/>
      <c r="X250" s="1462"/>
      <c r="Y250" s="1462"/>
      <c r="Z250" s="1462"/>
      <c r="AA250" s="1462"/>
    </row>
    <row r="251">
      <c r="A251" s="1493"/>
      <c r="B251" s="1494"/>
      <c r="C251" s="1493"/>
      <c r="D251" s="1493"/>
      <c r="E251" s="1495"/>
      <c r="F251" s="1462"/>
      <c r="G251" s="1462"/>
      <c r="H251" s="1462"/>
      <c r="I251" s="1462"/>
      <c r="J251" s="1462"/>
      <c r="K251" s="1462"/>
      <c r="L251" s="1462"/>
      <c r="M251" s="1462"/>
      <c r="N251" s="1462"/>
      <c r="O251" s="1462"/>
      <c r="P251" s="1462"/>
      <c r="Q251" s="1462"/>
      <c r="R251" s="1462"/>
      <c r="S251" s="1462"/>
      <c r="T251" s="1462"/>
      <c r="U251" s="1462"/>
      <c r="V251" s="1462"/>
      <c r="W251" s="1462"/>
      <c r="X251" s="1462"/>
      <c r="Y251" s="1462"/>
      <c r="Z251" s="1462"/>
      <c r="AA251" s="1462"/>
    </row>
    <row r="252">
      <c r="A252" s="1493"/>
      <c r="B252" s="1494"/>
      <c r="C252" s="1493"/>
      <c r="D252" s="1493"/>
      <c r="E252" s="1495"/>
      <c r="F252" s="1462"/>
      <c r="G252" s="1462"/>
      <c r="H252" s="1462"/>
      <c r="I252" s="1462"/>
      <c r="J252" s="1462"/>
      <c r="K252" s="1462"/>
      <c r="L252" s="1462"/>
      <c r="M252" s="1462"/>
      <c r="N252" s="1462"/>
      <c r="O252" s="1462"/>
      <c r="P252" s="1462"/>
      <c r="Q252" s="1462"/>
      <c r="R252" s="1462"/>
      <c r="S252" s="1462"/>
      <c r="T252" s="1462"/>
      <c r="U252" s="1462"/>
      <c r="V252" s="1462"/>
      <c r="W252" s="1462"/>
      <c r="X252" s="1462"/>
      <c r="Y252" s="1462"/>
      <c r="Z252" s="1462"/>
      <c r="AA252" s="1462"/>
    </row>
    <row r="253">
      <c r="A253" s="1493"/>
      <c r="B253" s="1494"/>
      <c r="C253" s="1493"/>
      <c r="D253" s="1493"/>
      <c r="E253" s="1495"/>
      <c r="F253" s="1462"/>
      <c r="G253" s="1462"/>
      <c r="H253" s="1462"/>
      <c r="I253" s="1462"/>
      <c r="J253" s="1462"/>
      <c r="K253" s="1462"/>
      <c r="L253" s="1462"/>
      <c r="M253" s="1462"/>
      <c r="N253" s="1462"/>
      <c r="O253" s="1462"/>
      <c r="P253" s="1462"/>
      <c r="Q253" s="1462"/>
      <c r="R253" s="1462"/>
      <c r="S253" s="1462"/>
      <c r="T253" s="1462"/>
      <c r="U253" s="1462"/>
      <c r="V253" s="1462"/>
      <c r="W253" s="1462"/>
      <c r="X253" s="1462"/>
      <c r="Y253" s="1462"/>
      <c r="Z253" s="1462"/>
      <c r="AA253" s="1462"/>
    </row>
    <row r="254">
      <c r="A254" s="1493"/>
      <c r="B254" s="1494"/>
      <c r="C254" s="1493"/>
      <c r="D254" s="1493"/>
      <c r="E254" s="1495"/>
      <c r="F254" s="1462"/>
      <c r="G254" s="1462"/>
      <c r="H254" s="1462"/>
      <c r="I254" s="1462"/>
      <c r="J254" s="1462"/>
      <c r="K254" s="1462"/>
      <c r="L254" s="1462"/>
      <c r="M254" s="1462"/>
      <c r="N254" s="1462"/>
      <c r="O254" s="1462"/>
      <c r="P254" s="1462"/>
      <c r="Q254" s="1462"/>
      <c r="R254" s="1462"/>
      <c r="S254" s="1462"/>
      <c r="T254" s="1462"/>
      <c r="U254" s="1462"/>
      <c r="V254" s="1462"/>
      <c r="W254" s="1462"/>
      <c r="X254" s="1462"/>
      <c r="Y254" s="1462"/>
      <c r="Z254" s="1462"/>
      <c r="AA254" s="1462"/>
    </row>
    <row r="255">
      <c r="A255" s="1493"/>
      <c r="B255" s="1494"/>
      <c r="C255" s="1493"/>
      <c r="D255" s="1493"/>
      <c r="E255" s="1495"/>
      <c r="F255" s="1462"/>
      <c r="G255" s="1462"/>
      <c r="H255" s="1462"/>
      <c r="I255" s="1462"/>
      <c r="J255" s="1462"/>
      <c r="K255" s="1462"/>
      <c r="L255" s="1462"/>
      <c r="M255" s="1462"/>
      <c r="N255" s="1462"/>
      <c r="O255" s="1462"/>
      <c r="P255" s="1462"/>
      <c r="Q255" s="1462"/>
      <c r="R255" s="1462"/>
      <c r="S255" s="1462"/>
      <c r="T255" s="1462"/>
      <c r="U255" s="1462"/>
      <c r="V255" s="1462"/>
      <c r="W255" s="1462"/>
      <c r="X255" s="1462"/>
      <c r="Y255" s="1462"/>
      <c r="Z255" s="1462"/>
      <c r="AA255" s="1462"/>
    </row>
    <row r="256">
      <c r="A256" s="1493"/>
      <c r="B256" s="1494"/>
      <c r="C256" s="1493"/>
      <c r="D256" s="1493"/>
      <c r="E256" s="1495"/>
      <c r="F256" s="1462"/>
      <c r="G256" s="1462"/>
      <c r="H256" s="1462"/>
      <c r="I256" s="1462"/>
      <c r="J256" s="1462"/>
      <c r="K256" s="1462"/>
      <c r="L256" s="1462"/>
      <c r="M256" s="1462"/>
      <c r="N256" s="1462"/>
      <c r="O256" s="1462"/>
      <c r="P256" s="1462"/>
      <c r="Q256" s="1462"/>
      <c r="R256" s="1462"/>
      <c r="S256" s="1462"/>
      <c r="T256" s="1462"/>
      <c r="U256" s="1462"/>
      <c r="V256" s="1462"/>
      <c r="W256" s="1462"/>
      <c r="X256" s="1462"/>
      <c r="Y256" s="1462"/>
      <c r="Z256" s="1462"/>
      <c r="AA256" s="1462"/>
    </row>
    <row r="257">
      <c r="A257" s="1493"/>
      <c r="B257" s="1494"/>
      <c r="C257" s="1493"/>
      <c r="D257" s="1493"/>
      <c r="E257" s="1495"/>
      <c r="F257" s="1462"/>
      <c r="G257" s="1462"/>
      <c r="H257" s="1462"/>
      <c r="I257" s="1462"/>
      <c r="J257" s="1462"/>
      <c r="K257" s="1462"/>
      <c r="L257" s="1462"/>
      <c r="M257" s="1462"/>
      <c r="N257" s="1462"/>
      <c r="O257" s="1462"/>
      <c r="P257" s="1462"/>
      <c r="Q257" s="1462"/>
      <c r="R257" s="1462"/>
      <c r="S257" s="1462"/>
      <c r="T257" s="1462"/>
      <c r="U257" s="1462"/>
      <c r="V257" s="1462"/>
      <c r="W257" s="1462"/>
      <c r="X257" s="1462"/>
      <c r="Y257" s="1462"/>
      <c r="Z257" s="1462"/>
      <c r="AA257" s="1462"/>
    </row>
    <row r="258">
      <c r="A258" s="1493"/>
      <c r="B258" s="1494"/>
      <c r="C258" s="1493"/>
      <c r="D258" s="1493"/>
      <c r="E258" s="1495"/>
      <c r="F258" s="1462"/>
      <c r="G258" s="1462"/>
      <c r="H258" s="1462"/>
      <c r="I258" s="1462"/>
      <c r="J258" s="1462"/>
      <c r="K258" s="1462"/>
      <c r="L258" s="1462"/>
      <c r="M258" s="1462"/>
      <c r="N258" s="1462"/>
      <c r="O258" s="1462"/>
      <c r="P258" s="1462"/>
      <c r="Q258" s="1462"/>
      <c r="R258" s="1462"/>
      <c r="S258" s="1462"/>
      <c r="T258" s="1462"/>
      <c r="U258" s="1462"/>
      <c r="V258" s="1462"/>
      <c r="W258" s="1462"/>
      <c r="X258" s="1462"/>
      <c r="Y258" s="1462"/>
      <c r="Z258" s="1462"/>
      <c r="AA258" s="1462"/>
    </row>
    <row r="259">
      <c r="A259" s="1493"/>
      <c r="B259" s="1494"/>
      <c r="C259" s="1493"/>
      <c r="D259" s="1493"/>
      <c r="E259" s="1495"/>
      <c r="F259" s="1462"/>
      <c r="G259" s="1462"/>
      <c r="H259" s="1462"/>
      <c r="I259" s="1462"/>
      <c r="J259" s="1462"/>
      <c r="K259" s="1462"/>
      <c r="L259" s="1462"/>
      <c r="M259" s="1462"/>
      <c r="N259" s="1462"/>
      <c r="O259" s="1462"/>
      <c r="P259" s="1462"/>
      <c r="Q259" s="1462"/>
      <c r="R259" s="1462"/>
      <c r="S259" s="1462"/>
      <c r="T259" s="1462"/>
      <c r="U259" s="1462"/>
      <c r="V259" s="1462"/>
      <c r="W259" s="1462"/>
      <c r="X259" s="1462"/>
      <c r="Y259" s="1462"/>
      <c r="Z259" s="1462"/>
      <c r="AA259" s="1462"/>
    </row>
    <row r="260">
      <c r="A260" s="1493"/>
      <c r="B260" s="1494"/>
      <c r="C260" s="1493"/>
      <c r="D260" s="1493"/>
      <c r="E260" s="1495"/>
      <c r="F260" s="1462"/>
      <c r="G260" s="1462"/>
      <c r="H260" s="1462"/>
      <c r="I260" s="1462"/>
      <c r="J260" s="1462"/>
      <c r="K260" s="1462"/>
      <c r="L260" s="1462"/>
      <c r="M260" s="1462"/>
      <c r="N260" s="1462"/>
      <c r="O260" s="1462"/>
      <c r="P260" s="1462"/>
      <c r="Q260" s="1462"/>
      <c r="R260" s="1462"/>
      <c r="S260" s="1462"/>
      <c r="T260" s="1462"/>
      <c r="U260" s="1462"/>
      <c r="V260" s="1462"/>
      <c r="W260" s="1462"/>
      <c r="X260" s="1462"/>
      <c r="Y260" s="1462"/>
      <c r="Z260" s="1462"/>
      <c r="AA260" s="1462"/>
    </row>
    <row r="261">
      <c r="A261" s="1493"/>
      <c r="B261" s="1494"/>
      <c r="C261" s="1493"/>
      <c r="D261" s="1493"/>
      <c r="E261" s="1495"/>
      <c r="F261" s="1462"/>
      <c r="G261" s="1462"/>
      <c r="H261" s="1462"/>
      <c r="I261" s="1462"/>
      <c r="J261" s="1462"/>
      <c r="K261" s="1462"/>
      <c r="L261" s="1462"/>
      <c r="M261" s="1462"/>
      <c r="N261" s="1462"/>
      <c r="O261" s="1462"/>
      <c r="P261" s="1462"/>
      <c r="Q261" s="1462"/>
      <c r="R261" s="1462"/>
      <c r="S261" s="1462"/>
      <c r="T261" s="1462"/>
      <c r="U261" s="1462"/>
      <c r="V261" s="1462"/>
      <c r="W261" s="1462"/>
      <c r="X261" s="1462"/>
      <c r="Y261" s="1462"/>
      <c r="Z261" s="1462"/>
      <c r="AA261" s="1462"/>
    </row>
    <row r="262">
      <c r="A262" s="1493"/>
      <c r="B262" s="1494"/>
      <c r="C262" s="1493"/>
      <c r="D262" s="1493"/>
      <c r="E262" s="1495"/>
      <c r="F262" s="1462"/>
      <c r="G262" s="1462"/>
      <c r="H262" s="1462"/>
      <c r="I262" s="1462"/>
      <c r="J262" s="1462"/>
      <c r="K262" s="1462"/>
      <c r="L262" s="1462"/>
      <c r="M262" s="1462"/>
      <c r="N262" s="1462"/>
      <c r="O262" s="1462"/>
      <c r="P262" s="1462"/>
      <c r="Q262" s="1462"/>
      <c r="R262" s="1462"/>
      <c r="S262" s="1462"/>
      <c r="T262" s="1462"/>
      <c r="U262" s="1462"/>
      <c r="V262" s="1462"/>
      <c r="W262" s="1462"/>
      <c r="X262" s="1462"/>
      <c r="Y262" s="1462"/>
      <c r="Z262" s="1462"/>
      <c r="AA262" s="1462"/>
    </row>
    <row r="263">
      <c r="A263" s="1493"/>
      <c r="B263" s="1494"/>
      <c r="C263" s="1493"/>
      <c r="D263" s="1493"/>
      <c r="E263" s="1495"/>
      <c r="F263" s="1462"/>
      <c r="G263" s="1462"/>
      <c r="H263" s="1462"/>
      <c r="I263" s="1462"/>
      <c r="J263" s="1462"/>
      <c r="K263" s="1462"/>
      <c r="L263" s="1462"/>
      <c r="M263" s="1462"/>
      <c r="N263" s="1462"/>
      <c r="O263" s="1462"/>
      <c r="P263" s="1462"/>
      <c r="Q263" s="1462"/>
      <c r="R263" s="1462"/>
      <c r="S263" s="1462"/>
      <c r="T263" s="1462"/>
      <c r="U263" s="1462"/>
      <c r="V263" s="1462"/>
      <c r="W263" s="1462"/>
      <c r="X263" s="1462"/>
      <c r="Y263" s="1462"/>
      <c r="Z263" s="1462"/>
      <c r="AA263" s="1462"/>
    </row>
    <row r="264">
      <c r="A264" s="1493"/>
      <c r="B264" s="1494"/>
      <c r="C264" s="1493"/>
      <c r="D264" s="1493"/>
      <c r="E264" s="1495"/>
      <c r="F264" s="1462"/>
      <c r="G264" s="1462"/>
      <c r="H264" s="1462"/>
      <c r="I264" s="1462"/>
      <c r="J264" s="1462"/>
      <c r="K264" s="1462"/>
      <c r="L264" s="1462"/>
      <c r="M264" s="1462"/>
      <c r="N264" s="1462"/>
      <c r="O264" s="1462"/>
      <c r="P264" s="1462"/>
      <c r="Q264" s="1462"/>
      <c r="R264" s="1462"/>
      <c r="S264" s="1462"/>
      <c r="T264" s="1462"/>
      <c r="U264" s="1462"/>
      <c r="V264" s="1462"/>
      <c r="W264" s="1462"/>
      <c r="X264" s="1462"/>
      <c r="Y264" s="1462"/>
      <c r="Z264" s="1462"/>
      <c r="AA264" s="1462"/>
    </row>
    <row r="265">
      <c r="A265" s="1493"/>
      <c r="B265" s="1494"/>
      <c r="C265" s="1493"/>
      <c r="D265" s="1493"/>
      <c r="E265" s="1495"/>
      <c r="F265" s="1462"/>
      <c r="G265" s="1462"/>
      <c r="H265" s="1462"/>
      <c r="I265" s="1462"/>
      <c r="J265" s="1462"/>
      <c r="K265" s="1462"/>
      <c r="L265" s="1462"/>
      <c r="M265" s="1462"/>
      <c r="N265" s="1462"/>
      <c r="O265" s="1462"/>
      <c r="P265" s="1462"/>
      <c r="Q265" s="1462"/>
      <c r="R265" s="1462"/>
      <c r="S265" s="1462"/>
      <c r="T265" s="1462"/>
      <c r="U265" s="1462"/>
      <c r="V265" s="1462"/>
      <c r="W265" s="1462"/>
      <c r="X265" s="1462"/>
      <c r="Y265" s="1462"/>
      <c r="Z265" s="1462"/>
      <c r="AA265" s="1462"/>
    </row>
    <row r="266">
      <c r="A266" s="1493"/>
      <c r="B266" s="1494"/>
      <c r="C266" s="1493"/>
      <c r="D266" s="1493"/>
      <c r="E266" s="1495"/>
      <c r="F266" s="1462"/>
      <c r="G266" s="1462"/>
      <c r="H266" s="1462"/>
      <c r="I266" s="1462"/>
      <c r="J266" s="1462"/>
      <c r="K266" s="1462"/>
      <c r="L266" s="1462"/>
      <c r="M266" s="1462"/>
      <c r="N266" s="1462"/>
      <c r="O266" s="1462"/>
      <c r="P266" s="1462"/>
      <c r="Q266" s="1462"/>
      <c r="R266" s="1462"/>
      <c r="S266" s="1462"/>
      <c r="T266" s="1462"/>
      <c r="U266" s="1462"/>
      <c r="V266" s="1462"/>
      <c r="W266" s="1462"/>
      <c r="X266" s="1462"/>
      <c r="Y266" s="1462"/>
      <c r="Z266" s="1462"/>
      <c r="AA266" s="1462"/>
    </row>
    <row r="267">
      <c r="A267" s="1493"/>
      <c r="B267" s="1494"/>
      <c r="C267" s="1493"/>
      <c r="D267" s="1493"/>
      <c r="E267" s="1495"/>
      <c r="F267" s="1462"/>
      <c r="G267" s="1462"/>
      <c r="H267" s="1462"/>
      <c r="I267" s="1462"/>
      <c r="J267" s="1462"/>
      <c r="K267" s="1462"/>
      <c r="L267" s="1462"/>
      <c r="M267" s="1462"/>
      <c r="N267" s="1462"/>
      <c r="O267" s="1462"/>
      <c r="P267" s="1462"/>
      <c r="Q267" s="1462"/>
      <c r="R267" s="1462"/>
      <c r="S267" s="1462"/>
      <c r="T267" s="1462"/>
      <c r="U267" s="1462"/>
      <c r="V267" s="1462"/>
      <c r="W267" s="1462"/>
      <c r="X267" s="1462"/>
      <c r="Y267" s="1462"/>
      <c r="Z267" s="1462"/>
      <c r="AA267" s="1462"/>
    </row>
    <row r="268">
      <c r="A268" s="1493"/>
      <c r="B268" s="1494"/>
      <c r="C268" s="1493"/>
      <c r="D268" s="1493"/>
      <c r="E268" s="1495"/>
      <c r="F268" s="1462"/>
      <c r="G268" s="1462"/>
      <c r="H268" s="1462"/>
      <c r="I268" s="1462"/>
      <c r="J268" s="1462"/>
      <c r="K268" s="1462"/>
      <c r="L268" s="1462"/>
      <c r="M268" s="1462"/>
      <c r="N268" s="1462"/>
      <c r="O268" s="1462"/>
      <c r="P268" s="1462"/>
      <c r="Q268" s="1462"/>
      <c r="R268" s="1462"/>
      <c r="S268" s="1462"/>
      <c r="T268" s="1462"/>
      <c r="U268" s="1462"/>
      <c r="V268" s="1462"/>
      <c r="W268" s="1462"/>
      <c r="X268" s="1462"/>
      <c r="Y268" s="1462"/>
      <c r="Z268" s="1462"/>
      <c r="AA268" s="1462"/>
    </row>
    <row r="269">
      <c r="A269" s="1493"/>
      <c r="B269" s="1494"/>
      <c r="C269" s="1493"/>
      <c r="D269" s="1493"/>
      <c r="E269" s="1495"/>
      <c r="F269" s="1462"/>
      <c r="G269" s="1462"/>
      <c r="H269" s="1462"/>
      <c r="I269" s="1462"/>
      <c r="J269" s="1462"/>
      <c r="K269" s="1462"/>
      <c r="L269" s="1462"/>
      <c r="M269" s="1462"/>
      <c r="N269" s="1462"/>
      <c r="O269" s="1462"/>
      <c r="P269" s="1462"/>
      <c r="Q269" s="1462"/>
      <c r="R269" s="1462"/>
      <c r="S269" s="1462"/>
      <c r="T269" s="1462"/>
      <c r="U269" s="1462"/>
      <c r="V269" s="1462"/>
      <c r="W269" s="1462"/>
      <c r="X269" s="1462"/>
      <c r="Y269" s="1462"/>
      <c r="Z269" s="1462"/>
      <c r="AA269" s="1462"/>
    </row>
    <row r="270">
      <c r="A270" s="1493"/>
      <c r="B270" s="1494"/>
      <c r="C270" s="1493"/>
      <c r="D270" s="1493"/>
      <c r="E270" s="1495"/>
      <c r="F270" s="1462"/>
      <c r="G270" s="1462"/>
      <c r="H270" s="1462"/>
      <c r="I270" s="1462"/>
      <c r="J270" s="1462"/>
      <c r="K270" s="1462"/>
      <c r="L270" s="1462"/>
      <c r="M270" s="1462"/>
      <c r="N270" s="1462"/>
      <c r="O270" s="1462"/>
      <c r="P270" s="1462"/>
      <c r="Q270" s="1462"/>
      <c r="R270" s="1462"/>
      <c r="S270" s="1462"/>
      <c r="T270" s="1462"/>
      <c r="U270" s="1462"/>
      <c r="V270" s="1462"/>
      <c r="W270" s="1462"/>
      <c r="X270" s="1462"/>
      <c r="Y270" s="1462"/>
      <c r="Z270" s="1462"/>
      <c r="AA270" s="1462"/>
    </row>
    <row r="271">
      <c r="A271" s="1493"/>
      <c r="B271" s="1494"/>
      <c r="C271" s="1493"/>
      <c r="D271" s="1493"/>
      <c r="E271" s="1495"/>
      <c r="F271" s="1462"/>
      <c r="G271" s="1462"/>
      <c r="H271" s="1462"/>
      <c r="I271" s="1462"/>
      <c r="J271" s="1462"/>
      <c r="K271" s="1462"/>
      <c r="L271" s="1462"/>
      <c r="M271" s="1462"/>
      <c r="N271" s="1462"/>
      <c r="O271" s="1462"/>
      <c r="P271" s="1462"/>
      <c r="Q271" s="1462"/>
      <c r="R271" s="1462"/>
      <c r="S271" s="1462"/>
      <c r="T271" s="1462"/>
      <c r="U271" s="1462"/>
      <c r="V271" s="1462"/>
      <c r="W271" s="1462"/>
      <c r="X271" s="1462"/>
      <c r="Y271" s="1462"/>
      <c r="Z271" s="1462"/>
      <c r="AA271" s="1462"/>
    </row>
    <row r="272">
      <c r="A272" s="1493"/>
      <c r="B272" s="1494"/>
      <c r="C272" s="1493"/>
      <c r="D272" s="1493"/>
      <c r="E272" s="1495"/>
      <c r="F272" s="1462"/>
      <c r="G272" s="1462"/>
      <c r="H272" s="1462"/>
      <c r="I272" s="1462"/>
      <c r="J272" s="1462"/>
      <c r="K272" s="1462"/>
      <c r="L272" s="1462"/>
      <c r="M272" s="1462"/>
      <c r="N272" s="1462"/>
      <c r="O272" s="1462"/>
      <c r="P272" s="1462"/>
      <c r="Q272" s="1462"/>
      <c r="R272" s="1462"/>
      <c r="S272" s="1462"/>
      <c r="T272" s="1462"/>
      <c r="U272" s="1462"/>
      <c r="V272" s="1462"/>
      <c r="W272" s="1462"/>
      <c r="X272" s="1462"/>
      <c r="Y272" s="1462"/>
      <c r="Z272" s="1462"/>
      <c r="AA272" s="1462"/>
    </row>
    <row r="273">
      <c r="A273" s="1493"/>
      <c r="B273" s="1494"/>
      <c r="C273" s="1493"/>
      <c r="D273" s="1493"/>
      <c r="E273" s="1495"/>
      <c r="F273" s="1462"/>
      <c r="G273" s="1462"/>
      <c r="H273" s="1462"/>
      <c r="I273" s="1462"/>
      <c r="J273" s="1462"/>
      <c r="K273" s="1462"/>
      <c r="L273" s="1462"/>
      <c r="M273" s="1462"/>
      <c r="N273" s="1462"/>
      <c r="O273" s="1462"/>
      <c r="P273" s="1462"/>
      <c r="Q273" s="1462"/>
      <c r="R273" s="1462"/>
      <c r="S273" s="1462"/>
      <c r="T273" s="1462"/>
      <c r="U273" s="1462"/>
      <c r="V273" s="1462"/>
      <c r="W273" s="1462"/>
      <c r="X273" s="1462"/>
      <c r="Y273" s="1462"/>
      <c r="Z273" s="1462"/>
      <c r="AA273" s="1462"/>
    </row>
    <row r="274">
      <c r="A274" s="1493"/>
      <c r="B274" s="1494"/>
      <c r="C274" s="1493"/>
      <c r="D274" s="1493"/>
      <c r="E274" s="1495"/>
      <c r="F274" s="1462"/>
      <c r="G274" s="1462"/>
      <c r="H274" s="1462"/>
      <c r="I274" s="1462"/>
      <c r="J274" s="1462"/>
      <c r="K274" s="1462"/>
      <c r="L274" s="1462"/>
      <c r="M274" s="1462"/>
      <c r="N274" s="1462"/>
      <c r="O274" s="1462"/>
      <c r="P274" s="1462"/>
      <c r="Q274" s="1462"/>
      <c r="R274" s="1462"/>
      <c r="S274" s="1462"/>
      <c r="T274" s="1462"/>
      <c r="U274" s="1462"/>
      <c r="V274" s="1462"/>
      <c r="W274" s="1462"/>
      <c r="X274" s="1462"/>
      <c r="Y274" s="1462"/>
      <c r="Z274" s="1462"/>
      <c r="AA274" s="1462"/>
    </row>
    <row r="275">
      <c r="A275" s="1493"/>
      <c r="B275" s="1494"/>
      <c r="C275" s="1493"/>
      <c r="D275" s="1493"/>
      <c r="E275" s="1495"/>
      <c r="F275" s="1462"/>
      <c r="G275" s="1462"/>
      <c r="H275" s="1462"/>
      <c r="I275" s="1462"/>
      <c r="J275" s="1462"/>
      <c r="K275" s="1462"/>
      <c r="L275" s="1462"/>
      <c r="M275" s="1462"/>
      <c r="N275" s="1462"/>
      <c r="O275" s="1462"/>
      <c r="P275" s="1462"/>
      <c r="Q275" s="1462"/>
      <c r="R275" s="1462"/>
      <c r="S275" s="1462"/>
      <c r="T275" s="1462"/>
      <c r="U275" s="1462"/>
      <c r="V275" s="1462"/>
      <c r="W275" s="1462"/>
      <c r="X275" s="1462"/>
      <c r="Y275" s="1462"/>
      <c r="Z275" s="1462"/>
      <c r="AA275" s="1462"/>
    </row>
    <row r="276">
      <c r="A276" s="1493"/>
      <c r="B276" s="1494"/>
      <c r="C276" s="1493"/>
      <c r="D276" s="1493"/>
      <c r="E276" s="1495"/>
      <c r="F276" s="1462"/>
      <c r="G276" s="1462"/>
      <c r="H276" s="1462"/>
      <c r="I276" s="1462"/>
      <c r="J276" s="1462"/>
      <c r="K276" s="1462"/>
      <c r="L276" s="1462"/>
      <c r="M276" s="1462"/>
      <c r="N276" s="1462"/>
      <c r="O276" s="1462"/>
      <c r="P276" s="1462"/>
      <c r="Q276" s="1462"/>
      <c r="R276" s="1462"/>
      <c r="S276" s="1462"/>
      <c r="T276" s="1462"/>
      <c r="U276" s="1462"/>
      <c r="V276" s="1462"/>
      <c r="W276" s="1462"/>
      <c r="X276" s="1462"/>
      <c r="Y276" s="1462"/>
      <c r="Z276" s="1462"/>
      <c r="AA276" s="1462"/>
    </row>
    <row r="277">
      <c r="A277" s="1493"/>
      <c r="B277" s="1494"/>
      <c r="C277" s="1493"/>
      <c r="D277" s="1493"/>
      <c r="E277" s="1495"/>
      <c r="F277" s="1462"/>
      <c r="G277" s="1462"/>
      <c r="H277" s="1462"/>
      <c r="I277" s="1462"/>
      <c r="J277" s="1462"/>
      <c r="K277" s="1462"/>
      <c r="L277" s="1462"/>
      <c r="M277" s="1462"/>
      <c r="N277" s="1462"/>
      <c r="O277" s="1462"/>
      <c r="P277" s="1462"/>
      <c r="Q277" s="1462"/>
      <c r="R277" s="1462"/>
      <c r="S277" s="1462"/>
      <c r="T277" s="1462"/>
      <c r="U277" s="1462"/>
      <c r="V277" s="1462"/>
      <c r="W277" s="1462"/>
      <c r="X277" s="1462"/>
      <c r="Y277" s="1462"/>
      <c r="Z277" s="1462"/>
      <c r="AA277" s="1462"/>
    </row>
    <row r="278">
      <c r="A278" s="1493"/>
      <c r="B278" s="1494"/>
      <c r="C278" s="1493"/>
      <c r="D278" s="1493"/>
      <c r="E278" s="1495"/>
      <c r="F278" s="1462"/>
      <c r="G278" s="1462"/>
      <c r="H278" s="1462"/>
      <c r="I278" s="1462"/>
      <c r="J278" s="1462"/>
      <c r="K278" s="1462"/>
      <c r="L278" s="1462"/>
      <c r="M278" s="1462"/>
      <c r="N278" s="1462"/>
      <c r="O278" s="1462"/>
      <c r="P278" s="1462"/>
      <c r="Q278" s="1462"/>
      <c r="R278" s="1462"/>
      <c r="S278" s="1462"/>
      <c r="T278" s="1462"/>
      <c r="U278" s="1462"/>
      <c r="V278" s="1462"/>
      <c r="W278" s="1462"/>
      <c r="X278" s="1462"/>
      <c r="Y278" s="1462"/>
      <c r="Z278" s="1462"/>
      <c r="AA278" s="1462"/>
    </row>
    <row r="279">
      <c r="A279" s="1493"/>
      <c r="B279" s="1494"/>
      <c r="C279" s="1493"/>
      <c r="D279" s="1493"/>
      <c r="E279" s="1495"/>
      <c r="F279" s="1462"/>
      <c r="G279" s="1462"/>
      <c r="H279" s="1462"/>
      <c r="I279" s="1462"/>
      <c r="J279" s="1462"/>
      <c r="K279" s="1462"/>
      <c r="L279" s="1462"/>
      <c r="M279" s="1462"/>
      <c r="N279" s="1462"/>
      <c r="O279" s="1462"/>
      <c r="P279" s="1462"/>
      <c r="Q279" s="1462"/>
      <c r="R279" s="1462"/>
      <c r="S279" s="1462"/>
      <c r="T279" s="1462"/>
      <c r="U279" s="1462"/>
      <c r="V279" s="1462"/>
      <c r="W279" s="1462"/>
      <c r="X279" s="1462"/>
      <c r="Y279" s="1462"/>
      <c r="Z279" s="1462"/>
      <c r="AA279" s="1462"/>
    </row>
    <row r="280">
      <c r="A280" s="1493"/>
      <c r="B280" s="1494"/>
      <c r="C280" s="1493"/>
      <c r="D280" s="1493"/>
      <c r="E280" s="1495"/>
      <c r="F280" s="1462"/>
      <c r="G280" s="1462"/>
      <c r="H280" s="1462"/>
      <c r="I280" s="1462"/>
      <c r="J280" s="1462"/>
      <c r="K280" s="1462"/>
      <c r="L280" s="1462"/>
      <c r="M280" s="1462"/>
      <c r="N280" s="1462"/>
      <c r="O280" s="1462"/>
      <c r="P280" s="1462"/>
      <c r="Q280" s="1462"/>
      <c r="R280" s="1462"/>
      <c r="S280" s="1462"/>
      <c r="T280" s="1462"/>
      <c r="U280" s="1462"/>
      <c r="V280" s="1462"/>
      <c r="W280" s="1462"/>
      <c r="X280" s="1462"/>
      <c r="Y280" s="1462"/>
      <c r="Z280" s="1462"/>
      <c r="AA280" s="1462"/>
    </row>
    <row r="281">
      <c r="A281" s="1493"/>
      <c r="B281" s="1494"/>
      <c r="C281" s="1493"/>
      <c r="D281" s="1493"/>
      <c r="E281" s="1495"/>
      <c r="F281" s="1462"/>
      <c r="G281" s="1462"/>
      <c r="H281" s="1462"/>
      <c r="I281" s="1462"/>
      <c r="J281" s="1462"/>
      <c r="K281" s="1462"/>
      <c r="L281" s="1462"/>
      <c r="M281" s="1462"/>
      <c r="N281" s="1462"/>
      <c r="O281" s="1462"/>
      <c r="P281" s="1462"/>
      <c r="Q281" s="1462"/>
      <c r="R281" s="1462"/>
      <c r="S281" s="1462"/>
      <c r="T281" s="1462"/>
      <c r="U281" s="1462"/>
      <c r="V281" s="1462"/>
      <c r="W281" s="1462"/>
      <c r="X281" s="1462"/>
      <c r="Y281" s="1462"/>
      <c r="Z281" s="1462"/>
      <c r="AA281" s="1462"/>
    </row>
    <row r="282">
      <c r="A282" s="1493"/>
      <c r="B282" s="1494"/>
      <c r="C282" s="1493"/>
      <c r="D282" s="1493"/>
      <c r="E282" s="1495"/>
      <c r="F282" s="1462"/>
      <c r="G282" s="1462"/>
      <c r="H282" s="1462"/>
      <c r="I282" s="1462"/>
      <c r="J282" s="1462"/>
      <c r="K282" s="1462"/>
      <c r="L282" s="1462"/>
      <c r="M282" s="1462"/>
      <c r="N282" s="1462"/>
      <c r="O282" s="1462"/>
      <c r="P282" s="1462"/>
      <c r="Q282" s="1462"/>
      <c r="R282" s="1462"/>
      <c r="S282" s="1462"/>
      <c r="T282" s="1462"/>
      <c r="U282" s="1462"/>
      <c r="V282" s="1462"/>
      <c r="W282" s="1462"/>
      <c r="X282" s="1462"/>
      <c r="Y282" s="1462"/>
      <c r="Z282" s="1462"/>
      <c r="AA282" s="1462"/>
    </row>
    <row r="283">
      <c r="A283" s="1493"/>
      <c r="B283" s="1494"/>
      <c r="C283" s="1493"/>
      <c r="D283" s="1493"/>
      <c r="E283" s="1495"/>
      <c r="F283" s="1462"/>
      <c r="G283" s="1462"/>
      <c r="H283" s="1462"/>
      <c r="I283" s="1462"/>
      <c r="J283" s="1462"/>
      <c r="K283" s="1462"/>
      <c r="L283" s="1462"/>
      <c r="M283" s="1462"/>
      <c r="N283" s="1462"/>
      <c r="O283" s="1462"/>
      <c r="P283" s="1462"/>
      <c r="Q283" s="1462"/>
      <c r="R283" s="1462"/>
      <c r="S283" s="1462"/>
      <c r="T283" s="1462"/>
      <c r="U283" s="1462"/>
      <c r="V283" s="1462"/>
      <c r="W283" s="1462"/>
      <c r="X283" s="1462"/>
      <c r="Y283" s="1462"/>
      <c r="Z283" s="1462"/>
      <c r="AA283" s="1462"/>
    </row>
    <row r="284">
      <c r="A284" s="1493"/>
      <c r="B284" s="1494"/>
      <c r="C284" s="1493"/>
      <c r="D284" s="1493"/>
      <c r="E284" s="1495"/>
      <c r="F284" s="1462"/>
      <c r="G284" s="1462"/>
      <c r="H284" s="1462"/>
      <c r="I284" s="1462"/>
      <c r="J284" s="1462"/>
      <c r="K284" s="1462"/>
      <c r="L284" s="1462"/>
      <c r="M284" s="1462"/>
      <c r="N284" s="1462"/>
      <c r="O284" s="1462"/>
      <c r="P284" s="1462"/>
      <c r="Q284" s="1462"/>
      <c r="R284" s="1462"/>
      <c r="S284" s="1462"/>
      <c r="T284" s="1462"/>
      <c r="U284" s="1462"/>
      <c r="V284" s="1462"/>
      <c r="W284" s="1462"/>
      <c r="X284" s="1462"/>
      <c r="Y284" s="1462"/>
      <c r="Z284" s="1462"/>
      <c r="AA284" s="1462"/>
    </row>
    <row r="285">
      <c r="A285" s="1493"/>
      <c r="B285" s="1494"/>
      <c r="C285" s="1493"/>
      <c r="D285" s="1493"/>
      <c r="E285" s="1495"/>
      <c r="F285" s="1462"/>
      <c r="G285" s="1462"/>
      <c r="H285" s="1462"/>
      <c r="I285" s="1462"/>
      <c r="J285" s="1462"/>
      <c r="K285" s="1462"/>
      <c r="L285" s="1462"/>
      <c r="M285" s="1462"/>
      <c r="N285" s="1462"/>
      <c r="O285" s="1462"/>
      <c r="P285" s="1462"/>
      <c r="Q285" s="1462"/>
      <c r="R285" s="1462"/>
      <c r="S285" s="1462"/>
      <c r="T285" s="1462"/>
      <c r="U285" s="1462"/>
      <c r="V285" s="1462"/>
      <c r="W285" s="1462"/>
      <c r="X285" s="1462"/>
      <c r="Y285" s="1462"/>
      <c r="Z285" s="1462"/>
      <c r="AA285" s="1462"/>
    </row>
    <row r="286">
      <c r="A286" s="1493"/>
      <c r="B286" s="1494"/>
      <c r="C286" s="1493"/>
      <c r="D286" s="1493"/>
      <c r="E286" s="1495"/>
      <c r="F286" s="1462"/>
      <c r="G286" s="1462"/>
      <c r="H286" s="1462"/>
      <c r="I286" s="1462"/>
      <c r="J286" s="1462"/>
      <c r="K286" s="1462"/>
      <c r="L286" s="1462"/>
      <c r="M286" s="1462"/>
      <c r="N286" s="1462"/>
      <c r="O286" s="1462"/>
      <c r="P286" s="1462"/>
      <c r="Q286" s="1462"/>
      <c r="R286" s="1462"/>
      <c r="S286" s="1462"/>
      <c r="T286" s="1462"/>
      <c r="U286" s="1462"/>
      <c r="V286" s="1462"/>
      <c r="W286" s="1462"/>
      <c r="X286" s="1462"/>
      <c r="Y286" s="1462"/>
      <c r="Z286" s="1462"/>
      <c r="AA286" s="1462"/>
    </row>
    <row r="287">
      <c r="A287" s="1493"/>
      <c r="B287" s="1494"/>
      <c r="C287" s="1493"/>
      <c r="D287" s="1493"/>
      <c r="E287" s="1495"/>
      <c r="F287" s="1462"/>
      <c r="G287" s="1462"/>
      <c r="H287" s="1462"/>
      <c r="I287" s="1462"/>
      <c r="J287" s="1462"/>
      <c r="K287" s="1462"/>
      <c r="L287" s="1462"/>
      <c r="M287" s="1462"/>
      <c r="N287" s="1462"/>
      <c r="O287" s="1462"/>
      <c r="P287" s="1462"/>
      <c r="Q287" s="1462"/>
      <c r="R287" s="1462"/>
      <c r="S287" s="1462"/>
      <c r="T287" s="1462"/>
      <c r="U287" s="1462"/>
      <c r="V287" s="1462"/>
      <c r="W287" s="1462"/>
      <c r="X287" s="1462"/>
      <c r="Y287" s="1462"/>
      <c r="Z287" s="1462"/>
      <c r="AA287" s="1462"/>
    </row>
    <row r="288">
      <c r="A288" s="1493"/>
      <c r="B288" s="1494"/>
      <c r="C288" s="1493"/>
      <c r="D288" s="1493"/>
      <c r="E288" s="1495"/>
      <c r="F288" s="1462"/>
      <c r="G288" s="1462"/>
      <c r="H288" s="1462"/>
      <c r="I288" s="1462"/>
      <c r="J288" s="1462"/>
      <c r="K288" s="1462"/>
      <c r="L288" s="1462"/>
      <c r="M288" s="1462"/>
      <c r="N288" s="1462"/>
      <c r="O288" s="1462"/>
      <c r="P288" s="1462"/>
      <c r="Q288" s="1462"/>
      <c r="R288" s="1462"/>
      <c r="S288" s="1462"/>
      <c r="T288" s="1462"/>
      <c r="U288" s="1462"/>
      <c r="V288" s="1462"/>
      <c r="W288" s="1462"/>
      <c r="X288" s="1462"/>
      <c r="Y288" s="1462"/>
      <c r="Z288" s="1462"/>
      <c r="AA288" s="1462"/>
    </row>
    <row r="289">
      <c r="A289" s="1493"/>
      <c r="B289" s="1494"/>
      <c r="C289" s="1493"/>
      <c r="D289" s="1493"/>
      <c r="E289" s="1495"/>
      <c r="F289" s="1462"/>
      <c r="G289" s="1462"/>
      <c r="H289" s="1462"/>
      <c r="I289" s="1462"/>
      <c r="J289" s="1462"/>
      <c r="K289" s="1462"/>
      <c r="L289" s="1462"/>
      <c r="M289" s="1462"/>
      <c r="N289" s="1462"/>
      <c r="O289" s="1462"/>
      <c r="P289" s="1462"/>
      <c r="Q289" s="1462"/>
      <c r="R289" s="1462"/>
      <c r="S289" s="1462"/>
      <c r="T289" s="1462"/>
      <c r="U289" s="1462"/>
      <c r="V289" s="1462"/>
      <c r="W289" s="1462"/>
      <c r="X289" s="1462"/>
      <c r="Y289" s="1462"/>
      <c r="Z289" s="1462"/>
      <c r="AA289" s="1462"/>
    </row>
    <row r="290">
      <c r="A290" s="1493"/>
      <c r="B290" s="1494"/>
      <c r="C290" s="1493"/>
      <c r="D290" s="1493"/>
      <c r="E290" s="1495"/>
      <c r="F290" s="1462"/>
      <c r="G290" s="1462"/>
      <c r="H290" s="1462"/>
      <c r="I290" s="1462"/>
      <c r="J290" s="1462"/>
      <c r="K290" s="1462"/>
      <c r="L290" s="1462"/>
      <c r="M290" s="1462"/>
      <c r="N290" s="1462"/>
      <c r="O290" s="1462"/>
      <c r="P290" s="1462"/>
      <c r="Q290" s="1462"/>
      <c r="R290" s="1462"/>
      <c r="S290" s="1462"/>
      <c r="T290" s="1462"/>
      <c r="U290" s="1462"/>
      <c r="V290" s="1462"/>
      <c r="W290" s="1462"/>
      <c r="X290" s="1462"/>
      <c r="Y290" s="1462"/>
      <c r="Z290" s="1462"/>
      <c r="AA290" s="1462"/>
    </row>
    <row r="291">
      <c r="A291" s="1493"/>
      <c r="B291" s="1494"/>
      <c r="C291" s="1493"/>
      <c r="D291" s="1493"/>
      <c r="E291" s="1495"/>
      <c r="F291" s="1462"/>
      <c r="G291" s="1462"/>
      <c r="H291" s="1462"/>
      <c r="I291" s="1462"/>
      <c r="J291" s="1462"/>
      <c r="K291" s="1462"/>
      <c r="L291" s="1462"/>
      <c r="M291" s="1462"/>
      <c r="N291" s="1462"/>
      <c r="O291" s="1462"/>
      <c r="P291" s="1462"/>
      <c r="Q291" s="1462"/>
      <c r="R291" s="1462"/>
      <c r="S291" s="1462"/>
      <c r="T291" s="1462"/>
      <c r="U291" s="1462"/>
      <c r="V291" s="1462"/>
      <c r="W291" s="1462"/>
      <c r="X291" s="1462"/>
      <c r="Y291" s="1462"/>
      <c r="Z291" s="1462"/>
      <c r="AA291" s="1462"/>
    </row>
    <row r="292">
      <c r="A292" s="1493"/>
      <c r="B292" s="1494"/>
      <c r="C292" s="1493"/>
      <c r="D292" s="1493"/>
      <c r="E292" s="1495"/>
      <c r="F292" s="1462"/>
      <c r="G292" s="1462"/>
      <c r="H292" s="1462"/>
      <c r="I292" s="1462"/>
      <c r="J292" s="1462"/>
      <c r="K292" s="1462"/>
      <c r="L292" s="1462"/>
      <c r="M292" s="1462"/>
      <c r="N292" s="1462"/>
      <c r="O292" s="1462"/>
      <c r="P292" s="1462"/>
      <c r="Q292" s="1462"/>
      <c r="R292" s="1462"/>
      <c r="S292" s="1462"/>
      <c r="T292" s="1462"/>
      <c r="U292" s="1462"/>
      <c r="V292" s="1462"/>
      <c r="W292" s="1462"/>
      <c r="X292" s="1462"/>
      <c r="Y292" s="1462"/>
      <c r="Z292" s="1462"/>
      <c r="AA292" s="1462"/>
    </row>
    <row r="293">
      <c r="A293" s="1493"/>
      <c r="B293" s="1494"/>
      <c r="C293" s="1493"/>
      <c r="D293" s="1493"/>
      <c r="E293" s="1495"/>
      <c r="F293" s="1462"/>
      <c r="G293" s="1462"/>
      <c r="H293" s="1462"/>
      <c r="I293" s="1462"/>
      <c r="J293" s="1462"/>
      <c r="K293" s="1462"/>
      <c r="L293" s="1462"/>
      <c r="M293" s="1462"/>
      <c r="N293" s="1462"/>
      <c r="O293" s="1462"/>
      <c r="P293" s="1462"/>
      <c r="Q293" s="1462"/>
      <c r="R293" s="1462"/>
      <c r="S293" s="1462"/>
      <c r="T293" s="1462"/>
      <c r="U293" s="1462"/>
      <c r="V293" s="1462"/>
      <c r="W293" s="1462"/>
      <c r="X293" s="1462"/>
      <c r="Y293" s="1462"/>
      <c r="Z293" s="1462"/>
      <c r="AA293" s="1462"/>
    </row>
    <row r="294">
      <c r="A294" s="1493"/>
      <c r="B294" s="1494"/>
      <c r="C294" s="1493"/>
      <c r="D294" s="1493"/>
      <c r="E294" s="1495"/>
      <c r="F294" s="1462"/>
      <c r="G294" s="1462"/>
      <c r="H294" s="1462"/>
      <c r="I294" s="1462"/>
      <c r="J294" s="1462"/>
      <c r="K294" s="1462"/>
      <c r="L294" s="1462"/>
      <c r="M294" s="1462"/>
      <c r="N294" s="1462"/>
      <c r="O294" s="1462"/>
      <c r="P294" s="1462"/>
      <c r="Q294" s="1462"/>
      <c r="R294" s="1462"/>
      <c r="S294" s="1462"/>
      <c r="T294" s="1462"/>
      <c r="U294" s="1462"/>
      <c r="V294" s="1462"/>
      <c r="W294" s="1462"/>
      <c r="X294" s="1462"/>
      <c r="Y294" s="1462"/>
      <c r="Z294" s="1462"/>
      <c r="AA294" s="1462"/>
    </row>
    <row r="295">
      <c r="A295" s="1493"/>
      <c r="B295" s="1494"/>
      <c r="C295" s="1493"/>
      <c r="D295" s="1493"/>
      <c r="E295" s="1495"/>
      <c r="F295" s="1462"/>
      <c r="G295" s="1462"/>
      <c r="H295" s="1462"/>
      <c r="I295" s="1462"/>
      <c r="J295" s="1462"/>
      <c r="K295" s="1462"/>
      <c r="L295" s="1462"/>
      <c r="M295" s="1462"/>
      <c r="N295" s="1462"/>
      <c r="O295" s="1462"/>
      <c r="P295" s="1462"/>
      <c r="Q295" s="1462"/>
      <c r="R295" s="1462"/>
      <c r="S295" s="1462"/>
      <c r="T295" s="1462"/>
      <c r="U295" s="1462"/>
      <c r="V295" s="1462"/>
      <c r="W295" s="1462"/>
      <c r="X295" s="1462"/>
      <c r="Y295" s="1462"/>
      <c r="Z295" s="1462"/>
      <c r="AA295" s="1462"/>
    </row>
    <row r="296">
      <c r="A296" s="1493"/>
      <c r="B296" s="1494"/>
      <c r="C296" s="1493"/>
      <c r="D296" s="1493"/>
      <c r="E296" s="1495"/>
      <c r="F296" s="1462"/>
      <c r="G296" s="1462"/>
      <c r="H296" s="1462"/>
      <c r="I296" s="1462"/>
      <c r="J296" s="1462"/>
      <c r="K296" s="1462"/>
      <c r="L296" s="1462"/>
      <c r="M296" s="1462"/>
      <c r="N296" s="1462"/>
      <c r="O296" s="1462"/>
      <c r="P296" s="1462"/>
      <c r="Q296" s="1462"/>
      <c r="R296" s="1462"/>
      <c r="S296" s="1462"/>
      <c r="T296" s="1462"/>
      <c r="U296" s="1462"/>
      <c r="V296" s="1462"/>
      <c r="W296" s="1462"/>
      <c r="X296" s="1462"/>
      <c r="Y296" s="1462"/>
      <c r="Z296" s="1462"/>
      <c r="AA296" s="1462"/>
    </row>
    <row r="297">
      <c r="A297" s="1493"/>
      <c r="B297" s="1494"/>
      <c r="C297" s="1493"/>
      <c r="D297" s="1493"/>
      <c r="E297" s="1495"/>
      <c r="F297" s="1462"/>
      <c r="G297" s="1462"/>
      <c r="H297" s="1462"/>
      <c r="I297" s="1462"/>
      <c r="J297" s="1462"/>
      <c r="K297" s="1462"/>
      <c r="L297" s="1462"/>
      <c r="M297" s="1462"/>
      <c r="N297" s="1462"/>
      <c r="O297" s="1462"/>
      <c r="P297" s="1462"/>
      <c r="Q297" s="1462"/>
      <c r="R297" s="1462"/>
      <c r="S297" s="1462"/>
      <c r="T297" s="1462"/>
      <c r="U297" s="1462"/>
      <c r="V297" s="1462"/>
      <c r="W297" s="1462"/>
      <c r="X297" s="1462"/>
      <c r="Y297" s="1462"/>
      <c r="Z297" s="1462"/>
      <c r="AA297" s="1462"/>
    </row>
    <row r="298">
      <c r="A298" s="1493"/>
      <c r="B298" s="1494"/>
      <c r="C298" s="1493"/>
      <c r="D298" s="1493"/>
      <c r="E298" s="1495"/>
      <c r="F298" s="1462"/>
      <c r="G298" s="1462"/>
      <c r="H298" s="1462"/>
      <c r="I298" s="1462"/>
      <c r="J298" s="1462"/>
      <c r="K298" s="1462"/>
      <c r="L298" s="1462"/>
      <c r="M298" s="1462"/>
      <c r="N298" s="1462"/>
      <c r="O298" s="1462"/>
      <c r="P298" s="1462"/>
      <c r="Q298" s="1462"/>
      <c r="R298" s="1462"/>
      <c r="S298" s="1462"/>
      <c r="T298" s="1462"/>
      <c r="U298" s="1462"/>
      <c r="V298" s="1462"/>
      <c r="W298" s="1462"/>
      <c r="X298" s="1462"/>
      <c r="Y298" s="1462"/>
      <c r="Z298" s="1462"/>
      <c r="AA298" s="1462"/>
    </row>
    <row r="299">
      <c r="A299" s="1493"/>
      <c r="B299" s="1494"/>
      <c r="C299" s="1493"/>
      <c r="D299" s="1493"/>
      <c r="E299" s="1495"/>
      <c r="F299" s="1462"/>
      <c r="G299" s="1462"/>
      <c r="H299" s="1462"/>
      <c r="I299" s="1462"/>
      <c r="J299" s="1462"/>
      <c r="K299" s="1462"/>
      <c r="L299" s="1462"/>
      <c r="M299" s="1462"/>
      <c r="N299" s="1462"/>
      <c r="O299" s="1462"/>
      <c r="P299" s="1462"/>
      <c r="Q299" s="1462"/>
      <c r="R299" s="1462"/>
      <c r="S299" s="1462"/>
      <c r="T299" s="1462"/>
      <c r="U299" s="1462"/>
      <c r="V299" s="1462"/>
      <c r="W299" s="1462"/>
      <c r="X299" s="1462"/>
      <c r="Y299" s="1462"/>
      <c r="Z299" s="1462"/>
      <c r="AA299" s="1462"/>
    </row>
    <row r="300">
      <c r="A300" s="1493"/>
      <c r="B300" s="1494"/>
      <c r="C300" s="1493"/>
      <c r="D300" s="1493"/>
      <c r="E300" s="1495"/>
      <c r="F300" s="1462"/>
      <c r="G300" s="1462"/>
      <c r="H300" s="1462"/>
      <c r="I300" s="1462"/>
      <c r="J300" s="1462"/>
      <c r="K300" s="1462"/>
      <c r="L300" s="1462"/>
      <c r="M300" s="1462"/>
      <c r="N300" s="1462"/>
      <c r="O300" s="1462"/>
      <c r="P300" s="1462"/>
      <c r="Q300" s="1462"/>
      <c r="R300" s="1462"/>
      <c r="S300" s="1462"/>
      <c r="T300" s="1462"/>
      <c r="U300" s="1462"/>
      <c r="V300" s="1462"/>
      <c r="W300" s="1462"/>
      <c r="X300" s="1462"/>
      <c r="Y300" s="1462"/>
      <c r="Z300" s="1462"/>
      <c r="AA300" s="1462"/>
    </row>
    <row r="301">
      <c r="A301" s="1493"/>
      <c r="B301" s="1494"/>
      <c r="C301" s="1493"/>
      <c r="D301" s="1493"/>
      <c r="E301" s="1495"/>
      <c r="F301" s="1462"/>
      <c r="G301" s="1462"/>
      <c r="H301" s="1462"/>
      <c r="I301" s="1462"/>
      <c r="J301" s="1462"/>
      <c r="K301" s="1462"/>
      <c r="L301" s="1462"/>
      <c r="M301" s="1462"/>
      <c r="N301" s="1462"/>
      <c r="O301" s="1462"/>
      <c r="P301" s="1462"/>
      <c r="Q301" s="1462"/>
      <c r="R301" s="1462"/>
      <c r="S301" s="1462"/>
      <c r="T301" s="1462"/>
      <c r="U301" s="1462"/>
      <c r="V301" s="1462"/>
      <c r="W301" s="1462"/>
      <c r="X301" s="1462"/>
      <c r="Y301" s="1462"/>
      <c r="Z301" s="1462"/>
      <c r="AA301" s="1462"/>
    </row>
    <row r="302">
      <c r="A302" s="1493"/>
      <c r="B302" s="1494"/>
      <c r="C302" s="1493"/>
      <c r="D302" s="1493"/>
      <c r="E302" s="1495"/>
      <c r="F302" s="1462"/>
      <c r="G302" s="1462"/>
      <c r="H302" s="1462"/>
      <c r="I302" s="1462"/>
      <c r="J302" s="1462"/>
      <c r="K302" s="1462"/>
      <c r="L302" s="1462"/>
      <c r="M302" s="1462"/>
      <c r="N302" s="1462"/>
      <c r="O302" s="1462"/>
      <c r="P302" s="1462"/>
      <c r="Q302" s="1462"/>
      <c r="R302" s="1462"/>
      <c r="S302" s="1462"/>
      <c r="T302" s="1462"/>
      <c r="U302" s="1462"/>
      <c r="V302" s="1462"/>
      <c r="W302" s="1462"/>
      <c r="X302" s="1462"/>
      <c r="Y302" s="1462"/>
      <c r="Z302" s="1462"/>
      <c r="AA302" s="1462"/>
    </row>
    <row r="303">
      <c r="A303" s="1493"/>
      <c r="B303" s="1494"/>
      <c r="C303" s="1493"/>
      <c r="D303" s="1493"/>
      <c r="E303" s="1495"/>
      <c r="F303" s="1462"/>
      <c r="G303" s="1462"/>
      <c r="H303" s="1462"/>
      <c r="I303" s="1462"/>
      <c r="J303" s="1462"/>
      <c r="K303" s="1462"/>
      <c r="L303" s="1462"/>
      <c r="M303" s="1462"/>
      <c r="N303" s="1462"/>
      <c r="O303" s="1462"/>
      <c r="P303" s="1462"/>
      <c r="Q303" s="1462"/>
      <c r="R303" s="1462"/>
      <c r="S303" s="1462"/>
      <c r="T303" s="1462"/>
      <c r="U303" s="1462"/>
      <c r="V303" s="1462"/>
      <c r="W303" s="1462"/>
      <c r="X303" s="1462"/>
      <c r="Y303" s="1462"/>
      <c r="Z303" s="1462"/>
      <c r="AA303" s="1462"/>
    </row>
    <row r="304">
      <c r="A304" s="1493"/>
      <c r="B304" s="1494"/>
      <c r="C304" s="1493"/>
      <c r="D304" s="1493"/>
      <c r="E304" s="1495"/>
      <c r="F304" s="1462"/>
      <c r="G304" s="1462"/>
      <c r="H304" s="1462"/>
      <c r="I304" s="1462"/>
      <c r="J304" s="1462"/>
      <c r="K304" s="1462"/>
      <c r="L304" s="1462"/>
      <c r="M304" s="1462"/>
      <c r="N304" s="1462"/>
      <c r="O304" s="1462"/>
      <c r="P304" s="1462"/>
      <c r="Q304" s="1462"/>
      <c r="R304" s="1462"/>
      <c r="S304" s="1462"/>
      <c r="T304" s="1462"/>
      <c r="U304" s="1462"/>
      <c r="V304" s="1462"/>
      <c r="W304" s="1462"/>
      <c r="X304" s="1462"/>
      <c r="Y304" s="1462"/>
      <c r="Z304" s="1462"/>
      <c r="AA304" s="1462"/>
    </row>
    <row r="305">
      <c r="A305" s="1493"/>
      <c r="B305" s="1494"/>
      <c r="C305" s="1493"/>
      <c r="D305" s="1493"/>
      <c r="E305" s="1495"/>
      <c r="F305" s="1462"/>
      <c r="G305" s="1462"/>
      <c r="H305" s="1462"/>
      <c r="I305" s="1462"/>
      <c r="J305" s="1462"/>
      <c r="K305" s="1462"/>
      <c r="L305" s="1462"/>
      <c r="M305" s="1462"/>
      <c r="N305" s="1462"/>
      <c r="O305" s="1462"/>
      <c r="P305" s="1462"/>
      <c r="Q305" s="1462"/>
      <c r="R305" s="1462"/>
      <c r="S305" s="1462"/>
      <c r="T305" s="1462"/>
      <c r="U305" s="1462"/>
      <c r="V305" s="1462"/>
      <c r="W305" s="1462"/>
      <c r="X305" s="1462"/>
      <c r="Y305" s="1462"/>
      <c r="Z305" s="1462"/>
      <c r="AA305" s="1462"/>
    </row>
    <row r="306">
      <c r="A306" s="1493"/>
      <c r="B306" s="1494"/>
      <c r="C306" s="1493"/>
      <c r="D306" s="1493"/>
      <c r="E306" s="1495"/>
      <c r="F306" s="1462"/>
      <c r="G306" s="1462"/>
      <c r="H306" s="1462"/>
      <c r="I306" s="1462"/>
      <c r="J306" s="1462"/>
      <c r="K306" s="1462"/>
      <c r="L306" s="1462"/>
      <c r="M306" s="1462"/>
      <c r="N306" s="1462"/>
      <c r="O306" s="1462"/>
      <c r="P306" s="1462"/>
      <c r="Q306" s="1462"/>
      <c r="R306" s="1462"/>
      <c r="S306" s="1462"/>
      <c r="T306" s="1462"/>
      <c r="U306" s="1462"/>
      <c r="V306" s="1462"/>
      <c r="W306" s="1462"/>
      <c r="X306" s="1462"/>
      <c r="Y306" s="1462"/>
      <c r="Z306" s="1462"/>
      <c r="AA306" s="1462"/>
    </row>
    <row r="307">
      <c r="A307" s="1493"/>
      <c r="B307" s="1494"/>
      <c r="C307" s="1493"/>
      <c r="D307" s="1493"/>
      <c r="E307" s="1495"/>
      <c r="F307" s="1462"/>
      <c r="G307" s="1462"/>
      <c r="H307" s="1462"/>
      <c r="I307" s="1462"/>
      <c r="J307" s="1462"/>
      <c r="K307" s="1462"/>
      <c r="L307" s="1462"/>
      <c r="M307" s="1462"/>
      <c r="N307" s="1462"/>
      <c r="O307" s="1462"/>
      <c r="P307" s="1462"/>
      <c r="Q307" s="1462"/>
      <c r="R307" s="1462"/>
      <c r="S307" s="1462"/>
      <c r="T307" s="1462"/>
      <c r="U307" s="1462"/>
      <c r="V307" s="1462"/>
      <c r="W307" s="1462"/>
      <c r="X307" s="1462"/>
      <c r="Y307" s="1462"/>
      <c r="Z307" s="1462"/>
      <c r="AA307" s="1462"/>
    </row>
    <row r="308">
      <c r="A308" s="1493"/>
      <c r="B308" s="1494"/>
      <c r="C308" s="1493"/>
      <c r="D308" s="1493"/>
      <c r="E308" s="1495"/>
      <c r="F308" s="1462"/>
      <c r="G308" s="1462"/>
      <c r="H308" s="1462"/>
      <c r="I308" s="1462"/>
      <c r="J308" s="1462"/>
      <c r="K308" s="1462"/>
      <c r="L308" s="1462"/>
      <c r="M308" s="1462"/>
      <c r="N308" s="1462"/>
      <c r="O308" s="1462"/>
      <c r="P308" s="1462"/>
      <c r="Q308" s="1462"/>
      <c r="R308" s="1462"/>
      <c r="S308" s="1462"/>
      <c r="T308" s="1462"/>
      <c r="U308" s="1462"/>
      <c r="V308" s="1462"/>
      <c r="W308" s="1462"/>
      <c r="X308" s="1462"/>
      <c r="Y308" s="1462"/>
      <c r="Z308" s="1462"/>
      <c r="AA308" s="1462"/>
    </row>
    <row r="309">
      <c r="A309" s="1493"/>
      <c r="B309" s="1494"/>
      <c r="C309" s="1493"/>
      <c r="D309" s="1493"/>
      <c r="E309" s="1495"/>
      <c r="F309" s="1462"/>
      <c r="G309" s="1462"/>
      <c r="H309" s="1462"/>
      <c r="I309" s="1462"/>
      <c r="J309" s="1462"/>
      <c r="K309" s="1462"/>
      <c r="L309" s="1462"/>
      <c r="M309" s="1462"/>
      <c r="N309" s="1462"/>
      <c r="O309" s="1462"/>
      <c r="P309" s="1462"/>
      <c r="Q309" s="1462"/>
      <c r="R309" s="1462"/>
      <c r="S309" s="1462"/>
      <c r="T309" s="1462"/>
      <c r="U309" s="1462"/>
      <c r="V309" s="1462"/>
      <c r="W309" s="1462"/>
      <c r="X309" s="1462"/>
      <c r="Y309" s="1462"/>
      <c r="Z309" s="1462"/>
      <c r="AA309" s="1462"/>
    </row>
    <row r="310">
      <c r="A310" s="1493"/>
      <c r="B310" s="1494"/>
      <c r="C310" s="1493"/>
      <c r="D310" s="1493"/>
      <c r="E310" s="1495"/>
      <c r="F310" s="1462"/>
      <c r="G310" s="1462"/>
      <c r="H310" s="1462"/>
      <c r="I310" s="1462"/>
      <c r="J310" s="1462"/>
      <c r="K310" s="1462"/>
      <c r="L310" s="1462"/>
      <c r="M310" s="1462"/>
      <c r="N310" s="1462"/>
      <c r="O310" s="1462"/>
      <c r="P310" s="1462"/>
      <c r="Q310" s="1462"/>
      <c r="R310" s="1462"/>
      <c r="S310" s="1462"/>
      <c r="T310" s="1462"/>
      <c r="U310" s="1462"/>
      <c r="V310" s="1462"/>
      <c r="W310" s="1462"/>
      <c r="X310" s="1462"/>
      <c r="Y310" s="1462"/>
      <c r="Z310" s="1462"/>
      <c r="AA310" s="1462"/>
    </row>
    <row r="311">
      <c r="A311" s="1493"/>
      <c r="B311" s="1494"/>
      <c r="C311" s="1493"/>
      <c r="D311" s="1493"/>
      <c r="E311" s="1495"/>
      <c r="F311" s="1462"/>
      <c r="G311" s="1462"/>
      <c r="H311" s="1462"/>
      <c r="I311" s="1462"/>
      <c r="J311" s="1462"/>
      <c r="K311" s="1462"/>
      <c r="L311" s="1462"/>
      <c r="M311" s="1462"/>
      <c r="N311" s="1462"/>
      <c r="O311" s="1462"/>
      <c r="P311" s="1462"/>
      <c r="Q311" s="1462"/>
      <c r="R311" s="1462"/>
      <c r="S311" s="1462"/>
      <c r="T311" s="1462"/>
      <c r="U311" s="1462"/>
      <c r="V311" s="1462"/>
      <c r="W311" s="1462"/>
      <c r="X311" s="1462"/>
      <c r="Y311" s="1462"/>
      <c r="Z311" s="1462"/>
      <c r="AA311" s="1462"/>
    </row>
    <row r="312">
      <c r="A312" s="1493"/>
      <c r="B312" s="1494"/>
      <c r="C312" s="1493"/>
      <c r="D312" s="1493"/>
      <c r="E312" s="1495"/>
      <c r="F312" s="1462"/>
      <c r="G312" s="1462"/>
      <c r="H312" s="1462"/>
      <c r="I312" s="1462"/>
      <c r="J312" s="1462"/>
      <c r="K312" s="1462"/>
      <c r="L312" s="1462"/>
      <c r="M312" s="1462"/>
      <c r="N312" s="1462"/>
      <c r="O312" s="1462"/>
      <c r="P312" s="1462"/>
      <c r="Q312" s="1462"/>
      <c r="R312" s="1462"/>
      <c r="S312" s="1462"/>
      <c r="T312" s="1462"/>
      <c r="U312" s="1462"/>
      <c r="V312" s="1462"/>
      <c r="W312" s="1462"/>
      <c r="X312" s="1462"/>
      <c r="Y312" s="1462"/>
      <c r="Z312" s="1462"/>
      <c r="AA312" s="1462"/>
    </row>
    <row r="313">
      <c r="A313" s="1493"/>
      <c r="B313" s="1494"/>
      <c r="C313" s="1493"/>
      <c r="D313" s="1493"/>
      <c r="E313" s="1495"/>
      <c r="F313" s="1462"/>
      <c r="G313" s="1462"/>
      <c r="H313" s="1462"/>
      <c r="I313" s="1462"/>
      <c r="J313" s="1462"/>
      <c r="K313" s="1462"/>
      <c r="L313" s="1462"/>
      <c r="M313" s="1462"/>
      <c r="N313" s="1462"/>
      <c r="O313" s="1462"/>
      <c r="P313" s="1462"/>
      <c r="Q313" s="1462"/>
      <c r="R313" s="1462"/>
      <c r="S313" s="1462"/>
      <c r="T313" s="1462"/>
      <c r="U313" s="1462"/>
      <c r="V313" s="1462"/>
      <c r="W313" s="1462"/>
      <c r="X313" s="1462"/>
      <c r="Y313" s="1462"/>
      <c r="Z313" s="1462"/>
      <c r="AA313" s="1462"/>
    </row>
    <row r="314">
      <c r="A314" s="1493"/>
      <c r="B314" s="1494"/>
      <c r="C314" s="1493"/>
      <c r="D314" s="1493"/>
      <c r="E314" s="1495"/>
      <c r="F314" s="1462"/>
      <c r="G314" s="1462"/>
      <c r="H314" s="1462"/>
      <c r="I314" s="1462"/>
      <c r="J314" s="1462"/>
      <c r="K314" s="1462"/>
      <c r="L314" s="1462"/>
      <c r="M314" s="1462"/>
      <c r="N314" s="1462"/>
      <c r="O314" s="1462"/>
      <c r="P314" s="1462"/>
      <c r="Q314" s="1462"/>
      <c r="R314" s="1462"/>
      <c r="S314" s="1462"/>
      <c r="T314" s="1462"/>
      <c r="U314" s="1462"/>
      <c r="V314" s="1462"/>
      <c r="W314" s="1462"/>
      <c r="X314" s="1462"/>
      <c r="Y314" s="1462"/>
      <c r="Z314" s="1462"/>
      <c r="AA314" s="1462"/>
    </row>
    <row r="315">
      <c r="A315" s="1493"/>
      <c r="B315" s="1494"/>
      <c r="C315" s="1493"/>
      <c r="D315" s="1493"/>
      <c r="E315" s="1495"/>
      <c r="F315" s="1462"/>
      <c r="G315" s="1462"/>
      <c r="H315" s="1462"/>
      <c r="I315" s="1462"/>
      <c r="J315" s="1462"/>
      <c r="K315" s="1462"/>
      <c r="L315" s="1462"/>
      <c r="M315" s="1462"/>
      <c r="N315" s="1462"/>
      <c r="O315" s="1462"/>
      <c r="P315" s="1462"/>
      <c r="Q315" s="1462"/>
      <c r="R315" s="1462"/>
      <c r="S315" s="1462"/>
      <c r="T315" s="1462"/>
      <c r="U315" s="1462"/>
      <c r="V315" s="1462"/>
      <c r="W315" s="1462"/>
      <c r="X315" s="1462"/>
      <c r="Y315" s="1462"/>
      <c r="Z315" s="1462"/>
      <c r="AA315" s="1462"/>
    </row>
    <row r="316">
      <c r="A316" s="1493"/>
      <c r="B316" s="1494"/>
      <c r="C316" s="1493"/>
      <c r="D316" s="1493"/>
      <c r="E316" s="1495"/>
      <c r="F316" s="1462"/>
      <c r="G316" s="1462"/>
      <c r="H316" s="1462"/>
      <c r="I316" s="1462"/>
      <c r="J316" s="1462"/>
      <c r="K316" s="1462"/>
      <c r="L316" s="1462"/>
      <c r="M316" s="1462"/>
      <c r="N316" s="1462"/>
      <c r="O316" s="1462"/>
      <c r="P316" s="1462"/>
      <c r="Q316" s="1462"/>
      <c r="R316" s="1462"/>
      <c r="S316" s="1462"/>
      <c r="T316" s="1462"/>
      <c r="U316" s="1462"/>
      <c r="V316" s="1462"/>
      <c r="W316" s="1462"/>
      <c r="X316" s="1462"/>
      <c r="Y316" s="1462"/>
      <c r="Z316" s="1462"/>
      <c r="AA316" s="1462"/>
    </row>
    <row r="317">
      <c r="A317" s="1493"/>
      <c r="B317" s="1494"/>
      <c r="C317" s="1493"/>
      <c r="D317" s="1493"/>
      <c r="E317" s="1495"/>
      <c r="F317" s="1462"/>
      <c r="G317" s="1462"/>
      <c r="H317" s="1462"/>
      <c r="I317" s="1462"/>
      <c r="J317" s="1462"/>
      <c r="K317" s="1462"/>
      <c r="L317" s="1462"/>
      <c r="M317" s="1462"/>
      <c r="N317" s="1462"/>
      <c r="O317" s="1462"/>
      <c r="P317" s="1462"/>
      <c r="Q317" s="1462"/>
      <c r="R317" s="1462"/>
      <c r="S317" s="1462"/>
      <c r="T317" s="1462"/>
      <c r="U317" s="1462"/>
      <c r="V317" s="1462"/>
      <c r="W317" s="1462"/>
      <c r="X317" s="1462"/>
      <c r="Y317" s="1462"/>
      <c r="Z317" s="1462"/>
      <c r="AA317" s="1462"/>
    </row>
    <row r="318">
      <c r="A318" s="1493"/>
      <c r="B318" s="1494"/>
      <c r="C318" s="1493"/>
      <c r="D318" s="1493"/>
      <c r="E318" s="1495"/>
      <c r="F318" s="1462"/>
      <c r="G318" s="1462"/>
      <c r="H318" s="1462"/>
      <c r="I318" s="1462"/>
      <c r="J318" s="1462"/>
      <c r="K318" s="1462"/>
      <c r="L318" s="1462"/>
      <c r="M318" s="1462"/>
      <c r="N318" s="1462"/>
      <c r="O318" s="1462"/>
      <c r="P318" s="1462"/>
      <c r="Q318" s="1462"/>
      <c r="R318" s="1462"/>
      <c r="S318" s="1462"/>
      <c r="T318" s="1462"/>
      <c r="U318" s="1462"/>
      <c r="V318" s="1462"/>
      <c r="W318" s="1462"/>
      <c r="X318" s="1462"/>
      <c r="Y318" s="1462"/>
      <c r="Z318" s="1462"/>
      <c r="AA318" s="1462"/>
    </row>
    <row r="319">
      <c r="A319" s="1493"/>
      <c r="B319" s="1494"/>
      <c r="C319" s="1493"/>
      <c r="D319" s="1493"/>
      <c r="E319" s="1495"/>
      <c r="F319" s="1462"/>
      <c r="G319" s="1462"/>
      <c r="H319" s="1462"/>
      <c r="I319" s="1462"/>
      <c r="J319" s="1462"/>
      <c r="K319" s="1462"/>
      <c r="L319" s="1462"/>
      <c r="M319" s="1462"/>
      <c r="N319" s="1462"/>
      <c r="O319" s="1462"/>
      <c r="P319" s="1462"/>
      <c r="Q319" s="1462"/>
      <c r="R319" s="1462"/>
      <c r="S319" s="1462"/>
      <c r="T319" s="1462"/>
      <c r="U319" s="1462"/>
      <c r="V319" s="1462"/>
      <c r="W319" s="1462"/>
      <c r="X319" s="1462"/>
      <c r="Y319" s="1462"/>
      <c r="Z319" s="1462"/>
      <c r="AA319" s="1462"/>
    </row>
    <row r="320">
      <c r="A320" s="1493"/>
      <c r="B320" s="1494"/>
      <c r="C320" s="1493"/>
      <c r="D320" s="1493"/>
      <c r="E320" s="1495"/>
      <c r="F320" s="1462"/>
      <c r="G320" s="1462"/>
      <c r="H320" s="1462"/>
      <c r="I320" s="1462"/>
      <c r="J320" s="1462"/>
      <c r="K320" s="1462"/>
      <c r="L320" s="1462"/>
      <c r="M320" s="1462"/>
      <c r="N320" s="1462"/>
      <c r="O320" s="1462"/>
      <c r="P320" s="1462"/>
      <c r="Q320" s="1462"/>
      <c r="R320" s="1462"/>
      <c r="S320" s="1462"/>
      <c r="T320" s="1462"/>
      <c r="U320" s="1462"/>
      <c r="V320" s="1462"/>
      <c r="W320" s="1462"/>
      <c r="X320" s="1462"/>
      <c r="Y320" s="1462"/>
      <c r="Z320" s="1462"/>
      <c r="AA320" s="1462"/>
    </row>
    <row r="321">
      <c r="A321" s="1493"/>
      <c r="B321" s="1494"/>
      <c r="C321" s="1493"/>
      <c r="D321" s="1493"/>
      <c r="E321" s="1495"/>
      <c r="F321" s="1462"/>
      <c r="G321" s="1462"/>
      <c r="H321" s="1462"/>
      <c r="I321" s="1462"/>
      <c r="J321" s="1462"/>
      <c r="K321" s="1462"/>
      <c r="L321" s="1462"/>
      <c r="M321" s="1462"/>
      <c r="N321" s="1462"/>
      <c r="O321" s="1462"/>
      <c r="P321" s="1462"/>
      <c r="Q321" s="1462"/>
      <c r="R321" s="1462"/>
      <c r="S321" s="1462"/>
      <c r="T321" s="1462"/>
      <c r="U321" s="1462"/>
      <c r="V321" s="1462"/>
      <c r="W321" s="1462"/>
      <c r="X321" s="1462"/>
      <c r="Y321" s="1462"/>
      <c r="Z321" s="1462"/>
      <c r="AA321" s="1462"/>
    </row>
    <row r="322">
      <c r="A322" s="1493"/>
      <c r="B322" s="1494"/>
      <c r="C322" s="1493"/>
      <c r="D322" s="1493"/>
      <c r="E322" s="1495"/>
      <c r="F322" s="1462"/>
      <c r="G322" s="1462"/>
      <c r="H322" s="1462"/>
      <c r="I322" s="1462"/>
      <c r="J322" s="1462"/>
      <c r="K322" s="1462"/>
      <c r="L322" s="1462"/>
      <c r="M322" s="1462"/>
      <c r="N322" s="1462"/>
      <c r="O322" s="1462"/>
      <c r="P322" s="1462"/>
      <c r="Q322" s="1462"/>
      <c r="R322" s="1462"/>
      <c r="S322" s="1462"/>
      <c r="T322" s="1462"/>
      <c r="U322" s="1462"/>
      <c r="V322" s="1462"/>
      <c r="W322" s="1462"/>
      <c r="X322" s="1462"/>
      <c r="Y322" s="1462"/>
      <c r="Z322" s="1462"/>
      <c r="AA322" s="1462"/>
    </row>
    <row r="323">
      <c r="A323" s="1493"/>
      <c r="B323" s="1494"/>
      <c r="C323" s="1493"/>
      <c r="D323" s="1493"/>
      <c r="E323" s="1495"/>
      <c r="F323" s="1462"/>
      <c r="G323" s="1462"/>
      <c r="H323" s="1462"/>
      <c r="I323" s="1462"/>
      <c r="J323" s="1462"/>
      <c r="K323" s="1462"/>
      <c r="L323" s="1462"/>
      <c r="M323" s="1462"/>
      <c r="N323" s="1462"/>
      <c r="O323" s="1462"/>
      <c r="P323" s="1462"/>
      <c r="Q323" s="1462"/>
      <c r="R323" s="1462"/>
      <c r="S323" s="1462"/>
      <c r="T323" s="1462"/>
      <c r="U323" s="1462"/>
      <c r="V323" s="1462"/>
      <c r="W323" s="1462"/>
      <c r="X323" s="1462"/>
      <c r="Y323" s="1462"/>
      <c r="Z323" s="1462"/>
      <c r="AA323" s="1462"/>
    </row>
    <row r="324">
      <c r="A324" s="1493"/>
      <c r="B324" s="1494"/>
      <c r="C324" s="1493"/>
      <c r="D324" s="1493"/>
      <c r="E324" s="1495"/>
      <c r="F324" s="1462"/>
      <c r="G324" s="1462"/>
      <c r="H324" s="1462"/>
      <c r="I324" s="1462"/>
      <c r="J324" s="1462"/>
      <c r="K324" s="1462"/>
      <c r="L324" s="1462"/>
      <c r="M324" s="1462"/>
      <c r="N324" s="1462"/>
      <c r="O324" s="1462"/>
      <c r="P324" s="1462"/>
      <c r="Q324" s="1462"/>
      <c r="R324" s="1462"/>
      <c r="S324" s="1462"/>
      <c r="T324" s="1462"/>
      <c r="U324" s="1462"/>
      <c r="V324" s="1462"/>
      <c r="W324" s="1462"/>
      <c r="X324" s="1462"/>
      <c r="Y324" s="1462"/>
      <c r="Z324" s="1462"/>
      <c r="AA324" s="1462"/>
    </row>
    <row r="325">
      <c r="A325" s="1493"/>
      <c r="B325" s="1494"/>
      <c r="C325" s="1493"/>
      <c r="D325" s="1493"/>
      <c r="E325" s="1495"/>
      <c r="F325" s="1462"/>
      <c r="G325" s="1462"/>
      <c r="H325" s="1462"/>
      <c r="I325" s="1462"/>
      <c r="J325" s="1462"/>
      <c r="K325" s="1462"/>
      <c r="L325" s="1462"/>
      <c r="M325" s="1462"/>
      <c r="N325" s="1462"/>
      <c r="O325" s="1462"/>
      <c r="P325" s="1462"/>
      <c r="Q325" s="1462"/>
      <c r="R325" s="1462"/>
      <c r="S325" s="1462"/>
      <c r="T325" s="1462"/>
      <c r="U325" s="1462"/>
      <c r="V325" s="1462"/>
      <c r="W325" s="1462"/>
      <c r="X325" s="1462"/>
      <c r="Y325" s="1462"/>
      <c r="Z325" s="1462"/>
      <c r="AA325" s="1462"/>
    </row>
    <row r="326">
      <c r="A326" s="1493"/>
      <c r="B326" s="1494"/>
      <c r="C326" s="1493"/>
      <c r="D326" s="1493"/>
      <c r="E326" s="1495"/>
      <c r="F326" s="1462"/>
      <c r="G326" s="1462"/>
      <c r="H326" s="1462"/>
      <c r="I326" s="1462"/>
      <c r="J326" s="1462"/>
      <c r="K326" s="1462"/>
      <c r="L326" s="1462"/>
      <c r="M326" s="1462"/>
      <c r="N326" s="1462"/>
      <c r="O326" s="1462"/>
      <c r="P326" s="1462"/>
      <c r="Q326" s="1462"/>
      <c r="R326" s="1462"/>
      <c r="S326" s="1462"/>
      <c r="T326" s="1462"/>
      <c r="U326" s="1462"/>
      <c r="V326" s="1462"/>
      <c r="W326" s="1462"/>
      <c r="X326" s="1462"/>
      <c r="Y326" s="1462"/>
      <c r="Z326" s="1462"/>
      <c r="AA326" s="1462"/>
    </row>
    <row r="327">
      <c r="A327" s="1493"/>
      <c r="B327" s="1494"/>
      <c r="C327" s="1493"/>
      <c r="D327" s="1493"/>
      <c r="E327" s="1495"/>
      <c r="F327" s="1462"/>
      <c r="G327" s="1462"/>
      <c r="H327" s="1462"/>
      <c r="I327" s="1462"/>
      <c r="J327" s="1462"/>
      <c r="K327" s="1462"/>
      <c r="L327" s="1462"/>
      <c r="M327" s="1462"/>
      <c r="N327" s="1462"/>
      <c r="O327" s="1462"/>
      <c r="P327" s="1462"/>
      <c r="Q327" s="1462"/>
      <c r="R327" s="1462"/>
      <c r="S327" s="1462"/>
      <c r="T327" s="1462"/>
      <c r="U327" s="1462"/>
      <c r="V327" s="1462"/>
      <c r="W327" s="1462"/>
      <c r="X327" s="1462"/>
      <c r="Y327" s="1462"/>
      <c r="Z327" s="1462"/>
      <c r="AA327" s="1462"/>
    </row>
    <row r="328">
      <c r="A328" s="1493"/>
      <c r="B328" s="1494"/>
      <c r="C328" s="1493"/>
      <c r="D328" s="1493"/>
      <c r="E328" s="1495"/>
      <c r="F328" s="1462"/>
      <c r="G328" s="1462"/>
      <c r="H328" s="1462"/>
      <c r="I328" s="1462"/>
      <c r="J328" s="1462"/>
      <c r="K328" s="1462"/>
      <c r="L328" s="1462"/>
      <c r="M328" s="1462"/>
      <c r="N328" s="1462"/>
      <c r="O328" s="1462"/>
      <c r="P328" s="1462"/>
      <c r="Q328" s="1462"/>
      <c r="R328" s="1462"/>
      <c r="S328" s="1462"/>
      <c r="T328" s="1462"/>
      <c r="U328" s="1462"/>
      <c r="V328" s="1462"/>
      <c r="W328" s="1462"/>
      <c r="X328" s="1462"/>
      <c r="Y328" s="1462"/>
      <c r="Z328" s="1462"/>
      <c r="AA328" s="1462"/>
    </row>
    <row r="329">
      <c r="A329" s="1493"/>
      <c r="B329" s="1494"/>
      <c r="C329" s="1493"/>
      <c r="D329" s="1493"/>
      <c r="E329" s="1495"/>
      <c r="F329" s="1462"/>
      <c r="G329" s="1462"/>
      <c r="H329" s="1462"/>
      <c r="I329" s="1462"/>
      <c r="J329" s="1462"/>
      <c r="K329" s="1462"/>
      <c r="L329" s="1462"/>
      <c r="M329" s="1462"/>
      <c r="N329" s="1462"/>
      <c r="O329" s="1462"/>
      <c r="P329" s="1462"/>
      <c r="Q329" s="1462"/>
      <c r="R329" s="1462"/>
      <c r="S329" s="1462"/>
      <c r="T329" s="1462"/>
      <c r="U329" s="1462"/>
      <c r="V329" s="1462"/>
      <c r="W329" s="1462"/>
      <c r="X329" s="1462"/>
      <c r="Y329" s="1462"/>
      <c r="Z329" s="1462"/>
      <c r="AA329" s="1462"/>
    </row>
    <row r="330">
      <c r="A330" s="1493"/>
      <c r="B330" s="1494"/>
      <c r="C330" s="1493"/>
      <c r="D330" s="1493"/>
      <c r="E330" s="1495"/>
      <c r="F330" s="1462"/>
      <c r="G330" s="1462"/>
      <c r="H330" s="1462"/>
      <c r="I330" s="1462"/>
      <c r="J330" s="1462"/>
      <c r="K330" s="1462"/>
      <c r="L330" s="1462"/>
      <c r="M330" s="1462"/>
      <c r="N330" s="1462"/>
      <c r="O330" s="1462"/>
      <c r="P330" s="1462"/>
      <c r="Q330" s="1462"/>
      <c r="R330" s="1462"/>
      <c r="S330" s="1462"/>
      <c r="T330" s="1462"/>
      <c r="U330" s="1462"/>
      <c r="V330" s="1462"/>
      <c r="W330" s="1462"/>
      <c r="X330" s="1462"/>
      <c r="Y330" s="1462"/>
      <c r="Z330" s="1462"/>
      <c r="AA330" s="1462"/>
    </row>
    <row r="331">
      <c r="A331" s="1493"/>
      <c r="B331" s="1494"/>
      <c r="C331" s="1493"/>
      <c r="D331" s="1493"/>
      <c r="E331" s="1495"/>
      <c r="F331" s="1462"/>
      <c r="G331" s="1462"/>
      <c r="H331" s="1462"/>
      <c r="I331" s="1462"/>
      <c r="J331" s="1462"/>
      <c r="K331" s="1462"/>
      <c r="L331" s="1462"/>
      <c r="M331" s="1462"/>
      <c r="N331" s="1462"/>
      <c r="O331" s="1462"/>
      <c r="P331" s="1462"/>
      <c r="Q331" s="1462"/>
      <c r="R331" s="1462"/>
      <c r="S331" s="1462"/>
      <c r="T331" s="1462"/>
      <c r="U331" s="1462"/>
      <c r="V331" s="1462"/>
      <c r="W331" s="1462"/>
      <c r="X331" s="1462"/>
      <c r="Y331" s="1462"/>
      <c r="Z331" s="1462"/>
      <c r="AA331" s="1462"/>
    </row>
    <row r="332">
      <c r="A332" s="1493"/>
      <c r="B332" s="1494"/>
      <c r="C332" s="1493"/>
      <c r="D332" s="1493"/>
      <c r="E332" s="1495"/>
      <c r="F332" s="1462"/>
      <c r="G332" s="1462"/>
      <c r="H332" s="1462"/>
      <c r="I332" s="1462"/>
      <c r="J332" s="1462"/>
      <c r="K332" s="1462"/>
      <c r="L332" s="1462"/>
      <c r="M332" s="1462"/>
      <c r="N332" s="1462"/>
      <c r="O332" s="1462"/>
      <c r="P332" s="1462"/>
      <c r="Q332" s="1462"/>
      <c r="R332" s="1462"/>
      <c r="S332" s="1462"/>
      <c r="T332" s="1462"/>
      <c r="U332" s="1462"/>
      <c r="V332" s="1462"/>
      <c r="W332" s="1462"/>
      <c r="X332" s="1462"/>
      <c r="Y332" s="1462"/>
      <c r="Z332" s="1462"/>
      <c r="AA332" s="1462"/>
    </row>
    <row r="333">
      <c r="A333" s="1493"/>
      <c r="B333" s="1494"/>
      <c r="C333" s="1493"/>
      <c r="D333" s="1493"/>
      <c r="E333" s="1495"/>
      <c r="F333" s="1462"/>
      <c r="G333" s="1462"/>
      <c r="H333" s="1462"/>
      <c r="I333" s="1462"/>
      <c r="J333" s="1462"/>
      <c r="K333" s="1462"/>
      <c r="L333" s="1462"/>
      <c r="M333" s="1462"/>
      <c r="N333" s="1462"/>
      <c r="O333" s="1462"/>
      <c r="P333" s="1462"/>
      <c r="Q333" s="1462"/>
      <c r="R333" s="1462"/>
      <c r="S333" s="1462"/>
      <c r="T333" s="1462"/>
      <c r="U333" s="1462"/>
      <c r="V333" s="1462"/>
      <c r="W333" s="1462"/>
      <c r="X333" s="1462"/>
      <c r="Y333" s="1462"/>
      <c r="Z333" s="1462"/>
      <c r="AA333" s="1462"/>
    </row>
    <row r="334">
      <c r="A334" s="1493"/>
      <c r="B334" s="1494"/>
      <c r="C334" s="1493"/>
      <c r="D334" s="1493"/>
      <c r="E334" s="1495"/>
      <c r="F334" s="1462"/>
      <c r="G334" s="1462"/>
      <c r="H334" s="1462"/>
      <c r="I334" s="1462"/>
      <c r="J334" s="1462"/>
      <c r="K334" s="1462"/>
      <c r="L334" s="1462"/>
      <c r="M334" s="1462"/>
      <c r="N334" s="1462"/>
      <c r="O334" s="1462"/>
      <c r="P334" s="1462"/>
      <c r="Q334" s="1462"/>
      <c r="R334" s="1462"/>
      <c r="S334" s="1462"/>
      <c r="T334" s="1462"/>
      <c r="U334" s="1462"/>
      <c r="V334" s="1462"/>
      <c r="W334" s="1462"/>
      <c r="X334" s="1462"/>
      <c r="Y334" s="1462"/>
      <c r="Z334" s="1462"/>
      <c r="AA334" s="1462"/>
    </row>
    <row r="335">
      <c r="A335" s="1493"/>
      <c r="B335" s="1494"/>
      <c r="C335" s="1493"/>
      <c r="D335" s="1493"/>
      <c r="E335" s="1495"/>
      <c r="F335" s="1462"/>
      <c r="G335" s="1462"/>
      <c r="H335" s="1462"/>
      <c r="I335" s="1462"/>
      <c r="J335" s="1462"/>
      <c r="K335" s="1462"/>
      <c r="L335" s="1462"/>
      <c r="M335" s="1462"/>
      <c r="N335" s="1462"/>
      <c r="O335" s="1462"/>
      <c r="P335" s="1462"/>
      <c r="Q335" s="1462"/>
      <c r="R335" s="1462"/>
      <c r="S335" s="1462"/>
      <c r="T335" s="1462"/>
      <c r="U335" s="1462"/>
      <c r="V335" s="1462"/>
      <c r="W335" s="1462"/>
      <c r="X335" s="1462"/>
      <c r="Y335" s="1462"/>
      <c r="Z335" s="1462"/>
      <c r="AA335" s="1462"/>
    </row>
    <row r="336">
      <c r="A336" s="1493"/>
      <c r="B336" s="1494"/>
      <c r="C336" s="1493"/>
      <c r="D336" s="1493"/>
      <c r="E336" s="1495"/>
      <c r="F336" s="1462"/>
      <c r="G336" s="1462"/>
      <c r="H336" s="1462"/>
      <c r="I336" s="1462"/>
      <c r="J336" s="1462"/>
      <c r="K336" s="1462"/>
      <c r="L336" s="1462"/>
      <c r="M336" s="1462"/>
      <c r="N336" s="1462"/>
      <c r="O336" s="1462"/>
      <c r="P336" s="1462"/>
      <c r="Q336" s="1462"/>
      <c r="R336" s="1462"/>
      <c r="S336" s="1462"/>
      <c r="T336" s="1462"/>
      <c r="U336" s="1462"/>
      <c r="V336" s="1462"/>
      <c r="W336" s="1462"/>
      <c r="X336" s="1462"/>
      <c r="Y336" s="1462"/>
      <c r="Z336" s="1462"/>
      <c r="AA336" s="1462"/>
    </row>
    <row r="337">
      <c r="A337" s="1493"/>
      <c r="B337" s="1494"/>
      <c r="C337" s="1493"/>
      <c r="D337" s="1493"/>
      <c r="E337" s="1495"/>
      <c r="F337" s="1462"/>
      <c r="G337" s="1462"/>
      <c r="H337" s="1462"/>
      <c r="I337" s="1462"/>
      <c r="J337" s="1462"/>
      <c r="K337" s="1462"/>
      <c r="L337" s="1462"/>
      <c r="M337" s="1462"/>
      <c r="N337" s="1462"/>
      <c r="O337" s="1462"/>
      <c r="P337" s="1462"/>
      <c r="Q337" s="1462"/>
      <c r="R337" s="1462"/>
      <c r="S337" s="1462"/>
      <c r="T337" s="1462"/>
      <c r="U337" s="1462"/>
      <c r="V337" s="1462"/>
      <c r="W337" s="1462"/>
      <c r="X337" s="1462"/>
      <c r="Y337" s="1462"/>
      <c r="Z337" s="1462"/>
      <c r="AA337" s="1462"/>
    </row>
    <row r="338">
      <c r="A338" s="1493"/>
      <c r="B338" s="1494"/>
      <c r="C338" s="1493"/>
      <c r="D338" s="1493"/>
      <c r="E338" s="1495"/>
      <c r="F338" s="1462"/>
      <c r="G338" s="1462"/>
      <c r="H338" s="1462"/>
      <c r="I338" s="1462"/>
      <c r="J338" s="1462"/>
      <c r="K338" s="1462"/>
      <c r="L338" s="1462"/>
      <c r="M338" s="1462"/>
      <c r="N338" s="1462"/>
      <c r="O338" s="1462"/>
      <c r="P338" s="1462"/>
      <c r="Q338" s="1462"/>
      <c r="R338" s="1462"/>
      <c r="S338" s="1462"/>
      <c r="T338" s="1462"/>
      <c r="U338" s="1462"/>
      <c r="V338" s="1462"/>
      <c r="W338" s="1462"/>
      <c r="X338" s="1462"/>
      <c r="Y338" s="1462"/>
      <c r="Z338" s="1462"/>
      <c r="AA338" s="1462"/>
    </row>
    <row r="339">
      <c r="A339" s="1493"/>
      <c r="B339" s="1494"/>
      <c r="C339" s="1493"/>
      <c r="D339" s="1493"/>
      <c r="E339" s="1495"/>
      <c r="F339" s="1462"/>
      <c r="G339" s="1462"/>
      <c r="H339" s="1462"/>
      <c r="I339" s="1462"/>
      <c r="J339" s="1462"/>
      <c r="K339" s="1462"/>
      <c r="L339" s="1462"/>
      <c r="M339" s="1462"/>
      <c r="N339" s="1462"/>
      <c r="O339" s="1462"/>
      <c r="P339" s="1462"/>
      <c r="Q339" s="1462"/>
      <c r="R339" s="1462"/>
      <c r="S339" s="1462"/>
      <c r="T339" s="1462"/>
      <c r="U339" s="1462"/>
      <c r="V339" s="1462"/>
      <c r="W339" s="1462"/>
      <c r="X339" s="1462"/>
      <c r="Y339" s="1462"/>
      <c r="Z339" s="1462"/>
      <c r="AA339" s="1462"/>
    </row>
    <row r="340">
      <c r="A340" s="1493"/>
      <c r="B340" s="1494"/>
      <c r="C340" s="1493"/>
      <c r="D340" s="1493"/>
      <c r="E340" s="1495"/>
      <c r="F340" s="1462"/>
      <c r="G340" s="1462"/>
      <c r="H340" s="1462"/>
      <c r="I340" s="1462"/>
      <c r="J340" s="1462"/>
      <c r="K340" s="1462"/>
      <c r="L340" s="1462"/>
      <c r="M340" s="1462"/>
      <c r="N340" s="1462"/>
      <c r="O340" s="1462"/>
      <c r="P340" s="1462"/>
      <c r="Q340" s="1462"/>
      <c r="R340" s="1462"/>
      <c r="S340" s="1462"/>
      <c r="T340" s="1462"/>
      <c r="U340" s="1462"/>
      <c r="V340" s="1462"/>
      <c r="W340" s="1462"/>
      <c r="X340" s="1462"/>
      <c r="Y340" s="1462"/>
      <c r="Z340" s="1462"/>
      <c r="AA340" s="1462"/>
    </row>
    <row r="341">
      <c r="A341" s="1493"/>
      <c r="B341" s="1494"/>
      <c r="C341" s="1493"/>
      <c r="D341" s="1493"/>
      <c r="E341" s="1495"/>
      <c r="F341" s="1462"/>
      <c r="G341" s="1462"/>
      <c r="H341" s="1462"/>
      <c r="I341" s="1462"/>
      <c r="J341" s="1462"/>
      <c r="K341" s="1462"/>
      <c r="L341" s="1462"/>
      <c r="M341" s="1462"/>
      <c r="N341" s="1462"/>
      <c r="O341" s="1462"/>
      <c r="P341" s="1462"/>
      <c r="Q341" s="1462"/>
      <c r="R341" s="1462"/>
      <c r="S341" s="1462"/>
      <c r="T341" s="1462"/>
      <c r="U341" s="1462"/>
      <c r="V341" s="1462"/>
      <c r="W341" s="1462"/>
      <c r="X341" s="1462"/>
      <c r="Y341" s="1462"/>
      <c r="Z341" s="1462"/>
      <c r="AA341" s="1462"/>
    </row>
    <row r="342">
      <c r="A342" s="1493"/>
      <c r="B342" s="1494"/>
      <c r="C342" s="1493"/>
      <c r="D342" s="1493"/>
      <c r="E342" s="1495"/>
      <c r="F342" s="1462"/>
      <c r="G342" s="1462"/>
      <c r="H342" s="1462"/>
      <c r="I342" s="1462"/>
      <c r="J342" s="1462"/>
      <c r="K342" s="1462"/>
      <c r="L342" s="1462"/>
      <c r="M342" s="1462"/>
      <c r="N342" s="1462"/>
      <c r="O342" s="1462"/>
      <c r="P342" s="1462"/>
      <c r="Q342" s="1462"/>
      <c r="R342" s="1462"/>
      <c r="S342" s="1462"/>
      <c r="T342" s="1462"/>
      <c r="U342" s="1462"/>
      <c r="V342" s="1462"/>
      <c r="W342" s="1462"/>
      <c r="X342" s="1462"/>
      <c r="Y342" s="1462"/>
      <c r="Z342" s="1462"/>
      <c r="AA342" s="1462"/>
    </row>
    <row r="343">
      <c r="A343" s="1493"/>
      <c r="B343" s="1494"/>
      <c r="C343" s="1493"/>
      <c r="D343" s="1493"/>
      <c r="E343" s="1495"/>
      <c r="F343" s="1462"/>
      <c r="G343" s="1462"/>
      <c r="H343" s="1462"/>
      <c r="I343" s="1462"/>
      <c r="J343" s="1462"/>
      <c r="K343" s="1462"/>
      <c r="L343" s="1462"/>
      <c r="M343" s="1462"/>
      <c r="N343" s="1462"/>
      <c r="O343" s="1462"/>
      <c r="P343" s="1462"/>
      <c r="Q343" s="1462"/>
      <c r="R343" s="1462"/>
      <c r="S343" s="1462"/>
      <c r="T343" s="1462"/>
      <c r="U343" s="1462"/>
      <c r="V343" s="1462"/>
      <c r="W343" s="1462"/>
      <c r="X343" s="1462"/>
      <c r="Y343" s="1462"/>
      <c r="Z343" s="1462"/>
      <c r="AA343" s="1462"/>
    </row>
    <row r="344">
      <c r="A344" s="1493"/>
      <c r="B344" s="1494"/>
      <c r="C344" s="1493"/>
      <c r="D344" s="1493"/>
      <c r="E344" s="1495"/>
      <c r="F344" s="1462"/>
      <c r="G344" s="1462"/>
      <c r="H344" s="1462"/>
      <c r="I344" s="1462"/>
      <c r="J344" s="1462"/>
      <c r="K344" s="1462"/>
      <c r="L344" s="1462"/>
      <c r="M344" s="1462"/>
      <c r="N344" s="1462"/>
      <c r="O344" s="1462"/>
      <c r="P344" s="1462"/>
      <c r="Q344" s="1462"/>
      <c r="R344" s="1462"/>
      <c r="S344" s="1462"/>
      <c r="T344" s="1462"/>
      <c r="U344" s="1462"/>
      <c r="V344" s="1462"/>
      <c r="W344" s="1462"/>
      <c r="X344" s="1462"/>
      <c r="Y344" s="1462"/>
      <c r="Z344" s="1462"/>
      <c r="AA344" s="1462"/>
    </row>
    <row r="345">
      <c r="A345" s="1493"/>
      <c r="B345" s="1494"/>
      <c r="C345" s="1493"/>
      <c r="D345" s="1493"/>
      <c r="E345" s="1495"/>
      <c r="F345" s="1462"/>
      <c r="G345" s="1462"/>
      <c r="H345" s="1462"/>
      <c r="I345" s="1462"/>
      <c r="J345" s="1462"/>
      <c r="K345" s="1462"/>
      <c r="L345" s="1462"/>
      <c r="M345" s="1462"/>
      <c r="N345" s="1462"/>
      <c r="O345" s="1462"/>
      <c r="P345" s="1462"/>
      <c r="Q345" s="1462"/>
      <c r="R345" s="1462"/>
      <c r="S345" s="1462"/>
      <c r="T345" s="1462"/>
      <c r="U345" s="1462"/>
      <c r="V345" s="1462"/>
      <c r="W345" s="1462"/>
      <c r="X345" s="1462"/>
      <c r="Y345" s="1462"/>
      <c r="Z345" s="1462"/>
      <c r="AA345" s="1462"/>
    </row>
    <row r="346">
      <c r="A346" s="1493"/>
      <c r="B346" s="1494"/>
      <c r="C346" s="1493"/>
      <c r="D346" s="1493"/>
      <c r="E346" s="1495"/>
      <c r="F346" s="1462"/>
      <c r="G346" s="1462"/>
      <c r="H346" s="1462"/>
      <c r="I346" s="1462"/>
      <c r="J346" s="1462"/>
      <c r="K346" s="1462"/>
      <c r="L346" s="1462"/>
      <c r="M346" s="1462"/>
      <c r="N346" s="1462"/>
      <c r="O346" s="1462"/>
      <c r="P346" s="1462"/>
      <c r="Q346" s="1462"/>
      <c r="R346" s="1462"/>
      <c r="S346" s="1462"/>
      <c r="T346" s="1462"/>
      <c r="U346" s="1462"/>
      <c r="V346" s="1462"/>
      <c r="W346" s="1462"/>
      <c r="X346" s="1462"/>
      <c r="Y346" s="1462"/>
      <c r="Z346" s="1462"/>
      <c r="AA346" s="1462"/>
    </row>
    <row r="347">
      <c r="A347" s="1493"/>
      <c r="B347" s="1494"/>
      <c r="C347" s="1493"/>
      <c r="D347" s="1493"/>
      <c r="E347" s="1495"/>
      <c r="F347" s="1462"/>
      <c r="G347" s="1462"/>
      <c r="H347" s="1462"/>
      <c r="I347" s="1462"/>
      <c r="J347" s="1462"/>
      <c r="K347" s="1462"/>
      <c r="L347" s="1462"/>
      <c r="M347" s="1462"/>
      <c r="N347" s="1462"/>
      <c r="O347" s="1462"/>
      <c r="P347" s="1462"/>
      <c r="Q347" s="1462"/>
      <c r="R347" s="1462"/>
      <c r="S347" s="1462"/>
      <c r="T347" s="1462"/>
      <c r="U347" s="1462"/>
      <c r="V347" s="1462"/>
      <c r="W347" s="1462"/>
      <c r="X347" s="1462"/>
      <c r="Y347" s="1462"/>
      <c r="Z347" s="1462"/>
      <c r="AA347" s="1462"/>
    </row>
    <row r="348">
      <c r="A348" s="1493"/>
      <c r="B348" s="1494"/>
      <c r="C348" s="1493"/>
      <c r="D348" s="1493"/>
      <c r="E348" s="1495"/>
      <c r="F348" s="1462"/>
      <c r="G348" s="1462"/>
      <c r="H348" s="1462"/>
      <c r="I348" s="1462"/>
      <c r="J348" s="1462"/>
      <c r="K348" s="1462"/>
      <c r="L348" s="1462"/>
      <c r="M348" s="1462"/>
      <c r="N348" s="1462"/>
      <c r="O348" s="1462"/>
      <c r="P348" s="1462"/>
      <c r="Q348" s="1462"/>
      <c r="R348" s="1462"/>
      <c r="S348" s="1462"/>
      <c r="T348" s="1462"/>
      <c r="U348" s="1462"/>
      <c r="V348" s="1462"/>
      <c r="W348" s="1462"/>
      <c r="X348" s="1462"/>
      <c r="Y348" s="1462"/>
      <c r="Z348" s="1462"/>
      <c r="AA348" s="1462"/>
    </row>
    <row r="349">
      <c r="A349" s="1493"/>
      <c r="B349" s="1494"/>
      <c r="C349" s="1493"/>
      <c r="D349" s="1493"/>
      <c r="E349" s="1495"/>
      <c r="F349" s="1462"/>
      <c r="G349" s="1462"/>
      <c r="H349" s="1462"/>
      <c r="I349" s="1462"/>
      <c r="J349" s="1462"/>
      <c r="K349" s="1462"/>
      <c r="L349" s="1462"/>
      <c r="M349" s="1462"/>
      <c r="N349" s="1462"/>
      <c r="O349" s="1462"/>
      <c r="P349" s="1462"/>
      <c r="Q349" s="1462"/>
      <c r="R349" s="1462"/>
      <c r="S349" s="1462"/>
      <c r="T349" s="1462"/>
      <c r="U349" s="1462"/>
      <c r="V349" s="1462"/>
      <c r="W349" s="1462"/>
      <c r="X349" s="1462"/>
      <c r="Y349" s="1462"/>
      <c r="Z349" s="1462"/>
      <c r="AA349" s="1462"/>
    </row>
    <row r="350">
      <c r="A350" s="1493"/>
      <c r="B350" s="1494"/>
      <c r="C350" s="1493"/>
      <c r="D350" s="1493"/>
      <c r="E350" s="1495"/>
      <c r="F350" s="1462"/>
      <c r="G350" s="1462"/>
      <c r="H350" s="1462"/>
      <c r="I350" s="1462"/>
      <c r="J350" s="1462"/>
      <c r="K350" s="1462"/>
      <c r="L350" s="1462"/>
      <c r="M350" s="1462"/>
      <c r="N350" s="1462"/>
      <c r="O350" s="1462"/>
      <c r="P350" s="1462"/>
      <c r="Q350" s="1462"/>
      <c r="R350" s="1462"/>
      <c r="S350" s="1462"/>
      <c r="T350" s="1462"/>
      <c r="U350" s="1462"/>
      <c r="V350" s="1462"/>
      <c r="W350" s="1462"/>
      <c r="X350" s="1462"/>
      <c r="Y350" s="1462"/>
      <c r="Z350" s="1462"/>
      <c r="AA350" s="1462"/>
    </row>
    <row r="351">
      <c r="A351" s="1493"/>
      <c r="B351" s="1494"/>
      <c r="C351" s="1493"/>
      <c r="D351" s="1493"/>
      <c r="E351" s="1495"/>
      <c r="F351" s="1462"/>
      <c r="G351" s="1462"/>
      <c r="H351" s="1462"/>
      <c r="I351" s="1462"/>
      <c r="J351" s="1462"/>
      <c r="K351" s="1462"/>
      <c r="L351" s="1462"/>
      <c r="M351" s="1462"/>
      <c r="N351" s="1462"/>
      <c r="O351" s="1462"/>
      <c r="P351" s="1462"/>
      <c r="Q351" s="1462"/>
      <c r="R351" s="1462"/>
      <c r="S351" s="1462"/>
      <c r="T351" s="1462"/>
      <c r="U351" s="1462"/>
      <c r="V351" s="1462"/>
      <c r="W351" s="1462"/>
      <c r="X351" s="1462"/>
      <c r="Y351" s="1462"/>
      <c r="Z351" s="1462"/>
      <c r="AA351" s="1462"/>
    </row>
    <row r="352">
      <c r="A352" s="1493"/>
      <c r="B352" s="1494"/>
      <c r="C352" s="1493"/>
      <c r="D352" s="1493"/>
      <c r="E352" s="1495"/>
      <c r="F352" s="1462"/>
      <c r="G352" s="1462"/>
      <c r="H352" s="1462"/>
      <c r="I352" s="1462"/>
      <c r="J352" s="1462"/>
      <c r="K352" s="1462"/>
      <c r="L352" s="1462"/>
      <c r="M352" s="1462"/>
      <c r="N352" s="1462"/>
      <c r="O352" s="1462"/>
      <c r="P352" s="1462"/>
      <c r="Q352" s="1462"/>
      <c r="R352" s="1462"/>
      <c r="S352" s="1462"/>
      <c r="T352" s="1462"/>
      <c r="U352" s="1462"/>
      <c r="V352" s="1462"/>
      <c r="W352" s="1462"/>
      <c r="X352" s="1462"/>
      <c r="Y352" s="1462"/>
      <c r="Z352" s="1462"/>
      <c r="AA352" s="1462"/>
    </row>
    <row r="353">
      <c r="A353" s="1493"/>
      <c r="B353" s="1494"/>
      <c r="C353" s="1493"/>
      <c r="D353" s="1493"/>
      <c r="E353" s="1495"/>
      <c r="F353" s="1462"/>
      <c r="G353" s="1462"/>
      <c r="H353" s="1462"/>
      <c r="I353" s="1462"/>
      <c r="J353" s="1462"/>
      <c r="K353" s="1462"/>
      <c r="L353" s="1462"/>
      <c r="M353" s="1462"/>
      <c r="N353" s="1462"/>
      <c r="O353" s="1462"/>
      <c r="P353" s="1462"/>
      <c r="Q353" s="1462"/>
      <c r="R353" s="1462"/>
      <c r="S353" s="1462"/>
      <c r="T353" s="1462"/>
      <c r="U353" s="1462"/>
      <c r="V353" s="1462"/>
      <c r="W353" s="1462"/>
      <c r="X353" s="1462"/>
      <c r="Y353" s="1462"/>
      <c r="Z353" s="1462"/>
      <c r="AA353" s="1462"/>
    </row>
    <row r="354">
      <c r="A354" s="1493"/>
      <c r="B354" s="1494"/>
      <c r="C354" s="1493"/>
      <c r="D354" s="1493"/>
      <c r="E354" s="1495"/>
      <c r="F354" s="1462"/>
      <c r="G354" s="1462"/>
      <c r="H354" s="1462"/>
      <c r="I354" s="1462"/>
      <c r="J354" s="1462"/>
      <c r="K354" s="1462"/>
      <c r="L354" s="1462"/>
      <c r="M354" s="1462"/>
      <c r="N354" s="1462"/>
      <c r="O354" s="1462"/>
      <c r="P354" s="1462"/>
      <c r="Q354" s="1462"/>
      <c r="R354" s="1462"/>
      <c r="S354" s="1462"/>
      <c r="T354" s="1462"/>
      <c r="U354" s="1462"/>
      <c r="V354" s="1462"/>
      <c r="W354" s="1462"/>
      <c r="X354" s="1462"/>
      <c r="Y354" s="1462"/>
      <c r="Z354" s="1462"/>
      <c r="AA354" s="1462"/>
    </row>
    <row r="355">
      <c r="A355" s="1493"/>
      <c r="B355" s="1494"/>
      <c r="C355" s="1493"/>
      <c r="D355" s="1493"/>
      <c r="E355" s="1495"/>
      <c r="F355" s="1462"/>
      <c r="G355" s="1462"/>
      <c r="H355" s="1462"/>
      <c r="I355" s="1462"/>
      <c r="J355" s="1462"/>
      <c r="K355" s="1462"/>
      <c r="L355" s="1462"/>
      <c r="M355" s="1462"/>
      <c r="N355" s="1462"/>
      <c r="O355" s="1462"/>
      <c r="P355" s="1462"/>
      <c r="Q355" s="1462"/>
      <c r="R355" s="1462"/>
      <c r="S355" s="1462"/>
      <c r="T355" s="1462"/>
      <c r="U355" s="1462"/>
      <c r="V355" s="1462"/>
      <c r="W355" s="1462"/>
      <c r="X355" s="1462"/>
      <c r="Y355" s="1462"/>
      <c r="Z355" s="1462"/>
      <c r="AA355" s="1462"/>
    </row>
    <row r="356">
      <c r="A356" s="1493"/>
      <c r="B356" s="1494"/>
      <c r="C356" s="1493"/>
      <c r="D356" s="1493"/>
      <c r="E356" s="1495"/>
      <c r="F356" s="1462"/>
      <c r="G356" s="1462"/>
      <c r="H356" s="1462"/>
      <c r="I356" s="1462"/>
      <c r="J356" s="1462"/>
      <c r="K356" s="1462"/>
      <c r="L356" s="1462"/>
      <c r="M356" s="1462"/>
      <c r="N356" s="1462"/>
      <c r="O356" s="1462"/>
      <c r="P356" s="1462"/>
      <c r="Q356" s="1462"/>
      <c r="R356" s="1462"/>
      <c r="S356" s="1462"/>
      <c r="T356" s="1462"/>
      <c r="U356" s="1462"/>
      <c r="V356" s="1462"/>
      <c r="W356" s="1462"/>
      <c r="X356" s="1462"/>
      <c r="Y356" s="1462"/>
      <c r="Z356" s="1462"/>
      <c r="AA356" s="1462"/>
    </row>
    <row r="357">
      <c r="A357" s="1493"/>
      <c r="B357" s="1494"/>
      <c r="C357" s="1493"/>
      <c r="D357" s="1493"/>
      <c r="E357" s="1495"/>
      <c r="F357" s="1462"/>
      <c r="G357" s="1462"/>
      <c r="H357" s="1462"/>
      <c r="I357" s="1462"/>
      <c r="J357" s="1462"/>
      <c r="K357" s="1462"/>
      <c r="L357" s="1462"/>
      <c r="M357" s="1462"/>
      <c r="N357" s="1462"/>
      <c r="O357" s="1462"/>
      <c r="P357" s="1462"/>
      <c r="Q357" s="1462"/>
      <c r="R357" s="1462"/>
      <c r="S357" s="1462"/>
      <c r="T357" s="1462"/>
      <c r="U357" s="1462"/>
      <c r="V357" s="1462"/>
      <c r="W357" s="1462"/>
      <c r="X357" s="1462"/>
      <c r="Y357" s="1462"/>
      <c r="Z357" s="1462"/>
      <c r="AA357" s="1462"/>
    </row>
    <row r="358">
      <c r="A358" s="1493"/>
      <c r="B358" s="1494"/>
      <c r="C358" s="1493"/>
      <c r="D358" s="1493"/>
      <c r="E358" s="1495"/>
      <c r="F358" s="1462"/>
      <c r="G358" s="1462"/>
      <c r="H358" s="1462"/>
      <c r="I358" s="1462"/>
      <c r="J358" s="1462"/>
      <c r="K358" s="1462"/>
      <c r="L358" s="1462"/>
      <c r="M358" s="1462"/>
      <c r="N358" s="1462"/>
      <c r="O358" s="1462"/>
      <c r="P358" s="1462"/>
      <c r="Q358" s="1462"/>
      <c r="R358" s="1462"/>
      <c r="S358" s="1462"/>
      <c r="T358" s="1462"/>
      <c r="U358" s="1462"/>
      <c r="V358" s="1462"/>
      <c r="W358" s="1462"/>
      <c r="X358" s="1462"/>
      <c r="Y358" s="1462"/>
      <c r="Z358" s="1462"/>
      <c r="AA358" s="1462"/>
    </row>
    <row r="359">
      <c r="A359" s="1493"/>
      <c r="B359" s="1494"/>
      <c r="C359" s="1493"/>
      <c r="D359" s="1493"/>
      <c r="E359" s="1495"/>
      <c r="F359" s="1462"/>
      <c r="G359" s="1462"/>
      <c r="H359" s="1462"/>
      <c r="I359" s="1462"/>
      <c r="J359" s="1462"/>
      <c r="K359" s="1462"/>
      <c r="L359" s="1462"/>
      <c r="M359" s="1462"/>
      <c r="N359" s="1462"/>
      <c r="O359" s="1462"/>
      <c r="P359" s="1462"/>
      <c r="Q359" s="1462"/>
      <c r="R359" s="1462"/>
      <c r="S359" s="1462"/>
      <c r="T359" s="1462"/>
      <c r="U359" s="1462"/>
      <c r="V359" s="1462"/>
      <c r="W359" s="1462"/>
      <c r="X359" s="1462"/>
      <c r="Y359" s="1462"/>
      <c r="Z359" s="1462"/>
      <c r="AA359" s="1462"/>
    </row>
    <row r="360">
      <c r="A360" s="1493"/>
      <c r="B360" s="1494"/>
      <c r="C360" s="1493"/>
      <c r="D360" s="1493"/>
      <c r="E360" s="1495"/>
      <c r="F360" s="1462"/>
      <c r="G360" s="1462"/>
      <c r="H360" s="1462"/>
      <c r="I360" s="1462"/>
      <c r="J360" s="1462"/>
      <c r="K360" s="1462"/>
      <c r="L360" s="1462"/>
      <c r="M360" s="1462"/>
      <c r="N360" s="1462"/>
      <c r="O360" s="1462"/>
      <c r="P360" s="1462"/>
      <c r="Q360" s="1462"/>
      <c r="R360" s="1462"/>
      <c r="S360" s="1462"/>
      <c r="T360" s="1462"/>
      <c r="U360" s="1462"/>
      <c r="V360" s="1462"/>
      <c r="W360" s="1462"/>
      <c r="X360" s="1462"/>
      <c r="Y360" s="1462"/>
      <c r="Z360" s="1462"/>
      <c r="AA360" s="1462"/>
    </row>
    <row r="361">
      <c r="A361" s="1493"/>
      <c r="B361" s="1494"/>
      <c r="C361" s="1493"/>
      <c r="D361" s="1493"/>
      <c r="E361" s="1495"/>
      <c r="F361" s="1462"/>
      <c r="G361" s="1462"/>
      <c r="H361" s="1462"/>
      <c r="I361" s="1462"/>
      <c r="J361" s="1462"/>
      <c r="K361" s="1462"/>
      <c r="L361" s="1462"/>
      <c r="M361" s="1462"/>
      <c r="N361" s="1462"/>
      <c r="O361" s="1462"/>
      <c r="P361" s="1462"/>
      <c r="Q361" s="1462"/>
      <c r="R361" s="1462"/>
      <c r="S361" s="1462"/>
      <c r="T361" s="1462"/>
      <c r="U361" s="1462"/>
      <c r="V361" s="1462"/>
      <c r="W361" s="1462"/>
      <c r="X361" s="1462"/>
      <c r="Y361" s="1462"/>
      <c r="Z361" s="1462"/>
      <c r="AA361" s="1462"/>
    </row>
    <row r="362">
      <c r="A362" s="1493"/>
      <c r="B362" s="1494"/>
      <c r="C362" s="1493"/>
      <c r="D362" s="1493"/>
      <c r="E362" s="1495"/>
      <c r="F362" s="1462"/>
      <c r="G362" s="1462"/>
      <c r="H362" s="1462"/>
      <c r="I362" s="1462"/>
      <c r="J362" s="1462"/>
      <c r="K362" s="1462"/>
      <c r="L362" s="1462"/>
      <c r="M362" s="1462"/>
      <c r="N362" s="1462"/>
      <c r="O362" s="1462"/>
      <c r="P362" s="1462"/>
      <c r="Q362" s="1462"/>
      <c r="R362" s="1462"/>
      <c r="S362" s="1462"/>
      <c r="T362" s="1462"/>
      <c r="U362" s="1462"/>
      <c r="V362" s="1462"/>
      <c r="W362" s="1462"/>
      <c r="X362" s="1462"/>
      <c r="Y362" s="1462"/>
      <c r="Z362" s="1462"/>
      <c r="AA362" s="1462"/>
    </row>
    <row r="363">
      <c r="A363" s="1493"/>
      <c r="B363" s="1494"/>
      <c r="C363" s="1493"/>
      <c r="D363" s="1493"/>
      <c r="E363" s="1495"/>
      <c r="F363" s="1462"/>
      <c r="G363" s="1462"/>
      <c r="H363" s="1462"/>
      <c r="I363" s="1462"/>
      <c r="J363" s="1462"/>
      <c r="K363" s="1462"/>
      <c r="L363" s="1462"/>
      <c r="M363" s="1462"/>
      <c r="N363" s="1462"/>
      <c r="O363" s="1462"/>
      <c r="P363" s="1462"/>
      <c r="Q363" s="1462"/>
      <c r="R363" s="1462"/>
      <c r="S363" s="1462"/>
      <c r="T363" s="1462"/>
      <c r="U363" s="1462"/>
      <c r="V363" s="1462"/>
      <c r="W363" s="1462"/>
      <c r="X363" s="1462"/>
      <c r="Y363" s="1462"/>
      <c r="Z363" s="1462"/>
      <c r="AA363" s="1462"/>
    </row>
    <row r="364">
      <c r="A364" s="1493"/>
      <c r="B364" s="1494"/>
      <c r="C364" s="1493"/>
      <c r="D364" s="1493"/>
      <c r="E364" s="1495"/>
      <c r="F364" s="1462"/>
      <c r="G364" s="1462"/>
      <c r="H364" s="1462"/>
      <c r="I364" s="1462"/>
      <c r="J364" s="1462"/>
      <c r="K364" s="1462"/>
      <c r="L364" s="1462"/>
      <c r="M364" s="1462"/>
      <c r="N364" s="1462"/>
      <c r="O364" s="1462"/>
      <c r="P364" s="1462"/>
      <c r="Q364" s="1462"/>
      <c r="R364" s="1462"/>
      <c r="S364" s="1462"/>
      <c r="T364" s="1462"/>
      <c r="U364" s="1462"/>
      <c r="V364" s="1462"/>
      <c r="W364" s="1462"/>
      <c r="X364" s="1462"/>
      <c r="Y364" s="1462"/>
      <c r="Z364" s="1462"/>
      <c r="AA364" s="1462"/>
    </row>
    <row r="365">
      <c r="A365" s="1493"/>
      <c r="B365" s="1494"/>
      <c r="C365" s="1493"/>
      <c r="D365" s="1493"/>
      <c r="E365" s="1495"/>
      <c r="F365" s="1462"/>
      <c r="G365" s="1462"/>
      <c r="H365" s="1462"/>
      <c r="I365" s="1462"/>
      <c r="J365" s="1462"/>
      <c r="K365" s="1462"/>
      <c r="L365" s="1462"/>
      <c r="M365" s="1462"/>
      <c r="N365" s="1462"/>
      <c r="O365" s="1462"/>
      <c r="P365" s="1462"/>
      <c r="Q365" s="1462"/>
      <c r="R365" s="1462"/>
      <c r="S365" s="1462"/>
      <c r="T365" s="1462"/>
      <c r="U365" s="1462"/>
      <c r="V365" s="1462"/>
      <c r="W365" s="1462"/>
      <c r="X365" s="1462"/>
      <c r="Y365" s="1462"/>
      <c r="Z365" s="1462"/>
      <c r="AA365" s="1462"/>
    </row>
    <row r="366">
      <c r="A366" s="1493"/>
      <c r="B366" s="1494"/>
      <c r="C366" s="1493"/>
      <c r="D366" s="1493"/>
      <c r="E366" s="1495"/>
      <c r="F366" s="1462"/>
      <c r="G366" s="1462"/>
      <c r="H366" s="1462"/>
      <c r="I366" s="1462"/>
      <c r="J366" s="1462"/>
      <c r="K366" s="1462"/>
      <c r="L366" s="1462"/>
      <c r="M366" s="1462"/>
      <c r="N366" s="1462"/>
      <c r="O366" s="1462"/>
      <c r="P366" s="1462"/>
      <c r="Q366" s="1462"/>
      <c r="R366" s="1462"/>
      <c r="S366" s="1462"/>
      <c r="T366" s="1462"/>
      <c r="U366" s="1462"/>
      <c r="V366" s="1462"/>
      <c r="W366" s="1462"/>
      <c r="X366" s="1462"/>
      <c r="Y366" s="1462"/>
      <c r="Z366" s="1462"/>
      <c r="AA366" s="1462"/>
    </row>
    <row r="367">
      <c r="A367" s="1493"/>
      <c r="B367" s="1494"/>
      <c r="C367" s="1493"/>
      <c r="D367" s="1493"/>
      <c r="E367" s="1495"/>
      <c r="F367" s="1462"/>
      <c r="G367" s="1462"/>
      <c r="H367" s="1462"/>
      <c r="I367" s="1462"/>
      <c r="J367" s="1462"/>
      <c r="K367" s="1462"/>
      <c r="L367" s="1462"/>
      <c r="M367" s="1462"/>
      <c r="N367" s="1462"/>
      <c r="O367" s="1462"/>
      <c r="P367" s="1462"/>
      <c r="Q367" s="1462"/>
      <c r="R367" s="1462"/>
      <c r="S367" s="1462"/>
      <c r="T367" s="1462"/>
      <c r="U367" s="1462"/>
      <c r="V367" s="1462"/>
      <c r="W367" s="1462"/>
      <c r="X367" s="1462"/>
      <c r="Y367" s="1462"/>
      <c r="Z367" s="1462"/>
      <c r="AA367" s="1462"/>
    </row>
    <row r="368">
      <c r="A368" s="1493"/>
      <c r="B368" s="1494"/>
      <c r="C368" s="1493"/>
      <c r="D368" s="1493"/>
      <c r="E368" s="1495"/>
      <c r="F368" s="1462"/>
      <c r="G368" s="1462"/>
      <c r="H368" s="1462"/>
      <c r="I368" s="1462"/>
      <c r="J368" s="1462"/>
      <c r="K368" s="1462"/>
      <c r="L368" s="1462"/>
      <c r="M368" s="1462"/>
      <c r="N368" s="1462"/>
      <c r="O368" s="1462"/>
      <c r="P368" s="1462"/>
      <c r="Q368" s="1462"/>
      <c r="R368" s="1462"/>
      <c r="S368" s="1462"/>
      <c r="T368" s="1462"/>
      <c r="U368" s="1462"/>
      <c r="V368" s="1462"/>
      <c r="W368" s="1462"/>
      <c r="X368" s="1462"/>
      <c r="Y368" s="1462"/>
      <c r="Z368" s="1462"/>
      <c r="AA368" s="1462"/>
    </row>
    <row r="369">
      <c r="A369" s="1493"/>
      <c r="B369" s="1494"/>
      <c r="C369" s="1493"/>
      <c r="D369" s="1493"/>
      <c r="E369" s="1495"/>
      <c r="F369" s="1462"/>
      <c r="G369" s="1462"/>
      <c r="H369" s="1462"/>
      <c r="I369" s="1462"/>
      <c r="J369" s="1462"/>
      <c r="K369" s="1462"/>
      <c r="L369" s="1462"/>
      <c r="M369" s="1462"/>
      <c r="N369" s="1462"/>
      <c r="O369" s="1462"/>
      <c r="P369" s="1462"/>
      <c r="Q369" s="1462"/>
      <c r="R369" s="1462"/>
      <c r="S369" s="1462"/>
      <c r="T369" s="1462"/>
      <c r="U369" s="1462"/>
      <c r="V369" s="1462"/>
      <c r="W369" s="1462"/>
      <c r="X369" s="1462"/>
      <c r="Y369" s="1462"/>
      <c r="Z369" s="1462"/>
      <c r="AA369" s="1462"/>
    </row>
    <row r="370">
      <c r="A370" s="1493"/>
      <c r="B370" s="1494"/>
      <c r="C370" s="1493"/>
      <c r="D370" s="1493"/>
      <c r="E370" s="1495"/>
      <c r="F370" s="1462"/>
      <c r="G370" s="1462"/>
      <c r="H370" s="1462"/>
      <c r="I370" s="1462"/>
      <c r="J370" s="1462"/>
      <c r="K370" s="1462"/>
      <c r="L370" s="1462"/>
      <c r="M370" s="1462"/>
      <c r="N370" s="1462"/>
      <c r="O370" s="1462"/>
      <c r="P370" s="1462"/>
      <c r="Q370" s="1462"/>
      <c r="R370" s="1462"/>
      <c r="S370" s="1462"/>
      <c r="T370" s="1462"/>
      <c r="U370" s="1462"/>
      <c r="V370" s="1462"/>
      <c r="W370" s="1462"/>
      <c r="X370" s="1462"/>
      <c r="Y370" s="1462"/>
      <c r="Z370" s="1462"/>
      <c r="AA370" s="1462"/>
    </row>
    <row r="371">
      <c r="A371" s="1493"/>
      <c r="B371" s="1494"/>
      <c r="C371" s="1493"/>
      <c r="D371" s="1493"/>
      <c r="E371" s="1495"/>
      <c r="F371" s="1462"/>
      <c r="G371" s="1462"/>
      <c r="H371" s="1462"/>
      <c r="I371" s="1462"/>
      <c r="J371" s="1462"/>
      <c r="K371" s="1462"/>
      <c r="L371" s="1462"/>
      <c r="M371" s="1462"/>
      <c r="N371" s="1462"/>
      <c r="O371" s="1462"/>
      <c r="P371" s="1462"/>
      <c r="Q371" s="1462"/>
      <c r="R371" s="1462"/>
      <c r="S371" s="1462"/>
      <c r="T371" s="1462"/>
      <c r="U371" s="1462"/>
      <c r="V371" s="1462"/>
      <c r="W371" s="1462"/>
      <c r="X371" s="1462"/>
      <c r="Y371" s="1462"/>
      <c r="Z371" s="1462"/>
      <c r="AA371" s="1462"/>
    </row>
    <row r="372">
      <c r="A372" s="1493"/>
      <c r="B372" s="1494"/>
      <c r="C372" s="1493"/>
      <c r="D372" s="1493"/>
      <c r="E372" s="1495"/>
      <c r="F372" s="1462"/>
      <c r="G372" s="1462"/>
      <c r="H372" s="1462"/>
      <c r="I372" s="1462"/>
      <c r="J372" s="1462"/>
      <c r="K372" s="1462"/>
      <c r="L372" s="1462"/>
      <c r="M372" s="1462"/>
      <c r="N372" s="1462"/>
      <c r="O372" s="1462"/>
      <c r="P372" s="1462"/>
      <c r="Q372" s="1462"/>
      <c r="R372" s="1462"/>
      <c r="S372" s="1462"/>
      <c r="T372" s="1462"/>
      <c r="U372" s="1462"/>
      <c r="V372" s="1462"/>
      <c r="W372" s="1462"/>
      <c r="X372" s="1462"/>
      <c r="Y372" s="1462"/>
      <c r="Z372" s="1462"/>
      <c r="AA372" s="1462"/>
    </row>
    <row r="373">
      <c r="A373" s="1493"/>
      <c r="B373" s="1494"/>
      <c r="C373" s="1493"/>
      <c r="D373" s="1493"/>
      <c r="E373" s="1495"/>
      <c r="F373" s="1462"/>
      <c r="G373" s="1462"/>
      <c r="H373" s="1462"/>
      <c r="I373" s="1462"/>
      <c r="J373" s="1462"/>
      <c r="K373" s="1462"/>
      <c r="L373" s="1462"/>
      <c r="M373" s="1462"/>
      <c r="N373" s="1462"/>
      <c r="O373" s="1462"/>
      <c r="P373" s="1462"/>
      <c r="Q373" s="1462"/>
      <c r="R373" s="1462"/>
      <c r="S373" s="1462"/>
      <c r="T373" s="1462"/>
      <c r="U373" s="1462"/>
      <c r="V373" s="1462"/>
      <c r="W373" s="1462"/>
      <c r="X373" s="1462"/>
      <c r="Y373" s="1462"/>
      <c r="Z373" s="1462"/>
      <c r="AA373" s="1462"/>
    </row>
    <row r="374">
      <c r="A374" s="1493"/>
      <c r="B374" s="1494"/>
      <c r="C374" s="1493"/>
      <c r="D374" s="1493"/>
      <c r="E374" s="1495"/>
      <c r="F374" s="1462"/>
      <c r="G374" s="1462"/>
      <c r="H374" s="1462"/>
      <c r="I374" s="1462"/>
      <c r="J374" s="1462"/>
      <c r="K374" s="1462"/>
      <c r="L374" s="1462"/>
      <c r="M374" s="1462"/>
      <c r="N374" s="1462"/>
      <c r="O374" s="1462"/>
      <c r="P374" s="1462"/>
      <c r="Q374" s="1462"/>
      <c r="R374" s="1462"/>
      <c r="S374" s="1462"/>
      <c r="T374" s="1462"/>
      <c r="U374" s="1462"/>
      <c r="V374" s="1462"/>
      <c r="W374" s="1462"/>
      <c r="X374" s="1462"/>
      <c r="Y374" s="1462"/>
      <c r="Z374" s="1462"/>
      <c r="AA374" s="1462"/>
    </row>
    <row r="375">
      <c r="A375" s="1493"/>
      <c r="B375" s="1494"/>
      <c r="C375" s="1493"/>
      <c r="D375" s="1493"/>
      <c r="E375" s="1495"/>
      <c r="F375" s="1462"/>
      <c r="G375" s="1462"/>
      <c r="H375" s="1462"/>
      <c r="I375" s="1462"/>
      <c r="J375" s="1462"/>
      <c r="K375" s="1462"/>
      <c r="L375" s="1462"/>
      <c r="M375" s="1462"/>
      <c r="N375" s="1462"/>
      <c r="O375" s="1462"/>
      <c r="P375" s="1462"/>
      <c r="Q375" s="1462"/>
      <c r="R375" s="1462"/>
      <c r="S375" s="1462"/>
      <c r="T375" s="1462"/>
      <c r="U375" s="1462"/>
      <c r="V375" s="1462"/>
      <c r="W375" s="1462"/>
      <c r="X375" s="1462"/>
      <c r="Y375" s="1462"/>
      <c r="Z375" s="1462"/>
      <c r="AA375" s="1462"/>
    </row>
    <row r="376">
      <c r="A376" s="1493"/>
      <c r="B376" s="1494"/>
      <c r="C376" s="1493"/>
      <c r="D376" s="1493"/>
      <c r="E376" s="1495"/>
      <c r="F376" s="1462"/>
      <c r="G376" s="1462"/>
      <c r="H376" s="1462"/>
      <c r="I376" s="1462"/>
      <c r="J376" s="1462"/>
      <c r="K376" s="1462"/>
      <c r="L376" s="1462"/>
      <c r="M376" s="1462"/>
      <c r="N376" s="1462"/>
      <c r="O376" s="1462"/>
      <c r="P376" s="1462"/>
      <c r="Q376" s="1462"/>
      <c r="R376" s="1462"/>
      <c r="S376" s="1462"/>
      <c r="T376" s="1462"/>
      <c r="U376" s="1462"/>
      <c r="V376" s="1462"/>
      <c r="W376" s="1462"/>
      <c r="X376" s="1462"/>
      <c r="Y376" s="1462"/>
      <c r="Z376" s="1462"/>
      <c r="AA376" s="1462"/>
    </row>
    <row r="377">
      <c r="A377" s="1493"/>
      <c r="B377" s="1494"/>
      <c r="C377" s="1493"/>
      <c r="D377" s="1493"/>
      <c r="E377" s="1495"/>
      <c r="F377" s="1462"/>
      <c r="G377" s="1462"/>
      <c r="H377" s="1462"/>
      <c r="I377" s="1462"/>
      <c r="J377" s="1462"/>
      <c r="K377" s="1462"/>
      <c r="L377" s="1462"/>
      <c r="M377" s="1462"/>
      <c r="N377" s="1462"/>
      <c r="O377" s="1462"/>
      <c r="P377" s="1462"/>
      <c r="Q377" s="1462"/>
      <c r="R377" s="1462"/>
      <c r="S377" s="1462"/>
      <c r="T377" s="1462"/>
      <c r="U377" s="1462"/>
      <c r="V377" s="1462"/>
      <c r="W377" s="1462"/>
      <c r="X377" s="1462"/>
      <c r="Y377" s="1462"/>
      <c r="Z377" s="1462"/>
      <c r="AA377" s="1462"/>
    </row>
    <row r="378">
      <c r="A378" s="1493"/>
      <c r="B378" s="1494"/>
      <c r="C378" s="1493"/>
      <c r="D378" s="1493"/>
      <c r="E378" s="1495"/>
      <c r="F378" s="1462"/>
      <c r="G378" s="1462"/>
      <c r="H378" s="1462"/>
      <c r="I378" s="1462"/>
      <c r="J378" s="1462"/>
      <c r="K378" s="1462"/>
      <c r="L378" s="1462"/>
      <c r="M378" s="1462"/>
      <c r="N378" s="1462"/>
      <c r="O378" s="1462"/>
      <c r="P378" s="1462"/>
      <c r="Q378" s="1462"/>
      <c r="R378" s="1462"/>
      <c r="S378" s="1462"/>
      <c r="T378" s="1462"/>
      <c r="U378" s="1462"/>
      <c r="V378" s="1462"/>
      <c r="W378" s="1462"/>
      <c r="X378" s="1462"/>
      <c r="Y378" s="1462"/>
      <c r="Z378" s="1462"/>
      <c r="AA378" s="1462"/>
    </row>
    <row r="379">
      <c r="A379" s="1493"/>
      <c r="B379" s="1494"/>
      <c r="C379" s="1493"/>
      <c r="D379" s="1493"/>
      <c r="E379" s="1495"/>
      <c r="F379" s="1462"/>
      <c r="G379" s="1462"/>
      <c r="H379" s="1462"/>
      <c r="I379" s="1462"/>
      <c r="J379" s="1462"/>
      <c r="K379" s="1462"/>
      <c r="L379" s="1462"/>
      <c r="M379" s="1462"/>
      <c r="N379" s="1462"/>
      <c r="O379" s="1462"/>
      <c r="P379" s="1462"/>
      <c r="Q379" s="1462"/>
      <c r="R379" s="1462"/>
      <c r="S379" s="1462"/>
      <c r="T379" s="1462"/>
      <c r="U379" s="1462"/>
      <c r="V379" s="1462"/>
      <c r="W379" s="1462"/>
      <c r="X379" s="1462"/>
      <c r="Y379" s="1462"/>
      <c r="Z379" s="1462"/>
      <c r="AA379" s="1462"/>
    </row>
    <row r="380">
      <c r="A380" s="1493"/>
      <c r="B380" s="1494"/>
      <c r="C380" s="1493"/>
      <c r="D380" s="1493"/>
      <c r="E380" s="1495"/>
      <c r="F380" s="1462"/>
      <c r="G380" s="1462"/>
      <c r="H380" s="1462"/>
      <c r="I380" s="1462"/>
      <c r="J380" s="1462"/>
      <c r="K380" s="1462"/>
      <c r="L380" s="1462"/>
      <c r="M380" s="1462"/>
      <c r="N380" s="1462"/>
      <c r="O380" s="1462"/>
      <c r="P380" s="1462"/>
      <c r="Q380" s="1462"/>
      <c r="R380" s="1462"/>
      <c r="S380" s="1462"/>
      <c r="T380" s="1462"/>
      <c r="U380" s="1462"/>
      <c r="V380" s="1462"/>
      <c r="W380" s="1462"/>
      <c r="X380" s="1462"/>
      <c r="Y380" s="1462"/>
      <c r="Z380" s="1462"/>
      <c r="AA380" s="1462"/>
    </row>
    <row r="381">
      <c r="A381" s="1493"/>
      <c r="B381" s="1494"/>
      <c r="C381" s="1493"/>
      <c r="D381" s="1493"/>
      <c r="E381" s="1495"/>
      <c r="F381" s="1462"/>
      <c r="G381" s="1462"/>
      <c r="H381" s="1462"/>
      <c r="I381" s="1462"/>
      <c r="J381" s="1462"/>
      <c r="K381" s="1462"/>
      <c r="L381" s="1462"/>
      <c r="M381" s="1462"/>
      <c r="N381" s="1462"/>
      <c r="O381" s="1462"/>
      <c r="P381" s="1462"/>
      <c r="Q381" s="1462"/>
      <c r="R381" s="1462"/>
      <c r="S381" s="1462"/>
      <c r="T381" s="1462"/>
      <c r="U381" s="1462"/>
      <c r="V381" s="1462"/>
      <c r="W381" s="1462"/>
      <c r="X381" s="1462"/>
      <c r="Y381" s="1462"/>
      <c r="Z381" s="1462"/>
      <c r="AA381" s="1462"/>
    </row>
    <row r="382">
      <c r="A382" s="1493"/>
      <c r="B382" s="1494"/>
      <c r="C382" s="1493"/>
      <c r="D382" s="1493"/>
      <c r="E382" s="1495"/>
      <c r="F382" s="1462"/>
      <c r="G382" s="1462"/>
      <c r="H382" s="1462"/>
      <c r="I382" s="1462"/>
      <c r="J382" s="1462"/>
      <c r="K382" s="1462"/>
      <c r="L382" s="1462"/>
      <c r="M382" s="1462"/>
      <c r="N382" s="1462"/>
      <c r="O382" s="1462"/>
      <c r="P382" s="1462"/>
      <c r="Q382" s="1462"/>
      <c r="R382" s="1462"/>
      <c r="S382" s="1462"/>
      <c r="T382" s="1462"/>
      <c r="U382" s="1462"/>
      <c r="V382" s="1462"/>
      <c r="W382" s="1462"/>
      <c r="X382" s="1462"/>
      <c r="Y382" s="1462"/>
      <c r="Z382" s="1462"/>
      <c r="AA382" s="1462"/>
    </row>
    <row r="383">
      <c r="A383" s="1493"/>
      <c r="B383" s="1494"/>
      <c r="C383" s="1493"/>
      <c r="D383" s="1493"/>
      <c r="E383" s="1495"/>
      <c r="F383" s="1462"/>
      <c r="G383" s="1462"/>
      <c r="H383" s="1462"/>
      <c r="I383" s="1462"/>
      <c r="J383" s="1462"/>
      <c r="K383" s="1462"/>
      <c r="L383" s="1462"/>
      <c r="M383" s="1462"/>
      <c r="N383" s="1462"/>
      <c r="O383" s="1462"/>
      <c r="P383" s="1462"/>
      <c r="Q383" s="1462"/>
      <c r="R383" s="1462"/>
      <c r="S383" s="1462"/>
      <c r="T383" s="1462"/>
      <c r="U383" s="1462"/>
      <c r="V383" s="1462"/>
      <c r="W383" s="1462"/>
      <c r="X383" s="1462"/>
      <c r="Y383" s="1462"/>
      <c r="Z383" s="1462"/>
      <c r="AA383" s="1462"/>
    </row>
    <row r="384">
      <c r="A384" s="1493"/>
      <c r="B384" s="1494"/>
      <c r="C384" s="1493"/>
      <c r="D384" s="1493"/>
      <c r="E384" s="1495"/>
      <c r="F384" s="1462"/>
      <c r="G384" s="1462"/>
      <c r="H384" s="1462"/>
      <c r="I384" s="1462"/>
      <c r="J384" s="1462"/>
      <c r="K384" s="1462"/>
      <c r="L384" s="1462"/>
      <c r="M384" s="1462"/>
      <c r="N384" s="1462"/>
      <c r="O384" s="1462"/>
      <c r="P384" s="1462"/>
      <c r="Q384" s="1462"/>
      <c r="R384" s="1462"/>
      <c r="S384" s="1462"/>
      <c r="T384" s="1462"/>
      <c r="U384" s="1462"/>
      <c r="V384" s="1462"/>
      <c r="W384" s="1462"/>
      <c r="X384" s="1462"/>
      <c r="Y384" s="1462"/>
      <c r="Z384" s="1462"/>
      <c r="AA384" s="1462"/>
    </row>
    <row r="385">
      <c r="A385" s="1493"/>
      <c r="B385" s="1494"/>
      <c r="C385" s="1493"/>
      <c r="D385" s="1493"/>
      <c r="E385" s="1495"/>
      <c r="F385" s="1462"/>
      <c r="G385" s="1462"/>
      <c r="H385" s="1462"/>
      <c r="I385" s="1462"/>
      <c r="J385" s="1462"/>
      <c r="K385" s="1462"/>
      <c r="L385" s="1462"/>
      <c r="M385" s="1462"/>
      <c r="N385" s="1462"/>
      <c r="O385" s="1462"/>
      <c r="P385" s="1462"/>
      <c r="Q385" s="1462"/>
      <c r="R385" s="1462"/>
      <c r="S385" s="1462"/>
      <c r="T385" s="1462"/>
      <c r="U385" s="1462"/>
      <c r="V385" s="1462"/>
      <c r="W385" s="1462"/>
      <c r="X385" s="1462"/>
      <c r="Y385" s="1462"/>
      <c r="Z385" s="1462"/>
      <c r="AA385" s="1462"/>
    </row>
    <row r="386">
      <c r="A386" s="1493"/>
      <c r="B386" s="1494"/>
      <c r="C386" s="1493"/>
      <c r="D386" s="1493"/>
      <c r="E386" s="1495"/>
      <c r="F386" s="1462"/>
      <c r="G386" s="1462"/>
      <c r="H386" s="1462"/>
      <c r="I386" s="1462"/>
      <c r="J386" s="1462"/>
      <c r="K386" s="1462"/>
      <c r="L386" s="1462"/>
      <c r="M386" s="1462"/>
      <c r="N386" s="1462"/>
      <c r="O386" s="1462"/>
      <c r="P386" s="1462"/>
      <c r="Q386" s="1462"/>
      <c r="R386" s="1462"/>
      <c r="S386" s="1462"/>
      <c r="T386" s="1462"/>
      <c r="U386" s="1462"/>
      <c r="V386" s="1462"/>
      <c r="W386" s="1462"/>
      <c r="X386" s="1462"/>
      <c r="Y386" s="1462"/>
      <c r="Z386" s="1462"/>
      <c r="AA386" s="1462"/>
    </row>
    <row r="387">
      <c r="A387" s="1493"/>
      <c r="B387" s="1494"/>
      <c r="C387" s="1493"/>
      <c r="D387" s="1493"/>
      <c r="E387" s="1495"/>
      <c r="F387" s="1462"/>
      <c r="G387" s="1462"/>
      <c r="H387" s="1462"/>
      <c r="I387" s="1462"/>
      <c r="J387" s="1462"/>
      <c r="K387" s="1462"/>
      <c r="L387" s="1462"/>
      <c r="M387" s="1462"/>
      <c r="N387" s="1462"/>
      <c r="O387" s="1462"/>
      <c r="P387" s="1462"/>
      <c r="Q387" s="1462"/>
      <c r="R387" s="1462"/>
      <c r="S387" s="1462"/>
      <c r="T387" s="1462"/>
      <c r="U387" s="1462"/>
      <c r="V387" s="1462"/>
      <c r="W387" s="1462"/>
      <c r="X387" s="1462"/>
      <c r="Y387" s="1462"/>
      <c r="Z387" s="1462"/>
      <c r="AA387" s="1462"/>
    </row>
    <row r="388">
      <c r="A388" s="1493"/>
      <c r="B388" s="1494"/>
      <c r="C388" s="1493"/>
      <c r="D388" s="1493"/>
      <c r="E388" s="1495"/>
      <c r="F388" s="1462"/>
      <c r="G388" s="1462"/>
      <c r="H388" s="1462"/>
      <c r="I388" s="1462"/>
      <c r="J388" s="1462"/>
      <c r="K388" s="1462"/>
      <c r="L388" s="1462"/>
      <c r="M388" s="1462"/>
      <c r="N388" s="1462"/>
      <c r="O388" s="1462"/>
      <c r="P388" s="1462"/>
      <c r="Q388" s="1462"/>
      <c r="R388" s="1462"/>
      <c r="S388" s="1462"/>
      <c r="T388" s="1462"/>
      <c r="U388" s="1462"/>
      <c r="V388" s="1462"/>
      <c r="W388" s="1462"/>
      <c r="X388" s="1462"/>
      <c r="Y388" s="1462"/>
      <c r="Z388" s="1462"/>
      <c r="AA388" s="1462"/>
    </row>
    <row r="389">
      <c r="A389" s="1493"/>
      <c r="B389" s="1494"/>
      <c r="C389" s="1493"/>
      <c r="D389" s="1493"/>
      <c r="E389" s="1495"/>
      <c r="F389" s="1462"/>
      <c r="G389" s="1462"/>
      <c r="H389" s="1462"/>
      <c r="I389" s="1462"/>
      <c r="J389" s="1462"/>
      <c r="K389" s="1462"/>
      <c r="L389" s="1462"/>
      <c r="M389" s="1462"/>
      <c r="N389" s="1462"/>
      <c r="O389" s="1462"/>
      <c r="P389" s="1462"/>
      <c r="Q389" s="1462"/>
      <c r="R389" s="1462"/>
      <c r="S389" s="1462"/>
      <c r="T389" s="1462"/>
      <c r="U389" s="1462"/>
      <c r="V389" s="1462"/>
      <c r="W389" s="1462"/>
      <c r="X389" s="1462"/>
      <c r="Y389" s="1462"/>
      <c r="Z389" s="1462"/>
      <c r="AA389" s="1462"/>
    </row>
    <row r="390">
      <c r="A390" s="1493"/>
      <c r="B390" s="1494"/>
      <c r="C390" s="1493"/>
      <c r="D390" s="1493"/>
      <c r="E390" s="1495"/>
      <c r="F390" s="1462"/>
      <c r="G390" s="1462"/>
      <c r="H390" s="1462"/>
      <c r="I390" s="1462"/>
      <c r="J390" s="1462"/>
      <c r="K390" s="1462"/>
      <c r="L390" s="1462"/>
      <c r="M390" s="1462"/>
      <c r="N390" s="1462"/>
      <c r="O390" s="1462"/>
      <c r="P390" s="1462"/>
      <c r="Q390" s="1462"/>
      <c r="R390" s="1462"/>
      <c r="S390" s="1462"/>
      <c r="T390" s="1462"/>
      <c r="U390" s="1462"/>
      <c r="V390" s="1462"/>
      <c r="W390" s="1462"/>
      <c r="X390" s="1462"/>
      <c r="Y390" s="1462"/>
      <c r="Z390" s="1462"/>
      <c r="AA390" s="1462"/>
    </row>
    <row r="391">
      <c r="A391" s="1493"/>
      <c r="B391" s="1494"/>
      <c r="C391" s="1493"/>
      <c r="D391" s="1493"/>
      <c r="E391" s="1495"/>
      <c r="F391" s="1462"/>
      <c r="G391" s="1462"/>
      <c r="H391" s="1462"/>
      <c r="I391" s="1462"/>
      <c r="J391" s="1462"/>
      <c r="K391" s="1462"/>
      <c r="L391" s="1462"/>
      <c r="M391" s="1462"/>
      <c r="N391" s="1462"/>
      <c r="O391" s="1462"/>
      <c r="P391" s="1462"/>
      <c r="Q391" s="1462"/>
      <c r="R391" s="1462"/>
      <c r="S391" s="1462"/>
      <c r="T391" s="1462"/>
      <c r="U391" s="1462"/>
      <c r="V391" s="1462"/>
      <c r="W391" s="1462"/>
      <c r="X391" s="1462"/>
      <c r="Y391" s="1462"/>
      <c r="Z391" s="1462"/>
      <c r="AA391" s="1462"/>
    </row>
    <row r="392">
      <c r="A392" s="1493"/>
      <c r="B392" s="1494"/>
      <c r="C392" s="1493"/>
      <c r="D392" s="1493"/>
      <c r="E392" s="1495"/>
      <c r="F392" s="1462"/>
      <c r="G392" s="1462"/>
      <c r="H392" s="1462"/>
      <c r="I392" s="1462"/>
      <c r="J392" s="1462"/>
      <c r="K392" s="1462"/>
      <c r="L392" s="1462"/>
      <c r="M392" s="1462"/>
      <c r="N392" s="1462"/>
      <c r="O392" s="1462"/>
      <c r="P392" s="1462"/>
      <c r="Q392" s="1462"/>
      <c r="R392" s="1462"/>
      <c r="S392" s="1462"/>
      <c r="T392" s="1462"/>
      <c r="U392" s="1462"/>
      <c r="V392" s="1462"/>
      <c r="W392" s="1462"/>
      <c r="X392" s="1462"/>
      <c r="Y392" s="1462"/>
      <c r="Z392" s="1462"/>
      <c r="AA392" s="1462"/>
    </row>
    <row r="393">
      <c r="A393" s="1493"/>
      <c r="B393" s="1494"/>
      <c r="C393" s="1493"/>
      <c r="D393" s="1493"/>
      <c r="E393" s="1495"/>
      <c r="F393" s="1462"/>
      <c r="G393" s="1462"/>
      <c r="H393" s="1462"/>
      <c r="I393" s="1462"/>
      <c r="J393" s="1462"/>
      <c r="K393" s="1462"/>
      <c r="L393" s="1462"/>
      <c r="M393" s="1462"/>
      <c r="N393" s="1462"/>
      <c r="O393" s="1462"/>
      <c r="P393" s="1462"/>
      <c r="Q393" s="1462"/>
      <c r="R393" s="1462"/>
      <c r="S393" s="1462"/>
      <c r="T393" s="1462"/>
      <c r="U393" s="1462"/>
      <c r="V393" s="1462"/>
      <c r="W393" s="1462"/>
      <c r="X393" s="1462"/>
      <c r="Y393" s="1462"/>
      <c r="Z393" s="1462"/>
      <c r="AA393" s="1462"/>
    </row>
    <row r="394">
      <c r="A394" s="1493"/>
      <c r="B394" s="1494"/>
      <c r="C394" s="1493"/>
      <c r="D394" s="1493"/>
      <c r="E394" s="1495"/>
      <c r="F394" s="1462"/>
      <c r="G394" s="1462"/>
      <c r="H394" s="1462"/>
      <c r="I394" s="1462"/>
      <c r="J394" s="1462"/>
      <c r="K394" s="1462"/>
      <c r="L394" s="1462"/>
      <c r="M394" s="1462"/>
      <c r="N394" s="1462"/>
      <c r="O394" s="1462"/>
      <c r="P394" s="1462"/>
      <c r="Q394" s="1462"/>
      <c r="R394" s="1462"/>
      <c r="S394" s="1462"/>
      <c r="T394" s="1462"/>
      <c r="U394" s="1462"/>
      <c r="V394" s="1462"/>
      <c r="W394" s="1462"/>
      <c r="X394" s="1462"/>
      <c r="Y394" s="1462"/>
      <c r="Z394" s="1462"/>
      <c r="AA394" s="1462"/>
    </row>
    <row r="395">
      <c r="A395" s="1493"/>
      <c r="B395" s="1494"/>
      <c r="C395" s="1493"/>
      <c r="D395" s="1493"/>
      <c r="E395" s="1495"/>
      <c r="F395" s="1462"/>
      <c r="G395" s="1462"/>
      <c r="H395" s="1462"/>
      <c r="I395" s="1462"/>
      <c r="J395" s="1462"/>
      <c r="K395" s="1462"/>
      <c r="L395" s="1462"/>
      <c r="M395" s="1462"/>
      <c r="N395" s="1462"/>
      <c r="O395" s="1462"/>
      <c r="P395" s="1462"/>
      <c r="Q395" s="1462"/>
      <c r="R395" s="1462"/>
      <c r="S395" s="1462"/>
      <c r="T395" s="1462"/>
      <c r="U395" s="1462"/>
      <c r="V395" s="1462"/>
      <c r="W395" s="1462"/>
      <c r="X395" s="1462"/>
      <c r="Y395" s="1462"/>
      <c r="Z395" s="1462"/>
      <c r="AA395" s="1462"/>
    </row>
    <row r="396">
      <c r="A396" s="1493"/>
      <c r="B396" s="1494"/>
      <c r="C396" s="1493"/>
      <c r="D396" s="1493"/>
      <c r="E396" s="1495"/>
      <c r="F396" s="1462"/>
      <c r="G396" s="1462"/>
      <c r="H396" s="1462"/>
      <c r="I396" s="1462"/>
      <c r="J396" s="1462"/>
      <c r="K396" s="1462"/>
      <c r="L396" s="1462"/>
      <c r="M396" s="1462"/>
      <c r="N396" s="1462"/>
      <c r="O396" s="1462"/>
      <c r="P396" s="1462"/>
      <c r="Q396" s="1462"/>
      <c r="R396" s="1462"/>
      <c r="S396" s="1462"/>
      <c r="T396" s="1462"/>
      <c r="U396" s="1462"/>
      <c r="V396" s="1462"/>
      <c r="W396" s="1462"/>
      <c r="X396" s="1462"/>
      <c r="Y396" s="1462"/>
      <c r="Z396" s="1462"/>
      <c r="AA396" s="1462"/>
    </row>
    <row r="397">
      <c r="A397" s="1493"/>
      <c r="B397" s="1494"/>
      <c r="C397" s="1493"/>
      <c r="D397" s="1493"/>
      <c r="E397" s="1495"/>
      <c r="F397" s="1462"/>
      <c r="G397" s="1462"/>
      <c r="H397" s="1462"/>
      <c r="I397" s="1462"/>
      <c r="J397" s="1462"/>
      <c r="K397" s="1462"/>
      <c r="L397" s="1462"/>
      <c r="M397" s="1462"/>
      <c r="N397" s="1462"/>
      <c r="O397" s="1462"/>
      <c r="P397" s="1462"/>
      <c r="Q397" s="1462"/>
      <c r="R397" s="1462"/>
      <c r="S397" s="1462"/>
      <c r="T397" s="1462"/>
      <c r="U397" s="1462"/>
      <c r="V397" s="1462"/>
      <c r="W397" s="1462"/>
      <c r="X397" s="1462"/>
      <c r="Y397" s="1462"/>
      <c r="Z397" s="1462"/>
      <c r="AA397" s="1462"/>
    </row>
    <row r="398">
      <c r="A398" s="1493"/>
      <c r="B398" s="1494"/>
      <c r="C398" s="1493"/>
      <c r="D398" s="1493"/>
      <c r="E398" s="1495"/>
      <c r="F398" s="1462"/>
      <c r="G398" s="1462"/>
      <c r="H398" s="1462"/>
      <c r="I398" s="1462"/>
      <c r="J398" s="1462"/>
      <c r="K398" s="1462"/>
      <c r="L398" s="1462"/>
      <c r="M398" s="1462"/>
      <c r="N398" s="1462"/>
      <c r="O398" s="1462"/>
      <c r="P398" s="1462"/>
      <c r="Q398" s="1462"/>
      <c r="R398" s="1462"/>
      <c r="S398" s="1462"/>
      <c r="T398" s="1462"/>
      <c r="U398" s="1462"/>
      <c r="V398" s="1462"/>
      <c r="W398" s="1462"/>
      <c r="X398" s="1462"/>
      <c r="Y398" s="1462"/>
      <c r="Z398" s="1462"/>
      <c r="AA398" s="1462"/>
    </row>
    <row r="399">
      <c r="A399" s="1493"/>
      <c r="B399" s="1494"/>
      <c r="C399" s="1493"/>
      <c r="D399" s="1493"/>
      <c r="E399" s="1495"/>
      <c r="F399" s="1462"/>
      <c r="G399" s="1462"/>
      <c r="H399" s="1462"/>
      <c r="I399" s="1462"/>
      <c r="J399" s="1462"/>
      <c r="K399" s="1462"/>
      <c r="L399" s="1462"/>
      <c r="M399" s="1462"/>
      <c r="N399" s="1462"/>
      <c r="O399" s="1462"/>
      <c r="P399" s="1462"/>
      <c r="Q399" s="1462"/>
      <c r="R399" s="1462"/>
      <c r="S399" s="1462"/>
      <c r="T399" s="1462"/>
      <c r="U399" s="1462"/>
      <c r="V399" s="1462"/>
      <c r="W399" s="1462"/>
      <c r="X399" s="1462"/>
      <c r="Y399" s="1462"/>
      <c r="Z399" s="1462"/>
      <c r="AA399" s="1462"/>
    </row>
    <row r="400">
      <c r="A400" s="1493"/>
      <c r="B400" s="1494"/>
      <c r="C400" s="1493"/>
      <c r="D400" s="1493"/>
      <c r="E400" s="1495"/>
      <c r="F400" s="1462"/>
      <c r="G400" s="1462"/>
      <c r="H400" s="1462"/>
      <c r="I400" s="1462"/>
      <c r="J400" s="1462"/>
      <c r="K400" s="1462"/>
      <c r="L400" s="1462"/>
      <c r="M400" s="1462"/>
      <c r="N400" s="1462"/>
      <c r="O400" s="1462"/>
      <c r="P400" s="1462"/>
      <c r="Q400" s="1462"/>
      <c r="R400" s="1462"/>
      <c r="S400" s="1462"/>
      <c r="T400" s="1462"/>
      <c r="U400" s="1462"/>
      <c r="V400" s="1462"/>
      <c r="W400" s="1462"/>
      <c r="X400" s="1462"/>
      <c r="Y400" s="1462"/>
      <c r="Z400" s="1462"/>
      <c r="AA400" s="1462"/>
    </row>
    <row r="401">
      <c r="A401" s="1493"/>
      <c r="B401" s="1494"/>
      <c r="C401" s="1493"/>
      <c r="D401" s="1493"/>
      <c r="E401" s="1495"/>
      <c r="F401" s="1462"/>
      <c r="G401" s="1462"/>
      <c r="H401" s="1462"/>
      <c r="I401" s="1462"/>
      <c r="J401" s="1462"/>
      <c r="K401" s="1462"/>
      <c r="L401" s="1462"/>
      <c r="M401" s="1462"/>
      <c r="N401" s="1462"/>
      <c r="O401" s="1462"/>
      <c r="P401" s="1462"/>
      <c r="Q401" s="1462"/>
      <c r="R401" s="1462"/>
      <c r="S401" s="1462"/>
      <c r="T401" s="1462"/>
      <c r="U401" s="1462"/>
      <c r="V401" s="1462"/>
      <c r="W401" s="1462"/>
      <c r="X401" s="1462"/>
      <c r="Y401" s="1462"/>
      <c r="Z401" s="1462"/>
      <c r="AA401" s="1462"/>
    </row>
    <row r="402">
      <c r="A402" s="1493"/>
      <c r="B402" s="1494"/>
      <c r="C402" s="1493"/>
      <c r="D402" s="1493"/>
      <c r="E402" s="1495"/>
      <c r="F402" s="1462"/>
      <c r="G402" s="1462"/>
      <c r="H402" s="1462"/>
      <c r="I402" s="1462"/>
      <c r="J402" s="1462"/>
      <c r="K402" s="1462"/>
      <c r="L402" s="1462"/>
      <c r="M402" s="1462"/>
      <c r="N402" s="1462"/>
      <c r="O402" s="1462"/>
      <c r="P402" s="1462"/>
      <c r="Q402" s="1462"/>
      <c r="R402" s="1462"/>
      <c r="S402" s="1462"/>
      <c r="T402" s="1462"/>
      <c r="U402" s="1462"/>
      <c r="V402" s="1462"/>
      <c r="W402" s="1462"/>
      <c r="X402" s="1462"/>
      <c r="Y402" s="1462"/>
      <c r="Z402" s="1462"/>
      <c r="AA402" s="1462"/>
    </row>
    <row r="403">
      <c r="A403" s="1493"/>
      <c r="B403" s="1494"/>
      <c r="C403" s="1493"/>
      <c r="D403" s="1493"/>
      <c r="E403" s="1495"/>
      <c r="F403" s="1462"/>
      <c r="G403" s="1462"/>
      <c r="H403" s="1462"/>
      <c r="I403" s="1462"/>
      <c r="J403" s="1462"/>
      <c r="K403" s="1462"/>
      <c r="L403" s="1462"/>
      <c r="M403" s="1462"/>
      <c r="N403" s="1462"/>
      <c r="O403" s="1462"/>
      <c r="P403" s="1462"/>
      <c r="Q403" s="1462"/>
      <c r="R403" s="1462"/>
      <c r="S403" s="1462"/>
      <c r="T403" s="1462"/>
      <c r="U403" s="1462"/>
      <c r="V403" s="1462"/>
      <c r="W403" s="1462"/>
      <c r="X403" s="1462"/>
      <c r="Y403" s="1462"/>
      <c r="Z403" s="1462"/>
      <c r="AA403" s="1462"/>
    </row>
    <row r="404">
      <c r="A404" s="1493"/>
      <c r="B404" s="1494"/>
      <c r="C404" s="1493"/>
      <c r="D404" s="1493"/>
      <c r="E404" s="1495"/>
      <c r="F404" s="1462"/>
      <c r="G404" s="1462"/>
      <c r="H404" s="1462"/>
      <c r="I404" s="1462"/>
      <c r="J404" s="1462"/>
      <c r="K404" s="1462"/>
      <c r="L404" s="1462"/>
      <c r="M404" s="1462"/>
      <c r="N404" s="1462"/>
      <c r="O404" s="1462"/>
      <c r="P404" s="1462"/>
      <c r="Q404" s="1462"/>
      <c r="R404" s="1462"/>
      <c r="S404" s="1462"/>
      <c r="T404" s="1462"/>
      <c r="U404" s="1462"/>
      <c r="V404" s="1462"/>
      <c r="W404" s="1462"/>
      <c r="X404" s="1462"/>
      <c r="Y404" s="1462"/>
      <c r="Z404" s="1462"/>
      <c r="AA404" s="1462"/>
    </row>
    <row r="405">
      <c r="A405" s="1493"/>
      <c r="B405" s="1494"/>
      <c r="C405" s="1493"/>
      <c r="D405" s="1493"/>
      <c r="E405" s="1495"/>
      <c r="F405" s="1462"/>
      <c r="G405" s="1462"/>
      <c r="H405" s="1462"/>
      <c r="I405" s="1462"/>
      <c r="J405" s="1462"/>
      <c r="K405" s="1462"/>
      <c r="L405" s="1462"/>
      <c r="M405" s="1462"/>
      <c r="N405" s="1462"/>
      <c r="O405" s="1462"/>
      <c r="P405" s="1462"/>
      <c r="Q405" s="1462"/>
      <c r="R405" s="1462"/>
      <c r="S405" s="1462"/>
      <c r="T405" s="1462"/>
      <c r="U405" s="1462"/>
      <c r="V405" s="1462"/>
      <c r="W405" s="1462"/>
      <c r="X405" s="1462"/>
      <c r="Y405" s="1462"/>
      <c r="Z405" s="1462"/>
      <c r="AA405" s="1462"/>
    </row>
    <row r="406">
      <c r="A406" s="1493"/>
      <c r="B406" s="1494"/>
      <c r="C406" s="1493"/>
      <c r="D406" s="1493"/>
      <c r="E406" s="1495"/>
      <c r="F406" s="1462"/>
      <c r="G406" s="1462"/>
      <c r="H406" s="1462"/>
      <c r="I406" s="1462"/>
      <c r="J406" s="1462"/>
      <c r="K406" s="1462"/>
      <c r="L406" s="1462"/>
      <c r="M406" s="1462"/>
      <c r="N406" s="1462"/>
      <c r="O406" s="1462"/>
      <c r="P406" s="1462"/>
      <c r="Q406" s="1462"/>
      <c r="R406" s="1462"/>
      <c r="S406" s="1462"/>
      <c r="T406" s="1462"/>
      <c r="U406" s="1462"/>
      <c r="V406" s="1462"/>
      <c r="W406" s="1462"/>
      <c r="X406" s="1462"/>
      <c r="Y406" s="1462"/>
      <c r="Z406" s="1462"/>
      <c r="AA406" s="1462"/>
    </row>
    <row r="407">
      <c r="A407" s="1493"/>
      <c r="B407" s="1494"/>
      <c r="C407" s="1493"/>
      <c r="D407" s="1493"/>
      <c r="E407" s="1495"/>
      <c r="F407" s="1462"/>
      <c r="G407" s="1462"/>
      <c r="H407" s="1462"/>
      <c r="I407" s="1462"/>
      <c r="J407" s="1462"/>
      <c r="K407" s="1462"/>
      <c r="L407" s="1462"/>
      <c r="M407" s="1462"/>
      <c r="N407" s="1462"/>
      <c r="O407" s="1462"/>
      <c r="P407" s="1462"/>
      <c r="Q407" s="1462"/>
      <c r="R407" s="1462"/>
      <c r="S407" s="1462"/>
      <c r="T407" s="1462"/>
      <c r="U407" s="1462"/>
      <c r="V407" s="1462"/>
      <c r="W407" s="1462"/>
      <c r="X407" s="1462"/>
      <c r="Y407" s="1462"/>
      <c r="Z407" s="1462"/>
      <c r="AA407" s="1462"/>
    </row>
    <row r="408">
      <c r="A408" s="1493"/>
      <c r="B408" s="1494"/>
      <c r="C408" s="1493"/>
      <c r="D408" s="1493"/>
      <c r="E408" s="1495"/>
      <c r="F408" s="1462"/>
      <c r="G408" s="1462"/>
      <c r="H408" s="1462"/>
      <c r="I408" s="1462"/>
      <c r="J408" s="1462"/>
      <c r="K408" s="1462"/>
      <c r="L408" s="1462"/>
      <c r="M408" s="1462"/>
      <c r="N408" s="1462"/>
      <c r="O408" s="1462"/>
      <c r="P408" s="1462"/>
      <c r="Q408" s="1462"/>
      <c r="R408" s="1462"/>
      <c r="S408" s="1462"/>
      <c r="T408" s="1462"/>
      <c r="U408" s="1462"/>
      <c r="V408" s="1462"/>
      <c r="W408" s="1462"/>
      <c r="X408" s="1462"/>
      <c r="Y408" s="1462"/>
      <c r="Z408" s="1462"/>
      <c r="AA408" s="1462"/>
    </row>
    <row r="409">
      <c r="A409" s="1493"/>
      <c r="B409" s="1494"/>
      <c r="C409" s="1493"/>
      <c r="D409" s="1493"/>
      <c r="E409" s="1495"/>
      <c r="F409" s="1462"/>
      <c r="G409" s="1462"/>
      <c r="H409" s="1462"/>
      <c r="I409" s="1462"/>
      <c r="J409" s="1462"/>
      <c r="K409" s="1462"/>
      <c r="L409" s="1462"/>
      <c r="M409" s="1462"/>
      <c r="N409" s="1462"/>
      <c r="O409" s="1462"/>
      <c r="P409" s="1462"/>
      <c r="Q409" s="1462"/>
      <c r="R409" s="1462"/>
      <c r="S409" s="1462"/>
      <c r="T409" s="1462"/>
      <c r="U409" s="1462"/>
      <c r="V409" s="1462"/>
      <c r="W409" s="1462"/>
      <c r="X409" s="1462"/>
      <c r="Y409" s="1462"/>
      <c r="Z409" s="1462"/>
      <c r="AA409" s="1462"/>
    </row>
    <row r="410">
      <c r="A410" s="1493"/>
      <c r="B410" s="1494"/>
      <c r="C410" s="1493"/>
      <c r="D410" s="1493"/>
      <c r="E410" s="1495"/>
      <c r="F410" s="1462"/>
      <c r="G410" s="1462"/>
      <c r="H410" s="1462"/>
      <c r="I410" s="1462"/>
      <c r="J410" s="1462"/>
      <c r="K410" s="1462"/>
      <c r="L410" s="1462"/>
      <c r="M410" s="1462"/>
      <c r="N410" s="1462"/>
      <c r="O410" s="1462"/>
      <c r="P410" s="1462"/>
      <c r="Q410" s="1462"/>
      <c r="R410" s="1462"/>
      <c r="S410" s="1462"/>
      <c r="T410" s="1462"/>
      <c r="U410" s="1462"/>
      <c r="V410" s="1462"/>
      <c r="W410" s="1462"/>
      <c r="X410" s="1462"/>
      <c r="Y410" s="1462"/>
      <c r="Z410" s="1462"/>
      <c r="AA410" s="1462"/>
    </row>
    <row r="411">
      <c r="A411" s="1493"/>
      <c r="B411" s="1494"/>
      <c r="C411" s="1493"/>
      <c r="D411" s="1493"/>
      <c r="E411" s="1495"/>
      <c r="F411" s="1462"/>
      <c r="G411" s="1462"/>
      <c r="H411" s="1462"/>
      <c r="I411" s="1462"/>
      <c r="J411" s="1462"/>
      <c r="K411" s="1462"/>
      <c r="L411" s="1462"/>
      <c r="M411" s="1462"/>
      <c r="N411" s="1462"/>
      <c r="O411" s="1462"/>
      <c r="P411" s="1462"/>
      <c r="Q411" s="1462"/>
      <c r="R411" s="1462"/>
      <c r="S411" s="1462"/>
      <c r="T411" s="1462"/>
      <c r="U411" s="1462"/>
      <c r="V411" s="1462"/>
      <c r="W411" s="1462"/>
      <c r="X411" s="1462"/>
      <c r="Y411" s="1462"/>
      <c r="Z411" s="1462"/>
      <c r="AA411" s="1462"/>
    </row>
    <row r="412">
      <c r="A412" s="1493"/>
      <c r="B412" s="1494"/>
      <c r="C412" s="1493"/>
      <c r="D412" s="1493"/>
      <c r="E412" s="1495"/>
      <c r="F412" s="1462"/>
      <c r="G412" s="1462"/>
      <c r="H412" s="1462"/>
      <c r="I412" s="1462"/>
      <c r="J412" s="1462"/>
      <c r="K412" s="1462"/>
      <c r="L412" s="1462"/>
      <c r="M412" s="1462"/>
      <c r="N412" s="1462"/>
      <c r="O412" s="1462"/>
      <c r="P412" s="1462"/>
      <c r="Q412" s="1462"/>
      <c r="R412" s="1462"/>
      <c r="S412" s="1462"/>
      <c r="T412" s="1462"/>
      <c r="U412" s="1462"/>
      <c r="V412" s="1462"/>
      <c r="W412" s="1462"/>
      <c r="X412" s="1462"/>
      <c r="Y412" s="1462"/>
      <c r="Z412" s="1462"/>
      <c r="AA412" s="1462"/>
    </row>
    <row r="413">
      <c r="A413" s="1493"/>
      <c r="B413" s="1494"/>
      <c r="C413" s="1493"/>
      <c r="D413" s="1493"/>
      <c r="E413" s="1495"/>
      <c r="F413" s="1462"/>
      <c r="G413" s="1462"/>
      <c r="H413" s="1462"/>
      <c r="I413" s="1462"/>
      <c r="J413" s="1462"/>
      <c r="K413" s="1462"/>
      <c r="L413" s="1462"/>
      <c r="M413" s="1462"/>
      <c r="N413" s="1462"/>
      <c r="O413" s="1462"/>
      <c r="P413" s="1462"/>
      <c r="Q413" s="1462"/>
      <c r="R413" s="1462"/>
      <c r="S413" s="1462"/>
      <c r="T413" s="1462"/>
      <c r="U413" s="1462"/>
      <c r="V413" s="1462"/>
      <c r="W413" s="1462"/>
      <c r="X413" s="1462"/>
      <c r="Y413" s="1462"/>
      <c r="Z413" s="1462"/>
      <c r="AA413" s="1462"/>
    </row>
    <row r="414">
      <c r="A414" s="1493"/>
      <c r="B414" s="1494"/>
      <c r="C414" s="1493"/>
      <c r="D414" s="1493"/>
      <c r="E414" s="1495"/>
      <c r="F414" s="1462"/>
      <c r="G414" s="1462"/>
      <c r="H414" s="1462"/>
      <c r="I414" s="1462"/>
      <c r="J414" s="1462"/>
      <c r="K414" s="1462"/>
      <c r="L414" s="1462"/>
      <c r="M414" s="1462"/>
      <c r="N414" s="1462"/>
      <c r="O414" s="1462"/>
      <c r="P414" s="1462"/>
      <c r="Q414" s="1462"/>
      <c r="R414" s="1462"/>
      <c r="S414" s="1462"/>
      <c r="T414" s="1462"/>
      <c r="U414" s="1462"/>
      <c r="V414" s="1462"/>
      <c r="W414" s="1462"/>
      <c r="X414" s="1462"/>
      <c r="Y414" s="1462"/>
      <c r="Z414" s="1462"/>
      <c r="AA414" s="1462"/>
    </row>
    <row r="415">
      <c r="A415" s="1493"/>
      <c r="B415" s="1494"/>
      <c r="C415" s="1493"/>
      <c r="D415" s="1493"/>
      <c r="E415" s="1495"/>
      <c r="F415" s="1462"/>
      <c r="G415" s="1462"/>
      <c r="H415" s="1462"/>
      <c r="I415" s="1462"/>
      <c r="J415" s="1462"/>
      <c r="K415" s="1462"/>
      <c r="L415" s="1462"/>
      <c r="M415" s="1462"/>
      <c r="N415" s="1462"/>
      <c r="O415" s="1462"/>
      <c r="P415" s="1462"/>
      <c r="Q415" s="1462"/>
      <c r="R415" s="1462"/>
      <c r="S415" s="1462"/>
      <c r="T415" s="1462"/>
      <c r="U415" s="1462"/>
      <c r="V415" s="1462"/>
      <c r="W415" s="1462"/>
      <c r="X415" s="1462"/>
      <c r="Y415" s="1462"/>
      <c r="Z415" s="1462"/>
      <c r="AA415" s="1462"/>
    </row>
    <row r="416">
      <c r="A416" s="1493"/>
      <c r="B416" s="1494"/>
      <c r="C416" s="1493"/>
      <c r="D416" s="1493"/>
      <c r="E416" s="1495"/>
      <c r="F416" s="1462"/>
      <c r="G416" s="1462"/>
      <c r="H416" s="1462"/>
      <c r="I416" s="1462"/>
      <c r="J416" s="1462"/>
      <c r="K416" s="1462"/>
      <c r="L416" s="1462"/>
      <c r="M416" s="1462"/>
      <c r="N416" s="1462"/>
      <c r="O416" s="1462"/>
      <c r="P416" s="1462"/>
      <c r="Q416" s="1462"/>
      <c r="R416" s="1462"/>
      <c r="S416" s="1462"/>
      <c r="T416" s="1462"/>
      <c r="U416" s="1462"/>
      <c r="V416" s="1462"/>
      <c r="W416" s="1462"/>
      <c r="X416" s="1462"/>
      <c r="Y416" s="1462"/>
      <c r="Z416" s="1462"/>
      <c r="AA416" s="1462"/>
    </row>
    <row r="417">
      <c r="A417" s="1493"/>
      <c r="B417" s="1494"/>
      <c r="C417" s="1493"/>
      <c r="D417" s="1493"/>
      <c r="E417" s="1495"/>
      <c r="F417" s="1462"/>
      <c r="G417" s="1462"/>
      <c r="H417" s="1462"/>
      <c r="I417" s="1462"/>
      <c r="J417" s="1462"/>
      <c r="K417" s="1462"/>
      <c r="L417" s="1462"/>
      <c r="M417" s="1462"/>
      <c r="N417" s="1462"/>
      <c r="O417" s="1462"/>
      <c r="P417" s="1462"/>
      <c r="Q417" s="1462"/>
      <c r="R417" s="1462"/>
      <c r="S417" s="1462"/>
      <c r="T417" s="1462"/>
      <c r="U417" s="1462"/>
      <c r="V417" s="1462"/>
      <c r="W417" s="1462"/>
      <c r="X417" s="1462"/>
      <c r="Y417" s="1462"/>
      <c r="Z417" s="1462"/>
      <c r="AA417" s="1462"/>
    </row>
    <row r="418">
      <c r="A418" s="1493"/>
      <c r="B418" s="1494"/>
      <c r="C418" s="1493"/>
      <c r="D418" s="1493"/>
      <c r="E418" s="1495"/>
      <c r="F418" s="1462"/>
      <c r="G418" s="1462"/>
      <c r="H418" s="1462"/>
      <c r="I418" s="1462"/>
      <c r="J418" s="1462"/>
      <c r="K418" s="1462"/>
      <c r="L418" s="1462"/>
      <c r="M418" s="1462"/>
      <c r="N418" s="1462"/>
      <c r="O418" s="1462"/>
      <c r="P418" s="1462"/>
      <c r="Q418" s="1462"/>
      <c r="R418" s="1462"/>
      <c r="S418" s="1462"/>
      <c r="T418" s="1462"/>
      <c r="U418" s="1462"/>
      <c r="V418" s="1462"/>
      <c r="W418" s="1462"/>
      <c r="X418" s="1462"/>
      <c r="Y418" s="1462"/>
      <c r="Z418" s="1462"/>
      <c r="AA418" s="1462"/>
    </row>
    <row r="419">
      <c r="A419" s="1493"/>
      <c r="B419" s="1494"/>
      <c r="C419" s="1493"/>
      <c r="D419" s="1493"/>
      <c r="E419" s="1495"/>
      <c r="F419" s="1462"/>
      <c r="G419" s="1462"/>
      <c r="H419" s="1462"/>
      <c r="I419" s="1462"/>
      <c r="J419" s="1462"/>
      <c r="K419" s="1462"/>
      <c r="L419" s="1462"/>
      <c r="M419" s="1462"/>
      <c r="N419" s="1462"/>
      <c r="O419" s="1462"/>
      <c r="P419" s="1462"/>
      <c r="Q419" s="1462"/>
      <c r="R419" s="1462"/>
      <c r="S419" s="1462"/>
      <c r="T419" s="1462"/>
      <c r="U419" s="1462"/>
      <c r="V419" s="1462"/>
      <c r="W419" s="1462"/>
      <c r="X419" s="1462"/>
      <c r="Y419" s="1462"/>
      <c r="Z419" s="1462"/>
      <c r="AA419" s="1462"/>
    </row>
    <row r="420">
      <c r="A420" s="1493"/>
      <c r="B420" s="1494"/>
      <c r="C420" s="1493"/>
      <c r="D420" s="1493"/>
      <c r="E420" s="1495"/>
      <c r="F420" s="1462"/>
      <c r="G420" s="1462"/>
      <c r="H420" s="1462"/>
      <c r="I420" s="1462"/>
      <c r="J420" s="1462"/>
      <c r="K420" s="1462"/>
      <c r="L420" s="1462"/>
      <c r="M420" s="1462"/>
      <c r="N420" s="1462"/>
      <c r="O420" s="1462"/>
      <c r="P420" s="1462"/>
      <c r="Q420" s="1462"/>
      <c r="R420" s="1462"/>
      <c r="S420" s="1462"/>
      <c r="T420" s="1462"/>
      <c r="U420" s="1462"/>
      <c r="V420" s="1462"/>
      <c r="W420" s="1462"/>
      <c r="X420" s="1462"/>
      <c r="Y420" s="1462"/>
      <c r="Z420" s="1462"/>
      <c r="AA420" s="1462"/>
    </row>
    <row r="421">
      <c r="A421" s="1493"/>
      <c r="B421" s="1494"/>
      <c r="C421" s="1493"/>
      <c r="D421" s="1493"/>
      <c r="E421" s="1495"/>
      <c r="F421" s="1462"/>
      <c r="G421" s="1462"/>
      <c r="H421" s="1462"/>
      <c r="I421" s="1462"/>
      <c r="J421" s="1462"/>
      <c r="K421" s="1462"/>
      <c r="L421" s="1462"/>
      <c r="M421" s="1462"/>
      <c r="N421" s="1462"/>
      <c r="O421" s="1462"/>
      <c r="P421" s="1462"/>
      <c r="Q421" s="1462"/>
      <c r="R421" s="1462"/>
      <c r="S421" s="1462"/>
      <c r="T421" s="1462"/>
      <c r="U421" s="1462"/>
      <c r="V421" s="1462"/>
      <c r="W421" s="1462"/>
      <c r="X421" s="1462"/>
      <c r="Y421" s="1462"/>
      <c r="Z421" s="1462"/>
      <c r="AA421" s="1462"/>
    </row>
    <row r="422">
      <c r="A422" s="1493"/>
      <c r="B422" s="1494"/>
      <c r="C422" s="1493"/>
      <c r="D422" s="1493"/>
      <c r="E422" s="1495"/>
      <c r="F422" s="1462"/>
      <c r="G422" s="1462"/>
      <c r="H422" s="1462"/>
      <c r="I422" s="1462"/>
      <c r="J422" s="1462"/>
      <c r="K422" s="1462"/>
      <c r="L422" s="1462"/>
      <c r="M422" s="1462"/>
      <c r="N422" s="1462"/>
      <c r="O422" s="1462"/>
      <c r="P422" s="1462"/>
      <c r="Q422" s="1462"/>
      <c r="R422" s="1462"/>
      <c r="S422" s="1462"/>
      <c r="T422" s="1462"/>
      <c r="U422" s="1462"/>
      <c r="V422" s="1462"/>
      <c r="W422" s="1462"/>
      <c r="X422" s="1462"/>
      <c r="Y422" s="1462"/>
      <c r="Z422" s="1462"/>
      <c r="AA422" s="1462"/>
    </row>
    <row r="423">
      <c r="A423" s="1493"/>
      <c r="B423" s="1494"/>
      <c r="C423" s="1493"/>
      <c r="D423" s="1493"/>
      <c r="E423" s="1495"/>
      <c r="F423" s="1462"/>
      <c r="G423" s="1462"/>
      <c r="H423" s="1462"/>
      <c r="I423" s="1462"/>
      <c r="J423" s="1462"/>
      <c r="K423" s="1462"/>
      <c r="L423" s="1462"/>
      <c r="M423" s="1462"/>
      <c r="N423" s="1462"/>
      <c r="O423" s="1462"/>
      <c r="P423" s="1462"/>
      <c r="Q423" s="1462"/>
      <c r="R423" s="1462"/>
      <c r="S423" s="1462"/>
      <c r="T423" s="1462"/>
      <c r="U423" s="1462"/>
      <c r="V423" s="1462"/>
      <c r="W423" s="1462"/>
      <c r="X423" s="1462"/>
      <c r="Y423" s="1462"/>
      <c r="Z423" s="1462"/>
      <c r="AA423" s="1462"/>
    </row>
    <row r="424">
      <c r="A424" s="1493"/>
      <c r="B424" s="1494"/>
      <c r="C424" s="1493"/>
      <c r="D424" s="1493"/>
      <c r="E424" s="1495"/>
      <c r="F424" s="1462"/>
      <c r="G424" s="1462"/>
      <c r="H424" s="1462"/>
      <c r="I424" s="1462"/>
      <c r="J424" s="1462"/>
      <c r="K424" s="1462"/>
      <c r="L424" s="1462"/>
      <c r="M424" s="1462"/>
      <c r="N424" s="1462"/>
      <c r="O424" s="1462"/>
      <c r="P424" s="1462"/>
      <c r="Q424" s="1462"/>
      <c r="R424" s="1462"/>
      <c r="S424" s="1462"/>
      <c r="T424" s="1462"/>
      <c r="U424" s="1462"/>
      <c r="V424" s="1462"/>
      <c r="W424" s="1462"/>
      <c r="X424" s="1462"/>
      <c r="Y424" s="1462"/>
      <c r="Z424" s="1462"/>
      <c r="AA424" s="1462"/>
    </row>
    <row r="425">
      <c r="A425" s="1493"/>
      <c r="B425" s="1494"/>
      <c r="C425" s="1493"/>
      <c r="D425" s="1493"/>
      <c r="E425" s="1495"/>
      <c r="F425" s="1462"/>
      <c r="G425" s="1462"/>
      <c r="H425" s="1462"/>
      <c r="I425" s="1462"/>
      <c r="J425" s="1462"/>
      <c r="K425" s="1462"/>
      <c r="L425" s="1462"/>
      <c r="M425" s="1462"/>
      <c r="N425" s="1462"/>
      <c r="O425" s="1462"/>
      <c r="P425" s="1462"/>
      <c r="Q425" s="1462"/>
      <c r="R425" s="1462"/>
      <c r="S425" s="1462"/>
      <c r="T425" s="1462"/>
      <c r="U425" s="1462"/>
      <c r="V425" s="1462"/>
      <c r="W425" s="1462"/>
      <c r="X425" s="1462"/>
      <c r="Y425" s="1462"/>
      <c r="Z425" s="1462"/>
      <c r="AA425" s="1462"/>
    </row>
    <row r="426">
      <c r="A426" s="1493"/>
      <c r="B426" s="1494"/>
      <c r="C426" s="1493"/>
      <c r="D426" s="1493"/>
      <c r="E426" s="1495"/>
      <c r="F426" s="1462"/>
      <c r="G426" s="1462"/>
      <c r="H426" s="1462"/>
      <c r="I426" s="1462"/>
      <c r="J426" s="1462"/>
      <c r="K426" s="1462"/>
      <c r="L426" s="1462"/>
      <c r="M426" s="1462"/>
      <c r="N426" s="1462"/>
      <c r="O426" s="1462"/>
      <c r="P426" s="1462"/>
      <c r="Q426" s="1462"/>
      <c r="R426" s="1462"/>
      <c r="S426" s="1462"/>
      <c r="T426" s="1462"/>
      <c r="U426" s="1462"/>
      <c r="V426" s="1462"/>
      <c r="W426" s="1462"/>
      <c r="X426" s="1462"/>
      <c r="Y426" s="1462"/>
      <c r="Z426" s="1462"/>
      <c r="AA426" s="1462"/>
    </row>
    <row r="427">
      <c r="A427" s="1493"/>
      <c r="B427" s="1494"/>
      <c r="C427" s="1493"/>
      <c r="D427" s="1493"/>
      <c r="E427" s="1495"/>
      <c r="F427" s="1462"/>
      <c r="G427" s="1462"/>
      <c r="H427" s="1462"/>
      <c r="I427" s="1462"/>
      <c r="J427" s="1462"/>
      <c r="K427" s="1462"/>
      <c r="L427" s="1462"/>
      <c r="M427" s="1462"/>
      <c r="N427" s="1462"/>
      <c r="O427" s="1462"/>
      <c r="P427" s="1462"/>
      <c r="Q427" s="1462"/>
      <c r="R427" s="1462"/>
      <c r="S427" s="1462"/>
      <c r="T427" s="1462"/>
      <c r="U427" s="1462"/>
      <c r="V427" s="1462"/>
      <c r="W427" s="1462"/>
      <c r="X427" s="1462"/>
      <c r="Y427" s="1462"/>
      <c r="Z427" s="1462"/>
      <c r="AA427" s="1462"/>
    </row>
    <row r="428">
      <c r="A428" s="1493"/>
      <c r="B428" s="1494"/>
      <c r="C428" s="1493"/>
      <c r="D428" s="1493"/>
      <c r="E428" s="1495"/>
      <c r="F428" s="1462"/>
      <c r="G428" s="1462"/>
      <c r="H428" s="1462"/>
      <c r="I428" s="1462"/>
      <c r="J428" s="1462"/>
      <c r="K428" s="1462"/>
      <c r="L428" s="1462"/>
      <c r="M428" s="1462"/>
      <c r="N428" s="1462"/>
      <c r="O428" s="1462"/>
      <c r="P428" s="1462"/>
      <c r="Q428" s="1462"/>
      <c r="R428" s="1462"/>
      <c r="S428" s="1462"/>
      <c r="T428" s="1462"/>
      <c r="U428" s="1462"/>
      <c r="V428" s="1462"/>
      <c r="W428" s="1462"/>
      <c r="X428" s="1462"/>
      <c r="Y428" s="1462"/>
      <c r="Z428" s="1462"/>
      <c r="AA428" s="1462"/>
    </row>
    <row r="429">
      <c r="A429" s="1493"/>
      <c r="B429" s="1494"/>
      <c r="C429" s="1493"/>
      <c r="D429" s="1493"/>
      <c r="E429" s="1495"/>
      <c r="F429" s="1462"/>
      <c r="G429" s="1462"/>
      <c r="H429" s="1462"/>
      <c r="I429" s="1462"/>
      <c r="J429" s="1462"/>
      <c r="K429" s="1462"/>
      <c r="L429" s="1462"/>
      <c r="M429" s="1462"/>
      <c r="N429" s="1462"/>
      <c r="O429" s="1462"/>
      <c r="P429" s="1462"/>
      <c r="Q429" s="1462"/>
      <c r="R429" s="1462"/>
      <c r="S429" s="1462"/>
      <c r="T429" s="1462"/>
      <c r="U429" s="1462"/>
      <c r="V429" s="1462"/>
      <c r="W429" s="1462"/>
      <c r="X429" s="1462"/>
      <c r="Y429" s="1462"/>
      <c r="Z429" s="1462"/>
      <c r="AA429" s="1462"/>
    </row>
    <row r="430">
      <c r="A430" s="1493"/>
      <c r="B430" s="1494"/>
      <c r="C430" s="1493"/>
      <c r="D430" s="1493"/>
      <c r="E430" s="1495"/>
      <c r="F430" s="1462"/>
      <c r="G430" s="1462"/>
      <c r="H430" s="1462"/>
      <c r="I430" s="1462"/>
      <c r="J430" s="1462"/>
      <c r="K430" s="1462"/>
      <c r="L430" s="1462"/>
      <c r="M430" s="1462"/>
      <c r="N430" s="1462"/>
      <c r="O430" s="1462"/>
      <c r="P430" s="1462"/>
      <c r="Q430" s="1462"/>
      <c r="R430" s="1462"/>
      <c r="S430" s="1462"/>
      <c r="T430" s="1462"/>
      <c r="U430" s="1462"/>
      <c r="V430" s="1462"/>
      <c r="W430" s="1462"/>
      <c r="X430" s="1462"/>
      <c r="Y430" s="1462"/>
      <c r="Z430" s="1462"/>
      <c r="AA430" s="1462"/>
    </row>
    <row r="431">
      <c r="A431" s="1493"/>
      <c r="B431" s="1494"/>
      <c r="C431" s="1493"/>
      <c r="D431" s="1493"/>
      <c r="E431" s="1495"/>
      <c r="F431" s="1462"/>
      <c r="G431" s="1462"/>
      <c r="H431" s="1462"/>
      <c r="I431" s="1462"/>
      <c r="J431" s="1462"/>
      <c r="K431" s="1462"/>
      <c r="L431" s="1462"/>
      <c r="M431" s="1462"/>
      <c r="N431" s="1462"/>
      <c r="O431" s="1462"/>
      <c r="P431" s="1462"/>
      <c r="Q431" s="1462"/>
      <c r="R431" s="1462"/>
      <c r="S431" s="1462"/>
      <c r="T431" s="1462"/>
      <c r="U431" s="1462"/>
      <c r="V431" s="1462"/>
      <c r="W431" s="1462"/>
      <c r="X431" s="1462"/>
      <c r="Y431" s="1462"/>
      <c r="Z431" s="1462"/>
      <c r="AA431" s="1462"/>
    </row>
    <row r="432">
      <c r="A432" s="1493"/>
      <c r="B432" s="1494"/>
      <c r="C432" s="1493"/>
      <c r="D432" s="1493"/>
      <c r="E432" s="1495"/>
      <c r="F432" s="1462"/>
      <c r="G432" s="1462"/>
      <c r="H432" s="1462"/>
      <c r="I432" s="1462"/>
      <c r="J432" s="1462"/>
      <c r="K432" s="1462"/>
      <c r="L432" s="1462"/>
      <c r="M432" s="1462"/>
      <c r="N432" s="1462"/>
      <c r="O432" s="1462"/>
      <c r="P432" s="1462"/>
      <c r="Q432" s="1462"/>
      <c r="R432" s="1462"/>
      <c r="S432" s="1462"/>
      <c r="T432" s="1462"/>
      <c r="U432" s="1462"/>
      <c r="V432" s="1462"/>
      <c r="W432" s="1462"/>
      <c r="X432" s="1462"/>
      <c r="Y432" s="1462"/>
      <c r="Z432" s="1462"/>
      <c r="AA432" s="1462"/>
    </row>
    <row r="433">
      <c r="A433" s="1493"/>
      <c r="B433" s="1494"/>
      <c r="C433" s="1493"/>
      <c r="D433" s="1493"/>
      <c r="E433" s="1495"/>
      <c r="F433" s="1462"/>
      <c r="G433" s="1462"/>
      <c r="H433" s="1462"/>
      <c r="I433" s="1462"/>
      <c r="J433" s="1462"/>
      <c r="K433" s="1462"/>
      <c r="L433" s="1462"/>
      <c r="M433" s="1462"/>
      <c r="N433" s="1462"/>
      <c r="O433" s="1462"/>
      <c r="P433" s="1462"/>
      <c r="Q433" s="1462"/>
      <c r="R433" s="1462"/>
      <c r="S433" s="1462"/>
      <c r="T433" s="1462"/>
      <c r="U433" s="1462"/>
      <c r="V433" s="1462"/>
      <c r="W433" s="1462"/>
      <c r="X433" s="1462"/>
      <c r="Y433" s="1462"/>
      <c r="Z433" s="1462"/>
      <c r="AA433" s="1462"/>
    </row>
    <row r="434">
      <c r="A434" s="1493"/>
      <c r="B434" s="1494"/>
      <c r="C434" s="1493"/>
      <c r="D434" s="1493"/>
      <c r="E434" s="1495"/>
      <c r="F434" s="1462"/>
      <c r="G434" s="1462"/>
      <c r="H434" s="1462"/>
      <c r="I434" s="1462"/>
      <c r="J434" s="1462"/>
      <c r="K434" s="1462"/>
      <c r="L434" s="1462"/>
      <c r="M434" s="1462"/>
      <c r="N434" s="1462"/>
      <c r="O434" s="1462"/>
      <c r="P434" s="1462"/>
      <c r="Q434" s="1462"/>
      <c r="R434" s="1462"/>
      <c r="S434" s="1462"/>
      <c r="T434" s="1462"/>
      <c r="U434" s="1462"/>
      <c r="V434" s="1462"/>
      <c r="W434" s="1462"/>
      <c r="X434" s="1462"/>
      <c r="Y434" s="1462"/>
      <c r="Z434" s="1462"/>
      <c r="AA434" s="1462"/>
    </row>
    <row r="435">
      <c r="A435" s="1493"/>
      <c r="B435" s="1494"/>
      <c r="C435" s="1493"/>
      <c r="D435" s="1493"/>
      <c r="E435" s="1495"/>
      <c r="F435" s="1462"/>
      <c r="G435" s="1462"/>
      <c r="H435" s="1462"/>
      <c r="I435" s="1462"/>
      <c r="J435" s="1462"/>
      <c r="K435" s="1462"/>
      <c r="L435" s="1462"/>
      <c r="M435" s="1462"/>
      <c r="N435" s="1462"/>
      <c r="O435" s="1462"/>
      <c r="P435" s="1462"/>
      <c r="Q435" s="1462"/>
      <c r="R435" s="1462"/>
      <c r="S435" s="1462"/>
      <c r="T435" s="1462"/>
      <c r="U435" s="1462"/>
      <c r="V435" s="1462"/>
      <c r="W435" s="1462"/>
      <c r="X435" s="1462"/>
      <c r="Y435" s="1462"/>
      <c r="Z435" s="1462"/>
      <c r="AA435" s="1462"/>
    </row>
    <row r="436">
      <c r="A436" s="1493"/>
      <c r="B436" s="1494"/>
      <c r="C436" s="1493"/>
      <c r="D436" s="1493"/>
      <c r="E436" s="1495"/>
      <c r="F436" s="1462"/>
      <c r="G436" s="1462"/>
      <c r="H436" s="1462"/>
      <c r="I436" s="1462"/>
      <c r="J436" s="1462"/>
      <c r="K436" s="1462"/>
      <c r="L436" s="1462"/>
      <c r="M436" s="1462"/>
      <c r="N436" s="1462"/>
      <c r="O436" s="1462"/>
      <c r="P436" s="1462"/>
      <c r="Q436" s="1462"/>
      <c r="R436" s="1462"/>
      <c r="S436" s="1462"/>
      <c r="T436" s="1462"/>
      <c r="U436" s="1462"/>
      <c r="V436" s="1462"/>
      <c r="W436" s="1462"/>
      <c r="X436" s="1462"/>
      <c r="Y436" s="1462"/>
      <c r="Z436" s="1462"/>
      <c r="AA436" s="1462"/>
    </row>
    <row r="437">
      <c r="A437" s="1493"/>
      <c r="B437" s="1494"/>
      <c r="C437" s="1493"/>
      <c r="D437" s="1493"/>
      <c r="E437" s="1495"/>
      <c r="F437" s="1462"/>
      <c r="G437" s="1462"/>
      <c r="H437" s="1462"/>
      <c r="I437" s="1462"/>
      <c r="J437" s="1462"/>
      <c r="K437" s="1462"/>
      <c r="L437" s="1462"/>
      <c r="M437" s="1462"/>
      <c r="N437" s="1462"/>
      <c r="O437" s="1462"/>
      <c r="P437" s="1462"/>
      <c r="Q437" s="1462"/>
      <c r="R437" s="1462"/>
      <c r="S437" s="1462"/>
      <c r="T437" s="1462"/>
      <c r="U437" s="1462"/>
      <c r="V437" s="1462"/>
      <c r="W437" s="1462"/>
      <c r="X437" s="1462"/>
      <c r="Y437" s="1462"/>
      <c r="Z437" s="1462"/>
      <c r="AA437" s="1462"/>
    </row>
    <row r="438">
      <c r="A438" s="1493"/>
      <c r="B438" s="1494"/>
      <c r="C438" s="1493"/>
      <c r="D438" s="1493"/>
      <c r="E438" s="1495"/>
      <c r="F438" s="1462"/>
      <c r="G438" s="1462"/>
      <c r="H438" s="1462"/>
      <c r="I438" s="1462"/>
      <c r="J438" s="1462"/>
      <c r="K438" s="1462"/>
      <c r="L438" s="1462"/>
      <c r="M438" s="1462"/>
      <c r="N438" s="1462"/>
      <c r="O438" s="1462"/>
      <c r="P438" s="1462"/>
      <c r="Q438" s="1462"/>
      <c r="R438" s="1462"/>
      <c r="S438" s="1462"/>
      <c r="T438" s="1462"/>
      <c r="U438" s="1462"/>
      <c r="V438" s="1462"/>
      <c r="W438" s="1462"/>
      <c r="X438" s="1462"/>
      <c r="Y438" s="1462"/>
      <c r="Z438" s="1462"/>
      <c r="AA438" s="1462"/>
    </row>
    <row r="439">
      <c r="A439" s="1493"/>
      <c r="B439" s="1494"/>
      <c r="C439" s="1493"/>
      <c r="D439" s="1493"/>
      <c r="E439" s="1495"/>
      <c r="F439" s="1462"/>
      <c r="G439" s="1462"/>
      <c r="H439" s="1462"/>
      <c r="I439" s="1462"/>
      <c r="J439" s="1462"/>
      <c r="K439" s="1462"/>
      <c r="L439" s="1462"/>
      <c r="M439" s="1462"/>
      <c r="N439" s="1462"/>
      <c r="O439" s="1462"/>
      <c r="P439" s="1462"/>
      <c r="Q439" s="1462"/>
      <c r="R439" s="1462"/>
      <c r="S439" s="1462"/>
      <c r="T439" s="1462"/>
      <c r="U439" s="1462"/>
      <c r="V439" s="1462"/>
      <c r="W439" s="1462"/>
      <c r="X439" s="1462"/>
      <c r="Y439" s="1462"/>
      <c r="Z439" s="1462"/>
      <c r="AA439" s="1462"/>
    </row>
    <row r="440">
      <c r="A440" s="1493"/>
      <c r="B440" s="1494"/>
      <c r="C440" s="1493"/>
      <c r="D440" s="1493"/>
      <c r="E440" s="1495"/>
      <c r="F440" s="1462"/>
      <c r="G440" s="1462"/>
      <c r="H440" s="1462"/>
      <c r="I440" s="1462"/>
      <c r="J440" s="1462"/>
      <c r="K440" s="1462"/>
      <c r="L440" s="1462"/>
      <c r="M440" s="1462"/>
      <c r="N440" s="1462"/>
      <c r="O440" s="1462"/>
      <c r="P440" s="1462"/>
      <c r="Q440" s="1462"/>
      <c r="R440" s="1462"/>
      <c r="S440" s="1462"/>
      <c r="T440" s="1462"/>
      <c r="U440" s="1462"/>
      <c r="V440" s="1462"/>
      <c r="W440" s="1462"/>
      <c r="X440" s="1462"/>
      <c r="Y440" s="1462"/>
      <c r="Z440" s="1462"/>
      <c r="AA440" s="1462"/>
    </row>
    <row r="441">
      <c r="A441" s="1493"/>
      <c r="B441" s="1494"/>
      <c r="C441" s="1493"/>
      <c r="D441" s="1493"/>
      <c r="E441" s="1495"/>
      <c r="F441" s="1462"/>
      <c r="G441" s="1462"/>
      <c r="H441" s="1462"/>
      <c r="I441" s="1462"/>
      <c r="J441" s="1462"/>
      <c r="K441" s="1462"/>
      <c r="L441" s="1462"/>
      <c r="M441" s="1462"/>
      <c r="N441" s="1462"/>
      <c r="O441" s="1462"/>
      <c r="P441" s="1462"/>
      <c r="Q441" s="1462"/>
      <c r="R441" s="1462"/>
      <c r="S441" s="1462"/>
      <c r="T441" s="1462"/>
      <c r="U441" s="1462"/>
      <c r="V441" s="1462"/>
      <c r="W441" s="1462"/>
      <c r="X441" s="1462"/>
      <c r="Y441" s="1462"/>
      <c r="Z441" s="1462"/>
      <c r="AA441" s="1462"/>
    </row>
    <row r="442">
      <c r="A442" s="1493"/>
      <c r="B442" s="1494"/>
      <c r="C442" s="1493"/>
      <c r="D442" s="1493"/>
      <c r="E442" s="1495"/>
      <c r="F442" s="1462"/>
      <c r="G442" s="1462"/>
      <c r="H442" s="1462"/>
      <c r="I442" s="1462"/>
      <c r="J442" s="1462"/>
      <c r="K442" s="1462"/>
      <c r="L442" s="1462"/>
      <c r="M442" s="1462"/>
      <c r="N442" s="1462"/>
      <c r="O442" s="1462"/>
      <c r="P442" s="1462"/>
      <c r="Q442" s="1462"/>
      <c r="R442" s="1462"/>
      <c r="S442" s="1462"/>
      <c r="T442" s="1462"/>
      <c r="U442" s="1462"/>
      <c r="V442" s="1462"/>
      <c r="W442" s="1462"/>
      <c r="X442" s="1462"/>
      <c r="Y442" s="1462"/>
      <c r="Z442" s="1462"/>
      <c r="AA442" s="1462"/>
    </row>
    <row r="443">
      <c r="A443" s="1493"/>
      <c r="B443" s="1494"/>
      <c r="C443" s="1493"/>
      <c r="D443" s="1493"/>
      <c r="E443" s="1495"/>
      <c r="F443" s="1462"/>
      <c r="G443" s="1462"/>
      <c r="H443" s="1462"/>
      <c r="I443" s="1462"/>
      <c r="J443" s="1462"/>
      <c r="K443" s="1462"/>
      <c r="L443" s="1462"/>
      <c r="M443" s="1462"/>
      <c r="N443" s="1462"/>
      <c r="O443" s="1462"/>
      <c r="P443" s="1462"/>
      <c r="Q443" s="1462"/>
      <c r="R443" s="1462"/>
      <c r="S443" s="1462"/>
      <c r="T443" s="1462"/>
      <c r="U443" s="1462"/>
      <c r="V443" s="1462"/>
      <c r="W443" s="1462"/>
      <c r="X443" s="1462"/>
      <c r="Y443" s="1462"/>
      <c r="Z443" s="1462"/>
      <c r="AA443" s="1462"/>
    </row>
    <row r="444">
      <c r="A444" s="1493"/>
      <c r="B444" s="1494"/>
      <c r="C444" s="1493"/>
      <c r="D444" s="1493"/>
      <c r="E444" s="1495"/>
      <c r="F444" s="1462"/>
      <c r="G444" s="1462"/>
      <c r="H444" s="1462"/>
      <c r="I444" s="1462"/>
      <c r="J444" s="1462"/>
      <c r="K444" s="1462"/>
      <c r="L444" s="1462"/>
      <c r="M444" s="1462"/>
      <c r="N444" s="1462"/>
      <c r="O444" s="1462"/>
      <c r="P444" s="1462"/>
      <c r="Q444" s="1462"/>
      <c r="R444" s="1462"/>
      <c r="S444" s="1462"/>
      <c r="T444" s="1462"/>
      <c r="U444" s="1462"/>
      <c r="V444" s="1462"/>
      <c r="W444" s="1462"/>
      <c r="X444" s="1462"/>
      <c r="Y444" s="1462"/>
      <c r="Z444" s="1462"/>
      <c r="AA444" s="1462"/>
    </row>
    <row r="445">
      <c r="A445" s="1493"/>
      <c r="B445" s="1494"/>
      <c r="C445" s="1493"/>
      <c r="D445" s="1493"/>
      <c r="E445" s="1495"/>
      <c r="F445" s="1462"/>
      <c r="G445" s="1462"/>
      <c r="H445" s="1462"/>
      <c r="I445" s="1462"/>
      <c r="J445" s="1462"/>
      <c r="K445" s="1462"/>
      <c r="L445" s="1462"/>
      <c r="M445" s="1462"/>
      <c r="N445" s="1462"/>
      <c r="O445" s="1462"/>
      <c r="P445" s="1462"/>
      <c r="Q445" s="1462"/>
      <c r="R445" s="1462"/>
      <c r="S445" s="1462"/>
      <c r="T445" s="1462"/>
      <c r="U445" s="1462"/>
      <c r="V445" s="1462"/>
      <c r="W445" s="1462"/>
      <c r="X445" s="1462"/>
      <c r="Y445" s="1462"/>
      <c r="Z445" s="1462"/>
      <c r="AA445" s="1462"/>
    </row>
    <row r="446">
      <c r="A446" s="1493"/>
      <c r="B446" s="1494"/>
      <c r="C446" s="1493"/>
      <c r="D446" s="1493"/>
      <c r="E446" s="1495"/>
      <c r="F446" s="1462"/>
      <c r="G446" s="1462"/>
      <c r="H446" s="1462"/>
      <c r="I446" s="1462"/>
      <c r="J446" s="1462"/>
      <c r="K446" s="1462"/>
      <c r="L446" s="1462"/>
      <c r="M446" s="1462"/>
      <c r="N446" s="1462"/>
      <c r="O446" s="1462"/>
      <c r="P446" s="1462"/>
      <c r="Q446" s="1462"/>
      <c r="R446" s="1462"/>
      <c r="S446" s="1462"/>
      <c r="T446" s="1462"/>
      <c r="U446" s="1462"/>
      <c r="V446" s="1462"/>
      <c r="W446" s="1462"/>
      <c r="X446" s="1462"/>
      <c r="Y446" s="1462"/>
      <c r="Z446" s="1462"/>
      <c r="AA446" s="1462"/>
    </row>
    <row r="447">
      <c r="A447" s="1493"/>
      <c r="B447" s="1494"/>
      <c r="C447" s="1493"/>
      <c r="D447" s="1493"/>
      <c r="E447" s="1495"/>
      <c r="F447" s="1462"/>
      <c r="G447" s="1462"/>
      <c r="H447" s="1462"/>
      <c r="I447" s="1462"/>
      <c r="J447" s="1462"/>
      <c r="K447" s="1462"/>
      <c r="L447" s="1462"/>
      <c r="M447" s="1462"/>
      <c r="N447" s="1462"/>
      <c r="O447" s="1462"/>
      <c r="P447" s="1462"/>
      <c r="Q447" s="1462"/>
      <c r="R447" s="1462"/>
      <c r="S447" s="1462"/>
      <c r="T447" s="1462"/>
      <c r="U447" s="1462"/>
      <c r="V447" s="1462"/>
      <c r="W447" s="1462"/>
      <c r="X447" s="1462"/>
      <c r="Y447" s="1462"/>
      <c r="Z447" s="1462"/>
      <c r="AA447" s="1462"/>
    </row>
    <row r="448">
      <c r="A448" s="1493"/>
      <c r="B448" s="1494"/>
      <c r="C448" s="1493"/>
      <c r="D448" s="1493"/>
      <c r="E448" s="1495"/>
      <c r="F448" s="1462"/>
      <c r="G448" s="1462"/>
      <c r="H448" s="1462"/>
      <c r="I448" s="1462"/>
      <c r="J448" s="1462"/>
      <c r="K448" s="1462"/>
      <c r="L448" s="1462"/>
      <c r="M448" s="1462"/>
      <c r="N448" s="1462"/>
      <c r="O448" s="1462"/>
      <c r="P448" s="1462"/>
      <c r="Q448" s="1462"/>
      <c r="R448" s="1462"/>
      <c r="S448" s="1462"/>
      <c r="T448" s="1462"/>
      <c r="U448" s="1462"/>
      <c r="V448" s="1462"/>
      <c r="W448" s="1462"/>
      <c r="X448" s="1462"/>
      <c r="Y448" s="1462"/>
      <c r="Z448" s="1462"/>
      <c r="AA448" s="1462"/>
    </row>
    <row r="449">
      <c r="A449" s="1493"/>
      <c r="B449" s="1494"/>
      <c r="C449" s="1493"/>
      <c r="D449" s="1493"/>
      <c r="E449" s="1495"/>
      <c r="F449" s="1462"/>
      <c r="G449" s="1462"/>
      <c r="H449" s="1462"/>
      <c r="I449" s="1462"/>
      <c r="J449" s="1462"/>
      <c r="K449" s="1462"/>
      <c r="L449" s="1462"/>
      <c r="M449" s="1462"/>
      <c r="N449" s="1462"/>
      <c r="O449" s="1462"/>
      <c r="P449" s="1462"/>
      <c r="Q449" s="1462"/>
      <c r="R449" s="1462"/>
      <c r="S449" s="1462"/>
      <c r="T449" s="1462"/>
      <c r="U449" s="1462"/>
      <c r="V449" s="1462"/>
      <c r="W449" s="1462"/>
      <c r="X449" s="1462"/>
      <c r="Y449" s="1462"/>
      <c r="Z449" s="1462"/>
      <c r="AA449" s="1462"/>
    </row>
    <row r="450">
      <c r="A450" s="1493"/>
      <c r="B450" s="1494"/>
      <c r="C450" s="1493"/>
      <c r="D450" s="1493"/>
      <c r="E450" s="1495"/>
      <c r="F450" s="1462"/>
      <c r="G450" s="1462"/>
      <c r="H450" s="1462"/>
      <c r="I450" s="1462"/>
      <c r="J450" s="1462"/>
      <c r="K450" s="1462"/>
      <c r="L450" s="1462"/>
      <c r="M450" s="1462"/>
      <c r="N450" s="1462"/>
      <c r="O450" s="1462"/>
      <c r="P450" s="1462"/>
      <c r="Q450" s="1462"/>
      <c r="R450" s="1462"/>
      <c r="S450" s="1462"/>
      <c r="T450" s="1462"/>
      <c r="U450" s="1462"/>
      <c r="V450" s="1462"/>
      <c r="W450" s="1462"/>
      <c r="X450" s="1462"/>
      <c r="Y450" s="1462"/>
      <c r="Z450" s="1462"/>
      <c r="AA450" s="1462"/>
    </row>
    <row r="451">
      <c r="A451" s="1493"/>
      <c r="B451" s="1494"/>
      <c r="C451" s="1493"/>
      <c r="D451" s="1493"/>
      <c r="E451" s="1495"/>
      <c r="F451" s="1462"/>
      <c r="G451" s="1462"/>
      <c r="H451" s="1462"/>
      <c r="I451" s="1462"/>
      <c r="J451" s="1462"/>
      <c r="K451" s="1462"/>
      <c r="L451" s="1462"/>
      <c r="M451" s="1462"/>
      <c r="N451" s="1462"/>
      <c r="O451" s="1462"/>
      <c r="P451" s="1462"/>
      <c r="Q451" s="1462"/>
      <c r="R451" s="1462"/>
      <c r="S451" s="1462"/>
      <c r="T451" s="1462"/>
      <c r="U451" s="1462"/>
      <c r="V451" s="1462"/>
      <c r="W451" s="1462"/>
      <c r="X451" s="1462"/>
      <c r="Y451" s="1462"/>
      <c r="Z451" s="1462"/>
      <c r="AA451" s="1462"/>
    </row>
    <row r="452">
      <c r="A452" s="1493"/>
      <c r="B452" s="1494"/>
      <c r="C452" s="1493"/>
      <c r="D452" s="1493"/>
      <c r="E452" s="1495"/>
      <c r="F452" s="1462"/>
      <c r="G452" s="1462"/>
      <c r="H452" s="1462"/>
      <c r="I452" s="1462"/>
      <c r="J452" s="1462"/>
      <c r="K452" s="1462"/>
      <c r="L452" s="1462"/>
      <c r="M452" s="1462"/>
      <c r="N452" s="1462"/>
      <c r="O452" s="1462"/>
      <c r="P452" s="1462"/>
      <c r="Q452" s="1462"/>
      <c r="R452" s="1462"/>
      <c r="S452" s="1462"/>
      <c r="T452" s="1462"/>
      <c r="U452" s="1462"/>
      <c r="V452" s="1462"/>
      <c r="W452" s="1462"/>
      <c r="X452" s="1462"/>
      <c r="Y452" s="1462"/>
      <c r="Z452" s="1462"/>
      <c r="AA452" s="1462"/>
    </row>
    <row r="453">
      <c r="A453" s="1493"/>
      <c r="B453" s="1494"/>
      <c r="C453" s="1493"/>
      <c r="D453" s="1493"/>
      <c r="E453" s="1495"/>
      <c r="F453" s="1462"/>
      <c r="G453" s="1462"/>
      <c r="H453" s="1462"/>
      <c r="I453" s="1462"/>
      <c r="J453" s="1462"/>
      <c r="K453" s="1462"/>
      <c r="L453" s="1462"/>
      <c r="M453" s="1462"/>
      <c r="N453" s="1462"/>
      <c r="O453" s="1462"/>
      <c r="P453" s="1462"/>
      <c r="Q453" s="1462"/>
      <c r="R453" s="1462"/>
      <c r="S453" s="1462"/>
      <c r="T453" s="1462"/>
      <c r="U453" s="1462"/>
      <c r="V453" s="1462"/>
      <c r="W453" s="1462"/>
      <c r="X453" s="1462"/>
      <c r="Y453" s="1462"/>
      <c r="Z453" s="1462"/>
      <c r="AA453" s="1462"/>
    </row>
    <row r="454">
      <c r="A454" s="1493"/>
      <c r="B454" s="1494"/>
      <c r="C454" s="1493"/>
      <c r="D454" s="1493"/>
      <c r="E454" s="1495"/>
      <c r="F454" s="1462"/>
      <c r="G454" s="1462"/>
      <c r="H454" s="1462"/>
      <c r="I454" s="1462"/>
      <c r="J454" s="1462"/>
      <c r="K454" s="1462"/>
      <c r="L454" s="1462"/>
      <c r="M454" s="1462"/>
      <c r="N454" s="1462"/>
      <c r="O454" s="1462"/>
      <c r="P454" s="1462"/>
      <c r="Q454" s="1462"/>
      <c r="R454" s="1462"/>
      <c r="S454" s="1462"/>
      <c r="T454" s="1462"/>
      <c r="U454" s="1462"/>
      <c r="V454" s="1462"/>
      <c r="W454" s="1462"/>
      <c r="X454" s="1462"/>
      <c r="Y454" s="1462"/>
      <c r="Z454" s="1462"/>
      <c r="AA454" s="1462"/>
    </row>
    <row r="455">
      <c r="A455" s="1493"/>
      <c r="B455" s="1494"/>
      <c r="C455" s="1493"/>
      <c r="D455" s="1493"/>
      <c r="E455" s="1495"/>
      <c r="F455" s="1462"/>
      <c r="G455" s="1462"/>
      <c r="H455" s="1462"/>
      <c r="I455" s="1462"/>
      <c r="J455" s="1462"/>
      <c r="K455" s="1462"/>
      <c r="L455" s="1462"/>
      <c r="M455" s="1462"/>
      <c r="N455" s="1462"/>
      <c r="O455" s="1462"/>
      <c r="P455" s="1462"/>
      <c r="Q455" s="1462"/>
      <c r="R455" s="1462"/>
      <c r="S455" s="1462"/>
      <c r="T455" s="1462"/>
      <c r="U455" s="1462"/>
      <c r="V455" s="1462"/>
      <c r="W455" s="1462"/>
      <c r="X455" s="1462"/>
      <c r="Y455" s="1462"/>
      <c r="Z455" s="1462"/>
      <c r="AA455" s="1462"/>
    </row>
    <row r="456">
      <c r="A456" s="1493"/>
      <c r="B456" s="1494"/>
      <c r="C456" s="1493"/>
      <c r="D456" s="1493"/>
      <c r="E456" s="1495"/>
      <c r="F456" s="1462"/>
      <c r="G456" s="1462"/>
      <c r="H456" s="1462"/>
      <c r="I456" s="1462"/>
      <c r="J456" s="1462"/>
      <c r="K456" s="1462"/>
      <c r="L456" s="1462"/>
      <c r="M456" s="1462"/>
      <c r="N456" s="1462"/>
      <c r="O456" s="1462"/>
      <c r="P456" s="1462"/>
      <c r="Q456" s="1462"/>
      <c r="R456" s="1462"/>
      <c r="S456" s="1462"/>
      <c r="T456" s="1462"/>
      <c r="U456" s="1462"/>
      <c r="V456" s="1462"/>
      <c r="W456" s="1462"/>
      <c r="X456" s="1462"/>
      <c r="Y456" s="1462"/>
      <c r="Z456" s="1462"/>
      <c r="AA456" s="1462"/>
    </row>
    <row r="457">
      <c r="A457" s="1493"/>
      <c r="B457" s="1494"/>
      <c r="C457" s="1493"/>
      <c r="D457" s="1493"/>
      <c r="E457" s="1495"/>
      <c r="F457" s="1462"/>
      <c r="G457" s="1462"/>
      <c r="H457" s="1462"/>
      <c r="I457" s="1462"/>
      <c r="J457" s="1462"/>
      <c r="K457" s="1462"/>
      <c r="L457" s="1462"/>
      <c r="M457" s="1462"/>
      <c r="N457" s="1462"/>
      <c r="O457" s="1462"/>
      <c r="P457" s="1462"/>
      <c r="Q457" s="1462"/>
      <c r="R457" s="1462"/>
      <c r="S457" s="1462"/>
      <c r="T457" s="1462"/>
      <c r="U457" s="1462"/>
      <c r="V457" s="1462"/>
      <c r="W457" s="1462"/>
      <c r="X457" s="1462"/>
      <c r="Y457" s="1462"/>
      <c r="Z457" s="1462"/>
      <c r="AA457" s="1462"/>
    </row>
    <row r="458">
      <c r="A458" s="1493"/>
      <c r="B458" s="1494"/>
      <c r="C458" s="1493"/>
      <c r="D458" s="1493"/>
      <c r="E458" s="1495"/>
      <c r="F458" s="1462"/>
      <c r="G458" s="1462"/>
      <c r="H458" s="1462"/>
      <c r="I458" s="1462"/>
      <c r="J458" s="1462"/>
      <c r="K458" s="1462"/>
      <c r="L458" s="1462"/>
      <c r="M458" s="1462"/>
      <c r="N458" s="1462"/>
      <c r="O458" s="1462"/>
      <c r="P458" s="1462"/>
      <c r="Q458" s="1462"/>
      <c r="R458" s="1462"/>
      <c r="S458" s="1462"/>
      <c r="T458" s="1462"/>
      <c r="U458" s="1462"/>
      <c r="V458" s="1462"/>
      <c r="W458" s="1462"/>
      <c r="X458" s="1462"/>
      <c r="Y458" s="1462"/>
      <c r="Z458" s="1462"/>
      <c r="AA458" s="1462"/>
    </row>
    <row r="459">
      <c r="A459" s="1493"/>
      <c r="B459" s="1494"/>
      <c r="C459" s="1493"/>
      <c r="D459" s="1493"/>
      <c r="E459" s="1495"/>
      <c r="F459" s="1462"/>
      <c r="G459" s="1462"/>
      <c r="H459" s="1462"/>
      <c r="I459" s="1462"/>
      <c r="J459" s="1462"/>
      <c r="K459" s="1462"/>
      <c r="L459" s="1462"/>
      <c r="M459" s="1462"/>
      <c r="N459" s="1462"/>
      <c r="O459" s="1462"/>
      <c r="P459" s="1462"/>
      <c r="Q459" s="1462"/>
      <c r="R459" s="1462"/>
      <c r="S459" s="1462"/>
      <c r="T459" s="1462"/>
      <c r="U459" s="1462"/>
      <c r="V459" s="1462"/>
      <c r="W459" s="1462"/>
      <c r="X459" s="1462"/>
      <c r="Y459" s="1462"/>
      <c r="Z459" s="1462"/>
      <c r="AA459" s="1462"/>
    </row>
    <row r="460">
      <c r="A460" s="1493"/>
      <c r="B460" s="1494"/>
      <c r="C460" s="1493"/>
      <c r="D460" s="1493"/>
      <c r="E460" s="1495"/>
      <c r="F460" s="1462"/>
      <c r="G460" s="1462"/>
      <c r="H460" s="1462"/>
      <c r="I460" s="1462"/>
      <c r="J460" s="1462"/>
      <c r="K460" s="1462"/>
      <c r="L460" s="1462"/>
      <c r="M460" s="1462"/>
      <c r="N460" s="1462"/>
      <c r="O460" s="1462"/>
      <c r="P460" s="1462"/>
      <c r="Q460" s="1462"/>
      <c r="R460" s="1462"/>
      <c r="S460" s="1462"/>
      <c r="T460" s="1462"/>
      <c r="U460" s="1462"/>
      <c r="V460" s="1462"/>
      <c r="W460" s="1462"/>
      <c r="X460" s="1462"/>
      <c r="Y460" s="1462"/>
      <c r="Z460" s="1462"/>
      <c r="AA460" s="1462"/>
    </row>
    <row r="461">
      <c r="A461" s="1493"/>
      <c r="B461" s="1494"/>
      <c r="C461" s="1493"/>
      <c r="D461" s="1493"/>
      <c r="E461" s="1495"/>
      <c r="F461" s="1462"/>
      <c r="G461" s="1462"/>
      <c r="H461" s="1462"/>
      <c r="I461" s="1462"/>
      <c r="J461" s="1462"/>
      <c r="K461" s="1462"/>
      <c r="L461" s="1462"/>
      <c r="M461" s="1462"/>
      <c r="N461" s="1462"/>
      <c r="O461" s="1462"/>
      <c r="P461" s="1462"/>
      <c r="Q461" s="1462"/>
      <c r="R461" s="1462"/>
      <c r="S461" s="1462"/>
      <c r="T461" s="1462"/>
      <c r="U461" s="1462"/>
      <c r="V461" s="1462"/>
      <c r="W461" s="1462"/>
      <c r="X461" s="1462"/>
      <c r="Y461" s="1462"/>
      <c r="Z461" s="1462"/>
      <c r="AA461" s="1462"/>
    </row>
    <row r="462">
      <c r="A462" s="1493"/>
      <c r="B462" s="1494"/>
      <c r="C462" s="1493"/>
      <c r="D462" s="1493"/>
      <c r="E462" s="1495"/>
      <c r="F462" s="1462"/>
      <c r="G462" s="1462"/>
      <c r="H462" s="1462"/>
      <c r="I462" s="1462"/>
      <c r="J462" s="1462"/>
      <c r="K462" s="1462"/>
      <c r="L462" s="1462"/>
      <c r="M462" s="1462"/>
      <c r="N462" s="1462"/>
      <c r="O462" s="1462"/>
      <c r="P462" s="1462"/>
      <c r="Q462" s="1462"/>
      <c r="R462" s="1462"/>
      <c r="S462" s="1462"/>
      <c r="T462" s="1462"/>
      <c r="U462" s="1462"/>
      <c r="V462" s="1462"/>
      <c r="W462" s="1462"/>
      <c r="X462" s="1462"/>
      <c r="Y462" s="1462"/>
      <c r="Z462" s="1462"/>
      <c r="AA462" s="1462"/>
    </row>
    <row r="463">
      <c r="A463" s="1493"/>
      <c r="B463" s="1494"/>
      <c r="C463" s="1493"/>
      <c r="D463" s="1493"/>
      <c r="E463" s="1495"/>
      <c r="F463" s="1462"/>
      <c r="G463" s="1462"/>
      <c r="H463" s="1462"/>
      <c r="I463" s="1462"/>
      <c r="J463" s="1462"/>
      <c r="K463" s="1462"/>
      <c r="L463" s="1462"/>
      <c r="M463" s="1462"/>
      <c r="N463" s="1462"/>
      <c r="O463" s="1462"/>
      <c r="P463" s="1462"/>
      <c r="Q463" s="1462"/>
      <c r="R463" s="1462"/>
      <c r="S463" s="1462"/>
      <c r="T463" s="1462"/>
      <c r="U463" s="1462"/>
      <c r="V463" s="1462"/>
      <c r="W463" s="1462"/>
      <c r="X463" s="1462"/>
      <c r="Y463" s="1462"/>
      <c r="Z463" s="1462"/>
      <c r="AA463" s="1462"/>
    </row>
    <row r="464">
      <c r="A464" s="1493"/>
      <c r="B464" s="1494"/>
      <c r="C464" s="1493"/>
      <c r="D464" s="1493"/>
      <c r="E464" s="1495"/>
      <c r="F464" s="1462"/>
      <c r="G464" s="1462"/>
      <c r="H464" s="1462"/>
      <c r="I464" s="1462"/>
      <c r="J464" s="1462"/>
      <c r="K464" s="1462"/>
      <c r="L464" s="1462"/>
      <c r="M464" s="1462"/>
      <c r="N464" s="1462"/>
      <c r="O464" s="1462"/>
      <c r="P464" s="1462"/>
      <c r="Q464" s="1462"/>
      <c r="R464" s="1462"/>
      <c r="S464" s="1462"/>
      <c r="T464" s="1462"/>
      <c r="U464" s="1462"/>
      <c r="V464" s="1462"/>
      <c r="W464" s="1462"/>
      <c r="X464" s="1462"/>
      <c r="Y464" s="1462"/>
      <c r="Z464" s="1462"/>
      <c r="AA464" s="1462"/>
    </row>
    <row r="465">
      <c r="A465" s="1493"/>
      <c r="B465" s="1494"/>
      <c r="C465" s="1493"/>
      <c r="D465" s="1493"/>
      <c r="E465" s="1495"/>
      <c r="F465" s="1462"/>
      <c r="G465" s="1462"/>
      <c r="H465" s="1462"/>
      <c r="I465" s="1462"/>
      <c r="J465" s="1462"/>
      <c r="K465" s="1462"/>
      <c r="L465" s="1462"/>
      <c r="M465" s="1462"/>
      <c r="N465" s="1462"/>
      <c r="O465" s="1462"/>
      <c r="P465" s="1462"/>
      <c r="Q465" s="1462"/>
      <c r="R465" s="1462"/>
      <c r="S465" s="1462"/>
      <c r="T465" s="1462"/>
      <c r="U465" s="1462"/>
      <c r="V465" s="1462"/>
      <c r="W465" s="1462"/>
      <c r="X465" s="1462"/>
      <c r="Y465" s="1462"/>
      <c r="Z465" s="1462"/>
      <c r="AA465" s="1462"/>
    </row>
    <row r="466">
      <c r="A466" s="1493"/>
      <c r="B466" s="1494"/>
      <c r="C466" s="1493"/>
      <c r="D466" s="1493"/>
      <c r="E466" s="1495"/>
      <c r="F466" s="1462"/>
      <c r="G466" s="1462"/>
      <c r="H466" s="1462"/>
      <c r="I466" s="1462"/>
      <c r="J466" s="1462"/>
      <c r="K466" s="1462"/>
      <c r="L466" s="1462"/>
      <c r="M466" s="1462"/>
      <c r="N466" s="1462"/>
      <c r="O466" s="1462"/>
      <c r="P466" s="1462"/>
      <c r="Q466" s="1462"/>
      <c r="R466" s="1462"/>
      <c r="S466" s="1462"/>
      <c r="T466" s="1462"/>
      <c r="U466" s="1462"/>
      <c r="V466" s="1462"/>
      <c r="W466" s="1462"/>
      <c r="X466" s="1462"/>
      <c r="Y466" s="1462"/>
      <c r="Z466" s="1462"/>
      <c r="AA466" s="1462"/>
    </row>
    <row r="467">
      <c r="A467" s="1493"/>
      <c r="B467" s="1494"/>
      <c r="C467" s="1493"/>
      <c r="D467" s="1493"/>
      <c r="E467" s="1495"/>
      <c r="F467" s="1462"/>
      <c r="G467" s="1462"/>
      <c r="H467" s="1462"/>
      <c r="I467" s="1462"/>
      <c r="J467" s="1462"/>
      <c r="K467" s="1462"/>
      <c r="L467" s="1462"/>
      <c r="M467" s="1462"/>
      <c r="N467" s="1462"/>
      <c r="O467" s="1462"/>
      <c r="P467" s="1462"/>
      <c r="Q467" s="1462"/>
      <c r="R467" s="1462"/>
      <c r="S467" s="1462"/>
      <c r="T467" s="1462"/>
      <c r="U467" s="1462"/>
      <c r="V467" s="1462"/>
      <c r="W467" s="1462"/>
      <c r="X467" s="1462"/>
      <c r="Y467" s="1462"/>
      <c r="Z467" s="1462"/>
      <c r="AA467" s="1462"/>
    </row>
    <row r="468">
      <c r="A468" s="1493"/>
      <c r="B468" s="1494"/>
      <c r="C468" s="1493"/>
      <c r="D468" s="1493"/>
      <c r="E468" s="1495"/>
      <c r="F468" s="1462"/>
      <c r="G468" s="1462"/>
      <c r="H468" s="1462"/>
      <c r="I468" s="1462"/>
      <c r="J468" s="1462"/>
      <c r="K468" s="1462"/>
      <c r="L468" s="1462"/>
      <c r="M468" s="1462"/>
      <c r="N468" s="1462"/>
      <c r="O468" s="1462"/>
      <c r="P468" s="1462"/>
      <c r="Q468" s="1462"/>
      <c r="R468" s="1462"/>
      <c r="S468" s="1462"/>
      <c r="T468" s="1462"/>
      <c r="U468" s="1462"/>
      <c r="V468" s="1462"/>
      <c r="W468" s="1462"/>
      <c r="X468" s="1462"/>
      <c r="Y468" s="1462"/>
      <c r="Z468" s="1462"/>
      <c r="AA468" s="1462"/>
    </row>
    <row r="469">
      <c r="A469" s="1493"/>
      <c r="B469" s="1494"/>
      <c r="C469" s="1493"/>
      <c r="D469" s="1493"/>
      <c r="E469" s="1495"/>
      <c r="F469" s="1462"/>
      <c r="G469" s="1462"/>
      <c r="H469" s="1462"/>
      <c r="I469" s="1462"/>
      <c r="J469" s="1462"/>
      <c r="K469" s="1462"/>
      <c r="L469" s="1462"/>
      <c r="M469" s="1462"/>
      <c r="N469" s="1462"/>
      <c r="O469" s="1462"/>
      <c r="P469" s="1462"/>
      <c r="Q469" s="1462"/>
      <c r="R469" s="1462"/>
      <c r="S469" s="1462"/>
      <c r="T469" s="1462"/>
      <c r="U469" s="1462"/>
      <c r="V469" s="1462"/>
      <c r="W469" s="1462"/>
      <c r="X469" s="1462"/>
      <c r="Y469" s="1462"/>
      <c r="Z469" s="1462"/>
      <c r="AA469" s="1462"/>
    </row>
    <row r="470">
      <c r="A470" s="1493"/>
      <c r="B470" s="1494"/>
      <c r="C470" s="1493"/>
      <c r="D470" s="1493"/>
      <c r="E470" s="1495"/>
      <c r="F470" s="1462"/>
      <c r="G470" s="1462"/>
      <c r="H470" s="1462"/>
      <c r="I470" s="1462"/>
      <c r="J470" s="1462"/>
      <c r="K470" s="1462"/>
      <c r="L470" s="1462"/>
      <c r="M470" s="1462"/>
      <c r="N470" s="1462"/>
      <c r="O470" s="1462"/>
      <c r="P470" s="1462"/>
      <c r="Q470" s="1462"/>
      <c r="R470" s="1462"/>
      <c r="S470" s="1462"/>
      <c r="T470" s="1462"/>
      <c r="U470" s="1462"/>
      <c r="V470" s="1462"/>
      <c r="W470" s="1462"/>
      <c r="X470" s="1462"/>
      <c r="Y470" s="1462"/>
      <c r="Z470" s="1462"/>
      <c r="AA470" s="1462"/>
    </row>
    <row r="471">
      <c r="A471" s="1493"/>
      <c r="B471" s="1494"/>
      <c r="C471" s="1493"/>
      <c r="D471" s="1493"/>
      <c r="E471" s="1495"/>
      <c r="F471" s="1462"/>
      <c r="G471" s="1462"/>
      <c r="H471" s="1462"/>
      <c r="I471" s="1462"/>
      <c r="J471" s="1462"/>
      <c r="K471" s="1462"/>
      <c r="L471" s="1462"/>
      <c r="M471" s="1462"/>
      <c r="N471" s="1462"/>
      <c r="O471" s="1462"/>
      <c r="P471" s="1462"/>
      <c r="Q471" s="1462"/>
      <c r="R471" s="1462"/>
      <c r="S471" s="1462"/>
      <c r="T471" s="1462"/>
      <c r="U471" s="1462"/>
      <c r="V471" s="1462"/>
      <c r="W471" s="1462"/>
      <c r="X471" s="1462"/>
      <c r="Y471" s="1462"/>
      <c r="Z471" s="1462"/>
      <c r="AA471" s="1462"/>
    </row>
    <row r="472">
      <c r="A472" s="1493"/>
      <c r="B472" s="1494"/>
      <c r="C472" s="1493"/>
      <c r="D472" s="1493"/>
      <c r="E472" s="1495"/>
      <c r="F472" s="1462"/>
      <c r="G472" s="1462"/>
      <c r="H472" s="1462"/>
      <c r="I472" s="1462"/>
      <c r="J472" s="1462"/>
      <c r="K472" s="1462"/>
      <c r="L472" s="1462"/>
      <c r="M472" s="1462"/>
      <c r="N472" s="1462"/>
      <c r="O472" s="1462"/>
      <c r="P472" s="1462"/>
      <c r="Q472" s="1462"/>
      <c r="R472" s="1462"/>
      <c r="S472" s="1462"/>
      <c r="T472" s="1462"/>
      <c r="U472" s="1462"/>
      <c r="V472" s="1462"/>
      <c r="W472" s="1462"/>
      <c r="X472" s="1462"/>
      <c r="Y472" s="1462"/>
      <c r="Z472" s="1462"/>
      <c r="AA472" s="1462"/>
    </row>
    <row r="473">
      <c r="A473" s="1493"/>
      <c r="B473" s="1494"/>
      <c r="C473" s="1493"/>
      <c r="D473" s="1493"/>
      <c r="E473" s="1495"/>
      <c r="F473" s="1462"/>
      <c r="G473" s="1462"/>
      <c r="H473" s="1462"/>
      <c r="I473" s="1462"/>
      <c r="J473" s="1462"/>
      <c r="K473" s="1462"/>
      <c r="L473" s="1462"/>
      <c r="M473" s="1462"/>
      <c r="N473" s="1462"/>
      <c r="O473" s="1462"/>
      <c r="P473" s="1462"/>
      <c r="Q473" s="1462"/>
      <c r="R473" s="1462"/>
      <c r="S473" s="1462"/>
      <c r="T473" s="1462"/>
      <c r="U473" s="1462"/>
      <c r="V473" s="1462"/>
      <c r="W473" s="1462"/>
      <c r="X473" s="1462"/>
      <c r="Y473" s="1462"/>
      <c r="Z473" s="1462"/>
      <c r="AA473" s="1462"/>
    </row>
    <row r="474">
      <c r="A474" s="1493"/>
      <c r="B474" s="1494"/>
      <c r="C474" s="1493"/>
      <c r="D474" s="1493"/>
      <c r="E474" s="1495"/>
      <c r="F474" s="1462"/>
      <c r="G474" s="1462"/>
      <c r="H474" s="1462"/>
      <c r="I474" s="1462"/>
      <c r="J474" s="1462"/>
      <c r="K474" s="1462"/>
      <c r="L474" s="1462"/>
      <c r="M474" s="1462"/>
      <c r="N474" s="1462"/>
      <c r="O474" s="1462"/>
      <c r="P474" s="1462"/>
      <c r="Q474" s="1462"/>
      <c r="R474" s="1462"/>
      <c r="S474" s="1462"/>
      <c r="T474" s="1462"/>
      <c r="U474" s="1462"/>
      <c r="V474" s="1462"/>
      <c r="W474" s="1462"/>
      <c r="X474" s="1462"/>
      <c r="Y474" s="1462"/>
      <c r="Z474" s="1462"/>
      <c r="AA474" s="1462"/>
    </row>
    <row r="475">
      <c r="A475" s="1493"/>
      <c r="B475" s="1494"/>
      <c r="C475" s="1493"/>
      <c r="D475" s="1493"/>
      <c r="E475" s="1495"/>
      <c r="F475" s="1462"/>
      <c r="G475" s="1462"/>
      <c r="H475" s="1462"/>
      <c r="I475" s="1462"/>
      <c r="J475" s="1462"/>
      <c r="K475" s="1462"/>
      <c r="L475" s="1462"/>
      <c r="M475" s="1462"/>
      <c r="N475" s="1462"/>
      <c r="O475" s="1462"/>
      <c r="P475" s="1462"/>
      <c r="Q475" s="1462"/>
      <c r="R475" s="1462"/>
      <c r="S475" s="1462"/>
      <c r="T475" s="1462"/>
      <c r="U475" s="1462"/>
      <c r="V475" s="1462"/>
      <c r="W475" s="1462"/>
      <c r="X475" s="1462"/>
      <c r="Y475" s="1462"/>
      <c r="Z475" s="1462"/>
      <c r="AA475" s="1462"/>
    </row>
    <row r="476">
      <c r="A476" s="1493"/>
      <c r="B476" s="1494"/>
      <c r="C476" s="1493"/>
      <c r="D476" s="1493"/>
      <c r="E476" s="1495"/>
      <c r="F476" s="1462"/>
      <c r="G476" s="1462"/>
      <c r="H476" s="1462"/>
      <c r="I476" s="1462"/>
      <c r="J476" s="1462"/>
      <c r="K476" s="1462"/>
      <c r="L476" s="1462"/>
      <c r="M476" s="1462"/>
      <c r="N476" s="1462"/>
      <c r="O476" s="1462"/>
      <c r="P476" s="1462"/>
      <c r="Q476" s="1462"/>
      <c r="R476" s="1462"/>
      <c r="S476" s="1462"/>
      <c r="T476" s="1462"/>
      <c r="U476" s="1462"/>
      <c r="V476" s="1462"/>
      <c r="W476" s="1462"/>
      <c r="X476" s="1462"/>
      <c r="Y476" s="1462"/>
      <c r="Z476" s="1462"/>
      <c r="AA476" s="1462"/>
    </row>
    <row r="477">
      <c r="A477" s="1493"/>
      <c r="B477" s="1494"/>
      <c r="C477" s="1493"/>
      <c r="D477" s="1493"/>
      <c r="E477" s="1495"/>
      <c r="F477" s="1462"/>
      <c r="G477" s="1462"/>
      <c r="H477" s="1462"/>
      <c r="I477" s="1462"/>
      <c r="J477" s="1462"/>
      <c r="K477" s="1462"/>
      <c r="L477" s="1462"/>
      <c r="M477" s="1462"/>
      <c r="N477" s="1462"/>
      <c r="O477" s="1462"/>
      <c r="P477" s="1462"/>
      <c r="Q477" s="1462"/>
      <c r="R477" s="1462"/>
      <c r="S477" s="1462"/>
      <c r="T477" s="1462"/>
      <c r="U477" s="1462"/>
      <c r="V477" s="1462"/>
      <c r="W477" s="1462"/>
      <c r="X477" s="1462"/>
      <c r="Y477" s="1462"/>
      <c r="Z477" s="1462"/>
      <c r="AA477" s="1462"/>
    </row>
    <row r="478">
      <c r="A478" s="1493"/>
      <c r="B478" s="1494"/>
      <c r="C478" s="1493"/>
      <c r="D478" s="1493"/>
      <c r="E478" s="1495"/>
      <c r="F478" s="1462"/>
      <c r="G478" s="1462"/>
      <c r="H478" s="1462"/>
      <c r="I478" s="1462"/>
      <c r="J478" s="1462"/>
      <c r="K478" s="1462"/>
      <c r="L478" s="1462"/>
      <c r="M478" s="1462"/>
      <c r="N478" s="1462"/>
      <c r="O478" s="1462"/>
      <c r="P478" s="1462"/>
      <c r="Q478" s="1462"/>
      <c r="R478" s="1462"/>
      <c r="S478" s="1462"/>
      <c r="T478" s="1462"/>
      <c r="U478" s="1462"/>
      <c r="V478" s="1462"/>
      <c r="W478" s="1462"/>
      <c r="X478" s="1462"/>
      <c r="Y478" s="1462"/>
      <c r="Z478" s="1462"/>
      <c r="AA478" s="1462"/>
    </row>
    <row r="479">
      <c r="A479" s="1493"/>
      <c r="B479" s="1494"/>
      <c r="C479" s="1493"/>
      <c r="D479" s="1493"/>
      <c r="E479" s="1495"/>
      <c r="F479" s="1462"/>
      <c r="G479" s="1462"/>
      <c r="H479" s="1462"/>
      <c r="I479" s="1462"/>
      <c r="J479" s="1462"/>
      <c r="K479" s="1462"/>
      <c r="L479" s="1462"/>
      <c r="M479" s="1462"/>
      <c r="N479" s="1462"/>
      <c r="O479" s="1462"/>
      <c r="P479" s="1462"/>
      <c r="Q479" s="1462"/>
      <c r="R479" s="1462"/>
      <c r="S479" s="1462"/>
      <c r="T479" s="1462"/>
      <c r="U479" s="1462"/>
      <c r="V479" s="1462"/>
      <c r="W479" s="1462"/>
      <c r="X479" s="1462"/>
      <c r="Y479" s="1462"/>
      <c r="Z479" s="1462"/>
      <c r="AA479" s="1462"/>
    </row>
    <row r="480">
      <c r="A480" s="1493"/>
      <c r="B480" s="1494"/>
      <c r="C480" s="1493"/>
      <c r="D480" s="1493"/>
      <c r="E480" s="1495"/>
      <c r="F480" s="1462"/>
      <c r="G480" s="1462"/>
      <c r="H480" s="1462"/>
      <c r="I480" s="1462"/>
      <c r="J480" s="1462"/>
      <c r="K480" s="1462"/>
      <c r="L480" s="1462"/>
      <c r="M480" s="1462"/>
      <c r="N480" s="1462"/>
      <c r="O480" s="1462"/>
      <c r="P480" s="1462"/>
      <c r="Q480" s="1462"/>
      <c r="R480" s="1462"/>
      <c r="S480" s="1462"/>
      <c r="T480" s="1462"/>
      <c r="U480" s="1462"/>
      <c r="V480" s="1462"/>
      <c r="W480" s="1462"/>
      <c r="X480" s="1462"/>
      <c r="Y480" s="1462"/>
      <c r="Z480" s="1462"/>
      <c r="AA480" s="1462"/>
    </row>
    <row r="481">
      <c r="A481" s="1493"/>
      <c r="B481" s="1494"/>
      <c r="C481" s="1493"/>
      <c r="D481" s="1493"/>
      <c r="E481" s="1495"/>
      <c r="F481" s="1462"/>
      <c r="G481" s="1462"/>
      <c r="H481" s="1462"/>
      <c r="I481" s="1462"/>
      <c r="J481" s="1462"/>
      <c r="K481" s="1462"/>
      <c r="L481" s="1462"/>
      <c r="M481" s="1462"/>
      <c r="N481" s="1462"/>
      <c r="O481" s="1462"/>
      <c r="P481" s="1462"/>
      <c r="Q481" s="1462"/>
      <c r="R481" s="1462"/>
      <c r="S481" s="1462"/>
      <c r="T481" s="1462"/>
      <c r="U481" s="1462"/>
      <c r="V481" s="1462"/>
      <c r="W481" s="1462"/>
      <c r="X481" s="1462"/>
      <c r="Y481" s="1462"/>
      <c r="Z481" s="1462"/>
      <c r="AA481" s="1462"/>
    </row>
    <row r="482">
      <c r="A482" s="1493"/>
      <c r="B482" s="1494"/>
      <c r="C482" s="1493"/>
      <c r="D482" s="1493"/>
      <c r="E482" s="1495"/>
      <c r="F482" s="1462"/>
      <c r="G482" s="1462"/>
      <c r="H482" s="1462"/>
      <c r="I482" s="1462"/>
      <c r="J482" s="1462"/>
      <c r="K482" s="1462"/>
      <c r="L482" s="1462"/>
      <c r="M482" s="1462"/>
      <c r="N482" s="1462"/>
      <c r="O482" s="1462"/>
      <c r="P482" s="1462"/>
      <c r="Q482" s="1462"/>
      <c r="R482" s="1462"/>
      <c r="S482" s="1462"/>
      <c r="T482" s="1462"/>
      <c r="U482" s="1462"/>
      <c r="V482" s="1462"/>
      <c r="W482" s="1462"/>
      <c r="X482" s="1462"/>
      <c r="Y482" s="1462"/>
      <c r="Z482" s="1462"/>
      <c r="AA482" s="1462"/>
    </row>
    <row r="483">
      <c r="A483" s="1493"/>
      <c r="B483" s="1494"/>
      <c r="C483" s="1493"/>
      <c r="D483" s="1493"/>
      <c r="E483" s="1495"/>
      <c r="F483" s="1462"/>
      <c r="G483" s="1462"/>
      <c r="H483" s="1462"/>
      <c r="I483" s="1462"/>
      <c r="J483" s="1462"/>
      <c r="K483" s="1462"/>
      <c r="L483" s="1462"/>
      <c r="M483" s="1462"/>
      <c r="N483" s="1462"/>
      <c r="O483" s="1462"/>
      <c r="P483" s="1462"/>
      <c r="Q483" s="1462"/>
      <c r="R483" s="1462"/>
      <c r="S483" s="1462"/>
      <c r="T483" s="1462"/>
      <c r="U483" s="1462"/>
      <c r="V483" s="1462"/>
      <c r="W483" s="1462"/>
      <c r="X483" s="1462"/>
      <c r="Y483" s="1462"/>
      <c r="Z483" s="1462"/>
      <c r="AA483" s="1462"/>
    </row>
    <row r="484">
      <c r="A484" s="1493"/>
      <c r="B484" s="1494"/>
      <c r="C484" s="1493"/>
      <c r="D484" s="1493"/>
      <c r="E484" s="1495"/>
      <c r="F484" s="1462"/>
      <c r="G484" s="1462"/>
      <c r="H484" s="1462"/>
      <c r="I484" s="1462"/>
      <c r="J484" s="1462"/>
      <c r="K484" s="1462"/>
      <c r="L484" s="1462"/>
      <c r="M484" s="1462"/>
      <c r="N484" s="1462"/>
      <c r="O484" s="1462"/>
      <c r="P484" s="1462"/>
      <c r="Q484" s="1462"/>
      <c r="R484" s="1462"/>
      <c r="S484" s="1462"/>
      <c r="T484" s="1462"/>
      <c r="U484" s="1462"/>
      <c r="V484" s="1462"/>
      <c r="W484" s="1462"/>
      <c r="X484" s="1462"/>
      <c r="Y484" s="1462"/>
      <c r="Z484" s="1462"/>
      <c r="AA484" s="1462"/>
    </row>
    <row r="485">
      <c r="A485" s="1493"/>
      <c r="B485" s="1494"/>
      <c r="C485" s="1493"/>
      <c r="D485" s="1493"/>
      <c r="E485" s="1495"/>
      <c r="F485" s="1462"/>
      <c r="G485" s="1462"/>
      <c r="H485" s="1462"/>
      <c r="I485" s="1462"/>
      <c r="J485" s="1462"/>
      <c r="K485" s="1462"/>
      <c r="L485" s="1462"/>
      <c r="M485" s="1462"/>
      <c r="N485" s="1462"/>
      <c r="O485" s="1462"/>
      <c r="P485" s="1462"/>
      <c r="Q485" s="1462"/>
      <c r="R485" s="1462"/>
      <c r="S485" s="1462"/>
      <c r="T485" s="1462"/>
      <c r="U485" s="1462"/>
      <c r="V485" s="1462"/>
      <c r="W485" s="1462"/>
      <c r="X485" s="1462"/>
      <c r="Y485" s="1462"/>
      <c r="Z485" s="1462"/>
      <c r="AA485" s="1462"/>
    </row>
    <row r="486">
      <c r="A486" s="1493"/>
      <c r="B486" s="1494"/>
      <c r="C486" s="1493"/>
      <c r="D486" s="1493"/>
      <c r="E486" s="1495"/>
      <c r="F486" s="1462"/>
      <c r="G486" s="1462"/>
      <c r="H486" s="1462"/>
      <c r="I486" s="1462"/>
      <c r="J486" s="1462"/>
      <c r="K486" s="1462"/>
      <c r="L486" s="1462"/>
      <c r="M486" s="1462"/>
      <c r="N486" s="1462"/>
      <c r="O486" s="1462"/>
      <c r="P486" s="1462"/>
      <c r="Q486" s="1462"/>
      <c r="R486" s="1462"/>
      <c r="S486" s="1462"/>
      <c r="T486" s="1462"/>
      <c r="U486" s="1462"/>
      <c r="V486" s="1462"/>
      <c r="W486" s="1462"/>
      <c r="X486" s="1462"/>
      <c r="Y486" s="1462"/>
      <c r="Z486" s="1462"/>
      <c r="AA486" s="1462"/>
    </row>
    <row r="487">
      <c r="A487" s="1493"/>
      <c r="B487" s="1494"/>
      <c r="C487" s="1493"/>
      <c r="D487" s="1493"/>
      <c r="E487" s="1495"/>
      <c r="F487" s="1462"/>
      <c r="G487" s="1462"/>
      <c r="H487" s="1462"/>
      <c r="I487" s="1462"/>
      <c r="J487" s="1462"/>
      <c r="K487" s="1462"/>
      <c r="L487" s="1462"/>
      <c r="M487" s="1462"/>
      <c r="N487" s="1462"/>
      <c r="O487" s="1462"/>
      <c r="P487" s="1462"/>
      <c r="Q487" s="1462"/>
      <c r="R487" s="1462"/>
      <c r="S487" s="1462"/>
      <c r="T487" s="1462"/>
      <c r="U487" s="1462"/>
      <c r="V487" s="1462"/>
      <c r="W487" s="1462"/>
      <c r="X487" s="1462"/>
      <c r="Y487" s="1462"/>
      <c r="Z487" s="1462"/>
      <c r="AA487" s="1462"/>
    </row>
    <row r="488">
      <c r="A488" s="1493"/>
      <c r="B488" s="1494"/>
      <c r="C488" s="1493"/>
      <c r="D488" s="1493"/>
      <c r="E488" s="1495"/>
      <c r="F488" s="1462"/>
      <c r="G488" s="1462"/>
      <c r="H488" s="1462"/>
      <c r="I488" s="1462"/>
      <c r="J488" s="1462"/>
      <c r="K488" s="1462"/>
      <c r="L488" s="1462"/>
      <c r="M488" s="1462"/>
      <c r="N488" s="1462"/>
      <c r="O488" s="1462"/>
      <c r="P488" s="1462"/>
      <c r="Q488" s="1462"/>
      <c r="R488" s="1462"/>
      <c r="S488" s="1462"/>
      <c r="T488" s="1462"/>
      <c r="U488" s="1462"/>
      <c r="V488" s="1462"/>
      <c r="W488" s="1462"/>
      <c r="X488" s="1462"/>
      <c r="Y488" s="1462"/>
      <c r="Z488" s="1462"/>
      <c r="AA488" s="1462"/>
    </row>
    <row r="489">
      <c r="A489" s="1493"/>
      <c r="B489" s="1494"/>
      <c r="C489" s="1493"/>
      <c r="D489" s="1493"/>
      <c r="E489" s="1495"/>
      <c r="F489" s="1462"/>
      <c r="G489" s="1462"/>
      <c r="H489" s="1462"/>
      <c r="I489" s="1462"/>
      <c r="J489" s="1462"/>
      <c r="K489" s="1462"/>
      <c r="L489" s="1462"/>
      <c r="M489" s="1462"/>
      <c r="N489" s="1462"/>
      <c r="O489" s="1462"/>
      <c r="P489" s="1462"/>
      <c r="Q489" s="1462"/>
      <c r="R489" s="1462"/>
      <c r="S489" s="1462"/>
      <c r="T489" s="1462"/>
      <c r="U489" s="1462"/>
      <c r="V489" s="1462"/>
      <c r="W489" s="1462"/>
      <c r="X489" s="1462"/>
      <c r="Y489" s="1462"/>
      <c r="Z489" s="1462"/>
      <c r="AA489" s="1462"/>
    </row>
    <row r="490">
      <c r="A490" s="1493"/>
      <c r="B490" s="1494"/>
      <c r="C490" s="1493"/>
      <c r="D490" s="1493"/>
      <c r="E490" s="1495"/>
      <c r="F490" s="1462"/>
      <c r="G490" s="1462"/>
      <c r="H490" s="1462"/>
      <c r="I490" s="1462"/>
      <c r="J490" s="1462"/>
      <c r="K490" s="1462"/>
      <c r="L490" s="1462"/>
      <c r="M490" s="1462"/>
      <c r="N490" s="1462"/>
      <c r="O490" s="1462"/>
      <c r="P490" s="1462"/>
      <c r="Q490" s="1462"/>
      <c r="R490" s="1462"/>
      <c r="S490" s="1462"/>
      <c r="T490" s="1462"/>
      <c r="U490" s="1462"/>
      <c r="V490" s="1462"/>
      <c r="W490" s="1462"/>
      <c r="X490" s="1462"/>
      <c r="Y490" s="1462"/>
      <c r="Z490" s="1462"/>
      <c r="AA490" s="1462"/>
    </row>
    <row r="491">
      <c r="A491" s="1493"/>
      <c r="B491" s="1494"/>
      <c r="C491" s="1493"/>
      <c r="D491" s="1493"/>
      <c r="E491" s="1495"/>
      <c r="F491" s="1462"/>
      <c r="G491" s="1462"/>
      <c r="H491" s="1462"/>
      <c r="I491" s="1462"/>
      <c r="J491" s="1462"/>
      <c r="K491" s="1462"/>
      <c r="L491" s="1462"/>
      <c r="M491" s="1462"/>
      <c r="N491" s="1462"/>
      <c r="O491" s="1462"/>
      <c r="P491" s="1462"/>
      <c r="Q491" s="1462"/>
      <c r="R491" s="1462"/>
      <c r="S491" s="1462"/>
      <c r="T491" s="1462"/>
      <c r="U491" s="1462"/>
      <c r="V491" s="1462"/>
      <c r="W491" s="1462"/>
      <c r="X491" s="1462"/>
      <c r="Y491" s="1462"/>
      <c r="Z491" s="1462"/>
      <c r="AA491" s="1462"/>
    </row>
    <row r="492">
      <c r="A492" s="1493"/>
      <c r="B492" s="1494"/>
      <c r="C492" s="1493"/>
      <c r="D492" s="1493"/>
      <c r="E492" s="1495"/>
      <c r="F492" s="1462"/>
      <c r="G492" s="1462"/>
      <c r="H492" s="1462"/>
      <c r="I492" s="1462"/>
      <c r="J492" s="1462"/>
      <c r="K492" s="1462"/>
      <c r="L492" s="1462"/>
      <c r="M492" s="1462"/>
      <c r="N492" s="1462"/>
      <c r="O492" s="1462"/>
      <c r="P492" s="1462"/>
      <c r="Q492" s="1462"/>
      <c r="R492" s="1462"/>
      <c r="S492" s="1462"/>
      <c r="T492" s="1462"/>
      <c r="U492" s="1462"/>
      <c r="V492" s="1462"/>
      <c r="W492" s="1462"/>
      <c r="X492" s="1462"/>
      <c r="Y492" s="1462"/>
      <c r="Z492" s="1462"/>
      <c r="AA492" s="1462"/>
    </row>
    <row r="493">
      <c r="A493" s="1493"/>
      <c r="B493" s="1494"/>
      <c r="C493" s="1493"/>
      <c r="D493" s="1493"/>
      <c r="E493" s="1495"/>
      <c r="F493" s="1462"/>
      <c r="G493" s="1462"/>
      <c r="H493" s="1462"/>
      <c r="I493" s="1462"/>
      <c r="J493" s="1462"/>
      <c r="K493" s="1462"/>
      <c r="L493" s="1462"/>
      <c r="M493" s="1462"/>
      <c r="N493" s="1462"/>
      <c r="O493" s="1462"/>
      <c r="P493" s="1462"/>
      <c r="Q493" s="1462"/>
      <c r="R493" s="1462"/>
      <c r="S493" s="1462"/>
      <c r="T493" s="1462"/>
      <c r="U493" s="1462"/>
      <c r="V493" s="1462"/>
      <c r="W493" s="1462"/>
      <c r="X493" s="1462"/>
      <c r="Y493" s="1462"/>
      <c r="Z493" s="1462"/>
      <c r="AA493" s="1462"/>
    </row>
    <row r="494">
      <c r="A494" s="1493"/>
      <c r="B494" s="1494"/>
      <c r="C494" s="1493"/>
      <c r="D494" s="1493"/>
      <c r="E494" s="1495"/>
      <c r="F494" s="1462"/>
      <c r="G494" s="1462"/>
      <c r="H494" s="1462"/>
      <c r="I494" s="1462"/>
      <c r="J494" s="1462"/>
      <c r="K494" s="1462"/>
      <c r="L494" s="1462"/>
      <c r="M494" s="1462"/>
      <c r="N494" s="1462"/>
      <c r="O494" s="1462"/>
      <c r="P494" s="1462"/>
      <c r="Q494" s="1462"/>
      <c r="R494" s="1462"/>
      <c r="S494" s="1462"/>
      <c r="T494" s="1462"/>
      <c r="U494" s="1462"/>
      <c r="V494" s="1462"/>
      <c r="W494" s="1462"/>
      <c r="X494" s="1462"/>
      <c r="Y494" s="1462"/>
      <c r="Z494" s="1462"/>
      <c r="AA494" s="1462"/>
    </row>
    <row r="495">
      <c r="A495" s="1493"/>
      <c r="B495" s="1494"/>
      <c r="C495" s="1493"/>
      <c r="D495" s="1493"/>
      <c r="E495" s="1495"/>
      <c r="F495" s="1462"/>
      <c r="G495" s="1462"/>
      <c r="H495" s="1462"/>
      <c r="I495" s="1462"/>
      <c r="J495" s="1462"/>
      <c r="K495" s="1462"/>
      <c r="L495" s="1462"/>
      <c r="M495" s="1462"/>
      <c r="N495" s="1462"/>
      <c r="O495" s="1462"/>
      <c r="P495" s="1462"/>
      <c r="Q495" s="1462"/>
      <c r="R495" s="1462"/>
      <c r="S495" s="1462"/>
      <c r="T495" s="1462"/>
      <c r="U495" s="1462"/>
      <c r="V495" s="1462"/>
      <c r="W495" s="1462"/>
      <c r="X495" s="1462"/>
      <c r="Y495" s="1462"/>
      <c r="Z495" s="1462"/>
      <c r="AA495" s="1462"/>
    </row>
    <row r="496">
      <c r="A496" s="1493"/>
      <c r="B496" s="1494"/>
      <c r="C496" s="1493"/>
      <c r="D496" s="1493"/>
      <c r="E496" s="1495"/>
      <c r="F496" s="1462"/>
      <c r="G496" s="1462"/>
      <c r="H496" s="1462"/>
      <c r="I496" s="1462"/>
      <c r="J496" s="1462"/>
      <c r="K496" s="1462"/>
      <c r="L496" s="1462"/>
      <c r="M496" s="1462"/>
      <c r="N496" s="1462"/>
      <c r="O496" s="1462"/>
      <c r="P496" s="1462"/>
      <c r="Q496" s="1462"/>
      <c r="R496" s="1462"/>
      <c r="S496" s="1462"/>
      <c r="T496" s="1462"/>
      <c r="U496" s="1462"/>
      <c r="V496" s="1462"/>
      <c r="W496" s="1462"/>
      <c r="X496" s="1462"/>
      <c r="Y496" s="1462"/>
      <c r="Z496" s="1462"/>
      <c r="AA496" s="1462"/>
    </row>
    <row r="497">
      <c r="A497" s="1493"/>
      <c r="B497" s="1494"/>
      <c r="C497" s="1493"/>
      <c r="D497" s="1493"/>
      <c r="E497" s="1495"/>
      <c r="F497" s="1462"/>
      <c r="G497" s="1462"/>
      <c r="H497" s="1462"/>
      <c r="I497" s="1462"/>
      <c r="J497" s="1462"/>
      <c r="K497" s="1462"/>
      <c r="L497" s="1462"/>
      <c r="M497" s="1462"/>
      <c r="N497" s="1462"/>
      <c r="O497" s="1462"/>
      <c r="P497" s="1462"/>
      <c r="Q497" s="1462"/>
      <c r="R497" s="1462"/>
      <c r="S497" s="1462"/>
      <c r="T497" s="1462"/>
      <c r="U497" s="1462"/>
      <c r="V497" s="1462"/>
      <c r="W497" s="1462"/>
      <c r="X497" s="1462"/>
      <c r="Y497" s="1462"/>
      <c r="Z497" s="1462"/>
      <c r="AA497" s="1462"/>
    </row>
    <row r="498">
      <c r="A498" s="1493"/>
      <c r="B498" s="1494"/>
      <c r="C498" s="1493"/>
      <c r="D498" s="1493"/>
      <c r="E498" s="1495"/>
      <c r="F498" s="1462"/>
      <c r="G498" s="1462"/>
      <c r="H498" s="1462"/>
      <c r="I498" s="1462"/>
      <c r="J498" s="1462"/>
      <c r="K498" s="1462"/>
      <c r="L498" s="1462"/>
      <c r="M498" s="1462"/>
      <c r="N498" s="1462"/>
      <c r="O498" s="1462"/>
      <c r="P498" s="1462"/>
      <c r="Q498" s="1462"/>
      <c r="R498" s="1462"/>
      <c r="S498" s="1462"/>
      <c r="T498" s="1462"/>
      <c r="U498" s="1462"/>
      <c r="V498" s="1462"/>
      <c r="W498" s="1462"/>
      <c r="X498" s="1462"/>
      <c r="Y498" s="1462"/>
      <c r="Z498" s="1462"/>
      <c r="AA498" s="1462"/>
    </row>
    <row r="499">
      <c r="A499" s="1493"/>
      <c r="B499" s="1494"/>
      <c r="C499" s="1493"/>
      <c r="D499" s="1493"/>
      <c r="E499" s="1495"/>
      <c r="F499" s="1462"/>
      <c r="G499" s="1462"/>
      <c r="H499" s="1462"/>
      <c r="I499" s="1462"/>
      <c r="J499" s="1462"/>
      <c r="K499" s="1462"/>
      <c r="L499" s="1462"/>
      <c r="M499" s="1462"/>
      <c r="N499" s="1462"/>
      <c r="O499" s="1462"/>
      <c r="P499" s="1462"/>
      <c r="Q499" s="1462"/>
      <c r="R499" s="1462"/>
      <c r="S499" s="1462"/>
      <c r="T499" s="1462"/>
      <c r="U499" s="1462"/>
      <c r="V499" s="1462"/>
      <c r="W499" s="1462"/>
      <c r="X499" s="1462"/>
      <c r="Y499" s="1462"/>
      <c r="Z499" s="1462"/>
      <c r="AA499" s="1462"/>
    </row>
    <row r="500">
      <c r="A500" s="1493"/>
      <c r="B500" s="1494"/>
      <c r="C500" s="1493"/>
      <c r="D500" s="1493"/>
      <c r="E500" s="1495"/>
      <c r="F500" s="1462"/>
      <c r="G500" s="1462"/>
      <c r="H500" s="1462"/>
      <c r="I500" s="1462"/>
      <c r="J500" s="1462"/>
      <c r="K500" s="1462"/>
      <c r="L500" s="1462"/>
      <c r="M500" s="1462"/>
      <c r="N500" s="1462"/>
      <c r="O500" s="1462"/>
      <c r="P500" s="1462"/>
      <c r="Q500" s="1462"/>
      <c r="R500" s="1462"/>
      <c r="S500" s="1462"/>
      <c r="T500" s="1462"/>
      <c r="U500" s="1462"/>
      <c r="V500" s="1462"/>
      <c r="W500" s="1462"/>
      <c r="X500" s="1462"/>
      <c r="Y500" s="1462"/>
      <c r="Z500" s="1462"/>
      <c r="AA500" s="1462"/>
    </row>
    <row r="501">
      <c r="A501" s="1493"/>
      <c r="B501" s="1494"/>
      <c r="C501" s="1493"/>
      <c r="D501" s="1493"/>
      <c r="E501" s="1495"/>
      <c r="F501" s="1462"/>
      <c r="G501" s="1462"/>
      <c r="H501" s="1462"/>
      <c r="I501" s="1462"/>
      <c r="J501" s="1462"/>
      <c r="K501" s="1462"/>
      <c r="L501" s="1462"/>
      <c r="M501" s="1462"/>
      <c r="N501" s="1462"/>
      <c r="O501" s="1462"/>
      <c r="P501" s="1462"/>
      <c r="Q501" s="1462"/>
      <c r="R501" s="1462"/>
      <c r="S501" s="1462"/>
      <c r="T501" s="1462"/>
      <c r="U501" s="1462"/>
      <c r="V501" s="1462"/>
      <c r="W501" s="1462"/>
      <c r="X501" s="1462"/>
      <c r="Y501" s="1462"/>
      <c r="Z501" s="1462"/>
      <c r="AA501" s="1462"/>
    </row>
    <row r="502">
      <c r="A502" s="1493"/>
      <c r="B502" s="1494"/>
      <c r="C502" s="1493"/>
      <c r="D502" s="1493"/>
      <c r="E502" s="1495"/>
      <c r="F502" s="1462"/>
      <c r="G502" s="1462"/>
      <c r="H502" s="1462"/>
      <c r="I502" s="1462"/>
      <c r="J502" s="1462"/>
      <c r="K502" s="1462"/>
      <c r="L502" s="1462"/>
      <c r="M502" s="1462"/>
      <c r="N502" s="1462"/>
      <c r="O502" s="1462"/>
      <c r="P502" s="1462"/>
      <c r="Q502" s="1462"/>
      <c r="R502" s="1462"/>
      <c r="S502" s="1462"/>
      <c r="T502" s="1462"/>
      <c r="U502" s="1462"/>
      <c r="V502" s="1462"/>
      <c r="W502" s="1462"/>
      <c r="X502" s="1462"/>
      <c r="Y502" s="1462"/>
      <c r="Z502" s="1462"/>
      <c r="AA502" s="1462"/>
    </row>
    <row r="503">
      <c r="A503" s="1493"/>
      <c r="B503" s="1494"/>
      <c r="C503" s="1493"/>
      <c r="D503" s="1493"/>
      <c r="E503" s="1495"/>
      <c r="F503" s="1462"/>
      <c r="G503" s="1462"/>
      <c r="H503" s="1462"/>
      <c r="I503" s="1462"/>
      <c r="J503" s="1462"/>
      <c r="K503" s="1462"/>
      <c r="L503" s="1462"/>
      <c r="M503" s="1462"/>
      <c r="N503" s="1462"/>
      <c r="O503" s="1462"/>
      <c r="P503" s="1462"/>
      <c r="Q503" s="1462"/>
      <c r="R503" s="1462"/>
      <c r="S503" s="1462"/>
      <c r="T503" s="1462"/>
      <c r="U503" s="1462"/>
      <c r="V503" s="1462"/>
      <c r="W503" s="1462"/>
      <c r="X503" s="1462"/>
      <c r="Y503" s="1462"/>
      <c r="Z503" s="1462"/>
      <c r="AA503" s="1462"/>
    </row>
    <row r="504">
      <c r="A504" s="1493"/>
      <c r="B504" s="1494"/>
      <c r="C504" s="1493"/>
      <c r="D504" s="1493"/>
      <c r="E504" s="1495"/>
      <c r="F504" s="1462"/>
      <c r="G504" s="1462"/>
      <c r="H504" s="1462"/>
      <c r="I504" s="1462"/>
      <c r="J504" s="1462"/>
      <c r="K504" s="1462"/>
      <c r="L504" s="1462"/>
      <c r="M504" s="1462"/>
      <c r="N504" s="1462"/>
      <c r="O504" s="1462"/>
      <c r="P504" s="1462"/>
      <c r="Q504" s="1462"/>
      <c r="R504" s="1462"/>
      <c r="S504" s="1462"/>
      <c r="T504" s="1462"/>
      <c r="U504" s="1462"/>
      <c r="V504" s="1462"/>
      <c r="W504" s="1462"/>
      <c r="X504" s="1462"/>
      <c r="Y504" s="1462"/>
      <c r="Z504" s="1462"/>
      <c r="AA504" s="1462"/>
    </row>
    <row r="505">
      <c r="A505" s="1493"/>
      <c r="B505" s="1494"/>
      <c r="C505" s="1493"/>
      <c r="D505" s="1493"/>
      <c r="E505" s="1495"/>
      <c r="F505" s="1462"/>
      <c r="G505" s="1462"/>
      <c r="H505" s="1462"/>
      <c r="I505" s="1462"/>
      <c r="J505" s="1462"/>
      <c r="K505" s="1462"/>
      <c r="L505" s="1462"/>
      <c r="M505" s="1462"/>
      <c r="N505" s="1462"/>
      <c r="O505" s="1462"/>
      <c r="P505" s="1462"/>
      <c r="Q505" s="1462"/>
      <c r="R505" s="1462"/>
      <c r="S505" s="1462"/>
      <c r="T505" s="1462"/>
      <c r="U505" s="1462"/>
      <c r="V505" s="1462"/>
      <c r="W505" s="1462"/>
      <c r="X505" s="1462"/>
      <c r="Y505" s="1462"/>
      <c r="Z505" s="1462"/>
      <c r="AA505" s="1462"/>
    </row>
    <row r="506">
      <c r="A506" s="1493"/>
      <c r="B506" s="1494"/>
      <c r="C506" s="1493"/>
      <c r="D506" s="1493"/>
      <c r="E506" s="1495"/>
      <c r="F506" s="1462"/>
      <c r="G506" s="1462"/>
      <c r="H506" s="1462"/>
      <c r="I506" s="1462"/>
      <c r="J506" s="1462"/>
      <c r="K506" s="1462"/>
      <c r="L506" s="1462"/>
      <c r="M506" s="1462"/>
      <c r="N506" s="1462"/>
      <c r="O506" s="1462"/>
      <c r="P506" s="1462"/>
      <c r="Q506" s="1462"/>
      <c r="R506" s="1462"/>
      <c r="S506" s="1462"/>
      <c r="T506" s="1462"/>
      <c r="U506" s="1462"/>
      <c r="V506" s="1462"/>
      <c r="W506" s="1462"/>
      <c r="X506" s="1462"/>
      <c r="Y506" s="1462"/>
      <c r="Z506" s="1462"/>
      <c r="AA506" s="1462"/>
    </row>
    <row r="507">
      <c r="A507" s="1493"/>
      <c r="B507" s="1494"/>
      <c r="C507" s="1493"/>
      <c r="D507" s="1493"/>
      <c r="E507" s="1495"/>
      <c r="F507" s="1462"/>
      <c r="G507" s="1462"/>
      <c r="H507" s="1462"/>
      <c r="I507" s="1462"/>
      <c r="J507" s="1462"/>
      <c r="K507" s="1462"/>
      <c r="L507" s="1462"/>
      <c r="M507" s="1462"/>
      <c r="N507" s="1462"/>
      <c r="O507" s="1462"/>
      <c r="P507" s="1462"/>
      <c r="Q507" s="1462"/>
      <c r="R507" s="1462"/>
      <c r="S507" s="1462"/>
      <c r="T507" s="1462"/>
      <c r="U507" s="1462"/>
      <c r="V507" s="1462"/>
      <c r="W507" s="1462"/>
      <c r="X507" s="1462"/>
      <c r="Y507" s="1462"/>
      <c r="Z507" s="1462"/>
      <c r="AA507" s="1462"/>
    </row>
    <row r="508">
      <c r="A508" s="1493"/>
      <c r="B508" s="1494"/>
      <c r="C508" s="1493"/>
      <c r="D508" s="1493"/>
      <c r="E508" s="1495"/>
      <c r="F508" s="1462"/>
      <c r="G508" s="1462"/>
      <c r="H508" s="1462"/>
      <c r="I508" s="1462"/>
      <c r="J508" s="1462"/>
      <c r="K508" s="1462"/>
      <c r="L508" s="1462"/>
      <c r="M508" s="1462"/>
      <c r="N508" s="1462"/>
      <c r="O508" s="1462"/>
      <c r="P508" s="1462"/>
      <c r="Q508" s="1462"/>
      <c r="R508" s="1462"/>
      <c r="S508" s="1462"/>
      <c r="T508" s="1462"/>
      <c r="U508" s="1462"/>
      <c r="V508" s="1462"/>
      <c r="W508" s="1462"/>
      <c r="X508" s="1462"/>
      <c r="Y508" s="1462"/>
      <c r="Z508" s="1462"/>
      <c r="AA508" s="1462"/>
    </row>
    <row r="509">
      <c r="A509" s="1493"/>
      <c r="B509" s="1494"/>
      <c r="C509" s="1493"/>
      <c r="D509" s="1493"/>
      <c r="E509" s="1495"/>
      <c r="F509" s="1462"/>
      <c r="G509" s="1462"/>
      <c r="H509" s="1462"/>
      <c r="I509" s="1462"/>
      <c r="J509" s="1462"/>
      <c r="K509" s="1462"/>
      <c r="L509" s="1462"/>
      <c r="M509" s="1462"/>
      <c r="N509" s="1462"/>
      <c r="O509" s="1462"/>
      <c r="P509" s="1462"/>
      <c r="Q509" s="1462"/>
      <c r="R509" s="1462"/>
      <c r="S509" s="1462"/>
      <c r="T509" s="1462"/>
      <c r="U509" s="1462"/>
      <c r="V509" s="1462"/>
      <c r="W509" s="1462"/>
      <c r="X509" s="1462"/>
      <c r="Y509" s="1462"/>
      <c r="Z509" s="1462"/>
      <c r="AA509" s="1462"/>
    </row>
    <row r="510">
      <c r="A510" s="1493"/>
      <c r="B510" s="1494"/>
      <c r="C510" s="1493"/>
      <c r="D510" s="1493"/>
      <c r="E510" s="1495"/>
      <c r="F510" s="1462"/>
      <c r="G510" s="1462"/>
      <c r="H510" s="1462"/>
      <c r="I510" s="1462"/>
      <c r="J510" s="1462"/>
      <c r="K510" s="1462"/>
      <c r="L510" s="1462"/>
      <c r="M510" s="1462"/>
      <c r="N510" s="1462"/>
      <c r="O510" s="1462"/>
      <c r="P510" s="1462"/>
      <c r="Q510" s="1462"/>
      <c r="R510" s="1462"/>
      <c r="S510" s="1462"/>
      <c r="T510" s="1462"/>
      <c r="U510" s="1462"/>
      <c r="V510" s="1462"/>
      <c r="W510" s="1462"/>
      <c r="X510" s="1462"/>
      <c r="Y510" s="1462"/>
      <c r="Z510" s="1462"/>
      <c r="AA510" s="1462"/>
    </row>
    <row r="511">
      <c r="A511" s="1493"/>
      <c r="B511" s="1494"/>
      <c r="C511" s="1493"/>
      <c r="D511" s="1493"/>
      <c r="E511" s="1495"/>
      <c r="F511" s="1462"/>
      <c r="G511" s="1462"/>
      <c r="H511" s="1462"/>
      <c r="I511" s="1462"/>
      <c r="J511" s="1462"/>
      <c r="K511" s="1462"/>
      <c r="L511" s="1462"/>
      <c r="M511" s="1462"/>
      <c r="N511" s="1462"/>
      <c r="O511" s="1462"/>
      <c r="P511" s="1462"/>
      <c r="Q511" s="1462"/>
      <c r="R511" s="1462"/>
      <c r="S511" s="1462"/>
      <c r="T511" s="1462"/>
      <c r="U511" s="1462"/>
      <c r="V511" s="1462"/>
      <c r="W511" s="1462"/>
      <c r="X511" s="1462"/>
      <c r="Y511" s="1462"/>
      <c r="Z511" s="1462"/>
      <c r="AA511" s="1462"/>
    </row>
    <row r="512">
      <c r="A512" s="1493"/>
      <c r="B512" s="1494"/>
      <c r="C512" s="1493"/>
      <c r="D512" s="1493"/>
      <c r="E512" s="1495"/>
      <c r="F512" s="1462"/>
      <c r="G512" s="1462"/>
      <c r="H512" s="1462"/>
      <c r="I512" s="1462"/>
      <c r="J512" s="1462"/>
      <c r="K512" s="1462"/>
      <c r="L512" s="1462"/>
      <c r="M512" s="1462"/>
      <c r="N512" s="1462"/>
      <c r="O512" s="1462"/>
      <c r="P512" s="1462"/>
      <c r="Q512" s="1462"/>
      <c r="R512" s="1462"/>
      <c r="S512" s="1462"/>
      <c r="T512" s="1462"/>
      <c r="U512" s="1462"/>
      <c r="V512" s="1462"/>
      <c r="W512" s="1462"/>
      <c r="X512" s="1462"/>
      <c r="Y512" s="1462"/>
      <c r="Z512" s="1462"/>
      <c r="AA512" s="1462"/>
    </row>
    <row r="513">
      <c r="A513" s="1493"/>
      <c r="B513" s="1494"/>
      <c r="C513" s="1493"/>
      <c r="D513" s="1493"/>
      <c r="E513" s="1495"/>
      <c r="F513" s="1462"/>
      <c r="G513" s="1462"/>
      <c r="H513" s="1462"/>
      <c r="I513" s="1462"/>
      <c r="J513" s="1462"/>
      <c r="K513" s="1462"/>
      <c r="L513" s="1462"/>
      <c r="M513" s="1462"/>
      <c r="N513" s="1462"/>
      <c r="O513" s="1462"/>
      <c r="P513" s="1462"/>
      <c r="Q513" s="1462"/>
      <c r="R513" s="1462"/>
      <c r="S513" s="1462"/>
      <c r="T513" s="1462"/>
      <c r="U513" s="1462"/>
      <c r="V513" s="1462"/>
      <c r="W513" s="1462"/>
      <c r="X513" s="1462"/>
      <c r="Y513" s="1462"/>
      <c r="Z513" s="1462"/>
      <c r="AA513" s="1462"/>
    </row>
    <row r="514">
      <c r="A514" s="1493"/>
      <c r="B514" s="1494"/>
      <c r="C514" s="1493"/>
      <c r="D514" s="1493"/>
      <c r="E514" s="1495"/>
      <c r="F514" s="1462"/>
      <c r="G514" s="1462"/>
      <c r="H514" s="1462"/>
      <c r="I514" s="1462"/>
      <c r="J514" s="1462"/>
      <c r="K514" s="1462"/>
      <c r="L514" s="1462"/>
      <c r="M514" s="1462"/>
      <c r="N514" s="1462"/>
      <c r="O514" s="1462"/>
      <c r="P514" s="1462"/>
      <c r="Q514" s="1462"/>
      <c r="R514" s="1462"/>
      <c r="S514" s="1462"/>
      <c r="T514" s="1462"/>
      <c r="U514" s="1462"/>
      <c r="V514" s="1462"/>
      <c r="W514" s="1462"/>
      <c r="X514" s="1462"/>
      <c r="Y514" s="1462"/>
      <c r="Z514" s="1462"/>
      <c r="AA514" s="1462"/>
    </row>
    <row r="515">
      <c r="A515" s="1493"/>
      <c r="B515" s="1494"/>
      <c r="C515" s="1493"/>
      <c r="D515" s="1493"/>
      <c r="E515" s="1495"/>
      <c r="F515" s="1462"/>
      <c r="G515" s="1462"/>
      <c r="H515" s="1462"/>
      <c r="I515" s="1462"/>
      <c r="J515" s="1462"/>
      <c r="K515" s="1462"/>
      <c r="L515" s="1462"/>
      <c r="M515" s="1462"/>
      <c r="N515" s="1462"/>
      <c r="O515" s="1462"/>
      <c r="P515" s="1462"/>
      <c r="Q515" s="1462"/>
      <c r="R515" s="1462"/>
      <c r="S515" s="1462"/>
      <c r="T515" s="1462"/>
      <c r="U515" s="1462"/>
      <c r="V515" s="1462"/>
      <c r="W515" s="1462"/>
      <c r="X515" s="1462"/>
      <c r="Y515" s="1462"/>
      <c r="Z515" s="1462"/>
      <c r="AA515" s="1462"/>
    </row>
    <row r="516">
      <c r="A516" s="1493"/>
      <c r="B516" s="1494"/>
      <c r="C516" s="1493"/>
      <c r="D516" s="1493"/>
      <c r="E516" s="1495"/>
      <c r="F516" s="1462"/>
      <c r="G516" s="1462"/>
      <c r="H516" s="1462"/>
      <c r="I516" s="1462"/>
      <c r="J516" s="1462"/>
      <c r="K516" s="1462"/>
      <c r="L516" s="1462"/>
      <c r="M516" s="1462"/>
      <c r="N516" s="1462"/>
      <c r="O516" s="1462"/>
      <c r="P516" s="1462"/>
      <c r="Q516" s="1462"/>
      <c r="R516" s="1462"/>
      <c r="S516" s="1462"/>
      <c r="T516" s="1462"/>
      <c r="U516" s="1462"/>
      <c r="V516" s="1462"/>
      <c r="W516" s="1462"/>
      <c r="X516" s="1462"/>
      <c r="Y516" s="1462"/>
      <c r="Z516" s="1462"/>
      <c r="AA516" s="1462"/>
    </row>
    <row r="517">
      <c r="A517" s="1493"/>
      <c r="B517" s="1494"/>
      <c r="C517" s="1493"/>
      <c r="D517" s="1493"/>
      <c r="E517" s="1495"/>
      <c r="F517" s="1462"/>
      <c r="G517" s="1462"/>
      <c r="H517" s="1462"/>
      <c r="I517" s="1462"/>
      <c r="J517" s="1462"/>
      <c r="K517" s="1462"/>
      <c r="L517" s="1462"/>
      <c r="M517" s="1462"/>
      <c r="N517" s="1462"/>
      <c r="O517" s="1462"/>
      <c r="P517" s="1462"/>
      <c r="Q517" s="1462"/>
      <c r="R517" s="1462"/>
      <c r="S517" s="1462"/>
      <c r="T517" s="1462"/>
      <c r="U517" s="1462"/>
      <c r="V517" s="1462"/>
      <c r="W517" s="1462"/>
      <c r="X517" s="1462"/>
      <c r="Y517" s="1462"/>
      <c r="Z517" s="1462"/>
      <c r="AA517" s="1462"/>
    </row>
    <row r="518">
      <c r="A518" s="1493"/>
      <c r="B518" s="1494"/>
      <c r="C518" s="1493"/>
      <c r="D518" s="1493"/>
      <c r="E518" s="1495"/>
      <c r="F518" s="1462"/>
      <c r="G518" s="1462"/>
      <c r="H518" s="1462"/>
      <c r="I518" s="1462"/>
      <c r="J518" s="1462"/>
      <c r="K518" s="1462"/>
      <c r="L518" s="1462"/>
      <c r="M518" s="1462"/>
      <c r="N518" s="1462"/>
      <c r="O518" s="1462"/>
      <c r="P518" s="1462"/>
      <c r="Q518" s="1462"/>
      <c r="R518" s="1462"/>
      <c r="S518" s="1462"/>
      <c r="T518" s="1462"/>
      <c r="U518" s="1462"/>
      <c r="V518" s="1462"/>
      <c r="W518" s="1462"/>
      <c r="X518" s="1462"/>
      <c r="Y518" s="1462"/>
      <c r="Z518" s="1462"/>
      <c r="AA518" s="1462"/>
    </row>
    <row r="519">
      <c r="A519" s="1493"/>
      <c r="B519" s="1494"/>
      <c r="C519" s="1493"/>
      <c r="D519" s="1493"/>
      <c r="E519" s="1495"/>
      <c r="F519" s="1462"/>
      <c r="G519" s="1462"/>
      <c r="H519" s="1462"/>
      <c r="I519" s="1462"/>
      <c r="J519" s="1462"/>
      <c r="K519" s="1462"/>
      <c r="L519" s="1462"/>
      <c r="M519" s="1462"/>
      <c r="N519" s="1462"/>
      <c r="O519" s="1462"/>
      <c r="P519" s="1462"/>
      <c r="Q519" s="1462"/>
      <c r="R519" s="1462"/>
      <c r="S519" s="1462"/>
      <c r="T519" s="1462"/>
      <c r="U519" s="1462"/>
      <c r="V519" s="1462"/>
      <c r="W519" s="1462"/>
      <c r="X519" s="1462"/>
      <c r="Y519" s="1462"/>
      <c r="Z519" s="1462"/>
      <c r="AA519" s="1462"/>
    </row>
    <row r="520">
      <c r="A520" s="1493"/>
      <c r="B520" s="1494"/>
      <c r="C520" s="1493"/>
      <c r="D520" s="1493"/>
      <c r="E520" s="1495"/>
      <c r="F520" s="1462"/>
      <c r="G520" s="1462"/>
      <c r="H520" s="1462"/>
      <c r="I520" s="1462"/>
      <c r="J520" s="1462"/>
      <c r="K520" s="1462"/>
      <c r="L520" s="1462"/>
      <c r="M520" s="1462"/>
      <c r="N520" s="1462"/>
      <c r="O520" s="1462"/>
      <c r="P520" s="1462"/>
      <c r="Q520" s="1462"/>
      <c r="R520" s="1462"/>
      <c r="S520" s="1462"/>
      <c r="T520" s="1462"/>
      <c r="U520" s="1462"/>
      <c r="V520" s="1462"/>
      <c r="W520" s="1462"/>
      <c r="X520" s="1462"/>
      <c r="Y520" s="1462"/>
      <c r="Z520" s="1462"/>
      <c r="AA520" s="1462"/>
    </row>
    <row r="521">
      <c r="A521" s="1493"/>
      <c r="B521" s="1494"/>
      <c r="C521" s="1493"/>
      <c r="D521" s="1493"/>
      <c r="E521" s="1495"/>
      <c r="F521" s="1462"/>
      <c r="G521" s="1462"/>
      <c r="H521" s="1462"/>
      <c r="I521" s="1462"/>
      <c r="J521" s="1462"/>
      <c r="K521" s="1462"/>
      <c r="L521" s="1462"/>
      <c r="M521" s="1462"/>
      <c r="N521" s="1462"/>
      <c r="O521" s="1462"/>
      <c r="P521" s="1462"/>
      <c r="Q521" s="1462"/>
      <c r="R521" s="1462"/>
      <c r="S521" s="1462"/>
      <c r="T521" s="1462"/>
      <c r="U521" s="1462"/>
      <c r="V521" s="1462"/>
      <c r="W521" s="1462"/>
      <c r="X521" s="1462"/>
      <c r="Y521" s="1462"/>
      <c r="Z521" s="1462"/>
      <c r="AA521" s="1462"/>
    </row>
    <row r="522">
      <c r="A522" s="1493"/>
      <c r="B522" s="1494"/>
      <c r="C522" s="1493"/>
      <c r="D522" s="1493"/>
      <c r="E522" s="1495"/>
      <c r="F522" s="1462"/>
      <c r="G522" s="1462"/>
      <c r="H522" s="1462"/>
      <c r="I522" s="1462"/>
      <c r="J522" s="1462"/>
      <c r="K522" s="1462"/>
      <c r="L522" s="1462"/>
      <c r="M522" s="1462"/>
      <c r="N522" s="1462"/>
      <c r="O522" s="1462"/>
      <c r="P522" s="1462"/>
      <c r="Q522" s="1462"/>
      <c r="R522" s="1462"/>
      <c r="S522" s="1462"/>
      <c r="T522" s="1462"/>
      <c r="U522" s="1462"/>
      <c r="V522" s="1462"/>
      <c r="W522" s="1462"/>
      <c r="X522" s="1462"/>
      <c r="Y522" s="1462"/>
      <c r="Z522" s="1462"/>
      <c r="AA522" s="1462"/>
    </row>
    <row r="523">
      <c r="A523" s="1493"/>
      <c r="B523" s="1494"/>
      <c r="C523" s="1493"/>
      <c r="D523" s="1493"/>
      <c r="E523" s="1495"/>
      <c r="F523" s="1462"/>
      <c r="G523" s="1462"/>
      <c r="H523" s="1462"/>
      <c r="I523" s="1462"/>
      <c r="J523" s="1462"/>
      <c r="K523" s="1462"/>
      <c r="L523" s="1462"/>
      <c r="M523" s="1462"/>
      <c r="N523" s="1462"/>
      <c r="O523" s="1462"/>
      <c r="P523" s="1462"/>
      <c r="Q523" s="1462"/>
      <c r="R523" s="1462"/>
      <c r="S523" s="1462"/>
      <c r="T523" s="1462"/>
      <c r="U523" s="1462"/>
      <c r="V523" s="1462"/>
      <c r="W523" s="1462"/>
      <c r="X523" s="1462"/>
      <c r="Y523" s="1462"/>
      <c r="Z523" s="1462"/>
      <c r="AA523" s="1462"/>
    </row>
    <row r="524">
      <c r="A524" s="1493"/>
      <c r="B524" s="1494"/>
      <c r="C524" s="1493"/>
      <c r="D524" s="1493"/>
      <c r="E524" s="1495"/>
      <c r="F524" s="1462"/>
      <c r="G524" s="1462"/>
      <c r="H524" s="1462"/>
      <c r="I524" s="1462"/>
      <c r="J524" s="1462"/>
      <c r="K524" s="1462"/>
      <c r="L524" s="1462"/>
      <c r="M524" s="1462"/>
      <c r="N524" s="1462"/>
      <c r="O524" s="1462"/>
      <c r="P524" s="1462"/>
      <c r="Q524" s="1462"/>
      <c r="R524" s="1462"/>
      <c r="S524" s="1462"/>
      <c r="T524" s="1462"/>
      <c r="U524" s="1462"/>
      <c r="V524" s="1462"/>
      <c r="W524" s="1462"/>
      <c r="X524" s="1462"/>
      <c r="Y524" s="1462"/>
      <c r="Z524" s="1462"/>
      <c r="AA524" s="1462"/>
    </row>
    <row r="525">
      <c r="A525" s="1493"/>
      <c r="B525" s="1494"/>
      <c r="C525" s="1493"/>
      <c r="D525" s="1493"/>
      <c r="E525" s="1495"/>
      <c r="F525" s="1462"/>
      <c r="G525" s="1462"/>
      <c r="H525" s="1462"/>
      <c r="I525" s="1462"/>
      <c r="J525" s="1462"/>
      <c r="K525" s="1462"/>
      <c r="L525" s="1462"/>
      <c r="M525" s="1462"/>
      <c r="N525" s="1462"/>
      <c r="O525" s="1462"/>
      <c r="P525" s="1462"/>
      <c r="Q525" s="1462"/>
      <c r="R525" s="1462"/>
      <c r="S525" s="1462"/>
      <c r="T525" s="1462"/>
      <c r="U525" s="1462"/>
      <c r="V525" s="1462"/>
      <c r="W525" s="1462"/>
      <c r="X525" s="1462"/>
      <c r="Y525" s="1462"/>
      <c r="Z525" s="1462"/>
      <c r="AA525" s="1462"/>
    </row>
    <row r="526">
      <c r="A526" s="1493"/>
      <c r="B526" s="1494"/>
      <c r="C526" s="1493"/>
      <c r="D526" s="1493"/>
      <c r="E526" s="1495"/>
      <c r="F526" s="1462"/>
      <c r="G526" s="1462"/>
      <c r="H526" s="1462"/>
      <c r="I526" s="1462"/>
      <c r="J526" s="1462"/>
      <c r="K526" s="1462"/>
      <c r="L526" s="1462"/>
      <c r="M526" s="1462"/>
      <c r="N526" s="1462"/>
      <c r="O526" s="1462"/>
      <c r="P526" s="1462"/>
      <c r="Q526" s="1462"/>
      <c r="R526" s="1462"/>
      <c r="S526" s="1462"/>
      <c r="T526" s="1462"/>
      <c r="U526" s="1462"/>
      <c r="V526" s="1462"/>
      <c r="W526" s="1462"/>
      <c r="X526" s="1462"/>
      <c r="Y526" s="1462"/>
      <c r="Z526" s="1462"/>
      <c r="AA526" s="1462"/>
    </row>
    <row r="527">
      <c r="A527" s="1493"/>
      <c r="B527" s="1494"/>
      <c r="C527" s="1493"/>
      <c r="D527" s="1493"/>
      <c r="E527" s="1495"/>
      <c r="F527" s="1462"/>
      <c r="G527" s="1462"/>
      <c r="H527" s="1462"/>
      <c r="I527" s="1462"/>
      <c r="J527" s="1462"/>
      <c r="K527" s="1462"/>
      <c r="L527" s="1462"/>
      <c r="M527" s="1462"/>
      <c r="N527" s="1462"/>
      <c r="O527" s="1462"/>
      <c r="P527" s="1462"/>
      <c r="Q527" s="1462"/>
      <c r="R527" s="1462"/>
      <c r="S527" s="1462"/>
      <c r="T527" s="1462"/>
      <c r="U527" s="1462"/>
      <c r="V527" s="1462"/>
      <c r="W527" s="1462"/>
      <c r="X527" s="1462"/>
      <c r="Y527" s="1462"/>
      <c r="Z527" s="1462"/>
      <c r="AA527" s="1462"/>
    </row>
    <row r="528">
      <c r="A528" s="1493"/>
      <c r="B528" s="1494"/>
      <c r="C528" s="1493"/>
      <c r="D528" s="1493"/>
      <c r="E528" s="1495"/>
      <c r="F528" s="1462"/>
      <c r="G528" s="1462"/>
      <c r="H528" s="1462"/>
      <c r="I528" s="1462"/>
      <c r="J528" s="1462"/>
      <c r="K528" s="1462"/>
      <c r="L528" s="1462"/>
      <c r="M528" s="1462"/>
      <c r="N528" s="1462"/>
      <c r="O528" s="1462"/>
      <c r="P528" s="1462"/>
      <c r="Q528" s="1462"/>
      <c r="R528" s="1462"/>
      <c r="S528" s="1462"/>
      <c r="T528" s="1462"/>
      <c r="U528" s="1462"/>
      <c r="V528" s="1462"/>
      <c r="W528" s="1462"/>
      <c r="X528" s="1462"/>
      <c r="Y528" s="1462"/>
      <c r="Z528" s="1462"/>
      <c r="AA528" s="1462"/>
    </row>
    <row r="529">
      <c r="A529" s="1493"/>
      <c r="B529" s="1494"/>
      <c r="C529" s="1493"/>
      <c r="D529" s="1493"/>
      <c r="E529" s="1495"/>
      <c r="F529" s="1462"/>
      <c r="G529" s="1462"/>
      <c r="H529" s="1462"/>
      <c r="I529" s="1462"/>
      <c r="J529" s="1462"/>
      <c r="K529" s="1462"/>
      <c r="L529" s="1462"/>
      <c r="M529" s="1462"/>
      <c r="N529" s="1462"/>
      <c r="O529" s="1462"/>
      <c r="P529" s="1462"/>
      <c r="Q529" s="1462"/>
      <c r="R529" s="1462"/>
      <c r="S529" s="1462"/>
      <c r="T529" s="1462"/>
      <c r="U529" s="1462"/>
      <c r="V529" s="1462"/>
      <c r="W529" s="1462"/>
      <c r="X529" s="1462"/>
      <c r="Y529" s="1462"/>
      <c r="Z529" s="1462"/>
      <c r="AA529" s="1462"/>
    </row>
    <row r="530">
      <c r="A530" s="1493"/>
      <c r="B530" s="1494"/>
      <c r="C530" s="1493"/>
      <c r="D530" s="1493"/>
      <c r="E530" s="1495"/>
      <c r="F530" s="1462"/>
      <c r="G530" s="1462"/>
      <c r="H530" s="1462"/>
      <c r="I530" s="1462"/>
      <c r="J530" s="1462"/>
      <c r="K530" s="1462"/>
      <c r="L530" s="1462"/>
      <c r="M530" s="1462"/>
      <c r="N530" s="1462"/>
      <c r="O530" s="1462"/>
      <c r="P530" s="1462"/>
      <c r="Q530" s="1462"/>
      <c r="R530" s="1462"/>
      <c r="S530" s="1462"/>
      <c r="T530" s="1462"/>
      <c r="U530" s="1462"/>
      <c r="V530" s="1462"/>
      <c r="W530" s="1462"/>
      <c r="X530" s="1462"/>
      <c r="Y530" s="1462"/>
      <c r="Z530" s="1462"/>
      <c r="AA530" s="1462"/>
    </row>
    <row r="531">
      <c r="A531" s="1493"/>
      <c r="B531" s="1494"/>
      <c r="C531" s="1493"/>
      <c r="D531" s="1493"/>
      <c r="E531" s="1495"/>
      <c r="F531" s="1462"/>
      <c r="G531" s="1462"/>
      <c r="H531" s="1462"/>
      <c r="I531" s="1462"/>
      <c r="J531" s="1462"/>
      <c r="K531" s="1462"/>
      <c r="L531" s="1462"/>
      <c r="M531" s="1462"/>
      <c r="N531" s="1462"/>
      <c r="O531" s="1462"/>
      <c r="P531" s="1462"/>
      <c r="Q531" s="1462"/>
      <c r="R531" s="1462"/>
      <c r="S531" s="1462"/>
      <c r="T531" s="1462"/>
      <c r="U531" s="1462"/>
      <c r="V531" s="1462"/>
      <c r="W531" s="1462"/>
      <c r="X531" s="1462"/>
      <c r="Y531" s="1462"/>
      <c r="Z531" s="1462"/>
      <c r="AA531" s="1462"/>
    </row>
    <row r="532">
      <c r="A532" s="1493"/>
      <c r="B532" s="1494"/>
      <c r="C532" s="1493"/>
      <c r="D532" s="1493"/>
      <c r="E532" s="1495"/>
      <c r="F532" s="1462"/>
      <c r="G532" s="1462"/>
      <c r="H532" s="1462"/>
      <c r="I532" s="1462"/>
      <c r="J532" s="1462"/>
      <c r="K532" s="1462"/>
      <c r="L532" s="1462"/>
      <c r="M532" s="1462"/>
      <c r="N532" s="1462"/>
      <c r="O532" s="1462"/>
      <c r="P532" s="1462"/>
      <c r="Q532" s="1462"/>
      <c r="R532" s="1462"/>
      <c r="S532" s="1462"/>
      <c r="T532" s="1462"/>
      <c r="U532" s="1462"/>
      <c r="V532" s="1462"/>
      <c r="W532" s="1462"/>
      <c r="X532" s="1462"/>
      <c r="Y532" s="1462"/>
      <c r="Z532" s="1462"/>
      <c r="AA532" s="1462"/>
    </row>
    <row r="533">
      <c r="A533" s="1493"/>
      <c r="B533" s="1494"/>
      <c r="C533" s="1493"/>
      <c r="D533" s="1493"/>
      <c r="E533" s="1495"/>
      <c r="F533" s="1462"/>
      <c r="G533" s="1462"/>
      <c r="H533" s="1462"/>
      <c r="I533" s="1462"/>
      <c r="J533" s="1462"/>
      <c r="K533" s="1462"/>
      <c r="L533" s="1462"/>
      <c r="M533" s="1462"/>
      <c r="N533" s="1462"/>
      <c r="O533" s="1462"/>
      <c r="P533" s="1462"/>
      <c r="Q533" s="1462"/>
      <c r="R533" s="1462"/>
      <c r="S533" s="1462"/>
      <c r="T533" s="1462"/>
      <c r="U533" s="1462"/>
      <c r="V533" s="1462"/>
      <c r="W533" s="1462"/>
      <c r="X533" s="1462"/>
      <c r="Y533" s="1462"/>
      <c r="Z533" s="1462"/>
      <c r="AA533" s="1462"/>
    </row>
    <row r="534">
      <c r="A534" s="1493"/>
      <c r="B534" s="1494"/>
      <c r="C534" s="1493"/>
      <c r="D534" s="1493"/>
      <c r="E534" s="1495"/>
      <c r="F534" s="1462"/>
      <c r="G534" s="1462"/>
      <c r="H534" s="1462"/>
      <c r="I534" s="1462"/>
      <c r="J534" s="1462"/>
      <c r="K534" s="1462"/>
      <c r="L534" s="1462"/>
      <c r="M534" s="1462"/>
      <c r="N534" s="1462"/>
      <c r="O534" s="1462"/>
      <c r="P534" s="1462"/>
      <c r="Q534" s="1462"/>
      <c r="R534" s="1462"/>
      <c r="S534" s="1462"/>
      <c r="T534" s="1462"/>
      <c r="U534" s="1462"/>
      <c r="V534" s="1462"/>
      <c r="W534" s="1462"/>
      <c r="X534" s="1462"/>
      <c r="Y534" s="1462"/>
      <c r="Z534" s="1462"/>
      <c r="AA534" s="1462"/>
    </row>
    <row r="535">
      <c r="A535" s="1493"/>
      <c r="B535" s="1494"/>
      <c r="C535" s="1493"/>
      <c r="D535" s="1493"/>
      <c r="E535" s="1495"/>
      <c r="F535" s="1462"/>
      <c r="G535" s="1462"/>
      <c r="H535" s="1462"/>
      <c r="I535" s="1462"/>
      <c r="J535" s="1462"/>
      <c r="K535" s="1462"/>
      <c r="L535" s="1462"/>
      <c r="M535" s="1462"/>
      <c r="N535" s="1462"/>
      <c r="O535" s="1462"/>
      <c r="P535" s="1462"/>
      <c r="Q535" s="1462"/>
      <c r="R535" s="1462"/>
      <c r="S535" s="1462"/>
      <c r="T535" s="1462"/>
      <c r="U535" s="1462"/>
      <c r="V535" s="1462"/>
      <c r="W535" s="1462"/>
      <c r="X535" s="1462"/>
      <c r="Y535" s="1462"/>
      <c r="Z535" s="1462"/>
      <c r="AA535" s="1462"/>
    </row>
    <row r="536">
      <c r="A536" s="1493"/>
      <c r="B536" s="1494"/>
      <c r="C536" s="1493"/>
      <c r="D536" s="1493"/>
      <c r="E536" s="1495"/>
      <c r="F536" s="1462"/>
      <c r="G536" s="1462"/>
      <c r="H536" s="1462"/>
      <c r="I536" s="1462"/>
      <c r="J536" s="1462"/>
      <c r="K536" s="1462"/>
      <c r="L536" s="1462"/>
      <c r="M536" s="1462"/>
      <c r="N536" s="1462"/>
      <c r="O536" s="1462"/>
      <c r="P536" s="1462"/>
      <c r="Q536" s="1462"/>
      <c r="R536" s="1462"/>
      <c r="S536" s="1462"/>
      <c r="T536" s="1462"/>
      <c r="U536" s="1462"/>
      <c r="V536" s="1462"/>
      <c r="W536" s="1462"/>
      <c r="X536" s="1462"/>
      <c r="Y536" s="1462"/>
      <c r="Z536" s="1462"/>
      <c r="AA536" s="1462"/>
    </row>
    <row r="537">
      <c r="A537" s="1493"/>
      <c r="B537" s="1494"/>
      <c r="C537" s="1493"/>
      <c r="D537" s="1493"/>
      <c r="E537" s="1495"/>
      <c r="F537" s="1462"/>
      <c r="G537" s="1462"/>
      <c r="H537" s="1462"/>
      <c r="I537" s="1462"/>
      <c r="J537" s="1462"/>
      <c r="K537" s="1462"/>
      <c r="L537" s="1462"/>
      <c r="M537" s="1462"/>
      <c r="N537" s="1462"/>
      <c r="O537" s="1462"/>
      <c r="P537" s="1462"/>
      <c r="Q537" s="1462"/>
      <c r="R537" s="1462"/>
      <c r="S537" s="1462"/>
      <c r="T537" s="1462"/>
      <c r="U537" s="1462"/>
      <c r="V537" s="1462"/>
      <c r="W537" s="1462"/>
      <c r="X537" s="1462"/>
      <c r="Y537" s="1462"/>
      <c r="Z537" s="1462"/>
      <c r="AA537" s="1462"/>
    </row>
    <row r="538">
      <c r="A538" s="1493"/>
      <c r="B538" s="1494"/>
      <c r="C538" s="1493"/>
      <c r="D538" s="1493"/>
      <c r="E538" s="1495"/>
      <c r="F538" s="1462"/>
      <c r="G538" s="1462"/>
      <c r="H538" s="1462"/>
      <c r="I538" s="1462"/>
      <c r="J538" s="1462"/>
      <c r="K538" s="1462"/>
      <c r="L538" s="1462"/>
      <c r="M538" s="1462"/>
      <c r="N538" s="1462"/>
      <c r="O538" s="1462"/>
      <c r="P538" s="1462"/>
      <c r="Q538" s="1462"/>
      <c r="R538" s="1462"/>
      <c r="S538" s="1462"/>
      <c r="T538" s="1462"/>
      <c r="U538" s="1462"/>
      <c r="V538" s="1462"/>
      <c r="W538" s="1462"/>
      <c r="X538" s="1462"/>
      <c r="Y538" s="1462"/>
      <c r="Z538" s="1462"/>
      <c r="AA538" s="1462"/>
    </row>
    <row r="539">
      <c r="A539" s="1493"/>
      <c r="B539" s="1494"/>
      <c r="C539" s="1493"/>
      <c r="D539" s="1493"/>
      <c r="E539" s="1495"/>
      <c r="F539" s="1462"/>
      <c r="G539" s="1462"/>
      <c r="H539" s="1462"/>
      <c r="I539" s="1462"/>
      <c r="J539" s="1462"/>
      <c r="K539" s="1462"/>
      <c r="L539" s="1462"/>
      <c r="M539" s="1462"/>
      <c r="N539" s="1462"/>
      <c r="O539" s="1462"/>
      <c r="P539" s="1462"/>
      <c r="Q539" s="1462"/>
      <c r="R539" s="1462"/>
      <c r="S539" s="1462"/>
      <c r="T539" s="1462"/>
      <c r="U539" s="1462"/>
      <c r="V539" s="1462"/>
      <c r="W539" s="1462"/>
      <c r="X539" s="1462"/>
      <c r="Y539" s="1462"/>
      <c r="Z539" s="1462"/>
      <c r="AA539" s="1462"/>
    </row>
    <row r="540">
      <c r="A540" s="1493"/>
      <c r="B540" s="1494"/>
      <c r="C540" s="1493"/>
      <c r="D540" s="1493"/>
      <c r="E540" s="1495"/>
      <c r="F540" s="1462"/>
      <c r="G540" s="1462"/>
      <c r="H540" s="1462"/>
      <c r="I540" s="1462"/>
      <c r="J540" s="1462"/>
      <c r="K540" s="1462"/>
      <c r="L540" s="1462"/>
      <c r="M540" s="1462"/>
      <c r="N540" s="1462"/>
      <c r="O540" s="1462"/>
      <c r="P540" s="1462"/>
      <c r="Q540" s="1462"/>
      <c r="R540" s="1462"/>
      <c r="S540" s="1462"/>
      <c r="T540" s="1462"/>
      <c r="U540" s="1462"/>
      <c r="V540" s="1462"/>
      <c r="W540" s="1462"/>
      <c r="X540" s="1462"/>
      <c r="Y540" s="1462"/>
      <c r="Z540" s="1462"/>
      <c r="AA540" s="1462"/>
    </row>
    <row r="541">
      <c r="A541" s="1493"/>
      <c r="B541" s="1494"/>
      <c r="C541" s="1493"/>
      <c r="D541" s="1493"/>
      <c r="E541" s="1495"/>
      <c r="F541" s="1462"/>
      <c r="G541" s="1462"/>
      <c r="H541" s="1462"/>
      <c r="I541" s="1462"/>
      <c r="J541" s="1462"/>
      <c r="K541" s="1462"/>
      <c r="L541" s="1462"/>
      <c r="M541" s="1462"/>
      <c r="N541" s="1462"/>
      <c r="O541" s="1462"/>
      <c r="P541" s="1462"/>
      <c r="Q541" s="1462"/>
      <c r="R541" s="1462"/>
      <c r="S541" s="1462"/>
      <c r="T541" s="1462"/>
      <c r="U541" s="1462"/>
      <c r="V541" s="1462"/>
      <c r="W541" s="1462"/>
      <c r="X541" s="1462"/>
      <c r="Y541" s="1462"/>
      <c r="Z541" s="1462"/>
      <c r="AA541" s="1462"/>
    </row>
    <row r="542">
      <c r="A542" s="1493"/>
      <c r="B542" s="1494"/>
      <c r="C542" s="1493"/>
      <c r="D542" s="1493"/>
      <c r="E542" s="1495"/>
      <c r="F542" s="1462"/>
      <c r="G542" s="1462"/>
      <c r="H542" s="1462"/>
      <c r="I542" s="1462"/>
      <c r="J542" s="1462"/>
      <c r="K542" s="1462"/>
      <c r="L542" s="1462"/>
      <c r="M542" s="1462"/>
      <c r="N542" s="1462"/>
      <c r="O542" s="1462"/>
      <c r="P542" s="1462"/>
      <c r="Q542" s="1462"/>
      <c r="R542" s="1462"/>
      <c r="S542" s="1462"/>
      <c r="T542" s="1462"/>
      <c r="U542" s="1462"/>
      <c r="V542" s="1462"/>
      <c r="W542" s="1462"/>
      <c r="X542" s="1462"/>
      <c r="Y542" s="1462"/>
      <c r="Z542" s="1462"/>
      <c r="AA542" s="1462"/>
    </row>
    <row r="543">
      <c r="A543" s="1493"/>
      <c r="B543" s="1494"/>
      <c r="C543" s="1493"/>
      <c r="D543" s="1493"/>
      <c r="E543" s="1495"/>
      <c r="F543" s="1462"/>
      <c r="G543" s="1462"/>
      <c r="H543" s="1462"/>
      <c r="I543" s="1462"/>
      <c r="J543" s="1462"/>
      <c r="K543" s="1462"/>
      <c r="L543" s="1462"/>
      <c r="M543" s="1462"/>
      <c r="N543" s="1462"/>
      <c r="O543" s="1462"/>
      <c r="P543" s="1462"/>
      <c r="Q543" s="1462"/>
      <c r="R543" s="1462"/>
      <c r="S543" s="1462"/>
      <c r="T543" s="1462"/>
      <c r="U543" s="1462"/>
      <c r="V543" s="1462"/>
      <c r="W543" s="1462"/>
      <c r="X543" s="1462"/>
      <c r="Y543" s="1462"/>
      <c r="Z543" s="1462"/>
      <c r="AA543" s="1462"/>
    </row>
    <row r="544">
      <c r="A544" s="1493"/>
      <c r="B544" s="1494"/>
      <c r="C544" s="1493"/>
      <c r="D544" s="1493"/>
      <c r="E544" s="1495"/>
      <c r="F544" s="1462"/>
      <c r="G544" s="1462"/>
      <c r="H544" s="1462"/>
      <c r="I544" s="1462"/>
      <c r="J544" s="1462"/>
      <c r="K544" s="1462"/>
      <c r="L544" s="1462"/>
      <c r="M544" s="1462"/>
      <c r="N544" s="1462"/>
      <c r="O544" s="1462"/>
      <c r="P544" s="1462"/>
      <c r="Q544" s="1462"/>
      <c r="R544" s="1462"/>
      <c r="S544" s="1462"/>
      <c r="T544" s="1462"/>
      <c r="U544" s="1462"/>
      <c r="V544" s="1462"/>
      <c r="W544" s="1462"/>
      <c r="X544" s="1462"/>
      <c r="Y544" s="1462"/>
      <c r="Z544" s="1462"/>
      <c r="AA544" s="1462"/>
    </row>
    <row r="545">
      <c r="A545" s="1493"/>
      <c r="B545" s="1494"/>
      <c r="C545" s="1493"/>
      <c r="D545" s="1493"/>
      <c r="E545" s="1495"/>
      <c r="F545" s="1462"/>
      <c r="G545" s="1462"/>
      <c r="H545" s="1462"/>
      <c r="I545" s="1462"/>
      <c r="J545" s="1462"/>
      <c r="K545" s="1462"/>
      <c r="L545" s="1462"/>
      <c r="M545" s="1462"/>
      <c r="N545" s="1462"/>
      <c r="O545" s="1462"/>
      <c r="P545" s="1462"/>
      <c r="Q545" s="1462"/>
      <c r="R545" s="1462"/>
      <c r="S545" s="1462"/>
      <c r="T545" s="1462"/>
      <c r="U545" s="1462"/>
      <c r="V545" s="1462"/>
      <c r="W545" s="1462"/>
      <c r="X545" s="1462"/>
      <c r="Y545" s="1462"/>
      <c r="Z545" s="1462"/>
      <c r="AA545" s="1462"/>
    </row>
    <row r="546">
      <c r="A546" s="1493"/>
      <c r="B546" s="1494"/>
      <c r="C546" s="1493"/>
      <c r="D546" s="1493"/>
      <c r="E546" s="1495"/>
      <c r="F546" s="1462"/>
      <c r="G546" s="1462"/>
      <c r="H546" s="1462"/>
      <c r="I546" s="1462"/>
      <c r="J546" s="1462"/>
      <c r="K546" s="1462"/>
      <c r="L546" s="1462"/>
      <c r="M546" s="1462"/>
      <c r="N546" s="1462"/>
      <c r="O546" s="1462"/>
      <c r="P546" s="1462"/>
      <c r="Q546" s="1462"/>
      <c r="R546" s="1462"/>
      <c r="S546" s="1462"/>
      <c r="T546" s="1462"/>
      <c r="U546" s="1462"/>
      <c r="V546" s="1462"/>
      <c r="W546" s="1462"/>
      <c r="X546" s="1462"/>
      <c r="Y546" s="1462"/>
      <c r="Z546" s="1462"/>
      <c r="AA546" s="1462"/>
    </row>
    <row r="547">
      <c r="A547" s="1493"/>
      <c r="B547" s="1494"/>
      <c r="C547" s="1493"/>
      <c r="D547" s="1493"/>
      <c r="E547" s="1495"/>
      <c r="F547" s="1462"/>
      <c r="G547" s="1462"/>
      <c r="H547" s="1462"/>
      <c r="I547" s="1462"/>
      <c r="J547" s="1462"/>
      <c r="K547" s="1462"/>
      <c r="L547" s="1462"/>
      <c r="M547" s="1462"/>
      <c r="N547" s="1462"/>
      <c r="O547" s="1462"/>
      <c r="P547" s="1462"/>
      <c r="Q547" s="1462"/>
      <c r="R547" s="1462"/>
      <c r="S547" s="1462"/>
      <c r="T547" s="1462"/>
      <c r="U547" s="1462"/>
      <c r="V547" s="1462"/>
      <c r="W547" s="1462"/>
      <c r="X547" s="1462"/>
      <c r="Y547" s="1462"/>
      <c r="Z547" s="1462"/>
      <c r="AA547" s="1462"/>
    </row>
    <row r="548">
      <c r="A548" s="1493"/>
      <c r="B548" s="1494"/>
      <c r="C548" s="1493"/>
      <c r="D548" s="1493"/>
      <c r="E548" s="1495"/>
      <c r="F548" s="1462"/>
      <c r="G548" s="1462"/>
      <c r="H548" s="1462"/>
      <c r="I548" s="1462"/>
      <c r="J548" s="1462"/>
      <c r="K548" s="1462"/>
      <c r="L548" s="1462"/>
      <c r="M548" s="1462"/>
      <c r="N548" s="1462"/>
      <c r="O548" s="1462"/>
      <c r="P548" s="1462"/>
      <c r="Q548" s="1462"/>
      <c r="R548" s="1462"/>
      <c r="S548" s="1462"/>
      <c r="T548" s="1462"/>
      <c r="U548" s="1462"/>
      <c r="V548" s="1462"/>
      <c r="W548" s="1462"/>
      <c r="X548" s="1462"/>
      <c r="Y548" s="1462"/>
      <c r="Z548" s="1462"/>
      <c r="AA548" s="1462"/>
    </row>
    <row r="549">
      <c r="A549" s="1493"/>
      <c r="B549" s="1494"/>
      <c r="C549" s="1493"/>
      <c r="D549" s="1493"/>
      <c r="E549" s="1495"/>
      <c r="F549" s="1462"/>
      <c r="G549" s="1462"/>
      <c r="H549" s="1462"/>
      <c r="I549" s="1462"/>
      <c r="J549" s="1462"/>
      <c r="K549" s="1462"/>
      <c r="L549" s="1462"/>
      <c r="M549" s="1462"/>
      <c r="N549" s="1462"/>
      <c r="O549" s="1462"/>
      <c r="P549" s="1462"/>
      <c r="Q549" s="1462"/>
      <c r="R549" s="1462"/>
      <c r="S549" s="1462"/>
      <c r="T549" s="1462"/>
      <c r="U549" s="1462"/>
      <c r="V549" s="1462"/>
      <c r="W549" s="1462"/>
      <c r="X549" s="1462"/>
      <c r="Y549" s="1462"/>
      <c r="Z549" s="1462"/>
      <c r="AA549" s="1462"/>
    </row>
    <row r="550">
      <c r="A550" s="1493"/>
      <c r="B550" s="1494"/>
      <c r="C550" s="1493"/>
      <c r="D550" s="1493"/>
      <c r="E550" s="1495"/>
      <c r="F550" s="1462"/>
      <c r="G550" s="1462"/>
      <c r="H550" s="1462"/>
      <c r="I550" s="1462"/>
      <c r="J550" s="1462"/>
      <c r="K550" s="1462"/>
      <c r="L550" s="1462"/>
      <c r="M550" s="1462"/>
      <c r="N550" s="1462"/>
      <c r="O550" s="1462"/>
      <c r="P550" s="1462"/>
      <c r="Q550" s="1462"/>
      <c r="R550" s="1462"/>
      <c r="S550" s="1462"/>
      <c r="T550" s="1462"/>
      <c r="U550" s="1462"/>
      <c r="V550" s="1462"/>
      <c r="W550" s="1462"/>
      <c r="X550" s="1462"/>
      <c r="Y550" s="1462"/>
      <c r="Z550" s="1462"/>
      <c r="AA550" s="1462"/>
    </row>
    <row r="551">
      <c r="A551" s="1493"/>
      <c r="B551" s="1494"/>
      <c r="C551" s="1493"/>
      <c r="D551" s="1493"/>
      <c r="E551" s="1495"/>
      <c r="F551" s="1462"/>
      <c r="G551" s="1462"/>
      <c r="H551" s="1462"/>
      <c r="I551" s="1462"/>
      <c r="J551" s="1462"/>
      <c r="K551" s="1462"/>
      <c r="L551" s="1462"/>
      <c r="M551" s="1462"/>
      <c r="N551" s="1462"/>
      <c r="O551" s="1462"/>
      <c r="P551" s="1462"/>
      <c r="Q551" s="1462"/>
      <c r="R551" s="1462"/>
      <c r="S551" s="1462"/>
      <c r="T551" s="1462"/>
      <c r="U551" s="1462"/>
      <c r="V551" s="1462"/>
      <c r="W551" s="1462"/>
      <c r="X551" s="1462"/>
      <c r="Y551" s="1462"/>
      <c r="Z551" s="1462"/>
      <c r="AA551" s="1462"/>
    </row>
    <row r="552">
      <c r="A552" s="1493"/>
      <c r="B552" s="1494"/>
      <c r="C552" s="1493"/>
      <c r="D552" s="1493"/>
      <c r="E552" s="1495"/>
      <c r="F552" s="1462"/>
      <c r="G552" s="1462"/>
      <c r="H552" s="1462"/>
      <c r="I552" s="1462"/>
      <c r="J552" s="1462"/>
      <c r="K552" s="1462"/>
      <c r="L552" s="1462"/>
      <c r="M552" s="1462"/>
      <c r="N552" s="1462"/>
      <c r="O552" s="1462"/>
      <c r="P552" s="1462"/>
      <c r="Q552" s="1462"/>
      <c r="R552" s="1462"/>
      <c r="S552" s="1462"/>
      <c r="T552" s="1462"/>
      <c r="U552" s="1462"/>
      <c r="V552" s="1462"/>
      <c r="W552" s="1462"/>
      <c r="X552" s="1462"/>
      <c r="Y552" s="1462"/>
      <c r="Z552" s="1462"/>
      <c r="AA552" s="1462"/>
    </row>
    <row r="553">
      <c r="A553" s="1493"/>
      <c r="B553" s="1494"/>
      <c r="C553" s="1493"/>
      <c r="D553" s="1493"/>
      <c r="E553" s="1495"/>
      <c r="F553" s="1462"/>
      <c r="G553" s="1462"/>
      <c r="H553" s="1462"/>
      <c r="I553" s="1462"/>
      <c r="J553" s="1462"/>
      <c r="K553" s="1462"/>
      <c r="L553" s="1462"/>
      <c r="M553" s="1462"/>
      <c r="N553" s="1462"/>
      <c r="O553" s="1462"/>
      <c r="P553" s="1462"/>
      <c r="Q553" s="1462"/>
      <c r="R553" s="1462"/>
      <c r="S553" s="1462"/>
      <c r="T553" s="1462"/>
      <c r="U553" s="1462"/>
      <c r="V553" s="1462"/>
      <c r="W553" s="1462"/>
      <c r="X553" s="1462"/>
      <c r="Y553" s="1462"/>
      <c r="Z553" s="1462"/>
      <c r="AA553" s="1462"/>
    </row>
    <row r="554">
      <c r="A554" s="1493"/>
      <c r="B554" s="1494"/>
      <c r="C554" s="1493"/>
      <c r="D554" s="1493"/>
      <c r="E554" s="1495"/>
      <c r="F554" s="1462"/>
      <c r="G554" s="1462"/>
      <c r="H554" s="1462"/>
      <c r="I554" s="1462"/>
      <c r="J554" s="1462"/>
      <c r="K554" s="1462"/>
      <c r="L554" s="1462"/>
      <c r="M554" s="1462"/>
      <c r="N554" s="1462"/>
      <c r="O554" s="1462"/>
      <c r="P554" s="1462"/>
      <c r="Q554" s="1462"/>
      <c r="R554" s="1462"/>
      <c r="S554" s="1462"/>
      <c r="T554" s="1462"/>
      <c r="U554" s="1462"/>
      <c r="V554" s="1462"/>
      <c r="W554" s="1462"/>
      <c r="X554" s="1462"/>
      <c r="Y554" s="1462"/>
      <c r="Z554" s="1462"/>
      <c r="AA554" s="1462"/>
    </row>
    <row r="555">
      <c r="A555" s="1493"/>
      <c r="B555" s="1494"/>
      <c r="C555" s="1493"/>
      <c r="D555" s="1493"/>
      <c r="E555" s="1495"/>
      <c r="F555" s="1462"/>
      <c r="G555" s="1462"/>
      <c r="H555" s="1462"/>
      <c r="I555" s="1462"/>
      <c r="J555" s="1462"/>
      <c r="K555" s="1462"/>
      <c r="L555" s="1462"/>
      <c r="M555" s="1462"/>
      <c r="N555" s="1462"/>
      <c r="O555" s="1462"/>
      <c r="P555" s="1462"/>
      <c r="Q555" s="1462"/>
      <c r="R555" s="1462"/>
      <c r="S555" s="1462"/>
      <c r="T555" s="1462"/>
      <c r="U555" s="1462"/>
      <c r="V555" s="1462"/>
      <c r="W555" s="1462"/>
      <c r="X555" s="1462"/>
      <c r="Y555" s="1462"/>
      <c r="Z555" s="1462"/>
      <c r="AA555" s="1462"/>
    </row>
    <row r="556">
      <c r="A556" s="1493"/>
      <c r="B556" s="1494"/>
      <c r="C556" s="1493"/>
      <c r="D556" s="1493"/>
      <c r="E556" s="1495"/>
      <c r="F556" s="1462"/>
      <c r="G556" s="1462"/>
      <c r="H556" s="1462"/>
      <c r="I556" s="1462"/>
      <c r="J556" s="1462"/>
      <c r="K556" s="1462"/>
      <c r="L556" s="1462"/>
      <c r="M556" s="1462"/>
      <c r="N556" s="1462"/>
      <c r="O556" s="1462"/>
      <c r="P556" s="1462"/>
      <c r="Q556" s="1462"/>
      <c r="R556" s="1462"/>
      <c r="S556" s="1462"/>
      <c r="T556" s="1462"/>
      <c r="U556" s="1462"/>
      <c r="V556" s="1462"/>
      <c r="W556" s="1462"/>
      <c r="X556" s="1462"/>
      <c r="Y556" s="1462"/>
      <c r="Z556" s="1462"/>
      <c r="AA556" s="1462"/>
    </row>
    <row r="557">
      <c r="A557" s="1493"/>
      <c r="B557" s="1494"/>
      <c r="C557" s="1493"/>
      <c r="D557" s="1493"/>
      <c r="E557" s="1495"/>
      <c r="F557" s="1462"/>
      <c r="G557" s="1462"/>
      <c r="H557" s="1462"/>
      <c r="I557" s="1462"/>
      <c r="J557" s="1462"/>
      <c r="K557" s="1462"/>
      <c r="L557" s="1462"/>
      <c r="M557" s="1462"/>
      <c r="N557" s="1462"/>
      <c r="O557" s="1462"/>
      <c r="P557" s="1462"/>
      <c r="Q557" s="1462"/>
      <c r="R557" s="1462"/>
      <c r="S557" s="1462"/>
      <c r="T557" s="1462"/>
      <c r="U557" s="1462"/>
      <c r="V557" s="1462"/>
      <c r="W557" s="1462"/>
      <c r="X557" s="1462"/>
      <c r="Y557" s="1462"/>
      <c r="Z557" s="1462"/>
      <c r="AA557" s="1462"/>
    </row>
    <row r="558">
      <c r="A558" s="1493"/>
      <c r="B558" s="1494"/>
      <c r="C558" s="1493"/>
      <c r="D558" s="1493"/>
      <c r="E558" s="1495"/>
      <c r="F558" s="1462"/>
      <c r="G558" s="1462"/>
      <c r="H558" s="1462"/>
      <c r="I558" s="1462"/>
      <c r="J558" s="1462"/>
      <c r="K558" s="1462"/>
      <c r="L558" s="1462"/>
      <c r="M558" s="1462"/>
      <c r="N558" s="1462"/>
      <c r="O558" s="1462"/>
      <c r="P558" s="1462"/>
      <c r="Q558" s="1462"/>
      <c r="R558" s="1462"/>
      <c r="S558" s="1462"/>
      <c r="T558" s="1462"/>
      <c r="U558" s="1462"/>
      <c r="V558" s="1462"/>
      <c r="W558" s="1462"/>
      <c r="X558" s="1462"/>
      <c r="Y558" s="1462"/>
      <c r="Z558" s="1462"/>
      <c r="AA558" s="1462"/>
    </row>
    <row r="559">
      <c r="A559" s="1493"/>
      <c r="B559" s="1494"/>
      <c r="C559" s="1493"/>
      <c r="D559" s="1493"/>
      <c r="E559" s="1495"/>
      <c r="F559" s="1462"/>
      <c r="G559" s="1462"/>
      <c r="H559" s="1462"/>
      <c r="I559" s="1462"/>
      <c r="J559" s="1462"/>
      <c r="K559" s="1462"/>
      <c r="L559" s="1462"/>
      <c r="M559" s="1462"/>
      <c r="N559" s="1462"/>
      <c r="O559" s="1462"/>
      <c r="P559" s="1462"/>
      <c r="Q559" s="1462"/>
      <c r="R559" s="1462"/>
      <c r="S559" s="1462"/>
      <c r="T559" s="1462"/>
      <c r="U559" s="1462"/>
      <c r="V559" s="1462"/>
      <c r="W559" s="1462"/>
      <c r="X559" s="1462"/>
      <c r="Y559" s="1462"/>
      <c r="Z559" s="1462"/>
      <c r="AA559" s="1462"/>
    </row>
    <row r="560">
      <c r="A560" s="1493"/>
      <c r="B560" s="1494"/>
      <c r="C560" s="1493"/>
      <c r="D560" s="1493"/>
      <c r="E560" s="1495"/>
      <c r="F560" s="1462"/>
      <c r="G560" s="1462"/>
      <c r="H560" s="1462"/>
      <c r="I560" s="1462"/>
      <c r="J560" s="1462"/>
      <c r="K560" s="1462"/>
      <c r="L560" s="1462"/>
      <c r="M560" s="1462"/>
      <c r="N560" s="1462"/>
      <c r="O560" s="1462"/>
      <c r="P560" s="1462"/>
      <c r="Q560" s="1462"/>
      <c r="R560" s="1462"/>
      <c r="S560" s="1462"/>
      <c r="T560" s="1462"/>
      <c r="U560" s="1462"/>
      <c r="V560" s="1462"/>
      <c r="W560" s="1462"/>
      <c r="X560" s="1462"/>
      <c r="Y560" s="1462"/>
      <c r="Z560" s="1462"/>
      <c r="AA560" s="1462"/>
    </row>
    <row r="561">
      <c r="A561" s="1493"/>
      <c r="B561" s="1494"/>
      <c r="C561" s="1493"/>
      <c r="D561" s="1493"/>
      <c r="E561" s="1495"/>
      <c r="F561" s="1462"/>
      <c r="G561" s="1462"/>
      <c r="H561" s="1462"/>
      <c r="I561" s="1462"/>
      <c r="J561" s="1462"/>
      <c r="K561" s="1462"/>
      <c r="L561" s="1462"/>
      <c r="M561" s="1462"/>
      <c r="N561" s="1462"/>
      <c r="O561" s="1462"/>
      <c r="P561" s="1462"/>
      <c r="Q561" s="1462"/>
      <c r="R561" s="1462"/>
      <c r="S561" s="1462"/>
      <c r="T561" s="1462"/>
      <c r="U561" s="1462"/>
      <c r="V561" s="1462"/>
      <c r="W561" s="1462"/>
      <c r="X561" s="1462"/>
      <c r="Y561" s="1462"/>
      <c r="Z561" s="1462"/>
      <c r="AA561" s="1462"/>
    </row>
    <row r="562">
      <c r="A562" s="1493"/>
      <c r="B562" s="1494"/>
      <c r="C562" s="1493"/>
      <c r="D562" s="1493"/>
      <c r="E562" s="1495"/>
      <c r="F562" s="1462"/>
      <c r="G562" s="1462"/>
      <c r="H562" s="1462"/>
      <c r="I562" s="1462"/>
      <c r="J562" s="1462"/>
      <c r="K562" s="1462"/>
      <c r="L562" s="1462"/>
      <c r="M562" s="1462"/>
      <c r="N562" s="1462"/>
      <c r="O562" s="1462"/>
      <c r="P562" s="1462"/>
      <c r="Q562" s="1462"/>
      <c r="R562" s="1462"/>
      <c r="S562" s="1462"/>
      <c r="T562" s="1462"/>
      <c r="U562" s="1462"/>
      <c r="V562" s="1462"/>
      <c r="W562" s="1462"/>
      <c r="X562" s="1462"/>
      <c r="Y562" s="1462"/>
      <c r="Z562" s="1462"/>
      <c r="AA562" s="1462"/>
    </row>
    <row r="563">
      <c r="A563" s="1493"/>
      <c r="B563" s="1494"/>
      <c r="C563" s="1493"/>
      <c r="D563" s="1493"/>
      <c r="E563" s="1495"/>
      <c r="F563" s="1462"/>
      <c r="G563" s="1462"/>
      <c r="H563" s="1462"/>
      <c r="I563" s="1462"/>
      <c r="J563" s="1462"/>
      <c r="K563" s="1462"/>
      <c r="L563" s="1462"/>
      <c r="M563" s="1462"/>
      <c r="N563" s="1462"/>
      <c r="O563" s="1462"/>
      <c r="P563" s="1462"/>
      <c r="Q563" s="1462"/>
      <c r="R563" s="1462"/>
      <c r="S563" s="1462"/>
      <c r="T563" s="1462"/>
      <c r="U563" s="1462"/>
      <c r="V563" s="1462"/>
      <c r="W563" s="1462"/>
      <c r="X563" s="1462"/>
      <c r="Y563" s="1462"/>
      <c r="Z563" s="1462"/>
      <c r="AA563" s="1462"/>
    </row>
    <row r="564">
      <c r="A564" s="1493"/>
      <c r="B564" s="1494"/>
      <c r="C564" s="1493"/>
      <c r="D564" s="1493"/>
      <c r="E564" s="1495"/>
      <c r="F564" s="1462"/>
      <c r="G564" s="1462"/>
      <c r="H564" s="1462"/>
      <c r="I564" s="1462"/>
      <c r="J564" s="1462"/>
      <c r="K564" s="1462"/>
      <c r="L564" s="1462"/>
      <c r="M564" s="1462"/>
      <c r="N564" s="1462"/>
      <c r="O564" s="1462"/>
      <c r="P564" s="1462"/>
      <c r="Q564" s="1462"/>
      <c r="R564" s="1462"/>
      <c r="S564" s="1462"/>
      <c r="T564" s="1462"/>
      <c r="U564" s="1462"/>
      <c r="V564" s="1462"/>
      <c r="W564" s="1462"/>
      <c r="X564" s="1462"/>
      <c r="Y564" s="1462"/>
      <c r="Z564" s="1462"/>
      <c r="AA564" s="1462"/>
    </row>
    <row r="565">
      <c r="A565" s="1493"/>
      <c r="B565" s="1494"/>
      <c r="C565" s="1493"/>
      <c r="D565" s="1493"/>
      <c r="E565" s="1495"/>
      <c r="F565" s="1462"/>
      <c r="G565" s="1462"/>
      <c r="H565" s="1462"/>
      <c r="I565" s="1462"/>
      <c r="J565" s="1462"/>
      <c r="K565" s="1462"/>
      <c r="L565" s="1462"/>
      <c r="M565" s="1462"/>
      <c r="N565" s="1462"/>
      <c r="O565" s="1462"/>
      <c r="P565" s="1462"/>
      <c r="Q565" s="1462"/>
      <c r="R565" s="1462"/>
      <c r="S565" s="1462"/>
      <c r="T565" s="1462"/>
      <c r="U565" s="1462"/>
      <c r="V565" s="1462"/>
      <c r="W565" s="1462"/>
      <c r="X565" s="1462"/>
      <c r="Y565" s="1462"/>
      <c r="Z565" s="1462"/>
      <c r="AA565" s="1462"/>
    </row>
    <row r="566">
      <c r="A566" s="1493"/>
      <c r="B566" s="1494"/>
      <c r="C566" s="1493"/>
      <c r="D566" s="1493"/>
      <c r="E566" s="1495"/>
      <c r="F566" s="1462"/>
      <c r="G566" s="1462"/>
      <c r="H566" s="1462"/>
      <c r="I566" s="1462"/>
      <c r="J566" s="1462"/>
      <c r="K566" s="1462"/>
      <c r="L566" s="1462"/>
      <c r="M566" s="1462"/>
      <c r="N566" s="1462"/>
      <c r="O566" s="1462"/>
      <c r="P566" s="1462"/>
      <c r="Q566" s="1462"/>
      <c r="R566" s="1462"/>
      <c r="S566" s="1462"/>
      <c r="T566" s="1462"/>
      <c r="U566" s="1462"/>
      <c r="V566" s="1462"/>
      <c r="W566" s="1462"/>
      <c r="X566" s="1462"/>
      <c r="Y566" s="1462"/>
      <c r="Z566" s="1462"/>
      <c r="AA566" s="1462"/>
    </row>
    <row r="567">
      <c r="A567" s="1493"/>
      <c r="B567" s="1494"/>
      <c r="C567" s="1493"/>
      <c r="D567" s="1493"/>
      <c r="E567" s="1495"/>
      <c r="F567" s="1462"/>
      <c r="G567" s="1462"/>
      <c r="H567" s="1462"/>
      <c r="I567" s="1462"/>
      <c r="J567" s="1462"/>
      <c r="K567" s="1462"/>
      <c r="L567" s="1462"/>
      <c r="M567" s="1462"/>
      <c r="N567" s="1462"/>
      <c r="O567" s="1462"/>
      <c r="P567" s="1462"/>
      <c r="Q567" s="1462"/>
      <c r="R567" s="1462"/>
      <c r="S567" s="1462"/>
      <c r="T567" s="1462"/>
      <c r="U567" s="1462"/>
      <c r="V567" s="1462"/>
      <c r="W567" s="1462"/>
      <c r="X567" s="1462"/>
      <c r="Y567" s="1462"/>
      <c r="Z567" s="1462"/>
      <c r="AA567" s="1462"/>
    </row>
    <row r="568">
      <c r="A568" s="1493"/>
      <c r="B568" s="1494"/>
      <c r="C568" s="1493"/>
      <c r="D568" s="1493"/>
      <c r="E568" s="1495"/>
      <c r="F568" s="1462"/>
      <c r="G568" s="1462"/>
      <c r="H568" s="1462"/>
      <c r="I568" s="1462"/>
      <c r="J568" s="1462"/>
      <c r="K568" s="1462"/>
      <c r="L568" s="1462"/>
      <c r="M568" s="1462"/>
      <c r="N568" s="1462"/>
      <c r="O568" s="1462"/>
      <c r="P568" s="1462"/>
      <c r="Q568" s="1462"/>
      <c r="R568" s="1462"/>
      <c r="S568" s="1462"/>
      <c r="T568" s="1462"/>
      <c r="U568" s="1462"/>
      <c r="V568" s="1462"/>
      <c r="W568" s="1462"/>
      <c r="X568" s="1462"/>
      <c r="Y568" s="1462"/>
      <c r="Z568" s="1462"/>
      <c r="AA568" s="1462"/>
    </row>
    <row r="569">
      <c r="A569" s="1493"/>
      <c r="B569" s="1494"/>
      <c r="C569" s="1493"/>
      <c r="D569" s="1493"/>
      <c r="E569" s="1495"/>
      <c r="F569" s="1462"/>
      <c r="G569" s="1462"/>
      <c r="H569" s="1462"/>
      <c r="I569" s="1462"/>
      <c r="J569" s="1462"/>
      <c r="K569" s="1462"/>
      <c r="L569" s="1462"/>
      <c r="M569" s="1462"/>
      <c r="N569" s="1462"/>
      <c r="O569" s="1462"/>
      <c r="P569" s="1462"/>
      <c r="Q569" s="1462"/>
      <c r="R569" s="1462"/>
      <c r="S569" s="1462"/>
      <c r="T569" s="1462"/>
      <c r="U569" s="1462"/>
      <c r="V569" s="1462"/>
      <c r="W569" s="1462"/>
      <c r="X569" s="1462"/>
      <c r="Y569" s="1462"/>
      <c r="Z569" s="1462"/>
      <c r="AA569" s="1462"/>
    </row>
    <row r="570">
      <c r="A570" s="1493"/>
      <c r="B570" s="1494"/>
      <c r="C570" s="1493"/>
      <c r="D570" s="1493"/>
      <c r="E570" s="1495"/>
      <c r="F570" s="1462"/>
      <c r="G570" s="1462"/>
      <c r="H570" s="1462"/>
      <c r="I570" s="1462"/>
      <c r="J570" s="1462"/>
      <c r="K570" s="1462"/>
      <c r="L570" s="1462"/>
      <c r="M570" s="1462"/>
      <c r="N570" s="1462"/>
      <c r="O570" s="1462"/>
      <c r="P570" s="1462"/>
      <c r="Q570" s="1462"/>
      <c r="R570" s="1462"/>
      <c r="S570" s="1462"/>
      <c r="T570" s="1462"/>
      <c r="U570" s="1462"/>
      <c r="V570" s="1462"/>
      <c r="W570" s="1462"/>
      <c r="X570" s="1462"/>
      <c r="Y570" s="1462"/>
      <c r="Z570" s="1462"/>
      <c r="AA570" s="1462"/>
    </row>
    <row r="571">
      <c r="A571" s="1493"/>
      <c r="B571" s="1494"/>
      <c r="C571" s="1493"/>
      <c r="D571" s="1493"/>
      <c r="E571" s="1495"/>
      <c r="F571" s="1462"/>
      <c r="G571" s="1462"/>
      <c r="H571" s="1462"/>
      <c r="I571" s="1462"/>
      <c r="J571" s="1462"/>
      <c r="K571" s="1462"/>
      <c r="L571" s="1462"/>
      <c r="M571" s="1462"/>
      <c r="N571" s="1462"/>
      <c r="O571" s="1462"/>
      <c r="P571" s="1462"/>
      <c r="Q571" s="1462"/>
      <c r="R571" s="1462"/>
      <c r="S571" s="1462"/>
      <c r="T571" s="1462"/>
      <c r="U571" s="1462"/>
      <c r="V571" s="1462"/>
      <c r="W571" s="1462"/>
      <c r="X571" s="1462"/>
      <c r="Y571" s="1462"/>
      <c r="Z571" s="1462"/>
      <c r="AA571" s="1462"/>
    </row>
    <row r="572">
      <c r="A572" s="1493"/>
      <c r="B572" s="1494"/>
      <c r="C572" s="1493"/>
      <c r="D572" s="1493"/>
      <c r="E572" s="1495"/>
      <c r="F572" s="1462"/>
      <c r="G572" s="1462"/>
      <c r="H572" s="1462"/>
      <c r="I572" s="1462"/>
      <c r="J572" s="1462"/>
      <c r="K572" s="1462"/>
      <c r="L572" s="1462"/>
      <c r="M572" s="1462"/>
      <c r="N572" s="1462"/>
      <c r="O572" s="1462"/>
      <c r="P572" s="1462"/>
      <c r="Q572" s="1462"/>
      <c r="R572" s="1462"/>
      <c r="S572" s="1462"/>
      <c r="T572" s="1462"/>
      <c r="U572" s="1462"/>
      <c r="V572" s="1462"/>
      <c r="W572" s="1462"/>
      <c r="X572" s="1462"/>
      <c r="Y572" s="1462"/>
      <c r="Z572" s="1462"/>
      <c r="AA572" s="1462"/>
    </row>
    <row r="573">
      <c r="A573" s="1493"/>
      <c r="B573" s="1494"/>
      <c r="C573" s="1493"/>
      <c r="D573" s="1493"/>
      <c r="E573" s="1495"/>
      <c r="F573" s="1462"/>
      <c r="G573" s="1462"/>
      <c r="H573" s="1462"/>
      <c r="I573" s="1462"/>
      <c r="J573" s="1462"/>
      <c r="K573" s="1462"/>
      <c r="L573" s="1462"/>
      <c r="M573" s="1462"/>
      <c r="N573" s="1462"/>
      <c r="O573" s="1462"/>
      <c r="P573" s="1462"/>
      <c r="Q573" s="1462"/>
      <c r="R573" s="1462"/>
      <c r="S573" s="1462"/>
      <c r="T573" s="1462"/>
      <c r="U573" s="1462"/>
      <c r="V573" s="1462"/>
      <c r="W573" s="1462"/>
      <c r="X573" s="1462"/>
      <c r="Y573" s="1462"/>
      <c r="Z573" s="1462"/>
      <c r="AA573" s="1462"/>
    </row>
    <row r="574">
      <c r="A574" s="1493"/>
      <c r="B574" s="1494"/>
      <c r="C574" s="1493"/>
      <c r="D574" s="1493"/>
      <c r="E574" s="1495"/>
      <c r="F574" s="1462"/>
      <c r="G574" s="1462"/>
      <c r="H574" s="1462"/>
      <c r="I574" s="1462"/>
      <c r="J574" s="1462"/>
      <c r="K574" s="1462"/>
      <c r="L574" s="1462"/>
      <c r="M574" s="1462"/>
      <c r="N574" s="1462"/>
      <c r="O574" s="1462"/>
      <c r="P574" s="1462"/>
      <c r="Q574" s="1462"/>
      <c r="R574" s="1462"/>
      <c r="S574" s="1462"/>
      <c r="T574" s="1462"/>
      <c r="U574" s="1462"/>
      <c r="V574" s="1462"/>
      <c r="W574" s="1462"/>
      <c r="X574" s="1462"/>
      <c r="Y574" s="1462"/>
      <c r="Z574" s="1462"/>
      <c r="AA574" s="1462"/>
    </row>
    <row r="575">
      <c r="A575" s="1493"/>
      <c r="B575" s="1494"/>
      <c r="C575" s="1493"/>
      <c r="D575" s="1493"/>
      <c r="E575" s="1495"/>
      <c r="F575" s="1462"/>
      <c r="G575" s="1462"/>
      <c r="H575" s="1462"/>
      <c r="I575" s="1462"/>
      <c r="J575" s="1462"/>
      <c r="K575" s="1462"/>
      <c r="L575" s="1462"/>
      <c r="M575" s="1462"/>
      <c r="N575" s="1462"/>
      <c r="O575" s="1462"/>
      <c r="P575" s="1462"/>
      <c r="Q575" s="1462"/>
      <c r="R575" s="1462"/>
      <c r="S575" s="1462"/>
      <c r="T575" s="1462"/>
      <c r="U575" s="1462"/>
      <c r="V575" s="1462"/>
      <c r="W575" s="1462"/>
      <c r="X575" s="1462"/>
      <c r="Y575" s="1462"/>
      <c r="Z575" s="1462"/>
      <c r="AA575" s="1462"/>
    </row>
    <row r="576">
      <c r="A576" s="1493"/>
      <c r="B576" s="1494"/>
      <c r="C576" s="1493"/>
      <c r="D576" s="1493"/>
      <c r="E576" s="1495"/>
      <c r="F576" s="1462"/>
      <c r="G576" s="1462"/>
      <c r="H576" s="1462"/>
      <c r="I576" s="1462"/>
      <c r="J576" s="1462"/>
      <c r="K576" s="1462"/>
      <c r="L576" s="1462"/>
      <c r="M576" s="1462"/>
      <c r="N576" s="1462"/>
      <c r="O576" s="1462"/>
      <c r="P576" s="1462"/>
      <c r="Q576" s="1462"/>
      <c r="R576" s="1462"/>
      <c r="S576" s="1462"/>
      <c r="T576" s="1462"/>
      <c r="U576" s="1462"/>
      <c r="V576" s="1462"/>
      <c r="W576" s="1462"/>
      <c r="X576" s="1462"/>
      <c r="Y576" s="1462"/>
      <c r="Z576" s="1462"/>
      <c r="AA576" s="1462"/>
    </row>
    <row r="577">
      <c r="A577" s="1493"/>
      <c r="B577" s="1494"/>
      <c r="C577" s="1493"/>
      <c r="D577" s="1493"/>
      <c r="E577" s="1495"/>
      <c r="F577" s="1462"/>
      <c r="G577" s="1462"/>
      <c r="H577" s="1462"/>
      <c r="I577" s="1462"/>
      <c r="J577" s="1462"/>
      <c r="K577" s="1462"/>
      <c r="L577" s="1462"/>
      <c r="M577" s="1462"/>
      <c r="N577" s="1462"/>
      <c r="O577" s="1462"/>
      <c r="P577" s="1462"/>
      <c r="Q577" s="1462"/>
      <c r="R577" s="1462"/>
      <c r="S577" s="1462"/>
      <c r="T577" s="1462"/>
      <c r="U577" s="1462"/>
      <c r="V577" s="1462"/>
      <c r="W577" s="1462"/>
      <c r="X577" s="1462"/>
      <c r="Y577" s="1462"/>
      <c r="Z577" s="1462"/>
      <c r="AA577" s="1462"/>
    </row>
    <row r="578">
      <c r="A578" s="1493"/>
      <c r="B578" s="1494"/>
      <c r="C578" s="1493"/>
      <c r="D578" s="1493"/>
      <c r="E578" s="1495"/>
      <c r="F578" s="1462"/>
      <c r="G578" s="1462"/>
      <c r="H578" s="1462"/>
      <c r="I578" s="1462"/>
      <c r="J578" s="1462"/>
      <c r="K578" s="1462"/>
      <c r="L578" s="1462"/>
      <c r="M578" s="1462"/>
      <c r="N578" s="1462"/>
      <c r="O578" s="1462"/>
      <c r="P578" s="1462"/>
      <c r="Q578" s="1462"/>
      <c r="R578" s="1462"/>
      <c r="S578" s="1462"/>
      <c r="T578" s="1462"/>
      <c r="U578" s="1462"/>
      <c r="V578" s="1462"/>
      <c r="W578" s="1462"/>
      <c r="X578" s="1462"/>
      <c r="Y578" s="1462"/>
      <c r="Z578" s="1462"/>
      <c r="AA578" s="1462"/>
    </row>
    <row r="579">
      <c r="A579" s="1493"/>
      <c r="B579" s="1494"/>
      <c r="C579" s="1493"/>
      <c r="D579" s="1493"/>
      <c r="E579" s="1495"/>
      <c r="F579" s="1462"/>
      <c r="G579" s="1462"/>
      <c r="H579" s="1462"/>
      <c r="I579" s="1462"/>
      <c r="J579" s="1462"/>
      <c r="K579" s="1462"/>
      <c r="L579" s="1462"/>
      <c r="M579" s="1462"/>
      <c r="N579" s="1462"/>
      <c r="O579" s="1462"/>
      <c r="P579" s="1462"/>
      <c r="Q579" s="1462"/>
      <c r="R579" s="1462"/>
      <c r="S579" s="1462"/>
      <c r="T579" s="1462"/>
      <c r="U579" s="1462"/>
      <c r="V579" s="1462"/>
      <c r="W579" s="1462"/>
      <c r="X579" s="1462"/>
      <c r="Y579" s="1462"/>
      <c r="Z579" s="1462"/>
      <c r="AA579" s="1462"/>
    </row>
    <row r="580">
      <c r="A580" s="1493"/>
      <c r="B580" s="1494"/>
      <c r="C580" s="1493"/>
      <c r="D580" s="1493"/>
      <c r="E580" s="1495"/>
      <c r="F580" s="1462"/>
      <c r="G580" s="1462"/>
      <c r="H580" s="1462"/>
      <c r="I580" s="1462"/>
      <c r="J580" s="1462"/>
      <c r="K580" s="1462"/>
      <c r="L580" s="1462"/>
      <c r="M580" s="1462"/>
      <c r="N580" s="1462"/>
      <c r="O580" s="1462"/>
      <c r="P580" s="1462"/>
      <c r="Q580" s="1462"/>
      <c r="R580" s="1462"/>
      <c r="S580" s="1462"/>
      <c r="T580" s="1462"/>
      <c r="U580" s="1462"/>
      <c r="V580" s="1462"/>
      <c r="W580" s="1462"/>
      <c r="X580" s="1462"/>
      <c r="Y580" s="1462"/>
      <c r="Z580" s="1462"/>
      <c r="AA580" s="1462"/>
    </row>
    <row r="581">
      <c r="A581" s="1493"/>
      <c r="B581" s="1494"/>
      <c r="C581" s="1493"/>
      <c r="D581" s="1493"/>
      <c r="E581" s="1495"/>
      <c r="F581" s="1462"/>
      <c r="G581" s="1462"/>
      <c r="H581" s="1462"/>
      <c r="I581" s="1462"/>
      <c r="J581" s="1462"/>
      <c r="K581" s="1462"/>
      <c r="L581" s="1462"/>
      <c r="M581" s="1462"/>
      <c r="N581" s="1462"/>
      <c r="O581" s="1462"/>
      <c r="P581" s="1462"/>
      <c r="Q581" s="1462"/>
      <c r="R581" s="1462"/>
      <c r="S581" s="1462"/>
      <c r="T581" s="1462"/>
      <c r="U581" s="1462"/>
      <c r="V581" s="1462"/>
      <c r="W581" s="1462"/>
      <c r="X581" s="1462"/>
      <c r="Y581" s="1462"/>
      <c r="Z581" s="1462"/>
      <c r="AA581" s="1462"/>
    </row>
    <row r="582">
      <c r="A582" s="1493"/>
      <c r="B582" s="1494"/>
      <c r="C582" s="1493"/>
      <c r="D582" s="1493"/>
      <c r="E582" s="1495"/>
      <c r="F582" s="1462"/>
      <c r="G582" s="1462"/>
      <c r="H582" s="1462"/>
      <c r="I582" s="1462"/>
      <c r="J582" s="1462"/>
      <c r="K582" s="1462"/>
      <c r="L582" s="1462"/>
      <c r="M582" s="1462"/>
      <c r="N582" s="1462"/>
      <c r="O582" s="1462"/>
      <c r="P582" s="1462"/>
      <c r="Q582" s="1462"/>
      <c r="R582" s="1462"/>
      <c r="S582" s="1462"/>
      <c r="T582" s="1462"/>
      <c r="U582" s="1462"/>
      <c r="V582" s="1462"/>
      <c r="W582" s="1462"/>
      <c r="X582" s="1462"/>
      <c r="Y582" s="1462"/>
      <c r="Z582" s="1462"/>
      <c r="AA582" s="1462"/>
    </row>
    <row r="583">
      <c r="A583" s="1493"/>
      <c r="B583" s="1494"/>
      <c r="C583" s="1493"/>
      <c r="D583" s="1493"/>
      <c r="E583" s="1495"/>
      <c r="F583" s="1462"/>
      <c r="G583" s="1462"/>
      <c r="H583" s="1462"/>
      <c r="I583" s="1462"/>
      <c r="J583" s="1462"/>
      <c r="K583" s="1462"/>
      <c r="L583" s="1462"/>
      <c r="M583" s="1462"/>
      <c r="N583" s="1462"/>
      <c r="O583" s="1462"/>
      <c r="P583" s="1462"/>
      <c r="Q583" s="1462"/>
      <c r="R583" s="1462"/>
      <c r="S583" s="1462"/>
      <c r="T583" s="1462"/>
      <c r="U583" s="1462"/>
      <c r="V583" s="1462"/>
      <c r="W583" s="1462"/>
      <c r="X583" s="1462"/>
      <c r="Y583" s="1462"/>
      <c r="Z583" s="1462"/>
      <c r="AA583" s="1462"/>
    </row>
    <row r="584">
      <c r="A584" s="1493"/>
      <c r="B584" s="1494"/>
      <c r="C584" s="1493"/>
      <c r="D584" s="1493"/>
      <c r="E584" s="1495"/>
      <c r="F584" s="1462"/>
      <c r="G584" s="1462"/>
      <c r="H584" s="1462"/>
      <c r="I584" s="1462"/>
      <c r="J584" s="1462"/>
      <c r="K584" s="1462"/>
      <c r="L584" s="1462"/>
      <c r="M584" s="1462"/>
      <c r="N584" s="1462"/>
      <c r="O584" s="1462"/>
      <c r="P584" s="1462"/>
      <c r="Q584" s="1462"/>
      <c r="R584" s="1462"/>
      <c r="S584" s="1462"/>
      <c r="T584" s="1462"/>
      <c r="U584" s="1462"/>
      <c r="V584" s="1462"/>
      <c r="W584" s="1462"/>
      <c r="X584" s="1462"/>
      <c r="Y584" s="1462"/>
      <c r="Z584" s="1462"/>
      <c r="AA584" s="1462"/>
    </row>
    <row r="585">
      <c r="A585" s="1493"/>
      <c r="B585" s="1494"/>
      <c r="C585" s="1493"/>
      <c r="D585" s="1493"/>
      <c r="E585" s="1495"/>
      <c r="F585" s="1462"/>
      <c r="G585" s="1462"/>
      <c r="H585" s="1462"/>
      <c r="I585" s="1462"/>
      <c r="J585" s="1462"/>
      <c r="K585" s="1462"/>
      <c r="L585" s="1462"/>
      <c r="M585" s="1462"/>
      <c r="N585" s="1462"/>
      <c r="O585" s="1462"/>
      <c r="P585" s="1462"/>
      <c r="Q585" s="1462"/>
      <c r="R585" s="1462"/>
      <c r="S585" s="1462"/>
      <c r="T585" s="1462"/>
      <c r="U585" s="1462"/>
      <c r="V585" s="1462"/>
      <c r="W585" s="1462"/>
      <c r="X585" s="1462"/>
      <c r="Y585" s="1462"/>
      <c r="Z585" s="1462"/>
      <c r="AA585" s="1462"/>
    </row>
    <row r="586">
      <c r="A586" s="1493"/>
      <c r="B586" s="1494"/>
      <c r="C586" s="1493"/>
      <c r="D586" s="1493"/>
      <c r="E586" s="1495"/>
      <c r="F586" s="1462"/>
      <c r="G586" s="1462"/>
      <c r="H586" s="1462"/>
      <c r="I586" s="1462"/>
      <c r="J586" s="1462"/>
      <c r="K586" s="1462"/>
      <c r="L586" s="1462"/>
      <c r="M586" s="1462"/>
      <c r="N586" s="1462"/>
      <c r="O586" s="1462"/>
      <c r="P586" s="1462"/>
      <c r="Q586" s="1462"/>
      <c r="R586" s="1462"/>
      <c r="S586" s="1462"/>
      <c r="T586" s="1462"/>
      <c r="U586" s="1462"/>
      <c r="V586" s="1462"/>
      <c r="W586" s="1462"/>
      <c r="X586" s="1462"/>
      <c r="Y586" s="1462"/>
      <c r="Z586" s="1462"/>
      <c r="AA586" s="1462"/>
    </row>
    <row r="587">
      <c r="A587" s="1493"/>
      <c r="B587" s="1494"/>
      <c r="C587" s="1493"/>
      <c r="D587" s="1493"/>
      <c r="E587" s="1495"/>
      <c r="F587" s="1462"/>
      <c r="G587" s="1462"/>
      <c r="H587" s="1462"/>
      <c r="I587" s="1462"/>
      <c r="J587" s="1462"/>
      <c r="K587" s="1462"/>
      <c r="L587" s="1462"/>
      <c r="M587" s="1462"/>
      <c r="N587" s="1462"/>
      <c r="O587" s="1462"/>
      <c r="P587" s="1462"/>
      <c r="Q587" s="1462"/>
      <c r="R587" s="1462"/>
      <c r="S587" s="1462"/>
      <c r="T587" s="1462"/>
      <c r="U587" s="1462"/>
      <c r="V587" s="1462"/>
      <c r="W587" s="1462"/>
      <c r="X587" s="1462"/>
      <c r="Y587" s="1462"/>
      <c r="Z587" s="1462"/>
      <c r="AA587" s="1462"/>
    </row>
    <row r="588">
      <c r="A588" s="1493"/>
      <c r="B588" s="1494"/>
      <c r="C588" s="1493"/>
      <c r="D588" s="1493"/>
      <c r="E588" s="1495"/>
      <c r="F588" s="1462"/>
      <c r="G588" s="1462"/>
      <c r="H588" s="1462"/>
      <c r="I588" s="1462"/>
      <c r="J588" s="1462"/>
      <c r="K588" s="1462"/>
      <c r="L588" s="1462"/>
      <c r="M588" s="1462"/>
      <c r="N588" s="1462"/>
      <c r="O588" s="1462"/>
      <c r="P588" s="1462"/>
      <c r="Q588" s="1462"/>
      <c r="R588" s="1462"/>
      <c r="S588" s="1462"/>
      <c r="T588" s="1462"/>
      <c r="U588" s="1462"/>
      <c r="V588" s="1462"/>
      <c r="W588" s="1462"/>
      <c r="X588" s="1462"/>
      <c r="Y588" s="1462"/>
      <c r="Z588" s="1462"/>
      <c r="AA588" s="1462"/>
    </row>
    <row r="589">
      <c r="A589" s="1493"/>
      <c r="B589" s="1494"/>
      <c r="C589" s="1493"/>
      <c r="D589" s="1493"/>
      <c r="E589" s="1495"/>
      <c r="F589" s="1462"/>
      <c r="G589" s="1462"/>
      <c r="H589" s="1462"/>
      <c r="I589" s="1462"/>
      <c r="J589" s="1462"/>
      <c r="K589" s="1462"/>
      <c r="L589" s="1462"/>
      <c r="M589" s="1462"/>
      <c r="N589" s="1462"/>
      <c r="O589" s="1462"/>
      <c r="P589" s="1462"/>
      <c r="Q589" s="1462"/>
      <c r="R589" s="1462"/>
      <c r="S589" s="1462"/>
      <c r="T589" s="1462"/>
      <c r="U589" s="1462"/>
      <c r="V589" s="1462"/>
      <c r="W589" s="1462"/>
      <c r="X589" s="1462"/>
      <c r="Y589" s="1462"/>
      <c r="Z589" s="1462"/>
      <c r="AA589" s="1462"/>
    </row>
    <row r="590">
      <c r="A590" s="1493"/>
      <c r="B590" s="1494"/>
      <c r="C590" s="1493"/>
      <c r="D590" s="1493"/>
      <c r="E590" s="1495"/>
      <c r="F590" s="1462"/>
      <c r="G590" s="1462"/>
      <c r="H590" s="1462"/>
      <c r="I590" s="1462"/>
      <c r="J590" s="1462"/>
      <c r="K590" s="1462"/>
      <c r="L590" s="1462"/>
      <c r="M590" s="1462"/>
      <c r="N590" s="1462"/>
      <c r="O590" s="1462"/>
      <c r="P590" s="1462"/>
      <c r="Q590" s="1462"/>
      <c r="R590" s="1462"/>
      <c r="S590" s="1462"/>
      <c r="T590" s="1462"/>
      <c r="U590" s="1462"/>
      <c r="V590" s="1462"/>
      <c r="W590" s="1462"/>
      <c r="X590" s="1462"/>
      <c r="Y590" s="1462"/>
      <c r="Z590" s="1462"/>
      <c r="AA590" s="1462"/>
    </row>
    <row r="591">
      <c r="A591" s="1493"/>
      <c r="B591" s="1494"/>
      <c r="C591" s="1493"/>
      <c r="D591" s="1493"/>
      <c r="E591" s="1495"/>
      <c r="F591" s="1462"/>
      <c r="G591" s="1462"/>
      <c r="H591" s="1462"/>
      <c r="I591" s="1462"/>
      <c r="J591" s="1462"/>
      <c r="K591" s="1462"/>
      <c r="L591" s="1462"/>
      <c r="M591" s="1462"/>
      <c r="N591" s="1462"/>
      <c r="O591" s="1462"/>
      <c r="P591" s="1462"/>
      <c r="Q591" s="1462"/>
      <c r="R591" s="1462"/>
      <c r="S591" s="1462"/>
      <c r="T591" s="1462"/>
      <c r="U591" s="1462"/>
      <c r="V591" s="1462"/>
      <c r="W591" s="1462"/>
      <c r="X591" s="1462"/>
      <c r="Y591" s="1462"/>
      <c r="Z591" s="1462"/>
      <c r="AA591" s="1462"/>
    </row>
    <row r="592">
      <c r="A592" s="1493"/>
      <c r="B592" s="1494"/>
      <c r="C592" s="1493"/>
      <c r="D592" s="1493"/>
      <c r="E592" s="1495"/>
      <c r="F592" s="1462"/>
      <c r="G592" s="1462"/>
      <c r="H592" s="1462"/>
      <c r="I592" s="1462"/>
      <c r="J592" s="1462"/>
      <c r="K592" s="1462"/>
      <c r="L592" s="1462"/>
      <c r="M592" s="1462"/>
      <c r="N592" s="1462"/>
      <c r="O592" s="1462"/>
      <c r="P592" s="1462"/>
      <c r="Q592" s="1462"/>
      <c r="R592" s="1462"/>
      <c r="S592" s="1462"/>
      <c r="T592" s="1462"/>
      <c r="U592" s="1462"/>
      <c r="V592" s="1462"/>
      <c r="W592" s="1462"/>
      <c r="X592" s="1462"/>
      <c r="Y592" s="1462"/>
      <c r="Z592" s="1462"/>
      <c r="AA592" s="1462"/>
    </row>
    <row r="593">
      <c r="A593" s="1493"/>
      <c r="B593" s="1494"/>
      <c r="C593" s="1493"/>
      <c r="D593" s="1493"/>
      <c r="E593" s="1495"/>
      <c r="F593" s="1462"/>
      <c r="G593" s="1462"/>
      <c r="H593" s="1462"/>
      <c r="I593" s="1462"/>
      <c r="J593" s="1462"/>
      <c r="K593" s="1462"/>
      <c r="L593" s="1462"/>
      <c r="M593" s="1462"/>
      <c r="N593" s="1462"/>
      <c r="O593" s="1462"/>
      <c r="P593" s="1462"/>
      <c r="Q593" s="1462"/>
      <c r="R593" s="1462"/>
      <c r="S593" s="1462"/>
      <c r="T593" s="1462"/>
      <c r="U593" s="1462"/>
      <c r="V593" s="1462"/>
      <c r="W593" s="1462"/>
      <c r="X593" s="1462"/>
      <c r="Y593" s="1462"/>
      <c r="Z593" s="1462"/>
      <c r="AA593" s="1462"/>
    </row>
    <row r="594">
      <c r="A594" s="1493"/>
      <c r="B594" s="1494"/>
      <c r="C594" s="1493"/>
      <c r="D594" s="1493"/>
      <c r="E594" s="1495"/>
      <c r="F594" s="1462"/>
      <c r="G594" s="1462"/>
      <c r="H594" s="1462"/>
      <c r="I594" s="1462"/>
      <c r="J594" s="1462"/>
      <c r="K594" s="1462"/>
      <c r="L594" s="1462"/>
      <c r="M594" s="1462"/>
      <c r="N594" s="1462"/>
      <c r="O594" s="1462"/>
      <c r="P594" s="1462"/>
      <c r="Q594" s="1462"/>
      <c r="R594" s="1462"/>
      <c r="S594" s="1462"/>
      <c r="T594" s="1462"/>
      <c r="U594" s="1462"/>
      <c r="V594" s="1462"/>
      <c r="W594" s="1462"/>
      <c r="X594" s="1462"/>
      <c r="Y594" s="1462"/>
      <c r="Z594" s="1462"/>
      <c r="AA594" s="1462"/>
    </row>
    <row r="595">
      <c r="A595" s="1493"/>
      <c r="B595" s="1494"/>
      <c r="C595" s="1493"/>
      <c r="D595" s="1493"/>
      <c r="E595" s="1495"/>
      <c r="F595" s="1462"/>
      <c r="G595" s="1462"/>
      <c r="H595" s="1462"/>
      <c r="I595" s="1462"/>
      <c r="J595" s="1462"/>
      <c r="K595" s="1462"/>
      <c r="L595" s="1462"/>
      <c r="M595" s="1462"/>
      <c r="N595" s="1462"/>
      <c r="O595" s="1462"/>
      <c r="P595" s="1462"/>
      <c r="Q595" s="1462"/>
      <c r="R595" s="1462"/>
      <c r="S595" s="1462"/>
      <c r="T595" s="1462"/>
      <c r="U595" s="1462"/>
      <c r="V595" s="1462"/>
      <c r="W595" s="1462"/>
      <c r="X595" s="1462"/>
      <c r="Y595" s="1462"/>
      <c r="Z595" s="1462"/>
      <c r="AA595" s="1462"/>
    </row>
    <row r="596">
      <c r="A596" s="1493"/>
      <c r="B596" s="1494"/>
      <c r="C596" s="1493"/>
      <c r="D596" s="1493"/>
      <c r="E596" s="1495"/>
      <c r="F596" s="1462"/>
      <c r="G596" s="1462"/>
      <c r="H596" s="1462"/>
      <c r="I596" s="1462"/>
      <c r="J596" s="1462"/>
      <c r="K596" s="1462"/>
      <c r="L596" s="1462"/>
      <c r="M596" s="1462"/>
      <c r="N596" s="1462"/>
      <c r="O596" s="1462"/>
      <c r="P596" s="1462"/>
      <c r="Q596" s="1462"/>
      <c r="R596" s="1462"/>
      <c r="S596" s="1462"/>
      <c r="T596" s="1462"/>
      <c r="U596" s="1462"/>
      <c r="V596" s="1462"/>
      <c r="W596" s="1462"/>
      <c r="X596" s="1462"/>
      <c r="Y596" s="1462"/>
      <c r="Z596" s="1462"/>
      <c r="AA596" s="1462"/>
    </row>
    <row r="597">
      <c r="A597" s="1493"/>
      <c r="B597" s="1494"/>
      <c r="C597" s="1493"/>
      <c r="D597" s="1493"/>
      <c r="E597" s="1495"/>
      <c r="F597" s="1462"/>
      <c r="G597" s="1462"/>
      <c r="H597" s="1462"/>
      <c r="I597" s="1462"/>
      <c r="J597" s="1462"/>
      <c r="K597" s="1462"/>
      <c r="L597" s="1462"/>
      <c r="M597" s="1462"/>
      <c r="N597" s="1462"/>
      <c r="O597" s="1462"/>
      <c r="P597" s="1462"/>
      <c r="Q597" s="1462"/>
      <c r="R597" s="1462"/>
      <c r="S597" s="1462"/>
      <c r="T597" s="1462"/>
      <c r="U597" s="1462"/>
      <c r="V597" s="1462"/>
      <c r="W597" s="1462"/>
      <c r="X597" s="1462"/>
      <c r="Y597" s="1462"/>
      <c r="Z597" s="1462"/>
      <c r="AA597" s="1462"/>
    </row>
    <row r="598">
      <c r="A598" s="1493"/>
      <c r="B598" s="1494"/>
      <c r="C598" s="1493"/>
      <c r="D598" s="1493"/>
      <c r="E598" s="1495"/>
      <c r="F598" s="1462"/>
      <c r="G598" s="1462"/>
      <c r="H598" s="1462"/>
      <c r="I598" s="1462"/>
      <c r="J598" s="1462"/>
      <c r="K598" s="1462"/>
      <c r="L598" s="1462"/>
      <c r="M598" s="1462"/>
      <c r="N598" s="1462"/>
      <c r="O598" s="1462"/>
      <c r="P598" s="1462"/>
      <c r="Q598" s="1462"/>
      <c r="R598" s="1462"/>
      <c r="S598" s="1462"/>
      <c r="T598" s="1462"/>
      <c r="U598" s="1462"/>
      <c r="V598" s="1462"/>
      <c r="W598" s="1462"/>
      <c r="X598" s="1462"/>
      <c r="Y598" s="1462"/>
      <c r="Z598" s="1462"/>
      <c r="AA598" s="1462"/>
    </row>
    <row r="599">
      <c r="A599" s="1493"/>
      <c r="B599" s="1494"/>
      <c r="C599" s="1493"/>
      <c r="D599" s="1493"/>
      <c r="E599" s="1495"/>
      <c r="F599" s="1462"/>
      <c r="G599" s="1462"/>
      <c r="H599" s="1462"/>
      <c r="I599" s="1462"/>
      <c r="J599" s="1462"/>
      <c r="K599" s="1462"/>
      <c r="L599" s="1462"/>
      <c r="M599" s="1462"/>
      <c r="N599" s="1462"/>
      <c r="O599" s="1462"/>
      <c r="P599" s="1462"/>
      <c r="Q599" s="1462"/>
      <c r="R599" s="1462"/>
      <c r="S599" s="1462"/>
      <c r="T599" s="1462"/>
      <c r="U599" s="1462"/>
      <c r="V599" s="1462"/>
      <c r="W599" s="1462"/>
      <c r="X599" s="1462"/>
      <c r="Y599" s="1462"/>
      <c r="Z599" s="1462"/>
      <c r="AA599" s="1462"/>
    </row>
    <row r="600">
      <c r="A600" s="1493"/>
      <c r="B600" s="1494"/>
      <c r="C600" s="1493"/>
      <c r="D600" s="1493"/>
      <c r="E600" s="1495"/>
      <c r="F600" s="1462"/>
      <c r="G600" s="1462"/>
      <c r="H600" s="1462"/>
      <c r="I600" s="1462"/>
      <c r="J600" s="1462"/>
      <c r="K600" s="1462"/>
      <c r="L600" s="1462"/>
      <c r="M600" s="1462"/>
      <c r="N600" s="1462"/>
      <c r="O600" s="1462"/>
      <c r="P600" s="1462"/>
      <c r="Q600" s="1462"/>
      <c r="R600" s="1462"/>
      <c r="S600" s="1462"/>
      <c r="T600" s="1462"/>
      <c r="U600" s="1462"/>
      <c r="V600" s="1462"/>
      <c r="W600" s="1462"/>
      <c r="X600" s="1462"/>
      <c r="Y600" s="1462"/>
      <c r="Z600" s="1462"/>
      <c r="AA600" s="1462"/>
    </row>
    <row r="601">
      <c r="A601" s="1493"/>
      <c r="B601" s="1494"/>
      <c r="C601" s="1493"/>
      <c r="D601" s="1493"/>
      <c r="E601" s="1495"/>
      <c r="F601" s="1462"/>
      <c r="G601" s="1462"/>
      <c r="H601" s="1462"/>
      <c r="I601" s="1462"/>
      <c r="J601" s="1462"/>
      <c r="K601" s="1462"/>
      <c r="L601" s="1462"/>
      <c r="M601" s="1462"/>
      <c r="N601" s="1462"/>
      <c r="O601" s="1462"/>
      <c r="P601" s="1462"/>
      <c r="Q601" s="1462"/>
      <c r="R601" s="1462"/>
      <c r="S601" s="1462"/>
      <c r="T601" s="1462"/>
      <c r="U601" s="1462"/>
      <c r="V601" s="1462"/>
      <c r="W601" s="1462"/>
      <c r="X601" s="1462"/>
      <c r="Y601" s="1462"/>
      <c r="Z601" s="1462"/>
      <c r="AA601" s="1462"/>
    </row>
    <row r="602">
      <c r="A602" s="1493"/>
      <c r="B602" s="1494"/>
      <c r="C602" s="1493"/>
      <c r="D602" s="1493"/>
      <c r="E602" s="1495"/>
      <c r="F602" s="1462"/>
      <c r="G602" s="1462"/>
      <c r="H602" s="1462"/>
      <c r="I602" s="1462"/>
      <c r="J602" s="1462"/>
      <c r="K602" s="1462"/>
      <c r="L602" s="1462"/>
      <c r="M602" s="1462"/>
      <c r="N602" s="1462"/>
      <c r="O602" s="1462"/>
      <c r="P602" s="1462"/>
      <c r="Q602" s="1462"/>
      <c r="R602" s="1462"/>
      <c r="S602" s="1462"/>
      <c r="T602" s="1462"/>
      <c r="U602" s="1462"/>
      <c r="V602" s="1462"/>
      <c r="W602" s="1462"/>
      <c r="X602" s="1462"/>
      <c r="Y602" s="1462"/>
      <c r="Z602" s="1462"/>
      <c r="AA602" s="1462"/>
    </row>
    <row r="603">
      <c r="A603" s="1493"/>
      <c r="B603" s="1494"/>
      <c r="C603" s="1493"/>
      <c r="D603" s="1493"/>
      <c r="E603" s="1495"/>
      <c r="F603" s="1462"/>
      <c r="G603" s="1462"/>
      <c r="H603" s="1462"/>
      <c r="I603" s="1462"/>
      <c r="J603" s="1462"/>
      <c r="K603" s="1462"/>
      <c r="L603" s="1462"/>
      <c r="M603" s="1462"/>
      <c r="N603" s="1462"/>
      <c r="O603" s="1462"/>
      <c r="P603" s="1462"/>
      <c r="Q603" s="1462"/>
      <c r="R603" s="1462"/>
      <c r="S603" s="1462"/>
      <c r="T603" s="1462"/>
      <c r="U603" s="1462"/>
      <c r="V603" s="1462"/>
      <c r="W603" s="1462"/>
      <c r="X603" s="1462"/>
      <c r="Y603" s="1462"/>
      <c r="Z603" s="1462"/>
      <c r="AA603" s="1462"/>
    </row>
    <row r="604">
      <c r="A604" s="1493"/>
      <c r="B604" s="1494"/>
      <c r="C604" s="1493"/>
      <c r="D604" s="1493"/>
      <c r="E604" s="1495"/>
      <c r="F604" s="1462"/>
      <c r="G604" s="1462"/>
      <c r="H604" s="1462"/>
      <c r="I604" s="1462"/>
      <c r="J604" s="1462"/>
      <c r="K604" s="1462"/>
      <c r="L604" s="1462"/>
      <c r="M604" s="1462"/>
      <c r="N604" s="1462"/>
      <c r="O604" s="1462"/>
      <c r="P604" s="1462"/>
      <c r="Q604" s="1462"/>
      <c r="R604" s="1462"/>
      <c r="S604" s="1462"/>
      <c r="T604" s="1462"/>
      <c r="U604" s="1462"/>
      <c r="V604" s="1462"/>
      <c r="W604" s="1462"/>
      <c r="X604" s="1462"/>
      <c r="Y604" s="1462"/>
      <c r="Z604" s="1462"/>
      <c r="AA604" s="1462"/>
    </row>
    <row r="605">
      <c r="A605" s="1493"/>
      <c r="B605" s="1494"/>
      <c r="C605" s="1493"/>
      <c r="D605" s="1493"/>
      <c r="E605" s="1495"/>
      <c r="F605" s="1462"/>
      <c r="G605" s="1462"/>
      <c r="H605" s="1462"/>
      <c r="I605" s="1462"/>
      <c r="J605" s="1462"/>
      <c r="K605" s="1462"/>
      <c r="L605" s="1462"/>
      <c r="M605" s="1462"/>
      <c r="N605" s="1462"/>
      <c r="O605" s="1462"/>
      <c r="P605" s="1462"/>
      <c r="Q605" s="1462"/>
      <c r="R605" s="1462"/>
      <c r="S605" s="1462"/>
      <c r="T605" s="1462"/>
      <c r="U605" s="1462"/>
      <c r="V605" s="1462"/>
      <c r="W605" s="1462"/>
      <c r="X605" s="1462"/>
      <c r="Y605" s="1462"/>
      <c r="Z605" s="1462"/>
      <c r="AA605" s="1462"/>
    </row>
    <row r="606">
      <c r="A606" s="1493"/>
      <c r="B606" s="1494"/>
      <c r="C606" s="1493"/>
      <c r="D606" s="1493"/>
      <c r="E606" s="1495"/>
      <c r="F606" s="1462"/>
      <c r="G606" s="1462"/>
      <c r="H606" s="1462"/>
      <c r="I606" s="1462"/>
      <c r="J606" s="1462"/>
      <c r="K606" s="1462"/>
      <c r="L606" s="1462"/>
      <c r="M606" s="1462"/>
      <c r="N606" s="1462"/>
      <c r="O606" s="1462"/>
      <c r="P606" s="1462"/>
      <c r="Q606" s="1462"/>
      <c r="R606" s="1462"/>
      <c r="S606" s="1462"/>
      <c r="T606" s="1462"/>
      <c r="U606" s="1462"/>
      <c r="V606" s="1462"/>
      <c r="W606" s="1462"/>
      <c r="X606" s="1462"/>
      <c r="Y606" s="1462"/>
      <c r="Z606" s="1462"/>
      <c r="AA606" s="1462"/>
    </row>
    <row r="607">
      <c r="A607" s="1493"/>
      <c r="B607" s="1494"/>
      <c r="C607" s="1493"/>
      <c r="D607" s="1493"/>
      <c r="E607" s="1495"/>
      <c r="F607" s="1462"/>
      <c r="G607" s="1462"/>
      <c r="H607" s="1462"/>
      <c r="I607" s="1462"/>
      <c r="J607" s="1462"/>
      <c r="K607" s="1462"/>
      <c r="L607" s="1462"/>
      <c r="M607" s="1462"/>
      <c r="N607" s="1462"/>
      <c r="O607" s="1462"/>
      <c r="P607" s="1462"/>
      <c r="Q607" s="1462"/>
      <c r="R607" s="1462"/>
      <c r="S607" s="1462"/>
      <c r="T607" s="1462"/>
      <c r="U607" s="1462"/>
      <c r="V607" s="1462"/>
      <c r="W607" s="1462"/>
      <c r="X607" s="1462"/>
      <c r="Y607" s="1462"/>
      <c r="Z607" s="1462"/>
      <c r="AA607" s="1462"/>
    </row>
    <row r="608">
      <c r="A608" s="1493"/>
      <c r="B608" s="1494"/>
      <c r="C608" s="1493"/>
      <c r="D608" s="1493"/>
      <c r="E608" s="1495"/>
      <c r="F608" s="1462"/>
      <c r="G608" s="1462"/>
      <c r="H608" s="1462"/>
      <c r="I608" s="1462"/>
      <c r="J608" s="1462"/>
      <c r="K608" s="1462"/>
      <c r="L608" s="1462"/>
      <c r="M608" s="1462"/>
      <c r="N608" s="1462"/>
      <c r="O608" s="1462"/>
      <c r="P608" s="1462"/>
      <c r="Q608" s="1462"/>
      <c r="R608" s="1462"/>
      <c r="S608" s="1462"/>
      <c r="T608" s="1462"/>
      <c r="U608" s="1462"/>
      <c r="V608" s="1462"/>
      <c r="W608" s="1462"/>
      <c r="X608" s="1462"/>
      <c r="Y608" s="1462"/>
      <c r="Z608" s="1462"/>
      <c r="AA608" s="1462"/>
    </row>
    <row r="609">
      <c r="A609" s="1493"/>
      <c r="B609" s="1494"/>
      <c r="C609" s="1493"/>
      <c r="D609" s="1493"/>
      <c r="E609" s="1495"/>
      <c r="F609" s="1462"/>
      <c r="G609" s="1462"/>
      <c r="H609" s="1462"/>
      <c r="I609" s="1462"/>
      <c r="J609" s="1462"/>
      <c r="K609" s="1462"/>
      <c r="L609" s="1462"/>
      <c r="M609" s="1462"/>
      <c r="N609" s="1462"/>
      <c r="O609" s="1462"/>
      <c r="P609" s="1462"/>
      <c r="Q609" s="1462"/>
      <c r="R609" s="1462"/>
      <c r="S609" s="1462"/>
      <c r="T609" s="1462"/>
      <c r="U609" s="1462"/>
      <c r="V609" s="1462"/>
      <c r="W609" s="1462"/>
      <c r="X609" s="1462"/>
      <c r="Y609" s="1462"/>
      <c r="Z609" s="1462"/>
      <c r="AA609" s="1462"/>
    </row>
    <row r="610">
      <c r="A610" s="1493"/>
      <c r="B610" s="1494"/>
      <c r="C610" s="1493"/>
      <c r="D610" s="1493"/>
      <c r="E610" s="1495"/>
      <c r="F610" s="1462"/>
      <c r="G610" s="1462"/>
      <c r="H610" s="1462"/>
      <c r="I610" s="1462"/>
      <c r="J610" s="1462"/>
      <c r="K610" s="1462"/>
      <c r="L610" s="1462"/>
      <c r="M610" s="1462"/>
      <c r="N610" s="1462"/>
      <c r="O610" s="1462"/>
      <c r="P610" s="1462"/>
      <c r="Q610" s="1462"/>
      <c r="R610" s="1462"/>
      <c r="S610" s="1462"/>
      <c r="T610" s="1462"/>
      <c r="U610" s="1462"/>
      <c r="V610" s="1462"/>
      <c r="W610" s="1462"/>
      <c r="X610" s="1462"/>
      <c r="Y610" s="1462"/>
      <c r="Z610" s="1462"/>
      <c r="AA610" s="1462"/>
    </row>
    <row r="611">
      <c r="A611" s="1493"/>
      <c r="B611" s="1494"/>
      <c r="C611" s="1493"/>
      <c r="D611" s="1493"/>
      <c r="E611" s="1495"/>
      <c r="F611" s="1462"/>
      <c r="G611" s="1462"/>
      <c r="H611" s="1462"/>
      <c r="I611" s="1462"/>
      <c r="J611" s="1462"/>
      <c r="K611" s="1462"/>
      <c r="L611" s="1462"/>
      <c r="M611" s="1462"/>
      <c r="N611" s="1462"/>
      <c r="O611" s="1462"/>
      <c r="P611" s="1462"/>
      <c r="Q611" s="1462"/>
      <c r="R611" s="1462"/>
      <c r="S611" s="1462"/>
      <c r="T611" s="1462"/>
      <c r="U611" s="1462"/>
      <c r="V611" s="1462"/>
      <c r="W611" s="1462"/>
      <c r="X611" s="1462"/>
      <c r="Y611" s="1462"/>
      <c r="Z611" s="1462"/>
      <c r="AA611" s="1462"/>
    </row>
    <row r="612">
      <c r="A612" s="1493"/>
      <c r="B612" s="1494"/>
      <c r="C612" s="1493"/>
      <c r="D612" s="1493"/>
      <c r="E612" s="1495"/>
      <c r="F612" s="1462"/>
      <c r="G612" s="1462"/>
      <c r="H612" s="1462"/>
      <c r="I612" s="1462"/>
      <c r="J612" s="1462"/>
      <c r="K612" s="1462"/>
      <c r="L612" s="1462"/>
      <c r="M612" s="1462"/>
      <c r="N612" s="1462"/>
      <c r="O612" s="1462"/>
      <c r="P612" s="1462"/>
      <c r="Q612" s="1462"/>
      <c r="R612" s="1462"/>
      <c r="S612" s="1462"/>
      <c r="T612" s="1462"/>
      <c r="U612" s="1462"/>
      <c r="V612" s="1462"/>
      <c r="W612" s="1462"/>
      <c r="X612" s="1462"/>
      <c r="Y612" s="1462"/>
      <c r="Z612" s="1462"/>
      <c r="AA612" s="1462"/>
    </row>
    <row r="613">
      <c r="A613" s="1493"/>
      <c r="B613" s="1494"/>
      <c r="C613" s="1493"/>
      <c r="D613" s="1493"/>
      <c r="E613" s="1495"/>
      <c r="F613" s="1462"/>
      <c r="G613" s="1462"/>
      <c r="H613" s="1462"/>
      <c r="I613" s="1462"/>
      <c r="J613" s="1462"/>
      <c r="K613" s="1462"/>
      <c r="L613" s="1462"/>
      <c r="M613" s="1462"/>
      <c r="N613" s="1462"/>
      <c r="O613" s="1462"/>
      <c r="P613" s="1462"/>
      <c r="Q613" s="1462"/>
      <c r="R613" s="1462"/>
      <c r="S613" s="1462"/>
      <c r="T613" s="1462"/>
      <c r="U613" s="1462"/>
      <c r="V613" s="1462"/>
      <c r="W613" s="1462"/>
      <c r="X613" s="1462"/>
      <c r="Y613" s="1462"/>
      <c r="Z613" s="1462"/>
      <c r="AA613" s="1462"/>
    </row>
    <row r="614">
      <c r="A614" s="1493"/>
      <c r="B614" s="1494"/>
      <c r="C614" s="1493"/>
      <c r="D614" s="1493"/>
      <c r="E614" s="1495"/>
      <c r="F614" s="1462"/>
      <c r="G614" s="1462"/>
      <c r="H614" s="1462"/>
      <c r="I614" s="1462"/>
      <c r="J614" s="1462"/>
      <c r="K614" s="1462"/>
      <c r="L614" s="1462"/>
      <c r="M614" s="1462"/>
      <c r="N614" s="1462"/>
      <c r="O614" s="1462"/>
      <c r="P614" s="1462"/>
      <c r="Q614" s="1462"/>
      <c r="R614" s="1462"/>
      <c r="S614" s="1462"/>
      <c r="T614" s="1462"/>
      <c r="U614" s="1462"/>
      <c r="V614" s="1462"/>
      <c r="W614" s="1462"/>
      <c r="X614" s="1462"/>
      <c r="Y614" s="1462"/>
      <c r="Z614" s="1462"/>
      <c r="AA614" s="1462"/>
    </row>
    <row r="615">
      <c r="A615" s="1493"/>
      <c r="B615" s="1494"/>
      <c r="C615" s="1493"/>
      <c r="D615" s="1493"/>
      <c r="E615" s="1495"/>
      <c r="F615" s="1462"/>
      <c r="G615" s="1462"/>
      <c r="H615" s="1462"/>
      <c r="I615" s="1462"/>
      <c r="J615" s="1462"/>
      <c r="K615" s="1462"/>
      <c r="L615" s="1462"/>
      <c r="M615" s="1462"/>
      <c r="N615" s="1462"/>
      <c r="O615" s="1462"/>
      <c r="P615" s="1462"/>
      <c r="Q615" s="1462"/>
      <c r="R615" s="1462"/>
      <c r="S615" s="1462"/>
      <c r="T615" s="1462"/>
      <c r="U615" s="1462"/>
      <c r="V615" s="1462"/>
      <c r="W615" s="1462"/>
      <c r="X615" s="1462"/>
      <c r="Y615" s="1462"/>
      <c r="Z615" s="1462"/>
      <c r="AA615" s="1462"/>
    </row>
    <row r="616">
      <c r="A616" s="1493"/>
      <c r="B616" s="1494"/>
      <c r="C616" s="1493"/>
      <c r="D616" s="1493"/>
      <c r="E616" s="1495"/>
      <c r="F616" s="1462"/>
      <c r="G616" s="1462"/>
      <c r="H616" s="1462"/>
      <c r="I616" s="1462"/>
      <c r="J616" s="1462"/>
      <c r="K616" s="1462"/>
      <c r="L616" s="1462"/>
      <c r="M616" s="1462"/>
      <c r="N616" s="1462"/>
      <c r="O616" s="1462"/>
      <c r="P616" s="1462"/>
      <c r="Q616" s="1462"/>
      <c r="R616" s="1462"/>
      <c r="S616" s="1462"/>
      <c r="T616" s="1462"/>
      <c r="U616" s="1462"/>
      <c r="V616" s="1462"/>
      <c r="W616" s="1462"/>
      <c r="X616" s="1462"/>
      <c r="Y616" s="1462"/>
      <c r="Z616" s="1462"/>
      <c r="AA616" s="1462"/>
    </row>
    <row r="617">
      <c r="A617" s="1493"/>
      <c r="B617" s="1494"/>
      <c r="C617" s="1493"/>
      <c r="D617" s="1493"/>
      <c r="E617" s="1495"/>
      <c r="F617" s="1462"/>
      <c r="G617" s="1462"/>
      <c r="H617" s="1462"/>
      <c r="I617" s="1462"/>
      <c r="J617" s="1462"/>
      <c r="K617" s="1462"/>
      <c r="L617" s="1462"/>
      <c r="M617" s="1462"/>
      <c r="N617" s="1462"/>
      <c r="O617" s="1462"/>
      <c r="P617" s="1462"/>
      <c r="Q617" s="1462"/>
      <c r="R617" s="1462"/>
      <c r="S617" s="1462"/>
      <c r="T617" s="1462"/>
      <c r="U617" s="1462"/>
      <c r="V617" s="1462"/>
      <c r="W617" s="1462"/>
      <c r="X617" s="1462"/>
      <c r="Y617" s="1462"/>
      <c r="Z617" s="1462"/>
      <c r="AA617" s="1462"/>
    </row>
    <row r="618">
      <c r="A618" s="1493"/>
      <c r="B618" s="1494"/>
      <c r="C618" s="1493"/>
      <c r="D618" s="1493"/>
      <c r="E618" s="1495"/>
      <c r="F618" s="1462"/>
      <c r="G618" s="1462"/>
      <c r="H618" s="1462"/>
      <c r="I618" s="1462"/>
      <c r="J618" s="1462"/>
      <c r="K618" s="1462"/>
      <c r="L618" s="1462"/>
      <c r="M618" s="1462"/>
      <c r="N618" s="1462"/>
      <c r="O618" s="1462"/>
      <c r="P618" s="1462"/>
      <c r="Q618" s="1462"/>
      <c r="R618" s="1462"/>
      <c r="S618" s="1462"/>
      <c r="T618" s="1462"/>
      <c r="U618" s="1462"/>
      <c r="V618" s="1462"/>
      <c r="W618" s="1462"/>
      <c r="X618" s="1462"/>
      <c r="Y618" s="1462"/>
      <c r="Z618" s="1462"/>
      <c r="AA618" s="1462"/>
    </row>
    <row r="619">
      <c r="A619" s="1493"/>
      <c r="B619" s="1494"/>
      <c r="C619" s="1493"/>
      <c r="D619" s="1493"/>
      <c r="E619" s="1495"/>
      <c r="F619" s="1462"/>
      <c r="G619" s="1462"/>
      <c r="H619" s="1462"/>
      <c r="I619" s="1462"/>
      <c r="J619" s="1462"/>
      <c r="K619" s="1462"/>
      <c r="L619" s="1462"/>
      <c r="M619" s="1462"/>
      <c r="N619" s="1462"/>
      <c r="O619" s="1462"/>
      <c r="P619" s="1462"/>
      <c r="Q619" s="1462"/>
      <c r="R619" s="1462"/>
      <c r="S619" s="1462"/>
      <c r="T619" s="1462"/>
      <c r="U619" s="1462"/>
      <c r="V619" s="1462"/>
      <c r="W619" s="1462"/>
      <c r="X619" s="1462"/>
      <c r="Y619" s="1462"/>
      <c r="Z619" s="1462"/>
      <c r="AA619" s="1462"/>
    </row>
    <row r="620">
      <c r="A620" s="1493"/>
      <c r="B620" s="1494"/>
      <c r="C620" s="1493"/>
      <c r="D620" s="1493"/>
      <c r="E620" s="1495"/>
      <c r="F620" s="1462"/>
      <c r="G620" s="1462"/>
      <c r="H620" s="1462"/>
      <c r="I620" s="1462"/>
      <c r="J620" s="1462"/>
      <c r="K620" s="1462"/>
      <c r="L620" s="1462"/>
      <c r="M620" s="1462"/>
      <c r="N620" s="1462"/>
      <c r="O620" s="1462"/>
      <c r="P620" s="1462"/>
      <c r="Q620" s="1462"/>
      <c r="R620" s="1462"/>
      <c r="S620" s="1462"/>
      <c r="T620" s="1462"/>
      <c r="U620" s="1462"/>
      <c r="V620" s="1462"/>
      <c r="W620" s="1462"/>
      <c r="X620" s="1462"/>
      <c r="Y620" s="1462"/>
      <c r="Z620" s="1462"/>
      <c r="AA620" s="1462"/>
    </row>
    <row r="621">
      <c r="A621" s="1493"/>
      <c r="B621" s="1494"/>
      <c r="C621" s="1493"/>
      <c r="D621" s="1493"/>
      <c r="E621" s="1495"/>
      <c r="F621" s="1462"/>
      <c r="G621" s="1462"/>
      <c r="H621" s="1462"/>
      <c r="I621" s="1462"/>
      <c r="J621" s="1462"/>
      <c r="K621" s="1462"/>
      <c r="L621" s="1462"/>
      <c r="M621" s="1462"/>
      <c r="N621" s="1462"/>
      <c r="O621" s="1462"/>
      <c r="P621" s="1462"/>
      <c r="Q621" s="1462"/>
      <c r="R621" s="1462"/>
      <c r="S621" s="1462"/>
      <c r="T621" s="1462"/>
      <c r="U621" s="1462"/>
      <c r="V621" s="1462"/>
      <c r="W621" s="1462"/>
      <c r="X621" s="1462"/>
      <c r="Y621" s="1462"/>
      <c r="Z621" s="1462"/>
      <c r="AA621" s="1462"/>
    </row>
    <row r="622">
      <c r="A622" s="1493"/>
      <c r="B622" s="1494"/>
      <c r="C622" s="1493"/>
      <c r="D622" s="1493"/>
      <c r="E622" s="1495"/>
      <c r="F622" s="1462"/>
      <c r="G622" s="1462"/>
      <c r="H622" s="1462"/>
      <c r="I622" s="1462"/>
      <c r="J622" s="1462"/>
      <c r="K622" s="1462"/>
      <c r="L622" s="1462"/>
      <c r="M622" s="1462"/>
      <c r="N622" s="1462"/>
      <c r="O622" s="1462"/>
      <c r="P622" s="1462"/>
      <c r="Q622" s="1462"/>
      <c r="R622" s="1462"/>
      <c r="S622" s="1462"/>
      <c r="T622" s="1462"/>
      <c r="U622" s="1462"/>
      <c r="V622" s="1462"/>
      <c r="W622" s="1462"/>
      <c r="X622" s="1462"/>
      <c r="Y622" s="1462"/>
      <c r="Z622" s="1462"/>
      <c r="AA622" s="1462"/>
    </row>
    <row r="623">
      <c r="A623" s="1493"/>
      <c r="B623" s="1494"/>
      <c r="C623" s="1493"/>
      <c r="D623" s="1493"/>
      <c r="E623" s="1495"/>
      <c r="F623" s="1462"/>
      <c r="G623" s="1462"/>
      <c r="H623" s="1462"/>
      <c r="I623" s="1462"/>
      <c r="J623" s="1462"/>
      <c r="K623" s="1462"/>
      <c r="L623" s="1462"/>
      <c r="M623" s="1462"/>
      <c r="N623" s="1462"/>
      <c r="O623" s="1462"/>
      <c r="P623" s="1462"/>
      <c r="Q623" s="1462"/>
      <c r="R623" s="1462"/>
      <c r="S623" s="1462"/>
      <c r="T623" s="1462"/>
      <c r="U623" s="1462"/>
      <c r="V623" s="1462"/>
      <c r="W623" s="1462"/>
      <c r="X623" s="1462"/>
      <c r="Y623" s="1462"/>
      <c r="Z623" s="1462"/>
      <c r="AA623" s="1462"/>
    </row>
    <row r="624">
      <c r="A624" s="1493"/>
      <c r="B624" s="1494"/>
      <c r="C624" s="1493"/>
      <c r="D624" s="1493"/>
      <c r="E624" s="1495"/>
      <c r="F624" s="1462"/>
      <c r="G624" s="1462"/>
      <c r="H624" s="1462"/>
      <c r="I624" s="1462"/>
      <c r="J624" s="1462"/>
      <c r="K624" s="1462"/>
      <c r="L624" s="1462"/>
      <c r="M624" s="1462"/>
      <c r="N624" s="1462"/>
      <c r="O624" s="1462"/>
      <c r="P624" s="1462"/>
      <c r="Q624" s="1462"/>
      <c r="R624" s="1462"/>
      <c r="S624" s="1462"/>
      <c r="T624" s="1462"/>
      <c r="U624" s="1462"/>
      <c r="V624" s="1462"/>
      <c r="W624" s="1462"/>
      <c r="X624" s="1462"/>
      <c r="Y624" s="1462"/>
      <c r="Z624" s="1462"/>
      <c r="AA624" s="1462"/>
    </row>
    <row r="625">
      <c r="A625" s="1493"/>
      <c r="B625" s="1494"/>
      <c r="C625" s="1493"/>
      <c r="D625" s="1493"/>
      <c r="E625" s="1495"/>
      <c r="F625" s="1462"/>
      <c r="G625" s="1462"/>
      <c r="H625" s="1462"/>
      <c r="I625" s="1462"/>
      <c r="J625" s="1462"/>
      <c r="K625" s="1462"/>
      <c r="L625" s="1462"/>
      <c r="M625" s="1462"/>
      <c r="N625" s="1462"/>
      <c r="O625" s="1462"/>
      <c r="P625" s="1462"/>
      <c r="Q625" s="1462"/>
      <c r="R625" s="1462"/>
      <c r="S625" s="1462"/>
      <c r="T625" s="1462"/>
      <c r="U625" s="1462"/>
      <c r="V625" s="1462"/>
      <c r="W625" s="1462"/>
      <c r="X625" s="1462"/>
      <c r="Y625" s="1462"/>
      <c r="Z625" s="1462"/>
      <c r="AA625" s="1462"/>
    </row>
    <row r="626">
      <c r="A626" s="1493"/>
      <c r="B626" s="1494"/>
      <c r="C626" s="1493"/>
      <c r="D626" s="1493"/>
      <c r="E626" s="1495"/>
      <c r="F626" s="1462"/>
      <c r="G626" s="1462"/>
      <c r="H626" s="1462"/>
      <c r="I626" s="1462"/>
      <c r="J626" s="1462"/>
      <c r="K626" s="1462"/>
      <c r="L626" s="1462"/>
      <c r="M626" s="1462"/>
      <c r="N626" s="1462"/>
      <c r="O626" s="1462"/>
      <c r="P626" s="1462"/>
      <c r="Q626" s="1462"/>
      <c r="R626" s="1462"/>
      <c r="S626" s="1462"/>
      <c r="T626" s="1462"/>
      <c r="U626" s="1462"/>
      <c r="V626" s="1462"/>
      <c r="W626" s="1462"/>
      <c r="X626" s="1462"/>
      <c r="Y626" s="1462"/>
      <c r="Z626" s="1462"/>
      <c r="AA626" s="1462"/>
    </row>
    <row r="627">
      <c r="A627" s="1493"/>
      <c r="B627" s="1494"/>
      <c r="C627" s="1493"/>
      <c r="D627" s="1493"/>
      <c r="E627" s="1495"/>
      <c r="F627" s="1462"/>
      <c r="G627" s="1462"/>
      <c r="H627" s="1462"/>
      <c r="I627" s="1462"/>
      <c r="J627" s="1462"/>
      <c r="K627" s="1462"/>
      <c r="L627" s="1462"/>
      <c r="M627" s="1462"/>
      <c r="N627" s="1462"/>
      <c r="O627" s="1462"/>
      <c r="P627" s="1462"/>
      <c r="Q627" s="1462"/>
      <c r="R627" s="1462"/>
      <c r="S627" s="1462"/>
      <c r="T627" s="1462"/>
      <c r="U627" s="1462"/>
      <c r="V627" s="1462"/>
      <c r="W627" s="1462"/>
      <c r="X627" s="1462"/>
      <c r="Y627" s="1462"/>
      <c r="Z627" s="1462"/>
      <c r="AA627" s="1462"/>
    </row>
    <row r="628">
      <c r="A628" s="1493"/>
      <c r="B628" s="1494"/>
      <c r="C628" s="1493"/>
      <c r="D628" s="1493"/>
      <c r="E628" s="1495"/>
      <c r="F628" s="1462"/>
      <c r="G628" s="1462"/>
      <c r="H628" s="1462"/>
      <c r="I628" s="1462"/>
      <c r="J628" s="1462"/>
      <c r="K628" s="1462"/>
      <c r="L628" s="1462"/>
      <c r="M628" s="1462"/>
      <c r="N628" s="1462"/>
      <c r="O628" s="1462"/>
      <c r="P628" s="1462"/>
      <c r="Q628" s="1462"/>
      <c r="R628" s="1462"/>
      <c r="S628" s="1462"/>
      <c r="T628" s="1462"/>
      <c r="U628" s="1462"/>
      <c r="V628" s="1462"/>
      <c r="W628" s="1462"/>
      <c r="X628" s="1462"/>
      <c r="Y628" s="1462"/>
      <c r="Z628" s="1462"/>
      <c r="AA628" s="1462"/>
    </row>
    <row r="629">
      <c r="A629" s="1493"/>
      <c r="B629" s="1494"/>
      <c r="C629" s="1493"/>
      <c r="D629" s="1493"/>
      <c r="E629" s="1495"/>
      <c r="F629" s="1462"/>
      <c r="G629" s="1462"/>
      <c r="H629" s="1462"/>
      <c r="I629" s="1462"/>
      <c r="J629" s="1462"/>
      <c r="K629" s="1462"/>
      <c r="L629" s="1462"/>
      <c r="M629" s="1462"/>
      <c r="N629" s="1462"/>
      <c r="O629" s="1462"/>
      <c r="P629" s="1462"/>
      <c r="Q629" s="1462"/>
      <c r="R629" s="1462"/>
      <c r="S629" s="1462"/>
      <c r="T629" s="1462"/>
      <c r="U629" s="1462"/>
      <c r="V629" s="1462"/>
      <c r="W629" s="1462"/>
      <c r="X629" s="1462"/>
      <c r="Y629" s="1462"/>
      <c r="Z629" s="1462"/>
      <c r="AA629" s="1462"/>
    </row>
    <row r="630">
      <c r="A630" s="1493"/>
      <c r="B630" s="1494"/>
      <c r="C630" s="1493"/>
      <c r="D630" s="1493"/>
      <c r="E630" s="1495"/>
      <c r="F630" s="1462"/>
      <c r="G630" s="1462"/>
      <c r="H630" s="1462"/>
      <c r="I630" s="1462"/>
      <c r="J630" s="1462"/>
      <c r="K630" s="1462"/>
      <c r="L630" s="1462"/>
      <c r="M630" s="1462"/>
      <c r="N630" s="1462"/>
      <c r="O630" s="1462"/>
      <c r="P630" s="1462"/>
      <c r="Q630" s="1462"/>
      <c r="R630" s="1462"/>
      <c r="S630" s="1462"/>
      <c r="T630" s="1462"/>
      <c r="U630" s="1462"/>
      <c r="V630" s="1462"/>
      <c r="W630" s="1462"/>
      <c r="X630" s="1462"/>
      <c r="Y630" s="1462"/>
      <c r="Z630" s="1462"/>
      <c r="AA630" s="1462"/>
    </row>
    <row r="631">
      <c r="A631" s="1493"/>
      <c r="B631" s="1494"/>
      <c r="C631" s="1493"/>
      <c r="D631" s="1493"/>
      <c r="E631" s="1495"/>
      <c r="F631" s="1462"/>
      <c r="G631" s="1462"/>
      <c r="H631" s="1462"/>
      <c r="I631" s="1462"/>
      <c r="J631" s="1462"/>
      <c r="K631" s="1462"/>
      <c r="L631" s="1462"/>
      <c r="M631" s="1462"/>
      <c r="N631" s="1462"/>
      <c r="O631" s="1462"/>
      <c r="P631" s="1462"/>
      <c r="Q631" s="1462"/>
      <c r="R631" s="1462"/>
      <c r="S631" s="1462"/>
      <c r="T631" s="1462"/>
      <c r="U631" s="1462"/>
      <c r="V631" s="1462"/>
      <c r="W631" s="1462"/>
      <c r="X631" s="1462"/>
      <c r="Y631" s="1462"/>
      <c r="Z631" s="1462"/>
      <c r="AA631" s="1462"/>
    </row>
    <row r="632">
      <c r="A632" s="1493"/>
      <c r="B632" s="1494"/>
      <c r="C632" s="1493"/>
      <c r="D632" s="1493"/>
      <c r="E632" s="1495"/>
      <c r="F632" s="1462"/>
      <c r="G632" s="1462"/>
      <c r="H632" s="1462"/>
      <c r="I632" s="1462"/>
      <c r="J632" s="1462"/>
      <c r="K632" s="1462"/>
      <c r="L632" s="1462"/>
      <c r="M632" s="1462"/>
      <c r="N632" s="1462"/>
      <c r="O632" s="1462"/>
      <c r="P632" s="1462"/>
      <c r="Q632" s="1462"/>
      <c r="R632" s="1462"/>
      <c r="S632" s="1462"/>
      <c r="T632" s="1462"/>
      <c r="U632" s="1462"/>
      <c r="V632" s="1462"/>
      <c r="W632" s="1462"/>
      <c r="X632" s="1462"/>
      <c r="Y632" s="1462"/>
      <c r="Z632" s="1462"/>
      <c r="AA632" s="1462"/>
    </row>
    <row r="633">
      <c r="A633" s="1493"/>
      <c r="B633" s="1494"/>
      <c r="C633" s="1493"/>
      <c r="D633" s="1493"/>
      <c r="E633" s="1495"/>
      <c r="F633" s="1462"/>
      <c r="G633" s="1462"/>
      <c r="H633" s="1462"/>
      <c r="I633" s="1462"/>
      <c r="J633" s="1462"/>
      <c r="K633" s="1462"/>
      <c r="L633" s="1462"/>
      <c r="M633" s="1462"/>
      <c r="N633" s="1462"/>
      <c r="O633" s="1462"/>
      <c r="P633" s="1462"/>
      <c r="Q633" s="1462"/>
      <c r="R633" s="1462"/>
      <c r="S633" s="1462"/>
      <c r="T633" s="1462"/>
      <c r="U633" s="1462"/>
      <c r="V633" s="1462"/>
      <c r="W633" s="1462"/>
      <c r="X633" s="1462"/>
      <c r="Y633" s="1462"/>
      <c r="Z633" s="1462"/>
      <c r="AA633" s="1462"/>
    </row>
    <row r="634">
      <c r="A634" s="1493"/>
      <c r="B634" s="1494"/>
      <c r="C634" s="1493"/>
      <c r="D634" s="1493"/>
      <c r="E634" s="1495"/>
      <c r="F634" s="1462"/>
      <c r="G634" s="1462"/>
      <c r="H634" s="1462"/>
      <c r="I634" s="1462"/>
      <c r="J634" s="1462"/>
      <c r="K634" s="1462"/>
      <c r="L634" s="1462"/>
      <c r="M634" s="1462"/>
      <c r="N634" s="1462"/>
      <c r="O634" s="1462"/>
      <c r="P634" s="1462"/>
      <c r="Q634" s="1462"/>
      <c r="R634" s="1462"/>
      <c r="S634" s="1462"/>
      <c r="T634" s="1462"/>
      <c r="U634" s="1462"/>
      <c r="V634" s="1462"/>
      <c r="W634" s="1462"/>
      <c r="X634" s="1462"/>
      <c r="Y634" s="1462"/>
      <c r="Z634" s="1462"/>
      <c r="AA634" s="1462"/>
    </row>
    <row r="635">
      <c r="A635" s="1493"/>
      <c r="B635" s="1494"/>
      <c r="C635" s="1493"/>
      <c r="D635" s="1493"/>
      <c r="E635" s="1495"/>
      <c r="F635" s="1462"/>
      <c r="G635" s="1462"/>
      <c r="H635" s="1462"/>
      <c r="I635" s="1462"/>
      <c r="J635" s="1462"/>
      <c r="K635" s="1462"/>
      <c r="L635" s="1462"/>
      <c r="M635" s="1462"/>
      <c r="N635" s="1462"/>
      <c r="O635" s="1462"/>
      <c r="P635" s="1462"/>
      <c r="Q635" s="1462"/>
      <c r="R635" s="1462"/>
      <c r="S635" s="1462"/>
      <c r="T635" s="1462"/>
      <c r="U635" s="1462"/>
      <c r="V635" s="1462"/>
      <c r="W635" s="1462"/>
      <c r="X635" s="1462"/>
      <c r="Y635" s="1462"/>
      <c r="Z635" s="1462"/>
      <c r="AA635" s="1462"/>
    </row>
    <row r="636">
      <c r="A636" s="1493"/>
      <c r="B636" s="1494"/>
      <c r="C636" s="1493"/>
      <c r="D636" s="1493"/>
      <c r="E636" s="1495"/>
      <c r="F636" s="1462"/>
      <c r="G636" s="1462"/>
      <c r="H636" s="1462"/>
      <c r="I636" s="1462"/>
      <c r="J636" s="1462"/>
      <c r="K636" s="1462"/>
      <c r="L636" s="1462"/>
      <c r="M636" s="1462"/>
      <c r="N636" s="1462"/>
      <c r="O636" s="1462"/>
      <c r="P636" s="1462"/>
      <c r="Q636" s="1462"/>
      <c r="R636" s="1462"/>
      <c r="S636" s="1462"/>
      <c r="T636" s="1462"/>
      <c r="U636" s="1462"/>
      <c r="V636" s="1462"/>
      <c r="W636" s="1462"/>
      <c r="X636" s="1462"/>
      <c r="Y636" s="1462"/>
      <c r="Z636" s="1462"/>
      <c r="AA636" s="1462"/>
    </row>
    <row r="637">
      <c r="A637" s="1493"/>
      <c r="B637" s="1494"/>
      <c r="C637" s="1493"/>
      <c r="D637" s="1493"/>
      <c r="E637" s="1495"/>
      <c r="F637" s="1462"/>
      <c r="G637" s="1462"/>
      <c r="H637" s="1462"/>
      <c r="I637" s="1462"/>
      <c r="J637" s="1462"/>
      <c r="K637" s="1462"/>
      <c r="L637" s="1462"/>
      <c r="M637" s="1462"/>
      <c r="N637" s="1462"/>
      <c r="O637" s="1462"/>
      <c r="P637" s="1462"/>
      <c r="Q637" s="1462"/>
      <c r="R637" s="1462"/>
      <c r="S637" s="1462"/>
      <c r="T637" s="1462"/>
      <c r="U637" s="1462"/>
      <c r="V637" s="1462"/>
      <c r="W637" s="1462"/>
      <c r="X637" s="1462"/>
      <c r="Y637" s="1462"/>
      <c r="Z637" s="1462"/>
      <c r="AA637" s="1462"/>
    </row>
    <row r="638">
      <c r="A638" s="1493"/>
      <c r="B638" s="1494"/>
      <c r="C638" s="1493"/>
      <c r="D638" s="1493"/>
      <c r="E638" s="1495"/>
      <c r="F638" s="1462"/>
      <c r="G638" s="1462"/>
      <c r="H638" s="1462"/>
      <c r="I638" s="1462"/>
      <c r="J638" s="1462"/>
      <c r="K638" s="1462"/>
      <c r="L638" s="1462"/>
      <c r="M638" s="1462"/>
      <c r="N638" s="1462"/>
      <c r="O638" s="1462"/>
      <c r="P638" s="1462"/>
      <c r="Q638" s="1462"/>
      <c r="R638" s="1462"/>
      <c r="S638" s="1462"/>
      <c r="T638" s="1462"/>
      <c r="U638" s="1462"/>
      <c r="V638" s="1462"/>
      <c r="W638" s="1462"/>
      <c r="X638" s="1462"/>
      <c r="Y638" s="1462"/>
      <c r="Z638" s="1462"/>
      <c r="AA638" s="1462"/>
    </row>
    <row r="639">
      <c r="A639" s="1493"/>
      <c r="B639" s="1494"/>
      <c r="C639" s="1493"/>
      <c r="D639" s="1493"/>
      <c r="E639" s="1495"/>
      <c r="F639" s="1462"/>
      <c r="G639" s="1462"/>
      <c r="H639" s="1462"/>
      <c r="I639" s="1462"/>
      <c r="J639" s="1462"/>
      <c r="K639" s="1462"/>
      <c r="L639" s="1462"/>
      <c r="M639" s="1462"/>
      <c r="N639" s="1462"/>
      <c r="O639" s="1462"/>
      <c r="P639" s="1462"/>
      <c r="Q639" s="1462"/>
      <c r="R639" s="1462"/>
      <c r="S639" s="1462"/>
      <c r="T639" s="1462"/>
      <c r="U639" s="1462"/>
      <c r="V639" s="1462"/>
      <c r="W639" s="1462"/>
      <c r="X639" s="1462"/>
      <c r="Y639" s="1462"/>
      <c r="Z639" s="1462"/>
      <c r="AA639" s="1462"/>
    </row>
    <row r="640">
      <c r="A640" s="1493"/>
      <c r="B640" s="1494"/>
      <c r="C640" s="1493"/>
      <c r="D640" s="1493"/>
      <c r="E640" s="1495"/>
      <c r="F640" s="1462"/>
      <c r="G640" s="1462"/>
      <c r="H640" s="1462"/>
      <c r="I640" s="1462"/>
      <c r="J640" s="1462"/>
      <c r="K640" s="1462"/>
      <c r="L640" s="1462"/>
      <c r="M640" s="1462"/>
      <c r="N640" s="1462"/>
      <c r="O640" s="1462"/>
      <c r="P640" s="1462"/>
      <c r="Q640" s="1462"/>
      <c r="R640" s="1462"/>
      <c r="S640" s="1462"/>
      <c r="T640" s="1462"/>
      <c r="U640" s="1462"/>
      <c r="V640" s="1462"/>
      <c r="W640" s="1462"/>
      <c r="X640" s="1462"/>
      <c r="Y640" s="1462"/>
      <c r="Z640" s="1462"/>
      <c r="AA640" s="1462"/>
    </row>
    <row r="641">
      <c r="A641" s="1493"/>
      <c r="B641" s="1494"/>
      <c r="C641" s="1493"/>
      <c r="D641" s="1493"/>
      <c r="E641" s="1495"/>
      <c r="F641" s="1462"/>
      <c r="G641" s="1462"/>
      <c r="H641" s="1462"/>
      <c r="I641" s="1462"/>
      <c r="J641" s="1462"/>
      <c r="K641" s="1462"/>
      <c r="L641" s="1462"/>
      <c r="M641" s="1462"/>
      <c r="N641" s="1462"/>
      <c r="O641" s="1462"/>
      <c r="P641" s="1462"/>
      <c r="Q641" s="1462"/>
      <c r="R641" s="1462"/>
      <c r="S641" s="1462"/>
      <c r="T641" s="1462"/>
      <c r="U641" s="1462"/>
      <c r="V641" s="1462"/>
      <c r="W641" s="1462"/>
      <c r="X641" s="1462"/>
      <c r="Y641" s="1462"/>
      <c r="Z641" s="1462"/>
      <c r="AA641" s="1462"/>
    </row>
    <row r="642">
      <c r="A642" s="1493"/>
      <c r="B642" s="1494"/>
      <c r="C642" s="1493"/>
      <c r="D642" s="1493"/>
      <c r="E642" s="1495"/>
      <c r="F642" s="1462"/>
      <c r="G642" s="1462"/>
      <c r="H642" s="1462"/>
      <c r="I642" s="1462"/>
      <c r="J642" s="1462"/>
      <c r="K642" s="1462"/>
      <c r="L642" s="1462"/>
      <c r="M642" s="1462"/>
      <c r="N642" s="1462"/>
      <c r="O642" s="1462"/>
      <c r="P642" s="1462"/>
      <c r="Q642" s="1462"/>
      <c r="R642" s="1462"/>
      <c r="S642" s="1462"/>
      <c r="T642" s="1462"/>
      <c r="U642" s="1462"/>
      <c r="V642" s="1462"/>
      <c r="W642" s="1462"/>
      <c r="X642" s="1462"/>
      <c r="Y642" s="1462"/>
      <c r="Z642" s="1462"/>
      <c r="AA642" s="1462"/>
    </row>
    <row r="643">
      <c r="A643" s="1493"/>
      <c r="B643" s="1494"/>
      <c r="C643" s="1493"/>
      <c r="D643" s="1493"/>
      <c r="E643" s="1495"/>
      <c r="F643" s="1462"/>
      <c r="G643" s="1462"/>
      <c r="H643" s="1462"/>
      <c r="I643" s="1462"/>
      <c r="J643" s="1462"/>
      <c r="K643" s="1462"/>
      <c r="L643" s="1462"/>
      <c r="M643" s="1462"/>
      <c r="N643" s="1462"/>
      <c r="O643" s="1462"/>
      <c r="P643" s="1462"/>
      <c r="Q643" s="1462"/>
      <c r="R643" s="1462"/>
      <c r="S643" s="1462"/>
      <c r="T643" s="1462"/>
      <c r="U643" s="1462"/>
      <c r="V643" s="1462"/>
      <c r="W643" s="1462"/>
      <c r="X643" s="1462"/>
      <c r="Y643" s="1462"/>
      <c r="Z643" s="1462"/>
      <c r="AA643" s="1462"/>
    </row>
    <row r="644">
      <c r="A644" s="1493"/>
      <c r="B644" s="1494"/>
      <c r="C644" s="1493"/>
      <c r="D644" s="1493"/>
      <c r="E644" s="1495"/>
      <c r="F644" s="1462"/>
      <c r="G644" s="1462"/>
      <c r="H644" s="1462"/>
      <c r="I644" s="1462"/>
      <c r="J644" s="1462"/>
      <c r="K644" s="1462"/>
      <c r="L644" s="1462"/>
      <c r="M644" s="1462"/>
      <c r="N644" s="1462"/>
      <c r="O644" s="1462"/>
      <c r="P644" s="1462"/>
      <c r="Q644" s="1462"/>
      <c r="R644" s="1462"/>
      <c r="S644" s="1462"/>
      <c r="T644" s="1462"/>
      <c r="U644" s="1462"/>
      <c r="V644" s="1462"/>
      <c r="W644" s="1462"/>
      <c r="X644" s="1462"/>
      <c r="Y644" s="1462"/>
      <c r="Z644" s="1462"/>
      <c r="AA644" s="1462"/>
    </row>
    <row r="645">
      <c r="A645" s="1493"/>
      <c r="B645" s="1494"/>
      <c r="C645" s="1493"/>
      <c r="D645" s="1493"/>
      <c r="E645" s="1495"/>
      <c r="F645" s="1462"/>
      <c r="G645" s="1462"/>
      <c r="H645" s="1462"/>
      <c r="I645" s="1462"/>
      <c r="J645" s="1462"/>
      <c r="K645" s="1462"/>
      <c r="L645" s="1462"/>
      <c r="M645" s="1462"/>
      <c r="N645" s="1462"/>
      <c r="O645" s="1462"/>
      <c r="P645" s="1462"/>
      <c r="Q645" s="1462"/>
      <c r="R645" s="1462"/>
      <c r="S645" s="1462"/>
      <c r="T645" s="1462"/>
      <c r="U645" s="1462"/>
      <c r="V645" s="1462"/>
      <c r="W645" s="1462"/>
      <c r="X645" s="1462"/>
      <c r="Y645" s="1462"/>
      <c r="Z645" s="1462"/>
      <c r="AA645" s="1462"/>
    </row>
    <row r="646">
      <c r="A646" s="1493"/>
      <c r="B646" s="1494"/>
      <c r="C646" s="1493"/>
      <c r="D646" s="1493"/>
      <c r="E646" s="1495"/>
      <c r="F646" s="1462"/>
      <c r="G646" s="1462"/>
      <c r="H646" s="1462"/>
      <c r="I646" s="1462"/>
      <c r="J646" s="1462"/>
      <c r="K646" s="1462"/>
      <c r="L646" s="1462"/>
      <c r="M646" s="1462"/>
      <c r="N646" s="1462"/>
      <c r="O646" s="1462"/>
      <c r="P646" s="1462"/>
      <c r="Q646" s="1462"/>
      <c r="R646" s="1462"/>
      <c r="S646" s="1462"/>
      <c r="T646" s="1462"/>
      <c r="U646" s="1462"/>
      <c r="V646" s="1462"/>
      <c r="W646" s="1462"/>
      <c r="X646" s="1462"/>
      <c r="Y646" s="1462"/>
      <c r="Z646" s="1462"/>
      <c r="AA646" s="1462"/>
    </row>
    <row r="647">
      <c r="A647" s="1493"/>
      <c r="B647" s="1494"/>
      <c r="C647" s="1493"/>
      <c r="D647" s="1493"/>
      <c r="E647" s="1495"/>
      <c r="F647" s="1462"/>
      <c r="G647" s="1462"/>
      <c r="H647" s="1462"/>
      <c r="I647" s="1462"/>
      <c r="J647" s="1462"/>
      <c r="K647" s="1462"/>
      <c r="L647" s="1462"/>
      <c r="M647" s="1462"/>
      <c r="N647" s="1462"/>
      <c r="O647" s="1462"/>
      <c r="P647" s="1462"/>
      <c r="Q647" s="1462"/>
      <c r="R647" s="1462"/>
      <c r="S647" s="1462"/>
      <c r="T647" s="1462"/>
      <c r="U647" s="1462"/>
      <c r="V647" s="1462"/>
      <c r="W647" s="1462"/>
      <c r="X647" s="1462"/>
      <c r="Y647" s="1462"/>
      <c r="Z647" s="1462"/>
      <c r="AA647" s="1462"/>
    </row>
    <row r="648">
      <c r="A648" s="1493"/>
      <c r="B648" s="1494"/>
      <c r="C648" s="1493"/>
      <c r="D648" s="1493"/>
      <c r="E648" s="1495"/>
      <c r="F648" s="1462"/>
      <c r="G648" s="1462"/>
      <c r="H648" s="1462"/>
      <c r="I648" s="1462"/>
      <c r="J648" s="1462"/>
      <c r="K648" s="1462"/>
      <c r="L648" s="1462"/>
      <c r="M648" s="1462"/>
      <c r="N648" s="1462"/>
      <c r="O648" s="1462"/>
      <c r="P648" s="1462"/>
      <c r="Q648" s="1462"/>
      <c r="R648" s="1462"/>
      <c r="S648" s="1462"/>
      <c r="T648" s="1462"/>
      <c r="U648" s="1462"/>
      <c r="V648" s="1462"/>
      <c r="W648" s="1462"/>
      <c r="X648" s="1462"/>
      <c r="Y648" s="1462"/>
      <c r="Z648" s="1462"/>
      <c r="AA648" s="1462"/>
    </row>
    <row r="649">
      <c r="A649" s="1493"/>
      <c r="B649" s="1494"/>
      <c r="C649" s="1493"/>
      <c r="D649" s="1493"/>
      <c r="E649" s="1495"/>
      <c r="F649" s="1462"/>
      <c r="G649" s="1462"/>
      <c r="H649" s="1462"/>
      <c r="I649" s="1462"/>
      <c r="J649" s="1462"/>
      <c r="K649" s="1462"/>
      <c r="L649" s="1462"/>
      <c r="M649" s="1462"/>
      <c r="N649" s="1462"/>
      <c r="O649" s="1462"/>
      <c r="P649" s="1462"/>
      <c r="Q649" s="1462"/>
      <c r="R649" s="1462"/>
      <c r="S649" s="1462"/>
      <c r="T649" s="1462"/>
      <c r="U649" s="1462"/>
      <c r="V649" s="1462"/>
      <c r="W649" s="1462"/>
      <c r="X649" s="1462"/>
      <c r="Y649" s="1462"/>
      <c r="Z649" s="1462"/>
      <c r="AA649" s="1462"/>
    </row>
    <row r="650">
      <c r="A650" s="1493"/>
      <c r="B650" s="1494"/>
      <c r="C650" s="1493"/>
      <c r="D650" s="1493"/>
      <c r="E650" s="1495"/>
      <c r="F650" s="1462"/>
      <c r="G650" s="1462"/>
      <c r="H650" s="1462"/>
      <c r="I650" s="1462"/>
      <c r="J650" s="1462"/>
      <c r="K650" s="1462"/>
      <c r="L650" s="1462"/>
      <c r="M650" s="1462"/>
      <c r="N650" s="1462"/>
      <c r="O650" s="1462"/>
      <c r="P650" s="1462"/>
      <c r="Q650" s="1462"/>
      <c r="R650" s="1462"/>
      <c r="S650" s="1462"/>
      <c r="T650" s="1462"/>
      <c r="U650" s="1462"/>
      <c r="V650" s="1462"/>
      <c r="W650" s="1462"/>
      <c r="X650" s="1462"/>
      <c r="Y650" s="1462"/>
      <c r="Z650" s="1462"/>
      <c r="AA650" s="1462"/>
    </row>
    <row r="651">
      <c r="A651" s="1493"/>
      <c r="B651" s="1494"/>
      <c r="C651" s="1493"/>
      <c r="D651" s="1493"/>
      <c r="E651" s="1495"/>
      <c r="F651" s="1462"/>
      <c r="G651" s="1462"/>
      <c r="H651" s="1462"/>
      <c r="I651" s="1462"/>
      <c r="J651" s="1462"/>
      <c r="K651" s="1462"/>
      <c r="L651" s="1462"/>
      <c r="M651" s="1462"/>
      <c r="N651" s="1462"/>
      <c r="O651" s="1462"/>
      <c r="P651" s="1462"/>
      <c r="Q651" s="1462"/>
      <c r="R651" s="1462"/>
      <c r="S651" s="1462"/>
      <c r="T651" s="1462"/>
      <c r="U651" s="1462"/>
      <c r="V651" s="1462"/>
      <c r="W651" s="1462"/>
      <c r="X651" s="1462"/>
      <c r="Y651" s="1462"/>
      <c r="Z651" s="1462"/>
      <c r="AA651" s="1462"/>
    </row>
    <row r="652">
      <c r="A652" s="1493"/>
      <c r="B652" s="1494"/>
      <c r="C652" s="1493"/>
      <c r="D652" s="1493"/>
      <c r="E652" s="1495"/>
      <c r="F652" s="1462"/>
      <c r="G652" s="1462"/>
      <c r="H652" s="1462"/>
      <c r="I652" s="1462"/>
      <c r="J652" s="1462"/>
      <c r="K652" s="1462"/>
      <c r="L652" s="1462"/>
      <c r="M652" s="1462"/>
      <c r="N652" s="1462"/>
      <c r="O652" s="1462"/>
      <c r="P652" s="1462"/>
      <c r="Q652" s="1462"/>
      <c r="R652" s="1462"/>
      <c r="S652" s="1462"/>
      <c r="T652" s="1462"/>
      <c r="U652" s="1462"/>
      <c r="V652" s="1462"/>
      <c r="W652" s="1462"/>
      <c r="X652" s="1462"/>
      <c r="Y652" s="1462"/>
      <c r="Z652" s="1462"/>
      <c r="AA652" s="1462"/>
    </row>
    <row r="653">
      <c r="A653" s="1493"/>
      <c r="B653" s="1494"/>
      <c r="C653" s="1493"/>
      <c r="D653" s="1493"/>
      <c r="E653" s="1495"/>
      <c r="F653" s="1462"/>
      <c r="G653" s="1462"/>
      <c r="H653" s="1462"/>
      <c r="I653" s="1462"/>
      <c r="J653" s="1462"/>
      <c r="K653" s="1462"/>
      <c r="L653" s="1462"/>
      <c r="M653" s="1462"/>
      <c r="N653" s="1462"/>
      <c r="O653" s="1462"/>
      <c r="P653" s="1462"/>
      <c r="Q653" s="1462"/>
      <c r="R653" s="1462"/>
      <c r="S653" s="1462"/>
      <c r="T653" s="1462"/>
      <c r="U653" s="1462"/>
      <c r="V653" s="1462"/>
      <c r="W653" s="1462"/>
      <c r="X653" s="1462"/>
      <c r="Y653" s="1462"/>
      <c r="Z653" s="1462"/>
      <c r="AA653" s="1462"/>
    </row>
    <row r="654">
      <c r="A654" s="1493"/>
      <c r="B654" s="1494"/>
      <c r="C654" s="1493"/>
      <c r="D654" s="1493"/>
      <c r="E654" s="1495"/>
      <c r="F654" s="1462"/>
      <c r="G654" s="1462"/>
      <c r="H654" s="1462"/>
      <c r="I654" s="1462"/>
      <c r="J654" s="1462"/>
      <c r="K654" s="1462"/>
      <c r="L654" s="1462"/>
      <c r="M654" s="1462"/>
      <c r="N654" s="1462"/>
      <c r="O654" s="1462"/>
      <c r="P654" s="1462"/>
      <c r="Q654" s="1462"/>
      <c r="R654" s="1462"/>
      <c r="S654" s="1462"/>
      <c r="T654" s="1462"/>
      <c r="U654" s="1462"/>
      <c r="V654" s="1462"/>
      <c r="W654" s="1462"/>
      <c r="X654" s="1462"/>
      <c r="Y654" s="1462"/>
      <c r="Z654" s="1462"/>
      <c r="AA654" s="1462"/>
    </row>
    <row r="655">
      <c r="A655" s="1493"/>
      <c r="B655" s="1494"/>
      <c r="C655" s="1493"/>
      <c r="D655" s="1493"/>
      <c r="E655" s="1495"/>
      <c r="F655" s="1462"/>
      <c r="G655" s="1462"/>
      <c r="H655" s="1462"/>
      <c r="I655" s="1462"/>
      <c r="J655" s="1462"/>
      <c r="K655" s="1462"/>
      <c r="L655" s="1462"/>
      <c r="M655" s="1462"/>
      <c r="N655" s="1462"/>
      <c r="O655" s="1462"/>
      <c r="P655" s="1462"/>
      <c r="Q655" s="1462"/>
      <c r="R655" s="1462"/>
      <c r="S655" s="1462"/>
      <c r="T655" s="1462"/>
      <c r="U655" s="1462"/>
      <c r="V655" s="1462"/>
      <c r="W655" s="1462"/>
      <c r="X655" s="1462"/>
      <c r="Y655" s="1462"/>
      <c r="Z655" s="1462"/>
      <c r="AA655" s="1462"/>
    </row>
    <row r="656">
      <c r="A656" s="1493"/>
      <c r="B656" s="1494"/>
      <c r="C656" s="1493"/>
      <c r="D656" s="1493"/>
      <c r="E656" s="1495"/>
      <c r="F656" s="1462"/>
      <c r="G656" s="1462"/>
      <c r="H656" s="1462"/>
      <c r="I656" s="1462"/>
      <c r="J656" s="1462"/>
      <c r="K656" s="1462"/>
      <c r="L656" s="1462"/>
      <c r="M656" s="1462"/>
      <c r="N656" s="1462"/>
      <c r="O656" s="1462"/>
      <c r="P656" s="1462"/>
      <c r="Q656" s="1462"/>
      <c r="R656" s="1462"/>
      <c r="S656" s="1462"/>
      <c r="T656" s="1462"/>
      <c r="U656" s="1462"/>
      <c r="V656" s="1462"/>
      <c r="W656" s="1462"/>
      <c r="X656" s="1462"/>
      <c r="Y656" s="1462"/>
      <c r="Z656" s="1462"/>
      <c r="AA656" s="1462"/>
    </row>
    <row r="657">
      <c r="A657" s="1493"/>
      <c r="B657" s="1494"/>
      <c r="C657" s="1493"/>
      <c r="D657" s="1493"/>
      <c r="E657" s="1495"/>
      <c r="F657" s="1462"/>
      <c r="G657" s="1462"/>
      <c r="H657" s="1462"/>
      <c r="I657" s="1462"/>
      <c r="J657" s="1462"/>
      <c r="K657" s="1462"/>
      <c r="L657" s="1462"/>
      <c r="M657" s="1462"/>
      <c r="N657" s="1462"/>
      <c r="O657" s="1462"/>
      <c r="P657" s="1462"/>
      <c r="Q657" s="1462"/>
      <c r="R657" s="1462"/>
      <c r="S657" s="1462"/>
      <c r="T657" s="1462"/>
      <c r="U657" s="1462"/>
      <c r="V657" s="1462"/>
      <c r="W657" s="1462"/>
      <c r="X657" s="1462"/>
      <c r="Y657" s="1462"/>
      <c r="Z657" s="1462"/>
      <c r="AA657" s="1462"/>
    </row>
    <row r="658">
      <c r="A658" s="1493"/>
      <c r="B658" s="1494"/>
      <c r="C658" s="1493"/>
      <c r="D658" s="1493"/>
      <c r="E658" s="1495"/>
      <c r="F658" s="1462"/>
      <c r="G658" s="1462"/>
      <c r="H658" s="1462"/>
      <c r="I658" s="1462"/>
      <c r="J658" s="1462"/>
      <c r="K658" s="1462"/>
      <c r="L658" s="1462"/>
      <c r="M658" s="1462"/>
      <c r="N658" s="1462"/>
      <c r="O658" s="1462"/>
      <c r="P658" s="1462"/>
      <c r="Q658" s="1462"/>
      <c r="R658" s="1462"/>
      <c r="S658" s="1462"/>
      <c r="T658" s="1462"/>
      <c r="U658" s="1462"/>
      <c r="V658" s="1462"/>
      <c r="W658" s="1462"/>
      <c r="X658" s="1462"/>
      <c r="Y658" s="1462"/>
      <c r="Z658" s="1462"/>
      <c r="AA658" s="1462"/>
    </row>
    <row r="659">
      <c r="A659" s="1493"/>
      <c r="B659" s="1494"/>
      <c r="C659" s="1493"/>
      <c r="D659" s="1493"/>
      <c r="E659" s="1495"/>
      <c r="F659" s="1462"/>
      <c r="G659" s="1462"/>
      <c r="H659" s="1462"/>
      <c r="I659" s="1462"/>
      <c r="J659" s="1462"/>
      <c r="K659" s="1462"/>
      <c r="L659" s="1462"/>
      <c r="M659" s="1462"/>
      <c r="N659" s="1462"/>
      <c r="O659" s="1462"/>
      <c r="P659" s="1462"/>
      <c r="Q659" s="1462"/>
      <c r="R659" s="1462"/>
      <c r="S659" s="1462"/>
      <c r="T659" s="1462"/>
      <c r="U659" s="1462"/>
      <c r="V659" s="1462"/>
      <c r="W659" s="1462"/>
      <c r="X659" s="1462"/>
      <c r="Y659" s="1462"/>
      <c r="Z659" s="1462"/>
      <c r="AA659" s="1462"/>
    </row>
    <row r="660">
      <c r="A660" s="1493"/>
      <c r="B660" s="1494"/>
      <c r="C660" s="1493"/>
      <c r="D660" s="1493"/>
      <c r="E660" s="1495"/>
      <c r="F660" s="1462"/>
      <c r="G660" s="1462"/>
      <c r="H660" s="1462"/>
      <c r="I660" s="1462"/>
      <c r="J660" s="1462"/>
      <c r="K660" s="1462"/>
      <c r="L660" s="1462"/>
      <c r="M660" s="1462"/>
      <c r="N660" s="1462"/>
      <c r="O660" s="1462"/>
      <c r="P660" s="1462"/>
      <c r="Q660" s="1462"/>
      <c r="R660" s="1462"/>
      <c r="S660" s="1462"/>
      <c r="T660" s="1462"/>
      <c r="U660" s="1462"/>
      <c r="V660" s="1462"/>
      <c r="W660" s="1462"/>
      <c r="X660" s="1462"/>
      <c r="Y660" s="1462"/>
      <c r="Z660" s="1462"/>
      <c r="AA660" s="1462"/>
    </row>
    <row r="661">
      <c r="A661" s="1493"/>
      <c r="B661" s="1494"/>
      <c r="C661" s="1493"/>
      <c r="D661" s="1493"/>
      <c r="E661" s="1495"/>
      <c r="F661" s="1462"/>
      <c r="G661" s="1462"/>
      <c r="H661" s="1462"/>
      <c r="I661" s="1462"/>
      <c r="J661" s="1462"/>
      <c r="K661" s="1462"/>
      <c r="L661" s="1462"/>
      <c r="M661" s="1462"/>
      <c r="N661" s="1462"/>
      <c r="O661" s="1462"/>
      <c r="P661" s="1462"/>
      <c r="Q661" s="1462"/>
      <c r="R661" s="1462"/>
      <c r="S661" s="1462"/>
      <c r="T661" s="1462"/>
      <c r="U661" s="1462"/>
      <c r="V661" s="1462"/>
      <c r="W661" s="1462"/>
      <c r="X661" s="1462"/>
      <c r="Y661" s="1462"/>
      <c r="Z661" s="1462"/>
      <c r="AA661" s="1462"/>
    </row>
    <row r="662">
      <c r="A662" s="1493"/>
      <c r="B662" s="1494"/>
      <c r="C662" s="1493"/>
      <c r="D662" s="1493"/>
      <c r="E662" s="1495"/>
      <c r="F662" s="1462"/>
      <c r="G662" s="1462"/>
      <c r="H662" s="1462"/>
      <c r="I662" s="1462"/>
      <c r="J662" s="1462"/>
      <c r="K662" s="1462"/>
      <c r="L662" s="1462"/>
      <c r="M662" s="1462"/>
      <c r="N662" s="1462"/>
      <c r="O662" s="1462"/>
      <c r="P662" s="1462"/>
      <c r="Q662" s="1462"/>
      <c r="R662" s="1462"/>
      <c r="S662" s="1462"/>
      <c r="T662" s="1462"/>
      <c r="U662" s="1462"/>
      <c r="V662" s="1462"/>
      <c r="W662" s="1462"/>
      <c r="X662" s="1462"/>
      <c r="Y662" s="1462"/>
      <c r="Z662" s="1462"/>
      <c r="AA662" s="1462"/>
    </row>
    <row r="663">
      <c r="A663" s="1493"/>
      <c r="B663" s="1494"/>
      <c r="C663" s="1493"/>
      <c r="D663" s="1493"/>
      <c r="E663" s="1495"/>
      <c r="F663" s="1462"/>
      <c r="G663" s="1462"/>
      <c r="H663" s="1462"/>
      <c r="I663" s="1462"/>
      <c r="J663" s="1462"/>
      <c r="K663" s="1462"/>
      <c r="L663" s="1462"/>
      <c r="M663" s="1462"/>
      <c r="N663" s="1462"/>
      <c r="O663" s="1462"/>
      <c r="P663" s="1462"/>
      <c r="Q663" s="1462"/>
      <c r="R663" s="1462"/>
      <c r="S663" s="1462"/>
      <c r="T663" s="1462"/>
      <c r="U663" s="1462"/>
      <c r="V663" s="1462"/>
      <c r="W663" s="1462"/>
      <c r="X663" s="1462"/>
      <c r="Y663" s="1462"/>
      <c r="Z663" s="1462"/>
      <c r="AA663" s="1462"/>
    </row>
    <row r="664">
      <c r="A664" s="1493"/>
      <c r="B664" s="1494"/>
      <c r="C664" s="1493"/>
      <c r="D664" s="1493"/>
      <c r="E664" s="1495"/>
      <c r="F664" s="1462"/>
      <c r="G664" s="1462"/>
      <c r="H664" s="1462"/>
      <c r="I664" s="1462"/>
      <c r="J664" s="1462"/>
      <c r="K664" s="1462"/>
      <c r="L664" s="1462"/>
      <c r="M664" s="1462"/>
      <c r="N664" s="1462"/>
      <c r="O664" s="1462"/>
      <c r="P664" s="1462"/>
      <c r="Q664" s="1462"/>
      <c r="R664" s="1462"/>
      <c r="S664" s="1462"/>
      <c r="T664" s="1462"/>
      <c r="U664" s="1462"/>
      <c r="V664" s="1462"/>
      <c r="W664" s="1462"/>
      <c r="X664" s="1462"/>
      <c r="Y664" s="1462"/>
      <c r="Z664" s="1462"/>
      <c r="AA664" s="1462"/>
    </row>
    <row r="665">
      <c r="A665" s="1493"/>
      <c r="B665" s="1494"/>
      <c r="C665" s="1493"/>
      <c r="D665" s="1493"/>
      <c r="E665" s="1495"/>
      <c r="F665" s="1462"/>
      <c r="G665" s="1462"/>
      <c r="H665" s="1462"/>
      <c r="I665" s="1462"/>
      <c r="J665" s="1462"/>
      <c r="K665" s="1462"/>
      <c r="L665" s="1462"/>
      <c r="M665" s="1462"/>
      <c r="N665" s="1462"/>
      <c r="O665" s="1462"/>
      <c r="P665" s="1462"/>
      <c r="Q665" s="1462"/>
      <c r="R665" s="1462"/>
      <c r="S665" s="1462"/>
      <c r="T665" s="1462"/>
      <c r="U665" s="1462"/>
      <c r="V665" s="1462"/>
      <c r="W665" s="1462"/>
      <c r="X665" s="1462"/>
      <c r="Y665" s="1462"/>
      <c r="Z665" s="1462"/>
      <c r="AA665" s="1462"/>
    </row>
    <row r="666">
      <c r="A666" s="1493"/>
      <c r="B666" s="1494"/>
      <c r="C666" s="1493"/>
      <c r="D666" s="1493"/>
      <c r="E666" s="1495"/>
      <c r="F666" s="1462"/>
      <c r="G666" s="1462"/>
      <c r="H666" s="1462"/>
      <c r="I666" s="1462"/>
      <c r="J666" s="1462"/>
      <c r="K666" s="1462"/>
      <c r="L666" s="1462"/>
      <c r="M666" s="1462"/>
      <c r="N666" s="1462"/>
      <c r="O666" s="1462"/>
      <c r="P666" s="1462"/>
      <c r="Q666" s="1462"/>
      <c r="R666" s="1462"/>
      <c r="S666" s="1462"/>
      <c r="T666" s="1462"/>
      <c r="U666" s="1462"/>
      <c r="V666" s="1462"/>
      <c r="W666" s="1462"/>
      <c r="X666" s="1462"/>
      <c r="Y666" s="1462"/>
      <c r="Z666" s="1462"/>
      <c r="AA666" s="1462"/>
    </row>
    <row r="667">
      <c r="A667" s="1493"/>
      <c r="B667" s="1494"/>
      <c r="C667" s="1493"/>
      <c r="D667" s="1493"/>
      <c r="E667" s="1495"/>
      <c r="F667" s="1462"/>
      <c r="G667" s="1462"/>
      <c r="H667" s="1462"/>
      <c r="I667" s="1462"/>
      <c r="J667" s="1462"/>
      <c r="K667" s="1462"/>
      <c r="L667" s="1462"/>
      <c r="M667" s="1462"/>
      <c r="N667" s="1462"/>
      <c r="O667" s="1462"/>
      <c r="P667" s="1462"/>
      <c r="Q667" s="1462"/>
      <c r="R667" s="1462"/>
      <c r="S667" s="1462"/>
      <c r="T667" s="1462"/>
      <c r="U667" s="1462"/>
      <c r="V667" s="1462"/>
      <c r="W667" s="1462"/>
      <c r="X667" s="1462"/>
      <c r="Y667" s="1462"/>
      <c r="Z667" s="1462"/>
      <c r="AA667" s="1462"/>
    </row>
    <row r="668">
      <c r="A668" s="1493"/>
      <c r="B668" s="1494"/>
      <c r="C668" s="1493"/>
      <c r="D668" s="1493"/>
      <c r="E668" s="1495"/>
      <c r="F668" s="1462"/>
      <c r="G668" s="1462"/>
      <c r="H668" s="1462"/>
      <c r="I668" s="1462"/>
      <c r="J668" s="1462"/>
      <c r="K668" s="1462"/>
      <c r="L668" s="1462"/>
      <c r="M668" s="1462"/>
      <c r="N668" s="1462"/>
      <c r="O668" s="1462"/>
      <c r="P668" s="1462"/>
      <c r="Q668" s="1462"/>
      <c r="R668" s="1462"/>
      <c r="S668" s="1462"/>
      <c r="T668" s="1462"/>
      <c r="U668" s="1462"/>
      <c r="V668" s="1462"/>
      <c r="W668" s="1462"/>
      <c r="X668" s="1462"/>
      <c r="Y668" s="1462"/>
      <c r="Z668" s="1462"/>
      <c r="AA668" s="1462"/>
    </row>
    <row r="669">
      <c r="A669" s="1493"/>
      <c r="B669" s="1494"/>
      <c r="C669" s="1493"/>
      <c r="D669" s="1493"/>
      <c r="E669" s="1495"/>
      <c r="F669" s="1462"/>
      <c r="G669" s="1462"/>
      <c r="H669" s="1462"/>
      <c r="I669" s="1462"/>
      <c r="J669" s="1462"/>
      <c r="K669" s="1462"/>
      <c r="L669" s="1462"/>
      <c r="M669" s="1462"/>
      <c r="N669" s="1462"/>
      <c r="O669" s="1462"/>
      <c r="P669" s="1462"/>
      <c r="Q669" s="1462"/>
      <c r="R669" s="1462"/>
      <c r="S669" s="1462"/>
      <c r="T669" s="1462"/>
      <c r="U669" s="1462"/>
      <c r="V669" s="1462"/>
      <c r="W669" s="1462"/>
      <c r="X669" s="1462"/>
      <c r="Y669" s="1462"/>
      <c r="Z669" s="1462"/>
      <c r="AA669" s="1462"/>
    </row>
    <row r="670">
      <c r="A670" s="1493"/>
      <c r="B670" s="1494"/>
      <c r="C670" s="1493"/>
      <c r="D670" s="1493"/>
      <c r="E670" s="1495"/>
      <c r="F670" s="1462"/>
      <c r="G670" s="1462"/>
      <c r="H670" s="1462"/>
      <c r="I670" s="1462"/>
      <c r="J670" s="1462"/>
      <c r="K670" s="1462"/>
      <c r="L670" s="1462"/>
      <c r="M670" s="1462"/>
      <c r="N670" s="1462"/>
      <c r="O670" s="1462"/>
      <c r="P670" s="1462"/>
      <c r="Q670" s="1462"/>
      <c r="R670" s="1462"/>
      <c r="S670" s="1462"/>
      <c r="T670" s="1462"/>
      <c r="U670" s="1462"/>
      <c r="V670" s="1462"/>
      <c r="W670" s="1462"/>
      <c r="X670" s="1462"/>
      <c r="Y670" s="1462"/>
      <c r="Z670" s="1462"/>
      <c r="AA670" s="1462"/>
    </row>
    <row r="671">
      <c r="A671" s="1493"/>
      <c r="B671" s="1494"/>
      <c r="C671" s="1493"/>
      <c r="D671" s="1493"/>
      <c r="E671" s="1495"/>
      <c r="F671" s="1462"/>
      <c r="G671" s="1462"/>
      <c r="H671" s="1462"/>
      <c r="I671" s="1462"/>
      <c r="J671" s="1462"/>
      <c r="K671" s="1462"/>
      <c r="L671" s="1462"/>
      <c r="M671" s="1462"/>
      <c r="N671" s="1462"/>
      <c r="O671" s="1462"/>
      <c r="P671" s="1462"/>
      <c r="Q671" s="1462"/>
      <c r="R671" s="1462"/>
      <c r="S671" s="1462"/>
      <c r="T671" s="1462"/>
      <c r="U671" s="1462"/>
      <c r="V671" s="1462"/>
      <c r="W671" s="1462"/>
      <c r="X671" s="1462"/>
      <c r="Y671" s="1462"/>
      <c r="Z671" s="1462"/>
      <c r="AA671" s="1462"/>
    </row>
    <row r="672">
      <c r="A672" s="1493"/>
      <c r="B672" s="1494"/>
      <c r="C672" s="1493"/>
      <c r="D672" s="1493"/>
      <c r="E672" s="1495"/>
      <c r="F672" s="1462"/>
      <c r="G672" s="1462"/>
      <c r="H672" s="1462"/>
      <c r="I672" s="1462"/>
      <c r="J672" s="1462"/>
      <c r="K672" s="1462"/>
      <c r="L672" s="1462"/>
      <c r="M672" s="1462"/>
      <c r="N672" s="1462"/>
      <c r="O672" s="1462"/>
      <c r="P672" s="1462"/>
      <c r="Q672" s="1462"/>
      <c r="R672" s="1462"/>
      <c r="S672" s="1462"/>
      <c r="T672" s="1462"/>
      <c r="U672" s="1462"/>
      <c r="V672" s="1462"/>
      <c r="W672" s="1462"/>
      <c r="X672" s="1462"/>
      <c r="Y672" s="1462"/>
      <c r="Z672" s="1462"/>
      <c r="AA672" s="1462"/>
    </row>
    <row r="673">
      <c r="A673" s="1493"/>
      <c r="B673" s="1494"/>
      <c r="C673" s="1493"/>
      <c r="D673" s="1493"/>
      <c r="E673" s="1495"/>
      <c r="F673" s="1462"/>
      <c r="G673" s="1462"/>
      <c r="H673" s="1462"/>
      <c r="I673" s="1462"/>
      <c r="J673" s="1462"/>
      <c r="K673" s="1462"/>
      <c r="L673" s="1462"/>
      <c r="M673" s="1462"/>
      <c r="N673" s="1462"/>
      <c r="O673" s="1462"/>
      <c r="P673" s="1462"/>
      <c r="Q673" s="1462"/>
      <c r="R673" s="1462"/>
      <c r="S673" s="1462"/>
      <c r="T673" s="1462"/>
      <c r="U673" s="1462"/>
      <c r="V673" s="1462"/>
      <c r="W673" s="1462"/>
      <c r="X673" s="1462"/>
      <c r="Y673" s="1462"/>
      <c r="Z673" s="1462"/>
      <c r="AA673" s="1462"/>
    </row>
    <row r="674">
      <c r="A674" s="1493"/>
      <c r="B674" s="1494"/>
      <c r="C674" s="1493"/>
      <c r="D674" s="1493"/>
      <c r="E674" s="1495"/>
      <c r="F674" s="1462"/>
      <c r="G674" s="1462"/>
      <c r="H674" s="1462"/>
      <c r="I674" s="1462"/>
      <c r="J674" s="1462"/>
      <c r="K674" s="1462"/>
      <c r="L674" s="1462"/>
      <c r="M674" s="1462"/>
      <c r="N674" s="1462"/>
      <c r="O674" s="1462"/>
      <c r="P674" s="1462"/>
      <c r="Q674" s="1462"/>
      <c r="R674" s="1462"/>
      <c r="S674" s="1462"/>
      <c r="T674" s="1462"/>
      <c r="U674" s="1462"/>
      <c r="V674" s="1462"/>
      <c r="W674" s="1462"/>
      <c r="X674" s="1462"/>
      <c r="Y674" s="1462"/>
      <c r="Z674" s="1462"/>
      <c r="AA674" s="1462"/>
    </row>
    <row r="675">
      <c r="A675" s="1493"/>
      <c r="B675" s="1494"/>
      <c r="C675" s="1493"/>
      <c r="D675" s="1493"/>
      <c r="E675" s="1495"/>
      <c r="F675" s="1462"/>
      <c r="G675" s="1462"/>
      <c r="H675" s="1462"/>
      <c r="I675" s="1462"/>
      <c r="J675" s="1462"/>
      <c r="K675" s="1462"/>
      <c r="L675" s="1462"/>
      <c r="M675" s="1462"/>
      <c r="N675" s="1462"/>
      <c r="O675" s="1462"/>
      <c r="P675" s="1462"/>
      <c r="Q675" s="1462"/>
      <c r="R675" s="1462"/>
      <c r="S675" s="1462"/>
      <c r="T675" s="1462"/>
      <c r="U675" s="1462"/>
      <c r="V675" s="1462"/>
      <c r="W675" s="1462"/>
      <c r="X675" s="1462"/>
      <c r="Y675" s="1462"/>
      <c r="Z675" s="1462"/>
      <c r="AA675" s="1462"/>
    </row>
    <row r="676">
      <c r="A676" s="1493"/>
      <c r="B676" s="1494"/>
      <c r="C676" s="1493"/>
      <c r="D676" s="1493"/>
      <c r="E676" s="1495"/>
      <c r="F676" s="1462"/>
      <c r="G676" s="1462"/>
      <c r="H676" s="1462"/>
      <c r="I676" s="1462"/>
      <c r="J676" s="1462"/>
      <c r="K676" s="1462"/>
      <c r="L676" s="1462"/>
      <c r="M676" s="1462"/>
      <c r="N676" s="1462"/>
      <c r="O676" s="1462"/>
      <c r="P676" s="1462"/>
      <c r="Q676" s="1462"/>
      <c r="R676" s="1462"/>
      <c r="S676" s="1462"/>
      <c r="T676" s="1462"/>
      <c r="U676" s="1462"/>
      <c r="V676" s="1462"/>
      <c r="W676" s="1462"/>
      <c r="X676" s="1462"/>
      <c r="Y676" s="1462"/>
      <c r="Z676" s="1462"/>
      <c r="AA676" s="1462"/>
    </row>
    <row r="677">
      <c r="A677" s="1493"/>
      <c r="B677" s="1494"/>
      <c r="C677" s="1493"/>
      <c r="D677" s="1493"/>
      <c r="E677" s="1495"/>
      <c r="F677" s="1462"/>
      <c r="G677" s="1462"/>
      <c r="H677" s="1462"/>
      <c r="I677" s="1462"/>
      <c r="J677" s="1462"/>
      <c r="K677" s="1462"/>
      <c r="L677" s="1462"/>
      <c r="M677" s="1462"/>
      <c r="N677" s="1462"/>
      <c r="O677" s="1462"/>
      <c r="P677" s="1462"/>
      <c r="Q677" s="1462"/>
      <c r="R677" s="1462"/>
      <c r="S677" s="1462"/>
      <c r="T677" s="1462"/>
      <c r="U677" s="1462"/>
      <c r="V677" s="1462"/>
      <c r="W677" s="1462"/>
      <c r="X677" s="1462"/>
      <c r="Y677" s="1462"/>
      <c r="Z677" s="1462"/>
      <c r="AA677" s="1462"/>
    </row>
    <row r="678">
      <c r="A678" s="1493"/>
      <c r="B678" s="1494"/>
      <c r="C678" s="1493"/>
      <c r="D678" s="1493"/>
      <c r="E678" s="1495"/>
      <c r="F678" s="1462"/>
      <c r="G678" s="1462"/>
      <c r="H678" s="1462"/>
      <c r="I678" s="1462"/>
      <c r="J678" s="1462"/>
      <c r="K678" s="1462"/>
      <c r="L678" s="1462"/>
      <c r="M678" s="1462"/>
      <c r="N678" s="1462"/>
      <c r="O678" s="1462"/>
      <c r="P678" s="1462"/>
      <c r="Q678" s="1462"/>
      <c r="R678" s="1462"/>
      <c r="S678" s="1462"/>
      <c r="T678" s="1462"/>
      <c r="U678" s="1462"/>
      <c r="V678" s="1462"/>
      <c r="W678" s="1462"/>
      <c r="X678" s="1462"/>
      <c r="Y678" s="1462"/>
      <c r="Z678" s="1462"/>
      <c r="AA678" s="1462"/>
    </row>
    <row r="679">
      <c r="A679" s="1493"/>
      <c r="B679" s="1494"/>
      <c r="C679" s="1493"/>
      <c r="D679" s="1493"/>
      <c r="E679" s="1495"/>
      <c r="F679" s="1462"/>
      <c r="G679" s="1462"/>
      <c r="H679" s="1462"/>
      <c r="I679" s="1462"/>
      <c r="J679" s="1462"/>
      <c r="K679" s="1462"/>
      <c r="L679" s="1462"/>
      <c r="M679" s="1462"/>
      <c r="N679" s="1462"/>
      <c r="O679" s="1462"/>
      <c r="P679" s="1462"/>
      <c r="Q679" s="1462"/>
      <c r="R679" s="1462"/>
      <c r="S679" s="1462"/>
      <c r="T679" s="1462"/>
      <c r="U679" s="1462"/>
      <c r="V679" s="1462"/>
      <c r="W679" s="1462"/>
      <c r="X679" s="1462"/>
      <c r="Y679" s="1462"/>
      <c r="Z679" s="1462"/>
      <c r="AA679" s="1462"/>
    </row>
    <row r="680">
      <c r="A680" s="1493"/>
      <c r="B680" s="1494"/>
      <c r="C680" s="1493"/>
      <c r="D680" s="1493"/>
      <c r="E680" s="1495"/>
      <c r="F680" s="1462"/>
      <c r="G680" s="1462"/>
      <c r="H680" s="1462"/>
      <c r="I680" s="1462"/>
      <c r="J680" s="1462"/>
      <c r="K680" s="1462"/>
      <c r="L680" s="1462"/>
      <c r="M680" s="1462"/>
      <c r="N680" s="1462"/>
      <c r="O680" s="1462"/>
      <c r="P680" s="1462"/>
      <c r="Q680" s="1462"/>
      <c r="R680" s="1462"/>
      <c r="S680" s="1462"/>
      <c r="T680" s="1462"/>
      <c r="U680" s="1462"/>
      <c r="V680" s="1462"/>
      <c r="W680" s="1462"/>
      <c r="X680" s="1462"/>
      <c r="Y680" s="1462"/>
      <c r="Z680" s="1462"/>
      <c r="AA680" s="1462"/>
    </row>
    <row r="681">
      <c r="A681" s="1493"/>
      <c r="B681" s="1494"/>
      <c r="C681" s="1493"/>
      <c r="D681" s="1493"/>
      <c r="E681" s="1495"/>
      <c r="F681" s="1462"/>
      <c r="G681" s="1462"/>
      <c r="H681" s="1462"/>
      <c r="I681" s="1462"/>
      <c r="J681" s="1462"/>
      <c r="K681" s="1462"/>
      <c r="L681" s="1462"/>
      <c r="M681" s="1462"/>
      <c r="N681" s="1462"/>
      <c r="O681" s="1462"/>
      <c r="P681" s="1462"/>
      <c r="Q681" s="1462"/>
      <c r="R681" s="1462"/>
      <c r="S681" s="1462"/>
      <c r="T681" s="1462"/>
      <c r="U681" s="1462"/>
      <c r="V681" s="1462"/>
      <c r="W681" s="1462"/>
      <c r="X681" s="1462"/>
      <c r="Y681" s="1462"/>
      <c r="Z681" s="1462"/>
      <c r="AA681" s="1462"/>
    </row>
    <row r="682">
      <c r="A682" s="1493"/>
      <c r="B682" s="1494"/>
      <c r="C682" s="1493"/>
      <c r="D682" s="1493"/>
      <c r="E682" s="1495"/>
      <c r="F682" s="1462"/>
      <c r="G682" s="1462"/>
      <c r="H682" s="1462"/>
      <c r="I682" s="1462"/>
      <c r="J682" s="1462"/>
      <c r="K682" s="1462"/>
      <c r="L682" s="1462"/>
      <c r="M682" s="1462"/>
      <c r="N682" s="1462"/>
      <c r="O682" s="1462"/>
      <c r="P682" s="1462"/>
      <c r="Q682" s="1462"/>
      <c r="R682" s="1462"/>
      <c r="S682" s="1462"/>
      <c r="T682" s="1462"/>
      <c r="U682" s="1462"/>
      <c r="V682" s="1462"/>
      <c r="W682" s="1462"/>
      <c r="X682" s="1462"/>
      <c r="Y682" s="1462"/>
      <c r="Z682" s="1462"/>
      <c r="AA682" s="1462"/>
    </row>
    <row r="683">
      <c r="A683" s="1493"/>
      <c r="B683" s="1494"/>
      <c r="C683" s="1493"/>
      <c r="D683" s="1493"/>
      <c r="E683" s="1495"/>
      <c r="F683" s="1462"/>
      <c r="G683" s="1462"/>
      <c r="H683" s="1462"/>
      <c r="I683" s="1462"/>
      <c r="J683" s="1462"/>
      <c r="K683" s="1462"/>
      <c r="L683" s="1462"/>
      <c r="M683" s="1462"/>
      <c r="N683" s="1462"/>
      <c r="O683" s="1462"/>
      <c r="P683" s="1462"/>
      <c r="Q683" s="1462"/>
      <c r="R683" s="1462"/>
      <c r="S683" s="1462"/>
      <c r="T683" s="1462"/>
      <c r="U683" s="1462"/>
      <c r="V683" s="1462"/>
      <c r="W683" s="1462"/>
      <c r="X683" s="1462"/>
      <c r="Y683" s="1462"/>
      <c r="Z683" s="1462"/>
      <c r="AA683" s="1462"/>
    </row>
    <row r="684">
      <c r="A684" s="1493"/>
      <c r="B684" s="1494"/>
      <c r="C684" s="1493"/>
      <c r="D684" s="1493"/>
      <c r="E684" s="1495"/>
      <c r="F684" s="1462"/>
      <c r="G684" s="1462"/>
      <c r="H684" s="1462"/>
      <c r="I684" s="1462"/>
      <c r="J684" s="1462"/>
      <c r="K684" s="1462"/>
      <c r="L684" s="1462"/>
      <c r="M684" s="1462"/>
      <c r="N684" s="1462"/>
      <c r="O684" s="1462"/>
      <c r="P684" s="1462"/>
      <c r="Q684" s="1462"/>
      <c r="R684" s="1462"/>
      <c r="S684" s="1462"/>
      <c r="T684" s="1462"/>
      <c r="U684" s="1462"/>
      <c r="V684" s="1462"/>
      <c r="W684" s="1462"/>
      <c r="X684" s="1462"/>
      <c r="Y684" s="1462"/>
      <c r="Z684" s="1462"/>
      <c r="AA684" s="1462"/>
    </row>
    <row r="685">
      <c r="A685" s="1493"/>
      <c r="B685" s="1494"/>
      <c r="C685" s="1493"/>
      <c r="D685" s="1493"/>
      <c r="E685" s="1495"/>
      <c r="F685" s="1462"/>
      <c r="G685" s="1462"/>
      <c r="H685" s="1462"/>
      <c r="I685" s="1462"/>
      <c r="J685" s="1462"/>
      <c r="K685" s="1462"/>
      <c r="L685" s="1462"/>
      <c r="M685" s="1462"/>
      <c r="N685" s="1462"/>
      <c r="O685" s="1462"/>
      <c r="P685" s="1462"/>
      <c r="Q685" s="1462"/>
      <c r="R685" s="1462"/>
      <c r="S685" s="1462"/>
      <c r="T685" s="1462"/>
      <c r="U685" s="1462"/>
      <c r="V685" s="1462"/>
      <c r="W685" s="1462"/>
      <c r="X685" s="1462"/>
      <c r="Y685" s="1462"/>
      <c r="Z685" s="1462"/>
      <c r="AA685" s="1462"/>
    </row>
    <row r="686">
      <c r="A686" s="1493"/>
      <c r="B686" s="1494"/>
      <c r="C686" s="1493"/>
      <c r="D686" s="1493"/>
      <c r="E686" s="1495"/>
      <c r="F686" s="1462"/>
      <c r="G686" s="1462"/>
      <c r="H686" s="1462"/>
      <c r="I686" s="1462"/>
      <c r="J686" s="1462"/>
      <c r="K686" s="1462"/>
      <c r="L686" s="1462"/>
      <c r="M686" s="1462"/>
      <c r="N686" s="1462"/>
      <c r="O686" s="1462"/>
      <c r="P686" s="1462"/>
      <c r="Q686" s="1462"/>
      <c r="R686" s="1462"/>
      <c r="S686" s="1462"/>
      <c r="T686" s="1462"/>
      <c r="U686" s="1462"/>
      <c r="V686" s="1462"/>
      <c r="W686" s="1462"/>
      <c r="X686" s="1462"/>
      <c r="Y686" s="1462"/>
      <c r="Z686" s="1462"/>
      <c r="AA686" s="1462"/>
    </row>
    <row r="687">
      <c r="A687" s="1493"/>
      <c r="B687" s="1494"/>
      <c r="C687" s="1493"/>
      <c r="D687" s="1493"/>
      <c r="E687" s="1495"/>
      <c r="F687" s="1462"/>
      <c r="G687" s="1462"/>
      <c r="H687" s="1462"/>
      <c r="I687" s="1462"/>
      <c r="J687" s="1462"/>
      <c r="K687" s="1462"/>
      <c r="L687" s="1462"/>
      <c r="M687" s="1462"/>
      <c r="N687" s="1462"/>
      <c r="O687" s="1462"/>
      <c r="P687" s="1462"/>
      <c r="Q687" s="1462"/>
      <c r="R687" s="1462"/>
      <c r="S687" s="1462"/>
      <c r="T687" s="1462"/>
      <c r="U687" s="1462"/>
      <c r="V687" s="1462"/>
      <c r="W687" s="1462"/>
      <c r="X687" s="1462"/>
      <c r="Y687" s="1462"/>
      <c r="Z687" s="1462"/>
      <c r="AA687" s="1462"/>
    </row>
    <row r="688">
      <c r="A688" s="1493"/>
      <c r="B688" s="1494"/>
      <c r="C688" s="1493"/>
      <c r="D688" s="1493"/>
      <c r="E688" s="1495"/>
      <c r="F688" s="1462"/>
      <c r="G688" s="1462"/>
      <c r="H688" s="1462"/>
      <c r="I688" s="1462"/>
      <c r="J688" s="1462"/>
      <c r="K688" s="1462"/>
      <c r="L688" s="1462"/>
      <c r="M688" s="1462"/>
      <c r="N688" s="1462"/>
      <c r="O688" s="1462"/>
      <c r="P688" s="1462"/>
      <c r="Q688" s="1462"/>
      <c r="R688" s="1462"/>
      <c r="S688" s="1462"/>
      <c r="T688" s="1462"/>
      <c r="U688" s="1462"/>
      <c r="V688" s="1462"/>
      <c r="W688" s="1462"/>
      <c r="X688" s="1462"/>
      <c r="Y688" s="1462"/>
      <c r="Z688" s="1462"/>
      <c r="AA688" s="1462"/>
    </row>
    <row r="689">
      <c r="A689" s="1493"/>
      <c r="B689" s="1494"/>
      <c r="C689" s="1493"/>
      <c r="D689" s="1493"/>
      <c r="E689" s="1495"/>
      <c r="F689" s="1462"/>
      <c r="G689" s="1462"/>
      <c r="H689" s="1462"/>
      <c r="I689" s="1462"/>
      <c r="J689" s="1462"/>
      <c r="K689" s="1462"/>
      <c r="L689" s="1462"/>
      <c r="M689" s="1462"/>
      <c r="N689" s="1462"/>
      <c r="O689" s="1462"/>
      <c r="P689" s="1462"/>
      <c r="Q689" s="1462"/>
      <c r="R689" s="1462"/>
      <c r="S689" s="1462"/>
      <c r="T689" s="1462"/>
      <c r="U689" s="1462"/>
      <c r="V689" s="1462"/>
      <c r="W689" s="1462"/>
      <c r="X689" s="1462"/>
      <c r="Y689" s="1462"/>
      <c r="Z689" s="1462"/>
      <c r="AA689" s="1462"/>
    </row>
    <row r="690">
      <c r="A690" s="1493"/>
      <c r="B690" s="1494"/>
      <c r="C690" s="1493"/>
      <c r="D690" s="1493"/>
      <c r="E690" s="1495"/>
      <c r="F690" s="1462"/>
      <c r="G690" s="1462"/>
      <c r="H690" s="1462"/>
      <c r="I690" s="1462"/>
      <c r="J690" s="1462"/>
      <c r="K690" s="1462"/>
      <c r="L690" s="1462"/>
      <c r="M690" s="1462"/>
      <c r="N690" s="1462"/>
      <c r="O690" s="1462"/>
      <c r="P690" s="1462"/>
      <c r="Q690" s="1462"/>
      <c r="R690" s="1462"/>
      <c r="S690" s="1462"/>
      <c r="T690" s="1462"/>
      <c r="U690" s="1462"/>
      <c r="V690" s="1462"/>
      <c r="W690" s="1462"/>
      <c r="X690" s="1462"/>
      <c r="Y690" s="1462"/>
      <c r="Z690" s="1462"/>
      <c r="AA690" s="1462"/>
    </row>
    <row r="691">
      <c r="A691" s="1493"/>
      <c r="B691" s="1494"/>
      <c r="C691" s="1493"/>
      <c r="D691" s="1493"/>
      <c r="E691" s="1495"/>
      <c r="F691" s="1462"/>
      <c r="G691" s="1462"/>
      <c r="H691" s="1462"/>
      <c r="I691" s="1462"/>
      <c r="J691" s="1462"/>
      <c r="K691" s="1462"/>
      <c r="L691" s="1462"/>
      <c r="M691" s="1462"/>
      <c r="N691" s="1462"/>
      <c r="O691" s="1462"/>
      <c r="P691" s="1462"/>
      <c r="Q691" s="1462"/>
      <c r="R691" s="1462"/>
      <c r="S691" s="1462"/>
      <c r="T691" s="1462"/>
      <c r="U691" s="1462"/>
      <c r="V691" s="1462"/>
      <c r="W691" s="1462"/>
      <c r="X691" s="1462"/>
      <c r="Y691" s="1462"/>
      <c r="Z691" s="1462"/>
      <c r="AA691" s="1462"/>
    </row>
    <row r="692">
      <c r="A692" s="1493"/>
      <c r="B692" s="1494"/>
      <c r="C692" s="1493"/>
      <c r="D692" s="1493"/>
      <c r="E692" s="1495"/>
      <c r="F692" s="1462"/>
      <c r="G692" s="1462"/>
      <c r="H692" s="1462"/>
      <c r="I692" s="1462"/>
      <c r="J692" s="1462"/>
      <c r="K692" s="1462"/>
      <c r="L692" s="1462"/>
      <c r="M692" s="1462"/>
      <c r="N692" s="1462"/>
      <c r="O692" s="1462"/>
      <c r="P692" s="1462"/>
      <c r="Q692" s="1462"/>
      <c r="R692" s="1462"/>
      <c r="S692" s="1462"/>
      <c r="T692" s="1462"/>
      <c r="U692" s="1462"/>
      <c r="V692" s="1462"/>
      <c r="W692" s="1462"/>
      <c r="X692" s="1462"/>
      <c r="Y692" s="1462"/>
      <c r="Z692" s="1462"/>
      <c r="AA692" s="1462"/>
    </row>
    <row r="693">
      <c r="A693" s="1493"/>
      <c r="B693" s="1494"/>
      <c r="C693" s="1493"/>
      <c r="D693" s="1493"/>
      <c r="E693" s="1495"/>
      <c r="F693" s="1462"/>
      <c r="G693" s="1462"/>
      <c r="H693" s="1462"/>
      <c r="I693" s="1462"/>
      <c r="J693" s="1462"/>
      <c r="K693" s="1462"/>
      <c r="L693" s="1462"/>
      <c r="M693" s="1462"/>
      <c r="N693" s="1462"/>
      <c r="O693" s="1462"/>
      <c r="P693" s="1462"/>
      <c r="Q693" s="1462"/>
      <c r="R693" s="1462"/>
      <c r="S693" s="1462"/>
      <c r="T693" s="1462"/>
      <c r="U693" s="1462"/>
      <c r="V693" s="1462"/>
      <c r="W693" s="1462"/>
      <c r="X693" s="1462"/>
      <c r="Y693" s="1462"/>
      <c r="Z693" s="1462"/>
      <c r="AA693" s="1462"/>
    </row>
    <row r="694">
      <c r="A694" s="1493"/>
      <c r="B694" s="1494"/>
      <c r="C694" s="1493"/>
      <c r="D694" s="1493"/>
      <c r="E694" s="1495"/>
      <c r="F694" s="1462"/>
      <c r="G694" s="1462"/>
      <c r="H694" s="1462"/>
      <c r="I694" s="1462"/>
      <c r="J694" s="1462"/>
      <c r="K694" s="1462"/>
      <c r="L694" s="1462"/>
      <c r="M694" s="1462"/>
      <c r="N694" s="1462"/>
      <c r="O694" s="1462"/>
      <c r="P694" s="1462"/>
      <c r="Q694" s="1462"/>
      <c r="R694" s="1462"/>
      <c r="S694" s="1462"/>
      <c r="T694" s="1462"/>
      <c r="U694" s="1462"/>
      <c r="V694" s="1462"/>
      <c r="W694" s="1462"/>
      <c r="X694" s="1462"/>
      <c r="Y694" s="1462"/>
      <c r="Z694" s="1462"/>
      <c r="AA694" s="1462"/>
    </row>
    <row r="695">
      <c r="A695" s="1493"/>
      <c r="B695" s="1494"/>
      <c r="C695" s="1493"/>
      <c r="D695" s="1493"/>
      <c r="E695" s="1495"/>
      <c r="F695" s="1462"/>
      <c r="G695" s="1462"/>
      <c r="H695" s="1462"/>
      <c r="I695" s="1462"/>
      <c r="J695" s="1462"/>
      <c r="K695" s="1462"/>
      <c r="L695" s="1462"/>
      <c r="M695" s="1462"/>
      <c r="N695" s="1462"/>
      <c r="O695" s="1462"/>
      <c r="P695" s="1462"/>
      <c r="Q695" s="1462"/>
      <c r="R695" s="1462"/>
      <c r="S695" s="1462"/>
      <c r="T695" s="1462"/>
      <c r="U695" s="1462"/>
      <c r="V695" s="1462"/>
      <c r="W695" s="1462"/>
      <c r="X695" s="1462"/>
      <c r="Y695" s="1462"/>
      <c r="Z695" s="1462"/>
      <c r="AA695" s="1462"/>
    </row>
    <row r="696">
      <c r="A696" s="1493"/>
      <c r="B696" s="1494"/>
      <c r="C696" s="1493"/>
      <c r="D696" s="1493"/>
      <c r="E696" s="1495"/>
      <c r="F696" s="1462"/>
      <c r="G696" s="1462"/>
      <c r="H696" s="1462"/>
      <c r="I696" s="1462"/>
      <c r="J696" s="1462"/>
      <c r="K696" s="1462"/>
      <c r="L696" s="1462"/>
      <c r="M696" s="1462"/>
      <c r="N696" s="1462"/>
      <c r="O696" s="1462"/>
      <c r="P696" s="1462"/>
      <c r="Q696" s="1462"/>
      <c r="R696" s="1462"/>
      <c r="S696" s="1462"/>
      <c r="T696" s="1462"/>
      <c r="U696" s="1462"/>
      <c r="V696" s="1462"/>
      <c r="W696" s="1462"/>
      <c r="X696" s="1462"/>
      <c r="Y696" s="1462"/>
      <c r="Z696" s="1462"/>
      <c r="AA696" s="1462"/>
    </row>
    <row r="697">
      <c r="A697" s="1493"/>
      <c r="B697" s="1494"/>
      <c r="C697" s="1493"/>
      <c r="D697" s="1493"/>
      <c r="E697" s="1495"/>
      <c r="F697" s="1462"/>
      <c r="G697" s="1462"/>
      <c r="H697" s="1462"/>
      <c r="I697" s="1462"/>
      <c r="J697" s="1462"/>
      <c r="K697" s="1462"/>
      <c r="L697" s="1462"/>
      <c r="M697" s="1462"/>
      <c r="N697" s="1462"/>
      <c r="O697" s="1462"/>
      <c r="P697" s="1462"/>
      <c r="Q697" s="1462"/>
      <c r="R697" s="1462"/>
      <c r="S697" s="1462"/>
      <c r="T697" s="1462"/>
      <c r="U697" s="1462"/>
      <c r="V697" s="1462"/>
      <c r="W697" s="1462"/>
      <c r="X697" s="1462"/>
      <c r="Y697" s="1462"/>
      <c r="Z697" s="1462"/>
      <c r="AA697" s="1462"/>
    </row>
    <row r="698">
      <c r="A698" s="1493"/>
      <c r="B698" s="1494"/>
      <c r="C698" s="1493"/>
      <c r="D698" s="1493"/>
      <c r="E698" s="1495"/>
      <c r="F698" s="1462"/>
      <c r="G698" s="1462"/>
      <c r="H698" s="1462"/>
      <c r="I698" s="1462"/>
      <c r="J698" s="1462"/>
      <c r="K698" s="1462"/>
      <c r="L698" s="1462"/>
      <c r="M698" s="1462"/>
      <c r="N698" s="1462"/>
      <c r="O698" s="1462"/>
      <c r="P698" s="1462"/>
      <c r="Q698" s="1462"/>
      <c r="R698" s="1462"/>
      <c r="S698" s="1462"/>
      <c r="T698" s="1462"/>
      <c r="U698" s="1462"/>
      <c r="V698" s="1462"/>
      <c r="W698" s="1462"/>
      <c r="X698" s="1462"/>
      <c r="Y698" s="1462"/>
      <c r="Z698" s="1462"/>
      <c r="AA698" s="1462"/>
    </row>
    <row r="699">
      <c r="A699" s="1493"/>
      <c r="B699" s="1494"/>
      <c r="C699" s="1493"/>
      <c r="D699" s="1493"/>
      <c r="E699" s="1495"/>
      <c r="F699" s="1462"/>
      <c r="G699" s="1462"/>
      <c r="H699" s="1462"/>
      <c r="I699" s="1462"/>
      <c r="J699" s="1462"/>
      <c r="K699" s="1462"/>
      <c r="L699" s="1462"/>
      <c r="M699" s="1462"/>
      <c r="N699" s="1462"/>
      <c r="O699" s="1462"/>
      <c r="P699" s="1462"/>
      <c r="Q699" s="1462"/>
      <c r="R699" s="1462"/>
      <c r="S699" s="1462"/>
      <c r="T699" s="1462"/>
      <c r="U699" s="1462"/>
      <c r="V699" s="1462"/>
      <c r="W699" s="1462"/>
      <c r="X699" s="1462"/>
      <c r="Y699" s="1462"/>
      <c r="Z699" s="1462"/>
      <c r="AA699" s="1462"/>
    </row>
    <row r="700">
      <c r="A700" s="1493"/>
      <c r="B700" s="1494"/>
      <c r="C700" s="1493"/>
      <c r="D700" s="1493"/>
      <c r="E700" s="1495"/>
      <c r="F700" s="1462"/>
      <c r="G700" s="1462"/>
      <c r="H700" s="1462"/>
      <c r="I700" s="1462"/>
      <c r="J700" s="1462"/>
      <c r="K700" s="1462"/>
      <c r="L700" s="1462"/>
      <c r="M700" s="1462"/>
      <c r="N700" s="1462"/>
      <c r="O700" s="1462"/>
      <c r="P700" s="1462"/>
      <c r="Q700" s="1462"/>
      <c r="R700" s="1462"/>
      <c r="S700" s="1462"/>
      <c r="T700" s="1462"/>
      <c r="U700" s="1462"/>
      <c r="V700" s="1462"/>
      <c r="W700" s="1462"/>
      <c r="X700" s="1462"/>
      <c r="Y700" s="1462"/>
      <c r="Z700" s="1462"/>
      <c r="AA700" s="1462"/>
    </row>
    <row r="701">
      <c r="A701" s="1493"/>
      <c r="B701" s="1494"/>
      <c r="C701" s="1493"/>
      <c r="D701" s="1493"/>
      <c r="E701" s="1495"/>
      <c r="F701" s="1462"/>
      <c r="G701" s="1462"/>
      <c r="H701" s="1462"/>
      <c r="I701" s="1462"/>
      <c r="J701" s="1462"/>
      <c r="K701" s="1462"/>
      <c r="L701" s="1462"/>
      <c r="M701" s="1462"/>
      <c r="N701" s="1462"/>
      <c r="O701" s="1462"/>
      <c r="P701" s="1462"/>
      <c r="Q701" s="1462"/>
      <c r="R701" s="1462"/>
      <c r="S701" s="1462"/>
      <c r="T701" s="1462"/>
      <c r="U701" s="1462"/>
      <c r="V701" s="1462"/>
      <c r="W701" s="1462"/>
      <c r="X701" s="1462"/>
      <c r="Y701" s="1462"/>
      <c r="Z701" s="1462"/>
      <c r="AA701" s="1462"/>
    </row>
    <row r="702">
      <c r="A702" s="1493"/>
      <c r="B702" s="1494"/>
      <c r="C702" s="1493"/>
      <c r="D702" s="1493"/>
      <c r="E702" s="1495"/>
      <c r="F702" s="1462"/>
      <c r="G702" s="1462"/>
      <c r="H702" s="1462"/>
      <c r="I702" s="1462"/>
      <c r="J702" s="1462"/>
      <c r="K702" s="1462"/>
      <c r="L702" s="1462"/>
      <c r="M702" s="1462"/>
      <c r="N702" s="1462"/>
      <c r="O702" s="1462"/>
      <c r="P702" s="1462"/>
      <c r="Q702" s="1462"/>
      <c r="R702" s="1462"/>
      <c r="S702" s="1462"/>
      <c r="T702" s="1462"/>
      <c r="U702" s="1462"/>
      <c r="V702" s="1462"/>
      <c r="W702" s="1462"/>
      <c r="X702" s="1462"/>
      <c r="Y702" s="1462"/>
      <c r="Z702" s="1462"/>
      <c r="AA702" s="1462"/>
    </row>
    <row r="703">
      <c r="A703" s="1493"/>
      <c r="B703" s="1494"/>
      <c r="C703" s="1493"/>
      <c r="D703" s="1493"/>
      <c r="E703" s="1495"/>
      <c r="F703" s="1462"/>
      <c r="G703" s="1462"/>
      <c r="H703" s="1462"/>
      <c r="I703" s="1462"/>
      <c r="J703" s="1462"/>
      <c r="K703" s="1462"/>
      <c r="L703" s="1462"/>
      <c r="M703" s="1462"/>
      <c r="N703" s="1462"/>
      <c r="O703" s="1462"/>
      <c r="P703" s="1462"/>
      <c r="Q703" s="1462"/>
      <c r="R703" s="1462"/>
      <c r="S703" s="1462"/>
      <c r="T703" s="1462"/>
      <c r="U703" s="1462"/>
      <c r="V703" s="1462"/>
      <c r="W703" s="1462"/>
      <c r="X703" s="1462"/>
      <c r="Y703" s="1462"/>
      <c r="Z703" s="1462"/>
      <c r="AA703" s="1462"/>
    </row>
    <row r="704">
      <c r="A704" s="1493"/>
      <c r="B704" s="1494"/>
      <c r="C704" s="1493"/>
      <c r="D704" s="1493"/>
      <c r="E704" s="1495"/>
      <c r="F704" s="1462"/>
      <c r="G704" s="1462"/>
      <c r="H704" s="1462"/>
      <c r="I704" s="1462"/>
      <c r="J704" s="1462"/>
      <c r="K704" s="1462"/>
      <c r="L704" s="1462"/>
      <c r="M704" s="1462"/>
      <c r="N704" s="1462"/>
      <c r="O704" s="1462"/>
      <c r="P704" s="1462"/>
      <c r="Q704" s="1462"/>
      <c r="R704" s="1462"/>
      <c r="S704" s="1462"/>
      <c r="T704" s="1462"/>
      <c r="U704" s="1462"/>
      <c r="V704" s="1462"/>
      <c r="W704" s="1462"/>
      <c r="X704" s="1462"/>
      <c r="Y704" s="1462"/>
      <c r="Z704" s="1462"/>
      <c r="AA704" s="1462"/>
    </row>
    <row r="705">
      <c r="A705" s="1493"/>
      <c r="B705" s="1494"/>
      <c r="C705" s="1493"/>
      <c r="D705" s="1493"/>
      <c r="E705" s="1495"/>
      <c r="F705" s="1462"/>
      <c r="G705" s="1462"/>
      <c r="H705" s="1462"/>
      <c r="I705" s="1462"/>
      <c r="J705" s="1462"/>
      <c r="K705" s="1462"/>
      <c r="L705" s="1462"/>
      <c r="M705" s="1462"/>
      <c r="N705" s="1462"/>
      <c r="O705" s="1462"/>
      <c r="P705" s="1462"/>
      <c r="Q705" s="1462"/>
      <c r="R705" s="1462"/>
      <c r="S705" s="1462"/>
      <c r="T705" s="1462"/>
      <c r="U705" s="1462"/>
      <c r="V705" s="1462"/>
      <c r="W705" s="1462"/>
      <c r="X705" s="1462"/>
      <c r="Y705" s="1462"/>
      <c r="Z705" s="1462"/>
      <c r="AA705" s="1462"/>
    </row>
    <row r="706">
      <c r="A706" s="1493"/>
      <c r="B706" s="1494"/>
      <c r="C706" s="1493"/>
      <c r="D706" s="1493"/>
      <c r="E706" s="1495"/>
      <c r="F706" s="1462"/>
      <c r="G706" s="1462"/>
      <c r="H706" s="1462"/>
      <c r="I706" s="1462"/>
      <c r="J706" s="1462"/>
      <c r="K706" s="1462"/>
      <c r="L706" s="1462"/>
      <c r="M706" s="1462"/>
      <c r="N706" s="1462"/>
      <c r="O706" s="1462"/>
      <c r="P706" s="1462"/>
      <c r="Q706" s="1462"/>
      <c r="R706" s="1462"/>
      <c r="S706" s="1462"/>
      <c r="T706" s="1462"/>
      <c r="U706" s="1462"/>
      <c r="V706" s="1462"/>
      <c r="W706" s="1462"/>
      <c r="X706" s="1462"/>
      <c r="Y706" s="1462"/>
      <c r="Z706" s="1462"/>
      <c r="AA706" s="1462"/>
    </row>
    <row r="707">
      <c r="A707" s="1493"/>
      <c r="B707" s="1494"/>
      <c r="C707" s="1493"/>
      <c r="D707" s="1493"/>
      <c r="E707" s="1495"/>
      <c r="F707" s="1462"/>
      <c r="G707" s="1462"/>
      <c r="H707" s="1462"/>
      <c r="I707" s="1462"/>
      <c r="J707" s="1462"/>
      <c r="K707" s="1462"/>
      <c r="L707" s="1462"/>
      <c r="M707" s="1462"/>
      <c r="N707" s="1462"/>
      <c r="O707" s="1462"/>
      <c r="P707" s="1462"/>
      <c r="Q707" s="1462"/>
      <c r="R707" s="1462"/>
      <c r="S707" s="1462"/>
      <c r="T707" s="1462"/>
      <c r="U707" s="1462"/>
      <c r="V707" s="1462"/>
      <c r="W707" s="1462"/>
      <c r="X707" s="1462"/>
      <c r="Y707" s="1462"/>
      <c r="Z707" s="1462"/>
      <c r="AA707" s="1462"/>
    </row>
    <row r="708">
      <c r="A708" s="1493"/>
      <c r="B708" s="1494"/>
      <c r="C708" s="1493"/>
      <c r="D708" s="1493"/>
      <c r="E708" s="1495"/>
      <c r="F708" s="1462"/>
      <c r="G708" s="1462"/>
      <c r="H708" s="1462"/>
      <c r="I708" s="1462"/>
      <c r="J708" s="1462"/>
      <c r="K708" s="1462"/>
      <c r="L708" s="1462"/>
      <c r="M708" s="1462"/>
      <c r="N708" s="1462"/>
      <c r="O708" s="1462"/>
      <c r="P708" s="1462"/>
      <c r="Q708" s="1462"/>
      <c r="R708" s="1462"/>
      <c r="S708" s="1462"/>
      <c r="T708" s="1462"/>
      <c r="U708" s="1462"/>
      <c r="V708" s="1462"/>
      <c r="W708" s="1462"/>
      <c r="X708" s="1462"/>
      <c r="Y708" s="1462"/>
      <c r="Z708" s="1462"/>
      <c r="AA708" s="1462"/>
    </row>
    <row r="709">
      <c r="A709" s="1493"/>
      <c r="B709" s="1494"/>
      <c r="C709" s="1493"/>
      <c r="D709" s="1493"/>
      <c r="E709" s="1495"/>
      <c r="F709" s="1462"/>
      <c r="G709" s="1462"/>
      <c r="H709" s="1462"/>
      <c r="I709" s="1462"/>
      <c r="J709" s="1462"/>
      <c r="K709" s="1462"/>
      <c r="L709" s="1462"/>
      <c r="M709" s="1462"/>
      <c r="N709" s="1462"/>
      <c r="O709" s="1462"/>
      <c r="P709" s="1462"/>
      <c r="Q709" s="1462"/>
      <c r="R709" s="1462"/>
      <c r="S709" s="1462"/>
      <c r="T709" s="1462"/>
      <c r="U709" s="1462"/>
      <c r="V709" s="1462"/>
      <c r="W709" s="1462"/>
      <c r="X709" s="1462"/>
      <c r="Y709" s="1462"/>
      <c r="Z709" s="1462"/>
      <c r="AA709" s="1462"/>
    </row>
    <row r="710">
      <c r="A710" s="1493"/>
      <c r="B710" s="1494"/>
      <c r="C710" s="1493"/>
      <c r="D710" s="1493"/>
      <c r="E710" s="1495"/>
      <c r="F710" s="1462"/>
      <c r="G710" s="1462"/>
      <c r="H710" s="1462"/>
      <c r="I710" s="1462"/>
      <c r="J710" s="1462"/>
      <c r="K710" s="1462"/>
      <c r="L710" s="1462"/>
      <c r="M710" s="1462"/>
      <c r="N710" s="1462"/>
      <c r="O710" s="1462"/>
      <c r="P710" s="1462"/>
      <c r="Q710" s="1462"/>
      <c r="R710" s="1462"/>
      <c r="S710" s="1462"/>
      <c r="T710" s="1462"/>
      <c r="U710" s="1462"/>
      <c r="V710" s="1462"/>
      <c r="W710" s="1462"/>
      <c r="X710" s="1462"/>
      <c r="Y710" s="1462"/>
      <c r="Z710" s="1462"/>
      <c r="AA710" s="1462"/>
    </row>
    <row r="711">
      <c r="A711" s="1493"/>
      <c r="B711" s="1494"/>
      <c r="C711" s="1493"/>
      <c r="D711" s="1493"/>
      <c r="E711" s="1495"/>
      <c r="F711" s="1462"/>
      <c r="G711" s="1462"/>
      <c r="H711" s="1462"/>
      <c r="I711" s="1462"/>
      <c r="J711" s="1462"/>
      <c r="K711" s="1462"/>
      <c r="L711" s="1462"/>
      <c r="M711" s="1462"/>
      <c r="N711" s="1462"/>
      <c r="O711" s="1462"/>
      <c r="P711" s="1462"/>
      <c r="Q711" s="1462"/>
      <c r="R711" s="1462"/>
      <c r="S711" s="1462"/>
      <c r="T711" s="1462"/>
      <c r="U711" s="1462"/>
      <c r="V711" s="1462"/>
      <c r="W711" s="1462"/>
      <c r="X711" s="1462"/>
      <c r="Y711" s="1462"/>
      <c r="Z711" s="1462"/>
      <c r="AA711" s="1462"/>
    </row>
    <row r="712">
      <c r="A712" s="1493"/>
      <c r="B712" s="1494"/>
      <c r="C712" s="1493"/>
      <c r="D712" s="1493"/>
      <c r="E712" s="1495"/>
      <c r="F712" s="1462"/>
      <c r="G712" s="1462"/>
      <c r="H712" s="1462"/>
      <c r="I712" s="1462"/>
      <c r="J712" s="1462"/>
      <c r="K712" s="1462"/>
      <c r="L712" s="1462"/>
      <c r="M712" s="1462"/>
      <c r="N712" s="1462"/>
      <c r="O712" s="1462"/>
      <c r="P712" s="1462"/>
      <c r="Q712" s="1462"/>
      <c r="R712" s="1462"/>
      <c r="S712" s="1462"/>
      <c r="T712" s="1462"/>
      <c r="U712" s="1462"/>
      <c r="V712" s="1462"/>
      <c r="W712" s="1462"/>
      <c r="X712" s="1462"/>
      <c r="Y712" s="1462"/>
      <c r="Z712" s="1462"/>
      <c r="AA712" s="1462"/>
    </row>
    <row r="713">
      <c r="A713" s="1493"/>
      <c r="B713" s="1494"/>
      <c r="C713" s="1493"/>
      <c r="D713" s="1493"/>
      <c r="E713" s="1495"/>
      <c r="F713" s="1462"/>
      <c r="G713" s="1462"/>
      <c r="H713" s="1462"/>
      <c r="I713" s="1462"/>
      <c r="J713" s="1462"/>
      <c r="K713" s="1462"/>
      <c r="L713" s="1462"/>
      <c r="M713" s="1462"/>
      <c r="N713" s="1462"/>
      <c r="O713" s="1462"/>
      <c r="P713" s="1462"/>
      <c r="Q713" s="1462"/>
      <c r="R713" s="1462"/>
      <c r="S713" s="1462"/>
      <c r="T713" s="1462"/>
      <c r="U713" s="1462"/>
      <c r="V713" s="1462"/>
      <c r="W713" s="1462"/>
      <c r="X713" s="1462"/>
      <c r="Y713" s="1462"/>
      <c r="Z713" s="1462"/>
      <c r="AA713" s="1462"/>
    </row>
    <row r="714">
      <c r="A714" s="1493"/>
      <c r="B714" s="1494"/>
      <c r="C714" s="1493"/>
      <c r="D714" s="1493"/>
      <c r="E714" s="1495"/>
      <c r="F714" s="1462"/>
      <c r="G714" s="1462"/>
      <c r="H714" s="1462"/>
      <c r="I714" s="1462"/>
      <c r="J714" s="1462"/>
      <c r="K714" s="1462"/>
      <c r="L714" s="1462"/>
      <c r="M714" s="1462"/>
      <c r="N714" s="1462"/>
      <c r="O714" s="1462"/>
      <c r="P714" s="1462"/>
      <c r="Q714" s="1462"/>
      <c r="R714" s="1462"/>
      <c r="S714" s="1462"/>
      <c r="T714" s="1462"/>
      <c r="U714" s="1462"/>
      <c r="V714" s="1462"/>
      <c r="W714" s="1462"/>
      <c r="X714" s="1462"/>
      <c r="Y714" s="1462"/>
      <c r="Z714" s="1462"/>
      <c r="AA714" s="1462"/>
    </row>
    <row r="715">
      <c r="A715" s="1493"/>
      <c r="B715" s="1494"/>
      <c r="C715" s="1493"/>
      <c r="D715" s="1493"/>
      <c r="E715" s="1495"/>
      <c r="F715" s="1462"/>
      <c r="G715" s="1462"/>
      <c r="H715" s="1462"/>
      <c r="I715" s="1462"/>
      <c r="J715" s="1462"/>
      <c r="K715" s="1462"/>
      <c r="L715" s="1462"/>
      <c r="M715" s="1462"/>
      <c r="N715" s="1462"/>
      <c r="O715" s="1462"/>
      <c r="P715" s="1462"/>
      <c r="Q715" s="1462"/>
      <c r="R715" s="1462"/>
      <c r="S715" s="1462"/>
      <c r="T715" s="1462"/>
      <c r="U715" s="1462"/>
      <c r="V715" s="1462"/>
      <c r="W715" s="1462"/>
      <c r="X715" s="1462"/>
      <c r="Y715" s="1462"/>
      <c r="Z715" s="1462"/>
      <c r="AA715" s="1462"/>
    </row>
    <row r="716">
      <c r="A716" s="1493"/>
      <c r="B716" s="1494"/>
      <c r="C716" s="1493"/>
      <c r="D716" s="1493"/>
      <c r="E716" s="1495"/>
      <c r="F716" s="1462"/>
      <c r="G716" s="1462"/>
      <c r="H716" s="1462"/>
      <c r="I716" s="1462"/>
      <c r="J716" s="1462"/>
      <c r="K716" s="1462"/>
      <c r="L716" s="1462"/>
      <c r="M716" s="1462"/>
      <c r="N716" s="1462"/>
      <c r="O716" s="1462"/>
      <c r="P716" s="1462"/>
      <c r="Q716" s="1462"/>
      <c r="R716" s="1462"/>
      <c r="S716" s="1462"/>
      <c r="T716" s="1462"/>
      <c r="U716" s="1462"/>
      <c r="V716" s="1462"/>
      <c r="W716" s="1462"/>
      <c r="X716" s="1462"/>
      <c r="Y716" s="1462"/>
      <c r="Z716" s="1462"/>
      <c r="AA716" s="1462"/>
    </row>
    <row r="717">
      <c r="A717" s="1493"/>
      <c r="B717" s="1494"/>
      <c r="C717" s="1493"/>
      <c r="D717" s="1493"/>
      <c r="E717" s="1495"/>
      <c r="F717" s="1462"/>
      <c r="G717" s="1462"/>
      <c r="H717" s="1462"/>
      <c r="I717" s="1462"/>
      <c r="J717" s="1462"/>
      <c r="K717" s="1462"/>
      <c r="L717" s="1462"/>
      <c r="M717" s="1462"/>
      <c r="N717" s="1462"/>
      <c r="O717" s="1462"/>
      <c r="P717" s="1462"/>
      <c r="Q717" s="1462"/>
      <c r="R717" s="1462"/>
      <c r="S717" s="1462"/>
      <c r="T717" s="1462"/>
      <c r="U717" s="1462"/>
      <c r="V717" s="1462"/>
      <c r="W717" s="1462"/>
      <c r="X717" s="1462"/>
      <c r="Y717" s="1462"/>
      <c r="Z717" s="1462"/>
      <c r="AA717" s="1462"/>
    </row>
    <row r="718">
      <c r="A718" s="1493"/>
      <c r="B718" s="1494"/>
      <c r="C718" s="1493"/>
      <c r="D718" s="1493"/>
      <c r="E718" s="1495"/>
      <c r="F718" s="1462"/>
      <c r="G718" s="1462"/>
      <c r="H718" s="1462"/>
      <c r="I718" s="1462"/>
      <c r="J718" s="1462"/>
      <c r="K718" s="1462"/>
      <c r="L718" s="1462"/>
      <c r="M718" s="1462"/>
      <c r="N718" s="1462"/>
      <c r="O718" s="1462"/>
      <c r="P718" s="1462"/>
      <c r="Q718" s="1462"/>
      <c r="R718" s="1462"/>
      <c r="S718" s="1462"/>
      <c r="T718" s="1462"/>
      <c r="U718" s="1462"/>
      <c r="V718" s="1462"/>
      <c r="W718" s="1462"/>
      <c r="X718" s="1462"/>
      <c r="Y718" s="1462"/>
      <c r="Z718" s="1462"/>
      <c r="AA718" s="1462"/>
    </row>
    <row r="719">
      <c r="A719" s="1493"/>
      <c r="B719" s="1494"/>
      <c r="C719" s="1493"/>
      <c r="D719" s="1493"/>
      <c r="E719" s="1495"/>
      <c r="F719" s="1462"/>
      <c r="G719" s="1462"/>
      <c r="H719" s="1462"/>
      <c r="I719" s="1462"/>
      <c r="J719" s="1462"/>
      <c r="K719" s="1462"/>
      <c r="L719" s="1462"/>
      <c r="M719" s="1462"/>
      <c r="N719" s="1462"/>
      <c r="O719" s="1462"/>
      <c r="P719" s="1462"/>
      <c r="Q719" s="1462"/>
      <c r="R719" s="1462"/>
      <c r="S719" s="1462"/>
      <c r="T719" s="1462"/>
      <c r="U719" s="1462"/>
      <c r="V719" s="1462"/>
      <c r="W719" s="1462"/>
      <c r="X719" s="1462"/>
      <c r="Y719" s="1462"/>
      <c r="Z719" s="1462"/>
      <c r="AA719" s="1462"/>
    </row>
    <row r="720">
      <c r="A720" s="1493"/>
      <c r="B720" s="1494"/>
      <c r="C720" s="1493"/>
      <c r="D720" s="1493"/>
      <c r="E720" s="1495"/>
      <c r="F720" s="1462"/>
      <c r="G720" s="1462"/>
      <c r="H720" s="1462"/>
      <c r="I720" s="1462"/>
      <c r="J720" s="1462"/>
      <c r="K720" s="1462"/>
      <c r="L720" s="1462"/>
      <c r="M720" s="1462"/>
      <c r="N720" s="1462"/>
      <c r="O720" s="1462"/>
      <c r="P720" s="1462"/>
      <c r="Q720" s="1462"/>
      <c r="R720" s="1462"/>
      <c r="S720" s="1462"/>
      <c r="T720" s="1462"/>
      <c r="U720" s="1462"/>
      <c r="V720" s="1462"/>
      <c r="W720" s="1462"/>
      <c r="X720" s="1462"/>
      <c r="Y720" s="1462"/>
      <c r="Z720" s="1462"/>
      <c r="AA720" s="1462"/>
    </row>
    <row r="721">
      <c r="A721" s="1493"/>
      <c r="B721" s="1494"/>
      <c r="C721" s="1493"/>
      <c r="D721" s="1493"/>
      <c r="E721" s="1495"/>
      <c r="F721" s="1462"/>
      <c r="G721" s="1462"/>
      <c r="H721" s="1462"/>
      <c r="I721" s="1462"/>
      <c r="J721" s="1462"/>
      <c r="K721" s="1462"/>
      <c r="L721" s="1462"/>
      <c r="M721" s="1462"/>
      <c r="N721" s="1462"/>
      <c r="O721" s="1462"/>
      <c r="P721" s="1462"/>
      <c r="Q721" s="1462"/>
      <c r="R721" s="1462"/>
      <c r="S721" s="1462"/>
      <c r="T721" s="1462"/>
      <c r="U721" s="1462"/>
      <c r="V721" s="1462"/>
      <c r="W721" s="1462"/>
      <c r="X721" s="1462"/>
      <c r="Y721" s="1462"/>
      <c r="Z721" s="1462"/>
      <c r="AA721" s="1462"/>
    </row>
    <row r="722">
      <c r="A722" s="1493"/>
      <c r="B722" s="1494"/>
      <c r="C722" s="1493"/>
      <c r="D722" s="1493"/>
      <c r="E722" s="1495"/>
      <c r="F722" s="1462"/>
      <c r="G722" s="1462"/>
      <c r="H722" s="1462"/>
      <c r="I722" s="1462"/>
      <c r="J722" s="1462"/>
      <c r="K722" s="1462"/>
      <c r="L722" s="1462"/>
      <c r="M722" s="1462"/>
      <c r="N722" s="1462"/>
      <c r="O722" s="1462"/>
      <c r="P722" s="1462"/>
      <c r="Q722" s="1462"/>
      <c r="R722" s="1462"/>
      <c r="S722" s="1462"/>
      <c r="T722" s="1462"/>
      <c r="U722" s="1462"/>
      <c r="V722" s="1462"/>
      <c r="W722" s="1462"/>
      <c r="X722" s="1462"/>
      <c r="Y722" s="1462"/>
      <c r="Z722" s="1462"/>
      <c r="AA722" s="1462"/>
    </row>
    <row r="723">
      <c r="A723" s="1493"/>
      <c r="B723" s="1494"/>
      <c r="C723" s="1493"/>
      <c r="D723" s="1493"/>
      <c r="E723" s="1495"/>
      <c r="F723" s="1462"/>
      <c r="G723" s="1462"/>
      <c r="H723" s="1462"/>
      <c r="I723" s="1462"/>
      <c r="J723" s="1462"/>
      <c r="K723" s="1462"/>
      <c r="L723" s="1462"/>
      <c r="M723" s="1462"/>
      <c r="N723" s="1462"/>
      <c r="O723" s="1462"/>
      <c r="P723" s="1462"/>
      <c r="Q723" s="1462"/>
      <c r="R723" s="1462"/>
      <c r="S723" s="1462"/>
      <c r="T723" s="1462"/>
      <c r="U723" s="1462"/>
      <c r="V723" s="1462"/>
      <c r="W723" s="1462"/>
      <c r="X723" s="1462"/>
      <c r="Y723" s="1462"/>
      <c r="Z723" s="1462"/>
      <c r="AA723" s="1462"/>
    </row>
    <row r="724">
      <c r="A724" s="1493"/>
      <c r="B724" s="1494"/>
      <c r="C724" s="1493"/>
      <c r="D724" s="1493"/>
      <c r="E724" s="1495"/>
      <c r="F724" s="1462"/>
      <c r="G724" s="1462"/>
      <c r="H724" s="1462"/>
      <c r="I724" s="1462"/>
      <c r="J724" s="1462"/>
      <c r="K724" s="1462"/>
      <c r="L724" s="1462"/>
      <c r="M724" s="1462"/>
      <c r="N724" s="1462"/>
      <c r="O724" s="1462"/>
      <c r="P724" s="1462"/>
      <c r="Q724" s="1462"/>
      <c r="R724" s="1462"/>
      <c r="S724" s="1462"/>
      <c r="T724" s="1462"/>
      <c r="U724" s="1462"/>
      <c r="V724" s="1462"/>
      <c r="W724" s="1462"/>
      <c r="X724" s="1462"/>
      <c r="Y724" s="1462"/>
      <c r="Z724" s="1462"/>
      <c r="AA724" s="1462"/>
    </row>
    <row r="725">
      <c r="A725" s="1493"/>
      <c r="B725" s="1494"/>
      <c r="C725" s="1493"/>
      <c r="D725" s="1493"/>
      <c r="E725" s="1495"/>
      <c r="F725" s="1462"/>
      <c r="G725" s="1462"/>
      <c r="H725" s="1462"/>
      <c r="I725" s="1462"/>
      <c r="J725" s="1462"/>
      <c r="K725" s="1462"/>
      <c r="L725" s="1462"/>
      <c r="M725" s="1462"/>
      <c r="N725" s="1462"/>
      <c r="O725" s="1462"/>
      <c r="P725" s="1462"/>
      <c r="Q725" s="1462"/>
      <c r="R725" s="1462"/>
      <c r="S725" s="1462"/>
      <c r="T725" s="1462"/>
      <c r="U725" s="1462"/>
      <c r="V725" s="1462"/>
      <c r="W725" s="1462"/>
      <c r="X725" s="1462"/>
      <c r="Y725" s="1462"/>
      <c r="Z725" s="1462"/>
      <c r="AA725" s="1462"/>
    </row>
    <row r="726">
      <c r="A726" s="1493"/>
      <c r="B726" s="1494"/>
      <c r="C726" s="1493"/>
      <c r="D726" s="1493"/>
      <c r="E726" s="1495"/>
      <c r="F726" s="1462"/>
      <c r="G726" s="1462"/>
      <c r="H726" s="1462"/>
      <c r="I726" s="1462"/>
      <c r="J726" s="1462"/>
      <c r="K726" s="1462"/>
      <c r="L726" s="1462"/>
      <c r="M726" s="1462"/>
      <c r="N726" s="1462"/>
      <c r="O726" s="1462"/>
      <c r="P726" s="1462"/>
      <c r="Q726" s="1462"/>
      <c r="R726" s="1462"/>
      <c r="S726" s="1462"/>
      <c r="T726" s="1462"/>
      <c r="U726" s="1462"/>
      <c r="V726" s="1462"/>
      <c r="W726" s="1462"/>
      <c r="X726" s="1462"/>
      <c r="Y726" s="1462"/>
      <c r="Z726" s="1462"/>
      <c r="AA726" s="1462"/>
    </row>
    <row r="727">
      <c r="A727" s="1493"/>
      <c r="B727" s="1494"/>
      <c r="C727" s="1493"/>
      <c r="D727" s="1493"/>
      <c r="E727" s="1495"/>
      <c r="F727" s="1462"/>
      <c r="G727" s="1462"/>
      <c r="H727" s="1462"/>
      <c r="I727" s="1462"/>
      <c r="J727" s="1462"/>
      <c r="K727" s="1462"/>
      <c r="L727" s="1462"/>
      <c r="M727" s="1462"/>
      <c r="N727" s="1462"/>
      <c r="O727" s="1462"/>
      <c r="P727" s="1462"/>
      <c r="Q727" s="1462"/>
      <c r="R727" s="1462"/>
      <c r="S727" s="1462"/>
      <c r="T727" s="1462"/>
      <c r="U727" s="1462"/>
      <c r="V727" s="1462"/>
      <c r="W727" s="1462"/>
      <c r="X727" s="1462"/>
      <c r="Y727" s="1462"/>
      <c r="Z727" s="1462"/>
      <c r="AA727" s="1462"/>
    </row>
    <row r="728">
      <c r="A728" s="1493"/>
      <c r="B728" s="1494"/>
      <c r="C728" s="1493"/>
      <c r="D728" s="1493"/>
      <c r="E728" s="1495"/>
      <c r="F728" s="1462"/>
      <c r="G728" s="1462"/>
      <c r="H728" s="1462"/>
      <c r="I728" s="1462"/>
      <c r="J728" s="1462"/>
      <c r="K728" s="1462"/>
      <c r="L728" s="1462"/>
      <c r="M728" s="1462"/>
      <c r="N728" s="1462"/>
      <c r="O728" s="1462"/>
      <c r="P728" s="1462"/>
      <c r="Q728" s="1462"/>
      <c r="R728" s="1462"/>
      <c r="S728" s="1462"/>
      <c r="T728" s="1462"/>
      <c r="U728" s="1462"/>
      <c r="V728" s="1462"/>
      <c r="W728" s="1462"/>
      <c r="X728" s="1462"/>
      <c r="Y728" s="1462"/>
      <c r="Z728" s="1462"/>
      <c r="AA728" s="1462"/>
    </row>
    <row r="729">
      <c r="A729" s="1493"/>
      <c r="B729" s="1494"/>
      <c r="C729" s="1493"/>
      <c r="D729" s="1493"/>
      <c r="E729" s="1495"/>
      <c r="F729" s="1462"/>
      <c r="G729" s="1462"/>
      <c r="H729" s="1462"/>
      <c r="I729" s="1462"/>
      <c r="J729" s="1462"/>
      <c r="K729" s="1462"/>
      <c r="L729" s="1462"/>
      <c r="M729" s="1462"/>
      <c r="N729" s="1462"/>
      <c r="O729" s="1462"/>
      <c r="P729" s="1462"/>
      <c r="Q729" s="1462"/>
      <c r="R729" s="1462"/>
      <c r="S729" s="1462"/>
      <c r="T729" s="1462"/>
      <c r="U729" s="1462"/>
      <c r="V729" s="1462"/>
      <c r="W729" s="1462"/>
      <c r="X729" s="1462"/>
      <c r="Y729" s="1462"/>
      <c r="Z729" s="1462"/>
      <c r="AA729" s="1462"/>
    </row>
    <row r="730">
      <c r="A730" s="1493"/>
      <c r="B730" s="1494"/>
      <c r="C730" s="1493"/>
      <c r="D730" s="1493"/>
      <c r="E730" s="1495"/>
      <c r="F730" s="1462"/>
      <c r="G730" s="1462"/>
      <c r="H730" s="1462"/>
      <c r="I730" s="1462"/>
      <c r="J730" s="1462"/>
      <c r="K730" s="1462"/>
      <c r="L730" s="1462"/>
      <c r="M730" s="1462"/>
      <c r="N730" s="1462"/>
      <c r="O730" s="1462"/>
      <c r="P730" s="1462"/>
      <c r="Q730" s="1462"/>
      <c r="R730" s="1462"/>
      <c r="S730" s="1462"/>
      <c r="T730" s="1462"/>
      <c r="U730" s="1462"/>
      <c r="V730" s="1462"/>
      <c r="W730" s="1462"/>
      <c r="X730" s="1462"/>
      <c r="Y730" s="1462"/>
      <c r="Z730" s="1462"/>
      <c r="AA730" s="1462"/>
    </row>
    <row r="731">
      <c r="A731" s="1493"/>
      <c r="B731" s="1494"/>
      <c r="C731" s="1493"/>
      <c r="D731" s="1493"/>
      <c r="E731" s="1495"/>
      <c r="F731" s="1462"/>
      <c r="G731" s="1462"/>
      <c r="H731" s="1462"/>
      <c r="I731" s="1462"/>
      <c r="J731" s="1462"/>
      <c r="K731" s="1462"/>
      <c r="L731" s="1462"/>
      <c r="M731" s="1462"/>
      <c r="N731" s="1462"/>
      <c r="O731" s="1462"/>
      <c r="P731" s="1462"/>
      <c r="Q731" s="1462"/>
      <c r="R731" s="1462"/>
      <c r="S731" s="1462"/>
      <c r="T731" s="1462"/>
      <c r="U731" s="1462"/>
      <c r="V731" s="1462"/>
      <c r="W731" s="1462"/>
      <c r="X731" s="1462"/>
      <c r="Y731" s="1462"/>
      <c r="Z731" s="1462"/>
      <c r="AA731" s="1462"/>
    </row>
    <row r="732">
      <c r="A732" s="1493"/>
      <c r="B732" s="1494"/>
      <c r="C732" s="1493"/>
      <c r="D732" s="1493"/>
      <c r="E732" s="1495"/>
      <c r="F732" s="1462"/>
      <c r="G732" s="1462"/>
      <c r="H732" s="1462"/>
      <c r="I732" s="1462"/>
      <c r="J732" s="1462"/>
      <c r="K732" s="1462"/>
      <c r="L732" s="1462"/>
      <c r="M732" s="1462"/>
      <c r="N732" s="1462"/>
      <c r="O732" s="1462"/>
      <c r="P732" s="1462"/>
      <c r="Q732" s="1462"/>
      <c r="R732" s="1462"/>
      <c r="S732" s="1462"/>
      <c r="T732" s="1462"/>
      <c r="U732" s="1462"/>
      <c r="V732" s="1462"/>
      <c r="W732" s="1462"/>
      <c r="X732" s="1462"/>
      <c r="Y732" s="1462"/>
      <c r="Z732" s="1462"/>
      <c r="AA732" s="1462"/>
    </row>
    <row r="733">
      <c r="A733" s="1493"/>
      <c r="B733" s="1494"/>
      <c r="C733" s="1493"/>
      <c r="D733" s="1493"/>
      <c r="E733" s="1495"/>
      <c r="F733" s="1462"/>
      <c r="G733" s="1462"/>
      <c r="H733" s="1462"/>
      <c r="I733" s="1462"/>
      <c r="J733" s="1462"/>
      <c r="K733" s="1462"/>
      <c r="L733" s="1462"/>
      <c r="M733" s="1462"/>
      <c r="N733" s="1462"/>
      <c r="O733" s="1462"/>
      <c r="P733" s="1462"/>
      <c r="Q733" s="1462"/>
      <c r="R733" s="1462"/>
      <c r="S733" s="1462"/>
      <c r="T733" s="1462"/>
      <c r="U733" s="1462"/>
      <c r="V733" s="1462"/>
      <c r="W733" s="1462"/>
      <c r="X733" s="1462"/>
      <c r="Y733" s="1462"/>
      <c r="Z733" s="1462"/>
      <c r="AA733" s="1462"/>
    </row>
    <row r="734">
      <c r="A734" s="1493"/>
      <c r="B734" s="1494"/>
      <c r="C734" s="1493"/>
      <c r="D734" s="1493"/>
      <c r="E734" s="1495"/>
      <c r="F734" s="1462"/>
      <c r="G734" s="1462"/>
      <c r="H734" s="1462"/>
      <c r="I734" s="1462"/>
      <c r="J734" s="1462"/>
      <c r="K734" s="1462"/>
      <c r="L734" s="1462"/>
      <c r="M734" s="1462"/>
      <c r="N734" s="1462"/>
      <c r="O734" s="1462"/>
      <c r="P734" s="1462"/>
      <c r="Q734" s="1462"/>
      <c r="R734" s="1462"/>
      <c r="S734" s="1462"/>
      <c r="T734" s="1462"/>
      <c r="U734" s="1462"/>
      <c r="V734" s="1462"/>
      <c r="W734" s="1462"/>
      <c r="X734" s="1462"/>
      <c r="Y734" s="1462"/>
      <c r="Z734" s="1462"/>
      <c r="AA734" s="1462"/>
    </row>
    <row r="735">
      <c r="A735" s="1493"/>
      <c r="B735" s="1494"/>
      <c r="C735" s="1493"/>
      <c r="D735" s="1493"/>
      <c r="E735" s="1495"/>
      <c r="F735" s="1462"/>
      <c r="G735" s="1462"/>
      <c r="H735" s="1462"/>
      <c r="I735" s="1462"/>
      <c r="J735" s="1462"/>
      <c r="K735" s="1462"/>
      <c r="L735" s="1462"/>
      <c r="M735" s="1462"/>
      <c r="N735" s="1462"/>
      <c r="O735" s="1462"/>
      <c r="P735" s="1462"/>
      <c r="Q735" s="1462"/>
      <c r="R735" s="1462"/>
      <c r="S735" s="1462"/>
      <c r="T735" s="1462"/>
      <c r="U735" s="1462"/>
      <c r="V735" s="1462"/>
      <c r="W735" s="1462"/>
      <c r="X735" s="1462"/>
      <c r="Y735" s="1462"/>
      <c r="Z735" s="1462"/>
      <c r="AA735" s="1462"/>
    </row>
    <row r="736">
      <c r="A736" s="1493"/>
      <c r="B736" s="1494"/>
      <c r="C736" s="1493"/>
      <c r="D736" s="1493"/>
      <c r="E736" s="1495"/>
      <c r="F736" s="1462"/>
      <c r="G736" s="1462"/>
      <c r="H736" s="1462"/>
      <c r="I736" s="1462"/>
      <c r="J736" s="1462"/>
      <c r="K736" s="1462"/>
      <c r="L736" s="1462"/>
      <c r="M736" s="1462"/>
      <c r="N736" s="1462"/>
      <c r="O736" s="1462"/>
      <c r="P736" s="1462"/>
      <c r="Q736" s="1462"/>
      <c r="R736" s="1462"/>
      <c r="S736" s="1462"/>
      <c r="T736" s="1462"/>
      <c r="U736" s="1462"/>
      <c r="V736" s="1462"/>
      <c r="W736" s="1462"/>
      <c r="X736" s="1462"/>
      <c r="Y736" s="1462"/>
      <c r="Z736" s="1462"/>
      <c r="AA736" s="1462"/>
    </row>
    <row r="737">
      <c r="A737" s="1493"/>
      <c r="B737" s="1494"/>
      <c r="C737" s="1493"/>
      <c r="D737" s="1493"/>
      <c r="E737" s="1495"/>
      <c r="F737" s="1462"/>
      <c r="G737" s="1462"/>
      <c r="H737" s="1462"/>
      <c r="I737" s="1462"/>
      <c r="J737" s="1462"/>
      <c r="K737" s="1462"/>
      <c r="L737" s="1462"/>
      <c r="M737" s="1462"/>
      <c r="N737" s="1462"/>
      <c r="O737" s="1462"/>
      <c r="P737" s="1462"/>
      <c r="Q737" s="1462"/>
      <c r="R737" s="1462"/>
      <c r="S737" s="1462"/>
      <c r="T737" s="1462"/>
      <c r="U737" s="1462"/>
      <c r="V737" s="1462"/>
      <c r="W737" s="1462"/>
      <c r="X737" s="1462"/>
      <c r="Y737" s="1462"/>
      <c r="Z737" s="1462"/>
      <c r="AA737" s="1462"/>
    </row>
    <row r="738">
      <c r="A738" s="1493"/>
      <c r="B738" s="1494"/>
      <c r="C738" s="1493"/>
      <c r="D738" s="1493"/>
      <c r="E738" s="1495"/>
      <c r="F738" s="1462"/>
      <c r="G738" s="1462"/>
      <c r="H738" s="1462"/>
      <c r="I738" s="1462"/>
      <c r="J738" s="1462"/>
      <c r="K738" s="1462"/>
      <c r="L738" s="1462"/>
      <c r="M738" s="1462"/>
      <c r="N738" s="1462"/>
      <c r="O738" s="1462"/>
      <c r="P738" s="1462"/>
      <c r="Q738" s="1462"/>
      <c r="R738" s="1462"/>
      <c r="S738" s="1462"/>
      <c r="T738" s="1462"/>
      <c r="U738" s="1462"/>
      <c r="V738" s="1462"/>
      <c r="W738" s="1462"/>
      <c r="X738" s="1462"/>
      <c r="Y738" s="1462"/>
      <c r="Z738" s="1462"/>
      <c r="AA738" s="1462"/>
    </row>
    <row r="739">
      <c r="A739" s="1493"/>
      <c r="B739" s="1494"/>
      <c r="C739" s="1493"/>
      <c r="D739" s="1493"/>
      <c r="E739" s="1495"/>
      <c r="F739" s="1462"/>
      <c r="G739" s="1462"/>
      <c r="H739" s="1462"/>
      <c r="I739" s="1462"/>
      <c r="J739" s="1462"/>
      <c r="K739" s="1462"/>
      <c r="L739" s="1462"/>
      <c r="M739" s="1462"/>
      <c r="N739" s="1462"/>
      <c r="O739" s="1462"/>
      <c r="P739" s="1462"/>
      <c r="Q739" s="1462"/>
      <c r="R739" s="1462"/>
      <c r="S739" s="1462"/>
      <c r="T739" s="1462"/>
      <c r="U739" s="1462"/>
      <c r="V739" s="1462"/>
      <c r="W739" s="1462"/>
      <c r="X739" s="1462"/>
      <c r="Y739" s="1462"/>
      <c r="Z739" s="1462"/>
      <c r="AA739" s="1462"/>
    </row>
    <row r="740">
      <c r="A740" s="1493"/>
      <c r="B740" s="1494"/>
      <c r="C740" s="1493"/>
      <c r="D740" s="1493"/>
      <c r="E740" s="1495"/>
      <c r="F740" s="1462"/>
      <c r="G740" s="1462"/>
      <c r="H740" s="1462"/>
      <c r="I740" s="1462"/>
      <c r="J740" s="1462"/>
      <c r="K740" s="1462"/>
      <c r="L740" s="1462"/>
      <c r="M740" s="1462"/>
      <c r="N740" s="1462"/>
      <c r="O740" s="1462"/>
      <c r="P740" s="1462"/>
      <c r="Q740" s="1462"/>
      <c r="R740" s="1462"/>
      <c r="S740" s="1462"/>
      <c r="T740" s="1462"/>
      <c r="U740" s="1462"/>
      <c r="V740" s="1462"/>
      <c r="W740" s="1462"/>
      <c r="X740" s="1462"/>
      <c r="Y740" s="1462"/>
      <c r="Z740" s="1462"/>
      <c r="AA740" s="1462"/>
    </row>
    <row r="741">
      <c r="A741" s="1493"/>
      <c r="B741" s="1494"/>
      <c r="C741" s="1493"/>
      <c r="D741" s="1493"/>
      <c r="E741" s="1495"/>
      <c r="F741" s="1462"/>
      <c r="G741" s="1462"/>
      <c r="H741" s="1462"/>
      <c r="I741" s="1462"/>
      <c r="J741" s="1462"/>
      <c r="K741" s="1462"/>
      <c r="L741" s="1462"/>
      <c r="M741" s="1462"/>
      <c r="N741" s="1462"/>
      <c r="O741" s="1462"/>
      <c r="P741" s="1462"/>
      <c r="Q741" s="1462"/>
      <c r="R741" s="1462"/>
      <c r="S741" s="1462"/>
      <c r="T741" s="1462"/>
      <c r="U741" s="1462"/>
      <c r="V741" s="1462"/>
      <c r="W741" s="1462"/>
      <c r="X741" s="1462"/>
      <c r="Y741" s="1462"/>
      <c r="Z741" s="1462"/>
      <c r="AA741" s="1462"/>
    </row>
    <row r="742">
      <c r="A742" s="1493"/>
      <c r="B742" s="1494"/>
      <c r="C742" s="1493"/>
      <c r="D742" s="1493"/>
      <c r="E742" s="1495"/>
      <c r="F742" s="1462"/>
      <c r="G742" s="1462"/>
      <c r="H742" s="1462"/>
      <c r="I742" s="1462"/>
      <c r="J742" s="1462"/>
      <c r="K742" s="1462"/>
      <c r="L742" s="1462"/>
      <c r="M742" s="1462"/>
      <c r="N742" s="1462"/>
      <c r="O742" s="1462"/>
      <c r="P742" s="1462"/>
      <c r="Q742" s="1462"/>
      <c r="R742" s="1462"/>
      <c r="S742" s="1462"/>
      <c r="T742" s="1462"/>
      <c r="U742" s="1462"/>
      <c r="V742" s="1462"/>
      <c r="W742" s="1462"/>
      <c r="X742" s="1462"/>
      <c r="Y742" s="1462"/>
      <c r="Z742" s="1462"/>
      <c r="AA742" s="1462"/>
    </row>
    <row r="743">
      <c r="A743" s="1493"/>
      <c r="B743" s="1494"/>
      <c r="C743" s="1493"/>
      <c r="D743" s="1493"/>
      <c r="E743" s="1495"/>
      <c r="F743" s="1462"/>
      <c r="G743" s="1462"/>
      <c r="H743" s="1462"/>
      <c r="I743" s="1462"/>
      <c r="J743" s="1462"/>
      <c r="K743" s="1462"/>
      <c r="L743" s="1462"/>
      <c r="M743" s="1462"/>
      <c r="N743" s="1462"/>
      <c r="O743" s="1462"/>
      <c r="P743" s="1462"/>
      <c r="Q743" s="1462"/>
      <c r="R743" s="1462"/>
      <c r="S743" s="1462"/>
      <c r="T743" s="1462"/>
      <c r="U743" s="1462"/>
      <c r="V743" s="1462"/>
      <c r="W743" s="1462"/>
      <c r="X743" s="1462"/>
      <c r="Y743" s="1462"/>
      <c r="Z743" s="1462"/>
      <c r="AA743" s="1462"/>
    </row>
    <row r="744">
      <c r="A744" s="1493"/>
      <c r="B744" s="1494"/>
      <c r="C744" s="1493"/>
      <c r="D744" s="1493"/>
      <c r="E744" s="1495"/>
      <c r="F744" s="1462"/>
      <c r="G744" s="1462"/>
      <c r="H744" s="1462"/>
      <c r="I744" s="1462"/>
      <c r="J744" s="1462"/>
      <c r="K744" s="1462"/>
      <c r="L744" s="1462"/>
      <c r="M744" s="1462"/>
      <c r="N744" s="1462"/>
      <c r="O744" s="1462"/>
      <c r="P744" s="1462"/>
      <c r="Q744" s="1462"/>
      <c r="R744" s="1462"/>
      <c r="S744" s="1462"/>
      <c r="T744" s="1462"/>
      <c r="U744" s="1462"/>
      <c r="V744" s="1462"/>
      <c r="W744" s="1462"/>
      <c r="X744" s="1462"/>
      <c r="Y744" s="1462"/>
      <c r="Z744" s="1462"/>
      <c r="AA744" s="1462"/>
    </row>
    <row r="745">
      <c r="A745" s="1493"/>
      <c r="B745" s="1494"/>
      <c r="C745" s="1493"/>
      <c r="D745" s="1493"/>
      <c r="E745" s="1495"/>
      <c r="F745" s="1462"/>
      <c r="G745" s="1462"/>
      <c r="H745" s="1462"/>
      <c r="I745" s="1462"/>
      <c r="J745" s="1462"/>
      <c r="K745" s="1462"/>
      <c r="L745" s="1462"/>
      <c r="M745" s="1462"/>
      <c r="N745" s="1462"/>
      <c r="O745" s="1462"/>
      <c r="P745" s="1462"/>
      <c r="Q745" s="1462"/>
      <c r="R745" s="1462"/>
      <c r="S745" s="1462"/>
      <c r="T745" s="1462"/>
      <c r="U745" s="1462"/>
      <c r="V745" s="1462"/>
      <c r="W745" s="1462"/>
      <c r="X745" s="1462"/>
      <c r="Y745" s="1462"/>
      <c r="Z745" s="1462"/>
      <c r="AA745" s="1462"/>
    </row>
    <row r="746">
      <c r="A746" s="1493"/>
      <c r="B746" s="1494"/>
      <c r="C746" s="1493"/>
      <c r="D746" s="1493"/>
      <c r="E746" s="1495"/>
      <c r="F746" s="1462"/>
      <c r="G746" s="1462"/>
      <c r="H746" s="1462"/>
      <c r="I746" s="1462"/>
      <c r="J746" s="1462"/>
      <c r="K746" s="1462"/>
      <c r="L746" s="1462"/>
      <c r="M746" s="1462"/>
      <c r="N746" s="1462"/>
      <c r="O746" s="1462"/>
      <c r="P746" s="1462"/>
      <c r="Q746" s="1462"/>
      <c r="R746" s="1462"/>
      <c r="S746" s="1462"/>
      <c r="T746" s="1462"/>
      <c r="U746" s="1462"/>
      <c r="V746" s="1462"/>
      <c r="W746" s="1462"/>
      <c r="X746" s="1462"/>
      <c r="Y746" s="1462"/>
      <c r="Z746" s="1462"/>
      <c r="AA746" s="1462"/>
    </row>
    <row r="747">
      <c r="A747" s="1493"/>
      <c r="B747" s="1494"/>
      <c r="C747" s="1493"/>
      <c r="D747" s="1493"/>
      <c r="E747" s="1495"/>
      <c r="F747" s="1462"/>
      <c r="G747" s="1462"/>
      <c r="H747" s="1462"/>
      <c r="I747" s="1462"/>
      <c r="J747" s="1462"/>
      <c r="K747" s="1462"/>
      <c r="L747" s="1462"/>
      <c r="M747" s="1462"/>
      <c r="N747" s="1462"/>
      <c r="O747" s="1462"/>
      <c r="P747" s="1462"/>
      <c r="Q747" s="1462"/>
      <c r="R747" s="1462"/>
      <c r="S747" s="1462"/>
      <c r="T747" s="1462"/>
      <c r="U747" s="1462"/>
      <c r="V747" s="1462"/>
      <c r="W747" s="1462"/>
      <c r="X747" s="1462"/>
      <c r="Y747" s="1462"/>
      <c r="Z747" s="1462"/>
      <c r="AA747" s="1462"/>
    </row>
    <row r="748">
      <c r="A748" s="1493"/>
      <c r="B748" s="1494"/>
      <c r="C748" s="1493"/>
      <c r="D748" s="1493"/>
      <c r="E748" s="1495"/>
      <c r="F748" s="1462"/>
      <c r="G748" s="1462"/>
      <c r="H748" s="1462"/>
      <c r="I748" s="1462"/>
      <c r="J748" s="1462"/>
      <c r="K748" s="1462"/>
      <c r="L748" s="1462"/>
      <c r="M748" s="1462"/>
      <c r="N748" s="1462"/>
      <c r="O748" s="1462"/>
      <c r="P748" s="1462"/>
      <c r="Q748" s="1462"/>
      <c r="R748" s="1462"/>
      <c r="S748" s="1462"/>
      <c r="T748" s="1462"/>
      <c r="U748" s="1462"/>
      <c r="V748" s="1462"/>
      <c r="W748" s="1462"/>
      <c r="X748" s="1462"/>
      <c r="Y748" s="1462"/>
      <c r="Z748" s="1462"/>
      <c r="AA748" s="1462"/>
    </row>
    <row r="749">
      <c r="A749" s="1493"/>
      <c r="B749" s="1494"/>
      <c r="C749" s="1493"/>
      <c r="D749" s="1493"/>
      <c r="E749" s="1495"/>
      <c r="F749" s="1462"/>
      <c r="G749" s="1462"/>
      <c r="H749" s="1462"/>
      <c r="I749" s="1462"/>
      <c r="J749" s="1462"/>
      <c r="K749" s="1462"/>
      <c r="L749" s="1462"/>
      <c r="M749" s="1462"/>
      <c r="N749" s="1462"/>
      <c r="O749" s="1462"/>
      <c r="P749" s="1462"/>
      <c r="Q749" s="1462"/>
      <c r="R749" s="1462"/>
      <c r="S749" s="1462"/>
      <c r="T749" s="1462"/>
      <c r="U749" s="1462"/>
      <c r="V749" s="1462"/>
      <c r="W749" s="1462"/>
      <c r="X749" s="1462"/>
      <c r="Y749" s="1462"/>
      <c r="Z749" s="1462"/>
      <c r="AA749" s="1462"/>
    </row>
    <row r="750">
      <c r="A750" s="1493"/>
      <c r="B750" s="1494"/>
      <c r="C750" s="1493"/>
      <c r="D750" s="1493"/>
      <c r="E750" s="1495"/>
      <c r="F750" s="1462"/>
      <c r="G750" s="1462"/>
      <c r="H750" s="1462"/>
      <c r="I750" s="1462"/>
      <c r="J750" s="1462"/>
      <c r="K750" s="1462"/>
      <c r="L750" s="1462"/>
      <c r="M750" s="1462"/>
      <c r="N750" s="1462"/>
      <c r="O750" s="1462"/>
      <c r="P750" s="1462"/>
      <c r="Q750" s="1462"/>
      <c r="R750" s="1462"/>
      <c r="S750" s="1462"/>
      <c r="T750" s="1462"/>
      <c r="U750" s="1462"/>
      <c r="V750" s="1462"/>
      <c r="W750" s="1462"/>
      <c r="X750" s="1462"/>
      <c r="Y750" s="1462"/>
      <c r="Z750" s="1462"/>
      <c r="AA750" s="1462"/>
    </row>
    <row r="751">
      <c r="A751" s="1493"/>
      <c r="B751" s="1494"/>
      <c r="C751" s="1493"/>
      <c r="D751" s="1493"/>
      <c r="E751" s="1495"/>
      <c r="F751" s="1462"/>
      <c r="G751" s="1462"/>
      <c r="H751" s="1462"/>
      <c r="I751" s="1462"/>
      <c r="J751" s="1462"/>
      <c r="K751" s="1462"/>
      <c r="L751" s="1462"/>
      <c r="M751" s="1462"/>
      <c r="N751" s="1462"/>
      <c r="O751" s="1462"/>
      <c r="P751" s="1462"/>
      <c r="Q751" s="1462"/>
      <c r="R751" s="1462"/>
      <c r="S751" s="1462"/>
      <c r="T751" s="1462"/>
      <c r="U751" s="1462"/>
      <c r="V751" s="1462"/>
      <c r="W751" s="1462"/>
      <c r="X751" s="1462"/>
      <c r="Y751" s="1462"/>
      <c r="Z751" s="1462"/>
      <c r="AA751" s="1462"/>
    </row>
    <row r="752">
      <c r="A752" s="1493"/>
      <c r="B752" s="1494"/>
      <c r="C752" s="1493"/>
      <c r="D752" s="1493"/>
      <c r="E752" s="1495"/>
      <c r="F752" s="1462"/>
      <c r="G752" s="1462"/>
      <c r="H752" s="1462"/>
      <c r="I752" s="1462"/>
      <c r="J752" s="1462"/>
      <c r="K752" s="1462"/>
      <c r="L752" s="1462"/>
      <c r="M752" s="1462"/>
      <c r="N752" s="1462"/>
      <c r="O752" s="1462"/>
      <c r="P752" s="1462"/>
      <c r="Q752" s="1462"/>
      <c r="R752" s="1462"/>
      <c r="S752" s="1462"/>
      <c r="T752" s="1462"/>
      <c r="U752" s="1462"/>
      <c r="V752" s="1462"/>
      <c r="W752" s="1462"/>
      <c r="X752" s="1462"/>
      <c r="Y752" s="1462"/>
      <c r="Z752" s="1462"/>
      <c r="AA752" s="1462"/>
    </row>
    <row r="753">
      <c r="A753" s="1493"/>
      <c r="B753" s="1494"/>
      <c r="C753" s="1493"/>
      <c r="D753" s="1493"/>
      <c r="E753" s="1495"/>
      <c r="F753" s="1462"/>
      <c r="G753" s="1462"/>
      <c r="H753" s="1462"/>
      <c r="I753" s="1462"/>
      <c r="J753" s="1462"/>
      <c r="K753" s="1462"/>
      <c r="L753" s="1462"/>
      <c r="M753" s="1462"/>
      <c r="N753" s="1462"/>
      <c r="O753" s="1462"/>
      <c r="P753" s="1462"/>
      <c r="Q753" s="1462"/>
      <c r="R753" s="1462"/>
      <c r="S753" s="1462"/>
      <c r="T753" s="1462"/>
      <c r="U753" s="1462"/>
      <c r="V753" s="1462"/>
      <c r="W753" s="1462"/>
      <c r="X753" s="1462"/>
      <c r="Y753" s="1462"/>
      <c r="Z753" s="1462"/>
      <c r="AA753" s="1462"/>
    </row>
    <row r="754">
      <c r="A754" s="1493"/>
      <c r="B754" s="1494"/>
      <c r="C754" s="1493"/>
      <c r="D754" s="1493"/>
      <c r="E754" s="1495"/>
      <c r="F754" s="1462"/>
      <c r="G754" s="1462"/>
      <c r="H754" s="1462"/>
      <c r="I754" s="1462"/>
      <c r="J754" s="1462"/>
      <c r="K754" s="1462"/>
      <c r="L754" s="1462"/>
      <c r="M754" s="1462"/>
      <c r="N754" s="1462"/>
      <c r="O754" s="1462"/>
      <c r="P754" s="1462"/>
      <c r="Q754" s="1462"/>
      <c r="R754" s="1462"/>
      <c r="S754" s="1462"/>
      <c r="T754" s="1462"/>
      <c r="U754" s="1462"/>
      <c r="V754" s="1462"/>
      <c r="W754" s="1462"/>
      <c r="X754" s="1462"/>
      <c r="Y754" s="1462"/>
      <c r="Z754" s="1462"/>
      <c r="AA754" s="1462"/>
    </row>
    <row r="755">
      <c r="A755" s="1493"/>
      <c r="B755" s="1494"/>
      <c r="C755" s="1493"/>
      <c r="D755" s="1493"/>
      <c r="E755" s="1495"/>
      <c r="F755" s="1462"/>
      <c r="G755" s="1462"/>
      <c r="H755" s="1462"/>
      <c r="I755" s="1462"/>
      <c r="J755" s="1462"/>
      <c r="K755" s="1462"/>
      <c r="L755" s="1462"/>
      <c r="M755" s="1462"/>
      <c r="N755" s="1462"/>
      <c r="O755" s="1462"/>
      <c r="P755" s="1462"/>
      <c r="Q755" s="1462"/>
      <c r="R755" s="1462"/>
      <c r="S755" s="1462"/>
      <c r="T755" s="1462"/>
      <c r="U755" s="1462"/>
      <c r="V755" s="1462"/>
      <c r="W755" s="1462"/>
      <c r="X755" s="1462"/>
      <c r="Y755" s="1462"/>
      <c r="Z755" s="1462"/>
      <c r="AA755" s="1462"/>
    </row>
    <row r="756">
      <c r="A756" s="1493"/>
      <c r="B756" s="1494"/>
      <c r="C756" s="1493"/>
      <c r="D756" s="1493"/>
      <c r="E756" s="1495"/>
      <c r="F756" s="1462"/>
      <c r="G756" s="1462"/>
      <c r="H756" s="1462"/>
      <c r="I756" s="1462"/>
      <c r="J756" s="1462"/>
      <c r="K756" s="1462"/>
      <c r="L756" s="1462"/>
      <c r="M756" s="1462"/>
      <c r="N756" s="1462"/>
      <c r="O756" s="1462"/>
      <c r="P756" s="1462"/>
      <c r="Q756" s="1462"/>
      <c r="R756" s="1462"/>
      <c r="S756" s="1462"/>
      <c r="T756" s="1462"/>
      <c r="U756" s="1462"/>
      <c r="V756" s="1462"/>
      <c r="W756" s="1462"/>
      <c r="X756" s="1462"/>
      <c r="Y756" s="1462"/>
      <c r="Z756" s="1462"/>
      <c r="AA756" s="1462"/>
    </row>
    <row r="757">
      <c r="A757" s="1493"/>
      <c r="B757" s="1494"/>
      <c r="C757" s="1493"/>
      <c r="D757" s="1493"/>
      <c r="E757" s="1495"/>
      <c r="F757" s="1462"/>
      <c r="G757" s="1462"/>
      <c r="H757" s="1462"/>
      <c r="I757" s="1462"/>
      <c r="J757" s="1462"/>
      <c r="K757" s="1462"/>
      <c r="L757" s="1462"/>
      <c r="M757" s="1462"/>
      <c r="N757" s="1462"/>
      <c r="O757" s="1462"/>
      <c r="P757" s="1462"/>
      <c r="Q757" s="1462"/>
      <c r="R757" s="1462"/>
      <c r="S757" s="1462"/>
      <c r="T757" s="1462"/>
      <c r="U757" s="1462"/>
      <c r="V757" s="1462"/>
      <c r="W757" s="1462"/>
      <c r="X757" s="1462"/>
      <c r="Y757" s="1462"/>
      <c r="Z757" s="1462"/>
      <c r="AA757" s="1462"/>
    </row>
    <row r="758">
      <c r="A758" s="1493"/>
      <c r="B758" s="1494"/>
      <c r="C758" s="1493"/>
      <c r="D758" s="1493"/>
      <c r="E758" s="1495"/>
      <c r="F758" s="1462"/>
      <c r="G758" s="1462"/>
      <c r="H758" s="1462"/>
      <c r="I758" s="1462"/>
      <c r="J758" s="1462"/>
      <c r="K758" s="1462"/>
      <c r="L758" s="1462"/>
      <c r="M758" s="1462"/>
      <c r="N758" s="1462"/>
      <c r="O758" s="1462"/>
      <c r="P758" s="1462"/>
      <c r="Q758" s="1462"/>
      <c r="R758" s="1462"/>
      <c r="S758" s="1462"/>
      <c r="T758" s="1462"/>
      <c r="U758" s="1462"/>
      <c r="V758" s="1462"/>
      <c r="W758" s="1462"/>
      <c r="X758" s="1462"/>
      <c r="Y758" s="1462"/>
      <c r="Z758" s="1462"/>
      <c r="AA758" s="1462"/>
    </row>
    <row r="759">
      <c r="A759" s="1493"/>
      <c r="B759" s="1494"/>
      <c r="C759" s="1493"/>
      <c r="D759" s="1493"/>
      <c r="E759" s="1495"/>
      <c r="F759" s="1462"/>
      <c r="G759" s="1462"/>
      <c r="H759" s="1462"/>
      <c r="I759" s="1462"/>
      <c r="J759" s="1462"/>
      <c r="K759" s="1462"/>
      <c r="L759" s="1462"/>
      <c r="M759" s="1462"/>
      <c r="N759" s="1462"/>
      <c r="O759" s="1462"/>
      <c r="P759" s="1462"/>
      <c r="Q759" s="1462"/>
      <c r="R759" s="1462"/>
      <c r="S759" s="1462"/>
      <c r="T759" s="1462"/>
      <c r="U759" s="1462"/>
      <c r="V759" s="1462"/>
      <c r="W759" s="1462"/>
      <c r="X759" s="1462"/>
      <c r="Y759" s="1462"/>
      <c r="Z759" s="1462"/>
      <c r="AA759" s="1462"/>
    </row>
    <row r="760">
      <c r="A760" s="1493"/>
      <c r="B760" s="1494"/>
      <c r="C760" s="1493"/>
      <c r="D760" s="1493"/>
      <c r="E760" s="1495"/>
      <c r="F760" s="1462"/>
      <c r="G760" s="1462"/>
      <c r="H760" s="1462"/>
      <c r="I760" s="1462"/>
      <c r="J760" s="1462"/>
      <c r="K760" s="1462"/>
      <c r="L760" s="1462"/>
      <c r="M760" s="1462"/>
      <c r="N760" s="1462"/>
      <c r="O760" s="1462"/>
      <c r="P760" s="1462"/>
      <c r="Q760" s="1462"/>
      <c r="R760" s="1462"/>
      <c r="S760" s="1462"/>
      <c r="T760" s="1462"/>
      <c r="U760" s="1462"/>
      <c r="V760" s="1462"/>
      <c r="W760" s="1462"/>
      <c r="X760" s="1462"/>
      <c r="Y760" s="1462"/>
      <c r="Z760" s="1462"/>
      <c r="AA760" s="1462"/>
    </row>
    <row r="761">
      <c r="A761" s="1493"/>
      <c r="B761" s="1494"/>
      <c r="C761" s="1493"/>
      <c r="D761" s="1493"/>
      <c r="E761" s="1495"/>
      <c r="F761" s="1462"/>
      <c r="G761" s="1462"/>
      <c r="H761" s="1462"/>
      <c r="I761" s="1462"/>
      <c r="J761" s="1462"/>
      <c r="K761" s="1462"/>
      <c r="L761" s="1462"/>
      <c r="M761" s="1462"/>
      <c r="N761" s="1462"/>
      <c r="O761" s="1462"/>
      <c r="P761" s="1462"/>
      <c r="Q761" s="1462"/>
      <c r="R761" s="1462"/>
      <c r="S761" s="1462"/>
      <c r="T761" s="1462"/>
      <c r="U761" s="1462"/>
      <c r="V761" s="1462"/>
      <c r="W761" s="1462"/>
      <c r="X761" s="1462"/>
      <c r="Y761" s="1462"/>
      <c r="Z761" s="1462"/>
      <c r="AA761" s="1462"/>
    </row>
    <row r="762">
      <c r="A762" s="1493"/>
      <c r="B762" s="1494"/>
      <c r="C762" s="1493"/>
      <c r="D762" s="1493"/>
      <c r="E762" s="1495"/>
      <c r="F762" s="1462"/>
      <c r="G762" s="1462"/>
      <c r="H762" s="1462"/>
      <c r="I762" s="1462"/>
      <c r="J762" s="1462"/>
      <c r="K762" s="1462"/>
      <c r="L762" s="1462"/>
      <c r="M762" s="1462"/>
      <c r="N762" s="1462"/>
      <c r="O762" s="1462"/>
      <c r="P762" s="1462"/>
      <c r="Q762" s="1462"/>
      <c r="R762" s="1462"/>
      <c r="S762" s="1462"/>
      <c r="T762" s="1462"/>
      <c r="U762" s="1462"/>
      <c r="V762" s="1462"/>
      <c r="W762" s="1462"/>
      <c r="X762" s="1462"/>
      <c r="Y762" s="1462"/>
      <c r="Z762" s="1462"/>
      <c r="AA762" s="1462"/>
    </row>
    <row r="763">
      <c r="A763" s="1493"/>
      <c r="B763" s="1494"/>
      <c r="C763" s="1493"/>
      <c r="D763" s="1493"/>
      <c r="E763" s="1495"/>
      <c r="F763" s="1462"/>
      <c r="G763" s="1462"/>
      <c r="H763" s="1462"/>
      <c r="I763" s="1462"/>
      <c r="J763" s="1462"/>
      <c r="K763" s="1462"/>
      <c r="L763" s="1462"/>
      <c r="M763" s="1462"/>
      <c r="N763" s="1462"/>
      <c r="O763" s="1462"/>
      <c r="P763" s="1462"/>
      <c r="Q763" s="1462"/>
      <c r="R763" s="1462"/>
      <c r="S763" s="1462"/>
      <c r="T763" s="1462"/>
      <c r="U763" s="1462"/>
      <c r="V763" s="1462"/>
      <c r="W763" s="1462"/>
      <c r="X763" s="1462"/>
      <c r="Y763" s="1462"/>
      <c r="Z763" s="1462"/>
      <c r="AA763" s="1462"/>
    </row>
    <row r="764">
      <c r="A764" s="1493"/>
      <c r="B764" s="1494"/>
      <c r="C764" s="1493"/>
      <c r="D764" s="1493"/>
      <c r="E764" s="1495"/>
      <c r="F764" s="1462"/>
      <c r="G764" s="1462"/>
      <c r="H764" s="1462"/>
      <c r="I764" s="1462"/>
      <c r="J764" s="1462"/>
      <c r="K764" s="1462"/>
      <c r="L764" s="1462"/>
      <c r="M764" s="1462"/>
      <c r="N764" s="1462"/>
      <c r="O764" s="1462"/>
      <c r="P764" s="1462"/>
      <c r="Q764" s="1462"/>
      <c r="R764" s="1462"/>
      <c r="S764" s="1462"/>
      <c r="T764" s="1462"/>
      <c r="U764" s="1462"/>
      <c r="V764" s="1462"/>
      <c r="W764" s="1462"/>
      <c r="X764" s="1462"/>
      <c r="Y764" s="1462"/>
      <c r="Z764" s="1462"/>
      <c r="AA764" s="1462"/>
    </row>
    <row r="765">
      <c r="A765" s="1493"/>
      <c r="B765" s="1494"/>
      <c r="C765" s="1493"/>
      <c r="D765" s="1493"/>
      <c r="E765" s="1495"/>
      <c r="F765" s="1462"/>
      <c r="G765" s="1462"/>
      <c r="H765" s="1462"/>
      <c r="I765" s="1462"/>
      <c r="J765" s="1462"/>
      <c r="K765" s="1462"/>
      <c r="L765" s="1462"/>
      <c r="M765" s="1462"/>
      <c r="N765" s="1462"/>
      <c r="O765" s="1462"/>
      <c r="P765" s="1462"/>
      <c r="Q765" s="1462"/>
      <c r="R765" s="1462"/>
      <c r="S765" s="1462"/>
      <c r="T765" s="1462"/>
      <c r="U765" s="1462"/>
      <c r="V765" s="1462"/>
      <c r="W765" s="1462"/>
      <c r="X765" s="1462"/>
      <c r="Y765" s="1462"/>
      <c r="Z765" s="1462"/>
      <c r="AA765" s="1462"/>
    </row>
    <row r="766">
      <c r="A766" s="1493"/>
      <c r="B766" s="1494"/>
      <c r="C766" s="1493"/>
      <c r="D766" s="1493"/>
      <c r="E766" s="1495"/>
      <c r="F766" s="1462"/>
      <c r="G766" s="1462"/>
      <c r="H766" s="1462"/>
      <c r="I766" s="1462"/>
      <c r="J766" s="1462"/>
      <c r="K766" s="1462"/>
      <c r="L766" s="1462"/>
      <c r="M766" s="1462"/>
      <c r="N766" s="1462"/>
      <c r="O766" s="1462"/>
      <c r="P766" s="1462"/>
      <c r="Q766" s="1462"/>
      <c r="R766" s="1462"/>
      <c r="S766" s="1462"/>
      <c r="T766" s="1462"/>
      <c r="U766" s="1462"/>
      <c r="V766" s="1462"/>
      <c r="W766" s="1462"/>
      <c r="X766" s="1462"/>
      <c r="Y766" s="1462"/>
      <c r="Z766" s="1462"/>
      <c r="AA766" s="1462"/>
    </row>
    <row r="767">
      <c r="A767" s="1493"/>
      <c r="B767" s="1494"/>
      <c r="C767" s="1493"/>
      <c r="D767" s="1493"/>
      <c r="E767" s="1495"/>
      <c r="F767" s="1462"/>
      <c r="G767" s="1462"/>
      <c r="H767" s="1462"/>
      <c r="I767" s="1462"/>
      <c r="J767" s="1462"/>
      <c r="K767" s="1462"/>
      <c r="L767" s="1462"/>
      <c r="M767" s="1462"/>
      <c r="N767" s="1462"/>
      <c r="O767" s="1462"/>
      <c r="P767" s="1462"/>
      <c r="Q767" s="1462"/>
      <c r="R767" s="1462"/>
      <c r="S767" s="1462"/>
      <c r="T767" s="1462"/>
      <c r="U767" s="1462"/>
      <c r="V767" s="1462"/>
      <c r="W767" s="1462"/>
      <c r="X767" s="1462"/>
      <c r="Y767" s="1462"/>
      <c r="Z767" s="1462"/>
      <c r="AA767" s="1462"/>
    </row>
    <row r="768">
      <c r="A768" s="1493"/>
      <c r="B768" s="1494"/>
      <c r="C768" s="1493"/>
      <c r="D768" s="1493"/>
      <c r="E768" s="1495"/>
      <c r="F768" s="1462"/>
      <c r="G768" s="1462"/>
      <c r="H768" s="1462"/>
      <c r="I768" s="1462"/>
      <c r="J768" s="1462"/>
      <c r="K768" s="1462"/>
      <c r="L768" s="1462"/>
      <c r="M768" s="1462"/>
      <c r="N768" s="1462"/>
      <c r="O768" s="1462"/>
      <c r="P768" s="1462"/>
      <c r="Q768" s="1462"/>
      <c r="R768" s="1462"/>
      <c r="S768" s="1462"/>
      <c r="T768" s="1462"/>
      <c r="U768" s="1462"/>
      <c r="V768" s="1462"/>
      <c r="W768" s="1462"/>
      <c r="X768" s="1462"/>
      <c r="Y768" s="1462"/>
      <c r="Z768" s="1462"/>
      <c r="AA768" s="1462"/>
    </row>
    <row r="769">
      <c r="A769" s="1493"/>
      <c r="B769" s="1494"/>
      <c r="C769" s="1493"/>
      <c r="D769" s="1493"/>
      <c r="E769" s="1495"/>
      <c r="F769" s="1462"/>
      <c r="G769" s="1462"/>
      <c r="H769" s="1462"/>
      <c r="I769" s="1462"/>
      <c r="J769" s="1462"/>
      <c r="K769" s="1462"/>
      <c r="L769" s="1462"/>
      <c r="M769" s="1462"/>
      <c r="N769" s="1462"/>
      <c r="O769" s="1462"/>
      <c r="P769" s="1462"/>
      <c r="Q769" s="1462"/>
      <c r="R769" s="1462"/>
      <c r="S769" s="1462"/>
      <c r="T769" s="1462"/>
      <c r="U769" s="1462"/>
      <c r="V769" s="1462"/>
      <c r="W769" s="1462"/>
      <c r="X769" s="1462"/>
      <c r="Y769" s="1462"/>
      <c r="Z769" s="1462"/>
      <c r="AA769" s="1462"/>
    </row>
    <row r="770">
      <c r="A770" s="1493"/>
      <c r="B770" s="1494"/>
      <c r="C770" s="1493"/>
      <c r="D770" s="1493"/>
      <c r="E770" s="1495"/>
      <c r="F770" s="1462"/>
      <c r="G770" s="1462"/>
      <c r="H770" s="1462"/>
      <c r="I770" s="1462"/>
      <c r="J770" s="1462"/>
      <c r="K770" s="1462"/>
      <c r="L770" s="1462"/>
      <c r="M770" s="1462"/>
      <c r="N770" s="1462"/>
      <c r="O770" s="1462"/>
      <c r="P770" s="1462"/>
      <c r="Q770" s="1462"/>
      <c r="R770" s="1462"/>
      <c r="S770" s="1462"/>
      <c r="T770" s="1462"/>
      <c r="U770" s="1462"/>
      <c r="V770" s="1462"/>
      <c r="W770" s="1462"/>
      <c r="X770" s="1462"/>
      <c r="Y770" s="1462"/>
      <c r="Z770" s="1462"/>
      <c r="AA770" s="1462"/>
    </row>
    <row r="771">
      <c r="A771" s="1493"/>
      <c r="B771" s="1494"/>
      <c r="C771" s="1493"/>
      <c r="D771" s="1493"/>
      <c r="E771" s="1495"/>
      <c r="F771" s="1462"/>
      <c r="G771" s="1462"/>
      <c r="H771" s="1462"/>
      <c r="I771" s="1462"/>
      <c r="J771" s="1462"/>
      <c r="K771" s="1462"/>
      <c r="L771" s="1462"/>
      <c r="M771" s="1462"/>
      <c r="N771" s="1462"/>
      <c r="O771" s="1462"/>
      <c r="P771" s="1462"/>
      <c r="Q771" s="1462"/>
      <c r="R771" s="1462"/>
      <c r="S771" s="1462"/>
      <c r="T771" s="1462"/>
      <c r="U771" s="1462"/>
      <c r="V771" s="1462"/>
      <c r="W771" s="1462"/>
      <c r="X771" s="1462"/>
      <c r="Y771" s="1462"/>
      <c r="Z771" s="1462"/>
      <c r="AA771" s="1462"/>
    </row>
    <row r="772">
      <c r="A772" s="1493"/>
      <c r="B772" s="1494"/>
      <c r="C772" s="1493"/>
      <c r="D772" s="1493"/>
      <c r="E772" s="1495"/>
      <c r="F772" s="1462"/>
      <c r="G772" s="1462"/>
      <c r="H772" s="1462"/>
      <c r="I772" s="1462"/>
      <c r="J772" s="1462"/>
      <c r="K772" s="1462"/>
      <c r="L772" s="1462"/>
      <c r="M772" s="1462"/>
      <c r="N772" s="1462"/>
      <c r="O772" s="1462"/>
      <c r="P772" s="1462"/>
      <c r="Q772" s="1462"/>
      <c r="R772" s="1462"/>
      <c r="S772" s="1462"/>
      <c r="T772" s="1462"/>
      <c r="U772" s="1462"/>
      <c r="V772" s="1462"/>
      <c r="W772" s="1462"/>
      <c r="X772" s="1462"/>
      <c r="Y772" s="1462"/>
      <c r="Z772" s="1462"/>
      <c r="AA772" s="1462"/>
    </row>
    <row r="773">
      <c r="A773" s="1493"/>
      <c r="B773" s="1494"/>
      <c r="C773" s="1493"/>
      <c r="D773" s="1493"/>
      <c r="E773" s="1495"/>
      <c r="F773" s="1462"/>
      <c r="G773" s="1462"/>
      <c r="H773" s="1462"/>
      <c r="I773" s="1462"/>
      <c r="J773" s="1462"/>
      <c r="K773" s="1462"/>
      <c r="L773" s="1462"/>
      <c r="M773" s="1462"/>
      <c r="N773" s="1462"/>
      <c r="O773" s="1462"/>
      <c r="P773" s="1462"/>
      <c r="Q773" s="1462"/>
      <c r="R773" s="1462"/>
      <c r="S773" s="1462"/>
      <c r="T773" s="1462"/>
      <c r="U773" s="1462"/>
      <c r="V773" s="1462"/>
      <c r="W773" s="1462"/>
      <c r="X773" s="1462"/>
      <c r="Y773" s="1462"/>
      <c r="Z773" s="1462"/>
      <c r="AA773" s="1462"/>
    </row>
    <row r="774">
      <c r="A774" s="1493"/>
      <c r="B774" s="1494"/>
      <c r="C774" s="1493"/>
      <c r="D774" s="1493"/>
      <c r="E774" s="1495"/>
      <c r="F774" s="1462"/>
      <c r="G774" s="1462"/>
      <c r="H774" s="1462"/>
      <c r="I774" s="1462"/>
      <c r="J774" s="1462"/>
      <c r="K774" s="1462"/>
      <c r="L774" s="1462"/>
      <c r="M774" s="1462"/>
      <c r="N774" s="1462"/>
      <c r="O774" s="1462"/>
      <c r="P774" s="1462"/>
      <c r="Q774" s="1462"/>
      <c r="R774" s="1462"/>
      <c r="S774" s="1462"/>
      <c r="T774" s="1462"/>
      <c r="U774" s="1462"/>
      <c r="V774" s="1462"/>
      <c r="W774" s="1462"/>
      <c r="X774" s="1462"/>
      <c r="Y774" s="1462"/>
      <c r="Z774" s="1462"/>
      <c r="AA774" s="1462"/>
    </row>
    <row r="775">
      <c r="A775" s="1493"/>
      <c r="B775" s="1494"/>
      <c r="C775" s="1493"/>
      <c r="D775" s="1493"/>
      <c r="E775" s="1495"/>
      <c r="F775" s="1462"/>
      <c r="G775" s="1462"/>
      <c r="H775" s="1462"/>
      <c r="I775" s="1462"/>
      <c r="J775" s="1462"/>
      <c r="K775" s="1462"/>
      <c r="L775" s="1462"/>
      <c r="M775" s="1462"/>
      <c r="N775" s="1462"/>
      <c r="O775" s="1462"/>
      <c r="P775" s="1462"/>
      <c r="Q775" s="1462"/>
      <c r="R775" s="1462"/>
      <c r="S775" s="1462"/>
      <c r="T775" s="1462"/>
      <c r="U775" s="1462"/>
      <c r="V775" s="1462"/>
      <c r="W775" s="1462"/>
      <c r="X775" s="1462"/>
      <c r="Y775" s="1462"/>
      <c r="Z775" s="1462"/>
      <c r="AA775" s="1462"/>
    </row>
    <row r="776">
      <c r="A776" s="1493"/>
      <c r="B776" s="1494"/>
      <c r="C776" s="1493"/>
      <c r="D776" s="1493"/>
      <c r="E776" s="1495"/>
      <c r="F776" s="1462"/>
      <c r="G776" s="1462"/>
      <c r="H776" s="1462"/>
      <c r="I776" s="1462"/>
      <c r="J776" s="1462"/>
      <c r="K776" s="1462"/>
      <c r="L776" s="1462"/>
      <c r="M776" s="1462"/>
      <c r="N776" s="1462"/>
      <c r="O776" s="1462"/>
      <c r="P776" s="1462"/>
      <c r="Q776" s="1462"/>
      <c r="R776" s="1462"/>
      <c r="S776" s="1462"/>
      <c r="T776" s="1462"/>
      <c r="U776" s="1462"/>
      <c r="V776" s="1462"/>
      <c r="W776" s="1462"/>
      <c r="X776" s="1462"/>
      <c r="Y776" s="1462"/>
      <c r="Z776" s="1462"/>
      <c r="AA776" s="1462"/>
    </row>
    <row r="777">
      <c r="A777" s="1493"/>
      <c r="B777" s="1494"/>
      <c r="C777" s="1493"/>
      <c r="D777" s="1493"/>
      <c r="E777" s="1495"/>
      <c r="F777" s="1462"/>
      <c r="G777" s="1462"/>
      <c r="H777" s="1462"/>
      <c r="I777" s="1462"/>
      <c r="J777" s="1462"/>
      <c r="K777" s="1462"/>
      <c r="L777" s="1462"/>
      <c r="M777" s="1462"/>
      <c r="N777" s="1462"/>
      <c r="O777" s="1462"/>
      <c r="P777" s="1462"/>
      <c r="Q777" s="1462"/>
      <c r="R777" s="1462"/>
      <c r="S777" s="1462"/>
      <c r="T777" s="1462"/>
      <c r="U777" s="1462"/>
      <c r="V777" s="1462"/>
      <c r="W777" s="1462"/>
      <c r="X777" s="1462"/>
      <c r="Y777" s="1462"/>
      <c r="Z777" s="1462"/>
      <c r="AA777" s="1462"/>
    </row>
    <row r="778">
      <c r="A778" s="1493"/>
      <c r="B778" s="1494"/>
      <c r="C778" s="1493"/>
      <c r="D778" s="1493"/>
      <c r="E778" s="1495"/>
      <c r="F778" s="1462"/>
      <c r="G778" s="1462"/>
      <c r="H778" s="1462"/>
      <c r="I778" s="1462"/>
      <c r="J778" s="1462"/>
      <c r="K778" s="1462"/>
      <c r="L778" s="1462"/>
      <c r="M778" s="1462"/>
      <c r="N778" s="1462"/>
      <c r="O778" s="1462"/>
      <c r="P778" s="1462"/>
      <c r="Q778" s="1462"/>
      <c r="R778" s="1462"/>
      <c r="S778" s="1462"/>
      <c r="T778" s="1462"/>
      <c r="U778" s="1462"/>
      <c r="V778" s="1462"/>
      <c r="W778" s="1462"/>
      <c r="X778" s="1462"/>
      <c r="Y778" s="1462"/>
      <c r="Z778" s="1462"/>
      <c r="AA778" s="1462"/>
    </row>
    <row r="779">
      <c r="A779" s="1493"/>
      <c r="B779" s="1494"/>
      <c r="C779" s="1493"/>
      <c r="D779" s="1493"/>
      <c r="E779" s="1495"/>
      <c r="F779" s="1462"/>
      <c r="G779" s="1462"/>
      <c r="H779" s="1462"/>
      <c r="I779" s="1462"/>
      <c r="J779" s="1462"/>
      <c r="K779" s="1462"/>
      <c r="L779" s="1462"/>
      <c r="M779" s="1462"/>
      <c r="N779" s="1462"/>
      <c r="O779" s="1462"/>
      <c r="P779" s="1462"/>
      <c r="Q779" s="1462"/>
      <c r="R779" s="1462"/>
      <c r="S779" s="1462"/>
      <c r="T779" s="1462"/>
      <c r="U779" s="1462"/>
      <c r="V779" s="1462"/>
      <c r="W779" s="1462"/>
      <c r="X779" s="1462"/>
      <c r="Y779" s="1462"/>
      <c r="Z779" s="1462"/>
      <c r="AA779" s="1462"/>
    </row>
    <row r="780">
      <c r="A780" s="1493"/>
      <c r="B780" s="1494"/>
      <c r="C780" s="1493"/>
      <c r="D780" s="1493"/>
      <c r="E780" s="1495"/>
      <c r="F780" s="1462"/>
      <c r="G780" s="1462"/>
      <c r="H780" s="1462"/>
      <c r="I780" s="1462"/>
      <c r="J780" s="1462"/>
      <c r="K780" s="1462"/>
      <c r="L780" s="1462"/>
      <c r="M780" s="1462"/>
      <c r="N780" s="1462"/>
      <c r="O780" s="1462"/>
      <c r="P780" s="1462"/>
      <c r="Q780" s="1462"/>
      <c r="R780" s="1462"/>
      <c r="S780" s="1462"/>
      <c r="T780" s="1462"/>
      <c r="U780" s="1462"/>
      <c r="V780" s="1462"/>
      <c r="W780" s="1462"/>
      <c r="X780" s="1462"/>
      <c r="Y780" s="1462"/>
      <c r="Z780" s="1462"/>
      <c r="AA780" s="1462"/>
    </row>
    <row r="781">
      <c r="A781" s="1493"/>
      <c r="B781" s="1494"/>
      <c r="C781" s="1493"/>
      <c r="D781" s="1493"/>
      <c r="E781" s="1495"/>
      <c r="F781" s="1462"/>
      <c r="G781" s="1462"/>
      <c r="H781" s="1462"/>
      <c r="I781" s="1462"/>
      <c r="J781" s="1462"/>
      <c r="K781" s="1462"/>
      <c r="L781" s="1462"/>
      <c r="M781" s="1462"/>
      <c r="N781" s="1462"/>
      <c r="O781" s="1462"/>
      <c r="P781" s="1462"/>
      <c r="Q781" s="1462"/>
      <c r="R781" s="1462"/>
      <c r="S781" s="1462"/>
      <c r="T781" s="1462"/>
      <c r="U781" s="1462"/>
      <c r="V781" s="1462"/>
      <c r="W781" s="1462"/>
      <c r="X781" s="1462"/>
      <c r="Y781" s="1462"/>
      <c r="Z781" s="1462"/>
      <c r="AA781" s="1462"/>
    </row>
    <row r="782">
      <c r="A782" s="1493"/>
      <c r="B782" s="1494"/>
      <c r="C782" s="1493"/>
      <c r="D782" s="1493"/>
      <c r="E782" s="1495"/>
      <c r="F782" s="1462"/>
      <c r="G782" s="1462"/>
      <c r="H782" s="1462"/>
      <c r="I782" s="1462"/>
      <c r="J782" s="1462"/>
      <c r="K782" s="1462"/>
      <c r="L782" s="1462"/>
      <c r="M782" s="1462"/>
      <c r="N782" s="1462"/>
      <c r="O782" s="1462"/>
      <c r="P782" s="1462"/>
      <c r="Q782" s="1462"/>
      <c r="R782" s="1462"/>
      <c r="S782" s="1462"/>
      <c r="T782" s="1462"/>
      <c r="U782" s="1462"/>
      <c r="V782" s="1462"/>
      <c r="W782" s="1462"/>
      <c r="X782" s="1462"/>
      <c r="Y782" s="1462"/>
      <c r="Z782" s="1462"/>
      <c r="AA782" s="1462"/>
    </row>
    <row r="783">
      <c r="A783" s="1493"/>
      <c r="B783" s="1494"/>
      <c r="C783" s="1493"/>
      <c r="D783" s="1493"/>
      <c r="E783" s="1495"/>
      <c r="F783" s="1462"/>
      <c r="G783" s="1462"/>
      <c r="H783" s="1462"/>
      <c r="I783" s="1462"/>
      <c r="J783" s="1462"/>
      <c r="K783" s="1462"/>
      <c r="L783" s="1462"/>
      <c r="M783" s="1462"/>
      <c r="N783" s="1462"/>
      <c r="O783" s="1462"/>
      <c r="P783" s="1462"/>
      <c r="Q783" s="1462"/>
      <c r="R783" s="1462"/>
      <c r="S783" s="1462"/>
      <c r="T783" s="1462"/>
      <c r="U783" s="1462"/>
      <c r="V783" s="1462"/>
      <c r="W783" s="1462"/>
      <c r="X783" s="1462"/>
      <c r="Y783" s="1462"/>
      <c r="Z783" s="1462"/>
      <c r="AA783" s="1462"/>
    </row>
    <row r="784">
      <c r="A784" s="1493"/>
      <c r="B784" s="1494"/>
      <c r="C784" s="1493"/>
      <c r="D784" s="1493"/>
      <c r="E784" s="1495"/>
      <c r="F784" s="1462"/>
      <c r="G784" s="1462"/>
      <c r="H784" s="1462"/>
      <c r="I784" s="1462"/>
      <c r="J784" s="1462"/>
      <c r="K784" s="1462"/>
      <c r="L784" s="1462"/>
      <c r="M784" s="1462"/>
      <c r="N784" s="1462"/>
      <c r="O784" s="1462"/>
      <c r="P784" s="1462"/>
      <c r="Q784" s="1462"/>
      <c r="R784" s="1462"/>
      <c r="S784" s="1462"/>
      <c r="T784" s="1462"/>
      <c r="U784" s="1462"/>
      <c r="V784" s="1462"/>
      <c r="W784" s="1462"/>
      <c r="X784" s="1462"/>
      <c r="Y784" s="1462"/>
      <c r="Z784" s="1462"/>
      <c r="AA784" s="1462"/>
    </row>
    <row r="785">
      <c r="A785" s="1493"/>
      <c r="B785" s="1494"/>
      <c r="C785" s="1493"/>
      <c r="D785" s="1493"/>
      <c r="E785" s="1495"/>
      <c r="F785" s="1462"/>
      <c r="G785" s="1462"/>
      <c r="H785" s="1462"/>
      <c r="I785" s="1462"/>
      <c r="J785" s="1462"/>
      <c r="K785" s="1462"/>
      <c r="L785" s="1462"/>
      <c r="M785" s="1462"/>
      <c r="N785" s="1462"/>
      <c r="O785" s="1462"/>
      <c r="P785" s="1462"/>
      <c r="Q785" s="1462"/>
      <c r="R785" s="1462"/>
      <c r="S785" s="1462"/>
      <c r="T785" s="1462"/>
      <c r="U785" s="1462"/>
      <c r="V785" s="1462"/>
      <c r="W785" s="1462"/>
      <c r="X785" s="1462"/>
      <c r="Y785" s="1462"/>
      <c r="Z785" s="1462"/>
      <c r="AA785" s="1462"/>
    </row>
    <row r="786">
      <c r="A786" s="1493"/>
      <c r="B786" s="1494"/>
      <c r="C786" s="1493"/>
      <c r="D786" s="1493"/>
      <c r="E786" s="1495"/>
      <c r="F786" s="1462"/>
      <c r="G786" s="1462"/>
      <c r="H786" s="1462"/>
      <c r="I786" s="1462"/>
      <c r="J786" s="1462"/>
      <c r="K786" s="1462"/>
      <c r="L786" s="1462"/>
      <c r="M786" s="1462"/>
      <c r="N786" s="1462"/>
      <c r="O786" s="1462"/>
      <c r="P786" s="1462"/>
      <c r="Q786" s="1462"/>
      <c r="R786" s="1462"/>
      <c r="S786" s="1462"/>
      <c r="T786" s="1462"/>
      <c r="U786" s="1462"/>
      <c r="V786" s="1462"/>
      <c r="W786" s="1462"/>
      <c r="X786" s="1462"/>
      <c r="Y786" s="1462"/>
      <c r="Z786" s="1462"/>
      <c r="AA786" s="1462"/>
    </row>
    <row r="787">
      <c r="A787" s="1493"/>
      <c r="B787" s="1494"/>
      <c r="C787" s="1493"/>
      <c r="D787" s="1493"/>
      <c r="E787" s="1495"/>
      <c r="F787" s="1462"/>
      <c r="G787" s="1462"/>
      <c r="H787" s="1462"/>
      <c r="I787" s="1462"/>
      <c r="J787" s="1462"/>
      <c r="K787" s="1462"/>
      <c r="L787" s="1462"/>
      <c r="M787" s="1462"/>
      <c r="N787" s="1462"/>
      <c r="O787" s="1462"/>
      <c r="P787" s="1462"/>
      <c r="Q787" s="1462"/>
      <c r="R787" s="1462"/>
      <c r="S787" s="1462"/>
      <c r="T787" s="1462"/>
      <c r="U787" s="1462"/>
      <c r="V787" s="1462"/>
      <c r="W787" s="1462"/>
      <c r="X787" s="1462"/>
      <c r="Y787" s="1462"/>
      <c r="Z787" s="1462"/>
      <c r="AA787" s="1462"/>
    </row>
    <row r="788">
      <c r="A788" s="1493"/>
      <c r="B788" s="1494"/>
      <c r="C788" s="1493"/>
      <c r="D788" s="1493"/>
      <c r="E788" s="1495"/>
      <c r="F788" s="1462"/>
      <c r="G788" s="1462"/>
      <c r="H788" s="1462"/>
      <c r="I788" s="1462"/>
      <c r="J788" s="1462"/>
      <c r="K788" s="1462"/>
      <c r="L788" s="1462"/>
      <c r="M788" s="1462"/>
      <c r="N788" s="1462"/>
      <c r="O788" s="1462"/>
      <c r="P788" s="1462"/>
      <c r="Q788" s="1462"/>
      <c r="R788" s="1462"/>
      <c r="S788" s="1462"/>
      <c r="T788" s="1462"/>
      <c r="U788" s="1462"/>
      <c r="V788" s="1462"/>
      <c r="W788" s="1462"/>
      <c r="X788" s="1462"/>
      <c r="Y788" s="1462"/>
      <c r="Z788" s="1462"/>
      <c r="AA788" s="1462"/>
    </row>
    <row r="789">
      <c r="A789" s="1493"/>
      <c r="B789" s="1494"/>
      <c r="C789" s="1493"/>
      <c r="D789" s="1493"/>
      <c r="E789" s="1495"/>
      <c r="F789" s="1462"/>
      <c r="G789" s="1462"/>
      <c r="H789" s="1462"/>
      <c r="I789" s="1462"/>
      <c r="J789" s="1462"/>
      <c r="K789" s="1462"/>
      <c r="L789" s="1462"/>
      <c r="M789" s="1462"/>
      <c r="N789" s="1462"/>
      <c r="O789" s="1462"/>
      <c r="P789" s="1462"/>
      <c r="Q789" s="1462"/>
      <c r="R789" s="1462"/>
      <c r="S789" s="1462"/>
      <c r="T789" s="1462"/>
      <c r="U789" s="1462"/>
      <c r="V789" s="1462"/>
      <c r="W789" s="1462"/>
      <c r="X789" s="1462"/>
      <c r="Y789" s="1462"/>
      <c r="Z789" s="1462"/>
      <c r="AA789" s="1462"/>
    </row>
    <row r="790">
      <c r="A790" s="1493"/>
      <c r="B790" s="1494"/>
      <c r="C790" s="1493"/>
      <c r="D790" s="1493"/>
      <c r="E790" s="1495"/>
      <c r="F790" s="1462"/>
      <c r="G790" s="1462"/>
      <c r="H790" s="1462"/>
      <c r="I790" s="1462"/>
      <c r="J790" s="1462"/>
      <c r="K790" s="1462"/>
      <c r="L790" s="1462"/>
      <c r="M790" s="1462"/>
      <c r="N790" s="1462"/>
      <c r="O790" s="1462"/>
      <c r="P790" s="1462"/>
      <c r="Q790" s="1462"/>
      <c r="R790" s="1462"/>
      <c r="S790" s="1462"/>
      <c r="T790" s="1462"/>
      <c r="U790" s="1462"/>
      <c r="V790" s="1462"/>
      <c r="W790" s="1462"/>
      <c r="X790" s="1462"/>
      <c r="Y790" s="1462"/>
      <c r="Z790" s="1462"/>
      <c r="AA790" s="1462"/>
    </row>
    <row r="791">
      <c r="A791" s="1493"/>
      <c r="B791" s="1494"/>
      <c r="C791" s="1493"/>
      <c r="D791" s="1493"/>
      <c r="E791" s="1495"/>
      <c r="F791" s="1462"/>
      <c r="G791" s="1462"/>
      <c r="H791" s="1462"/>
      <c r="I791" s="1462"/>
      <c r="J791" s="1462"/>
      <c r="K791" s="1462"/>
      <c r="L791" s="1462"/>
      <c r="M791" s="1462"/>
      <c r="N791" s="1462"/>
      <c r="O791" s="1462"/>
      <c r="P791" s="1462"/>
      <c r="Q791" s="1462"/>
      <c r="R791" s="1462"/>
      <c r="S791" s="1462"/>
      <c r="T791" s="1462"/>
      <c r="U791" s="1462"/>
      <c r="V791" s="1462"/>
      <c r="W791" s="1462"/>
      <c r="X791" s="1462"/>
      <c r="Y791" s="1462"/>
      <c r="Z791" s="1462"/>
      <c r="AA791" s="1462"/>
    </row>
    <row r="792">
      <c r="A792" s="1493"/>
      <c r="B792" s="1494"/>
      <c r="C792" s="1493"/>
      <c r="D792" s="1493"/>
      <c r="E792" s="1495"/>
      <c r="F792" s="1462"/>
      <c r="G792" s="1462"/>
      <c r="H792" s="1462"/>
      <c r="I792" s="1462"/>
      <c r="J792" s="1462"/>
      <c r="K792" s="1462"/>
      <c r="L792" s="1462"/>
      <c r="M792" s="1462"/>
      <c r="N792" s="1462"/>
      <c r="O792" s="1462"/>
      <c r="P792" s="1462"/>
      <c r="Q792" s="1462"/>
      <c r="R792" s="1462"/>
      <c r="S792" s="1462"/>
      <c r="T792" s="1462"/>
      <c r="U792" s="1462"/>
      <c r="V792" s="1462"/>
      <c r="W792" s="1462"/>
      <c r="X792" s="1462"/>
      <c r="Y792" s="1462"/>
      <c r="Z792" s="1462"/>
      <c r="AA792" s="1462"/>
    </row>
    <row r="793">
      <c r="A793" s="1493"/>
      <c r="B793" s="1494"/>
      <c r="C793" s="1493"/>
      <c r="D793" s="1493"/>
      <c r="E793" s="1495"/>
      <c r="F793" s="1462"/>
      <c r="G793" s="1462"/>
      <c r="H793" s="1462"/>
      <c r="I793" s="1462"/>
      <c r="J793" s="1462"/>
      <c r="K793" s="1462"/>
      <c r="L793" s="1462"/>
      <c r="M793" s="1462"/>
      <c r="N793" s="1462"/>
      <c r="O793" s="1462"/>
      <c r="P793" s="1462"/>
      <c r="Q793" s="1462"/>
      <c r="R793" s="1462"/>
      <c r="S793" s="1462"/>
      <c r="T793" s="1462"/>
      <c r="U793" s="1462"/>
      <c r="V793" s="1462"/>
      <c r="W793" s="1462"/>
      <c r="X793" s="1462"/>
      <c r="Y793" s="1462"/>
      <c r="Z793" s="1462"/>
      <c r="AA793" s="1462"/>
    </row>
    <row r="794">
      <c r="A794" s="1493"/>
      <c r="B794" s="1494"/>
      <c r="C794" s="1493"/>
      <c r="D794" s="1493"/>
      <c r="E794" s="1495"/>
      <c r="F794" s="1462"/>
      <c r="G794" s="1462"/>
      <c r="H794" s="1462"/>
      <c r="I794" s="1462"/>
      <c r="J794" s="1462"/>
      <c r="K794" s="1462"/>
      <c r="L794" s="1462"/>
      <c r="M794" s="1462"/>
      <c r="N794" s="1462"/>
      <c r="O794" s="1462"/>
      <c r="P794" s="1462"/>
      <c r="Q794" s="1462"/>
      <c r="R794" s="1462"/>
      <c r="S794" s="1462"/>
      <c r="T794" s="1462"/>
      <c r="U794" s="1462"/>
      <c r="V794" s="1462"/>
      <c r="W794" s="1462"/>
      <c r="X794" s="1462"/>
      <c r="Y794" s="1462"/>
      <c r="Z794" s="1462"/>
      <c r="AA794" s="1462"/>
    </row>
    <row r="795">
      <c r="A795" s="1493"/>
      <c r="B795" s="1494"/>
      <c r="C795" s="1493"/>
      <c r="D795" s="1493"/>
      <c r="E795" s="1495"/>
      <c r="F795" s="1462"/>
      <c r="G795" s="1462"/>
      <c r="H795" s="1462"/>
      <c r="I795" s="1462"/>
      <c r="J795" s="1462"/>
      <c r="K795" s="1462"/>
      <c r="L795" s="1462"/>
      <c r="M795" s="1462"/>
      <c r="N795" s="1462"/>
      <c r="O795" s="1462"/>
      <c r="P795" s="1462"/>
      <c r="Q795" s="1462"/>
      <c r="R795" s="1462"/>
      <c r="S795" s="1462"/>
      <c r="T795" s="1462"/>
      <c r="U795" s="1462"/>
      <c r="V795" s="1462"/>
      <c r="W795" s="1462"/>
      <c r="X795" s="1462"/>
      <c r="Y795" s="1462"/>
      <c r="Z795" s="1462"/>
      <c r="AA795" s="1462"/>
    </row>
    <row r="796">
      <c r="A796" s="1493"/>
      <c r="B796" s="1494"/>
      <c r="C796" s="1493"/>
      <c r="D796" s="1493"/>
      <c r="E796" s="1495"/>
      <c r="F796" s="1462"/>
      <c r="G796" s="1462"/>
      <c r="H796" s="1462"/>
      <c r="I796" s="1462"/>
      <c r="J796" s="1462"/>
      <c r="K796" s="1462"/>
      <c r="L796" s="1462"/>
      <c r="M796" s="1462"/>
      <c r="N796" s="1462"/>
      <c r="O796" s="1462"/>
      <c r="P796" s="1462"/>
      <c r="Q796" s="1462"/>
      <c r="R796" s="1462"/>
      <c r="S796" s="1462"/>
      <c r="T796" s="1462"/>
      <c r="U796" s="1462"/>
      <c r="V796" s="1462"/>
      <c r="W796" s="1462"/>
      <c r="X796" s="1462"/>
      <c r="Y796" s="1462"/>
      <c r="Z796" s="1462"/>
      <c r="AA796" s="1462"/>
    </row>
    <row r="797">
      <c r="A797" s="1493"/>
      <c r="B797" s="1494"/>
      <c r="C797" s="1493"/>
      <c r="D797" s="1493"/>
      <c r="E797" s="1495"/>
      <c r="F797" s="1462"/>
      <c r="G797" s="1462"/>
      <c r="H797" s="1462"/>
      <c r="I797" s="1462"/>
      <c r="J797" s="1462"/>
      <c r="K797" s="1462"/>
      <c r="L797" s="1462"/>
      <c r="M797" s="1462"/>
      <c r="N797" s="1462"/>
      <c r="O797" s="1462"/>
      <c r="P797" s="1462"/>
      <c r="Q797" s="1462"/>
      <c r="R797" s="1462"/>
      <c r="S797" s="1462"/>
      <c r="T797" s="1462"/>
      <c r="U797" s="1462"/>
      <c r="V797" s="1462"/>
      <c r="W797" s="1462"/>
      <c r="X797" s="1462"/>
      <c r="Y797" s="1462"/>
      <c r="Z797" s="1462"/>
      <c r="AA797" s="1462"/>
    </row>
    <row r="798">
      <c r="A798" s="1493"/>
      <c r="B798" s="1494"/>
      <c r="C798" s="1493"/>
      <c r="D798" s="1493"/>
      <c r="E798" s="1495"/>
      <c r="F798" s="1462"/>
      <c r="G798" s="1462"/>
      <c r="H798" s="1462"/>
      <c r="I798" s="1462"/>
      <c r="J798" s="1462"/>
      <c r="K798" s="1462"/>
      <c r="L798" s="1462"/>
      <c r="M798" s="1462"/>
      <c r="N798" s="1462"/>
      <c r="O798" s="1462"/>
      <c r="P798" s="1462"/>
      <c r="Q798" s="1462"/>
      <c r="R798" s="1462"/>
      <c r="S798" s="1462"/>
      <c r="T798" s="1462"/>
      <c r="U798" s="1462"/>
      <c r="V798" s="1462"/>
      <c r="W798" s="1462"/>
      <c r="X798" s="1462"/>
      <c r="Y798" s="1462"/>
      <c r="Z798" s="1462"/>
      <c r="AA798" s="1462"/>
    </row>
    <row r="799">
      <c r="A799" s="1493"/>
      <c r="B799" s="1494"/>
      <c r="C799" s="1493"/>
      <c r="D799" s="1493"/>
      <c r="E799" s="1495"/>
      <c r="F799" s="1462"/>
      <c r="G799" s="1462"/>
      <c r="H799" s="1462"/>
      <c r="I799" s="1462"/>
      <c r="J799" s="1462"/>
      <c r="K799" s="1462"/>
      <c r="L799" s="1462"/>
      <c r="M799" s="1462"/>
      <c r="N799" s="1462"/>
      <c r="O799" s="1462"/>
      <c r="P799" s="1462"/>
      <c r="Q799" s="1462"/>
      <c r="R799" s="1462"/>
      <c r="S799" s="1462"/>
      <c r="T799" s="1462"/>
      <c r="U799" s="1462"/>
      <c r="V799" s="1462"/>
      <c r="W799" s="1462"/>
      <c r="X799" s="1462"/>
      <c r="Y799" s="1462"/>
      <c r="Z799" s="1462"/>
      <c r="AA799" s="1462"/>
    </row>
    <row r="800">
      <c r="A800" s="1493"/>
      <c r="B800" s="1494"/>
      <c r="C800" s="1493"/>
      <c r="D800" s="1493"/>
      <c r="E800" s="1495"/>
      <c r="F800" s="1462"/>
      <c r="G800" s="1462"/>
      <c r="H800" s="1462"/>
      <c r="I800" s="1462"/>
      <c r="J800" s="1462"/>
      <c r="K800" s="1462"/>
      <c r="L800" s="1462"/>
      <c r="M800" s="1462"/>
      <c r="N800" s="1462"/>
      <c r="O800" s="1462"/>
      <c r="P800" s="1462"/>
      <c r="Q800" s="1462"/>
      <c r="R800" s="1462"/>
      <c r="S800" s="1462"/>
      <c r="T800" s="1462"/>
      <c r="U800" s="1462"/>
      <c r="V800" s="1462"/>
      <c r="W800" s="1462"/>
      <c r="X800" s="1462"/>
      <c r="Y800" s="1462"/>
      <c r="Z800" s="1462"/>
      <c r="AA800" s="1462"/>
    </row>
    <row r="801">
      <c r="A801" s="1493"/>
      <c r="B801" s="1494"/>
      <c r="C801" s="1493"/>
      <c r="D801" s="1493"/>
      <c r="E801" s="1495"/>
      <c r="F801" s="1462"/>
      <c r="G801" s="1462"/>
      <c r="H801" s="1462"/>
      <c r="I801" s="1462"/>
      <c r="J801" s="1462"/>
      <c r="K801" s="1462"/>
      <c r="L801" s="1462"/>
      <c r="M801" s="1462"/>
      <c r="N801" s="1462"/>
      <c r="O801" s="1462"/>
      <c r="P801" s="1462"/>
      <c r="Q801" s="1462"/>
      <c r="R801" s="1462"/>
      <c r="S801" s="1462"/>
      <c r="T801" s="1462"/>
      <c r="U801" s="1462"/>
      <c r="V801" s="1462"/>
      <c r="W801" s="1462"/>
      <c r="X801" s="1462"/>
      <c r="Y801" s="1462"/>
      <c r="Z801" s="1462"/>
      <c r="AA801" s="1462"/>
    </row>
    <row r="802">
      <c r="A802" s="1493"/>
      <c r="B802" s="1494"/>
      <c r="C802" s="1493"/>
      <c r="D802" s="1493"/>
      <c r="E802" s="1495"/>
      <c r="F802" s="1462"/>
      <c r="G802" s="1462"/>
      <c r="H802" s="1462"/>
      <c r="I802" s="1462"/>
      <c r="J802" s="1462"/>
      <c r="K802" s="1462"/>
      <c r="L802" s="1462"/>
      <c r="M802" s="1462"/>
      <c r="N802" s="1462"/>
      <c r="O802" s="1462"/>
      <c r="P802" s="1462"/>
      <c r="Q802" s="1462"/>
      <c r="R802" s="1462"/>
      <c r="S802" s="1462"/>
      <c r="T802" s="1462"/>
      <c r="U802" s="1462"/>
      <c r="V802" s="1462"/>
      <c r="W802" s="1462"/>
      <c r="X802" s="1462"/>
      <c r="Y802" s="1462"/>
      <c r="Z802" s="1462"/>
      <c r="AA802" s="1462"/>
    </row>
    <row r="803">
      <c r="A803" s="1493"/>
      <c r="B803" s="1494"/>
      <c r="C803" s="1493"/>
      <c r="D803" s="1493"/>
      <c r="E803" s="1495"/>
      <c r="F803" s="1462"/>
      <c r="G803" s="1462"/>
      <c r="H803" s="1462"/>
      <c r="I803" s="1462"/>
      <c r="J803" s="1462"/>
      <c r="K803" s="1462"/>
      <c r="L803" s="1462"/>
      <c r="M803" s="1462"/>
      <c r="N803" s="1462"/>
      <c r="O803" s="1462"/>
      <c r="P803" s="1462"/>
      <c r="Q803" s="1462"/>
      <c r="R803" s="1462"/>
      <c r="S803" s="1462"/>
      <c r="T803" s="1462"/>
      <c r="U803" s="1462"/>
      <c r="V803" s="1462"/>
      <c r="W803" s="1462"/>
      <c r="X803" s="1462"/>
      <c r="Y803" s="1462"/>
      <c r="Z803" s="1462"/>
      <c r="AA803" s="1462"/>
    </row>
    <row r="804">
      <c r="A804" s="1493"/>
      <c r="B804" s="1494"/>
      <c r="C804" s="1493"/>
      <c r="D804" s="1493"/>
      <c r="E804" s="1495"/>
      <c r="F804" s="1462"/>
      <c r="G804" s="1462"/>
      <c r="H804" s="1462"/>
      <c r="I804" s="1462"/>
      <c r="J804" s="1462"/>
      <c r="K804" s="1462"/>
      <c r="L804" s="1462"/>
      <c r="M804" s="1462"/>
      <c r="N804" s="1462"/>
      <c r="O804" s="1462"/>
      <c r="P804" s="1462"/>
      <c r="Q804" s="1462"/>
      <c r="R804" s="1462"/>
      <c r="S804" s="1462"/>
      <c r="T804" s="1462"/>
      <c r="U804" s="1462"/>
      <c r="V804" s="1462"/>
      <c r="W804" s="1462"/>
      <c r="X804" s="1462"/>
      <c r="Y804" s="1462"/>
      <c r="Z804" s="1462"/>
      <c r="AA804" s="1462"/>
    </row>
    <row r="805">
      <c r="A805" s="1493"/>
      <c r="B805" s="1494"/>
      <c r="C805" s="1493"/>
      <c r="D805" s="1493"/>
      <c r="E805" s="1495"/>
      <c r="F805" s="1462"/>
      <c r="G805" s="1462"/>
      <c r="H805" s="1462"/>
      <c r="I805" s="1462"/>
      <c r="J805" s="1462"/>
      <c r="K805" s="1462"/>
      <c r="L805" s="1462"/>
      <c r="M805" s="1462"/>
      <c r="N805" s="1462"/>
      <c r="O805" s="1462"/>
      <c r="P805" s="1462"/>
      <c r="Q805" s="1462"/>
      <c r="R805" s="1462"/>
      <c r="S805" s="1462"/>
      <c r="T805" s="1462"/>
      <c r="U805" s="1462"/>
      <c r="V805" s="1462"/>
      <c r="W805" s="1462"/>
      <c r="X805" s="1462"/>
      <c r="Y805" s="1462"/>
      <c r="Z805" s="1462"/>
      <c r="AA805" s="1462"/>
    </row>
    <row r="806">
      <c r="A806" s="1493"/>
      <c r="B806" s="1494"/>
      <c r="C806" s="1493"/>
      <c r="D806" s="1493"/>
      <c r="E806" s="1495"/>
      <c r="F806" s="1462"/>
      <c r="G806" s="1462"/>
      <c r="H806" s="1462"/>
      <c r="I806" s="1462"/>
      <c r="J806" s="1462"/>
      <c r="K806" s="1462"/>
      <c r="L806" s="1462"/>
      <c r="M806" s="1462"/>
      <c r="N806" s="1462"/>
      <c r="O806" s="1462"/>
      <c r="P806" s="1462"/>
      <c r="Q806" s="1462"/>
      <c r="R806" s="1462"/>
      <c r="S806" s="1462"/>
      <c r="T806" s="1462"/>
      <c r="U806" s="1462"/>
      <c r="V806" s="1462"/>
      <c r="W806" s="1462"/>
      <c r="X806" s="1462"/>
      <c r="Y806" s="1462"/>
      <c r="Z806" s="1462"/>
      <c r="AA806" s="1462"/>
    </row>
    <row r="807">
      <c r="A807" s="1493"/>
      <c r="B807" s="1494"/>
      <c r="C807" s="1493"/>
      <c r="D807" s="1493"/>
      <c r="E807" s="1495"/>
      <c r="F807" s="1462"/>
      <c r="G807" s="1462"/>
      <c r="H807" s="1462"/>
      <c r="I807" s="1462"/>
      <c r="J807" s="1462"/>
      <c r="K807" s="1462"/>
      <c r="L807" s="1462"/>
      <c r="M807" s="1462"/>
      <c r="N807" s="1462"/>
      <c r="O807" s="1462"/>
      <c r="P807" s="1462"/>
      <c r="Q807" s="1462"/>
      <c r="R807" s="1462"/>
      <c r="S807" s="1462"/>
      <c r="T807" s="1462"/>
      <c r="U807" s="1462"/>
      <c r="V807" s="1462"/>
      <c r="W807" s="1462"/>
      <c r="X807" s="1462"/>
      <c r="Y807" s="1462"/>
      <c r="Z807" s="1462"/>
      <c r="AA807" s="1462"/>
    </row>
    <row r="808">
      <c r="A808" s="1493"/>
      <c r="B808" s="1494"/>
      <c r="C808" s="1493"/>
      <c r="D808" s="1493"/>
      <c r="E808" s="1495"/>
      <c r="F808" s="1462"/>
      <c r="G808" s="1462"/>
      <c r="H808" s="1462"/>
      <c r="I808" s="1462"/>
      <c r="J808" s="1462"/>
      <c r="K808" s="1462"/>
      <c r="L808" s="1462"/>
      <c r="M808" s="1462"/>
      <c r="N808" s="1462"/>
      <c r="O808" s="1462"/>
      <c r="P808" s="1462"/>
      <c r="Q808" s="1462"/>
      <c r="R808" s="1462"/>
      <c r="S808" s="1462"/>
      <c r="T808" s="1462"/>
      <c r="U808" s="1462"/>
      <c r="V808" s="1462"/>
      <c r="W808" s="1462"/>
      <c r="X808" s="1462"/>
      <c r="Y808" s="1462"/>
      <c r="Z808" s="1462"/>
      <c r="AA808" s="1462"/>
    </row>
    <row r="809">
      <c r="A809" s="1493"/>
      <c r="B809" s="1494"/>
      <c r="C809" s="1493"/>
      <c r="D809" s="1493"/>
      <c r="E809" s="1495"/>
      <c r="F809" s="1462"/>
      <c r="G809" s="1462"/>
      <c r="H809" s="1462"/>
      <c r="I809" s="1462"/>
      <c r="J809" s="1462"/>
      <c r="K809" s="1462"/>
      <c r="L809" s="1462"/>
      <c r="M809" s="1462"/>
      <c r="N809" s="1462"/>
      <c r="O809" s="1462"/>
      <c r="P809" s="1462"/>
      <c r="Q809" s="1462"/>
      <c r="R809" s="1462"/>
      <c r="S809" s="1462"/>
      <c r="T809" s="1462"/>
      <c r="U809" s="1462"/>
      <c r="V809" s="1462"/>
      <c r="W809" s="1462"/>
      <c r="X809" s="1462"/>
      <c r="Y809" s="1462"/>
      <c r="Z809" s="1462"/>
      <c r="AA809" s="1462"/>
    </row>
    <row r="810">
      <c r="A810" s="1493"/>
      <c r="B810" s="1494"/>
      <c r="C810" s="1493"/>
      <c r="D810" s="1493"/>
      <c r="E810" s="1495"/>
      <c r="F810" s="1462"/>
      <c r="G810" s="1462"/>
      <c r="H810" s="1462"/>
      <c r="I810" s="1462"/>
      <c r="J810" s="1462"/>
      <c r="K810" s="1462"/>
      <c r="L810" s="1462"/>
      <c r="M810" s="1462"/>
      <c r="N810" s="1462"/>
      <c r="O810" s="1462"/>
      <c r="P810" s="1462"/>
      <c r="Q810" s="1462"/>
      <c r="R810" s="1462"/>
      <c r="S810" s="1462"/>
      <c r="T810" s="1462"/>
      <c r="U810" s="1462"/>
      <c r="V810" s="1462"/>
      <c r="W810" s="1462"/>
      <c r="X810" s="1462"/>
      <c r="Y810" s="1462"/>
      <c r="Z810" s="1462"/>
      <c r="AA810" s="1462"/>
    </row>
    <row r="811">
      <c r="A811" s="1493"/>
      <c r="B811" s="1494"/>
      <c r="C811" s="1493"/>
      <c r="D811" s="1493"/>
      <c r="E811" s="1495"/>
      <c r="F811" s="1462"/>
      <c r="G811" s="1462"/>
      <c r="H811" s="1462"/>
      <c r="I811" s="1462"/>
      <c r="J811" s="1462"/>
      <c r="K811" s="1462"/>
      <c r="L811" s="1462"/>
      <c r="M811" s="1462"/>
      <c r="N811" s="1462"/>
      <c r="O811" s="1462"/>
      <c r="P811" s="1462"/>
      <c r="Q811" s="1462"/>
      <c r="R811" s="1462"/>
      <c r="S811" s="1462"/>
      <c r="T811" s="1462"/>
      <c r="U811" s="1462"/>
      <c r="V811" s="1462"/>
      <c r="W811" s="1462"/>
      <c r="X811" s="1462"/>
      <c r="Y811" s="1462"/>
      <c r="Z811" s="1462"/>
      <c r="AA811" s="1462"/>
    </row>
    <row r="812">
      <c r="A812" s="1493"/>
      <c r="B812" s="1494"/>
      <c r="C812" s="1493"/>
      <c r="D812" s="1493"/>
      <c r="E812" s="1495"/>
      <c r="F812" s="1462"/>
      <c r="G812" s="1462"/>
      <c r="H812" s="1462"/>
      <c r="I812" s="1462"/>
      <c r="J812" s="1462"/>
      <c r="K812" s="1462"/>
      <c r="L812" s="1462"/>
      <c r="M812" s="1462"/>
      <c r="N812" s="1462"/>
      <c r="O812" s="1462"/>
      <c r="P812" s="1462"/>
      <c r="Q812" s="1462"/>
      <c r="R812" s="1462"/>
      <c r="S812" s="1462"/>
      <c r="T812" s="1462"/>
      <c r="U812" s="1462"/>
      <c r="V812" s="1462"/>
      <c r="W812" s="1462"/>
      <c r="X812" s="1462"/>
      <c r="Y812" s="1462"/>
      <c r="Z812" s="1462"/>
      <c r="AA812" s="1462"/>
    </row>
    <row r="813">
      <c r="A813" s="1493"/>
      <c r="B813" s="1494"/>
      <c r="C813" s="1493"/>
      <c r="D813" s="1493"/>
      <c r="E813" s="1495"/>
      <c r="F813" s="1462"/>
      <c r="G813" s="1462"/>
      <c r="H813" s="1462"/>
      <c r="I813" s="1462"/>
      <c r="J813" s="1462"/>
      <c r="K813" s="1462"/>
      <c r="L813" s="1462"/>
      <c r="M813" s="1462"/>
      <c r="N813" s="1462"/>
      <c r="O813" s="1462"/>
      <c r="P813" s="1462"/>
      <c r="Q813" s="1462"/>
      <c r="R813" s="1462"/>
      <c r="S813" s="1462"/>
      <c r="T813" s="1462"/>
      <c r="U813" s="1462"/>
      <c r="V813" s="1462"/>
      <c r="W813" s="1462"/>
      <c r="X813" s="1462"/>
      <c r="Y813" s="1462"/>
      <c r="Z813" s="1462"/>
      <c r="AA813" s="1462"/>
    </row>
    <row r="814">
      <c r="A814" s="1493"/>
      <c r="B814" s="1494"/>
      <c r="C814" s="1493"/>
      <c r="D814" s="1493"/>
      <c r="E814" s="1495"/>
      <c r="F814" s="1462"/>
      <c r="G814" s="1462"/>
      <c r="H814" s="1462"/>
      <c r="I814" s="1462"/>
      <c r="J814" s="1462"/>
      <c r="K814" s="1462"/>
      <c r="L814" s="1462"/>
      <c r="M814" s="1462"/>
      <c r="N814" s="1462"/>
      <c r="O814" s="1462"/>
      <c r="P814" s="1462"/>
      <c r="Q814" s="1462"/>
      <c r="R814" s="1462"/>
      <c r="S814" s="1462"/>
      <c r="T814" s="1462"/>
      <c r="U814" s="1462"/>
      <c r="V814" s="1462"/>
      <c r="W814" s="1462"/>
      <c r="X814" s="1462"/>
      <c r="Y814" s="1462"/>
      <c r="Z814" s="1462"/>
      <c r="AA814" s="1462"/>
    </row>
    <row r="815">
      <c r="A815" s="1493"/>
      <c r="B815" s="1494"/>
      <c r="C815" s="1493"/>
      <c r="D815" s="1493"/>
      <c r="E815" s="1495"/>
      <c r="F815" s="1462"/>
      <c r="G815" s="1462"/>
      <c r="H815" s="1462"/>
      <c r="I815" s="1462"/>
      <c r="J815" s="1462"/>
      <c r="K815" s="1462"/>
      <c r="L815" s="1462"/>
      <c r="M815" s="1462"/>
      <c r="N815" s="1462"/>
      <c r="O815" s="1462"/>
      <c r="P815" s="1462"/>
      <c r="Q815" s="1462"/>
      <c r="R815" s="1462"/>
      <c r="S815" s="1462"/>
      <c r="T815" s="1462"/>
      <c r="U815" s="1462"/>
      <c r="V815" s="1462"/>
      <c r="W815" s="1462"/>
      <c r="X815" s="1462"/>
      <c r="Y815" s="1462"/>
      <c r="Z815" s="1462"/>
      <c r="AA815" s="1462"/>
    </row>
    <row r="816">
      <c r="A816" s="1493"/>
      <c r="B816" s="1494"/>
      <c r="C816" s="1493"/>
      <c r="D816" s="1493"/>
      <c r="E816" s="1495"/>
      <c r="F816" s="1462"/>
      <c r="G816" s="1462"/>
      <c r="H816" s="1462"/>
      <c r="I816" s="1462"/>
      <c r="J816" s="1462"/>
      <c r="K816" s="1462"/>
      <c r="L816" s="1462"/>
      <c r="M816" s="1462"/>
      <c r="N816" s="1462"/>
      <c r="O816" s="1462"/>
      <c r="P816" s="1462"/>
      <c r="Q816" s="1462"/>
      <c r="R816" s="1462"/>
      <c r="S816" s="1462"/>
      <c r="T816" s="1462"/>
      <c r="U816" s="1462"/>
      <c r="V816" s="1462"/>
      <c r="W816" s="1462"/>
      <c r="X816" s="1462"/>
      <c r="Y816" s="1462"/>
      <c r="Z816" s="1462"/>
      <c r="AA816" s="1462"/>
    </row>
    <row r="817">
      <c r="A817" s="1493"/>
      <c r="B817" s="1494"/>
      <c r="C817" s="1493"/>
      <c r="D817" s="1493"/>
      <c r="E817" s="1495"/>
      <c r="F817" s="1462"/>
      <c r="G817" s="1462"/>
      <c r="H817" s="1462"/>
      <c r="I817" s="1462"/>
      <c r="J817" s="1462"/>
      <c r="K817" s="1462"/>
      <c r="L817" s="1462"/>
      <c r="M817" s="1462"/>
      <c r="N817" s="1462"/>
      <c r="O817" s="1462"/>
      <c r="P817" s="1462"/>
      <c r="Q817" s="1462"/>
      <c r="R817" s="1462"/>
      <c r="S817" s="1462"/>
      <c r="T817" s="1462"/>
      <c r="U817" s="1462"/>
      <c r="V817" s="1462"/>
      <c r="W817" s="1462"/>
      <c r="X817" s="1462"/>
      <c r="Y817" s="1462"/>
      <c r="Z817" s="1462"/>
      <c r="AA817" s="1462"/>
    </row>
    <row r="818">
      <c r="A818" s="1493"/>
      <c r="B818" s="1494"/>
      <c r="C818" s="1493"/>
      <c r="D818" s="1493"/>
      <c r="E818" s="1495"/>
      <c r="F818" s="1462"/>
      <c r="G818" s="1462"/>
      <c r="H818" s="1462"/>
      <c r="I818" s="1462"/>
      <c r="J818" s="1462"/>
      <c r="K818" s="1462"/>
      <c r="L818" s="1462"/>
      <c r="M818" s="1462"/>
      <c r="N818" s="1462"/>
      <c r="O818" s="1462"/>
      <c r="P818" s="1462"/>
      <c r="Q818" s="1462"/>
      <c r="R818" s="1462"/>
      <c r="S818" s="1462"/>
      <c r="T818" s="1462"/>
      <c r="U818" s="1462"/>
      <c r="V818" s="1462"/>
      <c r="W818" s="1462"/>
      <c r="X818" s="1462"/>
      <c r="Y818" s="1462"/>
      <c r="Z818" s="1462"/>
      <c r="AA818" s="1462"/>
    </row>
    <row r="819">
      <c r="A819" s="1493"/>
      <c r="B819" s="1494"/>
      <c r="C819" s="1493"/>
      <c r="D819" s="1493"/>
      <c r="E819" s="1495"/>
      <c r="F819" s="1462"/>
      <c r="G819" s="1462"/>
      <c r="H819" s="1462"/>
      <c r="I819" s="1462"/>
      <c r="J819" s="1462"/>
      <c r="K819" s="1462"/>
      <c r="L819" s="1462"/>
      <c r="M819" s="1462"/>
      <c r="N819" s="1462"/>
      <c r="O819" s="1462"/>
      <c r="P819" s="1462"/>
      <c r="Q819" s="1462"/>
      <c r="R819" s="1462"/>
      <c r="S819" s="1462"/>
      <c r="T819" s="1462"/>
      <c r="U819" s="1462"/>
      <c r="V819" s="1462"/>
      <c r="W819" s="1462"/>
      <c r="X819" s="1462"/>
      <c r="Y819" s="1462"/>
      <c r="Z819" s="1462"/>
      <c r="AA819" s="1462"/>
    </row>
    <row r="820">
      <c r="A820" s="1493"/>
      <c r="B820" s="1494"/>
      <c r="C820" s="1493"/>
      <c r="D820" s="1493"/>
      <c r="E820" s="1495"/>
      <c r="F820" s="1462"/>
      <c r="G820" s="1462"/>
      <c r="H820" s="1462"/>
      <c r="I820" s="1462"/>
      <c r="J820" s="1462"/>
      <c r="K820" s="1462"/>
      <c r="L820" s="1462"/>
      <c r="M820" s="1462"/>
      <c r="N820" s="1462"/>
      <c r="O820" s="1462"/>
      <c r="P820" s="1462"/>
      <c r="Q820" s="1462"/>
      <c r="R820" s="1462"/>
      <c r="S820" s="1462"/>
      <c r="T820" s="1462"/>
      <c r="U820" s="1462"/>
      <c r="V820" s="1462"/>
      <c r="W820" s="1462"/>
      <c r="X820" s="1462"/>
      <c r="Y820" s="1462"/>
      <c r="Z820" s="1462"/>
      <c r="AA820" s="1462"/>
    </row>
    <row r="821">
      <c r="A821" s="1493"/>
      <c r="B821" s="1494"/>
      <c r="C821" s="1493"/>
      <c r="D821" s="1493"/>
      <c r="E821" s="1495"/>
      <c r="F821" s="1462"/>
      <c r="G821" s="1462"/>
      <c r="H821" s="1462"/>
      <c r="I821" s="1462"/>
      <c r="J821" s="1462"/>
      <c r="K821" s="1462"/>
      <c r="L821" s="1462"/>
      <c r="M821" s="1462"/>
      <c r="N821" s="1462"/>
      <c r="O821" s="1462"/>
      <c r="P821" s="1462"/>
      <c r="Q821" s="1462"/>
      <c r="R821" s="1462"/>
      <c r="S821" s="1462"/>
      <c r="T821" s="1462"/>
      <c r="U821" s="1462"/>
      <c r="V821" s="1462"/>
      <c r="W821" s="1462"/>
      <c r="X821" s="1462"/>
      <c r="Y821" s="1462"/>
      <c r="Z821" s="1462"/>
      <c r="AA821" s="1462"/>
    </row>
    <row r="822">
      <c r="A822" s="1493"/>
      <c r="B822" s="1494"/>
      <c r="C822" s="1493"/>
      <c r="D822" s="1493"/>
      <c r="E822" s="1495"/>
      <c r="F822" s="1462"/>
      <c r="G822" s="1462"/>
      <c r="H822" s="1462"/>
      <c r="I822" s="1462"/>
      <c r="J822" s="1462"/>
      <c r="K822" s="1462"/>
      <c r="L822" s="1462"/>
      <c r="M822" s="1462"/>
      <c r="N822" s="1462"/>
      <c r="O822" s="1462"/>
      <c r="P822" s="1462"/>
      <c r="Q822" s="1462"/>
      <c r="R822" s="1462"/>
      <c r="S822" s="1462"/>
      <c r="T822" s="1462"/>
      <c r="U822" s="1462"/>
      <c r="V822" s="1462"/>
      <c r="W822" s="1462"/>
      <c r="X822" s="1462"/>
      <c r="Y822" s="1462"/>
      <c r="Z822" s="1462"/>
      <c r="AA822" s="1462"/>
    </row>
    <row r="823">
      <c r="A823" s="1493"/>
      <c r="B823" s="1494"/>
      <c r="C823" s="1493"/>
      <c r="D823" s="1493"/>
      <c r="E823" s="1495"/>
      <c r="F823" s="1462"/>
      <c r="G823" s="1462"/>
      <c r="H823" s="1462"/>
      <c r="I823" s="1462"/>
      <c r="J823" s="1462"/>
      <c r="K823" s="1462"/>
      <c r="L823" s="1462"/>
      <c r="M823" s="1462"/>
      <c r="N823" s="1462"/>
      <c r="O823" s="1462"/>
      <c r="P823" s="1462"/>
      <c r="Q823" s="1462"/>
      <c r="R823" s="1462"/>
      <c r="S823" s="1462"/>
      <c r="T823" s="1462"/>
      <c r="U823" s="1462"/>
      <c r="V823" s="1462"/>
      <c r="W823" s="1462"/>
      <c r="X823" s="1462"/>
      <c r="Y823" s="1462"/>
      <c r="Z823" s="1462"/>
      <c r="AA823" s="1462"/>
    </row>
    <row r="824">
      <c r="A824" s="1493"/>
      <c r="B824" s="1494"/>
      <c r="C824" s="1493"/>
      <c r="D824" s="1493"/>
      <c r="E824" s="1495"/>
      <c r="F824" s="1462"/>
      <c r="G824" s="1462"/>
      <c r="H824" s="1462"/>
      <c r="I824" s="1462"/>
      <c r="J824" s="1462"/>
      <c r="K824" s="1462"/>
      <c r="L824" s="1462"/>
      <c r="M824" s="1462"/>
      <c r="N824" s="1462"/>
      <c r="O824" s="1462"/>
      <c r="P824" s="1462"/>
      <c r="Q824" s="1462"/>
      <c r="R824" s="1462"/>
      <c r="S824" s="1462"/>
      <c r="T824" s="1462"/>
      <c r="U824" s="1462"/>
      <c r="V824" s="1462"/>
      <c r="W824" s="1462"/>
      <c r="X824" s="1462"/>
      <c r="Y824" s="1462"/>
      <c r="Z824" s="1462"/>
      <c r="AA824" s="1462"/>
    </row>
    <row r="825">
      <c r="A825" s="1493"/>
      <c r="B825" s="1494"/>
      <c r="C825" s="1493"/>
      <c r="D825" s="1493"/>
      <c r="E825" s="1495"/>
      <c r="F825" s="1462"/>
      <c r="G825" s="1462"/>
      <c r="H825" s="1462"/>
      <c r="I825" s="1462"/>
      <c r="J825" s="1462"/>
      <c r="K825" s="1462"/>
      <c r="L825" s="1462"/>
      <c r="M825" s="1462"/>
      <c r="N825" s="1462"/>
      <c r="O825" s="1462"/>
      <c r="P825" s="1462"/>
      <c r="Q825" s="1462"/>
      <c r="R825" s="1462"/>
      <c r="S825" s="1462"/>
      <c r="T825" s="1462"/>
      <c r="U825" s="1462"/>
      <c r="V825" s="1462"/>
      <c r="W825" s="1462"/>
      <c r="X825" s="1462"/>
      <c r="Y825" s="1462"/>
      <c r="Z825" s="1462"/>
      <c r="AA825" s="1462"/>
    </row>
    <row r="826">
      <c r="A826" s="1493"/>
      <c r="B826" s="1494"/>
      <c r="C826" s="1493"/>
      <c r="D826" s="1493"/>
      <c r="E826" s="1495"/>
      <c r="F826" s="1462"/>
      <c r="G826" s="1462"/>
      <c r="H826" s="1462"/>
      <c r="I826" s="1462"/>
      <c r="J826" s="1462"/>
      <c r="K826" s="1462"/>
      <c r="L826" s="1462"/>
      <c r="M826" s="1462"/>
      <c r="N826" s="1462"/>
      <c r="O826" s="1462"/>
      <c r="P826" s="1462"/>
      <c r="Q826" s="1462"/>
      <c r="R826" s="1462"/>
      <c r="S826" s="1462"/>
      <c r="T826" s="1462"/>
      <c r="U826" s="1462"/>
      <c r="V826" s="1462"/>
      <c r="W826" s="1462"/>
      <c r="X826" s="1462"/>
      <c r="Y826" s="1462"/>
      <c r="Z826" s="1462"/>
      <c r="AA826" s="1462"/>
    </row>
    <row r="827">
      <c r="A827" s="1493"/>
      <c r="B827" s="1494"/>
      <c r="C827" s="1493"/>
      <c r="D827" s="1493"/>
      <c r="E827" s="1495"/>
      <c r="F827" s="1462"/>
      <c r="G827" s="1462"/>
      <c r="H827" s="1462"/>
      <c r="I827" s="1462"/>
      <c r="J827" s="1462"/>
      <c r="K827" s="1462"/>
      <c r="L827" s="1462"/>
      <c r="M827" s="1462"/>
      <c r="N827" s="1462"/>
      <c r="O827" s="1462"/>
      <c r="P827" s="1462"/>
      <c r="Q827" s="1462"/>
      <c r="R827" s="1462"/>
      <c r="S827" s="1462"/>
      <c r="T827" s="1462"/>
      <c r="U827" s="1462"/>
      <c r="V827" s="1462"/>
      <c r="W827" s="1462"/>
      <c r="X827" s="1462"/>
      <c r="Y827" s="1462"/>
      <c r="Z827" s="1462"/>
      <c r="AA827" s="1462"/>
    </row>
    <row r="828">
      <c r="A828" s="1493"/>
      <c r="B828" s="1494"/>
      <c r="C828" s="1493"/>
      <c r="D828" s="1493"/>
      <c r="E828" s="1495"/>
      <c r="F828" s="1462"/>
      <c r="G828" s="1462"/>
      <c r="H828" s="1462"/>
      <c r="I828" s="1462"/>
      <c r="J828" s="1462"/>
      <c r="K828" s="1462"/>
      <c r="L828" s="1462"/>
      <c r="M828" s="1462"/>
      <c r="N828" s="1462"/>
      <c r="O828" s="1462"/>
      <c r="P828" s="1462"/>
      <c r="Q828" s="1462"/>
      <c r="R828" s="1462"/>
      <c r="S828" s="1462"/>
      <c r="T828" s="1462"/>
      <c r="U828" s="1462"/>
      <c r="V828" s="1462"/>
      <c r="W828" s="1462"/>
      <c r="X828" s="1462"/>
      <c r="Y828" s="1462"/>
      <c r="Z828" s="1462"/>
      <c r="AA828" s="1462"/>
    </row>
    <row r="829">
      <c r="A829" s="1493"/>
      <c r="B829" s="1494"/>
      <c r="C829" s="1493"/>
      <c r="D829" s="1493"/>
      <c r="E829" s="1495"/>
      <c r="F829" s="1462"/>
      <c r="G829" s="1462"/>
      <c r="H829" s="1462"/>
      <c r="I829" s="1462"/>
      <c r="J829" s="1462"/>
      <c r="K829" s="1462"/>
      <c r="L829" s="1462"/>
      <c r="M829" s="1462"/>
      <c r="N829" s="1462"/>
      <c r="O829" s="1462"/>
      <c r="P829" s="1462"/>
      <c r="Q829" s="1462"/>
      <c r="R829" s="1462"/>
      <c r="S829" s="1462"/>
      <c r="T829" s="1462"/>
      <c r="U829" s="1462"/>
      <c r="V829" s="1462"/>
      <c r="W829" s="1462"/>
      <c r="X829" s="1462"/>
      <c r="Y829" s="1462"/>
      <c r="Z829" s="1462"/>
      <c r="AA829" s="1462"/>
    </row>
    <row r="830">
      <c r="A830" s="1493"/>
      <c r="B830" s="1494"/>
      <c r="C830" s="1493"/>
      <c r="D830" s="1493"/>
      <c r="E830" s="1495"/>
      <c r="F830" s="1462"/>
      <c r="G830" s="1462"/>
      <c r="H830" s="1462"/>
      <c r="I830" s="1462"/>
      <c r="J830" s="1462"/>
      <c r="K830" s="1462"/>
      <c r="L830" s="1462"/>
      <c r="M830" s="1462"/>
      <c r="N830" s="1462"/>
      <c r="O830" s="1462"/>
      <c r="P830" s="1462"/>
      <c r="Q830" s="1462"/>
      <c r="R830" s="1462"/>
      <c r="S830" s="1462"/>
      <c r="T830" s="1462"/>
      <c r="U830" s="1462"/>
      <c r="V830" s="1462"/>
      <c r="W830" s="1462"/>
      <c r="X830" s="1462"/>
      <c r="Y830" s="1462"/>
      <c r="Z830" s="1462"/>
      <c r="AA830" s="1462"/>
    </row>
    <row r="831">
      <c r="A831" s="1493"/>
      <c r="B831" s="1494"/>
      <c r="C831" s="1493"/>
      <c r="D831" s="1493"/>
      <c r="E831" s="1495"/>
      <c r="F831" s="1462"/>
      <c r="G831" s="1462"/>
      <c r="H831" s="1462"/>
      <c r="I831" s="1462"/>
      <c r="J831" s="1462"/>
      <c r="K831" s="1462"/>
      <c r="L831" s="1462"/>
      <c r="M831" s="1462"/>
      <c r="N831" s="1462"/>
      <c r="O831" s="1462"/>
      <c r="P831" s="1462"/>
      <c r="Q831" s="1462"/>
      <c r="R831" s="1462"/>
      <c r="S831" s="1462"/>
      <c r="T831" s="1462"/>
      <c r="U831" s="1462"/>
      <c r="V831" s="1462"/>
      <c r="W831" s="1462"/>
      <c r="X831" s="1462"/>
      <c r="Y831" s="1462"/>
      <c r="Z831" s="1462"/>
      <c r="AA831" s="1462"/>
    </row>
    <row r="832">
      <c r="A832" s="1493"/>
      <c r="B832" s="1494"/>
      <c r="C832" s="1493"/>
      <c r="D832" s="1493"/>
      <c r="E832" s="1495"/>
      <c r="F832" s="1462"/>
      <c r="G832" s="1462"/>
      <c r="H832" s="1462"/>
      <c r="I832" s="1462"/>
      <c r="J832" s="1462"/>
      <c r="K832" s="1462"/>
      <c r="L832" s="1462"/>
      <c r="M832" s="1462"/>
      <c r="N832" s="1462"/>
      <c r="O832" s="1462"/>
      <c r="P832" s="1462"/>
      <c r="Q832" s="1462"/>
      <c r="R832" s="1462"/>
      <c r="S832" s="1462"/>
      <c r="T832" s="1462"/>
      <c r="U832" s="1462"/>
      <c r="V832" s="1462"/>
      <c r="W832" s="1462"/>
      <c r="X832" s="1462"/>
      <c r="Y832" s="1462"/>
      <c r="Z832" s="1462"/>
      <c r="AA832" s="1462"/>
    </row>
    <row r="833">
      <c r="A833" s="1493"/>
      <c r="B833" s="1494"/>
      <c r="C833" s="1493"/>
      <c r="D833" s="1493"/>
      <c r="E833" s="1495"/>
      <c r="F833" s="1462"/>
      <c r="G833" s="1462"/>
      <c r="H833" s="1462"/>
      <c r="I833" s="1462"/>
      <c r="J833" s="1462"/>
      <c r="K833" s="1462"/>
      <c r="L833" s="1462"/>
      <c r="M833" s="1462"/>
      <c r="N833" s="1462"/>
      <c r="O833" s="1462"/>
      <c r="P833" s="1462"/>
      <c r="Q833" s="1462"/>
      <c r="R833" s="1462"/>
      <c r="S833" s="1462"/>
      <c r="T833" s="1462"/>
      <c r="U833" s="1462"/>
      <c r="V833" s="1462"/>
      <c r="W833" s="1462"/>
      <c r="X833" s="1462"/>
      <c r="Y833" s="1462"/>
      <c r="Z833" s="1462"/>
      <c r="AA833" s="1462"/>
    </row>
    <row r="834">
      <c r="A834" s="1493"/>
      <c r="B834" s="1494"/>
      <c r="C834" s="1493"/>
      <c r="D834" s="1493"/>
      <c r="E834" s="1495"/>
      <c r="F834" s="1462"/>
      <c r="G834" s="1462"/>
      <c r="H834" s="1462"/>
      <c r="I834" s="1462"/>
      <c r="J834" s="1462"/>
      <c r="K834" s="1462"/>
      <c r="L834" s="1462"/>
      <c r="M834" s="1462"/>
      <c r="N834" s="1462"/>
      <c r="O834" s="1462"/>
      <c r="P834" s="1462"/>
      <c r="Q834" s="1462"/>
      <c r="R834" s="1462"/>
      <c r="S834" s="1462"/>
      <c r="T834" s="1462"/>
      <c r="U834" s="1462"/>
      <c r="V834" s="1462"/>
      <c r="W834" s="1462"/>
      <c r="X834" s="1462"/>
      <c r="Y834" s="1462"/>
      <c r="Z834" s="1462"/>
      <c r="AA834" s="1462"/>
    </row>
    <row r="835">
      <c r="A835" s="1493"/>
      <c r="B835" s="1494"/>
      <c r="C835" s="1493"/>
      <c r="D835" s="1493"/>
      <c r="E835" s="1495"/>
      <c r="F835" s="1462"/>
      <c r="G835" s="1462"/>
      <c r="H835" s="1462"/>
      <c r="I835" s="1462"/>
      <c r="J835" s="1462"/>
      <c r="K835" s="1462"/>
      <c r="L835" s="1462"/>
      <c r="M835" s="1462"/>
      <c r="N835" s="1462"/>
      <c r="O835" s="1462"/>
      <c r="P835" s="1462"/>
      <c r="Q835" s="1462"/>
      <c r="R835" s="1462"/>
      <c r="S835" s="1462"/>
      <c r="T835" s="1462"/>
      <c r="U835" s="1462"/>
      <c r="V835" s="1462"/>
      <c r="W835" s="1462"/>
      <c r="X835" s="1462"/>
      <c r="Y835" s="1462"/>
      <c r="Z835" s="1462"/>
      <c r="AA835" s="1462"/>
    </row>
    <row r="836">
      <c r="A836" s="1493"/>
      <c r="B836" s="1494"/>
      <c r="C836" s="1493"/>
      <c r="D836" s="1493"/>
      <c r="E836" s="1495"/>
      <c r="F836" s="1462"/>
      <c r="G836" s="1462"/>
      <c r="H836" s="1462"/>
      <c r="I836" s="1462"/>
      <c r="J836" s="1462"/>
      <c r="K836" s="1462"/>
      <c r="L836" s="1462"/>
      <c r="M836" s="1462"/>
      <c r="N836" s="1462"/>
      <c r="O836" s="1462"/>
      <c r="P836" s="1462"/>
      <c r="Q836" s="1462"/>
      <c r="R836" s="1462"/>
      <c r="S836" s="1462"/>
      <c r="T836" s="1462"/>
      <c r="U836" s="1462"/>
      <c r="V836" s="1462"/>
      <c r="W836" s="1462"/>
      <c r="X836" s="1462"/>
      <c r="Y836" s="1462"/>
      <c r="Z836" s="1462"/>
      <c r="AA836" s="1462"/>
    </row>
    <row r="837">
      <c r="A837" s="1493"/>
      <c r="B837" s="1494"/>
      <c r="C837" s="1493"/>
      <c r="D837" s="1493"/>
      <c r="E837" s="1495"/>
      <c r="F837" s="1462"/>
      <c r="G837" s="1462"/>
      <c r="H837" s="1462"/>
      <c r="I837" s="1462"/>
      <c r="J837" s="1462"/>
      <c r="K837" s="1462"/>
      <c r="L837" s="1462"/>
      <c r="M837" s="1462"/>
      <c r="N837" s="1462"/>
      <c r="O837" s="1462"/>
      <c r="P837" s="1462"/>
      <c r="Q837" s="1462"/>
      <c r="R837" s="1462"/>
      <c r="S837" s="1462"/>
      <c r="T837" s="1462"/>
      <c r="U837" s="1462"/>
      <c r="V837" s="1462"/>
      <c r="W837" s="1462"/>
      <c r="X837" s="1462"/>
      <c r="Y837" s="1462"/>
      <c r="Z837" s="1462"/>
      <c r="AA837" s="1462"/>
    </row>
    <row r="838">
      <c r="A838" s="1493"/>
      <c r="B838" s="1494"/>
      <c r="C838" s="1493"/>
      <c r="D838" s="1493"/>
      <c r="E838" s="1495"/>
      <c r="F838" s="1462"/>
      <c r="G838" s="1462"/>
      <c r="H838" s="1462"/>
      <c r="I838" s="1462"/>
      <c r="J838" s="1462"/>
      <c r="K838" s="1462"/>
      <c r="L838" s="1462"/>
      <c r="M838" s="1462"/>
      <c r="N838" s="1462"/>
      <c r="O838" s="1462"/>
      <c r="P838" s="1462"/>
      <c r="Q838" s="1462"/>
      <c r="R838" s="1462"/>
      <c r="S838" s="1462"/>
      <c r="T838" s="1462"/>
      <c r="U838" s="1462"/>
      <c r="V838" s="1462"/>
      <c r="W838" s="1462"/>
      <c r="X838" s="1462"/>
      <c r="Y838" s="1462"/>
      <c r="Z838" s="1462"/>
      <c r="AA838" s="1462"/>
    </row>
    <row r="839">
      <c r="A839" s="1493"/>
      <c r="B839" s="1494"/>
      <c r="C839" s="1493"/>
      <c r="D839" s="1493"/>
      <c r="E839" s="1495"/>
      <c r="F839" s="1462"/>
      <c r="G839" s="1462"/>
      <c r="H839" s="1462"/>
      <c r="I839" s="1462"/>
      <c r="J839" s="1462"/>
      <c r="K839" s="1462"/>
      <c r="L839" s="1462"/>
      <c r="M839" s="1462"/>
      <c r="N839" s="1462"/>
      <c r="O839" s="1462"/>
      <c r="P839" s="1462"/>
      <c r="Q839" s="1462"/>
      <c r="R839" s="1462"/>
      <c r="S839" s="1462"/>
      <c r="T839" s="1462"/>
      <c r="U839" s="1462"/>
      <c r="V839" s="1462"/>
      <c r="W839" s="1462"/>
      <c r="X839" s="1462"/>
      <c r="Y839" s="1462"/>
      <c r="Z839" s="1462"/>
      <c r="AA839" s="1462"/>
    </row>
    <row r="840">
      <c r="A840" s="1493"/>
      <c r="B840" s="1494"/>
      <c r="C840" s="1493"/>
      <c r="D840" s="1493"/>
      <c r="E840" s="1495"/>
      <c r="F840" s="1462"/>
      <c r="G840" s="1462"/>
      <c r="H840" s="1462"/>
      <c r="I840" s="1462"/>
      <c r="J840" s="1462"/>
      <c r="K840" s="1462"/>
      <c r="L840" s="1462"/>
      <c r="M840" s="1462"/>
      <c r="N840" s="1462"/>
      <c r="O840" s="1462"/>
      <c r="P840" s="1462"/>
      <c r="Q840" s="1462"/>
      <c r="R840" s="1462"/>
      <c r="S840" s="1462"/>
      <c r="T840" s="1462"/>
      <c r="U840" s="1462"/>
      <c r="V840" s="1462"/>
      <c r="W840" s="1462"/>
      <c r="X840" s="1462"/>
      <c r="Y840" s="1462"/>
      <c r="Z840" s="1462"/>
      <c r="AA840" s="1462"/>
    </row>
    <row r="841">
      <c r="A841" s="1493"/>
      <c r="B841" s="1494"/>
      <c r="C841" s="1493"/>
      <c r="D841" s="1493"/>
      <c r="E841" s="1495"/>
      <c r="F841" s="1462"/>
      <c r="G841" s="1462"/>
      <c r="H841" s="1462"/>
      <c r="I841" s="1462"/>
      <c r="J841" s="1462"/>
      <c r="K841" s="1462"/>
      <c r="L841" s="1462"/>
      <c r="M841" s="1462"/>
      <c r="N841" s="1462"/>
      <c r="O841" s="1462"/>
      <c r="P841" s="1462"/>
      <c r="Q841" s="1462"/>
      <c r="R841" s="1462"/>
      <c r="S841" s="1462"/>
      <c r="T841" s="1462"/>
      <c r="U841" s="1462"/>
      <c r="V841" s="1462"/>
      <c r="W841" s="1462"/>
      <c r="X841" s="1462"/>
      <c r="Y841" s="1462"/>
      <c r="Z841" s="1462"/>
      <c r="AA841" s="1462"/>
    </row>
    <row r="842">
      <c r="A842" s="1493"/>
      <c r="B842" s="1494"/>
      <c r="C842" s="1493"/>
      <c r="D842" s="1493"/>
      <c r="E842" s="1495"/>
      <c r="F842" s="1462"/>
      <c r="G842" s="1462"/>
      <c r="H842" s="1462"/>
      <c r="I842" s="1462"/>
      <c r="J842" s="1462"/>
      <c r="K842" s="1462"/>
      <c r="L842" s="1462"/>
      <c r="M842" s="1462"/>
      <c r="N842" s="1462"/>
      <c r="O842" s="1462"/>
      <c r="P842" s="1462"/>
      <c r="Q842" s="1462"/>
      <c r="R842" s="1462"/>
      <c r="S842" s="1462"/>
      <c r="T842" s="1462"/>
      <c r="U842" s="1462"/>
      <c r="V842" s="1462"/>
      <c r="W842" s="1462"/>
      <c r="X842" s="1462"/>
      <c r="Y842" s="1462"/>
      <c r="Z842" s="1462"/>
      <c r="AA842" s="1462"/>
    </row>
    <row r="843">
      <c r="A843" s="1493"/>
      <c r="B843" s="1494"/>
      <c r="C843" s="1493"/>
      <c r="D843" s="1493"/>
      <c r="E843" s="1495"/>
      <c r="F843" s="1462"/>
      <c r="G843" s="1462"/>
      <c r="H843" s="1462"/>
      <c r="I843" s="1462"/>
      <c r="J843" s="1462"/>
      <c r="K843" s="1462"/>
      <c r="L843" s="1462"/>
      <c r="M843" s="1462"/>
      <c r="N843" s="1462"/>
      <c r="O843" s="1462"/>
      <c r="P843" s="1462"/>
      <c r="Q843" s="1462"/>
      <c r="R843" s="1462"/>
      <c r="S843" s="1462"/>
      <c r="T843" s="1462"/>
      <c r="U843" s="1462"/>
      <c r="V843" s="1462"/>
      <c r="W843" s="1462"/>
      <c r="X843" s="1462"/>
      <c r="Y843" s="1462"/>
      <c r="Z843" s="1462"/>
      <c r="AA843" s="1462"/>
    </row>
    <row r="844">
      <c r="A844" s="1493"/>
      <c r="B844" s="1494"/>
      <c r="C844" s="1493"/>
      <c r="D844" s="1493"/>
      <c r="E844" s="1495"/>
      <c r="F844" s="1462"/>
      <c r="G844" s="1462"/>
      <c r="H844" s="1462"/>
      <c r="I844" s="1462"/>
      <c r="J844" s="1462"/>
      <c r="K844" s="1462"/>
      <c r="L844" s="1462"/>
      <c r="M844" s="1462"/>
      <c r="N844" s="1462"/>
      <c r="O844" s="1462"/>
      <c r="P844" s="1462"/>
      <c r="Q844" s="1462"/>
      <c r="R844" s="1462"/>
      <c r="S844" s="1462"/>
      <c r="T844" s="1462"/>
      <c r="U844" s="1462"/>
      <c r="V844" s="1462"/>
      <c r="W844" s="1462"/>
      <c r="X844" s="1462"/>
      <c r="Y844" s="1462"/>
      <c r="Z844" s="1462"/>
      <c r="AA844" s="1462"/>
    </row>
    <row r="845">
      <c r="A845" s="1493"/>
      <c r="B845" s="1494"/>
      <c r="C845" s="1493"/>
      <c r="D845" s="1493"/>
      <c r="E845" s="1495"/>
      <c r="F845" s="1462"/>
      <c r="G845" s="1462"/>
      <c r="H845" s="1462"/>
      <c r="I845" s="1462"/>
      <c r="J845" s="1462"/>
      <c r="K845" s="1462"/>
      <c r="L845" s="1462"/>
      <c r="M845" s="1462"/>
      <c r="N845" s="1462"/>
      <c r="O845" s="1462"/>
      <c r="P845" s="1462"/>
      <c r="Q845" s="1462"/>
      <c r="R845" s="1462"/>
      <c r="S845" s="1462"/>
      <c r="T845" s="1462"/>
      <c r="U845" s="1462"/>
      <c r="V845" s="1462"/>
      <c r="W845" s="1462"/>
      <c r="X845" s="1462"/>
      <c r="Y845" s="1462"/>
      <c r="Z845" s="1462"/>
      <c r="AA845" s="1462"/>
    </row>
    <row r="846">
      <c r="A846" s="1493"/>
      <c r="B846" s="1494"/>
      <c r="C846" s="1493"/>
      <c r="D846" s="1493"/>
      <c r="E846" s="1495"/>
      <c r="F846" s="1462"/>
      <c r="G846" s="1462"/>
      <c r="H846" s="1462"/>
      <c r="I846" s="1462"/>
      <c r="J846" s="1462"/>
      <c r="K846" s="1462"/>
      <c r="L846" s="1462"/>
      <c r="M846" s="1462"/>
      <c r="N846" s="1462"/>
      <c r="O846" s="1462"/>
      <c r="P846" s="1462"/>
      <c r="Q846" s="1462"/>
      <c r="R846" s="1462"/>
      <c r="S846" s="1462"/>
      <c r="T846" s="1462"/>
      <c r="U846" s="1462"/>
      <c r="V846" s="1462"/>
      <c r="W846" s="1462"/>
      <c r="X846" s="1462"/>
      <c r="Y846" s="1462"/>
      <c r="Z846" s="1462"/>
      <c r="AA846" s="1462"/>
    </row>
    <row r="847">
      <c r="A847" s="1493"/>
      <c r="B847" s="1494"/>
      <c r="C847" s="1493"/>
      <c r="D847" s="1493"/>
      <c r="E847" s="1495"/>
      <c r="F847" s="1462"/>
      <c r="G847" s="1462"/>
      <c r="H847" s="1462"/>
      <c r="I847" s="1462"/>
      <c r="J847" s="1462"/>
      <c r="K847" s="1462"/>
      <c r="L847" s="1462"/>
      <c r="M847" s="1462"/>
      <c r="N847" s="1462"/>
      <c r="O847" s="1462"/>
      <c r="P847" s="1462"/>
      <c r="Q847" s="1462"/>
      <c r="R847" s="1462"/>
      <c r="S847" s="1462"/>
      <c r="T847" s="1462"/>
      <c r="U847" s="1462"/>
      <c r="V847" s="1462"/>
      <c r="W847" s="1462"/>
      <c r="X847" s="1462"/>
      <c r="Y847" s="1462"/>
      <c r="Z847" s="1462"/>
      <c r="AA847" s="1462"/>
    </row>
    <row r="848">
      <c r="A848" s="1493"/>
      <c r="B848" s="1494"/>
      <c r="C848" s="1493"/>
      <c r="D848" s="1493"/>
      <c r="E848" s="1495"/>
      <c r="F848" s="1462"/>
      <c r="G848" s="1462"/>
      <c r="H848" s="1462"/>
      <c r="I848" s="1462"/>
      <c r="J848" s="1462"/>
      <c r="K848" s="1462"/>
      <c r="L848" s="1462"/>
      <c r="M848" s="1462"/>
      <c r="N848" s="1462"/>
      <c r="O848" s="1462"/>
      <c r="P848" s="1462"/>
      <c r="Q848" s="1462"/>
      <c r="R848" s="1462"/>
      <c r="S848" s="1462"/>
      <c r="T848" s="1462"/>
      <c r="U848" s="1462"/>
      <c r="V848" s="1462"/>
      <c r="W848" s="1462"/>
      <c r="X848" s="1462"/>
      <c r="Y848" s="1462"/>
      <c r="Z848" s="1462"/>
      <c r="AA848" s="1462"/>
    </row>
    <row r="849">
      <c r="A849" s="1493"/>
      <c r="B849" s="1494"/>
      <c r="C849" s="1493"/>
      <c r="D849" s="1493"/>
      <c r="E849" s="1495"/>
      <c r="F849" s="1462"/>
      <c r="G849" s="1462"/>
      <c r="H849" s="1462"/>
      <c r="I849" s="1462"/>
      <c r="J849" s="1462"/>
      <c r="K849" s="1462"/>
      <c r="L849" s="1462"/>
      <c r="M849" s="1462"/>
      <c r="N849" s="1462"/>
      <c r="O849" s="1462"/>
      <c r="P849" s="1462"/>
      <c r="Q849" s="1462"/>
      <c r="R849" s="1462"/>
      <c r="S849" s="1462"/>
      <c r="T849" s="1462"/>
      <c r="U849" s="1462"/>
      <c r="V849" s="1462"/>
      <c r="W849" s="1462"/>
      <c r="X849" s="1462"/>
      <c r="Y849" s="1462"/>
      <c r="Z849" s="1462"/>
      <c r="AA849" s="1462"/>
    </row>
    <row r="850">
      <c r="A850" s="1493"/>
      <c r="B850" s="1494"/>
      <c r="C850" s="1493"/>
      <c r="D850" s="1493"/>
      <c r="E850" s="1495"/>
      <c r="F850" s="1462"/>
      <c r="G850" s="1462"/>
      <c r="H850" s="1462"/>
      <c r="I850" s="1462"/>
      <c r="J850" s="1462"/>
      <c r="K850" s="1462"/>
      <c r="L850" s="1462"/>
      <c r="M850" s="1462"/>
      <c r="N850" s="1462"/>
      <c r="O850" s="1462"/>
      <c r="P850" s="1462"/>
      <c r="Q850" s="1462"/>
      <c r="R850" s="1462"/>
      <c r="S850" s="1462"/>
      <c r="T850" s="1462"/>
      <c r="U850" s="1462"/>
      <c r="V850" s="1462"/>
      <c r="W850" s="1462"/>
      <c r="X850" s="1462"/>
      <c r="Y850" s="1462"/>
      <c r="Z850" s="1462"/>
      <c r="AA850" s="1462"/>
    </row>
    <row r="851">
      <c r="A851" s="1493"/>
      <c r="B851" s="1494"/>
      <c r="C851" s="1493"/>
      <c r="D851" s="1493"/>
      <c r="E851" s="1495"/>
      <c r="F851" s="1462"/>
      <c r="G851" s="1462"/>
      <c r="H851" s="1462"/>
      <c r="I851" s="1462"/>
      <c r="J851" s="1462"/>
      <c r="K851" s="1462"/>
      <c r="L851" s="1462"/>
      <c r="M851" s="1462"/>
      <c r="N851" s="1462"/>
      <c r="O851" s="1462"/>
      <c r="P851" s="1462"/>
      <c r="Q851" s="1462"/>
      <c r="R851" s="1462"/>
      <c r="S851" s="1462"/>
      <c r="T851" s="1462"/>
      <c r="U851" s="1462"/>
      <c r="V851" s="1462"/>
      <c r="W851" s="1462"/>
      <c r="X851" s="1462"/>
      <c r="Y851" s="1462"/>
      <c r="Z851" s="1462"/>
      <c r="AA851" s="1462"/>
    </row>
    <row r="852">
      <c r="A852" s="1493"/>
      <c r="B852" s="1494"/>
      <c r="C852" s="1493"/>
      <c r="D852" s="1493"/>
      <c r="E852" s="1495"/>
      <c r="F852" s="1462"/>
      <c r="G852" s="1462"/>
      <c r="H852" s="1462"/>
      <c r="I852" s="1462"/>
      <c r="J852" s="1462"/>
      <c r="K852" s="1462"/>
      <c r="L852" s="1462"/>
      <c r="M852" s="1462"/>
      <c r="N852" s="1462"/>
      <c r="O852" s="1462"/>
      <c r="P852" s="1462"/>
      <c r="Q852" s="1462"/>
      <c r="R852" s="1462"/>
      <c r="S852" s="1462"/>
      <c r="T852" s="1462"/>
      <c r="U852" s="1462"/>
      <c r="V852" s="1462"/>
      <c r="W852" s="1462"/>
      <c r="X852" s="1462"/>
      <c r="Y852" s="1462"/>
      <c r="Z852" s="1462"/>
      <c r="AA852" s="1462"/>
    </row>
    <row r="853">
      <c r="A853" s="1493"/>
      <c r="B853" s="1494"/>
      <c r="C853" s="1493"/>
      <c r="D853" s="1493"/>
      <c r="E853" s="1495"/>
      <c r="F853" s="1462"/>
      <c r="G853" s="1462"/>
      <c r="H853" s="1462"/>
      <c r="I853" s="1462"/>
      <c r="J853" s="1462"/>
      <c r="K853" s="1462"/>
      <c r="L853" s="1462"/>
      <c r="M853" s="1462"/>
      <c r="N853" s="1462"/>
      <c r="O853" s="1462"/>
      <c r="P853" s="1462"/>
      <c r="Q853" s="1462"/>
      <c r="R853" s="1462"/>
      <c r="S853" s="1462"/>
      <c r="T853" s="1462"/>
      <c r="U853" s="1462"/>
      <c r="V853" s="1462"/>
      <c r="W853" s="1462"/>
      <c r="X853" s="1462"/>
      <c r="Y853" s="1462"/>
      <c r="Z853" s="1462"/>
      <c r="AA853" s="1462"/>
    </row>
    <row r="854">
      <c r="A854" s="1493"/>
      <c r="B854" s="1494"/>
      <c r="C854" s="1493"/>
      <c r="D854" s="1493"/>
      <c r="E854" s="1495"/>
      <c r="F854" s="1462"/>
      <c r="G854" s="1462"/>
      <c r="H854" s="1462"/>
      <c r="I854" s="1462"/>
      <c r="J854" s="1462"/>
      <c r="K854" s="1462"/>
      <c r="L854" s="1462"/>
      <c r="M854" s="1462"/>
      <c r="N854" s="1462"/>
      <c r="O854" s="1462"/>
      <c r="P854" s="1462"/>
      <c r="Q854" s="1462"/>
      <c r="R854" s="1462"/>
      <c r="S854" s="1462"/>
      <c r="T854" s="1462"/>
      <c r="U854" s="1462"/>
      <c r="V854" s="1462"/>
      <c r="W854" s="1462"/>
      <c r="X854" s="1462"/>
      <c r="Y854" s="1462"/>
      <c r="Z854" s="1462"/>
      <c r="AA854" s="1462"/>
    </row>
    <row r="855">
      <c r="A855" s="1493"/>
      <c r="B855" s="1494"/>
      <c r="C855" s="1493"/>
      <c r="D855" s="1493"/>
      <c r="E855" s="1495"/>
      <c r="F855" s="1462"/>
      <c r="G855" s="1462"/>
      <c r="H855" s="1462"/>
      <c r="I855" s="1462"/>
      <c r="J855" s="1462"/>
      <c r="K855" s="1462"/>
      <c r="L855" s="1462"/>
      <c r="M855" s="1462"/>
      <c r="N855" s="1462"/>
      <c r="O855" s="1462"/>
      <c r="P855" s="1462"/>
      <c r="Q855" s="1462"/>
      <c r="R855" s="1462"/>
      <c r="S855" s="1462"/>
      <c r="T855" s="1462"/>
      <c r="U855" s="1462"/>
      <c r="V855" s="1462"/>
      <c r="W855" s="1462"/>
      <c r="X855" s="1462"/>
      <c r="Y855" s="1462"/>
      <c r="Z855" s="1462"/>
      <c r="AA855" s="1462"/>
    </row>
    <row r="856">
      <c r="A856" s="1493"/>
      <c r="B856" s="1494"/>
      <c r="C856" s="1493"/>
      <c r="D856" s="1493"/>
      <c r="E856" s="1495"/>
      <c r="F856" s="1462"/>
      <c r="G856" s="1462"/>
      <c r="H856" s="1462"/>
      <c r="I856" s="1462"/>
      <c r="J856" s="1462"/>
      <c r="K856" s="1462"/>
      <c r="L856" s="1462"/>
      <c r="M856" s="1462"/>
      <c r="N856" s="1462"/>
      <c r="O856" s="1462"/>
      <c r="P856" s="1462"/>
      <c r="Q856" s="1462"/>
      <c r="R856" s="1462"/>
      <c r="S856" s="1462"/>
      <c r="T856" s="1462"/>
      <c r="U856" s="1462"/>
      <c r="V856" s="1462"/>
      <c r="W856" s="1462"/>
      <c r="X856" s="1462"/>
      <c r="Y856" s="1462"/>
      <c r="Z856" s="1462"/>
      <c r="AA856" s="1462"/>
    </row>
    <row r="857">
      <c r="A857" s="1493"/>
      <c r="B857" s="1494"/>
      <c r="C857" s="1493"/>
      <c r="D857" s="1493"/>
      <c r="E857" s="1495"/>
      <c r="F857" s="1462"/>
      <c r="G857" s="1462"/>
      <c r="H857" s="1462"/>
      <c r="I857" s="1462"/>
      <c r="J857" s="1462"/>
      <c r="K857" s="1462"/>
      <c r="L857" s="1462"/>
      <c r="M857" s="1462"/>
      <c r="N857" s="1462"/>
      <c r="O857" s="1462"/>
      <c r="P857" s="1462"/>
      <c r="Q857" s="1462"/>
      <c r="R857" s="1462"/>
      <c r="S857" s="1462"/>
      <c r="T857" s="1462"/>
      <c r="U857" s="1462"/>
      <c r="V857" s="1462"/>
      <c r="W857" s="1462"/>
      <c r="X857" s="1462"/>
      <c r="Y857" s="1462"/>
      <c r="Z857" s="1462"/>
      <c r="AA857" s="1462"/>
    </row>
    <row r="858">
      <c r="A858" s="1493"/>
      <c r="B858" s="1494"/>
      <c r="C858" s="1493"/>
      <c r="D858" s="1493"/>
      <c r="E858" s="1495"/>
      <c r="F858" s="1462"/>
      <c r="G858" s="1462"/>
      <c r="H858" s="1462"/>
      <c r="I858" s="1462"/>
      <c r="J858" s="1462"/>
      <c r="K858" s="1462"/>
      <c r="L858" s="1462"/>
      <c r="M858" s="1462"/>
      <c r="N858" s="1462"/>
      <c r="O858" s="1462"/>
      <c r="P858" s="1462"/>
      <c r="Q858" s="1462"/>
      <c r="R858" s="1462"/>
      <c r="S858" s="1462"/>
      <c r="T858" s="1462"/>
      <c r="U858" s="1462"/>
      <c r="V858" s="1462"/>
      <c r="W858" s="1462"/>
      <c r="X858" s="1462"/>
      <c r="Y858" s="1462"/>
      <c r="Z858" s="1462"/>
      <c r="AA858" s="1462"/>
    </row>
    <row r="859">
      <c r="A859" s="1493"/>
      <c r="B859" s="1494"/>
      <c r="C859" s="1493"/>
      <c r="D859" s="1493"/>
      <c r="E859" s="1495"/>
      <c r="F859" s="1462"/>
      <c r="G859" s="1462"/>
      <c r="H859" s="1462"/>
      <c r="I859" s="1462"/>
      <c r="J859" s="1462"/>
      <c r="K859" s="1462"/>
      <c r="L859" s="1462"/>
      <c r="M859" s="1462"/>
      <c r="N859" s="1462"/>
      <c r="O859" s="1462"/>
      <c r="P859" s="1462"/>
      <c r="Q859" s="1462"/>
      <c r="R859" s="1462"/>
      <c r="S859" s="1462"/>
      <c r="T859" s="1462"/>
      <c r="U859" s="1462"/>
      <c r="V859" s="1462"/>
      <c r="W859" s="1462"/>
      <c r="X859" s="1462"/>
      <c r="Y859" s="1462"/>
      <c r="Z859" s="1462"/>
      <c r="AA859" s="1462"/>
    </row>
    <row r="860">
      <c r="A860" s="1493"/>
      <c r="B860" s="1494"/>
      <c r="C860" s="1493"/>
      <c r="D860" s="1493"/>
      <c r="E860" s="1495"/>
      <c r="F860" s="1462"/>
      <c r="G860" s="1462"/>
      <c r="H860" s="1462"/>
      <c r="I860" s="1462"/>
      <c r="J860" s="1462"/>
      <c r="K860" s="1462"/>
      <c r="L860" s="1462"/>
      <c r="M860" s="1462"/>
      <c r="N860" s="1462"/>
      <c r="O860" s="1462"/>
      <c r="P860" s="1462"/>
      <c r="Q860" s="1462"/>
      <c r="R860" s="1462"/>
      <c r="S860" s="1462"/>
      <c r="T860" s="1462"/>
      <c r="U860" s="1462"/>
      <c r="V860" s="1462"/>
      <c r="W860" s="1462"/>
      <c r="X860" s="1462"/>
      <c r="Y860" s="1462"/>
      <c r="Z860" s="1462"/>
      <c r="AA860" s="1462"/>
    </row>
    <row r="861">
      <c r="A861" s="1493"/>
      <c r="B861" s="1494"/>
      <c r="C861" s="1493"/>
      <c r="D861" s="1493"/>
      <c r="E861" s="1495"/>
      <c r="F861" s="1462"/>
      <c r="G861" s="1462"/>
      <c r="H861" s="1462"/>
      <c r="I861" s="1462"/>
      <c r="J861" s="1462"/>
      <c r="K861" s="1462"/>
      <c r="L861" s="1462"/>
      <c r="M861" s="1462"/>
      <c r="N861" s="1462"/>
      <c r="O861" s="1462"/>
      <c r="P861" s="1462"/>
      <c r="Q861" s="1462"/>
      <c r="R861" s="1462"/>
      <c r="S861" s="1462"/>
      <c r="T861" s="1462"/>
      <c r="U861" s="1462"/>
      <c r="V861" s="1462"/>
      <c r="W861" s="1462"/>
      <c r="X861" s="1462"/>
      <c r="Y861" s="1462"/>
      <c r="Z861" s="1462"/>
      <c r="AA861" s="1462"/>
    </row>
    <row r="862">
      <c r="A862" s="1493"/>
      <c r="B862" s="1494"/>
      <c r="C862" s="1493"/>
      <c r="D862" s="1493"/>
      <c r="E862" s="1495"/>
      <c r="F862" s="1462"/>
      <c r="G862" s="1462"/>
      <c r="H862" s="1462"/>
      <c r="I862" s="1462"/>
      <c r="J862" s="1462"/>
      <c r="K862" s="1462"/>
      <c r="L862" s="1462"/>
      <c r="M862" s="1462"/>
      <c r="N862" s="1462"/>
      <c r="O862" s="1462"/>
      <c r="P862" s="1462"/>
      <c r="Q862" s="1462"/>
      <c r="R862" s="1462"/>
      <c r="S862" s="1462"/>
      <c r="T862" s="1462"/>
      <c r="U862" s="1462"/>
      <c r="V862" s="1462"/>
      <c r="W862" s="1462"/>
      <c r="X862" s="1462"/>
      <c r="Y862" s="1462"/>
      <c r="Z862" s="1462"/>
      <c r="AA862" s="1462"/>
    </row>
    <row r="863">
      <c r="A863" s="1493"/>
      <c r="B863" s="1494"/>
      <c r="C863" s="1493"/>
      <c r="D863" s="1493"/>
      <c r="E863" s="1495"/>
      <c r="F863" s="1462"/>
      <c r="G863" s="1462"/>
      <c r="H863" s="1462"/>
      <c r="I863" s="1462"/>
      <c r="J863" s="1462"/>
      <c r="K863" s="1462"/>
      <c r="L863" s="1462"/>
      <c r="M863" s="1462"/>
      <c r="N863" s="1462"/>
      <c r="O863" s="1462"/>
      <c r="P863" s="1462"/>
      <c r="Q863" s="1462"/>
      <c r="R863" s="1462"/>
      <c r="S863" s="1462"/>
      <c r="T863" s="1462"/>
      <c r="U863" s="1462"/>
      <c r="V863" s="1462"/>
      <c r="W863" s="1462"/>
      <c r="X863" s="1462"/>
      <c r="Y863" s="1462"/>
      <c r="Z863" s="1462"/>
      <c r="AA863" s="1462"/>
    </row>
    <row r="864">
      <c r="A864" s="1493"/>
      <c r="B864" s="1494"/>
      <c r="C864" s="1493"/>
      <c r="D864" s="1493"/>
      <c r="E864" s="1495"/>
      <c r="F864" s="1462"/>
      <c r="G864" s="1462"/>
      <c r="H864" s="1462"/>
      <c r="I864" s="1462"/>
      <c r="J864" s="1462"/>
      <c r="K864" s="1462"/>
      <c r="L864" s="1462"/>
      <c r="M864" s="1462"/>
      <c r="N864" s="1462"/>
      <c r="O864" s="1462"/>
      <c r="P864" s="1462"/>
      <c r="Q864" s="1462"/>
      <c r="R864" s="1462"/>
      <c r="S864" s="1462"/>
      <c r="T864" s="1462"/>
      <c r="U864" s="1462"/>
      <c r="V864" s="1462"/>
      <c r="W864" s="1462"/>
      <c r="X864" s="1462"/>
      <c r="Y864" s="1462"/>
      <c r="Z864" s="1462"/>
      <c r="AA864" s="1462"/>
    </row>
    <row r="865">
      <c r="A865" s="1493"/>
      <c r="B865" s="1494"/>
      <c r="C865" s="1493"/>
      <c r="D865" s="1493"/>
      <c r="E865" s="1495"/>
      <c r="F865" s="1462"/>
      <c r="G865" s="1462"/>
      <c r="H865" s="1462"/>
      <c r="I865" s="1462"/>
      <c r="J865" s="1462"/>
      <c r="K865" s="1462"/>
      <c r="L865" s="1462"/>
      <c r="M865" s="1462"/>
      <c r="N865" s="1462"/>
      <c r="O865" s="1462"/>
      <c r="P865" s="1462"/>
      <c r="Q865" s="1462"/>
      <c r="R865" s="1462"/>
      <c r="S865" s="1462"/>
      <c r="T865" s="1462"/>
      <c r="U865" s="1462"/>
      <c r="V865" s="1462"/>
      <c r="W865" s="1462"/>
      <c r="X865" s="1462"/>
      <c r="Y865" s="1462"/>
      <c r="Z865" s="1462"/>
      <c r="AA865" s="1462"/>
    </row>
    <row r="866">
      <c r="A866" s="1493"/>
      <c r="B866" s="1494"/>
      <c r="C866" s="1493"/>
      <c r="D866" s="1493"/>
      <c r="E866" s="1495"/>
      <c r="F866" s="1462"/>
      <c r="G866" s="1462"/>
      <c r="H866" s="1462"/>
      <c r="I866" s="1462"/>
      <c r="J866" s="1462"/>
      <c r="K866" s="1462"/>
      <c r="L866" s="1462"/>
      <c r="M866" s="1462"/>
      <c r="N866" s="1462"/>
      <c r="O866" s="1462"/>
      <c r="P866" s="1462"/>
      <c r="Q866" s="1462"/>
      <c r="R866" s="1462"/>
      <c r="S866" s="1462"/>
      <c r="T866" s="1462"/>
      <c r="U866" s="1462"/>
      <c r="V866" s="1462"/>
      <c r="W866" s="1462"/>
      <c r="X866" s="1462"/>
      <c r="Y866" s="1462"/>
      <c r="Z866" s="1462"/>
      <c r="AA866" s="1462"/>
    </row>
    <row r="867">
      <c r="A867" s="1493"/>
      <c r="B867" s="1494"/>
      <c r="C867" s="1493"/>
      <c r="D867" s="1493"/>
      <c r="E867" s="1495"/>
      <c r="F867" s="1462"/>
      <c r="G867" s="1462"/>
      <c r="H867" s="1462"/>
      <c r="I867" s="1462"/>
      <c r="J867" s="1462"/>
      <c r="K867" s="1462"/>
      <c r="L867" s="1462"/>
      <c r="M867" s="1462"/>
      <c r="N867" s="1462"/>
      <c r="O867" s="1462"/>
      <c r="P867" s="1462"/>
      <c r="Q867" s="1462"/>
      <c r="R867" s="1462"/>
      <c r="S867" s="1462"/>
      <c r="T867" s="1462"/>
      <c r="U867" s="1462"/>
      <c r="V867" s="1462"/>
      <c r="W867" s="1462"/>
      <c r="X867" s="1462"/>
      <c r="Y867" s="1462"/>
      <c r="Z867" s="1462"/>
      <c r="AA867" s="1462"/>
    </row>
    <row r="868">
      <c r="A868" s="1493"/>
      <c r="B868" s="1494"/>
      <c r="C868" s="1493"/>
      <c r="D868" s="1493"/>
      <c r="E868" s="1495"/>
      <c r="F868" s="1462"/>
      <c r="G868" s="1462"/>
      <c r="H868" s="1462"/>
      <c r="I868" s="1462"/>
      <c r="J868" s="1462"/>
      <c r="K868" s="1462"/>
      <c r="L868" s="1462"/>
      <c r="M868" s="1462"/>
      <c r="N868" s="1462"/>
      <c r="O868" s="1462"/>
      <c r="P868" s="1462"/>
      <c r="Q868" s="1462"/>
      <c r="R868" s="1462"/>
      <c r="S868" s="1462"/>
      <c r="T868" s="1462"/>
      <c r="U868" s="1462"/>
      <c r="V868" s="1462"/>
      <c r="W868" s="1462"/>
      <c r="X868" s="1462"/>
      <c r="Y868" s="1462"/>
      <c r="Z868" s="1462"/>
      <c r="AA868" s="1462"/>
    </row>
    <row r="869">
      <c r="A869" s="1493"/>
      <c r="B869" s="1494"/>
      <c r="C869" s="1493"/>
      <c r="D869" s="1493"/>
      <c r="E869" s="1495"/>
      <c r="F869" s="1462"/>
      <c r="G869" s="1462"/>
      <c r="H869" s="1462"/>
      <c r="I869" s="1462"/>
      <c r="J869" s="1462"/>
      <c r="K869" s="1462"/>
      <c r="L869" s="1462"/>
      <c r="M869" s="1462"/>
      <c r="N869" s="1462"/>
      <c r="O869" s="1462"/>
      <c r="P869" s="1462"/>
      <c r="Q869" s="1462"/>
      <c r="R869" s="1462"/>
      <c r="S869" s="1462"/>
      <c r="T869" s="1462"/>
      <c r="U869" s="1462"/>
      <c r="V869" s="1462"/>
      <c r="W869" s="1462"/>
      <c r="X869" s="1462"/>
      <c r="Y869" s="1462"/>
      <c r="Z869" s="1462"/>
      <c r="AA869" s="1462"/>
    </row>
    <row r="870">
      <c r="A870" s="1493"/>
      <c r="B870" s="1494"/>
      <c r="C870" s="1493"/>
      <c r="D870" s="1493"/>
      <c r="E870" s="1495"/>
      <c r="F870" s="1462"/>
      <c r="G870" s="1462"/>
      <c r="H870" s="1462"/>
      <c r="I870" s="1462"/>
      <c r="J870" s="1462"/>
      <c r="K870" s="1462"/>
      <c r="L870" s="1462"/>
      <c r="M870" s="1462"/>
      <c r="N870" s="1462"/>
      <c r="O870" s="1462"/>
      <c r="P870" s="1462"/>
      <c r="Q870" s="1462"/>
      <c r="R870" s="1462"/>
      <c r="S870" s="1462"/>
      <c r="T870" s="1462"/>
      <c r="U870" s="1462"/>
      <c r="V870" s="1462"/>
      <c r="W870" s="1462"/>
      <c r="X870" s="1462"/>
      <c r="Y870" s="1462"/>
      <c r="Z870" s="1462"/>
      <c r="AA870" s="1462"/>
    </row>
    <row r="871">
      <c r="A871" s="1493"/>
      <c r="B871" s="1494"/>
      <c r="C871" s="1493"/>
      <c r="D871" s="1493"/>
      <c r="E871" s="1495"/>
      <c r="F871" s="1462"/>
      <c r="G871" s="1462"/>
      <c r="H871" s="1462"/>
      <c r="I871" s="1462"/>
      <c r="J871" s="1462"/>
      <c r="K871" s="1462"/>
      <c r="L871" s="1462"/>
      <c r="M871" s="1462"/>
      <c r="N871" s="1462"/>
      <c r="O871" s="1462"/>
      <c r="P871" s="1462"/>
      <c r="Q871" s="1462"/>
      <c r="R871" s="1462"/>
      <c r="S871" s="1462"/>
      <c r="T871" s="1462"/>
      <c r="U871" s="1462"/>
      <c r="V871" s="1462"/>
      <c r="W871" s="1462"/>
      <c r="X871" s="1462"/>
      <c r="Y871" s="1462"/>
      <c r="Z871" s="1462"/>
      <c r="AA871" s="1462"/>
    </row>
    <row r="872">
      <c r="A872" s="1493"/>
      <c r="B872" s="1494"/>
      <c r="C872" s="1493"/>
      <c r="D872" s="1493"/>
      <c r="E872" s="1495"/>
      <c r="F872" s="1462"/>
      <c r="G872" s="1462"/>
      <c r="H872" s="1462"/>
      <c r="I872" s="1462"/>
      <c r="J872" s="1462"/>
      <c r="K872" s="1462"/>
      <c r="L872" s="1462"/>
      <c r="M872" s="1462"/>
      <c r="N872" s="1462"/>
      <c r="O872" s="1462"/>
      <c r="P872" s="1462"/>
      <c r="Q872" s="1462"/>
      <c r="R872" s="1462"/>
      <c r="S872" s="1462"/>
      <c r="T872" s="1462"/>
      <c r="U872" s="1462"/>
      <c r="V872" s="1462"/>
      <c r="W872" s="1462"/>
      <c r="X872" s="1462"/>
      <c r="Y872" s="1462"/>
      <c r="Z872" s="1462"/>
      <c r="AA872" s="1462"/>
    </row>
    <row r="873">
      <c r="A873" s="1493"/>
      <c r="B873" s="1494"/>
      <c r="C873" s="1493"/>
      <c r="D873" s="1493"/>
      <c r="E873" s="1495"/>
      <c r="F873" s="1462"/>
      <c r="G873" s="1462"/>
      <c r="H873" s="1462"/>
      <c r="I873" s="1462"/>
      <c r="J873" s="1462"/>
      <c r="K873" s="1462"/>
      <c r="L873" s="1462"/>
      <c r="M873" s="1462"/>
      <c r="N873" s="1462"/>
      <c r="O873" s="1462"/>
      <c r="P873" s="1462"/>
      <c r="Q873" s="1462"/>
      <c r="R873" s="1462"/>
      <c r="S873" s="1462"/>
      <c r="T873" s="1462"/>
      <c r="U873" s="1462"/>
      <c r="V873" s="1462"/>
      <c r="W873" s="1462"/>
      <c r="X873" s="1462"/>
      <c r="Y873" s="1462"/>
      <c r="Z873" s="1462"/>
      <c r="AA873" s="1462"/>
    </row>
    <row r="874">
      <c r="A874" s="1493"/>
      <c r="B874" s="1494"/>
      <c r="C874" s="1493"/>
      <c r="D874" s="1493"/>
      <c r="E874" s="1495"/>
      <c r="F874" s="1462"/>
      <c r="G874" s="1462"/>
      <c r="H874" s="1462"/>
      <c r="I874" s="1462"/>
      <c r="J874" s="1462"/>
      <c r="K874" s="1462"/>
      <c r="L874" s="1462"/>
      <c r="M874" s="1462"/>
      <c r="N874" s="1462"/>
      <c r="O874" s="1462"/>
      <c r="P874" s="1462"/>
      <c r="Q874" s="1462"/>
      <c r="R874" s="1462"/>
      <c r="S874" s="1462"/>
      <c r="T874" s="1462"/>
      <c r="U874" s="1462"/>
      <c r="V874" s="1462"/>
      <c r="W874" s="1462"/>
      <c r="X874" s="1462"/>
      <c r="Y874" s="1462"/>
      <c r="Z874" s="1462"/>
      <c r="AA874" s="1462"/>
    </row>
    <row r="875">
      <c r="A875" s="1493"/>
      <c r="B875" s="1494"/>
      <c r="C875" s="1493"/>
      <c r="D875" s="1493"/>
      <c r="E875" s="1495"/>
      <c r="F875" s="1462"/>
      <c r="G875" s="1462"/>
      <c r="H875" s="1462"/>
      <c r="I875" s="1462"/>
      <c r="J875" s="1462"/>
      <c r="K875" s="1462"/>
      <c r="L875" s="1462"/>
      <c r="M875" s="1462"/>
      <c r="N875" s="1462"/>
      <c r="O875" s="1462"/>
      <c r="P875" s="1462"/>
      <c r="Q875" s="1462"/>
      <c r="R875" s="1462"/>
      <c r="S875" s="1462"/>
      <c r="T875" s="1462"/>
      <c r="U875" s="1462"/>
      <c r="V875" s="1462"/>
      <c r="W875" s="1462"/>
      <c r="X875" s="1462"/>
      <c r="Y875" s="1462"/>
      <c r="Z875" s="1462"/>
      <c r="AA875" s="1462"/>
    </row>
    <row r="876">
      <c r="A876" s="1493"/>
      <c r="B876" s="1494"/>
      <c r="C876" s="1493"/>
      <c r="D876" s="1493"/>
      <c r="E876" s="1495"/>
      <c r="F876" s="1462"/>
      <c r="G876" s="1462"/>
      <c r="H876" s="1462"/>
      <c r="I876" s="1462"/>
      <c r="J876" s="1462"/>
      <c r="K876" s="1462"/>
      <c r="L876" s="1462"/>
      <c r="M876" s="1462"/>
      <c r="N876" s="1462"/>
      <c r="O876" s="1462"/>
      <c r="P876" s="1462"/>
      <c r="Q876" s="1462"/>
      <c r="R876" s="1462"/>
      <c r="S876" s="1462"/>
      <c r="T876" s="1462"/>
      <c r="U876" s="1462"/>
      <c r="V876" s="1462"/>
      <c r="W876" s="1462"/>
      <c r="X876" s="1462"/>
      <c r="Y876" s="1462"/>
      <c r="Z876" s="1462"/>
      <c r="AA876" s="1462"/>
    </row>
    <row r="877">
      <c r="A877" s="1493"/>
      <c r="B877" s="1494"/>
      <c r="C877" s="1493"/>
      <c r="D877" s="1493"/>
      <c r="E877" s="1495"/>
      <c r="F877" s="1462"/>
      <c r="G877" s="1462"/>
      <c r="H877" s="1462"/>
      <c r="I877" s="1462"/>
      <c r="J877" s="1462"/>
      <c r="K877" s="1462"/>
      <c r="L877" s="1462"/>
      <c r="M877" s="1462"/>
      <c r="N877" s="1462"/>
      <c r="O877" s="1462"/>
      <c r="P877" s="1462"/>
      <c r="Q877" s="1462"/>
      <c r="R877" s="1462"/>
      <c r="S877" s="1462"/>
      <c r="T877" s="1462"/>
      <c r="U877" s="1462"/>
      <c r="V877" s="1462"/>
      <c r="W877" s="1462"/>
      <c r="X877" s="1462"/>
      <c r="Y877" s="1462"/>
      <c r="Z877" s="1462"/>
      <c r="AA877" s="1462"/>
    </row>
    <row r="878">
      <c r="A878" s="1493"/>
      <c r="B878" s="1494"/>
      <c r="C878" s="1493"/>
      <c r="D878" s="1493"/>
      <c r="E878" s="1495"/>
      <c r="F878" s="1462"/>
      <c r="G878" s="1462"/>
      <c r="H878" s="1462"/>
      <c r="I878" s="1462"/>
      <c r="J878" s="1462"/>
      <c r="K878" s="1462"/>
      <c r="L878" s="1462"/>
      <c r="M878" s="1462"/>
      <c r="N878" s="1462"/>
      <c r="O878" s="1462"/>
      <c r="P878" s="1462"/>
      <c r="Q878" s="1462"/>
      <c r="R878" s="1462"/>
      <c r="S878" s="1462"/>
      <c r="T878" s="1462"/>
      <c r="U878" s="1462"/>
      <c r="V878" s="1462"/>
      <c r="W878" s="1462"/>
      <c r="X878" s="1462"/>
      <c r="Y878" s="1462"/>
      <c r="Z878" s="1462"/>
      <c r="AA878" s="1462"/>
    </row>
    <row r="879">
      <c r="A879" s="1493"/>
      <c r="B879" s="1494"/>
      <c r="C879" s="1493"/>
      <c r="D879" s="1493"/>
      <c r="E879" s="1495"/>
      <c r="F879" s="1462"/>
      <c r="G879" s="1462"/>
      <c r="H879" s="1462"/>
      <c r="I879" s="1462"/>
      <c r="J879" s="1462"/>
      <c r="K879" s="1462"/>
      <c r="L879" s="1462"/>
      <c r="M879" s="1462"/>
      <c r="N879" s="1462"/>
      <c r="O879" s="1462"/>
      <c r="P879" s="1462"/>
      <c r="Q879" s="1462"/>
      <c r="R879" s="1462"/>
      <c r="S879" s="1462"/>
      <c r="T879" s="1462"/>
      <c r="U879" s="1462"/>
      <c r="V879" s="1462"/>
      <c r="W879" s="1462"/>
      <c r="X879" s="1462"/>
      <c r="Y879" s="1462"/>
      <c r="Z879" s="1462"/>
      <c r="AA879" s="1462"/>
    </row>
    <row r="880">
      <c r="A880" s="1493"/>
      <c r="B880" s="1494"/>
      <c r="C880" s="1493"/>
      <c r="D880" s="1493"/>
      <c r="E880" s="1495"/>
      <c r="F880" s="1462"/>
      <c r="G880" s="1462"/>
      <c r="H880" s="1462"/>
      <c r="I880" s="1462"/>
      <c r="J880" s="1462"/>
      <c r="K880" s="1462"/>
      <c r="L880" s="1462"/>
      <c r="M880" s="1462"/>
      <c r="N880" s="1462"/>
      <c r="O880" s="1462"/>
      <c r="P880" s="1462"/>
      <c r="Q880" s="1462"/>
      <c r="R880" s="1462"/>
      <c r="S880" s="1462"/>
      <c r="T880" s="1462"/>
      <c r="U880" s="1462"/>
      <c r="V880" s="1462"/>
      <c r="W880" s="1462"/>
      <c r="X880" s="1462"/>
      <c r="Y880" s="1462"/>
      <c r="Z880" s="1462"/>
      <c r="AA880" s="1462"/>
    </row>
    <row r="881">
      <c r="A881" s="1493"/>
      <c r="B881" s="1494"/>
      <c r="C881" s="1493"/>
      <c r="D881" s="1493"/>
      <c r="E881" s="1495"/>
      <c r="F881" s="1462"/>
      <c r="G881" s="1462"/>
      <c r="H881" s="1462"/>
      <c r="I881" s="1462"/>
      <c r="J881" s="1462"/>
      <c r="K881" s="1462"/>
      <c r="L881" s="1462"/>
      <c r="M881" s="1462"/>
      <c r="N881" s="1462"/>
      <c r="O881" s="1462"/>
      <c r="P881" s="1462"/>
      <c r="Q881" s="1462"/>
      <c r="R881" s="1462"/>
      <c r="S881" s="1462"/>
      <c r="T881" s="1462"/>
      <c r="U881" s="1462"/>
      <c r="V881" s="1462"/>
      <c r="W881" s="1462"/>
      <c r="X881" s="1462"/>
      <c r="Y881" s="1462"/>
      <c r="Z881" s="1462"/>
      <c r="AA881" s="1462"/>
    </row>
    <row r="882">
      <c r="A882" s="1493"/>
      <c r="B882" s="1494"/>
      <c r="C882" s="1493"/>
      <c r="D882" s="1493"/>
      <c r="E882" s="1495"/>
      <c r="F882" s="1462"/>
      <c r="G882" s="1462"/>
      <c r="H882" s="1462"/>
      <c r="I882" s="1462"/>
      <c r="J882" s="1462"/>
      <c r="K882" s="1462"/>
      <c r="L882" s="1462"/>
      <c r="M882" s="1462"/>
      <c r="N882" s="1462"/>
      <c r="O882" s="1462"/>
      <c r="P882" s="1462"/>
      <c r="Q882" s="1462"/>
      <c r="R882" s="1462"/>
      <c r="S882" s="1462"/>
      <c r="T882" s="1462"/>
      <c r="U882" s="1462"/>
      <c r="V882" s="1462"/>
      <c r="W882" s="1462"/>
      <c r="X882" s="1462"/>
      <c r="Y882" s="1462"/>
      <c r="Z882" s="1462"/>
      <c r="AA882" s="1462"/>
    </row>
    <row r="883">
      <c r="A883" s="1493"/>
      <c r="B883" s="1494"/>
      <c r="C883" s="1493"/>
      <c r="D883" s="1493"/>
      <c r="E883" s="1495"/>
      <c r="F883" s="1462"/>
      <c r="G883" s="1462"/>
      <c r="H883" s="1462"/>
      <c r="I883" s="1462"/>
      <c r="J883" s="1462"/>
      <c r="K883" s="1462"/>
      <c r="L883" s="1462"/>
      <c r="M883" s="1462"/>
      <c r="N883" s="1462"/>
      <c r="O883" s="1462"/>
      <c r="P883" s="1462"/>
      <c r="Q883" s="1462"/>
      <c r="R883" s="1462"/>
      <c r="S883" s="1462"/>
      <c r="T883" s="1462"/>
      <c r="U883" s="1462"/>
      <c r="V883" s="1462"/>
      <c r="W883" s="1462"/>
      <c r="X883" s="1462"/>
      <c r="Y883" s="1462"/>
      <c r="Z883" s="1462"/>
      <c r="AA883" s="1462"/>
    </row>
    <row r="884">
      <c r="A884" s="1493"/>
      <c r="B884" s="1494"/>
      <c r="C884" s="1493"/>
      <c r="D884" s="1493"/>
      <c r="E884" s="1495"/>
      <c r="F884" s="1462"/>
      <c r="G884" s="1462"/>
      <c r="H884" s="1462"/>
      <c r="I884" s="1462"/>
      <c r="J884" s="1462"/>
      <c r="K884" s="1462"/>
      <c r="L884" s="1462"/>
      <c r="M884" s="1462"/>
      <c r="N884" s="1462"/>
      <c r="O884" s="1462"/>
      <c r="P884" s="1462"/>
      <c r="Q884" s="1462"/>
      <c r="R884" s="1462"/>
      <c r="S884" s="1462"/>
      <c r="T884" s="1462"/>
      <c r="U884" s="1462"/>
      <c r="V884" s="1462"/>
      <c r="W884" s="1462"/>
      <c r="X884" s="1462"/>
      <c r="Y884" s="1462"/>
      <c r="Z884" s="1462"/>
      <c r="AA884" s="1462"/>
    </row>
    <row r="885">
      <c r="A885" s="1493"/>
      <c r="B885" s="1494"/>
      <c r="C885" s="1493"/>
      <c r="D885" s="1493"/>
      <c r="E885" s="1495"/>
      <c r="F885" s="1462"/>
      <c r="G885" s="1462"/>
      <c r="H885" s="1462"/>
      <c r="I885" s="1462"/>
      <c r="J885" s="1462"/>
      <c r="K885" s="1462"/>
      <c r="L885" s="1462"/>
      <c r="M885" s="1462"/>
      <c r="N885" s="1462"/>
      <c r="O885" s="1462"/>
      <c r="P885" s="1462"/>
      <c r="Q885" s="1462"/>
      <c r="R885" s="1462"/>
      <c r="S885" s="1462"/>
      <c r="T885" s="1462"/>
      <c r="U885" s="1462"/>
      <c r="V885" s="1462"/>
      <c r="W885" s="1462"/>
      <c r="X885" s="1462"/>
      <c r="Y885" s="1462"/>
      <c r="Z885" s="1462"/>
      <c r="AA885" s="1462"/>
    </row>
    <row r="886">
      <c r="A886" s="1493"/>
      <c r="B886" s="1494"/>
      <c r="C886" s="1493"/>
      <c r="D886" s="1493"/>
      <c r="E886" s="1495"/>
      <c r="F886" s="1462"/>
      <c r="G886" s="1462"/>
      <c r="H886" s="1462"/>
      <c r="I886" s="1462"/>
      <c r="J886" s="1462"/>
      <c r="K886" s="1462"/>
      <c r="L886" s="1462"/>
      <c r="M886" s="1462"/>
      <c r="N886" s="1462"/>
      <c r="O886" s="1462"/>
      <c r="P886" s="1462"/>
      <c r="Q886" s="1462"/>
      <c r="R886" s="1462"/>
      <c r="S886" s="1462"/>
      <c r="T886" s="1462"/>
      <c r="U886" s="1462"/>
      <c r="V886" s="1462"/>
      <c r="W886" s="1462"/>
      <c r="X886" s="1462"/>
      <c r="Y886" s="1462"/>
      <c r="Z886" s="1462"/>
      <c r="AA886" s="1462"/>
    </row>
    <row r="887">
      <c r="A887" s="1493"/>
      <c r="B887" s="1494"/>
      <c r="C887" s="1493"/>
      <c r="D887" s="1493"/>
      <c r="E887" s="1495"/>
      <c r="F887" s="1462"/>
      <c r="G887" s="1462"/>
      <c r="H887" s="1462"/>
      <c r="I887" s="1462"/>
      <c r="J887" s="1462"/>
      <c r="K887" s="1462"/>
      <c r="L887" s="1462"/>
      <c r="M887" s="1462"/>
      <c r="N887" s="1462"/>
      <c r="O887" s="1462"/>
      <c r="P887" s="1462"/>
      <c r="Q887" s="1462"/>
      <c r="R887" s="1462"/>
      <c r="S887" s="1462"/>
      <c r="T887" s="1462"/>
      <c r="U887" s="1462"/>
      <c r="V887" s="1462"/>
      <c r="W887" s="1462"/>
      <c r="X887" s="1462"/>
      <c r="Y887" s="1462"/>
      <c r="Z887" s="1462"/>
      <c r="AA887" s="1462"/>
    </row>
    <row r="888">
      <c r="A888" s="1493"/>
      <c r="B888" s="1494"/>
      <c r="C888" s="1493"/>
      <c r="D888" s="1493"/>
      <c r="E888" s="1495"/>
      <c r="F888" s="1462"/>
      <c r="G888" s="1462"/>
      <c r="H888" s="1462"/>
      <c r="I888" s="1462"/>
      <c r="J888" s="1462"/>
      <c r="K888" s="1462"/>
      <c r="L888" s="1462"/>
      <c r="M888" s="1462"/>
      <c r="N888" s="1462"/>
      <c r="O888" s="1462"/>
      <c r="P888" s="1462"/>
      <c r="Q888" s="1462"/>
      <c r="R888" s="1462"/>
      <c r="S888" s="1462"/>
      <c r="T888" s="1462"/>
      <c r="U888" s="1462"/>
      <c r="V888" s="1462"/>
      <c r="W888" s="1462"/>
      <c r="X888" s="1462"/>
      <c r="Y888" s="1462"/>
      <c r="Z888" s="1462"/>
      <c r="AA888" s="1462"/>
    </row>
    <row r="889">
      <c r="A889" s="1493"/>
      <c r="B889" s="1494"/>
      <c r="C889" s="1493"/>
      <c r="D889" s="1493"/>
      <c r="E889" s="1495"/>
      <c r="F889" s="1462"/>
      <c r="G889" s="1462"/>
      <c r="H889" s="1462"/>
      <c r="I889" s="1462"/>
      <c r="J889" s="1462"/>
      <c r="K889" s="1462"/>
      <c r="L889" s="1462"/>
      <c r="M889" s="1462"/>
      <c r="N889" s="1462"/>
      <c r="O889" s="1462"/>
      <c r="P889" s="1462"/>
      <c r="Q889" s="1462"/>
      <c r="R889" s="1462"/>
      <c r="S889" s="1462"/>
      <c r="T889" s="1462"/>
      <c r="U889" s="1462"/>
      <c r="V889" s="1462"/>
      <c r="W889" s="1462"/>
      <c r="X889" s="1462"/>
      <c r="Y889" s="1462"/>
      <c r="Z889" s="1462"/>
      <c r="AA889" s="1462"/>
    </row>
    <row r="890">
      <c r="A890" s="1493"/>
      <c r="B890" s="1494"/>
      <c r="C890" s="1493"/>
      <c r="D890" s="1493"/>
      <c r="E890" s="1495"/>
      <c r="F890" s="1462"/>
      <c r="G890" s="1462"/>
      <c r="H890" s="1462"/>
      <c r="I890" s="1462"/>
      <c r="J890" s="1462"/>
      <c r="K890" s="1462"/>
      <c r="L890" s="1462"/>
      <c r="M890" s="1462"/>
      <c r="N890" s="1462"/>
      <c r="O890" s="1462"/>
      <c r="P890" s="1462"/>
      <c r="Q890" s="1462"/>
      <c r="R890" s="1462"/>
      <c r="S890" s="1462"/>
      <c r="T890" s="1462"/>
      <c r="U890" s="1462"/>
      <c r="V890" s="1462"/>
      <c r="W890" s="1462"/>
      <c r="X890" s="1462"/>
      <c r="Y890" s="1462"/>
      <c r="Z890" s="1462"/>
      <c r="AA890" s="1462"/>
    </row>
    <row r="891">
      <c r="A891" s="1493"/>
      <c r="B891" s="1494"/>
      <c r="C891" s="1493"/>
      <c r="D891" s="1493"/>
      <c r="E891" s="1495"/>
      <c r="F891" s="1462"/>
      <c r="G891" s="1462"/>
      <c r="H891" s="1462"/>
      <c r="I891" s="1462"/>
      <c r="J891" s="1462"/>
      <c r="K891" s="1462"/>
      <c r="L891" s="1462"/>
      <c r="M891" s="1462"/>
      <c r="N891" s="1462"/>
      <c r="O891" s="1462"/>
      <c r="P891" s="1462"/>
      <c r="Q891" s="1462"/>
      <c r="R891" s="1462"/>
      <c r="S891" s="1462"/>
      <c r="T891" s="1462"/>
      <c r="U891" s="1462"/>
      <c r="V891" s="1462"/>
      <c r="W891" s="1462"/>
      <c r="X891" s="1462"/>
      <c r="Y891" s="1462"/>
      <c r="Z891" s="1462"/>
      <c r="AA891" s="1462"/>
    </row>
    <row r="892">
      <c r="A892" s="1493"/>
      <c r="B892" s="1494"/>
      <c r="C892" s="1493"/>
      <c r="D892" s="1493"/>
      <c r="E892" s="1495"/>
      <c r="F892" s="1462"/>
      <c r="G892" s="1462"/>
      <c r="H892" s="1462"/>
      <c r="I892" s="1462"/>
      <c r="J892" s="1462"/>
      <c r="K892" s="1462"/>
      <c r="L892" s="1462"/>
      <c r="M892" s="1462"/>
      <c r="N892" s="1462"/>
      <c r="O892" s="1462"/>
      <c r="P892" s="1462"/>
      <c r="Q892" s="1462"/>
      <c r="R892" s="1462"/>
      <c r="S892" s="1462"/>
      <c r="T892" s="1462"/>
      <c r="U892" s="1462"/>
      <c r="V892" s="1462"/>
      <c r="W892" s="1462"/>
      <c r="X892" s="1462"/>
      <c r="Y892" s="1462"/>
      <c r="Z892" s="1462"/>
      <c r="AA892" s="1462"/>
    </row>
    <row r="893">
      <c r="A893" s="1493"/>
      <c r="B893" s="1494"/>
      <c r="C893" s="1493"/>
      <c r="D893" s="1493"/>
      <c r="E893" s="1495"/>
      <c r="F893" s="1462"/>
      <c r="G893" s="1462"/>
      <c r="H893" s="1462"/>
      <c r="I893" s="1462"/>
      <c r="J893" s="1462"/>
      <c r="K893" s="1462"/>
      <c r="L893" s="1462"/>
      <c r="M893" s="1462"/>
      <c r="N893" s="1462"/>
      <c r="O893" s="1462"/>
      <c r="P893" s="1462"/>
      <c r="Q893" s="1462"/>
      <c r="R893" s="1462"/>
      <c r="S893" s="1462"/>
      <c r="T893" s="1462"/>
      <c r="U893" s="1462"/>
      <c r="V893" s="1462"/>
      <c r="W893" s="1462"/>
      <c r="X893" s="1462"/>
      <c r="Y893" s="1462"/>
      <c r="Z893" s="1462"/>
      <c r="AA893" s="1462"/>
    </row>
    <row r="894">
      <c r="A894" s="1493"/>
      <c r="B894" s="1494"/>
      <c r="C894" s="1493"/>
      <c r="D894" s="1493"/>
      <c r="E894" s="1495"/>
      <c r="F894" s="1462"/>
      <c r="G894" s="1462"/>
      <c r="H894" s="1462"/>
      <c r="I894" s="1462"/>
      <c r="J894" s="1462"/>
      <c r="K894" s="1462"/>
      <c r="L894" s="1462"/>
      <c r="M894" s="1462"/>
      <c r="N894" s="1462"/>
      <c r="O894" s="1462"/>
      <c r="P894" s="1462"/>
      <c r="Q894" s="1462"/>
      <c r="R894" s="1462"/>
      <c r="S894" s="1462"/>
      <c r="T894" s="1462"/>
      <c r="U894" s="1462"/>
      <c r="V894" s="1462"/>
      <c r="W894" s="1462"/>
      <c r="X894" s="1462"/>
      <c r="Y894" s="1462"/>
      <c r="Z894" s="1462"/>
      <c r="AA894" s="1462"/>
    </row>
    <row r="895">
      <c r="A895" s="1493"/>
      <c r="B895" s="1494"/>
      <c r="C895" s="1493"/>
      <c r="D895" s="1493"/>
      <c r="E895" s="1495"/>
      <c r="F895" s="1462"/>
      <c r="G895" s="1462"/>
      <c r="H895" s="1462"/>
      <c r="I895" s="1462"/>
      <c r="J895" s="1462"/>
      <c r="K895" s="1462"/>
      <c r="L895" s="1462"/>
      <c r="M895" s="1462"/>
      <c r="N895" s="1462"/>
      <c r="O895" s="1462"/>
      <c r="P895" s="1462"/>
      <c r="Q895" s="1462"/>
      <c r="R895" s="1462"/>
      <c r="S895" s="1462"/>
      <c r="T895" s="1462"/>
      <c r="U895" s="1462"/>
      <c r="V895" s="1462"/>
      <c r="W895" s="1462"/>
      <c r="X895" s="1462"/>
      <c r="Y895" s="1462"/>
      <c r="Z895" s="1462"/>
      <c r="AA895" s="1462"/>
    </row>
    <row r="896">
      <c r="A896" s="1493"/>
      <c r="B896" s="1494"/>
      <c r="C896" s="1493"/>
      <c r="D896" s="1493"/>
      <c r="E896" s="1495"/>
      <c r="F896" s="1462"/>
      <c r="G896" s="1462"/>
      <c r="H896" s="1462"/>
      <c r="I896" s="1462"/>
      <c r="J896" s="1462"/>
      <c r="K896" s="1462"/>
      <c r="L896" s="1462"/>
      <c r="M896" s="1462"/>
      <c r="N896" s="1462"/>
      <c r="O896" s="1462"/>
      <c r="P896" s="1462"/>
      <c r="Q896" s="1462"/>
      <c r="R896" s="1462"/>
      <c r="S896" s="1462"/>
      <c r="T896" s="1462"/>
      <c r="U896" s="1462"/>
      <c r="V896" s="1462"/>
      <c r="W896" s="1462"/>
      <c r="X896" s="1462"/>
      <c r="Y896" s="1462"/>
      <c r="Z896" s="1462"/>
      <c r="AA896" s="1462"/>
    </row>
    <row r="897">
      <c r="A897" s="1493"/>
      <c r="B897" s="1494"/>
      <c r="C897" s="1493"/>
      <c r="D897" s="1493"/>
      <c r="E897" s="1495"/>
      <c r="F897" s="1462"/>
      <c r="G897" s="1462"/>
      <c r="H897" s="1462"/>
      <c r="I897" s="1462"/>
      <c r="J897" s="1462"/>
      <c r="K897" s="1462"/>
      <c r="L897" s="1462"/>
      <c r="M897" s="1462"/>
      <c r="N897" s="1462"/>
      <c r="O897" s="1462"/>
      <c r="P897" s="1462"/>
      <c r="Q897" s="1462"/>
      <c r="R897" s="1462"/>
      <c r="S897" s="1462"/>
      <c r="T897" s="1462"/>
      <c r="U897" s="1462"/>
      <c r="V897" s="1462"/>
      <c r="W897" s="1462"/>
      <c r="X897" s="1462"/>
      <c r="Y897" s="1462"/>
      <c r="Z897" s="1462"/>
      <c r="AA897" s="1462"/>
    </row>
    <row r="898">
      <c r="A898" s="1493"/>
      <c r="B898" s="1494"/>
      <c r="C898" s="1493"/>
      <c r="D898" s="1493"/>
      <c r="E898" s="1495"/>
      <c r="F898" s="1462"/>
      <c r="G898" s="1462"/>
      <c r="H898" s="1462"/>
      <c r="I898" s="1462"/>
      <c r="J898" s="1462"/>
      <c r="K898" s="1462"/>
      <c r="L898" s="1462"/>
      <c r="M898" s="1462"/>
      <c r="N898" s="1462"/>
      <c r="O898" s="1462"/>
      <c r="P898" s="1462"/>
      <c r="Q898" s="1462"/>
      <c r="R898" s="1462"/>
      <c r="S898" s="1462"/>
      <c r="T898" s="1462"/>
      <c r="U898" s="1462"/>
      <c r="V898" s="1462"/>
      <c r="W898" s="1462"/>
      <c r="X898" s="1462"/>
      <c r="Y898" s="1462"/>
      <c r="Z898" s="1462"/>
      <c r="AA898" s="1462"/>
    </row>
    <row r="899">
      <c r="A899" s="1493"/>
      <c r="B899" s="1494"/>
      <c r="C899" s="1493"/>
      <c r="D899" s="1493"/>
      <c r="E899" s="1495"/>
      <c r="F899" s="1462"/>
      <c r="G899" s="1462"/>
      <c r="H899" s="1462"/>
      <c r="I899" s="1462"/>
      <c r="J899" s="1462"/>
      <c r="K899" s="1462"/>
      <c r="L899" s="1462"/>
      <c r="M899" s="1462"/>
      <c r="N899" s="1462"/>
      <c r="O899" s="1462"/>
      <c r="P899" s="1462"/>
      <c r="Q899" s="1462"/>
      <c r="R899" s="1462"/>
      <c r="S899" s="1462"/>
      <c r="T899" s="1462"/>
      <c r="U899" s="1462"/>
      <c r="V899" s="1462"/>
      <c r="W899" s="1462"/>
      <c r="X899" s="1462"/>
      <c r="Y899" s="1462"/>
      <c r="Z899" s="1462"/>
      <c r="AA899" s="1462"/>
    </row>
    <row r="900">
      <c r="A900" s="1493"/>
      <c r="B900" s="1494"/>
      <c r="C900" s="1493"/>
      <c r="D900" s="1493"/>
      <c r="E900" s="1495"/>
      <c r="F900" s="1462"/>
      <c r="G900" s="1462"/>
      <c r="H900" s="1462"/>
      <c r="I900" s="1462"/>
      <c r="J900" s="1462"/>
      <c r="K900" s="1462"/>
      <c r="L900" s="1462"/>
      <c r="M900" s="1462"/>
      <c r="N900" s="1462"/>
      <c r="O900" s="1462"/>
      <c r="P900" s="1462"/>
      <c r="Q900" s="1462"/>
      <c r="R900" s="1462"/>
      <c r="S900" s="1462"/>
      <c r="T900" s="1462"/>
      <c r="U900" s="1462"/>
      <c r="V900" s="1462"/>
      <c r="W900" s="1462"/>
      <c r="X900" s="1462"/>
      <c r="Y900" s="1462"/>
      <c r="Z900" s="1462"/>
      <c r="AA900" s="1462"/>
    </row>
    <row r="901">
      <c r="A901" s="1493"/>
      <c r="B901" s="1494"/>
      <c r="C901" s="1493"/>
      <c r="D901" s="1493"/>
      <c r="E901" s="1495"/>
      <c r="F901" s="1462"/>
      <c r="G901" s="1462"/>
      <c r="H901" s="1462"/>
      <c r="I901" s="1462"/>
      <c r="J901" s="1462"/>
      <c r="K901" s="1462"/>
      <c r="L901" s="1462"/>
      <c r="M901" s="1462"/>
      <c r="N901" s="1462"/>
      <c r="O901" s="1462"/>
      <c r="P901" s="1462"/>
      <c r="Q901" s="1462"/>
      <c r="R901" s="1462"/>
      <c r="S901" s="1462"/>
      <c r="T901" s="1462"/>
      <c r="U901" s="1462"/>
      <c r="V901" s="1462"/>
      <c r="W901" s="1462"/>
      <c r="X901" s="1462"/>
      <c r="Y901" s="1462"/>
      <c r="Z901" s="1462"/>
      <c r="AA901" s="1462"/>
    </row>
    <row r="902">
      <c r="A902" s="1493"/>
      <c r="B902" s="1494"/>
      <c r="C902" s="1493"/>
      <c r="D902" s="1493"/>
      <c r="E902" s="1495"/>
      <c r="F902" s="1462"/>
      <c r="G902" s="1462"/>
      <c r="H902" s="1462"/>
      <c r="I902" s="1462"/>
      <c r="J902" s="1462"/>
      <c r="K902" s="1462"/>
      <c r="L902" s="1462"/>
      <c r="M902" s="1462"/>
      <c r="N902" s="1462"/>
      <c r="O902" s="1462"/>
      <c r="P902" s="1462"/>
      <c r="Q902" s="1462"/>
      <c r="R902" s="1462"/>
      <c r="S902" s="1462"/>
      <c r="T902" s="1462"/>
      <c r="U902" s="1462"/>
      <c r="V902" s="1462"/>
      <c r="W902" s="1462"/>
      <c r="X902" s="1462"/>
      <c r="Y902" s="1462"/>
      <c r="Z902" s="1462"/>
      <c r="AA902" s="1462"/>
    </row>
    <row r="903">
      <c r="A903" s="1493"/>
      <c r="B903" s="1494"/>
      <c r="C903" s="1493"/>
      <c r="D903" s="1493"/>
      <c r="E903" s="1495"/>
      <c r="F903" s="1462"/>
      <c r="G903" s="1462"/>
      <c r="H903" s="1462"/>
      <c r="I903" s="1462"/>
      <c r="J903" s="1462"/>
      <c r="K903" s="1462"/>
      <c r="L903" s="1462"/>
      <c r="M903" s="1462"/>
      <c r="N903" s="1462"/>
      <c r="O903" s="1462"/>
      <c r="P903" s="1462"/>
      <c r="Q903" s="1462"/>
      <c r="R903" s="1462"/>
      <c r="S903" s="1462"/>
      <c r="T903" s="1462"/>
      <c r="U903" s="1462"/>
      <c r="V903" s="1462"/>
      <c r="W903" s="1462"/>
      <c r="X903" s="1462"/>
      <c r="Y903" s="1462"/>
      <c r="Z903" s="1462"/>
      <c r="AA903" s="1462"/>
    </row>
    <row r="904">
      <c r="A904" s="1493"/>
      <c r="B904" s="1494"/>
      <c r="C904" s="1493"/>
      <c r="D904" s="1493"/>
      <c r="E904" s="1495"/>
      <c r="F904" s="1462"/>
      <c r="G904" s="1462"/>
      <c r="H904" s="1462"/>
      <c r="I904" s="1462"/>
      <c r="J904" s="1462"/>
      <c r="K904" s="1462"/>
      <c r="L904" s="1462"/>
      <c r="M904" s="1462"/>
      <c r="N904" s="1462"/>
      <c r="O904" s="1462"/>
      <c r="P904" s="1462"/>
      <c r="Q904" s="1462"/>
      <c r="R904" s="1462"/>
      <c r="S904" s="1462"/>
      <c r="T904" s="1462"/>
      <c r="U904" s="1462"/>
      <c r="V904" s="1462"/>
      <c r="W904" s="1462"/>
      <c r="X904" s="1462"/>
      <c r="Y904" s="1462"/>
      <c r="Z904" s="1462"/>
      <c r="AA904" s="1462"/>
    </row>
    <row r="905">
      <c r="A905" s="1493"/>
      <c r="B905" s="1494"/>
      <c r="C905" s="1493"/>
      <c r="D905" s="1493"/>
      <c r="E905" s="1495"/>
      <c r="F905" s="1462"/>
      <c r="G905" s="1462"/>
      <c r="H905" s="1462"/>
      <c r="I905" s="1462"/>
      <c r="J905" s="1462"/>
      <c r="K905" s="1462"/>
      <c r="L905" s="1462"/>
      <c r="M905" s="1462"/>
      <c r="N905" s="1462"/>
      <c r="O905" s="1462"/>
      <c r="P905" s="1462"/>
      <c r="Q905" s="1462"/>
      <c r="R905" s="1462"/>
      <c r="S905" s="1462"/>
      <c r="T905" s="1462"/>
      <c r="U905" s="1462"/>
      <c r="V905" s="1462"/>
      <c r="W905" s="1462"/>
      <c r="X905" s="1462"/>
      <c r="Y905" s="1462"/>
      <c r="Z905" s="1462"/>
      <c r="AA905" s="1462"/>
    </row>
    <row r="906">
      <c r="A906" s="1493"/>
      <c r="B906" s="1494"/>
      <c r="C906" s="1493"/>
      <c r="D906" s="1493"/>
      <c r="E906" s="1495"/>
      <c r="F906" s="1462"/>
      <c r="G906" s="1462"/>
      <c r="H906" s="1462"/>
      <c r="I906" s="1462"/>
      <c r="J906" s="1462"/>
      <c r="K906" s="1462"/>
      <c r="L906" s="1462"/>
      <c r="M906" s="1462"/>
      <c r="N906" s="1462"/>
      <c r="O906" s="1462"/>
      <c r="P906" s="1462"/>
      <c r="Q906" s="1462"/>
      <c r="R906" s="1462"/>
      <c r="S906" s="1462"/>
      <c r="T906" s="1462"/>
      <c r="U906" s="1462"/>
      <c r="V906" s="1462"/>
      <c r="W906" s="1462"/>
      <c r="X906" s="1462"/>
      <c r="Y906" s="1462"/>
      <c r="Z906" s="1462"/>
      <c r="AA906" s="1462"/>
    </row>
    <row r="907">
      <c r="A907" s="1493"/>
      <c r="B907" s="1494"/>
      <c r="C907" s="1493"/>
      <c r="D907" s="1493"/>
      <c r="E907" s="1495"/>
      <c r="F907" s="1462"/>
      <c r="G907" s="1462"/>
      <c r="H907" s="1462"/>
      <c r="I907" s="1462"/>
      <c r="J907" s="1462"/>
      <c r="K907" s="1462"/>
      <c r="L907" s="1462"/>
      <c r="M907" s="1462"/>
      <c r="N907" s="1462"/>
      <c r="O907" s="1462"/>
      <c r="P907" s="1462"/>
      <c r="Q907" s="1462"/>
      <c r="R907" s="1462"/>
      <c r="S907" s="1462"/>
      <c r="T907" s="1462"/>
      <c r="U907" s="1462"/>
      <c r="V907" s="1462"/>
      <c r="W907" s="1462"/>
      <c r="X907" s="1462"/>
      <c r="Y907" s="1462"/>
      <c r="Z907" s="1462"/>
      <c r="AA907" s="1462"/>
    </row>
    <row r="908">
      <c r="A908" s="1493"/>
      <c r="B908" s="1494"/>
      <c r="C908" s="1493"/>
      <c r="D908" s="1493"/>
      <c r="E908" s="1495"/>
      <c r="F908" s="1462"/>
      <c r="G908" s="1462"/>
      <c r="H908" s="1462"/>
      <c r="I908" s="1462"/>
      <c r="J908" s="1462"/>
      <c r="K908" s="1462"/>
      <c r="L908" s="1462"/>
      <c r="M908" s="1462"/>
      <c r="N908" s="1462"/>
      <c r="O908" s="1462"/>
      <c r="P908" s="1462"/>
      <c r="Q908" s="1462"/>
      <c r="R908" s="1462"/>
      <c r="S908" s="1462"/>
      <c r="T908" s="1462"/>
      <c r="U908" s="1462"/>
      <c r="V908" s="1462"/>
      <c r="W908" s="1462"/>
      <c r="X908" s="1462"/>
      <c r="Y908" s="1462"/>
      <c r="Z908" s="1462"/>
      <c r="AA908" s="1462"/>
    </row>
    <row r="909">
      <c r="A909" s="1493"/>
      <c r="B909" s="1494"/>
      <c r="C909" s="1493"/>
      <c r="D909" s="1493"/>
      <c r="E909" s="1495"/>
      <c r="F909" s="1462"/>
      <c r="G909" s="1462"/>
      <c r="H909" s="1462"/>
      <c r="I909" s="1462"/>
      <c r="J909" s="1462"/>
      <c r="K909" s="1462"/>
      <c r="L909" s="1462"/>
      <c r="M909" s="1462"/>
      <c r="N909" s="1462"/>
      <c r="O909" s="1462"/>
      <c r="P909" s="1462"/>
      <c r="Q909" s="1462"/>
      <c r="R909" s="1462"/>
      <c r="S909" s="1462"/>
      <c r="T909" s="1462"/>
      <c r="U909" s="1462"/>
      <c r="V909" s="1462"/>
      <c r="W909" s="1462"/>
      <c r="X909" s="1462"/>
      <c r="Y909" s="1462"/>
      <c r="Z909" s="1462"/>
      <c r="AA909" s="1462"/>
    </row>
    <row r="910">
      <c r="A910" s="1493"/>
      <c r="B910" s="1494"/>
      <c r="C910" s="1493"/>
      <c r="D910" s="1493"/>
      <c r="E910" s="1495"/>
      <c r="F910" s="1462"/>
      <c r="G910" s="1462"/>
      <c r="H910" s="1462"/>
      <c r="I910" s="1462"/>
      <c r="J910" s="1462"/>
      <c r="K910" s="1462"/>
      <c r="L910" s="1462"/>
      <c r="M910" s="1462"/>
      <c r="N910" s="1462"/>
      <c r="O910" s="1462"/>
      <c r="P910" s="1462"/>
      <c r="Q910" s="1462"/>
      <c r="R910" s="1462"/>
      <c r="S910" s="1462"/>
      <c r="T910" s="1462"/>
      <c r="U910" s="1462"/>
      <c r="V910" s="1462"/>
      <c r="W910" s="1462"/>
      <c r="X910" s="1462"/>
      <c r="Y910" s="1462"/>
      <c r="Z910" s="1462"/>
      <c r="AA910" s="1462"/>
    </row>
    <row r="911">
      <c r="A911" s="1493"/>
      <c r="B911" s="1494"/>
      <c r="C911" s="1493"/>
      <c r="D911" s="1493"/>
      <c r="E911" s="1495"/>
      <c r="F911" s="1462"/>
      <c r="G911" s="1462"/>
      <c r="H911" s="1462"/>
      <c r="I911" s="1462"/>
      <c r="J911" s="1462"/>
      <c r="K911" s="1462"/>
      <c r="L911" s="1462"/>
      <c r="M911" s="1462"/>
      <c r="N911" s="1462"/>
      <c r="O911" s="1462"/>
      <c r="P911" s="1462"/>
      <c r="Q911" s="1462"/>
      <c r="R911" s="1462"/>
      <c r="S911" s="1462"/>
      <c r="T911" s="1462"/>
      <c r="U911" s="1462"/>
      <c r="V911" s="1462"/>
      <c r="W911" s="1462"/>
      <c r="X911" s="1462"/>
      <c r="Y911" s="1462"/>
      <c r="Z911" s="1462"/>
      <c r="AA911" s="1462"/>
    </row>
    <row r="912">
      <c r="A912" s="1493"/>
      <c r="B912" s="1494"/>
      <c r="C912" s="1493"/>
      <c r="D912" s="1493"/>
      <c r="E912" s="1495"/>
      <c r="F912" s="1462"/>
      <c r="G912" s="1462"/>
      <c r="H912" s="1462"/>
      <c r="I912" s="1462"/>
      <c r="J912" s="1462"/>
      <c r="K912" s="1462"/>
      <c r="L912" s="1462"/>
      <c r="M912" s="1462"/>
      <c r="N912" s="1462"/>
      <c r="O912" s="1462"/>
      <c r="P912" s="1462"/>
      <c r="Q912" s="1462"/>
      <c r="R912" s="1462"/>
      <c r="S912" s="1462"/>
      <c r="T912" s="1462"/>
      <c r="U912" s="1462"/>
      <c r="V912" s="1462"/>
      <c r="W912" s="1462"/>
      <c r="X912" s="1462"/>
      <c r="Y912" s="1462"/>
      <c r="Z912" s="1462"/>
      <c r="AA912" s="1462"/>
    </row>
    <row r="913">
      <c r="A913" s="1493"/>
      <c r="B913" s="1494"/>
      <c r="C913" s="1493"/>
      <c r="D913" s="1493"/>
      <c r="E913" s="1495"/>
      <c r="F913" s="1462"/>
      <c r="G913" s="1462"/>
      <c r="H913" s="1462"/>
      <c r="I913" s="1462"/>
      <c r="J913" s="1462"/>
      <c r="K913" s="1462"/>
      <c r="L913" s="1462"/>
      <c r="M913" s="1462"/>
      <c r="N913" s="1462"/>
      <c r="O913" s="1462"/>
      <c r="P913" s="1462"/>
      <c r="Q913" s="1462"/>
      <c r="R913" s="1462"/>
      <c r="S913" s="1462"/>
      <c r="T913" s="1462"/>
      <c r="U913" s="1462"/>
      <c r="V913" s="1462"/>
      <c r="W913" s="1462"/>
      <c r="X913" s="1462"/>
      <c r="Y913" s="1462"/>
      <c r="Z913" s="1462"/>
      <c r="AA913" s="1462"/>
    </row>
    <row r="914">
      <c r="A914" s="1493"/>
      <c r="B914" s="1494"/>
      <c r="C914" s="1493"/>
      <c r="D914" s="1493"/>
      <c r="E914" s="1495"/>
      <c r="F914" s="1462"/>
      <c r="G914" s="1462"/>
      <c r="H914" s="1462"/>
      <c r="I914" s="1462"/>
      <c r="J914" s="1462"/>
      <c r="K914" s="1462"/>
      <c r="L914" s="1462"/>
      <c r="M914" s="1462"/>
      <c r="N914" s="1462"/>
      <c r="O914" s="1462"/>
      <c r="P914" s="1462"/>
      <c r="Q914" s="1462"/>
      <c r="R914" s="1462"/>
      <c r="S914" s="1462"/>
      <c r="T914" s="1462"/>
      <c r="U914" s="1462"/>
      <c r="V914" s="1462"/>
      <c r="W914" s="1462"/>
      <c r="X914" s="1462"/>
      <c r="Y914" s="1462"/>
      <c r="Z914" s="1462"/>
      <c r="AA914" s="1462"/>
    </row>
    <row r="915">
      <c r="A915" s="1493"/>
      <c r="B915" s="1494"/>
      <c r="C915" s="1493"/>
      <c r="D915" s="1493"/>
      <c r="E915" s="1495"/>
      <c r="F915" s="1462"/>
      <c r="G915" s="1462"/>
      <c r="H915" s="1462"/>
      <c r="I915" s="1462"/>
      <c r="J915" s="1462"/>
      <c r="K915" s="1462"/>
      <c r="L915" s="1462"/>
      <c r="M915" s="1462"/>
      <c r="N915" s="1462"/>
      <c r="O915" s="1462"/>
      <c r="P915" s="1462"/>
      <c r="Q915" s="1462"/>
      <c r="R915" s="1462"/>
      <c r="S915" s="1462"/>
      <c r="T915" s="1462"/>
      <c r="U915" s="1462"/>
      <c r="V915" s="1462"/>
      <c r="W915" s="1462"/>
      <c r="X915" s="1462"/>
      <c r="Y915" s="1462"/>
      <c r="Z915" s="1462"/>
      <c r="AA915" s="1462"/>
    </row>
    <row r="916">
      <c r="A916" s="1493"/>
      <c r="B916" s="1494"/>
      <c r="C916" s="1493"/>
      <c r="D916" s="1493"/>
      <c r="E916" s="1495"/>
      <c r="F916" s="1462"/>
      <c r="G916" s="1462"/>
      <c r="H916" s="1462"/>
      <c r="I916" s="1462"/>
      <c r="J916" s="1462"/>
      <c r="K916" s="1462"/>
      <c r="L916" s="1462"/>
      <c r="M916" s="1462"/>
      <c r="N916" s="1462"/>
      <c r="O916" s="1462"/>
      <c r="P916" s="1462"/>
      <c r="Q916" s="1462"/>
      <c r="R916" s="1462"/>
      <c r="S916" s="1462"/>
      <c r="T916" s="1462"/>
      <c r="U916" s="1462"/>
      <c r="V916" s="1462"/>
      <c r="W916" s="1462"/>
      <c r="X916" s="1462"/>
      <c r="Y916" s="1462"/>
      <c r="Z916" s="1462"/>
      <c r="AA916" s="1462"/>
    </row>
    <row r="917">
      <c r="A917" s="1493"/>
      <c r="B917" s="1494"/>
      <c r="C917" s="1493"/>
      <c r="D917" s="1493"/>
      <c r="E917" s="1495"/>
      <c r="F917" s="1462"/>
      <c r="G917" s="1462"/>
      <c r="H917" s="1462"/>
      <c r="I917" s="1462"/>
      <c r="J917" s="1462"/>
      <c r="K917" s="1462"/>
      <c r="L917" s="1462"/>
      <c r="M917" s="1462"/>
      <c r="N917" s="1462"/>
      <c r="O917" s="1462"/>
      <c r="P917" s="1462"/>
      <c r="Q917" s="1462"/>
      <c r="R917" s="1462"/>
      <c r="S917" s="1462"/>
      <c r="T917" s="1462"/>
      <c r="U917" s="1462"/>
      <c r="V917" s="1462"/>
      <c r="W917" s="1462"/>
      <c r="X917" s="1462"/>
      <c r="Y917" s="1462"/>
      <c r="Z917" s="1462"/>
      <c r="AA917" s="1462"/>
    </row>
    <row r="918">
      <c r="A918" s="1493"/>
      <c r="B918" s="1494"/>
      <c r="C918" s="1493"/>
      <c r="D918" s="1493"/>
      <c r="E918" s="1495"/>
      <c r="F918" s="1462"/>
      <c r="G918" s="1462"/>
      <c r="H918" s="1462"/>
      <c r="I918" s="1462"/>
      <c r="J918" s="1462"/>
      <c r="K918" s="1462"/>
      <c r="L918" s="1462"/>
      <c r="M918" s="1462"/>
      <c r="N918" s="1462"/>
      <c r="O918" s="1462"/>
      <c r="P918" s="1462"/>
      <c r="Q918" s="1462"/>
      <c r="R918" s="1462"/>
      <c r="S918" s="1462"/>
      <c r="T918" s="1462"/>
      <c r="U918" s="1462"/>
      <c r="V918" s="1462"/>
      <c r="W918" s="1462"/>
      <c r="X918" s="1462"/>
      <c r="Y918" s="1462"/>
      <c r="Z918" s="1462"/>
      <c r="AA918" s="1462"/>
    </row>
    <row r="919">
      <c r="A919" s="1493"/>
      <c r="B919" s="1494"/>
      <c r="C919" s="1493"/>
      <c r="D919" s="1493"/>
      <c r="E919" s="1495"/>
      <c r="F919" s="1462"/>
      <c r="G919" s="1462"/>
      <c r="H919" s="1462"/>
      <c r="I919" s="1462"/>
      <c r="J919" s="1462"/>
      <c r="K919" s="1462"/>
      <c r="L919" s="1462"/>
      <c r="M919" s="1462"/>
      <c r="N919" s="1462"/>
      <c r="O919" s="1462"/>
      <c r="P919" s="1462"/>
      <c r="Q919" s="1462"/>
      <c r="R919" s="1462"/>
      <c r="S919" s="1462"/>
      <c r="T919" s="1462"/>
      <c r="U919" s="1462"/>
      <c r="V919" s="1462"/>
      <c r="W919" s="1462"/>
      <c r="X919" s="1462"/>
      <c r="Y919" s="1462"/>
      <c r="Z919" s="1462"/>
      <c r="AA919" s="1462"/>
    </row>
    <row r="920">
      <c r="A920" s="1493"/>
      <c r="B920" s="1494"/>
      <c r="C920" s="1493"/>
      <c r="D920" s="1493"/>
      <c r="E920" s="1495"/>
      <c r="F920" s="1462"/>
      <c r="G920" s="1462"/>
      <c r="H920" s="1462"/>
      <c r="I920" s="1462"/>
      <c r="J920" s="1462"/>
      <c r="K920" s="1462"/>
      <c r="L920" s="1462"/>
      <c r="M920" s="1462"/>
      <c r="N920" s="1462"/>
      <c r="O920" s="1462"/>
      <c r="P920" s="1462"/>
      <c r="Q920" s="1462"/>
      <c r="R920" s="1462"/>
      <c r="S920" s="1462"/>
      <c r="T920" s="1462"/>
      <c r="U920" s="1462"/>
      <c r="V920" s="1462"/>
      <c r="W920" s="1462"/>
      <c r="X920" s="1462"/>
      <c r="Y920" s="1462"/>
      <c r="Z920" s="1462"/>
      <c r="AA920" s="1462"/>
    </row>
    <row r="921">
      <c r="A921" s="1493"/>
      <c r="B921" s="1494"/>
      <c r="C921" s="1493"/>
      <c r="D921" s="1493"/>
      <c r="E921" s="1495"/>
      <c r="F921" s="1462"/>
      <c r="G921" s="1462"/>
      <c r="H921" s="1462"/>
      <c r="I921" s="1462"/>
      <c r="J921" s="1462"/>
      <c r="K921" s="1462"/>
      <c r="L921" s="1462"/>
      <c r="M921" s="1462"/>
      <c r="N921" s="1462"/>
      <c r="O921" s="1462"/>
      <c r="P921" s="1462"/>
      <c r="Q921" s="1462"/>
      <c r="R921" s="1462"/>
      <c r="S921" s="1462"/>
      <c r="T921" s="1462"/>
      <c r="U921" s="1462"/>
      <c r="V921" s="1462"/>
      <c r="W921" s="1462"/>
      <c r="X921" s="1462"/>
      <c r="Y921" s="1462"/>
      <c r="Z921" s="1462"/>
      <c r="AA921" s="1462"/>
    </row>
    <row r="922">
      <c r="A922" s="1493"/>
      <c r="B922" s="1494"/>
      <c r="C922" s="1493"/>
      <c r="D922" s="1493"/>
      <c r="E922" s="1495"/>
      <c r="F922" s="1462"/>
      <c r="G922" s="1462"/>
      <c r="H922" s="1462"/>
      <c r="I922" s="1462"/>
      <c r="J922" s="1462"/>
      <c r="K922" s="1462"/>
      <c r="L922" s="1462"/>
      <c r="M922" s="1462"/>
      <c r="N922" s="1462"/>
      <c r="O922" s="1462"/>
      <c r="P922" s="1462"/>
      <c r="Q922" s="1462"/>
      <c r="R922" s="1462"/>
      <c r="S922" s="1462"/>
      <c r="T922" s="1462"/>
      <c r="U922" s="1462"/>
      <c r="V922" s="1462"/>
      <c r="W922" s="1462"/>
      <c r="X922" s="1462"/>
      <c r="Y922" s="1462"/>
      <c r="Z922" s="1462"/>
      <c r="AA922" s="1462"/>
    </row>
    <row r="923">
      <c r="A923" s="1493"/>
      <c r="B923" s="1494"/>
      <c r="C923" s="1493"/>
      <c r="D923" s="1493"/>
      <c r="E923" s="1495"/>
      <c r="F923" s="1462"/>
      <c r="G923" s="1462"/>
      <c r="H923" s="1462"/>
      <c r="I923" s="1462"/>
      <c r="J923" s="1462"/>
      <c r="K923" s="1462"/>
      <c r="L923" s="1462"/>
      <c r="M923" s="1462"/>
      <c r="N923" s="1462"/>
      <c r="O923" s="1462"/>
      <c r="P923" s="1462"/>
      <c r="Q923" s="1462"/>
      <c r="R923" s="1462"/>
      <c r="S923" s="1462"/>
      <c r="T923" s="1462"/>
      <c r="U923" s="1462"/>
      <c r="V923" s="1462"/>
      <c r="W923" s="1462"/>
      <c r="X923" s="1462"/>
      <c r="Y923" s="1462"/>
      <c r="Z923" s="1462"/>
      <c r="AA923" s="1462"/>
    </row>
    <row r="924">
      <c r="A924" s="1493"/>
      <c r="B924" s="1494"/>
      <c r="C924" s="1493"/>
      <c r="D924" s="1493"/>
      <c r="E924" s="1495"/>
      <c r="F924" s="1462"/>
      <c r="G924" s="1462"/>
      <c r="H924" s="1462"/>
      <c r="I924" s="1462"/>
      <c r="J924" s="1462"/>
      <c r="K924" s="1462"/>
      <c r="L924" s="1462"/>
      <c r="M924" s="1462"/>
      <c r="N924" s="1462"/>
      <c r="O924" s="1462"/>
      <c r="P924" s="1462"/>
      <c r="Q924" s="1462"/>
      <c r="R924" s="1462"/>
      <c r="S924" s="1462"/>
      <c r="T924" s="1462"/>
      <c r="U924" s="1462"/>
      <c r="V924" s="1462"/>
      <c r="W924" s="1462"/>
      <c r="X924" s="1462"/>
      <c r="Y924" s="1462"/>
      <c r="Z924" s="1462"/>
      <c r="AA924" s="1462"/>
    </row>
    <row r="925">
      <c r="A925" s="1493"/>
      <c r="B925" s="1494"/>
      <c r="C925" s="1493"/>
      <c r="D925" s="1493"/>
      <c r="E925" s="1495"/>
      <c r="F925" s="1462"/>
      <c r="G925" s="1462"/>
      <c r="H925" s="1462"/>
      <c r="I925" s="1462"/>
      <c r="J925" s="1462"/>
      <c r="K925" s="1462"/>
      <c r="L925" s="1462"/>
      <c r="M925" s="1462"/>
      <c r="N925" s="1462"/>
      <c r="O925" s="1462"/>
      <c r="P925" s="1462"/>
      <c r="Q925" s="1462"/>
      <c r="R925" s="1462"/>
      <c r="S925" s="1462"/>
      <c r="T925" s="1462"/>
      <c r="U925" s="1462"/>
      <c r="V925" s="1462"/>
      <c r="W925" s="1462"/>
      <c r="X925" s="1462"/>
      <c r="Y925" s="1462"/>
      <c r="Z925" s="1462"/>
      <c r="AA925" s="1462"/>
    </row>
    <row r="926">
      <c r="A926" s="1493"/>
      <c r="B926" s="1494"/>
      <c r="C926" s="1493"/>
      <c r="D926" s="1493"/>
      <c r="E926" s="1495"/>
      <c r="F926" s="1462"/>
      <c r="G926" s="1462"/>
      <c r="H926" s="1462"/>
      <c r="I926" s="1462"/>
      <c r="J926" s="1462"/>
      <c r="K926" s="1462"/>
      <c r="L926" s="1462"/>
      <c r="M926" s="1462"/>
      <c r="N926" s="1462"/>
      <c r="O926" s="1462"/>
      <c r="P926" s="1462"/>
      <c r="Q926" s="1462"/>
      <c r="R926" s="1462"/>
      <c r="S926" s="1462"/>
      <c r="T926" s="1462"/>
      <c r="U926" s="1462"/>
      <c r="V926" s="1462"/>
      <c r="W926" s="1462"/>
      <c r="X926" s="1462"/>
      <c r="Y926" s="1462"/>
      <c r="Z926" s="1462"/>
      <c r="AA926" s="1462"/>
    </row>
    <row r="927">
      <c r="A927" s="1493"/>
      <c r="B927" s="1494"/>
      <c r="C927" s="1493"/>
      <c r="D927" s="1493"/>
      <c r="E927" s="1495"/>
      <c r="F927" s="1462"/>
      <c r="G927" s="1462"/>
      <c r="H927" s="1462"/>
      <c r="I927" s="1462"/>
      <c r="J927" s="1462"/>
      <c r="K927" s="1462"/>
      <c r="L927" s="1462"/>
      <c r="M927" s="1462"/>
      <c r="N927" s="1462"/>
      <c r="O927" s="1462"/>
      <c r="P927" s="1462"/>
      <c r="Q927" s="1462"/>
      <c r="R927" s="1462"/>
      <c r="S927" s="1462"/>
      <c r="T927" s="1462"/>
      <c r="U927" s="1462"/>
      <c r="V927" s="1462"/>
      <c r="W927" s="1462"/>
      <c r="X927" s="1462"/>
      <c r="Y927" s="1462"/>
      <c r="Z927" s="1462"/>
      <c r="AA927" s="1462"/>
    </row>
    <row r="928">
      <c r="A928" s="1493"/>
      <c r="B928" s="1494"/>
      <c r="C928" s="1493"/>
      <c r="D928" s="1493"/>
      <c r="E928" s="1495"/>
      <c r="F928" s="1462"/>
      <c r="G928" s="1462"/>
      <c r="H928" s="1462"/>
      <c r="I928" s="1462"/>
      <c r="J928" s="1462"/>
      <c r="K928" s="1462"/>
      <c r="L928" s="1462"/>
      <c r="M928" s="1462"/>
      <c r="N928" s="1462"/>
      <c r="O928" s="1462"/>
      <c r="P928" s="1462"/>
      <c r="Q928" s="1462"/>
      <c r="R928" s="1462"/>
      <c r="S928" s="1462"/>
      <c r="T928" s="1462"/>
      <c r="U928" s="1462"/>
      <c r="V928" s="1462"/>
      <c r="W928" s="1462"/>
      <c r="X928" s="1462"/>
      <c r="Y928" s="1462"/>
      <c r="Z928" s="1462"/>
      <c r="AA928" s="1462"/>
    </row>
    <row r="929">
      <c r="A929" s="1493"/>
      <c r="B929" s="1494"/>
      <c r="C929" s="1493"/>
      <c r="D929" s="1493"/>
      <c r="E929" s="1495"/>
      <c r="F929" s="1462"/>
      <c r="G929" s="1462"/>
      <c r="H929" s="1462"/>
      <c r="I929" s="1462"/>
      <c r="J929" s="1462"/>
      <c r="K929" s="1462"/>
      <c r="L929" s="1462"/>
      <c r="M929" s="1462"/>
      <c r="N929" s="1462"/>
      <c r="O929" s="1462"/>
      <c r="P929" s="1462"/>
      <c r="Q929" s="1462"/>
      <c r="R929" s="1462"/>
      <c r="S929" s="1462"/>
      <c r="T929" s="1462"/>
      <c r="U929" s="1462"/>
      <c r="V929" s="1462"/>
      <c r="W929" s="1462"/>
      <c r="X929" s="1462"/>
      <c r="Y929" s="1462"/>
      <c r="Z929" s="1462"/>
      <c r="AA929" s="1462"/>
    </row>
    <row r="930">
      <c r="A930" s="1493"/>
      <c r="B930" s="1494"/>
      <c r="C930" s="1493"/>
      <c r="D930" s="1493"/>
      <c r="E930" s="1495"/>
      <c r="F930" s="1462"/>
      <c r="G930" s="1462"/>
      <c r="H930" s="1462"/>
      <c r="I930" s="1462"/>
      <c r="J930" s="1462"/>
      <c r="K930" s="1462"/>
      <c r="L930" s="1462"/>
      <c r="M930" s="1462"/>
      <c r="N930" s="1462"/>
      <c r="O930" s="1462"/>
      <c r="P930" s="1462"/>
      <c r="Q930" s="1462"/>
      <c r="R930" s="1462"/>
      <c r="S930" s="1462"/>
      <c r="T930" s="1462"/>
      <c r="U930" s="1462"/>
      <c r="V930" s="1462"/>
      <c r="W930" s="1462"/>
      <c r="X930" s="1462"/>
      <c r="Y930" s="1462"/>
      <c r="Z930" s="1462"/>
      <c r="AA930" s="1462"/>
    </row>
    <row r="931">
      <c r="A931" s="1493"/>
      <c r="B931" s="1494"/>
      <c r="C931" s="1493"/>
      <c r="D931" s="1493"/>
      <c r="E931" s="1495"/>
      <c r="F931" s="1462"/>
      <c r="G931" s="1462"/>
      <c r="H931" s="1462"/>
      <c r="I931" s="1462"/>
      <c r="J931" s="1462"/>
      <c r="K931" s="1462"/>
      <c r="L931" s="1462"/>
      <c r="M931" s="1462"/>
      <c r="N931" s="1462"/>
      <c r="O931" s="1462"/>
      <c r="P931" s="1462"/>
      <c r="Q931" s="1462"/>
      <c r="R931" s="1462"/>
      <c r="S931" s="1462"/>
      <c r="T931" s="1462"/>
      <c r="U931" s="1462"/>
      <c r="V931" s="1462"/>
      <c r="W931" s="1462"/>
      <c r="X931" s="1462"/>
      <c r="Y931" s="1462"/>
      <c r="Z931" s="1462"/>
      <c r="AA931" s="1462"/>
    </row>
    <row r="932">
      <c r="A932" s="1493"/>
      <c r="B932" s="1494"/>
      <c r="C932" s="1493"/>
      <c r="D932" s="1493"/>
      <c r="E932" s="1495"/>
      <c r="F932" s="1462"/>
      <c r="G932" s="1462"/>
      <c r="H932" s="1462"/>
      <c r="I932" s="1462"/>
      <c r="J932" s="1462"/>
      <c r="K932" s="1462"/>
      <c r="L932" s="1462"/>
      <c r="M932" s="1462"/>
      <c r="N932" s="1462"/>
      <c r="O932" s="1462"/>
      <c r="P932" s="1462"/>
      <c r="Q932" s="1462"/>
      <c r="R932" s="1462"/>
      <c r="S932" s="1462"/>
      <c r="T932" s="1462"/>
      <c r="U932" s="1462"/>
      <c r="V932" s="1462"/>
      <c r="W932" s="1462"/>
      <c r="X932" s="1462"/>
      <c r="Y932" s="1462"/>
      <c r="Z932" s="1462"/>
      <c r="AA932" s="1462"/>
    </row>
    <row r="933">
      <c r="A933" s="1493"/>
      <c r="B933" s="1494"/>
      <c r="C933" s="1493"/>
      <c r="D933" s="1493"/>
      <c r="E933" s="1495"/>
      <c r="F933" s="1462"/>
      <c r="G933" s="1462"/>
      <c r="H933" s="1462"/>
      <c r="I933" s="1462"/>
      <c r="J933" s="1462"/>
      <c r="K933" s="1462"/>
      <c r="L933" s="1462"/>
      <c r="M933" s="1462"/>
      <c r="N933" s="1462"/>
      <c r="O933" s="1462"/>
      <c r="P933" s="1462"/>
      <c r="Q933" s="1462"/>
      <c r="R933" s="1462"/>
      <c r="S933" s="1462"/>
      <c r="T933" s="1462"/>
      <c r="U933" s="1462"/>
      <c r="V933" s="1462"/>
      <c r="W933" s="1462"/>
      <c r="X933" s="1462"/>
      <c r="Y933" s="1462"/>
      <c r="Z933" s="1462"/>
      <c r="AA933" s="1462"/>
    </row>
    <row r="934">
      <c r="A934" s="1493"/>
      <c r="B934" s="1494"/>
      <c r="C934" s="1493"/>
      <c r="D934" s="1493"/>
      <c r="E934" s="1495"/>
      <c r="F934" s="1462"/>
      <c r="G934" s="1462"/>
      <c r="H934" s="1462"/>
      <c r="I934" s="1462"/>
      <c r="J934" s="1462"/>
      <c r="K934" s="1462"/>
      <c r="L934" s="1462"/>
      <c r="M934" s="1462"/>
      <c r="N934" s="1462"/>
      <c r="O934" s="1462"/>
      <c r="P934" s="1462"/>
      <c r="Q934" s="1462"/>
      <c r="R934" s="1462"/>
      <c r="S934" s="1462"/>
      <c r="T934" s="1462"/>
      <c r="U934" s="1462"/>
      <c r="V934" s="1462"/>
      <c r="W934" s="1462"/>
      <c r="X934" s="1462"/>
      <c r="Y934" s="1462"/>
      <c r="Z934" s="1462"/>
      <c r="AA934" s="1462"/>
    </row>
    <row r="935">
      <c r="A935" s="1493"/>
      <c r="B935" s="1494"/>
      <c r="C935" s="1493"/>
      <c r="D935" s="1493"/>
      <c r="E935" s="1495"/>
      <c r="F935" s="1462"/>
      <c r="G935" s="1462"/>
      <c r="H935" s="1462"/>
      <c r="I935" s="1462"/>
      <c r="J935" s="1462"/>
      <c r="K935" s="1462"/>
      <c r="L935" s="1462"/>
      <c r="M935" s="1462"/>
      <c r="N935" s="1462"/>
      <c r="O935" s="1462"/>
      <c r="P935" s="1462"/>
      <c r="Q935" s="1462"/>
      <c r="R935" s="1462"/>
      <c r="S935" s="1462"/>
      <c r="T935" s="1462"/>
      <c r="U935" s="1462"/>
      <c r="V935" s="1462"/>
      <c r="W935" s="1462"/>
      <c r="X935" s="1462"/>
      <c r="Y935" s="1462"/>
      <c r="Z935" s="1462"/>
      <c r="AA935" s="1462"/>
    </row>
    <row r="936">
      <c r="A936" s="1493"/>
      <c r="B936" s="1494"/>
      <c r="C936" s="1493"/>
      <c r="D936" s="1493"/>
      <c r="E936" s="1495"/>
      <c r="F936" s="1462"/>
      <c r="G936" s="1462"/>
      <c r="H936" s="1462"/>
      <c r="I936" s="1462"/>
      <c r="J936" s="1462"/>
      <c r="K936" s="1462"/>
      <c r="L936" s="1462"/>
      <c r="M936" s="1462"/>
      <c r="N936" s="1462"/>
      <c r="O936" s="1462"/>
      <c r="P936" s="1462"/>
      <c r="Q936" s="1462"/>
      <c r="R936" s="1462"/>
      <c r="S936" s="1462"/>
      <c r="T936" s="1462"/>
      <c r="U936" s="1462"/>
      <c r="V936" s="1462"/>
      <c r="W936" s="1462"/>
      <c r="X936" s="1462"/>
      <c r="Y936" s="1462"/>
      <c r="Z936" s="1462"/>
      <c r="AA936" s="1462"/>
    </row>
    <row r="937">
      <c r="A937" s="1493"/>
      <c r="B937" s="1494"/>
      <c r="C937" s="1493"/>
      <c r="D937" s="1493"/>
      <c r="E937" s="1495"/>
      <c r="F937" s="1462"/>
      <c r="G937" s="1462"/>
      <c r="H937" s="1462"/>
      <c r="I937" s="1462"/>
      <c r="J937" s="1462"/>
      <c r="K937" s="1462"/>
      <c r="L937" s="1462"/>
      <c r="M937" s="1462"/>
      <c r="N937" s="1462"/>
      <c r="O937" s="1462"/>
      <c r="P937" s="1462"/>
      <c r="Q937" s="1462"/>
      <c r="R937" s="1462"/>
      <c r="S937" s="1462"/>
      <c r="T937" s="1462"/>
      <c r="U937" s="1462"/>
      <c r="V937" s="1462"/>
      <c r="W937" s="1462"/>
      <c r="X937" s="1462"/>
      <c r="Y937" s="1462"/>
      <c r="Z937" s="1462"/>
      <c r="AA937" s="1462"/>
    </row>
    <row r="938">
      <c r="A938" s="1493"/>
      <c r="B938" s="1494"/>
      <c r="C938" s="1493"/>
      <c r="D938" s="1493"/>
      <c r="E938" s="1495"/>
      <c r="F938" s="1462"/>
      <c r="G938" s="1462"/>
      <c r="H938" s="1462"/>
      <c r="I938" s="1462"/>
      <c r="J938" s="1462"/>
      <c r="K938" s="1462"/>
      <c r="L938" s="1462"/>
      <c r="M938" s="1462"/>
      <c r="N938" s="1462"/>
      <c r="O938" s="1462"/>
      <c r="P938" s="1462"/>
      <c r="Q938" s="1462"/>
      <c r="R938" s="1462"/>
      <c r="S938" s="1462"/>
      <c r="T938" s="1462"/>
      <c r="U938" s="1462"/>
      <c r="V938" s="1462"/>
      <c r="W938" s="1462"/>
      <c r="X938" s="1462"/>
      <c r="Y938" s="1462"/>
      <c r="Z938" s="1462"/>
      <c r="AA938" s="1462"/>
    </row>
    <row r="939">
      <c r="A939" s="1493"/>
      <c r="B939" s="1494"/>
      <c r="C939" s="1493"/>
      <c r="D939" s="1493"/>
      <c r="E939" s="1495"/>
      <c r="F939" s="1462"/>
      <c r="G939" s="1462"/>
      <c r="H939" s="1462"/>
      <c r="I939" s="1462"/>
      <c r="J939" s="1462"/>
      <c r="K939" s="1462"/>
      <c r="L939" s="1462"/>
      <c r="M939" s="1462"/>
      <c r="N939" s="1462"/>
      <c r="O939" s="1462"/>
      <c r="P939" s="1462"/>
      <c r="Q939" s="1462"/>
      <c r="R939" s="1462"/>
      <c r="S939" s="1462"/>
      <c r="T939" s="1462"/>
      <c r="U939" s="1462"/>
      <c r="V939" s="1462"/>
      <c r="W939" s="1462"/>
      <c r="X939" s="1462"/>
      <c r="Y939" s="1462"/>
      <c r="Z939" s="1462"/>
      <c r="AA939" s="1462"/>
    </row>
    <row r="940">
      <c r="A940" s="1493"/>
      <c r="B940" s="1494"/>
      <c r="C940" s="1493"/>
      <c r="D940" s="1493"/>
      <c r="E940" s="1495"/>
      <c r="F940" s="1462"/>
      <c r="G940" s="1462"/>
      <c r="H940" s="1462"/>
      <c r="I940" s="1462"/>
      <c r="J940" s="1462"/>
      <c r="K940" s="1462"/>
      <c r="L940" s="1462"/>
      <c r="M940" s="1462"/>
      <c r="N940" s="1462"/>
      <c r="O940" s="1462"/>
      <c r="P940" s="1462"/>
      <c r="Q940" s="1462"/>
      <c r="R940" s="1462"/>
      <c r="S940" s="1462"/>
      <c r="T940" s="1462"/>
      <c r="U940" s="1462"/>
      <c r="V940" s="1462"/>
      <c r="W940" s="1462"/>
      <c r="X940" s="1462"/>
      <c r="Y940" s="1462"/>
      <c r="Z940" s="1462"/>
      <c r="AA940" s="1462"/>
    </row>
    <row r="941">
      <c r="A941" s="1493"/>
      <c r="B941" s="1494"/>
      <c r="C941" s="1493"/>
      <c r="D941" s="1493"/>
      <c r="E941" s="1495"/>
      <c r="F941" s="1462"/>
      <c r="G941" s="1462"/>
      <c r="H941" s="1462"/>
      <c r="I941" s="1462"/>
      <c r="J941" s="1462"/>
      <c r="K941" s="1462"/>
      <c r="L941" s="1462"/>
      <c r="M941" s="1462"/>
      <c r="N941" s="1462"/>
      <c r="O941" s="1462"/>
      <c r="P941" s="1462"/>
      <c r="Q941" s="1462"/>
      <c r="R941" s="1462"/>
      <c r="S941" s="1462"/>
      <c r="T941" s="1462"/>
      <c r="U941" s="1462"/>
      <c r="V941" s="1462"/>
      <c r="W941" s="1462"/>
      <c r="X941" s="1462"/>
      <c r="Y941" s="1462"/>
      <c r="Z941" s="1462"/>
      <c r="AA941" s="1462"/>
    </row>
    <row r="942">
      <c r="A942" s="1493"/>
      <c r="B942" s="1494"/>
      <c r="C942" s="1493"/>
      <c r="D942" s="1493"/>
      <c r="E942" s="1495"/>
      <c r="F942" s="1462"/>
      <c r="G942" s="1462"/>
      <c r="H942" s="1462"/>
      <c r="I942" s="1462"/>
      <c r="J942" s="1462"/>
      <c r="K942" s="1462"/>
      <c r="L942" s="1462"/>
      <c r="M942" s="1462"/>
      <c r="N942" s="1462"/>
      <c r="O942" s="1462"/>
      <c r="P942" s="1462"/>
      <c r="Q942" s="1462"/>
      <c r="R942" s="1462"/>
      <c r="S942" s="1462"/>
      <c r="T942" s="1462"/>
      <c r="U942" s="1462"/>
      <c r="V942" s="1462"/>
      <c r="W942" s="1462"/>
      <c r="X942" s="1462"/>
      <c r="Y942" s="1462"/>
      <c r="Z942" s="1462"/>
      <c r="AA942" s="1462"/>
    </row>
    <row r="943">
      <c r="A943" s="1493"/>
      <c r="B943" s="1494"/>
      <c r="C943" s="1493"/>
      <c r="D943" s="1493"/>
      <c r="E943" s="1495"/>
      <c r="F943" s="1462"/>
      <c r="G943" s="1462"/>
      <c r="H943" s="1462"/>
      <c r="I943" s="1462"/>
      <c r="J943" s="1462"/>
      <c r="K943" s="1462"/>
      <c r="L943" s="1462"/>
      <c r="M943" s="1462"/>
      <c r="N943" s="1462"/>
      <c r="O943" s="1462"/>
      <c r="P943" s="1462"/>
      <c r="Q943" s="1462"/>
      <c r="R943" s="1462"/>
      <c r="S943" s="1462"/>
      <c r="T943" s="1462"/>
      <c r="U943" s="1462"/>
      <c r="V943" s="1462"/>
      <c r="W943" s="1462"/>
      <c r="X943" s="1462"/>
      <c r="Y943" s="1462"/>
      <c r="Z943" s="1462"/>
      <c r="AA943" s="1462"/>
    </row>
    <row r="944">
      <c r="A944" s="1493"/>
      <c r="B944" s="1494"/>
      <c r="C944" s="1493"/>
      <c r="D944" s="1493"/>
      <c r="E944" s="1495"/>
      <c r="F944" s="1462"/>
      <c r="G944" s="1462"/>
      <c r="H944" s="1462"/>
      <c r="I944" s="1462"/>
      <c r="J944" s="1462"/>
      <c r="K944" s="1462"/>
      <c r="L944" s="1462"/>
      <c r="M944" s="1462"/>
      <c r="N944" s="1462"/>
      <c r="O944" s="1462"/>
      <c r="P944" s="1462"/>
      <c r="Q944" s="1462"/>
      <c r="R944" s="1462"/>
      <c r="S944" s="1462"/>
      <c r="T944" s="1462"/>
      <c r="U944" s="1462"/>
      <c r="V944" s="1462"/>
      <c r="W944" s="1462"/>
      <c r="X944" s="1462"/>
      <c r="Y944" s="1462"/>
      <c r="Z944" s="1462"/>
      <c r="AA944" s="1462"/>
    </row>
    <row r="945">
      <c r="A945" s="1493"/>
      <c r="B945" s="1494"/>
      <c r="C945" s="1493"/>
      <c r="D945" s="1493"/>
      <c r="E945" s="1495"/>
      <c r="F945" s="1462"/>
      <c r="G945" s="1462"/>
      <c r="H945" s="1462"/>
      <c r="I945" s="1462"/>
      <c r="J945" s="1462"/>
      <c r="K945" s="1462"/>
      <c r="L945" s="1462"/>
      <c r="M945" s="1462"/>
      <c r="N945" s="1462"/>
      <c r="O945" s="1462"/>
      <c r="P945" s="1462"/>
      <c r="Q945" s="1462"/>
      <c r="R945" s="1462"/>
      <c r="S945" s="1462"/>
      <c r="T945" s="1462"/>
      <c r="U945" s="1462"/>
      <c r="V945" s="1462"/>
      <c r="W945" s="1462"/>
      <c r="X945" s="1462"/>
      <c r="Y945" s="1462"/>
      <c r="Z945" s="1462"/>
      <c r="AA945" s="1462"/>
    </row>
    <row r="946">
      <c r="A946" s="1493"/>
      <c r="B946" s="1494"/>
      <c r="C946" s="1493"/>
      <c r="D946" s="1493"/>
      <c r="E946" s="1495"/>
      <c r="F946" s="1462"/>
      <c r="G946" s="1462"/>
      <c r="H946" s="1462"/>
      <c r="I946" s="1462"/>
      <c r="J946" s="1462"/>
      <c r="K946" s="1462"/>
      <c r="L946" s="1462"/>
      <c r="M946" s="1462"/>
      <c r="N946" s="1462"/>
      <c r="O946" s="1462"/>
      <c r="P946" s="1462"/>
      <c r="Q946" s="1462"/>
      <c r="R946" s="1462"/>
      <c r="S946" s="1462"/>
      <c r="T946" s="1462"/>
      <c r="U946" s="1462"/>
      <c r="V946" s="1462"/>
      <c r="W946" s="1462"/>
      <c r="X946" s="1462"/>
      <c r="Y946" s="1462"/>
      <c r="Z946" s="1462"/>
      <c r="AA946" s="1462"/>
    </row>
    <row r="947">
      <c r="A947" s="1493"/>
      <c r="B947" s="1494"/>
      <c r="C947" s="1493"/>
      <c r="D947" s="1493"/>
      <c r="E947" s="1495"/>
      <c r="F947" s="1462"/>
      <c r="G947" s="1462"/>
      <c r="H947" s="1462"/>
      <c r="I947" s="1462"/>
      <c r="J947" s="1462"/>
      <c r="K947" s="1462"/>
      <c r="L947" s="1462"/>
      <c r="M947" s="1462"/>
      <c r="N947" s="1462"/>
      <c r="O947" s="1462"/>
      <c r="P947" s="1462"/>
      <c r="Q947" s="1462"/>
      <c r="R947" s="1462"/>
      <c r="S947" s="1462"/>
      <c r="T947" s="1462"/>
      <c r="U947" s="1462"/>
      <c r="V947" s="1462"/>
      <c r="W947" s="1462"/>
      <c r="X947" s="1462"/>
      <c r="Y947" s="1462"/>
      <c r="Z947" s="1462"/>
      <c r="AA947" s="1462"/>
    </row>
    <row r="948">
      <c r="A948" s="1493"/>
      <c r="B948" s="1494"/>
      <c r="C948" s="1493"/>
      <c r="D948" s="1493"/>
      <c r="E948" s="1495"/>
      <c r="F948" s="1462"/>
      <c r="G948" s="1462"/>
      <c r="H948" s="1462"/>
      <c r="I948" s="1462"/>
      <c r="J948" s="1462"/>
      <c r="K948" s="1462"/>
      <c r="L948" s="1462"/>
      <c r="M948" s="1462"/>
      <c r="N948" s="1462"/>
      <c r="O948" s="1462"/>
      <c r="P948" s="1462"/>
      <c r="Q948" s="1462"/>
      <c r="R948" s="1462"/>
      <c r="S948" s="1462"/>
      <c r="T948" s="1462"/>
      <c r="U948" s="1462"/>
      <c r="V948" s="1462"/>
      <c r="W948" s="1462"/>
      <c r="X948" s="1462"/>
      <c r="Y948" s="1462"/>
      <c r="Z948" s="1462"/>
      <c r="AA948" s="1462"/>
    </row>
    <row r="949">
      <c r="A949" s="1493"/>
      <c r="B949" s="1494"/>
      <c r="C949" s="1493"/>
      <c r="D949" s="1493"/>
      <c r="E949" s="1495"/>
      <c r="F949" s="1462"/>
      <c r="G949" s="1462"/>
      <c r="H949" s="1462"/>
      <c r="I949" s="1462"/>
      <c r="J949" s="1462"/>
      <c r="K949" s="1462"/>
      <c r="L949" s="1462"/>
      <c r="M949" s="1462"/>
      <c r="N949" s="1462"/>
      <c r="O949" s="1462"/>
      <c r="P949" s="1462"/>
      <c r="Q949" s="1462"/>
      <c r="R949" s="1462"/>
      <c r="S949" s="1462"/>
      <c r="T949" s="1462"/>
      <c r="U949" s="1462"/>
      <c r="V949" s="1462"/>
      <c r="W949" s="1462"/>
      <c r="X949" s="1462"/>
      <c r="Y949" s="1462"/>
      <c r="Z949" s="1462"/>
      <c r="AA949" s="1462"/>
    </row>
    <row r="950">
      <c r="A950" s="1493"/>
      <c r="B950" s="1494"/>
      <c r="C950" s="1493"/>
      <c r="D950" s="1493"/>
      <c r="E950" s="1495"/>
      <c r="F950" s="1462"/>
      <c r="G950" s="1462"/>
      <c r="H950" s="1462"/>
      <c r="I950" s="1462"/>
      <c r="J950" s="1462"/>
      <c r="K950" s="1462"/>
      <c r="L950" s="1462"/>
      <c r="M950" s="1462"/>
      <c r="N950" s="1462"/>
      <c r="O950" s="1462"/>
      <c r="P950" s="1462"/>
      <c r="Q950" s="1462"/>
      <c r="R950" s="1462"/>
      <c r="S950" s="1462"/>
      <c r="T950" s="1462"/>
      <c r="U950" s="1462"/>
      <c r="V950" s="1462"/>
      <c r="W950" s="1462"/>
      <c r="X950" s="1462"/>
      <c r="Y950" s="1462"/>
      <c r="Z950" s="1462"/>
      <c r="AA950" s="1462"/>
    </row>
    <row r="951">
      <c r="A951" s="1493"/>
      <c r="B951" s="1494"/>
      <c r="C951" s="1493"/>
      <c r="D951" s="1493"/>
      <c r="E951" s="1495"/>
      <c r="F951" s="1462"/>
      <c r="G951" s="1462"/>
      <c r="H951" s="1462"/>
      <c r="I951" s="1462"/>
      <c r="J951" s="1462"/>
      <c r="K951" s="1462"/>
      <c r="L951" s="1462"/>
      <c r="M951" s="1462"/>
      <c r="N951" s="1462"/>
      <c r="O951" s="1462"/>
      <c r="P951" s="1462"/>
      <c r="Q951" s="1462"/>
      <c r="R951" s="1462"/>
      <c r="S951" s="1462"/>
      <c r="T951" s="1462"/>
      <c r="U951" s="1462"/>
      <c r="V951" s="1462"/>
      <c r="W951" s="1462"/>
      <c r="X951" s="1462"/>
      <c r="Y951" s="1462"/>
      <c r="Z951" s="1462"/>
      <c r="AA951" s="1462"/>
    </row>
    <row r="952">
      <c r="A952" s="1493"/>
      <c r="B952" s="1494"/>
      <c r="C952" s="1493"/>
      <c r="D952" s="1493"/>
      <c r="E952" s="1495"/>
      <c r="F952" s="1462"/>
      <c r="G952" s="1462"/>
      <c r="H952" s="1462"/>
      <c r="I952" s="1462"/>
      <c r="J952" s="1462"/>
      <c r="K952" s="1462"/>
      <c r="L952" s="1462"/>
      <c r="M952" s="1462"/>
      <c r="N952" s="1462"/>
      <c r="O952" s="1462"/>
      <c r="P952" s="1462"/>
      <c r="Q952" s="1462"/>
      <c r="R952" s="1462"/>
      <c r="S952" s="1462"/>
      <c r="T952" s="1462"/>
      <c r="U952" s="1462"/>
      <c r="V952" s="1462"/>
      <c r="W952" s="1462"/>
      <c r="X952" s="1462"/>
      <c r="Y952" s="1462"/>
      <c r="Z952" s="1462"/>
      <c r="AA952" s="1462"/>
    </row>
    <row r="953">
      <c r="A953" s="1493"/>
      <c r="B953" s="1494"/>
      <c r="C953" s="1493"/>
      <c r="D953" s="1493"/>
      <c r="E953" s="1495"/>
      <c r="F953" s="1462"/>
      <c r="G953" s="1462"/>
      <c r="H953" s="1462"/>
      <c r="I953" s="1462"/>
      <c r="J953" s="1462"/>
      <c r="K953" s="1462"/>
      <c r="L953" s="1462"/>
      <c r="M953" s="1462"/>
      <c r="N953" s="1462"/>
      <c r="O953" s="1462"/>
      <c r="P953" s="1462"/>
      <c r="Q953" s="1462"/>
      <c r="R953" s="1462"/>
      <c r="S953" s="1462"/>
      <c r="T953" s="1462"/>
      <c r="U953" s="1462"/>
      <c r="V953" s="1462"/>
      <c r="W953" s="1462"/>
      <c r="X953" s="1462"/>
      <c r="Y953" s="1462"/>
      <c r="Z953" s="1462"/>
      <c r="AA953" s="1462"/>
    </row>
    <row r="954">
      <c r="A954" s="1493"/>
      <c r="B954" s="1494"/>
      <c r="C954" s="1493"/>
      <c r="D954" s="1493"/>
      <c r="E954" s="1495"/>
      <c r="F954" s="1462"/>
      <c r="G954" s="1462"/>
      <c r="H954" s="1462"/>
      <c r="I954" s="1462"/>
      <c r="J954" s="1462"/>
      <c r="K954" s="1462"/>
      <c r="L954" s="1462"/>
      <c r="M954" s="1462"/>
      <c r="N954" s="1462"/>
      <c r="O954" s="1462"/>
      <c r="P954" s="1462"/>
      <c r="Q954" s="1462"/>
      <c r="R954" s="1462"/>
      <c r="S954" s="1462"/>
      <c r="T954" s="1462"/>
      <c r="U954" s="1462"/>
      <c r="V954" s="1462"/>
      <c r="W954" s="1462"/>
      <c r="X954" s="1462"/>
      <c r="Y954" s="1462"/>
      <c r="Z954" s="1462"/>
      <c r="AA954" s="1462"/>
    </row>
    <row r="955">
      <c r="A955" s="1493"/>
      <c r="B955" s="1494"/>
      <c r="C955" s="1493"/>
      <c r="D955" s="1493"/>
      <c r="E955" s="1495"/>
      <c r="F955" s="1462"/>
      <c r="G955" s="1462"/>
      <c r="H955" s="1462"/>
      <c r="I955" s="1462"/>
      <c r="J955" s="1462"/>
      <c r="K955" s="1462"/>
      <c r="L955" s="1462"/>
      <c r="M955" s="1462"/>
      <c r="N955" s="1462"/>
      <c r="O955" s="1462"/>
      <c r="P955" s="1462"/>
      <c r="Q955" s="1462"/>
      <c r="R955" s="1462"/>
      <c r="S955" s="1462"/>
      <c r="T955" s="1462"/>
      <c r="U955" s="1462"/>
      <c r="V955" s="1462"/>
      <c r="W955" s="1462"/>
      <c r="X955" s="1462"/>
      <c r="Y955" s="1462"/>
      <c r="Z955" s="1462"/>
      <c r="AA955" s="1462"/>
    </row>
    <row r="956">
      <c r="A956" s="1493"/>
      <c r="B956" s="1494"/>
      <c r="C956" s="1493"/>
      <c r="D956" s="1493"/>
      <c r="E956" s="1495"/>
      <c r="F956" s="1462"/>
      <c r="G956" s="1462"/>
      <c r="H956" s="1462"/>
      <c r="I956" s="1462"/>
      <c r="J956" s="1462"/>
      <c r="K956" s="1462"/>
      <c r="L956" s="1462"/>
      <c r="M956" s="1462"/>
      <c r="N956" s="1462"/>
      <c r="O956" s="1462"/>
      <c r="P956" s="1462"/>
      <c r="Q956" s="1462"/>
      <c r="R956" s="1462"/>
      <c r="S956" s="1462"/>
      <c r="T956" s="1462"/>
      <c r="U956" s="1462"/>
      <c r="V956" s="1462"/>
      <c r="W956" s="1462"/>
      <c r="X956" s="1462"/>
      <c r="Y956" s="1462"/>
      <c r="Z956" s="1462"/>
      <c r="AA956" s="1462"/>
    </row>
    <row r="957">
      <c r="A957" s="1493"/>
      <c r="B957" s="1494"/>
      <c r="C957" s="1493"/>
      <c r="D957" s="1493"/>
      <c r="E957" s="1495"/>
      <c r="F957" s="1462"/>
      <c r="G957" s="1462"/>
      <c r="H957" s="1462"/>
      <c r="I957" s="1462"/>
      <c r="J957" s="1462"/>
      <c r="K957" s="1462"/>
      <c r="L957" s="1462"/>
      <c r="M957" s="1462"/>
      <c r="N957" s="1462"/>
      <c r="O957" s="1462"/>
      <c r="P957" s="1462"/>
      <c r="Q957" s="1462"/>
      <c r="R957" s="1462"/>
      <c r="S957" s="1462"/>
      <c r="T957" s="1462"/>
      <c r="U957" s="1462"/>
      <c r="V957" s="1462"/>
      <c r="W957" s="1462"/>
      <c r="X957" s="1462"/>
      <c r="Y957" s="1462"/>
      <c r="Z957" s="1462"/>
      <c r="AA957" s="1462"/>
    </row>
    <row r="958">
      <c r="A958" s="1493"/>
      <c r="B958" s="1494"/>
      <c r="C958" s="1493"/>
      <c r="D958" s="1493"/>
      <c r="E958" s="1495"/>
      <c r="F958" s="1462"/>
      <c r="G958" s="1462"/>
      <c r="H958" s="1462"/>
      <c r="I958" s="1462"/>
      <c r="J958" s="1462"/>
      <c r="K958" s="1462"/>
      <c r="L958" s="1462"/>
      <c r="M958" s="1462"/>
      <c r="N958" s="1462"/>
      <c r="O958" s="1462"/>
      <c r="P958" s="1462"/>
      <c r="Q958" s="1462"/>
      <c r="R958" s="1462"/>
      <c r="S958" s="1462"/>
      <c r="T958" s="1462"/>
      <c r="U958" s="1462"/>
      <c r="V958" s="1462"/>
      <c r="W958" s="1462"/>
      <c r="X958" s="1462"/>
      <c r="Y958" s="1462"/>
      <c r="Z958" s="1462"/>
      <c r="AA958" s="1462"/>
    </row>
    <row r="959">
      <c r="A959" s="1493"/>
      <c r="B959" s="1494"/>
      <c r="C959" s="1493"/>
      <c r="D959" s="1493"/>
      <c r="E959" s="1495"/>
      <c r="F959" s="1462"/>
      <c r="G959" s="1462"/>
      <c r="H959" s="1462"/>
      <c r="I959" s="1462"/>
      <c r="J959" s="1462"/>
      <c r="K959" s="1462"/>
      <c r="L959" s="1462"/>
      <c r="M959" s="1462"/>
      <c r="N959" s="1462"/>
      <c r="O959" s="1462"/>
      <c r="P959" s="1462"/>
      <c r="Q959" s="1462"/>
      <c r="R959" s="1462"/>
      <c r="S959" s="1462"/>
      <c r="T959" s="1462"/>
      <c r="U959" s="1462"/>
      <c r="V959" s="1462"/>
      <c r="W959" s="1462"/>
      <c r="X959" s="1462"/>
      <c r="Y959" s="1462"/>
      <c r="Z959" s="1462"/>
      <c r="AA959" s="1462"/>
    </row>
    <row r="960">
      <c r="A960" s="1493"/>
      <c r="B960" s="1494"/>
      <c r="C960" s="1493"/>
      <c r="D960" s="1493"/>
      <c r="E960" s="1495"/>
      <c r="F960" s="1462"/>
      <c r="G960" s="1462"/>
      <c r="H960" s="1462"/>
      <c r="I960" s="1462"/>
      <c r="J960" s="1462"/>
      <c r="K960" s="1462"/>
      <c r="L960" s="1462"/>
      <c r="M960" s="1462"/>
      <c r="N960" s="1462"/>
      <c r="O960" s="1462"/>
      <c r="P960" s="1462"/>
      <c r="Q960" s="1462"/>
      <c r="R960" s="1462"/>
      <c r="S960" s="1462"/>
      <c r="T960" s="1462"/>
      <c r="U960" s="1462"/>
      <c r="V960" s="1462"/>
      <c r="W960" s="1462"/>
      <c r="X960" s="1462"/>
      <c r="Y960" s="1462"/>
      <c r="Z960" s="1462"/>
      <c r="AA960" s="1462"/>
    </row>
    <row r="961">
      <c r="A961" s="1493"/>
      <c r="B961" s="1494"/>
      <c r="C961" s="1493"/>
      <c r="D961" s="1493"/>
      <c r="E961" s="1495"/>
      <c r="F961" s="1462"/>
      <c r="G961" s="1462"/>
      <c r="H961" s="1462"/>
      <c r="I961" s="1462"/>
      <c r="J961" s="1462"/>
      <c r="K961" s="1462"/>
      <c r="L961" s="1462"/>
      <c r="M961" s="1462"/>
      <c r="N961" s="1462"/>
      <c r="O961" s="1462"/>
      <c r="P961" s="1462"/>
      <c r="Q961" s="1462"/>
      <c r="R961" s="1462"/>
      <c r="S961" s="1462"/>
      <c r="T961" s="1462"/>
      <c r="U961" s="1462"/>
      <c r="V961" s="1462"/>
      <c r="W961" s="1462"/>
      <c r="X961" s="1462"/>
      <c r="Y961" s="1462"/>
      <c r="Z961" s="1462"/>
      <c r="AA961" s="1462"/>
    </row>
    <row r="962">
      <c r="A962" s="1493"/>
      <c r="B962" s="1494"/>
      <c r="C962" s="1493"/>
      <c r="D962" s="1493"/>
      <c r="E962" s="1495"/>
      <c r="F962" s="1462"/>
      <c r="G962" s="1462"/>
      <c r="H962" s="1462"/>
      <c r="I962" s="1462"/>
      <c r="J962" s="1462"/>
      <c r="K962" s="1462"/>
      <c r="L962" s="1462"/>
      <c r="M962" s="1462"/>
      <c r="N962" s="1462"/>
      <c r="O962" s="1462"/>
      <c r="P962" s="1462"/>
      <c r="Q962" s="1462"/>
      <c r="R962" s="1462"/>
      <c r="S962" s="1462"/>
      <c r="T962" s="1462"/>
      <c r="U962" s="1462"/>
      <c r="V962" s="1462"/>
      <c r="W962" s="1462"/>
      <c r="X962" s="1462"/>
      <c r="Y962" s="1462"/>
      <c r="Z962" s="1462"/>
      <c r="AA962" s="1462"/>
    </row>
    <row r="963">
      <c r="A963" s="1493"/>
      <c r="B963" s="1494"/>
      <c r="C963" s="1493"/>
      <c r="D963" s="1493"/>
      <c r="E963" s="1495"/>
      <c r="F963" s="1462"/>
      <c r="G963" s="1462"/>
      <c r="H963" s="1462"/>
      <c r="I963" s="1462"/>
      <c r="J963" s="1462"/>
      <c r="K963" s="1462"/>
      <c r="L963" s="1462"/>
      <c r="M963" s="1462"/>
      <c r="N963" s="1462"/>
      <c r="O963" s="1462"/>
      <c r="P963" s="1462"/>
      <c r="Q963" s="1462"/>
      <c r="R963" s="1462"/>
      <c r="S963" s="1462"/>
      <c r="T963" s="1462"/>
      <c r="U963" s="1462"/>
      <c r="V963" s="1462"/>
      <c r="W963" s="1462"/>
      <c r="X963" s="1462"/>
      <c r="Y963" s="1462"/>
      <c r="Z963" s="1462"/>
      <c r="AA963" s="1462"/>
    </row>
    <row r="964">
      <c r="A964" s="1493"/>
      <c r="B964" s="1494"/>
      <c r="C964" s="1493"/>
      <c r="D964" s="1493"/>
      <c r="E964" s="1495"/>
      <c r="F964" s="1462"/>
      <c r="G964" s="1462"/>
      <c r="H964" s="1462"/>
      <c r="I964" s="1462"/>
      <c r="J964" s="1462"/>
      <c r="K964" s="1462"/>
      <c r="L964" s="1462"/>
      <c r="M964" s="1462"/>
      <c r="N964" s="1462"/>
      <c r="O964" s="1462"/>
      <c r="P964" s="1462"/>
      <c r="Q964" s="1462"/>
      <c r="R964" s="1462"/>
      <c r="S964" s="1462"/>
      <c r="T964" s="1462"/>
      <c r="U964" s="1462"/>
      <c r="V964" s="1462"/>
      <c r="W964" s="1462"/>
      <c r="X964" s="1462"/>
      <c r="Y964" s="1462"/>
      <c r="Z964" s="1462"/>
      <c r="AA964" s="1462"/>
    </row>
    <row r="965">
      <c r="A965" s="1493"/>
      <c r="B965" s="1494"/>
      <c r="C965" s="1493"/>
      <c r="D965" s="1493"/>
      <c r="E965" s="1495"/>
      <c r="F965" s="1462"/>
      <c r="G965" s="1462"/>
      <c r="H965" s="1462"/>
      <c r="I965" s="1462"/>
      <c r="J965" s="1462"/>
      <c r="K965" s="1462"/>
      <c r="L965" s="1462"/>
      <c r="M965" s="1462"/>
      <c r="N965" s="1462"/>
      <c r="O965" s="1462"/>
      <c r="P965" s="1462"/>
      <c r="Q965" s="1462"/>
      <c r="R965" s="1462"/>
      <c r="S965" s="1462"/>
      <c r="T965" s="1462"/>
      <c r="U965" s="1462"/>
      <c r="V965" s="1462"/>
      <c r="W965" s="1462"/>
      <c r="X965" s="1462"/>
      <c r="Y965" s="1462"/>
      <c r="Z965" s="1462"/>
      <c r="AA965" s="1462"/>
    </row>
    <row r="966">
      <c r="A966" s="1493"/>
      <c r="B966" s="1494"/>
      <c r="C966" s="1493"/>
      <c r="D966" s="1493"/>
      <c r="E966" s="1495"/>
      <c r="F966" s="1462"/>
      <c r="G966" s="1462"/>
      <c r="H966" s="1462"/>
      <c r="I966" s="1462"/>
      <c r="J966" s="1462"/>
      <c r="K966" s="1462"/>
      <c r="L966" s="1462"/>
      <c r="M966" s="1462"/>
      <c r="N966" s="1462"/>
      <c r="O966" s="1462"/>
      <c r="P966" s="1462"/>
      <c r="Q966" s="1462"/>
      <c r="R966" s="1462"/>
      <c r="S966" s="1462"/>
      <c r="T966" s="1462"/>
      <c r="U966" s="1462"/>
      <c r="V966" s="1462"/>
      <c r="W966" s="1462"/>
      <c r="X966" s="1462"/>
      <c r="Y966" s="1462"/>
      <c r="Z966" s="1462"/>
      <c r="AA966" s="1462"/>
    </row>
    <row r="967">
      <c r="A967" s="1493"/>
      <c r="B967" s="1494"/>
      <c r="C967" s="1493"/>
      <c r="D967" s="1493"/>
      <c r="E967" s="1495"/>
      <c r="F967" s="1462"/>
      <c r="G967" s="1462"/>
      <c r="H967" s="1462"/>
      <c r="I967" s="1462"/>
      <c r="J967" s="1462"/>
      <c r="K967" s="1462"/>
      <c r="L967" s="1462"/>
      <c r="M967" s="1462"/>
      <c r="N967" s="1462"/>
      <c r="O967" s="1462"/>
      <c r="P967" s="1462"/>
      <c r="Q967" s="1462"/>
      <c r="R967" s="1462"/>
      <c r="S967" s="1462"/>
      <c r="T967" s="1462"/>
      <c r="U967" s="1462"/>
      <c r="V967" s="1462"/>
      <c r="W967" s="1462"/>
      <c r="X967" s="1462"/>
      <c r="Y967" s="1462"/>
      <c r="Z967" s="1462"/>
      <c r="AA967" s="1462"/>
    </row>
    <row r="968">
      <c r="A968" s="1493"/>
      <c r="B968" s="1494"/>
      <c r="C968" s="1493"/>
      <c r="D968" s="1493"/>
      <c r="E968" s="1495"/>
      <c r="F968" s="1462"/>
      <c r="G968" s="1462"/>
      <c r="H968" s="1462"/>
      <c r="I968" s="1462"/>
      <c r="J968" s="1462"/>
      <c r="K968" s="1462"/>
      <c r="L968" s="1462"/>
      <c r="M968" s="1462"/>
      <c r="N968" s="1462"/>
      <c r="O968" s="1462"/>
      <c r="P968" s="1462"/>
      <c r="Q968" s="1462"/>
      <c r="R968" s="1462"/>
      <c r="S968" s="1462"/>
      <c r="T968" s="1462"/>
      <c r="U968" s="1462"/>
      <c r="V968" s="1462"/>
      <c r="W968" s="1462"/>
      <c r="X968" s="1462"/>
      <c r="Y968" s="1462"/>
      <c r="Z968" s="1462"/>
      <c r="AA968" s="1462"/>
    </row>
    <row r="969">
      <c r="A969" s="1493"/>
      <c r="B969" s="1494"/>
      <c r="C969" s="1493"/>
      <c r="D969" s="1493"/>
      <c r="E969" s="1495"/>
      <c r="F969" s="1462"/>
      <c r="G969" s="1462"/>
      <c r="H969" s="1462"/>
      <c r="I969" s="1462"/>
      <c r="J969" s="1462"/>
      <c r="K969" s="1462"/>
      <c r="L969" s="1462"/>
      <c r="M969" s="1462"/>
      <c r="N969" s="1462"/>
      <c r="O969" s="1462"/>
      <c r="P969" s="1462"/>
      <c r="Q969" s="1462"/>
      <c r="R969" s="1462"/>
      <c r="S969" s="1462"/>
      <c r="T969" s="1462"/>
      <c r="U969" s="1462"/>
      <c r="V969" s="1462"/>
      <c r="W969" s="1462"/>
      <c r="X969" s="1462"/>
      <c r="Y969" s="1462"/>
      <c r="Z969" s="1462"/>
      <c r="AA969" s="1462"/>
    </row>
    <row r="970">
      <c r="A970" s="1493"/>
      <c r="B970" s="1494"/>
      <c r="C970" s="1493"/>
      <c r="D970" s="1493"/>
      <c r="E970" s="1495"/>
      <c r="F970" s="1462"/>
      <c r="G970" s="1462"/>
      <c r="H970" s="1462"/>
      <c r="I970" s="1462"/>
      <c r="J970" s="1462"/>
      <c r="K970" s="1462"/>
      <c r="L970" s="1462"/>
      <c r="M970" s="1462"/>
      <c r="N970" s="1462"/>
      <c r="O970" s="1462"/>
      <c r="P970" s="1462"/>
      <c r="Q970" s="1462"/>
      <c r="R970" s="1462"/>
      <c r="S970" s="1462"/>
      <c r="T970" s="1462"/>
      <c r="U970" s="1462"/>
      <c r="V970" s="1462"/>
      <c r="W970" s="1462"/>
      <c r="X970" s="1462"/>
      <c r="Y970" s="1462"/>
      <c r="Z970" s="1462"/>
      <c r="AA970" s="1462"/>
    </row>
    <row r="971">
      <c r="A971" s="1493"/>
      <c r="B971" s="1494"/>
      <c r="C971" s="1493"/>
      <c r="D971" s="1493"/>
      <c r="E971" s="1495"/>
      <c r="F971" s="1462"/>
      <c r="G971" s="1462"/>
      <c r="H971" s="1462"/>
      <c r="I971" s="1462"/>
      <c r="J971" s="1462"/>
      <c r="K971" s="1462"/>
      <c r="L971" s="1462"/>
      <c r="M971" s="1462"/>
      <c r="N971" s="1462"/>
      <c r="O971" s="1462"/>
      <c r="P971" s="1462"/>
      <c r="Q971" s="1462"/>
      <c r="R971" s="1462"/>
      <c r="S971" s="1462"/>
      <c r="T971" s="1462"/>
      <c r="U971" s="1462"/>
      <c r="V971" s="1462"/>
      <c r="W971" s="1462"/>
      <c r="X971" s="1462"/>
      <c r="Y971" s="1462"/>
      <c r="Z971" s="1462"/>
      <c r="AA971" s="1462"/>
    </row>
    <row r="972">
      <c r="A972" s="1493"/>
      <c r="B972" s="1494"/>
      <c r="C972" s="1493"/>
      <c r="D972" s="1493"/>
      <c r="E972" s="1495"/>
      <c r="F972" s="1462"/>
      <c r="G972" s="1462"/>
      <c r="H972" s="1462"/>
      <c r="I972" s="1462"/>
      <c r="J972" s="1462"/>
      <c r="K972" s="1462"/>
      <c r="L972" s="1462"/>
      <c r="M972" s="1462"/>
      <c r="N972" s="1462"/>
      <c r="O972" s="1462"/>
      <c r="P972" s="1462"/>
      <c r="Q972" s="1462"/>
      <c r="R972" s="1462"/>
      <c r="S972" s="1462"/>
      <c r="T972" s="1462"/>
      <c r="U972" s="1462"/>
      <c r="V972" s="1462"/>
      <c r="W972" s="1462"/>
      <c r="X972" s="1462"/>
      <c r="Y972" s="1462"/>
      <c r="Z972" s="1462"/>
      <c r="AA972" s="1462"/>
    </row>
    <row r="973">
      <c r="A973" s="1493"/>
      <c r="B973" s="1494"/>
      <c r="C973" s="1493"/>
      <c r="D973" s="1493"/>
      <c r="E973" s="1495"/>
      <c r="F973" s="1462"/>
      <c r="G973" s="1462"/>
      <c r="H973" s="1462"/>
      <c r="I973" s="1462"/>
      <c r="J973" s="1462"/>
      <c r="K973" s="1462"/>
      <c r="L973" s="1462"/>
      <c r="M973" s="1462"/>
      <c r="N973" s="1462"/>
      <c r="O973" s="1462"/>
      <c r="P973" s="1462"/>
      <c r="Q973" s="1462"/>
      <c r="R973" s="1462"/>
      <c r="S973" s="1462"/>
      <c r="T973" s="1462"/>
      <c r="U973" s="1462"/>
      <c r="V973" s="1462"/>
      <c r="W973" s="1462"/>
      <c r="X973" s="1462"/>
      <c r="Y973" s="1462"/>
      <c r="Z973" s="1462"/>
      <c r="AA973" s="1462"/>
    </row>
    <row r="974">
      <c r="A974" s="1493"/>
      <c r="B974" s="1494"/>
      <c r="C974" s="1493"/>
      <c r="D974" s="1493"/>
      <c r="E974" s="1495"/>
      <c r="F974" s="1462"/>
      <c r="G974" s="1462"/>
      <c r="H974" s="1462"/>
      <c r="I974" s="1462"/>
      <c r="J974" s="1462"/>
      <c r="K974" s="1462"/>
      <c r="L974" s="1462"/>
      <c r="M974" s="1462"/>
      <c r="N974" s="1462"/>
      <c r="O974" s="1462"/>
      <c r="P974" s="1462"/>
      <c r="Q974" s="1462"/>
      <c r="R974" s="1462"/>
      <c r="S974" s="1462"/>
      <c r="T974" s="1462"/>
      <c r="U974" s="1462"/>
      <c r="V974" s="1462"/>
      <c r="W974" s="1462"/>
      <c r="X974" s="1462"/>
      <c r="Y974" s="1462"/>
      <c r="Z974" s="1462"/>
      <c r="AA974" s="1462"/>
    </row>
    <row r="975">
      <c r="A975" s="1493"/>
      <c r="B975" s="1494"/>
      <c r="C975" s="1493"/>
      <c r="D975" s="1493"/>
      <c r="E975" s="1495"/>
      <c r="F975" s="1462"/>
      <c r="G975" s="1462"/>
      <c r="H975" s="1462"/>
      <c r="I975" s="1462"/>
      <c r="J975" s="1462"/>
      <c r="K975" s="1462"/>
      <c r="L975" s="1462"/>
      <c r="M975" s="1462"/>
      <c r="N975" s="1462"/>
      <c r="O975" s="1462"/>
      <c r="P975" s="1462"/>
      <c r="Q975" s="1462"/>
      <c r="R975" s="1462"/>
      <c r="S975" s="1462"/>
      <c r="T975" s="1462"/>
      <c r="U975" s="1462"/>
      <c r="V975" s="1462"/>
      <c r="W975" s="1462"/>
      <c r="X975" s="1462"/>
      <c r="Y975" s="1462"/>
      <c r="Z975" s="1462"/>
      <c r="AA975" s="1462"/>
    </row>
    <row r="976">
      <c r="A976" s="1493"/>
      <c r="B976" s="1494"/>
      <c r="C976" s="1493"/>
      <c r="D976" s="1493"/>
      <c r="E976" s="1495"/>
      <c r="F976" s="1462"/>
      <c r="G976" s="1462"/>
      <c r="H976" s="1462"/>
      <c r="I976" s="1462"/>
      <c r="J976" s="1462"/>
      <c r="K976" s="1462"/>
      <c r="L976" s="1462"/>
      <c r="M976" s="1462"/>
      <c r="N976" s="1462"/>
      <c r="O976" s="1462"/>
      <c r="P976" s="1462"/>
      <c r="Q976" s="1462"/>
      <c r="R976" s="1462"/>
      <c r="S976" s="1462"/>
      <c r="T976" s="1462"/>
      <c r="U976" s="1462"/>
      <c r="V976" s="1462"/>
      <c r="W976" s="1462"/>
      <c r="X976" s="1462"/>
      <c r="Y976" s="1462"/>
      <c r="Z976" s="1462"/>
      <c r="AA976" s="1462"/>
    </row>
    <row r="977">
      <c r="A977" s="1493"/>
      <c r="B977" s="1494"/>
      <c r="C977" s="1493"/>
      <c r="D977" s="1493"/>
      <c r="E977" s="1495"/>
      <c r="F977" s="1462"/>
      <c r="G977" s="1462"/>
      <c r="H977" s="1462"/>
      <c r="I977" s="1462"/>
      <c r="J977" s="1462"/>
      <c r="K977" s="1462"/>
      <c r="L977" s="1462"/>
      <c r="M977" s="1462"/>
      <c r="N977" s="1462"/>
      <c r="O977" s="1462"/>
      <c r="P977" s="1462"/>
      <c r="Q977" s="1462"/>
      <c r="R977" s="1462"/>
      <c r="S977" s="1462"/>
      <c r="T977" s="1462"/>
      <c r="U977" s="1462"/>
      <c r="V977" s="1462"/>
      <c r="W977" s="1462"/>
      <c r="X977" s="1462"/>
      <c r="Y977" s="1462"/>
      <c r="Z977" s="1462"/>
      <c r="AA977" s="1462"/>
    </row>
    <row r="978">
      <c r="A978" s="1493"/>
      <c r="B978" s="1494"/>
      <c r="C978" s="1493"/>
      <c r="D978" s="1493"/>
      <c r="E978" s="1495"/>
      <c r="F978" s="1462"/>
      <c r="G978" s="1462"/>
      <c r="H978" s="1462"/>
      <c r="I978" s="1462"/>
      <c r="J978" s="1462"/>
      <c r="K978" s="1462"/>
      <c r="L978" s="1462"/>
      <c r="M978" s="1462"/>
      <c r="N978" s="1462"/>
      <c r="O978" s="1462"/>
      <c r="P978" s="1462"/>
      <c r="Q978" s="1462"/>
      <c r="R978" s="1462"/>
      <c r="S978" s="1462"/>
      <c r="T978" s="1462"/>
      <c r="U978" s="1462"/>
      <c r="V978" s="1462"/>
      <c r="W978" s="1462"/>
      <c r="X978" s="1462"/>
      <c r="Y978" s="1462"/>
      <c r="Z978" s="1462"/>
      <c r="AA978" s="1462"/>
    </row>
    <row r="979">
      <c r="A979" s="1493"/>
      <c r="B979" s="1494"/>
      <c r="C979" s="1493"/>
      <c r="D979" s="1493"/>
      <c r="E979" s="1495"/>
      <c r="F979" s="1462"/>
      <c r="G979" s="1462"/>
      <c r="H979" s="1462"/>
      <c r="I979" s="1462"/>
      <c r="J979" s="1462"/>
      <c r="K979" s="1462"/>
      <c r="L979" s="1462"/>
      <c r="M979" s="1462"/>
      <c r="N979" s="1462"/>
      <c r="O979" s="1462"/>
      <c r="P979" s="1462"/>
      <c r="Q979" s="1462"/>
      <c r="R979" s="1462"/>
      <c r="S979" s="1462"/>
      <c r="T979" s="1462"/>
      <c r="U979" s="1462"/>
      <c r="V979" s="1462"/>
      <c r="W979" s="1462"/>
      <c r="X979" s="1462"/>
      <c r="Y979" s="1462"/>
      <c r="Z979" s="1462"/>
      <c r="AA979" s="1462"/>
    </row>
    <row r="980">
      <c r="A980" s="1493"/>
      <c r="B980" s="1494"/>
      <c r="C980" s="1493"/>
      <c r="D980" s="1493"/>
      <c r="E980" s="1495"/>
      <c r="F980" s="1462"/>
      <c r="G980" s="1462"/>
      <c r="H980" s="1462"/>
      <c r="I980" s="1462"/>
      <c r="J980" s="1462"/>
      <c r="K980" s="1462"/>
      <c r="L980" s="1462"/>
      <c r="M980" s="1462"/>
      <c r="N980" s="1462"/>
      <c r="O980" s="1462"/>
      <c r="P980" s="1462"/>
      <c r="Q980" s="1462"/>
      <c r="R980" s="1462"/>
      <c r="S980" s="1462"/>
      <c r="T980" s="1462"/>
      <c r="U980" s="1462"/>
      <c r="V980" s="1462"/>
      <c r="W980" s="1462"/>
      <c r="X980" s="1462"/>
      <c r="Y980" s="1462"/>
      <c r="Z980" s="1462"/>
      <c r="AA980" s="1462"/>
    </row>
    <row r="981">
      <c r="A981" s="1493"/>
      <c r="B981" s="1494"/>
      <c r="C981" s="1493"/>
      <c r="D981" s="1493"/>
      <c r="E981" s="1495"/>
      <c r="F981" s="1462"/>
      <c r="G981" s="1462"/>
      <c r="H981" s="1462"/>
      <c r="I981" s="1462"/>
      <c r="J981" s="1462"/>
      <c r="K981" s="1462"/>
      <c r="L981" s="1462"/>
      <c r="M981" s="1462"/>
      <c r="N981" s="1462"/>
      <c r="O981" s="1462"/>
      <c r="P981" s="1462"/>
      <c r="Q981" s="1462"/>
      <c r="R981" s="1462"/>
      <c r="S981" s="1462"/>
      <c r="T981" s="1462"/>
      <c r="U981" s="1462"/>
      <c r="V981" s="1462"/>
      <c r="W981" s="1462"/>
      <c r="X981" s="1462"/>
      <c r="Y981" s="1462"/>
      <c r="Z981" s="1462"/>
      <c r="AA981" s="1462"/>
    </row>
    <row r="982">
      <c r="A982" s="1493"/>
      <c r="B982" s="1494"/>
      <c r="C982" s="1493"/>
      <c r="D982" s="1493"/>
      <c r="E982" s="1495"/>
      <c r="F982" s="1462"/>
      <c r="G982" s="1462"/>
      <c r="H982" s="1462"/>
      <c r="I982" s="1462"/>
      <c r="J982" s="1462"/>
      <c r="K982" s="1462"/>
      <c r="L982" s="1462"/>
      <c r="M982" s="1462"/>
      <c r="N982" s="1462"/>
      <c r="O982" s="1462"/>
      <c r="P982" s="1462"/>
      <c r="Q982" s="1462"/>
      <c r="R982" s="1462"/>
      <c r="S982" s="1462"/>
      <c r="T982" s="1462"/>
      <c r="U982" s="1462"/>
      <c r="V982" s="1462"/>
      <c r="W982" s="1462"/>
      <c r="X982" s="1462"/>
      <c r="Y982" s="1462"/>
      <c r="Z982" s="1462"/>
      <c r="AA982" s="1462"/>
    </row>
    <row r="983">
      <c r="A983" s="1493"/>
      <c r="B983" s="1494"/>
      <c r="C983" s="1493"/>
      <c r="D983" s="1493"/>
      <c r="E983" s="1495"/>
      <c r="F983" s="1462"/>
      <c r="G983" s="1462"/>
      <c r="H983" s="1462"/>
      <c r="I983" s="1462"/>
      <c r="J983" s="1462"/>
      <c r="K983" s="1462"/>
      <c r="L983" s="1462"/>
      <c r="M983" s="1462"/>
      <c r="N983" s="1462"/>
      <c r="O983" s="1462"/>
      <c r="P983" s="1462"/>
      <c r="Q983" s="1462"/>
      <c r="R983" s="1462"/>
      <c r="S983" s="1462"/>
      <c r="T983" s="1462"/>
      <c r="U983" s="1462"/>
      <c r="V983" s="1462"/>
      <c r="W983" s="1462"/>
      <c r="X983" s="1462"/>
      <c r="Y983" s="1462"/>
      <c r="Z983" s="1462"/>
      <c r="AA983" s="1462"/>
    </row>
    <row r="984">
      <c r="A984" s="1493"/>
      <c r="B984" s="1494"/>
      <c r="C984" s="1493"/>
      <c r="D984" s="1493"/>
      <c r="E984" s="1495"/>
      <c r="F984" s="1462"/>
      <c r="G984" s="1462"/>
      <c r="H984" s="1462"/>
      <c r="I984" s="1462"/>
      <c r="J984" s="1462"/>
      <c r="K984" s="1462"/>
      <c r="L984" s="1462"/>
      <c r="M984" s="1462"/>
      <c r="N984" s="1462"/>
      <c r="O984" s="1462"/>
      <c r="P984" s="1462"/>
      <c r="Q984" s="1462"/>
      <c r="R984" s="1462"/>
      <c r="S984" s="1462"/>
      <c r="T984" s="1462"/>
      <c r="U984" s="1462"/>
      <c r="V984" s="1462"/>
      <c r="W984" s="1462"/>
      <c r="X984" s="1462"/>
      <c r="Y984" s="1462"/>
      <c r="Z984" s="1462"/>
      <c r="AA984" s="1462"/>
    </row>
    <row r="985">
      <c r="A985" s="1493"/>
      <c r="B985" s="1494"/>
      <c r="C985" s="1493"/>
      <c r="D985" s="1493"/>
      <c r="E985" s="1495"/>
      <c r="F985" s="1462"/>
      <c r="G985" s="1462"/>
      <c r="H985" s="1462"/>
      <c r="I985" s="1462"/>
      <c r="J985" s="1462"/>
      <c r="K985" s="1462"/>
      <c r="L985" s="1462"/>
      <c r="M985" s="1462"/>
      <c r="N985" s="1462"/>
      <c r="O985" s="1462"/>
      <c r="P985" s="1462"/>
      <c r="Q985" s="1462"/>
      <c r="R985" s="1462"/>
      <c r="S985" s="1462"/>
      <c r="T985" s="1462"/>
      <c r="U985" s="1462"/>
      <c r="V985" s="1462"/>
      <c r="W985" s="1462"/>
      <c r="X985" s="1462"/>
      <c r="Y985" s="1462"/>
      <c r="Z985" s="1462"/>
      <c r="AA985" s="1462"/>
    </row>
    <row r="986">
      <c r="A986" s="1493"/>
      <c r="B986" s="1494"/>
      <c r="C986" s="1493"/>
      <c r="D986" s="1493"/>
      <c r="E986" s="1495"/>
      <c r="F986" s="1462"/>
      <c r="G986" s="1462"/>
      <c r="H986" s="1462"/>
      <c r="I986" s="1462"/>
      <c r="J986" s="1462"/>
      <c r="K986" s="1462"/>
      <c r="L986" s="1462"/>
      <c r="M986" s="1462"/>
      <c r="N986" s="1462"/>
      <c r="O986" s="1462"/>
      <c r="P986" s="1462"/>
      <c r="Q986" s="1462"/>
      <c r="R986" s="1462"/>
      <c r="S986" s="1462"/>
      <c r="T986" s="1462"/>
      <c r="U986" s="1462"/>
      <c r="V986" s="1462"/>
      <c r="W986" s="1462"/>
      <c r="X986" s="1462"/>
      <c r="Y986" s="1462"/>
      <c r="Z986" s="1462"/>
      <c r="AA986" s="1462"/>
    </row>
    <row r="987">
      <c r="A987" s="1493"/>
      <c r="B987" s="1494"/>
      <c r="C987" s="1493"/>
      <c r="D987" s="1493"/>
      <c r="E987" s="1495"/>
      <c r="F987" s="1462"/>
      <c r="G987" s="1462"/>
      <c r="H987" s="1462"/>
      <c r="I987" s="1462"/>
      <c r="J987" s="1462"/>
      <c r="K987" s="1462"/>
      <c r="L987" s="1462"/>
      <c r="M987" s="1462"/>
      <c r="N987" s="1462"/>
      <c r="O987" s="1462"/>
      <c r="P987" s="1462"/>
      <c r="Q987" s="1462"/>
      <c r="R987" s="1462"/>
      <c r="S987" s="1462"/>
      <c r="T987" s="1462"/>
      <c r="U987" s="1462"/>
      <c r="V987" s="1462"/>
      <c r="W987" s="1462"/>
      <c r="X987" s="1462"/>
      <c r="Y987" s="1462"/>
      <c r="Z987" s="1462"/>
      <c r="AA987" s="1462"/>
    </row>
    <row r="988">
      <c r="A988" s="1493"/>
      <c r="B988" s="1494"/>
      <c r="C988" s="1493"/>
      <c r="D988" s="1493"/>
      <c r="E988" s="1495"/>
      <c r="F988" s="1462"/>
      <c r="G988" s="1462"/>
      <c r="H988" s="1462"/>
      <c r="I988" s="1462"/>
      <c r="J988" s="1462"/>
      <c r="K988" s="1462"/>
      <c r="L988" s="1462"/>
      <c r="M988" s="1462"/>
      <c r="N988" s="1462"/>
      <c r="O988" s="1462"/>
      <c r="P988" s="1462"/>
      <c r="Q988" s="1462"/>
      <c r="R988" s="1462"/>
      <c r="S988" s="1462"/>
      <c r="T988" s="1462"/>
      <c r="U988" s="1462"/>
      <c r="V988" s="1462"/>
      <c r="W988" s="1462"/>
      <c r="X988" s="1462"/>
      <c r="Y988" s="1462"/>
      <c r="Z988" s="1462"/>
      <c r="AA988" s="1462"/>
    </row>
    <row r="989">
      <c r="A989" s="1493"/>
      <c r="B989" s="1494"/>
      <c r="C989" s="1493"/>
      <c r="D989" s="1493"/>
      <c r="E989" s="1495"/>
      <c r="F989" s="1462"/>
      <c r="G989" s="1462"/>
      <c r="H989" s="1462"/>
      <c r="I989" s="1462"/>
      <c r="J989" s="1462"/>
      <c r="K989" s="1462"/>
      <c r="L989" s="1462"/>
      <c r="M989" s="1462"/>
      <c r="N989" s="1462"/>
      <c r="O989" s="1462"/>
      <c r="P989" s="1462"/>
      <c r="Q989" s="1462"/>
      <c r="R989" s="1462"/>
      <c r="S989" s="1462"/>
      <c r="T989" s="1462"/>
      <c r="U989" s="1462"/>
      <c r="V989" s="1462"/>
      <c r="W989" s="1462"/>
      <c r="X989" s="1462"/>
      <c r="Y989" s="1462"/>
      <c r="Z989" s="1462"/>
      <c r="AA989" s="1462"/>
    </row>
    <row r="990">
      <c r="A990" s="1493"/>
      <c r="B990" s="1494"/>
      <c r="C990" s="1493"/>
      <c r="D990" s="1493"/>
      <c r="E990" s="1495"/>
      <c r="F990" s="1462"/>
      <c r="G990" s="1462"/>
      <c r="H990" s="1462"/>
      <c r="I990" s="1462"/>
      <c r="J990" s="1462"/>
      <c r="K990" s="1462"/>
      <c r="L990" s="1462"/>
      <c r="M990" s="1462"/>
      <c r="N990" s="1462"/>
      <c r="O990" s="1462"/>
      <c r="P990" s="1462"/>
      <c r="Q990" s="1462"/>
      <c r="R990" s="1462"/>
      <c r="S990" s="1462"/>
      <c r="T990" s="1462"/>
      <c r="U990" s="1462"/>
      <c r="V990" s="1462"/>
      <c r="W990" s="1462"/>
      <c r="X990" s="1462"/>
      <c r="Y990" s="1462"/>
      <c r="Z990" s="1462"/>
      <c r="AA990" s="1462"/>
    </row>
    <row r="991">
      <c r="A991" s="1493"/>
      <c r="B991" s="1494"/>
      <c r="C991" s="1493"/>
      <c r="D991" s="1493"/>
      <c r="E991" s="1495"/>
      <c r="F991" s="1462"/>
      <c r="G991" s="1462"/>
      <c r="H991" s="1462"/>
      <c r="I991" s="1462"/>
      <c r="J991" s="1462"/>
      <c r="K991" s="1462"/>
      <c r="L991" s="1462"/>
      <c r="M991" s="1462"/>
      <c r="N991" s="1462"/>
      <c r="O991" s="1462"/>
      <c r="P991" s="1462"/>
      <c r="Q991" s="1462"/>
      <c r="R991" s="1462"/>
      <c r="S991" s="1462"/>
      <c r="T991" s="1462"/>
      <c r="U991" s="1462"/>
      <c r="V991" s="1462"/>
      <c r="W991" s="1462"/>
      <c r="X991" s="1462"/>
      <c r="Y991" s="1462"/>
      <c r="Z991" s="1462"/>
      <c r="AA991" s="1462"/>
    </row>
    <row r="992">
      <c r="A992" s="1493"/>
      <c r="B992" s="1494"/>
      <c r="C992" s="1493"/>
      <c r="D992" s="1493"/>
      <c r="E992" s="1495"/>
      <c r="F992" s="1462"/>
      <c r="G992" s="1462"/>
      <c r="H992" s="1462"/>
      <c r="I992" s="1462"/>
      <c r="J992" s="1462"/>
      <c r="K992" s="1462"/>
      <c r="L992" s="1462"/>
      <c r="M992" s="1462"/>
      <c r="N992" s="1462"/>
      <c r="O992" s="1462"/>
      <c r="P992" s="1462"/>
      <c r="Q992" s="1462"/>
      <c r="R992" s="1462"/>
      <c r="S992" s="1462"/>
      <c r="T992" s="1462"/>
      <c r="U992" s="1462"/>
      <c r="V992" s="1462"/>
      <c r="W992" s="1462"/>
      <c r="X992" s="1462"/>
      <c r="Y992" s="1462"/>
      <c r="Z992" s="1462"/>
      <c r="AA992" s="1462"/>
    </row>
    <row r="993">
      <c r="A993" s="1493"/>
      <c r="B993" s="1494"/>
      <c r="C993" s="1493"/>
      <c r="D993" s="1493"/>
      <c r="E993" s="1495"/>
      <c r="F993" s="1462"/>
      <c r="G993" s="1462"/>
      <c r="H993" s="1462"/>
      <c r="I993" s="1462"/>
      <c r="J993" s="1462"/>
      <c r="K993" s="1462"/>
      <c r="L993" s="1462"/>
      <c r="M993" s="1462"/>
      <c r="N993" s="1462"/>
      <c r="O993" s="1462"/>
      <c r="P993" s="1462"/>
      <c r="Q993" s="1462"/>
      <c r="R993" s="1462"/>
      <c r="S993" s="1462"/>
      <c r="T993" s="1462"/>
      <c r="U993" s="1462"/>
      <c r="V993" s="1462"/>
      <c r="W993" s="1462"/>
      <c r="X993" s="1462"/>
      <c r="Y993" s="1462"/>
      <c r="Z993" s="1462"/>
      <c r="AA993" s="1462"/>
    </row>
    <row r="994">
      <c r="A994" s="1493"/>
      <c r="B994" s="1494"/>
      <c r="C994" s="1493"/>
      <c r="D994" s="1493"/>
      <c r="E994" s="1495"/>
      <c r="F994" s="1462"/>
      <c r="G994" s="1462"/>
      <c r="H994" s="1462"/>
      <c r="I994" s="1462"/>
      <c r="J994" s="1462"/>
      <c r="K994" s="1462"/>
      <c r="L994" s="1462"/>
      <c r="M994" s="1462"/>
      <c r="N994" s="1462"/>
      <c r="O994" s="1462"/>
      <c r="P994" s="1462"/>
      <c r="Q994" s="1462"/>
      <c r="R994" s="1462"/>
      <c r="S994" s="1462"/>
      <c r="T994" s="1462"/>
      <c r="U994" s="1462"/>
      <c r="V994" s="1462"/>
      <c r="W994" s="1462"/>
      <c r="X994" s="1462"/>
      <c r="Y994" s="1462"/>
      <c r="Z994" s="1462"/>
      <c r="AA994" s="1462"/>
    </row>
    <row r="995">
      <c r="A995" s="1493"/>
      <c r="B995" s="1494"/>
      <c r="C995" s="1493"/>
      <c r="D995" s="1493"/>
      <c r="E995" s="1495"/>
      <c r="F995" s="1462"/>
      <c r="G995" s="1462"/>
      <c r="H995" s="1462"/>
      <c r="I995" s="1462"/>
      <c r="J995" s="1462"/>
      <c r="K995" s="1462"/>
      <c r="L995" s="1462"/>
      <c r="M995" s="1462"/>
      <c r="N995" s="1462"/>
      <c r="O995" s="1462"/>
      <c r="P995" s="1462"/>
      <c r="Q995" s="1462"/>
      <c r="R995" s="1462"/>
      <c r="S995" s="1462"/>
      <c r="T995" s="1462"/>
      <c r="U995" s="1462"/>
      <c r="V995" s="1462"/>
      <c r="W995" s="1462"/>
      <c r="X995" s="1462"/>
      <c r="Y995" s="1462"/>
      <c r="Z995" s="1462"/>
      <c r="AA995" s="1462"/>
    </row>
    <row r="996">
      <c r="A996" s="1493"/>
      <c r="B996" s="1494"/>
      <c r="C996" s="1493"/>
      <c r="D996" s="1493"/>
      <c r="E996" s="1495"/>
      <c r="F996" s="1462"/>
      <c r="G996" s="1462"/>
      <c r="H996" s="1462"/>
      <c r="I996" s="1462"/>
      <c r="J996" s="1462"/>
      <c r="K996" s="1462"/>
      <c r="L996" s="1462"/>
      <c r="M996" s="1462"/>
      <c r="N996" s="1462"/>
      <c r="O996" s="1462"/>
      <c r="P996" s="1462"/>
      <c r="Q996" s="1462"/>
      <c r="R996" s="1462"/>
      <c r="S996" s="1462"/>
      <c r="T996" s="1462"/>
      <c r="U996" s="1462"/>
      <c r="V996" s="1462"/>
      <c r="W996" s="1462"/>
      <c r="X996" s="1462"/>
      <c r="Y996" s="1462"/>
      <c r="Z996" s="1462"/>
      <c r="AA996" s="1462"/>
    </row>
    <row r="997">
      <c r="A997" s="1493"/>
      <c r="B997" s="1494"/>
      <c r="C997" s="1493"/>
      <c r="D997" s="1493"/>
      <c r="E997" s="1495"/>
      <c r="F997" s="1462"/>
      <c r="G997" s="1462"/>
      <c r="H997" s="1462"/>
      <c r="I997" s="1462"/>
      <c r="J997" s="1462"/>
      <c r="K997" s="1462"/>
      <c r="L997" s="1462"/>
      <c r="M997" s="1462"/>
      <c r="N997" s="1462"/>
      <c r="O997" s="1462"/>
      <c r="P997" s="1462"/>
      <c r="Q997" s="1462"/>
      <c r="R997" s="1462"/>
      <c r="S997" s="1462"/>
      <c r="T997" s="1462"/>
      <c r="U997" s="1462"/>
      <c r="V997" s="1462"/>
      <c r="W997" s="1462"/>
      <c r="X997" s="1462"/>
      <c r="Y997" s="1462"/>
      <c r="Z997" s="1462"/>
      <c r="AA997" s="1462"/>
    </row>
    <row r="998">
      <c r="A998" s="1493"/>
      <c r="B998" s="1494"/>
      <c r="C998" s="1493"/>
      <c r="D998" s="1493"/>
      <c r="E998" s="1495"/>
      <c r="F998" s="1462"/>
      <c r="G998" s="1462"/>
      <c r="H998" s="1462"/>
      <c r="I998" s="1462"/>
      <c r="J998" s="1462"/>
      <c r="K998" s="1462"/>
      <c r="L998" s="1462"/>
      <c r="M998" s="1462"/>
      <c r="N998" s="1462"/>
      <c r="O998" s="1462"/>
      <c r="P998" s="1462"/>
      <c r="Q998" s="1462"/>
      <c r="R998" s="1462"/>
      <c r="S998" s="1462"/>
      <c r="T998" s="1462"/>
      <c r="U998" s="1462"/>
      <c r="V998" s="1462"/>
      <c r="W998" s="1462"/>
      <c r="X998" s="1462"/>
      <c r="Y998" s="1462"/>
      <c r="Z998" s="1462"/>
      <c r="AA998" s="1462"/>
    </row>
    <row r="999">
      <c r="A999" s="1493"/>
      <c r="B999" s="1494"/>
      <c r="C999" s="1493"/>
      <c r="D999" s="1493"/>
      <c r="E999" s="1495"/>
      <c r="F999" s="1462"/>
      <c r="G999" s="1462"/>
      <c r="H999" s="1462"/>
      <c r="I999" s="1462"/>
      <c r="J999" s="1462"/>
      <c r="K999" s="1462"/>
      <c r="L999" s="1462"/>
      <c r="M999" s="1462"/>
      <c r="N999" s="1462"/>
      <c r="O999" s="1462"/>
      <c r="P999" s="1462"/>
      <c r="Q999" s="1462"/>
      <c r="R999" s="1462"/>
      <c r="S999" s="1462"/>
      <c r="T999" s="1462"/>
      <c r="U999" s="1462"/>
      <c r="V999" s="1462"/>
      <c r="W999" s="1462"/>
      <c r="X999" s="1462"/>
      <c r="Y999" s="1462"/>
      <c r="Z999" s="1462"/>
      <c r="AA999" s="1462"/>
    </row>
    <row r="1000">
      <c r="A1000" s="1493"/>
      <c r="B1000" s="1494"/>
      <c r="C1000" s="1493"/>
      <c r="D1000" s="1493"/>
      <c r="E1000" s="1495"/>
      <c r="F1000" s="1462"/>
      <c r="G1000" s="1462"/>
      <c r="H1000" s="1462"/>
      <c r="I1000" s="1462"/>
      <c r="J1000" s="1462"/>
      <c r="K1000" s="1462"/>
      <c r="L1000" s="1462"/>
      <c r="M1000" s="1462"/>
      <c r="N1000" s="1462"/>
      <c r="O1000" s="1462"/>
      <c r="P1000" s="1462"/>
      <c r="Q1000" s="1462"/>
      <c r="R1000" s="1462"/>
      <c r="S1000" s="1462"/>
      <c r="T1000" s="1462"/>
      <c r="U1000" s="1462"/>
      <c r="V1000" s="1462"/>
      <c r="W1000" s="1462"/>
      <c r="X1000" s="1462"/>
      <c r="Y1000" s="1462"/>
      <c r="Z1000" s="1462"/>
      <c r="AA1000" s="1462"/>
    </row>
    <row r="1001">
      <c r="A1001" s="1493"/>
      <c r="B1001" s="1494"/>
      <c r="C1001" s="1493"/>
      <c r="D1001" s="1493"/>
      <c r="E1001" s="1495"/>
      <c r="F1001" s="1462"/>
      <c r="G1001" s="1462"/>
      <c r="H1001" s="1462"/>
      <c r="I1001" s="1462"/>
      <c r="J1001" s="1462"/>
      <c r="K1001" s="1462"/>
      <c r="L1001" s="1462"/>
      <c r="M1001" s="1462"/>
      <c r="N1001" s="1462"/>
      <c r="O1001" s="1462"/>
      <c r="P1001" s="1462"/>
      <c r="Q1001" s="1462"/>
      <c r="R1001" s="1462"/>
      <c r="S1001" s="1462"/>
      <c r="T1001" s="1462"/>
      <c r="U1001" s="1462"/>
      <c r="V1001" s="1462"/>
      <c r="W1001" s="1462"/>
      <c r="X1001" s="1462"/>
      <c r="Y1001" s="1462"/>
      <c r="Z1001" s="1462"/>
      <c r="AA1001" s="1462"/>
    </row>
    <row r="1002">
      <c r="A1002" s="1493"/>
      <c r="B1002" s="1494"/>
      <c r="C1002" s="1493"/>
      <c r="D1002" s="1493"/>
      <c r="E1002" s="1495"/>
      <c r="F1002" s="1462"/>
      <c r="G1002" s="1462"/>
      <c r="H1002" s="1462"/>
      <c r="I1002" s="1462"/>
      <c r="J1002" s="1462"/>
      <c r="K1002" s="1462"/>
      <c r="L1002" s="1462"/>
      <c r="M1002" s="1462"/>
      <c r="N1002" s="1462"/>
      <c r="O1002" s="1462"/>
      <c r="P1002" s="1462"/>
      <c r="Q1002" s="1462"/>
      <c r="R1002" s="1462"/>
      <c r="S1002" s="1462"/>
      <c r="T1002" s="1462"/>
      <c r="U1002" s="1462"/>
      <c r="V1002" s="1462"/>
      <c r="W1002" s="1462"/>
      <c r="X1002" s="1462"/>
      <c r="Y1002" s="1462"/>
      <c r="Z1002" s="1462"/>
      <c r="AA1002" s="1462"/>
    </row>
    <row r="1003">
      <c r="A1003" s="1493"/>
      <c r="B1003" s="1494"/>
      <c r="C1003" s="1493"/>
      <c r="D1003" s="1493"/>
      <c r="E1003" s="1495"/>
      <c r="F1003" s="1462"/>
      <c r="G1003" s="1462"/>
      <c r="H1003" s="1462"/>
      <c r="I1003" s="1462"/>
      <c r="J1003" s="1462"/>
      <c r="K1003" s="1462"/>
      <c r="L1003" s="1462"/>
      <c r="M1003" s="1462"/>
      <c r="N1003" s="1462"/>
      <c r="O1003" s="1462"/>
      <c r="P1003" s="1462"/>
      <c r="Q1003" s="1462"/>
      <c r="R1003" s="1462"/>
      <c r="S1003" s="1462"/>
      <c r="T1003" s="1462"/>
      <c r="U1003" s="1462"/>
      <c r="V1003" s="1462"/>
      <c r="W1003" s="1462"/>
      <c r="X1003" s="1462"/>
      <c r="Y1003" s="1462"/>
      <c r="Z1003" s="1462"/>
      <c r="AA1003" s="1462"/>
    </row>
    <row r="1004">
      <c r="A1004" s="1493"/>
      <c r="B1004" s="1494"/>
      <c r="C1004" s="1493"/>
      <c r="D1004" s="1493"/>
      <c r="E1004" s="1495"/>
      <c r="F1004" s="1462"/>
      <c r="G1004" s="1462"/>
      <c r="H1004" s="1462"/>
      <c r="I1004" s="1462"/>
      <c r="J1004" s="1462"/>
      <c r="K1004" s="1462"/>
      <c r="L1004" s="1462"/>
      <c r="M1004" s="1462"/>
      <c r="N1004" s="1462"/>
      <c r="O1004" s="1462"/>
      <c r="P1004" s="1462"/>
      <c r="Q1004" s="1462"/>
      <c r="R1004" s="1462"/>
      <c r="S1004" s="1462"/>
      <c r="T1004" s="1462"/>
      <c r="U1004" s="1462"/>
      <c r="V1004" s="1462"/>
      <c r="W1004" s="1462"/>
      <c r="X1004" s="1462"/>
      <c r="Y1004" s="1462"/>
      <c r="Z1004" s="1462"/>
      <c r="AA1004" s="1462"/>
    </row>
    <row r="1005">
      <c r="A1005" s="1493"/>
      <c r="B1005" s="1494"/>
      <c r="C1005" s="1493"/>
      <c r="D1005" s="1493"/>
      <c r="E1005" s="1495"/>
      <c r="F1005" s="1462"/>
      <c r="G1005" s="1462"/>
      <c r="H1005" s="1462"/>
      <c r="I1005" s="1462"/>
      <c r="J1005" s="1462"/>
      <c r="K1005" s="1462"/>
      <c r="L1005" s="1462"/>
      <c r="M1005" s="1462"/>
      <c r="N1005" s="1462"/>
      <c r="O1005" s="1462"/>
      <c r="P1005" s="1462"/>
      <c r="Q1005" s="1462"/>
      <c r="R1005" s="1462"/>
      <c r="S1005" s="1462"/>
      <c r="T1005" s="1462"/>
      <c r="U1005" s="1462"/>
      <c r="V1005" s="1462"/>
      <c r="W1005" s="1462"/>
      <c r="X1005" s="1462"/>
      <c r="Y1005" s="1462"/>
      <c r="Z1005" s="1462"/>
      <c r="AA1005" s="1462"/>
    </row>
    <row r="1006">
      <c r="A1006" s="1493"/>
      <c r="B1006" s="1494"/>
      <c r="C1006" s="1493"/>
      <c r="D1006" s="1493"/>
      <c r="E1006" s="1495"/>
      <c r="F1006" s="1462"/>
      <c r="G1006" s="1462"/>
      <c r="H1006" s="1462"/>
      <c r="I1006" s="1462"/>
      <c r="J1006" s="1462"/>
      <c r="K1006" s="1462"/>
      <c r="L1006" s="1462"/>
      <c r="M1006" s="1462"/>
      <c r="N1006" s="1462"/>
      <c r="O1006" s="1462"/>
      <c r="P1006" s="1462"/>
      <c r="Q1006" s="1462"/>
      <c r="R1006" s="1462"/>
      <c r="S1006" s="1462"/>
      <c r="T1006" s="1462"/>
      <c r="U1006" s="1462"/>
      <c r="V1006" s="1462"/>
      <c r="W1006" s="1462"/>
      <c r="X1006" s="1462"/>
      <c r="Y1006" s="1462"/>
      <c r="Z1006" s="1462"/>
      <c r="AA1006" s="1462"/>
    </row>
    <row r="1007">
      <c r="A1007" s="1493"/>
      <c r="B1007" s="1494"/>
      <c r="C1007" s="1493"/>
      <c r="D1007" s="1493"/>
      <c r="E1007" s="1495"/>
      <c r="F1007" s="1462"/>
      <c r="G1007" s="1462"/>
      <c r="H1007" s="1462"/>
      <c r="I1007" s="1462"/>
      <c r="J1007" s="1462"/>
      <c r="K1007" s="1462"/>
      <c r="L1007" s="1462"/>
      <c r="M1007" s="1462"/>
      <c r="N1007" s="1462"/>
      <c r="O1007" s="1462"/>
      <c r="P1007" s="1462"/>
      <c r="Q1007" s="1462"/>
      <c r="R1007" s="1462"/>
      <c r="S1007" s="1462"/>
      <c r="T1007" s="1462"/>
      <c r="U1007" s="1462"/>
      <c r="V1007" s="1462"/>
      <c r="W1007" s="1462"/>
      <c r="X1007" s="1462"/>
      <c r="Y1007" s="1462"/>
      <c r="Z1007" s="1462"/>
      <c r="AA1007" s="1462"/>
    </row>
    <row r="1008">
      <c r="A1008" s="1493"/>
      <c r="B1008" s="1494"/>
      <c r="C1008" s="1493"/>
      <c r="D1008" s="1493"/>
      <c r="E1008" s="1495"/>
      <c r="F1008" s="1462"/>
      <c r="G1008" s="1462"/>
      <c r="H1008" s="1462"/>
      <c r="I1008" s="1462"/>
      <c r="J1008" s="1462"/>
      <c r="K1008" s="1462"/>
      <c r="L1008" s="1462"/>
      <c r="M1008" s="1462"/>
      <c r="N1008" s="1462"/>
      <c r="O1008" s="1462"/>
      <c r="P1008" s="1462"/>
      <c r="Q1008" s="1462"/>
      <c r="R1008" s="1462"/>
      <c r="S1008" s="1462"/>
      <c r="T1008" s="1462"/>
      <c r="U1008" s="1462"/>
      <c r="V1008" s="1462"/>
      <c r="W1008" s="1462"/>
      <c r="X1008" s="1462"/>
      <c r="Y1008" s="1462"/>
      <c r="Z1008" s="1462"/>
      <c r="AA1008" s="1462"/>
    </row>
    <row r="1009">
      <c r="A1009" s="1493"/>
      <c r="B1009" s="1494"/>
      <c r="C1009" s="1493"/>
      <c r="D1009" s="1493"/>
      <c r="E1009" s="1495"/>
      <c r="F1009" s="1462"/>
      <c r="G1009" s="1462"/>
      <c r="H1009" s="1462"/>
      <c r="I1009" s="1462"/>
      <c r="J1009" s="1462"/>
      <c r="K1009" s="1462"/>
      <c r="L1009" s="1462"/>
      <c r="M1009" s="1462"/>
      <c r="N1009" s="1462"/>
      <c r="O1009" s="1462"/>
      <c r="P1009" s="1462"/>
      <c r="Q1009" s="1462"/>
      <c r="R1009" s="1462"/>
      <c r="S1009" s="1462"/>
      <c r="T1009" s="1462"/>
      <c r="U1009" s="1462"/>
      <c r="V1009" s="1462"/>
      <c r="W1009" s="1462"/>
      <c r="X1009" s="1462"/>
      <c r="Y1009" s="1462"/>
      <c r="Z1009" s="1462"/>
      <c r="AA1009" s="1462"/>
    </row>
    <row r="1010">
      <c r="A1010" s="1493"/>
      <c r="B1010" s="1494"/>
      <c r="C1010" s="1493"/>
      <c r="D1010" s="1493"/>
      <c r="E1010" s="1495"/>
      <c r="F1010" s="1462"/>
      <c r="G1010" s="1462"/>
      <c r="H1010" s="1462"/>
      <c r="I1010" s="1462"/>
      <c r="J1010" s="1462"/>
      <c r="K1010" s="1462"/>
      <c r="L1010" s="1462"/>
      <c r="M1010" s="1462"/>
      <c r="N1010" s="1462"/>
      <c r="O1010" s="1462"/>
      <c r="P1010" s="1462"/>
      <c r="Q1010" s="1462"/>
      <c r="R1010" s="1462"/>
      <c r="S1010" s="1462"/>
      <c r="T1010" s="1462"/>
      <c r="U1010" s="1462"/>
      <c r="V1010" s="1462"/>
      <c r="W1010" s="1462"/>
      <c r="X1010" s="1462"/>
      <c r="Y1010" s="1462"/>
      <c r="Z1010" s="1462"/>
      <c r="AA1010" s="1462"/>
    </row>
    <row r="1011">
      <c r="A1011" s="1493"/>
      <c r="B1011" s="1494"/>
      <c r="C1011" s="1493"/>
      <c r="D1011" s="1493"/>
      <c r="E1011" s="1495"/>
      <c r="F1011" s="1462"/>
      <c r="G1011" s="1462"/>
      <c r="H1011" s="1462"/>
      <c r="I1011" s="1462"/>
      <c r="J1011" s="1462"/>
      <c r="K1011" s="1462"/>
      <c r="L1011" s="1462"/>
      <c r="M1011" s="1462"/>
      <c r="N1011" s="1462"/>
      <c r="O1011" s="1462"/>
      <c r="P1011" s="1462"/>
      <c r="Q1011" s="1462"/>
      <c r="R1011" s="1462"/>
      <c r="S1011" s="1462"/>
      <c r="T1011" s="1462"/>
      <c r="U1011" s="1462"/>
      <c r="V1011" s="1462"/>
      <c r="W1011" s="1462"/>
      <c r="X1011" s="1462"/>
      <c r="Y1011" s="1462"/>
      <c r="Z1011" s="1462"/>
      <c r="AA1011" s="1462"/>
    </row>
    <row r="1012">
      <c r="A1012" s="1493"/>
      <c r="B1012" s="1494"/>
      <c r="C1012" s="1493"/>
      <c r="D1012" s="1493"/>
      <c r="E1012" s="1495"/>
      <c r="F1012" s="1462"/>
      <c r="G1012" s="1462"/>
      <c r="H1012" s="1462"/>
      <c r="I1012" s="1462"/>
      <c r="J1012" s="1462"/>
      <c r="K1012" s="1462"/>
      <c r="L1012" s="1462"/>
      <c r="M1012" s="1462"/>
      <c r="N1012" s="1462"/>
      <c r="O1012" s="1462"/>
      <c r="P1012" s="1462"/>
      <c r="Q1012" s="1462"/>
      <c r="R1012" s="1462"/>
      <c r="S1012" s="1462"/>
      <c r="T1012" s="1462"/>
      <c r="U1012" s="1462"/>
      <c r="V1012" s="1462"/>
      <c r="W1012" s="1462"/>
      <c r="X1012" s="1462"/>
      <c r="Y1012" s="1462"/>
      <c r="Z1012" s="1462"/>
      <c r="AA1012" s="1462"/>
    </row>
    <row r="1013">
      <c r="A1013" s="1493"/>
      <c r="B1013" s="1494"/>
      <c r="C1013" s="1493"/>
      <c r="D1013" s="1493"/>
      <c r="E1013" s="1495"/>
      <c r="F1013" s="1462"/>
      <c r="G1013" s="1462"/>
      <c r="H1013" s="1462"/>
      <c r="I1013" s="1462"/>
      <c r="J1013" s="1462"/>
      <c r="K1013" s="1462"/>
      <c r="L1013" s="1462"/>
      <c r="M1013" s="1462"/>
      <c r="N1013" s="1462"/>
      <c r="O1013" s="1462"/>
      <c r="P1013" s="1462"/>
      <c r="Q1013" s="1462"/>
      <c r="R1013" s="1462"/>
      <c r="S1013" s="1462"/>
      <c r="T1013" s="1462"/>
      <c r="U1013" s="1462"/>
      <c r="V1013" s="1462"/>
      <c r="W1013" s="1462"/>
      <c r="X1013" s="1462"/>
      <c r="Y1013" s="1462"/>
      <c r="Z1013" s="1462"/>
      <c r="AA1013" s="1462"/>
    </row>
    <row r="1014">
      <c r="A1014" s="1493"/>
      <c r="B1014" s="1494"/>
      <c r="C1014" s="1493"/>
      <c r="D1014" s="1493"/>
      <c r="E1014" s="1495"/>
      <c r="F1014" s="1462"/>
      <c r="G1014" s="1462"/>
      <c r="H1014" s="1462"/>
      <c r="I1014" s="1462"/>
      <c r="J1014" s="1462"/>
      <c r="K1014" s="1462"/>
      <c r="L1014" s="1462"/>
      <c r="M1014" s="1462"/>
      <c r="N1014" s="1462"/>
      <c r="O1014" s="1462"/>
      <c r="P1014" s="1462"/>
      <c r="Q1014" s="1462"/>
      <c r="R1014" s="1462"/>
      <c r="S1014" s="1462"/>
      <c r="T1014" s="1462"/>
      <c r="U1014" s="1462"/>
      <c r="V1014" s="1462"/>
      <c r="W1014" s="1462"/>
      <c r="X1014" s="1462"/>
      <c r="Y1014" s="1462"/>
      <c r="Z1014" s="1462"/>
      <c r="AA1014" s="1462"/>
    </row>
    <row r="1015">
      <c r="A1015" s="1493"/>
      <c r="B1015" s="1494"/>
      <c r="C1015" s="1493"/>
      <c r="D1015" s="1493"/>
      <c r="E1015" s="1495"/>
      <c r="F1015" s="1462"/>
      <c r="G1015" s="1462"/>
      <c r="H1015" s="1462"/>
      <c r="I1015" s="1462"/>
      <c r="J1015" s="1462"/>
      <c r="K1015" s="1462"/>
      <c r="L1015" s="1462"/>
      <c r="M1015" s="1462"/>
      <c r="N1015" s="1462"/>
      <c r="O1015" s="1462"/>
      <c r="P1015" s="1462"/>
      <c r="Q1015" s="1462"/>
      <c r="R1015" s="1462"/>
      <c r="S1015" s="1462"/>
      <c r="T1015" s="1462"/>
      <c r="U1015" s="1462"/>
      <c r="V1015" s="1462"/>
      <c r="W1015" s="1462"/>
      <c r="X1015" s="1462"/>
      <c r="Y1015" s="1462"/>
      <c r="Z1015" s="1462"/>
      <c r="AA1015" s="1462"/>
    </row>
    <row r="1016">
      <c r="A1016" s="1493"/>
      <c r="B1016" s="1494"/>
      <c r="C1016" s="1493"/>
      <c r="D1016" s="1493"/>
      <c r="E1016" s="1495"/>
      <c r="F1016" s="1462"/>
      <c r="G1016" s="1462"/>
      <c r="H1016" s="1462"/>
      <c r="I1016" s="1462"/>
      <c r="J1016" s="1462"/>
      <c r="K1016" s="1462"/>
      <c r="L1016" s="1462"/>
      <c r="M1016" s="1462"/>
      <c r="N1016" s="1462"/>
      <c r="O1016" s="1462"/>
      <c r="P1016" s="1462"/>
      <c r="Q1016" s="1462"/>
      <c r="R1016" s="1462"/>
      <c r="S1016" s="1462"/>
      <c r="T1016" s="1462"/>
      <c r="U1016" s="1462"/>
      <c r="V1016" s="1462"/>
      <c r="W1016" s="1462"/>
      <c r="X1016" s="1462"/>
      <c r="Y1016" s="1462"/>
      <c r="Z1016" s="1462"/>
      <c r="AA1016" s="1462"/>
    </row>
    <row r="1017">
      <c r="A1017" s="1493"/>
      <c r="B1017" s="1494"/>
      <c r="C1017" s="1493"/>
      <c r="D1017" s="1493"/>
      <c r="E1017" s="1495"/>
      <c r="F1017" s="1462"/>
      <c r="G1017" s="1462"/>
      <c r="H1017" s="1462"/>
      <c r="I1017" s="1462"/>
      <c r="J1017" s="1462"/>
      <c r="K1017" s="1462"/>
      <c r="L1017" s="1462"/>
      <c r="M1017" s="1462"/>
      <c r="N1017" s="1462"/>
      <c r="O1017" s="1462"/>
      <c r="P1017" s="1462"/>
      <c r="Q1017" s="1462"/>
      <c r="R1017" s="1462"/>
      <c r="S1017" s="1462"/>
      <c r="T1017" s="1462"/>
      <c r="U1017" s="1462"/>
      <c r="V1017" s="1462"/>
      <c r="W1017" s="1462"/>
      <c r="X1017" s="1462"/>
      <c r="Y1017" s="1462"/>
      <c r="Z1017" s="1462"/>
      <c r="AA1017" s="1462"/>
    </row>
    <row r="1018">
      <c r="A1018" s="1493"/>
      <c r="B1018" s="1494"/>
      <c r="C1018" s="1493"/>
      <c r="D1018" s="1493"/>
      <c r="E1018" s="1495"/>
      <c r="F1018" s="1462"/>
      <c r="G1018" s="1462"/>
      <c r="H1018" s="1462"/>
      <c r="I1018" s="1462"/>
      <c r="J1018" s="1462"/>
      <c r="K1018" s="1462"/>
      <c r="L1018" s="1462"/>
      <c r="M1018" s="1462"/>
      <c r="N1018" s="1462"/>
      <c r="O1018" s="1462"/>
      <c r="P1018" s="1462"/>
      <c r="Q1018" s="1462"/>
      <c r="R1018" s="1462"/>
      <c r="S1018" s="1462"/>
      <c r="T1018" s="1462"/>
      <c r="U1018" s="1462"/>
      <c r="V1018" s="1462"/>
      <c r="W1018" s="1462"/>
      <c r="X1018" s="1462"/>
      <c r="Y1018" s="1462"/>
      <c r="Z1018" s="1462"/>
      <c r="AA1018" s="1462"/>
    </row>
    <row r="1019">
      <c r="A1019" s="1493"/>
      <c r="B1019" s="1494"/>
      <c r="C1019" s="1493"/>
      <c r="D1019" s="1493"/>
      <c r="E1019" s="1495"/>
      <c r="F1019" s="1462"/>
      <c r="G1019" s="1462"/>
      <c r="H1019" s="1462"/>
      <c r="I1019" s="1462"/>
      <c r="J1019" s="1462"/>
      <c r="K1019" s="1462"/>
      <c r="L1019" s="1462"/>
      <c r="M1019" s="1462"/>
      <c r="N1019" s="1462"/>
      <c r="O1019" s="1462"/>
      <c r="P1019" s="1462"/>
      <c r="Q1019" s="1462"/>
      <c r="R1019" s="1462"/>
      <c r="S1019" s="1462"/>
      <c r="T1019" s="1462"/>
      <c r="U1019" s="1462"/>
      <c r="V1019" s="1462"/>
      <c r="W1019" s="1462"/>
      <c r="X1019" s="1462"/>
      <c r="Y1019" s="1462"/>
      <c r="Z1019" s="1462"/>
      <c r="AA1019" s="1462"/>
    </row>
    <row r="1020">
      <c r="A1020" s="1493"/>
      <c r="B1020" s="1494"/>
      <c r="C1020" s="1493"/>
      <c r="D1020" s="1493"/>
      <c r="E1020" s="1495"/>
      <c r="F1020" s="1462"/>
      <c r="G1020" s="1462"/>
      <c r="H1020" s="1462"/>
      <c r="I1020" s="1462"/>
      <c r="J1020" s="1462"/>
      <c r="K1020" s="1462"/>
      <c r="L1020" s="1462"/>
      <c r="M1020" s="1462"/>
      <c r="N1020" s="1462"/>
      <c r="O1020" s="1462"/>
      <c r="P1020" s="1462"/>
      <c r="Q1020" s="1462"/>
      <c r="R1020" s="1462"/>
      <c r="S1020" s="1462"/>
      <c r="T1020" s="1462"/>
      <c r="U1020" s="1462"/>
      <c r="V1020" s="1462"/>
      <c r="W1020" s="1462"/>
      <c r="X1020" s="1462"/>
      <c r="Y1020" s="1462"/>
      <c r="Z1020" s="1462"/>
      <c r="AA1020" s="1462"/>
    </row>
    <row r="1021">
      <c r="A1021" s="1493"/>
      <c r="B1021" s="1494"/>
      <c r="C1021" s="1493"/>
      <c r="D1021" s="1493"/>
      <c r="E1021" s="1495"/>
      <c r="F1021" s="1462"/>
      <c r="G1021" s="1462"/>
      <c r="H1021" s="1462"/>
      <c r="I1021" s="1462"/>
      <c r="J1021" s="1462"/>
      <c r="K1021" s="1462"/>
      <c r="L1021" s="1462"/>
      <c r="M1021" s="1462"/>
      <c r="N1021" s="1462"/>
      <c r="O1021" s="1462"/>
      <c r="P1021" s="1462"/>
      <c r="Q1021" s="1462"/>
      <c r="R1021" s="1462"/>
      <c r="S1021" s="1462"/>
      <c r="T1021" s="1462"/>
      <c r="U1021" s="1462"/>
      <c r="V1021" s="1462"/>
      <c r="W1021" s="1462"/>
      <c r="X1021" s="1462"/>
      <c r="Y1021" s="1462"/>
      <c r="Z1021" s="1462"/>
      <c r="AA1021" s="1462"/>
    </row>
    <row r="1022">
      <c r="A1022" s="1493"/>
      <c r="B1022" s="1494"/>
      <c r="C1022" s="1493"/>
      <c r="D1022" s="1493"/>
      <c r="E1022" s="1495"/>
      <c r="F1022" s="1462"/>
      <c r="G1022" s="1462"/>
      <c r="H1022" s="1462"/>
      <c r="I1022" s="1462"/>
      <c r="J1022" s="1462"/>
      <c r="K1022" s="1462"/>
      <c r="L1022" s="1462"/>
      <c r="M1022" s="1462"/>
      <c r="N1022" s="1462"/>
      <c r="O1022" s="1462"/>
      <c r="P1022" s="1462"/>
      <c r="Q1022" s="1462"/>
      <c r="R1022" s="1462"/>
      <c r="S1022" s="1462"/>
      <c r="T1022" s="1462"/>
      <c r="U1022" s="1462"/>
      <c r="V1022" s="1462"/>
      <c r="W1022" s="1462"/>
      <c r="X1022" s="1462"/>
      <c r="Y1022" s="1462"/>
      <c r="Z1022" s="1462"/>
      <c r="AA1022" s="1462"/>
    </row>
    <row r="1023">
      <c r="A1023" s="1493"/>
      <c r="B1023" s="1494"/>
      <c r="C1023" s="1493"/>
      <c r="D1023" s="1493"/>
      <c r="E1023" s="1495"/>
      <c r="F1023" s="1462"/>
      <c r="G1023" s="1462"/>
      <c r="H1023" s="1462"/>
      <c r="I1023" s="1462"/>
      <c r="J1023" s="1462"/>
      <c r="K1023" s="1462"/>
      <c r="L1023" s="1462"/>
      <c r="M1023" s="1462"/>
      <c r="N1023" s="1462"/>
      <c r="O1023" s="1462"/>
      <c r="P1023" s="1462"/>
      <c r="Q1023" s="1462"/>
      <c r="R1023" s="1462"/>
      <c r="S1023" s="1462"/>
      <c r="T1023" s="1462"/>
      <c r="U1023" s="1462"/>
      <c r="V1023" s="1462"/>
      <c r="W1023" s="1462"/>
      <c r="X1023" s="1462"/>
      <c r="Y1023" s="1462"/>
      <c r="Z1023" s="1462"/>
      <c r="AA1023" s="1462"/>
    </row>
    <row r="1024">
      <c r="A1024" s="1493"/>
      <c r="B1024" s="1494"/>
      <c r="C1024" s="1493"/>
      <c r="D1024" s="1493"/>
      <c r="E1024" s="1495"/>
      <c r="F1024" s="1462"/>
      <c r="G1024" s="1462"/>
      <c r="H1024" s="1462"/>
      <c r="I1024" s="1462"/>
      <c r="J1024" s="1462"/>
      <c r="K1024" s="1462"/>
      <c r="L1024" s="1462"/>
      <c r="M1024" s="1462"/>
      <c r="N1024" s="1462"/>
      <c r="O1024" s="1462"/>
      <c r="P1024" s="1462"/>
      <c r="Q1024" s="1462"/>
      <c r="R1024" s="1462"/>
      <c r="S1024" s="1462"/>
      <c r="T1024" s="1462"/>
      <c r="U1024" s="1462"/>
      <c r="V1024" s="1462"/>
      <c r="W1024" s="1462"/>
      <c r="X1024" s="1462"/>
      <c r="Y1024" s="1462"/>
      <c r="Z1024" s="1462"/>
      <c r="AA1024" s="1462"/>
    </row>
    <row r="1025">
      <c r="A1025" s="1493"/>
      <c r="B1025" s="1494"/>
      <c r="C1025" s="1493"/>
      <c r="D1025" s="1493"/>
      <c r="E1025" s="1495"/>
      <c r="F1025" s="1462"/>
      <c r="G1025" s="1462"/>
      <c r="H1025" s="1462"/>
      <c r="I1025" s="1462"/>
      <c r="J1025" s="1462"/>
      <c r="K1025" s="1462"/>
      <c r="L1025" s="1462"/>
      <c r="M1025" s="1462"/>
      <c r="N1025" s="1462"/>
      <c r="O1025" s="1462"/>
      <c r="P1025" s="1462"/>
      <c r="Q1025" s="1462"/>
      <c r="R1025" s="1462"/>
      <c r="S1025" s="1462"/>
      <c r="T1025" s="1462"/>
      <c r="U1025" s="1462"/>
      <c r="V1025" s="1462"/>
      <c r="W1025" s="1462"/>
      <c r="X1025" s="1462"/>
      <c r="Y1025" s="1462"/>
      <c r="Z1025" s="1462"/>
      <c r="AA1025" s="1462"/>
    </row>
    <row r="1026">
      <c r="A1026" s="1493"/>
      <c r="B1026" s="1494"/>
      <c r="C1026" s="1493"/>
      <c r="D1026" s="1493"/>
      <c r="E1026" s="1495"/>
      <c r="F1026" s="1462"/>
      <c r="G1026" s="1462"/>
      <c r="H1026" s="1462"/>
      <c r="I1026" s="1462"/>
      <c r="J1026" s="1462"/>
      <c r="K1026" s="1462"/>
      <c r="L1026" s="1462"/>
      <c r="M1026" s="1462"/>
      <c r="N1026" s="1462"/>
      <c r="O1026" s="1462"/>
      <c r="P1026" s="1462"/>
      <c r="Q1026" s="1462"/>
      <c r="R1026" s="1462"/>
      <c r="S1026" s="1462"/>
      <c r="T1026" s="1462"/>
      <c r="U1026" s="1462"/>
      <c r="V1026" s="1462"/>
      <c r="W1026" s="1462"/>
      <c r="X1026" s="1462"/>
      <c r="Y1026" s="1462"/>
      <c r="Z1026" s="1462"/>
      <c r="AA1026" s="1462"/>
    </row>
    <row r="1027">
      <c r="A1027" s="1493"/>
      <c r="B1027" s="1494"/>
      <c r="C1027" s="1493"/>
      <c r="D1027" s="1493"/>
      <c r="E1027" s="1495"/>
      <c r="F1027" s="1462"/>
      <c r="G1027" s="1462"/>
      <c r="H1027" s="1462"/>
      <c r="I1027" s="1462"/>
      <c r="J1027" s="1462"/>
      <c r="K1027" s="1462"/>
      <c r="L1027" s="1462"/>
      <c r="M1027" s="1462"/>
      <c r="N1027" s="1462"/>
      <c r="O1027" s="1462"/>
      <c r="P1027" s="1462"/>
      <c r="Q1027" s="1462"/>
      <c r="R1027" s="1462"/>
      <c r="S1027" s="1462"/>
      <c r="T1027" s="1462"/>
      <c r="U1027" s="1462"/>
      <c r="V1027" s="1462"/>
      <c r="W1027" s="1462"/>
      <c r="X1027" s="1462"/>
      <c r="Y1027" s="1462"/>
      <c r="Z1027" s="1462"/>
      <c r="AA1027" s="1462"/>
    </row>
    <row r="1028">
      <c r="A1028" s="1493"/>
      <c r="B1028" s="1494"/>
      <c r="C1028" s="1493"/>
      <c r="D1028" s="1493"/>
      <c r="E1028" s="1495"/>
      <c r="F1028" s="1462"/>
      <c r="G1028" s="1462"/>
      <c r="H1028" s="1462"/>
      <c r="I1028" s="1462"/>
      <c r="J1028" s="1462"/>
      <c r="K1028" s="1462"/>
      <c r="L1028" s="1462"/>
      <c r="M1028" s="1462"/>
      <c r="N1028" s="1462"/>
      <c r="O1028" s="1462"/>
      <c r="P1028" s="1462"/>
      <c r="Q1028" s="1462"/>
      <c r="R1028" s="1462"/>
      <c r="S1028" s="1462"/>
      <c r="T1028" s="1462"/>
      <c r="U1028" s="1462"/>
      <c r="V1028" s="1462"/>
      <c r="W1028" s="1462"/>
      <c r="X1028" s="1462"/>
      <c r="Y1028" s="1462"/>
      <c r="Z1028" s="1462"/>
      <c r="AA1028" s="1462"/>
    </row>
    <row r="1029">
      <c r="A1029" s="1493"/>
      <c r="B1029" s="1494"/>
      <c r="C1029" s="1493"/>
      <c r="D1029" s="1493"/>
      <c r="E1029" s="1495"/>
      <c r="F1029" s="1462"/>
      <c r="G1029" s="1462"/>
      <c r="H1029" s="1462"/>
      <c r="I1029" s="1462"/>
      <c r="J1029" s="1462"/>
      <c r="K1029" s="1462"/>
      <c r="L1029" s="1462"/>
      <c r="M1029" s="1462"/>
      <c r="N1029" s="1462"/>
      <c r="O1029" s="1462"/>
      <c r="P1029" s="1462"/>
      <c r="Q1029" s="1462"/>
      <c r="R1029" s="1462"/>
      <c r="S1029" s="1462"/>
      <c r="T1029" s="1462"/>
      <c r="U1029" s="1462"/>
      <c r="V1029" s="1462"/>
      <c r="W1029" s="1462"/>
      <c r="X1029" s="1462"/>
      <c r="Y1029" s="1462"/>
      <c r="Z1029" s="1462"/>
      <c r="AA1029" s="1462"/>
    </row>
    <row r="1030">
      <c r="A1030" s="1493"/>
      <c r="B1030" s="1494"/>
      <c r="C1030" s="1493"/>
      <c r="D1030" s="1493"/>
      <c r="E1030" s="1495"/>
      <c r="F1030" s="1462"/>
      <c r="G1030" s="1462"/>
      <c r="H1030" s="1462"/>
      <c r="I1030" s="1462"/>
      <c r="J1030" s="1462"/>
      <c r="K1030" s="1462"/>
      <c r="L1030" s="1462"/>
      <c r="M1030" s="1462"/>
      <c r="N1030" s="1462"/>
      <c r="O1030" s="1462"/>
      <c r="P1030" s="1462"/>
      <c r="Q1030" s="1462"/>
      <c r="R1030" s="1462"/>
      <c r="S1030" s="1462"/>
      <c r="T1030" s="1462"/>
      <c r="U1030" s="1462"/>
      <c r="V1030" s="1462"/>
      <c r="W1030" s="1462"/>
      <c r="X1030" s="1462"/>
      <c r="Y1030" s="1462"/>
      <c r="Z1030" s="1462"/>
      <c r="AA1030" s="1462"/>
    </row>
    <row r="1031">
      <c r="A1031" s="1493"/>
      <c r="B1031" s="1494"/>
      <c r="C1031" s="1493"/>
      <c r="D1031" s="1493"/>
      <c r="E1031" s="1495"/>
      <c r="F1031" s="1462"/>
      <c r="G1031" s="1462"/>
      <c r="H1031" s="1462"/>
      <c r="I1031" s="1462"/>
      <c r="J1031" s="1462"/>
      <c r="K1031" s="1462"/>
      <c r="L1031" s="1462"/>
      <c r="M1031" s="1462"/>
      <c r="N1031" s="1462"/>
      <c r="O1031" s="1462"/>
      <c r="P1031" s="1462"/>
      <c r="Q1031" s="1462"/>
      <c r="R1031" s="1462"/>
      <c r="S1031" s="1462"/>
      <c r="T1031" s="1462"/>
      <c r="U1031" s="1462"/>
      <c r="V1031" s="1462"/>
      <c r="W1031" s="1462"/>
      <c r="X1031" s="1462"/>
      <c r="Y1031" s="1462"/>
      <c r="Z1031" s="1462"/>
      <c r="AA1031" s="1462"/>
    </row>
    <row r="1032">
      <c r="A1032" s="1493"/>
      <c r="B1032" s="1494"/>
      <c r="C1032" s="1493"/>
      <c r="D1032" s="1493"/>
      <c r="E1032" s="1495"/>
      <c r="F1032" s="1462"/>
      <c r="G1032" s="1462"/>
      <c r="H1032" s="1462"/>
      <c r="I1032" s="1462"/>
      <c r="J1032" s="1462"/>
      <c r="K1032" s="1462"/>
      <c r="L1032" s="1462"/>
      <c r="M1032" s="1462"/>
      <c r="N1032" s="1462"/>
      <c r="O1032" s="1462"/>
      <c r="P1032" s="1462"/>
      <c r="Q1032" s="1462"/>
      <c r="R1032" s="1462"/>
      <c r="S1032" s="1462"/>
      <c r="T1032" s="1462"/>
      <c r="U1032" s="1462"/>
      <c r="V1032" s="1462"/>
      <c r="W1032" s="1462"/>
      <c r="X1032" s="1462"/>
      <c r="Y1032" s="1462"/>
      <c r="Z1032" s="1462"/>
      <c r="AA1032" s="1462"/>
    </row>
    <row r="1033">
      <c r="A1033" s="1493"/>
      <c r="B1033" s="1494"/>
      <c r="C1033" s="1493"/>
      <c r="D1033" s="1493"/>
      <c r="E1033" s="1495"/>
      <c r="F1033" s="1462"/>
      <c r="G1033" s="1462"/>
      <c r="H1033" s="1462"/>
      <c r="I1033" s="1462"/>
      <c r="J1033" s="1462"/>
      <c r="K1033" s="1462"/>
      <c r="L1033" s="1462"/>
      <c r="M1033" s="1462"/>
      <c r="N1033" s="1462"/>
      <c r="O1033" s="1462"/>
      <c r="P1033" s="1462"/>
      <c r="Q1033" s="1462"/>
      <c r="R1033" s="1462"/>
      <c r="S1033" s="1462"/>
      <c r="T1033" s="1462"/>
      <c r="U1033" s="1462"/>
      <c r="V1033" s="1462"/>
      <c r="W1033" s="1462"/>
      <c r="X1033" s="1462"/>
      <c r="Y1033" s="1462"/>
      <c r="Z1033" s="1462"/>
      <c r="AA1033" s="1462"/>
    </row>
    <row r="1034">
      <c r="A1034" s="1493"/>
      <c r="B1034" s="1494"/>
      <c r="C1034" s="1493"/>
      <c r="D1034" s="1493"/>
      <c r="E1034" s="1495"/>
      <c r="F1034" s="1462"/>
      <c r="G1034" s="1462"/>
      <c r="H1034" s="1462"/>
      <c r="I1034" s="1462"/>
      <c r="J1034" s="1462"/>
      <c r="K1034" s="1462"/>
      <c r="L1034" s="1462"/>
      <c r="M1034" s="1462"/>
      <c r="N1034" s="1462"/>
      <c r="O1034" s="1462"/>
      <c r="P1034" s="1462"/>
      <c r="Q1034" s="1462"/>
      <c r="R1034" s="1462"/>
      <c r="S1034" s="1462"/>
      <c r="T1034" s="1462"/>
      <c r="U1034" s="1462"/>
      <c r="V1034" s="1462"/>
      <c r="W1034" s="1462"/>
      <c r="X1034" s="1462"/>
      <c r="Y1034" s="1462"/>
      <c r="Z1034" s="1462"/>
      <c r="AA1034" s="1462"/>
    </row>
    <row r="1035">
      <c r="A1035" s="1493"/>
      <c r="B1035" s="1494"/>
      <c r="C1035" s="1493"/>
      <c r="D1035" s="1493"/>
      <c r="E1035" s="1495"/>
      <c r="F1035" s="1462"/>
      <c r="G1035" s="1462"/>
      <c r="H1035" s="1462"/>
      <c r="I1035" s="1462"/>
      <c r="J1035" s="1462"/>
      <c r="K1035" s="1462"/>
      <c r="L1035" s="1462"/>
      <c r="M1035" s="1462"/>
      <c r="N1035" s="1462"/>
      <c r="O1035" s="1462"/>
      <c r="P1035" s="1462"/>
      <c r="Q1035" s="1462"/>
      <c r="R1035" s="1462"/>
      <c r="S1035" s="1462"/>
      <c r="T1035" s="1462"/>
      <c r="U1035" s="1462"/>
      <c r="V1035" s="1462"/>
      <c r="W1035" s="1462"/>
      <c r="X1035" s="1462"/>
      <c r="Y1035" s="1462"/>
      <c r="Z1035" s="1462"/>
      <c r="AA1035" s="1462"/>
    </row>
    <row r="1036">
      <c r="A1036" s="1493"/>
      <c r="B1036" s="1494"/>
      <c r="C1036" s="1493"/>
      <c r="D1036" s="1493"/>
      <c r="E1036" s="1495"/>
      <c r="F1036" s="1462"/>
      <c r="G1036" s="1462"/>
      <c r="H1036" s="1462"/>
      <c r="I1036" s="1462"/>
      <c r="J1036" s="1462"/>
      <c r="K1036" s="1462"/>
      <c r="L1036" s="1462"/>
      <c r="M1036" s="1462"/>
      <c r="N1036" s="1462"/>
      <c r="O1036" s="1462"/>
      <c r="P1036" s="1462"/>
      <c r="Q1036" s="1462"/>
      <c r="R1036" s="1462"/>
      <c r="S1036" s="1462"/>
      <c r="T1036" s="1462"/>
      <c r="U1036" s="1462"/>
      <c r="V1036" s="1462"/>
      <c r="W1036" s="1462"/>
      <c r="X1036" s="1462"/>
      <c r="Y1036" s="1462"/>
      <c r="Z1036" s="1462"/>
      <c r="AA1036" s="1462"/>
    </row>
    <row r="1037">
      <c r="A1037" s="1493"/>
      <c r="B1037" s="1494"/>
      <c r="C1037" s="1493"/>
      <c r="D1037" s="1493"/>
      <c r="E1037" s="1495"/>
      <c r="F1037" s="1462"/>
      <c r="G1037" s="1462"/>
      <c r="H1037" s="1462"/>
      <c r="I1037" s="1462"/>
      <c r="J1037" s="1462"/>
      <c r="K1037" s="1462"/>
      <c r="L1037" s="1462"/>
      <c r="M1037" s="1462"/>
      <c r="N1037" s="1462"/>
      <c r="O1037" s="1462"/>
      <c r="P1037" s="1462"/>
      <c r="Q1037" s="1462"/>
      <c r="R1037" s="1462"/>
      <c r="S1037" s="1462"/>
      <c r="T1037" s="1462"/>
      <c r="U1037" s="1462"/>
      <c r="V1037" s="1462"/>
      <c r="W1037" s="1462"/>
      <c r="X1037" s="1462"/>
      <c r="Y1037" s="1462"/>
      <c r="Z1037" s="1462"/>
      <c r="AA1037" s="1462"/>
    </row>
    <row r="1038">
      <c r="A1038" s="1493"/>
      <c r="B1038" s="1494"/>
      <c r="C1038" s="1493"/>
      <c r="D1038" s="1493"/>
      <c r="E1038" s="1495"/>
      <c r="F1038" s="1462"/>
      <c r="G1038" s="1462"/>
      <c r="H1038" s="1462"/>
      <c r="I1038" s="1462"/>
      <c r="J1038" s="1462"/>
      <c r="K1038" s="1462"/>
      <c r="L1038" s="1462"/>
      <c r="M1038" s="1462"/>
      <c r="N1038" s="1462"/>
      <c r="O1038" s="1462"/>
      <c r="P1038" s="1462"/>
      <c r="Q1038" s="1462"/>
      <c r="R1038" s="1462"/>
      <c r="S1038" s="1462"/>
      <c r="T1038" s="1462"/>
      <c r="U1038" s="1462"/>
      <c r="V1038" s="1462"/>
      <c r="W1038" s="1462"/>
      <c r="X1038" s="1462"/>
      <c r="Y1038" s="1462"/>
      <c r="Z1038" s="1462"/>
      <c r="AA1038" s="1462"/>
    </row>
    <row r="1039">
      <c r="A1039" s="1493"/>
      <c r="B1039" s="1494"/>
      <c r="C1039" s="1493"/>
      <c r="D1039" s="1493"/>
      <c r="E1039" s="1495"/>
      <c r="F1039" s="1462"/>
      <c r="G1039" s="1462"/>
      <c r="H1039" s="1462"/>
      <c r="I1039" s="1462"/>
      <c r="J1039" s="1462"/>
      <c r="K1039" s="1462"/>
      <c r="L1039" s="1462"/>
      <c r="M1039" s="1462"/>
      <c r="N1039" s="1462"/>
      <c r="O1039" s="1462"/>
      <c r="P1039" s="1462"/>
      <c r="Q1039" s="1462"/>
      <c r="R1039" s="1462"/>
      <c r="S1039" s="1462"/>
      <c r="T1039" s="1462"/>
      <c r="U1039" s="1462"/>
      <c r="V1039" s="1462"/>
      <c r="W1039" s="1462"/>
      <c r="X1039" s="1462"/>
      <c r="Y1039" s="1462"/>
      <c r="Z1039" s="1462"/>
      <c r="AA1039" s="1462"/>
    </row>
    <row r="1040">
      <c r="A1040" s="1493"/>
      <c r="B1040" s="1494"/>
      <c r="C1040" s="1493"/>
      <c r="D1040" s="1493"/>
      <c r="E1040" s="1495"/>
      <c r="F1040" s="1462"/>
      <c r="G1040" s="1462"/>
      <c r="H1040" s="1462"/>
      <c r="I1040" s="1462"/>
      <c r="J1040" s="1462"/>
      <c r="K1040" s="1462"/>
      <c r="L1040" s="1462"/>
      <c r="M1040" s="1462"/>
      <c r="N1040" s="1462"/>
      <c r="O1040" s="1462"/>
      <c r="P1040" s="1462"/>
      <c r="Q1040" s="1462"/>
      <c r="R1040" s="1462"/>
      <c r="S1040" s="1462"/>
      <c r="T1040" s="1462"/>
      <c r="U1040" s="1462"/>
      <c r="V1040" s="1462"/>
      <c r="W1040" s="1462"/>
      <c r="X1040" s="1462"/>
      <c r="Y1040" s="1462"/>
      <c r="Z1040" s="1462"/>
      <c r="AA1040" s="1462"/>
    </row>
    <row r="1041">
      <c r="A1041" s="1493"/>
      <c r="B1041" s="1494"/>
      <c r="C1041" s="1493"/>
      <c r="D1041" s="1493"/>
      <c r="E1041" s="1495"/>
      <c r="F1041" s="1462"/>
      <c r="G1041" s="1462"/>
      <c r="H1041" s="1462"/>
      <c r="I1041" s="1462"/>
      <c r="J1041" s="1462"/>
      <c r="K1041" s="1462"/>
      <c r="L1041" s="1462"/>
      <c r="M1041" s="1462"/>
      <c r="N1041" s="1462"/>
      <c r="O1041" s="1462"/>
      <c r="P1041" s="1462"/>
      <c r="Q1041" s="1462"/>
      <c r="R1041" s="1462"/>
      <c r="S1041" s="1462"/>
      <c r="T1041" s="1462"/>
      <c r="U1041" s="1462"/>
      <c r="V1041" s="1462"/>
      <c r="W1041" s="1462"/>
      <c r="X1041" s="1462"/>
      <c r="Y1041" s="1462"/>
      <c r="Z1041" s="1462"/>
      <c r="AA1041" s="1462"/>
    </row>
    <row r="1042">
      <c r="A1042" s="1493"/>
      <c r="B1042" s="1494"/>
      <c r="C1042" s="1493"/>
      <c r="D1042" s="1493"/>
      <c r="E1042" s="1495"/>
      <c r="F1042" s="1462"/>
      <c r="G1042" s="1462"/>
      <c r="H1042" s="1462"/>
      <c r="I1042" s="1462"/>
      <c r="J1042" s="1462"/>
      <c r="K1042" s="1462"/>
      <c r="L1042" s="1462"/>
      <c r="M1042" s="1462"/>
      <c r="N1042" s="1462"/>
      <c r="O1042" s="1462"/>
      <c r="P1042" s="1462"/>
      <c r="Q1042" s="1462"/>
      <c r="R1042" s="1462"/>
      <c r="S1042" s="1462"/>
      <c r="T1042" s="1462"/>
      <c r="U1042" s="1462"/>
      <c r="V1042" s="1462"/>
      <c r="W1042" s="1462"/>
      <c r="X1042" s="1462"/>
      <c r="Y1042" s="1462"/>
      <c r="Z1042" s="1462"/>
      <c r="AA1042" s="1462"/>
    </row>
    <row r="1043">
      <c r="A1043" s="1493"/>
      <c r="B1043" s="1494"/>
      <c r="C1043" s="1493"/>
      <c r="D1043" s="1493"/>
      <c r="E1043" s="1495"/>
      <c r="F1043" s="1462"/>
      <c r="G1043" s="1462"/>
      <c r="H1043" s="1462"/>
      <c r="I1043" s="1462"/>
      <c r="J1043" s="1462"/>
      <c r="K1043" s="1462"/>
      <c r="L1043" s="1462"/>
      <c r="M1043" s="1462"/>
      <c r="N1043" s="1462"/>
      <c r="O1043" s="1462"/>
      <c r="P1043" s="1462"/>
      <c r="Q1043" s="1462"/>
      <c r="R1043" s="1462"/>
      <c r="S1043" s="1462"/>
      <c r="T1043" s="1462"/>
      <c r="U1043" s="1462"/>
      <c r="V1043" s="1462"/>
      <c r="W1043" s="1462"/>
      <c r="X1043" s="1462"/>
      <c r="Y1043" s="1462"/>
      <c r="Z1043" s="1462"/>
      <c r="AA1043" s="1462"/>
    </row>
    <row r="1044">
      <c r="A1044" s="1493"/>
      <c r="B1044" s="1494"/>
      <c r="C1044" s="1493"/>
      <c r="D1044" s="1493"/>
      <c r="E1044" s="1495"/>
      <c r="F1044" s="1462"/>
      <c r="G1044" s="1462"/>
      <c r="H1044" s="1462"/>
      <c r="I1044" s="1462"/>
      <c r="J1044" s="1462"/>
      <c r="K1044" s="1462"/>
      <c r="L1044" s="1462"/>
      <c r="M1044" s="1462"/>
      <c r="N1044" s="1462"/>
      <c r="O1044" s="1462"/>
      <c r="P1044" s="1462"/>
      <c r="Q1044" s="1462"/>
      <c r="R1044" s="1462"/>
      <c r="S1044" s="1462"/>
      <c r="T1044" s="1462"/>
      <c r="U1044" s="1462"/>
      <c r="V1044" s="1462"/>
      <c r="W1044" s="1462"/>
      <c r="X1044" s="1462"/>
      <c r="Y1044" s="1462"/>
      <c r="Z1044" s="1462"/>
      <c r="AA1044" s="1462"/>
    </row>
    <row r="1045">
      <c r="A1045" s="1493"/>
      <c r="B1045" s="1494"/>
      <c r="C1045" s="1493"/>
      <c r="D1045" s="1493"/>
      <c r="E1045" s="1495"/>
      <c r="F1045" s="1462"/>
      <c r="G1045" s="1462"/>
      <c r="H1045" s="1462"/>
      <c r="I1045" s="1462"/>
      <c r="J1045" s="1462"/>
      <c r="K1045" s="1462"/>
      <c r="L1045" s="1462"/>
      <c r="M1045" s="1462"/>
      <c r="N1045" s="1462"/>
      <c r="O1045" s="1462"/>
      <c r="P1045" s="1462"/>
      <c r="Q1045" s="1462"/>
      <c r="R1045" s="1462"/>
      <c r="S1045" s="1462"/>
      <c r="T1045" s="1462"/>
      <c r="U1045" s="1462"/>
      <c r="V1045" s="1462"/>
      <c r="W1045" s="1462"/>
      <c r="X1045" s="1462"/>
      <c r="Y1045" s="1462"/>
      <c r="Z1045" s="1462"/>
      <c r="AA1045" s="1462"/>
    </row>
    <row r="1046">
      <c r="A1046" s="1493"/>
      <c r="B1046" s="1494"/>
      <c r="C1046" s="1493"/>
      <c r="D1046" s="1493"/>
      <c r="E1046" s="1495"/>
      <c r="F1046" s="1462"/>
      <c r="G1046" s="1462"/>
      <c r="H1046" s="1462"/>
      <c r="I1046" s="1462"/>
      <c r="J1046" s="1462"/>
      <c r="K1046" s="1462"/>
      <c r="L1046" s="1462"/>
      <c r="M1046" s="1462"/>
      <c r="N1046" s="1462"/>
      <c r="O1046" s="1462"/>
      <c r="P1046" s="1462"/>
      <c r="Q1046" s="1462"/>
      <c r="R1046" s="1462"/>
      <c r="S1046" s="1462"/>
      <c r="T1046" s="1462"/>
      <c r="U1046" s="1462"/>
      <c r="V1046" s="1462"/>
      <c r="W1046" s="1462"/>
      <c r="X1046" s="1462"/>
      <c r="Y1046" s="1462"/>
      <c r="Z1046" s="1462"/>
      <c r="AA1046" s="1462"/>
    </row>
    <row r="1047">
      <c r="A1047" s="1493"/>
      <c r="B1047" s="1494"/>
      <c r="C1047" s="1493"/>
      <c r="D1047" s="1493"/>
      <c r="E1047" s="1495"/>
      <c r="F1047" s="1462"/>
      <c r="G1047" s="1462"/>
      <c r="H1047" s="1462"/>
      <c r="I1047" s="1462"/>
      <c r="J1047" s="1462"/>
      <c r="K1047" s="1462"/>
      <c r="L1047" s="1462"/>
      <c r="M1047" s="1462"/>
      <c r="N1047" s="1462"/>
      <c r="O1047" s="1462"/>
      <c r="P1047" s="1462"/>
      <c r="Q1047" s="1462"/>
      <c r="R1047" s="1462"/>
      <c r="S1047" s="1462"/>
      <c r="T1047" s="1462"/>
      <c r="U1047" s="1462"/>
      <c r="V1047" s="1462"/>
      <c r="W1047" s="1462"/>
      <c r="X1047" s="1462"/>
      <c r="Y1047" s="1462"/>
      <c r="Z1047" s="1462"/>
      <c r="AA1047" s="1462"/>
    </row>
    <row r="1048">
      <c r="A1048" s="1493"/>
      <c r="B1048" s="1494"/>
      <c r="C1048" s="1493"/>
      <c r="D1048" s="1493"/>
      <c r="E1048" s="1495"/>
      <c r="F1048" s="1462"/>
      <c r="G1048" s="1462"/>
      <c r="H1048" s="1462"/>
      <c r="I1048" s="1462"/>
      <c r="J1048" s="1462"/>
      <c r="K1048" s="1462"/>
      <c r="L1048" s="1462"/>
      <c r="M1048" s="1462"/>
      <c r="N1048" s="1462"/>
      <c r="O1048" s="1462"/>
      <c r="P1048" s="1462"/>
      <c r="Q1048" s="1462"/>
      <c r="R1048" s="1462"/>
      <c r="S1048" s="1462"/>
      <c r="T1048" s="1462"/>
      <c r="U1048" s="1462"/>
      <c r="V1048" s="1462"/>
      <c r="W1048" s="1462"/>
      <c r="X1048" s="1462"/>
      <c r="Y1048" s="1462"/>
      <c r="Z1048" s="1462"/>
      <c r="AA1048" s="1462"/>
    </row>
    <row r="1049">
      <c r="A1049" s="1493"/>
      <c r="B1049" s="1494"/>
      <c r="C1049" s="1493"/>
      <c r="D1049" s="1493"/>
      <c r="E1049" s="1495"/>
      <c r="F1049" s="1462"/>
      <c r="G1049" s="1462"/>
      <c r="H1049" s="1462"/>
      <c r="I1049" s="1462"/>
      <c r="J1049" s="1462"/>
      <c r="K1049" s="1462"/>
      <c r="L1049" s="1462"/>
      <c r="M1049" s="1462"/>
      <c r="N1049" s="1462"/>
      <c r="O1049" s="1462"/>
      <c r="P1049" s="1462"/>
      <c r="Q1049" s="1462"/>
      <c r="R1049" s="1462"/>
      <c r="S1049" s="1462"/>
      <c r="T1049" s="1462"/>
      <c r="U1049" s="1462"/>
      <c r="V1049" s="1462"/>
      <c r="W1049" s="1462"/>
      <c r="X1049" s="1462"/>
      <c r="Y1049" s="1462"/>
      <c r="Z1049" s="1462"/>
      <c r="AA1049" s="1462"/>
    </row>
    <row r="1050">
      <c r="A1050" s="1493"/>
      <c r="B1050" s="1494"/>
      <c r="C1050" s="1493"/>
      <c r="D1050" s="1493"/>
      <c r="E1050" s="1495"/>
      <c r="F1050" s="1462"/>
      <c r="G1050" s="1462"/>
      <c r="H1050" s="1462"/>
      <c r="I1050" s="1462"/>
      <c r="J1050" s="1462"/>
      <c r="K1050" s="1462"/>
      <c r="L1050" s="1462"/>
      <c r="M1050" s="1462"/>
      <c r="N1050" s="1462"/>
      <c r="O1050" s="1462"/>
      <c r="P1050" s="1462"/>
      <c r="Q1050" s="1462"/>
      <c r="R1050" s="1462"/>
      <c r="S1050" s="1462"/>
      <c r="T1050" s="1462"/>
      <c r="U1050" s="1462"/>
      <c r="V1050" s="1462"/>
      <c r="W1050" s="1462"/>
      <c r="X1050" s="1462"/>
      <c r="Y1050" s="1462"/>
      <c r="Z1050" s="1462"/>
      <c r="AA1050" s="1462"/>
    </row>
    <row r="1051">
      <c r="A1051" s="1493"/>
      <c r="B1051" s="1494"/>
      <c r="C1051" s="1493"/>
      <c r="D1051" s="1493"/>
      <c r="E1051" s="1495"/>
      <c r="F1051" s="1462"/>
      <c r="G1051" s="1462"/>
      <c r="H1051" s="1462"/>
      <c r="I1051" s="1462"/>
      <c r="J1051" s="1462"/>
      <c r="K1051" s="1462"/>
      <c r="L1051" s="1462"/>
      <c r="M1051" s="1462"/>
      <c r="N1051" s="1462"/>
      <c r="O1051" s="1462"/>
      <c r="P1051" s="1462"/>
      <c r="Q1051" s="1462"/>
      <c r="R1051" s="1462"/>
      <c r="S1051" s="1462"/>
      <c r="T1051" s="1462"/>
      <c r="U1051" s="1462"/>
      <c r="V1051" s="1462"/>
      <c r="W1051" s="1462"/>
      <c r="X1051" s="1462"/>
      <c r="Y1051" s="1462"/>
      <c r="Z1051" s="1462"/>
      <c r="AA1051" s="1462"/>
    </row>
    <row r="1052">
      <c r="A1052" s="1493"/>
      <c r="B1052" s="1494"/>
      <c r="C1052" s="1493"/>
      <c r="D1052" s="1493"/>
      <c r="E1052" s="1495"/>
      <c r="F1052" s="1462"/>
      <c r="G1052" s="1462"/>
      <c r="H1052" s="1462"/>
      <c r="I1052" s="1462"/>
      <c r="J1052" s="1462"/>
      <c r="K1052" s="1462"/>
      <c r="L1052" s="1462"/>
      <c r="M1052" s="1462"/>
      <c r="N1052" s="1462"/>
      <c r="O1052" s="1462"/>
      <c r="P1052" s="1462"/>
      <c r="Q1052" s="1462"/>
      <c r="R1052" s="1462"/>
      <c r="S1052" s="1462"/>
      <c r="T1052" s="1462"/>
      <c r="U1052" s="1462"/>
      <c r="V1052" s="1462"/>
      <c r="W1052" s="1462"/>
      <c r="X1052" s="1462"/>
      <c r="Y1052" s="1462"/>
      <c r="Z1052" s="1462"/>
      <c r="AA1052" s="1462"/>
    </row>
    <row r="1053">
      <c r="A1053" s="1493"/>
      <c r="B1053" s="1494"/>
      <c r="C1053" s="1493"/>
      <c r="D1053" s="1493"/>
      <c r="E1053" s="1495"/>
      <c r="F1053" s="1462"/>
      <c r="G1053" s="1462"/>
      <c r="H1053" s="1462"/>
      <c r="I1053" s="1462"/>
      <c r="J1053" s="1462"/>
      <c r="K1053" s="1462"/>
      <c r="L1053" s="1462"/>
      <c r="M1053" s="1462"/>
      <c r="N1053" s="1462"/>
      <c r="O1053" s="1462"/>
      <c r="P1053" s="1462"/>
      <c r="Q1053" s="1462"/>
      <c r="R1053" s="1462"/>
      <c r="S1053" s="1462"/>
      <c r="T1053" s="1462"/>
      <c r="U1053" s="1462"/>
      <c r="V1053" s="1462"/>
      <c r="W1053" s="1462"/>
      <c r="X1053" s="1462"/>
      <c r="Y1053" s="1462"/>
      <c r="Z1053" s="1462"/>
      <c r="AA1053" s="1462"/>
    </row>
    <row r="1054">
      <c r="A1054" s="1493"/>
      <c r="B1054" s="1494"/>
      <c r="C1054" s="1493"/>
      <c r="D1054" s="1493"/>
      <c r="E1054" s="1495"/>
      <c r="F1054" s="1462"/>
      <c r="G1054" s="1462"/>
      <c r="H1054" s="1462"/>
      <c r="I1054" s="1462"/>
      <c r="J1054" s="1462"/>
      <c r="K1054" s="1462"/>
      <c r="L1054" s="1462"/>
      <c r="M1054" s="1462"/>
      <c r="N1054" s="1462"/>
      <c r="O1054" s="1462"/>
      <c r="P1054" s="1462"/>
      <c r="Q1054" s="1462"/>
      <c r="R1054" s="1462"/>
      <c r="S1054" s="1462"/>
      <c r="T1054" s="1462"/>
      <c r="U1054" s="1462"/>
      <c r="V1054" s="1462"/>
      <c r="W1054" s="1462"/>
      <c r="X1054" s="1462"/>
      <c r="Y1054" s="1462"/>
      <c r="Z1054" s="1462"/>
      <c r="AA1054" s="1462"/>
    </row>
    <row r="1055">
      <c r="A1055" s="1493"/>
      <c r="B1055" s="1494"/>
      <c r="C1055" s="1493"/>
      <c r="D1055" s="1493"/>
      <c r="E1055" s="1495"/>
      <c r="F1055" s="1462"/>
      <c r="G1055" s="1462"/>
      <c r="H1055" s="1462"/>
      <c r="I1055" s="1462"/>
      <c r="J1055" s="1462"/>
      <c r="K1055" s="1462"/>
      <c r="L1055" s="1462"/>
      <c r="M1055" s="1462"/>
      <c r="N1055" s="1462"/>
      <c r="O1055" s="1462"/>
      <c r="P1055" s="1462"/>
      <c r="Q1055" s="1462"/>
      <c r="R1055" s="1462"/>
      <c r="S1055" s="1462"/>
      <c r="T1055" s="1462"/>
      <c r="U1055" s="1462"/>
      <c r="V1055" s="1462"/>
      <c r="W1055" s="1462"/>
      <c r="X1055" s="1462"/>
      <c r="Y1055" s="1462"/>
      <c r="Z1055" s="1462"/>
      <c r="AA1055" s="1462"/>
    </row>
    <row r="1056">
      <c r="A1056" s="1493"/>
      <c r="B1056" s="1494"/>
      <c r="C1056" s="1493"/>
      <c r="D1056" s="1493"/>
      <c r="E1056" s="1495"/>
      <c r="F1056" s="1462"/>
      <c r="G1056" s="1462"/>
      <c r="H1056" s="1462"/>
      <c r="I1056" s="1462"/>
      <c r="J1056" s="1462"/>
      <c r="K1056" s="1462"/>
      <c r="L1056" s="1462"/>
      <c r="M1056" s="1462"/>
      <c r="N1056" s="1462"/>
      <c r="O1056" s="1462"/>
      <c r="P1056" s="1462"/>
      <c r="Q1056" s="1462"/>
      <c r="R1056" s="1462"/>
      <c r="S1056" s="1462"/>
      <c r="T1056" s="1462"/>
      <c r="U1056" s="1462"/>
      <c r="V1056" s="1462"/>
      <c r="W1056" s="1462"/>
      <c r="X1056" s="1462"/>
      <c r="Y1056" s="1462"/>
      <c r="Z1056" s="1462"/>
      <c r="AA1056" s="1462"/>
    </row>
    <row r="1057">
      <c r="A1057" s="1493"/>
      <c r="B1057" s="1494"/>
      <c r="C1057" s="1493"/>
      <c r="D1057" s="1493"/>
      <c r="E1057" s="1495"/>
      <c r="F1057" s="1462"/>
      <c r="G1057" s="1462"/>
      <c r="H1057" s="1462"/>
      <c r="I1057" s="1462"/>
      <c r="J1057" s="1462"/>
      <c r="K1057" s="1462"/>
      <c r="L1057" s="1462"/>
      <c r="M1057" s="1462"/>
      <c r="N1057" s="1462"/>
      <c r="O1057" s="1462"/>
      <c r="P1057" s="1462"/>
      <c r="Q1057" s="1462"/>
      <c r="R1057" s="1462"/>
      <c r="S1057" s="1462"/>
      <c r="T1057" s="1462"/>
      <c r="U1057" s="1462"/>
      <c r="V1057" s="1462"/>
      <c r="W1057" s="1462"/>
      <c r="X1057" s="1462"/>
      <c r="Y1057" s="1462"/>
      <c r="Z1057" s="1462"/>
      <c r="AA1057" s="1462"/>
    </row>
    <row r="1058">
      <c r="A1058" s="1493"/>
      <c r="B1058" s="1494"/>
      <c r="C1058" s="1493"/>
      <c r="D1058" s="1493"/>
      <c r="E1058" s="1495"/>
      <c r="F1058" s="1462"/>
      <c r="G1058" s="1462"/>
      <c r="H1058" s="1462"/>
      <c r="I1058" s="1462"/>
      <c r="J1058" s="1462"/>
      <c r="K1058" s="1462"/>
      <c r="L1058" s="1462"/>
      <c r="M1058" s="1462"/>
      <c r="N1058" s="1462"/>
      <c r="O1058" s="1462"/>
      <c r="P1058" s="1462"/>
      <c r="Q1058" s="1462"/>
      <c r="R1058" s="1462"/>
      <c r="S1058" s="1462"/>
      <c r="T1058" s="1462"/>
      <c r="U1058" s="1462"/>
      <c r="V1058" s="1462"/>
      <c r="W1058" s="1462"/>
      <c r="X1058" s="1462"/>
      <c r="Y1058" s="1462"/>
      <c r="Z1058" s="1462"/>
      <c r="AA1058" s="1462"/>
    </row>
    <row r="1059">
      <c r="A1059" s="1493"/>
      <c r="B1059" s="1494"/>
      <c r="C1059" s="1493"/>
      <c r="D1059" s="1493"/>
      <c r="E1059" s="1495"/>
      <c r="F1059" s="1462"/>
      <c r="G1059" s="1462"/>
      <c r="H1059" s="1462"/>
      <c r="I1059" s="1462"/>
      <c r="J1059" s="1462"/>
      <c r="K1059" s="1462"/>
      <c r="L1059" s="1462"/>
      <c r="M1059" s="1462"/>
      <c r="N1059" s="1462"/>
      <c r="O1059" s="1462"/>
      <c r="P1059" s="1462"/>
      <c r="Q1059" s="1462"/>
      <c r="R1059" s="1462"/>
      <c r="S1059" s="1462"/>
      <c r="T1059" s="1462"/>
      <c r="U1059" s="1462"/>
      <c r="V1059" s="1462"/>
      <c r="W1059" s="1462"/>
      <c r="X1059" s="1462"/>
      <c r="Y1059" s="1462"/>
      <c r="Z1059" s="1462"/>
      <c r="AA1059" s="1462"/>
    </row>
    <row r="1060">
      <c r="A1060" s="1493"/>
      <c r="B1060" s="1494"/>
      <c r="C1060" s="1493"/>
      <c r="D1060" s="1493"/>
      <c r="E1060" s="1495"/>
      <c r="F1060" s="1462"/>
      <c r="G1060" s="1462"/>
      <c r="H1060" s="1462"/>
      <c r="I1060" s="1462"/>
      <c r="J1060" s="1462"/>
      <c r="K1060" s="1462"/>
      <c r="L1060" s="1462"/>
      <c r="M1060" s="1462"/>
      <c r="N1060" s="1462"/>
      <c r="O1060" s="1462"/>
      <c r="P1060" s="1462"/>
      <c r="Q1060" s="1462"/>
      <c r="R1060" s="1462"/>
      <c r="S1060" s="1462"/>
      <c r="T1060" s="1462"/>
      <c r="U1060" s="1462"/>
      <c r="V1060" s="1462"/>
      <c r="W1060" s="1462"/>
      <c r="X1060" s="1462"/>
      <c r="Y1060" s="1462"/>
      <c r="Z1060" s="1462"/>
      <c r="AA1060" s="1462"/>
    </row>
    <row r="1061">
      <c r="A1061" s="1493"/>
      <c r="B1061" s="1494"/>
      <c r="C1061" s="1493"/>
      <c r="D1061" s="1493"/>
      <c r="E1061" s="1495"/>
      <c r="F1061" s="1462"/>
      <c r="G1061" s="1462"/>
      <c r="H1061" s="1462"/>
      <c r="I1061" s="1462"/>
      <c r="J1061" s="1462"/>
      <c r="K1061" s="1462"/>
      <c r="L1061" s="1462"/>
      <c r="M1061" s="1462"/>
      <c r="N1061" s="1462"/>
      <c r="O1061" s="1462"/>
      <c r="P1061" s="1462"/>
      <c r="Q1061" s="1462"/>
      <c r="R1061" s="1462"/>
      <c r="S1061" s="1462"/>
      <c r="T1061" s="1462"/>
      <c r="U1061" s="1462"/>
      <c r="V1061" s="1462"/>
      <c r="W1061" s="1462"/>
      <c r="X1061" s="1462"/>
      <c r="Y1061" s="1462"/>
      <c r="Z1061" s="1462"/>
      <c r="AA1061" s="1462"/>
    </row>
    <row r="1062">
      <c r="A1062" s="1493"/>
      <c r="B1062" s="1494"/>
      <c r="C1062" s="1493"/>
      <c r="D1062" s="1493"/>
      <c r="E1062" s="1495"/>
      <c r="F1062" s="1462"/>
      <c r="G1062" s="1462"/>
      <c r="H1062" s="1462"/>
      <c r="I1062" s="1462"/>
      <c r="J1062" s="1462"/>
      <c r="K1062" s="1462"/>
      <c r="L1062" s="1462"/>
      <c r="M1062" s="1462"/>
      <c r="N1062" s="1462"/>
      <c r="O1062" s="1462"/>
      <c r="P1062" s="1462"/>
      <c r="Q1062" s="1462"/>
      <c r="R1062" s="1462"/>
      <c r="S1062" s="1462"/>
      <c r="T1062" s="1462"/>
      <c r="U1062" s="1462"/>
      <c r="V1062" s="1462"/>
      <c r="W1062" s="1462"/>
      <c r="X1062" s="1462"/>
      <c r="Y1062" s="1462"/>
      <c r="Z1062" s="1462"/>
      <c r="AA1062" s="1462"/>
    </row>
    <row r="1063">
      <c r="A1063" s="1493"/>
      <c r="B1063" s="1494"/>
      <c r="C1063" s="1493"/>
      <c r="D1063" s="1493"/>
      <c r="E1063" s="1495"/>
      <c r="F1063" s="1462"/>
      <c r="G1063" s="1462"/>
      <c r="H1063" s="1462"/>
      <c r="I1063" s="1462"/>
      <c r="J1063" s="1462"/>
      <c r="K1063" s="1462"/>
      <c r="L1063" s="1462"/>
      <c r="M1063" s="1462"/>
      <c r="N1063" s="1462"/>
      <c r="O1063" s="1462"/>
      <c r="P1063" s="1462"/>
      <c r="Q1063" s="1462"/>
      <c r="R1063" s="1462"/>
      <c r="S1063" s="1462"/>
      <c r="T1063" s="1462"/>
      <c r="U1063" s="1462"/>
      <c r="V1063" s="1462"/>
      <c r="W1063" s="1462"/>
      <c r="X1063" s="1462"/>
      <c r="Y1063" s="1462"/>
      <c r="Z1063" s="1462"/>
      <c r="AA1063" s="1462"/>
    </row>
    <row r="1064">
      <c r="A1064" s="1493"/>
      <c r="B1064" s="1494"/>
      <c r="C1064" s="1493"/>
      <c r="D1064" s="1493"/>
      <c r="E1064" s="1495"/>
      <c r="F1064" s="1462"/>
      <c r="G1064" s="1462"/>
      <c r="H1064" s="1462"/>
      <c r="I1064" s="1462"/>
      <c r="J1064" s="1462"/>
      <c r="K1064" s="1462"/>
      <c r="L1064" s="1462"/>
      <c r="M1064" s="1462"/>
      <c r="N1064" s="1462"/>
      <c r="O1064" s="1462"/>
      <c r="P1064" s="1462"/>
      <c r="Q1064" s="1462"/>
      <c r="R1064" s="1462"/>
      <c r="S1064" s="1462"/>
      <c r="T1064" s="1462"/>
      <c r="U1064" s="1462"/>
      <c r="V1064" s="1462"/>
      <c r="W1064" s="1462"/>
      <c r="X1064" s="1462"/>
      <c r="Y1064" s="1462"/>
      <c r="Z1064" s="1462"/>
      <c r="AA1064" s="1462"/>
    </row>
    <row r="1065">
      <c r="A1065" s="1493"/>
      <c r="B1065" s="1494"/>
      <c r="C1065" s="1493"/>
      <c r="D1065" s="1493"/>
      <c r="E1065" s="1495"/>
      <c r="F1065" s="1462"/>
      <c r="G1065" s="1462"/>
      <c r="H1065" s="1462"/>
      <c r="I1065" s="1462"/>
      <c r="J1065" s="1462"/>
      <c r="K1065" s="1462"/>
      <c r="L1065" s="1462"/>
      <c r="M1065" s="1462"/>
      <c r="N1065" s="1462"/>
      <c r="O1065" s="1462"/>
      <c r="P1065" s="1462"/>
      <c r="Q1065" s="1462"/>
      <c r="R1065" s="1462"/>
      <c r="S1065" s="1462"/>
      <c r="T1065" s="1462"/>
      <c r="U1065" s="1462"/>
      <c r="V1065" s="1462"/>
      <c r="W1065" s="1462"/>
      <c r="X1065" s="1462"/>
      <c r="Y1065" s="1462"/>
      <c r="Z1065" s="1462"/>
      <c r="AA1065" s="1462"/>
    </row>
    <row r="1066">
      <c r="A1066" s="1493"/>
      <c r="B1066" s="1494"/>
      <c r="C1066" s="1493"/>
      <c r="D1066" s="1493"/>
      <c r="E1066" s="1495"/>
      <c r="F1066" s="1462"/>
      <c r="G1066" s="1462"/>
      <c r="H1066" s="1462"/>
      <c r="I1066" s="1462"/>
      <c r="J1066" s="1462"/>
      <c r="K1066" s="1462"/>
      <c r="L1066" s="1462"/>
      <c r="M1066" s="1462"/>
      <c r="N1066" s="1462"/>
      <c r="O1066" s="1462"/>
      <c r="P1066" s="1462"/>
      <c r="Q1066" s="1462"/>
      <c r="R1066" s="1462"/>
      <c r="S1066" s="1462"/>
      <c r="T1066" s="1462"/>
      <c r="U1066" s="1462"/>
      <c r="V1066" s="1462"/>
      <c r="W1066" s="1462"/>
      <c r="X1066" s="1462"/>
      <c r="Y1066" s="1462"/>
      <c r="Z1066" s="1462"/>
      <c r="AA1066" s="1462"/>
    </row>
    <row r="1067">
      <c r="A1067" s="1493"/>
      <c r="B1067" s="1494"/>
      <c r="C1067" s="1493"/>
      <c r="D1067" s="1493"/>
      <c r="E1067" s="1495"/>
      <c r="F1067" s="1462"/>
      <c r="G1067" s="1462"/>
      <c r="H1067" s="1462"/>
      <c r="I1067" s="1462"/>
      <c r="J1067" s="1462"/>
      <c r="K1067" s="1462"/>
      <c r="L1067" s="1462"/>
      <c r="M1067" s="1462"/>
      <c r="N1067" s="1462"/>
      <c r="O1067" s="1462"/>
      <c r="P1067" s="1462"/>
      <c r="Q1067" s="1462"/>
      <c r="R1067" s="1462"/>
      <c r="S1067" s="1462"/>
      <c r="T1067" s="1462"/>
      <c r="U1067" s="1462"/>
      <c r="V1067" s="1462"/>
      <c r="W1067" s="1462"/>
      <c r="X1067" s="1462"/>
      <c r="Y1067" s="1462"/>
      <c r="Z1067" s="1462"/>
      <c r="AA1067" s="1462"/>
    </row>
    <row r="1068">
      <c r="A1068" s="1493"/>
      <c r="B1068" s="1494"/>
      <c r="C1068" s="1493"/>
      <c r="D1068" s="1493"/>
      <c r="E1068" s="1495"/>
      <c r="F1068" s="1462"/>
      <c r="G1068" s="1462"/>
      <c r="H1068" s="1462"/>
      <c r="I1068" s="1462"/>
      <c r="J1068" s="1462"/>
      <c r="K1068" s="1462"/>
      <c r="L1068" s="1462"/>
      <c r="M1068" s="1462"/>
      <c r="N1068" s="1462"/>
      <c r="O1068" s="1462"/>
      <c r="P1068" s="1462"/>
      <c r="Q1068" s="1462"/>
      <c r="R1068" s="1462"/>
      <c r="S1068" s="1462"/>
      <c r="T1068" s="1462"/>
      <c r="U1068" s="1462"/>
      <c r="V1068" s="1462"/>
      <c r="W1068" s="1462"/>
      <c r="X1068" s="1462"/>
      <c r="Y1068" s="1462"/>
      <c r="Z1068" s="1462"/>
      <c r="AA1068" s="1462"/>
    </row>
    <row r="1069">
      <c r="A1069" s="1493"/>
      <c r="B1069" s="1494"/>
      <c r="C1069" s="1493"/>
      <c r="D1069" s="1493"/>
      <c r="E1069" s="1495"/>
      <c r="F1069" s="1462"/>
      <c r="G1069" s="1462"/>
      <c r="H1069" s="1462"/>
      <c r="I1069" s="1462"/>
      <c r="J1069" s="1462"/>
      <c r="K1069" s="1462"/>
      <c r="L1069" s="1462"/>
      <c r="M1069" s="1462"/>
      <c r="N1069" s="1462"/>
      <c r="O1069" s="1462"/>
      <c r="P1069" s="1462"/>
      <c r="Q1069" s="1462"/>
      <c r="R1069" s="1462"/>
      <c r="S1069" s="1462"/>
      <c r="T1069" s="1462"/>
      <c r="U1069" s="1462"/>
      <c r="V1069" s="1462"/>
      <c r="W1069" s="1462"/>
      <c r="X1069" s="1462"/>
      <c r="Y1069" s="1462"/>
      <c r="Z1069" s="1462"/>
      <c r="AA1069" s="1462"/>
    </row>
    <row r="1070">
      <c r="A1070" s="1493"/>
      <c r="B1070" s="1494"/>
      <c r="C1070" s="1493"/>
      <c r="D1070" s="1493"/>
      <c r="E1070" s="1495"/>
      <c r="F1070" s="1462"/>
      <c r="G1070" s="1462"/>
      <c r="H1070" s="1462"/>
      <c r="I1070" s="1462"/>
      <c r="J1070" s="1462"/>
      <c r="K1070" s="1462"/>
      <c r="L1070" s="1462"/>
      <c r="M1070" s="1462"/>
      <c r="N1070" s="1462"/>
      <c r="O1070" s="1462"/>
      <c r="P1070" s="1462"/>
      <c r="Q1070" s="1462"/>
      <c r="R1070" s="1462"/>
      <c r="S1070" s="1462"/>
      <c r="T1070" s="1462"/>
      <c r="U1070" s="1462"/>
      <c r="V1070" s="1462"/>
      <c r="W1070" s="1462"/>
      <c r="X1070" s="1462"/>
      <c r="Y1070" s="1462"/>
      <c r="Z1070" s="1462"/>
      <c r="AA1070" s="1462"/>
    </row>
    <row r="1071">
      <c r="A1071" s="1493"/>
      <c r="B1071" s="1494"/>
      <c r="C1071" s="1493"/>
      <c r="D1071" s="1493"/>
      <c r="E1071" s="1495"/>
      <c r="F1071" s="1462"/>
      <c r="G1071" s="1462"/>
      <c r="H1071" s="1462"/>
      <c r="I1071" s="1462"/>
      <c r="J1071" s="1462"/>
      <c r="K1071" s="1462"/>
      <c r="L1071" s="1462"/>
      <c r="M1071" s="1462"/>
      <c r="N1071" s="1462"/>
      <c r="O1071" s="1462"/>
      <c r="P1071" s="1462"/>
      <c r="Q1071" s="1462"/>
      <c r="R1071" s="1462"/>
      <c r="S1071" s="1462"/>
      <c r="T1071" s="1462"/>
      <c r="U1071" s="1462"/>
      <c r="V1071" s="1462"/>
      <c r="W1071" s="1462"/>
      <c r="X1071" s="1462"/>
      <c r="Y1071" s="1462"/>
      <c r="Z1071" s="1462"/>
      <c r="AA1071" s="1462"/>
    </row>
    <row r="1072">
      <c r="A1072" s="1493"/>
      <c r="B1072" s="1494"/>
      <c r="C1072" s="1493"/>
      <c r="D1072" s="1493"/>
      <c r="E1072" s="1495"/>
      <c r="F1072" s="1462"/>
      <c r="G1072" s="1462"/>
      <c r="H1072" s="1462"/>
      <c r="I1072" s="1462"/>
      <c r="J1072" s="1462"/>
      <c r="K1072" s="1462"/>
      <c r="L1072" s="1462"/>
      <c r="M1072" s="1462"/>
      <c r="N1072" s="1462"/>
      <c r="O1072" s="1462"/>
      <c r="P1072" s="1462"/>
      <c r="Q1072" s="1462"/>
      <c r="R1072" s="1462"/>
      <c r="S1072" s="1462"/>
      <c r="T1072" s="1462"/>
      <c r="U1072" s="1462"/>
      <c r="V1072" s="1462"/>
      <c r="W1072" s="1462"/>
      <c r="X1072" s="1462"/>
      <c r="Y1072" s="1462"/>
      <c r="Z1072" s="1462"/>
      <c r="AA1072" s="1462"/>
    </row>
    <row r="1073">
      <c r="A1073" s="1493"/>
      <c r="B1073" s="1494"/>
      <c r="C1073" s="1493"/>
      <c r="D1073" s="1493"/>
      <c r="E1073" s="1495"/>
      <c r="F1073" s="1462"/>
      <c r="G1073" s="1462"/>
      <c r="H1073" s="1462"/>
      <c r="I1073" s="1462"/>
      <c r="J1073" s="1462"/>
      <c r="K1073" s="1462"/>
      <c r="L1073" s="1462"/>
      <c r="M1073" s="1462"/>
      <c r="N1073" s="1462"/>
      <c r="O1073" s="1462"/>
      <c r="P1073" s="1462"/>
      <c r="Q1073" s="1462"/>
      <c r="R1073" s="1462"/>
      <c r="S1073" s="1462"/>
      <c r="T1073" s="1462"/>
      <c r="U1073" s="1462"/>
      <c r="V1073" s="1462"/>
      <c r="W1073" s="1462"/>
      <c r="X1073" s="1462"/>
      <c r="Y1073" s="1462"/>
      <c r="Z1073" s="1462"/>
      <c r="AA1073" s="1462"/>
    </row>
    <row r="1074">
      <c r="A1074" s="1493"/>
      <c r="B1074" s="1494"/>
      <c r="C1074" s="1493"/>
      <c r="D1074" s="1493"/>
      <c r="E1074" s="1495"/>
      <c r="F1074" s="1462"/>
      <c r="G1074" s="1462"/>
      <c r="H1074" s="1462"/>
      <c r="I1074" s="1462"/>
      <c r="J1074" s="1462"/>
      <c r="K1074" s="1462"/>
      <c r="L1074" s="1462"/>
      <c r="M1074" s="1462"/>
      <c r="N1074" s="1462"/>
      <c r="O1074" s="1462"/>
      <c r="P1074" s="1462"/>
      <c r="Q1074" s="1462"/>
      <c r="R1074" s="1462"/>
      <c r="S1074" s="1462"/>
      <c r="T1074" s="1462"/>
      <c r="U1074" s="1462"/>
      <c r="V1074" s="1462"/>
      <c r="W1074" s="1462"/>
      <c r="X1074" s="1462"/>
      <c r="Y1074" s="1462"/>
      <c r="Z1074" s="1462"/>
      <c r="AA1074" s="1462"/>
    </row>
    <row r="1075">
      <c r="A1075" s="1493"/>
      <c r="B1075" s="1494"/>
      <c r="C1075" s="1493"/>
      <c r="D1075" s="1493"/>
      <c r="E1075" s="1495"/>
      <c r="F1075" s="1462"/>
      <c r="G1075" s="1462"/>
      <c r="H1075" s="1462"/>
      <c r="I1075" s="1462"/>
      <c r="J1075" s="1462"/>
      <c r="K1075" s="1462"/>
      <c r="L1075" s="1462"/>
      <c r="M1075" s="1462"/>
      <c r="N1075" s="1462"/>
      <c r="O1075" s="1462"/>
      <c r="P1075" s="1462"/>
      <c r="Q1075" s="1462"/>
      <c r="R1075" s="1462"/>
      <c r="S1075" s="1462"/>
      <c r="T1075" s="1462"/>
      <c r="U1075" s="1462"/>
      <c r="V1075" s="1462"/>
      <c r="W1075" s="1462"/>
      <c r="X1075" s="1462"/>
      <c r="Y1075" s="1462"/>
      <c r="Z1075" s="1462"/>
      <c r="AA1075" s="1462"/>
    </row>
    <row r="1076">
      <c r="A1076" s="1493"/>
      <c r="B1076" s="1494"/>
      <c r="C1076" s="1493"/>
      <c r="D1076" s="1493"/>
      <c r="E1076" s="1495"/>
      <c r="F1076" s="1462"/>
      <c r="G1076" s="1462"/>
      <c r="H1076" s="1462"/>
      <c r="I1076" s="1462"/>
      <c r="J1076" s="1462"/>
      <c r="K1076" s="1462"/>
      <c r="L1076" s="1462"/>
      <c r="M1076" s="1462"/>
      <c r="N1076" s="1462"/>
      <c r="O1076" s="1462"/>
      <c r="P1076" s="1462"/>
      <c r="Q1076" s="1462"/>
      <c r="R1076" s="1462"/>
      <c r="S1076" s="1462"/>
      <c r="T1076" s="1462"/>
      <c r="U1076" s="1462"/>
      <c r="V1076" s="1462"/>
      <c r="W1076" s="1462"/>
      <c r="X1076" s="1462"/>
      <c r="Y1076" s="1462"/>
      <c r="Z1076" s="1462"/>
      <c r="AA1076" s="1462"/>
    </row>
    <row r="1077">
      <c r="A1077" s="1493"/>
      <c r="B1077" s="1494"/>
      <c r="C1077" s="1493"/>
      <c r="D1077" s="1493"/>
      <c r="E1077" s="1495"/>
      <c r="F1077" s="1462"/>
      <c r="G1077" s="1462"/>
      <c r="H1077" s="1462"/>
      <c r="I1077" s="1462"/>
      <c r="J1077" s="1462"/>
      <c r="K1077" s="1462"/>
      <c r="L1077" s="1462"/>
      <c r="M1077" s="1462"/>
      <c r="N1077" s="1462"/>
      <c r="O1077" s="1462"/>
      <c r="P1077" s="1462"/>
      <c r="Q1077" s="1462"/>
      <c r="R1077" s="1462"/>
      <c r="S1077" s="1462"/>
      <c r="T1077" s="1462"/>
      <c r="U1077" s="1462"/>
      <c r="V1077" s="1462"/>
      <c r="W1077" s="1462"/>
      <c r="X1077" s="1462"/>
      <c r="Y1077" s="1462"/>
      <c r="Z1077" s="1462"/>
      <c r="AA1077" s="1462"/>
    </row>
    <row r="1078">
      <c r="A1078" s="1493"/>
      <c r="B1078" s="1494"/>
      <c r="C1078" s="1493"/>
      <c r="D1078" s="1493"/>
      <c r="E1078" s="1495"/>
      <c r="F1078" s="1462"/>
      <c r="G1078" s="1462"/>
      <c r="H1078" s="1462"/>
      <c r="I1078" s="1462"/>
      <c r="J1078" s="1462"/>
      <c r="K1078" s="1462"/>
      <c r="L1078" s="1462"/>
      <c r="M1078" s="1462"/>
      <c r="N1078" s="1462"/>
      <c r="O1078" s="1462"/>
      <c r="P1078" s="1462"/>
      <c r="Q1078" s="1462"/>
      <c r="R1078" s="1462"/>
      <c r="S1078" s="1462"/>
      <c r="T1078" s="1462"/>
      <c r="U1078" s="1462"/>
      <c r="V1078" s="1462"/>
      <c r="W1078" s="1462"/>
      <c r="X1078" s="1462"/>
      <c r="Y1078" s="1462"/>
      <c r="Z1078" s="1462"/>
      <c r="AA1078" s="1462"/>
    </row>
    <row r="1079">
      <c r="A1079" s="1493"/>
      <c r="B1079" s="1494"/>
      <c r="C1079" s="1493"/>
      <c r="D1079" s="1493"/>
      <c r="E1079" s="1495"/>
      <c r="F1079" s="1462"/>
      <c r="G1079" s="1462"/>
      <c r="H1079" s="1462"/>
      <c r="I1079" s="1462"/>
      <c r="J1079" s="1462"/>
      <c r="K1079" s="1462"/>
      <c r="L1079" s="1462"/>
      <c r="M1079" s="1462"/>
      <c r="N1079" s="1462"/>
      <c r="O1079" s="1462"/>
      <c r="P1079" s="1462"/>
      <c r="Q1079" s="1462"/>
      <c r="R1079" s="1462"/>
      <c r="S1079" s="1462"/>
      <c r="T1079" s="1462"/>
      <c r="U1079" s="1462"/>
      <c r="V1079" s="1462"/>
      <c r="W1079" s="1462"/>
      <c r="X1079" s="1462"/>
      <c r="Y1079" s="1462"/>
      <c r="Z1079" s="1462"/>
      <c r="AA1079" s="1462"/>
    </row>
    <row r="1080">
      <c r="A1080" s="1493"/>
      <c r="B1080" s="1494"/>
      <c r="C1080" s="1493"/>
      <c r="D1080" s="1493"/>
      <c r="E1080" s="1495"/>
      <c r="F1080" s="1462"/>
      <c r="G1080" s="1462"/>
      <c r="H1080" s="1462"/>
      <c r="I1080" s="1462"/>
      <c r="J1080" s="1462"/>
      <c r="K1080" s="1462"/>
      <c r="L1080" s="1462"/>
      <c r="M1080" s="1462"/>
      <c r="N1080" s="1462"/>
      <c r="O1080" s="1462"/>
      <c r="P1080" s="1462"/>
      <c r="Q1080" s="1462"/>
      <c r="R1080" s="1462"/>
      <c r="S1080" s="1462"/>
      <c r="T1080" s="1462"/>
      <c r="U1080" s="1462"/>
      <c r="V1080" s="1462"/>
      <c r="W1080" s="1462"/>
      <c r="X1080" s="1462"/>
      <c r="Y1080" s="1462"/>
      <c r="Z1080" s="1462"/>
      <c r="AA1080" s="1462"/>
    </row>
    <row r="1081">
      <c r="A1081" s="1493"/>
      <c r="B1081" s="1494"/>
      <c r="C1081" s="1493"/>
      <c r="D1081" s="1493"/>
      <c r="E1081" s="1495"/>
      <c r="F1081" s="1462"/>
      <c r="G1081" s="1462"/>
      <c r="H1081" s="1462"/>
      <c r="I1081" s="1462"/>
      <c r="J1081" s="1462"/>
      <c r="K1081" s="1462"/>
      <c r="L1081" s="1462"/>
      <c r="M1081" s="1462"/>
      <c r="N1081" s="1462"/>
      <c r="O1081" s="1462"/>
      <c r="P1081" s="1462"/>
      <c r="Q1081" s="1462"/>
      <c r="R1081" s="1462"/>
      <c r="S1081" s="1462"/>
      <c r="T1081" s="1462"/>
      <c r="U1081" s="1462"/>
      <c r="V1081" s="1462"/>
      <c r="W1081" s="1462"/>
      <c r="X1081" s="1462"/>
      <c r="Y1081" s="1462"/>
      <c r="Z1081" s="1462"/>
      <c r="AA1081" s="1462"/>
    </row>
    <row r="1082">
      <c r="A1082" s="1493"/>
      <c r="B1082" s="1494"/>
      <c r="C1082" s="1493"/>
      <c r="D1082" s="1493"/>
      <c r="E1082" s="1495"/>
      <c r="F1082" s="1462"/>
      <c r="G1082" s="1462"/>
      <c r="H1082" s="1462"/>
      <c r="I1082" s="1462"/>
      <c r="J1082" s="1462"/>
      <c r="K1082" s="1462"/>
      <c r="L1082" s="1462"/>
      <c r="M1082" s="1462"/>
      <c r="N1082" s="1462"/>
      <c r="O1082" s="1462"/>
      <c r="P1082" s="1462"/>
      <c r="Q1082" s="1462"/>
      <c r="R1082" s="1462"/>
      <c r="S1082" s="1462"/>
      <c r="T1082" s="1462"/>
      <c r="U1082" s="1462"/>
      <c r="V1082" s="1462"/>
      <c r="W1082" s="1462"/>
      <c r="X1082" s="1462"/>
      <c r="Y1082" s="1462"/>
      <c r="Z1082" s="1462"/>
      <c r="AA1082" s="1462"/>
    </row>
    <row r="1083">
      <c r="A1083" s="1493"/>
      <c r="B1083" s="1494"/>
      <c r="C1083" s="1493"/>
      <c r="D1083" s="1493"/>
      <c r="E1083" s="1495"/>
      <c r="F1083" s="1462"/>
      <c r="G1083" s="1462"/>
      <c r="H1083" s="1462"/>
      <c r="I1083" s="1462"/>
      <c r="J1083" s="1462"/>
      <c r="K1083" s="1462"/>
      <c r="L1083" s="1462"/>
      <c r="M1083" s="1462"/>
      <c r="N1083" s="1462"/>
      <c r="O1083" s="1462"/>
      <c r="P1083" s="1462"/>
      <c r="Q1083" s="1462"/>
      <c r="R1083" s="1462"/>
      <c r="S1083" s="1462"/>
      <c r="T1083" s="1462"/>
      <c r="U1083" s="1462"/>
      <c r="V1083" s="1462"/>
      <c r="W1083" s="1462"/>
      <c r="X1083" s="1462"/>
      <c r="Y1083" s="1462"/>
      <c r="Z1083" s="1462"/>
      <c r="AA1083" s="1462"/>
    </row>
    <row r="1084">
      <c r="A1084" s="1493"/>
      <c r="B1084" s="1494"/>
      <c r="C1084" s="1493"/>
      <c r="D1084" s="1493"/>
      <c r="E1084" s="1495"/>
      <c r="F1084" s="1462"/>
      <c r="G1084" s="1462"/>
      <c r="H1084" s="1462"/>
      <c r="I1084" s="1462"/>
      <c r="J1084" s="1462"/>
      <c r="K1084" s="1462"/>
      <c r="L1084" s="1462"/>
      <c r="M1084" s="1462"/>
      <c r="N1084" s="1462"/>
      <c r="O1084" s="1462"/>
      <c r="P1084" s="1462"/>
      <c r="Q1084" s="1462"/>
      <c r="R1084" s="1462"/>
      <c r="S1084" s="1462"/>
      <c r="T1084" s="1462"/>
      <c r="U1084" s="1462"/>
      <c r="V1084" s="1462"/>
      <c r="W1084" s="1462"/>
      <c r="X1084" s="1462"/>
      <c r="Y1084" s="1462"/>
      <c r="Z1084" s="1462"/>
      <c r="AA1084" s="1462"/>
    </row>
    <row r="1085">
      <c r="A1085" s="1493"/>
      <c r="B1085" s="1494"/>
      <c r="C1085" s="1493"/>
      <c r="D1085" s="1493"/>
      <c r="E1085" s="1495"/>
      <c r="F1085" s="1462"/>
      <c r="G1085" s="1462"/>
      <c r="H1085" s="1462"/>
      <c r="I1085" s="1462"/>
      <c r="J1085" s="1462"/>
      <c r="K1085" s="1462"/>
      <c r="L1085" s="1462"/>
      <c r="M1085" s="1462"/>
      <c r="N1085" s="1462"/>
      <c r="O1085" s="1462"/>
      <c r="P1085" s="1462"/>
      <c r="Q1085" s="1462"/>
      <c r="R1085" s="1462"/>
      <c r="S1085" s="1462"/>
      <c r="T1085" s="1462"/>
      <c r="U1085" s="1462"/>
      <c r="V1085" s="1462"/>
      <c r="W1085" s="1462"/>
      <c r="X1085" s="1462"/>
      <c r="Y1085" s="1462"/>
      <c r="Z1085" s="1462"/>
      <c r="AA1085" s="1462"/>
    </row>
    <row r="1086">
      <c r="A1086" s="1493"/>
      <c r="B1086" s="1494"/>
      <c r="C1086" s="1493"/>
      <c r="D1086" s="1493"/>
      <c r="E1086" s="1495"/>
      <c r="F1086" s="1462"/>
      <c r="G1086" s="1462"/>
      <c r="H1086" s="1462"/>
      <c r="I1086" s="1462"/>
      <c r="J1086" s="1462"/>
      <c r="K1086" s="1462"/>
      <c r="L1086" s="1462"/>
      <c r="M1086" s="1462"/>
      <c r="N1086" s="1462"/>
      <c r="O1086" s="1462"/>
      <c r="P1086" s="1462"/>
      <c r="Q1086" s="1462"/>
      <c r="R1086" s="1462"/>
      <c r="S1086" s="1462"/>
      <c r="T1086" s="1462"/>
      <c r="U1086" s="1462"/>
      <c r="V1086" s="1462"/>
      <c r="W1086" s="1462"/>
      <c r="X1086" s="1462"/>
      <c r="Y1086" s="1462"/>
      <c r="Z1086" s="1462"/>
      <c r="AA1086" s="1462"/>
    </row>
    <row r="1087">
      <c r="A1087" s="1493"/>
      <c r="B1087" s="1494"/>
      <c r="C1087" s="1493"/>
      <c r="D1087" s="1493"/>
      <c r="E1087" s="1495"/>
      <c r="F1087" s="1462"/>
      <c r="G1087" s="1462"/>
      <c r="H1087" s="1462"/>
      <c r="I1087" s="1462"/>
      <c r="J1087" s="1462"/>
      <c r="K1087" s="1462"/>
      <c r="L1087" s="1462"/>
      <c r="M1087" s="1462"/>
      <c r="N1087" s="1462"/>
      <c r="O1087" s="1462"/>
      <c r="P1087" s="1462"/>
      <c r="Q1087" s="1462"/>
      <c r="R1087" s="1462"/>
      <c r="S1087" s="1462"/>
      <c r="T1087" s="1462"/>
      <c r="U1087" s="1462"/>
      <c r="V1087" s="1462"/>
      <c r="W1087" s="1462"/>
      <c r="X1087" s="1462"/>
      <c r="Y1087" s="1462"/>
      <c r="Z1087" s="1462"/>
      <c r="AA1087" s="1462"/>
    </row>
    <row r="1088">
      <c r="A1088" s="1493"/>
      <c r="B1088" s="1494"/>
      <c r="C1088" s="1493"/>
      <c r="D1088" s="1493"/>
      <c r="E1088" s="1495"/>
      <c r="F1088" s="1462"/>
      <c r="G1088" s="1462"/>
      <c r="H1088" s="1462"/>
      <c r="I1088" s="1462"/>
      <c r="J1088" s="1462"/>
      <c r="K1088" s="1462"/>
      <c r="L1088" s="1462"/>
      <c r="M1088" s="1462"/>
      <c r="N1088" s="1462"/>
      <c r="O1088" s="1462"/>
      <c r="P1088" s="1462"/>
      <c r="Q1088" s="1462"/>
      <c r="R1088" s="1462"/>
      <c r="S1088" s="1462"/>
      <c r="T1088" s="1462"/>
      <c r="U1088" s="1462"/>
      <c r="V1088" s="1462"/>
      <c r="W1088" s="1462"/>
      <c r="X1088" s="1462"/>
      <c r="Y1088" s="1462"/>
      <c r="Z1088" s="1462"/>
      <c r="AA1088" s="1462"/>
    </row>
    <row r="1089">
      <c r="A1089" s="1493"/>
      <c r="B1089" s="1494"/>
      <c r="C1089" s="1493"/>
      <c r="D1089" s="1493"/>
      <c r="E1089" s="1495"/>
      <c r="F1089" s="1462"/>
      <c r="G1089" s="1462"/>
      <c r="H1089" s="1462"/>
      <c r="I1089" s="1462"/>
      <c r="J1089" s="1462"/>
      <c r="K1089" s="1462"/>
      <c r="L1089" s="1462"/>
      <c r="M1089" s="1462"/>
      <c r="N1089" s="1462"/>
      <c r="O1089" s="1462"/>
      <c r="P1089" s="1462"/>
      <c r="Q1089" s="1462"/>
      <c r="R1089" s="1462"/>
      <c r="S1089" s="1462"/>
      <c r="T1089" s="1462"/>
      <c r="U1089" s="1462"/>
      <c r="V1089" s="1462"/>
      <c r="W1089" s="1462"/>
      <c r="X1089" s="1462"/>
      <c r="Y1089" s="1462"/>
      <c r="Z1089" s="1462"/>
      <c r="AA1089" s="1462"/>
    </row>
    <row r="1090">
      <c r="A1090" s="1493"/>
      <c r="B1090" s="1494"/>
      <c r="C1090" s="1493"/>
      <c r="D1090" s="1493"/>
      <c r="E1090" s="1495"/>
      <c r="F1090" s="1462"/>
      <c r="G1090" s="1462"/>
      <c r="H1090" s="1462"/>
      <c r="I1090" s="1462"/>
      <c r="J1090" s="1462"/>
      <c r="K1090" s="1462"/>
      <c r="L1090" s="1462"/>
      <c r="M1090" s="1462"/>
      <c r="N1090" s="1462"/>
      <c r="O1090" s="1462"/>
      <c r="P1090" s="1462"/>
      <c r="Q1090" s="1462"/>
      <c r="R1090" s="1462"/>
      <c r="S1090" s="1462"/>
      <c r="T1090" s="1462"/>
      <c r="U1090" s="1462"/>
      <c r="V1090" s="1462"/>
      <c r="W1090" s="1462"/>
      <c r="X1090" s="1462"/>
      <c r="Y1090" s="1462"/>
      <c r="Z1090" s="1462"/>
      <c r="AA1090" s="1462"/>
    </row>
    <row r="1091">
      <c r="A1091" s="1493"/>
      <c r="B1091" s="1494"/>
      <c r="C1091" s="1493"/>
      <c r="D1091" s="1493"/>
      <c r="E1091" s="1495"/>
      <c r="F1091" s="1462"/>
      <c r="G1091" s="1462"/>
      <c r="H1091" s="1462"/>
      <c r="I1091" s="1462"/>
      <c r="J1091" s="1462"/>
      <c r="K1091" s="1462"/>
      <c r="L1091" s="1462"/>
      <c r="M1091" s="1462"/>
      <c r="N1091" s="1462"/>
      <c r="O1091" s="1462"/>
      <c r="P1091" s="1462"/>
      <c r="Q1091" s="1462"/>
      <c r="R1091" s="1462"/>
      <c r="S1091" s="1462"/>
      <c r="T1091" s="1462"/>
      <c r="U1091" s="1462"/>
      <c r="V1091" s="1462"/>
      <c r="W1091" s="1462"/>
      <c r="X1091" s="1462"/>
      <c r="Y1091" s="1462"/>
      <c r="Z1091" s="1462"/>
      <c r="AA1091" s="1462"/>
    </row>
    <row r="1092">
      <c r="A1092" s="1493"/>
      <c r="B1092" s="1494"/>
      <c r="C1092" s="1493"/>
      <c r="D1092" s="1493"/>
      <c r="E1092" s="1495"/>
      <c r="F1092" s="1462"/>
      <c r="G1092" s="1462"/>
      <c r="H1092" s="1462"/>
      <c r="I1092" s="1462"/>
      <c r="J1092" s="1462"/>
      <c r="K1092" s="1462"/>
      <c r="L1092" s="1462"/>
      <c r="M1092" s="1462"/>
      <c r="N1092" s="1462"/>
      <c r="O1092" s="1462"/>
      <c r="P1092" s="1462"/>
      <c r="Q1092" s="1462"/>
      <c r="R1092" s="1462"/>
      <c r="S1092" s="1462"/>
      <c r="T1092" s="1462"/>
      <c r="U1092" s="1462"/>
      <c r="V1092" s="1462"/>
      <c r="W1092" s="1462"/>
      <c r="X1092" s="1462"/>
      <c r="Y1092" s="1462"/>
      <c r="Z1092" s="1462"/>
      <c r="AA1092" s="1462"/>
    </row>
    <row r="1093">
      <c r="A1093" s="1493"/>
      <c r="B1093" s="1494"/>
      <c r="C1093" s="1493"/>
      <c r="D1093" s="1493"/>
      <c r="E1093" s="1495"/>
      <c r="F1093" s="1462"/>
      <c r="G1093" s="1462"/>
      <c r="H1093" s="1462"/>
      <c r="I1093" s="1462"/>
      <c r="J1093" s="1462"/>
      <c r="K1093" s="1462"/>
      <c r="L1093" s="1462"/>
      <c r="M1093" s="1462"/>
      <c r="N1093" s="1462"/>
      <c r="O1093" s="1462"/>
      <c r="P1093" s="1462"/>
      <c r="Q1093" s="1462"/>
      <c r="R1093" s="1462"/>
      <c r="S1093" s="1462"/>
      <c r="T1093" s="1462"/>
      <c r="U1093" s="1462"/>
      <c r="V1093" s="1462"/>
      <c r="W1093" s="1462"/>
      <c r="X1093" s="1462"/>
      <c r="Y1093" s="1462"/>
      <c r="Z1093" s="1462"/>
      <c r="AA1093" s="1462"/>
    </row>
    <row r="1094">
      <c r="A1094" s="1493"/>
      <c r="B1094" s="1494"/>
      <c r="C1094" s="1493"/>
      <c r="D1094" s="1493"/>
      <c r="E1094" s="1495"/>
      <c r="F1094" s="1462"/>
      <c r="G1094" s="1462"/>
      <c r="H1094" s="1462"/>
      <c r="I1094" s="1462"/>
      <c r="J1094" s="1462"/>
      <c r="K1094" s="1462"/>
      <c r="L1094" s="1462"/>
      <c r="M1094" s="1462"/>
      <c r="N1094" s="1462"/>
      <c r="O1094" s="1462"/>
      <c r="P1094" s="1462"/>
      <c r="Q1094" s="1462"/>
      <c r="R1094" s="1462"/>
      <c r="S1094" s="1462"/>
      <c r="T1094" s="1462"/>
      <c r="U1094" s="1462"/>
      <c r="V1094" s="1462"/>
      <c r="W1094" s="1462"/>
      <c r="X1094" s="1462"/>
      <c r="Y1094" s="1462"/>
      <c r="Z1094" s="1462"/>
      <c r="AA1094" s="1462"/>
    </row>
    <row r="1095">
      <c r="A1095" s="1493"/>
      <c r="B1095" s="1494"/>
      <c r="C1095" s="1493"/>
      <c r="D1095" s="1493"/>
      <c r="E1095" s="1495"/>
      <c r="F1095" s="1462"/>
      <c r="G1095" s="1462"/>
      <c r="H1095" s="1462"/>
      <c r="I1095" s="1462"/>
      <c r="J1095" s="1462"/>
      <c r="K1095" s="1462"/>
      <c r="L1095" s="1462"/>
      <c r="M1095" s="1462"/>
      <c r="N1095" s="1462"/>
      <c r="O1095" s="1462"/>
      <c r="P1095" s="1462"/>
      <c r="Q1095" s="1462"/>
      <c r="R1095" s="1462"/>
      <c r="S1095" s="1462"/>
      <c r="T1095" s="1462"/>
      <c r="U1095" s="1462"/>
      <c r="V1095" s="1462"/>
      <c r="W1095" s="1462"/>
      <c r="X1095" s="1462"/>
      <c r="Y1095" s="1462"/>
      <c r="Z1095" s="1462"/>
      <c r="AA1095" s="1462"/>
    </row>
    <row r="1096">
      <c r="A1096" s="1493"/>
      <c r="B1096" s="1494"/>
      <c r="C1096" s="1493"/>
      <c r="D1096" s="1493"/>
      <c r="E1096" s="1495"/>
      <c r="F1096" s="1462"/>
      <c r="G1096" s="1462"/>
      <c r="H1096" s="1462"/>
      <c r="I1096" s="1462"/>
      <c r="J1096" s="1462"/>
      <c r="K1096" s="1462"/>
      <c r="L1096" s="1462"/>
      <c r="M1096" s="1462"/>
      <c r="N1096" s="1462"/>
      <c r="O1096" s="1462"/>
      <c r="P1096" s="1462"/>
      <c r="Q1096" s="1462"/>
      <c r="R1096" s="1462"/>
      <c r="S1096" s="1462"/>
      <c r="T1096" s="1462"/>
      <c r="U1096" s="1462"/>
      <c r="V1096" s="1462"/>
      <c r="W1096" s="1462"/>
      <c r="X1096" s="1462"/>
      <c r="Y1096" s="1462"/>
      <c r="Z1096" s="1462"/>
      <c r="AA1096" s="1462"/>
    </row>
    <row r="1097">
      <c r="A1097" s="1493"/>
      <c r="B1097" s="1494"/>
      <c r="C1097" s="1493"/>
      <c r="D1097" s="1493"/>
      <c r="E1097" s="1495"/>
      <c r="F1097" s="1462"/>
      <c r="G1097" s="1462"/>
      <c r="H1097" s="1462"/>
      <c r="I1097" s="1462"/>
      <c r="J1097" s="1462"/>
      <c r="K1097" s="1462"/>
      <c r="L1097" s="1462"/>
      <c r="M1097" s="1462"/>
      <c r="N1097" s="1462"/>
      <c r="O1097" s="1462"/>
      <c r="P1097" s="1462"/>
      <c r="Q1097" s="1462"/>
      <c r="R1097" s="1462"/>
      <c r="S1097" s="1462"/>
      <c r="T1097" s="1462"/>
      <c r="U1097" s="1462"/>
      <c r="V1097" s="1462"/>
      <c r="W1097" s="1462"/>
      <c r="X1097" s="1462"/>
      <c r="Y1097" s="1462"/>
      <c r="Z1097" s="1462"/>
      <c r="AA1097" s="1462"/>
    </row>
    <row r="1098">
      <c r="A1098" s="1493"/>
      <c r="B1098" s="1494"/>
      <c r="C1098" s="1493"/>
      <c r="D1098" s="1493"/>
      <c r="E1098" s="1495"/>
      <c r="F1098" s="1462"/>
      <c r="G1098" s="1462"/>
      <c r="H1098" s="1462"/>
      <c r="I1098" s="1462"/>
      <c r="J1098" s="1462"/>
      <c r="K1098" s="1462"/>
      <c r="L1098" s="1462"/>
      <c r="M1098" s="1462"/>
      <c r="N1098" s="1462"/>
      <c r="O1098" s="1462"/>
      <c r="P1098" s="1462"/>
      <c r="Q1098" s="1462"/>
      <c r="R1098" s="1462"/>
      <c r="S1098" s="1462"/>
      <c r="T1098" s="1462"/>
      <c r="U1098" s="1462"/>
      <c r="V1098" s="1462"/>
      <c r="W1098" s="1462"/>
      <c r="X1098" s="1462"/>
      <c r="Y1098" s="1462"/>
      <c r="Z1098" s="1462"/>
      <c r="AA1098" s="1462"/>
    </row>
    <row r="1099">
      <c r="A1099" s="1493"/>
      <c r="B1099" s="1494"/>
      <c r="C1099" s="1493"/>
      <c r="D1099" s="1493"/>
      <c r="E1099" s="1495"/>
      <c r="F1099" s="1462"/>
      <c r="G1099" s="1462"/>
      <c r="H1099" s="1462"/>
      <c r="I1099" s="1462"/>
      <c r="J1099" s="1462"/>
      <c r="K1099" s="1462"/>
      <c r="L1099" s="1462"/>
      <c r="M1099" s="1462"/>
      <c r="N1099" s="1462"/>
      <c r="O1099" s="1462"/>
      <c r="P1099" s="1462"/>
      <c r="Q1099" s="1462"/>
      <c r="R1099" s="1462"/>
      <c r="S1099" s="1462"/>
      <c r="T1099" s="1462"/>
      <c r="U1099" s="1462"/>
      <c r="V1099" s="1462"/>
      <c r="W1099" s="1462"/>
      <c r="X1099" s="1462"/>
      <c r="Y1099" s="1462"/>
      <c r="Z1099" s="1462"/>
      <c r="AA1099" s="1462"/>
    </row>
    <row r="1100">
      <c r="A1100" s="1493"/>
      <c r="B1100" s="1494"/>
      <c r="C1100" s="1493"/>
      <c r="D1100" s="1493"/>
      <c r="E1100" s="1495"/>
      <c r="F1100" s="1462"/>
      <c r="G1100" s="1462"/>
      <c r="H1100" s="1462"/>
      <c r="I1100" s="1462"/>
      <c r="J1100" s="1462"/>
      <c r="K1100" s="1462"/>
      <c r="L1100" s="1462"/>
      <c r="M1100" s="1462"/>
      <c r="N1100" s="1462"/>
      <c r="O1100" s="1462"/>
      <c r="P1100" s="1462"/>
      <c r="Q1100" s="1462"/>
      <c r="R1100" s="1462"/>
      <c r="S1100" s="1462"/>
      <c r="T1100" s="1462"/>
      <c r="U1100" s="1462"/>
      <c r="V1100" s="1462"/>
      <c r="W1100" s="1462"/>
      <c r="X1100" s="1462"/>
      <c r="Y1100" s="1462"/>
      <c r="Z1100" s="1462"/>
      <c r="AA1100" s="1462"/>
    </row>
    <row r="1101">
      <c r="A1101" s="1493"/>
      <c r="B1101" s="1494"/>
      <c r="C1101" s="1493"/>
      <c r="D1101" s="1493"/>
      <c r="E1101" s="1495"/>
      <c r="F1101" s="1462"/>
      <c r="G1101" s="1462"/>
      <c r="H1101" s="1462"/>
      <c r="I1101" s="1462"/>
      <c r="J1101" s="1462"/>
      <c r="K1101" s="1462"/>
      <c r="L1101" s="1462"/>
      <c r="M1101" s="1462"/>
      <c r="N1101" s="1462"/>
      <c r="O1101" s="1462"/>
      <c r="P1101" s="1462"/>
      <c r="Q1101" s="1462"/>
      <c r="R1101" s="1462"/>
      <c r="S1101" s="1462"/>
      <c r="T1101" s="1462"/>
      <c r="U1101" s="1462"/>
      <c r="V1101" s="1462"/>
      <c r="W1101" s="1462"/>
      <c r="X1101" s="1462"/>
      <c r="Y1101" s="1462"/>
      <c r="Z1101" s="1462"/>
      <c r="AA1101" s="1462"/>
    </row>
    <row r="1102">
      <c r="A1102" s="1493"/>
      <c r="B1102" s="1494"/>
      <c r="C1102" s="1493"/>
      <c r="D1102" s="1493"/>
      <c r="E1102" s="1495"/>
      <c r="F1102" s="1462"/>
      <c r="G1102" s="1462"/>
      <c r="H1102" s="1462"/>
      <c r="I1102" s="1462"/>
      <c r="J1102" s="1462"/>
      <c r="K1102" s="1462"/>
      <c r="L1102" s="1462"/>
      <c r="M1102" s="1462"/>
      <c r="N1102" s="1462"/>
      <c r="O1102" s="1462"/>
      <c r="P1102" s="1462"/>
      <c r="Q1102" s="1462"/>
      <c r="R1102" s="1462"/>
      <c r="S1102" s="1462"/>
      <c r="T1102" s="1462"/>
      <c r="U1102" s="1462"/>
      <c r="V1102" s="1462"/>
      <c r="W1102" s="1462"/>
      <c r="X1102" s="1462"/>
      <c r="Y1102" s="1462"/>
      <c r="Z1102" s="1462"/>
      <c r="AA1102" s="1462"/>
    </row>
    <row r="1103">
      <c r="A1103" s="1493"/>
      <c r="B1103" s="1494"/>
      <c r="C1103" s="1493"/>
      <c r="D1103" s="1493"/>
      <c r="E1103" s="1495"/>
      <c r="F1103" s="1462"/>
      <c r="G1103" s="1462"/>
      <c r="H1103" s="1462"/>
      <c r="I1103" s="1462"/>
      <c r="J1103" s="1462"/>
      <c r="K1103" s="1462"/>
      <c r="L1103" s="1462"/>
      <c r="M1103" s="1462"/>
      <c r="N1103" s="1462"/>
      <c r="O1103" s="1462"/>
      <c r="P1103" s="1462"/>
      <c r="Q1103" s="1462"/>
      <c r="R1103" s="1462"/>
      <c r="S1103" s="1462"/>
      <c r="T1103" s="1462"/>
      <c r="U1103" s="1462"/>
      <c r="V1103" s="1462"/>
      <c r="W1103" s="1462"/>
      <c r="X1103" s="1462"/>
      <c r="Y1103" s="1462"/>
      <c r="Z1103" s="1462"/>
      <c r="AA1103" s="1462"/>
    </row>
    <row r="1104">
      <c r="A1104" s="1493"/>
      <c r="B1104" s="1494"/>
      <c r="C1104" s="1493"/>
      <c r="D1104" s="1493"/>
      <c r="E1104" s="1495"/>
      <c r="F1104" s="1462"/>
      <c r="G1104" s="1462"/>
      <c r="H1104" s="1462"/>
      <c r="I1104" s="1462"/>
      <c r="J1104" s="1462"/>
      <c r="K1104" s="1462"/>
      <c r="L1104" s="1462"/>
      <c r="M1104" s="1462"/>
      <c r="N1104" s="1462"/>
      <c r="O1104" s="1462"/>
      <c r="P1104" s="1462"/>
      <c r="Q1104" s="1462"/>
      <c r="R1104" s="1462"/>
      <c r="S1104" s="1462"/>
      <c r="T1104" s="1462"/>
      <c r="U1104" s="1462"/>
      <c r="V1104" s="1462"/>
      <c r="W1104" s="1462"/>
      <c r="X1104" s="1462"/>
      <c r="Y1104" s="1462"/>
      <c r="Z1104" s="1462"/>
      <c r="AA1104" s="1462"/>
    </row>
    <row r="1105">
      <c r="A1105" s="1493"/>
      <c r="B1105" s="1494"/>
      <c r="C1105" s="1493"/>
      <c r="D1105" s="1493"/>
      <c r="E1105" s="1495"/>
      <c r="F1105" s="1462"/>
      <c r="G1105" s="1462"/>
      <c r="H1105" s="1462"/>
      <c r="I1105" s="1462"/>
      <c r="J1105" s="1462"/>
      <c r="K1105" s="1462"/>
      <c r="L1105" s="1462"/>
      <c r="M1105" s="1462"/>
      <c r="N1105" s="1462"/>
      <c r="O1105" s="1462"/>
      <c r="P1105" s="1462"/>
      <c r="Q1105" s="1462"/>
      <c r="R1105" s="1462"/>
      <c r="S1105" s="1462"/>
      <c r="T1105" s="1462"/>
      <c r="U1105" s="1462"/>
      <c r="V1105" s="1462"/>
      <c r="W1105" s="1462"/>
      <c r="X1105" s="1462"/>
      <c r="Y1105" s="1462"/>
      <c r="Z1105" s="1462"/>
      <c r="AA1105" s="1462"/>
    </row>
    <row r="1106">
      <c r="A1106" s="1493"/>
      <c r="B1106" s="1494"/>
      <c r="C1106" s="1493"/>
      <c r="D1106" s="1493"/>
      <c r="E1106" s="1495"/>
      <c r="F1106" s="1462"/>
      <c r="G1106" s="1462"/>
      <c r="H1106" s="1462"/>
      <c r="I1106" s="1462"/>
      <c r="J1106" s="1462"/>
      <c r="K1106" s="1462"/>
      <c r="L1106" s="1462"/>
      <c r="M1106" s="1462"/>
      <c r="N1106" s="1462"/>
      <c r="O1106" s="1462"/>
      <c r="P1106" s="1462"/>
      <c r="Q1106" s="1462"/>
      <c r="R1106" s="1462"/>
      <c r="S1106" s="1462"/>
      <c r="T1106" s="1462"/>
      <c r="U1106" s="1462"/>
      <c r="V1106" s="1462"/>
      <c r="W1106" s="1462"/>
      <c r="X1106" s="1462"/>
      <c r="Y1106" s="1462"/>
      <c r="Z1106" s="1462"/>
      <c r="AA1106" s="1462"/>
    </row>
    <row r="1107">
      <c r="A1107" s="1493"/>
      <c r="B1107" s="1494"/>
      <c r="C1107" s="1493"/>
      <c r="D1107" s="1493"/>
      <c r="E1107" s="1495"/>
      <c r="F1107" s="1462"/>
      <c r="G1107" s="1462"/>
      <c r="H1107" s="1462"/>
      <c r="I1107" s="1462"/>
      <c r="J1107" s="1462"/>
      <c r="K1107" s="1462"/>
      <c r="L1107" s="1462"/>
      <c r="M1107" s="1462"/>
      <c r="N1107" s="1462"/>
      <c r="O1107" s="1462"/>
      <c r="P1107" s="1462"/>
      <c r="Q1107" s="1462"/>
      <c r="R1107" s="1462"/>
      <c r="S1107" s="1462"/>
      <c r="T1107" s="1462"/>
      <c r="U1107" s="1462"/>
      <c r="V1107" s="1462"/>
      <c r="W1107" s="1462"/>
      <c r="X1107" s="1462"/>
      <c r="Y1107" s="1462"/>
      <c r="Z1107" s="1462"/>
      <c r="AA1107" s="1462"/>
    </row>
    <row r="1108">
      <c r="A1108" s="1493"/>
      <c r="B1108" s="1494"/>
      <c r="C1108" s="1493"/>
      <c r="D1108" s="1493"/>
      <c r="E1108" s="1495"/>
      <c r="F1108" s="1462"/>
      <c r="G1108" s="1462"/>
      <c r="H1108" s="1462"/>
      <c r="I1108" s="1462"/>
      <c r="J1108" s="1462"/>
      <c r="K1108" s="1462"/>
      <c r="L1108" s="1462"/>
      <c r="M1108" s="1462"/>
      <c r="N1108" s="1462"/>
      <c r="O1108" s="1462"/>
      <c r="P1108" s="1462"/>
      <c r="Q1108" s="1462"/>
      <c r="R1108" s="1462"/>
      <c r="S1108" s="1462"/>
      <c r="T1108" s="1462"/>
      <c r="U1108" s="1462"/>
      <c r="V1108" s="1462"/>
      <c r="W1108" s="1462"/>
      <c r="X1108" s="1462"/>
      <c r="Y1108" s="1462"/>
      <c r="Z1108" s="1462"/>
      <c r="AA1108" s="1462"/>
    </row>
    <row r="1109">
      <c r="A1109" s="1493"/>
      <c r="B1109" s="1494"/>
      <c r="C1109" s="1493"/>
      <c r="D1109" s="1493"/>
      <c r="E1109" s="1495"/>
      <c r="F1109" s="1462"/>
      <c r="G1109" s="1462"/>
      <c r="H1109" s="1462"/>
      <c r="I1109" s="1462"/>
      <c r="J1109" s="1462"/>
      <c r="K1109" s="1462"/>
      <c r="L1109" s="1462"/>
      <c r="M1109" s="1462"/>
      <c r="N1109" s="1462"/>
      <c r="O1109" s="1462"/>
      <c r="P1109" s="1462"/>
      <c r="Q1109" s="1462"/>
      <c r="R1109" s="1462"/>
      <c r="S1109" s="1462"/>
      <c r="T1109" s="1462"/>
      <c r="U1109" s="1462"/>
      <c r="V1109" s="1462"/>
      <c r="W1109" s="1462"/>
      <c r="X1109" s="1462"/>
      <c r="Y1109" s="1462"/>
      <c r="Z1109" s="1462"/>
      <c r="AA1109" s="1462"/>
    </row>
    <row r="1110">
      <c r="A1110" s="1493"/>
      <c r="B1110" s="1494"/>
      <c r="C1110" s="1493"/>
      <c r="D1110" s="1493"/>
      <c r="E1110" s="1495"/>
      <c r="F1110" s="1462"/>
      <c r="G1110" s="1462"/>
      <c r="H1110" s="1462"/>
      <c r="I1110" s="1462"/>
      <c r="J1110" s="1462"/>
      <c r="K1110" s="1462"/>
      <c r="L1110" s="1462"/>
      <c r="M1110" s="1462"/>
      <c r="N1110" s="1462"/>
      <c r="O1110" s="1462"/>
      <c r="P1110" s="1462"/>
      <c r="Q1110" s="1462"/>
      <c r="R1110" s="1462"/>
      <c r="S1110" s="1462"/>
      <c r="T1110" s="1462"/>
      <c r="U1110" s="1462"/>
      <c r="V1110" s="1462"/>
      <c r="W1110" s="1462"/>
      <c r="X1110" s="1462"/>
      <c r="Y1110" s="1462"/>
      <c r="Z1110" s="1462"/>
      <c r="AA1110" s="1462"/>
    </row>
    <row r="1111">
      <c r="A1111" s="1493"/>
      <c r="B1111" s="1494"/>
      <c r="C1111" s="1493"/>
      <c r="D1111" s="1493"/>
      <c r="E1111" s="1495"/>
      <c r="F1111" s="1462"/>
      <c r="G1111" s="1462"/>
      <c r="H1111" s="1462"/>
      <c r="I1111" s="1462"/>
      <c r="J1111" s="1462"/>
      <c r="K1111" s="1462"/>
      <c r="L1111" s="1462"/>
      <c r="M1111" s="1462"/>
      <c r="N1111" s="1462"/>
      <c r="O1111" s="1462"/>
      <c r="P1111" s="1462"/>
      <c r="Q1111" s="1462"/>
      <c r="R1111" s="1462"/>
      <c r="S1111" s="1462"/>
      <c r="T1111" s="1462"/>
      <c r="U1111" s="1462"/>
      <c r="V1111" s="1462"/>
      <c r="W1111" s="1462"/>
      <c r="X1111" s="1462"/>
      <c r="Y1111" s="1462"/>
      <c r="Z1111" s="1462"/>
      <c r="AA1111" s="1462"/>
    </row>
    <row r="1112">
      <c r="A1112" s="1493"/>
      <c r="B1112" s="1494"/>
      <c r="C1112" s="1493"/>
      <c r="D1112" s="1493"/>
      <c r="E1112" s="1495"/>
      <c r="F1112" s="1462"/>
      <c r="G1112" s="1462"/>
      <c r="H1112" s="1462"/>
      <c r="I1112" s="1462"/>
      <c r="J1112" s="1462"/>
      <c r="K1112" s="1462"/>
      <c r="L1112" s="1462"/>
      <c r="M1112" s="1462"/>
      <c r="N1112" s="1462"/>
      <c r="O1112" s="1462"/>
      <c r="P1112" s="1462"/>
      <c r="Q1112" s="1462"/>
      <c r="R1112" s="1462"/>
      <c r="S1112" s="1462"/>
      <c r="T1112" s="1462"/>
      <c r="U1112" s="1462"/>
      <c r="V1112" s="1462"/>
      <c r="W1112" s="1462"/>
      <c r="X1112" s="1462"/>
      <c r="Y1112" s="1462"/>
      <c r="Z1112" s="1462"/>
      <c r="AA1112" s="1462"/>
    </row>
    <row r="1113">
      <c r="A1113" s="1493"/>
      <c r="B1113" s="1494"/>
      <c r="C1113" s="1493"/>
      <c r="D1113" s="1493"/>
      <c r="E1113" s="1495"/>
      <c r="F1113" s="1462"/>
      <c r="G1113" s="1462"/>
      <c r="H1113" s="1462"/>
      <c r="I1113" s="1462"/>
      <c r="J1113" s="1462"/>
      <c r="K1113" s="1462"/>
      <c r="L1113" s="1462"/>
      <c r="M1113" s="1462"/>
      <c r="N1113" s="1462"/>
      <c r="O1113" s="1462"/>
      <c r="P1113" s="1462"/>
      <c r="Q1113" s="1462"/>
      <c r="R1113" s="1462"/>
      <c r="S1113" s="1462"/>
      <c r="T1113" s="1462"/>
      <c r="U1113" s="1462"/>
      <c r="V1113" s="1462"/>
      <c r="W1113" s="1462"/>
      <c r="X1113" s="1462"/>
      <c r="Y1113" s="1462"/>
      <c r="Z1113" s="1462"/>
      <c r="AA1113" s="1462"/>
    </row>
    <row r="1114">
      <c r="A1114" s="1493"/>
      <c r="B1114" s="1494"/>
      <c r="C1114" s="1493"/>
      <c r="D1114" s="1493"/>
      <c r="E1114" s="1495"/>
      <c r="F1114" s="1462"/>
      <c r="G1114" s="1462"/>
      <c r="H1114" s="1462"/>
      <c r="I1114" s="1462"/>
      <c r="J1114" s="1462"/>
      <c r="K1114" s="1462"/>
      <c r="L1114" s="1462"/>
      <c r="M1114" s="1462"/>
      <c r="N1114" s="1462"/>
      <c r="O1114" s="1462"/>
      <c r="P1114" s="1462"/>
      <c r="Q1114" s="1462"/>
      <c r="R1114" s="1462"/>
      <c r="S1114" s="1462"/>
      <c r="T1114" s="1462"/>
      <c r="U1114" s="1462"/>
      <c r="V1114" s="1462"/>
      <c r="W1114" s="1462"/>
      <c r="X1114" s="1462"/>
      <c r="Y1114" s="1462"/>
      <c r="Z1114" s="1462"/>
      <c r="AA1114" s="1462"/>
    </row>
    <row r="1115">
      <c r="A1115" s="1493"/>
      <c r="B1115" s="1494"/>
      <c r="C1115" s="1493"/>
      <c r="D1115" s="1493"/>
      <c r="E1115" s="1495"/>
      <c r="F1115" s="1462"/>
      <c r="G1115" s="1462"/>
      <c r="H1115" s="1462"/>
      <c r="I1115" s="1462"/>
      <c r="J1115" s="1462"/>
      <c r="K1115" s="1462"/>
      <c r="L1115" s="1462"/>
      <c r="M1115" s="1462"/>
      <c r="N1115" s="1462"/>
      <c r="O1115" s="1462"/>
      <c r="P1115" s="1462"/>
      <c r="Q1115" s="1462"/>
      <c r="R1115" s="1462"/>
      <c r="S1115" s="1462"/>
      <c r="T1115" s="1462"/>
      <c r="U1115" s="1462"/>
      <c r="V1115" s="1462"/>
      <c r="W1115" s="1462"/>
      <c r="X1115" s="1462"/>
      <c r="Y1115" s="1462"/>
      <c r="Z1115" s="1462"/>
      <c r="AA1115" s="1462"/>
    </row>
    <row r="1116">
      <c r="A1116" s="1493"/>
      <c r="B1116" s="1494"/>
      <c r="C1116" s="1493"/>
      <c r="D1116" s="1493"/>
      <c r="E1116" s="1495"/>
      <c r="F1116" s="1462"/>
      <c r="G1116" s="1462"/>
      <c r="H1116" s="1462"/>
      <c r="I1116" s="1462"/>
      <c r="J1116" s="1462"/>
      <c r="K1116" s="1462"/>
      <c r="L1116" s="1462"/>
      <c r="M1116" s="1462"/>
      <c r="N1116" s="1462"/>
      <c r="O1116" s="1462"/>
      <c r="P1116" s="1462"/>
      <c r="Q1116" s="1462"/>
      <c r="R1116" s="1462"/>
      <c r="S1116" s="1462"/>
      <c r="T1116" s="1462"/>
      <c r="U1116" s="1462"/>
      <c r="V1116" s="1462"/>
      <c r="W1116" s="1462"/>
      <c r="X1116" s="1462"/>
      <c r="Y1116" s="1462"/>
      <c r="Z1116" s="1462"/>
      <c r="AA1116" s="1462"/>
    </row>
    <row r="1117">
      <c r="A1117" s="1493"/>
      <c r="B1117" s="1494"/>
      <c r="C1117" s="1493"/>
      <c r="D1117" s="1493"/>
      <c r="E1117" s="1495"/>
      <c r="F1117" s="1462"/>
      <c r="G1117" s="1462"/>
      <c r="H1117" s="1462"/>
      <c r="I1117" s="1462"/>
      <c r="J1117" s="1462"/>
      <c r="K1117" s="1462"/>
      <c r="L1117" s="1462"/>
      <c r="M1117" s="1462"/>
      <c r="N1117" s="1462"/>
      <c r="O1117" s="1462"/>
      <c r="P1117" s="1462"/>
      <c r="Q1117" s="1462"/>
      <c r="R1117" s="1462"/>
      <c r="S1117" s="1462"/>
      <c r="T1117" s="1462"/>
      <c r="U1117" s="1462"/>
      <c r="V1117" s="1462"/>
      <c r="W1117" s="1462"/>
      <c r="X1117" s="1462"/>
      <c r="Y1117" s="1462"/>
      <c r="Z1117" s="1462"/>
      <c r="AA1117" s="1462"/>
    </row>
    <row r="1118">
      <c r="A1118" s="1493"/>
      <c r="B1118" s="1494"/>
      <c r="C1118" s="1493"/>
      <c r="D1118" s="1493"/>
      <c r="E1118" s="1495"/>
      <c r="F1118" s="1462"/>
      <c r="G1118" s="1462"/>
      <c r="H1118" s="1462"/>
      <c r="I1118" s="1462"/>
      <c r="J1118" s="1462"/>
      <c r="K1118" s="1462"/>
      <c r="L1118" s="1462"/>
      <c r="M1118" s="1462"/>
      <c r="N1118" s="1462"/>
      <c r="O1118" s="1462"/>
      <c r="P1118" s="1462"/>
      <c r="Q1118" s="1462"/>
      <c r="R1118" s="1462"/>
      <c r="S1118" s="1462"/>
      <c r="T1118" s="1462"/>
      <c r="U1118" s="1462"/>
      <c r="V1118" s="1462"/>
      <c r="W1118" s="1462"/>
      <c r="X1118" s="1462"/>
      <c r="Y1118" s="1462"/>
      <c r="Z1118" s="1462"/>
      <c r="AA1118" s="1462"/>
    </row>
    <row r="1119">
      <c r="A1119" s="1493"/>
      <c r="B1119" s="1494"/>
      <c r="C1119" s="1493"/>
      <c r="D1119" s="1493"/>
      <c r="E1119" s="1495"/>
      <c r="F1119" s="1462"/>
      <c r="G1119" s="1462"/>
      <c r="H1119" s="1462"/>
      <c r="I1119" s="1462"/>
      <c r="J1119" s="1462"/>
      <c r="K1119" s="1462"/>
      <c r="L1119" s="1462"/>
      <c r="M1119" s="1462"/>
      <c r="N1119" s="1462"/>
      <c r="O1119" s="1462"/>
      <c r="P1119" s="1462"/>
      <c r="Q1119" s="1462"/>
      <c r="R1119" s="1462"/>
      <c r="S1119" s="1462"/>
      <c r="T1119" s="1462"/>
      <c r="U1119" s="1462"/>
      <c r="V1119" s="1462"/>
      <c r="W1119" s="1462"/>
      <c r="X1119" s="1462"/>
      <c r="Y1119" s="1462"/>
      <c r="Z1119" s="1462"/>
      <c r="AA1119" s="1462"/>
    </row>
    <row r="1120">
      <c r="A1120" s="1493"/>
      <c r="B1120" s="1494"/>
      <c r="C1120" s="1493"/>
      <c r="D1120" s="1493"/>
      <c r="E1120" s="1495"/>
      <c r="F1120" s="1462"/>
      <c r="G1120" s="1462"/>
      <c r="H1120" s="1462"/>
      <c r="I1120" s="1462"/>
      <c r="J1120" s="1462"/>
      <c r="K1120" s="1462"/>
      <c r="L1120" s="1462"/>
      <c r="M1120" s="1462"/>
      <c r="N1120" s="1462"/>
      <c r="O1120" s="1462"/>
      <c r="P1120" s="1462"/>
      <c r="Q1120" s="1462"/>
      <c r="R1120" s="1462"/>
      <c r="S1120" s="1462"/>
      <c r="T1120" s="1462"/>
      <c r="U1120" s="1462"/>
      <c r="V1120" s="1462"/>
      <c r="W1120" s="1462"/>
      <c r="X1120" s="1462"/>
      <c r="Y1120" s="1462"/>
      <c r="Z1120" s="1462"/>
      <c r="AA1120" s="1462"/>
    </row>
    <row r="1121">
      <c r="A1121" s="1493"/>
      <c r="B1121" s="1494"/>
      <c r="C1121" s="1493"/>
      <c r="D1121" s="1493"/>
      <c r="E1121" s="1495"/>
      <c r="F1121" s="1462"/>
      <c r="G1121" s="1462"/>
      <c r="H1121" s="1462"/>
      <c r="I1121" s="1462"/>
      <c r="J1121" s="1462"/>
      <c r="K1121" s="1462"/>
      <c r="L1121" s="1462"/>
      <c r="M1121" s="1462"/>
      <c r="N1121" s="1462"/>
      <c r="O1121" s="1462"/>
      <c r="P1121" s="1462"/>
      <c r="Q1121" s="1462"/>
      <c r="R1121" s="1462"/>
      <c r="S1121" s="1462"/>
      <c r="T1121" s="1462"/>
      <c r="U1121" s="1462"/>
      <c r="V1121" s="1462"/>
      <c r="W1121" s="1462"/>
      <c r="X1121" s="1462"/>
      <c r="Y1121" s="1462"/>
      <c r="Z1121" s="1462"/>
      <c r="AA1121" s="1462"/>
    </row>
    <row r="1122">
      <c r="A1122" s="1493"/>
      <c r="B1122" s="1494"/>
      <c r="C1122" s="1493"/>
      <c r="D1122" s="1493"/>
      <c r="E1122" s="1495"/>
      <c r="F1122" s="1462"/>
      <c r="G1122" s="1462"/>
      <c r="H1122" s="1462"/>
      <c r="I1122" s="1462"/>
      <c r="J1122" s="1462"/>
      <c r="K1122" s="1462"/>
      <c r="L1122" s="1462"/>
      <c r="M1122" s="1462"/>
      <c r="N1122" s="1462"/>
      <c r="O1122" s="1462"/>
      <c r="P1122" s="1462"/>
      <c r="Q1122" s="1462"/>
      <c r="R1122" s="1462"/>
      <c r="S1122" s="1462"/>
      <c r="T1122" s="1462"/>
      <c r="U1122" s="1462"/>
      <c r="V1122" s="1462"/>
      <c r="W1122" s="1462"/>
      <c r="X1122" s="1462"/>
      <c r="Y1122" s="1462"/>
      <c r="Z1122" s="1462"/>
      <c r="AA1122" s="1462"/>
    </row>
    <row r="1123">
      <c r="A1123" s="1493"/>
      <c r="B1123" s="1494"/>
      <c r="C1123" s="1493"/>
      <c r="D1123" s="1493"/>
      <c r="E1123" s="1495"/>
      <c r="F1123" s="1462"/>
      <c r="G1123" s="1462"/>
      <c r="H1123" s="1462"/>
      <c r="I1123" s="1462"/>
      <c r="J1123" s="1462"/>
      <c r="K1123" s="1462"/>
      <c r="L1123" s="1462"/>
      <c r="M1123" s="1462"/>
      <c r="N1123" s="1462"/>
      <c r="O1123" s="1462"/>
      <c r="P1123" s="1462"/>
      <c r="Q1123" s="1462"/>
      <c r="R1123" s="1462"/>
      <c r="S1123" s="1462"/>
      <c r="T1123" s="1462"/>
      <c r="U1123" s="1462"/>
      <c r="V1123" s="1462"/>
      <c r="W1123" s="1462"/>
      <c r="X1123" s="1462"/>
      <c r="Y1123" s="1462"/>
      <c r="Z1123" s="1462"/>
      <c r="AA1123" s="1462"/>
    </row>
    <row r="1124">
      <c r="A1124" s="1493"/>
      <c r="B1124" s="1494"/>
      <c r="C1124" s="1493"/>
      <c r="D1124" s="1493"/>
      <c r="E1124" s="1495"/>
      <c r="F1124" s="1462"/>
      <c r="G1124" s="1462"/>
      <c r="H1124" s="1462"/>
      <c r="I1124" s="1462"/>
      <c r="J1124" s="1462"/>
      <c r="K1124" s="1462"/>
      <c r="L1124" s="1462"/>
      <c r="M1124" s="1462"/>
      <c r="N1124" s="1462"/>
      <c r="O1124" s="1462"/>
      <c r="P1124" s="1462"/>
      <c r="Q1124" s="1462"/>
      <c r="R1124" s="1462"/>
      <c r="S1124" s="1462"/>
      <c r="T1124" s="1462"/>
      <c r="U1124" s="1462"/>
      <c r="V1124" s="1462"/>
      <c r="W1124" s="1462"/>
      <c r="X1124" s="1462"/>
      <c r="Y1124" s="1462"/>
      <c r="Z1124" s="1462"/>
      <c r="AA1124" s="1462"/>
    </row>
    <row r="1125">
      <c r="A1125" s="1493"/>
      <c r="B1125" s="1494"/>
      <c r="C1125" s="1493"/>
      <c r="D1125" s="1493"/>
      <c r="E1125" s="1495"/>
      <c r="F1125" s="1462"/>
      <c r="G1125" s="1462"/>
      <c r="H1125" s="1462"/>
      <c r="I1125" s="1462"/>
      <c r="J1125" s="1462"/>
      <c r="K1125" s="1462"/>
      <c r="L1125" s="1462"/>
      <c r="M1125" s="1462"/>
      <c r="N1125" s="1462"/>
      <c r="O1125" s="1462"/>
      <c r="P1125" s="1462"/>
      <c r="Q1125" s="1462"/>
      <c r="R1125" s="1462"/>
      <c r="S1125" s="1462"/>
      <c r="T1125" s="1462"/>
      <c r="U1125" s="1462"/>
      <c r="V1125" s="1462"/>
      <c r="W1125" s="1462"/>
      <c r="X1125" s="1462"/>
      <c r="Y1125" s="1462"/>
      <c r="Z1125" s="1462"/>
      <c r="AA1125" s="1462"/>
    </row>
    <row r="1126">
      <c r="A1126" s="1493"/>
      <c r="B1126" s="1494"/>
      <c r="C1126" s="1493"/>
      <c r="D1126" s="1493"/>
      <c r="E1126" s="1495"/>
      <c r="F1126" s="1462"/>
      <c r="G1126" s="1462"/>
      <c r="H1126" s="1462"/>
      <c r="I1126" s="1462"/>
      <c r="J1126" s="1462"/>
      <c r="K1126" s="1462"/>
      <c r="L1126" s="1462"/>
      <c r="M1126" s="1462"/>
      <c r="N1126" s="1462"/>
      <c r="O1126" s="1462"/>
      <c r="P1126" s="1462"/>
      <c r="Q1126" s="1462"/>
      <c r="R1126" s="1462"/>
      <c r="S1126" s="1462"/>
      <c r="T1126" s="1462"/>
      <c r="U1126" s="1462"/>
      <c r="V1126" s="1462"/>
      <c r="W1126" s="1462"/>
      <c r="X1126" s="1462"/>
      <c r="Y1126" s="1462"/>
      <c r="Z1126" s="1462"/>
      <c r="AA1126" s="1462"/>
    </row>
    <row r="1127">
      <c r="A1127" s="1493"/>
      <c r="B1127" s="1494"/>
      <c r="C1127" s="1493"/>
      <c r="D1127" s="1493"/>
      <c r="E1127" s="1495"/>
      <c r="F1127" s="1462"/>
      <c r="G1127" s="1462"/>
      <c r="H1127" s="1462"/>
      <c r="I1127" s="1462"/>
      <c r="J1127" s="1462"/>
      <c r="K1127" s="1462"/>
      <c r="L1127" s="1462"/>
      <c r="M1127" s="1462"/>
      <c r="N1127" s="1462"/>
      <c r="O1127" s="1462"/>
      <c r="P1127" s="1462"/>
      <c r="Q1127" s="1462"/>
      <c r="R1127" s="1462"/>
      <c r="S1127" s="1462"/>
      <c r="T1127" s="1462"/>
      <c r="U1127" s="1462"/>
      <c r="V1127" s="1462"/>
      <c r="W1127" s="1462"/>
      <c r="X1127" s="1462"/>
      <c r="Y1127" s="1462"/>
      <c r="Z1127" s="1462"/>
      <c r="AA1127" s="1462"/>
    </row>
    <row r="1128">
      <c r="A1128" s="1493"/>
      <c r="B1128" s="1494"/>
      <c r="C1128" s="1493"/>
      <c r="D1128" s="1493"/>
      <c r="E1128" s="1495"/>
      <c r="F1128" s="1462"/>
      <c r="G1128" s="1462"/>
      <c r="H1128" s="1462"/>
      <c r="I1128" s="1462"/>
      <c r="J1128" s="1462"/>
      <c r="K1128" s="1462"/>
      <c r="L1128" s="1462"/>
      <c r="M1128" s="1462"/>
      <c r="N1128" s="1462"/>
      <c r="O1128" s="1462"/>
      <c r="P1128" s="1462"/>
      <c r="Q1128" s="1462"/>
      <c r="R1128" s="1462"/>
      <c r="S1128" s="1462"/>
      <c r="T1128" s="1462"/>
      <c r="U1128" s="1462"/>
      <c r="V1128" s="1462"/>
      <c r="W1128" s="1462"/>
      <c r="X1128" s="1462"/>
      <c r="Y1128" s="1462"/>
      <c r="Z1128" s="1462"/>
      <c r="AA1128" s="1462"/>
    </row>
    <row r="1129">
      <c r="A1129" s="1493"/>
      <c r="B1129" s="1494"/>
      <c r="C1129" s="1493"/>
      <c r="D1129" s="1493"/>
      <c r="E1129" s="1495"/>
      <c r="F1129" s="1462"/>
      <c r="G1129" s="1462"/>
      <c r="H1129" s="1462"/>
      <c r="I1129" s="1462"/>
      <c r="J1129" s="1462"/>
      <c r="K1129" s="1462"/>
      <c r="L1129" s="1462"/>
      <c r="M1129" s="1462"/>
      <c r="N1129" s="1462"/>
      <c r="O1129" s="1462"/>
      <c r="P1129" s="1462"/>
      <c r="Q1129" s="1462"/>
      <c r="R1129" s="1462"/>
      <c r="S1129" s="1462"/>
      <c r="T1129" s="1462"/>
      <c r="U1129" s="1462"/>
      <c r="V1129" s="1462"/>
      <c r="W1129" s="1462"/>
      <c r="X1129" s="1462"/>
      <c r="Y1129" s="1462"/>
      <c r="Z1129" s="1462"/>
      <c r="AA1129" s="1462"/>
    </row>
    <row r="1130">
      <c r="A1130" s="1493"/>
      <c r="B1130" s="1494"/>
      <c r="C1130" s="1493"/>
      <c r="D1130" s="1493"/>
      <c r="E1130" s="1495"/>
      <c r="F1130" s="1462"/>
      <c r="G1130" s="1462"/>
      <c r="H1130" s="1462"/>
      <c r="I1130" s="1462"/>
      <c r="J1130" s="1462"/>
      <c r="K1130" s="1462"/>
      <c r="L1130" s="1462"/>
      <c r="M1130" s="1462"/>
      <c r="N1130" s="1462"/>
      <c r="O1130" s="1462"/>
      <c r="P1130" s="1462"/>
      <c r="Q1130" s="1462"/>
      <c r="R1130" s="1462"/>
      <c r="S1130" s="1462"/>
      <c r="T1130" s="1462"/>
      <c r="U1130" s="1462"/>
      <c r="V1130" s="1462"/>
      <c r="W1130" s="1462"/>
      <c r="X1130" s="1462"/>
      <c r="Y1130" s="1462"/>
      <c r="Z1130" s="1462"/>
      <c r="AA1130" s="1462"/>
    </row>
    <row r="1131">
      <c r="A1131" s="1493"/>
      <c r="B1131" s="1494"/>
      <c r="C1131" s="1493"/>
      <c r="D1131" s="1493"/>
      <c r="E1131" s="1495"/>
      <c r="F1131" s="1462"/>
      <c r="G1131" s="1462"/>
      <c r="H1131" s="1462"/>
      <c r="I1131" s="1462"/>
      <c r="J1131" s="1462"/>
      <c r="K1131" s="1462"/>
      <c r="L1131" s="1462"/>
      <c r="M1131" s="1462"/>
      <c r="N1131" s="1462"/>
      <c r="O1131" s="1462"/>
      <c r="P1131" s="1462"/>
      <c r="Q1131" s="1462"/>
      <c r="R1131" s="1462"/>
      <c r="S1131" s="1462"/>
      <c r="T1131" s="1462"/>
      <c r="U1131" s="1462"/>
      <c r="V1131" s="1462"/>
      <c r="W1131" s="1462"/>
      <c r="X1131" s="1462"/>
      <c r="Y1131" s="1462"/>
      <c r="Z1131" s="1462"/>
      <c r="AA1131" s="1462"/>
    </row>
    <row r="1132">
      <c r="A1132" s="1493"/>
      <c r="B1132" s="1494"/>
      <c r="C1132" s="1493"/>
      <c r="D1132" s="1493"/>
      <c r="E1132" s="1495"/>
      <c r="F1132" s="1462"/>
      <c r="G1132" s="1462"/>
      <c r="H1132" s="1462"/>
      <c r="I1132" s="1462"/>
      <c r="J1132" s="1462"/>
      <c r="K1132" s="1462"/>
      <c r="L1132" s="1462"/>
      <c r="M1132" s="1462"/>
      <c r="N1132" s="1462"/>
      <c r="O1132" s="1462"/>
      <c r="P1132" s="1462"/>
      <c r="Q1132" s="1462"/>
      <c r="R1132" s="1462"/>
      <c r="S1132" s="1462"/>
      <c r="T1132" s="1462"/>
      <c r="U1132" s="1462"/>
      <c r="V1132" s="1462"/>
      <c r="W1132" s="1462"/>
      <c r="X1132" s="1462"/>
      <c r="Y1132" s="1462"/>
      <c r="Z1132" s="1462"/>
      <c r="AA1132" s="1462"/>
    </row>
    <row r="1133">
      <c r="A1133" s="1493"/>
      <c r="B1133" s="1494"/>
      <c r="C1133" s="1493"/>
      <c r="D1133" s="1493"/>
      <c r="E1133" s="1495"/>
      <c r="F1133" s="1462"/>
      <c r="G1133" s="1462"/>
      <c r="H1133" s="1462"/>
      <c r="I1133" s="1462"/>
      <c r="J1133" s="1462"/>
      <c r="K1133" s="1462"/>
      <c r="L1133" s="1462"/>
      <c r="M1133" s="1462"/>
      <c r="N1133" s="1462"/>
      <c r="O1133" s="1462"/>
      <c r="P1133" s="1462"/>
      <c r="Q1133" s="1462"/>
      <c r="R1133" s="1462"/>
      <c r="S1133" s="1462"/>
      <c r="T1133" s="1462"/>
      <c r="U1133" s="1462"/>
      <c r="V1133" s="1462"/>
      <c r="W1133" s="1462"/>
      <c r="X1133" s="1462"/>
      <c r="Y1133" s="1462"/>
      <c r="Z1133" s="1462"/>
      <c r="AA1133" s="1462"/>
    </row>
    <row r="1134">
      <c r="A1134" s="1493"/>
      <c r="B1134" s="1494"/>
      <c r="C1134" s="1493"/>
      <c r="D1134" s="1493"/>
      <c r="E1134" s="1495"/>
      <c r="F1134" s="1462"/>
      <c r="G1134" s="1462"/>
      <c r="H1134" s="1462"/>
      <c r="I1134" s="1462"/>
      <c r="J1134" s="1462"/>
      <c r="K1134" s="1462"/>
      <c r="L1134" s="1462"/>
      <c r="M1134" s="1462"/>
      <c r="N1134" s="1462"/>
      <c r="O1134" s="1462"/>
      <c r="P1134" s="1462"/>
      <c r="Q1134" s="1462"/>
      <c r="R1134" s="1462"/>
      <c r="S1134" s="1462"/>
      <c r="T1134" s="1462"/>
      <c r="U1134" s="1462"/>
      <c r="V1134" s="1462"/>
      <c r="W1134" s="1462"/>
      <c r="X1134" s="1462"/>
      <c r="Y1134" s="1462"/>
      <c r="Z1134" s="1462"/>
      <c r="AA1134" s="1462"/>
    </row>
    <row r="1135">
      <c r="A1135" s="1493"/>
      <c r="B1135" s="1494"/>
      <c r="C1135" s="1493"/>
      <c r="D1135" s="1493"/>
      <c r="E1135" s="1495"/>
      <c r="F1135" s="1462"/>
      <c r="G1135" s="1462"/>
      <c r="H1135" s="1462"/>
      <c r="I1135" s="1462"/>
      <c r="J1135" s="1462"/>
      <c r="K1135" s="1462"/>
      <c r="L1135" s="1462"/>
      <c r="M1135" s="1462"/>
      <c r="N1135" s="1462"/>
      <c r="O1135" s="1462"/>
      <c r="P1135" s="1462"/>
      <c r="Q1135" s="1462"/>
      <c r="R1135" s="1462"/>
      <c r="S1135" s="1462"/>
      <c r="T1135" s="1462"/>
      <c r="U1135" s="1462"/>
      <c r="V1135" s="1462"/>
      <c r="W1135" s="1462"/>
      <c r="X1135" s="1462"/>
      <c r="Y1135" s="1462"/>
      <c r="Z1135" s="1462"/>
      <c r="AA1135" s="1462"/>
    </row>
    <row r="1136">
      <c r="A1136" s="1493"/>
      <c r="B1136" s="1494"/>
      <c r="C1136" s="1493"/>
      <c r="D1136" s="1493"/>
      <c r="E1136" s="1495"/>
      <c r="F1136" s="1462"/>
      <c r="G1136" s="1462"/>
      <c r="H1136" s="1462"/>
      <c r="I1136" s="1462"/>
      <c r="J1136" s="1462"/>
      <c r="K1136" s="1462"/>
      <c r="L1136" s="1462"/>
      <c r="M1136" s="1462"/>
      <c r="N1136" s="1462"/>
      <c r="O1136" s="1462"/>
      <c r="P1136" s="1462"/>
      <c r="Q1136" s="1462"/>
      <c r="R1136" s="1462"/>
      <c r="S1136" s="1462"/>
      <c r="T1136" s="1462"/>
      <c r="U1136" s="1462"/>
      <c r="V1136" s="1462"/>
      <c r="W1136" s="1462"/>
      <c r="X1136" s="1462"/>
      <c r="Y1136" s="1462"/>
      <c r="Z1136" s="1462"/>
      <c r="AA1136" s="1462"/>
    </row>
    <row r="1137">
      <c r="A1137" s="1463" t="s">
        <v>6764</v>
      </c>
      <c r="B1137" s="1464"/>
      <c r="C1137" s="1463">
        <v>139.0</v>
      </c>
      <c r="D1137" s="713">
        <v>139.0</v>
      </c>
      <c r="E1137" s="1489"/>
      <c r="F1137" s="1462"/>
      <c r="G1137" s="1462"/>
      <c r="H1137" s="1462"/>
      <c r="I1137" s="1462"/>
      <c r="J1137" s="1462"/>
      <c r="K1137" s="1462"/>
      <c r="L1137" s="1462"/>
      <c r="M1137" s="1462"/>
      <c r="N1137" s="1462"/>
      <c r="O1137" s="1462"/>
      <c r="P1137" s="1462"/>
      <c r="Q1137" s="1462"/>
      <c r="R1137" s="1462"/>
      <c r="S1137" s="1462"/>
      <c r="T1137" s="1462"/>
      <c r="U1137" s="1462"/>
      <c r="V1137" s="1462"/>
      <c r="W1137" s="1462"/>
      <c r="X1137" s="1462"/>
      <c r="Y1137" s="1462"/>
      <c r="Z1137" s="1462"/>
      <c r="AA1137" s="1462"/>
    </row>
    <row r="1138">
      <c r="A1138" s="1463" t="s">
        <v>6764</v>
      </c>
      <c r="B1138" s="1464"/>
      <c r="C1138" s="1463">
        <v>140.0</v>
      </c>
      <c r="D1138" s="713">
        <v>140.0</v>
      </c>
      <c r="E1138" s="1489"/>
      <c r="F1138" s="1462"/>
      <c r="G1138" s="1462"/>
      <c r="H1138" s="1462"/>
      <c r="I1138" s="1462"/>
      <c r="J1138" s="1462"/>
      <c r="K1138" s="1462"/>
      <c r="L1138" s="1462"/>
      <c r="M1138" s="1462"/>
      <c r="N1138" s="1462"/>
      <c r="O1138" s="1462"/>
      <c r="P1138" s="1462"/>
      <c r="Q1138" s="1462"/>
      <c r="R1138" s="1462"/>
      <c r="S1138" s="1462"/>
      <c r="T1138" s="1462"/>
      <c r="U1138" s="1462"/>
      <c r="V1138" s="1462"/>
      <c r="W1138" s="1462"/>
      <c r="X1138" s="1462"/>
      <c r="Y1138" s="1462"/>
      <c r="Z1138" s="1462"/>
      <c r="AA1138" s="1462"/>
    </row>
    <row r="1139">
      <c r="A1139" s="1463" t="s">
        <v>6764</v>
      </c>
      <c r="B1139" s="1464"/>
      <c r="C1139" s="1463">
        <v>141.0</v>
      </c>
      <c r="D1139" s="713">
        <v>141.0</v>
      </c>
      <c r="E1139" s="1489"/>
      <c r="F1139" s="1462"/>
      <c r="G1139" s="1462"/>
      <c r="H1139" s="1462"/>
      <c r="I1139" s="1462"/>
      <c r="J1139" s="1462"/>
      <c r="K1139" s="1462"/>
      <c r="L1139" s="1462"/>
      <c r="M1139" s="1462"/>
      <c r="N1139" s="1462"/>
      <c r="O1139" s="1462"/>
      <c r="P1139" s="1462"/>
      <c r="Q1139" s="1462"/>
      <c r="R1139" s="1462"/>
      <c r="S1139" s="1462"/>
      <c r="T1139" s="1462"/>
      <c r="U1139" s="1462"/>
      <c r="V1139" s="1462"/>
      <c r="W1139" s="1462"/>
      <c r="X1139" s="1462"/>
      <c r="Y1139" s="1462"/>
      <c r="Z1139" s="1462"/>
      <c r="AA1139" s="1462"/>
    </row>
    <row r="1140">
      <c r="A1140" s="1463" t="s">
        <v>6764</v>
      </c>
      <c r="B1140" s="1464"/>
      <c r="C1140" s="1463">
        <v>142.0</v>
      </c>
      <c r="D1140" s="713">
        <v>142.0</v>
      </c>
      <c r="E1140" s="1489"/>
      <c r="F1140" s="1462"/>
      <c r="G1140" s="1462"/>
      <c r="H1140" s="1462"/>
      <c r="I1140" s="1462"/>
      <c r="J1140" s="1462"/>
      <c r="K1140" s="1462"/>
      <c r="L1140" s="1462"/>
      <c r="M1140" s="1462"/>
      <c r="N1140" s="1462"/>
      <c r="O1140" s="1462"/>
      <c r="P1140" s="1462"/>
      <c r="Q1140" s="1462"/>
      <c r="R1140" s="1462"/>
      <c r="S1140" s="1462"/>
      <c r="T1140" s="1462"/>
      <c r="U1140" s="1462"/>
      <c r="V1140" s="1462"/>
      <c r="W1140" s="1462"/>
      <c r="X1140" s="1462"/>
      <c r="Y1140" s="1462"/>
      <c r="Z1140" s="1462"/>
      <c r="AA1140" s="1462"/>
    </row>
    <row r="1141">
      <c r="A1141" s="1463" t="s">
        <v>6764</v>
      </c>
      <c r="B1141" s="1464"/>
      <c r="C1141" s="1463">
        <v>143.0</v>
      </c>
      <c r="D1141" s="713">
        <v>143.0</v>
      </c>
      <c r="E1141" s="1489"/>
      <c r="F1141" s="1462"/>
      <c r="G1141" s="1462"/>
      <c r="H1141" s="1462"/>
      <c r="I1141" s="1462"/>
      <c r="J1141" s="1462"/>
      <c r="K1141" s="1462"/>
      <c r="L1141" s="1462"/>
      <c r="M1141" s="1462"/>
      <c r="N1141" s="1462"/>
      <c r="O1141" s="1462"/>
      <c r="P1141" s="1462"/>
      <c r="Q1141" s="1462"/>
      <c r="R1141" s="1462"/>
      <c r="S1141" s="1462"/>
      <c r="T1141" s="1462"/>
      <c r="U1141" s="1462"/>
      <c r="V1141" s="1462"/>
      <c r="W1141" s="1462"/>
      <c r="X1141" s="1462"/>
      <c r="Y1141" s="1462"/>
      <c r="Z1141" s="1462"/>
      <c r="AA1141" s="1462"/>
    </row>
    <row r="1142">
      <c r="A1142" s="1463" t="s">
        <v>6764</v>
      </c>
      <c r="B1142" s="1464"/>
      <c r="C1142" s="1463">
        <v>144.0</v>
      </c>
      <c r="D1142" s="713">
        <v>144.0</v>
      </c>
      <c r="E1142" s="1489"/>
      <c r="F1142" s="1462"/>
      <c r="G1142" s="1462"/>
      <c r="H1142" s="1462"/>
      <c r="I1142" s="1462"/>
      <c r="J1142" s="1462"/>
      <c r="K1142" s="1462"/>
      <c r="L1142" s="1462"/>
      <c r="M1142" s="1462"/>
      <c r="N1142" s="1462"/>
      <c r="O1142" s="1462"/>
      <c r="P1142" s="1462"/>
      <c r="Q1142" s="1462"/>
      <c r="R1142" s="1462"/>
      <c r="S1142" s="1462"/>
      <c r="T1142" s="1462"/>
      <c r="U1142" s="1462"/>
      <c r="V1142" s="1462"/>
      <c r="W1142" s="1462"/>
      <c r="X1142" s="1462"/>
      <c r="Y1142" s="1462"/>
      <c r="Z1142" s="1462"/>
      <c r="AA1142" s="1462"/>
    </row>
    <row r="1143">
      <c r="A1143" s="1463" t="s">
        <v>6764</v>
      </c>
      <c r="B1143" s="1464"/>
      <c r="C1143" s="1463">
        <v>145.0</v>
      </c>
      <c r="D1143" s="713">
        <v>145.0</v>
      </c>
      <c r="E1143" s="1489"/>
      <c r="F1143" s="1462"/>
      <c r="G1143" s="1462"/>
      <c r="H1143" s="1462"/>
      <c r="I1143" s="1462"/>
      <c r="J1143" s="1462"/>
      <c r="K1143" s="1462"/>
      <c r="L1143" s="1462"/>
      <c r="M1143" s="1462"/>
      <c r="N1143" s="1462"/>
      <c r="O1143" s="1462"/>
      <c r="P1143" s="1462"/>
      <c r="Q1143" s="1462"/>
      <c r="R1143" s="1462"/>
      <c r="S1143" s="1462"/>
      <c r="T1143" s="1462"/>
      <c r="U1143" s="1462"/>
      <c r="V1143" s="1462"/>
      <c r="W1143" s="1462"/>
      <c r="X1143" s="1462"/>
      <c r="Y1143" s="1462"/>
      <c r="Z1143" s="1462"/>
      <c r="AA1143" s="1462"/>
    </row>
    <row r="1144">
      <c r="A1144" s="1463" t="s">
        <v>6764</v>
      </c>
      <c r="B1144" s="1464"/>
      <c r="C1144" s="1463">
        <v>146.0</v>
      </c>
      <c r="D1144" s="713">
        <v>146.0</v>
      </c>
      <c r="E1144" s="1489"/>
      <c r="F1144" s="1462"/>
      <c r="G1144" s="1462"/>
      <c r="H1144" s="1462"/>
      <c r="I1144" s="1462"/>
      <c r="J1144" s="1462"/>
      <c r="K1144" s="1462"/>
      <c r="L1144" s="1462"/>
      <c r="M1144" s="1462"/>
      <c r="N1144" s="1462"/>
      <c r="O1144" s="1462"/>
      <c r="P1144" s="1462"/>
      <c r="Q1144" s="1462"/>
      <c r="R1144" s="1462"/>
      <c r="S1144" s="1462"/>
      <c r="T1144" s="1462"/>
      <c r="U1144" s="1462"/>
      <c r="V1144" s="1462"/>
      <c r="W1144" s="1462"/>
      <c r="X1144" s="1462"/>
      <c r="Y1144" s="1462"/>
      <c r="Z1144" s="1462"/>
      <c r="AA1144" s="1462"/>
    </row>
    <row r="1145">
      <c r="A1145" s="1463" t="s">
        <v>6764</v>
      </c>
      <c r="B1145" s="1464"/>
      <c r="C1145" s="1463">
        <v>147.0</v>
      </c>
      <c r="D1145" s="713">
        <v>147.0</v>
      </c>
      <c r="E1145" s="1489"/>
      <c r="F1145" s="1462"/>
      <c r="G1145" s="1462"/>
      <c r="H1145" s="1462"/>
      <c r="I1145" s="1462"/>
      <c r="J1145" s="1462"/>
      <c r="K1145" s="1462"/>
      <c r="L1145" s="1462"/>
      <c r="M1145" s="1462"/>
      <c r="N1145" s="1462"/>
      <c r="O1145" s="1462"/>
      <c r="P1145" s="1462"/>
      <c r="Q1145" s="1462"/>
      <c r="R1145" s="1462"/>
      <c r="S1145" s="1462"/>
      <c r="T1145" s="1462"/>
      <c r="U1145" s="1462"/>
      <c r="V1145" s="1462"/>
      <c r="W1145" s="1462"/>
      <c r="X1145" s="1462"/>
      <c r="Y1145" s="1462"/>
      <c r="Z1145" s="1462"/>
      <c r="AA1145" s="1462"/>
    </row>
    <row r="1146">
      <c r="A1146" s="1463" t="s">
        <v>6764</v>
      </c>
      <c r="B1146" s="1464"/>
      <c r="C1146" s="1463">
        <v>148.0</v>
      </c>
      <c r="D1146" s="713">
        <v>148.0</v>
      </c>
      <c r="E1146" s="1489"/>
      <c r="F1146" s="1462"/>
      <c r="G1146" s="1462"/>
      <c r="H1146" s="1462"/>
      <c r="I1146" s="1462"/>
      <c r="J1146" s="1462"/>
      <c r="K1146" s="1462"/>
      <c r="L1146" s="1462"/>
      <c r="M1146" s="1462"/>
      <c r="N1146" s="1462"/>
      <c r="O1146" s="1462"/>
      <c r="P1146" s="1462"/>
      <c r="Q1146" s="1462"/>
      <c r="R1146" s="1462"/>
      <c r="S1146" s="1462"/>
      <c r="T1146" s="1462"/>
      <c r="U1146" s="1462"/>
      <c r="V1146" s="1462"/>
      <c r="W1146" s="1462"/>
      <c r="X1146" s="1462"/>
      <c r="Y1146" s="1462"/>
      <c r="Z1146" s="1462"/>
      <c r="AA1146" s="1462"/>
    </row>
    <row r="1147">
      <c r="A1147" s="1463" t="s">
        <v>6764</v>
      </c>
      <c r="B1147" s="1464"/>
      <c r="C1147" s="1463">
        <v>149.0</v>
      </c>
      <c r="D1147" s="713">
        <v>149.0</v>
      </c>
      <c r="E1147" s="1495"/>
      <c r="F1147" s="1462"/>
      <c r="G1147" s="1462"/>
      <c r="H1147" s="1462"/>
      <c r="I1147" s="1462"/>
      <c r="J1147" s="1462"/>
      <c r="K1147" s="1462"/>
      <c r="L1147" s="1462"/>
      <c r="M1147" s="1462"/>
      <c r="N1147" s="1462"/>
      <c r="O1147" s="1462"/>
      <c r="P1147" s="1462"/>
      <c r="Q1147" s="1462"/>
      <c r="R1147" s="1462"/>
      <c r="S1147" s="1462"/>
      <c r="T1147" s="1462"/>
      <c r="U1147" s="1462"/>
      <c r="V1147" s="1462"/>
      <c r="W1147" s="1462"/>
      <c r="X1147" s="1462"/>
      <c r="Y1147" s="1462"/>
      <c r="Z1147" s="1462"/>
      <c r="AA1147" s="1462"/>
    </row>
  </sheetData>
  <autoFilter ref="$A$1:$E$1147"/>
  <customSheetViews>
    <customSheetView guid="{6EA4E08C-8739-4759-AC14-EC33F83EDD6D}" filter="1" showAutoFilter="1">
      <autoFilter ref="$A$1:$E$220"/>
    </customSheetView>
  </customSheetView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7.25"/>
    <col customWidth="1" min="2" max="2" width="24.88"/>
    <col customWidth="1" min="3" max="3" width="18.88"/>
    <col customWidth="1" min="4" max="4" width="8.63"/>
    <col customWidth="1" min="5" max="5" width="20.0"/>
    <col customWidth="1" min="6" max="6" width="9.5"/>
    <col customWidth="1" min="7" max="7" width="37.13"/>
    <col customWidth="1" min="8" max="8" width="6.5"/>
    <col customWidth="1" min="9" max="9" width="10.63"/>
  </cols>
  <sheetData>
    <row r="1">
      <c r="A1" s="461"/>
      <c r="B1" s="1496"/>
      <c r="C1" s="461" t="s">
        <v>6765</v>
      </c>
      <c r="D1" s="461" t="s">
        <v>6766</v>
      </c>
      <c r="E1" s="461" t="s">
        <v>6767</v>
      </c>
      <c r="F1" s="1497" t="s">
        <v>6768</v>
      </c>
      <c r="G1" s="1498" t="s">
        <v>4314</v>
      </c>
      <c r="H1" s="1499" t="s">
        <v>6769</v>
      </c>
      <c r="I1" s="1500"/>
      <c r="J1" s="1263"/>
      <c r="K1" s="1263"/>
      <c r="L1" s="1263"/>
      <c r="M1" s="1263"/>
      <c r="N1" s="1263"/>
      <c r="O1" s="1263"/>
      <c r="P1" s="1263"/>
      <c r="Q1" s="1263"/>
      <c r="R1" s="1263"/>
      <c r="S1" s="1263"/>
      <c r="T1" s="1263"/>
      <c r="U1" s="1263"/>
      <c r="V1" s="1263"/>
      <c r="W1" s="1263"/>
    </row>
    <row r="2">
      <c r="A2" s="1501">
        <v>45583.0</v>
      </c>
      <c r="B2" s="1502" t="s">
        <v>6770</v>
      </c>
      <c r="C2" s="1503" t="s">
        <v>6679</v>
      </c>
      <c r="D2" s="1503" t="s">
        <v>6771</v>
      </c>
      <c r="E2" s="1504" t="s">
        <v>6772</v>
      </c>
      <c r="F2" s="1505">
        <v>45833.0</v>
      </c>
      <c r="G2" s="1504" t="s">
        <v>6773</v>
      </c>
      <c r="H2" s="1499" t="s">
        <v>6774</v>
      </c>
      <c r="I2" s="1500">
        <v>350000.0</v>
      </c>
      <c r="J2" s="1263"/>
      <c r="K2" s="1263"/>
      <c r="L2" s="1263"/>
      <c r="M2" s="1263"/>
      <c r="N2" s="1263"/>
      <c r="O2" s="1263"/>
      <c r="P2" s="1263"/>
      <c r="Q2" s="1263"/>
      <c r="R2" s="1263"/>
      <c r="S2" s="1263"/>
      <c r="T2" s="1263"/>
      <c r="U2" s="1263"/>
      <c r="V2" s="1263"/>
      <c r="W2" s="1263"/>
    </row>
    <row r="3">
      <c r="A3" s="1501">
        <v>45694.0</v>
      </c>
      <c r="B3" s="1506" t="s">
        <v>6775</v>
      </c>
      <c r="C3" s="1504" t="s">
        <v>6776</v>
      </c>
      <c r="D3" s="1504"/>
      <c r="E3" s="1504" t="s">
        <v>6777</v>
      </c>
      <c r="F3" s="1505">
        <v>45833.0</v>
      </c>
      <c r="G3" s="1504" t="s">
        <v>4107</v>
      </c>
      <c r="H3" s="1499">
        <v>117.0</v>
      </c>
      <c r="I3" s="1500">
        <f>H3*7000</f>
        <v>819000</v>
      </c>
      <c r="J3" s="1263"/>
      <c r="K3" s="1263"/>
      <c r="L3" s="1263"/>
      <c r="M3" s="1263"/>
      <c r="N3" s="1263"/>
      <c r="O3" s="1263"/>
      <c r="P3" s="1263"/>
      <c r="Q3" s="1263"/>
      <c r="R3" s="1263"/>
      <c r="S3" s="1263"/>
      <c r="T3" s="1263"/>
      <c r="U3" s="1263"/>
      <c r="V3" s="1263"/>
      <c r="W3" s="1263"/>
    </row>
    <row r="4">
      <c r="A4" s="1501">
        <v>45770.0</v>
      </c>
      <c r="B4" s="1506" t="s">
        <v>6778</v>
      </c>
      <c r="C4" s="1504" t="s">
        <v>6779</v>
      </c>
      <c r="D4" s="1504"/>
      <c r="E4" s="1504">
        <v>203.0</v>
      </c>
      <c r="F4" s="1505">
        <v>45833.0</v>
      </c>
      <c r="G4" s="1504" t="s">
        <v>6780</v>
      </c>
      <c r="H4" s="1499">
        <v>56.0</v>
      </c>
      <c r="I4" s="1507">
        <f t="shared" ref="I4:I7" si="1">H4*10000</f>
        <v>560000</v>
      </c>
      <c r="J4" s="1263"/>
      <c r="K4" s="1263"/>
      <c r="L4" s="1263"/>
      <c r="M4" s="1263"/>
      <c r="N4" s="1263"/>
      <c r="O4" s="1263"/>
      <c r="P4" s="1263"/>
      <c r="Q4" s="1263"/>
      <c r="R4" s="1263"/>
      <c r="S4" s="1263"/>
      <c r="T4" s="1263"/>
      <c r="U4" s="1263"/>
      <c r="V4" s="1263"/>
      <c r="W4" s="1263"/>
    </row>
    <row r="5">
      <c r="A5" s="1501">
        <v>45770.0</v>
      </c>
      <c r="B5" s="1506" t="s">
        <v>6778</v>
      </c>
      <c r="C5" s="1504" t="s">
        <v>6781</v>
      </c>
      <c r="D5" s="1504"/>
      <c r="E5" s="1504">
        <v>305.0</v>
      </c>
      <c r="F5" s="1505">
        <v>45833.0</v>
      </c>
      <c r="G5" s="1504" t="s">
        <v>6780</v>
      </c>
      <c r="H5" s="1499">
        <v>56.0</v>
      </c>
      <c r="I5" s="1507">
        <f t="shared" si="1"/>
        <v>560000</v>
      </c>
      <c r="J5" s="1263"/>
      <c r="K5" s="1263"/>
      <c r="L5" s="1263"/>
      <c r="M5" s="1263"/>
      <c r="N5" s="1263"/>
      <c r="O5" s="1263"/>
      <c r="P5" s="1263"/>
      <c r="Q5" s="1263"/>
      <c r="R5" s="1263"/>
      <c r="S5" s="1263"/>
      <c r="T5" s="1263"/>
      <c r="U5" s="1263"/>
      <c r="V5" s="1263"/>
      <c r="W5" s="1263"/>
    </row>
    <row r="6">
      <c r="A6" s="1501">
        <v>45770.0</v>
      </c>
      <c r="B6" s="1506" t="s">
        <v>6778</v>
      </c>
      <c r="C6" s="1504" t="s">
        <v>6782</v>
      </c>
      <c r="D6" s="1504"/>
      <c r="E6" s="1504">
        <v>104.0</v>
      </c>
      <c r="F6" s="1505">
        <v>45833.0</v>
      </c>
      <c r="G6" s="1504" t="s">
        <v>6780</v>
      </c>
      <c r="H6" s="1499">
        <v>56.0</v>
      </c>
      <c r="I6" s="1507">
        <f t="shared" si="1"/>
        <v>560000</v>
      </c>
      <c r="J6" s="1263"/>
      <c r="K6" s="1263"/>
      <c r="L6" s="1263"/>
      <c r="M6" s="1263"/>
      <c r="N6" s="1263"/>
      <c r="O6" s="1263"/>
      <c r="P6" s="1263"/>
      <c r="Q6" s="1263"/>
      <c r="R6" s="1263"/>
      <c r="S6" s="1263"/>
      <c r="T6" s="1263"/>
      <c r="U6" s="1263"/>
      <c r="V6" s="1263"/>
      <c r="W6" s="1263"/>
    </row>
    <row r="7">
      <c r="A7" s="1501">
        <v>45772.0</v>
      </c>
      <c r="B7" s="1506" t="s">
        <v>6778</v>
      </c>
      <c r="C7" s="1504" t="s">
        <v>6783</v>
      </c>
      <c r="D7" s="1504" t="s">
        <v>6784</v>
      </c>
      <c r="E7" s="1504" t="s">
        <v>6785</v>
      </c>
      <c r="F7" s="1505">
        <v>45833.0</v>
      </c>
      <c r="G7" s="1504" t="s">
        <v>6780</v>
      </c>
      <c r="H7" s="1499">
        <v>54.0</v>
      </c>
      <c r="I7" s="1507">
        <f t="shared" si="1"/>
        <v>540000</v>
      </c>
      <c r="J7" s="1508">
        <f>I4+I5+I6+I7</f>
        <v>2220000</v>
      </c>
      <c r="K7" s="1508">
        <f>J7+350000</f>
        <v>2570000</v>
      </c>
      <c r="L7" s="1263"/>
      <c r="M7" s="1263"/>
      <c r="N7" s="1263"/>
      <c r="O7" s="1263"/>
      <c r="P7" s="1263"/>
      <c r="Q7" s="1263"/>
      <c r="R7" s="1263"/>
      <c r="S7" s="1263"/>
      <c r="T7" s="1263"/>
      <c r="U7" s="1263"/>
      <c r="V7" s="1263"/>
      <c r="W7" s="1263"/>
    </row>
    <row r="8">
      <c r="A8" s="1501">
        <v>45789.0</v>
      </c>
      <c r="B8" s="1506" t="s">
        <v>6786</v>
      </c>
      <c r="C8" s="1504" t="s">
        <v>6787</v>
      </c>
      <c r="D8" s="1504"/>
      <c r="E8" s="1504" t="s">
        <v>6788</v>
      </c>
      <c r="F8" s="1505">
        <v>45833.0</v>
      </c>
      <c r="G8" s="1504" t="s">
        <v>4107</v>
      </c>
      <c r="H8" s="1499">
        <v>41.0</v>
      </c>
      <c r="I8" s="1500">
        <f>H8*3000</f>
        <v>123000</v>
      </c>
      <c r="J8" s="1263"/>
      <c r="K8" s="1263"/>
      <c r="L8" s="1263"/>
      <c r="M8" s="1263"/>
      <c r="N8" s="1263"/>
      <c r="O8" s="1263"/>
      <c r="P8" s="1263"/>
      <c r="Q8" s="1263"/>
      <c r="R8" s="1263"/>
      <c r="S8" s="1263"/>
      <c r="T8" s="1263"/>
      <c r="U8" s="1263"/>
      <c r="V8" s="1263"/>
      <c r="W8" s="1263"/>
    </row>
    <row r="9">
      <c r="A9" s="1501">
        <v>45792.0</v>
      </c>
      <c r="B9" s="1506" t="s">
        <v>6789</v>
      </c>
      <c r="C9" s="1504" t="s">
        <v>6790</v>
      </c>
      <c r="D9" s="1504" t="s">
        <v>1464</v>
      </c>
      <c r="E9" s="1504">
        <v>70421.0</v>
      </c>
      <c r="F9" s="1505">
        <v>45833.0</v>
      </c>
      <c r="G9" s="1504" t="s">
        <v>6780</v>
      </c>
      <c r="H9" s="1499">
        <v>38.0</v>
      </c>
      <c r="I9" s="1509">
        <f>H9*5000</f>
        <v>190000</v>
      </c>
      <c r="J9" s="1263"/>
      <c r="K9" s="1263"/>
      <c r="L9" s="1263"/>
      <c r="M9" s="1263"/>
      <c r="N9" s="1263"/>
      <c r="O9" s="1263"/>
      <c r="P9" s="1263"/>
      <c r="Q9" s="1263"/>
      <c r="R9" s="1263"/>
      <c r="S9" s="1263"/>
      <c r="T9" s="1263"/>
      <c r="U9" s="1263"/>
      <c r="V9" s="1263"/>
      <c r="W9" s="1263"/>
    </row>
    <row r="10">
      <c r="A10" s="1501">
        <v>45792.0</v>
      </c>
      <c r="B10" s="1506" t="s">
        <v>6789</v>
      </c>
      <c r="C10" s="1504" t="s">
        <v>6791</v>
      </c>
      <c r="D10" s="1504" t="s">
        <v>1464</v>
      </c>
      <c r="E10" s="1504" t="s">
        <v>6792</v>
      </c>
      <c r="F10" s="1505">
        <v>45833.0</v>
      </c>
      <c r="G10" s="1504" t="s">
        <v>6780</v>
      </c>
      <c r="H10" s="1499">
        <v>38.0</v>
      </c>
      <c r="I10" s="1509">
        <f>H10*7000</f>
        <v>266000</v>
      </c>
      <c r="J10" s="1510">
        <f>I9+I10</f>
        <v>456000</v>
      </c>
      <c r="K10" s="1263"/>
      <c r="L10" s="1263"/>
      <c r="M10" s="1263"/>
      <c r="N10" s="1263"/>
      <c r="O10" s="1263"/>
      <c r="P10" s="1263"/>
      <c r="Q10" s="1263"/>
      <c r="R10" s="1263"/>
      <c r="S10" s="1263"/>
      <c r="T10" s="1263"/>
      <c r="U10" s="1263"/>
      <c r="V10" s="1263"/>
      <c r="W10" s="1263"/>
    </row>
    <row r="11">
      <c r="A11" s="1501">
        <v>45793.0</v>
      </c>
      <c r="B11" s="1506" t="s">
        <v>6793</v>
      </c>
      <c r="C11" s="1504" t="s">
        <v>6794</v>
      </c>
      <c r="D11" s="1504"/>
      <c r="E11" s="1504" t="s">
        <v>6788</v>
      </c>
      <c r="F11" s="1505">
        <v>45833.0</v>
      </c>
      <c r="G11" s="1504" t="s">
        <v>4107</v>
      </c>
      <c r="H11" s="1499">
        <v>37.0</v>
      </c>
      <c r="I11" s="1500">
        <f t="shared" ref="I11:I14" si="2">H11*5000</f>
        <v>185000</v>
      </c>
      <c r="J11" s="1263"/>
      <c r="K11" s="1263"/>
      <c r="L11" s="1263"/>
      <c r="M11" s="1263"/>
      <c r="N11" s="1263"/>
      <c r="O11" s="1263"/>
      <c r="P11" s="1263"/>
      <c r="Q11" s="1263"/>
      <c r="R11" s="1263"/>
      <c r="S11" s="1263"/>
      <c r="T11" s="1263"/>
      <c r="U11" s="1263"/>
      <c r="V11" s="1263"/>
      <c r="W11" s="1263"/>
    </row>
    <row r="12">
      <c r="A12" s="1501">
        <v>45796.0</v>
      </c>
      <c r="B12" s="1506" t="s">
        <v>6795</v>
      </c>
      <c r="C12" s="1504" t="s">
        <v>6790</v>
      </c>
      <c r="D12" s="1504"/>
      <c r="E12" s="1504">
        <v>8655.0</v>
      </c>
      <c r="F12" s="1505">
        <v>45833.0</v>
      </c>
      <c r="G12" s="1504" t="s">
        <v>4107</v>
      </c>
      <c r="H12" s="1499">
        <v>35.0</v>
      </c>
      <c r="I12" s="1500">
        <f t="shared" si="2"/>
        <v>175000</v>
      </c>
      <c r="J12" s="1263"/>
      <c r="K12" s="1263"/>
      <c r="L12" s="1263"/>
      <c r="M12" s="1263"/>
      <c r="N12" s="1263"/>
      <c r="O12" s="1263"/>
      <c r="P12" s="1263"/>
      <c r="Q12" s="1263"/>
      <c r="R12" s="1263"/>
      <c r="S12" s="1263"/>
      <c r="T12" s="1263"/>
      <c r="U12" s="1263"/>
      <c r="V12" s="1263"/>
      <c r="W12" s="1263"/>
    </row>
    <row r="13">
      <c r="A13" s="1501">
        <v>45798.0</v>
      </c>
      <c r="B13" s="1506" t="s">
        <v>6796</v>
      </c>
      <c r="C13" s="1504" t="s">
        <v>6790</v>
      </c>
      <c r="D13" s="1504" t="s">
        <v>1464</v>
      </c>
      <c r="E13" s="1504">
        <v>264136.0</v>
      </c>
      <c r="F13" s="1505">
        <v>45833.0</v>
      </c>
      <c r="G13" s="1504" t="s">
        <v>4107</v>
      </c>
      <c r="H13" s="1499">
        <v>33.0</v>
      </c>
      <c r="I13" s="1500">
        <f t="shared" si="2"/>
        <v>165000</v>
      </c>
      <c r="J13" s="1263"/>
      <c r="K13" s="1263"/>
      <c r="L13" s="1263"/>
      <c r="M13" s="1263"/>
      <c r="N13" s="1263"/>
      <c r="O13" s="1263"/>
      <c r="P13" s="1263"/>
      <c r="Q13" s="1263"/>
      <c r="R13" s="1263"/>
      <c r="S13" s="1263"/>
      <c r="T13" s="1263"/>
      <c r="U13" s="1263"/>
      <c r="V13" s="1263"/>
      <c r="W13" s="1263"/>
    </row>
    <row r="14">
      <c r="A14" s="1511">
        <v>45817.0</v>
      </c>
      <c r="B14" s="1496" t="s">
        <v>6797</v>
      </c>
      <c r="C14" s="461" t="s">
        <v>6798</v>
      </c>
      <c r="D14" s="461" t="s">
        <v>1464</v>
      </c>
      <c r="E14" s="461">
        <v>55697.0</v>
      </c>
      <c r="F14" s="1276"/>
      <c r="G14" s="461" t="s">
        <v>6799</v>
      </c>
      <c r="H14" s="1499">
        <v>18.0</v>
      </c>
      <c r="I14" s="1500">
        <f t="shared" si="2"/>
        <v>90000</v>
      </c>
      <c r="J14" s="1263"/>
      <c r="K14" s="1263"/>
      <c r="L14" s="1263"/>
      <c r="M14" s="1263"/>
      <c r="N14" s="1263"/>
      <c r="O14" s="1263"/>
      <c r="P14" s="1263"/>
      <c r="Q14" s="1263"/>
      <c r="R14" s="1263"/>
      <c r="S14" s="1263"/>
      <c r="T14" s="1263"/>
      <c r="U14" s="1263"/>
      <c r="V14" s="1263"/>
      <c r="W14" s="1263"/>
    </row>
    <row r="15">
      <c r="A15" s="1501">
        <v>45828.0</v>
      </c>
      <c r="B15" s="1506" t="s">
        <v>6800</v>
      </c>
      <c r="C15" s="1504" t="s">
        <v>6801</v>
      </c>
      <c r="D15" s="1504"/>
      <c r="E15" s="1504" t="s">
        <v>6802</v>
      </c>
      <c r="F15" s="1505">
        <v>45833.0</v>
      </c>
      <c r="G15" s="1504" t="s">
        <v>6803</v>
      </c>
      <c r="H15" s="1499">
        <v>8.0</v>
      </c>
      <c r="I15" s="1500">
        <f>H15*10000</f>
        <v>80000</v>
      </c>
      <c r="J15" s="1263"/>
      <c r="K15" s="1263"/>
      <c r="L15" s="1263"/>
      <c r="M15" s="1263"/>
      <c r="N15" s="1263"/>
      <c r="O15" s="1263"/>
      <c r="P15" s="1263"/>
      <c r="Q15" s="1263"/>
      <c r="R15" s="1263"/>
      <c r="S15" s="1263"/>
      <c r="T15" s="1263"/>
      <c r="U15" s="1263"/>
      <c r="V15" s="1263"/>
      <c r="W15" s="1263"/>
    </row>
    <row r="16">
      <c r="A16" s="1511"/>
      <c r="B16" s="1496"/>
      <c r="C16" s="461"/>
      <c r="D16" s="461"/>
      <c r="E16" s="461"/>
      <c r="F16" s="1276"/>
      <c r="G16" s="461"/>
      <c r="H16" s="1263"/>
      <c r="I16" s="1500"/>
      <c r="J16" s="1263"/>
      <c r="K16" s="1263"/>
      <c r="L16" s="1263"/>
      <c r="M16" s="1263"/>
      <c r="N16" s="1263"/>
      <c r="O16" s="1263"/>
      <c r="P16" s="1263"/>
      <c r="Q16" s="1263"/>
      <c r="R16" s="1263"/>
      <c r="S16" s="1263"/>
      <c r="T16" s="1263"/>
      <c r="U16" s="1263"/>
      <c r="V16" s="1263"/>
      <c r="W16" s="1263"/>
    </row>
    <row r="17">
      <c r="A17" s="1511"/>
      <c r="B17" s="1496"/>
      <c r="C17" s="461"/>
      <c r="D17" s="461"/>
      <c r="E17" s="461"/>
      <c r="F17" s="1276"/>
      <c r="G17" s="461"/>
      <c r="H17" s="1263"/>
      <c r="I17" s="1500"/>
      <c r="J17" s="1263"/>
      <c r="K17" s="1263"/>
      <c r="L17" s="1263"/>
      <c r="M17" s="1263"/>
      <c r="N17" s="1263"/>
      <c r="O17" s="1263"/>
      <c r="P17" s="1263"/>
      <c r="Q17" s="1263"/>
      <c r="R17" s="1263"/>
      <c r="S17" s="1263"/>
      <c r="T17" s="1263"/>
      <c r="U17" s="1263"/>
      <c r="V17" s="1263"/>
      <c r="W17" s="1263"/>
    </row>
    <row r="18">
      <c r="A18" s="1511"/>
      <c r="B18" s="1496"/>
      <c r="C18" s="461"/>
      <c r="D18" s="461"/>
      <c r="E18" s="461"/>
      <c r="F18" s="1276"/>
      <c r="G18" s="461"/>
      <c r="H18" s="1263"/>
      <c r="I18" s="1512"/>
      <c r="J18" s="1263"/>
      <c r="K18" s="1263"/>
      <c r="L18" s="1263"/>
      <c r="M18" s="1263"/>
      <c r="N18" s="1263"/>
      <c r="O18" s="1263"/>
      <c r="P18" s="1263"/>
      <c r="Q18" s="1263"/>
      <c r="R18" s="1263"/>
      <c r="S18" s="1263"/>
      <c r="T18" s="1263"/>
      <c r="U18" s="1263"/>
      <c r="V18" s="1263"/>
      <c r="W18" s="1263"/>
    </row>
    <row r="19">
      <c r="A19" s="1511"/>
      <c r="B19" s="1496"/>
      <c r="C19" s="461"/>
      <c r="D19" s="461"/>
      <c r="E19" s="461"/>
      <c r="F19" s="1276"/>
      <c r="G19" s="461"/>
      <c r="H19" s="1263"/>
      <c r="I19" s="1512"/>
      <c r="J19" s="1263"/>
      <c r="K19" s="1263"/>
      <c r="L19" s="1263"/>
      <c r="M19" s="1263"/>
      <c r="N19" s="1263"/>
      <c r="O19" s="1263"/>
      <c r="P19" s="1263"/>
      <c r="Q19" s="1263"/>
      <c r="R19" s="1263"/>
      <c r="S19" s="1263"/>
      <c r="T19" s="1263"/>
      <c r="U19" s="1263"/>
      <c r="V19" s="1263"/>
      <c r="W19" s="1263"/>
    </row>
    <row r="20">
      <c r="A20" s="1513"/>
      <c r="B20" s="1514"/>
      <c r="C20" s="1499"/>
      <c r="D20" s="1499"/>
      <c r="E20" s="1499"/>
      <c r="F20" s="1515"/>
      <c r="G20" s="1499"/>
      <c r="H20" s="1263"/>
      <c r="I20" s="1512"/>
      <c r="J20" s="1263"/>
      <c r="K20" s="1263"/>
      <c r="L20" s="1263"/>
      <c r="M20" s="1263"/>
      <c r="N20" s="1263"/>
      <c r="O20" s="1263"/>
      <c r="P20" s="1263"/>
      <c r="Q20" s="1263"/>
      <c r="R20" s="1263"/>
      <c r="S20" s="1263"/>
      <c r="T20" s="1263"/>
      <c r="U20" s="1263"/>
      <c r="V20" s="1263"/>
      <c r="W20" s="1263"/>
    </row>
    <row r="21">
      <c r="A21" s="1513"/>
      <c r="B21" s="1514"/>
      <c r="C21" s="1499"/>
      <c r="D21" s="1499"/>
      <c r="E21" s="1499"/>
      <c r="F21" s="1515"/>
      <c r="G21" s="1499"/>
      <c r="H21" s="1263"/>
      <c r="I21" s="1512"/>
      <c r="J21" s="1263"/>
      <c r="K21" s="1263"/>
      <c r="L21" s="1263"/>
      <c r="M21" s="1263"/>
      <c r="N21" s="1263"/>
      <c r="O21" s="1263"/>
      <c r="P21" s="1263"/>
      <c r="Q21" s="1263"/>
      <c r="R21" s="1263"/>
      <c r="S21" s="1263"/>
      <c r="T21" s="1263"/>
      <c r="U21" s="1263"/>
      <c r="V21" s="1263"/>
      <c r="W21" s="1263"/>
    </row>
    <row r="22">
      <c r="A22" s="1513"/>
      <c r="B22" s="1514"/>
      <c r="C22" s="1499"/>
      <c r="D22" s="1499"/>
      <c r="E22" s="1499"/>
      <c r="F22" s="1515"/>
      <c r="G22" s="1499"/>
      <c r="H22" s="1263"/>
      <c r="I22" s="1512"/>
      <c r="J22" s="1263"/>
      <c r="K22" s="1263"/>
      <c r="L22" s="1263"/>
      <c r="M22" s="1263"/>
      <c r="N22" s="1263"/>
      <c r="O22" s="1263"/>
      <c r="P22" s="1263"/>
      <c r="Q22" s="1263"/>
      <c r="R22" s="1263"/>
      <c r="S22" s="1263"/>
      <c r="T22" s="1263"/>
      <c r="U22" s="1263"/>
      <c r="V22" s="1263"/>
      <c r="W22" s="1263"/>
    </row>
    <row r="23">
      <c r="A23" s="1513"/>
      <c r="B23" s="1514"/>
      <c r="C23" s="1499"/>
      <c r="D23" s="1499"/>
      <c r="E23" s="1499"/>
      <c r="F23" s="1515"/>
      <c r="G23" s="1499"/>
      <c r="H23" s="1263"/>
      <c r="I23" s="1512"/>
      <c r="J23" s="1263"/>
      <c r="K23" s="1263"/>
      <c r="L23" s="1263"/>
      <c r="M23" s="1263"/>
      <c r="N23" s="1263"/>
      <c r="O23" s="1263"/>
      <c r="P23" s="1263"/>
      <c r="Q23" s="1263"/>
      <c r="R23" s="1263"/>
      <c r="S23" s="1263"/>
      <c r="T23" s="1263"/>
      <c r="U23" s="1263"/>
      <c r="V23" s="1263"/>
      <c r="W23" s="1263"/>
    </row>
    <row r="24">
      <c r="A24" s="1513"/>
      <c r="B24" s="1514"/>
      <c r="C24" s="1499"/>
      <c r="D24" s="1499"/>
      <c r="E24" s="1499"/>
      <c r="F24" s="1515"/>
      <c r="G24" s="1499"/>
      <c r="H24" s="1263"/>
      <c r="I24" s="1512"/>
      <c r="J24" s="1263"/>
      <c r="K24" s="1263"/>
      <c r="L24" s="1263"/>
      <c r="M24" s="1263"/>
      <c r="N24" s="1263"/>
      <c r="O24" s="1263"/>
      <c r="P24" s="1263"/>
      <c r="Q24" s="1263"/>
      <c r="R24" s="1263"/>
      <c r="S24" s="1263"/>
      <c r="T24" s="1263"/>
      <c r="U24" s="1263"/>
      <c r="V24" s="1263"/>
      <c r="W24" s="1263"/>
    </row>
    <row r="25">
      <c r="A25" s="1513"/>
      <c r="B25" s="1514"/>
      <c r="C25" s="1499"/>
      <c r="D25" s="1499"/>
      <c r="E25" s="1499"/>
      <c r="F25" s="1515"/>
      <c r="G25" s="1499"/>
      <c r="H25" s="1263"/>
      <c r="I25" s="1512"/>
      <c r="J25" s="1263"/>
      <c r="K25" s="1263"/>
      <c r="L25" s="1263"/>
      <c r="M25" s="1263"/>
      <c r="N25" s="1263"/>
      <c r="O25" s="1263"/>
      <c r="P25" s="1263"/>
      <c r="Q25" s="1263"/>
      <c r="R25" s="1263"/>
      <c r="S25" s="1263"/>
      <c r="T25" s="1263"/>
      <c r="U25" s="1263"/>
      <c r="V25" s="1263"/>
      <c r="W25" s="1263"/>
    </row>
    <row r="26">
      <c r="A26" s="1513"/>
      <c r="B26" s="1514"/>
      <c r="C26" s="1499"/>
      <c r="D26" s="1499"/>
      <c r="E26" s="1499"/>
      <c r="F26" s="1515"/>
      <c r="G26" s="1499"/>
      <c r="H26" s="1263"/>
      <c r="I26" s="1512"/>
      <c r="J26" s="1263"/>
      <c r="K26" s="1263"/>
      <c r="L26" s="1263"/>
      <c r="M26" s="1263"/>
      <c r="N26" s="1263"/>
      <c r="O26" s="1263"/>
      <c r="P26" s="1263"/>
      <c r="Q26" s="1263"/>
      <c r="R26" s="1263"/>
      <c r="S26" s="1263"/>
      <c r="T26" s="1263"/>
      <c r="U26" s="1263"/>
      <c r="V26" s="1263"/>
      <c r="W26" s="1263"/>
    </row>
    <row r="27">
      <c r="A27" s="1513"/>
      <c r="B27" s="1514"/>
      <c r="C27" s="1499"/>
      <c r="D27" s="1499"/>
      <c r="E27" s="1499"/>
      <c r="F27" s="1515"/>
      <c r="G27" s="1499"/>
      <c r="H27" s="1263"/>
      <c r="I27" s="1512"/>
      <c r="J27" s="1263"/>
      <c r="K27" s="1263"/>
      <c r="L27" s="1263"/>
      <c r="M27" s="1263"/>
      <c r="N27" s="1263"/>
      <c r="O27" s="1263"/>
      <c r="P27" s="1263"/>
      <c r="Q27" s="1263"/>
      <c r="R27" s="1263"/>
      <c r="S27" s="1263"/>
      <c r="T27" s="1263"/>
      <c r="U27" s="1263"/>
      <c r="V27" s="1263"/>
      <c r="W27" s="1263"/>
    </row>
    <row r="28">
      <c r="A28" s="1513"/>
      <c r="B28" s="1514"/>
      <c r="C28" s="1499"/>
      <c r="D28" s="1499"/>
      <c r="E28" s="1499"/>
      <c r="F28" s="1515"/>
      <c r="G28" s="1499"/>
      <c r="H28" s="1263"/>
      <c r="I28" s="1512"/>
      <c r="J28" s="1263"/>
      <c r="K28" s="1263"/>
      <c r="L28" s="1263"/>
      <c r="M28" s="1263"/>
      <c r="N28" s="1263"/>
      <c r="O28" s="1263"/>
      <c r="P28" s="1263"/>
      <c r="Q28" s="1263"/>
      <c r="R28" s="1263"/>
      <c r="S28" s="1263"/>
      <c r="T28" s="1263"/>
      <c r="U28" s="1263"/>
      <c r="V28" s="1263"/>
      <c r="W28" s="1263"/>
    </row>
    <row r="29">
      <c r="A29" s="1513"/>
      <c r="B29" s="1514"/>
      <c r="C29" s="1499"/>
      <c r="D29" s="1499"/>
      <c r="E29" s="1499"/>
      <c r="F29" s="1515"/>
      <c r="G29" s="1499"/>
      <c r="H29" s="1263"/>
      <c r="I29" s="1512"/>
      <c r="J29" s="1263"/>
      <c r="K29" s="1263"/>
      <c r="L29" s="1263"/>
      <c r="M29" s="1263"/>
      <c r="N29" s="1263"/>
      <c r="O29" s="1263"/>
      <c r="P29" s="1263"/>
      <c r="Q29" s="1263"/>
      <c r="R29" s="1263"/>
      <c r="S29" s="1263"/>
      <c r="T29" s="1263"/>
      <c r="U29" s="1263"/>
      <c r="V29" s="1263"/>
      <c r="W29" s="1263"/>
    </row>
    <row r="30">
      <c r="A30" s="1513"/>
      <c r="B30" s="1514"/>
      <c r="C30" s="1499"/>
      <c r="D30" s="1499"/>
      <c r="E30" s="1499"/>
      <c r="F30" s="1515"/>
      <c r="G30" s="1499"/>
      <c r="H30" s="1263"/>
      <c r="I30" s="1512"/>
      <c r="J30" s="1263"/>
      <c r="K30" s="1263"/>
      <c r="L30" s="1263"/>
      <c r="M30" s="1263"/>
      <c r="N30" s="1263"/>
      <c r="O30" s="1263"/>
      <c r="P30" s="1263"/>
      <c r="Q30" s="1263"/>
      <c r="R30" s="1263"/>
      <c r="S30" s="1263"/>
      <c r="T30" s="1263"/>
      <c r="U30" s="1263"/>
      <c r="V30" s="1263"/>
      <c r="W30" s="1263"/>
    </row>
    <row r="31">
      <c r="A31" s="1513"/>
      <c r="B31" s="1514"/>
      <c r="C31" s="1499"/>
      <c r="D31" s="1499"/>
      <c r="E31" s="1499"/>
      <c r="F31" s="1515"/>
      <c r="G31" s="1499"/>
      <c r="H31" s="1263"/>
      <c r="I31" s="1512"/>
      <c r="J31" s="1263"/>
      <c r="K31" s="1263"/>
      <c r="L31" s="1263"/>
      <c r="M31" s="1263"/>
      <c r="N31" s="1263"/>
      <c r="O31" s="1263"/>
      <c r="P31" s="1263"/>
      <c r="Q31" s="1263"/>
      <c r="R31" s="1263"/>
      <c r="S31" s="1263"/>
      <c r="T31" s="1263"/>
      <c r="U31" s="1263"/>
      <c r="V31" s="1263"/>
      <c r="W31" s="1263"/>
    </row>
    <row r="32">
      <c r="A32" s="1513"/>
      <c r="B32" s="1514"/>
      <c r="C32" s="1499"/>
      <c r="D32" s="1499"/>
      <c r="E32" s="1499"/>
      <c r="F32" s="1515"/>
      <c r="G32" s="1499"/>
      <c r="H32" s="1263"/>
      <c r="I32" s="1512"/>
      <c r="J32" s="1263"/>
      <c r="K32" s="1263"/>
      <c r="L32" s="1263"/>
      <c r="M32" s="1263"/>
      <c r="N32" s="1263"/>
      <c r="O32" s="1263"/>
      <c r="P32" s="1263"/>
      <c r="Q32" s="1263"/>
      <c r="R32" s="1263"/>
      <c r="S32" s="1263"/>
      <c r="T32" s="1263"/>
      <c r="U32" s="1263"/>
      <c r="V32" s="1263"/>
      <c r="W32" s="1263"/>
    </row>
    <row r="33">
      <c r="A33" s="1513"/>
      <c r="B33" s="1514"/>
      <c r="C33" s="1499"/>
      <c r="D33" s="1499"/>
      <c r="E33" s="1499"/>
      <c r="F33" s="1515"/>
      <c r="G33" s="1499"/>
      <c r="H33" s="1263"/>
      <c r="I33" s="1512"/>
      <c r="J33" s="1263"/>
      <c r="K33" s="1263"/>
      <c r="L33" s="1263"/>
      <c r="M33" s="1263"/>
      <c r="N33" s="1263"/>
      <c r="O33" s="1263"/>
      <c r="P33" s="1263"/>
      <c r="Q33" s="1263"/>
      <c r="R33" s="1263"/>
      <c r="S33" s="1263"/>
      <c r="T33" s="1263"/>
      <c r="U33" s="1263"/>
      <c r="V33" s="1263"/>
      <c r="W33" s="1263"/>
    </row>
    <row r="34">
      <c r="A34" s="1513"/>
      <c r="B34" s="1514"/>
      <c r="C34" s="1499"/>
      <c r="D34" s="1499"/>
      <c r="E34" s="1499"/>
      <c r="F34" s="1515"/>
      <c r="G34" s="1499"/>
      <c r="H34" s="1263"/>
      <c r="I34" s="1512"/>
      <c r="J34" s="1263"/>
      <c r="K34" s="1263"/>
      <c r="L34" s="1263"/>
      <c r="M34" s="1263"/>
      <c r="N34" s="1263"/>
      <c r="O34" s="1263"/>
      <c r="P34" s="1263"/>
      <c r="Q34" s="1263"/>
      <c r="R34" s="1263"/>
      <c r="S34" s="1263"/>
      <c r="T34" s="1263"/>
      <c r="U34" s="1263"/>
      <c r="V34" s="1263"/>
      <c r="W34" s="1263"/>
    </row>
    <row r="35">
      <c r="A35" s="1513"/>
      <c r="B35" s="1514"/>
      <c r="C35" s="1499"/>
      <c r="D35" s="1499"/>
      <c r="E35" s="1499"/>
      <c r="F35" s="1515"/>
      <c r="G35" s="1499"/>
      <c r="H35" s="1263"/>
      <c r="I35" s="1512"/>
      <c r="J35" s="1263"/>
      <c r="K35" s="1263"/>
      <c r="L35" s="1263"/>
      <c r="M35" s="1263"/>
      <c r="N35" s="1263"/>
      <c r="O35" s="1263"/>
      <c r="P35" s="1263"/>
      <c r="Q35" s="1263"/>
      <c r="R35" s="1263"/>
      <c r="S35" s="1263"/>
      <c r="T35" s="1263"/>
      <c r="U35" s="1263"/>
      <c r="V35" s="1263"/>
      <c r="W35" s="1263"/>
    </row>
    <row r="36">
      <c r="A36" s="1513"/>
      <c r="B36" s="1514"/>
      <c r="C36" s="1499"/>
      <c r="D36" s="1499"/>
      <c r="E36" s="1499"/>
      <c r="F36" s="1515"/>
      <c r="G36" s="1499"/>
      <c r="H36" s="1263"/>
      <c r="I36" s="1512"/>
      <c r="J36" s="1263"/>
      <c r="K36" s="1263"/>
      <c r="L36" s="1263"/>
      <c r="M36" s="1263"/>
      <c r="N36" s="1263"/>
      <c r="O36" s="1263"/>
      <c r="P36" s="1263"/>
      <c r="Q36" s="1263"/>
      <c r="R36" s="1263"/>
      <c r="S36" s="1263"/>
      <c r="T36" s="1263"/>
      <c r="U36" s="1263"/>
      <c r="V36" s="1263"/>
      <c r="W36" s="1263"/>
    </row>
    <row r="37">
      <c r="A37" s="1513"/>
      <c r="B37" s="1514"/>
      <c r="C37" s="1499"/>
      <c r="D37" s="1499"/>
      <c r="E37" s="1499"/>
      <c r="F37" s="1515"/>
      <c r="G37" s="1499"/>
      <c r="H37" s="1263"/>
      <c r="I37" s="1512"/>
      <c r="J37" s="1263"/>
      <c r="K37" s="1263"/>
      <c r="L37" s="1263"/>
      <c r="M37" s="1263"/>
      <c r="N37" s="1263"/>
      <c r="O37" s="1263"/>
      <c r="P37" s="1263"/>
      <c r="Q37" s="1263"/>
      <c r="R37" s="1263"/>
      <c r="S37" s="1263"/>
      <c r="T37" s="1263"/>
      <c r="U37" s="1263"/>
      <c r="V37" s="1263"/>
      <c r="W37" s="1263"/>
    </row>
    <row r="38">
      <c r="A38" s="1513"/>
      <c r="B38" s="1514"/>
      <c r="C38" s="1499"/>
      <c r="D38" s="1499"/>
      <c r="E38" s="1499"/>
      <c r="F38" s="1515"/>
      <c r="G38" s="1499"/>
      <c r="H38" s="1263"/>
      <c r="I38" s="1512"/>
      <c r="J38" s="1263"/>
      <c r="K38" s="1263"/>
      <c r="L38" s="1263"/>
      <c r="M38" s="1263"/>
      <c r="N38" s="1263"/>
      <c r="O38" s="1263"/>
      <c r="P38" s="1263"/>
      <c r="Q38" s="1263"/>
      <c r="R38" s="1263"/>
      <c r="S38" s="1263"/>
      <c r="T38" s="1263"/>
      <c r="U38" s="1263"/>
      <c r="V38" s="1263"/>
      <c r="W38" s="1263"/>
    </row>
    <row r="39">
      <c r="A39" s="1513"/>
      <c r="B39" s="1514"/>
      <c r="C39" s="1499"/>
      <c r="D39" s="1499"/>
      <c r="E39" s="1499"/>
      <c r="F39" s="1515"/>
      <c r="G39" s="1499"/>
      <c r="H39" s="1263"/>
      <c r="I39" s="1512"/>
      <c r="J39" s="1263"/>
      <c r="K39" s="1263"/>
      <c r="L39" s="1263"/>
      <c r="M39" s="1263"/>
      <c r="N39" s="1263"/>
      <c r="O39" s="1263"/>
      <c r="P39" s="1263"/>
      <c r="Q39" s="1263"/>
      <c r="R39" s="1263"/>
      <c r="S39" s="1263"/>
      <c r="T39" s="1263"/>
      <c r="U39" s="1263"/>
      <c r="V39" s="1263"/>
      <c r="W39" s="1263"/>
    </row>
    <row r="40">
      <c r="A40" s="1513"/>
      <c r="B40" s="1514"/>
      <c r="C40" s="1499"/>
      <c r="D40" s="1499"/>
      <c r="E40" s="1499"/>
      <c r="F40" s="1515"/>
      <c r="G40" s="1499"/>
      <c r="H40" s="1263"/>
      <c r="I40" s="1512"/>
      <c r="J40" s="1263"/>
      <c r="K40" s="1263"/>
      <c r="L40" s="1263"/>
      <c r="M40" s="1263"/>
      <c r="N40" s="1263"/>
      <c r="O40" s="1263"/>
      <c r="P40" s="1263"/>
      <c r="Q40" s="1263"/>
      <c r="R40" s="1263"/>
      <c r="S40" s="1263"/>
      <c r="T40" s="1263"/>
      <c r="U40" s="1263"/>
      <c r="V40" s="1263"/>
      <c r="W40" s="1263"/>
    </row>
    <row r="41">
      <c r="A41" s="1513"/>
      <c r="B41" s="1514"/>
      <c r="C41" s="1499"/>
      <c r="D41" s="1499"/>
      <c r="E41" s="1499"/>
      <c r="F41" s="1515"/>
      <c r="G41" s="1499"/>
      <c r="H41" s="1263"/>
      <c r="I41" s="1512"/>
      <c r="J41" s="1263"/>
      <c r="K41" s="1263"/>
      <c r="L41" s="1263"/>
      <c r="M41" s="1263"/>
      <c r="N41" s="1263"/>
      <c r="O41" s="1263"/>
      <c r="P41" s="1263"/>
      <c r="Q41" s="1263"/>
      <c r="R41" s="1263"/>
      <c r="S41" s="1263"/>
      <c r="T41" s="1263"/>
      <c r="U41" s="1263"/>
      <c r="V41" s="1263"/>
      <c r="W41" s="1263"/>
    </row>
    <row r="42">
      <c r="A42" s="1513"/>
      <c r="B42" s="1514"/>
      <c r="C42" s="1499"/>
      <c r="D42" s="1499"/>
      <c r="E42" s="1499"/>
      <c r="F42" s="1515"/>
      <c r="G42" s="1499"/>
      <c r="H42" s="1263"/>
      <c r="I42" s="1512"/>
      <c r="J42" s="1263"/>
      <c r="K42" s="1263"/>
      <c r="L42" s="1263"/>
      <c r="M42" s="1263"/>
      <c r="N42" s="1263"/>
      <c r="O42" s="1263"/>
      <c r="P42" s="1263"/>
      <c r="Q42" s="1263"/>
      <c r="R42" s="1263"/>
      <c r="S42" s="1263"/>
      <c r="T42" s="1263"/>
      <c r="U42" s="1263"/>
      <c r="V42" s="1263"/>
      <c r="W42" s="1263"/>
    </row>
    <row r="43">
      <c r="A43" s="1513"/>
      <c r="B43" s="1514"/>
      <c r="C43" s="1499"/>
      <c r="D43" s="1499"/>
      <c r="E43" s="1499"/>
      <c r="F43" s="1515"/>
      <c r="G43" s="1499"/>
      <c r="H43" s="1263"/>
      <c r="I43" s="1512"/>
      <c r="J43" s="1263"/>
      <c r="K43" s="1263"/>
      <c r="L43" s="1263"/>
      <c r="M43" s="1263"/>
      <c r="N43" s="1263"/>
      <c r="O43" s="1263"/>
      <c r="P43" s="1263"/>
      <c r="Q43" s="1263"/>
      <c r="R43" s="1263"/>
      <c r="S43" s="1263"/>
      <c r="T43" s="1263"/>
      <c r="U43" s="1263"/>
      <c r="V43" s="1263"/>
      <c r="W43" s="1263"/>
    </row>
    <row r="44">
      <c r="A44" s="1513"/>
      <c r="B44" s="1514"/>
      <c r="C44" s="1499"/>
      <c r="D44" s="1499"/>
      <c r="E44" s="1499"/>
      <c r="F44" s="1515"/>
      <c r="G44" s="1499"/>
      <c r="H44" s="1263"/>
      <c r="I44" s="1512"/>
      <c r="J44" s="1263"/>
      <c r="K44" s="1263"/>
      <c r="L44" s="1263"/>
      <c r="M44" s="1263"/>
      <c r="N44" s="1263"/>
      <c r="O44" s="1263"/>
      <c r="P44" s="1263"/>
      <c r="Q44" s="1263"/>
      <c r="R44" s="1263"/>
      <c r="S44" s="1263"/>
      <c r="T44" s="1263"/>
      <c r="U44" s="1263"/>
      <c r="V44" s="1263"/>
      <c r="W44" s="1263"/>
    </row>
    <row r="45">
      <c r="A45" s="1513"/>
      <c r="B45" s="1514"/>
      <c r="C45" s="1499"/>
      <c r="D45" s="1499"/>
      <c r="E45" s="1499"/>
      <c r="F45" s="1515"/>
      <c r="G45" s="1499"/>
      <c r="H45" s="1263"/>
      <c r="I45" s="1512"/>
      <c r="J45" s="1263"/>
      <c r="K45" s="1263"/>
      <c r="L45" s="1263"/>
      <c r="M45" s="1263"/>
      <c r="N45" s="1263"/>
      <c r="O45" s="1263"/>
      <c r="P45" s="1263"/>
      <c r="Q45" s="1263"/>
      <c r="R45" s="1263"/>
      <c r="S45" s="1263"/>
      <c r="T45" s="1263"/>
      <c r="U45" s="1263"/>
      <c r="V45" s="1263"/>
      <c r="W45" s="1263"/>
    </row>
    <row r="46">
      <c r="A46" s="1513"/>
      <c r="B46" s="1514"/>
      <c r="C46" s="1499"/>
      <c r="D46" s="1499"/>
      <c r="E46" s="1499"/>
      <c r="F46" s="1515"/>
      <c r="G46" s="1499"/>
      <c r="H46" s="1263"/>
      <c r="I46" s="1512"/>
      <c r="J46" s="1263"/>
      <c r="K46" s="1263"/>
      <c r="L46" s="1263"/>
      <c r="M46" s="1263"/>
      <c r="N46" s="1263"/>
      <c r="O46" s="1263"/>
      <c r="P46" s="1263"/>
      <c r="Q46" s="1263"/>
      <c r="R46" s="1263"/>
      <c r="S46" s="1263"/>
      <c r="T46" s="1263"/>
      <c r="U46" s="1263"/>
      <c r="V46" s="1263"/>
      <c r="W46" s="1263"/>
    </row>
    <row r="47">
      <c r="A47" s="1513"/>
      <c r="B47" s="1514"/>
      <c r="C47" s="1499"/>
      <c r="D47" s="1499"/>
      <c r="E47" s="1499"/>
      <c r="F47" s="1515"/>
      <c r="G47" s="1499"/>
      <c r="H47" s="1263"/>
      <c r="I47" s="1512"/>
      <c r="J47" s="1263"/>
      <c r="K47" s="1263"/>
      <c r="L47" s="1263"/>
      <c r="M47" s="1263"/>
      <c r="N47" s="1263"/>
      <c r="O47" s="1263"/>
      <c r="P47" s="1263"/>
      <c r="Q47" s="1263"/>
      <c r="R47" s="1263"/>
      <c r="S47" s="1263"/>
      <c r="T47" s="1263"/>
      <c r="U47" s="1263"/>
      <c r="V47" s="1263"/>
      <c r="W47" s="1263"/>
    </row>
    <row r="48">
      <c r="A48" s="1513"/>
      <c r="B48" s="1514"/>
      <c r="C48" s="1499"/>
      <c r="D48" s="1499"/>
      <c r="E48" s="1499"/>
      <c r="F48" s="1515"/>
      <c r="G48" s="1499"/>
      <c r="H48" s="1263"/>
      <c r="I48" s="1512"/>
      <c r="J48" s="1263"/>
      <c r="K48" s="1263"/>
      <c r="L48" s="1263"/>
      <c r="M48" s="1263"/>
      <c r="N48" s="1263"/>
      <c r="O48" s="1263"/>
      <c r="P48" s="1263"/>
      <c r="Q48" s="1263"/>
      <c r="R48" s="1263"/>
      <c r="S48" s="1263"/>
      <c r="T48" s="1263"/>
      <c r="U48" s="1263"/>
      <c r="V48" s="1263"/>
      <c r="W48" s="1263"/>
    </row>
    <row r="49">
      <c r="A49" s="1513"/>
      <c r="B49" s="1514"/>
      <c r="C49" s="1499"/>
      <c r="D49" s="1499"/>
      <c r="E49" s="1499"/>
      <c r="F49" s="1515"/>
      <c r="G49" s="1499"/>
      <c r="H49" s="1263"/>
      <c r="I49" s="1512"/>
      <c r="J49" s="1263"/>
      <c r="K49" s="1263"/>
      <c r="L49" s="1263"/>
      <c r="M49" s="1263"/>
      <c r="N49" s="1263"/>
      <c r="O49" s="1263"/>
      <c r="P49" s="1263"/>
      <c r="Q49" s="1263"/>
      <c r="R49" s="1263"/>
      <c r="S49" s="1263"/>
      <c r="T49" s="1263"/>
      <c r="U49" s="1263"/>
      <c r="V49" s="1263"/>
      <c r="W49" s="1263"/>
    </row>
    <row r="50">
      <c r="A50" s="1513"/>
      <c r="B50" s="1514"/>
      <c r="C50" s="1499"/>
      <c r="D50" s="1499"/>
      <c r="E50" s="1499"/>
      <c r="F50" s="1515"/>
      <c r="G50" s="1499"/>
      <c r="H50" s="1263"/>
      <c r="I50" s="1512"/>
      <c r="J50" s="1263"/>
      <c r="K50" s="1263"/>
      <c r="L50" s="1263"/>
      <c r="M50" s="1263"/>
      <c r="N50" s="1263"/>
      <c r="O50" s="1263"/>
      <c r="P50" s="1263"/>
      <c r="Q50" s="1263"/>
      <c r="R50" s="1263"/>
      <c r="S50" s="1263"/>
      <c r="T50" s="1263"/>
      <c r="U50" s="1263"/>
      <c r="V50" s="1263"/>
      <c r="W50" s="1263"/>
    </row>
    <row r="51">
      <c r="A51" s="1513"/>
      <c r="B51" s="1514"/>
      <c r="C51" s="1499"/>
      <c r="D51" s="1499"/>
      <c r="E51" s="1499"/>
      <c r="F51" s="1515"/>
      <c r="G51" s="1499"/>
      <c r="H51" s="1263"/>
      <c r="I51" s="1512"/>
      <c r="J51" s="1263"/>
      <c r="K51" s="1263"/>
      <c r="L51" s="1263"/>
      <c r="M51" s="1263"/>
      <c r="N51" s="1263"/>
      <c r="O51" s="1263"/>
      <c r="P51" s="1263"/>
      <c r="Q51" s="1263"/>
      <c r="R51" s="1263"/>
      <c r="S51" s="1263"/>
      <c r="T51" s="1263"/>
      <c r="U51" s="1263"/>
      <c r="V51" s="1263"/>
      <c r="W51" s="1263"/>
    </row>
    <row r="52">
      <c r="A52" s="1513"/>
      <c r="B52" s="1514"/>
      <c r="C52" s="1499"/>
      <c r="D52" s="1499"/>
      <c r="E52" s="1499"/>
      <c r="F52" s="1515"/>
      <c r="G52" s="1499"/>
      <c r="H52" s="1263"/>
      <c r="I52" s="1512"/>
      <c r="J52" s="1263"/>
      <c r="K52" s="1263"/>
      <c r="L52" s="1263"/>
      <c r="M52" s="1263"/>
      <c r="N52" s="1263"/>
      <c r="O52" s="1263"/>
      <c r="P52" s="1263"/>
      <c r="Q52" s="1263"/>
      <c r="R52" s="1263"/>
      <c r="S52" s="1263"/>
      <c r="T52" s="1263"/>
      <c r="U52" s="1263"/>
      <c r="V52" s="1263"/>
      <c r="W52" s="1263"/>
    </row>
    <row r="53">
      <c r="A53" s="1513"/>
      <c r="B53" s="1514"/>
      <c r="C53" s="1499"/>
      <c r="D53" s="1499"/>
      <c r="E53" s="1499"/>
      <c r="F53" s="1515"/>
      <c r="G53" s="1499"/>
      <c r="H53" s="1263"/>
      <c r="I53" s="1512"/>
      <c r="J53" s="1263"/>
      <c r="K53" s="1263"/>
      <c r="L53" s="1263"/>
      <c r="M53" s="1263"/>
      <c r="N53" s="1263"/>
      <c r="O53" s="1263"/>
      <c r="P53" s="1263"/>
      <c r="Q53" s="1263"/>
      <c r="R53" s="1263"/>
      <c r="S53" s="1263"/>
      <c r="T53" s="1263"/>
      <c r="U53" s="1263"/>
      <c r="V53" s="1263"/>
      <c r="W53" s="1263"/>
    </row>
    <row r="54">
      <c r="A54" s="1513"/>
      <c r="B54" s="1514"/>
      <c r="C54" s="1499"/>
      <c r="D54" s="1499"/>
      <c r="E54" s="1499"/>
      <c r="F54" s="1515"/>
      <c r="G54" s="1499"/>
      <c r="H54" s="1263"/>
      <c r="I54" s="1512"/>
      <c r="J54" s="1263"/>
      <c r="K54" s="1263"/>
      <c r="L54" s="1263"/>
      <c r="M54" s="1263"/>
      <c r="N54" s="1263"/>
      <c r="O54" s="1263"/>
      <c r="P54" s="1263"/>
      <c r="Q54" s="1263"/>
      <c r="R54" s="1263"/>
      <c r="S54" s="1263"/>
      <c r="T54" s="1263"/>
      <c r="U54" s="1263"/>
      <c r="V54" s="1263"/>
      <c r="W54" s="1263"/>
    </row>
    <row r="55">
      <c r="A55" s="1513"/>
      <c r="B55" s="1514"/>
      <c r="C55" s="1499"/>
      <c r="D55" s="1499"/>
      <c r="E55" s="1499"/>
      <c r="F55" s="1515"/>
      <c r="G55" s="1499"/>
      <c r="H55" s="1263"/>
      <c r="I55" s="1512"/>
      <c r="J55" s="1263"/>
      <c r="K55" s="1263"/>
      <c r="L55" s="1263"/>
      <c r="M55" s="1263"/>
      <c r="N55" s="1263"/>
      <c r="O55" s="1263"/>
      <c r="P55" s="1263"/>
      <c r="Q55" s="1263"/>
      <c r="R55" s="1263"/>
      <c r="S55" s="1263"/>
      <c r="T55" s="1263"/>
      <c r="U55" s="1263"/>
      <c r="V55" s="1263"/>
      <c r="W55" s="1263"/>
    </row>
    <row r="56">
      <c r="A56" s="1513"/>
      <c r="B56" s="1514"/>
      <c r="C56" s="1499"/>
      <c r="D56" s="1499"/>
      <c r="E56" s="1499"/>
      <c r="F56" s="1515"/>
      <c r="G56" s="1499"/>
      <c r="H56" s="1263"/>
      <c r="I56" s="1512"/>
      <c r="J56" s="1263"/>
      <c r="K56" s="1263"/>
      <c r="L56" s="1263"/>
      <c r="M56" s="1263"/>
      <c r="N56" s="1263"/>
      <c r="O56" s="1263"/>
      <c r="P56" s="1263"/>
      <c r="Q56" s="1263"/>
      <c r="R56" s="1263"/>
      <c r="S56" s="1263"/>
      <c r="T56" s="1263"/>
      <c r="U56" s="1263"/>
      <c r="V56" s="1263"/>
      <c r="W56" s="1263"/>
    </row>
    <row r="57">
      <c r="A57" s="1513"/>
      <c r="B57" s="1514"/>
      <c r="C57" s="1499"/>
      <c r="D57" s="1499"/>
      <c r="E57" s="1499"/>
      <c r="F57" s="1515"/>
      <c r="G57" s="1499"/>
      <c r="H57" s="1263"/>
      <c r="I57" s="1512"/>
      <c r="J57" s="1263"/>
      <c r="K57" s="1263"/>
      <c r="L57" s="1263"/>
      <c r="M57" s="1263"/>
      <c r="N57" s="1263"/>
      <c r="O57" s="1263"/>
      <c r="P57" s="1263"/>
      <c r="Q57" s="1263"/>
      <c r="R57" s="1263"/>
      <c r="S57" s="1263"/>
      <c r="T57" s="1263"/>
      <c r="U57" s="1263"/>
      <c r="V57" s="1263"/>
      <c r="W57" s="1263"/>
    </row>
    <row r="58">
      <c r="A58" s="1513"/>
      <c r="B58" s="1514"/>
      <c r="C58" s="1499"/>
      <c r="D58" s="1499"/>
      <c r="E58" s="1499"/>
      <c r="F58" s="1515"/>
      <c r="G58" s="1499"/>
      <c r="H58" s="1263"/>
      <c r="I58" s="1512"/>
      <c r="J58" s="1263"/>
      <c r="K58" s="1263"/>
      <c r="L58" s="1263"/>
      <c r="M58" s="1263"/>
      <c r="N58" s="1263"/>
      <c r="O58" s="1263"/>
      <c r="P58" s="1263"/>
      <c r="Q58" s="1263"/>
      <c r="R58" s="1263"/>
      <c r="S58" s="1263"/>
      <c r="T58" s="1263"/>
      <c r="U58" s="1263"/>
      <c r="V58" s="1263"/>
      <c r="W58" s="1263"/>
    </row>
    <row r="59">
      <c r="A59" s="1513"/>
      <c r="B59" s="1514"/>
      <c r="C59" s="1499"/>
      <c r="D59" s="1499"/>
      <c r="E59" s="1499"/>
      <c r="F59" s="1515"/>
      <c r="G59" s="1499"/>
      <c r="H59" s="1263"/>
      <c r="I59" s="1512"/>
      <c r="J59" s="1263"/>
      <c r="K59" s="1263"/>
      <c r="L59" s="1263"/>
      <c r="M59" s="1263"/>
      <c r="N59" s="1263"/>
      <c r="O59" s="1263"/>
      <c r="P59" s="1263"/>
      <c r="Q59" s="1263"/>
      <c r="R59" s="1263"/>
      <c r="S59" s="1263"/>
      <c r="T59" s="1263"/>
      <c r="U59" s="1263"/>
      <c r="V59" s="1263"/>
      <c r="W59" s="1263"/>
    </row>
    <row r="60">
      <c r="A60" s="1513"/>
      <c r="B60" s="1514"/>
      <c r="C60" s="1499"/>
      <c r="D60" s="1499"/>
      <c r="E60" s="1499"/>
      <c r="F60" s="1515"/>
      <c r="G60" s="1499"/>
      <c r="H60" s="1263"/>
      <c r="I60" s="1512"/>
      <c r="J60" s="1263"/>
      <c r="K60" s="1263"/>
      <c r="L60" s="1263"/>
      <c r="M60" s="1263"/>
      <c r="N60" s="1263"/>
      <c r="O60" s="1263"/>
      <c r="P60" s="1263"/>
      <c r="Q60" s="1263"/>
      <c r="R60" s="1263"/>
      <c r="S60" s="1263"/>
      <c r="T60" s="1263"/>
      <c r="U60" s="1263"/>
      <c r="V60" s="1263"/>
      <c r="W60" s="1263"/>
    </row>
    <row r="61">
      <c r="A61" s="1513"/>
      <c r="B61" s="1514"/>
      <c r="C61" s="1499"/>
      <c r="D61" s="1499"/>
      <c r="E61" s="1499"/>
      <c r="F61" s="1515"/>
      <c r="G61" s="1499"/>
      <c r="H61" s="1263"/>
      <c r="I61" s="1512"/>
      <c r="J61" s="1263"/>
      <c r="K61" s="1263"/>
      <c r="L61" s="1263"/>
      <c r="M61" s="1263"/>
      <c r="N61" s="1263"/>
      <c r="O61" s="1263"/>
      <c r="P61" s="1263"/>
      <c r="Q61" s="1263"/>
      <c r="R61" s="1263"/>
      <c r="S61" s="1263"/>
      <c r="T61" s="1263"/>
      <c r="U61" s="1263"/>
      <c r="V61" s="1263"/>
      <c r="W61" s="1263"/>
    </row>
    <row r="62">
      <c r="A62" s="1513"/>
      <c r="B62" s="1514"/>
      <c r="C62" s="1499"/>
      <c r="D62" s="1499"/>
      <c r="E62" s="1499"/>
      <c r="F62" s="1515"/>
      <c r="G62" s="1499"/>
      <c r="H62" s="1263"/>
      <c r="I62" s="1512"/>
      <c r="J62" s="1263"/>
      <c r="K62" s="1263"/>
      <c r="L62" s="1263"/>
      <c r="M62" s="1263"/>
      <c r="N62" s="1263"/>
      <c r="O62" s="1263"/>
      <c r="P62" s="1263"/>
      <c r="Q62" s="1263"/>
      <c r="R62" s="1263"/>
      <c r="S62" s="1263"/>
      <c r="T62" s="1263"/>
      <c r="U62" s="1263"/>
      <c r="V62" s="1263"/>
      <c r="W62" s="1263"/>
    </row>
    <row r="63">
      <c r="A63" s="1513"/>
      <c r="B63" s="1514"/>
      <c r="C63" s="1499"/>
      <c r="D63" s="1499"/>
      <c r="E63" s="1499"/>
      <c r="F63" s="1515"/>
      <c r="G63" s="1499"/>
      <c r="H63" s="1263"/>
      <c r="I63" s="1512"/>
      <c r="J63" s="1263"/>
      <c r="K63" s="1263"/>
      <c r="L63" s="1263"/>
      <c r="M63" s="1263"/>
      <c r="N63" s="1263"/>
      <c r="O63" s="1263"/>
      <c r="P63" s="1263"/>
      <c r="Q63" s="1263"/>
      <c r="R63" s="1263"/>
      <c r="S63" s="1263"/>
      <c r="T63" s="1263"/>
      <c r="U63" s="1263"/>
      <c r="V63" s="1263"/>
      <c r="W63" s="1263"/>
    </row>
    <row r="64">
      <c r="A64" s="1513"/>
      <c r="B64" s="1514"/>
      <c r="C64" s="1499"/>
      <c r="D64" s="1499"/>
      <c r="E64" s="1499"/>
      <c r="F64" s="1515"/>
      <c r="G64" s="1499"/>
      <c r="H64" s="1263"/>
      <c r="I64" s="1512"/>
      <c r="J64" s="1263"/>
      <c r="K64" s="1263"/>
      <c r="L64" s="1263"/>
      <c r="M64" s="1263"/>
      <c r="N64" s="1263"/>
      <c r="O64" s="1263"/>
      <c r="P64" s="1263"/>
      <c r="Q64" s="1263"/>
      <c r="R64" s="1263"/>
      <c r="S64" s="1263"/>
      <c r="T64" s="1263"/>
      <c r="U64" s="1263"/>
      <c r="V64" s="1263"/>
      <c r="W64" s="1263"/>
    </row>
    <row r="65">
      <c r="A65" s="1513"/>
      <c r="B65" s="1514"/>
      <c r="C65" s="1499"/>
      <c r="D65" s="1499"/>
      <c r="E65" s="1499"/>
      <c r="F65" s="1515"/>
      <c r="G65" s="1499"/>
      <c r="H65" s="1263"/>
      <c r="I65" s="1512"/>
      <c r="J65" s="1263"/>
      <c r="K65" s="1263"/>
      <c r="L65" s="1263"/>
      <c r="M65" s="1263"/>
      <c r="N65" s="1263"/>
      <c r="O65" s="1263"/>
      <c r="P65" s="1263"/>
      <c r="Q65" s="1263"/>
      <c r="R65" s="1263"/>
      <c r="S65" s="1263"/>
      <c r="T65" s="1263"/>
      <c r="U65" s="1263"/>
      <c r="V65" s="1263"/>
      <c r="W65" s="1263"/>
    </row>
    <row r="66">
      <c r="A66" s="1513"/>
      <c r="B66" s="1514"/>
      <c r="C66" s="1499"/>
      <c r="D66" s="1499"/>
      <c r="E66" s="1499"/>
      <c r="F66" s="1515"/>
      <c r="G66" s="1499"/>
      <c r="H66" s="1263"/>
      <c r="I66" s="1512"/>
      <c r="J66" s="1263"/>
      <c r="K66" s="1263"/>
      <c r="L66" s="1263"/>
      <c r="M66" s="1263"/>
      <c r="N66" s="1263"/>
      <c r="O66" s="1263"/>
      <c r="P66" s="1263"/>
      <c r="Q66" s="1263"/>
      <c r="R66" s="1263"/>
      <c r="S66" s="1263"/>
      <c r="T66" s="1263"/>
      <c r="U66" s="1263"/>
      <c r="V66" s="1263"/>
      <c r="W66" s="1263"/>
    </row>
    <row r="67">
      <c r="A67" s="1513"/>
      <c r="B67" s="1514"/>
      <c r="C67" s="1499"/>
      <c r="D67" s="1499"/>
      <c r="E67" s="1499"/>
      <c r="F67" s="1515"/>
      <c r="G67" s="1499"/>
      <c r="H67" s="1263"/>
      <c r="I67" s="1512"/>
      <c r="J67" s="1263"/>
      <c r="K67" s="1263"/>
      <c r="L67" s="1263"/>
      <c r="M67" s="1263"/>
      <c r="N67" s="1263"/>
      <c r="O67" s="1263"/>
      <c r="P67" s="1263"/>
      <c r="Q67" s="1263"/>
      <c r="R67" s="1263"/>
      <c r="S67" s="1263"/>
      <c r="T67" s="1263"/>
      <c r="U67" s="1263"/>
      <c r="V67" s="1263"/>
      <c r="W67" s="1263"/>
    </row>
    <row r="68">
      <c r="A68" s="1513"/>
      <c r="B68" s="1514"/>
      <c r="C68" s="1499"/>
      <c r="D68" s="1499"/>
      <c r="E68" s="1499"/>
      <c r="F68" s="1515"/>
      <c r="G68" s="1499"/>
      <c r="H68" s="1263"/>
      <c r="I68" s="1512"/>
      <c r="J68" s="1263"/>
      <c r="K68" s="1263"/>
      <c r="L68" s="1263"/>
      <c r="M68" s="1263"/>
      <c r="N68" s="1263"/>
      <c r="O68" s="1263"/>
      <c r="P68" s="1263"/>
      <c r="Q68" s="1263"/>
      <c r="R68" s="1263"/>
      <c r="S68" s="1263"/>
      <c r="T68" s="1263"/>
      <c r="U68" s="1263"/>
      <c r="V68" s="1263"/>
      <c r="W68" s="1263"/>
    </row>
    <row r="69">
      <c r="A69" s="1513"/>
      <c r="B69" s="1514"/>
      <c r="C69" s="1499"/>
      <c r="D69" s="1499"/>
      <c r="E69" s="1499"/>
      <c r="F69" s="1515"/>
      <c r="G69" s="1499"/>
      <c r="H69" s="1263"/>
      <c r="I69" s="1512"/>
      <c r="J69" s="1263"/>
      <c r="K69" s="1263"/>
      <c r="L69" s="1263"/>
      <c r="M69" s="1263"/>
      <c r="N69" s="1263"/>
      <c r="O69" s="1263"/>
      <c r="P69" s="1263"/>
      <c r="Q69" s="1263"/>
      <c r="R69" s="1263"/>
      <c r="S69" s="1263"/>
      <c r="T69" s="1263"/>
      <c r="U69" s="1263"/>
      <c r="V69" s="1263"/>
      <c r="W69" s="1263"/>
    </row>
    <row r="70">
      <c r="A70" s="1513"/>
      <c r="B70" s="1514"/>
      <c r="C70" s="1499"/>
      <c r="D70" s="1499"/>
      <c r="E70" s="1499"/>
      <c r="F70" s="1515"/>
      <c r="G70" s="1499"/>
      <c r="H70" s="1263"/>
      <c r="I70" s="1512"/>
      <c r="J70" s="1263"/>
      <c r="K70" s="1263"/>
      <c r="L70" s="1263"/>
      <c r="M70" s="1263"/>
      <c r="N70" s="1263"/>
      <c r="O70" s="1263"/>
      <c r="P70" s="1263"/>
      <c r="Q70" s="1263"/>
      <c r="R70" s="1263"/>
      <c r="S70" s="1263"/>
      <c r="T70" s="1263"/>
      <c r="U70" s="1263"/>
      <c r="V70" s="1263"/>
      <c r="W70" s="1263"/>
    </row>
    <row r="71">
      <c r="A71" s="1513"/>
      <c r="B71" s="1514"/>
      <c r="C71" s="1499"/>
      <c r="D71" s="1499"/>
      <c r="E71" s="1499"/>
      <c r="F71" s="1515"/>
      <c r="G71" s="1499"/>
      <c r="H71" s="1263"/>
      <c r="I71" s="1512"/>
      <c r="J71" s="1263"/>
      <c r="K71" s="1263"/>
      <c r="L71" s="1263"/>
      <c r="M71" s="1263"/>
      <c r="N71" s="1263"/>
      <c r="O71" s="1263"/>
      <c r="P71" s="1263"/>
      <c r="Q71" s="1263"/>
      <c r="R71" s="1263"/>
      <c r="S71" s="1263"/>
      <c r="T71" s="1263"/>
      <c r="U71" s="1263"/>
      <c r="V71" s="1263"/>
      <c r="W71" s="1263"/>
    </row>
    <row r="72">
      <c r="A72" s="1513"/>
      <c r="B72" s="1514"/>
      <c r="C72" s="1499"/>
      <c r="D72" s="1499"/>
      <c r="E72" s="1499"/>
      <c r="F72" s="1515"/>
      <c r="G72" s="1499"/>
      <c r="H72" s="1263"/>
      <c r="I72" s="1512"/>
      <c r="J72" s="1263"/>
      <c r="K72" s="1263"/>
      <c r="L72" s="1263"/>
      <c r="M72" s="1263"/>
      <c r="N72" s="1263"/>
      <c r="O72" s="1263"/>
      <c r="P72" s="1263"/>
      <c r="Q72" s="1263"/>
      <c r="R72" s="1263"/>
      <c r="S72" s="1263"/>
      <c r="T72" s="1263"/>
      <c r="U72" s="1263"/>
      <c r="V72" s="1263"/>
      <c r="W72" s="1263"/>
    </row>
    <row r="73">
      <c r="A73" s="1513"/>
      <c r="B73" s="1514"/>
      <c r="C73" s="1499"/>
      <c r="D73" s="1499"/>
      <c r="E73" s="1499"/>
      <c r="F73" s="1515"/>
      <c r="G73" s="1499"/>
      <c r="H73" s="1263"/>
      <c r="I73" s="1512"/>
      <c r="J73" s="1263"/>
      <c r="K73" s="1263"/>
      <c r="L73" s="1263"/>
      <c r="M73" s="1263"/>
      <c r="N73" s="1263"/>
      <c r="O73" s="1263"/>
      <c r="P73" s="1263"/>
      <c r="Q73" s="1263"/>
      <c r="R73" s="1263"/>
      <c r="S73" s="1263"/>
      <c r="T73" s="1263"/>
      <c r="U73" s="1263"/>
      <c r="V73" s="1263"/>
      <c r="W73" s="1263"/>
    </row>
    <row r="74">
      <c r="A74" s="1513"/>
      <c r="B74" s="1514"/>
      <c r="C74" s="1499"/>
      <c r="D74" s="1499"/>
      <c r="E74" s="1499"/>
      <c r="F74" s="1515"/>
      <c r="G74" s="1499"/>
      <c r="H74" s="1263"/>
      <c r="I74" s="1512"/>
      <c r="J74" s="1263"/>
      <c r="K74" s="1263"/>
      <c r="L74" s="1263"/>
      <c r="M74" s="1263"/>
      <c r="N74" s="1263"/>
      <c r="O74" s="1263"/>
      <c r="P74" s="1263"/>
      <c r="Q74" s="1263"/>
      <c r="R74" s="1263"/>
      <c r="S74" s="1263"/>
      <c r="T74" s="1263"/>
      <c r="U74" s="1263"/>
      <c r="V74" s="1263"/>
      <c r="W74" s="1263"/>
    </row>
    <row r="75">
      <c r="A75" s="1513"/>
      <c r="B75" s="1514"/>
      <c r="C75" s="1499"/>
      <c r="D75" s="1499"/>
      <c r="E75" s="1499"/>
      <c r="F75" s="1515"/>
      <c r="G75" s="1499"/>
      <c r="H75" s="1263"/>
      <c r="I75" s="1512"/>
      <c r="J75" s="1263"/>
      <c r="K75" s="1263"/>
      <c r="L75" s="1263"/>
      <c r="M75" s="1263"/>
      <c r="N75" s="1263"/>
      <c r="O75" s="1263"/>
      <c r="P75" s="1263"/>
      <c r="Q75" s="1263"/>
      <c r="R75" s="1263"/>
      <c r="S75" s="1263"/>
      <c r="T75" s="1263"/>
      <c r="U75" s="1263"/>
      <c r="V75" s="1263"/>
      <c r="W75" s="1263"/>
    </row>
    <row r="76">
      <c r="A76" s="1513"/>
      <c r="B76" s="1514"/>
      <c r="C76" s="1499"/>
      <c r="D76" s="1499"/>
      <c r="E76" s="1499"/>
      <c r="F76" s="1515"/>
      <c r="G76" s="1499"/>
      <c r="H76" s="1263"/>
      <c r="I76" s="1512"/>
      <c r="J76" s="1263"/>
      <c r="K76" s="1263"/>
      <c r="L76" s="1263"/>
      <c r="M76" s="1263"/>
      <c r="N76" s="1263"/>
      <c r="O76" s="1263"/>
      <c r="P76" s="1263"/>
      <c r="Q76" s="1263"/>
      <c r="R76" s="1263"/>
      <c r="S76" s="1263"/>
      <c r="T76" s="1263"/>
      <c r="U76" s="1263"/>
      <c r="V76" s="1263"/>
      <c r="W76" s="1263"/>
    </row>
    <row r="77">
      <c r="A77" s="1513"/>
      <c r="B77" s="1514"/>
      <c r="C77" s="1499"/>
      <c r="D77" s="1499"/>
      <c r="E77" s="1499"/>
      <c r="F77" s="1515"/>
      <c r="G77" s="1499"/>
      <c r="H77" s="1263"/>
      <c r="I77" s="1512"/>
      <c r="J77" s="1263"/>
      <c r="K77" s="1263"/>
      <c r="L77" s="1263"/>
      <c r="M77" s="1263"/>
      <c r="N77" s="1263"/>
      <c r="O77" s="1263"/>
      <c r="P77" s="1263"/>
      <c r="Q77" s="1263"/>
      <c r="R77" s="1263"/>
      <c r="S77" s="1263"/>
      <c r="T77" s="1263"/>
      <c r="U77" s="1263"/>
      <c r="V77" s="1263"/>
      <c r="W77" s="1263"/>
    </row>
    <row r="78">
      <c r="A78" s="1513"/>
      <c r="B78" s="1514"/>
      <c r="C78" s="1499"/>
      <c r="D78" s="1499"/>
      <c r="E78" s="1499"/>
      <c r="F78" s="1515"/>
      <c r="G78" s="1499"/>
      <c r="H78" s="1263"/>
      <c r="I78" s="1512"/>
      <c r="J78" s="1263"/>
      <c r="K78" s="1263"/>
      <c r="L78" s="1263"/>
      <c r="M78" s="1263"/>
      <c r="N78" s="1263"/>
      <c r="O78" s="1263"/>
      <c r="P78" s="1263"/>
      <c r="Q78" s="1263"/>
      <c r="R78" s="1263"/>
      <c r="S78" s="1263"/>
      <c r="T78" s="1263"/>
      <c r="U78" s="1263"/>
      <c r="V78" s="1263"/>
      <c r="W78" s="1263"/>
    </row>
    <row r="79">
      <c r="A79" s="1513"/>
      <c r="B79" s="1514"/>
      <c r="C79" s="1499"/>
      <c r="D79" s="1499"/>
      <c r="E79" s="1499"/>
      <c r="F79" s="1515"/>
      <c r="G79" s="1499"/>
      <c r="H79" s="1263"/>
      <c r="I79" s="1512"/>
      <c r="J79" s="1263"/>
      <c r="K79" s="1263"/>
      <c r="L79" s="1263"/>
      <c r="M79" s="1263"/>
      <c r="N79" s="1263"/>
      <c r="O79" s="1263"/>
      <c r="P79" s="1263"/>
      <c r="Q79" s="1263"/>
      <c r="R79" s="1263"/>
      <c r="S79" s="1263"/>
      <c r="T79" s="1263"/>
      <c r="U79" s="1263"/>
      <c r="V79" s="1263"/>
      <c r="W79" s="1263"/>
    </row>
    <row r="80">
      <c r="A80" s="1513"/>
      <c r="B80" s="1514"/>
      <c r="C80" s="1499"/>
      <c r="D80" s="1499"/>
      <c r="E80" s="1499"/>
      <c r="F80" s="1515"/>
      <c r="G80" s="1499"/>
      <c r="H80" s="1263"/>
      <c r="I80" s="1512"/>
      <c r="J80" s="1263"/>
      <c r="K80" s="1263"/>
      <c r="L80" s="1263"/>
      <c r="M80" s="1263"/>
      <c r="N80" s="1263"/>
      <c r="O80" s="1263"/>
      <c r="P80" s="1263"/>
      <c r="Q80" s="1263"/>
      <c r="R80" s="1263"/>
      <c r="S80" s="1263"/>
      <c r="T80" s="1263"/>
      <c r="U80" s="1263"/>
      <c r="V80" s="1263"/>
      <c r="W80" s="1263"/>
    </row>
    <row r="81">
      <c r="A81" s="1513"/>
      <c r="B81" s="1514"/>
      <c r="C81" s="1499"/>
      <c r="D81" s="1499"/>
      <c r="E81" s="1499"/>
      <c r="F81" s="1515"/>
      <c r="G81" s="1499"/>
      <c r="H81" s="1263"/>
      <c r="I81" s="1512"/>
      <c r="J81" s="1263"/>
      <c r="K81" s="1263"/>
      <c r="L81" s="1263"/>
      <c r="M81" s="1263"/>
      <c r="N81" s="1263"/>
      <c r="O81" s="1263"/>
      <c r="P81" s="1263"/>
      <c r="Q81" s="1263"/>
      <c r="R81" s="1263"/>
      <c r="S81" s="1263"/>
      <c r="T81" s="1263"/>
      <c r="U81" s="1263"/>
      <c r="V81" s="1263"/>
      <c r="W81" s="1263"/>
    </row>
    <row r="82">
      <c r="A82" s="1513"/>
      <c r="B82" s="1514"/>
      <c r="C82" s="1499"/>
      <c r="D82" s="1499"/>
      <c r="E82" s="1499"/>
      <c r="F82" s="1515"/>
      <c r="G82" s="1499"/>
      <c r="H82" s="1263"/>
      <c r="I82" s="1512"/>
      <c r="J82" s="1263"/>
      <c r="K82" s="1263"/>
      <c r="L82" s="1263"/>
      <c r="M82" s="1263"/>
      <c r="N82" s="1263"/>
      <c r="O82" s="1263"/>
      <c r="P82" s="1263"/>
      <c r="Q82" s="1263"/>
      <c r="R82" s="1263"/>
      <c r="S82" s="1263"/>
      <c r="T82" s="1263"/>
      <c r="U82" s="1263"/>
      <c r="V82" s="1263"/>
      <c r="W82" s="1263"/>
    </row>
    <row r="83">
      <c r="A83" s="1513"/>
      <c r="B83" s="1514"/>
      <c r="C83" s="1499"/>
      <c r="D83" s="1499"/>
      <c r="E83" s="1499"/>
      <c r="F83" s="1515"/>
      <c r="G83" s="1499"/>
      <c r="H83" s="1263"/>
      <c r="I83" s="1512"/>
      <c r="J83" s="1263"/>
      <c r="K83" s="1263"/>
      <c r="L83" s="1263"/>
      <c r="M83" s="1263"/>
      <c r="N83" s="1263"/>
      <c r="O83" s="1263"/>
      <c r="P83" s="1263"/>
      <c r="Q83" s="1263"/>
      <c r="R83" s="1263"/>
      <c r="S83" s="1263"/>
      <c r="T83" s="1263"/>
      <c r="U83" s="1263"/>
      <c r="V83" s="1263"/>
      <c r="W83" s="1263"/>
    </row>
    <row r="84">
      <c r="A84" s="1513"/>
      <c r="B84" s="1514"/>
      <c r="C84" s="1499"/>
      <c r="D84" s="1499"/>
      <c r="E84" s="1499"/>
      <c r="F84" s="1515"/>
      <c r="G84" s="1499"/>
      <c r="H84" s="1263"/>
      <c r="I84" s="1512"/>
      <c r="J84" s="1263"/>
      <c r="K84" s="1263"/>
      <c r="L84" s="1263"/>
      <c r="M84" s="1263"/>
      <c r="N84" s="1263"/>
      <c r="O84" s="1263"/>
      <c r="P84" s="1263"/>
      <c r="Q84" s="1263"/>
      <c r="R84" s="1263"/>
      <c r="S84" s="1263"/>
      <c r="T84" s="1263"/>
      <c r="U84" s="1263"/>
      <c r="V84" s="1263"/>
      <c r="W84" s="1263"/>
    </row>
    <row r="85">
      <c r="A85" s="1513"/>
      <c r="B85" s="1514"/>
      <c r="C85" s="1499"/>
      <c r="D85" s="1499"/>
      <c r="E85" s="1499"/>
      <c r="F85" s="1515"/>
      <c r="G85" s="1499"/>
      <c r="H85" s="1263"/>
      <c r="I85" s="1512"/>
      <c r="J85" s="1263"/>
      <c r="K85" s="1263"/>
      <c r="L85" s="1263"/>
      <c r="M85" s="1263"/>
      <c r="N85" s="1263"/>
      <c r="O85" s="1263"/>
      <c r="P85" s="1263"/>
      <c r="Q85" s="1263"/>
      <c r="R85" s="1263"/>
      <c r="S85" s="1263"/>
      <c r="T85" s="1263"/>
      <c r="U85" s="1263"/>
      <c r="V85" s="1263"/>
      <c r="W85" s="1263"/>
    </row>
    <row r="86">
      <c r="A86" s="1513"/>
      <c r="B86" s="1514"/>
      <c r="C86" s="1499"/>
      <c r="D86" s="1499"/>
      <c r="E86" s="1499"/>
      <c r="F86" s="1515"/>
      <c r="G86" s="1499"/>
      <c r="H86" s="1263"/>
      <c r="I86" s="1512"/>
      <c r="J86" s="1263"/>
      <c r="K86" s="1263"/>
      <c r="L86" s="1263"/>
      <c r="M86" s="1263"/>
      <c r="N86" s="1263"/>
      <c r="O86" s="1263"/>
      <c r="P86" s="1263"/>
      <c r="Q86" s="1263"/>
      <c r="R86" s="1263"/>
      <c r="S86" s="1263"/>
      <c r="T86" s="1263"/>
      <c r="U86" s="1263"/>
      <c r="V86" s="1263"/>
      <c r="W86" s="1263"/>
    </row>
    <row r="87">
      <c r="A87" s="1513"/>
      <c r="B87" s="1514"/>
      <c r="C87" s="1499"/>
      <c r="D87" s="1499"/>
      <c r="E87" s="1499"/>
      <c r="F87" s="1515"/>
      <c r="G87" s="1499"/>
      <c r="H87" s="1263"/>
      <c r="I87" s="1512"/>
      <c r="J87" s="1263"/>
      <c r="K87" s="1263"/>
      <c r="L87" s="1263"/>
      <c r="M87" s="1263"/>
      <c r="N87" s="1263"/>
      <c r="O87" s="1263"/>
      <c r="P87" s="1263"/>
      <c r="Q87" s="1263"/>
      <c r="R87" s="1263"/>
      <c r="S87" s="1263"/>
      <c r="T87" s="1263"/>
      <c r="U87" s="1263"/>
      <c r="V87" s="1263"/>
      <c r="W87" s="1263"/>
    </row>
    <row r="88">
      <c r="A88" s="1513"/>
      <c r="B88" s="1514"/>
      <c r="C88" s="1499"/>
      <c r="D88" s="1499"/>
      <c r="E88" s="1499"/>
      <c r="F88" s="1515"/>
      <c r="G88" s="1499"/>
      <c r="H88" s="1263"/>
      <c r="I88" s="1512"/>
      <c r="J88" s="1263"/>
      <c r="K88" s="1263"/>
      <c r="L88" s="1263"/>
      <c r="M88" s="1263"/>
      <c r="N88" s="1263"/>
      <c r="O88" s="1263"/>
      <c r="P88" s="1263"/>
      <c r="Q88" s="1263"/>
      <c r="R88" s="1263"/>
      <c r="S88" s="1263"/>
      <c r="T88" s="1263"/>
      <c r="U88" s="1263"/>
      <c r="V88" s="1263"/>
      <c r="W88" s="1263"/>
    </row>
    <row r="89">
      <c r="A89" s="1513"/>
      <c r="B89" s="1514"/>
      <c r="C89" s="1499"/>
      <c r="D89" s="1499"/>
      <c r="E89" s="1499"/>
      <c r="F89" s="1515"/>
      <c r="G89" s="1499"/>
      <c r="H89" s="1263"/>
      <c r="I89" s="1512"/>
      <c r="J89" s="1263"/>
      <c r="K89" s="1263"/>
      <c r="L89" s="1263"/>
      <c r="M89" s="1263"/>
      <c r="N89" s="1263"/>
      <c r="O89" s="1263"/>
      <c r="P89" s="1263"/>
      <c r="Q89" s="1263"/>
      <c r="R89" s="1263"/>
      <c r="S89" s="1263"/>
      <c r="T89" s="1263"/>
      <c r="U89" s="1263"/>
      <c r="V89" s="1263"/>
      <c r="W89" s="1263"/>
    </row>
    <row r="90">
      <c r="A90" s="1513"/>
      <c r="B90" s="1514"/>
      <c r="C90" s="1499"/>
      <c r="D90" s="1499"/>
      <c r="E90" s="1499"/>
      <c r="F90" s="1515"/>
      <c r="G90" s="1499"/>
      <c r="H90" s="1263"/>
      <c r="I90" s="1512"/>
      <c r="J90" s="1263"/>
      <c r="K90" s="1263"/>
      <c r="L90" s="1263"/>
      <c r="M90" s="1263"/>
      <c r="N90" s="1263"/>
      <c r="O90" s="1263"/>
      <c r="P90" s="1263"/>
      <c r="Q90" s="1263"/>
      <c r="R90" s="1263"/>
      <c r="S90" s="1263"/>
      <c r="T90" s="1263"/>
      <c r="U90" s="1263"/>
      <c r="V90" s="1263"/>
      <c r="W90" s="1263"/>
    </row>
    <row r="91">
      <c r="A91" s="1513"/>
      <c r="B91" s="1514"/>
      <c r="C91" s="1499"/>
      <c r="D91" s="1499"/>
      <c r="E91" s="1499"/>
      <c r="F91" s="1515"/>
      <c r="G91" s="1499"/>
      <c r="H91" s="1263"/>
      <c r="I91" s="1512"/>
      <c r="J91" s="1263"/>
      <c r="K91" s="1263"/>
      <c r="L91" s="1263"/>
      <c r="M91" s="1263"/>
      <c r="N91" s="1263"/>
      <c r="O91" s="1263"/>
      <c r="P91" s="1263"/>
      <c r="Q91" s="1263"/>
      <c r="R91" s="1263"/>
      <c r="S91" s="1263"/>
      <c r="T91" s="1263"/>
      <c r="U91" s="1263"/>
      <c r="V91" s="1263"/>
      <c r="W91" s="1263"/>
    </row>
    <row r="92">
      <c r="A92" s="1513"/>
      <c r="B92" s="1514"/>
      <c r="C92" s="1499"/>
      <c r="D92" s="1499"/>
      <c r="E92" s="1499"/>
      <c r="F92" s="1515"/>
      <c r="G92" s="1499"/>
      <c r="H92" s="1263"/>
      <c r="I92" s="1512"/>
      <c r="J92" s="1263"/>
      <c r="K92" s="1263"/>
      <c r="L92" s="1263"/>
      <c r="M92" s="1263"/>
      <c r="N92" s="1263"/>
      <c r="O92" s="1263"/>
      <c r="P92" s="1263"/>
      <c r="Q92" s="1263"/>
      <c r="R92" s="1263"/>
      <c r="S92" s="1263"/>
      <c r="T92" s="1263"/>
      <c r="U92" s="1263"/>
      <c r="V92" s="1263"/>
      <c r="W92" s="1263"/>
    </row>
    <row r="93">
      <c r="A93" s="1513"/>
      <c r="B93" s="1514"/>
      <c r="C93" s="1499"/>
      <c r="D93" s="1499"/>
      <c r="E93" s="1499"/>
      <c r="F93" s="1515"/>
      <c r="G93" s="1499"/>
      <c r="H93" s="1263"/>
      <c r="I93" s="1512"/>
      <c r="J93" s="1263"/>
      <c r="K93" s="1263"/>
      <c r="L93" s="1263"/>
      <c r="M93" s="1263"/>
      <c r="N93" s="1263"/>
      <c r="O93" s="1263"/>
      <c r="P93" s="1263"/>
      <c r="Q93" s="1263"/>
      <c r="R93" s="1263"/>
      <c r="S93" s="1263"/>
      <c r="T93" s="1263"/>
      <c r="U93" s="1263"/>
      <c r="V93" s="1263"/>
      <c r="W93" s="1263"/>
    </row>
    <row r="94">
      <c r="A94" s="1513"/>
      <c r="B94" s="1514"/>
      <c r="C94" s="1499"/>
      <c r="D94" s="1499"/>
      <c r="E94" s="1499"/>
      <c r="F94" s="1515"/>
      <c r="G94" s="1499"/>
      <c r="H94" s="1263"/>
      <c r="I94" s="1512"/>
      <c r="J94" s="1263"/>
      <c r="K94" s="1263"/>
      <c r="L94" s="1263"/>
      <c r="M94" s="1263"/>
      <c r="N94" s="1263"/>
      <c r="O94" s="1263"/>
      <c r="P94" s="1263"/>
      <c r="Q94" s="1263"/>
      <c r="R94" s="1263"/>
      <c r="S94" s="1263"/>
      <c r="T94" s="1263"/>
      <c r="U94" s="1263"/>
      <c r="V94" s="1263"/>
      <c r="W94" s="1263"/>
    </row>
    <row r="95">
      <c r="A95" s="1513"/>
      <c r="B95" s="1514"/>
      <c r="C95" s="1499"/>
      <c r="D95" s="1499"/>
      <c r="E95" s="1499"/>
      <c r="F95" s="1515"/>
      <c r="G95" s="1499"/>
      <c r="H95" s="1263"/>
      <c r="I95" s="1512"/>
      <c r="J95" s="1263"/>
      <c r="K95" s="1263"/>
      <c r="L95" s="1263"/>
      <c r="M95" s="1263"/>
      <c r="N95" s="1263"/>
      <c r="O95" s="1263"/>
      <c r="P95" s="1263"/>
      <c r="Q95" s="1263"/>
      <c r="R95" s="1263"/>
      <c r="S95" s="1263"/>
      <c r="T95" s="1263"/>
      <c r="U95" s="1263"/>
      <c r="V95" s="1263"/>
      <c r="W95" s="1263"/>
    </row>
    <row r="96">
      <c r="A96" s="1513"/>
      <c r="B96" s="1514"/>
      <c r="C96" s="1499"/>
      <c r="D96" s="1499"/>
      <c r="E96" s="1499"/>
      <c r="F96" s="1515"/>
      <c r="G96" s="1499"/>
      <c r="H96" s="1263"/>
      <c r="I96" s="1512"/>
      <c r="J96" s="1263"/>
      <c r="K96" s="1263"/>
      <c r="L96" s="1263"/>
      <c r="M96" s="1263"/>
      <c r="N96" s="1263"/>
      <c r="O96" s="1263"/>
      <c r="P96" s="1263"/>
      <c r="Q96" s="1263"/>
      <c r="R96" s="1263"/>
      <c r="S96" s="1263"/>
      <c r="T96" s="1263"/>
      <c r="U96" s="1263"/>
      <c r="V96" s="1263"/>
      <c r="W96" s="1263"/>
    </row>
    <row r="97">
      <c r="A97" s="1513"/>
      <c r="B97" s="1514"/>
      <c r="C97" s="1499"/>
      <c r="D97" s="1499"/>
      <c r="E97" s="1499"/>
      <c r="F97" s="1515"/>
      <c r="G97" s="1499"/>
      <c r="H97" s="1263"/>
      <c r="I97" s="1512"/>
      <c r="J97" s="1263"/>
      <c r="K97" s="1263"/>
      <c r="L97" s="1263"/>
      <c r="M97" s="1263"/>
      <c r="N97" s="1263"/>
      <c r="O97" s="1263"/>
      <c r="P97" s="1263"/>
      <c r="Q97" s="1263"/>
      <c r="R97" s="1263"/>
      <c r="S97" s="1263"/>
      <c r="T97" s="1263"/>
      <c r="U97" s="1263"/>
      <c r="V97" s="1263"/>
      <c r="W97" s="1263"/>
    </row>
    <row r="98">
      <c r="A98" s="1513"/>
      <c r="B98" s="1514"/>
      <c r="C98" s="1499"/>
      <c r="D98" s="1499"/>
      <c r="E98" s="1499"/>
      <c r="F98" s="1515"/>
      <c r="G98" s="1499"/>
      <c r="H98" s="1263"/>
      <c r="I98" s="1512"/>
      <c r="J98" s="1263"/>
      <c r="K98" s="1263"/>
      <c r="L98" s="1263"/>
      <c r="M98" s="1263"/>
      <c r="N98" s="1263"/>
      <c r="O98" s="1263"/>
      <c r="P98" s="1263"/>
      <c r="Q98" s="1263"/>
      <c r="R98" s="1263"/>
      <c r="S98" s="1263"/>
      <c r="T98" s="1263"/>
      <c r="U98" s="1263"/>
      <c r="V98" s="1263"/>
      <c r="W98" s="1263"/>
    </row>
    <row r="99">
      <c r="A99" s="1513"/>
      <c r="B99" s="1514"/>
      <c r="C99" s="1499"/>
      <c r="D99" s="1499"/>
      <c r="E99" s="1499"/>
      <c r="F99" s="1515"/>
      <c r="G99" s="1499"/>
      <c r="H99" s="1263"/>
      <c r="I99" s="1512"/>
      <c r="J99" s="1263"/>
      <c r="K99" s="1263"/>
      <c r="L99" s="1263"/>
      <c r="M99" s="1263"/>
      <c r="N99" s="1263"/>
      <c r="O99" s="1263"/>
      <c r="P99" s="1263"/>
      <c r="Q99" s="1263"/>
      <c r="R99" s="1263"/>
      <c r="S99" s="1263"/>
      <c r="T99" s="1263"/>
      <c r="U99" s="1263"/>
      <c r="V99" s="1263"/>
      <c r="W99" s="1263"/>
    </row>
    <row r="100">
      <c r="A100" s="1513"/>
      <c r="B100" s="1514"/>
      <c r="C100" s="1499"/>
      <c r="D100" s="1499"/>
      <c r="E100" s="1499"/>
      <c r="F100" s="1515"/>
      <c r="G100" s="1499"/>
      <c r="H100" s="1263"/>
      <c r="I100" s="1512"/>
      <c r="J100" s="1263"/>
      <c r="K100" s="1263"/>
      <c r="L100" s="1263"/>
      <c r="M100" s="1263"/>
      <c r="N100" s="1263"/>
      <c r="O100" s="1263"/>
      <c r="P100" s="1263"/>
      <c r="Q100" s="1263"/>
      <c r="R100" s="1263"/>
      <c r="S100" s="1263"/>
      <c r="T100" s="1263"/>
      <c r="U100" s="1263"/>
      <c r="V100" s="1263"/>
      <c r="W100" s="1263"/>
    </row>
    <row r="101">
      <c r="A101" s="1513"/>
      <c r="B101" s="1514"/>
      <c r="C101" s="1499"/>
      <c r="D101" s="1499"/>
      <c r="E101" s="1499"/>
      <c r="F101" s="1515"/>
      <c r="G101" s="1499"/>
      <c r="H101" s="1263"/>
      <c r="I101" s="1512"/>
      <c r="J101" s="1263"/>
      <c r="K101" s="1263"/>
      <c r="L101" s="1263"/>
      <c r="M101" s="1263"/>
      <c r="N101" s="1263"/>
      <c r="O101" s="1263"/>
      <c r="P101" s="1263"/>
      <c r="Q101" s="1263"/>
      <c r="R101" s="1263"/>
      <c r="S101" s="1263"/>
      <c r="T101" s="1263"/>
      <c r="U101" s="1263"/>
      <c r="V101" s="1263"/>
      <c r="W101" s="1263"/>
    </row>
    <row r="102">
      <c r="A102" s="1513"/>
      <c r="B102" s="1514"/>
      <c r="C102" s="1499"/>
      <c r="D102" s="1499"/>
      <c r="E102" s="1499"/>
      <c r="F102" s="1515"/>
      <c r="G102" s="1499"/>
      <c r="H102" s="1263"/>
      <c r="I102" s="1512"/>
      <c r="J102" s="1263"/>
      <c r="K102" s="1263"/>
      <c r="L102" s="1263"/>
      <c r="M102" s="1263"/>
      <c r="N102" s="1263"/>
      <c r="O102" s="1263"/>
      <c r="P102" s="1263"/>
      <c r="Q102" s="1263"/>
      <c r="R102" s="1263"/>
      <c r="S102" s="1263"/>
      <c r="T102" s="1263"/>
      <c r="U102" s="1263"/>
      <c r="V102" s="1263"/>
      <c r="W102" s="1263"/>
    </row>
    <row r="103">
      <c r="A103" s="1513"/>
      <c r="B103" s="1514"/>
      <c r="C103" s="1499"/>
      <c r="D103" s="1499"/>
      <c r="E103" s="1499"/>
      <c r="F103" s="1515"/>
      <c r="G103" s="1499"/>
      <c r="H103" s="1263"/>
      <c r="I103" s="1512"/>
      <c r="J103" s="1263"/>
      <c r="K103" s="1263"/>
      <c r="L103" s="1263"/>
      <c r="M103" s="1263"/>
      <c r="N103" s="1263"/>
      <c r="O103" s="1263"/>
      <c r="P103" s="1263"/>
      <c r="Q103" s="1263"/>
      <c r="R103" s="1263"/>
      <c r="S103" s="1263"/>
      <c r="T103" s="1263"/>
      <c r="U103" s="1263"/>
      <c r="V103" s="1263"/>
      <c r="W103" s="1263"/>
    </row>
    <row r="104">
      <c r="A104" s="1513"/>
      <c r="B104" s="1514"/>
      <c r="C104" s="1499"/>
      <c r="D104" s="1499"/>
      <c r="E104" s="1499"/>
      <c r="F104" s="1515"/>
      <c r="G104" s="1499"/>
      <c r="H104" s="1263"/>
      <c r="I104" s="1512"/>
      <c r="J104" s="1263"/>
      <c r="K104" s="1263"/>
      <c r="L104" s="1263"/>
      <c r="M104" s="1263"/>
      <c r="N104" s="1263"/>
      <c r="O104" s="1263"/>
      <c r="P104" s="1263"/>
      <c r="Q104" s="1263"/>
      <c r="R104" s="1263"/>
      <c r="S104" s="1263"/>
      <c r="T104" s="1263"/>
      <c r="U104" s="1263"/>
      <c r="V104" s="1263"/>
      <c r="W104" s="1263"/>
    </row>
    <row r="105">
      <c r="A105" s="1513"/>
      <c r="B105" s="1514"/>
      <c r="C105" s="1499"/>
      <c r="D105" s="1499"/>
      <c r="E105" s="1499"/>
      <c r="F105" s="1515"/>
      <c r="G105" s="1499"/>
      <c r="H105" s="1263"/>
      <c r="I105" s="1512"/>
      <c r="J105" s="1263"/>
      <c r="K105" s="1263"/>
      <c r="L105" s="1263"/>
      <c r="M105" s="1263"/>
      <c r="N105" s="1263"/>
      <c r="O105" s="1263"/>
      <c r="P105" s="1263"/>
      <c r="Q105" s="1263"/>
      <c r="R105" s="1263"/>
      <c r="S105" s="1263"/>
      <c r="T105" s="1263"/>
      <c r="U105" s="1263"/>
      <c r="V105" s="1263"/>
      <c r="W105" s="1263"/>
    </row>
    <row r="106">
      <c r="A106" s="1513"/>
      <c r="B106" s="1514"/>
      <c r="C106" s="1499"/>
      <c r="D106" s="1499"/>
      <c r="E106" s="1499"/>
      <c r="F106" s="1515"/>
      <c r="G106" s="1499"/>
      <c r="H106" s="1263"/>
      <c r="I106" s="1512"/>
      <c r="J106" s="1263"/>
      <c r="K106" s="1263"/>
      <c r="L106" s="1263"/>
      <c r="M106" s="1263"/>
      <c r="N106" s="1263"/>
      <c r="O106" s="1263"/>
      <c r="P106" s="1263"/>
      <c r="Q106" s="1263"/>
      <c r="R106" s="1263"/>
      <c r="S106" s="1263"/>
      <c r="T106" s="1263"/>
      <c r="U106" s="1263"/>
      <c r="V106" s="1263"/>
      <c r="W106" s="1263"/>
    </row>
    <row r="107">
      <c r="A107" s="1513"/>
      <c r="B107" s="1514"/>
      <c r="C107" s="1499"/>
      <c r="D107" s="1499"/>
      <c r="E107" s="1499"/>
      <c r="F107" s="1515"/>
      <c r="G107" s="1499"/>
      <c r="H107" s="1263"/>
      <c r="I107" s="1512"/>
      <c r="J107" s="1263"/>
      <c r="K107" s="1263"/>
      <c r="L107" s="1263"/>
      <c r="M107" s="1263"/>
      <c r="N107" s="1263"/>
      <c r="O107" s="1263"/>
      <c r="P107" s="1263"/>
      <c r="Q107" s="1263"/>
      <c r="R107" s="1263"/>
      <c r="S107" s="1263"/>
      <c r="T107" s="1263"/>
      <c r="U107" s="1263"/>
      <c r="V107" s="1263"/>
      <c r="W107" s="1263"/>
    </row>
    <row r="108">
      <c r="A108" s="1513"/>
      <c r="B108" s="1514"/>
      <c r="C108" s="1499"/>
      <c r="D108" s="1499"/>
      <c r="E108" s="1499"/>
      <c r="F108" s="1515"/>
      <c r="G108" s="1499"/>
      <c r="H108" s="1263"/>
      <c r="I108" s="1512"/>
      <c r="J108" s="1263"/>
      <c r="K108" s="1263"/>
      <c r="L108" s="1263"/>
      <c r="M108" s="1263"/>
      <c r="N108" s="1263"/>
      <c r="O108" s="1263"/>
      <c r="P108" s="1263"/>
      <c r="Q108" s="1263"/>
      <c r="R108" s="1263"/>
      <c r="S108" s="1263"/>
      <c r="T108" s="1263"/>
      <c r="U108" s="1263"/>
      <c r="V108" s="1263"/>
      <c r="W108" s="1263"/>
    </row>
    <row r="109">
      <c r="A109" s="1513"/>
      <c r="B109" s="1514"/>
      <c r="C109" s="1499"/>
      <c r="D109" s="1499"/>
      <c r="E109" s="1499"/>
      <c r="F109" s="1515"/>
      <c r="G109" s="1499"/>
      <c r="H109" s="1263"/>
      <c r="I109" s="1512"/>
      <c r="J109" s="1263"/>
      <c r="K109" s="1263"/>
      <c r="L109" s="1263"/>
      <c r="M109" s="1263"/>
      <c r="N109" s="1263"/>
      <c r="O109" s="1263"/>
      <c r="P109" s="1263"/>
      <c r="Q109" s="1263"/>
      <c r="R109" s="1263"/>
      <c r="S109" s="1263"/>
      <c r="T109" s="1263"/>
      <c r="U109" s="1263"/>
      <c r="V109" s="1263"/>
      <c r="W109" s="1263"/>
    </row>
    <row r="110">
      <c r="A110" s="1513"/>
      <c r="B110" s="1514"/>
      <c r="C110" s="1499"/>
      <c r="D110" s="1499"/>
      <c r="E110" s="1499"/>
      <c r="F110" s="1515"/>
      <c r="G110" s="1499"/>
      <c r="H110" s="1263"/>
      <c r="I110" s="1512"/>
      <c r="J110" s="1263"/>
      <c r="K110" s="1263"/>
      <c r="L110" s="1263"/>
      <c r="M110" s="1263"/>
      <c r="N110" s="1263"/>
      <c r="O110" s="1263"/>
      <c r="P110" s="1263"/>
      <c r="Q110" s="1263"/>
      <c r="R110" s="1263"/>
      <c r="S110" s="1263"/>
      <c r="T110" s="1263"/>
      <c r="U110" s="1263"/>
      <c r="V110" s="1263"/>
      <c r="W110" s="1263"/>
    </row>
    <row r="111">
      <c r="A111" s="1513"/>
      <c r="B111" s="1514"/>
      <c r="C111" s="1499"/>
      <c r="D111" s="1499"/>
      <c r="E111" s="1499"/>
      <c r="F111" s="1515"/>
      <c r="G111" s="1499"/>
      <c r="H111" s="1263"/>
      <c r="I111" s="1512"/>
      <c r="J111" s="1263"/>
      <c r="K111" s="1263"/>
      <c r="L111" s="1263"/>
      <c r="M111" s="1263"/>
      <c r="N111" s="1263"/>
      <c r="O111" s="1263"/>
      <c r="P111" s="1263"/>
      <c r="Q111" s="1263"/>
      <c r="R111" s="1263"/>
      <c r="S111" s="1263"/>
      <c r="T111" s="1263"/>
      <c r="U111" s="1263"/>
      <c r="V111" s="1263"/>
      <c r="W111" s="1263"/>
    </row>
    <row r="112">
      <c r="A112" s="1513"/>
      <c r="B112" s="1514"/>
      <c r="C112" s="1499"/>
      <c r="D112" s="1499"/>
      <c r="E112" s="1499"/>
      <c r="F112" s="1515"/>
      <c r="G112" s="1499"/>
      <c r="H112" s="1263"/>
      <c r="I112" s="1512"/>
      <c r="J112" s="1263"/>
      <c r="K112" s="1263"/>
      <c r="L112" s="1263"/>
      <c r="M112" s="1263"/>
      <c r="N112" s="1263"/>
      <c r="O112" s="1263"/>
      <c r="P112" s="1263"/>
      <c r="Q112" s="1263"/>
      <c r="R112" s="1263"/>
      <c r="S112" s="1263"/>
      <c r="T112" s="1263"/>
      <c r="U112" s="1263"/>
      <c r="V112" s="1263"/>
      <c r="W112" s="1263"/>
    </row>
    <row r="113">
      <c r="A113" s="1513"/>
      <c r="B113" s="1514"/>
      <c r="C113" s="1499"/>
      <c r="D113" s="1499"/>
      <c r="E113" s="1499"/>
      <c r="F113" s="1515"/>
      <c r="G113" s="1499"/>
      <c r="H113" s="1263"/>
      <c r="I113" s="1512"/>
      <c r="J113" s="1263"/>
      <c r="K113" s="1263"/>
      <c r="L113" s="1263"/>
      <c r="M113" s="1263"/>
      <c r="N113" s="1263"/>
      <c r="O113" s="1263"/>
      <c r="P113" s="1263"/>
      <c r="Q113" s="1263"/>
      <c r="R113" s="1263"/>
      <c r="S113" s="1263"/>
      <c r="T113" s="1263"/>
      <c r="U113" s="1263"/>
      <c r="V113" s="1263"/>
      <c r="W113" s="1263"/>
    </row>
    <row r="114">
      <c r="A114" s="1513"/>
      <c r="B114" s="1514"/>
      <c r="C114" s="1499"/>
      <c r="D114" s="1499"/>
      <c r="E114" s="1499"/>
      <c r="F114" s="1515"/>
      <c r="G114" s="1499"/>
      <c r="H114" s="1263"/>
      <c r="I114" s="1512"/>
      <c r="J114" s="1263"/>
      <c r="K114" s="1263"/>
      <c r="L114" s="1263"/>
      <c r="M114" s="1263"/>
      <c r="N114" s="1263"/>
      <c r="O114" s="1263"/>
      <c r="P114" s="1263"/>
      <c r="Q114" s="1263"/>
      <c r="R114" s="1263"/>
      <c r="S114" s="1263"/>
      <c r="T114" s="1263"/>
      <c r="U114" s="1263"/>
      <c r="V114" s="1263"/>
      <c r="W114" s="1263"/>
    </row>
    <row r="115">
      <c r="A115" s="1513"/>
      <c r="B115" s="1514"/>
      <c r="C115" s="1499"/>
      <c r="D115" s="1499"/>
      <c r="E115" s="1499"/>
      <c r="F115" s="1515"/>
      <c r="G115" s="1499"/>
      <c r="H115" s="1263"/>
      <c r="I115" s="1512"/>
      <c r="J115" s="1263"/>
      <c r="K115" s="1263"/>
      <c r="L115" s="1263"/>
      <c r="M115" s="1263"/>
      <c r="N115" s="1263"/>
      <c r="O115" s="1263"/>
      <c r="P115" s="1263"/>
      <c r="Q115" s="1263"/>
      <c r="R115" s="1263"/>
      <c r="S115" s="1263"/>
      <c r="T115" s="1263"/>
      <c r="U115" s="1263"/>
      <c r="V115" s="1263"/>
      <c r="W115" s="1263"/>
    </row>
    <row r="116">
      <c r="A116" s="1513"/>
      <c r="B116" s="1514"/>
      <c r="C116" s="1499"/>
      <c r="D116" s="1499"/>
      <c r="E116" s="1499"/>
      <c r="F116" s="1515"/>
      <c r="G116" s="1499"/>
      <c r="H116" s="1263"/>
      <c r="I116" s="1512"/>
      <c r="J116" s="1263"/>
      <c r="K116" s="1263"/>
      <c r="L116" s="1263"/>
      <c r="M116" s="1263"/>
      <c r="N116" s="1263"/>
      <c r="O116" s="1263"/>
      <c r="P116" s="1263"/>
      <c r="Q116" s="1263"/>
      <c r="R116" s="1263"/>
      <c r="S116" s="1263"/>
      <c r="T116" s="1263"/>
      <c r="U116" s="1263"/>
      <c r="V116" s="1263"/>
      <c r="W116" s="1263"/>
    </row>
    <row r="117">
      <c r="A117" s="1513"/>
      <c r="B117" s="1514"/>
      <c r="C117" s="1499"/>
      <c r="D117" s="1499"/>
      <c r="E117" s="1499"/>
      <c r="F117" s="1515"/>
      <c r="G117" s="1499"/>
      <c r="H117" s="1263"/>
      <c r="I117" s="1512"/>
      <c r="J117" s="1263"/>
      <c r="K117" s="1263"/>
      <c r="L117" s="1263"/>
      <c r="M117" s="1263"/>
      <c r="N117" s="1263"/>
      <c r="O117" s="1263"/>
      <c r="P117" s="1263"/>
      <c r="Q117" s="1263"/>
      <c r="R117" s="1263"/>
      <c r="S117" s="1263"/>
      <c r="T117" s="1263"/>
      <c r="U117" s="1263"/>
      <c r="V117" s="1263"/>
      <c r="W117" s="1263"/>
    </row>
    <row r="118">
      <c r="A118" s="1513"/>
      <c r="B118" s="1514"/>
      <c r="C118" s="1499"/>
      <c r="D118" s="1499"/>
      <c r="E118" s="1499"/>
      <c r="F118" s="1515"/>
      <c r="G118" s="1499"/>
      <c r="H118" s="1263"/>
      <c r="I118" s="1512"/>
      <c r="J118" s="1263"/>
      <c r="K118" s="1263"/>
      <c r="L118" s="1263"/>
      <c r="M118" s="1263"/>
      <c r="N118" s="1263"/>
      <c r="O118" s="1263"/>
      <c r="P118" s="1263"/>
      <c r="Q118" s="1263"/>
      <c r="R118" s="1263"/>
      <c r="S118" s="1263"/>
      <c r="T118" s="1263"/>
      <c r="U118" s="1263"/>
      <c r="V118" s="1263"/>
      <c r="W118" s="1263"/>
    </row>
    <row r="119">
      <c r="A119" s="1513"/>
      <c r="B119" s="1514"/>
      <c r="C119" s="1499"/>
      <c r="D119" s="1499"/>
      <c r="E119" s="1499"/>
      <c r="F119" s="1515"/>
      <c r="G119" s="1499"/>
      <c r="H119" s="1263"/>
      <c r="I119" s="1512"/>
      <c r="J119" s="1263"/>
      <c r="K119" s="1263"/>
      <c r="L119" s="1263"/>
      <c r="M119" s="1263"/>
      <c r="N119" s="1263"/>
      <c r="O119" s="1263"/>
      <c r="P119" s="1263"/>
      <c r="Q119" s="1263"/>
      <c r="R119" s="1263"/>
      <c r="S119" s="1263"/>
      <c r="T119" s="1263"/>
      <c r="U119" s="1263"/>
      <c r="V119" s="1263"/>
      <c r="W119" s="1263"/>
    </row>
    <row r="120">
      <c r="A120" s="1513"/>
      <c r="B120" s="1514"/>
      <c r="C120" s="1499"/>
      <c r="D120" s="1499"/>
      <c r="E120" s="1499"/>
      <c r="F120" s="1515"/>
      <c r="G120" s="1499"/>
      <c r="H120" s="1263"/>
      <c r="I120" s="1512"/>
      <c r="J120" s="1263"/>
      <c r="K120" s="1263"/>
      <c r="L120" s="1263"/>
      <c r="M120" s="1263"/>
      <c r="N120" s="1263"/>
      <c r="O120" s="1263"/>
      <c r="P120" s="1263"/>
      <c r="Q120" s="1263"/>
      <c r="R120" s="1263"/>
      <c r="S120" s="1263"/>
      <c r="T120" s="1263"/>
      <c r="U120" s="1263"/>
      <c r="V120" s="1263"/>
      <c r="W120" s="1263"/>
    </row>
    <row r="121">
      <c r="A121" s="1513"/>
      <c r="B121" s="1514"/>
      <c r="C121" s="1499"/>
      <c r="D121" s="1499"/>
      <c r="E121" s="1499"/>
      <c r="F121" s="1515"/>
      <c r="G121" s="1499"/>
      <c r="H121" s="1263"/>
      <c r="I121" s="1512"/>
      <c r="J121" s="1263"/>
      <c r="K121" s="1263"/>
      <c r="L121" s="1263"/>
      <c r="M121" s="1263"/>
      <c r="N121" s="1263"/>
      <c r="O121" s="1263"/>
      <c r="P121" s="1263"/>
      <c r="Q121" s="1263"/>
      <c r="R121" s="1263"/>
      <c r="S121" s="1263"/>
      <c r="T121" s="1263"/>
      <c r="U121" s="1263"/>
      <c r="V121" s="1263"/>
      <c r="W121" s="1263"/>
    </row>
    <row r="122">
      <c r="A122" s="1513"/>
      <c r="B122" s="1514"/>
      <c r="C122" s="1499"/>
      <c r="D122" s="1499"/>
      <c r="E122" s="1499"/>
      <c r="F122" s="1515"/>
      <c r="G122" s="1499"/>
      <c r="H122" s="1263"/>
      <c r="I122" s="1512"/>
      <c r="J122" s="1263"/>
      <c r="K122" s="1263"/>
      <c r="L122" s="1263"/>
      <c r="M122" s="1263"/>
      <c r="N122" s="1263"/>
      <c r="O122" s="1263"/>
      <c r="P122" s="1263"/>
      <c r="Q122" s="1263"/>
      <c r="R122" s="1263"/>
      <c r="S122" s="1263"/>
      <c r="T122" s="1263"/>
      <c r="U122" s="1263"/>
      <c r="V122" s="1263"/>
      <c r="W122" s="1263"/>
    </row>
    <row r="123">
      <c r="A123" s="1513"/>
      <c r="B123" s="1514"/>
      <c r="C123" s="1499"/>
      <c r="D123" s="1499"/>
      <c r="E123" s="1499"/>
      <c r="F123" s="1515"/>
      <c r="G123" s="1499"/>
      <c r="H123" s="1263"/>
      <c r="I123" s="1512"/>
      <c r="J123" s="1263"/>
      <c r="K123" s="1263"/>
      <c r="L123" s="1263"/>
      <c r="M123" s="1263"/>
      <c r="N123" s="1263"/>
      <c r="O123" s="1263"/>
      <c r="P123" s="1263"/>
      <c r="Q123" s="1263"/>
      <c r="R123" s="1263"/>
      <c r="S123" s="1263"/>
      <c r="T123" s="1263"/>
      <c r="U123" s="1263"/>
      <c r="V123" s="1263"/>
      <c r="W123" s="1263"/>
    </row>
    <row r="124">
      <c r="A124" s="1513"/>
      <c r="B124" s="1514"/>
      <c r="C124" s="1499"/>
      <c r="D124" s="1499"/>
      <c r="E124" s="1499"/>
      <c r="F124" s="1515"/>
      <c r="G124" s="1499"/>
      <c r="H124" s="1263"/>
      <c r="I124" s="1512"/>
      <c r="J124" s="1263"/>
      <c r="K124" s="1263"/>
      <c r="L124" s="1263"/>
      <c r="M124" s="1263"/>
      <c r="N124" s="1263"/>
      <c r="O124" s="1263"/>
      <c r="P124" s="1263"/>
      <c r="Q124" s="1263"/>
      <c r="R124" s="1263"/>
      <c r="S124" s="1263"/>
      <c r="T124" s="1263"/>
      <c r="U124" s="1263"/>
      <c r="V124" s="1263"/>
      <c r="W124" s="1263"/>
    </row>
    <row r="125">
      <c r="A125" s="1513"/>
      <c r="B125" s="1514"/>
      <c r="C125" s="1499"/>
      <c r="D125" s="1499"/>
      <c r="E125" s="1499"/>
      <c r="F125" s="1515"/>
      <c r="G125" s="1499"/>
      <c r="H125" s="1263"/>
      <c r="I125" s="1512"/>
      <c r="J125" s="1263"/>
      <c r="K125" s="1263"/>
      <c r="L125" s="1263"/>
      <c r="M125" s="1263"/>
      <c r="N125" s="1263"/>
      <c r="O125" s="1263"/>
      <c r="P125" s="1263"/>
      <c r="Q125" s="1263"/>
      <c r="R125" s="1263"/>
      <c r="S125" s="1263"/>
      <c r="T125" s="1263"/>
      <c r="U125" s="1263"/>
      <c r="V125" s="1263"/>
      <c r="W125" s="1263"/>
    </row>
    <row r="126">
      <c r="A126" s="1513"/>
      <c r="B126" s="1514"/>
      <c r="C126" s="1499"/>
      <c r="D126" s="1499"/>
      <c r="E126" s="1499"/>
      <c r="F126" s="1515"/>
      <c r="G126" s="1499"/>
      <c r="H126" s="1263"/>
      <c r="I126" s="1512"/>
      <c r="J126" s="1263"/>
      <c r="K126" s="1263"/>
      <c r="L126" s="1263"/>
      <c r="M126" s="1263"/>
      <c r="N126" s="1263"/>
      <c r="O126" s="1263"/>
      <c r="P126" s="1263"/>
      <c r="Q126" s="1263"/>
      <c r="R126" s="1263"/>
      <c r="S126" s="1263"/>
      <c r="T126" s="1263"/>
      <c r="U126" s="1263"/>
      <c r="V126" s="1263"/>
      <c r="W126" s="1263"/>
    </row>
    <row r="127">
      <c r="A127" s="1513"/>
      <c r="B127" s="1514"/>
      <c r="C127" s="1499"/>
      <c r="D127" s="1499"/>
      <c r="E127" s="1499"/>
      <c r="F127" s="1515"/>
      <c r="G127" s="1499"/>
      <c r="H127" s="1263"/>
      <c r="I127" s="1512"/>
      <c r="J127" s="1263"/>
      <c r="K127" s="1263"/>
      <c r="L127" s="1263"/>
      <c r="M127" s="1263"/>
      <c r="N127" s="1263"/>
      <c r="O127" s="1263"/>
      <c r="P127" s="1263"/>
      <c r="Q127" s="1263"/>
      <c r="R127" s="1263"/>
      <c r="S127" s="1263"/>
      <c r="T127" s="1263"/>
      <c r="U127" s="1263"/>
      <c r="V127" s="1263"/>
      <c r="W127" s="1263"/>
    </row>
    <row r="128">
      <c r="A128" s="1513"/>
      <c r="B128" s="1514"/>
      <c r="C128" s="1499"/>
      <c r="D128" s="1499"/>
      <c r="E128" s="1499"/>
      <c r="F128" s="1515"/>
      <c r="G128" s="1499"/>
      <c r="H128" s="1263"/>
      <c r="I128" s="1512"/>
      <c r="J128" s="1263"/>
      <c r="K128" s="1263"/>
      <c r="L128" s="1263"/>
      <c r="M128" s="1263"/>
      <c r="N128" s="1263"/>
      <c r="O128" s="1263"/>
      <c r="P128" s="1263"/>
      <c r="Q128" s="1263"/>
      <c r="R128" s="1263"/>
      <c r="S128" s="1263"/>
      <c r="T128" s="1263"/>
      <c r="U128" s="1263"/>
      <c r="V128" s="1263"/>
      <c r="W128" s="1263"/>
    </row>
    <row r="129">
      <c r="A129" s="1513"/>
      <c r="B129" s="1514"/>
      <c r="C129" s="1499"/>
      <c r="D129" s="1499"/>
      <c r="E129" s="1499"/>
      <c r="F129" s="1515"/>
      <c r="G129" s="1499"/>
      <c r="H129" s="1263"/>
      <c r="I129" s="1512"/>
      <c r="J129" s="1263"/>
      <c r="K129" s="1263"/>
      <c r="L129" s="1263"/>
      <c r="M129" s="1263"/>
      <c r="N129" s="1263"/>
      <c r="O129" s="1263"/>
      <c r="P129" s="1263"/>
      <c r="Q129" s="1263"/>
      <c r="R129" s="1263"/>
      <c r="S129" s="1263"/>
      <c r="T129" s="1263"/>
      <c r="U129" s="1263"/>
      <c r="V129" s="1263"/>
      <c r="W129" s="1263"/>
    </row>
    <row r="130">
      <c r="A130" s="1513"/>
      <c r="B130" s="1514"/>
      <c r="C130" s="1499"/>
      <c r="D130" s="1499"/>
      <c r="E130" s="1499"/>
      <c r="F130" s="1515"/>
      <c r="G130" s="1499"/>
      <c r="H130" s="1263"/>
      <c r="I130" s="1512"/>
      <c r="J130" s="1263"/>
      <c r="K130" s="1263"/>
      <c r="L130" s="1263"/>
      <c r="M130" s="1263"/>
      <c r="N130" s="1263"/>
      <c r="O130" s="1263"/>
      <c r="P130" s="1263"/>
      <c r="Q130" s="1263"/>
      <c r="R130" s="1263"/>
      <c r="S130" s="1263"/>
      <c r="T130" s="1263"/>
      <c r="U130" s="1263"/>
      <c r="V130" s="1263"/>
      <c r="W130" s="1263"/>
    </row>
    <row r="131">
      <c r="A131" s="1513"/>
      <c r="B131" s="1514"/>
      <c r="C131" s="1499"/>
      <c r="D131" s="1499"/>
      <c r="E131" s="1499"/>
      <c r="F131" s="1515"/>
      <c r="G131" s="1499"/>
      <c r="H131" s="1263"/>
      <c r="I131" s="1512"/>
      <c r="J131" s="1263"/>
      <c r="K131" s="1263"/>
      <c r="L131" s="1263"/>
      <c r="M131" s="1263"/>
      <c r="N131" s="1263"/>
      <c r="O131" s="1263"/>
      <c r="P131" s="1263"/>
      <c r="Q131" s="1263"/>
      <c r="R131" s="1263"/>
      <c r="S131" s="1263"/>
      <c r="T131" s="1263"/>
      <c r="U131" s="1263"/>
      <c r="V131" s="1263"/>
      <c r="W131" s="1263"/>
    </row>
    <row r="132">
      <c r="A132" s="1513"/>
      <c r="B132" s="1514"/>
      <c r="C132" s="1499"/>
      <c r="D132" s="1499"/>
      <c r="E132" s="1499"/>
      <c r="F132" s="1515"/>
      <c r="G132" s="1499"/>
      <c r="H132" s="1263"/>
      <c r="I132" s="1512"/>
      <c r="J132" s="1263"/>
      <c r="K132" s="1263"/>
      <c r="L132" s="1263"/>
      <c r="M132" s="1263"/>
      <c r="N132" s="1263"/>
      <c r="O132" s="1263"/>
      <c r="P132" s="1263"/>
      <c r="Q132" s="1263"/>
      <c r="R132" s="1263"/>
      <c r="S132" s="1263"/>
      <c r="T132" s="1263"/>
      <c r="U132" s="1263"/>
      <c r="V132" s="1263"/>
      <c r="W132" s="1263"/>
    </row>
    <row r="133">
      <c r="A133" s="1513"/>
      <c r="B133" s="1514"/>
      <c r="C133" s="1499"/>
      <c r="D133" s="1499"/>
      <c r="E133" s="1499"/>
      <c r="F133" s="1515"/>
      <c r="G133" s="1499"/>
      <c r="H133" s="1263"/>
      <c r="I133" s="1512"/>
      <c r="J133" s="1263"/>
      <c r="K133" s="1263"/>
      <c r="L133" s="1263"/>
      <c r="M133" s="1263"/>
      <c r="N133" s="1263"/>
      <c r="O133" s="1263"/>
      <c r="P133" s="1263"/>
      <c r="Q133" s="1263"/>
      <c r="R133" s="1263"/>
      <c r="S133" s="1263"/>
      <c r="T133" s="1263"/>
      <c r="U133" s="1263"/>
      <c r="V133" s="1263"/>
      <c r="W133" s="1263"/>
    </row>
    <row r="134">
      <c r="A134" s="1513"/>
      <c r="B134" s="1514"/>
      <c r="C134" s="1499"/>
      <c r="D134" s="1499"/>
      <c r="E134" s="1499"/>
      <c r="F134" s="1515"/>
      <c r="G134" s="1499"/>
      <c r="H134" s="1263"/>
      <c r="I134" s="1512"/>
      <c r="J134" s="1263"/>
      <c r="K134" s="1263"/>
      <c r="L134" s="1263"/>
      <c r="M134" s="1263"/>
      <c r="N134" s="1263"/>
      <c r="O134" s="1263"/>
      <c r="P134" s="1263"/>
      <c r="Q134" s="1263"/>
      <c r="R134" s="1263"/>
      <c r="S134" s="1263"/>
      <c r="T134" s="1263"/>
      <c r="U134" s="1263"/>
      <c r="V134" s="1263"/>
      <c r="W134" s="1263"/>
    </row>
    <row r="135">
      <c r="A135" s="1513"/>
      <c r="B135" s="1514"/>
      <c r="C135" s="1499"/>
      <c r="D135" s="1499"/>
      <c r="E135" s="1499"/>
      <c r="F135" s="1515"/>
      <c r="G135" s="1499"/>
      <c r="H135" s="1263"/>
      <c r="I135" s="1512"/>
      <c r="J135" s="1263"/>
      <c r="K135" s="1263"/>
      <c r="L135" s="1263"/>
      <c r="M135" s="1263"/>
      <c r="N135" s="1263"/>
      <c r="O135" s="1263"/>
      <c r="P135" s="1263"/>
      <c r="Q135" s="1263"/>
      <c r="R135" s="1263"/>
      <c r="S135" s="1263"/>
      <c r="T135" s="1263"/>
      <c r="U135" s="1263"/>
      <c r="V135" s="1263"/>
      <c r="W135" s="1263"/>
    </row>
    <row r="136">
      <c r="A136" s="1513"/>
      <c r="B136" s="1514"/>
      <c r="C136" s="1499"/>
      <c r="D136" s="1499"/>
      <c r="E136" s="1499"/>
      <c r="F136" s="1515"/>
      <c r="G136" s="1499"/>
      <c r="H136" s="1263"/>
      <c r="I136" s="1512"/>
      <c r="J136" s="1263"/>
      <c r="K136" s="1263"/>
      <c r="L136" s="1263"/>
      <c r="M136" s="1263"/>
      <c r="N136" s="1263"/>
      <c r="O136" s="1263"/>
      <c r="P136" s="1263"/>
      <c r="Q136" s="1263"/>
      <c r="R136" s="1263"/>
      <c r="S136" s="1263"/>
      <c r="T136" s="1263"/>
      <c r="U136" s="1263"/>
      <c r="V136" s="1263"/>
      <c r="W136" s="1263"/>
    </row>
    <row r="137">
      <c r="A137" s="1513"/>
      <c r="B137" s="1514"/>
      <c r="C137" s="1499"/>
      <c r="D137" s="1499"/>
      <c r="E137" s="1499"/>
      <c r="F137" s="1515"/>
      <c r="G137" s="1499"/>
      <c r="H137" s="1263"/>
      <c r="I137" s="1512"/>
      <c r="J137" s="1263"/>
      <c r="K137" s="1263"/>
      <c r="L137" s="1263"/>
      <c r="M137" s="1263"/>
      <c r="N137" s="1263"/>
      <c r="O137" s="1263"/>
      <c r="P137" s="1263"/>
      <c r="Q137" s="1263"/>
      <c r="R137" s="1263"/>
      <c r="S137" s="1263"/>
      <c r="T137" s="1263"/>
      <c r="U137" s="1263"/>
      <c r="V137" s="1263"/>
      <c r="W137" s="1263"/>
    </row>
    <row r="138">
      <c r="A138" s="1513"/>
      <c r="B138" s="1514"/>
      <c r="C138" s="1499"/>
      <c r="D138" s="1499"/>
      <c r="E138" s="1499"/>
      <c r="F138" s="1515"/>
      <c r="G138" s="1499"/>
      <c r="H138" s="1263"/>
      <c r="I138" s="1512"/>
      <c r="J138" s="1263"/>
      <c r="K138" s="1263"/>
      <c r="L138" s="1263"/>
      <c r="M138" s="1263"/>
      <c r="N138" s="1263"/>
      <c r="O138" s="1263"/>
      <c r="P138" s="1263"/>
      <c r="Q138" s="1263"/>
      <c r="R138" s="1263"/>
      <c r="S138" s="1263"/>
      <c r="T138" s="1263"/>
      <c r="U138" s="1263"/>
      <c r="V138" s="1263"/>
      <c r="W138" s="1263"/>
    </row>
    <row r="139">
      <c r="A139" s="1513"/>
      <c r="B139" s="1514"/>
      <c r="C139" s="1499"/>
      <c r="D139" s="1499"/>
      <c r="E139" s="1499"/>
      <c r="F139" s="1515"/>
      <c r="G139" s="1499"/>
      <c r="H139" s="1263"/>
      <c r="I139" s="1512"/>
      <c r="J139" s="1263"/>
      <c r="K139" s="1263"/>
      <c r="L139" s="1263"/>
      <c r="M139" s="1263"/>
      <c r="N139" s="1263"/>
      <c r="O139" s="1263"/>
      <c r="P139" s="1263"/>
      <c r="Q139" s="1263"/>
      <c r="R139" s="1263"/>
      <c r="S139" s="1263"/>
      <c r="T139" s="1263"/>
      <c r="U139" s="1263"/>
      <c r="V139" s="1263"/>
      <c r="W139" s="1263"/>
    </row>
    <row r="140">
      <c r="A140" s="1513"/>
      <c r="B140" s="1514"/>
      <c r="C140" s="1499"/>
      <c r="D140" s="1499"/>
      <c r="E140" s="1499"/>
      <c r="F140" s="1515"/>
      <c r="G140" s="1499"/>
      <c r="H140" s="1263"/>
      <c r="I140" s="1512"/>
      <c r="J140" s="1263"/>
      <c r="K140" s="1263"/>
      <c r="L140" s="1263"/>
      <c r="M140" s="1263"/>
      <c r="N140" s="1263"/>
      <c r="O140" s="1263"/>
      <c r="P140" s="1263"/>
      <c r="Q140" s="1263"/>
      <c r="R140" s="1263"/>
      <c r="S140" s="1263"/>
      <c r="T140" s="1263"/>
      <c r="U140" s="1263"/>
      <c r="V140" s="1263"/>
      <c r="W140" s="1263"/>
    </row>
    <row r="141">
      <c r="A141" s="1513"/>
      <c r="B141" s="1514"/>
      <c r="C141" s="1499"/>
      <c r="D141" s="1499"/>
      <c r="E141" s="1499"/>
      <c r="F141" s="1515"/>
      <c r="G141" s="1499"/>
      <c r="H141" s="1263"/>
      <c r="I141" s="1512"/>
      <c r="J141" s="1263"/>
      <c r="K141" s="1263"/>
      <c r="L141" s="1263"/>
      <c r="M141" s="1263"/>
      <c r="N141" s="1263"/>
      <c r="O141" s="1263"/>
      <c r="P141" s="1263"/>
      <c r="Q141" s="1263"/>
      <c r="R141" s="1263"/>
      <c r="S141" s="1263"/>
      <c r="T141" s="1263"/>
      <c r="U141" s="1263"/>
      <c r="V141" s="1263"/>
      <c r="W141" s="1263"/>
    </row>
    <row r="142">
      <c r="A142" s="1513"/>
      <c r="B142" s="1514"/>
      <c r="C142" s="1499"/>
      <c r="D142" s="1499"/>
      <c r="E142" s="1499"/>
      <c r="F142" s="1515"/>
      <c r="G142" s="1499"/>
      <c r="H142" s="1263"/>
      <c r="I142" s="1512"/>
      <c r="J142" s="1263"/>
      <c r="K142" s="1263"/>
      <c r="L142" s="1263"/>
      <c r="M142" s="1263"/>
      <c r="N142" s="1263"/>
      <c r="O142" s="1263"/>
      <c r="P142" s="1263"/>
      <c r="Q142" s="1263"/>
      <c r="R142" s="1263"/>
      <c r="S142" s="1263"/>
      <c r="T142" s="1263"/>
      <c r="U142" s="1263"/>
      <c r="V142" s="1263"/>
      <c r="W142" s="1263"/>
    </row>
    <row r="143">
      <c r="A143" s="1513"/>
      <c r="B143" s="1514"/>
      <c r="C143" s="1499"/>
      <c r="D143" s="1499"/>
      <c r="E143" s="1499"/>
      <c r="F143" s="1515"/>
      <c r="G143" s="1499"/>
      <c r="H143" s="1263"/>
      <c r="I143" s="1512"/>
      <c r="J143" s="1263"/>
      <c r="K143" s="1263"/>
      <c r="L143" s="1263"/>
      <c r="M143" s="1263"/>
      <c r="N143" s="1263"/>
      <c r="O143" s="1263"/>
      <c r="P143" s="1263"/>
      <c r="Q143" s="1263"/>
      <c r="R143" s="1263"/>
      <c r="S143" s="1263"/>
      <c r="T143" s="1263"/>
      <c r="U143" s="1263"/>
      <c r="V143" s="1263"/>
      <c r="W143" s="1263"/>
    </row>
    <row r="144">
      <c r="A144" s="1513"/>
      <c r="B144" s="1514"/>
      <c r="C144" s="1499"/>
      <c r="D144" s="1499"/>
      <c r="E144" s="1499"/>
      <c r="F144" s="1515"/>
      <c r="G144" s="1499"/>
      <c r="H144" s="1263"/>
      <c r="I144" s="1512"/>
      <c r="J144" s="1263"/>
      <c r="K144" s="1263"/>
      <c r="L144" s="1263"/>
      <c r="M144" s="1263"/>
      <c r="N144" s="1263"/>
      <c r="O144" s="1263"/>
      <c r="P144" s="1263"/>
      <c r="Q144" s="1263"/>
      <c r="R144" s="1263"/>
      <c r="S144" s="1263"/>
      <c r="T144" s="1263"/>
      <c r="U144" s="1263"/>
      <c r="V144" s="1263"/>
      <c r="W144" s="1263"/>
    </row>
    <row r="145">
      <c r="A145" s="1513"/>
      <c r="B145" s="1514"/>
      <c r="C145" s="1499"/>
      <c r="D145" s="1499"/>
      <c r="E145" s="1499"/>
      <c r="F145" s="1515"/>
      <c r="G145" s="1499"/>
      <c r="H145" s="1263"/>
      <c r="I145" s="1512"/>
      <c r="J145" s="1263"/>
      <c r="K145" s="1263"/>
      <c r="L145" s="1263"/>
      <c r="M145" s="1263"/>
      <c r="N145" s="1263"/>
      <c r="O145" s="1263"/>
      <c r="P145" s="1263"/>
      <c r="Q145" s="1263"/>
      <c r="R145" s="1263"/>
      <c r="S145" s="1263"/>
      <c r="T145" s="1263"/>
      <c r="U145" s="1263"/>
      <c r="V145" s="1263"/>
      <c r="W145" s="1263"/>
    </row>
    <row r="146">
      <c r="A146" s="1513"/>
      <c r="B146" s="1514"/>
      <c r="C146" s="1499"/>
      <c r="D146" s="1499"/>
      <c r="E146" s="1499"/>
      <c r="F146" s="1515"/>
      <c r="G146" s="1499"/>
      <c r="H146" s="1263"/>
      <c r="I146" s="1512"/>
      <c r="J146" s="1263"/>
      <c r="K146" s="1263"/>
      <c r="L146" s="1263"/>
      <c r="M146" s="1263"/>
      <c r="N146" s="1263"/>
      <c r="O146" s="1263"/>
      <c r="P146" s="1263"/>
      <c r="Q146" s="1263"/>
      <c r="R146" s="1263"/>
      <c r="S146" s="1263"/>
      <c r="T146" s="1263"/>
      <c r="U146" s="1263"/>
      <c r="V146" s="1263"/>
      <c r="W146" s="1263"/>
    </row>
    <row r="147">
      <c r="A147" s="1513"/>
      <c r="B147" s="1514"/>
      <c r="C147" s="1499"/>
      <c r="D147" s="1499"/>
      <c r="E147" s="1499"/>
      <c r="F147" s="1515"/>
      <c r="G147" s="1499"/>
      <c r="H147" s="1263"/>
      <c r="I147" s="1512"/>
      <c r="J147" s="1263"/>
      <c r="K147" s="1263"/>
      <c r="L147" s="1263"/>
      <c r="M147" s="1263"/>
      <c r="N147" s="1263"/>
      <c r="O147" s="1263"/>
      <c r="P147" s="1263"/>
      <c r="Q147" s="1263"/>
      <c r="R147" s="1263"/>
      <c r="S147" s="1263"/>
      <c r="T147" s="1263"/>
      <c r="U147" s="1263"/>
      <c r="V147" s="1263"/>
      <c r="W147" s="1263"/>
    </row>
    <row r="148">
      <c r="A148" s="1513"/>
      <c r="B148" s="1514"/>
      <c r="C148" s="1499"/>
      <c r="D148" s="1499"/>
      <c r="E148" s="1499"/>
      <c r="F148" s="1515"/>
      <c r="G148" s="1499"/>
      <c r="H148" s="1263"/>
      <c r="I148" s="1512"/>
      <c r="J148" s="1263"/>
      <c r="K148" s="1263"/>
      <c r="L148" s="1263"/>
      <c r="M148" s="1263"/>
      <c r="N148" s="1263"/>
      <c r="O148" s="1263"/>
      <c r="P148" s="1263"/>
      <c r="Q148" s="1263"/>
      <c r="R148" s="1263"/>
      <c r="S148" s="1263"/>
      <c r="T148" s="1263"/>
      <c r="U148" s="1263"/>
      <c r="V148" s="1263"/>
      <c r="W148" s="1263"/>
    </row>
    <row r="149">
      <c r="A149" s="1513"/>
      <c r="B149" s="1514"/>
      <c r="C149" s="1499"/>
      <c r="D149" s="1499"/>
      <c r="E149" s="1499"/>
      <c r="F149" s="1515"/>
      <c r="G149" s="1499"/>
      <c r="H149" s="1263"/>
      <c r="I149" s="1512"/>
      <c r="J149" s="1263"/>
      <c r="K149" s="1263"/>
      <c r="L149" s="1263"/>
      <c r="M149" s="1263"/>
      <c r="N149" s="1263"/>
      <c r="O149" s="1263"/>
      <c r="P149" s="1263"/>
      <c r="Q149" s="1263"/>
      <c r="R149" s="1263"/>
      <c r="S149" s="1263"/>
      <c r="T149" s="1263"/>
      <c r="U149" s="1263"/>
      <c r="V149" s="1263"/>
      <c r="W149" s="1263"/>
    </row>
    <row r="150">
      <c r="A150" s="1513"/>
      <c r="B150" s="1514"/>
      <c r="C150" s="1499"/>
      <c r="D150" s="1499"/>
      <c r="E150" s="1499"/>
      <c r="F150" s="1515"/>
      <c r="G150" s="1499"/>
      <c r="H150" s="1263"/>
      <c r="I150" s="1512"/>
      <c r="J150" s="1263"/>
      <c r="K150" s="1263"/>
      <c r="L150" s="1263"/>
      <c r="M150" s="1263"/>
      <c r="N150" s="1263"/>
      <c r="O150" s="1263"/>
      <c r="P150" s="1263"/>
      <c r="Q150" s="1263"/>
      <c r="R150" s="1263"/>
      <c r="S150" s="1263"/>
      <c r="T150" s="1263"/>
      <c r="U150" s="1263"/>
      <c r="V150" s="1263"/>
      <c r="W150" s="1263"/>
    </row>
    <row r="151">
      <c r="A151" s="1513"/>
      <c r="B151" s="1514"/>
      <c r="C151" s="1499"/>
      <c r="D151" s="1499"/>
      <c r="E151" s="1499"/>
      <c r="F151" s="1515"/>
      <c r="G151" s="1499"/>
      <c r="H151" s="1263"/>
      <c r="I151" s="1512"/>
      <c r="J151" s="1263"/>
      <c r="K151" s="1263"/>
      <c r="L151" s="1263"/>
      <c r="M151" s="1263"/>
      <c r="N151" s="1263"/>
      <c r="O151" s="1263"/>
      <c r="P151" s="1263"/>
      <c r="Q151" s="1263"/>
      <c r="R151" s="1263"/>
      <c r="S151" s="1263"/>
      <c r="T151" s="1263"/>
      <c r="U151" s="1263"/>
      <c r="V151" s="1263"/>
      <c r="W151" s="1263"/>
    </row>
    <row r="152">
      <c r="A152" s="1513"/>
      <c r="B152" s="1514"/>
      <c r="C152" s="1499"/>
      <c r="D152" s="1499"/>
      <c r="E152" s="1499"/>
      <c r="F152" s="1515"/>
      <c r="G152" s="1499"/>
      <c r="H152" s="1263"/>
      <c r="I152" s="1512"/>
      <c r="J152" s="1263"/>
      <c r="K152" s="1263"/>
      <c r="L152" s="1263"/>
      <c r="M152" s="1263"/>
      <c r="N152" s="1263"/>
      <c r="O152" s="1263"/>
      <c r="P152" s="1263"/>
      <c r="Q152" s="1263"/>
      <c r="R152" s="1263"/>
      <c r="S152" s="1263"/>
      <c r="T152" s="1263"/>
      <c r="U152" s="1263"/>
      <c r="V152" s="1263"/>
      <c r="W152" s="1263"/>
    </row>
    <row r="153">
      <c r="A153" s="1513"/>
      <c r="B153" s="1514"/>
      <c r="C153" s="1499"/>
      <c r="D153" s="1499"/>
      <c r="E153" s="1499"/>
      <c r="F153" s="1515"/>
      <c r="G153" s="1499"/>
      <c r="H153" s="1263"/>
      <c r="I153" s="1512"/>
      <c r="J153" s="1263"/>
      <c r="K153" s="1263"/>
      <c r="L153" s="1263"/>
      <c r="M153" s="1263"/>
      <c r="N153" s="1263"/>
      <c r="O153" s="1263"/>
      <c r="P153" s="1263"/>
      <c r="Q153" s="1263"/>
      <c r="R153" s="1263"/>
      <c r="S153" s="1263"/>
      <c r="T153" s="1263"/>
      <c r="U153" s="1263"/>
      <c r="V153" s="1263"/>
      <c r="W153" s="1263"/>
    </row>
    <row r="154">
      <c r="A154" s="1513"/>
      <c r="B154" s="1514"/>
      <c r="C154" s="1499"/>
      <c r="D154" s="1499"/>
      <c r="E154" s="1499"/>
      <c r="F154" s="1515"/>
      <c r="G154" s="1499"/>
      <c r="H154" s="1263"/>
      <c r="I154" s="1512"/>
      <c r="J154" s="1263"/>
      <c r="K154" s="1263"/>
      <c r="L154" s="1263"/>
      <c r="M154" s="1263"/>
      <c r="N154" s="1263"/>
      <c r="O154" s="1263"/>
      <c r="P154" s="1263"/>
      <c r="Q154" s="1263"/>
      <c r="R154" s="1263"/>
      <c r="S154" s="1263"/>
      <c r="T154" s="1263"/>
      <c r="U154" s="1263"/>
      <c r="V154" s="1263"/>
      <c r="W154" s="1263"/>
    </row>
    <row r="155">
      <c r="A155" s="1513"/>
      <c r="B155" s="1514"/>
      <c r="C155" s="1499"/>
      <c r="D155" s="1499"/>
      <c r="E155" s="1499"/>
      <c r="F155" s="1515"/>
      <c r="G155" s="1499"/>
      <c r="H155" s="1263"/>
      <c r="I155" s="1512"/>
      <c r="J155" s="1263"/>
      <c r="K155" s="1263"/>
      <c r="L155" s="1263"/>
      <c r="M155" s="1263"/>
      <c r="N155" s="1263"/>
      <c r="O155" s="1263"/>
      <c r="P155" s="1263"/>
      <c r="Q155" s="1263"/>
      <c r="R155" s="1263"/>
      <c r="S155" s="1263"/>
      <c r="T155" s="1263"/>
      <c r="U155" s="1263"/>
      <c r="V155" s="1263"/>
      <c r="W155" s="1263"/>
    </row>
    <row r="156">
      <c r="A156" s="1513"/>
      <c r="B156" s="1514"/>
      <c r="C156" s="1499"/>
      <c r="D156" s="1499"/>
      <c r="E156" s="1499"/>
      <c r="F156" s="1515"/>
      <c r="G156" s="1499"/>
      <c r="H156" s="1263"/>
      <c r="I156" s="1512"/>
      <c r="J156" s="1263"/>
      <c r="K156" s="1263"/>
      <c r="L156" s="1263"/>
      <c r="M156" s="1263"/>
      <c r="N156" s="1263"/>
      <c r="O156" s="1263"/>
      <c r="P156" s="1263"/>
      <c r="Q156" s="1263"/>
      <c r="R156" s="1263"/>
      <c r="S156" s="1263"/>
      <c r="T156" s="1263"/>
      <c r="U156" s="1263"/>
      <c r="V156" s="1263"/>
      <c r="W156" s="1263"/>
    </row>
    <row r="157">
      <c r="A157" s="1513"/>
      <c r="B157" s="1514"/>
      <c r="C157" s="1499"/>
      <c r="D157" s="1499"/>
      <c r="E157" s="1499"/>
      <c r="F157" s="1515"/>
      <c r="G157" s="1499"/>
      <c r="H157" s="1263"/>
      <c r="I157" s="1512"/>
      <c r="J157" s="1263"/>
      <c r="K157" s="1263"/>
      <c r="L157" s="1263"/>
      <c r="M157" s="1263"/>
      <c r="N157" s="1263"/>
      <c r="O157" s="1263"/>
      <c r="P157" s="1263"/>
      <c r="Q157" s="1263"/>
      <c r="R157" s="1263"/>
      <c r="S157" s="1263"/>
      <c r="T157" s="1263"/>
      <c r="U157" s="1263"/>
      <c r="V157" s="1263"/>
      <c r="W157" s="1263"/>
    </row>
    <row r="158">
      <c r="A158" s="1513"/>
      <c r="B158" s="1514"/>
      <c r="C158" s="1499"/>
      <c r="D158" s="1499"/>
      <c r="E158" s="1499"/>
      <c r="F158" s="1515"/>
      <c r="G158" s="1499"/>
      <c r="H158" s="1263"/>
      <c r="I158" s="1512"/>
      <c r="J158" s="1263"/>
      <c r="K158" s="1263"/>
      <c r="L158" s="1263"/>
      <c r="M158" s="1263"/>
      <c r="N158" s="1263"/>
      <c r="O158" s="1263"/>
      <c r="P158" s="1263"/>
      <c r="Q158" s="1263"/>
      <c r="R158" s="1263"/>
      <c r="S158" s="1263"/>
      <c r="T158" s="1263"/>
      <c r="U158" s="1263"/>
      <c r="V158" s="1263"/>
      <c r="W158" s="1263"/>
    </row>
    <row r="159">
      <c r="A159" s="1513"/>
      <c r="B159" s="1514"/>
      <c r="C159" s="1499"/>
      <c r="D159" s="1499"/>
      <c r="E159" s="1499"/>
      <c r="F159" s="1515"/>
      <c r="G159" s="1499"/>
      <c r="H159" s="1263"/>
      <c r="I159" s="1512"/>
      <c r="J159" s="1263"/>
      <c r="K159" s="1263"/>
      <c r="L159" s="1263"/>
      <c r="M159" s="1263"/>
      <c r="N159" s="1263"/>
      <c r="O159" s="1263"/>
      <c r="P159" s="1263"/>
      <c r="Q159" s="1263"/>
      <c r="R159" s="1263"/>
      <c r="S159" s="1263"/>
      <c r="T159" s="1263"/>
      <c r="U159" s="1263"/>
      <c r="V159" s="1263"/>
      <c r="W159" s="1263"/>
    </row>
    <row r="160">
      <c r="A160" s="1513"/>
      <c r="B160" s="1514"/>
      <c r="C160" s="1499"/>
      <c r="D160" s="1499"/>
      <c r="E160" s="1499"/>
      <c r="F160" s="1515"/>
      <c r="G160" s="1499"/>
      <c r="H160" s="1263"/>
      <c r="I160" s="1512"/>
      <c r="J160" s="1263"/>
      <c r="K160" s="1263"/>
      <c r="L160" s="1263"/>
      <c r="M160" s="1263"/>
      <c r="N160" s="1263"/>
      <c r="O160" s="1263"/>
      <c r="P160" s="1263"/>
      <c r="Q160" s="1263"/>
      <c r="R160" s="1263"/>
      <c r="S160" s="1263"/>
      <c r="T160" s="1263"/>
      <c r="U160" s="1263"/>
      <c r="V160" s="1263"/>
      <c r="W160" s="1263"/>
    </row>
    <row r="161">
      <c r="A161" s="1513"/>
      <c r="B161" s="1514"/>
      <c r="C161" s="1499"/>
      <c r="D161" s="1499"/>
      <c r="E161" s="1499"/>
      <c r="F161" s="1515"/>
      <c r="G161" s="1499"/>
      <c r="H161" s="1263"/>
      <c r="I161" s="1512"/>
      <c r="J161" s="1263"/>
      <c r="K161" s="1263"/>
      <c r="L161" s="1263"/>
      <c r="M161" s="1263"/>
      <c r="N161" s="1263"/>
      <c r="O161" s="1263"/>
      <c r="P161" s="1263"/>
      <c r="Q161" s="1263"/>
      <c r="R161" s="1263"/>
      <c r="S161" s="1263"/>
      <c r="T161" s="1263"/>
      <c r="U161" s="1263"/>
      <c r="V161" s="1263"/>
      <c r="W161" s="1263"/>
    </row>
    <row r="162">
      <c r="A162" s="1513"/>
      <c r="B162" s="1514"/>
      <c r="C162" s="1499"/>
      <c r="D162" s="1499"/>
      <c r="E162" s="1499"/>
      <c r="F162" s="1515"/>
      <c r="G162" s="1499"/>
      <c r="H162" s="1263"/>
      <c r="I162" s="1512"/>
      <c r="J162" s="1263"/>
      <c r="K162" s="1263"/>
      <c r="L162" s="1263"/>
      <c r="M162" s="1263"/>
      <c r="N162" s="1263"/>
      <c r="O162" s="1263"/>
      <c r="P162" s="1263"/>
      <c r="Q162" s="1263"/>
      <c r="R162" s="1263"/>
      <c r="S162" s="1263"/>
      <c r="T162" s="1263"/>
      <c r="U162" s="1263"/>
      <c r="V162" s="1263"/>
      <c r="W162" s="1263"/>
    </row>
    <row r="163">
      <c r="A163" s="1513"/>
      <c r="B163" s="1514"/>
      <c r="C163" s="1499"/>
      <c r="D163" s="1499"/>
      <c r="E163" s="1499"/>
      <c r="F163" s="1515"/>
      <c r="G163" s="1499"/>
      <c r="H163" s="1263"/>
      <c r="I163" s="1512"/>
      <c r="J163" s="1263"/>
      <c r="K163" s="1263"/>
      <c r="L163" s="1263"/>
      <c r="M163" s="1263"/>
      <c r="N163" s="1263"/>
      <c r="O163" s="1263"/>
      <c r="P163" s="1263"/>
      <c r="Q163" s="1263"/>
      <c r="R163" s="1263"/>
      <c r="S163" s="1263"/>
      <c r="T163" s="1263"/>
      <c r="U163" s="1263"/>
      <c r="V163" s="1263"/>
      <c r="W163" s="1263"/>
    </row>
    <row r="164">
      <c r="A164" s="1513"/>
      <c r="B164" s="1514"/>
      <c r="C164" s="1499"/>
      <c r="D164" s="1499"/>
      <c r="E164" s="1499"/>
      <c r="F164" s="1515"/>
      <c r="G164" s="1499"/>
      <c r="H164" s="1263"/>
      <c r="I164" s="1512"/>
      <c r="J164" s="1263"/>
      <c r="K164" s="1263"/>
      <c r="L164" s="1263"/>
      <c r="M164" s="1263"/>
      <c r="N164" s="1263"/>
      <c r="O164" s="1263"/>
      <c r="P164" s="1263"/>
      <c r="Q164" s="1263"/>
      <c r="R164" s="1263"/>
      <c r="S164" s="1263"/>
      <c r="T164" s="1263"/>
      <c r="U164" s="1263"/>
      <c r="V164" s="1263"/>
      <c r="W164" s="1263"/>
    </row>
    <row r="165">
      <c r="A165" s="1513"/>
      <c r="B165" s="1514"/>
      <c r="C165" s="1499"/>
      <c r="D165" s="1499"/>
      <c r="E165" s="1499"/>
      <c r="F165" s="1515"/>
      <c r="G165" s="1499"/>
      <c r="H165" s="1263"/>
      <c r="I165" s="1512"/>
      <c r="J165" s="1263"/>
      <c r="K165" s="1263"/>
      <c r="L165" s="1263"/>
      <c r="M165" s="1263"/>
      <c r="N165" s="1263"/>
      <c r="O165" s="1263"/>
      <c r="P165" s="1263"/>
      <c r="Q165" s="1263"/>
      <c r="R165" s="1263"/>
      <c r="S165" s="1263"/>
      <c r="T165" s="1263"/>
      <c r="U165" s="1263"/>
      <c r="V165" s="1263"/>
      <c r="W165" s="1263"/>
    </row>
    <row r="166">
      <c r="A166" s="1513"/>
      <c r="B166" s="1514"/>
      <c r="C166" s="1499"/>
      <c r="D166" s="1499"/>
      <c r="E166" s="1499"/>
      <c r="F166" s="1515"/>
      <c r="G166" s="1499"/>
      <c r="H166" s="1263"/>
      <c r="I166" s="1512"/>
      <c r="J166" s="1263"/>
      <c r="K166" s="1263"/>
      <c r="L166" s="1263"/>
      <c r="M166" s="1263"/>
      <c r="N166" s="1263"/>
      <c r="O166" s="1263"/>
      <c r="P166" s="1263"/>
      <c r="Q166" s="1263"/>
      <c r="R166" s="1263"/>
      <c r="S166" s="1263"/>
      <c r="T166" s="1263"/>
      <c r="U166" s="1263"/>
      <c r="V166" s="1263"/>
      <c r="W166" s="1263"/>
    </row>
    <row r="167">
      <c r="A167" s="1513"/>
      <c r="B167" s="1514"/>
      <c r="C167" s="1499"/>
      <c r="D167" s="1499"/>
      <c r="E167" s="1499"/>
      <c r="F167" s="1515"/>
      <c r="G167" s="1499"/>
      <c r="H167" s="1263"/>
      <c r="I167" s="1512"/>
      <c r="J167" s="1263"/>
      <c r="K167" s="1263"/>
      <c r="L167" s="1263"/>
      <c r="M167" s="1263"/>
      <c r="N167" s="1263"/>
      <c r="O167" s="1263"/>
      <c r="P167" s="1263"/>
      <c r="Q167" s="1263"/>
      <c r="R167" s="1263"/>
      <c r="S167" s="1263"/>
      <c r="T167" s="1263"/>
      <c r="U167" s="1263"/>
      <c r="V167" s="1263"/>
      <c r="W167" s="1263"/>
    </row>
    <row r="168">
      <c r="A168" s="1513"/>
      <c r="B168" s="1514"/>
      <c r="C168" s="1499"/>
      <c r="D168" s="1499"/>
      <c r="E168" s="1499"/>
      <c r="F168" s="1515"/>
      <c r="G168" s="1499"/>
      <c r="H168" s="1263"/>
      <c r="I168" s="1512"/>
      <c r="J168" s="1263"/>
      <c r="K168" s="1263"/>
      <c r="L168" s="1263"/>
      <c r="M168" s="1263"/>
      <c r="N168" s="1263"/>
      <c r="O168" s="1263"/>
      <c r="P168" s="1263"/>
      <c r="Q168" s="1263"/>
      <c r="R168" s="1263"/>
      <c r="S168" s="1263"/>
      <c r="T168" s="1263"/>
      <c r="U168" s="1263"/>
      <c r="V168" s="1263"/>
      <c r="W168" s="1263"/>
    </row>
    <row r="169">
      <c r="A169" s="1513"/>
      <c r="B169" s="1514"/>
      <c r="C169" s="1499"/>
      <c r="D169" s="1499"/>
      <c r="E169" s="1499"/>
      <c r="F169" s="1515"/>
      <c r="G169" s="1499"/>
      <c r="H169" s="1263"/>
      <c r="I169" s="1512"/>
      <c r="J169" s="1263"/>
      <c r="K169" s="1263"/>
      <c r="L169" s="1263"/>
      <c r="M169" s="1263"/>
      <c r="N169" s="1263"/>
      <c r="O169" s="1263"/>
      <c r="P169" s="1263"/>
      <c r="Q169" s="1263"/>
      <c r="R169" s="1263"/>
      <c r="S169" s="1263"/>
      <c r="T169" s="1263"/>
      <c r="U169" s="1263"/>
      <c r="V169" s="1263"/>
      <c r="W169" s="1263"/>
    </row>
    <row r="170">
      <c r="A170" s="1513"/>
      <c r="B170" s="1514"/>
      <c r="C170" s="1499"/>
      <c r="D170" s="1499"/>
      <c r="E170" s="1499"/>
      <c r="F170" s="1515"/>
      <c r="G170" s="1499"/>
      <c r="H170" s="1263"/>
      <c r="I170" s="1512"/>
      <c r="J170" s="1263"/>
      <c r="K170" s="1263"/>
      <c r="L170" s="1263"/>
      <c r="M170" s="1263"/>
      <c r="N170" s="1263"/>
      <c r="O170" s="1263"/>
      <c r="P170" s="1263"/>
      <c r="Q170" s="1263"/>
      <c r="R170" s="1263"/>
      <c r="S170" s="1263"/>
      <c r="T170" s="1263"/>
      <c r="U170" s="1263"/>
      <c r="V170" s="1263"/>
      <c r="W170" s="1263"/>
    </row>
    <row r="171">
      <c r="A171" s="1513"/>
      <c r="B171" s="1514"/>
      <c r="C171" s="1499"/>
      <c r="D171" s="1499"/>
      <c r="E171" s="1499"/>
      <c r="F171" s="1515"/>
      <c r="G171" s="1499"/>
      <c r="H171" s="1263"/>
      <c r="I171" s="1512"/>
      <c r="J171" s="1263"/>
      <c r="K171" s="1263"/>
      <c r="L171" s="1263"/>
      <c r="M171" s="1263"/>
      <c r="N171" s="1263"/>
      <c r="O171" s="1263"/>
      <c r="P171" s="1263"/>
      <c r="Q171" s="1263"/>
      <c r="R171" s="1263"/>
      <c r="S171" s="1263"/>
      <c r="T171" s="1263"/>
      <c r="U171" s="1263"/>
      <c r="V171" s="1263"/>
      <c r="W171" s="1263"/>
    </row>
    <row r="172">
      <c r="A172" s="1513"/>
      <c r="B172" s="1514"/>
      <c r="C172" s="1499"/>
      <c r="D172" s="1499"/>
      <c r="E172" s="1499"/>
      <c r="F172" s="1515"/>
      <c r="G172" s="1499"/>
      <c r="H172" s="1263"/>
      <c r="I172" s="1512"/>
      <c r="J172" s="1263"/>
      <c r="K172" s="1263"/>
      <c r="L172" s="1263"/>
      <c r="M172" s="1263"/>
      <c r="N172" s="1263"/>
      <c r="O172" s="1263"/>
      <c r="P172" s="1263"/>
      <c r="Q172" s="1263"/>
      <c r="R172" s="1263"/>
      <c r="S172" s="1263"/>
      <c r="T172" s="1263"/>
      <c r="U172" s="1263"/>
      <c r="V172" s="1263"/>
      <c r="W172" s="1263"/>
    </row>
    <row r="173">
      <c r="A173" s="1513"/>
      <c r="B173" s="1514"/>
      <c r="C173" s="1499"/>
      <c r="D173" s="1499"/>
      <c r="E173" s="1499"/>
      <c r="F173" s="1515"/>
      <c r="G173" s="1499"/>
      <c r="H173" s="1263"/>
      <c r="I173" s="1512"/>
      <c r="J173" s="1263"/>
      <c r="K173" s="1263"/>
      <c r="L173" s="1263"/>
      <c r="M173" s="1263"/>
      <c r="N173" s="1263"/>
      <c r="O173" s="1263"/>
      <c r="P173" s="1263"/>
      <c r="Q173" s="1263"/>
      <c r="R173" s="1263"/>
      <c r="S173" s="1263"/>
      <c r="T173" s="1263"/>
      <c r="U173" s="1263"/>
      <c r="V173" s="1263"/>
      <c r="W173" s="1263"/>
    </row>
    <row r="174">
      <c r="A174" s="1513"/>
      <c r="B174" s="1514"/>
      <c r="C174" s="1499"/>
      <c r="D174" s="1499"/>
      <c r="E174" s="1499"/>
      <c r="F174" s="1515"/>
      <c r="G174" s="1499"/>
      <c r="H174" s="1263"/>
      <c r="I174" s="1512"/>
      <c r="J174" s="1263"/>
      <c r="K174" s="1263"/>
      <c r="L174" s="1263"/>
      <c r="M174" s="1263"/>
      <c r="N174" s="1263"/>
      <c r="O174" s="1263"/>
      <c r="P174" s="1263"/>
      <c r="Q174" s="1263"/>
      <c r="R174" s="1263"/>
      <c r="S174" s="1263"/>
      <c r="T174" s="1263"/>
      <c r="U174" s="1263"/>
      <c r="V174" s="1263"/>
      <c r="W174" s="1263"/>
    </row>
    <row r="175">
      <c r="A175" s="1513"/>
      <c r="B175" s="1514"/>
      <c r="C175" s="1499"/>
      <c r="D175" s="1499"/>
      <c r="E175" s="1499"/>
      <c r="F175" s="1515"/>
      <c r="G175" s="1499"/>
      <c r="H175" s="1263"/>
      <c r="I175" s="1512"/>
      <c r="J175" s="1263"/>
      <c r="K175" s="1263"/>
      <c r="L175" s="1263"/>
      <c r="M175" s="1263"/>
      <c r="N175" s="1263"/>
      <c r="O175" s="1263"/>
      <c r="P175" s="1263"/>
      <c r="Q175" s="1263"/>
      <c r="R175" s="1263"/>
      <c r="S175" s="1263"/>
      <c r="T175" s="1263"/>
      <c r="U175" s="1263"/>
      <c r="V175" s="1263"/>
      <c r="W175" s="1263"/>
    </row>
    <row r="176">
      <c r="A176" s="1513"/>
      <c r="B176" s="1514"/>
      <c r="C176" s="1499"/>
      <c r="D176" s="1499"/>
      <c r="E176" s="1499"/>
      <c r="F176" s="1515"/>
      <c r="G176" s="1499"/>
      <c r="H176" s="1263"/>
      <c r="I176" s="1512"/>
      <c r="J176" s="1263"/>
      <c r="K176" s="1263"/>
      <c r="L176" s="1263"/>
      <c r="M176" s="1263"/>
      <c r="N176" s="1263"/>
      <c r="O176" s="1263"/>
      <c r="P176" s="1263"/>
      <c r="Q176" s="1263"/>
      <c r="R176" s="1263"/>
      <c r="S176" s="1263"/>
      <c r="T176" s="1263"/>
      <c r="U176" s="1263"/>
      <c r="V176" s="1263"/>
      <c r="W176" s="1263"/>
    </row>
    <row r="177">
      <c r="A177" s="1513"/>
      <c r="B177" s="1514"/>
      <c r="C177" s="1499"/>
      <c r="D177" s="1499"/>
      <c r="E177" s="1499"/>
      <c r="F177" s="1515"/>
      <c r="G177" s="1499"/>
      <c r="H177" s="1263"/>
      <c r="I177" s="1512"/>
      <c r="J177" s="1263"/>
      <c r="K177" s="1263"/>
      <c r="L177" s="1263"/>
      <c r="M177" s="1263"/>
      <c r="N177" s="1263"/>
      <c r="O177" s="1263"/>
      <c r="P177" s="1263"/>
      <c r="Q177" s="1263"/>
      <c r="R177" s="1263"/>
      <c r="S177" s="1263"/>
      <c r="T177" s="1263"/>
      <c r="U177" s="1263"/>
      <c r="V177" s="1263"/>
      <c r="W177" s="1263"/>
    </row>
    <row r="178">
      <c r="A178" s="1513"/>
      <c r="B178" s="1514"/>
      <c r="C178" s="1499"/>
      <c r="D178" s="1499"/>
      <c r="E178" s="1499"/>
      <c r="F178" s="1515"/>
      <c r="G178" s="1499"/>
      <c r="H178" s="1263"/>
      <c r="I178" s="1512"/>
      <c r="J178" s="1263"/>
      <c r="K178" s="1263"/>
      <c r="L178" s="1263"/>
      <c r="M178" s="1263"/>
      <c r="N178" s="1263"/>
      <c r="O178" s="1263"/>
      <c r="P178" s="1263"/>
      <c r="Q178" s="1263"/>
      <c r="R178" s="1263"/>
      <c r="S178" s="1263"/>
      <c r="T178" s="1263"/>
      <c r="U178" s="1263"/>
      <c r="V178" s="1263"/>
      <c r="W178" s="1263"/>
    </row>
    <row r="179">
      <c r="A179" s="1513"/>
      <c r="B179" s="1514"/>
      <c r="C179" s="1499"/>
      <c r="D179" s="1499"/>
      <c r="E179" s="1499"/>
      <c r="F179" s="1515"/>
      <c r="G179" s="1499"/>
      <c r="H179" s="1263"/>
      <c r="I179" s="1512"/>
      <c r="J179" s="1263"/>
      <c r="K179" s="1263"/>
      <c r="L179" s="1263"/>
      <c r="M179" s="1263"/>
      <c r="N179" s="1263"/>
      <c r="O179" s="1263"/>
      <c r="P179" s="1263"/>
      <c r="Q179" s="1263"/>
      <c r="R179" s="1263"/>
      <c r="S179" s="1263"/>
      <c r="T179" s="1263"/>
      <c r="U179" s="1263"/>
      <c r="V179" s="1263"/>
      <c r="W179" s="1263"/>
    </row>
    <row r="180">
      <c r="A180" s="1513"/>
      <c r="B180" s="1514"/>
      <c r="C180" s="1499"/>
      <c r="D180" s="1499"/>
      <c r="E180" s="1499"/>
      <c r="F180" s="1515"/>
      <c r="G180" s="1499"/>
      <c r="H180" s="1263"/>
      <c r="I180" s="1512"/>
      <c r="J180" s="1263"/>
      <c r="K180" s="1263"/>
      <c r="L180" s="1263"/>
      <c r="M180" s="1263"/>
      <c r="N180" s="1263"/>
      <c r="O180" s="1263"/>
      <c r="P180" s="1263"/>
      <c r="Q180" s="1263"/>
      <c r="R180" s="1263"/>
      <c r="S180" s="1263"/>
      <c r="T180" s="1263"/>
      <c r="U180" s="1263"/>
      <c r="V180" s="1263"/>
      <c r="W180" s="1263"/>
    </row>
    <row r="181">
      <c r="A181" s="1513"/>
      <c r="B181" s="1514"/>
      <c r="C181" s="1499"/>
      <c r="D181" s="1499"/>
      <c r="E181" s="1499"/>
      <c r="F181" s="1515"/>
      <c r="G181" s="1499"/>
      <c r="H181" s="1263"/>
      <c r="I181" s="1512"/>
      <c r="J181" s="1263"/>
      <c r="K181" s="1263"/>
      <c r="L181" s="1263"/>
      <c r="M181" s="1263"/>
      <c r="N181" s="1263"/>
      <c r="O181" s="1263"/>
      <c r="P181" s="1263"/>
      <c r="Q181" s="1263"/>
      <c r="R181" s="1263"/>
      <c r="S181" s="1263"/>
      <c r="T181" s="1263"/>
      <c r="U181" s="1263"/>
      <c r="V181" s="1263"/>
      <c r="W181" s="1263"/>
    </row>
    <row r="182">
      <c r="A182" s="1513"/>
      <c r="B182" s="1514"/>
      <c r="C182" s="1499"/>
      <c r="D182" s="1499"/>
      <c r="E182" s="1499"/>
      <c r="F182" s="1515"/>
      <c r="G182" s="1499"/>
      <c r="H182" s="1263"/>
      <c r="I182" s="1512"/>
      <c r="J182" s="1263"/>
      <c r="K182" s="1263"/>
      <c r="L182" s="1263"/>
      <c r="M182" s="1263"/>
      <c r="N182" s="1263"/>
      <c r="O182" s="1263"/>
      <c r="P182" s="1263"/>
      <c r="Q182" s="1263"/>
      <c r="R182" s="1263"/>
      <c r="S182" s="1263"/>
      <c r="T182" s="1263"/>
      <c r="U182" s="1263"/>
      <c r="V182" s="1263"/>
      <c r="W182" s="1263"/>
    </row>
    <row r="183">
      <c r="A183" s="1513"/>
      <c r="B183" s="1514"/>
      <c r="C183" s="1499"/>
      <c r="D183" s="1499"/>
      <c r="E183" s="1499"/>
      <c r="F183" s="1515"/>
      <c r="G183" s="1499"/>
      <c r="H183" s="1263"/>
      <c r="I183" s="1512"/>
      <c r="J183" s="1263"/>
      <c r="K183" s="1263"/>
      <c r="L183" s="1263"/>
      <c r="M183" s="1263"/>
      <c r="N183" s="1263"/>
      <c r="O183" s="1263"/>
      <c r="P183" s="1263"/>
      <c r="Q183" s="1263"/>
      <c r="R183" s="1263"/>
      <c r="S183" s="1263"/>
      <c r="T183" s="1263"/>
      <c r="U183" s="1263"/>
      <c r="V183" s="1263"/>
      <c r="W183" s="1263"/>
    </row>
    <row r="184">
      <c r="A184" s="1513"/>
      <c r="B184" s="1514"/>
      <c r="C184" s="1499"/>
      <c r="D184" s="1499"/>
      <c r="E184" s="1499"/>
      <c r="F184" s="1515"/>
      <c r="G184" s="1499"/>
      <c r="H184" s="1263"/>
      <c r="I184" s="1512"/>
      <c r="J184" s="1263"/>
      <c r="K184" s="1263"/>
      <c r="L184" s="1263"/>
      <c r="M184" s="1263"/>
      <c r="N184" s="1263"/>
      <c r="O184" s="1263"/>
      <c r="P184" s="1263"/>
      <c r="Q184" s="1263"/>
      <c r="R184" s="1263"/>
      <c r="S184" s="1263"/>
      <c r="T184" s="1263"/>
      <c r="U184" s="1263"/>
      <c r="V184" s="1263"/>
      <c r="W184" s="1263"/>
    </row>
    <row r="185">
      <c r="A185" s="1513"/>
      <c r="B185" s="1514"/>
      <c r="C185" s="1499"/>
      <c r="D185" s="1499"/>
      <c r="E185" s="1499"/>
      <c r="F185" s="1515"/>
      <c r="G185" s="1499"/>
      <c r="H185" s="1263"/>
      <c r="I185" s="1512"/>
      <c r="J185" s="1263"/>
      <c r="K185" s="1263"/>
      <c r="L185" s="1263"/>
      <c r="M185" s="1263"/>
      <c r="N185" s="1263"/>
      <c r="O185" s="1263"/>
      <c r="P185" s="1263"/>
      <c r="Q185" s="1263"/>
      <c r="R185" s="1263"/>
      <c r="S185" s="1263"/>
      <c r="T185" s="1263"/>
      <c r="U185" s="1263"/>
      <c r="V185" s="1263"/>
      <c r="W185" s="1263"/>
    </row>
    <row r="186">
      <c r="A186" s="1513"/>
      <c r="B186" s="1514"/>
      <c r="C186" s="1499"/>
      <c r="D186" s="1499"/>
      <c r="E186" s="1499"/>
      <c r="F186" s="1515"/>
      <c r="G186" s="1499"/>
      <c r="H186" s="1263"/>
      <c r="I186" s="1512"/>
      <c r="J186" s="1263"/>
      <c r="K186" s="1263"/>
      <c r="L186" s="1263"/>
      <c r="M186" s="1263"/>
      <c r="N186" s="1263"/>
      <c r="O186" s="1263"/>
      <c r="P186" s="1263"/>
      <c r="Q186" s="1263"/>
      <c r="R186" s="1263"/>
      <c r="S186" s="1263"/>
      <c r="T186" s="1263"/>
      <c r="U186" s="1263"/>
      <c r="V186" s="1263"/>
      <c r="W186" s="1263"/>
    </row>
    <row r="187">
      <c r="A187" s="1513"/>
      <c r="B187" s="1514"/>
      <c r="C187" s="1499"/>
      <c r="D187" s="1499"/>
      <c r="E187" s="1499"/>
      <c r="F187" s="1515"/>
      <c r="G187" s="1499"/>
      <c r="H187" s="1263"/>
      <c r="I187" s="1512"/>
      <c r="J187" s="1263"/>
      <c r="K187" s="1263"/>
      <c r="L187" s="1263"/>
      <c r="M187" s="1263"/>
      <c r="N187" s="1263"/>
      <c r="O187" s="1263"/>
      <c r="P187" s="1263"/>
      <c r="Q187" s="1263"/>
      <c r="R187" s="1263"/>
      <c r="S187" s="1263"/>
      <c r="T187" s="1263"/>
      <c r="U187" s="1263"/>
      <c r="V187" s="1263"/>
      <c r="W187" s="1263"/>
    </row>
    <row r="188">
      <c r="A188" s="1513"/>
      <c r="B188" s="1514"/>
      <c r="C188" s="1499"/>
      <c r="D188" s="1499"/>
      <c r="E188" s="1499"/>
      <c r="F188" s="1515"/>
      <c r="G188" s="1499"/>
      <c r="H188" s="1263"/>
      <c r="I188" s="1512"/>
      <c r="J188" s="1263"/>
      <c r="K188" s="1263"/>
      <c r="L188" s="1263"/>
      <c r="M188" s="1263"/>
      <c r="N188" s="1263"/>
      <c r="O188" s="1263"/>
      <c r="P188" s="1263"/>
      <c r="Q188" s="1263"/>
      <c r="R188" s="1263"/>
      <c r="S188" s="1263"/>
      <c r="T188" s="1263"/>
      <c r="U188" s="1263"/>
      <c r="V188" s="1263"/>
      <c r="W188" s="1263"/>
    </row>
    <row r="189">
      <c r="A189" s="1513"/>
      <c r="B189" s="1514"/>
      <c r="C189" s="1499"/>
      <c r="D189" s="1499"/>
      <c r="E189" s="1499"/>
      <c r="F189" s="1515"/>
      <c r="G189" s="1499"/>
      <c r="H189" s="1263"/>
      <c r="I189" s="1512"/>
      <c r="J189" s="1263"/>
      <c r="K189" s="1263"/>
      <c r="L189" s="1263"/>
      <c r="M189" s="1263"/>
      <c r="N189" s="1263"/>
      <c r="O189" s="1263"/>
      <c r="P189" s="1263"/>
      <c r="Q189" s="1263"/>
      <c r="R189" s="1263"/>
      <c r="S189" s="1263"/>
      <c r="T189" s="1263"/>
      <c r="U189" s="1263"/>
      <c r="V189" s="1263"/>
      <c r="W189" s="1263"/>
    </row>
    <row r="190">
      <c r="A190" s="1513"/>
      <c r="B190" s="1514"/>
      <c r="C190" s="1499"/>
      <c r="D190" s="1499"/>
      <c r="E190" s="1499"/>
      <c r="F190" s="1515"/>
      <c r="G190" s="1499"/>
      <c r="H190" s="1263"/>
      <c r="I190" s="1512"/>
      <c r="J190" s="1263"/>
      <c r="K190" s="1263"/>
      <c r="L190" s="1263"/>
      <c r="M190" s="1263"/>
      <c r="N190" s="1263"/>
      <c r="O190" s="1263"/>
      <c r="P190" s="1263"/>
      <c r="Q190" s="1263"/>
      <c r="R190" s="1263"/>
      <c r="S190" s="1263"/>
      <c r="T190" s="1263"/>
      <c r="U190" s="1263"/>
      <c r="V190" s="1263"/>
      <c r="W190" s="1263"/>
    </row>
    <row r="191">
      <c r="A191" s="1513"/>
      <c r="B191" s="1514"/>
      <c r="C191" s="1499"/>
      <c r="D191" s="1499"/>
      <c r="E191" s="1499"/>
      <c r="F191" s="1515"/>
      <c r="G191" s="1499"/>
      <c r="H191" s="1263"/>
      <c r="I191" s="1512"/>
      <c r="J191" s="1263"/>
      <c r="K191" s="1263"/>
      <c r="L191" s="1263"/>
      <c r="M191" s="1263"/>
      <c r="N191" s="1263"/>
      <c r="O191" s="1263"/>
      <c r="P191" s="1263"/>
      <c r="Q191" s="1263"/>
      <c r="R191" s="1263"/>
      <c r="S191" s="1263"/>
      <c r="T191" s="1263"/>
      <c r="U191" s="1263"/>
      <c r="V191" s="1263"/>
      <c r="W191" s="1263"/>
    </row>
    <row r="192">
      <c r="A192" s="1513"/>
      <c r="B192" s="1514"/>
      <c r="C192" s="1499"/>
      <c r="D192" s="1499"/>
      <c r="E192" s="1499"/>
      <c r="F192" s="1515"/>
      <c r="G192" s="1499"/>
      <c r="H192" s="1263"/>
      <c r="I192" s="1512"/>
      <c r="J192" s="1263"/>
      <c r="K192" s="1263"/>
      <c r="L192" s="1263"/>
      <c r="M192" s="1263"/>
      <c r="N192" s="1263"/>
      <c r="O192" s="1263"/>
      <c r="P192" s="1263"/>
      <c r="Q192" s="1263"/>
      <c r="R192" s="1263"/>
      <c r="S192" s="1263"/>
      <c r="T192" s="1263"/>
      <c r="U192" s="1263"/>
      <c r="V192" s="1263"/>
      <c r="W192" s="1263"/>
    </row>
    <row r="193">
      <c r="A193" s="1513"/>
      <c r="B193" s="1514"/>
      <c r="C193" s="1499"/>
      <c r="D193" s="1499"/>
      <c r="E193" s="1499"/>
      <c r="F193" s="1515"/>
      <c r="G193" s="1499"/>
      <c r="H193" s="1263"/>
      <c r="I193" s="1512"/>
      <c r="J193" s="1263"/>
      <c r="K193" s="1263"/>
      <c r="L193" s="1263"/>
      <c r="M193" s="1263"/>
      <c r="N193" s="1263"/>
      <c r="O193" s="1263"/>
      <c r="P193" s="1263"/>
      <c r="Q193" s="1263"/>
      <c r="R193" s="1263"/>
      <c r="S193" s="1263"/>
      <c r="T193" s="1263"/>
      <c r="U193" s="1263"/>
      <c r="V193" s="1263"/>
      <c r="W193" s="1263"/>
    </row>
    <row r="194">
      <c r="A194" s="1513"/>
      <c r="B194" s="1514"/>
      <c r="C194" s="1499"/>
      <c r="D194" s="1499"/>
      <c r="E194" s="1499"/>
      <c r="F194" s="1515"/>
      <c r="G194" s="1499"/>
      <c r="H194" s="1263"/>
      <c r="I194" s="1512"/>
      <c r="J194" s="1263"/>
      <c r="K194" s="1263"/>
      <c r="L194" s="1263"/>
      <c r="M194" s="1263"/>
      <c r="N194" s="1263"/>
      <c r="O194" s="1263"/>
      <c r="P194" s="1263"/>
      <c r="Q194" s="1263"/>
      <c r="R194" s="1263"/>
      <c r="S194" s="1263"/>
      <c r="T194" s="1263"/>
      <c r="U194" s="1263"/>
      <c r="V194" s="1263"/>
      <c r="W194" s="1263"/>
    </row>
    <row r="195">
      <c r="A195" s="1513"/>
      <c r="B195" s="1514"/>
      <c r="C195" s="1499"/>
      <c r="D195" s="1499"/>
      <c r="E195" s="1499"/>
      <c r="F195" s="1515"/>
      <c r="G195" s="1499"/>
      <c r="H195" s="1263"/>
      <c r="I195" s="1512"/>
      <c r="J195" s="1263"/>
      <c r="K195" s="1263"/>
      <c r="L195" s="1263"/>
      <c r="M195" s="1263"/>
      <c r="N195" s="1263"/>
      <c r="O195" s="1263"/>
      <c r="P195" s="1263"/>
      <c r="Q195" s="1263"/>
      <c r="R195" s="1263"/>
      <c r="S195" s="1263"/>
      <c r="T195" s="1263"/>
      <c r="U195" s="1263"/>
      <c r="V195" s="1263"/>
      <c r="W195" s="1263"/>
    </row>
    <row r="196">
      <c r="A196" s="1513"/>
      <c r="B196" s="1514"/>
      <c r="C196" s="1499"/>
      <c r="D196" s="1499"/>
      <c r="E196" s="1499"/>
      <c r="F196" s="1515"/>
      <c r="G196" s="1499"/>
      <c r="H196" s="1263"/>
      <c r="I196" s="1512"/>
      <c r="J196" s="1263"/>
      <c r="K196" s="1263"/>
      <c r="L196" s="1263"/>
      <c r="M196" s="1263"/>
      <c r="N196" s="1263"/>
      <c r="O196" s="1263"/>
      <c r="P196" s="1263"/>
      <c r="Q196" s="1263"/>
      <c r="R196" s="1263"/>
      <c r="S196" s="1263"/>
      <c r="T196" s="1263"/>
      <c r="U196" s="1263"/>
      <c r="V196" s="1263"/>
      <c r="W196" s="1263"/>
    </row>
    <row r="197">
      <c r="A197" s="1513"/>
      <c r="B197" s="1514"/>
      <c r="C197" s="1499"/>
      <c r="D197" s="1499"/>
      <c r="E197" s="1499"/>
      <c r="F197" s="1515"/>
      <c r="G197" s="1499"/>
      <c r="H197" s="1263"/>
      <c r="I197" s="1512"/>
      <c r="J197" s="1263"/>
      <c r="K197" s="1263"/>
      <c r="L197" s="1263"/>
      <c r="M197" s="1263"/>
      <c r="N197" s="1263"/>
      <c r="O197" s="1263"/>
      <c r="P197" s="1263"/>
      <c r="Q197" s="1263"/>
      <c r="R197" s="1263"/>
      <c r="S197" s="1263"/>
      <c r="T197" s="1263"/>
      <c r="U197" s="1263"/>
      <c r="V197" s="1263"/>
      <c r="W197" s="1263"/>
    </row>
    <row r="198">
      <c r="A198" s="1513"/>
      <c r="B198" s="1514"/>
      <c r="C198" s="1499"/>
      <c r="D198" s="1499"/>
      <c r="E198" s="1499"/>
      <c r="F198" s="1515"/>
      <c r="G198" s="1499"/>
      <c r="H198" s="1263"/>
      <c r="I198" s="1512"/>
      <c r="J198" s="1263"/>
      <c r="K198" s="1263"/>
      <c r="L198" s="1263"/>
      <c r="M198" s="1263"/>
      <c r="N198" s="1263"/>
      <c r="O198" s="1263"/>
      <c r="P198" s="1263"/>
      <c r="Q198" s="1263"/>
      <c r="R198" s="1263"/>
      <c r="S198" s="1263"/>
      <c r="T198" s="1263"/>
      <c r="U198" s="1263"/>
      <c r="V198" s="1263"/>
      <c r="W198" s="1263"/>
    </row>
    <row r="199">
      <c r="A199" s="1513"/>
      <c r="B199" s="1514"/>
      <c r="C199" s="1499"/>
      <c r="D199" s="1499"/>
      <c r="E199" s="1499"/>
      <c r="F199" s="1515"/>
      <c r="G199" s="1499"/>
      <c r="H199" s="1263"/>
      <c r="I199" s="1512"/>
      <c r="J199" s="1263"/>
      <c r="K199" s="1263"/>
      <c r="L199" s="1263"/>
      <c r="M199" s="1263"/>
      <c r="N199" s="1263"/>
      <c r="O199" s="1263"/>
      <c r="P199" s="1263"/>
      <c r="Q199" s="1263"/>
      <c r="R199" s="1263"/>
      <c r="S199" s="1263"/>
      <c r="T199" s="1263"/>
      <c r="U199" s="1263"/>
      <c r="V199" s="1263"/>
      <c r="W199" s="1263"/>
    </row>
    <row r="200">
      <c r="A200" s="1513"/>
      <c r="B200" s="1514"/>
      <c r="C200" s="1499"/>
      <c r="D200" s="1499"/>
      <c r="E200" s="1499"/>
      <c r="F200" s="1515"/>
      <c r="G200" s="1499"/>
      <c r="H200" s="1263"/>
      <c r="I200" s="1512"/>
      <c r="J200" s="1263"/>
      <c r="K200" s="1263"/>
      <c r="L200" s="1263"/>
      <c r="M200" s="1263"/>
      <c r="N200" s="1263"/>
      <c r="O200" s="1263"/>
      <c r="P200" s="1263"/>
      <c r="Q200" s="1263"/>
      <c r="R200" s="1263"/>
      <c r="S200" s="1263"/>
      <c r="T200" s="1263"/>
      <c r="U200" s="1263"/>
      <c r="V200" s="1263"/>
      <c r="W200" s="1263"/>
    </row>
    <row r="201">
      <c r="A201" s="1513"/>
      <c r="B201" s="1514"/>
      <c r="C201" s="1499"/>
      <c r="D201" s="1499"/>
      <c r="E201" s="1499"/>
      <c r="F201" s="1515"/>
      <c r="G201" s="1499"/>
      <c r="H201" s="1263"/>
      <c r="I201" s="1512"/>
      <c r="J201" s="1263"/>
      <c r="K201" s="1263"/>
      <c r="L201" s="1263"/>
      <c r="M201" s="1263"/>
      <c r="N201" s="1263"/>
      <c r="O201" s="1263"/>
      <c r="P201" s="1263"/>
      <c r="Q201" s="1263"/>
      <c r="R201" s="1263"/>
      <c r="S201" s="1263"/>
      <c r="T201" s="1263"/>
      <c r="U201" s="1263"/>
      <c r="V201" s="1263"/>
      <c r="W201" s="1263"/>
    </row>
    <row r="202">
      <c r="A202" s="1513"/>
      <c r="B202" s="1514"/>
      <c r="C202" s="1499"/>
      <c r="D202" s="1499"/>
      <c r="E202" s="1499"/>
      <c r="F202" s="1515"/>
      <c r="G202" s="1499"/>
      <c r="H202" s="1263"/>
      <c r="I202" s="1512"/>
      <c r="J202" s="1263"/>
      <c r="K202" s="1263"/>
      <c r="L202" s="1263"/>
      <c r="M202" s="1263"/>
      <c r="N202" s="1263"/>
      <c r="O202" s="1263"/>
      <c r="P202" s="1263"/>
      <c r="Q202" s="1263"/>
      <c r="R202" s="1263"/>
      <c r="S202" s="1263"/>
      <c r="T202" s="1263"/>
      <c r="U202" s="1263"/>
      <c r="V202" s="1263"/>
      <c r="W202" s="1263"/>
    </row>
    <row r="203">
      <c r="A203" s="1513"/>
      <c r="B203" s="1514"/>
      <c r="C203" s="1499"/>
      <c r="D203" s="1499"/>
      <c r="E203" s="1499"/>
      <c r="F203" s="1515"/>
      <c r="G203" s="1499"/>
      <c r="H203" s="1263"/>
      <c r="I203" s="1512"/>
      <c r="J203" s="1263"/>
      <c r="K203" s="1263"/>
      <c r="L203" s="1263"/>
      <c r="M203" s="1263"/>
      <c r="N203" s="1263"/>
      <c r="O203" s="1263"/>
      <c r="P203" s="1263"/>
      <c r="Q203" s="1263"/>
      <c r="R203" s="1263"/>
      <c r="S203" s="1263"/>
      <c r="T203" s="1263"/>
      <c r="U203" s="1263"/>
      <c r="V203" s="1263"/>
      <c r="W203" s="1263"/>
    </row>
    <row r="204">
      <c r="A204" s="1513"/>
      <c r="B204" s="1514"/>
      <c r="C204" s="1499"/>
      <c r="D204" s="1499"/>
      <c r="E204" s="1499"/>
      <c r="F204" s="1515"/>
      <c r="G204" s="1499"/>
      <c r="H204" s="1263"/>
      <c r="I204" s="1512"/>
      <c r="J204" s="1263"/>
      <c r="K204" s="1263"/>
      <c r="L204" s="1263"/>
      <c r="M204" s="1263"/>
      <c r="N204" s="1263"/>
      <c r="O204" s="1263"/>
      <c r="P204" s="1263"/>
      <c r="Q204" s="1263"/>
      <c r="R204" s="1263"/>
      <c r="S204" s="1263"/>
      <c r="T204" s="1263"/>
      <c r="U204" s="1263"/>
      <c r="V204" s="1263"/>
      <c r="W204" s="1263"/>
    </row>
    <row r="205">
      <c r="A205" s="1513"/>
      <c r="B205" s="1514"/>
      <c r="C205" s="1499"/>
      <c r="D205" s="1499"/>
      <c r="E205" s="1499"/>
      <c r="F205" s="1515"/>
      <c r="G205" s="1499"/>
      <c r="H205" s="1263"/>
      <c r="I205" s="1512"/>
      <c r="J205" s="1263"/>
      <c r="K205" s="1263"/>
      <c r="L205" s="1263"/>
      <c r="M205" s="1263"/>
      <c r="N205" s="1263"/>
      <c r="O205" s="1263"/>
      <c r="P205" s="1263"/>
      <c r="Q205" s="1263"/>
      <c r="R205" s="1263"/>
      <c r="S205" s="1263"/>
      <c r="T205" s="1263"/>
      <c r="U205" s="1263"/>
      <c r="V205" s="1263"/>
      <c r="W205" s="1263"/>
    </row>
    <row r="206">
      <c r="A206" s="1513"/>
      <c r="B206" s="1514"/>
      <c r="C206" s="1499"/>
      <c r="D206" s="1499"/>
      <c r="E206" s="1499"/>
      <c r="F206" s="1515"/>
      <c r="G206" s="1499"/>
      <c r="H206" s="1263"/>
      <c r="I206" s="1512"/>
      <c r="J206" s="1263"/>
      <c r="K206" s="1263"/>
      <c r="L206" s="1263"/>
      <c r="M206" s="1263"/>
      <c r="N206" s="1263"/>
      <c r="O206" s="1263"/>
      <c r="P206" s="1263"/>
      <c r="Q206" s="1263"/>
      <c r="R206" s="1263"/>
      <c r="S206" s="1263"/>
      <c r="T206" s="1263"/>
      <c r="U206" s="1263"/>
      <c r="V206" s="1263"/>
      <c r="W206" s="1263"/>
    </row>
    <row r="207">
      <c r="A207" s="1513"/>
      <c r="B207" s="1514"/>
      <c r="C207" s="1499"/>
      <c r="D207" s="1499"/>
      <c r="E207" s="1499"/>
      <c r="F207" s="1515"/>
      <c r="G207" s="1499"/>
      <c r="H207" s="1263"/>
      <c r="I207" s="1512"/>
      <c r="J207" s="1263"/>
      <c r="K207" s="1263"/>
      <c r="L207" s="1263"/>
      <c r="M207" s="1263"/>
      <c r="N207" s="1263"/>
      <c r="O207" s="1263"/>
      <c r="P207" s="1263"/>
      <c r="Q207" s="1263"/>
      <c r="R207" s="1263"/>
      <c r="S207" s="1263"/>
      <c r="T207" s="1263"/>
      <c r="U207" s="1263"/>
      <c r="V207" s="1263"/>
      <c r="W207" s="1263"/>
    </row>
    <row r="208">
      <c r="A208" s="1513"/>
      <c r="B208" s="1514"/>
      <c r="C208" s="1499"/>
      <c r="D208" s="1499"/>
      <c r="E208" s="1499"/>
      <c r="F208" s="1515"/>
      <c r="G208" s="1499"/>
      <c r="H208" s="1263"/>
      <c r="I208" s="1512"/>
      <c r="J208" s="1263"/>
      <c r="K208" s="1263"/>
      <c r="L208" s="1263"/>
      <c r="M208" s="1263"/>
      <c r="N208" s="1263"/>
      <c r="O208" s="1263"/>
      <c r="P208" s="1263"/>
      <c r="Q208" s="1263"/>
      <c r="R208" s="1263"/>
      <c r="S208" s="1263"/>
      <c r="T208" s="1263"/>
      <c r="U208" s="1263"/>
      <c r="V208" s="1263"/>
      <c r="W208" s="1263"/>
    </row>
    <row r="209">
      <c r="A209" s="1513"/>
      <c r="B209" s="1514"/>
      <c r="C209" s="1499"/>
      <c r="D209" s="1499"/>
      <c r="E209" s="1499"/>
      <c r="F209" s="1515"/>
      <c r="G209" s="1499"/>
      <c r="H209" s="1263"/>
      <c r="I209" s="1512"/>
      <c r="J209" s="1263"/>
      <c r="K209" s="1263"/>
      <c r="L209" s="1263"/>
      <c r="M209" s="1263"/>
      <c r="N209" s="1263"/>
      <c r="O209" s="1263"/>
      <c r="P209" s="1263"/>
      <c r="Q209" s="1263"/>
      <c r="R209" s="1263"/>
      <c r="S209" s="1263"/>
      <c r="T209" s="1263"/>
      <c r="U209" s="1263"/>
      <c r="V209" s="1263"/>
      <c r="W209" s="1263"/>
    </row>
    <row r="210">
      <c r="A210" s="1513"/>
      <c r="B210" s="1514"/>
      <c r="C210" s="1499"/>
      <c r="D210" s="1499"/>
      <c r="E210" s="1499"/>
      <c r="F210" s="1515"/>
      <c r="G210" s="1499"/>
      <c r="H210" s="1263"/>
      <c r="I210" s="1512"/>
      <c r="J210" s="1263"/>
      <c r="K210" s="1263"/>
      <c r="L210" s="1263"/>
      <c r="M210" s="1263"/>
      <c r="N210" s="1263"/>
      <c r="O210" s="1263"/>
      <c r="P210" s="1263"/>
      <c r="Q210" s="1263"/>
      <c r="R210" s="1263"/>
      <c r="S210" s="1263"/>
      <c r="T210" s="1263"/>
      <c r="U210" s="1263"/>
      <c r="V210" s="1263"/>
      <c r="W210" s="1263"/>
    </row>
    <row r="211">
      <c r="A211" s="1513"/>
      <c r="B211" s="1514"/>
      <c r="C211" s="1499"/>
      <c r="D211" s="1499"/>
      <c r="E211" s="1499"/>
      <c r="F211" s="1515"/>
      <c r="G211" s="1499"/>
      <c r="H211" s="1263"/>
      <c r="I211" s="1512"/>
      <c r="J211" s="1263"/>
      <c r="K211" s="1263"/>
      <c r="L211" s="1263"/>
      <c r="M211" s="1263"/>
      <c r="N211" s="1263"/>
      <c r="O211" s="1263"/>
      <c r="P211" s="1263"/>
      <c r="Q211" s="1263"/>
      <c r="R211" s="1263"/>
      <c r="S211" s="1263"/>
      <c r="T211" s="1263"/>
      <c r="U211" s="1263"/>
      <c r="V211" s="1263"/>
      <c r="W211" s="1263"/>
    </row>
    <row r="212">
      <c r="A212" s="1513"/>
      <c r="B212" s="1514"/>
      <c r="C212" s="1499"/>
      <c r="D212" s="1499"/>
      <c r="E212" s="1499"/>
      <c r="F212" s="1515"/>
      <c r="G212" s="1499"/>
      <c r="H212" s="1263"/>
      <c r="I212" s="1512"/>
      <c r="J212" s="1263"/>
      <c r="K212" s="1263"/>
      <c r="L212" s="1263"/>
      <c r="M212" s="1263"/>
      <c r="N212" s="1263"/>
      <c r="O212" s="1263"/>
      <c r="P212" s="1263"/>
      <c r="Q212" s="1263"/>
      <c r="R212" s="1263"/>
      <c r="S212" s="1263"/>
      <c r="T212" s="1263"/>
      <c r="U212" s="1263"/>
      <c r="V212" s="1263"/>
      <c r="W212" s="1263"/>
    </row>
    <row r="213">
      <c r="A213" s="1513"/>
      <c r="B213" s="1514"/>
      <c r="C213" s="1499"/>
      <c r="D213" s="1499"/>
      <c r="E213" s="1499"/>
      <c r="F213" s="1515"/>
      <c r="G213" s="1499"/>
      <c r="H213" s="1263"/>
      <c r="I213" s="1512"/>
      <c r="J213" s="1263"/>
      <c r="K213" s="1263"/>
      <c r="L213" s="1263"/>
      <c r="M213" s="1263"/>
      <c r="N213" s="1263"/>
      <c r="O213" s="1263"/>
      <c r="P213" s="1263"/>
      <c r="Q213" s="1263"/>
      <c r="R213" s="1263"/>
      <c r="S213" s="1263"/>
      <c r="T213" s="1263"/>
      <c r="U213" s="1263"/>
      <c r="V213" s="1263"/>
      <c r="W213" s="1263"/>
    </row>
    <row r="214">
      <c r="A214" s="1513"/>
      <c r="B214" s="1514"/>
      <c r="C214" s="1499"/>
      <c r="D214" s="1499"/>
      <c r="E214" s="1499"/>
      <c r="F214" s="1515"/>
      <c r="G214" s="1499"/>
      <c r="H214" s="1263"/>
      <c r="I214" s="1512"/>
      <c r="J214" s="1263"/>
      <c r="K214" s="1263"/>
      <c r="L214" s="1263"/>
      <c r="M214" s="1263"/>
      <c r="N214" s="1263"/>
      <c r="O214" s="1263"/>
      <c r="P214" s="1263"/>
      <c r="Q214" s="1263"/>
      <c r="R214" s="1263"/>
      <c r="S214" s="1263"/>
      <c r="T214" s="1263"/>
      <c r="U214" s="1263"/>
      <c r="V214" s="1263"/>
      <c r="W214" s="1263"/>
    </row>
    <row r="215">
      <c r="A215" s="1513"/>
      <c r="B215" s="1514"/>
      <c r="C215" s="1499"/>
      <c r="D215" s="1499"/>
      <c r="E215" s="1499"/>
      <c r="F215" s="1515"/>
      <c r="G215" s="1499"/>
      <c r="H215" s="1263"/>
      <c r="I215" s="1512"/>
      <c r="J215" s="1263"/>
      <c r="K215" s="1263"/>
      <c r="L215" s="1263"/>
      <c r="M215" s="1263"/>
      <c r="N215" s="1263"/>
      <c r="O215" s="1263"/>
      <c r="P215" s="1263"/>
      <c r="Q215" s="1263"/>
      <c r="R215" s="1263"/>
      <c r="S215" s="1263"/>
      <c r="T215" s="1263"/>
      <c r="U215" s="1263"/>
      <c r="V215" s="1263"/>
      <c r="W215" s="1263"/>
    </row>
    <row r="216">
      <c r="A216" s="1513"/>
      <c r="B216" s="1514"/>
      <c r="C216" s="1499"/>
      <c r="D216" s="1499"/>
      <c r="E216" s="1499"/>
      <c r="F216" s="1515"/>
      <c r="G216" s="1499"/>
      <c r="H216" s="1263"/>
      <c r="I216" s="1512"/>
      <c r="J216" s="1263"/>
      <c r="K216" s="1263"/>
      <c r="L216" s="1263"/>
      <c r="M216" s="1263"/>
      <c r="N216" s="1263"/>
      <c r="O216" s="1263"/>
      <c r="P216" s="1263"/>
      <c r="Q216" s="1263"/>
      <c r="R216" s="1263"/>
      <c r="S216" s="1263"/>
      <c r="T216" s="1263"/>
      <c r="U216" s="1263"/>
      <c r="V216" s="1263"/>
      <c r="W216" s="1263"/>
    </row>
    <row r="217">
      <c r="A217" s="1513"/>
      <c r="B217" s="1514"/>
      <c r="C217" s="1499"/>
      <c r="D217" s="1499"/>
      <c r="E217" s="1499"/>
      <c r="F217" s="1515"/>
      <c r="G217" s="1499"/>
      <c r="H217" s="1263"/>
      <c r="I217" s="1512"/>
      <c r="J217" s="1263"/>
      <c r="K217" s="1263"/>
      <c r="L217" s="1263"/>
      <c r="M217" s="1263"/>
      <c r="N217" s="1263"/>
      <c r="O217" s="1263"/>
      <c r="P217" s="1263"/>
      <c r="Q217" s="1263"/>
      <c r="R217" s="1263"/>
      <c r="S217" s="1263"/>
      <c r="T217" s="1263"/>
      <c r="U217" s="1263"/>
      <c r="V217" s="1263"/>
      <c r="W217" s="1263"/>
    </row>
    <row r="218">
      <c r="A218" s="1513"/>
      <c r="B218" s="1514"/>
      <c r="C218" s="1499"/>
      <c r="D218" s="1499"/>
      <c r="E218" s="1499"/>
      <c r="F218" s="1515"/>
      <c r="G218" s="1499"/>
      <c r="H218" s="1263"/>
      <c r="I218" s="1512"/>
      <c r="J218" s="1263"/>
      <c r="K218" s="1263"/>
      <c r="L218" s="1263"/>
      <c r="M218" s="1263"/>
      <c r="N218" s="1263"/>
      <c r="O218" s="1263"/>
      <c r="P218" s="1263"/>
      <c r="Q218" s="1263"/>
      <c r="R218" s="1263"/>
      <c r="S218" s="1263"/>
      <c r="T218" s="1263"/>
      <c r="U218" s="1263"/>
      <c r="V218" s="1263"/>
      <c r="W218" s="1263"/>
    </row>
    <row r="219">
      <c r="A219" s="1513"/>
      <c r="B219" s="1514"/>
      <c r="C219" s="1499"/>
      <c r="D219" s="1499"/>
      <c r="E219" s="1499"/>
      <c r="F219" s="1515"/>
      <c r="G219" s="1499"/>
      <c r="H219" s="1263"/>
      <c r="I219" s="1512"/>
      <c r="J219" s="1263"/>
      <c r="K219" s="1263"/>
      <c r="L219" s="1263"/>
      <c r="M219" s="1263"/>
      <c r="N219" s="1263"/>
      <c r="O219" s="1263"/>
      <c r="P219" s="1263"/>
      <c r="Q219" s="1263"/>
      <c r="R219" s="1263"/>
      <c r="S219" s="1263"/>
      <c r="T219" s="1263"/>
      <c r="U219" s="1263"/>
      <c r="V219" s="1263"/>
      <c r="W219" s="1263"/>
    </row>
    <row r="220">
      <c r="A220" s="1513"/>
      <c r="B220" s="1514"/>
      <c r="C220" s="1499"/>
      <c r="D220" s="1499"/>
      <c r="E220" s="1499"/>
      <c r="F220" s="1515"/>
      <c r="G220" s="1499"/>
      <c r="H220" s="1263"/>
      <c r="I220" s="1512"/>
      <c r="J220" s="1263"/>
      <c r="K220" s="1263"/>
      <c r="L220" s="1263"/>
      <c r="M220" s="1263"/>
      <c r="N220" s="1263"/>
      <c r="O220" s="1263"/>
      <c r="P220" s="1263"/>
      <c r="Q220" s="1263"/>
      <c r="R220" s="1263"/>
      <c r="S220" s="1263"/>
      <c r="T220" s="1263"/>
      <c r="U220" s="1263"/>
      <c r="V220" s="1263"/>
      <c r="W220" s="1263"/>
    </row>
    <row r="221">
      <c r="A221" s="1513"/>
      <c r="B221" s="1514"/>
      <c r="C221" s="1499"/>
      <c r="D221" s="1499"/>
      <c r="E221" s="1499"/>
      <c r="F221" s="1515"/>
      <c r="G221" s="1499"/>
      <c r="H221" s="1263"/>
      <c r="I221" s="1512"/>
      <c r="J221" s="1263"/>
      <c r="K221" s="1263"/>
      <c r="L221" s="1263"/>
      <c r="M221" s="1263"/>
      <c r="N221" s="1263"/>
      <c r="O221" s="1263"/>
      <c r="P221" s="1263"/>
      <c r="Q221" s="1263"/>
      <c r="R221" s="1263"/>
      <c r="S221" s="1263"/>
      <c r="T221" s="1263"/>
      <c r="U221" s="1263"/>
      <c r="V221" s="1263"/>
      <c r="W221" s="1263"/>
    </row>
    <row r="222">
      <c r="A222" s="1513"/>
      <c r="B222" s="1514"/>
      <c r="C222" s="1499"/>
      <c r="D222" s="1499"/>
      <c r="E222" s="1499"/>
      <c r="F222" s="1515"/>
      <c r="G222" s="1499"/>
      <c r="H222" s="1263"/>
      <c r="I222" s="1512"/>
      <c r="J222" s="1263"/>
      <c r="K222" s="1263"/>
      <c r="L222" s="1263"/>
      <c r="M222" s="1263"/>
      <c r="N222" s="1263"/>
      <c r="O222" s="1263"/>
      <c r="P222" s="1263"/>
      <c r="Q222" s="1263"/>
      <c r="R222" s="1263"/>
      <c r="S222" s="1263"/>
      <c r="T222" s="1263"/>
      <c r="U222" s="1263"/>
      <c r="V222" s="1263"/>
      <c r="W222" s="1263"/>
    </row>
    <row r="223">
      <c r="A223" s="1513"/>
      <c r="B223" s="1514"/>
      <c r="C223" s="1499"/>
      <c r="D223" s="1499"/>
      <c r="E223" s="1499"/>
      <c r="F223" s="1515"/>
      <c r="G223" s="1499"/>
      <c r="H223" s="1263"/>
      <c r="I223" s="1512"/>
      <c r="J223" s="1263"/>
      <c r="K223" s="1263"/>
      <c r="L223" s="1263"/>
      <c r="M223" s="1263"/>
      <c r="N223" s="1263"/>
      <c r="O223" s="1263"/>
      <c r="P223" s="1263"/>
      <c r="Q223" s="1263"/>
      <c r="R223" s="1263"/>
      <c r="S223" s="1263"/>
      <c r="T223" s="1263"/>
      <c r="U223" s="1263"/>
      <c r="V223" s="1263"/>
      <c r="W223" s="1263"/>
    </row>
    <row r="224">
      <c r="A224" s="1513"/>
      <c r="B224" s="1514"/>
      <c r="C224" s="1499"/>
      <c r="D224" s="1499"/>
      <c r="E224" s="1499"/>
      <c r="F224" s="1515"/>
      <c r="G224" s="1499"/>
      <c r="H224" s="1263"/>
      <c r="I224" s="1512"/>
      <c r="J224" s="1263"/>
      <c r="K224" s="1263"/>
      <c r="L224" s="1263"/>
      <c r="M224" s="1263"/>
      <c r="N224" s="1263"/>
      <c r="O224" s="1263"/>
      <c r="P224" s="1263"/>
      <c r="Q224" s="1263"/>
      <c r="R224" s="1263"/>
      <c r="S224" s="1263"/>
      <c r="T224" s="1263"/>
      <c r="U224" s="1263"/>
      <c r="V224" s="1263"/>
      <c r="W224" s="1263"/>
    </row>
    <row r="225">
      <c r="A225" s="1513"/>
      <c r="B225" s="1514"/>
      <c r="C225" s="1499"/>
      <c r="D225" s="1499"/>
      <c r="E225" s="1499"/>
      <c r="F225" s="1515"/>
      <c r="G225" s="1499"/>
      <c r="H225" s="1263"/>
      <c r="I225" s="1512"/>
      <c r="J225" s="1263"/>
      <c r="K225" s="1263"/>
      <c r="L225" s="1263"/>
      <c r="M225" s="1263"/>
      <c r="N225" s="1263"/>
      <c r="O225" s="1263"/>
      <c r="P225" s="1263"/>
      <c r="Q225" s="1263"/>
      <c r="R225" s="1263"/>
      <c r="S225" s="1263"/>
      <c r="T225" s="1263"/>
      <c r="U225" s="1263"/>
      <c r="V225" s="1263"/>
      <c r="W225" s="1263"/>
    </row>
    <row r="226">
      <c r="A226" s="1513"/>
      <c r="B226" s="1514"/>
      <c r="C226" s="1499"/>
      <c r="D226" s="1499"/>
      <c r="E226" s="1499"/>
      <c r="F226" s="1515"/>
      <c r="G226" s="1499"/>
      <c r="H226" s="1263"/>
      <c r="I226" s="1512"/>
      <c r="J226" s="1263"/>
      <c r="K226" s="1263"/>
      <c r="L226" s="1263"/>
      <c r="M226" s="1263"/>
      <c r="N226" s="1263"/>
      <c r="O226" s="1263"/>
      <c r="P226" s="1263"/>
      <c r="Q226" s="1263"/>
      <c r="R226" s="1263"/>
      <c r="S226" s="1263"/>
      <c r="T226" s="1263"/>
      <c r="U226" s="1263"/>
      <c r="V226" s="1263"/>
      <c r="W226" s="1263"/>
    </row>
    <row r="227">
      <c r="A227" s="1513"/>
      <c r="B227" s="1514"/>
      <c r="C227" s="1499"/>
      <c r="D227" s="1499"/>
      <c r="E227" s="1499"/>
      <c r="F227" s="1515"/>
      <c r="G227" s="1499"/>
      <c r="H227" s="1263"/>
      <c r="I227" s="1512"/>
      <c r="J227" s="1263"/>
      <c r="K227" s="1263"/>
      <c r="L227" s="1263"/>
      <c r="M227" s="1263"/>
      <c r="N227" s="1263"/>
      <c r="O227" s="1263"/>
      <c r="P227" s="1263"/>
      <c r="Q227" s="1263"/>
      <c r="R227" s="1263"/>
      <c r="S227" s="1263"/>
      <c r="T227" s="1263"/>
      <c r="U227" s="1263"/>
      <c r="V227" s="1263"/>
      <c r="W227" s="1263"/>
    </row>
    <row r="228">
      <c r="A228" s="1513"/>
      <c r="B228" s="1514"/>
      <c r="C228" s="1499"/>
      <c r="D228" s="1499"/>
      <c r="E228" s="1499"/>
      <c r="F228" s="1515"/>
      <c r="G228" s="1499"/>
      <c r="H228" s="1263"/>
      <c r="I228" s="1512"/>
      <c r="J228" s="1263"/>
      <c r="K228" s="1263"/>
      <c r="L228" s="1263"/>
      <c r="M228" s="1263"/>
      <c r="N228" s="1263"/>
      <c r="O228" s="1263"/>
      <c r="P228" s="1263"/>
      <c r="Q228" s="1263"/>
      <c r="R228" s="1263"/>
      <c r="S228" s="1263"/>
      <c r="T228" s="1263"/>
      <c r="U228" s="1263"/>
      <c r="V228" s="1263"/>
      <c r="W228" s="1263"/>
    </row>
    <row r="229">
      <c r="A229" s="1513"/>
      <c r="B229" s="1514"/>
      <c r="C229" s="1499"/>
      <c r="D229" s="1499"/>
      <c r="E229" s="1499"/>
      <c r="F229" s="1515"/>
      <c r="G229" s="1499"/>
      <c r="H229" s="1263"/>
      <c r="I229" s="1512"/>
      <c r="J229" s="1263"/>
      <c r="K229" s="1263"/>
      <c r="L229" s="1263"/>
      <c r="M229" s="1263"/>
      <c r="N229" s="1263"/>
      <c r="O229" s="1263"/>
      <c r="P229" s="1263"/>
      <c r="Q229" s="1263"/>
      <c r="R229" s="1263"/>
      <c r="S229" s="1263"/>
      <c r="T229" s="1263"/>
      <c r="U229" s="1263"/>
      <c r="V229" s="1263"/>
      <c r="W229" s="1263"/>
    </row>
    <row r="230">
      <c r="A230" s="1513"/>
      <c r="B230" s="1514"/>
      <c r="C230" s="1499"/>
      <c r="D230" s="1499"/>
      <c r="E230" s="1499"/>
      <c r="F230" s="1515"/>
      <c r="G230" s="1499"/>
      <c r="H230" s="1263"/>
      <c r="I230" s="1512"/>
      <c r="J230" s="1263"/>
      <c r="K230" s="1263"/>
      <c r="L230" s="1263"/>
      <c r="M230" s="1263"/>
      <c r="N230" s="1263"/>
      <c r="O230" s="1263"/>
      <c r="P230" s="1263"/>
      <c r="Q230" s="1263"/>
      <c r="R230" s="1263"/>
      <c r="S230" s="1263"/>
      <c r="T230" s="1263"/>
      <c r="U230" s="1263"/>
      <c r="V230" s="1263"/>
      <c r="W230" s="1263"/>
    </row>
    <row r="231">
      <c r="A231" s="1513"/>
      <c r="B231" s="1514"/>
      <c r="C231" s="1499"/>
      <c r="D231" s="1499"/>
      <c r="E231" s="1499"/>
      <c r="F231" s="1515"/>
      <c r="G231" s="1499"/>
      <c r="H231" s="1263"/>
      <c r="I231" s="1512"/>
      <c r="J231" s="1263"/>
      <c r="K231" s="1263"/>
      <c r="L231" s="1263"/>
      <c r="M231" s="1263"/>
      <c r="N231" s="1263"/>
      <c r="O231" s="1263"/>
      <c r="P231" s="1263"/>
      <c r="Q231" s="1263"/>
      <c r="R231" s="1263"/>
      <c r="S231" s="1263"/>
      <c r="T231" s="1263"/>
      <c r="U231" s="1263"/>
      <c r="V231" s="1263"/>
      <c r="W231" s="1263"/>
    </row>
    <row r="232">
      <c r="A232" s="1513"/>
      <c r="B232" s="1514"/>
      <c r="C232" s="1499"/>
      <c r="D232" s="1499"/>
      <c r="E232" s="1499"/>
      <c r="F232" s="1515"/>
      <c r="G232" s="1499"/>
      <c r="H232" s="1263"/>
      <c r="I232" s="1512"/>
      <c r="J232" s="1263"/>
      <c r="K232" s="1263"/>
      <c r="L232" s="1263"/>
      <c r="M232" s="1263"/>
      <c r="N232" s="1263"/>
      <c r="O232" s="1263"/>
      <c r="P232" s="1263"/>
      <c r="Q232" s="1263"/>
      <c r="R232" s="1263"/>
      <c r="S232" s="1263"/>
      <c r="T232" s="1263"/>
      <c r="U232" s="1263"/>
      <c r="V232" s="1263"/>
      <c r="W232" s="1263"/>
    </row>
    <row r="233">
      <c r="A233" s="1513"/>
      <c r="B233" s="1514"/>
      <c r="C233" s="1499"/>
      <c r="D233" s="1499"/>
      <c r="E233" s="1499"/>
      <c r="F233" s="1515"/>
      <c r="G233" s="1499"/>
      <c r="H233" s="1263"/>
      <c r="I233" s="1512"/>
      <c r="J233" s="1263"/>
      <c r="K233" s="1263"/>
      <c r="L233" s="1263"/>
      <c r="M233" s="1263"/>
      <c r="N233" s="1263"/>
      <c r="O233" s="1263"/>
      <c r="P233" s="1263"/>
      <c r="Q233" s="1263"/>
      <c r="R233" s="1263"/>
      <c r="S233" s="1263"/>
      <c r="T233" s="1263"/>
      <c r="U233" s="1263"/>
      <c r="V233" s="1263"/>
      <c r="W233" s="1263"/>
    </row>
    <row r="234">
      <c r="A234" s="1513"/>
      <c r="B234" s="1514"/>
      <c r="C234" s="1499"/>
      <c r="D234" s="1499"/>
      <c r="E234" s="1499"/>
      <c r="F234" s="1515"/>
      <c r="G234" s="1499"/>
      <c r="H234" s="1263"/>
      <c r="I234" s="1512"/>
      <c r="J234" s="1263"/>
      <c r="K234" s="1263"/>
      <c r="L234" s="1263"/>
      <c r="M234" s="1263"/>
      <c r="N234" s="1263"/>
      <c r="O234" s="1263"/>
      <c r="P234" s="1263"/>
      <c r="Q234" s="1263"/>
      <c r="R234" s="1263"/>
      <c r="S234" s="1263"/>
      <c r="T234" s="1263"/>
      <c r="U234" s="1263"/>
      <c r="V234" s="1263"/>
      <c r="W234" s="1263"/>
    </row>
    <row r="235">
      <c r="A235" s="1513"/>
      <c r="B235" s="1514"/>
      <c r="C235" s="1499"/>
      <c r="D235" s="1499"/>
      <c r="E235" s="1499"/>
      <c r="F235" s="1515"/>
      <c r="G235" s="1499"/>
      <c r="H235" s="1263"/>
      <c r="I235" s="1512"/>
      <c r="J235" s="1263"/>
      <c r="K235" s="1263"/>
      <c r="L235" s="1263"/>
      <c r="M235" s="1263"/>
      <c r="N235" s="1263"/>
      <c r="O235" s="1263"/>
      <c r="P235" s="1263"/>
      <c r="Q235" s="1263"/>
      <c r="R235" s="1263"/>
      <c r="S235" s="1263"/>
      <c r="T235" s="1263"/>
      <c r="U235" s="1263"/>
      <c r="V235" s="1263"/>
      <c r="W235" s="1263"/>
    </row>
    <row r="236">
      <c r="A236" s="1513"/>
      <c r="B236" s="1514"/>
      <c r="C236" s="1499"/>
      <c r="D236" s="1499"/>
      <c r="E236" s="1499"/>
      <c r="F236" s="1515"/>
      <c r="G236" s="1499"/>
      <c r="H236" s="1263"/>
      <c r="I236" s="1512"/>
      <c r="J236" s="1263"/>
      <c r="K236" s="1263"/>
      <c r="L236" s="1263"/>
      <c r="M236" s="1263"/>
      <c r="N236" s="1263"/>
      <c r="O236" s="1263"/>
      <c r="P236" s="1263"/>
      <c r="Q236" s="1263"/>
      <c r="R236" s="1263"/>
      <c r="S236" s="1263"/>
      <c r="T236" s="1263"/>
      <c r="U236" s="1263"/>
      <c r="V236" s="1263"/>
      <c r="W236" s="1263"/>
    </row>
    <row r="237">
      <c r="A237" s="1513"/>
      <c r="B237" s="1514"/>
      <c r="C237" s="1499"/>
      <c r="D237" s="1499"/>
      <c r="E237" s="1499"/>
      <c r="F237" s="1515"/>
      <c r="G237" s="1499"/>
      <c r="H237" s="1263"/>
      <c r="I237" s="1512"/>
      <c r="J237" s="1263"/>
      <c r="K237" s="1263"/>
      <c r="L237" s="1263"/>
      <c r="M237" s="1263"/>
      <c r="N237" s="1263"/>
      <c r="O237" s="1263"/>
      <c r="P237" s="1263"/>
      <c r="Q237" s="1263"/>
      <c r="R237" s="1263"/>
      <c r="S237" s="1263"/>
      <c r="T237" s="1263"/>
      <c r="U237" s="1263"/>
      <c r="V237" s="1263"/>
      <c r="W237" s="1263"/>
    </row>
    <row r="238">
      <c r="A238" s="1513"/>
      <c r="B238" s="1514"/>
      <c r="C238" s="1499"/>
      <c r="D238" s="1499"/>
      <c r="E238" s="1499"/>
      <c r="F238" s="1515"/>
      <c r="G238" s="1499"/>
      <c r="H238" s="1263"/>
      <c r="I238" s="1512"/>
      <c r="J238" s="1263"/>
      <c r="K238" s="1263"/>
      <c r="L238" s="1263"/>
      <c r="M238" s="1263"/>
      <c r="N238" s="1263"/>
      <c r="O238" s="1263"/>
      <c r="P238" s="1263"/>
      <c r="Q238" s="1263"/>
      <c r="R238" s="1263"/>
      <c r="S238" s="1263"/>
      <c r="T238" s="1263"/>
      <c r="U238" s="1263"/>
      <c r="V238" s="1263"/>
      <c r="W238" s="1263"/>
    </row>
    <row r="239">
      <c r="A239" s="1513"/>
      <c r="B239" s="1514"/>
      <c r="C239" s="1499"/>
      <c r="D239" s="1499"/>
      <c r="E239" s="1499"/>
      <c r="F239" s="1515"/>
      <c r="G239" s="1499"/>
      <c r="H239" s="1263"/>
      <c r="I239" s="1512"/>
      <c r="J239" s="1263"/>
      <c r="K239" s="1263"/>
      <c r="L239" s="1263"/>
      <c r="M239" s="1263"/>
      <c r="N239" s="1263"/>
      <c r="O239" s="1263"/>
      <c r="P239" s="1263"/>
      <c r="Q239" s="1263"/>
      <c r="R239" s="1263"/>
      <c r="S239" s="1263"/>
      <c r="T239" s="1263"/>
      <c r="U239" s="1263"/>
      <c r="V239" s="1263"/>
      <c r="W239" s="1263"/>
    </row>
    <row r="240">
      <c r="A240" s="1513"/>
      <c r="B240" s="1514"/>
      <c r="C240" s="1499"/>
      <c r="D240" s="1499"/>
      <c r="E240" s="1499"/>
      <c r="F240" s="1515"/>
      <c r="G240" s="1499"/>
      <c r="H240" s="1263"/>
      <c r="I240" s="1512"/>
      <c r="J240" s="1263"/>
      <c r="K240" s="1263"/>
      <c r="L240" s="1263"/>
      <c r="M240" s="1263"/>
      <c r="N240" s="1263"/>
      <c r="O240" s="1263"/>
      <c r="P240" s="1263"/>
      <c r="Q240" s="1263"/>
      <c r="R240" s="1263"/>
      <c r="S240" s="1263"/>
      <c r="T240" s="1263"/>
      <c r="U240" s="1263"/>
      <c r="V240" s="1263"/>
      <c r="W240" s="1263"/>
    </row>
    <row r="241">
      <c r="A241" s="1513"/>
      <c r="B241" s="1514"/>
      <c r="C241" s="1499"/>
      <c r="D241" s="1499"/>
      <c r="E241" s="1499"/>
      <c r="F241" s="1515"/>
      <c r="G241" s="1499"/>
      <c r="H241" s="1263"/>
      <c r="I241" s="1512"/>
      <c r="J241" s="1263"/>
      <c r="K241" s="1263"/>
      <c r="L241" s="1263"/>
      <c r="M241" s="1263"/>
      <c r="N241" s="1263"/>
      <c r="O241" s="1263"/>
      <c r="P241" s="1263"/>
      <c r="Q241" s="1263"/>
      <c r="R241" s="1263"/>
      <c r="S241" s="1263"/>
      <c r="T241" s="1263"/>
      <c r="U241" s="1263"/>
      <c r="V241" s="1263"/>
      <c r="W241" s="1263"/>
    </row>
    <row r="242">
      <c r="A242" s="1513"/>
      <c r="B242" s="1514"/>
      <c r="C242" s="1499"/>
      <c r="D242" s="1499"/>
      <c r="E242" s="1499"/>
      <c r="F242" s="1515"/>
      <c r="G242" s="1499"/>
      <c r="H242" s="1263"/>
      <c r="I242" s="1512"/>
      <c r="J242" s="1263"/>
      <c r="K242" s="1263"/>
      <c r="L242" s="1263"/>
      <c r="M242" s="1263"/>
      <c r="N242" s="1263"/>
      <c r="O242" s="1263"/>
      <c r="P242" s="1263"/>
      <c r="Q242" s="1263"/>
      <c r="R242" s="1263"/>
      <c r="S242" s="1263"/>
      <c r="T242" s="1263"/>
      <c r="U242" s="1263"/>
      <c r="V242" s="1263"/>
      <c r="W242" s="1263"/>
    </row>
    <row r="243">
      <c r="A243" s="1513"/>
      <c r="B243" s="1514"/>
      <c r="C243" s="1499"/>
      <c r="D243" s="1499"/>
      <c r="E243" s="1499"/>
      <c r="F243" s="1515"/>
      <c r="G243" s="1499"/>
      <c r="H243" s="1263"/>
      <c r="I243" s="1512"/>
      <c r="J243" s="1263"/>
      <c r="K243" s="1263"/>
      <c r="L243" s="1263"/>
      <c r="M243" s="1263"/>
      <c r="N243" s="1263"/>
      <c r="O243" s="1263"/>
      <c r="P243" s="1263"/>
      <c r="Q243" s="1263"/>
      <c r="R243" s="1263"/>
      <c r="S243" s="1263"/>
      <c r="T243" s="1263"/>
      <c r="U243" s="1263"/>
      <c r="V243" s="1263"/>
      <c r="W243" s="1263"/>
    </row>
    <row r="244">
      <c r="A244" s="1513"/>
      <c r="B244" s="1514"/>
      <c r="C244" s="1499"/>
      <c r="D244" s="1499"/>
      <c r="E244" s="1499"/>
      <c r="F244" s="1515"/>
      <c r="G244" s="1499"/>
      <c r="H244" s="1263"/>
      <c r="I244" s="1512"/>
      <c r="J244" s="1263"/>
      <c r="K244" s="1263"/>
      <c r="L244" s="1263"/>
      <c r="M244" s="1263"/>
      <c r="N244" s="1263"/>
      <c r="O244" s="1263"/>
      <c r="P244" s="1263"/>
      <c r="Q244" s="1263"/>
      <c r="R244" s="1263"/>
      <c r="S244" s="1263"/>
      <c r="T244" s="1263"/>
      <c r="U244" s="1263"/>
      <c r="V244" s="1263"/>
      <c r="W244" s="1263"/>
    </row>
    <row r="245">
      <c r="A245" s="1513"/>
      <c r="B245" s="1514"/>
      <c r="C245" s="1499"/>
      <c r="D245" s="1499"/>
      <c r="E245" s="1499"/>
      <c r="F245" s="1515"/>
      <c r="G245" s="1499"/>
      <c r="H245" s="1263"/>
      <c r="I245" s="1512"/>
      <c r="J245" s="1263"/>
      <c r="K245" s="1263"/>
      <c r="L245" s="1263"/>
      <c r="M245" s="1263"/>
      <c r="N245" s="1263"/>
      <c r="O245" s="1263"/>
      <c r="P245" s="1263"/>
      <c r="Q245" s="1263"/>
      <c r="R245" s="1263"/>
      <c r="S245" s="1263"/>
      <c r="T245" s="1263"/>
      <c r="U245" s="1263"/>
      <c r="V245" s="1263"/>
      <c r="W245" s="1263"/>
    </row>
    <row r="246">
      <c r="A246" s="1513"/>
      <c r="B246" s="1514"/>
      <c r="C246" s="1499"/>
      <c r="D246" s="1499"/>
      <c r="E246" s="1499"/>
      <c r="F246" s="1515"/>
      <c r="G246" s="1499"/>
      <c r="H246" s="1263"/>
      <c r="I246" s="1512"/>
      <c r="J246" s="1263"/>
      <c r="K246" s="1263"/>
      <c r="L246" s="1263"/>
      <c r="M246" s="1263"/>
      <c r="N246" s="1263"/>
      <c r="O246" s="1263"/>
      <c r="P246" s="1263"/>
      <c r="Q246" s="1263"/>
      <c r="R246" s="1263"/>
      <c r="S246" s="1263"/>
      <c r="T246" s="1263"/>
      <c r="U246" s="1263"/>
      <c r="V246" s="1263"/>
      <c r="W246" s="1263"/>
    </row>
    <row r="247">
      <c r="A247" s="1513"/>
      <c r="B247" s="1514"/>
      <c r="C247" s="1499"/>
      <c r="D247" s="1499"/>
      <c r="E247" s="1499"/>
      <c r="F247" s="1515"/>
      <c r="G247" s="1499"/>
      <c r="H247" s="1263"/>
      <c r="I247" s="1512"/>
      <c r="J247" s="1263"/>
      <c r="K247" s="1263"/>
      <c r="L247" s="1263"/>
      <c r="M247" s="1263"/>
      <c r="N247" s="1263"/>
      <c r="O247" s="1263"/>
      <c r="P247" s="1263"/>
      <c r="Q247" s="1263"/>
      <c r="R247" s="1263"/>
      <c r="S247" s="1263"/>
      <c r="T247" s="1263"/>
      <c r="U247" s="1263"/>
      <c r="V247" s="1263"/>
      <c r="W247" s="1263"/>
    </row>
    <row r="248">
      <c r="A248" s="1513"/>
      <c r="B248" s="1514"/>
      <c r="C248" s="1499"/>
      <c r="D248" s="1499"/>
      <c r="E248" s="1499"/>
      <c r="F248" s="1515"/>
      <c r="G248" s="1499"/>
      <c r="H248" s="1263"/>
      <c r="I248" s="1512"/>
      <c r="J248" s="1263"/>
      <c r="K248" s="1263"/>
      <c r="L248" s="1263"/>
      <c r="M248" s="1263"/>
      <c r="N248" s="1263"/>
      <c r="O248" s="1263"/>
      <c r="P248" s="1263"/>
      <c r="Q248" s="1263"/>
      <c r="R248" s="1263"/>
      <c r="S248" s="1263"/>
      <c r="T248" s="1263"/>
      <c r="U248" s="1263"/>
      <c r="V248" s="1263"/>
      <c r="W248" s="1263"/>
    </row>
    <row r="249">
      <c r="A249" s="1513"/>
      <c r="B249" s="1514"/>
      <c r="C249" s="1499"/>
      <c r="D249" s="1499"/>
      <c r="E249" s="1499"/>
      <c r="F249" s="1515"/>
      <c r="G249" s="1499"/>
      <c r="H249" s="1263"/>
      <c r="I249" s="1512"/>
      <c r="J249" s="1263"/>
      <c r="K249" s="1263"/>
      <c r="L249" s="1263"/>
      <c r="M249" s="1263"/>
      <c r="N249" s="1263"/>
      <c r="O249" s="1263"/>
      <c r="P249" s="1263"/>
      <c r="Q249" s="1263"/>
      <c r="R249" s="1263"/>
      <c r="S249" s="1263"/>
      <c r="T249" s="1263"/>
      <c r="U249" s="1263"/>
      <c r="V249" s="1263"/>
      <c r="W249" s="1263"/>
    </row>
    <row r="250">
      <c r="A250" s="1513"/>
      <c r="B250" s="1514"/>
      <c r="C250" s="1499"/>
      <c r="D250" s="1499"/>
      <c r="E250" s="1499"/>
      <c r="F250" s="1515"/>
      <c r="G250" s="1499"/>
      <c r="H250" s="1263"/>
      <c r="I250" s="1512"/>
      <c r="J250" s="1263"/>
      <c r="K250" s="1263"/>
      <c r="L250" s="1263"/>
      <c r="M250" s="1263"/>
      <c r="N250" s="1263"/>
      <c r="O250" s="1263"/>
      <c r="P250" s="1263"/>
      <c r="Q250" s="1263"/>
      <c r="R250" s="1263"/>
      <c r="S250" s="1263"/>
      <c r="T250" s="1263"/>
      <c r="U250" s="1263"/>
      <c r="V250" s="1263"/>
      <c r="W250" s="1263"/>
    </row>
    <row r="251">
      <c r="A251" s="1513"/>
      <c r="B251" s="1514"/>
      <c r="C251" s="1499"/>
      <c r="D251" s="1499"/>
      <c r="E251" s="1499"/>
      <c r="F251" s="1515"/>
      <c r="G251" s="1499"/>
      <c r="H251" s="1263"/>
      <c r="I251" s="1512"/>
      <c r="J251" s="1263"/>
      <c r="K251" s="1263"/>
      <c r="L251" s="1263"/>
      <c r="M251" s="1263"/>
      <c r="N251" s="1263"/>
      <c r="O251" s="1263"/>
      <c r="P251" s="1263"/>
      <c r="Q251" s="1263"/>
      <c r="R251" s="1263"/>
      <c r="S251" s="1263"/>
      <c r="T251" s="1263"/>
      <c r="U251" s="1263"/>
      <c r="V251" s="1263"/>
      <c r="W251" s="1263"/>
    </row>
    <row r="252">
      <c r="A252" s="1513"/>
      <c r="B252" s="1514"/>
      <c r="C252" s="1499"/>
      <c r="D252" s="1499"/>
      <c r="E252" s="1499"/>
      <c r="F252" s="1515"/>
      <c r="G252" s="1499"/>
      <c r="H252" s="1263"/>
      <c r="I252" s="1512"/>
      <c r="J252" s="1263"/>
      <c r="K252" s="1263"/>
      <c r="L252" s="1263"/>
      <c r="M252" s="1263"/>
      <c r="N252" s="1263"/>
      <c r="O252" s="1263"/>
      <c r="P252" s="1263"/>
      <c r="Q252" s="1263"/>
      <c r="R252" s="1263"/>
      <c r="S252" s="1263"/>
      <c r="T252" s="1263"/>
      <c r="U252" s="1263"/>
      <c r="V252" s="1263"/>
      <c r="W252" s="1263"/>
    </row>
    <row r="253">
      <c r="A253" s="1513"/>
      <c r="B253" s="1514"/>
      <c r="C253" s="1499"/>
      <c r="D253" s="1499"/>
      <c r="E253" s="1499"/>
      <c r="F253" s="1515"/>
      <c r="G253" s="1499"/>
      <c r="H253" s="1263"/>
      <c r="I253" s="1512"/>
      <c r="J253" s="1263"/>
      <c r="K253" s="1263"/>
      <c r="L253" s="1263"/>
      <c r="M253" s="1263"/>
      <c r="N253" s="1263"/>
      <c r="O253" s="1263"/>
      <c r="P253" s="1263"/>
      <c r="Q253" s="1263"/>
      <c r="R253" s="1263"/>
      <c r="S253" s="1263"/>
      <c r="T253" s="1263"/>
      <c r="U253" s="1263"/>
      <c r="V253" s="1263"/>
      <c r="W253" s="1263"/>
    </row>
    <row r="254">
      <c r="A254" s="1513"/>
      <c r="B254" s="1514"/>
      <c r="C254" s="1499"/>
      <c r="D254" s="1499"/>
      <c r="E254" s="1499"/>
      <c r="F254" s="1515"/>
      <c r="G254" s="1499"/>
      <c r="H254" s="1263"/>
      <c r="I254" s="1512"/>
      <c r="J254" s="1263"/>
      <c r="K254" s="1263"/>
      <c r="L254" s="1263"/>
      <c r="M254" s="1263"/>
      <c r="N254" s="1263"/>
      <c r="O254" s="1263"/>
      <c r="P254" s="1263"/>
      <c r="Q254" s="1263"/>
      <c r="R254" s="1263"/>
      <c r="S254" s="1263"/>
      <c r="T254" s="1263"/>
      <c r="U254" s="1263"/>
      <c r="V254" s="1263"/>
      <c r="W254" s="1263"/>
    </row>
    <row r="255">
      <c r="A255" s="1513"/>
      <c r="B255" s="1514"/>
      <c r="C255" s="1499"/>
      <c r="D255" s="1499"/>
      <c r="E255" s="1499"/>
      <c r="F255" s="1515"/>
      <c r="G255" s="1499"/>
      <c r="H255" s="1263"/>
      <c r="I255" s="1512"/>
      <c r="J255" s="1263"/>
      <c r="K255" s="1263"/>
      <c r="L255" s="1263"/>
      <c r="M255" s="1263"/>
      <c r="N255" s="1263"/>
      <c r="O255" s="1263"/>
      <c r="P255" s="1263"/>
      <c r="Q255" s="1263"/>
      <c r="R255" s="1263"/>
      <c r="S255" s="1263"/>
      <c r="T255" s="1263"/>
      <c r="U255" s="1263"/>
      <c r="V255" s="1263"/>
      <c r="W255" s="1263"/>
    </row>
    <row r="256">
      <c r="A256" s="1513"/>
      <c r="B256" s="1514"/>
      <c r="C256" s="1499"/>
      <c r="D256" s="1499"/>
      <c r="E256" s="1499"/>
      <c r="F256" s="1515"/>
      <c r="G256" s="1499"/>
      <c r="H256" s="1263"/>
      <c r="I256" s="1512"/>
      <c r="J256" s="1263"/>
      <c r="K256" s="1263"/>
      <c r="L256" s="1263"/>
      <c r="M256" s="1263"/>
      <c r="N256" s="1263"/>
      <c r="O256" s="1263"/>
      <c r="P256" s="1263"/>
      <c r="Q256" s="1263"/>
      <c r="R256" s="1263"/>
      <c r="S256" s="1263"/>
      <c r="T256" s="1263"/>
      <c r="U256" s="1263"/>
      <c r="V256" s="1263"/>
      <c r="W256" s="1263"/>
    </row>
    <row r="257">
      <c r="A257" s="1513"/>
      <c r="B257" s="1514"/>
      <c r="C257" s="1499"/>
      <c r="D257" s="1499"/>
      <c r="E257" s="1499"/>
      <c r="F257" s="1515"/>
      <c r="G257" s="1499"/>
      <c r="H257" s="1263"/>
      <c r="I257" s="1512"/>
      <c r="J257" s="1263"/>
      <c r="K257" s="1263"/>
      <c r="L257" s="1263"/>
      <c r="M257" s="1263"/>
      <c r="N257" s="1263"/>
      <c r="O257" s="1263"/>
      <c r="P257" s="1263"/>
      <c r="Q257" s="1263"/>
      <c r="R257" s="1263"/>
      <c r="S257" s="1263"/>
      <c r="T257" s="1263"/>
      <c r="U257" s="1263"/>
      <c r="V257" s="1263"/>
      <c r="W257" s="1263"/>
    </row>
    <row r="258">
      <c r="A258" s="1513"/>
      <c r="B258" s="1514"/>
      <c r="C258" s="1499"/>
      <c r="D258" s="1499"/>
      <c r="E258" s="1499"/>
      <c r="F258" s="1515"/>
      <c r="G258" s="1499"/>
      <c r="H258" s="1263"/>
      <c r="I258" s="1512"/>
      <c r="J258" s="1263"/>
      <c r="K258" s="1263"/>
      <c r="L258" s="1263"/>
      <c r="M258" s="1263"/>
      <c r="N258" s="1263"/>
      <c r="O258" s="1263"/>
      <c r="P258" s="1263"/>
      <c r="Q258" s="1263"/>
      <c r="R258" s="1263"/>
      <c r="S258" s="1263"/>
      <c r="T258" s="1263"/>
      <c r="U258" s="1263"/>
      <c r="V258" s="1263"/>
      <c r="W258" s="1263"/>
    </row>
    <row r="259">
      <c r="A259" s="1513"/>
      <c r="B259" s="1514"/>
      <c r="C259" s="1499"/>
      <c r="D259" s="1499"/>
      <c r="E259" s="1499"/>
      <c r="F259" s="1515"/>
      <c r="G259" s="1499"/>
      <c r="H259" s="1263"/>
      <c r="I259" s="1512"/>
      <c r="J259" s="1263"/>
      <c r="K259" s="1263"/>
      <c r="L259" s="1263"/>
      <c r="M259" s="1263"/>
      <c r="N259" s="1263"/>
      <c r="O259" s="1263"/>
      <c r="P259" s="1263"/>
      <c r="Q259" s="1263"/>
      <c r="R259" s="1263"/>
      <c r="S259" s="1263"/>
      <c r="T259" s="1263"/>
      <c r="U259" s="1263"/>
      <c r="V259" s="1263"/>
      <c r="W259" s="1263"/>
    </row>
    <row r="260">
      <c r="A260" s="1513"/>
      <c r="B260" s="1514"/>
      <c r="C260" s="1499"/>
      <c r="D260" s="1499"/>
      <c r="E260" s="1499"/>
      <c r="F260" s="1515"/>
      <c r="G260" s="1499"/>
      <c r="H260" s="1263"/>
      <c r="I260" s="1512"/>
      <c r="J260" s="1263"/>
      <c r="K260" s="1263"/>
      <c r="L260" s="1263"/>
      <c r="M260" s="1263"/>
      <c r="N260" s="1263"/>
      <c r="O260" s="1263"/>
      <c r="P260" s="1263"/>
      <c r="Q260" s="1263"/>
      <c r="R260" s="1263"/>
      <c r="S260" s="1263"/>
      <c r="T260" s="1263"/>
      <c r="U260" s="1263"/>
      <c r="V260" s="1263"/>
      <c r="W260" s="1263"/>
    </row>
    <row r="261">
      <c r="A261" s="1513"/>
      <c r="B261" s="1514"/>
      <c r="C261" s="1499"/>
      <c r="D261" s="1499"/>
      <c r="E261" s="1499"/>
      <c r="F261" s="1515"/>
      <c r="G261" s="1499"/>
      <c r="H261" s="1263"/>
      <c r="I261" s="1512"/>
      <c r="J261" s="1263"/>
      <c r="K261" s="1263"/>
      <c r="L261" s="1263"/>
      <c r="M261" s="1263"/>
      <c r="N261" s="1263"/>
      <c r="O261" s="1263"/>
      <c r="P261" s="1263"/>
      <c r="Q261" s="1263"/>
      <c r="R261" s="1263"/>
      <c r="S261" s="1263"/>
      <c r="T261" s="1263"/>
      <c r="U261" s="1263"/>
      <c r="V261" s="1263"/>
      <c r="W261" s="1263"/>
    </row>
    <row r="262">
      <c r="A262" s="1513"/>
      <c r="B262" s="1514"/>
      <c r="C262" s="1499"/>
      <c r="D262" s="1499"/>
      <c r="E262" s="1499"/>
      <c r="F262" s="1515"/>
      <c r="G262" s="1499"/>
      <c r="H262" s="1263"/>
      <c r="I262" s="1512"/>
      <c r="J262" s="1263"/>
      <c r="K262" s="1263"/>
      <c r="L262" s="1263"/>
      <c r="M262" s="1263"/>
      <c r="N262" s="1263"/>
      <c r="O262" s="1263"/>
      <c r="P262" s="1263"/>
      <c r="Q262" s="1263"/>
      <c r="R262" s="1263"/>
      <c r="S262" s="1263"/>
      <c r="T262" s="1263"/>
      <c r="U262" s="1263"/>
      <c r="V262" s="1263"/>
      <c r="W262" s="1263"/>
    </row>
    <row r="263">
      <c r="A263" s="1513"/>
      <c r="B263" s="1514"/>
      <c r="C263" s="1499"/>
      <c r="D263" s="1499"/>
      <c r="E263" s="1499"/>
      <c r="F263" s="1515"/>
      <c r="G263" s="1499"/>
      <c r="H263" s="1263"/>
      <c r="I263" s="1512"/>
      <c r="J263" s="1263"/>
      <c r="K263" s="1263"/>
      <c r="L263" s="1263"/>
      <c r="M263" s="1263"/>
      <c r="N263" s="1263"/>
      <c r="O263" s="1263"/>
      <c r="P263" s="1263"/>
      <c r="Q263" s="1263"/>
      <c r="R263" s="1263"/>
      <c r="S263" s="1263"/>
      <c r="T263" s="1263"/>
      <c r="U263" s="1263"/>
      <c r="V263" s="1263"/>
      <c r="W263" s="1263"/>
    </row>
    <row r="264">
      <c r="A264" s="1513"/>
      <c r="B264" s="1514"/>
      <c r="C264" s="1499"/>
      <c r="D264" s="1499"/>
      <c r="E264" s="1499"/>
      <c r="F264" s="1515"/>
      <c r="G264" s="1499"/>
      <c r="H264" s="1263"/>
      <c r="I264" s="1512"/>
      <c r="J264" s="1263"/>
      <c r="K264" s="1263"/>
      <c r="L264" s="1263"/>
      <c r="M264" s="1263"/>
      <c r="N264" s="1263"/>
      <c r="O264" s="1263"/>
      <c r="P264" s="1263"/>
      <c r="Q264" s="1263"/>
      <c r="R264" s="1263"/>
      <c r="S264" s="1263"/>
      <c r="T264" s="1263"/>
      <c r="U264" s="1263"/>
      <c r="V264" s="1263"/>
      <c r="W264" s="1263"/>
    </row>
    <row r="265">
      <c r="A265" s="1513"/>
      <c r="B265" s="1514"/>
      <c r="C265" s="1499"/>
      <c r="D265" s="1499"/>
      <c r="E265" s="1499"/>
      <c r="F265" s="1515"/>
      <c r="G265" s="1499"/>
      <c r="H265" s="1263"/>
      <c r="I265" s="1512"/>
      <c r="J265" s="1263"/>
      <c r="K265" s="1263"/>
      <c r="L265" s="1263"/>
      <c r="M265" s="1263"/>
      <c r="N265" s="1263"/>
      <c r="O265" s="1263"/>
      <c r="P265" s="1263"/>
      <c r="Q265" s="1263"/>
      <c r="R265" s="1263"/>
      <c r="S265" s="1263"/>
      <c r="T265" s="1263"/>
      <c r="U265" s="1263"/>
      <c r="V265" s="1263"/>
      <c r="W265" s="1263"/>
    </row>
    <row r="266">
      <c r="A266" s="1513"/>
      <c r="B266" s="1514"/>
      <c r="C266" s="1499"/>
      <c r="D266" s="1499"/>
      <c r="E266" s="1499"/>
      <c r="F266" s="1515"/>
      <c r="G266" s="1499"/>
      <c r="H266" s="1263"/>
      <c r="I266" s="1512"/>
      <c r="J266" s="1263"/>
      <c r="K266" s="1263"/>
      <c r="L266" s="1263"/>
      <c r="M266" s="1263"/>
      <c r="N266" s="1263"/>
      <c r="O266" s="1263"/>
      <c r="P266" s="1263"/>
      <c r="Q266" s="1263"/>
      <c r="R266" s="1263"/>
      <c r="S266" s="1263"/>
      <c r="T266" s="1263"/>
      <c r="U266" s="1263"/>
      <c r="V266" s="1263"/>
      <c r="W266" s="1263"/>
    </row>
    <row r="267">
      <c r="A267" s="1513"/>
      <c r="B267" s="1514"/>
      <c r="C267" s="1499"/>
      <c r="D267" s="1499"/>
      <c r="E267" s="1499"/>
      <c r="F267" s="1515"/>
      <c r="G267" s="1499"/>
      <c r="H267" s="1263"/>
      <c r="I267" s="1512"/>
      <c r="J267" s="1263"/>
      <c r="K267" s="1263"/>
      <c r="L267" s="1263"/>
      <c r="M267" s="1263"/>
      <c r="N267" s="1263"/>
      <c r="O267" s="1263"/>
      <c r="P267" s="1263"/>
      <c r="Q267" s="1263"/>
      <c r="R267" s="1263"/>
      <c r="S267" s="1263"/>
      <c r="T267" s="1263"/>
      <c r="U267" s="1263"/>
      <c r="V267" s="1263"/>
      <c r="W267" s="1263"/>
    </row>
    <row r="268">
      <c r="A268" s="1513"/>
      <c r="B268" s="1514"/>
      <c r="C268" s="1499"/>
      <c r="D268" s="1499"/>
      <c r="E268" s="1499"/>
      <c r="F268" s="1515"/>
      <c r="G268" s="1499"/>
      <c r="H268" s="1263"/>
      <c r="I268" s="1512"/>
      <c r="J268" s="1263"/>
      <c r="K268" s="1263"/>
      <c r="L268" s="1263"/>
      <c r="M268" s="1263"/>
      <c r="N268" s="1263"/>
      <c r="O268" s="1263"/>
      <c r="P268" s="1263"/>
      <c r="Q268" s="1263"/>
      <c r="R268" s="1263"/>
      <c r="S268" s="1263"/>
      <c r="T268" s="1263"/>
      <c r="U268" s="1263"/>
      <c r="V268" s="1263"/>
      <c r="W268" s="1263"/>
    </row>
    <row r="269">
      <c r="A269" s="1513"/>
      <c r="B269" s="1514"/>
      <c r="C269" s="1499"/>
      <c r="D269" s="1499"/>
      <c r="E269" s="1499"/>
      <c r="F269" s="1515"/>
      <c r="G269" s="1499"/>
      <c r="H269" s="1263"/>
      <c r="I269" s="1512"/>
      <c r="J269" s="1263"/>
      <c r="K269" s="1263"/>
      <c r="L269" s="1263"/>
      <c r="M269" s="1263"/>
      <c r="N269" s="1263"/>
      <c r="O269" s="1263"/>
      <c r="P269" s="1263"/>
      <c r="Q269" s="1263"/>
      <c r="R269" s="1263"/>
      <c r="S269" s="1263"/>
      <c r="T269" s="1263"/>
      <c r="U269" s="1263"/>
      <c r="V269" s="1263"/>
      <c r="W269" s="1263"/>
    </row>
    <row r="270">
      <c r="A270" s="1513"/>
      <c r="B270" s="1514"/>
      <c r="C270" s="1499"/>
      <c r="D270" s="1499"/>
      <c r="E270" s="1499"/>
      <c r="F270" s="1515"/>
      <c r="G270" s="1499"/>
      <c r="H270" s="1263"/>
      <c r="I270" s="1512"/>
      <c r="J270" s="1263"/>
      <c r="K270" s="1263"/>
      <c r="L270" s="1263"/>
      <c r="M270" s="1263"/>
      <c r="N270" s="1263"/>
      <c r="O270" s="1263"/>
      <c r="P270" s="1263"/>
      <c r="Q270" s="1263"/>
      <c r="R270" s="1263"/>
      <c r="S270" s="1263"/>
      <c r="T270" s="1263"/>
      <c r="U270" s="1263"/>
      <c r="V270" s="1263"/>
      <c r="W270" s="1263"/>
    </row>
    <row r="271">
      <c r="A271" s="1513"/>
      <c r="B271" s="1514"/>
      <c r="C271" s="1499"/>
      <c r="D271" s="1499"/>
      <c r="E271" s="1499"/>
      <c r="F271" s="1515"/>
      <c r="G271" s="1499"/>
      <c r="H271" s="1263"/>
      <c r="I271" s="1512"/>
      <c r="J271" s="1263"/>
      <c r="K271" s="1263"/>
      <c r="L271" s="1263"/>
      <c r="M271" s="1263"/>
      <c r="N271" s="1263"/>
      <c r="O271" s="1263"/>
      <c r="P271" s="1263"/>
      <c r="Q271" s="1263"/>
      <c r="R271" s="1263"/>
      <c r="S271" s="1263"/>
      <c r="T271" s="1263"/>
      <c r="U271" s="1263"/>
      <c r="V271" s="1263"/>
      <c r="W271" s="1263"/>
    </row>
    <row r="272">
      <c r="A272" s="1513"/>
      <c r="B272" s="1514"/>
      <c r="C272" s="1499"/>
      <c r="D272" s="1499"/>
      <c r="E272" s="1499"/>
      <c r="F272" s="1515"/>
      <c r="G272" s="1499"/>
      <c r="H272" s="1263"/>
      <c r="I272" s="1512"/>
      <c r="J272" s="1263"/>
      <c r="K272" s="1263"/>
      <c r="L272" s="1263"/>
      <c r="M272" s="1263"/>
      <c r="N272" s="1263"/>
      <c r="O272" s="1263"/>
      <c r="P272" s="1263"/>
      <c r="Q272" s="1263"/>
      <c r="R272" s="1263"/>
      <c r="S272" s="1263"/>
      <c r="T272" s="1263"/>
      <c r="U272" s="1263"/>
      <c r="V272" s="1263"/>
      <c r="W272" s="1263"/>
    </row>
    <row r="273">
      <c r="A273" s="1513"/>
      <c r="B273" s="1514"/>
      <c r="C273" s="1499"/>
      <c r="D273" s="1499"/>
      <c r="E273" s="1499"/>
      <c r="F273" s="1515"/>
      <c r="G273" s="1499"/>
      <c r="H273" s="1263"/>
      <c r="I273" s="1512"/>
      <c r="J273" s="1263"/>
      <c r="K273" s="1263"/>
      <c r="L273" s="1263"/>
      <c r="M273" s="1263"/>
      <c r="N273" s="1263"/>
      <c r="O273" s="1263"/>
      <c r="P273" s="1263"/>
      <c r="Q273" s="1263"/>
      <c r="R273" s="1263"/>
      <c r="S273" s="1263"/>
      <c r="T273" s="1263"/>
      <c r="U273" s="1263"/>
      <c r="V273" s="1263"/>
      <c r="W273" s="1263"/>
    </row>
    <row r="274">
      <c r="A274" s="1513"/>
      <c r="B274" s="1514"/>
      <c r="C274" s="1499"/>
      <c r="D274" s="1499"/>
      <c r="E274" s="1499"/>
      <c r="F274" s="1515"/>
      <c r="G274" s="1499"/>
      <c r="H274" s="1263"/>
      <c r="I274" s="1512"/>
      <c r="J274" s="1263"/>
      <c r="K274" s="1263"/>
      <c r="L274" s="1263"/>
      <c r="M274" s="1263"/>
      <c r="N274" s="1263"/>
      <c r="O274" s="1263"/>
      <c r="P274" s="1263"/>
      <c r="Q274" s="1263"/>
      <c r="R274" s="1263"/>
      <c r="S274" s="1263"/>
      <c r="T274" s="1263"/>
      <c r="U274" s="1263"/>
      <c r="V274" s="1263"/>
      <c r="W274" s="1263"/>
    </row>
    <row r="275">
      <c r="A275" s="1513"/>
      <c r="B275" s="1514"/>
      <c r="C275" s="1499"/>
      <c r="D275" s="1499"/>
      <c r="E275" s="1499"/>
      <c r="F275" s="1515"/>
      <c r="G275" s="1499"/>
      <c r="H275" s="1263"/>
      <c r="I275" s="1512"/>
      <c r="J275" s="1263"/>
      <c r="K275" s="1263"/>
      <c r="L275" s="1263"/>
      <c r="M275" s="1263"/>
      <c r="N275" s="1263"/>
      <c r="O275" s="1263"/>
      <c r="P275" s="1263"/>
      <c r="Q275" s="1263"/>
      <c r="R275" s="1263"/>
      <c r="S275" s="1263"/>
      <c r="T275" s="1263"/>
      <c r="U275" s="1263"/>
      <c r="V275" s="1263"/>
      <c r="W275" s="1263"/>
    </row>
    <row r="276">
      <c r="A276" s="1513"/>
      <c r="B276" s="1514"/>
      <c r="C276" s="1499"/>
      <c r="D276" s="1499"/>
      <c r="E276" s="1499"/>
      <c r="F276" s="1515"/>
      <c r="G276" s="1499"/>
      <c r="H276" s="1263"/>
      <c r="I276" s="1512"/>
      <c r="J276" s="1263"/>
      <c r="K276" s="1263"/>
      <c r="L276" s="1263"/>
      <c r="M276" s="1263"/>
      <c r="N276" s="1263"/>
      <c r="O276" s="1263"/>
      <c r="P276" s="1263"/>
      <c r="Q276" s="1263"/>
      <c r="R276" s="1263"/>
      <c r="S276" s="1263"/>
      <c r="T276" s="1263"/>
      <c r="U276" s="1263"/>
      <c r="V276" s="1263"/>
      <c r="W276" s="1263"/>
    </row>
    <row r="277">
      <c r="A277" s="1513"/>
      <c r="B277" s="1514"/>
      <c r="C277" s="1499"/>
      <c r="D277" s="1499"/>
      <c r="E277" s="1499"/>
      <c r="F277" s="1515"/>
      <c r="G277" s="1499"/>
      <c r="H277" s="1263"/>
      <c r="I277" s="1512"/>
      <c r="J277" s="1263"/>
      <c r="K277" s="1263"/>
      <c r="L277" s="1263"/>
      <c r="M277" s="1263"/>
      <c r="N277" s="1263"/>
      <c r="O277" s="1263"/>
      <c r="P277" s="1263"/>
      <c r="Q277" s="1263"/>
      <c r="R277" s="1263"/>
      <c r="S277" s="1263"/>
      <c r="T277" s="1263"/>
      <c r="U277" s="1263"/>
      <c r="V277" s="1263"/>
      <c r="W277" s="1263"/>
    </row>
    <row r="278">
      <c r="A278" s="1513"/>
      <c r="B278" s="1514"/>
      <c r="C278" s="1499"/>
      <c r="D278" s="1499"/>
      <c r="E278" s="1499"/>
      <c r="F278" s="1515"/>
      <c r="G278" s="1499"/>
      <c r="H278" s="1263"/>
      <c r="I278" s="1512"/>
      <c r="J278" s="1263"/>
      <c r="K278" s="1263"/>
      <c r="L278" s="1263"/>
      <c r="M278" s="1263"/>
      <c r="N278" s="1263"/>
      <c r="O278" s="1263"/>
      <c r="P278" s="1263"/>
      <c r="Q278" s="1263"/>
      <c r="R278" s="1263"/>
      <c r="S278" s="1263"/>
      <c r="T278" s="1263"/>
      <c r="U278" s="1263"/>
      <c r="V278" s="1263"/>
      <c r="W278" s="1263"/>
    </row>
    <row r="279">
      <c r="A279" s="1513"/>
      <c r="B279" s="1514"/>
      <c r="C279" s="1499"/>
      <c r="D279" s="1499"/>
      <c r="E279" s="1499"/>
      <c r="F279" s="1515"/>
      <c r="G279" s="1499"/>
      <c r="H279" s="1263"/>
      <c r="I279" s="1512"/>
      <c r="J279" s="1263"/>
      <c r="K279" s="1263"/>
      <c r="L279" s="1263"/>
      <c r="M279" s="1263"/>
      <c r="N279" s="1263"/>
      <c r="O279" s="1263"/>
      <c r="P279" s="1263"/>
      <c r="Q279" s="1263"/>
      <c r="R279" s="1263"/>
      <c r="S279" s="1263"/>
      <c r="T279" s="1263"/>
      <c r="U279" s="1263"/>
      <c r="V279" s="1263"/>
      <c r="W279" s="1263"/>
    </row>
    <row r="280">
      <c r="A280" s="1513"/>
      <c r="B280" s="1514"/>
      <c r="C280" s="1499"/>
      <c r="D280" s="1499"/>
      <c r="E280" s="1499"/>
      <c r="F280" s="1515"/>
      <c r="G280" s="1499"/>
      <c r="H280" s="1263"/>
      <c r="I280" s="1512"/>
      <c r="J280" s="1263"/>
      <c r="K280" s="1263"/>
      <c r="L280" s="1263"/>
      <c r="M280" s="1263"/>
      <c r="N280" s="1263"/>
      <c r="O280" s="1263"/>
      <c r="P280" s="1263"/>
      <c r="Q280" s="1263"/>
      <c r="R280" s="1263"/>
      <c r="S280" s="1263"/>
      <c r="T280" s="1263"/>
      <c r="U280" s="1263"/>
      <c r="V280" s="1263"/>
      <c r="W280" s="1263"/>
    </row>
    <row r="281">
      <c r="A281" s="1513"/>
      <c r="B281" s="1514"/>
      <c r="C281" s="1499"/>
      <c r="D281" s="1499"/>
      <c r="E281" s="1499"/>
      <c r="F281" s="1515"/>
      <c r="G281" s="1499"/>
      <c r="H281" s="1263"/>
      <c r="I281" s="1512"/>
      <c r="J281" s="1263"/>
      <c r="K281" s="1263"/>
      <c r="L281" s="1263"/>
      <c r="M281" s="1263"/>
      <c r="N281" s="1263"/>
      <c r="O281" s="1263"/>
      <c r="P281" s="1263"/>
      <c r="Q281" s="1263"/>
      <c r="R281" s="1263"/>
      <c r="S281" s="1263"/>
      <c r="T281" s="1263"/>
      <c r="U281" s="1263"/>
      <c r="V281" s="1263"/>
      <c r="W281" s="1263"/>
    </row>
    <row r="282">
      <c r="A282" s="1513"/>
      <c r="B282" s="1514"/>
      <c r="C282" s="1499"/>
      <c r="D282" s="1499"/>
      <c r="E282" s="1499"/>
      <c r="F282" s="1515"/>
      <c r="G282" s="1499"/>
      <c r="H282" s="1263"/>
      <c r="I282" s="1512"/>
      <c r="J282" s="1263"/>
      <c r="K282" s="1263"/>
      <c r="L282" s="1263"/>
      <c r="M282" s="1263"/>
      <c r="N282" s="1263"/>
      <c r="O282" s="1263"/>
      <c r="P282" s="1263"/>
      <c r="Q282" s="1263"/>
      <c r="R282" s="1263"/>
      <c r="S282" s="1263"/>
      <c r="T282" s="1263"/>
      <c r="U282" s="1263"/>
      <c r="V282" s="1263"/>
      <c r="W282" s="1263"/>
    </row>
    <row r="283">
      <c r="A283" s="1513"/>
      <c r="B283" s="1514"/>
      <c r="C283" s="1499"/>
      <c r="D283" s="1499"/>
      <c r="E283" s="1499"/>
      <c r="F283" s="1515"/>
      <c r="G283" s="1499"/>
      <c r="H283" s="1263"/>
      <c r="I283" s="1512"/>
      <c r="J283" s="1263"/>
      <c r="K283" s="1263"/>
      <c r="L283" s="1263"/>
      <c r="M283" s="1263"/>
      <c r="N283" s="1263"/>
      <c r="O283" s="1263"/>
      <c r="P283" s="1263"/>
      <c r="Q283" s="1263"/>
      <c r="R283" s="1263"/>
      <c r="S283" s="1263"/>
      <c r="T283" s="1263"/>
      <c r="U283" s="1263"/>
      <c r="V283" s="1263"/>
      <c r="W283" s="1263"/>
    </row>
    <row r="284">
      <c r="A284" s="1513"/>
      <c r="B284" s="1514"/>
      <c r="C284" s="1499"/>
      <c r="D284" s="1499"/>
      <c r="E284" s="1499"/>
      <c r="F284" s="1515"/>
      <c r="G284" s="1499"/>
      <c r="H284" s="1263"/>
      <c r="I284" s="1512"/>
      <c r="J284" s="1263"/>
      <c r="K284" s="1263"/>
      <c r="L284" s="1263"/>
      <c r="M284" s="1263"/>
      <c r="N284" s="1263"/>
      <c r="O284" s="1263"/>
      <c r="P284" s="1263"/>
      <c r="Q284" s="1263"/>
      <c r="R284" s="1263"/>
      <c r="S284" s="1263"/>
      <c r="T284" s="1263"/>
      <c r="U284" s="1263"/>
      <c r="V284" s="1263"/>
      <c r="W284" s="1263"/>
    </row>
    <row r="285">
      <c r="A285" s="1513"/>
      <c r="B285" s="1514"/>
      <c r="C285" s="1499"/>
      <c r="D285" s="1499"/>
      <c r="E285" s="1499"/>
      <c r="F285" s="1515"/>
      <c r="G285" s="1499"/>
      <c r="H285" s="1263"/>
      <c r="I285" s="1512"/>
      <c r="J285" s="1263"/>
      <c r="K285" s="1263"/>
      <c r="L285" s="1263"/>
      <c r="M285" s="1263"/>
      <c r="N285" s="1263"/>
      <c r="O285" s="1263"/>
      <c r="P285" s="1263"/>
      <c r="Q285" s="1263"/>
      <c r="R285" s="1263"/>
      <c r="S285" s="1263"/>
      <c r="T285" s="1263"/>
      <c r="U285" s="1263"/>
      <c r="V285" s="1263"/>
      <c r="W285" s="1263"/>
    </row>
    <row r="286">
      <c r="A286" s="1513"/>
      <c r="B286" s="1514"/>
      <c r="C286" s="1499"/>
      <c r="D286" s="1499"/>
      <c r="E286" s="1499"/>
      <c r="F286" s="1515"/>
      <c r="G286" s="1499"/>
      <c r="H286" s="1263"/>
      <c r="I286" s="1512"/>
      <c r="J286" s="1263"/>
      <c r="K286" s="1263"/>
      <c r="L286" s="1263"/>
      <c r="M286" s="1263"/>
      <c r="N286" s="1263"/>
      <c r="O286" s="1263"/>
      <c r="P286" s="1263"/>
      <c r="Q286" s="1263"/>
      <c r="R286" s="1263"/>
      <c r="S286" s="1263"/>
      <c r="T286" s="1263"/>
      <c r="U286" s="1263"/>
      <c r="V286" s="1263"/>
      <c r="W286" s="1263"/>
    </row>
    <row r="287">
      <c r="A287" s="1513"/>
      <c r="B287" s="1514"/>
      <c r="C287" s="1499"/>
      <c r="D287" s="1499"/>
      <c r="E287" s="1499"/>
      <c r="F287" s="1515"/>
      <c r="G287" s="1499"/>
      <c r="H287" s="1263"/>
      <c r="I287" s="1512"/>
      <c r="J287" s="1263"/>
      <c r="K287" s="1263"/>
      <c r="L287" s="1263"/>
      <c r="M287" s="1263"/>
      <c r="N287" s="1263"/>
      <c r="O287" s="1263"/>
      <c r="P287" s="1263"/>
      <c r="Q287" s="1263"/>
      <c r="R287" s="1263"/>
      <c r="S287" s="1263"/>
      <c r="T287" s="1263"/>
      <c r="U287" s="1263"/>
      <c r="V287" s="1263"/>
      <c r="W287" s="1263"/>
    </row>
    <row r="288">
      <c r="A288" s="1513"/>
      <c r="B288" s="1514"/>
      <c r="C288" s="1499"/>
      <c r="D288" s="1499"/>
      <c r="E288" s="1499"/>
      <c r="F288" s="1515"/>
      <c r="G288" s="1499"/>
      <c r="H288" s="1263"/>
      <c r="I288" s="1512"/>
      <c r="J288" s="1263"/>
      <c r="K288" s="1263"/>
      <c r="L288" s="1263"/>
      <c r="M288" s="1263"/>
      <c r="N288" s="1263"/>
      <c r="O288" s="1263"/>
      <c r="P288" s="1263"/>
      <c r="Q288" s="1263"/>
      <c r="R288" s="1263"/>
      <c r="S288" s="1263"/>
      <c r="T288" s="1263"/>
      <c r="U288" s="1263"/>
      <c r="V288" s="1263"/>
      <c r="W288" s="1263"/>
    </row>
    <row r="289">
      <c r="A289" s="1513"/>
      <c r="B289" s="1514"/>
      <c r="C289" s="1499"/>
      <c r="D289" s="1499"/>
      <c r="E289" s="1499"/>
      <c r="F289" s="1515"/>
      <c r="G289" s="1499"/>
      <c r="H289" s="1263"/>
      <c r="I289" s="1512"/>
      <c r="J289" s="1263"/>
      <c r="K289" s="1263"/>
      <c r="L289" s="1263"/>
      <c r="M289" s="1263"/>
      <c r="N289" s="1263"/>
      <c r="O289" s="1263"/>
      <c r="P289" s="1263"/>
      <c r="Q289" s="1263"/>
      <c r="R289" s="1263"/>
      <c r="S289" s="1263"/>
      <c r="T289" s="1263"/>
      <c r="U289" s="1263"/>
      <c r="V289" s="1263"/>
      <c r="W289" s="1263"/>
    </row>
    <row r="290">
      <c r="A290" s="1513"/>
      <c r="B290" s="1514"/>
      <c r="C290" s="1499"/>
      <c r="D290" s="1499"/>
      <c r="E290" s="1499"/>
      <c r="F290" s="1515"/>
      <c r="G290" s="1499"/>
      <c r="H290" s="1263"/>
      <c r="I290" s="1512"/>
      <c r="J290" s="1263"/>
      <c r="K290" s="1263"/>
      <c r="L290" s="1263"/>
      <c r="M290" s="1263"/>
      <c r="N290" s="1263"/>
      <c r="O290" s="1263"/>
      <c r="P290" s="1263"/>
      <c r="Q290" s="1263"/>
      <c r="R290" s="1263"/>
      <c r="S290" s="1263"/>
      <c r="T290" s="1263"/>
      <c r="U290" s="1263"/>
      <c r="V290" s="1263"/>
      <c r="W290" s="1263"/>
    </row>
    <row r="291">
      <c r="A291" s="1513"/>
      <c r="B291" s="1514"/>
      <c r="C291" s="1499"/>
      <c r="D291" s="1499"/>
      <c r="E291" s="1499"/>
      <c r="F291" s="1515"/>
      <c r="G291" s="1499"/>
      <c r="H291" s="1263"/>
      <c r="I291" s="1512"/>
      <c r="J291" s="1263"/>
      <c r="K291" s="1263"/>
      <c r="L291" s="1263"/>
      <c r="M291" s="1263"/>
      <c r="N291" s="1263"/>
      <c r="O291" s="1263"/>
      <c r="P291" s="1263"/>
      <c r="Q291" s="1263"/>
      <c r="R291" s="1263"/>
      <c r="S291" s="1263"/>
      <c r="T291" s="1263"/>
      <c r="U291" s="1263"/>
      <c r="V291" s="1263"/>
      <c r="W291" s="1263"/>
    </row>
    <row r="292">
      <c r="A292" s="1513"/>
      <c r="B292" s="1514"/>
      <c r="C292" s="1499"/>
      <c r="D292" s="1499"/>
      <c r="E292" s="1499"/>
      <c r="F292" s="1515"/>
      <c r="G292" s="1499"/>
      <c r="H292" s="1263"/>
      <c r="I292" s="1512"/>
      <c r="J292" s="1263"/>
      <c r="K292" s="1263"/>
      <c r="L292" s="1263"/>
      <c r="M292" s="1263"/>
      <c r="N292" s="1263"/>
      <c r="O292" s="1263"/>
      <c r="P292" s="1263"/>
      <c r="Q292" s="1263"/>
      <c r="R292" s="1263"/>
      <c r="S292" s="1263"/>
      <c r="T292" s="1263"/>
      <c r="U292" s="1263"/>
      <c r="V292" s="1263"/>
      <c r="W292" s="1263"/>
    </row>
    <row r="293">
      <c r="A293" s="1513"/>
      <c r="B293" s="1514"/>
      <c r="C293" s="1499"/>
      <c r="D293" s="1499"/>
      <c r="E293" s="1499"/>
      <c r="F293" s="1515"/>
      <c r="G293" s="1499"/>
      <c r="H293" s="1263"/>
      <c r="I293" s="1512"/>
      <c r="J293" s="1263"/>
      <c r="K293" s="1263"/>
      <c r="L293" s="1263"/>
      <c r="M293" s="1263"/>
      <c r="N293" s="1263"/>
      <c r="O293" s="1263"/>
      <c r="P293" s="1263"/>
      <c r="Q293" s="1263"/>
      <c r="R293" s="1263"/>
      <c r="S293" s="1263"/>
      <c r="T293" s="1263"/>
      <c r="U293" s="1263"/>
      <c r="V293" s="1263"/>
      <c r="W293" s="1263"/>
    </row>
    <row r="294">
      <c r="A294" s="1513"/>
      <c r="B294" s="1514"/>
      <c r="C294" s="1499"/>
      <c r="D294" s="1499"/>
      <c r="E294" s="1499"/>
      <c r="F294" s="1515"/>
      <c r="G294" s="1499"/>
      <c r="H294" s="1263"/>
      <c r="I294" s="1512"/>
      <c r="J294" s="1263"/>
      <c r="K294" s="1263"/>
      <c r="L294" s="1263"/>
      <c r="M294" s="1263"/>
      <c r="N294" s="1263"/>
      <c r="O294" s="1263"/>
      <c r="P294" s="1263"/>
      <c r="Q294" s="1263"/>
      <c r="R294" s="1263"/>
      <c r="S294" s="1263"/>
      <c r="T294" s="1263"/>
      <c r="U294" s="1263"/>
      <c r="V294" s="1263"/>
      <c r="W294" s="1263"/>
    </row>
    <row r="295">
      <c r="A295" s="1513"/>
      <c r="B295" s="1514"/>
      <c r="C295" s="1499"/>
      <c r="D295" s="1499"/>
      <c r="E295" s="1499"/>
      <c r="F295" s="1515"/>
      <c r="G295" s="1499"/>
      <c r="H295" s="1263"/>
      <c r="I295" s="1512"/>
      <c r="J295" s="1263"/>
      <c r="K295" s="1263"/>
      <c r="L295" s="1263"/>
      <c r="M295" s="1263"/>
      <c r="N295" s="1263"/>
      <c r="O295" s="1263"/>
      <c r="P295" s="1263"/>
      <c r="Q295" s="1263"/>
      <c r="R295" s="1263"/>
      <c r="S295" s="1263"/>
      <c r="T295" s="1263"/>
      <c r="U295" s="1263"/>
      <c r="V295" s="1263"/>
      <c r="W295" s="1263"/>
    </row>
    <row r="296">
      <c r="A296" s="1513"/>
      <c r="B296" s="1514"/>
      <c r="C296" s="1499"/>
      <c r="D296" s="1499"/>
      <c r="E296" s="1499"/>
      <c r="F296" s="1515"/>
      <c r="G296" s="1499"/>
      <c r="H296" s="1263"/>
      <c r="I296" s="1512"/>
      <c r="J296" s="1263"/>
      <c r="K296" s="1263"/>
      <c r="L296" s="1263"/>
      <c r="M296" s="1263"/>
      <c r="N296" s="1263"/>
      <c r="O296" s="1263"/>
      <c r="P296" s="1263"/>
      <c r="Q296" s="1263"/>
      <c r="R296" s="1263"/>
      <c r="S296" s="1263"/>
      <c r="T296" s="1263"/>
      <c r="U296" s="1263"/>
      <c r="V296" s="1263"/>
      <c r="W296" s="1263"/>
    </row>
    <row r="297">
      <c r="A297" s="1513"/>
      <c r="B297" s="1514"/>
      <c r="C297" s="1499"/>
      <c r="D297" s="1499"/>
      <c r="E297" s="1499"/>
      <c r="F297" s="1515"/>
      <c r="G297" s="1499"/>
      <c r="H297" s="1263"/>
      <c r="I297" s="1512"/>
      <c r="J297" s="1263"/>
      <c r="K297" s="1263"/>
      <c r="L297" s="1263"/>
      <c r="M297" s="1263"/>
      <c r="N297" s="1263"/>
      <c r="O297" s="1263"/>
      <c r="P297" s="1263"/>
      <c r="Q297" s="1263"/>
      <c r="R297" s="1263"/>
      <c r="S297" s="1263"/>
      <c r="T297" s="1263"/>
      <c r="U297" s="1263"/>
      <c r="V297" s="1263"/>
      <c r="W297" s="1263"/>
    </row>
    <row r="298">
      <c r="A298" s="1513"/>
      <c r="B298" s="1514"/>
      <c r="C298" s="1499"/>
      <c r="D298" s="1499"/>
      <c r="E298" s="1499"/>
      <c r="F298" s="1515"/>
      <c r="G298" s="1499"/>
      <c r="H298" s="1263"/>
      <c r="I298" s="1512"/>
      <c r="J298" s="1263"/>
      <c r="K298" s="1263"/>
      <c r="L298" s="1263"/>
      <c r="M298" s="1263"/>
      <c r="N298" s="1263"/>
      <c r="O298" s="1263"/>
      <c r="P298" s="1263"/>
      <c r="Q298" s="1263"/>
      <c r="R298" s="1263"/>
      <c r="S298" s="1263"/>
      <c r="T298" s="1263"/>
      <c r="U298" s="1263"/>
      <c r="V298" s="1263"/>
      <c r="W298" s="1263"/>
    </row>
    <row r="299">
      <c r="A299" s="1513"/>
      <c r="B299" s="1514"/>
      <c r="C299" s="1499"/>
      <c r="D299" s="1499"/>
      <c r="E299" s="1499"/>
      <c r="F299" s="1515"/>
      <c r="G299" s="1499"/>
      <c r="H299" s="1263"/>
      <c r="I299" s="1512"/>
      <c r="J299" s="1263"/>
      <c r="K299" s="1263"/>
      <c r="L299" s="1263"/>
      <c r="M299" s="1263"/>
      <c r="N299" s="1263"/>
      <c r="O299" s="1263"/>
      <c r="P299" s="1263"/>
      <c r="Q299" s="1263"/>
      <c r="R299" s="1263"/>
      <c r="S299" s="1263"/>
      <c r="T299" s="1263"/>
      <c r="U299" s="1263"/>
      <c r="V299" s="1263"/>
      <c r="W299" s="1263"/>
    </row>
    <row r="300">
      <c r="A300" s="1513"/>
      <c r="B300" s="1514"/>
      <c r="C300" s="1499"/>
      <c r="D300" s="1499"/>
      <c r="E300" s="1499"/>
      <c r="F300" s="1515"/>
      <c r="G300" s="1499"/>
      <c r="H300" s="1263"/>
      <c r="I300" s="1512"/>
      <c r="J300" s="1263"/>
      <c r="K300" s="1263"/>
      <c r="L300" s="1263"/>
      <c r="M300" s="1263"/>
      <c r="N300" s="1263"/>
      <c r="O300" s="1263"/>
      <c r="P300" s="1263"/>
      <c r="Q300" s="1263"/>
      <c r="R300" s="1263"/>
      <c r="S300" s="1263"/>
      <c r="T300" s="1263"/>
      <c r="U300" s="1263"/>
      <c r="V300" s="1263"/>
      <c r="W300" s="1263"/>
    </row>
    <row r="301">
      <c r="A301" s="1513"/>
      <c r="B301" s="1514"/>
      <c r="C301" s="1499"/>
      <c r="D301" s="1499"/>
      <c r="E301" s="1499"/>
      <c r="F301" s="1515"/>
      <c r="G301" s="1499"/>
      <c r="H301" s="1263"/>
      <c r="I301" s="1512"/>
      <c r="J301" s="1263"/>
      <c r="K301" s="1263"/>
      <c r="L301" s="1263"/>
      <c r="M301" s="1263"/>
      <c r="N301" s="1263"/>
      <c r="O301" s="1263"/>
      <c r="P301" s="1263"/>
      <c r="Q301" s="1263"/>
      <c r="R301" s="1263"/>
      <c r="S301" s="1263"/>
      <c r="T301" s="1263"/>
      <c r="U301" s="1263"/>
      <c r="V301" s="1263"/>
      <c r="W301" s="1263"/>
    </row>
    <row r="302">
      <c r="A302" s="1513"/>
      <c r="B302" s="1514"/>
      <c r="C302" s="1499"/>
      <c r="D302" s="1499"/>
      <c r="E302" s="1499"/>
      <c r="F302" s="1515"/>
      <c r="G302" s="1499"/>
      <c r="H302" s="1263"/>
      <c r="I302" s="1512"/>
      <c r="J302" s="1263"/>
      <c r="K302" s="1263"/>
      <c r="L302" s="1263"/>
      <c r="M302" s="1263"/>
      <c r="N302" s="1263"/>
      <c r="O302" s="1263"/>
      <c r="P302" s="1263"/>
      <c r="Q302" s="1263"/>
      <c r="R302" s="1263"/>
      <c r="S302" s="1263"/>
      <c r="T302" s="1263"/>
      <c r="U302" s="1263"/>
      <c r="V302" s="1263"/>
      <c r="W302" s="1263"/>
    </row>
    <row r="303">
      <c r="A303" s="1513"/>
      <c r="B303" s="1514"/>
      <c r="C303" s="1499"/>
      <c r="D303" s="1499"/>
      <c r="E303" s="1499"/>
      <c r="F303" s="1515"/>
      <c r="G303" s="1499"/>
      <c r="H303" s="1263"/>
      <c r="I303" s="1512"/>
      <c r="J303" s="1263"/>
      <c r="K303" s="1263"/>
      <c r="L303" s="1263"/>
      <c r="M303" s="1263"/>
      <c r="N303" s="1263"/>
      <c r="O303" s="1263"/>
      <c r="P303" s="1263"/>
      <c r="Q303" s="1263"/>
      <c r="R303" s="1263"/>
      <c r="S303" s="1263"/>
      <c r="T303" s="1263"/>
      <c r="U303" s="1263"/>
      <c r="V303" s="1263"/>
      <c r="W303" s="1263"/>
    </row>
    <row r="304">
      <c r="A304" s="1513"/>
      <c r="B304" s="1514"/>
      <c r="C304" s="1499"/>
      <c r="D304" s="1499"/>
      <c r="E304" s="1499"/>
      <c r="F304" s="1515"/>
      <c r="G304" s="1499"/>
      <c r="H304" s="1263"/>
      <c r="I304" s="1512"/>
      <c r="J304" s="1263"/>
      <c r="K304" s="1263"/>
      <c r="L304" s="1263"/>
      <c r="M304" s="1263"/>
      <c r="N304" s="1263"/>
      <c r="O304" s="1263"/>
      <c r="P304" s="1263"/>
      <c r="Q304" s="1263"/>
      <c r="R304" s="1263"/>
      <c r="S304" s="1263"/>
      <c r="T304" s="1263"/>
      <c r="U304" s="1263"/>
      <c r="V304" s="1263"/>
      <c r="W304" s="1263"/>
    </row>
    <row r="305">
      <c r="A305" s="1513"/>
      <c r="B305" s="1514"/>
      <c r="C305" s="1499"/>
      <c r="D305" s="1499"/>
      <c r="E305" s="1499"/>
      <c r="F305" s="1515"/>
      <c r="G305" s="1499"/>
      <c r="H305" s="1263"/>
      <c r="I305" s="1512"/>
      <c r="J305" s="1263"/>
      <c r="K305" s="1263"/>
      <c r="L305" s="1263"/>
      <c r="M305" s="1263"/>
      <c r="N305" s="1263"/>
      <c r="O305" s="1263"/>
      <c r="P305" s="1263"/>
      <c r="Q305" s="1263"/>
      <c r="R305" s="1263"/>
      <c r="S305" s="1263"/>
      <c r="T305" s="1263"/>
      <c r="U305" s="1263"/>
      <c r="V305" s="1263"/>
      <c r="W305" s="1263"/>
    </row>
    <row r="306">
      <c r="A306" s="1513"/>
      <c r="B306" s="1514"/>
      <c r="C306" s="1499"/>
      <c r="D306" s="1499"/>
      <c r="E306" s="1499"/>
      <c r="F306" s="1515"/>
      <c r="G306" s="1499"/>
      <c r="H306" s="1263"/>
      <c r="I306" s="1512"/>
      <c r="J306" s="1263"/>
      <c r="K306" s="1263"/>
      <c r="L306" s="1263"/>
      <c r="M306" s="1263"/>
      <c r="N306" s="1263"/>
      <c r="O306" s="1263"/>
      <c r="P306" s="1263"/>
      <c r="Q306" s="1263"/>
      <c r="R306" s="1263"/>
      <c r="S306" s="1263"/>
      <c r="T306" s="1263"/>
      <c r="U306" s="1263"/>
      <c r="V306" s="1263"/>
      <c r="W306" s="1263"/>
    </row>
    <row r="307">
      <c r="A307" s="1513"/>
      <c r="B307" s="1514"/>
      <c r="C307" s="1499"/>
      <c r="D307" s="1499"/>
      <c r="E307" s="1499"/>
      <c r="F307" s="1515"/>
      <c r="G307" s="1499"/>
      <c r="H307" s="1263"/>
      <c r="I307" s="1512"/>
      <c r="J307" s="1263"/>
      <c r="K307" s="1263"/>
      <c r="L307" s="1263"/>
      <c r="M307" s="1263"/>
      <c r="N307" s="1263"/>
      <c r="O307" s="1263"/>
      <c r="P307" s="1263"/>
      <c r="Q307" s="1263"/>
      <c r="R307" s="1263"/>
      <c r="S307" s="1263"/>
      <c r="T307" s="1263"/>
      <c r="U307" s="1263"/>
      <c r="V307" s="1263"/>
      <c r="W307" s="1263"/>
    </row>
    <row r="308">
      <c r="A308" s="1513"/>
      <c r="B308" s="1514"/>
      <c r="C308" s="1499"/>
      <c r="D308" s="1499"/>
      <c r="E308" s="1499"/>
      <c r="F308" s="1515"/>
      <c r="G308" s="1499"/>
      <c r="H308" s="1263"/>
      <c r="I308" s="1512"/>
      <c r="J308" s="1263"/>
      <c r="K308" s="1263"/>
      <c r="L308" s="1263"/>
      <c r="M308" s="1263"/>
      <c r="N308" s="1263"/>
      <c r="O308" s="1263"/>
      <c r="P308" s="1263"/>
      <c r="Q308" s="1263"/>
      <c r="R308" s="1263"/>
      <c r="S308" s="1263"/>
      <c r="T308" s="1263"/>
      <c r="U308" s="1263"/>
      <c r="V308" s="1263"/>
      <c r="W308" s="1263"/>
    </row>
    <row r="309">
      <c r="A309" s="1513"/>
      <c r="B309" s="1514"/>
      <c r="C309" s="1499"/>
      <c r="D309" s="1499"/>
      <c r="E309" s="1499"/>
      <c r="F309" s="1515"/>
      <c r="G309" s="1499"/>
      <c r="H309" s="1263"/>
      <c r="I309" s="1512"/>
      <c r="J309" s="1263"/>
      <c r="K309" s="1263"/>
      <c r="L309" s="1263"/>
      <c r="M309" s="1263"/>
      <c r="N309" s="1263"/>
      <c r="O309" s="1263"/>
      <c r="P309" s="1263"/>
      <c r="Q309" s="1263"/>
      <c r="R309" s="1263"/>
      <c r="S309" s="1263"/>
      <c r="T309" s="1263"/>
      <c r="U309" s="1263"/>
      <c r="V309" s="1263"/>
      <c r="W309" s="1263"/>
    </row>
    <row r="310">
      <c r="A310" s="1513"/>
      <c r="B310" s="1514"/>
      <c r="C310" s="1499"/>
      <c r="D310" s="1499"/>
      <c r="E310" s="1499"/>
      <c r="F310" s="1515"/>
      <c r="G310" s="1499"/>
      <c r="H310" s="1263"/>
      <c r="I310" s="1512"/>
      <c r="J310" s="1263"/>
      <c r="K310" s="1263"/>
      <c r="L310" s="1263"/>
      <c r="M310" s="1263"/>
      <c r="N310" s="1263"/>
      <c r="O310" s="1263"/>
      <c r="P310" s="1263"/>
      <c r="Q310" s="1263"/>
      <c r="R310" s="1263"/>
      <c r="S310" s="1263"/>
      <c r="T310" s="1263"/>
      <c r="U310" s="1263"/>
      <c r="V310" s="1263"/>
      <c r="W310" s="1263"/>
    </row>
    <row r="311">
      <c r="A311" s="1513"/>
      <c r="B311" s="1514"/>
      <c r="C311" s="1499"/>
      <c r="D311" s="1499"/>
      <c r="E311" s="1499"/>
      <c r="F311" s="1515"/>
      <c r="G311" s="1499"/>
      <c r="H311" s="1263"/>
      <c r="I311" s="1512"/>
      <c r="J311" s="1263"/>
      <c r="K311" s="1263"/>
      <c r="L311" s="1263"/>
      <c r="M311" s="1263"/>
      <c r="N311" s="1263"/>
      <c r="O311" s="1263"/>
      <c r="P311" s="1263"/>
      <c r="Q311" s="1263"/>
      <c r="R311" s="1263"/>
      <c r="S311" s="1263"/>
      <c r="T311" s="1263"/>
      <c r="U311" s="1263"/>
      <c r="V311" s="1263"/>
      <c r="W311" s="1263"/>
    </row>
    <row r="312">
      <c r="A312" s="1513"/>
      <c r="B312" s="1514"/>
      <c r="C312" s="1499"/>
      <c r="D312" s="1499"/>
      <c r="E312" s="1499"/>
      <c r="F312" s="1515"/>
      <c r="G312" s="1499"/>
      <c r="H312" s="1263"/>
      <c r="I312" s="1512"/>
      <c r="J312" s="1263"/>
      <c r="K312" s="1263"/>
      <c r="L312" s="1263"/>
      <c r="M312" s="1263"/>
      <c r="N312" s="1263"/>
      <c r="O312" s="1263"/>
      <c r="P312" s="1263"/>
      <c r="Q312" s="1263"/>
      <c r="R312" s="1263"/>
      <c r="S312" s="1263"/>
      <c r="T312" s="1263"/>
      <c r="U312" s="1263"/>
      <c r="V312" s="1263"/>
      <c r="W312" s="1263"/>
    </row>
    <row r="313">
      <c r="A313" s="1513"/>
      <c r="B313" s="1514"/>
      <c r="C313" s="1499"/>
      <c r="D313" s="1499"/>
      <c r="E313" s="1499"/>
      <c r="F313" s="1515"/>
      <c r="G313" s="1499"/>
      <c r="H313" s="1263"/>
      <c r="I313" s="1512"/>
      <c r="J313" s="1263"/>
      <c r="K313" s="1263"/>
      <c r="L313" s="1263"/>
      <c r="M313" s="1263"/>
      <c r="N313" s="1263"/>
      <c r="O313" s="1263"/>
      <c r="P313" s="1263"/>
      <c r="Q313" s="1263"/>
      <c r="R313" s="1263"/>
      <c r="S313" s="1263"/>
      <c r="T313" s="1263"/>
      <c r="U313" s="1263"/>
      <c r="V313" s="1263"/>
      <c r="W313" s="1263"/>
    </row>
    <row r="314">
      <c r="A314" s="1513"/>
      <c r="B314" s="1514"/>
      <c r="C314" s="1499"/>
      <c r="D314" s="1499"/>
      <c r="E314" s="1499"/>
      <c r="F314" s="1515"/>
      <c r="G314" s="1499"/>
      <c r="H314" s="1263"/>
      <c r="I314" s="1512"/>
      <c r="J314" s="1263"/>
      <c r="K314" s="1263"/>
      <c r="L314" s="1263"/>
      <c r="M314" s="1263"/>
      <c r="N314" s="1263"/>
      <c r="O314" s="1263"/>
      <c r="P314" s="1263"/>
      <c r="Q314" s="1263"/>
      <c r="R314" s="1263"/>
      <c r="S314" s="1263"/>
      <c r="T314" s="1263"/>
      <c r="U314" s="1263"/>
      <c r="V314" s="1263"/>
      <c r="W314" s="1263"/>
    </row>
    <row r="315">
      <c r="A315" s="1513"/>
      <c r="B315" s="1514"/>
      <c r="C315" s="1499"/>
      <c r="D315" s="1499"/>
      <c r="E315" s="1499"/>
      <c r="F315" s="1515"/>
      <c r="G315" s="1499"/>
      <c r="H315" s="1263"/>
      <c r="I315" s="1512"/>
      <c r="J315" s="1263"/>
      <c r="K315" s="1263"/>
      <c r="L315" s="1263"/>
      <c r="M315" s="1263"/>
      <c r="N315" s="1263"/>
      <c r="O315" s="1263"/>
      <c r="P315" s="1263"/>
      <c r="Q315" s="1263"/>
      <c r="R315" s="1263"/>
      <c r="S315" s="1263"/>
      <c r="T315" s="1263"/>
      <c r="U315" s="1263"/>
      <c r="V315" s="1263"/>
      <c r="W315" s="1263"/>
    </row>
    <row r="316">
      <c r="A316" s="1513"/>
      <c r="B316" s="1514"/>
      <c r="C316" s="1499"/>
      <c r="D316" s="1499"/>
      <c r="E316" s="1499"/>
      <c r="F316" s="1515"/>
      <c r="G316" s="1499"/>
      <c r="H316" s="1263"/>
      <c r="I316" s="1512"/>
      <c r="J316" s="1263"/>
      <c r="K316" s="1263"/>
      <c r="L316" s="1263"/>
      <c r="M316" s="1263"/>
      <c r="N316" s="1263"/>
      <c r="O316" s="1263"/>
      <c r="P316" s="1263"/>
      <c r="Q316" s="1263"/>
      <c r="R316" s="1263"/>
      <c r="S316" s="1263"/>
      <c r="T316" s="1263"/>
      <c r="U316" s="1263"/>
      <c r="V316" s="1263"/>
      <c r="W316" s="1263"/>
    </row>
    <row r="317">
      <c r="A317" s="1513"/>
      <c r="B317" s="1514"/>
      <c r="C317" s="1499"/>
      <c r="D317" s="1499"/>
      <c r="E317" s="1499"/>
      <c r="F317" s="1515"/>
      <c r="G317" s="1499"/>
      <c r="H317" s="1263"/>
      <c r="I317" s="1512"/>
      <c r="J317" s="1263"/>
      <c r="K317" s="1263"/>
      <c r="L317" s="1263"/>
      <c r="M317" s="1263"/>
      <c r="N317" s="1263"/>
      <c r="O317" s="1263"/>
      <c r="P317" s="1263"/>
      <c r="Q317" s="1263"/>
      <c r="R317" s="1263"/>
      <c r="S317" s="1263"/>
      <c r="T317" s="1263"/>
      <c r="U317" s="1263"/>
      <c r="V317" s="1263"/>
      <c r="W317" s="1263"/>
    </row>
    <row r="318">
      <c r="A318" s="1513"/>
      <c r="B318" s="1514"/>
      <c r="C318" s="1499"/>
      <c r="D318" s="1499"/>
      <c r="E318" s="1499"/>
      <c r="F318" s="1515"/>
      <c r="G318" s="1499"/>
      <c r="H318" s="1263"/>
      <c r="I318" s="1512"/>
      <c r="J318" s="1263"/>
      <c r="K318" s="1263"/>
      <c r="L318" s="1263"/>
      <c r="M318" s="1263"/>
      <c r="N318" s="1263"/>
      <c r="O318" s="1263"/>
      <c r="P318" s="1263"/>
      <c r="Q318" s="1263"/>
      <c r="R318" s="1263"/>
      <c r="S318" s="1263"/>
      <c r="T318" s="1263"/>
      <c r="U318" s="1263"/>
      <c r="V318" s="1263"/>
      <c r="W318" s="1263"/>
    </row>
    <row r="319">
      <c r="A319" s="1513"/>
      <c r="B319" s="1514"/>
      <c r="C319" s="1499"/>
      <c r="D319" s="1499"/>
      <c r="E319" s="1499"/>
      <c r="F319" s="1515"/>
      <c r="G319" s="1499"/>
      <c r="H319" s="1263"/>
      <c r="I319" s="1512"/>
      <c r="J319" s="1263"/>
      <c r="K319" s="1263"/>
      <c r="L319" s="1263"/>
      <c r="M319" s="1263"/>
      <c r="N319" s="1263"/>
      <c r="O319" s="1263"/>
      <c r="P319" s="1263"/>
      <c r="Q319" s="1263"/>
      <c r="R319" s="1263"/>
      <c r="S319" s="1263"/>
      <c r="T319" s="1263"/>
      <c r="U319" s="1263"/>
      <c r="V319" s="1263"/>
      <c r="W319" s="1263"/>
    </row>
    <row r="320">
      <c r="A320" s="1513"/>
      <c r="B320" s="1514"/>
      <c r="C320" s="1499"/>
      <c r="D320" s="1499"/>
      <c r="E320" s="1499"/>
      <c r="F320" s="1515"/>
      <c r="G320" s="1499"/>
      <c r="H320" s="1263"/>
      <c r="I320" s="1512"/>
      <c r="J320" s="1263"/>
      <c r="K320" s="1263"/>
      <c r="L320" s="1263"/>
      <c r="M320" s="1263"/>
      <c r="N320" s="1263"/>
      <c r="O320" s="1263"/>
      <c r="P320" s="1263"/>
      <c r="Q320" s="1263"/>
      <c r="R320" s="1263"/>
      <c r="S320" s="1263"/>
      <c r="T320" s="1263"/>
      <c r="U320" s="1263"/>
      <c r="V320" s="1263"/>
      <c r="W320" s="1263"/>
    </row>
    <row r="321">
      <c r="A321" s="1513"/>
      <c r="B321" s="1514"/>
      <c r="C321" s="1499"/>
      <c r="D321" s="1499"/>
      <c r="E321" s="1499"/>
      <c r="F321" s="1515"/>
      <c r="G321" s="1499"/>
      <c r="H321" s="1263"/>
      <c r="I321" s="1512"/>
      <c r="J321" s="1263"/>
      <c r="K321" s="1263"/>
      <c r="L321" s="1263"/>
      <c r="M321" s="1263"/>
      <c r="N321" s="1263"/>
      <c r="O321" s="1263"/>
      <c r="P321" s="1263"/>
      <c r="Q321" s="1263"/>
      <c r="R321" s="1263"/>
      <c r="S321" s="1263"/>
      <c r="T321" s="1263"/>
      <c r="U321" s="1263"/>
      <c r="V321" s="1263"/>
      <c r="W321" s="1263"/>
    </row>
    <row r="322">
      <c r="A322" s="1513"/>
      <c r="B322" s="1514"/>
      <c r="C322" s="1499"/>
      <c r="D322" s="1499"/>
      <c r="E322" s="1499"/>
      <c r="F322" s="1515"/>
      <c r="G322" s="1499"/>
      <c r="H322" s="1263"/>
      <c r="I322" s="1512"/>
      <c r="J322" s="1263"/>
      <c r="K322" s="1263"/>
      <c r="L322" s="1263"/>
      <c r="M322" s="1263"/>
      <c r="N322" s="1263"/>
      <c r="O322" s="1263"/>
      <c r="P322" s="1263"/>
      <c r="Q322" s="1263"/>
      <c r="R322" s="1263"/>
      <c r="S322" s="1263"/>
      <c r="T322" s="1263"/>
      <c r="U322" s="1263"/>
      <c r="V322" s="1263"/>
      <c r="W322" s="1263"/>
    </row>
    <row r="323">
      <c r="A323" s="1513"/>
      <c r="B323" s="1514"/>
      <c r="C323" s="1499"/>
      <c r="D323" s="1499"/>
      <c r="E323" s="1499"/>
      <c r="F323" s="1515"/>
      <c r="G323" s="1499"/>
      <c r="H323" s="1263"/>
      <c r="I323" s="1512"/>
      <c r="J323" s="1263"/>
      <c r="K323" s="1263"/>
      <c r="L323" s="1263"/>
      <c r="M323" s="1263"/>
      <c r="N323" s="1263"/>
      <c r="O323" s="1263"/>
      <c r="P323" s="1263"/>
      <c r="Q323" s="1263"/>
      <c r="R323" s="1263"/>
      <c r="S323" s="1263"/>
      <c r="T323" s="1263"/>
      <c r="U323" s="1263"/>
      <c r="V323" s="1263"/>
      <c r="W323" s="1263"/>
    </row>
    <row r="324">
      <c r="A324" s="1513"/>
      <c r="B324" s="1514"/>
      <c r="C324" s="1499"/>
      <c r="D324" s="1499"/>
      <c r="E324" s="1499"/>
      <c r="F324" s="1515"/>
      <c r="G324" s="1499"/>
      <c r="H324" s="1263"/>
      <c r="I324" s="1512"/>
      <c r="J324" s="1263"/>
      <c r="K324" s="1263"/>
      <c r="L324" s="1263"/>
      <c r="M324" s="1263"/>
      <c r="N324" s="1263"/>
      <c r="O324" s="1263"/>
      <c r="P324" s="1263"/>
      <c r="Q324" s="1263"/>
      <c r="R324" s="1263"/>
      <c r="S324" s="1263"/>
      <c r="T324" s="1263"/>
      <c r="U324" s="1263"/>
      <c r="V324" s="1263"/>
      <c r="W324" s="1263"/>
    </row>
    <row r="325">
      <c r="A325" s="1513"/>
      <c r="B325" s="1514"/>
      <c r="C325" s="1499"/>
      <c r="D325" s="1499"/>
      <c r="E325" s="1499"/>
      <c r="F325" s="1515"/>
      <c r="G325" s="1499"/>
      <c r="H325" s="1263"/>
      <c r="I325" s="1512"/>
      <c r="J325" s="1263"/>
      <c r="K325" s="1263"/>
      <c r="L325" s="1263"/>
      <c r="M325" s="1263"/>
      <c r="N325" s="1263"/>
      <c r="O325" s="1263"/>
      <c r="P325" s="1263"/>
      <c r="Q325" s="1263"/>
      <c r="R325" s="1263"/>
      <c r="S325" s="1263"/>
      <c r="T325" s="1263"/>
      <c r="U325" s="1263"/>
      <c r="V325" s="1263"/>
      <c r="W325" s="1263"/>
    </row>
    <row r="326">
      <c r="A326" s="1513"/>
      <c r="B326" s="1514"/>
      <c r="C326" s="1499"/>
      <c r="D326" s="1499"/>
      <c r="E326" s="1499"/>
      <c r="F326" s="1515"/>
      <c r="G326" s="1499"/>
      <c r="H326" s="1263"/>
      <c r="I326" s="1512"/>
      <c r="J326" s="1263"/>
      <c r="K326" s="1263"/>
      <c r="L326" s="1263"/>
      <c r="M326" s="1263"/>
      <c r="N326" s="1263"/>
      <c r="O326" s="1263"/>
      <c r="P326" s="1263"/>
      <c r="Q326" s="1263"/>
      <c r="R326" s="1263"/>
      <c r="S326" s="1263"/>
      <c r="T326" s="1263"/>
      <c r="U326" s="1263"/>
      <c r="V326" s="1263"/>
      <c r="W326" s="1263"/>
    </row>
    <row r="327">
      <c r="A327" s="1513"/>
      <c r="B327" s="1514"/>
      <c r="C327" s="1499"/>
      <c r="D327" s="1499"/>
      <c r="E327" s="1499"/>
      <c r="F327" s="1515"/>
      <c r="G327" s="1499"/>
      <c r="H327" s="1263"/>
      <c r="I327" s="1512"/>
      <c r="J327" s="1263"/>
      <c r="K327" s="1263"/>
      <c r="L327" s="1263"/>
      <c r="M327" s="1263"/>
      <c r="N327" s="1263"/>
      <c r="O327" s="1263"/>
      <c r="P327" s="1263"/>
      <c r="Q327" s="1263"/>
      <c r="R327" s="1263"/>
      <c r="S327" s="1263"/>
      <c r="T327" s="1263"/>
      <c r="U327" s="1263"/>
      <c r="V327" s="1263"/>
      <c r="W327" s="1263"/>
    </row>
    <row r="328">
      <c r="A328" s="1513"/>
      <c r="B328" s="1514"/>
      <c r="C328" s="1499"/>
      <c r="D328" s="1499"/>
      <c r="E328" s="1499"/>
      <c r="F328" s="1515"/>
      <c r="G328" s="1499"/>
      <c r="H328" s="1263"/>
      <c r="I328" s="1512"/>
      <c r="J328" s="1263"/>
      <c r="K328" s="1263"/>
      <c r="L328" s="1263"/>
      <c r="M328" s="1263"/>
      <c r="N328" s="1263"/>
      <c r="O328" s="1263"/>
      <c r="P328" s="1263"/>
      <c r="Q328" s="1263"/>
      <c r="R328" s="1263"/>
      <c r="S328" s="1263"/>
      <c r="T328" s="1263"/>
      <c r="U328" s="1263"/>
      <c r="V328" s="1263"/>
      <c r="W328" s="1263"/>
    </row>
    <row r="329">
      <c r="A329" s="1513"/>
      <c r="B329" s="1514"/>
      <c r="C329" s="1499"/>
      <c r="D329" s="1499"/>
      <c r="E329" s="1499"/>
      <c r="F329" s="1515"/>
      <c r="G329" s="1499"/>
      <c r="H329" s="1263"/>
      <c r="I329" s="1512"/>
      <c r="J329" s="1263"/>
      <c r="K329" s="1263"/>
      <c r="L329" s="1263"/>
      <c r="M329" s="1263"/>
      <c r="N329" s="1263"/>
      <c r="O329" s="1263"/>
      <c r="P329" s="1263"/>
      <c r="Q329" s="1263"/>
      <c r="R329" s="1263"/>
      <c r="S329" s="1263"/>
      <c r="T329" s="1263"/>
      <c r="U329" s="1263"/>
      <c r="V329" s="1263"/>
      <c r="W329" s="1263"/>
    </row>
    <row r="330">
      <c r="A330" s="1513"/>
      <c r="B330" s="1514"/>
      <c r="C330" s="1499"/>
      <c r="D330" s="1499"/>
      <c r="E330" s="1499"/>
      <c r="F330" s="1515"/>
      <c r="G330" s="1499"/>
      <c r="H330" s="1263"/>
      <c r="I330" s="1512"/>
      <c r="J330" s="1263"/>
      <c r="K330" s="1263"/>
      <c r="L330" s="1263"/>
      <c r="M330" s="1263"/>
      <c r="N330" s="1263"/>
      <c r="O330" s="1263"/>
      <c r="P330" s="1263"/>
      <c r="Q330" s="1263"/>
      <c r="R330" s="1263"/>
      <c r="S330" s="1263"/>
      <c r="T330" s="1263"/>
      <c r="U330" s="1263"/>
      <c r="V330" s="1263"/>
      <c r="W330" s="1263"/>
    </row>
    <row r="331">
      <c r="A331" s="1513"/>
      <c r="B331" s="1514"/>
      <c r="C331" s="1499"/>
      <c r="D331" s="1499"/>
      <c r="E331" s="1499"/>
      <c r="F331" s="1515"/>
      <c r="G331" s="1499"/>
      <c r="H331" s="1263"/>
      <c r="I331" s="1512"/>
      <c r="J331" s="1263"/>
      <c r="K331" s="1263"/>
      <c r="L331" s="1263"/>
      <c r="M331" s="1263"/>
      <c r="N331" s="1263"/>
      <c r="O331" s="1263"/>
      <c r="P331" s="1263"/>
      <c r="Q331" s="1263"/>
      <c r="R331" s="1263"/>
      <c r="S331" s="1263"/>
      <c r="T331" s="1263"/>
      <c r="U331" s="1263"/>
      <c r="V331" s="1263"/>
      <c r="W331" s="1263"/>
    </row>
    <row r="332">
      <c r="A332" s="1513"/>
      <c r="B332" s="1514"/>
      <c r="C332" s="1499"/>
      <c r="D332" s="1499"/>
      <c r="E332" s="1499"/>
      <c r="F332" s="1515"/>
      <c r="G332" s="1499"/>
      <c r="H332" s="1263"/>
      <c r="I332" s="1512"/>
      <c r="J332" s="1263"/>
      <c r="K332" s="1263"/>
      <c r="L332" s="1263"/>
      <c r="M332" s="1263"/>
      <c r="N332" s="1263"/>
      <c r="O332" s="1263"/>
      <c r="P332" s="1263"/>
      <c r="Q332" s="1263"/>
      <c r="R332" s="1263"/>
      <c r="S332" s="1263"/>
      <c r="T332" s="1263"/>
      <c r="U332" s="1263"/>
      <c r="V332" s="1263"/>
      <c r="W332" s="1263"/>
    </row>
    <row r="333">
      <c r="A333" s="1513"/>
      <c r="B333" s="1514"/>
      <c r="C333" s="1499"/>
      <c r="D333" s="1499"/>
      <c r="E333" s="1499"/>
      <c r="F333" s="1515"/>
      <c r="G333" s="1499"/>
      <c r="H333" s="1263"/>
      <c r="I333" s="1512"/>
      <c r="J333" s="1263"/>
      <c r="K333" s="1263"/>
      <c r="L333" s="1263"/>
      <c r="M333" s="1263"/>
      <c r="N333" s="1263"/>
      <c r="O333" s="1263"/>
      <c r="P333" s="1263"/>
      <c r="Q333" s="1263"/>
      <c r="R333" s="1263"/>
      <c r="S333" s="1263"/>
      <c r="T333" s="1263"/>
      <c r="U333" s="1263"/>
      <c r="V333" s="1263"/>
      <c r="W333" s="1263"/>
    </row>
    <row r="334">
      <c r="A334" s="1513"/>
      <c r="B334" s="1514"/>
      <c r="C334" s="1499"/>
      <c r="D334" s="1499"/>
      <c r="E334" s="1499"/>
      <c r="F334" s="1515"/>
      <c r="G334" s="1499"/>
      <c r="H334" s="1263"/>
      <c r="I334" s="1512"/>
      <c r="J334" s="1263"/>
      <c r="K334" s="1263"/>
      <c r="L334" s="1263"/>
      <c r="M334" s="1263"/>
      <c r="N334" s="1263"/>
      <c r="O334" s="1263"/>
      <c r="P334" s="1263"/>
      <c r="Q334" s="1263"/>
      <c r="R334" s="1263"/>
      <c r="S334" s="1263"/>
      <c r="T334" s="1263"/>
      <c r="U334" s="1263"/>
      <c r="V334" s="1263"/>
      <c r="W334" s="1263"/>
    </row>
    <row r="335">
      <c r="A335" s="1513"/>
      <c r="B335" s="1514"/>
      <c r="C335" s="1499"/>
      <c r="D335" s="1499"/>
      <c r="E335" s="1499"/>
      <c r="F335" s="1515"/>
      <c r="G335" s="1499"/>
      <c r="H335" s="1263"/>
      <c r="I335" s="1512"/>
      <c r="J335" s="1263"/>
      <c r="K335" s="1263"/>
      <c r="L335" s="1263"/>
      <c r="M335" s="1263"/>
      <c r="N335" s="1263"/>
      <c r="O335" s="1263"/>
      <c r="P335" s="1263"/>
      <c r="Q335" s="1263"/>
      <c r="R335" s="1263"/>
      <c r="S335" s="1263"/>
      <c r="T335" s="1263"/>
      <c r="U335" s="1263"/>
      <c r="V335" s="1263"/>
      <c r="W335" s="1263"/>
    </row>
    <row r="336">
      <c r="A336" s="1513"/>
      <c r="B336" s="1514"/>
      <c r="C336" s="1499"/>
      <c r="D336" s="1499"/>
      <c r="E336" s="1499"/>
      <c r="F336" s="1515"/>
      <c r="G336" s="1499"/>
      <c r="H336" s="1263"/>
      <c r="I336" s="1512"/>
      <c r="J336" s="1263"/>
      <c r="K336" s="1263"/>
      <c r="L336" s="1263"/>
      <c r="M336" s="1263"/>
      <c r="N336" s="1263"/>
      <c r="O336" s="1263"/>
      <c r="P336" s="1263"/>
      <c r="Q336" s="1263"/>
      <c r="R336" s="1263"/>
      <c r="S336" s="1263"/>
      <c r="T336" s="1263"/>
      <c r="U336" s="1263"/>
      <c r="V336" s="1263"/>
      <c r="W336" s="1263"/>
    </row>
    <row r="337">
      <c r="A337" s="1513"/>
      <c r="B337" s="1514"/>
      <c r="C337" s="1499"/>
      <c r="D337" s="1499"/>
      <c r="E337" s="1499"/>
      <c r="F337" s="1515"/>
      <c r="G337" s="1499"/>
      <c r="H337" s="1263"/>
      <c r="I337" s="1512"/>
      <c r="J337" s="1263"/>
      <c r="K337" s="1263"/>
      <c r="L337" s="1263"/>
      <c r="M337" s="1263"/>
      <c r="N337" s="1263"/>
      <c r="O337" s="1263"/>
      <c r="P337" s="1263"/>
      <c r="Q337" s="1263"/>
      <c r="R337" s="1263"/>
      <c r="S337" s="1263"/>
      <c r="T337" s="1263"/>
      <c r="U337" s="1263"/>
      <c r="V337" s="1263"/>
      <c r="W337" s="1263"/>
    </row>
    <row r="338">
      <c r="A338" s="1513"/>
      <c r="B338" s="1514"/>
      <c r="C338" s="1499"/>
      <c r="D338" s="1499"/>
      <c r="E338" s="1499"/>
      <c r="F338" s="1515"/>
      <c r="G338" s="1499"/>
      <c r="H338" s="1263"/>
      <c r="I338" s="1512"/>
      <c r="J338" s="1263"/>
      <c r="K338" s="1263"/>
      <c r="L338" s="1263"/>
      <c r="M338" s="1263"/>
      <c r="N338" s="1263"/>
      <c r="O338" s="1263"/>
      <c r="P338" s="1263"/>
      <c r="Q338" s="1263"/>
      <c r="R338" s="1263"/>
      <c r="S338" s="1263"/>
      <c r="T338" s="1263"/>
      <c r="U338" s="1263"/>
      <c r="V338" s="1263"/>
      <c r="W338" s="1263"/>
    </row>
    <row r="339">
      <c r="A339" s="1513"/>
      <c r="B339" s="1514"/>
      <c r="C339" s="1499"/>
      <c r="D339" s="1499"/>
      <c r="E339" s="1499"/>
      <c r="F339" s="1515"/>
      <c r="G339" s="1499"/>
      <c r="H339" s="1263"/>
      <c r="I339" s="1512"/>
      <c r="J339" s="1263"/>
      <c r="K339" s="1263"/>
      <c r="L339" s="1263"/>
      <c r="M339" s="1263"/>
      <c r="N339" s="1263"/>
      <c r="O339" s="1263"/>
      <c r="P339" s="1263"/>
      <c r="Q339" s="1263"/>
      <c r="R339" s="1263"/>
      <c r="S339" s="1263"/>
      <c r="T339" s="1263"/>
      <c r="U339" s="1263"/>
      <c r="V339" s="1263"/>
      <c r="W339" s="1263"/>
    </row>
    <row r="340">
      <c r="A340" s="1513"/>
      <c r="B340" s="1514"/>
      <c r="C340" s="1499"/>
      <c r="D340" s="1499"/>
      <c r="E340" s="1499"/>
      <c r="F340" s="1515"/>
      <c r="G340" s="1499"/>
      <c r="H340" s="1263"/>
      <c r="I340" s="1512"/>
      <c r="J340" s="1263"/>
      <c r="K340" s="1263"/>
      <c r="L340" s="1263"/>
      <c r="M340" s="1263"/>
      <c r="N340" s="1263"/>
      <c r="O340" s="1263"/>
      <c r="P340" s="1263"/>
      <c r="Q340" s="1263"/>
      <c r="R340" s="1263"/>
      <c r="S340" s="1263"/>
      <c r="T340" s="1263"/>
      <c r="U340" s="1263"/>
      <c r="V340" s="1263"/>
      <c r="W340" s="1263"/>
    </row>
    <row r="341">
      <c r="A341" s="1513"/>
      <c r="B341" s="1514"/>
      <c r="C341" s="1499"/>
      <c r="D341" s="1499"/>
      <c r="E341" s="1499"/>
      <c r="F341" s="1515"/>
      <c r="G341" s="1499"/>
      <c r="H341" s="1263"/>
      <c r="I341" s="1512"/>
      <c r="J341" s="1263"/>
      <c r="K341" s="1263"/>
      <c r="L341" s="1263"/>
      <c r="M341" s="1263"/>
      <c r="N341" s="1263"/>
      <c r="O341" s="1263"/>
      <c r="P341" s="1263"/>
      <c r="Q341" s="1263"/>
      <c r="R341" s="1263"/>
      <c r="S341" s="1263"/>
      <c r="T341" s="1263"/>
      <c r="U341" s="1263"/>
      <c r="V341" s="1263"/>
      <c r="W341" s="1263"/>
    </row>
    <row r="342">
      <c r="A342" s="1513"/>
      <c r="B342" s="1514"/>
      <c r="C342" s="1499"/>
      <c r="D342" s="1499"/>
      <c r="E342" s="1499"/>
      <c r="F342" s="1515"/>
      <c r="G342" s="1499"/>
      <c r="H342" s="1263"/>
      <c r="I342" s="1512"/>
      <c r="J342" s="1263"/>
      <c r="K342" s="1263"/>
      <c r="L342" s="1263"/>
      <c r="M342" s="1263"/>
      <c r="N342" s="1263"/>
      <c r="O342" s="1263"/>
      <c r="P342" s="1263"/>
      <c r="Q342" s="1263"/>
      <c r="R342" s="1263"/>
      <c r="S342" s="1263"/>
      <c r="T342" s="1263"/>
      <c r="U342" s="1263"/>
      <c r="V342" s="1263"/>
      <c r="W342" s="1263"/>
    </row>
    <row r="343">
      <c r="A343" s="1513"/>
      <c r="B343" s="1514"/>
      <c r="C343" s="1499"/>
      <c r="D343" s="1499"/>
      <c r="E343" s="1499"/>
      <c r="F343" s="1515"/>
      <c r="G343" s="1499"/>
      <c r="H343" s="1263"/>
      <c r="I343" s="1512"/>
      <c r="J343" s="1263"/>
      <c r="K343" s="1263"/>
      <c r="L343" s="1263"/>
      <c r="M343" s="1263"/>
      <c r="N343" s="1263"/>
      <c r="O343" s="1263"/>
      <c r="P343" s="1263"/>
      <c r="Q343" s="1263"/>
      <c r="R343" s="1263"/>
      <c r="S343" s="1263"/>
      <c r="T343" s="1263"/>
      <c r="U343" s="1263"/>
      <c r="V343" s="1263"/>
      <c r="W343" s="1263"/>
    </row>
    <row r="344">
      <c r="A344" s="1513"/>
      <c r="B344" s="1514"/>
      <c r="C344" s="1499"/>
      <c r="D344" s="1499"/>
      <c r="E344" s="1499"/>
      <c r="F344" s="1515"/>
      <c r="G344" s="1499"/>
      <c r="H344" s="1263"/>
      <c r="I344" s="1512"/>
      <c r="J344" s="1263"/>
      <c r="K344" s="1263"/>
      <c r="L344" s="1263"/>
      <c r="M344" s="1263"/>
      <c r="N344" s="1263"/>
      <c r="O344" s="1263"/>
      <c r="P344" s="1263"/>
      <c r="Q344" s="1263"/>
      <c r="R344" s="1263"/>
      <c r="S344" s="1263"/>
      <c r="T344" s="1263"/>
      <c r="U344" s="1263"/>
      <c r="V344" s="1263"/>
      <c r="W344" s="1263"/>
    </row>
    <row r="345">
      <c r="A345" s="1513"/>
      <c r="B345" s="1514"/>
      <c r="C345" s="1499"/>
      <c r="D345" s="1499"/>
      <c r="E345" s="1499"/>
      <c r="F345" s="1515"/>
      <c r="G345" s="1499"/>
      <c r="H345" s="1263"/>
      <c r="I345" s="1512"/>
      <c r="J345" s="1263"/>
      <c r="K345" s="1263"/>
      <c r="L345" s="1263"/>
      <c r="M345" s="1263"/>
      <c r="N345" s="1263"/>
      <c r="O345" s="1263"/>
      <c r="P345" s="1263"/>
      <c r="Q345" s="1263"/>
      <c r="R345" s="1263"/>
      <c r="S345" s="1263"/>
      <c r="T345" s="1263"/>
      <c r="U345" s="1263"/>
      <c r="V345" s="1263"/>
      <c r="W345" s="1263"/>
    </row>
    <row r="346">
      <c r="A346" s="1513"/>
      <c r="B346" s="1514"/>
      <c r="C346" s="1499"/>
      <c r="D346" s="1499"/>
      <c r="E346" s="1499"/>
      <c r="F346" s="1515"/>
      <c r="G346" s="1499"/>
      <c r="H346" s="1263"/>
      <c r="I346" s="1512"/>
      <c r="J346" s="1263"/>
      <c r="K346" s="1263"/>
      <c r="L346" s="1263"/>
      <c r="M346" s="1263"/>
      <c r="N346" s="1263"/>
      <c r="O346" s="1263"/>
      <c r="P346" s="1263"/>
      <c r="Q346" s="1263"/>
      <c r="R346" s="1263"/>
      <c r="S346" s="1263"/>
      <c r="T346" s="1263"/>
      <c r="U346" s="1263"/>
      <c r="V346" s="1263"/>
      <c r="W346" s="1263"/>
    </row>
    <row r="347">
      <c r="A347" s="1513"/>
      <c r="B347" s="1514"/>
      <c r="C347" s="1499"/>
      <c r="D347" s="1499"/>
      <c r="E347" s="1499"/>
      <c r="F347" s="1515"/>
      <c r="G347" s="1499"/>
      <c r="H347" s="1263"/>
      <c r="I347" s="1512"/>
      <c r="J347" s="1263"/>
      <c r="K347" s="1263"/>
      <c r="L347" s="1263"/>
      <c r="M347" s="1263"/>
      <c r="N347" s="1263"/>
      <c r="O347" s="1263"/>
      <c r="P347" s="1263"/>
      <c r="Q347" s="1263"/>
      <c r="R347" s="1263"/>
      <c r="S347" s="1263"/>
      <c r="T347" s="1263"/>
      <c r="U347" s="1263"/>
      <c r="V347" s="1263"/>
      <c r="W347" s="1263"/>
    </row>
    <row r="348">
      <c r="A348" s="1513"/>
      <c r="B348" s="1514"/>
      <c r="C348" s="1499"/>
      <c r="D348" s="1499"/>
      <c r="E348" s="1499"/>
      <c r="F348" s="1515"/>
      <c r="G348" s="1499"/>
      <c r="H348" s="1263"/>
      <c r="I348" s="1512"/>
      <c r="J348" s="1263"/>
      <c r="K348" s="1263"/>
      <c r="L348" s="1263"/>
      <c r="M348" s="1263"/>
      <c r="N348" s="1263"/>
      <c r="O348" s="1263"/>
      <c r="P348" s="1263"/>
      <c r="Q348" s="1263"/>
      <c r="R348" s="1263"/>
      <c r="S348" s="1263"/>
      <c r="T348" s="1263"/>
      <c r="U348" s="1263"/>
      <c r="V348" s="1263"/>
      <c r="W348" s="1263"/>
    </row>
    <row r="349">
      <c r="A349" s="1513"/>
      <c r="B349" s="1514"/>
      <c r="C349" s="1499"/>
      <c r="D349" s="1499"/>
      <c r="E349" s="1499"/>
      <c r="F349" s="1515"/>
      <c r="G349" s="1499"/>
      <c r="H349" s="1263"/>
      <c r="I349" s="1512"/>
      <c r="J349" s="1263"/>
      <c r="K349" s="1263"/>
      <c r="L349" s="1263"/>
      <c r="M349" s="1263"/>
      <c r="N349" s="1263"/>
      <c r="O349" s="1263"/>
      <c r="P349" s="1263"/>
      <c r="Q349" s="1263"/>
      <c r="R349" s="1263"/>
      <c r="S349" s="1263"/>
      <c r="T349" s="1263"/>
      <c r="U349" s="1263"/>
      <c r="V349" s="1263"/>
      <c r="W349" s="1263"/>
    </row>
    <row r="350">
      <c r="A350" s="1513"/>
      <c r="B350" s="1514"/>
      <c r="C350" s="1499"/>
      <c r="D350" s="1499"/>
      <c r="E350" s="1499"/>
      <c r="F350" s="1515"/>
      <c r="G350" s="1499"/>
      <c r="H350" s="1263"/>
      <c r="I350" s="1512"/>
      <c r="J350" s="1263"/>
      <c r="K350" s="1263"/>
      <c r="L350" s="1263"/>
      <c r="M350" s="1263"/>
      <c r="N350" s="1263"/>
      <c r="O350" s="1263"/>
      <c r="P350" s="1263"/>
      <c r="Q350" s="1263"/>
      <c r="R350" s="1263"/>
      <c r="S350" s="1263"/>
      <c r="T350" s="1263"/>
      <c r="U350" s="1263"/>
      <c r="V350" s="1263"/>
      <c r="W350" s="1263"/>
    </row>
    <row r="351">
      <c r="A351" s="1513"/>
      <c r="B351" s="1514"/>
      <c r="C351" s="1499"/>
      <c r="D351" s="1499"/>
      <c r="E351" s="1499"/>
      <c r="F351" s="1515"/>
      <c r="G351" s="1499"/>
      <c r="H351" s="1263"/>
      <c r="I351" s="1512"/>
      <c r="J351" s="1263"/>
      <c r="K351" s="1263"/>
      <c r="L351" s="1263"/>
      <c r="M351" s="1263"/>
      <c r="N351" s="1263"/>
      <c r="O351" s="1263"/>
      <c r="P351" s="1263"/>
      <c r="Q351" s="1263"/>
      <c r="R351" s="1263"/>
      <c r="S351" s="1263"/>
      <c r="T351" s="1263"/>
      <c r="U351" s="1263"/>
      <c r="V351" s="1263"/>
      <c r="W351" s="1263"/>
    </row>
    <row r="352">
      <c r="A352" s="1513"/>
      <c r="B352" s="1514"/>
      <c r="C352" s="1499"/>
      <c r="D352" s="1499"/>
      <c r="E352" s="1499"/>
      <c r="F352" s="1515"/>
      <c r="G352" s="1499"/>
      <c r="H352" s="1263"/>
      <c r="I352" s="1512"/>
      <c r="J352" s="1263"/>
      <c r="K352" s="1263"/>
      <c r="L352" s="1263"/>
      <c r="M352" s="1263"/>
      <c r="N352" s="1263"/>
      <c r="O352" s="1263"/>
      <c r="P352" s="1263"/>
      <c r="Q352" s="1263"/>
      <c r="R352" s="1263"/>
      <c r="S352" s="1263"/>
      <c r="T352" s="1263"/>
      <c r="U352" s="1263"/>
      <c r="V352" s="1263"/>
      <c r="W352" s="1263"/>
    </row>
    <row r="353">
      <c r="A353" s="1513"/>
      <c r="B353" s="1514"/>
      <c r="C353" s="1499"/>
      <c r="D353" s="1499"/>
      <c r="E353" s="1499"/>
      <c r="F353" s="1515"/>
      <c r="G353" s="1499"/>
      <c r="H353" s="1263"/>
      <c r="I353" s="1512"/>
      <c r="J353" s="1263"/>
      <c r="K353" s="1263"/>
      <c r="L353" s="1263"/>
      <c r="M353" s="1263"/>
      <c r="N353" s="1263"/>
      <c r="O353" s="1263"/>
      <c r="P353" s="1263"/>
      <c r="Q353" s="1263"/>
      <c r="R353" s="1263"/>
      <c r="S353" s="1263"/>
      <c r="T353" s="1263"/>
      <c r="U353" s="1263"/>
      <c r="V353" s="1263"/>
      <c r="W353" s="1263"/>
    </row>
    <row r="354">
      <c r="A354" s="1513"/>
      <c r="B354" s="1514"/>
      <c r="C354" s="1499"/>
      <c r="D354" s="1499"/>
      <c r="E354" s="1499"/>
      <c r="F354" s="1515"/>
      <c r="G354" s="1499"/>
      <c r="H354" s="1263"/>
      <c r="I354" s="1512"/>
      <c r="J354" s="1263"/>
      <c r="K354" s="1263"/>
      <c r="L354" s="1263"/>
      <c r="M354" s="1263"/>
      <c r="N354" s="1263"/>
      <c r="O354" s="1263"/>
      <c r="P354" s="1263"/>
      <c r="Q354" s="1263"/>
      <c r="R354" s="1263"/>
      <c r="S354" s="1263"/>
      <c r="T354" s="1263"/>
      <c r="U354" s="1263"/>
      <c r="V354" s="1263"/>
      <c r="W354" s="1263"/>
    </row>
    <row r="355">
      <c r="A355" s="1513"/>
      <c r="B355" s="1514"/>
      <c r="C355" s="1499"/>
      <c r="D355" s="1499"/>
      <c r="E355" s="1499"/>
      <c r="F355" s="1515"/>
      <c r="G355" s="1499"/>
      <c r="H355" s="1263"/>
      <c r="I355" s="1512"/>
      <c r="J355" s="1263"/>
      <c r="K355" s="1263"/>
      <c r="L355" s="1263"/>
      <c r="M355" s="1263"/>
      <c r="N355" s="1263"/>
      <c r="O355" s="1263"/>
      <c r="P355" s="1263"/>
      <c r="Q355" s="1263"/>
      <c r="R355" s="1263"/>
      <c r="S355" s="1263"/>
      <c r="T355" s="1263"/>
      <c r="U355" s="1263"/>
      <c r="V355" s="1263"/>
      <c r="W355" s="1263"/>
    </row>
    <row r="356">
      <c r="A356" s="1513"/>
      <c r="B356" s="1514"/>
      <c r="C356" s="1499"/>
      <c r="D356" s="1499"/>
      <c r="E356" s="1499"/>
      <c r="F356" s="1515"/>
      <c r="G356" s="1499"/>
      <c r="H356" s="1263"/>
      <c r="I356" s="1512"/>
      <c r="J356" s="1263"/>
      <c r="K356" s="1263"/>
      <c r="L356" s="1263"/>
      <c r="M356" s="1263"/>
      <c r="N356" s="1263"/>
      <c r="O356" s="1263"/>
      <c r="P356" s="1263"/>
      <c r="Q356" s="1263"/>
      <c r="R356" s="1263"/>
      <c r="S356" s="1263"/>
      <c r="T356" s="1263"/>
      <c r="U356" s="1263"/>
      <c r="V356" s="1263"/>
      <c r="W356" s="1263"/>
    </row>
    <row r="357">
      <c r="A357" s="1513"/>
      <c r="B357" s="1514"/>
      <c r="C357" s="1499"/>
      <c r="D357" s="1499"/>
      <c r="E357" s="1499"/>
      <c r="F357" s="1515"/>
      <c r="G357" s="1499"/>
      <c r="H357" s="1263"/>
      <c r="I357" s="1512"/>
      <c r="J357" s="1263"/>
      <c r="K357" s="1263"/>
      <c r="L357" s="1263"/>
      <c r="M357" s="1263"/>
      <c r="N357" s="1263"/>
      <c r="O357" s="1263"/>
      <c r="P357" s="1263"/>
      <c r="Q357" s="1263"/>
      <c r="R357" s="1263"/>
      <c r="S357" s="1263"/>
      <c r="T357" s="1263"/>
      <c r="U357" s="1263"/>
      <c r="V357" s="1263"/>
      <c r="W357" s="1263"/>
    </row>
    <row r="358">
      <c r="A358" s="1513"/>
      <c r="B358" s="1514"/>
      <c r="C358" s="1499"/>
      <c r="D358" s="1499"/>
      <c r="E358" s="1499"/>
      <c r="F358" s="1515"/>
      <c r="G358" s="1499"/>
      <c r="H358" s="1263"/>
      <c r="I358" s="1512"/>
      <c r="J358" s="1263"/>
      <c r="K358" s="1263"/>
      <c r="L358" s="1263"/>
      <c r="M358" s="1263"/>
      <c r="N358" s="1263"/>
      <c r="O358" s="1263"/>
      <c r="P358" s="1263"/>
      <c r="Q358" s="1263"/>
      <c r="R358" s="1263"/>
      <c r="S358" s="1263"/>
      <c r="T358" s="1263"/>
      <c r="U358" s="1263"/>
      <c r="V358" s="1263"/>
      <c r="W358" s="1263"/>
    </row>
    <row r="359">
      <c r="A359" s="1513"/>
      <c r="B359" s="1514"/>
      <c r="C359" s="1499"/>
      <c r="D359" s="1499"/>
      <c r="E359" s="1499"/>
      <c r="F359" s="1515"/>
      <c r="G359" s="1499"/>
      <c r="H359" s="1263"/>
      <c r="I359" s="1512"/>
      <c r="J359" s="1263"/>
      <c r="K359" s="1263"/>
      <c r="L359" s="1263"/>
      <c r="M359" s="1263"/>
      <c r="N359" s="1263"/>
      <c r="O359" s="1263"/>
      <c r="P359" s="1263"/>
      <c r="Q359" s="1263"/>
      <c r="R359" s="1263"/>
      <c r="S359" s="1263"/>
      <c r="T359" s="1263"/>
      <c r="U359" s="1263"/>
      <c r="V359" s="1263"/>
      <c r="W359" s="1263"/>
    </row>
    <row r="360">
      <c r="A360" s="1513"/>
      <c r="B360" s="1514"/>
      <c r="C360" s="1499"/>
      <c r="D360" s="1499"/>
      <c r="E360" s="1499"/>
      <c r="F360" s="1515"/>
      <c r="G360" s="1499"/>
      <c r="H360" s="1263"/>
      <c r="I360" s="1512"/>
      <c r="J360" s="1263"/>
      <c r="K360" s="1263"/>
      <c r="L360" s="1263"/>
      <c r="M360" s="1263"/>
      <c r="N360" s="1263"/>
      <c r="O360" s="1263"/>
      <c r="P360" s="1263"/>
      <c r="Q360" s="1263"/>
      <c r="R360" s="1263"/>
      <c r="S360" s="1263"/>
      <c r="T360" s="1263"/>
      <c r="U360" s="1263"/>
      <c r="V360" s="1263"/>
      <c r="W360" s="1263"/>
    </row>
    <row r="361">
      <c r="A361" s="1513"/>
      <c r="B361" s="1514"/>
      <c r="C361" s="1499"/>
      <c r="D361" s="1499"/>
      <c r="E361" s="1499"/>
      <c r="F361" s="1515"/>
      <c r="G361" s="1499"/>
      <c r="H361" s="1263"/>
      <c r="I361" s="1512"/>
      <c r="J361" s="1263"/>
      <c r="K361" s="1263"/>
      <c r="L361" s="1263"/>
      <c r="M361" s="1263"/>
      <c r="N361" s="1263"/>
      <c r="O361" s="1263"/>
      <c r="P361" s="1263"/>
      <c r="Q361" s="1263"/>
      <c r="R361" s="1263"/>
      <c r="S361" s="1263"/>
      <c r="T361" s="1263"/>
      <c r="U361" s="1263"/>
      <c r="V361" s="1263"/>
      <c r="W361" s="1263"/>
    </row>
    <row r="362">
      <c r="A362" s="1513"/>
      <c r="B362" s="1514"/>
      <c r="C362" s="1499"/>
      <c r="D362" s="1499"/>
      <c r="E362" s="1499"/>
      <c r="F362" s="1515"/>
      <c r="G362" s="1499"/>
      <c r="H362" s="1263"/>
      <c r="I362" s="1512"/>
      <c r="J362" s="1263"/>
      <c r="K362" s="1263"/>
      <c r="L362" s="1263"/>
      <c r="M362" s="1263"/>
      <c r="N362" s="1263"/>
      <c r="O362" s="1263"/>
      <c r="P362" s="1263"/>
      <c r="Q362" s="1263"/>
      <c r="R362" s="1263"/>
      <c r="S362" s="1263"/>
      <c r="T362" s="1263"/>
      <c r="U362" s="1263"/>
      <c r="V362" s="1263"/>
      <c r="W362" s="1263"/>
    </row>
    <row r="363">
      <c r="A363" s="1513"/>
      <c r="B363" s="1514"/>
      <c r="C363" s="1499"/>
      <c r="D363" s="1499"/>
      <c r="E363" s="1499"/>
      <c r="F363" s="1515"/>
      <c r="G363" s="1499"/>
      <c r="H363" s="1263"/>
      <c r="I363" s="1512"/>
      <c r="J363" s="1263"/>
      <c r="K363" s="1263"/>
      <c r="L363" s="1263"/>
      <c r="M363" s="1263"/>
      <c r="N363" s="1263"/>
      <c r="O363" s="1263"/>
      <c r="P363" s="1263"/>
      <c r="Q363" s="1263"/>
      <c r="R363" s="1263"/>
      <c r="S363" s="1263"/>
      <c r="T363" s="1263"/>
      <c r="U363" s="1263"/>
      <c r="V363" s="1263"/>
      <c r="W363" s="1263"/>
    </row>
    <row r="364">
      <c r="A364" s="1513"/>
      <c r="B364" s="1514"/>
      <c r="C364" s="1499"/>
      <c r="D364" s="1499"/>
      <c r="E364" s="1499"/>
      <c r="F364" s="1515"/>
      <c r="G364" s="1499"/>
      <c r="H364" s="1263"/>
      <c r="I364" s="1512"/>
      <c r="J364" s="1263"/>
      <c r="K364" s="1263"/>
      <c r="L364" s="1263"/>
      <c r="M364" s="1263"/>
      <c r="N364" s="1263"/>
      <c r="O364" s="1263"/>
      <c r="P364" s="1263"/>
      <c r="Q364" s="1263"/>
      <c r="R364" s="1263"/>
      <c r="S364" s="1263"/>
      <c r="T364" s="1263"/>
      <c r="U364" s="1263"/>
      <c r="V364" s="1263"/>
      <c r="W364" s="1263"/>
    </row>
    <row r="365">
      <c r="A365" s="1513"/>
      <c r="B365" s="1514"/>
      <c r="C365" s="1499"/>
      <c r="D365" s="1499"/>
      <c r="E365" s="1499"/>
      <c r="F365" s="1515"/>
      <c r="G365" s="1499"/>
      <c r="H365" s="1263"/>
      <c r="I365" s="1512"/>
      <c r="J365" s="1263"/>
      <c r="K365" s="1263"/>
      <c r="L365" s="1263"/>
      <c r="M365" s="1263"/>
      <c r="N365" s="1263"/>
      <c r="O365" s="1263"/>
      <c r="P365" s="1263"/>
      <c r="Q365" s="1263"/>
      <c r="R365" s="1263"/>
      <c r="S365" s="1263"/>
      <c r="T365" s="1263"/>
      <c r="U365" s="1263"/>
      <c r="V365" s="1263"/>
      <c r="W365" s="1263"/>
    </row>
    <row r="366">
      <c r="A366" s="1513"/>
      <c r="B366" s="1514"/>
      <c r="C366" s="1499"/>
      <c r="D366" s="1499"/>
      <c r="E366" s="1499"/>
      <c r="F366" s="1515"/>
      <c r="G366" s="1499"/>
      <c r="H366" s="1263"/>
      <c r="I366" s="1512"/>
      <c r="J366" s="1263"/>
      <c r="K366" s="1263"/>
      <c r="L366" s="1263"/>
      <c r="M366" s="1263"/>
      <c r="N366" s="1263"/>
      <c r="O366" s="1263"/>
      <c r="P366" s="1263"/>
      <c r="Q366" s="1263"/>
      <c r="R366" s="1263"/>
      <c r="S366" s="1263"/>
      <c r="T366" s="1263"/>
      <c r="U366" s="1263"/>
      <c r="V366" s="1263"/>
      <c r="W366" s="1263"/>
    </row>
    <row r="367">
      <c r="A367" s="1513"/>
      <c r="B367" s="1514"/>
      <c r="C367" s="1499"/>
      <c r="D367" s="1499"/>
      <c r="E367" s="1499"/>
      <c r="F367" s="1515"/>
      <c r="G367" s="1499"/>
      <c r="H367" s="1263"/>
      <c r="I367" s="1512"/>
      <c r="J367" s="1263"/>
      <c r="K367" s="1263"/>
      <c r="L367" s="1263"/>
      <c r="M367" s="1263"/>
      <c r="N367" s="1263"/>
      <c r="O367" s="1263"/>
      <c r="P367" s="1263"/>
      <c r="Q367" s="1263"/>
      <c r="R367" s="1263"/>
      <c r="S367" s="1263"/>
      <c r="T367" s="1263"/>
      <c r="U367" s="1263"/>
      <c r="V367" s="1263"/>
      <c r="W367" s="1263"/>
    </row>
    <row r="368">
      <c r="A368" s="1513"/>
      <c r="B368" s="1514"/>
      <c r="C368" s="1499"/>
      <c r="D368" s="1499"/>
      <c r="E368" s="1499"/>
      <c r="F368" s="1515"/>
      <c r="G368" s="1499"/>
      <c r="H368" s="1263"/>
      <c r="I368" s="1512"/>
      <c r="J368" s="1263"/>
      <c r="K368" s="1263"/>
      <c r="L368" s="1263"/>
      <c r="M368" s="1263"/>
      <c r="N368" s="1263"/>
      <c r="O368" s="1263"/>
      <c r="P368" s="1263"/>
      <c r="Q368" s="1263"/>
      <c r="R368" s="1263"/>
      <c r="S368" s="1263"/>
      <c r="T368" s="1263"/>
      <c r="U368" s="1263"/>
      <c r="V368" s="1263"/>
      <c r="W368" s="1263"/>
    </row>
    <row r="369">
      <c r="A369" s="1513"/>
      <c r="B369" s="1514"/>
      <c r="C369" s="1499"/>
      <c r="D369" s="1499"/>
      <c r="E369" s="1499"/>
      <c r="F369" s="1515"/>
      <c r="G369" s="1499"/>
      <c r="H369" s="1263"/>
      <c r="I369" s="1512"/>
      <c r="J369" s="1263"/>
      <c r="K369" s="1263"/>
      <c r="L369" s="1263"/>
      <c r="M369" s="1263"/>
      <c r="N369" s="1263"/>
      <c r="O369" s="1263"/>
      <c r="P369" s="1263"/>
      <c r="Q369" s="1263"/>
      <c r="R369" s="1263"/>
      <c r="S369" s="1263"/>
      <c r="T369" s="1263"/>
      <c r="U369" s="1263"/>
      <c r="V369" s="1263"/>
      <c r="W369" s="1263"/>
    </row>
    <row r="370">
      <c r="A370" s="1513"/>
      <c r="B370" s="1514"/>
      <c r="C370" s="1499"/>
      <c r="D370" s="1499"/>
      <c r="E370" s="1499"/>
      <c r="F370" s="1515"/>
      <c r="G370" s="1499"/>
      <c r="H370" s="1263"/>
      <c r="I370" s="1512"/>
      <c r="J370" s="1263"/>
      <c r="K370" s="1263"/>
      <c r="L370" s="1263"/>
      <c r="M370" s="1263"/>
      <c r="N370" s="1263"/>
      <c r="O370" s="1263"/>
      <c r="P370" s="1263"/>
      <c r="Q370" s="1263"/>
      <c r="R370" s="1263"/>
      <c r="S370" s="1263"/>
      <c r="T370" s="1263"/>
      <c r="U370" s="1263"/>
      <c r="V370" s="1263"/>
      <c r="W370" s="1263"/>
    </row>
    <row r="371">
      <c r="A371" s="1513"/>
      <c r="B371" s="1514"/>
      <c r="C371" s="1499"/>
      <c r="D371" s="1499"/>
      <c r="E371" s="1499"/>
      <c r="F371" s="1515"/>
      <c r="G371" s="1499"/>
      <c r="H371" s="1263"/>
      <c r="I371" s="1512"/>
      <c r="J371" s="1263"/>
      <c r="K371" s="1263"/>
      <c r="L371" s="1263"/>
      <c r="M371" s="1263"/>
      <c r="N371" s="1263"/>
      <c r="O371" s="1263"/>
      <c r="P371" s="1263"/>
      <c r="Q371" s="1263"/>
      <c r="R371" s="1263"/>
      <c r="S371" s="1263"/>
      <c r="T371" s="1263"/>
      <c r="U371" s="1263"/>
      <c r="V371" s="1263"/>
      <c r="W371" s="1263"/>
    </row>
    <row r="372">
      <c r="A372" s="1513"/>
      <c r="B372" s="1514"/>
      <c r="C372" s="1499"/>
      <c r="D372" s="1499"/>
      <c r="E372" s="1499"/>
      <c r="F372" s="1515"/>
      <c r="G372" s="1499"/>
      <c r="H372" s="1263"/>
      <c r="I372" s="1512"/>
      <c r="J372" s="1263"/>
      <c r="K372" s="1263"/>
      <c r="L372" s="1263"/>
      <c r="M372" s="1263"/>
      <c r="N372" s="1263"/>
      <c r="O372" s="1263"/>
      <c r="P372" s="1263"/>
      <c r="Q372" s="1263"/>
      <c r="R372" s="1263"/>
      <c r="S372" s="1263"/>
      <c r="T372" s="1263"/>
      <c r="U372" s="1263"/>
      <c r="V372" s="1263"/>
      <c r="W372" s="1263"/>
    </row>
    <row r="373">
      <c r="A373" s="1513"/>
      <c r="B373" s="1514"/>
      <c r="C373" s="1499"/>
      <c r="D373" s="1499"/>
      <c r="E373" s="1499"/>
      <c r="F373" s="1515"/>
      <c r="G373" s="1499"/>
      <c r="H373" s="1263"/>
      <c r="I373" s="1512"/>
      <c r="J373" s="1263"/>
      <c r="K373" s="1263"/>
      <c r="L373" s="1263"/>
      <c r="M373" s="1263"/>
      <c r="N373" s="1263"/>
      <c r="O373" s="1263"/>
      <c r="P373" s="1263"/>
      <c r="Q373" s="1263"/>
      <c r="R373" s="1263"/>
      <c r="S373" s="1263"/>
      <c r="T373" s="1263"/>
      <c r="U373" s="1263"/>
      <c r="V373" s="1263"/>
      <c r="W373" s="1263"/>
    </row>
    <row r="374">
      <c r="A374" s="1513"/>
      <c r="B374" s="1514"/>
      <c r="C374" s="1499"/>
      <c r="D374" s="1499"/>
      <c r="E374" s="1499"/>
      <c r="F374" s="1515"/>
      <c r="G374" s="1499"/>
      <c r="H374" s="1263"/>
      <c r="I374" s="1512"/>
      <c r="J374" s="1263"/>
      <c r="K374" s="1263"/>
      <c r="L374" s="1263"/>
      <c r="M374" s="1263"/>
      <c r="N374" s="1263"/>
      <c r="O374" s="1263"/>
      <c r="P374" s="1263"/>
      <c r="Q374" s="1263"/>
      <c r="R374" s="1263"/>
      <c r="S374" s="1263"/>
      <c r="T374" s="1263"/>
      <c r="U374" s="1263"/>
      <c r="V374" s="1263"/>
      <c r="W374" s="1263"/>
    </row>
    <row r="375">
      <c r="A375" s="1513"/>
      <c r="B375" s="1514"/>
      <c r="C375" s="1499"/>
      <c r="D375" s="1499"/>
      <c r="E375" s="1499"/>
      <c r="F375" s="1515"/>
      <c r="G375" s="1499"/>
      <c r="H375" s="1263"/>
      <c r="I375" s="1512"/>
      <c r="J375" s="1263"/>
      <c r="K375" s="1263"/>
      <c r="L375" s="1263"/>
      <c r="M375" s="1263"/>
      <c r="N375" s="1263"/>
      <c r="O375" s="1263"/>
      <c r="P375" s="1263"/>
      <c r="Q375" s="1263"/>
      <c r="R375" s="1263"/>
      <c r="S375" s="1263"/>
      <c r="T375" s="1263"/>
      <c r="U375" s="1263"/>
      <c r="V375" s="1263"/>
      <c r="W375" s="1263"/>
    </row>
    <row r="376">
      <c r="A376" s="1513"/>
      <c r="B376" s="1514"/>
      <c r="C376" s="1499"/>
      <c r="D376" s="1499"/>
      <c r="E376" s="1499"/>
      <c r="F376" s="1515"/>
      <c r="G376" s="1499"/>
      <c r="H376" s="1263"/>
      <c r="I376" s="1512"/>
      <c r="J376" s="1263"/>
      <c r="K376" s="1263"/>
      <c r="L376" s="1263"/>
      <c r="M376" s="1263"/>
      <c r="N376" s="1263"/>
      <c r="O376" s="1263"/>
      <c r="P376" s="1263"/>
      <c r="Q376" s="1263"/>
      <c r="R376" s="1263"/>
      <c r="S376" s="1263"/>
      <c r="T376" s="1263"/>
      <c r="U376" s="1263"/>
      <c r="V376" s="1263"/>
      <c r="W376" s="1263"/>
    </row>
    <row r="377">
      <c r="A377" s="1513"/>
      <c r="B377" s="1514"/>
      <c r="C377" s="1499"/>
      <c r="D377" s="1499"/>
      <c r="E377" s="1499"/>
      <c r="F377" s="1515"/>
      <c r="G377" s="1499"/>
      <c r="H377" s="1263"/>
      <c r="I377" s="1512"/>
      <c r="J377" s="1263"/>
      <c r="K377" s="1263"/>
      <c r="L377" s="1263"/>
      <c r="M377" s="1263"/>
      <c r="N377" s="1263"/>
      <c r="O377" s="1263"/>
      <c r="P377" s="1263"/>
      <c r="Q377" s="1263"/>
      <c r="R377" s="1263"/>
      <c r="S377" s="1263"/>
      <c r="T377" s="1263"/>
      <c r="U377" s="1263"/>
      <c r="V377" s="1263"/>
      <c r="W377" s="1263"/>
    </row>
    <row r="378">
      <c r="A378" s="1513"/>
      <c r="B378" s="1514"/>
      <c r="C378" s="1499"/>
      <c r="D378" s="1499"/>
      <c r="E378" s="1499"/>
      <c r="F378" s="1515"/>
      <c r="G378" s="1499"/>
      <c r="H378" s="1263"/>
      <c r="I378" s="1512"/>
      <c r="J378" s="1263"/>
      <c r="K378" s="1263"/>
      <c r="L378" s="1263"/>
      <c r="M378" s="1263"/>
      <c r="N378" s="1263"/>
      <c r="O378" s="1263"/>
      <c r="P378" s="1263"/>
      <c r="Q378" s="1263"/>
      <c r="R378" s="1263"/>
      <c r="S378" s="1263"/>
      <c r="T378" s="1263"/>
      <c r="U378" s="1263"/>
      <c r="V378" s="1263"/>
      <c r="W378" s="1263"/>
    </row>
    <row r="379">
      <c r="A379" s="1513"/>
      <c r="B379" s="1514"/>
      <c r="C379" s="1499"/>
      <c r="D379" s="1499"/>
      <c r="E379" s="1499"/>
      <c r="F379" s="1515"/>
      <c r="G379" s="1499"/>
      <c r="H379" s="1263"/>
      <c r="I379" s="1512"/>
      <c r="J379" s="1263"/>
      <c r="K379" s="1263"/>
      <c r="L379" s="1263"/>
      <c r="M379" s="1263"/>
      <c r="N379" s="1263"/>
      <c r="O379" s="1263"/>
      <c r="P379" s="1263"/>
      <c r="Q379" s="1263"/>
      <c r="R379" s="1263"/>
      <c r="S379" s="1263"/>
      <c r="T379" s="1263"/>
      <c r="U379" s="1263"/>
      <c r="V379" s="1263"/>
      <c r="W379" s="1263"/>
    </row>
    <row r="380">
      <c r="A380" s="1513"/>
      <c r="B380" s="1514"/>
      <c r="C380" s="1499"/>
      <c r="D380" s="1499"/>
      <c r="E380" s="1499"/>
      <c r="F380" s="1515"/>
      <c r="G380" s="1499"/>
      <c r="H380" s="1263"/>
      <c r="I380" s="1512"/>
      <c r="J380" s="1263"/>
      <c r="K380" s="1263"/>
      <c r="L380" s="1263"/>
      <c r="M380" s="1263"/>
      <c r="N380" s="1263"/>
      <c r="O380" s="1263"/>
      <c r="P380" s="1263"/>
      <c r="Q380" s="1263"/>
      <c r="R380" s="1263"/>
      <c r="S380" s="1263"/>
      <c r="T380" s="1263"/>
      <c r="U380" s="1263"/>
      <c r="V380" s="1263"/>
      <c r="W380" s="1263"/>
    </row>
    <row r="381">
      <c r="A381" s="1513"/>
      <c r="B381" s="1514"/>
      <c r="C381" s="1499"/>
      <c r="D381" s="1499"/>
      <c r="E381" s="1499"/>
      <c r="F381" s="1515"/>
      <c r="G381" s="1499"/>
      <c r="H381" s="1263"/>
      <c r="I381" s="1512"/>
      <c r="J381" s="1263"/>
      <c r="K381" s="1263"/>
      <c r="L381" s="1263"/>
      <c r="M381" s="1263"/>
      <c r="N381" s="1263"/>
      <c r="O381" s="1263"/>
      <c r="P381" s="1263"/>
      <c r="Q381" s="1263"/>
      <c r="R381" s="1263"/>
      <c r="S381" s="1263"/>
      <c r="T381" s="1263"/>
      <c r="U381" s="1263"/>
      <c r="V381" s="1263"/>
      <c r="W381" s="1263"/>
    </row>
    <row r="382">
      <c r="A382" s="1513"/>
      <c r="B382" s="1514"/>
      <c r="C382" s="1499"/>
      <c r="D382" s="1499"/>
      <c r="E382" s="1499"/>
      <c r="F382" s="1515"/>
      <c r="G382" s="1499"/>
      <c r="H382" s="1263"/>
      <c r="I382" s="1512"/>
      <c r="J382" s="1263"/>
      <c r="K382" s="1263"/>
      <c r="L382" s="1263"/>
      <c r="M382" s="1263"/>
      <c r="N382" s="1263"/>
      <c r="O382" s="1263"/>
      <c r="P382" s="1263"/>
      <c r="Q382" s="1263"/>
      <c r="R382" s="1263"/>
      <c r="S382" s="1263"/>
      <c r="T382" s="1263"/>
      <c r="U382" s="1263"/>
      <c r="V382" s="1263"/>
      <c r="W382" s="1263"/>
    </row>
    <row r="383">
      <c r="A383" s="1513"/>
      <c r="B383" s="1514"/>
      <c r="C383" s="1499"/>
      <c r="D383" s="1499"/>
      <c r="E383" s="1499"/>
      <c r="F383" s="1515"/>
      <c r="G383" s="1499"/>
      <c r="H383" s="1263"/>
      <c r="I383" s="1512"/>
      <c r="J383" s="1263"/>
      <c r="K383" s="1263"/>
      <c r="L383" s="1263"/>
      <c r="M383" s="1263"/>
      <c r="N383" s="1263"/>
      <c r="O383" s="1263"/>
      <c r="P383" s="1263"/>
      <c r="Q383" s="1263"/>
      <c r="R383" s="1263"/>
      <c r="S383" s="1263"/>
      <c r="T383" s="1263"/>
      <c r="U383" s="1263"/>
      <c r="V383" s="1263"/>
      <c r="W383" s="1263"/>
    </row>
    <row r="384">
      <c r="A384" s="1513"/>
      <c r="B384" s="1514"/>
      <c r="C384" s="1499"/>
      <c r="D384" s="1499"/>
      <c r="E384" s="1499"/>
      <c r="F384" s="1515"/>
      <c r="G384" s="1499"/>
      <c r="H384" s="1263"/>
      <c r="I384" s="1512"/>
      <c r="J384" s="1263"/>
      <c r="K384" s="1263"/>
      <c r="L384" s="1263"/>
      <c r="M384" s="1263"/>
      <c r="N384" s="1263"/>
      <c r="O384" s="1263"/>
      <c r="P384" s="1263"/>
      <c r="Q384" s="1263"/>
      <c r="R384" s="1263"/>
      <c r="S384" s="1263"/>
      <c r="T384" s="1263"/>
      <c r="U384" s="1263"/>
      <c r="V384" s="1263"/>
      <c r="W384" s="1263"/>
    </row>
    <row r="385">
      <c r="A385" s="1513"/>
      <c r="B385" s="1514"/>
      <c r="C385" s="1499"/>
      <c r="D385" s="1499"/>
      <c r="E385" s="1499"/>
      <c r="F385" s="1515"/>
      <c r="G385" s="1499"/>
      <c r="H385" s="1263"/>
      <c r="I385" s="1512"/>
      <c r="J385" s="1263"/>
      <c r="K385" s="1263"/>
      <c r="L385" s="1263"/>
      <c r="M385" s="1263"/>
      <c r="N385" s="1263"/>
      <c r="O385" s="1263"/>
      <c r="P385" s="1263"/>
      <c r="Q385" s="1263"/>
      <c r="R385" s="1263"/>
      <c r="S385" s="1263"/>
      <c r="T385" s="1263"/>
      <c r="U385" s="1263"/>
      <c r="V385" s="1263"/>
      <c r="W385" s="1263"/>
    </row>
    <row r="386">
      <c r="A386" s="1513"/>
      <c r="B386" s="1514"/>
      <c r="C386" s="1499"/>
      <c r="D386" s="1499"/>
      <c r="E386" s="1499"/>
      <c r="F386" s="1515"/>
      <c r="G386" s="1499"/>
      <c r="H386" s="1263"/>
      <c r="I386" s="1512"/>
      <c r="J386" s="1263"/>
      <c r="K386" s="1263"/>
      <c r="L386" s="1263"/>
      <c r="M386" s="1263"/>
      <c r="N386" s="1263"/>
      <c r="O386" s="1263"/>
      <c r="P386" s="1263"/>
      <c r="Q386" s="1263"/>
      <c r="R386" s="1263"/>
      <c r="S386" s="1263"/>
      <c r="T386" s="1263"/>
      <c r="U386" s="1263"/>
      <c r="V386" s="1263"/>
      <c r="W386" s="1263"/>
    </row>
    <row r="387">
      <c r="A387" s="1513"/>
      <c r="B387" s="1514"/>
      <c r="C387" s="1499"/>
      <c r="D387" s="1499"/>
      <c r="E387" s="1499"/>
      <c r="F387" s="1515"/>
      <c r="G387" s="1499"/>
      <c r="H387" s="1263"/>
      <c r="I387" s="1512"/>
      <c r="J387" s="1263"/>
      <c r="K387" s="1263"/>
      <c r="L387" s="1263"/>
      <c r="M387" s="1263"/>
      <c r="N387" s="1263"/>
      <c r="O387" s="1263"/>
      <c r="P387" s="1263"/>
      <c r="Q387" s="1263"/>
      <c r="R387" s="1263"/>
      <c r="S387" s="1263"/>
      <c r="T387" s="1263"/>
      <c r="U387" s="1263"/>
      <c r="V387" s="1263"/>
      <c r="W387" s="1263"/>
    </row>
    <row r="388">
      <c r="A388" s="1513"/>
      <c r="B388" s="1514"/>
      <c r="C388" s="1499"/>
      <c r="D388" s="1499"/>
      <c r="E388" s="1499"/>
      <c r="F388" s="1515"/>
      <c r="G388" s="1499"/>
      <c r="H388" s="1263"/>
      <c r="I388" s="1512"/>
      <c r="J388" s="1263"/>
      <c r="K388" s="1263"/>
      <c r="L388" s="1263"/>
      <c r="M388" s="1263"/>
      <c r="N388" s="1263"/>
      <c r="O388" s="1263"/>
      <c r="P388" s="1263"/>
      <c r="Q388" s="1263"/>
      <c r="R388" s="1263"/>
      <c r="S388" s="1263"/>
      <c r="T388" s="1263"/>
      <c r="U388" s="1263"/>
      <c r="V388" s="1263"/>
      <c r="W388" s="1263"/>
    </row>
    <row r="389">
      <c r="A389" s="1513"/>
      <c r="B389" s="1514"/>
      <c r="C389" s="1499"/>
      <c r="D389" s="1499"/>
      <c r="E389" s="1499"/>
      <c r="F389" s="1515"/>
      <c r="G389" s="1499"/>
      <c r="H389" s="1263"/>
      <c r="I389" s="1512"/>
      <c r="J389" s="1263"/>
      <c r="K389" s="1263"/>
      <c r="L389" s="1263"/>
      <c r="M389" s="1263"/>
      <c r="N389" s="1263"/>
      <c r="O389" s="1263"/>
      <c r="P389" s="1263"/>
      <c r="Q389" s="1263"/>
      <c r="R389" s="1263"/>
      <c r="S389" s="1263"/>
      <c r="T389" s="1263"/>
      <c r="U389" s="1263"/>
      <c r="V389" s="1263"/>
      <c r="W389" s="1263"/>
    </row>
    <row r="390">
      <c r="A390" s="1513"/>
      <c r="B390" s="1514"/>
      <c r="C390" s="1499"/>
      <c r="D390" s="1499"/>
      <c r="E390" s="1499"/>
      <c r="F390" s="1515"/>
      <c r="G390" s="1499"/>
      <c r="H390" s="1263"/>
      <c r="I390" s="1512"/>
      <c r="J390" s="1263"/>
      <c r="K390" s="1263"/>
      <c r="L390" s="1263"/>
      <c r="M390" s="1263"/>
      <c r="N390" s="1263"/>
      <c r="O390" s="1263"/>
      <c r="P390" s="1263"/>
      <c r="Q390" s="1263"/>
      <c r="R390" s="1263"/>
      <c r="S390" s="1263"/>
      <c r="T390" s="1263"/>
      <c r="U390" s="1263"/>
      <c r="V390" s="1263"/>
      <c r="W390" s="1263"/>
    </row>
    <row r="391">
      <c r="A391" s="1513"/>
      <c r="B391" s="1514"/>
      <c r="C391" s="1499"/>
      <c r="D391" s="1499"/>
      <c r="E391" s="1499"/>
      <c r="F391" s="1515"/>
      <c r="G391" s="1499"/>
      <c r="H391" s="1263"/>
      <c r="I391" s="1512"/>
      <c r="J391" s="1263"/>
      <c r="K391" s="1263"/>
      <c r="L391" s="1263"/>
      <c r="M391" s="1263"/>
      <c r="N391" s="1263"/>
      <c r="O391" s="1263"/>
      <c r="P391" s="1263"/>
      <c r="Q391" s="1263"/>
      <c r="R391" s="1263"/>
      <c r="S391" s="1263"/>
      <c r="T391" s="1263"/>
      <c r="U391" s="1263"/>
      <c r="V391" s="1263"/>
      <c r="W391" s="1263"/>
    </row>
    <row r="392">
      <c r="A392" s="1513"/>
      <c r="B392" s="1514"/>
      <c r="C392" s="1499"/>
      <c r="D392" s="1499"/>
      <c r="E392" s="1499"/>
      <c r="F392" s="1515"/>
      <c r="G392" s="1499"/>
      <c r="H392" s="1263"/>
      <c r="I392" s="1512"/>
      <c r="J392" s="1263"/>
      <c r="K392" s="1263"/>
      <c r="L392" s="1263"/>
      <c r="M392" s="1263"/>
      <c r="N392" s="1263"/>
      <c r="O392" s="1263"/>
      <c r="P392" s="1263"/>
      <c r="Q392" s="1263"/>
      <c r="R392" s="1263"/>
      <c r="S392" s="1263"/>
      <c r="T392" s="1263"/>
      <c r="U392" s="1263"/>
      <c r="V392" s="1263"/>
      <c r="W392" s="1263"/>
    </row>
    <row r="393">
      <c r="A393" s="1513"/>
      <c r="B393" s="1514"/>
      <c r="C393" s="1499"/>
      <c r="D393" s="1499"/>
      <c r="E393" s="1499"/>
      <c r="F393" s="1515"/>
      <c r="G393" s="1499"/>
      <c r="H393" s="1263"/>
      <c r="I393" s="1512"/>
      <c r="J393" s="1263"/>
      <c r="K393" s="1263"/>
      <c r="L393" s="1263"/>
      <c r="M393" s="1263"/>
      <c r="N393" s="1263"/>
      <c r="O393" s="1263"/>
      <c r="P393" s="1263"/>
      <c r="Q393" s="1263"/>
      <c r="R393" s="1263"/>
      <c r="S393" s="1263"/>
      <c r="T393" s="1263"/>
      <c r="U393" s="1263"/>
      <c r="V393" s="1263"/>
      <c r="W393" s="1263"/>
    </row>
    <row r="394">
      <c r="A394" s="1513"/>
      <c r="B394" s="1514"/>
      <c r="C394" s="1499"/>
      <c r="D394" s="1499"/>
      <c r="E394" s="1499"/>
      <c r="F394" s="1515"/>
      <c r="G394" s="1499"/>
      <c r="H394" s="1263"/>
      <c r="I394" s="1512"/>
      <c r="J394" s="1263"/>
      <c r="K394" s="1263"/>
      <c r="L394" s="1263"/>
      <c r="M394" s="1263"/>
      <c r="N394" s="1263"/>
      <c r="O394" s="1263"/>
      <c r="P394" s="1263"/>
      <c r="Q394" s="1263"/>
      <c r="R394" s="1263"/>
      <c r="S394" s="1263"/>
      <c r="T394" s="1263"/>
      <c r="U394" s="1263"/>
      <c r="V394" s="1263"/>
      <c r="W394" s="1263"/>
    </row>
    <row r="395">
      <c r="A395" s="1513"/>
      <c r="B395" s="1514"/>
      <c r="C395" s="1499"/>
      <c r="D395" s="1499"/>
      <c r="E395" s="1499"/>
      <c r="F395" s="1515"/>
      <c r="G395" s="1499"/>
      <c r="H395" s="1263"/>
      <c r="I395" s="1512"/>
      <c r="J395" s="1263"/>
      <c r="K395" s="1263"/>
      <c r="L395" s="1263"/>
      <c r="M395" s="1263"/>
      <c r="N395" s="1263"/>
      <c r="O395" s="1263"/>
      <c r="P395" s="1263"/>
      <c r="Q395" s="1263"/>
      <c r="R395" s="1263"/>
      <c r="S395" s="1263"/>
      <c r="T395" s="1263"/>
      <c r="U395" s="1263"/>
      <c r="V395" s="1263"/>
      <c r="W395" s="1263"/>
    </row>
    <row r="396">
      <c r="A396" s="1513"/>
      <c r="B396" s="1514"/>
      <c r="C396" s="1499"/>
      <c r="D396" s="1499"/>
      <c r="E396" s="1499"/>
      <c r="F396" s="1515"/>
      <c r="G396" s="1499"/>
      <c r="H396" s="1263"/>
      <c r="I396" s="1512"/>
      <c r="J396" s="1263"/>
      <c r="K396" s="1263"/>
      <c r="L396" s="1263"/>
      <c r="M396" s="1263"/>
      <c r="N396" s="1263"/>
      <c r="O396" s="1263"/>
      <c r="P396" s="1263"/>
      <c r="Q396" s="1263"/>
      <c r="R396" s="1263"/>
      <c r="S396" s="1263"/>
      <c r="T396" s="1263"/>
      <c r="U396" s="1263"/>
      <c r="V396" s="1263"/>
      <c r="W396" s="1263"/>
    </row>
    <row r="397">
      <c r="A397" s="1513"/>
      <c r="B397" s="1514"/>
      <c r="C397" s="1499"/>
      <c r="D397" s="1499"/>
      <c r="E397" s="1499"/>
      <c r="F397" s="1515"/>
      <c r="G397" s="1499"/>
      <c r="H397" s="1263"/>
      <c r="I397" s="1512"/>
      <c r="J397" s="1263"/>
      <c r="K397" s="1263"/>
      <c r="L397" s="1263"/>
      <c r="M397" s="1263"/>
      <c r="N397" s="1263"/>
      <c r="O397" s="1263"/>
      <c r="P397" s="1263"/>
      <c r="Q397" s="1263"/>
      <c r="R397" s="1263"/>
      <c r="S397" s="1263"/>
      <c r="T397" s="1263"/>
      <c r="U397" s="1263"/>
      <c r="V397" s="1263"/>
      <c r="W397" s="1263"/>
    </row>
    <row r="398">
      <c r="A398" s="1513"/>
      <c r="B398" s="1514"/>
      <c r="C398" s="1499"/>
      <c r="D398" s="1499"/>
      <c r="E398" s="1499"/>
      <c r="F398" s="1515"/>
      <c r="G398" s="1499"/>
      <c r="H398" s="1263"/>
      <c r="I398" s="1512"/>
      <c r="J398" s="1263"/>
      <c r="K398" s="1263"/>
      <c r="L398" s="1263"/>
      <c r="M398" s="1263"/>
      <c r="N398" s="1263"/>
      <c r="O398" s="1263"/>
      <c r="P398" s="1263"/>
      <c r="Q398" s="1263"/>
      <c r="R398" s="1263"/>
      <c r="S398" s="1263"/>
      <c r="T398" s="1263"/>
      <c r="U398" s="1263"/>
      <c r="V398" s="1263"/>
      <c r="W398" s="1263"/>
    </row>
    <row r="399">
      <c r="A399" s="1513"/>
      <c r="B399" s="1514"/>
      <c r="C399" s="1499"/>
      <c r="D399" s="1499"/>
      <c r="E399" s="1499"/>
      <c r="F399" s="1515"/>
      <c r="G399" s="1499"/>
      <c r="H399" s="1263"/>
      <c r="I399" s="1512"/>
      <c r="J399" s="1263"/>
      <c r="K399" s="1263"/>
      <c r="L399" s="1263"/>
      <c r="M399" s="1263"/>
      <c r="N399" s="1263"/>
      <c r="O399" s="1263"/>
      <c r="P399" s="1263"/>
      <c r="Q399" s="1263"/>
      <c r="R399" s="1263"/>
      <c r="S399" s="1263"/>
      <c r="T399" s="1263"/>
      <c r="U399" s="1263"/>
      <c r="V399" s="1263"/>
      <c r="W399" s="1263"/>
    </row>
    <row r="400">
      <c r="A400" s="1513"/>
      <c r="B400" s="1514"/>
      <c r="C400" s="1499"/>
      <c r="D400" s="1499"/>
      <c r="E400" s="1499"/>
      <c r="F400" s="1515"/>
      <c r="G400" s="1499"/>
      <c r="H400" s="1263"/>
      <c r="I400" s="1512"/>
      <c r="J400" s="1263"/>
      <c r="K400" s="1263"/>
      <c r="L400" s="1263"/>
      <c r="M400" s="1263"/>
      <c r="N400" s="1263"/>
      <c r="O400" s="1263"/>
      <c r="P400" s="1263"/>
      <c r="Q400" s="1263"/>
      <c r="R400" s="1263"/>
      <c r="S400" s="1263"/>
      <c r="T400" s="1263"/>
      <c r="U400" s="1263"/>
      <c r="V400" s="1263"/>
      <c r="W400" s="1263"/>
    </row>
    <row r="401">
      <c r="A401" s="1513"/>
      <c r="B401" s="1514"/>
      <c r="C401" s="1499"/>
      <c r="D401" s="1499"/>
      <c r="E401" s="1499"/>
      <c r="F401" s="1515"/>
      <c r="G401" s="1499"/>
      <c r="H401" s="1263"/>
      <c r="I401" s="1512"/>
      <c r="J401" s="1263"/>
      <c r="K401" s="1263"/>
      <c r="L401" s="1263"/>
      <c r="M401" s="1263"/>
      <c r="N401" s="1263"/>
      <c r="O401" s="1263"/>
      <c r="P401" s="1263"/>
      <c r="Q401" s="1263"/>
      <c r="R401" s="1263"/>
      <c r="S401" s="1263"/>
      <c r="T401" s="1263"/>
      <c r="U401" s="1263"/>
      <c r="V401" s="1263"/>
      <c r="W401" s="1263"/>
    </row>
    <row r="402">
      <c r="A402" s="1513"/>
      <c r="B402" s="1514"/>
      <c r="C402" s="1499"/>
      <c r="D402" s="1499"/>
      <c r="E402" s="1499"/>
      <c r="F402" s="1515"/>
      <c r="G402" s="1499"/>
      <c r="H402" s="1263"/>
      <c r="I402" s="1512"/>
      <c r="J402" s="1263"/>
      <c r="K402" s="1263"/>
      <c r="L402" s="1263"/>
      <c r="M402" s="1263"/>
      <c r="N402" s="1263"/>
      <c r="O402" s="1263"/>
      <c r="P402" s="1263"/>
      <c r="Q402" s="1263"/>
      <c r="R402" s="1263"/>
      <c r="S402" s="1263"/>
      <c r="T402" s="1263"/>
      <c r="U402" s="1263"/>
      <c r="V402" s="1263"/>
      <c r="W402" s="1263"/>
    </row>
    <row r="403">
      <c r="A403" s="1513"/>
      <c r="B403" s="1514"/>
      <c r="C403" s="1499"/>
      <c r="D403" s="1499"/>
      <c r="E403" s="1499"/>
      <c r="F403" s="1515"/>
      <c r="G403" s="1499"/>
      <c r="H403" s="1263"/>
      <c r="I403" s="1512"/>
      <c r="J403" s="1263"/>
      <c r="K403" s="1263"/>
      <c r="L403" s="1263"/>
      <c r="M403" s="1263"/>
      <c r="N403" s="1263"/>
      <c r="O403" s="1263"/>
      <c r="P403" s="1263"/>
      <c r="Q403" s="1263"/>
      <c r="R403" s="1263"/>
      <c r="S403" s="1263"/>
      <c r="T403" s="1263"/>
      <c r="U403" s="1263"/>
      <c r="V403" s="1263"/>
      <c r="W403" s="1263"/>
    </row>
    <row r="404">
      <c r="A404" s="1513"/>
      <c r="B404" s="1514"/>
      <c r="C404" s="1499"/>
      <c r="D404" s="1499"/>
      <c r="E404" s="1499"/>
      <c r="F404" s="1515"/>
      <c r="G404" s="1499"/>
      <c r="H404" s="1263"/>
      <c r="I404" s="1512"/>
      <c r="J404" s="1263"/>
      <c r="K404" s="1263"/>
      <c r="L404" s="1263"/>
      <c r="M404" s="1263"/>
      <c r="N404" s="1263"/>
      <c r="O404" s="1263"/>
      <c r="P404" s="1263"/>
      <c r="Q404" s="1263"/>
      <c r="R404" s="1263"/>
      <c r="S404" s="1263"/>
      <c r="T404" s="1263"/>
      <c r="U404" s="1263"/>
      <c r="V404" s="1263"/>
      <c r="W404" s="1263"/>
    </row>
    <row r="405">
      <c r="A405" s="1513"/>
      <c r="B405" s="1514"/>
      <c r="C405" s="1499"/>
      <c r="D405" s="1499"/>
      <c r="E405" s="1499"/>
      <c r="F405" s="1515"/>
      <c r="G405" s="1499"/>
      <c r="H405" s="1263"/>
      <c r="I405" s="1512"/>
      <c r="J405" s="1263"/>
      <c r="K405" s="1263"/>
      <c r="L405" s="1263"/>
      <c r="M405" s="1263"/>
      <c r="N405" s="1263"/>
      <c r="O405" s="1263"/>
      <c r="P405" s="1263"/>
      <c r="Q405" s="1263"/>
      <c r="R405" s="1263"/>
      <c r="S405" s="1263"/>
      <c r="T405" s="1263"/>
      <c r="U405" s="1263"/>
      <c r="V405" s="1263"/>
      <c r="W405" s="1263"/>
    </row>
    <row r="406">
      <c r="A406" s="1513"/>
      <c r="B406" s="1514"/>
      <c r="C406" s="1499"/>
      <c r="D406" s="1499"/>
      <c r="E406" s="1499"/>
      <c r="F406" s="1515"/>
      <c r="G406" s="1499"/>
      <c r="H406" s="1263"/>
      <c r="I406" s="1512"/>
      <c r="J406" s="1263"/>
      <c r="K406" s="1263"/>
      <c r="L406" s="1263"/>
      <c r="M406" s="1263"/>
      <c r="N406" s="1263"/>
      <c r="O406" s="1263"/>
      <c r="P406" s="1263"/>
      <c r="Q406" s="1263"/>
      <c r="R406" s="1263"/>
      <c r="S406" s="1263"/>
      <c r="T406" s="1263"/>
      <c r="U406" s="1263"/>
      <c r="V406" s="1263"/>
      <c r="W406" s="1263"/>
    </row>
    <row r="407">
      <c r="A407" s="1513"/>
      <c r="B407" s="1514"/>
      <c r="C407" s="1499"/>
      <c r="D407" s="1499"/>
      <c r="E407" s="1499"/>
      <c r="F407" s="1515"/>
      <c r="G407" s="1499"/>
      <c r="H407" s="1263"/>
      <c r="I407" s="1512"/>
      <c r="J407" s="1263"/>
      <c r="K407" s="1263"/>
      <c r="L407" s="1263"/>
      <c r="M407" s="1263"/>
      <c r="N407" s="1263"/>
      <c r="O407" s="1263"/>
      <c r="P407" s="1263"/>
      <c r="Q407" s="1263"/>
      <c r="R407" s="1263"/>
      <c r="S407" s="1263"/>
      <c r="T407" s="1263"/>
      <c r="U407" s="1263"/>
      <c r="V407" s="1263"/>
      <c r="W407" s="1263"/>
    </row>
    <row r="408">
      <c r="A408" s="1513"/>
      <c r="B408" s="1514"/>
      <c r="C408" s="1499"/>
      <c r="D408" s="1499"/>
      <c r="E408" s="1499"/>
      <c r="F408" s="1515"/>
      <c r="G408" s="1499"/>
      <c r="H408" s="1263"/>
      <c r="I408" s="1512"/>
      <c r="J408" s="1263"/>
      <c r="K408" s="1263"/>
      <c r="L408" s="1263"/>
      <c r="M408" s="1263"/>
      <c r="N408" s="1263"/>
      <c r="O408" s="1263"/>
      <c r="P408" s="1263"/>
      <c r="Q408" s="1263"/>
      <c r="R408" s="1263"/>
      <c r="S408" s="1263"/>
      <c r="T408" s="1263"/>
      <c r="U408" s="1263"/>
      <c r="V408" s="1263"/>
      <c r="W408" s="1263"/>
    </row>
    <row r="409">
      <c r="A409" s="1513"/>
      <c r="B409" s="1514"/>
      <c r="C409" s="1499"/>
      <c r="D409" s="1499"/>
      <c r="E409" s="1499"/>
      <c r="F409" s="1515"/>
      <c r="G409" s="1499"/>
      <c r="H409" s="1263"/>
      <c r="I409" s="1512"/>
      <c r="J409" s="1263"/>
      <c r="K409" s="1263"/>
      <c r="L409" s="1263"/>
      <c r="M409" s="1263"/>
      <c r="N409" s="1263"/>
      <c r="O409" s="1263"/>
      <c r="P409" s="1263"/>
      <c r="Q409" s="1263"/>
      <c r="R409" s="1263"/>
      <c r="S409" s="1263"/>
      <c r="T409" s="1263"/>
      <c r="U409" s="1263"/>
      <c r="V409" s="1263"/>
      <c r="W409" s="1263"/>
    </row>
    <row r="410">
      <c r="A410" s="1513"/>
      <c r="B410" s="1514"/>
      <c r="C410" s="1499"/>
      <c r="D410" s="1499"/>
      <c r="E410" s="1499"/>
      <c r="F410" s="1515"/>
      <c r="G410" s="1499"/>
      <c r="H410" s="1263"/>
      <c r="I410" s="1512"/>
      <c r="J410" s="1263"/>
      <c r="K410" s="1263"/>
      <c r="L410" s="1263"/>
      <c r="M410" s="1263"/>
      <c r="N410" s="1263"/>
      <c r="O410" s="1263"/>
      <c r="P410" s="1263"/>
      <c r="Q410" s="1263"/>
      <c r="R410" s="1263"/>
      <c r="S410" s="1263"/>
      <c r="T410" s="1263"/>
      <c r="U410" s="1263"/>
      <c r="V410" s="1263"/>
      <c r="W410" s="1263"/>
    </row>
    <row r="411">
      <c r="A411" s="1513"/>
      <c r="B411" s="1514"/>
      <c r="C411" s="1499"/>
      <c r="D411" s="1499"/>
      <c r="E411" s="1499"/>
      <c r="F411" s="1515"/>
      <c r="G411" s="1499"/>
      <c r="H411" s="1263"/>
      <c r="I411" s="1512"/>
      <c r="J411" s="1263"/>
      <c r="K411" s="1263"/>
      <c r="L411" s="1263"/>
      <c r="M411" s="1263"/>
      <c r="N411" s="1263"/>
      <c r="O411" s="1263"/>
      <c r="P411" s="1263"/>
      <c r="Q411" s="1263"/>
      <c r="R411" s="1263"/>
      <c r="S411" s="1263"/>
      <c r="T411" s="1263"/>
      <c r="U411" s="1263"/>
      <c r="V411" s="1263"/>
      <c r="W411" s="1263"/>
    </row>
    <row r="412">
      <c r="A412" s="1513"/>
      <c r="B412" s="1514"/>
      <c r="C412" s="1499"/>
      <c r="D412" s="1499"/>
      <c r="E412" s="1499"/>
      <c r="F412" s="1515"/>
      <c r="G412" s="1499"/>
      <c r="H412" s="1263"/>
      <c r="I412" s="1512"/>
      <c r="J412" s="1263"/>
      <c r="K412" s="1263"/>
      <c r="L412" s="1263"/>
      <c r="M412" s="1263"/>
      <c r="N412" s="1263"/>
      <c r="O412" s="1263"/>
      <c r="P412" s="1263"/>
      <c r="Q412" s="1263"/>
      <c r="R412" s="1263"/>
      <c r="S412" s="1263"/>
      <c r="T412" s="1263"/>
      <c r="U412" s="1263"/>
      <c r="V412" s="1263"/>
      <c r="W412" s="1263"/>
    </row>
    <row r="413">
      <c r="A413" s="1513"/>
      <c r="B413" s="1514"/>
      <c r="C413" s="1499"/>
      <c r="D413" s="1499"/>
      <c r="E413" s="1499"/>
      <c r="F413" s="1515"/>
      <c r="G413" s="1499"/>
      <c r="H413" s="1263"/>
      <c r="I413" s="1512"/>
      <c r="J413" s="1263"/>
      <c r="K413" s="1263"/>
      <c r="L413" s="1263"/>
      <c r="M413" s="1263"/>
      <c r="N413" s="1263"/>
      <c r="O413" s="1263"/>
      <c r="P413" s="1263"/>
      <c r="Q413" s="1263"/>
      <c r="R413" s="1263"/>
      <c r="S413" s="1263"/>
      <c r="T413" s="1263"/>
      <c r="U413" s="1263"/>
      <c r="V413" s="1263"/>
      <c r="W413" s="1263"/>
    </row>
    <row r="414">
      <c r="A414" s="1513"/>
      <c r="B414" s="1514"/>
      <c r="C414" s="1499"/>
      <c r="D414" s="1499"/>
      <c r="E414" s="1499"/>
      <c r="F414" s="1515"/>
      <c r="G414" s="1499"/>
      <c r="H414" s="1263"/>
      <c r="I414" s="1512"/>
      <c r="J414" s="1263"/>
      <c r="K414" s="1263"/>
      <c r="L414" s="1263"/>
      <c r="M414" s="1263"/>
      <c r="N414" s="1263"/>
      <c r="O414" s="1263"/>
      <c r="P414" s="1263"/>
      <c r="Q414" s="1263"/>
      <c r="R414" s="1263"/>
      <c r="S414" s="1263"/>
      <c r="T414" s="1263"/>
      <c r="U414" s="1263"/>
      <c r="V414" s="1263"/>
      <c r="W414" s="1263"/>
    </row>
    <row r="415">
      <c r="A415" s="1513"/>
      <c r="B415" s="1514"/>
      <c r="C415" s="1499"/>
      <c r="D415" s="1499"/>
      <c r="E415" s="1499"/>
      <c r="F415" s="1515"/>
      <c r="G415" s="1499"/>
      <c r="H415" s="1263"/>
      <c r="I415" s="1512"/>
      <c r="J415" s="1263"/>
      <c r="K415" s="1263"/>
      <c r="L415" s="1263"/>
      <c r="M415" s="1263"/>
      <c r="N415" s="1263"/>
      <c r="O415" s="1263"/>
      <c r="P415" s="1263"/>
      <c r="Q415" s="1263"/>
      <c r="R415" s="1263"/>
      <c r="S415" s="1263"/>
      <c r="T415" s="1263"/>
      <c r="U415" s="1263"/>
      <c r="V415" s="1263"/>
      <c r="W415" s="1263"/>
    </row>
    <row r="416">
      <c r="A416" s="1513"/>
      <c r="B416" s="1514"/>
      <c r="C416" s="1499"/>
      <c r="D416" s="1499"/>
      <c r="E416" s="1499"/>
      <c r="F416" s="1515"/>
      <c r="G416" s="1499"/>
      <c r="H416" s="1263"/>
      <c r="I416" s="1512"/>
      <c r="J416" s="1263"/>
      <c r="K416" s="1263"/>
      <c r="L416" s="1263"/>
      <c r="M416" s="1263"/>
      <c r="N416" s="1263"/>
      <c r="O416" s="1263"/>
      <c r="P416" s="1263"/>
      <c r="Q416" s="1263"/>
      <c r="R416" s="1263"/>
      <c r="S416" s="1263"/>
      <c r="T416" s="1263"/>
      <c r="U416" s="1263"/>
      <c r="V416" s="1263"/>
      <c r="W416" s="1263"/>
    </row>
    <row r="417">
      <c r="A417" s="1513"/>
      <c r="B417" s="1514"/>
      <c r="C417" s="1499"/>
      <c r="D417" s="1499"/>
      <c r="E417" s="1499"/>
      <c r="F417" s="1515"/>
      <c r="G417" s="1499"/>
      <c r="H417" s="1263"/>
      <c r="I417" s="1512"/>
      <c r="J417" s="1263"/>
      <c r="K417" s="1263"/>
      <c r="L417" s="1263"/>
      <c r="M417" s="1263"/>
      <c r="N417" s="1263"/>
      <c r="O417" s="1263"/>
      <c r="P417" s="1263"/>
      <c r="Q417" s="1263"/>
      <c r="R417" s="1263"/>
      <c r="S417" s="1263"/>
      <c r="T417" s="1263"/>
      <c r="U417" s="1263"/>
      <c r="V417" s="1263"/>
      <c r="W417" s="1263"/>
    </row>
    <row r="418">
      <c r="A418" s="1513"/>
      <c r="B418" s="1514"/>
      <c r="C418" s="1499"/>
      <c r="D418" s="1499"/>
      <c r="E418" s="1499"/>
      <c r="F418" s="1515"/>
      <c r="G418" s="1499"/>
      <c r="H418" s="1263"/>
      <c r="I418" s="1512"/>
      <c r="J418" s="1263"/>
      <c r="K418" s="1263"/>
      <c r="L418" s="1263"/>
      <c r="M418" s="1263"/>
      <c r="N418" s="1263"/>
      <c r="O418" s="1263"/>
      <c r="P418" s="1263"/>
      <c r="Q418" s="1263"/>
      <c r="R418" s="1263"/>
      <c r="S418" s="1263"/>
      <c r="T418" s="1263"/>
      <c r="U418" s="1263"/>
      <c r="V418" s="1263"/>
      <c r="W418" s="1263"/>
    </row>
    <row r="419">
      <c r="A419" s="1513"/>
      <c r="B419" s="1514"/>
      <c r="C419" s="1499"/>
      <c r="D419" s="1499"/>
      <c r="E419" s="1499"/>
      <c r="F419" s="1515"/>
      <c r="G419" s="1499"/>
      <c r="H419" s="1263"/>
      <c r="I419" s="1512"/>
      <c r="J419" s="1263"/>
      <c r="K419" s="1263"/>
      <c r="L419" s="1263"/>
      <c r="M419" s="1263"/>
      <c r="N419" s="1263"/>
      <c r="O419" s="1263"/>
      <c r="P419" s="1263"/>
      <c r="Q419" s="1263"/>
      <c r="R419" s="1263"/>
      <c r="S419" s="1263"/>
      <c r="T419" s="1263"/>
      <c r="U419" s="1263"/>
      <c r="V419" s="1263"/>
      <c r="W419" s="1263"/>
    </row>
    <row r="420">
      <c r="A420" s="1513"/>
      <c r="B420" s="1514"/>
      <c r="C420" s="1499"/>
      <c r="D420" s="1499"/>
      <c r="E420" s="1499"/>
      <c r="F420" s="1515"/>
      <c r="G420" s="1499"/>
      <c r="H420" s="1263"/>
      <c r="I420" s="1512"/>
      <c r="J420" s="1263"/>
      <c r="K420" s="1263"/>
      <c r="L420" s="1263"/>
      <c r="M420" s="1263"/>
      <c r="N420" s="1263"/>
      <c r="O420" s="1263"/>
      <c r="P420" s="1263"/>
      <c r="Q420" s="1263"/>
      <c r="R420" s="1263"/>
      <c r="S420" s="1263"/>
      <c r="T420" s="1263"/>
      <c r="U420" s="1263"/>
      <c r="V420" s="1263"/>
      <c r="W420" s="1263"/>
    </row>
    <row r="421">
      <c r="A421" s="1513"/>
      <c r="B421" s="1514"/>
      <c r="C421" s="1499"/>
      <c r="D421" s="1499"/>
      <c r="E421" s="1499"/>
      <c r="F421" s="1515"/>
      <c r="G421" s="1499"/>
      <c r="H421" s="1263"/>
      <c r="I421" s="1512"/>
      <c r="J421" s="1263"/>
      <c r="K421" s="1263"/>
      <c r="L421" s="1263"/>
      <c r="M421" s="1263"/>
      <c r="N421" s="1263"/>
      <c r="O421" s="1263"/>
      <c r="P421" s="1263"/>
      <c r="Q421" s="1263"/>
      <c r="R421" s="1263"/>
      <c r="S421" s="1263"/>
      <c r="T421" s="1263"/>
      <c r="U421" s="1263"/>
      <c r="V421" s="1263"/>
      <c r="W421" s="1263"/>
    </row>
    <row r="422">
      <c r="A422" s="1513"/>
      <c r="B422" s="1514"/>
      <c r="C422" s="1499"/>
      <c r="D422" s="1499"/>
      <c r="E422" s="1499"/>
      <c r="F422" s="1515"/>
      <c r="G422" s="1499"/>
      <c r="H422" s="1263"/>
      <c r="I422" s="1512"/>
      <c r="J422" s="1263"/>
      <c r="K422" s="1263"/>
      <c r="L422" s="1263"/>
      <c r="M422" s="1263"/>
      <c r="N422" s="1263"/>
      <c r="O422" s="1263"/>
      <c r="P422" s="1263"/>
      <c r="Q422" s="1263"/>
      <c r="R422" s="1263"/>
      <c r="S422" s="1263"/>
      <c r="T422" s="1263"/>
      <c r="U422" s="1263"/>
      <c r="V422" s="1263"/>
      <c r="W422" s="1263"/>
    </row>
    <row r="423">
      <c r="A423" s="1513"/>
      <c r="B423" s="1514"/>
      <c r="C423" s="1499"/>
      <c r="D423" s="1499"/>
      <c r="E423" s="1499"/>
      <c r="F423" s="1515"/>
      <c r="G423" s="1499"/>
      <c r="H423" s="1263"/>
      <c r="I423" s="1512"/>
      <c r="J423" s="1263"/>
      <c r="K423" s="1263"/>
      <c r="L423" s="1263"/>
      <c r="M423" s="1263"/>
      <c r="N423" s="1263"/>
      <c r="O423" s="1263"/>
      <c r="P423" s="1263"/>
      <c r="Q423" s="1263"/>
      <c r="R423" s="1263"/>
      <c r="S423" s="1263"/>
      <c r="T423" s="1263"/>
      <c r="U423" s="1263"/>
      <c r="V423" s="1263"/>
      <c r="W423" s="1263"/>
    </row>
    <row r="424">
      <c r="A424" s="1513"/>
      <c r="B424" s="1514"/>
      <c r="C424" s="1499"/>
      <c r="D424" s="1499"/>
      <c r="E424" s="1499"/>
      <c r="F424" s="1515"/>
      <c r="G424" s="1499"/>
      <c r="H424" s="1263"/>
      <c r="I424" s="1512"/>
      <c r="J424" s="1263"/>
      <c r="K424" s="1263"/>
      <c r="L424" s="1263"/>
      <c r="M424" s="1263"/>
      <c r="N424" s="1263"/>
      <c r="O424" s="1263"/>
      <c r="P424" s="1263"/>
      <c r="Q424" s="1263"/>
      <c r="R424" s="1263"/>
      <c r="S424" s="1263"/>
      <c r="T424" s="1263"/>
      <c r="U424" s="1263"/>
      <c r="V424" s="1263"/>
      <c r="W424" s="1263"/>
    </row>
    <row r="425">
      <c r="A425" s="1513"/>
      <c r="B425" s="1514"/>
      <c r="C425" s="1499"/>
      <c r="D425" s="1499"/>
      <c r="E425" s="1499"/>
      <c r="F425" s="1515"/>
      <c r="G425" s="1499"/>
      <c r="H425" s="1263"/>
      <c r="I425" s="1512"/>
      <c r="J425" s="1263"/>
      <c r="K425" s="1263"/>
      <c r="L425" s="1263"/>
      <c r="M425" s="1263"/>
      <c r="N425" s="1263"/>
      <c r="O425" s="1263"/>
      <c r="P425" s="1263"/>
      <c r="Q425" s="1263"/>
      <c r="R425" s="1263"/>
      <c r="S425" s="1263"/>
      <c r="T425" s="1263"/>
      <c r="U425" s="1263"/>
      <c r="V425" s="1263"/>
      <c r="W425" s="1263"/>
    </row>
    <row r="426">
      <c r="A426" s="1513"/>
      <c r="B426" s="1514"/>
      <c r="C426" s="1499"/>
      <c r="D426" s="1499"/>
      <c r="E426" s="1499"/>
      <c r="F426" s="1515"/>
      <c r="G426" s="1499"/>
      <c r="H426" s="1263"/>
      <c r="I426" s="1512"/>
      <c r="J426" s="1263"/>
      <c r="K426" s="1263"/>
      <c r="L426" s="1263"/>
      <c r="M426" s="1263"/>
      <c r="N426" s="1263"/>
      <c r="O426" s="1263"/>
      <c r="P426" s="1263"/>
      <c r="Q426" s="1263"/>
      <c r="R426" s="1263"/>
      <c r="S426" s="1263"/>
      <c r="T426" s="1263"/>
      <c r="U426" s="1263"/>
      <c r="V426" s="1263"/>
      <c r="W426" s="1263"/>
    </row>
    <row r="427">
      <c r="A427" s="1513"/>
      <c r="B427" s="1514"/>
      <c r="C427" s="1499"/>
      <c r="D427" s="1499"/>
      <c r="E427" s="1499"/>
      <c r="F427" s="1515"/>
      <c r="G427" s="1499"/>
      <c r="H427" s="1263"/>
      <c r="I427" s="1512"/>
      <c r="J427" s="1263"/>
      <c r="K427" s="1263"/>
      <c r="L427" s="1263"/>
      <c r="M427" s="1263"/>
      <c r="N427" s="1263"/>
      <c r="O427" s="1263"/>
      <c r="P427" s="1263"/>
      <c r="Q427" s="1263"/>
      <c r="R427" s="1263"/>
      <c r="S427" s="1263"/>
      <c r="T427" s="1263"/>
      <c r="U427" s="1263"/>
      <c r="V427" s="1263"/>
      <c r="W427" s="1263"/>
    </row>
    <row r="428">
      <c r="A428" s="1513"/>
      <c r="B428" s="1514"/>
      <c r="C428" s="1499"/>
      <c r="D428" s="1499"/>
      <c r="E428" s="1499"/>
      <c r="F428" s="1515"/>
      <c r="G428" s="1499"/>
      <c r="H428" s="1263"/>
      <c r="I428" s="1512"/>
      <c r="J428" s="1263"/>
      <c r="K428" s="1263"/>
      <c r="L428" s="1263"/>
      <c r="M428" s="1263"/>
      <c r="N428" s="1263"/>
      <c r="O428" s="1263"/>
      <c r="P428" s="1263"/>
      <c r="Q428" s="1263"/>
      <c r="R428" s="1263"/>
      <c r="S428" s="1263"/>
      <c r="T428" s="1263"/>
      <c r="U428" s="1263"/>
      <c r="V428" s="1263"/>
      <c r="W428" s="1263"/>
    </row>
    <row r="429">
      <c r="A429" s="1513"/>
      <c r="B429" s="1514"/>
      <c r="C429" s="1499"/>
      <c r="D429" s="1499"/>
      <c r="E429" s="1499"/>
      <c r="F429" s="1515"/>
      <c r="G429" s="1499"/>
      <c r="H429" s="1263"/>
      <c r="I429" s="1512"/>
      <c r="J429" s="1263"/>
      <c r="K429" s="1263"/>
      <c r="L429" s="1263"/>
      <c r="M429" s="1263"/>
      <c r="N429" s="1263"/>
      <c r="O429" s="1263"/>
      <c r="P429" s="1263"/>
      <c r="Q429" s="1263"/>
      <c r="R429" s="1263"/>
      <c r="S429" s="1263"/>
      <c r="T429" s="1263"/>
      <c r="U429" s="1263"/>
      <c r="V429" s="1263"/>
      <c r="W429" s="1263"/>
    </row>
    <row r="430">
      <c r="A430" s="1513"/>
      <c r="B430" s="1514"/>
      <c r="C430" s="1499"/>
      <c r="D430" s="1499"/>
      <c r="E430" s="1499"/>
      <c r="F430" s="1515"/>
      <c r="G430" s="1499"/>
      <c r="H430" s="1263"/>
      <c r="I430" s="1512"/>
      <c r="J430" s="1263"/>
      <c r="K430" s="1263"/>
      <c r="L430" s="1263"/>
      <c r="M430" s="1263"/>
      <c r="N430" s="1263"/>
      <c r="O430" s="1263"/>
      <c r="P430" s="1263"/>
      <c r="Q430" s="1263"/>
      <c r="R430" s="1263"/>
      <c r="S430" s="1263"/>
      <c r="T430" s="1263"/>
      <c r="U430" s="1263"/>
      <c r="V430" s="1263"/>
      <c r="W430" s="1263"/>
    </row>
    <row r="431">
      <c r="A431" s="1513"/>
      <c r="B431" s="1514"/>
      <c r="C431" s="1499"/>
      <c r="D431" s="1499"/>
      <c r="E431" s="1499"/>
      <c r="F431" s="1515"/>
      <c r="G431" s="1499"/>
      <c r="H431" s="1263"/>
      <c r="I431" s="1512"/>
      <c r="J431" s="1263"/>
      <c r="K431" s="1263"/>
      <c r="L431" s="1263"/>
      <c r="M431" s="1263"/>
      <c r="N431" s="1263"/>
      <c r="O431" s="1263"/>
      <c r="P431" s="1263"/>
      <c r="Q431" s="1263"/>
      <c r="R431" s="1263"/>
      <c r="S431" s="1263"/>
      <c r="T431" s="1263"/>
      <c r="U431" s="1263"/>
      <c r="V431" s="1263"/>
      <c r="W431" s="1263"/>
    </row>
    <row r="432">
      <c r="A432" s="1513"/>
      <c r="B432" s="1514"/>
      <c r="C432" s="1499"/>
      <c r="D432" s="1499"/>
      <c r="E432" s="1499"/>
      <c r="F432" s="1515"/>
      <c r="G432" s="1499"/>
      <c r="H432" s="1263"/>
      <c r="I432" s="1512"/>
      <c r="J432" s="1263"/>
      <c r="K432" s="1263"/>
      <c r="L432" s="1263"/>
      <c r="M432" s="1263"/>
      <c r="N432" s="1263"/>
      <c r="O432" s="1263"/>
      <c r="P432" s="1263"/>
      <c r="Q432" s="1263"/>
      <c r="R432" s="1263"/>
      <c r="S432" s="1263"/>
      <c r="T432" s="1263"/>
      <c r="U432" s="1263"/>
      <c r="V432" s="1263"/>
      <c r="W432" s="1263"/>
    </row>
    <row r="433">
      <c r="A433" s="1513"/>
      <c r="B433" s="1514"/>
      <c r="C433" s="1499"/>
      <c r="D433" s="1499"/>
      <c r="E433" s="1499"/>
      <c r="F433" s="1515"/>
      <c r="G433" s="1499"/>
      <c r="H433" s="1263"/>
      <c r="I433" s="1512"/>
      <c r="J433" s="1263"/>
      <c r="K433" s="1263"/>
      <c r="L433" s="1263"/>
      <c r="M433" s="1263"/>
      <c r="N433" s="1263"/>
      <c r="O433" s="1263"/>
      <c r="P433" s="1263"/>
      <c r="Q433" s="1263"/>
      <c r="R433" s="1263"/>
      <c r="S433" s="1263"/>
      <c r="T433" s="1263"/>
      <c r="U433" s="1263"/>
      <c r="V433" s="1263"/>
      <c r="W433" s="1263"/>
    </row>
    <row r="434">
      <c r="A434" s="1513"/>
      <c r="B434" s="1514"/>
      <c r="C434" s="1499"/>
      <c r="D434" s="1499"/>
      <c r="E434" s="1499"/>
      <c r="F434" s="1515"/>
      <c r="G434" s="1499"/>
      <c r="H434" s="1263"/>
      <c r="I434" s="1512"/>
      <c r="J434" s="1263"/>
      <c r="K434" s="1263"/>
      <c r="L434" s="1263"/>
      <c r="M434" s="1263"/>
      <c r="N434" s="1263"/>
      <c r="O434" s="1263"/>
      <c r="P434" s="1263"/>
      <c r="Q434" s="1263"/>
      <c r="R434" s="1263"/>
      <c r="S434" s="1263"/>
      <c r="T434" s="1263"/>
      <c r="U434" s="1263"/>
      <c r="V434" s="1263"/>
      <c r="W434" s="1263"/>
    </row>
    <row r="435">
      <c r="A435" s="1513"/>
      <c r="B435" s="1514"/>
      <c r="C435" s="1499"/>
      <c r="D435" s="1499"/>
      <c r="E435" s="1499"/>
      <c r="F435" s="1515"/>
      <c r="G435" s="1499"/>
      <c r="H435" s="1263"/>
      <c r="I435" s="1512"/>
      <c r="J435" s="1263"/>
      <c r="K435" s="1263"/>
      <c r="L435" s="1263"/>
      <c r="M435" s="1263"/>
      <c r="N435" s="1263"/>
      <c r="O435" s="1263"/>
      <c r="P435" s="1263"/>
      <c r="Q435" s="1263"/>
      <c r="R435" s="1263"/>
      <c r="S435" s="1263"/>
      <c r="T435" s="1263"/>
      <c r="U435" s="1263"/>
      <c r="V435" s="1263"/>
      <c r="W435" s="1263"/>
    </row>
    <row r="436">
      <c r="A436" s="1513"/>
      <c r="B436" s="1514"/>
      <c r="C436" s="1499"/>
      <c r="D436" s="1499"/>
      <c r="E436" s="1499"/>
      <c r="F436" s="1515"/>
      <c r="G436" s="1499"/>
      <c r="H436" s="1263"/>
      <c r="I436" s="1512"/>
      <c r="J436" s="1263"/>
      <c r="K436" s="1263"/>
      <c r="L436" s="1263"/>
      <c r="M436" s="1263"/>
      <c r="N436" s="1263"/>
      <c r="O436" s="1263"/>
      <c r="P436" s="1263"/>
      <c r="Q436" s="1263"/>
      <c r="R436" s="1263"/>
      <c r="S436" s="1263"/>
      <c r="T436" s="1263"/>
      <c r="U436" s="1263"/>
      <c r="V436" s="1263"/>
      <c r="W436" s="1263"/>
    </row>
    <row r="437">
      <c r="A437" s="1513"/>
      <c r="B437" s="1514"/>
      <c r="C437" s="1499"/>
      <c r="D437" s="1499"/>
      <c r="E437" s="1499"/>
      <c r="F437" s="1515"/>
      <c r="G437" s="1499"/>
      <c r="H437" s="1263"/>
      <c r="I437" s="1512"/>
      <c r="J437" s="1263"/>
      <c r="K437" s="1263"/>
      <c r="L437" s="1263"/>
      <c r="M437" s="1263"/>
      <c r="N437" s="1263"/>
      <c r="O437" s="1263"/>
      <c r="P437" s="1263"/>
      <c r="Q437" s="1263"/>
      <c r="R437" s="1263"/>
      <c r="S437" s="1263"/>
      <c r="T437" s="1263"/>
      <c r="U437" s="1263"/>
      <c r="V437" s="1263"/>
      <c r="W437" s="1263"/>
    </row>
    <row r="438">
      <c r="A438" s="1513"/>
      <c r="B438" s="1514"/>
      <c r="C438" s="1499"/>
      <c r="D438" s="1499"/>
      <c r="E438" s="1499"/>
      <c r="F438" s="1515"/>
      <c r="G438" s="1499"/>
      <c r="H438" s="1263"/>
      <c r="I438" s="1512"/>
      <c r="J438" s="1263"/>
      <c r="K438" s="1263"/>
      <c r="L438" s="1263"/>
      <c r="M438" s="1263"/>
      <c r="N438" s="1263"/>
      <c r="O438" s="1263"/>
      <c r="P438" s="1263"/>
      <c r="Q438" s="1263"/>
      <c r="R438" s="1263"/>
      <c r="S438" s="1263"/>
      <c r="T438" s="1263"/>
      <c r="U438" s="1263"/>
      <c r="V438" s="1263"/>
      <c r="W438" s="1263"/>
    </row>
    <row r="439">
      <c r="A439" s="1513"/>
      <c r="B439" s="1514"/>
      <c r="C439" s="1499"/>
      <c r="D439" s="1499"/>
      <c r="E439" s="1499"/>
      <c r="F439" s="1515"/>
      <c r="G439" s="1499"/>
      <c r="H439" s="1263"/>
      <c r="I439" s="1512"/>
      <c r="J439" s="1263"/>
      <c r="K439" s="1263"/>
      <c r="L439" s="1263"/>
      <c r="M439" s="1263"/>
      <c r="N439" s="1263"/>
      <c r="O439" s="1263"/>
      <c r="P439" s="1263"/>
      <c r="Q439" s="1263"/>
      <c r="R439" s="1263"/>
      <c r="S439" s="1263"/>
      <c r="T439" s="1263"/>
      <c r="U439" s="1263"/>
      <c r="V439" s="1263"/>
      <c r="W439" s="1263"/>
    </row>
    <row r="440">
      <c r="A440" s="1513"/>
      <c r="B440" s="1514"/>
      <c r="C440" s="1499"/>
      <c r="D440" s="1499"/>
      <c r="E440" s="1499"/>
      <c r="F440" s="1515"/>
      <c r="G440" s="1499"/>
      <c r="H440" s="1263"/>
      <c r="I440" s="1512"/>
      <c r="J440" s="1263"/>
      <c r="K440" s="1263"/>
      <c r="L440" s="1263"/>
      <c r="M440" s="1263"/>
      <c r="N440" s="1263"/>
      <c r="O440" s="1263"/>
      <c r="P440" s="1263"/>
      <c r="Q440" s="1263"/>
      <c r="R440" s="1263"/>
      <c r="S440" s="1263"/>
      <c r="T440" s="1263"/>
      <c r="U440" s="1263"/>
      <c r="V440" s="1263"/>
      <c r="W440" s="1263"/>
    </row>
    <row r="441">
      <c r="A441" s="1513"/>
      <c r="B441" s="1514"/>
      <c r="C441" s="1499"/>
      <c r="D441" s="1499"/>
      <c r="E441" s="1499"/>
      <c r="F441" s="1515"/>
      <c r="G441" s="1499"/>
      <c r="H441" s="1263"/>
      <c r="I441" s="1512"/>
      <c r="J441" s="1263"/>
      <c r="K441" s="1263"/>
      <c r="L441" s="1263"/>
      <c r="M441" s="1263"/>
      <c r="N441" s="1263"/>
      <c r="O441" s="1263"/>
      <c r="P441" s="1263"/>
      <c r="Q441" s="1263"/>
      <c r="R441" s="1263"/>
      <c r="S441" s="1263"/>
      <c r="T441" s="1263"/>
      <c r="U441" s="1263"/>
      <c r="V441" s="1263"/>
      <c r="W441" s="1263"/>
    </row>
    <row r="442">
      <c r="A442" s="1513"/>
      <c r="B442" s="1514"/>
      <c r="C442" s="1499"/>
      <c r="D442" s="1499"/>
      <c r="E442" s="1499"/>
      <c r="F442" s="1515"/>
      <c r="G442" s="1499"/>
      <c r="H442" s="1263"/>
      <c r="I442" s="1512"/>
      <c r="J442" s="1263"/>
      <c r="K442" s="1263"/>
      <c r="L442" s="1263"/>
      <c r="M442" s="1263"/>
      <c r="N442" s="1263"/>
      <c r="O442" s="1263"/>
      <c r="P442" s="1263"/>
      <c r="Q442" s="1263"/>
      <c r="R442" s="1263"/>
      <c r="S442" s="1263"/>
      <c r="T442" s="1263"/>
      <c r="U442" s="1263"/>
      <c r="V442" s="1263"/>
      <c r="W442" s="1263"/>
    </row>
    <row r="443">
      <c r="A443" s="1513"/>
      <c r="B443" s="1514"/>
      <c r="C443" s="1499"/>
      <c r="D443" s="1499"/>
      <c r="E443" s="1499"/>
      <c r="F443" s="1515"/>
      <c r="G443" s="1499"/>
      <c r="H443" s="1263"/>
      <c r="I443" s="1512"/>
      <c r="J443" s="1263"/>
      <c r="K443" s="1263"/>
      <c r="L443" s="1263"/>
      <c r="M443" s="1263"/>
      <c r="N443" s="1263"/>
      <c r="O443" s="1263"/>
      <c r="P443" s="1263"/>
      <c r="Q443" s="1263"/>
      <c r="R443" s="1263"/>
      <c r="S443" s="1263"/>
      <c r="T443" s="1263"/>
      <c r="U443" s="1263"/>
      <c r="V443" s="1263"/>
      <c r="W443" s="1263"/>
    </row>
    <row r="444">
      <c r="A444" s="1513"/>
      <c r="B444" s="1514"/>
      <c r="C444" s="1499"/>
      <c r="D444" s="1499"/>
      <c r="E444" s="1499"/>
      <c r="F444" s="1515"/>
      <c r="G444" s="1499"/>
      <c r="H444" s="1263"/>
      <c r="I444" s="1512"/>
      <c r="J444" s="1263"/>
      <c r="K444" s="1263"/>
      <c r="L444" s="1263"/>
      <c r="M444" s="1263"/>
      <c r="N444" s="1263"/>
      <c r="O444" s="1263"/>
      <c r="P444" s="1263"/>
      <c r="Q444" s="1263"/>
      <c r="R444" s="1263"/>
      <c r="S444" s="1263"/>
      <c r="T444" s="1263"/>
      <c r="U444" s="1263"/>
      <c r="V444" s="1263"/>
      <c r="W444" s="1263"/>
    </row>
    <row r="445">
      <c r="A445" s="1513"/>
      <c r="B445" s="1514"/>
      <c r="C445" s="1499"/>
      <c r="D445" s="1499"/>
      <c r="E445" s="1499"/>
      <c r="F445" s="1515"/>
      <c r="G445" s="1499"/>
      <c r="H445" s="1263"/>
      <c r="I445" s="1512"/>
      <c r="J445" s="1263"/>
      <c r="K445" s="1263"/>
      <c r="L445" s="1263"/>
      <c r="M445" s="1263"/>
      <c r="N445" s="1263"/>
      <c r="O445" s="1263"/>
      <c r="P445" s="1263"/>
      <c r="Q445" s="1263"/>
      <c r="R445" s="1263"/>
      <c r="S445" s="1263"/>
      <c r="T445" s="1263"/>
      <c r="U445" s="1263"/>
      <c r="V445" s="1263"/>
      <c r="W445" s="1263"/>
    </row>
    <row r="446">
      <c r="A446" s="1513"/>
      <c r="B446" s="1514"/>
      <c r="C446" s="1499"/>
      <c r="D446" s="1499"/>
      <c r="E446" s="1499"/>
      <c r="F446" s="1515"/>
      <c r="G446" s="1499"/>
      <c r="H446" s="1263"/>
      <c r="I446" s="1512"/>
      <c r="J446" s="1263"/>
      <c r="K446" s="1263"/>
      <c r="L446" s="1263"/>
      <c r="M446" s="1263"/>
      <c r="N446" s="1263"/>
      <c r="O446" s="1263"/>
      <c r="P446" s="1263"/>
      <c r="Q446" s="1263"/>
      <c r="R446" s="1263"/>
      <c r="S446" s="1263"/>
      <c r="T446" s="1263"/>
      <c r="U446" s="1263"/>
      <c r="V446" s="1263"/>
      <c r="W446" s="1263"/>
    </row>
    <row r="447">
      <c r="A447" s="1513"/>
      <c r="B447" s="1514"/>
      <c r="C447" s="1499"/>
      <c r="D447" s="1499"/>
      <c r="E447" s="1499"/>
      <c r="F447" s="1515"/>
      <c r="G447" s="1499"/>
      <c r="H447" s="1263"/>
      <c r="I447" s="1512"/>
      <c r="J447" s="1263"/>
      <c r="K447" s="1263"/>
      <c r="L447" s="1263"/>
      <c r="M447" s="1263"/>
      <c r="N447" s="1263"/>
      <c r="O447" s="1263"/>
      <c r="P447" s="1263"/>
      <c r="Q447" s="1263"/>
      <c r="R447" s="1263"/>
      <c r="S447" s="1263"/>
      <c r="T447" s="1263"/>
      <c r="U447" s="1263"/>
      <c r="V447" s="1263"/>
      <c r="W447" s="1263"/>
    </row>
    <row r="448">
      <c r="A448" s="1513"/>
      <c r="B448" s="1514"/>
      <c r="C448" s="1499"/>
      <c r="D448" s="1499"/>
      <c r="E448" s="1499"/>
      <c r="F448" s="1515"/>
      <c r="G448" s="1499"/>
      <c r="H448" s="1263"/>
      <c r="I448" s="1512"/>
      <c r="J448" s="1263"/>
      <c r="K448" s="1263"/>
      <c r="L448" s="1263"/>
      <c r="M448" s="1263"/>
      <c r="N448" s="1263"/>
      <c r="O448" s="1263"/>
      <c r="P448" s="1263"/>
      <c r="Q448" s="1263"/>
      <c r="R448" s="1263"/>
      <c r="S448" s="1263"/>
      <c r="T448" s="1263"/>
      <c r="U448" s="1263"/>
      <c r="V448" s="1263"/>
      <c r="W448" s="1263"/>
    </row>
    <row r="449">
      <c r="A449" s="1513"/>
      <c r="B449" s="1514"/>
      <c r="C449" s="1499"/>
      <c r="D449" s="1499"/>
      <c r="E449" s="1499"/>
      <c r="F449" s="1515"/>
      <c r="G449" s="1499"/>
      <c r="H449" s="1263"/>
      <c r="I449" s="1512"/>
      <c r="J449" s="1263"/>
      <c r="K449" s="1263"/>
      <c r="L449" s="1263"/>
      <c r="M449" s="1263"/>
      <c r="N449" s="1263"/>
      <c r="O449" s="1263"/>
      <c r="P449" s="1263"/>
      <c r="Q449" s="1263"/>
      <c r="R449" s="1263"/>
      <c r="S449" s="1263"/>
      <c r="T449" s="1263"/>
      <c r="U449" s="1263"/>
      <c r="V449" s="1263"/>
      <c r="W449" s="1263"/>
    </row>
    <row r="450">
      <c r="A450" s="1513"/>
      <c r="B450" s="1514"/>
      <c r="C450" s="1499"/>
      <c r="D450" s="1499"/>
      <c r="E450" s="1499"/>
      <c r="F450" s="1515"/>
      <c r="G450" s="1499"/>
      <c r="H450" s="1263"/>
      <c r="I450" s="1512"/>
      <c r="J450" s="1263"/>
      <c r="K450" s="1263"/>
      <c r="L450" s="1263"/>
      <c r="M450" s="1263"/>
      <c r="N450" s="1263"/>
      <c r="O450" s="1263"/>
      <c r="P450" s="1263"/>
      <c r="Q450" s="1263"/>
      <c r="R450" s="1263"/>
      <c r="S450" s="1263"/>
      <c r="T450" s="1263"/>
      <c r="U450" s="1263"/>
      <c r="V450" s="1263"/>
      <c r="W450" s="1263"/>
    </row>
    <row r="451">
      <c r="A451" s="1513"/>
      <c r="B451" s="1514"/>
      <c r="C451" s="1499"/>
      <c r="D451" s="1499"/>
      <c r="E451" s="1499"/>
      <c r="F451" s="1515"/>
      <c r="G451" s="1499"/>
      <c r="H451" s="1263"/>
      <c r="I451" s="1512"/>
      <c r="J451" s="1263"/>
      <c r="K451" s="1263"/>
      <c r="L451" s="1263"/>
      <c r="M451" s="1263"/>
      <c r="N451" s="1263"/>
      <c r="O451" s="1263"/>
      <c r="P451" s="1263"/>
      <c r="Q451" s="1263"/>
      <c r="R451" s="1263"/>
      <c r="S451" s="1263"/>
      <c r="T451" s="1263"/>
      <c r="U451" s="1263"/>
      <c r="V451" s="1263"/>
      <c r="W451" s="1263"/>
    </row>
    <row r="452">
      <c r="A452" s="1513"/>
      <c r="B452" s="1514"/>
      <c r="C452" s="1499"/>
      <c r="D452" s="1499"/>
      <c r="E452" s="1499"/>
      <c r="F452" s="1515"/>
      <c r="G452" s="1499"/>
      <c r="H452" s="1263"/>
      <c r="I452" s="1512"/>
      <c r="J452" s="1263"/>
      <c r="K452" s="1263"/>
      <c r="L452" s="1263"/>
      <c r="M452" s="1263"/>
      <c r="N452" s="1263"/>
      <c r="O452" s="1263"/>
      <c r="P452" s="1263"/>
      <c r="Q452" s="1263"/>
      <c r="R452" s="1263"/>
      <c r="S452" s="1263"/>
      <c r="T452" s="1263"/>
      <c r="U452" s="1263"/>
      <c r="V452" s="1263"/>
      <c r="W452" s="1263"/>
    </row>
    <row r="453">
      <c r="A453" s="1513"/>
      <c r="B453" s="1514"/>
      <c r="C453" s="1499"/>
      <c r="D453" s="1499"/>
      <c r="E453" s="1499"/>
      <c r="F453" s="1515"/>
      <c r="G453" s="1499"/>
      <c r="H453" s="1263"/>
      <c r="I453" s="1512"/>
      <c r="J453" s="1263"/>
      <c r="K453" s="1263"/>
      <c r="L453" s="1263"/>
      <c r="M453" s="1263"/>
      <c r="N453" s="1263"/>
      <c r="O453" s="1263"/>
      <c r="P453" s="1263"/>
      <c r="Q453" s="1263"/>
      <c r="R453" s="1263"/>
      <c r="S453" s="1263"/>
      <c r="T453" s="1263"/>
      <c r="U453" s="1263"/>
      <c r="V453" s="1263"/>
      <c r="W453" s="1263"/>
    </row>
    <row r="454">
      <c r="A454" s="1513"/>
      <c r="B454" s="1514"/>
      <c r="C454" s="1499"/>
      <c r="D454" s="1499"/>
      <c r="E454" s="1499"/>
      <c r="F454" s="1515"/>
      <c r="G454" s="1499"/>
      <c r="H454" s="1263"/>
      <c r="I454" s="1512"/>
      <c r="J454" s="1263"/>
      <c r="K454" s="1263"/>
      <c r="L454" s="1263"/>
      <c r="M454" s="1263"/>
      <c r="N454" s="1263"/>
      <c r="O454" s="1263"/>
      <c r="P454" s="1263"/>
      <c r="Q454" s="1263"/>
      <c r="R454" s="1263"/>
      <c r="S454" s="1263"/>
      <c r="T454" s="1263"/>
      <c r="U454" s="1263"/>
      <c r="V454" s="1263"/>
      <c r="W454" s="1263"/>
    </row>
    <row r="455">
      <c r="A455" s="1513"/>
      <c r="B455" s="1514"/>
      <c r="C455" s="1499"/>
      <c r="D455" s="1499"/>
      <c r="E455" s="1499"/>
      <c r="F455" s="1515"/>
      <c r="G455" s="1499"/>
      <c r="H455" s="1263"/>
      <c r="I455" s="1512"/>
      <c r="J455" s="1263"/>
      <c r="K455" s="1263"/>
      <c r="L455" s="1263"/>
      <c r="M455" s="1263"/>
      <c r="N455" s="1263"/>
      <c r="O455" s="1263"/>
      <c r="P455" s="1263"/>
      <c r="Q455" s="1263"/>
      <c r="R455" s="1263"/>
      <c r="S455" s="1263"/>
      <c r="T455" s="1263"/>
      <c r="U455" s="1263"/>
      <c r="V455" s="1263"/>
      <c r="W455" s="1263"/>
    </row>
    <row r="456">
      <c r="A456" s="1513"/>
      <c r="B456" s="1514"/>
      <c r="C456" s="1499"/>
      <c r="D456" s="1499"/>
      <c r="E456" s="1499"/>
      <c r="F456" s="1515"/>
      <c r="G456" s="1499"/>
      <c r="H456" s="1263"/>
      <c r="I456" s="1512"/>
      <c r="J456" s="1263"/>
      <c r="K456" s="1263"/>
      <c r="L456" s="1263"/>
      <c r="M456" s="1263"/>
      <c r="N456" s="1263"/>
      <c r="O456" s="1263"/>
      <c r="P456" s="1263"/>
      <c r="Q456" s="1263"/>
      <c r="R456" s="1263"/>
      <c r="S456" s="1263"/>
      <c r="T456" s="1263"/>
      <c r="U456" s="1263"/>
      <c r="V456" s="1263"/>
      <c r="W456" s="1263"/>
    </row>
    <row r="457">
      <c r="A457" s="1513"/>
      <c r="B457" s="1514"/>
      <c r="C457" s="1499"/>
      <c r="D457" s="1499"/>
      <c r="E457" s="1499"/>
      <c r="F457" s="1515"/>
      <c r="G457" s="1499"/>
      <c r="H457" s="1263"/>
      <c r="I457" s="1512"/>
      <c r="J457" s="1263"/>
      <c r="K457" s="1263"/>
      <c r="L457" s="1263"/>
      <c r="M457" s="1263"/>
      <c r="N457" s="1263"/>
      <c r="O457" s="1263"/>
      <c r="P457" s="1263"/>
      <c r="Q457" s="1263"/>
      <c r="R457" s="1263"/>
      <c r="S457" s="1263"/>
      <c r="T457" s="1263"/>
      <c r="U457" s="1263"/>
      <c r="V457" s="1263"/>
      <c r="W457" s="1263"/>
    </row>
    <row r="458">
      <c r="A458" s="1513"/>
      <c r="B458" s="1514"/>
      <c r="C458" s="1499"/>
      <c r="D458" s="1499"/>
      <c r="E458" s="1499"/>
      <c r="F458" s="1515"/>
      <c r="G458" s="1499"/>
      <c r="H458" s="1263"/>
      <c r="I458" s="1512"/>
      <c r="J458" s="1263"/>
      <c r="K458" s="1263"/>
      <c r="L458" s="1263"/>
      <c r="M458" s="1263"/>
      <c r="N458" s="1263"/>
      <c r="O458" s="1263"/>
      <c r="P458" s="1263"/>
      <c r="Q458" s="1263"/>
      <c r="R458" s="1263"/>
      <c r="S458" s="1263"/>
      <c r="T458" s="1263"/>
      <c r="U458" s="1263"/>
      <c r="V458" s="1263"/>
      <c r="W458" s="1263"/>
    </row>
    <row r="459">
      <c r="A459" s="1513"/>
      <c r="B459" s="1514"/>
      <c r="C459" s="1499"/>
      <c r="D459" s="1499"/>
      <c r="E459" s="1499"/>
      <c r="F459" s="1515"/>
      <c r="G459" s="1499"/>
      <c r="H459" s="1263"/>
      <c r="I459" s="1512"/>
      <c r="J459" s="1263"/>
      <c r="K459" s="1263"/>
      <c r="L459" s="1263"/>
      <c r="M459" s="1263"/>
      <c r="N459" s="1263"/>
      <c r="O459" s="1263"/>
      <c r="P459" s="1263"/>
      <c r="Q459" s="1263"/>
      <c r="R459" s="1263"/>
      <c r="S459" s="1263"/>
      <c r="T459" s="1263"/>
      <c r="U459" s="1263"/>
      <c r="V459" s="1263"/>
      <c r="W459" s="1263"/>
    </row>
    <row r="460">
      <c r="A460" s="1513"/>
      <c r="B460" s="1514"/>
      <c r="C460" s="1499"/>
      <c r="D460" s="1499"/>
      <c r="E460" s="1499"/>
      <c r="F460" s="1515"/>
      <c r="G460" s="1499"/>
      <c r="H460" s="1263"/>
      <c r="I460" s="1512"/>
      <c r="J460" s="1263"/>
      <c r="K460" s="1263"/>
      <c r="L460" s="1263"/>
      <c r="M460" s="1263"/>
      <c r="N460" s="1263"/>
      <c r="O460" s="1263"/>
      <c r="P460" s="1263"/>
      <c r="Q460" s="1263"/>
      <c r="R460" s="1263"/>
      <c r="S460" s="1263"/>
      <c r="T460" s="1263"/>
      <c r="U460" s="1263"/>
      <c r="V460" s="1263"/>
      <c r="W460" s="1263"/>
    </row>
    <row r="461">
      <c r="A461" s="1513"/>
      <c r="B461" s="1514"/>
      <c r="C461" s="1499"/>
      <c r="D461" s="1499"/>
      <c r="E461" s="1499"/>
      <c r="F461" s="1515"/>
      <c r="G461" s="1499"/>
      <c r="H461" s="1263"/>
      <c r="I461" s="1512"/>
      <c r="J461" s="1263"/>
      <c r="K461" s="1263"/>
      <c r="L461" s="1263"/>
      <c r="M461" s="1263"/>
      <c r="N461" s="1263"/>
      <c r="O461" s="1263"/>
      <c r="P461" s="1263"/>
      <c r="Q461" s="1263"/>
      <c r="R461" s="1263"/>
      <c r="S461" s="1263"/>
      <c r="T461" s="1263"/>
      <c r="U461" s="1263"/>
      <c r="V461" s="1263"/>
      <c r="W461" s="1263"/>
    </row>
    <row r="462">
      <c r="A462" s="1513"/>
      <c r="B462" s="1514"/>
      <c r="C462" s="1499"/>
      <c r="D462" s="1499"/>
      <c r="E462" s="1499"/>
      <c r="F462" s="1515"/>
      <c r="G462" s="1499"/>
      <c r="H462" s="1263"/>
      <c r="I462" s="1512"/>
      <c r="J462" s="1263"/>
      <c r="K462" s="1263"/>
      <c r="L462" s="1263"/>
      <c r="M462" s="1263"/>
      <c r="N462" s="1263"/>
      <c r="O462" s="1263"/>
      <c r="P462" s="1263"/>
      <c r="Q462" s="1263"/>
      <c r="R462" s="1263"/>
      <c r="S462" s="1263"/>
      <c r="T462" s="1263"/>
      <c r="U462" s="1263"/>
      <c r="V462" s="1263"/>
      <c r="W462" s="1263"/>
    </row>
    <row r="463">
      <c r="A463" s="1513"/>
      <c r="B463" s="1514"/>
      <c r="C463" s="1499"/>
      <c r="D463" s="1499"/>
      <c r="E463" s="1499"/>
      <c r="F463" s="1515"/>
      <c r="G463" s="1499"/>
      <c r="H463" s="1263"/>
      <c r="I463" s="1512"/>
      <c r="J463" s="1263"/>
      <c r="K463" s="1263"/>
      <c r="L463" s="1263"/>
      <c r="M463" s="1263"/>
      <c r="N463" s="1263"/>
      <c r="O463" s="1263"/>
      <c r="P463" s="1263"/>
      <c r="Q463" s="1263"/>
      <c r="R463" s="1263"/>
      <c r="S463" s="1263"/>
      <c r="T463" s="1263"/>
      <c r="U463" s="1263"/>
      <c r="V463" s="1263"/>
      <c r="W463" s="1263"/>
    </row>
    <row r="464">
      <c r="A464" s="1513"/>
      <c r="B464" s="1514"/>
      <c r="C464" s="1499"/>
      <c r="D464" s="1499"/>
      <c r="E464" s="1499"/>
      <c r="F464" s="1515"/>
      <c r="G464" s="1499"/>
      <c r="H464" s="1263"/>
      <c r="I464" s="1512"/>
      <c r="J464" s="1263"/>
      <c r="K464" s="1263"/>
      <c r="L464" s="1263"/>
      <c r="M464" s="1263"/>
      <c r="N464" s="1263"/>
      <c r="O464" s="1263"/>
      <c r="P464" s="1263"/>
      <c r="Q464" s="1263"/>
      <c r="R464" s="1263"/>
      <c r="S464" s="1263"/>
      <c r="T464" s="1263"/>
      <c r="U464" s="1263"/>
      <c r="V464" s="1263"/>
      <c r="W464" s="1263"/>
    </row>
    <row r="465">
      <c r="A465" s="1513"/>
      <c r="B465" s="1514"/>
      <c r="C465" s="1499"/>
      <c r="D465" s="1499"/>
      <c r="E465" s="1499"/>
      <c r="F465" s="1515"/>
      <c r="G465" s="1499"/>
      <c r="H465" s="1263"/>
      <c r="I465" s="1512"/>
      <c r="J465" s="1263"/>
      <c r="K465" s="1263"/>
      <c r="L465" s="1263"/>
      <c r="M465" s="1263"/>
      <c r="N465" s="1263"/>
      <c r="O465" s="1263"/>
      <c r="P465" s="1263"/>
      <c r="Q465" s="1263"/>
      <c r="R465" s="1263"/>
      <c r="S465" s="1263"/>
      <c r="T465" s="1263"/>
      <c r="U465" s="1263"/>
      <c r="V465" s="1263"/>
      <c r="W465" s="1263"/>
    </row>
    <row r="466">
      <c r="A466" s="1513"/>
      <c r="B466" s="1514"/>
      <c r="C466" s="1499"/>
      <c r="D466" s="1499"/>
      <c r="E466" s="1499"/>
      <c r="F466" s="1515"/>
      <c r="G466" s="1499"/>
      <c r="H466" s="1263"/>
      <c r="I466" s="1512"/>
      <c r="J466" s="1263"/>
      <c r="K466" s="1263"/>
      <c r="L466" s="1263"/>
      <c r="M466" s="1263"/>
      <c r="N466" s="1263"/>
      <c r="O466" s="1263"/>
      <c r="P466" s="1263"/>
      <c r="Q466" s="1263"/>
      <c r="R466" s="1263"/>
      <c r="S466" s="1263"/>
      <c r="T466" s="1263"/>
      <c r="U466" s="1263"/>
      <c r="V466" s="1263"/>
      <c r="W466" s="1263"/>
    </row>
    <row r="467">
      <c r="A467" s="1513"/>
      <c r="B467" s="1514"/>
      <c r="C467" s="1499"/>
      <c r="D467" s="1499"/>
      <c r="E467" s="1499"/>
      <c r="F467" s="1515"/>
      <c r="G467" s="1499"/>
      <c r="H467" s="1263"/>
      <c r="I467" s="1512"/>
      <c r="J467" s="1263"/>
      <c r="K467" s="1263"/>
      <c r="L467" s="1263"/>
      <c r="M467" s="1263"/>
      <c r="N467" s="1263"/>
      <c r="O467" s="1263"/>
      <c r="P467" s="1263"/>
      <c r="Q467" s="1263"/>
      <c r="R467" s="1263"/>
      <c r="S467" s="1263"/>
      <c r="T467" s="1263"/>
      <c r="U467" s="1263"/>
      <c r="V467" s="1263"/>
      <c r="W467" s="1263"/>
    </row>
    <row r="468">
      <c r="A468" s="1513"/>
      <c r="B468" s="1514"/>
      <c r="C468" s="1499"/>
      <c r="D468" s="1499"/>
      <c r="E468" s="1499"/>
      <c r="F468" s="1515"/>
      <c r="G468" s="1499"/>
      <c r="H468" s="1263"/>
      <c r="I468" s="1512"/>
      <c r="J468" s="1263"/>
      <c r="K468" s="1263"/>
      <c r="L468" s="1263"/>
      <c r="M468" s="1263"/>
      <c r="N468" s="1263"/>
      <c r="O468" s="1263"/>
      <c r="P468" s="1263"/>
      <c r="Q468" s="1263"/>
      <c r="R468" s="1263"/>
      <c r="S468" s="1263"/>
      <c r="T468" s="1263"/>
      <c r="U468" s="1263"/>
      <c r="V468" s="1263"/>
      <c r="W468" s="1263"/>
    </row>
    <row r="469">
      <c r="A469" s="1513"/>
      <c r="B469" s="1514"/>
      <c r="C469" s="1499"/>
      <c r="D469" s="1499"/>
      <c r="E469" s="1499"/>
      <c r="F469" s="1515"/>
      <c r="G469" s="1499"/>
      <c r="H469" s="1263"/>
      <c r="I469" s="1512"/>
      <c r="J469" s="1263"/>
      <c r="K469" s="1263"/>
      <c r="L469" s="1263"/>
      <c r="M469" s="1263"/>
      <c r="N469" s="1263"/>
      <c r="O469" s="1263"/>
      <c r="P469" s="1263"/>
      <c r="Q469" s="1263"/>
      <c r="R469" s="1263"/>
      <c r="S469" s="1263"/>
      <c r="T469" s="1263"/>
      <c r="U469" s="1263"/>
      <c r="V469" s="1263"/>
      <c r="W469" s="1263"/>
    </row>
    <row r="470">
      <c r="A470" s="1513"/>
      <c r="B470" s="1514"/>
      <c r="C470" s="1499"/>
      <c r="D470" s="1499"/>
      <c r="E470" s="1499"/>
      <c r="F470" s="1515"/>
      <c r="G470" s="1499"/>
      <c r="H470" s="1263"/>
      <c r="I470" s="1512"/>
      <c r="J470" s="1263"/>
      <c r="K470" s="1263"/>
      <c r="L470" s="1263"/>
      <c r="M470" s="1263"/>
      <c r="N470" s="1263"/>
      <c r="O470" s="1263"/>
      <c r="P470" s="1263"/>
      <c r="Q470" s="1263"/>
      <c r="R470" s="1263"/>
      <c r="S470" s="1263"/>
      <c r="T470" s="1263"/>
      <c r="U470" s="1263"/>
      <c r="V470" s="1263"/>
      <c r="W470" s="1263"/>
    </row>
    <row r="471">
      <c r="A471" s="1513"/>
      <c r="B471" s="1514"/>
      <c r="C471" s="1499"/>
      <c r="D471" s="1499"/>
      <c r="E471" s="1499"/>
      <c r="F471" s="1515"/>
      <c r="G471" s="1499"/>
      <c r="H471" s="1263"/>
      <c r="I471" s="1512"/>
      <c r="J471" s="1263"/>
      <c r="K471" s="1263"/>
      <c r="L471" s="1263"/>
      <c r="M471" s="1263"/>
      <c r="N471" s="1263"/>
      <c r="O471" s="1263"/>
      <c r="P471" s="1263"/>
      <c r="Q471" s="1263"/>
      <c r="R471" s="1263"/>
      <c r="S471" s="1263"/>
      <c r="T471" s="1263"/>
      <c r="U471" s="1263"/>
      <c r="V471" s="1263"/>
      <c r="W471" s="1263"/>
    </row>
    <row r="472">
      <c r="A472" s="1513"/>
      <c r="B472" s="1514"/>
      <c r="C472" s="1499"/>
      <c r="D472" s="1499"/>
      <c r="E472" s="1499"/>
      <c r="F472" s="1515"/>
      <c r="G472" s="1499"/>
      <c r="H472" s="1263"/>
      <c r="I472" s="1512"/>
      <c r="J472" s="1263"/>
      <c r="K472" s="1263"/>
      <c r="L472" s="1263"/>
      <c r="M472" s="1263"/>
      <c r="N472" s="1263"/>
      <c r="O472" s="1263"/>
      <c r="P472" s="1263"/>
      <c r="Q472" s="1263"/>
      <c r="R472" s="1263"/>
      <c r="S472" s="1263"/>
      <c r="T472" s="1263"/>
      <c r="U472" s="1263"/>
      <c r="V472" s="1263"/>
      <c r="W472" s="1263"/>
    </row>
    <row r="473">
      <c r="A473" s="1513"/>
      <c r="B473" s="1514"/>
      <c r="C473" s="1499"/>
      <c r="D473" s="1499"/>
      <c r="E473" s="1499"/>
      <c r="F473" s="1515"/>
      <c r="G473" s="1499"/>
      <c r="H473" s="1263"/>
      <c r="I473" s="1512"/>
      <c r="J473" s="1263"/>
      <c r="K473" s="1263"/>
      <c r="L473" s="1263"/>
      <c r="M473" s="1263"/>
      <c r="N473" s="1263"/>
      <c r="O473" s="1263"/>
      <c r="P473" s="1263"/>
      <c r="Q473" s="1263"/>
      <c r="R473" s="1263"/>
      <c r="S473" s="1263"/>
      <c r="T473" s="1263"/>
      <c r="U473" s="1263"/>
      <c r="V473" s="1263"/>
      <c r="W473" s="1263"/>
    </row>
    <row r="474">
      <c r="A474" s="1513"/>
      <c r="B474" s="1514"/>
      <c r="C474" s="1499"/>
      <c r="D474" s="1499"/>
      <c r="E474" s="1499"/>
      <c r="F474" s="1515"/>
      <c r="G474" s="1499"/>
      <c r="H474" s="1263"/>
      <c r="I474" s="1512"/>
      <c r="J474" s="1263"/>
      <c r="K474" s="1263"/>
      <c r="L474" s="1263"/>
      <c r="M474" s="1263"/>
      <c r="N474" s="1263"/>
      <c r="O474" s="1263"/>
      <c r="P474" s="1263"/>
      <c r="Q474" s="1263"/>
      <c r="R474" s="1263"/>
      <c r="S474" s="1263"/>
      <c r="T474" s="1263"/>
      <c r="U474" s="1263"/>
      <c r="V474" s="1263"/>
      <c r="W474" s="1263"/>
    </row>
    <row r="475">
      <c r="A475" s="1513"/>
      <c r="B475" s="1514"/>
      <c r="C475" s="1499"/>
      <c r="D475" s="1499"/>
      <c r="E475" s="1499"/>
      <c r="F475" s="1515"/>
      <c r="G475" s="1499"/>
      <c r="H475" s="1263"/>
      <c r="I475" s="1512"/>
      <c r="J475" s="1263"/>
      <c r="K475" s="1263"/>
      <c r="L475" s="1263"/>
      <c r="M475" s="1263"/>
      <c r="N475" s="1263"/>
      <c r="O475" s="1263"/>
      <c r="P475" s="1263"/>
      <c r="Q475" s="1263"/>
      <c r="R475" s="1263"/>
      <c r="S475" s="1263"/>
      <c r="T475" s="1263"/>
      <c r="U475" s="1263"/>
      <c r="V475" s="1263"/>
      <c r="W475" s="1263"/>
    </row>
    <row r="476">
      <c r="A476" s="1513"/>
      <c r="B476" s="1514"/>
      <c r="C476" s="1499"/>
      <c r="D476" s="1499"/>
      <c r="E476" s="1499"/>
      <c r="F476" s="1515"/>
      <c r="G476" s="1499"/>
      <c r="H476" s="1263"/>
      <c r="I476" s="1512"/>
      <c r="J476" s="1263"/>
      <c r="K476" s="1263"/>
      <c r="L476" s="1263"/>
      <c r="M476" s="1263"/>
      <c r="N476" s="1263"/>
      <c r="O476" s="1263"/>
      <c r="P476" s="1263"/>
      <c r="Q476" s="1263"/>
      <c r="R476" s="1263"/>
      <c r="S476" s="1263"/>
      <c r="T476" s="1263"/>
      <c r="U476" s="1263"/>
      <c r="V476" s="1263"/>
      <c r="W476" s="1263"/>
    </row>
    <row r="477">
      <c r="A477" s="1513"/>
      <c r="B477" s="1514"/>
      <c r="C477" s="1499"/>
      <c r="D477" s="1499"/>
      <c r="E477" s="1499"/>
      <c r="F477" s="1515"/>
      <c r="G477" s="1499"/>
      <c r="H477" s="1263"/>
      <c r="I477" s="1512"/>
      <c r="J477" s="1263"/>
      <c r="K477" s="1263"/>
      <c r="L477" s="1263"/>
      <c r="M477" s="1263"/>
      <c r="N477" s="1263"/>
      <c r="O477" s="1263"/>
      <c r="P477" s="1263"/>
      <c r="Q477" s="1263"/>
      <c r="R477" s="1263"/>
      <c r="S477" s="1263"/>
      <c r="T477" s="1263"/>
      <c r="U477" s="1263"/>
      <c r="V477" s="1263"/>
      <c r="W477" s="1263"/>
    </row>
    <row r="478">
      <c r="A478" s="1513"/>
      <c r="B478" s="1514"/>
      <c r="C478" s="1499"/>
      <c r="D478" s="1499"/>
      <c r="E478" s="1499"/>
      <c r="F478" s="1515"/>
      <c r="G478" s="1499"/>
      <c r="H478" s="1263"/>
      <c r="I478" s="1512"/>
      <c r="J478" s="1263"/>
      <c r="K478" s="1263"/>
      <c r="L478" s="1263"/>
      <c r="M478" s="1263"/>
      <c r="N478" s="1263"/>
      <c r="O478" s="1263"/>
      <c r="P478" s="1263"/>
      <c r="Q478" s="1263"/>
      <c r="R478" s="1263"/>
      <c r="S478" s="1263"/>
      <c r="T478" s="1263"/>
      <c r="U478" s="1263"/>
      <c r="V478" s="1263"/>
      <c r="W478" s="1263"/>
    </row>
    <row r="479">
      <c r="A479" s="1513"/>
      <c r="B479" s="1514"/>
      <c r="C479" s="1499"/>
      <c r="D479" s="1499"/>
      <c r="E479" s="1499"/>
      <c r="F479" s="1515"/>
      <c r="G479" s="1499"/>
      <c r="H479" s="1263"/>
      <c r="I479" s="1512"/>
      <c r="J479" s="1263"/>
      <c r="K479" s="1263"/>
      <c r="L479" s="1263"/>
      <c r="M479" s="1263"/>
      <c r="N479" s="1263"/>
      <c r="O479" s="1263"/>
      <c r="P479" s="1263"/>
      <c r="Q479" s="1263"/>
      <c r="R479" s="1263"/>
      <c r="S479" s="1263"/>
      <c r="T479" s="1263"/>
      <c r="U479" s="1263"/>
      <c r="V479" s="1263"/>
      <c r="W479" s="1263"/>
    </row>
    <row r="480">
      <c r="A480" s="1513"/>
      <c r="B480" s="1514"/>
      <c r="C480" s="1499"/>
      <c r="D480" s="1499"/>
      <c r="E480" s="1499"/>
      <c r="F480" s="1515"/>
      <c r="G480" s="1499"/>
      <c r="H480" s="1263"/>
      <c r="I480" s="1512"/>
      <c r="J480" s="1263"/>
      <c r="K480" s="1263"/>
      <c r="L480" s="1263"/>
      <c r="M480" s="1263"/>
      <c r="N480" s="1263"/>
      <c r="O480" s="1263"/>
      <c r="P480" s="1263"/>
      <c r="Q480" s="1263"/>
      <c r="R480" s="1263"/>
      <c r="S480" s="1263"/>
      <c r="T480" s="1263"/>
      <c r="U480" s="1263"/>
      <c r="V480" s="1263"/>
      <c r="W480" s="1263"/>
    </row>
    <row r="481">
      <c r="A481" s="1513"/>
      <c r="B481" s="1514"/>
      <c r="C481" s="1499"/>
      <c r="D481" s="1499"/>
      <c r="E481" s="1499"/>
      <c r="F481" s="1515"/>
      <c r="G481" s="1499"/>
      <c r="H481" s="1263"/>
      <c r="I481" s="1512"/>
      <c r="J481" s="1263"/>
      <c r="K481" s="1263"/>
      <c r="L481" s="1263"/>
      <c r="M481" s="1263"/>
      <c r="N481" s="1263"/>
      <c r="O481" s="1263"/>
      <c r="P481" s="1263"/>
      <c r="Q481" s="1263"/>
      <c r="R481" s="1263"/>
      <c r="S481" s="1263"/>
      <c r="T481" s="1263"/>
      <c r="U481" s="1263"/>
      <c r="V481" s="1263"/>
      <c r="W481" s="1263"/>
    </row>
    <row r="482">
      <c r="A482" s="1513"/>
      <c r="B482" s="1514"/>
      <c r="C482" s="1499"/>
      <c r="D482" s="1499"/>
      <c r="E482" s="1499"/>
      <c r="F482" s="1515"/>
      <c r="G482" s="1499"/>
      <c r="H482" s="1263"/>
      <c r="I482" s="1512"/>
      <c r="J482" s="1263"/>
      <c r="K482" s="1263"/>
      <c r="L482" s="1263"/>
      <c r="M482" s="1263"/>
      <c r="N482" s="1263"/>
      <c r="O482" s="1263"/>
      <c r="P482" s="1263"/>
      <c r="Q482" s="1263"/>
      <c r="R482" s="1263"/>
      <c r="S482" s="1263"/>
      <c r="T482" s="1263"/>
      <c r="U482" s="1263"/>
      <c r="V482" s="1263"/>
      <c r="W482" s="1263"/>
    </row>
    <row r="483">
      <c r="A483" s="1513"/>
      <c r="B483" s="1514"/>
      <c r="C483" s="1499"/>
      <c r="D483" s="1499"/>
      <c r="E483" s="1499"/>
      <c r="F483" s="1515"/>
      <c r="G483" s="1499"/>
      <c r="H483" s="1263"/>
      <c r="I483" s="1512"/>
      <c r="J483" s="1263"/>
      <c r="K483" s="1263"/>
      <c r="L483" s="1263"/>
      <c r="M483" s="1263"/>
      <c r="N483" s="1263"/>
      <c r="O483" s="1263"/>
      <c r="P483" s="1263"/>
      <c r="Q483" s="1263"/>
      <c r="R483" s="1263"/>
      <c r="S483" s="1263"/>
      <c r="T483" s="1263"/>
      <c r="U483" s="1263"/>
      <c r="V483" s="1263"/>
      <c r="W483" s="1263"/>
    </row>
    <row r="484">
      <c r="A484" s="1513"/>
      <c r="B484" s="1514"/>
      <c r="C484" s="1499"/>
      <c r="D484" s="1499"/>
      <c r="E484" s="1499"/>
      <c r="F484" s="1515"/>
      <c r="G484" s="1499"/>
      <c r="H484" s="1263"/>
      <c r="I484" s="1512"/>
      <c r="J484" s="1263"/>
      <c r="K484" s="1263"/>
      <c r="L484" s="1263"/>
      <c r="M484" s="1263"/>
      <c r="N484" s="1263"/>
      <c r="O484" s="1263"/>
      <c r="P484" s="1263"/>
      <c r="Q484" s="1263"/>
      <c r="R484" s="1263"/>
      <c r="S484" s="1263"/>
      <c r="T484" s="1263"/>
      <c r="U484" s="1263"/>
      <c r="V484" s="1263"/>
      <c r="W484" s="1263"/>
    </row>
    <row r="485">
      <c r="A485" s="1513"/>
      <c r="B485" s="1514"/>
      <c r="C485" s="1499"/>
      <c r="D485" s="1499"/>
      <c r="E485" s="1499"/>
      <c r="F485" s="1515"/>
      <c r="G485" s="1499"/>
      <c r="H485" s="1263"/>
      <c r="I485" s="1512"/>
      <c r="J485" s="1263"/>
      <c r="K485" s="1263"/>
      <c r="L485" s="1263"/>
      <c r="M485" s="1263"/>
      <c r="N485" s="1263"/>
      <c r="O485" s="1263"/>
      <c r="P485" s="1263"/>
      <c r="Q485" s="1263"/>
      <c r="R485" s="1263"/>
      <c r="S485" s="1263"/>
      <c r="T485" s="1263"/>
      <c r="U485" s="1263"/>
      <c r="V485" s="1263"/>
      <c r="W485" s="1263"/>
    </row>
    <row r="486">
      <c r="A486" s="1513"/>
      <c r="B486" s="1514"/>
      <c r="C486" s="1499"/>
      <c r="D486" s="1499"/>
      <c r="E486" s="1499"/>
      <c r="F486" s="1515"/>
      <c r="G486" s="1499"/>
      <c r="H486" s="1263"/>
      <c r="I486" s="1512"/>
      <c r="J486" s="1263"/>
      <c r="K486" s="1263"/>
      <c r="L486" s="1263"/>
      <c r="M486" s="1263"/>
      <c r="N486" s="1263"/>
      <c r="O486" s="1263"/>
      <c r="P486" s="1263"/>
      <c r="Q486" s="1263"/>
      <c r="R486" s="1263"/>
      <c r="S486" s="1263"/>
      <c r="T486" s="1263"/>
      <c r="U486" s="1263"/>
      <c r="V486" s="1263"/>
      <c r="W486" s="1263"/>
    </row>
    <row r="487">
      <c r="A487" s="1513"/>
      <c r="B487" s="1514"/>
      <c r="C487" s="1499"/>
      <c r="D487" s="1499"/>
      <c r="E487" s="1499"/>
      <c r="F487" s="1515"/>
      <c r="G487" s="1499"/>
      <c r="H487" s="1263"/>
      <c r="I487" s="1512"/>
      <c r="J487" s="1263"/>
      <c r="K487" s="1263"/>
      <c r="L487" s="1263"/>
      <c r="M487" s="1263"/>
      <c r="N487" s="1263"/>
      <c r="O487" s="1263"/>
      <c r="P487" s="1263"/>
      <c r="Q487" s="1263"/>
      <c r="R487" s="1263"/>
      <c r="S487" s="1263"/>
      <c r="T487" s="1263"/>
      <c r="U487" s="1263"/>
      <c r="V487" s="1263"/>
      <c r="W487" s="1263"/>
    </row>
    <row r="488">
      <c r="A488" s="1513"/>
      <c r="B488" s="1514"/>
      <c r="C488" s="1499"/>
      <c r="D488" s="1499"/>
      <c r="E488" s="1499"/>
      <c r="F488" s="1515"/>
      <c r="G488" s="1499"/>
      <c r="H488" s="1263"/>
      <c r="I488" s="1512"/>
      <c r="J488" s="1263"/>
      <c r="K488" s="1263"/>
      <c r="L488" s="1263"/>
      <c r="M488" s="1263"/>
      <c r="N488" s="1263"/>
      <c r="O488" s="1263"/>
      <c r="P488" s="1263"/>
      <c r="Q488" s="1263"/>
      <c r="R488" s="1263"/>
      <c r="S488" s="1263"/>
      <c r="T488" s="1263"/>
      <c r="U488" s="1263"/>
      <c r="V488" s="1263"/>
      <c r="W488" s="1263"/>
    </row>
    <row r="489">
      <c r="A489" s="1513"/>
      <c r="B489" s="1514"/>
      <c r="C489" s="1499"/>
      <c r="D489" s="1499"/>
      <c r="E489" s="1499"/>
      <c r="F489" s="1515"/>
      <c r="G489" s="1499"/>
      <c r="H489" s="1263"/>
      <c r="I489" s="1512"/>
      <c r="J489" s="1263"/>
      <c r="K489" s="1263"/>
      <c r="L489" s="1263"/>
      <c r="M489" s="1263"/>
      <c r="N489" s="1263"/>
      <c r="O489" s="1263"/>
      <c r="P489" s="1263"/>
      <c r="Q489" s="1263"/>
      <c r="R489" s="1263"/>
      <c r="S489" s="1263"/>
      <c r="T489" s="1263"/>
      <c r="U489" s="1263"/>
      <c r="V489" s="1263"/>
      <c r="W489" s="1263"/>
    </row>
    <row r="490">
      <c r="A490" s="1513"/>
      <c r="B490" s="1514"/>
      <c r="C490" s="1499"/>
      <c r="D490" s="1499"/>
      <c r="E490" s="1499"/>
      <c r="F490" s="1515"/>
      <c r="G490" s="1499"/>
      <c r="H490" s="1263"/>
      <c r="I490" s="1512"/>
      <c r="J490" s="1263"/>
      <c r="K490" s="1263"/>
      <c r="L490" s="1263"/>
      <c r="M490" s="1263"/>
      <c r="N490" s="1263"/>
      <c r="O490" s="1263"/>
      <c r="P490" s="1263"/>
      <c r="Q490" s="1263"/>
      <c r="R490" s="1263"/>
      <c r="S490" s="1263"/>
      <c r="T490" s="1263"/>
      <c r="U490" s="1263"/>
      <c r="V490" s="1263"/>
      <c r="W490" s="1263"/>
    </row>
    <row r="491">
      <c r="A491" s="1513"/>
      <c r="B491" s="1514"/>
      <c r="C491" s="1499"/>
      <c r="D491" s="1499"/>
      <c r="E491" s="1499"/>
      <c r="F491" s="1515"/>
      <c r="G491" s="1499"/>
      <c r="H491" s="1263"/>
      <c r="I491" s="1512"/>
      <c r="J491" s="1263"/>
      <c r="K491" s="1263"/>
      <c r="L491" s="1263"/>
      <c r="M491" s="1263"/>
      <c r="N491" s="1263"/>
      <c r="O491" s="1263"/>
      <c r="P491" s="1263"/>
      <c r="Q491" s="1263"/>
      <c r="R491" s="1263"/>
      <c r="S491" s="1263"/>
      <c r="T491" s="1263"/>
      <c r="U491" s="1263"/>
      <c r="V491" s="1263"/>
      <c r="W491" s="1263"/>
    </row>
    <row r="492">
      <c r="A492" s="1513"/>
      <c r="B492" s="1514"/>
      <c r="C492" s="1499"/>
      <c r="D492" s="1499"/>
      <c r="E492" s="1499"/>
      <c r="F492" s="1515"/>
      <c r="G492" s="1499"/>
      <c r="H492" s="1263"/>
      <c r="I492" s="1512"/>
      <c r="J492" s="1263"/>
      <c r="K492" s="1263"/>
      <c r="L492" s="1263"/>
      <c r="M492" s="1263"/>
      <c r="N492" s="1263"/>
      <c r="O492" s="1263"/>
      <c r="P492" s="1263"/>
      <c r="Q492" s="1263"/>
      <c r="R492" s="1263"/>
      <c r="S492" s="1263"/>
      <c r="T492" s="1263"/>
      <c r="U492" s="1263"/>
      <c r="V492" s="1263"/>
      <c r="W492" s="1263"/>
    </row>
    <row r="493">
      <c r="A493" s="1513"/>
      <c r="B493" s="1514"/>
      <c r="C493" s="1499"/>
      <c r="D493" s="1499"/>
      <c r="E493" s="1499"/>
      <c r="F493" s="1515"/>
      <c r="G493" s="1499"/>
      <c r="H493" s="1263"/>
      <c r="I493" s="1512"/>
      <c r="J493" s="1263"/>
      <c r="K493" s="1263"/>
      <c r="L493" s="1263"/>
      <c r="M493" s="1263"/>
      <c r="N493" s="1263"/>
      <c r="O493" s="1263"/>
      <c r="P493" s="1263"/>
      <c r="Q493" s="1263"/>
      <c r="R493" s="1263"/>
      <c r="S493" s="1263"/>
      <c r="T493" s="1263"/>
      <c r="U493" s="1263"/>
      <c r="V493" s="1263"/>
      <c r="W493" s="1263"/>
    </row>
    <row r="494">
      <c r="A494" s="1513"/>
      <c r="B494" s="1514"/>
      <c r="C494" s="1499"/>
      <c r="D494" s="1499"/>
      <c r="E494" s="1499"/>
      <c r="F494" s="1515"/>
      <c r="G494" s="1499"/>
      <c r="H494" s="1263"/>
      <c r="I494" s="1512"/>
      <c r="J494" s="1263"/>
      <c r="K494" s="1263"/>
      <c r="L494" s="1263"/>
      <c r="M494" s="1263"/>
      <c r="N494" s="1263"/>
      <c r="O494" s="1263"/>
      <c r="P494" s="1263"/>
      <c r="Q494" s="1263"/>
      <c r="R494" s="1263"/>
      <c r="S494" s="1263"/>
      <c r="T494" s="1263"/>
      <c r="U494" s="1263"/>
      <c r="V494" s="1263"/>
      <c r="W494" s="1263"/>
    </row>
    <row r="495">
      <c r="A495" s="1513"/>
      <c r="B495" s="1514"/>
      <c r="C495" s="1499"/>
      <c r="D495" s="1499"/>
      <c r="E495" s="1499"/>
      <c r="F495" s="1515"/>
      <c r="G495" s="1499"/>
      <c r="H495" s="1263"/>
      <c r="I495" s="1512"/>
      <c r="J495" s="1263"/>
      <c r="K495" s="1263"/>
      <c r="L495" s="1263"/>
      <c r="M495" s="1263"/>
      <c r="N495" s="1263"/>
      <c r="O495" s="1263"/>
      <c r="P495" s="1263"/>
      <c r="Q495" s="1263"/>
      <c r="R495" s="1263"/>
      <c r="S495" s="1263"/>
      <c r="T495" s="1263"/>
      <c r="U495" s="1263"/>
      <c r="V495" s="1263"/>
      <c r="W495" s="1263"/>
    </row>
    <row r="496">
      <c r="A496" s="1513"/>
      <c r="B496" s="1514"/>
      <c r="C496" s="1499"/>
      <c r="D496" s="1499"/>
      <c r="E496" s="1499"/>
      <c r="F496" s="1515"/>
      <c r="G496" s="1499"/>
      <c r="H496" s="1263"/>
      <c r="I496" s="1512"/>
      <c r="J496" s="1263"/>
      <c r="K496" s="1263"/>
      <c r="L496" s="1263"/>
      <c r="M496" s="1263"/>
      <c r="N496" s="1263"/>
      <c r="O496" s="1263"/>
      <c r="P496" s="1263"/>
      <c r="Q496" s="1263"/>
      <c r="R496" s="1263"/>
      <c r="S496" s="1263"/>
      <c r="T496" s="1263"/>
      <c r="U496" s="1263"/>
      <c r="V496" s="1263"/>
      <c r="W496" s="1263"/>
    </row>
    <row r="497">
      <c r="A497" s="1513"/>
      <c r="B497" s="1514"/>
      <c r="C497" s="1499"/>
      <c r="D497" s="1499"/>
      <c r="E497" s="1499"/>
      <c r="F497" s="1515"/>
      <c r="G497" s="1499"/>
      <c r="H497" s="1263"/>
      <c r="I497" s="1512"/>
      <c r="J497" s="1263"/>
      <c r="K497" s="1263"/>
      <c r="L497" s="1263"/>
      <c r="M497" s="1263"/>
      <c r="N497" s="1263"/>
      <c r="O497" s="1263"/>
      <c r="P497" s="1263"/>
      <c r="Q497" s="1263"/>
      <c r="R497" s="1263"/>
      <c r="S497" s="1263"/>
      <c r="T497" s="1263"/>
      <c r="U497" s="1263"/>
      <c r="V497" s="1263"/>
      <c r="W497" s="1263"/>
    </row>
    <row r="498">
      <c r="A498" s="1513"/>
      <c r="B498" s="1514"/>
      <c r="C498" s="1499"/>
      <c r="D498" s="1499"/>
      <c r="E498" s="1499"/>
      <c r="F498" s="1515"/>
      <c r="G498" s="1499"/>
      <c r="H498" s="1263"/>
      <c r="I498" s="1512"/>
      <c r="J498" s="1263"/>
      <c r="K498" s="1263"/>
      <c r="L498" s="1263"/>
      <c r="M498" s="1263"/>
      <c r="N498" s="1263"/>
      <c r="O498" s="1263"/>
      <c r="P498" s="1263"/>
      <c r="Q498" s="1263"/>
      <c r="R498" s="1263"/>
      <c r="S498" s="1263"/>
      <c r="T498" s="1263"/>
      <c r="U498" s="1263"/>
      <c r="V498" s="1263"/>
      <c r="W498" s="1263"/>
    </row>
    <row r="499">
      <c r="A499" s="1513"/>
      <c r="B499" s="1514"/>
      <c r="C499" s="1499"/>
      <c r="D499" s="1499"/>
      <c r="E499" s="1499"/>
      <c r="F499" s="1515"/>
      <c r="G499" s="1499"/>
      <c r="H499" s="1263"/>
      <c r="I499" s="1512"/>
      <c r="J499" s="1263"/>
      <c r="K499" s="1263"/>
      <c r="L499" s="1263"/>
      <c r="M499" s="1263"/>
      <c r="N499" s="1263"/>
      <c r="O499" s="1263"/>
      <c r="P499" s="1263"/>
      <c r="Q499" s="1263"/>
      <c r="R499" s="1263"/>
      <c r="S499" s="1263"/>
      <c r="T499" s="1263"/>
      <c r="U499" s="1263"/>
      <c r="V499" s="1263"/>
      <c r="W499" s="1263"/>
    </row>
    <row r="500">
      <c r="A500" s="1513"/>
      <c r="B500" s="1514"/>
      <c r="C500" s="1499"/>
      <c r="D500" s="1499"/>
      <c r="E500" s="1499"/>
      <c r="F500" s="1515"/>
      <c r="G500" s="1499"/>
      <c r="H500" s="1263"/>
      <c r="I500" s="1512"/>
      <c r="J500" s="1263"/>
      <c r="K500" s="1263"/>
      <c r="L500" s="1263"/>
      <c r="M500" s="1263"/>
      <c r="N500" s="1263"/>
      <c r="O500" s="1263"/>
      <c r="P500" s="1263"/>
      <c r="Q500" s="1263"/>
      <c r="R500" s="1263"/>
      <c r="S500" s="1263"/>
      <c r="T500" s="1263"/>
      <c r="U500" s="1263"/>
      <c r="V500" s="1263"/>
      <c r="W500" s="1263"/>
    </row>
    <row r="501">
      <c r="A501" s="1513"/>
      <c r="B501" s="1514"/>
      <c r="C501" s="1499"/>
      <c r="D501" s="1499"/>
      <c r="E501" s="1499"/>
      <c r="F501" s="1515"/>
      <c r="G501" s="1499"/>
      <c r="H501" s="1263"/>
      <c r="I501" s="1512"/>
      <c r="J501" s="1263"/>
      <c r="K501" s="1263"/>
      <c r="L501" s="1263"/>
      <c r="M501" s="1263"/>
      <c r="N501" s="1263"/>
      <c r="O501" s="1263"/>
      <c r="P501" s="1263"/>
      <c r="Q501" s="1263"/>
      <c r="R501" s="1263"/>
      <c r="S501" s="1263"/>
      <c r="T501" s="1263"/>
      <c r="U501" s="1263"/>
      <c r="V501" s="1263"/>
      <c r="W501" s="1263"/>
    </row>
    <row r="502">
      <c r="A502" s="1513"/>
      <c r="B502" s="1514"/>
      <c r="C502" s="1499"/>
      <c r="D502" s="1499"/>
      <c r="E502" s="1499"/>
      <c r="F502" s="1515"/>
      <c r="G502" s="1499"/>
      <c r="H502" s="1263"/>
      <c r="I502" s="1512"/>
      <c r="J502" s="1263"/>
      <c r="K502" s="1263"/>
      <c r="L502" s="1263"/>
      <c r="M502" s="1263"/>
      <c r="N502" s="1263"/>
      <c r="O502" s="1263"/>
      <c r="P502" s="1263"/>
      <c r="Q502" s="1263"/>
      <c r="R502" s="1263"/>
      <c r="S502" s="1263"/>
      <c r="T502" s="1263"/>
      <c r="U502" s="1263"/>
      <c r="V502" s="1263"/>
      <c r="W502" s="1263"/>
    </row>
    <row r="503">
      <c r="A503" s="1513"/>
      <c r="B503" s="1514"/>
      <c r="C503" s="1499"/>
      <c r="D503" s="1499"/>
      <c r="E503" s="1499"/>
      <c r="F503" s="1515"/>
      <c r="G503" s="1499"/>
      <c r="H503" s="1263"/>
      <c r="I503" s="1512"/>
      <c r="J503" s="1263"/>
      <c r="K503" s="1263"/>
      <c r="L503" s="1263"/>
      <c r="M503" s="1263"/>
      <c r="N503" s="1263"/>
      <c r="O503" s="1263"/>
      <c r="P503" s="1263"/>
      <c r="Q503" s="1263"/>
      <c r="R503" s="1263"/>
      <c r="S503" s="1263"/>
      <c r="T503" s="1263"/>
      <c r="U503" s="1263"/>
      <c r="V503" s="1263"/>
      <c r="W503" s="1263"/>
    </row>
    <row r="504">
      <c r="A504" s="1513"/>
      <c r="B504" s="1514"/>
      <c r="C504" s="1499"/>
      <c r="D504" s="1499"/>
      <c r="E504" s="1499"/>
      <c r="F504" s="1515"/>
      <c r="G504" s="1499"/>
      <c r="H504" s="1263"/>
      <c r="I504" s="1512"/>
      <c r="J504" s="1263"/>
      <c r="K504" s="1263"/>
      <c r="L504" s="1263"/>
      <c r="M504" s="1263"/>
      <c r="N504" s="1263"/>
      <c r="O504" s="1263"/>
      <c r="P504" s="1263"/>
      <c r="Q504" s="1263"/>
      <c r="R504" s="1263"/>
      <c r="S504" s="1263"/>
      <c r="T504" s="1263"/>
      <c r="U504" s="1263"/>
      <c r="V504" s="1263"/>
      <c r="W504" s="1263"/>
    </row>
    <row r="505">
      <c r="A505" s="1513"/>
      <c r="B505" s="1514"/>
      <c r="C505" s="1499"/>
      <c r="D505" s="1499"/>
      <c r="E505" s="1499"/>
      <c r="F505" s="1515"/>
      <c r="G505" s="1499"/>
      <c r="H505" s="1263"/>
      <c r="I505" s="1512"/>
      <c r="J505" s="1263"/>
      <c r="K505" s="1263"/>
      <c r="L505" s="1263"/>
      <c r="M505" s="1263"/>
      <c r="N505" s="1263"/>
      <c r="O505" s="1263"/>
      <c r="P505" s="1263"/>
      <c r="Q505" s="1263"/>
      <c r="R505" s="1263"/>
      <c r="S505" s="1263"/>
      <c r="T505" s="1263"/>
      <c r="U505" s="1263"/>
      <c r="V505" s="1263"/>
      <c r="W505" s="1263"/>
    </row>
    <row r="506">
      <c r="A506" s="1513"/>
      <c r="B506" s="1514"/>
      <c r="C506" s="1499"/>
      <c r="D506" s="1499"/>
      <c r="E506" s="1499"/>
      <c r="F506" s="1515"/>
      <c r="G506" s="1499"/>
      <c r="H506" s="1263"/>
      <c r="I506" s="1512"/>
      <c r="J506" s="1263"/>
      <c r="K506" s="1263"/>
      <c r="L506" s="1263"/>
      <c r="M506" s="1263"/>
      <c r="N506" s="1263"/>
      <c r="O506" s="1263"/>
      <c r="P506" s="1263"/>
      <c r="Q506" s="1263"/>
      <c r="R506" s="1263"/>
      <c r="S506" s="1263"/>
      <c r="T506" s="1263"/>
      <c r="U506" s="1263"/>
      <c r="V506" s="1263"/>
      <c r="W506" s="1263"/>
    </row>
    <row r="507">
      <c r="A507" s="1513"/>
      <c r="B507" s="1514"/>
      <c r="C507" s="1499"/>
      <c r="D507" s="1499"/>
      <c r="E507" s="1499"/>
      <c r="F507" s="1515"/>
      <c r="G507" s="1499"/>
      <c r="H507" s="1263"/>
      <c r="I507" s="1512"/>
      <c r="J507" s="1263"/>
      <c r="K507" s="1263"/>
      <c r="L507" s="1263"/>
      <c r="M507" s="1263"/>
      <c r="N507" s="1263"/>
      <c r="O507" s="1263"/>
      <c r="P507" s="1263"/>
      <c r="Q507" s="1263"/>
      <c r="R507" s="1263"/>
      <c r="S507" s="1263"/>
      <c r="T507" s="1263"/>
      <c r="U507" s="1263"/>
      <c r="V507" s="1263"/>
      <c r="W507" s="1263"/>
    </row>
    <row r="508">
      <c r="A508" s="1513"/>
      <c r="B508" s="1514"/>
      <c r="C508" s="1499"/>
      <c r="D508" s="1499"/>
      <c r="E508" s="1499"/>
      <c r="F508" s="1515"/>
      <c r="G508" s="1499"/>
      <c r="H508" s="1263"/>
      <c r="I508" s="1512"/>
      <c r="J508" s="1263"/>
      <c r="K508" s="1263"/>
      <c r="L508" s="1263"/>
      <c r="M508" s="1263"/>
      <c r="N508" s="1263"/>
      <c r="O508" s="1263"/>
      <c r="P508" s="1263"/>
      <c r="Q508" s="1263"/>
      <c r="R508" s="1263"/>
      <c r="S508" s="1263"/>
      <c r="T508" s="1263"/>
      <c r="U508" s="1263"/>
      <c r="V508" s="1263"/>
      <c r="W508" s="1263"/>
    </row>
    <row r="509">
      <c r="A509" s="1513"/>
      <c r="B509" s="1514"/>
      <c r="C509" s="1499"/>
      <c r="D509" s="1499"/>
      <c r="E509" s="1499"/>
      <c r="F509" s="1515"/>
      <c r="G509" s="1499"/>
      <c r="H509" s="1263"/>
      <c r="I509" s="1512"/>
      <c r="J509" s="1263"/>
      <c r="K509" s="1263"/>
      <c r="L509" s="1263"/>
      <c r="M509" s="1263"/>
      <c r="N509" s="1263"/>
      <c r="O509" s="1263"/>
      <c r="P509" s="1263"/>
      <c r="Q509" s="1263"/>
      <c r="R509" s="1263"/>
      <c r="S509" s="1263"/>
      <c r="T509" s="1263"/>
      <c r="U509" s="1263"/>
      <c r="V509" s="1263"/>
      <c r="W509" s="1263"/>
    </row>
    <row r="510">
      <c r="A510" s="1513"/>
      <c r="B510" s="1514"/>
      <c r="C510" s="1499"/>
      <c r="D510" s="1499"/>
      <c r="E510" s="1499"/>
      <c r="F510" s="1515"/>
      <c r="G510" s="1499"/>
      <c r="H510" s="1263"/>
      <c r="I510" s="1512"/>
      <c r="J510" s="1263"/>
      <c r="K510" s="1263"/>
      <c r="L510" s="1263"/>
      <c r="M510" s="1263"/>
      <c r="N510" s="1263"/>
      <c r="O510" s="1263"/>
      <c r="P510" s="1263"/>
      <c r="Q510" s="1263"/>
      <c r="R510" s="1263"/>
      <c r="S510" s="1263"/>
      <c r="T510" s="1263"/>
      <c r="U510" s="1263"/>
      <c r="V510" s="1263"/>
      <c r="W510" s="1263"/>
    </row>
    <row r="511">
      <c r="A511" s="1513"/>
      <c r="B511" s="1514"/>
      <c r="C511" s="1499"/>
      <c r="D511" s="1499"/>
      <c r="E511" s="1499"/>
      <c r="F511" s="1515"/>
      <c r="G511" s="1499"/>
      <c r="H511" s="1263"/>
      <c r="I511" s="1512"/>
      <c r="J511" s="1263"/>
      <c r="K511" s="1263"/>
      <c r="L511" s="1263"/>
      <c r="M511" s="1263"/>
      <c r="N511" s="1263"/>
      <c r="O511" s="1263"/>
      <c r="P511" s="1263"/>
      <c r="Q511" s="1263"/>
      <c r="R511" s="1263"/>
      <c r="S511" s="1263"/>
      <c r="T511" s="1263"/>
      <c r="U511" s="1263"/>
      <c r="V511" s="1263"/>
      <c r="W511" s="1263"/>
    </row>
    <row r="512">
      <c r="A512" s="1513"/>
      <c r="B512" s="1514"/>
      <c r="C512" s="1499"/>
      <c r="D512" s="1499"/>
      <c r="E512" s="1499"/>
      <c r="F512" s="1515"/>
      <c r="G512" s="1499"/>
      <c r="H512" s="1263"/>
      <c r="I512" s="1512"/>
      <c r="J512" s="1263"/>
      <c r="K512" s="1263"/>
      <c r="L512" s="1263"/>
      <c r="M512" s="1263"/>
      <c r="N512" s="1263"/>
      <c r="O512" s="1263"/>
      <c r="P512" s="1263"/>
      <c r="Q512" s="1263"/>
      <c r="R512" s="1263"/>
      <c r="S512" s="1263"/>
      <c r="T512" s="1263"/>
      <c r="U512" s="1263"/>
      <c r="V512" s="1263"/>
      <c r="W512" s="1263"/>
    </row>
    <row r="513">
      <c r="A513" s="1513"/>
      <c r="B513" s="1514"/>
      <c r="C513" s="1499"/>
      <c r="D513" s="1499"/>
      <c r="E513" s="1499"/>
      <c r="F513" s="1515"/>
      <c r="G513" s="1499"/>
      <c r="H513" s="1263"/>
      <c r="I513" s="1512"/>
      <c r="J513" s="1263"/>
      <c r="K513" s="1263"/>
      <c r="L513" s="1263"/>
      <c r="M513" s="1263"/>
      <c r="N513" s="1263"/>
      <c r="O513" s="1263"/>
      <c r="P513" s="1263"/>
      <c r="Q513" s="1263"/>
      <c r="R513" s="1263"/>
      <c r="S513" s="1263"/>
      <c r="T513" s="1263"/>
      <c r="U513" s="1263"/>
      <c r="V513" s="1263"/>
      <c r="W513" s="1263"/>
    </row>
    <row r="514">
      <c r="A514" s="1513"/>
      <c r="B514" s="1514"/>
      <c r="C514" s="1499"/>
      <c r="D514" s="1499"/>
      <c r="E514" s="1499"/>
      <c r="F514" s="1515"/>
      <c r="G514" s="1499"/>
      <c r="H514" s="1263"/>
      <c r="I514" s="1512"/>
      <c r="J514" s="1263"/>
      <c r="K514" s="1263"/>
      <c r="L514" s="1263"/>
      <c r="M514" s="1263"/>
      <c r="N514" s="1263"/>
      <c r="O514" s="1263"/>
      <c r="P514" s="1263"/>
      <c r="Q514" s="1263"/>
      <c r="R514" s="1263"/>
      <c r="S514" s="1263"/>
      <c r="T514" s="1263"/>
      <c r="U514" s="1263"/>
      <c r="V514" s="1263"/>
      <c r="W514" s="1263"/>
    </row>
    <row r="515">
      <c r="A515" s="1513"/>
      <c r="B515" s="1514"/>
      <c r="C515" s="1499"/>
      <c r="D515" s="1499"/>
      <c r="E515" s="1499"/>
      <c r="F515" s="1515"/>
      <c r="G515" s="1499"/>
      <c r="H515" s="1263"/>
      <c r="I515" s="1512"/>
      <c r="J515" s="1263"/>
      <c r="K515" s="1263"/>
      <c r="L515" s="1263"/>
      <c r="M515" s="1263"/>
      <c r="N515" s="1263"/>
      <c r="O515" s="1263"/>
      <c r="P515" s="1263"/>
      <c r="Q515" s="1263"/>
      <c r="R515" s="1263"/>
      <c r="S515" s="1263"/>
      <c r="T515" s="1263"/>
      <c r="U515" s="1263"/>
      <c r="V515" s="1263"/>
      <c r="W515" s="1263"/>
    </row>
    <row r="516">
      <c r="A516" s="1513"/>
      <c r="B516" s="1514"/>
      <c r="C516" s="1499"/>
      <c r="D516" s="1499"/>
      <c r="E516" s="1499"/>
      <c r="F516" s="1515"/>
      <c r="G516" s="1499"/>
      <c r="H516" s="1263"/>
      <c r="I516" s="1512"/>
      <c r="J516" s="1263"/>
      <c r="K516" s="1263"/>
      <c r="L516" s="1263"/>
      <c r="M516" s="1263"/>
      <c r="N516" s="1263"/>
      <c r="O516" s="1263"/>
      <c r="P516" s="1263"/>
      <c r="Q516" s="1263"/>
      <c r="R516" s="1263"/>
      <c r="S516" s="1263"/>
      <c r="T516" s="1263"/>
      <c r="U516" s="1263"/>
      <c r="V516" s="1263"/>
      <c r="W516" s="1263"/>
    </row>
    <row r="517">
      <c r="A517" s="1513"/>
      <c r="B517" s="1514"/>
      <c r="C517" s="1499"/>
      <c r="D517" s="1499"/>
      <c r="E517" s="1499"/>
      <c r="F517" s="1515"/>
      <c r="G517" s="1499"/>
      <c r="H517" s="1263"/>
      <c r="I517" s="1512"/>
      <c r="J517" s="1263"/>
      <c r="K517" s="1263"/>
      <c r="L517" s="1263"/>
      <c r="M517" s="1263"/>
      <c r="N517" s="1263"/>
      <c r="O517" s="1263"/>
      <c r="P517" s="1263"/>
      <c r="Q517" s="1263"/>
      <c r="R517" s="1263"/>
      <c r="S517" s="1263"/>
      <c r="T517" s="1263"/>
      <c r="U517" s="1263"/>
      <c r="V517" s="1263"/>
      <c r="W517" s="1263"/>
    </row>
    <row r="518">
      <c r="A518" s="1513"/>
      <c r="B518" s="1514"/>
      <c r="C518" s="1499"/>
      <c r="D518" s="1499"/>
      <c r="E518" s="1499"/>
      <c r="F518" s="1515"/>
      <c r="G518" s="1499"/>
      <c r="H518" s="1263"/>
      <c r="I518" s="1512"/>
      <c r="J518" s="1263"/>
      <c r="K518" s="1263"/>
      <c r="L518" s="1263"/>
      <c r="M518" s="1263"/>
      <c r="N518" s="1263"/>
      <c r="O518" s="1263"/>
      <c r="P518" s="1263"/>
      <c r="Q518" s="1263"/>
      <c r="R518" s="1263"/>
      <c r="S518" s="1263"/>
      <c r="T518" s="1263"/>
      <c r="U518" s="1263"/>
      <c r="V518" s="1263"/>
      <c r="W518" s="1263"/>
    </row>
    <row r="519">
      <c r="A519" s="1513"/>
      <c r="B519" s="1514"/>
      <c r="C519" s="1499"/>
      <c r="D519" s="1499"/>
      <c r="E519" s="1499"/>
      <c r="F519" s="1515"/>
      <c r="G519" s="1499"/>
      <c r="H519" s="1263"/>
      <c r="I519" s="1512"/>
      <c r="J519" s="1263"/>
      <c r="K519" s="1263"/>
      <c r="L519" s="1263"/>
      <c r="M519" s="1263"/>
      <c r="N519" s="1263"/>
      <c r="O519" s="1263"/>
      <c r="P519" s="1263"/>
      <c r="Q519" s="1263"/>
      <c r="R519" s="1263"/>
      <c r="S519" s="1263"/>
      <c r="T519" s="1263"/>
      <c r="U519" s="1263"/>
      <c r="V519" s="1263"/>
      <c r="W519" s="1263"/>
    </row>
    <row r="520">
      <c r="A520" s="1513"/>
      <c r="B520" s="1514"/>
      <c r="C520" s="1499"/>
      <c r="D520" s="1499"/>
      <c r="E520" s="1499"/>
      <c r="F520" s="1515"/>
      <c r="G520" s="1499"/>
      <c r="H520" s="1263"/>
      <c r="I520" s="1512"/>
      <c r="J520" s="1263"/>
      <c r="K520" s="1263"/>
      <c r="L520" s="1263"/>
      <c r="M520" s="1263"/>
      <c r="N520" s="1263"/>
      <c r="O520" s="1263"/>
      <c r="P520" s="1263"/>
      <c r="Q520" s="1263"/>
      <c r="R520" s="1263"/>
      <c r="S520" s="1263"/>
      <c r="T520" s="1263"/>
      <c r="U520" s="1263"/>
      <c r="V520" s="1263"/>
      <c r="W520" s="1263"/>
    </row>
    <row r="521">
      <c r="A521" s="1513"/>
      <c r="B521" s="1514"/>
      <c r="C521" s="1499"/>
      <c r="D521" s="1499"/>
      <c r="E521" s="1499"/>
      <c r="F521" s="1515"/>
      <c r="G521" s="1499"/>
      <c r="H521" s="1263"/>
      <c r="I521" s="1512"/>
      <c r="J521" s="1263"/>
      <c r="K521" s="1263"/>
      <c r="L521" s="1263"/>
      <c r="M521" s="1263"/>
      <c r="N521" s="1263"/>
      <c r="O521" s="1263"/>
      <c r="P521" s="1263"/>
      <c r="Q521" s="1263"/>
      <c r="R521" s="1263"/>
      <c r="S521" s="1263"/>
      <c r="T521" s="1263"/>
      <c r="U521" s="1263"/>
      <c r="V521" s="1263"/>
      <c r="W521" s="1263"/>
    </row>
    <row r="522">
      <c r="A522" s="1513"/>
      <c r="B522" s="1514"/>
      <c r="C522" s="1499"/>
      <c r="D522" s="1499"/>
      <c r="E522" s="1499"/>
      <c r="F522" s="1515"/>
      <c r="G522" s="1499"/>
      <c r="H522" s="1263"/>
      <c r="I522" s="1512"/>
      <c r="J522" s="1263"/>
      <c r="K522" s="1263"/>
      <c r="L522" s="1263"/>
      <c r="M522" s="1263"/>
      <c r="N522" s="1263"/>
      <c r="O522" s="1263"/>
      <c r="P522" s="1263"/>
      <c r="Q522" s="1263"/>
      <c r="R522" s="1263"/>
      <c r="S522" s="1263"/>
      <c r="T522" s="1263"/>
      <c r="U522" s="1263"/>
      <c r="V522" s="1263"/>
      <c r="W522" s="1263"/>
    </row>
    <row r="523">
      <c r="A523" s="1513"/>
      <c r="B523" s="1514"/>
      <c r="C523" s="1499"/>
      <c r="D523" s="1499"/>
      <c r="E523" s="1499"/>
      <c r="F523" s="1515"/>
      <c r="G523" s="1499"/>
      <c r="H523" s="1263"/>
      <c r="I523" s="1512"/>
      <c r="J523" s="1263"/>
      <c r="K523" s="1263"/>
      <c r="L523" s="1263"/>
      <c r="M523" s="1263"/>
      <c r="N523" s="1263"/>
      <c r="O523" s="1263"/>
      <c r="P523" s="1263"/>
      <c r="Q523" s="1263"/>
      <c r="R523" s="1263"/>
      <c r="S523" s="1263"/>
      <c r="T523" s="1263"/>
      <c r="U523" s="1263"/>
      <c r="V523" s="1263"/>
      <c r="W523" s="1263"/>
    </row>
    <row r="524">
      <c r="A524" s="1513"/>
      <c r="B524" s="1514"/>
      <c r="C524" s="1499"/>
      <c r="D524" s="1499"/>
      <c r="E524" s="1499"/>
      <c r="F524" s="1515"/>
      <c r="G524" s="1499"/>
      <c r="H524" s="1263"/>
      <c r="I524" s="1512"/>
      <c r="J524" s="1263"/>
      <c r="K524" s="1263"/>
      <c r="L524" s="1263"/>
      <c r="M524" s="1263"/>
      <c r="N524" s="1263"/>
      <c r="O524" s="1263"/>
      <c r="P524" s="1263"/>
      <c r="Q524" s="1263"/>
      <c r="R524" s="1263"/>
      <c r="S524" s="1263"/>
      <c r="T524" s="1263"/>
      <c r="U524" s="1263"/>
      <c r="V524" s="1263"/>
      <c r="W524" s="1263"/>
    </row>
    <row r="525">
      <c r="A525" s="1513"/>
      <c r="B525" s="1514"/>
      <c r="C525" s="1499"/>
      <c r="D525" s="1499"/>
      <c r="E525" s="1499"/>
      <c r="F525" s="1515"/>
      <c r="G525" s="1499"/>
      <c r="H525" s="1263"/>
      <c r="I525" s="1512"/>
      <c r="J525" s="1263"/>
      <c r="K525" s="1263"/>
      <c r="L525" s="1263"/>
      <c r="M525" s="1263"/>
      <c r="N525" s="1263"/>
      <c r="O525" s="1263"/>
      <c r="P525" s="1263"/>
      <c r="Q525" s="1263"/>
      <c r="R525" s="1263"/>
      <c r="S525" s="1263"/>
      <c r="T525" s="1263"/>
      <c r="U525" s="1263"/>
      <c r="V525" s="1263"/>
      <c r="W525" s="1263"/>
    </row>
    <row r="526">
      <c r="A526" s="1513"/>
      <c r="B526" s="1514"/>
      <c r="C526" s="1499"/>
      <c r="D526" s="1499"/>
      <c r="E526" s="1499"/>
      <c r="F526" s="1515"/>
      <c r="G526" s="1499"/>
      <c r="H526" s="1263"/>
      <c r="I526" s="1512"/>
      <c r="J526" s="1263"/>
      <c r="K526" s="1263"/>
      <c r="L526" s="1263"/>
      <c r="M526" s="1263"/>
      <c r="N526" s="1263"/>
      <c r="O526" s="1263"/>
      <c r="P526" s="1263"/>
      <c r="Q526" s="1263"/>
      <c r="R526" s="1263"/>
      <c r="S526" s="1263"/>
      <c r="T526" s="1263"/>
      <c r="U526" s="1263"/>
      <c r="V526" s="1263"/>
      <c r="W526" s="1263"/>
    </row>
    <row r="527">
      <c r="A527" s="1513"/>
      <c r="B527" s="1514"/>
      <c r="C527" s="1499"/>
      <c r="D527" s="1499"/>
      <c r="E527" s="1499"/>
      <c r="F527" s="1515"/>
      <c r="G527" s="1499"/>
      <c r="H527" s="1263"/>
      <c r="I527" s="1512"/>
      <c r="J527" s="1263"/>
      <c r="K527" s="1263"/>
      <c r="L527" s="1263"/>
      <c r="M527" s="1263"/>
      <c r="N527" s="1263"/>
      <c r="O527" s="1263"/>
      <c r="P527" s="1263"/>
      <c r="Q527" s="1263"/>
      <c r="R527" s="1263"/>
      <c r="S527" s="1263"/>
      <c r="T527" s="1263"/>
      <c r="U527" s="1263"/>
      <c r="V527" s="1263"/>
      <c r="W527" s="1263"/>
    </row>
    <row r="528">
      <c r="A528" s="1513"/>
      <c r="B528" s="1514"/>
      <c r="C528" s="1499"/>
      <c r="D528" s="1499"/>
      <c r="E528" s="1499"/>
      <c r="F528" s="1515"/>
      <c r="G528" s="1499"/>
      <c r="H528" s="1263"/>
      <c r="I528" s="1512"/>
      <c r="J528" s="1263"/>
      <c r="K528" s="1263"/>
      <c r="L528" s="1263"/>
      <c r="M528" s="1263"/>
      <c r="N528" s="1263"/>
      <c r="O528" s="1263"/>
      <c r="P528" s="1263"/>
      <c r="Q528" s="1263"/>
      <c r="R528" s="1263"/>
      <c r="S528" s="1263"/>
      <c r="T528" s="1263"/>
      <c r="U528" s="1263"/>
      <c r="V528" s="1263"/>
      <c r="W528" s="1263"/>
    </row>
    <row r="529">
      <c r="A529" s="1513"/>
      <c r="B529" s="1514"/>
      <c r="C529" s="1499"/>
      <c r="D529" s="1499"/>
      <c r="E529" s="1499"/>
      <c r="F529" s="1515"/>
      <c r="G529" s="1499"/>
      <c r="H529" s="1263"/>
      <c r="I529" s="1512"/>
      <c r="J529" s="1263"/>
      <c r="K529" s="1263"/>
      <c r="L529" s="1263"/>
      <c r="M529" s="1263"/>
      <c r="N529" s="1263"/>
      <c r="O529" s="1263"/>
      <c r="P529" s="1263"/>
      <c r="Q529" s="1263"/>
      <c r="R529" s="1263"/>
      <c r="S529" s="1263"/>
      <c r="T529" s="1263"/>
      <c r="U529" s="1263"/>
      <c r="V529" s="1263"/>
      <c r="W529" s="1263"/>
    </row>
    <row r="530">
      <c r="A530" s="1513"/>
      <c r="B530" s="1514"/>
      <c r="C530" s="1499"/>
      <c r="D530" s="1499"/>
      <c r="E530" s="1499"/>
      <c r="F530" s="1515"/>
      <c r="G530" s="1499"/>
      <c r="H530" s="1263"/>
      <c r="I530" s="1512"/>
      <c r="J530" s="1263"/>
      <c r="K530" s="1263"/>
      <c r="L530" s="1263"/>
      <c r="M530" s="1263"/>
      <c r="N530" s="1263"/>
      <c r="O530" s="1263"/>
      <c r="P530" s="1263"/>
      <c r="Q530" s="1263"/>
      <c r="R530" s="1263"/>
      <c r="S530" s="1263"/>
      <c r="T530" s="1263"/>
      <c r="U530" s="1263"/>
      <c r="V530" s="1263"/>
      <c r="W530" s="1263"/>
    </row>
    <row r="531">
      <c r="A531" s="1513"/>
      <c r="B531" s="1514"/>
      <c r="C531" s="1499"/>
      <c r="D531" s="1499"/>
      <c r="E531" s="1499"/>
      <c r="F531" s="1515"/>
      <c r="G531" s="1499"/>
      <c r="H531" s="1263"/>
      <c r="I531" s="1512"/>
      <c r="J531" s="1263"/>
      <c r="K531" s="1263"/>
      <c r="L531" s="1263"/>
      <c r="M531" s="1263"/>
      <c r="N531" s="1263"/>
      <c r="O531" s="1263"/>
      <c r="P531" s="1263"/>
      <c r="Q531" s="1263"/>
      <c r="R531" s="1263"/>
      <c r="S531" s="1263"/>
      <c r="T531" s="1263"/>
      <c r="U531" s="1263"/>
      <c r="V531" s="1263"/>
      <c r="W531" s="1263"/>
    </row>
    <row r="532">
      <c r="A532" s="1513"/>
      <c r="B532" s="1514"/>
      <c r="C532" s="1499"/>
      <c r="D532" s="1499"/>
      <c r="E532" s="1499"/>
      <c r="F532" s="1515"/>
      <c r="G532" s="1499"/>
      <c r="H532" s="1263"/>
      <c r="I532" s="1512"/>
      <c r="J532" s="1263"/>
      <c r="K532" s="1263"/>
      <c r="L532" s="1263"/>
      <c r="M532" s="1263"/>
      <c r="N532" s="1263"/>
      <c r="O532" s="1263"/>
      <c r="P532" s="1263"/>
      <c r="Q532" s="1263"/>
      <c r="R532" s="1263"/>
      <c r="S532" s="1263"/>
      <c r="T532" s="1263"/>
      <c r="U532" s="1263"/>
      <c r="V532" s="1263"/>
      <c r="W532" s="1263"/>
    </row>
    <row r="533">
      <c r="A533" s="1513"/>
      <c r="B533" s="1514"/>
      <c r="C533" s="1499"/>
      <c r="D533" s="1499"/>
      <c r="E533" s="1499"/>
      <c r="F533" s="1515"/>
      <c r="G533" s="1499"/>
      <c r="H533" s="1263"/>
      <c r="I533" s="1512"/>
      <c r="J533" s="1263"/>
      <c r="K533" s="1263"/>
      <c r="L533" s="1263"/>
      <c r="M533" s="1263"/>
      <c r="N533" s="1263"/>
      <c r="O533" s="1263"/>
      <c r="P533" s="1263"/>
      <c r="Q533" s="1263"/>
      <c r="R533" s="1263"/>
      <c r="S533" s="1263"/>
      <c r="T533" s="1263"/>
      <c r="U533" s="1263"/>
      <c r="V533" s="1263"/>
      <c r="W533" s="1263"/>
    </row>
    <row r="534">
      <c r="A534" s="1513"/>
      <c r="B534" s="1514"/>
      <c r="C534" s="1499"/>
      <c r="D534" s="1499"/>
      <c r="E534" s="1499"/>
      <c r="F534" s="1515"/>
      <c r="G534" s="1499"/>
      <c r="H534" s="1263"/>
      <c r="I534" s="1512"/>
      <c r="J534" s="1263"/>
      <c r="K534" s="1263"/>
      <c r="L534" s="1263"/>
      <c r="M534" s="1263"/>
      <c r="N534" s="1263"/>
      <c r="O534" s="1263"/>
      <c r="P534" s="1263"/>
      <c r="Q534" s="1263"/>
      <c r="R534" s="1263"/>
      <c r="S534" s="1263"/>
      <c r="T534" s="1263"/>
      <c r="U534" s="1263"/>
      <c r="V534" s="1263"/>
      <c r="W534" s="1263"/>
    </row>
    <row r="535">
      <c r="A535" s="1513"/>
      <c r="B535" s="1514"/>
      <c r="C535" s="1499"/>
      <c r="D535" s="1499"/>
      <c r="E535" s="1499"/>
      <c r="F535" s="1515"/>
      <c r="G535" s="1499"/>
      <c r="H535" s="1263"/>
      <c r="I535" s="1512"/>
      <c r="J535" s="1263"/>
      <c r="K535" s="1263"/>
      <c r="L535" s="1263"/>
      <c r="M535" s="1263"/>
      <c r="N535" s="1263"/>
      <c r="O535" s="1263"/>
      <c r="P535" s="1263"/>
      <c r="Q535" s="1263"/>
      <c r="R535" s="1263"/>
      <c r="S535" s="1263"/>
      <c r="T535" s="1263"/>
      <c r="U535" s="1263"/>
      <c r="V535" s="1263"/>
      <c r="W535" s="1263"/>
    </row>
    <row r="536">
      <c r="A536" s="1513"/>
      <c r="B536" s="1514"/>
      <c r="C536" s="1499"/>
      <c r="D536" s="1499"/>
      <c r="E536" s="1499"/>
      <c r="F536" s="1515"/>
      <c r="G536" s="1499"/>
      <c r="H536" s="1263"/>
      <c r="I536" s="1512"/>
      <c r="J536" s="1263"/>
      <c r="K536" s="1263"/>
      <c r="L536" s="1263"/>
      <c r="M536" s="1263"/>
      <c r="N536" s="1263"/>
      <c r="O536" s="1263"/>
      <c r="P536" s="1263"/>
      <c r="Q536" s="1263"/>
      <c r="R536" s="1263"/>
      <c r="S536" s="1263"/>
      <c r="T536" s="1263"/>
      <c r="U536" s="1263"/>
      <c r="V536" s="1263"/>
      <c r="W536" s="1263"/>
    </row>
    <row r="537">
      <c r="A537" s="1513"/>
      <c r="B537" s="1514"/>
      <c r="C537" s="1499"/>
      <c r="D537" s="1499"/>
      <c r="E537" s="1499"/>
      <c r="F537" s="1515"/>
      <c r="G537" s="1499"/>
      <c r="H537" s="1263"/>
      <c r="I537" s="1512"/>
      <c r="J537" s="1263"/>
      <c r="K537" s="1263"/>
      <c r="L537" s="1263"/>
      <c r="M537" s="1263"/>
      <c r="N537" s="1263"/>
      <c r="O537" s="1263"/>
      <c r="P537" s="1263"/>
      <c r="Q537" s="1263"/>
      <c r="R537" s="1263"/>
      <c r="S537" s="1263"/>
      <c r="T537" s="1263"/>
      <c r="U537" s="1263"/>
      <c r="V537" s="1263"/>
      <c r="W537" s="1263"/>
    </row>
    <row r="538">
      <c r="A538" s="1513"/>
      <c r="B538" s="1514"/>
      <c r="C538" s="1499"/>
      <c r="D538" s="1499"/>
      <c r="E538" s="1499"/>
      <c r="F538" s="1515"/>
      <c r="G538" s="1499"/>
      <c r="H538" s="1263"/>
      <c r="I538" s="1512"/>
      <c r="J538" s="1263"/>
      <c r="K538" s="1263"/>
      <c r="L538" s="1263"/>
      <c r="M538" s="1263"/>
      <c r="N538" s="1263"/>
      <c r="O538" s="1263"/>
      <c r="P538" s="1263"/>
      <c r="Q538" s="1263"/>
      <c r="R538" s="1263"/>
      <c r="S538" s="1263"/>
      <c r="T538" s="1263"/>
      <c r="U538" s="1263"/>
      <c r="V538" s="1263"/>
      <c r="W538" s="1263"/>
    </row>
    <row r="539">
      <c r="A539" s="1513"/>
      <c r="B539" s="1514"/>
      <c r="C539" s="1499"/>
      <c r="D539" s="1499"/>
      <c r="E539" s="1499"/>
      <c r="F539" s="1515"/>
      <c r="G539" s="1499"/>
      <c r="H539" s="1263"/>
      <c r="I539" s="1512"/>
      <c r="J539" s="1263"/>
      <c r="K539" s="1263"/>
      <c r="L539" s="1263"/>
      <c r="M539" s="1263"/>
      <c r="N539" s="1263"/>
      <c r="O539" s="1263"/>
      <c r="P539" s="1263"/>
      <c r="Q539" s="1263"/>
      <c r="R539" s="1263"/>
      <c r="S539" s="1263"/>
      <c r="T539" s="1263"/>
      <c r="U539" s="1263"/>
      <c r="V539" s="1263"/>
      <c r="W539" s="1263"/>
    </row>
    <row r="540">
      <c r="A540" s="1513"/>
      <c r="B540" s="1514"/>
      <c r="C540" s="1499"/>
      <c r="D540" s="1499"/>
      <c r="E540" s="1499"/>
      <c r="F540" s="1515"/>
      <c r="G540" s="1499"/>
      <c r="H540" s="1263"/>
      <c r="I540" s="1512"/>
      <c r="J540" s="1263"/>
      <c r="K540" s="1263"/>
      <c r="L540" s="1263"/>
      <c r="M540" s="1263"/>
      <c r="N540" s="1263"/>
      <c r="O540" s="1263"/>
      <c r="P540" s="1263"/>
      <c r="Q540" s="1263"/>
      <c r="R540" s="1263"/>
      <c r="S540" s="1263"/>
      <c r="T540" s="1263"/>
      <c r="U540" s="1263"/>
      <c r="V540" s="1263"/>
      <c r="W540" s="1263"/>
    </row>
    <row r="541">
      <c r="A541" s="1513"/>
      <c r="B541" s="1514"/>
      <c r="C541" s="1499"/>
      <c r="D541" s="1499"/>
      <c r="E541" s="1499"/>
      <c r="F541" s="1515"/>
      <c r="G541" s="1499"/>
      <c r="H541" s="1263"/>
      <c r="I541" s="1512"/>
      <c r="J541" s="1263"/>
      <c r="K541" s="1263"/>
      <c r="L541" s="1263"/>
      <c r="M541" s="1263"/>
      <c r="N541" s="1263"/>
      <c r="O541" s="1263"/>
      <c r="P541" s="1263"/>
      <c r="Q541" s="1263"/>
      <c r="R541" s="1263"/>
      <c r="S541" s="1263"/>
      <c r="T541" s="1263"/>
      <c r="U541" s="1263"/>
      <c r="V541" s="1263"/>
      <c r="W541" s="1263"/>
    </row>
    <row r="542">
      <c r="A542" s="1513"/>
      <c r="B542" s="1514"/>
      <c r="C542" s="1499"/>
      <c r="D542" s="1499"/>
      <c r="E542" s="1499"/>
      <c r="F542" s="1515"/>
      <c r="G542" s="1499"/>
      <c r="H542" s="1263"/>
      <c r="I542" s="1512"/>
      <c r="J542" s="1263"/>
      <c r="K542" s="1263"/>
      <c r="L542" s="1263"/>
      <c r="M542" s="1263"/>
      <c r="N542" s="1263"/>
      <c r="O542" s="1263"/>
      <c r="P542" s="1263"/>
      <c r="Q542" s="1263"/>
      <c r="R542" s="1263"/>
      <c r="S542" s="1263"/>
      <c r="T542" s="1263"/>
      <c r="U542" s="1263"/>
      <c r="V542" s="1263"/>
      <c r="W542" s="1263"/>
    </row>
    <row r="543">
      <c r="A543" s="1513"/>
      <c r="B543" s="1514"/>
      <c r="C543" s="1499"/>
      <c r="D543" s="1499"/>
      <c r="E543" s="1499"/>
      <c r="F543" s="1515"/>
      <c r="G543" s="1499"/>
      <c r="H543" s="1263"/>
      <c r="I543" s="1512"/>
      <c r="J543" s="1263"/>
      <c r="K543" s="1263"/>
      <c r="L543" s="1263"/>
      <c r="M543" s="1263"/>
      <c r="N543" s="1263"/>
      <c r="O543" s="1263"/>
      <c r="P543" s="1263"/>
      <c r="Q543" s="1263"/>
      <c r="R543" s="1263"/>
      <c r="S543" s="1263"/>
      <c r="T543" s="1263"/>
      <c r="U543" s="1263"/>
      <c r="V543" s="1263"/>
      <c r="W543" s="1263"/>
    </row>
    <row r="544">
      <c r="A544" s="1513"/>
      <c r="B544" s="1514"/>
      <c r="C544" s="1499"/>
      <c r="D544" s="1499"/>
      <c r="E544" s="1499"/>
      <c r="F544" s="1515"/>
      <c r="G544" s="1499"/>
      <c r="H544" s="1263"/>
      <c r="I544" s="1512"/>
      <c r="J544" s="1263"/>
      <c r="K544" s="1263"/>
      <c r="L544" s="1263"/>
      <c r="M544" s="1263"/>
      <c r="N544" s="1263"/>
      <c r="O544" s="1263"/>
      <c r="P544" s="1263"/>
      <c r="Q544" s="1263"/>
      <c r="R544" s="1263"/>
      <c r="S544" s="1263"/>
      <c r="T544" s="1263"/>
      <c r="U544" s="1263"/>
      <c r="V544" s="1263"/>
      <c r="W544" s="1263"/>
    </row>
    <row r="545">
      <c r="A545" s="1513"/>
      <c r="B545" s="1514"/>
      <c r="C545" s="1499"/>
      <c r="D545" s="1499"/>
      <c r="E545" s="1499"/>
      <c r="F545" s="1515"/>
      <c r="G545" s="1499"/>
      <c r="H545" s="1263"/>
      <c r="I545" s="1512"/>
      <c r="J545" s="1263"/>
      <c r="K545" s="1263"/>
      <c r="L545" s="1263"/>
      <c r="M545" s="1263"/>
      <c r="N545" s="1263"/>
      <c r="O545" s="1263"/>
      <c r="P545" s="1263"/>
      <c r="Q545" s="1263"/>
      <c r="R545" s="1263"/>
      <c r="S545" s="1263"/>
      <c r="T545" s="1263"/>
      <c r="U545" s="1263"/>
      <c r="V545" s="1263"/>
      <c r="W545" s="1263"/>
    </row>
    <row r="546">
      <c r="A546" s="1513"/>
      <c r="B546" s="1514"/>
      <c r="C546" s="1499"/>
      <c r="D546" s="1499"/>
      <c r="E546" s="1499"/>
      <c r="F546" s="1515"/>
      <c r="G546" s="1499"/>
      <c r="H546" s="1263"/>
      <c r="I546" s="1512"/>
      <c r="J546" s="1263"/>
      <c r="K546" s="1263"/>
      <c r="L546" s="1263"/>
      <c r="M546" s="1263"/>
      <c r="N546" s="1263"/>
      <c r="O546" s="1263"/>
      <c r="P546" s="1263"/>
      <c r="Q546" s="1263"/>
      <c r="R546" s="1263"/>
      <c r="S546" s="1263"/>
      <c r="T546" s="1263"/>
      <c r="U546" s="1263"/>
      <c r="V546" s="1263"/>
      <c r="W546" s="1263"/>
    </row>
    <row r="547">
      <c r="A547" s="1513"/>
      <c r="B547" s="1514"/>
      <c r="C547" s="1499"/>
      <c r="D547" s="1499"/>
      <c r="E547" s="1499"/>
      <c r="F547" s="1515"/>
      <c r="G547" s="1499"/>
      <c r="H547" s="1263"/>
      <c r="I547" s="1512"/>
      <c r="J547" s="1263"/>
      <c r="K547" s="1263"/>
      <c r="L547" s="1263"/>
      <c r="M547" s="1263"/>
      <c r="N547" s="1263"/>
      <c r="O547" s="1263"/>
      <c r="P547" s="1263"/>
      <c r="Q547" s="1263"/>
      <c r="R547" s="1263"/>
      <c r="S547" s="1263"/>
      <c r="T547" s="1263"/>
      <c r="U547" s="1263"/>
      <c r="V547" s="1263"/>
      <c r="W547" s="1263"/>
    </row>
    <row r="548">
      <c r="A548" s="1513"/>
      <c r="B548" s="1514"/>
      <c r="C548" s="1499"/>
      <c r="D548" s="1499"/>
      <c r="E548" s="1499"/>
      <c r="F548" s="1515"/>
      <c r="G548" s="1499"/>
      <c r="H548" s="1263"/>
      <c r="I548" s="1512"/>
      <c r="J548" s="1263"/>
      <c r="K548" s="1263"/>
      <c r="L548" s="1263"/>
      <c r="M548" s="1263"/>
      <c r="N548" s="1263"/>
      <c r="O548" s="1263"/>
      <c r="P548" s="1263"/>
      <c r="Q548" s="1263"/>
      <c r="R548" s="1263"/>
      <c r="S548" s="1263"/>
      <c r="T548" s="1263"/>
      <c r="U548" s="1263"/>
      <c r="V548" s="1263"/>
      <c r="W548" s="1263"/>
    </row>
    <row r="549">
      <c r="A549" s="1513"/>
      <c r="B549" s="1514"/>
      <c r="C549" s="1499"/>
      <c r="D549" s="1499"/>
      <c r="E549" s="1499"/>
      <c r="F549" s="1515"/>
      <c r="G549" s="1499"/>
      <c r="H549" s="1263"/>
      <c r="I549" s="1512"/>
      <c r="J549" s="1263"/>
      <c r="K549" s="1263"/>
      <c r="L549" s="1263"/>
      <c r="M549" s="1263"/>
      <c r="N549" s="1263"/>
      <c r="O549" s="1263"/>
      <c r="P549" s="1263"/>
      <c r="Q549" s="1263"/>
      <c r="R549" s="1263"/>
      <c r="S549" s="1263"/>
      <c r="T549" s="1263"/>
      <c r="U549" s="1263"/>
      <c r="V549" s="1263"/>
      <c r="W549" s="1263"/>
    </row>
    <row r="550">
      <c r="A550" s="1513"/>
      <c r="B550" s="1514"/>
      <c r="C550" s="1499"/>
      <c r="D550" s="1499"/>
      <c r="E550" s="1499"/>
      <c r="F550" s="1515"/>
      <c r="G550" s="1499"/>
      <c r="H550" s="1263"/>
      <c r="I550" s="1512"/>
      <c r="J550" s="1263"/>
      <c r="K550" s="1263"/>
      <c r="L550" s="1263"/>
      <c r="M550" s="1263"/>
      <c r="N550" s="1263"/>
      <c r="O550" s="1263"/>
      <c r="P550" s="1263"/>
      <c r="Q550" s="1263"/>
      <c r="R550" s="1263"/>
      <c r="S550" s="1263"/>
      <c r="T550" s="1263"/>
      <c r="U550" s="1263"/>
      <c r="V550" s="1263"/>
      <c r="W550" s="1263"/>
    </row>
    <row r="551">
      <c r="A551" s="1513"/>
      <c r="B551" s="1514"/>
      <c r="C551" s="1499"/>
      <c r="D551" s="1499"/>
      <c r="E551" s="1499"/>
      <c r="F551" s="1515"/>
      <c r="G551" s="1499"/>
      <c r="H551" s="1263"/>
      <c r="I551" s="1512"/>
      <c r="J551" s="1263"/>
      <c r="K551" s="1263"/>
      <c r="L551" s="1263"/>
      <c r="M551" s="1263"/>
      <c r="N551" s="1263"/>
      <c r="O551" s="1263"/>
      <c r="P551" s="1263"/>
      <c r="Q551" s="1263"/>
      <c r="R551" s="1263"/>
      <c r="S551" s="1263"/>
      <c r="T551" s="1263"/>
      <c r="U551" s="1263"/>
      <c r="V551" s="1263"/>
      <c r="W551" s="1263"/>
    </row>
    <row r="552">
      <c r="A552" s="1513"/>
      <c r="B552" s="1514"/>
      <c r="C552" s="1499"/>
      <c r="D552" s="1499"/>
      <c r="E552" s="1499"/>
      <c r="F552" s="1515"/>
      <c r="G552" s="1499"/>
      <c r="H552" s="1263"/>
      <c r="I552" s="1512"/>
      <c r="J552" s="1263"/>
      <c r="K552" s="1263"/>
      <c r="L552" s="1263"/>
      <c r="M552" s="1263"/>
      <c r="N552" s="1263"/>
      <c r="O552" s="1263"/>
      <c r="P552" s="1263"/>
      <c r="Q552" s="1263"/>
      <c r="R552" s="1263"/>
      <c r="S552" s="1263"/>
      <c r="T552" s="1263"/>
      <c r="U552" s="1263"/>
      <c r="V552" s="1263"/>
      <c r="W552" s="1263"/>
    </row>
    <row r="553">
      <c r="A553" s="1513"/>
      <c r="B553" s="1514"/>
      <c r="C553" s="1499"/>
      <c r="D553" s="1499"/>
      <c r="E553" s="1499"/>
      <c r="F553" s="1515"/>
      <c r="G553" s="1499"/>
      <c r="H553" s="1263"/>
      <c r="I553" s="1512"/>
      <c r="J553" s="1263"/>
      <c r="K553" s="1263"/>
      <c r="L553" s="1263"/>
      <c r="M553" s="1263"/>
      <c r="N553" s="1263"/>
      <c r="O553" s="1263"/>
      <c r="P553" s="1263"/>
      <c r="Q553" s="1263"/>
      <c r="R553" s="1263"/>
      <c r="S553" s="1263"/>
      <c r="T553" s="1263"/>
      <c r="U553" s="1263"/>
      <c r="V553" s="1263"/>
      <c r="W553" s="1263"/>
    </row>
    <row r="554">
      <c r="A554" s="1513"/>
      <c r="B554" s="1514"/>
      <c r="C554" s="1499"/>
      <c r="D554" s="1499"/>
      <c r="E554" s="1499"/>
      <c r="F554" s="1515"/>
      <c r="G554" s="1499"/>
      <c r="H554" s="1263"/>
      <c r="I554" s="1512"/>
      <c r="J554" s="1263"/>
      <c r="K554" s="1263"/>
      <c r="L554" s="1263"/>
      <c r="M554" s="1263"/>
      <c r="N554" s="1263"/>
      <c r="O554" s="1263"/>
      <c r="P554" s="1263"/>
      <c r="Q554" s="1263"/>
      <c r="R554" s="1263"/>
      <c r="S554" s="1263"/>
      <c r="T554" s="1263"/>
      <c r="U554" s="1263"/>
      <c r="V554" s="1263"/>
      <c r="W554" s="1263"/>
    </row>
    <row r="555">
      <c r="A555" s="1513"/>
      <c r="B555" s="1514"/>
      <c r="C555" s="1499"/>
      <c r="D555" s="1499"/>
      <c r="E555" s="1499"/>
      <c r="F555" s="1515"/>
      <c r="G555" s="1499"/>
      <c r="H555" s="1263"/>
      <c r="I555" s="1512"/>
      <c r="J555" s="1263"/>
      <c r="K555" s="1263"/>
      <c r="L555" s="1263"/>
      <c r="M555" s="1263"/>
      <c r="N555" s="1263"/>
      <c r="O555" s="1263"/>
      <c r="P555" s="1263"/>
      <c r="Q555" s="1263"/>
      <c r="R555" s="1263"/>
      <c r="S555" s="1263"/>
      <c r="T555" s="1263"/>
      <c r="U555" s="1263"/>
      <c r="V555" s="1263"/>
      <c r="W555" s="1263"/>
    </row>
    <row r="556">
      <c r="A556" s="1513"/>
      <c r="B556" s="1514"/>
      <c r="C556" s="1499"/>
      <c r="D556" s="1499"/>
      <c r="E556" s="1499"/>
      <c r="F556" s="1515"/>
      <c r="G556" s="1499"/>
      <c r="H556" s="1263"/>
      <c r="I556" s="1512"/>
      <c r="J556" s="1263"/>
      <c r="K556" s="1263"/>
      <c r="L556" s="1263"/>
      <c r="M556" s="1263"/>
      <c r="N556" s="1263"/>
      <c r="O556" s="1263"/>
      <c r="P556" s="1263"/>
      <c r="Q556" s="1263"/>
      <c r="R556" s="1263"/>
      <c r="S556" s="1263"/>
      <c r="T556" s="1263"/>
      <c r="U556" s="1263"/>
      <c r="V556" s="1263"/>
      <c r="W556" s="1263"/>
    </row>
    <row r="557">
      <c r="A557" s="1513"/>
      <c r="B557" s="1514"/>
      <c r="C557" s="1499"/>
      <c r="D557" s="1499"/>
      <c r="E557" s="1499"/>
      <c r="F557" s="1515"/>
      <c r="G557" s="1499"/>
      <c r="H557" s="1263"/>
      <c r="I557" s="1512"/>
      <c r="J557" s="1263"/>
      <c r="K557" s="1263"/>
      <c r="L557" s="1263"/>
      <c r="M557" s="1263"/>
      <c r="N557" s="1263"/>
      <c r="O557" s="1263"/>
      <c r="P557" s="1263"/>
      <c r="Q557" s="1263"/>
      <c r="R557" s="1263"/>
      <c r="S557" s="1263"/>
      <c r="T557" s="1263"/>
      <c r="U557" s="1263"/>
      <c r="V557" s="1263"/>
      <c r="W557" s="1263"/>
    </row>
    <row r="558">
      <c r="A558" s="1513"/>
      <c r="B558" s="1514"/>
      <c r="C558" s="1499"/>
      <c r="D558" s="1499"/>
      <c r="E558" s="1499"/>
      <c r="F558" s="1515"/>
      <c r="G558" s="1499"/>
      <c r="H558" s="1263"/>
      <c r="I558" s="1512"/>
      <c r="J558" s="1263"/>
      <c r="K558" s="1263"/>
      <c r="L558" s="1263"/>
      <c r="M558" s="1263"/>
      <c r="N558" s="1263"/>
      <c r="O558" s="1263"/>
      <c r="P558" s="1263"/>
      <c r="Q558" s="1263"/>
      <c r="R558" s="1263"/>
      <c r="S558" s="1263"/>
      <c r="T558" s="1263"/>
      <c r="U558" s="1263"/>
      <c r="V558" s="1263"/>
      <c r="W558" s="1263"/>
    </row>
    <row r="559">
      <c r="A559" s="1513"/>
      <c r="B559" s="1514"/>
      <c r="C559" s="1499"/>
      <c r="D559" s="1499"/>
      <c r="E559" s="1499"/>
      <c r="F559" s="1515"/>
      <c r="G559" s="1499"/>
      <c r="H559" s="1263"/>
      <c r="I559" s="1512"/>
      <c r="J559" s="1263"/>
      <c r="K559" s="1263"/>
      <c r="L559" s="1263"/>
      <c r="M559" s="1263"/>
      <c r="N559" s="1263"/>
      <c r="O559" s="1263"/>
      <c r="P559" s="1263"/>
      <c r="Q559" s="1263"/>
      <c r="R559" s="1263"/>
      <c r="S559" s="1263"/>
      <c r="T559" s="1263"/>
      <c r="U559" s="1263"/>
      <c r="V559" s="1263"/>
      <c r="W559" s="1263"/>
    </row>
    <row r="560">
      <c r="A560" s="1513"/>
      <c r="B560" s="1514"/>
      <c r="C560" s="1499"/>
      <c r="D560" s="1499"/>
      <c r="E560" s="1499"/>
      <c r="F560" s="1515"/>
      <c r="G560" s="1499"/>
      <c r="H560" s="1263"/>
      <c r="I560" s="1512"/>
      <c r="J560" s="1263"/>
      <c r="K560" s="1263"/>
      <c r="L560" s="1263"/>
      <c r="M560" s="1263"/>
      <c r="N560" s="1263"/>
      <c r="O560" s="1263"/>
      <c r="P560" s="1263"/>
      <c r="Q560" s="1263"/>
      <c r="R560" s="1263"/>
      <c r="S560" s="1263"/>
      <c r="T560" s="1263"/>
      <c r="U560" s="1263"/>
      <c r="V560" s="1263"/>
      <c r="W560" s="1263"/>
    </row>
    <row r="561">
      <c r="A561" s="1513"/>
      <c r="B561" s="1514"/>
      <c r="C561" s="1499"/>
      <c r="D561" s="1499"/>
      <c r="E561" s="1499"/>
      <c r="F561" s="1515"/>
      <c r="G561" s="1499"/>
      <c r="H561" s="1263"/>
      <c r="I561" s="1512"/>
      <c r="J561" s="1263"/>
      <c r="K561" s="1263"/>
      <c r="L561" s="1263"/>
      <c r="M561" s="1263"/>
      <c r="N561" s="1263"/>
      <c r="O561" s="1263"/>
      <c r="P561" s="1263"/>
      <c r="Q561" s="1263"/>
      <c r="R561" s="1263"/>
      <c r="S561" s="1263"/>
      <c r="T561" s="1263"/>
      <c r="U561" s="1263"/>
      <c r="V561" s="1263"/>
      <c r="W561" s="1263"/>
    </row>
    <row r="562">
      <c r="A562" s="1513"/>
      <c r="B562" s="1514"/>
      <c r="C562" s="1499"/>
      <c r="D562" s="1499"/>
      <c r="E562" s="1499"/>
      <c r="F562" s="1515"/>
      <c r="G562" s="1499"/>
      <c r="H562" s="1263"/>
      <c r="I562" s="1512"/>
      <c r="J562" s="1263"/>
      <c r="K562" s="1263"/>
      <c r="L562" s="1263"/>
      <c r="M562" s="1263"/>
      <c r="N562" s="1263"/>
      <c r="O562" s="1263"/>
      <c r="P562" s="1263"/>
      <c r="Q562" s="1263"/>
      <c r="R562" s="1263"/>
      <c r="S562" s="1263"/>
      <c r="T562" s="1263"/>
      <c r="U562" s="1263"/>
      <c r="V562" s="1263"/>
      <c r="W562" s="1263"/>
    </row>
    <row r="563">
      <c r="A563" s="1513"/>
      <c r="B563" s="1514"/>
      <c r="C563" s="1499"/>
      <c r="D563" s="1499"/>
      <c r="E563" s="1499"/>
      <c r="F563" s="1515"/>
      <c r="G563" s="1499"/>
      <c r="H563" s="1263"/>
      <c r="I563" s="1512"/>
      <c r="J563" s="1263"/>
      <c r="K563" s="1263"/>
      <c r="L563" s="1263"/>
      <c r="M563" s="1263"/>
      <c r="N563" s="1263"/>
      <c r="O563" s="1263"/>
      <c r="P563" s="1263"/>
      <c r="Q563" s="1263"/>
      <c r="R563" s="1263"/>
      <c r="S563" s="1263"/>
      <c r="T563" s="1263"/>
      <c r="U563" s="1263"/>
      <c r="V563" s="1263"/>
      <c r="W563" s="1263"/>
    </row>
    <row r="564">
      <c r="A564" s="1513"/>
      <c r="B564" s="1514"/>
      <c r="C564" s="1499"/>
      <c r="D564" s="1499"/>
      <c r="E564" s="1499"/>
      <c r="F564" s="1515"/>
      <c r="G564" s="1499"/>
      <c r="H564" s="1263"/>
      <c r="I564" s="1512"/>
      <c r="J564" s="1263"/>
      <c r="K564" s="1263"/>
      <c r="L564" s="1263"/>
      <c r="M564" s="1263"/>
      <c r="N564" s="1263"/>
      <c r="O564" s="1263"/>
      <c r="P564" s="1263"/>
      <c r="Q564" s="1263"/>
      <c r="R564" s="1263"/>
      <c r="S564" s="1263"/>
      <c r="T564" s="1263"/>
      <c r="U564" s="1263"/>
      <c r="V564" s="1263"/>
      <c r="W564" s="1263"/>
    </row>
    <row r="565">
      <c r="A565" s="1513"/>
      <c r="B565" s="1514"/>
      <c r="C565" s="1499"/>
      <c r="D565" s="1499"/>
      <c r="E565" s="1499"/>
      <c r="F565" s="1515"/>
      <c r="G565" s="1499"/>
      <c r="H565" s="1263"/>
      <c r="I565" s="1512"/>
      <c r="J565" s="1263"/>
      <c r="K565" s="1263"/>
      <c r="L565" s="1263"/>
      <c r="M565" s="1263"/>
      <c r="N565" s="1263"/>
      <c r="O565" s="1263"/>
      <c r="P565" s="1263"/>
      <c r="Q565" s="1263"/>
      <c r="R565" s="1263"/>
      <c r="S565" s="1263"/>
      <c r="T565" s="1263"/>
      <c r="U565" s="1263"/>
      <c r="V565" s="1263"/>
      <c r="W565" s="1263"/>
    </row>
    <row r="566">
      <c r="A566" s="1513"/>
      <c r="B566" s="1514"/>
      <c r="C566" s="1499"/>
      <c r="D566" s="1499"/>
      <c r="E566" s="1499"/>
      <c r="F566" s="1515"/>
      <c r="G566" s="1499"/>
      <c r="H566" s="1263"/>
      <c r="I566" s="1512"/>
      <c r="J566" s="1263"/>
      <c r="K566" s="1263"/>
      <c r="L566" s="1263"/>
      <c r="M566" s="1263"/>
      <c r="N566" s="1263"/>
      <c r="O566" s="1263"/>
      <c r="P566" s="1263"/>
      <c r="Q566" s="1263"/>
      <c r="R566" s="1263"/>
      <c r="S566" s="1263"/>
      <c r="T566" s="1263"/>
      <c r="U566" s="1263"/>
      <c r="V566" s="1263"/>
      <c r="W566" s="1263"/>
    </row>
    <row r="567">
      <c r="A567" s="1513"/>
      <c r="B567" s="1514"/>
      <c r="C567" s="1499"/>
      <c r="D567" s="1499"/>
      <c r="E567" s="1499"/>
      <c r="F567" s="1515"/>
      <c r="G567" s="1499"/>
      <c r="H567" s="1263"/>
      <c r="I567" s="1512"/>
      <c r="J567" s="1263"/>
      <c r="K567" s="1263"/>
      <c r="L567" s="1263"/>
      <c r="M567" s="1263"/>
      <c r="N567" s="1263"/>
      <c r="O567" s="1263"/>
      <c r="P567" s="1263"/>
      <c r="Q567" s="1263"/>
      <c r="R567" s="1263"/>
      <c r="S567" s="1263"/>
      <c r="T567" s="1263"/>
      <c r="U567" s="1263"/>
      <c r="V567" s="1263"/>
      <c r="W567" s="1263"/>
    </row>
    <row r="568">
      <c r="A568" s="1513"/>
      <c r="B568" s="1514"/>
      <c r="C568" s="1499"/>
      <c r="D568" s="1499"/>
      <c r="E568" s="1499"/>
      <c r="F568" s="1515"/>
      <c r="G568" s="1499"/>
      <c r="H568" s="1263"/>
      <c r="I568" s="1512"/>
      <c r="J568" s="1263"/>
      <c r="K568" s="1263"/>
      <c r="L568" s="1263"/>
      <c r="M568" s="1263"/>
      <c r="N568" s="1263"/>
      <c r="O568" s="1263"/>
      <c r="P568" s="1263"/>
      <c r="Q568" s="1263"/>
      <c r="R568" s="1263"/>
      <c r="S568" s="1263"/>
      <c r="T568" s="1263"/>
      <c r="U568" s="1263"/>
      <c r="V568" s="1263"/>
      <c r="W568" s="1263"/>
    </row>
    <row r="569">
      <c r="A569" s="1513"/>
      <c r="B569" s="1514"/>
      <c r="C569" s="1499"/>
      <c r="D569" s="1499"/>
      <c r="E569" s="1499"/>
      <c r="F569" s="1515"/>
      <c r="G569" s="1499"/>
      <c r="H569" s="1263"/>
      <c r="I569" s="1512"/>
      <c r="J569" s="1263"/>
      <c r="K569" s="1263"/>
      <c r="L569" s="1263"/>
      <c r="M569" s="1263"/>
      <c r="N569" s="1263"/>
      <c r="O569" s="1263"/>
      <c r="P569" s="1263"/>
      <c r="Q569" s="1263"/>
      <c r="R569" s="1263"/>
      <c r="S569" s="1263"/>
      <c r="T569" s="1263"/>
      <c r="U569" s="1263"/>
      <c r="V569" s="1263"/>
      <c r="W569" s="1263"/>
    </row>
    <row r="570">
      <c r="A570" s="1513"/>
      <c r="B570" s="1514"/>
      <c r="C570" s="1499"/>
      <c r="D570" s="1499"/>
      <c r="E570" s="1499"/>
      <c r="F570" s="1515"/>
      <c r="G570" s="1499"/>
      <c r="H570" s="1263"/>
      <c r="I570" s="1512"/>
      <c r="J570" s="1263"/>
      <c r="K570" s="1263"/>
      <c r="L570" s="1263"/>
      <c r="M570" s="1263"/>
      <c r="N570" s="1263"/>
      <c r="O570" s="1263"/>
      <c r="P570" s="1263"/>
      <c r="Q570" s="1263"/>
      <c r="R570" s="1263"/>
      <c r="S570" s="1263"/>
      <c r="T570" s="1263"/>
      <c r="U570" s="1263"/>
      <c r="V570" s="1263"/>
      <c r="W570" s="1263"/>
    </row>
    <row r="571">
      <c r="A571" s="1513"/>
      <c r="B571" s="1514"/>
      <c r="C571" s="1499"/>
      <c r="D571" s="1499"/>
      <c r="E571" s="1499"/>
      <c r="F571" s="1515"/>
      <c r="G571" s="1499"/>
      <c r="H571" s="1263"/>
      <c r="I571" s="1512"/>
      <c r="J571" s="1263"/>
      <c r="K571" s="1263"/>
      <c r="L571" s="1263"/>
      <c r="M571" s="1263"/>
      <c r="N571" s="1263"/>
      <c r="O571" s="1263"/>
      <c r="P571" s="1263"/>
      <c r="Q571" s="1263"/>
      <c r="R571" s="1263"/>
      <c r="S571" s="1263"/>
      <c r="T571" s="1263"/>
      <c r="U571" s="1263"/>
      <c r="V571" s="1263"/>
      <c r="W571" s="1263"/>
    </row>
    <row r="572">
      <c r="A572" s="1513"/>
      <c r="B572" s="1514"/>
      <c r="C572" s="1499"/>
      <c r="D572" s="1499"/>
      <c r="E572" s="1499"/>
      <c r="F572" s="1515"/>
      <c r="G572" s="1499"/>
      <c r="H572" s="1263"/>
      <c r="I572" s="1512"/>
      <c r="J572" s="1263"/>
      <c r="K572" s="1263"/>
      <c r="L572" s="1263"/>
      <c r="M572" s="1263"/>
      <c r="N572" s="1263"/>
      <c r="O572" s="1263"/>
      <c r="P572" s="1263"/>
      <c r="Q572" s="1263"/>
      <c r="R572" s="1263"/>
      <c r="S572" s="1263"/>
      <c r="T572" s="1263"/>
      <c r="U572" s="1263"/>
      <c r="V572" s="1263"/>
      <c r="W572" s="1263"/>
    </row>
    <row r="573">
      <c r="A573" s="1513"/>
      <c r="B573" s="1514"/>
      <c r="C573" s="1499"/>
      <c r="D573" s="1499"/>
      <c r="E573" s="1499"/>
      <c r="F573" s="1515"/>
      <c r="G573" s="1499"/>
      <c r="H573" s="1263"/>
      <c r="I573" s="1512"/>
      <c r="J573" s="1263"/>
      <c r="K573" s="1263"/>
      <c r="L573" s="1263"/>
      <c r="M573" s="1263"/>
      <c r="N573" s="1263"/>
      <c r="O573" s="1263"/>
      <c r="P573" s="1263"/>
      <c r="Q573" s="1263"/>
      <c r="R573" s="1263"/>
      <c r="S573" s="1263"/>
      <c r="T573" s="1263"/>
      <c r="U573" s="1263"/>
      <c r="V573" s="1263"/>
      <c r="W573" s="1263"/>
    </row>
    <row r="574">
      <c r="A574" s="1513"/>
      <c r="B574" s="1514"/>
      <c r="C574" s="1499"/>
      <c r="D574" s="1499"/>
      <c r="E574" s="1499"/>
      <c r="F574" s="1515"/>
      <c r="G574" s="1499"/>
      <c r="H574" s="1263"/>
      <c r="I574" s="1512"/>
      <c r="J574" s="1263"/>
      <c r="K574" s="1263"/>
      <c r="L574" s="1263"/>
      <c r="M574" s="1263"/>
      <c r="N574" s="1263"/>
      <c r="O574" s="1263"/>
      <c r="P574" s="1263"/>
      <c r="Q574" s="1263"/>
      <c r="R574" s="1263"/>
      <c r="S574" s="1263"/>
      <c r="T574" s="1263"/>
      <c r="U574" s="1263"/>
      <c r="V574" s="1263"/>
      <c r="W574" s="1263"/>
    </row>
    <row r="575">
      <c r="A575" s="1513"/>
      <c r="B575" s="1514"/>
      <c r="C575" s="1499"/>
      <c r="D575" s="1499"/>
      <c r="E575" s="1499"/>
      <c r="F575" s="1515"/>
      <c r="G575" s="1499"/>
      <c r="H575" s="1263"/>
      <c r="I575" s="1512"/>
      <c r="J575" s="1263"/>
      <c r="K575" s="1263"/>
      <c r="L575" s="1263"/>
      <c r="M575" s="1263"/>
      <c r="N575" s="1263"/>
      <c r="O575" s="1263"/>
      <c r="P575" s="1263"/>
      <c r="Q575" s="1263"/>
      <c r="R575" s="1263"/>
      <c r="S575" s="1263"/>
      <c r="T575" s="1263"/>
      <c r="U575" s="1263"/>
      <c r="V575" s="1263"/>
      <c r="W575" s="1263"/>
    </row>
    <row r="576">
      <c r="A576" s="1513"/>
      <c r="B576" s="1514"/>
      <c r="C576" s="1499"/>
      <c r="D576" s="1499"/>
      <c r="E576" s="1499"/>
      <c r="F576" s="1515"/>
      <c r="G576" s="1499"/>
      <c r="H576" s="1263"/>
      <c r="I576" s="1512"/>
      <c r="J576" s="1263"/>
      <c r="K576" s="1263"/>
      <c r="L576" s="1263"/>
      <c r="M576" s="1263"/>
      <c r="N576" s="1263"/>
      <c r="O576" s="1263"/>
      <c r="P576" s="1263"/>
      <c r="Q576" s="1263"/>
      <c r="R576" s="1263"/>
      <c r="S576" s="1263"/>
      <c r="T576" s="1263"/>
      <c r="U576" s="1263"/>
      <c r="V576" s="1263"/>
      <c r="W576" s="1263"/>
    </row>
    <row r="577">
      <c r="A577" s="1513"/>
      <c r="B577" s="1514"/>
      <c r="C577" s="1499"/>
      <c r="D577" s="1499"/>
      <c r="E577" s="1499"/>
      <c r="F577" s="1515"/>
      <c r="G577" s="1499"/>
      <c r="H577" s="1263"/>
      <c r="I577" s="1512"/>
      <c r="J577" s="1263"/>
      <c r="K577" s="1263"/>
      <c r="L577" s="1263"/>
      <c r="M577" s="1263"/>
      <c r="N577" s="1263"/>
      <c r="O577" s="1263"/>
      <c r="P577" s="1263"/>
      <c r="Q577" s="1263"/>
      <c r="R577" s="1263"/>
      <c r="S577" s="1263"/>
      <c r="T577" s="1263"/>
      <c r="U577" s="1263"/>
      <c r="V577" s="1263"/>
      <c r="W577" s="1263"/>
    </row>
    <row r="578">
      <c r="A578" s="1513"/>
      <c r="B578" s="1514"/>
      <c r="C578" s="1499"/>
      <c r="D578" s="1499"/>
      <c r="E578" s="1499"/>
      <c r="F578" s="1515"/>
      <c r="G578" s="1499"/>
      <c r="H578" s="1263"/>
      <c r="I578" s="1512"/>
      <c r="J578" s="1263"/>
      <c r="K578" s="1263"/>
      <c r="L578" s="1263"/>
      <c r="M578" s="1263"/>
      <c r="N578" s="1263"/>
      <c r="O578" s="1263"/>
      <c r="P578" s="1263"/>
      <c r="Q578" s="1263"/>
      <c r="R578" s="1263"/>
      <c r="S578" s="1263"/>
      <c r="T578" s="1263"/>
      <c r="U578" s="1263"/>
      <c r="V578" s="1263"/>
      <c r="W578" s="1263"/>
    </row>
    <row r="579">
      <c r="A579" s="1513"/>
      <c r="B579" s="1514"/>
      <c r="C579" s="1499"/>
      <c r="D579" s="1499"/>
      <c r="E579" s="1499"/>
      <c r="F579" s="1515"/>
      <c r="G579" s="1499"/>
      <c r="H579" s="1263"/>
      <c r="I579" s="1512"/>
      <c r="J579" s="1263"/>
      <c r="K579" s="1263"/>
      <c r="L579" s="1263"/>
      <c r="M579" s="1263"/>
      <c r="N579" s="1263"/>
      <c r="O579" s="1263"/>
      <c r="P579" s="1263"/>
      <c r="Q579" s="1263"/>
      <c r="R579" s="1263"/>
      <c r="S579" s="1263"/>
      <c r="T579" s="1263"/>
      <c r="U579" s="1263"/>
      <c r="V579" s="1263"/>
      <c r="W579" s="1263"/>
    </row>
    <row r="580">
      <c r="A580" s="1513"/>
      <c r="B580" s="1514"/>
      <c r="C580" s="1499"/>
      <c r="D580" s="1499"/>
      <c r="E580" s="1499"/>
      <c r="F580" s="1515"/>
      <c r="G580" s="1499"/>
      <c r="H580" s="1263"/>
      <c r="I580" s="1512"/>
      <c r="J580" s="1263"/>
      <c r="K580" s="1263"/>
      <c r="L580" s="1263"/>
      <c r="M580" s="1263"/>
      <c r="N580" s="1263"/>
      <c r="O580" s="1263"/>
      <c r="P580" s="1263"/>
      <c r="Q580" s="1263"/>
      <c r="R580" s="1263"/>
      <c r="S580" s="1263"/>
      <c r="T580" s="1263"/>
      <c r="U580" s="1263"/>
      <c r="V580" s="1263"/>
      <c r="W580" s="1263"/>
    </row>
    <row r="581">
      <c r="A581" s="1513"/>
      <c r="B581" s="1514"/>
      <c r="C581" s="1499"/>
      <c r="D581" s="1499"/>
      <c r="E581" s="1499"/>
      <c r="F581" s="1515"/>
      <c r="G581" s="1499"/>
      <c r="H581" s="1263"/>
      <c r="I581" s="1512"/>
      <c r="J581" s="1263"/>
      <c r="K581" s="1263"/>
      <c r="L581" s="1263"/>
      <c r="M581" s="1263"/>
      <c r="N581" s="1263"/>
      <c r="O581" s="1263"/>
      <c r="P581" s="1263"/>
      <c r="Q581" s="1263"/>
      <c r="R581" s="1263"/>
      <c r="S581" s="1263"/>
      <c r="T581" s="1263"/>
      <c r="U581" s="1263"/>
      <c r="V581" s="1263"/>
      <c r="W581" s="1263"/>
    </row>
    <row r="582">
      <c r="A582" s="1513"/>
      <c r="B582" s="1514"/>
      <c r="C582" s="1499"/>
      <c r="D582" s="1499"/>
      <c r="E582" s="1499"/>
      <c r="F582" s="1515"/>
      <c r="G582" s="1499"/>
      <c r="H582" s="1263"/>
      <c r="I582" s="1512"/>
      <c r="J582" s="1263"/>
      <c r="K582" s="1263"/>
      <c r="L582" s="1263"/>
      <c r="M582" s="1263"/>
      <c r="N582" s="1263"/>
      <c r="O582" s="1263"/>
      <c r="P582" s="1263"/>
      <c r="Q582" s="1263"/>
      <c r="R582" s="1263"/>
      <c r="S582" s="1263"/>
      <c r="T582" s="1263"/>
      <c r="U582" s="1263"/>
      <c r="V582" s="1263"/>
      <c r="W582" s="1263"/>
    </row>
    <row r="583">
      <c r="A583" s="1513"/>
      <c r="B583" s="1514"/>
      <c r="C583" s="1499"/>
      <c r="D583" s="1499"/>
      <c r="E583" s="1499"/>
      <c r="F583" s="1515"/>
      <c r="G583" s="1499"/>
      <c r="H583" s="1263"/>
      <c r="I583" s="1512"/>
      <c r="J583" s="1263"/>
      <c r="K583" s="1263"/>
      <c r="L583" s="1263"/>
      <c r="M583" s="1263"/>
      <c r="N583" s="1263"/>
      <c r="O583" s="1263"/>
      <c r="P583" s="1263"/>
      <c r="Q583" s="1263"/>
      <c r="R583" s="1263"/>
      <c r="S583" s="1263"/>
      <c r="T583" s="1263"/>
      <c r="U583" s="1263"/>
      <c r="V583" s="1263"/>
      <c r="W583" s="1263"/>
    </row>
    <row r="584">
      <c r="A584" s="1513"/>
      <c r="B584" s="1514"/>
      <c r="C584" s="1499"/>
      <c r="D584" s="1499"/>
      <c r="E584" s="1499"/>
      <c r="F584" s="1515"/>
      <c r="G584" s="1499"/>
      <c r="H584" s="1263"/>
      <c r="I584" s="1512"/>
      <c r="J584" s="1263"/>
      <c r="K584" s="1263"/>
      <c r="L584" s="1263"/>
      <c r="M584" s="1263"/>
      <c r="N584" s="1263"/>
      <c r="O584" s="1263"/>
      <c r="P584" s="1263"/>
      <c r="Q584" s="1263"/>
      <c r="R584" s="1263"/>
      <c r="S584" s="1263"/>
      <c r="T584" s="1263"/>
      <c r="U584" s="1263"/>
      <c r="V584" s="1263"/>
      <c r="W584" s="1263"/>
    </row>
    <row r="585">
      <c r="A585" s="1513"/>
      <c r="B585" s="1514"/>
      <c r="C585" s="1499"/>
      <c r="D585" s="1499"/>
      <c r="E585" s="1499"/>
      <c r="F585" s="1515"/>
      <c r="G585" s="1499"/>
      <c r="H585" s="1263"/>
      <c r="I585" s="1512"/>
      <c r="J585" s="1263"/>
      <c r="K585" s="1263"/>
      <c r="L585" s="1263"/>
      <c r="M585" s="1263"/>
      <c r="N585" s="1263"/>
      <c r="O585" s="1263"/>
      <c r="P585" s="1263"/>
      <c r="Q585" s="1263"/>
      <c r="R585" s="1263"/>
      <c r="S585" s="1263"/>
      <c r="T585" s="1263"/>
      <c r="U585" s="1263"/>
      <c r="V585" s="1263"/>
      <c r="W585" s="1263"/>
    </row>
    <row r="586">
      <c r="A586" s="1513"/>
      <c r="B586" s="1514"/>
      <c r="C586" s="1499"/>
      <c r="D586" s="1499"/>
      <c r="E586" s="1499"/>
      <c r="F586" s="1515"/>
      <c r="G586" s="1499"/>
      <c r="H586" s="1263"/>
      <c r="I586" s="1512"/>
      <c r="J586" s="1263"/>
      <c r="K586" s="1263"/>
      <c r="L586" s="1263"/>
      <c r="M586" s="1263"/>
      <c r="N586" s="1263"/>
      <c r="O586" s="1263"/>
      <c r="P586" s="1263"/>
      <c r="Q586" s="1263"/>
      <c r="R586" s="1263"/>
      <c r="S586" s="1263"/>
      <c r="T586" s="1263"/>
      <c r="U586" s="1263"/>
      <c r="V586" s="1263"/>
      <c r="W586" s="1263"/>
    </row>
    <row r="587">
      <c r="A587" s="1513"/>
      <c r="B587" s="1514"/>
      <c r="C587" s="1499"/>
      <c r="D587" s="1499"/>
      <c r="E587" s="1499"/>
      <c r="F587" s="1515"/>
      <c r="G587" s="1499"/>
      <c r="H587" s="1263"/>
      <c r="I587" s="1512"/>
      <c r="J587" s="1263"/>
      <c r="K587" s="1263"/>
      <c r="L587" s="1263"/>
      <c r="M587" s="1263"/>
      <c r="N587" s="1263"/>
      <c r="O587" s="1263"/>
      <c r="P587" s="1263"/>
      <c r="Q587" s="1263"/>
      <c r="R587" s="1263"/>
      <c r="S587" s="1263"/>
      <c r="T587" s="1263"/>
      <c r="U587" s="1263"/>
      <c r="V587" s="1263"/>
      <c r="W587" s="1263"/>
    </row>
    <row r="588">
      <c r="A588" s="1513"/>
      <c r="B588" s="1514"/>
      <c r="C588" s="1499"/>
      <c r="D588" s="1499"/>
      <c r="E588" s="1499"/>
      <c r="F588" s="1515"/>
      <c r="G588" s="1499"/>
      <c r="H588" s="1263"/>
      <c r="I588" s="1512"/>
      <c r="J588" s="1263"/>
      <c r="K588" s="1263"/>
      <c r="L588" s="1263"/>
      <c r="M588" s="1263"/>
      <c r="N588" s="1263"/>
      <c r="O588" s="1263"/>
      <c r="P588" s="1263"/>
      <c r="Q588" s="1263"/>
      <c r="R588" s="1263"/>
      <c r="S588" s="1263"/>
      <c r="T588" s="1263"/>
      <c r="U588" s="1263"/>
      <c r="V588" s="1263"/>
      <c r="W588" s="1263"/>
    </row>
    <row r="589">
      <c r="A589" s="1513"/>
      <c r="B589" s="1514"/>
      <c r="C589" s="1499"/>
      <c r="D589" s="1499"/>
      <c r="E589" s="1499"/>
      <c r="F589" s="1515"/>
      <c r="G589" s="1499"/>
      <c r="H589" s="1263"/>
      <c r="I589" s="1512"/>
      <c r="J589" s="1263"/>
      <c r="K589" s="1263"/>
      <c r="L589" s="1263"/>
      <c r="M589" s="1263"/>
      <c r="N589" s="1263"/>
      <c r="O589" s="1263"/>
      <c r="P589" s="1263"/>
      <c r="Q589" s="1263"/>
      <c r="R589" s="1263"/>
      <c r="S589" s="1263"/>
      <c r="T589" s="1263"/>
      <c r="U589" s="1263"/>
      <c r="V589" s="1263"/>
      <c r="W589" s="1263"/>
    </row>
    <row r="590">
      <c r="A590" s="1513"/>
      <c r="B590" s="1514"/>
      <c r="C590" s="1499"/>
      <c r="D590" s="1499"/>
      <c r="E590" s="1499"/>
      <c r="F590" s="1515"/>
      <c r="G590" s="1499"/>
      <c r="H590" s="1263"/>
      <c r="I590" s="1512"/>
      <c r="J590" s="1263"/>
      <c r="K590" s="1263"/>
      <c r="L590" s="1263"/>
      <c r="M590" s="1263"/>
      <c r="N590" s="1263"/>
      <c r="O590" s="1263"/>
      <c r="P590" s="1263"/>
      <c r="Q590" s="1263"/>
      <c r="R590" s="1263"/>
      <c r="S590" s="1263"/>
      <c r="T590" s="1263"/>
      <c r="U590" s="1263"/>
      <c r="V590" s="1263"/>
      <c r="W590" s="1263"/>
    </row>
    <row r="591">
      <c r="A591" s="1513"/>
      <c r="B591" s="1514"/>
      <c r="C591" s="1499"/>
      <c r="D591" s="1499"/>
      <c r="E591" s="1499"/>
      <c r="F591" s="1515"/>
      <c r="G591" s="1499"/>
      <c r="H591" s="1263"/>
      <c r="I591" s="1512"/>
      <c r="J591" s="1263"/>
      <c r="K591" s="1263"/>
      <c r="L591" s="1263"/>
      <c r="M591" s="1263"/>
      <c r="N591" s="1263"/>
      <c r="O591" s="1263"/>
      <c r="P591" s="1263"/>
      <c r="Q591" s="1263"/>
      <c r="R591" s="1263"/>
      <c r="S591" s="1263"/>
      <c r="T591" s="1263"/>
      <c r="U591" s="1263"/>
      <c r="V591" s="1263"/>
      <c r="W591" s="1263"/>
    </row>
    <row r="592">
      <c r="A592" s="1513"/>
      <c r="B592" s="1514"/>
      <c r="C592" s="1499"/>
      <c r="D592" s="1499"/>
      <c r="E592" s="1499"/>
      <c r="F592" s="1515"/>
      <c r="G592" s="1499"/>
      <c r="H592" s="1263"/>
      <c r="I592" s="1512"/>
      <c r="J592" s="1263"/>
      <c r="K592" s="1263"/>
      <c r="L592" s="1263"/>
      <c r="M592" s="1263"/>
      <c r="N592" s="1263"/>
      <c r="O592" s="1263"/>
      <c r="P592" s="1263"/>
      <c r="Q592" s="1263"/>
      <c r="R592" s="1263"/>
      <c r="S592" s="1263"/>
      <c r="T592" s="1263"/>
      <c r="U592" s="1263"/>
      <c r="V592" s="1263"/>
      <c r="W592" s="1263"/>
    </row>
    <row r="593">
      <c r="A593" s="1513"/>
      <c r="B593" s="1514"/>
      <c r="C593" s="1499"/>
      <c r="D593" s="1499"/>
      <c r="E593" s="1499"/>
      <c r="F593" s="1515"/>
      <c r="G593" s="1499"/>
      <c r="H593" s="1263"/>
      <c r="I593" s="1512"/>
      <c r="J593" s="1263"/>
      <c r="K593" s="1263"/>
      <c r="L593" s="1263"/>
      <c r="M593" s="1263"/>
      <c r="N593" s="1263"/>
      <c r="O593" s="1263"/>
      <c r="P593" s="1263"/>
      <c r="Q593" s="1263"/>
      <c r="R593" s="1263"/>
      <c r="S593" s="1263"/>
      <c r="T593" s="1263"/>
      <c r="U593" s="1263"/>
      <c r="V593" s="1263"/>
      <c r="W593" s="1263"/>
    </row>
    <row r="594">
      <c r="A594" s="1513"/>
      <c r="B594" s="1514"/>
      <c r="C594" s="1499"/>
      <c r="D594" s="1499"/>
      <c r="E594" s="1499"/>
      <c r="F594" s="1515"/>
      <c r="G594" s="1499"/>
      <c r="H594" s="1263"/>
      <c r="I594" s="1512"/>
      <c r="J594" s="1263"/>
      <c r="K594" s="1263"/>
      <c r="L594" s="1263"/>
      <c r="M594" s="1263"/>
      <c r="N594" s="1263"/>
      <c r="O594" s="1263"/>
      <c r="P594" s="1263"/>
      <c r="Q594" s="1263"/>
      <c r="R594" s="1263"/>
      <c r="S594" s="1263"/>
      <c r="T594" s="1263"/>
      <c r="U594" s="1263"/>
      <c r="V594" s="1263"/>
      <c r="W594" s="1263"/>
    </row>
    <row r="595">
      <c r="A595" s="1513"/>
      <c r="B595" s="1514"/>
      <c r="C595" s="1499"/>
      <c r="D595" s="1499"/>
      <c r="E595" s="1499"/>
      <c r="F595" s="1515"/>
      <c r="G595" s="1499"/>
      <c r="H595" s="1263"/>
      <c r="I595" s="1512"/>
      <c r="J595" s="1263"/>
      <c r="K595" s="1263"/>
      <c r="L595" s="1263"/>
      <c r="M595" s="1263"/>
      <c r="N595" s="1263"/>
      <c r="O595" s="1263"/>
      <c r="P595" s="1263"/>
      <c r="Q595" s="1263"/>
      <c r="R595" s="1263"/>
      <c r="S595" s="1263"/>
      <c r="T595" s="1263"/>
      <c r="U595" s="1263"/>
      <c r="V595" s="1263"/>
      <c r="W595" s="1263"/>
    </row>
    <row r="596">
      <c r="A596" s="1513"/>
      <c r="B596" s="1514"/>
      <c r="C596" s="1499"/>
      <c r="D596" s="1499"/>
      <c r="E596" s="1499"/>
      <c r="F596" s="1515"/>
      <c r="G596" s="1499"/>
      <c r="H596" s="1263"/>
      <c r="I596" s="1512"/>
      <c r="J596" s="1263"/>
      <c r="K596" s="1263"/>
      <c r="L596" s="1263"/>
      <c r="M596" s="1263"/>
      <c r="N596" s="1263"/>
      <c r="O596" s="1263"/>
      <c r="P596" s="1263"/>
      <c r="Q596" s="1263"/>
      <c r="R596" s="1263"/>
      <c r="S596" s="1263"/>
      <c r="T596" s="1263"/>
      <c r="U596" s="1263"/>
      <c r="V596" s="1263"/>
      <c r="W596" s="1263"/>
    </row>
    <row r="597">
      <c r="A597" s="1513"/>
      <c r="B597" s="1514"/>
      <c r="C597" s="1499"/>
      <c r="D597" s="1499"/>
      <c r="E597" s="1499"/>
      <c r="F597" s="1515"/>
      <c r="G597" s="1499"/>
      <c r="H597" s="1263"/>
      <c r="I597" s="1512"/>
      <c r="J597" s="1263"/>
      <c r="K597" s="1263"/>
      <c r="L597" s="1263"/>
      <c r="M597" s="1263"/>
      <c r="N597" s="1263"/>
      <c r="O597" s="1263"/>
      <c r="P597" s="1263"/>
      <c r="Q597" s="1263"/>
      <c r="R597" s="1263"/>
      <c r="S597" s="1263"/>
      <c r="T597" s="1263"/>
      <c r="U597" s="1263"/>
      <c r="V597" s="1263"/>
      <c r="W597" s="1263"/>
    </row>
    <row r="598">
      <c r="A598" s="1513"/>
      <c r="B598" s="1514"/>
      <c r="C598" s="1499"/>
      <c r="D598" s="1499"/>
      <c r="E598" s="1499"/>
      <c r="F598" s="1515"/>
      <c r="G598" s="1499"/>
      <c r="H598" s="1263"/>
      <c r="I598" s="1512"/>
      <c r="J598" s="1263"/>
      <c r="K598" s="1263"/>
      <c r="L598" s="1263"/>
      <c r="M598" s="1263"/>
      <c r="N598" s="1263"/>
      <c r="O598" s="1263"/>
      <c r="P598" s="1263"/>
      <c r="Q598" s="1263"/>
      <c r="R598" s="1263"/>
      <c r="S598" s="1263"/>
      <c r="T598" s="1263"/>
      <c r="U598" s="1263"/>
      <c r="V598" s="1263"/>
      <c r="W598" s="1263"/>
    </row>
    <row r="599">
      <c r="A599" s="1513"/>
      <c r="B599" s="1514"/>
      <c r="C599" s="1499"/>
      <c r="D599" s="1499"/>
      <c r="E599" s="1499"/>
      <c r="F599" s="1515"/>
      <c r="G599" s="1499"/>
      <c r="H599" s="1263"/>
      <c r="I599" s="1512"/>
      <c r="J599" s="1263"/>
      <c r="K599" s="1263"/>
      <c r="L599" s="1263"/>
      <c r="M599" s="1263"/>
      <c r="N599" s="1263"/>
      <c r="O599" s="1263"/>
      <c r="P599" s="1263"/>
      <c r="Q599" s="1263"/>
      <c r="R599" s="1263"/>
      <c r="S599" s="1263"/>
      <c r="T599" s="1263"/>
      <c r="U599" s="1263"/>
      <c r="V599" s="1263"/>
      <c r="W599" s="1263"/>
    </row>
    <row r="600">
      <c r="A600" s="1513"/>
      <c r="B600" s="1514"/>
      <c r="C600" s="1499"/>
      <c r="D600" s="1499"/>
      <c r="E600" s="1499"/>
      <c r="F600" s="1515"/>
      <c r="G600" s="1499"/>
      <c r="H600" s="1263"/>
      <c r="I600" s="1512"/>
      <c r="J600" s="1263"/>
      <c r="K600" s="1263"/>
      <c r="L600" s="1263"/>
      <c r="M600" s="1263"/>
      <c r="N600" s="1263"/>
      <c r="O600" s="1263"/>
      <c r="P600" s="1263"/>
      <c r="Q600" s="1263"/>
      <c r="R600" s="1263"/>
      <c r="S600" s="1263"/>
      <c r="T600" s="1263"/>
      <c r="U600" s="1263"/>
      <c r="V600" s="1263"/>
      <c r="W600" s="1263"/>
    </row>
    <row r="601">
      <c r="A601" s="1513"/>
      <c r="B601" s="1514"/>
      <c r="C601" s="1499"/>
      <c r="D601" s="1499"/>
      <c r="E601" s="1499"/>
      <c r="F601" s="1515"/>
      <c r="G601" s="1499"/>
      <c r="H601" s="1263"/>
      <c r="I601" s="1512"/>
      <c r="J601" s="1263"/>
      <c r="K601" s="1263"/>
      <c r="L601" s="1263"/>
      <c r="M601" s="1263"/>
      <c r="N601" s="1263"/>
      <c r="O601" s="1263"/>
      <c r="P601" s="1263"/>
      <c r="Q601" s="1263"/>
      <c r="R601" s="1263"/>
      <c r="S601" s="1263"/>
      <c r="T601" s="1263"/>
      <c r="U601" s="1263"/>
      <c r="V601" s="1263"/>
      <c r="W601" s="1263"/>
    </row>
    <row r="602">
      <c r="A602" s="1513"/>
      <c r="B602" s="1514"/>
      <c r="C602" s="1499"/>
      <c r="D602" s="1499"/>
      <c r="E602" s="1499"/>
      <c r="F602" s="1515"/>
      <c r="G602" s="1499"/>
      <c r="H602" s="1263"/>
      <c r="I602" s="1512"/>
      <c r="J602" s="1263"/>
      <c r="K602" s="1263"/>
      <c r="L602" s="1263"/>
      <c r="M602" s="1263"/>
      <c r="N602" s="1263"/>
      <c r="O602" s="1263"/>
      <c r="P602" s="1263"/>
      <c r="Q602" s="1263"/>
      <c r="R602" s="1263"/>
      <c r="S602" s="1263"/>
      <c r="T602" s="1263"/>
      <c r="U602" s="1263"/>
      <c r="V602" s="1263"/>
      <c r="W602" s="1263"/>
    </row>
    <row r="603">
      <c r="A603" s="1513"/>
      <c r="B603" s="1514"/>
      <c r="C603" s="1499"/>
      <c r="D603" s="1499"/>
      <c r="E603" s="1499"/>
      <c r="F603" s="1515"/>
      <c r="G603" s="1499"/>
      <c r="H603" s="1263"/>
      <c r="I603" s="1512"/>
      <c r="J603" s="1263"/>
      <c r="K603" s="1263"/>
      <c r="L603" s="1263"/>
      <c r="M603" s="1263"/>
      <c r="N603" s="1263"/>
      <c r="O603" s="1263"/>
      <c r="P603" s="1263"/>
      <c r="Q603" s="1263"/>
      <c r="R603" s="1263"/>
      <c r="S603" s="1263"/>
      <c r="T603" s="1263"/>
      <c r="U603" s="1263"/>
      <c r="V603" s="1263"/>
      <c r="W603" s="1263"/>
    </row>
    <row r="604">
      <c r="A604" s="1513"/>
      <c r="B604" s="1514"/>
      <c r="C604" s="1499"/>
      <c r="D604" s="1499"/>
      <c r="E604" s="1499"/>
      <c r="F604" s="1515"/>
      <c r="G604" s="1499"/>
      <c r="H604" s="1263"/>
      <c r="I604" s="1512"/>
      <c r="J604" s="1263"/>
      <c r="K604" s="1263"/>
      <c r="L604" s="1263"/>
      <c r="M604" s="1263"/>
      <c r="N604" s="1263"/>
      <c r="O604" s="1263"/>
      <c r="P604" s="1263"/>
      <c r="Q604" s="1263"/>
      <c r="R604" s="1263"/>
      <c r="S604" s="1263"/>
      <c r="T604" s="1263"/>
      <c r="U604" s="1263"/>
      <c r="V604" s="1263"/>
      <c r="W604" s="1263"/>
    </row>
    <row r="605">
      <c r="A605" s="1513"/>
      <c r="B605" s="1514"/>
      <c r="C605" s="1499"/>
      <c r="D605" s="1499"/>
      <c r="E605" s="1499"/>
      <c r="F605" s="1515"/>
      <c r="G605" s="1499"/>
      <c r="H605" s="1263"/>
      <c r="I605" s="1512"/>
      <c r="J605" s="1263"/>
      <c r="K605" s="1263"/>
      <c r="L605" s="1263"/>
      <c r="M605" s="1263"/>
      <c r="N605" s="1263"/>
      <c r="O605" s="1263"/>
      <c r="P605" s="1263"/>
      <c r="Q605" s="1263"/>
      <c r="R605" s="1263"/>
      <c r="S605" s="1263"/>
      <c r="T605" s="1263"/>
      <c r="U605" s="1263"/>
      <c r="V605" s="1263"/>
      <c r="W605" s="1263"/>
    </row>
    <row r="606">
      <c r="A606" s="1513"/>
      <c r="B606" s="1514"/>
      <c r="C606" s="1499"/>
      <c r="D606" s="1499"/>
      <c r="E606" s="1499"/>
      <c r="F606" s="1515"/>
      <c r="G606" s="1499"/>
      <c r="H606" s="1263"/>
      <c r="I606" s="1512"/>
      <c r="J606" s="1263"/>
      <c r="K606" s="1263"/>
      <c r="L606" s="1263"/>
      <c r="M606" s="1263"/>
      <c r="N606" s="1263"/>
      <c r="O606" s="1263"/>
      <c r="P606" s="1263"/>
      <c r="Q606" s="1263"/>
      <c r="R606" s="1263"/>
      <c r="S606" s="1263"/>
      <c r="T606" s="1263"/>
      <c r="U606" s="1263"/>
      <c r="V606" s="1263"/>
      <c r="W606" s="1263"/>
    </row>
    <row r="607">
      <c r="A607" s="1513"/>
      <c r="B607" s="1514"/>
      <c r="C607" s="1499"/>
      <c r="D607" s="1499"/>
      <c r="E607" s="1499"/>
      <c r="F607" s="1515"/>
      <c r="G607" s="1499"/>
      <c r="H607" s="1263"/>
      <c r="I607" s="1512"/>
      <c r="J607" s="1263"/>
      <c r="K607" s="1263"/>
      <c r="L607" s="1263"/>
      <c r="M607" s="1263"/>
      <c r="N607" s="1263"/>
      <c r="O607" s="1263"/>
      <c r="P607" s="1263"/>
      <c r="Q607" s="1263"/>
      <c r="R607" s="1263"/>
      <c r="S607" s="1263"/>
      <c r="T607" s="1263"/>
      <c r="U607" s="1263"/>
      <c r="V607" s="1263"/>
      <c r="W607" s="1263"/>
    </row>
    <row r="608">
      <c r="A608" s="1513"/>
      <c r="B608" s="1514"/>
      <c r="C608" s="1499"/>
      <c r="D608" s="1499"/>
      <c r="E608" s="1499"/>
      <c r="F608" s="1515"/>
      <c r="G608" s="1499"/>
      <c r="H608" s="1263"/>
      <c r="I608" s="1512"/>
      <c r="J608" s="1263"/>
      <c r="K608" s="1263"/>
      <c r="L608" s="1263"/>
      <c r="M608" s="1263"/>
      <c r="N608" s="1263"/>
      <c r="O608" s="1263"/>
      <c r="P608" s="1263"/>
      <c r="Q608" s="1263"/>
      <c r="R608" s="1263"/>
      <c r="S608" s="1263"/>
      <c r="T608" s="1263"/>
      <c r="U608" s="1263"/>
      <c r="V608" s="1263"/>
      <c r="W608" s="1263"/>
    </row>
    <row r="609">
      <c r="A609" s="1513"/>
      <c r="B609" s="1514"/>
      <c r="C609" s="1499"/>
      <c r="D609" s="1499"/>
      <c r="E609" s="1499"/>
      <c r="F609" s="1515"/>
      <c r="G609" s="1499"/>
      <c r="H609" s="1263"/>
      <c r="I609" s="1512"/>
      <c r="J609" s="1263"/>
      <c r="K609" s="1263"/>
      <c r="L609" s="1263"/>
      <c r="M609" s="1263"/>
      <c r="N609" s="1263"/>
      <c r="O609" s="1263"/>
      <c r="P609" s="1263"/>
      <c r="Q609" s="1263"/>
      <c r="R609" s="1263"/>
      <c r="S609" s="1263"/>
      <c r="T609" s="1263"/>
      <c r="U609" s="1263"/>
      <c r="V609" s="1263"/>
      <c r="W609" s="1263"/>
    </row>
    <row r="610">
      <c r="A610" s="1513"/>
      <c r="B610" s="1514"/>
      <c r="C610" s="1499"/>
      <c r="D610" s="1499"/>
      <c r="E610" s="1499"/>
      <c r="F610" s="1515"/>
      <c r="G610" s="1499"/>
      <c r="H610" s="1263"/>
      <c r="I610" s="1512"/>
      <c r="J610" s="1263"/>
      <c r="K610" s="1263"/>
      <c r="L610" s="1263"/>
      <c r="M610" s="1263"/>
      <c r="N610" s="1263"/>
      <c r="O610" s="1263"/>
      <c r="P610" s="1263"/>
      <c r="Q610" s="1263"/>
      <c r="R610" s="1263"/>
      <c r="S610" s="1263"/>
      <c r="T610" s="1263"/>
      <c r="U610" s="1263"/>
      <c r="V610" s="1263"/>
      <c r="W610" s="1263"/>
    </row>
    <row r="611">
      <c r="A611" s="1513"/>
      <c r="B611" s="1514"/>
      <c r="C611" s="1499"/>
      <c r="D611" s="1499"/>
      <c r="E611" s="1499"/>
      <c r="F611" s="1515"/>
      <c r="G611" s="1499"/>
      <c r="H611" s="1263"/>
      <c r="I611" s="1512"/>
      <c r="J611" s="1263"/>
      <c r="K611" s="1263"/>
      <c r="L611" s="1263"/>
      <c r="M611" s="1263"/>
      <c r="N611" s="1263"/>
      <c r="O611" s="1263"/>
      <c r="P611" s="1263"/>
      <c r="Q611" s="1263"/>
      <c r="R611" s="1263"/>
      <c r="S611" s="1263"/>
      <c r="T611" s="1263"/>
      <c r="U611" s="1263"/>
      <c r="V611" s="1263"/>
      <c r="W611" s="1263"/>
    </row>
    <row r="612">
      <c r="A612" s="1513"/>
      <c r="B612" s="1514"/>
      <c r="C612" s="1499"/>
      <c r="D612" s="1499"/>
      <c r="E612" s="1499"/>
      <c r="F612" s="1515"/>
      <c r="G612" s="1499"/>
      <c r="H612" s="1263"/>
      <c r="I612" s="1512"/>
      <c r="J612" s="1263"/>
      <c r="K612" s="1263"/>
      <c r="L612" s="1263"/>
      <c r="M612" s="1263"/>
      <c r="N612" s="1263"/>
      <c r="O612" s="1263"/>
      <c r="P612" s="1263"/>
      <c r="Q612" s="1263"/>
      <c r="R612" s="1263"/>
      <c r="S612" s="1263"/>
      <c r="T612" s="1263"/>
      <c r="U612" s="1263"/>
      <c r="V612" s="1263"/>
      <c r="W612" s="1263"/>
    </row>
    <row r="613">
      <c r="A613" s="1513"/>
      <c r="B613" s="1514"/>
      <c r="C613" s="1499"/>
      <c r="D613" s="1499"/>
      <c r="E613" s="1499"/>
      <c r="F613" s="1515"/>
      <c r="G613" s="1499"/>
      <c r="H613" s="1263"/>
      <c r="I613" s="1512"/>
      <c r="J613" s="1263"/>
      <c r="K613" s="1263"/>
      <c r="L613" s="1263"/>
      <c r="M613" s="1263"/>
      <c r="N613" s="1263"/>
      <c r="O613" s="1263"/>
      <c r="P613" s="1263"/>
      <c r="Q613" s="1263"/>
      <c r="R613" s="1263"/>
      <c r="S613" s="1263"/>
      <c r="T613" s="1263"/>
      <c r="U613" s="1263"/>
      <c r="V613" s="1263"/>
      <c r="W613" s="1263"/>
    </row>
    <row r="614">
      <c r="A614" s="1513"/>
      <c r="B614" s="1514"/>
      <c r="C614" s="1499"/>
      <c r="D614" s="1499"/>
      <c r="E614" s="1499"/>
      <c r="F614" s="1515"/>
      <c r="G614" s="1499"/>
      <c r="H614" s="1263"/>
      <c r="I614" s="1512"/>
      <c r="J614" s="1263"/>
      <c r="K614" s="1263"/>
      <c r="L614" s="1263"/>
      <c r="M614" s="1263"/>
      <c r="N614" s="1263"/>
      <c r="O614" s="1263"/>
      <c r="P614" s="1263"/>
      <c r="Q614" s="1263"/>
      <c r="R614" s="1263"/>
      <c r="S614" s="1263"/>
      <c r="T614" s="1263"/>
      <c r="U614" s="1263"/>
      <c r="V614" s="1263"/>
      <c r="W614" s="1263"/>
    </row>
    <row r="615">
      <c r="A615" s="1513"/>
      <c r="B615" s="1514"/>
      <c r="C615" s="1499"/>
      <c r="D615" s="1499"/>
      <c r="E615" s="1499"/>
      <c r="F615" s="1515"/>
      <c r="G615" s="1499"/>
      <c r="H615" s="1263"/>
      <c r="I615" s="1512"/>
      <c r="J615" s="1263"/>
      <c r="K615" s="1263"/>
      <c r="L615" s="1263"/>
      <c r="M615" s="1263"/>
      <c r="N615" s="1263"/>
      <c r="O615" s="1263"/>
      <c r="P615" s="1263"/>
      <c r="Q615" s="1263"/>
      <c r="R615" s="1263"/>
      <c r="S615" s="1263"/>
      <c r="T615" s="1263"/>
      <c r="U615" s="1263"/>
      <c r="V615" s="1263"/>
      <c r="W615" s="1263"/>
    </row>
    <row r="616">
      <c r="A616" s="1513"/>
      <c r="B616" s="1514"/>
      <c r="C616" s="1499"/>
      <c r="D616" s="1499"/>
      <c r="E616" s="1499"/>
      <c r="F616" s="1515"/>
      <c r="G616" s="1499"/>
      <c r="H616" s="1263"/>
      <c r="I616" s="1512"/>
      <c r="J616" s="1263"/>
      <c r="K616" s="1263"/>
      <c r="L616" s="1263"/>
      <c r="M616" s="1263"/>
      <c r="N616" s="1263"/>
      <c r="O616" s="1263"/>
      <c r="P616" s="1263"/>
      <c r="Q616" s="1263"/>
      <c r="R616" s="1263"/>
      <c r="S616" s="1263"/>
      <c r="T616" s="1263"/>
      <c r="U616" s="1263"/>
      <c r="V616" s="1263"/>
      <c r="W616" s="1263"/>
    </row>
    <row r="617">
      <c r="A617" s="1513"/>
      <c r="B617" s="1514"/>
      <c r="C617" s="1499"/>
      <c r="D617" s="1499"/>
      <c r="E617" s="1499"/>
      <c r="F617" s="1515"/>
      <c r="G617" s="1499"/>
      <c r="H617" s="1263"/>
      <c r="I617" s="1512"/>
      <c r="J617" s="1263"/>
      <c r="K617" s="1263"/>
      <c r="L617" s="1263"/>
      <c r="M617" s="1263"/>
      <c r="N617" s="1263"/>
      <c r="O617" s="1263"/>
      <c r="P617" s="1263"/>
      <c r="Q617" s="1263"/>
      <c r="R617" s="1263"/>
      <c r="S617" s="1263"/>
      <c r="T617" s="1263"/>
      <c r="U617" s="1263"/>
      <c r="V617" s="1263"/>
      <c r="W617" s="1263"/>
    </row>
    <row r="618">
      <c r="A618" s="1513"/>
      <c r="B618" s="1514"/>
      <c r="C618" s="1499"/>
      <c r="D618" s="1499"/>
      <c r="E618" s="1499"/>
      <c r="F618" s="1515"/>
      <c r="G618" s="1499"/>
      <c r="H618" s="1263"/>
      <c r="I618" s="1512"/>
      <c r="J618" s="1263"/>
      <c r="K618" s="1263"/>
      <c r="L618" s="1263"/>
      <c r="M618" s="1263"/>
      <c r="N618" s="1263"/>
      <c r="O618" s="1263"/>
      <c r="P618" s="1263"/>
      <c r="Q618" s="1263"/>
      <c r="R618" s="1263"/>
      <c r="S618" s="1263"/>
      <c r="T618" s="1263"/>
      <c r="U618" s="1263"/>
      <c r="V618" s="1263"/>
      <c r="W618" s="1263"/>
    </row>
    <row r="619">
      <c r="A619" s="1513"/>
      <c r="B619" s="1514"/>
      <c r="C619" s="1499"/>
      <c r="D619" s="1499"/>
      <c r="E619" s="1499"/>
      <c r="F619" s="1515"/>
      <c r="G619" s="1499"/>
      <c r="H619" s="1263"/>
      <c r="I619" s="1512"/>
      <c r="J619" s="1263"/>
      <c r="K619" s="1263"/>
      <c r="L619" s="1263"/>
      <c r="M619" s="1263"/>
      <c r="N619" s="1263"/>
      <c r="O619" s="1263"/>
      <c r="P619" s="1263"/>
      <c r="Q619" s="1263"/>
      <c r="R619" s="1263"/>
      <c r="S619" s="1263"/>
      <c r="T619" s="1263"/>
      <c r="U619" s="1263"/>
      <c r="V619" s="1263"/>
      <c r="W619" s="1263"/>
    </row>
    <row r="620">
      <c r="A620" s="1513"/>
      <c r="B620" s="1514"/>
      <c r="C620" s="1499"/>
      <c r="D620" s="1499"/>
      <c r="E620" s="1499"/>
      <c r="F620" s="1515"/>
      <c r="G620" s="1499"/>
      <c r="H620" s="1263"/>
      <c r="I620" s="1512"/>
      <c r="J620" s="1263"/>
      <c r="K620" s="1263"/>
      <c r="L620" s="1263"/>
      <c r="M620" s="1263"/>
      <c r="N620" s="1263"/>
      <c r="O620" s="1263"/>
      <c r="P620" s="1263"/>
      <c r="Q620" s="1263"/>
      <c r="R620" s="1263"/>
      <c r="S620" s="1263"/>
      <c r="T620" s="1263"/>
      <c r="U620" s="1263"/>
      <c r="V620" s="1263"/>
      <c r="W620" s="1263"/>
    </row>
    <row r="621">
      <c r="A621" s="1513"/>
      <c r="B621" s="1514"/>
      <c r="C621" s="1499"/>
      <c r="D621" s="1499"/>
      <c r="E621" s="1499"/>
      <c r="F621" s="1515"/>
      <c r="G621" s="1499"/>
      <c r="H621" s="1263"/>
      <c r="I621" s="1512"/>
      <c r="J621" s="1263"/>
      <c r="K621" s="1263"/>
      <c r="L621" s="1263"/>
      <c r="M621" s="1263"/>
      <c r="N621" s="1263"/>
      <c r="O621" s="1263"/>
      <c r="P621" s="1263"/>
      <c r="Q621" s="1263"/>
      <c r="R621" s="1263"/>
      <c r="S621" s="1263"/>
      <c r="T621" s="1263"/>
      <c r="U621" s="1263"/>
      <c r="V621" s="1263"/>
      <c r="W621" s="1263"/>
    </row>
    <row r="622">
      <c r="A622" s="1513"/>
      <c r="B622" s="1514"/>
      <c r="C622" s="1499"/>
      <c r="D622" s="1499"/>
      <c r="E622" s="1499"/>
      <c r="F622" s="1515"/>
      <c r="G622" s="1499"/>
      <c r="H622" s="1263"/>
      <c r="I622" s="1512"/>
      <c r="J622" s="1263"/>
      <c r="K622" s="1263"/>
      <c r="L622" s="1263"/>
      <c r="M622" s="1263"/>
      <c r="N622" s="1263"/>
      <c r="O622" s="1263"/>
      <c r="P622" s="1263"/>
      <c r="Q622" s="1263"/>
      <c r="R622" s="1263"/>
      <c r="S622" s="1263"/>
      <c r="T622" s="1263"/>
      <c r="U622" s="1263"/>
      <c r="V622" s="1263"/>
      <c r="W622" s="1263"/>
    </row>
    <row r="623">
      <c r="A623" s="1513"/>
      <c r="B623" s="1514"/>
      <c r="C623" s="1499"/>
      <c r="D623" s="1499"/>
      <c r="E623" s="1499"/>
      <c r="F623" s="1515"/>
      <c r="G623" s="1499"/>
      <c r="H623" s="1263"/>
      <c r="I623" s="1512"/>
      <c r="J623" s="1263"/>
      <c r="K623" s="1263"/>
      <c r="L623" s="1263"/>
      <c r="M623" s="1263"/>
      <c r="N623" s="1263"/>
      <c r="O623" s="1263"/>
      <c r="P623" s="1263"/>
      <c r="Q623" s="1263"/>
      <c r="R623" s="1263"/>
      <c r="S623" s="1263"/>
      <c r="T623" s="1263"/>
      <c r="U623" s="1263"/>
      <c r="V623" s="1263"/>
      <c r="W623" s="1263"/>
    </row>
    <row r="624">
      <c r="A624" s="1513"/>
      <c r="B624" s="1514"/>
      <c r="C624" s="1499"/>
      <c r="D624" s="1499"/>
      <c r="E624" s="1499"/>
      <c r="F624" s="1515"/>
      <c r="G624" s="1499"/>
      <c r="H624" s="1263"/>
      <c r="I624" s="1512"/>
      <c r="J624" s="1263"/>
      <c r="K624" s="1263"/>
      <c r="L624" s="1263"/>
      <c r="M624" s="1263"/>
      <c r="N624" s="1263"/>
      <c r="O624" s="1263"/>
      <c r="P624" s="1263"/>
      <c r="Q624" s="1263"/>
      <c r="R624" s="1263"/>
      <c r="S624" s="1263"/>
      <c r="T624" s="1263"/>
      <c r="U624" s="1263"/>
      <c r="V624" s="1263"/>
      <c r="W624" s="1263"/>
    </row>
    <row r="625">
      <c r="A625" s="1513"/>
      <c r="B625" s="1514"/>
      <c r="C625" s="1499"/>
      <c r="D625" s="1499"/>
      <c r="E625" s="1499"/>
      <c r="F625" s="1515"/>
      <c r="G625" s="1499"/>
      <c r="H625" s="1263"/>
      <c r="I625" s="1512"/>
      <c r="J625" s="1263"/>
      <c r="K625" s="1263"/>
      <c r="L625" s="1263"/>
      <c r="M625" s="1263"/>
      <c r="N625" s="1263"/>
      <c r="O625" s="1263"/>
      <c r="P625" s="1263"/>
      <c r="Q625" s="1263"/>
      <c r="R625" s="1263"/>
      <c r="S625" s="1263"/>
      <c r="T625" s="1263"/>
      <c r="U625" s="1263"/>
      <c r="V625" s="1263"/>
      <c r="W625" s="1263"/>
    </row>
    <row r="626">
      <c r="A626" s="1513"/>
      <c r="B626" s="1514"/>
      <c r="C626" s="1499"/>
      <c r="D626" s="1499"/>
      <c r="E626" s="1499"/>
      <c r="F626" s="1515"/>
      <c r="G626" s="1499"/>
      <c r="H626" s="1263"/>
      <c r="I626" s="1512"/>
      <c r="J626" s="1263"/>
      <c r="K626" s="1263"/>
      <c r="L626" s="1263"/>
      <c r="M626" s="1263"/>
      <c r="N626" s="1263"/>
      <c r="O626" s="1263"/>
      <c r="P626" s="1263"/>
      <c r="Q626" s="1263"/>
      <c r="R626" s="1263"/>
      <c r="S626" s="1263"/>
      <c r="T626" s="1263"/>
      <c r="U626" s="1263"/>
      <c r="V626" s="1263"/>
      <c r="W626" s="1263"/>
    </row>
    <row r="627">
      <c r="A627" s="1513"/>
      <c r="B627" s="1514"/>
      <c r="C627" s="1499"/>
      <c r="D627" s="1499"/>
      <c r="E627" s="1499"/>
      <c r="F627" s="1515"/>
      <c r="G627" s="1499"/>
      <c r="H627" s="1263"/>
      <c r="I627" s="1512"/>
      <c r="J627" s="1263"/>
      <c r="K627" s="1263"/>
      <c r="L627" s="1263"/>
      <c r="M627" s="1263"/>
      <c r="N627" s="1263"/>
      <c r="O627" s="1263"/>
      <c r="P627" s="1263"/>
      <c r="Q627" s="1263"/>
      <c r="R627" s="1263"/>
      <c r="S627" s="1263"/>
      <c r="T627" s="1263"/>
      <c r="U627" s="1263"/>
      <c r="V627" s="1263"/>
      <c r="W627" s="1263"/>
    </row>
    <row r="628">
      <c r="A628" s="1513"/>
      <c r="B628" s="1514"/>
      <c r="C628" s="1499"/>
      <c r="D628" s="1499"/>
      <c r="E628" s="1499"/>
      <c r="F628" s="1515"/>
      <c r="G628" s="1499"/>
      <c r="H628" s="1263"/>
      <c r="I628" s="1512"/>
      <c r="J628" s="1263"/>
      <c r="K628" s="1263"/>
      <c r="L628" s="1263"/>
      <c r="M628" s="1263"/>
      <c r="N628" s="1263"/>
      <c r="O628" s="1263"/>
      <c r="P628" s="1263"/>
      <c r="Q628" s="1263"/>
      <c r="R628" s="1263"/>
      <c r="S628" s="1263"/>
      <c r="T628" s="1263"/>
      <c r="U628" s="1263"/>
      <c r="V628" s="1263"/>
      <c r="W628" s="1263"/>
    </row>
    <row r="629">
      <c r="A629" s="1513"/>
      <c r="B629" s="1514"/>
      <c r="C629" s="1499"/>
      <c r="D629" s="1499"/>
      <c r="E629" s="1499"/>
      <c r="F629" s="1515"/>
      <c r="G629" s="1499"/>
      <c r="H629" s="1263"/>
      <c r="I629" s="1512"/>
      <c r="J629" s="1263"/>
      <c r="K629" s="1263"/>
      <c r="L629" s="1263"/>
      <c r="M629" s="1263"/>
      <c r="N629" s="1263"/>
      <c r="O629" s="1263"/>
      <c r="P629" s="1263"/>
      <c r="Q629" s="1263"/>
      <c r="R629" s="1263"/>
      <c r="S629" s="1263"/>
      <c r="T629" s="1263"/>
      <c r="U629" s="1263"/>
      <c r="V629" s="1263"/>
      <c r="W629" s="1263"/>
    </row>
    <row r="630">
      <c r="A630" s="1513"/>
      <c r="B630" s="1514"/>
      <c r="C630" s="1499"/>
      <c r="D630" s="1499"/>
      <c r="E630" s="1499"/>
      <c r="F630" s="1515"/>
      <c r="G630" s="1499"/>
      <c r="H630" s="1263"/>
      <c r="I630" s="1512"/>
      <c r="J630" s="1263"/>
      <c r="K630" s="1263"/>
      <c r="L630" s="1263"/>
      <c r="M630" s="1263"/>
      <c r="N630" s="1263"/>
      <c r="O630" s="1263"/>
      <c r="P630" s="1263"/>
      <c r="Q630" s="1263"/>
      <c r="R630" s="1263"/>
      <c r="S630" s="1263"/>
      <c r="T630" s="1263"/>
      <c r="U630" s="1263"/>
      <c r="V630" s="1263"/>
      <c r="W630" s="1263"/>
    </row>
    <row r="631">
      <c r="A631" s="1513"/>
      <c r="B631" s="1514"/>
      <c r="C631" s="1499"/>
      <c r="D631" s="1499"/>
      <c r="E631" s="1499"/>
      <c r="F631" s="1515"/>
      <c r="G631" s="1499"/>
      <c r="H631" s="1263"/>
      <c r="I631" s="1512"/>
      <c r="J631" s="1263"/>
      <c r="K631" s="1263"/>
      <c r="L631" s="1263"/>
      <c r="M631" s="1263"/>
      <c r="N631" s="1263"/>
      <c r="O631" s="1263"/>
      <c r="P631" s="1263"/>
      <c r="Q631" s="1263"/>
      <c r="R631" s="1263"/>
      <c r="S631" s="1263"/>
      <c r="T631" s="1263"/>
      <c r="U631" s="1263"/>
      <c r="V631" s="1263"/>
      <c r="W631" s="1263"/>
    </row>
    <row r="632">
      <c r="A632" s="1513"/>
      <c r="B632" s="1514"/>
      <c r="C632" s="1499"/>
      <c r="D632" s="1499"/>
      <c r="E632" s="1499"/>
      <c r="F632" s="1515"/>
      <c r="G632" s="1499"/>
      <c r="H632" s="1263"/>
      <c r="I632" s="1512"/>
      <c r="J632" s="1263"/>
      <c r="K632" s="1263"/>
      <c r="L632" s="1263"/>
      <c r="M632" s="1263"/>
      <c r="N632" s="1263"/>
      <c r="O632" s="1263"/>
      <c r="P632" s="1263"/>
      <c r="Q632" s="1263"/>
      <c r="R632" s="1263"/>
      <c r="S632" s="1263"/>
      <c r="T632" s="1263"/>
      <c r="U632" s="1263"/>
      <c r="V632" s="1263"/>
      <c r="W632" s="1263"/>
    </row>
    <row r="633">
      <c r="A633" s="1513"/>
      <c r="B633" s="1514"/>
      <c r="C633" s="1499"/>
      <c r="D633" s="1499"/>
      <c r="E633" s="1499"/>
      <c r="F633" s="1515"/>
      <c r="G633" s="1499"/>
      <c r="H633" s="1263"/>
      <c r="I633" s="1512"/>
      <c r="J633" s="1263"/>
      <c r="K633" s="1263"/>
      <c r="L633" s="1263"/>
      <c r="M633" s="1263"/>
      <c r="N633" s="1263"/>
      <c r="O633" s="1263"/>
      <c r="P633" s="1263"/>
      <c r="Q633" s="1263"/>
      <c r="R633" s="1263"/>
      <c r="S633" s="1263"/>
      <c r="T633" s="1263"/>
      <c r="U633" s="1263"/>
      <c r="V633" s="1263"/>
      <c r="W633" s="1263"/>
    </row>
    <row r="634">
      <c r="A634" s="1513"/>
      <c r="B634" s="1514"/>
      <c r="C634" s="1499"/>
      <c r="D634" s="1499"/>
      <c r="E634" s="1499"/>
      <c r="F634" s="1515"/>
      <c r="G634" s="1499"/>
      <c r="H634" s="1263"/>
      <c r="I634" s="1512"/>
      <c r="J634" s="1263"/>
      <c r="K634" s="1263"/>
      <c r="L634" s="1263"/>
      <c r="M634" s="1263"/>
      <c r="N634" s="1263"/>
      <c r="O634" s="1263"/>
      <c r="P634" s="1263"/>
      <c r="Q634" s="1263"/>
      <c r="R634" s="1263"/>
      <c r="S634" s="1263"/>
      <c r="T634" s="1263"/>
      <c r="U634" s="1263"/>
      <c r="V634" s="1263"/>
      <c r="W634" s="1263"/>
    </row>
    <row r="635">
      <c r="A635" s="1513"/>
      <c r="B635" s="1514"/>
      <c r="C635" s="1499"/>
      <c r="D635" s="1499"/>
      <c r="E635" s="1499"/>
      <c r="F635" s="1515"/>
      <c r="G635" s="1499"/>
      <c r="H635" s="1263"/>
      <c r="I635" s="1512"/>
      <c r="J635" s="1263"/>
      <c r="K635" s="1263"/>
      <c r="L635" s="1263"/>
      <c r="M635" s="1263"/>
      <c r="N635" s="1263"/>
      <c r="O635" s="1263"/>
      <c r="P635" s="1263"/>
      <c r="Q635" s="1263"/>
      <c r="R635" s="1263"/>
      <c r="S635" s="1263"/>
      <c r="T635" s="1263"/>
      <c r="U635" s="1263"/>
      <c r="V635" s="1263"/>
      <c r="W635" s="1263"/>
    </row>
    <row r="636">
      <c r="A636" s="1513"/>
      <c r="B636" s="1514"/>
      <c r="C636" s="1499"/>
      <c r="D636" s="1499"/>
      <c r="E636" s="1499"/>
      <c r="F636" s="1515"/>
      <c r="G636" s="1499"/>
      <c r="H636" s="1263"/>
      <c r="I636" s="1512"/>
      <c r="J636" s="1263"/>
      <c r="K636" s="1263"/>
      <c r="L636" s="1263"/>
      <c r="M636" s="1263"/>
      <c r="N636" s="1263"/>
      <c r="O636" s="1263"/>
      <c r="P636" s="1263"/>
      <c r="Q636" s="1263"/>
      <c r="R636" s="1263"/>
      <c r="S636" s="1263"/>
      <c r="T636" s="1263"/>
      <c r="U636" s="1263"/>
      <c r="V636" s="1263"/>
      <c r="W636" s="1263"/>
    </row>
    <row r="637">
      <c r="A637" s="1513"/>
      <c r="B637" s="1514"/>
      <c r="C637" s="1499"/>
      <c r="D637" s="1499"/>
      <c r="E637" s="1499"/>
      <c r="F637" s="1515"/>
      <c r="G637" s="1499"/>
      <c r="H637" s="1263"/>
      <c r="I637" s="1512"/>
      <c r="J637" s="1263"/>
      <c r="K637" s="1263"/>
      <c r="L637" s="1263"/>
      <c r="M637" s="1263"/>
      <c r="N637" s="1263"/>
      <c r="O637" s="1263"/>
      <c r="P637" s="1263"/>
      <c r="Q637" s="1263"/>
      <c r="R637" s="1263"/>
      <c r="S637" s="1263"/>
      <c r="T637" s="1263"/>
      <c r="U637" s="1263"/>
      <c r="V637" s="1263"/>
      <c r="W637" s="1263"/>
    </row>
    <row r="638">
      <c r="A638" s="1513"/>
      <c r="B638" s="1514"/>
      <c r="C638" s="1499"/>
      <c r="D638" s="1499"/>
      <c r="E638" s="1499"/>
      <c r="F638" s="1515"/>
      <c r="G638" s="1499"/>
      <c r="H638" s="1263"/>
      <c r="I638" s="1512"/>
      <c r="J638" s="1263"/>
      <c r="K638" s="1263"/>
      <c r="L638" s="1263"/>
      <c r="M638" s="1263"/>
      <c r="N638" s="1263"/>
      <c r="O638" s="1263"/>
      <c r="P638" s="1263"/>
      <c r="Q638" s="1263"/>
      <c r="R638" s="1263"/>
      <c r="S638" s="1263"/>
      <c r="T638" s="1263"/>
      <c r="U638" s="1263"/>
      <c r="V638" s="1263"/>
      <c r="W638" s="1263"/>
    </row>
    <row r="639">
      <c r="A639" s="1513"/>
      <c r="B639" s="1514"/>
      <c r="C639" s="1499"/>
      <c r="D639" s="1499"/>
      <c r="E639" s="1499"/>
      <c r="F639" s="1515"/>
      <c r="G639" s="1499"/>
      <c r="H639" s="1263"/>
      <c r="I639" s="1512"/>
      <c r="J639" s="1263"/>
      <c r="K639" s="1263"/>
      <c r="L639" s="1263"/>
      <c r="M639" s="1263"/>
      <c r="N639" s="1263"/>
      <c r="O639" s="1263"/>
      <c r="P639" s="1263"/>
      <c r="Q639" s="1263"/>
      <c r="R639" s="1263"/>
      <c r="S639" s="1263"/>
      <c r="T639" s="1263"/>
      <c r="U639" s="1263"/>
      <c r="V639" s="1263"/>
      <c r="W639" s="1263"/>
    </row>
    <row r="640">
      <c r="A640" s="1513"/>
      <c r="B640" s="1514"/>
      <c r="C640" s="1499"/>
      <c r="D640" s="1499"/>
      <c r="E640" s="1499"/>
      <c r="F640" s="1515"/>
      <c r="G640" s="1499"/>
      <c r="H640" s="1263"/>
      <c r="I640" s="1512"/>
      <c r="J640" s="1263"/>
      <c r="K640" s="1263"/>
      <c r="L640" s="1263"/>
      <c r="M640" s="1263"/>
      <c r="N640" s="1263"/>
      <c r="O640" s="1263"/>
      <c r="P640" s="1263"/>
      <c r="Q640" s="1263"/>
      <c r="R640" s="1263"/>
      <c r="S640" s="1263"/>
      <c r="T640" s="1263"/>
      <c r="U640" s="1263"/>
      <c r="V640" s="1263"/>
      <c r="W640" s="1263"/>
    </row>
    <row r="641">
      <c r="A641" s="1513"/>
      <c r="B641" s="1514"/>
      <c r="C641" s="1499"/>
      <c r="D641" s="1499"/>
      <c r="E641" s="1499"/>
      <c r="F641" s="1515"/>
      <c r="G641" s="1499"/>
      <c r="H641" s="1263"/>
      <c r="I641" s="1512"/>
      <c r="J641" s="1263"/>
      <c r="K641" s="1263"/>
      <c r="L641" s="1263"/>
      <c r="M641" s="1263"/>
      <c r="N641" s="1263"/>
      <c r="O641" s="1263"/>
      <c r="P641" s="1263"/>
      <c r="Q641" s="1263"/>
      <c r="R641" s="1263"/>
      <c r="S641" s="1263"/>
      <c r="T641" s="1263"/>
      <c r="U641" s="1263"/>
      <c r="V641" s="1263"/>
      <c r="W641" s="1263"/>
    </row>
    <row r="642">
      <c r="A642" s="1513"/>
      <c r="B642" s="1514"/>
      <c r="C642" s="1499"/>
      <c r="D642" s="1499"/>
      <c r="E642" s="1499"/>
      <c r="F642" s="1515"/>
      <c r="G642" s="1499"/>
      <c r="H642" s="1263"/>
      <c r="I642" s="1512"/>
      <c r="J642" s="1263"/>
      <c r="K642" s="1263"/>
      <c r="L642" s="1263"/>
      <c r="M642" s="1263"/>
      <c r="N642" s="1263"/>
      <c r="O642" s="1263"/>
      <c r="P642" s="1263"/>
      <c r="Q642" s="1263"/>
      <c r="R642" s="1263"/>
      <c r="S642" s="1263"/>
      <c r="T642" s="1263"/>
      <c r="U642" s="1263"/>
      <c r="V642" s="1263"/>
      <c r="W642" s="1263"/>
    </row>
    <row r="643">
      <c r="A643" s="1513"/>
      <c r="B643" s="1514"/>
      <c r="C643" s="1499"/>
      <c r="D643" s="1499"/>
      <c r="E643" s="1499"/>
      <c r="F643" s="1515"/>
      <c r="G643" s="1499"/>
      <c r="H643" s="1263"/>
      <c r="I643" s="1512"/>
      <c r="J643" s="1263"/>
      <c r="K643" s="1263"/>
      <c r="L643" s="1263"/>
      <c r="M643" s="1263"/>
      <c r="N643" s="1263"/>
      <c r="O643" s="1263"/>
      <c r="P643" s="1263"/>
      <c r="Q643" s="1263"/>
      <c r="R643" s="1263"/>
      <c r="S643" s="1263"/>
      <c r="T643" s="1263"/>
      <c r="U643" s="1263"/>
      <c r="V643" s="1263"/>
      <c r="W643" s="1263"/>
    </row>
    <row r="644">
      <c r="A644" s="1513"/>
      <c r="B644" s="1514"/>
      <c r="C644" s="1499"/>
      <c r="D644" s="1499"/>
      <c r="E644" s="1499"/>
      <c r="F644" s="1515"/>
      <c r="G644" s="1499"/>
      <c r="H644" s="1263"/>
      <c r="I644" s="1512"/>
      <c r="J644" s="1263"/>
      <c r="K644" s="1263"/>
      <c r="L644" s="1263"/>
      <c r="M644" s="1263"/>
      <c r="N644" s="1263"/>
      <c r="O644" s="1263"/>
      <c r="P644" s="1263"/>
      <c r="Q644" s="1263"/>
      <c r="R644" s="1263"/>
      <c r="S644" s="1263"/>
      <c r="T644" s="1263"/>
      <c r="U644" s="1263"/>
      <c r="V644" s="1263"/>
      <c r="W644" s="1263"/>
    </row>
    <row r="645">
      <c r="A645" s="1513"/>
      <c r="B645" s="1514"/>
      <c r="C645" s="1499"/>
      <c r="D645" s="1499"/>
      <c r="E645" s="1499"/>
      <c r="F645" s="1515"/>
      <c r="G645" s="1499"/>
      <c r="H645" s="1263"/>
      <c r="I645" s="1512"/>
      <c r="J645" s="1263"/>
      <c r="K645" s="1263"/>
      <c r="L645" s="1263"/>
      <c r="M645" s="1263"/>
      <c r="N645" s="1263"/>
      <c r="O645" s="1263"/>
      <c r="P645" s="1263"/>
      <c r="Q645" s="1263"/>
      <c r="R645" s="1263"/>
      <c r="S645" s="1263"/>
      <c r="T645" s="1263"/>
      <c r="U645" s="1263"/>
      <c r="V645" s="1263"/>
      <c r="W645" s="1263"/>
    </row>
    <row r="646">
      <c r="A646" s="1513"/>
      <c r="B646" s="1514"/>
      <c r="C646" s="1499"/>
      <c r="D646" s="1499"/>
      <c r="E646" s="1499"/>
      <c r="F646" s="1515"/>
      <c r="G646" s="1499"/>
      <c r="H646" s="1263"/>
      <c r="I646" s="1512"/>
      <c r="J646" s="1263"/>
      <c r="K646" s="1263"/>
      <c r="L646" s="1263"/>
      <c r="M646" s="1263"/>
      <c r="N646" s="1263"/>
      <c r="O646" s="1263"/>
      <c r="P646" s="1263"/>
      <c r="Q646" s="1263"/>
      <c r="R646" s="1263"/>
      <c r="S646" s="1263"/>
      <c r="T646" s="1263"/>
      <c r="U646" s="1263"/>
      <c r="V646" s="1263"/>
      <c r="W646" s="1263"/>
    </row>
    <row r="647">
      <c r="A647" s="1513"/>
      <c r="B647" s="1514"/>
      <c r="C647" s="1499"/>
      <c r="D647" s="1499"/>
      <c r="E647" s="1499"/>
      <c r="F647" s="1515"/>
      <c r="G647" s="1499"/>
      <c r="H647" s="1263"/>
      <c r="I647" s="1512"/>
      <c r="J647" s="1263"/>
      <c r="K647" s="1263"/>
      <c r="L647" s="1263"/>
      <c r="M647" s="1263"/>
      <c r="N647" s="1263"/>
      <c r="O647" s="1263"/>
      <c r="P647" s="1263"/>
      <c r="Q647" s="1263"/>
      <c r="R647" s="1263"/>
      <c r="S647" s="1263"/>
      <c r="T647" s="1263"/>
      <c r="U647" s="1263"/>
      <c r="V647" s="1263"/>
      <c r="W647" s="1263"/>
    </row>
    <row r="648">
      <c r="A648" s="1513"/>
      <c r="B648" s="1514"/>
      <c r="C648" s="1499"/>
      <c r="D648" s="1499"/>
      <c r="E648" s="1499"/>
      <c r="F648" s="1515"/>
      <c r="G648" s="1499"/>
      <c r="H648" s="1263"/>
      <c r="I648" s="1512"/>
      <c r="J648" s="1263"/>
      <c r="K648" s="1263"/>
      <c r="L648" s="1263"/>
      <c r="M648" s="1263"/>
      <c r="N648" s="1263"/>
      <c r="O648" s="1263"/>
      <c r="P648" s="1263"/>
      <c r="Q648" s="1263"/>
      <c r="R648" s="1263"/>
      <c r="S648" s="1263"/>
      <c r="T648" s="1263"/>
      <c r="U648" s="1263"/>
      <c r="V648" s="1263"/>
      <c r="W648" s="1263"/>
    </row>
    <row r="649">
      <c r="A649" s="1513"/>
      <c r="B649" s="1514"/>
      <c r="C649" s="1499"/>
      <c r="D649" s="1499"/>
      <c r="E649" s="1499"/>
      <c r="F649" s="1515"/>
      <c r="G649" s="1499"/>
      <c r="H649" s="1263"/>
      <c r="I649" s="1512"/>
      <c r="J649" s="1263"/>
      <c r="K649" s="1263"/>
      <c r="L649" s="1263"/>
      <c r="M649" s="1263"/>
      <c r="N649" s="1263"/>
      <c r="O649" s="1263"/>
      <c r="P649" s="1263"/>
      <c r="Q649" s="1263"/>
      <c r="R649" s="1263"/>
      <c r="S649" s="1263"/>
      <c r="T649" s="1263"/>
      <c r="U649" s="1263"/>
      <c r="V649" s="1263"/>
      <c r="W649" s="1263"/>
    </row>
    <row r="650">
      <c r="A650" s="1513"/>
      <c r="B650" s="1514"/>
      <c r="C650" s="1499"/>
      <c r="D650" s="1499"/>
      <c r="E650" s="1499"/>
      <c r="F650" s="1515"/>
      <c r="G650" s="1499"/>
      <c r="H650" s="1263"/>
      <c r="I650" s="1512"/>
      <c r="J650" s="1263"/>
      <c r="K650" s="1263"/>
      <c r="L650" s="1263"/>
      <c r="M650" s="1263"/>
      <c r="N650" s="1263"/>
      <c r="O650" s="1263"/>
      <c r="P650" s="1263"/>
      <c r="Q650" s="1263"/>
      <c r="R650" s="1263"/>
      <c r="S650" s="1263"/>
      <c r="T650" s="1263"/>
      <c r="U650" s="1263"/>
      <c r="V650" s="1263"/>
      <c r="W650" s="1263"/>
    </row>
    <row r="651">
      <c r="A651" s="1513"/>
      <c r="B651" s="1514"/>
      <c r="C651" s="1499"/>
      <c r="D651" s="1499"/>
      <c r="E651" s="1499"/>
      <c r="F651" s="1515"/>
      <c r="G651" s="1499"/>
      <c r="H651" s="1263"/>
      <c r="I651" s="1512"/>
      <c r="J651" s="1263"/>
      <c r="K651" s="1263"/>
      <c r="L651" s="1263"/>
      <c r="M651" s="1263"/>
      <c r="N651" s="1263"/>
      <c r="O651" s="1263"/>
      <c r="P651" s="1263"/>
      <c r="Q651" s="1263"/>
      <c r="R651" s="1263"/>
      <c r="S651" s="1263"/>
      <c r="T651" s="1263"/>
      <c r="U651" s="1263"/>
      <c r="V651" s="1263"/>
      <c r="W651" s="1263"/>
    </row>
    <row r="652">
      <c r="A652" s="1513"/>
      <c r="B652" s="1514"/>
      <c r="C652" s="1499"/>
      <c r="D652" s="1499"/>
      <c r="E652" s="1499"/>
      <c r="F652" s="1515"/>
      <c r="G652" s="1499"/>
      <c r="H652" s="1263"/>
      <c r="I652" s="1512"/>
      <c r="J652" s="1263"/>
      <c r="K652" s="1263"/>
      <c r="L652" s="1263"/>
      <c r="M652" s="1263"/>
      <c r="N652" s="1263"/>
      <c r="O652" s="1263"/>
      <c r="P652" s="1263"/>
      <c r="Q652" s="1263"/>
      <c r="R652" s="1263"/>
      <c r="S652" s="1263"/>
      <c r="T652" s="1263"/>
      <c r="U652" s="1263"/>
      <c r="V652" s="1263"/>
      <c r="W652" s="1263"/>
    </row>
    <row r="653">
      <c r="A653" s="1513"/>
      <c r="B653" s="1514"/>
      <c r="C653" s="1499"/>
      <c r="D653" s="1499"/>
      <c r="E653" s="1499"/>
      <c r="F653" s="1515"/>
      <c r="G653" s="1499"/>
      <c r="H653" s="1263"/>
      <c r="I653" s="1512"/>
      <c r="J653" s="1263"/>
      <c r="K653" s="1263"/>
      <c r="L653" s="1263"/>
      <c r="M653" s="1263"/>
      <c r="N653" s="1263"/>
      <c r="O653" s="1263"/>
      <c r="P653" s="1263"/>
      <c r="Q653" s="1263"/>
      <c r="R653" s="1263"/>
      <c r="S653" s="1263"/>
      <c r="T653" s="1263"/>
      <c r="U653" s="1263"/>
      <c r="V653" s="1263"/>
      <c r="W653" s="1263"/>
    </row>
    <row r="654">
      <c r="A654" s="1513"/>
      <c r="B654" s="1514"/>
      <c r="C654" s="1499"/>
      <c r="D654" s="1499"/>
      <c r="E654" s="1499"/>
      <c r="F654" s="1515"/>
      <c r="G654" s="1499"/>
      <c r="H654" s="1263"/>
      <c r="I654" s="1512"/>
      <c r="J654" s="1263"/>
      <c r="K654" s="1263"/>
      <c r="L654" s="1263"/>
      <c r="M654" s="1263"/>
      <c r="N654" s="1263"/>
      <c r="O654" s="1263"/>
      <c r="P654" s="1263"/>
      <c r="Q654" s="1263"/>
      <c r="R654" s="1263"/>
      <c r="S654" s="1263"/>
      <c r="T654" s="1263"/>
      <c r="U654" s="1263"/>
      <c r="V654" s="1263"/>
      <c r="W654" s="1263"/>
    </row>
    <row r="655">
      <c r="A655" s="1513"/>
      <c r="B655" s="1514"/>
      <c r="C655" s="1499"/>
      <c r="D655" s="1499"/>
      <c r="E655" s="1499"/>
      <c r="F655" s="1515"/>
      <c r="G655" s="1499"/>
      <c r="H655" s="1263"/>
      <c r="I655" s="1512"/>
      <c r="J655" s="1263"/>
      <c r="K655" s="1263"/>
      <c r="L655" s="1263"/>
      <c r="M655" s="1263"/>
      <c r="N655" s="1263"/>
      <c r="O655" s="1263"/>
      <c r="P655" s="1263"/>
      <c r="Q655" s="1263"/>
      <c r="R655" s="1263"/>
      <c r="S655" s="1263"/>
      <c r="T655" s="1263"/>
      <c r="U655" s="1263"/>
      <c r="V655" s="1263"/>
      <c r="W655" s="1263"/>
    </row>
    <row r="656">
      <c r="A656" s="1513"/>
      <c r="B656" s="1514"/>
      <c r="C656" s="1499"/>
      <c r="D656" s="1499"/>
      <c r="E656" s="1499"/>
      <c r="F656" s="1515"/>
      <c r="G656" s="1499"/>
      <c r="H656" s="1263"/>
      <c r="I656" s="1512"/>
      <c r="J656" s="1263"/>
      <c r="K656" s="1263"/>
      <c r="L656" s="1263"/>
      <c r="M656" s="1263"/>
      <c r="N656" s="1263"/>
      <c r="O656" s="1263"/>
      <c r="P656" s="1263"/>
      <c r="Q656" s="1263"/>
      <c r="R656" s="1263"/>
      <c r="S656" s="1263"/>
      <c r="T656" s="1263"/>
      <c r="U656" s="1263"/>
      <c r="V656" s="1263"/>
      <c r="W656" s="1263"/>
    </row>
    <row r="657">
      <c r="A657" s="1513"/>
      <c r="B657" s="1514"/>
      <c r="C657" s="1499"/>
      <c r="D657" s="1499"/>
      <c r="E657" s="1499"/>
      <c r="F657" s="1515"/>
      <c r="G657" s="1499"/>
      <c r="H657" s="1263"/>
      <c r="I657" s="1512"/>
      <c r="J657" s="1263"/>
      <c r="K657" s="1263"/>
      <c r="L657" s="1263"/>
      <c r="M657" s="1263"/>
      <c r="N657" s="1263"/>
      <c r="O657" s="1263"/>
      <c r="P657" s="1263"/>
      <c r="Q657" s="1263"/>
      <c r="R657" s="1263"/>
      <c r="S657" s="1263"/>
      <c r="T657" s="1263"/>
      <c r="U657" s="1263"/>
      <c r="V657" s="1263"/>
      <c r="W657" s="1263"/>
    </row>
    <row r="658">
      <c r="A658" s="1513"/>
      <c r="B658" s="1514"/>
      <c r="C658" s="1499"/>
      <c r="D658" s="1499"/>
      <c r="E658" s="1499"/>
      <c r="F658" s="1515"/>
      <c r="G658" s="1499"/>
      <c r="H658" s="1263"/>
      <c r="I658" s="1512"/>
      <c r="J658" s="1263"/>
      <c r="K658" s="1263"/>
      <c r="L658" s="1263"/>
      <c r="M658" s="1263"/>
      <c r="N658" s="1263"/>
      <c r="O658" s="1263"/>
      <c r="P658" s="1263"/>
      <c r="Q658" s="1263"/>
      <c r="R658" s="1263"/>
      <c r="S658" s="1263"/>
      <c r="T658" s="1263"/>
      <c r="U658" s="1263"/>
      <c r="V658" s="1263"/>
      <c r="W658" s="1263"/>
    </row>
    <row r="659">
      <c r="A659" s="1513"/>
      <c r="B659" s="1514"/>
      <c r="C659" s="1499"/>
      <c r="D659" s="1499"/>
      <c r="E659" s="1499"/>
      <c r="F659" s="1515"/>
      <c r="G659" s="1499"/>
      <c r="H659" s="1263"/>
      <c r="I659" s="1512"/>
      <c r="J659" s="1263"/>
      <c r="K659" s="1263"/>
      <c r="L659" s="1263"/>
      <c r="M659" s="1263"/>
      <c r="N659" s="1263"/>
      <c r="O659" s="1263"/>
      <c r="P659" s="1263"/>
      <c r="Q659" s="1263"/>
      <c r="R659" s="1263"/>
      <c r="S659" s="1263"/>
      <c r="T659" s="1263"/>
      <c r="U659" s="1263"/>
      <c r="V659" s="1263"/>
      <c r="W659" s="1263"/>
    </row>
    <row r="660">
      <c r="A660" s="1513"/>
      <c r="B660" s="1514"/>
      <c r="C660" s="1499"/>
      <c r="D660" s="1499"/>
      <c r="E660" s="1499"/>
      <c r="F660" s="1515"/>
      <c r="G660" s="1499"/>
      <c r="H660" s="1263"/>
      <c r="I660" s="1512"/>
      <c r="J660" s="1263"/>
      <c r="K660" s="1263"/>
      <c r="L660" s="1263"/>
      <c r="M660" s="1263"/>
      <c r="N660" s="1263"/>
      <c r="O660" s="1263"/>
      <c r="P660" s="1263"/>
      <c r="Q660" s="1263"/>
      <c r="R660" s="1263"/>
      <c r="S660" s="1263"/>
      <c r="T660" s="1263"/>
      <c r="U660" s="1263"/>
      <c r="V660" s="1263"/>
      <c r="W660" s="1263"/>
    </row>
    <row r="661">
      <c r="A661" s="1513"/>
      <c r="B661" s="1514"/>
      <c r="C661" s="1499"/>
      <c r="D661" s="1499"/>
      <c r="E661" s="1499"/>
      <c r="F661" s="1515"/>
      <c r="G661" s="1499"/>
      <c r="H661" s="1263"/>
      <c r="I661" s="1512"/>
      <c r="J661" s="1263"/>
      <c r="K661" s="1263"/>
      <c r="L661" s="1263"/>
      <c r="M661" s="1263"/>
      <c r="N661" s="1263"/>
      <c r="O661" s="1263"/>
      <c r="P661" s="1263"/>
      <c r="Q661" s="1263"/>
      <c r="R661" s="1263"/>
      <c r="S661" s="1263"/>
      <c r="T661" s="1263"/>
      <c r="U661" s="1263"/>
      <c r="V661" s="1263"/>
      <c r="W661" s="1263"/>
    </row>
    <row r="662">
      <c r="A662" s="1513"/>
      <c r="B662" s="1514"/>
      <c r="C662" s="1499"/>
      <c r="D662" s="1499"/>
      <c r="E662" s="1499"/>
      <c r="F662" s="1515"/>
      <c r="G662" s="1499"/>
      <c r="H662" s="1263"/>
      <c r="I662" s="1512"/>
      <c r="J662" s="1263"/>
      <c r="K662" s="1263"/>
      <c r="L662" s="1263"/>
      <c r="M662" s="1263"/>
      <c r="N662" s="1263"/>
      <c r="O662" s="1263"/>
      <c r="P662" s="1263"/>
      <c r="Q662" s="1263"/>
      <c r="R662" s="1263"/>
      <c r="S662" s="1263"/>
      <c r="T662" s="1263"/>
      <c r="U662" s="1263"/>
      <c r="V662" s="1263"/>
      <c r="W662" s="1263"/>
    </row>
    <row r="663">
      <c r="A663" s="1513"/>
      <c r="B663" s="1514"/>
      <c r="C663" s="1499"/>
      <c r="D663" s="1499"/>
      <c r="E663" s="1499"/>
      <c r="F663" s="1515"/>
      <c r="G663" s="1499"/>
      <c r="H663" s="1263"/>
      <c r="I663" s="1512"/>
      <c r="J663" s="1263"/>
      <c r="K663" s="1263"/>
      <c r="L663" s="1263"/>
      <c r="M663" s="1263"/>
      <c r="N663" s="1263"/>
      <c r="O663" s="1263"/>
      <c r="P663" s="1263"/>
      <c r="Q663" s="1263"/>
      <c r="R663" s="1263"/>
      <c r="S663" s="1263"/>
      <c r="T663" s="1263"/>
      <c r="U663" s="1263"/>
      <c r="V663" s="1263"/>
      <c r="W663" s="1263"/>
    </row>
    <row r="664">
      <c r="A664" s="1513"/>
      <c r="B664" s="1514"/>
      <c r="C664" s="1499"/>
      <c r="D664" s="1499"/>
      <c r="E664" s="1499"/>
      <c r="F664" s="1515"/>
      <c r="G664" s="1499"/>
      <c r="H664" s="1263"/>
      <c r="I664" s="1512"/>
      <c r="J664" s="1263"/>
      <c r="K664" s="1263"/>
      <c r="L664" s="1263"/>
      <c r="M664" s="1263"/>
      <c r="N664" s="1263"/>
      <c r="O664" s="1263"/>
      <c r="P664" s="1263"/>
      <c r="Q664" s="1263"/>
      <c r="R664" s="1263"/>
      <c r="S664" s="1263"/>
      <c r="T664" s="1263"/>
      <c r="U664" s="1263"/>
      <c r="V664" s="1263"/>
      <c r="W664" s="1263"/>
    </row>
    <row r="665">
      <c r="A665" s="1513"/>
      <c r="B665" s="1514"/>
      <c r="C665" s="1499"/>
      <c r="D665" s="1499"/>
      <c r="E665" s="1499"/>
      <c r="F665" s="1515"/>
      <c r="G665" s="1499"/>
      <c r="H665" s="1263"/>
      <c r="I665" s="1512"/>
      <c r="J665" s="1263"/>
      <c r="K665" s="1263"/>
      <c r="L665" s="1263"/>
      <c r="M665" s="1263"/>
      <c r="N665" s="1263"/>
      <c r="O665" s="1263"/>
      <c r="P665" s="1263"/>
      <c r="Q665" s="1263"/>
      <c r="R665" s="1263"/>
      <c r="S665" s="1263"/>
      <c r="T665" s="1263"/>
      <c r="U665" s="1263"/>
      <c r="V665" s="1263"/>
      <c r="W665" s="1263"/>
    </row>
    <row r="666">
      <c r="A666" s="1513"/>
      <c r="B666" s="1514"/>
      <c r="C666" s="1499"/>
      <c r="D666" s="1499"/>
      <c r="E666" s="1499"/>
      <c r="F666" s="1515"/>
      <c r="G666" s="1499"/>
      <c r="H666" s="1263"/>
      <c r="I666" s="1512"/>
      <c r="J666" s="1263"/>
      <c r="K666" s="1263"/>
      <c r="L666" s="1263"/>
      <c r="M666" s="1263"/>
      <c r="N666" s="1263"/>
      <c r="O666" s="1263"/>
      <c r="P666" s="1263"/>
      <c r="Q666" s="1263"/>
      <c r="R666" s="1263"/>
      <c r="S666" s="1263"/>
      <c r="T666" s="1263"/>
      <c r="U666" s="1263"/>
      <c r="V666" s="1263"/>
      <c r="W666" s="1263"/>
    </row>
    <row r="667">
      <c r="A667" s="1513"/>
      <c r="B667" s="1514"/>
      <c r="C667" s="1499"/>
      <c r="D667" s="1499"/>
      <c r="E667" s="1499"/>
      <c r="F667" s="1515"/>
      <c r="G667" s="1499"/>
      <c r="H667" s="1263"/>
      <c r="I667" s="1512"/>
      <c r="J667" s="1263"/>
      <c r="K667" s="1263"/>
      <c r="L667" s="1263"/>
      <c r="M667" s="1263"/>
      <c r="N667" s="1263"/>
      <c r="O667" s="1263"/>
      <c r="P667" s="1263"/>
      <c r="Q667" s="1263"/>
      <c r="R667" s="1263"/>
      <c r="S667" s="1263"/>
      <c r="T667" s="1263"/>
      <c r="U667" s="1263"/>
      <c r="V667" s="1263"/>
      <c r="W667" s="1263"/>
    </row>
    <row r="668">
      <c r="A668" s="1513"/>
      <c r="B668" s="1514"/>
      <c r="C668" s="1499"/>
      <c r="D668" s="1499"/>
      <c r="E668" s="1499"/>
      <c r="F668" s="1515"/>
      <c r="G668" s="1499"/>
      <c r="H668" s="1263"/>
      <c r="I668" s="1512"/>
      <c r="J668" s="1263"/>
      <c r="K668" s="1263"/>
      <c r="L668" s="1263"/>
      <c r="M668" s="1263"/>
      <c r="N668" s="1263"/>
      <c r="O668" s="1263"/>
      <c r="P668" s="1263"/>
      <c r="Q668" s="1263"/>
      <c r="R668" s="1263"/>
      <c r="S668" s="1263"/>
      <c r="T668" s="1263"/>
      <c r="U668" s="1263"/>
      <c r="V668" s="1263"/>
      <c r="W668" s="1263"/>
    </row>
    <row r="669">
      <c r="A669" s="1513"/>
      <c r="B669" s="1514"/>
      <c r="C669" s="1499"/>
      <c r="D669" s="1499"/>
      <c r="E669" s="1499"/>
      <c r="F669" s="1515"/>
      <c r="G669" s="1499"/>
      <c r="H669" s="1263"/>
      <c r="I669" s="1512"/>
      <c r="J669" s="1263"/>
      <c r="K669" s="1263"/>
      <c r="L669" s="1263"/>
      <c r="M669" s="1263"/>
      <c r="N669" s="1263"/>
      <c r="O669" s="1263"/>
      <c r="P669" s="1263"/>
      <c r="Q669" s="1263"/>
      <c r="R669" s="1263"/>
      <c r="S669" s="1263"/>
      <c r="T669" s="1263"/>
      <c r="U669" s="1263"/>
      <c r="V669" s="1263"/>
      <c r="W669" s="1263"/>
    </row>
    <row r="670">
      <c r="A670" s="1513"/>
      <c r="B670" s="1514"/>
      <c r="C670" s="1499"/>
      <c r="D670" s="1499"/>
      <c r="E670" s="1499"/>
      <c r="F670" s="1515"/>
      <c r="G670" s="1499"/>
      <c r="H670" s="1263"/>
      <c r="I670" s="1512"/>
      <c r="J670" s="1263"/>
      <c r="K670" s="1263"/>
      <c r="L670" s="1263"/>
      <c r="M670" s="1263"/>
      <c r="N670" s="1263"/>
      <c r="O670" s="1263"/>
      <c r="P670" s="1263"/>
      <c r="Q670" s="1263"/>
      <c r="R670" s="1263"/>
      <c r="S670" s="1263"/>
      <c r="T670" s="1263"/>
      <c r="U670" s="1263"/>
      <c r="V670" s="1263"/>
      <c r="W670" s="1263"/>
    </row>
    <row r="671">
      <c r="A671" s="1513"/>
      <c r="B671" s="1514"/>
      <c r="C671" s="1499"/>
      <c r="D671" s="1499"/>
      <c r="E671" s="1499"/>
      <c r="F671" s="1515"/>
      <c r="G671" s="1499"/>
      <c r="H671" s="1263"/>
      <c r="I671" s="1512"/>
      <c r="J671" s="1263"/>
      <c r="K671" s="1263"/>
      <c r="L671" s="1263"/>
      <c r="M671" s="1263"/>
      <c r="N671" s="1263"/>
      <c r="O671" s="1263"/>
      <c r="P671" s="1263"/>
      <c r="Q671" s="1263"/>
      <c r="R671" s="1263"/>
      <c r="S671" s="1263"/>
      <c r="T671" s="1263"/>
      <c r="U671" s="1263"/>
      <c r="V671" s="1263"/>
      <c r="W671" s="1263"/>
    </row>
    <row r="672">
      <c r="A672" s="1513"/>
      <c r="B672" s="1514"/>
      <c r="C672" s="1499"/>
      <c r="D672" s="1499"/>
      <c r="E672" s="1499"/>
      <c r="F672" s="1515"/>
      <c r="G672" s="1499"/>
      <c r="H672" s="1263"/>
      <c r="I672" s="1512"/>
      <c r="J672" s="1263"/>
      <c r="K672" s="1263"/>
      <c r="L672" s="1263"/>
      <c r="M672" s="1263"/>
      <c r="N672" s="1263"/>
      <c r="O672" s="1263"/>
      <c r="P672" s="1263"/>
      <c r="Q672" s="1263"/>
      <c r="R672" s="1263"/>
      <c r="S672" s="1263"/>
      <c r="T672" s="1263"/>
      <c r="U672" s="1263"/>
      <c r="V672" s="1263"/>
      <c r="W672" s="1263"/>
    </row>
    <row r="673">
      <c r="A673" s="1513"/>
      <c r="B673" s="1514"/>
      <c r="C673" s="1499"/>
      <c r="D673" s="1499"/>
      <c r="E673" s="1499"/>
      <c r="F673" s="1515"/>
      <c r="G673" s="1499"/>
      <c r="H673" s="1263"/>
      <c r="I673" s="1512"/>
      <c r="J673" s="1263"/>
      <c r="K673" s="1263"/>
      <c r="L673" s="1263"/>
      <c r="M673" s="1263"/>
      <c r="N673" s="1263"/>
      <c r="O673" s="1263"/>
      <c r="P673" s="1263"/>
      <c r="Q673" s="1263"/>
      <c r="R673" s="1263"/>
      <c r="S673" s="1263"/>
      <c r="T673" s="1263"/>
      <c r="U673" s="1263"/>
      <c r="V673" s="1263"/>
      <c r="W673" s="1263"/>
    </row>
    <row r="674">
      <c r="A674" s="1513"/>
      <c r="B674" s="1514"/>
      <c r="C674" s="1499"/>
      <c r="D674" s="1499"/>
      <c r="E674" s="1499"/>
      <c r="F674" s="1515"/>
      <c r="G674" s="1499"/>
      <c r="H674" s="1263"/>
      <c r="I674" s="1512"/>
      <c r="J674" s="1263"/>
      <c r="K674" s="1263"/>
      <c r="L674" s="1263"/>
      <c r="M674" s="1263"/>
      <c r="N674" s="1263"/>
      <c r="O674" s="1263"/>
      <c r="P674" s="1263"/>
      <c r="Q674" s="1263"/>
      <c r="R674" s="1263"/>
      <c r="S674" s="1263"/>
      <c r="T674" s="1263"/>
      <c r="U674" s="1263"/>
      <c r="V674" s="1263"/>
      <c r="W674" s="1263"/>
    </row>
    <row r="675">
      <c r="A675" s="1513"/>
      <c r="B675" s="1514"/>
      <c r="C675" s="1499"/>
      <c r="D675" s="1499"/>
      <c r="E675" s="1499"/>
      <c r="F675" s="1515"/>
      <c r="G675" s="1499"/>
      <c r="H675" s="1263"/>
      <c r="I675" s="1512"/>
      <c r="J675" s="1263"/>
      <c r="K675" s="1263"/>
      <c r="L675" s="1263"/>
      <c r="M675" s="1263"/>
      <c r="N675" s="1263"/>
      <c r="O675" s="1263"/>
      <c r="P675" s="1263"/>
      <c r="Q675" s="1263"/>
      <c r="R675" s="1263"/>
      <c r="S675" s="1263"/>
      <c r="T675" s="1263"/>
      <c r="U675" s="1263"/>
      <c r="V675" s="1263"/>
      <c r="W675" s="1263"/>
    </row>
    <row r="676">
      <c r="A676" s="1513"/>
      <c r="B676" s="1514"/>
      <c r="C676" s="1499"/>
      <c r="D676" s="1499"/>
      <c r="E676" s="1499"/>
      <c r="F676" s="1515"/>
      <c r="G676" s="1499"/>
      <c r="H676" s="1263"/>
      <c r="I676" s="1512"/>
      <c r="J676" s="1263"/>
      <c r="K676" s="1263"/>
      <c r="L676" s="1263"/>
      <c r="M676" s="1263"/>
      <c r="N676" s="1263"/>
      <c r="O676" s="1263"/>
      <c r="P676" s="1263"/>
      <c r="Q676" s="1263"/>
      <c r="R676" s="1263"/>
      <c r="S676" s="1263"/>
      <c r="T676" s="1263"/>
      <c r="U676" s="1263"/>
      <c r="V676" s="1263"/>
      <c r="W676" s="1263"/>
    </row>
    <row r="677">
      <c r="A677" s="1513"/>
      <c r="B677" s="1514"/>
      <c r="C677" s="1499"/>
      <c r="D677" s="1499"/>
      <c r="E677" s="1499"/>
      <c r="F677" s="1515"/>
      <c r="G677" s="1499"/>
      <c r="H677" s="1263"/>
      <c r="I677" s="1512"/>
      <c r="J677" s="1263"/>
      <c r="K677" s="1263"/>
      <c r="L677" s="1263"/>
      <c r="M677" s="1263"/>
      <c r="N677" s="1263"/>
      <c r="O677" s="1263"/>
      <c r="P677" s="1263"/>
      <c r="Q677" s="1263"/>
      <c r="R677" s="1263"/>
      <c r="S677" s="1263"/>
      <c r="T677" s="1263"/>
      <c r="U677" s="1263"/>
      <c r="V677" s="1263"/>
      <c r="W677" s="1263"/>
    </row>
    <row r="678">
      <c r="A678" s="1513"/>
      <c r="B678" s="1514"/>
      <c r="C678" s="1499"/>
      <c r="D678" s="1499"/>
      <c r="E678" s="1499"/>
      <c r="F678" s="1515"/>
      <c r="G678" s="1499"/>
      <c r="H678" s="1263"/>
      <c r="I678" s="1512"/>
      <c r="J678" s="1263"/>
      <c r="K678" s="1263"/>
      <c r="L678" s="1263"/>
      <c r="M678" s="1263"/>
      <c r="N678" s="1263"/>
      <c r="O678" s="1263"/>
      <c r="P678" s="1263"/>
      <c r="Q678" s="1263"/>
      <c r="R678" s="1263"/>
      <c r="S678" s="1263"/>
      <c r="T678" s="1263"/>
      <c r="U678" s="1263"/>
      <c r="V678" s="1263"/>
      <c r="W678" s="1263"/>
    </row>
    <row r="679">
      <c r="A679" s="1513"/>
      <c r="B679" s="1514"/>
      <c r="C679" s="1499"/>
      <c r="D679" s="1499"/>
      <c r="E679" s="1499"/>
      <c r="F679" s="1515"/>
      <c r="G679" s="1499"/>
      <c r="H679" s="1263"/>
      <c r="I679" s="1512"/>
      <c r="J679" s="1263"/>
      <c r="K679" s="1263"/>
      <c r="L679" s="1263"/>
      <c r="M679" s="1263"/>
      <c r="N679" s="1263"/>
      <c r="O679" s="1263"/>
      <c r="P679" s="1263"/>
      <c r="Q679" s="1263"/>
      <c r="R679" s="1263"/>
      <c r="S679" s="1263"/>
      <c r="T679" s="1263"/>
      <c r="U679" s="1263"/>
      <c r="V679" s="1263"/>
      <c r="W679" s="1263"/>
    </row>
    <row r="680">
      <c r="A680" s="1513"/>
      <c r="B680" s="1514"/>
      <c r="C680" s="1499"/>
      <c r="D680" s="1499"/>
      <c r="E680" s="1499"/>
      <c r="F680" s="1515"/>
      <c r="G680" s="1499"/>
      <c r="H680" s="1263"/>
      <c r="I680" s="1512"/>
      <c r="J680" s="1263"/>
      <c r="K680" s="1263"/>
      <c r="L680" s="1263"/>
      <c r="M680" s="1263"/>
      <c r="N680" s="1263"/>
      <c r="O680" s="1263"/>
      <c r="P680" s="1263"/>
      <c r="Q680" s="1263"/>
      <c r="R680" s="1263"/>
      <c r="S680" s="1263"/>
      <c r="T680" s="1263"/>
      <c r="U680" s="1263"/>
      <c r="V680" s="1263"/>
      <c r="W680" s="1263"/>
    </row>
    <row r="681">
      <c r="A681" s="1513"/>
      <c r="B681" s="1514"/>
      <c r="C681" s="1499"/>
      <c r="D681" s="1499"/>
      <c r="E681" s="1499"/>
      <c r="F681" s="1515"/>
      <c r="G681" s="1499"/>
      <c r="H681" s="1263"/>
      <c r="I681" s="1512"/>
      <c r="J681" s="1263"/>
      <c r="K681" s="1263"/>
      <c r="L681" s="1263"/>
      <c r="M681" s="1263"/>
      <c r="N681" s="1263"/>
      <c r="O681" s="1263"/>
      <c r="P681" s="1263"/>
      <c r="Q681" s="1263"/>
      <c r="R681" s="1263"/>
      <c r="S681" s="1263"/>
      <c r="T681" s="1263"/>
      <c r="U681" s="1263"/>
      <c r="V681" s="1263"/>
      <c r="W681" s="1263"/>
    </row>
    <row r="682">
      <c r="A682" s="1513"/>
      <c r="B682" s="1514"/>
      <c r="C682" s="1499"/>
      <c r="D682" s="1499"/>
      <c r="E682" s="1499"/>
      <c r="F682" s="1515"/>
      <c r="G682" s="1499"/>
      <c r="H682" s="1263"/>
      <c r="I682" s="1512"/>
      <c r="J682" s="1263"/>
      <c r="K682" s="1263"/>
      <c r="L682" s="1263"/>
      <c r="M682" s="1263"/>
      <c r="N682" s="1263"/>
      <c r="O682" s="1263"/>
      <c r="P682" s="1263"/>
      <c r="Q682" s="1263"/>
      <c r="R682" s="1263"/>
      <c r="S682" s="1263"/>
      <c r="T682" s="1263"/>
      <c r="U682" s="1263"/>
      <c r="V682" s="1263"/>
      <c r="W682" s="1263"/>
    </row>
    <row r="683">
      <c r="A683" s="1513"/>
      <c r="B683" s="1514"/>
      <c r="C683" s="1499"/>
      <c r="D683" s="1499"/>
      <c r="E683" s="1499"/>
      <c r="F683" s="1515"/>
      <c r="G683" s="1499"/>
      <c r="H683" s="1263"/>
      <c r="I683" s="1512"/>
      <c r="J683" s="1263"/>
      <c r="K683" s="1263"/>
      <c r="L683" s="1263"/>
      <c r="M683" s="1263"/>
      <c r="N683" s="1263"/>
      <c r="O683" s="1263"/>
      <c r="P683" s="1263"/>
      <c r="Q683" s="1263"/>
      <c r="R683" s="1263"/>
      <c r="S683" s="1263"/>
      <c r="T683" s="1263"/>
      <c r="U683" s="1263"/>
      <c r="V683" s="1263"/>
      <c r="W683" s="1263"/>
    </row>
    <row r="684">
      <c r="A684" s="1513"/>
      <c r="B684" s="1514"/>
      <c r="C684" s="1499"/>
      <c r="D684" s="1499"/>
      <c r="E684" s="1499"/>
      <c r="F684" s="1515"/>
      <c r="G684" s="1499"/>
      <c r="H684" s="1263"/>
      <c r="I684" s="1512"/>
      <c r="J684" s="1263"/>
      <c r="K684" s="1263"/>
      <c r="L684" s="1263"/>
      <c r="M684" s="1263"/>
      <c r="N684" s="1263"/>
      <c r="O684" s="1263"/>
      <c r="P684" s="1263"/>
      <c r="Q684" s="1263"/>
      <c r="R684" s="1263"/>
      <c r="S684" s="1263"/>
      <c r="T684" s="1263"/>
      <c r="U684" s="1263"/>
      <c r="V684" s="1263"/>
      <c r="W684" s="1263"/>
    </row>
    <row r="685">
      <c r="A685" s="1513"/>
      <c r="B685" s="1514"/>
      <c r="C685" s="1499"/>
      <c r="D685" s="1499"/>
      <c r="E685" s="1499"/>
      <c r="F685" s="1515"/>
      <c r="G685" s="1499"/>
      <c r="H685" s="1263"/>
      <c r="I685" s="1512"/>
      <c r="J685" s="1263"/>
      <c r="K685" s="1263"/>
      <c r="L685" s="1263"/>
      <c r="M685" s="1263"/>
      <c r="N685" s="1263"/>
      <c r="O685" s="1263"/>
      <c r="P685" s="1263"/>
      <c r="Q685" s="1263"/>
      <c r="R685" s="1263"/>
      <c r="S685" s="1263"/>
      <c r="T685" s="1263"/>
      <c r="U685" s="1263"/>
      <c r="V685" s="1263"/>
      <c r="W685" s="1263"/>
    </row>
    <row r="686">
      <c r="A686" s="1513"/>
      <c r="B686" s="1514"/>
      <c r="C686" s="1499"/>
      <c r="D686" s="1499"/>
      <c r="E686" s="1499"/>
      <c r="F686" s="1515"/>
      <c r="G686" s="1499"/>
      <c r="H686" s="1263"/>
      <c r="I686" s="1512"/>
      <c r="J686" s="1263"/>
      <c r="K686" s="1263"/>
      <c r="L686" s="1263"/>
      <c r="M686" s="1263"/>
      <c r="N686" s="1263"/>
      <c r="O686" s="1263"/>
      <c r="P686" s="1263"/>
      <c r="Q686" s="1263"/>
      <c r="R686" s="1263"/>
      <c r="S686" s="1263"/>
      <c r="T686" s="1263"/>
      <c r="U686" s="1263"/>
      <c r="V686" s="1263"/>
      <c r="W686" s="1263"/>
    </row>
    <row r="687">
      <c r="A687" s="1513"/>
      <c r="B687" s="1514"/>
      <c r="C687" s="1499"/>
      <c r="D687" s="1499"/>
      <c r="E687" s="1499"/>
      <c r="F687" s="1515"/>
      <c r="G687" s="1499"/>
      <c r="H687" s="1263"/>
      <c r="I687" s="1512"/>
      <c r="J687" s="1263"/>
      <c r="K687" s="1263"/>
      <c r="L687" s="1263"/>
      <c r="M687" s="1263"/>
      <c r="N687" s="1263"/>
      <c r="O687" s="1263"/>
      <c r="P687" s="1263"/>
      <c r="Q687" s="1263"/>
      <c r="R687" s="1263"/>
      <c r="S687" s="1263"/>
      <c r="T687" s="1263"/>
      <c r="U687" s="1263"/>
      <c r="V687" s="1263"/>
      <c r="W687" s="1263"/>
    </row>
    <row r="688">
      <c r="A688" s="1513"/>
      <c r="B688" s="1514"/>
      <c r="C688" s="1499"/>
      <c r="D688" s="1499"/>
      <c r="E688" s="1499"/>
      <c r="F688" s="1515"/>
      <c r="G688" s="1499"/>
      <c r="H688" s="1263"/>
      <c r="I688" s="1512"/>
      <c r="J688" s="1263"/>
      <c r="K688" s="1263"/>
      <c r="L688" s="1263"/>
      <c r="M688" s="1263"/>
      <c r="N688" s="1263"/>
      <c r="O688" s="1263"/>
      <c r="P688" s="1263"/>
      <c r="Q688" s="1263"/>
      <c r="R688" s="1263"/>
      <c r="S688" s="1263"/>
      <c r="T688" s="1263"/>
      <c r="U688" s="1263"/>
      <c r="V688" s="1263"/>
      <c r="W688" s="1263"/>
    </row>
    <row r="689">
      <c r="A689" s="1513"/>
      <c r="B689" s="1514"/>
      <c r="C689" s="1499"/>
      <c r="D689" s="1499"/>
      <c r="E689" s="1499"/>
      <c r="F689" s="1515"/>
      <c r="G689" s="1499"/>
      <c r="H689" s="1263"/>
      <c r="I689" s="1512"/>
      <c r="J689" s="1263"/>
      <c r="K689" s="1263"/>
      <c r="L689" s="1263"/>
      <c r="M689" s="1263"/>
      <c r="N689" s="1263"/>
      <c r="O689" s="1263"/>
      <c r="P689" s="1263"/>
      <c r="Q689" s="1263"/>
      <c r="R689" s="1263"/>
      <c r="S689" s="1263"/>
      <c r="T689" s="1263"/>
      <c r="U689" s="1263"/>
      <c r="V689" s="1263"/>
      <c r="W689" s="1263"/>
    </row>
    <row r="690">
      <c r="A690" s="1513"/>
      <c r="B690" s="1514"/>
      <c r="C690" s="1499"/>
      <c r="D690" s="1499"/>
      <c r="E690" s="1499"/>
      <c r="F690" s="1515"/>
      <c r="G690" s="1499"/>
      <c r="H690" s="1263"/>
      <c r="I690" s="1512"/>
      <c r="J690" s="1263"/>
      <c r="K690" s="1263"/>
      <c r="L690" s="1263"/>
      <c r="M690" s="1263"/>
      <c r="N690" s="1263"/>
      <c r="O690" s="1263"/>
      <c r="P690" s="1263"/>
      <c r="Q690" s="1263"/>
      <c r="R690" s="1263"/>
      <c r="S690" s="1263"/>
      <c r="T690" s="1263"/>
      <c r="U690" s="1263"/>
      <c r="V690" s="1263"/>
      <c r="W690" s="1263"/>
    </row>
    <row r="691">
      <c r="A691" s="1513"/>
      <c r="B691" s="1514"/>
      <c r="C691" s="1499"/>
      <c r="D691" s="1499"/>
      <c r="E691" s="1499"/>
      <c r="F691" s="1515"/>
      <c r="G691" s="1499"/>
      <c r="H691" s="1263"/>
      <c r="I691" s="1512"/>
      <c r="J691" s="1263"/>
      <c r="K691" s="1263"/>
      <c r="L691" s="1263"/>
      <c r="M691" s="1263"/>
      <c r="N691" s="1263"/>
      <c r="O691" s="1263"/>
      <c r="P691" s="1263"/>
      <c r="Q691" s="1263"/>
      <c r="R691" s="1263"/>
      <c r="S691" s="1263"/>
      <c r="T691" s="1263"/>
      <c r="U691" s="1263"/>
      <c r="V691" s="1263"/>
      <c r="W691" s="1263"/>
    </row>
    <row r="692">
      <c r="A692" s="1513"/>
      <c r="B692" s="1514"/>
      <c r="C692" s="1499"/>
      <c r="D692" s="1499"/>
      <c r="E692" s="1499"/>
      <c r="F692" s="1515"/>
      <c r="G692" s="1499"/>
      <c r="H692" s="1263"/>
      <c r="I692" s="1512"/>
      <c r="J692" s="1263"/>
      <c r="K692" s="1263"/>
      <c r="L692" s="1263"/>
      <c r="M692" s="1263"/>
      <c r="N692" s="1263"/>
      <c r="O692" s="1263"/>
      <c r="P692" s="1263"/>
      <c r="Q692" s="1263"/>
      <c r="R692" s="1263"/>
      <c r="S692" s="1263"/>
      <c r="T692" s="1263"/>
      <c r="U692" s="1263"/>
      <c r="V692" s="1263"/>
      <c r="W692" s="1263"/>
    </row>
    <row r="693">
      <c r="A693" s="1513"/>
      <c r="B693" s="1514"/>
      <c r="C693" s="1499"/>
      <c r="D693" s="1499"/>
      <c r="E693" s="1499"/>
      <c r="F693" s="1515"/>
      <c r="G693" s="1499"/>
      <c r="H693" s="1263"/>
      <c r="I693" s="1512"/>
      <c r="J693" s="1263"/>
      <c r="K693" s="1263"/>
      <c r="L693" s="1263"/>
      <c r="M693" s="1263"/>
      <c r="N693" s="1263"/>
      <c r="O693" s="1263"/>
      <c r="P693" s="1263"/>
      <c r="Q693" s="1263"/>
      <c r="R693" s="1263"/>
      <c r="S693" s="1263"/>
      <c r="T693" s="1263"/>
      <c r="U693" s="1263"/>
      <c r="V693" s="1263"/>
      <c r="W693" s="1263"/>
    </row>
    <row r="694">
      <c r="A694" s="1513"/>
      <c r="B694" s="1514"/>
      <c r="C694" s="1499"/>
      <c r="D694" s="1499"/>
      <c r="E694" s="1499"/>
      <c r="F694" s="1515"/>
      <c r="G694" s="1499"/>
      <c r="H694" s="1263"/>
      <c r="I694" s="1512"/>
      <c r="J694" s="1263"/>
      <c r="K694" s="1263"/>
      <c r="L694" s="1263"/>
      <c r="M694" s="1263"/>
      <c r="N694" s="1263"/>
      <c r="O694" s="1263"/>
      <c r="P694" s="1263"/>
      <c r="Q694" s="1263"/>
      <c r="R694" s="1263"/>
      <c r="S694" s="1263"/>
      <c r="T694" s="1263"/>
      <c r="U694" s="1263"/>
      <c r="V694" s="1263"/>
      <c r="W694" s="1263"/>
    </row>
    <row r="695">
      <c r="A695" s="1513"/>
      <c r="B695" s="1514"/>
      <c r="C695" s="1499"/>
      <c r="D695" s="1499"/>
      <c r="E695" s="1499"/>
      <c r="F695" s="1515"/>
      <c r="G695" s="1499"/>
      <c r="H695" s="1263"/>
      <c r="I695" s="1512"/>
      <c r="J695" s="1263"/>
      <c r="K695" s="1263"/>
      <c r="L695" s="1263"/>
      <c r="M695" s="1263"/>
      <c r="N695" s="1263"/>
      <c r="O695" s="1263"/>
      <c r="P695" s="1263"/>
      <c r="Q695" s="1263"/>
      <c r="R695" s="1263"/>
      <c r="S695" s="1263"/>
      <c r="T695" s="1263"/>
      <c r="U695" s="1263"/>
      <c r="V695" s="1263"/>
      <c r="W695" s="1263"/>
    </row>
    <row r="696">
      <c r="A696" s="1513"/>
      <c r="B696" s="1514"/>
      <c r="C696" s="1499"/>
      <c r="D696" s="1499"/>
      <c r="E696" s="1499"/>
      <c r="F696" s="1515"/>
      <c r="G696" s="1499"/>
      <c r="H696" s="1263"/>
      <c r="I696" s="1512"/>
      <c r="J696" s="1263"/>
      <c r="K696" s="1263"/>
      <c r="L696" s="1263"/>
      <c r="M696" s="1263"/>
      <c r="N696" s="1263"/>
      <c r="O696" s="1263"/>
      <c r="P696" s="1263"/>
      <c r="Q696" s="1263"/>
      <c r="R696" s="1263"/>
      <c r="S696" s="1263"/>
      <c r="T696" s="1263"/>
      <c r="U696" s="1263"/>
      <c r="V696" s="1263"/>
      <c r="W696" s="1263"/>
    </row>
    <row r="697">
      <c r="A697" s="1513"/>
      <c r="B697" s="1514"/>
      <c r="C697" s="1499"/>
      <c r="D697" s="1499"/>
      <c r="E697" s="1499"/>
      <c r="F697" s="1515"/>
      <c r="G697" s="1499"/>
      <c r="H697" s="1263"/>
      <c r="I697" s="1512"/>
      <c r="J697" s="1263"/>
      <c r="K697" s="1263"/>
      <c r="L697" s="1263"/>
      <c r="M697" s="1263"/>
      <c r="N697" s="1263"/>
      <c r="O697" s="1263"/>
      <c r="P697" s="1263"/>
      <c r="Q697" s="1263"/>
      <c r="R697" s="1263"/>
      <c r="S697" s="1263"/>
      <c r="T697" s="1263"/>
      <c r="U697" s="1263"/>
      <c r="V697" s="1263"/>
      <c r="W697" s="1263"/>
    </row>
    <row r="698">
      <c r="A698" s="1513"/>
      <c r="B698" s="1514"/>
      <c r="C698" s="1499"/>
      <c r="D698" s="1499"/>
      <c r="E698" s="1499"/>
      <c r="F698" s="1515"/>
      <c r="G698" s="1499"/>
      <c r="H698" s="1263"/>
      <c r="I698" s="1512"/>
      <c r="J698" s="1263"/>
      <c r="K698" s="1263"/>
      <c r="L698" s="1263"/>
      <c r="M698" s="1263"/>
      <c r="N698" s="1263"/>
      <c r="O698" s="1263"/>
      <c r="P698" s="1263"/>
      <c r="Q698" s="1263"/>
      <c r="R698" s="1263"/>
      <c r="S698" s="1263"/>
      <c r="T698" s="1263"/>
      <c r="U698" s="1263"/>
      <c r="V698" s="1263"/>
      <c r="W698" s="1263"/>
    </row>
    <row r="699">
      <c r="A699" s="1513"/>
      <c r="B699" s="1514"/>
      <c r="C699" s="1499"/>
      <c r="D699" s="1499"/>
      <c r="E699" s="1499"/>
      <c r="F699" s="1515"/>
      <c r="G699" s="1499"/>
      <c r="H699" s="1263"/>
      <c r="I699" s="1512"/>
      <c r="J699" s="1263"/>
      <c r="K699" s="1263"/>
      <c r="L699" s="1263"/>
      <c r="M699" s="1263"/>
      <c r="N699" s="1263"/>
      <c r="O699" s="1263"/>
      <c r="P699" s="1263"/>
      <c r="Q699" s="1263"/>
      <c r="R699" s="1263"/>
      <c r="S699" s="1263"/>
      <c r="T699" s="1263"/>
      <c r="U699" s="1263"/>
      <c r="V699" s="1263"/>
      <c r="W699" s="1263"/>
    </row>
    <row r="700">
      <c r="A700" s="1513"/>
      <c r="B700" s="1514"/>
      <c r="C700" s="1499"/>
      <c r="D700" s="1499"/>
      <c r="E700" s="1499"/>
      <c r="F700" s="1515"/>
      <c r="G700" s="1499"/>
      <c r="H700" s="1263"/>
      <c r="I700" s="1512"/>
      <c r="J700" s="1263"/>
      <c r="K700" s="1263"/>
      <c r="L700" s="1263"/>
      <c r="M700" s="1263"/>
      <c r="N700" s="1263"/>
      <c r="O700" s="1263"/>
      <c r="P700" s="1263"/>
      <c r="Q700" s="1263"/>
      <c r="R700" s="1263"/>
      <c r="S700" s="1263"/>
      <c r="T700" s="1263"/>
      <c r="U700" s="1263"/>
      <c r="V700" s="1263"/>
      <c r="W700" s="1263"/>
    </row>
    <row r="701">
      <c r="A701" s="1513"/>
      <c r="B701" s="1514"/>
      <c r="C701" s="1499"/>
      <c r="D701" s="1499"/>
      <c r="E701" s="1499"/>
      <c r="F701" s="1515"/>
      <c r="G701" s="1499"/>
      <c r="H701" s="1263"/>
      <c r="I701" s="1512"/>
      <c r="J701" s="1263"/>
      <c r="K701" s="1263"/>
      <c r="L701" s="1263"/>
      <c r="M701" s="1263"/>
      <c r="N701" s="1263"/>
      <c r="O701" s="1263"/>
      <c r="P701" s="1263"/>
      <c r="Q701" s="1263"/>
      <c r="R701" s="1263"/>
      <c r="S701" s="1263"/>
      <c r="T701" s="1263"/>
      <c r="U701" s="1263"/>
      <c r="V701" s="1263"/>
      <c r="W701" s="1263"/>
    </row>
    <row r="702">
      <c r="A702" s="1513"/>
      <c r="B702" s="1514"/>
      <c r="C702" s="1499"/>
      <c r="D702" s="1499"/>
      <c r="E702" s="1499"/>
      <c r="F702" s="1515"/>
      <c r="G702" s="1499"/>
      <c r="H702" s="1263"/>
      <c r="I702" s="1512"/>
      <c r="J702" s="1263"/>
      <c r="K702" s="1263"/>
      <c r="L702" s="1263"/>
      <c r="M702" s="1263"/>
      <c r="N702" s="1263"/>
      <c r="O702" s="1263"/>
      <c r="P702" s="1263"/>
      <c r="Q702" s="1263"/>
      <c r="R702" s="1263"/>
      <c r="S702" s="1263"/>
      <c r="T702" s="1263"/>
      <c r="U702" s="1263"/>
      <c r="V702" s="1263"/>
      <c r="W702" s="1263"/>
    </row>
    <row r="703">
      <c r="A703" s="1513"/>
      <c r="B703" s="1514"/>
      <c r="C703" s="1499"/>
      <c r="D703" s="1499"/>
      <c r="E703" s="1499"/>
      <c r="F703" s="1515"/>
      <c r="G703" s="1499"/>
      <c r="H703" s="1263"/>
      <c r="I703" s="1512"/>
      <c r="J703" s="1263"/>
      <c r="K703" s="1263"/>
      <c r="L703" s="1263"/>
      <c r="M703" s="1263"/>
      <c r="N703" s="1263"/>
      <c r="O703" s="1263"/>
      <c r="P703" s="1263"/>
      <c r="Q703" s="1263"/>
      <c r="R703" s="1263"/>
      <c r="S703" s="1263"/>
      <c r="T703" s="1263"/>
      <c r="U703" s="1263"/>
      <c r="V703" s="1263"/>
      <c r="W703" s="1263"/>
    </row>
    <row r="704">
      <c r="A704" s="1513"/>
      <c r="B704" s="1514"/>
      <c r="C704" s="1499"/>
      <c r="D704" s="1499"/>
      <c r="E704" s="1499"/>
      <c r="F704" s="1515"/>
      <c r="G704" s="1499"/>
      <c r="H704" s="1263"/>
      <c r="I704" s="1512"/>
      <c r="J704" s="1263"/>
      <c r="K704" s="1263"/>
      <c r="L704" s="1263"/>
      <c r="M704" s="1263"/>
      <c r="N704" s="1263"/>
      <c r="O704" s="1263"/>
      <c r="P704" s="1263"/>
      <c r="Q704" s="1263"/>
      <c r="R704" s="1263"/>
      <c r="S704" s="1263"/>
      <c r="T704" s="1263"/>
      <c r="U704" s="1263"/>
      <c r="V704" s="1263"/>
      <c r="W704" s="1263"/>
    </row>
    <row r="705">
      <c r="A705" s="1513"/>
      <c r="B705" s="1514"/>
      <c r="C705" s="1499"/>
      <c r="D705" s="1499"/>
      <c r="E705" s="1499"/>
      <c r="F705" s="1515"/>
      <c r="G705" s="1499"/>
      <c r="H705" s="1263"/>
      <c r="I705" s="1512"/>
      <c r="J705" s="1263"/>
      <c r="K705" s="1263"/>
      <c r="L705" s="1263"/>
      <c r="M705" s="1263"/>
      <c r="N705" s="1263"/>
      <c r="O705" s="1263"/>
      <c r="P705" s="1263"/>
      <c r="Q705" s="1263"/>
      <c r="R705" s="1263"/>
      <c r="S705" s="1263"/>
      <c r="T705" s="1263"/>
      <c r="U705" s="1263"/>
      <c r="V705" s="1263"/>
      <c r="W705" s="1263"/>
    </row>
    <row r="706">
      <c r="A706" s="1513"/>
      <c r="B706" s="1514"/>
      <c r="C706" s="1499"/>
      <c r="D706" s="1499"/>
      <c r="E706" s="1499"/>
      <c r="F706" s="1515"/>
      <c r="G706" s="1499"/>
      <c r="H706" s="1263"/>
      <c r="I706" s="1512"/>
      <c r="J706" s="1263"/>
      <c r="K706" s="1263"/>
      <c r="L706" s="1263"/>
      <c r="M706" s="1263"/>
      <c r="N706" s="1263"/>
      <c r="O706" s="1263"/>
      <c r="P706" s="1263"/>
      <c r="Q706" s="1263"/>
      <c r="R706" s="1263"/>
      <c r="S706" s="1263"/>
      <c r="T706" s="1263"/>
      <c r="U706" s="1263"/>
      <c r="V706" s="1263"/>
      <c r="W706" s="1263"/>
    </row>
    <row r="707">
      <c r="A707" s="1513"/>
      <c r="B707" s="1514"/>
      <c r="C707" s="1499"/>
      <c r="D707" s="1499"/>
      <c r="E707" s="1499"/>
      <c r="F707" s="1515"/>
      <c r="G707" s="1499"/>
      <c r="H707" s="1263"/>
      <c r="I707" s="1512"/>
      <c r="J707" s="1263"/>
      <c r="K707" s="1263"/>
      <c r="L707" s="1263"/>
      <c r="M707" s="1263"/>
      <c r="N707" s="1263"/>
      <c r="O707" s="1263"/>
      <c r="P707" s="1263"/>
      <c r="Q707" s="1263"/>
      <c r="R707" s="1263"/>
      <c r="S707" s="1263"/>
      <c r="T707" s="1263"/>
      <c r="U707" s="1263"/>
      <c r="V707" s="1263"/>
      <c r="W707" s="1263"/>
    </row>
    <row r="708">
      <c r="A708" s="1513"/>
      <c r="B708" s="1514"/>
      <c r="C708" s="1499"/>
      <c r="D708" s="1499"/>
      <c r="E708" s="1499"/>
      <c r="F708" s="1515"/>
      <c r="G708" s="1499"/>
      <c r="H708" s="1263"/>
      <c r="I708" s="1512"/>
      <c r="J708" s="1263"/>
      <c r="K708" s="1263"/>
      <c r="L708" s="1263"/>
      <c r="M708" s="1263"/>
      <c r="N708" s="1263"/>
      <c r="O708" s="1263"/>
      <c r="P708" s="1263"/>
      <c r="Q708" s="1263"/>
      <c r="R708" s="1263"/>
      <c r="S708" s="1263"/>
      <c r="T708" s="1263"/>
      <c r="U708" s="1263"/>
      <c r="V708" s="1263"/>
      <c r="W708" s="1263"/>
    </row>
    <row r="709">
      <c r="A709" s="1513"/>
      <c r="B709" s="1514"/>
      <c r="C709" s="1499"/>
      <c r="D709" s="1499"/>
      <c r="E709" s="1499"/>
      <c r="F709" s="1515"/>
      <c r="G709" s="1499"/>
      <c r="H709" s="1263"/>
      <c r="I709" s="1512"/>
      <c r="J709" s="1263"/>
      <c r="K709" s="1263"/>
      <c r="L709" s="1263"/>
      <c r="M709" s="1263"/>
      <c r="N709" s="1263"/>
      <c r="O709" s="1263"/>
      <c r="P709" s="1263"/>
      <c r="Q709" s="1263"/>
      <c r="R709" s="1263"/>
      <c r="S709" s="1263"/>
      <c r="T709" s="1263"/>
      <c r="U709" s="1263"/>
      <c r="V709" s="1263"/>
      <c r="W709" s="1263"/>
    </row>
    <row r="710">
      <c r="A710" s="1513"/>
      <c r="B710" s="1514"/>
      <c r="C710" s="1499"/>
      <c r="D710" s="1499"/>
      <c r="E710" s="1499"/>
      <c r="F710" s="1515"/>
      <c r="G710" s="1499"/>
      <c r="H710" s="1263"/>
      <c r="I710" s="1512"/>
      <c r="J710" s="1263"/>
      <c r="K710" s="1263"/>
      <c r="L710" s="1263"/>
      <c r="M710" s="1263"/>
      <c r="N710" s="1263"/>
      <c r="O710" s="1263"/>
      <c r="P710" s="1263"/>
      <c r="Q710" s="1263"/>
      <c r="R710" s="1263"/>
      <c r="S710" s="1263"/>
      <c r="T710" s="1263"/>
      <c r="U710" s="1263"/>
      <c r="V710" s="1263"/>
      <c r="W710" s="1263"/>
    </row>
    <row r="711">
      <c r="A711" s="1513"/>
      <c r="B711" s="1514"/>
      <c r="C711" s="1499"/>
      <c r="D711" s="1499"/>
      <c r="E711" s="1499"/>
      <c r="F711" s="1515"/>
      <c r="G711" s="1499"/>
      <c r="H711" s="1263"/>
      <c r="I711" s="1512"/>
      <c r="J711" s="1263"/>
      <c r="K711" s="1263"/>
      <c r="L711" s="1263"/>
      <c r="M711" s="1263"/>
      <c r="N711" s="1263"/>
      <c r="O711" s="1263"/>
      <c r="P711" s="1263"/>
      <c r="Q711" s="1263"/>
      <c r="R711" s="1263"/>
      <c r="S711" s="1263"/>
      <c r="T711" s="1263"/>
      <c r="U711" s="1263"/>
      <c r="V711" s="1263"/>
      <c r="W711" s="1263"/>
    </row>
    <row r="712">
      <c r="A712" s="1513"/>
      <c r="B712" s="1514"/>
      <c r="C712" s="1499"/>
      <c r="D712" s="1499"/>
      <c r="E712" s="1499"/>
      <c r="F712" s="1515"/>
      <c r="G712" s="1499"/>
      <c r="H712" s="1263"/>
      <c r="I712" s="1512"/>
      <c r="J712" s="1263"/>
      <c r="K712" s="1263"/>
      <c r="L712" s="1263"/>
      <c r="M712" s="1263"/>
      <c r="N712" s="1263"/>
      <c r="O712" s="1263"/>
      <c r="P712" s="1263"/>
      <c r="Q712" s="1263"/>
      <c r="R712" s="1263"/>
      <c r="S712" s="1263"/>
      <c r="T712" s="1263"/>
      <c r="U712" s="1263"/>
      <c r="V712" s="1263"/>
      <c r="W712" s="1263"/>
    </row>
    <row r="713">
      <c r="A713" s="1513"/>
      <c r="B713" s="1514"/>
      <c r="C713" s="1499"/>
      <c r="D713" s="1499"/>
      <c r="E713" s="1499"/>
      <c r="F713" s="1515"/>
      <c r="G713" s="1499"/>
      <c r="H713" s="1263"/>
      <c r="I713" s="1512"/>
      <c r="J713" s="1263"/>
      <c r="K713" s="1263"/>
      <c r="L713" s="1263"/>
      <c r="M713" s="1263"/>
      <c r="N713" s="1263"/>
      <c r="O713" s="1263"/>
      <c r="P713" s="1263"/>
      <c r="Q713" s="1263"/>
      <c r="R713" s="1263"/>
      <c r="S713" s="1263"/>
      <c r="T713" s="1263"/>
      <c r="U713" s="1263"/>
      <c r="V713" s="1263"/>
      <c r="W713" s="1263"/>
    </row>
    <row r="714">
      <c r="A714" s="1513"/>
      <c r="B714" s="1514"/>
      <c r="C714" s="1499"/>
      <c r="D714" s="1499"/>
      <c r="E714" s="1499"/>
      <c r="F714" s="1515"/>
      <c r="G714" s="1499"/>
      <c r="H714" s="1263"/>
      <c r="I714" s="1512"/>
      <c r="J714" s="1263"/>
      <c r="K714" s="1263"/>
      <c r="L714" s="1263"/>
      <c r="M714" s="1263"/>
      <c r="N714" s="1263"/>
      <c r="O714" s="1263"/>
      <c r="P714" s="1263"/>
      <c r="Q714" s="1263"/>
      <c r="R714" s="1263"/>
      <c r="S714" s="1263"/>
      <c r="T714" s="1263"/>
      <c r="U714" s="1263"/>
      <c r="V714" s="1263"/>
      <c r="W714" s="1263"/>
    </row>
    <row r="715">
      <c r="A715" s="1513"/>
      <c r="B715" s="1514"/>
      <c r="C715" s="1499"/>
      <c r="D715" s="1499"/>
      <c r="E715" s="1499"/>
      <c r="F715" s="1515"/>
      <c r="G715" s="1499"/>
      <c r="H715" s="1263"/>
      <c r="I715" s="1512"/>
      <c r="J715" s="1263"/>
      <c r="K715" s="1263"/>
      <c r="L715" s="1263"/>
      <c r="M715" s="1263"/>
      <c r="N715" s="1263"/>
      <c r="O715" s="1263"/>
      <c r="P715" s="1263"/>
      <c r="Q715" s="1263"/>
      <c r="R715" s="1263"/>
      <c r="S715" s="1263"/>
      <c r="T715" s="1263"/>
      <c r="U715" s="1263"/>
      <c r="V715" s="1263"/>
      <c r="W715" s="1263"/>
    </row>
    <row r="716">
      <c r="A716" s="1513"/>
      <c r="B716" s="1514"/>
      <c r="C716" s="1499"/>
      <c r="D716" s="1499"/>
      <c r="E716" s="1499"/>
      <c r="F716" s="1515"/>
      <c r="G716" s="1499"/>
      <c r="H716" s="1263"/>
      <c r="I716" s="1512"/>
      <c r="J716" s="1263"/>
      <c r="K716" s="1263"/>
      <c r="L716" s="1263"/>
      <c r="M716" s="1263"/>
      <c r="N716" s="1263"/>
      <c r="O716" s="1263"/>
      <c r="P716" s="1263"/>
      <c r="Q716" s="1263"/>
      <c r="R716" s="1263"/>
      <c r="S716" s="1263"/>
      <c r="T716" s="1263"/>
      <c r="U716" s="1263"/>
      <c r="V716" s="1263"/>
      <c r="W716" s="1263"/>
    </row>
    <row r="717">
      <c r="A717" s="1513"/>
      <c r="B717" s="1514"/>
      <c r="C717" s="1499"/>
      <c r="D717" s="1499"/>
      <c r="E717" s="1499"/>
      <c r="F717" s="1515"/>
      <c r="G717" s="1499"/>
      <c r="H717" s="1263"/>
      <c r="I717" s="1512"/>
      <c r="J717" s="1263"/>
      <c r="K717" s="1263"/>
      <c r="L717" s="1263"/>
      <c r="M717" s="1263"/>
      <c r="N717" s="1263"/>
      <c r="O717" s="1263"/>
      <c r="P717" s="1263"/>
      <c r="Q717" s="1263"/>
      <c r="R717" s="1263"/>
      <c r="S717" s="1263"/>
      <c r="T717" s="1263"/>
      <c r="U717" s="1263"/>
      <c r="V717" s="1263"/>
      <c r="W717" s="1263"/>
    </row>
    <row r="718">
      <c r="A718" s="1513"/>
      <c r="B718" s="1514"/>
      <c r="C718" s="1499"/>
      <c r="D718" s="1499"/>
      <c r="E718" s="1499"/>
      <c r="F718" s="1515"/>
      <c r="G718" s="1499"/>
      <c r="H718" s="1263"/>
      <c r="I718" s="1512"/>
      <c r="J718" s="1263"/>
      <c r="K718" s="1263"/>
      <c r="L718" s="1263"/>
      <c r="M718" s="1263"/>
      <c r="N718" s="1263"/>
      <c r="O718" s="1263"/>
      <c r="P718" s="1263"/>
      <c r="Q718" s="1263"/>
      <c r="R718" s="1263"/>
      <c r="S718" s="1263"/>
      <c r="T718" s="1263"/>
      <c r="U718" s="1263"/>
      <c r="V718" s="1263"/>
      <c r="W718" s="1263"/>
    </row>
    <row r="719">
      <c r="A719" s="1513"/>
      <c r="B719" s="1514"/>
      <c r="C719" s="1499"/>
      <c r="D719" s="1499"/>
      <c r="E719" s="1499"/>
      <c r="F719" s="1515"/>
      <c r="G719" s="1499"/>
      <c r="H719" s="1263"/>
      <c r="I719" s="1512"/>
      <c r="J719" s="1263"/>
      <c r="K719" s="1263"/>
      <c r="L719" s="1263"/>
      <c r="M719" s="1263"/>
      <c r="N719" s="1263"/>
      <c r="O719" s="1263"/>
      <c r="P719" s="1263"/>
      <c r="Q719" s="1263"/>
      <c r="R719" s="1263"/>
      <c r="S719" s="1263"/>
      <c r="T719" s="1263"/>
      <c r="U719" s="1263"/>
      <c r="V719" s="1263"/>
      <c r="W719" s="1263"/>
    </row>
    <row r="720">
      <c r="A720" s="1513"/>
      <c r="B720" s="1514"/>
      <c r="C720" s="1499"/>
      <c r="D720" s="1499"/>
      <c r="E720" s="1499"/>
      <c r="F720" s="1515"/>
      <c r="G720" s="1499"/>
      <c r="H720" s="1263"/>
      <c r="I720" s="1512"/>
      <c r="J720" s="1263"/>
      <c r="K720" s="1263"/>
      <c r="L720" s="1263"/>
      <c r="M720" s="1263"/>
      <c r="N720" s="1263"/>
      <c r="O720" s="1263"/>
      <c r="P720" s="1263"/>
      <c r="Q720" s="1263"/>
      <c r="R720" s="1263"/>
      <c r="S720" s="1263"/>
      <c r="T720" s="1263"/>
      <c r="U720" s="1263"/>
      <c r="V720" s="1263"/>
      <c r="W720" s="1263"/>
    </row>
    <row r="721">
      <c r="A721" s="1513"/>
      <c r="B721" s="1514"/>
      <c r="C721" s="1499"/>
      <c r="D721" s="1499"/>
      <c r="E721" s="1499"/>
      <c r="F721" s="1515"/>
      <c r="G721" s="1499"/>
      <c r="H721" s="1263"/>
      <c r="I721" s="1512"/>
      <c r="J721" s="1263"/>
      <c r="K721" s="1263"/>
      <c r="L721" s="1263"/>
      <c r="M721" s="1263"/>
      <c r="N721" s="1263"/>
      <c r="O721" s="1263"/>
      <c r="P721" s="1263"/>
      <c r="Q721" s="1263"/>
      <c r="R721" s="1263"/>
      <c r="S721" s="1263"/>
      <c r="T721" s="1263"/>
      <c r="U721" s="1263"/>
      <c r="V721" s="1263"/>
      <c r="W721" s="1263"/>
    </row>
    <row r="722">
      <c r="A722" s="1513"/>
      <c r="B722" s="1514"/>
      <c r="C722" s="1499"/>
      <c r="D722" s="1499"/>
      <c r="E722" s="1499"/>
      <c r="F722" s="1515"/>
      <c r="G722" s="1499"/>
      <c r="H722" s="1263"/>
      <c r="I722" s="1512"/>
      <c r="J722" s="1263"/>
      <c r="K722" s="1263"/>
      <c r="L722" s="1263"/>
      <c r="M722" s="1263"/>
      <c r="N722" s="1263"/>
      <c r="O722" s="1263"/>
      <c r="P722" s="1263"/>
      <c r="Q722" s="1263"/>
      <c r="R722" s="1263"/>
      <c r="S722" s="1263"/>
      <c r="T722" s="1263"/>
      <c r="U722" s="1263"/>
      <c r="V722" s="1263"/>
      <c r="W722" s="1263"/>
    </row>
    <row r="723">
      <c r="A723" s="1513"/>
      <c r="B723" s="1514"/>
      <c r="C723" s="1499"/>
      <c r="D723" s="1499"/>
      <c r="E723" s="1499"/>
      <c r="F723" s="1515"/>
      <c r="G723" s="1499"/>
      <c r="H723" s="1263"/>
      <c r="I723" s="1512"/>
      <c r="J723" s="1263"/>
      <c r="K723" s="1263"/>
      <c r="L723" s="1263"/>
      <c r="M723" s="1263"/>
      <c r="N723" s="1263"/>
      <c r="O723" s="1263"/>
      <c r="P723" s="1263"/>
      <c r="Q723" s="1263"/>
      <c r="R723" s="1263"/>
      <c r="S723" s="1263"/>
      <c r="T723" s="1263"/>
      <c r="U723" s="1263"/>
      <c r="V723" s="1263"/>
      <c r="W723" s="1263"/>
    </row>
    <row r="724">
      <c r="A724" s="1513"/>
      <c r="B724" s="1514"/>
      <c r="C724" s="1499"/>
      <c r="D724" s="1499"/>
      <c r="E724" s="1499"/>
      <c r="F724" s="1515"/>
      <c r="G724" s="1499"/>
      <c r="H724" s="1263"/>
      <c r="I724" s="1512"/>
      <c r="J724" s="1263"/>
      <c r="K724" s="1263"/>
      <c r="L724" s="1263"/>
      <c r="M724" s="1263"/>
      <c r="N724" s="1263"/>
      <c r="O724" s="1263"/>
      <c r="P724" s="1263"/>
      <c r="Q724" s="1263"/>
      <c r="R724" s="1263"/>
      <c r="S724" s="1263"/>
      <c r="T724" s="1263"/>
      <c r="U724" s="1263"/>
      <c r="V724" s="1263"/>
      <c r="W724" s="1263"/>
    </row>
    <row r="725">
      <c r="A725" s="1513"/>
      <c r="B725" s="1514"/>
      <c r="C725" s="1499"/>
      <c r="D725" s="1499"/>
      <c r="E725" s="1499"/>
      <c r="F725" s="1515"/>
      <c r="G725" s="1499"/>
      <c r="H725" s="1263"/>
      <c r="I725" s="1512"/>
      <c r="J725" s="1263"/>
      <c r="K725" s="1263"/>
      <c r="L725" s="1263"/>
      <c r="M725" s="1263"/>
      <c r="N725" s="1263"/>
      <c r="O725" s="1263"/>
      <c r="P725" s="1263"/>
      <c r="Q725" s="1263"/>
      <c r="R725" s="1263"/>
      <c r="S725" s="1263"/>
      <c r="T725" s="1263"/>
      <c r="U725" s="1263"/>
      <c r="V725" s="1263"/>
      <c r="W725" s="1263"/>
    </row>
    <row r="726">
      <c r="A726" s="1513"/>
      <c r="B726" s="1514"/>
      <c r="C726" s="1499"/>
      <c r="D726" s="1499"/>
      <c r="E726" s="1499"/>
      <c r="F726" s="1515"/>
      <c r="G726" s="1499"/>
      <c r="H726" s="1263"/>
      <c r="I726" s="1512"/>
      <c r="J726" s="1263"/>
      <c r="K726" s="1263"/>
      <c r="L726" s="1263"/>
      <c r="M726" s="1263"/>
      <c r="N726" s="1263"/>
      <c r="O726" s="1263"/>
      <c r="P726" s="1263"/>
      <c r="Q726" s="1263"/>
      <c r="R726" s="1263"/>
      <c r="S726" s="1263"/>
      <c r="T726" s="1263"/>
      <c r="U726" s="1263"/>
      <c r="V726" s="1263"/>
      <c r="W726" s="1263"/>
    </row>
    <row r="727">
      <c r="A727" s="1513"/>
      <c r="B727" s="1514"/>
      <c r="C727" s="1499"/>
      <c r="D727" s="1499"/>
      <c r="E727" s="1499"/>
      <c r="F727" s="1515"/>
      <c r="G727" s="1499"/>
      <c r="H727" s="1263"/>
      <c r="I727" s="1512"/>
      <c r="J727" s="1263"/>
      <c r="K727" s="1263"/>
      <c r="L727" s="1263"/>
      <c r="M727" s="1263"/>
      <c r="N727" s="1263"/>
      <c r="O727" s="1263"/>
      <c r="P727" s="1263"/>
      <c r="Q727" s="1263"/>
      <c r="R727" s="1263"/>
      <c r="S727" s="1263"/>
      <c r="T727" s="1263"/>
      <c r="U727" s="1263"/>
      <c r="V727" s="1263"/>
      <c r="W727" s="1263"/>
    </row>
    <row r="728">
      <c r="A728" s="1513"/>
      <c r="B728" s="1514"/>
      <c r="C728" s="1499"/>
      <c r="D728" s="1499"/>
      <c r="E728" s="1499"/>
      <c r="F728" s="1515"/>
      <c r="G728" s="1499"/>
      <c r="H728" s="1263"/>
      <c r="I728" s="1512"/>
      <c r="J728" s="1263"/>
      <c r="K728" s="1263"/>
      <c r="L728" s="1263"/>
      <c r="M728" s="1263"/>
      <c r="N728" s="1263"/>
      <c r="O728" s="1263"/>
      <c r="P728" s="1263"/>
      <c r="Q728" s="1263"/>
      <c r="R728" s="1263"/>
      <c r="S728" s="1263"/>
      <c r="T728" s="1263"/>
      <c r="U728" s="1263"/>
      <c r="V728" s="1263"/>
      <c r="W728" s="1263"/>
    </row>
    <row r="729">
      <c r="A729" s="1513"/>
      <c r="B729" s="1514"/>
      <c r="C729" s="1499"/>
      <c r="D729" s="1499"/>
      <c r="E729" s="1499"/>
      <c r="F729" s="1515"/>
      <c r="G729" s="1499"/>
      <c r="H729" s="1263"/>
      <c r="I729" s="1512"/>
      <c r="J729" s="1263"/>
      <c r="K729" s="1263"/>
      <c r="L729" s="1263"/>
      <c r="M729" s="1263"/>
      <c r="N729" s="1263"/>
      <c r="O729" s="1263"/>
      <c r="P729" s="1263"/>
      <c r="Q729" s="1263"/>
      <c r="R729" s="1263"/>
      <c r="S729" s="1263"/>
      <c r="T729" s="1263"/>
      <c r="U729" s="1263"/>
      <c r="V729" s="1263"/>
      <c r="W729" s="1263"/>
    </row>
    <row r="730">
      <c r="A730" s="1513"/>
      <c r="B730" s="1514"/>
      <c r="C730" s="1499"/>
      <c r="D730" s="1499"/>
      <c r="E730" s="1499"/>
      <c r="F730" s="1515"/>
      <c r="G730" s="1499"/>
      <c r="H730" s="1263"/>
      <c r="I730" s="1512"/>
      <c r="J730" s="1263"/>
      <c r="K730" s="1263"/>
      <c r="L730" s="1263"/>
      <c r="M730" s="1263"/>
      <c r="N730" s="1263"/>
      <c r="O730" s="1263"/>
      <c r="P730" s="1263"/>
      <c r="Q730" s="1263"/>
      <c r="R730" s="1263"/>
      <c r="S730" s="1263"/>
      <c r="T730" s="1263"/>
      <c r="U730" s="1263"/>
      <c r="V730" s="1263"/>
      <c r="W730" s="1263"/>
    </row>
    <row r="731">
      <c r="A731" s="1513"/>
      <c r="B731" s="1514"/>
      <c r="C731" s="1499"/>
      <c r="D731" s="1499"/>
      <c r="E731" s="1499"/>
      <c r="F731" s="1515"/>
      <c r="G731" s="1499"/>
      <c r="H731" s="1263"/>
      <c r="I731" s="1512"/>
      <c r="J731" s="1263"/>
      <c r="K731" s="1263"/>
      <c r="L731" s="1263"/>
      <c r="M731" s="1263"/>
      <c r="N731" s="1263"/>
      <c r="O731" s="1263"/>
      <c r="P731" s="1263"/>
      <c r="Q731" s="1263"/>
      <c r="R731" s="1263"/>
      <c r="S731" s="1263"/>
      <c r="T731" s="1263"/>
      <c r="U731" s="1263"/>
      <c r="V731" s="1263"/>
      <c r="W731" s="1263"/>
    </row>
    <row r="732">
      <c r="A732" s="1513"/>
      <c r="B732" s="1514"/>
      <c r="C732" s="1499"/>
      <c r="D732" s="1499"/>
      <c r="E732" s="1499"/>
      <c r="F732" s="1515"/>
      <c r="G732" s="1499"/>
      <c r="H732" s="1263"/>
      <c r="I732" s="1512"/>
      <c r="J732" s="1263"/>
      <c r="K732" s="1263"/>
      <c r="L732" s="1263"/>
      <c r="M732" s="1263"/>
      <c r="N732" s="1263"/>
      <c r="O732" s="1263"/>
      <c r="P732" s="1263"/>
      <c r="Q732" s="1263"/>
      <c r="R732" s="1263"/>
      <c r="S732" s="1263"/>
      <c r="T732" s="1263"/>
      <c r="U732" s="1263"/>
      <c r="V732" s="1263"/>
      <c r="W732" s="1263"/>
    </row>
    <row r="733">
      <c r="A733" s="1513"/>
      <c r="B733" s="1514"/>
      <c r="C733" s="1499"/>
      <c r="D733" s="1499"/>
      <c r="E733" s="1499"/>
      <c r="F733" s="1515"/>
      <c r="G733" s="1499"/>
      <c r="H733" s="1263"/>
      <c r="I733" s="1512"/>
      <c r="J733" s="1263"/>
      <c r="K733" s="1263"/>
      <c r="L733" s="1263"/>
      <c r="M733" s="1263"/>
      <c r="N733" s="1263"/>
      <c r="O733" s="1263"/>
      <c r="P733" s="1263"/>
      <c r="Q733" s="1263"/>
      <c r="R733" s="1263"/>
      <c r="S733" s="1263"/>
      <c r="T733" s="1263"/>
      <c r="U733" s="1263"/>
      <c r="V733" s="1263"/>
      <c r="W733" s="1263"/>
    </row>
    <row r="734">
      <c r="A734" s="1513"/>
      <c r="B734" s="1514"/>
      <c r="C734" s="1499"/>
      <c r="D734" s="1499"/>
      <c r="E734" s="1499"/>
      <c r="F734" s="1515"/>
      <c r="G734" s="1499"/>
      <c r="H734" s="1263"/>
      <c r="I734" s="1512"/>
      <c r="J734" s="1263"/>
      <c r="K734" s="1263"/>
      <c r="L734" s="1263"/>
      <c r="M734" s="1263"/>
      <c r="N734" s="1263"/>
      <c r="O734" s="1263"/>
      <c r="P734" s="1263"/>
      <c r="Q734" s="1263"/>
      <c r="R734" s="1263"/>
      <c r="S734" s="1263"/>
      <c r="T734" s="1263"/>
      <c r="U734" s="1263"/>
      <c r="V734" s="1263"/>
      <c r="W734" s="1263"/>
    </row>
    <row r="735">
      <c r="A735" s="1513"/>
      <c r="B735" s="1514"/>
      <c r="C735" s="1499"/>
      <c r="D735" s="1499"/>
      <c r="E735" s="1499"/>
      <c r="F735" s="1515"/>
      <c r="G735" s="1499"/>
      <c r="H735" s="1263"/>
      <c r="I735" s="1512"/>
      <c r="J735" s="1263"/>
      <c r="K735" s="1263"/>
      <c r="L735" s="1263"/>
      <c r="M735" s="1263"/>
      <c r="N735" s="1263"/>
      <c r="O735" s="1263"/>
      <c r="P735" s="1263"/>
      <c r="Q735" s="1263"/>
      <c r="R735" s="1263"/>
      <c r="S735" s="1263"/>
      <c r="T735" s="1263"/>
      <c r="U735" s="1263"/>
      <c r="V735" s="1263"/>
      <c r="W735" s="1263"/>
    </row>
    <row r="736">
      <c r="A736" s="1513"/>
      <c r="B736" s="1514"/>
      <c r="C736" s="1499"/>
      <c r="D736" s="1499"/>
      <c r="E736" s="1499"/>
      <c r="F736" s="1515"/>
      <c r="G736" s="1499"/>
      <c r="H736" s="1263"/>
      <c r="I736" s="1512"/>
      <c r="J736" s="1263"/>
      <c r="K736" s="1263"/>
      <c r="L736" s="1263"/>
      <c r="M736" s="1263"/>
      <c r="N736" s="1263"/>
      <c r="O736" s="1263"/>
      <c r="P736" s="1263"/>
      <c r="Q736" s="1263"/>
      <c r="R736" s="1263"/>
      <c r="S736" s="1263"/>
      <c r="T736" s="1263"/>
      <c r="U736" s="1263"/>
      <c r="V736" s="1263"/>
      <c r="W736" s="1263"/>
    </row>
    <row r="737">
      <c r="A737" s="1513"/>
      <c r="B737" s="1514"/>
      <c r="C737" s="1499"/>
      <c r="D737" s="1499"/>
      <c r="E737" s="1499"/>
      <c r="F737" s="1515"/>
      <c r="G737" s="1499"/>
      <c r="H737" s="1263"/>
      <c r="I737" s="1512"/>
      <c r="J737" s="1263"/>
      <c r="K737" s="1263"/>
      <c r="L737" s="1263"/>
      <c r="M737" s="1263"/>
      <c r="N737" s="1263"/>
      <c r="O737" s="1263"/>
      <c r="P737" s="1263"/>
      <c r="Q737" s="1263"/>
      <c r="R737" s="1263"/>
      <c r="S737" s="1263"/>
      <c r="T737" s="1263"/>
      <c r="U737" s="1263"/>
      <c r="V737" s="1263"/>
      <c r="W737" s="1263"/>
    </row>
    <row r="738">
      <c r="A738" s="1513"/>
      <c r="B738" s="1514"/>
      <c r="C738" s="1499"/>
      <c r="D738" s="1499"/>
      <c r="E738" s="1499"/>
      <c r="F738" s="1515"/>
      <c r="G738" s="1499"/>
      <c r="H738" s="1263"/>
      <c r="I738" s="1512"/>
      <c r="J738" s="1263"/>
      <c r="K738" s="1263"/>
      <c r="L738" s="1263"/>
      <c r="M738" s="1263"/>
      <c r="N738" s="1263"/>
      <c r="O738" s="1263"/>
      <c r="P738" s="1263"/>
      <c r="Q738" s="1263"/>
      <c r="R738" s="1263"/>
      <c r="S738" s="1263"/>
      <c r="T738" s="1263"/>
      <c r="U738" s="1263"/>
      <c r="V738" s="1263"/>
      <c r="W738" s="1263"/>
    </row>
    <row r="739">
      <c r="A739" s="1513"/>
      <c r="B739" s="1514"/>
      <c r="C739" s="1499"/>
      <c r="D739" s="1499"/>
      <c r="E739" s="1499"/>
      <c r="F739" s="1515"/>
      <c r="G739" s="1499"/>
      <c r="H739" s="1263"/>
      <c r="I739" s="1512"/>
      <c r="J739" s="1263"/>
      <c r="K739" s="1263"/>
      <c r="L739" s="1263"/>
      <c r="M739" s="1263"/>
      <c r="N739" s="1263"/>
      <c r="O739" s="1263"/>
      <c r="P739" s="1263"/>
      <c r="Q739" s="1263"/>
      <c r="R739" s="1263"/>
      <c r="S739" s="1263"/>
      <c r="T739" s="1263"/>
      <c r="U739" s="1263"/>
      <c r="V739" s="1263"/>
      <c r="W739" s="1263"/>
    </row>
    <row r="740">
      <c r="A740" s="1513"/>
      <c r="B740" s="1514"/>
      <c r="C740" s="1499"/>
      <c r="D740" s="1499"/>
      <c r="E740" s="1499"/>
      <c r="F740" s="1515"/>
      <c r="G740" s="1499"/>
      <c r="H740" s="1263"/>
      <c r="I740" s="1512"/>
      <c r="J740" s="1263"/>
      <c r="K740" s="1263"/>
      <c r="L740" s="1263"/>
      <c r="M740" s="1263"/>
      <c r="N740" s="1263"/>
      <c r="O740" s="1263"/>
      <c r="P740" s="1263"/>
      <c r="Q740" s="1263"/>
      <c r="R740" s="1263"/>
      <c r="S740" s="1263"/>
      <c r="T740" s="1263"/>
      <c r="U740" s="1263"/>
      <c r="V740" s="1263"/>
      <c r="W740" s="1263"/>
    </row>
    <row r="741">
      <c r="A741" s="1513"/>
      <c r="B741" s="1514"/>
      <c r="C741" s="1499"/>
      <c r="D741" s="1499"/>
      <c r="E741" s="1499"/>
      <c r="F741" s="1515"/>
      <c r="G741" s="1499"/>
      <c r="H741" s="1263"/>
      <c r="I741" s="1512"/>
      <c r="J741" s="1263"/>
      <c r="K741" s="1263"/>
      <c r="L741" s="1263"/>
      <c r="M741" s="1263"/>
      <c r="N741" s="1263"/>
      <c r="O741" s="1263"/>
      <c r="P741" s="1263"/>
      <c r="Q741" s="1263"/>
      <c r="R741" s="1263"/>
      <c r="S741" s="1263"/>
      <c r="T741" s="1263"/>
      <c r="U741" s="1263"/>
      <c r="V741" s="1263"/>
      <c r="W741" s="1263"/>
    </row>
    <row r="742">
      <c r="A742" s="1513"/>
      <c r="B742" s="1514"/>
      <c r="C742" s="1499"/>
      <c r="D742" s="1499"/>
      <c r="E742" s="1499"/>
      <c r="F742" s="1515"/>
      <c r="G742" s="1499"/>
      <c r="H742" s="1263"/>
      <c r="I742" s="1512"/>
      <c r="J742" s="1263"/>
      <c r="K742" s="1263"/>
      <c r="L742" s="1263"/>
      <c r="M742" s="1263"/>
      <c r="N742" s="1263"/>
      <c r="O742" s="1263"/>
      <c r="P742" s="1263"/>
      <c r="Q742" s="1263"/>
      <c r="R742" s="1263"/>
      <c r="S742" s="1263"/>
      <c r="T742" s="1263"/>
      <c r="U742" s="1263"/>
      <c r="V742" s="1263"/>
      <c r="W742" s="1263"/>
    </row>
    <row r="743">
      <c r="A743" s="1513"/>
      <c r="B743" s="1514"/>
      <c r="C743" s="1499"/>
      <c r="D743" s="1499"/>
      <c r="E743" s="1499"/>
      <c r="F743" s="1515"/>
      <c r="G743" s="1499"/>
      <c r="H743" s="1263"/>
      <c r="I743" s="1512"/>
      <c r="J743" s="1263"/>
      <c r="K743" s="1263"/>
      <c r="L743" s="1263"/>
      <c r="M743" s="1263"/>
      <c r="N743" s="1263"/>
      <c r="O743" s="1263"/>
      <c r="P743" s="1263"/>
      <c r="Q743" s="1263"/>
      <c r="R743" s="1263"/>
      <c r="S743" s="1263"/>
      <c r="T743" s="1263"/>
      <c r="U743" s="1263"/>
      <c r="V743" s="1263"/>
      <c r="W743" s="1263"/>
    </row>
    <row r="744">
      <c r="A744" s="1513"/>
      <c r="B744" s="1514"/>
      <c r="C744" s="1499"/>
      <c r="D744" s="1499"/>
      <c r="E744" s="1499"/>
      <c r="F744" s="1515"/>
      <c r="G744" s="1499"/>
      <c r="H744" s="1263"/>
      <c r="I744" s="1512"/>
      <c r="J744" s="1263"/>
      <c r="K744" s="1263"/>
      <c r="L744" s="1263"/>
      <c r="M744" s="1263"/>
      <c r="N744" s="1263"/>
      <c r="O744" s="1263"/>
      <c r="P744" s="1263"/>
      <c r="Q744" s="1263"/>
      <c r="R744" s="1263"/>
      <c r="S744" s="1263"/>
      <c r="T744" s="1263"/>
      <c r="U744" s="1263"/>
      <c r="V744" s="1263"/>
      <c r="W744" s="1263"/>
    </row>
    <row r="745">
      <c r="A745" s="1513"/>
      <c r="B745" s="1514"/>
      <c r="C745" s="1499"/>
      <c r="D745" s="1499"/>
      <c r="E745" s="1499"/>
      <c r="F745" s="1515"/>
      <c r="G745" s="1499"/>
      <c r="H745" s="1263"/>
      <c r="I745" s="1512"/>
      <c r="J745" s="1263"/>
      <c r="K745" s="1263"/>
      <c r="L745" s="1263"/>
      <c r="M745" s="1263"/>
      <c r="N745" s="1263"/>
      <c r="O745" s="1263"/>
      <c r="P745" s="1263"/>
      <c r="Q745" s="1263"/>
      <c r="R745" s="1263"/>
      <c r="S745" s="1263"/>
      <c r="T745" s="1263"/>
      <c r="U745" s="1263"/>
      <c r="V745" s="1263"/>
      <c r="W745" s="1263"/>
    </row>
    <row r="746">
      <c r="A746" s="1513"/>
      <c r="B746" s="1514"/>
      <c r="C746" s="1499"/>
      <c r="D746" s="1499"/>
      <c r="E746" s="1499"/>
      <c r="F746" s="1515"/>
      <c r="G746" s="1499"/>
      <c r="H746" s="1263"/>
      <c r="I746" s="1512"/>
      <c r="J746" s="1263"/>
      <c r="K746" s="1263"/>
      <c r="L746" s="1263"/>
      <c r="M746" s="1263"/>
      <c r="N746" s="1263"/>
      <c r="O746" s="1263"/>
      <c r="P746" s="1263"/>
      <c r="Q746" s="1263"/>
      <c r="R746" s="1263"/>
      <c r="S746" s="1263"/>
      <c r="T746" s="1263"/>
      <c r="U746" s="1263"/>
      <c r="V746" s="1263"/>
      <c r="W746" s="1263"/>
    </row>
    <row r="747">
      <c r="A747" s="1513"/>
      <c r="B747" s="1514"/>
      <c r="C747" s="1499"/>
      <c r="D747" s="1499"/>
      <c r="E747" s="1499"/>
      <c r="F747" s="1515"/>
      <c r="G747" s="1499"/>
      <c r="H747" s="1263"/>
      <c r="I747" s="1512"/>
      <c r="J747" s="1263"/>
      <c r="K747" s="1263"/>
      <c r="L747" s="1263"/>
      <c r="M747" s="1263"/>
      <c r="N747" s="1263"/>
      <c r="O747" s="1263"/>
      <c r="P747" s="1263"/>
      <c r="Q747" s="1263"/>
      <c r="R747" s="1263"/>
      <c r="S747" s="1263"/>
      <c r="T747" s="1263"/>
      <c r="U747" s="1263"/>
      <c r="V747" s="1263"/>
      <c r="W747" s="1263"/>
    </row>
    <row r="748">
      <c r="A748" s="1513"/>
      <c r="B748" s="1514"/>
      <c r="C748" s="1499"/>
      <c r="D748" s="1499"/>
      <c r="E748" s="1499"/>
      <c r="F748" s="1515"/>
      <c r="G748" s="1499"/>
      <c r="H748" s="1263"/>
      <c r="I748" s="1512"/>
      <c r="J748" s="1263"/>
      <c r="K748" s="1263"/>
      <c r="L748" s="1263"/>
      <c r="M748" s="1263"/>
      <c r="N748" s="1263"/>
      <c r="O748" s="1263"/>
      <c r="P748" s="1263"/>
      <c r="Q748" s="1263"/>
      <c r="R748" s="1263"/>
      <c r="S748" s="1263"/>
      <c r="T748" s="1263"/>
      <c r="U748" s="1263"/>
      <c r="V748" s="1263"/>
      <c r="W748" s="1263"/>
    </row>
    <row r="749">
      <c r="A749" s="1513"/>
      <c r="B749" s="1514"/>
      <c r="C749" s="1499"/>
      <c r="D749" s="1499"/>
      <c r="E749" s="1499"/>
      <c r="F749" s="1515"/>
      <c r="G749" s="1499"/>
      <c r="H749" s="1263"/>
      <c r="I749" s="1512"/>
      <c r="J749" s="1263"/>
      <c r="K749" s="1263"/>
      <c r="L749" s="1263"/>
      <c r="M749" s="1263"/>
      <c r="N749" s="1263"/>
      <c r="O749" s="1263"/>
      <c r="P749" s="1263"/>
      <c r="Q749" s="1263"/>
      <c r="R749" s="1263"/>
      <c r="S749" s="1263"/>
      <c r="T749" s="1263"/>
      <c r="U749" s="1263"/>
      <c r="V749" s="1263"/>
      <c r="W749" s="1263"/>
    </row>
    <row r="750">
      <c r="A750" s="1513"/>
      <c r="B750" s="1514"/>
      <c r="C750" s="1499"/>
      <c r="D750" s="1499"/>
      <c r="E750" s="1499"/>
      <c r="F750" s="1515"/>
      <c r="G750" s="1499"/>
      <c r="H750" s="1263"/>
      <c r="I750" s="1512"/>
      <c r="J750" s="1263"/>
      <c r="K750" s="1263"/>
      <c r="L750" s="1263"/>
      <c r="M750" s="1263"/>
      <c r="N750" s="1263"/>
      <c r="O750" s="1263"/>
      <c r="P750" s="1263"/>
      <c r="Q750" s="1263"/>
      <c r="R750" s="1263"/>
      <c r="S750" s="1263"/>
      <c r="T750" s="1263"/>
      <c r="U750" s="1263"/>
      <c r="V750" s="1263"/>
      <c r="W750" s="1263"/>
    </row>
    <row r="751">
      <c r="A751" s="1513"/>
      <c r="B751" s="1514"/>
      <c r="C751" s="1499"/>
      <c r="D751" s="1499"/>
      <c r="E751" s="1499"/>
      <c r="F751" s="1515"/>
      <c r="G751" s="1499"/>
      <c r="H751" s="1263"/>
      <c r="I751" s="1512"/>
      <c r="J751" s="1263"/>
      <c r="K751" s="1263"/>
      <c r="L751" s="1263"/>
      <c r="M751" s="1263"/>
      <c r="N751" s="1263"/>
      <c r="O751" s="1263"/>
      <c r="P751" s="1263"/>
      <c r="Q751" s="1263"/>
      <c r="R751" s="1263"/>
      <c r="S751" s="1263"/>
      <c r="T751" s="1263"/>
      <c r="U751" s="1263"/>
      <c r="V751" s="1263"/>
      <c r="W751" s="1263"/>
    </row>
    <row r="752">
      <c r="A752" s="1513"/>
      <c r="B752" s="1514"/>
      <c r="C752" s="1499"/>
      <c r="D752" s="1499"/>
      <c r="E752" s="1499"/>
      <c r="F752" s="1515"/>
      <c r="G752" s="1499"/>
      <c r="H752" s="1263"/>
      <c r="I752" s="1512"/>
      <c r="J752" s="1263"/>
      <c r="K752" s="1263"/>
      <c r="L752" s="1263"/>
      <c r="M752" s="1263"/>
      <c r="N752" s="1263"/>
      <c r="O752" s="1263"/>
      <c r="P752" s="1263"/>
      <c r="Q752" s="1263"/>
      <c r="R752" s="1263"/>
      <c r="S752" s="1263"/>
      <c r="T752" s="1263"/>
      <c r="U752" s="1263"/>
      <c r="V752" s="1263"/>
      <c r="W752" s="1263"/>
    </row>
    <row r="753">
      <c r="A753" s="1513"/>
      <c r="B753" s="1514"/>
      <c r="C753" s="1499"/>
      <c r="D753" s="1499"/>
      <c r="E753" s="1499"/>
      <c r="F753" s="1515"/>
      <c r="G753" s="1499"/>
      <c r="H753" s="1263"/>
      <c r="I753" s="1512"/>
      <c r="J753" s="1263"/>
      <c r="K753" s="1263"/>
      <c r="L753" s="1263"/>
      <c r="M753" s="1263"/>
      <c r="N753" s="1263"/>
      <c r="O753" s="1263"/>
      <c r="P753" s="1263"/>
      <c r="Q753" s="1263"/>
      <c r="R753" s="1263"/>
      <c r="S753" s="1263"/>
      <c r="T753" s="1263"/>
      <c r="U753" s="1263"/>
      <c r="V753" s="1263"/>
      <c r="W753" s="1263"/>
    </row>
    <row r="754">
      <c r="A754" s="1513"/>
      <c r="B754" s="1514"/>
      <c r="C754" s="1499"/>
      <c r="D754" s="1499"/>
      <c r="E754" s="1499"/>
      <c r="F754" s="1515"/>
      <c r="G754" s="1499"/>
      <c r="H754" s="1263"/>
      <c r="I754" s="1512"/>
      <c r="J754" s="1263"/>
      <c r="K754" s="1263"/>
      <c r="L754" s="1263"/>
      <c r="M754" s="1263"/>
      <c r="N754" s="1263"/>
      <c r="O754" s="1263"/>
      <c r="P754" s="1263"/>
      <c r="Q754" s="1263"/>
      <c r="R754" s="1263"/>
      <c r="S754" s="1263"/>
      <c r="T754" s="1263"/>
      <c r="U754" s="1263"/>
      <c r="V754" s="1263"/>
      <c r="W754" s="1263"/>
    </row>
    <row r="755">
      <c r="A755" s="1513"/>
      <c r="B755" s="1514"/>
      <c r="C755" s="1499"/>
      <c r="D755" s="1499"/>
      <c r="E755" s="1499"/>
      <c r="F755" s="1515"/>
      <c r="G755" s="1499"/>
      <c r="H755" s="1263"/>
      <c r="I755" s="1512"/>
      <c r="J755" s="1263"/>
      <c r="K755" s="1263"/>
      <c r="L755" s="1263"/>
      <c r="M755" s="1263"/>
      <c r="N755" s="1263"/>
      <c r="O755" s="1263"/>
      <c r="P755" s="1263"/>
      <c r="Q755" s="1263"/>
      <c r="R755" s="1263"/>
      <c r="S755" s="1263"/>
      <c r="T755" s="1263"/>
      <c r="U755" s="1263"/>
      <c r="V755" s="1263"/>
      <c r="W755" s="1263"/>
    </row>
    <row r="756">
      <c r="A756" s="1513"/>
      <c r="B756" s="1514"/>
      <c r="C756" s="1499"/>
      <c r="D756" s="1499"/>
      <c r="E756" s="1499"/>
      <c r="F756" s="1515"/>
      <c r="G756" s="1499"/>
      <c r="H756" s="1263"/>
      <c r="I756" s="1512"/>
      <c r="J756" s="1263"/>
      <c r="K756" s="1263"/>
      <c r="L756" s="1263"/>
      <c r="M756" s="1263"/>
      <c r="N756" s="1263"/>
      <c r="O756" s="1263"/>
      <c r="P756" s="1263"/>
      <c r="Q756" s="1263"/>
      <c r="R756" s="1263"/>
      <c r="S756" s="1263"/>
      <c r="T756" s="1263"/>
      <c r="U756" s="1263"/>
      <c r="V756" s="1263"/>
      <c r="W756" s="1263"/>
    </row>
    <row r="757">
      <c r="A757" s="1513"/>
      <c r="B757" s="1514"/>
      <c r="C757" s="1499"/>
      <c r="D757" s="1499"/>
      <c r="E757" s="1499"/>
      <c r="F757" s="1515"/>
      <c r="G757" s="1499"/>
      <c r="H757" s="1263"/>
      <c r="I757" s="1512"/>
      <c r="J757" s="1263"/>
      <c r="K757" s="1263"/>
      <c r="L757" s="1263"/>
      <c r="M757" s="1263"/>
      <c r="N757" s="1263"/>
      <c r="O757" s="1263"/>
      <c r="P757" s="1263"/>
      <c r="Q757" s="1263"/>
      <c r="R757" s="1263"/>
      <c r="S757" s="1263"/>
      <c r="T757" s="1263"/>
      <c r="U757" s="1263"/>
      <c r="V757" s="1263"/>
      <c r="W757" s="1263"/>
    </row>
    <row r="758">
      <c r="A758" s="1513"/>
      <c r="B758" s="1514"/>
      <c r="C758" s="1499"/>
      <c r="D758" s="1499"/>
      <c r="E758" s="1499"/>
      <c r="F758" s="1515"/>
      <c r="G758" s="1499"/>
      <c r="H758" s="1263"/>
      <c r="I758" s="1512"/>
      <c r="J758" s="1263"/>
      <c r="K758" s="1263"/>
      <c r="L758" s="1263"/>
      <c r="M758" s="1263"/>
      <c r="N758" s="1263"/>
      <c r="O758" s="1263"/>
      <c r="P758" s="1263"/>
      <c r="Q758" s="1263"/>
      <c r="R758" s="1263"/>
      <c r="S758" s="1263"/>
      <c r="T758" s="1263"/>
      <c r="U758" s="1263"/>
      <c r="V758" s="1263"/>
      <c r="W758" s="1263"/>
    </row>
    <row r="759">
      <c r="A759" s="1513"/>
      <c r="B759" s="1514"/>
      <c r="C759" s="1499"/>
      <c r="D759" s="1499"/>
      <c r="E759" s="1499"/>
      <c r="F759" s="1515"/>
      <c r="G759" s="1499"/>
      <c r="H759" s="1263"/>
      <c r="I759" s="1512"/>
      <c r="J759" s="1263"/>
      <c r="K759" s="1263"/>
      <c r="L759" s="1263"/>
      <c r="M759" s="1263"/>
      <c r="N759" s="1263"/>
      <c r="O759" s="1263"/>
      <c r="P759" s="1263"/>
      <c r="Q759" s="1263"/>
      <c r="R759" s="1263"/>
      <c r="S759" s="1263"/>
      <c r="T759" s="1263"/>
      <c r="U759" s="1263"/>
      <c r="V759" s="1263"/>
      <c r="W759" s="1263"/>
    </row>
    <row r="760">
      <c r="A760" s="1513"/>
      <c r="B760" s="1514"/>
      <c r="C760" s="1499"/>
      <c r="D760" s="1499"/>
      <c r="E760" s="1499"/>
      <c r="F760" s="1515"/>
      <c r="G760" s="1499"/>
      <c r="H760" s="1263"/>
      <c r="I760" s="1512"/>
      <c r="J760" s="1263"/>
      <c r="K760" s="1263"/>
      <c r="L760" s="1263"/>
      <c r="M760" s="1263"/>
      <c r="N760" s="1263"/>
      <c r="O760" s="1263"/>
      <c r="P760" s="1263"/>
      <c r="Q760" s="1263"/>
      <c r="R760" s="1263"/>
      <c r="S760" s="1263"/>
      <c r="T760" s="1263"/>
      <c r="U760" s="1263"/>
      <c r="V760" s="1263"/>
      <c r="W760" s="1263"/>
    </row>
    <row r="761">
      <c r="A761" s="1513"/>
      <c r="B761" s="1514"/>
      <c r="C761" s="1499"/>
      <c r="D761" s="1499"/>
      <c r="E761" s="1499"/>
      <c r="F761" s="1515"/>
      <c r="G761" s="1499"/>
      <c r="H761" s="1263"/>
      <c r="I761" s="1512"/>
      <c r="J761" s="1263"/>
      <c r="K761" s="1263"/>
      <c r="L761" s="1263"/>
      <c r="M761" s="1263"/>
      <c r="N761" s="1263"/>
      <c r="O761" s="1263"/>
      <c r="P761" s="1263"/>
      <c r="Q761" s="1263"/>
      <c r="R761" s="1263"/>
      <c r="S761" s="1263"/>
      <c r="T761" s="1263"/>
      <c r="U761" s="1263"/>
      <c r="V761" s="1263"/>
      <c r="W761" s="1263"/>
    </row>
    <row r="762">
      <c r="A762" s="1513"/>
      <c r="B762" s="1514"/>
      <c r="C762" s="1499"/>
      <c r="D762" s="1499"/>
      <c r="E762" s="1499"/>
      <c r="F762" s="1515"/>
      <c r="G762" s="1499"/>
      <c r="H762" s="1263"/>
      <c r="I762" s="1512"/>
      <c r="J762" s="1263"/>
      <c r="K762" s="1263"/>
      <c r="L762" s="1263"/>
      <c r="M762" s="1263"/>
      <c r="N762" s="1263"/>
      <c r="O762" s="1263"/>
      <c r="P762" s="1263"/>
      <c r="Q762" s="1263"/>
      <c r="R762" s="1263"/>
      <c r="S762" s="1263"/>
      <c r="T762" s="1263"/>
      <c r="U762" s="1263"/>
      <c r="V762" s="1263"/>
      <c r="W762" s="1263"/>
    </row>
    <row r="763">
      <c r="A763" s="1513"/>
      <c r="B763" s="1514"/>
      <c r="C763" s="1499"/>
      <c r="D763" s="1499"/>
      <c r="E763" s="1499"/>
      <c r="F763" s="1515"/>
      <c r="G763" s="1499"/>
      <c r="H763" s="1263"/>
      <c r="I763" s="1512"/>
      <c r="J763" s="1263"/>
      <c r="K763" s="1263"/>
      <c r="L763" s="1263"/>
      <c r="M763" s="1263"/>
      <c r="N763" s="1263"/>
      <c r="O763" s="1263"/>
      <c r="P763" s="1263"/>
      <c r="Q763" s="1263"/>
      <c r="R763" s="1263"/>
      <c r="S763" s="1263"/>
      <c r="T763" s="1263"/>
      <c r="U763" s="1263"/>
      <c r="V763" s="1263"/>
      <c r="W763" s="1263"/>
    </row>
    <row r="764">
      <c r="A764" s="1513"/>
      <c r="B764" s="1514"/>
      <c r="C764" s="1499"/>
      <c r="D764" s="1499"/>
      <c r="E764" s="1499"/>
      <c r="F764" s="1515"/>
      <c r="G764" s="1499"/>
      <c r="H764" s="1263"/>
      <c r="I764" s="1512"/>
      <c r="J764" s="1263"/>
      <c r="K764" s="1263"/>
      <c r="L764" s="1263"/>
      <c r="M764" s="1263"/>
      <c r="N764" s="1263"/>
      <c r="O764" s="1263"/>
      <c r="P764" s="1263"/>
      <c r="Q764" s="1263"/>
      <c r="R764" s="1263"/>
      <c r="S764" s="1263"/>
      <c r="T764" s="1263"/>
      <c r="U764" s="1263"/>
      <c r="V764" s="1263"/>
      <c r="W764" s="1263"/>
    </row>
    <row r="765">
      <c r="A765" s="1513"/>
      <c r="B765" s="1514"/>
      <c r="C765" s="1499"/>
      <c r="D765" s="1499"/>
      <c r="E765" s="1499"/>
      <c r="F765" s="1515"/>
      <c r="G765" s="1499"/>
      <c r="H765" s="1263"/>
      <c r="I765" s="1512"/>
      <c r="J765" s="1263"/>
      <c r="K765" s="1263"/>
      <c r="L765" s="1263"/>
      <c r="M765" s="1263"/>
      <c r="N765" s="1263"/>
      <c r="O765" s="1263"/>
      <c r="P765" s="1263"/>
      <c r="Q765" s="1263"/>
      <c r="R765" s="1263"/>
      <c r="S765" s="1263"/>
      <c r="T765" s="1263"/>
      <c r="U765" s="1263"/>
      <c r="V765" s="1263"/>
      <c r="W765" s="1263"/>
    </row>
    <row r="766">
      <c r="A766" s="1513"/>
      <c r="B766" s="1514"/>
      <c r="C766" s="1499"/>
      <c r="D766" s="1499"/>
      <c r="E766" s="1499"/>
      <c r="F766" s="1515"/>
      <c r="G766" s="1499"/>
      <c r="H766" s="1263"/>
      <c r="I766" s="1512"/>
      <c r="J766" s="1263"/>
      <c r="K766" s="1263"/>
      <c r="L766" s="1263"/>
      <c r="M766" s="1263"/>
      <c r="N766" s="1263"/>
      <c r="O766" s="1263"/>
      <c r="P766" s="1263"/>
      <c r="Q766" s="1263"/>
      <c r="R766" s="1263"/>
      <c r="S766" s="1263"/>
      <c r="T766" s="1263"/>
      <c r="U766" s="1263"/>
      <c r="V766" s="1263"/>
      <c r="W766" s="1263"/>
    </row>
    <row r="767">
      <c r="A767" s="1513"/>
      <c r="B767" s="1514"/>
      <c r="C767" s="1499"/>
      <c r="D767" s="1499"/>
      <c r="E767" s="1499"/>
      <c r="F767" s="1515"/>
      <c r="G767" s="1499"/>
      <c r="H767" s="1263"/>
      <c r="I767" s="1512"/>
      <c r="J767" s="1263"/>
      <c r="K767" s="1263"/>
      <c r="L767" s="1263"/>
      <c r="M767" s="1263"/>
      <c r="N767" s="1263"/>
      <c r="O767" s="1263"/>
      <c r="P767" s="1263"/>
      <c r="Q767" s="1263"/>
      <c r="R767" s="1263"/>
      <c r="S767" s="1263"/>
      <c r="T767" s="1263"/>
      <c r="U767" s="1263"/>
      <c r="V767" s="1263"/>
      <c r="W767" s="1263"/>
    </row>
    <row r="768">
      <c r="A768" s="1513"/>
      <c r="B768" s="1514"/>
      <c r="C768" s="1499"/>
      <c r="D768" s="1499"/>
      <c r="E768" s="1499"/>
      <c r="F768" s="1515"/>
      <c r="G768" s="1499"/>
      <c r="H768" s="1263"/>
      <c r="I768" s="1512"/>
      <c r="J768" s="1263"/>
      <c r="K768" s="1263"/>
      <c r="L768" s="1263"/>
      <c r="M768" s="1263"/>
      <c r="N768" s="1263"/>
      <c r="O768" s="1263"/>
      <c r="P768" s="1263"/>
      <c r="Q768" s="1263"/>
      <c r="R768" s="1263"/>
      <c r="S768" s="1263"/>
      <c r="T768" s="1263"/>
      <c r="U768" s="1263"/>
      <c r="V768" s="1263"/>
      <c r="W768" s="1263"/>
    </row>
    <row r="769">
      <c r="A769" s="1513"/>
      <c r="B769" s="1514"/>
      <c r="C769" s="1499"/>
      <c r="D769" s="1499"/>
      <c r="E769" s="1499"/>
      <c r="F769" s="1515"/>
      <c r="G769" s="1499"/>
      <c r="H769" s="1263"/>
      <c r="I769" s="1512"/>
      <c r="J769" s="1263"/>
      <c r="K769" s="1263"/>
      <c r="L769" s="1263"/>
      <c r="M769" s="1263"/>
      <c r="N769" s="1263"/>
      <c r="O769" s="1263"/>
      <c r="P769" s="1263"/>
      <c r="Q769" s="1263"/>
      <c r="R769" s="1263"/>
      <c r="S769" s="1263"/>
      <c r="T769" s="1263"/>
      <c r="U769" s="1263"/>
      <c r="V769" s="1263"/>
      <c r="W769" s="1263"/>
    </row>
    <row r="770">
      <c r="A770" s="1513"/>
      <c r="B770" s="1514"/>
      <c r="C770" s="1499"/>
      <c r="D770" s="1499"/>
      <c r="E770" s="1499"/>
      <c r="F770" s="1515"/>
      <c r="G770" s="1499"/>
      <c r="H770" s="1263"/>
      <c r="I770" s="1512"/>
      <c r="J770" s="1263"/>
      <c r="K770" s="1263"/>
      <c r="L770" s="1263"/>
      <c r="M770" s="1263"/>
      <c r="N770" s="1263"/>
      <c r="O770" s="1263"/>
      <c r="P770" s="1263"/>
      <c r="Q770" s="1263"/>
      <c r="R770" s="1263"/>
      <c r="S770" s="1263"/>
      <c r="T770" s="1263"/>
      <c r="U770" s="1263"/>
      <c r="V770" s="1263"/>
      <c r="W770" s="1263"/>
    </row>
    <row r="771">
      <c r="A771" s="1513"/>
      <c r="B771" s="1514"/>
      <c r="C771" s="1499"/>
      <c r="D771" s="1499"/>
      <c r="E771" s="1499"/>
      <c r="F771" s="1515"/>
      <c r="G771" s="1499"/>
      <c r="H771" s="1263"/>
      <c r="I771" s="1512"/>
      <c r="J771" s="1263"/>
      <c r="K771" s="1263"/>
      <c r="L771" s="1263"/>
      <c r="M771" s="1263"/>
      <c r="N771" s="1263"/>
      <c r="O771" s="1263"/>
      <c r="P771" s="1263"/>
      <c r="Q771" s="1263"/>
      <c r="R771" s="1263"/>
      <c r="S771" s="1263"/>
      <c r="T771" s="1263"/>
      <c r="U771" s="1263"/>
      <c r="V771" s="1263"/>
      <c r="W771" s="1263"/>
    </row>
    <row r="772">
      <c r="A772" s="1513"/>
      <c r="B772" s="1514"/>
      <c r="C772" s="1499"/>
      <c r="D772" s="1499"/>
      <c r="E772" s="1499"/>
      <c r="F772" s="1515"/>
      <c r="G772" s="1499"/>
      <c r="H772" s="1263"/>
      <c r="I772" s="1512"/>
      <c r="J772" s="1263"/>
      <c r="K772" s="1263"/>
      <c r="L772" s="1263"/>
      <c r="M772" s="1263"/>
      <c r="N772" s="1263"/>
      <c r="O772" s="1263"/>
      <c r="P772" s="1263"/>
      <c r="Q772" s="1263"/>
      <c r="R772" s="1263"/>
      <c r="S772" s="1263"/>
      <c r="T772" s="1263"/>
      <c r="U772" s="1263"/>
      <c r="V772" s="1263"/>
      <c r="W772" s="1263"/>
    </row>
    <row r="773">
      <c r="A773" s="1513"/>
      <c r="B773" s="1514"/>
      <c r="C773" s="1499"/>
      <c r="D773" s="1499"/>
      <c r="E773" s="1499"/>
      <c r="F773" s="1515"/>
      <c r="G773" s="1499"/>
      <c r="H773" s="1263"/>
      <c r="I773" s="1512"/>
      <c r="J773" s="1263"/>
      <c r="K773" s="1263"/>
      <c r="L773" s="1263"/>
      <c r="M773" s="1263"/>
      <c r="N773" s="1263"/>
      <c r="O773" s="1263"/>
      <c r="P773" s="1263"/>
      <c r="Q773" s="1263"/>
      <c r="R773" s="1263"/>
      <c r="S773" s="1263"/>
      <c r="T773" s="1263"/>
      <c r="U773" s="1263"/>
      <c r="V773" s="1263"/>
      <c r="W773" s="1263"/>
    </row>
    <row r="774">
      <c r="A774" s="1513"/>
      <c r="B774" s="1514"/>
      <c r="C774" s="1499"/>
      <c r="D774" s="1499"/>
      <c r="E774" s="1499"/>
      <c r="F774" s="1515"/>
      <c r="G774" s="1499"/>
      <c r="H774" s="1263"/>
      <c r="I774" s="1512"/>
      <c r="J774" s="1263"/>
      <c r="K774" s="1263"/>
      <c r="L774" s="1263"/>
      <c r="M774" s="1263"/>
      <c r="N774" s="1263"/>
      <c r="O774" s="1263"/>
      <c r="P774" s="1263"/>
      <c r="Q774" s="1263"/>
      <c r="R774" s="1263"/>
      <c r="S774" s="1263"/>
      <c r="T774" s="1263"/>
      <c r="U774" s="1263"/>
      <c r="V774" s="1263"/>
      <c r="W774" s="1263"/>
    </row>
    <row r="775">
      <c r="A775" s="1513"/>
      <c r="B775" s="1514"/>
      <c r="C775" s="1499"/>
      <c r="D775" s="1499"/>
      <c r="E775" s="1499"/>
      <c r="F775" s="1515"/>
      <c r="G775" s="1499"/>
      <c r="H775" s="1263"/>
      <c r="I775" s="1512"/>
      <c r="J775" s="1263"/>
      <c r="K775" s="1263"/>
      <c r="L775" s="1263"/>
      <c r="M775" s="1263"/>
      <c r="N775" s="1263"/>
      <c r="O775" s="1263"/>
      <c r="P775" s="1263"/>
      <c r="Q775" s="1263"/>
      <c r="R775" s="1263"/>
      <c r="S775" s="1263"/>
      <c r="T775" s="1263"/>
      <c r="U775" s="1263"/>
      <c r="V775" s="1263"/>
      <c r="W775" s="1263"/>
    </row>
    <row r="776">
      <c r="A776" s="1513"/>
      <c r="B776" s="1514"/>
      <c r="C776" s="1499"/>
      <c r="D776" s="1499"/>
      <c r="E776" s="1499"/>
      <c r="F776" s="1515"/>
      <c r="G776" s="1499"/>
      <c r="H776" s="1263"/>
      <c r="I776" s="1512"/>
      <c r="J776" s="1263"/>
      <c r="K776" s="1263"/>
      <c r="L776" s="1263"/>
      <c r="M776" s="1263"/>
      <c r="N776" s="1263"/>
      <c r="O776" s="1263"/>
      <c r="P776" s="1263"/>
      <c r="Q776" s="1263"/>
      <c r="R776" s="1263"/>
      <c r="S776" s="1263"/>
      <c r="T776" s="1263"/>
      <c r="U776" s="1263"/>
      <c r="V776" s="1263"/>
      <c r="W776" s="1263"/>
    </row>
    <row r="777">
      <c r="A777" s="1513"/>
      <c r="B777" s="1514"/>
      <c r="C777" s="1499"/>
      <c r="D777" s="1499"/>
      <c r="E777" s="1499"/>
      <c r="F777" s="1515"/>
      <c r="G777" s="1499"/>
      <c r="H777" s="1263"/>
      <c r="I777" s="1512"/>
      <c r="J777" s="1263"/>
      <c r="K777" s="1263"/>
      <c r="L777" s="1263"/>
      <c r="M777" s="1263"/>
      <c r="N777" s="1263"/>
      <c r="O777" s="1263"/>
      <c r="P777" s="1263"/>
      <c r="Q777" s="1263"/>
      <c r="R777" s="1263"/>
      <c r="S777" s="1263"/>
      <c r="T777" s="1263"/>
      <c r="U777" s="1263"/>
      <c r="V777" s="1263"/>
      <c r="W777" s="1263"/>
    </row>
    <row r="778">
      <c r="A778" s="1513"/>
      <c r="B778" s="1514"/>
      <c r="C778" s="1499"/>
      <c r="D778" s="1499"/>
      <c r="E778" s="1499"/>
      <c r="F778" s="1515"/>
      <c r="G778" s="1499"/>
      <c r="H778" s="1263"/>
      <c r="I778" s="1512"/>
      <c r="J778" s="1263"/>
      <c r="K778" s="1263"/>
      <c r="L778" s="1263"/>
      <c r="M778" s="1263"/>
      <c r="N778" s="1263"/>
      <c r="O778" s="1263"/>
      <c r="P778" s="1263"/>
      <c r="Q778" s="1263"/>
      <c r="R778" s="1263"/>
      <c r="S778" s="1263"/>
      <c r="T778" s="1263"/>
      <c r="U778" s="1263"/>
      <c r="V778" s="1263"/>
      <c r="W778" s="1263"/>
    </row>
    <row r="779">
      <c r="A779" s="1513"/>
      <c r="B779" s="1514"/>
      <c r="C779" s="1499"/>
      <c r="D779" s="1499"/>
      <c r="E779" s="1499"/>
      <c r="F779" s="1515"/>
      <c r="G779" s="1499"/>
      <c r="H779" s="1263"/>
      <c r="I779" s="1512"/>
      <c r="J779" s="1263"/>
      <c r="K779" s="1263"/>
      <c r="L779" s="1263"/>
      <c r="M779" s="1263"/>
      <c r="N779" s="1263"/>
      <c r="O779" s="1263"/>
      <c r="P779" s="1263"/>
      <c r="Q779" s="1263"/>
      <c r="R779" s="1263"/>
      <c r="S779" s="1263"/>
      <c r="T779" s="1263"/>
      <c r="U779" s="1263"/>
      <c r="V779" s="1263"/>
      <c r="W779" s="1263"/>
    </row>
    <row r="780">
      <c r="A780" s="1513"/>
      <c r="B780" s="1514"/>
      <c r="C780" s="1499"/>
      <c r="D780" s="1499"/>
      <c r="E780" s="1499"/>
      <c r="F780" s="1515"/>
      <c r="G780" s="1499"/>
      <c r="H780" s="1263"/>
      <c r="I780" s="1512"/>
      <c r="J780" s="1263"/>
      <c r="K780" s="1263"/>
      <c r="L780" s="1263"/>
      <c r="M780" s="1263"/>
      <c r="N780" s="1263"/>
      <c r="O780" s="1263"/>
      <c r="P780" s="1263"/>
      <c r="Q780" s="1263"/>
      <c r="R780" s="1263"/>
      <c r="S780" s="1263"/>
      <c r="T780" s="1263"/>
      <c r="U780" s="1263"/>
      <c r="V780" s="1263"/>
      <c r="W780" s="1263"/>
    </row>
    <row r="781">
      <c r="A781" s="1513"/>
      <c r="B781" s="1514"/>
      <c r="C781" s="1499"/>
      <c r="D781" s="1499"/>
      <c r="E781" s="1499"/>
      <c r="F781" s="1515"/>
      <c r="G781" s="1499"/>
      <c r="H781" s="1263"/>
      <c r="I781" s="1512"/>
      <c r="J781" s="1263"/>
      <c r="K781" s="1263"/>
      <c r="L781" s="1263"/>
      <c r="M781" s="1263"/>
      <c r="N781" s="1263"/>
      <c r="O781" s="1263"/>
      <c r="P781" s="1263"/>
      <c r="Q781" s="1263"/>
      <c r="R781" s="1263"/>
      <c r="S781" s="1263"/>
      <c r="T781" s="1263"/>
      <c r="U781" s="1263"/>
      <c r="V781" s="1263"/>
      <c r="W781" s="1263"/>
    </row>
    <row r="782">
      <c r="A782" s="1513"/>
      <c r="B782" s="1514"/>
      <c r="C782" s="1499"/>
      <c r="D782" s="1499"/>
      <c r="E782" s="1499"/>
      <c r="F782" s="1515"/>
      <c r="G782" s="1499"/>
      <c r="H782" s="1263"/>
      <c r="I782" s="1512"/>
      <c r="J782" s="1263"/>
      <c r="K782" s="1263"/>
      <c r="L782" s="1263"/>
      <c r="M782" s="1263"/>
      <c r="N782" s="1263"/>
      <c r="O782" s="1263"/>
      <c r="P782" s="1263"/>
      <c r="Q782" s="1263"/>
      <c r="R782" s="1263"/>
      <c r="S782" s="1263"/>
      <c r="T782" s="1263"/>
      <c r="U782" s="1263"/>
      <c r="V782" s="1263"/>
      <c r="W782" s="1263"/>
    </row>
    <row r="783">
      <c r="A783" s="1513"/>
      <c r="B783" s="1514"/>
      <c r="C783" s="1499"/>
      <c r="D783" s="1499"/>
      <c r="E783" s="1499"/>
      <c r="F783" s="1515"/>
      <c r="G783" s="1499"/>
      <c r="H783" s="1263"/>
      <c r="I783" s="1512"/>
      <c r="J783" s="1263"/>
      <c r="K783" s="1263"/>
      <c r="L783" s="1263"/>
      <c r="M783" s="1263"/>
      <c r="N783" s="1263"/>
      <c r="O783" s="1263"/>
      <c r="P783" s="1263"/>
      <c r="Q783" s="1263"/>
      <c r="R783" s="1263"/>
      <c r="S783" s="1263"/>
      <c r="T783" s="1263"/>
      <c r="U783" s="1263"/>
      <c r="V783" s="1263"/>
      <c r="W783" s="1263"/>
    </row>
    <row r="784">
      <c r="A784" s="1513"/>
      <c r="B784" s="1514"/>
      <c r="C784" s="1499"/>
      <c r="D784" s="1499"/>
      <c r="E784" s="1499"/>
      <c r="F784" s="1515"/>
      <c r="G784" s="1499"/>
      <c r="H784" s="1263"/>
      <c r="I784" s="1512"/>
      <c r="J784" s="1263"/>
      <c r="K784" s="1263"/>
      <c r="L784" s="1263"/>
      <c r="M784" s="1263"/>
      <c r="N784" s="1263"/>
      <c r="O784" s="1263"/>
      <c r="P784" s="1263"/>
      <c r="Q784" s="1263"/>
      <c r="R784" s="1263"/>
      <c r="S784" s="1263"/>
      <c r="T784" s="1263"/>
      <c r="U784" s="1263"/>
      <c r="V784" s="1263"/>
      <c r="W784" s="1263"/>
    </row>
    <row r="785">
      <c r="A785" s="1513"/>
      <c r="B785" s="1514"/>
      <c r="C785" s="1499"/>
      <c r="D785" s="1499"/>
      <c r="E785" s="1499"/>
      <c r="F785" s="1515"/>
      <c r="G785" s="1499"/>
      <c r="H785" s="1263"/>
      <c r="I785" s="1512"/>
      <c r="J785" s="1263"/>
      <c r="K785" s="1263"/>
      <c r="L785" s="1263"/>
      <c r="M785" s="1263"/>
      <c r="N785" s="1263"/>
      <c r="O785" s="1263"/>
      <c r="P785" s="1263"/>
      <c r="Q785" s="1263"/>
      <c r="R785" s="1263"/>
      <c r="S785" s="1263"/>
      <c r="T785" s="1263"/>
      <c r="U785" s="1263"/>
      <c r="V785" s="1263"/>
      <c r="W785" s="1263"/>
    </row>
    <row r="786">
      <c r="A786" s="1513"/>
      <c r="B786" s="1514"/>
      <c r="C786" s="1499"/>
      <c r="D786" s="1499"/>
      <c r="E786" s="1499"/>
      <c r="F786" s="1515"/>
      <c r="G786" s="1499"/>
      <c r="H786" s="1263"/>
      <c r="I786" s="1512"/>
      <c r="J786" s="1263"/>
      <c r="K786" s="1263"/>
      <c r="L786" s="1263"/>
      <c r="M786" s="1263"/>
      <c r="N786" s="1263"/>
      <c r="O786" s="1263"/>
      <c r="P786" s="1263"/>
      <c r="Q786" s="1263"/>
      <c r="R786" s="1263"/>
      <c r="S786" s="1263"/>
      <c r="T786" s="1263"/>
      <c r="U786" s="1263"/>
      <c r="V786" s="1263"/>
      <c r="W786" s="1263"/>
    </row>
    <row r="787">
      <c r="A787" s="1513"/>
      <c r="B787" s="1514"/>
      <c r="C787" s="1499"/>
      <c r="D787" s="1499"/>
      <c r="E787" s="1499"/>
      <c r="F787" s="1515"/>
      <c r="G787" s="1499"/>
      <c r="H787" s="1263"/>
      <c r="I787" s="1512"/>
      <c r="J787" s="1263"/>
      <c r="K787" s="1263"/>
      <c r="L787" s="1263"/>
      <c r="M787" s="1263"/>
      <c r="N787" s="1263"/>
      <c r="O787" s="1263"/>
      <c r="P787" s="1263"/>
      <c r="Q787" s="1263"/>
      <c r="R787" s="1263"/>
      <c r="S787" s="1263"/>
      <c r="T787" s="1263"/>
      <c r="U787" s="1263"/>
      <c r="V787" s="1263"/>
      <c r="W787" s="1263"/>
    </row>
    <row r="788">
      <c r="B788" s="1516"/>
      <c r="H788" s="1263"/>
      <c r="I788" s="1512"/>
      <c r="J788" s="1263"/>
      <c r="K788" s="1263"/>
      <c r="L788" s="1263"/>
      <c r="M788" s="1263"/>
      <c r="N788" s="1263"/>
      <c r="O788" s="1263"/>
      <c r="P788" s="1263"/>
      <c r="Q788" s="1263"/>
      <c r="R788" s="1263"/>
      <c r="S788" s="1263"/>
      <c r="T788" s="1263"/>
      <c r="U788" s="1263"/>
      <c r="V788" s="1263"/>
      <c r="W788" s="1263"/>
    </row>
    <row r="789">
      <c r="B789" s="1516"/>
      <c r="H789" s="1263"/>
      <c r="I789" s="1512"/>
      <c r="J789" s="1263"/>
      <c r="K789" s="1263"/>
      <c r="L789" s="1263"/>
      <c r="M789" s="1263"/>
      <c r="N789" s="1263"/>
      <c r="O789" s="1263"/>
      <c r="P789" s="1263"/>
      <c r="Q789" s="1263"/>
      <c r="R789" s="1263"/>
      <c r="S789" s="1263"/>
      <c r="T789" s="1263"/>
      <c r="U789" s="1263"/>
      <c r="V789" s="1263"/>
      <c r="W789" s="1263"/>
    </row>
    <row r="790">
      <c r="B790" s="1516"/>
      <c r="H790" s="1263"/>
      <c r="I790" s="1512"/>
      <c r="J790" s="1263"/>
      <c r="K790" s="1263"/>
      <c r="L790" s="1263"/>
      <c r="M790" s="1263"/>
      <c r="N790" s="1263"/>
      <c r="O790" s="1263"/>
      <c r="P790" s="1263"/>
      <c r="Q790" s="1263"/>
      <c r="R790" s="1263"/>
      <c r="S790" s="1263"/>
      <c r="T790" s="1263"/>
      <c r="U790" s="1263"/>
      <c r="V790" s="1263"/>
      <c r="W790" s="1263"/>
    </row>
  </sheetData>
  <autoFilter ref="$A$1:$W$790">
    <sortState ref="A1:W790">
      <sortCondition ref="A1:A790"/>
      <sortCondition ref="B1:B790"/>
    </sortState>
  </autoFilter>
  <printOptions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3.63"/>
    <col customWidth="1" min="2" max="2" width="10.75"/>
    <col customWidth="1" min="3" max="3" width="10.38"/>
    <col customWidth="1" min="4" max="4" width="11.13"/>
    <col customWidth="1" min="5" max="12" width="9.13"/>
  </cols>
  <sheetData>
    <row r="1" ht="20.25" customHeight="1">
      <c r="A1" s="1517" t="s">
        <v>6804</v>
      </c>
      <c r="B1" s="1518"/>
      <c r="C1" s="1269"/>
      <c r="D1" s="1269"/>
      <c r="E1" s="1269" t="s">
        <v>6805</v>
      </c>
      <c r="F1" s="1518" t="s">
        <v>6806</v>
      </c>
      <c r="G1" s="1518" t="s">
        <v>6807</v>
      </c>
      <c r="H1" s="1518" t="s">
        <v>6808</v>
      </c>
      <c r="I1" s="1269" t="s">
        <v>6809</v>
      </c>
      <c r="J1" s="1269" t="s">
        <v>6810</v>
      </c>
      <c r="K1" s="1269" t="s">
        <v>6811</v>
      </c>
      <c r="L1" s="1269" t="s">
        <v>6812</v>
      </c>
      <c r="M1" s="1519"/>
      <c r="N1" s="1519"/>
      <c r="O1" s="1519"/>
      <c r="P1" s="1519"/>
      <c r="Q1" s="1519"/>
      <c r="R1" s="1519"/>
      <c r="S1" s="1519"/>
      <c r="T1" s="1519"/>
      <c r="U1" s="1519"/>
      <c r="V1" s="1519"/>
      <c r="W1" s="1519"/>
      <c r="X1" s="1519"/>
      <c r="Y1" s="1519"/>
      <c r="Z1" s="1519"/>
    </row>
    <row r="2" ht="25.5" customHeight="1">
      <c r="A2" s="326" t="s">
        <v>6300</v>
      </c>
      <c r="B2" s="461" t="s">
        <v>6301</v>
      </c>
      <c r="C2" s="448" t="s">
        <v>6813</v>
      </c>
      <c r="D2" s="197">
        <v>600000.0</v>
      </c>
      <c r="E2" s="422"/>
      <c r="F2" s="422"/>
      <c r="G2" s="422"/>
      <c r="H2" s="422"/>
      <c r="I2" s="422"/>
      <c r="J2" s="422"/>
      <c r="K2" s="422"/>
      <c r="L2" s="422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</row>
    <row r="3" ht="25.5" customHeight="1">
      <c r="A3" s="326" t="s">
        <v>6305</v>
      </c>
      <c r="B3" s="461" t="s">
        <v>6301</v>
      </c>
      <c r="C3" s="448" t="s">
        <v>6813</v>
      </c>
      <c r="D3" s="197">
        <v>400000.0</v>
      </c>
      <c r="E3" s="422"/>
      <c r="F3" s="422"/>
      <c r="G3" s="422"/>
      <c r="H3" s="422"/>
      <c r="I3" s="422"/>
      <c r="J3" s="422"/>
      <c r="K3" s="422"/>
      <c r="L3" s="422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</row>
    <row r="4" ht="25.5" customHeight="1">
      <c r="A4" s="326" t="s">
        <v>6308</v>
      </c>
      <c r="B4" s="461" t="s">
        <v>6301</v>
      </c>
      <c r="C4" s="448" t="s">
        <v>6814</v>
      </c>
      <c r="D4" s="197">
        <v>600000.0</v>
      </c>
      <c r="E4" s="422"/>
      <c r="F4" s="422"/>
      <c r="G4" s="422"/>
      <c r="H4" s="422"/>
      <c r="I4" s="422"/>
      <c r="J4" s="422"/>
      <c r="K4" s="422"/>
      <c r="L4" s="422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  <c r="Z4" s="371"/>
    </row>
    <row r="5" ht="25.5" customHeight="1">
      <c r="A5" s="326" t="s">
        <v>6311</v>
      </c>
      <c r="B5" s="461" t="s">
        <v>6301</v>
      </c>
      <c r="C5" s="448" t="s">
        <v>6815</v>
      </c>
      <c r="D5" s="197">
        <v>400000.0</v>
      </c>
      <c r="E5" s="422"/>
      <c r="F5" s="422"/>
      <c r="G5" s="422"/>
      <c r="H5" s="422"/>
      <c r="I5" s="422"/>
      <c r="J5" s="422"/>
      <c r="K5" s="422"/>
      <c r="L5" s="422"/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/>
      <c r="Z5" s="371"/>
    </row>
    <row r="6" ht="25.5" customHeight="1">
      <c r="A6" s="326" t="s">
        <v>6313</v>
      </c>
      <c r="B6" s="461" t="s">
        <v>6301</v>
      </c>
      <c r="C6" s="448" t="s">
        <v>6314</v>
      </c>
      <c r="D6" s="197">
        <v>550000.0</v>
      </c>
      <c r="E6" s="422"/>
      <c r="F6" s="422"/>
      <c r="G6" s="422"/>
      <c r="H6" s="422"/>
      <c r="I6" s="422"/>
      <c r="J6" s="422"/>
      <c r="K6" s="422"/>
      <c r="L6" s="422"/>
      <c r="M6" s="371"/>
      <c r="N6" s="371"/>
      <c r="O6" s="371"/>
      <c r="P6" s="371"/>
      <c r="Q6" s="371"/>
      <c r="R6" s="371"/>
      <c r="S6" s="371"/>
      <c r="T6" s="371"/>
      <c r="U6" s="371"/>
      <c r="V6" s="371"/>
      <c r="W6" s="371"/>
      <c r="X6" s="371"/>
      <c r="Y6" s="371"/>
      <c r="Z6" s="371"/>
    </row>
    <row r="7" ht="25.5" customHeight="1">
      <c r="A7" s="326" t="s">
        <v>6316</v>
      </c>
      <c r="B7" s="461" t="s">
        <v>6301</v>
      </c>
      <c r="C7" s="448" t="s">
        <v>6816</v>
      </c>
      <c r="D7" s="197">
        <v>400000.0</v>
      </c>
      <c r="E7" s="422"/>
      <c r="F7" s="422"/>
      <c r="G7" s="422"/>
      <c r="H7" s="422"/>
      <c r="I7" s="422"/>
      <c r="J7" s="422"/>
      <c r="K7" s="422"/>
      <c r="L7" s="422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</row>
    <row r="8" ht="25.5" customHeight="1">
      <c r="A8" s="326" t="s">
        <v>6817</v>
      </c>
      <c r="B8" s="1273" t="s">
        <v>6818</v>
      </c>
      <c r="C8" s="448" t="s">
        <v>6819</v>
      </c>
      <c r="D8" s="197">
        <v>1500000.0</v>
      </c>
      <c r="E8" s="422"/>
      <c r="F8" s="422"/>
      <c r="G8" s="422"/>
      <c r="H8" s="422"/>
      <c r="I8" s="422"/>
      <c r="J8" s="422"/>
      <c r="K8" s="422"/>
      <c r="L8" s="422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</row>
    <row r="9" ht="25.5" customHeight="1">
      <c r="A9" s="326" t="s">
        <v>6820</v>
      </c>
      <c r="B9" s="1273" t="s">
        <v>6818</v>
      </c>
      <c r="C9" s="448"/>
      <c r="D9" s="197">
        <v>600000.0</v>
      </c>
      <c r="E9" s="422"/>
      <c r="F9" s="422"/>
      <c r="G9" s="422"/>
      <c r="H9" s="422"/>
      <c r="I9" s="422"/>
      <c r="J9" s="422"/>
      <c r="K9" s="422"/>
      <c r="L9" s="422"/>
      <c r="M9" s="371"/>
      <c r="N9" s="371"/>
      <c r="O9" s="371"/>
      <c r="P9" s="371"/>
      <c r="Q9" s="371"/>
      <c r="R9" s="371"/>
      <c r="S9" s="371"/>
      <c r="T9" s="371"/>
      <c r="U9" s="371"/>
      <c r="V9" s="371"/>
      <c r="W9" s="371"/>
      <c r="X9" s="371"/>
      <c r="Y9" s="371"/>
      <c r="Z9" s="371"/>
    </row>
    <row r="10" ht="25.5" customHeight="1">
      <c r="A10" s="326">
        <v>1.0</v>
      </c>
      <c r="B10" s="1273" t="s">
        <v>6818</v>
      </c>
      <c r="C10" s="422"/>
      <c r="D10" s="197">
        <v>450000.0</v>
      </c>
      <c r="E10" s="422"/>
      <c r="F10" s="422"/>
      <c r="G10" s="422"/>
      <c r="H10" s="422"/>
      <c r="I10" s="422"/>
      <c r="J10" s="422"/>
      <c r="K10" s="422"/>
      <c r="L10" s="422"/>
      <c r="M10" s="371"/>
      <c r="N10" s="371"/>
      <c r="O10" s="371"/>
      <c r="P10" s="371"/>
      <c r="Q10" s="371"/>
      <c r="R10" s="371"/>
      <c r="S10" s="371"/>
      <c r="T10" s="371"/>
      <c r="U10" s="371"/>
      <c r="V10" s="371"/>
      <c r="W10" s="371"/>
      <c r="X10" s="371"/>
      <c r="Y10" s="371"/>
      <c r="Z10" s="371"/>
    </row>
    <row r="11" ht="25.5" customHeight="1">
      <c r="A11" s="326">
        <v>2.0</v>
      </c>
      <c r="B11" s="1273" t="s">
        <v>6818</v>
      </c>
      <c r="C11" s="448" t="s">
        <v>6821</v>
      </c>
      <c r="D11" s="197">
        <v>450000.0</v>
      </c>
      <c r="E11" s="422"/>
      <c r="F11" s="422"/>
      <c r="G11" s="422"/>
      <c r="H11" s="422"/>
      <c r="I11" s="422"/>
      <c r="J11" s="422"/>
      <c r="K11" s="422"/>
      <c r="L11" s="422"/>
      <c r="M11" s="371"/>
      <c r="N11" s="371"/>
      <c r="O11" s="371"/>
      <c r="P11" s="371"/>
      <c r="Q11" s="371"/>
      <c r="R11" s="371"/>
      <c r="S11" s="371"/>
      <c r="T11" s="371"/>
      <c r="U11" s="371"/>
      <c r="V11" s="371"/>
      <c r="W11" s="371"/>
      <c r="X11" s="371"/>
      <c r="Y11" s="371"/>
      <c r="Z11" s="371"/>
    </row>
    <row r="12" ht="25.5" customHeight="1">
      <c r="A12" s="326">
        <v>3.0</v>
      </c>
      <c r="B12" s="1273" t="s">
        <v>6818</v>
      </c>
      <c r="C12" s="448" t="s">
        <v>6822</v>
      </c>
      <c r="D12" s="197">
        <v>550000.0</v>
      </c>
      <c r="E12" s="422"/>
      <c r="F12" s="422"/>
      <c r="G12" s="422"/>
      <c r="H12" s="422"/>
      <c r="I12" s="422"/>
      <c r="J12" s="422"/>
      <c r="K12" s="422"/>
      <c r="L12" s="422"/>
      <c r="M12" s="371"/>
      <c r="N12" s="371"/>
      <c r="O12" s="371"/>
      <c r="P12" s="371"/>
      <c r="Q12" s="371"/>
      <c r="R12" s="371"/>
      <c r="S12" s="371"/>
      <c r="T12" s="371"/>
      <c r="U12" s="371"/>
      <c r="V12" s="371"/>
      <c r="W12" s="371"/>
      <c r="X12" s="371"/>
      <c r="Y12" s="371"/>
      <c r="Z12" s="371"/>
    </row>
    <row r="13" ht="25.5" customHeight="1">
      <c r="A13" s="326">
        <v>4.0</v>
      </c>
      <c r="B13" s="1273" t="s">
        <v>6818</v>
      </c>
      <c r="C13" s="448"/>
      <c r="D13" s="197">
        <v>430000.0</v>
      </c>
      <c r="E13" s="422"/>
      <c r="F13" s="422"/>
      <c r="G13" s="422"/>
      <c r="H13" s="422"/>
      <c r="I13" s="422"/>
      <c r="J13" s="422"/>
      <c r="K13" s="422"/>
      <c r="L13" s="422"/>
      <c r="M13" s="371"/>
      <c r="N13" s="371"/>
      <c r="O13" s="371"/>
      <c r="P13" s="371"/>
      <c r="Q13" s="371"/>
      <c r="R13" s="371"/>
      <c r="S13" s="371"/>
      <c r="T13" s="371"/>
      <c r="U13" s="371"/>
      <c r="V13" s="371"/>
      <c r="W13" s="371"/>
      <c r="X13" s="371"/>
      <c r="Y13" s="371"/>
      <c r="Z13" s="371"/>
    </row>
    <row r="14" ht="25.5" customHeight="1">
      <c r="A14" s="326">
        <v>5.0</v>
      </c>
      <c r="B14" s="1273" t="s">
        <v>6818</v>
      </c>
      <c r="C14" s="422"/>
      <c r="D14" s="197">
        <v>450000.0</v>
      </c>
      <c r="E14" s="422"/>
      <c r="F14" s="422"/>
      <c r="G14" s="422"/>
      <c r="H14" s="422"/>
      <c r="I14" s="422"/>
      <c r="J14" s="422"/>
      <c r="K14" s="422"/>
      <c r="L14" s="422"/>
      <c r="M14" s="371"/>
      <c r="N14" s="371"/>
      <c r="O14" s="371"/>
      <c r="P14" s="371"/>
      <c r="Q14" s="371"/>
      <c r="R14" s="371"/>
      <c r="S14" s="371"/>
      <c r="T14" s="371"/>
      <c r="U14" s="371"/>
      <c r="V14" s="371"/>
      <c r="W14" s="371"/>
      <c r="X14" s="371"/>
      <c r="Y14" s="371"/>
      <c r="Z14" s="371"/>
    </row>
    <row r="15" ht="25.5" customHeight="1">
      <c r="A15" s="326">
        <v>6.0</v>
      </c>
      <c r="B15" s="1273" t="s">
        <v>6818</v>
      </c>
      <c r="C15" s="422"/>
      <c r="D15" s="197">
        <v>450000.0</v>
      </c>
      <c r="E15" s="422"/>
      <c r="F15" s="422"/>
      <c r="G15" s="422"/>
      <c r="H15" s="422"/>
      <c r="I15" s="422"/>
      <c r="J15" s="422"/>
      <c r="K15" s="422"/>
      <c r="L15" s="422"/>
      <c r="M15" s="371"/>
      <c r="N15" s="371"/>
      <c r="O15" s="371"/>
      <c r="P15" s="371"/>
      <c r="Q15" s="371"/>
      <c r="R15" s="371"/>
      <c r="S15" s="371"/>
      <c r="T15" s="371"/>
      <c r="U15" s="371"/>
      <c r="V15" s="371"/>
      <c r="W15" s="371"/>
      <c r="X15" s="371"/>
      <c r="Y15" s="371"/>
      <c r="Z15" s="371"/>
    </row>
    <row r="16" ht="25.5" customHeight="1">
      <c r="A16" s="326">
        <v>101.0</v>
      </c>
      <c r="B16" s="1273" t="s">
        <v>6319</v>
      </c>
      <c r="C16" s="422"/>
      <c r="D16" s="197">
        <v>450000.0</v>
      </c>
      <c r="E16" s="422"/>
      <c r="F16" s="422"/>
      <c r="G16" s="422"/>
      <c r="H16" s="422"/>
      <c r="I16" s="422"/>
      <c r="J16" s="422"/>
      <c r="K16" s="422"/>
      <c r="L16" s="422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Z16" s="371"/>
    </row>
    <row r="17" ht="25.5" customHeight="1">
      <c r="A17" s="326">
        <v>102.0</v>
      </c>
      <c r="B17" s="1273" t="s">
        <v>6319</v>
      </c>
      <c r="C17" s="448" t="s">
        <v>6823</v>
      </c>
      <c r="D17" s="197">
        <v>300000.0</v>
      </c>
      <c r="E17" s="422"/>
      <c r="F17" s="422"/>
      <c r="G17" s="422"/>
      <c r="H17" s="422"/>
      <c r="I17" s="422"/>
      <c r="J17" s="422"/>
      <c r="K17" s="422"/>
      <c r="L17" s="422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Z17" s="371"/>
    </row>
    <row r="18" ht="25.5" customHeight="1">
      <c r="A18" s="329"/>
      <c r="B18" s="1520" t="s">
        <v>6824</v>
      </c>
      <c r="C18" s="448" t="s">
        <v>6825</v>
      </c>
      <c r="D18" s="197">
        <v>320000.0</v>
      </c>
      <c r="E18" s="422"/>
      <c r="F18" s="422"/>
      <c r="G18" s="422"/>
      <c r="H18" s="422"/>
      <c r="I18" s="422"/>
      <c r="J18" s="422"/>
      <c r="K18" s="422"/>
      <c r="L18" s="422"/>
      <c r="M18" s="371"/>
      <c r="N18" s="371"/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Z18" s="371"/>
    </row>
    <row r="19" ht="25.5" customHeight="1">
      <c r="A19" s="329"/>
      <c r="B19" s="1273" t="s">
        <v>6826</v>
      </c>
      <c r="C19" s="448" t="s">
        <v>6827</v>
      </c>
      <c r="D19" s="197">
        <v>680000.0</v>
      </c>
      <c r="E19" s="422"/>
      <c r="F19" s="422"/>
      <c r="G19" s="422"/>
      <c r="H19" s="422"/>
      <c r="I19" s="422"/>
      <c r="J19" s="422"/>
      <c r="K19" s="422"/>
      <c r="L19" s="422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Z19" s="371"/>
    </row>
    <row r="20" ht="25.5" customHeight="1">
      <c r="A20" s="329"/>
      <c r="B20" s="1273" t="s">
        <v>6828</v>
      </c>
      <c r="C20" s="448" t="s">
        <v>6829</v>
      </c>
      <c r="D20" s="197">
        <v>420000.0</v>
      </c>
      <c r="E20" s="422"/>
      <c r="F20" s="422"/>
      <c r="G20" s="422"/>
      <c r="H20" s="422"/>
      <c r="I20" s="422"/>
      <c r="J20" s="422"/>
      <c r="K20" s="422"/>
      <c r="L20" s="422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Z20" s="371"/>
    </row>
    <row r="21" ht="26.25" customHeight="1">
      <c r="A21" s="371"/>
      <c r="B21" s="1265"/>
      <c r="C21" s="371"/>
      <c r="D21" s="371"/>
      <c r="E21" s="371"/>
      <c r="F21" s="371"/>
      <c r="G21" s="371"/>
      <c r="H21" s="371"/>
      <c r="I21" s="371"/>
      <c r="J21" s="371"/>
      <c r="K21" s="371"/>
      <c r="L21" s="371"/>
      <c r="M21" s="371"/>
      <c r="N21" s="371"/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Z21" s="371"/>
    </row>
    <row r="22" ht="26.25" customHeight="1">
      <c r="A22" s="371"/>
      <c r="B22" s="1265"/>
      <c r="C22" s="371"/>
      <c r="D22" s="371"/>
      <c r="E22" s="371"/>
      <c r="F22" s="371"/>
      <c r="G22" s="371"/>
      <c r="H22" s="371"/>
      <c r="I22" s="371"/>
      <c r="J22" s="371"/>
      <c r="K22" s="371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Z22" s="371"/>
    </row>
    <row r="23" ht="26.25" customHeight="1">
      <c r="A23" s="371"/>
      <c r="B23" s="1265"/>
      <c r="C23" s="371"/>
      <c r="D23" s="371"/>
      <c r="E23" s="371"/>
      <c r="F23" s="371"/>
      <c r="G23" s="371"/>
      <c r="H23" s="371"/>
      <c r="I23" s="371"/>
      <c r="J23" s="371"/>
      <c r="K23" s="371"/>
      <c r="L23" s="371"/>
      <c r="M23" s="371"/>
      <c r="N23" s="371"/>
      <c r="O23" s="371"/>
      <c r="P23" s="371"/>
      <c r="Q23" s="371"/>
      <c r="R23" s="371"/>
      <c r="S23" s="371"/>
      <c r="T23" s="371"/>
      <c r="U23" s="371"/>
      <c r="V23" s="371"/>
      <c r="W23" s="371"/>
      <c r="X23" s="371"/>
      <c r="Y23" s="371"/>
      <c r="Z23" s="371"/>
    </row>
    <row r="24" ht="26.25" customHeight="1">
      <c r="A24" s="371"/>
      <c r="B24" s="1265"/>
      <c r="C24" s="371"/>
      <c r="D24" s="371"/>
      <c r="E24" s="371"/>
      <c r="F24" s="371"/>
      <c r="G24" s="371"/>
      <c r="H24" s="371"/>
      <c r="I24" s="371"/>
      <c r="J24" s="371"/>
      <c r="K24" s="371"/>
      <c r="L24" s="371"/>
      <c r="M24" s="371"/>
      <c r="N24" s="371"/>
      <c r="O24" s="371"/>
      <c r="P24" s="371"/>
      <c r="Q24" s="371"/>
      <c r="R24" s="371"/>
      <c r="S24" s="371"/>
      <c r="T24" s="371"/>
      <c r="U24" s="371"/>
      <c r="V24" s="371"/>
      <c r="W24" s="371"/>
      <c r="X24" s="371"/>
      <c r="Y24" s="371"/>
      <c r="Z24" s="371"/>
    </row>
    <row r="25" ht="26.25" customHeight="1">
      <c r="A25" s="371"/>
      <c r="B25" s="1265"/>
      <c r="C25" s="371"/>
      <c r="D25" s="371"/>
      <c r="E25" s="371"/>
      <c r="F25" s="371"/>
      <c r="G25" s="371"/>
      <c r="H25" s="371"/>
      <c r="I25" s="371"/>
      <c r="J25" s="371"/>
      <c r="K25" s="371"/>
      <c r="L25" s="371"/>
      <c r="M25" s="371"/>
      <c r="N25" s="371"/>
      <c r="O25" s="371"/>
      <c r="P25" s="371"/>
      <c r="Q25" s="371"/>
      <c r="R25" s="371"/>
      <c r="S25" s="371"/>
      <c r="T25" s="371"/>
      <c r="U25" s="371"/>
      <c r="V25" s="371"/>
      <c r="W25" s="371"/>
      <c r="X25" s="371"/>
      <c r="Y25" s="371"/>
      <c r="Z25" s="371"/>
    </row>
    <row r="26" ht="26.25" customHeight="1">
      <c r="A26" s="371"/>
      <c r="B26" s="1265"/>
      <c r="C26" s="371"/>
      <c r="D26" s="371"/>
      <c r="E26" s="371"/>
      <c r="F26" s="371"/>
      <c r="G26" s="371"/>
      <c r="H26" s="371"/>
      <c r="I26" s="371"/>
      <c r="J26" s="371"/>
      <c r="K26" s="371"/>
      <c r="L26" s="371"/>
      <c r="M26" s="371"/>
      <c r="N26" s="371"/>
      <c r="O26" s="371"/>
      <c r="P26" s="371"/>
      <c r="Q26" s="371"/>
      <c r="R26" s="371"/>
      <c r="S26" s="371"/>
      <c r="T26" s="371"/>
      <c r="U26" s="371"/>
      <c r="V26" s="371"/>
      <c r="W26" s="371"/>
      <c r="X26" s="371"/>
      <c r="Y26" s="371"/>
      <c r="Z26" s="371"/>
    </row>
    <row r="27" ht="26.25" customHeight="1">
      <c r="A27" s="371"/>
      <c r="B27" s="1265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371"/>
      <c r="V27" s="371"/>
      <c r="W27" s="371"/>
      <c r="X27" s="371"/>
      <c r="Y27" s="371"/>
      <c r="Z27" s="371"/>
    </row>
    <row r="28" ht="26.25" customHeight="1">
      <c r="A28" s="371"/>
      <c r="B28" s="1265"/>
      <c r="C28" s="371"/>
      <c r="D28" s="371"/>
      <c r="E28" s="371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1"/>
      <c r="U28" s="371"/>
      <c r="V28" s="371"/>
      <c r="W28" s="371"/>
      <c r="X28" s="371"/>
      <c r="Y28" s="371"/>
      <c r="Z28" s="371"/>
    </row>
    <row r="29" ht="26.25" customHeight="1">
      <c r="A29" s="371"/>
      <c r="B29" s="1265"/>
      <c r="C29" s="371"/>
      <c r="D29" s="371"/>
      <c r="E29" s="371"/>
      <c r="F29" s="371"/>
      <c r="G29" s="371"/>
      <c r="H29" s="371"/>
      <c r="I29" s="371"/>
      <c r="J29" s="371"/>
      <c r="K29" s="371"/>
      <c r="L29" s="371"/>
      <c r="M29" s="371"/>
      <c r="N29" s="371"/>
      <c r="O29" s="371"/>
      <c r="P29" s="371"/>
      <c r="Q29" s="371"/>
      <c r="R29" s="371"/>
      <c r="S29" s="371"/>
      <c r="T29" s="371"/>
      <c r="U29" s="371"/>
      <c r="V29" s="371"/>
      <c r="W29" s="371"/>
      <c r="X29" s="371"/>
      <c r="Y29" s="371"/>
      <c r="Z29" s="371"/>
    </row>
    <row r="30" ht="26.25" customHeight="1">
      <c r="A30" s="371"/>
      <c r="B30" s="1265"/>
      <c r="C30" s="371"/>
      <c r="D30" s="371"/>
      <c r="E30" s="371"/>
      <c r="F30" s="371"/>
      <c r="G30" s="371"/>
      <c r="H30" s="371"/>
      <c r="I30" s="371"/>
      <c r="J30" s="371"/>
      <c r="K30" s="371"/>
      <c r="L30" s="371"/>
      <c r="M30" s="371"/>
      <c r="N30" s="371"/>
      <c r="O30" s="371"/>
      <c r="P30" s="371"/>
      <c r="Q30" s="371"/>
      <c r="R30" s="371"/>
      <c r="S30" s="371"/>
      <c r="T30" s="371"/>
      <c r="U30" s="371"/>
      <c r="V30" s="371"/>
      <c r="W30" s="371"/>
      <c r="X30" s="371"/>
      <c r="Y30" s="371"/>
      <c r="Z30" s="371"/>
    </row>
    <row r="31" ht="26.25" customHeight="1">
      <c r="A31" s="371"/>
      <c r="B31" s="1265"/>
      <c r="C31" s="371"/>
      <c r="D31" s="371"/>
      <c r="E31" s="371"/>
      <c r="F31" s="371"/>
      <c r="G31" s="371"/>
      <c r="H31" s="371"/>
      <c r="I31" s="371"/>
      <c r="J31" s="371"/>
      <c r="K31" s="371"/>
      <c r="L31" s="371"/>
      <c r="M31" s="371"/>
      <c r="N31" s="371"/>
      <c r="O31" s="371"/>
      <c r="P31" s="371"/>
      <c r="Q31" s="371"/>
      <c r="R31" s="371"/>
      <c r="S31" s="371"/>
      <c r="T31" s="371"/>
      <c r="U31" s="371"/>
      <c r="V31" s="371"/>
      <c r="W31" s="371"/>
      <c r="X31" s="371"/>
      <c r="Y31" s="371"/>
      <c r="Z31" s="371"/>
    </row>
    <row r="32" ht="26.25" customHeight="1">
      <c r="A32" s="371"/>
      <c r="B32" s="1265"/>
      <c r="C32" s="371"/>
      <c r="D32" s="371"/>
      <c r="E32" s="371"/>
      <c r="F32" s="371"/>
      <c r="G32" s="371"/>
      <c r="H32" s="371"/>
      <c r="I32" s="371"/>
      <c r="J32" s="371"/>
      <c r="K32" s="371"/>
      <c r="L32" s="371"/>
      <c r="M32" s="371"/>
      <c r="N32" s="371"/>
      <c r="O32" s="371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Z32" s="371"/>
    </row>
    <row r="33" ht="26.25" customHeight="1">
      <c r="A33" s="371"/>
      <c r="B33" s="1265"/>
      <c r="C33" s="371"/>
      <c r="D33" s="371"/>
      <c r="E33" s="371"/>
      <c r="F33" s="371"/>
      <c r="G33" s="371"/>
      <c r="H33" s="371"/>
      <c r="I33" s="371"/>
      <c r="J33" s="371"/>
      <c r="K33" s="371"/>
      <c r="L33" s="371"/>
      <c r="M33" s="371"/>
      <c r="N33" s="371"/>
      <c r="O33" s="371"/>
      <c r="P33" s="371"/>
      <c r="Q33" s="371"/>
      <c r="R33" s="371"/>
      <c r="S33" s="371"/>
      <c r="T33" s="371"/>
      <c r="U33" s="371"/>
      <c r="V33" s="371"/>
      <c r="W33" s="371"/>
      <c r="X33" s="371"/>
      <c r="Y33" s="371"/>
      <c r="Z33" s="371"/>
    </row>
    <row r="34" ht="26.25" customHeight="1">
      <c r="A34" s="371"/>
      <c r="B34" s="1265"/>
      <c r="C34" s="371"/>
      <c r="D34" s="371"/>
      <c r="E34" s="371"/>
      <c r="F34" s="371"/>
      <c r="G34" s="371"/>
      <c r="H34" s="371"/>
      <c r="I34" s="371"/>
      <c r="J34" s="371"/>
      <c r="K34" s="371"/>
      <c r="L34" s="371"/>
      <c r="M34" s="371"/>
      <c r="N34" s="371"/>
      <c r="O34" s="371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Z34" s="371"/>
    </row>
    <row r="35" ht="26.25" customHeight="1">
      <c r="A35" s="371"/>
      <c r="B35" s="1265"/>
      <c r="C35" s="371"/>
      <c r="D35" s="371"/>
      <c r="E35" s="371"/>
      <c r="F35" s="371"/>
      <c r="G35" s="371"/>
      <c r="H35" s="371"/>
      <c r="I35" s="371"/>
      <c r="J35" s="371"/>
      <c r="K35" s="371"/>
      <c r="L35" s="371"/>
      <c r="M35" s="371"/>
      <c r="N35" s="371"/>
      <c r="O35" s="371"/>
      <c r="P35" s="371"/>
      <c r="Q35" s="371"/>
      <c r="R35" s="371"/>
      <c r="S35" s="371"/>
      <c r="T35" s="371"/>
      <c r="U35" s="371"/>
      <c r="V35" s="371"/>
      <c r="W35" s="371"/>
      <c r="X35" s="371"/>
      <c r="Y35" s="371"/>
      <c r="Z35" s="371"/>
    </row>
    <row r="36" ht="26.25" customHeight="1">
      <c r="A36" s="371"/>
      <c r="B36" s="1265"/>
      <c r="C36" s="371"/>
      <c r="D36" s="371"/>
      <c r="E36" s="371"/>
      <c r="F36" s="371"/>
      <c r="G36" s="371"/>
      <c r="H36" s="371"/>
      <c r="I36" s="371"/>
      <c r="J36" s="371"/>
      <c r="K36" s="371"/>
      <c r="L36" s="371"/>
      <c r="M36" s="371"/>
      <c r="N36" s="371"/>
      <c r="O36" s="371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Z36" s="371"/>
    </row>
    <row r="37" ht="26.25" customHeight="1">
      <c r="A37" s="371"/>
      <c r="B37" s="1265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371"/>
      <c r="V37" s="371"/>
      <c r="W37" s="371"/>
      <c r="X37" s="371"/>
      <c r="Y37" s="371"/>
      <c r="Z37" s="371"/>
    </row>
    <row r="38" ht="26.25" customHeight="1">
      <c r="A38" s="371"/>
      <c r="B38" s="1265"/>
      <c r="C38" s="371"/>
      <c r="D38" s="371"/>
      <c r="E38" s="371"/>
      <c r="F38" s="371"/>
      <c r="G38" s="371"/>
      <c r="H38" s="371"/>
      <c r="I38" s="371"/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Z38" s="371"/>
    </row>
    <row r="39" ht="26.25" customHeight="1">
      <c r="A39" s="371"/>
      <c r="B39" s="1265"/>
      <c r="C39" s="371"/>
      <c r="D39" s="371"/>
      <c r="E39" s="371"/>
      <c r="F39" s="371"/>
      <c r="G39" s="371"/>
      <c r="H39" s="371"/>
      <c r="I39" s="371"/>
      <c r="J39" s="371"/>
      <c r="K39" s="371"/>
      <c r="L39" s="371"/>
      <c r="M39" s="371"/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Z39" s="371"/>
    </row>
    <row r="40" ht="26.25" customHeight="1">
      <c r="A40" s="371"/>
      <c r="B40" s="1265"/>
      <c r="C40" s="371"/>
      <c r="D40" s="371"/>
      <c r="E40" s="371"/>
      <c r="F40" s="371"/>
      <c r="G40" s="371"/>
      <c r="H40" s="371"/>
      <c r="I40" s="371"/>
      <c r="J40" s="371"/>
      <c r="K40" s="371"/>
      <c r="L40" s="371"/>
      <c r="M40" s="371"/>
      <c r="N40" s="371"/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Z40" s="371"/>
    </row>
    <row r="41" ht="26.25" customHeight="1">
      <c r="A41" s="371"/>
      <c r="B41" s="1265"/>
      <c r="C41" s="371"/>
      <c r="D41" s="371"/>
      <c r="E41" s="371"/>
      <c r="F41" s="371"/>
      <c r="G41" s="371"/>
      <c r="H41" s="371"/>
      <c r="I41" s="371"/>
      <c r="J41" s="371"/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71"/>
      <c r="V41" s="371"/>
      <c r="W41" s="371"/>
      <c r="X41" s="371"/>
      <c r="Y41" s="371"/>
      <c r="Z41" s="371"/>
    </row>
    <row r="42" ht="26.25" customHeight="1">
      <c r="A42" s="371"/>
      <c r="B42" s="1265"/>
      <c r="C42" s="371"/>
      <c r="D42" s="371"/>
      <c r="E42" s="371"/>
      <c r="F42" s="371"/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Z42" s="371"/>
    </row>
    <row r="43" ht="26.25" customHeight="1">
      <c r="A43" s="371"/>
      <c r="B43" s="1265"/>
      <c r="C43" s="371"/>
      <c r="D43" s="371"/>
      <c r="E43" s="371"/>
      <c r="F43" s="371"/>
      <c r="G43" s="371"/>
      <c r="H43" s="371"/>
      <c r="I43" s="371"/>
      <c r="J43" s="371"/>
      <c r="K43" s="371"/>
      <c r="L43" s="371"/>
      <c r="M43" s="371"/>
      <c r="N43" s="371"/>
      <c r="O43" s="371"/>
      <c r="P43" s="371"/>
      <c r="Q43" s="371"/>
      <c r="R43" s="371"/>
      <c r="S43" s="371"/>
      <c r="T43" s="371"/>
      <c r="U43" s="371"/>
      <c r="V43" s="371"/>
      <c r="W43" s="371"/>
      <c r="X43" s="371"/>
      <c r="Y43" s="371"/>
      <c r="Z43" s="371"/>
    </row>
    <row r="44" ht="26.25" customHeight="1">
      <c r="A44" s="371"/>
      <c r="B44" s="1265"/>
      <c r="C44" s="371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Z44" s="371"/>
    </row>
    <row r="45" ht="26.25" customHeight="1">
      <c r="A45" s="371"/>
      <c r="B45" s="1265"/>
      <c r="C45" s="371"/>
      <c r="D45" s="371"/>
      <c r="E45" s="371"/>
      <c r="F45" s="371"/>
      <c r="G45" s="371"/>
      <c r="H45" s="371"/>
      <c r="I45" s="371"/>
      <c r="J45" s="371"/>
      <c r="K45" s="371"/>
      <c r="L45" s="371"/>
      <c r="M45" s="371"/>
      <c r="N45" s="371"/>
      <c r="O45" s="371"/>
      <c r="P45" s="371"/>
      <c r="Q45" s="371"/>
      <c r="R45" s="371"/>
      <c r="S45" s="371"/>
      <c r="T45" s="371"/>
      <c r="U45" s="371"/>
      <c r="V45" s="371"/>
      <c r="W45" s="371"/>
      <c r="X45" s="371"/>
      <c r="Y45" s="371"/>
      <c r="Z45" s="371"/>
    </row>
    <row r="46" ht="26.25" customHeight="1">
      <c r="A46" s="371"/>
      <c r="B46" s="1265"/>
      <c r="C46" s="371"/>
      <c r="D46" s="371"/>
      <c r="E46" s="371"/>
      <c r="F46" s="371"/>
      <c r="G46" s="371"/>
      <c r="H46" s="371"/>
      <c r="I46" s="371"/>
      <c r="J46" s="371"/>
      <c r="K46" s="371"/>
      <c r="L46" s="371"/>
      <c r="M46" s="371"/>
      <c r="N46" s="371"/>
      <c r="O46" s="371"/>
      <c r="P46" s="371"/>
      <c r="Q46" s="371"/>
      <c r="R46" s="371"/>
      <c r="S46" s="371"/>
      <c r="T46" s="371"/>
      <c r="U46" s="371"/>
      <c r="V46" s="371"/>
      <c r="W46" s="371"/>
      <c r="X46" s="371"/>
      <c r="Y46" s="371"/>
      <c r="Z46" s="371"/>
    </row>
    <row r="47" ht="26.25" customHeight="1">
      <c r="A47" s="371"/>
      <c r="B47" s="1265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371"/>
      <c r="V47" s="371"/>
      <c r="W47" s="371"/>
      <c r="X47" s="371"/>
      <c r="Y47" s="371"/>
      <c r="Z47" s="371"/>
    </row>
    <row r="48" ht="26.25" customHeight="1">
      <c r="A48" s="371"/>
      <c r="B48" s="1265"/>
      <c r="C48" s="371"/>
      <c r="D48" s="371"/>
      <c r="E48" s="371"/>
      <c r="F48" s="371"/>
      <c r="G48" s="371"/>
      <c r="H48" s="371"/>
      <c r="I48" s="371"/>
      <c r="J48" s="371"/>
      <c r="K48" s="371"/>
      <c r="L48" s="371"/>
      <c r="M48" s="371"/>
      <c r="N48" s="371"/>
      <c r="O48" s="371"/>
      <c r="P48" s="371"/>
      <c r="Q48" s="371"/>
      <c r="R48" s="371"/>
      <c r="S48" s="371"/>
      <c r="T48" s="371"/>
      <c r="U48" s="371"/>
      <c r="V48" s="371"/>
      <c r="W48" s="371"/>
      <c r="X48" s="371"/>
      <c r="Y48" s="371"/>
      <c r="Z48" s="371"/>
    </row>
    <row r="49" ht="26.25" customHeight="1">
      <c r="A49" s="371"/>
      <c r="B49" s="1265"/>
      <c r="C49" s="371"/>
      <c r="D49" s="371"/>
      <c r="E49" s="371"/>
      <c r="F49" s="371"/>
      <c r="G49" s="371"/>
      <c r="H49" s="371"/>
      <c r="I49" s="371"/>
      <c r="J49" s="371"/>
      <c r="K49" s="371"/>
      <c r="L49" s="371"/>
      <c r="M49" s="371"/>
      <c r="N49" s="371"/>
      <c r="O49" s="371"/>
      <c r="P49" s="371"/>
      <c r="Q49" s="371"/>
      <c r="R49" s="371"/>
      <c r="S49" s="371"/>
      <c r="T49" s="371"/>
      <c r="U49" s="371"/>
      <c r="V49" s="371"/>
      <c r="W49" s="371"/>
      <c r="X49" s="371"/>
      <c r="Y49" s="371"/>
      <c r="Z49" s="371"/>
    </row>
    <row r="50" ht="26.25" customHeight="1">
      <c r="A50" s="371"/>
      <c r="B50" s="1265"/>
      <c r="C50" s="371"/>
      <c r="D50" s="371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1"/>
      <c r="P50" s="371"/>
      <c r="Q50" s="371"/>
      <c r="R50" s="371"/>
      <c r="S50" s="371"/>
      <c r="T50" s="371"/>
      <c r="U50" s="371"/>
      <c r="V50" s="371"/>
      <c r="W50" s="371"/>
      <c r="X50" s="371"/>
      <c r="Y50" s="371"/>
      <c r="Z50" s="371"/>
    </row>
    <row r="51" ht="26.25" customHeight="1">
      <c r="A51" s="371"/>
      <c r="B51" s="1265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371"/>
      <c r="P51" s="371"/>
      <c r="Q51" s="371"/>
      <c r="R51" s="371"/>
      <c r="S51" s="371"/>
      <c r="T51" s="371"/>
      <c r="U51" s="371"/>
      <c r="V51" s="371"/>
      <c r="W51" s="371"/>
      <c r="X51" s="371"/>
      <c r="Y51" s="371"/>
      <c r="Z51" s="371"/>
    </row>
    <row r="52" ht="26.25" customHeight="1">
      <c r="A52" s="371"/>
      <c r="B52" s="1265"/>
      <c r="C52" s="371"/>
      <c r="D52" s="371"/>
      <c r="E52" s="371"/>
      <c r="F52" s="371"/>
      <c r="G52" s="371"/>
      <c r="H52" s="371"/>
      <c r="I52" s="371"/>
      <c r="J52" s="371"/>
      <c r="K52" s="371"/>
      <c r="L52" s="371"/>
      <c r="M52" s="371"/>
      <c r="N52" s="371"/>
      <c r="O52" s="371"/>
      <c r="P52" s="371"/>
      <c r="Q52" s="371"/>
      <c r="R52" s="371"/>
      <c r="S52" s="371"/>
      <c r="T52" s="371"/>
      <c r="U52" s="371"/>
      <c r="V52" s="371"/>
      <c r="W52" s="371"/>
      <c r="X52" s="371"/>
      <c r="Y52" s="371"/>
      <c r="Z52" s="371"/>
    </row>
    <row r="53" ht="26.25" customHeight="1">
      <c r="A53" s="371"/>
      <c r="B53" s="1265"/>
      <c r="C53" s="371"/>
      <c r="D53" s="371"/>
      <c r="E53" s="371"/>
      <c r="F53" s="371"/>
      <c r="G53" s="371"/>
      <c r="H53" s="371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371"/>
      <c r="T53" s="371"/>
      <c r="U53" s="371"/>
      <c r="V53" s="371"/>
      <c r="W53" s="371"/>
      <c r="X53" s="371"/>
      <c r="Y53" s="371"/>
      <c r="Z53" s="371"/>
    </row>
    <row r="54" ht="26.25" customHeight="1">
      <c r="A54" s="371"/>
      <c r="B54" s="1265"/>
      <c r="C54" s="371"/>
      <c r="D54" s="371"/>
      <c r="E54" s="371"/>
      <c r="F54" s="371"/>
      <c r="G54" s="371"/>
      <c r="H54" s="371"/>
      <c r="I54" s="371"/>
      <c r="J54" s="371"/>
      <c r="K54" s="371"/>
      <c r="L54" s="371"/>
      <c r="M54" s="371"/>
      <c r="N54" s="371"/>
      <c r="O54" s="371"/>
      <c r="P54" s="371"/>
      <c r="Q54" s="371"/>
      <c r="R54" s="371"/>
      <c r="S54" s="371"/>
      <c r="T54" s="371"/>
      <c r="U54" s="371"/>
      <c r="V54" s="371"/>
      <c r="W54" s="371"/>
      <c r="X54" s="371"/>
      <c r="Y54" s="371"/>
      <c r="Z54" s="371"/>
    </row>
    <row r="55" ht="26.25" customHeight="1">
      <c r="A55" s="371"/>
      <c r="B55" s="1265"/>
      <c r="C55" s="371"/>
      <c r="D55" s="371"/>
      <c r="E55" s="371"/>
      <c r="F55" s="371"/>
      <c r="G55" s="371"/>
      <c r="H55" s="371"/>
      <c r="I55" s="371"/>
      <c r="J55" s="371"/>
      <c r="K55" s="371"/>
      <c r="L55" s="371"/>
      <c r="M55" s="371"/>
      <c r="N55" s="371"/>
      <c r="O55" s="371"/>
      <c r="P55" s="371"/>
      <c r="Q55" s="371"/>
      <c r="R55" s="371"/>
      <c r="S55" s="371"/>
      <c r="T55" s="371"/>
      <c r="U55" s="371"/>
      <c r="V55" s="371"/>
      <c r="W55" s="371"/>
      <c r="X55" s="371"/>
      <c r="Y55" s="371"/>
      <c r="Z55" s="371"/>
    </row>
    <row r="56" ht="26.25" customHeight="1">
      <c r="A56" s="371"/>
      <c r="B56" s="1265"/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/>
      <c r="Z56" s="371"/>
    </row>
    <row r="57" ht="26.25" customHeight="1">
      <c r="A57" s="371"/>
      <c r="B57" s="1265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71"/>
      <c r="V57" s="371"/>
      <c r="W57" s="371"/>
      <c r="X57" s="371"/>
      <c r="Y57" s="371"/>
      <c r="Z57" s="371"/>
    </row>
    <row r="58" ht="26.25" customHeight="1">
      <c r="A58" s="371"/>
      <c r="B58" s="1265"/>
      <c r="C58" s="371"/>
      <c r="D58" s="371"/>
      <c r="E58" s="371"/>
      <c r="F58" s="371"/>
      <c r="G58" s="371"/>
      <c r="H58" s="371"/>
      <c r="I58" s="371"/>
      <c r="J58" s="371"/>
      <c r="K58" s="371"/>
      <c r="L58" s="371"/>
      <c r="M58" s="371"/>
      <c r="N58" s="371"/>
      <c r="O58" s="371"/>
      <c r="P58" s="371"/>
      <c r="Q58" s="371"/>
      <c r="R58" s="371"/>
      <c r="S58" s="371"/>
      <c r="T58" s="371"/>
      <c r="U58" s="371"/>
      <c r="V58" s="371"/>
      <c r="W58" s="371"/>
      <c r="X58" s="371"/>
      <c r="Y58" s="371"/>
      <c r="Z58" s="371"/>
    </row>
    <row r="59" ht="26.25" customHeight="1">
      <c r="A59" s="371"/>
      <c r="B59" s="1265"/>
      <c r="C59" s="371"/>
      <c r="D59" s="371"/>
      <c r="E59" s="371"/>
      <c r="F59" s="371"/>
      <c r="G59" s="371"/>
      <c r="H59" s="371"/>
      <c r="I59" s="371"/>
      <c r="J59" s="371"/>
      <c r="K59" s="371"/>
      <c r="L59" s="371"/>
      <c r="M59" s="371"/>
      <c r="N59" s="371"/>
      <c r="O59" s="371"/>
      <c r="P59" s="371"/>
      <c r="Q59" s="371"/>
      <c r="R59" s="371"/>
      <c r="S59" s="371"/>
      <c r="T59" s="371"/>
      <c r="U59" s="371"/>
      <c r="V59" s="371"/>
      <c r="W59" s="371"/>
      <c r="X59" s="371"/>
      <c r="Y59" s="371"/>
      <c r="Z59" s="371"/>
    </row>
    <row r="60" ht="26.25" customHeight="1">
      <c r="A60" s="371"/>
      <c r="B60" s="1265"/>
      <c r="C60" s="371"/>
      <c r="D60" s="371"/>
      <c r="E60" s="371"/>
      <c r="F60" s="371"/>
      <c r="G60" s="371"/>
      <c r="H60" s="371"/>
      <c r="I60" s="371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  <c r="U60" s="371"/>
      <c r="V60" s="371"/>
      <c r="W60" s="371"/>
      <c r="X60" s="371"/>
      <c r="Y60" s="371"/>
      <c r="Z60" s="371"/>
    </row>
    <row r="61" ht="26.25" customHeight="1">
      <c r="A61" s="371"/>
      <c r="B61" s="1265"/>
      <c r="C61" s="371"/>
      <c r="D61" s="371"/>
      <c r="E61" s="371"/>
      <c r="F61" s="371"/>
      <c r="G61" s="371"/>
      <c r="H61" s="371"/>
      <c r="I61" s="371"/>
      <c r="J61" s="371"/>
      <c r="K61" s="371"/>
      <c r="L61" s="371"/>
      <c r="M61" s="371"/>
      <c r="N61" s="371"/>
      <c r="O61" s="371"/>
      <c r="P61" s="371"/>
      <c r="Q61" s="371"/>
      <c r="R61" s="371"/>
      <c r="S61" s="371"/>
      <c r="T61" s="371"/>
      <c r="U61" s="371"/>
      <c r="V61" s="371"/>
      <c r="W61" s="371"/>
      <c r="X61" s="371"/>
      <c r="Y61" s="371"/>
      <c r="Z61" s="371"/>
    </row>
    <row r="62" ht="26.25" customHeight="1">
      <c r="A62" s="371"/>
      <c r="B62" s="1265"/>
      <c r="C62" s="371"/>
      <c r="D62" s="371"/>
      <c r="E62" s="371"/>
      <c r="F62" s="371"/>
      <c r="G62" s="371"/>
      <c r="H62" s="371"/>
      <c r="I62" s="371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  <c r="U62" s="371"/>
      <c r="V62" s="371"/>
      <c r="W62" s="371"/>
      <c r="X62" s="371"/>
      <c r="Y62" s="371"/>
      <c r="Z62" s="371"/>
    </row>
    <row r="63" ht="26.25" customHeight="1">
      <c r="A63" s="371"/>
      <c r="B63" s="1265"/>
      <c r="C63" s="371"/>
      <c r="D63" s="371"/>
      <c r="E63" s="371"/>
      <c r="F63" s="371"/>
      <c r="G63" s="371"/>
      <c r="H63" s="371"/>
      <c r="I63" s="371"/>
      <c r="J63" s="371"/>
      <c r="K63" s="371"/>
      <c r="L63" s="371"/>
      <c r="M63" s="371"/>
      <c r="N63" s="371"/>
      <c r="O63" s="371"/>
      <c r="P63" s="371"/>
      <c r="Q63" s="371"/>
      <c r="R63" s="371"/>
      <c r="S63" s="371"/>
      <c r="T63" s="371"/>
      <c r="U63" s="371"/>
      <c r="V63" s="371"/>
      <c r="W63" s="371"/>
      <c r="X63" s="371"/>
      <c r="Y63" s="371"/>
      <c r="Z63" s="371"/>
    </row>
    <row r="64" ht="26.25" customHeight="1">
      <c r="A64" s="371"/>
      <c r="B64" s="1265"/>
      <c r="C64" s="371"/>
      <c r="D64" s="371"/>
      <c r="E64" s="371"/>
      <c r="F64" s="371"/>
      <c r="G64" s="371"/>
      <c r="H64" s="371"/>
      <c r="I64" s="371"/>
      <c r="J64" s="371"/>
      <c r="K64" s="371"/>
      <c r="L64" s="371"/>
      <c r="M64" s="371"/>
      <c r="N64" s="371"/>
      <c r="O64" s="371"/>
      <c r="P64" s="371"/>
      <c r="Q64" s="371"/>
      <c r="R64" s="371"/>
      <c r="S64" s="371"/>
      <c r="T64" s="371"/>
      <c r="U64" s="371"/>
      <c r="V64" s="371"/>
      <c r="W64" s="371"/>
      <c r="X64" s="371"/>
      <c r="Y64" s="371"/>
      <c r="Z64" s="371"/>
    </row>
    <row r="65" ht="26.25" customHeight="1">
      <c r="A65" s="371"/>
      <c r="B65" s="1265"/>
      <c r="C65" s="371"/>
      <c r="D65" s="371"/>
      <c r="E65" s="371"/>
      <c r="F65" s="371"/>
      <c r="G65" s="371"/>
      <c r="H65" s="371"/>
      <c r="I65" s="371"/>
      <c r="J65" s="371"/>
      <c r="K65" s="371"/>
      <c r="L65" s="371"/>
      <c r="M65" s="371"/>
      <c r="N65" s="371"/>
      <c r="O65" s="371"/>
      <c r="P65" s="371"/>
      <c r="Q65" s="371"/>
      <c r="R65" s="371"/>
      <c r="S65" s="371"/>
      <c r="T65" s="371"/>
      <c r="U65" s="371"/>
      <c r="V65" s="371"/>
      <c r="W65" s="371"/>
      <c r="X65" s="371"/>
      <c r="Y65" s="371"/>
      <c r="Z65" s="371"/>
    </row>
    <row r="66" ht="26.25" customHeight="1">
      <c r="A66" s="371"/>
      <c r="B66" s="1265"/>
      <c r="C66" s="371"/>
      <c r="D66" s="371"/>
      <c r="E66" s="371"/>
      <c r="F66" s="371"/>
      <c r="G66" s="371"/>
      <c r="H66" s="371"/>
      <c r="I66" s="371"/>
      <c r="J66" s="371"/>
      <c r="K66" s="371"/>
      <c r="L66" s="371"/>
      <c r="M66" s="371"/>
      <c r="N66" s="371"/>
      <c r="O66" s="371"/>
      <c r="P66" s="371"/>
      <c r="Q66" s="371"/>
      <c r="R66" s="371"/>
      <c r="S66" s="371"/>
      <c r="T66" s="371"/>
      <c r="U66" s="371"/>
      <c r="V66" s="371"/>
      <c r="W66" s="371"/>
      <c r="X66" s="371"/>
      <c r="Y66" s="371"/>
      <c r="Z66" s="371"/>
    </row>
    <row r="67" ht="26.25" customHeight="1">
      <c r="A67" s="371"/>
      <c r="B67" s="1265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71"/>
      <c r="V67" s="371"/>
      <c r="W67" s="371"/>
      <c r="X67" s="371"/>
      <c r="Y67" s="371"/>
      <c r="Z67" s="371"/>
    </row>
    <row r="68" ht="26.25" customHeight="1">
      <c r="A68" s="371"/>
      <c r="B68" s="1265"/>
      <c r="C68" s="371"/>
      <c r="D68" s="371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1"/>
      <c r="P68" s="371"/>
      <c r="Q68" s="371"/>
      <c r="R68" s="371"/>
      <c r="S68" s="371"/>
      <c r="T68" s="371"/>
      <c r="U68" s="371"/>
      <c r="V68" s="371"/>
      <c r="W68" s="371"/>
      <c r="X68" s="371"/>
      <c r="Y68" s="371"/>
      <c r="Z68" s="371"/>
    </row>
    <row r="69" ht="26.25" customHeight="1">
      <c r="A69" s="371"/>
      <c r="B69" s="1265"/>
      <c r="C69" s="371"/>
      <c r="D69" s="371"/>
      <c r="E69" s="371"/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1"/>
      <c r="Q69" s="371"/>
      <c r="R69" s="371"/>
      <c r="S69" s="371"/>
      <c r="T69" s="371"/>
      <c r="U69" s="371"/>
      <c r="V69" s="371"/>
      <c r="W69" s="371"/>
      <c r="X69" s="371"/>
      <c r="Y69" s="371"/>
      <c r="Z69" s="371"/>
    </row>
    <row r="70" ht="26.25" customHeight="1">
      <c r="A70" s="371"/>
      <c r="B70" s="1265"/>
      <c r="C70" s="371"/>
      <c r="D70" s="371"/>
      <c r="E70" s="371"/>
      <c r="F70" s="371"/>
      <c r="G70" s="371"/>
      <c r="H70" s="371"/>
      <c r="I70" s="371"/>
      <c r="J70" s="371"/>
      <c r="K70" s="371"/>
      <c r="L70" s="371"/>
      <c r="M70" s="371"/>
      <c r="N70" s="371"/>
      <c r="O70" s="371"/>
      <c r="P70" s="371"/>
      <c r="Q70" s="371"/>
      <c r="R70" s="371"/>
      <c r="S70" s="371"/>
      <c r="T70" s="371"/>
      <c r="U70" s="371"/>
      <c r="V70" s="371"/>
      <c r="W70" s="371"/>
      <c r="X70" s="371"/>
      <c r="Y70" s="371"/>
      <c r="Z70" s="371"/>
    </row>
    <row r="71" ht="26.25" customHeight="1">
      <c r="A71" s="371"/>
      <c r="B71" s="1265"/>
      <c r="C71" s="371"/>
      <c r="D71" s="371"/>
      <c r="E71" s="371"/>
      <c r="F71" s="371"/>
      <c r="G71" s="371"/>
      <c r="H71" s="371"/>
      <c r="I71" s="371"/>
      <c r="J71" s="371"/>
      <c r="K71" s="371"/>
      <c r="L71" s="371"/>
      <c r="M71" s="371"/>
      <c r="N71" s="371"/>
      <c r="O71" s="371"/>
      <c r="P71" s="371"/>
      <c r="Q71" s="371"/>
      <c r="R71" s="371"/>
      <c r="S71" s="371"/>
      <c r="T71" s="371"/>
      <c r="U71" s="371"/>
      <c r="V71" s="371"/>
      <c r="W71" s="371"/>
      <c r="X71" s="371"/>
      <c r="Y71" s="371"/>
      <c r="Z71" s="371"/>
    </row>
    <row r="72" ht="26.25" customHeight="1">
      <c r="A72" s="371"/>
      <c r="B72" s="1265"/>
      <c r="C72" s="371"/>
      <c r="D72" s="371"/>
      <c r="E72" s="371"/>
      <c r="F72" s="371"/>
      <c r="G72" s="371"/>
      <c r="H72" s="371"/>
      <c r="I72" s="371"/>
      <c r="J72" s="371"/>
      <c r="K72" s="371"/>
      <c r="L72" s="371"/>
      <c r="M72" s="371"/>
      <c r="N72" s="371"/>
      <c r="O72" s="371"/>
      <c r="P72" s="371"/>
      <c r="Q72" s="371"/>
      <c r="R72" s="371"/>
      <c r="S72" s="371"/>
      <c r="T72" s="371"/>
      <c r="U72" s="371"/>
      <c r="V72" s="371"/>
      <c r="W72" s="371"/>
      <c r="X72" s="371"/>
      <c r="Y72" s="371"/>
      <c r="Z72" s="371"/>
    </row>
    <row r="73" ht="26.25" customHeight="1">
      <c r="A73" s="371"/>
      <c r="B73" s="1265"/>
      <c r="C73" s="371"/>
      <c r="D73" s="371"/>
      <c r="E73" s="371"/>
      <c r="F73" s="371"/>
      <c r="G73" s="371"/>
      <c r="H73" s="371"/>
      <c r="I73" s="371"/>
      <c r="J73" s="371"/>
      <c r="K73" s="371"/>
      <c r="L73" s="371"/>
      <c r="M73" s="371"/>
      <c r="N73" s="371"/>
      <c r="O73" s="371"/>
      <c r="P73" s="371"/>
      <c r="Q73" s="371"/>
      <c r="R73" s="371"/>
      <c r="S73" s="371"/>
      <c r="T73" s="371"/>
      <c r="U73" s="371"/>
      <c r="V73" s="371"/>
      <c r="W73" s="371"/>
      <c r="X73" s="371"/>
      <c r="Y73" s="371"/>
      <c r="Z73" s="371"/>
    </row>
    <row r="74" ht="26.25" customHeight="1">
      <c r="A74" s="371"/>
      <c r="B74" s="1265"/>
      <c r="C74" s="371"/>
      <c r="D74" s="371"/>
      <c r="E74" s="371"/>
      <c r="F74" s="371"/>
      <c r="G74" s="371"/>
      <c r="H74" s="371"/>
      <c r="I74" s="371"/>
      <c r="J74" s="371"/>
      <c r="K74" s="371"/>
      <c r="L74" s="371"/>
      <c r="M74" s="371"/>
      <c r="N74" s="371"/>
      <c r="O74" s="371"/>
      <c r="P74" s="371"/>
      <c r="Q74" s="371"/>
      <c r="R74" s="371"/>
      <c r="S74" s="371"/>
      <c r="T74" s="371"/>
      <c r="U74" s="371"/>
      <c r="V74" s="371"/>
      <c r="W74" s="371"/>
      <c r="X74" s="371"/>
      <c r="Y74" s="371"/>
      <c r="Z74" s="371"/>
    </row>
    <row r="75" ht="26.25" customHeight="1">
      <c r="A75" s="371"/>
      <c r="B75" s="1265"/>
      <c r="C75" s="371"/>
      <c r="D75" s="371"/>
      <c r="E75" s="371"/>
      <c r="F75" s="371"/>
      <c r="G75" s="371"/>
      <c r="H75" s="371"/>
      <c r="I75" s="371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371"/>
      <c r="V75" s="371"/>
      <c r="W75" s="371"/>
      <c r="X75" s="371"/>
      <c r="Y75" s="371"/>
      <c r="Z75" s="371"/>
    </row>
    <row r="76" ht="26.25" customHeight="1">
      <c r="A76" s="371"/>
      <c r="B76" s="1265"/>
      <c r="C76" s="371"/>
      <c r="D76" s="371"/>
      <c r="E76" s="371"/>
      <c r="F76" s="371"/>
      <c r="G76" s="371"/>
      <c r="H76" s="371"/>
      <c r="I76" s="371"/>
      <c r="J76" s="371"/>
      <c r="K76" s="371"/>
      <c r="L76" s="371"/>
      <c r="M76" s="371"/>
      <c r="N76" s="371"/>
      <c r="O76" s="371"/>
      <c r="P76" s="371"/>
      <c r="Q76" s="371"/>
      <c r="R76" s="371"/>
      <c r="S76" s="371"/>
      <c r="T76" s="371"/>
      <c r="U76" s="371"/>
      <c r="V76" s="371"/>
      <c r="W76" s="371"/>
      <c r="X76" s="371"/>
      <c r="Y76" s="371"/>
      <c r="Z76" s="371"/>
    </row>
    <row r="77" ht="26.25" customHeight="1">
      <c r="A77" s="371"/>
      <c r="B77" s="1265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71"/>
      <c r="V77" s="371"/>
      <c r="W77" s="371"/>
      <c r="X77" s="371"/>
      <c r="Y77" s="371"/>
      <c r="Z77" s="371"/>
    </row>
    <row r="78" ht="26.25" customHeight="1">
      <c r="A78" s="371"/>
      <c r="B78" s="1265"/>
      <c r="C78" s="371"/>
      <c r="D78" s="371"/>
      <c r="E78" s="371"/>
      <c r="F78" s="371"/>
      <c r="G78" s="371"/>
      <c r="H78" s="371"/>
      <c r="I78" s="371"/>
      <c r="J78" s="371"/>
      <c r="K78" s="371"/>
      <c r="L78" s="371"/>
      <c r="M78" s="371"/>
      <c r="N78" s="371"/>
      <c r="O78" s="371"/>
      <c r="P78" s="371"/>
      <c r="Q78" s="371"/>
      <c r="R78" s="371"/>
      <c r="S78" s="371"/>
      <c r="T78" s="371"/>
      <c r="U78" s="371"/>
      <c r="V78" s="371"/>
      <c r="W78" s="371"/>
      <c r="X78" s="371"/>
      <c r="Y78" s="371"/>
      <c r="Z78" s="371"/>
    </row>
    <row r="79" ht="26.25" customHeight="1">
      <c r="A79" s="371"/>
      <c r="B79" s="1265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71"/>
      <c r="W79" s="371"/>
      <c r="X79" s="371"/>
      <c r="Y79" s="371"/>
      <c r="Z79" s="371"/>
    </row>
    <row r="80" ht="26.25" customHeight="1">
      <c r="A80" s="371"/>
      <c r="B80" s="1265"/>
      <c r="C80" s="371"/>
      <c r="D80" s="371"/>
      <c r="E80" s="371"/>
      <c r="F80" s="371"/>
      <c r="G80" s="371"/>
      <c r="H80" s="371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71"/>
      <c r="V80" s="371"/>
      <c r="W80" s="371"/>
      <c r="X80" s="371"/>
      <c r="Y80" s="371"/>
      <c r="Z80" s="371"/>
    </row>
    <row r="81" ht="26.25" customHeight="1">
      <c r="A81" s="371"/>
      <c r="B81" s="1265"/>
      <c r="C81" s="371"/>
      <c r="D81" s="371"/>
      <c r="E81" s="371"/>
      <c r="F81" s="371"/>
      <c r="G81" s="371"/>
      <c r="H81" s="371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V81" s="371"/>
      <c r="W81" s="371"/>
      <c r="X81" s="371"/>
      <c r="Y81" s="371"/>
      <c r="Z81" s="371"/>
    </row>
    <row r="82" ht="26.25" customHeight="1">
      <c r="A82" s="371"/>
      <c r="B82" s="1265"/>
      <c r="C82" s="371"/>
      <c r="D82" s="371"/>
      <c r="E82" s="371"/>
      <c r="F82" s="371"/>
      <c r="G82" s="371"/>
      <c r="H82" s="371"/>
      <c r="I82" s="371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T82" s="371"/>
      <c r="U82" s="371"/>
      <c r="V82" s="371"/>
      <c r="W82" s="371"/>
      <c r="X82" s="371"/>
      <c r="Y82" s="371"/>
      <c r="Z82" s="371"/>
    </row>
    <row r="83" ht="26.25" customHeight="1">
      <c r="A83" s="371"/>
      <c r="B83" s="1265"/>
      <c r="C83" s="371"/>
      <c r="D83" s="371"/>
      <c r="E83" s="371"/>
      <c r="F83" s="371"/>
      <c r="G83" s="371"/>
      <c r="H83" s="371"/>
      <c r="I83" s="371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T83" s="371"/>
      <c r="U83" s="371"/>
      <c r="V83" s="371"/>
      <c r="W83" s="371"/>
      <c r="X83" s="371"/>
      <c r="Y83" s="371"/>
      <c r="Z83" s="371"/>
    </row>
    <row r="84" ht="26.25" customHeight="1">
      <c r="A84" s="371"/>
      <c r="B84" s="1265"/>
      <c r="C84" s="371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71"/>
      <c r="V84" s="371"/>
      <c r="W84" s="371"/>
      <c r="X84" s="371"/>
      <c r="Y84" s="371"/>
      <c r="Z84" s="371"/>
    </row>
    <row r="85" ht="26.25" customHeight="1">
      <c r="A85" s="371"/>
      <c r="B85" s="1265"/>
      <c r="C85" s="371"/>
      <c r="D85" s="371"/>
      <c r="E85" s="371"/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71"/>
      <c r="W85" s="371"/>
      <c r="X85" s="371"/>
      <c r="Y85" s="371"/>
      <c r="Z85" s="371"/>
    </row>
    <row r="86" ht="26.25" customHeight="1">
      <c r="A86" s="371"/>
      <c r="B86" s="1265"/>
      <c r="C86" s="371"/>
      <c r="D86" s="371"/>
      <c r="E86" s="371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371"/>
      <c r="Q86" s="371"/>
      <c r="R86" s="371"/>
      <c r="S86" s="371"/>
      <c r="T86" s="371"/>
      <c r="U86" s="371"/>
      <c r="V86" s="371"/>
      <c r="W86" s="371"/>
      <c r="X86" s="371"/>
      <c r="Y86" s="371"/>
      <c r="Z86" s="371"/>
    </row>
    <row r="87" ht="26.25" customHeight="1">
      <c r="A87" s="371"/>
      <c r="B87" s="1265"/>
      <c r="C87" s="371"/>
      <c r="D87" s="371"/>
      <c r="E87" s="371"/>
      <c r="F87" s="371"/>
      <c r="G87" s="371"/>
      <c r="H87" s="371"/>
      <c r="I87" s="371"/>
      <c r="J87" s="371"/>
      <c r="K87" s="371"/>
      <c r="L87" s="371"/>
      <c r="M87" s="371"/>
      <c r="N87" s="371"/>
      <c r="O87" s="371"/>
      <c r="P87" s="371"/>
      <c r="Q87" s="371"/>
      <c r="R87" s="371"/>
      <c r="S87" s="371"/>
      <c r="T87" s="371"/>
      <c r="U87" s="371"/>
      <c r="V87" s="371"/>
      <c r="W87" s="371"/>
      <c r="X87" s="371"/>
      <c r="Y87" s="371"/>
      <c r="Z87" s="371"/>
    </row>
    <row r="88" ht="26.25" customHeight="1">
      <c r="A88" s="371"/>
      <c r="B88" s="1265"/>
      <c r="C88" s="371"/>
      <c r="D88" s="371"/>
      <c r="E88" s="371"/>
      <c r="F88" s="371"/>
      <c r="G88" s="371"/>
      <c r="H88" s="371"/>
      <c r="I88" s="371"/>
      <c r="J88" s="371"/>
      <c r="K88" s="371"/>
      <c r="L88" s="371"/>
      <c r="M88" s="371"/>
      <c r="N88" s="371"/>
      <c r="O88" s="371"/>
      <c r="P88" s="371"/>
      <c r="Q88" s="371"/>
      <c r="R88" s="371"/>
      <c r="S88" s="371"/>
      <c r="T88" s="371"/>
      <c r="U88" s="371"/>
      <c r="V88" s="371"/>
      <c r="W88" s="371"/>
      <c r="X88" s="371"/>
      <c r="Y88" s="371"/>
      <c r="Z88" s="371"/>
    </row>
    <row r="89" ht="26.25" customHeight="1">
      <c r="A89" s="371"/>
      <c r="B89" s="1265"/>
      <c r="C89" s="371"/>
      <c r="D89" s="371"/>
      <c r="E89" s="371"/>
      <c r="F89" s="371"/>
      <c r="G89" s="371"/>
      <c r="H89" s="371"/>
      <c r="I89" s="371"/>
      <c r="J89" s="371"/>
      <c r="K89" s="371"/>
      <c r="L89" s="371"/>
      <c r="M89" s="371"/>
      <c r="N89" s="371"/>
      <c r="O89" s="371"/>
      <c r="P89" s="371"/>
      <c r="Q89" s="371"/>
      <c r="R89" s="371"/>
      <c r="S89" s="371"/>
      <c r="T89" s="371"/>
      <c r="U89" s="371"/>
      <c r="V89" s="371"/>
      <c r="W89" s="371"/>
      <c r="X89" s="371"/>
      <c r="Y89" s="371"/>
      <c r="Z89" s="371"/>
    </row>
    <row r="90" ht="26.25" customHeight="1">
      <c r="A90" s="371"/>
      <c r="B90" s="1265"/>
      <c r="C90" s="371"/>
      <c r="D90" s="371"/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1"/>
      <c r="P90" s="371"/>
      <c r="Q90" s="371"/>
      <c r="R90" s="371"/>
      <c r="S90" s="371"/>
      <c r="T90" s="371"/>
      <c r="U90" s="371"/>
      <c r="V90" s="371"/>
      <c r="W90" s="371"/>
      <c r="X90" s="371"/>
      <c r="Y90" s="371"/>
      <c r="Z90" s="371"/>
    </row>
    <row r="91" ht="26.25" customHeight="1">
      <c r="A91" s="371"/>
      <c r="B91" s="1265"/>
      <c r="C91" s="371"/>
      <c r="D91" s="371"/>
      <c r="E91" s="371"/>
      <c r="F91" s="371"/>
      <c r="G91" s="371"/>
      <c r="H91" s="371"/>
      <c r="I91" s="371"/>
      <c r="J91" s="371"/>
      <c r="K91" s="371"/>
      <c r="L91" s="371"/>
      <c r="M91" s="371"/>
      <c r="N91" s="371"/>
      <c r="O91" s="371"/>
      <c r="P91" s="371"/>
      <c r="Q91" s="371"/>
      <c r="R91" s="371"/>
      <c r="S91" s="371"/>
      <c r="T91" s="371"/>
      <c r="U91" s="371"/>
      <c r="V91" s="371"/>
      <c r="W91" s="371"/>
      <c r="X91" s="371"/>
      <c r="Y91" s="371"/>
      <c r="Z91" s="371"/>
    </row>
    <row r="92" ht="26.25" customHeight="1">
      <c r="A92" s="371"/>
      <c r="B92" s="1265"/>
      <c r="C92" s="371"/>
      <c r="D92" s="371"/>
      <c r="E92" s="371"/>
      <c r="F92" s="371"/>
      <c r="G92" s="371"/>
      <c r="H92" s="371"/>
      <c r="I92" s="371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371"/>
      <c r="V92" s="371"/>
      <c r="W92" s="371"/>
      <c r="X92" s="371"/>
      <c r="Y92" s="371"/>
      <c r="Z92" s="371"/>
    </row>
    <row r="93" ht="26.25" customHeight="1">
      <c r="A93" s="371"/>
      <c r="B93" s="1265"/>
      <c r="C93" s="371"/>
      <c r="D93" s="371"/>
      <c r="E93" s="371"/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1"/>
      <c r="Q93" s="371"/>
      <c r="R93" s="371"/>
      <c r="S93" s="371"/>
      <c r="T93" s="371"/>
      <c r="U93" s="371"/>
      <c r="V93" s="371"/>
      <c r="W93" s="371"/>
      <c r="X93" s="371"/>
      <c r="Y93" s="371"/>
      <c r="Z93" s="371"/>
    </row>
    <row r="94" ht="26.25" customHeight="1">
      <c r="A94" s="371"/>
      <c r="B94" s="1265"/>
      <c r="C94" s="371"/>
      <c r="D94" s="371"/>
      <c r="E94" s="371"/>
      <c r="F94" s="371"/>
      <c r="G94" s="371"/>
      <c r="H94" s="371"/>
      <c r="I94" s="371"/>
      <c r="J94" s="371"/>
      <c r="K94" s="371"/>
      <c r="L94" s="371"/>
      <c r="M94" s="371"/>
      <c r="N94" s="371"/>
      <c r="O94" s="371"/>
      <c r="P94" s="371"/>
      <c r="Q94" s="371"/>
      <c r="R94" s="371"/>
      <c r="S94" s="371"/>
      <c r="T94" s="371"/>
      <c r="U94" s="371"/>
      <c r="V94" s="371"/>
      <c r="W94" s="371"/>
      <c r="X94" s="371"/>
      <c r="Y94" s="371"/>
      <c r="Z94" s="371"/>
    </row>
    <row r="95" ht="26.25" customHeight="1">
      <c r="A95" s="371"/>
      <c r="B95" s="1265"/>
      <c r="C95" s="371"/>
      <c r="D95" s="371"/>
      <c r="E95" s="371"/>
      <c r="F95" s="371"/>
      <c r="G95" s="371"/>
      <c r="H95" s="371"/>
      <c r="I95" s="371"/>
      <c r="J95" s="371"/>
      <c r="K95" s="371"/>
      <c r="L95" s="371"/>
      <c r="M95" s="371"/>
      <c r="N95" s="371"/>
      <c r="O95" s="371"/>
      <c r="P95" s="371"/>
      <c r="Q95" s="371"/>
      <c r="R95" s="371"/>
      <c r="S95" s="371"/>
      <c r="T95" s="371"/>
      <c r="U95" s="371"/>
      <c r="V95" s="371"/>
      <c r="W95" s="371"/>
      <c r="X95" s="371"/>
      <c r="Y95" s="371"/>
      <c r="Z95" s="371"/>
    </row>
    <row r="96" ht="26.25" customHeight="1">
      <c r="A96" s="371"/>
      <c r="B96" s="1265"/>
      <c r="C96" s="371"/>
      <c r="D96" s="371"/>
      <c r="E96" s="371"/>
      <c r="F96" s="371"/>
      <c r="G96" s="371"/>
      <c r="H96" s="371"/>
      <c r="I96" s="371"/>
      <c r="J96" s="371"/>
      <c r="K96" s="371"/>
      <c r="L96" s="371"/>
      <c r="M96" s="371"/>
      <c r="N96" s="371"/>
      <c r="O96" s="371"/>
      <c r="P96" s="371"/>
      <c r="Q96" s="371"/>
      <c r="R96" s="371"/>
      <c r="S96" s="371"/>
      <c r="T96" s="371"/>
      <c r="U96" s="371"/>
      <c r="V96" s="371"/>
      <c r="W96" s="371"/>
      <c r="X96" s="371"/>
      <c r="Y96" s="371"/>
      <c r="Z96" s="371"/>
    </row>
    <row r="97" ht="26.25" customHeight="1">
      <c r="A97" s="371"/>
      <c r="B97" s="1265"/>
      <c r="C97" s="371"/>
      <c r="D97" s="371"/>
      <c r="E97" s="371"/>
      <c r="F97" s="371"/>
      <c r="G97" s="371"/>
      <c r="H97" s="371"/>
      <c r="I97" s="371"/>
      <c r="J97" s="371"/>
      <c r="K97" s="371"/>
      <c r="L97" s="371"/>
      <c r="M97" s="371"/>
      <c r="N97" s="371"/>
      <c r="O97" s="371"/>
      <c r="P97" s="371"/>
      <c r="Q97" s="371"/>
      <c r="R97" s="371"/>
      <c r="S97" s="371"/>
      <c r="T97" s="371"/>
      <c r="U97" s="371"/>
      <c r="V97" s="371"/>
      <c r="W97" s="371"/>
      <c r="X97" s="371"/>
      <c r="Y97" s="371"/>
      <c r="Z97" s="371"/>
    </row>
    <row r="98" ht="26.25" customHeight="1">
      <c r="A98" s="371"/>
      <c r="B98" s="1265"/>
      <c r="C98" s="371"/>
      <c r="D98" s="371"/>
      <c r="E98" s="371"/>
      <c r="F98" s="371"/>
      <c r="G98" s="371"/>
      <c r="H98" s="371"/>
      <c r="I98" s="371"/>
      <c r="J98" s="371"/>
      <c r="K98" s="371"/>
      <c r="L98" s="371"/>
      <c r="M98" s="371"/>
      <c r="N98" s="371"/>
      <c r="O98" s="371"/>
      <c r="P98" s="371"/>
      <c r="Q98" s="371"/>
      <c r="R98" s="371"/>
      <c r="S98" s="371"/>
      <c r="T98" s="371"/>
      <c r="U98" s="371"/>
      <c r="V98" s="371"/>
      <c r="W98" s="371"/>
      <c r="X98" s="371"/>
      <c r="Y98" s="371"/>
      <c r="Z98" s="371"/>
    </row>
    <row r="99" ht="26.25" customHeight="1">
      <c r="A99" s="371"/>
      <c r="B99" s="1265"/>
      <c r="C99" s="371"/>
      <c r="D99" s="371"/>
      <c r="E99" s="371"/>
      <c r="F99" s="371"/>
      <c r="G99" s="371"/>
      <c r="H99" s="371"/>
      <c r="I99" s="371"/>
      <c r="J99" s="371"/>
      <c r="K99" s="371"/>
      <c r="L99" s="371"/>
      <c r="M99" s="371"/>
      <c r="N99" s="371"/>
      <c r="O99" s="371"/>
      <c r="P99" s="371"/>
      <c r="Q99" s="371"/>
      <c r="R99" s="371"/>
      <c r="S99" s="371"/>
      <c r="T99" s="371"/>
      <c r="U99" s="371"/>
      <c r="V99" s="371"/>
      <c r="W99" s="371"/>
      <c r="X99" s="371"/>
      <c r="Y99" s="371"/>
      <c r="Z99" s="371"/>
    </row>
    <row r="100" ht="26.25" customHeight="1">
      <c r="A100" s="371"/>
      <c r="B100" s="1265"/>
      <c r="C100" s="371"/>
      <c r="D100" s="371"/>
      <c r="E100" s="371"/>
      <c r="F100" s="371"/>
      <c r="G100" s="371"/>
      <c r="H100" s="371"/>
      <c r="I100" s="371"/>
      <c r="J100" s="371"/>
      <c r="K100" s="371"/>
      <c r="L100" s="371"/>
      <c r="M100" s="371"/>
      <c r="N100" s="371"/>
      <c r="O100" s="371"/>
      <c r="P100" s="371"/>
      <c r="Q100" s="371"/>
      <c r="R100" s="371"/>
      <c r="S100" s="371"/>
      <c r="T100" s="371"/>
      <c r="U100" s="371"/>
      <c r="V100" s="371"/>
      <c r="W100" s="371"/>
      <c r="X100" s="371"/>
      <c r="Y100" s="371"/>
      <c r="Z100" s="371"/>
    </row>
    <row r="101" ht="26.25" customHeight="1">
      <c r="A101" s="371"/>
      <c r="B101" s="1265"/>
      <c r="C101" s="371"/>
      <c r="D101" s="371"/>
      <c r="E101" s="371"/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1"/>
      <c r="Q101" s="371"/>
      <c r="R101" s="371"/>
      <c r="S101" s="371"/>
      <c r="T101" s="371"/>
      <c r="U101" s="371"/>
      <c r="V101" s="371"/>
      <c r="W101" s="371"/>
      <c r="X101" s="371"/>
      <c r="Y101" s="371"/>
      <c r="Z101" s="371"/>
    </row>
    <row r="102" ht="26.25" customHeight="1">
      <c r="A102" s="371"/>
      <c r="B102" s="1265"/>
      <c r="C102" s="371"/>
      <c r="D102" s="371"/>
      <c r="E102" s="371"/>
      <c r="F102" s="371"/>
      <c r="G102" s="371"/>
      <c r="H102" s="371"/>
      <c r="I102" s="371"/>
      <c r="J102" s="371"/>
      <c r="K102" s="371"/>
      <c r="L102" s="371"/>
      <c r="M102" s="371"/>
      <c r="N102" s="371"/>
      <c r="O102" s="371"/>
      <c r="P102" s="371"/>
      <c r="Q102" s="371"/>
      <c r="R102" s="371"/>
      <c r="S102" s="371"/>
      <c r="T102" s="371"/>
      <c r="U102" s="371"/>
      <c r="V102" s="371"/>
      <c r="W102" s="371"/>
      <c r="X102" s="371"/>
      <c r="Y102" s="371"/>
      <c r="Z102" s="371"/>
    </row>
    <row r="103" ht="26.25" customHeight="1">
      <c r="A103" s="371"/>
      <c r="B103" s="1265"/>
      <c r="C103" s="371"/>
      <c r="D103" s="371"/>
      <c r="E103" s="371"/>
      <c r="F103" s="371"/>
      <c r="G103" s="371"/>
      <c r="H103" s="371"/>
      <c r="I103" s="371"/>
      <c r="J103" s="371"/>
      <c r="K103" s="371"/>
      <c r="L103" s="371"/>
      <c r="M103" s="371"/>
      <c r="N103" s="371"/>
      <c r="O103" s="371"/>
      <c r="P103" s="371"/>
      <c r="Q103" s="371"/>
      <c r="R103" s="371"/>
      <c r="S103" s="371"/>
      <c r="T103" s="371"/>
      <c r="U103" s="371"/>
      <c r="V103" s="371"/>
      <c r="W103" s="371"/>
      <c r="X103" s="371"/>
      <c r="Y103" s="371"/>
      <c r="Z103" s="371"/>
    </row>
    <row r="104" ht="26.25" customHeight="1">
      <c r="A104" s="371"/>
      <c r="B104" s="1265"/>
      <c r="C104" s="371"/>
      <c r="D104" s="371"/>
      <c r="E104" s="371"/>
      <c r="F104" s="371"/>
      <c r="G104" s="371"/>
      <c r="H104" s="371"/>
      <c r="I104" s="371"/>
      <c r="J104" s="371"/>
      <c r="K104" s="371"/>
      <c r="L104" s="371"/>
      <c r="M104" s="371"/>
      <c r="N104" s="371"/>
      <c r="O104" s="371"/>
      <c r="P104" s="371"/>
      <c r="Q104" s="371"/>
      <c r="R104" s="371"/>
      <c r="S104" s="371"/>
      <c r="T104" s="371"/>
      <c r="U104" s="371"/>
      <c r="V104" s="371"/>
      <c r="W104" s="371"/>
      <c r="X104" s="371"/>
      <c r="Y104" s="371"/>
      <c r="Z104" s="371"/>
    </row>
    <row r="105" ht="26.25" customHeight="1">
      <c r="A105" s="371"/>
      <c r="B105" s="1265"/>
      <c r="C105" s="371"/>
      <c r="D105" s="371"/>
      <c r="E105" s="371"/>
      <c r="F105" s="371"/>
      <c r="G105" s="371"/>
      <c r="H105" s="371"/>
      <c r="I105" s="371"/>
      <c r="J105" s="371"/>
      <c r="K105" s="371"/>
      <c r="L105" s="371"/>
      <c r="M105" s="371"/>
      <c r="N105" s="371"/>
      <c r="O105" s="371"/>
      <c r="P105" s="371"/>
      <c r="Q105" s="371"/>
      <c r="R105" s="371"/>
      <c r="S105" s="371"/>
      <c r="T105" s="371"/>
      <c r="U105" s="371"/>
      <c r="V105" s="371"/>
      <c r="W105" s="371"/>
      <c r="X105" s="371"/>
      <c r="Y105" s="371"/>
      <c r="Z105" s="371"/>
    </row>
    <row r="106" ht="26.25" customHeight="1">
      <c r="A106" s="371"/>
      <c r="B106" s="1265"/>
      <c r="C106" s="371"/>
      <c r="D106" s="371"/>
      <c r="E106" s="371"/>
      <c r="F106" s="371"/>
      <c r="G106" s="371"/>
      <c r="H106" s="371"/>
      <c r="I106" s="371"/>
      <c r="J106" s="371"/>
      <c r="K106" s="371"/>
      <c r="L106" s="371"/>
      <c r="M106" s="371"/>
      <c r="N106" s="371"/>
      <c r="O106" s="371"/>
      <c r="P106" s="371"/>
      <c r="Q106" s="371"/>
      <c r="R106" s="371"/>
      <c r="S106" s="371"/>
      <c r="T106" s="371"/>
      <c r="U106" s="371"/>
      <c r="V106" s="371"/>
      <c r="W106" s="371"/>
      <c r="X106" s="371"/>
      <c r="Y106" s="371"/>
      <c r="Z106" s="371"/>
    </row>
    <row r="107" ht="26.25" customHeight="1">
      <c r="A107" s="371"/>
      <c r="B107" s="1265"/>
      <c r="C107" s="371"/>
      <c r="D107" s="371"/>
      <c r="E107" s="371"/>
      <c r="F107" s="371"/>
      <c r="G107" s="371"/>
      <c r="H107" s="371"/>
      <c r="I107" s="371"/>
      <c r="J107" s="371"/>
      <c r="K107" s="371"/>
      <c r="L107" s="371"/>
      <c r="M107" s="371"/>
      <c r="N107" s="371"/>
      <c r="O107" s="371"/>
      <c r="P107" s="371"/>
      <c r="Q107" s="371"/>
      <c r="R107" s="371"/>
      <c r="S107" s="371"/>
      <c r="T107" s="371"/>
      <c r="U107" s="371"/>
      <c r="V107" s="371"/>
      <c r="W107" s="371"/>
      <c r="X107" s="371"/>
      <c r="Y107" s="371"/>
      <c r="Z107" s="371"/>
    </row>
    <row r="108" ht="26.25" customHeight="1">
      <c r="A108" s="371"/>
      <c r="B108" s="1265"/>
      <c r="C108" s="371"/>
      <c r="D108" s="371"/>
      <c r="E108" s="371"/>
      <c r="F108" s="371"/>
      <c r="G108" s="371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  <c r="U108" s="371"/>
      <c r="V108" s="371"/>
      <c r="W108" s="371"/>
      <c r="X108" s="371"/>
      <c r="Y108" s="371"/>
      <c r="Z108" s="371"/>
    </row>
    <row r="109" ht="26.25" customHeight="1">
      <c r="A109" s="371"/>
      <c r="B109" s="1265"/>
      <c r="C109" s="371"/>
      <c r="D109" s="371"/>
      <c r="E109" s="371"/>
      <c r="F109" s="371"/>
      <c r="G109" s="371"/>
      <c r="H109" s="371"/>
      <c r="I109" s="371"/>
      <c r="J109" s="371"/>
      <c r="K109" s="371"/>
      <c r="L109" s="371"/>
      <c r="M109" s="371"/>
      <c r="N109" s="371"/>
      <c r="O109" s="371"/>
      <c r="P109" s="371"/>
      <c r="Q109" s="371"/>
      <c r="R109" s="371"/>
      <c r="S109" s="371"/>
      <c r="T109" s="371"/>
      <c r="U109" s="371"/>
      <c r="V109" s="371"/>
      <c r="W109" s="371"/>
      <c r="X109" s="371"/>
      <c r="Y109" s="371"/>
      <c r="Z109" s="371"/>
    </row>
    <row r="110" ht="26.25" customHeight="1">
      <c r="A110" s="371"/>
      <c r="B110" s="1265"/>
      <c r="C110" s="371"/>
      <c r="D110" s="371"/>
      <c r="E110" s="371"/>
      <c r="F110" s="371"/>
      <c r="G110" s="371"/>
      <c r="H110" s="371"/>
      <c r="I110" s="371"/>
      <c r="J110" s="371"/>
      <c r="K110" s="371"/>
      <c r="L110" s="371"/>
      <c r="M110" s="371"/>
      <c r="N110" s="371"/>
      <c r="O110" s="371"/>
      <c r="P110" s="371"/>
      <c r="Q110" s="371"/>
      <c r="R110" s="371"/>
      <c r="S110" s="371"/>
      <c r="T110" s="371"/>
      <c r="U110" s="371"/>
      <c r="V110" s="371"/>
      <c r="W110" s="371"/>
      <c r="X110" s="371"/>
      <c r="Y110" s="371"/>
      <c r="Z110" s="371"/>
    </row>
    <row r="111" ht="26.25" customHeight="1">
      <c r="A111" s="371"/>
      <c r="B111" s="1265"/>
      <c r="C111" s="371"/>
      <c r="D111" s="371"/>
      <c r="E111" s="371"/>
      <c r="F111" s="371"/>
      <c r="G111" s="371"/>
      <c r="H111" s="371"/>
      <c r="I111" s="371"/>
      <c r="J111" s="371"/>
      <c r="K111" s="371"/>
      <c r="L111" s="371"/>
      <c r="M111" s="371"/>
      <c r="N111" s="371"/>
      <c r="O111" s="371"/>
      <c r="P111" s="371"/>
      <c r="Q111" s="371"/>
      <c r="R111" s="371"/>
      <c r="S111" s="371"/>
      <c r="T111" s="371"/>
      <c r="U111" s="371"/>
      <c r="V111" s="371"/>
      <c r="W111" s="371"/>
      <c r="X111" s="371"/>
      <c r="Y111" s="371"/>
      <c r="Z111" s="371"/>
    </row>
    <row r="112" ht="26.25" customHeight="1">
      <c r="A112" s="371"/>
      <c r="B112" s="1265"/>
      <c r="C112" s="371"/>
      <c r="D112" s="371"/>
      <c r="E112" s="371"/>
      <c r="F112" s="371"/>
      <c r="G112" s="371"/>
      <c r="H112" s="371"/>
      <c r="I112" s="371"/>
      <c r="J112" s="371"/>
      <c r="K112" s="371"/>
      <c r="L112" s="371"/>
      <c r="M112" s="371"/>
      <c r="N112" s="371"/>
      <c r="O112" s="371"/>
      <c r="P112" s="371"/>
      <c r="Q112" s="371"/>
      <c r="R112" s="371"/>
      <c r="S112" s="371"/>
      <c r="T112" s="371"/>
      <c r="U112" s="371"/>
      <c r="V112" s="371"/>
      <c r="W112" s="371"/>
      <c r="X112" s="371"/>
      <c r="Y112" s="371"/>
      <c r="Z112" s="371"/>
    </row>
    <row r="113" ht="26.25" customHeight="1">
      <c r="A113" s="371"/>
      <c r="B113" s="1265"/>
      <c r="C113" s="371"/>
      <c r="D113" s="371"/>
      <c r="E113" s="371"/>
      <c r="F113" s="371"/>
      <c r="G113" s="371"/>
      <c r="H113" s="371"/>
      <c r="I113" s="371"/>
      <c r="J113" s="371"/>
      <c r="K113" s="371"/>
      <c r="L113" s="371"/>
      <c r="M113" s="371"/>
      <c r="N113" s="371"/>
      <c r="O113" s="371"/>
      <c r="P113" s="371"/>
      <c r="Q113" s="371"/>
      <c r="R113" s="371"/>
      <c r="S113" s="371"/>
      <c r="T113" s="371"/>
      <c r="U113" s="371"/>
      <c r="V113" s="371"/>
      <c r="W113" s="371"/>
      <c r="X113" s="371"/>
      <c r="Y113" s="371"/>
      <c r="Z113" s="371"/>
    </row>
    <row r="114" ht="26.25" customHeight="1">
      <c r="A114" s="371"/>
      <c r="B114" s="1265"/>
      <c r="C114" s="371"/>
      <c r="D114" s="371"/>
      <c r="E114" s="371"/>
      <c r="F114" s="371"/>
      <c r="G114" s="371"/>
      <c r="H114" s="371"/>
      <c r="I114" s="371"/>
      <c r="J114" s="371"/>
      <c r="K114" s="371"/>
      <c r="L114" s="371"/>
      <c r="M114" s="371"/>
      <c r="N114" s="371"/>
      <c r="O114" s="371"/>
      <c r="P114" s="371"/>
      <c r="Q114" s="371"/>
      <c r="R114" s="371"/>
      <c r="S114" s="371"/>
      <c r="T114" s="371"/>
      <c r="U114" s="371"/>
      <c r="V114" s="371"/>
      <c r="W114" s="371"/>
      <c r="X114" s="371"/>
      <c r="Y114" s="371"/>
      <c r="Z114" s="371"/>
    </row>
    <row r="115" ht="26.25" customHeight="1">
      <c r="A115" s="371"/>
      <c r="B115" s="1265"/>
      <c r="C115" s="371"/>
      <c r="D115" s="371"/>
      <c r="E115" s="371"/>
      <c r="F115" s="371"/>
      <c r="G115" s="371"/>
      <c r="H115" s="371"/>
      <c r="I115" s="371"/>
      <c r="J115" s="371"/>
      <c r="K115" s="371"/>
      <c r="L115" s="371"/>
      <c r="M115" s="371"/>
      <c r="N115" s="371"/>
      <c r="O115" s="371"/>
      <c r="P115" s="371"/>
      <c r="Q115" s="371"/>
      <c r="R115" s="371"/>
      <c r="S115" s="371"/>
      <c r="T115" s="371"/>
      <c r="U115" s="371"/>
      <c r="V115" s="371"/>
      <c r="W115" s="371"/>
      <c r="X115" s="371"/>
      <c r="Y115" s="371"/>
      <c r="Z115" s="371"/>
    </row>
    <row r="116" ht="26.25" customHeight="1">
      <c r="A116" s="371"/>
      <c r="B116" s="1265"/>
      <c r="C116" s="371"/>
      <c r="D116" s="371"/>
      <c r="E116" s="371"/>
      <c r="F116" s="371"/>
      <c r="G116" s="371"/>
      <c r="H116" s="371"/>
      <c r="I116" s="371"/>
      <c r="J116" s="371"/>
      <c r="K116" s="371"/>
      <c r="L116" s="371"/>
      <c r="M116" s="371"/>
      <c r="N116" s="371"/>
      <c r="O116" s="371"/>
      <c r="P116" s="371"/>
      <c r="Q116" s="371"/>
      <c r="R116" s="371"/>
      <c r="S116" s="371"/>
      <c r="T116" s="371"/>
      <c r="U116" s="371"/>
      <c r="V116" s="371"/>
      <c r="W116" s="371"/>
      <c r="X116" s="371"/>
      <c r="Y116" s="371"/>
      <c r="Z116" s="371"/>
    </row>
    <row r="117" ht="26.25" customHeight="1">
      <c r="A117" s="371"/>
      <c r="B117" s="1265"/>
      <c r="C117" s="371"/>
      <c r="D117" s="371"/>
      <c r="E117" s="371"/>
      <c r="F117" s="371"/>
      <c r="G117" s="371"/>
      <c r="H117" s="371"/>
      <c r="I117" s="371"/>
      <c r="J117" s="371"/>
      <c r="K117" s="371"/>
      <c r="L117" s="371"/>
      <c r="M117" s="371"/>
      <c r="N117" s="371"/>
      <c r="O117" s="371"/>
      <c r="P117" s="371"/>
      <c r="Q117" s="371"/>
      <c r="R117" s="371"/>
      <c r="S117" s="371"/>
      <c r="T117" s="371"/>
      <c r="U117" s="371"/>
      <c r="V117" s="371"/>
      <c r="W117" s="371"/>
      <c r="X117" s="371"/>
      <c r="Y117" s="371"/>
      <c r="Z117" s="371"/>
    </row>
    <row r="118" ht="26.25" customHeight="1">
      <c r="A118" s="371"/>
      <c r="B118" s="1265"/>
      <c r="C118" s="371"/>
      <c r="D118" s="371"/>
      <c r="E118" s="371"/>
      <c r="F118" s="371"/>
      <c r="G118" s="371"/>
      <c r="H118" s="371"/>
      <c r="I118" s="371"/>
      <c r="J118" s="371"/>
      <c r="K118" s="371"/>
      <c r="L118" s="371"/>
      <c r="M118" s="371"/>
      <c r="N118" s="371"/>
      <c r="O118" s="371"/>
      <c r="P118" s="371"/>
      <c r="Q118" s="371"/>
      <c r="R118" s="371"/>
      <c r="S118" s="371"/>
      <c r="T118" s="371"/>
      <c r="U118" s="371"/>
      <c r="V118" s="371"/>
      <c r="W118" s="371"/>
      <c r="X118" s="371"/>
      <c r="Y118" s="371"/>
      <c r="Z118" s="371"/>
    </row>
    <row r="119" ht="26.25" customHeight="1">
      <c r="A119" s="371"/>
      <c r="B119" s="1265"/>
      <c r="C119" s="371"/>
      <c r="D119" s="371"/>
      <c r="E119" s="371"/>
      <c r="F119" s="371"/>
      <c r="G119" s="371"/>
      <c r="H119" s="371"/>
      <c r="I119" s="371"/>
      <c r="J119" s="371"/>
      <c r="K119" s="371"/>
      <c r="L119" s="371"/>
      <c r="M119" s="371"/>
      <c r="N119" s="371"/>
      <c r="O119" s="371"/>
      <c r="P119" s="371"/>
      <c r="Q119" s="371"/>
      <c r="R119" s="371"/>
      <c r="S119" s="371"/>
      <c r="T119" s="371"/>
      <c r="U119" s="371"/>
      <c r="V119" s="371"/>
      <c r="W119" s="371"/>
      <c r="X119" s="371"/>
      <c r="Y119" s="371"/>
      <c r="Z119" s="371"/>
    </row>
    <row r="120" ht="26.25" customHeight="1">
      <c r="A120" s="371"/>
      <c r="B120" s="1265"/>
      <c r="C120" s="371"/>
      <c r="D120" s="371"/>
      <c r="E120" s="371"/>
      <c r="F120" s="371"/>
      <c r="G120" s="371"/>
      <c r="H120" s="371"/>
      <c r="I120" s="371"/>
      <c r="J120" s="371"/>
      <c r="K120" s="371"/>
      <c r="L120" s="371"/>
      <c r="M120" s="371"/>
      <c r="N120" s="371"/>
      <c r="O120" s="371"/>
      <c r="P120" s="371"/>
      <c r="Q120" s="371"/>
      <c r="R120" s="371"/>
      <c r="S120" s="371"/>
      <c r="T120" s="371"/>
      <c r="U120" s="371"/>
      <c r="V120" s="371"/>
      <c r="W120" s="371"/>
      <c r="X120" s="371"/>
      <c r="Y120" s="371"/>
      <c r="Z120" s="371"/>
    </row>
    <row r="121" ht="26.25" customHeight="1">
      <c r="A121" s="371"/>
      <c r="B121" s="1265"/>
      <c r="C121" s="371"/>
      <c r="D121" s="371"/>
      <c r="E121" s="371"/>
      <c r="F121" s="371"/>
      <c r="G121" s="371"/>
      <c r="H121" s="371"/>
      <c r="I121" s="371"/>
      <c r="J121" s="371"/>
      <c r="K121" s="371"/>
      <c r="L121" s="371"/>
      <c r="M121" s="371"/>
      <c r="N121" s="371"/>
      <c r="O121" s="371"/>
      <c r="P121" s="371"/>
      <c r="Q121" s="371"/>
      <c r="R121" s="371"/>
      <c r="S121" s="371"/>
      <c r="T121" s="371"/>
      <c r="U121" s="371"/>
      <c r="V121" s="371"/>
      <c r="W121" s="371"/>
      <c r="X121" s="371"/>
      <c r="Y121" s="371"/>
      <c r="Z121" s="371"/>
    </row>
    <row r="122" ht="26.25" customHeight="1">
      <c r="A122" s="371"/>
      <c r="B122" s="1265"/>
      <c r="C122" s="371"/>
      <c r="D122" s="371"/>
      <c r="E122" s="371"/>
      <c r="F122" s="371"/>
      <c r="G122" s="371"/>
      <c r="H122" s="371"/>
      <c r="I122" s="371"/>
      <c r="J122" s="371"/>
      <c r="K122" s="371"/>
      <c r="L122" s="371"/>
      <c r="M122" s="371"/>
      <c r="N122" s="371"/>
      <c r="O122" s="371"/>
      <c r="P122" s="371"/>
      <c r="Q122" s="371"/>
      <c r="R122" s="371"/>
      <c r="S122" s="371"/>
      <c r="T122" s="371"/>
      <c r="U122" s="371"/>
      <c r="V122" s="371"/>
      <c r="W122" s="371"/>
      <c r="X122" s="371"/>
      <c r="Y122" s="371"/>
      <c r="Z122" s="371"/>
    </row>
    <row r="123" ht="26.25" customHeight="1">
      <c r="A123" s="371"/>
      <c r="B123" s="1265"/>
      <c r="C123" s="371"/>
      <c r="D123" s="371"/>
      <c r="E123" s="371"/>
      <c r="F123" s="371"/>
      <c r="G123" s="371"/>
      <c r="H123" s="371"/>
      <c r="I123" s="371"/>
      <c r="J123" s="371"/>
      <c r="K123" s="371"/>
      <c r="L123" s="371"/>
      <c r="M123" s="371"/>
      <c r="N123" s="371"/>
      <c r="O123" s="371"/>
      <c r="P123" s="371"/>
      <c r="Q123" s="371"/>
      <c r="R123" s="371"/>
      <c r="S123" s="371"/>
      <c r="T123" s="371"/>
      <c r="U123" s="371"/>
      <c r="V123" s="371"/>
      <c r="W123" s="371"/>
      <c r="X123" s="371"/>
      <c r="Y123" s="371"/>
      <c r="Z123" s="371"/>
    </row>
    <row r="124" ht="26.25" customHeight="1">
      <c r="A124" s="371"/>
      <c r="B124" s="1265"/>
      <c r="C124" s="371"/>
      <c r="D124" s="371"/>
      <c r="E124" s="371"/>
      <c r="F124" s="371"/>
      <c r="G124" s="371"/>
      <c r="H124" s="371"/>
      <c r="I124" s="371"/>
      <c r="J124" s="371"/>
      <c r="K124" s="371"/>
      <c r="L124" s="371"/>
      <c r="M124" s="371"/>
      <c r="N124" s="371"/>
      <c r="O124" s="371"/>
      <c r="P124" s="371"/>
      <c r="Q124" s="371"/>
      <c r="R124" s="371"/>
      <c r="S124" s="371"/>
      <c r="T124" s="371"/>
      <c r="U124" s="371"/>
      <c r="V124" s="371"/>
      <c r="W124" s="371"/>
      <c r="X124" s="371"/>
      <c r="Y124" s="371"/>
      <c r="Z124" s="371"/>
    </row>
    <row r="125" ht="26.25" customHeight="1">
      <c r="A125" s="371"/>
      <c r="B125" s="1265"/>
      <c r="C125" s="371"/>
      <c r="D125" s="371"/>
      <c r="E125" s="371"/>
      <c r="F125" s="371"/>
      <c r="G125" s="371"/>
      <c r="H125" s="371"/>
      <c r="I125" s="371"/>
      <c r="J125" s="371"/>
      <c r="K125" s="371"/>
      <c r="L125" s="371"/>
      <c r="M125" s="371"/>
      <c r="N125" s="371"/>
      <c r="O125" s="371"/>
      <c r="P125" s="371"/>
      <c r="Q125" s="371"/>
      <c r="R125" s="371"/>
      <c r="S125" s="371"/>
      <c r="T125" s="371"/>
      <c r="U125" s="371"/>
      <c r="V125" s="371"/>
      <c r="W125" s="371"/>
      <c r="X125" s="371"/>
      <c r="Y125" s="371"/>
      <c r="Z125" s="371"/>
    </row>
    <row r="126" ht="26.25" customHeight="1">
      <c r="A126" s="371"/>
      <c r="B126" s="1265"/>
      <c r="C126" s="371"/>
      <c r="D126" s="371"/>
      <c r="E126" s="371"/>
      <c r="F126" s="371"/>
      <c r="G126" s="371"/>
      <c r="H126" s="371"/>
      <c r="I126" s="371"/>
      <c r="J126" s="371"/>
      <c r="K126" s="371"/>
      <c r="L126" s="371"/>
      <c r="M126" s="371"/>
      <c r="N126" s="371"/>
      <c r="O126" s="371"/>
      <c r="P126" s="371"/>
      <c r="Q126" s="371"/>
      <c r="R126" s="371"/>
      <c r="S126" s="371"/>
      <c r="T126" s="371"/>
      <c r="U126" s="371"/>
      <c r="V126" s="371"/>
      <c r="W126" s="371"/>
      <c r="X126" s="371"/>
      <c r="Y126" s="371"/>
      <c r="Z126" s="371"/>
    </row>
    <row r="127" ht="26.25" customHeight="1">
      <c r="A127" s="371"/>
      <c r="B127" s="1265"/>
      <c r="C127" s="371"/>
      <c r="D127" s="371"/>
      <c r="E127" s="371"/>
      <c r="F127" s="371"/>
      <c r="G127" s="371"/>
      <c r="H127" s="371"/>
      <c r="I127" s="371"/>
      <c r="J127" s="371"/>
      <c r="K127" s="371"/>
      <c r="L127" s="371"/>
      <c r="M127" s="371"/>
      <c r="N127" s="371"/>
      <c r="O127" s="371"/>
      <c r="P127" s="371"/>
      <c r="Q127" s="371"/>
      <c r="R127" s="371"/>
      <c r="S127" s="371"/>
      <c r="T127" s="371"/>
      <c r="U127" s="371"/>
      <c r="V127" s="371"/>
      <c r="W127" s="371"/>
      <c r="X127" s="371"/>
      <c r="Y127" s="371"/>
      <c r="Z127" s="371"/>
    </row>
    <row r="128" ht="26.25" customHeight="1">
      <c r="A128" s="371"/>
      <c r="B128" s="1265"/>
      <c r="C128" s="371"/>
      <c r="D128" s="371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1"/>
      <c r="P128" s="371"/>
      <c r="Q128" s="371"/>
      <c r="R128" s="371"/>
      <c r="S128" s="371"/>
      <c r="T128" s="371"/>
      <c r="U128" s="371"/>
      <c r="V128" s="371"/>
      <c r="W128" s="371"/>
      <c r="X128" s="371"/>
      <c r="Y128" s="371"/>
      <c r="Z128" s="371"/>
    </row>
    <row r="129" ht="26.25" customHeight="1">
      <c r="A129" s="371"/>
      <c r="B129" s="1265"/>
      <c r="C129" s="371"/>
      <c r="D129" s="371"/>
      <c r="E129" s="371"/>
      <c r="F129" s="371"/>
      <c r="G129" s="371"/>
      <c r="H129" s="371"/>
      <c r="I129" s="371"/>
      <c r="J129" s="371"/>
      <c r="K129" s="371"/>
      <c r="L129" s="371"/>
      <c r="M129" s="371"/>
      <c r="N129" s="371"/>
      <c r="O129" s="371"/>
      <c r="P129" s="371"/>
      <c r="Q129" s="371"/>
      <c r="R129" s="371"/>
      <c r="S129" s="371"/>
      <c r="T129" s="371"/>
      <c r="U129" s="371"/>
      <c r="V129" s="371"/>
      <c r="W129" s="371"/>
      <c r="X129" s="371"/>
      <c r="Y129" s="371"/>
      <c r="Z129" s="371"/>
    </row>
    <row r="130" ht="26.25" customHeight="1">
      <c r="A130" s="371"/>
      <c r="B130" s="1265"/>
      <c r="C130" s="371"/>
      <c r="D130" s="371"/>
      <c r="E130" s="371"/>
      <c r="F130" s="371"/>
      <c r="G130" s="371"/>
      <c r="H130" s="371"/>
      <c r="I130" s="371"/>
      <c r="J130" s="371"/>
      <c r="K130" s="371"/>
      <c r="L130" s="371"/>
      <c r="M130" s="371"/>
      <c r="N130" s="371"/>
      <c r="O130" s="371"/>
      <c r="P130" s="371"/>
      <c r="Q130" s="371"/>
      <c r="R130" s="371"/>
      <c r="S130" s="371"/>
      <c r="T130" s="371"/>
      <c r="U130" s="371"/>
      <c r="V130" s="371"/>
      <c r="W130" s="371"/>
      <c r="X130" s="371"/>
      <c r="Y130" s="371"/>
      <c r="Z130" s="371"/>
    </row>
    <row r="131" ht="26.25" customHeight="1">
      <c r="A131" s="371"/>
      <c r="B131" s="1265"/>
      <c r="C131" s="371"/>
      <c r="D131" s="371"/>
      <c r="E131" s="371"/>
      <c r="F131" s="371"/>
      <c r="G131" s="371"/>
      <c r="H131" s="371"/>
      <c r="I131" s="371"/>
      <c r="J131" s="371"/>
      <c r="K131" s="371"/>
      <c r="L131" s="371"/>
      <c r="M131" s="371"/>
      <c r="N131" s="371"/>
      <c r="O131" s="371"/>
      <c r="P131" s="371"/>
      <c r="Q131" s="371"/>
      <c r="R131" s="371"/>
      <c r="S131" s="371"/>
      <c r="T131" s="371"/>
      <c r="U131" s="371"/>
      <c r="V131" s="371"/>
      <c r="W131" s="371"/>
      <c r="X131" s="371"/>
      <c r="Y131" s="371"/>
      <c r="Z131" s="371"/>
    </row>
    <row r="132" ht="26.25" customHeight="1">
      <c r="A132" s="371"/>
      <c r="B132" s="1265"/>
      <c r="C132" s="371"/>
      <c r="D132" s="371"/>
      <c r="E132" s="371"/>
      <c r="F132" s="371"/>
      <c r="G132" s="371"/>
      <c r="H132" s="371"/>
      <c r="I132" s="371"/>
      <c r="J132" s="371"/>
      <c r="K132" s="371"/>
      <c r="L132" s="371"/>
      <c r="M132" s="371"/>
      <c r="N132" s="371"/>
      <c r="O132" s="371"/>
      <c r="P132" s="371"/>
      <c r="Q132" s="371"/>
      <c r="R132" s="371"/>
      <c r="S132" s="371"/>
      <c r="T132" s="371"/>
      <c r="U132" s="371"/>
      <c r="V132" s="371"/>
      <c r="W132" s="371"/>
      <c r="X132" s="371"/>
      <c r="Y132" s="371"/>
      <c r="Z132" s="371"/>
    </row>
    <row r="133" ht="26.25" customHeight="1">
      <c r="A133" s="371"/>
      <c r="B133" s="1265"/>
      <c r="C133" s="371"/>
      <c r="D133" s="371"/>
      <c r="E133" s="371"/>
      <c r="F133" s="371"/>
      <c r="G133" s="371"/>
      <c r="H133" s="371"/>
      <c r="I133" s="371"/>
      <c r="J133" s="371"/>
      <c r="K133" s="371"/>
      <c r="L133" s="371"/>
      <c r="M133" s="371"/>
      <c r="N133" s="371"/>
      <c r="O133" s="371"/>
      <c r="P133" s="371"/>
      <c r="Q133" s="371"/>
      <c r="R133" s="371"/>
      <c r="S133" s="371"/>
      <c r="T133" s="371"/>
      <c r="U133" s="371"/>
      <c r="V133" s="371"/>
      <c r="W133" s="371"/>
      <c r="X133" s="371"/>
      <c r="Y133" s="371"/>
      <c r="Z133" s="371"/>
    </row>
    <row r="134" ht="26.25" customHeight="1">
      <c r="A134" s="371"/>
      <c r="B134" s="1265"/>
      <c r="C134" s="371"/>
      <c r="D134" s="371"/>
      <c r="E134" s="371"/>
      <c r="F134" s="371"/>
      <c r="G134" s="371"/>
      <c r="H134" s="371"/>
      <c r="I134" s="371"/>
      <c r="J134" s="371"/>
      <c r="K134" s="371"/>
      <c r="L134" s="371"/>
      <c r="M134" s="371"/>
      <c r="N134" s="371"/>
      <c r="O134" s="371"/>
      <c r="P134" s="371"/>
      <c r="Q134" s="371"/>
      <c r="R134" s="371"/>
      <c r="S134" s="371"/>
      <c r="T134" s="371"/>
      <c r="U134" s="371"/>
      <c r="V134" s="371"/>
      <c r="W134" s="371"/>
      <c r="X134" s="371"/>
      <c r="Y134" s="371"/>
      <c r="Z134" s="371"/>
    </row>
    <row r="135" ht="26.25" customHeight="1">
      <c r="A135" s="371"/>
      <c r="B135" s="1265"/>
      <c r="C135" s="371"/>
      <c r="D135" s="371"/>
      <c r="E135" s="371"/>
      <c r="F135" s="371"/>
      <c r="G135" s="371"/>
      <c r="H135" s="371"/>
      <c r="I135" s="371"/>
      <c r="J135" s="371"/>
      <c r="K135" s="371"/>
      <c r="L135" s="371"/>
      <c r="M135" s="371"/>
      <c r="N135" s="371"/>
      <c r="O135" s="371"/>
      <c r="P135" s="371"/>
      <c r="Q135" s="371"/>
      <c r="R135" s="371"/>
      <c r="S135" s="371"/>
      <c r="T135" s="371"/>
      <c r="U135" s="371"/>
      <c r="V135" s="371"/>
      <c r="W135" s="371"/>
      <c r="X135" s="371"/>
      <c r="Y135" s="371"/>
      <c r="Z135" s="371"/>
    </row>
    <row r="136" ht="26.25" customHeight="1">
      <c r="A136" s="371"/>
      <c r="B136" s="1265"/>
      <c r="C136" s="371"/>
      <c r="D136" s="371"/>
      <c r="E136" s="371"/>
      <c r="F136" s="371"/>
      <c r="G136" s="371"/>
      <c r="H136" s="371"/>
      <c r="I136" s="371"/>
      <c r="J136" s="371"/>
      <c r="K136" s="371"/>
      <c r="L136" s="371"/>
      <c r="M136" s="371"/>
      <c r="N136" s="371"/>
      <c r="O136" s="371"/>
      <c r="P136" s="371"/>
      <c r="Q136" s="371"/>
      <c r="R136" s="371"/>
      <c r="S136" s="371"/>
      <c r="T136" s="371"/>
      <c r="U136" s="371"/>
      <c r="V136" s="371"/>
      <c r="W136" s="371"/>
      <c r="X136" s="371"/>
      <c r="Y136" s="371"/>
      <c r="Z136" s="371"/>
    </row>
    <row r="137" ht="26.25" customHeight="1">
      <c r="A137" s="371"/>
      <c r="B137" s="1265"/>
      <c r="C137" s="371"/>
      <c r="D137" s="371"/>
      <c r="E137" s="371"/>
      <c r="F137" s="371"/>
      <c r="G137" s="371"/>
      <c r="H137" s="371"/>
      <c r="I137" s="371"/>
      <c r="J137" s="371"/>
      <c r="K137" s="371"/>
      <c r="L137" s="371"/>
      <c r="M137" s="371"/>
      <c r="N137" s="371"/>
      <c r="O137" s="371"/>
      <c r="P137" s="371"/>
      <c r="Q137" s="371"/>
      <c r="R137" s="371"/>
      <c r="S137" s="371"/>
      <c r="T137" s="371"/>
      <c r="U137" s="371"/>
      <c r="V137" s="371"/>
      <c r="W137" s="371"/>
      <c r="X137" s="371"/>
      <c r="Y137" s="371"/>
      <c r="Z137" s="371"/>
    </row>
    <row r="138" ht="26.25" customHeight="1">
      <c r="A138" s="371"/>
      <c r="B138" s="1265"/>
      <c r="C138" s="371"/>
      <c r="D138" s="371"/>
      <c r="E138" s="371"/>
      <c r="F138" s="371"/>
      <c r="G138" s="371"/>
      <c r="H138" s="371"/>
      <c r="I138" s="371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  <c r="U138" s="371"/>
      <c r="V138" s="371"/>
      <c r="W138" s="371"/>
      <c r="X138" s="371"/>
      <c r="Y138" s="371"/>
      <c r="Z138" s="371"/>
    </row>
    <row r="139" ht="26.25" customHeight="1">
      <c r="A139" s="371"/>
      <c r="B139" s="1265"/>
      <c r="C139" s="371"/>
      <c r="D139" s="371"/>
      <c r="E139" s="371"/>
      <c r="F139" s="371"/>
      <c r="G139" s="371"/>
      <c r="H139" s="371"/>
      <c r="I139" s="371"/>
      <c r="J139" s="371"/>
      <c r="K139" s="371"/>
      <c r="L139" s="371"/>
      <c r="M139" s="371"/>
      <c r="N139" s="371"/>
      <c r="O139" s="371"/>
      <c r="P139" s="371"/>
      <c r="Q139" s="371"/>
      <c r="R139" s="371"/>
      <c r="S139" s="371"/>
      <c r="T139" s="371"/>
      <c r="U139" s="371"/>
      <c r="V139" s="371"/>
      <c r="W139" s="371"/>
      <c r="X139" s="371"/>
      <c r="Y139" s="371"/>
      <c r="Z139" s="371"/>
    </row>
    <row r="140" ht="26.25" customHeight="1">
      <c r="A140" s="371"/>
      <c r="B140" s="1265"/>
      <c r="C140" s="371"/>
      <c r="D140" s="371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1"/>
      <c r="P140" s="371"/>
      <c r="Q140" s="371"/>
      <c r="R140" s="371"/>
      <c r="S140" s="371"/>
      <c r="T140" s="371"/>
      <c r="U140" s="371"/>
      <c r="V140" s="371"/>
      <c r="W140" s="371"/>
      <c r="X140" s="371"/>
      <c r="Y140" s="371"/>
      <c r="Z140" s="371"/>
    </row>
    <row r="141" ht="26.25" customHeight="1">
      <c r="A141" s="371"/>
      <c r="B141" s="1265"/>
      <c r="C141" s="371"/>
      <c r="D141" s="371"/>
      <c r="E141" s="371"/>
      <c r="F141" s="371"/>
      <c r="G141" s="371"/>
      <c r="H141" s="371"/>
      <c r="I141" s="371"/>
      <c r="J141" s="371"/>
      <c r="K141" s="371"/>
      <c r="L141" s="371"/>
      <c r="M141" s="371"/>
      <c r="N141" s="371"/>
      <c r="O141" s="371"/>
      <c r="P141" s="371"/>
      <c r="Q141" s="371"/>
      <c r="R141" s="371"/>
      <c r="S141" s="371"/>
      <c r="T141" s="371"/>
      <c r="U141" s="371"/>
      <c r="V141" s="371"/>
      <c r="W141" s="371"/>
      <c r="X141" s="371"/>
      <c r="Y141" s="371"/>
      <c r="Z141" s="371"/>
    </row>
    <row r="142" ht="26.25" customHeight="1">
      <c r="A142" s="371"/>
      <c r="B142" s="1265"/>
      <c r="C142" s="371"/>
      <c r="D142" s="371"/>
      <c r="E142" s="371"/>
      <c r="F142" s="371"/>
      <c r="G142" s="371"/>
      <c r="H142" s="371"/>
      <c r="I142" s="371"/>
      <c r="J142" s="371"/>
      <c r="K142" s="371"/>
      <c r="L142" s="371"/>
      <c r="M142" s="371"/>
      <c r="N142" s="371"/>
      <c r="O142" s="371"/>
      <c r="P142" s="371"/>
      <c r="Q142" s="371"/>
      <c r="R142" s="371"/>
      <c r="S142" s="371"/>
      <c r="T142" s="371"/>
      <c r="U142" s="371"/>
      <c r="V142" s="371"/>
      <c r="W142" s="371"/>
      <c r="X142" s="371"/>
      <c r="Y142" s="371"/>
      <c r="Z142" s="371"/>
    </row>
    <row r="143" ht="26.25" customHeight="1">
      <c r="A143" s="371"/>
      <c r="B143" s="1265"/>
      <c r="C143" s="371"/>
      <c r="D143" s="371"/>
      <c r="E143" s="371"/>
      <c r="F143" s="371"/>
      <c r="G143" s="371"/>
      <c r="H143" s="371"/>
      <c r="I143" s="371"/>
      <c r="J143" s="371"/>
      <c r="K143" s="371"/>
      <c r="L143" s="371"/>
      <c r="M143" s="371"/>
      <c r="N143" s="371"/>
      <c r="O143" s="371"/>
      <c r="P143" s="371"/>
      <c r="Q143" s="371"/>
      <c r="R143" s="371"/>
      <c r="S143" s="371"/>
      <c r="T143" s="371"/>
      <c r="U143" s="371"/>
      <c r="V143" s="371"/>
      <c r="W143" s="371"/>
      <c r="X143" s="371"/>
      <c r="Y143" s="371"/>
      <c r="Z143" s="371"/>
    </row>
    <row r="144" ht="26.25" customHeight="1">
      <c r="A144" s="371"/>
      <c r="B144" s="1265"/>
      <c r="C144" s="371"/>
      <c r="D144" s="371"/>
      <c r="E144" s="371"/>
      <c r="F144" s="371"/>
      <c r="G144" s="371"/>
      <c r="H144" s="371"/>
      <c r="I144" s="371"/>
      <c r="J144" s="371"/>
      <c r="K144" s="371"/>
      <c r="L144" s="371"/>
      <c r="M144" s="371"/>
      <c r="N144" s="371"/>
      <c r="O144" s="371"/>
      <c r="P144" s="371"/>
      <c r="Q144" s="371"/>
      <c r="R144" s="371"/>
      <c r="S144" s="371"/>
      <c r="T144" s="371"/>
      <c r="U144" s="371"/>
      <c r="V144" s="371"/>
      <c r="W144" s="371"/>
      <c r="X144" s="371"/>
      <c r="Y144" s="371"/>
      <c r="Z144" s="371"/>
    </row>
    <row r="145" ht="26.25" customHeight="1">
      <c r="A145" s="371"/>
      <c r="B145" s="1265"/>
      <c r="C145" s="371"/>
      <c r="D145" s="371"/>
      <c r="E145" s="371"/>
      <c r="F145" s="371"/>
      <c r="G145" s="371"/>
      <c r="H145" s="371"/>
      <c r="I145" s="371"/>
      <c r="J145" s="371"/>
      <c r="K145" s="371"/>
      <c r="L145" s="371"/>
      <c r="M145" s="371"/>
      <c r="N145" s="371"/>
      <c r="O145" s="371"/>
      <c r="P145" s="371"/>
      <c r="Q145" s="371"/>
      <c r="R145" s="371"/>
      <c r="S145" s="371"/>
      <c r="T145" s="371"/>
      <c r="U145" s="371"/>
      <c r="V145" s="371"/>
      <c r="W145" s="371"/>
      <c r="X145" s="371"/>
      <c r="Y145" s="371"/>
      <c r="Z145" s="371"/>
    </row>
    <row r="146" ht="26.25" customHeight="1">
      <c r="A146" s="371"/>
      <c r="B146" s="1265"/>
      <c r="C146" s="371"/>
      <c r="D146" s="371"/>
      <c r="E146" s="371"/>
      <c r="F146" s="371"/>
      <c r="G146" s="371"/>
      <c r="H146" s="371"/>
      <c r="I146" s="371"/>
      <c r="J146" s="371"/>
      <c r="K146" s="371"/>
      <c r="L146" s="371"/>
      <c r="M146" s="371"/>
      <c r="N146" s="371"/>
      <c r="O146" s="371"/>
      <c r="P146" s="371"/>
      <c r="Q146" s="371"/>
      <c r="R146" s="371"/>
      <c r="S146" s="371"/>
      <c r="T146" s="371"/>
      <c r="U146" s="371"/>
      <c r="V146" s="371"/>
      <c r="W146" s="371"/>
      <c r="X146" s="371"/>
      <c r="Y146" s="371"/>
      <c r="Z146" s="371"/>
    </row>
    <row r="147" ht="26.25" customHeight="1">
      <c r="A147" s="371"/>
      <c r="B147" s="1265"/>
      <c r="C147" s="371"/>
      <c r="D147" s="371"/>
      <c r="E147" s="371"/>
      <c r="F147" s="371"/>
      <c r="G147" s="371"/>
      <c r="H147" s="371"/>
      <c r="I147" s="371"/>
      <c r="J147" s="371"/>
      <c r="K147" s="371"/>
      <c r="L147" s="371"/>
      <c r="M147" s="371"/>
      <c r="N147" s="371"/>
      <c r="O147" s="371"/>
      <c r="P147" s="371"/>
      <c r="Q147" s="371"/>
      <c r="R147" s="371"/>
      <c r="S147" s="371"/>
      <c r="T147" s="371"/>
      <c r="U147" s="371"/>
      <c r="V147" s="371"/>
      <c r="W147" s="371"/>
      <c r="X147" s="371"/>
      <c r="Y147" s="371"/>
      <c r="Z147" s="371"/>
    </row>
    <row r="148" ht="26.25" customHeight="1">
      <c r="A148" s="371"/>
      <c r="B148" s="1265"/>
      <c r="C148" s="371"/>
      <c r="D148" s="371"/>
      <c r="E148" s="371"/>
      <c r="F148" s="371"/>
      <c r="G148" s="371"/>
      <c r="H148" s="371"/>
      <c r="I148" s="371"/>
      <c r="J148" s="371"/>
      <c r="K148" s="371"/>
      <c r="L148" s="371"/>
      <c r="M148" s="371"/>
      <c r="N148" s="371"/>
      <c r="O148" s="371"/>
      <c r="P148" s="371"/>
      <c r="Q148" s="371"/>
      <c r="R148" s="371"/>
      <c r="S148" s="371"/>
      <c r="T148" s="371"/>
      <c r="U148" s="371"/>
      <c r="V148" s="371"/>
      <c r="W148" s="371"/>
      <c r="X148" s="371"/>
      <c r="Y148" s="371"/>
      <c r="Z148" s="371"/>
    </row>
    <row r="149" ht="26.25" customHeight="1">
      <c r="A149" s="371"/>
      <c r="B149" s="1265"/>
      <c r="C149" s="371"/>
      <c r="D149" s="371"/>
      <c r="E149" s="371"/>
      <c r="F149" s="371"/>
      <c r="G149" s="371"/>
      <c r="H149" s="371"/>
      <c r="I149" s="371"/>
      <c r="J149" s="371"/>
      <c r="K149" s="371"/>
      <c r="L149" s="371"/>
      <c r="M149" s="371"/>
      <c r="N149" s="371"/>
      <c r="O149" s="371"/>
      <c r="P149" s="371"/>
      <c r="Q149" s="371"/>
      <c r="R149" s="371"/>
      <c r="S149" s="371"/>
      <c r="T149" s="371"/>
      <c r="U149" s="371"/>
      <c r="V149" s="371"/>
      <c r="W149" s="371"/>
      <c r="X149" s="371"/>
      <c r="Y149" s="371"/>
      <c r="Z149" s="371"/>
    </row>
    <row r="150" ht="26.25" customHeight="1">
      <c r="A150" s="371"/>
      <c r="B150" s="1265"/>
      <c r="C150" s="371"/>
      <c r="D150" s="371"/>
      <c r="E150" s="371"/>
      <c r="F150" s="371"/>
      <c r="G150" s="371"/>
      <c r="H150" s="371"/>
      <c r="I150" s="371"/>
      <c r="J150" s="371"/>
      <c r="K150" s="371"/>
      <c r="L150" s="371"/>
      <c r="M150" s="371"/>
      <c r="N150" s="371"/>
      <c r="O150" s="371"/>
      <c r="P150" s="371"/>
      <c r="Q150" s="371"/>
      <c r="R150" s="371"/>
      <c r="S150" s="371"/>
      <c r="T150" s="371"/>
      <c r="U150" s="371"/>
      <c r="V150" s="371"/>
      <c r="W150" s="371"/>
      <c r="X150" s="371"/>
      <c r="Y150" s="371"/>
      <c r="Z150" s="371"/>
    </row>
    <row r="151" ht="26.25" customHeight="1">
      <c r="A151" s="371"/>
      <c r="B151" s="1265"/>
      <c r="C151" s="371"/>
      <c r="D151" s="371"/>
      <c r="E151" s="371"/>
      <c r="F151" s="371"/>
      <c r="G151" s="371"/>
      <c r="H151" s="371"/>
      <c r="I151" s="371"/>
      <c r="J151" s="371"/>
      <c r="K151" s="371"/>
      <c r="L151" s="371"/>
      <c r="M151" s="371"/>
      <c r="N151" s="371"/>
      <c r="O151" s="371"/>
      <c r="P151" s="371"/>
      <c r="Q151" s="371"/>
      <c r="R151" s="371"/>
      <c r="S151" s="371"/>
      <c r="T151" s="371"/>
      <c r="U151" s="371"/>
      <c r="V151" s="371"/>
      <c r="W151" s="371"/>
      <c r="X151" s="371"/>
      <c r="Y151" s="371"/>
      <c r="Z151" s="371"/>
    </row>
    <row r="152" ht="26.25" customHeight="1">
      <c r="A152" s="371"/>
      <c r="B152" s="1265"/>
      <c r="C152" s="371"/>
      <c r="D152" s="371"/>
      <c r="E152" s="371"/>
      <c r="F152" s="371"/>
      <c r="G152" s="371"/>
      <c r="H152" s="371"/>
      <c r="I152" s="371"/>
      <c r="J152" s="371"/>
      <c r="K152" s="371"/>
      <c r="L152" s="371"/>
      <c r="M152" s="371"/>
      <c r="N152" s="371"/>
      <c r="O152" s="371"/>
      <c r="P152" s="371"/>
      <c r="Q152" s="371"/>
      <c r="R152" s="371"/>
      <c r="S152" s="371"/>
      <c r="T152" s="371"/>
      <c r="U152" s="371"/>
      <c r="V152" s="371"/>
      <c r="W152" s="371"/>
      <c r="X152" s="371"/>
      <c r="Y152" s="371"/>
      <c r="Z152" s="371"/>
    </row>
    <row r="153" ht="26.25" customHeight="1">
      <c r="A153" s="371"/>
      <c r="B153" s="1265"/>
      <c r="C153" s="371"/>
      <c r="D153" s="371"/>
      <c r="E153" s="371"/>
      <c r="F153" s="371"/>
      <c r="G153" s="371"/>
      <c r="H153" s="371"/>
      <c r="I153" s="371"/>
      <c r="J153" s="371"/>
      <c r="K153" s="371"/>
      <c r="L153" s="371"/>
      <c r="M153" s="371"/>
      <c r="N153" s="371"/>
      <c r="O153" s="371"/>
      <c r="P153" s="371"/>
      <c r="Q153" s="371"/>
      <c r="R153" s="371"/>
      <c r="S153" s="371"/>
      <c r="T153" s="371"/>
      <c r="U153" s="371"/>
      <c r="V153" s="371"/>
      <c r="W153" s="371"/>
      <c r="X153" s="371"/>
      <c r="Y153" s="371"/>
      <c r="Z153" s="371"/>
    </row>
    <row r="154" ht="26.25" customHeight="1">
      <c r="A154" s="371"/>
      <c r="B154" s="1265"/>
      <c r="C154" s="371"/>
      <c r="D154" s="371"/>
      <c r="E154" s="371"/>
      <c r="F154" s="371"/>
      <c r="G154" s="371"/>
      <c r="H154" s="371"/>
      <c r="I154" s="371"/>
      <c r="J154" s="371"/>
      <c r="K154" s="371"/>
      <c r="L154" s="371"/>
      <c r="M154" s="371"/>
      <c r="N154" s="371"/>
      <c r="O154" s="371"/>
      <c r="P154" s="371"/>
      <c r="Q154" s="371"/>
      <c r="R154" s="371"/>
      <c r="S154" s="371"/>
      <c r="T154" s="371"/>
      <c r="U154" s="371"/>
      <c r="V154" s="371"/>
      <c r="W154" s="371"/>
      <c r="X154" s="371"/>
      <c r="Y154" s="371"/>
      <c r="Z154" s="371"/>
    </row>
    <row r="155" ht="26.25" customHeight="1">
      <c r="A155" s="371"/>
      <c r="B155" s="1265"/>
      <c r="C155" s="371"/>
      <c r="D155" s="371"/>
      <c r="E155" s="371"/>
      <c r="F155" s="371"/>
      <c r="G155" s="371"/>
      <c r="H155" s="371"/>
      <c r="I155" s="371"/>
      <c r="J155" s="371"/>
      <c r="K155" s="371"/>
      <c r="L155" s="371"/>
      <c r="M155" s="371"/>
      <c r="N155" s="371"/>
      <c r="O155" s="371"/>
      <c r="P155" s="371"/>
      <c r="Q155" s="371"/>
      <c r="R155" s="371"/>
      <c r="S155" s="371"/>
      <c r="T155" s="371"/>
      <c r="U155" s="371"/>
      <c r="V155" s="371"/>
      <c r="W155" s="371"/>
      <c r="X155" s="371"/>
      <c r="Y155" s="371"/>
      <c r="Z155" s="371"/>
    </row>
    <row r="156" ht="26.25" customHeight="1">
      <c r="A156" s="371"/>
      <c r="B156" s="1265"/>
      <c r="C156" s="371"/>
      <c r="D156" s="371"/>
      <c r="E156" s="371"/>
      <c r="F156" s="371"/>
      <c r="G156" s="371"/>
      <c r="H156" s="371"/>
      <c r="I156" s="371"/>
      <c r="J156" s="371"/>
      <c r="K156" s="371"/>
      <c r="L156" s="371"/>
      <c r="M156" s="371"/>
      <c r="N156" s="371"/>
      <c r="O156" s="371"/>
      <c r="P156" s="371"/>
      <c r="Q156" s="371"/>
      <c r="R156" s="371"/>
      <c r="S156" s="371"/>
      <c r="T156" s="371"/>
      <c r="U156" s="371"/>
      <c r="V156" s="371"/>
      <c r="W156" s="371"/>
      <c r="X156" s="371"/>
      <c r="Y156" s="371"/>
      <c r="Z156" s="371"/>
    </row>
    <row r="157" ht="26.25" customHeight="1">
      <c r="A157" s="371"/>
      <c r="B157" s="1265"/>
      <c r="C157" s="371"/>
      <c r="D157" s="371"/>
      <c r="E157" s="371"/>
      <c r="F157" s="371"/>
      <c r="G157" s="371"/>
      <c r="H157" s="371"/>
      <c r="I157" s="371"/>
      <c r="J157" s="371"/>
      <c r="K157" s="371"/>
      <c r="L157" s="371"/>
      <c r="M157" s="371"/>
      <c r="N157" s="371"/>
      <c r="O157" s="371"/>
      <c r="P157" s="371"/>
      <c r="Q157" s="371"/>
      <c r="R157" s="371"/>
      <c r="S157" s="371"/>
      <c r="T157" s="371"/>
      <c r="U157" s="371"/>
      <c r="V157" s="371"/>
      <c r="W157" s="371"/>
      <c r="X157" s="371"/>
      <c r="Y157" s="371"/>
      <c r="Z157" s="371"/>
    </row>
    <row r="158" ht="26.25" customHeight="1">
      <c r="A158" s="371"/>
      <c r="B158" s="1265"/>
      <c r="C158" s="371"/>
      <c r="D158" s="371"/>
      <c r="E158" s="371"/>
      <c r="F158" s="371"/>
      <c r="G158" s="371"/>
      <c r="H158" s="371"/>
      <c r="I158" s="371"/>
      <c r="J158" s="371"/>
      <c r="K158" s="371"/>
      <c r="L158" s="371"/>
      <c r="M158" s="371"/>
      <c r="N158" s="371"/>
      <c r="O158" s="371"/>
      <c r="P158" s="371"/>
      <c r="Q158" s="371"/>
      <c r="R158" s="371"/>
      <c r="S158" s="371"/>
      <c r="T158" s="371"/>
      <c r="U158" s="371"/>
      <c r="V158" s="371"/>
      <c r="W158" s="371"/>
      <c r="X158" s="371"/>
      <c r="Y158" s="371"/>
      <c r="Z158" s="371"/>
    </row>
    <row r="159" ht="26.25" customHeight="1">
      <c r="A159" s="371"/>
      <c r="B159" s="1265"/>
      <c r="C159" s="371"/>
      <c r="D159" s="371"/>
      <c r="E159" s="371"/>
      <c r="F159" s="371"/>
      <c r="G159" s="371"/>
      <c r="H159" s="371"/>
      <c r="I159" s="371"/>
      <c r="J159" s="371"/>
      <c r="K159" s="371"/>
      <c r="L159" s="371"/>
      <c r="M159" s="371"/>
      <c r="N159" s="371"/>
      <c r="O159" s="371"/>
      <c r="P159" s="371"/>
      <c r="Q159" s="371"/>
      <c r="R159" s="371"/>
      <c r="S159" s="371"/>
      <c r="T159" s="371"/>
      <c r="U159" s="371"/>
      <c r="V159" s="371"/>
      <c r="W159" s="371"/>
      <c r="X159" s="371"/>
      <c r="Y159" s="371"/>
      <c r="Z159" s="371"/>
    </row>
    <row r="160" ht="26.25" customHeight="1">
      <c r="A160" s="371"/>
      <c r="B160" s="1265"/>
      <c r="C160" s="371"/>
      <c r="D160" s="371"/>
      <c r="E160" s="371"/>
      <c r="F160" s="371"/>
      <c r="G160" s="371"/>
      <c r="H160" s="371"/>
      <c r="I160" s="371"/>
      <c r="J160" s="371"/>
      <c r="K160" s="371"/>
      <c r="L160" s="371"/>
      <c r="M160" s="371"/>
      <c r="N160" s="371"/>
      <c r="O160" s="371"/>
      <c r="P160" s="371"/>
      <c r="Q160" s="371"/>
      <c r="R160" s="371"/>
      <c r="S160" s="371"/>
      <c r="T160" s="371"/>
      <c r="U160" s="371"/>
      <c r="V160" s="371"/>
      <c r="W160" s="371"/>
      <c r="X160" s="371"/>
      <c r="Y160" s="371"/>
      <c r="Z160" s="371"/>
    </row>
    <row r="161" ht="26.25" customHeight="1">
      <c r="A161" s="371"/>
      <c r="B161" s="1265"/>
      <c r="C161" s="371"/>
      <c r="D161" s="371"/>
      <c r="E161" s="371"/>
      <c r="F161" s="371"/>
      <c r="G161" s="371"/>
      <c r="H161" s="371"/>
      <c r="I161" s="371"/>
      <c r="J161" s="371"/>
      <c r="K161" s="371"/>
      <c r="L161" s="371"/>
      <c r="M161" s="371"/>
      <c r="N161" s="371"/>
      <c r="O161" s="371"/>
      <c r="P161" s="371"/>
      <c r="Q161" s="371"/>
      <c r="R161" s="371"/>
      <c r="S161" s="371"/>
      <c r="T161" s="371"/>
      <c r="U161" s="371"/>
      <c r="V161" s="371"/>
      <c r="W161" s="371"/>
      <c r="X161" s="371"/>
      <c r="Y161" s="371"/>
      <c r="Z161" s="371"/>
    </row>
    <row r="162" ht="26.25" customHeight="1">
      <c r="A162" s="371"/>
      <c r="B162" s="1265"/>
      <c r="C162" s="371"/>
      <c r="D162" s="371"/>
      <c r="E162" s="371"/>
      <c r="F162" s="371"/>
      <c r="G162" s="371"/>
      <c r="H162" s="371"/>
      <c r="I162" s="371"/>
      <c r="J162" s="371"/>
      <c r="K162" s="371"/>
      <c r="L162" s="371"/>
      <c r="M162" s="371"/>
      <c r="N162" s="371"/>
      <c r="O162" s="371"/>
      <c r="P162" s="371"/>
      <c r="Q162" s="371"/>
      <c r="R162" s="371"/>
      <c r="S162" s="371"/>
      <c r="T162" s="371"/>
      <c r="U162" s="371"/>
      <c r="V162" s="371"/>
      <c r="W162" s="371"/>
      <c r="X162" s="371"/>
      <c r="Y162" s="371"/>
      <c r="Z162" s="371"/>
    </row>
    <row r="163" ht="26.25" customHeight="1">
      <c r="A163" s="371"/>
      <c r="B163" s="1265"/>
      <c r="C163" s="371"/>
      <c r="D163" s="371"/>
      <c r="E163" s="371"/>
      <c r="F163" s="371"/>
      <c r="G163" s="371"/>
      <c r="H163" s="371"/>
      <c r="I163" s="371"/>
      <c r="J163" s="371"/>
      <c r="K163" s="371"/>
      <c r="L163" s="371"/>
      <c r="M163" s="371"/>
      <c r="N163" s="371"/>
      <c r="O163" s="371"/>
      <c r="P163" s="371"/>
      <c r="Q163" s="371"/>
      <c r="R163" s="371"/>
      <c r="S163" s="371"/>
      <c r="T163" s="371"/>
      <c r="U163" s="371"/>
      <c r="V163" s="371"/>
      <c r="W163" s="371"/>
      <c r="X163" s="371"/>
      <c r="Y163" s="371"/>
      <c r="Z163" s="371"/>
    </row>
    <row r="164" ht="26.25" customHeight="1">
      <c r="A164" s="371"/>
      <c r="B164" s="1265"/>
      <c r="C164" s="371"/>
      <c r="D164" s="371"/>
      <c r="E164" s="371"/>
      <c r="F164" s="371"/>
      <c r="G164" s="371"/>
      <c r="H164" s="371"/>
      <c r="I164" s="371"/>
      <c r="J164" s="371"/>
      <c r="K164" s="371"/>
      <c r="L164" s="371"/>
      <c r="M164" s="371"/>
      <c r="N164" s="371"/>
      <c r="O164" s="371"/>
      <c r="P164" s="371"/>
      <c r="Q164" s="371"/>
      <c r="R164" s="371"/>
      <c r="S164" s="371"/>
      <c r="T164" s="371"/>
      <c r="U164" s="371"/>
      <c r="V164" s="371"/>
      <c r="W164" s="371"/>
      <c r="X164" s="371"/>
      <c r="Y164" s="371"/>
      <c r="Z164" s="371"/>
    </row>
    <row r="165" ht="26.25" customHeight="1">
      <c r="A165" s="371"/>
      <c r="B165" s="1265"/>
      <c r="C165" s="371"/>
      <c r="D165" s="371"/>
      <c r="E165" s="371"/>
      <c r="F165" s="371"/>
      <c r="G165" s="371"/>
      <c r="H165" s="371"/>
      <c r="I165" s="371"/>
      <c r="J165" s="371"/>
      <c r="K165" s="371"/>
      <c r="L165" s="371"/>
      <c r="M165" s="371"/>
      <c r="N165" s="371"/>
      <c r="O165" s="371"/>
      <c r="P165" s="371"/>
      <c r="Q165" s="371"/>
      <c r="R165" s="371"/>
      <c r="S165" s="371"/>
      <c r="T165" s="371"/>
      <c r="U165" s="371"/>
      <c r="V165" s="371"/>
      <c r="W165" s="371"/>
      <c r="X165" s="371"/>
      <c r="Y165" s="371"/>
      <c r="Z165" s="371"/>
    </row>
    <row r="166" ht="26.25" customHeight="1">
      <c r="A166" s="371"/>
      <c r="B166" s="1265"/>
      <c r="C166" s="371"/>
      <c r="D166" s="371"/>
      <c r="E166" s="371"/>
      <c r="F166" s="371"/>
      <c r="G166" s="371"/>
      <c r="H166" s="371"/>
      <c r="I166" s="371"/>
      <c r="J166" s="371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  <c r="U166" s="371"/>
      <c r="V166" s="371"/>
      <c r="W166" s="371"/>
      <c r="X166" s="371"/>
      <c r="Y166" s="371"/>
      <c r="Z166" s="371"/>
    </row>
    <row r="167" ht="26.25" customHeight="1">
      <c r="A167" s="371"/>
      <c r="B167" s="1265"/>
      <c r="C167" s="371"/>
      <c r="D167" s="371"/>
      <c r="E167" s="371"/>
      <c r="F167" s="371"/>
      <c r="G167" s="371"/>
      <c r="H167" s="371"/>
      <c r="I167" s="371"/>
      <c r="J167" s="371"/>
      <c r="K167" s="371"/>
      <c r="L167" s="371"/>
      <c r="M167" s="371"/>
      <c r="N167" s="371"/>
      <c r="O167" s="371"/>
      <c r="P167" s="371"/>
      <c r="Q167" s="371"/>
      <c r="R167" s="371"/>
      <c r="S167" s="371"/>
      <c r="T167" s="371"/>
      <c r="U167" s="371"/>
      <c r="V167" s="371"/>
      <c r="W167" s="371"/>
      <c r="X167" s="371"/>
      <c r="Y167" s="371"/>
      <c r="Z167" s="371"/>
    </row>
    <row r="168" ht="26.25" customHeight="1">
      <c r="A168" s="371"/>
      <c r="B168" s="1265"/>
      <c r="C168" s="371"/>
      <c r="D168" s="371"/>
      <c r="E168" s="371"/>
      <c r="F168" s="371"/>
      <c r="G168" s="371"/>
      <c r="H168" s="371"/>
      <c r="I168" s="371"/>
      <c r="J168" s="371"/>
      <c r="K168" s="371"/>
      <c r="L168" s="371"/>
      <c r="M168" s="371"/>
      <c r="N168" s="371"/>
      <c r="O168" s="371"/>
      <c r="P168" s="371"/>
      <c r="Q168" s="371"/>
      <c r="R168" s="371"/>
      <c r="S168" s="371"/>
      <c r="T168" s="371"/>
      <c r="U168" s="371"/>
      <c r="V168" s="371"/>
      <c r="W168" s="371"/>
      <c r="X168" s="371"/>
      <c r="Y168" s="371"/>
      <c r="Z168" s="371"/>
    </row>
    <row r="169" ht="26.25" customHeight="1">
      <c r="A169" s="371"/>
      <c r="B169" s="1265"/>
      <c r="C169" s="371"/>
      <c r="D169" s="371"/>
      <c r="E169" s="371"/>
      <c r="F169" s="371"/>
      <c r="G169" s="371"/>
      <c r="H169" s="371"/>
      <c r="I169" s="371"/>
      <c r="J169" s="371"/>
      <c r="K169" s="371"/>
      <c r="L169" s="371"/>
      <c r="M169" s="371"/>
      <c r="N169" s="371"/>
      <c r="O169" s="371"/>
      <c r="P169" s="371"/>
      <c r="Q169" s="371"/>
      <c r="R169" s="371"/>
      <c r="S169" s="371"/>
      <c r="T169" s="371"/>
      <c r="U169" s="371"/>
      <c r="V169" s="371"/>
      <c r="W169" s="371"/>
      <c r="X169" s="371"/>
      <c r="Y169" s="371"/>
      <c r="Z169" s="371"/>
    </row>
    <row r="170" ht="26.25" customHeight="1">
      <c r="A170" s="371"/>
      <c r="B170" s="1265"/>
      <c r="C170" s="371"/>
      <c r="D170" s="371"/>
      <c r="E170" s="371"/>
      <c r="F170" s="371"/>
      <c r="G170" s="371"/>
      <c r="H170" s="371"/>
      <c r="I170" s="371"/>
      <c r="J170" s="371"/>
      <c r="K170" s="371"/>
      <c r="L170" s="371"/>
      <c r="M170" s="371"/>
      <c r="N170" s="371"/>
      <c r="O170" s="371"/>
      <c r="P170" s="371"/>
      <c r="Q170" s="371"/>
      <c r="R170" s="371"/>
      <c r="S170" s="371"/>
      <c r="T170" s="371"/>
      <c r="U170" s="371"/>
      <c r="V170" s="371"/>
      <c r="W170" s="371"/>
      <c r="X170" s="371"/>
      <c r="Y170" s="371"/>
      <c r="Z170" s="371"/>
    </row>
    <row r="171" ht="26.25" customHeight="1">
      <c r="A171" s="371"/>
      <c r="B171" s="1265"/>
      <c r="C171" s="371"/>
      <c r="D171" s="371"/>
      <c r="E171" s="371"/>
      <c r="F171" s="371"/>
      <c r="G171" s="371"/>
      <c r="H171" s="371"/>
      <c r="I171" s="371"/>
      <c r="J171" s="371"/>
      <c r="K171" s="371"/>
      <c r="L171" s="371"/>
      <c r="M171" s="371"/>
      <c r="N171" s="371"/>
      <c r="O171" s="371"/>
      <c r="P171" s="371"/>
      <c r="Q171" s="371"/>
      <c r="R171" s="371"/>
      <c r="S171" s="371"/>
      <c r="T171" s="371"/>
      <c r="U171" s="371"/>
      <c r="V171" s="371"/>
      <c r="W171" s="371"/>
      <c r="X171" s="371"/>
      <c r="Y171" s="371"/>
      <c r="Z171" s="371"/>
    </row>
    <row r="172" ht="26.25" customHeight="1">
      <c r="A172" s="371"/>
      <c r="B172" s="1265"/>
      <c r="C172" s="371"/>
      <c r="D172" s="371"/>
      <c r="E172" s="371"/>
      <c r="F172" s="371"/>
      <c r="G172" s="371"/>
      <c r="H172" s="371"/>
      <c r="I172" s="371"/>
      <c r="J172" s="371"/>
      <c r="K172" s="371"/>
      <c r="L172" s="371"/>
      <c r="M172" s="371"/>
      <c r="N172" s="371"/>
      <c r="O172" s="371"/>
      <c r="P172" s="371"/>
      <c r="Q172" s="371"/>
      <c r="R172" s="371"/>
      <c r="S172" s="371"/>
      <c r="T172" s="371"/>
      <c r="U172" s="371"/>
      <c r="V172" s="371"/>
      <c r="W172" s="371"/>
      <c r="X172" s="371"/>
      <c r="Y172" s="371"/>
      <c r="Z172" s="371"/>
    </row>
    <row r="173" ht="26.25" customHeight="1">
      <c r="A173" s="371"/>
      <c r="B173" s="1265"/>
      <c r="C173" s="371"/>
      <c r="D173" s="371"/>
      <c r="E173" s="371"/>
      <c r="F173" s="371"/>
      <c r="G173" s="371"/>
      <c r="H173" s="371"/>
      <c r="I173" s="371"/>
      <c r="J173" s="371"/>
      <c r="K173" s="371"/>
      <c r="L173" s="371"/>
      <c r="M173" s="371"/>
      <c r="N173" s="371"/>
      <c r="O173" s="371"/>
      <c r="P173" s="371"/>
      <c r="Q173" s="371"/>
      <c r="R173" s="371"/>
      <c r="S173" s="371"/>
      <c r="T173" s="371"/>
      <c r="U173" s="371"/>
      <c r="V173" s="371"/>
      <c r="W173" s="371"/>
      <c r="X173" s="371"/>
      <c r="Y173" s="371"/>
      <c r="Z173" s="371"/>
    </row>
    <row r="174" ht="26.25" customHeight="1">
      <c r="A174" s="371"/>
      <c r="B174" s="1265"/>
      <c r="C174" s="371"/>
      <c r="D174" s="371"/>
      <c r="E174" s="371"/>
      <c r="F174" s="371"/>
      <c r="G174" s="371"/>
      <c r="H174" s="371"/>
      <c r="I174" s="371"/>
      <c r="J174" s="371"/>
      <c r="K174" s="371"/>
      <c r="L174" s="371"/>
      <c r="M174" s="371"/>
      <c r="N174" s="371"/>
      <c r="O174" s="371"/>
      <c r="P174" s="371"/>
      <c r="Q174" s="371"/>
      <c r="R174" s="371"/>
      <c r="S174" s="371"/>
      <c r="T174" s="371"/>
      <c r="U174" s="371"/>
      <c r="V174" s="371"/>
      <c r="W174" s="371"/>
      <c r="X174" s="371"/>
      <c r="Y174" s="371"/>
      <c r="Z174" s="371"/>
    </row>
    <row r="175" ht="26.25" customHeight="1">
      <c r="A175" s="371"/>
      <c r="B175" s="1265"/>
      <c r="C175" s="371"/>
      <c r="D175" s="371"/>
      <c r="E175" s="371"/>
      <c r="F175" s="371"/>
      <c r="G175" s="371"/>
      <c r="H175" s="371"/>
      <c r="I175" s="371"/>
      <c r="J175" s="371"/>
      <c r="K175" s="371"/>
      <c r="L175" s="371"/>
      <c r="M175" s="371"/>
      <c r="N175" s="371"/>
      <c r="O175" s="371"/>
      <c r="P175" s="371"/>
      <c r="Q175" s="371"/>
      <c r="R175" s="371"/>
      <c r="S175" s="371"/>
      <c r="T175" s="371"/>
      <c r="U175" s="371"/>
      <c r="V175" s="371"/>
      <c r="W175" s="371"/>
      <c r="X175" s="371"/>
      <c r="Y175" s="371"/>
      <c r="Z175" s="371"/>
    </row>
    <row r="176" ht="26.25" customHeight="1">
      <c r="A176" s="371"/>
      <c r="B176" s="1265"/>
      <c r="C176" s="371"/>
      <c r="D176" s="371"/>
      <c r="E176" s="371"/>
      <c r="F176" s="371"/>
      <c r="G176" s="371"/>
      <c r="H176" s="371"/>
      <c r="I176" s="371"/>
      <c r="J176" s="371"/>
      <c r="K176" s="371"/>
      <c r="L176" s="371"/>
      <c r="M176" s="371"/>
      <c r="N176" s="371"/>
      <c r="O176" s="371"/>
      <c r="P176" s="371"/>
      <c r="Q176" s="371"/>
      <c r="R176" s="371"/>
      <c r="S176" s="371"/>
      <c r="T176" s="371"/>
      <c r="U176" s="371"/>
      <c r="V176" s="371"/>
      <c r="W176" s="371"/>
      <c r="X176" s="371"/>
      <c r="Y176" s="371"/>
      <c r="Z176" s="371"/>
    </row>
    <row r="177" ht="26.25" customHeight="1">
      <c r="A177" s="371"/>
      <c r="B177" s="1265"/>
      <c r="C177" s="371"/>
      <c r="D177" s="371"/>
      <c r="E177" s="371"/>
      <c r="F177" s="371"/>
      <c r="G177" s="371"/>
      <c r="H177" s="371"/>
      <c r="I177" s="371"/>
      <c r="J177" s="371"/>
      <c r="K177" s="371"/>
      <c r="L177" s="371"/>
      <c r="M177" s="371"/>
      <c r="N177" s="371"/>
      <c r="O177" s="371"/>
      <c r="P177" s="371"/>
      <c r="Q177" s="371"/>
      <c r="R177" s="371"/>
      <c r="S177" s="371"/>
      <c r="T177" s="371"/>
      <c r="U177" s="371"/>
      <c r="V177" s="371"/>
      <c r="W177" s="371"/>
      <c r="X177" s="371"/>
      <c r="Y177" s="371"/>
      <c r="Z177" s="371"/>
    </row>
    <row r="178" ht="26.25" customHeight="1">
      <c r="A178" s="371"/>
      <c r="B178" s="1265"/>
      <c r="C178" s="371"/>
      <c r="D178" s="371"/>
      <c r="E178" s="371"/>
      <c r="F178" s="371"/>
      <c r="G178" s="371"/>
      <c r="H178" s="371"/>
      <c r="I178" s="371"/>
      <c r="J178" s="371"/>
      <c r="K178" s="371"/>
      <c r="L178" s="371"/>
      <c r="M178" s="371"/>
      <c r="N178" s="371"/>
      <c r="O178" s="371"/>
      <c r="P178" s="371"/>
      <c r="Q178" s="371"/>
      <c r="R178" s="371"/>
      <c r="S178" s="371"/>
      <c r="T178" s="371"/>
      <c r="U178" s="371"/>
      <c r="V178" s="371"/>
      <c r="W178" s="371"/>
      <c r="X178" s="371"/>
      <c r="Y178" s="371"/>
      <c r="Z178" s="371"/>
    </row>
    <row r="179" ht="26.25" customHeight="1">
      <c r="A179" s="371"/>
      <c r="B179" s="1265"/>
      <c r="C179" s="371"/>
      <c r="D179" s="371"/>
      <c r="E179" s="371"/>
      <c r="F179" s="371"/>
      <c r="G179" s="371"/>
      <c r="H179" s="371"/>
      <c r="I179" s="371"/>
      <c r="J179" s="371"/>
      <c r="K179" s="371"/>
      <c r="L179" s="371"/>
      <c r="M179" s="371"/>
      <c r="N179" s="371"/>
      <c r="O179" s="371"/>
      <c r="P179" s="371"/>
      <c r="Q179" s="371"/>
      <c r="R179" s="371"/>
      <c r="S179" s="371"/>
      <c r="T179" s="371"/>
      <c r="U179" s="371"/>
      <c r="V179" s="371"/>
      <c r="W179" s="371"/>
      <c r="X179" s="371"/>
      <c r="Y179" s="371"/>
      <c r="Z179" s="371"/>
    </row>
    <row r="180" ht="26.25" customHeight="1">
      <c r="A180" s="371"/>
      <c r="B180" s="1265"/>
      <c r="C180" s="371"/>
      <c r="D180" s="371"/>
      <c r="E180" s="371"/>
      <c r="F180" s="371"/>
      <c r="G180" s="371"/>
      <c r="H180" s="371"/>
      <c r="I180" s="371"/>
      <c r="J180" s="371"/>
      <c r="K180" s="371"/>
      <c r="L180" s="371"/>
      <c r="M180" s="371"/>
      <c r="N180" s="371"/>
      <c r="O180" s="371"/>
      <c r="P180" s="371"/>
      <c r="Q180" s="371"/>
      <c r="R180" s="371"/>
      <c r="S180" s="371"/>
      <c r="T180" s="371"/>
      <c r="U180" s="371"/>
      <c r="V180" s="371"/>
      <c r="W180" s="371"/>
      <c r="X180" s="371"/>
      <c r="Y180" s="371"/>
      <c r="Z180" s="371"/>
    </row>
    <row r="181" ht="26.25" customHeight="1">
      <c r="A181" s="371"/>
      <c r="B181" s="1265"/>
      <c r="C181" s="371"/>
      <c r="D181" s="371"/>
      <c r="E181" s="371"/>
      <c r="F181" s="371"/>
      <c r="G181" s="371"/>
      <c r="H181" s="371"/>
      <c r="I181" s="371"/>
      <c r="J181" s="371"/>
      <c r="K181" s="371"/>
      <c r="L181" s="371"/>
      <c r="M181" s="371"/>
      <c r="N181" s="371"/>
      <c r="O181" s="371"/>
      <c r="P181" s="371"/>
      <c r="Q181" s="371"/>
      <c r="R181" s="371"/>
      <c r="S181" s="371"/>
      <c r="T181" s="371"/>
      <c r="U181" s="371"/>
      <c r="V181" s="371"/>
      <c r="W181" s="371"/>
      <c r="X181" s="371"/>
      <c r="Y181" s="371"/>
      <c r="Z181" s="371"/>
    </row>
    <row r="182" ht="26.25" customHeight="1">
      <c r="A182" s="371"/>
      <c r="B182" s="1265"/>
      <c r="C182" s="371"/>
      <c r="D182" s="371"/>
      <c r="E182" s="371"/>
      <c r="F182" s="371"/>
      <c r="G182" s="371"/>
      <c r="H182" s="371"/>
      <c r="I182" s="371"/>
      <c r="J182" s="371"/>
      <c r="K182" s="371"/>
      <c r="L182" s="371"/>
      <c r="M182" s="371"/>
      <c r="N182" s="371"/>
      <c r="O182" s="371"/>
      <c r="P182" s="371"/>
      <c r="Q182" s="371"/>
      <c r="R182" s="371"/>
      <c r="S182" s="371"/>
      <c r="T182" s="371"/>
      <c r="U182" s="371"/>
      <c r="V182" s="371"/>
      <c r="W182" s="371"/>
      <c r="X182" s="371"/>
      <c r="Y182" s="371"/>
      <c r="Z182" s="371"/>
    </row>
    <row r="183" ht="26.25" customHeight="1">
      <c r="A183" s="371"/>
      <c r="B183" s="1265"/>
      <c r="C183" s="371"/>
      <c r="D183" s="371"/>
      <c r="E183" s="371"/>
      <c r="F183" s="371"/>
      <c r="G183" s="371"/>
      <c r="H183" s="371"/>
      <c r="I183" s="371"/>
      <c r="J183" s="371"/>
      <c r="K183" s="371"/>
      <c r="L183" s="371"/>
      <c r="M183" s="371"/>
      <c r="N183" s="371"/>
      <c r="O183" s="371"/>
      <c r="P183" s="371"/>
      <c r="Q183" s="371"/>
      <c r="R183" s="371"/>
      <c r="S183" s="371"/>
      <c r="T183" s="371"/>
      <c r="U183" s="371"/>
      <c r="V183" s="371"/>
      <c r="W183" s="371"/>
      <c r="X183" s="371"/>
      <c r="Y183" s="371"/>
      <c r="Z183" s="371"/>
    </row>
    <row r="184" ht="26.25" customHeight="1">
      <c r="A184" s="371"/>
      <c r="B184" s="1265"/>
      <c r="C184" s="371"/>
      <c r="D184" s="371"/>
      <c r="E184" s="371"/>
      <c r="F184" s="371"/>
      <c r="G184" s="371"/>
      <c r="H184" s="371"/>
      <c r="I184" s="371"/>
      <c r="J184" s="371"/>
      <c r="K184" s="371"/>
      <c r="L184" s="371"/>
      <c r="M184" s="371"/>
      <c r="N184" s="371"/>
      <c r="O184" s="371"/>
      <c r="P184" s="371"/>
      <c r="Q184" s="371"/>
      <c r="R184" s="371"/>
      <c r="S184" s="371"/>
      <c r="T184" s="371"/>
      <c r="U184" s="371"/>
      <c r="V184" s="371"/>
      <c r="W184" s="371"/>
      <c r="X184" s="371"/>
      <c r="Y184" s="371"/>
      <c r="Z184" s="371"/>
    </row>
    <row r="185" ht="26.25" customHeight="1">
      <c r="A185" s="371"/>
      <c r="B185" s="1265"/>
      <c r="C185" s="371"/>
      <c r="D185" s="371"/>
      <c r="E185" s="371"/>
      <c r="F185" s="371"/>
      <c r="G185" s="371"/>
      <c r="H185" s="371"/>
      <c r="I185" s="371"/>
      <c r="J185" s="371"/>
      <c r="K185" s="371"/>
      <c r="L185" s="371"/>
      <c r="M185" s="371"/>
      <c r="N185" s="371"/>
      <c r="O185" s="371"/>
      <c r="P185" s="371"/>
      <c r="Q185" s="371"/>
      <c r="R185" s="371"/>
      <c r="S185" s="371"/>
      <c r="T185" s="371"/>
      <c r="U185" s="371"/>
      <c r="V185" s="371"/>
      <c r="W185" s="371"/>
      <c r="X185" s="371"/>
      <c r="Y185" s="371"/>
      <c r="Z185" s="371"/>
    </row>
    <row r="186" ht="26.25" customHeight="1">
      <c r="A186" s="371"/>
      <c r="B186" s="1265"/>
      <c r="C186" s="371"/>
      <c r="D186" s="371"/>
      <c r="E186" s="371"/>
      <c r="F186" s="371"/>
      <c r="G186" s="371"/>
      <c r="H186" s="371"/>
      <c r="I186" s="371"/>
      <c r="J186" s="371"/>
      <c r="K186" s="371"/>
      <c r="L186" s="371"/>
      <c r="M186" s="371"/>
      <c r="N186" s="371"/>
      <c r="O186" s="371"/>
      <c r="P186" s="371"/>
      <c r="Q186" s="371"/>
      <c r="R186" s="371"/>
      <c r="S186" s="371"/>
      <c r="T186" s="371"/>
      <c r="U186" s="371"/>
      <c r="V186" s="371"/>
      <c r="W186" s="371"/>
      <c r="X186" s="371"/>
      <c r="Y186" s="371"/>
      <c r="Z186" s="371"/>
    </row>
    <row r="187" ht="26.25" customHeight="1">
      <c r="A187" s="371"/>
      <c r="B187" s="1265"/>
      <c r="C187" s="371"/>
      <c r="D187" s="371"/>
      <c r="E187" s="371"/>
      <c r="F187" s="371"/>
      <c r="G187" s="371"/>
      <c r="H187" s="371"/>
      <c r="I187" s="371"/>
      <c r="J187" s="371"/>
      <c r="K187" s="371"/>
      <c r="L187" s="371"/>
      <c r="M187" s="371"/>
      <c r="N187" s="371"/>
      <c r="O187" s="371"/>
      <c r="P187" s="371"/>
      <c r="Q187" s="371"/>
      <c r="R187" s="371"/>
      <c r="S187" s="371"/>
      <c r="T187" s="371"/>
      <c r="U187" s="371"/>
      <c r="V187" s="371"/>
      <c r="W187" s="371"/>
      <c r="X187" s="371"/>
      <c r="Y187" s="371"/>
      <c r="Z187" s="371"/>
    </row>
    <row r="188" ht="26.25" customHeight="1">
      <c r="A188" s="371"/>
      <c r="B188" s="1265"/>
      <c r="C188" s="371"/>
      <c r="D188" s="371"/>
      <c r="E188" s="371"/>
      <c r="F188" s="371"/>
      <c r="G188" s="371"/>
      <c r="H188" s="371"/>
      <c r="I188" s="371"/>
      <c r="J188" s="371"/>
      <c r="K188" s="371"/>
      <c r="L188" s="371"/>
      <c r="M188" s="371"/>
      <c r="N188" s="371"/>
      <c r="O188" s="371"/>
      <c r="P188" s="371"/>
      <c r="Q188" s="371"/>
      <c r="R188" s="371"/>
      <c r="S188" s="371"/>
      <c r="T188" s="371"/>
      <c r="U188" s="371"/>
      <c r="V188" s="371"/>
      <c r="W188" s="371"/>
      <c r="X188" s="371"/>
      <c r="Y188" s="371"/>
      <c r="Z188" s="371"/>
    </row>
    <row r="189" ht="26.25" customHeight="1">
      <c r="A189" s="371"/>
      <c r="B189" s="1265"/>
      <c r="C189" s="371"/>
      <c r="D189" s="371"/>
      <c r="E189" s="371"/>
      <c r="F189" s="371"/>
      <c r="G189" s="371"/>
      <c r="H189" s="371"/>
      <c r="I189" s="371"/>
      <c r="J189" s="371"/>
      <c r="K189" s="371"/>
      <c r="L189" s="371"/>
      <c r="M189" s="371"/>
      <c r="N189" s="371"/>
      <c r="O189" s="371"/>
      <c r="P189" s="371"/>
      <c r="Q189" s="371"/>
      <c r="R189" s="371"/>
      <c r="S189" s="371"/>
      <c r="T189" s="371"/>
      <c r="U189" s="371"/>
      <c r="V189" s="371"/>
      <c r="W189" s="371"/>
      <c r="X189" s="371"/>
      <c r="Y189" s="371"/>
      <c r="Z189" s="371"/>
    </row>
    <row r="190" ht="26.25" customHeight="1">
      <c r="A190" s="371"/>
      <c r="B190" s="1265"/>
      <c r="C190" s="371"/>
      <c r="D190" s="371"/>
      <c r="E190" s="371"/>
      <c r="F190" s="371"/>
      <c r="G190" s="371"/>
      <c r="H190" s="371"/>
      <c r="I190" s="371"/>
      <c r="J190" s="371"/>
      <c r="K190" s="371"/>
      <c r="L190" s="371"/>
      <c r="M190" s="371"/>
      <c r="N190" s="371"/>
      <c r="O190" s="371"/>
      <c r="P190" s="371"/>
      <c r="Q190" s="371"/>
      <c r="R190" s="371"/>
      <c r="S190" s="371"/>
      <c r="T190" s="371"/>
      <c r="U190" s="371"/>
      <c r="V190" s="371"/>
      <c r="W190" s="371"/>
      <c r="X190" s="371"/>
      <c r="Y190" s="371"/>
      <c r="Z190" s="371"/>
    </row>
    <row r="191" ht="26.25" customHeight="1">
      <c r="A191" s="371"/>
      <c r="B191" s="1265"/>
      <c r="C191" s="371"/>
      <c r="D191" s="371"/>
      <c r="E191" s="371"/>
      <c r="F191" s="371"/>
      <c r="G191" s="371"/>
      <c r="H191" s="371"/>
      <c r="I191" s="371"/>
      <c r="J191" s="371"/>
      <c r="K191" s="371"/>
      <c r="L191" s="371"/>
      <c r="M191" s="371"/>
      <c r="N191" s="371"/>
      <c r="O191" s="371"/>
      <c r="P191" s="371"/>
      <c r="Q191" s="371"/>
      <c r="R191" s="371"/>
      <c r="S191" s="371"/>
      <c r="T191" s="371"/>
      <c r="U191" s="371"/>
      <c r="V191" s="371"/>
      <c r="W191" s="371"/>
      <c r="X191" s="371"/>
      <c r="Y191" s="371"/>
      <c r="Z191" s="371"/>
    </row>
    <row r="192" ht="26.25" customHeight="1">
      <c r="A192" s="371"/>
      <c r="B192" s="1265"/>
      <c r="C192" s="371"/>
      <c r="D192" s="371"/>
      <c r="E192" s="371"/>
      <c r="F192" s="371"/>
      <c r="G192" s="371"/>
      <c r="H192" s="371"/>
      <c r="I192" s="371"/>
      <c r="J192" s="371"/>
      <c r="K192" s="371"/>
      <c r="L192" s="371"/>
      <c r="M192" s="371"/>
      <c r="N192" s="371"/>
      <c r="O192" s="371"/>
      <c r="P192" s="371"/>
      <c r="Q192" s="371"/>
      <c r="R192" s="371"/>
      <c r="S192" s="371"/>
      <c r="T192" s="371"/>
      <c r="U192" s="371"/>
      <c r="V192" s="371"/>
      <c r="W192" s="371"/>
      <c r="X192" s="371"/>
      <c r="Y192" s="371"/>
      <c r="Z192" s="371"/>
    </row>
    <row r="193" ht="26.25" customHeight="1">
      <c r="A193" s="371"/>
      <c r="B193" s="1265"/>
      <c r="C193" s="371"/>
      <c r="D193" s="371"/>
      <c r="E193" s="371"/>
      <c r="F193" s="371"/>
      <c r="G193" s="371"/>
      <c r="H193" s="371"/>
      <c r="I193" s="371"/>
      <c r="J193" s="371"/>
      <c r="K193" s="371"/>
      <c r="L193" s="371"/>
      <c r="M193" s="371"/>
      <c r="N193" s="371"/>
      <c r="O193" s="371"/>
      <c r="P193" s="371"/>
      <c r="Q193" s="371"/>
      <c r="R193" s="371"/>
      <c r="S193" s="371"/>
      <c r="T193" s="371"/>
      <c r="U193" s="371"/>
      <c r="V193" s="371"/>
      <c r="W193" s="371"/>
      <c r="X193" s="371"/>
      <c r="Y193" s="371"/>
      <c r="Z193" s="371"/>
    </row>
    <row r="194" ht="26.25" customHeight="1">
      <c r="A194" s="371"/>
      <c r="B194" s="1265"/>
      <c r="C194" s="371"/>
      <c r="D194" s="371"/>
      <c r="E194" s="371"/>
      <c r="F194" s="371"/>
      <c r="G194" s="371"/>
      <c r="H194" s="371"/>
      <c r="I194" s="371"/>
      <c r="J194" s="371"/>
      <c r="K194" s="371"/>
      <c r="L194" s="371"/>
      <c r="M194" s="371"/>
      <c r="N194" s="371"/>
      <c r="O194" s="371"/>
      <c r="P194" s="371"/>
      <c r="Q194" s="371"/>
      <c r="R194" s="371"/>
      <c r="S194" s="371"/>
      <c r="T194" s="371"/>
      <c r="U194" s="371"/>
      <c r="V194" s="371"/>
      <c r="W194" s="371"/>
      <c r="X194" s="371"/>
      <c r="Y194" s="371"/>
      <c r="Z194" s="371"/>
    </row>
    <row r="195" ht="26.25" customHeight="1">
      <c r="A195" s="371"/>
      <c r="B195" s="1265"/>
      <c r="C195" s="371"/>
      <c r="D195" s="371"/>
      <c r="E195" s="371"/>
      <c r="F195" s="371"/>
      <c r="G195" s="371"/>
      <c r="H195" s="371"/>
      <c r="I195" s="371"/>
      <c r="J195" s="371"/>
      <c r="K195" s="371"/>
      <c r="L195" s="371"/>
      <c r="M195" s="371"/>
      <c r="N195" s="371"/>
      <c r="O195" s="371"/>
      <c r="P195" s="371"/>
      <c r="Q195" s="371"/>
      <c r="R195" s="371"/>
      <c r="S195" s="371"/>
      <c r="T195" s="371"/>
      <c r="U195" s="371"/>
      <c r="V195" s="371"/>
      <c r="W195" s="371"/>
      <c r="X195" s="371"/>
      <c r="Y195" s="371"/>
      <c r="Z195" s="371"/>
    </row>
    <row r="196" ht="26.25" customHeight="1">
      <c r="A196" s="371"/>
      <c r="B196" s="1265"/>
      <c r="C196" s="371"/>
      <c r="D196" s="371"/>
      <c r="E196" s="371"/>
      <c r="F196" s="371"/>
      <c r="G196" s="371"/>
      <c r="H196" s="371"/>
      <c r="I196" s="371"/>
      <c r="J196" s="371"/>
      <c r="K196" s="371"/>
      <c r="L196" s="371"/>
      <c r="M196" s="371"/>
      <c r="N196" s="371"/>
      <c r="O196" s="371"/>
      <c r="P196" s="371"/>
      <c r="Q196" s="371"/>
      <c r="R196" s="371"/>
      <c r="S196" s="371"/>
      <c r="T196" s="371"/>
      <c r="U196" s="371"/>
      <c r="V196" s="371"/>
      <c r="W196" s="371"/>
      <c r="X196" s="371"/>
      <c r="Y196" s="371"/>
      <c r="Z196" s="371"/>
    </row>
    <row r="197" ht="26.25" customHeight="1">
      <c r="A197" s="371"/>
      <c r="B197" s="1265"/>
      <c r="C197" s="371"/>
      <c r="D197" s="371"/>
      <c r="E197" s="371"/>
      <c r="F197" s="371"/>
      <c r="G197" s="371"/>
      <c r="H197" s="371"/>
      <c r="I197" s="371"/>
      <c r="J197" s="371"/>
      <c r="K197" s="371"/>
      <c r="L197" s="371"/>
      <c r="M197" s="371"/>
      <c r="N197" s="371"/>
      <c r="O197" s="371"/>
      <c r="P197" s="371"/>
      <c r="Q197" s="371"/>
      <c r="R197" s="371"/>
      <c r="S197" s="371"/>
      <c r="T197" s="371"/>
      <c r="U197" s="371"/>
      <c r="V197" s="371"/>
      <c r="W197" s="371"/>
      <c r="X197" s="371"/>
      <c r="Y197" s="371"/>
      <c r="Z197" s="371"/>
    </row>
    <row r="198" ht="26.25" customHeight="1">
      <c r="A198" s="371"/>
      <c r="B198" s="1265"/>
      <c r="C198" s="371"/>
      <c r="D198" s="371"/>
      <c r="E198" s="371"/>
      <c r="F198" s="371"/>
      <c r="G198" s="371"/>
      <c r="H198" s="371"/>
      <c r="I198" s="371"/>
      <c r="J198" s="371"/>
      <c r="K198" s="371"/>
      <c r="L198" s="371"/>
      <c r="M198" s="371"/>
      <c r="N198" s="371"/>
      <c r="O198" s="371"/>
      <c r="P198" s="371"/>
      <c r="Q198" s="371"/>
      <c r="R198" s="371"/>
      <c r="S198" s="371"/>
      <c r="T198" s="371"/>
      <c r="U198" s="371"/>
      <c r="V198" s="371"/>
      <c r="W198" s="371"/>
      <c r="X198" s="371"/>
      <c r="Y198" s="371"/>
      <c r="Z198" s="371"/>
    </row>
    <row r="199" ht="26.25" customHeight="1">
      <c r="A199" s="371"/>
      <c r="B199" s="1265"/>
      <c r="C199" s="371"/>
      <c r="D199" s="371"/>
      <c r="E199" s="371"/>
      <c r="F199" s="371"/>
      <c r="G199" s="371"/>
      <c r="H199" s="371"/>
      <c r="I199" s="371"/>
      <c r="J199" s="371"/>
      <c r="K199" s="371"/>
      <c r="L199" s="371"/>
      <c r="M199" s="371"/>
      <c r="N199" s="371"/>
      <c r="O199" s="371"/>
      <c r="P199" s="371"/>
      <c r="Q199" s="371"/>
      <c r="R199" s="371"/>
      <c r="S199" s="371"/>
      <c r="T199" s="371"/>
      <c r="U199" s="371"/>
      <c r="V199" s="371"/>
      <c r="W199" s="371"/>
      <c r="X199" s="371"/>
      <c r="Y199" s="371"/>
      <c r="Z199" s="371"/>
    </row>
    <row r="200" ht="26.25" customHeight="1">
      <c r="A200" s="371"/>
      <c r="B200" s="1265"/>
      <c r="C200" s="371"/>
      <c r="D200" s="371"/>
      <c r="E200" s="371"/>
      <c r="F200" s="371"/>
      <c r="G200" s="371"/>
      <c r="H200" s="371"/>
      <c r="I200" s="371"/>
      <c r="J200" s="371"/>
      <c r="K200" s="371"/>
      <c r="L200" s="371"/>
      <c r="M200" s="371"/>
      <c r="N200" s="371"/>
      <c r="O200" s="371"/>
      <c r="P200" s="371"/>
      <c r="Q200" s="371"/>
      <c r="R200" s="371"/>
      <c r="S200" s="371"/>
      <c r="T200" s="371"/>
      <c r="U200" s="371"/>
      <c r="V200" s="371"/>
      <c r="W200" s="371"/>
      <c r="X200" s="371"/>
      <c r="Y200" s="371"/>
      <c r="Z200" s="371"/>
    </row>
    <row r="201" ht="26.25" customHeight="1">
      <c r="A201" s="371"/>
      <c r="B201" s="1265"/>
      <c r="C201" s="371"/>
      <c r="D201" s="371"/>
      <c r="E201" s="371"/>
      <c r="F201" s="371"/>
      <c r="G201" s="371"/>
      <c r="H201" s="371"/>
      <c r="I201" s="371"/>
      <c r="J201" s="371"/>
      <c r="K201" s="371"/>
      <c r="L201" s="371"/>
      <c r="M201" s="371"/>
      <c r="N201" s="371"/>
      <c r="O201" s="371"/>
      <c r="P201" s="371"/>
      <c r="Q201" s="371"/>
      <c r="R201" s="371"/>
      <c r="S201" s="371"/>
      <c r="T201" s="371"/>
      <c r="U201" s="371"/>
      <c r="V201" s="371"/>
      <c r="W201" s="371"/>
      <c r="X201" s="371"/>
      <c r="Y201" s="371"/>
      <c r="Z201" s="371"/>
    </row>
    <row r="202" ht="26.25" customHeight="1">
      <c r="A202" s="371"/>
      <c r="B202" s="1265"/>
      <c r="C202" s="371"/>
      <c r="D202" s="371"/>
      <c r="E202" s="371"/>
      <c r="F202" s="371"/>
      <c r="G202" s="371"/>
      <c r="H202" s="371"/>
      <c r="I202" s="371"/>
      <c r="J202" s="371"/>
      <c r="K202" s="371"/>
      <c r="L202" s="371"/>
      <c r="M202" s="371"/>
      <c r="N202" s="371"/>
      <c r="O202" s="371"/>
      <c r="P202" s="371"/>
      <c r="Q202" s="371"/>
      <c r="R202" s="371"/>
      <c r="S202" s="371"/>
      <c r="T202" s="371"/>
      <c r="U202" s="371"/>
      <c r="V202" s="371"/>
      <c r="W202" s="371"/>
      <c r="X202" s="371"/>
      <c r="Y202" s="371"/>
      <c r="Z202" s="371"/>
    </row>
    <row r="203" ht="26.25" customHeight="1">
      <c r="A203" s="371"/>
      <c r="B203" s="1265"/>
      <c r="C203" s="371"/>
      <c r="D203" s="371"/>
      <c r="E203" s="371"/>
      <c r="F203" s="371"/>
      <c r="G203" s="371"/>
      <c r="H203" s="371"/>
      <c r="I203" s="371"/>
      <c r="J203" s="371"/>
      <c r="K203" s="371"/>
      <c r="L203" s="371"/>
      <c r="M203" s="371"/>
      <c r="N203" s="371"/>
      <c r="O203" s="371"/>
      <c r="P203" s="371"/>
      <c r="Q203" s="371"/>
      <c r="R203" s="371"/>
      <c r="S203" s="371"/>
      <c r="T203" s="371"/>
      <c r="U203" s="371"/>
      <c r="V203" s="371"/>
      <c r="W203" s="371"/>
      <c r="X203" s="371"/>
      <c r="Y203" s="371"/>
      <c r="Z203" s="371"/>
    </row>
    <row r="204" ht="26.25" customHeight="1">
      <c r="A204" s="371"/>
      <c r="B204" s="1265"/>
      <c r="C204" s="371"/>
      <c r="D204" s="371"/>
      <c r="E204" s="371"/>
      <c r="F204" s="371"/>
      <c r="G204" s="371"/>
      <c r="H204" s="371"/>
      <c r="I204" s="371"/>
      <c r="J204" s="371"/>
      <c r="K204" s="371"/>
      <c r="L204" s="371"/>
      <c r="M204" s="371"/>
      <c r="N204" s="371"/>
      <c r="O204" s="371"/>
      <c r="P204" s="371"/>
      <c r="Q204" s="371"/>
      <c r="R204" s="371"/>
      <c r="S204" s="371"/>
      <c r="T204" s="371"/>
      <c r="U204" s="371"/>
      <c r="V204" s="371"/>
      <c r="W204" s="371"/>
      <c r="X204" s="371"/>
      <c r="Y204" s="371"/>
      <c r="Z204" s="371"/>
    </row>
    <row r="205" ht="26.25" customHeight="1">
      <c r="A205" s="371"/>
      <c r="B205" s="1265"/>
      <c r="C205" s="371"/>
      <c r="D205" s="371"/>
      <c r="E205" s="371"/>
      <c r="F205" s="371"/>
      <c r="G205" s="371"/>
      <c r="H205" s="371"/>
      <c r="I205" s="371"/>
      <c r="J205" s="371"/>
      <c r="K205" s="371"/>
      <c r="L205" s="371"/>
      <c r="M205" s="371"/>
      <c r="N205" s="371"/>
      <c r="O205" s="371"/>
      <c r="P205" s="371"/>
      <c r="Q205" s="371"/>
      <c r="R205" s="371"/>
      <c r="S205" s="371"/>
      <c r="T205" s="371"/>
      <c r="U205" s="371"/>
      <c r="V205" s="371"/>
      <c r="W205" s="371"/>
      <c r="X205" s="371"/>
      <c r="Y205" s="371"/>
      <c r="Z205" s="371"/>
    </row>
    <row r="206" ht="26.25" customHeight="1">
      <c r="A206" s="371"/>
      <c r="B206" s="1265"/>
      <c r="C206" s="371"/>
      <c r="D206" s="371"/>
      <c r="E206" s="371"/>
      <c r="F206" s="371"/>
      <c r="G206" s="371"/>
      <c r="H206" s="371"/>
      <c r="I206" s="371"/>
      <c r="J206" s="371"/>
      <c r="K206" s="371"/>
      <c r="L206" s="371"/>
      <c r="M206" s="371"/>
      <c r="N206" s="371"/>
      <c r="O206" s="371"/>
      <c r="P206" s="371"/>
      <c r="Q206" s="371"/>
      <c r="R206" s="371"/>
      <c r="S206" s="371"/>
      <c r="T206" s="371"/>
      <c r="U206" s="371"/>
      <c r="V206" s="371"/>
      <c r="W206" s="371"/>
      <c r="X206" s="371"/>
      <c r="Y206" s="371"/>
      <c r="Z206" s="371"/>
    </row>
    <row r="207" ht="26.25" customHeight="1">
      <c r="A207" s="371"/>
      <c r="B207" s="1265"/>
      <c r="C207" s="371"/>
      <c r="D207" s="371"/>
      <c r="E207" s="371"/>
      <c r="F207" s="371"/>
      <c r="G207" s="371"/>
      <c r="H207" s="371"/>
      <c r="I207" s="371"/>
      <c r="J207" s="371"/>
      <c r="K207" s="371"/>
      <c r="L207" s="371"/>
      <c r="M207" s="371"/>
      <c r="N207" s="371"/>
      <c r="O207" s="371"/>
      <c r="P207" s="371"/>
      <c r="Q207" s="371"/>
      <c r="R207" s="371"/>
      <c r="S207" s="371"/>
      <c r="T207" s="371"/>
      <c r="U207" s="371"/>
      <c r="V207" s="371"/>
      <c r="W207" s="371"/>
      <c r="X207" s="371"/>
      <c r="Y207" s="371"/>
      <c r="Z207" s="371"/>
    </row>
    <row r="208" ht="26.25" customHeight="1">
      <c r="A208" s="371"/>
      <c r="B208" s="1265"/>
      <c r="C208" s="371"/>
      <c r="D208" s="371"/>
      <c r="E208" s="371"/>
      <c r="F208" s="371"/>
      <c r="G208" s="371"/>
      <c r="H208" s="371"/>
      <c r="I208" s="371"/>
      <c r="J208" s="371"/>
      <c r="K208" s="371"/>
      <c r="L208" s="371"/>
      <c r="M208" s="371"/>
      <c r="N208" s="371"/>
      <c r="O208" s="371"/>
      <c r="P208" s="371"/>
      <c r="Q208" s="371"/>
      <c r="R208" s="371"/>
      <c r="S208" s="371"/>
      <c r="T208" s="371"/>
      <c r="U208" s="371"/>
      <c r="V208" s="371"/>
      <c r="W208" s="371"/>
      <c r="X208" s="371"/>
      <c r="Y208" s="371"/>
      <c r="Z208" s="371"/>
    </row>
    <row r="209" ht="26.25" customHeight="1">
      <c r="A209" s="371"/>
      <c r="B209" s="1265"/>
      <c r="C209" s="371"/>
      <c r="D209" s="371"/>
      <c r="E209" s="371"/>
      <c r="F209" s="371"/>
      <c r="G209" s="371"/>
      <c r="H209" s="371"/>
      <c r="I209" s="371"/>
      <c r="J209" s="371"/>
      <c r="K209" s="371"/>
      <c r="L209" s="371"/>
      <c r="M209" s="371"/>
      <c r="N209" s="371"/>
      <c r="O209" s="371"/>
      <c r="P209" s="371"/>
      <c r="Q209" s="371"/>
      <c r="R209" s="371"/>
      <c r="S209" s="371"/>
      <c r="T209" s="371"/>
      <c r="U209" s="371"/>
      <c r="V209" s="371"/>
      <c r="W209" s="371"/>
      <c r="X209" s="371"/>
      <c r="Y209" s="371"/>
      <c r="Z209" s="371"/>
    </row>
    <row r="210" ht="26.25" customHeight="1">
      <c r="A210" s="371"/>
      <c r="B210" s="1265"/>
      <c r="C210" s="371"/>
      <c r="D210" s="371"/>
      <c r="E210" s="371"/>
      <c r="F210" s="371"/>
      <c r="G210" s="371"/>
      <c r="H210" s="371"/>
      <c r="I210" s="371"/>
      <c r="J210" s="371"/>
      <c r="K210" s="371"/>
      <c r="L210" s="371"/>
      <c r="M210" s="371"/>
      <c r="N210" s="371"/>
      <c r="O210" s="371"/>
      <c r="P210" s="371"/>
      <c r="Q210" s="371"/>
      <c r="R210" s="371"/>
      <c r="S210" s="371"/>
      <c r="T210" s="371"/>
      <c r="U210" s="371"/>
      <c r="V210" s="371"/>
      <c r="W210" s="371"/>
      <c r="X210" s="371"/>
      <c r="Y210" s="371"/>
      <c r="Z210" s="371"/>
    </row>
    <row r="211" ht="26.25" customHeight="1">
      <c r="A211" s="371"/>
      <c r="B211" s="1265"/>
      <c r="C211" s="371"/>
      <c r="D211" s="371"/>
      <c r="E211" s="371"/>
      <c r="F211" s="371"/>
      <c r="G211" s="371"/>
      <c r="H211" s="371"/>
      <c r="I211" s="371"/>
      <c r="J211" s="371"/>
      <c r="K211" s="371"/>
      <c r="L211" s="371"/>
      <c r="M211" s="371"/>
      <c r="N211" s="371"/>
      <c r="O211" s="371"/>
      <c r="P211" s="371"/>
      <c r="Q211" s="371"/>
      <c r="R211" s="371"/>
      <c r="S211" s="371"/>
      <c r="T211" s="371"/>
      <c r="U211" s="371"/>
      <c r="V211" s="371"/>
      <c r="W211" s="371"/>
      <c r="X211" s="371"/>
      <c r="Y211" s="371"/>
      <c r="Z211" s="371"/>
    </row>
    <row r="212" ht="26.25" customHeight="1">
      <c r="A212" s="371"/>
      <c r="B212" s="1265"/>
      <c r="C212" s="371"/>
      <c r="D212" s="371"/>
      <c r="E212" s="371"/>
      <c r="F212" s="371"/>
      <c r="G212" s="371"/>
      <c r="H212" s="371"/>
      <c r="I212" s="371"/>
      <c r="J212" s="371"/>
      <c r="K212" s="371"/>
      <c r="L212" s="371"/>
      <c r="M212" s="371"/>
      <c r="N212" s="371"/>
      <c r="O212" s="371"/>
      <c r="P212" s="371"/>
      <c r="Q212" s="371"/>
      <c r="R212" s="371"/>
      <c r="S212" s="371"/>
      <c r="T212" s="371"/>
      <c r="U212" s="371"/>
      <c r="V212" s="371"/>
      <c r="W212" s="371"/>
      <c r="X212" s="371"/>
      <c r="Y212" s="371"/>
      <c r="Z212" s="371"/>
    </row>
    <row r="213" ht="26.25" customHeight="1">
      <c r="A213" s="371"/>
      <c r="B213" s="1265"/>
      <c r="C213" s="371"/>
      <c r="D213" s="371"/>
      <c r="E213" s="371"/>
      <c r="F213" s="371"/>
      <c r="G213" s="371"/>
      <c r="H213" s="371"/>
      <c r="I213" s="371"/>
      <c r="J213" s="371"/>
      <c r="K213" s="371"/>
      <c r="L213" s="371"/>
      <c r="M213" s="371"/>
      <c r="N213" s="371"/>
      <c r="O213" s="371"/>
      <c r="P213" s="371"/>
      <c r="Q213" s="371"/>
      <c r="R213" s="371"/>
      <c r="S213" s="371"/>
      <c r="T213" s="371"/>
      <c r="U213" s="371"/>
      <c r="V213" s="371"/>
      <c r="W213" s="371"/>
      <c r="X213" s="371"/>
      <c r="Y213" s="371"/>
      <c r="Z213" s="371"/>
    </row>
    <row r="214" ht="26.25" customHeight="1">
      <c r="A214" s="371"/>
      <c r="B214" s="1265"/>
      <c r="C214" s="371"/>
      <c r="D214" s="371"/>
      <c r="E214" s="371"/>
      <c r="F214" s="371"/>
      <c r="G214" s="371"/>
      <c r="H214" s="371"/>
      <c r="I214" s="371"/>
      <c r="J214" s="371"/>
      <c r="K214" s="371"/>
      <c r="L214" s="371"/>
      <c r="M214" s="371"/>
      <c r="N214" s="371"/>
      <c r="O214" s="371"/>
      <c r="P214" s="371"/>
      <c r="Q214" s="371"/>
      <c r="R214" s="371"/>
      <c r="S214" s="371"/>
      <c r="T214" s="371"/>
      <c r="U214" s="371"/>
      <c r="V214" s="371"/>
      <c r="W214" s="371"/>
      <c r="X214" s="371"/>
      <c r="Y214" s="371"/>
      <c r="Z214" s="371"/>
    </row>
    <row r="215" ht="26.25" customHeight="1">
      <c r="A215" s="371"/>
      <c r="B215" s="1265"/>
      <c r="C215" s="371"/>
      <c r="D215" s="371"/>
      <c r="E215" s="371"/>
      <c r="F215" s="371"/>
      <c r="G215" s="371"/>
      <c r="H215" s="371"/>
      <c r="I215" s="371"/>
      <c r="J215" s="371"/>
      <c r="K215" s="371"/>
      <c r="L215" s="371"/>
      <c r="M215" s="371"/>
      <c r="N215" s="371"/>
      <c r="O215" s="371"/>
      <c r="P215" s="371"/>
      <c r="Q215" s="371"/>
      <c r="R215" s="371"/>
      <c r="S215" s="371"/>
      <c r="T215" s="371"/>
      <c r="U215" s="371"/>
      <c r="V215" s="371"/>
      <c r="W215" s="371"/>
      <c r="X215" s="371"/>
      <c r="Y215" s="371"/>
      <c r="Z215" s="371"/>
    </row>
    <row r="216" ht="26.25" customHeight="1">
      <c r="A216" s="371"/>
      <c r="B216" s="1265"/>
      <c r="C216" s="371"/>
      <c r="D216" s="371"/>
      <c r="E216" s="371"/>
      <c r="F216" s="371"/>
      <c r="G216" s="371"/>
      <c r="H216" s="371"/>
      <c r="I216" s="371"/>
      <c r="J216" s="371"/>
      <c r="K216" s="371"/>
      <c r="L216" s="371"/>
      <c r="M216" s="371"/>
      <c r="N216" s="371"/>
      <c r="O216" s="371"/>
      <c r="P216" s="371"/>
      <c r="Q216" s="371"/>
      <c r="R216" s="371"/>
      <c r="S216" s="371"/>
      <c r="T216" s="371"/>
      <c r="U216" s="371"/>
      <c r="V216" s="371"/>
      <c r="W216" s="371"/>
      <c r="X216" s="371"/>
      <c r="Y216" s="371"/>
      <c r="Z216" s="371"/>
    </row>
    <row r="217" ht="26.25" customHeight="1">
      <c r="A217" s="371"/>
      <c r="B217" s="1265"/>
      <c r="C217" s="371"/>
      <c r="D217" s="371"/>
      <c r="E217" s="371"/>
      <c r="F217" s="371"/>
      <c r="G217" s="371"/>
      <c r="H217" s="371"/>
      <c r="I217" s="371"/>
      <c r="J217" s="371"/>
      <c r="K217" s="371"/>
      <c r="L217" s="371"/>
      <c r="M217" s="371"/>
      <c r="N217" s="371"/>
      <c r="O217" s="371"/>
      <c r="P217" s="371"/>
      <c r="Q217" s="371"/>
      <c r="R217" s="371"/>
      <c r="S217" s="371"/>
      <c r="T217" s="371"/>
      <c r="U217" s="371"/>
      <c r="V217" s="371"/>
      <c r="W217" s="371"/>
      <c r="X217" s="371"/>
      <c r="Y217" s="371"/>
      <c r="Z217" s="371"/>
    </row>
    <row r="218" ht="26.25" customHeight="1">
      <c r="A218" s="371"/>
      <c r="B218" s="1265"/>
      <c r="C218" s="371"/>
      <c r="D218" s="371"/>
      <c r="E218" s="371"/>
      <c r="F218" s="371"/>
      <c r="G218" s="371"/>
      <c r="H218" s="371"/>
      <c r="I218" s="371"/>
      <c r="J218" s="371"/>
      <c r="K218" s="371"/>
      <c r="L218" s="371"/>
      <c r="M218" s="371"/>
      <c r="N218" s="371"/>
      <c r="O218" s="371"/>
      <c r="P218" s="371"/>
      <c r="Q218" s="371"/>
      <c r="R218" s="371"/>
      <c r="S218" s="371"/>
      <c r="T218" s="371"/>
      <c r="U218" s="371"/>
      <c r="V218" s="371"/>
      <c r="W218" s="371"/>
      <c r="X218" s="371"/>
      <c r="Y218" s="371"/>
      <c r="Z218" s="371"/>
    </row>
    <row r="219" ht="26.25" customHeight="1">
      <c r="A219" s="371"/>
      <c r="B219" s="1265"/>
      <c r="C219" s="371"/>
      <c r="D219" s="371"/>
      <c r="E219" s="371"/>
      <c r="F219" s="371"/>
      <c r="G219" s="371"/>
      <c r="H219" s="371"/>
      <c r="I219" s="371"/>
      <c r="J219" s="371"/>
      <c r="K219" s="371"/>
      <c r="L219" s="371"/>
      <c r="M219" s="371"/>
      <c r="N219" s="371"/>
      <c r="O219" s="371"/>
      <c r="P219" s="371"/>
      <c r="Q219" s="371"/>
      <c r="R219" s="371"/>
      <c r="S219" s="371"/>
      <c r="T219" s="371"/>
      <c r="U219" s="371"/>
      <c r="V219" s="371"/>
      <c r="W219" s="371"/>
      <c r="X219" s="371"/>
      <c r="Y219" s="371"/>
      <c r="Z219" s="371"/>
    </row>
    <row r="220" ht="26.25" customHeight="1">
      <c r="A220" s="371"/>
      <c r="B220" s="1265"/>
      <c r="C220" s="371"/>
      <c r="D220" s="371"/>
      <c r="E220" s="371"/>
      <c r="F220" s="371"/>
      <c r="G220" s="371"/>
      <c r="H220" s="371"/>
      <c r="I220" s="371"/>
      <c r="J220" s="371"/>
      <c r="K220" s="371"/>
      <c r="L220" s="371"/>
      <c r="M220" s="371"/>
      <c r="N220" s="371"/>
      <c r="O220" s="371"/>
      <c r="P220" s="371"/>
      <c r="Q220" s="371"/>
      <c r="R220" s="371"/>
      <c r="S220" s="371"/>
      <c r="T220" s="371"/>
      <c r="U220" s="371"/>
      <c r="V220" s="371"/>
      <c r="W220" s="371"/>
      <c r="X220" s="371"/>
      <c r="Y220" s="371"/>
      <c r="Z220" s="371"/>
    </row>
    <row r="221" ht="26.25" customHeight="1">
      <c r="A221" s="371"/>
      <c r="B221" s="1265"/>
      <c r="C221" s="371"/>
      <c r="D221" s="371"/>
      <c r="E221" s="371"/>
      <c r="F221" s="371"/>
      <c r="G221" s="371"/>
      <c r="H221" s="371"/>
      <c r="I221" s="371"/>
      <c r="J221" s="371"/>
      <c r="K221" s="371"/>
      <c r="L221" s="371"/>
      <c r="M221" s="371"/>
      <c r="N221" s="371"/>
      <c r="O221" s="371"/>
      <c r="P221" s="371"/>
      <c r="Q221" s="371"/>
      <c r="R221" s="371"/>
      <c r="S221" s="371"/>
      <c r="T221" s="371"/>
      <c r="U221" s="371"/>
      <c r="V221" s="371"/>
      <c r="W221" s="371"/>
      <c r="X221" s="371"/>
      <c r="Y221" s="371"/>
      <c r="Z221" s="371"/>
    </row>
    <row r="222" ht="26.25" customHeight="1">
      <c r="A222" s="371"/>
      <c r="B222" s="1265"/>
      <c r="C222" s="371"/>
      <c r="D222" s="371"/>
      <c r="E222" s="371"/>
      <c r="F222" s="371"/>
      <c r="G222" s="371"/>
      <c r="H222" s="371"/>
      <c r="I222" s="371"/>
      <c r="J222" s="371"/>
      <c r="K222" s="371"/>
      <c r="L222" s="371"/>
      <c r="M222" s="371"/>
      <c r="N222" s="371"/>
      <c r="O222" s="371"/>
      <c r="P222" s="371"/>
      <c r="Q222" s="371"/>
      <c r="R222" s="371"/>
      <c r="S222" s="371"/>
      <c r="T222" s="371"/>
      <c r="U222" s="371"/>
      <c r="V222" s="371"/>
      <c r="W222" s="371"/>
      <c r="X222" s="371"/>
      <c r="Y222" s="371"/>
      <c r="Z222" s="371"/>
    </row>
    <row r="223" ht="26.25" customHeight="1">
      <c r="A223" s="371"/>
      <c r="B223" s="1265"/>
      <c r="C223" s="371"/>
      <c r="D223" s="371"/>
      <c r="E223" s="371"/>
      <c r="F223" s="371"/>
      <c r="G223" s="371"/>
      <c r="H223" s="371"/>
      <c r="I223" s="371"/>
      <c r="J223" s="371"/>
      <c r="K223" s="371"/>
      <c r="L223" s="371"/>
      <c r="M223" s="371"/>
      <c r="N223" s="371"/>
      <c r="O223" s="371"/>
      <c r="P223" s="371"/>
      <c r="Q223" s="371"/>
      <c r="R223" s="371"/>
      <c r="S223" s="371"/>
      <c r="T223" s="371"/>
      <c r="U223" s="371"/>
      <c r="V223" s="371"/>
      <c r="W223" s="371"/>
      <c r="X223" s="371"/>
      <c r="Y223" s="371"/>
      <c r="Z223" s="371"/>
    </row>
    <row r="224" ht="26.25" customHeight="1">
      <c r="A224" s="371"/>
      <c r="B224" s="1265"/>
      <c r="C224" s="371"/>
      <c r="D224" s="371"/>
      <c r="E224" s="371"/>
      <c r="F224" s="371"/>
      <c r="G224" s="371"/>
      <c r="H224" s="371"/>
      <c r="I224" s="371"/>
      <c r="J224" s="371"/>
      <c r="K224" s="371"/>
      <c r="L224" s="371"/>
      <c r="M224" s="371"/>
      <c r="N224" s="371"/>
      <c r="O224" s="371"/>
      <c r="P224" s="371"/>
      <c r="Q224" s="371"/>
      <c r="R224" s="371"/>
      <c r="S224" s="371"/>
      <c r="T224" s="371"/>
      <c r="U224" s="371"/>
      <c r="V224" s="371"/>
      <c r="W224" s="371"/>
      <c r="X224" s="371"/>
      <c r="Y224" s="371"/>
      <c r="Z224" s="371"/>
    </row>
    <row r="225" ht="26.25" customHeight="1">
      <c r="A225" s="371"/>
      <c r="B225" s="1265"/>
      <c r="C225" s="371"/>
      <c r="D225" s="371"/>
      <c r="E225" s="371"/>
      <c r="F225" s="371"/>
      <c r="G225" s="371"/>
      <c r="H225" s="371"/>
      <c r="I225" s="371"/>
      <c r="J225" s="371"/>
      <c r="K225" s="371"/>
      <c r="L225" s="371"/>
      <c r="M225" s="371"/>
      <c r="N225" s="371"/>
      <c r="O225" s="371"/>
      <c r="P225" s="371"/>
      <c r="Q225" s="371"/>
      <c r="R225" s="371"/>
      <c r="S225" s="371"/>
      <c r="T225" s="371"/>
      <c r="U225" s="371"/>
      <c r="V225" s="371"/>
      <c r="W225" s="371"/>
      <c r="X225" s="371"/>
      <c r="Y225" s="371"/>
      <c r="Z225" s="371"/>
    </row>
    <row r="226" ht="26.25" customHeight="1">
      <c r="A226" s="371"/>
      <c r="B226" s="1265"/>
      <c r="C226" s="371"/>
      <c r="D226" s="371"/>
      <c r="E226" s="371"/>
      <c r="F226" s="371"/>
      <c r="G226" s="371"/>
      <c r="H226" s="371"/>
      <c r="I226" s="371"/>
      <c r="J226" s="371"/>
      <c r="K226" s="371"/>
      <c r="L226" s="371"/>
      <c r="M226" s="371"/>
      <c r="N226" s="371"/>
      <c r="O226" s="371"/>
      <c r="P226" s="371"/>
      <c r="Q226" s="371"/>
      <c r="R226" s="371"/>
      <c r="S226" s="371"/>
      <c r="T226" s="371"/>
      <c r="U226" s="371"/>
      <c r="V226" s="371"/>
      <c r="W226" s="371"/>
      <c r="X226" s="371"/>
      <c r="Y226" s="371"/>
      <c r="Z226" s="371"/>
    </row>
    <row r="227" ht="26.25" customHeight="1">
      <c r="A227" s="371"/>
      <c r="B227" s="1265"/>
      <c r="C227" s="371"/>
      <c r="D227" s="371"/>
      <c r="E227" s="371"/>
      <c r="F227" s="371"/>
      <c r="G227" s="371"/>
      <c r="H227" s="371"/>
      <c r="I227" s="371"/>
      <c r="J227" s="371"/>
      <c r="K227" s="371"/>
      <c r="L227" s="371"/>
      <c r="M227" s="371"/>
      <c r="N227" s="371"/>
      <c r="O227" s="371"/>
      <c r="P227" s="371"/>
      <c r="Q227" s="371"/>
      <c r="R227" s="371"/>
      <c r="S227" s="371"/>
      <c r="T227" s="371"/>
      <c r="U227" s="371"/>
      <c r="V227" s="371"/>
      <c r="W227" s="371"/>
      <c r="X227" s="371"/>
      <c r="Y227" s="371"/>
      <c r="Z227" s="371"/>
    </row>
    <row r="228" ht="26.25" customHeight="1">
      <c r="A228" s="371"/>
      <c r="B228" s="1265"/>
      <c r="C228" s="371"/>
      <c r="D228" s="371"/>
      <c r="E228" s="371"/>
      <c r="F228" s="371"/>
      <c r="G228" s="371"/>
      <c r="H228" s="371"/>
      <c r="I228" s="371"/>
      <c r="J228" s="371"/>
      <c r="K228" s="371"/>
      <c r="L228" s="371"/>
      <c r="M228" s="371"/>
      <c r="N228" s="371"/>
      <c r="O228" s="371"/>
      <c r="P228" s="371"/>
      <c r="Q228" s="371"/>
      <c r="R228" s="371"/>
      <c r="S228" s="371"/>
      <c r="T228" s="371"/>
      <c r="U228" s="371"/>
      <c r="V228" s="371"/>
      <c r="W228" s="371"/>
      <c r="X228" s="371"/>
      <c r="Y228" s="371"/>
      <c r="Z228" s="371"/>
    </row>
    <row r="229" ht="26.25" customHeight="1">
      <c r="A229" s="371"/>
      <c r="B229" s="1265"/>
      <c r="C229" s="371"/>
      <c r="D229" s="371"/>
      <c r="E229" s="371"/>
      <c r="F229" s="371"/>
      <c r="G229" s="371"/>
      <c r="H229" s="371"/>
      <c r="I229" s="371"/>
      <c r="J229" s="371"/>
      <c r="K229" s="371"/>
      <c r="L229" s="371"/>
      <c r="M229" s="371"/>
      <c r="N229" s="371"/>
      <c r="O229" s="371"/>
      <c r="P229" s="371"/>
      <c r="Q229" s="371"/>
      <c r="R229" s="371"/>
      <c r="S229" s="371"/>
      <c r="T229" s="371"/>
      <c r="U229" s="371"/>
      <c r="V229" s="371"/>
      <c r="W229" s="371"/>
      <c r="X229" s="371"/>
      <c r="Y229" s="371"/>
      <c r="Z229" s="371"/>
    </row>
    <row r="230" ht="26.25" customHeight="1">
      <c r="A230" s="371"/>
      <c r="B230" s="1265"/>
      <c r="C230" s="371"/>
      <c r="D230" s="371"/>
      <c r="E230" s="371"/>
      <c r="F230" s="371"/>
      <c r="G230" s="371"/>
      <c r="H230" s="371"/>
      <c r="I230" s="371"/>
      <c r="J230" s="371"/>
      <c r="K230" s="371"/>
      <c r="L230" s="371"/>
      <c r="M230" s="371"/>
      <c r="N230" s="371"/>
      <c r="O230" s="371"/>
      <c r="P230" s="371"/>
      <c r="Q230" s="371"/>
      <c r="R230" s="371"/>
      <c r="S230" s="371"/>
      <c r="T230" s="371"/>
      <c r="U230" s="371"/>
      <c r="V230" s="371"/>
      <c r="W230" s="371"/>
      <c r="X230" s="371"/>
      <c r="Y230" s="371"/>
      <c r="Z230" s="371"/>
    </row>
    <row r="231" ht="26.25" customHeight="1">
      <c r="A231" s="371"/>
      <c r="B231" s="1265"/>
      <c r="C231" s="371"/>
      <c r="D231" s="371"/>
      <c r="E231" s="371"/>
      <c r="F231" s="371"/>
      <c r="G231" s="371"/>
      <c r="H231" s="371"/>
      <c r="I231" s="371"/>
      <c r="J231" s="371"/>
      <c r="K231" s="371"/>
      <c r="L231" s="371"/>
      <c r="M231" s="371"/>
      <c r="N231" s="371"/>
      <c r="O231" s="371"/>
      <c r="P231" s="371"/>
      <c r="Q231" s="371"/>
      <c r="R231" s="371"/>
      <c r="S231" s="371"/>
      <c r="T231" s="371"/>
      <c r="U231" s="371"/>
      <c r="V231" s="371"/>
      <c r="W231" s="371"/>
      <c r="X231" s="371"/>
      <c r="Y231" s="371"/>
      <c r="Z231" s="371"/>
    </row>
    <row r="232" ht="26.25" customHeight="1">
      <c r="A232" s="371"/>
      <c r="B232" s="1265"/>
      <c r="C232" s="371"/>
      <c r="D232" s="371"/>
      <c r="E232" s="371"/>
      <c r="F232" s="371"/>
      <c r="G232" s="371"/>
      <c r="H232" s="371"/>
      <c r="I232" s="371"/>
      <c r="J232" s="371"/>
      <c r="K232" s="371"/>
      <c r="L232" s="371"/>
      <c r="M232" s="371"/>
      <c r="N232" s="371"/>
      <c r="O232" s="371"/>
      <c r="P232" s="371"/>
      <c r="Q232" s="371"/>
      <c r="R232" s="371"/>
      <c r="S232" s="371"/>
      <c r="T232" s="371"/>
      <c r="U232" s="371"/>
      <c r="V232" s="371"/>
      <c r="W232" s="371"/>
      <c r="X232" s="371"/>
      <c r="Y232" s="371"/>
      <c r="Z232" s="371"/>
    </row>
    <row r="233" ht="26.25" customHeight="1">
      <c r="A233" s="371"/>
      <c r="B233" s="1265"/>
      <c r="C233" s="371"/>
      <c r="D233" s="371"/>
      <c r="E233" s="371"/>
      <c r="F233" s="371"/>
      <c r="G233" s="371"/>
      <c r="H233" s="371"/>
      <c r="I233" s="371"/>
      <c r="J233" s="371"/>
      <c r="K233" s="371"/>
      <c r="L233" s="371"/>
      <c r="M233" s="371"/>
      <c r="N233" s="371"/>
      <c r="O233" s="371"/>
      <c r="P233" s="371"/>
      <c r="Q233" s="371"/>
      <c r="R233" s="371"/>
      <c r="S233" s="371"/>
      <c r="T233" s="371"/>
      <c r="U233" s="371"/>
      <c r="V233" s="371"/>
      <c r="W233" s="371"/>
      <c r="X233" s="371"/>
      <c r="Y233" s="371"/>
      <c r="Z233" s="371"/>
    </row>
    <row r="234" ht="26.25" customHeight="1">
      <c r="A234" s="371"/>
      <c r="B234" s="1265"/>
      <c r="C234" s="371"/>
      <c r="D234" s="371"/>
      <c r="E234" s="371"/>
      <c r="F234" s="371"/>
      <c r="G234" s="371"/>
      <c r="H234" s="371"/>
      <c r="I234" s="371"/>
      <c r="J234" s="371"/>
      <c r="K234" s="371"/>
      <c r="L234" s="371"/>
      <c r="M234" s="371"/>
      <c r="N234" s="371"/>
      <c r="O234" s="371"/>
      <c r="P234" s="371"/>
      <c r="Q234" s="371"/>
      <c r="R234" s="371"/>
      <c r="S234" s="371"/>
      <c r="T234" s="371"/>
      <c r="U234" s="371"/>
      <c r="V234" s="371"/>
      <c r="W234" s="371"/>
      <c r="X234" s="371"/>
      <c r="Y234" s="371"/>
      <c r="Z234" s="371"/>
    </row>
    <row r="235" ht="26.25" customHeight="1">
      <c r="A235" s="371"/>
      <c r="B235" s="1265"/>
      <c r="C235" s="371"/>
      <c r="D235" s="371"/>
      <c r="E235" s="371"/>
      <c r="F235" s="371"/>
      <c r="G235" s="371"/>
      <c r="H235" s="371"/>
      <c r="I235" s="371"/>
      <c r="J235" s="371"/>
      <c r="K235" s="371"/>
      <c r="L235" s="371"/>
      <c r="M235" s="371"/>
      <c r="N235" s="371"/>
      <c r="O235" s="371"/>
      <c r="P235" s="371"/>
      <c r="Q235" s="371"/>
      <c r="R235" s="371"/>
      <c r="S235" s="371"/>
      <c r="T235" s="371"/>
      <c r="U235" s="371"/>
      <c r="V235" s="371"/>
      <c r="W235" s="371"/>
      <c r="X235" s="371"/>
      <c r="Y235" s="371"/>
      <c r="Z235" s="371"/>
    </row>
    <row r="236" ht="26.25" customHeight="1">
      <c r="A236" s="371"/>
      <c r="B236" s="1265"/>
      <c r="C236" s="371"/>
      <c r="D236" s="371"/>
      <c r="E236" s="371"/>
      <c r="F236" s="371"/>
      <c r="G236" s="371"/>
      <c r="H236" s="371"/>
      <c r="I236" s="371"/>
      <c r="J236" s="371"/>
      <c r="K236" s="371"/>
      <c r="L236" s="371"/>
      <c r="M236" s="371"/>
      <c r="N236" s="371"/>
      <c r="O236" s="371"/>
      <c r="P236" s="371"/>
      <c r="Q236" s="371"/>
      <c r="R236" s="371"/>
      <c r="S236" s="371"/>
      <c r="T236" s="371"/>
      <c r="U236" s="371"/>
      <c r="V236" s="371"/>
      <c r="W236" s="371"/>
      <c r="X236" s="371"/>
      <c r="Y236" s="371"/>
      <c r="Z236" s="371"/>
    </row>
    <row r="237" ht="26.25" customHeight="1">
      <c r="A237" s="371"/>
      <c r="B237" s="1265"/>
      <c r="C237" s="371"/>
      <c r="D237" s="371"/>
      <c r="E237" s="371"/>
      <c r="F237" s="371"/>
      <c r="G237" s="371"/>
      <c r="H237" s="371"/>
      <c r="I237" s="371"/>
      <c r="J237" s="371"/>
      <c r="K237" s="371"/>
      <c r="L237" s="371"/>
      <c r="M237" s="371"/>
      <c r="N237" s="371"/>
      <c r="O237" s="371"/>
      <c r="P237" s="371"/>
      <c r="Q237" s="371"/>
      <c r="R237" s="371"/>
      <c r="S237" s="371"/>
      <c r="T237" s="371"/>
      <c r="U237" s="371"/>
      <c r="V237" s="371"/>
      <c r="W237" s="371"/>
      <c r="X237" s="371"/>
      <c r="Y237" s="371"/>
      <c r="Z237" s="371"/>
    </row>
    <row r="238" ht="26.25" customHeight="1">
      <c r="A238" s="371"/>
      <c r="B238" s="1265"/>
      <c r="C238" s="371"/>
      <c r="D238" s="371"/>
      <c r="E238" s="371"/>
      <c r="F238" s="371"/>
      <c r="G238" s="371"/>
      <c r="H238" s="371"/>
      <c r="I238" s="371"/>
      <c r="J238" s="371"/>
      <c r="K238" s="371"/>
      <c r="L238" s="371"/>
      <c r="M238" s="371"/>
      <c r="N238" s="371"/>
      <c r="O238" s="371"/>
      <c r="P238" s="371"/>
      <c r="Q238" s="371"/>
      <c r="R238" s="371"/>
      <c r="S238" s="371"/>
      <c r="T238" s="371"/>
      <c r="U238" s="371"/>
      <c r="V238" s="371"/>
      <c r="W238" s="371"/>
      <c r="X238" s="371"/>
      <c r="Y238" s="371"/>
      <c r="Z238" s="371"/>
    </row>
    <row r="239" ht="26.25" customHeight="1">
      <c r="A239" s="371"/>
      <c r="B239" s="1265"/>
      <c r="C239" s="371"/>
      <c r="D239" s="371"/>
      <c r="E239" s="371"/>
      <c r="F239" s="371"/>
      <c r="G239" s="371"/>
      <c r="H239" s="371"/>
      <c r="I239" s="371"/>
      <c r="J239" s="371"/>
      <c r="K239" s="371"/>
      <c r="L239" s="371"/>
      <c r="M239" s="371"/>
      <c r="N239" s="371"/>
      <c r="O239" s="371"/>
      <c r="P239" s="371"/>
      <c r="Q239" s="371"/>
      <c r="R239" s="371"/>
      <c r="S239" s="371"/>
      <c r="T239" s="371"/>
      <c r="U239" s="371"/>
      <c r="V239" s="371"/>
      <c r="W239" s="371"/>
      <c r="X239" s="371"/>
      <c r="Y239" s="371"/>
      <c r="Z239" s="371"/>
    </row>
    <row r="240" ht="26.25" customHeight="1">
      <c r="A240" s="371"/>
      <c r="B240" s="1265"/>
      <c r="C240" s="371"/>
      <c r="D240" s="371"/>
      <c r="E240" s="371"/>
      <c r="F240" s="371"/>
      <c r="G240" s="371"/>
      <c r="H240" s="371"/>
      <c r="I240" s="371"/>
      <c r="J240" s="371"/>
      <c r="K240" s="371"/>
      <c r="L240" s="371"/>
      <c r="M240" s="371"/>
      <c r="N240" s="371"/>
      <c r="O240" s="371"/>
      <c r="P240" s="371"/>
      <c r="Q240" s="371"/>
      <c r="R240" s="371"/>
      <c r="S240" s="371"/>
      <c r="T240" s="371"/>
      <c r="U240" s="371"/>
      <c r="V240" s="371"/>
      <c r="W240" s="371"/>
      <c r="X240" s="371"/>
      <c r="Y240" s="371"/>
      <c r="Z240" s="371"/>
    </row>
    <row r="241" ht="26.25" customHeight="1">
      <c r="A241" s="371"/>
      <c r="B241" s="1265"/>
      <c r="C241" s="371"/>
      <c r="D241" s="371"/>
      <c r="E241" s="371"/>
      <c r="F241" s="371"/>
      <c r="G241" s="371"/>
      <c r="H241" s="371"/>
      <c r="I241" s="371"/>
      <c r="J241" s="371"/>
      <c r="K241" s="371"/>
      <c r="L241" s="371"/>
      <c r="M241" s="371"/>
      <c r="N241" s="371"/>
      <c r="O241" s="371"/>
      <c r="P241" s="371"/>
      <c r="Q241" s="371"/>
      <c r="R241" s="371"/>
      <c r="S241" s="371"/>
      <c r="T241" s="371"/>
      <c r="U241" s="371"/>
      <c r="V241" s="371"/>
      <c r="W241" s="371"/>
      <c r="X241" s="371"/>
      <c r="Y241" s="371"/>
      <c r="Z241" s="371"/>
    </row>
    <row r="242" ht="26.25" customHeight="1">
      <c r="A242" s="371"/>
      <c r="B242" s="1265"/>
      <c r="C242" s="371"/>
      <c r="D242" s="371"/>
      <c r="E242" s="371"/>
      <c r="F242" s="371"/>
      <c r="G242" s="371"/>
      <c r="H242" s="371"/>
      <c r="I242" s="371"/>
      <c r="J242" s="371"/>
      <c r="K242" s="371"/>
      <c r="L242" s="371"/>
      <c r="M242" s="371"/>
      <c r="N242" s="371"/>
      <c r="O242" s="371"/>
      <c r="P242" s="371"/>
      <c r="Q242" s="371"/>
      <c r="R242" s="371"/>
      <c r="S242" s="371"/>
      <c r="T242" s="371"/>
      <c r="U242" s="371"/>
      <c r="V242" s="371"/>
      <c r="W242" s="371"/>
      <c r="X242" s="371"/>
      <c r="Y242" s="371"/>
      <c r="Z242" s="371"/>
    </row>
    <row r="243" ht="26.25" customHeight="1">
      <c r="A243" s="371"/>
      <c r="B243" s="1265"/>
      <c r="C243" s="371"/>
      <c r="D243" s="371"/>
      <c r="E243" s="371"/>
      <c r="F243" s="371"/>
      <c r="G243" s="371"/>
      <c r="H243" s="371"/>
      <c r="I243" s="371"/>
      <c r="J243" s="371"/>
      <c r="K243" s="371"/>
      <c r="L243" s="371"/>
      <c r="M243" s="371"/>
      <c r="N243" s="371"/>
      <c r="O243" s="371"/>
      <c r="P243" s="371"/>
      <c r="Q243" s="371"/>
      <c r="R243" s="371"/>
      <c r="S243" s="371"/>
      <c r="T243" s="371"/>
      <c r="U243" s="371"/>
      <c r="V243" s="371"/>
      <c r="W243" s="371"/>
      <c r="X243" s="371"/>
      <c r="Y243" s="371"/>
      <c r="Z243" s="371"/>
    </row>
    <row r="244" ht="26.25" customHeight="1">
      <c r="A244" s="371"/>
      <c r="B244" s="1265"/>
      <c r="C244" s="371"/>
      <c r="D244" s="371"/>
      <c r="E244" s="371"/>
      <c r="F244" s="371"/>
      <c r="G244" s="371"/>
      <c r="H244" s="371"/>
      <c r="I244" s="371"/>
      <c r="J244" s="371"/>
      <c r="K244" s="371"/>
      <c r="L244" s="371"/>
      <c r="M244" s="371"/>
      <c r="N244" s="371"/>
      <c r="O244" s="371"/>
      <c r="P244" s="371"/>
      <c r="Q244" s="371"/>
      <c r="R244" s="371"/>
      <c r="S244" s="371"/>
      <c r="T244" s="371"/>
      <c r="U244" s="371"/>
      <c r="V244" s="371"/>
      <c r="W244" s="371"/>
      <c r="X244" s="371"/>
      <c r="Y244" s="371"/>
      <c r="Z244" s="371"/>
    </row>
    <row r="245" ht="26.25" customHeight="1">
      <c r="A245" s="371"/>
      <c r="B245" s="1265"/>
      <c r="C245" s="371"/>
      <c r="D245" s="371"/>
      <c r="E245" s="371"/>
      <c r="F245" s="371"/>
      <c r="G245" s="371"/>
      <c r="H245" s="371"/>
      <c r="I245" s="371"/>
      <c r="J245" s="371"/>
      <c r="K245" s="371"/>
      <c r="L245" s="371"/>
      <c r="M245" s="371"/>
      <c r="N245" s="371"/>
      <c r="O245" s="371"/>
      <c r="P245" s="371"/>
      <c r="Q245" s="371"/>
      <c r="R245" s="371"/>
      <c r="S245" s="371"/>
      <c r="T245" s="371"/>
      <c r="U245" s="371"/>
      <c r="V245" s="371"/>
      <c r="W245" s="371"/>
      <c r="X245" s="371"/>
      <c r="Y245" s="371"/>
      <c r="Z245" s="371"/>
    </row>
    <row r="246" ht="26.25" customHeight="1">
      <c r="A246" s="371"/>
      <c r="B246" s="1265"/>
      <c r="C246" s="371"/>
      <c r="D246" s="371"/>
      <c r="E246" s="371"/>
      <c r="F246" s="371"/>
      <c r="G246" s="371"/>
      <c r="H246" s="371"/>
      <c r="I246" s="371"/>
      <c r="J246" s="371"/>
      <c r="K246" s="371"/>
      <c r="L246" s="371"/>
      <c r="M246" s="371"/>
      <c r="N246" s="371"/>
      <c r="O246" s="371"/>
      <c r="P246" s="371"/>
      <c r="Q246" s="371"/>
      <c r="R246" s="371"/>
      <c r="S246" s="371"/>
      <c r="T246" s="371"/>
      <c r="U246" s="371"/>
      <c r="V246" s="371"/>
      <c r="W246" s="371"/>
      <c r="X246" s="371"/>
      <c r="Y246" s="371"/>
      <c r="Z246" s="371"/>
    </row>
    <row r="247" ht="26.25" customHeight="1">
      <c r="A247" s="371"/>
      <c r="B247" s="1265"/>
      <c r="C247" s="371"/>
      <c r="D247" s="371"/>
      <c r="E247" s="371"/>
      <c r="F247" s="371"/>
      <c r="G247" s="371"/>
      <c r="H247" s="371"/>
      <c r="I247" s="371"/>
      <c r="J247" s="371"/>
      <c r="K247" s="371"/>
      <c r="L247" s="371"/>
      <c r="M247" s="371"/>
      <c r="N247" s="371"/>
      <c r="O247" s="371"/>
      <c r="P247" s="371"/>
      <c r="Q247" s="371"/>
      <c r="R247" s="371"/>
      <c r="S247" s="371"/>
      <c r="T247" s="371"/>
      <c r="U247" s="371"/>
      <c r="V247" s="371"/>
      <c r="W247" s="371"/>
      <c r="X247" s="371"/>
      <c r="Y247" s="371"/>
      <c r="Z247" s="371"/>
    </row>
    <row r="248" ht="26.25" customHeight="1">
      <c r="A248" s="371"/>
      <c r="B248" s="1265"/>
      <c r="C248" s="371"/>
      <c r="D248" s="371"/>
      <c r="E248" s="371"/>
      <c r="F248" s="371"/>
      <c r="G248" s="371"/>
      <c r="H248" s="371"/>
      <c r="I248" s="371"/>
      <c r="J248" s="371"/>
      <c r="K248" s="371"/>
      <c r="L248" s="371"/>
      <c r="M248" s="371"/>
      <c r="N248" s="371"/>
      <c r="O248" s="371"/>
      <c r="P248" s="371"/>
      <c r="Q248" s="371"/>
      <c r="R248" s="371"/>
      <c r="S248" s="371"/>
      <c r="T248" s="371"/>
      <c r="U248" s="371"/>
      <c r="V248" s="371"/>
      <c r="W248" s="371"/>
      <c r="X248" s="371"/>
      <c r="Y248" s="371"/>
      <c r="Z248" s="371"/>
    </row>
    <row r="249" ht="26.25" customHeight="1">
      <c r="A249" s="371"/>
      <c r="B249" s="1265"/>
      <c r="C249" s="371"/>
      <c r="D249" s="371"/>
      <c r="E249" s="371"/>
      <c r="F249" s="371"/>
      <c r="G249" s="371"/>
      <c r="H249" s="371"/>
      <c r="I249" s="371"/>
      <c r="J249" s="371"/>
      <c r="K249" s="371"/>
      <c r="L249" s="371"/>
      <c r="M249" s="371"/>
      <c r="N249" s="371"/>
      <c r="O249" s="371"/>
      <c r="P249" s="371"/>
      <c r="Q249" s="371"/>
      <c r="R249" s="371"/>
      <c r="S249" s="371"/>
      <c r="T249" s="371"/>
      <c r="U249" s="371"/>
      <c r="V249" s="371"/>
      <c r="W249" s="371"/>
      <c r="X249" s="371"/>
      <c r="Y249" s="371"/>
      <c r="Z249" s="371"/>
    </row>
    <row r="250" ht="26.25" customHeight="1">
      <c r="A250" s="371"/>
      <c r="B250" s="1265"/>
      <c r="C250" s="371"/>
      <c r="D250" s="371"/>
      <c r="E250" s="371"/>
      <c r="F250" s="371"/>
      <c r="G250" s="371"/>
      <c r="H250" s="371"/>
      <c r="I250" s="371"/>
      <c r="J250" s="371"/>
      <c r="K250" s="371"/>
      <c r="L250" s="371"/>
      <c r="M250" s="371"/>
      <c r="N250" s="371"/>
      <c r="O250" s="371"/>
      <c r="P250" s="371"/>
      <c r="Q250" s="371"/>
      <c r="R250" s="371"/>
      <c r="S250" s="371"/>
      <c r="T250" s="371"/>
      <c r="U250" s="371"/>
      <c r="V250" s="371"/>
      <c r="W250" s="371"/>
      <c r="X250" s="371"/>
      <c r="Y250" s="371"/>
      <c r="Z250" s="371"/>
    </row>
    <row r="251" ht="26.25" customHeight="1">
      <c r="A251" s="371"/>
      <c r="B251" s="1265"/>
      <c r="C251" s="371"/>
      <c r="D251" s="371"/>
      <c r="E251" s="371"/>
      <c r="F251" s="371"/>
      <c r="G251" s="371"/>
      <c r="H251" s="371"/>
      <c r="I251" s="371"/>
      <c r="J251" s="371"/>
      <c r="K251" s="371"/>
      <c r="L251" s="371"/>
      <c r="M251" s="371"/>
      <c r="N251" s="371"/>
      <c r="O251" s="371"/>
      <c r="P251" s="371"/>
      <c r="Q251" s="371"/>
      <c r="R251" s="371"/>
      <c r="S251" s="371"/>
      <c r="T251" s="371"/>
      <c r="U251" s="371"/>
      <c r="V251" s="371"/>
      <c r="W251" s="371"/>
      <c r="X251" s="371"/>
      <c r="Y251" s="371"/>
      <c r="Z251" s="371"/>
    </row>
    <row r="252" ht="26.25" customHeight="1">
      <c r="A252" s="371"/>
      <c r="B252" s="1265"/>
      <c r="C252" s="371"/>
      <c r="D252" s="371"/>
      <c r="E252" s="371"/>
      <c r="F252" s="371"/>
      <c r="G252" s="371"/>
      <c r="H252" s="371"/>
      <c r="I252" s="371"/>
      <c r="J252" s="371"/>
      <c r="K252" s="371"/>
      <c r="L252" s="371"/>
      <c r="M252" s="371"/>
      <c r="N252" s="371"/>
      <c r="O252" s="371"/>
      <c r="P252" s="371"/>
      <c r="Q252" s="371"/>
      <c r="R252" s="371"/>
      <c r="S252" s="371"/>
      <c r="T252" s="371"/>
      <c r="U252" s="371"/>
      <c r="V252" s="371"/>
      <c r="W252" s="371"/>
      <c r="X252" s="371"/>
      <c r="Y252" s="371"/>
      <c r="Z252" s="371"/>
    </row>
    <row r="253" ht="26.25" customHeight="1">
      <c r="A253" s="371"/>
      <c r="B253" s="1265"/>
      <c r="C253" s="371"/>
      <c r="D253" s="371"/>
      <c r="E253" s="371"/>
      <c r="F253" s="371"/>
      <c r="G253" s="371"/>
      <c r="H253" s="371"/>
      <c r="I253" s="371"/>
      <c r="J253" s="371"/>
      <c r="K253" s="371"/>
      <c r="L253" s="371"/>
      <c r="M253" s="371"/>
      <c r="N253" s="371"/>
      <c r="O253" s="371"/>
      <c r="P253" s="371"/>
      <c r="Q253" s="371"/>
      <c r="R253" s="371"/>
      <c r="S253" s="371"/>
      <c r="T253" s="371"/>
      <c r="U253" s="371"/>
      <c r="V253" s="371"/>
      <c r="W253" s="371"/>
      <c r="X253" s="371"/>
      <c r="Y253" s="371"/>
      <c r="Z253" s="371"/>
    </row>
    <row r="254" ht="26.25" customHeight="1">
      <c r="A254" s="371"/>
      <c r="B254" s="1265"/>
      <c r="C254" s="371"/>
      <c r="D254" s="371"/>
      <c r="E254" s="371"/>
      <c r="F254" s="371"/>
      <c r="G254" s="371"/>
      <c r="H254" s="371"/>
      <c r="I254" s="371"/>
      <c r="J254" s="371"/>
      <c r="K254" s="371"/>
      <c r="L254" s="371"/>
      <c r="M254" s="371"/>
      <c r="N254" s="371"/>
      <c r="O254" s="371"/>
      <c r="P254" s="371"/>
      <c r="Q254" s="371"/>
      <c r="R254" s="371"/>
      <c r="S254" s="371"/>
      <c r="T254" s="371"/>
      <c r="U254" s="371"/>
      <c r="V254" s="371"/>
      <c r="W254" s="371"/>
      <c r="X254" s="371"/>
      <c r="Y254" s="371"/>
      <c r="Z254" s="371"/>
    </row>
    <row r="255" ht="26.25" customHeight="1">
      <c r="A255" s="371"/>
      <c r="B255" s="1265"/>
      <c r="C255" s="371"/>
      <c r="D255" s="371"/>
      <c r="E255" s="371"/>
      <c r="F255" s="371"/>
      <c r="G255" s="371"/>
      <c r="H255" s="371"/>
      <c r="I255" s="371"/>
      <c r="J255" s="371"/>
      <c r="K255" s="371"/>
      <c r="L255" s="371"/>
      <c r="M255" s="371"/>
      <c r="N255" s="371"/>
      <c r="O255" s="371"/>
      <c r="P255" s="371"/>
      <c r="Q255" s="371"/>
      <c r="R255" s="371"/>
      <c r="S255" s="371"/>
      <c r="T255" s="371"/>
      <c r="U255" s="371"/>
      <c r="V255" s="371"/>
      <c r="W255" s="371"/>
      <c r="X255" s="371"/>
      <c r="Y255" s="371"/>
      <c r="Z255" s="371"/>
    </row>
    <row r="256" ht="26.25" customHeight="1">
      <c r="A256" s="371"/>
      <c r="B256" s="1265"/>
      <c r="C256" s="371"/>
      <c r="D256" s="371"/>
      <c r="E256" s="371"/>
      <c r="F256" s="371"/>
      <c r="G256" s="371"/>
      <c r="H256" s="371"/>
      <c r="I256" s="371"/>
      <c r="J256" s="371"/>
      <c r="K256" s="371"/>
      <c r="L256" s="371"/>
      <c r="M256" s="371"/>
      <c r="N256" s="371"/>
      <c r="O256" s="371"/>
      <c r="P256" s="371"/>
      <c r="Q256" s="371"/>
      <c r="R256" s="371"/>
      <c r="S256" s="371"/>
      <c r="T256" s="371"/>
      <c r="U256" s="371"/>
      <c r="V256" s="371"/>
      <c r="W256" s="371"/>
      <c r="X256" s="371"/>
      <c r="Y256" s="371"/>
      <c r="Z256" s="371"/>
    </row>
    <row r="257" ht="26.25" customHeight="1">
      <c r="A257" s="371"/>
      <c r="B257" s="1265"/>
      <c r="C257" s="371"/>
      <c r="D257" s="371"/>
      <c r="E257" s="371"/>
      <c r="F257" s="371"/>
      <c r="G257" s="371"/>
      <c r="H257" s="371"/>
      <c r="I257" s="371"/>
      <c r="J257" s="371"/>
      <c r="K257" s="371"/>
      <c r="L257" s="371"/>
      <c r="M257" s="371"/>
      <c r="N257" s="371"/>
      <c r="O257" s="371"/>
      <c r="P257" s="371"/>
      <c r="Q257" s="371"/>
      <c r="R257" s="371"/>
      <c r="S257" s="371"/>
      <c r="T257" s="371"/>
      <c r="U257" s="371"/>
      <c r="V257" s="371"/>
      <c r="W257" s="371"/>
      <c r="X257" s="371"/>
      <c r="Y257" s="371"/>
      <c r="Z257" s="371"/>
    </row>
    <row r="258" ht="26.25" customHeight="1">
      <c r="A258" s="371"/>
      <c r="B258" s="1265"/>
      <c r="C258" s="371"/>
      <c r="D258" s="371"/>
      <c r="E258" s="371"/>
      <c r="F258" s="371"/>
      <c r="G258" s="371"/>
      <c r="H258" s="371"/>
      <c r="I258" s="371"/>
      <c r="J258" s="371"/>
      <c r="K258" s="371"/>
      <c r="L258" s="371"/>
      <c r="M258" s="371"/>
      <c r="N258" s="371"/>
      <c r="O258" s="371"/>
      <c r="P258" s="371"/>
      <c r="Q258" s="371"/>
      <c r="R258" s="371"/>
      <c r="S258" s="371"/>
      <c r="T258" s="371"/>
      <c r="U258" s="371"/>
      <c r="V258" s="371"/>
      <c r="W258" s="371"/>
      <c r="X258" s="371"/>
      <c r="Y258" s="371"/>
      <c r="Z258" s="371"/>
    </row>
    <row r="259" ht="26.25" customHeight="1">
      <c r="A259" s="371"/>
      <c r="B259" s="1265"/>
      <c r="C259" s="371"/>
      <c r="D259" s="371"/>
      <c r="E259" s="371"/>
      <c r="F259" s="371"/>
      <c r="G259" s="371"/>
      <c r="H259" s="371"/>
      <c r="I259" s="371"/>
      <c r="J259" s="371"/>
      <c r="K259" s="371"/>
      <c r="L259" s="371"/>
      <c r="M259" s="371"/>
      <c r="N259" s="371"/>
      <c r="O259" s="371"/>
      <c r="P259" s="371"/>
      <c r="Q259" s="371"/>
      <c r="R259" s="371"/>
      <c r="S259" s="371"/>
      <c r="T259" s="371"/>
      <c r="U259" s="371"/>
      <c r="V259" s="371"/>
      <c r="W259" s="371"/>
      <c r="X259" s="371"/>
      <c r="Y259" s="371"/>
      <c r="Z259" s="371"/>
    </row>
    <row r="260" ht="26.25" customHeight="1">
      <c r="A260" s="371"/>
      <c r="B260" s="1265"/>
      <c r="C260" s="371"/>
      <c r="D260" s="371"/>
      <c r="E260" s="371"/>
      <c r="F260" s="371"/>
      <c r="G260" s="371"/>
      <c r="H260" s="371"/>
      <c r="I260" s="371"/>
      <c r="J260" s="371"/>
      <c r="K260" s="371"/>
      <c r="L260" s="371"/>
      <c r="M260" s="371"/>
      <c r="N260" s="371"/>
      <c r="O260" s="371"/>
      <c r="P260" s="371"/>
      <c r="Q260" s="371"/>
      <c r="R260" s="371"/>
      <c r="S260" s="371"/>
      <c r="T260" s="371"/>
      <c r="U260" s="371"/>
      <c r="V260" s="371"/>
      <c r="W260" s="371"/>
      <c r="X260" s="371"/>
      <c r="Y260" s="371"/>
      <c r="Z260" s="371"/>
    </row>
    <row r="261" ht="26.25" customHeight="1">
      <c r="A261" s="371"/>
      <c r="B261" s="1265"/>
      <c r="C261" s="371"/>
      <c r="D261" s="371"/>
      <c r="E261" s="371"/>
      <c r="F261" s="371"/>
      <c r="G261" s="371"/>
      <c r="H261" s="371"/>
      <c r="I261" s="371"/>
      <c r="J261" s="371"/>
      <c r="K261" s="371"/>
      <c r="L261" s="371"/>
      <c r="M261" s="371"/>
      <c r="N261" s="371"/>
      <c r="O261" s="371"/>
      <c r="P261" s="371"/>
      <c r="Q261" s="371"/>
      <c r="R261" s="371"/>
      <c r="S261" s="371"/>
      <c r="T261" s="371"/>
      <c r="U261" s="371"/>
      <c r="V261" s="371"/>
      <c r="W261" s="371"/>
      <c r="X261" s="371"/>
      <c r="Y261" s="371"/>
      <c r="Z261" s="371"/>
    </row>
    <row r="262" ht="26.25" customHeight="1">
      <c r="A262" s="371"/>
      <c r="B262" s="1265"/>
      <c r="C262" s="371"/>
      <c r="D262" s="371"/>
      <c r="E262" s="371"/>
      <c r="F262" s="371"/>
      <c r="G262" s="371"/>
      <c r="H262" s="371"/>
      <c r="I262" s="371"/>
      <c r="J262" s="371"/>
      <c r="K262" s="371"/>
      <c r="L262" s="371"/>
      <c r="M262" s="371"/>
      <c r="N262" s="371"/>
      <c r="O262" s="371"/>
      <c r="P262" s="371"/>
      <c r="Q262" s="371"/>
      <c r="R262" s="371"/>
      <c r="S262" s="371"/>
      <c r="T262" s="371"/>
      <c r="U262" s="371"/>
      <c r="V262" s="371"/>
      <c r="W262" s="371"/>
      <c r="X262" s="371"/>
      <c r="Y262" s="371"/>
      <c r="Z262" s="371"/>
    </row>
    <row r="263" ht="26.25" customHeight="1">
      <c r="A263" s="371"/>
      <c r="B263" s="1265"/>
      <c r="C263" s="371"/>
      <c r="D263" s="371"/>
      <c r="E263" s="371"/>
      <c r="F263" s="371"/>
      <c r="G263" s="371"/>
      <c r="H263" s="371"/>
      <c r="I263" s="371"/>
      <c r="J263" s="371"/>
      <c r="K263" s="371"/>
      <c r="L263" s="371"/>
      <c r="M263" s="371"/>
      <c r="N263" s="371"/>
      <c r="O263" s="371"/>
      <c r="P263" s="371"/>
      <c r="Q263" s="371"/>
      <c r="R263" s="371"/>
      <c r="S263" s="371"/>
      <c r="T263" s="371"/>
      <c r="U263" s="371"/>
      <c r="V263" s="371"/>
      <c r="W263" s="371"/>
      <c r="X263" s="371"/>
      <c r="Y263" s="371"/>
      <c r="Z263" s="371"/>
    </row>
    <row r="264" ht="26.25" customHeight="1">
      <c r="A264" s="371"/>
      <c r="B264" s="1265"/>
      <c r="C264" s="371"/>
      <c r="D264" s="371"/>
      <c r="E264" s="371"/>
      <c r="F264" s="371"/>
      <c r="G264" s="371"/>
      <c r="H264" s="371"/>
      <c r="I264" s="371"/>
      <c r="J264" s="371"/>
      <c r="K264" s="371"/>
      <c r="L264" s="371"/>
      <c r="M264" s="371"/>
      <c r="N264" s="371"/>
      <c r="O264" s="371"/>
      <c r="P264" s="371"/>
      <c r="Q264" s="371"/>
      <c r="R264" s="371"/>
      <c r="S264" s="371"/>
      <c r="T264" s="371"/>
      <c r="U264" s="371"/>
      <c r="V264" s="371"/>
      <c r="W264" s="371"/>
      <c r="X264" s="371"/>
      <c r="Y264" s="371"/>
      <c r="Z264" s="371"/>
    </row>
    <row r="265" ht="26.25" customHeight="1">
      <c r="A265" s="371"/>
      <c r="B265" s="1265"/>
      <c r="C265" s="371"/>
      <c r="D265" s="371"/>
      <c r="E265" s="371"/>
      <c r="F265" s="371"/>
      <c r="G265" s="371"/>
      <c r="H265" s="371"/>
      <c r="I265" s="371"/>
      <c r="J265" s="371"/>
      <c r="K265" s="371"/>
      <c r="L265" s="371"/>
      <c r="M265" s="371"/>
      <c r="N265" s="371"/>
      <c r="O265" s="371"/>
      <c r="P265" s="371"/>
      <c r="Q265" s="371"/>
      <c r="R265" s="371"/>
      <c r="S265" s="371"/>
      <c r="T265" s="371"/>
      <c r="U265" s="371"/>
      <c r="V265" s="371"/>
      <c r="W265" s="371"/>
      <c r="X265" s="371"/>
      <c r="Y265" s="371"/>
      <c r="Z265" s="371"/>
    </row>
    <row r="266" ht="26.25" customHeight="1">
      <c r="A266" s="371"/>
      <c r="B266" s="1265"/>
      <c r="C266" s="371"/>
      <c r="D266" s="371"/>
      <c r="E266" s="371"/>
      <c r="F266" s="371"/>
      <c r="G266" s="371"/>
      <c r="H266" s="371"/>
      <c r="I266" s="371"/>
      <c r="J266" s="371"/>
      <c r="K266" s="371"/>
      <c r="L266" s="371"/>
      <c r="M266" s="371"/>
      <c r="N266" s="371"/>
      <c r="O266" s="371"/>
      <c r="P266" s="371"/>
      <c r="Q266" s="371"/>
      <c r="R266" s="371"/>
      <c r="S266" s="371"/>
      <c r="T266" s="371"/>
      <c r="U266" s="371"/>
      <c r="V266" s="371"/>
      <c r="W266" s="371"/>
      <c r="X266" s="371"/>
      <c r="Y266" s="371"/>
      <c r="Z266" s="371"/>
    </row>
    <row r="267" ht="26.25" customHeight="1">
      <c r="A267" s="371"/>
      <c r="B267" s="1265"/>
      <c r="C267" s="371"/>
      <c r="D267" s="371"/>
      <c r="E267" s="371"/>
      <c r="F267" s="371"/>
      <c r="G267" s="371"/>
      <c r="H267" s="371"/>
      <c r="I267" s="371"/>
      <c r="J267" s="371"/>
      <c r="K267" s="371"/>
      <c r="L267" s="371"/>
      <c r="M267" s="371"/>
      <c r="N267" s="371"/>
      <c r="O267" s="371"/>
      <c r="P267" s="371"/>
      <c r="Q267" s="371"/>
      <c r="R267" s="371"/>
      <c r="S267" s="371"/>
      <c r="T267" s="371"/>
      <c r="U267" s="371"/>
      <c r="V267" s="371"/>
      <c r="W267" s="371"/>
      <c r="X267" s="371"/>
      <c r="Y267" s="371"/>
      <c r="Z267" s="371"/>
    </row>
    <row r="268" ht="26.25" customHeight="1">
      <c r="A268" s="371"/>
      <c r="B268" s="1265"/>
      <c r="C268" s="371"/>
      <c r="D268" s="371"/>
      <c r="E268" s="371"/>
      <c r="F268" s="371"/>
      <c r="G268" s="371"/>
      <c r="H268" s="371"/>
      <c r="I268" s="371"/>
      <c r="J268" s="371"/>
      <c r="K268" s="371"/>
      <c r="L268" s="371"/>
      <c r="M268" s="371"/>
      <c r="N268" s="371"/>
      <c r="O268" s="371"/>
      <c r="P268" s="371"/>
      <c r="Q268" s="371"/>
      <c r="R268" s="371"/>
      <c r="S268" s="371"/>
      <c r="T268" s="371"/>
      <c r="U268" s="371"/>
      <c r="V268" s="371"/>
      <c r="W268" s="371"/>
      <c r="X268" s="371"/>
      <c r="Y268" s="371"/>
      <c r="Z268" s="371"/>
    </row>
    <row r="269" ht="26.25" customHeight="1">
      <c r="A269" s="371"/>
      <c r="B269" s="1265"/>
      <c r="C269" s="371"/>
      <c r="D269" s="371"/>
      <c r="E269" s="371"/>
      <c r="F269" s="371"/>
      <c r="G269" s="371"/>
      <c r="H269" s="371"/>
      <c r="I269" s="371"/>
      <c r="J269" s="371"/>
      <c r="K269" s="371"/>
      <c r="L269" s="371"/>
      <c r="M269" s="371"/>
      <c r="N269" s="371"/>
      <c r="O269" s="371"/>
      <c r="P269" s="371"/>
      <c r="Q269" s="371"/>
      <c r="R269" s="371"/>
      <c r="S269" s="371"/>
      <c r="T269" s="371"/>
      <c r="U269" s="371"/>
      <c r="V269" s="371"/>
      <c r="W269" s="371"/>
      <c r="X269" s="371"/>
      <c r="Y269" s="371"/>
      <c r="Z269" s="371"/>
    </row>
    <row r="270" ht="26.25" customHeight="1">
      <c r="A270" s="371"/>
      <c r="B270" s="1265"/>
      <c r="C270" s="371"/>
      <c r="D270" s="371"/>
      <c r="E270" s="371"/>
      <c r="F270" s="371"/>
      <c r="G270" s="371"/>
      <c r="H270" s="371"/>
      <c r="I270" s="371"/>
      <c r="J270" s="371"/>
      <c r="K270" s="371"/>
      <c r="L270" s="371"/>
      <c r="M270" s="371"/>
      <c r="N270" s="371"/>
      <c r="O270" s="371"/>
      <c r="P270" s="371"/>
      <c r="Q270" s="371"/>
      <c r="R270" s="371"/>
      <c r="S270" s="371"/>
      <c r="T270" s="371"/>
      <c r="U270" s="371"/>
      <c r="V270" s="371"/>
      <c r="W270" s="371"/>
      <c r="X270" s="371"/>
      <c r="Y270" s="371"/>
      <c r="Z270" s="371"/>
    </row>
    <row r="271" ht="26.25" customHeight="1">
      <c r="A271" s="371"/>
      <c r="B271" s="1265"/>
      <c r="C271" s="371"/>
      <c r="D271" s="371"/>
      <c r="E271" s="371"/>
      <c r="F271" s="371"/>
      <c r="G271" s="371"/>
      <c r="H271" s="371"/>
      <c r="I271" s="371"/>
      <c r="J271" s="371"/>
      <c r="K271" s="371"/>
      <c r="L271" s="371"/>
      <c r="M271" s="371"/>
      <c r="N271" s="371"/>
      <c r="O271" s="371"/>
      <c r="P271" s="371"/>
      <c r="Q271" s="371"/>
      <c r="R271" s="371"/>
      <c r="S271" s="371"/>
      <c r="T271" s="371"/>
      <c r="U271" s="371"/>
      <c r="V271" s="371"/>
      <c r="W271" s="371"/>
      <c r="X271" s="371"/>
      <c r="Y271" s="371"/>
      <c r="Z271" s="371"/>
    </row>
    <row r="272" ht="26.25" customHeight="1">
      <c r="A272" s="371"/>
      <c r="B272" s="1265"/>
      <c r="C272" s="371"/>
      <c r="D272" s="371"/>
      <c r="E272" s="371"/>
      <c r="F272" s="371"/>
      <c r="G272" s="371"/>
      <c r="H272" s="371"/>
      <c r="I272" s="371"/>
      <c r="J272" s="371"/>
      <c r="K272" s="371"/>
      <c r="L272" s="371"/>
      <c r="M272" s="371"/>
      <c r="N272" s="371"/>
      <c r="O272" s="371"/>
      <c r="P272" s="371"/>
      <c r="Q272" s="371"/>
      <c r="R272" s="371"/>
      <c r="S272" s="371"/>
      <c r="T272" s="371"/>
      <c r="U272" s="371"/>
      <c r="V272" s="371"/>
      <c r="W272" s="371"/>
      <c r="X272" s="371"/>
      <c r="Y272" s="371"/>
      <c r="Z272" s="371"/>
    </row>
    <row r="273" ht="26.25" customHeight="1">
      <c r="A273" s="371"/>
      <c r="B273" s="1265"/>
      <c r="C273" s="371"/>
      <c r="D273" s="371"/>
      <c r="E273" s="371"/>
      <c r="F273" s="371"/>
      <c r="G273" s="371"/>
      <c r="H273" s="371"/>
      <c r="I273" s="371"/>
      <c r="J273" s="371"/>
      <c r="K273" s="371"/>
      <c r="L273" s="371"/>
      <c r="M273" s="371"/>
      <c r="N273" s="371"/>
      <c r="O273" s="371"/>
      <c r="P273" s="371"/>
      <c r="Q273" s="371"/>
      <c r="R273" s="371"/>
      <c r="S273" s="371"/>
      <c r="T273" s="371"/>
      <c r="U273" s="371"/>
      <c r="V273" s="371"/>
      <c r="W273" s="371"/>
      <c r="X273" s="371"/>
      <c r="Y273" s="371"/>
      <c r="Z273" s="371"/>
    </row>
    <row r="274" ht="26.25" customHeight="1">
      <c r="A274" s="371"/>
      <c r="B274" s="1265"/>
      <c r="C274" s="371"/>
      <c r="D274" s="371"/>
      <c r="E274" s="371"/>
      <c r="F274" s="371"/>
      <c r="G274" s="371"/>
      <c r="H274" s="371"/>
      <c r="I274" s="371"/>
      <c r="J274" s="371"/>
      <c r="K274" s="371"/>
      <c r="L274" s="371"/>
      <c r="M274" s="371"/>
      <c r="N274" s="371"/>
      <c r="O274" s="371"/>
      <c r="P274" s="371"/>
      <c r="Q274" s="371"/>
      <c r="R274" s="371"/>
      <c r="S274" s="371"/>
      <c r="T274" s="371"/>
      <c r="U274" s="371"/>
      <c r="V274" s="371"/>
      <c r="W274" s="371"/>
      <c r="X274" s="371"/>
      <c r="Y274" s="371"/>
      <c r="Z274" s="371"/>
    </row>
    <row r="275" ht="26.25" customHeight="1">
      <c r="A275" s="371"/>
      <c r="B275" s="1265"/>
      <c r="C275" s="371"/>
      <c r="D275" s="371"/>
      <c r="E275" s="371"/>
      <c r="F275" s="371"/>
      <c r="G275" s="371"/>
      <c r="H275" s="371"/>
      <c r="I275" s="371"/>
      <c r="J275" s="371"/>
      <c r="K275" s="371"/>
      <c r="L275" s="371"/>
      <c r="M275" s="371"/>
      <c r="N275" s="371"/>
      <c r="O275" s="371"/>
      <c r="P275" s="371"/>
      <c r="Q275" s="371"/>
      <c r="R275" s="371"/>
      <c r="S275" s="371"/>
      <c r="T275" s="371"/>
      <c r="U275" s="371"/>
      <c r="V275" s="371"/>
      <c r="W275" s="371"/>
      <c r="X275" s="371"/>
      <c r="Y275" s="371"/>
      <c r="Z275" s="371"/>
    </row>
    <row r="276" ht="26.25" customHeight="1">
      <c r="A276" s="371"/>
      <c r="B276" s="1265"/>
      <c r="C276" s="371"/>
      <c r="D276" s="371"/>
      <c r="E276" s="371"/>
      <c r="F276" s="371"/>
      <c r="G276" s="371"/>
      <c r="H276" s="371"/>
      <c r="I276" s="371"/>
      <c r="J276" s="371"/>
      <c r="K276" s="371"/>
      <c r="L276" s="371"/>
      <c r="M276" s="371"/>
      <c r="N276" s="371"/>
      <c r="O276" s="371"/>
      <c r="P276" s="371"/>
      <c r="Q276" s="371"/>
      <c r="R276" s="371"/>
      <c r="S276" s="371"/>
      <c r="T276" s="371"/>
      <c r="U276" s="371"/>
      <c r="V276" s="371"/>
      <c r="W276" s="371"/>
      <c r="X276" s="371"/>
      <c r="Y276" s="371"/>
      <c r="Z276" s="371"/>
    </row>
    <row r="277" ht="26.25" customHeight="1">
      <c r="A277" s="371"/>
      <c r="B277" s="1265"/>
      <c r="C277" s="371"/>
      <c r="D277" s="371"/>
      <c r="E277" s="371"/>
      <c r="F277" s="371"/>
      <c r="G277" s="371"/>
      <c r="H277" s="371"/>
      <c r="I277" s="371"/>
      <c r="J277" s="371"/>
      <c r="K277" s="371"/>
      <c r="L277" s="371"/>
      <c r="M277" s="371"/>
      <c r="N277" s="371"/>
      <c r="O277" s="371"/>
      <c r="P277" s="371"/>
      <c r="Q277" s="371"/>
      <c r="R277" s="371"/>
      <c r="S277" s="371"/>
      <c r="T277" s="371"/>
      <c r="U277" s="371"/>
      <c r="V277" s="371"/>
      <c r="W277" s="371"/>
      <c r="X277" s="371"/>
      <c r="Y277" s="371"/>
      <c r="Z277" s="371"/>
    </row>
    <row r="278" ht="26.25" customHeight="1">
      <c r="A278" s="371"/>
      <c r="B278" s="1265"/>
      <c r="C278" s="371"/>
      <c r="D278" s="371"/>
      <c r="E278" s="371"/>
      <c r="F278" s="371"/>
      <c r="G278" s="371"/>
      <c r="H278" s="371"/>
      <c r="I278" s="371"/>
      <c r="J278" s="371"/>
      <c r="K278" s="371"/>
      <c r="L278" s="371"/>
      <c r="M278" s="371"/>
      <c r="N278" s="371"/>
      <c r="O278" s="371"/>
      <c r="P278" s="371"/>
      <c r="Q278" s="371"/>
      <c r="R278" s="371"/>
      <c r="S278" s="371"/>
      <c r="T278" s="371"/>
      <c r="U278" s="371"/>
      <c r="V278" s="371"/>
      <c r="W278" s="371"/>
      <c r="X278" s="371"/>
      <c r="Y278" s="371"/>
      <c r="Z278" s="371"/>
    </row>
    <row r="279" ht="26.25" customHeight="1">
      <c r="A279" s="371"/>
      <c r="B279" s="1265"/>
      <c r="C279" s="371"/>
      <c r="D279" s="371"/>
      <c r="E279" s="371"/>
      <c r="F279" s="371"/>
      <c r="G279" s="371"/>
      <c r="H279" s="371"/>
      <c r="I279" s="371"/>
      <c r="J279" s="371"/>
      <c r="K279" s="371"/>
      <c r="L279" s="371"/>
      <c r="M279" s="371"/>
      <c r="N279" s="371"/>
      <c r="O279" s="371"/>
      <c r="P279" s="371"/>
      <c r="Q279" s="371"/>
      <c r="R279" s="371"/>
      <c r="S279" s="371"/>
      <c r="T279" s="371"/>
      <c r="U279" s="371"/>
      <c r="V279" s="371"/>
      <c r="W279" s="371"/>
      <c r="X279" s="371"/>
      <c r="Y279" s="371"/>
      <c r="Z279" s="371"/>
    </row>
    <row r="280" ht="26.25" customHeight="1">
      <c r="A280" s="371"/>
      <c r="B280" s="1265"/>
      <c r="C280" s="371"/>
      <c r="D280" s="371"/>
      <c r="E280" s="371"/>
      <c r="F280" s="371"/>
      <c r="G280" s="371"/>
      <c r="H280" s="371"/>
      <c r="I280" s="371"/>
      <c r="J280" s="371"/>
      <c r="K280" s="371"/>
      <c r="L280" s="371"/>
      <c r="M280" s="371"/>
      <c r="N280" s="371"/>
      <c r="O280" s="371"/>
      <c r="P280" s="371"/>
      <c r="Q280" s="371"/>
      <c r="R280" s="371"/>
      <c r="S280" s="371"/>
      <c r="T280" s="371"/>
      <c r="U280" s="371"/>
      <c r="V280" s="371"/>
      <c r="W280" s="371"/>
      <c r="X280" s="371"/>
      <c r="Y280" s="371"/>
      <c r="Z280" s="371"/>
    </row>
    <row r="281" ht="26.25" customHeight="1">
      <c r="A281" s="371"/>
      <c r="B281" s="1265"/>
      <c r="C281" s="371"/>
      <c r="D281" s="371"/>
      <c r="E281" s="371"/>
      <c r="F281" s="371"/>
      <c r="G281" s="371"/>
      <c r="H281" s="371"/>
      <c r="I281" s="371"/>
      <c r="J281" s="371"/>
      <c r="K281" s="371"/>
      <c r="L281" s="371"/>
      <c r="M281" s="371"/>
      <c r="N281" s="371"/>
      <c r="O281" s="371"/>
      <c r="P281" s="371"/>
      <c r="Q281" s="371"/>
      <c r="R281" s="371"/>
      <c r="S281" s="371"/>
      <c r="T281" s="371"/>
      <c r="U281" s="371"/>
      <c r="V281" s="371"/>
      <c r="W281" s="371"/>
      <c r="X281" s="371"/>
      <c r="Y281" s="371"/>
      <c r="Z281" s="371"/>
    </row>
    <row r="282" ht="26.25" customHeight="1">
      <c r="A282" s="371"/>
      <c r="B282" s="1265"/>
      <c r="C282" s="371"/>
      <c r="D282" s="371"/>
      <c r="E282" s="371"/>
      <c r="F282" s="371"/>
      <c r="G282" s="371"/>
      <c r="H282" s="371"/>
      <c r="I282" s="371"/>
      <c r="J282" s="371"/>
      <c r="K282" s="371"/>
      <c r="L282" s="371"/>
      <c r="M282" s="371"/>
      <c r="N282" s="371"/>
      <c r="O282" s="371"/>
      <c r="P282" s="371"/>
      <c r="Q282" s="371"/>
      <c r="R282" s="371"/>
      <c r="S282" s="371"/>
      <c r="T282" s="371"/>
      <c r="U282" s="371"/>
      <c r="V282" s="371"/>
      <c r="W282" s="371"/>
      <c r="X282" s="371"/>
      <c r="Y282" s="371"/>
      <c r="Z282" s="371"/>
    </row>
    <row r="283" ht="26.25" customHeight="1">
      <c r="A283" s="371"/>
      <c r="B283" s="1265"/>
      <c r="C283" s="371"/>
      <c r="D283" s="371"/>
      <c r="E283" s="371"/>
      <c r="F283" s="371"/>
      <c r="G283" s="371"/>
      <c r="H283" s="371"/>
      <c r="I283" s="371"/>
      <c r="J283" s="371"/>
      <c r="K283" s="371"/>
      <c r="L283" s="371"/>
      <c r="M283" s="371"/>
      <c r="N283" s="371"/>
      <c r="O283" s="371"/>
      <c r="P283" s="371"/>
      <c r="Q283" s="371"/>
      <c r="R283" s="371"/>
      <c r="S283" s="371"/>
      <c r="T283" s="371"/>
      <c r="U283" s="371"/>
      <c r="V283" s="371"/>
      <c r="W283" s="371"/>
      <c r="X283" s="371"/>
      <c r="Y283" s="371"/>
      <c r="Z283" s="371"/>
    </row>
    <row r="284" ht="26.25" customHeight="1">
      <c r="A284" s="371"/>
      <c r="B284" s="1265"/>
      <c r="C284" s="371"/>
      <c r="D284" s="371"/>
      <c r="E284" s="371"/>
      <c r="F284" s="371"/>
      <c r="G284" s="371"/>
      <c r="H284" s="371"/>
      <c r="I284" s="371"/>
      <c r="J284" s="371"/>
      <c r="K284" s="371"/>
      <c r="L284" s="371"/>
      <c r="M284" s="371"/>
      <c r="N284" s="371"/>
      <c r="O284" s="371"/>
      <c r="P284" s="371"/>
      <c r="Q284" s="371"/>
      <c r="R284" s="371"/>
      <c r="S284" s="371"/>
      <c r="T284" s="371"/>
      <c r="U284" s="371"/>
      <c r="V284" s="371"/>
      <c r="W284" s="371"/>
      <c r="X284" s="371"/>
      <c r="Y284" s="371"/>
      <c r="Z284" s="371"/>
    </row>
    <row r="285" ht="26.25" customHeight="1">
      <c r="A285" s="371"/>
      <c r="B285" s="1265"/>
      <c r="C285" s="371"/>
      <c r="D285" s="371"/>
      <c r="E285" s="371"/>
      <c r="F285" s="371"/>
      <c r="G285" s="371"/>
      <c r="H285" s="371"/>
      <c r="I285" s="371"/>
      <c r="J285" s="371"/>
      <c r="K285" s="371"/>
      <c r="L285" s="371"/>
      <c r="M285" s="371"/>
      <c r="N285" s="371"/>
      <c r="O285" s="371"/>
      <c r="P285" s="371"/>
      <c r="Q285" s="371"/>
      <c r="R285" s="371"/>
      <c r="S285" s="371"/>
      <c r="T285" s="371"/>
      <c r="U285" s="371"/>
      <c r="V285" s="371"/>
      <c r="W285" s="371"/>
      <c r="X285" s="371"/>
      <c r="Y285" s="371"/>
      <c r="Z285" s="371"/>
    </row>
    <row r="286" ht="26.25" customHeight="1">
      <c r="A286" s="371"/>
      <c r="B286" s="1265"/>
      <c r="C286" s="371"/>
      <c r="D286" s="371"/>
      <c r="E286" s="371"/>
      <c r="F286" s="371"/>
      <c r="G286" s="371"/>
      <c r="H286" s="371"/>
      <c r="I286" s="371"/>
      <c r="J286" s="371"/>
      <c r="K286" s="371"/>
      <c r="L286" s="371"/>
      <c r="M286" s="371"/>
      <c r="N286" s="371"/>
      <c r="O286" s="371"/>
      <c r="P286" s="371"/>
      <c r="Q286" s="371"/>
      <c r="R286" s="371"/>
      <c r="S286" s="371"/>
      <c r="T286" s="371"/>
      <c r="U286" s="371"/>
      <c r="V286" s="371"/>
      <c r="W286" s="371"/>
      <c r="X286" s="371"/>
      <c r="Y286" s="371"/>
      <c r="Z286" s="371"/>
    </row>
    <row r="287" ht="26.25" customHeight="1">
      <c r="A287" s="371"/>
      <c r="B287" s="1265"/>
      <c r="C287" s="371"/>
      <c r="D287" s="371"/>
      <c r="E287" s="371"/>
      <c r="F287" s="371"/>
      <c r="G287" s="371"/>
      <c r="H287" s="371"/>
      <c r="I287" s="371"/>
      <c r="J287" s="371"/>
      <c r="K287" s="371"/>
      <c r="L287" s="371"/>
      <c r="M287" s="371"/>
      <c r="N287" s="371"/>
      <c r="O287" s="371"/>
      <c r="P287" s="371"/>
      <c r="Q287" s="371"/>
      <c r="R287" s="371"/>
      <c r="S287" s="371"/>
      <c r="T287" s="371"/>
      <c r="U287" s="371"/>
      <c r="V287" s="371"/>
      <c r="W287" s="371"/>
      <c r="X287" s="371"/>
      <c r="Y287" s="371"/>
      <c r="Z287" s="371"/>
    </row>
    <row r="288" ht="26.25" customHeight="1">
      <c r="A288" s="371"/>
      <c r="B288" s="1265"/>
      <c r="C288" s="371"/>
      <c r="D288" s="371"/>
      <c r="E288" s="371"/>
      <c r="F288" s="371"/>
      <c r="G288" s="371"/>
      <c r="H288" s="371"/>
      <c r="I288" s="371"/>
      <c r="J288" s="371"/>
      <c r="K288" s="371"/>
      <c r="L288" s="371"/>
      <c r="M288" s="371"/>
      <c r="N288" s="371"/>
      <c r="O288" s="371"/>
      <c r="P288" s="371"/>
      <c r="Q288" s="371"/>
      <c r="R288" s="371"/>
      <c r="S288" s="371"/>
      <c r="T288" s="371"/>
      <c r="U288" s="371"/>
      <c r="V288" s="371"/>
      <c r="W288" s="371"/>
      <c r="X288" s="371"/>
      <c r="Y288" s="371"/>
      <c r="Z288" s="371"/>
    </row>
    <row r="289" ht="26.25" customHeight="1">
      <c r="A289" s="371"/>
      <c r="B289" s="1265"/>
      <c r="C289" s="371"/>
      <c r="D289" s="371"/>
      <c r="E289" s="371"/>
      <c r="F289" s="371"/>
      <c r="G289" s="371"/>
      <c r="H289" s="371"/>
      <c r="I289" s="371"/>
      <c r="J289" s="371"/>
      <c r="K289" s="371"/>
      <c r="L289" s="371"/>
      <c r="M289" s="371"/>
      <c r="N289" s="371"/>
      <c r="O289" s="371"/>
      <c r="P289" s="371"/>
      <c r="Q289" s="371"/>
      <c r="R289" s="371"/>
      <c r="S289" s="371"/>
      <c r="T289" s="371"/>
      <c r="U289" s="371"/>
      <c r="V289" s="371"/>
      <c r="W289" s="371"/>
      <c r="X289" s="371"/>
      <c r="Y289" s="371"/>
      <c r="Z289" s="371"/>
    </row>
    <row r="290" ht="26.25" customHeight="1">
      <c r="A290" s="371"/>
      <c r="B290" s="1265"/>
      <c r="C290" s="371"/>
      <c r="D290" s="371"/>
      <c r="E290" s="371"/>
      <c r="F290" s="371"/>
      <c r="G290" s="371"/>
      <c r="H290" s="371"/>
      <c r="I290" s="371"/>
      <c r="J290" s="371"/>
      <c r="K290" s="371"/>
      <c r="L290" s="371"/>
      <c r="M290" s="371"/>
      <c r="N290" s="371"/>
      <c r="O290" s="371"/>
      <c r="P290" s="371"/>
      <c r="Q290" s="371"/>
      <c r="R290" s="371"/>
      <c r="S290" s="371"/>
      <c r="T290" s="371"/>
      <c r="U290" s="371"/>
      <c r="V290" s="371"/>
      <c r="W290" s="371"/>
      <c r="X290" s="371"/>
      <c r="Y290" s="371"/>
      <c r="Z290" s="371"/>
    </row>
    <row r="291" ht="26.25" customHeight="1">
      <c r="A291" s="371"/>
      <c r="B291" s="1265"/>
      <c r="C291" s="371"/>
      <c r="D291" s="371"/>
      <c r="E291" s="371"/>
      <c r="F291" s="371"/>
      <c r="G291" s="371"/>
      <c r="H291" s="371"/>
      <c r="I291" s="371"/>
      <c r="J291" s="371"/>
      <c r="K291" s="371"/>
      <c r="L291" s="371"/>
      <c r="M291" s="371"/>
      <c r="N291" s="371"/>
      <c r="O291" s="371"/>
      <c r="P291" s="371"/>
      <c r="Q291" s="371"/>
      <c r="R291" s="371"/>
      <c r="S291" s="371"/>
      <c r="T291" s="371"/>
      <c r="U291" s="371"/>
      <c r="V291" s="371"/>
      <c r="W291" s="371"/>
      <c r="X291" s="371"/>
      <c r="Y291" s="371"/>
      <c r="Z291" s="371"/>
    </row>
    <row r="292" ht="26.25" customHeight="1">
      <c r="A292" s="371"/>
      <c r="B292" s="1265"/>
      <c r="C292" s="371"/>
      <c r="D292" s="371"/>
      <c r="E292" s="371"/>
      <c r="F292" s="371"/>
      <c r="G292" s="371"/>
      <c r="H292" s="371"/>
      <c r="I292" s="371"/>
      <c r="J292" s="371"/>
      <c r="K292" s="371"/>
      <c r="L292" s="371"/>
      <c r="M292" s="371"/>
      <c r="N292" s="371"/>
      <c r="O292" s="371"/>
      <c r="P292" s="371"/>
      <c r="Q292" s="371"/>
      <c r="R292" s="371"/>
      <c r="S292" s="371"/>
      <c r="T292" s="371"/>
      <c r="U292" s="371"/>
      <c r="V292" s="371"/>
      <c r="W292" s="371"/>
      <c r="X292" s="371"/>
      <c r="Y292" s="371"/>
      <c r="Z292" s="371"/>
    </row>
    <row r="293" ht="26.25" customHeight="1">
      <c r="A293" s="371"/>
      <c r="B293" s="1265"/>
      <c r="C293" s="371"/>
      <c r="D293" s="371"/>
      <c r="E293" s="371"/>
      <c r="F293" s="371"/>
      <c r="G293" s="371"/>
      <c r="H293" s="371"/>
      <c r="I293" s="371"/>
      <c r="J293" s="371"/>
      <c r="K293" s="371"/>
      <c r="L293" s="371"/>
      <c r="M293" s="371"/>
      <c r="N293" s="371"/>
      <c r="O293" s="371"/>
      <c r="P293" s="371"/>
      <c r="Q293" s="371"/>
      <c r="R293" s="371"/>
      <c r="S293" s="371"/>
      <c r="T293" s="371"/>
      <c r="U293" s="371"/>
      <c r="V293" s="371"/>
      <c r="W293" s="371"/>
      <c r="X293" s="371"/>
      <c r="Y293" s="371"/>
      <c r="Z293" s="371"/>
    </row>
    <row r="294" ht="26.25" customHeight="1">
      <c r="A294" s="371"/>
      <c r="B294" s="1265"/>
      <c r="C294" s="371"/>
      <c r="D294" s="371"/>
      <c r="E294" s="371"/>
      <c r="F294" s="371"/>
      <c r="G294" s="371"/>
      <c r="H294" s="371"/>
      <c r="I294" s="371"/>
      <c r="J294" s="371"/>
      <c r="K294" s="371"/>
      <c r="L294" s="371"/>
      <c r="M294" s="371"/>
      <c r="N294" s="371"/>
      <c r="O294" s="371"/>
      <c r="P294" s="371"/>
      <c r="Q294" s="371"/>
      <c r="R294" s="371"/>
      <c r="S294" s="371"/>
      <c r="T294" s="371"/>
      <c r="U294" s="371"/>
      <c r="V294" s="371"/>
      <c r="W294" s="371"/>
      <c r="X294" s="371"/>
      <c r="Y294" s="371"/>
      <c r="Z294" s="371"/>
    </row>
    <row r="295" ht="26.25" customHeight="1">
      <c r="A295" s="371"/>
      <c r="B295" s="1265"/>
      <c r="C295" s="371"/>
      <c r="D295" s="371"/>
      <c r="E295" s="371"/>
      <c r="F295" s="371"/>
      <c r="G295" s="371"/>
      <c r="H295" s="371"/>
      <c r="I295" s="371"/>
      <c r="J295" s="371"/>
      <c r="K295" s="371"/>
      <c r="L295" s="371"/>
      <c r="M295" s="371"/>
      <c r="N295" s="371"/>
      <c r="O295" s="371"/>
      <c r="P295" s="371"/>
      <c r="Q295" s="371"/>
      <c r="R295" s="371"/>
      <c r="S295" s="371"/>
      <c r="T295" s="371"/>
      <c r="U295" s="371"/>
      <c r="V295" s="371"/>
      <c r="W295" s="371"/>
      <c r="X295" s="371"/>
      <c r="Y295" s="371"/>
      <c r="Z295" s="371"/>
    </row>
    <row r="296" ht="26.25" customHeight="1">
      <c r="A296" s="371"/>
      <c r="B296" s="1265"/>
      <c r="C296" s="371"/>
      <c r="D296" s="371"/>
      <c r="E296" s="371"/>
      <c r="F296" s="371"/>
      <c r="G296" s="371"/>
      <c r="H296" s="371"/>
      <c r="I296" s="371"/>
      <c r="J296" s="371"/>
      <c r="K296" s="371"/>
      <c r="L296" s="371"/>
      <c r="M296" s="371"/>
      <c r="N296" s="371"/>
      <c r="O296" s="371"/>
      <c r="P296" s="371"/>
      <c r="Q296" s="371"/>
      <c r="R296" s="371"/>
      <c r="S296" s="371"/>
      <c r="T296" s="371"/>
      <c r="U296" s="371"/>
      <c r="V296" s="371"/>
      <c r="W296" s="371"/>
      <c r="X296" s="371"/>
      <c r="Y296" s="371"/>
      <c r="Z296" s="371"/>
    </row>
    <row r="297" ht="26.25" customHeight="1">
      <c r="A297" s="371"/>
      <c r="B297" s="1265"/>
      <c r="C297" s="371"/>
      <c r="D297" s="371"/>
      <c r="E297" s="371"/>
      <c r="F297" s="371"/>
      <c r="G297" s="371"/>
      <c r="H297" s="371"/>
      <c r="I297" s="371"/>
      <c r="J297" s="371"/>
      <c r="K297" s="371"/>
      <c r="L297" s="371"/>
      <c r="M297" s="371"/>
      <c r="N297" s="371"/>
      <c r="O297" s="371"/>
      <c r="P297" s="371"/>
      <c r="Q297" s="371"/>
      <c r="R297" s="371"/>
      <c r="S297" s="371"/>
      <c r="T297" s="371"/>
      <c r="U297" s="371"/>
      <c r="V297" s="371"/>
      <c r="W297" s="371"/>
      <c r="X297" s="371"/>
      <c r="Y297" s="371"/>
      <c r="Z297" s="371"/>
    </row>
    <row r="298" ht="26.25" customHeight="1">
      <c r="A298" s="371"/>
      <c r="B298" s="1265"/>
      <c r="C298" s="371"/>
      <c r="D298" s="371"/>
      <c r="E298" s="371"/>
      <c r="F298" s="371"/>
      <c r="G298" s="371"/>
      <c r="H298" s="371"/>
      <c r="I298" s="371"/>
      <c r="J298" s="371"/>
      <c r="K298" s="371"/>
      <c r="L298" s="371"/>
      <c r="M298" s="371"/>
      <c r="N298" s="371"/>
      <c r="O298" s="371"/>
      <c r="P298" s="371"/>
      <c r="Q298" s="371"/>
      <c r="R298" s="371"/>
      <c r="S298" s="371"/>
      <c r="T298" s="371"/>
      <c r="U298" s="371"/>
      <c r="V298" s="371"/>
      <c r="W298" s="371"/>
      <c r="X298" s="371"/>
      <c r="Y298" s="371"/>
      <c r="Z298" s="371"/>
    </row>
    <row r="299" ht="26.25" customHeight="1">
      <c r="A299" s="371"/>
      <c r="B299" s="1265"/>
      <c r="C299" s="371"/>
      <c r="D299" s="371"/>
      <c r="E299" s="371"/>
      <c r="F299" s="371"/>
      <c r="G299" s="371"/>
      <c r="H299" s="371"/>
      <c r="I299" s="371"/>
      <c r="J299" s="371"/>
      <c r="K299" s="371"/>
      <c r="L299" s="371"/>
      <c r="M299" s="371"/>
      <c r="N299" s="371"/>
      <c r="O299" s="371"/>
      <c r="P299" s="371"/>
      <c r="Q299" s="371"/>
      <c r="R299" s="371"/>
      <c r="S299" s="371"/>
      <c r="T299" s="371"/>
      <c r="U299" s="371"/>
      <c r="V299" s="371"/>
      <c r="W299" s="371"/>
      <c r="X299" s="371"/>
      <c r="Y299" s="371"/>
      <c r="Z299" s="371"/>
    </row>
    <row r="300" ht="26.25" customHeight="1">
      <c r="A300" s="371"/>
      <c r="B300" s="1265"/>
      <c r="C300" s="371"/>
      <c r="D300" s="371"/>
      <c r="E300" s="371"/>
      <c r="F300" s="371"/>
      <c r="G300" s="371"/>
      <c r="H300" s="371"/>
      <c r="I300" s="371"/>
      <c r="J300" s="371"/>
      <c r="K300" s="371"/>
      <c r="L300" s="371"/>
      <c r="M300" s="371"/>
      <c r="N300" s="371"/>
      <c r="O300" s="371"/>
      <c r="P300" s="371"/>
      <c r="Q300" s="371"/>
      <c r="R300" s="371"/>
      <c r="S300" s="371"/>
      <c r="T300" s="371"/>
      <c r="U300" s="371"/>
      <c r="V300" s="371"/>
      <c r="W300" s="371"/>
      <c r="X300" s="371"/>
      <c r="Y300" s="371"/>
      <c r="Z300" s="371"/>
    </row>
    <row r="301" ht="26.25" customHeight="1">
      <c r="A301" s="371"/>
      <c r="B301" s="1265"/>
      <c r="C301" s="371"/>
      <c r="D301" s="371"/>
      <c r="E301" s="371"/>
      <c r="F301" s="371"/>
      <c r="G301" s="371"/>
      <c r="H301" s="371"/>
      <c r="I301" s="371"/>
      <c r="J301" s="371"/>
      <c r="K301" s="371"/>
      <c r="L301" s="371"/>
      <c r="M301" s="371"/>
      <c r="N301" s="371"/>
      <c r="O301" s="371"/>
      <c r="P301" s="371"/>
      <c r="Q301" s="371"/>
      <c r="R301" s="371"/>
      <c r="S301" s="371"/>
      <c r="T301" s="371"/>
      <c r="U301" s="371"/>
      <c r="V301" s="371"/>
      <c r="W301" s="371"/>
      <c r="X301" s="371"/>
      <c r="Y301" s="371"/>
      <c r="Z301" s="371"/>
    </row>
    <row r="302" ht="26.25" customHeight="1">
      <c r="A302" s="371"/>
      <c r="B302" s="1265"/>
      <c r="C302" s="371"/>
      <c r="D302" s="371"/>
      <c r="E302" s="371"/>
      <c r="F302" s="371"/>
      <c r="G302" s="371"/>
      <c r="H302" s="371"/>
      <c r="I302" s="371"/>
      <c r="J302" s="371"/>
      <c r="K302" s="371"/>
      <c r="L302" s="371"/>
      <c r="M302" s="371"/>
      <c r="N302" s="371"/>
      <c r="O302" s="371"/>
      <c r="P302" s="371"/>
      <c r="Q302" s="371"/>
      <c r="R302" s="371"/>
      <c r="S302" s="371"/>
      <c r="T302" s="371"/>
      <c r="U302" s="371"/>
      <c r="V302" s="371"/>
      <c r="W302" s="371"/>
      <c r="X302" s="371"/>
      <c r="Y302" s="371"/>
      <c r="Z302" s="371"/>
    </row>
    <row r="303" ht="26.25" customHeight="1">
      <c r="A303" s="371"/>
      <c r="B303" s="1265"/>
      <c r="C303" s="371"/>
      <c r="D303" s="371"/>
      <c r="E303" s="371"/>
      <c r="F303" s="371"/>
      <c r="G303" s="371"/>
      <c r="H303" s="371"/>
      <c r="I303" s="371"/>
      <c r="J303" s="371"/>
      <c r="K303" s="371"/>
      <c r="L303" s="371"/>
      <c r="M303" s="371"/>
      <c r="N303" s="371"/>
      <c r="O303" s="371"/>
      <c r="P303" s="371"/>
      <c r="Q303" s="371"/>
      <c r="R303" s="371"/>
      <c r="S303" s="371"/>
      <c r="T303" s="371"/>
      <c r="U303" s="371"/>
      <c r="V303" s="371"/>
      <c r="W303" s="371"/>
      <c r="X303" s="371"/>
      <c r="Y303" s="371"/>
      <c r="Z303" s="371"/>
    </row>
    <row r="304" ht="26.25" customHeight="1">
      <c r="A304" s="371"/>
      <c r="B304" s="1265"/>
      <c r="C304" s="371"/>
      <c r="D304" s="371"/>
      <c r="E304" s="371"/>
      <c r="F304" s="371"/>
      <c r="G304" s="371"/>
      <c r="H304" s="371"/>
      <c r="I304" s="371"/>
      <c r="J304" s="371"/>
      <c r="K304" s="371"/>
      <c r="L304" s="371"/>
      <c r="M304" s="371"/>
      <c r="N304" s="371"/>
      <c r="O304" s="371"/>
      <c r="P304" s="371"/>
      <c r="Q304" s="371"/>
      <c r="R304" s="371"/>
      <c r="S304" s="371"/>
      <c r="T304" s="371"/>
      <c r="U304" s="371"/>
      <c r="V304" s="371"/>
      <c r="W304" s="371"/>
      <c r="X304" s="371"/>
      <c r="Y304" s="371"/>
      <c r="Z304" s="371"/>
    </row>
    <row r="305" ht="26.25" customHeight="1">
      <c r="A305" s="371"/>
      <c r="B305" s="1265"/>
      <c r="C305" s="371"/>
      <c r="D305" s="371"/>
      <c r="E305" s="371"/>
      <c r="F305" s="371"/>
      <c r="G305" s="371"/>
      <c r="H305" s="371"/>
      <c r="I305" s="371"/>
      <c r="J305" s="371"/>
      <c r="K305" s="371"/>
      <c r="L305" s="371"/>
      <c r="M305" s="371"/>
      <c r="N305" s="371"/>
      <c r="O305" s="371"/>
      <c r="P305" s="371"/>
      <c r="Q305" s="371"/>
      <c r="R305" s="371"/>
      <c r="S305" s="371"/>
      <c r="T305" s="371"/>
      <c r="U305" s="371"/>
      <c r="V305" s="371"/>
      <c r="W305" s="371"/>
      <c r="X305" s="371"/>
      <c r="Y305" s="371"/>
      <c r="Z305" s="371"/>
    </row>
    <row r="306" ht="26.25" customHeight="1">
      <c r="A306" s="371"/>
      <c r="B306" s="1265"/>
      <c r="C306" s="371"/>
      <c r="D306" s="371"/>
      <c r="E306" s="371"/>
      <c r="F306" s="371"/>
      <c r="G306" s="371"/>
      <c r="H306" s="371"/>
      <c r="I306" s="371"/>
      <c r="J306" s="371"/>
      <c r="K306" s="371"/>
      <c r="L306" s="371"/>
      <c r="M306" s="371"/>
      <c r="N306" s="371"/>
      <c r="O306" s="371"/>
      <c r="P306" s="371"/>
      <c r="Q306" s="371"/>
      <c r="R306" s="371"/>
      <c r="S306" s="371"/>
      <c r="T306" s="371"/>
      <c r="U306" s="371"/>
      <c r="V306" s="371"/>
      <c r="W306" s="371"/>
      <c r="X306" s="371"/>
      <c r="Y306" s="371"/>
      <c r="Z306" s="371"/>
    </row>
    <row r="307" ht="26.25" customHeight="1">
      <c r="A307" s="371"/>
      <c r="B307" s="1265"/>
      <c r="C307" s="371"/>
      <c r="D307" s="371"/>
      <c r="E307" s="371"/>
      <c r="F307" s="371"/>
      <c r="G307" s="371"/>
      <c r="H307" s="371"/>
      <c r="I307" s="371"/>
      <c r="J307" s="371"/>
      <c r="K307" s="371"/>
      <c r="L307" s="371"/>
      <c r="M307" s="371"/>
      <c r="N307" s="371"/>
      <c r="O307" s="371"/>
      <c r="P307" s="371"/>
      <c r="Q307" s="371"/>
      <c r="R307" s="371"/>
      <c r="S307" s="371"/>
      <c r="T307" s="371"/>
      <c r="U307" s="371"/>
      <c r="V307" s="371"/>
      <c r="W307" s="371"/>
      <c r="X307" s="371"/>
      <c r="Y307" s="371"/>
      <c r="Z307" s="371"/>
    </row>
    <row r="308" ht="26.25" customHeight="1">
      <c r="A308" s="371"/>
      <c r="B308" s="1265"/>
      <c r="C308" s="371"/>
      <c r="D308" s="371"/>
      <c r="E308" s="371"/>
      <c r="F308" s="371"/>
      <c r="G308" s="371"/>
      <c r="H308" s="371"/>
      <c r="I308" s="371"/>
      <c r="J308" s="371"/>
      <c r="K308" s="371"/>
      <c r="L308" s="371"/>
      <c r="M308" s="371"/>
      <c r="N308" s="371"/>
      <c r="O308" s="371"/>
      <c r="P308" s="371"/>
      <c r="Q308" s="371"/>
      <c r="R308" s="371"/>
      <c r="S308" s="371"/>
      <c r="T308" s="371"/>
      <c r="U308" s="371"/>
      <c r="V308" s="371"/>
      <c r="W308" s="371"/>
      <c r="X308" s="371"/>
      <c r="Y308" s="371"/>
      <c r="Z308" s="371"/>
    </row>
    <row r="309" ht="26.25" customHeight="1">
      <c r="A309" s="371"/>
      <c r="B309" s="1265"/>
      <c r="C309" s="371"/>
      <c r="D309" s="371"/>
      <c r="E309" s="371"/>
      <c r="F309" s="371"/>
      <c r="G309" s="371"/>
      <c r="H309" s="371"/>
      <c r="I309" s="371"/>
      <c r="J309" s="371"/>
      <c r="K309" s="371"/>
      <c r="L309" s="371"/>
      <c r="M309" s="371"/>
      <c r="N309" s="371"/>
      <c r="O309" s="371"/>
      <c r="P309" s="371"/>
      <c r="Q309" s="371"/>
      <c r="R309" s="371"/>
      <c r="S309" s="371"/>
      <c r="T309" s="371"/>
      <c r="U309" s="371"/>
      <c r="V309" s="371"/>
      <c r="W309" s="371"/>
      <c r="X309" s="371"/>
      <c r="Y309" s="371"/>
      <c r="Z309" s="371"/>
    </row>
    <row r="310" ht="26.25" customHeight="1">
      <c r="A310" s="371"/>
      <c r="B310" s="1265"/>
      <c r="C310" s="371"/>
      <c r="D310" s="371"/>
      <c r="E310" s="371"/>
      <c r="F310" s="371"/>
      <c r="G310" s="371"/>
      <c r="H310" s="371"/>
      <c r="I310" s="371"/>
      <c r="J310" s="371"/>
      <c r="K310" s="371"/>
      <c r="L310" s="371"/>
      <c r="M310" s="371"/>
      <c r="N310" s="371"/>
      <c r="O310" s="371"/>
      <c r="P310" s="371"/>
      <c r="Q310" s="371"/>
      <c r="R310" s="371"/>
      <c r="S310" s="371"/>
      <c r="T310" s="371"/>
      <c r="U310" s="371"/>
      <c r="V310" s="371"/>
      <c r="W310" s="371"/>
      <c r="X310" s="371"/>
      <c r="Y310" s="371"/>
      <c r="Z310" s="371"/>
    </row>
    <row r="311" ht="26.25" customHeight="1">
      <c r="A311" s="371"/>
      <c r="B311" s="1265"/>
      <c r="C311" s="371"/>
      <c r="D311" s="371"/>
      <c r="E311" s="371"/>
      <c r="F311" s="371"/>
      <c r="G311" s="371"/>
      <c r="H311" s="371"/>
      <c r="I311" s="371"/>
      <c r="J311" s="371"/>
      <c r="K311" s="371"/>
      <c r="L311" s="371"/>
      <c r="M311" s="371"/>
      <c r="N311" s="371"/>
      <c r="O311" s="371"/>
      <c r="P311" s="371"/>
      <c r="Q311" s="371"/>
      <c r="R311" s="371"/>
      <c r="S311" s="371"/>
      <c r="T311" s="371"/>
      <c r="U311" s="371"/>
      <c r="V311" s="371"/>
      <c r="W311" s="371"/>
      <c r="X311" s="371"/>
      <c r="Y311" s="371"/>
      <c r="Z311" s="371"/>
    </row>
    <row r="312" ht="26.25" customHeight="1">
      <c r="A312" s="371"/>
      <c r="B312" s="1265"/>
      <c r="C312" s="371"/>
      <c r="D312" s="371"/>
      <c r="E312" s="371"/>
      <c r="F312" s="371"/>
      <c r="G312" s="371"/>
      <c r="H312" s="371"/>
      <c r="I312" s="371"/>
      <c r="J312" s="371"/>
      <c r="K312" s="371"/>
      <c r="L312" s="371"/>
      <c r="M312" s="371"/>
      <c r="N312" s="371"/>
      <c r="O312" s="371"/>
      <c r="P312" s="371"/>
      <c r="Q312" s="371"/>
      <c r="R312" s="371"/>
      <c r="S312" s="371"/>
      <c r="T312" s="371"/>
      <c r="U312" s="371"/>
      <c r="V312" s="371"/>
      <c r="W312" s="371"/>
      <c r="X312" s="371"/>
      <c r="Y312" s="371"/>
      <c r="Z312" s="371"/>
    </row>
    <row r="313" ht="26.25" customHeight="1">
      <c r="A313" s="371"/>
      <c r="B313" s="1265"/>
      <c r="C313" s="371"/>
      <c r="D313" s="371"/>
      <c r="E313" s="371"/>
      <c r="F313" s="371"/>
      <c r="G313" s="371"/>
      <c r="H313" s="371"/>
      <c r="I313" s="371"/>
      <c r="J313" s="371"/>
      <c r="K313" s="371"/>
      <c r="L313" s="371"/>
      <c r="M313" s="371"/>
      <c r="N313" s="371"/>
      <c r="O313" s="371"/>
      <c r="P313" s="371"/>
      <c r="Q313" s="371"/>
      <c r="R313" s="371"/>
      <c r="S313" s="371"/>
      <c r="T313" s="371"/>
      <c r="U313" s="371"/>
      <c r="V313" s="371"/>
      <c r="W313" s="371"/>
      <c r="X313" s="371"/>
      <c r="Y313" s="371"/>
      <c r="Z313" s="371"/>
    </row>
    <row r="314" ht="26.25" customHeight="1">
      <c r="A314" s="371"/>
      <c r="B314" s="1265"/>
      <c r="C314" s="371"/>
      <c r="D314" s="371"/>
      <c r="E314" s="371"/>
      <c r="F314" s="371"/>
      <c r="G314" s="371"/>
      <c r="H314" s="371"/>
      <c r="I314" s="371"/>
      <c r="J314" s="371"/>
      <c r="K314" s="371"/>
      <c r="L314" s="371"/>
      <c r="M314" s="371"/>
      <c r="N314" s="371"/>
      <c r="O314" s="371"/>
      <c r="P314" s="371"/>
      <c r="Q314" s="371"/>
      <c r="R314" s="371"/>
      <c r="S314" s="371"/>
      <c r="T314" s="371"/>
      <c r="U314" s="371"/>
      <c r="V314" s="371"/>
      <c r="W314" s="371"/>
      <c r="X314" s="371"/>
      <c r="Y314" s="371"/>
      <c r="Z314" s="371"/>
    </row>
    <row r="315" ht="26.25" customHeight="1">
      <c r="A315" s="371"/>
      <c r="B315" s="1265"/>
      <c r="C315" s="371"/>
      <c r="D315" s="371"/>
      <c r="E315" s="371"/>
      <c r="F315" s="371"/>
      <c r="G315" s="371"/>
      <c r="H315" s="371"/>
      <c r="I315" s="371"/>
      <c r="J315" s="371"/>
      <c r="K315" s="371"/>
      <c r="L315" s="371"/>
      <c r="M315" s="371"/>
      <c r="N315" s="371"/>
      <c r="O315" s="371"/>
      <c r="P315" s="371"/>
      <c r="Q315" s="371"/>
      <c r="R315" s="371"/>
      <c r="S315" s="371"/>
      <c r="T315" s="371"/>
      <c r="U315" s="371"/>
      <c r="V315" s="371"/>
      <c r="W315" s="371"/>
      <c r="X315" s="371"/>
      <c r="Y315" s="371"/>
      <c r="Z315" s="371"/>
    </row>
    <row r="316" ht="26.25" customHeight="1">
      <c r="A316" s="371"/>
      <c r="B316" s="1265"/>
      <c r="C316" s="371"/>
      <c r="D316" s="371"/>
      <c r="E316" s="371"/>
      <c r="F316" s="371"/>
      <c r="G316" s="371"/>
      <c r="H316" s="371"/>
      <c r="I316" s="371"/>
      <c r="J316" s="371"/>
      <c r="K316" s="371"/>
      <c r="L316" s="371"/>
      <c r="M316" s="371"/>
      <c r="N316" s="371"/>
      <c r="O316" s="371"/>
      <c r="P316" s="371"/>
      <c r="Q316" s="371"/>
      <c r="R316" s="371"/>
      <c r="S316" s="371"/>
      <c r="T316" s="371"/>
      <c r="U316" s="371"/>
      <c r="V316" s="371"/>
      <c r="W316" s="371"/>
      <c r="X316" s="371"/>
      <c r="Y316" s="371"/>
      <c r="Z316" s="371"/>
    </row>
    <row r="317" ht="26.25" customHeight="1">
      <c r="A317" s="371"/>
      <c r="B317" s="1265"/>
      <c r="C317" s="371"/>
      <c r="D317" s="371"/>
      <c r="E317" s="371"/>
      <c r="F317" s="371"/>
      <c r="G317" s="371"/>
      <c r="H317" s="371"/>
      <c r="I317" s="371"/>
      <c r="J317" s="371"/>
      <c r="K317" s="371"/>
      <c r="L317" s="371"/>
      <c r="M317" s="371"/>
      <c r="N317" s="371"/>
      <c r="O317" s="371"/>
      <c r="P317" s="371"/>
      <c r="Q317" s="371"/>
      <c r="R317" s="371"/>
      <c r="S317" s="371"/>
      <c r="T317" s="371"/>
      <c r="U317" s="371"/>
      <c r="V317" s="371"/>
      <c r="W317" s="371"/>
      <c r="X317" s="371"/>
      <c r="Y317" s="371"/>
      <c r="Z317" s="371"/>
    </row>
    <row r="318" ht="26.25" customHeight="1">
      <c r="A318" s="371"/>
      <c r="B318" s="1265"/>
      <c r="C318" s="371"/>
      <c r="D318" s="371"/>
      <c r="E318" s="371"/>
      <c r="F318" s="371"/>
      <c r="G318" s="371"/>
      <c r="H318" s="371"/>
      <c r="I318" s="371"/>
      <c r="J318" s="371"/>
      <c r="K318" s="371"/>
      <c r="L318" s="371"/>
      <c r="M318" s="371"/>
      <c r="N318" s="371"/>
      <c r="O318" s="371"/>
      <c r="P318" s="371"/>
      <c r="Q318" s="371"/>
      <c r="R318" s="371"/>
      <c r="S318" s="371"/>
      <c r="T318" s="371"/>
      <c r="U318" s="371"/>
      <c r="V318" s="371"/>
      <c r="W318" s="371"/>
      <c r="X318" s="371"/>
      <c r="Y318" s="371"/>
      <c r="Z318" s="371"/>
    </row>
    <row r="319" ht="26.25" customHeight="1">
      <c r="A319" s="371"/>
      <c r="B319" s="1265"/>
      <c r="C319" s="371"/>
      <c r="D319" s="371"/>
      <c r="E319" s="371"/>
      <c r="F319" s="371"/>
      <c r="G319" s="371"/>
      <c r="H319" s="371"/>
      <c r="I319" s="371"/>
      <c r="J319" s="371"/>
      <c r="K319" s="371"/>
      <c r="L319" s="371"/>
      <c r="M319" s="371"/>
      <c r="N319" s="371"/>
      <c r="O319" s="371"/>
      <c r="P319" s="371"/>
      <c r="Q319" s="371"/>
      <c r="R319" s="371"/>
      <c r="S319" s="371"/>
      <c r="T319" s="371"/>
      <c r="U319" s="371"/>
      <c r="V319" s="371"/>
      <c r="W319" s="371"/>
      <c r="X319" s="371"/>
      <c r="Y319" s="371"/>
      <c r="Z319" s="371"/>
    </row>
    <row r="320" ht="26.25" customHeight="1">
      <c r="A320" s="371"/>
      <c r="B320" s="1265"/>
      <c r="C320" s="371"/>
      <c r="D320" s="371"/>
      <c r="E320" s="371"/>
      <c r="F320" s="371"/>
      <c r="G320" s="371"/>
      <c r="H320" s="371"/>
      <c r="I320" s="371"/>
      <c r="J320" s="371"/>
      <c r="K320" s="371"/>
      <c r="L320" s="371"/>
      <c r="M320" s="371"/>
      <c r="N320" s="371"/>
      <c r="O320" s="371"/>
      <c r="P320" s="371"/>
      <c r="Q320" s="371"/>
      <c r="R320" s="371"/>
      <c r="S320" s="371"/>
      <c r="T320" s="371"/>
      <c r="U320" s="371"/>
      <c r="V320" s="371"/>
      <c r="W320" s="371"/>
      <c r="X320" s="371"/>
      <c r="Y320" s="371"/>
      <c r="Z320" s="371"/>
    </row>
    <row r="321" ht="26.25" customHeight="1">
      <c r="A321" s="371"/>
      <c r="B321" s="1265"/>
      <c r="C321" s="371"/>
      <c r="D321" s="371"/>
      <c r="E321" s="371"/>
      <c r="F321" s="371"/>
      <c r="G321" s="371"/>
      <c r="H321" s="371"/>
      <c r="I321" s="371"/>
      <c r="J321" s="371"/>
      <c r="K321" s="371"/>
      <c r="L321" s="371"/>
      <c r="M321" s="371"/>
      <c r="N321" s="371"/>
      <c r="O321" s="371"/>
      <c r="P321" s="371"/>
      <c r="Q321" s="371"/>
      <c r="R321" s="371"/>
      <c r="S321" s="371"/>
      <c r="T321" s="371"/>
      <c r="U321" s="371"/>
      <c r="V321" s="371"/>
      <c r="W321" s="371"/>
      <c r="X321" s="371"/>
      <c r="Y321" s="371"/>
      <c r="Z321" s="371"/>
    </row>
    <row r="322" ht="26.25" customHeight="1">
      <c r="A322" s="371"/>
      <c r="B322" s="1265"/>
      <c r="C322" s="371"/>
      <c r="D322" s="371"/>
      <c r="E322" s="371"/>
      <c r="F322" s="371"/>
      <c r="G322" s="371"/>
      <c r="H322" s="371"/>
      <c r="I322" s="371"/>
      <c r="J322" s="371"/>
      <c r="K322" s="371"/>
      <c r="L322" s="371"/>
      <c r="M322" s="371"/>
      <c r="N322" s="371"/>
      <c r="O322" s="371"/>
      <c r="P322" s="371"/>
      <c r="Q322" s="371"/>
      <c r="R322" s="371"/>
      <c r="S322" s="371"/>
      <c r="T322" s="371"/>
      <c r="U322" s="371"/>
      <c r="V322" s="371"/>
      <c r="W322" s="371"/>
      <c r="X322" s="371"/>
      <c r="Y322" s="371"/>
      <c r="Z322" s="371"/>
    </row>
    <row r="323" ht="26.25" customHeight="1">
      <c r="A323" s="371"/>
      <c r="B323" s="1265"/>
      <c r="C323" s="371"/>
      <c r="D323" s="371"/>
      <c r="E323" s="371"/>
      <c r="F323" s="371"/>
      <c r="G323" s="371"/>
      <c r="H323" s="371"/>
      <c r="I323" s="371"/>
      <c r="J323" s="371"/>
      <c r="K323" s="371"/>
      <c r="L323" s="371"/>
      <c r="M323" s="371"/>
      <c r="N323" s="371"/>
      <c r="O323" s="371"/>
      <c r="P323" s="371"/>
      <c r="Q323" s="371"/>
      <c r="R323" s="371"/>
      <c r="S323" s="371"/>
      <c r="T323" s="371"/>
      <c r="U323" s="371"/>
      <c r="V323" s="371"/>
      <c r="W323" s="371"/>
      <c r="X323" s="371"/>
      <c r="Y323" s="371"/>
      <c r="Z323" s="371"/>
    </row>
    <row r="324" ht="26.25" customHeight="1">
      <c r="A324" s="371"/>
      <c r="B324" s="1265"/>
      <c r="C324" s="371"/>
      <c r="D324" s="371"/>
      <c r="E324" s="371"/>
      <c r="F324" s="371"/>
      <c r="G324" s="371"/>
      <c r="H324" s="371"/>
      <c r="I324" s="371"/>
      <c r="J324" s="371"/>
      <c r="K324" s="371"/>
      <c r="L324" s="371"/>
      <c r="M324" s="371"/>
      <c r="N324" s="371"/>
      <c r="O324" s="371"/>
      <c r="P324" s="371"/>
      <c r="Q324" s="371"/>
      <c r="R324" s="371"/>
      <c r="S324" s="371"/>
      <c r="T324" s="371"/>
      <c r="U324" s="371"/>
      <c r="V324" s="371"/>
      <c r="W324" s="371"/>
      <c r="X324" s="371"/>
      <c r="Y324" s="371"/>
      <c r="Z324" s="371"/>
    </row>
    <row r="325" ht="26.25" customHeight="1">
      <c r="A325" s="371"/>
      <c r="B325" s="1265"/>
      <c r="C325" s="371"/>
      <c r="D325" s="371"/>
      <c r="E325" s="371"/>
      <c r="F325" s="371"/>
      <c r="G325" s="371"/>
      <c r="H325" s="371"/>
      <c r="I325" s="371"/>
      <c r="J325" s="371"/>
      <c r="K325" s="371"/>
      <c r="L325" s="371"/>
      <c r="M325" s="371"/>
      <c r="N325" s="371"/>
      <c r="O325" s="371"/>
      <c r="P325" s="371"/>
      <c r="Q325" s="371"/>
      <c r="R325" s="371"/>
      <c r="S325" s="371"/>
      <c r="T325" s="371"/>
      <c r="U325" s="371"/>
      <c r="V325" s="371"/>
      <c r="W325" s="371"/>
      <c r="X325" s="371"/>
      <c r="Y325" s="371"/>
      <c r="Z325" s="371"/>
    </row>
    <row r="326" ht="26.25" customHeight="1">
      <c r="A326" s="371"/>
      <c r="B326" s="1265"/>
      <c r="C326" s="371"/>
      <c r="D326" s="371"/>
      <c r="E326" s="371"/>
      <c r="F326" s="371"/>
      <c r="G326" s="371"/>
      <c r="H326" s="371"/>
      <c r="I326" s="371"/>
      <c r="J326" s="371"/>
      <c r="K326" s="371"/>
      <c r="L326" s="371"/>
      <c r="M326" s="371"/>
      <c r="N326" s="371"/>
      <c r="O326" s="371"/>
      <c r="P326" s="371"/>
      <c r="Q326" s="371"/>
      <c r="R326" s="371"/>
      <c r="S326" s="371"/>
      <c r="T326" s="371"/>
      <c r="U326" s="371"/>
      <c r="V326" s="371"/>
      <c r="W326" s="371"/>
      <c r="X326" s="371"/>
      <c r="Y326" s="371"/>
      <c r="Z326" s="371"/>
    </row>
    <row r="327" ht="26.25" customHeight="1">
      <c r="A327" s="371"/>
      <c r="B327" s="1265"/>
      <c r="C327" s="371"/>
      <c r="D327" s="371"/>
      <c r="E327" s="371"/>
      <c r="F327" s="371"/>
      <c r="G327" s="371"/>
      <c r="H327" s="371"/>
      <c r="I327" s="371"/>
      <c r="J327" s="371"/>
      <c r="K327" s="371"/>
      <c r="L327" s="371"/>
      <c r="M327" s="371"/>
      <c r="N327" s="371"/>
      <c r="O327" s="371"/>
      <c r="P327" s="371"/>
      <c r="Q327" s="371"/>
      <c r="R327" s="371"/>
      <c r="S327" s="371"/>
      <c r="T327" s="371"/>
      <c r="U327" s="371"/>
      <c r="V327" s="371"/>
      <c r="W327" s="371"/>
      <c r="X327" s="371"/>
      <c r="Y327" s="371"/>
      <c r="Z327" s="371"/>
    </row>
    <row r="328" ht="26.25" customHeight="1">
      <c r="A328" s="371"/>
      <c r="B328" s="1265"/>
      <c r="C328" s="371"/>
      <c r="D328" s="371"/>
      <c r="E328" s="371"/>
      <c r="F328" s="371"/>
      <c r="G328" s="371"/>
      <c r="H328" s="371"/>
      <c r="I328" s="371"/>
      <c r="J328" s="371"/>
      <c r="K328" s="371"/>
      <c r="L328" s="371"/>
      <c r="M328" s="371"/>
      <c r="N328" s="371"/>
      <c r="O328" s="371"/>
      <c r="P328" s="371"/>
      <c r="Q328" s="371"/>
      <c r="R328" s="371"/>
      <c r="S328" s="371"/>
      <c r="T328" s="371"/>
      <c r="U328" s="371"/>
      <c r="V328" s="371"/>
      <c r="W328" s="371"/>
      <c r="X328" s="371"/>
      <c r="Y328" s="371"/>
      <c r="Z328" s="371"/>
    </row>
    <row r="329" ht="26.25" customHeight="1">
      <c r="A329" s="371"/>
      <c r="B329" s="1265"/>
      <c r="C329" s="371"/>
      <c r="D329" s="371"/>
      <c r="E329" s="371"/>
      <c r="F329" s="371"/>
      <c r="G329" s="371"/>
      <c r="H329" s="371"/>
      <c r="I329" s="371"/>
      <c r="J329" s="371"/>
      <c r="K329" s="371"/>
      <c r="L329" s="371"/>
      <c r="M329" s="371"/>
      <c r="N329" s="371"/>
      <c r="O329" s="371"/>
      <c r="P329" s="371"/>
      <c r="Q329" s="371"/>
      <c r="R329" s="371"/>
      <c r="S329" s="371"/>
      <c r="T329" s="371"/>
      <c r="U329" s="371"/>
      <c r="V329" s="371"/>
      <c r="W329" s="371"/>
      <c r="X329" s="371"/>
      <c r="Y329" s="371"/>
      <c r="Z329" s="371"/>
    </row>
    <row r="330" ht="26.25" customHeight="1">
      <c r="A330" s="371"/>
      <c r="B330" s="1265"/>
      <c r="C330" s="371"/>
      <c r="D330" s="371"/>
      <c r="E330" s="371"/>
      <c r="F330" s="371"/>
      <c r="G330" s="371"/>
      <c r="H330" s="371"/>
      <c r="I330" s="371"/>
      <c r="J330" s="371"/>
      <c r="K330" s="371"/>
      <c r="L330" s="371"/>
      <c r="M330" s="371"/>
      <c r="N330" s="371"/>
      <c r="O330" s="371"/>
      <c r="P330" s="371"/>
      <c r="Q330" s="371"/>
      <c r="R330" s="371"/>
      <c r="S330" s="371"/>
      <c r="T330" s="371"/>
      <c r="U330" s="371"/>
      <c r="V330" s="371"/>
      <c r="W330" s="371"/>
      <c r="X330" s="371"/>
      <c r="Y330" s="371"/>
      <c r="Z330" s="371"/>
    </row>
    <row r="331" ht="26.25" customHeight="1">
      <c r="A331" s="371"/>
      <c r="B331" s="1265"/>
      <c r="C331" s="371"/>
      <c r="D331" s="371"/>
      <c r="E331" s="371"/>
      <c r="F331" s="371"/>
      <c r="G331" s="371"/>
      <c r="H331" s="371"/>
      <c r="I331" s="371"/>
      <c r="J331" s="371"/>
      <c r="K331" s="371"/>
      <c r="L331" s="371"/>
      <c r="M331" s="371"/>
      <c r="N331" s="371"/>
      <c r="O331" s="371"/>
      <c r="P331" s="371"/>
      <c r="Q331" s="371"/>
      <c r="R331" s="371"/>
      <c r="S331" s="371"/>
      <c r="T331" s="371"/>
      <c r="U331" s="371"/>
      <c r="V331" s="371"/>
      <c r="W331" s="371"/>
      <c r="X331" s="371"/>
      <c r="Y331" s="371"/>
      <c r="Z331" s="371"/>
    </row>
    <row r="332" ht="26.25" customHeight="1">
      <c r="A332" s="371"/>
      <c r="B332" s="1265"/>
      <c r="C332" s="371"/>
      <c r="D332" s="371"/>
      <c r="E332" s="371"/>
      <c r="F332" s="371"/>
      <c r="G332" s="371"/>
      <c r="H332" s="371"/>
      <c r="I332" s="371"/>
      <c r="J332" s="371"/>
      <c r="K332" s="371"/>
      <c r="L332" s="371"/>
      <c r="M332" s="371"/>
      <c r="N332" s="371"/>
      <c r="O332" s="371"/>
      <c r="P332" s="371"/>
      <c r="Q332" s="371"/>
      <c r="R332" s="371"/>
      <c r="S332" s="371"/>
      <c r="T332" s="371"/>
      <c r="U332" s="371"/>
      <c r="V332" s="371"/>
      <c r="W332" s="371"/>
      <c r="X332" s="371"/>
      <c r="Y332" s="371"/>
      <c r="Z332" s="371"/>
    </row>
    <row r="333" ht="26.25" customHeight="1">
      <c r="A333" s="371"/>
      <c r="B333" s="1265"/>
      <c r="C333" s="371"/>
      <c r="D333" s="371"/>
      <c r="E333" s="371"/>
      <c r="F333" s="371"/>
      <c r="G333" s="371"/>
      <c r="H333" s="371"/>
      <c r="I333" s="371"/>
      <c r="J333" s="371"/>
      <c r="K333" s="371"/>
      <c r="L333" s="371"/>
      <c r="M333" s="371"/>
      <c r="N333" s="371"/>
      <c r="O333" s="371"/>
      <c r="P333" s="371"/>
      <c r="Q333" s="371"/>
      <c r="R333" s="371"/>
      <c r="S333" s="371"/>
      <c r="T333" s="371"/>
      <c r="U333" s="371"/>
      <c r="V333" s="371"/>
      <c r="W333" s="371"/>
      <c r="X333" s="371"/>
      <c r="Y333" s="371"/>
      <c r="Z333" s="371"/>
    </row>
    <row r="334" ht="26.25" customHeight="1">
      <c r="A334" s="371"/>
      <c r="B334" s="1265"/>
      <c r="C334" s="371"/>
      <c r="D334" s="371"/>
      <c r="E334" s="371"/>
      <c r="F334" s="371"/>
      <c r="G334" s="371"/>
      <c r="H334" s="371"/>
      <c r="I334" s="371"/>
      <c r="J334" s="371"/>
      <c r="K334" s="371"/>
      <c r="L334" s="371"/>
      <c r="M334" s="371"/>
      <c r="N334" s="371"/>
      <c r="O334" s="371"/>
      <c r="P334" s="371"/>
      <c r="Q334" s="371"/>
      <c r="R334" s="371"/>
      <c r="S334" s="371"/>
      <c r="T334" s="371"/>
      <c r="U334" s="371"/>
      <c r="V334" s="371"/>
      <c r="W334" s="371"/>
      <c r="X334" s="371"/>
      <c r="Y334" s="371"/>
      <c r="Z334" s="371"/>
    </row>
    <row r="335" ht="26.25" customHeight="1">
      <c r="A335" s="371"/>
      <c r="B335" s="1265"/>
      <c r="C335" s="371"/>
      <c r="D335" s="371"/>
      <c r="E335" s="371"/>
      <c r="F335" s="371"/>
      <c r="G335" s="371"/>
      <c r="H335" s="371"/>
      <c r="I335" s="371"/>
      <c r="J335" s="371"/>
      <c r="K335" s="371"/>
      <c r="L335" s="371"/>
      <c r="M335" s="371"/>
      <c r="N335" s="371"/>
      <c r="O335" s="371"/>
      <c r="P335" s="371"/>
      <c r="Q335" s="371"/>
      <c r="R335" s="371"/>
      <c r="S335" s="371"/>
      <c r="T335" s="371"/>
      <c r="U335" s="371"/>
      <c r="V335" s="371"/>
      <c r="W335" s="371"/>
      <c r="X335" s="371"/>
      <c r="Y335" s="371"/>
      <c r="Z335" s="371"/>
    </row>
    <row r="336" ht="26.25" customHeight="1">
      <c r="A336" s="371"/>
      <c r="B336" s="1265"/>
      <c r="C336" s="371"/>
      <c r="D336" s="371"/>
      <c r="E336" s="371"/>
      <c r="F336" s="371"/>
      <c r="G336" s="371"/>
      <c r="H336" s="371"/>
      <c r="I336" s="371"/>
      <c r="J336" s="371"/>
      <c r="K336" s="371"/>
      <c r="L336" s="371"/>
      <c r="M336" s="371"/>
      <c r="N336" s="371"/>
      <c r="O336" s="371"/>
      <c r="P336" s="371"/>
      <c r="Q336" s="371"/>
      <c r="R336" s="371"/>
      <c r="S336" s="371"/>
      <c r="T336" s="371"/>
      <c r="U336" s="371"/>
      <c r="V336" s="371"/>
      <c r="W336" s="371"/>
      <c r="X336" s="371"/>
      <c r="Y336" s="371"/>
      <c r="Z336" s="371"/>
    </row>
    <row r="337" ht="26.25" customHeight="1">
      <c r="A337" s="371"/>
      <c r="B337" s="1265"/>
      <c r="C337" s="371"/>
      <c r="D337" s="371"/>
      <c r="E337" s="371"/>
      <c r="F337" s="371"/>
      <c r="G337" s="371"/>
      <c r="H337" s="371"/>
      <c r="I337" s="371"/>
      <c r="J337" s="371"/>
      <c r="K337" s="371"/>
      <c r="L337" s="371"/>
      <c r="M337" s="371"/>
      <c r="N337" s="371"/>
      <c r="O337" s="371"/>
      <c r="P337" s="371"/>
      <c r="Q337" s="371"/>
      <c r="R337" s="371"/>
      <c r="S337" s="371"/>
      <c r="T337" s="371"/>
      <c r="U337" s="371"/>
      <c r="V337" s="371"/>
      <c r="W337" s="371"/>
      <c r="X337" s="371"/>
      <c r="Y337" s="371"/>
      <c r="Z337" s="371"/>
    </row>
    <row r="338" ht="26.25" customHeight="1">
      <c r="A338" s="371"/>
      <c r="B338" s="1265"/>
      <c r="C338" s="371"/>
      <c r="D338" s="371"/>
      <c r="E338" s="371"/>
      <c r="F338" s="371"/>
      <c r="G338" s="371"/>
      <c r="H338" s="371"/>
      <c r="I338" s="371"/>
      <c r="J338" s="371"/>
      <c r="K338" s="371"/>
      <c r="L338" s="371"/>
      <c r="M338" s="371"/>
      <c r="N338" s="371"/>
      <c r="O338" s="371"/>
      <c r="P338" s="371"/>
      <c r="Q338" s="371"/>
      <c r="R338" s="371"/>
      <c r="S338" s="371"/>
      <c r="T338" s="371"/>
      <c r="U338" s="371"/>
      <c r="V338" s="371"/>
      <c r="W338" s="371"/>
      <c r="X338" s="371"/>
      <c r="Y338" s="371"/>
      <c r="Z338" s="371"/>
    </row>
    <row r="339" ht="26.25" customHeight="1">
      <c r="A339" s="371"/>
      <c r="B339" s="1265"/>
      <c r="C339" s="371"/>
      <c r="D339" s="371"/>
      <c r="E339" s="371"/>
      <c r="F339" s="371"/>
      <c r="G339" s="371"/>
      <c r="H339" s="371"/>
      <c r="I339" s="371"/>
      <c r="J339" s="371"/>
      <c r="K339" s="371"/>
      <c r="L339" s="371"/>
      <c r="M339" s="371"/>
      <c r="N339" s="371"/>
      <c r="O339" s="371"/>
      <c r="P339" s="371"/>
      <c r="Q339" s="371"/>
      <c r="R339" s="371"/>
      <c r="S339" s="371"/>
      <c r="T339" s="371"/>
      <c r="U339" s="371"/>
      <c r="V339" s="371"/>
      <c r="W339" s="371"/>
      <c r="X339" s="371"/>
      <c r="Y339" s="371"/>
      <c r="Z339" s="371"/>
    </row>
    <row r="340" ht="26.25" customHeight="1">
      <c r="A340" s="371"/>
      <c r="B340" s="1265"/>
      <c r="C340" s="371"/>
      <c r="D340" s="371"/>
      <c r="E340" s="371"/>
      <c r="F340" s="371"/>
      <c r="G340" s="371"/>
      <c r="H340" s="371"/>
      <c r="I340" s="371"/>
      <c r="J340" s="371"/>
      <c r="K340" s="371"/>
      <c r="L340" s="371"/>
      <c r="M340" s="371"/>
      <c r="N340" s="371"/>
      <c r="O340" s="371"/>
      <c r="P340" s="371"/>
      <c r="Q340" s="371"/>
      <c r="R340" s="371"/>
      <c r="S340" s="371"/>
      <c r="T340" s="371"/>
      <c r="U340" s="371"/>
      <c r="V340" s="371"/>
      <c r="W340" s="371"/>
      <c r="X340" s="371"/>
      <c r="Y340" s="371"/>
      <c r="Z340" s="371"/>
    </row>
    <row r="341" ht="26.25" customHeight="1">
      <c r="A341" s="371"/>
      <c r="B341" s="1265"/>
      <c r="C341" s="371"/>
      <c r="D341" s="371"/>
      <c r="E341" s="371"/>
      <c r="F341" s="371"/>
      <c r="G341" s="371"/>
      <c r="H341" s="371"/>
      <c r="I341" s="371"/>
      <c r="J341" s="371"/>
      <c r="K341" s="371"/>
      <c r="L341" s="371"/>
      <c r="M341" s="371"/>
      <c r="N341" s="371"/>
      <c r="O341" s="371"/>
      <c r="P341" s="371"/>
      <c r="Q341" s="371"/>
      <c r="R341" s="371"/>
      <c r="S341" s="371"/>
      <c r="T341" s="371"/>
      <c r="U341" s="371"/>
      <c r="V341" s="371"/>
      <c r="W341" s="371"/>
      <c r="X341" s="371"/>
      <c r="Y341" s="371"/>
      <c r="Z341" s="371"/>
    </row>
    <row r="342" ht="26.25" customHeight="1">
      <c r="A342" s="371"/>
      <c r="B342" s="1265"/>
      <c r="C342" s="371"/>
      <c r="D342" s="371"/>
      <c r="E342" s="371"/>
      <c r="F342" s="371"/>
      <c r="G342" s="371"/>
      <c r="H342" s="371"/>
      <c r="I342" s="371"/>
      <c r="J342" s="371"/>
      <c r="K342" s="371"/>
      <c r="L342" s="371"/>
      <c r="M342" s="371"/>
      <c r="N342" s="371"/>
      <c r="O342" s="371"/>
      <c r="P342" s="371"/>
      <c r="Q342" s="371"/>
      <c r="R342" s="371"/>
      <c r="S342" s="371"/>
      <c r="T342" s="371"/>
      <c r="U342" s="371"/>
      <c r="V342" s="371"/>
      <c r="W342" s="371"/>
      <c r="X342" s="371"/>
      <c r="Y342" s="371"/>
      <c r="Z342" s="371"/>
    </row>
    <row r="343" ht="26.25" customHeight="1">
      <c r="A343" s="371"/>
      <c r="B343" s="1265"/>
      <c r="C343" s="371"/>
      <c r="D343" s="371"/>
      <c r="E343" s="371"/>
      <c r="F343" s="371"/>
      <c r="G343" s="371"/>
      <c r="H343" s="371"/>
      <c r="I343" s="371"/>
      <c r="J343" s="371"/>
      <c r="K343" s="371"/>
      <c r="L343" s="371"/>
      <c r="M343" s="371"/>
      <c r="N343" s="371"/>
      <c r="O343" s="371"/>
      <c r="P343" s="371"/>
      <c r="Q343" s="371"/>
      <c r="R343" s="371"/>
      <c r="S343" s="371"/>
      <c r="T343" s="371"/>
      <c r="U343" s="371"/>
      <c r="V343" s="371"/>
      <c r="W343" s="371"/>
      <c r="X343" s="371"/>
      <c r="Y343" s="371"/>
      <c r="Z343" s="371"/>
    </row>
    <row r="344" ht="26.25" customHeight="1">
      <c r="A344" s="371"/>
      <c r="B344" s="1265"/>
      <c r="C344" s="371"/>
      <c r="D344" s="371"/>
      <c r="E344" s="371"/>
      <c r="F344" s="371"/>
      <c r="G344" s="371"/>
      <c r="H344" s="371"/>
      <c r="I344" s="371"/>
      <c r="J344" s="371"/>
      <c r="K344" s="371"/>
      <c r="L344" s="371"/>
      <c r="M344" s="371"/>
      <c r="N344" s="371"/>
      <c r="O344" s="371"/>
      <c r="P344" s="371"/>
      <c r="Q344" s="371"/>
      <c r="R344" s="371"/>
      <c r="S344" s="371"/>
      <c r="T344" s="371"/>
      <c r="U344" s="371"/>
      <c r="V344" s="371"/>
      <c r="W344" s="371"/>
      <c r="X344" s="371"/>
      <c r="Y344" s="371"/>
      <c r="Z344" s="371"/>
    </row>
    <row r="345" ht="26.25" customHeight="1">
      <c r="A345" s="371"/>
      <c r="B345" s="1265"/>
      <c r="C345" s="371"/>
      <c r="D345" s="371"/>
      <c r="E345" s="371"/>
      <c r="F345" s="371"/>
      <c r="G345" s="371"/>
      <c r="H345" s="371"/>
      <c r="I345" s="371"/>
      <c r="J345" s="371"/>
      <c r="K345" s="371"/>
      <c r="L345" s="371"/>
      <c r="M345" s="371"/>
      <c r="N345" s="371"/>
      <c r="O345" s="371"/>
      <c r="P345" s="371"/>
      <c r="Q345" s="371"/>
      <c r="R345" s="371"/>
      <c r="S345" s="371"/>
      <c r="T345" s="371"/>
      <c r="U345" s="371"/>
      <c r="V345" s="371"/>
      <c r="W345" s="371"/>
      <c r="X345" s="371"/>
      <c r="Y345" s="371"/>
      <c r="Z345" s="371"/>
    </row>
    <row r="346" ht="26.25" customHeight="1">
      <c r="A346" s="371"/>
      <c r="B346" s="1265"/>
      <c r="C346" s="371"/>
      <c r="D346" s="371"/>
      <c r="E346" s="371"/>
      <c r="F346" s="371"/>
      <c r="G346" s="371"/>
      <c r="H346" s="371"/>
      <c r="I346" s="371"/>
      <c r="J346" s="371"/>
      <c r="K346" s="371"/>
      <c r="L346" s="371"/>
      <c r="M346" s="371"/>
      <c r="N346" s="371"/>
      <c r="O346" s="371"/>
      <c r="P346" s="371"/>
      <c r="Q346" s="371"/>
      <c r="R346" s="371"/>
      <c r="S346" s="371"/>
      <c r="T346" s="371"/>
      <c r="U346" s="371"/>
      <c r="V346" s="371"/>
      <c r="W346" s="371"/>
      <c r="X346" s="371"/>
      <c r="Y346" s="371"/>
      <c r="Z346" s="371"/>
    </row>
    <row r="347" ht="26.25" customHeight="1">
      <c r="A347" s="371"/>
      <c r="B347" s="1265"/>
      <c r="C347" s="371"/>
      <c r="D347" s="371"/>
      <c r="E347" s="371"/>
      <c r="F347" s="371"/>
      <c r="G347" s="371"/>
      <c r="H347" s="371"/>
      <c r="I347" s="371"/>
      <c r="J347" s="371"/>
      <c r="K347" s="371"/>
      <c r="L347" s="371"/>
      <c r="M347" s="371"/>
      <c r="N347" s="371"/>
      <c r="O347" s="371"/>
      <c r="P347" s="371"/>
      <c r="Q347" s="371"/>
      <c r="R347" s="371"/>
      <c r="S347" s="371"/>
      <c r="T347" s="371"/>
      <c r="U347" s="371"/>
      <c r="V347" s="371"/>
      <c r="W347" s="371"/>
      <c r="X347" s="371"/>
      <c r="Y347" s="371"/>
      <c r="Z347" s="371"/>
    </row>
    <row r="348" ht="26.25" customHeight="1">
      <c r="A348" s="371"/>
      <c r="B348" s="1265"/>
      <c r="C348" s="371"/>
      <c r="D348" s="371"/>
      <c r="E348" s="371"/>
      <c r="F348" s="371"/>
      <c r="G348" s="371"/>
      <c r="H348" s="371"/>
      <c r="I348" s="371"/>
      <c r="J348" s="371"/>
      <c r="K348" s="371"/>
      <c r="L348" s="371"/>
      <c r="M348" s="371"/>
      <c r="N348" s="371"/>
      <c r="O348" s="371"/>
      <c r="P348" s="371"/>
      <c r="Q348" s="371"/>
      <c r="R348" s="371"/>
      <c r="S348" s="371"/>
      <c r="T348" s="371"/>
      <c r="U348" s="371"/>
      <c r="V348" s="371"/>
      <c r="W348" s="371"/>
      <c r="X348" s="371"/>
      <c r="Y348" s="371"/>
      <c r="Z348" s="371"/>
    </row>
    <row r="349" ht="26.25" customHeight="1">
      <c r="A349" s="371"/>
      <c r="B349" s="1265"/>
      <c r="C349" s="371"/>
      <c r="D349" s="371"/>
      <c r="E349" s="371"/>
      <c r="F349" s="371"/>
      <c r="G349" s="371"/>
      <c r="H349" s="371"/>
      <c r="I349" s="371"/>
      <c r="J349" s="371"/>
      <c r="K349" s="371"/>
      <c r="L349" s="371"/>
      <c r="M349" s="371"/>
      <c r="N349" s="371"/>
      <c r="O349" s="371"/>
      <c r="P349" s="371"/>
      <c r="Q349" s="371"/>
      <c r="R349" s="371"/>
      <c r="S349" s="371"/>
      <c r="T349" s="371"/>
      <c r="U349" s="371"/>
      <c r="V349" s="371"/>
      <c r="W349" s="371"/>
      <c r="X349" s="371"/>
      <c r="Y349" s="371"/>
      <c r="Z349" s="371"/>
    </row>
    <row r="350" ht="26.25" customHeight="1">
      <c r="A350" s="371"/>
      <c r="B350" s="1265"/>
      <c r="C350" s="371"/>
      <c r="D350" s="371"/>
      <c r="E350" s="371"/>
      <c r="F350" s="371"/>
      <c r="G350" s="371"/>
      <c r="H350" s="371"/>
      <c r="I350" s="371"/>
      <c r="J350" s="371"/>
      <c r="K350" s="371"/>
      <c r="L350" s="371"/>
      <c r="M350" s="371"/>
      <c r="N350" s="371"/>
      <c r="O350" s="371"/>
      <c r="P350" s="371"/>
      <c r="Q350" s="371"/>
      <c r="R350" s="371"/>
      <c r="S350" s="371"/>
      <c r="T350" s="371"/>
      <c r="U350" s="371"/>
      <c r="V350" s="371"/>
      <c r="W350" s="371"/>
      <c r="X350" s="371"/>
      <c r="Y350" s="371"/>
      <c r="Z350" s="371"/>
    </row>
    <row r="351" ht="26.25" customHeight="1">
      <c r="A351" s="371"/>
      <c r="B351" s="1265"/>
      <c r="C351" s="371"/>
      <c r="D351" s="371"/>
      <c r="E351" s="371"/>
      <c r="F351" s="371"/>
      <c r="G351" s="371"/>
      <c r="H351" s="371"/>
      <c r="I351" s="371"/>
      <c r="J351" s="371"/>
      <c r="K351" s="371"/>
      <c r="L351" s="371"/>
      <c r="M351" s="371"/>
      <c r="N351" s="371"/>
      <c r="O351" s="371"/>
      <c r="P351" s="371"/>
      <c r="Q351" s="371"/>
      <c r="R351" s="371"/>
      <c r="S351" s="371"/>
      <c r="T351" s="371"/>
      <c r="U351" s="371"/>
      <c r="V351" s="371"/>
      <c r="W351" s="371"/>
      <c r="X351" s="371"/>
      <c r="Y351" s="371"/>
      <c r="Z351" s="371"/>
    </row>
    <row r="352" ht="26.25" customHeight="1">
      <c r="A352" s="371"/>
      <c r="B352" s="1265"/>
      <c r="C352" s="371"/>
      <c r="D352" s="371"/>
      <c r="E352" s="371"/>
      <c r="F352" s="371"/>
      <c r="G352" s="371"/>
      <c r="H352" s="371"/>
      <c r="I352" s="371"/>
      <c r="J352" s="371"/>
      <c r="K352" s="371"/>
      <c r="L352" s="371"/>
      <c r="M352" s="371"/>
      <c r="N352" s="371"/>
      <c r="O352" s="371"/>
      <c r="P352" s="371"/>
      <c r="Q352" s="371"/>
      <c r="R352" s="371"/>
      <c r="S352" s="371"/>
      <c r="T352" s="371"/>
      <c r="U352" s="371"/>
      <c r="V352" s="371"/>
      <c r="W352" s="371"/>
      <c r="X352" s="371"/>
      <c r="Y352" s="371"/>
      <c r="Z352" s="371"/>
    </row>
    <row r="353" ht="26.25" customHeight="1">
      <c r="A353" s="371"/>
      <c r="B353" s="1265"/>
      <c r="C353" s="371"/>
      <c r="D353" s="371"/>
      <c r="E353" s="371"/>
      <c r="F353" s="371"/>
      <c r="G353" s="371"/>
      <c r="H353" s="371"/>
      <c r="I353" s="371"/>
      <c r="J353" s="371"/>
      <c r="K353" s="371"/>
      <c r="L353" s="371"/>
      <c r="M353" s="371"/>
      <c r="N353" s="371"/>
      <c r="O353" s="371"/>
      <c r="P353" s="371"/>
      <c r="Q353" s="371"/>
      <c r="R353" s="371"/>
      <c r="S353" s="371"/>
      <c r="T353" s="371"/>
      <c r="U353" s="371"/>
      <c r="V353" s="371"/>
      <c r="W353" s="371"/>
      <c r="X353" s="371"/>
      <c r="Y353" s="371"/>
      <c r="Z353" s="371"/>
    </row>
    <row r="354" ht="26.25" customHeight="1">
      <c r="A354" s="371"/>
      <c r="B354" s="1265"/>
      <c r="C354" s="371"/>
      <c r="D354" s="371"/>
      <c r="E354" s="371"/>
      <c r="F354" s="371"/>
      <c r="G354" s="371"/>
      <c r="H354" s="371"/>
      <c r="I354" s="371"/>
      <c r="J354" s="371"/>
      <c r="K354" s="371"/>
      <c r="L354" s="371"/>
      <c r="M354" s="371"/>
      <c r="N354" s="371"/>
      <c r="O354" s="371"/>
      <c r="P354" s="371"/>
      <c r="Q354" s="371"/>
      <c r="R354" s="371"/>
      <c r="S354" s="371"/>
      <c r="T354" s="371"/>
      <c r="U354" s="371"/>
      <c r="V354" s="371"/>
      <c r="W354" s="371"/>
      <c r="X354" s="371"/>
      <c r="Y354" s="371"/>
      <c r="Z354" s="371"/>
    </row>
    <row r="355" ht="26.25" customHeight="1">
      <c r="A355" s="371"/>
      <c r="B355" s="1265"/>
      <c r="C355" s="371"/>
      <c r="D355" s="371"/>
      <c r="E355" s="371"/>
      <c r="F355" s="371"/>
      <c r="G355" s="371"/>
      <c r="H355" s="371"/>
      <c r="I355" s="371"/>
      <c r="J355" s="371"/>
      <c r="K355" s="371"/>
      <c r="L355" s="371"/>
      <c r="M355" s="371"/>
      <c r="N355" s="371"/>
      <c r="O355" s="371"/>
      <c r="P355" s="371"/>
      <c r="Q355" s="371"/>
      <c r="R355" s="371"/>
      <c r="S355" s="371"/>
      <c r="T355" s="371"/>
      <c r="U355" s="371"/>
      <c r="V355" s="371"/>
      <c r="W355" s="371"/>
      <c r="X355" s="371"/>
      <c r="Y355" s="371"/>
      <c r="Z355" s="371"/>
    </row>
    <row r="356" ht="26.25" customHeight="1">
      <c r="A356" s="371"/>
      <c r="B356" s="1265"/>
      <c r="C356" s="371"/>
      <c r="D356" s="371"/>
      <c r="E356" s="371"/>
      <c r="F356" s="371"/>
      <c r="G356" s="371"/>
      <c r="H356" s="371"/>
      <c r="I356" s="371"/>
      <c r="J356" s="371"/>
      <c r="K356" s="371"/>
      <c r="L356" s="371"/>
      <c r="M356" s="371"/>
      <c r="N356" s="371"/>
      <c r="O356" s="371"/>
      <c r="P356" s="371"/>
      <c r="Q356" s="371"/>
      <c r="R356" s="371"/>
      <c r="S356" s="371"/>
      <c r="T356" s="371"/>
      <c r="U356" s="371"/>
      <c r="V356" s="371"/>
      <c r="W356" s="371"/>
      <c r="X356" s="371"/>
      <c r="Y356" s="371"/>
      <c r="Z356" s="371"/>
    </row>
    <row r="357" ht="26.25" customHeight="1">
      <c r="A357" s="371"/>
      <c r="B357" s="1265"/>
      <c r="C357" s="371"/>
      <c r="D357" s="371"/>
      <c r="E357" s="371"/>
      <c r="F357" s="371"/>
      <c r="G357" s="371"/>
      <c r="H357" s="371"/>
      <c r="I357" s="371"/>
      <c r="J357" s="371"/>
      <c r="K357" s="371"/>
      <c r="L357" s="371"/>
      <c r="M357" s="371"/>
      <c r="N357" s="371"/>
      <c r="O357" s="371"/>
      <c r="P357" s="371"/>
      <c r="Q357" s="371"/>
      <c r="R357" s="371"/>
      <c r="S357" s="371"/>
      <c r="T357" s="371"/>
      <c r="U357" s="371"/>
      <c r="V357" s="371"/>
      <c r="W357" s="371"/>
      <c r="X357" s="371"/>
      <c r="Y357" s="371"/>
      <c r="Z357" s="371"/>
    </row>
    <row r="358" ht="26.25" customHeight="1">
      <c r="A358" s="371"/>
      <c r="B358" s="1265"/>
      <c r="C358" s="371"/>
      <c r="D358" s="371"/>
      <c r="E358" s="371"/>
      <c r="F358" s="371"/>
      <c r="G358" s="371"/>
      <c r="H358" s="371"/>
      <c r="I358" s="371"/>
      <c r="J358" s="371"/>
      <c r="K358" s="371"/>
      <c r="L358" s="371"/>
      <c r="M358" s="371"/>
      <c r="N358" s="371"/>
      <c r="O358" s="371"/>
      <c r="P358" s="371"/>
      <c r="Q358" s="371"/>
      <c r="R358" s="371"/>
      <c r="S358" s="371"/>
      <c r="T358" s="371"/>
      <c r="U358" s="371"/>
      <c r="V358" s="371"/>
      <c r="W358" s="371"/>
      <c r="X358" s="371"/>
      <c r="Y358" s="371"/>
      <c r="Z358" s="371"/>
    </row>
    <row r="359" ht="26.25" customHeight="1">
      <c r="A359" s="371"/>
      <c r="B359" s="1265"/>
      <c r="C359" s="371"/>
      <c r="D359" s="371"/>
      <c r="E359" s="371"/>
      <c r="F359" s="371"/>
      <c r="G359" s="371"/>
      <c r="H359" s="371"/>
      <c r="I359" s="371"/>
      <c r="J359" s="371"/>
      <c r="K359" s="371"/>
      <c r="L359" s="371"/>
      <c r="M359" s="371"/>
      <c r="N359" s="371"/>
      <c r="O359" s="371"/>
      <c r="P359" s="371"/>
      <c r="Q359" s="371"/>
      <c r="R359" s="371"/>
      <c r="S359" s="371"/>
      <c r="T359" s="371"/>
      <c r="U359" s="371"/>
      <c r="V359" s="371"/>
      <c r="W359" s="371"/>
      <c r="X359" s="371"/>
      <c r="Y359" s="371"/>
      <c r="Z359" s="371"/>
    </row>
    <row r="360" ht="26.25" customHeight="1">
      <c r="A360" s="371"/>
      <c r="B360" s="1265"/>
      <c r="C360" s="371"/>
      <c r="D360" s="371"/>
      <c r="E360" s="371"/>
      <c r="F360" s="371"/>
      <c r="G360" s="371"/>
      <c r="H360" s="371"/>
      <c r="I360" s="371"/>
      <c r="J360" s="371"/>
      <c r="K360" s="371"/>
      <c r="L360" s="371"/>
      <c r="M360" s="371"/>
      <c r="N360" s="371"/>
      <c r="O360" s="371"/>
      <c r="P360" s="371"/>
      <c r="Q360" s="371"/>
      <c r="R360" s="371"/>
      <c r="S360" s="371"/>
      <c r="T360" s="371"/>
      <c r="U360" s="371"/>
      <c r="V360" s="371"/>
      <c r="W360" s="371"/>
      <c r="X360" s="371"/>
      <c r="Y360" s="371"/>
      <c r="Z360" s="371"/>
    </row>
    <row r="361" ht="26.25" customHeight="1">
      <c r="A361" s="371"/>
      <c r="B361" s="1265"/>
      <c r="C361" s="371"/>
      <c r="D361" s="371"/>
      <c r="E361" s="371"/>
      <c r="F361" s="371"/>
      <c r="G361" s="371"/>
      <c r="H361" s="371"/>
      <c r="I361" s="371"/>
      <c r="J361" s="371"/>
      <c r="K361" s="371"/>
      <c r="L361" s="371"/>
      <c r="M361" s="371"/>
      <c r="N361" s="371"/>
      <c r="O361" s="371"/>
      <c r="P361" s="371"/>
      <c r="Q361" s="371"/>
      <c r="R361" s="371"/>
      <c r="S361" s="371"/>
      <c r="T361" s="371"/>
      <c r="U361" s="371"/>
      <c r="V361" s="371"/>
      <c r="W361" s="371"/>
      <c r="X361" s="371"/>
      <c r="Y361" s="371"/>
      <c r="Z361" s="371"/>
    </row>
    <row r="362" ht="26.25" customHeight="1">
      <c r="A362" s="371"/>
      <c r="B362" s="1265"/>
      <c r="C362" s="371"/>
      <c r="D362" s="371"/>
      <c r="E362" s="371"/>
      <c r="F362" s="371"/>
      <c r="G362" s="371"/>
      <c r="H362" s="371"/>
      <c r="I362" s="371"/>
      <c r="J362" s="371"/>
      <c r="K362" s="371"/>
      <c r="L362" s="371"/>
      <c r="M362" s="371"/>
      <c r="N362" s="371"/>
      <c r="O362" s="371"/>
      <c r="P362" s="371"/>
      <c r="Q362" s="371"/>
      <c r="R362" s="371"/>
      <c r="S362" s="371"/>
      <c r="T362" s="371"/>
      <c r="U362" s="371"/>
      <c r="V362" s="371"/>
      <c r="W362" s="371"/>
      <c r="X362" s="371"/>
      <c r="Y362" s="371"/>
      <c r="Z362" s="371"/>
    </row>
    <row r="363" ht="26.25" customHeight="1">
      <c r="A363" s="371"/>
      <c r="B363" s="1265"/>
      <c r="C363" s="371"/>
      <c r="D363" s="371"/>
      <c r="E363" s="371"/>
      <c r="F363" s="371"/>
      <c r="G363" s="371"/>
      <c r="H363" s="371"/>
      <c r="I363" s="371"/>
      <c r="J363" s="371"/>
      <c r="K363" s="371"/>
      <c r="L363" s="371"/>
      <c r="M363" s="371"/>
      <c r="N363" s="371"/>
      <c r="O363" s="371"/>
      <c r="P363" s="371"/>
      <c r="Q363" s="371"/>
      <c r="R363" s="371"/>
      <c r="S363" s="371"/>
      <c r="T363" s="371"/>
      <c r="U363" s="371"/>
      <c r="V363" s="371"/>
      <c r="W363" s="371"/>
      <c r="X363" s="371"/>
      <c r="Y363" s="371"/>
      <c r="Z363" s="371"/>
    </row>
    <row r="364" ht="26.25" customHeight="1">
      <c r="A364" s="371"/>
      <c r="B364" s="1265"/>
      <c r="C364" s="371"/>
      <c r="D364" s="371"/>
      <c r="E364" s="371"/>
      <c r="F364" s="371"/>
      <c r="G364" s="371"/>
      <c r="H364" s="371"/>
      <c r="I364" s="371"/>
      <c r="J364" s="371"/>
      <c r="K364" s="371"/>
      <c r="L364" s="371"/>
      <c r="M364" s="371"/>
      <c r="N364" s="371"/>
      <c r="O364" s="371"/>
      <c r="P364" s="371"/>
      <c r="Q364" s="371"/>
      <c r="R364" s="371"/>
      <c r="S364" s="371"/>
      <c r="T364" s="371"/>
      <c r="U364" s="371"/>
      <c r="V364" s="371"/>
      <c r="W364" s="371"/>
      <c r="X364" s="371"/>
      <c r="Y364" s="371"/>
      <c r="Z364" s="371"/>
    </row>
    <row r="365" ht="26.25" customHeight="1">
      <c r="A365" s="371"/>
      <c r="B365" s="1265"/>
      <c r="C365" s="371"/>
      <c r="D365" s="371"/>
      <c r="E365" s="371"/>
      <c r="F365" s="371"/>
      <c r="G365" s="371"/>
      <c r="H365" s="371"/>
      <c r="I365" s="371"/>
      <c r="J365" s="371"/>
      <c r="K365" s="371"/>
      <c r="L365" s="371"/>
      <c r="M365" s="371"/>
      <c r="N365" s="371"/>
      <c r="O365" s="371"/>
      <c r="P365" s="371"/>
      <c r="Q365" s="371"/>
      <c r="R365" s="371"/>
      <c r="S365" s="371"/>
      <c r="T365" s="371"/>
      <c r="U365" s="371"/>
      <c r="V365" s="371"/>
      <c r="W365" s="371"/>
      <c r="X365" s="371"/>
      <c r="Y365" s="371"/>
      <c r="Z365" s="371"/>
    </row>
    <row r="366" ht="26.25" customHeight="1">
      <c r="A366" s="371"/>
      <c r="B366" s="1265"/>
      <c r="C366" s="371"/>
      <c r="D366" s="371"/>
      <c r="E366" s="371"/>
      <c r="F366" s="371"/>
      <c r="G366" s="371"/>
      <c r="H366" s="371"/>
      <c r="I366" s="371"/>
      <c r="J366" s="371"/>
      <c r="K366" s="371"/>
      <c r="L366" s="371"/>
      <c r="M366" s="371"/>
      <c r="N366" s="371"/>
      <c r="O366" s="371"/>
      <c r="P366" s="371"/>
      <c r="Q366" s="371"/>
      <c r="R366" s="371"/>
      <c r="S366" s="371"/>
      <c r="T366" s="371"/>
      <c r="U366" s="371"/>
      <c r="V366" s="371"/>
      <c r="W366" s="371"/>
      <c r="X366" s="371"/>
      <c r="Y366" s="371"/>
      <c r="Z366" s="371"/>
    </row>
    <row r="367" ht="26.25" customHeight="1">
      <c r="A367" s="371"/>
      <c r="B367" s="1265"/>
      <c r="C367" s="371"/>
      <c r="D367" s="371"/>
      <c r="E367" s="371"/>
      <c r="F367" s="371"/>
      <c r="G367" s="371"/>
      <c r="H367" s="371"/>
      <c r="I367" s="371"/>
      <c r="J367" s="371"/>
      <c r="K367" s="371"/>
      <c r="L367" s="371"/>
      <c r="M367" s="371"/>
      <c r="N367" s="371"/>
      <c r="O367" s="371"/>
      <c r="P367" s="371"/>
      <c r="Q367" s="371"/>
      <c r="R367" s="371"/>
      <c r="S367" s="371"/>
      <c r="T367" s="371"/>
      <c r="U367" s="371"/>
      <c r="V367" s="371"/>
      <c r="W367" s="371"/>
      <c r="X367" s="371"/>
      <c r="Y367" s="371"/>
      <c r="Z367" s="371"/>
    </row>
    <row r="368" ht="26.25" customHeight="1">
      <c r="A368" s="371"/>
      <c r="B368" s="1265"/>
      <c r="C368" s="371"/>
      <c r="D368" s="371"/>
      <c r="E368" s="371"/>
      <c r="F368" s="371"/>
      <c r="G368" s="371"/>
      <c r="H368" s="371"/>
      <c r="I368" s="371"/>
      <c r="J368" s="371"/>
      <c r="K368" s="371"/>
      <c r="L368" s="371"/>
      <c r="M368" s="371"/>
      <c r="N368" s="371"/>
      <c r="O368" s="371"/>
      <c r="P368" s="371"/>
      <c r="Q368" s="371"/>
      <c r="R368" s="371"/>
      <c r="S368" s="371"/>
      <c r="T368" s="371"/>
      <c r="U368" s="371"/>
      <c r="V368" s="371"/>
      <c r="W368" s="371"/>
      <c r="X368" s="371"/>
      <c r="Y368" s="371"/>
      <c r="Z368" s="371"/>
    </row>
    <row r="369" ht="26.25" customHeight="1">
      <c r="A369" s="371"/>
      <c r="B369" s="1265"/>
      <c r="C369" s="371"/>
      <c r="D369" s="371"/>
      <c r="E369" s="371"/>
      <c r="F369" s="371"/>
      <c r="G369" s="371"/>
      <c r="H369" s="371"/>
      <c r="I369" s="371"/>
      <c r="J369" s="371"/>
      <c r="K369" s="371"/>
      <c r="L369" s="371"/>
      <c r="M369" s="371"/>
      <c r="N369" s="371"/>
      <c r="O369" s="371"/>
      <c r="P369" s="371"/>
      <c r="Q369" s="371"/>
      <c r="R369" s="371"/>
      <c r="S369" s="371"/>
      <c r="T369" s="371"/>
      <c r="U369" s="371"/>
      <c r="V369" s="371"/>
      <c r="W369" s="371"/>
      <c r="X369" s="371"/>
      <c r="Y369" s="371"/>
      <c r="Z369" s="371"/>
    </row>
    <row r="370" ht="26.25" customHeight="1">
      <c r="A370" s="371"/>
      <c r="B370" s="1265"/>
      <c r="C370" s="371"/>
      <c r="D370" s="371"/>
      <c r="E370" s="371"/>
      <c r="F370" s="371"/>
      <c r="G370" s="371"/>
      <c r="H370" s="371"/>
      <c r="I370" s="371"/>
      <c r="J370" s="371"/>
      <c r="K370" s="371"/>
      <c r="L370" s="371"/>
      <c r="M370" s="371"/>
      <c r="N370" s="371"/>
      <c r="O370" s="371"/>
      <c r="P370" s="371"/>
      <c r="Q370" s="371"/>
      <c r="R370" s="371"/>
      <c r="S370" s="371"/>
      <c r="T370" s="371"/>
      <c r="U370" s="371"/>
      <c r="V370" s="371"/>
      <c r="W370" s="371"/>
      <c r="X370" s="371"/>
      <c r="Y370" s="371"/>
      <c r="Z370" s="371"/>
    </row>
    <row r="371" ht="26.25" customHeight="1">
      <c r="A371" s="371"/>
      <c r="B371" s="1265"/>
      <c r="C371" s="371"/>
      <c r="D371" s="371"/>
      <c r="E371" s="371"/>
      <c r="F371" s="371"/>
      <c r="G371" s="371"/>
      <c r="H371" s="371"/>
      <c r="I371" s="371"/>
      <c r="J371" s="371"/>
      <c r="K371" s="371"/>
      <c r="L371" s="371"/>
      <c r="M371" s="371"/>
      <c r="N371" s="371"/>
      <c r="O371" s="371"/>
      <c r="P371" s="371"/>
      <c r="Q371" s="371"/>
      <c r="R371" s="371"/>
      <c r="S371" s="371"/>
      <c r="T371" s="371"/>
      <c r="U371" s="371"/>
      <c r="V371" s="371"/>
      <c r="W371" s="371"/>
      <c r="X371" s="371"/>
      <c r="Y371" s="371"/>
      <c r="Z371" s="371"/>
    </row>
    <row r="372" ht="26.25" customHeight="1">
      <c r="A372" s="371"/>
      <c r="B372" s="1265"/>
      <c r="C372" s="371"/>
      <c r="D372" s="371"/>
      <c r="E372" s="371"/>
      <c r="F372" s="371"/>
      <c r="G372" s="371"/>
      <c r="H372" s="371"/>
      <c r="I372" s="371"/>
      <c r="J372" s="371"/>
      <c r="K372" s="371"/>
      <c r="L372" s="371"/>
      <c r="M372" s="371"/>
      <c r="N372" s="371"/>
      <c r="O372" s="371"/>
      <c r="P372" s="371"/>
      <c r="Q372" s="371"/>
      <c r="R372" s="371"/>
      <c r="S372" s="371"/>
      <c r="T372" s="371"/>
      <c r="U372" s="371"/>
      <c r="V372" s="371"/>
      <c r="W372" s="371"/>
      <c r="X372" s="371"/>
      <c r="Y372" s="371"/>
      <c r="Z372" s="371"/>
    </row>
    <row r="373" ht="26.25" customHeight="1">
      <c r="A373" s="371"/>
      <c r="B373" s="1265"/>
      <c r="C373" s="371"/>
      <c r="D373" s="371"/>
      <c r="E373" s="371"/>
      <c r="F373" s="371"/>
      <c r="G373" s="371"/>
      <c r="H373" s="371"/>
      <c r="I373" s="371"/>
      <c r="J373" s="371"/>
      <c r="K373" s="371"/>
      <c r="L373" s="371"/>
      <c r="M373" s="371"/>
      <c r="N373" s="371"/>
      <c r="O373" s="371"/>
      <c r="P373" s="371"/>
      <c r="Q373" s="371"/>
      <c r="R373" s="371"/>
      <c r="S373" s="371"/>
      <c r="T373" s="371"/>
      <c r="U373" s="371"/>
      <c r="V373" s="371"/>
      <c r="W373" s="371"/>
      <c r="X373" s="371"/>
      <c r="Y373" s="371"/>
      <c r="Z373" s="371"/>
    </row>
    <row r="374" ht="26.25" customHeight="1">
      <c r="A374" s="371"/>
      <c r="B374" s="1265"/>
      <c r="C374" s="371"/>
      <c r="D374" s="371"/>
      <c r="E374" s="371"/>
      <c r="F374" s="371"/>
      <c r="G374" s="371"/>
      <c r="H374" s="371"/>
      <c r="I374" s="371"/>
      <c r="J374" s="371"/>
      <c r="K374" s="371"/>
      <c r="L374" s="371"/>
      <c r="M374" s="371"/>
      <c r="N374" s="371"/>
      <c r="O374" s="371"/>
      <c r="P374" s="371"/>
      <c r="Q374" s="371"/>
      <c r="R374" s="371"/>
      <c r="S374" s="371"/>
      <c r="T374" s="371"/>
      <c r="U374" s="371"/>
      <c r="V374" s="371"/>
      <c r="W374" s="371"/>
      <c r="X374" s="371"/>
      <c r="Y374" s="371"/>
      <c r="Z374" s="371"/>
    </row>
    <row r="375" ht="26.25" customHeight="1">
      <c r="A375" s="371"/>
      <c r="B375" s="1265"/>
      <c r="C375" s="371"/>
      <c r="D375" s="371"/>
      <c r="E375" s="371"/>
      <c r="F375" s="371"/>
      <c r="G375" s="371"/>
      <c r="H375" s="371"/>
      <c r="I375" s="371"/>
      <c r="J375" s="371"/>
      <c r="K375" s="371"/>
      <c r="L375" s="371"/>
      <c r="M375" s="371"/>
      <c r="N375" s="371"/>
      <c r="O375" s="371"/>
      <c r="P375" s="371"/>
      <c r="Q375" s="371"/>
      <c r="R375" s="371"/>
      <c r="S375" s="371"/>
      <c r="T375" s="371"/>
      <c r="U375" s="371"/>
      <c r="V375" s="371"/>
      <c r="W375" s="371"/>
      <c r="X375" s="371"/>
      <c r="Y375" s="371"/>
      <c r="Z375" s="371"/>
    </row>
    <row r="376" ht="26.25" customHeight="1">
      <c r="A376" s="371"/>
      <c r="B376" s="1265"/>
      <c r="C376" s="371"/>
      <c r="D376" s="371"/>
      <c r="E376" s="371"/>
      <c r="F376" s="371"/>
      <c r="G376" s="371"/>
      <c r="H376" s="371"/>
      <c r="I376" s="371"/>
      <c r="J376" s="371"/>
      <c r="K376" s="371"/>
      <c r="L376" s="371"/>
      <c r="M376" s="371"/>
      <c r="N376" s="371"/>
      <c r="O376" s="371"/>
      <c r="P376" s="371"/>
      <c r="Q376" s="371"/>
      <c r="R376" s="371"/>
      <c r="S376" s="371"/>
      <c r="T376" s="371"/>
      <c r="U376" s="371"/>
      <c r="V376" s="371"/>
      <c r="W376" s="371"/>
      <c r="X376" s="371"/>
      <c r="Y376" s="371"/>
      <c r="Z376" s="371"/>
    </row>
    <row r="377" ht="26.25" customHeight="1">
      <c r="A377" s="371"/>
      <c r="B377" s="1265"/>
      <c r="C377" s="371"/>
      <c r="D377" s="371"/>
      <c r="E377" s="371"/>
      <c r="F377" s="371"/>
      <c r="G377" s="371"/>
      <c r="H377" s="371"/>
      <c r="I377" s="371"/>
      <c r="J377" s="371"/>
      <c r="K377" s="371"/>
      <c r="L377" s="371"/>
      <c r="M377" s="371"/>
      <c r="N377" s="371"/>
      <c r="O377" s="371"/>
      <c r="P377" s="371"/>
      <c r="Q377" s="371"/>
      <c r="R377" s="371"/>
      <c r="S377" s="371"/>
      <c r="T377" s="371"/>
      <c r="U377" s="371"/>
      <c r="V377" s="371"/>
      <c r="W377" s="371"/>
      <c r="X377" s="371"/>
      <c r="Y377" s="371"/>
      <c r="Z377" s="371"/>
    </row>
    <row r="378" ht="26.25" customHeight="1">
      <c r="A378" s="371"/>
      <c r="B378" s="1265"/>
      <c r="C378" s="371"/>
      <c r="D378" s="371"/>
      <c r="E378" s="371"/>
      <c r="F378" s="371"/>
      <c r="G378" s="371"/>
      <c r="H378" s="371"/>
      <c r="I378" s="371"/>
      <c r="J378" s="371"/>
      <c r="K378" s="371"/>
      <c r="L378" s="371"/>
      <c r="M378" s="371"/>
      <c r="N378" s="371"/>
      <c r="O378" s="371"/>
      <c r="P378" s="371"/>
      <c r="Q378" s="371"/>
      <c r="R378" s="371"/>
      <c r="S378" s="371"/>
      <c r="T378" s="371"/>
      <c r="U378" s="371"/>
      <c r="V378" s="371"/>
      <c r="W378" s="371"/>
      <c r="X378" s="371"/>
      <c r="Y378" s="371"/>
      <c r="Z378" s="371"/>
    </row>
    <row r="379" ht="26.25" customHeight="1">
      <c r="A379" s="371"/>
      <c r="B379" s="1265"/>
      <c r="C379" s="371"/>
      <c r="D379" s="371"/>
      <c r="E379" s="371"/>
      <c r="F379" s="371"/>
      <c r="G379" s="371"/>
      <c r="H379" s="371"/>
      <c r="I379" s="371"/>
      <c r="J379" s="371"/>
      <c r="K379" s="371"/>
      <c r="L379" s="371"/>
      <c r="M379" s="371"/>
      <c r="N379" s="371"/>
      <c r="O379" s="371"/>
      <c r="P379" s="371"/>
      <c r="Q379" s="371"/>
      <c r="R379" s="371"/>
      <c r="S379" s="371"/>
      <c r="T379" s="371"/>
      <c r="U379" s="371"/>
      <c r="V379" s="371"/>
      <c r="W379" s="371"/>
      <c r="X379" s="371"/>
      <c r="Y379" s="371"/>
      <c r="Z379" s="371"/>
    </row>
    <row r="380" ht="26.25" customHeight="1">
      <c r="A380" s="371"/>
      <c r="B380" s="1265"/>
      <c r="C380" s="371"/>
      <c r="D380" s="371"/>
      <c r="E380" s="371"/>
      <c r="F380" s="371"/>
      <c r="G380" s="371"/>
      <c r="H380" s="371"/>
      <c r="I380" s="371"/>
      <c r="J380" s="371"/>
      <c r="K380" s="371"/>
      <c r="L380" s="371"/>
      <c r="M380" s="371"/>
      <c r="N380" s="371"/>
      <c r="O380" s="371"/>
      <c r="P380" s="371"/>
      <c r="Q380" s="371"/>
      <c r="R380" s="371"/>
      <c r="S380" s="371"/>
      <c r="T380" s="371"/>
      <c r="U380" s="371"/>
      <c r="V380" s="371"/>
      <c r="W380" s="371"/>
      <c r="X380" s="371"/>
      <c r="Y380" s="371"/>
      <c r="Z380" s="371"/>
    </row>
    <row r="381" ht="26.25" customHeight="1">
      <c r="A381" s="371"/>
      <c r="B381" s="1265"/>
      <c r="C381" s="371"/>
      <c r="D381" s="371"/>
      <c r="E381" s="371"/>
      <c r="F381" s="371"/>
      <c r="G381" s="371"/>
      <c r="H381" s="371"/>
      <c r="I381" s="371"/>
      <c r="J381" s="371"/>
      <c r="K381" s="371"/>
      <c r="L381" s="371"/>
      <c r="M381" s="371"/>
      <c r="N381" s="371"/>
      <c r="O381" s="371"/>
      <c r="P381" s="371"/>
      <c r="Q381" s="371"/>
      <c r="R381" s="371"/>
      <c r="S381" s="371"/>
      <c r="T381" s="371"/>
      <c r="U381" s="371"/>
      <c r="V381" s="371"/>
      <c r="W381" s="371"/>
      <c r="X381" s="371"/>
      <c r="Y381" s="371"/>
      <c r="Z381" s="371"/>
    </row>
    <row r="382" ht="26.25" customHeight="1">
      <c r="A382" s="371"/>
      <c r="B382" s="1265"/>
      <c r="C382" s="371"/>
      <c r="D382" s="371"/>
      <c r="E382" s="371"/>
      <c r="F382" s="371"/>
      <c r="G382" s="371"/>
      <c r="H382" s="371"/>
      <c r="I382" s="371"/>
      <c r="J382" s="371"/>
      <c r="K382" s="371"/>
      <c r="L382" s="371"/>
      <c r="M382" s="371"/>
      <c r="N382" s="371"/>
      <c r="O382" s="371"/>
      <c r="P382" s="371"/>
      <c r="Q382" s="371"/>
      <c r="R382" s="371"/>
      <c r="S382" s="371"/>
      <c r="T382" s="371"/>
      <c r="U382" s="371"/>
      <c r="V382" s="371"/>
      <c r="W382" s="371"/>
      <c r="X382" s="371"/>
      <c r="Y382" s="371"/>
      <c r="Z382" s="371"/>
    </row>
    <row r="383" ht="26.25" customHeight="1">
      <c r="A383" s="371"/>
      <c r="B383" s="1265"/>
      <c r="C383" s="371"/>
      <c r="D383" s="371"/>
      <c r="E383" s="371"/>
      <c r="F383" s="371"/>
      <c r="G383" s="371"/>
      <c r="H383" s="371"/>
      <c r="I383" s="371"/>
      <c r="J383" s="371"/>
      <c r="K383" s="371"/>
      <c r="L383" s="371"/>
      <c r="M383" s="371"/>
      <c r="N383" s="371"/>
      <c r="O383" s="371"/>
      <c r="P383" s="371"/>
      <c r="Q383" s="371"/>
      <c r="R383" s="371"/>
      <c r="S383" s="371"/>
      <c r="T383" s="371"/>
      <c r="U383" s="371"/>
      <c r="V383" s="371"/>
      <c r="W383" s="371"/>
      <c r="X383" s="371"/>
      <c r="Y383" s="371"/>
      <c r="Z383" s="371"/>
    </row>
    <row r="384" ht="26.25" customHeight="1">
      <c r="A384" s="371"/>
      <c r="B384" s="1265"/>
      <c r="C384" s="371"/>
      <c r="D384" s="371"/>
      <c r="E384" s="371"/>
      <c r="F384" s="371"/>
      <c r="G384" s="371"/>
      <c r="H384" s="371"/>
      <c r="I384" s="371"/>
      <c r="J384" s="371"/>
      <c r="K384" s="371"/>
      <c r="L384" s="371"/>
      <c r="M384" s="371"/>
      <c r="N384" s="371"/>
      <c r="O384" s="371"/>
      <c r="P384" s="371"/>
      <c r="Q384" s="371"/>
      <c r="R384" s="371"/>
      <c r="S384" s="371"/>
      <c r="T384" s="371"/>
      <c r="U384" s="371"/>
      <c r="V384" s="371"/>
      <c r="W384" s="371"/>
      <c r="X384" s="371"/>
      <c r="Y384" s="371"/>
      <c r="Z384" s="371"/>
    </row>
    <row r="385" ht="26.25" customHeight="1">
      <c r="A385" s="371"/>
      <c r="B385" s="1265"/>
      <c r="C385" s="371"/>
      <c r="D385" s="371"/>
      <c r="E385" s="371"/>
      <c r="F385" s="371"/>
      <c r="G385" s="371"/>
      <c r="H385" s="371"/>
      <c r="I385" s="371"/>
      <c r="J385" s="371"/>
      <c r="K385" s="371"/>
      <c r="L385" s="371"/>
      <c r="M385" s="371"/>
      <c r="N385" s="371"/>
      <c r="O385" s="371"/>
      <c r="P385" s="371"/>
      <c r="Q385" s="371"/>
      <c r="R385" s="371"/>
      <c r="S385" s="371"/>
      <c r="T385" s="371"/>
      <c r="U385" s="371"/>
      <c r="V385" s="371"/>
      <c r="W385" s="371"/>
      <c r="X385" s="371"/>
      <c r="Y385" s="371"/>
      <c r="Z385" s="371"/>
    </row>
    <row r="386" ht="26.25" customHeight="1">
      <c r="A386" s="371"/>
      <c r="B386" s="1265"/>
      <c r="C386" s="371"/>
      <c r="D386" s="371"/>
      <c r="E386" s="371"/>
      <c r="F386" s="371"/>
      <c r="G386" s="371"/>
      <c r="H386" s="371"/>
      <c r="I386" s="371"/>
      <c r="J386" s="371"/>
      <c r="K386" s="371"/>
      <c r="L386" s="371"/>
      <c r="M386" s="371"/>
      <c r="N386" s="371"/>
      <c r="O386" s="371"/>
      <c r="P386" s="371"/>
      <c r="Q386" s="371"/>
      <c r="R386" s="371"/>
      <c r="S386" s="371"/>
      <c r="T386" s="371"/>
      <c r="U386" s="371"/>
      <c r="V386" s="371"/>
      <c r="W386" s="371"/>
      <c r="X386" s="371"/>
      <c r="Y386" s="371"/>
      <c r="Z386" s="371"/>
    </row>
    <row r="387" ht="26.25" customHeight="1">
      <c r="A387" s="371"/>
      <c r="B387" s="1265"/>
      <c r="C387" s="371"/>
      <c r="D387" s="371"/>
      <c r="E387" s="371"/>
      <c r="F387" s="371"/>
      <c r="G387" s="371"/>
      <c r="H387" s="371"/>
      <c r="I387" s="371"/>
      <c r="J387" s="371"/>
      <c r="K387" s="371"/>
      <c r="L387" s="371"/>
      <c r="M387" s="371"/>
      <c r="N387" s="371"/>
      <c r="O387" s="371"/>
      <c r="P387" s="371"/>
      <c r="Q387" s="371"/>
      <c r="R387" s="371"/>
      <c r="S387" s="371"/>
      <c r="T387" s="371"/>
      <c r="U387" s="371"/>
      <c r="V387" s="371"/>
      <c r="W387" s="371"/>
      <c r="X387" s="371"/>
      <c r="Y387" s="371"/>
      <c r="Z387" s="371"/>
    </row>
    <row r="388" ht="26.25" customHeight="1">
      <c r="A388" s="371"/>
      <c r="B388" s="1265"/>
      <c r="C388" s="371"/>
      <c r="D388" s="371"/>
      <c r="E388" s="371"/>
      <c r="F388" s="371"/>
      <c r="G388" s="371"/>
      <c r="H388" s="371"/>
      <c r="I388" s="371"/>
      <c r="J388" s="371"/>
      <c r="K388" s="371"/>
      <c r="L388" s="371"/>
      <c r="M388" s="371"/>
      <c r="N388" s="371"/>
      <c r="O388" s="371"/>
      <c r="P388" s="371"/>
      <c r="Q388" s="371"/>
      <c r="R388" s="371"/>
      <c r="S388" s="371"/>
      <c r="T388" s="371"/>
      <c r="U388" s="371"/>
      <c r="V388" s="371"/>
      <c r="W388" s="371"/>
      <c r="X388" s="371"/>
      <c r="Y388" s="371"/>
      <c r="Z388" s="371"/>
    </row>
    <row r="389" ht="26.25" customHeight="1">
      <c r="A389" s="371"/>
      <c r="B389" s="1265"/>
      <c r="C389" s="371"/>
      <c r="D389" s="371"/>
      <c r="E389" s="371"/>
      <c r="F389" s="371"/>
      <c r="G389" s="371"/>
      <c r="H389" s="371"/>
      <c r="I389" s="371"/>
      <c r="J389" s="371"/>
      <c r="K389" s="371"/>
      <c r="L389" s="371"/>
      <c r="M389" s="371"/>
      <c r="N389" s="371"/>
      <c r="O389" s="371"/>
      <c r="P389" s="371"/>
      <c r="Q389" s="371"/>
      <c r="R389" s="371"/>
      <c r="S389" s="371"/>
      <c r="T389" s="371"/>
      <c r="U389" s="371"/>
      <c r="V389" s="371"/>
      <c r="W389" s="371"/>
      <c r="X389" s="371"/>
      <c r="Y389" s="371"/>
      <c r="Z389" s="371"/>
    </row>
    <row r="390" ht="26.25" customHeight="1">
      <c r="A390" s="371"/>
      <c r="B390" s="1265"/>
      <c r="C390" s="371"/>
      <c r="D390" s="371"/>
      <c r="E390" s="371"/>
      <c r="F390" s="371"/>
      <c r="G390" s="371"/>
      <c r="H390" s="371"/>
      <c r="I390" s="371"/>
      <c r="J390" s="371"/>
      <c r="K390" s="371"/>
      <c r="L390" s="371"/>
      <c r="M390" s="371"/>
      <c r="N390" s="371"/>
      <c r="O390" s="371"/>
      <c r="P390" s="371"/>
      <c r="Q390" s="371"/>
      <c r="R390" s="371"/>
      <c r="S390" s="371"/>
      <c r="T390" s="371"/>
      <c r="U390" s="371"/>
      <c r="V390" s="371"/>
      <c r="W390" s="371"/>
      <c r="X390" s="371"/>
      <c r="Y390" s="371"/>
      <c r="Z390" s="371"/>
    </row>
    <row r="391" ht="26.25" customHeight="1">
      <c r="A391" s="371"/>
      <c r="B391" s="1265"/>
      <c r="C391" s="371"/>
      <c r="D391" s="371"/>
      <c r="E391" s="371"/>
      <c r="F391" s="371"/>
      <c r="G391" s="371"/>
      <c r="H391" s="371"/>
      <c r="I391" s="371"/>
      <c r="J391" s="371"/>
      <c r="K391" s="371"/>
      <c r="L391" s="371"/>
      <c r="M391" s="371"/>
      <c r="N391" s="371"/>
      <c r="O391" s="371"/>
      <c r="P391" s="371"/>
      <c r="Q391" s="371"/>
      <c r="R391" s="371"/>
      <c r="S391" s="371"/>
      <c r="T391" s="371"/>
      <c r="U391" s="371"/>
      <c r="V391" s="371"/>
      <c r="W391" s="371"/>
      <c r="X391" s="371"/>
      <c r="Y391" s="371"/>
      <c r="Z391" s="371"/>
    </row>
    <row r="392" ht="26.25" customHeight="1">
      <c r="A392" s="371"/>
      <c r="B392" s="1265"/>
      <c r="C392" s="371"/>
      <c r="D392" s="371"/>
      <c r="E392" s="371"/>
      <c r="F392" s="371"/>
      <c r="G392" s="371"/>
      <c r="H392" s="371"/>
      <c r="I392" s="371"/>
      <c r="J392" s="371"/>
      <c r="K392" s="371"/>
      <c r="L392" s="371"/>
      <c r="M392" s="371"/>
      <c r="N392" s="371"/>
      <c r="O392" s="371"/>
      <c r="P392" s="371"/>
      <c r="Q392" s="371"/>
      <c r="R392" s="371"/>
      <c r="S392" s="371"/>
      <c r="T392" s="371"/>
      <c r="U392" s="371"/>
      <c r="V392" s="371"/>
      <c r="W392" s="371"/>
      <c r="X392" s="371"/>
      <c r="Y392" s="371"/>
      <c r="Z392" s="371"/>
    </row>
    <row r="393" ht="26.25" customHeight="1">
      <c r="A393" s="371"/>
      <c r="B393" s="1265"/>
      <c r="C393" s="371"/>
      <c r="D393" s="371"/>
      <c r="E393" s="371"/>
      <c r="F393" s="371"/>
      <c r="G393" s="371"/>
      <c r="H393" s="371"/>
      <c r="I393" s="371"/>
      <c r="J393" s="371"/>
      <c r="K393" s="371"/>
      <c r="L393" s="371"/>
      <c r="M393" s="371"/>
      <c r="N393" s="371"/>
      <c r="O393" s="371"/>
      <c r="P393" s="371"/>
      <c r="Q393" s="371"/>
      <c r="R393" s="371"/>
      <c r="S393" s="371"/>
      <c r="T393" s="371"/>
      <c r="U393" s="371"/>
      <c r="V393" s="371"/>
      <c r="W393" s="371"/>
      <c r="X393" s="371"/>
      <c r="Y393" s="371"/>
      <c r="Z393" s="371"/>
    </row>
    <row r="394" ht="26.25" customHeight="1">
      <c r="A394" s="371"/>
      <c r="B394" s="1265"/>
      <c r="C394" s="371"/>
      <c r="D394" s="371"/>
      <c r="E394" s="371"/>
      <c r="F394" s="371"/>
      <c r="G394" s="371"/>
      <c r="H394" s="371"/>
      <c r="I394" s="371"/>
      <c r="J394" s="371"/>
      <c r="K394" s="371"/>
      <c r="L394" s="371"/>
      <c r="M394" s="371"/>
      <c r="N394" s="371"/>
      <c r="O394" s="371"/>
      <c r="P394" s="371"/>
      <c r="Q394" s="371"/>
      <c r="R394" s="371"/>
      <c r="S394" s="371"/>
      <c r="T394" s="371"/>
      <c r="U394" s="371"/>
      <c r="V394" s="371"/>
      <c r="W394" s="371"/>
      <c r="X394" s="371"/>
      <c r="Y394" s="371"/>
      <c r="Z394" s="371"/>
    </row>
    <row r="395" ht="26.25" customHeight="1">
      <c r="A395" s="371"/>
      <c r="B395" s="1265"/>
      <c r="C395" s="371"/>
      <c r="D395" s="371"/>
      <c r="E395" s="371"/>
      <c r="F395" s="371"/>
      <c r="G395" s="371"/>
      <c r="H395" s="371"/>
      <c r="I395" s="371"/>
      <c r="J395" s="371"/>
      <c r="K395" s="371"/>
      <c r="L395" s="371"/>
      <c r="M395" s="371"/>
      <c r="N395" s="371"/>
      <c r="O395" s="371"/>
      <c r="P395" s="371"/>
      <c r="Q395" s="371"/>
      <c r="R395" s="371"/>
      <c r="S395" s="371"/>
      <c r="T395" s="371"/>
      <c r="U395" s="371"/>
      <c r="V395" s="371"/>
      <c r="W395" s="371"/>
      <c r="X395" s="371"/>
      <c r="Y395" s="371"/>
      <c r="Z395" s="371"/>
    </row>
    <row r="396" ht="26.25" customHeight="1">
      <c r="A396" s="371"/>
      <c r="B396" s="1265"/>
      <c r="C396" s="371"/>
      <c r="D396" s="371"/>
      <c r="E396" s="371"/>
      <c r="F396" s="371"/>
      <c r="G396" s="371"/>
      <c r="H396" s="371"/>
      <c r="I396" s="371"/>
      <c r="J396" s="371"/>
      <c r="K396" s="371"/>
      <c r="L396" s="371"/>
      <c r="M396" s="371"/>
      <c r="N396" s="371"/>
      <c r="O396" s="371"/>
      <c r="P396" s="371"/>
      <c r="Q396" s="371"/>
      <c r="R396" s="371"/>
      <c r="S396" s="371"/>
      <c r="T396" s="371"/>
      <c r="U396" s="371"/>
      <c r="V396" s="371"/>
      <c r="W396" s="371"/>
      <c r="X396" s="371"/>
      <c r="Y396" s="371"/>
      <c r="Z396" s="371"/>
    </row>
    <row r="397" ht="26.25" customHeight="1">
      <c r="A397" s="371"/>
      <c r="B397" s="1265"/>
      <c r="C397" s="371"/>
      <c r="D397" s="371"/>
      <c r="E397" s="371"/>
      <c r="F397" s="371"/>
      <c r="G397" s="371"/>
      <c r="H397" s="371"/>
      <c r="I397" s="371"/>
      <c r="J397" s="371"/>
      <c r="K397" s="371"/>
      <c r="L397" s="371"/>
      <c r="M397" s="371"/>
      <c r="N397" s="371"/>
      <c r="O397" s="371"/>
      <c r="P397" s="371"/>
      <c r="Q397" s="371"/>
      <c r="R397" s="371"/>
      <c r="S397" s="371"/>
      <c r="T397" s="371"/>
      <c r="U397" s="371"/>
      <c r="V397" s="371"/>
      <c r="W397" s="371"/>
      <c r="X397" s="371"/>
      <c r="Y397" s="371"/>
      <c r="Z397" s="371"/>
    </row>
    <row r="398" ht="26.25" customHeight="1">
      <c r="A398" s="371"/>
      <c r="B398" s="1265"/>
      <c r="C398" s="371"/>
      <c r="D398" s="371"/>
      <c r="E398" s="371"/>
      <c r="F398" s="371"/>
      <c r="G398" s="371"/>
      <c r="H398" s="371"/>
      <c r="I398" s="371"/>
      <c r="J398" s="371"/>
      <c r="K398" s="371"/>
      <c r="L398" s="371"/>
      <c r="M398" s="371"/>
      <c r="N398" s="371"/>
      <c r="O398" s="371"/>
      <c r="P398" s="371"/>
      <c r="Q398" s="371"/>
      <c r="R398" s="371"/>
      <c r="S398" s="371"/>
      <c r="T398" s="371"/>
      <c r="U398" s="371"/>
      <c r="V398" s="371"/>
      <c r="W398" s="371"/>
      <c r="X398" s="371"/>
      <c r="Y398" s="371"/>
      <c r="Z398" s="371"/>
    </row>
    <row r="399" ht="26.25" customHeight="1">
      <c r="A399" s="371"/>
      <c r="B399" s="1265"/>
      <c r="C399" s="371"/>
      <c r="D399" s="371"/>
      <c r="E399" s="371"/>
      <c r="F399" s="371"/>
      <c r="G399" s="371"/>
      <c r="H399" s="371"/>
      <c r="I399" s="371"/>
      <c r="J399" s="371"/>
      <c r="K399" s="371"/>
      <c r="L399" s="371"/>
      <c r="M399" s="371"/>
      <c r="N399" s="371"/>
      <c r="O399" s="371"/>
      <c r="P399" s="371"/>
      <c r="Q399" s="371"/>
      <c r="R399" s="371"/>
      <c r="S399" s="371"/>
      <c r="T399" s="371"/>
      <c r="U399" s="371"/>
      <c r="V399" s="371"/>
      <c r="W399" s="371"/>
      <c r="X399" s="371"/>
      <c r="Y399" s="371"/>
      <c r="Z399" s="371"/>
    </row>
    <row r="400" ht="26.25" customHeight="1">
      <c r="A400" s="371"/>
      <c r="B400" s="1265"/>
      <c r="C400" s="371"/>
      <c r="D400" s="371"/>
      <c r="E400" s="371"/>
      <c r="F400" s="371"/>
      <c r="G400" s="371"/>
      <c r="H400" s="371"/>
      <c r="I400" s="371"/>
      <c r="J400" s="371"/>
      <c r="K400" s="371"/>
      <c r="L400" s="371"/>
      <c r="M400" s="371"/>
      <c r="N400" s="371"/>
      <c r="O400" s="371"/>
      <c r="P400" s="371"/>
      <c r="Q400" s="371"/>
      <c r="R400" s="371"/>
      <c r="S400" s="371"/>
      <c r="T400" s="371"/>
      <c r="U400" s="371"/>
      <c r="V400" s="371"/>
      <c r="W400" s="371"/>
      <c r="X400" s="371"/>
      <c r="Y400" s="371"/>
      <c r="Z400" s="371"/>
    </row>
    <row r="401" ht="26.25" customHeight="1">
      <c r="A401" s="371"/>
      <c r="B401" s="1265"/>
      <c r="C401" s="371"/>
      <c r="D401" s="371"/>
      <c r="E401" s="371"/>
      <c r="F401" s="371"/>
      <c r="G401" s="371"/>
      <c r="H401" s="371"/>
      <c r="I401" s="371"/>
      <c r="J401" s="371"/>
      <c r="K401" s="371"/>
      <c r="L401" s="371"/>
      <c r="M401" s="371"/>
      <c r="N401" s="371"/>
      <c r="O401" s="371"/>
      <c r="P401" s="371"/>
      <c r="Q401" s="371"/>
      <c r="R401" s="371"/>
      <c r="S401" s="371"/>
      <c r="T401" s="371"/>
      <c r="U401" s="371"/>
      <c r="V401" s="371"/>
      <c r="W401" s="371"/>
      <c r="X401" s="371"/>
      <c r="Y401" s="371"/>
      <c r="Z401" s="371"/>
    </row>
    <row r="402" ht="26.25" customHeight="1">
      <c r="A402" s="371"/>
      <c r="B402" s="1265"/>
      <c r="C402" s="371"/>
      <c r="D402" s="371"/>
      <c r="E402" s="371"/>
      <c r="F402" s="371"/>
      <c r="G402" s="371"/>
      <c r="H402" s="371"/>
      <c r="I402" s="371"/>
      <c r="J402" s="371"/>
      <c r="K402" s="371"/>
      <c r="L402" s="371"/>
      <c r="M402" s="371"/>
      <c r="N402" s="371"/>
      <c r="O402" s="371"/>
      <c r="P402" s="371"/>
      <c r="Q402" s="371"/>
      <c r="R402" s="371"/>
      <c r="S402" s="371"/>
      <c r="T402" s="371"/>
      <c r="U402" s="371"/>
      <c r="V402" s="371"/>
      <c r="W402" s="371"/>
      <c r="X402" s="371"/>
      <c r="Y402" s="371"/>
      <c r="Z402" s="371"/>
    </row>
    <row r="403" ht="26.25" customHeight="1">
      <c r="A403" s="371"/>
      <c r="B403" s="1265"/>
      <c r="C403" s="371"/>
      <c r="D403" s="371"/>
      <c r="E403" s="371"/>
      <c r="F403" s="371"/>
      <c r="G403" s="371"/>
      <c r="H403" s="371"/>
      <c r="I403" s="371"/>
      <c r="J403" s="371"/>
      <c r="K403" s="371"/>
      <c r="L403" s="371"/>
      <c r="M403" s="371"/>
      <c r="N403" s="371"/>
      <c r="O403" s="371"/>
      <c r="P403" s="371"/>
      <c r="Q403" s="371"/>
      <c r="R403" s="371"/>
      <c r="S403" s="371"/>
      <c r="T403" s="371"/>
      <c r="U403" s="371"/>
      <c r="V403" s="371"/>
      <c r="W403" s="371"/>
      <c r="X403" s="371"/>
      <c r="Y403" s="371"/>
      <c r="Z403" s="371"/>
    </row>
    <row r="404" ht="26.25" customHeight="1">
      <c r="A404" s="371"/>
      <c r="B404" s="1265"/>
      <c r="C404" s="371"/>
      <c r="D404" s="371"/>
      <c r="E404" s="371"/>
      <c r="F404" s="371"/>
      <c r="G404" s="371"/>
      <c r="H404" s="371"/>
      <c r="I404" s="371"/>
      <c r="J404" s="371"/>
      <c r="K404" s="371"/>
      <c r="L404" s="371"/>
      <c r="M404" s="371"/>
      <c r="N404" s="371"/>
      <c r="O404" s="371"/>
      <c r="P404" s="371"/>
      <c r="Q404" s="371"/>
      <c r="R404" s="371"/>
      <c r="S404" s="371"/>
      <c r="T404" s="371"/>
      <c r="U404" s="371"/>
      <c r="V404" s="371"/>
      <c r="W404" s="371"/>
      <c r="X404" s="371"/>
      <c r="Y404" s="371"/>
      <c r="Z404" s="371"/>
    </row>
    <row r="405" ht="26.25" customHeight="1">
      <c r="A405" s="371"/>
      <c r="B405" s="1265"/>
      <c r="C405" s="371"/>
      <c r="D405" s="371"/>
      <c r="E405" s="371"/>
      <c r="F405" s="371"/>
      <c r="G405" s="371"/>
      <c r="H405" s="371"/>
      <c r="I405" s="371"/>
      <c r="J405" s="371"/>
      <c r="K405" s="371"/>
      <c r="L405" s="371"/>
      <c r="M405" s="371"/>
      <c r="N405" s="371"/>
      <c r="O405" s="371"/>
      <c r="P405" s="371"/>
      <c r="Q405" s="371"/>
      <c r="R405" s="371"/>
      <c r="S405" s="371"/>
      <c r="T405" s="371"/>
      <c r="U405" s="371"/>
      <c r="V405" s="371"/>
      <c r="W405" s="371"/>
      <c r="X405" s="371"/>
      <c r="Y405" s="371"/>
      <c r="Z405" s="371"/>
    </row>
    <row r="406" ht="26.25" customHeight="1">
      <c r="A406" s="371"/>
      <c r="B406" s="1265"/>
      <c r="C406" s="371"/>
      <c r="D406" s="371"/>
      <c r="E406" s="371"/>
      <c r="F406" s="371"/>
      <c r="G406" s="371"/>
      <c r="H406" s="371"/>
      <c r="I406" s="371"/>
      <c r="J406" s="371"/>
      <c r="K406" s="371"/>
      <c r="L406" s="371"/>
      <c r="M406" s="371"/>
      <c r="N406" s="371"/>
      <c r="O406" s="371"/>
      <c r="P406" s="371"/>
      <c r="Q406" s="371"/>
      <c r="R406" s="371"/>
      <c r="S406" s="371"/>
      <c r="T406" s="371"/>
      <c r="U406" s="371"/>
      <c r="V406" s="371"/>
      <c r="W406" s="371"/>
      <c r="X406" s="371"/>
      <c r="Y406" s="371"/>
      <c r="Z406" s="371"/>
    </row>
    <row r="407" ht="26.25" customHeight="1">
      <c r="A407" s="371"/>
      <c r="B407" s="1265"/>
      <c r="C407" s="371"/>
      <c r="D407" s="371"/>
      <c r="E407" s="371"/>
      <c r="F407" s="371"/>
      <c r="G407" s="371"/>
      <c r="H407" s="371"/>
      <c r="I407" s="371"/>
      <c r="J407" s="371"/>
      <c r="K407" s="371"/>
      <c r="L407" s="371"/>
      <c r="M407" s="371"/>
      <c r="N407" s="371"/>
      <c r="O407" s="371"/>
      <c r="P407" s="371"/>
      <c r="Q407" s="371"/>
      <c r="R407" s="371"/>
      <c r="S407" s="371"/>
      <c r="T407" s="371"/>
      <c r="U407" s="371"/>
      <c r="V407" s="371"/>
      <c r="W407" s="371"/>
      <c r="X407" s="371"/>
      <c r="Y407" s="371"/>
      <c r="Z407" s="371"/>
    </row>
    <row r="408" ht="26.25" customHeight="1">
      <c r="A408" s="371"/>
      <c r="B408" s="1265"/>
      <c r="C408" s="371"/>
      <c r="D408" s="371"/>
      <c r="E408" s="371"/>
      <c r="F408" s="371"/>
      <c r="G408" s="371"/>
      <c r="H408" s="371"/>
      <c r="I408" s="371"/>
      <c r="J408" s="371"/>
      <c r="K408" s="371"/>
      <c r="L408" s="371"/>
      <c r="M408" s="371"/>
      <c r="N408" s="371"/>
      <c r="O408" s="371"/>
      <c r="P408" s="371"/>
      <c r="Q408" s="371"/>
      <c r="R408" s="371"/>
      <c r="S408" s="371"/>
      <c r="T408" s="371"/>
      <c r="U408" s="371"/>
      <c r="V408" s="371"/>
      <c r="W408" s="371"/>
      <c r="X408" s="371"/>
      <c r="Y408" s="371"/>
      <c r="Z408" s="371"/>
    </row>
    <row r="409" ht="26.25" customHeight="1">
      <c r="A409" s="371"/>
      <c r="B409" s="1265"/>
      <c r="C409" s="371"/>
      <c r="D409" s="371"/>
      <c r="E409" s="371"/>
      <c r="F409" s="371"/>
      <c r="G409" s="371"/>
      <c r="H409" s="371"/>
      <c r="I409" s="371"/>
      <c r="J409" s="371"/>
      <c r="K409" s="371"/>
      <c r="L409" s="371"/>
      <c r="M409" s="371"/>
      <c r="N409" s="371"/>
      <c r="O409" s="371"/>
      <c r="P409" s="371"/>
      <c r="Q409" s="371"/>
      <c r="R409" s="371"/>
      <c r="S409" s="371"/>
      <c r="T409" s="371"/>
      <c r="U409" s="371"/>
      <c r="V409" s="371"/>
      <c r="W409" s="371"/>
      <c r="X409" s="371"/>
      <c r="Y409" s="371"/>
      <c r="Z409" s="371"/>
    </row>
    <row r="410" ht="26.25" customHeight="1">
      <c r="A410" s="371"/>
      <c r="B410" s="1265"/>
      <c r="C410" s="371"/>
      <c r="D410" s="371"/>
      <c r="E410" s="371"/>
      <c r="F410" s="371"/>
      <c r="G410" s="371"/>
      <c r="H410" s="371"/>
      <c r="I410" s="371"/>
      <c r="J410" s="371"/>
      <c r="K410" s="371"/>
      <c r="L410" s="371"/>
      <c r="M410" s="371"/>
      <c r="N410" s="371"/>
      <c r="O410" s="371"/>
      <c r="P410" s="371"/>
      <c r="Q410" s="371"/>
      <c r="R410" s="371"/>
      <c r="S410" s="371"/>
      <c r="T410" s="371"/>
      <c r="U410" s="371"/>
      <c r="V410" s="371"/>
      <c r="W410" s="371"/>
      <c r="X410" s="371"/>
      <c r="Y410" s="371"/>
      <c r="Z410" s="371"/>
    </row>
    <row r="411" ht="26.25" customHeight="1">
      <c r="A411" s="371"/>
      <c r="B411" s="1265"/>
      <c r="C411" s="371"/>
      <c r="D411" s="371"/>
      <c r="E411" s="371"/>
      <c r="F411" s="371"/>
      <c r="G411" s="371"/>
      <c r="H411" s="371"/>
      <c r="I411" s="371"/>
      <c r="J411" s="371"/>
      <c r="K411" s="371"/>
      <c r="L411" s="371"/>
      <c r="M411" s="371"/>
      <c r="N411" s="371"/>
      <c r="O411" s="371"/>
      <c r="P411" s="371"/>
      <c r="Q411" s="371"/>
      <c r="R411" s="371"/>
      <c r="S411" s="371"/>
      <c r="T411" s="371"/>
      <c r="U411" s="371"/>
      <c r="V411" s="371"/>
      <c r="W411" s="371"/>
      <c r="X411" s="371"/>
      <c r="Y411" s="371"/>
      <c r="Z411" s="371"/>
    </row>
    <row r="412" ht="26.25" customHeight="1">
      <c r="A412" s="371"/>
      <c r="B412" s="1265"/>
      <c r="C412" s="371"/>
      <c r="D412" s="371"/>
      <c r="E412" s="371"/>
      <c r="F412" s="371"/>
      <c r="G412" s="371"/>
      <c r="H412" s="371"/>
      <c r="I412" s="371"/>
      <c r="J412" s="371"/>
      <c r="K412" s="371"/>
      <c r="L412" s="371"/>
      <c r="M412" s="371"/>
      <c r="N412" s="371"/>
      <c r="O412" s="371"/>
      <c r="P412" s="371"/>
      <c r="Q412" s="371"/>
      <c r="R412" s="371"/>
      <c r="S412" s="371"/>
      <c r="T412" s="371"/>
      <c r="U412" s="371"/>
      <c r="V412" s="371"/>
      <c r="W412" s="371"/>
      <c r="X412" s="371"/>
      <c r="Y412" s="371"/>
      <c r="Z412" s="371"/>
    </row>
    <row r="413" ht="26.25" customHeight="1">
      <c r="A413" s="371"/>
      <c r="B413" s="1265"/>
      <c r="C413" s="371"/>
      <c r="D413" s="371"/>
      <c r="E413" s="371"/>
      <c r="F413" s="371"/>
      <c r="G413" s="371"/>
      <c r="H413" s="371"/>
      <c r="I413" s="371"/>
      <c r="J413" s="371"/>
      <c r="K413" s="371"/>
      <c r="L413" s="371"/>
      <c r="M413" s="371"/>
      <c r="N413" s="371"/>
      <c r="O413" s="371"/>
      <c r="P413" s="371"/>
      <c r="Q413" s="371"/>
      <c r="R413" s="371"/>
      <c r="S413" s="371"/>
      <c r="T413" s="371"/>
      <c r="U413" s="371"/>
      <c r="V413" s="371"/>
      <c r="W413" s="371"/>
      <c r="X413" s="371"/>
      <c r="Y413" s="371"/>
      <c r="Z413" s="371"/>
    </row>
    <row r="414" ht="26.25" customHeight="1">
      <c r="A414" s="371"/>
      <c r="B414" s="1265"/>
      <c r="C414" s="371"/>
      <c r="D414" s="371"/>
      <c r="E414" s="371"/>
      <c r="F414" s="371"/>
      <c r="G414" s="371"/>
      <c r="H414" s="371"/>
      <c r="I414" s="371"/>
      <c r="J414" s="371"/>
      <c r="K414" s="371"/>
      <c r="L414" s="371"/>
      <c r="M414" s="371"/>
      <c r="N414" s="371"/>
      <c r="O414" s="371"/>
      <c r="P414" s="371"/>
      <c r="Q414" s="371"/>
      <c r="R414" s="371"/>
      <c r="S414" s="371"/>
      <c r="T414" s="371"/>
      <c r="U414" s="371"/>
      <c r="V414" s="371"/>
      <c r="W414" s="371"/>
      <c r="X414" s="371"/>
      <c r="Y414" s="371"/>
      <c r="Z414" s="371"/>
    </row>
    <row r="415" ht="26.25" customHeight="1">
      <c r="A415" s="371"/>
      <c r="B415" s="1265"/>
      <c r="C415" s="371"/>
      <c r="D415" s="371"/>
      <c r="E415" s="371"/>
      <c r="F415" s="371"/>
      <c r="G415" s="371"/>
      <c r="H415" s="371"/>
      <c r="I415" s="371"/>
      <c r="J415" s="371"/>
      <c r="K415" s="371"/>
      <c r="L415" s="371"/>
      <c r="M415" s="371"/>
      <c r="N415" s="371"/>
      <c r="O415" s="371"/>
      <c r="P415" s="371"/>
      <c r="Q415" s="371"/>
      <c r="R415" s="371"/>
      <c r="S415" s="371"/>
      <c r="T415" s="371"/>
      <c r="U415" s="371"/>
      <c r="V415" s="371"/>
      <c r="W415" s="371"/>
      <c r="X415" s="371"/>
      <c r="Y415" s="371"/>
      <c r="Z415" s="371"/>
    </row>
    <row r="416" ht="26.25" customHeight="1">
      <c r="A416" s="371"/>
      <c r="B416" s="1265"/>
      <c r="C416" s="371"/>
      <c r="D416" s="371"/>
      <c r="E416" s="371"/>
      <c r="F416" s="371"/>
      <c r="G416" s="371"/>
      <c r="H416" s="371"/>
      <c r="I416" s="371"/>
      <c r="J416" s="371"/>
      <c r="K416" s="371"/>
      <c r="L416" s="371"/>
      <c r="M416" s="371"/>
      <c r="N416" s="371"/>
      <c r="O416" s="371"/>
      <c r="P416" s="371"/>
      <c r="Q416" s="371"/>
      <c r="R416" s="371"/>
      <c r="S416" s="371"/>
      <c r="T416" s="371"/>
      <c r="U416" s="371"/>
      <c r="V416" s="371"/>
      <c r="W416" s="371"/>
      <c r="X416" s="371"/>
      <c r="Y416" s="371"/>
      <c r="Z416" s="371"/>
    </row>
    <row r="417" ht="26.25" customHeight="1">
      <c r="A417" s="371"/>
      <c r="B417" s="1265"/>
      <c r="C417" s="371"/>
      <c r="D417" s="371"/>
      <c r="E417" s="371"/>
      <c r="F417" s="371"/>
      <c r="G417" s="371"/>
      <c r="H417" s="371"/>
      <c r="I417" s="371"/>
      <c r="J417" s="371"/>
      <c r="K417" s="371"/>
      <c r="L417" s="371"/>
      <c r="M417" s="371"/>
      <c r="N417" s="371"/>
      <c r="O417" s="371"/>
      <c r="P417" s="371"/>
      <c r="Q417" s="371"/>
      <c r="R417" s="371"/>
      <c r="S417" s="371"/>
      <c r="T417" s="371"/>
      <c r="U417" s="371"/>
      <c r="V417" s="371"/>
      <c r="W417" s="371"/>
      <c r="X417" s="371"/>
      <c r="Y417" s="371"/>
      <c r="Z417" s="371"/>
    </row>
    <row r="418" ht="26.25" customHeight="1">
      <c r="A418" s="371"/>
      <c r="B418" s="1265"/>
      <c r="C418" s="371"/>
      <c r="D418" s="371"/>
      <c r="E418" s="371"/>
      <c r="F418" s="371"/>
      <c r="G418" s="371"/>
      <c r="H418" s="371"/>
      <c r="I418" s="371"/>
      <c r="J418" s="371"/>
      <c r="K418" s="371"/>
      <c r="L418" s="371"/>
      <c r="M418" s="371"/>
      <c r="N418" s="371"/>
      <c r="O418" s="371"/>
      <c r="P418" s="371"/>
      <c r="Q418" s="371"/>
      <c r="R418" s="371"/>
      <c r="S418" s="371"/>
      <c r="T418" s="371"/>
      <c r="U418" s="371"/>
      <c r="V418" s="371"/>
      <c r="W418" s="371"/>
      <c r="X418" s="371"/>
      <c r="Y418" s="371"/>
      <c r="Z418" s="371"/>
    </row>
    <row r="419" ht="26.25" customHeight="1">
      <c r="A419" s="371"/>
      <c r="B419" s="1265"/>
      <c r="C419" s="371"/>
      <c r="D419" s="371"/>
      <c r="E419" s="371"/>
      <c r="F419" s="371"/>
      <c r="G419" s="371"/>
      <c r="H419" s="371"/>
      <c r="I419" s="371"/>
      <c r="J419" s="371"/>
      <c r="K419" s="371"/>
      <c r="L419" s="371"/>
      <c r="M419" s="371"/>
      <c r="N419" s="371"/>
      <c r="O419" s="371"/>
      <c r="P419" s="371"/>
      <c r="Q419" s="371"/>
      <c r="R419" s="371"/>
      <c r="S419" s="371"/>
      <c r="T419" s="371"/>
      <c r="U419" s="371"/>
      <c r="V419" s="371"/>
      <c r="W419" s="371"/>
      <c r="X419" s="371"/>
      <c r="Y419" s="371"/>
      <c r="Z419" s="371"/>
    </row>
    <row r="420" ht="26.25" customHeight="1">
      <c r="A420" s="371"/>
      <c r="B420" s="1265"/>
      <c r="C420" s="371"/>
      <c r="D420" s="371"/>
      <c r="E420" s="371"/>
      <c r="F420" s="371"/>
      <c r="G420" s="371"/>
      <c r="H420" s="371"/>
      <c r="I420" s="371"/>
      <c r="J420" s="371"/>
      <c r="K420" s="371"/>
      <c r="L420" s="371"/>
      <c r="M420" s="371"/>
      <c r="N420" s="371"/>
      <c r="O420" s="371"/>
      <c r="P420" s="371"/>
      <c r="Q420" s="371"/>
      <c r="R420" s="371"/>
      <c r="S420" s="371"/>
      <c r="T420" s="371"/>
      <c r="U420" s="371"/>
      <c r="V420" s="371"/>
      <c r="W420" s="371"/>
      <c r="X420" s="371"/>
      <c r="Y420" s="371"/>
      <c r="Z420" s="371"/>
    </row>
    <row r="421" ht="26.25" customHeight="1">
      <c r="A421" s="371"/>
      <c r="B421" s="1265"/>
      <c r="C421" s="371"/>
      <c r="D421" s="371"/>
      <c r="E421" s="371"/>
      <c r="F421" s="371"/>
      <c r="G421" s="371"/>
      <c r="H421" s="371"/>
      <c r="I421" s="371"/>
      <c r="J421" s="371"/>
      <c r="K421" s="371"/>
      <c r="L421" s="371"/>
      <c r="M421" s="371"/>
      <c r="N421" s="371"/>
      <c r="O421" s="371"/>
      <c r="P421" s="371"/>
      <c r="Q421" s="371"/>
      <c r="R421" s="371"/>
      <c r="S421" s="371"/>
      <c r="T421" s="371"/>
      <c r="U421" s="371"/>
      <c r="V421" s="371"/>
      <c r="W421" s="371"/>
      <c r="X421" s="371"/>
      <c r="Y421" s="371"/>
      <c r="Z421" s="371"/>
    </row>
    <row r="422" ht="26.25" customHeight="1">
      <c r="A422" s="371"/>
      <c r="B422" s="1265"/>
      <c r="C422" s="371"/>
      <c r="D422" s="371"/>
      <c r="E422" s="371"/>
      <c r="F422" s="371"/>
      <c r="G422" s="371"/>
      <c r="H422" s="371"/>
      <c r="I422" s="371"/>
      <c r="J422" s="371"/>
      <c r="K422" s="371"/>
      <c r="L422" s="371"/>
      <c r="M422" s="371"/>
      <c r="N422" s="371"/>
      <c r="O422" s="371"/>
      <c r="P422" s="371"/>
      <c r="Q422" s="371"/>
      <c r="R422" s="371"/>
      <c r="S422" s="371"/>
      <c r="T422" s="371"/>
      <c r="U422" s="371"/>
      <c r="V422" s="371"/>
      <c r="W422" s="371"/>
      <c r="X422" s="371"/>
      <c r="Y422" s="371"/>
      <c r="Z422" s="371"/>
    </row>
    <row r="423" ht="26.25" customHeight="1">
      <c r="A423" s="371"/>
      <c r="B423" s="1265"/>
      <c r="C423" s="371"/>
      <c r="D423" s="371"/>
      <c r="E423" s="371"/>
      <c r="F423" s="371"/>
      <c r="G423" s="371"/>
      <c r="H423" s="371"/>
      <c r="I423" s="371"/>
      <c r="J423" s="371"/>
      <c r="K423" s="371"/>
      <c r="L423" s="371"/>
      <c r="M423" s="371"/>
      <c r="N423" s="371"/>
      <c r="O423" s="371"/>
      <c r="P423" s="371"/>
      <c r="Q423" s="371"/>
      <c r="R423" s="371"/>
      <c r="S423" s="371"/>
      <c r="T423" s="371"/>
      <c r="U423" s="371"/>
      <c r="V423" s="371"/>
      <c r="W423" s="371"/>
      <c r="X423" s="371"/>
      <c r="Y423" s="371"/>
      <c r="Z423" s="371"/>
    </row>
    <row r="424" ht="26.25" customHeight="1">
      <c r="A424" s="371"/>
      <c r="B424" s="1265"/>
      <c r="C424" s="371"/>
      <c r="D424" s="371"/>
      <c r="E424" s="371"/>
      <c r="F424" s="371"/>
      <c r="G424" s="371"/>
      <c r="H424" s="371"/>
      <c r="I424" s="371"/>
      <c r="J424" s="371"/>
      <c r="K424" s="371"/>
      <c r="L424" s="371"/>
      <c r="M424" s="371"/>
      <c r="N424" s="371"/>
      <c r="O424" s="371"/>
      <c r="P424" s="371"/>
      <c r="Q424" s="371"/>
      <c r="R424" s="371"/>
      <c r="S424" s="371"/>
      <c r="T424" s="371"/>
      <c r="U424" s="371"/>
      <c r="V424" s="371"/>
      <c r="W424" s="371"/>
      <c r="X424" s="371"/>
      <c r="Y424" s="371"/>
      <c r="Z424" s="371"/>
    </row>
    <row r="425" ht="26.25" customHeight="1">
      <c r="A425" s="371"/>
      <c r="B425" s="1265"/>
      <c r="C425" s="371"/>
      <c r="D425" s="371"/>
      <c r="E425" s="371"/>
      <c r="F425" s="371"/>
      <c r="G425" s="371"/>
      <c r="H425" s="371"/>
      <c r="I425" s="371"/>
      <c r="J425" s="371"/>
      <c r="K425" s="371"/>
      <c r="L425" s="371"/>
      <c r="M425" s="371"/>
      <c r="N425" s="371"/>
      <c r="O425" s="371"/>
      <c r="P425" s="371"/>
      <c r="Q425" s="371"/>
      <c r="R425" s="371"/>
      <c r="S425" s="371"/>
      <c r="T425" s="371"/>
      <c r="U425" s="371"/>
      <c r="V425" s="371"/>
      <c r="W425" s="371"/>
      <c r="X425" s="371"/>
      <c r="Y425" s="371"/>
      <c r="Z425" s="371"/>
    </row>
    <row r="426" ht="26.25" customHeight="1">
      <c r="A426" s="371"/>
      <c r="B426" s="1265"/>
      <c r="C426" s="371"/>
      <c r="D426" s="371"/>
      <c r="E426" s="371"/>
      <c r="F426" s="371"/>
      <c r="G426" s="371"/>
      <c r="H426" s="371"/>
      <c r="I426" s="371"/>
      <c r="J426" s="371"/>
      <c r="K426" s="371"/>
      <c r="L426" s="371"/>
      <c r="M426" s="371"/>
      <c r="N426" s="371"/>
      <c r="O426" s="371"/>
      <c r="P426" s="371"/>
      <c r="Q426" s="371"/>
      <c r="R426" s="371"/>
      <c r="S426" s="371"/>
      <c r="T426" s="371"/>
      <c r="U426" s="371"/>
      <c r="V426" s="371"/>
      <c r="W426" s="371"/>
      <c r="X426" s="371"/>
      <c r="Y426" s="371"/>
      <c r="Z426" s="371"/>
    </row>
    <row r="427" ht="26.25" customHeight="1">
      <c r="A427" s="371"/>
      <c r="B427" s="1265"/>
      <c r="C427" s="371"/>
      <c r="D427" s="371"/>
      <c r="E427" s="371"/>
      <c r="F427" s="371"/>
      <c r="G427" s="371"/>
      <c r="H427" s="371"/>
      <c r="I427" s="371"/>
      <c r="J427" s="371"/>
      <c r="K427" s="371"/>
      <c r="L427" s="371"/>
      <c r="M427" s="371"/>
      <c r="N427" s="371"/>
      <c r="O427" s="371"/>
      <c r="P427" s="371"/>
      <c r="Q427" s="371"/>
      <c r="R427" s="371"/>
      <c r="S427" s="371"/>
      <c r="T427" s="371"/>
      <c r="U427" s="371"/>
      <c r="V427" s="371"/>
      <c r="W427" s="371"/>
      <c r="X427" s="371"/>
      <c r="Y427" s="371"/>
      <c r="Z427" s="371"/>
    </row>
    <row r="428" ht="26.25" customHeight="1">
      <c r="A428" s="371"/>
      <c r="B428" s="1265"/>
      <c r="C428" s="371"/>
      <c r="D428" s="371"/>
      <c r="E428" s="371"/>
      <c r="F428" s="371"/>
      <c r="G428" s="371"/>
      <c r="H428" s="371"/>
      <c r="I428" s="371"/>
      <c r="J428" s="371"/>
      <c r="K428" s="371"/>
      <c r="L428" s="371"/>
      <c r="M428" s="371"/>
      <c r="N428" s="371"/>
      <c r="O428" s="371"/>
      <c r="P428" s="371"/>
      <c r="Q428" s="371"/>
      <c r="R428" s="371"/>
      <c r="S428" s="371"/>
      <c r="T428" s="371"/>
      <c r="U428" s="371"/>
      <c r="V428" s="371"/>
      <c r="W428" s="371"/>
      <c r="X428" s="371"/>
      <c r="Y428" s="371"/>
      <c r="Z428" s="371"/>
    </row>
    <row r="429" ht="26.25" customHeight="1">
      <c r="A429" s="371"/>
      <c r="B429" s="1265"/>
      <c r="C429" s="371"/>
      <c r="D429" s="371"/>
      <c r="E429" s="371"/>
      <c r="F429" s="371"/>
      <c r="G429" s="371"/>
      <c r="H429" s="371"/>
      <c r="I429" s="371"/>
      <c r="J429" s="371"/>
      <c r="K429" s="371"/>
      <c r="L429" s="371"/>
      <c r="M429" s="371"/>
      <c r="N429" s="371"/>
      <c r="O429" s="371"/>
      <c r="P429" s="371"/>
      <c r="Q429" s="371"/>
      <c r="R429" s="371"/>
      <c r="S429" s="371"/>
      <c r="T429" s="371"/>
      <c r="U429" s="371"/>
      <c r="V429" s="371"/>
      <c r="W429" s="371"/>
      <c r="X429" s="371"/>
      <c r="Y429" s="371"/>
      <c r="Z429" s="371"/>
    </row>
    <row r="430" ht="26.25" customHeight="1">
      <c r="A430" s="371"/>
      <c r="B430" s="1265"/>
      <c r="C430" s="371"/>
      <c r="D430" s="371"/>
      <c r="E430" s="371"/>
      <c r="F430" s="371"/>
      <c r="G430" s="371"/>
      <c r="H430" s="371"/>
      <c r="I430" s="371"/>
      <c r="J430" s="371"/>
      <c r="K430" s="371"/>
      <c r="L430" s="371"/>
      <c r="M430" s="371"/>
      <c r="N430" s="371"/>
      <c r="O430" s="371"/>
      <c r="P430" s="371"/>
      <c r="Q430" s="371"/>
      <c r="R430" s="371"/>
      <c r="S430" s="371"/>
      <c r="T430" s="371"/>
      <c r="U430" s="371"/>
      <c r="V430" s="371"/>
      <c r="W430" s="371"/>
      <c r="X430" s="371"/>
      <c r="Y430" s="371"/>
      <c r="Z430" s="371"/>
    </row>
    <row r="431" ht="26.25" customHeight="1">
      <c r="A431" s="371"/>
      <c r="B431" s="1265"/>
      <c r="C431" s="371"/>
      <c r="D431" s="371"/>
      <c r="E431" s="371"/>
      <c r="F431" s="371"/>
      <c r="G431" s="371"/>
      <c r="H431" s="371"/>
      <c r="I431" s="371"/>
      <c r="J431" s="371"/>
      <c r="K431" s="371"/>
      <c r="L431" s="371"/>
      <c r="M431" s="371"/>
      <c r="N431" s="371"/>
      <c r="O431" s="371"/>
      <c r="P431" s="371"/>
      <c r="Q431" s="371"/>
      <c r="R431" s="371"/>
      <c r="S431" s="371"/>
      <c r="T431" s="371"/>
      <c r="U431" s="371"/>
      <c r="V431" s="371"/>
      <c r="W431" s="371"/>
      <c r="X431" s="371"/>
      <c r="Y431" s="371"/>
      <c r="Z431" s="371"/>
    </row>
    <row r="432" ht="26.25" customHeight="1">
      <c r="A432" s="371"/>
      <c r="B432" s="1265"/>
      <c r="C432" s="371"/>
      <c r="D432" s="371"/>
      <c r="E432" s="371"/>
      <c r="F432" s="371"/>
      <c r="G432" s="371"/>
      <c r="H432" s="371"/>
      <c r="I432" s="371"/>
      <c r="J432" s="371"/>
      <c r="K432" s="371"/>
      <c r="L432" s="371"/>
      <c r="M432" s="371"/>
      <c r="N432" s="371"/>
      <c r="O432" s="371"/>
      <c r="P432" s="371"/>
      <c r="Q432" s="371"/>
      <c r="R432" s="371"/>
      <c r="S432" s="371"/>
      <c r="T432" s="371"/>
      <c r="U432" s="371"/>
      <c r="V432" s="371"/>
      <c r="W432" s="371"/>
      <c r="X432" s="371"/>
      <c r="Y432" s="371"/>
      <c r="Z432" s="371"/>
    </row>
    <row r="433" ht="26.25" customHeight="1">
      <c r="A433" s="371"/>
      <c r="B433" s="1265"/>
      <c r="C433" s="371"/>
      <c r="D433" s="371"/>
      <c r="E433" s="371"/>
      <c r="F433" s="371"/>
      <c r="G433" s="371"/>
      <c r="H433" s="371"/>
      <c r="I433" s="371"/>
      <c r="J433" s="371"/>
      <c r="K433" s="371"/>
      <c r="L433" s="371"/>
      <c r="M433" s="371"/>
      <c r="N433" s="371"/>
      <c r="O433" s="371"/>
      <c r="P433" s="371"/>
      <c r="Q433" s="371"/>
      <c r="R433" s="371"/>
      <c r="S433" s="371"/>
      <c r="T433" s="371"/>
      <c r="U433" s="371"/>
      <c r="V433" s="371"/>
      <c r="W433" s="371"/>
      <c r="X433" s="371"/>
      <c r="Y433" s="371"/>
      <c r="Z433" s="371"/>
    </row>
    <row r="434" ht="26.25" customHeight="1">
      <c r="A434" s="371"/>
      <c r="B434" s="1265"/>
      <c r="C434" s="371"/>
      <c r="D434" s="371"/>
      <c r="E434" s="371"/>
      <c r="F434" s="371"/>
      <c r="G434" s="371"/>
      <c r="H434" s="371"/>
      <c r="I434" s="371"/>
      <c r="J434" s="371"/>
      <c r="K434" s="371"/>
      <c r="L434" s="371"/>
      <c r="M434" s="371"/>
      <c r="N434" s="371"/>
      <c r="O434" s="371"/>
      <c r="P434" s="371"/>
      <c r="Q434" s="371"/>
      <c r="R434" s="371"/>
      <c r="S434" s="371"/>
      <c r="T434" s="371"/>
      <c r="U434" s="371"/>
      <c r="V434" s="371"/>
      <c r="W434" s="371"/>
      <c r="X434" s="371"/>
      <c r="Y434" s="371"/>
      <c r="Z434" s="371"/>
    </row>
    <row r="435" ht="26.25" customHeight="1">
      <c r="A435" s="371"/>
      <c r="B435" s="1265"/>
      <c r="C435" s="371"/>
      <c r="D435" s="371"/>
      <c r="E435" s="371"/>
      <c r="F435" s="371"/>
      <c r="G435" s="371"/>
      <c r="H435" s="371"/>
      <c r="I435" s="371"/>
      <c r="J435" s="371"/>
      <c r="K435" s="371"/>
      <c r="L435" s="371"/>
      <c r="M435" s="371"/>
      <c r="N435" s="371"/>
      <c r="O435" s="371"/>
      <c r="P435" s="371"/>
      <c r="Q435" s="371"/>
      <c r="R435" s="371"/>
      <c r="S435" s="371"/>
      <c r="T435" s="371"/>
      <c r="U435" s="371"/>
      <c r="V435" s="371"/>
      <c r="W435" s="371"/>
      <c r="X435" s="371"/>
      <c r="Y435" s="371"/>
      <c r="Z435" s="371"/>
    </row>
    <row r="436" ht="26.25" customHeight="1">
      <c r="A436" s="371"/>
      <c r="B436" s="1265"/>
      <c r="C436" s="371"/>
      <c r="D436" s="371"/>
      <c r="E436" s="371"/>
      <c r="F436" s="371"/>
      <c r="G436" s="371"/>
      <c r="H436" s="371"/>
      <c r="I436" s="371"/>
      <c r="J436" s="371"/>
      <c r="K436" s="371"/>
      <c r="L436" s="371"/>
      <c r="M436" s="371"/>
      <c r="N436" s="371"/>
      <c r="O436" s="371"/>
      <c r="P436" s="371"/>
      <c r="Q436" s="371"/>
      <c r="R436" s="371"/>
      <c r="S436" s="371"/>
      <c r="T436" s="371"/>
      <c r="U436" s="371"/>
      <c r="V436" s="371"/>
      <c r="W436" s="371"/>
      <c r="X436" s="371"/>
      <c r="Y436" s="371"/>
      <c r="Z436" s="371"/>
    </row>
    <row r="437" ht="26.25" customHeight="1">
      <c r="A437" s="371"/>
      <c r="B437" s="1265"/>
      <c r="C437" s="371"/>
      <c r="D437" s="371"/>
      <c r="E437" s="371"/>
      <c r="F437" s="371"/>
      <c r="G437" s="371"/>
      <c r="H437" s="371"/>
      <c r="I437" s="371"/>
      <c r="J437" s="371"/>
      <c r="K437" s="371"/>
      <c r="L437" s="371"/>
      <c r="M437" s="371"/>
      <c r="N437" s="371"/>
      <c r="O437" s="371"/>
      <c r="P437" s="371"/>
      <c r="Q437" s="371"/>
      <c r="R437" s="371"/>
      <c r="S437" s="371"/>
      <c r="T437" s="371"/>
      <c r="U437" s="371"/>
      <c r="V437" s="371"/>
      <c r="W437" s="371"/>
      <c r="X437" s="371"/>
      <c r="Y437" s="371"/>
      <c r="Z437" s="371"/>
    </row>
    <row r="438" ht="26.25" customHeight="1">
      <c r="A438" s="371"/>
      <c r="B438" s="1265"/>
      <c r="C438" s="371"/>
      <c r="D438" s="371"/>
      <c r="E438" s="371"/>
      <c r="F438" s="371"/>
      <c r="G438" s="371"/>
      <c r="H438" s="371"/>
      <c r="I438" s="371"/>
      <c r="J438" s="371"/>
      <c r="K438" s="371"/>
      <c r="L438" s="371"/>
      <c r="M438" s="371"/>
      <c r="N438" s="371"/>
      <c r="O438" s="371"/>
      <c r="P438" s="371"/>
      <c r="Q438" s="371"/>
      <c r="R438" s="371"/>
      <c r="S438" s="371"/>
      <c r="T438" s="371"/>
      <c r="U438" s="371"/>
      <c r="V438" s="371"/>
      <c r="W438" s="371"/>
      <c r="X438" s="371"/>
      <c r="Y438" s="371"/>
      <c r="Z438" s="371"/>
    </row>
    <row r="439" ht="26.25" customHeight="1">
      <c r="A439" s="371"/>
      <c r="B439" s="1265"/>
      <c r="C439" s="371"/>
      <c r="D439" s="371"/>
      <c r="E439" s="371"/>
      <c r="F439" s="371"/>
      <c r="G439" s="371"/>
      <c r="H439" s="371"/>
      <c r="I439" s="371"/>
      <c r="J439" s="371"/>
      <c r="K439" s="371"/>
      <c r="L439" s="371"/>
      <c r="M439" s="371"/>
      <c r="N439" s="371"/>
      <c r="O439" s="371"/>
      <c r="P439" s="371"/>
      <c r="Q439" s="371"/>
      <c r="R439" s="371"/>
      <c r="S439" s="371"/>
      <c r="T439" s="371"/>
      <c r="U439" s="371"/>
      <c r="V439" s="371"/>
      <c r="W439" s="371"/>
      <c r="X439" s="371"/>
      <c r="Y439" s="371"/>
      <c r="Z439" s="371"/>
    </row>
    <row r="440" ht="26.25" customHeight="1">
      <c r="A440" s="371"/>
      <c r="B440" s="1265"/>
      <c r="C440" s="371"/>
      <c r="D440" s="371"/>
      <c r="E440" s="371"/>
      <c r="F440" s="371"/>
      <c r="G440" s="371"/>
      <c r="H440" s="371"/>
      <c r="I440" s="371"/>
      <c r="J440" s="371"/>
      <c r="K440" s="371"/>
      <c r="L440" s="371"/>
      <c r="M440" s="371"/>
      <c r="N440" s="371"/>
      <c r="O440" s="371"/>
      <c r="P440" s="371"/>
      <c r="Q440" s="371"/>
      <c r="R440" s="371"/>
      <c r="S440" s="371"/>
      <c r="T440" s="371"/>
      <c r="U440" s="371"/>
      <c r="V440" s="371"/>
      <c r="W440" s="371"/>
      <c r="X440" s="371"/>
      <c r="Y440" s="371"/>
      <c r="Z440" s="371"/>
    </row>
    <row r="441" ht="26.25" customHeight="1">
      <c r="A441" s="371"/>
      <c r="B441" s="1265"/>
      <c r="C441" s="371"/>
      <c r="D441" s="371"/>
      <c r="E441" s="371"/>
      <c r="F441" s="371"/>
      <c r="G441" s="371"/>
      <c r="H441" s="371"/>
      <c r="I441" s="371"/>
      <c r="J441" s="371"/>
      <c r="K441" s="371"/>
      <c r="L441" s="371"/>
      <c r="M441" s="371"/>
      <c r="N441" s="371"/>
      <c r="O441" s="371"/>
      <c r="P441" s="371"/>
      <c r="Q441" s="371"/>
      <c r="R441" s="371"/>
      <c r="S441" s="371"/>
      <c r="T441" s="371"/>
      <c r="U441" s="371"/>
      <c r="V441" s="371"/>
      <c r="W441" s="371"/>
      <c r="X441" s="371"/>
      <c r="Y441" s="371"/>
      <c r="Z441" s="371"/>
    </row>
    <row r="442" ht="26.25" customHeight="1">
      <c r="A442" s="371"/>
      <c r="B442" s="1265"/>
      <c r="C442" s="371"/>
      <c r="D442" s="371"/>
      <c r="E442" s="371"/>
      <c r="F442" s="371"/>
      <c r="G442" s="371"/>
      <c r="H442" s="371"/>
      <c r="I442" s="371"/>
      <c r="J442" s="371"/>
      <c r="K442" s="371"/>
      <c r="L442" s="371"/>
      <c r="M442" s="371"/>
      <c r="N442" s="371"/>
      <c r="O442" s="371"/>
      <c r="P442" s="371"/>
      <c r="Q442" s="371"/>
      <c r="R442" s="371"/>
      <c r="S442" s="371"/>
      <c r="T442" s="371"/>
      <c r="U442" s="371"/>
      <c r="V442" s="371"/>
      <c r="W442" s="371"/>
      <c r="X442" s="371"/>
      <c r="Y442" s="371"/>
      <c r="Z442" s="371"/>
    </row>
    <row r="443" ht="26.25" customHeight="1">
      <c r="A443" s="371"/>
      <c r="B443" s="1265"/>
      <c r="C443" s="371"/>
      <c r="D443" s="371"/>
      <c r="E443" s="371"/>
      <c r="F443" s="371"/>
      <c r="G443" s="371"/>
      <c r="H443" s="371"/>
      <c r="I443" s="371"/>
      <c r="J443" s="371"/>
      <c r="K443" s="371"/>
      <c r="L443" s="371"/>
      <c r="M443" s="371"/>
      <c r="N443" s="371"/>
      <c r="O443" s="371"/>
      <c r="P443" s="371"/>
      <c r="Q443" s="371"/>
      <c r="R443" s="371"/>
      <c r="S443" s="371"/>
      <c r="T443" s="371"/>
      <c r="U443" s="371"/>
      <c r="V443" s="371"/>
      <c r="W443" s="371"/>
      <c r="X443" s="371"/>
      <c r="Y443" s="371"/>
      <c r="Z443" s="371"/>
    </row>
    <row r="444" ht="26.25" customHeight="1">
      <c r="A444" s="371"/>
      <c r="B444" s="1265"/>
      <c r="C444" s="371"/>
      <c r="D444" s="371"/>
      <c r="E444" s="371"/>
      <c r="F444" s="371"/>
      <c r="G444" s="371"/>
      <c r="H444" s="371"/>
      <c r="I444" s="371"/>
      <c r="J444" s="371"/>
      <c r="K444" s="371"/>
      <c r="L444" s="371"/>
      <c r="M444" s="371"/>
      <c r="N444" s="371"/>
      <c r="O444" s="371"/>
      <c r="P444" s="371"/>
      <c r="Q444" s="371"/>
      <c r="R444" s="371"/>
      <c r="S444" s="371"/>
      <c r="T444" s="371"/>
      <c r="U444" s="371"/>
      <c r="V444" s="371"/>
      <c r="W444" s="371"/>
      <c r="X444" s="371"/>
      <c r="Y444" s="371"/>
      <c r="Z444" s="371"/>
    </row>
    <row r="445" ht="26.25" customHeight="1">
      <c r="A445" s="371"/>
      <c r="B445" s="1265"/>
      <c r="C445" s="371"/>
      <c r="D445" s="371"/>
      <c r="E445" s="371"/>
      <c r="F445" s="371"/>
      <c r="G445" s="371"/>
      <c r="H445" s="371"/>
      <c r="I445" s="371"/>
      <c r="J445" s="371"/>
      <c r="K445" s="371"/>
      <c r="L445" s="371"/>
      <c r="M445" s="371"/>
      <c r="N445" s="371"/>
      <c r="O445" s="371"/>
      <c r="P445" s="371"/>
      <c r="Q445" s="371"/>
      <c r="R445" s="371"/>
      <c r="S445" s="371"/>
      <c r="T445" s="371"/>
      <c r="U445" s="371"/>
      <c r="V445" s="371"/>
      <c r="W445" s="371"/>
      <c r="X445" s="371"/>
      <c r="Y445" s="371"/>
      <c r="Z445" s="371"/>
    </row>
    <row r="446" ht="26.25" customHeight="1">
      <c r="A446" s="371"/>
      <c r="B446" s="1265"/>
      <c r="C446" s="371"/>
      <c r="D446" s="371"/>
      <c r="E446" s="371"/>
      <c r="F446" s="371"/>
      <c r="G446" s="371"/>
      <c r="H446" s="371"/>
      <c r="I446" s="371"/>
      <c r="J446" s="371"/>
      <c r="K446" s="371"/>
      <c r="L446" s="371"/>
      <c r="M446" s="371"/>
      <c r="N446" s="371"/>
      <c r="O446" s="371"/>
      <c r="P446" s="371"/>
      <c r="Q446" s="371"/>
      <c r="R446" s="371"/>
      <c r="S446" s="371"/>
      <c r="T446" s="371"/>
      <c r="U446" s="371"/>
      <c r="V446" s="371"/>
      <c r="W446" s="371"/>
      <c r="X446" s="371"/>
      <c r="Y446" s="371"/>
      <c r="Z446" s="371"/>
    </row>
    <row r="447" ht="26.25" customHeight="1">
      <c r="A447" s="371"/>
      <c r="B447" s="1265"/>
      <c r="C447" s="371"/>
      <c r="D447" s="371"/>
      <c r="E447" s="371"/>
      <c r="F447" s="371"/>
      <c r="G447" s="371"/>
      <c r="H447" s="371"/>
      <c r="I447" s="371"/>
      <c r="J447" s="371"/>
      <c r="K447" s="371"/>
      <c r="L447" s="371"/>
      <c r="M447" s="371"/>
      <c r="N447" s="371"/>
      <c r="O447" s="371"/>
      <c r="P447" s="371"/>
      <c r="Q447" s="371"/>
      <c r="R447" s="371"/>
      <c r="S447" s="371"/>
      <c r="T447" s="371"/>
      <c r="U447" s="371"/>
      <c r="V447" s="371"/>
      <c r="W447" s="371"/>
      <c r="X447" s="371"/>
      <c r="Y447" s="371"/>
      <c r="Z447" s="371"/>
    </row>
    <row r="448" ht="26.25" customHeight="1">
      <c r="A448" s="371"/>
      <c r="B448" s="1265"/>
      <c r="C448" s="371"/>
      <c r="D448" s="371"/>
      <c r="E448" s="371"/>
      <c r="F448" s="371"/>
      <c r="G448" s="371"/>
      <c r="H448" s="371"/>
      <c r="I448" s="371"/>
      <c r="J448" s="371"/>
      <c r="K448" s="371"/>
      <c r="L448" s="371"/>
      <c r="M448" s="371"/>
      <c r="N448" s="371"/>
      <c r="O448" s="371"/>
      <c r="P448" s="371"/>
      <c r="Q448" s="371"/>
      <c r="R448" s="371"/>
      <c r="S448" s="371"/>
      <c r="T448" s="371"/>
      <c r="U448" s="371"/>
      <c r="V448" s="371"/>
      <c r="W448" s="371"/>
      <c r="X448" s="371"/>
      <c r="Y448" s="371"/>
      <c r="Z448" s="371"/>
    </row>
    <row r="449" ht="26.25" customHeight="1">
      <c r="A449" s="371"/>
      <c r="B449" s="1265"/>
      <c r="C449" s="371"/>
      <c r="D449" s="371"/>
      <c r="E449" s="371"/>
      <c r="F449" s="371"/>
      <c r="G449" s="371"/>
      <c r="H449" s="371"/>
      <c r="I449" s="371"/>
      <c r="J449" s="371"/>
      <c r="K449" s="371"/>
      <c r="L449" s="371"/>
      <c r="M449" s="371"/>
      <c r="N449" s="371"/>
      <c r="O449" s="371"/>
      <c r="P449" s="371"/>
      <c r="Q449" s="371"/>
      <c r="R449" s="371"/>
      <c r="S449" s="371"/>
      <c r="T449" s="371"/>
      <c r="U449" s="371"/>
      <c r="V449" s="371"/>
      <c r="W449" s="371"/>
      <c r="X449" s="371"/>
      <c r="Y449" s="371"/>
      <c r="Z449" s="371"/>
    </row>
    <row r="450" ht="26.25" customHeight="1">
      <c r="A450" s="371"/>
      <c r="B450" s="1265"/>
      <c r="C450" s="371"/>
      <c r="D450" s="371"/>
      <c r="E450" s="371"/>
      <c r="F450" s="371"/>
      <c r="G450" s="371"/>
      <c r="H450" s="371"/>
      <c r="I450" s="371"/>
      <c r="J450" s="371"/>
      <c r="K450" s="371"/>
      <c r="L450" s="371"/>
      <c r="M450" s="371"/>
      <c r="N450" s="371"/>
      <c r="O450" s="371"/>
      <c r="P450" s="371"/>
      <c r="Q450" s="371"/>
      <c r="R450" s="371"/>
      <c r="S450" s="371"/>
      <c r="T450" s="371"/>
      <c r="U450" s="371"/>
      <c r="V450" s="371"/>
      <c r="W450" s="371"/>
      <c r="X450" s="371"/>
      <c r="Y450" s="371"/>
      <c r="Z450" s="371"/>
    </row>
    <row r="451" ht="26.25" customHeight="1">
      <c r="A451" s="371"/>
      <c r="B451" s="1265"/>
      <c r="C451" s="371"/>
      <c r="D451" s="371"/>
      <c r="E451" s="371"/>
      <c r="F451" s="371"/>
      <c r="G451" s="371"/>
      <c r="H451" s="371"/>
      <c r="I451" s="371"/>
      <c r="J451" s="371"/>
      <c r="K451" s="371"/>
      <c r="L451" s="371"/>
      <c r="M451" s="371"/>
      <c r="N451" s="371"/>
      <c r="O451" s="371"/>
      <c r="P451" s="371"/>
      <c r="Q451" s="371"/>
      <c r="R451" s="371"/>
      <c r="S451" s="371"/>
      <c r="T451" s="371"/>
      <c r="U451" s="371"/>
      <c r="V451" s="371"/>
      <c r="W451" s="371"/>
      <c r="X451" s="371"/>
      <c r="Y451" s="371"/>
      <c r="Z451" s="371"/>
    </row>
    <row r="452" ht="26.25" customHeight="1">
      <c r="A452" s="371"/>
      <c r="B452" s="1265"/>
      <c r="C452" s="371"/>
      <c r="D452" s="371"/>
      <c r="E452" s="371"/>
      <c r="F452" s="371"/>
      <c r="G452" s="371"/>
      <c r="H452" s="371"/>
      <c r="I452" s="371"/>
      <c r="J452" s="371"/>
      <c r="K452" s="371"/>
      <c r="L452" s="371"/>
      <c r="M452" s="371"/>
      <c r="N452" s="371"/>
      <c r="O452" s="371"/>
      <c r="P452" s="371"/>
      <c r="Q452" s="371"/>
      <c r="R452" s="371"/>
      <c r="S452" s="371"/>
      <c r="T452" s="371"/>
      <c r="U452" s="371"/>
      <c r="V452" s="371"/>
      <c r="W452" s="371"/>
      <c r="X452" s="371"/>
      <c r="Y452" s="371"/>
      <c r="Z452" s="371"/>
    </row>
    <row r="453" ht="26.25" customHeight="1">
      <c r="A453" s="371"/>
      <c r="B453" s="1265"/>
      <c r="C453" s="371"/>
      <c r="D453" s="371"/>
      <c r="E453" s="371"/>
      <c r="F453" s="371"/>
      <c r="G453" s="371"/>
      <c r="H453" s="371"/>
      <c r="I453" s="371"/>
      <c r="J453" s="371"/>
      <c r="K453" s="371"/>
      <c r="L453" s="371"/>
      <c r="M453" s="371"/>
      <c r="N453" s="371"/>
      <c r="O453" s="371"/>
      <c r="P453" s="371"/>
      <c r="Q453" s="371"/>
      <c r="R453" s="371"/>
      <c r="S453" s="371"/>
      <c r="T453" s="371"/>
      <c r="U453" s="371"/>
      <c r="V453" s="371"/>
      <c r="W453" s="371"/>
      <c r="X453" s="371"/>
      <c r="Y453" s="371"/>
      <c r="Z453" s="371"/>
    </row>
    <row r="454" ht="26.25" customHeight="1">
      <c r="A454" s="371"/>
      <c r="B454" s="1265"/>
      <c r="C454" s="371"/>
      <c r="D454" s="371"/>
      <c r="E454" s="371"/>
      <c r="F454" s="371"/>
      <c r="G454" s="371"/>
      <c r="H454" s="371"/>
      <c r="I454" s="371"/>
      <c r="J454" s="371"/>
      <c r="K454" s="371"/>
      <c r="L454" s="371"/>
      <c r="M454" s="371"/>
      <c r="N454" s="371"/>
      <c r="O454" s="371"/>
      <c r="P454" s="371"/>
      <c r="Q454" s="371"/>
      <c r="R454" s="371"/>
      <c r="S454" s="371"/>
      <c r="T454" s="371"/>
      <c r="U454" s="371"/>
      <c r="V454" s="371"/>
      <c r="W454" s="371"/>
      <c r="X454" s="371"/>
      <c r="Y454" s="371"/>
      <c r="Z454" s="371"/>
    </row>
    <row r="455" ht="26.25" customHeight="1">
      <c r="A455" s="371"/>
      <c r="B455" s="1265"/>
      <c r="C455" s="371"/>
      <c r="D455" s="371"/>
      <c r="E455" s="371"/>
      <c r="F455" s="371"/>
      <c r="G455" s="371"/>
      <c r="H455" s="371"/>
      <c r="I455" s="371"/>
      <c r="J455" s="371"/>
      <c r="K455" s="371"/>
      <c r="L455" s="371"/>
      <c r="M455" s="371"/>
      <c r="N455" s="371"/>
      <c r="O455" s="371"/>
      <c r="P455" s="371"/>
      <c r="Q455" s="371"/>
      <c r="R455" s="371"/>
      <c r="S455" s="371"/>
      <c r="T455" s="371"/>
      <c r="U455" s="371"/>
      <c r="V455" s="371"/>
      <c r="W455" s="371"/>
      <c r="X455" s="371"/>
      <c r="Y455" s="371"/>
      <c r="Z455" s="371"/>
    </row>
    <row r="456" ht="26.25" customHeight="1">
      <c r="A456" s="371"/>
      <c r="B456" s="1265"/>
      <c r="C456" s="371"/>
      <c r="D456" s="371"/>
      <c r="E456" s="371"/>
      <c r="F456" s="371"/>
      <c r="G456" s="371"/>
      <c r="H456" s="371"/>
      <c r="I456" s="371"/>
      <c r="J456" s="371"/>
      <c r="K456" s="371"/>
      <c r="L456" s="371"/>
      <c r="M456" s="371"/>
      <c r="N456" s="371"/>
      <c r="O456" s="371"/>
      <c r="P456" s="371"/>
      <c r="Q456" s="371"/>
      <c r="R456" s="371"/>
      <c r="S456" s="371"/>
      <c r="T456" s="371"/>
      <c r="U456" s="371"/>
      <c r="V456" s="371"/>
      <c r="W456" s="371"/>
      <c r="X456" s="371"/>
      <c r="Y456" s="371"/>
      <c r="Z456" s="371"/>
    </row>
    <row r="457" ht="26.25" customHeight="1">
      <c r="A457" s="371"/>
      <c r="B457" s="1265"/>
      <c r="C457" s="371"/>
      <c r="D457" s="371"/>
      <c r="E457" s="371"/>
      <c r="F457" s="371"/>
      <c r="G457" s="371"/>
      <c r="H457" s="371"/>
      <c r="I457" s="371"/>
      <c r="J457" s="371"/>
      <c r="K457" s="371"/>
      <c r="L457" s="371"/>
      <c r="M457" s="371"/>
      <c r="N457" s="371"/>
      <c r="O457" s="371"/>
      <c r="P457" s="371"/>
      <c r="Q457" s="371"/>
      <c r="R457" s="371"/>
      <c r="S457" s="371"/>
      <c r="T457" s="371"/>
      <c r="U457" s="371"/>
      <c r="V457" s="371"/>
      <c r="W457" s="371"/>
      <c r="X457" s="371"/>
      <c r="Y457" s="371"/>
      <c r="Z457" s="371"/>
    </row>
    <row r="458" ht="26.25" customHeight="1">
      <c r="A458" s="371"/>
      <c r="B458" s="1265"/>
      <c r="C458" s="371"/>
      <c r="D458" s="371"/>
      <c r="E458" s="371"/>
      <c r="F458" s="371"/>
      <c r="G458" s="371"/>
      <c r="H458" s="371"/>
      <c r="I458" s="371"/>
      <c r="J458" s="371"/>
      <c r="K458" s="371"/>
      <c r="L458" s="371"/>
      <c r="M458" s="371"/>
      <c r="N458" s="371"/>
      <c r="O458" s="371"/>
      <c r="P458" s="371"/>
      <c r="Q458" s="371"/>
      <c r="R458" s="371"/>
      <c r="S458" s="371"/>
      <c r="T458" s="371"/>
      <c r="U458" s="371"/>
      <c r="V458" s="371"/>
      <c r="W458" s="371"/>
      <c r="X458" s="371"/>
      <c r="Y458" s="371"/>
      <c r="Z458" s="371"/>
    </row>
    <row r="459" ht="26.25" customHeight="1">
      <c r="A459" s="371"/>
      <c r="B459" s="1265"/>
      <c r="C459" s="371"/>
      <c r="D459" s="371"/>
      <c r="E459" s="371"/>
      <c r="F459" s="371"/>
      <c r="G459" s="371"/>
      <c r="H459" s="371"/>
      <c r="I459" s="371"/>
      <c r="J459" s="371"/>
      <c r="K459" s="371"/>
      <c r="L459" s="371"/>
      <c r="M459" s="371"/>
      <c r="N459" s="371"/>
      <c r="O459" s="371"/>
      <c r="P459" s="371"/>
      <c r="Q459" s="371"/>
      <c r="R459" s="371"/>
      <c r="S459" s="371"/>
      <c r="T459" s="371"/>
      <c r="U459" s="371"/>
      <c r="V459" s="371"/>
      <c r="W459" s="371"/>
      <c r="X459" s="371"/>
      <c r="Y459" s="371"/>
      <c r="Z459" s="371"/>
    </row>
    <row r="460" ht="26.25" customHeight="1">
      <c r="A460" s="371"/>
      <c r="B460" s="1265"/>
      <c r="C460" s="371"/>
      <c r="D460" s="371"/>
      <c r="E460" s="371"/>
      <c r="F460" s="371"/>
      <c r="G460" s="371"/>
      <c r="H460" s="371"/>
      <c r="I460" s="371"/>
      <c r="J460" s="371"/>
      <c r="K460" s="371"/>
      <c r="L460" s="371"/>
      <c r="M460" s="371"/>
      <c r="N460" s="371"/>
      <c r="O460" s="371"/>
      <c r="P460" s="371"/>
      <c r="Q460" s="371"/>
      <c r="R460" s="371"/>
      <c r="S460" s="371"/>
      <c r="T460" s="371"/>
      <c r="U460" s="371"/>
      <c r="V460" s="371"/>
      <c r="W460" s="371"/>
      <c r="X460" s="371"/>
      <c r="Y460" s="371"/>
      <c r="Z460" s="371"/>
    </row>
    <row r="461" ht="26.25" customHeight="1">
      <c r="A461" s="371"/>
      <c r="B461" s="1265"/>
      <c r="C461" s="371"/>
      <c r="D461" s="371"/>
      <c r="E461" s="371"/>
      <c r="F461" s="371"/>
      <c r="G461" s="371"/>
      <c r="H461" s="371"/>
      <c r="I461" s="371"/>
      <c r="J461" s="371"/>
      <c r="K461" s="371"/>
      <c r="L461" s="371"/>
      <c r="M461" s="371"/>
      <c r="N461" s="371"/>
      <c r="O461" s="371"/>
      <c r="P461" s="371"/>
      <c r="Q461" s="371"/>
      <c r="R461" s="371"/>
      <c r="S461" s="371"/>
      <c r="T461" s="371"/>
      <c r="U461" s="371"/>
      <c r="V461" s="371"/>
      <c r="W461" s="371"/>
      <c r="X461" s="371"/>
      <c r="Y461" s="371"/>
      <c r="Z461" s="371"/>
    </row>
    <row r="462" ht="26.25" customHeight="1">
      <c r="A462" s="371"/>
      <c r="B462" s="1265"/>
      <c r="C462" s="371"/>
      <c r="D462" s="371"/>
      <c r="E462" s="371"/>
      <c r="F462" s="371"/>
      <c r="G462" s="371"/>
      <c r="H462" s="371"/>
      <c r="I462" s="371"/>
      <c r="J462" s="371"/>
      <c r="K462" s="371"/>
      <c r="L462" s="371"/>
      <c r="M462" s="371"/>
      <c r="N462" s="371"/>
      <c r="O462" s="371"/>
      <c r="P462" s="371"/>
      <c r="Q462" s="371"/>
      <c r="R462" s="371"/>
      <c r="S462" s="371"/>
      <c r="T462" s="371"/>
      <c r="U462" s="371"/>
      <c r="V462" s="371"/>
      <c r="W462" s="371"/>
      <c r="X462" s="371"/>
      <c r="Y462" s="371"/>
      <c r="Z462" s="371"/>
    </row>
    <row r="463" ht="26.25" customHeight="1">
      <c r="A463" s="371"/>
      <c r="B463" s="1265"/>
      <c r="C463" s="371"/>
      <c r="D463" s="371"/>
      <c r="E463" s="371"/>
      <c r="F463" s="371"/>
      <c r="G463" s="371"/>
      <c r="H463" s="371"/>
      <c r="I463" s="371"/>
      <c r="J463" s="371"/>
      <c r="K463" s="371"/>
      <c r="L463" s="371"/>
      <c r="M463" s="371"/>
      <c r="N463" s="371"/>
      <c r="O463" s="371"/>
      <c r="P463" s="371"/>
      <c r="Q463" s="371"/>
      <c r="R463" s="371"/>
      <c r="S463" s="371"/>
      <c r="T463" s="371"/>
      <c r="U463" s="371"/>
      <c r="V463" s="371"/>
      <c r="W463" s="371"/>
      <c r="X463" s="371"/>
      <c r="Y463" s="371"/>
      <c r="Z463" s="371"/>
    </row>
    <row r="464" ht="26.25" customHeight="1">
      <c r="A464" s="371"/>
      <c r="B464" s="1265"/>
      <c r="C464" s="371"/>
      <c r="D464" s="371"/>
      <c r="E464" s="371"/>
      <c r="F464" s="371"/>
      <c r="G464" s="371"/>
      <c r="H464" s="371"/>
      <c r="I464" s="371"/>
      <c r="J464" s="371"/>
      <c r="K464" s="371"/>
      <c r="L464" s="371"/>
      <c r="M464" s="371"/>
      <c r="N464" s="371"/>
      <c r="O464" s="371"/>
      <c r="P464" s="371"/>
      <c r="Q464" s="371"/>
      <c r="R464" s="371"/>
      <c r="S464" s="371"/>
      <c r="T464" s="371"/>
      <c r="U464" s="371"/>
      <c r="V464" s="371"/>
      <c r="W464" s="371"/>
      <c r="X464" s="371"/>
      <c r="Y464" s="371"/>
      <c r="Z464" s="371"/>
    </row>
    <row r="465" ht="26.25" customHeight="1">
      <c r="A465" s="371"/>
      <c r="B465" s="1265"/>
      <c r="C465" s="371"/>
      <c r="D465" s="371"/>
      <c r="E465" s="371"/>
      <c r="F465" s="371"/>
      <c r="G465" s="371"/>
      <c r="H465" s="371"/>
      <c r="I465" s="371"/>
      <c r="J465" s="371"/>
      <c r="K465" s="371"/>
      <c r="L465" s="371"/>
      <c r="M465" s="371"/>
      <c r="N465" s="371"/>
      <c r="O465" s="371"/>
      <c r="P465" s="371"/>
      <c r="Q465" s="371"/>
      <c r="R465" s="371"/>
      <c r="S465" s="371"/>
      <c r="T465" s="371"/>
      <c r="U465" s="371"/>
      <c r="V465" s="371"/>
      <c r="W465" s="371"/>
      <c r="X465" s="371"/>
      <c r="Y465" s="371"/>
      <c r="Z465" s="371"/>
    </row>
    <row r="466" ht="26.25" customHeight="1">
      <c r="A466" s="371"/>
      <c r="B466" s="1265"/>
      <c r="C466" s="371"/>
      <c r="D466" s="371"/>
      <c r="E466" s="371"/>
      <c r="F466" s="371"/>
      <c r="G466" s="371"/>
      <c r="H466" s="371"/>
      <c r="I466" s="371"/>
      <c r="J466" s="371"/>
      <c r="K466" s="371"/>
      <c r="L466" s="371"/>
      <c r="M466" s="371"/>
      <c r="N466" s="371"/>
      <c r="O466" s="371"/>
      <c r="P466" s="371"/>
      <c r="Q466" s="371"/>
      <c r="R466" s="371"/>
      <c r="S466" s="371"/>
      <c r="T466" s="371"/>
      <c r="U466" s="371"/>
      <c r="V466" s="371"/>
      <c r="W466" s="371"/>
      <c r="X466" s="371"/>
      <c r="Y466" s="371"/>
      <c r="Z466" s="371"/>
    </row>
    <row r="467" ht="26.25" customHeight="1">
      <c r="A467" s="371"/>
      <c r="B467" s="1265"/>
      <c r="C467" s="371"/>
      <c r="D467" s="371"/>
      <c r="E467" s="371"/>
      <c r="F467" s="371"/>
      <c r="G467" s="371"/>
      <c r="H467" s="371"/>
      <c r="I467" s="371"/>
      <c r="J467" s="371"/>
      <c r="K467" s="371"/>
      <c r="L467" s="371"/>
      <c r="M467" s="371"/>
      <c r="N467" s="371"/>
      <c r="O467" s="371"/>
      <c r="P467" s="371"/>
      <c r="Q467" s="371"/>
      <c r="R467" s="371"/>
      <c r="S467" s="371"/>
      <c r="T467" s="371"/>
      <c r="U467" s="371"/>
      <c r="V467" s="371"/>
      <c r="W467" s="371"/>
      <c r="X467" s="371"/>
      <c r="Y467" s="371"/>
      <c r="Z467" s="371"/>
    </row>
    <row r="468" ht="26.25" customHeight="1">
      <c r="A468" s="371"/>
      <c r="B468" s="1265"/>
      <c r="C468" s="371"/>
      <c r="D468" s="371"/>
      <c r="E468" s="371"/>
      <c r="F468" s="371"/>
      <c r="G468" s="371"/>
      <c r="H468" s="371"/>
      <c r="I468" s="371"/>
      <c r="J468" s="371"/>
      <c r="K468" s="371"/>
      <c r="L468" s="371"/>
      <c r="M468" s="371"/>
      <c r="N468" s="371"/>
      <c r="O468" s="371"/>
      <c r="P468" s="371"/>
      <c r="Q468" s="371"/>
      <c r="R468" s="371"/>
      <c r="S468" s="371"/>
      <c r="T468" s="371"/>
      <c r="U468" s="371"/>
      <c r="V468" s="371"/>
      <c r="W468" s="371"/>
      <c r="X468" s="371"/>
      <c r="Y468" s="371"/>
      <c r="Z468" s="371"/>
    </row>
    <row r="469" ht="26.25" customHeight="1">
      <c r="A469" s="371"/>
      <c r="B469" s="1265"/>
      <c r="C469" s="371"/>
      <c r="D469" s="371"/>
      <c r="E469" s="371"/>
      <c r="F469" s="371"/>
      <c r="G469" s="371"/>
      <c r="H469" s="371"/>
      <c r="I469" s="371"/>
      <c r="J469" s="371"/>
      <c r="K469" s="371"/>
      <c r="L469" s="371"/>
      <c r="M469" s="371"/>
      <c r="N469" s="371"/>
      <c r="O469" s="371"/>
      <c r="P469" s="371"/>
      <c r="Q469" s="371"/>
      <c r="R469" s="371"/>
      <c r="S469" s="371"/>
      <c r="T469" s="371"/>
      <c r="U469" s="371"/>
      <c r="V469" s="371"/>
      <c r="W469" s="371"/>
      <c r="X469" s="371"/>
      <c r="Y469" s="371"/>
      <c r="Z469" s="371"/>
    </row>
    <row r="470" ht="26.25" customHeight="1">
      <c r="A470" s="371"/>
      <c r="B470" s="1265"/>
      <c r="C470" s="371"/>
      <c r="D470" s="371"/>
      <c r="E470" s="371"/>
      <c r="F470" s="371"/>
      <c r="G470" s="371"/>
      <c r="H470" s="371"/>
      <c r="I470" s="371"/>
      <c r="J470" s="371"/>
      <c r="K470" s="371"/>
      <c r="L470" s="371"/>
      <c r="M470" s="371"/>
      <c r="N470" s="371"/>
      <c r="O470" s="371"/>
      <c r="P470" s="371"/>
      <c r="Q470" s="371"/>
      <c r="R470" s="371"/>
      <c r="S470" s="371"/>
      <c r="T470" s="371"/>
      <c r="U470" s="371"/>
      <c r="V470" s="371"/>
      <c r="W470" s="371"/>
      <c r="X470" s="371"/>
      <c r="Y470" s="371"/>
      <c r="Z470" s="371"/>
    </row>
    <row r="471" ht="26.25" customHeight="1">
      <c r="A471" s="371"/>
      <c r="B471" s="1265"/>
      <c r="C471" s="371"/>
      <c r="D471" s="371"/>
      <c r="E471" s="371"/>
      <c r="F471" s="371"/>
      <c r="G471" s="371"/>
      <c r="H471" s="371"/>
      <c r="I471" s="371"/>
      <c r="J471" s="371"/>
      <c r="K471" s="371"/>
      <c r="L471" s="371"/>
      <c r="M471" s="371"/>
      <c r="N471" s="371"/>
      <c r="O471" s="371"/>
      <c r="P471" s="371"/>
      <c r="Q471" s="371"/>
      <c r="R471" s="371"/>
      <c r="S471" s="371"/>
      <c r="T471" s="371"/>
      <c r="U471" s="371"/>
      <c r="V471" s="371"/>
      <c r="W471" s="371"/>
      <c r="X471" s="371"/>
      <c r="Y471" s="371"/>
      <c r="Z471" s="371"/>
    </row>
    <row r="472" ht="26.25" customHeight="1">
      <c r="A472" s="371"/>
      <c r="B472" s="1265"/>
      <c r="C472" s="371"/>
      <c r="D472" s="371"/>
      <c r="E472" s="371"/>
      <c r="F472" s="371"/>
      <c r="G472" s="371"/>
      <c r="H472" s="371"/>
      <c r="I472" s="371"/>
      <c r="J472" s="371"/>
      <c r="K472" s="371"/>
      <c r="L472" s="371"/>
      <c r="M472" s="371"/>
      <c r="N472" s="371"/>
      <c r="O472" s="371"/>
      <c r="P472" s="371"/>
      <c r="Q472" s="371"/>
      <c r="R472" s="371"/>
      <c r="S472" s="371"/>
      <c r="T472" s="371"/>
      <c r="U472" s="371"/>
      <c r="V472" s="371"/>
      <c r="W472" s="371"/>
      <c r="X472" s="371"/>
      <c r="Y472" s="371"/>
      <c r="Z472" s="371"/>
    </row>
    <row r="473" ht="26.25" customHeight="1">
      <c r="A473" s="371"/>
      <c r="B473" s="1265"/>
      <c r="C473" s="371"/>
      <c r="D473" s="371"/>
      <c r="E473" s="371"/>
      <c r="F473" s="371"/>
      <c r="G473" s="371"/>
      <c r="H473" s="371"/>
      <c r="I473" s="371"/>
      <c r="J473" s="371"/>
      <c r="K473" s="371"/>
      <c r="L473" s="371"/>
      <c r="M473" s="371"/>
      <c r="N473" s="371"/>
      <c r="O473" s="371"/>
      <c r="P473" s="371"/>
      <c r="Q473" s="371"/>
      <c r="R473" s="371"/>
      <c r="S473" s="371"/>
      <c r="T473" s="371"/>
      <c r="U473" s="371"/>
      <c r="V473" s="371"/>
      <c r="W473" s="371"/>
      <c r="X473" s="371"/>
      <c r="Y473" s="371"/>
      <c r="Z473" s="371"/>
    </row>
    <row r="474" ht="26.25" customHeight="1">
      <c r="A474" s="371"/>
      <c r="B474" s="1265"/>
      <c r="C474" s="371"/>
      <c r="D474" s="371"/>
      <c r="E474" s="371"/>
      <c r="F474" s="371"/>
      <c r="G474" s="371"/>
      <c r="H474" s="371"/>
      <c r="I474" s="371"/>
      <c r="J474" s="371"/>
      <c r="K474" s="371"/>
      <c r="L474" s="371"/>
      <c r="M474" s="371"/>
      <c r="N474" s="371"/>
      <c r="O474" s="371"/>
      <c r="P474" s="371"/>
      <c r="Q474" s="371"/>
      <c r="R474" s="371"/>
      <c r="S474" s="371"/>
      <c r="T474" s="371"/>
      <c r="U474" s="371"/>
      <c r="V474" s="371"/>
      <c r="W474" s="371"/>
      <c r="X474" s="371"/>
      <c r="Y474" s="371"/>
      <c r="Z474" s="371"/>
    </row>
    <row r="475" ht="26.25" customHeight="1">
      <c r="A475" s="371"/>
      <c r="B475" s="1265"/>
      <c r="C475" s="371"/>
      <c r="D475" s="371"/>
      <c r="E475" s="371"/>
      <c r="F475" s="371"/>
      <c r="G475" s="371"/>
      <c r="H475" s="371"/>
      <c r="I475" s="371"/>
      <c r="J475" s="371"/>
      <c r="K475" s="371"/>
      <c r="L475" s="371"/>
      <c r="M475" s="371"/>
      <c r="N475" s="371"/>
      <c r="O475" s="371"/>
      <c r="P475" s="371"/>
      <c r="Q475" s="371"/>
      <c r="R475" s="371"/>
      <c r="S475" s="371"/>
      <c r="T475" s="371"/>
      <c r="U475" s="371"/>
      <c r="V475" s="371"/>
      <c r="W475" s="371"/>
      <c r="X475" s="371"/>
      <c r="Y475" s="371"/>
      <c r="Z475" s="371"/>
    </row>
    <row r="476" ht="26.25" customHeight="1">
      <c r="A476" s="371"/>
      <c r="B476" s="1265"/>
      <c r="C476" s="371"/>
      <c r="D476" s="371"/>
      <c r="E476" s="371"/>
      <c r="F476" s="371"/>
      <c r="G476" s="371"/>
      <c r="H476" s="371"/>
      <c r="I476" s="371"/>
      <c r="J476" s="371"/>
      <c r="K476" s="371"/>
      <c r="L476" s="371"/>
      <c r="M476" s="371"/>
      <c r="N476" s="371"/>
      <c r="O476" s="371"/>
      <c r="P476" s="371"/>
      <c r="Q476" s="371"/>
      <c r="R476" s="371"/>
      <c r="S476" s="371"/>
      <c r="T476" s="371"/>
      <c r="U476" s="371"/>
      <c r="V476" s="371"/>
      <c r="W476" s="371"/>
      <c r="X476" s="371"/>
      <c r="Y476" s="371"/>
      <c r="Z476" s="371"/>
    </row>
    <row r="477" ht="26.25" customHeight="1">
      <c r="A477" s="371"/>
      <c r="B477" s="1265"/>
      <c r="C477" s="371"/>
      <c r="D477" s="371"/>
      <c r="E477" s="371"/>
      <c r="F477" s="371"/>
      <c r="G477" s="371"/>
      <c r="H477" s="371"/>
      <c r="I477" s="371"/>
      <c r="J477" s="371"/>
      <c r="K477" s="371"/>
      <c r="L477" s="371"/>
      <c r="M477" s="371"/>
      <c r="N477" s="371"/>
      <c r="O477" s="371"/>
      <c r="P477" s="371"/>
      <c r="Q477" s="371"/>
      <c r="R477" s="371"/>
      <c r="S477" s="371"/>
      <c r="T477" s="371"/>
      <c r="U477" s="371"/>
      <c r="V477" s="371"/>
      <c r="W477" s="371"/>
      <c r="X477" s="371"/>
      <c r="Y477" s="371"/>
      <c r="Z477" s="371"/>
    </row>
    <row r="478" ht="26.25" customHeight="1">
      <c r="A478" s="371"/>
      <c r="B478" s="1265"/>
      <c r="C478" s="371"/>
      <c r="D478" s="371"/>
      <c r="E478" s="371"/>
      <c r="F478" s="371"/>
      <c r="G478" s="371"/>
      <c r="H478" s="371"/>
      <c r="I478" s="371"/>
      <c r="J478" s="371"/>
      <c r="K478" s="371"/>
      <c r="L478" s="371"/>
      <c r="M478" s="371"/>
      <c r="N478" s="371"/>
      <c r="O478" s="371"/>
      <c r="P478" s="371"/>
      <c r="Q478" s="371"/>
      <c r="R478" s="371"/>
      <c r="S478" s="371"/>
      <c r="T478" s="371"/>
      <c r="U478" s="371"/>
      <c r="V478" s="371"/>
      <c r="W478" s="371"/>
      <c r="X478" s="371"/>
      <c r="Y478" s="371"/>
      <c r="Z478" s="371"/>
    </row>
    <row r="479" ht="26.25" customHeight="1">
      <c r="A479" s="371"/>
      <c r="B479" s="1265"/>
      <c r="C479" s="371"/>
      <c r="D479" s="371"/>
      <c r="E479" s="371"/>
      <c r="F479" s="371"/>
      <c r="G479" s="371"/>
      <c r="H479" s="371"/>
      <c r="I479" s="371"/>
      <c r="J479" s="371"/>
      <c r="K479" s="371"/>
      <c r="L479" s="371"/>
      <c r="M479" s="371"/>
      <c r="N479" s="371"/>
      <c r="O479" s="371"/>
      <c r="P479" s="371"/>
      <c r="Q479" s="371"/>
      <c r="R479" s="371"/>
      <c r="S479" s="371"/>
      <c r="T479" s="371"/>
      <c r="U479" s="371"/>
      <c r="V479" s="371"/>
      <c r="W479" s="371"/>
      <c r="X479" s="371"/>
      <c r="Y479" s="371"/>
      <c r="Z479" s="371"/>
    </row>
    <row r="480" ht="26.25" customHeight="1">
      <c r="A480" s="371"/>
      <c r="B480" s="1265"/>
      <c r="C480" s="371"/>
      <c r="D480" s="371"/>
      <c r="E480" s="371"/>
      <c r="F480" s="371"/>
      <c r="G480" s="371"/>
      <c r="H480" s="371"/>
      <c r="I480" s="371"/>
      <c r="J480" s="371"/>
      <c r="K480" s="371"/>
      <c r="L480" s="371"/>
      <c r="M480" s="371"/>
      <c r="N480" s="371"/>
      <c r="O480" s="371"/>
      <c r="P480" s="371"/>
      <c r="Q480" s="371"/>
      <c r="R480" s="371"/>
      <c r="S480" s="371"/>
      <c r="T480" s="371"/>
      <c r="U480" s="371"/>
      <c r="V480" s="371"/>
      <c r="W480" s="371"/>
      <c r="X480" s="371"/>
      <c r="Y480" s="371"/>
      <c r="Z480" s="371"/>
    </row>
    <row r="481" ht="26.25" customHeight="1">
      <c r="A481" s="371"/>
      <c r="B481" s="1265"/>
      <c r="C481" s="371"/>
      <c r="D481" s="371"/>
      <c r="E481" s="371"/>
      <c r="F481" s="371"/>
      <c r="G481" s="371"/>
      <c r="H481" s="371"/>
      <c r="I481" s="371"/>
      <c r="J481" s="371"/>
      <c r="K481" s="371"/>
      <c r="L481" s="371"/>
      <c r="M481" s="371"/>
      <c r="N481" s="371"/>
      <c r="O481" s="371"/>
      <c r="P481" s="371"/>
      <c r="Q481" s="371"/>
      <c r="R481" s="371"/>
      <c r="S481" s="371"/>
      <c r="T481" s="371"/>
      <c r="U481" s="371"/>
      <c r="V481" s="371"/>
      <c r="W481" s="371"/>
      <c r="X481" s="371"/>
      <c r="Y481" s="371"/>
      <c r="Z481" s="371"/>
    </row>
    <row r="482" ht="26.25" customHeight="1">
      <c r="A482" s="371"/>
      <c r="B482" s="1265"/>
      <c r="C482" s="371"/>
      <c r="D482" s="371"/>
      <c r="E482" s="371"/>
      <c r="F482" s="371"/>
      <c r="G482" s="371"/>
      <c r="H482" s="371"/>
      <c r="I482" s="371"/>
      <c r="J482" s="371"/>
      <c r="K482" s="371"/>
      <c r="L482" s="371"/>
      <c r="M482" s="371"/>
      <c r="N482" s="371"/>
      <c r="O482" s="371"/>
      <c r="P482" s="371"/>
      <c r="Q482" s="371"/>
      <c r="R482" s="371"/>
      <c r="S482" s="371"/>
      <c r="T482" s="371"/>
      <c r="U482" s="371"/>
      <c r="V482" s="371"/>
      <c r="W482" s="371"/>
      <c r="X482" s="371"/>
      <c r="Y482" s="371"/>
      <c r="Z482" s="371"/>
    </row>
    <row r="483" ht="26.25" customHeight="1">
      <c r="A483" s="371"/>
      <c r="B483" s="1265"/>
      <c r="C483" s="371"/>
      <c r="D483" s="371"/>
      <c r="E483" s="371"/>
      <c r="F483" s="371"/>
      <c r="G483" s="371"/>
      <c r="H483" s="371"/>
      <c r="I483" s="371"/>
      <c r="J483" s="371"/>
      <c r="K483" s="371"/>
      <c r="L483" s="371"/>
      <c r="M483" s="371"/>
      <c r="N483" s="371"/>
      <c r="O483" s="371"/>
      <c r="P483" s="371"/>
      <c r="Q483" s="371"/>
      <c r="R483" s="371"/>
      <c r="S483" s="371"/>
      <c r="T483" s="371"/>
      <c r="U483" s="371"/>
      <c r="V483" s="371"/>
      <c r="W483" s="371"/>
      <c r="X483" s="371"/>
      <c r="Y483" s="371"/>
      <c r="Z483" s="371"/>
    </row>
    <row r="484" ht="26.25" customHeight="1">
      <c r="A484" s="371"/>
      <c r="B484" s="1265"/>
      <c r="C484" s="371"/>
      <c r="D484" s="371"/>
      <c r="E484" s="371"/>
      <c r="F484" s="371"/>
      <c r="G484" s="371"/>
      <c r="H484" s="371"/>
      <c r="I484" s="371"/>
      <c r="J484" s="371"/>
      <c r="K484" s="371"/>
      <c r="L484" s="371"/>
      <c r="M484" s="371"/>
      <c r="N484" s="371"/>
      <c r="O484" s="371"/>
      <c r="P484" s="371"/>
      <c r="Q484" s="371"/>
      <c r="R484" s="371"/>
      <c r="S484" s="371"/>
      <c r="T484" s="371"/>
      <c r="U484" s="371"/>
      <c r="V484" s="371"/>
      <c r="W484" s="371"/>
      <c r="X484" s="371"/>
      <c r="Y484" s="371"/>
      <c r="Z484" s="371"/>
    </row>
    <row r="485" ht="26.25" customHeight="1">
      <c r="A485" s="371"/>
      <c r="B485" s="1265"/>
      <c r="C485" s="371"/>
      <c r="D485" s="371"/>
      <c r="E485" s="371"/>
      <c r="F485" s="371"/>
      <c r="G485" s="371"/>
      <c r="H485" s="371"/>
      <c r="I485" s="371"/>
      <c r="J485" s="371"/>
      <c r="K485" s="371"/>
      <c r="L485" s="371"/>
      <c r="M485" s="371"/>
      <c r="N485" s="371"/>
      <c r="O485" s="371"/>
      <c r="P485" s="371"/>
      <c r="Q485" s="371"/>
      <c r="R485" s="371"/>
      <c r="S485" s="371"/>
      <c r="T485" s="371"/>
      <c r="U485" s="371"/>
      <c r="V485" s="371"/>
      <c r="W485" s="371"/>
      <c r="X485" s="371"/>
      <c r="Y485" s="371"/>
      <c r="Z485" s="371"/>
    </row>
    <row r="486" ht="26.25" customHeight="1">
      <c r="A486" s="371"/>
      <c r="B486" s="1265"/>
      <c r="C486" s="371"/>
      <c r="D486" s="371"/>
      <c r="E486" s="371"/>
      <c r="F486" s="371"/>
      <c r="G486" s="371"/>
      <c r="H486" s="371"/>
      <c r="I486" s="371"/>
      <c r="J486" s="371"/>
      <c r="K486" s="371"/>
      <c r="L486" s="371"/>
      <c r="M486" s="371"/>
      <c r="N486" s="371"/>
      <c r="O486" s="371"/>
      <c r="P486" s="371"/>
      <c r="Q486" s="371"/>
      <c r="R486" s="371"/>
      <c r="S486" s="371"/>
      <c r="T486" s="371"/>
      <c r="U486" s="371"/>
      <c r="V486" s="371"/>
      <c r="W486" s="371"/>
      <c r="X486" s="371"/>
      <c r="Y486" s="371"/>
      <c r="Z486" s="371"/>
    </row>
    <row r="487" ht="26.25" customHeight="1">
      <c r="A487" s="371"/>
      <c r="B487" s="1265"/>
      <c r="C487" s="371"/>
      <c r="D487" s="371"/>
      <c r="E487" s="371"/>
      <c r="F487" s="371"/>
      <c r="G487" s="371"/>
      <c r="H487" s="371"/>
      <c r="I487" s="371"/>
      <c r="J487" s="371"/>
      <c r="K487" s="371"/>
      <c r="L487" s="371"/>
      <c r="M487" s="371"/>
      <c r="N487" s="371"/>
      <c r="O487" s="371"/>
      <c r="P487" s="371"/>
      <c r="Q487" s="371"/>
      <c r="R487" s="371"/>
      <c r="S487" s="371"/>
      <c r="T487" s="371"/>
      <c r="U487" s="371"/>
      <c r="V487" s="371"/>
      <c r="W487" s="371"/>
      <c r="X487" s="371"/>
      <c r="Y487" s="371"/>
      <c r="Z487" s="371"/>
    </row>
    <row r="488" ht="26.25" customHeight="1">
      <c r="A488" s="371"/>
      <c r="B488" s="1265"/>
      <c r="C488" s="371"/>
      <c r="D488" s="371"/>
      <c r="E488" s="371"/>
      <c r="F488" s="371"/>
      <c r="G488" s="371"/>
      <c r="H488" s="371"/>
      <c r="I488" s="371"/>
      <c r="J488" s="371"/>
      <c r="K488" s="371"/>
      <c r="L488" s="371"/>
      <c r="M488" s="371"/>
      <c r="N488" s="371"/>
      <c r="O488" s="371"/>
      <c r="P488" s="371"/>
      <c r="Q488" s="371"/>
      <c r="R488" s="371"/>
      <c r="S488" s="371"/>
      <c r="T488" s="371"/>
      <c r="U488" s="371"/>
      <c r="V488" s="371"/>
      <c r="W488" s="371"/>
      <c r="X488" s="371"/>
      <c r="Y488" s="371"/>
      <c r="Z488" s="371"/>
    </row>
    <row r="489" ht="26.25" customHeight="1">
      <c r="A489" s="371"/>
      <c r="B489" s="1265"/>
      <c r="C489" s="371"/>
      <c r="D489" s="371"/>
      <c r="E489" s="371"/>
      <c r="F489" s="371"/>
      <c r="G489" s="371"/>
      <c r="H489" s="371"/>
      <c r="I489" s="371"/>
      <c r="J489" s="371"/>
      <c r="K489" s="371"/>
      <c r="L489" s="371"/>
      <c r="M489" s="371"/>
      <c r="N489" s="371"/>
      <c r="O489" s="371"/>
      <c r="P489" s="371"/>
      <c r="Q489" s="371"/>
      <c r="R489" s="371"/>
      <c r="S489" s="371"/>
      <c r="T489" s="371"/>
      <c r="U489" s="371"/>
      <c r="V489" s="371"/>
      <c r="W489" s="371"/>
      <c r="X489" s="371"/>
      <c r="Y489" s="371"/>
      <c r="Z489" s="371"/>
    </row>
    <row r="490" ht="26.25" customHeight="1">
      <c r="A490" s="371"/>
      <c r="B490" s="1265"/>
      <c r="C490" s="371"/>
      <c r="D490" s="371"/>
      <c r="E490" s="371"/>
      <c r="F490" s="371"/>
      <c r="G490" s="371"/>
      <c r="H490" s="371"/>
      <c r="I490" s="371"/>
      <c r="J490" s="371"/>
      <c r="K490" s="371"/>
      <c r="L490" s="371"/>
      <c r="M490" s="371"/>
      <c r="N490" s="371"/>
      <c r="O490" s="371"/>
      <c r="P490" s="371"/>
      <c r="Q490" s="371"/>
      <c r="R490" s="371"/>
      <c r="S490" s="371"/>
      <c r="T490" s="371"/>
      <c r="U490" s="371"/>
      <c r="V490" s="371"/>
      <c r="W490" s="371"/>
      <c r="X490" s="371"/>
      <c r="Y490" s="371"/>
      <c r="Z490" s="371"/>
    </row>
    <row r="491" ht="26.25" customHeight="1">
      <c r="A491" s="371"/>
      <c r="B491" s="1265"/>
      <c r="C491" s="371"/>
      <c r="D491" s="371"/>
      <c r="E491" s="371"/>
      <c r="F491" s="371"/>
      <c r="G491" s="371"/>
      <c r="H491" s="371"/>
      <c r="I491" s="371"/>
      <c r="J491" s="371"/>
      <c r="K491" s="371"/>
      <c r="L491" s="371"/>
      <c r="M491" s="371"/>
      <c r="N491" s="371"/>
      <c r="O491" s="371"/>
      <c r="P491" s="371"/>
      <c r="Q491" s="371"/>
      <c r="R491" s="371"/>
      <c r="S491" s="371"/>
      <c r="T491" s="371"/>
      <c r="U491" s="371"/>
      <c r="V491" s="371"/>
      <c r="W491" s="371"/>
      <c r="X491" s="371"/>
      <c r="Y491" s="371"/>
      <c r="Z491" s="371"/>
    </row>
    <row r="492" ht="26.25" customHeight="1">
      <c r="A492" s="371"/>
      <c r="B492" s="1265"/>
      <c r="C492" s="371"/>
      <c r="D492" s="371"/>
      <c r="E492" s="371"/>
      <c r="F492" s="371"/>
      <c r="G492" s="371"/>
      <c r="H492" s="371"/>
      <c r="I492" s="371"/>
      <c r="J492" s="371"/>
      <c r="K492" s="371"/>
      <c r="L492" s="371"/>
      <c r="M492" s="371"/>
      <c r="N492" s="371"/>
      <c r="O492" s="371"/>
      <c r="P492" s="371"/>
      <c r="Q492" s="371"/>
      <c r="R492" s="371"/>
      <c r="S492" s="371"/>
      <c r="T492" s="371"/>
      <c r="U492" s="371"/>
      <c r="V492" s="371"/>
      <c r="W492" s="371"/>
      <c r="X492" s="371"/>
      <c r="Y492" s="371"/>
      <c r="Z492" s="371"/>
    </row>
    <row r="493" ht="26.25" customHeight="1">
      <c r="A493" s="371"/>
      <c r="B493" s="1265"/>
      <c r="C493" s="371"/>
      <c r="D493" s="371"/>
      <c r="E493" s="371"/>
      <c r="F493" s="371"/>
      <c r="G493" s="371"/>
      <c r="H493" s="371"/>
      <c r="I493" s="371"/>
      <c r="J493" s="371"/>
      <c r="K493" s="371"/>
      <c r="L493" s="371"/>
      <c r="M493" s="371"/>
      <c r="N493" s="371"/>
      <c r="O493" s="371"/>
      <c r="P493" s="371"/>
      <c r="Q493" s="371"/>
      <c r="R493" s="371"/>
      <c r="S493" s="371"/>
      <c r="T493" s="371"/>
      <c r="U493" s="371"/>
      <c r="V493" s="371"/>
      <c r="W493" s="371"/>
      <c r="X493" s="371"/>
      <c r="Y493" s="371"/>
      <c r="Z493" s="371"/>
    </row>
    <row r="494" ht="26.25" customHeight="1">
      <c r="A494" s="371"/>
      <c r="B494" s="1265"/>
      <c r="C494" s="371"/>
      <c r="D494" s="371"/>
      <c r="E494" s="371"/>
      <c r="F494" s="371"/>
      <c r="G494" s="371"/>
      <c r="H494" s="371"/>
      <c r="I494" s="371"/>
      <c r="J494" s="371"/>
      <c r="K494" s="371"/>
      <c r="L494" s="371"/>
      <c r="M494" s="371"/>
      <c r="N494" s="371"/>
      <c r="O494" s="371"/>
      <c r="P494" s="371"/>
      <c r="Q494" s="371"/>
      <c r="R494" s="371"/>
      <c r="S494" s="371"/>
      <c r="T494" s="371"/>
      <c r="U494" s="371"/>
      <c r="V494" s="371"/>
      <c r="W494" s="371"/>
      <c r="X494" s="371"/>
      <c r="Y494" s="371"/>
      <c r="Z494" s="371"/>
    </row>
    <row r="495" ht="26.25" customHeight="1">
      <c r="A495" s="371"/>
      <c r="B495" s="1265"/>
      <c r="C495" s="371"/>
      <c r="D495" s="371"/>
      <c r="E495" s="371"/>
      <c r="F495" s="371"/>
      <c r="G495" s="371"/>
      <c r="H495" s="371"/>
      <c r="I495" s="371"/>
      <c r="J495" s="371"/>
      <c r="K495" s="371"/>
      <c r="L495" s="371"/>
      <c r="M495" s="371"/>
      <c r="N495" s="371"/>
      <c r="O495" s="371"/>
      <c r="P495" s="371"/>
      <c r="Q495" s="371"/>
      <c r="R495" s="371"/>
      <c r="S495" s="371"/>
      <c r="T495" s="371"/>
      <c r="U495" s="371"/>
      <c r="V495" s="371"/>
      <c r="W495" s="371"/>
      <c r="X495" s="371"/>
      <c r="Y495" s="371"/>
      <c r="Z495" s="371"/>
    </row>
    <row r="496" ht="26.25" customHeight="1">
      <c r="A496" s="371"/>
      <c r="B496" s="1265"/>
      <c r="C496" s="371"/>
      <c r="D496" s="371"/>
      <c r="E496" s="371"/>
      <c r="F496" s="371"/>
      <c r="G496" s="371"/>
      <c r="H496" s="371"/>
      <c r="I496" s="371"/>
      <c r="J496" s="371"/>
      <c r="K496" s="371"/>
      <c r="L496" s="371"/>
      <c r="M496" s="371"/>
      <c r="N496" s="371"/>
      <c r="O496" s="371"/>
      <c r="P496" s="371"/>
      <c r="Q496" s="371"/>
      <c r="R496" s="371"/>
      <c r="S496" s="371"/>
      <c r="T496" s="371"/>
      <c r="U496" s="371"/>
      <c r="V496" s="371"/>
      <c r="W496" s="371"/>
      <c r="X496" s="371"/>
      <c r="Y496" s="371"/>
      <c r="Z496" s="371"/>
    </row>
    <row r="497" ht="26.25" customHeight="1">
      <c r="A497" s="371"/>
      <c r="B497" s="1265"/>
      <c r="C497" s="371"/>
      <c r="D497" s="371"/>
      <c r="E497" s="371"/>
      <c r="F497" s="371"/>
      <c r="G497" s="371"/>
      <c r="H497" s="371"/>
      <c r="I497" s="371"/>
      <c r="J497" s="371"/>
      <c r="K497" s="371"/>
      <c r="L497" s="371"/>
      <c r="M497" s="371"/>
      <c r="N497" s="371"/>
      <c r="O497" s="371"/>
      <c r="P497" s="371"/>
      <c r="Q497" s="371"/>
      <c r="R497" s="371"/>
      <c r="S497" s="371"/>
      <c r="T497" s="371"/>
      <c r="U497" s="371"/>
      <c r="V497" s="371"/>
      <c r="W497" s="371"/>
      <c r="X497" s="371"/>
      <c r="Y497" s="371"/>
      <c r="Z497" s="371"/>
    </row>
    <row r="498" ht="26.25" customHeight="1">
      <c r="A498" s="371"/>
      <c r="B498" s="1265"/>
      <c r="C498" s="371"/>
      <c r="D498" s="371"/>
      <c r="E498" s="371"/>
      <c r="F498" s="371"/>
      <c r="G498" s="371"/>
      <c r="H498" s="371"/>
      <c r="I498" s="371"/>
      <c r="J498" s="371"/>
      <c r="K498" s="371"/>
      <c r="L498" s="371"/>
      <c r="M498" s="371"/>
      <c r="N498" s="371"/>
      <c r="O498" s="371"/>
      <c r="P498" s="371"/>
      <c r="Q498" s="371"/>
      <c r="R498" s="371"/>
      <c r="S498" s="371"/>
      <c r="T498" s="371"/>
      <c r="U498" s="371"/>
      <c r="V498" s="371"/>
      <c r="W498" s="371"/>
      <c r="X498" s="371"/>
      <c r="Y498" s="371"/>
      <c r="Z498" s="371"/>
    </row>
    <row r="499" ht="26.25" customHeight="1">
      <c r="A499" s="371"/>
      <c r="B499" s="1265"/>
      <c r="C499" s="371"/>
      <c r="D499" s="371"/>
      <c r="E499" s="371"/>
      <c r="F499" s="371"/>
      <c r="G499" s="371"/>
      <c r="H499" s="371"/>
      <c r="I499" s="371"/>
      <c r="J499" s="371"/>
      <c r="K499" s="371"/>
      <c r="L499" s="371"/>
      <c r="M499" s="371"/>
      <c r="N499" s="371"/>
      <c r="O499" s="371"/>
      <c r="P499" s="371"/>
      <c r="Q499" s="371"/>
      <c r="R499" s="371"/>
      <c r="S499" s="371"/>
      <c r="T499" s="371"/>
      <c r="U499" s="371"/>
      <c r="V499" s="371"/>
      <c r="W499" s="371"/>
      <c r="X499" s="371"/>
      <c r="Y499" s="371"/>
      <c r="Z499" s="371"/>
    </row>
    <row r="500" ht="26.25" customHeight="1">
      <c r="A500" s="371"/>
      <c r="B500" s="1265"/>
      <c r="C500" s="371"/>
      <c r="D500" s="371"/>
      <c r="E500" s="371"/>
      <c r="F500" s="371"/>
      <c r="G500" s="371"/>
      <c r="H500" s="371"/>
      <c r="I500" s="371"/>
      <c r="J500" s="371"/>
      <c r="K500" s="371"/>
      <c r="L500" s="371"/>
      <c r="M500" s="371"/>
      <c r="N500" s="371"/>
      <c r="O500" s="371"/>
      <c r="P500" s="371"/>
      <c r="Q500" s="371"/>
      <c r="R500" s="371"/>
      <c r="S500" s="371"/>
      <c r="T500" s="371"/>
      <c r="U500" s="371"/>
      <c r="V500" s="371"/>
      <c r="W500" s="371"/>
      <c r="X500" s="371"/>
      <c r="Y500" s="371"/>
      <c r="Z500" s="371"/>
    </row>
    <row r="501" ht="26.25" customHeight="1">
      <c r="A501" s="371"/>
      <c r="B501" s="1265"/>
      <c r="C501" s="371"/>
      <c r="D501" s="371"/>
      <c r="E501" s="371"/>
      <c r="F501" s="371"/>
      <c r="G501" s="371"/>
      <c r="H501" s="371"/>
      <c r="I501" s="371"/>
      <c r="J501" s="371"/>
      <c r="K501" s="371"/>
      <c r="L501" s="371"/>
      <c r="M501" s="371"/>
      <c r="N501" s="371"/>
      <c r="O501" s="371"/>
      <c r="P501" s="371"/>
      <c r="Q501" s="371"/>
      <c r="R501" s="371"/>
      <c r="S501" s="371"/>
      <c r="T501" s="371"/>
      <c r="U501" s="371"/>
      <c r="V501" s="371"/>
      <c r="W501" s="371"/>
      <c r="X501" s="371"/>
      <c r="Y501" s="371"/>
      <c r="Z501" s="371"/>
    </row>
    <row r="502" ht="26.25" customHeight="1">
      <c r="A502" s="371"/>
      <c r="B502" s="1265"/>
      <c r="C502" s="371"/>
      <c r="D502" s="371"/>
      <c r="E502" s="371"/>
      <c r="F502" s="371"/>
      <c r="G502" s="371"/>
      <c r="H502" s="371"/>
      <c r="I502" s="371"/>
      <c r="J502" s="371"/>
      <c r="K502" s="371"/>
      <c r="L502" s="371"/>
      <c r="M502" s="371"/>
      <c r="N502" s="371"/>
      <c r="O502" s="371"/>
      <c r="P502" s="371"/>
      <c r="Q502" s="371"/>
      <c r="R502" s="371"/>
      <c r="S502" s="371"/>
      <c r="T502" s="371"/>
      <c r="U502" s="371"/>
      <c r="V502" s="371"/>
      <c r="W502" s="371"/>
      <c r="X502" s="371"/>
      <c r="Y502" s="371"/>
      <c r="Z502" s="371"/>
    </row>
    <row r="503" ht="26.25" customHeight="1">
      <c r="A503" s="371"/>
      <c r="B503" s="1265"/>
      <c r="C503" s="371"/>
      <c r="D503" s="371"/>
      <c r="E503" s="371"/>
      <c r="F503" s="371"/>
      <c r="G503" s="371"/>
      <c r="H503" s="371"/>
      <c r="I503" s="371"/>
      <c r="J503" s="371"/>
      <c r="K503" s="371"/>
      <c r="L503" s="371"/>
      <c r="M503" s="371"/>
      <c r="N503" s="371"/>
      <c r="O503" s="371"/>
      <c r="P503" s="371"/>
      <c r="Q503" s="371"/>
      <c r="R503" s="371"/>
      <c r="S503" s="371"/>
      <c r="T503" s="371"/>
      <c r="U503" s="371"/>
      <c r="V503" s="371"/>
      <c r="W503" s="371"/>
      <c r="X503" s="371"/>
      <c r="Y503" s="371"/>
      <c r="Z503" s="371"/>
    </row>
    <row r="504" ht="26.25" customHeight="1">
      <c r="A504" s="371"/>
      <c r="B504" s="1265"/>
      <c r="C504" s="371"/>
      <c r="D504" s="371"/>
      <c r="E504" s="371"/>
      <c r="F504" s="371"/>
      <c r="G504" s="371"/>
      <c r="H504" s="371"/>
      <c r="I504" s="371"/>
      <c r="J504" s="371"/>
      <c r="K504" s="371"/>
      <c r="L504" s="371"/>
      <c r="M504" s="371"/>
      <c r="N504" s="371"/>
      <c r="O504" s="371"/>
      <c r="P504" s="371"/>
      <c r="Q504" s="371"/>
      <c r="R504" s="371"/>
      <c r="S504" s="371"/>
      <c r="T504" s="371"/>
      <c r="U504" s="371"/>
      <c r="V504" s="371"/>
      <c r="W504" s="371"/>
      <c r="X504" s="371"/>
      <c r="Y504" s="371"/>
      <c r="Z504" s="371"/>
    </row>
    <row r="505" ht="26.25" customHeight="1">
      <c r="A505" s="371"/>
      <c r="B505" s="1265"/>
      <c r="C505" s="371"/>
      <c r="D505" s="371"/>
      <c r="E505" s="371"/>
      <c r="F505" s="371"/>
      <c r="G505" s="371"/>
      <c r="H505" s="371"/>
      <c r="I505" s="371"/>
      <c r="J505" s="371"/>
      <c r="K505" s="371"/>
      <c r="L505" s="371"/>
      <c r="M505" s="371"/>
      <c r="N505" s="371"/>
      <c r="O505" s="371"/>
      <c r="P505" s="371"/>
      <c r="Q505" s="371"/>
      <c r="R505" s="371"/>
      <c r="S505" s="371"/>
      <c r="T505" s="371"/>
      <c r="U505" s="371"/>
      <c r="V505" s="371"/>
      <c r="W505" s="371"/>
      <c r="X505" s="371"/>
      <c r="Y505" s="371"/>
      <c r="Z505" s="371"/>
    </row>
    <row r="506" ht="26.25" customHeight="1">
      <c r="A506" s="371"/>
      <c r="B506" s="1265"/>
      <c r="C506" s="371"/>
      <c r="D506" s="371"/>
      <c r="E506" s="371"/>
      <c r="F506" s="371"/>
      <c r="G506" s="371"/>
      <c r="H506" s="371"/>
      <c r="I506" s="371"/>
      <c r="J506" s="371"/>
      <c r="K506" s="371"/>
      <c r="L506" s="371"/>
      <c r="M506" s="371"/>
      <c r="N506" s="371"/>
      <c r="O506" s="371"/>
      <c r="P506" s="371"/>
      <c r="Q506" s="371"/>
      <c r="R506" s="371"/>
      <c r="S506" s="371"/>
      <c r="T506" s="371"/>
      <c r="U506" s="371"/>
      <c r="V506" s="371"/>
      <c r="W506" s="371"/>
      <c r="X506" s="371"/>
      <c r="Y506" s="371"/>
      <c r="Z506" s="371"/>
    </row>
    <row r="507" ht="26.25" customHeight="1">
      <c r="A507" s="371"/>
      <c r="B507" s="1265"/>
      <c r="C507" s="371"/>
      <c r="D507" s="371"/>
      <c r="E507" s="371"/>
      <c r="F507" s="371"/>
      <c r="G507" s="371"/>
      <c r="H507" s="371"/>
      <c r="I507" s="371"/>
      <c r="J507" s="371"/>
      <c r="K507" s="371"/>
      <c r="L507" s="371"/>
      <c r="M507" s="371"/>
      <c r="N507" s="371"/>
      <c r="O507" s="371"/>
      <c r="P507" s="371"/>
      <c r="Q507" s="371"/>
      <c r="R507" s="371"/>
      <c r="S507" s="371"/>
      <c r="T507" s="371"/>
      <c r="U507" s="371"/>
      <c r="V507" s="371"/>
      <c r="W507" s="371"/>
      <c r="X507" s="371"/>
      <c r="Y507" s="371"/>
      <c r="Z507" s="371"/>
    </row>
    <row r="508" ht="26.25" customHeight="1">
      <c r="A508" s="371"/>
      <c r="B508" s="1265"/>
      <c r="C508" s="371"/>
      <c r="D508" s="371"/>
      <c r="E508" s="371"/>
      <c r="F508" s="371"/>
      <c r="G508" s="371"/>
      <c r="H508" s="371"/>
      <c r="I508" s="371"/>
      <c r="J508" s="371"/>
      <c r="K508" s="371"/>
      <c r="L508" s="371"/>
      <c r="M508" s="371"/>
      <c r="N508" s="371"/>
      <c r="O508" s="371"/>
      <c r="P508" s="371"/>
      <c r="Q508" s="371"/>
      <c r="R508" s="371"/>
      <c r="S508" s="371"/>
      <c r="T508" s="371"/>
      <c r="U508" s="371"/>
      <c r="V508" s="371"/>
      <c r="W508" s="371"/>
      <c r="X508" s="371"/>
      <c r="Y508" s="371"/>
      <c r="Z508" s="371"/>
    </row>
    <row r="509" ht="26.25" customHeight="1">
      <c r="A509" s="371"/>
      <c r="B509" s="1265"/>
      <c r="C509" s="371"/>
      <c r="D509" s="371"/>
      <c r="E509" s="371"/>
      <c r="F509" s="371"/>
      <c r="G509" s="371"/>
      <c r="H509" s="371"/>
      <c r="I509" s="371"/>
      <c r="J509" s="371"/>
      <c r="K509" s="371"/>
      <c r="L509" s="371"/>
      <c r="M509" s="371"/>
      <c r="N509" s="371"/>
      <c r="O509" s="371"/>
      <c r="P509" s="371"/>
      <c r="Q509" s="371"/>
      <c r="R509" s="371"/>
      <c r="S509" s="371"/>
      <c r="T509" s="371"/>
      <c r="U509" s="371"/>
      <c r="V509" s="371"/>
      <c r="W509" s="371"/>
      <c r="X509" s="371"/>
      <c r="Y509" s="371"/>
      <c r="Z509" s="371"/>
    </row>
    <row r="510" ht="26.25" customHeight="1">
      <c r="A510" s="371"/>
      <c r="B510" s="1265"/>
      <c r="C510" s="371"/>
      <c r="D510" s="371"/>
      <c r="E510" s="371"/>
      <c r="F510" s="371"/>
      <c r="G510" s="371"/>
      <c r="H510" s="371"/>
      <c r="I510" s="371"/>
      <c r="J510" s="371"/>
      <c r="K510" s="371"/>
      <c r="L510" s="371"/>
      <c r="M510" s="371"/>
      <c r="N510" s="371"/>
      <c r="O510" s="371"/>
      <c r="P510" s="371"/>
      <c r="Q510" s="371"/>
      <c r="R510" s="371"/>
      <c r="S510" s="371"/>
      <c r="T510" s="371"/>
      <c r="U510" s="371"/>
      <c r="V510" s="371"/>
      <c r="W510" s="371"/>
      <c r="X510" s="371"/>
      <c r="Y510" s="371"/>
      <c r="Z510" s="371"/>
    </row>
    <row r="511" ht="26.25" customHeight="1">
      <c r="A511" s="371"/>
      <c r="B511" s="1265"/>
      <c r="C511" s="371"/>
      <c r="D511" s="371"/>
      <c r="E511" s="371"/>
      <c r="F511" s="371"/>
      <c r="G511" s="371"/>
      <c r="H511" s="371"/>
      <c r="I511" s="371"/>
      <c r="J511" s="371"/>
      <c r="K511" s="371"/>
      <c r="L511" s="371"/>
      <c r="M511" s="371"/>
      <c r="N511" s="371"/>
      <c r="O511" s="371"/>
      <c r="P511" s="371"/>
      <c r="Q511" s="371"/>
      <c r="R511" s="371"/>
      <c r="S511" s="371"/>
      <c r="T511" s="371"/>
      <c r="U511" s="371"/>
      <c r="V511" s="371"/>
      <c r="W511" s="371"/>
      <c r="X511" s="371"/>
      <c r="Y511" s="371"/>
      <c r="Z511" s="371"/>
    </row>
    <row r="512" ht="26.25" customHeight="1">
      <c r="A512" s="371"/>
      <c r="B512" s="1265"/>
      <c r="C512" s="371"/>
      <c r="D512" s="371"/>
      <c r="E512" s="371"/>
      <c r="F512" s="371"/>
      <c r="G512" s="371"/>
      <c r="H512" s="371"/>
      <c r="I512" s="371"/>
      <c r="J512" s="371"/>
      <c r="K512" s="371"/>
      <c r="L512" s="371"/>
      <c r="M512" s="371"/>
      <c r="N512" s="371"/>
      <c r="O512" s="371"/>
      <c r="P512" s="371"/>
      <c r="Q512" s="371"/>
      <c r="R512" s="371"/>
      <c r="S512" s="371"/>
      <c r="T512" s="371"/>
      <c r="U512" s="371"/>
      <c r="V512" s="371"/>
      <c r="W512" s="371"/>
      <c r="X512" s="371"/>
      <c r="Y512" s="371"/>
      <c r="Z512" s="371"/>
    </row>
    <row r="513" ht="26.25" customHeight="1">
      <c r="A513" s="371"/>
      <c r="B513" s="1265"/>
      <c r="C513" s="371"/>
      <c r="D513" s="371"/>
      <c r="E513" s="371"/>
      <c r="F513" s="371"/>
      <c r="G513" s="371"/>
      <c r="H513" s="371"/>
      <c r="I513" s="371"/>
      <c r="J513" s="371"/>
      <c r="K513" s="371"/>
      <c r="L513" s="371"/>
      <c r="M513" s="371"/>
      <c r="N513" s="371"/>
      <c r="O513" s="371"/>
      <c r="P513" s="371"/>
      <c r="Q513" s="371"/>
      <c r="R513" s="371"/>
      <c r="S513" s="371"/>
      <c r="T513" s="371"/>
      <c r="U513" s="371"/>
      <c r="V513" s="371"/>
      <c r="W513" s="371"/>
      <c r="X513" s="371"/>
      <c r="Y513" s="371"/>
      <c r="Z513" s="371"/>
    </row>
    <row r="514" ht="26.25" customHeight="1">
      <c r="A514" s="371"/>
      <c r="B514" s="1265"/>
      <c r="C514" s="371"/>
      <c r="D514" s="371"/>
      <c r="E514" s="371"/>
      <c r="F514" s="371"/>
      <c r="G514" s="371"/>
      <c r="H514" s="371"/>
      <c r="I514" s="371"/>
      <c r="J514" s="371"/>
      <c r="K514" s="371"/>
      <c r="L514" s="371"/>
      <c r="M514" s="371"/>
      <c r="N514" s="371"/>
      <c r="O514" s="371"/>
      <c r="P514" s="371"/>
      <c r="Q514" s="371"/>
      <c r="R514" s="371"/>
      <c r="S514" s="371"/>
      <c r="T514" s="371"/>
      <c r="U514" s="371"/>
      <c r="V514" s="371"/>
      <c r="W514" s="371"/>
      <c r="X514" s="371"/>
      <c r="Y514" s="371"/>
      <c r="Z514" s="371"/>
    </row>
    <row r="515" ht="26.25" customHeight="1">
      <c r="A515" s="371"/>
      <c r="B515" s="1265"/>
      <c r="C515" s="371"/>
      <c r="D515" s="371"/>
      <c r="E515" s="371"/>
      <c r="F515" s="371"/>
      <c r="G515" s="371"/>
      <c r="H515" s="371"/>
      <c r="I515" s="371"/>
      <c r="J515" s="371"/>
      <c r="K515" s="371"/>
      <c r="L515" s="371"/>
      <c r="M515" s="371"/>
      <c r="N515" s="371"/>
      <c r="O515" s="371"/>
      <c r="P515" s="371"/>
      <c r="Q515" s="371"/>
      <c r="R515" s="371"/>
      <c r="S515" s="371"/>
      <c r="T515" s="371"/>
      <c r="U515" s="371"/>
      <c r="V515" s="371"/>
      <c r="W515" s="371"/>
      <c r="X515" s="371"/>
      <c r="Y515" s="371"/>
      <c r="Z515" s="371"/>
    </row>
    <row r="516" ht="26.25" customHeight="1">
      <c r="A516" s="371"/>
      <c r="B516" s="1265"/>
      <c r="C516" s="371"/>
      <c r="D516" s="371"/>
      <c r="E516" s="371"/>
      <c r="F516" s="371"/>
      <c r="G516" s="371"/>
      <c r="H516" s="371"/>
      <c r="I516" s="371"/>
      <c r="J516" s="371"/>
      <c r="K516" s="371"/>
      <c r="L516" s="371"/>
      <c r="M516" s="371"/>
      <c r="N516" s="371"/>
      <c r="O516" s="371"/>
      <c r="P516" s="371"/>
      <c r="Q516" s="371"/>
      <c r="R516" s="371"/>
      <c r="S516" s="371"/>
      <c r="T516" s="371"/>
      <c r="U516" s="371"/>
      <c r="V516" s="371"/>
      <c r="W516" s="371"/>
      <c r="X516" s="371"/>
      <c r="Y516" s="371"/>
      <c r="Z516" s="371"/>
    </row>
    <row r="517" ht="26.25" customHeight="1">
      <c r="A517" s="371"/>
      <c r="B517" s="1265"/>
      <c r="C517" s="371"/>
      <c r="D517" s="371"/>
      <c r="E517" s="371"/>
      <c r="F517" s="371"/>
      <c r="G517" s="371"/>
      <c r="H517" s="371"/>
      <c r="I517" s="371"/>
      <c r="J517" s="371"/>
      <c r="K517" s="371"/>
      <c r="L517" s="371"/>
      <c r="M517" s="371"/>
      <c r="N517" s="371"/>
      <c r="O517" s="371"/>
      <c r="P517" s="371"/>
      <c r="Q517" s="371"/>
      <c r="R517" s="371"/>
      <c r="S517" s="371"/>
      <c r="T517" s="371"/>
      <c r="U517" s="371"/>
      <c r="V517" s="371"/>
      <c r="W517" s="371"/>
      <c r="X517" s="371"/>
      <c r="Y517" s="371"/>
      <c r="Z517" s="371"/>
    </row>
    <row r="518" ht="26.25" customHeight="1">
      <c r="A518" s="371"/>
      <c r="B518" s="1265"/>
      <c r="C518" s="371"/>
      <c r="D518" s="371"/>
      <c r="E518" s="371"/>
      <c r="F518" s="371"/>
      <c r="G518" s="371"/>
      <c r="H518" s="371"/>
      <c r="I518" s="371"/>
      <c r="J518" s="371"/>
      <c r="K518" s="371"/>
      <c r="L518" s="371"/>
      <c r="M518" s="371"/>
      <c r="N518" s="371"/>
      <c r="O518" s="371"/>
      <c r="P518" s="371"/>
      <c r="Q518" s="371"/>
      <c r="R518" s="371"/>
      <c r="S518" s="371"/>
      <c r="T518" s="371"/>
      <c r="U518" s="371"/>
      <c r="V518" s="371"/>
      <c r="W518" s="371"/>
      <c r="X518" s="371"/>
      <c r="Y518" s="371"/>
      <c r="Z518" s="371"/>
    </row>
    <row r="519" ht="26.25" customHeight="1">
      <c r="A519" s="371"/>
      <c r="B519" s="1265"/>
      <c r="C519" s="371"/>
      <c r="D519" s="371"/>
      <c r="E519" s="371"/>
      <c r="F519" s="371"/>
      <c r="G519" s="371"/>
      <c r="H519" s="371"/>
      <c r="I519" s="371"/>
      <c r="J519" s="371"/>
      <c r="K519" s="371"/>
      <c r="L519" s="371"/>
      <c r="M519" s="371"/>
      <c r="N519" s="371"/>
      <c r="O519" s="371"/>
      <c r="P519" s="371"/>
      <c r="Q519" s="371"/>
      <c r="R519" s="371"/>
      <c r="S519" s="371"/>
      <c r="T519" s="371"/>
      <c r="U519" s="371"/>
      <c r="V519" s="371"/>
      <c r="W519" s="371"/>
      <c r="X519" s="371"/>
      <c r="Y519" s="371"/>
      <c r="Z519" s="371"/>
    </row>
    <row r="520" ht="26.25" customHeight="1">
      <c r="A520" s="371"/>
      <c r="B520" s="1265"/>
      <c r="C520" s="371"/>
      <c r="D520" s="371"/>
      <c r="E520" s="371"/>
      <c r="F520" s="371"/>
      <c r="G520" s="371"/>
      <c r="H520" s="371"/>
      <c r="I520" s="371"/>
      <c r="J520" s="371"/>
      <c r="K520" s="371"/>
      <c r="L520" s="371"/>
      <c r="M520" s="371"/>
      <c r="N520" s="371"/>
      <c r="O520" s="371"/>
      <c r="P520" s="371"/>
      <c r="Q520" s="371"/>
      <c r="R520" s="371"/>
      <c r="S520" s="371"/>
      <c r="T520" s="371"/>
      <c r="U520" s="371"/>
      <c r="V520" s="371"/>
      <c r="W520" s="371"/>
      <c r="X520" s="371"/>
      <c r="Y520" s="371"/>
      <c r="Z520" s="371"/>
    </row>
    <row r="521" ht="26.25" customHeight="1">
      <c r="A521" s="371"/>
      <c r="B521" s="1265"/>
      <c r="C521" s="371"/>
      <c r="D521" s="371"/>
      <c r="E521" s="371"/>
      <c r="F521" s="371"/>
      <c r="G521" s="371"/>
      <c r="H521" s="371"/>
      <c r="I521" s="371"/>
      <c r="J521" s="371"/>
      <c r="K521" s="371"/>
      <c r="L521" s="371"/>
      <c r="M521" s="371"/>
      <c r="N521" s="371"/>
      <c r="O521" s="371"/>
      <c r="P521" s="371"/>
      <c r="Q521" s="371"/>
      <c r="R521" s="371"/>
      <c r="S521" s="371"/>
      <c r="T521" s="371"/>
      <c r="U521" s="371"/>
      <c r="V521" s="371"/>
      <c r="W521" s="371"/>
      <c r="X521" s="371"/>
      <c r="Y521" s="371"/>
      <c r="Z521" s="371"/>
    </row>
    <row r="522" ht="26.25" customHeight="1">
      <c r="A522" s="371"/>
      <c r="B522" s="1265"/>
      <c r="C522" s="371"/>
      <c r="D522" s="371"/>
      <c r="E522" s="371"/>
      <c r="F522" s="371"/>
      <c r="G522" s="371"/>
      <c r="H522" s="371"/>
      <c r="I522" s="371"/>
      <c r="J522" s="371"/>
      <c r="K522" s="371"/>
      <c r="L522" s="371"/>
      <c r="M522" s="371"/>
      <c r="N522" s="371"/>
      <c r="O522" s="371"/>
      <c r="P522" s="371"/>
      <c r="Q522" s="371"/>
      <c r="R522" s="371"/>
      <c r="S522" s="371"/>
      <c r="T522" s="371"/>
      <c r="U522" s="371"/>
      <c r="V522" s="371"/>
      <c r="W522" s="371"/>
      <c r="X522" s="371"/>
      <c r="Y522" s="371"/>
      <c r="Z522" s="371"/>
    </row>
    <row r="523" ht="26.25" customHeight="1">
      <c r="A523" s="371"/>
      <c r="B523" s="1265"/>
      <c r="C523" s="371"/>
      <c r="D523" s="371"/>
      <c r="E523" s="371"/>
      <c r="F523" s="371"/>
      <c r="G523" s="371"/>
      <c r="H523" s="371"/>
      <c r="I523" s="371"/>
      <c r="J523" s="371"/>
      <c r="K523" s="371"/>
      <c r="L523" s="371"/>
      <c r="M523" s="371"/>
      <c r="N523" s="371"/>
      <c r="O523" s="371"/>
      <c r="P523" s="371"/>
      <c r="Q523" s="371"/>
      <c r="R523" s="371"/>
      <c r="S523" s="371"/>
      <c r="T523" s="371"/>
      <c r="U523" s="371"/>
      <c r="V523" s="371"/>
      <c r="W523" s="371"/>
      <c r="X523" s="371"/>
      <c r="Y523" s="371"/>
      <c r="Z523" s="371"/>
    </row>
    <row r="524" ht="26.25" customHeight="1">
      <c r="A524" s="371"/>
      <c r="B524" s="1265"/>
      <c r="C524" s="371"/>
      <c r="D524" s="371"/>
      <c r="E524" s="371"/>
      <c r="F524" s="371"/>
      <c r="G524" s="371"/>
      <c r="H524" s="371"/>
      <c r="I524" s="371"/>
      <c r="J524" s="371"/>
      <c r="K524" s="371"/>
      <c r="L524" s="371"/>
      <c r="M524" s="371"/>
      <c r="N524" s="371"/>
      <c r="O524" s="371"/>
      <c r="P524" s="371"/>
      <c r="Q524" s="371"/>
      <c r="R524" s="371"/>
      <c r="S524" s="371"/>
      <c r="T524" s="371"/>
      <c r="U524" s="371"/>
      <c r="V524" s="371"/>
      <c r="W524" s="371"/>
      <c r="X524" s="371"/>
      <c r="Y524" s="371"/>
      <c r="Z524" s="371"/>
    </row>
    <row r="525" ht="26.25" customHeight="1">
      <c r="A525" s="371"/>
      <c r="B525" s="1265"/>
      <c r="C525" s="371"/>
      <c r="D525" s="371"/>
      <c r="E525" s="371"/>
      <c r="F525" s="371"/>
      <c r="G525" s="371"/>
      <c r="H525" s="371"/>
      <c r="I525" s="371"/>
      <c r="J525" s="371"/>
      <c r="K525" s="371"/>
      <c r="L525" s="371"/>
      <c r="M525" s="371"/>
      <c r="N525" s="371"/>
      <c r="O525" s="371"/>
      <c r="P525" s="371"/>
      <c r="Q525" s="371"/>
      <c r="R525" s="371"/>
      <c r="S525" s="371"/>
      <c r="T525" s="371"/>
      <c r="U525" s="371"/>
      <c r="V525" s="371"/>
      <c r="W525" s="371"/>
      <c r="X525" s="371"/>
      <c r="Y525" s="371"/>
      <c r="Z525" s="371"/>
    </row>
    <row r="526" ht="26.25" customHeight="1">
      <c r="A526" s="371"/>
      <c r="B526" s="1265"/>
      <c r="C526" s="371"/>
      <c r="D526" s="371"/>
      <c r="E526" s="371"/>
      <c r="F526" s="371"/>
      <c r="G526" s="371"/>
      <c r="H526" s="371"/>
      <c r="I526" s="371"/>
      <c r="J526" s="371"/>
      <c r="K526" s="371"/>
      <c r="L526" s="371"/>
      <c r="M526" s="371"/>
      <c r="N526" s="371"/>
      <c r="O526" s="371"/>
      <c r="P526" s="371"/>
      <c r="Q526" s="371"/>
      <c r="R526" s="371"/>
      <c r="S526" s="371"/>
      <c r="T526" s="371"/>
      <c r="U526" s="371"/>
      <c r="V526" s="371"/>
      <c r="W526" s="371"/>
      <c r="X526" s="371"/>
      <c r="Y526" s="371"/>
      <c r="Z526" s="371"/>
    </row>
    <row r="527" ht="26.25" customHeight="1">
      <c r="A527" s="371"/>
      <c r="B527" s="1265"/>
      <c r="C527" s="371"/>
      <c r="D527" s="371"/>
      <c r="E527" s="371"/>
      <c r="F527" s="371"/>
      <c r="G527" s="371"/>
      <c r="H527" s="371"/>
      <c r="I527" s="371"/>
      <c r="J527" s="371"/>
      <c r="K527" s="371"/>
      <c r="L527" s="371"/>
      <c r="M527" s="371"/>
      <c r="N527" s="371"/>
      <c r="O527" s="371"/>
      <c r="P527" s="371"/>
      <c r="Q527" s="371"/>
      <c r="R527" s="371"/>
      <c r="S527" s="371"/>
      <c r="T527" s="371"/>
      <c r="U527" s="371"/>
      <c r="V527" s="371"/>
      <c r="W527" s="371"/>
      <c r="X527" s="371"/>
      <c r="Y527" s="371"/>
      <c r="Z527" s="371"/>
    </row>
    <row r="528" ht="26.25" customHeight="1">
      <c r="A528" s="371"/>
      <c r="B528" s="1265"/>
      <c r="C528" s="371"/>
      <c r="D528" s="371"/>
      <c r="E528" s="371"/>
      <c r="F528" s="371"/>
      <c r="G528" s="371"/>
      <c r="H528" s="371"/>
      <c r="I528" s="371"/>
      <c r="J528" s="371"/>
      <c r="K528" s="371"/>
      <c r="L528" s="371"/>
      <c r="M528" s="371"/>
      <c r="N528" s="371"/>
      <c r="O528" s="371"/>
      <c r="P528" s="371"/>
      <c r="Q528" s="371"/>
      <c r="R528" s="371"/>
      <c r="S528" s="371"/>
      <c r="T528" s="371"/>
      <c r="U528" s="371"/>
      <c r="V528" s="371"/>
      <c r="W528" s="371"/>
      <c r="X528" s="371"/>
      <c r="Y528" s="371"/>
      <c r="Z528" s="371"/>
    </row>
    <row r="529" ht="26.25" customHeight="1">
      <c r="A529" s="371"/>
      <c r="B529" s="1265"/>
      <c r="C529" s="371"/>
      <c r="D529" s="371"/>
      <c r="E529" s="371"/>
      <c r="F529" s="371"/>
      <c r="G529" s="371"/>
      <c r="H529" s="371"/>
      <c r="I529" s="371"/>
      <c r="J529" s="371"/>
      <c r="K529" s="371"/>
      <c r="L529" s="371"/>
      <c r="M529" s="371"/>
      <c r="N529" s="371"/>
      <c r="O529" s="371"/>
      <c r="P529" s="371"/>
      <c r="Q529" s="371"/>
      <c r="R529" s="371"/>
      <c r="S529" s="371"/>
      <c r="T529" s="371"/>
      <c r="U529" s="371"/>
      <c r="V529" s="371"/>
      <c r="W529" s="371"/>
      <c r="X529" s="371"/>
      <c r="Y529" s="371"/>
      <c r="Z529" s="371"/>
    </row>
    <row r="530" ht="26.25" customHeight="1">
      <c r="A530" s="371"/>
      <c r="B530" s="1265"/>
      <c r="C530" s="371"/>
      <c r="D530" s="371"/>
      <c r="E530" s="371"/>
      <c r="F530" s="371"/>
      <c r="G530" s="371"/>
      <c r="H530" s="371"/>
      <c r="I530" s="371"/>
      <c r="J530" s="371"/>
      <c r="K530" s="371"/>
      <c r="L530" s="371"/>
      <c r="M530" s="371"/>
      <c r="N530" s="371"/>
      <c r="O530" s="371"/>
      <c r="P530" s="371"/>
      <c r="Q530" s="371"/>
      <c r="R530" s="371"/>
      <c r="S530" s="371"/>
      <c r="T530" s="371"/>
      <c r="U530" s="371"/>
      <c r="V530" s="371"/>
      <c r="W530" s="371"/>
      <c r="X530" s="371"/>
      <c r="Y530" s="371"/>
      <c r="Z530" s="371"/>
    </row>
    <row r="531" ht="26.25" customHeight="1">
      <c r="A531" s="371"/>
      <c r="B531" s="1265"/>
      <c r="C531" s="371"/>
      <c r="D531" s="371"/>
      <c r="E531" s="371"/>
      <c r="F531" s="371"/>
      <c r="G531" s="371"/>
      <c r="H531" s="371"/>
      <c r="I531" s="371"/>
      <c r="J531" s="371"/>
      <c r="K531" s="371"/>
      <c r="L531" s="371"/>
      <c r="M531" s="371"/>
      <c r="N531" s="371"/>
      <c r="O531" s="371"/>
      <c r="P531" s="371"/>
      <c r="Q531" s="371"/>
      <c r="R531" s="371"/>
      <c r="S531" s="371"/>
      <c r="T531" s="371"/>
      <c r="U531" s="371"/>
      <c r="V531" s="371"/>
      <c r="W531" s="371"/>
      <c r="X531" s="371"/>
      <c r="Y531" s="371"/>
      <c r="Z531" s="371"/>
    </row>
    <row r="532" ht="26.25" customHeight="1">
      <c r="A532" s="371"/>
      <c r="B532" s="1265"/>
      <c r="C532" s="371"/>
      <c r="D532" s="371"/>
      <c r="E532" s="371"/>
      <c r="F532" s="371"/>
      <c r="G532" s="371"/>
      <c r="H532" s="371"/>
      <c r="I532" s="371"/>
      <c r="J532" s="371"/>
      <c r="K532" s="371"/>
      <c r="L532" s="371"/>
      <c r="M532" s="371"/>
      <c r="N532" s="371"/>
      <c r="O532" s="371"/>
      <c r="P532" s="371"/>
      <c r="Q532" s="371"/>
      <c r="R532" s="371"/>
      <c r="S532" s="371"/>
      <c r="T532" s="371"/>
      <c r="U532" s="371"/>
      <c r="V532" s="371"/>
      <c r="W532" s="371"/>
      <c r="X532" s="371"/>
      <c r="Y532" s="371"/>
      <c r="Z532" s="371"/>
    </row>
    <row r="533" ht="26.25" customHeight="1">
      <c r="A533" s="371"/>
      <c r="B533" s="1265"/>
      <c r="C533" s="371"/>
      <c r="D533" s="371"/>
      <c r="E533" s="371"/>
      <c r="F533" s="371"/>
      <c r="G533" s="371"/>
      <c r="H533" s="371"/>
      <c r="I533" s="371"/>
      <c r="J533" s="371"/>
      <c r="K533" s="371"/>
      <c r="L533" s="371"/>
      <c r="M533" s="371"/>
      <c r="N533" s="371"/>
      <c r="O533" s="371"/>
      <c r="P533" s="371"/>
      <c r="Q533" s="371"/>
      <c r="R533" s="371"/>
      <c r="S533" s="371"/>
      <c r="T533" s="371"/>
      <c r="U533" s="371"/>
      <c r="V533" s="371"/>
      <c r="W533" s="371"/>
      <c r="X533" s="371"/>
      <c r="Y533" s="371"/>
      <c r="Z533" s="371"/>
    </row>
    <row r="534" ht="26.25" customHeight="1">
      <c r="A534" s="371"/>
      <c r="B534" s="1265"/>
      <c r="C534" s="371"/>
      <c r="D534" s="371"/>
      <c r="E534" s="371"/>
      <c r="F534" s="371"/>
      <c r="G534" s="371"/>
      <c r="H534" s="371"/>
      <c r="I534" s="371"/>
      <c r="J534" s="371"/>
      <c r="K534" s="371"/>
      <c r="L534" s="371"/>
      <c r="M534" s="371"/>
      <c r="N534" s="371"/>
      <c r="O534" s="371"/>
      <c r="P534" s="371"/>
      <c r="Q534" s="371"/>
      <c r="R534" s="371"/>
      <c r="S534" s="371"/>
      <c r="T534" s="371"/>
      <c r="U534" s="371"/>
      <c r="V534" s="371"/>
      <c r="W534" s="371"/>
      <c r="X534" s="371"/>
      <c r="Y534" s="371"/>
      <c r="Z534" s="371"/>
    </row>
    <row r="535" ht="26.25" customHeight="1">
      <c r="A535" s="371"/>
      <c r="B535" s="1265"/>
      <c r="C535" s="371"/>
      <c r="D535" s="371"/>
      <c r="E535" s="371"/>
      <c r="F535" s="371"/>
      <c r="G535" s="371"/>
      <c r="H535" s="371"/>
      <c r="I535" s="371"/>
      <c r="J535" s="371"/>
      <c r="K535" s="371"/>
      <c r="L535" s="371"/>
      <c r="M535" s="371"/>
      <c r="N535" s="371"/>
      <c r="O535" s="371"/>
      <c r="P535" s="371"/>
      <c r="Q535" s="371"/>
      <c r="R535" s="371"/>
      <c r="S535" s="371"/>
      <c r="T535" s="371"/>
      <c r="U535" s="371"/>
      <c r="V535" s="371"/>
      <c r="W535" s="371"/>
      <c r="X535" s="371"/>
      <c r="Y535" s="371"/>
      <c r="Z535" s="371"/>
    </row>
    <row r="536" ht="26.25" customHeight="1">
      <c r="A536" s="371"/>
      <c r="B536" s="1265"/>
      <c r="C536" s="371"/>
      <c r="D536" s="371"/>
      <c r="E536" s="371"/>
      <c r="F536" s="371"/>
      <c r="G536" s="371"/>
      <c r="H536" s="371"/>
      <c r="I536" s="371"/>
      <c r="J536" s="371"/>
      <c r="K536" s="371"/>
      <c r="L536" s="371"/>
      <c r="M536" s="371"/>
      <c r="N536" s="371"/>
      <c r="O536" s="371"/>
      <c r="P536" s="371"/>
      <c r="Q536" s="371"/>
      <c r="R536" s="371"/>
      <c r="S536" s="371"/>
      <c r="T536" s="371"/>
      <c r="U536" s="371"/>
      <c r="V536" s="371"/>
      <c r="W536" s="371"/>
      <c r="X536" s="371"/>
      <c r="Y536" s="371"/>
      <c r="Z536" s="371"/>
    </row>
    <row r="537" ht="26.25" customHeight="1">
      <c r="A537" s="371"/>
      <c r="B537" s="1265"/>
      <c r="C537" s="371"/>
      <c r="D537" s="371"/>
      <c r="E537" s="371"/>
      <c r="F537" s="371"/>
      <c r="G537" s="371"/>
      <c r="H537" s="371"/>
      <c r="I537" s="371"/>
      <c r="J537" s="371"/>
      <c r="K537" s="371"/>
      <c r="L537" s="371"/>
      <c r="M537" s="371"/>
      <c r="N537" s="371"/>
      <c r="O537" s="371"/>
      <c r="P537" s="371"/>
      <c r="Q537" s="371"/>
      <c r="R537" s="371"/>
      <c r="S537" s="371"/>
      <c r="T537" s="371"/>
      <c r="U537" s="371"/>
      <c r="V537" s="371"/>
      <c r="W537" s="371"/>
      <c r="X537" s="371"/>
      <c r="Y537" s="371"/>
      <c r="Z537" s="371"/>
    </row>
    <row r="538" ht="26.25" customHeight="1">
      <c r="A538" s="371"/>
      <c r="B538" s="1265"/>
      <c r="C538" s="371"/>
      <c r="D538" s="371"/>
      <c r="E538" s="371"/>
      <c r="F538" s="371"/>
      <c r="G538" s="371"/>
      <c r="H538" s="371"/>
      <c r="I538" s="371"/>
      <c r="J538" s="371"/>
      <c r="K538" s="371"/>
      <c r="L538" s="371"/>
      <c r="M538" s="371"/>
      <c r="N538" s="371"/>
      <c r="O538" s="371"/>
      <c r="P538" s="371"/>
      <c r="Q538" s="371"/>
      <c r="R538" s="371"/>
      <c r="S538" s="371"/>
      <c r="T538" s="371"/>
      <c r="U538" s="371"/>
      <c r="V538" s="371"/>
      <c r="W538" s="371"/>
      <c r="X538" s="371"/>
      <c r="Y538" s="371"/>
      <c r="Z538" s="371"/>
    </row>
    <row r="539" ht="26.25" customHeight="1">
      <c r="A539" s="371"/>
      <c r="B539" s="1265"/>
      <c r="C539" s="371"/>
      <c r="D539" s="371"/>
      <c r="E539" s="371"/>
      <c r="F539" s="371"/>
      <c r="G539" s="371"/>
      <c r="H539" s="371"/>
      <c r="I539" s="371"/>
      <c r="J539" s="371"/>
      <c r="K539" s="371"/>
      <c r="L539" s="371"/>
      <c r="M539" s="371"/>
      <c r="N539" s="371"/>
      <c r="O539" s="371"/>
      <c r="P539" s="371"/>
      <c r="Q539" s="371"/>
      <c r="R539" s="371"/>
      <c r="S539" s="371"/>
      <c r="T539" s="371"/>
      <c r="U539" s="371"/>
      <c r="V539" s="371"/>
      <c r="W539" s="371"/>
      <c r="X539" s="371"/>
      <c r="Y539" s="371"/>
      <c r="Z539" s="371"/>
    </row>
    <row r="540" ht="26.25" customHeight="1">
      <c r="A540" s="371"/>
      <c r="B540" s="1265"/>
      <c r="C540" s="371"/>
      <c r="D540" s="371"/>
      <c r="E540" s="371"/>
      <c r="F540" s="371"/>
      <c r="G540" s="371"/>
      <c r="H540" s="371"/>
      <c r="I540" s="371"/>
      <c r="J540" s="371"/>
      <c r="K540" s="371"/>
      <c r="L540" s="371"/>
      <c r="M540" s="371"/>
      <c r="N540" s="371"/>
      <c r="O540" s="371"/>
      <c r="P540" s="371"/>
      <c r="Q540" s="371"/>
      <c r="R540" s="371"/>
      <c r="S540" s="371"/>
      <c r="T540" s="371"/>
      <c r="U540" s="371"/>
      <c r="V540" s="371"/>
      <c r="W540" s="371"/>
      <c r="X540" s="371"/>
      <c r="Y540" s="371"/>
      <c r="Z540" s="371"/>
    </row>
    <row r="541" ht="26.25" customHeight="1">
      <c r="A541" s="371"/>
      <c r="B541" s="1265"/>
      <c r="C541" s="371"/>
      <c r="D541" s="371"/>
      <c r="E541" s="371"/>
      <c r="F541" s="371"/>
      <c r="G541" s="371"/>
      <c r="H541" s="371"/>
      <c r="I541" s="371"/>
      <c r="J541" s="371"/>
      <c r="K541" s="371"/>
      <c r="L541" s="371"/>
      <c r="M541" s="371"/>
      <c r="N541" s="371"/>
      <c r="O541" s="371"/>
      <c r="P541" s="371"/>
      <c r="Q541" s="371"/>
      <c r="R541" s="371"/>
      <c r="S541" s="371"/>
      <c r="T541" s="371"/>
      <c r="U541" s="371"/>
      <c r="V541" s="371"/>
      <c r="W541" s="371"/>
      <c r="X541" s="371"/>
      <c r="Y541" s="371"/>
      <c r="Z541" s="371"/>
    </row>
    <row r="542" ht="26.25" customHeight="1">
      <c r="A542" s="371"/>
      <c r="B542" s="1265"/>
      <c r="C542" s="371"/>
      <c r="D542" s="371"/>
      <c r="E542" s="371"/>
      <c r="F542" s="371"/>
      <c r="G542" s="371"/>
      <c r="H542" s="371"/>
      <c r="I542" s="371"/>
      <c r="J542" s="371"/>
      <c r="K542" s="371"/>
      <c r="L542" s="371"/>
      <c r="M542" s="371"/>
      <c r="N542" s="371"/>
      <c r="O542" s="371"/>
      <c r="P542" s="371"/>
      <c r="Q542" s="371"/>
      <c r="R542" s="371"/>
      <c r="S542" s="371"/>
      <c r="T542" s="371"/>
      <c r="U542" s="371"/>
      <c r="V542" s="371"/>
      <c r="W542" s="371"/>
      <c r="X542" s="371"/>
      <c r="Y542" s="371"/>
      <c r="Z542" s="371"/>
    </row>
    <row r="543" ht="26.25" customHeight="1">
      <c r="A543" s="371"/>
      <c r="B543" s="1265"/>
      <c r="C543" s="371"/>
      <c r="D543" s="371"/>
      <c r="E543" s="371"/>
      <c r="F543" s="371"/>
      <c r="G543" s="371"/>
      <c r="H543" s="371"/>
      <c r="I543" s="371"/>
      <c r="J543" s="371"/>
      <c r="K543" s="371"/>
      <c r="L543" s="371"/>
      <c r="M543" s="371"/>
      <c r="N543" s="371"/>
      <c r="O543" s="371"/>
      <c r="P543" s="371"/>
      <c r="Q543" s="371"/>
      <c r="R543" s="371"/>
      <c r="S543" s="371"/>
      <c r="T543" s="371"/>
      <c r="U543" s="371"/>
      <c r="V543" s="371"/>
      <c r="W543" s="371"/>
      <c r="X543" s="371"/>
      <c r="Y543" s="371"/>
      <c r="Z543" s="371"/>
    </row>
    <row r="544" ht="26.25" customHeight="1">
      <c r="A544" s="371"/>
      <c r="B544" s="1265"/>
      <c r="C544" s="371"/>
      <c r="D544" s="371"/>
      <c r="E544" s="371"/>
      <c r="F544" s="371"/>
      <c r="G544" s="371"/>
      <c r="H544" s="371"/>
      <c r="I544" s="371"/>
      <c r="J544" s="371"/>
      <c r="K544" s="371"/>
      <c r="L544" s="371"/>
      <c r="M544" s="371"/>
      <c r="N544" s="371"/>
      <c r="O544" s="371"/>
      <c r="P544" s="371"/>
      <c r="Q544" s="371"/>
      <c r="R544" s="371"/>
      <c r="S544" s="371"/>
      <c r="T544" s="371"/>
      <c r="U544" s="371"/>
      <c r="V544" s="371"/>
      <c r="W544" s="371"/>
      <c r="X544" s="371"/>
      <c r="Y544" s="371"/>
      <c r="Z544" s="371"/>
    </row>
    <row r="545" ht="26.25" customHeight="1">
      <c r="A545" s="371"/>
      <c r="B545" s="1265"/>
      <c r="C545" s="371"/>
      <c r="D545" s="371"/>
      <c r="E545" s="371"/>
      <c r="F545" s="371"/>
      <c r="G545" s="371"/>
      <c r="H545" s="371"/>
      <c r="I545" s="371"/>
      <c r="J545" s="371"/>
      <c r="K545" s="371"/>
      <c r="L545" s="371"/>
      <c r="M545" s="371"/>
      <c r="N545" s="371"/>
      <c r="O545" s="371"/>
      <c r="P545" s="371"/>
      <c r="Q545" s="371"/>
      <c r="R545" s="371"/>
      <c r="S545" s="371"/>
      <c r="T545" s="371"/>
      <c r="U545" s="371"/>
      <c r="V545" s="371"/>
      <c r="W545" s="371"/>
      <c r="X545" s="371"/>
      <c r="Y545" s="371"/>
      <c r="Z545" s="371"/>
    </row>
    <row r="546" ht="26.25" customHeight="1">
      <c r="A546" s="371"/>
      <c r="B546" s="1265"/>
      <c r="C546" s="371"/>
      <c r="D546" s="371"/>
      <c r="E546" s="371"/>
      <c r="F546" s="371"/>
      <c r="G546" s="371"/>
      <c r="H546" s="371"/>
      <c r="I546" s="371"/>
      <c r="J546" s="371"/>
      <c r="K546" s="371"/>
      <c r="L546" s="371"/>
      <c r="M546" s="371"/>
      <c r="N546" s="371"/>
      <c r="O546" s="371"/>
      <c r="P546" s="371"/>
      <c r="Q546" s="371"/>
      <c r="R546" s="371"/>
      <c r="S546" s="371"/>
      <c r="T546" s="371"/>
      <c r="U546" s="371"/>
      <c r="V546" s="371"/>
      <c r="W546" s="371"/>
      <c r="X546" s="371"/>
      <c r="Y546" s="371"/>
      <c r="Z546" s="371"/>
    </row>
    <row r="547" ht="26.25" customHeight="1">
      <c r="A547" s="371"/>
      <c r="B547" s="1265"/>
      <c r="C547" s="371"/>
      <c r="D547" s="371"/>
      <c r="E547" s="371"/>
      <c r="F547" s="371"/>
      <c r="G547" s="371"/>
      <c r="H547" s="371"/>
      <c r="I547" s="371"/>
      <c r="J547" s="371"/>
      <c r="K547" s="371"/>
      <c r="L547" s="371"/>
      <c r="M547" s="371"/>
      <c r="N547" s="371"/>
      <c r="O547" s="371"/>
      <c r="P547" s="371"/>
      <c r="Q547" s="371"/>
      <c r="R547" s="371"/>
      <c r="S547" s="371"/>
      <c r="T547" s="371"/>
      <c r="U547" s="371"/>
      <c r="V547" s="371"/>
      <c r="W547" s="371"/>
      <c r="X547" s="371"/>
      <c r="Y547" s="371"/>
      <c r="Z547" s="371"/>
    </row>
    <row r="548" ht="26.25" customHeight="1">
      <c r="A548" s="371"/>
      <c r="B548" s="1265"/>
      <c r="C548" s="371"/>
      <c r="D548" s="371"/>
      <c r="E548" s="371"/>
      <c r="F548" s="371"/>
      <c r="G548" s="371"/>
      <c r="H548" s="371"/>
      <c r="I548" s="371"/>
      <c r="J548" s="371"/>
      <c r="K548" s="371"/>
      <c r="L548" s="371"/>
      <c r="M548" s="371"/>
      <c r="N548" s="371"/>
      <c r="O548" s="371"/>
      <c r="P548" s="371"/>
      <c r="Q548" s="371"/>
      <c r="R548" s="371"/>
      <c r="S548" s="371"/>
      <c r="T548" s="371"/>
      <c r="U548" s="371"/>
      <c r="V548" s="371"/>
      <c r="W548" s="371"/>
      <c r="X548" s="371"/>
      <c r="Y548" s="371"/>
      <c r="Z548" s="371"/>
    </row>
    <row r="549" ht="26.25" customHeight="1">
      <c r="A549" s="371"/>
      <c r="B549" s="1265"/>
      <c r="C549" s="371"/>
      <c r="D549" s="371"/>
      <c r="E549" s="371"/>
      <c r="F549" s="371"/>
      <c r="G549" s="371"/>
      <c r="H549" s="371"/>
      <c r="I549" s="371"/>
      <c r="J549" s="371"/>
      <c r="K549" s="371"/>
      <c r="L549" s="371"/>
      <c r="M549" s="371"/>
      <c r="N549" s="371"/>
      <c r="O549" s="371"/>
      <c r="P549" s="371"/>
      <c r="Q549" s="371"/>
      <c r="R549" s="371"/>
      <c r="S549" s="371"/>
      <c r="T549" s="371"/>
      <c r="U549" s="371"/>
      <c r="V549" s="371"/>
      <c r="W549" s="371"/>
      <c r="X549" s="371"/>
      <c r="Y549" s="371"/>
      <c r="Z549" s="371"/>
    </row>
    <row r="550" ht="26.25" customHeight="1">
      <c r="A550" s="371"/>
      <c r="B550" s="1265"/>
      <c r="C550" s="371"/>
      <c r="D550" s="371"/>
      <c r="E550" s="371"/>
      <c r="F550" s="371"/>
      <c r="G550" s="371"/>
      <c r="H550" s="371"/>
      <c r="I550" s="371"/>
      <c r="J550" s="371"/>
      <c r="K550" s="371"/>
      <c r="L550" s="371"/>
      <c r="M550" s="371"/>
      <c r="N550" s="371"/>
      <c r="O550" s="371"/>
      <c r="P550" s="371"/>
      <c r="Q550" s="371"/>
      <c r="R550" s="371"/>
      <c r="S550" s="371"/>
      <c r="T550" s="371"/>
      <c r="U550" s="371"/>
      <c r="V550" s="371"/>
      <c r="W550" s="371"/>
      <c r="X550" s="371"/>
      <c r="Y550" s="371"/>
      <c r="Z550" s="371"/>
    </row>
    <row r="551" ht="26.25" customHeight="1">
      <c r="A551" s="371"/>
      <c r="B551" s="1265"/>
      <c r="C551" s="371"/>
      <c r="D551" s="371"/>
      <c r="E551" s="371"/>
      <c r="F551" s="371"/>
      <c r="G551" s="371"/>
      <c r="H551" s="371"/>
      <c r="I551" s="371"/>
      <c r="J551" s="371"/>
      <c r="K551" s="371"/>
      <c r="L551" s="371"/>
      <c r="M551" s="371"/>
      <c r="N551" s="371"/>
      <c r="O551" s="371"/>
      <c r="P551" s="371"/>
      <c r="Q551" s="371"/>
      <c r="R551" s="371"/>
      <c r="S551" s="371"/>
      <c r="T551" s="371"/>
      <c r="U551" s="371"/>
      <c r="V551" s="371"/>
      <c r="W551" s="371"/>
      <c r="X551" s="371"/>
      <c r="Y551" s="371"/>
      <c r="Z551" s="371"/>
    </row>
    <row r="552" ht="26.25" customHeight="1">
      <c r="A552" s="371"/>
      <c r="B552" s="1265"/>
      <c r="C552" s="371"/>
      <c r="D552" s="371"/>
      <c r="E552" s="371"/>
      <c r="F552" s="371"/>
      <c r="G552" s="371"/>
      <c r="H552" s="371"/>
      <c r="I552" s="371"/>
      <c r="J552" s="371"/>
      <c r="K552" s="371"/>
      <c r="L552" s="371"/>
      <c r="M552" s="371"/>
      <c r="N552" s="371"/>
      <c r="O552" s="371"/>
      <c r="P552" s="371"/>
      <c r="Q552" s="371"/>
      <c r="R552" s="371"/>
      <c r="S552" s="371"/>
      <c r="T552" s="371"/>
      <c r="U552" s="371"/>
      <c r="V552" s="371"/>
      <c r="W552" s="371"/>
      <c r="X552" s="371"/>
      <c r="Y552" s="371"/>
      <c r="Z552" s="371"/>
    </row>
    <row r="553" ht="26.25" customHeight="1">
      <c r="A553" s="371"/>
      <c r="B553" s="1265"/>
      <c r="C553" s="371"/>
      <c r="D553" s="371"/>
      <c r="E553" s="371"/>
      <c r="F553" s="371"/>
      <c r="G553" s="371"/>
      <c r="H553" s="371"/>
      <c r="I553" s="371"/>
      <c r="J553" s="371"/>
      <c r="K553" s="371"/>
      <c r="L553" s="371"/>
      <c r="M553" s="371"/>
      <c r="N553" s="371"/>
      <c r="O553" s="371"/>
      <c r="P553" s="371"/>
      <c r="Q553" s="371"/>
      <c r="R553" s="371"/>
      <c r="S553" s="371"/>
      <c r="T553" s="371"/>
      <c r="U553" s="371"/>
      <c r="V553" s="371"/>
      <c r="W553" s="371"/>
      <c r="X553" s="371"/>
      <c r="Y553" s="371"/>
      <c r="Z553" s="371"/>
    </row>
    <row r="554" ht="26.25" customHeight="1">
      <c r="A554" s="371"/>
      <c r="B554" s="1265"/>
      <c r="C554" s="371"/>
      <c r="D554" s="371"/>
      <c r="E554" s="371"/>
      <c r="F554" s="371"/>
      <c r="G554" s="371"/>
      <c r="H554" s="371"/>
      <c r="I554" s="371"/>
      <c r="J554" s="371"/>
      <c r="K554" s="371"/>
      <c r="L554" s="371"/>
      <c r="M554" s="371"/>
      <c r="N554" s="371"/>
      <c r="O554" s="371"/>
      <c r="P554" s="371"/>
      <c r="Q554" s="371"/>
      <c r="R554" s="371"/>
      <c r="S554" s="371"/>
      <c r="T554" s="371"/>
      <c r="U554" s="371"/>
      <c r="V554" s="371"/>
      <c r="W554" s="371"/>
      <c r="X554" s="371"/>
      <c r="Y554" s="371"/>
      <c r="Z554" s="371"/>
    </row>
    <row r="555" ht="26.25" customHeight="1">
      <c r="A555" s="371"/>
      <c r="B555" s="1265"/>
      <c r="C555" s="371"/>
      <c r="D555" s="371"/>
      <c r="E555" s="371"/>
      <c r="F555" s="371"/>
      <c r="G555" s="371"/>
      <c r="H555" s="371"/>
      <c r="I555" s="371"/>
      <c r="J555" s="371"/>
      <c r="K555" s="371"/>
      <c r="L555" s="371"/>
      <c r="M555" s="371"/>
      <c r="N555" s="371"/>
      <c r="O555" s="371"/>
      <c r="P555" s="371"/>
      <c r="Q555" s="371"/>
      <c r="R555" s="371"/>
      <c r="S555" s="371"/>
      <c r="T555" s="371"/>
      <c r="U555" s="371"/>
      <c r="V555" s="371"/>
      <c r="W555" s="371"/>
      <c r="X555" s="371"/>
      <c r="Y555" s="371"/>
      <c r="Z555" s="371"/>
    </row>
    <row r="556" ht="26.25" customHeight="1">
      <c r="A556" s="371"/>
      <c r="B556" s="1265"/>
      <c r="C556" s="371"/>
      <c r="D556" s="371"/>
      <c r="E556" s="371"/>
      <c r="F556" s="371"/>
      <c r="G556" s="371"/>
      <c r="H556" s="371"/>
      <c r="I556" s="371"/>
      <c r="J556" s="371"/>
      <c r="K556" s="371"/>
      <c r="L556" s="371"/>
      <c r="M556" s="371"/>
      <c r="N556" s="371"/>
      <c r="O556" s="371"/>
      <c r="P556" s="371"/>
      <c r="Q556" s="371"/>
      <c r="R556" s="371"/>
      <c r="S556" s="371"/>
      <c r="T556" s="371"/>
      <c r="U556" s="371"/>
      <c r="V556" s="371"/>
      <c r="W556" s="371"/>
      <c r="X556" s="371"/>
      <c r="Y556" s="371"/>
      <c r="Z556" s="371"/>
    </row>
    <row r="557" ht="26.25" customHeight="1">
      <c r="A557" s="371"/>
      <c r="B557" s="1265"/>
      <c r="C557" s="371"/>
      <c r="D557" s="371"/>
      <c r="E557" s="371"/>
      <c r="F557" s="371"/>
      <c r="G557" s="371"/>
      <c r="H557" s="371"/>
      <c r="I557" s="371"/>
      <c r="J557" s="371"/>
      <c r="K557" s="371"/>
      <c r="L557" s="371"/>
      <c r="M557" s="371"/>
      <c r="N557" s="371"/>
      <c r="O557" s="371"/>
      <c r="P557" s="371"/>
      <c r="Q557" s="371"/>
      <c r="R557" s="371"/>
      <c r="S557" s="371"/>
      <c r="T557" s="371"/>
      <c r="U557" s="371"/>
      <c r="V557" s="371"/>
      <c r="W557" s="371"/>
      <c r="X557" s="371"/>
      <c r="Y557" s="371"/>
      <c r="Z557" s="371"/>
    </row>
    <row r="558" ht="26.25" customHeight="1">
      <c r="A558" s="371"/>
      <c r="B558" s="1265"/>
      <c r="C558" s="371"/>
      <c r="D558" s="371"/>
      <c r="E558" s="371"/>
      <c r="F558" s="371"/>
      <c r="G558" s="371"/>
      <c r="H558" s="371"/>
      <c r="I558" s="371"/>
      <c r="J558" s="371"/>
      <c r="K558" s="371"/>
      <c r="L558" s="371"/>
      <c r="M558" s="371"/>
      <c r="N558" s="371"/>
      <c r="O558" s="371"/>
      <c r="P558" s="371"/>
      <c r="Q558" s="371"/>
      <c r="R558" s="371"/>
      <c r="S558" s="371"/>
      <c r="T558" s="371"/>
      <c r="U558" s="371"/>
      <c r="V558" s="371"/>
      <c r="W558" s="371"/>
      <c r="X558" s="371"/>
      <c r="Y558" s="371"/>
      <c r="Z558" s="371"/>
    </row>
    <row r="559" ht="26.25" customHeight="1">
      <c r="A559" s="371"/>
      <c r="B559" s="1265"/>
      <c r="C559" s="371"/>
      <c r="D559" s="371"/>
      <c r="E559" s="371"/>
      <c r="F559" s="371"/>
      <c r="G559" s="371"/>
      <c r="H559" s="371"/>
      <c r="I559" s="371"/>
      <c r="J559" s="371"/>
      <c r="K559" s="371"/>
      <c r="L559" s="371"/>
      <c r="M559" s="371"/>
      <c r="N559" s="371"/>
      <c r="O559" s="371"/>
      <c r="P559" s="371"/>
      <c r="Q559" s="371"/>
      <c r="R559" s="371"/>
      <c r="S559" s="371"/>
      <c r="T559" s="371"/>
      <c r="U559" s="371"/>
      <c r="V559" s="371"/>
      <c r="W559" s="371"/>
      <c r="X559" s="371"/>
      <c r="Y559" s="371"/>
      <c r="Z559" s="371"/>
    </row>
    <row r="560" ht="26.25" customHeight="1">
      <c r="A560" s="371"/>
      <c r="B560" s="1265"/>
      <c r="C560" s="371"/>
      <c r="D560" s="371"/>
      <c r="E560" s="371"/>
      <c r="F560" s="371"/>
      <c r="G560" s="371"/>
      <c r="H560" s="371"/>
      <c r="I560" s="371"/>
      <c r="J560" s="371"/>
      <c r="K560" s="371"/>
      <c r="L560" s="371"/>
      <c r="M560" s="371"/>
      <c r="N560" s="371"/>
      <c r="O560" s="371"/>
      <c r="P560" s="371"/>
      <c r="Q560" s="371"/>
      <c r="R560" s="371"/>
      <c r="S560" s="371"/>
      <c r="T560" s="371"/>
      <c r="U560" s="371"/>
      <c r="V560" s="371"/>
      <c r="W560" s="371"/>
      <c r="X560" s="371"/>
      <c r="Y560" s="371"/>
      <c r="Z560" s="371"/>
    </row>
    <row r="561" ht="26.25" customHeight="1">
      <c r="A561" s="371"/>
      <c r="B561" s="1265"/>
      <c r="C561" s="371"/>
      <c r="D561" s="371"/>
      <c r="E561" s="371"/>
      <c r="F561" s="371"/>
      <c r="G561" s="371"/>
      <c r="H561" s="371"/>
      <c r="I561" s="371"/>
      <c r="J561" s="371"/>
      <c r="K561" s="371"/>
      <c r="L561" s="371"/>
      <c r="M561" s="371"/>
      <c r="N561" s="371"/>
      <c r="O561" s="371"/>
      <c r="P561" s="371"/>
      <c r="Q561" s="371"/>
      <c r="R561" s="371"/>
      <c r="S561" s="371"/>
      <c r="T561" s="371"/>
      <c r="U561" s="371"/>
      <c r="V561" s="371"/>
      <c r="W561" s="371"/>
      <c r="X561" s="371"/>
      <c r="Y561" s="371"/>
      <c r="Z561" s="371"/>
    </row>
    <row r="562" ht="26.25" customHeight="1">
      <c r="A562" s="371"/>
      <c r="B562" s="1265"/>
      <c r="C562" s="371"/>
      <c r="D562" s="371"/>
      <c r="E562" s="371"/>
      <c r="F562" s="371"/>
      <c r="G562" s="371"/>
      <c r="H562" s="371"/>
      <c r="I562" s="371"/>
      <c r="J562" s="371"/>
      <c r="K562" s="371"/>
      <c r="L562" s="371"/>
      <c r="M562" s="371"/>
      <c r="N562" s="371"/>
      <c r="O562" s="371"/>
      <c r="P562" s="371"/>
      <c r="Q562" s="371"/>
      <c r="R562" s="371"/>
      <c r="S562" s="371"/>
      <c r="T562" s="371"/>
      <c r="U562" s="371"/>
      <c r="V562" s="371"/>
      <c r="W562" s="371"/>
      <c r="X562" s="371"/>
      <c r="Y562" s="371"/>
      <c r="Z562" s="371"/>
    </row>
    <row r="563" ht="26.25" customHeight="1">
      <c r="A563" s="371"/>
      <c r="B563" s="1265"/>
      <c r="C563" s="371"/>
      <c r="D563" s="371"/>
      <c r="E563" s="371"/>
      <c r="F563" s="371"/>
      <c r="G563" s="371"/>
      <c r="H563" s="371"/>
      <c r="I563" s="371"/>
      <c r="J563" s="371"/>
      <c r="K563" s="371"/>
      <c r="L563" s="371"/>
      <c r="M563" s="371"/>
      <c r="N563" s="371"/>
      <c r="O563" s="371"/>
      <c r="P563" s="371"/>
      <c r="Q563" s="371"/>
      <c r="R563" s="371"/>
      <c r="S563" s="371"/>
      <c r="T563" s="371"/>
      <c r="U563" s="371"/>
      <c r="V563" s="371"/>
      <c r="W563" s="371"/>
      <c r="X563" s="371"/>
      <c r="Y563" s="371"/>
      <c r="Z563" s="371"/>
    </row>
    <row r="564" ht="26.25" customHeight="1">
      <c r="A564" s="371"/>
      <c r="B564" s="1265"/>
      <c r="C564" s="371"/>
      <c r="D564" s="371"/>
      <c r="E564" s="371"/>
      <c r="F564" s="371"/>
      <c r="G564" s="371"/>
      <c r="H564" s="371"/>
      <c r="I564" s="371"/>
      <c r="J564" s="371"/>
      <c r="K564" s="371"/>
      <c r="L564" s="371"/>
      <c r="M564" s="371"/>
      <c r="N564" s="371"/>
      <c r="O564" s="371"/>
      <c r="P564" s="371"/>
      <c r="Q564" s="371"/>
      <c r="R564" s="371"/>
      <c r="S564" s="371"/>
      <c r="T564" s="371"/>
      <c r="U564" s="371"/>
      <c r="V564" s="371"/>
      <c r="W564" s="371"/>
      <c r="X564" s="371"/>
      <c r="Y564" s="371"/>
      <c r="Z564" s="371"/>
    </row>
    <row r="565" ht="26.25" customHeight="1">
      <c r="A565" s="371"/>
      <c r="B565" s="1265"/>
      <c r="C565" s="371"/>
      <c r="D565" s="371"/>
      <c r="E565" s="371"/>
      <c r="F565" s="371"/>
      <c r="G565" s="371"/>
      <c r="H565" s="371"/>
      <c r="I565" s="371"/>
      <c r="J565" s="371"/>
      <c r="K565" s="371"/>
      <c r="L565" s="371"/>
      <c r="M565" s="371"/>
      <c r="N565" s="371"/>
      <c r="O565" s="371"/>
      <c r="P565" s="371"/>
      <c r="Q565" s="371"/>
      <c r="R565" s="371"/>
      <c r="S565" s="371"/>
      <c r="T565" s="371"/>
      <c r="U565" s="371"/>
      <c r="V565" s="371"/>
      <c r="W565" s="371"/>
      <c r="X565" s="371"/>
      <c r="Y565" s="371"/>
      <c r="Z565" s="371"/>
    </row>
    <row r="566" ht="26.25" customHeight="1">
      <c r="A566" s="371"/>
      <c r="B566" s="1265"/>
      <c r="C566" s="371"/>
      <c r="D566" s="371"/>
      <c r="E566" s="371"/>
      <c r="F566" s="371"/>
      <c r="G566" s="371"/>
      <c r="H566" s="371"/>
      <c r="I566" s="371"/>
      <c r="J566" s="371"/>
      <c r="K566" s="371"/>
      <c r="L566" s="371"/>
      <c r="M566" s="371"/>
      <c r="N566" s="371"/>
      <c r="O566" s="371"/>
      <c r="P566" s="371"/>
      <c r="Q566" s="371"/>
      <c r="R566" s="371"/>
      <c r="S566" s="371"/>
      <c r="T566" s="371"/>
      <c r="U566" s="371"/>
      <c r="V566" s="371"/>
      <c r="W566" s="371"/>
      <c r="X566" s="371"/>
      <c r="Y566" s="371"/>
      <c r="Z566" s="371"/>
    </row>
    <row r="567" ht="26.25" customHeight="1">
      <c r="A567" s="371"/>
      <c r="B567" s="1265"/>
      <c r="C567" s="371"/>
      <c r="D567" s="371"/>
      <c r="E567" s="371"/>
      <c r="F567" s="371"/>
      <c r="G567" s="371"/>
      <c r="H567" s="371"/>
      <c r="I567" s="371"/>
      <c r="J567" s="371"/>
      <c r="K567" s="371"/>
      <c r="L567" s="371"/>
      <c r="M567" s="371"/>
      <c r="N567" s="371"/>
      <c r="O567" s="371"/>
      <c r="P567" s="371"/>
      <c r="Q567" s="371"/>
      <c r="R567" s="371"/>
      <c r="S567" s="371"/>
      <c r="T567" s="371"/>
      <c r="U567" s="371"/>
      <c r="V567" s="371"/>
      <c r="W567" s="371"/>
      <c r="X567" s="371"/>
      <c r="Y567" s="371"/>
      <c r="Z567" s="371"/>
    </row>
    <row r="568" ht="26.25" customHeight="1">
      <c r="A568" s="371"/>
      <c r="B568" s="1265"/>
      <c r="C568" s="371"/>
      <c r="D568" s="371"/>
      <c r="E568" s="371"/>
      <c r="F568" s="371"/>
      <c r="G568" s="371"/>
      <c r="H568" s="371"/>
      <c r="I568" s="371"/>
      <c r="J568" s="371"/>
      <c r="K568" s="371"/>
      <c r="L568" s="371"/>
      <c r="M568" s="371"/>
      <c r="N568" s="371"/>
      <c r="O568" s="371"/>
      <c r="P568" s="371"/>
      <c r="Q568" s="371"/>
      <c r="R568" s="371"/>
      <c r="S568" s="371"/>
      <c r="T568" s="371"/>
      <c r="U568" s="371"/>
      <c r="V568" s="371"/>
      <c r="W568" s="371"/>
      <c r="X568" s="371"/>
      <c r="Y568" s="371"/>
      <c r="Z568" s="371"/>
    </row>
    <row r="569" ht="26.25" customHeight="1">
      <c r="A569" s="371"/>
      <c r="B569" s="1265"/>
      <c r="C569" s="371"/>
      <c r="D569" s="371"/>
      <c r="E569" s="371"/>
      <c r="F569" s="371"/>
      <c r="G569" s="371"/>
      <c r="H569" s="371"/>
      <c r="I569" s="371"/>
      <c r="J569" s="371"/>
      <c r="K569" s="371"/>
      <c r="L569" s="371"/>
      <c r="M569" s="371"/>
      <c r="N569" s="371"/>
      <c r="O569" s="371"/>
      <c r="P569" s="371"/>
      <c r="Q569" s="371"/>
      <c r="R569" s="371"/>
      <c r="S569" s="371"/>
      <c r="T569" s="371"/>
      <c r="U569" s="371"/>
      <c r="V569" s="371"/>
      <c r="W569" s="371"/>
      <c r="X569" s="371"/>
      <c r="Y569" s="371"/>
      <c r="Z569" s="371"/>
    </row>
    <row r="570" ht="26.25" customHeight="1">
      <c r="A570" s="371"/>
      <c r="B570" s="1265"/>
      <c r="C570" s="371"/>
      <c r="D570" s="371"/>
      <c r="E570" s="371"/>
      <c r="F570" s="371"/>
      <c r="G570" s="371"/>
      <c r="H570" s="371"/>
      <c r="I570" s="371"/>
      <c r="J570" s="371"/>
      <c r="K570" s="371"/>
      <c r="L570" s="371"/>
      <c r="M570" s="371"/>
      <c r="N570" s="371"/>
      <c r="O570" s="371"/>
      <c r="P570" s="371"/>
      <c r="Q570" s="371"/>
      <c r="R570" s="371"/>
      <c r="S570" s="371"/>
      <c r="T570" s="371"/>
      <c r="U570" s="371"/>
      <c r="V570" s="371"/>
      <c r="W570" s="371"/>
      <c r="X570" s="371"/>
      <c r="Y570" s="371"/>
      <c r="Z570" s="371"/>
    </row>
    <row r="571" ht="26.25" customHeight="1">
      <c r="A571" s="371"/>
      <c r="B571" s="1265"/>
      <c r="C571" s="371"/>
      <c r="D571" s="371"/>
      <c r="E571" s="371"/>
      <c r="F571" s="371"/>
      <c r="G571" s="371"/>
      <c r="H571" s="371"/>
      <c r="I571" s="371"/>
      <c r="J571" s="371"/>
      <c r="K571" s="371"/>
      <c r="L571" s="371"/>
      <c r="M571" s="371"/>
      <c r="N571" s="371"/>
      <c r="O571" s="371"/>
      <c r="P571" s="371"/>
      <c r="Q571" s="371"/>
      <c r="R571" s="371"/>
      <c r="S571" s="371"/>
      <c r="T571" s="371"/>
      <c r="U571" s="371"/>
      <c r="V571" s="371"/>
      <c r="W571" s="371"/>
      <c r="X571" s="371"/>
      <c r="Y571" s="371"/>
      <c r="Z571" s="371"/>
    </row>
    <row r="572" ht="26.25" customHeight="1">
      <c r="A572" s="371"/>
      <c r="B572" s="1265"/>
      <c r="C572" s="371"/>
      <c r="D572" s="371"/>
      <c r="E572" s="371"/>
      <c r="F572" s="371"/>
      <c r="G572" s="371"/>
      <c r="H572" s="371"/>
      <c r="I572" s="371"/>
      <c r="J572" s="371"/>
      <c r="K572" s="371"/>
      <c r="L572" s="371"/>
      <c r="M572" s="371"/>
      <c r="N572" s="371"/>
      <c r="O572" s="371"/>
      <c r="P572" s="371"/>
      <c r="Q572" s="371"/>
      <c r="R572" s="371"/>
      <c r="S572" s="371"/>
      <c r="T572" s="371"/>
      <c r="U572" s="371"/>
      <c r="V572" s="371"/>
      <c r="W572" s="371"/>
      <c r="X572" s="371"/>
      <c r="Y572" s="371"/>
      <c r="Z572" s="371"/>
    </row>
    <row r="573" ht="26.25" customHeight="1">
      <c r="A573" s="371"/>
      <c r="B573" s="1265"/>
      <c r="C573" s="371"/>
      <c r="D573" s="371"/>
      <c r="E573" s="371"/>
      <c r="F573" s="371"/>
      <c r="G573" s="371"/>
      <c r="H573" s="371"/>
      <c r="I573" s="371"/>
      <c r="J573" s="371"/>
      <c r="K573" s="371"/>
      <c r="L573" s="371"/>
      <c r="M573" s="371"/>
      <c r="N573" s="371"/>
      <c r="O573" s="371"/>
      <c r="P573" s="371"/>
      <c r="Q573" s="371"/>
      <c r="R573" s="371"/>
      <c r="S573" s="371"/>
      <c r="T573" s="371"/>
      <c r="U573" s="371"/>
      <c r="V573" s="371"/>
      <c r="W573" s="371"/>
      <c r="X573" s="371"/>
      <c r="Y573" s="371"/>
      <c r="Z573" s="371"/>
    </row>
    <row r="574" ht="26.25" customHeight="1">
      <c r="A574" s="371"/>
      <c r="B574" s="1265"/>
      <c r="C574" s="371"/>
      <c r="D574" s="371"/>
      <c r="E574" s="371"/>
      <c r="F574" s="371"/>
      <c r="G574" s="371"/>
      <c r="H574" s="371"/>
      <c r="I574" s="371"/>
      <c r="J574" s="371"/>
      <c r="K574" s="371"/>
      <c r="L574" s="371"/>
      <c r="M574" s="371"/>
      <c r="N574" s="371"/>
      <c r="O574" s="371"/>
      <c r="P574" s="371"/>
      <c r="Q574" s="371"/>
      <c r="R574" s="371"/>
      <c r="S574" s="371"/>
      <c r="T574" s="371"/>
      <c r="U574" s="371"/>
      <c r="V574" s="371"/>
      <c r="W574" s="371"/>
      <c r="X574" s="371"/>
      <c r="Y574" s="371"/>
      <c r="Z574" s="371"/>
    </row>
    <row r="575" ht="26.25" customHeight="1">
      <c r="A575" s="371"/>
      <c r="B575" s="1265"/>
      <c r="C575" s="371"/>
      <c r="D575" s="371"/>
      <c r="E575" s="371"/>
      <c r="F575" s="371"/>
      <c r="G575" s="371"/>
      <c r="H575" s="371"/>
      <c r="I575" s="371"/>
      <c r="J575" s="371"/>
      <c r="K575" s="371"/>
      <c r="L575" s="371"/>
      <c r="M575" s="371"/>
      <c r="N575" s="371"/>
      <c r="O575" s="371"/>
      <c r="P575" s="371"/>
      <c r="Q575" s="371"/>
      <c r="R575" s="371"/>
      <c r="S575" s="371"/>
      <c r="T575" s="371"/>
      <c r="U575" s="371"/>
      <c r="V575" s="371"/>
      <c r="W575" s="371"/>
      <c r="X575" s="371"/>
      <c r="Y575" s="371"/>
      <c r="Z575" s="371"/>
    </row>
    <row r="576" ht="26.25" customHeight="1">
      <c r="A576" s="371"/>
      <c r="B576" s="1265"/>
      <c r="C576" s="371"/>
      <c r="D576" s="371"/>
      <c r="E576" s="371"/>
      <c r="F576" s="371"/>
      <c r="G576" s="371"/>
      <c r="H576" s="371"/>
      <c r="I576" s="371"/>
      <c r="J576" s="371"/>
      <c r="K576" s="371"/>
      <c r="L576" s="371"/>
      <c r="M576" s="371"/>
      <c r="N576" s="371"/>
      <c r="O576" s="371"/>
      <c r="P576" s="371"/>
      <c r="Q576" s="371"/>
      <c r="R576" s="371"/>
      <c r="S576" s="371"/>
      <c r="T576" s="371"/>
      <c r="U576" s="371"/>
      <c r="V576" s="371"/>
      <c r="W576" s="371"/>
      <c r="X576" s="371"/>
      <c r="Y576" s="371"/>
      <c r="Z576" s="371"/>
    </row>
    <row r="577" ht="26.25" customHeight="1">
      <c r="A577" s="371"/>
      <c r="B577" s="1265"/>
      <c r="C577" s="371"/>
      <c r="D577" s="371"/>
      <c r="E577" s="371"/>
      <c r="F577" s="371"/>
      <c r="G577" s="371"/>
      <c r="H577" s="371"/>
      <c r="I577" s="371"/>
      <c r="J577" s="371"/>
      <c r="K577" s="371"/>
      <c r="L577" s="371"/>
      <c r="M577" s="371"/>
      <c r="N577" s="371"/>
      <c r="O577" s="371"/>
      <c r="P577" s="371"/>
      <c r="Q577" s="371"/>
      <c r="R577" s="371"/>
      <c r="S577" s="371"/>
      <c r="T577" s="371"/>
      <c r="U577" s="371"/>
      <c r="V577" s="371"/>
      <c r="W577" s="371"/>
      <c r="X577" s="371"/>
      <c r="Y577" s="371"/>
      <c r="Z577" s="371"/>
    </row>
    <row r="578" ht="26.25" customHeight="1">
      <c r="A578" s="371"/>
      <c r="B578" s="1265"/>
      <c r="C578" s="371"/>
      <c r="D578" s="371"/>
      <c r="E578" s="371"/>
      <c r="F578" s="371"/>
      <c r="G578" s="371"/>
      <c r="H578" s="371"/>
      <c r="I578" s="371"/>
      <c r="J578" s="371"/>
      <c r="K578" s="371"/>
      <c r="L578" s="371"/>
      <c r="M578" s="371"/>
      <c r="N578" s="371"/>
      <c r="O578" s="371"/>
      <c r="P578" s="371"/>
      <c r="Q578" s="371"/>
      <c r="R578" s="371"/>
      <c r="S578" s="371"/>
      <c r="T578" s="371"/>
      <c r="U578" s="371"/>
      <c r="V578" s="371"/>
      <c r="W578" s="371"/>
      <c r="X578" s="371"/>
      <c r="Y578" s="371"/>
      <c r="Z578" s="371"/>
    </row>
    <row r="579" ht="26.25" customHeight="1">
      <c r="A579" s="371"/>
      <c r="B579" s="1265"/>
      <c r="C579" s="371"/>
      <c r="D579" s="371"/>
      <c r="E579" s="371"/>
      <c r="F579" s="371"/>
      <c r="G579" s="371"/>
      <c r="H579" s="371"/>
      <c r="I579" s="371"/>
      <c r="J579" s="371"/>
      <c r="K579" s="371"/>
      <c r="L579" s="371"/>
      <c r="M579" s="371"/>
      <c r="N579" s="371"/>
      <c r="O579" s="371"/>
      <c r="P579" s="371"/>
      <c r="Q579" s="371"/>
      <c r="R579" s="371"/>
      <c r="S579" s="371"/>
      <c r="T579" s="371"/>
      <c r="U579" s="371"/>
      <c r="V579" s="371"/>
      <c r="W579" s="371"/>
      <c r="X579" s="371"/>
      <c r="Y579" s="371"/>
      <c r="Z579" s="371"/>
    </row>
    <row r="580" ht="26.25" customHeight="1">
      <c r="A580" s="371"/>
      <c r="B580" s="1265"/>
      <c r="C580" s="371"/>
      <c r="D580" s="371"/>
      <c r="E580" s="371"/>
      <c r="F580" s="371"/>
      <c r="G580" s="371"/>
      <c r="H580" s="371"/>
      <c r="I580" s="371"/>
      <c r="J580" s="371"/>
      <c r="K580" s="371"/>
      <c r="L580" s="371"/>
      <c r="M580" s="371"/>
      <c r="N580" s="371"/>
      <c r="O580" s="371"/>
      <c r="P580" s="371"/>
      <c r="Q580" s="371"/>
      <c r="R580" s="371"/>
      <c r="S580" s="371"/>
      <c r="T580" s="371"/>
      <c r="U580" s="371"/>
      <c r="V580" s="371"/>
      <c r="W580" s="371"/>
      <c r="X580" s="371"/>
      <c r="Y580" s="371"/>
      <c r="Z580" s="371"/>
    </row>
    <row r="581" ht="26.25" customHeight="1">
      <c r="A581" s="371"/>
      <c r="B581" s="1265"/>
      <c r="C581" s="371"/>
      <c r="D581" s="371"/>
      <c r="E581" s="371"/>
      <c r="F581" s="371"/>
      <c r="G581" s="371"/>
      <c r="H581" s="371"/>
      <c r="I581" s="371"/>
      <c r="J581" s="371"/>
      <c r="K581" s="371"/>
      <c r="L581" s="371"/>
      <c r="M581" s="371"/>
      <c r="N581" s="371"/>
      <c r="O581" s="371"/>
      <c r="P581" s="371"/>
      <c r="Q581" s="371"/>
      <c r="R581" s="371"/>
      <c r="S581" s="371"/>
      <c r="T581" s="371"/>
      <c r="U581" s="371"/>
      <c r="V581" s="371"/>
      <c r="W581" s="371"/>
      <c r="X581" s="371"/>
      <c r="Y581" s="371"/>
      <c r="Z581" s="371"/>
    </row>
    <row r="582" ht="26.25" customHeight="1">
      <c r="A582" s="371"/>
      <c r="B582" s="1265"/>
      <c r="C582" s="371"/>
      <c r="D582" s="371"/>
      <c r="E582" s="371"/>
      <c r="F582" s="371"/>
      <c r="G582" s="371"/>
      <c r="H582" s="371"/>
      <c r="I582" s="371"/>
      <c r="J582" s="371"/>
      <c r="K582" s="371"/>
      <c r="L582" s="371"/>
      <c r="M582" s="371"/>
      <c r="N582" s="371"/>
      <c r="O582" s="371"/>
      <c r="P582" s="371"/>
      <c r="Q582" s="371"/>
      <c r="R582" s="371"/>
      <c r="S582" s="371"/>
      <c r="T582" s="371"/>
      <c r="U582" s="371"/>
      <c r="V582" s="371"/>
      <c r="W582" s="371"/>
      <c r="X582" s="371"/>
      <c r="Y582" s="371"/>
      <c r="Z582" s="371"/>
    </row>
    <row r="583" ht="26.25" customHeight="1">
      <c r="A583" s="371"/>
      <c r="B583" s="1265"/>
      <c r="C583" s="371"/>
      <c r="D583" s="371"/>
      <c r="E583" s="371"/>
      <c r="F583" s="371"/>
      <c r="G583" s="371"/>
      <c r="H583" s="371"/>
      <c r="I583" s="371"/>
      <c r="J583" s="371"/>
      <c r="K583" s="371"/>
      <c r="L583" s="371"/>
      <c r="M583" s="371"/>
      <c r="N583" s="371"/>
      <c r="O583" s="371"/>
      <c r="P583" s="371"/>
      <c r="Q583" s="371"/>
      <c r="R583" s="371"/>
      <c r="S583" s="371"/>
      <c r="T583" s="371"/>
      <c r="U583" s="371"/>
      <c r="V583" s="371"/>
      <c r="W583" s="371"/>
      <c r="X583" s="371"/>
      <c r="Y583" s="371"/>
      <c r="Z583" s="371"/>
    </row>
    <row r="584" ht="26.25" customHeight="1">
      <c r="A584" s="371"/>
      <c r="B584" s="1265"/>
      <c r="C584" s="371"/>
      <c r="D584" s="371"/>
      <c r="E584" s="371"/>
      <c r="F584" s="371"/>
      <c r="G584" s="371"/>
      <c r="H584" s="371"/>
      <c r="I584" s="371"/>
      <c r="J584" s="371"/>
      <c r="K584" s="371"/>
      <c r="L584" s="371"/>
      <c r="M584" s="371"/>
      <c r="N584" s="371"/>
      <c r="O584" s="371"/>
      <c r="P584" s="371"/>
      <c r="Q584" s="371"/>
      <c r="R584" s="371"/>
      <c r="S584" s="371"/>
      <c r="T584" s="371"/>
      <c r="U584" s="371"/>
      <c r="V584" s="371"/>
      <c r="W584" s="371"/>
      <c r="X584" s="371"/>
      <c r="Y584" s="371"/>
      <c r="Z584" s="371"/>
    </row>
    <row r="585" ht="26.25" customHeight="1">
      <c r="A585" s="371"/>
      <c r="B585" s="1265"/>
      <c r="C585" s="371"/>
      <c r="D585" s="371"/>
      <c r="E585" s="371"/>
      <c r="F585" s="371"/>
      <c r="G585" s="371"/>
      <c r="H585" s="371"/>
      <c r="I585" s="371"/>
      <c r="J585" s="371"/>
      <c r="K585" s="371"/>
      <c r="L585" s="371"/>
      <c r="M585" s="371"/>
      <c r="N585" s="371"/>
      <c r="O585" s="371"/>
      <c r="P585" s="371"/>
      <c r="Q585" s="371"/>
      <c r="R585" s="371"/>
      <c r="S585" s="371"/>
      <c r="T585" s="371"/>
      <c r="U585" s="371"/>
      <c r="V585" s="371"/>
      <c r="W585" s="371"/>
      <c r="X585" s="371"/>
      <c r="Y585" s="371"/>
      <c r="Z585" s="371"/>
    </row>
    <row r="586" ht="26.25" customHeight="1">
      <c r="A586" s="371"/>
      <c r="B586" s="1265"/>
      <c r="C586" s="371"/>
      <c r="D586" s="371"/>
      <c r="E586" s="371"/>
      <c r="F586" s="371"/>
      <c r="G586" s="371"/>
      <c r="H586" s="371"/>
      <c r="I586" s="371"/>
      <c r="J586" s="371"/>
      <c r="K586" s="371"/>
      <c r="L586" s="371"/>
      <c r="M586" s="371"/>
      <c r="N586" s="371"/>
      <c r="O586" s="371"/>
      <c r="P586" s="371"/>
      <c r="Q586" s="371"/>
      <c r="R586" s="371"/>
      <c r="S586" s="371"/>
      <c r="T586" s="371"/>
      <c r="U586" s="371"/>
      <c r="V586" s="371"/>
      <c r="W586" s="371"/>
      <c r="X586" s="371"/>
      <c r="Y586" s="371"/>
      <c r="Z586" s="371"/>
    </row>
    <row r="587" ht="26.25" customHeight="1">
      <c r="A587" s="371"/>
      <c r="B587" s="1265"/>
      <c r="C587" s="371"/>
      <c r="D587" s="371"/>
      <c r="E587" s="371"/>
      <c r="F587" s="371"/>
      <c r="G587" s="371"/>
      <c r="H587" s="371"/>
      <c r="I587" s="371"/>
      <c r="J587" s="371"/>
      <c r="K587" s="371"/>
      <c r="L587" s="371"/>
      <c r="M587" s="371"/>
      <c r="N587" s="371"/>
      <c r="O587" s="371"/>
      <c r="P587" s="371"/>
      <c r="Q587" s="371"/>
      <c r="R587" s="371"/>
      <c r="S587" s="371"/>
      <c r="T587" s="371"/>
      <c r="U587" s="371"/>
      <c r="V587" s="371"/>
      <c r="W587" s="371"/>
      <c r="X587" s="371"/>
      <c r="Y587" s="371"/>
      <c r="Z587" s="371"/>
    </row>
    <row r="588" ht="26.25" customHeight="1">
      <c r="A588" s="371"/>
      <c r="B588" s="1265"/>
      <c r="C588" s="371"/>
      <c r="D588" s="371"/>
      <c r="E588" s="371"/>
      <c r="F588" s="371"/>
      <c r="G588" s="371"/>
      <c r="H588" s="371"/>
      <c r="I588" s="371"/>
      <c r="J588" s="371"/>
      <c r="K588" s="371"/>
      <c r="L588" s="371"/>
      <c r="M588" s="371"/>
      <c r="N588" s="371"/>
      <c r="O588" s="371"/>
      <c r="P588" s="371"/>
      <c r="Q588" s="371"/>
      <c r="R588" s="371"/>
      <c r="S588" s="371"/>
      <c r="T588" s="371"/>
      <c r="U588" s="371"/>
      <c r="V588" s="371"/>
      <c r="W588" s="371"/>
      <c r="X588" s="371"/>
      <c r="Y588" s="371"/>
      <c r="Z588" s="371"/>
    </row>
    <row r="589" ht="26.25" customHeight="1">
      <c r="A589" s="371"/>
      <c r="B589" s="1265"/>
      <c r="C589" s="371"/>
      <c r="D589" s="371"/>
      <c r="E589" s="371"/>
      <c r="F589" s="371"/>
      <c r="G589" s="371"/>
      <c r="H589" s="371"/>
      <c r="I589" s="371"/>
      <c r="J589" s="371"/>
      <c r="K589" s="371"/>
      <c r="L589" s="371"/>
      <c r="M589" s="371"/>
      <c r="N589" s="371"/>
      <c r="O589" s="371"/>
      <c r="P589" s="371"/>
      <c r="Q589" s="371"/>
      <c r="R589" s="371"/>
      <c r="S589" s="371"/>
      <c r="T589" s="371"/>
      <c r="U589" s="371"/>
      <c r="V589" s="371"/>
      <c r="W589" s="371"/>
      <c r="X589" s="371"/>
      <c r="Y589" s="371"/>
      <c r="Z589" s="371"/>
    </row>
    <row r="590" ht="26.25" customHeight="1">
      <c r="A590" s="371"/>
      <c r="B590" s="1265"/>
      <c r="C590" s="371"/>
      <c r="D590" s="371"/>
      <c r="E590" s="371"/>
      <c r="F590" s="371"/>
      <c r="G590" s="371"/>
      <c r="H590" s="371"/>
      <c r="I590" s="371"/>
      <c r="J590" s="371"/>
      <c r="K590" s="371"/>
      <c r="L590" s="371"/>
      <c r="M590" s="371"/>
      <c r="N590" s="371"/>
      <c r="O590" s="371"/>
      <c r="P590" s="371"/>
      <c r="Q590" s="371"/>
      <c r="R590" s="371"/>
      <c r="S590" s="371"/>
      <c r="T590" s="371"/>
      <c r="U590" s="371"/>
      <c r="V590" s="371"/>
      <c r="W590" s="371"/>
      <c r="X590" s="371"/>
      <c r="Y590" s="371"/>
      <c r="Z590" s="371"/>
    </row>
    <row r="591" ht="26.25" customHeight="1">
      <c r="A591" s="371"/>
      <c r="B591" s="1265"/>
      <c r="C591" s="371"/>
      <c r="D591" s="371"/>
      <c r="E591" s="371"/>
      <c r="F591" s="371"/>
      <c r="G591" s="371"/>
      <c r="H591" s="371"/>
      <c r="I591" s="371"/>
      <c r="J591" s="371"/>
      <c r="K591" s="371"/>
      <c r="L591" s="371"/>
      <c r="M591" s="371"/>
      <c r="N591" s="371"/>
      <c r="O591" s="371"/>
      <c r="P591" s="371"/>
      <c r="Q591" s="371"/>
      <c r="R591" s="371"/>
      <c r="S591" s="371"/>
      <c r="T591" s="371"/>
      <c r="U591" s="371"/>
      <c r="V591" s="371"/>
      <c r="W591" s="371"/>
      <c r="X591" s="371"/>
      <c r="Y591" s="371"/>
      <c r="Z591" s="371"/>
    </row>
    <row r="592" ht="26.25" customHeight="1">
      <c r="A592" s="371"/>
      <c r="B592" s="1265"/>
      <c r="C592" s="371"/>
      <c r="D592" s="371"/>
      <c r="E592" s="371"/>
      <c r="F592" s="371"/>
      <c r="G592" s="371"/>
      <c r="H592" s="371"/>
      <c r="I592" s="371"/>
      <c r="J592" s="371"/>
      <c r="K592" s="371"/>
      <c r="L592" s="371"/>
      <c r="M592" s="371"/>
      <c r="N592" s="371"/>
      <c r="O592" s="371"/>
      <c r="P592" s="371"/>
      <c r="Q592" s="371"/>
      <c r="R592" s="371"/>
      <c r="S592" s="371"/>
      <c r="T592" s="371"/>
      <c r="U592" s="371"/>
      <c r="V592" s="371"/>
      <c r="W592" s="371"/>
      <c r="X592" s="371"/>
      <c r="Y592" s="371"/>
      <c r="Z592" s="371"/>
    </row>
    <row r="593" ht="26.25" customHeight="1">
      <c r="A593" s="371"/>
      <c r="B593" s="1265"/>
      <c r="C593" s="371"/>
      <c r="D593" s="371"/>
      <c r="E593" s="371"/>
      <c r="F593" s="371"/>
      <c r="G593" s="371"/>
      <c r="H593" s="371"/>
      <c r="I593" s="371"/>
      <c r="J593" s="371"/>
      <c r="K593" s="371"/>
      <c r="L593" s="371"/>
      <c r="M593" s="371"/>
      <c r="N593" s="371"/>
      <c r="O593" s="371"/>
      <c r="P593" s="371"/>
      <c r="Q593" s="371"/>
      <c r="R593" s="371"/>
      <c r="S593" s="371"/>
      <c r="T593" s="371"/>
      <c r="U593" s="371"/>
      <c r="V593" s="371"/>
      <c r="W593" s="371"/>
      <c r="X593" s="371"/>
      <c r="Y593" s="371"/>
      <c r="Z593" s="371"/>
    </row>
    <row r="594" ht="26.25" customHeight="1">
      <c r="A594" s="371"/>
      <c r="B594" s="1265"/>
      <c r="C594" s="371"/>
      <c r="D594" s="371"/>
      <c r="E594" s="371"/>
      <c r="F594" s="371"/>
      <c r="G594" s="371"/>
      <c r="H594" s="371"/>
      <c r="I594" s="371"/>
      <c r="J594" s="371"/>
      <c r="K594" s="371"/>
      <c r="L594" s="371"/>
      <c r="M594" s="371"/>
      <c r="N594" s="371"/>
      <c r="O594" s="371"/>
      <c r="P594" s="371"/>
      <c r="Q594" s="371"/>
      <c r="R594" s="371"/>
      <c r="S594" s="371"/>
      <c r="T594" s="371"/>
      <c r="U594" s="371"/>
      <c r="V594" s="371"/>
      <c r="W594" s="371"/>
      <c r="X594" s="371"/>
      <c r="Y594" s="371"/>
      <c r="Z594" s="371"/>
    </row>
    <row r="595" ht="26.25" customHeight="1">
      <c r="A595" s="371"/>
      <c r="B595" s="1265"/>
      <c r="C595" s="371"/>
      <c r="D595" s="371"/>
      <c r="E595" s="371"/>
      <c r="F595" s="371"/>
      <c r="G595" s="371"/>
      <c r="H595" s="371"/>
      <c r="I595" s="371"/>
      <c r="J595" s="371"/>
      <c r="K595" s="371"/>
      <c r="L595" s="371"/>
      <c r="M595" s="371"/>
      <c r="N595" s="371"/>
      <c r="O595" s="371"/>
      <c r="P595" s="371"/>
      <c r="Q595" s="371"/>
      <c r="R595" s="371"/>
      <c r="S595" s="371"/>
      <c r="T595" s="371"/>
      <c r="U595" s="371"/>
      <c r="V595" s="371"/>
      <c r="W595" s="371"/>
      <c r="X595" s="371"/>
      <c r="Y595" s="371"/>
      <c r="Z595" s="371"/>
    </row>
    <row r="596" ht="26.25" customHeight="1">
      <c r="A596" s="371"/>
      <c r="B596" s="1265"/>
      <c r="C596" s="371"/>
      <c r="D596" s="371"/>
      <c r="E596" s="371"/>
      <c r="F596" s="371"/>
      <c r="G596" s="371"/>
      <c r="H596" s="371"/>
      <c r="I596" s="371"/>
      <c r="J596" s="371"/>
      <c r="K596" s="371"/>
      <c r="L596" s="371"/>
      <c r="M596" s="371"/>
      <c r="N596" s="371"/>
      <c r="O596" s="371"/>
      <c r="P596" s="371"/>
      <c r="Q596" s="371"/>
      <c r="R596" s="371"/>
      <c r="S596" s="371"/>
      <c r="T596" s="371"/>
      <c r="U596" s="371"/>
      <c r="V596" s="371"/>
      <c r="W596" s="371"/>
      <c r="X596" s="371"/>
      <c r="Y596" s="371"/>
      <c r="Z596" s="371"/>
    </row>
    <row r="597" ht="26.25" customHeight="1">
      <c r="A597" s="371"/>
      <c r="B597" s="1265"/>
      <c r="C597" s="371"/>
      <c r="D597" s="371"/>
      <c r="E597" s="371"/>
      <c r="F597" s="371"/>
      <c r="G597" s="371"/>
      <c r="H597" s="371"/>
      <c r="I597" s="371"/>
      <c r="J597" s="371"/>
      <c r="K597" s="371"/>
      <c r="L597" s="371"/>
      <c r="M597" s="371"/>
      <c r="N597" s="371"/>
      <c r="O597" s="371"/>
      <c r="P597" s="371"/>
      <c r="Q597" s="371"/>
      <c r="R597" s="371"/>
      <c r="S597" s="371"/>
      <c r="T597" s="371"/>
      <c r="U597" s="371"/>
      <c r="V597" s="371"/>
      <c r="W597" s="371"/>
      <c r="X597" s="371"/>
      <c r="Y597" s="371"/>
      <c r="Z597" s="371"/>
    </row>
    <row r="598" ht="26.25" customHeight="1">
      <c r="A598" s="371"/>
      <c r="B598" s="1265"/>
      <c r="C598" s="371"/>
      <c r="D598" s="371"/>
      <c r="E598" s="371"/>
      <c r="F598" s="371"/>
      <c r="G598" s="371"/>
      <c r="H598" s="371"/>
      <c r="I598" s="371"/>
      <c r="J598" s="371"/>
      <c r="K598" s="371"/>
      <c r="L598" s="371"/>
      <c r="M598" s="371"/>
      <c r="N598" s="371"/>
      <c r="O598" s="371"/>
      <c r="P598" s="371"/>
      <c r="Q598" s="371"/>
      <c r="R598" s="371"/>
      <c r="S598" s="371"/>
      <c r="T598" s="371"/>
      <c r="U598" s="371"/>
      <c r="V598" s="371"/>
      <c r="W598" s="371"/>
      <c r="X598" s="371"/>
      <c r="Y598" s="371"/>
      <c r="Z598" s="371"/>
    </row>
    <row r="599" ht="26.25" customHeight="1">
      <c r="A599" s="371"/>
      <c r="B599" s="1265"/>
      <c r="C599" s="371"/>
      <c r="D599" s="371"/>
      <c r="E599" s="371"/>
      <c r="F599" s="371"/>
      <c r="G599" s="371"/>
      <c r="H599" s="371"/>
      <c r="I599" s="371"/>
      <c r="J599" s="371"/>
      <c r="K599" s="371"/>
      <c r="L599" s="371"/>
      <c r="M599" s="371"/>
      <c r="N599" s="371"/>
      <c r="O599" s="371"/>
      <c r="P599" s="371"/>
      <c r="Q599" s="371"/>
      <c r="R599" s="371"/>
      <c r="S599" s="371"/>
      <c r="T599" s="371"/>
      <c r="U599" s="371"/>
      <c r="V599" s="371"/>
      <c r="W599" s="371"/>
      <c r="X599" s="371"/>
      <c r="Y599" s="371"/>
      <c r="Z599" s="371"/>
    </row>
    <row r="600" ht="26.25" customHeight="1">
      <c r="A600" s="371"/>
      <c r="B600" s="1265"/>
      <c r="C600" s="371"/>
      <c r="D600" s="371"/>
      <c r="E600" s="371"/>
      <c r="F600" s="371"/>
      <c r="G600" s="371"/>
      <c r="H600" s="371"/>
      <c r="I600" s="371"/>
      <c r="J600" s="371"/>
      <c r="K600" s="371"/>
      <c r="L600" s="371"/>
      <c r="M600" s="371"/>
      <c r="N600" s="371"/>
      <c r="O600" s="371"/>
      <c r="P600" s="371"/>
      <c r="Q600" s="371"/>
      <c r="R600" s="371"/>
      <c r="S600" s="371"/>
      <c r="T600" s="371"/>
      <c r="U600" s="371"/>
      <c r="V600" s="371"/>
      <c r="W600" s="371"/>
      <c r="X600" s="371"/>
      <c r="Y600" s="371"/>
      <c r="Z600" s="371"/>
    </row>
    <row r="601" ht="26.25" customHeight="1">
      <c r="A601" s="371"/>
      <c r="B601" s="1265"/>
      <c r="C601" s="371"/>
      <c r="D601" s="371"/>
      <c r="E601" s="371"/>
      <c r="F601" s="371"/>
      <c r="G601" s="371"/>
      <c r="H601" s="371"/>
      <c r="I601" s="371"/>
      <c r="J601" s="371"/>
      <c r="K601" s="371"/>
      <c r="L601" s="371"/>
      <c r="M601" s="371"/>
      <c r="N601" s="371"/>
      <c r="O601" s="371"/>
      <c r="P601" s="371"/>
      <c r="Q601" s="371"/>
      <c r="R601" s="371"/>
      <c r="S601" s="371"/>
      <c r="T601" s="371"/>
      <c r="U601" s="371"/>
      <c r="V601" s="371"/>
      <c r="W601" s="371"/>
      <c r="X601" s="371"/>
      <c r="Y601" s="371"/>
      <c r="Z601" s="371"/>
    </row>
    <row r="602" ht="26.25" customHeight="1">
      <c r="A602" s="371"/>
      <c r="B602" s="1265"/>
      <c r="C602" s="371"/>
      <c r="D602" s="371"/>
      <c r="E602" s="371"/>
      <c r="F602" s="371"/>
      <c r="G602" s="371"/>
      <c r="H602" s="371"/>
      <c r="I602" s="371"/>
      <c r="J602" s="371"/>
      <c r="K602" s="371"/>
      <c r="L602" s="371"/>
      <c r="M602" s="371"/>
      <c r="N602" s="371"/>
      <c r="O602" s="371"/>
      <c r="P602" s="371"/>
      <c r="Q602" s="371"/>
      <c r="R602" s="371"/>
      <c r="S602" s="371"/>
      <c r="T602" s="371"/>
      <c r="U602" s="371"/>
      <c r="V602" s="371"/>
      <c r="W602" s="371"/>
      <c r="X602" s="371"/>
      <c r="Y602" s="371"/>
      <c r="Z602" s="371"/>
    </row>
    <row r="603" ht="26.25" customHeight="1">
      <c r="A603" s="371"/>
      <c r="B603" s="1265"/>
      <c r="C603" s="371"/>
      <c r="D603" s="371"/>
      <c r="E603" s="371"/>
      <c r="F603" s="371"/>
      <c r="G603" s="371"/>
      <c r="H603" s="371"/>
      <c r="I603" s="371"/>
      <c r="J603" s="371"/>
      <c r="K603" s="371"/>
      <c r="L603" s="371"/>
      <c r="M603" s="371"/>
      <c r="N603" s="371"/>
      <c r="O603" s="371"/>
      <c r="P603" s="371"/>
      <c r="Q603" s="371"/>
      <c r="R603" s="371"/>
      <c r="S603" s="371"/>
      <c r="T603" s="371"/>
      <c r="U603" s="371"/>
      <c r="V603" s="371"/>
      <c r="W603" s="371"/>
      <c r="X603" s="371"/>
      <c r="Y603" s="371"/>
      <c r="Z603" s="371"/>
    </row>
    <row r="604" ht="26.25" customHeight="1">
      <c r="A604" s="371"/>
      <c r="B604" s="1265"/>
      <c r="C604" s="371"/>
      <c r="D604" s="371"/>
      <c r="E604" s="371"/>
      <c r="F604" s="371"/>
      <c r="G604" s="371"/>
      <c r="H604" s="371"/>
      <c r="I604" s="371"/>
      <c r="J604" s="371"/>
      <c r="K604" s="371"/>
      <c r="L604" s="371"/>
      <c r="M604" s="371"/>
      <c r="N604" s="371"/>
      <c r="O604" s="371"/>
      <c r="P604" s="371"/>
      <c r="Q604" s="371"/>
      <c r="R604" s="371"/>
      <c r="S604" s="371"/>
      <c r="T604" s="371"/>
      <c r="U604" s="371"/>
      <c r="V604" s="371"/>
      <c r="W604" s="371"/>
      <c r="X604" s="371"/>
      <c r="Y604" s="371"/>
      <c r="Z604" s="371"/>
    </row>
    <row r="605" ht="26.25" customHeight="1">
      <c r="A605" s="371"/>
      <c r="B605" s="1265"/>
      <c r="C605" s="371"/>
      <c r="D605" s="371"/>
      <c r="E605" s="371"/>
      <c r="F605" s="371"/>
      <c r="G605" s="371"/>
      <c r="H605" s="371"/>
      <c r="I605" s="371"/>
      <c r="J605" s="371"/>
      <c r="K605" s="371"/>
      <c r="L605" s="371"/>
      <c r="M605" s="371"/>
      <c r="N605" s="371"/>
      <c r="O605" s="371"/>
      <c r="P605" s="371"/>
      <c r="Q605" s="371"/>
      <c r="R605" s="371"/>
      <c r="S605" s="371"/>
      <c r="T605" s="371"/>
      <c r="U605" s="371"/>
      <c r="V605" s="371"/>
      <c r="W605" s="371"/>
      <c r="X605" s="371"/>
      <c r="Y605" s="371"/>
      <c r="Z605" s="371"/>
    </row>
    <row r="606" ht="26.25" customHeight="1">
      <c r="A606" s="371"/>
      <c r="B606" s="1265"/>
      <c r="C606" s="371"/>
      <c r="D606" s="371"/>
      <c r="E606" s="371"/>
      <c r="F606" s="371"/>
      <c r="G606" s="371"/>
      <c r="H606" s="371"/>
      <c r="I606" s="371"/>
      <c r="J606" s="371"/>
      <c r="K606" s="371"/>
      <c r="L606" s="371"/>
      <c r="M606" s="371"/>
      <c r="N606" s="371"/>
      <c r="O606" s="371"/>
      <c r="P606" s="371"/>
      <c r="Q606" s="371"/>
      <c r="R606" s="371"/>
      <c r="S606" s="371"/>
      <c r="T606" s="371"/>
      <c r="U606" s="371"/>
      <c r="V606" s="371"/>
      <c r="W606" s="371"/>
      <c r="X606" s="371"/>
      <c r="Y606" s="371"/>
      <c r="Z606" s="371"/>
    </row>
    <row r="607" ht="26.25" customHeight="1">
      <c r="A607" s="371"/>
      <c r="B607" s="1265"/>
      <c r="C607" s="371"/>
      <c r="D607" s="371"/>
      <c r="E607" s="371"/>
      <c r="F607" s="371"/>
      <c r="G607" s="371"/>
      <c r="H607" s="371"/>
      <c r="I607" s="371"/>
      <c r="J607" s="371"/>
      <c r="K607" s="371"/>
      <c r="L607" s="371"/>
      <c r="M607" s="371"/>
      <c r="N607" s="371"/>
      <c r="O607" s="371"/>
      <c r="P607" s="371"/>
      <c r="Q607" s="371"/>
      <c r="R607" s="371"/>
      <c r="S607" s="371"/>
      <c r="T607" s="371"/>
      <c r="U607" s="371"/>
      <c r="V607" s="371"/>
      <c r="W607" s="371"/>
      <c r="X607" s="371"/>
      <c r="Y607" s="371"/>
      <c r="Z607" s="371"/>
    </row>
    <row r="608" ht="26.25" customHeight="1">
      <c r="A608" s="371"/>
      <c r="B608" s="1265"/>
      <c r="C608" s="371"/>
      <c r="D608" s="371"/>
      <c r="E608" s="371"/>
      <c r="F608" s="371"/>
      <c r="G608" s="371"/>
      <c r="H608" s="371"/>
      <c r="I608" s="371"/>
      <c r="J608" s="371"/>
      <c r="K608" s="371"/>
      <c r="L608" s="371"/>
      <c r="M608" s="371"/>
      <c r="N608" s="371"/>
      <c r="O608" s="371"/>
      <c r="P608" s="371"/>
      <c r="Q608" s="371"/>
      <c r="R608" s="371"/>
      <c r="S608" s="371"/>
      <c r="T608" s="371"/>
      <c r="U608" s="371"/>
      <c r="V608" s="371"/>
      <c r="W608" s="371"/>
      <c r="X608" s="371"/>
      <c r="Y608" s="371"/>
      <c r="Z608" s="371"/>
    </row>
    <row r="609" ht="26.25" customHeight="1">
      <c r="A609" s="371"/>
      <c r="B609" s="1265"/>
      <c r="C609" s="371"/>
      <c r="D609" s="371"/>
      <c r="E609" s="371"/>
      <c r="F609" s="371"/>
      <c r="G609" s="371"/>
      <c r="H609" s="371"/>
      <c r="I609" s="371"/>
      <c r="J609" s="371"/>
      <c r="K609" s="371"/>
      <c r="L609" s="371"/>
      <c r="M609" s="371"/>
      <c r="N609" s="371"/>
      <c r="O609" s="371"/>
      <c r="P609" s="371"/>
      <c r="Q609" s="371"/>
      <c r="R609" s="371"/>
      <c r="S609" s="371"/>
      <c r="T609" s="371"/>
      <c r="U609" s="371"/>
      <c r="V609" s="371"/>
      <c r="W609" s="371"/>
      <c r="X609" s="371"/>
      <c r="Y609" s="371"/>
      <c r="Z609" s="371"/>
    </row>
    <row r="610" ht="26.25" customHeight="1">
      <c r="A610" s="371"/>
      <c r="B610" s="1265"/>
      <c r="C610" s="371"/>
      <c r="D610" s="371"/>
      <c r="E610" s="371"/>
      <c r="F610" s="371"/>
      <c r="G610" s="371"/>
      <c r="H610" s="371"/>
      <c r="I610" s="371"/>
      <c r="J610" s="371"/>
      <c r="K610" s="371"/>
      <c r="L610" s="371"/>
      <c r="M610" s="371"/>
      <c r="N610" s="371"/>
      <c r="O610" s="371"/>
      <c r="P610" s="371"/>
      <c r="Q610" s="371"/>
      <c r="R610" s="371"/>
      <c r="S610" s="371"/>
      <c r="T610" s="371"/>
      <c r="U610" s="371"/>
      <c r="V610" s="371"/>
      <c r="W610" s="371"/>
      <c r="X610" s="371"/>
      <c r="Y610" s="371"/>
      <c r="Z610" s="371"/>
    </row>
    <row r="611" ht="26.25" customHeight="1">
      <c r="A611" s="371"/>
      <c r="B611" s="1265"/>
      <c r="C611" s="371"/>
      <c r="D611" s="371"/>
      <c r="E611" s="371"/>
      <c r="F611" s="371"/>
      <c r="G611" s="371"/>
      <c r="H611" s="371"/>
      <c r="I611" s="371"/>
      <c r="J611" s="371"/>
      <c r="K611" s="371"/>
      <c r="L611" s="371"/>
      <c r="M611" s="371"/>
      <c r="N611" s="371"/>
      <c r="O611" s="371"/>
      <c r="P611" s="371"/>
      <c r="Q611" s="371"/>
      <c r="R611" s="371"/>
      <c r="S611" s="371"/>
      <c r="T611" s="371"/>
      <c r="U611" s="371"/>
      <c r="V611" s="371"/>
      <c r="W611" s="371"/>
      <c r="X611" s="371"/>
      <c r="Y611" s="371"/>
      <c r="Z611" s="371"/>
    </row>
    <row r="612" ht="26.25" customHeight="1">
      <c r="A612" s="371"/>
      <c r="B612" s="1265"/>
      <c r="C612" s="371"/>
      <c r="D612" s="371"/>
      <c r="E612" s="371"/>
      <c r="F612" s="371"/>
      <c r="G612" s="371"/>
      <c r="H612" s="371"/>
      <c r="I612" s="371"/>
      <c r="J612" s="371"/>
      <c r="K612" s="371"/>
      <c r="L612" s="371"/>
      <c r="M612" s="371"/>
      <c r="N612" s="371"/>
      <c r="O612" s="371"/>
      <c r="P612" s="371"/>
      <c r="Q612" s="371"/>
      <c r="R612" s="371"/>
      <c r="S612" s="371"/>
      <c r="T612" s="371"/>
      <c r="U612" s="371"/>
      <c r="V612" s="371"/>
      <c r="W612" s="371"/>
      <c r="X612" s="371"/>
      <c r="Y612" s="371"/>
      <c r="Z612" s="371"/>
    </row>
    <row r="613" ht="26.25" customHeight="1">
      <c r="A613" s="371"/>
      <c r="B613" s="1265"/>
      <c r="C613" s="371"/>
      <c r="D613" s="371"/>
      <c r="E613" s="371"/>
      <c r="F613" s="371"/>
      <c r="G613" s="371"/>
      <c r="H613" s="371"/>
      <c r="I613" s="371"/>
      <c r="J613" s="371"/>
      <c r="K613" s="371"/>
      <c r="L613" s="371"/>
      <c r="M613" s="371"/>
      <c r="N613" s="371"/>
      <c r="O613" s="371"/>
      <c r="P613" s="371"/>
      <c r="Q613" s="371"/>
      <c r="R613" s="371"/>
      <c r="S613" s="371"/>
      <c r="T613" s="371"/>
      <c r="U613" s="371"/>
      <c r="V613" s="371"/>
      <c r="W613" s="371"/>
      <c r="X613" s="371"/>
      <c r="Y613" s="371"/>
      <c r="Z613" s="371"/>
    </row>
    <row r="614" ht="26.25" customHeight="1">
      <c r="A614" s="371"/>
      <c r="B614" s="1265"/>
      <c r="C614" s="371"/>
      <c r="D614" s="371"/>
      <c r="E614" s="371"/>
      <c r="F614" s="371"/>
      <c r="G614" s="371"/>
      <c r="H614" s="371"/>
      <c r="I614" s="371"/>
      <c r="J614" s="371"/>
      <c r="K614" s="371"/>
      <c r="L614" s="371"/>
      <c r="M614" s="371"/>
      <c r="N614" s="371"/>
      <c r="O614" s="371"/>
      <c r="P614" s="371"/>
      <c r="Q614" s="371"/>
      <c r="R614" s="371"/>
      <c r="S614" s="371"/>
      <c r="T614" s="371"/>
      <c r="U614" s="371"/>
      <c r="V614" s="371"/>
      <c r="W614" s="371"/>
      <c r="X614" s="371"/>
      <c r="Y614" s="371"/>
      <c r="Z614" s="371"/>
    </row>
    <row r="615" ht="26.25" customHeight="1">
      <c r="A615" s="371"/>
      <c r="B615" s="1265"/>
      <c r="C615" s="371"/>
      <c r="D615" s="371"/>
      <c r="E615" s="371"/>
      <c r="F615" s="371"/>
      <c r="G615" s="371"/>
      <c r="H615" s="371"/>
      <c r="I615" s="371"/>
      <c r="J615" s="371"/>
      <c r="K615" s="371"/>
      <c r="L615" s="371"/>
      <c r="M615" s="371"/>
      <c r="N615" s="371"/>
      <c r="O615" s="371"/>
      <c r="P615" s="371"/>
      <c r="Q615" s="371"/>
      <c r="R615" s="371"/>
      <c r="S615" s="371"/>
      <c r="T615" s="371"/>
      <c r="U615" s="371"/>
      <c r="V615" s="371"/>
      <c r="W615" s="371"/>
      <c r="X615" s="371"/>
      <c r="Y615" s="371"/>
      <c r="Z615" s="371"/>
    </row>
    <row r="616" ht="26.25" customHeight="1">
      <c r="A616" s="371"/>
      <c r="B616" s="1265"/>
      <c r="C616" s="371"/>
      <c r="D616" s="371"/>
      <c r="E616" s="371"/>
      <c r="F616" s="371"/>
      <c r="G616" s="371"/>
      <c r="H616" s="371"/>
      <c r="I616" s="371"/>
      <c r="J616" s="371"/>
      <c r="K616" s="371"/>
      <c r="L616" s="371"/>
      <c r="M616" s="371"/>
      <c r="N616" s="371"/>
      <c r="O616" s="371"/>
      <c r="P616" s="371"/>
      <c r="Q616" s="371"/>
      <c r="R616" s="371"/>
      <c r="S616" s="371"/>
      <c r="T616" s="371"/>
      <c r="U616" s="371"/>
      <c r="V616" s="371"/>
      <c r="W616" s="371"/>
      <c r="X616" s="371"/>
      <c r="Y616" s="371"/>
      <c r="Z616" s="371"/>
    </row>
    <row r="617" ht="26.25" customHeight="1">
      <c r="A617" s="371"/>
      <c r="B617" s="1265"/>
      <c r="C617" s="371"/>
      <c r="D617" s="371"/>
      <c r="E617" s="371"/>
      <c r="F617" s="371"/>
      <c r="G617" s="371"/>
      <c r="H617" s="371"/>
      <c r="I617" s="371"/>
      <c r="J617" s="371"/>
      <c r="K617" s="371"/>
      <c r="L617" s="371"/>
      <c r="M617" s="371"/>
      <c r="N617" s="371"/>
      <c r="O617" s="371"/>
      <c r="P617" s="371"/>
      <c r="Q617" s="371"/>
      <c r="R617" s="371"/>
      <c r="S617" s="371"/>
      <c r="T617" s="371"/>
      <c r="U617" s="371"/>
      <c r="V617" s="371"/>
      <c r="W617" s="371"/>
      <c r="X617" s="371"/>
      <c r="Y617" s="371"/>
      <c r="Z617" s="371"/>
    </row>
    <row r="618" ht="26.25" customHeight="1">
      <c r="A618" s="371"/>
      <c r="B618" s="1265"/>
      <c r="C618" s="371"/>
      <c r="D618" s="371"/>
      <c r="E618" s="371"/>
      <c r="F618" s="371"/>
      <c r="G618" s="371"/>
      <c r="H618" s="371"/>
      <c r="I618" s="371"/>
      <c r="J618" s="371"/>
      <c r="K618" s="371"/>
      <c r="L618" s="371"/>
      <c r="M618" s="371"/>
      <c r="N618" s="371"/>
      <c r="O618" s="371"/>
      <c r="P618" s="371"/>
      <c r="Q618" s="371"/>
      <c r="R618" s="371"/>
      <c r="S618" s="371"/>
      <c r="T618" s="371"/>
      <c r="U618" s="371"/>
      <c r="V618" s="371"/>
      <c r="W618" s="371"/>
      <c r="X618" s="371"/>
      <c r="Y618" s="371"/>
      <c r="Z618" s="371"/>
    </row>
    <row r="619" ht="26.25" customHeight="1">
      <c r="A619" s="371"/>
      <c r="B619" s="1265"/>
      <c r="C619" s="371"/>
      <c r="D619" s="371"/>
      <c r="E619" s="371"/>
      <c r="F619" s="371"/>
      <c r="G619" s="371"/>
      <c r="H619" s="371"/>
      <c r="I619" s="371"/>
      <c r="J619" s="371"/>
      <c r="K619" s="371"/>
      <c r="L619" s="371"/>
      <c r="M619" s="371"/>
      <c r="N619" s="371"/>
      <c r="O619" s="371"/>
      <c r="P619" s="371"/>
      <c r="Q619" s="371"/>
      <c r="R619" s="371"/>
      <c r="S619" s="371"/>
      <c r="T619" s="371"/>
      <c r="U619" s="371"/>
      <c r="V619" s="371"/>
      <c r="W619" s="371"/>
      <c r="X619" s="371"/>
      <c r="Y619" s="371"/>
      <c r="Z619" s="371"/>
    </row>
    <row r="620" ht="26.25" customHeight="1">
      <c r="A620" s="371"/>
      <c r="B620" s="1265"/>
      <c r="C620" s="371"/>
      <c r="D620" s="371"/>
      <c r="E620" s="371"/>
      <c r="F620" s="371"/>
      <c r="G620" s="371"/>
      <c r="H620" s="371"/>
      <c r="I620" s="371"/>
      <c r="J620" s="371"/>
      <c r="K620" s="371"/>
      <c r="L620" s="371"/>
      <c r="M620" s="371"/>
      <c r="N620" s="371"/>
      <c r="O620" s="371"/>
      <c r="P620" s="371"/>
      <c r="Q620" s="371"/>
      <c r="R620" s="371"/>
      <c r="S620" s="371"/>
      <c r="T620" s="371"/>
      <c r="U620" s="371"/>
      <c r="V620" s="371"/>
      <c r="W620" s="371"/>
      <c r="X620" s="371"/>
      <c r="Y620" s="371"/>
      <c r="Z620" s="371"/>
    </row>
    <row r="621" ht="26.25" customHeight="1">
      <c r="A621" s="371"/>
      <c r="B621" s="1265"/>
      <c r="C621" s="371"/>
      <c r="D621" s="371"/>
      <c r="E621" s="371"/>
      <c r="F621" s="371"/>
      <c r="G621" s="371"/>
      <c r="H621" s="371"/>
      <c r="I621" s="371"/>
      <c r="J621" s="371"/>
      <c r="K621" s="371"/>
      <c r="L621" s="371"/>
      <c r="M621" s="371"/>
      <c r="N621" s="371"/>
      <c r="O621" s="371"/>
      <c r="P621" s="371"/>
      <c r="Q621" s="371"/>
      <c r="R621" s="371"/>
      <c r="S621" s="371"/>
      <c r="T621" s="371"/>
      <c r="U621" s="371"/>
      <c r="V621" s="371"/>
      <c r="W621" s="371"/>
      <c r="X621" s="371"/>
      <c r="Y621" s="371"/>
      <c r="Z621" s="371"/>
    </row>
    <row r="622" ht="26.25" customHeight="1">
      <c r="A622" s="371"/>
      <c r="B622" s="1265"/>
      <c r="C622" s="371"/>
      <c r="D622" s="371"/>
      <c r="E622" s="371"/>
      <c r="F622" s="371"/>
      <c r="G622" s="371"/>
      <c r="H622" s="371"/>
      <c r="I622" s="371"/>
      <c r="J622" s="371"/>
      <c r="K622" s="371"/>
      <c r="L622" s="371"/>
      <c r="M622" s="371"/>
      <c r="N622" s="371"/>
      <c r="O622" s="371"/>
      <c r="P622" s="371"/>
      <c r="Q622" s="371"/>
      <c r="R622" s="371"/>
      <c r="S622" s="371"/>
      <c r="T622" s="371"/>
      <c r="U622" s="371"/>
      <c r="V622" s="371"/>
      <c r="W622" s="371"/>
      <c r="X622" s="371"/>
      <c r="Y622" s="371"/>
      <c r="Z622" s="371"/>
    </row>
    <row r="623" ht="26.25" customHeight="1">
      <c r="A623" s="371"/>
      <c r="B623" s="1265"/>
      <c r="C623" s="371"/>
      <c r="D623" s="371"/>
      <c r="E623" s="371"/>
      <c r="F623" s="371"/>
      <c r="G623" s="371"/>
      <c r="H623" s="371"/>
      <c r="I623" s="371"/>
      <c r="J623" s="371"/>
      <c r="K623" s="371"/>
      <c r="L623" s="371"/>
      <c r="M623" s="371"/>
      <c r="N623" s="371"/>
      <c r="O623" s="371"/>
      <c r="P623" s="371"/>
      <c r="Q623" s="371"/>
      <c r="R623" s="371"/>
      <c r="S623" s="371"/>
      <c r="T623" s="371"/>
      <c r="U623" s="371"/>
      <c r="V623" s="371"/>
      <c r="W623" s="371"/>
      <c r="X623" s="371"/>
      <c r="Y623" s="371"/>
      <c r="Z623" s="371"/>
    </row>
    <row r="624" ht="26.25" customHeight="1">
      <c r="A624" s="371"/>
      <c r="B624" s="1265"/>
      <c r="C624" s="371"/>
      <c r="D624" s="371"/>
      <c r="E624" s="371"/>
      <c r="F624" s="371"/>
      <c r="G624" s="371"/>
      <c r="H624" s="371"/>
      <c r="I624" s="371"/>
      <c r="J624" s="371"/>
      <c r="K624" s="371"/>
      <c r="L624" s="371"/>
      <c r="M624" s="371"/>
      <c r="N624" s="371"/>
      <c r="O624" s="371"/>
      <c r="P624" s="371"/>
      <c r="Q624" s="371"/>
      <c r="R624" s="371"/>
      <c r="S624" s="371"/>
      <c r="T624" s="371"/>
      <c r="U624" s="371"/>
      <c r="V624" s="371"/>
      <c r="W624" s="371"/>
      <c r="X624" s="371"/>
      <c r="Y624" s="371"/>
      <c r="Z624" s="371"/>
    </row>
    <row r="625" ht="26.25" customHeight="1">
      <c r="A625" s="371"/>
      <c r="B625" s="1265"/>
      <c r="C625" s="371"/>
      <c r="D625" s="371"/>
      <c r="E625" s="371"/>
      <c r="F625" s="371"/>
      <c r="G625" s="371"/>
      <c r="H625" s="371"/>
      <c r="I625" s="371"/>
      <c r="J625" s="371"/>
      <c r="K625" s="371"/>
      <c r="L625" s="371"/>
      <c r="M625" s="371"/>
      <c r="N625" s="371"/>
      <c r="O625" s="371"/>
      <c r="P625" s="371"/>
      <c r="Q625" s="371"/>
      <c r="R625" s="371"/>
      <c r="S625" s="371"/>
      <c r="T625" s="371"/>
      <c r="U625" s="371"/>
      <c r="V625" s="371"/>
      <c r="W625" s="371"/>
      <c r="X625" s="371"/>
      <c r="Y625" s="371"/>
      <c r="Z625" s="371"/>
    </row>
    <row r="626" ht="26.25" customHeight="1">
      <c r="A626" s="371"/>
      <c r="B626" s="1265"/>
      <c r="C626" s="371"/>
      <c r="D626" s="371"/>
      <c r="E626" s="371"/>
      <c r="F626" s="371"/>
      <c r="G626" s="371"/>
      <c r="H626" s="371"/>
      <c r="I626" s="371"/>
      <c r="J626" s="371"/>
      <c r="K626" s="371"/>
      <c r="L626" s="371"/>
      <c r="M626" s="371"/>
      <c r="N626" s="371"/>
      <c r="O626" s="371"/>
      <c r="P626" s="371"/>
      <c r="Q626" s="371"/>
      <c r="R626" s="371"/>
      <c r="S626" s="371"/>
      <c r="T626" s="371"/>
      <c r="U626" s="371"/>
      <c r="V626" s="371"/>
      <c r="W626" s="371"/>
      <c r="X626" s="371"/>
      <c r="Y626" s="371"/>
      <c r="Z626" s="371"/>
    </row>
    <row r="627" ht="26.25" customHeight="1">
      <c r="A627" s="371"/>
      <c r="B627" s="1265"/>
      <c r="C627" s="371"/>
      <c r="D627" s="371"/>
      <c r="E627" s="371"/>
      <c r="F627" s="371"/>
      <c r="G627" s="371"/>
      <c r="H627" s="371"/>
      <c r="I627" s="371"/>
      <c r="J627" s="371"/>
      <c r="K627" s="371"/>
      <c r="L627" s="371"/>
      <c r="M627" s="371"/>
      <c r="N627" s="371"/>
      <c r="O627" s="371"/>
      <c r="P627" s="371"/>
      <c r="Q627" s="371"/>
      <c r="R627" s="371"/>
      <c r="S627" s="371"/>
      <c r="T627" s="371"/>
      <c r="U627" s="371"/>
      <c r="V627" s="371"/>
      <c r="W627" s="371"/>
      <c r="X627" s="371"/>
      <c r="Y627" s="371"/>
      <c r="Z627" s="371"/>
    </row>
    <row r="628" ht="26.25" customHeight="1">
      <c r="A628" s="371"/>
      <c r="B628" s="1265"/>
      <c r="C628" s="371"/>
      <c r="D628" s="371"/>
      <c r="E628" s="371"/>
      <c r="F628" s="371"/>
      <c r="G628" s="371"/>
      <c r="H628" s="371"/>
      <c r="I628" s="371"/>
      <c r="J628" s="371"/>
      <c r="K628" s="371"/>
      <c r="L628" s="371"/>
      <c r="M628" s="371"/>
      <c r="N628" s="371"/>
      <c r="O628" s="371"/>
      <c r="P628" s="371"/>
      <c r="Q628" s="371"/>
      <c r="R628" s="371"/>
      <c r="S628" s="371"/>
      <c r="T628" s="371"/>
      <c r="U628" s="371"/>
      <c r="V628" s="371"/>
      <c r="W628" s="371"/>
      <c r="X628" s="371"/>
      <c r="Y628" s="371"/>
      <c r="Z628" s="371"/>
    </row>
    <row r="629" ht="26.25" customHeight="1">
      <c r="A629" s="371"/>
      <c r="B629" s="1265"/>
      <c r="C629" s="371"/>
      <c r="D629" s="371"/>
      <c r="E629" s="371"/>
      <c r="F629" s="371"/>
      <c r="G629" s="371"/>
      <c r="H629" s="371"/>
      <c r="I629" s="371"/>
      <c r="J629" s="371"/>
      <c r="K629" s="371"/>
      <c r="L629" s="371"/>
      <c r="M629" s="371"/>
      <c r="N629" s="371"/>
      <c r="O629" s="371"/>
      <c r="P629" s="371"/>
      <c r="Q629" s="371"/>
      <c r="R629" s="371"/>
      <c r="S629" s="371"/>
      <c r="T629" s="371"/>
      <c r="U629" s="371"/>
      <c r="V629" s="371"/>
      <c r="W629" s="371"/>
      <c r="X629" s="371"/>
      <c r="Y629" s="371"/>
      <c r="Z629" s="371"/>
    </row>
    <row r="630" ht="26.25" customHeight="1">
      <c r="A630" s="371"/>
      <c r="B630" s="1265"/>
      <c r="C630" s="371"/>
      <c r="D630" s="371"/>
      <c r="E630" s="371"/>
      <c r="F630" s="371"/>
      <c r="G630" s="371"/>
      <c r="H630" s="371"/>
      <c r="I630" s="371"/>
      <c r="J630" s="371"/>
      <c r="K630" s="371"/>
      <c r="L630" s="371"/>
      <c r="M630" s="371"/>
      <c r="N630" s="371"/>
      <c r="O630" s="371"/>
      <c r="P630" s="371"/>
      <c r="Q630" s="371"/>
      <c r="R630" s="371"/>
      <c r="S630" s="371"/>
      <c r="T630" s="371"/>
      <c r="U630" s="371"/>
      <c r="V630" s="371"/>
      <c r="W630" s="371"/>
      <c r="X630" s="371"/>
      <c r="Y630" s="371"/>
      <c r="Z630" s="371"/>
    </row>
    <row r="631" ht="26.25" customHeight="1">
      <c r="A631" s="371"/>
      <c r="B631" s="1265"/>
      <c r="C631" s="371"/>
      <c r="D631" s="371"/>
      <c r="E631" s="371"/>
      <c r="F631" s="371"/>
      <c r="G631" s="371"/>
      <c r="H631" s="371"/>
      <c r="I631" s="371"/>
      <c r="J631" s="371"/>
      <c r="K631" s="371"/>
      <c r="L631" s="371"/>
      <c r="M631" s="371"/>
      <c r="N631" s="371"/>
      <c r="O631" s="371"/>
      <c r="P631" s="371"/>
      <c r="Q631" s="371"/>
      <c r="R631" s="371"/>
      <c r="S631" s="371"/>
      <c r="T631" s="371"/>
      <c r="U631" s="371"/>
      <c r="V631" s="371"/>
      <c r="W631" s="371"/>
      <c r="X631" s="371"/>
      <c r="Y631" s="371"/>
      <c r="Z631" s="371"/>
    </row>
    <row r="632" ht="26.25" customHeight="1">
      <c r="A632" s="371"/>
      <c r="B632" s="1265"/>
      <c r="C632" s="371"/>
      <c r="D632" s="371"/>
      <c r="E632" s="371"/>
      <c r="F632" s="371"/>
      <c r="G632" s="371"/>
      <c r="H632" s="371"/>
      <c r="I632" s="371"/>
      <c r="J632" s="371"/>
      <c r="K632" s="371"/>
      <c r="L632" s="371"/>
      <c r="M632" s="371"/>
      <c r="N632" s="371"/>
      <c r="O632" s="371"/>
      <c r="P632" s="371"/>
      <c r="Q632" s="371"/>
      <c r="R632" s="371"/>
      <c r="S632" s="371"/>
      <c r="T632" s="371"/>
      <c r="U632" s="371"/>
      <c r="V632" s="371"/>
      <c r="W632" s="371"/>
      <c r="X632" s="371"/>
      <c r="Y632" s="371"/>
      <c r="Z632" s="371"/>
    </row>
    <row r="633" ht="26.25" customHeight="1">
      <c r="A633" s="371"/>
      <c r="B633" s="1265"/>
      <c r="C633" s="371"/>
      <c r="D633" s="371"/>
      <c r="E633" s="371"/>
      <c r="F633" s="371"/>
      <c r="G633" s="371"/>
      <c r="H633" s="371"/>
      <c r="I633" s="371"/>
      <c r="J633" s="371"/>
      <c r="K633" s="371"/>
      <c r="L633" s="371"/>
      <c r="M633" s="371"/>
      <c r="N633" s="371"/>
      <c r="O633" s="371"/>
      <c r="P633" s="371"/>
      <c r="Q633" s="371"/>
      <c r="R633" s="371"/>
      <c r="S633" s="371"/>
      <c r="T633" s="371"/>
      <c r="U633" s="371"/>
      <c r="V633" s="371"/>
      <c r="W633" s="371"/>
      <c r="X633" s="371"/>
      <c r="Y633" s="371"/>
      <c r="Z633" s="371"/>
    </row>
    <row r="634" ht="26.25" customHeight="1">
      <c r="A634" s="371"/>
      <c r="B634" s="1265"/>
      <c r="C634" s="371"/>
      <c r="D634" s="371"/>
      <c r="E634" s="371"/>
      <c r="F634" s="371"/>
      <c r="G634" s="371"/>
      <c r="H634" s="371"/>
      <c r="I634" s="371"/>
      <c r="J634" s="371"/>
      <c r="K634" s="371"/>
      <c r="L634" s="371"/>
      <c r="M634" s="371"/>
      <c r="N634" s="371"/>
      <c r="O634" s="371"/>
      <c r="P634" s="371"/>
      <c r="Q634" s="371"/>
      <c r="R634" s="371"/>
      <c r="S634" s="371"/>
      <c r="T634" s="371"/>
      <c r="U634" s="371"/>
      <c r="V634" s="371"/>
      <c r="W634" s="371"/>
      <c r="X634" s="371"/>
      <c r="Y634" s="371"/>
      <c r="Z634" s="371"/>
    </row>
    <row r="635" ht="26.25" customHeight="1">
      <c r="A635" s="371"/>
      <c r="B635" s="1265"/>
      <c r="C635" s="371"/>
      <c r="D635" s="371"/>
      <c r="E635" s="371"/>
      <c r="F635" s="371"/>
      <c r="G635" s="371"/>
      <c r="H635" s="371"/>
      <c r="I635" s="371"/>
      <c r="J635" s="371"/>
      <c r="K635" s="371"/>
      <c r="L635" s="371"/>
      <c r="M635" s="371"/>
      <c r="N635" s="371"/>
      <c r="O635" s="371"/>
      <c r="P635" s="371"/>
      <c r="Q635" s="371"/>
      <c r="R635" s="371"/>
      <c r="S635" s="371"/>
      <c r="T635" s="371"/>
      <c r="U635" s="371"/>
      <c r="V635" s="371"/>
      <c r="W635" s="371"/>
      <c r="X635" s="371"/>
      <c r="Y635" s="371"/>
      <c r="Z635" s="371"/>
    </row>
    <row r="636" ht="26.25" customHeight="1">
      <c r="A636" s="371"/>
      <c r="B636" s="1265"/>
      <c r="C636" s="371"/>
      <c r="D636" s="371"/>
      <c r="E636" s="371"/>
      <c r="F636" s="371"/>
      <c r="G636" s="371"/>
      <c r="H636" s="371"/>
      <c r="I636" s="371"/>
      <c r="J636" s="371"/>
      <c r="K636" s="371"/>
      <c r="L636" s="371"/>
      <c r="M636" s="371"/>
      <c r="N636" s="371"/>
      <c r="O636" s="371"/>
      <c r="P636" s="371"/>
      <c r="Q636" s="371"/>
      <c r="R636" s="371"/>
      <c r="S636" s="371"/>
      <c r="T636" s="371"/>
      <c r="U636" s="371"/>
      <c r="V636" s="371"/>
      <c r="W636" s="371"/>
      <c r="X636" s="371"/>
      <c r="Y636" s="371"/>
      <c r="Z636" s="371"/>
    </row>
    <row r="637" ht="26.25" customHeight="1">
      <c r="A637" s="371"/>
      <c r="B637" s="1265"/>
      <c r="C637" s="371"/>
      <c r="D637" s="371"/>
      <c r="E637" s="371"/>
      <c r="F637" s="371"/>
      <c r="G637" s="371"/>
      <c r="H637" s="371"/>
      <c r="I637" s="371"/>
      <c r="J637" s="371"/>
      <c r="K637" s="371"/>
      <c r="L637" s="371"/>
      <c r="M637" s="371"/>
      <c r="N637" s="371"/>
      <c r="O637" s="371"/>
      <c r="P637" s="371"/>
      <c r="Q637" s="371"/>
      <c r="R637" s="371"/>
      <c r="S637" s="371"/>
      <c r="T637" s="371"/>
      <c r="U637" s="371"/>
      <c r="V637" s="371"/>
      <c r="W637" s="371"/>
      <c r="X637" s="371"/>
      <c r="Y637" s="371"/>
      <c r="Z637" s="371"/>
    </row>
    <row r="638" ht="26.25" customHeight="1">
      <c r="A638" s="371"/>
      <c r="B638" s="1265"/>
      <c r="C638" s="371"/>
      <c r="D638" s="371"/>
      <c r="E638" s="371"/>
      <c r="F638" s="371"/>
      <c r="G638" s="371"/>
      <c r="H638" s="371"/>
      <c r="I638" s="371"/>
      <c r="J638" s="371"/>
      <c r="K638" s="371"/>
      <c r="L638" s="371"/>
      <c r="M638" s="371"/>
      <c r="N638" s="371"/>
      <c r="O638" s="371"/>
      <c r="P638" s="371"/>
      <c r="Q638" s="371"/>
      <c r="R638" s="371"/>
      <c r="S638" s="371"/>
      <c r="T638" s="371"/>
      <c r="U638" s="371"/>
      <c r="V638" s="371"/>
      <c r="W638" s="371"/>
      <c r="X638" s="371"/>
      <c r="Y638" s="371"/>
      <c r="Z638" s="371"/>
    </row>
    <row r="639" ht="26.25" customHeight="1">
      <c r="A639" s="371"/>
      <c r="B639" s="1265"/>
      <c r="C639" s="371"/>
      <c r="D639" s="371"/>
      <c r="E639" s="371"/>
      <c r="F639" s="371"/>
      <c r="G639" s="371"/>
      <c r="H639" s="371"/>
      <c r="I639" s="371"/>
      <c r="J639" s="371"/>
      <c r="K639" s="371"/>
      <c r="L639" s="371"/>
      <c r="M639" s="371"/>
      <c r="N639" s="371"/>
      <c r="O639" s="371"/>
      <c r="P639" s="371"/>
      <c r="Q639" s="371"/>
      <c r="R639" s="371"/>
      <c r="S639" s="371"/>
      <c r="T639" s="371"/>
      <c r="U639" s="371"/>
      <c r="V639" s="371"/>
      <c r="W639" s="371"/>
      <c r="X639" s="371"/>
      <c r="Y639" s="371"/>
      <c r="Z639" s="371"/>
    </row>
    <row r="640" ht="26.25" customHeight="1">
      <c r="A640" s="371"/>
      <c r="B640" s="1265"/>
      <c r="C640" s="371"/>
      <c r="D640" s="371"/>
      <c r="E640" s="371"/>
      <c r="F640" s="371"/>
      <c r="G640" s="371"/>
      <c r="H640" s="371"/>
      <c r="I640" s="371"/>
      <c r="J640" s="371"/>
      <c r="K640" s="371"/>
      <c r="L640" s="371"/>
      <c r="M640" s="371"/>
      <c r="N640" s="371"/>
      <c r="O640" s="371"/>
      <c r="P640" s="371"/>
      <c r="Q640" s="371"/>
      <c r="R640" s="371"/>
      <c r="S640" s="371"/>
      <c r="T640" s="371"/>
      <c r="U640" s="371"/>
      <c r="V640" s="371"/>
      <c r="W640" s="371"/>
      <c r="X640" s="371"/>
      <c r="Y640" s="371"/>
      <c r="Z640" s="371"/>
    </row>
    <row r="641" ht="26.25" customHeight="1">
      <c r="A641" s="371"/>
      <c r="B641" s="1265"/>
      <c r="C641" s="371"/>
      <c r="D641" s="371"/>
      <c r="E641" s="371"/>
      <c r="F641" s="371"/>
      <c r="G641" s="371"/>
      <c r="H641" s="371"/>
      <c r="I641" s="371"/>
      <c r="J641" s="371"/>
      <c r="K641" s="371"/>
      <c r="L641" s="371"/>
      <c r="M641" s="371"/>
      <c r="N641" s="371"/>
      <c r="O641" s="371"/>
      <c r="P641" s="371"/>
      <c r="Q641" s="371"/>
      <c r="R641" s="371"/>
      <c r="S641" s="371"/>
      <c r="T641" s="371"/>
      <c r="U641" s="371"/>
      <c r="V641" s="371"/>
      <c r="W641" s="371"/>
      <c r="X641" s="371"/>
      <c r="Y641" s="371"/>
      <c r="Z641" s="371"/>
    </row>
    <row r="642" ht="26.25" customHeight="1">
      <c r="A642" s="371"/>
      <c r="B642" s="1265"/>
      <c r="C642" s="371"/>
      <c r="D642" s="371"/>
      <c r="E642" s="371"/>
      <c r="F642" s="371"/>
      <c r="G642" s="371"/>
      <c r="H642" s="371"/>
      <c r="I642" s="371"/>
      <c r="J642" s="371"/>
      <c r="K642" s="371"/>
      <c r="L642" s="371"/>
      <c r="M642" s="371"/>
      <c r="N642" s="371"/>
      <c r="O642" s="371"/>
      <c r="P642" s="371"/>
      <c r="Q642" s="371"/>
      <c r="R642" s="371"/>
      <c r="S642" s="371"/>
      <c r="T642" s="371"/>
      <c r="U642" s="371"/>
      <c r="V642" s="371"/>
      <c r="W642" s="371"/>
      <c r="X642" s="371"/>
      <c r="Y642" s="371"/>
      <c r="Z642" s="371"/>
    </row>
    <row r="643" ht="26.25" customHeight="1">
      <c r="A643" s="371"/>
      <c r="B643" s="1265"/>
      <c r="C643" s="371"/>
      <c r="D643" s="371"/>
      <c r="E643" s="371"/>
      <c r="F643" s="371"/>
      <c r="G643" s="371"/>
      <c r="H643" s="371"/>
      <c r="I643" s="371"/>
      <c r="J643" s="371"/>
      <c r="K643" s="371"/>
      <c r="L643" s="371"/>
      <c r="M643" s="371"/>
      <c r="N643" s="371"/>
      <c r="O643" s="371"/>
      <c r="P643" s="371"/>
      <c r="Q643" s="371"/>
      <c r="R643" s="371"/>
      <c r="S643" s="371"/>
      <c r="T643" s="371"/>
      <c r="U643" s="371"/>
      <c r="V643" s="371"/>
      <c r="W643" s="371"/>
      <c r="X643" s="371"/>
      <c r="Y643" s="371"/>
      <c r="Z643" s="371"/>
    </row>
    <row r="644" ht="26.25" customHeight="1">
      <c r="A644" s="371"/>
      <c r="B644" s="1265"/>
      <c r="C644" s="371"/>
      <c r="D644" s="371"/>
      <c r="E644" s="371"/>
      <c r="F644" s="371"/>
      <c r="G644" s="371"/>
      <c r="H644" s="371"/>
      <c r="I644" s="371"/>
      <c r="J644" s="371"/>
      <c r="K644" s="371"/>
      <c r="L644" s="371"/>
      <c r="M644" s="371"/>
      <c r="N644" s="371"/>
      <c r="O644" s="371"/>
      <c r="P644" s="371"/>
      <c r="Q644" s="371"/>
      <c r="R644" s="371"/>
      <c r="S644" s="371"/>
      <c r="T644" s="371"/>
      <c r="U644" s="371"/>
      <c r="V644" s="371"/>
      <c r="W644" s="371"/>
      <c r="X644" s="371"/>
      <c r="Y644" s="371"/>
      <c r="Z644" s="371"/>
    </row>
    <row r="645" ht="26.25" customHeight="1">
      <c r="A645" s="371"/>
      <c r="B645" s="1265"/>
      <c r="C645" s="371"/>
      <c r="D645" s="371"/>
      <c r="E645" s="371"/>
      <c r="F645" s="371"/>
      <c r="G645" s="371"/>
      <c r="H645" s="371"/>
      <c r="I645" s="371"/>
      <c r="J645" s="371"/>
      <c r="K645" s="371"/>
      <c r="L645" s="371"/>
      <c r="M645" s="371"/>
      <c r="N645" s="371"/>
      <c r="O645" s="371"/>
      <c r="P645" s="371"/>
      <c r="Q645" s="371"/>
      <c r="R645" s="371"/>
      <c r="S645" s="371"/>
      <c r="T645" s="371"/>
      <c r="U645" s="371"/>
      <c r="V645" s="371"/>
      <c r="W645" s="371"/>
      <c r="X645" s="371"/>
      <c r="Y645" s="371"/>
      <c r="Z645" s="371"/>
    </row>
    <row r="646" ht="26.25" customHeight="1">
      <c r="A646" s="371"/>
      <c r="B646" s="1265"/>
      <c r="C646" s="371"/>
      <c r="D646" s="371"/>
      <c r="E646" s="371"/>
      <c r="F646" s="371"/>
      <c r="G646" s="371"/>
      <c r="H646" s="371"/>
      <c r="I646" s="371"/>
      <c r="J646" s="371"/>
      <c r="K646" s="371"/>
      <c r="L646" s="371"/>
      <c r="M646" s="371"/>
      <c r="N646" s="371"/>
      <c r="O646" s="371"/>
      <c r="P646" s="371"/>
      <c r="Q646" s="371"/>
      <c r="R646" s="371"/>
      <c r="S646" s="371"/>
      <c r="T646" s="371"/>
      <c r="U646" s="371"/>
      <c r="V646" s="371"/>
      <c r="W646" s="371"/>
      <c r="X646" s="371"/>
      <c r="Y646" s="371"/>
      <c r="Z646" s="371"/>
    </row>
    <row r="647" ht="26.25" customHeight="1">
      <c r="A647" s="371"/>
      <c r="B647" s="1265"/>
      <c r="C647" s="371"/>
      <c r="D647" s="371"/>
      <c r="E647" s="371"/>
      <c r="F647" s="371"/>
      <c r="G647" s="371"/>
      <c r="H647" s="371"/>
      <c r="I647" s="371"/>
      <c r="J647" s="371"/>
      <c r="K647" s="371"/>
      <c r="L647" s="371"/>
      <c r="M647" s="371"/>
      <c r="N647" s="371"/>
      <c r="O647" s="371"/>
      <c r="P647" s="371"/>
      <c r="Q647" s="371"/>
      <c r="R647" s="371"/>
      <c r="S647" s="371"/>
      <c r="T647" s="371"/>
      <c r="U647" s="371"/>
      <c r="V647" s="371"/>
      <c r="W647" s="371"/>
      <c r="X647" s="371"/>
      <c r="Y647" s="371"/>
      <c r="Z647" s="371"/>
    </row>
    <row r="648" ht="26.25" customHeight="1">
      <c r="A648" s="371"/>
      <c r="B648" s="1265"/>
      <c r="C648" s="371"/>
      <c r="D648" s="371"/>
      <c r="E648" s="371"/>
      <c r="F648" s="371"/>
      <c r="G648" s="371"/>
      <c r="H648" s="371"/>
      <c r="I648" s="371"/>
      <c r="J648" s="371"/>
      <c r="K648" s="371"/>
      <c r="L648" s="371"/>
      <c r="M648" s="371"/>
      <c r="N648" s="371"/>
      <c r="O648" s="371"/>
      <c r="P648" s="371"/>
      <c r="Q648" s="371"/>
      <c r="R648" s="371"/>
      <c r="S648" s="371"/>
      <c r="T648" s="371"/>
      <c r="U648" s="371"/>
      <c r="V648" s="371"/>
      <c r="W648" s="371"/>
      <c r="X648" s="371"/>
      <c r="Y648" s="371"/>
      <c r="Z648" s="371"/>
    </row>
    <row r="649" ht="26.25" customHeight="1">
      <c r="A649" s="371"/>
      <c r="B649" s="1265"/>
      <c r="C649" s="371"/>
      <c r="D649" s="371"/>
      <c r="E649" s="371"/>
      <c r="F649" s="371"/>
      <c r="G649" s="371"/>
      <c r="H649" s="371"/>
      <c r="I649" s="371"/>
      <c r="J649" s="371"/>
      <c r="K649" s="371"/>
      <c r="L649" s="371"/>
      <c r="M649" s="371"/>
      <c r="N649" s="371"/>
      <c r="O649" s="371"/>
      <c r="P649" s="371"/>
      <c r="Q649" s="371"/>
      <c r="R649" s="371"/>
      <c r="S649" s="371"/>
      <c r="T649" s="371"/>
      <c r="U649" s="371"/>
      <c r="V649" s="371"/>
      <c r="W649" s="371"/>
      <c r="X649" s="371"/>
      <c r="Y649" s="371"/>
      <c r="Z649" s="371"/>
    </row>
    <row r="650" ht="26.25" customHeight="1">
      <c r="A650" s="371"/>
      <c r="B650" s="1265"/>
      <c r="C650" s="371"/>
      <c r="D650" s="371"/>
      <c r="E650" s="371"/>
      <c r="F650" s="371"/>
      <c r="G650" s="371"/>
      <c r="H650" s="371"/>
      <c r="I650" s="371"/>
      <c r="J650" s="371"/>
      <c r="K650" s="371"/>
      <c r="L650" s="371"/>
      <c r="M650" s="371"/>
      <c r="N650" s="371"/>
      <c r="O650" s="371"/>
      <c r="P650" s="371"/>
      <c r="Q650" s="371"/>
      <c r="R650" s="371"/>
      <c r="S650" s="371"/>
      <c r="T650" s="371"/>
      <c r="U650" s="371"/>
      <c r="V650" s="371"/>
      <c r="W650" s="371"/>
      <c r="X650" s="371"/>
      <c r="Y650" s="371"/>
      <c r="Z650" s="371"/>
    </row>
    <row r="651" ht="26.25" customHeight="1">
      <c r="A651" s="371"/>
      <c r="B651" s="1265"/>
      <c r="C651" s="371"/>
      <c r="D651" s="371"/>
      <c r="E651" s="371"/>
      <c r="F651" s="371"/>
      <c r="G651" s="371"/>
      <c r="H651" s="371"/>
      <c r="I651" s="371"/>
      <c r="J651" s="371"/>
      <c r="K651" s="371"/>
      <c r="L651" s="371"/>
      <c r="M651" s="371"/>
      <c r="N651" s="371"/>
      <c r="O651" s="371"/>
      <c r="P651" s="371"/>
      <c r="Q651" s="371"/>
      <c r="R651" s="371"/>
      <c r="S651" s="371"/>
      <c r="T651" s="371"/>
      <c r="U651" s="371"/>
      <c r="V651" s="371"/>
      <c r="W651" s="371"/>
      <c r="X651" s="371"/>
      <c r="Y651" s="371"/>
      <c r="Z651" s="371"/>
    </row>
    <row r="652" ht="26.25" customHeight="1">
      <c r="A652" s="371"/>
      <c r="B652" s="1265"/>
      <c r="C652" s="371"/>
      <c r="D652" s="371"/>
      <c r="E652" s="371"/>
      <c r="F652" s="371"/>
      <c r="G652" s="371"/>
      <c r="H652" s="371"/>
      <c r="I652" s="371"/>
      <c r="J652" s="371"/>
      <c r="K652" s="371"/>
      <c r="L652" s="371"/>
      <c r="M652" s="371"/>
      <c r="N652" s="371"/>
      <c r="O652" s="371"/>
      <c r="P652" s="371"/>
      <c r="Q652" s="371"/>
      <c r="R652" s="371"/>
      <c r="S652" s="371"/>
      <c r="T652" s="371"/>
      <c r="U652" s="371"/>
      <c r="V652" s="371"/>
      <c r="W652" s="371"/>
      <c r="X652" s="371"/>
      <c r="Y652" s="371"/>
      <c r="Z652" s="371"/>
    </row>
    <row r="653" ht="26.25" customHeight="1">
      <c r="A653" s="371"/>
      <c r="B653" s="1265"/>
      <c r="C653" s="371"/>
      <c r="D653" s="371"/>
      <c r="E653" s="371"/>
      <c r="F653" s="371"/>
      <c r="G653" s="371"/>
      <c r="H653" s="371"/>
      <c r="I653" s="371"/>
      <c r="J653" s="371"/>
      <c r="K653" s="371"/>
      <c r="L653" s="371"/>
      <c r="M653" s="371"/>
      <c r="N653" s="371"/>
      <c r="O653" s="371"/>
      <c r="P653" s="371"/>
      <c r="Q653" s="371"/>
      <c r="R653" s="371"/>
      <c r="S653" s="371"/>
      <c r="T653" s="371"/>
      <c r="U653" s="371"/>
      <c r="V653" s="371"/>
      <c r="W653" s="371"/>
      <c r="X653" s="371"/>
      <c r="Y653" s="371"/>
      <c r="Z653" s="371"/>
    </row>
    <row r="654" ht="26.25" customHeight="1">
      <c r="A654" s="371"/>
      <c r="B654" s="1265"/>
      <c r="C654" s="371"/>
      <c r="D654" s="371"/>
      <c r="E654" s="371"/>
      <c r="F654" s="371"/>
      <c r="G654" s="371"/>
      <c r="H654" s="371"/>
      <c r="I654" s="371"/>
      <c r="J654" s="371"/>
      <c r="K654" s="371"/>
      <c r="L654" s="371"/>
      <c r="M654" s="371"/>
      <c r="N654" s="371"/>
      <c r="O654" s="371"/>
      <c r="P654" s="371"/>
      <c r="Q654" s="371"/>
      <c r="R654" s="371"/>
      <c r="S654" s="371"/>
      <c r="T654" s="371"/>
      <c r="U654" s="371"/>
      <c r="V654" s="371"/>
      <c r="W654" s="371"/>
      <c r="X654" s="371"/>
      <c r="Y654" s="371"/>
      <c r="Z654" s="371"/>
    </row>
    <row r="655" ht="26.25" customHeight="1">
      <c r="A655" s="371"/>
      <c r="B655" s="1265"/>
      <c r="C655" s="371"/>
      <c r="D655" s="371"/>
      <c r="E655" s="371"/>
      <c r="F655" s="371"/>
      <c r="G655" s="371"/>
      <c r="H655" s="371"/>
      <c r="I655" s="371"/>
      <c r="J655" s="371"/>
      <c r="K655" s="371"/>
      <c r="L655" s="371"/>
      <c r="M655" s="371"/>
      <c r="N655" s="371"/>
      <c r="O655" s="371"/>
      <c r="P655" s="371"/>
      <c r="Q655" s="371"/>
      <c r="R655" s="371"/>
      <c r="S655" s="371"/>
      <c r="T655" s="371"/>
      <c r="U655" s="371"/>
      <c r="V655" s="371"/>
      <c r="W655" s="371"/>
      <c r="X655" s="371"/>
      <c r="Y655" s="371"/>
      <c r="Z655" s="371"/>
    </row>
    <row r="656" ht="26.25" customHeight="1">
      <c r="A656" s="371"/>
      <c r="B656" s="1265"/>
      <c r="C656" s="371"/>
      <c r="D656" s="371"/>
      <c r="E656" s="371"/>
      <c r="F656" s="371"/>
      <c r="G656" s="371"/>
      <c r="H656" s="371"/>
      <c r="I656" s="371"/>
      <c r="J656" s="371"/>
      <c r="K656" s="371"/>
      <c r="L656" s="371"/>
      <c r="M656" s="371"/>
      <c r="N656" s="371"/>
      <c r="O656" s="371"/>
      <c r="P656" s="371"/>
      <c r="Q656" s="371"/>
      <c r="R656" s="371"/>
      <c r="S656" s="371"/>
      <c r="T656" s="371"/>
      <c r="U656" s="371"/>
      <c r="V656" s="371"/>
      <c r="W656" s="371"/>
      <c r="X656" s="371"/>
      <c r="Y656" s="371"/>
      <c r="Z656" s="371"/>
    </row>
    <row r="657" ht="26.25" customHeight="1">
      <c r="A657" s="371"/>
      <c r="B657" s="1265"/>
      <c r="C657" s="371"/>
      <c r="D657" s="371"/>
      <c r="E657" s="371"/>
      <c r="F657" s="371"/>
      <c r="G657" s="371"/>
      <c r="H657" s="371"/>
      <c r="I657" s="371"/>
      <c r="J657" s="371"/>
      <c r="K657" s="371"/>
      <c r="L657" s="371"/>
      <c r="M657" s="371"/>
      <c r="N657" s="371"/>
      <c r="O657" s="371"/>
      <c r="P657" s="371"/>
      <c r="Q657" s="371"/>
      <c r="R657" s="371"/>
      <c r="S657" s="371"/>
      <c r="T657" s="371"/>
      <c r="U657" s="371"/>
      <c r="V657" s="371"/>
      <c r="W657" s="371"/>
      <c r="X657" s="371"/>
      <c r="Y657" s="371"/>
      <c r="Z657" s="371"/>
    </row>
    <row r="658" ht="26.25" customHeight="1">
      <c r="A658" s="371"/>
      <c r="B658" s="1265"/>
      <c r="C658" s="371"/>
      <c r="D658" s="371"/>
      <c r="E658" s="371"/>
      <c r="F658" s="371"/>
      <c r="G658" s="371"/>
      <c r="H658" s="371"/>
      <c r="I658" s="371"/>
      <c r="J658" s="371"/>
      <c r="K658" s="371"/>
      <c r="L658" s="371"/>
      <c r="M658" s="371"/>
      <c r="N658" s="371"/>
      <c r="O658" s="371"/>
      <c r="P658" s="371"/>
      <c r="Q658" s="371"/>
      <c r="R658" s="371"/>
      <c r="S658" s="371"/>
      <c r="T658" s="371"/>
      <c r="U658" s="371"/>
      <c r="V658" s="371"/>
      <c r="W658" s="371"/>
      <c r="X658" s="371"/>
      <c r="Y658" s="371"/>
      <c r="Z658" s="371"/>
    </row>
    <row r="659" ht="26.25" customHeight="1">
      <c r="A659" s="371"/>
      <c r="B659" s="1265"/>
      <c r="C659" s="371"/>
      <c r="D659" s="371"/>
      <c r="E659" s="371"/>
      <c r="F659" s="371"/>
      <c r="G659" s="371"/>
      <c r="H659" s="371"/>
      <c r="I659" s="371"/>
      <c r="J659" s="371"/>
      <c r="K659" s="371"/>
      <c r="L659" s="371"/>
      <c r="M659" s="371"/>
      <c r="N659" s="371"/>
      <c r="O659" s="371"/>
      <c r="P659" s="371"/>
      <c r="Q659" s="371"/>
      <c r="R659" s="371"/>
      <c r="S659" s="371"/>
      <c r="T659" s="371"/>
      <c r="U659" s="371"/>
      <c r="V659" s="371"/>
      <c r="W659" s="371"/>
      <c r="X659" s="371"/>
      <c r="Y659" s="371"/>
      <c r="Z659" s="371"/>
    </row>
    <row r="660" ht="26.25" customHeight="1">
      <c r="A660" s="371"/>
      <c r="B660" s="1265"/>
      <c r="C660" s="371"/>
      <c r="D660" s="371"/>
      <c r="E660" s="371"/>
      <c r="F660" s="371"/>
      <c r="G660" s="371"/>
      <c r="H660" s="371"/>
      <c r="I660" s="371"/>
      <c r="J660" s="371"/>
      <c r="K660" s="371"/>
      <c r="L660" s="371"/>
      <c r="M660" s="371"/>
      <c r="N660" s="371"/>
      <c r="O660" s="371"/>
      <c r="P660" s="371"/>
      <c r="Q660" s="371"/>
      <c r="R660" s="371"/>
      <c r="S660" s="371"/>
      <c r="T660" s="371"/>
      <c r="U660" s="371"/>
      <c r="V660" s="371"/>
      <c r="W660" s="371"/>
      <c r="X660" s="371"/>
      <c r="Y660" s="371"/>
      <c r="Z660" s="371"/>
    </row>
    <row r="661" ht="26.25" customHeight="1">
      <c r="A661" s="371"/>
      <c r="B661" s="1265"/>
      <c r="C661" s="371"/>
      <c r="D661" s="371"/>
      <c r="E661" s="371"/>
      <c r="F661" s="371"/>
      <c r="G661" s="371"/>
      <c r="H661" s="371"/>
      <c r="I661" s="371"/>
      <c r="J661" s="371"/>
      <c r="K661" s="371"/>
      <c r="L661" s="371"/>
      <c r="M661" s="371"/>
      <c r="N661" s="371"/>
      <c r="O661" s="371"/>
      <c r="P661" s="371"/>
      <c r="Q661" s="371"/>
      <c r="R661" s="371"/>
      <c r="S661" s="371"/>
      <c r="T661" s="371"/>
      <c r="U661" s="371"/>
      <c r="V661" s="371"/>
      <c r="W661" s="371"/>
      <c r="X661" s="371"/>
      <c r="Y661" s="371"/>
      <c r="Z661" s="371"/>
    </row>
    <row r="662" ht="26.25" customHeight="1">
      <c r="A662" s="371"/>
      <c r="B662" s="1265"/>
      <c r="C662" s="371"/>
      <c r="D662" s="371"/>
      <c r="E662" s="371"/>
      <c r="F662" s="371"/>
      <c r="G662" s="371"/>
      <c r="H662" s="371"/>
      <c r="I662" s="371"/>
      <c r="J662" s="371"/>
      <c r="K662" s="371"/>
      <c r="L662" s="371"/>
      <c r="M662" s="371"/>
      <c r="N662" s="371"/>
      <c r="O662" s="371"/>
      <c r="P662" s="371"/>
      <c r="Q662" s="371"/>
      <c r="R662" s="371"/>
      <c r="S662" s="371"/>
      <c r="T662" s="371"/>
      <c r="U662" s="371"/>
      <c r="V662" s="371"/>
      <c r="W662" s="371"/>
      <c r="X662" s="371"/>
      <c r="Y662" s="371"/>
      <c r="Z662" s="371"/>
    </row>
    <row r="663" ht="26.25" customHeight="1">
      <c r="A663" s="371"/>
      <c r="B663" s="1265"/>
      <c r="C663" s="371"/>
      <c r="D663" s="371"/>
      <c r="E663" s="371"/>
      <c r="F663" s="371"/>
      <c r="G663" s="371"/>
      <c r="H663" s="371"/>
      <c r="I663" s="371"/>
      <c r="J663" s="371"/>
      <c r="K663" s="371"/>
      <c r="L663" s="371"/>
      <c r="M663" s="371"/>
      <c r="N663" s="371"/>
      <c r="O663" s="371"/>
      <c r="P663" s="371"/>
      <c r="Q663" s="371"/>
      <c r="R663" s="371"/>
      <c r="S663" s="371"/>
      <c r="T663" s="371"/>
      <c r="U663" s="371"/>
      <c r="V663" s="371"/>
      <c r="W663" s="371"/>
      <c r="X663" s="371"/>
      <c r="Y663" s="371"/>
      <c r="Z663" s="371"/>
    </row>
    <row r="664" ht="26.25" customHeight="1">
      <c r="A664" s="371"/>
      <c r="B664" s="1265"/>
      <c r="C664" s="371"/>
      <c r="D664" s="371"/>
      <c r="E664" s="371"/>
      <c r="F664" s="371"/>
      <c r="G664" s="371"/>
      <c r="H664" s="371"/>
      <c r="I664" s="371"/>
      <c r="J664" s="371"/>
      <c r="K664" s="371"/>
      <c r="L664" s="371"/>
      <c r="M664" s="371"/>
      <c r="N664" s="371"/>
      <c r="O664" s="371"/>
      <c r="P664" s="371"/>
      <c r="Q664" s="371"/>
      <c r="R664" s="371"/>
      <c r="S664" s="371"/>
      <c r="T664" s="371"/>
      <c r="U664" s="371"/>
      <c r="V664" s="371"/>
      <c r="W664" s="371"/>
      <c r="X664" s="371"/>
      <c r="Y664" s="371"/>
      <c r="Z664" s="371"/>
    </row>
    <row r="665" ht="26.25" customHeight="1">
      <c r="A665" s="371"/>
      <c r="B665" s="1265"/>
      <c r="C665" s="371"/>
      <c r="D665" s="371"/>
      <c r="E665" s="371"/>
      <c r="F665" s="371"/>
      <c r="G665" s="371"/>
      <c r="H665" s="371"/>
      <c r="I665" s="371"/>
      <c r="J665" s="371"/>
      <c r="K665" s="371"/>
      <c r="L665" s="371"/>
      <c r="M665" s="371"/>
      <c r="N665" s="371"/>
      <c r="O665" s="371"/>
      <c r="P665" s="371"/>
      <c r="Q665" s="371"/>
      <c r="R665" s="371"/>
      <c r="S665" s="371"/>
      <c r="T665" s="371"/>
      <c r="U665" s="371"/>
      <c r="V665" s="371"/>
      <c r="W665" s="371"/>
      <c r="X665" s="371"/>
      <c r="Y665" s="371"/>
      <c r="Z665" s="371"/>
    </row>
    <row r="666" ht="26.25" customHeight="1">
      <c r="A666" s="371"/>
      <c r="B666" s="1265"/>
      <c r="C666" s="371"/>
      <c r="D666" s="371"/>
      <c r="E666" s="371"/>
      <c r="F666" s="371"/>
      <c r="G666" s="371"/>
      <c r="H666" s="371"/>
      <c r="I666" s="371"/>
      <c r="J666" s="371"/>
      <c r="K666" s="371"/>
      <c r="L666" s="371"/>
      <c r="M666" s="371"/>
      <c r="N666" s="371"/>
      <c r="O666" s="371"/>
      <c r="P666" s="371"/>
      <c r="Q666" s="371"/>
      <c r="R666" s="371"/>
      <c r="S666" s="371"/>
      <c r="T666" s="371"/>
      <c r="U666" s="371"/>
      <c r="V666" s="371"/>
      <c r="W666" s="371"/>
      <c r="X666" s="371"/>
      <c r="Y666" s="371"/>
      <c r="Z666" s="371"/>
    </row>
    <row r="667" ht="26.25" customHeight="1">
      <c r="A667" s="371"/>
      <c r="B667" s="1265"/>
      <c r="C667" s="371"/>
      <c r="D667" s="371"/>
      <c r="E667" s="371"/>
      <c r="F667" s="371"/>
      <c r="G667" s="371"/>
      <c r="H667" s="371"/>
      <c r="I667" s="371"/>
      <c r="J667" s="371"/>
      <c r="K667" s="371"/>
      <c r="L667" s="371"/>
      <c r="M667" s="371"/>
      <c r="N667" s="371"/>
      <c r="O667" s="371"/>
      <c r="P667" s="371"/>
      <c r="Q667" s="371"/>
      <c r="R667" s="371"/>
      <c r="S667" s="371"/>
      <c r="T667" s="371"/>
      <c r="U667" s="371"/>
      <c r="V667" s="371"/>
      <c r="W667" s="371"/>
      <c r="X667" s="371"/>
      <c r="Y667" s="371"/>
      <c r="Z667" s="371"/>
    </row>
    <row r="668" ht="26.25" customHeight="1">
      <c r="A668" s="371"/>
      <c r="B668" s="1265"/>
      <c r="C668" s="371"/>
      <c r="D668" s="371"/>
      <c r="E668" s="371"/>
      <c r="F668" s="371"/>
      <c r="G668" s="371"/>
      <c r="H668" s="371"/>
      <c r="I668" s="371"/>
      <c r="J668" s="371"/>
      <c r="K668" s="371"/>
      <c r="L668" s="371"/>
      <c r="M668" s="371"/>
      <c r="N668" s="371"/>
      <c r="O668" s="371"/>
      <c r="P668" s="371"/>
      <c r="Q668" s="371"/>
      <c r="R668" s="371"/>
      <c r="S668" s="371"/>
      <c r="T668" s="371"/>
      <c r="U668" s="371"/>
      <c r="V668" s="371"/>
      <c r="W668" s="371"/>
      <c r="X668" s="371"/>
      <c r="Y668" s="371"/>
      <c r="Z668" s="371"/>
    </row>
    <row r="669" ht="26.25" customHeight="1">
      <c r="A669" s="371"/>
      <c r="B669" s="1265"/>
      <c r="C669" s="371"/>
      <c r="D669" s="371"/>
      <c r="E669" s="371"/>
      <c r="F669" s="371"/>
      <c r="G669" s="371"/>
      <c r="H669" s="371"/>
      <c r="I669" s="371"/>
      <c r="J669" s="371"/>
      <c r="K669" s="371"/>
      <c r="L669" s="371"/>
      <c r="M669" s="371"/>
      <c r="N669" s="371"/>
      <c r="O669" s="371"/>
      <c r="P669" s="371"/>
      <c r="Q669" s="371"/>
      <c r="R669" s="371"/>
      <c r="S669" s="371"/>
      <c r="T669" s="371"/>
      <c r="U669" s="371"/>
      <c r="V669" s="371"/>
      <c r="W669" s="371"/>
      <c r="X669" s="371"/>
      <c r="Y669" s="371"/>
      <c r="Z669" s="371"/>
    </row>
    <row r="670" ht="26.25" customHeight="1">
      <c r="A670" s="371"/>
      <c r="B670" s="1265"/>
      <c r="C670" s="371"/>
      <c r="D670" s="371"/>
      <c r="E670" s="371"/>
      <c r="F670" s="371"/>
      <c r="G670" s="371"/>
      <c r="H670" s="371"/>
      <c r="I670" s="371"/>
      <c r="J670" s="371"/>
      <c r="K670" s="371"/>
      <c r="L670" s="371"/>
      <c r="M670" s="371"/>
      <c r="N670" s="371"/>
      <c r="O670" s="371"/>
      <c r="P670" s="371"/>
      <c r="Q670" s="371"/>
      <c r="R670" s="371"/>
      <c r="S670" s="371"/>
      <c r="T670" s="371"/>
      <c r="U670" s="371"/>
      <c r="V670" s="371"/>
      <c r="W670" s="371"/>
      <c r="X670" s="371"/>
      <c r="Y670" s="371"/>
      <c r="Z670" s="371"/>
    </row>
    <row r="671" ht="26.25" customHeight="1">
      <c r="A671" s="371"/>
      <c r="B671" s="1265"/>
      <c r="C671" s="371"/>
      <c r="D671" s="371"/>
      <c r="E671" s="371"/>
      <c r="F671" s="371"/>
      <c r="G671" s="371"/>
      <c r="H671" s="371"/>
      <c r="I671" s="371"/>
      <c r="J671" s="371"/>
      <c r="K671" s="371"/>
      <c r="L671" s="371"/>
      <c r="M671" s="371"/>
      <c r="N671" s="371"/>
      <c r="O671" s="371"/>
      <c r="P671" s="371"/>
      <c r="Q671" s="371"/>
      <c r="R671" s="371"/>
      <c r="S671" s="371"/>
      <c r="T671" s="371"/>
      <c r="U671" s="371"/>
      <c r="V671" s="371"/>
      <c r="W671" s="371"/>
      <c r="X671" s="371"/>
      <c r="Y671" s="371"/>
      <c r="Z671" s="371"/>
    </row>
    <row r="672" ht="26.25" customHeight="1">
      <c r="A672" s="371"/>
      <c r="B672" s="1265"/>
      <c r="C672" s="371"/>
      <c r="D672" s="371"/>
      <c r="E672" s="371"/>
      <c r="F672" s="371"/>
      <c r="G672" s="371"/>
      <c r="H672" s="371"/>
      <c r="I672" s="371"/>
      <c r="J672" s="371"/>
      <c r="K672" s="371"/>
      <c r="L672" s="371"/>
      <c r="M672" s="371"/>
      <c r="N672" s="371"/>
      <c r="O672" s="371"/>
      <c r="P672" s="371"/>
      <c r="Q672" s="371"/>
      <c r="R672" s="371"/>
      <c r="S672" s="371"/>
      <c r="T672" s="371"/>
      <c r="U672" s="371"/>
      <c r="V672" s="371"/>
      <c r="W672" s="371"/>
      <c r="X672" s="371"/>
      <c r="Y672" s="371"/>
      <c r="Z672" s="371"/>
    </row>
    <row r="673" ht="26.25" customHeight="1">
      <c r="A673" s="371"/>
      <c r="B673" s="1265"/>
      <c r="C673" s="371"/>
      <c r="D673" s="371"/>
      <c r="E673" s="371"/>
      <c r="F673" s="371"/>
      <c r="G673" s="371"/>
      <c r="H673" s="371"/>
      <c r="I673" s="371"/>
      <c r="J673" s="371"/>
      <c r="K673" s="371"/>
      <c r="L673" s="371"/>
      <c r="M673" s="371"/>
      <c r="N673" s="371"/>
      <c r="O673" s="371"/>
      <c r="P673" s="371"/>
      <c r="Q673" s="371"/>
      <c r="R673" s="371"/>
      <c r="S673" s="371"/>
      <c r="T673" s="371"/>
      <c r="U673" s="371"/>
      <c r="V673" s="371"/>
      <c r="W673" s="371"/>
      <c r="X673" s="371"/>
      <c r="Y673" s="371"/>
      <c r="Z673" s="371"/>
    </row>
    <row r="674" ht="26.25" customHeight="1">
      <c r="A674" s="371"/>
      <c r="B674" s="1265"/>
      <c r="C674" s="371"/>
      <c r="D674" s="371"/>
      <c r="E674" s="371"/>
      <c r="F674" s="371"/>
      <c r="G674" s="371"/>
      <c r="H674" s="371"/>
      <c r="I674" s="371"/>
      <c r="J674" s="371"/>
      <c r="K674" s="371"/>
      <c r="L674" s="371"/>
      <c r="M674" s="371"/>
      <c r="N674" s="371"/>
      <c r="O674" s="371"/>
      <c r="P674" s="371"/>
      <c r="Q674" s="371"/>
      <c r="R674" s="371"/>
      <c r="S674" s="371"/>
      <c r="T674" s="371"/>
      <c r="U674" s="371"/>
      <c r="V674" s="371"/>
      <c r="W674" s="371"/>
      <c r="X674" s="371"/>
      <c r="Y674" s="371"/>
      <c r="Z674" s="371"/>
    </row>
    <row r="675" ht="26.25" customHeight="1">
      <c r="A675" s="371"/>
      <c r="B675" s="1265"/>
      <c r="C675" s="371"/>
      <c r="D675" s="371"/>
      <c r="E675" s="371"/>
      <c r="F675" s="371"/>
      <c r="G675" s="371"/>
      <c r="H675" s="371"/>
      <c r="I675" s="371"/>
      <c r="J675" s="371"/>
      <c r="K675" s="371"/>
      <c r="L675" s="371"/>
      <c r="M675" s="371"/>
      <c r="N675" s="371"/>
      <c r="O675" s="371"/>
      <c r="P675" s="371"/>
      <c r="Q675" s="371"/>
      <c r="R675" s="371"/>
      <c r="S675" s="371"/>
      <c r="T675" s="371"/>
      <c r="U675" s="371"/>
      <c r="V675" s="371"/>
      <c r="W675" s="371"/>
      <c r="X675" s="371"/>
      <c r="Y675" s="371"/>
      <c r="Z675" s="371"/>
    </row>
    <row r="676" ht="26.25" customHeight="1">
      <c r="A676" s="371"/>
      <c r="B676" s="1265"/>
      <c r="C676" s="371"/>
      <c r="D676" s="371"/>
      <c r="E676" s="371"/>
      <c r="F676" s="371"/>
      <c r="G676" s="371"/>
      <c r="H676" s="371"/>
      <c r="I676" s="371"/>
      <c r="J676" s="371"/>
      <c r="K676" s="371"/>
      <c r="L676" s="371"/>
      <c r="M676" s="371"/>
      <c r="N676" s="371"/>
      <c r="O676" s="371"/>
      <c r="P676" s="371"/>
      <c r="Q676" s="371"/>
      <c r="R676" s="371"/>
      <c r="S676" s="371"/>
      <c r="T676" s="371"/>
      <c r="U676" s="371"/>
      <c r="V676" s="371"/>
      <c r="W676" s="371"/>
      <c r="X676" s="371"/>
      <c r="Y676" s="371"/>
      <c r="Z676" s="371"/>
    </row>
    <row r="677" ht="26.25" customHeight="1">
      <c r="A677" s="371"/>
      <c r="B677" s="1265"/>
      <c r="C677" s="371"/>
      <c r="D677" s="371"/>
      <c r="E677" s="371"/>
      <c r="F677" s="371"/>
      <c r="G677" s="371"/>
      <c r="H677" s="371"/>
      <c r="I677" s="371"/>
      <c r="J677" s="371"/>
      <c r="K677" s="371"/>
      <c r="L677" s="371"/>
      <c r="M677" s="371"/>
      <c r="N677" s="371"/>
      <c r="O677" s="371"/>
      <c r="P677" s="371"/>
      <c r="Q677" s="371"/>
      <c r="R677" s="371"/>
      <c r="S677" s="371"/>
      <c r="T677" s="371"/>
      <c r="U677" s="371"/>
      <c r="V677" s="371"/>
      <c r="W677" s="371"/>
      <c r="X677" s="371"/>
      <c r="Y677" s="371"/>
      <c r="Z677" s="371"/>
    </row>
    <row r="678" ht="26.25" customHeight="1">
      <c r="A678" s="371"/>
      <c r="B678" s="1265"/>
      <c r="C678" s="371"/>
      <c r="D678" s="371"/>
      <c r="E678" s="371"/>
      <c r="F678" s="371"/>
      <c r="G678" s="371"/>
      <c r="H678" s="371"/>
      <c r="I678" s="371"/>
      <c r="J678" s="371"/>
      <c r="K678" s="371"/>
      <c r="L678" s="371"/>
      <c r="M678" s="371"/>
      <c r="N678" s="371"/>
      <c r="O678" s="371"/>
      <c r="P678" s="371"/>
      <c r="Q678" s="371"/>
      <c r="R678" s="371"/>
      <c r="S678" s="371"/>
      <c r="T678" s="371"/>
      <c r="U678" s="371"/>
      <c r="V678" s="371"/>
      <c r="W678" s="371"/>
      <c r="X678" s="371"/>
      <c r="Y678" s="371"/>
      <c r="Z678" s="371"/>
    </row>
    <row r="679" ht="26.25" customHeight="1">
      <c r="A679" s="371"/>
      <c r="B679" s="1265"/>
      <c r="C679" s="371"/>
      <c r="D679" s="371"/>
      <c r="E679" s="371"/>
      <c r="F679" s="371"/>
      <c r="G679" s="371"/>
      <c r="H679" s="371"/>
      <c r="I679" s="371"/>
      <c r="J679" s="371"/>
      <c r="K679" s="371"/>
      <c r="L679" s="371"/>
      <c r="M679" s="371"/>
      <c r="N679" s="371"/>
      <c r="O679" s="371"/>
      <c r="P679" s="371"/>
      <c r="Q679" s="371"/>
      <c r="R679" s="371"/>
      <c r="S679" s="371"/>
      <c r="T679" s="371"/>
      <c r="U679" s="371"/>
      <c r="V679" s="371"/>
      <c r="W679" s="371"/>
      <c r="X679" s="371"/>
      <c r="Y679" s="371"/>
      <c r="Z679" s="371"/>
    </row>
    <row r="680" ht="26.25" customHeight="1">
      <c r="A680" s="371"/>
      <c r="B680" s="1265"/>
      <c r="C680" s="371"/>
      <c r="D680" s="371"/>
      <c r="E680" s="371"/>
      <c r="F680" s="371"/>
      <c r="G680" s="371"/>
      <c r="H680" s="371"/>
      <c r="I680" s="371"/>
      <c r="J680" s="371"/>
      <c r="K680" s="371"/>
      <c r="L680" s="371"/>
      <c r="M680" s="371"/>
      <c r="N680" s="371"/>
      <c r="O680" s="371"/>
      <c r="P680" s="371"/>
      <c r="Q680" s="371"/>
      <c r="R680" s="371"/>
      <c r="S680" s="371"/>
      <c r="T680" s="371"/>
      <c r="U680" s="371"/>
      <c r="V680" s="371"/>
      <c r="W680" s="371"/>
      <c r="X680" s="371"/>
      <c r="Y680" s="371"/>
      <c r="Z680" s="371"/>
    </row>
    <row r="681" ht="26.25" customHeight="1">
      <c r="A681" s="371"/>
      <c r="B681" s="1265"/>
      <c r="C681" s="371"/>
      <c r="D681" s="371"/>
      <c r="E681" s="371"/>
      <c r="F681" s="371"/>
      <c r="G681" s="371"/>
      <c r="H681" s="371"/>
      <c r="I681" s="371"/>
      <c r="J681" s="371"/>
      <c r="K681" s="371"/>
      <c r="L681" s="371"/>
      <c r="M681" s="371"/>
      <c r="N681" s="371"/>
      <c r="O681" s="371"/>
      <c r="P681" s="371"/>
      <c r="Q681" s="371"/>
      <c r="R681" s="371"/>
      <c r="S681" s="371"/>
      <c r="T681" s="371"/>
      <c r="U681" s="371"/>
      <c r="V681" s="371"/>
      <c r="W681" s="371"/>
      <c r="X681" s="371"/>
      <c r="Y681" s="371"/>
      <c r="Z681" s="371"/>
    </row>
    <row r="682" ht="26.25" customHeight="1">
      <c r="A682" s="371"/>
      <c r="B682" s="1265"/>
      <c r="C682" s="371"/>
      <c r="D682" s="371"/>
      <c r="E682" s="371"/>
      <c r="F682" s="371"/>
      <c r="G682" s="371"/>
      <c r="H682" s="371"/>
      <c r="I682" s="371"/>
      <c r="J682" s="371"/>
      <c r="K682" s="371"/>
      <c r="L682" s="371"/>
      <c r="M682" s="371"/>
      <c r="N682" s="371"/>
      <c r="O682" s="371"/>
      <c r="P682" s="371"/>
      <c r="Q682" s="371"/>
      <c r="R682" s="371"/>
      <c r="S682" s="371"/>
      <c r="T682" s="371"/>
      <c r="U682" s="371"/>
      <c r="V682" s="371"/>
      <c r="W682" s="371"/>
      <c r="X682" s="371"/>
      <c r="Y682" s="371"/>
      <c r="Z682" s="371"/>
    </row>
    <row r="683" ht="26.25" customHeight="1">
      <c r="A683" s="371"/>
      <c r="B683" s="1265"/>
      <c r="C683" s="371"/>
      <c r="D683" s="371"/>
      <c r="E683" s="371"/>
      <c r="F683" s="371"/>
      <c r="G683" s="371"/>
      <c r="H683" s="371"/>
      <c r="I683" s="371"/>
      <c r="J683" s="371"/>
      <c r="K683" s="371"/>
      <c r="L683" s="371"/>
      <c r="M683" s="371"/>
      <c r="N683" s="371"/>
      <c r="O683" s="371"/>
      <c r="P683" s="371"/>
      <c r="Q683" s="371"/>
      <c r="R683" s="371"/>
      <c r="S683" s="371"/>
      <c r="T683" s="371"/>
      <c r="U683" s="371"/>
      <c r="V683" s="371"/>
      <c r="W683" s="371"/>
      <c r="X683" s="371"/>
      <c r="Y683" s="371"/>
      <c r="Z683" s="371"/>
    </row>
    <row r="684" ht="26.25" customHeight="1">
      <c r="A684" s="371"/>
      <c r="B684" s="1265"/>
      <c r="C684" s="371"/>
      <c r="D684" s="371"/>
      <c r="E684" s="371"/>
      <c r="F684" s="371"/>
      <c r="G684" s="371"/>
      <c r="H684" s="371"/>
      <c r="I684" s="371"/>
      <c r="J684" s="371"/>
      <c r="K684" s="371"/>
      <c r="L684" s="371"/>
      <c r="M684" s="371"/>
      <c r="N684" s="371"/>
      <c r="O684" s="371"/>
      <c r="P684" s="371"/>
      <c r="Q684" s="371"/>
      <c r="R684" s="371"/>
      <c r="S684" s="371"/>
      <c r="T684" s="371"/>
      <c r="U684" s="371"/>
      <c r="V684" s="371"/>
      <c r="W684" s="371"/>
      <c r="X684" s="371"/>
      <c r="Y684" s="371"/>
      <c r="Z684" s="371"/>
    </row>
    <row r="685" ht="26.25" customHeight="1">
      <c r="A685" s="371"/>
      <c r="B685" s="1265"/>
      <c r="C685" s="371"/>
      <c r="D685" s="371"/>
      <c r="E685" s="371"/>
      <c r="F685" s="371"/>
      <c r="G685" s="371"/>
      <c r="H685" s="371"/>
      <c r="I685" s="371"/>
      <c r="J685" s="371"/>
      <c r="K685" s="371"/>
      <c r="L685" s="371"/>
      <c r="M685" s="371"/>
      <c r="N685" s="371"/>
      <c r="O685" s="371"/>
      <c r="P685" s="371"/>
      <c r="Q685" s="371"/>
      <c r="R685" s="371"/>
      <c r="S685" s="371"/>
      <c r="T685" s="371"/>
      <c r="U685" s="371"/>
      <c r="V685" s="371"/>
      <c r="W685" s="371"/>
      <c r="X685" s="371"/>
      <c r="Y685" s="371"/>
      <c r="Z685" s="371"/>
    </row>
    <row r="686" ht="26.25" customHeight="1">
      <c r="A686" s="371"/>
      <c r="B686" s="1265"/>
      <c r="C686" s="371"/>
      <c r="D686" s="371"/>
      <c r="E686" s="371"/>
      <c r="F686" s="371"/>
      <c r="G686" s="371"/>
      <c r="H686" s="371"/>
      <c r="I686" s="371"/>
      <c r="J686" s="371"/>
      <c r="K686" s="371"/>
      <c r="L686" s="371"/>
      <c r="M686" s="371"/>
      <c r="N686" s="371"/>
      <c r="O686" s="371"/>
      <c r="P686" s="371"/>
      <c r="Q686" s="371"/>
      <c r="R686" s="371"/>
      <c r="S686" s="371"/>
      <c r="T686" s="371"/>
      <c r="U686" s="371"/>
      <c r="V686" s="371"/>
      <c r="W686" s="371"/>
      <c r="X686" s="371"/>
      <c r="Y686" s="371"/>
      <c r="Z686" s="371"/>
    </row>
    <row r="687" ht="26.25" customHeight="1">
      <c r="A687" s="371"/>
      <c r="B687" s="1265"/>
      <c r="C687" s="371"/>
      <c r="D687" s="371"/>
      <c r="E687" s="371"/>
      <c r="F687" s="371"/>
      <c r="G687" s="371"/>
      <c r="H687" s="371"/>
      <c r="I687" s="371"/>
      <c r="J687" s="371"/>
      <c r="K687" s="371"/>
      <c r="L687" s="371"/>
      <c r="M687" s="371"/>
      <c r="N687" s="371"/>
      <c r="O687" s="371"/>
      <c r="P687" s="371"/>
      <c r="Q687" s="371"/>
      <c r="R687" s="371"/>
      <c r="S687" s="371"/>
      <c r="T687" s="371"/>
      <c r="U687" s="371"/>
      <c r="V687" s="371"/>
      <c r="W687" s="371"/>
      <c r="X687" s="371"/>
      <c r="Y687" s="371"/>
      <c r="Z687" s="371"/>
    </row>
    <row r="688" ht="26.25" customHeight="1">
      <c r="A688" s="371"/>
      <c r="B688" s="1265"/>
      <c r="C688" s="371"/>
      <c r="D688" s="371"/>
      <c r="E688" s="371"/>
      <c r="F688" s="371"/>
      <c r="G688" s="371"/>
      <c r="H688" s="371"/>
      <c r="I688" s="371"/>
      <c r="J688" s="371"/>
      <c r="K688" s="371"/>
      <c r="L688" s="371"/>
      <c r="M688" s="371"/>
      <c r="N688" s="371"/>
      <c r="O688" s="371"/>
      <c r="P688" s="371"/>
      <c r="Q688" s="371"/>
      <c r="R688" s="371"/>
      <c r="S688" s="371"/>
      <c r="T688" s="371"/>
      <c r="U688" s="371"/>
      <c r="V688" s="371"/>
      <c r="W688" s="371"/>
      <c r="X688" s="371"/>
      <c r="Y688" s="371"/>
      <c r="Z688" s="371"/>
    </row>
    <row r="689" ht="26.25" customHeight="1">
      <c r="A689" s="371"/>
      <c r="B689" s="1265"/>
      <c r="C689" s="371"/>
      <c r="D689" s="371"/>
      <c r="E689" s="371"/>
      <c r="F689" s="371"/>
      <c r="G689" s="371"/>
      <c r="H689" s="371"/>
      <c r="I689" s="371"/>
      <c r="J689" s="371"/>
      <c r="K689" s="371"/>
      <c r="L689" s="371"/>
      <c r="M689" s="371"/>
      <c r="N689" s="371"/>
      <c r="O689" s="371"/>
      <c r="P689" s="371"/>
      <c r="Q689" s="371"/>
      <c r="R689" s="371"/>
      <c r="S689" s="371"/>
      <c r="T689" s="371"/>
      <c r="U689" s="371"/>
      <c r="V689" s="371"/>
      <c r="W689" s="371"/>
      <c r="X689" s="371"/>
      <c r="Y689" s="371"/>
      <c r="Z689" s="371"/>
    </row>
    <row r="690" ht="26.25" customHeight="1">
      <c r="A690" s="371"/>
      <c r="B690" s="1265"/>
      <c r="C690" s="371"/>
      <c r="D690" s="371"/>
      <c r="E690" s="371"/>
      <c r="F690" s="371"/>
      <c r="G690" s="371"/>
      <c r="H690" s="371"/>
      <c r="I690" s="371"/>
      <c r="J690" s="371"/>
      <c r="K690" s="371"/>
      <c r="L690" s="371"/>
      <c r="M690" s="371"/>
      <c r="N690" s="371"/>
      <c r="O690" s="371"/>
      <c r="P690" s="371"/>
      <c r="Q690" s="371"/>
      <c r="R690" s="371"/>
      <c r="S690" s="371"/>
      <c r="T690" s="371"/>
      <c r="U690" s="371"/>
      <c r="V690" s="371"/>
      <c r="W690" s="371"/>
      <c r="X690" s="371"/>
      <c r="Y690" s="371"/>
      <c r="Z690" s="371"/>
    </row>
    <row r="691" ht="26.25" customHeight="1">
      <c r="A691" s="371"/>
      <c r="B691" s="1265"/>
      <c r="C691" s="371"/>
      <c r="D691" s="371"/>
      <c r="E691" s="371"/>
      <c r="F691" s="371"/>
      <c r="G691" s="371"/>
      <c r="H691" s="371"/>
      <c r="I691" s="371"/>
      <c r="J691" s="371"/>
      <c r="K691" s="371"/>
      <c r="L691" s="371"/>
      <c r="M691" s="371"/>
      <c r="N691" s="371"/>
      <c r="O691" s="371"/>
      <c r="P691" s="371"/>
      <c r="Q691" s="371"/>
      <c r="R691" s="371"/>
      <c r="S691" s="371"/>
      <c r="T691" s="371"/>
      <c r="U691" s="371"/>
      <c r="V691" s="371"/>
      <c r="W691" s="371"/>
      <c r="X691" s="371"/>
      <c r="Y691" s="371"/>
      <c r="Z691" s="371"/>
    </row>
    <row r="692" ht="26.25" customHeight="1">
      <c r="A692" s="371"/>
      <c r="B692" s="1265"/>
      <c r="C692" s="371"/>
      <c r="D692" s="371"/>
      <c r="E692" s="371"/>
      <c r="F692" s="371"/>
      <c r="G692" s="371"/>
      <c r="H692" s="371"/>
      <c r="I692" s="371"/>
      <c r="J692" s="371"/>
      <c r="K692" s="371"/>
      <c r="L692" s="371"/>
      <c r="M692" s="371"/>
      <c r="N692" s="371"/>
      <c r="O692" s="371"/>
      <c r="P692" s="371"/>
      <c r="Q692" s="371"/>
      <c r="R692" s="371"/>
      <c r="S692" s="371"/>
      <c r="T692" s="371"/>
      <c r="U692" s="371"/>
      <c r="V692" s="371"/>
      <c r="W692" s="371"/>
      <c r="X692" s="371"/>
      <c r="Y692" s="371"/>
      <c r="Z692" s="371"/>
    </row>
    <row r="693" ht="26.25" customHeight="1">
      <c r="A693" s="371"/>
      <c r="B693" s="1265"/>
      <c r="C693" s="371"/>
      <c r="D693" s="371"/>
      <c r="E693" s="371"/>
      <c r="F693" s="371"/>
      <c r="G693" s="371"/>
      <c r="H693" s="371"/>
      <c r="I693" s="371"/>
      <c r="J693" s="371"/>
      <c r="K693" s="371"/>
      <c r="L693" s="371"/>
      <c r="M693" s="371"/>
      <c r="N693" s="371"/>
      <c r="O693" s="371"/>
      <c r="P693" s="371"/>
      <c r="Q693" s="371"/>
      <c r="R693" s="371"/>
      <c r="S693" s="371"/>
      <c r="T693" s="371"/>
      <c r="U693" s="371"/>
      <c r="V693" s="371"/>
      <c r="W693" s="371"/>
      <c r="X693" s="371"/>
      <c r="Y693" s="371"/>
      <c r="Z693" s="371"/>
    </row>
    <row r="694" ht="26.25" customHeight="1">
      <c r="A694" s="371"/>
      <c r="B694" s="1265"/>
      <c r="C694" s="371"/>
      <c r="D694" s="371"/>
      <c r="E694" s="371"/>
      <c r="F694" s="371"/>
      <c r="G694" s="371"/>
      <c r="H694" s="371"/>
      <c r="I694" s="371"/>
      <c r="J694" s="371"/>
      <c r="K694" s="371"/>
      <c r="L694" s="371"/>
      <c r="M694" s="371"/>
      <c r="N694" s="371"/>
      <c r="O694" s="371"/>
      <c r="P694" s="371"/>
      <c r="Q694" s="371"/>
      <c r="R694" s="371"/>
      <c r="S694" s="371"/>
      <c r="T694" s="371"/>
      <c r="U694" s="371"/>
      <c r="V694" s="371"/>
      <c r="W694" s="371"/>
      <c r="X694" s="371"/>
      <c r="Y694" s="371"/>
      <c r="Z694" s="371"/>
    </row>
    <row r="695" ht="26.25" customHeight="1">
      <c r="A695" s="371"/>
      <c r="B695" s="1265"/>
      <c r="C695" s="371"/>
      <c r="D695" s="371"/>
      <c r="E695" s="371"/>
      <c r="F695" s="371"/>
      <c r="G695" s="371"/>
      <c r="H695" s="371"/>
      <c r="I695" s="371"/>
      <c r="J695" s="371"/>
      <c r="K695" s="371"/>
      <c r="L695" s="371"/>
      <c r="M695" s="371"/>
      <c r="N695" s="371"/>
      <c r="O695" s="371"/>
      <c r="P695" s="371"/>
      <c r="Q695" s="371"/>
      <c r="R695" s="371"/>
      <c r="S695" s="371"/>
      <c r="T695" s="371"/>
      <c r="U695" s="371"/>
      <c r="V695" s="371"/>
      <c r="W695" s="371"/>
      <c r="X695" s="371"/>
      <c r="Y695" s="371"/>
      <c r="Z695" s="371"/>
    </row>
    <row r="696" ht="26.25" customHeight="1">
      <c r="A696" s="371"/>
      <c r="B696" s="1265"/>
      <c r="C696" s="371"/>
      <c r="D696" s="371"/>
      <c r="E696" s="371"/>
      <c r="F696" s="371"/>
      <c r="G696" s="371"/>
      <c r="H696" s="371"/>
      <c r="I696" s="371"/>
      <c r="J696" s="371"/>
      <c r="K696" s="371"/>
      <c r="L696" s="371"/>
      <c r="M696" s="371"/>
      <c r="N696" s="371"/>
      <c r="O696" s="371"/>
      <c r="P696" s="371"/>
      <c r="Q696" s="371"/>
      <c r="R696" s="371"/>
      <c r="S696" s="371"/>
      <c r="T696" s="371"/>
      <c r="U696" s="371"/>
      <c r="V696" s="371"/>
      <c r="W696" s="371"/>
      <c r="X696" s="371"/>
      <c r="Y696" s="371"/>
      <c r="Z696" s="371"/>
    </row>
    <row r="697" ht="26.25" customHeight="1">
      <c r="A697" s="371"/>
      <c r="B697" s="1265"/>
      <c r="C697" s="371"/>
      <c r="D697" s="371"/>
      <c r="E697" s="371"/>
      <c r="F697" s="371"/>
      <c r="G697" s="371"/>
      <c r="H697" s="371"/>
      <c r="I697" s="371"/>
      <c r="J697" s="371"/>
      <c r="K697" s="371"/>
      <c r="L697" s="371"/>
      <c r="M697" s="371"/>
      <c r="N697" s="371"/>
      <c r="O697" s="371"/>
      <c r="P697" s="371"/>
      <c r="Q697" s="371"/>
      <c r="R697" s="371"/>
      <c r="S697" s="371"/>
      <c r="T697" s="371"/>
      <c r="U697" s="371"/>
      <c r="V697" s="371"/>
      <c r="W697" s="371"/>
      <c r="X697" s="371"/>
      <c r="Y697" s="371"/>
      <c r="Z697" s="371"/>
    </row>
    <row r="698" ht="26.25" customHeight="1">
      <c r="A698" s="371"/>
      <c r="B698" s="1265"/>
      <c r="C698" s="371"/>
      <c r="D698" s="371"/>
      <c r="E698" s="371"/>
      <c r="F698" s="371"/>
      <c r="G698" s="371"/>
      <c r="H698" s="371"/>
      <c r="I698" s="371"/>
      <c r="J698" s="371"/>
      <c r="K698" s="371"/>
      <c r="L698" s="371"/>
      <c r="M698" s="371"/>
      <c r="N698" s="371"/>
      <c r="O698" s="371"/>
      <c r="P698" s="371"/>
      <c r="Q698" s="371"/>
      <c r="R698" s="371"/>
      <c r="S698" s="371"/>
      <c r="T698" s="371"/>
      <c r="U698" s="371"/>
      <c r="V698" s="371"/>
      <c r="W698" s="371"/>
      <c r="X698" s="371"/>
      <c r="Y698" s="371"/>
      <c r="Z698" s="371"/>
    </row>
    <row r="699" ht="26.25" customHeight="1">
      <c r="A699" s="371"/>
      <c r="B699" s="1265"/>
      <c r="C699" s="371"/>
      <c r="D699" s="371"/>
      <c r="E699" s="371"/>
      <c r="F699" s="371"/>
      <c r="G699" s="371"/>
      <c r="H699" s="371"/>
      <c r="I699" s="371"/>
      <c r="J699" s="371"/>
      <c r="K699" s="371"/>
      <c r="L699" s="371"/>
      <c r="M699" s="371"/>
      <c r="N699" s="371"/>
      <c r="O699" s="371"/>
      <c r="P699" s="371"/>
      <c r="Q699" s="371"/>
      <c r="R699" s="371"/>
      <c r="S699" s="371"/>
      <c r="T699" s="371"/>
      <c r="U699" s="371"/>
      <c r="V699" s="371"/>
      <c r="W699" s="371"/>
      <c r="X699" s="371"/>
      <c r="Y699" s="371"/>
      <c r="Z699" s="371"/>
    </row>
    <row r="700" ht="26.25" customHeight="1">
      <c r="A700" s="371"/>
      <c r="B700" s="1265"/>
      <c r="C700" s="371"/>
      <c r="D700" s="371"/>
      <c r="E700" s="371"/>
      <c r="F700" s="371"/>
      <c r="G700" s="371"/>
      <c r="H700" s="371"/>
      <c r="I700" s="371"/>
      <c r="J700" s="371"/>
      <c r="K700" s="371"/>
      <c r="L700" s="371"/>
      <c r="M700" s="371"/>
      <c r="N700" s="371"/>
      <c r="O700" s="371"/>
      <c r="P700" s="371"/>
      <c r="Q700" s="371"/>
      <c r="R700" s="371"/>
      <c r="S700" s="371"/>
      <c r="T700" s="371"/>
      <c r="U700" s="371"/>
      <c r="V700" s="371"/>
      <c r="W700" s="371"/>
      <c r="X700" s="371"/>
      <c r="Y700" s="371"/>
      <c r="Z700" s="371"/>
    </row>
    <row r="701" ht="26.25" customHeight="1">
      <c r="A701" s="371"/>
      <c r="B701" s="1265"/>
      <c r="C701" s="371"/>
      <c r="D701" s="371"/>
      <c r="E701" s="371"/>
      <c r="F701" s="371"/>
      <c r="G701" s="371"/>
      <c r="H701" s="371"/>
      <c r="I701" s="371"/>
      <c r="J701" s="371"/>
      <c r="K701" s="371"/>
      <c r="L701" s="371"/>
      <c r="M701" s="371"/>
      <c r="N701" s="371"/>
      <c r="O701" s="371"/>
      <c r="P701" s="371"/>
      <c r="Q701" s="371"/>
      <c r="R701" s="371"/>
      <c r="S701" s="371"/>
      <c r="T701" s="371"/>
      <c r="U701" s="371"/>
      <c r="V701" s="371"/>
      <c r="W701" s="371"/>
      <c r="X701" s="371"/>
      <c r="Y701" s="371"/>
      <c r="Z701" s="371"/>
    </row>
    <row r="702" ht="26.25" customHeight="1">
      <c r="A702" s="371"/>
      <c r="B702" s="1265"/>
      <c r="C702" s="371"/>
      <c r="D702" s="371"/>
      <c r="E702" s="371"/>
      <c r="F702" s="371"/>
      <c r="G702" s="371"/>
      <c r="H702" s="371"/>
      <c r="I702" s="371"/>
      <c r="J702" s="371"/>
      <c r="K702" s="371"/>
      <c r="L702" s="371"/>
      <c r="M702" s="371"/>
      <c r="N702" s="371"/>
      <c r="O702" s="371"/>
      <c r="P702" s="371"/>
      <c r="Q702" s="371"/>
      <c r="R702" s="371"/>
      <c r="S702" s="371"/>
      <c r="T702" s="371"/>
      <c r="U702" s="371"/>
      <c r="V702" s="371"/>
      <c r="W702" s="371"/>
      <c r="X702" s="371"/>
      <c r="Y702" s="371"/>
      <c r="Z702" s="371"/>
    </row>
    <row r="703" ht="26.25" customHeight="1">
      <c r="A703" s="371"/>
      <c r="B703" s="1265"/>
      <c r="C703" s="371"/>
      <c r="D703" s="371"/>
      <c r="E703" s="371"/>
      <c r="F703" s="371"/>
      <c r="G703" s="371"/>
      <c r="H703" s="371"/>
      <c r="I703" s="371"/>
      <c r="J703" s="371"/>
      <c r="K703" s="371"/>
      <c r="L703" s="371"/>
      <c r="M703" s="371"/>
      <c r="N703" s="371"/>
      <c r="O703" s="371"/>
      <c r="P703" s="371"/>
      <c r="Q703" s="371"/>
      <c r="R703" s="371"/>
      <c r="S703" s="371"/>
      <c r="T703" s="371"/>
      <c r="U703" s="371"/>
      <c r="V703" s="371"/>
      <c r="W703" s="371"/>
      <c r="X703" s="371"/>
      <c r="Y703" s="371"/>
      <c r="Z703" s="371"/>
    </row>
    <row r="704" ht="26.25" customHeight="1">
      <c r="A704" s="371"/>
      <c r="B704" s="1265"/>
      <c r="C704" s="371"/>
      <c r="D704" s="371"/>
      <c r="E704" s="371"/>
      <c r="F704" s="371"/>
      <c r="G704" s="371"/>
      <c r="H704" s="371"/>
      <c r="I704" s="371"/>
      <c r="J704" s="371"/>
      <c r="K704" s="371"/>
      <c r="L704" s="371"/>
      <c r="M704" s="371"/>
      <c r="N704" s="371"/>
      <c r="O704" s="371"/>
      <c r="P704" s="371"/>
      <c r="Q704" s="371"/>
      <c r="R704" s="371"/>
      <c r="S704" s="371"/>
      <c r="T704" s="371"/>
      <c r="U704" s="371"/>
      <c r="V704" s="371"/>
      <c r="W704" s="371"/>
      <c r="X704" s="371"/>
      <c r="Y704" s="371"/>
      <c r="Z704" s="371"/>
    </row>
    <row r="705" ht="26.25" customHeight="1">
      <c r="A705" s="371"/>
      <c r="B705" s="1265"/>
      <c r="C705" s="371"/>
      <c r="D705" s="371"/>
      <c r="E705" s="371"/>
      <c r="F705" s="371"/>
      <c r="G705" s="371"/>
      <c r="H705" s="371"/>
      <c r="I705" s="371"/>
      <c r="J705" s="371"/>
      <c r="K705" s="371"/>
      <c r="L705" s="371"/>
      <c r="M705" s="371"/>
      <c r="N705" s="371"/>
      <c r="O705" s="371"/>
      <c r="P705" s="371"/>
      <c r="Q705" s="371"/>
      <c r="R705" s="371"/>
      <c r="S705" s="371"/>
      <c r="T705" s="371"/>
      <c r="U705" s="371"/>
      <c r="V705" s="371"/>
      <c r="W705" s="371"/>
      <c r="X705" s="371"/>
      <c r="Y705" s="371"/>
      <c r="Z705" s="371"/>
    </row>
    <row r="706" ht="26.25" customHeight="1">
      <c r="A706" s="371"/>
      <c r="B706" s="1265"/>
      <c r="C706" s="371"/>
      <c r="D706" s="371"/>
      <c r="E706" s="371"/>
      <c r="F706" s="371"/>
      <c r="G706" s="371"/>
      <c r="H706" s="371"/>
      <c r="I706" s="371"/>
      <c r="J706" s="371"/>
      <c r="K706" s="371"/>
      <c r="L706" s="371"/>
      <c r="M706" s="371"/>
      <c r="N706" s="371"/>
      <c r="O706" s="371"/>
      <c r="P706" s="371"/>
      <c r="Q706" s="371"/>
      <c r="R706" s="371"/>
      <c r="S706" s="371"/>
      <c r="T706" s="371"/>
      <c r="U706" s="371"/>
      <c r="V706" s="371"/>
      <c r="W706" s="371"/>
      <c r="X706" s="371"/>
      <c r="Y706" s="371"/>
      <c r="Z706" s="371"/>
    </row>
    <row r="707" ht="26.25" customHeight="1">
      <c r="A707" s="371"/>
      <c r="B707" s="1265"/>
      <c r="C707" s="371"/>
      <c r="D707" s="371"/>
      <c r="E707" s="371"/>
      <c r="F707" s="371"/>
      <c r="G707" s="371"/>
      <c r="H707" s="371"/>
      <c r="I707" s="371"/>
      <c r="J707" s="371"/>
      <c r="K707" s="371"/>
      <c r="L707" s="371"/>
      <c r="M707" s="371"/>
      <c r="N707" s="371"/>
      <c r="O707" s="371"/>
      <c r="P707" s="371"/>
      <c r="Q707" s="371"/>
      <c r="R707" s="371"/>
      <c r="S707" s="371"/>
      <c r="T707" s="371"/>
      <c r="U707" s="371"/>
      <c r="V707" s="371"/>
      <c r="W707" s="371"/>
      <c r="X707" s="371"/>
      <c r="Y707" s="371"/>
      <c r="Z707" s="371"/>
    </row>
    <row r="708" ht="26.25" customHeight="1">
      <c r="A708" s="371"/>
      <c r="B708" s="1265"/>
      <c r="C708" s="371"/>
      <c r="D708" s="371"/>
      <c r="E708" s="371"/>
      <c r="F708" s="371"/>
      <c r="G708" s="371"/>
      <c r="H708" s="371"/>
      <c r="I708" s="371"/>
      <c r="J708" s="371"/>
      <c r="K708" s="371"/>
      <c r="L708" s="371"/>
      <c r="M708" s="371"/>
      <c r="N708" s="371"/>
      <c r="O708" s="371"/>
      <c r="P708" s="371"/>
      <c r="Q708" s="371"/>
      <c r="R708" s="371"/>
      <c r="S708" s="371"/>
      <c r="T708" s="371"/>
      <c r="U708" s="371"/>
      <c r="V708" s="371"/>
      <c r="W708" s="371"/>
      <c r="X708" s="371"/>
      <c r="Y708" s="371"/>
      <c r="Z708" s="371"/>
    </row>
    <row r="709" ht="26.25" customHeight="1">
      <c r="A709" s="371"/>
      <c r="B709" s="1265"/>
      <c r="C709" s="371"/>
      <c r="D709" s="371"/>
      <c r="E709" s="371"/>
      <c r="F709" s="371"/>
      <c r="G709" s="371"/>
      <c r="H709" s="371"/>
      <c r="I709" s="371"/>
      <c r="J709" s="371"/>
      <c r="K709" s="371"/>
      <c r="L709" s="371"/>
      <c r="M709" s="371"/>
      <c r="N709" s="371"/>
      <c r="O709" s="371"/>
      <c r="P709" s="371"/>
      <c r="Q709" s="371"/>
      <c r="R709" s="371"/>
      <c r="S709" s="371"/>
      <c r="T709" s="371"/>
      <c r="U709" s="371"/>
      <c r="V709" s="371"/>
      <c r="W709" s="371"/>
      <c r="X709" s="371"/>
      <c r="Y709" s="371"/>
      <c r="Z709" s="371"/>
    </row>
    <row r="710" ht="26.25" customHeight="1">
      <c r="A710" s="371"/>
      <c r="B710" s="1265"/>
      <c r="C710" s="371"/>
      <c r="D710" s="371"/>
      <c r="E710" s="371"/>
      <c r="F710" s="371"/>
      <c r="G710" s="371"/>
      <c r="H710" s="371"/>
      <c r="I710" s="371"/>
      <c r="J710" s="371"/>
      <c r="K710" s="371"/>
      <c r="L710" s="371"/>
      <c r="M710" s="371"/>
      <c r="N710" s="371"/>
      <c r="O710" s="371"/>
      <c r="P710" s="371"/>
      <c r="Q710" s="371"/>
      <c r="R710" s="371"/>
      <c r="S710" s="371"/>
      <c r="T710" s="371"/>
      <c r="U710" s="371"/>
      <c r="V710" s="371"/>
      <c r="W710" s="371"/>
      <c r="X710" s="371"/>
      <c r="Y710" s="371"/>
      <c r="Z710" s="371"/>
    </row>
    <row r="711" ht="26.25" customHeight="1">
      <c r="A711" s="371"/>
      <c r="B711" s="1265"/>
      <c r="C711" s="371"/>
      <c r="D711" s="371"/>
      <c r="E711" s="371"/>
      <c r="F711" s="371"/>
      <c r="G711" s="371"/>
      <c r="H711" s="371"/>
      <c r="I711" s="371"/>
      <c r="J711" s="371"/>
      <c r="K711" s="371"/>
      <c r="L711" s="371"/>
      <c r="M711" s="371"/>
      <c r="N711" s="371"/>
      <c r="O711" s="371"/>
      <c r="P711" s="371"/>
      <c r="Q711" s="371"/>
      <c r="R711" s="371"/>
      <c r="S711" s="371"/>
      <c r="T711" s="371"/>
      <c r="U711" s="371"/>
      <c r="V711" s="371"/>
      <c r="W711" s="371"/>
      <c r="X711" s="371"/>
      <c r="Y711" s="371"/>
      <c r="Z711" s="371"/>
    </row>
    <row r="712" ht="26.25" customHeight="1">
      <c r="A712" s="371"/>
      <c r="B712" s="1265"/>
      <c r="C712" s="371"/>
      <c r="D712" s="371"/>
      <c r="E712" s="371"/>
      <c r="F712" s="371"/>
      <c r="G712" s="371"/>
      <c r="H712" s="371"/>
      <c r="I712" s="371"/>
      <c r="J712" s="371"/>
      <c r="K712" s="371"/>
      <c r="L712" s="371"/>
      <c r="M712" s="371"/>
      <c r="N712" s="371"/>
      <c r="O712" s="371"/>
      <c r="P712" s="371"/>
      <c r="Q712" s="371"/>
      <c r="R712" s="371"/>
      <c r="S712" s="371"/>
      <c r="T712" s="371"/>
      <c r="U712" s="371"/>
      <c r="V712" s="371"/>
      <c r="W712" s="371"/>
      <c r="X712" s="371"/>
      <c r="Y712" s="371"/>
      <c r="Z712" s="371"/>
    </row>
    <row r="713" ht="26.25" customHeight="1">
      <c r="A713" s="371"/>
      <c r="B713" s="1265"/>
      <c r="C713" s="371"/>
      <c r="D713" s="371"/>
      <c r="E713" s="371"/>
      <c r="F713" s="371"/>
      <c r="G713" s="371"/>
      <c r="H713" s="371"/>
      <c r="I713" s="371"/>
      <c r="J713" s="371"/>
      <c r="K713" s="371"/>
      <c r="L713" s="371"/>
      <c r="M713" s="371"/>
      <c r="N713" s="371"/>
      <c r="O713" s="371"/>
      <c r="P713" s="371"/>
      <c r="Q713" s="371"/>
      <c r="R713" s="371"/>
      <c r="S713" s="371"/>
      <c r="T713" s="371"/>
      <c r="U713" s="371"/>
      <c r="V713" s="371"/>
      <c r="W713" s="371"/>
      <c r="X713" s="371"/>
      <c r="Y713" s="371"/>
      <c r="Z713" s="371"/>
    </row>
    <row r="714" ht="26.25" customHeight="1">
      <c r="A714" s="371"/>
      <c r="B714" s="1265"/>
      <c r="C714" s="371"/>
      <c r="D714" s="371"/>
      <c r="E714" s="371"/>
      <c r="F714" s="371"/>
      <c r="G714" s="371"/>
      <c r="H714" s="371"/>
      <c r="I714" s="371"/>
      <c r="J714" s="371"/>
      <c r="K714" s="371"/>
      <c r="L714" s="371"/>
      <c r="M714" s="371"/>
      <c r="N714" s="371"/>
      <c r="O714" s="371"/>
      <c r="P714" s="371"/>
      <c r="Q714" s="371"/>
      <c r="R714" s="371"/>
      <c r="S714" s="371"/>
      <c r="T714" s="371"/>
      <c r="U714" s="371"/>
      <c r="V714" s="371"/>
      <c r="W714" s="371"/>
      <c r="X714" s="371"/>
      <c r="Y714" s="371"/>
      <c r="Z714" s="371"/>
    </row>
    <row r="715" ht="26.25" customHeight="1">
      <c r="A715" s="371"/>
      <c r="B715" s="1265"/>
      <c r="C715" s="371"/>
      <c r="D715" s="371"/>
      <c r="E715" s="371"/>
      <c r="F715" s="371"/>
      <c r="G715" s="371"/>
      <c r="H715" s="371"/>
      <c r="I715" s="371"/>
      <c r="J715" s="371"/>
      <c r="K715" s="371"/>
      <c r="L715" s="371"/>
      <c r="M715" s="371"/>
      <c r="N715" s="371"/>
      <c r="O715" s="371"/>
      <c r="P715" s="371"/>
      <c r="Q715" s="371"/>
      <c r="R715" s="371"/>
      <c r="S715" s="371"/>
      <c r="T715" s="371"/>
      <c r="U715" s="371"/>
      <c r="V715" s="371"/>
      <c r="W715" s="371"/>
      <c r="X715" s="371"/>
      <c r="Y715" s="371"/>
      <c r="Z715" s="371"/>
    </row>
    <row r="716" ht="26.25" customHeight="1">
      <c r="A716" s="371"/>
      <c r="B716" s="1265"/>
      <c r="C716" s="371"/>
      <c r="D716" s="371"/>
      <c r="E716" s="371"/>
      <c r="F716" s="371"/>
      <c r="G716" s="371"/>
      <c r="H716" s="371"/>
      <c r="I716" s="371"/>
      <c r="J716" s="371"/>
      <c r="K716" s="371"/>
      <c r="L716" s="371"/>
      <c r="M716" s="371"/>
      <c r="N716" s="371"/>
      <c r="O716" s="371"/>
      <c r="P716" s="371"/>
      <c r="Q716" s="371"/>
      <c r="R716" s="371"/>
      <c r="S716" s="371"/>
      <c r="T716" s="371"/>
      <c r="U716" s="371"/>
      <c r="V716" s="371"/>
      <c r="W716" s="371"/>
      <c r="X716" s="371"/>
      <c r="Y716" s="371"/>
      <c r="Z716" s="371"/>
    </row>
    <row r="717" ht="26.25" customHeight="1">
      <c r="A717" s="371"/>
      <c r="B717" s="1265"/>
      <c r="C717" s="371"/>
      <c r="D717" s="371"/>
      <c r="E717" s="371"/>
      <c r="F717" s="371"/>
      <c r="G717" s="371"/>
      <c r="H717" s="371"/>
      <c r="I717" s="371"/>
      <c r="J717" s="371"/>
      <c r="K717" s="371"/>
      <c r="L717" s="371"/>
      <c r="M717" s="371"/>
      <c r="N717" s="371"/>
      <c r="O717" s="371"/>
      <c r="P717" s="371"/>
      <c r="Q717" s="371"/>
      <c r="R717" s="371"/>
      <c r="S717" s="371"/>
      <c r="T717" s="371"/>
      <c r="U717" s="371"/>
      <c r="V717" s="371"/>
      <c r="W717" s="371"/>
      <c r="X717" s="371"/>
      <c r="Y717" s="371"/>
      <c r="Z717" s="371"/>
    </row>
    <row r="718" ht="26.25" customHeight="1">
      <c r="A718" s="371"/>
      <c r="B718" s="1265"/>
      <c r="C718" s="371"/>
      <c r="D718" s="371"/>
      <c r="E718" s="371"/>
      <c r="F718" s="371"/>
      <c r="G718" s="371"/>
      <c r="H718" s="371"/>
      <c r="I718" s="371"/>
      <c r="J718" s="371"/>
      <c r="K718" s="371"/>
      <c r="L718" s="371"/>
      <c r="M718" s="371"/>
      <c r="N718" s="371"/>
      <c r="O718" s="371"/>
      <c r="P718" s="371"/>
      <c r="Q718" s="371"/>
      <c r="R718" s="371"/>
      <c r="S718" s="371"/>
      <c r="T718" s="371"/>
      <c r="U718" s="371"/>
      <c r="V718" s="371"/>
      <c r="W718" s="371"/>
      <c r="X718" s="371"/>
      <c r="Y718" s="371"/>
      <c r="Z718" s="371"/>
    </row>
    <row r="719" ht="26.25" customHeight="1">
      <c r="A719" s="371"/>
      <c r="B719" s="1265"/>
      <c r="C719" s="371"/>
      <c r="D719" s="371"/>
      <c r="E719" s="371"/>
      <c r="F719" s="371"/>
      <c r="G719" s="371"/>
      <c r="H719" s="371"/>
      <c r="I719" s="371"/>
      <c r="J719" s="371"/>
      <c r="K719" s="371"/>
      <c r="L719" s="371"/>
      <c r="M719" s="371"/>
      <c r="N719" s="371"/>
      <c r="O719" s="371"/>
      <c r="P719" s="371"/>
      <c r="Q719" s="371"/>
      <c r="R719" s="371"/>
      <c r="S719" s="371"/>
      <c r="T719" s="371"/>
      <c r="U719" s="371"/>
      <c r="V719" s="371"/>
      <c r="W719" s="371"/>
      <c r="X719" s="371"/>
      <c r="Y719" s="371"/>
      <c r="Z719" s="371"/>
    </row>
    <row r="720" ht="26.25" customHeight="1">
      <c r="A720" s="371"/>
      <c r="B720" s="1265"/>
      <c r="C720" s="371"/>
      <c r="D720" s="371"/>
      <c r="E720" s="371"/>
      <c r="F720" s="371"/>
      <c r="G720" s="371"/>
      <c r="H720" s="371"/>
      <c r="I720" s="371"/>
      <c r="J720" s="371"/>
      <c r="K720" s="371"/>
      <c r="L720" s="371"/>
      <c r="M720" s="371"/>
      <c r="N720" s="371"/>
      <c r="O720" s="371"/>
      <c r="P720" s="371"/>
      <c r="Q720" s="371"/>
      <c r="R720" s="371"/>
      <c r="S720" s="371"/>
      <c r="T720" s="371"/>
      <c r="U720" s="371"/>
      <c r="V720" s="371"/>
      <c r="W720" s="371"/>
      <c r="X720" s="371"/>
      <c r="Y720" s="371"/>
      <c r="Z720" s="371"/>
    </row>
    <row r="721" ht="26.25" customHeight="1">
      <c r="A721" s="371"/>
      <c r="B721" s="1265"/>
      <c r="C721" s="371"/>
      <c r="D721" s="371"/>
      <c r="E721" s="371"/>
      <c r="F721" s="371"/>
      <c r="G721" s="371"/>
      <c r="H721" s="371"/>
      <c r="I721" s="371"/>
      <c r="J721" s="371"/>
      <c r="K721" s="371"/>
      <c r="L721" s="371"/>
      <c r="M721" s="371"/>
      <c r="N721" s="371"/>
      <c r="O721" s="371"/>
      <c r="P721" s="371"/>
      <c r="Q721" s="371"/>
      <c r="R721" s="371"/>
      <c r="S721" s="371"/>
      <c r="T721" s="371"/>
      <c r="U721" s="371"/>
      <c r="V721" s="371"/>
      <c r="W721" s="371"/>
      <c r="X721" s="371"/>
      <c r="Y721" s="371"/>
      <c r="Z721" s="371"/>
    </row>
    <row r="722" ht="26.25" customHeight="1">
      <c r="A722" s="371"/>
      <c r="B722" s="1265"/>
      <c r="C722" s="371"/>
      <c r="D722" s="371"/>
      <c r="E722" s="371"/>
      <c r="F722" s="371"/>
      <c r="G722" s="371"/>
      <c r="H722" s="371"/>
      <c r="I722" s="371"/>
      <c r="J722" s="371"/>
      <c r="K722" s="371"/>
      <c r="L722" s="371"/>
      <c r="M722" s="371"/>
      <c r="N722" s="371"/>
      <c r="O722" s="371"/>
      <c r="P722" s="371"/>
      <c r="Q722" s="371"/>
      <c r="R722" s="371"/>
      <c r="S722" s="371"/>
      <c r="T722" s="371"/>
      <c r="U722" s="371"/>
      <c r="V722" s="371"/>
      <c r="W722" s="371"/>
      <c r="X722" s="371"/>
      <c r="Y722" s="371"/>
      <c r="Z722" s="371"/>
    </row>
    <row r="723" ht="26.25" customHeight="1">
      <c r="A723" s="371"/>
      <c r="B723" s="1265"/>
      <c r="C723" s="371"/>
      <c r="D723" s="371"/>
      <c r="E723" s="371"/>
      <c r="F723" s="371"/>
      <c r="G723" s="371"/>
      <c r="H723" s="371"/>
      <c r="I723" s="371"/>
      <c r="J723" s="371"/>
      <c r="K723" s="371"/>
      <c r="L723" s="371"/>
      <c r="M723" s="371"/>
      <c r="N723" s="371"/>
      <c r="O723" s="371"/>
      <c r="P723" s="371"/>
      <c r="Q723" s="371"/>
      <c r="R723" s="371"/>
      <c r="S723" s="371"/>
      <c r="T723" s="371"/>
      <c r="U723" s="371"/>
      <c r="V723" s="371"/>
      <c r="W723" s="371"/>
      <c r="X723" s="371"/>
      <c r="Y723" s="371"/>
      <c r="Z723" s="371"/>
    </row>
    <row r="724" ht="26.25" customHeight="1">
      <c r="A724" s="371"/>
      <c r="B724" s="1265"/>
      <c r="C724" s="371"/>
      <c r="D724" s="371"/>
      <c r="E724" s="371"/>
      <c r="F724" s="371"/>
      <c r="G724" s="371"/>
      <c r="H724" s="371"/>
      <c r="I724" s="371"/>
      <c r="J724" s="371"/>
      <c r="K724" s="371"/>
      <c r="L724" s="371"/>
      <c r="M724" s="371"/>
      <c r="N724" s="371"/>
      <c r="O724" s="371"/>
      <c r="P724" s="371"/>
      <c r="Q724" s="371"/>
      <c r="R724" s="371"/>
      <c r="S724" s="371"/>
      <c r="T724" s="371"/>
      <c r="U724" s="371"/>
      <c r="V724" s="371"/>
      <c r="W724" s="371"/>
      <c r="X724" s="371"/>
      <c r="Y724" s="371"/>
      <c r="Z724" s="371"/>
    </row>
    <row r="725" ht="26.25" customHeight="1">
      <c r="A725" s="371"/>
      <c r="B725" s="1265"/>
      <c r="C725" s="371"/>
      <c r="D725" s="371"/>
      <c r="E725" s="371"/>
      <c r="F725" s="371"/>
      <c r="G725" s="371"/>
      <c r="H725" s="371"/>
      <c r="I725" s="371"/>
      <c r="J725" s="371"/>
      <c r="K725" s="371"/>
      <c r="L725" s="371"/>
      <c r="M725" s="371"/>
      <c r="N725" s="371"/>
      <c r="O725" s="371"/>
      <c r="P725" s="371"/>
      <c r="Q725" s="371"/>
      <c r="R725" s="371"/>
      <c r="S725" s="371"/>
      <c r="T725" s="371"/>
      <c r="U725" s="371"/>
      <c r="V725" s="371"/>
      <c r="W725" s="371"/>
      <c r="X725" s="371"/>
      <c r="Y725" s="371"/>
      <c r="Z725" s="371"/>
    </row>
    <row r="726" ht="26.25" customHeight="1">
      <c r="A726" s="371"/>
      <c r="B726" s="1265"/>
      <c r="C726" s="371"/>
      <c r="D726" s="371"/>
      <c r="E726" s="371"/>
      <c r="F726" s="371"/>
      <c r="G726" s="371"/>
      <c r="H726" s="371"/>
      <c r="I726" s="371"/>
      <c r="J726" s="371"/>
      <c r="K726" s="371"/>
      <c r="L726" s="371"/>
      <c r="M726" s="371"/>
      <c r="N726" s="371"/>
      <c r="O726" s="371"/>
      <c r="P726" s="371"/>
      <c r="Q726" s="371"/>
      <c r="R726" s="371"/>
      <c r="S726" s="371"/>
      <c r="T726" s="371"/>
      <c r="U726" s="371"/>
      <c r="V726" s="371"/>
      <c r="W726" s="371"/>
      <c r="X726" s="371"/>
      <c r="Y726" s="371"/>
      <c r="Z726" s="371"/>
    </row>
    <row r="727" ht="26.25" customHeight="1">
      <c r="A727" s="371"/>
      <c r="B727" s="1265"/>
      <c r="C727" s="371"/>
      <c r="D727" s="371"/>
      <c r="E727" s="371"/>
      <c r="F727" s="371"/>
      <c r="G727" s="371"/>
      <c r="H727" s="371"/>
      <c r="I727" s="371"/>
      <c r="J727" s="371"/>
      <c r="K727" s="371"/>
      <c r="L727" s="371"/>
      <c r="M727" s="371"/>
      <c r="N727" s="371"/>
      <c r="O727" s="371"/>
      <c r="P727" s="371"/>
      <c r="Q727" s="371"/>
      <c r="R727" s="371"/>
      <c r="S727" s="371"/>
      <c r="T727" s="371"/>
      <c r="U727" s="371"/>
      <c r="V727" s="371"/>
      <c r="W727" s="371"/>
      <c r="X727" s="371"/>
      <c r="Y727" s="371"/>
      <c r="Z727" s="371"/>
    </row>
    <row r="728" ht="26.25" customHeight="1">
      <c r="A728" s="371"/>
      <c r="B728" s="1265"/>
      <c r="C728" s="371"/>
      <c r="D728" s="371"/>
      <c r="E728" s="371"/>
      <c r="F728" s="371"/>
      <c r="G728" s="371"/>
      <c r="H728" s="371"/>
      <c r="I728" s="371"/>
      <c r="J728" s="371"/>
      <c r="K728" s="371"/>
      <c r="L728" s="371"/>
      <c r="M728" s="371"/>
      <c r="N728" s="371"/>
      <c r="O728" s="371"/>
      <c r="P728" s="371"/>
      <c r="Q728" s="371"/>
      <c r="R728" s="371"/>
      <c r="S728" s="371"/>
      <c r="T728" s="371"/>
      <c r="U728" s="371"/>
      <c r="V728" s="371"/>
      <c r="W728" s="371"/>
      <c r="X728" s="371"/>
      <c r="Y728" s="371"/>
      <c r="Z728" s="371"/>
    </row>
    <row r="729" ht="26.25" customHeight="1">
      <c r="A729" s="371"/>
      <c r="B729" s="1265"/>
      <c r="C729" s="371"/>
      <c r="D729" s="371"/>
      <c r="E729" s="371"/>
      <c r="F729" s="371"/>
      <c r="G729" s="371"/>
      <c r="H729" s="371"/>
      <c r="I729" s="371"/>
      <c r="J729" s="371"/>
      <c r="K729" s="371"/>
      <c r="L729" s="371"/>
      <c r="M729" s="371"/>
      <c r="N729" s="371"/>
      <c r="O729" s="371"/>
      <c r="P729" s="371"/>
      <c r="Q729" s="371"/>
      <c r="R729" s="371"/>
      <c r="S729" s="371"/>
      <c r="T729" s="371"/>
      <c r="U729" s="371"/>
      <c r="V729" s="371"/>
      <c r="W729" s="371"/>
      <c r="X729" s="371"/>
      <c r="Y729" s="371"/>
      <c r="Z729" s="371"/>
    </row>
    <row r="730" ht="26.25" customHeight="1">
      <c r="A730" s="371"/>
      <c r="B730" s="1265"/>
      <c r="C730" s="371"/>
      <c r="D730" s="371"/>
      <c r="E730" s="371"/>
      <c r="F730" s="371"/>
      <c r="G730" s="371"/>
      <c r="H730" s="371"/>
      <c r="I730" s="371"/>
      <c r="J730" s="371"/>
      <c r="K730" s="371"/>
      <c r="L730" s="371"/>
      <c r="M730" s="371"/>
      <c r="N730" s="371"/>
      <c r="O730" s="371"/>
      <c r="P730" s="371"/>
      <c r="Q730" s="371"/>
      <c r="R730" s="371"/>
      <c r="S730" s="371"/>
      <c r="T730" s="371"/>
      <c r="U730" s="371"/>
      <c r="V730" s="371"/>
      <c r="W730" s="371"/>
      <c r="X730" s="371"/>
      <c r="Y730" s="371"/>
      <c r="Z730" s="371"/>
    </row>
    <row r="731" ht="26.25" customHeight="1">
      <c r="A731" s="371"/>
      <c r="B731" s="1265"/>
      <c r="C731" s="371"/>
      <c r="D731" s="371"/>
      <c r="E731" s="371"/>
      <c r="F731" s="371"/>
      <c r="G731" s="371"/>
      <c r="H731" s="371"/>
      <c r="I731" s="371"/>
      <c r="J731" s="371"/>
      <c r="K731" s="371"/>
      <c r="L731" s="371"/>
      <c r="M731" s="371"/>
      <c r="N731" s="371"/>
      <c r="O731" s="371"/>
      <c r="P731" s="371"/>
      <c r="Q731" s="371"/>
      <c r="R731" s="371"/>
      <c r="S731" s="371"/>
      <c r="T731" s="371"/>
      <c r="U731" s="371"/>
      <c r="V731" s="371"/>
      <c r="W731" s="371"/>
      <c r="X731" s="371"/>
      <c r="Y731" s="371"/>
      <c r="Z731" s="371"/>
    </row>
    <row r="732" ht="26.25" customHeight="1">
      <c r="A732" s="371"/>
      <c r="B732" s="1265"/>
      <c r="C732" s="371"/>
      <c r="D732" s="371"/>
      <c r="E732" s="371"/>
      <c r="F732" s="371"/>
      <c r="G732" s="371"/>
      <c r="H732" s="371"/>
      <c r="I732" s="371"/>
      <c r="J732" s="371"/>
      <c r="K732" s="371"/>
      <c r="L732" s="371"/>
      <c r="M732" s="371"/>
      <c r="N732" s="371"/>
      <c r="O732" s="371"/>
      <c r="P732" s="371"/>
      <c r="Q732" s="371"/>
      <c r="R732" s="371"/>
      <c r="S732" s="371"/>
      <c r="T732" s="371"/>
      <c r="U732" s="371"/>
      <c r="V732" s="371"/>
      <c r="W732" s="371"/>
      <c r="X732" s="371"/>
      <c r="Y732" s="371"/>
      <c r="Z732" s="371"/>
    </row>
    <row r="733" ht="26.25" customHeight="1">
      <c r="A733" s="371"/>
      <c r="B733" s="1265"/>
      <c r="C733" s="371"/>
      <c r="D733" s="371"/>
      <c r="E733" s="371"/>
      <c r="F733" s="371"/>
      <c r="G733" s="371"/>
      <c r="H733" s="371"/>
      <c r="I733" s="371"/>
      <c r="J733" s="371"/>
      <c r="K733" s="371"/>
      <c r="L733" s="371"/>
      <c r="M733" s="371"/>
      <c r="N733" s="371"/>
      <c r="O733" s="371"/>
      <c r="P733" s="371"/>
      <c r="Q733" s="371"/>
      <c r="R733" s="371"/>
      <c r="S733" s="371"/>
      <c r="T733" s="371"/>
      <c r="U733" s="371"/>
      <c r="V733" s="371"/>
      <c r="W733" s="371"/>
      <c r="X733" s="371"/>
      <c r="Y733" s="371"/>
      <c r="Z733" s="371"/>
    </row>
    <row r="734" ht="26.25" customHeight="1">
      <c r="A734" s="371"/>
      <c r="B734" s="1265"/>
      <c r="C734" s="371"/>
      <c r="D734" s="371"/>
      <c r="E734" s="371"/>
      <c r="F734" s="371"/>
      <c r="G734" s="371"/>
      <c r="H734" s="371"/>
      <c r="I734" s="371"/>
      <c r="J734" s="371"/>
      <c r="K734" s="371"/>
      <c r="L734" s="371"/>
      <c r="M734" s="371"/>
      <c r="N734" s="371"/>
      <c r="O734" s="371"/>
      <c r="P734" s="371"/>
      <c r="Q734" s="371"/>
      <c r="R734" s="371"/>
      <c r="S734" s="371"/>
      <c r="T734" s="371"/>
      <c r="U734" s="371"/>
      <c r="V734" s="371"/>
      <c r="W734" s="371"/>
      <c r="X734" s="371"/>
      <c r="Y734" s="371"/>
      <c r="Z734" s="371"/>
    </row>
    <row r="735" ht="26.25" customHeight="1">
      <c r="A735" s="371"/>
      <c r="B735" s="1265"/>
      <c r="C735" s="371"/>
      <c r="D735" s="371"/>
      <c r="E735" s="371"/>
      <c r="F735" s="371"/>
      <c r="G735" s="371"/>
      <c r="H735" s="371"/>
      <c r="I735" s="371"/>
      <c r="J735" s="371"/>
      <c r="K735" s="371"/>
      <c r="L735" s="371"/>
      <c r="M735" s="371"/>
      <c r="N735" s="371"/>
      <c r="O735" s="371"/>
      <c r="P735" s="371"/>
      <c r="Q735" s="371"/>
      <c r="R735" s="371"/>
      <c r="S735" s="371"/>
      <c r="T735" s="371"/>
      <c r="U735" s="371"/>
      <c r="V735" s="371"/>
      <c r="W735" s="371"/>
      <c r="X735" s="371"/>
      <c r="Y735" s="371"/>
      <c r="Z735" s="371"/>
    </row>
    <row r="736" ht="26.25" customHeight="1">
      <c r="A736" s="371"/>
      <c r="B736" s="1265"/>
      <c r="C736" s="371"/>
      <c r="D736" s="371"/>
      <c r="E736" s="371"/>
      <c r="F736" s="371"/>
      <c r="G736" s="371"/>
      <c r="H736" s="371"/>
      <c r="I736" s="371"/>
      <c r="J736" s="371"/>
      <c r="K736" s="371"/>
      <c r="L736" s="371"/>
      <c r="M736" s="371"/>
      <c r="N736" s="371"/>
      <c r="O736" s="371"/>
      <c r="P736" s="371"/>
      <c r="Q736" s="371"/>
      <c r="R736" s="371"/>
      <c r="S736" s="371"/>
      <c r="T736" s="371"/>
      <c r="U736" s="371"/>
      <c r="V736" s="371"/>
      <c r="W736" s="371"/>
      <c r="X736" s="371"/>
      <c r="Y736" s="371"/>
      <c r="Z736" s="371"/>
    </row>
    <row r="737" ht="26.25" customHeight="1">
      <c r="A737" s="371"/>
      <c r="B737" s="1265"/>
      <c r="C737" s="371"/>
      <c r="D737" s="371"/>
      <c r="E737" s="371"/>
      <c r="F737" s="371"/>
      <c r="G737" s="371"/>
      <c r="H737" s="371"/>
      <c r="I737" s="371"/>
      <c r="J737" s="371"/>
      <c r="K737" s="371"/>
      <c r="L737" s="371"/>
      <c r="M737" s="371"/>
      <c r="N737" s="371"/>
      <c r="O737" s="371"/>
      <c r="P737" s="371"/>
      <c r="Q737" s="371"/>
      <c r="R737" s="371"/>
      <c r="S737" s="371"/>
      <c r="T737" s="371"/>
      <c r="U737" s="371"/>
      <c r="V737" s="371"/>
      <c r="W737" s="371"/>
      <c r="X737" s="371"/>
      <c r="Y737" s="371"/>
      <c r="Z737" s="371"/>
    </row>
    <row r="738" ht="26.25" customHeight="1">
      <c r="A738" s="371"/>
      <c r="B738" s="1265"/>
      <c r="C738" s="371"/>
      <c r="D738" s="371"/>
      <c r="E738" s="371"/>
      <c r="F738" s="371"/>
      <c r="G738" s="371"/>
      <c r="H738" s="371"/>
      <c r="I738" s="371"/>
      <c r="J738" s="371"/>
      <c r="K738" s="371"/>
      <c r="L738" s="371"/>
      <c r="M738" s="371"/>
      <c r="N738" s="371"/>
      <c r="O738" s="371"/>
      <c r="P738" s="371"/>
      <c r="Q738" s="371"/>
      <c r="R738" s="371"/>
      <c r="S738" s="371"/>
      <c r="T738" s="371"/>
      <c r="U738" s="371"/>
      <c r="V738" s="371"/>
      <c r="W738" s="371"/>
      <c r="X738" s="371"/>
      <c r="Y738" s="371"/>
      <c r="Z738" s="371"/>
    </row>
    <row r="739" ht="26.25" customHeight="1">
      <c r="A739" s="371"/>
      <c r="B739" s="1265"/>
      <c r="C739" s="371"/>
      <c r="D739" s="371"/>
      <c r="E739" s="371"/>
      <c r="F739" s="371"/>
      <c r="G739" s="371"/>
      <c r="H739" s="371"/>
      <c r="I739" s="371"/>
      <c r="J739" s="371"/>
      <c r="K739" s="371"/>
      <c r="L739" s="371"/>
      <c r="M739" s="371"/>
      <c r="N739" s="371"/>
      <c r="O739" s="371"/>
      <c r="P739" s="371"/>
      <c r="Q739" s="371"/>
      <c r="R739" s="371"/>
      <c r="S739" s="371"/>
      <c r="T739" s="371"/>
      <c r="U739" s="371"/>
      <c r="V739" s="371"/>
      <c r="W739" s="371"/>
      <c r="X739" s="371"/>
      <c r="Y739" s="371"/>
      <c r="Z739" s="371"/>
    </row>
    <row r="740" ht="26.25" customHeight="1">
      <c r="A740" s="371"/>
      <c r="B740" s="1265"/>
      <c r="C740" s="371"/>
      <c r="D740" s="371"/>
      <c r="E740" s="371"/>
      <c r="F740" s="371"/>
      <c r="G740" s="371"/>
      <c r="H740" s="371"/>
      <c r="I740" s="371"/>
      <c r="J740" s="371"/>
      <c r="K740" s="371"/>
      <c r="L740" s="371"/>
      <c r="M740" s="371"/>
      <c r="N740" s="371"/>
      <c r="O740" s="371"/>
      <c r="P740" s="371"/>
      <c r="Q740" s="371"/>
      <c r="R740" s="371"/>
      <c r="S740" s="371"/>
      <c r="T740" s="371"/>
      <c r="U740" s="371"/>
      <c r="V740" s="371"/>
      <c r="W740" s="371"/>
      <c r="X740" s="371"/>
      <c r="Y740" s="371"/>
      <c r="Z740" s="371"/>
    </row>
    <row r="741" ht="26.25" customHeight="1">
      <c r="A741" s="371"/>
      <c r="B741" s="1265"/>
      <c r="C741" s="371"/>
      <c r="D741" s="371"/>
      <c r="E741" s="371"/>
      <c r="F741" s="371"/>
      <c r="G741" s="371"/>
      <c r="H741" s="371"/>
      <c r="I741" s="371"/>
      <c r="J741" s="371"/>
      <c r="K741" s="371"/>
      <c r="L741" s="371"/>
      <c r="M741" s="371"/>
      <c r="N741" s="371"/>
      <c r="O741" s="371"/>
      <c r="P741" s="371"/>
      <c r="Q741" s="371"/>
      <c r="R741" s="371"/>
      <c r="S741" s="371"/>
      <c r="T741" s="371"/>
      <c r="U741" s="371"/>
      <c r="V741" s="371"/>
      <c r="W741" s="371"/>
      <c r="X741" s="371"/>
      <c r="Y741" s="371"/>
      <c r="Z741" s="371"/>
    </row>
    <row r="742" ht="26.25" customHeight="1">
      <c r="A742" s="371"/>
      <c r="B742" s="1265"/>
      <c r="C742" s="371"/>
      <c r="D742" s="371"/>
      <c r="E742" s="371"/>
      <c r="F742" s="371"/>
      <c r="G742" s="371"/>
      <c r="H742" s="371"/>
      <c r="I742" s="371"/>
      <c r="J742" s="371"/>
      <c r="K742" s="371"/>
      <c r="L742" s="371"/>
      <c r="M742" s="371"/>
      <c r="N742" s="371"/>
      <c r="O742" s="371"/>
      <c r="P742" s="371"/>
      <c r="Q742" s="371"/>
      <c r="R742" s="371"/>
      <c r="S742" s="371"/>
      <c r="T742" s="371"/>
      <c r="U742" s="371"/>
      <c r="V742" s="371"/>
      <c r="W742" s="371"/>
      <c r="X742" s="371"/>
      <c r="Y742" s="371"/>
      <c r="Z742" s="371"/>
    </row>
    <row r="743" ht="26.25" customHeight="1">
      <c r="A743" s="371"/>
      <c r="B743" s="1265"/>
      <c r="C743" s="371"/>
      <c r="D743" s="371"/>
      <c r="E743" s="371"/>
      <c r="F743" s="371"/>
      <c r="G743" s="371"/>
      <c r="H743" s="371"/>
      <c r="I743" s="371"/>
      <c r="J743" s="371"/>
      <c r="K743" s="371"/>
      <c r="L743" s="371"/>
      <c r="M743" s="371"/>
      <c r="N743" s="371"/>
      <c r="O743" s="371"/>
      <c r="P743" s="371"/>
      <c r="Q743" s="371"/>
      <c r="R743" s="371"/>
      <c r="S743" s="371"/>
      <c r="T743" s="371"/>
      <c r="U743" s="371"/>
      <c r="V743" s="371"/>
      <c r="W743" s="371"/>
      <c r="X743" s="371"/>
      <c r="Y743" s="371"/>
      <c r="Z743" s="371"/>
    </row>
    <row r="744" ht="26.25" customHeight="1">
      <c r="A744" s="371"/>
      <c r="B744" s="1265"/>
      <c r="C744" s="371"/>
      <c r="D744" s="371"/>
      <c r="E744" s="371"/>
      <c r="F744" s="371"/>
      <c r="G744" s="371"/>
      <c r="H744" s="371"/>
      <c r="I744" s="371"/>
      <c r="J744" s="371"/>
      <c r="K744" s="371"/>
      <c r="L744" s="371"/>
      <c r="M744" s="371"/>
      <c r="N744" s="371"/>
      <c r="O744" s="371"/>
      <c r="P744" s="371"/>
      <c r="Q744" s="371"/>
      <c r="R744" s="371"/>
      <c r="S744" s="371"/>
      <c r="T744" s="371"/>
      <c r="U744" s="371"/>
      <c r="V744" s="371"/>
      <c r="W744" s="371"/>
      <c r="X744" s="371"/>
      <c r="Y744" s="371"/>
      <c r="Z744" s="371"/>
    </row>
    <row r="745" ht="26.25" customHeight="1">
      <c r="A745" s="371"/>
      <c r="B745" s="1265"/>
      <c r="C745" s="371"/>
      <c r="D745" s="371"/>
      <c r="E745" s="371"/>
      <c r="F745" s="371"/>
      <c r="G745" s="371"/>
      <c r="H745" s="371"/>
      <c r="I745" s="371"/>
      <c r="J745" s="371"/>
      <c r="K745" s="371"/>
      <c r="L745" s="371"/>
      <c r="M745" s="371"/>
      <c r="N745" s="371"/>
      <c r="O745" s="371"/>
      <c r="P745" s="371"/>
      <c r="Q745" s="371"/>
      <c r="R745" s="371"/>
      <c r="S745" s="371"/>
      <c r="T745" s="371"/>
      <c r="U745" s="371"/>
      <c r="V745" s="371"/>
      <c r="W745" s="371"/>
      <c r="X745" s="371"/>
      <c r="Y745" s="371"/>
      <c r="Z745" s="371"/>
    </row>
    <row r="746" ht="26.25" customHeight="1">
      <c r="A746" s="371"/>
      <c r="B746" s="1265"/>
      <c r="C746" s="371"/>
      <c r="D746" s="371"/>
      <c r="E746" s="371"/>
      <c r="F746" s="371"/>
      <c r="G746" s="371"/>
      <c r="H746" s="371"/>
      <c r="I746" s="371"/>
      <c r="J746" s="371"/>
      <c r="K746" s="371"/>
      <c r="L746" s="371"/>
      <c r="M746" s="371"/>
      <c r="N746" s="371"/>
      <c r="O746" s="371"/>
      <c r="P746" s="371"/>
      <c r="Q746" s="371"/>
      <c r="R746" s="371"/>
      <c r="S746" s="371"/>
      <c r="T746" s="371"/>
      <c r="U746" s="371"/>
      <c r="V746" s="371"/>
      <c r="W746" s="371"/>
      <c r="X746" s="371"/>
      <c r="Y746" s="371"/>
      <c r="Z746" s="371"/>
    </row>
    <row r="747" ht="26.25" customHeight="1">
      <c r="A747" s="371"/>
      <c r="B747" s="1265"/>
      <c r="C747" s="371"/>
      <c r="D747" s="371"/>
      <c r="E747" s="371"/>
      <c r="F747" s="371"/>
      <c r="G747" s="371"/>
      <c r="H747" s="371"/>
      <c r="I747" s="371"/>
      <c r="J747" s="371"/>
      <c r="K747" s="371"/>
      <c r="L747" s="371"/>
      <c r="M747" s="371"/>
      <c r="N747" s="371"/>
      <c r="O747" s="371"/>
      <c r="P747" s="371"/>
      <c r="Q747" s="371"/>
      <c r="R747" s="371"/>
      <c r="S747" s="371"/>
      <c r="T747" s="371"/>
      <c r="U747" s="371"/>
      <c r="V747" s="371"/>
      <c r="W747" s="371"/>
      <c r="X747" s="371"/>
      <c r="Y747" s="371"/>
      <c r="Z747" s="371"/>
    </row>
    <row r="748" ht="26.25" customHeight="1">
      <c r="A748" s="371"/>
      <c r="B748" s="1265"/>
      <c r="C748" s="371"/>
      <c r="D748" s="371"/>
      <c r="E748" s="371"/>
      <c r="F748" s="371"/>
      <c r="G748" s="371"/>
      <c r="H748" s="371"/>
      <c r="I748" s="371"/>
      <c r="J748" s="371"/>
      <c r="K748" s="371"/>
      <c r="L748" s="371"/>
      <c r="M748" s="371"/>
      <c r="N748" s="371"/>
      <c r="O748" s="371"/>
      <c r="P748" s="371"/>
      <c r="Q748" s="371"/>
      <c r="R748" s="371"/>
      <c r="S748" s="371"/>
      <c r="T748" s="371"/>
      <c r="U748" s="371"/>
      <c r="V748" s="371"/>
      <c r="W748" s="371"/>
      <c r="X748" s="371"/>
      <c r="Y748" s="371"/>
      <c r="Z748" s="371"/>
    </row>
    <row r="749" ht="26.25" customHeight="1">
      <c r="A749" s="371"/>
      <c r="B749" s="1265"/>
      <c r="C749" s="371"/>
      <c r="D749" s="371"/>
      <c r="E749" s="371"/>
      <c r="F749" s="371"/>
      <c r="G749" s="371"/>
      <c r="H749" s="371"/>
      <c r="I749" s="371"/>
      <c r="J749" s="371"/>
      <c r="K749" s="371"/>
      <c r="L749" s="371"/>
      <c r="M749" s="371"/>
      <c r="N749" s="371"/>
      <c r="O749" s="371"/>
      <c r="P749" s="371"/>
      <c r="Q749" s="371"/>
      <c r="R749" s="371"/>
      <c r="S749" s="371"/>
      <c r="T749" s="371"/>
      <c r="U749" s="371"/>
      <c r="V749" s="371"/>
      <c r="W749" s="371"/>
      <c r="X749" s="371"/>
      <c r="Y749" s="371"/>
      <c r="Z749" s="371"/>
    </row>
    <row r="750" ht="26.25" customHeight="1">
      <c r="A750" s="371"/>
      <c r="B750" s="1265"/>
      <c r="C750" s="371"/>
      <c r="D750" s="371"/>
      <c r="E750" s="371"/>
      <c r="F750" s="371"/>
      <c r="G750" s="371"/>
      <c r="H750" s="371"/>
      <c r="I750" s="371"/>
      <c r="J750" s="371"/>
      <c r="K750" s="371"/>
      <c r="L750" s="371"/>
      <c r="M750" s="371"/>
      <c r="N750" s="371"/>
      <c r="O750" s="371"/>
      <c r="P750" s="371"/>
      <c r="Q750" s="371"/>
      <c r="R750" s="371"/>
      <c r="S750" s="371"/>
      <c r="T750" s="371"/>
      <c r="U750" s="371"/>
      <c r="V750" s="371"/>
      <c r="W750" s="371"/>
      <c r="X750" s="371"/>
      <c r="Y750" s="371"/>
      <c r="Z750" s="371"/>
    </row>
    <row r="751" ht="26.25" customHeight="1">
      <c r="A751" s="371"/>
      <c r="B751" s="1265"/>
      <c r="C751" s="371"/>
      <c r="D751" s="371"/>
      <c r="E751" s="371"/>
      <c r="F751" s="371"/>
      <c r="G751" s="371"/>
      <c r="H751" s="371"/>
      <c r="I751" s="371"/>
      <c r="J751" s="371"/>
      <c r="K751" s="371"/>
      <c r="L751" s="371"/>
      <c r="M751" s="371"/>
      <c r="N751" s="371"/>
      <c r="O751" s="371"/>
      <c r="P751" s="371"/>
      <c r="Q751" s="371"/>
      <c r="R751" s="371"/>
      <c r="S751" s="371"/>
      <c r="T751" s="371"/>
      <c r="U751" s="371"/>
      <c r="V751" s="371"/>
      <c r="W751" s="371"/>
      <c r="X751" s="371"/>
      <c r="Y751" s="371"/>
      <c r="Z751" s="371"/>
    </row>
    <row r="752" ht="26.25" customHeight="1">
      <c r="A752" s="371"/>
      <c r="B752" s="1265"/>
      <c r="C752" s="371"/>
      <c r="D752" s="371"/>
      <c r="E752" s="371"/>
      <c r="F752" s="371"/>
      <c r="G752" s="371"/>
      <c r="H752" s="371"/>
      <c r="I752" s="371"/>
      <c r="J752" s="371"/>
      <c r="K752" s="371"/>
      <c r="L752" s="371"/>
      <c r="M752" s="371"/>
      <c r="N752" s="371"/>
      <c r="O752" s="371"/>
      <c r="P752" s="371"/>
      <c r="Q752" s="371"/>
      <c r="R752" s="371"/>
      <c r="S752" s="371"/>
      <c r="T752" s="371"/>
      <c r="U752" s="371"/>
      <c r="V752" s="371"/>
      <c r="W752" s="371"/>
      <c r="X752" s="371"/>
      <c r="Y752" s="371"/>
      <c r="Z752" s="371"/>
    </row>
    <row r="753" ht="26.25" customHeight="1">
      <c r="A753" s="371"/>
      <c r="B753" s="1265"/>
      <c r="C753" s="371"/>
      <c r="D753" s="371"/>
      <c r="E753" s="371"/>
      <c r="F753" s="371"/>
      <c r="G753" s="371"/>
      <c r="H753" s="371"/>
      <c r="I753" s="371"/>
      <c r="J753" s="371"/>
      <c r="K753" s="371"/>
      <c r="L753" s="371"/>
      <c r="M753" s="371"/>
      <c r="N753" s="371"/>
      <c r="O753" s="371"/>
      <c r="P753" s="371"/>
      <c r="Q753" s="371"/>
      <c r="R753" s="371"/>
      <c r="S753" s="371"/>
      <c r="T753" s="371"/>
      <c r="U753" s="371"/>
      <c r="V753" s="371"/>
      <c r="W753" s="371"/>
      <c r="X753" s="371"/>
      <c r="Y753" s="371"/>
      <c r="Z753" s="371"/>
    </row>
    <row r="754" ht="26.25" customHeight="1">
      <c r="A754" s="371"/>
      <c r="B754" s="1265"/>
      <c r="C754" s="371"/>
      <c r="D754" s="371"/>
      <c r="E754" s="371"/>
      <c r="F754" s="371"/>
      <c r="G754" s="371"/>
      <c r="H754" s="371"/>
      <c r="I754" s="371"/>
      <c r="J754" s="371"/>
      <c r="K754" s="371"/>
      <c r="L754" s="371"/>
      <c r="M754" s="371"/>
      <c r="N754" s="371"/>
      <c r="O754" s="371"/>
      <c r="P754" s="371"/>
      <c r="Q754" s="371"/>
      <c r="R754" s="371"/>
      <c r="S754" s="371"/>
      <c r="T754" s="371"/>
      <c r="U754" s="371"/>
      <c r="V754" s="371"/>
      <c r="W754" s="371"/>
      <c r="X754" s="371"/>
      <c r="Y754" s="371"/>
      <c r="Z754" s="371"/>
    </row>
    <row r="755" ht="26.25" customHeight="1">
      <c r="A755" s="371"/>
      <c r="B755" s="1265"/>
      <c r="C755" s="371"/>
      <c r="D755" s="371"/>
      <c r="E755" s="371"/>
      <c r="F755" s="371"/>
      <c r="G755" s="371"/>
      <c r="H755" s="371"/>
      <c r="I755" s="371"/>
      <c r="J755" s="371"/>
      <c r="K755" s="371"/>
      <c r="L755" s="371"/>
      <c r="M755" s="371"/>
      <c r="N755" s="371"/>
      <c r="O755" s="371"/>
      <c r="P755" s="371"/>
      <c r="Q755" s="371"/>
      <c r="R755" s="371"/>
      <c r="S755" s="371"/>
      <c r="T755" s="371"/>
      <c r="U755" s="371"/>
      <c r="V755" s="371"/>
      <c r="W755" s="371"/>
      <c r="X755" s="371"/>
      <c r="Y755" s="371"/>
      <c r="Z755" s="371"/>
    </row>
    <row r="756" ht="26.25" customHeight="1">
      <c r="A756" s="371"/>
      <c r="B756" s="1265"/>
      <c r="C756" s="371"/>
      <c r="D756" s="371"/>
      <c r="E756" s="371"/>
      <c r="F756" s="371"/>
      <c r="G756" s="371"/>
      <c r="H756" s="371"/>
      <c r="I756" s="371"/>
      <c r="J756" s="371"/>
      <c r="K756" s="371"/>
      <c r="L756" s="371"/>
      <c r="M756" s="371"/>
      <c r="N756" s="371"/>
      <c r="O756" s="371"/>
      <c r="P756" s="371"/>
      <c r="Q756" s="371"/>
      <c r="R756" s="371"/>
      <c r="S756" s="371"/>
      <c r="T756" s="371"/>
      <c r="U756" s="371"/>
      <c r="V756" s="371"/>
      <c r="W756" s="371"/>
      <c r="X756" s="371"/>
      <c r="Y756" s="371"/>
      <c r="Z756" s="371"/>
    </row>
    <row r="757" ht="26.25" customHeight="1">
      <c r="A757" s="371"/>
      <c r="B757" s="1265"/>
      <c r="C757" s="371"/>
      <c r="D757" s="371"/>
      <c r="E757" s="371"/>
      <c r="F757" s="371"/>
      <c r="G757" s="371"/>
      <c r="H757" s="371"/>
      <c r="I757" s="371"/>
      <c r="J757" s="371"/>
      <c r="K757" s="371"/>
      <c r="L757" s="371"/>
      <c r="M757" s="371"/>
      <c r="N757" s="371"/>
      <c r="O757" s="371"/>
      <c r="P757" s="371"/>
      <c r="Q757" s="371"/>
      <c r="R757" s="371"/>
      <c r="S757" s="371"/>
      <c r="T757" s="371"/>
      <c r="U757" s="371"/>
      <c r="V757" s="371"/>
      <c r="W757" s="371"/>
      <c r="X757" s="371"/>
      <c r="Y757" s="371"/>
      <c r="Z757" s="371"/>
    </row>
    <row r="758" ht="26.25" customHeight="1">
      <c r="A758" s="371"/>
      <c r="B758" s="1265"/>
      <c r="C758" s="371"/>
      <c r="D758" s="371"/>
      <c r="E758" s="371"/>
      <c r="F758" s="371"/>
      <c r="G758" s="371"/>
      <c r="H758" s="371"/>
      <c r="I758" s="371"/>
      <c r="J758" s="371"/>
      <c r="K758" s="371"/>
      <c r="L758" s="371"/>
      <c r="M758" s="371"/>
      <c r="N758" s="371"/>
      <c r="O758" s="371"/>
      <c r="P758" s="371"/>
      <c r="Q758" s="371"/>
      <c r="R758" s="371"/>
      <c r="S758" s="371"/>
      <c r="T758" s="371"/>
      <c r="U758" s="371"/>
      <c r="V758" s="371"/>
      <c r="W758" s="371"/>
      <c r="X758" s="371"/>
      <c r="Y758" s="371"/>
      <c r="Z758" s="371"/>
    </row>
    <row r="759" ht="26.25" customHeight="1">
      <c r="A759" s="371"/>
      <c r="B759" s="1265"/>
      <c r="C759" s="371"/>
      <c r="D759" s="371"/>
      <c r="E759" s="371"/>
      <c r="F759" s="371"/>
      <c r="G759" s="371"/>
      <c r="H759" s="371"/>
      <c r="I759" s="371"/>
      <c r="J759" s="371"/>
      <c r="K759" s="371"/>
      <c r="L759" s="371"/>
      <c r="M759" s="371"/>
      <c r="N759" s="371"/>
      <c r="O759" s="371"/>
      <c r="P759" s="371"/>
      <c r="Q759" s="371"/>
      <c r="R759" s="371"/>
      <c r="S759" s="371"/>
      <c r="T759" s="371"/>
      <c r="U759" s="371"/>
      <c r="V759" s="371"/>
      <c r="W759" s="371"/>
      <c r="X759" s="371"/>
      <c r="Y759" s="371"/>
      <c r="Z759" s="371"/>
    </row>
    <row r="760" ht="26.25" customHeight="1">
      <c r="A760" s="371"/>
      <c r="B760" s="1265"/>
      <c r="C760" s="371"/>
      <c r="D760" s="371"/>
      <c r="E760" s="371"/>
      <c r="F760" s="371"/>
      <c r="G760" s="371"/>
      <c r="H760" s="371"/>
      <c r="I760" s="371"/>
      <c r="J760" s="371"/>
      <c r="K760" s="371"/>
      <c r="L760" s="371"/>
      <c r="M760" s="371"/>
      <c r="N760" s="371"/>
      <c r="O760" s="371"/>
      <c r="P760" s="371"/>
      <c r="Q760" s="371"/>
      <c r="R760" s="371"/>
      <c r="S760" s="371"/>
      <c r="T760" s="371"/>
      <c r="U760" s="371"/>
      <c r="V760" s="371"/>
      <c r="W760" s="371"/>
      <c r="X760" s="371"/>
      <c r="Y760" s="371"/>
      <c r="Z760" s="371"/>
    </row>
    <row r="761" ht="26.25" customHeight="1">
      <c r="A761" s="371"/>
      <c r="B761" s="1265"/>
      <c r="C761" s="371"/>
      <c r="D761" s="371"/>
      <c r="E761" s="371"/>
      <c r="F761" s="371"/>
      <c r="G761" s="371"/>
      <c r="H761" s="371"/>
      <c r="I761" s="371"/>
      <c r="J761" s="371"/>
      <c r="K761" s="371"/>
      <c r="L761" s="371"/>
      <c r="M761" s="371"/>
      <c r="N761" s="371"/>
      <c r="O761" s="371"/>
      <c r="P761" s="371"/>
      <c r="Q761" s="371"/>
      <c r="R761" s="371"/>
      <c r="S761" s="371"/>
      <c r="T761" s="371"/>
      <c r="U761" s="371"/>
      <c r="V761" s="371"/>
      <c r="W761" s="371"/>
      <c r="X761" s="371"/>
      <c r="Y761" s="371"/>
      <c r="Z761" s="371"/>
    </row>
    <row r="762" ht="26.25" customHeight="1">
      <c r="A762" s="371"/>
      <c r="B762" s="1265"/>
      <c r="C762" s="371"/>
      <c r="D762" s="371"/>
      <c r="E762" s="371"/>
      <c r="F762" s="371"/>
      <c r="G762" s="371"/>
      <c r="H762" s="371"/>
      <c r="I762" s="371"/>
      <c r="J762" s="371"/>
      <c r="K762" s="371"/>
      <c r="L762" s="371"/>
      <c r="M762" s="371"/>
      <c r="N762" s="371"/>
      <c r="O762" s="371"/>
      <c r="P762" s="371"/>
      <c r="Q762" s="371"/>
      <c r="R762" s="371"/>
      <c r="S762" s="371"/>
      <c r="T762" s="371"/>
      <c r="U762" s="371"/>
      <c r="V762" s="371"/>
      <c r="W762" s="371"/>
      <c r="X762" s="371"/>
      <c r="Y762" s="371"/>
      <c r="Z762" s="371"/>
    </row>
    <row r="763" ht="26.25" customHeight="1">
      <c r="A763" s="371"/>
      <c r="B763" s="1265"/>
      <c r="C763" s="371"/>
      <c r="D763" s="371"/>
      <c r="E763" s="371"/>
      <c r="F763" s="371"/>
      <c r="G763" s="371"/>
      <c r="H763" s="371"/>
      <c r="I763" s="371"/>
      <c r="J763" s="371"/>
      <c r="K763" s="371"/>
      <c r="L763" s="371"/>
      <c r="M763" s="371"/>
      <c r="N763" s="371"/>
      <c r="O763" s="371"/>
      <c r="P763" s="371"/>
      <c r="Q763" s="371"/>
      <c r="R763" s="371"/>
      <c r="S763" s="371"/>
      <c r="T763" s="371"/>
      <c r="U763" s="371"/>
      <c r="V763" s="371"/>
      <c r="W763" s="371"/>
      <c r="X763" s="371"/>
      <c r="Y763" s="371"/>
      <c r="Z763" s="371"/>
    </row>
    <row r="764" ht="26.25" customHeight="1">
      <c r="A764" s="371"/>
      <c r="B764" s="1265"/>
      <c r="C764" s="371"/>
      <c r="D764" s="371"/>
      <c r="E764" s="371"/>
      <c r="F764" s="371"/>
      <c r="G764" s="371"/>
      <c r="H764" s="371"/>
      <c r="I764" s="371"/>
      <c r="J764" s="371"/>
      <c r="K764" s="371"/>
      <c r="L764" s="371"/>
      <c r="M764" s="371"/>
      <c r="N764" s="371"/>
      <c r="O764" s="371"/>
      <c r="P764" s="371"/>
      <c r="Q764" s="371"/>
      <c r="R764" s="371"/>
      <c r="S764" s="371"/>
      <c r="T764" s="371"/>
      <c r="U764" s="371"/>
      <c r="V764" s="371"/>
      <c r="W764" s="371"/>
      <c r="X764" s="371"/>
      <c r="Y764" s="371"/>
      <c r="Z764" s="371"/>
    </row>
    <row r="765" ht="26.25" customHeight="1">
      <c r="A765" s="371"/>
      <c r="B765" s="1265"/>
      <c r="C765" s="371"/>
      <c r="D765" s="371"/>
      <c r="E765" s="371"/>
      <c r="F765" s="371"/>
      <c r="G765" s="371"/>
      <c r="H765" s="371"/>
      <c r="I765" s="371"/>
      <c r="J765" s="371"/>
      <c r="K765" s="371"/>
      <c r="L765" s="371"/>
      <c r="M765" s="371"/>
      <c r="N765" s="371"/>
      <c r="O765" s="371"/>
      <c r="P765" s="371"/>
      <c r="Q765" s="371"/>
      <c r="R765" s="371"/>
      <c r="S765" s="371"/>
      <c r="T765" s="371"/>
      <c r="U765" s="371"/>
      <c r="V765" s="371"/>
      <c r="W765" s="371"/>
      <c r="X765" s="371"/>
      <c r="Y765" s="371"/>
      <c r="Z765" s="371"/>
    </row>
    <row r="766" ht="26.25" customHeight="1">
      <c r="A766" s="371"/>
      <c r="B766" s="1265"/>
      <c r="C766" s="371"/>
      <c r="D766" s="371"/>
      <c r="E766" s="371"/>
      <c r="F766" s="371"/>
      <c r="G766" s="371"/>
      <c r="H766" s="371"/>
      <c r="I766" s="371"/>
      <c r="J766" s="371"/>
      <c r="K766" s="371"/>
      <c r="L766" s="371"/>
      <c r="M766" s="371"/>
      <c r="N766" s="371"/>
      <c r="O766" s="371"/>
      <c r="P766" s="371"/>
      <c r="Q766" s="371"/>
      <c r="R766" s="371"/>
      <c r="S766" s="371"/>
      <c r="T766" s="371"/>
      <c r="U766" s="371"/>
      <c r="V766" s="371"/>
      <c r="W766" s="371"/>
      <c r="X766" s="371"/>
      <c r="Y766" s="371"/>
      <c r="Z766" s="371"/>
    </row>
    <row r="767" ht="26.25" customHeight="1">
      <c r="A767" s="371"/>
      <c r="B767" s="1265"/>
      <c r="C767" s="371"/>
      <c r="D767" s="371"/>
      <c r="E767" s="371"/>
      <c r="F767" s="371"/>
      <c r="G767" s="371"/>
      <c r="H767" s="371"/>
      <c r="I767" s="371"/>
      <c r="J767" s="371"/>
      <c r="K767" s="371"/>
      <c r="L767" s="371"/>
      <c r="M767" s="371"/>
      <c r="N767" s="371"/>
      <c r="O767" s="371"/>
      <c r="P767" s="371"/>
      <c r="Q767" s="371"/>
      <c r="R767" s="371"/>
      <c r="S767" s="371"/>
      <c r="T767" s="371"/>
      <c r="U767" s="371"/>
      <c r="V767" s="371"/>
      <c r="W767" s="371"/>
      <c r="X767" s="371"/>
      <c r="Y767" s="371"/>
      <c r="Z767" s="371"/>
    </row>
    <row r="768" ht="26.25" customHeight="1">
      <c r="A768" s="371"/>
      <c r="B768" s="1265"/>
      <c r="C768" s="371"/>
      <c r="D768" s="371"/>
      <c r="E768" s="371"/>
      <c r="F768" s="371"/>
      <c r="G768" s="371"/>
      <c r="H768" s="371"/>
      <c r="I768" s="371"/>
      <c r="J768" s="371"/>
      <c r="K768" s="371"/>
      <c r="L768" s="371"/>
      <c r="M768" s="371"/>
      <c r="N768" s="371"/>
      <c r="O768" s="371"/>
      <c r="P768" s="371"/>
      <c r="Q768" s="371"/>
      <c r="R768" s="371"/>
      <c r="S768" s="371"/>
      <c r="T768" s="371"/>
      <c r="U768" s="371"/>
      <c r="V768" s="371"/>
      <c r="W768" s="371"/>
      <c r="X768" s="371"/>
      <c r="Y768" s="371"/>
      <c r="Z768" s="371"/>
    </row>
    <row r="769" ht="26.25" customHeight="1">
      <c r="A769" s="371"/>
      <c r="B769" s="1265"/>
      <c r="C769" s="371"/>
      <c r="D769" s="371"/>
      <c r="E769" s="371"/>
      <c r="F769" s="371"/>
      <c r="G769" s="371"/>
      <c r="H769" s="371"/>
      <c r="I769" s="371"/>
      <c r="J769" s="371"/>
      <c r="K769" s="371"/>
      <c r="L769" s="371"/>
      <c r="M769" s="371"/>
      <c r="N769" s="371"/>
      <c r="O769" s="371"/>
      <c r="P769" s="371"/>
      <c r="Q769" s="371"/>
      <c r="R769" s="371"/>
      <c r="S769" s="371"/>
      <c r="T769" s="371"/>
      <c r="U769" s="371"/>
      <c r="V769" s="371"/>
      <c r="W769" s="371"/>
      <c r="X769" s="371"/>
      <c r="Y769" s="371"/>
      <c r="Z769" s="371"/>
    </row>
    <row r="770" ht="26.25" customHeight="1">
      <c r="A770" s="371"/>
      <c r="B770" s="1265"/>
      <c r="C770" s="371"/>
      <c r="D770" s="371"/>
      <c r="E770" s="371"/>
      <c r="F770" s="371"/>
      <c r="G770" s="371"/>
      <c r="H770" s="371"/>
      <c r="I770" s="371"/>
      <c r="J770" s="371"/>
      <c r="K770" s="371"/>
      <c r="L770" s="371"/>
      <c r="M770" s="371"/>
      <c r="N770" s="371"/>
      <c r="O770" s="371"/>
      <c r="P770" s="371"/>
      <c r="Q770" s="371"/>
      <c r="R770" s="371"/>
      <c r="S770" s="371"/>
      <c r="T770" s="371"/>
      <c r="U770" s="371"/>
      <c r="V770" s="371"/>
      <c r="W770" s="371"/>
      <c r="X770" s="371"/>
      <c r="Y770" s="371"/>
      <c r="Z770" s="371"/>
    </row>
    <row r="771" ht="26.25" customHeight="1">
      <c r="A771" s="371"/>
      <c r="B771" s="1265"/>
      <c r="C771" s="371"/>
      <c r="D771" s="371"/>
      <c r="E771" s="371"/>
      <c r="F771" s="371"/>
      <c r="G771" s="371"/>
      <c r="H771" s="371"/>
      <c r="I771" s="371"/>
      <c r="J771" s="371"/>
      <c r="K771" s="371"/>
      <c r="L771" s="371"/>
      <c r="M771" s="371"/>
      <c r="N771" s="371"/>
      <c r="O771" s="371"/>
      <c r="P771" s="371"/>
      <c r="Q771" s="371"/>
      <c r="R771" s="371"/>
      <c r="S771" s="371"/>
      <c r="T771" s="371"/>
      <c r="U771" s="371"/>
      <c r="V771" s="371"/>
      <c r="W771" s="371"/>
      <c r="X771" s="371"/>
      <c r="Y771" s="371"/>
      <c r="Z771" s="371"/>
    </row>
    <row r="772" ht="26.25" customHeight="1">
      <c r="A772" s="371"/>
      <c r="B772" s="1265"/>
      <c r="C772" s="371"/>
      <c r="D772" s="371"/>
      <c r="E772" s="371"/>
      <c r="F772" s="371"/>
      <c r="G772" s="371"/>
      <c r="H772" s="371"/>
      <c r="I772" s="371"/>
      <c r="J772" s="371"/>
      <c r="K772" s="371"/>
      <c r="L772" s="371"/>
      <c r="M772" s="371"/>
      <c r="N772" s="371"/>
      <c r="O772" s="371"/>
      <c r="P772" s="371"/>
      <c r="Q772" s="371"/>
      <c r="R772" s="371"/>
      <c r="S772" s="371"/>
      <c r="T772" s="371"/>
      <c r="U772" s="371"/>
      <c r="V772" s="371"/>
      <c r="W772" s="371"/>
      <c r="X772" s="371"/>
      <c r="Y772" s="371"/>
      <c r="Z772" s="371"/>
    </row>
    <row r="773" ht="26.25" customHeight="1">
      <c r="A773" s="371"/>
      <c r="B773" s="1265"/>
      <c r="C773" s="371"/>
      <c r="D773" s="371"/>
      <c r="E773" s="371"/>
      <c r="F773" s="371"/>
      <c r="G773" s="371"/>
      <c r="H773" s="371"/>
      <c r="I773" s="371"/>
      <c r="J773" s="371"/>
      <c r="K773" s="371"/>
      <c r="L773" s="371"/>
      <c r="M773" s="371"/>
      <c r="N773" s="371"/>
      <c r="O773" s="371"/>
      <c r="P773" s="371"/>
      <c r="Q773" s="371"/>
      <c r="R773" s="371"/>
      <c r="S773" s="371"/>
      <c r="T773" s="371"/>
      <c r="U773" s="371"/>
      <c r="V773" s="371"/>
      <c r="W773" s="371"/>
      <c r="X773" s="371"/>
      <c r="Y773" s="371"/>
      <c r="Z773" s="371"/>
    </row>
    <row r="774" ht="26.25" customHeight="1">
      <c r="A774" s="371"/>
      <c r="B774" s="1265"/>
      <c r="C774" s="371"/>
      <c r="D774" s="371"/>
      <c r="E774" s="371"/>
      <c r="F774" s="371"/>
      <c r="G774" s="371"/>
      <c r="H774" s="371"/>
      <c r="I774" s="371"/>
      <c r="J774" s="371"/>
      <c r="K774" s="371"/>
      <c r="L774" s="371"/>
      <c r="M774" s="371"/>
      <c r="N774" s="371"/>
      <c r="O774" s="371"/>
      <c r="P774" s="371"/>
      <c r="Q774" s="371"/>
      <c r="R774" s="371"/>
      <c r="S774" s="371"/>
      <c r="T774" s="371"/>
      <c r="U774" s="371"/>
      <c r="V774" s="371"/>
      <c r="W774" s="371"/>
      <c r="X774" s="371"/>
      <c r="Y774" s="371"/>
      <c r="Z774" s="371"/>
    </row>
    <row r="775" ht="26.25" customHeight="1">
      <c r="A775" s="371"/>
      <c r="B775" s="1265"/>
      <c r="C775" s="371"/>
      <c r="D775" s="371"/>
      <c r="E775" s="371"/>
      <c r="F775" s="371"/>
      <c r="G775" s="371"/>
      <c r="H775" s="371"/>
      <c r="I775" s="371"/>
      <c r="J775" s="371"/>
      <c r="K775" s="371"/>
      <c r="L775" s="371"/>
      <c r="M775" s="371"/>
      <c r="N775" s="371"/>
      <c r="O775" s="371"/>
      <c r="P775" s="371"/>
      <c r="Q775" s="371"/>
      <c r="R775" s="371"/>
      <c r="S775" s="371"/>
      <c r="T775" s="371"/>
      <c r="U775" s="371"/>
      <c r="V775" s="371"/>
      <c r="W775" s="371"/>
      <c r="X775" s="371"/>
      <c r="Y775" s="371"/>
      <c r="Z775" s="371"/>
    </row>
    <row r="776" ht="26.25" customHeight="1">
      <c r="A776" s="371"/>
      <c r="B776" s="1265"/>
      <c r="C776" s="371"/>
      <c r="D776" s="371"/>
      <c r="E776" s="371"/>
      <c r="F776" s="371"/>
      <c r="G776" s="371"/>
      <c r="H776" s="371"/>
      <c r="I776" s="371"/>
      <c r="J776" s="371"/>
      <c r="K776" s="371"/>
      <c r="L776" s="371"/>
      <c r="M776" s="371"/>
      <c r="N776" s="371"/>
      <c r="O776" s="371"/>
      <c r="P776" s="371"/>
      <c r="Q776" s="371"/>
      <c r="R776" s="371"/>
      <c r="S776" s="371"/>
      <c r="T776" s="371"/>
      <c r="U776" s="371"/>
      <c r="V776" s="371"/>
      <c r="W776" s="371"/>
      <c r="X776" s="371"/>
      <c r="Y776" s="371"/>
      <c r="Z776" s="371"/>
    </row>
    <row r="777" ht="26.25" customHeight="1">
      <c r="A777" s="371"/>
      <c r="B777" s="1265"/>
      <c r="C777" s="371"/>
      <c r="D777" s="371"/>
      <c r="E777" s="371"/>
      <c r="F777" s="371"/>
      <c r="G777" s="371"/>
      <c r="H777" s="371"/>
      <c r="I777" s="371"/>
      <c r="J777" s="371"/>
      <c r="K777" s="371"/>
      <c r="L777" s="371"/>
      <c r="M777" s="371"/>
      <c r="N777" s="371"/>
      <c r="O777" s="371"/>
      <c r="P777" s="371"/>
      <c r="Q777" s="371"/>
      <c r="R777" s="371"/>
      <c r="S777" s="371"/>
      <c r="T777" s="371"/>
      <c r="U777" s="371"/>
      <c r="V777" s="371"/>
      <c r="W777" s="371"/>
      <c r="X777" s="371"/>
      <c r="Y777" s="371"/>
      <c r="Z777" s="371"/>
    </row>
    <row r="778" ht="26.25" customHeight="1">
      <c r="A778" s="371"/>
      <c r="B778" s="1265"/>
      <c r="C778" s="371"/>
      <c r="D778" s="371"/>
      <c r="E778" s="371"/>
      <c r="F778" s="371"/>
      <c r="G778" s="371"/>
      <c r="H778" s="371"/>
      <c r="I778" s="371"/>
      <c r="J778" s="371"/>
      <c r="K778" s="371"/>
      <c r="L778" s="371"/>
      <c r="M778" s="371"/>
      <c r="N778" s="371"/>
      <c r="O778" s="371"/>
      <c r="P778" s="371"/>
      <c r="Q778" s="371"/>
      <c r="R778" s="371"/>
      <c r="S778" s="371"/>
      <c r="T778" s="371"/>
      <c r="U778" s="371"/>
      <c r="V778" s="371"/>
      <c r="W778" s="371"/>
      <c r="X778" s="371"/>
      <c r="Y778" s="371"/>
      <c r="Z778" s="371"/>
    </row>
    <row r="779" ht="26.25" customHeight="1">
      <c r="A779" s="371"/>
      <c r="B779" s="1265"/>
      <c r="C779" s="371"/>
      <c r="D779" s="371"/>
      <c r="E779" s="371"/>
      <c r="F779" s="371"/>
      <c r="G779" s="371"/>
      <c r="H779" s="371"/>
      <c r="I779" s="371"/>
      <c r="J779" s="371"/>
      <c r="K779" s="371"/>
      <c r="L779" s="371"/>
      <c r="M779" s="371"/>
      <c r="N779" s="371"/>
      <c r="O779" s="371"/>
      <c r="P779" s="371"/>
      <c r="Q779" s="371"/>
      <c r="R779" s="371"/>
      <c r="S779" s="371"/>
      <c r="T779" s="371"/>
      <c r="U779" s="371"/>
      <c r="V779" s="371"/>
      <c r="W779" s="371"/>
      <c r="X779" s="371"/>
      <c r="Y779" s="371"/>
      <c r="Z779" s="371"/>
    </row>
    <row r="780" ht="26.25" customHeight="1">
      <c r="A780" s="371"/>
      <c r="B780" s="1265"/>
      <c r="C780" s="371"/>
      <c r="D780" s="371"/>
      <c r="E780" s="371"/>
      <c r="F780" s="371"/>
      <c r="G780" s="371"/>
      <c r="H780" s="371"/>
      <c r="I780" s="371"/>
      <c r="J780" s="371"/>
      <c r="K780" s="371"/>
      <c r="L780" s="371"/>
      <c r="M780" s="371"/>
      <c r="N780" s="371"/>
      <c r="O780" s="371"/>
      <c r="P780" s="371"/>
      <c r="Q780" s="371"/>
      <c r="R780" s="371"/>
      <c r="S780" s="371"/>
      <c r="T780" s="371"/>
      <c r="U780" s="371"/>
      <c r="V780" s="371"/>
      <c r="W780" s="371"/>
      <c r="X780" s="371"/>
      <c r="Y780" s="371"/>
      <c r="Z780" s="371"/>
    </row>
    <row r="781" ht="26.25" customHeight="1">
      <c r="A781" s="371"/>
      <c r="B781" s="1265"/>
      <c r="C781" s="371"/>
      <c r="D781" s="371"/>
      <c r="E781" s="371"/>
      <c r="F781" s="371"/>
      <c r="G781" s="371"/>
      <c r="H781" s="371"/>
      <c r="I781" s="371"/>
      <c r="J781" s="371"/>
      <c r="K781" s="371"/>
      <c r="L781" s="371"/>
      <c r="M781" s="371"/>
      <c r="N781" s="371"/>
      <c r="O781" s="371"/>
      <c r="P781" s="371"/>
      <c r="Q781" s="371"/>
      <c r="R781" s="371"/>
      <c r="S781" s="371"/>
      <c r="T781" s="371"/>
      <c r="U781" s="371"/>
      <c r="V781" s="371"/>
      <c r="W781" s="371"/>
      <c r="X781" s="371"/>
      <c r="Y781" s="371"/>
      <c r="Z781" s="371"/>
    </row>
    <row r="782" ht="26.25" customHeight="1">
      <c r="A782" s="371"/>
      <c r="B782" s="1265"/>
      <c r="C782" s="371"/>
      <c r="D782" s="371"/>
      <c r="E782" s="371"/>
      <c r="F782" s="371"/>
      <c r="G782" s="371"/>
      <c r="H782" s="371"/>
      <c r="I782" s="371"/>
      <c r="J782" s="371"/>
      <c r="K782" s="371"/>
      <c r="L782" s="371"/>
      <c r="M782" s="371"/>
      <c r="N782" s="371"/>
      <c r="O782" s="371"/>
      <c r="P782" s="371"/>
      <c r="Q782" s="371"/>
      <c r="R782" s="371"/>
      <c r="S782" s="371"/>
      <c r="T782" s="371"/>
      <c r="U782" s="371"/>
      <c r="V782" s="371"/>
      <c r="W782" s="371"/>
      <c r="X782" s="371"/>
      <c r="Y782" s="371"/>
      <c r="Z782" s="371"/>
    </row>
    <row r="783" ht="26.25" customHeight="1">
      <c r="A783" s="371"/>
      <c r="B783" s="1265"/>
      <c r="C783" s="371"/>
      <c r="D783" s="371"/>
      <c r="E783" s="371"/>
      <c r="F783" s="371"/>
      <c r="G783" s="371"/>
      <c r="H783" s="371"/>
      <c r="I783" s="371"/>
      <c r="J783" s="371"/>
      <c r="K783" s="371"/>
      <c r="L783" s="371"/>
      <c r="M783" s="371"/>
      <c r="N783" s="371"/>
      <c r="O783" s="371"/>
      <c r="P783" s="371"/>
      <c r="Q783" s="371"/>
      <c r="R783" s="371"/>
      <c r="S783" s="371"/>
      <c r="T783" s="371"/>
      <c r="U783" s="371"/>
      <c r="V783" s="371"/>
      <c r="W783" s="371"/>
      <c r="X783" s="371"/>
      <c r="Y783" s="371"/>
      <c r="Z783" s="371"/>
    </row>
    <row r="784" ht="26.25" customHeight="1">
      <c r="A784" s="371"/>
      <c r="B784" s="1265"/>
      <c r="C784" s="371"/>
      <c r="D784" s="371"/>
      <c r="E784" s="371"/>
      <c r="F784" s="371"/>
      <c r="G784" s="371"/>
      <c r="H784" s="371"/>
      <c r="I784" s="371"/>
      <c r="J784" s="371"/>
      <c r="K784" s="371"/>
      <c r="L784" s="371"/>
      <c r="M784" s="371"/>
      <c r="N784" s="371"/>
      <c r="O784" s="371"/>
      <c r="P784" s="371"/>
      <c r="Q784" s="371"/>
      <c r="R784" s="371"/>
      <c r="S784" s="371"/>
      <c r="T784" s="371"/>
      <c r="U784" s="371"/>
      <c r="V784" s="371"/>
      <c r="W784" s="371"/>
      <c r="X784" s="371"/>
      <c r="Y784" s="371"/>
      <c r="Z784" s="371"/>
    </row>
    <row r="785" ht="26.25" customHeight="1">
      <c r="A785" s="371"/>
      <c r="B785" s="1265"/>
      <c r="C785" s="371"/>
      <c r="D785" s="371"/>
      <c r="E785" s="371"/>
      <c r="F785" s="371"/>
      <c r="G785" s="371"/>
      <c r="H785" s="371"/>
      <c r="I785" s="371"/>
      <c r="J785" s="371"/>
      <c r="K785" s="371"/>
      <c r="L785" s="371"/>
      <c r="M785" s="371"/>
      <c r="N785" s="371"/>
      <c r="O785" s="371"/>
      <c r="P785" s="371"/>
      <c r="Q785" s="371"/>
      <c r="R785" s="371"/>
      <c r="S785" s="371"/>
      <c r="T785" s="371"/>
      <c r="U785" s="371"/>
      <c r="V785" s="371"/>
      <c r="W785" s="371"/>
      <c r="X785" s="371"/>
      <c r="Y785" s="371"/>
      <c r="Z785" s="371"/>
    </row>
    <row r="786" ht="26.25" customHeight="1">
      <c r="A786" s="371"/>
      <c r="B786" s="1265"/>
      <c r="C786" s="371"/>
      <c r="D786" s="371"/>
      <c r="E786" s="371"/>
      <c r="F786" s="371"/>
      <c r="G786" s="371"/>
      <c r="H786" s="371"/>
      <c r="I786" s="371"/>
      <c r="J786" s="371"/>
      <c r="K786" s="371"/>
      <c r="L786" s="371"/>
      <c r="M786" s="371"/>
      <c r="N786" s="371"/>
      <c r="O786" s="371"/>
      <c r="P786" s="371"/>
      <c r="Q786" s="371"/>
      <c r="R786" s="371"/>
      <c r="S786" s="371"/>
      <c r="T786" s="371"/>
      <c r="U786" s="371"/>
      <c r="V786" s="371"/>
      <c r="W786" s="371"/>
      <c r="X786" s="371"/>
      <c r="Y786" s="371"/>
      <c r="Z786" s="371"/>
    </row>
    <row r="787" ht="26.25" customHeight="1">
      <c r="A787" s="371"/>
      <c r="B787" s="1265"/>
      <c r="C787" s="371"/>
      <c r="D787" s="371"/>
      <c r="E787" s="371"/>
      <c r="F787" s="371"/>
      <c r="G787" s="371"/>
      <c r="H787" s="371"/>
      <c r="I787" s="371"/>
      <c r="J787" s="371"/>
      <c r="K787" s="371"/>
      <c r="L787" s="371"/>
      <c r="M787" s="371"/>
      <c r="N787" s="371"/>
      <c r="O787" s="371"/>
      <c r="P787" s="371"/>
      <c r="Q787" s="371"/>
      <c r="R787" s="371"/>
      <c r="S787" s="371"/>
      <c r="T787" s="371"/>
      <c r="U787" s="371"/>
      <c r="V787" s="371"/>
      <c r="W787" s="371"/>
      <c r="X787" s="371"/>
      <c r="Y787" s="371"/>
      <c r="Z787" s="371"/>
    </row>
    <row r="788" ht="26.25" customHeight="1">
      <c r="A788" s="371"/>
      <c r="B788" s="1265"/>
      <c r="C788" s="371"/>
      <c r="D788" s="371"/>
      <c r="E788" s="371"/>
      <c r="F788" s="371"/>
      <c r="G788" s="371"/>
      <c r="H788" s="371"/>
      <c r="I788" s="371"/>
      <c r="J788" s="371"/>
      <c r="K788" s="371"/>
      <c r="L788" s="371"/>
      <c r="M788" s="371"/>
      <c r="N788" s="371"/>
      <c r="O788" s="371"/>
      <c r="P788" s="371"/>
      <c r="Q788" s="371"/>
      <c r="R788" s="371"/>
      <c r="S788" s="371"/>
      <c r="T788" s="371"/>
      <c r="U788" s="371"/>
      <c r="V788" s="371"/>
      <c r="W788" s="371"/>
      <c r="X788" s="371"/>
      <c r="Y788" s="371"/>
      <c r="Z788" s="371"/>
    </row>
    <row r="789" ht="26.25" customHeight="1">
      <c r="A789" s="371"/>
      <c r="B789" s="1265"/>
      <c r="C789" s="371"/>
      <c r="D789" s="371"/>
      <c r="E789" s="371"/>
      <c r="F789" s="371"/>
      <c r="G789" s="371"/>
      <c r="H789" s="371"/>
      <c r="I789" s="371"/>
      <c r="J789" s="371"/>
      <c r="K789" s="371"/>
      <c r="L789" s="371"/>
      <c r="M789" s="371"/>
      <c r="N789" s="371"/>
      <c r="O789" s="371"/>
      <c r="P789" s="371"/>
      <c r="Q789" s="371"/>
      <c r="R789" s="371"/>
      <c r="S789" s="371"/>
      <c r="T789" s="371"/>
      <c r="U789" s="371"/>
      <c r="V789" s="371"/>
      <c r="W789" s="371"/>
      <c r="X789" s="371"/>
      <c r="Y789" s="371"/>
      <c r="Z789" s="371"/>
    </row>
    <row r="790" ht="26.25" customHeight="1">
      <c r="A790" s="371"/>
      <c r="B790" s="1265"/>
      <c r="C790" s="371"/>
      <c r="D790" s="371"/>
      <c r="E790" s="371"/>
      <c r="F790" s="371"/>
      <c r="G790" s="371"/>
      <c r="H790" s="371"/>
      <c r="I790" s="371"/>
      <c r="J790" s="371"/>
      <c r="K790" s="371"/>
      <c r="L790" s="371"/>
      <c r="M790" s="371"/>
      <c r="N790" s="371"/>
      <c r="O790" s="371"/>
      <c r="P790" s="371"/>
      <c r="Q790" s="371"/>
      <c r="R790" s="371"/>
      <c r="S790" s="371"/>
      <c r="T790" s="371"/>
      <c r="U790" s="371"/>
      <c r="V790" s="371"/>
      <c r="W790" s="371"/>
      <c r="X790" s="371"/>
      <c r="Y790" s="371"/>
      <c r="Z790" s="371"/>
    </row>
    <row r="791" ht="26.25" customHeight="1">
      <c r="A791" s="371"/>
      <c r="B791" s="1265"/>
      <c r="C791" s="371"/>
      <c r="D791" s="371"/>
      <c r="E791" s="371"/>
      <c r="F791" s="371"/>
      <c r="G791" s="371"/>
      <c r="H791" s="371"/>
      <c r="I791" s="371"/>
      <c r="J791" s="371"/>
      <c r="K791" s="371"/>
      <c r="L791" s="371"/>
      <c r="M791" s="371"/>
      <c r="N791" s="371"/>
      <c r="O791" s="371"/>
      <c r="P791" s="371"/>
      <c r="Q791" s="371"/>
      <c r="R791" s="371"/>
      <c r="S791" s="371"/>
      <c r="T791" s="371"/>
      <c r="U791" s="371"/>
      <c r="V791" s="371"/>
      <c r="W791" s="371"/>
      <c r="X791" s="371"/>
      <c r="Y791" s="371"/>
      <c r="Z791" s="371"/>
    </row>
    <row r="792" ht="26.25" customHeight="1">
      <c r="A792" s="371"/>
      <c r="B792" s="1265"/>
      <c r="C792" s="371"/>
      <c r="D792" s="371"/>
      <c r="E792" s="371"/>
      <c r="F792" s="371"/>
      <c r="G792" s="371"/>
      <c r="H792" s="371"/>
      <c r="I792" s="371"/>
      <c r="J792" s="371"/>
      <c r="K792" s="371"/>
      <c r="L792" s="371"/>
      <c r="M792" s="371"/>
      <c r="N792" s="371"/>
      <c r="O792" s="371"/>
      <c r="P792" s="371"/>
      <c r="Q792" s="371"/>
      <c r="R792" s="371"/>
      <c r="S792" s="371"/>
      <c r="T792" s="371"/>
      <c r="U792" s="371"/>
      <c r="V792" s="371"/>
      <c r="W792" s="371"/>
      <c r="X792" s="371"/>
      <c r="Y792" s="371"/>
      <c r="Z792" s="371"/>
    </row>
    <row r="793" ht="26.25" customHeight="1">
      <c r="A793" s="371"/>
      <c r="B793" s="1265"/>
      <c r="C793" s="371"/>
      <c r="D793" s="371"/>
      <c r="E793" s="371"/>
      <c r="F793" s="371"/>
      <c r="G793" s="371"/>
      <c r="H793" s="371"/>
      <c r="I793" s="371"/>
      <c r="J793" s="371"/>
      <c r="K793" s="371"/>
      <c r="L793" s="371"/>
      <c r="M793" s="371"/>
      <c r="N793" s="371"/>
      <c r="O793" s="371"/>
      <c r="P793" s="371"/>
      <c r="Q793" s="371"/>
      <c r="R793" s="371"/>
      <c r="S793" s="371"/>
      <c r="T793" s="371"/>
      <c r="U793" s="371"/>
      <c r="V793" s="371"/>
      <c r="W793" s="371"/>
      <c r="X793" s="371"/>
      <c r="Y793" s="371"/>
      <c r="Z793" s="371"/>
    </row>
    <row r="794" ht="26.25" customHeight="1">
      <c r="A794" s="371"/>
      <c r="B794" s="1265"/>
      <c r="C794" s="371"/>
      <c r="D794" s="371"/>
      <c r="E794" s="371"/>
      <c r="F794" s="371"/>
      <c r="G794" s="371"/>
      <c r="H794" s="371"/>
      <c r="I794" s="371"/>
      <c r="J794" s="371"/>
      <c r="K794" s="371"/>
      <c r="L794" s="371"/>
      <c r="M794" s="371"/>
      <c r="N794" s="371"/>
      <c r="O794" s="371"/>
      <c r="P794" s="371"/>
      <c r="Q794" s="371"/>
      <c r="R794" s="371"/>
      <c r="S794" s="371"/>
      <c r="T794" s="371"/>
      <c r="U794" s="371"/>
      <c r="V794" s="371"/>
      <c r="W794" s="371"/>
      <c r="X794" s="371"/>
      <c r="Y794" s="371"/>
      <c r="Z794" s="371"/>
    </row>
    <row r="795" ht="26.25" customHeight="1">
      <c r="A795" s="371"/>
      <c r="B795" s="1265"/>
      <c r="C795" s="371"/>
      <c r="D795" s="371"/>
      <c r="E795" s="371"/>
      <c r="F795" s="371"/>
      <c r="G795" s="371"/>
      <c r="H795" s="371"/>
      <c r="I795" s="371"/>
      <c r="J795" s="371"/>
      <c r="K795" s="371"/>
      <c r="L795" s="371"/>
      <c r="M795" s="371"/>
      <c r="N795" s="371"/>
      <c r="O795" s="371"/>
      <c r="P795" s="371"/>
      <c r="Q795" s="371"/>
      <c r="R795" s="371"/>
      <c r="S795" s="371"/>
      <c r="T795" s="371"/>
      <c r="U795" s="371"/>
      <c r="V795" s="371"/>
      <c r="W795" s="371"/>
      <c r="X795" s="371"/>
      <c r="Y795" s="371"/>
      <c r="Z795" s="371"/>
    </row>
    <row r="796" ht="26.25" customHeight="1">
      <c r="A796" s="371"/>
      <c r="B796" s="1265"/>
      <c r="C796" s="371"/>
      <c r="D796" s="371"/>
      <c r="E796" s="371"/>
      <c r="F796" s="371"/>
      <c r="G796" s="371"/>
      <c r="H796" s="371"/>
      <c r="I796" s="371"/>
      <c r="J796" s="371"/>
      <c r="K796" s="371"/>
      <c r="L796" s="371"/>
      <c r="M796" s="371"/>
      <c r="N796" s="371"/>
      <c r="O796" s="371"/>
      <c r="P796" s="371"/>
      <c r="Q796" s="371"/>
      <c r="R796" s="371"/>
      <c r="S796" s="371"/>
      <c r="T796" s="371"/>
      <c r="U796" s="371"/>
      <c r="V796" s="371"/>
      <c r="W796" s="371"/>
      <c r="X796" s="371"/>
      <c r="Y796" s="371"/>
      <c r="Z796" s="371"/>
    </row>
    <row r="797" ht="26.25" customHeight="1">
      <c r="A797" s="371"/>
      <c r="B797" s="1265"/>
      <c r="C797" s="371"/>
      <c r="D797" s="371"/>
      <c r="E797" s="371"/>
      <c r="F797" s="371"/>
      <c r="G797" s="371"/>
      <c r="H797" s="371"/>
      <c r="I797" s="371"/>
      <c r="J797" s="371"/>
      <c r="K797" s="371"/>
      <c r="L797" s="371"/>
      <c r="M797" s="371"/>
      <c r="N797" s="371"/>
      <c r="O797" s="371"/>
      <c r="P797" s="371"/>
      <c r="Q797" s="371"/>
      <c r="R797" s="371"/>
      <c r="S797" s="371"/>
      <c r="T797" s="371"/>
      <c r="U797" s="371"/>
      <c r="V797" s="371"/>
      <c r="W797" s="371"/>
      <c r="X797" s="371"/>
      <c r="Y797" s="371"/>
      <c r="Z797" s="371"/>
    </row>
    <row r="798" ht="26.25" customHeight="1">
      <c r="A798" s="371"/>
      <c r="B798" s="1265"/>
      <c r="C798" s="371"/>
      <c r="D798" s="371"/>
      <c r="E798" s="371"/>
      <c r="F798" s="371"/>
      <c r="G798" s="371"/>
      <c r="H798" s="371"/>
      <c r="I798" s="371"/>
      <c r="J798" s="371"/>
      <c r="K798" s="371"/>
      <c r="L798" s="371"/>
      <c r="M798" s="371"/>
      <c r="N798" s="371"/>
      <c r="O798" s="371"/>
      <c r="P798" s="371"/>
      <c r="Q798" s="371"/>
      <c r="R798" s="371"/>
      <c r="S798" s="371"/>
      <c r="T798" s="371"/>
      <c r="U798" s="371"/>
      <c r="V798" s="371"/>
      <c r="W798" s="371"/>
      <c r="X798" s="371"/>
      <c r="Y798" s="371"/>
      <c r="Z798" s="371"/>
    </row>
    <row r="799" ht="26.25" customHeight="1">
      <c r="A799" s="371"/>
      <c r="B799" s="1265"/>
      <c r="C799" s="371"/>
      <c r="D799" s="371"/>
      <c r="E799" s="371"/>
      <c r="F799" s="371"/>
      <c r="G799" s="371"/>
      <c r="H799" s="371"/>
      <c r="I799" s="371"/>
      <c r="J799" s="371"/>
      <c r="K799" s="371"/>
      <c r="L799" s="371"/>
      <c r="M799" s="371"/>
      <c r="N799" s="371"/>
      <c r="O799" s="371"/>
      <c r="P799" s="371"/>
      <c r="Q799" s="371"/>
      <c r="R799" s="371"/>
      <c r="S799" s="371"/>
      <c r="T799" s="371"/>
      <c r="U799" s="371"/>
      <c r="V799" s="371"/>
      <c r="W799" s="371"/>
      <c r="X799" s="371"/>
      <c r="Y799" s="371"/>
      <c r="Z799" s="371"/>
    </row>
    <row r="800" ht="26.25" customHeight="1">
      <c r="A800" s="371"/>
      <c r="B800" s="1265"/>
      <c r="C800" s="371"/>
      <c r="D800" s="371"/>
      <c r="E800" s="371"/>
      <c r="F800" s="371"/>
      <c r="G800" s="371"/>
      <c r="H800" s="371"/>
      <c r="I800" s="371"/>
      <c r="J800" s="371"/>
      <c r="K800" s="371"/>
      <c r="L800" s="371"/>
      <c r="M800" s="371"/>
      <c r="N800" s="371"/>
      <c r="O800" s="371"/>
      <c r="P800" s="371"/>
      <c r="Q800" s="371"/>
      <c r="R800" s="371"/>
      <c r="S800" s="371"/>
      <c r="T800" s="371"/>
      <c r="U800" s="371"/>
      <c r="V800" s="371"/>
      <c r="W800" s="371"/>
      <c r="X800" s="371"/>
      <c r="Y800" s="371"/>
      <c r="Z800" s="371"/>
    </row>
    <row r="801" ht="26.25" customHeight="1">
      <c r="A801" s="371"/>
      <c r="B801" s="1265"/>
      <c r="C801" s="371"/>
      <c r="D801" s="371"/>
      <c r="E801" s="371"/>
      <c r="F801" s="371"/>
      <c r="G801" s="371"/>
      <c r="H801" s="371"/>
      <c r="I801" s="371"/>
      <c r="J801" s="371"/>
      <c r="K801" s="371"/>
      <c r="L801" s="371"/>
      <c r="M801" s="371"/>
      <c r="N801" s="371"/>
      <c r="O801" s="371"/>
      <c r="P801" s="371"/>
      <c r="Q801" s="371"/>
      <c r="R801" s="371"/>
      <c r="S801" s="371"/>
      <c r="T801" s="371"/>
      <c r="U801" s="371"/>
      <c r="V801" s="371"/>
      <c r="W801" s="371"/>
      <c r="X801" s="371"/>
      <c r="Y801" s="371"/>
      <c r="Z801" s="371"/>
    </row>
    <row r="802" ht="26.25" customHeight="1">
      <c r="A802" s="371"/>
      <c r="B802" s="1265"/>
      <c r="C802" s="371"/>
      <c r="D802" s="371"/>
      <c r="E802" s="371"/>
      <c r="F802" s="371"/>
      <c r="G802" s="371"/>
      <c r="H802" s="371"/>
      <c r="I802" s="371"/>
      <c r="J802" s="371"/>
      <c r="K802" s="371"/>
      <c r="L802" s="371"/>
      <c r="M802" s="371"/>
      <c r="N802" s="371"/>
      <c r="O802" s="371"/>
      <c r="P802" s="371"/>
      <c r="Q802" s="371"/>
      <c r="R802" s="371"/>
      <c r="S802" s="371"/>
      <c r="T802" s="371"/>
      <c r="U802" s="371"/>
      <c r="V802" s="371"/>
      <c r="W802" s="371"/>
      <c r="X802" s="371"/>
      <c r="Y802" s="371"/>
      <c r="Z802" s="371"/>
    </row>
    <row r="803" ht="26.25" customHeight="1">
      <c r="A803" s="371"/>
      <c r="B803" s="1265"/>
      <c r="C803" s="371"/>
      <c r="D803" s="371"/>
      <c r="E803" s="371"/>
      <c r="F803" s="371"/>
      <c r="G803" s="371"/>
      <c r="H803" s="371"/>
      <c r="I803" s="371"/>
      <c r="J803" s="371"/>
      <c r="K803" s="371"/>
      <c r="L803" s="371"/>
      <c r="M803" s="371"/>
      <c r="N803" s="371"/>
      <c r="O803" s="371"/>
      <c r="P803" s="371"/>
      <c r="Q803" s="371"/>
      <c r="R803" s="371"/>
      <c r="S803" s="371"/>
      <c r="T803" s="371"/>
      <c r="U803" s="371"/>
      <c r="V803" s="371"/>
      <c r="W803" s="371"/>
      <c r="X803" s="371"/>
      <c r="Y803" s="371"/>
      <c r="Z803" s="371"/>
    </row>
    <row r="804" ht="26.25" customHeight="1">
      <c r="A804" s="371"/>
      <c r="B804" s="1265"/>
      <c r="C804" s="371"/>
      <c r="D804" s="371"/>
      <c r="E804" s="371"/>
      <c r="F804" s="371"/>
      <c r="G804" s="371"/>
      <c r="H804" s="371"/>
      <c r="I804" s="371"/>
      <c r="J804" s="371"/>
      <c r="K804" s="371"/>
      <c r="L804" s="371"/>
      <c r="M804" s="371"/>
      <c r="N804" s="371"/>
      <c r="O804" s="371"/>
      <c r="P804" s="371"/>
      <c r="Q804" s="371"/>
      <c r="R804" s="371"/>
      <c r="S804" s="371"/>
      <c r="T804" s="371"/>
      <c r="U804" s="371"/>
      <c r="V804" s="371"/>
      <c r="W804" s="371"/>
      <c r="X804" s="371"/>
      <c r="Y804" s="371"/>
      <c r="Z804" s="371"/>
    </row>
    <row r="805" ht="26.25" customHeight="1">
      <c r="A805" s="371"/>
      <c r="B805" s="1265"/>
      <c r="C805" s="371"/>
      <c r="D805" s="371"/>
      <c r="E805" s="371"/>
      <c r="F805" s="371"/>
      <c r="G805" s="371"/>
      <c r="H805" s="371"/>
      <c r="I805" s="371"/>
      <c r="J805" s="371"/>
      <c r="K805" s="371"/>
      <c r="L805" s="371"/>
      <c r="M805" s="371"/>
      <c r="N805" s="371"/>
      <c r="O805" s="371"/>
      <c r="P805" s="371"/>
      <c r="Q805" s="371"/>
      <c r="R805" s="371"/>
      <c r="S805" s="371"/>
      <c r="T805" s="371"/>
      <c r="U805" s="371"/>
      <c r="V805" s="371"/>
      <c r="W805" s="371"/>
      <c r="X805" s="371"/>
      <c r="Y805" s="371"/>
      <c r="Z805" s="371"/>
    </row>
    <row r="806" ht="26.25" customHeight="1">
      <c r="A806" s="371"/>
      <c r="B806" s="1265"/>
      <c r="C806" s="371"/>
      <c r="D806" s="371"/>
      <c r="E806" s="371"/>
      <c r="F806" s="371"/>
      <c r="G806" s="371"/>
      <c r="H806" s="371"/>
      <c r="I806" s="371"/>
      <c r="J806" s="371"/>
      <c r="K806" s="371"/>
      <c r="L806" s="371"/>
      <c r="M806" s="371"/>
      <c r="N806" s="371"/>
      <c r="O806" s="371"/>
      <c r="P806" s="371"/>
      <c r="Q806" s="371"/>
      <c r="R806" s="371"/>
      <c r="S806" s="371"/>
      <c r="T806" s="371"/>
      <c r="U806" s="371"/>
      <c r="V806" s="371"/>
      <c r="W806" s="371"/>
      <c r="X806" s="371"/>
      <c r="Y806" s="371"/>
      <c r="Z806" s="371"/>
    </row>
    <row r="807" ht="26.25" customHeight="1">
      <c r="A807" s="371"/>
      <c r="B807" s="1265"/>
      <c r="C807" s="371"/>
      <c r="D807" s="371"/>
      <c r="E807" s="371"/>
      <c r="F807" s="371"/>
      <c r="G807" s="371"/>
      <c r="H807" s="371"/>
      <c r="I807" s="371"/>
      <c r="J807" s="371"/>
      <c r="K807" s="371"/>
      <c r="L807" s="371"/>
      <c r="M807" s="371"/>
      <c r="N807" s="371"/>
      <c r="O807" s="371"/>
      <c r="P807" s="371"/>
      <c r="Q807" s="371"/>
      <c r="R807" s="371"/>
      <c r="S807" s="371"/>
      <c r="T807" s="371"/>
      <c r="U807" s="371"/>
      <c r="V807" s="371"/>
      <c r="W807" s="371"/>
      <c r="X807" s="371"/>
      <c r="Y807" s="371"/>
      <c r="Z807" s="371"/>
    </row>
    <row r="808" ht="26.25" customHeight="1">
      <c r="A808" s="371"/>
      <c r="B808" s="1265"/>
      <c r="C808" s="371"/>
      <c r="D808" s="371"/>
      <c r="E808" s="371"/>
      <c r="F808" s="371"/>
      <c r="G808" s="371"/>
      <c r="H808" s="371"/>
      <c r="I808" s="371"/>
      <c r="J808" s="371"/>
      <c r="K808" s="371"/>
      <c r="L808" s="371"/>
      <c r="M808" s="371"/>
      <c r="N808" s="371"/>
      <c r="O808" s="371"/>
      <c r="P808" s="371"/>
      <c r="Q808" s="371"/>
      <c r="R808" s="371"/>
      <c r="S808" s="371"/>
      <c r="T808" s="371"/>
      <c r="U808" s="371"/>
      <c r="V808" s="371"/>
      <c r="W808" s="371"/>
      <c r="X808" s="371"/>
      <c r="Y808" s="371"/>
      <c r="Z808" s="371"/>
    </row>
    <row r="809" ht="26.25" customHeight="1">
      <c r="A809" s="371"/>
      <c r="B809" s="1265"/>
      <c r="C809" s="371"/>
      <c r="D809" s="371"/>
      <c r="E809" s="371"/>
      <c r="F809" s="371"/>
      <c r="G809" s="371"/>
      <c r="H809" s="371"/>
      <c r="I809" s="371"/>
      <c r="J809" s="371"/>
      <c r="K809" s="371"/>
      <c r="L809" s="371"/>
      <c r="M809" s="371"/>
      <c r="N809" s="371"/>
      <c r="O809" s="371"/>
      <c r="P809" s="371"/>
      <c r="Q809" s="371"/>
      <c r="R809" s="371"/>
      <c r="S809" s="371"/>
      <c r="T809" s="371"/>
      <c r="U809" s="371"/>
      <c r="V809" s="371"/>
      <c r="W809" s="371"/>
      <c r="X809" s="371"/>
      <c r="Y809" s="371"/>
      <c r="Z809" s="371"/>
    </row>
    <row r="810" ht="26.25" customHeight="1">
      <c r="A810" s="371"/>
      <c r="B810" s="1265"/>
      <c r="C810" s="371"/>
      <c r="D810" s="371"/>
      <c r="E810" s="371"/>
      <c r="F810" s="371"/>
      <c r="G810" s="371"/>
      <c r="H810" s="371"/>
      <c r="I810" s="371"/>
      <c r="J810" s="371"/>
      <c r="K810" s="371"/>
      <c r="L810" s="371"/>
      <c r="M810" s="371"/>
      <c r="N810" s="371"/>
      <c r="O810" s="371"/>
      <c r="P810" s="371"/>
      <c r="Q810" s="371"/>
      <c r="R810" s="371"/>
      <c r="S810" s="371"/>
      <c r="T810" s="371"/>
      <c r="U810" s="371"/>
      <c r="V810" s="371"/>
      <c r="W810" s="371"/>
      <c r="X810" s="371"/>
      <c r="Y810" s="371"/>
      <c r="Z810" s="371"/>
    </row>
    <row r="811" ht="26.25" customHeight="1">
      <c r="A811" s="371"/>
      <c r="B811" s="1265"/>
      <c r="C811" s="371"/>
      <c r="D811" s="371"/>
      <c r="E811" s="371"/>
      <c r="F811" s="371"/>
      <c r="G811" s="371"/>
      <c r="H811" s="371"/>
      <c r="I811" s="371"/>
      <c r="J811" s="371"/>
      <c r="K811" s="371"/>
      <c r="L811" s="371"/>
      <c r="M811" s="371"/>
      <c r="N811" s="371"/>
      <c r="O811" s="371"/>
      <c r="P811" s="371"/>
      <c r="Q811" s="371"/>
      <c r="R811" s="371"/>
      <c r="S811" s="371"/>
      <c r="T811" s="371"/>
      <c r="U811" s="371"/>
      <c r="V811" s="371"/>
      <c r="W811" s="371"/>
      <c r="X811" s="371"/>
      <c r="Y811" s="371"/>
      <c r="Z811" s="371"/>
    </row>
    <row r="812" ht="26.25" customHeight="1">
      <c r="A812" s="371"/>
      <c r="B812" s="1265"/>
      <c r="C812" s="371"/>
      <c r="D812" s="371"/>
      <c r="E812" s="371"/>
      <c r="F812" s="371"/>
      <c r="G812" s="371"/>
      <c r="H812" s="371"/>
      <c r="I812" s="371"/>
      <c r="J812" s="371"/>
      <c r="K812" s="371"/>
      <c r="L812" s="371"/>
      <c r="M812" s="371"/>
      <c r="N812" s="371"/>
      <c r="O812" s="371"/>
      <c r="P812" s="371"/>
      <c r="Q812" s="371"/>
      <c r="R812" s="371"/>
      <c r="S812" s="371"/>
      <c r="T812" s="371"/>
      <c r="U812" s="371"/>
      <c r="V812" s="371"/>
      <c r="W812" s="371"/>
      <c r="X812" s="371"/>
      <c r="Y812" s="371"/>
      <c r="Z812" s="371"/>
    </row>
    <row r="813" ht="26.25" customHeight="1">
      <c r="A813" s="371"/>
      <c r="B813" s="1265"/>
      <c r="C813" s="371"/>
      <c r="D813" s="371"/>
      <c r="E813" s="371"/>
      <c r="F813" s="371"/>
      <c r="G813" s="371"/>
      <c r="H813" s="371"/>
      <c r="I813" s="371"/>
      <c r="J813" s="371"/>
      <c r="K813" s="371"/>
      <c r="L813" s="371"/>
      <c r="M813" s="371"/>
      <c r="N813" s="371"/>
      <c r="O813" s="371"/>
      <c r="P813" s="371"/>
      <c r="Q813" s="371"/>
      <c r="R813" s="371"/>
      <c r="S813" s="371"/>
      <c r="T813" s="371"/>
      <c r="U813" s="371"/>
      <c r="V813" s="371"/>
      <c r="W813" s="371"/>
      <c r="X813" s="371"/>
      <c r="Y813" s="371"/>
      <c r="Z813" s="371"/>
    </row>
    <row r="814" ht="26.25" customHeight="1">
      <c r="A814" s="371"/>
      <c r="B814" s="1265"/>
      <c r="C814" s="371"/>
      <c r="D814" s="371"/>
      <c r="E814" s="371"/>
      <c r="F814" s="371"/>
      <c r="G814" s="371"/>
      <c r="H814" s="371"/>
      <c r="I814" s="371"/>
      <c r="J814" s="371"/>
      <c r="K814" s="371"/>
      <c r="L814" s="371"/>
      <c r="M814" s="371"/>
      <c r="N814" s="371"/>
      <c r="O814" s="371"/>
      <c r="P814" s="371"/>
      <c r="Q814" s="371"/>
      <c r="R814" s="371"/>
      <c r="S814" s="371"/>
      <c r="T814" s="371"/>
      <c r="U814" s="371"/>
      <c r="V814" s="371"/>
      <c r="W814" s="371"/>
      <c r="X814" s="371"/>
      <c r="Y814" s="371"/>
      <c r="Z814" s="371"/>
    </row>
    <row r="815" ht="26.25" customHeight="1">
      <c r="A815" s="371"/>
      <c r="B815" s="1265"/>
      <c r="C815" s="371"/>
      <c r="D815" s="371"/>
      <c r="E815" s="371"/>
      <c r="F815" s="371"/>
      <c r="G815" s="371"/>
      <c r="H815" s="371"/>
      <c r="I815" s="371"/>
      <c r="J815" s="371"/>
      <c r="K815" s="371"/>
      <c r="L815" s="371"/>
      <c r="M815" s="371"/>
      <c r="N815" s="371"/>
      <c r="O815" s="371"/>
      <c r="P815" s="371"/>
      <c r="Q815" s="371"/>
      <c r="R815" s="371"/>
      <c r="S815" s="371"/>
      <c r="T815" s="371"/>
      <c r="U815" s="371"/>
      <c r="V815" s="371"/>
      <c r="W815" s="371"/>
      <c r="X815" s="371"/>
      <c r="Y815" s="371"/>
      <c r="Z815" s="371"/>
    </row>
    <row r="816" ht="26.25" customHeight="1">
      <c r="A816" s="371"/>
      <c r="B816" s="1265"/>
      <c r="C816" s="371"/>
      <c r="D816" s="371"/>
      <c r="E816" s="371"/>
      <c r="F816" s="371"/>
      <c r="G816" s="371"/>
      <c r="H816" s="371"/>
      <c r="I816" s="371"/>
      <c r="J816" s="371"/>
      <c r="K816" s="371"/>
      <c r="L816" s="371"/>
      <c r="M816" s="371"/>
      <c r="N816" s="371"/>
      <c r="O816" s="371"/>
      <c r="P816" s="371"/>
      <c r="Q816" s="371"/>
      <c r="R816" s="371"/>
      <c r="S816" s="371"/>
      <c r="T816" s="371"/>
      <c r="U816" s="371"/>
      <c r="V816" s="371"/>
      <c r="W816" s="371"/>
      <c r="X816" s="371"/>
      <c r="Y816" s="371"/>
      <c r="Z816" s="371"/>
    </row>
    <row r="817" ht="26.25" customHeight="1">
      <c r="A817" s="371"/>
      <c r="B817" s="1265"/>
      <c r="C817" s="371"/>
      <c r="D817" s="371"/>
      <c r="E817" s="371"/>
      <c r="F817" s="371"/>
      <c r="G817" s="371"/>
      <c r="H817" s="371"/>
      <c r="I817" s="371"/>
      <c r="J817" s="371"/>
      <c r="K817" s="371"/>
      <c r="L817" s="371"/>
      <c r="M817" s="371"/>
      <c r="N817" s="371"/>
      <c r="O817" s="371"/>
      <c r="P817" s="371"/>
      <c r="Q817" s="371"/>
      <c r="R817" s="371"/>
      <c r="S817" s="371"/>
      <c r="T817" s="371"/>
      <c r="U817" s="371"/>
      <c r="V817" s="371"/>
      <c r="W817" s="371"/>
      <c r="X817" s="371"/>
      <c r="Y817" s="371"/>
      <c r="Z817" s="371"/>
    </row>
    <row r="818" ht="26.25" customHeight="1">
      <c r="A818" s="371"/>
      <c r="B818" s="1265"/>
      <c r="C818" s="371"/>
      <c r="D818" s="371"/>
      <c r="E818" s="371"/>
      <c r="F818" s="371"/>
      <c r="G818" s="371"/>
      <c r="H818" s="371"/>
      <c r="I818" s="371"/>
      <c r="J818" s="371"/>
      <c r="K818" s="371"/>
      <c r="L818" s="371"/>
      <c r="M818" s="371"/>
      <c r="N818" s="371"/>
      <c r="O818" s="371"/>
      <c r="P818" s="371"/>
      <c r="Q818" s="371"/>
      <c r="R818" s="371"/>
      <c r="S818" s="371"/>
      <c r="T818" s="371"/>
      <c r="U818" s="371"/>
      <c r="V818" s="371"/>
      <c r="W818" s="371"/>
      <c r="X818" s="371"/>
      <c r="Y818" s="371"/>
      <c r="Z818" s="371"/>
    </row>
    <row r="819" ht="26.25" customHeight="1">
      <c r="A819" s="371"/>
      <c r="B819" s="1265"/>
      <c r="C819" s="371"/>
      <c r="D819" s="371"/>
      <c r="E819" s="371"/>
      <c r="F819" s="371"/>
      <c r="G819" s="371"/>
      <c r="H819" s="371"/>
      <c r="I819" s="371"/>
      <c r="J819" s="371"/>
      <c r="K819" s="371"/>
      <c r="L819" s="371"/>
      <c r="M819" s="371"/>
      <c r="N819" s="371"/>
      <c r="O819" s="371"/>
      <c r="P819" s="371"/>
      <c r="Q819" s="371"/>
      <c r="R819" s="371"/>
      <c r="S819" s="371"/>
      <c r="T819" s="371"/>
      <c r="U819" s="371"/>
      <c r="V819" s="371"/>
      <c r="W819" s="371"/>
      <c r="X819" s="371"/>
      <c r="Y819" s="371"/>
      <c r="Z819" s="371"/>
    </row>
    <row r="820" ht="26.25" customHeight="1">
      <c r="A820" s="371"/>
      <c r="B820" s="1265"/>
      <c r="C820" s="371"/>
      <c r="D820" s="371"/>
      <c r="E820" s="371"/>
      <c r="F820" s="371"/>
      <c r="G820" s="371"/>
      <c r="H820" s="371"/>
      <c r="I820" s="371"/>
      <c r="J820" s="371"/>
      <c r="K820" s="371"/>
      <c r="L820" s="371"/>
      <c r="M820" s="371"/>
      <c r="N820" s="371"/>
      <c r="O820" s="371"/>
      <c r="P820" s="371"/>
      <c r="Q820" s="371"/>
      <c r="R820" s="371"/>
      <c r="S820" s="371"/>
      <c r="T820" s="371"/>
      <c r="U820" s="371"/>
      <c r="V820" s="371"/>
      <c r="W820" s="371"/>
      <c r="X820" s="371"/>
      <c r="Y820" s="371"/>
      <c r="Z820" s="371"/>
    </row>
    <row r="821" ht="26.25" customHeight="1">
      <c r="A821" s="371"/>
      <c r="B821" s="1265"/>
      <c r="C821" s="371"/>
      <c r="D821" s="371"/>
      <c r="E821" s="371"/>
      <c r="F821" s="371"/>
      <c r="G821" s="371"/>
      <c r="H821" s="371"/>
      <c r="I821" s="371"/>
      <c r="J821" s="371"/>
      <c r="K821" s="371"/>
      <c r="L821" s="371"/>
      <c r="M821" s="371"/>
      <c r="N821" s="371"/>
      <c r="O821" s="371"/>
      <c r="P821" s="371"/>
      <c r="Q821" s="371"/>
      <c r="R821" s="371"/>
      <c r="S821" s="371"/>
      <c r="T821" s="371"/>
      <c r="U821" s="371"/>
      <c r="V821" s="371"/>
      <c r="W821" s="371"/>
      <c r="X821" s="371"/>
      <c r="Y821" s="371"/>
      <c r="Z821" s="371"/>
    </row>
    <row r="822" ht="26.25" customHeight="1">
      <c r="A822" s="371"/>
      <c r="B822" s="1265"/>
      <c r="C822" s="371"/>
      <c r="D822" s="371"/>
      <c r="E822" s="371"/>
      <c r="F822" s="371"/>
      <c r="G822" s="371"/>
      <c r="H822" s="371"/>
      <c r="I822" s="371"/>
      <c r="J822" s="371"/>
      <c r="K822" s="371"/>
      <c r="L822" s="371"/>
      <c r="M822" s="371"/>
      <c r="N822" s="371"/>
      <c r="O822" s="371"/>
      <c r="P822" s="371"/>
      <c r="Q822" s="371"/>
      <c r="R822" s="371"/>
      <c r="S822" s="371"/>
      <c r="T822" s="371"/>
      <c r="U822" s="371"/>
      <c r="V822" s="371"/>
      <c r="W822" s="371"/>
      <c r="X822" s="371"/>
      <c r="Y822" s="371"/>
      <c r="Z822" s="371"/>
    </row>
    <row r="823" ht="26.25" customHeight="1">
      <c r="A823" s="371"/>
      <c r="B823" s="1265"/>
      <c r="C823" s="371"/>
      <c r="D823" s="371"/>
      <c r="E823" s="371"/>
      <c r="F823" s="371"/>
      <c r="G823" s="371"/>
      <c r="H823" s="371"/>
      <c r="I823" s="371"/>
      <c r="J823" s="371"/>
      <c r="K823" s="371"/>
      <c r="L823" s="371"/>
      <c r="M823" s="371"/>
      <c r="N823" s="371"/>
      <c r="O823" s="371"/>
      <c r="P823" s="371"/>
      <c r="Q823" s="371"/>
      <c r="R823" s="371"/>
      <c r="S823" s="371"/>
      <c r="T823" s="371"/>
      <c r="U823" s="371"/>
      <c r="V823" s="371"/>
      <c r="W823" s="371"/>
      <c r="X823" s="371"/>
      <c r="Y823" s="371"/>
      <c r="Z823" s="371"/>
    </row>
    <row r="824" ht="26.25" customHeight="1">
      <c r="A824" s="371"/>
      <c r="B824" s="1265"/>
      <c r="C824" s="371"/>
      <c r="D824" s="371"/>
      <c r="E824" s="371"/>
      <c r="F824" s="371"/>
      <c r="G824" s="371"/>
      <c r="H824" s="371"/>
      <c r="I824" s="371"/>
      <c r="J824" s="371"/>
      <c r="K824" s="371"/>
      <c r="L824" s="371"/>
      <c r="M824" s="371"/>
      <c r="N824" s="371"/>
      <c r="O824" s="371"/>
      <c r="P824" s="371"/>
      <c r="Q824" s="371"/>
      <c r="R824" s="371"/>
      <c r="S824" s="371"/>
      <c r="T824" s="371"/>
      <c r="U824" s="371"/>
      <c r="V824" s="371"/>
      <c r="W824" s="371"/>
      <c r="X824" s="371"/>
      <c r="Y824" s="371"/>
      <c r="Z824" s="371"/>
    </row>
    <row r="825" ht="26.25" customHeight="1">
      <c r="A825" s="371"/>
      <c r="B825" s="1265"/>
      <c r="C825" s="371"/>
      <c r="D825" s="371"/>
      <c r="E825" s="371"/>
      <c r="F825" s="371"/>
      <c r="G825" s="371"/>
      <c r="H825" s="371"/>
      <c r="I825" s="371"/>
      <c r="J825" s="371"/>
      <c r="K825" s="371"/>
      <c r="L825" s="371"/>
      <c r="M825" s="371"/>
      <c r="N825" s="371"/>
      <c r="O825" s="371"/>
      <c r="P825" s="371"/>
      <c r="Q825" s="371"/>
      <c r="R825" s="371"/>
      <c r="S825" s="371"/>
      <c r="T825" s="371"/>
      <c r="U825" s="371"/>
      <c r="V825" s="371"/>
      <c r="W825" s="371"/>
      <c r="X825" s="371"/>
      <c r="Y825" s="371"/>
      <c r="Z825" s="371"/>
    </row>
    <row r="826" ht="26.25" customHeight="1">
      <c r="A826" s="371"/>
      <c r="B826" s="1265"/>
      <c r="C826" s="371"/>
      <c r="D826" s="371"/>
      <c r="E826" s="371"/>
      <c r="F826" s="371"/>
      <c r="G826" s="371"/>
      <c r="H826" s="371"/>
      <c r="I826" s="371"/>
      <c r="J826" s="371"/>
      <c r="K826" s="371"/>
      <c r="L826" s="371"/>
      <c r="M826" s="371"/>
      <c r="N826" s="371"/>
      <c r="O826" s="371"/>
      <c r="P826" s="371"/>
      <c r="Q826" s="371"/>
      <c r="R826" s="371"/>
      <c r="S826" s="371"/>
      <c r="T826" s="371"/>
      <c r="U826" s="371"/>
      <c r="V826" s="371"/>
      <c r="W826" s="371"/>
      <c r="X826" s="371"/>
      <c r="Y826" s="371"/>
      <c r="Z826" s="371"/>
    </row>
    <row r="827" ht="26.25" customHeight="1">
      <c r="A827" s="371"/>
      <c r="B827" s="1265"/>
      <c r="C827" s="371"/>
      <c r="D827" s="371"/>
      <c r="E827" s="371"/>
      <c r="F827" s="371"/>
      <c r="G827" s="371"/>
      <c r="H827" s="371"/>
      <c r="I827" s="371"/>
      <c r="J827" s="371"/>
      <c r="K827" s="371"/>
      <c r="L827" s="371"/>
      <c r="M827" s="371"/>
      <c r="N827" s="371"/>
      <c r="O827" s="371"/>
      <c r="P827" s="371"/>
      <c r="Q827" s="371"/>
      <c r="R827" s="371"/>
      <c r="S827" s="371"/>
      <c r="T827" s="371"/>
      <c r="U827" s="371"/>
      <c r="V827" s="371"/>
      <c r="W827" s="371"/>
      <c r="X827" s="371"/>
      <c r="Y827" s="371"/>
      <c r="Z827" s="371"/>
    </row>
    <row r="828" ht="26.25" customHeight="1">
      <c r="A828" s="371"/>
      <c r="B828" s="1265"/>
      <c r="C828" s="371"/>
      <c r="D828" s="371"/>
      <c r="E828" s="371"/>
      <c r="F828" s="371"/>
      <c r="G828" s="371"/>
      <c r="H828" s="371"/>
      <c r="I828" s="371"/>
      <c r="J828" s="371"/>
      <c r="K828" s="371"/>
      <c r="L828" s="371"/>
      <c r="M828" s="371"/>
      <c r="N828" s="371"/>
      <c r="O828" s="371"/>
      <c r="P828" s="371"/>
      <c r="Q828" s="371"/>
      <c r="R828" s="371"/>
      <c r="S828" s="371"/>
      <c r="T828" s="371"/>
      <c r="U828" s="371"/>
      <c r="V828" s="371"/>
      <c r="W828" s="371"/>
      <c r="X828" s="371"/>
      <c r="Y828" s="371"/>
      <c r="Z828" s="371"/>
    </row>
    <row r="829" ht="26.25" customHeight="1">
      <c r="A829" s="371"/>
      <c r="B829" s="1265"/>
      <c r="C829" s="371"/>
      <c r="D829" s="371"/>
      <c r="E829" s="371"/>
      <c r="F829" s="371"/>
      <c r="G829" s="371"/>
      <c r="H829" s="371"/>
      <c r="I829" s="371"/>
      <c r="J829" s="371"/>
      <c r="K829" s="371"/>
      <c r="L829" s="371"/>
      <c r="M829" s="371"/>
      <c r="N829" s="371"/>
      <c r="O829" s="371"/>
      <c r="P829" s="371"/>
      <c r="Q829" s="371"/>
      <c r="R829" s="371"/>
      <c r="S829" s="371"/>
      <c r="T829" s="371"/>
      <c r="U829" s="371"/>
      <c r="V829" s="371"/>
      <c r="W829" s="371"/>
      <c r="X829" s="371"/>
      <c r="Y829" s="371"/>
      <c r="Z829" s="371"/>
    </row>
    <row r="830" ht="26.25" customHeight="1">
      <c r="A830" s="371"/>
      <c r="B830" s="1265"/>
      <c r="C830" s="371"/>
      <c r="D830" s="371"/>
      <c r="E830" s="371"/>
      <c r="F830" s="371"/>
      <c r="G830" s="371"/>
      <c r="H830" s="371"/>
      <c r="I830" s="371"/>
      <c r="J830" s="371"/>
      <c r="K830" s="371"/>
      <c r="L830" s="371"/>
      <c r="M830" s="371"/>
      <c r="N830" s="371"/>
      <c r="O830" s="371"/>
      <c r="P830" s="371"/>
      <c r="Q830" s="371"/>
      <c r="R830" s="371"/>
      <c r="S830" s="371"/>
      <c r="T830" s="371"/>
      <c r="U830" s="371"/>
      <c r="V830" s="371"/>
      <c r="W830" s="371"/>
      <c r="X830" s="371"/>
      <c r="Y830" s="371"/>
      <c r="Z830" s="371"/>
    </row>
    <row r="831" ht="26.25" customHeight="1">
      <c r="A831" s="371"/>
      <c r="B831" s="1265"/>
      <c r="C831" s="371"/>
      <c r="D831" s="371"/>
      <c r="E831" s="371"/>
      <c r="F831" s="371"/>
      <c r="G831" s="371"/>
      <c r="H831" s="371"/>
      <c r="I831" s="371"/>
      <c r="J831" s="371"/>
      <c r="K831" s="371"/>
      <c r="L831" s="371"/>
      <c r="M831" s="371"/>
      <c r="N831" s="371"/>
      <c r="O831" s="371"/>
      <c r="P831" s="371"/>
      <c r="Q831" s="371"/>
      <c r="R831" s="371"/>
      <c r="S831" s="371"/>
      <c r="T831" s="371"/>
      <c r="U831" s="371"/>
      <c r="V831" s="371"/>
      <c r="W831" s="371"/>
      <c r="X831" s="371"/>
      <c r="Y831" s="371"/>
      <c r="Z831" s="371"/>
    </row>
    <row r="832" ht="26.25" customHeight="1">
      <c r="A832" s="371"/>
      <c r="B832" s="1265"/>
      <c r="C832" s="371"/>
      <c r="D832" s="371"/>
      <c r="E832" s="371"/>
      <c r="F832" s="371"/>
      <c r="G832" s="371"/>
      <c r="H832" s="371"/>
      <c r="I832" s="371"/>
      <c r="J832" s="371"/>
      <c r="K832" s="371"/>
      <c r="L832" s="371"/>
      <c r="M832" s="371"/>
      <c r="N832" s="371"/>
      <c r="O832" s="371"/>
      <c r="P832" s="371"/>
      <c r="Q832" s="371"/>
      <c r="R832" s="371"/>
      <c r="S832" s="371"/>
      <c r="T832" s="371"/>
      <c r="U832" s="371"/>
      <c r="V832" s="371"/>
      <c r="W832" s="371"/>
      <c r="X832" s="371"/>
      <c r="Y832" s="371"/>
      <c r="Z832" s="371"/>
    </row>
    <row r="833" ht="26.25" customHeight="1">
      <c r="A833" s="371"/>
      <c r="B833" s="1265"/>
      <c r="C833" s="371"/>
      <c r="D833" s="371"/>
      <c r="E833" s="371"/>
      <c r="F833" s="371"/>
      <c r="G833" s="371"/>
      <c r="H833" s="371"/>
      <c r="I833" s="371"/>
      <c r="J833" s="371"/>
      <c r="K833" s="371"/>
      <c r="L833" s="371"/>
      <c r="M833" s="371"/>
      <c r="N833" s="371"/>
      <c r="O833" s="371"/>
      <c r="P833" s="371"/>
      <c r="Q833" s="371"/>
      <c r="R833" s="371"/>
      <c r="S833" s="371"/>
      <c r="T833" s="371"/>
      <c r="U833" s="371"/>
      <c r="V833" s="371"/>
      <c r="W833" s="371"/>
      <c r="X833" s="371"/>
      <c r="Y833" s="371"/>
      <c r="Z833" s="371"/>
    </row>
    <row r="834" ht="26.25" customHeight="1">
      <c r="A834" s="371"/>
      <c r="B834" s="1265"/>
      <c r="C834" s="371"/>
      <c r="D834" s="371"/>
      <c r="E834" s="371"/>
      <c r="F834" s="371"/>
      <c r="G834" s="371"/>
      <c r="H834" s="371"/>
      <c r="I834" s="371"/>
      <c r="J834" s="371"/>
      <c r="K834" s="371"/>
      <c r="L834" s="371"/>
      <c r="M834" s="371"/>
      <c r="N834" s="371"/>
      <c r="O834" s="371"/>
      <c r="P834" s="371"/>
      <c r="Q834" s="371"/>
      <c r="R834" s="371"/>
      <c r="S834" s="371"/>
      <c r="T834" s="371"/>
      <c r="U834" s="371"/>
      <c r="V834" s="371"/>
      <c r="W834" s="371"/>
      <c r="X834" s="371"/>
      <c r="Y834" s="371"/>
      <c r="Z834" s="371"/>
    </row>
    <row r="835" ht="26.25" customHeight="1">
      <c r="A835" s="371"/>
      <c r="B835" s="1265"/>
      <c r="C835" s="371"/>
      <c r="D835" s="371"/>
      <c r="E835" s="371"/>
      <c r="F835" s="371"/>
      <c r="G835" s="371"/>
      <c r="H835" s="371"/>
      <c r="I835" s="371"/>
      <c r="J835" s="371"/>
      <c r="K835" s="371"/>
      <c r="L835" s="371"/>
      <c r="M835" s="371"/>
      <c r="N835" s="371"/>
      <c r="O835" s="371"/>
      <c r="P835" s="371"/>
      <c r="Q835" s="371"/>
      <c r="R835" s="371"/>
      <c r="S835" s="371"/>
      <c r="T835" s="371"/>
      <c r="U835" s="371"/>
      <c r="V835" s="371"/>
      <c r="W835" s="371"/>
      <c r="X835" s="371"/>
      <c r="Y835" s="371"/>
      <c r="Z835" s="371"/>
    </row>
    <row r="836" ht="26.25" customHeight="1">
      <c r="A836" s="371"/>
      <c r="B836" s="1265"/>
      <c r="C836" s="371"/>
      <c r="D836" s="371"/>
      <c r="E836" s="371"/>
      <c r="F836" s="371"/>
      <c r="G836" s="371"/>
      <c r="H836" s="371"/>
      <c r="I836" s="371"/>
      <c r="J836" s="371"/>
      <c r="K836" s="371"/>
      <c r="L836" s="371"/>
      <c r="M836" s="371"/>
      <c r="N836" s="371"/>
      <c r="O836" s="371"/>
      <c r="P836" s="371"/>
      <c r="Q836" s="371"/>
      <c r="R836" s="371"/>
      <c r="S836" s="371"/>
      <c r="T836" s="371"/>
      <c r="U836" s="371"/>
      <c r="V836" s="371"/>
      <c r="W836" s="371"/>
      <c r="X836" s="371"/>
      <c r="Y836" s="371"/>
      <c r="Z836" s="371"/>
    </row>
    <row r="837" ht="26.25" customHeight="1">
      <c r="A837" s="371"/>
      <c r="B837" s="1265"/>
      <c r="C837" s="371"/>
      <c r="D837" s="371"/>
      <c r="E837" s="371"/>
      <c r="F837" s="371"/>
      <c r="G837" s="371"/>
      <c r="H837" s="371"/>
      <c r="I837" s="371"/>
      <c r="J837" s="371"/>
      <c r="K837" s="371"/>
      <c r="L837" s="371"/>
      <c r="M837" s="371"/>
      <c r="N837" s="371"/>
      <c r="O837" s="371"/>
      <c r="P837" s="371"/>
      <c r="Q837" s="371"/>
      <c r="R837" s="371"/>
      <c r="S837" s="371"/>
      <c r="T837" s="371"/>
      <c r="U837" s="371"/>
      <c r="V837" s="371"/>
      <c r="W837" s="371"/>
      <c r="X837" s="371"/>
      <c r="Y837" s="371"/>
      <c r="Z837" s="371"/>
    </row>
    <row r="838" ht="26.25" customHeight="1">
      <c r="A838" s="371"/>
      <c r="B838" s="1265"/>
      <c r="C838" s="371"/>
      <c r="D838" s="371"/>
      <c r="E838" s="371"/>
      <c r="F838" s="371"/>
      <c r="G838" s="371"/>
      <c r="H838" s="371"/>
      <c r="I838" s="371"/>
      <c r="J838" s="371"/>
      <c r="K838" s="371"/>
      <c r="L838" s="371"/>
      <c r="M838" s="371"/>
      <c r="N838" s="371"/>
      <c r="O838" s="371"/>
      <c r="P838" s="371"/>
      <c r="Q838" s="371"/>
      <c r="R838" s="371"/>
      <c r="S838" s="371"/>
      <c r="T838" s="371"/>
      <c r="U838" s="371"/>
      <c r="V838" s="371"/>
      <c r="W838" s="371"/>
      <c r="X838" s="371"/>
      <c r="Y838" s="371"/>
      <c r="Z838" s="371"/>
    </row>
    <row r="839" ht="26.25" customHeight="1">
      <c r="A839" s="371"/>
      <c r="B839" s="1265"/>
      <c r="C839" s="371"/>
      <c r="D839" s="371"/>
      <c r="E839" s="371"/>
      <c r="F839" s="371"/>
      <c r="G839" s="371"/>
      <c r="H839" s="371"/>
      <c r="I839" s="371"/>
      <c r="J839" s="371"/>
      <c r="K839" s="371"/>
      <c r="L839" s="371"/>
      <c r="M839" s="371"/>
      <c r="N839" s="371"/>
      <c r="O839" s="371"/>
      <c r="P839" s="371"/>
      <c r="Q839" s="371"/>
      <c r="R839" s="371"/>
      <c r="S839" s="371"/>
      <c r="T839" s="371"/>
      <c r="U839" s="371"/>
      <c r="V839" s="371"/>
      <c r="W839" s="371"/>
      <c r="X839" s="371"/>
      <c r="Y839" s="371"/>
      <c r="Z839" s="371"/>
    </row>
    <row r="840" ht="26.25" customHeight="1">
      <c r="A840" s="371"/>
      <c r="B840" s="1265"/>
      <c r="C840" s="371"/>
      <c r="D840" s="371"/>
      <c r="E840" s="371"/>
      <c r="F840" s="371"/>
      <c r="G840" s="371"/>
      <c r="H840" s="371"/>
      <c r="I840" s="371"/>
      <c r="J840" s="371"/>
      <c r="K840" s="371"/>
      <c r="L840" s="371"/>
      <c r="M840" s="371"/>
      <c r="N840" s="371"/>
      <c r="O840" s="371"/>
      <c r="P840" s="371"/>
      <c r="Q840" s="371"/>
      <c r="R840" s="371"/>
      <c r="S840" s="371"/>
      <c r="T840" s="371"/>
      <c r="U840" s="371"/>
      <c r="V840" s="371"/>
      <c r="W840" s="371"/>
      <c r="X840" s="371"/>
      <c r="Y840" s="371"/>
      <c r="Z840" s="371"/>
    </row>
    <row r="841" ht="26.25" customHeight="1">
      <c r="A841" s="371"/>
      <c r="B841" s="1265"/>
      <c r="C841" s="371"/>
      <c r="D841" s="371"/>
      <c r="E841" s="371"/>
      <c r="F841" s="371"/>
      <c r="G841" s="371"/>
      <c r="H841" s="371"/>
      <c r="I841" s="371"/>
      <c r="J841" s="371"/>
      <c r="K841" s="371"/>
      <c r="L841" s="371"/>
      <c r="M841" s="371"/>
      <c r="N841" s="371"/>
      <c r="O841" s="371"/>
      <c r="P841" s="371"/>
      <c r="Q841" s="371"/>
      <c r="R841" s="371"/>
      <c r="S841" s="371"/>
      <c r="T841" s="371"/>
      <c r="U841" s="371"/>
      <c r="V841" s="371"/>
      <c r="W841" s="371"/>
      <c r="X841" s="371"/>
      <c r="Y841" s="371"/>
      <c r="Z841" s="371"/>
    </row>
    <row r="842" ht="26.25" customHeight="1">
      <c r="A842" s="371"/>
      <c r="B842" s="1265"/>
      <c r="C842" s="371"/>
      <c r="D842" s="371"/>
      <c r="E842" s="371"/>
      <c r="F842" s="371"/>
      <c r="G842" s="371"/>
      <c r="H842" s="371"/>
      <c r="I842" s="371"/>
      <c r="J842" s="371"/>
      <c r="K842" s="371"/>
      <c r="L842" s="371"/>
      <c r="M842" s="371"/>
      <c r="N842" s="371"/>
      <c r="O842" s="371"/>
      <c r="P842" s="371"/>
      <c r="Q842" s="371"/>
      <c r="R842" s="371"/>
      <c r="S842" s="371"/>
      <c r="T842" s="371"/>
      <c r="U842" s="371"/>
      <c r="V842" s="371"/>
      <c r="W842" s="371"/>
      <c r="X842" s="371"/>
      <c r="Y842" s="371"/>
      <c r="Z842" s="371"/>
    </row>
    <row r="843" ht="26.25" customHeight="1">
      <c r="A843" s="371"/>
      <c r="B843" s="1265"/>
      <c r="C843" s="371"/>
      <c r="D843" s="371"/>
      <c r="E843" s="371"/>
      <c r="F843" s="371"/>
      <c r="G843" s="371"/>
      <c r="H843" s="371"/>
      <c r="I843" s="371"/>
      <c r="J843" s="371"/>
      <c r="K843" s="371"/>
      <c r="L843" s="371"/>
      <c r="M843" s="371"/>
      <c r="N843" s="371"/>
      <c r="O843" s="371"/>
      <c r="P843" s="371"/>
      <c r="Q843" s="371"/>
      <c r="R843" s="371"/>
      <c r="S843" s="371"/>
      <c r="T843" s="371"/>
      <c r="U843" s="371"/>
      <c r="V843" s="371"/>
      <c r="W843" s="371"/>
      <c r="X843" s="371"/>
      <c r="Y843" s="371"/>
      <c r="Z843" s="371"/>
    </row>
    <row r="844" ht="26.25" customHeight="1">
      <c r="A844" s="371"/>
      <c r="B844" s="1265"/>
      <c r="C844" s="371"/>
      <c r="D844" s="371"/>
      <c r="E844" s="371"/>
      <c r="F844" s="371"/>
      <c r="G844" s="371"/>
      <c r="H844" s="371"/>
      <c r="I844" s="371"/>
      <c r="J844" s="371"/>
      <c r="K844" s="371"/>
      <c r="L844" s="371"/>
      <c r="M844" s="371"/>
      <c r="N844" s="371"/>
      <c r="O844" s="371"/>
      <c r="P844" s="371"/>
      <c r="Q844" s="371"/>
      <c r="R844" s="371"/>
      <c r="S844" s="371"/>
      <c r="T844" s="371"/>
      <c r="U844" s="371"/>
      <c r="V844" s="371"/>
      <c r="W844" s="371"/>
      <c r="X844" s="371"/>
      <c r="Y844" s="371"/>
      <c r="Z844" s="371"/>
    </row>
    <row r="845" ht="26.25" customHeight="1">
      <c r="A845" s="371"/>
      <c r="B845" s="1265"/>
      <c r="C845" s="371"/>
      <c r="D845" s="371"/>
      <c r="E845" s="371"/>
      <c r="F845" s="371"/>
      <c r="G845" s="371"/>
      <c r="H845" s="371"/>
      <c r="I845" s="371"/>
      <c r="J845" s="371"/>
      <c r="K845" s="371"/>
      <c r="L845" s="371"/>
      <c r="M845" s="371"/>
      <c r="N845" s="371"/>
      <c r="O845" s="371"/>
      <c r="P845" s="371"/>
      <c r="Q845" s="371"/>
      <c r="R845" s="371"/>
      <c r="S845" s="371"/>
      <c r="T845" s="371"/>
      <c r="U845" s="371"/>
      <c r="V845" s="371"/>
      <c r="W845" s="371"/>
      <c r="X845" s="371"/>
      <c r="Y845" s="371"/>
      <c r="Z845" s="371"/>
    </row>
    <row r="846" ht="26.25" customHeight="1">
      <c r="A846" s="371"/>
      <c r="B846" s="1265"/>
      <c r="C846" s="371"/>
      <c r="D846" s="371"/>
      <c r="E846" s="371"/>
      <c r="F846" s="371"/>
      <c r="G846" s="371"/>
      <c r="H846" s="371"/>
      <c r="I846" s="371"/>
      <c r="J846" s="371"/>
      <c r="K846" s="371"/>
      <c r="L846" s="371"/>
      <c r="M846" s="371"/>
      <c r="N846" s="371"/>
      <c r="O846" s="371"/>
      <c r="P846" s="371"/>
      <c r="Q846" s="371"/>
      <c r="R846" s="371"/>
      <c r="S846" s="371"/>
      <c r="T846" s="371"/>
      <c r="U846" s="371"/>
      <c r="V846" s="371"/>
      <c r="W846" s="371"/>
      <c r="X846" s="371"/>
      <c r="Y846" s="371"/>
      <c r="Z846" s="371"/>
    </row>
    <row r="847" ht="26.25" customHeight="1">
      <c r="A847" s="371"/>
      <c r="B847" s="1265"/>
      <c r="C847" s="371"/>
      <c r="D847" s="371"/>
      <c r="E847" s="371"/>
      <c r="F847" s="371"/>
      <c r="G847" s="371"/>
      <c r="H847" s="371"/>
      <c r="I847" s="371"/>
      <c r="J847" s="371"/>
      <c r="K847" s="371"/>
      <c r="L847" s="371"/>
      <c r="M847" s="371"/>
      <c r="N847" s="371"/>
      <c r="O847" s="371"/>
      <c r="P847" s="371"/>
      <c r="Q847" s="371"/>
      <c r="R847" s="371"/>
      <c r="S847" s="371"/>
      <c r="T847" s="371"/>
      <c r="U847" s="371"/>
      <c r="V847" s="371"/>
      <c r="W847" s="371"/>
      <c r="X847" s="371"/>
      <c r="Y847" s="371"/>
      <c r="Z847" s="371"/>
    </row>
    <row r="848" ht="26.25" customHeight="1">
      <c r="A848" s="371"/>
      <c r="B848" s="1265"/>
      <c r="C848" s="371"/>
      <c r="D848" s="371"/>
      <c r="E848" s="371"/>
      <c r="F848" s="371"/>
      <c r="G848" s="371"/>
      <c r="H848" s="371"/>
      <c r="I848" s="371"/>
      <c r="J848" s="371"/>
      <c r="K848" s="371"/>
      <c r="L848" s="371"/>
      <c r="M848" s="371"/>
      <c r="N848" s="371"/>
      <c r="O848" s="371"/>
      <c r="P848" s="371"/>
      <c r="Q848" s="371"/>
      <c r="R848" s="371"/>
      <c r="S848" s="371"/>
      <c r="T848" s="371"/>
      <c r="U848" s="371"/>
      <c r="V848" s="371"/>
      <c r="W848" s="371"/>
      <c r="X848" s="371"/>
      <c r="Y848" s="371"/>
      <c r="Z848" s="371"/>
    </row>
    <row r="849" ht="26.25" customHeight="1">
      <c r="A849" s="371"/>
      <c r="B849" s="1265"/>
      <c r="C849" s="371"/>
      <c r="D849" s="371"/>
      <c r="E849" s="371"/>
      <c r="F849" s="371"/>
      <c r="G849" s="371"/>
      <c r="H849" s="371"/>
      <c r="I849" s="371"/>
      <c r="J849" s="371"/>
      <c r="K849" s="371"/>
      <c r="L849" s="371"/>
      <c r="M849" s="371"/>
      <c r="N849" s="371"/>
      <c r="O849" s="371"/>
      <c r="P849" s="371"/>
      <c r="Q849" s="371"/>
      <c r="R849" s="371"/>
      <c r="S849" s="371"/>
      <c r="T849" s="371"/>
      <c r="U849" s="371"/>
      <c r="V849" s="371"/>
      <c r="W849" s="371"/>
      <c r="X849" s="371"/>
      <c r="Y849" s="371"/>
      <c r="Z849" s="371"/>
    </row>
    <row r="850" ht="26.25" customHeight="1">
      <c r="A850" s="371"/>
      <c r="B850" s="1265"/>
      <c r="C850" s="371"/>
      <c r="D850" s="371"/>
      <c r="E850" s="371"/>
      <c r="F850" s="371"/>
      <c r="G850" s="371"/>
      <c r="H850" s="371"/>
      <c r="I850" s="371"/>
      <c r="J850" s="371"/>
      <c r="K850" s="371"/>
      <c r="L850" s="371"/>
      <c r="M850" s="371"/>
      <c r="N850" s="371"/>
      <c r="O850" s="371"/>
      <c r="P850" s="371"/>
      <c r="Q850" s="371"/>
      <c r="R850" s="371"/>
      <c r="S850" s="371"/>
      <c r="T850" s="371"/>
      <c r="U850" s="371"/>
      <c r="V850" s="371"/>
      <c r="W850" s="371"/>
      <c r="X850" s="371"/>
      <c r="Y850" s="371"/>
      <c r="Z850" s="371"/>
    </row>
    <row r="851" ht="26.25" customHeight="1">
      <c r="A851" s="371"/>
      <c r="B851" s="1265"/>
      <c r="C851" s="371"/>
      <c r="D851" s="371"/>
      <c r="E851" s="371"/>
      <c r="F851" s="371"/>
      <c r="G851" s="371"/>
      <c r="H851" s="371"/>
      <c r="I851" s="371"/>
      <c r="J851" s="371"/>
      <c r="K851" s="371"/>
      <c r="L851" s="371"/>
      <c r="M851" s="371"/>
      <c r="N851" s="371"/>
      <c r="O851" s="371"/>
      <c r="P851" s="371"/>
      <c r="Q851" s="371"/>
      <c r="R851" s="371"/>
      <c r="S851" s="371"/>
      <c r="T851" s="371"/>
      <c r="U851" s="371"/>
      <c r="V851" s="371"/>
      <c r="W851" s="371"/>
      <c r="X851" s="371"/>
      <c r="Y851" s="371"/>
      <c r="Z851" s="371"/>
    </row>
    <row r="852" ht="26.25" customHeight="1">
      <c r="A852" s="371"/>
      <c r="B852" s="1265"/>
      <c r="C852" s="371"/>
      <c r="D852" s="371"/>
      <c r="E852" s="371"/>
      <c r="F852" s="371"/>
      <c r="G852" s="371"/>
      <c r="H852" s="371"/>
      <c r="I852" s="371"/>
      <c r="J852" s="371"/>
      <c r="K852" s="371"/>
      <c r="L852" s="371"/>
      <c r="M852" s="371"/>
      <c r="N852" s="371"/>
      <c r="O852" s="371"/>
      <c r="P852" s="371"/>
      <c r="Q852" s="371"/>
      <c r="R852" s="371"/>
      <c r="S852" s="371"/>
      <c r="T852" s="371"/>
      <c r="U852" s="371"/>
      <c r="V852" s="371"/>
      <c r="W852" s="371"/>
      <c r="X852" s="371"/>
      <c r="Y852" s="371"/>
      <c r="Z852" s="371"/>
    </row>
    <row r="853" ht="26.25" customHeight="1">
      <c r="A853" s="371"/>
      <c r="B853" s="1265"/>
      <c r="C853" s="371"/>
      <c r="D853" s="371"/>
      <c r="E853" s="371"/>
      <c r="F853" s="371"/>
      <c r="G853" s="371"/>
      <c r="H853" s="371"/>
      <c r="I853" s="371"/>
      <c r="J853" s="371"/>
      <c r="K853" s="371"/>
      <c r="L853" s="371"/>
      <c r="M853" s="371"/>
      <c r="N853" s="371"/>
      <c r="O853" s="371"/>
      <c r="P853" s="371"/>
      <c r="Q853" s="371"/>
      <c r="R853" s="371"/>
      <c r="S853" s="371"/>
      <c r="T853" s="371"/>
      <c r="U853" s="371"/>
      <c r="V853" s="371"/>
      <c r="W853" s="371"/>
      <c r="X853" s="371"/>
      <c r="Y853" s="371"/>
      <c r="Z853" s="371"/>
    </row>
    <row r="854" ht="26.25" customHeight="1">
      <c r="A854" s="371"/>
      <c r="B854" s="1265"/>
      <c r="C854" s="371"/>
      <c r="D854" s="371"/>
      <c r="E854" s="371"/>
      <c r="F854" s="371"/>
      <c r="G854" s="371"/>
      <c r="H854" s="371"/>
      <c r="I854" s="371"/>
      <c r="J854" s="371"/>
      <c r="K854" s="371"/>
      <c r="L854" s="371"/>
      <c r="M854" s="371"/>
      <c r="N854" s="371"/>
      <c r="O854" s="371"/>
      <c r="P854" s="371"/>
      <c r="Q854" s="371"/>
      <c r="R854" s="371"/>
      <c r="S854" s="371"/>
      <c r="T854" s="371"/>
      <c r="U854" s="371"/>
      <c r="V854" s="371"/>
      <c r="W854" s="371"/>
      <c r="X854" s="371"/>
      <c r="Y854" s="371"/>
      <c r="Z854" s="371"/>
    </row>
    <row r="855" ht="26.25" customHeight="1">
      <c r="A855" s="371"/>
      <c r="B855" s="1265"/>
      <c r="C855" s="371"/>
      <c r="D855" s="371"/>
      <c r="E855" s="371"/>
      <c r="F855" s="371"/>
      <c r="G855" s="371"/>
      <c r="H855" s="371"/>
      <c r="I855" s="371"/>
      <c r="J855" s="371"/>
      <c r="K855" s="371"/>
      <c r="L855" s="371"/>
      <c r="M855" s="371"/>
      <c r="N855" s="371"/>
      <c r="O855" s="371"/>
      <c r="P855" s="371"/>
      <c r="Q855" s="371"/>
      <c r="R855" s="371"/>
      <c r="S855" s="371"/>
      <c r="T855" s="371"/>
      <c r="U855" s="371"/>
      <c r="V855" s="371"/>
      <c r="W855" s="371"/>
      <c r="X855" s="371"/>
      <c r="Y855" s="371"/>
      <c r="Z855" s="371"/>
    </row>
    <row r="856" ht="26.25" customHeight="1">
      <c r="A856" s="371"/>
      <c r="B856" s="1265"/>
      <c r="C856" s="371"/>
      <c r="D856" s="371"/>
      <c r="E856" s="371"/>
      <c r="F856" s="371"/>
      <c r="G856" s="371"/>
      <c r="H856" s="371"/>
      <c r="I856" s="371"/>
      <c r="J856" s="371"/>
      <c r="K856" s="371"/>
      <c r="L856" s="371"/>
      <c r="M856" s="371"/>
      <c r="N856" s="371"/>
      <c r="O856" s="371"/>
      <c r="P856" s="371"/>
      <c r="Q856" s="371"/>
      <c r="R856" s="371"/>
      <c r="S856" s="371"/>
      <c r="T856" s="371"/>
      <c r="U856" s="371"/>
      <c r="V856" s="371"/>
      <c r="W856" s="371"/>
      <c r="X856" s="371"/>
      <c r="Y856" s="371"/>
      <c r="Z856" s="371"/>
    </row>
    <row r="857" ht="26.25" customHeight="1">
      <c r="A857" s="371"/>
      <c r="B857" s="1265"/>
      <c r="C857" s="371"/>
      <c r="D857" s="371"/>
      <c r="E857" s="371"/>
      <c r="F857" s="371"/>
      <c r="G857" s="371"/>
      <c r="H857" s="371"/>
      <c r="I857" s="371"/>
      <c r="J857" s="371"/>
      <c r="K857" s="371"/>
      <c r="L857" s="371"/>
      <c r="M857" s="371"/>
      <c r="N857" s="371"/>
      <c r="O857" s="371"/>
      <c r="P857" s="371"/>
      <c r="Q857" s="371"/>
      <c r="R857" s="371"/>
      <c r="S857" s="371"/>
      <c r="T857" s="371"/>
      <c r="U857" s="371"/>
      <c r="V857" s="371"/>
      <c r="W857" s="371"/>
      <c r="X857" s="371"/>
      <c r="Y857" s="371"/>
      <c r="Z857" s="371"/>
    </row>
    <row r="858" ht="26.25" customHeight="1">
      <c r="A858" s="371"/>
      <c r="B858" s="1265"/>
      <c r="C858" s="371"/>
      <c r="D858" s="371"/>
      <c r="E858" s="371"/>
      <c r="F858" s="371"/>
      <c r="G858" s="371"/>
      <c r="H858" s="371"/>
      <c r="I858" s="371"/>
      <c r="J858" s="371"/>
      <c r="K858" s="371"/>
      <c r="L858" s="371"/>
      <c r="M858" s="371"/>
      <c r="N858" s="371"/>
      <c r="O858" s="371"/>
      <c r="P858" s="371"/>
      <c r="Q858" s="371"/>
      <c r="R858" s="371"/>
      <c r="S858" s="371"/>
      <c r="T858" s="371"/>
      <c r="U858" s="371"/>
      <c r="V858" s="371"/>
      <c r="W858" s="371"/>
      <c r="X858" s="371"/>
      <c r="Y858" s="371"/>
      <c r="Z858" s="371"/>
    </row>
    <row r="859" ht="26.25" customHeight="1">
      <c r="A859" s="371"/>
      <c r="B859" s="1265"/>
      <c r="C859" s="371"/>
      <c r="D859" s="371"/>
      <c r="E859" s="371"/>
      <c r="F859" s="371"/>
      <c r="G859" s="371"/>
      <c r="H859" s="371"/>
      <c r="I859" s="371"/>
      <c r="J859" s="371"/>
      <c r="K859" s="371"/>
      <c r="L859" s="371"/>
      <c r="M859" s="371"/>
      <c r="N859" s="371"/>
      <c r="O859" s="371"/>
      <c r="P859" s="371"/>
      <c r="Q859" s="371"/>
      <c r="R859" s="371"/>
      <c r="S859" s="371"/>
      <c r="T859" s="371"/>
      <c r="U859" s="371"/>
      <c r="V859" s="371"/>
      <c r="W859" s="371"/>
      <c r="X859" s="371"/>
      <c r="Y859" s="371"/>
      <c r="Z859" s="371"/>
    </row>
    <row r="860" ht="26.25" customHeight="1">
      <c r="A860" s="371"/>
      <c r="B860" s="1265"/>
      <c r="C860" s="371"/>
      <c r="D860" s="371"/>
      <c r="E860" s="371"/>
      <c r="F860" s="371"/>
      <c r="G860" s="371"/>
      <c r="H860" s="371"/>
      <c r="I860" s="371"/>
      <c r="J860" s="371"/>
      <c r="K860" s="371"/>
      <c r="L860" s="371"/>
      <c r="M860" s="371"/>
      <c r="N860" s="371"/>
      <c r="O860" s="371"/>
      <c r="P860" s="371"/>
      <c r="Q860" s="371"/>
      <c r="R860" s="371"/>
      <c r="S860" s="371"/>
      <c r="T860" s="371"/>
      <c r="U860" s="371"/>
      <c r="V860" s="371"/>
      <c r="W860" s="371"/>
      <c r="X860" s="371"/>
      <c r="Y860" s="371"/>
      <c r="Z860" s="371"/>
    </row>
    <row r="861" ht="26.25" customHeight="1">
      <c r="A861" s="371"/>
      <c r="B861" s="1265"/>
      <c r="C861" s="371"/>
      <c r="D861" s="371"/>
      <c r="E861" s="371"/>
      <c r="F861" s="371"/>
      <c r="G861" s="371"/>
      <c r="H861" s="371"/>
      <c r="I861" s="371"/>
      <c r="J861" s="371"/>
      <c r="K861" s="371"/>
      <c r="L861" s="371"/>
      <c r="M861" s="371"/>
      <c r="N861" s="371"/>
      <c r="O861" s="371"/>
      <c r="P861" s="371"/>
      <c r="Q861" s="371"/>
      <c r="R861" s="371"/>
      <c r="S861" s="371"/>
      <c r="T861" s="371"/>
      <c r="U861" s="371"/>
      <c r="V861" s="371"/>
      <c r="W861" s="371"/>
      <c r="X861" s="371"/>
      <c r="Y861" s="371"/>
      <c r="Z861" s="371"/>
    </row>
    <row r="862" ht="26.25" customHeight="1">
      <c r="A862" s="371"/>
      <c r="B862" s="1265"/>
      <c r="C862" s="371"/>
      <c r="D862" s="371"/>
      <c r="E862" s="371"/>
      <c r="F862" s="371"/>
      <c r="G862" s="371"/>
      <c r="H862" s="371"/>
      <c r="I862" s="371"/>
      <c r="J862" s="371"/>
      <c r="K862" s="371"/>
      <c r="L862" s="371"/>
      <c r="M862" s="371"/>
      <c r="N862" s="371"/>
      <c r="O862" s="371"/>
      <c r="P862" s="371"/>
      <c r="Q862" s="371"/>
      <c r="R862" s="371"/>
      <c r="S862" s="371"/>
      <c r="T862" s="371"/>
      <c r="U862" s="371"/>
      <c r="V862" s="371"/>
      <c r="W862" s="371"/>
      <c r="X862" s="371"/>
      <c r="Y862" s="371"/>
      <c r="Z862" s="371"/>
    </row>
    <row r="863" ht="26.25" customHeight="1">
      <c r="A863" s="371"/>
      <c r="B863" s="1265"/>
      <c r="C863" s="371"/>
      <c r="D863" s="371"/>
      <c r="E863" s="371"/>
      <c r="F863" s="371"/>
      <c r="G863" s="371"/>
      <c r="H863" s="371"/>
      <c r="I863" s="371"/>
      <c r="J863" s="371"/>
      <c r="K863" s="371"/>
      <c r="L863" s="371"/>
      <c r="M863" s="371"/>
      <c r="N863" s="371"/>
      <c r="O863" s="371"/>
      <c r="P863" s="371"/>
      <c r="Q863" s="371"/>
      <c r="R863" s="371"/>
      <c r="S863" s="371"/>
      <c r="T863" s="371"/>
      <c r="U863" s="371"/>
      <c r="V863" s="371"/>
      <c r="W863" s="371"/>
      <c r="X863" s="371"/>
      <c r="Y863" s="371"/>
      <c r="Z863" s="371"/>
    </row>
    <row r="864" ht="26.25" customHeight="1">
      <c r="A864" s="371"/>
      <c r="B864" s="1265"/>
      <c r="C864" s="371"/>
      <c r="D864" s="371"/>
      <c r="E864" s="371"/>
      <c r="F864" s="371"/>
      <c r="G864" s="371"/>
      <c r="H864" s="371"/>
      <c r="I864" s="371"/>
      <c r="J864" s="371"/>
      <c r="K864" s="371"/>
      <c r="L864" s="371"/>
      <c r="M864" s="371"/>
      <c r="N864" s="371"/>
      <c r="O864" s="371"/>
      <c r="P864" s="371"/>
      <c r="Q864" s="371"/>
      <c r="R864" s="371"/>
      <c r="S864" s="371"/>
      <c r="T864" s="371"/>
      <c r="U864" s="371"/>
      <c r="V864" s="371"/>
      <c r="W864" s="371"/>
      <c r="X864" s="371"/>
      <c r="Y864" s="371"/>
      <c r="Z864" s="371"/>
    </row>
    <row r="865" ht="26.25" customHeight="1">
      <c r="A865" s="371"/>
      <c r="B865" s="1265"/>
      <c r="C865" s="371"/>
      <c r="D865" s="371"/>
      <c r="E865" s="371"/>
      <c r="F865" s="371"/>
      <c r="G865" s="371"/>
      <c r="H865" s="371"/>
      <c r="I865" s="371"/>
      <c r="J865" s="371"/>
      <c r="K865" s="371"/>
      <c r="L865" s="371"/>
      <c r="M865" s="371"/>
      <c r="N865" s="371"/>
      <c r="O865" s="371"/>
      <c r="P865" s="371"/>
      <c r="Q865" s="371"/>
      <c r="R865" s="371"/>
      <c r="S865" s="371"/>
      <c r="T865" s="371"/>
      <c r="U865" s="371"/>
      <c r="V865" s="371"/>
      <c r="W865" s="371"/>
      <c r="X865" s="371"/>
      <c r="Y865" s="371"/>
      <c r="Z865" s="371"/>
    </row>
    <row r="866" ht="26.25" customHeight="1">
      <c r="A866" s="371"/>
      <c r="B866" s="1265"/>
      <c r="C866" s="371"/>
      <c r="D866" s="371"/>
      <c r="E866" s="371"/>
      <c r="F866" s="371"/>
      <c r="G866" s="371"/>
      <c r="H866" s="371"/>
      <c r="I866" s="371"/>
      <c r="J866" s="371"/>
      <c r="K866" s="371"/>
      <c r="L866" s="371"/>
      <c r="M866" s="371"/>
      <c r="N866" s="371"/>
      <c r="O866" s="371"/>
      <c r="P866" s="371"/>
      <c r="Q866" s="371"/>
      <c r="R866" s="371"/>
      <c r="S866" s="371"/>
      <c r="T866" s="371"/>
      <c r="U866" s="371"/>
      <c r="V866" s="371"/>
      <c r="W866" s="371"/>
      <c r="X866" s="371"/>
      <c r="Y866" s="371"/>
      <c r="Z866" s="371"/>
    </row>
    <row r="867" ht="26.25" customHeight="1">
      <c r="A867" s="371"/>
      <c r="B867" s="1265"/>
      <c r="C867" s="371"/>
      <c r="D867" s="371"/>
      <c r="E867" s="371"/>
      <c r="F867" s="371"/>
      <c r="G867" s="371"/>
      <c r="H867" s="371"/>
      <c r="I867" s="371"/>
      <c r="J867" s="371"/>
      <c r="K867" s="371"/>
      <c r="L867" s="371"/>
      <c r="M867" s="371"/>
      <c r="N867" s="371"/>
      <c r="O867" s="371"/>
      <c r="P867" s="371"/>
      <c r="Q867" s="371"/>
      <c r="R867" s="371"/>
      <c r="S867" s="371"/>
      <c r="T867" s="371"/>
      <c r="U867" s="371"/>
      <c r="V867" s="371"/>
      <c r="W867" s="371"/>
      <c r="X867" s="371"/>
      <c r="Y867" s="371"/>
      <c r="Z867" s="371"/>
    </row>
    <row r="868" ht="26.25" customHeight="1">
      <c r="A868" s="371"/>
      <c r="B868" s="1265"/>
      <c r="C868" s="371"/>
      <c r="D868" s="371"/>
      <c r="E868" s="371"/>
      <c r="F868" s="371"/>
      <c r="G868" s="371"/>
      <c r="H868" s="371"/>
      <c r="I868" s="371"/>
      <c r="J868" s="371"/>
      <c r="K868" s="371"/>
      <c r="L868" s="371"/>
      <c r="M868" s="371"/>
      <c r="N868" s="371"/>
      <c r="O868" s="371"/>
      <c r="P868" s="371"/>
      <c r="Q868" s="371"/>
      <c r="R868" s="371"/>
      <c r="S868" s="371"/>
      <c r="T868" s="371"/>
      <c r="U868" s="371"/>
      <c r="V868" s="371"/>
      <c r="W868" s="371"/>
      <c r="X868" s="371"/>
      <c r="Y868" s="371"/>
      <c r="Z868" s="371"/>
    </row>
    <row r="869" ht="26.25" customHeight="1">
      <c r="A869" s="371"/>
      <c r="B869" s="1265"/>
      <c r="C869" s="371"/>
      <c r="D869" s="371"/>
      <c r="E869" s="371"/>
      <c r="F869" s="371"/>
      <c r="G869" s="371"/>
      <c r="H869" s="371"/>
      <c r="I869" s="371"/>
      <c r="J869" s="371"/>
      <c r="K869" s="371"/>
      <c r="L869" s="371"/>
      <c r="M869" s="371"/>
      <c r="N869" s="371"/>
      <c r="O869" s="371"/>
      <c r="P869" s="371"/>
      <c r="Q869" s="371"/>
      <c r="R869" s="371"/>
      <c r="S869" s="371"/>
      <c r="T869" s="371"/>
      <c r="U869" s="371"/>
      <c r="V869" s="371"/>
      <c r="W869" s="371"/>
      <c r="X869" s="371"/>
      <c r="Y869" s="371"/>
      <c r="Z869" s="371"/>
    </row>
    <row r="870" ht="26.25" customHeight="1">
      <c r="A870" s="371"/>
      <c r="B870" s="1265"/>
      <c r="C870" s="371"/>
      <c r="D870" s="371"/>
      <c r="E870" s="371"/>
      <c r="F870" s="371"/>
      <c r="G870" s="371"/>
      <c r="H870" s="371"/>
      <c r="I870" s="371"/>
      <c r="J870" s="371"/>
      <c r="K870" s="371"/>
      <c r="L870" s="371"/>
      <c r="M870" s="371"/>
      <c r="N870" s="371"/>
      <c r="O870" s="371"/>
      <c r="P870" s="371"/>
      <c r="Q870" s="371"/>
      <c r="R870" s="371"/>
      <c r="S870" s="371"/>
      <c r="T870" s="371"/>
      <c r="U870" s="371"/>
      <c r="V870" s="371"/>
      <c r="W870" s="371"/>
      <c r="X870" s="371"/>
      <c r="Y870" s="371"/>
      <c r="Z870" s="371"/>
    </row>
    <row r="871" ht="26.25" customHeight="1">
      <c r="A871" s="371"/>
      <c r="B871" s="1265"/>
      <c r="C871" s="371"/>
      <c r="D871" s="371"/>
      <c r="E871" s="371"/>
      <c r="F871" s="371"/>
      <c r="G871" s="371"/>
      <c r="H871" s="371"/>
      <c r="I871" s="371"/>
      <c r="J871" s="371"/>
      <c r="K871" s="371"/>
      <c r="L871" s="371"/>
      <c r="M871" s="371"/>
      <c r="N871" s="371"/>
      <c r="O871" s="371"/>
      <c r="P871" s="371"/>
      <c r="Q871" s="371"/>
      <c r="R871" s="371"/>
      <c r="S871" s="371"/>
      <c r="T871" s="371"/>
      <c r="U871" s="371"/>
      <c r="V871" s="371"/>
      <c r="W871" s="371"/>
      <c r="X871" s="371"/>
      <c r="Y871" s="371"/>
      <c r="Z871" s="371"/>
    </row>
    <row r="872" ht="26.25" customHeight="1">
      <c r="A872" s="371"/>
      <c r="B872" s="1265"/>
      <c r="C872" s="371"/>
      <c r="D872" s="371"/>
      <c r="E872" s="371"/>
      <c r="F872" s="371"/>
      <c r="G872" s="371"/>
      <c r="H872" s="371"/>
      <c r="I872" s="371"/>
      <c r="J872" s="371"/>
      <c r="K872" s="371"/>
      <c r="L872" s="371"/>
      <c r="M872" s="371"/>
      <c r="N872" s="371"/>
      <c r="O872" s="371"/>
      <c r="P872" s="371"/>
      <c r="Q872" s="371"/>
      <c r="R872" s="371"/>
      <c r="S872" s="371"/>
      <c r="T872" s="371"/>
      <c r="U872" s="371"/>
      <c r="V872" s="371"/>
      <c r="W872" s="371"/>
      <c r="X872" s="371"/>
      <c r="Y872" s="371"/>
      <c r="Z872" s="371"/>
    </row>
    <row r="873" ht="26.25" customHeight="1">
      <c r="A873" s="371"/>
      <c r="B873" s="1265"/>
      <c r="C873" s="371"/>
      <c r="D873" s="371"/>
      <c r="E873" s="371"/>
      <c r="F873" s="371"/>
      <c r="G873" s="371"/>
      <c r="H873" s="371"/>
      <c r="I873" s="371"/>
      <c r="J873" s="371"/>
      <c r="K873" s="371"/>
      <c r="L873" s="371"/>
      <c r="M873" s="371"/>
      <c r="N873" s="371"/>
      <c r="O873" s="371"/>
      <c r="P873" s="371"/>
      <c r="Q873" s="371"/>
      <c r="R873" s="371"/>
      <c r="S873" s="371"/>
      <c r="T873" s="371"/>
      <c r="U873" s="371"/>
      <c r="V873" s="371"/>
      <c r="W873" s="371"/>
      <c r="X873" s="371"/>
      <c r="Y873" s="371"/>
      <c r="Z873" s="371"/>
    </row>
    <row r="874" ht="26.25" customHeight="1">
      <c r="A874" s="371"/>
      <c r="B874" s="1265"/>
      <c r="C874" s="371"/>
      <c r="D874" s="371"/>
      <c r="E874" s="371"/>
      <c r="F874" s="371"/>
      <c r="G874" s="371"/>
      <c r="H874" s="371"/>
      <c r="I874" s="371"/>
      <c r="J874" s="371"/>
      <c r="K874" s="371"/>
      <c r="L874" s="371"/>
      <c r="M874" s="371"/>
      <c r="N874" s="371"/>
      <c r="O874" s="371"/>
      <c r="P874" s="371"/>
      <c r="Q874" s="371"/>
      <c r="R874" s="371"/>
      <c r="S874" s="371"/>
      <c r="T874" s="371"/>
      <c r="U874" s="371"/>
      <c r="V874" s="371"/>
      <c r="W874" s="371"/>
      <c r="X874" s="371"/>
      <c r="Y874" s="371"/>
      <c r="Z874" s="371"/>
    </row>
    <row r="875" ht="26.25" customHeight="1">
      <c r="A875" s="371"/>
      <c r="B875" s="1265"/>
      <c r="C875" s="371"/>
      <c r="D875" s="371"/>
      <c r="E875" s="371"/>
      <c r="F875" s="371"/>
      <c r="G875" s="371"/>
      <c r="H875" s="371"/>
      <c r="I875" s="371"/>
      <c r="J875" s="371"/>
      <c r="K875" s="371"/>
      <c r="L875" s="371"/>
      <c r="M875" s="371"/>
      <c r="N875" s="371"/>
      <c r="O875" s="371"/>
      <c r="P875" s="371"/>
      <c r="Q875" s="371"/>
      <c r="R875" s="371"/>
      <c r="S875" s="371"/>
      <c r="T875" s="371"/>
      <c r="U875" s="371"/>
      <c r="V875" s="371"/>
      <c r="W875" s="371"/>
      <c r="X875" s="371"/>
      <c r="Y875" s="371"/>
      <c r="Z875" s="371"/>
    </row>
    <row r="876" ht="26.25" customHeight="1">
      <c r="A876" s="371"/>
      <c r="B876" s="1265"/>
      <c r="C876" s="371"/>
      <c r="D876" s="371"/>
      <c r="E876" s="371"/>
      <c r="F876" s="371"/>
      <c r="G876" s="371"/>
      <c r="H876" s="371"/>
      <c r="I876" s="371"/>
      <c r="J876" s="371"/>
      <c r="K876" s="371"/>
      <c r="L876" s="371"/>
      <c r="M876" s="371"/>
      <c r="N876" s="371"/>
      <c r="O876" s="371"/>
      <c r="P876" s="371"/>
      <c r="Q876" s="371"/>
      <c r="R876" s="371"/>
      <c r="S876" s="371"/>
      <c r="T876" s="371"/>
      <c r="U876" s="371"/>
      <c r="V876" s="371"/>
      <c r="W876" s="371"/>
      <c r="X876" s="371"/>
      <c r="Y876" s="371"/>
      <c r="Z876" s="371"/>
    </row>
    <row r="877" ht="26.25" customHeight="1">
      <c r="A877" s="371"/>
      <c r="B877" s="1265"/>
      <c r="C877" s="371"/>
      <c r="D877" s="371"/>
      <c r="E877" s="371"/>
      <c r="F877" s="371"/>
      <c r="G877" s="371"/>
      <c r="H877" s="371"/>
      <c r="I877" s="371"/>
      <c r="J877" s="371"/>
      <c r="K877" s="371"/>
      <c r="L877" s="371"/>
      <c r="M877" s="371"/>
      <c r="N877" s="371"/>
      <c r="O877" s="371"/>
      <c r="P877" s="371"/>
      <c r="Q877" s="371"/>
      <c r="R877" s="371"/>
      <c r="S877" s="371"/>
      <c r="T877" s="371"/>
      <c r="U877" s="371"/>
      <c r="V877" s="371"/>
      <c r="W877" s="371"/>
      <c r="X877" s="371"/>
      <c r="Y877" s="371"/>
      <c r="Z877" s="371"/>
    </row>
    <row r="878" ht="26.25" customHeight="1">
      <c r="A878" s="371"/>
      <c r="B878" s="1265"/>
      <c r="C878" s="371"/>
      <c r="D878" s="371"/>
      <c r="E878" s="371"/>
      <c r="F878" s="371"/>
      <c r="G878" s="371"/>
      <c r="H878" s="371"/>
      <c r="I878" s="371"/>
      <c r="J878" s="371"/>
      <c r="K878" s="371"/>
      <c r="L878" s="371"/>
      <c r="M878" s="371"/>
      <c r="N878" s="371"/>
      <c r="O878" s="371"/>
      <c r="P878" s="371"/>
      <c r="Q878" s="371"/>
      <c r="R878" s="371"/>
      <c r="S878" s="371"/>
      <c r="T878" s="371"/>
      <c r="U878" s="371"/>
      <c r="V878" s="371"/>
      <c r="W878" s="371"/>
      <c r="X878" s="371"/>
      <c r="Y878" s="371"/>
      <c r="Z878" s="371"/>
    </row>
    <row r="879" ht="26.25" customHeight="1">
      <c r="A879" s="371"/>
      <c r="B879" s="1265"/>
      <c r="C879" s="371"/>
      <c r="D879" s="371"/>
      <c r="E879" s="371"/>
      <c r="F879" s="371"/>
      <c r="G879" s="371"/>
      <c r="H879" s="371"/>
      <c r="I879" s="371"/>
      <c r="J879" s="371"/>
      <c r="K879" s="371"/>
      <c r="L879" s="371"/>
      <c r="M879" s="371"/>
      <c r="N879" s="371"/>
      <c r="O879" s="371"/>
      <c r="P879" s="371"/>
      <c r="Q879" s="371"/>
      <c r="R879" s="371"/>
      <c r="S879" s="371"/>
      <c r="T879" s="371"/>
      <c r="U879" s="371"/>
      <c r="V879" s="371"/>
      <c r="W879" s="371"/>
      <c r="X879" s="371"/>
      <c r="Y879" s="371"/>
      <c r="Z879" s="371"/>
    </row>
    <row r="880" ht="26.25" customHeight="1">
      <c r="A880" s="371"/>
      <c r="B880" s="1265"/>
      <c r="C880" s="371"/>
      <c r="D880" s="371"/>
      <c r="E880" s="371"/>
      <c r="F880" s="371"/>
      <c r="G880" s="371"/>
      <c r="H880" s="371"/>
      <c r="I880" s="371"/>
      <c r="J880" s="371"/>
      <c r="K880" s="371"/>
      <c r="L880" s="371"/>
      <c r="M880" s="371"/>
      <c r="N880" s="371"/>
      <c r="O880" s="371"/>
      <c r="P880" s="371"/>
      <c r="Q880" s="371"/>
      <c r="R880" s="371"/>
      <c r="S880" s="371"/>
      <c r="T880" s="371"/>
      <c r="U880" s="371"/>
      <c r="V880" s="371"/>
      <c r="W880" s="371"/>
      <c r="X880" s="371"/>
      <c r="Y880" s="371"/>
      <c r="Z880" s="371"/>
    </row>
    <row r="881" ht="26.25" customHeight="1">
      <c r="A881" s="371"/>
      <c r="B881" s="1265"/>
      <c r="C881" s="371"/>
      <c r="D881" s="371"/>
      <c r="E881" s="371"/>
      <c r="F881" s="371"/>
      <c r="G881" s="371"/>
      <c r="H881" s="371"/>
      <c r="I881" s="371"/>
      <c r="J881" s="371"/>
      <c r="K881" s="371"/>
      <c r="L881" s="371"/>
      <c r="M881" s="371"/>
      <c r="N881" s="371"/>
      <c r="O881" s="371"/>
      <c r="P881" s="371"/>
      <c r="Q881" s="371"/>
      <c r="R881" s="371"/>
      <c r="S881" s="371"/>
      <c r="T881" s="371"/>
      <c r="U881" s="371"/>
      <c r="V881" s="371"/>
      <c r="W881" s="371"/>
      <c r="X881" s="371"/>
      <c r="Y881" s="371"/>
      <c r="Z881" s="371"/>
    </row>
    <row r="882" ht="26.25" customHeight="1">
      <c r="A882" s="371"/>
      <c r="B882" s="1265"/>
      <c r="C882" s="371"/>
      <c r="D882" s="371"/>
      <c r="E882" s="371"/>
      <c r="F882" s="371"/>
      <c r="G882" s="371"/>
      <c r="H882" s="371"/>
      <c r="I882" s="371"/>
      <c r="J882" s="371"/>
      <c r="K882" s="371"/>
      <c r="L882" s="371"/>
      <c r="M882" s="371"/>
      <c r="N882" s="371"/>
      <c r="O882" s="371"/>
      <c r="P882" s="371"/>
      <c r="Q882" s="371"/>
      <c r="R882" s="371"/>
      <c r="S882" s="371"/>
      <c r="T882" s="371"/>
      <c r="U882" s="371"/>
      <c r="V882" s="371"/>
      <c r="W882" s="371"/>
      <c r="X882" s="371"/>
      <c r="Y882" s="371"/>
      <c r="Z882" s="371"/>
    </row>
    <row r="883" ht="26.25" customHeight="1">
      <c r="A883" s="371"/>
      <c r="B883" s="1265"/>
      <c r="C883" s="371"/>
      <c r="D883" s="371"/>
      <c r="E883" s="371"/>
      <c r="F883" s="371"/>
      <c r="G883" s="371"/>
      <c r="H883" s="371"/>
      <c r="I883" s="371"/>
      <c r="J883" s="371"/>
      <c r="K883" s="371"/>
      <c r="L883" s="371"/>
      <c r="M883" s="371"/>
      <c r="N883" s="371"/>
      <c r="O883" s="371"/>
      <c r="P883" s="371"/>
      <c r="Q883" s="371"/>
      <c r="R883" s="371"/>
      <c r="S883" s="371"/>
      <c r="T883" s="371"/>
      <c r="U883" s="371"/>
      <c r="V883" s="371"/>
      <c r="W883" s="371"/>
      <c r="X883" s="371"/>
      <c r="Y883" s="371"/>
      <c r="Z883" s="371"/>
    </row>
    <row r="884" ht="26.25" customHeight="1">
      <c r="A884" s="371"/>
      <c r="B884" s="1265"/>
      <c r="C884" s="371"/>
      <c r="D884" s="371"/>
      <c r="E884" s="371"/>
      <c r="F884" s="371"/>
      <c r="G884" s="371"/>
      <c r="H884" s="371"/>
      <c r="I884" s="371"/>
      <c r="J884" s="371"/>
      <c r="K884" s="371"/>
      <c r="L884" s="371"/>
      <c r="M884" s="371"/>
      <c r="N884" s="371"/>
      <c r="O884" s="371"/>
      <c r="P884" s="371"/>
      <c r="Q884" s="371"/>
      <c r="R884" s="371"/>
      <c r="S884" s="371"/>
      <c r="T884" s="371"/>
      <c r="U884" s="371"/>
      <c r="V884" s="371"/>
      <c r="W884" s="371"/>
      <c r="X884" s="371"/>
      <c r="Y884" s="371"/>
      <c r="Z884" s="371"/>
    </row>
    <row r="885" ht="26.25" customHeight="1">
      <c r="A885" s="371"/>
      <c r="B885" s="1265"/>
      <c r="C885" s="371"/>
      <c r="D885" s="371"/>
      <c r="E885" s="371"/>
      <c r="F885" s="371"/>
      <c r="G885" s="371"/>
      <c r="H885" s="371"/>
      <c r="I885" s="371"/>
      <c r="J885" s="371"/>
      <c r="K885" s="371"/>
      <c r="L885" s="371"/>
      <c r="M885" s="371"/>
      <c r="N885" s="371"/>
      <c r="O885" s="371"/>
      <c r="P885" s="371"/>
      <c r="Q885" s="371"/>
      <c r="R885" s="371"/>
      <c r="S885" s="371"/>
      <c r="T885" s="371"/>
      <c r="U885" s="371"/>
      <c r="V885" s="371"/>
      <c r="W885" s="371"/>
      <c r="X885" s="371"/>
      <c r="Y885" s="371"/>
      <c r="Z885" s="371"/>
    </row>
    <row r="886" ht="26.25" customHeight="1">
      <c r="A886" s="371"/>
      <c r="B886" s="1265"/>
      <c r="C886" s="371"/>
      <c r="D886" s="371"/>
      <c r="E886" s="371"/>
      <c r="F886" s="371"/>
      <c r="G886" s="371"/>
      <c r="H886" s="371"/>
      <c r="I886" s="371"/>
      <c r="J886" s="371"/>
      <c r="K886" s="371"/>
      <c r="L886" s="371"/>
      <c r="M886" s="371"/>
      <c r="N886" s="371"/>
      <c r="O886" s="371"/>
      <c r="P886" s="371"/>
      <c r="Q886" s="371"/>
      <c r="R886" s="371"/>
      <c r="S886" s="371"/>
      <c r="T886" s="371"/>
      <c r="U886" s="371"/>
      <c r="V886" s="371"/>
      <c r="W886" s="371"/>
      <c r="X886" s="371"/>
      <c r="Y886" s="371"/>
      <c r="Z886" s="371"/>
    </row>
    <row r="887" ht="26.25" customHeight="1">
      <c r="A887" s="371"/>
      <c r="B887" s="1265"/>
      <c r="C887" s="371"/>
      <c r="D887" s="371"/>
      <c r="E887" s="371"/>
      <c r="F887" s="371"/>
      <c r="G887" s="371"/>
      <c r="H887" s="371"/>
      <c r="I887" s="371"/>
      <c r="J887" s="371"/>
      <c r="K887" s="371"/>
      <c r="L887" s="371"/>
      <c r="M887" s="371"/>
      <c r="N887" s="371"/>
      <c r="O887" s="371"/>
      <c r="P887" s="371"/>
      <c r="Q887" s="371"/>
      <c r="R887" s="371"/>
      <c r="S887" s="371"/>
      <c r="T887" s="371"/>
      <c r="U887" s="371"/>
      <c r="V887" s="371"/>
      <c r="W887" s="371"/>
      <c r="X887" s="371"/>
      <c r="Y887" s="371"/>
      <c r="Z887" s="371"/>
    </row>
    <row r="888" ht="26.25" customHeight="1">
      <c r="A888" s="371"/>
      <c r="B888" s="1265"/>
      <c r="C888" s="371"/>
      <c r="D888" s="371"/>
      <c r="E888" s="371"/>
      <c r="F888" s="371"/>
      <c r="G888" s="371"/>
      <c r="H888" s="371"/>
      <c r="I888" s="371"/>
      <c r="J888" s="371"/>
      <c r="K888" s="371"/>
      <c r="L888" s="371"/>
      <c r="M888" s="371"/>
      <c r="N888" s="371"/>
      <c r="O888" s="371"/>
      <c r="P888" s="371"/>
      <c r="Q888" s="371"/>
      <c r="R888" s="371"/>
      <c r="S888" s="371"/>
      <c r="T888" s="371"/>
      <c r="U888" s="371"/>
      <c r="V888" s="371"/>
      <c r="W888" s="371"/>
      <c r="X888" s="371"/>
      <c r="Y888" s="371"/>
      <c r="Z888" s="371"/>
    </row>
    <row r="889" ht="26.25" customHeight="1">
      <c r="A889" s="371"/>
      <c r="B889" s="1265"/>
      <c r="C889" s="371"/>
      <c r="D889" s="371"/>
      <c r="E889" s="371"/>
      <c r="F889" s="371"/>
      <c r="G889" s="371"/>
      <c r="H889" s="371"/>
      <c r="I889" s="371"/>
      <c r="J889" s="371"/>
      <c r="K889" s="371"/>
      <c r="L889" s="371"/>
      <c r="M889" s="371"/>
      <c r="N889" s="371"/>
      <c r="O889" s="371"/>
      <c r="P889" s="371"/>
      <c r="Q889" s="371"/>
      <c r="R889" s="371"/>
      <c r="S889" s="371"/>
      <c r="T889" s="371"/>
      <c r="U889" s="371"/>
      <c r="V889" s="371"/>
      <c r="W889" s="371"/>
      <c r="X889" s="371"/>
      <c r="Y889" s="371"/>
      <c r="Z889" s="371"/>
    </row>
    <row r="890" ht="26.25" customHeight="1">
      <c r="A890" s="371"/>
      <c r="B890" s="1265"/>
      <c r="C890" s="371"/>
      <c r="D890" s="371"/>
      <c r="E890" s="371"/>
      <c r="F890" s="371"/>
      <c r="G890" s="371"/>
      <c r="H890" s="371"/>
      <c r="I890" s="371"/>
      <c r="J890" s="371"/>
      <c r="K890" s="371"/>
      <c r="L890" s="371"/>
      <c r="M890" s="371"/>
      <c r="N890" s="371"/>
      <c r="O890" s="371"/>
      <c r="P890" s="371"/>
      <c r="Q890" s="371"/>
      <c r="R890" s="371"/>
      <c r="S890" s="371"/>
      <c r="T890" s="371"/>
      <c r="U890" s="371"/>
      <c r="V890" s="371"/>
      <c r="W890" s="371"/>
      <c r="X890" s="371"/>
      <c r="Y890" s="371"/>
      <c r="Z890" s="371"/>
    </row>
    <row r="891" ht="26.25" customHeight="1">
      <c r="A891" s="371"/>
      <c r="B891" s="1265"/>
      <c r="C891" s="371"/>
      <c r="D891" s="371"/>
      <c r="E891" s="371"/>
      <c r="F891" s="371"/>
      <c r="G891" s="371"/>
      <c r="H891" s="371"/>
      <c r="I891" s="371"/>
      <c r="J891" s="371"/>
      <c r="K891" s="371"/>
      <c r="L891" s="371"/>
      <c r="M891" s="371"/>
      <c r="N891" s="371"/>
      <c r="O891" s="371"/>
      <c r="P891" s="371"/>
      <c r="Q891" s="371"/>
      <c r="R891" s="371"/>
      <c r="S891" s="371"/>
      <c r="T891" s="371"/>
      <c r="U891" s="371"/>
      <c r="V891" s="371"/>
      <c r="W891" s="371"/>
      <c r="X891" s="371"/>
      <c r="Y891" s="371"/>
      <c r="Z891" s="371"/>
    </row>
    <row r="892" ht="26.25" customHeight="1">
      <c r="A892" s="371"/>
      <c r="B892" s="1265"/>
      <c r="C892" s="371"/>
      <c r="D892" s="371"/>
      <c r="E892" s="371"/>
      <c r="F892" s="371"/>
      <c r="G892" s="371"/>
      <c r="H892" s="371"/>
      <c r="I892" s="371"/>
      <c r="J892" s="371"/>
      <c r="K892" s="371"/>
      <c r="L892" s="371"/>
      <c r="M892" s="371"/>
      <c r="N892" s="371"/>
      <c r="O892" s="371"/>
      <c r="P892" s="371"/>
      <c r="Q892" s="371"/>
      <c r="R892" s="371"/>
      <c r="S892" s="371"/>
      <c r="T892" s="371"/>
      <c r="U892" s="371"/>
      <c r="V892" s="371"/>
      <c r="W892" s="371"/>
      <c r="X892" s="371"/>
      <c r="Y892" s="371"/>
      <c r="Z892" s="371"/>
    </row>
    <row r="893" ht="26.25" customHeight="1">
      <c r="A893" s="371"/>
      <c r="B893" s="1265"/>
      <c r="C893" s="371"/>
      <c r="D893" s="371"/>
      <c r="E893" s="371"/>
      <c r="F893" s="371"/>
      <c r="G893" s="371"/>
      <c r="H893" s="371"/>
      <c r="I893" s="371"/>
      <c r="J893" s="371"/>
      <c r="K893" s="371"/>
      <c r="L893" s="371"/>
      <c r="M893" s="371"/>
      <c r="N893" s="371"/>
      <c r="O893" s="371"/>
      <c r="P893" s="371"/>
      <c r="Q893" s="371"/>
      <c r="R893" s="371"/>
      <c r="S893" s="371"/>
      <c r="T893" s="371"/>
      <c r="U893" s="371"/>
      <c r="V893" s="371"/>
      <c r="W893" s="371"/>
      <c r="X893" s="371"/>
      <c r="Y893" s="371"/>
      <c r="Z893" s="371"/>
    </row>
    <row r="894" ht="26.25" customHeight="1">
      <c r="A894" s="371"/>
      <c r="B894" s="1265"/>
      <c r="C894" s="371"/>
      <c r="D894" s="371"/>
      <c r="E894" s="371"/>
      <c r="F894" s="371"/>
      <c r="G894" s="371"/>
      <c r="H894" s="371"/>
      <c r="I894" s="371"/>
      <c r="J894" s="371"/>
      <c r="K894" s="371"/>
      <c r="L894" s="371"/>
      <c r="M894" s="371"/>
      <c r="N894" s="371"/>
      <c r="O894" s="371"/>
      <c r="P894" s="371"/>
      <c r="Q894" s="371"/>
      <c r="R894" s="371"/>
      <c r="S894" s="371"/>
      <c r="T894" s="371"/>
      <c r="U894" s="371"/>
      <c r="V894" s="371"/>
      <c r="W894" s="371"/>
      <c r="X894" s="371"/>
      <c r="Y894" s="371"/>
      <c r="Z894" s="371"/>
    </row>
    <row r="895" ht="26.25" customHeight="1">
      <c r="A895" s="371"/>
      <c r="B895" s="1265"/>
      <c r="C895" s="371"/>
      <c r="D895" s="371"/>
      <c r="E895" s="371"/>
      <c r="F895" s="371"/>
      <c r="G895" s="371"/>
      <c r="H895" s="371"/>
      <c r="I895" s="371"/>
      <c r="J895" s="371"/>
      <c r="K895" s="371"/>
      <c r="L895" s="371"/>
      <c r="M895" s="371"/>
      <c r="N895" s="371"/>
      <c r="O895" s="371"/>
      <c r="P895" s="371"/>
      <c r="Q895" s="371"/>
      <c r="R895" s="371"/>
      <c r="S895" s="371"/>
      <c r="T895" s="371"/>
      <c r="U895" s="371"/>
      <c r="V895" s="371"/>
      <c r="W895" s="371"/>
      <c r="X895" s="371"/>
      <c r="Y895" s="371"/>
      <c r="Z895" s="371"/>
    </row>
    <row r="896" ht="26.25" customHeight="1">
      <c r="A896" s="371"/>
      <c r="B896" s="1265"/>
      <c r="C896" s="371"/>
      <c r="D896" s="371"/>
      <c r="E896" s="371"/>
      <c r="F896" s="371"/>
      <c r="G896" s="371"/>
      <c r="H896" s="371"/>
      <c r="I896" s="371"/>
      <c r="J896" s="371"/>
      <c r="K896" s="371"/>
      <c r="L896" s="371"/>
      <c r="M896" s="371"/>
      <c r="N896" s="371"/>
      <c r="O896" s="371"/>
      <c r="P896" s="371"/>
      <c r="Q896" s="371"/>
      <c r="R896" s="371"/>
      <c r="S896" s="371"/>
      <c r="T896" s="371"/>
      <c r="U896" s="371"/>
      <c r="V896" s="371"/>
      <c r="W896" s="371"/>
      <c r="X896" s="371"/>
      <c r="Y896" s="371"/>
      <c r="Z896" s="371"/>
    </row>
    <row r="897" ht="26.25" customHeight="1">
      <c r="A897" s="371"/>
      <c r="B897" s="1265"/>
      <c r="C897" s="371"/>
      <c r="D897" s="371"/>
      <c r="E897" s="371"/>
      <c r="F897" s="371"/>
      <c r="G897" s="371"/>
      <c r="H897" s="371"/>
      <c r="I897" s="371"/>
      <c r="J897" s="371"/>
      <c r="K897" s="371"/>
      <c r="L897" s="371"/>
      <c r="M897" s="371"/>
      <c r="N897" s="371"/>
      <c r="O897" s="371"/>
      <c r="P897" s="371"/>
      <c r="Q897" s="371"/>
      <c r="R897" s="371"/>
      <c r="S897" s="371"/>
      <c r="T897" s="371"/>
      <c r="U897" s="371"/>
      <c r="V897" s="371"/>
      <c r="W897" s="371"/>
      <c r="X897" s="371"/>
      <c r="Y897" s="371"/>
      <c r="Z897" s="371"/>
    </row>
    <row r="898" ht="26.25" customHeight="1">
      <c r="A898" s="371"/>
      <c r="B898" s="1265"/>
      <c r="C898" s="371"/>
      <c r="D898" s="371"/>
      <c r="E898" s="371"/>
      <c r="F898" s="371"/>
      <c r="G898" s="371"/>
      <c r="H898" s="371"/>
      <c r="I898" s="371"/>
      <c r="J898" s="371"/>
      <c r="K898" s="371"/>
      <c r="L898" s="371"/>
      <c r="M898" s="371"/>
      <c r="N898" s="371"/>
      <c r="O898" s="371"/>
      <c r="P898" s="371"/>
      <c r="Q898" s="371"/>
      <c r="R898" s="371"/>
      <c r="S898" s="371"/>
      <c r="T898" s="371"/>
      <c r="U898" s="371"/>
      <c r="V898" s="371"/>
      <c r="W898" s="371"/>
      <c r="X898" s="371"/>
      <c r="Y898" s="371"/>
      <c r="Z898" s="371"/>
    </row>
    <row r="899" ht="26.25" customHeight="1">
      <c r="A899" s="371"/>
      <c r="B899" s="1265"/>
      <c r="C899" s="371"/>
      <c r="D899" s="371"/>
      <c r="E899" s="371"/>
      <c r="F899" s="371"/>
      <c r="G899" s="371"/>
      <c r="H899" s="371"/>
      <c r="I899" s="371"/>
      <c r="J899" s="371"/>
      <c r="K899" s="371"/>
      <c r="L899" s="371"/>
      <c r="M899" s="371"/>
      <c r="N899" s="371"/>
      <c r="O899" s="371"/>
      <c r="P899" s="371"/>
      <c r="Q899" s="371"/>
      <c r="R899" s="371"/>
      <c r="S899" s="371"/>
      <c r="T899" s="371"/>
      <c r="U899" s="371"/>
      <c r="V899" s="371"/>
      <c r="W899" s="371"/>
      <c r="X899" s="371"/>
      <c r="Y899" s="371"/>
      <c r="Z899" s="371"/>
    </row>
    <row r="900" ht="26.25" customHeight="1">
      <c r="A900" s="371"/>
      <c r="B900" s="1265"/>
      <c r="C900" s="371"/>
      <c r="D900" s="371"/>
      <c r="E900" s="371"/>
      <c r="F900" s="371"/>
      <c r="G900" s="371"/>
      <c r="H900" s="371"/>
      <c r="I900" s="371"/>
      <c r="J900" s="371"/>
      <c r="K900" s="371"/>
      <c r="L900" s="371"/>
      <c r="M900" s="371"/>
      <c r="N900" s="371"/>
      <c r="O900" s="371"/>
      <c r="P900" s="371"/>
      <c r="Q900" s="371"/>
      <c r="R900" s="371"/>
      <c r="S900" s="371"/>
      <c r="T900" s="371"/>
      <c r="U900" s="371"/>
      <c r="V900" s="371"/>
      <c r="W900" s="371"/>
      <c r="X900" s="371"/>
      <c r="Y900" s="371"/>
      <c r="Z900" s="371"/>
    </row>
    <row r="901" ht="26.25" customHeight="1">
      <c r="A901" s="371"/>
      <c r="B901" s="1265"/>
      <c r="C901" s="371"/>
      <c r="D901" s="371"/>
      <c r="E901" s="371"/>
      <c r="F901" s="371"/>
      <c r="G901" s="371"/>
      <c r="H901" s="371"/>
      <c r="I901" s="371"/>
      <c r="J901" s="371"/>
      <c r="K901" s="371"/>
      <c r="L901" s="371"/>
      <c r="M901" s="371"/>
      <c r="N901" s="371"/>
      <c r="O901" s="371"/>
      <c r="P901" s="371"/>
      <c r="Q901" s="371"/>
      <c r="R901" s="371"/>
      <c r="S901" s="371"/>
      <c r="T901" s="371"/>
      <c r="U901" s="371"/>
      <c r="V901" s="371"/>
      <c r="W901" s="371"/>
      <c r="X901" s="371"/>
      <c r="Y901" s="371"/>
      <c r="Z901" s="371"/>
    </row>
    <row r="902" ht="26.25" customHeight="1">
      <c r="A902" s="371"/>
      <c r="B902" s="1265"/>
      <c r="C902" s="371"/>
      <c r="D902" s="371"/>
      <c r="E902" s="371"/>
      <c r="F902" s="371"/>
      <c r="G902" s="371"/>
      <c r="H902" s="371"/>
      <c r="I902" s="371"/>
      <c r="J902" s="371"/>
      <c r="K902" s="371"/>
      <c r="L902" s="371"/>
      <c r="M902" s="371"/>
      <c r="N902" s="371"/>
      <c r="O902" s="371"/>
      <c r="P902" s="371"/>
      <c r="Q902" s="371"/>
      <c r="R902" s="371"/>
      <c r="S902" s="371"/>
      <c r="T902" s="371"/>
      <c r="U902" s="371"/>
      <c r="V902" s="371"/>
      <c r="W902" s="371"/>
      <c r="X902" s="371"/>
      <c r="Y902" s="371"/>
      <c r="Z902" s="371"/>
    </row>
    <row r="903" ht="26.25" customHeight="1">
      <c r="A903" s="371"/>
      <c r="B903" s="1265"/>
      <c r="C903" s="371"/>
      <c r="D903" s="371"/>
      <c r="E903" s="371"/>
      <c r="F903" s="371"/>
      <c r="G903" s="371"/>
      <c r="H903" s="371"/>
      <c r="I903" s="371"/>
      <c r="J903" s="371"/>
      <c r="K903" s="371"/>
      <c r="L903" s="371"/>
      <c r="M903" s="371"/>
      <c r="N903" s="371"/>
      <c r="O903" s="371"/>
      <c r="P903" s="371"/>
      <c r="Q903" s="371"/>
      <c r="R903" s="371"/>
      <c r="S903" s="371"/>
      <c r="T903" s="371"/>
      <c r="U903" s="371"/>
      <c r="V903" s="371"/>
      <c r="W903" s="371"/>
      <c r="X903" s="371"/>
      <c r="Y903" s="371"/>
      <c r="Z903" s="371"/>
    </row>
    <row r="904" ht="26.25" customHeight="1">
      <c r="A904" s="371"/>
      <c r="B904" s="1265"/>
      <c r="C904" s="371"/>
      <c r="D904" s="371"/>
      <c r="E904" s="371"/>
      <c r="F904" s="371"/>
      <c r="G904" s="371"/>
      <c r="H904" s="371"/>
      <c r="I904" s="371"/>
      <c r="J904" s="371"/>
      <c r="K904" s="371"/>
      <c r="L904" s="371"/>
      <c r="M904" s="371"/>
      <c r="N904" s="371"/>
      <c r="O904" s="371"/>
      <c r="P904" s="371"/>
      <c r="Q904" s="371"/>
      <c r="R904" s="371"/>
      <c r="S904" s="371"/>
      <c r="T904" s="371"/>
      <c r="U904" s="371"/>
      <c r="V904" s="371"/>
      <c r="W904" s="371"/>
      <c r="X904" s="371"/>
      <c r="Y904" s="371"/>
      <c r="Z904" s="371"/>
    </row>
    <row r="905" ht="26.25" customHeight="1">
      <c r="A905" s="371"/>
      <c r="B905" s="1265"/>
      <c r="C905" s="371"/>
      <c r="D905" s="371"/>
      <c r="E905" s="371"/>
      <c r="F905" s="371"/>
      <c r="G905" s="371"/>
      <c r="H905" s="371"/>
      <c r="I905" s="371"/>
      <c r="J905" s="371"/>
      <c r="K905" s="371"/>
      <c r="L905" s="371"/>
      <c r="M905" s="371"/>
      <c r="N905" s="371"/>
      <c r="O905" s="371"/>
      <c r="P905" s="371"/>
      <c r="Q905" s="371"/>
      <c r="R905" s="371"/>
      <c r="S905" s="371"/>
      <c r="T905" s="371"/>
      <c r="U905" s="371"/>
      <c r="V905" s="371"/>
      <c r="W905" s="371"/>
      <c r="X905" s="371"/>
      <c r="Y905" s="371"/>
      <c r="Z905" s="371"/>
    </row>
    <row r="906" ht="26.25" customHeight="1">
      <c r="A906" s="371"/>
      <c r="B906" s="1265"/>
      <c r="C906" s="371"/>
      <c r="D906" s="371"/>
      <c r="E906" s="371"/>
      <c r="F906" s="371"/>
      <c r="G906" s="371"/>
      <c r="H906" s="371"/>
      <c r="I906" s="371"/>
      <c r="J906" s="371"/>
      <c r="K906" s="371"/>
      <c r="L906" s="371"/>
      <c r="M906" s="371"/>
      <c r="N906" s="371"/>
      <c r="O906" s="371"/>
      <c r="P906" s="371"/>
      <c r="Q906" s="371"/>
      <c r="R906" s="371"/>
      <c r="S906" s="371"/>
      <c r="T906" s="371"/>
      <c r="U906" s="371"/>
      <c r="V906" s="371"/>
      <c r="W906" s="371"/>
      <c r="X906" s="371"/>
      <c r="Y906" s="371"/>
      <c r="Z906" s="371"/>
    </row>
    <row r="907" ht="26.25" customHeight="1">
      <c r="A907" s="371"/>
      <c r="B907" s="1265"/>
      <c r="C907" s="371"/>
      <c r="D907" s="371"/>
      <c r="E907" s="371"/>
      <c r="F907" s="371"/>
      <c r="G907" s="371"/>
      <c r="H907" s="371"/>
      <c r="I907" s="371"/>
      <c r="J907" s="371"/>
      <c r="K907" s="371"/>
      <c r="L907" s="371"/>
      <c r="M907" s="371"/>
      <c r="N907" s="371"/>
      <c r="O907" s="371"/>
      <c r="P907" s="371"/>
      <c r="Q907" s="371"/>
      <c r="R907" s="371"/>
      <c r="S907" s="371"/>
      <c r="T907" s="371"/>
      <c r="U907" s="371"/>
      <c r="V907" s="371"/>
      <c r="W907" s="371"/>
      <c r="X907" s="371"/>
      <c r="Y907" s="371"/>
      <c r="Z907" s="371"/>
    </row>
    <row r="908" ht="26.25" customHeight="1">
      <c r="A908" s="371"/>
      <c r="B908" s="1265"/>
      <c r="C908" s="371"/>
      <c r="D908" s="371"/>
      <c r="E908" s="371"/>
      <c r="F908" s="371"/>
      <c r="G908" s="371"/>
      <c r="H908" s="371"/>
      <c r="I908" s="371"/>
      <c r="J908" s="371"/>
      <c r="K908" s="371"/>
      <c r="L908" s="371"/>
      <c r="M908" s="371"/>
      <c r="N908" s="371"/>
      <c r="O908" s="371"/>
      <c r="P908" s="371"/>
      <c r="Q908" s="371"/>
      <c r="R908" s="371"/>
      <c r="S908" s="371"/>
      <c r="T908" s="371"/>
      <c r="U908" s="371"/>
      <c r="V908" s="371"/>
      <c r="W908" s="371"/>
      <c r="X908" s="371"/>
      <c r="Y908" s="371"/>
      <c r="Z908" s="371"/>
    </row>
    <row r="909" ht="26.25" customHeight="1">
      <c r="A909" s="371"/>
      <c r="B909" s="1265"/>
      <c r="C909" s="371"/>
      <c r="D909" s="371"/>
      <c r="E909" s="371"/>
      <c r="F909" s="371"/>
      <c r="G909" s="371"/>
      <c r="H909" s="371"/>
      <c r="I909" s="371"/>
      <c r="J909" s="371"/>
      <c r="K909" s="371"/>
      <c r="L909" s="371"/>
      <c r="M909" s="371"/>
      <c r="N909" s="371"/>
      <c r="O909" s="371"/>
      <c r="P909" s="371"/>
      <c r="Q909" s="371"/>
      <c r="R909" s="371"/>
      <c r="S909" s="371"/>
      <c r="T909" s="371"/>
      <c r="U909" s="371"/>
      <c r="V909" s="371"/>
      <c r="W909" s="371"/>
      <c r="X909" s="371"/>
      <c r="Y909" s="371"/>
      <c r="Z909" s="371"/>
    </row>
    <row r="910" ht="26.25" customHeight="1">
      <c r="A910" s="371"/>
      <c r="B910" s="1265"/>
      <c r="C910" s="371"/>
      <c r="D910" s="371"/>
      <c r="E910" s="371"/>
      <c r="F910" s="371"/>
      <c r="G910" s="371"/>
      <c r="H910" s="371"/>
      <c r="I910" s="371"/>
      <c r="J910" s="371"/>
      <c r="K910" s="371"/>
      <c r="L910" s="371"/>
      <c r="M910" s="371"/>
      <c r="N910" s="371"/>
      <c r="O910" s="371"/>
      <c r="P910" s="371"/>
      <c r="Q910" s="371"/>
      <c r="R910" s="371"/>
      <c r="S910" s="371"/>
      <c r="T910" s="371"/>
      <c r="U910" s="371"/>
      <c r="V910" s="371"/>
      <c r="W910" s="371"/>
      <c r="X910" s="371"/>
      <c r="Y910" s="371"/>
      <c r="Z910" s="371"/>
    </row>
    <row r="911" ht="26.25" customHeight="1">
      <c r="A911" s="371"/>
      <c r="B911" s="1265"/>
      <c r="C911" s="371"/>
      <c r="D911" s="371"/>
      <c r="E911" s="371"/>
      <c r="F911" s="371"/>
      <c r="G911" s="371"/>
      <c r="H911" s="371"/>
      <c r="I911" s="371"/>
      <c r="J911" s="371"/>
      <c r="K911" s="371"/>
      <c r="L911" s="371"/>
      <c r="M911" s="371"/>
      <c r="N911" s="371"/>
      <c r="O911" s="371"/>
      <c r="P911" s="371"/>
      <c r="Q911" s="371"/>
      <c r="R911" s="371"/>
      <c r="S911" s="371"/>
      <c r="T911" s="371"/>
      <c r="U911" s="371"/>
      <c r="V911" s="371"/>
      <c r="W911" s="371"/>
      <c r="X911" s="371"/>
      <c r="Y911" s="371"/>
      <c r="Z911" s="371"/>
    </row>
    <row r="912" ht="26.25" customHeight="1">
      <c r="A912" s="371"/>
      <c r="B912" s="1265"/>
      <c r="C912" s="371"/>
      <c r="D912" s="371"/>
      <c r="E912" s="371"/>
      <c r="F912" s="371"/>
      <c r="G912" s="371"/>
      <c r="H912" s="371"/>
      <c r="I912" s="371"/>
      <c r="J912" s="371"/>
      <c r="K912" s="371"/>
      <c r="L912" s="371"/>
      <c r="M912" s="371"/>
      <c r="N912" s="371"/>
      <c r="O912" s="371"/>
      <c r="P912" s="371"/>
      <c r="Q912" s="371"/>
      <c r="R912" s="371"/>
      <c r="S912" s="371"/>
      <c r="T912" s="371"/>
      <c r="U912" s="371"/>
      <c r="V912" s="371"/>
      <c r="W912" s="371"/>
      <c r="X912" s="371"/>
      <c r="Y912" s="371"/>
      <c r="Z912" s="371"/>
    </row>
    <row r="913" ht="26.25" customHeight="1">
      <c r="A913" s="371"/>
      <c r="B913" s="1265"/>
      <c r="C913" s="371"/>
      <c r="D913" s="371"/>
      <c r="E913" s="371"/>
      <c r="F913" s="371"/>
      <c r="G913" s="371"/>
      <c r="H913" s="371"/>
      <c r="I913" s="371"/>
      <c r="J913" s="371"/>
      <c r="K913" s="371"/>
      <c r="L913" s="371"/>
      <c r="M913" s="371"/>
      <c r="N913" s="371"/>
      <c r="O913" s="371"/>
      <c r="P913" s="371"/>
      <c r="Q913" s="371"/>
      <c r="R913" s="371"/>
      <c r="S913" s="371"/>
      <c r="T913" s="371"/>
      <c r="U913" s="371"/>
      <c r="V913" s="371"/>
      <c r="W913" s="371"/>
      <c r="X913" s="371"/>
      <c r="Y913" s="371"/>
      <c r="Z913" s="371"/>
    </row>
    <row r="914" ht="26.25" customHeight="1">
      <c r="A914" s="371"/>
      <c r="B914" s="1265"/>
      <c r="C914" s="371"/>
      <c r="D914" s="371"/>
      <c r="E914" s="371"/>
      <c r="F914" s="371"/>
      <c r="G914" s="371"/>
      <c r="H914" s="371"/>
      <c r="I914" s="371"/>
      <c r="J914" s="371"/>
      <c r="K914" s="371"/>
      <c r="L914" s="371"/>
      <c r="M914" s="371"/>
      <c r="N914" s="371"/>
      <c r="O914" s="371"/>
      <c r="P914" s="371"/>
      <c r="Q914" s="371"/>
      <c r="R914" s="371"/>
      <c r="S914" s="371"/>
      <c r="T914" s="371"/>
      <c r="U914" s="371"/>
      <c r="V914" s="371"/>
      <c r="W914" s="371"/>
      <c r="X914" s="371"/>
      <c r="Y914" s="371"/>
      <c r="Z914" s="371"/>
    </row>
    <row r="915" ht="26.25" customHeight="1">
      <c r="A915" s="371"/>
      <c r="B915" s="1265"/>
      <c r="C915" s="371"/>
      <c r="D915" s="371"/>
      <c r="E915" s="371"/>
      <c r="F915" s="371"/>
      <c r="G915" s="371"/>
      <c r="H915" s="371"/>
      <c r="I915" s="371"/>
      <c r="J915" s="371"/>
      <c r="K915" s="371"/>
      <c r="L915" s="371"/>
      <c r="M915" s="371"/>
      <c r="N915" s="371"/>
      <c r="O915" s="371"/>
      <c r="P915" s="371"/>
      <c r="Q915" s="371"/>
      <c r="R915" s="371"/>
      <c r="S915" s="371"/>
      <c r="T915" s="371"/>
      <c r="U915" s="371"/>
      <c r="V915" s="371"/>
      <c r="W915" s="371"/>
      <c r="X915" s="371"/>
      <c r="Y915" s="371"/>
      <c r="Z915" s="371"/>
    </row>
    <row r="916" ht="26.25" customHeight="1">
      <c r="A916" s="371"/>
      <c r="B916" s="1265"/>
      <c r="C916" s="371"/>
      <c r="D916" s="371"/>
      <c r="E916" s="371"/>
      <c r="F916" s="371"/>
      <c r="G916" s="371"/>
      <c r="H916" s="371"/>
      <c r="I916" s="371"/>
      <c r="J916" s="371"/>
      <c r="K916" s="371"/>
      <c r="L916" s="371"/>
      <c r="M916" s="371"/>
      <c r="N916" s="371"/>
      <c r="O916" s="371"/>
      <c r="P916" s="371"/>
      <c r="Q916" s="371"/>
      <c r="R916" s="371"/>
      <c r="S916" s="371"/>
      <c r="T916" s="371"/>
      <c r="U916" s="371"/>
      <c r="V916" s="371"/>
      <c r="W916" s="371"/>
      <c r="X916" s="371"/>
      <c r="Y916" s="371"/>
      <c r="Z916" s="371"/>
    </row>
    <row r="917" ht="26.25" customHeight="1">
      <c r="A917" s="371"/>
      <c r="B917" s="1265"/>
      <c r="C917" s="371"/>
      <c r="D917" s="371"/>
      <c r="E917" s="371"/>
      <c r="F917" s="371"/>
      <c r="G917" s="371"/>
      <c r="H917" s="371"/>
      <c r="I917" s="371"/>
      <c r="J917" s="371"/>
      <c r="K917" s="371"/>
      <c r="L917" s="371"/>
      <c r="M917" s="371"/>
      <c r="N917" s="371"/>
      <c r="O917" s="371"/>
      <c r="P917" s="371"/>
      <c r="Q917" s="371"/>
      <c r="R917" s="371"/>
      <c r="S917" s="371"/>
      <c r="T917" s="371"/>
      <c r="U917" s="371"/>
      <c r="V917" s="371"/>
      <c r="W917" s="371"/>
      <c r="X917" s="371"/>
      <c r="Y917" s="371"/>
      <c r="Z917" s="371"/>
    </row>
    <row r="918" ht="26.25" customHeight="1">
      <c r="A918" s="371"/>
      <c r="B918" s="1265"/>
      <c r="C918" s="371"/>
      <c r="D918" s="371"/>
      <c r="E918" s="371"/>
      <c r="F918" s="371"/>
      <c r="G918" s="371"/>
      <c r="H918" s="371"/>
      <c r="I918" s="371"/>
      <c r="J918" s="371"/>
      <c r="K918" s="371"/>
      <c r="L918" s="371"/>
      <c r="M918" s="371"/>
      <c r="N918" s="371"/>
      <c r="O918" s="371"/>
      <c r="P918" s="371"/>
      <c r="Q918" s="371"/>
      <c r="R918" s="371"/>
      <c r="S918" s="371"/>
      <c r="T918" s="371"/>
      <c r="U918" s="371"/>
      <c r="V918" s="371"/>
      <c r="W918" s="371"/>
      <c r="X918" s="371"/>
      <c r="Y918" s="371"/>
      <c r="Z918" s="371"/>
    </row>
    <row r="919" ht="26.25" customHeight="1">
      <c r="A919" s="371"/>
      <c r="B919" s="1265"/>
      <c r="C919" s="371"/>
      <c r="D919" s="371"/>
      <c r="E919" s="371"/>
      <c r="F919" s="371"/>
      <c r="G919" s="371"/>
      <c r="H919" s="371"/>
      <c r="I919" s="371"/>
      <c r="J919" s="371"/>
      <c r="K919" s="371"/>
      <c r="L919" s="371"/>
      <c r="M919" s="371"/>
      <c r="N919" s="371"/>
      <c r="O919" s="371"/>
      <c r="P919" s="371"/>
      <c r="Q919" s="371"/>
      <c r="R919" s="371"/>
      <c r="S919" s="371"/>
      <c r="T919" s="371"/>
      <c r="U919" s="371"/>
      <c r="V919" s="371"/>
      <c r="W919" s="371"/>
      <c r="X919" s="371"/>
      <c r="Y919" s="371"/>
      <c r="Z919" s="371"/>
    </row>
    <row r="920" ht="26.25" customHeight="1">
      <c r="A920" s="371"/>
      <c r="B920" s="1265"/>
      <c r="C920" s="371"/>
      <c r="D920" s="371"/>
      <c r="E920" s="371"/>
      <c r="F920" s="371"/>
      <c r="G920" s="371"/>
      <c r="H920" s="371"/>
      <c r="I920" s="371"/>
      <c r="J920" s="371"/>
      <c r="K920" s="371"/>
      <c r="L920" s="371"/>
      <c r="M920" s="371"/>
      <c r="N920" s="371"/>
      <c r="O920" s="371"/>
      <c r="P920" s="371"/>
      <c r="Q920" s="371"/>
      <c r="R920" s="371"/>
      <c r="S920" s="371"/>
      <c r="T920" s="371"/>
      <c r="U920" s="371"/>
      <c r="V920" s="371"/>
      <c r="W920" s="371"/>
      <c r="X920" s="371"/>
      <c r="Y920" s="371"/>
      <c r="Z920" s="371"/>
    </row>
    <row r="921" ht="26.25" customHeight="1">
      <c r="A921" s="371"/>
      <c r="B921" s="1265"/>
      <c r="C921" s="371"/>
      <c r="D921" s="371"/>
      <c r="E921" s="371"/>
      <c r="F921" s="371"/>
      <c r="G921" s="371"/>
      <c r="H921" s="371"/>
      <c r="I921" s="371"/>
      <c r="J921" s="371"/>
      <c r="K921" s="371"/>
      <c r="L921" s="371"/>
      <c r="M921" s="371"/>
      <c r="N921" s="371"/>
      <c r="O921" s="371"/>
      <c r="P921" s="371"/>
      <c r="Q921" s="371"/>
      <c r="R921" s="371"/>
      <c r="S921" s="371"/>
      <c r="T921" s="371"/>
      <c r="U921" s="371"/>
      <c r="V921" s="371"/>
      <c r="W921" s="371"/>
      <c r="X921" s="371"/>
      <c r="Y921" s="371"/>
      <c r="Z921" s="371"/>
    </row>
    <row r="922" ht="26.25" customHeight="1">
      <c r="A922" s="371"/>
      <c r="B922" s="1265"/>
      <c r="C922" s="371"/>
      <c r="D922" s="371"/>
      <c r="E922" s="371"/>
      <c r="F922" s="371"/>
      <c r="G922" s="371"/>
      <c r="H922" s="371"/>
      <c r="I922" s="371"/>
      <c r="J922" s="371"/>
      <c r="K922" s="371"/>
      <c r="L922" s="371"/>
      <c r="M922" s="371"/>
      <c r="N922" s="371"/>
      <c r="O922" s="371"/>
      <c r="P922" s="371"/>
      <c r="Q922" s="371"/>
      <c r="R922" s="371"/>
      <c r="S922" s="371"/>
      <c r="T922" s="371"/>
      <c r="U922" s="371"/>
      <c r="V922" s="371"/>
      <c r="W922" s="371"/>
      <c r="X922" s="371"/>
      <c r="Y922" s="371"/>
      <c r="Z922" s="371"/>
    </row>
    <row r="923" ht="26.25" customHeight="1">
      <c r="A923" s="371"/>
      <c r="B923" s="1265"/>
      <c r="C923" s="371"/>
      <c r="D923" s="371"/>
      <c r="E923" s="371"/>
      <c r="F923" s="371"/>
      <c r="G923" s="371"/>
      <c r="H923" s="371"/>
      <c r="I923" s="371"/>
      <c r="J923" s="371"/>
      <c r="K923" s="371"/>
      <c r="L923" s="371"/>
      <c r="M923" s="371"/>
      <c r="N923" s="371"/>
      <c r="O923" s="371"/>
      <c r="P923" s="371"/>
      <c r="Q923" s="371"/>
      <c r="R923" s="371"/>
      <c r="S923" s="371"/>
      <c r="T923" s="371"/>
      <c r="U923" s="371"/>
      <c r="V923" s="371"/>
      <c r="W923" s="371"/>
      <c r="X923" s="371"/>
      <c r="Y923" s="371"/>
      <c r="Z923" s="371"/>
    </row>
    <row r="924" ht="26.25" customHeight="1">
      <c r="A924" s="371"/>
      <c r="B924" s="1265"/>
      <c r="C924" s="371"/>
      <c r="D924" s="371"/>
      <c r="E924" s="371"/>
      <c r="F924" s="371"/>
      <c r="G924" s="371"/>
      <c r="H924" s="371"/>
      <c r="I924" s="371"/>
      <c r="J924" s="371"/>
      <c r="K924" s="371"/>
      <c r="L924" s="371"/>
      <c r="M924" s="371"/>
      <c r="N924" s="371"/>
      <c r="O924" s="371"/>
      <c r="P924" s="371"/>
      <c r="Q924" s="371"/>
      <c r="R924" s="371"/>
      <c r="S924" s="371"/>
      <c r="T924" s="371"/>
      <c r="U924" s="371"/>
      <c r="V924" s="371"/>
      <c r="W924" s="371"/>
      <c r="X924" s="371"/>
      <c r="Y924" s="371"/>
      <c r="Z924" s="371"/>
    </row>
    <row r="925" ht="26.25" customHeight="1">
      <c r="A925" s="371"/>
      <c r="B925" s="1265"/>
      <c r="C925" s="371"/>
      <c r="D925" s="371"/>
      <c r="E925" s="371"/>
      <c r="F925" s="371"/>
      <c r="G925" s="371"/>
      <c r="H925" s="371"/>
      <c r="I925" s="371"/>
      <c r="J925" s="371"/>
      <c r="K925" s="371"/>
      <c r="L925" s="371"/>
      <c r="M925" s="371"/>
      <c r="N925" s="371"/>
      <c r="O925" s="371"/>
      <c r="P925" s="371"/>
      <c r="Q925" s="371"/>
      <c r="R925" s="371"/>
      <c r="S925" s="371"/>
      <c r="T925" s="371"/>
      <c r="U925" s="371"/>
      <c r="V925" s="371"/>
      <c r="W925" s="371"/>
      <c r="X925" s="371"/>
      <c r="Y925" s="371"/>
      <c r="Z925" s="371"/>
    </row>
    <row r="926" ht="26.25" customHeight="1">
      <c r="A926" s="371"/>
      <c r="B926" s="1265"/>
      <c r="C926" s="371"/>
      <c r="D926" s="371"/>
      <c r="E926" s="371"/>
      <c r="F926" s="371"/>
      <c r="G926" s="371"/>
      <c r="H926" s="371"/>
      <c r="I926" s="371"/>
      <c r="J926" s="371"/>
      <c r="K926" s="371"/>
      <c r="L926" s="371"/>
      <c r="M926" s="371"/>
      <c r="N926" s="371"/>
      <c r="O926" s="371"/>
      <c r="P926" s="371"/>
      <c r="Q926" s="371"/>
      <c r="R926" s="371"/>
      <c r="S926" s="371"/>
      <c r="T926" s="371"/>
      <c r="U926" s="371"/>
      <c r="V926" s="371"/>
      <c r="W926" s="371"/>
      <c r="X926" s="371"/>
      <c r="Y926" s="371"/>
      <c r="Z926" s="371"/>
    </row>
    <row r="927" ht="26.25" customHeight="1">
      <c r="A927" s="371"/>
      <c r="B927" s="1265"/>
      <c r="C927" s="371"/>
      <c r="D927" s="371"/>
      <c r="E927" s="371"/>
      <c r="F927" s="371"/>
      <c r="G927" s="371"/>
      <c r="H927" s="371"/>
      <c r="I927" s="371"/>
      <c r="J927" s="371"/>
      <c r="K927" s="371"/>
      <c r="L927" s="371"/>
      <c r="M927" s="371"/>
      <c r="N927" s="371"/>
      <c r="O927" s="371"/>
      <c r="P927" s="371"/>
      <c r="Q927" s="371"/>
      <c r="R927" s="371"/>
      <c r="S927" s="371"/>
      <c r="T927" s="371"/>
      <c r="U927" s="371"/>
      <c r="V927" s="371"/>
      <c r="W927" s="371"/>
      <c r="X927" s="371"/>
      <c r="Y927" s="371"/>
      <c r="Z927" s="371"/>
    </row>
    <row r="928" ht="26.25" customHeight="1">
      <c r="A928" s="371"/>
      <c r="B928" s="1265"/>
      <c r="C928" s="371"/>
      <c r="D928" s="371"/>
      <c r="E928" s="371"/>
      <c r="F928" s="371"/>
      <c r="G928" s="371"/>
      <c r="H928" s="371"/>
      <c r="I928" s="371"/>
      <c r="J928" s="371"/>
      <c r="K928" s="371"/>
      <c r="L928" s="371"/>
      <c r="M928" s="371"/>
      <c r="N928" s="371"/>
      <c r="O928" s="371"/>
      <c r="P928" s="371"/>
      <c r="Q928" s="371"/>
      <c r="R928" s="371"/>
      <c r="S928" s="371"/>
      <c r="T928" s="371"/>
      <c r="U928" s="371"/>
      <c r="V928" s="371"/>
      <c r="W928" s="371"/>
      <c r="X928" s="371"/>
      <c r="Y928" s="371"/>
      <c r="Z928" s="371"/>
    </row>
    <row r="929" ht="26.25" customHeight="1">
      <c r="A929" s="371"/>
      <c r="B929" s="1265"/>
      <c r="C929" s="371"/>
      <c r="D929" s="371"/>
      <c r="E929" s="371"/>
      <c r="F929" s="371"/>
      <c r="G929" s="371"/>
      <c r="H929" s="371"/>
      <c r="I929" s="371"/>
      <c r="J929" s="371"/>
      <c r="K929" s="371"/>
      <c r="L929" s="371"/>
      <c r="M929" s="371"/>
      <c r="N929" s="371"/>
      <c r="O929" s="371"/>
      <c r="P929" s="371"/>
      <c r="Q929" s="371"/>
      <c r="R929" s="371"/>
      <c r="S929" s="371"/>
      <c r="T929" s="371"/>
      <c r="U929" s="371"/>
      <c r="V929" s="371"/>
      <c r="W929" s="371"/>
      <c r="X929" s="371"/>
      <c r="Y929" s="371"/>
      <c r="Z929" s="371"/>
    </row>
    <row r="930" ht="26.25" customHeight="1">
      <c r="A930" s="371"/>
      <c r="B930" s="1265"/>
      <c r="C930" s="371"/>
      <c r="D930" s="371"/>
      <c r="E930" s="371"/>
      <c r="F930" s="371"/>
      <c r="G930" s="371"/>
      <c r="H930" s="371"/>
      <c r="I930" s="371"/>
      <c r="J930" s="371"/>
      <c r="K930" s="371"/>
      <c r="L930" s="371"/>
      <c r="M930" s="371"/>
      <c r="N930" s="371"/>
      <c r="O930" s="371"/>
      <c r="P930" s="371"/>
      <c r="Q930" s="371"/>
      <c r="R930" s="371"/>
      <c r="S930" s="371"/>
      <c r="T930" s="371"/>
      <c r="U930" s="371"/>
      <c r="V930" s="371"/>
      <c r="W930" s="371"/>
      <c r="X930" s="371"/>
      <c r="Y930" s="371"/>
      <c r="Z930" s="371"/>
    </row>
    <row r="931" ht="26.25" customHeight="1">
      <c r="A931" s="371"/>
      <c r="B931" s="1265"/>
      <c r="C931" s="371"/>
      <c r="D931" s="371"/>
      <c r="E931" s="371"/>
      <c r="F931" s="371"/>
      <c r="G931" s="371"/>
      <c r="H931" s="371"/>
      <c r="I931" s="371"/>
      <c r="J931" s="371"/>
      <c r="K931" s="371"/>
      <c r="L931" s="371"/>
      <c r="M931" s="371"/>
      <c r="N931" s="371"/>
      <c r="O931" s="371"/>
      <c r="P931" s="371"/>
      <c r="Q931" s="371"/>
      <c r="R931" s="371"/>
      <c r="S931" s="371"/>
      <c r="T931" s="371"/>
      <c r="U931" s="371"/>
      <c r="V931" s="371"/>
      <c r="W931" s="371"/>
      <c r="X931" s="371"/>
      <c r="Y931" s="371"/>
      <c r="Z931" s="371"/>
    </row>
    <row r="932" ht="26.25" customHeight="1">
      <c r="A932" s="371"/>
      <c r="B932" s="1265"/>
      <c r="C932" s="371"/>
      <c r="D932" s="371"/>
      <c r="E932" s="371"/>
      <c r="F932" s="371"/>
      <c r="G932" s="371"/>
      <c r="H932" s="371"/>
      <c r="I932" s="371"/>
      <c r="J932" s="371"/>
      <c r="K932" s="371"/>
      <c r="L932" s="371"/>
      <c r="M932" s="371"/>
      <c r="N932" s="371"/>
      <c r="O932" s="371"/>
      <c r="P932" s="371"/>
      <c r="Q932" s="371"/>
      <c r="R932" s="371"/>
      <c r="S932" s="371"/>
      <c r="T932" s="371"/>
      <c r="U932" s="371"/>
      <c r="V932" s="371"/>
      <c r="W932" s="371"/>
      <c r="X932" s="371"/>
      <c r="Y932" s="371"/>
      <c r="Z932" s="371"/>
    </row>
    <row r="933" ht="26.25" customHeight="1">
      <c r="A933" s="371"/>
      <c r="B933" s="1265"/>
      <c r="C933" s="371"/>
      <c r="D933" s="371"/>
      <c r="E933" s="371"/>
      <c r="F933" s="371"/>
      <c r="G933" s="371"/>
      <c r="H933" s="371"/>
      <c r="I933" s="371"/>
      <c r="J933" s="371"/>
      <c r="K933" s="371"/>
      <c r="L933" s="371"/>
      <c r="M933" s="371"/>
      <c r="N933" s="371"/>
      <c r="O933" s="371"/>
      <c r="P933" s="371"/>
      <c r="Q933" s="371"/>
      <c r="R933" s="371"/>
      <c r="S933" s="371"/>
      <c r="T933" s="371"/>
      <c r="U933" s="371"/>
      <c r="V933" s="371"/>
      <c r="W933" s="371"/>
      <c r="X933" s="371"/>
      <c r="Y933" s="371"/>
      <c r="Z933" s="371"/>
    </row>
    <row r="934" ht="26.25" customHeight="1">
      <c r="A934" s="371"/>
      <c r="B934" s="1265"/>
      <c r="C934" s="371"/>
      <c r="D934" s="371"/>
      <c r="E934" s="371"/>
      <c r="F934" s="371"/>
      <c r="G934" s="371"/>
      <c r="H934" s="371"/>
      <c r="I934" s="371"/>
      <c r="J934" s="371"/>
      <c r="K934" s="371"/>
      <c r="L934" s="371"/>
      <c r="M934" s="371"/>
      <c r="N934" s="371"/>
      <c r="O934" s="371"/>
      <c r="P934" s="371"/>
      <c r="Q934" s="371"/>
      <c r="R934" s="371"/>
      <c r="S934" s="371"/>
      <c r="T934" s="371"/>
      <c r="U934" s="371"/>
      <c r="V934" s="371"/>
      <c r="W934" s="371"/>
      <c r="X934" s="371"/>
      <c r="Y934" s="371"/>
      <c r="Z934" s="371"/>
    </row>
    <row r="935" ht="26.25" customHeight="1">
      <c r="A935" s="371"/>
      <c r="B935" s="1265"/>
      <c r="C935" s="371"/>
      <c r="D935" s="371"/>
      <c r="E935" s="371"/>
      <c r="F935" s="371"/>
      <c r="G935" s="371"/>
      <c r="H935" s="371"/>
      <c r="I935" s="371"/>
      <c r="J935" s="371"/>
      <c r="K935" s="371"/>
      <c r="L935" s="371"/>
      <c r="M935" s="371"/>
      <c r="N935" s="371"/>
      <c r="O935" s="371"/>
      <c r="P935" s="371"/>
      <c r="Q935" s="371"/>
      <c r="R935" s="371"/>
      <c r="S935" s="371"/>
      <c r="T935" s="371"/>
      <c r="U935" s="371"/>
      <c r="V935" s="371"/>
      <c r="W935" s="371"/>
      <c r="X935" s="371"/>
      <c r="Y935" s="371"/>
      <c r="Z935" s="371"/>
    </row>
    <row r="936" ht="26.25" customHeight="1">
      <c r="A936" s="371"/>
      <c r="B936" s="1265"/>
      <c r="C936" s="371"/>
      <c r="D936" s="371"/>
      <c r="E936" s="371"/>
      <c r="F936" s="371"/>
      <c r="G936" s="371"/>
      <c r="H936" s="371"/>
      <c r="I936" s="371"/>
      <c r="J936" s="371"/>
      <c r="K936" s="371"/>
      <c r="L936" s="371"/>
      <c r="M936" s="371"/>
      <c r="N936" s="371"/>
      <c r="O936" s="371"/>
      <c r="P936" s="371"/>
      <c r="Q936" s="371"/>
      <c r="R936" s="371"/>
      <c r="S936" s="371"/>
      <c r="T936" s="371"/>
      <c r="U936" s="371"/>
      <c r="V936" s="371"/>
      <c r="W936" s="371"/>
      <c r="X936" s="371"/>
      <c r="Y936" s="371"/>
      <c r="Z936" s="371"/>
    </row>
    <row r="937" ht="26.25" customHeight="1">
      <c r="A937" s="371"/>
      <c r="B937" s="1265"/>
      <c r="C937" s="371"/>
      <c r="D937" s="371"/>
      <c r="E937" s="371"/>
      <c r="F937" s="371"/>
      <c r="G937" s="371"/>
      <c r="H937" s="371"/>
      <c r="I937" s="371"/>
      <c r="J937" s="371"/>
      <c r="K937" s="371"/>
      <c r="L937" s="371"/>
      <c r="M937" s="371"/>
      <c r="N937" s="371"/>
      <c r="O937" s="371"/>
      <c r="P937" s="371"/>
      <c r="Q937" s="371"/>
      <c r="R937" s="371"/>
      <c r="S937" s="371"/>
      <c r="T937" s="371"/>
      <c r="U937" s="371"/>
      <c r="V937" s="371"/>
      <c r="W937" s="371"/>
      <c r="X937" s="371"/>
      <c r="Y937" s="371"/>
      <c r="Z937" s="371"/>
    </row>
    <row r="938" ht="26.25" customHeight="1">
      <c r="A938" s="371"/>
      <c r="B938" s="1265"/>
      <c r="C938" s="371"/>
      <c r="D938" s="371"/>
      <c r="E938" s="371"/>
      <c r="F938" s="371"/>
      <c r="G938" s="371"/>
      <c r="H938" s="371"/>
      <c r="I938" s="371"/>
      <c r="J938" s="371"/>
      <c r="K938" s="371"/>
      <c r="L938" s="371"/>
      <c r="M938" s="371"/>
      <c r="N938" s="371"/>
      <c r="O938" s="371"/>
      <c r="P938" s="371"/>
      <c r="Q938" s="371"/>
      <c r="R938" s="371"/>
      <c r="S938" s="371"/>
      <c r="T938" s="371"/>
      <c r="U938" s="371"/>
      <c r="V938" s="371"/>
      <c r="W938" s="371"/>
      <c r="X938" s="371"/>
      <c r="Y938" s="371"/>
      <c r="Z938" s="371"/>
    </row>
    <row r="939" ht="26.25" customHeight="1">
      <c r="A939" s="371"/>
      <c r="B939" s="1265"/>
      <c r="C939" s="371"/>
      <c r="D939" s="371"/>
      <c r="E939" s="371"/>
      <c r="F939" s="371"/>
      <c r="G939" s="371"/>
      <c r="H939" s="371"/>
      <c r="I939" s="371"/>
      <c r="J939" s="371"/>
      <c r="K939" s="371"/>
      <c r="L939" s="371"/>
      <c r="M939" s="371"/>
      <c r="N939" s="371"/>
      <c r="O939" s="371"/>
      <c r="P939" s="371"/>
      <c r="Q939" s="371"/>
      <c r="R939" s="371"/>
      <c r="S939" s="371"/>
      <c r="T939" s="371"/>
      <c r="U939" s="371"/>
      <c r="V939" s="371"/>
      <c r="W939" s="371"/>
      <c r="X939" s="371"/>
      <c r="Y939" s="371"/>
      <c r="Z939" s="371"/>
    </row>
    <row r="940" ht="26.25" customHeight="1">
      <c r="A940" s="371"/>
      <c r="B940" s="1265"/>
      <c r="C940" s="371"/>
      <c r="D940" s="371"/>
      <c r="E940" s="371"/>
      <c r="F940" s="371"/>
      <c r="G940" s="371"/>
      <c r="H940" s="371"/>
      <c r="I940" s="371"/>
      <c r="J940" s="371"/>
      <c r="K940" s="371"/>
      <c r="L940" s="371"/>
      <c r="M940" s="371"/>
      <c r="N940" s="371"/>
      <c r="O940" s="371"/>
      <c r="P940" s="371"/>
      <c r="Q940" s="371"/>
      <c r="R940" s="371"/>
      <c r="S940" s="371"/>
      <c r="T940" s="371"/>
      <c r="U940" s="371"/>
      <c r="V940" s="371"/>
      <c r="W940" s="371"/>
      <c r="X940" s="371"/>
      <c r="Y940" s="371"/>
      <c r="Z940" s="371"/>
    </row>
    <row r="941" ht="26.25" customHeight="1">
      <c r="A941" s="371"/>
      <c r="B941" s="1265"/>
      <c r="C941" s="371"/>
      <c r="D941" s="371"/>
      <c r="E941" s="371"/>
      <c r="F941" s="371"/>
      <c r="G941" s="371"/>
      <c r="H941" s="371"/>
      <c r="I941" s="371"/>
      <c r="J941" s="371"/>
      <c r="K941" s="371"/>
      <c r="L941" s="371"/>
      <c r="M941" s="371"/>
      <c r="N941" s="371"/>
      <c r="O941" s="371"/>
      <c r="P941" s="371"/>
      <c r="Q941" s="371"/>
      <c r="R941" s="371"/>
      <c r="S941" s="371"/>
      <c r="T941" s="371"/>
      <c r="U941" s="371"/>
      <c r="V941" s="371"/>
      <c r="W941" s="371"/>
      <c r="X941" s="371"/>
      <c r="Y941" s="371"/>
      <c r="Z941" s="371"/>
    </row>
    <row r="942" ht="26.25" customHeight="1">
      <c r="A942" s="371"/>
      <c r="B942" s="1265"/>
      <c r="C942" s="371"/>
      <c r="D942" s="371"/>
      <c r="E942" s="371"/>
      <c r="F942" s="371"/>
      <c r="G942" s="371"/>
      <c r="H942" s="371"/>
      <c r="I942" s="371"/>
      <c r="J942" s="371"/>
      <c r="K942" s="371"/>
      <c r="L942" s="371"/>
      <c r="M942" s="371"/>
      <c r="N942" s="371"/>
      <c r="O942" s="371"/>
      <c r="P942" s="371"/>
      <c r="Q942" s="371"/>
      <c r="R942" s="371"/>
      <c r="S942" s="371"/>
      <c r="T942" s="371"/>
      <c r="U942" s="371"/>
      <c r="V942" s="371"/>
      <c r="W942" s="371"/>
      <c r="X942" s="371"/>
      <c r="Y942" s="371"/>
      <c r="Z942" s="371"/>
    </row>
    <row r="943" ht="26.25" customHeight="1">
      <c r="A943" s="371"/>
      <c r="B943" s="1265"/>
      <c r="C943" s="371"/>
      <c r="D943" s="371"/>
      <c r="E943" s="371"/>
      <c r="F943" s="371"/>
      <c r="G943" s="371"/>
      <c r="H943" s="371"/>
      <c r="I943" s="371"/>
      <c r="J943" s="371"/>
      <c r="K943" s="371"/>
      <c r="L943" s="371"/>
      <c r="M943" s="371"/>
      <c r="N943" s="371"/>
      <c r="O943" s="371"/>
      <c r="P943" s="371"/>
      <c r="Q943" s="371"/>
      <c r="R943" s="371"/>
      <c r="S943" s="371"/>
      <c r="T943" s="371"/>
      <c r="U943" s="371"/>
      <c r="V943" s="371"/>
      <c r="W943" s="371"/>
      <c r="X943" s="371"/>
      <c r="Y943" s="371"/>
      <c r="Z943" s="371"/>
    </row>
    <row r="944" ht="26.25" customHeight="1">
      <c r="A944" s="371"/>
      <c r="B944" s="1265"/>
      <c r="C944" s="371"/>
      <c r="D944" s="371"/>
      <c r="E944" s="371"/>
      <c r="F944" s="371"/>
      <c r="G944" s="371"/>
      <c r="H944" s="371"/>
      <c r="I944" s="371"/>
      <c r="J944" s="371"/>
      <c r="K944" s="371"/>
      <c r="L944" s="371"/>
      <c r="M944" s="371"/>
      <c r="N944" s="371"/>
      <c r="O944" s="371"/>
      <c r="P944" s="371"/>
      <c r="Q944" s="371"/>
      <c r="R944" s="371"/>
      <c r="S944" s="371"/>
      <c r="T944" s="371"/>
      <c r="U944" s="371"/>
      <c r="V944" s="371"/>
      <c r="W944" s="371"/>
      <c r="X944" s="371"/>
      <c r="Y944" s="371"/>
      <c r="Z944" s="371"/>
    </row>
    <row r="945" ht="26.25" customHeight="1">
      <c r="A945" s="371"/>
      <c r="B945" s="1265"/>
      <c r="C945" s="371"/>
      <c r="D945" s="371"/>
      <c r="E945" s="371"/>
      <c r="F945" s="371"/>
      <c r="G945" s="371"/>
      <c r="H945" s="371"/>
      <c r="I945" s="371"/>
      <c r="J945" s="371"/>
      <c r="K945" s="371"/>
      <c r="L945" s="371"/>
      <c r="M945" s="371"/>
      <c r="N945" s="371"/>
      <c r="O945" s="371"/>
      <c r="P945" s="371"/>
      <c r="Q945" s="371"/>
      <c r="R945" s="371"/>
      <c r="S945" s="371"/>
      <c r="T945" s="371"/>
      <c r="U945" s="371"/>
      <c r="V945" s="371"/>
      <c r="W945" s="371"/>
      <c r="X945" s="371"/>
      <c r="Y945" s="371"/>
      <c r="Z945" s="371"/>
    </row>
    <row r="946" ht="26.25" customHeight="1">
      <c r="A946" s="371"/>
      <c r="B946" s="1265"/>
      <c r="C946" s="371"/>
      <c r="D946" s="371"/>
      <c r="E946" s="371"/>
      <c r="F946" s="371"/>
      <c r="G946" s="371"/>
      <c r="H946" s="371"/>
      <c r="I946" s="371"/>
      <c r="J946" s="371"/>
      <c r="K946" s="371"/>
      <c r="L946" s="371"/>
      <c r="M946" s="371"/>
      <c r="N946" s="371"/>
      <c r="O946" s="371"/>
      <c r="P946" s="371"/>
      <c r="Q946" s="371"/>
      <c r="R946" s="371"/>
      <c r="S946" s="371"/>
      <c r="T946" s="371"/>
      <c r="U946" s="371"/>
      <c r="V946" s="371"/>
      <c r="W946" s="371"/>
      <c r="X946" s="371"/>
      <c r="Y946" s="371"/>
      <c r="Z946" s="371"/>
    </row>
    <row r="947" ht="26.25" customHeight="1">
      <c r="A947" s="371"/>
      <c r="B947" s="1265"/>
      <c r="C947" s="371"/>
      <c r="D947" s="371"/>
      <c r="E947" s="371"/>
      <c r="F947" s="371"/>
      <c r="G947" s="371"/>
      <c r="H947" s="371"/>
      <c r="I947" s="371"/>
      <c r="J947" s="371"/>
      <c r="K947" s="371"/>
      <c r="L947" s="371"/>
      <c r="M947" s="371"/>
      <c r="N947" s="371"/>
      <c r="O947" s="371"/>
      <c r="P947" s="371"/>
      <c r="Q947" s="371"/>
      <c r="R947" s="371"/>
      <c r="S947" s="371"/>
      <c r="T947" s="371"/>
      <c r="U947" s="371"/>
      <c r="V947" s="371"/>
      <c r="W947" s="371"/>
      <c r="X947" s="371"/>
      <c r="Y947" s="371"/>
      <c r="Z947" s="371"/>
    </row>
    <row r="948" ht="26.25" customHeight="1">
      <c r="A948" s="371"/>
      <c r="B948" s="1265"/>
      <c r="C948" s="371"/>
      <c r="D948" s="371"/>
      <c r="E948" s="371"/>
      <c r="F948" s="371"/>
      <c r="G948" s="371"/>
      <c r="H948" s="371"/>
      <c r="I948" s="371"/>
      <c r="J948" s="371"/>
      <c r="K948" s="371"/>
      <c r="L948" s="371"/>
      <c r="M948" s="371"/>
      <c r="N948" s="371"/>
      <c r="O948" s="371"/>
      <c r="P948" s="371"/>
      <c r="Q948" s="371"/>
      <c r="R948" s="371"/>
      <c r="S948" s="371"/>
      <c r="T948" s="371"/>
      <c r="U948" s="371"/>
      <c r="V948" s="371"/>
      <c r="W948" s="371"/>
      <c r="X948" s="371"/>
      <c r="Y948" s="371"/>
      <c r="Z948" s="371"/>
    </row>
    <row r="949" ht="26.25" customHeight="1">
      <c r="A949" s="371"/>
      <c r="B949" s="1265"/>
      <c r="C949" s="371"/>
      <c r="D949" s="371"/>
      <c r="E949" s="371"/>
      <c r="F949" s="371"/>
      <c r="G949" s="371"/>
      <c r="H949" s="371"/>
      <c r="I949" s="371"/>
      <c r="J949" s="371"/>
      <c r="K949" s="371"/>
      <c r="L949" s="371"/>
      <c r="M949" s="371"/>
      <c r="N949" s="371"/>
      <c r="O949" s="371"/>
      <c r="P949" s="371"/>
      <c r="Q949" s="371"/>
      <c r="R949" s="371"/>
      <c r="S949" s="371"/>
      <c r="T949" s="371"/>
      <c r="U949" s="371"/>
      <c r="V949" s="371"/>
      <c r="W949" s="371"/>
      <c r="X949" s="371"/>
      <c r="Y949" s="371"/>
      <c r="Z949" s="371"/>
    </row>
    <row r="950" ht="26.25" customHeight="1">
      <c r="A950" s="371"/>
      <c r="B950" s="1265"/>
      <c r="C950" s="371"/>
      <c r="D950" s="371"/>
      <c r="E950" s="371"/>
      <c r="F950" s="371"/>
      <c r="G950" s="371"/>
      <c r="H950" s="371"/>
      <c r="I950" s="371"/>
      <c r="J950" s="371"/>
      <c r="K950" s="371"/>
      <c r="L950" s="371"/>
      <c r="M950" s="371"/>
      <c r="N950" s="371"/>
      <c r="O950" s="371"/>
      <c r="P950" s="371"/>
      <c r="Q950" s="371"/>
      <c r="R950" s="371"/>
      <c r="S950" s="371"/>
      <c r="T950" s="371"/>
      <c r="U950" s="371"/>
      <c r="V950" s="371"/>
      <c r="W950" s="371"/>
      <c r="X950" s="371"/>
      <c r="Y950" s="371"/>
      <c r="Z950" s="371"/>
    </row>
    <row r="951" ht="26.25" customHeight="1">
      <c r="A951" s="371"/>
      <c r="B951" s="1265"/>
      <c r="C951" s="371"/>
      <c r="D951" s="371"/>
      <c r="E951" s="371"/>
      <c r="F951" s="371"/>
      <c r="G951" s="371"/>
      <c r="H951" s="371"/>
      <c r="I951" s="371"/>
      <c r="J951" s="371"/>
      <c r="K951" s="371"/>
      <c r="L951" s="371"/>
      <c r="M951" s="371"/>
      <c r="N951" s="371"/>
      <c r="O951" s="371"/>
      <c r="P951" s="371"/>
      <c r="Q951" s="371"/>
      <c r="R951" s="371"/>
      <c r="S951" s="371"/>
      <c r="T951" s="371"/>
      <c r="U951" s="371"/>
      <c r="V951" s="371"/>
      <c r="W951" s="371"/>
      <c r="X951" s="371"/>
      <c r="Y951" s="371"/>
      <c r="Z951" s="371"/>
    </row>
    <row r="952" ht="26.25" customHeight="1">
      <c r="A952" s="371"/>
      <c r="B952" s="1265"/>
      <c r="C952" s="371"/>
      <c r="D952" s="371"/>
      <c r="E952" s="371"/>
      <c r="F952" s="371"/>
      <c r="G952" s="371"/>
      <c r="H952" s="371"/>
      <c r="I952" s="371"/>
      <c r="J952" s="371"/>
      <c r="K952" s="371"/>
      <c r="L952" s="371"/>
      <c r="M952" s="371"/>
      <c r="N952" s="371"/>
      <c r="O952" s="371"/>
      <c r="P952" s="371"/>
      <c r="Q952" s="371"/>
      <c r="R952" s="371"/>
      <c r="S952" s="371"/>
      <c r="T952" s="371"/>
      <c r="U952" s="371"/>
      <c r="V952" s="371"/>
      <c r="W952" s="371"/>
      <c r="X952" s="371"/>
      <c r="Y952" s="371"/>
      <c r="Z952" s="371"/>
    </row>
    <row r="953" ht="26.25" customHeight="1">
      <c r="A953" s="371"/>
      <c r="B953" s="1265"/>
      <c r="C953" s="371"/>
      <c r="D953" s="371"/>
      <c r="E953" s="371"/>
      <c r="F953" s="371"/>
      <c r="G953" s="371"/>
      <c r="H953" s="371"/>
      <c r="I953" s="371"/>
      <c r="J953" s="371"/>
      <c r="K953" s="371"/>
      <c r="L953" s="371"/>
      <c r="M953" s="371"/>
      <c r="N953" s="371"/>
      <c r="O953" s="371"/>
      <c r="P953" s="371"/>
      <c r="Q953" s="371"/>
      <c r="R953" s="371"/>
      <c r="S953" s="371"/>
      <c r="T953" s="371"/>
      <c r="U953" s="371"/>
      <c r="V953" s="371"/>
      <c r="W953" s="371"/>
      <c r="X953" s="371"/>
      <c r="Y953" s="371"/>
      <c r="Z953" s="371"/>
    </row>
    <row r="954" ht="26.25" customHeight="1">
      <c r="A954" s="371"/>
      <c r="B954" s="1265"/>
      <c r="C954" s="371"/>
      <c r="D954" s="371"/>
      <c r="E954" s="371"/>
      <c r="F954" s="371"/>
      <c r="G954" s="371"/>
      <c r="H954" s="371"/>
      <c r="I954" s="371"/>
      <c r="J954" s="371"/>
      <c r="K954" s="371"/>
      <c r="L954" s="371"/>
      <c r="M954" s="371"/>
      <c r="N954" s="371"/>
      <c r="O954" s="371"/>
      <c r="P954" s="371"/>
      <c r="Q954" s="371"/>
      <c r="R954" s="371"/>
      <c r="S954" s="371"/>
      <c r="T954" s="371"/>
      <c r="U954" s="371"/>
      <c r="V954" s="371"/>
      <c r="W954" s="371"/>
      <c r="X954" s="371"/>
      <c r="Y954" s="371"/>
      <c r="Z954" s="371"/>
    </row>
    <row r="955" ht="26.25" customHeight="1">
      <c r="A955" s="371"/>
      <c r="B955" s="1265"/>
      <c r="C955" s="371"/>
      <c r="D955" s="371"/>
      <c r="E955" s="371"/>
      <c r="F955" s="371"/>
      <c r="G955" s="371"/>
      <c r="H955" s="371"/>
      <c r="I955" s="371"/>
      <c r="J955" s="371"/>
      <c r="K955" s="371"/>
      <c r="L955" s="371"/>
      <c r="M955" s="371"/>
      <c r="N955" s="371"/>
      <c r="O955" s="371"/>
      <c r="P955" s="371"/>
      <c r="Q955" s="371"/>
      <c r="R955" s="371"/>
      <c r="S955" s="371"/>
      <c r="T955" s="371"/>
      <c r="U955" s="371"/>
      <c r="V955" s="371"/>
      <c r="W955" s="371"/>
      <c r="X955" s="371"/>
      <c r="Y955" s="371"/>
      <c r="Z955" s="371"/>
    </row>
    <row r="956" ht="26.25" customHeight="1">
      <c r="A956" s="371"/>
      <c r="B956" s="1265"/>
      <c r="C956" s="371"/>
      <c r="D956" s="371"/>
      <c r="E956" s="371"/>
      <c r="F956" s="371"/>
      <c r="G956" s="371"/>
      <c r="H956" s="371"/>
      <c r="I956" s="371"/>
      <c r="J956" s="371"/>
      <c r="K956" s="371"/>
      <c r="L956" s="371"/>
      <c r="M956" s="371"/>
      <c r="N956" s="371"/>
      <c r="O956" s="371"/>
      <c r="P956" s="371"/>
      <c r="Q956" s="371"/>
      <c r="R956" s="371"/>
      <c r="S956" s="371"/>
      <c r="T956" s="371"/>
      <c r="U956" s="371"/>
      <c r="V956" s="371"/>
      <c r="W956" s="371"/>
      <c r="X956" s="371"/>
      <c r="Y956" s="371"/>
      <c r="Z956" s="371"/>
    </row>
    <row r="957" ht="26.25" customHeight="1">
      <c r="A957" s="371"/>
      <c r="B957" s="1265"/>
      <c r="C957" s="371"/>
      <c r="D957" s="371"/>
      <c r="E957" s="371"/>
      <c r="F957" s="371"/>
      <c r="G957" s="371"/>
      <c r="H957" s="371"/>
      <c r="I957" s="371"/>
      <c r="J957" s="371"/>
      <c r="K957" s="371"/>
      <c r="L957" s="371"/>
      <c r="M957" s="371"/>
      <c r="N957" s="371"/>
      <c r="O957" s="371"/>
      <c r="P957" s="371"/>
      <c r="Q957" s="371"/>
      <c r="R957" s="371"/>
      <c r="S957" s="371"/>
      <c r="T957" s="371"/>
      <c r="U957" s="371"/>
      <c r="V957" s="371"/>
      <c r="W957" s="371"/>
      <c r="X957" s="371"/>
      <c r="Y957" s="371"/>
      <c r="Z957" s="371"/>
    </row>
    <row r="958" ht="26.25" customHeight="1">
      <c r="A958" s="371"/>
      <c r="B958" s="1265"/>
      <c r="C958" s="371"/>
      <c r="D958" s="371"/>
      <c r="E958" s="371"/>
      <c r="F958" s="371"/>
      <c r="G958" s="371"/>
      <c r="H958" s="371"/>
      <c r="I958" s="371"/>
      <c r="J958" s="371"/>
      <c r="K958" s="371"/>
      <c r="L958" s="371"/>
      <c r="M958" s="371"/>
      <c r="N958" s="371"/>
      <c r="O958" s="371"/>
      <c r="P958" s="371"/>
      <c r="Q958" s="371"/>
      <c r="R958" s="371"/>
      <c r="S958" s="371"/>
      <c r="T958" s="371"/>
      <c r="U958" s="371"/>
      <c r="V958" s="371"/>
      <c r="W958" s="371"/>
      <c r="X958" s="371"/>
      <c r="Y958" s="371"/>
      <c r="Z958" s="371"/>
    </row>
    <row r="959" ht="26.25" customHeight="1">
      <c r="A959" s="371"/>
      <c r="B959" s="1265"/>
      <c r="C959" s="371"/>
      <c r="D959" s="371"/>
      <c r="E959" s="371"/>
      <c r="F959" s="371"/>
      <c r="G959" s="371"/>
      <c r="H959" s="371"/>
      <c r="I959" s="371"/>
      <c r="J959" s="371"/>
      <c r="K959" s="371"/>
      <c r="L959" s="371"/>
      <c r="M959" s="371"/>
      <c r="N959" s="371"/>
      <c r="O959" s="371"/>
      <c r="P959" s="371"/>
      <c r="Q959" s="371"/>
      <c r="R959" s="371"/>
      <c r="S959" s="371"/>
      <c r="T959" s="371"/>
      <c r="U959" s="371"/>
      <c r="V959" s="371"/>
      <c r="W959" s="371"/>
      <c r="X959" s="371"/>
      <c r="Y959" s="371"/>
      <c r="Z959" s="371"/>
    </row>
    <row r="960" ht="26.25" customHeight="1">
      <c r="A960" s="371"/>
      <c r="B960" s="1265"/>
      <c r="C960" s="371"/>
      <c r="D960" s="371"/>
      <c r="E960" s="371"/>
      <c r="F960" s="371"/>
      <c r="G960" s="371"/>
      <c r="H960" s="371"/>
      <c r="I960" s="371"/>
      <c r="J960" s="371"/>
      <c r="K960" s="371"/>
      <c r="L960" s="371"/>
      <c r="M960" s="371"/>
      <c r="N960" s="371"/>
      <c r="O960" s="371"/>
      <c r="P960" s="371"/>
      <c r="Q960" s="371"/>
      <c r="R960" s="371"/>
      <c r="S960" s="371"/>
      <c r="T960" s="371"/>
      <c r="U960" s="371"/>
      <c r="V960" s="371"/>
      <c r="W960" s="371"/>
      <c r="X960" s="371"/>
      <c r="Y960" s="371"/>
      <c r="Z960" s="371"/>
    </row>
    <row r="961" ht="26.25" customHeight="1">
      <c r="A961" s="371"/>
      <c r="B961" s="1265"/>
      <c r="C961" s="371"/>
      <c r="D961" s="371"/>
      <c r="E961" s="371"/>
      <c r="F961" s="371"/>
      <c r="G961" s="371"/>
      <c r="H961" s="371"/>
      <c r="I961" s="371"/>
      <c r="J961" s="371"/>
      <c r="K961" s="371"/>
      <c r="L961" s="371"/>
      <c r="M961" s="371"/>
      <c r="N961" s="371"/>
      <c r="O961" s="371"/>
      <c r="P961" s="371"/>
      <c r="Q961" s="371"/>
      <c r="R961" s="371"/>
      <c r="S961" s="371"/>
      <c r="T961" s="371"/>
      <c r="U961" s="371"/>
      <c r="V961" s="371"/>
      <c r="W961" s="371"/>
      <c r="X961" s="371"/>
      <c r="Y961" s="371"/>
      <c r="Z961" s="371"/>
    </row>
    <row r="962" ht="26.25" customHeight="1">
      <c r="A962" s="371"/>
      <c r="B962" s="1265"/>
      <c r="C962" s="371"/>
      <c r="D962" s="371"/>
      <c r="E962" s="371"/>
      <c r="F962" s="371"/>
      <c r="G962" s="371"/>
      <c r="H962" s="371"/>
      <c r="I962" s="371"/>
      <c r="J962" s="371"/>
      <c r="K962" s="371"/>
      <c r="L962" s="371"/>
      <c r="M962" s="371"/>
      <c r="N962" s="371"/>
      <c r="O962" s="371"/>
      <c r="P962" s="371"/>
      <c r="Q962" s="371"/>
      <c r="R962" s="371"/>
      <c r="S962" s="371"/>
      <c r="T962" s="371"/>
      <c r="U962" s="371"/>
      <c r="V962" s="371"/>
      <c r="W962" s="371"/>
      <c r="X962" s="371"/>
      <c r="Y962" s="371"/>
      <c r="Z962" s="371"/>
    </row>
    <row r="963" ht="26.25" customHeight="1">
      <c r="A963" s="371"/>
      <c r="B963" s="1265"/>
      <c r="C963" s="371"/>
      <c r="D963" s="371"/>
      <c r="E963" s="371"/>
      <c r="F963" s="371"/>
      <c r="G963" s="371"/>
      <c r="H963" s="371"/>
      <c r="I963" s="371"/>
      <c r="J963" s="371"/>
      <c r="K963" s="371"/>
      <c r="L963" s="371"/>
      <c r="M963" s="371"/>
      <c r="N963" s="371"/>
      <c r="O963" s="371"/>
      <c r="P963" s="371"/>
      <c r="Q963" s="371"/>
      <c r="R963" s="371"/>
      <c r="S963" s="371"/>
      <c r="T963" s="371"/>
      <c r="U963" s="371"/>
      <c r="V963" s="371"/>
      <c r="W963" s="371"/>
      <c r="X963" s="371"/>
      <c r="Y963" s="371"/>
      <c r="Z963" s="371"/>
    </row>
    <row r="964" ht="26.25" customHeight="1">
      <c r="A964" s="371"/>
      <c r="B964" s="1265"/>
      <c r="C964" s="371"/>
      <c r="D964" s="371"/>
      <c r="E964" s="371"/>
      <c r="F964" s="371"/>
      <c r="G964" s="371"/>
      <c r="H964" s="371"/>
      <c r="I964" s="371"/>
      <c r="J964" s="371"/>
      <c r="K964" s="371"/>
      <c r="L964" s="371"/>
      <c r="M964" s="371"/>
      <c r="N964" s="371"/>
      <c r="O964" s="371"/>
      <c r="P964" s="371"/>
      <c r="Q964" s="371"/>
      <c r="R964" s="371"/>
      <c r="S964" s="371"/>
      <c r="T964" s="371"/>
      <c r="U964" s="371"/>
      <c r="V964" s="371"/>
      <c r="W964" s="371"/>
      <c r="X964" s="371"/>
      <c r="Y964" s="371"/>
      <c r="Z964" s="371"/>
    </row>
    <row r="965" ht="26.25" customHeight="1">
      <c r="A965" s="371"/>
      <c r="B965" s="1265"/>
      <c r="C965" s="371"/>
      <c r="D965" s="371"/>
      <c r="E965" s="371"/>
      <c r="F965" s="371"/>
      <c r="G965" s="371"/>
      <c r="H965" s="371"/>
      <c r="I965" s="371"/>
      <c r="J965" s="371"/>
      <c r="K965" s="371"/>
      <c r="L965" s="371"/>
      <c r="M965" s="371"/>
      <c r="N965" s="371"/>
      <c r="O965" s="371"/>
      <c r="P965" s="371"/>
      <c r="Q965" s="371"/>
      <c r="R965" s="371"/>
      <c r="S965" s="371"/>
      <c r="T965" s="371"/>
      <c r="U965" s="371"/>
      <c r="V965" s="371"/>
      <c r="W965" s="371"/>
      <c r="X965" s="371"/>
      <c r="Y965" s="371"/>
      <c r="Z965" s="371"/>
    </row>
    <row r="966" ht="26.25" customHeight="1">
      <c r="A966" s="371"/>
      <c r="B966" s="1265"/>
      <c r="C966" s="371"/>
      <c r="D966" s="371"/>
      <c r="E966" s="371"/>
      <c r="F966" s="371"/>
      <c r="G966" s="371"/>
      <c r="H966" s="371"/>
      <c r="I966" s="371"/>
      <c r="J966" s="371"/>
      <c r="K966" s="371"/>
      <c r="L966" s="371"/>
      <c r="M966" s="371"/>
      <c r="N966" s="371"/>
      <c r="O966" s="371"/>
      <c r="P966" s="371"/>
      <c r="Q966" s="371"/>
      <c r="R966" s="371"/>
      <c r="S966" s="371"/>
      <c r="T966" s="371"/>
      <c r="U966" s="371"/>
      <c r="V966" s="371"/>
      <c r="W966" s="371"/>
      <c r="X966" s="371"/>
      <c r="Y966" s="371"/>
      <c r="Z966" s="371"/>
    </row>
    <row r="967" ht="26.25" customHeight="1">
      <c r="A967" s="371"/>
      <c r="B967" s="1265"/>
      <c r="C967" s="371"/>
      <c r="D967" s="371"/>
      <c r="E967" s="371"/>
      <c r="F967" s="371"/>
      <c r="G967" s="371"/>
      <c r="H967" s="371"/>
      <c r="I967" s="371"/>
      <c r="J967" s="371"/>
      <c r="K967" s="371"/>
      <c r="L967" s="371"/>
      <c r="M967" s="371"/>
      <c r="N967" s="371"/>
      <c r="O967" s="371"/>
      <c r="P967" s="371"/>
      <c r="Q967" s="371"/>
      <c r="R967" s="371"/>
      <c r="S967" s="371"/>
      <c r="T967" s="371"/>
      <c r="U967" s="371"/>
      <c r="V967" s="371"/>
      <c r="W967" s="371"/>
      <c r="X967" s="371"/>
      <c r="Y967" s="371"/>
      <c r="Z967" s="371"/>
    </row>
    <row r="968" ht="26.25" customHeight="1">
      <c r="A968" s="371"/>
      <c r="B968" s="1265"/>
      <c r="C968" s="371"/>
      <c r="D968" s="371"/>
      <c r="E968" s="371"/>
      <c r="F968" s="371"/>
      <c r="G968" s="371"/>
      <c r="H968" s="371"/>
      <c r="I968" s="371"/>
      <c r="J968" s="371"/>
      <c r="K968" s="371"/>
      <c r="L968" s="371"/>
      <c r="M968" s="371"/>
      <c r="N968" s="371"/>
      <c r="O968" s="371"/>
      <c r="P968" s="371"/>
      <c r="Q968" s="371"/>
      <c r="R968" s="371"/>
      <c r="S968" s="371"/>
      <c r="T968" s="371"/>
      <c r="U968" s="371"/>
      <c r="V968" s="371"/>
      <c r="W968" s="371"/>
      <c r="X968" s="371"/>
      <c r="Y968" s="371"/>
      <c r="Z968" s="371"/>
    </row>
    <row r="969" ht="26.25" customHeight="1">
      <c r="A969" s="371"/>
      <c r="B969" s="1265"/>
      <c r="C969" s="371"/>
      <c r="D969" s="371"/>
      <c r="E969" s="371"/>
      <c r="F969" s="371"/>
      <c r="G969" s="371"/>
      <c r="H969" s="371"/>
      <c r="I969" s="371"/>
      <c r="J969" s="371"/>
      <c r="K969" s="371"/>
      <c r="L969" s="371"/>
      <c r="M969" s="371"/>
      <c r="N969" s="371"/>
      <c r="O969" s="371"/>
      <c r="P969" s="371"/>
      <c r="Q969" s="371"/>
      <c r="R969" s="371"/>
      <c r="S969" s="371"/>
      <c r="T969" s="371"/>
      <c r="U969" s="371"/>
      <c r="V969" s="371"/>
      <c r="W969" s="371"/>
      <c r="X969" s="371"/>
      <c r="Y969" s="371"/>
      <c r="Z969" s="371"/>
    </row>
    <row r="970" ht="26.25" customHeight="1">
      <c r="A970" s="371"/>
      <c r="B970" s="1265"/>
      <c r="C970" s="371"/>
      <c r="D970" s="371"/>
      <c r="E970" s="371"/>
      <c r="F970" s="371"/>
      <c r="G970" s="371"/>
      <c r="H970" s="371"/>
      <c r="I970" s="371"/>
      <c r="J970" s="371"/>
      <c r="K970" s="371"/>
      <c r="L970" s="371"/>
      <c r="M970" s="371"/>
      <c r="N970" s="371"/>
      <c r="O970" s="371"/>
      <c r="P970" s="371"/>
      <c r="Q970" s="371"/>
      <c r="R970" s="371"/>
      <c r="S970" s="371"/>
      <c r="T970" s="371"/>
      <c r="U970" s="371"/>
      <c r="V970" s="371"/>
      <c r="W970" s="371"/>
      <c r="X970" s="371"/>
      <c r="Y970" s="371"/>
      <c r="Z970" s="371"/>
    </row>
    <row r="971" ht="26.25" customHeight="1">
      <c r="A971" s="371"/>
      <c r="B971" s="1265"/>
      <c r="C971" s="371"/>
      <c r="D971" s="371"/>
      <c r="E971" s="371"/>
      <c r="F971" s="371"/>
      <c r="G971" s="371"/>
      <c r="H971" s="371"/>
      <c r="I971" s="371"/>
      <c r="J971" s="371"/>
      <c r="K971" s="371"/>
      <c r="L971" s="371"/>
      <c r="M971" s="371"/>
      <c r="N971" s="371"/>
      <c r="O971" s="371"/>
      <c r="P971" s="371"/>
      <c r="Q971" s="371"/>
      <c r="R971" s="371"/>
      <c r="S971" s="371"/>
      <c r="T971" s="371"/>
      <c r="U971" s="371"/>
      <c r="V971" s="371"/>
      <c r="W971" s="371"/>
      <c r="X971" s="371"/>
      <c r="Y971" s="371"/>
      <c r="Z971" s="371"/>
    </row>
    <row r="972" ht="26.25" customHeight="1">
      <c r="A972" s="371"/>
      <c r="B972" s="1265"/>
      <c r="C972" s="371"/>
      <c r="D972" s="371"/>
      <c r="E972" s="371"/>
      <c r="F972" s="371"/>
      <c r="G972" s="371"/>
      <c r="H972" s="371"/>
      <c r="I972" s="371"/>
      <c r="J972" s="371"/>
      <c r="K972" s="371"/>
      <c r="L972" s="371"/>
      <c r="M972" s="371"/>
      <c r="N972" s="371"/>
      <c r="O972" s="371"/>
      <c r="P972" s="371"/>
      <c r="Q972" s="371"/>
      <c r="R972" s="371"/>
      <c r="S972" s="371"/>
      <c r="T972" s="371"/>
      <c r="U972" s="371"/>
      <c r="V972" s="371"/>
      <c r="W972" s="371"/>
      <c r="X972" s="371"/>
      <c r="Y972" s="371"/>
      <c r="Z972" s="371"/>
    </row>
    <row r="973" ht="26.25" customHeight="1">
      <c r="A973" s="371"/>
      <c r="B973" s="1265"/>
      <c r="C973" s="371"/>
      <c r="D973" s="371"/>
      <c r="E973" s="371"/>
      <c r="F973" s="371"/>
      <c r="G973" s="371"/>
      <c r="H973" s="371"/>
      <c r="I973" s="371"/>
      <c r="J973" s="371"/>
      <c r="K973" s="371"/>
      <c r="L973" s="371"/>
      <c r="M973" s="371"/>
      <c r="N973" s="371"/>
      <c r="O973" s="371"/>
      <c r="P973" s="371"/>
      <c r="Q973" s="371"/>
      <c r="R973" s="371"/>
      <c r="S973" s="371"/>
      <c r="T973" s="371"/>
      <c r="U973" s="371"/>
      <c r="V973" s="371"/>
      <c r="W973" s="371"/>
      <c r="X973" s="371"/>
      <c r="Y973" s="371"/>
      <c r="Z973" s="371"/>
    </row>
    <row r="974" ht="26.25" customHeight="1">
      <c r="A974" s="371"/>
      <c r="B974" s="1265"/>
      <c r="C974" s="371"/>
      <c r="D974" s="371"/>
      <c r="E974" s="371"/>
      <c r="F974" s="371"/>
      <c r="G974" s="371"/>
      <c r="H974" s="371"/>
      <c r="I974" s="371"/>
      <c r="J974" s="371"/>
      <c r="K974" s="371"/>
      <c r="L974" s="371"/>
      <c r="M974" s="371"/>
      <c r="N974" s="371"/>
      <c r="O974" s="371"/>
      <c r="P974" s="371"/>
      <c r="Q974" s="371"/>
      <c r="R974" s="371"/>
      <c r="S974" s="371"/>
      <c r="T974" s="371"/>
      <c r="U974" s="371"/>
      <c r="V974" s="371"/>
      <c r="W974" s="371"/>
      <c r="X974" s="371"/>
      <c r="Y974" s="371"/>
      <c r="Z974" s="371"/>
    </row>
    <row r="975" ht="26.25" customHeight="1">
      <c r="A975" s="371"/>
      <c r="B975" s="1265"/>
      <c r="C975" s="371"/>
      <c r="D975" s="371"/>
      <c r="E975" s="371"/>
      <c r="F975" s="371"/>
      <c r="G975" s="371"/>
      <c r="H975" s="371"/>
      <c r="I975" s="371"/>
      <c r="J975" s="371"/>
      <c r="K975" s="371"/>
      <c r="L975" s="371"/>
      <c r="M975" s="371"/>
      <c r="N975" s="371"/>
      <c r="O975" s="371"/>
      <c r="P975" s="371"/>
      <c r="Q975" s="371"/>
      <c r="R975" s="371"/>
      <c r="S975" s="371"/>
      <c r="T975" s="371"/>
      <c r="U975" s="371"/>
      <c r="V975" s="371"/>
      <c r="W975" s="371"/>
      <c r="X975" s="371"/>
      <c r="Y975" s="371"/>
      <c r="Z975" s="371"/>
    </row>
    <row r="976" ht="26.25" customHeight="1">
      <c r="A976" s="371"/>
      <c r="B976" s="1265"/>
      <c r="C976" s="371"/>
      <c r="D976" s="371"/>
      <c r="E976" s="371"/>
      <c r="F976" s="371"/>
      <c r="G976" s="371"/>
      <c r="H976" s="371"/>
      <c r="I976" s="371"/>
      <c r="J976" s="371"/>
      <c r="K976" s="371"/>
      <c r="L976" s="371"/>
      <c r="M976" s="371"/>
      <c r="N976" s="371"/>
      <c r="O976" s="371"/>
      <c r="P976" s="371"/>
      <c r="Q976" s="371"/>
      <c r="R976" s="371"/>
      <c r="S976" s="371"/>
      <c r="T976" s="371"/>
      <c r="U976" s="371"/>
      <c r="V976" s="371"/>
      <c r="W976" s="371"/>
      <c r="X976" s="371"/>
      <c r="Y976" s="371"/>
      <c r="Z976" s="371"/>
    </row>
    <row r="977" ht="26.25" customHeight="1">
      <c r="A977" s="371"/>
      <c r="B977" s="1265"/>
      <c r="C977" s="371"/>
      <c r="D977" s="371"/>
      <c r="E977" s="371"/>
      <c r="F977" s="371"/>
      <c r="G977" s="371"/>
      <c r="H977" s="371"/>
      <c r="I977" s="371"/>
      <c r="J977" s="371"/>
      <c r="K977" s="371"/>
      <c r="L977" s="371"/>
      <c r="M977" s="371"/>
      <c r="N977" s="371"/>
      <c r="O977" s="371"/>
      <c r="P977" s="371"/>
      <c r="Q977" s="371"/>
      <c r="R977" s="371"/>
      <c r="S977" s="371"/>
      <c r="T977" s="371"/>
      <c r="U977" s="371"/>
      <c r="V977" s="371"/>
      <c r="W977" s="371"/>
      <c r="X977" s="371"/>
      <c r="Y977" s="371"/>
      <c r="Z977" s="371"/>
    </row>
    <row r="978" ht="26.25" customHeight="1">
      <c r="A978" s="371"/>
      <c r="B978" s="1265"/>
      <c r="C978" s="371"/>
      <c r="D978" s="371"/>
      <c r="E978" s="371"/>
      <c r="F978" s="371"/>
      <c r="G978" s="371"/>
      <c r="H978" s="371"/>
      <c r="I978" s="371"/>
      <c r="J978" s="371"/>
      <c r="K978" s="371"/>
      <c r="L978" s="371"/>
      <c r="M978" s="371"/>
      <c r="N978" s="371"/>
      <c r="O978" s="371"/>
      <c r="P978" s="371"/>
      <c r="Q978" s="371"/>
      <c r="R978" s="371"/>
      <c r="S978" s="371"/>
      <c r="T978" s="371"/>
      <c r="U978" s="371"/>
      <c r="V978" s="371"/>
      <c r="W978" s="371"/>
      <c r="X978" s="371"/>
      <c r="Y978" s="371"/>
      <c r="Z978" s="371"/>
    </row>
    <row r="979" ht="26.25" customHeight="1">
      <c r="A979" s="371"/>
      <c r="B979" s="1265"/>
      <c r="C979" s="371"/>
      <c r="D979" s="371"/>
      <c r="E979" s="371"/>
      <c r="F979" s="371"/>
      <c r="G979" s="371"/>
      <c r="H979" s="371"/>
      <c r="I979" s="371"/>
      <c r="J979" s="371"/>
      <c r="K979" s="371"/>
      <c r="L979" s="371"/>
      <c r="M979" s="371"/>
      <c r="N979" s="371"/>
      <c r="O979" s="371"/>
      <c r="P979" s="371"/>
      <c r="Q979" s="371"/>
      <c r="R979" s="371"/>
      <c r="S979" s="371"/>
      <c r="T979" s="371"/>
      <c r="U979" s="371"/>
      <c r="V979" s="371"/>
      <c r="W979" s="371"/>
      <c r="X979" s="371"/>
      <c r="Y979" s="371"/>
      <c r="Z979" s="371"/>
    </row>
    <row r="980" ht="26.25" customHeight="1">
      <c r="A980" s="371"/>
      <c r="B980" s="1265"/>
      <c r="C980" s="371"/>
      <c r="D980" s="371"/>
      <c r="E980" s="371"/>
      <c r="F980" s="371"/>
      <c r="G980" s="371"/>
      <c r="H980" s="371"/>
      <c r="I980" s="371"/>
      <c r="J980" s="371"/>
      <c r="K980" s="371"/>
      <c r="L980" s="371"/>
      <c r="M980" s="371"/>
      <c r="N980" s="371"/>
      <c r="O980" s="371"/>
      <c r="P980" s="371"/>
      <c r="Q980" s="371"/>
      <c r="R980" s="371"/>
      <c r="S980" s="371"/>
      <c r="T980" s="371"/>
      <c r="U980" s="371"/>
      <c r="V980" s="371"/>
      <c r="W980" s="371"/>
      <c r="X980" s="371"/>
      <c r="Y980" s="371"/>
      <c r="Z980" s="371"/>
    </row>
    <row r="981" ht="26.25" customHeight="1">
      <c r="A981" s="371"/>
      <c r="B981" s="1265"/>
      <c r="C981" s="371"/>
      <c r="D981" s="371"/>
      <c r="E981" s="371"/>
      <c r="F981" s="371"/>
      <c r="G981" s="371"/>
      <c r="H981" s="371"/>
      <c r="I981" s="371"/>
      <c r="J981" s="371"/>
      <c r="K981" s="371"/>
      <c r="L981" s="371"/>
      <c r="M981" s="371"/>
      <c r="N981" s="371"/>
      <c r="O981" s="371"/>
      <c r="P981" s="371"/>
      <c r="Q981" s="371"/>
      <c r="R981" s="371"/>
      <c r="S981" s="371"/>
      <c r="T981" s="371"/>
      <c r="U981" s="371"/>
      <c r="V981" s="371"/>
      <c r="W981" s="371"/>
      <c r="X981" s="371"/>
      <c r="Y981" s="371"/>
      <c r="Z981" s="371"/>
    </row>
    <row r="982" ht="26.25" customHeight="1">
      <c r="A982" s="371"/>
      <c r="B982" s="1265"/>
      <c r="C982" s="371"/>
      <c r="D982" s="371"/>
      <c r="E982" s="371"/>
      <c r="F982" s="371"/>
      <c r="G982" s="371"/>
      <c r="H982" s="371"/>
      <c r="I982" s="371"/>
      <c r="J982" s="371"/>
      <c r="K982" s="371"/>
      <c r="L982" s="371"/>
      <c r="M982" s="371"/>
      <c r="N982" s="371"/>
      <c r="O982" s="371"/>
      <c r="P982" s="371"/>
      <c r="Q982" s="371"/>
      <c r="R982" s="371"/>
      <c r="S982" s="371"/>
      <c r="T982" s="371"/>
      <c r="U982" s="371"/>
      <c r="V982" s="371"/>
      <c r="W982" s="371"/>
      <c r="X982" s="371"/>
      <c r="Y982" s="371"/>
      <c r="Z982" s="371"/>
    </row>
    <row r="983" ht="26.25" customHeight="1">
      <c r="A983" s="371"/>
      <c r="B983" s="1265"/>
      <c r="C983" s="371"/>
      <c r="D983" s="371"/>
      <c r="E983" s="371"/>
      <c r="F983" s="371"/>
      <c r="G983" s="371"/>
      <c r="H983" s="371"/>
      <c r="I983" s="371"/>
      <c r="J983" s="371"/>
      <c r="K983" s="371"/>
      <c r="L983" s="371"/>
      <c r="M983" s="371"/>
      <c r="N983" s="371"/>
      <c r="O983" s="371"/>
      <c r="P983" s="371"/>
      <c r="Q983" s="371"/>
      <c r="R983" s="371"/>
      <c r="S983" s="371"/>
      <c r="T983" s="371"/>
      <c r="U983" s="371"/>
      <c r="V983" s="371"/>
      <c r="W983" s="371"/>
      <c r="X983" s="371"/>
      <c r="Y983" s="371"/>
      <c r="Z983" s="371"/>
    </row>
    <row r="984" ht="26.25" customHeight="1">
      <c r="A984" s="371"/>
      <c r="B984" s="1265"/>
      <c r="C984" s="371"/>
      <c r="D984" s="371"/>
      <c r="E984" s="371"/>
      <c r="F984" s="371"/>
      <c r="G984" s="371"/>
      <c r="H984" s="371"/>
      <c r="I984" s="371"/>
      <c r="J984" s="371"/>
      <c r="K984" s="371"/>
      <c r="L984" s="371"/>
      <c r="M984" s="371"/>
      <c r="N984" s="371"/>
      <c r="O984" s="371"/>
      <c r="P984" s="371"/>
      <c r="Q984" s="371"/>
      <c r="R984" s="371"/>
      <c r="S984" s="371"/>
      <c r="T984" s="371"/>
      <c r="U984" s="371"/>
      <c r="V984" s="371"/>
      <c r="W984" s="371"/>
      <c r="X984" s="371"/>
      <c r="Y984" s="371"/>
      <c r="Z984" s="371"/>
    </row>
    <row r="985" ht="26.25" customHeight="1">
      <c r="A985" s="371"/>
      <c r="B985" s="1265"/>
      <c r="C985" s="371"/>
      <c r="D985" s="371"/>
      <c r="E985" s="371"/>
      <c r="F985" s="371"/>
      <c r="G985" s="371"/>
      <c r="H985" s="371"/>
      <c r="I985" s="371"/>
      <c r="J985" s="371"/>
      <c r="K985" s="371"/>
      <c r="L985" s="371"/>
      <c r="M985" s="371"/>
      <c r="N985" s="371"/>
      <c r="O985" s="371"/>
      <c r="P985" s="371"/>
      <c r="Q985" s="371"/>
      <c r="R985" s="371"/>
      <c r="S985" s="371"/>
      <c r="T985" s="371"/>
      <c r="U985" s="371"/>
      <c r="V985" s="371"/>
      <c r="W985" s="371"/>
      <c r="X985" s="371"/>
      <c r="Y985" s="371"/>
      <c r="Z985" s="371"/>
    </row>
    <row r="986" ht="26.25" customHeight="1">
      <c r="A986" s="371"/>
      <c r="B986" s="1265"/>
      <c r="C986" s="371"/>
      <c r="D986" s="371"/>
      <c r="E986" s="371"/>
      <c r="F986" s="371"/>
      <c r="G986" s="371"/>
      <c r="H986" s="371"/>
      <c r="I986" s="371"/>
      <c r="J986" s="371"/>
      <c r="K986" s="371"/>
      <c r="L986" s="371"/>
      <c r="M986" s="371"/>
      <c r="N986" s="371"/>
      <c r="O986" s="371"/>
      <c r="P986" s="371"/>
      <c r="Q986" s="371"/>
      <c r="R986" s="371"/>
      <c r="S986" s="371"/>
      <c r="T986" s="371"/>
      <c r="U986" s="371"/>
      <c r="V986" s="371"/>
      <c r="W986" s="371"/>
      <c r="X986" s="371"/>
      <c r="Y986" s="371"/>
      <c r="Z986" s="371"/>
    </row>
    <row r="987" ht="26.25" customHeight="1">
      <c r="A987" s="371"/>
      <c r="B987" s="1265"/>
      <c r="C987" s="371"/>
      <c r="D987" s="371"/>
      <c r="E987" s="371"/>
      <c r="F987" s="371"/>
      <c r="G987" s="371"/>
      <c r="H987" s="371"/>
      <c r="I987" s="371"/>
      <c r="J987" s="371"/>
      <c r="K987" s="371"/>
      <c r="L987" s="371"/>
      <c r="M987" s="371"/>
      <c r="N987" s="371"/>
      <c r="O987" s="371"/>
      <c r="P987" s="371"/>
      <c r="Q987" s="371"/>
      <c r="R987" s="371"/>
      <c r="S987" s="371"/>
      <c r="T987" s="371"/>
      <c r="U987" s="371"/>
      <c r="V987" s="371"/>
      <c r="W987" s="371"/>
      <c r="X987" s="371"/>
      <c r="Y987" s="371"/>
      <c r="Z987" s="371"/>
    </row>
    <row r="988" ht="26.25" customHeight="1">
      <c r="A988" s="371"/>
      <c r="B988" s="1265"/>
      <c r="C988" s="371"/>
      <c r="D988" s="371"/>
      <c r="E988" s="371"/>
      <c r="F988" s="371"/>
      <c r="G988" s="371"/>
      <c r="H988" s="371"/>
      <c r="I988" s="371"/>
      <c r="J988" s="371"/>
      <c r="K988" s="371"/>
      <c r="L988" s="371"/>
      <c r="M988" s="371"/>
      <c r="N988" s="371"/>
      <c r="O988" s="371"/>
      <c r="P988" s="371"/>
      <c r="Q988" s="371"/>
      <c r="R988" s="371"/>
      <c r="S988" s="371"/>
      <c r="T988" s="371"/>
      <c r="U988" s="371"/>
      <c r="V988" s="371"/>
      <c r="W988" s="371"/>
      <c r="X988" s="371"/>
      <c r="Y988" s="371"/>
      <c r="Z988" s="371"/>
    </row>
    <row r="989" ht="26.25" customHeight="1">
      <c r="A989" s="371"/>
      <c r="B989" s="1265"/>
      <c r="C989" s="371"/>
      <c r="D989" s="371"/>
      <c r="E989" s="371"/>
      <c r="F989" s="371"/>
      <c r="G989" s="371"/>
      <c r="H989" s="371"/>
      <c r="I989" s="371"/>
      <c r="J989" s="371"/>
      <c r="K989" s="371"/>
      <c r="L989" s="371"/>
      <c r="M989" s="371"/>
      <c r="N989" s="371"/>
      <c r="O989" s="371"/>
      <c r="P989" s="371"/>
      <c r="Q989" s="371"/>
      <c r="R989" s="371"/>
      <c r="S989" s="371"/>
      <c r="T989" s="371"/>
      <c r="U989" s="371"/>
      <c r="V989" s="371"/>
      <c r="W989" s="371"/>
      <c r="X989" s="371"/>
      <c r="Y989" s="371"/>
      <c r="Z989" s="371"/>
    </row>
    <row r="990" ht="26.25" customHeight="1">
      <c r="A990" s="371"/>
      <c r="B990" s="1265"/>
      <c r="C990" s="371"/>
      <c r="D990" s="371"/>
      <c r="E990" s="371"/>
      <c r="F990" s="371"/>
      <c r="G990" s="371"/>
      <c r="H990" s="371"/>
      <c r="I990" s="371"/>
      <c r="J990" s="371"/>
      <c r="K990" s="371"/>
      <c r="L990" s="371"/>
      <c r="M990" s="371"/>
      <c r="N990" s="371"/>
      <c r="O990" s="371"/>
      <c r="P990" s="371"/>
      <c r="Q990" s="371"/>
      <c r="R990" s="371"/>
      <c r="S990" s="371"/>
      <c r="T990" s="371"/>
      <c r="U990" s="371"/>
      <c r="V990" s="371"/>
      <c r="W990" s="371"/>
      <c r="X990" s="371"/>
      <c r="Y990" s="371"/>
      <c r="Z990" s="371"/>
    </row>
    <row r="991" ht="26.25" customHeight="1">
      <c r="A991" s="371"/>
      <c r="B991" s="1265"/>
      <c r="C991" s="371"/>
      <c r="D991" s="371"/>
      <c r="E991" s="371"/>
      <c r="F991" s="371"/>
      <c r="G991" s="371"/>
      <c r="H991" s="371"/>
      <c r="I991" s="371"/>
      <c r="J991" s="371"/>
      <c r="K991" s="371"/>
      <c r="L991" s="371"/>
      <c r="M991" s="371"/>
      <c r="N991" s="371"/>
      <c r="O991" s="371"/>
      <c r="P991" s="371"/>
      <c r="Q991" s="371"/>
      <c r="R991" s="371"/>
      <c r="S991" s="371"/>
      <c r="T991" s="371"/>
      <c r="U991" s="371"/>
      <c r="V991" s="371"/>
      <c r="W991" s="371"/>
      <c r="X991" s="371"/>
      <c r="Y991" s="371"/>
      <c r="Z991" s="371"/>
    </row>
    <row r="992" ht="26.25" customHeight="1">
      <c r="A992" s="371"/>
      <c r="B992" s="1265"/>
      <c r="C992" s="371"/>
      <c r="D992" s="371"/>
      <c r="E992" s="371"/>
      <c r="F992" s="371"/>
      <c r="G992" s="371"/>
      <c r="H992" s="371"/>
      <c r="I992" s="371"/>
      <c r="J992" s="371"/>
      <c r="K992" s="371"/>
      <c r="L992" s="371"/>
      <c r="M992" s="371"/>
      <c r="N992" s="371"/>
      <c r="O992" s="371"/>
      <c r="P992" s="371"/>
      <c r="Q992" s="371"/>
      <c r="R992" s="371"/>
      <c r="S992" s="371"/>
      <c r="T992" s="371"/>
      <c r="U992" s="371"/>
      <c r="V992" s="371"/>
      <c r="W992" s="371"/>
      <c r="X992" s="371"/>
      <c r="Y992" s="371"/>
      <c r="Z992" s="371"/>
    </row>
    <row r="993" ht="26.25" customHeight="1">
      <c r="A993" s="371"/>
      <c r="B993" s="1265"/>
      <c r="C993" s="371"/>
      <c r="D993" s="371"/>
      <c r="E993" s="371"/>
      <c r="F993" s="371"/>
      <c r="G993" s="371"/>
      <c r="H993" s="371"/>
      <c r="I993" s="371"/>
      <c r="J993" s="371"/>
      <c r="K993" s="371"/>
      <c r="L993" s="371"/>
      <c r="M993" s="371"/>
      <c r="N993" s="371"/>
      <c r="O993" s="371"/>
      <c r="P993" s="371"/>
      <c r="Q993" s="371"/>
      <c r="R993" s="371"/>
      <c r="S993" s="371"/>
      <c r="T993" s="371"/>
      <c r="U993" s="371"/>
      <c r="V993" s="371"/>
      <c r="W993" s="371"/>
      <c r="X993" s="371"/>
      <c r="Y993" s="371"/>
      <c r="Z993" s="371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46.25"/>
  </cols>
  <sheetData>
    <row r="1" ht="23.25" customHeight="1">
      <c r="A1" s="1521"/>
      <c r="B1" s="1522"/>
      <c r="C1" s="1522"/>
      <c r="D1" s="1523"/>
      <c r="E1" s="1523"/>
      <c r="F1" s="1523"/>
      <c r="G1" s="1523"/>
      <c r="H1" s="1523"/>
      <c r="I1" s="1523"/>
      <c r="J1" s="1523"/>
      <c r="K1" s="1523"/>
      <c r="L1" s="1523"/>
      <c r="M1" s="1523"/>
      <c r="N1" s="1523"/>
      <c r="O1" s="1523"/>
      <c r="P1" s="1523"/>
      <c r="Q1" s="1523"/>
      <c r="R1" s="1523"/>
      <c r="S1" s="1523"/>
      <c r="T1" s="1523"/>
      <c r="U1" s="1523"/>
      <c r="V1" s="1523"/>
      <c r="W1" s="1523"/>
    </row>
    <row r="2" ht="23.25" customHeight="1">
      <c r="A2" s="1524" t="s">
        <v>1160</v>
      </c>
      <c r="B2" s="1525"/>
      <c r="C2" s="1525"/>
      <c r="D2" s="1523"/>
      <c r="E2" s="1523"/>
      <c r="F2" s="1523"/>
      <c r="G2" s="1523"/>
      <c r="H2" s="1523"/>
      <c r="I2" s="1523"/>
      <c r="J2" s="1523"/>
      <c r="K2" s="1523"/>
      <c r="L2" s="1523"/>
      <c r="M2" s="1523"/>
      <c r="N2" s="1523"/>
      <c r="O2" s="1523"/>
      <c r="P2" s="1523"/>
      <c r="Q2" s="1523"/>
      <c r="R2" s="1523"/>
      <c r="S2" s="1523"/>
      <c r="T2" s="1523"/>
      <c r="U2" s="1523"/>
      <c r="V2" s="1523"/>
      <c r="W2" s="1523"/>
    </row>
    <row r="3" ht="23.25" customHeight="1">
      <c r="A3" s="1524" t="s">
        <v>1162</v>
      </c>
      <c r="B3" s="1526"/>
      <c r="C3" s="1526"/>
      <c r="D3" s="1523"/>
      <c r="E3" s="1523"/>
      <c r="F3" s="1523"/>
      <c r="G3" s="1523"/>
      <c r="H3" s="1523"/>
      <c r="I3" s="1523"/>
      <c r="J3" s="1523"/>
      <c r="K3" s="1523"/>
      <c r="L3" s="1523"/>
      <c r="M3" s="1523"/>
      <c r="N3" s="1523"/>
      <c r="O3" s="1523"/>
      <c r="P3" s="1523"/>
      <c r="Q3" s="1523"/>
      <c r="R3" s="1523"/>
      <c r="S3" s="1523"/>
      <c r="T3" s="1523"/>
      <c r="U3" s="1523"/>
      <c r="V3" s="1523"/>
      <c r="W3" s="1523"/>
    </row>
    <row r="4" ht="23.25" customHeight="1">
      <c r="A4" s="1524" t="s">
        <v>6830</v>
      </c>
      <c r="B4" s="1525"/>
      <c r="C4" s="1525"/>
      <c r="D4" s="1523"/>
      <c r="E4" s="1523"/>
      <c r="F4" s="1523"/>
      <c r="G4" s="1523"/>
      <c r="H4" s="1523"/>
      <c r="I4" s="1523"/>
      <c r="J4" s="1523"/>
      <c r="K4" s="1523"/>
      <c r="L4" s="1523"/>
      <c r="M4" s="1523"/>
      <c r="N4" s="1523"/>
      <c r="O4" s="1523"/>
      <c r="P4" s="1523"/>
      <c r="Q4" s="1523"/>
      <c r="R4" s="1523"/>
      <c r="S4" s="1523"/>
      <c r="T4" s="1523"/>
      <c r="U4" s="1523"/>
      <c r="V4" s="1523"/>
      <c r="W4" s="1523"/>
    </row>
    <row r="5" ht="23.25" customHeight="1">
      <c r="A5" s="1524" t="s">
        <v>6831</v>
      </c>
      <c r="B5" s="1525"/>
      <c r="C5" s="1525"/>
      <c r="D5" s="1523"/>
      <c r="E5" s="1523"/>
      <c r="F5" s="1523"/>
      <c r="G5" s="1523"/>
      <c r="H5" s="1523"/>
      <c r="I5" s="1523"/>
      <c r="J5" s="1523"/>
      <c r="K5" s="1523"/>
      <c r="L5" s="1523"/>
      <c r="M5" s="1523"/>
      <c r="N5" s="1523"/>
      <c r="O5" s="1523"/>
      <c r="P5" s="1523"/>
      <c r="Q5" s="1523"/>
      <c r="R5" s="1523"/>
      <c r="S5" s="1523"/>
      <c r="T5" s="1523"/>
      <c r="U5" s="1523"/>
      <c r="V5" s="1523"/>
      <c r="W5" s="1523"/>
    </row>
    <row r="6" ht="23.25" customHeight="1">
      <c r="A6" s="1524" t="s">
        <v>1166</v>
      </c>
      <c r="B6" s="1525"/>
      <c r="C6" s="1525"/>
      <c r="D6" s="1523"/>
      <c r="E6" s="1523"/>
      <c r="F6" s="1523"/>
      <c r="G6" s="1523"/>
      <c r="H6" s="1523"/>
      <c r="I6" s="1523"/>
      <c r="J6" s="1523"/>
      <c r="K6" s="1523"/>
      <c r="L6" s="1523"/>
      <c r="M6" s="1523"/>
      <c r="N6" s="1523"/>
      <c r="O6" s="1523"/>
      <c r="P6" s="1523"/>
      <c r="Q6" s="1523"/>
      <c r="R6" s="1523"/>
      <c r="S6" s="1523"/>
      <c r="T6" s="1523"/>
      <c r="U6" s="1523"/>
      <c r="V6" s="1523"/>
      <c r="W6" s="1523"/>
    </row>
    <row r="7" ht="23.25" customHeight="1">
      <c r="A7" s="1524" t="s">
        <v>1167</v>
      </c>
      <c r="B7" s="1525"/>
      <c r="C7" s="1525"/>
      <c r="D7" s="1523"/>
      <c r="E7" s="1523"/>
      <c r="F7" s="1523"/>
      <c r="G7" s="1523"/>
      <c r="H7" s="1523"/>
      <c r="I7" s="1523"/>
      <c r="J7" s="1523"/>
      <c r="K7" s="1523"/>
      <c r="L7" s="1523"/>
      <c r="M7" s="1523"/>
      <c r="N7" s="1523"/>
      <c r="O7" s="1523"/>
      <c r="P7" s="1523"/>
      <c r="Q7" s="1523"/>
      <c r="R7" s="1523"/>
      <c r="S7" s="1523"/>
      <c r="T7" s="1523"/>
      <c r="U7" s="1523"/>
      <c r="V7" s="1523"/>
      <c r="W7" s="1523"/>
    </row>
    <row r="8" ht="23.25" customHeight="1">
      <c r="A8" s="1527" t="s">
        <v>1168</v>
      </c>
      <c r="B8" s="1525"/>
      <c r="C8" s="1525"/>
      <c r="D8" s="1523"/>
      <c r="E8" s="1523"/>
      <c r="F8" s="1523"/>
      <c r="G8" s="1523"/>
      <c r="H8" s="1523"/>
      <c r="I8" s="1523"/>
      <c r="J8" s="1523"/>
      <c r="K8" s="1523"/>
      <c r="L8" s="1523"/>
      <c r="M8" s="1523"/>
      <c r="N8" s="1523"/>
      <c r="O8" s="1523"/>
      <c r="P8" s="1523"/>
      <c r="Q8" s="1523"/>
      <c r="R8" s="1523"/>
      <c r="S8" s="1523"/>
      <c r="T8" s="1523"/>
      <c r="U8" s="1523"/>
      <c r="V8" s="1523"/>
      <c r="W8" s="1523"/>
    </row>
    <row r="9" ht="23.25" customHeight="1">
      <c r="A9" s="1527" t="s">
        <v>6832</v>
      </c>
      <c r="B9" s="1525"/>
      <c r="C9" s="1525"/>
      <c r="D9" s="1523"/>
      <c r="E9" s="1523"/>
      <c r="F9" s="1523"/>
      <c r="G9" s="1523"/>
      <c r="H9" s="1523"/>
      <c r="I9" s="1523"/>
      <c r="J9" s="1523"/>
      <c r="K9" s="1523"/>
      <c r="L9" s="1523"/>
      <c r="M9" s="1523"/>
      <c r="N9" s="1523"/>
      <c r="O9" s="1523"/>
      <c r="P9" s="1523"/>
      <c r="Q9" s="1523"/>
      <c r="R9" s="1523"/>
      <c r="S9" s="1523"/>
      <c r="T9" s="1523"/>
      <c r="U9" s="1523"/>
      <c r="V9" s="1523"/>
      <c r="W9" s="1523"/>
    </row>
    <row r="10" ht="23.25" customHeight="1">
      <c r="A10" s="1527" t="s">
        <v>1169</v>
      </c>
      <c r="B10" s="1525"/>
      <c r="C10" s="1525"/>
      <c r="D10" s="1523"/>
      <c r="E10" s="1523"/>
      <c r="F10" s="1523"/>
      <c r="G10" s="1523"/>
      <c r="H10" s="1523"/>
      <c r="I10" s="1523"/>
      <c r="J10" s="1523"/>
      <c r="K10" s="1523"/>
      <c r="L10" s="1523"/>
      <c r="M10" s="1523"/>
      <c r="N10" s="1523"/>
      <c r="O10" s="1523"/>
      <c r="P10" s="1523"/>
      <c r="Q10" s="1523"/>
      <c r="R10" s="1523"/>
      <c r="S10" s="1523"/>
      <c r="T10" s="1523"/>
      <c r="U10" s="1523"/>
      <c r="V10" s="1523"/>
      <c r="W10" s="1523"/>
    </row>
    <row r="11" ht="23.25" customHeight="1">
      <c r="A11" s="1527" t="s">
        <v>1170</v>
      </c>
      <c r="B11" s="1525"/>
      <c r="C11" s="1525"/>
      <c r="D11" s="1523"/>
      <c r="E11" s="1523"/>
      <c r="F11" s="1523"/>
      <c r="G11" s="1523"/>
      <c r="H11" s="1523"/>
      <c r="I11" s="1523"/>
      <c r="J11" s="1523"/>
      <c r="K11" s="1523"/>
      <c r="L11" s="1523"/>
      <c r="M11" s="1523"/>
      <c r="N11" s="1523"/>
      <c r="O11" s="1523"/>
      <c r="P11" s="1523"/>
      <c r="Q11" s="1523"/>
      <c r="R11" s="1523"/>
      <c r="S11" s="1523"/>
      <c r="T11" s="1523"/>
      <c r="U11" s="1523"/>
      <c r="V11" s="1523"/>
      <c r="W11" s="1523"/>
    </row>
    <row r="12" ht="23.25" customHeight="1">
      <c r="A12" s="1527" t="s">
        <v>1171</v>
      </c>
      <c r="B12" s="1525"/>
      <c r="C12" s="1525"/>
      <c r="D12" s="1523"/>
      <c r="E12" s="1523"/>
      <c r="F12" s="1523"/>
      <c r="G12" s="1523"/>
      <c r="H12" s="1523"/>
      <c r="I12" s="1523"/>
      <c r="J12" s="1523"/>
      <c r="K12" s="1523"/>
      <c r="L12" s="1523"/>
      <c r="M12" s="1523"/>
      <c r="N12" s="1523"/>
      <c r="O12" s="1523"/>
      <c r="P12" s="1523"/>
      <c r="Q12" s="1523"/>
      <c r="R12" s="1523"/>
      <c r="S12" s="1523"/>
      <c r="T12" s="1523"/>
      <c r="U12" s="1523"/>
      <c r="V12" s="1523"/>
      <c r="W12" s="1523"/>
    </row>
    <row r="13" ht="23.25" customHeight="1">
      <c r="A13" s="1527" t="s">
        <v>1172</v>
      </c>
      <c r="B13" s="1525"/>
      <c r="C13" s="1525"/>
      <c r="D13" s="1523"/>
      <c r="E13" s="1523"/>
      <c r="F13" s="1523"/>
      <c r="G13" s="1523"/>
      <c r="H13" s="1523"/>
      <c r="I13" s="1523"/>
      <c r="J13" s="1523"/>
      <c r="K13" s="1523"/>
      <c r="L13" s="1523"/>
      <c r="M13" s="1523"/>
      <c r="N13" s="1523"/>
      <c r="O13" s="1523"/>
      <c r="P13" s="1523"/>
      <c r="Q13" s="1523"/>
      <c r="R13" s="1523"/>
      <c r="S13" s="1523"/>
      <c r="T13" s="1523"/>
      <c r="U13" s="1523"/>
      <c r="V13" s="1523"/>
      <c r="W13" s="1523"/>
    </row>
    <row r="14" ht="23.25" customHeight="1">
      <c r="A14" s="1527" t="s">
        <v>1173</v>
      </c>
      <c r="B14" s="1525"/>
      <c r="C14" s="1525"/>
      <c r="D14" s="1523"/>
      <c r="E14" s="1523"/>
      <c r="F14" s="1523"/>
      <c r="G14" s="1523"/>
      <c r="H14" s="1523"/>
      <c r="I14" s="1523"/>
      <c r="J14" s="1523"/>
      <c r="K14" s="1523"/>
      <c r="L14" s="1523"/>
      <c r="M14" s="1523"/>
      <c r="N14" s="1523"/>
      <c r="O14" s="1523"/>
      <c r="P14" s="1523"/>
      <c r="Q14" s="1523"/>
      <c r="R14" s="1523"/>
      <c r="S14" s="1523"/>
      <c r="T14" s="1523"/>
      <c r="U14" s="1523"/>
      <c r="V14" s="1523"/>
      <c r="W14" s="1523"/>
    </row>
    <row r="15" ht="23.25" customHeight="1">
      <c r="A15" s="1527" t="s">
        <v>1174</v>
      </c>
      <c r="B15" s="1525"/>
      <c r="C15" s="1525"/>
      <c r="D15" s="1523"/>
      <c r="E15" s="1523"/>
      <c r="F15" s="1523"/>
      <c r="G15" s="1523"/>
      <c r="H15" s="1523"/>
      <c r="I15" s="1523"/>
      <c r="J15" s="1523"/>
      <c r="K15" s="1523"/>
      <c r="L15" s="1523"/>
      <c r="M15" s="1523"/>
      <c r="N15" s="1523"/>
      <c r="O15" s="1523"/>
      <c r="P15" s="1523"/>
      <c r="Q15" s="1523"/>
      <c r="R15" s="1523"/>
      <c r="S15" s="1523"/>
      <c r="T15" s="1523"/>
      <c r="U15" s="1523"/>
      <c r="V15" s="1523"/>
      <c r="W15" s="1523"/>
    </row>
    <row r="16" ht="23.25" customHeight="1">
      <c r="A16" s="1527" t="s">
        <v>1175</v>
      </c>
      <c r="B16" s="1525"/>
      <c r="C16" s="1525"/>
      <c r="D16" s="1523"/>
      <c r="E16" s="1523"/>
      <c r="F16" s="1523"/>
      <c r="G16" s="1523"/>
      <c r="H16" s="1523"/>
      <c r="I16" s="1523"/>
      <c r="J16" s="1523"/>
      <c r="K16" s="1523"/>
      <c r="L16" s="1523"/>
      <c r="M16" s="1523"/>
      <c r="N16" s="1523"/>
      <c r="O16" s="1523"/>
      <c r="P16" s="1523"/>
      <c r="Q16" s="1523"/>
      <c r="R16" s="1523"/>
      <c r="S16" s="1523"/>
      <c r="T16" s="1523"/>
      <c r="U16" s="1523"/>
      <c r="V16" s="1523"/>
      <c r="W16" s="1523"/>
    </row>
    <row r="17" ht="23.25" customHeight="1">
      <c r="A17" s="1524" t="s">
        <v>6833</v>
      </c>
      <c r="B17" s="1525"/>
      <c r="C17" s="1525"/>
      <c r="D17" s="1523"/>
      <c r="E17" s="1523"/>
      <c r="F17" s="1523"/>
      <c r="G17" s="1523"/>
      <c r="H17" s="1523"/>
      <c r="I17" s="1523"/>
      <c r="J17" s="1523"/>
      <c r="K17" s="1523"/>
      <c r="L17" s="1523"/>
      <c r="M17" s="1523"/>
      <c r="N17" s="1523"/>
      <c r="O17" s="1523"/>
      <c r="P17" s="1523"/>
      <c r="Q17" s="1523"/>
      <c r="R17" s="1523"/>
      <c r="S17" s="1523"/>
      <c r="T17" s="1523"/>
      <c r="U17" s="1523"/>
      <c r="V17" s="1523"/>
      <c r="W17" s="1523"/>
    </row>
    <row r="18" ht="23.25" customHeight="1">
      <c r="A18" s="1524" t="s">
        <v>1177</v>
      </c>
      <c r="B18" s="1525"/>
      <c r="C18" s="1525"/>
      <c r="D18" s="1523"/>
      <c r="E18" s="1523"/>
      <c r="F18" s="1523"/>
      <c r="G18" s="1523"/>
      <c r="H18" s="1523"/>
      <c r="I18" s="1523"/>
      <c r="J18" s="1523"/>
      <c r="K18" s="1523"/>
      <c r="L18" s="1523"/>
      <c r="M18" s="1523"/>
      <c r="N18" s="1523"/>
      <c r="O18" s="1523"/>
      <c r="P18" s="1523"/>
      <c r="Q18" s="1523"/>
      <c r="R18" s="1523"/>
      <c r="S18" s="1523"/>
      <c r="T18" s="1523"/>
      <c r="U18" s="1523"/>
      <c r="V18" s="1523"/>
      <c r="W18" s="1523"/>
    </row>
    <row r="19" ht="23.25" customHeight="1">
      <c r="A19" s="1524" t="s">
        <v>6834</v>
      </c>
      <c r="B19" s="1525"/>
      <c r="C19" s="1525"/>
      <c r="D19" s="1523"/>
      <c r="E19" s="1523"/>
      <c r="F19" s="1523"/>
      <c r="G19" s="1523"/>
      <c r="H19" s="1523"/>
      <c r="I19" s="1523"/>
      <c r="J19" s="1523"/>
      <c r="K19" s="1523"/>
      <c r="L19" s="1523"/>
      <c r="M19" s="1523"/>
      <c r="N19" s="1523"/>
      <c r="O19" s="1523"/>
      <c r="P19" s="1523"/>
      <c r="Q19" s="1523"/>
      <c r="R19" s="1523"/>
      <c r="S19" s="1523"/>
      <c r="T19" s="1523"/>
      <c r="U19" s="1523"/>
      <c r="V19" s="1523"/>
      <c r="W19" s="1523"/>
    </row>
    <row r="20" ht="23.25" customHeight="1">
      <c r="A20" s="1524" t="s">
        <v>6835</v>
      </c>
      <c r="B20" s="1525"/>
      <c r="C20" s="1525"/>
      <c r="D20" s="1523"/>
      <c r="E20" s="1523"/>
      <c r="F20" s="1523"/>
      <c r="G20" s="1523"/>
      <c r="H20" s="1523"/>
      <c r="I20" s="1523"/>
      <c r="J20" s="1523"/>
      <c r="K20" s="1523"/>
      <c r="L20" s="1523"/>
      <c r="M20" s="1523"/>
      <c r="N20" s="1523"/>
      <c r="O20" s="1523"/>
      <c r="P20" s="1523"/>
      <c r="Q20" s="1523"/>
      <c r="R20" s="1523"/>
      <c r="S20" s="1523"/>
      <c r="T20" s="1523"/>
      <c r="U20" s="1523"/>
      <c r="V20" s="1523"/>
      <c r="W20" s="1523"/>
    </row>
    <row r="21" ht="23.25" customHeight="1">
      <c r="A21" s="1524" t="s">
        <v>1178</v>
      </c>
      <c r="B21" s="1525"/>
      <c r="C21" s="1525"/>
      <c r="D21" s="1523"/>
      <c r="E21" s="1523"/>
      <c r="F21" s="1523"/>
      <c r="G21" s="1523"/>
      <c r="H21" s="1523"/>
      <c r="I21" s="1523"/>
      <c r="J21" s="1523"/>
      <c r="K21" s="1523"/>
      <c r="L21" s="1523"/>
      <c r="M21" s="1523"/>
      <c r="N21" s="1523"/>
      <c r="O21" s="1523"/>
      <c r="P21" s="1523"/>
      <c r="Q21" s="1523"/>
      <c r="R21" s="1523"/>
      <c r="S21" s="1523"/>
      <c r="T21" s="1523"/>
      <c r="U21" s="1523"/>
      <c r="V21" s="1523"/>
      <c r="W21" s="1523"/>
    </row>
    <row r="22" ht="23.25" customHeight="1">
      <c r="A22" s="1524" t="s">
        <v>1179</v>
      </c>
      <c r="B22" s="1525"/>
      <c r="C22" s="1525"/>
      <c r="D22" s="1523"/>
      <c r="E22" s="1523"/>
      <c r="F22" s="1523"/>
      <c r="G22" s="1523"/>
      <c r="H22" s="1523"/>
      <c r="I22" s="1523"/>
      <c r="J22" s="1523"/>
      <c r="K22" s="1523"/>
      <c r="L22" s="1523"/>
      <c r="M22" s="1523"/>
      <c r="N22" s="1523"/>
      <c r="O22" s="1523"/>
      <c r="P22" s="1523"/>
      <c r="Q22" s="1523"/>
      <c r="R22" s="1523"/>
      <c r="S22" s="1523"/>
      <c r="T22" s="1523"/>
      <c r="U22" s="1523"/>
      <c r="V22" s="1523"/>
      <c r="W22" s="1523"/>
    </row>
    <row r="23" ht="23.25" customHeight="1">
      <c r="A23" s="1524" t="s">
        <v>6836</v>
      </c>
      <c r="B23" s="1525"/>
      <c r="C23" s="1525"/>
      <c r="D23" s="1523"/>
      <c r="E23" s="1523"/>
      <c r="F23" s="1523"/>
      <c r="G23" s="1523"/>
      <c r="H23" s="1523"/>
      <c r="I23" s="1523"/>
      <c r="J23" s="1523"/>
      <c r="K23" s="1523"/>
      <c r="L23" s="1523"/>
      <c r="M23" s="1523"/>
      <c r="N23" s="1523"/>
      <c r="O23" s="1523"/>
      <c r="P23" s="1523"/>
      <c r="Q23" s="1523"/>
      <c r="R23" s="1523"/>
      <c r="S23" s="1523"/>
      <c r="T23" s="1523"/>
      <c r="U23" s="1523"/>
      <c r="V23" s="1523"/>
      <c r="W23" s="1523"/>
    </row>
    <row r="24" ht="23.25" customHeight="1">
      <c r="A24" s="1524" t="s">
        <v>6837</v>
      </c>
      <c r="B24" s="1525"/>
      <c r="C24" s="1525"/>
      <c r="D24" s="1523"/>
      <c r="E24" s="1523"/>
      <c r="F24" s="1523"/>
      <c r="G24" s="1523"/>
      <c r="H24" s="1523"/>
      <c r="I24" s="1523"/>
      <c r="J24" s="1523"/>
      <c r="K24" s="1523"/>
      <c r="L24" s="1523"/>
      <c r="M24" s="1523"/>
      <c r="N24" s="1523"/>
      <c r="O24" s="1523"/>
      <c r="P24" s="1523"/>
      <c r="Q24" s="1523"/>
      <c r="R24" s="1523"/>
      <c r="S24" s="1523"/>
      <c r="T24" s="1523"/>
      <c r="U24" s="1523"/>
      <c r="V24" s="1523"/>
      <c r="W24" s="1523"/>
    </row>
    <row r="25" ht="23.25" customHeight="1">
      <c r="A25" s="1524" t="s">
        <v>1181</v>
      </c>
      <c r="B25" s="1525"/>
      <c r="C25" s="1525"/>
      <c r="D25" s="1523"/>
      <c r="E25" s="1523"/>
      <c r="F25" s="1523"/>
      <c r="G25" s="1523"/>
      <c r="H25" s="1523"/>
      <c r="I25" s="1523"/>
      <c r="J25" s="1523"/>
      <c r="K25" s="1523"/>
      <c r="L25" s="1523"/>
      <c r="M25" s="1523"/>
      <c r="N25" s="1523"/>
      <c r="O25" s="1523"/>
      <c r="P25" s="1523"/>
      <c r="Q25" s="1523"/>
      <c r="R25" s="1523"/>
      <c r="S25" s="1523"/>
      <c r="T25" s="1523"/>
      <c r="U25" s="1523"/>
      <c r="V25" s="1523"/>
      <c r="W25" s="1523"/>
    </row>
    <row r="26" ht="23.25" customHeight="1">
      <c r="A26" s="1524" t="s">
        <v>1182</v>
      </c>
      <c r="B26" s="1525"/>
      <c r="C26" s="1525"/>
      <c r="D26" s="1523"/>
      <c r="E26" s="1523"/>
      <c r="F26" s="1523"/>
      <c r="G26" s="1523"/>
      <c r="H26" s="1523"/>
      <c r="I26" s="1523"/>
      <c r="J26" s="1523"/>
      <c r="K26" s="1523"/>
      <c r="L26" s="1523"/>
      <c r="M26" s="1523"/>
      <c r="N26" s="1523"/>
      <c r="O26" s="1523"/>
      <c r="P26" s="1523"/>
      <c r="Q26" s="1523"/>
      <c r="R26" s="1523"/>
      <c r="S26" s="1523"/>
      <c r="T26" s="1523"/>
      <c r="U26" s="1523"/>
      <c r="V26" s="1523"/>
      <c r="W26" s="1523"/>
    </row>
    <row r="27" ht="23.25" customHeight="1">
      <c r="A27" s="1524" t="s">
        <v>6838</v>
      </c>
      <c r="B27" s="1525"/>
      <c r="C27" s="1525"/>
      <c r="D27" s="1523"/>
      <c r="E27" s="1523"/>
      <c r="F27" s="1523"/>
      <c r="G27" s="1523"/>
      <c r="H27" s="1523"/>
      <c r="I27" s="1523"/>
      <c r="J27" s="1523"/>
      <c r="K27" s="1523"/>
      <c r="L27" s="1523"/>
      <c r="M27" s="1523"/>
      <c r="N27" s="1523"/>
      <c r="O27" s="1523"/>
      <c r="P27" s="1523"/>
      <c r="Q27" s="1523"/>
      <c r="R27" s="1523"/>
      <c r="S27" s="1523"/>
      <c r="T27" s="1523"/>
      <c r="U27" s="1523"/>
      <c r="V27" s="1523"/>
      <c r="W27" s="1523"/>
    </row>
    <row r="28" ht="23.25" customHeight="1">
      <c r="A28" s="1524" t="s">
        <v>1184</v>
      </c>
      <c r="B28" s="1525"/>
      <c r="C28" s="1525"/>
      <c r="D28" s="1523"/>
      <c r="E28" s="1523"/>
      <c r="F28" s="1523"/>
      <c r="G28" s="1523"/>
      <c r="H28" s="1523"/>
      <c r="I28" s="1523"/>
      <c r="J28" s="1523"/>
      <c r="K28" s="1523"/>
      <c r="L28" s="1523"/>
      <c r="M28" s="1523"/>
      <c r="N28" s="1523"/>
      <c r="O28" s="1523"/>
      <c r="P28" s="1523"/>
      <c r="Q28" s="1523"/>
      <c r="R28" s="1523"/>
      <c r="S28" s="1523"/>
      <c r="T28" s="1523"/>
      <c r="U28" s="1523"/>
      <c r="V28" s="1523"/>
      <c r="W28" s="1523"/>
    </row>
    <row r="29" ht="23.25" customHeight="1">
      <c r="A29" s="1524" t="s">
        <v>1185</v>
      </c>
      <c r="B29" s="1526"/>
      <c r="C29" s="1526"/>
      <c r="D29" s="1523"/>
      <c r="E29" s="1523"/>
      <c r="F29" s="1523"/>
      <c r="G29" s="1523"/>
      <c r="H29" s="1523"/>
      <c r="I29" s="1523"/>
      <c r="J29" s="1523"/>
      <c r="K29" s="1523"/>
      <c r="L29" s="1523"/>
      <c r="M29" s="1523"/>
      <c r="N29" s="1523"/>
      <c r="O29" s="1523"/>
      <c r="P29" s="1523"/>
      <c r="Q29" s="1523"/>
      <c r="R29" s="1523"/>
      <c r="S29" s="1523"/>
      <c r="T29" s="1523"/>
      <c r="U29" s="1523"/>
      <c r="V29" s="1523"/>
      <c r="W29" s="1523"/>
    </row>
    <row r="30" ht="23.25" customHeight="1">
      <c r="A30" s="1524" t="s">
        <v>1187</v>
      </c>
      <c r="B30" s="1525"/>
      <c r="C30" s="1525"/>
      <c r="D30" s="1523"/>
      <c r="E30" s="1523"/>
      <c r="F30" s="1523"/>
      <c r="G30" s="1523"/>
      <c r="H30" s="1523"/>
      <c r="I30" s="1523"/>
      <c r="J30" s="1523"/>
      <c r="K30" s="1523"/>
      <c r="L30" s="1523"/>
      <c r="M30" s="1523"/>
      <c r="N30" s="1523"/>
      <c r="O30" s="1523"/>
      <c r="P30" s="1523"/>
      <c r="Q30" s="1523"/>
      <c r="R30" s="1523"/>
      <c r="S30" s="1523"/>
      <c r="T30" s="1523"/>
      <c r="U30" s="1523"/>
      <c r="V30" s="1523"/>
      <c r="W30" s="1523"/>
    </row>
    <row r="31" ht="23.25" customHeight="1">
      <c r="A31" s="1524" t="s">
        <v>1188</v>
      </c>
      <c r="B31" s="1525"/>
      <c r="C31" s="1525"/>
      <c r="D31" s="1523"/>
      <c r="E31" s="1523"/>
      <c r="F31" s="1523"/>
      <c r="G31" s="1523"/>
      <c r="H31" s="1523"/>
      <c r="I31" s="1523"/>
      <c r="J31" s="1523"/>
      <c r="K31" s="1523"/>
      <c r="L31" s="1523"/>
      <c r="M31" s="1523"/>
      <c r="N31" s="1523"/>
      <c r="O31" s="1523"/>
      <c r="P31" s="1523"/>
      <c r="Q31" s="1523"/>
      <c r="R31" s="1523"/>
      <c r="S31" s="1523"/>
      <c r="T31" s="1523"/>
      <c r="U31" s="1523"/>
      <c r="V31" s="1523"/>
      <c r="W31" s="1523"/>
    </row>
    <row r="32" ht="23.25" customHeight="1">
      <c r="A32" s="1524" t="s">
        <v>1189</v>
      </c>
      <c r="B32" s="1525"/>
      <c r="C32" s="1525"/>
      <c r="D32" s="1523"/>
      <c r="E32" s="1523"/>
      <c r="F32" s="1523"/>
      <c r="G32" s="1523"/>
      <c r="H32" s="1523"/>
      <c r="I32" s="1523"/>
      <c r="J32" s="1523"/>
      <c r="K32" s="1523"/>
      <c r="L32" s="1523"/>
      <c r="M32" s="1523"/>
      <c r="N32" s="1523"/>
      <c r="O32" s="1523"/>
      <c r="P32" s="1523"/>
      <c r="Q32" s="1523"/>
      <c r="R32" s="1523"/>
      <c r="S32" s="1523"/>
      <c r="T32" s="1523"/>
      <c r="U32" s="1523"/>
      <c r="V32" s="1523"/>
      <c r="W32" s="1523"/>
    </row>
    <row r="33" ht="23.25" customHeight="1">
      <c r="A33" s="1524" t="s">
        <v>1190</v>
      </c>
      <c r="B33" s="1525"/>
      <c r="C33" s="1525"/>
      <c r="D33" s="1523"/>
      <c r="E33" s="1523"/>
      <c r="F33" s="1523"/>
      <c r="G33" s="1523"/>
      <c r="H33" s="1523"/>
      <c r="I33" s="1523"/>
      <c r="J33" s="1523"/>
      <c r="K33" s="1523"/>
      <c r="L33" s="1523"/>
      <c r="M33" s="1523"/>
      <c r="N33" s="1523"/>
      <c r="O33" s="1523"/>
      <c r="P33" s="1523"/>
      <c r="Q33" s="1523"/>
      <c r="R33" s="1523"/>
      <c r="S33" s="1523"/>
      <c r="T33" s="1523"/>
      <c r="U33" s="1523"/>
      <c r="V33" s="1523"/>
      <c r="W33" s="1523"/>
    </row>
    <row r="34" ht="23.25" customHeight="1">
      <c r="A34" s="1524" t="s">
        <v>1191</v>
      </c>
      <c r="B34" s="1525"/>
      <c r="C34" s="1525"/>
      <c r="D34" s="1523"/>
      <c r="E34" s="1523"/>
      <c r="F34" s="1523"/>
      <c r="G34" s="1523"/>
      <c r="H34" s="1523"/>
      <c r="I34" s="1523"/>
      <c r="J34" s="1523"/>
      <c r="K34" s="1523"/>
      <c r="L34" s="1523"/>
      <c r="M34" s="1523"/>
      <c r="N34" s="1523"/>
      <c r="O34" s="1523"/>
      <c r="P34" s="1523"/>
      <c r="Q34" s="1523"/>
      <c r="R34" s="1523"/>
      <c r="S34" s="1523"/>
      <c r="T34" s="1523"/>
      <c r="U34" s="1523"/>
      <c r="V34" s="1523"/>
      <c r="W34" s="1523"/>
    </row>
    <row r="35" ht="23.25" customHeight="1">
      <c r="A35" s="1524" t="s">
        <v>1192</v>
      </c>
      <c r="B35" s="1525"/>
      <c r="C35" s="1525"/>
      <c r="D35" s="1523"/>
      <c r="E35" s="1523"/>
      <c r="F35" s="1523"/>
      <c r="G35" s="1523"/>
      <c r="H35" s="1523"/>
      <c r="I35" s="1523"/>
      <c r="J35" s="1523"/>
      <c r="K35" s="1523"/>
      <c r="L35" s="1523"/>
      <c r="M35" s="1523"/>
      <c r="N35" s="1523"/>
      <c r="O35" s="1523"/>
      <c r="P35" s="1523"/>
      <c r="Q35" s="1523"/>
      <c r="R35" s="1523"/>
      <c r="S35" s="1523"/>
      <c r="T35" s="1523"/>
      <c r="U35" s="1523"/>
      <c r="V35" s="1523"/>
      <c r="W35" s="1523"/>
    </row>
    <row r="36" ht="23.25" customHeight="1">
      <c r="A36" s="1524" t="s">
        <v>6839</v>
      </c>
      <c r="B36" s="1525"/>
      <c r="C36" s="1525"/>
      <c r="D36" s="1523"/>
      <c r="E36" s="1523"/>
      <c r="F36" s="1523"/>
      <c r="G36" s="1523"/>
      <c r="H36" s="1523"/>
      <c r="I36" s="1523"/>
      <c r="J36" s="1523"/>
      <c r="K36" s="1523"/>
      <c r="L36" s="1523"/>
      <c r="M36" s="1523"/>
      <c r="N36" s="1523"/>
      <c r="O36" s="1523"/>
      <c r="P36" s="1523"/>
      <c r="Q36" s="1523"/>
      <c r="R36" s="1523"/>
      <c r="S36" s="1523"/>
      <c r="T36" s="1523"/>
      <c r="U36" s="1523"/>
      <c r="V36" s="1523"/>
      <c r="W36" s="1523"/>
    </row>
    <row r="37" ht="23.25" customHeight="1">
      <c r="A37" s="1524" t="s">
        <v>1194</v>
      </c>
      <c r="B37" s="1525"/>
      <c r="C37" s="1525"/>
      <c r="D37" s="1523"/>
      <c r="E37" s="1523"/>
      <c r="F37" s="1523"/>
      <c r="G37" s="1523"/>
      <c r="H37" s="1523"/>
      <c r="I37" s="1523"/>
      <c r="J37" s="1523"/>
      <c r="K37" s="1523"/>
      <c r="L37" s="1523"/>
      <c r="M37" s="1523"/>
      <c r="N37" s="1523"/>
      <c r="O37" s="1523"/>
      <c r="P37" s="1523"/>
      <c r="Q37" s="1523"/>
      <c r="R37" s="1523"/>
      <c r="S37" s="1523"/>
      <c r="T37" s="1523"/>
      <c r="U37" s="1523"/>
      <c r="V37" s="1523"/>
      <c r="W37" s="1523"/>
    </row>
    <row r="38" ht="23.25" customHeight="1">
      <c r="A38" s="1524" t="s">
        <v>1195</v>
      </c>
      <c r="B38" s="1525"/>
      <c r="C38" s="1525"/>
      <c r="D38" s="1523"/>
      <c r="E38" s="1523"/>
      <c r="F38" s="1523"/>
      <c r="G38" s="1523"/>
      <c r="H38" s="1523"/>
      <c r="I38" s="1523"/>
      <c r="J38" s="1523"/>
      <c r="K38" s="1523"/>
      <c r="L38" s="1523"/>
      <c r="M38" s="1523"/>
      <c r="N38" s="1523"/>
      <c r="O38" s="1523"/>
      <c r="P38" s="1523"/>
      <c r="Q38" s="1523"/>
      <c r="R38" s="1523"/>
      <c r="S38" s="1523"/>
      <c r="T38" s="1523"/>
      <c r="U38" s="1523"/>
      <c r="V38" s="1523"/>
      <c r="W38" s="1523"/>
    </row>
    <row r="39" ht="23.25" customHeight="1">
      <c r="A39" s="1524" t="s">
        <v>1196</v>
      </c>
      <c r="B39" s="1525"/>
      <c r="C39" s="1525"/>
      <c r="D39" s="1523"/>
      <c r="E39" s="1523"/>
      <c r="F39" s="1523"/>
      <c r="G39" s="1523"/>
      <c r="H39" s="1523"/>
      <c r="I39" s="1523"/>
      <c r="J39" s="1523"/>
      <c r="K39" s="1523"/>
      <c r="L39" s="1523"/>
      <c r="M39" s="1523"/>
      <c r="N39" s="1523"/>
      <c r="O39" s="1523"/>
      <c r="P39" s="1523"/>
      <c r="Q39" s="1523"/>
      <c r="R39" s="1523"/>
      <c r="S39" s="1523"/>
      <c r="T39" s="1523"/>
      <c r="U39" s="1523"/>
      <c r="V39" s="1523"/>
      <c r="W39" s="1523"/>
    </row>
    <row r="40" ht="23.25" customHeight="1">
      <c r="A40" s="1524"/>
      <c r="B40" s="1525"/>
      <c r="C40" s="1525"/>
      <c r="D40" s="1523"/>
      <c r="E40" s="1523"/>
      <c r="F40" s="1523"/>
      <c r="G40" s="1523"/>
      <c r="H40" s="1523"/>
      <c r="I40" s="1523"/>
      <c r="J40" s="1523"/>
      <c r="K40" s="1523"/>
      <c r="L40" s="1523"/>
      <c r="M40" s="1523"/>
      <c r="N40" s="1523"/>
      <c r="O40" s="1523"/>
      <c r="P40" s="1523"/>
      <c r="Q40" s="1523"/>
      <c r="R40" s="1523"/>
      <c r="S40" s="1523"/>
      <c r="T40" s="1523"/>
      <c r="U40" s="1523"/>
      <c r="V40" s="1523"/>
      <c r="W40" s="1523"/>
    </row>
    <row r="41" ht="23.25" customHeight="1">
      <c r="A41" s="1524"/>
      <c r="B41" s="1525"/>
      <c r="C41" s="1525"/>
      <c r="D41" s="1523"/>
      <c r="E41" s="1523"/>
      <c r="F41" s="1523"/>
      <c r="G41" s="1523"/>
      <c r="H41" s="1523"/>
      <c r="I41" s="1523"/>
      <c r="J41" s="1523"/>
      <c r="K41" s="1523"/>
      <c r="L41" s="1523"/>
      <c r="M41" s="1523"/>
      <c r="N41" s="1523"/>
      <c r="O41" s="1523"/>
      <c r="P41" s="1523"/>
      <c r="Q41" s="1523"/>
      <c r="R41" s="1523"/>
      <c r="S41" s="1523"/>
      <c r="T41" s="1523"/>
      <c r="U41" s="1523"/>
      <c r="V41" s="1523"/>
      <c r="W41" s="1523"/>
    </row>
    <row r="42" ht="23.25" customHeight="1">
      <c r="A42" s="1524"/>
      <c r="B42" s="1525"/>
      <c r="C42" s="1525"/>
      <c r="D42" s="1523"/>
      <c r="E42" s="1523"/>
      <c r="F42" s="1523"/>
      <c r="G42" s="1523"/>
      <c r="H42" s="1523"/>
      <c r="I42" s="1523"/>
      <c r="J42" s="1523"/>
      <c r="K42" s="1523"/>
      <c r="L42" s="1523"/>
      <c r="M42" s="1523"/>
      <c r="N42" s="1523"/>
      <c r="O42" s="1523"/>
      <c r="P42" s="1523"/>
      <c r="Q42" s="1523"/>
      <c r="R42" s="1523"/>
      <c r="S42" s="1523"/>
      <c r="T42" s="1523"/>
      <c r="U42" s="1523"/>
      <c r="V42" s="1523"/>
      <c r="W42" s="1523"/>
    </row>
    <row r="43" ht="23.25" customHeight="1">
      <c r="A43" s="1524"/>
      <c r="B43" s="1525"/>
      <c r="C43" s="1525"/>
      <c r="D43" s="1523"/>
      <c r="E43" s="1523"/>
      <c r="F43" s="1523"/>
      <c r="G43" s="1523"/>
      <c r="H43" s="1523"/>
      <c r="I43" s="1523"/>
      <c r="J43" s="1523"/>
      <c r="K43" s="1523"/>
      <c r="L43" s="1523"/>
      <c r="M43" s="1523"/>
      <c r="N43" s="1523"/>
      <c r="O43" s="1523"/>
      <c r="P43" s="1523"/>
      <c r="Q43" s="1523"/>
      <c r="R43" s="1523"/>
      <c r="S43" s="1523"/>
      <c r="T43" s="1523"/>
      <c r="U43" s="1523"/>
      <c r="V43" s="1523"/>
      <c r="W43" s="1523"/>
    </row>
    <row r="44" ht="23.25" customHeight="1">
      <c r="A44" s="1524"/>
      <c r="B44" s="1525"/>
      <c r="C44" s="1525"/>
      <c r="D44" s="1523"/>
      <c r="E44" s="1523"/>
      <c r="F44" s="1523"/>
      <c r="G44" s="1523"/>
      <c r="H44" s="1523"/>
      <c r="I44" s="1523"/>
      <c r="J44" s="1523"/>
      <c r="K44" s="1523"/>
      <c r="L44" s="1523"/>
      <c r="M44" s="1523"/>
      <c r="N44" s="1523"/>
      <c r="O44" s="1523"/>
      <c r="P44" s="1523"/>
      <c r="Q44" s="1523"/>
      <c r="R44" s="1523"/>
      <c r="S44" s="1523"/>
      <c r="T44" s="1523"/>
      <c r="U44" s="1523"/>
      <c r="V44" s="1523"/>
      <c r="W44" s="1523"/>
    </row>
    <row r="45" ht="23.25" customHeight="1">
      <c r="A45" s="1524"/>
      <c r="B45" s="1525"/>
      <c r="C45" s="1525"/>
      <c r="D45" s="1523"/>
      <c r="E45" s="1523"/>
      <c r="F45" s="1523"/>
      <c r="G45" s="1523"/>
      <c r="H45" s="1523"/>
      <c r="I45" s="1523"/>
      <c r="J45" s="1523"/>
      <c r="K45" s="1523"/>
      <c r="L45" s="1523"/>
      <c r="M45" s="1523"/>
      <c r="N45" s="1523"/>
      <c r="O45" s="1523"/>
      <c r="P45" s="1523"/>
      <c r="Q45" s="1523"/>
      <c r="R45" s="1523"/>
      <c r="S45" s="1523"/>
      <c r="T45" s="1523"/>
      <c r="U45" s="1523"/>
      <c r="V45" s="1523"/>
      <c r="W45" s="1523"/>
    </row>
    <row r="46" ht="23.25" customHeight="1">
      <c r="A46" s="1524"/>
      <c r="B46" s="1525"/>
      <c r="C46" s="1525"/>
      <c r="D46" s="1523"/>
      <c r="E46" s="1523"/>
      <c r="F46" s="1523"/>
      <c r="G46" s="1523"/>
      <c r="H46" s="1523"/>
      <c r="I46" s="1523"/>
      <c r="J46" s="1523"/>
      <c r="K46" s="1523"/>
      <c r="L46" s="1523"/>
      <c r="M46" s="1523"/>
      <c r="N46" s="1523"/>
      <c r="O46" s="1523"/>
      <c r="P46" s="1523"/>
      <c r="Q46" s="1523"/>
      <c r="R46" s="1523"/>
      <c r="S46" s="1523"/>
      <c r="T46" s="1523"/>
      <c r="U46" s="1523"/>
      <c r="V46" s="1523"/>
      <c r="W46" s="1523"/>
    </row>
    <row r="47" ht="23.25" customHeight="1">
      <c r="A47" s="1523"/>
      <c r="B47" s="1523"/>
      <c r="C47" s="1523"/>
      <c r="D47" s="1523"/>
      <c r="E47" s="1523"/>
      <c r="F47" s="1523"/>
      <c r="G47" s="1523"/>
      <c r="H47" s="1523"/>
      <c r="I47" s="1523"/>
      <c r="J47" s="1523"/>
      <c r="K47" s="1523"/>
      <c r="L47" s="1523"/>
      <c r="M47" s="1523"/>
      <c r="N47" s="1523"/>
      <c r="O47" s="1523"/>
      <c r="P47" s="1523"/>
      <c r="Q47" s="1523"/>
      <c r="R47" s="1523"/>
      <c r="S47" s="1523"/>
      <c r="T47" s="1523"/>
      <c r="U47" s="1523"/>
      <c r="V47" s="1523"/>
      <c r="W47" s="1523"/>
    </row>
    <row r="48" ht="23.25" customHeight="1">
      <c r="A48" s="1523"/>
      <c r="B48" s="1523"/>
      <c r="C48" s="1523"/>
      <c r="D48" s="1523"/>
      <c r="E48" s="1523"/>
      <c r="F48" s="1523"/>
      <c r="G48" s="1523"/>
      <c r="H48" s="1523"/>
      <c r="I48" s="1523"/>
      <c r="J48" s="1523"/>
      <c r="K48" s="1523"/>
      <c r="L48" s="1523"/>
      <c r="M48" s="1523"/>
      <c r="N48" s="1523"/>
      <c r="O48" s="1523"/>
      <c r="P48" s="1523"/>
      <c r="Q48" s="1523"/>
      <c r="R48" s="1523"/>
      <c r="S48" s="1523"/>
      <c r="T48" s="1523"/>
      <c r="U48" s="1523"/>
      <c r="V48" s="1523"/>
      <c r="W48" s="1523"/>
    </row>
    <row r="49" ht="23.25" customHeight="1">
      <c r="A49" s="1523"/>
      <c r="B49" s="1523"/>
      <c r="C49" s="1523"/>
      <c r="D49" s="1523"/>
      <c r="E49" s="1523"/>
      <c r="F49" s="1523"/>
      <c r="G49" s="1523"/>
      <c r="H49" s="1523"/>
      <c r="I49" s="1523"/>
      <c r="J49" s="1523"/>
      <c r="K49" s="1523"/>
      <c r="L49" s="1523"/>
      <c r="M49" s="1523"/>
      <c r="N49" s="1523"/>
      <c r="O49" s="1523"/>
      <c r="P49" s="1523"/>
      <c r="Q49" s="1523"/>
      <c r="R49" s="1523"/>
      <c r="S49" s="1523"/>
      <c r="T49" s="1523"/>
      <c r="U49" s="1523"/>
      <c r="V49" s="1523"/>
      <c r="W49" s="1523"/>
    </row>
    <row r="50" ht="23.25" customHeight="1">
      <c r="A50" s="1523"/>
      <c r="B50" s="1523"/>
      <c r="C50" s="1523"/>
      <c r="D50" s="1523"/>
      <c r="E50" s="1523"/>
      <c r="F50" s="1523"/>
      <c r="G50" s="1523"/>
      <c r="H50" s="1523"/>
      <c r="I50" s="1523"/>
      <c r="J50" s="1523"/>
      <c r="K50" s="1523"/>
      <c r="L50" s="1523"/>
      <c r="M50" s="1523"/>
      <c r="N50" s="1523"/>
      <c r="O50" s="1523"/>
      <c r="P50" s="1523"/>
      <c r="Q50" s="1523"/>
      <c r="R50" s="1523"/>
      <c r="S50" s="1523"/>
      <c r="T50" s="1523"/>
      <c r="U50" s="1523"/>
      <c r="V50" s="1523"/>
      <c r="W50" s="1523"/>
    </row>
    <row r="51" ht="23.25" customHeight="1">
      <c r="A51" s="1523"/>
      <c r="B51" s="1523"/>
      <c r="C51" s="1523"/>
      <c r="D51" s="1523"/>
      <c r="E51" s="1523"/>
      <c r="F51" s="1523"/>
      <c r="G51" s="1523"/>
      <c r="H51" s="1523"/>
      <c r="I51" s="1523"/>
      <c r="J51" s="1523"/>
      <c r="K51" s="1523"/>
      <c r="L51" s="1523"/>
      <c r="M51" s="1523"/>
      <c r="N51" s="1523"/>
      <c r="O51" s="1523"/>
      <c r="P51" s="1523"/>
      <c r="Q51" s="1523"/>
      <c r="R51" s="1523"/>
      <c r="S51" s="1523"/>
      <c r="T51" s="1523"/>
      <c r="U51" s="1523"/>
      <c r="V51" s="1523"/>
      <c r="W51" s="1523"/>
    </row>
    <row r="52" ht="23.25" customHeight="1">
      <c r="A52" s="1523"/>
      <c r="B52" s="1523"/>
      <c r="C52" s="1523"/>
      <c r="D52" s="1523"/>
      <c r="E52" s="1523"/>
      <c r="F52" s="1523"/>
      <c r="G52" s="1523"/>
      <c r="H52" s="1523"/>
      <c r="I52" s="1523"/>
      <c r="J52" s="1523"/>
      <c r="K52" s="1523"/>
      <c r="L52" s="1523"/>
      <c r="M52" s="1523"/>
      <c r="N52" s="1523"/>
      <c r="O52" s="1523"/>
      <c r="P52" s="1523"/>
      <c r="Q52" s="1523"/>
      <c r="R52" s="1523"/>
      <c r="S52" s="1523"/>
      <c r="T52" s="1523"/>
      <c r="U52" s="1523"/>
      <c r="V52" s="1523"/>
      <c r="W52" s="1523"/>
    </row>
    <row r="53" ht="23.25" customHeight="1">
      <c r="A53" s="1523"/>
      <c r="B53" s="1523"/>
      <c r="C53" s="1523"/>
      <c r="D53" s="1523"/>
      <c r="E53" s="1523"/>
      <c r="F53" s="1523"/>
      <c r="G53" s="1523"/>
      <c r="H53" s="1523"/>
      <c r="I53" s="1523"/>
      <c r="J53" s="1523"/>
      <c r="K53" s="1523"/>
      <c r="L53" s="1523"/>
      <c r="M53" s="1523"/>
      <c r="N53" s="1523"/>
      <c r="O53" s="1523"/>
      <c r="P53" s="1523"/>
      <c r="Q53" s="1523"/>
      <c r="R53" s="1523"/>
      <c r="S53" s="1523"/>
      <c r="T53" s="1523"/>
      <c r="U53" s="1523"/>
      <c r="V53" s="1523"/>
      <c r="W53" s="1523"/>
    </row>
    <row r="54" ht="23.25" customHeight="1">
      <c r="A54" s="1523"/>
      <c r="B54" s="1523"/>
      <c r="C54" s="1523"/>
      <c r="D54" s="1523"/>
      <c r="E54" s="1523"/>
      <c r="F54" s="1523"/>
      <c r="G54" s="1523"/>
      <c r="H54" s="1523"/>
      <c r="I54" s="1523"/>
      <c r="J54" s="1523"/>
      <c r="K54" s="1523"/>
      <c r="L54" s="1523"/>
      <c r="M54" s="1523"/>
      <c r="N54" s="1523"/>
      <c r="O54" s="1523"/>
      <c r="P54" s="1523"/>
      <c r="Q54" s="1523"/>
      <c r="R54" s="1523"/>
      <c r="S54" s="1523"/>
      <c r="T54" s="1523"/>
      <c r="U54" s="1523"/>
      <c r="V54" s="1523"/>
      <c r="W54" s="1523"/>
    </row>
    <row r="55" ht="23.25" customHeight="1">
      <c r="A55" s="1523"/>
      <c r="B55" s="1523"/>
      <c r="C55" s="1523"/>
      <c r="D55" s="1523"/>
      <c r="E55" s="1523"/>
      <c r="F55" s="1523"/>
      <c r="G55" s="1523"/>
      <c r="H55" s="1523"/>
      <c r="I55" s="1523"/>
      <c r="J55" s="1523"/>
      <c r="K55" s="1523"/>
      <c r="L55" s="1523"/>
      <c r="M55" s="1523"/>
      <c r="N55" s="1523"/>
      <c r="O55" s="1523"/>
      <c r="P55" s="1523"/>
      <c r="Q55" s="1523"/>
      <c r="R55" s="1523"/>
      <c r="S55" s="1523"/>
      <c r="T55" s="1523"/>
      <c r="U55" s="1523"/>
      <c r="V55" s="1523"/>
      <c r="W55" s="1523"/>
    </row>
    <row r="56" ht="23.25" customHeight="1">
      <c r="A56" s="1523"/>
      <c r="B56" s="1523"/>
      <c r="C56" s="1523"/>
      <c r="D56" s="1523"/>
      <c r="E56" s="1523"/>
      <c r="F56" s="1523"/>
      <c r="G56" s="1523"/>
      <c r="H56" s="1523"/>
      <c r="I56" s="1523"/>
      <c r="J56" s="1523"/>
      <c r="K56" s="1523"/>
      <c r="L56" s="1523"/>
      <c r="M56" s="1523"/>
      <c r="N56" s="1523"/>
      <c r="O56" s="1523"/>
      <c r="P56" s="1523"/>
      <c r="Q56" s="1523"/>
      <c r="R56" s="1523"/>
      <c r="S56" s="1523"/>
      <c r="T56" s="1523"/>
      <c r="U56" s="1523"/>
      <c r="V56" s="1523"/>
      <c r="W56" s="1523"/>
    </row>
    <row r="57" ht="23.25" customHeight="1">
      <c r="A57" s="1523"/>
      <c r="B57" s="1523"/>
      <c r="C57" s="1523"/>
      <c r="D57" s="1523"/>
      <c r="E57" s="1523"/>
      <c r="F57" s="1523"/>
      <c r="G57" s="1523"/>
      <c r="H57" s="1523"/>
      <c r="I57" s="1523"/>
      <c r="J57" s="1523"/>
      <c r="K57" s="1523"/>
      <c r="L57" s="1523"/>
      <c r="M57" s="1523"/>
      <c r="N57" s="1523"/>
      <c r="O57" s="1523"/>
      <c r="P57" s="1523"/>
      <c r="Q57" s="1523"/>
      <c r="R57" s="1523"/>
      <c r="S57" s="1523"/>
      <c r="T57" s="1523"/>
      <c r="U57" s="1523"/>
      <c r="V57" s="1523"/>
      <c r="W57" s="1523"/>
    </row>
    <row r="58" ht="23.25" customHeight="1">
      <c r="A58" s="1523"/>
      <c r="B58" s="1523"/>
      <c r="C58" s="1523"/>
      <c r="D58" s="1523"/>
      <c r="E58" s="1523"/>
      <c r="F58" s="1523"/>
      <c r="G58" s="1523"/>
      <c r="H58" s="1523"/>
      <c r="I58" s="1523"/>
      <c r="J58" s="1523"/>
      <c r="K58" s="1523"/>
      <c r="L58" s="1523"/>
      <c r="M58" s="1523"/>
      <c r="N58" s="1523"/>
      <c r="O58" s="1523"/>
      <c r="P58" s="1523"/>
      <c r="Q58" s="1523"/>
      <c r="R58" s="1523"/>
      <c r="S58" s="1523"/>
      <c r="T58" s="1523"/>
      <c r="U58" s="1523"/>
      <c r="V58" s="1523"/>
      <c r="W58" s="1523"/>
    </row>
    <row r="59" ht="23.25" customHeight="1">
      <c r="A59" s="1523"/>
      <c r="B59" s="1523"/>
      <c r="C59" s="1523"/>
      <c r="D59" s="1523"/>
      <c r="E59" s="1523"/>
      <c r="F59" s="1523"/>
      <c r="G59" s="1523"/>
      <c r="H59" s="1523"/>
      <c r="I59" s="1523"/>
      <c r="J59" s="1523"/>
      <c r="K59" s="1523"/>
      <c r="L59" s="1523"/>
      <c r="M59" s="1523"/>
      <c r="N59" s="1523"/>
      <c r="O59" s="1523"/>
      <c r="P59" s="1523"/>
      <c r="Q59" s="1523"/>
      <c r="R59" s="1523"/>
      <c r="S59" s="1523"/>
      <c r="T59" s="1523"/>
      <c r="U59" s="1523"/>
      <c r="V59" s="1523"/>
      <c r="W59" s="1523"/>
    </row>
    <row r="60" ht="23.25" customHeight="1">
      <c r="A60" s="1523"/>
      <c r="B60" s="1523"/>
      <c r="C60" s="1523"/>
      <c r="D60" s="1523"/>
      <c r="E60" s="1523"/>
      <c r="F60" s="1523"/>
      <c r="G60" s="1523"/>
      <c r="H60" s="1523"/>
      <c r="I60" s="1523"/>
      <c r="J60" s="1523"/>
      <c r="K60" s="1523"/>
      <c r="L60" s="1523"/>
      <c r="M60" s="1523"/>
      <c r="N60" s="1523"/>
      <c r="O60" s="1523"/>
      <c r="P60" s="1523"/>
      <c r="Q60" s="1523"/>
      <c r="R60" s="1523"/>
      <c r="S60" s="1523"/>
      <c r="T60" s="1523"/>
      <c r="U60" s="1523"/>
      <c r="V60" s="1523"/>
      <c r="W60" s="1523"/>
    </row>
    <row r="61" ht="23.25" customHeight="1">
      <c r="A61" s="1523"/>
      <c r="B61" s="1523"/>
      <c r="C61" s="1523"/>
      <c r="D61" s="1523"/>
      <c r="E61" s="1523"/>
      <c r="F61" s="1523"/>
      <c r="G61" s="1523"/>
      <c r="H61" s="1523"/>
      <c r="I61" s="1523"/>
      <c r="J61" s="1523"/>
      <c r="K61" s="1523"/>
      <c r="L61" s="1523"/>
      <c r="M61" s="1523"/>
      <c r="N61" s="1523"/>
      <c r="O61" s="1523"/>
      <c r="P61" s="1523"/>
      <c r="Q61" s="1523"/>
      <c r="R61" s="1523"/>
      <c r="S61" s="1523"/>
      <c r="T61" s="1523"/>
      <c r="U61" s="1523"/>
      <c r="V61" s="1523"/>
      <c r="W61" s="1523"/>
    </row>
    <row r="62" ht="23.25" customHeight="1">
      <c r="A62" s="1523"/>
      <c r="B62" s="1523"/>
      <c r="C62" s="1523"/>
      <c r="D62" s="1523"/>
      <c r="E62" s="1523"/>
      <c r="F62" s="1523"/>
      <c r="G62" s="1523"/>
      <c r="H62" s="1523"/>
      <c r="I62" s="1523"/>
      <c r="J62" s="1523"/>
      <c r="K62" s="1523"/>
      <c r="L62" s="1523"/>
      <c r="M62" s="1523"/>
      <c r="N62" s="1523"/>
      <c r="O62" s="1523"/>
      <c r="P62" s="1523"/>
      <c r="Q62" s="1523"/>
      <c r="R62" s="1523"/>
      <c r="S62" s="1523"/>
      <c r="T62" s="1523"/>
      <c r="U62" s="1523"/>
      <c r="V62" s="1523"/>
      <c r="W62" s="1523"/>
    </row>
    <row r="63" ht="23.25" customHeight="1">
      <c r="A63" s="1523"/>
      <c r="B63" s="1523"/>
      <c r="C63" s="1523"/>
      <c r="D63" s="1523"/>
      <c r="E63" s="1523"/>
      <c r="F63" s="1523"/>
      <c r="G63" s="1523"/>
      <c r="H63" s="1523"/>
      <c r="I63" s="1523"/>
      <c r="J63" s="1523"/>
      <c r="K63" s="1523"/>
      <c r="L63" s="1523"/>
      <c r="M63" s="1523"/>
      <c r="N63" s="1523"/>
      <c r="O63" s="1523"/>
      <c r="P63" s="1523"/>
      <c r="Q63" s="1523"/>
      <c r="R63" s="1523"/>
      <c r="S63" s="1523"/>
      <c r="T63" s="1523"/>
      <c r="U63" s="1523"/>
      <c r="V63" s="1523"/>
      <c r="W63" s="1523"/>
    </row>
    <row r="64" ht="23.25" customHeight="1">
      <c r="A64" s="1523"/>
      <c r="B64" s="1523"/>
      <c r="C64" s="1523"/>
      <c r="D64" s="1523"/>
      <c r="E64" s="1523"/>
      <c r="F64" s="1523"/>
      <c r="G64" s="1523"/>
      <c r="H64" s="1523"/>
      <c r="I64" s="1523"/>
      <c r="J64" s="1523"/>
      <c r="K64" s="1523"/>
      <c r="L64" s="1523"/>
      <c r="M64" s="1523"/>
      <c r="N64" s="1523"/>
      <c r="O64" s="1523"/>
      <c r="P64" s="1523"/>
      <c r="Q64" s="1523"/>
      <c r="R64" s="1523"/>
      <c r="S64" s="1523"/>
      <c r="T64" s="1523"/>
      <c r="U64" s="1523"/>
      <c r="V64" s="1523"/>
      <c r="W64" s="1523"/>
    </row>
    <row r="65" ht="23.25" customHeight="1">
      <c r="A65" s="1523"/>
      <c r="B65" s="1523"/>
      <c r="C65" s="1523"/>
      <c r="D65" s="1523"/>
      <c r="E65" s="1523"/>
      <c r="F65" s="1523"/>
      <c r="G65" s="1523"/>
      <c r="H65" s="1523"/>
      <c r="I65" s="1523"/>
      <c r="J65" s="1523"/>
      <c r="K65" s="1523"/>
      <c r="L65" s="1523"/>
      <c r="M65" s="1523"/>
      <c r="N65" s="1523"/>
      <c r="O65" s="1523"/>
      <c r="P65" s="1523"/>
      <c r="Q65" s="1523"/>
      <c r="R65" s="1523"/>
      <c r="S65" s="1523"/>
      <c r="T65" s="1523"/>
      <c r="U65" s="1523"/>
      <c r="V65" s="1523"/>
      <c r="W65" s="1523"/>
    </row>
    <row r="66" ht="23.25" customHeight="1">
      <c r="A66" s="1523"/>
      <c r="B66" s="1523"/>
      <c r="C66" s="1523"/>
      <c r="D66" s="1523"/>
      <c r="E66" s="1523"/>
      <c r="F66" s="1523"/>
      <c r="G66" s="1523"/>
      <c r="H66" s="1523"/>
      <c r="I66" s="1523"/>
      <c r="J66" s="1523"/>
      <c r="K66" s="1523"/>
      <c r="L66" s="1523"/>
      <c r="M66" s="1523"/>
      <c r="N66" s="1523"/>
      <c r="O66" s="1523"/>
      <c r="P66" s="1523"/>
      <c r="Q66" s="1523"/>
      <c r="R66" s="1523"/>
      <c r="S66" s="1523"/>
      <c r="T66" s="1523"/>
      <c r="U66" s="1523"/>
      <c r="V66" s="1523"/>
      <c r="W66" s="1523"/>
    </row>
    <row r="67" ht="23.25" customHeight="1">
      <c r="A67" s="1523"/>
      <c r="B67" s="1523"/>
      <c r="C67" s="1523"/>
      <c r="D67" s="1523"/>
      <c r="E67" s="1523"/>
      <c r="F67" s="1523"/>
      <c r="G67" s="1523"/>
      <c r="H67" s="1523"/>
      <c r="I67" s="1523"/>
      <c r="J67" s="1523"/>
      <c r="K67" s="1523"/>
      <c r="L67" s="1523"/>
      <c r="M67" s="1523"/>
      <c r="N67" s="1523"/>
      <c r="O67" s="1523"/>
      <c r="P67" s="1523"/>
      <c r="Q67" s="1523"/>
      <c r="R67" s="1523"/>
      <c r="S67" s="1523"/>
      <c r="T67" s="1523"/>
      <c r="U67" s="1523"/>
      <c r="V67" s="1523"/>
      <c r="W67" s="1523"/>
    </row>
    <row r="68" ht="23.25" customHeight="1">
      <c r="A68" s="1523"/>
      <c r="B68" s="1523"/>
      <c r="C68" s="1523"/>
      <c r="D68" s="1523"/>
      <c r="E68" s="1523"/>
      <c r="F68" s="1523"/>
      <c r="G68" s="1523"/>
      <c r="H68" s="1523"/>
      <c r="I68" s="1523"/>
      <c r="J68" s="1523"/>
      <c r="K68" s="1523"/>
      <c r="L68" s="1523"/>
      <c r="M68" s="1523"/>
      <c r="N68" s="1523"/>
      <c r="O68" s="1523"/>
      <c r="P68" s="1523"/>
      <c r="Q68" s="1523"/>
      <c r="R68" s="1523"/>
      <c r="S68" s="1523"/>
      <c r="T68" s="1523"/>
      <c r="U68" s="1523"/>
      <c r="V68" s="1523"/>
      <c r="W68" s="1523"/>
    </row>
    <row r="69" ht="23.25" customHeight="1">
      <c r="A69" s="1523"/>
      <c r="B69" s="1523"/>
      <c r="C69" s="1523"/>
      <c r="D69" s="1523"/>
      <c r="E69" s="1523"/>
      <c r="F69" s="1523"/>
      <c r="G69" s="1523"/>
      <c r="H69" s="1523"/>
      <c r="I69" s="1523"/>
      <c r="J69" s="1523"/>
      <c r="K69" s="1523"/>
      <c r="L69" s="1523"/>
      <c r="M69" s="1523"/>
      <c r="N69" s="1523"/>
      <c r="O69" s="1523"/>
      <c r="P69" s="1523"/>
      <c r="Q69" s="1523"/>
      <c r="R69" s="1523"/>
      <c r="S69" s="1523"/>
      <c r="T69" s="1523"/>
      <c r="U69" s="1523"/>
      <c r="V69" s="1523"/>
      <c r="W69" s="1523"/>
    </row>
    <row r="70" ht="23.25" customHeight="1">
      <c r="A70" s="1523"/>
      <c r="B70" s="1523"/>
      <c r="C70" s="1523"/>
      <c r="D70" s="1523"/>
      <c r="E70" s="1523"/>
      <c r="F70" s="1523"/>
      <c r="G70" s="1523"/>
      <c r="H70" s="1523"/>
      <c r="I70" s="1523"/>
      <c r="J70" s="1523"/>
      <c r="K70" s="1523"/>
      <c r="L70" s="1523"/>
      <c r="M70" s="1523"/>
      <c r="N70" s="1523"/>
      <c r="O70" s="1523"/>
      <c r="P70" s="1523"/>
      <c r="Q70" s="1523"/>
      <c r="R70" s="1523"/>
      <c r="S70" s="1523"/>
      <c r="T70" s="1523"/>
      <c r="U70" s="1523"/>
      <c r="V70" s="1523"/>
      <c r="W70" s="1523"/>
    </row>
    <row r="71" ht="23.25" customHeight="1">
      <c r="A71" s="1523"/>
      <c r="B71" s="1523"/>
      <c r="C71" s="1523"/>
      <c r="D71" s="1523"/>
      <c r="E71" s="1523"/>
      <c r="F71" s="1523"/>
      <c r="G71" s="1523"/>
      <c r="H71" s="1523"/>
      <c r="I71" s="1523"/>
      <c r="J71" s="1523"/>
      <c r="K71" s="1523"/>
      <c r="L71" s="1523"/>
      <c r="M71" s="1523"/>
      <c r="N71" s="1523"/>
      <c r="O71" s="1523"/>
      <c r="P71" s="1523"/>
      <c r="Q71" s="1523"/>
      <c r="R71" s="1523"/>
      <c r="S71" s="1523"/>
      <c r="T71" s="1523"/>
      <c r="U71" s="1523"/>
      <c r="V71" s="1523"/>
      <c r="W71" s="1523"/>
    </row>
    <row r="72" ht="23.25" customHeight="1">
      <c r="A72" s="1523"/>
      <c r="B72" s="1523"/>
      <c r="C72" s="1523"/>
      <c r="D72" s="1523"/>
      <c r="E72" s="1523"/>
      <c r="F72" s="1523"/>
      <c r="G72" s="1523"/>
      <c r="H72" s="1523"/>
      <c r="I72" s="1523"/>
      <c r="J72" s="1523"/>
      <c r="K72" s="1523"/>
      <c r="L72" s="1523"/>
      <c r="M72" s="1523"/>
      <c r="N72" s="1523"/>
      <c r="O72" s="1523"/>
      <c r="P72" s="1523"/>
      <c r="Q72" s="1523"/>
      <c r="R72" s="1523"/>
      <c r="S72" s="1523"/>
      <c r="T72" s="1523"/>
      <c r="U72" s="1523"/>
      <c r="V72" s="1523"/>
      <c r="W72" s="1523"/>
    </row>
  </sheetData>
  <autoFilter ref="$A$1:$C$72">
    <sortState ref="A1:C72">
      <sortCondition ref="A1:A72"/>
    </sortState>
  </autoFilter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6.13"/>
    <col customWidth="1" min="2" max="2" width="36.5"/>
    <col customWidth="1" min="3" max="4" width="17.75"/>
    <col customWidth="1" min="5" max="7" width="11.88"/>
    <col customWidth="1" min="8" max="26" width="6.13"/>
  </cols>
  <sheetData>
    <row r="1">
      <c r="A1" s="1517" t="s">
        <v>704</v>
      </c>
      <c r="B1" s="1517" t="s">
        <v>6840</v>
      </c>
      <c r="C1" s="1528" t="s">
        <v>6841</v>
      </c>
      <c r="D1" s="1529" t="s">
        <v>2835</v>
      </c>
      <c r="E1" s="326" t="s">
        <v>6842</v>
      </c>
      <c r="F1" s="326" t="s">
        <v>6843</v>
      </c>
      <c r="G1" s="326" t="s">
        <v>6844</v>
      </c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</row>
    <row r="2">
      <c r="A2" s="1530"/>
      <c r="B2" s="1530"/>
      <c r="C2" s="1531"/>
      <c r="D2" s="1531"/>
      <c r="E2" s="326" t="s">
        <v>6845</v>
      </c>
      <c r="F2" s="487">
        <v>45775.0</v>
      </c>
      <c r="G2" s="487">
        <v>45776.0</v>
      </c>
    </row>
    <row r="3">
      <c r="A3" s="1532"/>
      <c r="B3" s="1533" t="s">
        <v>6846</v>
      </c>
      <c r="C3" s="856"/>
      <c r="D3" s="856"/>
      <c r="E3" s="1534">
        <v>6.0</v>
      </c>
      <c r="F3" s="1535"/>
      <c r="G3" s="1534">
        <v>2.0</v>
      </c>
    </row>
    <row r="4">
      <c r="A4" s="1517">
        <v>1.0</v>
      </c>
      <c r="B4" s="1536" t="s">
        <v>6847</v>
      </c>
      <c r="C4" s="484">
        <v>280000.0</v>
      </c>
      <c r="D4" s="1537">
        <v>750000.0</v>
      </c>
      <c r="E4" s="655"/>
      <c r="F4" s="655"/>
      <c r="G4" s="655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  <c r="Z4" s="371"/>
    </row>
    <row r="5">
      <c r="A5" s="1532"/>
      <c r="B5" s="1533" t="s">
        <v>6848</v>
      </c>
      <c r="C5" s="856"/>
      <c r="D5" s="856"/>
      <c r="E5" s="399"/>
      <c r="F5" s="399"/>
      <c r="G5" s="399"/>
    </row>
    <row r="6">
      <c r="A6" s="1532"/>
      <c r="B6" s="1533"/>
      <c r="C6" s="1538"/>
      <c r="D6" s="1538"/>
      <c r="E6" s="1539"/>
      <c r="F6" s="1539"/>
      <c r="G6" s="1539"/>
    </row>
    <row r="7">
      <c r="A7" s="1532"/>
      <c r="B7" s="1533" t="s">
        <v>6849</v>
      </c>
      <c r="C7" s="1538"/>
      <c r="D7" s="1538"/>
      <c r="E7" s="1534">
        <v>2.0</v>
      </c>
      <c r="F7" s="1535"/>
      <c r="G7" s="1535"/>
    </row>
    <row r="8">
      <c r="A8" s="1517">
        <v>2.0</v>
      </c>
      <c r="B8" s="1536" t="s">
        <v>6850</v>
      </c>
      <c r="C8" s="484">
        <v>180000.0</v>
      </c>
      <c r="D8" s="1537">
        <v>550000.0</v>
      </c>
      <c r="E8" s="655"/>
      <c r="F8" s="655"/>
      <c r="G8" s="655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</row>
    <row r="9">
      <c r="A9" s="1532"/>
      <c r="B9" s="1533" t="s">
        <v>6851</v>
      </c>
      <c r="C9" s="856"/>
      <c r="D9" s="856"/>
      <c r="E9" s="399"/>
      <c r="F9" s="399"/>
      <c r="G9" s="399"/>
    </row>
    <row r="10">
      <c r="A10" s="1532"/>
      <c r="B10" s="1533"/>
      <c r="C10" s="1538"/>
      <c r="D10" s="1538"/>
      <c r="E10" s="1539"/>
      <c r="F10" s="1539"/>
      <c r="G10" s="1539"/>
    </row>
    <row r="11">
      <c r="A11" s="1532"/>
      <c r="B11" s="1540" t="s">
        <v>6852</v>
      </c>
      <c r="C11" s="1538"/>
      <c r="D11" s="1538"/>
      <c r="E11" s="1534">
        <v>0.0</v>
      </c>
      <c r="F11" s="1534">
        <v>0.0</v>
      </c>
      <c r="G11" s="1534">
        <v>0.0</v>
      </c>
    </row>
    <row r="12">
      <c r="A12" s="1541">
        <v>3.0</v>
      </c>
      <c r="B12" s="1542" t="s">
        <v>6853</v>
      </c>
      <c r="C12" s="484" t="s">
        <v>6854</v>
      </c>
      <c r="D12" s="1537" t="s">
        <v>3082</v>
      </c>
      <c r="E12" s="655"/>
      <c r="F12" s="655"/>
      <c r="G12" s="655"/>
      <c r="H12" s="371"/>
      <c r="I12" s="371"/>
      <c r="J12" s="371"/>
      <c r="K12" s="371"/>
      <c r="L12" s="371"/>
      <c r="M12" s="371"/>
      <c r="N12" s="371"/>
      <c r="O12" s="371"/>
      <c r="P12" s="371"/>
      <c r="Q12" s="371"/>
      <c r="R12" s="371"/>
      <c r="S12" s="371"/>
      <c r="T12" s="371"/>
      <c r="U12" s="371"/>
      <c r="V12" s="371"/>
      <c r="W12" s="371"/>
      <c r="X12" s="371"/>
      <c r="Y12" s="371"/>
      <c r="Z12" s="371"/>
    </row>
    <row r="13">
      <c r="A13" s="1530"/>
      <c r="B13" s="1533" t="s">
        <v>6855</v>
      </c>
      <c r="C13" s="856"/>
      <c r="D13" s="856"/>
      <c r="E13" s="399"/>
      <c r="F13" s="399"/>
      <c r="G13" s="399"/>
    </row>
    <row r="14">
      <c r="A14" s="1532"/>
      <c r="B14" s="1543"/>
      <c r="C14" s="1538"/>
      <c r="D14" s="1538"/>
      <c r="E14" s="1539"/>
      <c r="F14" s="1539"/>
      <c r="G14" s="1539"/>
    </row>
    <row r="15">
      <c r="A15" s="1532"/>
      <c r="B15" s="1533" t="s">
        <v>6856</v>
      </c>
      <c r="C15" s="856"/>
      <c r="D15" s="856"/>
      <c r="E15" s="1534">
        <v>0.0</v>
      </c>
      <c r="F15" s="1534">
        <v>0.0</v>
      </c>
      <c r="G15" s="1534"/>
    </row>
    <row r="16">
      <c r="A16" s="1517">
        <v>4.0</v>
      </c>
      <c r="B16" s="1536" t="s">
        <v>6857</v>
      </c>
      <c r="C16" s="484">
        <v>160000.0</v>
      </c>
      <c r="D16" s="1537">
        <v>400000.0</v>
      </c>
      <c r="E16" s="655"/>
      <c r="F16" s="655"/>
      <c r="G16" s="655"/>
      <c r="H16" s="371"/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Z16" s="371"/>
    </row>
    <row r="17">
      <c r="A17" s="1530"/>
      <c r="B17" s="1543"/>
      <c r="C17" s="1538"/>
      <c r="D17" s="1538"/>
      <c r="E17" s="399"/>
      <c r="F17" s="399"/>
      <c r="G17" s="399"/>
    </row>
    <row r="18">
      <c r="A18" s="1532"/>
      <c r="B18" s="1533" t="s">
        <v>6858</v>
      </c>
      <c r="C18" s="1538"/>
      <c r="D18" s="1538"/>
      <c r="E18" s="1539"/>
      <c r="F18" s="1539"/>
      <c r="G18" s="1539"/>
    </row>
    <row r="19">
      <c r="A19" s="1517">
        <v>5.0</v>
      </c>
      <c r="B19" s="1536" t="s">
        <v>6857</v>
      </c>
      <c r="C19" s="484">
        <v>150000.0</v>
      </c>
      <c r="D19" s="1537">
        <v>400000.0</v>
      </c>
      <c r="E19" s="1544">
        <v>1.0</v>
      </c>
      <c r="F19" s="1544"/>
      <c r="G19" s="1544"/>
      <c r="H19" s="371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Z19" s="371"/>
    </row>
    <row r="20">
      <c r="A20" s="1530"/>
      <c r="B20" s="1543"/>
      <c r="C20" s="1538"/>
      <c r="D20" s="1538"/>
      <c r="E20" s="1539"/>
      <c r="F20" s="1539"/>
      <c r="G20" s="1539"/>
    </row>
    <row r="21">
      <c r="A21" s="1517">
        <v>6.0</v>
      </c>
      <c r="B21" s="1536" t="s">
        <v>6859</v>
      </c>
      <c r="C21" s="484">
        <v>150000.0</v>
      </c>
      <c r="D21" s="1537">
        <v>320000.0</v>
      </c>
      <c r="E21" s="1544">
        <v>1.0</v>
      </c>
      <c r="F21" s="1544"/>
      <c r="G21" s="1544"/>
      <c r="H21" s="371"/>
      <c r="I21" s="371"/>
      <c r="J21" s="371"/>
      <c r="K21" s="371"/>
      <c r="L21" s="371"/>
      <c r="M21" s="371"/>
      <c r="N21" s="371"/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Z21" s="371"/>
    </row>
    <row r="22">
      <c r="A22" s="1530"/>
      <c r="B22" s="1543"/>
      <c r="C22" s="1538"/>
      <c r="D22" s="1538"/>
      <c r="E22" s="1539"/>
      <c r="F22" s="1539"/>
      <c r="G22" s="1539"/>
    </row>
    <row r="23">
      <c r="A23" s="1517">
        <v>7.0</v>
      </c>
      <c r="B23" s="1536" t="s">
        <v>6860</v>
      </c>
      <c r="C23" s="484">
        <v>140000.0</v>
      </c>
      <c r="D23" s="1537">
        <v>320000.0</v>
      </c>
      <c r="E23" s="1544">
        <v>2.0</v>
      </c>
      <c r="F23" s="1544"/>
      <c r="G23" s="1544"/>
      <c r="H23" s="371"/>
      <c r="I23" s="371"/>
      <c r="J23" s="371"/>
      <c r="K23" s="371"/>
      <c r="L23" s="371"/>
      <c r="M23" s="371"/>
      <c r="N23" s="371"/>
      <c r="O23" s="371"/>
      <c r="P23" s="371"/>
      <c r="Q23" s="371"/>
      <c r="R23" s="371"/>
      <c r="S23" s="371"/>
      <c r="T23" s="371"/>
      <c r="U23" s="371"/>
      <c r="V23" s="371"/>
      <c r="W23" s="371"/>
      <c r="X23" s="371"/>
      <c r="Y23" s="371"/>
      <c r="Z23" s="371"/>
    </row>
    <row r="24">
      <c r="A24" s="1532"/>
      <c r="B24" s="1533"/>
      <c r="C24" s="1538"/>
      <c r="D24" s="1538"/>
      <c r="E24" s="1539"/>
      <c r="F24" s="1539"/>
      <c r="G24" s="1539"/>
    </row>
    <row r="25">
      <c r="A25" s="1517">
        <v>8.0</v>
      </c>
      <c r="B25" s="1536" t="s">
        <v>6861</v>
      </c>
      <c r="C25" s="484">
        <v>160000.0</v>
      </c>
      <c r="D25" s="1537">
        <v>350000.0</v>
      </c>
      <c r="E25" s="1544">
        <v>1.0</v>
      </c>
      <c r="F25" s="1544"/>
      <c r="G25" s="1544"/>
      <c r="H25" s="371"/>
      <c r="I25" s="371"/>
      <c r="J25" s="371"/>
      <c r="K25" s="371"/>
      <c r="L25" s="371"/>
      <c r="M25" s="371"/>
      <c r="N25" s="371"/>
      <c r="O25" s="371"/>
      <c r="P25" s="371"/>
      <c r="Q25" s="371"/>
      <c r="R25" s="371"/>
      <c r="S25" s="371"/>
      <c r="T25" s="371"/>
      <c r="U25" s="371"/>
      <c r="V25" s="371"/>
      <c r="W25" s="371"/>
      <c r="X25" s="371"/>
      <c r="Y25" s="371"/>
      <c r="Z25" s="371"/>
    </row>
    <row r="26">
      <c r="A26" s="1530"/>
      <c r="B26" s="1543"/>
      <c r="C26" s="1538"/>
      <c r="D26" s="1538"/>
      <c r="E26" s="1539"/>
      <c r="F26" s="1539"/>
      <c r="G26" s="1539"/>
    </row>
    <row r="27">
      <c r="A27" s="1517">
        <v>9.0</v>
      </c>
      <c r="B27" s="1536" t="s">
        <v>6862</v>
      </c>
      <c r="C27" s="484">
        <v>350000.0</v>
      </c>
      <c r="D27" s="1537">
        <v>750000.0</v>
      </c>
      <c r="E27" s="1544">
        <v>3.0</v>
      </c>
      <c r="F27" s="1544">
        <v>1.0</v>
      </c>
      <c r="G27" s="1544">
        <v>1.0</v>
      </c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371"/>
      <c r="V27" s="371"/>
      <c r="W27" s="371"/>
      <c r="X27" s="371"/>
      <c r="Y27" s="371"/>
      <c r="Z27" s="371"/>
    </row>
    <row r="28">
      <c r="A28" s="1530"/>
      <c r="B28" s="1543"/>
      <c r="C28" s="856"/>
      <c r="D28" s="856"/>
      <c r="E28" s="1539"/>
      <c r="F28" s="1539"/>
      <c r="G28" s="1539"/>
    </row>
    <row r="29">
      <c r="A29" s="1517">
        <v>10.0</v>
      </c>
      <c r="B29" s="1536" t="s">
        <v>6863</v>
      </c>
      <c r="C29" s="484">
        <v>750000.0</v>
      </c>
      <c r="D29" s="1537">
        <v>1800000.0</v>
      </c>
      <c r="E29" s="1544">
        <v>3.0</v>
      </c>
      <c r="F29" s="1544">
        <v>0.0</v>
      </c>
      <c r="G29" s="1544">
        <v>0.0</v>
      </c>
      <c r="H29" s="371"/>
      <c r="I29" s="371"/>
      <c r="J29" s="371"/>
      <c r="K29" s="371"/>
      <c r="L29" s="371"/>
      <c r="M29" s="371"/>
      <c r="N29" s="371"/>
      <c r="O29" s="371"/>
      <c r="P29" s="371"/>
      <c r="Q29" s="371"/>
      <c r="R29" s="371"/>
      <c r="S29" s="371"/>
      <c r="T29" s="371"/>
      <c r="U29" s="371"/>
      <c r="V29" s="371"/>
      <c r="W29" s="371"/>
      <c r="X29" s="371"/>
      <c r="Y29" s="371"/>
      <c r="Z29" s="371"/>
    </row>
    <row r="30">
      <c r="A30" s="1530"/>
      <c r="B30" s="1543"/>
      <c r="C30" s="1538"/>
      <c r="D30" s="1538"/>
      <c r="E30" s="1539"/>
      <c r="F30" s="1539"/>
      <c r="G30" s="1539"/>
    </row>
    <row r="31">
      <c r="A31" s="1517">
        <v>11.0</v>
      </c>
      <c r="B31" s="1536" t="s">
        <v>6864</v>
      </c>
      <c r="C31" s="484">
        <v>300000.0</v>
      </c>
      <c r="D31" s="1537">
        <v>700000.0</v>
      </c>
      <c r="E31" s="1544">
        <v>1.0</v>
      </c>
      <c r="F31" s="1544"/>
      <c r="G31" s="1544"/>
      <c r="H31" s="371"/>
      <c r="I31" s="371"/>
      <c r="J31" s="371"/>
      <c r="K31" s="371"/>
      <c r="L31" s="371"/>
      <c r="M31" s="371"/>
      <c r="N31" s="371"/>
      <c r="O31" s="371"/>
      <c r="P31" s="371"/>
      <c r="Q31" s="371"/>
      <c r="R31" s="371"/>
      <c r="S31" s="371"/>
      <c r="T31" s="371"/>
      <c r="U31" s="371"/>
      <c r="V31" s="371"/>
      <c r="W31" s="371"/>
      <c r="X31" s="371"/>
      <c r="Y31" s="371"/>
      <c r="Z31" s="371"/>
    </row>
    <row r="32">
      <c r="A32" s="1530"/>
      <c r="B32" s="1543"/>
      <c r="C32" s="1538"/>
      <c r="D32" s="1538"/>
      <c r="E32" s="1539"/>
      <c r="F32" s="1539"/>
      <c r="G32" s="1539"/>
    </row>
    <row r="33">
      <c r="A33" s="1517">
        <v>12.0</v>
      </c>
      <c r="B33" s="1536" t="s">
        <v>6865</v>
      </c>
      <c r="C33" s="1545">
        <v>280000.0</v>
      </c>
      <c r="D33" s="1546">
        <v>700000.0</v>
      </c>
      <c r="E33" s="1534">
        <v>0.0</v>
      </c>
      <c r="F33" s="1534"/>
      <c r="G33" s="1534"/>
      <c r="H33" s="371"/>
      <c r="I33" s="371"/>
      <c r="J33" s="371"/>
      <c r="K33" s="371"/>
      <c r="L33" s="371"/>
      <c r="M33" s="371"/>
      <c r="N33" s="371"/>
      <c r="O33" s="371"/>
      <c r="P33" s="371"/>
      <c r="Q33" s="371"/>
      <c r="R33" s="371"/>
      <c r="S33" s="371"/>
      <c r="T33" s="371"/>
      <c r="U33" s="371"/>
      <c r="V33" s="371"/>
      <c r="W33" s="371"/>
      <c r="X33" s="371"/>
      <c r="Y33" s="371"/>
      <c r="Z33" s="371"/>
    </row>
    <row r="34">
      <c r="A34" s="1530"/>
      <c r="B34" s="1533" t="s">
        <v>6847</v>
      </c>
      <c r="C34" s="1547"/>
      <c r="D34" s="1547"/>
      <c r="E34" s="399"/>
      <c r="F34" s="399"/>
      <c r="G34" s="399"/>
    </row>
    <row r="35">
      <c r="A35" s="1530"/>
      <c r="B35" s="1543"/>
      <c r="C35" s="1538"/>
      <c r="D35" s="1538"/>
      <c r="E35" s="1539"/>
      <c r="F35" s="1539"/>
      <c r="G35" s="1539"/>
    </row>
    <row r="36">
      <c r="A36" s="1517">
        <v>13.0</v>
      </c>
      <c r="B36" s="1536" t="s">
        <v>6866</v>
      </c>
      <c r="C36" s="484">
        <v>300000.0</v>
      </c>
      <c r="D36" s="1537">
        <v>700000.0</v>
      </c>
      <c r="E36" s="1534">
        <v>0.0</v>
      </c>
      <c r="F36" s="1534"/>
      <c r="G36" s="1534"/>
      <c r="H36" s="371"/>
      <c r="I36" s="371"/>
      <c r="J36" s="371"/>
      <c r="K36" s="371"/>
      <c r="L36" s="371"/>
      <c r="M36" s="371"/>
      <c r="N36" s="371"/>
      <c r="O36" s="371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Z36" s="371"/>
    </row>
    <row r="37">
      <c r="A37" s="1530"/>
      <c r="B37" s="1533" t="s">
        <v>6867</v>
      </c>
      <c r="C37" s="856"/>
      <c r="D37" s="856"/>
      <c r="E37" s="399"/>
      <c r="F37" s="399"/>
      <c r="G37" s="399"/>
    </row>
    <row r="38">
      <c r="A38" s="1530"/>
      <c r="B38" s="1543"/>
      <c r="C38" s="1538"/>
      <c r="D38" s="1538"/>
      <c r="E38" s="1539"/>
      <c r="F38" s="1539"/>
      <c r="G38" s="1539"/>
    </row>
    <row r="39">
      <c r="A39" s="1517">
        <v>14.0</v>
      </c>
      <c r="B39" s="1536" t="s">
        <v>6868</v>
      </c>
      <c r="C39" s="484">
        <v>550000.0</v>
      </c>
      <c r="D39" s="1537">
        <v>1300000.0</v>
      </c>
      <c r="E39" s="1534">
        <v>0.0</v>
      </c>
      <c r="F39" s="1534"/>
      <c r="G39" s="1534"/>
      <c r="H39" s="371"/>
      <c r="I39" s="371"/>
      <c r="J39" s="371"/>
      <c r="K39" s="371"/>
      <c r="L39" s="371"/>
      <c r="M39" s="371"/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Z39" s="371"/>
    </row>
    <row r="40">
      <c r="A40" s="1548"/>
      <c r="B40" s="1533" t="s">
        <v>6869</v>
      </c>
      <c r="C40" s="856"/>
      <c r="D40" s="856"/>
      <c r="E40" s="399"/>
      <c r="F40" s="399"/>
      <c r="G40" s="399"/>
    </row>
    <row r="41">
      <c r="A41" s="126"/>
      <c r="B41" s="126"/>
      <c r="C41" s="39"/>
      <c r="D41" s="39"/>
      <c r="E41" s="1539"/>
      <c r="F41" s="1539"/>
      <c r="G41" s="1539"/>
    </row>
    <row r="42">
      <c r="A42" s="1517">
        <v>15.0</v>
      </c>
      <c r="B42" s="1536" t="s">
        <v>6870</v>
      </c>
      <c r="C42" s="484">
        <v>800000.0</v>
      </c>
      <c r="D42" s="1537">
        <v>1500000.0</v>
      </c>
      <c r="E42" s="1534">
        <v>1.0</v>
      </c>
      <c r="F42" s="1534">
        <v>1.0</v>
      </c>
      <c r="G42" s="1534">
        <v>1.0</v>
      </c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Z42" s="371"/>
    </row>
    <row r="43">
      <c r="A43" s="1530"/>
      <c r="B43" s="1533" t="s">
        <v>6871</v>
      </c>
      <c r="C43" s="856"/>
      <c r="D43" s="856"/>
      <c r="E43" s="399"/>
      <c r="F43" s="399"/>
      <c r="G43" s="399"/>
    </row>
    <row r="44">
      <c r="A44" s="126"/>
      <c r="B44" s="126"/>
      <c r="C44" s="39"/>
      <c r="D44" s="39"/>
      <c r="E44" s="1539"/>
      <c r="F44" s="1539"/>
      <c r="G44" s="1539"/>
    </row>
    <row r="45">
      <c r="A45" s="1517">
        <v>16.0</v>
      </c>
      <c r="B45" s="1536" t="s">
        <v>6870</v>
      </c>
      <c r="C45" s="484">
        <v>800000.0</v>
      </c>
      <c r="D45" s="1537">
        <v>1500000.0</v>
      </c>
      <c r="E45" s="1534">
        <v>1.0</v>
      </c>
      <c r="F45" s="1534"/>
      <c r="G45" s="1534"/>
      <c r="H45" s="371"/>
      <c r="I45" s="371"/>
      <c r="J45" s="371"/>
      <c r="K45" s="371"/>
      <c r="L45" s="371"/>
      <c r="M45" s="371"/>
      <c r="N45" s="371"/>
      <c r="O45" s="371"/>
      <c r="P45" s="371"/>
      <c r="Q45" s="371"/>
      <c r="R45" s="371"/>
      <c r="S45" s="371"/>
      <c r="T45" s="371"/>
      <c r="U45" s="371"/>
      <c r="V45" s="371"/>
      <c r="W45" s="371"/>
      <c r="X45" s="371"/>
      <c r="Y45" s="371"/>
      <c r="Z45" s="371"/>
    </row>
    <row r="46">
      <c r="A46" s="1530"/>
      <c r="B46" s="1533" t="s">
        <v>6872</v>
      </c>
      <c r="C46" s="856"/>
      <c r="D46" s="856"/>
      <c r="E46" s="399"/>
      <c r="F46" s="399"/>
      <c r="G46" s="399"/>
    </row>
    <row r="47">
      <c r="A47" s="126"/>
      <c r="B47" s="126"/>
      <c r="C47" s="39"/>
      <c r="D47" s="39"/>
      <c r="E47" s="1539"/>
      <c r="F47" s="1539"/>
      <c r="G47" s="1539"/>
    </row>
    <row r="48">
      <c r="A48" s="1517">
        <v>17.0</v>
      </c>
      <c r="B48" s="1536" t="s">
        <v>6873</v>
      </c>
      <c r="C48" s="484">
        <v>400000.0</v>
      </c>
      <c r="D48" s="1537">
        <v>800000.0</v>
      </c>
      <c r="E48" s="1534">
        <v>0.0</v>
      </c>
      <c r="F48" s="1534"/>
      <c r="G48" s="1534"/>
      <c r="H48" s="371"/>
      <c r="I48" s="371"/>
      <c r="J48" s="371"/>
      <c r="K48" s="371"/>
      <c r="L48" s="371"/>
      <c r="M48" s="371"/>
      <c r="N48" s="371"/>
      <c r="O48" s="371"/>
      <c r="P48" s="371"/>
      <c r="Q48" s="371"/>
      <c r="R48" s="371"/>
      <c r="S48" s="371"/>
      <c r="T48" s="371"/>
      <c r="U48" s="371"/>
      <c r="V48" s="371"/>
      <c r="W48" s="371"/>
      <c r="X48" s="371"/>
      <c r="Y48" s="371"/>
      <c r="Z48" s="371"/>
    </row>
    <row r="49">
      <c r="A49" s="1530"/>
      <c r="B49" s="1533" t="s">
        <v>6874</v>
      </c>
      <c r="C49" s="856"/>
      <c r="D49" s="856"/>
      <c r="E49" s="399"/>
      <c r="F49" s="399"/>
      <c r="G49" s="399"/>
    </row>
    <row r="50">
      <c r="A50" s="126"/>
      <c r="B50" s="126"/>
      <c r="C50" s="39"/>
      <c r="D50" s="39"/>
      <c r="E50" s="1539"/>
      <c r="F50" s="1539"/>
      <c r="G50" s="1539"/>
    </row>
    <row r="51">
      <c r="A51" s="1517">
        <v>18.0</v>
      </c>
      <c r="B51" s="1536" t="s">
        <v>6875</v>
      </c>
      <c r="C51" s="484">
        <v>1000000.0</v>
      </c>
      <c r="D51" s="1537">
        <v>1800000.0</v>
      </c>
      <c r="E51" s="1534">
        <v>1.0</v>
      </c>
      <c r="F51" s="1534"/>
      <c r="G51" s="1534"/>
      <c r="H51" s="371"/>
      <c r="I51" s="371"/>
      <c r="J51" s="371"/>
      <c r="K51" s="371"/>
      <c r="L51" s="371"/>
      <c r="M51" s="371"/>
      <c r="N51" s="371"/>
      <c r="O51" s="371"/>
      <c r="P51" s="371"/>
      <c r="Q51" s="371"/>
      <c r="R51" s="371"/>
      <c r="S51" s="371"/>
      <c r="T51" s="371"/>
      <c r="U51" s="371"/>
      <c r="V51" s="371"/>
      <c r="W51" s="371"/>
      <c r="X51" s="371"/>
      <c r="Y51" s="371"/>
      <c r="Z51" s="371"/>
    </row>
    <row r="52">
      <c r="A52" s="1530"/>
      <c r="B52" s="1533" t="s">
        <v>6876</v>
      </c>
      <c r="C52" s="856"/>
      <c r="D52" s="856"/>
      <c r="E52" s="399"/>
      <c r="F52" s="399"/>
      <c r="G52" s="399"/>
    </row>
    <row r="53">
      <c r="C53" s="370"/>
      <c r="D53" s="370"/>
      <c r="E53" s="307"/>
      <c r="F53" s="307"/>
    </row>
    <row r="54">
      <c r="C54" s="370"/>
      <c r="D54" s="370"/>
      <c r="E54" s="307"/>
      <c r="F54" s="307"/>
    </row>
    <row r="55">
      <c r="C55" s="370"/>
      <c r="D55" s="370"/>
      <c r="E55" s="307"/>
      <c r="F55" s="307"/>
    </row>
    <row r="56">
      <c r="C56" s="370"/>
      <c r="D56" s="370"/>
      <c r="E56" s="307"/>
      <c r="F56" s="307"/>
    </row>
    <row r="57">
      <c r="C57" s="370"/>
      <c r="D57" s="370"/>
      <c r="E57" s="307"/>
      <c r="F57" s="307"/>
    </row>
    <row r="58">
      <c r="C58" s="370"/>
      <c r="D58" s="370"/>
      <c r="E58" s="307"/>
      <c r="F58" s="307"/>
    </row>
    <row r="59">
      <c r="C59" s="370"/>
      <c r="D59" s="370"/>
      <c r="E59" s="307"/>
      <c r="F59" s="307"/>
    </row>
    <row r="60">
      <c r="C60" s="370"/>
      <c r="D60" s="370"/>
      <c r="E60" s="307"/>
      <c r="F60" s="307"/>
    </row>
    <row r="61">
      <c r="C61" s="370"/>
      <c r="D61" s="370"/>
      <c r="E61" s="307"/>
      <c r="F61" s="307"/>
    </row>
    <row r="62">
      <c r="C62" s="370"/>
      <c r="D62" s="370"/>
      <c r="E62" s="307"/>
      <c r="F62" s="307"/>
    </row>
    <row r="63">
      <c r="C63" s="370"/>
      <c r="D63" s="370"/>
      <c r="E63" s="307"/>
      <c r="F63" s="307"/>
    </row>
    <row r="64">
      <c r="C64" s="370"/>
      <c r="D64" s="370"/>
      <c r="E64" s="307"/>
      <c r="F64" s="307"/>
    </row>
    <row r="65">
      <c r="C65" s="370"/>
      <c r="D65" s="370"/>
      <c r="E65" s="307"/>
      <c r="F65" s="307"/>
    </row>
    <row r="66">
      <c r="C66" s="370"/>
      <c r="D66" s="370"/>
      <c r="E66" s="307"/>
      <c r="F66" s="307"/>
    </row>
    <row r="67">
      <c r="C67" s="370"/>
      <c r="D67" s="370"/>
      <c r="E67" s="307"/>
      <c r="F67" s="307"/>
    </row>
    <row r="68">
      <c r="C68" s="370"/>
      <c r="D68" s="370"/>
      <c r="E68" s="307"/>
      <c r="F68" s="307"/>
    </row>
    <row r="69">
      <c r="C69" s="370"/>
      <c r="D69" s="370"/>
      <c r="E69" s="307"/>
      <c r="F69" s="307"/>
    </row>
    <row r="70">
      <c r="C70" s="370"/>
      <c r="D70" s="370"/>
      <c r="E70" s="307"/>
      <c r="F70" s="307"/>
    </row>
    <row r="71">
      <c r="C71" s="370"/>
      <c r="D71" s="370"/>
      <c r="E71" s="307"/>
      <c r="F71" s="307"/>
    </row>
    <row r="72">
      <c r="C72" s="370"/>
      <c r="D72" s="370"/>
      <c r="E72" s="307"/>
      <c r="F72" s="307"/>
    </row>
    <row r="73">
      <c r="C73" s="370"/>
      <c r="D73" s="370"/>
      <c r="E73" s="307"/>
      <c r="F73" s="307"/>
    </row>
    <row r="74">
      <c r="C74" s="370"/>
      <c r="D74" s="370"/>
      <c r="E74" s="307"/>
      <c r="F74" s="307"/>
    </row>
    <row r="75">
      <c r="C75" s="370"/>
      <c r="D75" s="370"/>
      <c r="E75" s="307"/>
      <c r="F75" s="307"/>
    </row>
    <row r="76">
      <c r="C76" s="370"/>
      <c r="D76" s="370"/>
      <c r="E76" s="307"/>
      <c r="F76" s="307"/>
    </row>
    <row r="77">
      <c r="C77" s="370"/>
      <c r="D77" s="370"/>
      <c r="E77" s="307"/>
      <c r="F77" s="307"/>
    </row>
    <row r="78">
      <c r="C78" s="370"/>
      <c r="D78" s="370"/>
      <c r="E78" s="307"/>
      <c r="F78" s="307"/>
    </row>
    <row r="79">
      <c r="C79" s="370"/>
      <c r="D79" s="370"/>
      <c r="E79" s="307"/>
      <c r="F79" s="307"/>
    </row>
    <row r="80">
      <c r="C80" s="370"/>
      <c r="D80" s="370"/>
      <c r="E80" s="307"/>
      <c r="F80" s="307"/>
    </row>
    <row r="81">
      <c r="C81" s="370"/>
      <c r="D81" s="370"/>
      <c r="E81" s="307"/>
      <c r="F81" s="307"/>
    </row>
    <row r="82">
      <c r="C82" s="370"/>
      <c r="D82" s="370"/>
      <c r="E82" s="307"/>
      <c r="F82" s="307"/>
    </row>
    <row r="83">
      <c r="C83" s="370"/>
      <c r="D83" s="370"/>
      <c r="E83" s="307"/>
      <c r="F83" s="307"/>
    </row>
    <row r="84">
      <c r="C84" s="370"/>
      <c r="D84" s="370"/>
      <c r="E84" s="307"/>
      <c r="F84" s="307"/>
    </row>
    <row r="85">
      <c r="C85" s="370"/>
      <c r="D85" s="370"/>
      <c r="E85" s="307"/>
      <c r="F85" s="307"/>
    </row>
    <row r="86">
      <c r="C86" s="370"/>
      <c r="D86" s="370"/>
      <c r="E86" s="307"/>
      <c r="F86" s="307"/>
    </row>
    <row r="87">
      <c r="C87" s="370"/>
      <c r="D87" s="370"/>
      <c r="E87" s="307"/>
      <c r="F87" s="307"/>
    </row>
    <row r="88">
      <c r="C88" s="370"/>
      <c r="D88" s="370"/>
      <c r="E88" s="307"/>
      <c r="F88" s="307"/>
    </row>
    <row r="89">
      <c r="C89" s="370"/>
      <c r="D89" s="370"/>
      <c r="E89" s="307"/>
      <c r="F89" s="307"/>
    </row>
    <row r="90">
      <c r="C90" s="370"/>
      <c r="D90" s="370"/>
      <c r="E90" s="307"/>
      <c r="F90" s="307"/>
    </row>
    <row r="91">
      <c r="C91" s="370"/>
      <c r="D91" s="370"/>
      <c r="E91" s="307"/>
      <c r="F91" s="307"/>
    </row>
    <row r="92">
      <c r="C92" s="370"/>
      <c r="D92" s="370"/>
      <c r="E92" s="307"/>
      <c r="F92" s="307"/>
    </row>
    <row r="93">
      <c r="C93" s="370"/>
      <c r="D93" s="370"/>
      <c r="E93" s="307"/>
      <c r="F93" s="307"/>
    </row>
    <row r="94">
      <c r="C94" s="370"/>
      <c r="D94" s="370"/>
      <c r="E94" s="307"/>
      <c r="F94" s="307"/>
    </row>
    <row r="95">
      <c r="C95" s="370"/>
      <c r="D95" s="370"/>
      <c r="E95" s="307"/>
      <c r="F95" s="307"/>
    </row>
    <row r="96">
      <c r="C96" s="370"/>
      <c r="D96" s="370"/>
      <c r="E96" s="307"/>
      <c r="F96" s="307"/>
    </row>
    <row r="97">
      <c r="C97" s="370"/>
      <c r="D97" s="370"/>
      <c r="E97" s="307"/>
      <c r="F97" s="307"/>
    </row>
    <row r="98">
      <c r="C98" s="370"/>
      <c r="D98" s="370"/>
      <c r="E98" s="307"/>
      <c r="F98" s="307"/>
    </row>
    <row r="99">
      <c r="C99" s="370"/>
      <c r="D99" s="370"/>
      <c r="E99" s="307"/>
      <c r="F99" s="307"/>
    </row>
    <row r="100">
      <c r="C100" s="370"/>
      <c r="D100" s="370"/>
      <c r="E100" s="307"/>
      <c r="F100" s="307"/>
    </row>
    <row r="101">
      <c r="C101" s="370"/>
      <c r="D101" s="370"/>
      <c r="E101" s="307"/>
      <c r="F101" s="307"/>
    </row>
    <row r="102">
      <c r="C102" s="370"/>
      <c r="D102" s="370"/>
      <c r="E102" s="307"/>
      <c r="F102" s="307"/>
    </row>
    <row r="103">
      <c r="C103" s="370"/>
      <c r="D103" s="370"/>
      <c r="E103" s="307"/>
      <c r="F103" s="307"/>
    </row>
    <row r="104">
      <c r="C104" s="370"/>
      <c r="D104" s="370"/>
      <c r="E104" s="307"/>
      <c r="F104" s="307"/>
    </row>
    <row r="105">
      <c r="C105" s="370"/>
      <c r="D105" s="370"/>
      <c r="E105" s="307"/>
      <c r="F105" s="307"/>
    </row>
    <row r="106">
      <c r="C106" s="370"/>
      <c r="D106" s="370"/>
      <c r="E106" s="307"/>
      <c r="F106" s="307"/>
    </row>
    <row r="107">
      <c r="C107" s="370"/>
      <c r="D107" s="370"/>
      <c r="E107" s="307"/>
      <c r="F107" s="307"/>
    </row>
    <row r="108">
      <c r="C108" s="370"/>
      <c r="D108" s="370"/>
      <c r="E108" s="307"/>
      <c r="F108" s="307"/>
    </row>
    <row r="109">
      <c r="C109" s="370"/>
      <c r="D109" s="370"/>
      <c r="E109" s="307"/>
      <c r="F109" s="307"/>
    </row>
    <row r="110">
      <c r="C110" s="370"/>
      <c r="D110" s="370"/>
      <c r="E110" s="307"/>
      <c r="F110" s="307"/>
    </row>
    <row r="111">
      <c r="C111" s="370"/>
      <c r="D111" s="370"/>
      <c r="E111" s="307"/>
      <c r="F111" s="307"/>
    </row>
    <row r="112">
      <c r="C112" s="370"/>
      <c r="D112" s="370"/>
      <c r="E112" s="307"/>
      <c r="F112" s="307"/>
    </row>
    <row r="113">
      <c r="C113" s="370"/>
      <c r="D113" s="370"/>
      <c r="E113" s="307"/>
      <c r="F113" s="307"/>
    </row>
    <row r="114">
      <c r="C114" s="370"/>
      <c r="D114" s="370"/>
      <c r="E114" s="307"/>
      <c r="F114" s="307"/>
    </row>
    <row r="115">
      <c r="C115" s="370"/>
      <c r="D115" s="370"/>
      <c r="E115" s="307"/>
      <c r="F115" s="307"/>
    </row>
    <row r="116">
      <c r="C116" s="370"/>
      <c r="D116" s="370"/>
      <c r="E116" s="307"/>
      <c r="F116" s="307"/>
    </row>
    <row r="117">
      <c r="C117" s="370"/>
      <c r="D117" s="370"/>
      <c r="E117" s="307"/>
      <c r="F117" s="307"/>
    </row>
    <row r="118">
      <c r="C118" s="370"/>
      <c r="D118" s="370"/>
      <c r="E118" s="307"/>
      <c r="F118" s="307"/>
    </row>
    <row r="119">
      <c r="C119" s="370"/>
      <c r="D119" s="370"/>
      <c r="E119" s="307"/>
      <c r="F119" s="307"/>
    </row>
    <row r="120">
      <c r="C120" s="370"/>
      <c r="D120" s="370"/>
      <c r="E120" s="307"/>
      <c r="F120" s="307"/>
    </row>
    <row r="121">
      <c r="C121" s="370"/>
      <c r="D121" s="370"/>
      <c r="E121" s="307"/>
      <c r="F121" s="307"/>
    </row>
    <row r="122">
      <c r="C122" s="370"/>
      <c r="D122" s="370"/>
      <c r="E122" s="307"/>
      <c r="F122" s="307"/>
    </row>
    <row r="123">
      <c r="C123" s="370"/>
      <c r="D123" s="370"/>
      <c r="E123" s="307"/>
      <c r="F123" s="307"/>
    </row>
    <row r="124">
      <c r="C124" s="370"/>
      <c r="D124" s="370"/>
      <c r="E124" s="307"/>
      <c r="F124" s="307"/>
    </row>
    <row r="125">
      <c r="C125" s="370"/>
      <c r="D125" s="370"/>
      <c r="E125" s="307"/>
      <c r="F125" s="307"/>
    </row>
    <row r="126">
      <c r="C126" s="370"/>
      <c r="D126" s="370"/>
      <c r="E126" s="307"/>
      <c r="F126" s="307"/>
    </row>
    <row r="127">
      <c r="C127" s="370"/>
      <c r="D127" s="370"/>
      <c r="E127" s="307"/>
      <c r="F127" s="307"/>
    </row>
    <row r="128">
      <c r="C128" s="370"/>
      <c r="D128" s="370"/>
      <c r="E128" s="307"/>
      <c r="F128" s="307"/>
    </row>
    <row r="129">
      <c r="C129" s="370"/>
      <c r="D129" s="370"/>
      <c r="E129" s="307"/>
      <c r="F129" s="307"/>
    </row>
    <row r="130">
      <c r="C130" s="370"/>
      <c r="D130" s="370"/>
      <c r="E130" s="307"/>
      <c r="F130" s="307"/>
    </row>
    <row r="131">
      <c r="C131" s="370"/>
      <c r="D131" s="370"/>
      <c r="E131" s="307"/>
      <c r="F131" s="307"/>
    </row>
    <row r="132">
      <c r="C132" s="370"/>
      <c r="D132" s="370"/>
      <c r="E132" s="307"/>
      <c r="F132" s="307"/>
    </row>
    <row r="133">
      <c r="C133" s="370"/>
      <c r="D133" s="370"/>
      <c r="E133" s="307"/>
      <c r="F133" s="307"/>
    </row>
    <row r="134">
      <c r="C134" s="370"/>
      <c r="D134" s="370"/>
      <c r="E134" s="307"/>
      <c r="F134" s="307"/>
    </row>
    <row r="135">
      <c r="C135" s="370"/>
      <c r="D135" s="370"/>
      <c r="E135" s="307"/>
      <c r="F135" s="307"/>
    </row>
    <row r="136">
      <c r="C136" s="370"/>
      <c r="D136" s="370"/>
      <c r="E136" s="307"/>
      <c r="F136" s="307"/>
    </row>
    <row r="137">
      <c r="C137" s="370"/>
      <c r="D137" s="370"/>
      <c r="E137" s="307"/>
      <c r="F137" s="307"/>
    </row>
    <row r="138">
      <c r="C138" s="370"/>
      <c r="D138" s="370"/>
      <c r="E138" s="307"/>
      <c r="F138" s="307"/>
    </row>
    <row r="139">
      <c r="C139" s="370"/>
      <c r="D139" s="370"/>
      <c r="E139" s="307"/>
      <c r="F139" s="307"/>
    </row>
    <row r="140">
      <c r="C140" s="370"/>
      <c r="D140" s="370"/>
      <c r="E140" s="307"/>
      <c r="F140" s="307"/>
    </row>
    <row r="141">
      <c r="C141" s="370"/>
      <c r="D141" s="370"/>
      <c r="E141" s="307"/>
      <c r="F141" s="307"/>
    </row>
    <row r="142">
      <c r="C142" s="370"/>
      <c r="D142" s="370"/>
      <c r="E142" s="307"/>
      <c r="F142" s="307"/>
    </row>
    <row r="143">
      <c r="C143" s="370"/>
      <c r="D143" s="370"/>
      <c r="E143" s="307"/>
      <c r="F143" s="307"/>
    </row>
    <row r="144">
      <c r="C144" s="370"/>
      <c r="D144" s="370"/>
      <c r="E144" s="307"/>
      <c r="F144" s="307"/>
    </row>
    <row r="145">
      <c r="C145" s="370"/>
      <c r="D145" s="370"/>
      <c r="E145" s="307"/>
      <c r="F145" s="307"/>
    </row>
    <row r="146">
      <c r="C146" s="370"/>
      <c r="D146" s="370"/>
      <c r="E146" s="307"/>
      <c r="F146" s="307"/>
    </row>
    <row r="147">
      <c r="C147" s="370"/>
      <c r="D147" s="370"/>
      <c r="E147" s="307"/>
      <c r="F147" s="307"/>
    </row>
    <row r="148">
      <c r="C148" s="370"/>
      <c r="D148" s="370"/>
      <c r="E148" s="307"/>
      <c r="F148" s="307"/>
    </row>
    <row r="149">
      <c r="C149" s="370"/>
      <c r="D149" s="370"/>
      <c r="E149" s="307"/>
      <c r="F149" s="307"/>
    </row>
    <row r="150">
      <c r="C150" s="370"/>
      <c r="D150" s="370"/>
      <c r="E150" s="307"/>
      <c r="F150" s="307"/>
    </row>
    <row r="151">
      <c r="C151" s="370"/>
      <c r="D151" s="370"/>
      <c r="E151" s="307"/>
      <c r="F151" s="307"/>
    </row>
    <row r="152">
      <c r="C152" s="370"/>
      <c r="D152" s="370"/>
      <c r="E152" s="307"/>
      <c r="F152" s="307"/>
    </row>
    <row r="153">
      <c r="C153" s="370"/>
      <c r="D153" s="370"/>
      <c r="E153" s="307"/>
      <c r="F153" s="307"/>
    </row>
    <row r="154">
      <c r="C154" s="370"/>
      <c r="D154" s="370"/>
      <c r="E154" s="307"/>
      <c r="F154" s="307"/>
    </row>
    <row r="155">
      <c r="C155" s="370"/>
      <c r="D155" s="370"/>
      <c r="E155" s="307"/>
      <c r="F155" s="307"/>
    </row>
    <row r="156">
      <c r="C156" s="370"/>
      <c r="D156" s="370"/>
      <c r="E156" s="307"/>
      <c r="F156" s="307"/>
    </row>
    <row r="157">
      <c r="C157" s="370"/>
      <c r="D157" s="370"/>
      <c r="E157" s="307"/>
      <c r="F157" s="307"/>
    </row>
    <row r="158">
      <c r="C158" s="370"/>
      <c r="D158" s="370"/>
      <c r="E158" s="307"/>
      <c r="F158" s="307"/>
    </row>
    <row r="159">
      <c r="C159" s="370"/>
      <c r="D159" s="370"/>
      <c r="E159" s="307"/>
      <c r="F159" s="307"/>
    </row>
    <row r="160">
      <c r="C160" s="370"/>
      <c r="D160" s="370"/>
      <c r="E160" s="307"/>
      <c r="F160" s="307"/>
    </row>
    <row r="161">
      <c r="C161" s="370"/>
      <c r="D161" s="370"/>
      <c r="E161" s="307"/>
      <c r="F161" s="307"/>
    </row>
    <row r="162">
      <c r="C162" s="370"/>
      <c r="D162" s="370"/>
      <c r="E162" s="307"/>
      <c r="F162" s="307"/>
    </row>
    <row r="163">
      <c r="C163" s="370"/>
      <c r="D163" s="370"/>
      <c r="E163" s="307"/>
      <c r="F163" s="307"/>
    </row>
    <row r="164">
      <c r="C164" s="370"/>
      <c r="D164" s="370"/>
      <c r="E164" s="307"/>
      <c r="F164" s="307"/>
    </row>
    <row r="165">
      <c r="C165" s="370"/>
      <c r="D165" s="370"/>
      <c r="E165" s="307"/>
      <c r="F165" s="307"/>
    </row>
    <row r="166">
      <c r="C166" s="370"/>
      <c r="D166" s="370"/>
      <c r="E166" s="307"/>
      <c r="F166" s="307"/>
    </row>
    <row r="167">
      <c r="C167" s="370"/>
      <c r="D167" s="370"/>
      <c r="E167" s="307"/>
      <c r="F167" s="307"/>
    </row>
    <row r="168">
      <c r="C168" s="370"/>
      <c r="D168" s="370"/>
      <c r="E168" s="307"/>
      <c r="F168" s="307"/>
    </row>
    <row r="169">
      <c r="C169" s="370"/>
      <c r="D169" s="370"/>
      <c r="E169" s="307"/>
      <c r="F169" s="307"/>
    </row>
    <row r="170">
      <c r="C170" s="370"/>
      <c r="D170" s="370"/>
      <c r="E170" s="307"/>
      <c r="F170" s="307"/>
    </row>
    <row r="171">
      <c r="C171" s="370"/>
      <c r="D171" s="370"/>
      <c r="E171" s="307"/>
      <c r="F171" s="307"/>
    </row>
    <row r="172">
      <c r="C172" s="370"/>
      <c r="D172" s="370"/>
      <c r="E172" s="307"/>
      <c r="F172" s="307"/>
    </row>
    <row r="173">
      <c r="C173" s="370"/>
      <c r="D173" s="370"/>
      <c r="E173" s="307"/>
      <c r="F173" s="307"/>
    </row>
    <row r="174">
      <c r="C174" s="370"/>
      <c r="D174" s="370"/>
      <c r="E174" s="307"/>
      <c r="F174" s="307"/>
    </row>
    <row r="175">
      <c r="C175" s="370"/>
      <c r="D175" s="370"/>
      <c r="E175" s="307"/>
      <c r="F175" s="307"/>
    </row>
    <row r="176">
      <c r="C176" s="370"/>
      <c r="D176" s="370"/>
      <c r="E176" s="307"/>
      <c r="F176" s="307"/>
    </row>
    <row r="177">
      <c r="C177" s="370"/>
      <c r="D177" s="370"/>
      <c r="E177" s="307"/>
      <c r="F177" s="307"/>
    </row>
    <row r="178">
      <c r="C178" s="370"/>
      <c r="D178" s="370"/>
      <c r="E178" s="307"/>
      <c r="F178" s="307"/>
    </row>
    <row r="179">
      <c r="C179" s="370"/>
      <c r="D179" s="370"/>
      <c r="E179" s="307"/>
      <c r="F179" s="307"/>
    </row>
    <row r="180">
      <c r="C180" s="370"/>
      <c r="D180" s="370"/>
      <c r="E180" s="307"/>
      <c r="F180" s="307"/>
    </row>
    <row r="181">
      <c r="C181" s="370"/>
      <c r="D181" s="370"/>
      <c r="E181" s="307"/>
      <c r="F181" s="307"/>
    </row>
    <row r="182">
      <c r="C182" s="370"/>
      <c r="D182" s="370"/>
      <c r="E182" s="307"/>
      <c r="F182" s="307"/>
    </row>
    <row r="183">
      <c r="C183" s="370"/>
      <c r="D183" s="370"/>
      <c r="E183" s="307"/>
      <c r="F183" s="307"/>
    </row>
    <row r="184">
      <c r="C184" s="370"/>
      <c r="D184" s="370"/>
      <c r="E184" s="307"/>
      <c r="F184" s="307"/>
    </row>
    <row r="185">
      <c r="C185" s="370"/>
      <c r="D185" s="370"/>
      <c r="E185" s="307"/>
      <c r="F185" s="307"/>
    </row>
    <row r="186">
      <c r="C186" s="370"/>
      <c r="D186" s="370"/>
      <c r="E186" s="307"/>
      <c r="F186" s="307"/>
    </row>
    <row r="187">
      <c r="C187" s="370"/>
      <c r="D187" s="370"/>
      <c r="E187" s="307"/>
      <c r="F187" s="307"/>
    </row>
    <row r="188">
      <c r="C188" s="370"/>
      <c r="D188" s="370"/>
      <c r="E188" s="307"/>
      <c r="F188" s="307"/>
    </row>
    <row r="189">
      <c r="C189" s="370"/>
      <c r="D189" s="370"/>
      <c r="E189" s="307"/>
      <c r="F189" s="307"/>
    </row>
    <row r="190">
      <c r="C190" s="370"/>
      <c r="D190" s="370"/>
      <c r="E190" s="307"/>
      <c r="F190" s="307"/>
    </row>
    <row r="191">
      <c r="C191" s="370"/>
      <c r="D191" s="370"/>
      <c r="E191" s="307"/>
      <c r="F191" s="307"/>
    </row>
    <row r="192">
      <c r="C192" s="370"/>
      <c r="D192" s="370"/>
      <c r="E192" s="307"/>
      <c r="F192" s="307"/>
    </row>
    <row r="193">
      <c r="C193" s="370"/>
      <c r="D193" s="370"/>
      <c r="E193" s="307"/>
      <c r="F193" s="307"/>
    </row>
    <row r="194">
      <c r="C194" s="370"/>
      <c r="D194" s="370"/>
      <c r="E194" s="307"/>
      <c r="F194" s="307"/>
    </row>
    <row r="195">
      <c r="C195" s="370"/>
      <c r="D195" s="370"/>
      <c r="E195" s="307"/>
      <c r="F195" s="307"/>
    </row>
    <row r="196">
      <c r="C196" s="370"/>
      <c r="D196" s="370"/>
      <c r="E196" s="307"/>
      <c r="F196" s="307"/>
    </row>
    <row r="197">
      <c r="C197" s="370"/>
      <c r="D197" s="370"/>
      <c r="E197" s="307"/>
      <c r="F197" s="307"/>
    </row>
    <row r="198">
      <c r="C198" s="370"/>
      <c r="D198" s="370"/>
      <c r="E198" s="307"/>
      <c r="F198" s="307"/>
    </row>
    <row r="199">
      <c r="C199" s="370"/>
      <c r="D199" s="370"/>
      <c r="E199" s="307"/>
      <c r="F199" s="307"/>
    </row>
    <row r="200">
      <c r="C200" s="370"/>
      <c r="D200" s="370"/>
      <c r="E200" s="307"/>
      <c r="F200" s="307"/>
    </row>
    <row r="201">
      <c r="C201" s="370"/>
      <c r="D201" s="370"/>
      <c r="E201" s="307"/>
      <c r="F201" s="307"/>
    </row>
    <row r="202">
      <c r="C202" s="370"/>
      <c r="D202" s="370"/>
      <c r="E202" s="307"/>
      <c r="F202" s="307"/>
    </row>
    <row r="203">
      <c r="C203" s="370"/>
      <c r="D203" s="370"/>
      <c r="E203" s="307"/>
      <c r="F203" s="307"/>
    </row>
    <row r="204">
      <c r="C204" s="370"/>
      <c r="D204" s="370"/>
      <c r="E204" s="307"/>
      <c r="F204" s="307"/>
    </row>
    <row r="205">
      <c r="C205" s="370"/>
      <c r="D205" s="370"/>
      <c r="E205" s="307"/>
      <c r="F205" s="307"/>
    </row>
    <row r="206">
      <c r="C206" s="370"/>
      <c r="D206" s="370"/>
      <c r="E206" s="307"/>
      <c r="F206" s="307"/>
    </row>
    <row r="207">
      <c r="C207" s="370"/>
      <c r="D207" s="370"/>
      <c r="E207" s="307"/>
      <c r="F207" s="307"/>
    </row>
    <row r="208">
      <c r="C208" s="370"/>
      <c r="D208" s="370"/>
      <c r="E208" s="307"/>
      <c r="F208" s="307"/>
    </row>
    <row r="209">
      <c r="C209" s="370"/>
      <c r="D209" s="370"/>
      <c r="E209" s="307"/>
      <c r="F209" s="307"/>
    </row>
    <row r="210">
      <c r="C210" s="370"/>
      <c r="D210" s="370"/>
      <c r="E210" s="307"/>
      <c r="F210" s="307"/>
    </row>
    <row r="211">
      <c r="C211" s="370"/>
      <c r="D211" s="370"/>
      <c r="E211" s="307"/>
      <c r="F211" s="307"/>
    </row>
    <row r="212">
      <c r="C212" s="370"/>
      <c r="D212" s="370"/>
      <c r="E212" s="307"/>
      <c r="F212" s="307"/>
    </row>
    <row r="213">
      <c r="C213" s="370"/>
      <c r="D213" s="370"/>
      <c r="E213" s="307"/>
      <c r="F213" s="307"/>
    </row>
    <row r="214">
      <c r="C214" s="370"/>
      <c r="D214" s="370"/>
      <c r="E214" s="307"/>
      <c r="F214" s="307"/>
    </row>
    <row r="215">
      <c r="C215" s="370"/>
      <c r="D215" s="370"/>
      <c r="E215" s="307"/>
      <c r="F215" s="307"/>
    </row>
    <row r="216">
      <c r="C216" s="370"/>
      <c r="D216" s="370"/>
      <c r="E216" s="307"/>
      <c r="F216" s="307"/>
    </row>
    <row r="217">
      <c r="C217" s="370"/>
      <c r="D217" s="370"/>
      <c r="E217" s="307"/>
      <c r="F217" s="307"/>
    </row>
    <row r="218">
      <c r="C218" s="370"/>
      <c r="D218" s="370"/>
      <c r="E218" s="307"/>
      <c r="F218" s="307"/>
    </row>
    <row r="219">
      <c r="C219" s="370"/>
      <c r="D219" s="370"/>
      <c r="E219" s="307"/>
      <c r="F219" s="307"/>
    </row>
    <row r="220">
      <c r="C220" s="370"/>
      <c r="D220" s="370"/>
      <c r="E220" s="307"/>
      <c r="F220" s="307"/>
    </row>
    <row r="221">
      <c r="C221" s="370"/>
      <c r="D221" s="370"/>
      <c r="E221" s="307"/>
      <c r="F221" s="307"/>
    </row>
    <row r="222">
      <c r="C222" s="370"/>
      <c r="D222" s="370"/>
      <c r="E222" s="307"/>
      <c r="F222" s="307"/>
    </row>
    <row r="223">
      <c r="C223" s="370"/>
      <c r="D223" s="370"/>
      <c r="E223" s="307"/>
      <c r="F223" s="307"/>
    </row>
    <row r="224">
      <c r="C224" s="370"/>
      <c r="D224" s="370"/>
      <c r="E224" s="307"/>
      <c r="F224" s="307"/>
    </row>
    <row r="225">
      <c r="C225" s="370"/>
      <c r="D225" s="370"/>
      <c r="E225" s="307"/>
      <c r="F225" s="307"/>
    </row>
    <row r="226">
      <c r="C226" s="370"/>
      <c r="D226" s="370"/>
      <c r="E226" s="307"/>
      <c r="F226" s="307"/>
    </row>
    <row r="227">
      <c r="C227" s="370"/>
      <c r="D227" s="370"/>
      <c r="E227" s="307"/>
      <c r="F227" s="307"/>
    </row>
    <row r="228">
      <c r="C228" s="370"/>
      <c r="D228" s="370"/>
      <c r="E228" s="307"/>
      <c r="F228" s="307"/>
    </row>
    <row r="229">
      <c r="C229" s="370"/>
      <c r="D229" s="370"/>
      <c r="E229" s="307"/>
      <c r="F229" s="307"/>
    </row>
    <row r="230">
      <c r="C230" s="370"/>
      <c r="D230" s="370"/>
      <c r="E230" s="307"/>
      <c r="F230" s="307"/>
    </row>
    <row r="231">
      <c r="C231" s="370"/>
      <c r="D231" s="370"/>
      <c r="E231" s="307"/>
      <c r="F231" s="307"/>
    </row>
    <row r="232">
      <c r="C232" s="370"/>
      <c r="D232" s="370"/>
      <c r="E232" s="307"/>
      <c r="F232" s="307"/>
    </row>
    <row r="233">
      <c r="C233" s="370"/>
      <c r="D233" s="370"/>
      <c r="E233" s="307"/>
      <c r="F233" s="307"/>
    </row>
    <row r="234">
      <c r="C234" s="370"/>
      <c r="D234" s="370"/>
      <c r="E234" s="307"/>
      <c r="F234" s="307"/>
    </row>
    <row r="235">
      <c r="C235" s="370"/>
      <c r="D235" s="370"/>
      <c r="E235" s="307"/>
      <c r="F235" s="307"/>
    </row>
    <row r="236">
      <c r="C236" s="370"/>
      <c r="D236" s="370"/>
      <c r="E236" s="307"/>
      <c r="F236" s="307"/>
    </row>
    <row r="237">
      <c r="C237" s="370"/>
      <c r="D237" s="370"/>
      <c r="E237" s="307"/>
      <c r="F237" s="307"/>
    </row>
    <row r="238">
      <c r="C238" s="370"/>
      <c r="D238" s="370"/>
      <c r="E238" s="307"/>
      <c r="F238" s="307"/>
    </row>
    <row r="239">
      <c r="C239" s="370"/>
      <c r="D239" s="370"/>
      <c r="E239" s="307"/>
      <c r="F239" s="307"/>
    </row>
    <row r="240">
      <c r="C240" s="370"/>
      <c r="D240" s="370"/>
      <c r="E240" s="307"/>
      <c r="F240" s="307"/>
    </row>
    <row r="241">
      <c r="C241" s="370"/>
      <c r="D241" s="370"/>
      <c r="E241" s="307"/>
      <c r="F241" s="307"/>
    </row>
    <row r="242">
      <c r="C242" s="370"/>
      <c r="D242" s="370"/>
      <c r="E242" s="307"/>
      <c r="F242" s="307"/>
    </row>
    <row r="243">
      <c r="C243" s="370"/>
      <c r="D243" s="370"/>
      <c r="E243" s="307"/>
      <c r="F243" s="307"/>
    </row>
    <row r="244">
      <c r="C244" s="370"/>
      <c r="D244" s="370"/>
      <c r="E244" s="307"/>
      <c r="F244" s="307"/>
    </row>
    <row r="245">
      <c r="C245" s="370"/>
      <c r="D245" s="370"/>
      <c r="E245" s="307"/>
      <c r="F245" s="307"/>
    </row>
    <row r="246">
      <c r="C246" s="370"/>
      <c r="D246" s="370"/>
      <c r="E246" s="307"/>
      <c r="F246" s="307"/>
    </row>
    <row r="247">
      <c r="C247" s="370"/>
      <c r="D247" s="370"/>
      <c r="E247" s="307"/>
      <c r="F247" s="307"/>
    </row>
    <row r="248">
      <c r="C248" s="370"/>
      <c r="D248" s="370"/>
      <c r="E248" s="307"/>
      <c r="F248" s="307"/>
    </row>
    <row r="249">
      <c r="C249" s="370"/>
      <c r="D249" s="370"/>
      <c r="E249" s="307"/>
      <c r="F249" s="307"/>
    </row>
    <row r="250">
      <c r="C250" s="370"/>
      <c r="D250" s="370"/>
      <c r="E250" s="307"/>
      <c r="F250" s="307"/>
    </row>
    <row r="251">
      <c r="C251" s="370"/>
      <c r="D251" s="370"/>
      <c r="E251" s="307"/>
      <c r="F251" s="307"/>
    </row>
    <row r="252">
      <c r="C252" s="370"/>
      <c r="D252" s="370"/>
      <c r="E252" s="307"/>
      <c r="F252" s="307"/>
    </row>
    <row r="253">
      <c r="C253" s="370"/>
      <c r="D253" s="370"/>
      <c r="E253" s="307"/>
      <c r="F253" s="307"/>
    </row>
    <row r="254">
      <c r="C254" s="370"/>
      <c r="D254" s="370"/>
      <c r="E254" s="307"/>
      <c r="F254" s="307"/>
    </row>
    <row r="255">
      <c r="C255" s="370"/>
      <c r="D255" s="370"/>
      <c r="E255" s="307"/>
      <c r="F255" s="307"/>
    </row>
    <row r="256">
      <c r="C256" s="370"/>
      <c r="D256" s="370"/>
      <c r="E256" s="307"/>
      <c r="F256" s="307"/>
    </row>
    <row r="257">
      <c r="C257" s="370"/>
      <c r="D257" s="370"/>
      <c r="E257" s="307"/>
      <c r="F257" s="307"/>
    </row>
    <row r="258">
      <c r="C258" s="370"/>
      <c r="D258" s="370"/>
      <c r="E258" s="307"/>
      <c r="F258" s="307"/>
    </row>
    <row r="259">
      <c r="C259" s="370"/>
      <c r="D259" s="370"/>
      <c r="E259" s="307"/>
      <c r="F259" s="307"/>
    </row>
    <row r="260">
      <c r="C260" s="370"/>
      <c r="D260" s="370"/>
      <c r="E260" s="307"/>
      <c r="F260" s="307"/>
    </row>
    <row r="261">
      <c r="C261" s="370"/>
      <c r="D261" s="370"/>
      <c r="E261" s="307"/>
      <c r="F261" s="307"/>
    </row>
    <row r="262">
      <c r="C262" s="370"/>
      <c r="D262" s="370"/>
      <c r="E262" s="307"/>
      <c r="F262" s="307"/>
    </row>
    <row r="263">
      <c r="C263" s="370"/>
      <c r="D263" s="370"/>
      <c r="E263" s="307"/>
      <c r="F263" s="307"/>
    </row>
    <row r="264">
      <c r="C264" s="370"/>
      <c r="D264" s="370"/>
      <c r="E264" s="307"/>
      <c r="F264" s="307"/>
    </row>
    <row r="265">
      <c r="C265" s="370"/>
      <c r="D265" s="370"/>
      <c r="E265" s="307"/>
      <c r="F265" s="307"/>
    </row>
    <row r="266">
      <c r="C266" s="370"/>
      <c r="D266" s="370"/>
      <c r="E266" s="307"/>
      <c r="F266" s="307"/>
    </row>
    <row r="267">
      <c r="C267" s="370"/>
      <c r="D267" s="370"/>
      <c r="E267" s="307"/>
      <c r="F267" s="307"/>
    </row>
    <row r="268">
      <c r="C268" s="370"/>
      <c r="D268" s="370"/>
      <c r="E268" s="307"/>
      <c r="F268" s="307"/>
    </row>
    <row r="269">
      <c r="C269" s="370"/>
      <c r="D269" s="370"/>
      <c r="E269" s="307"/>
      <c r="F269" s="307"/>
    </row>
    <row r="270">
      <c r="C270" s="370"/>
      <c r="D270" s="370"/>
      <c r="E270" s="307"/>
      <c r="F270" s="307"/>
    </row>
    <row r="271">
      <c r="C271" s="370"/>
      <c r="D271" s="370"/>
      <c r="E271" s="307"/>
      <c r="F271" s="307"/>
    </row>
    <row r="272">
      <c r="C272" s="370"/>
      <c r="D272" s="370"/>
      <c r="E272" s="307"/>
      <c r="F272" s="307"/>
    </row>
    <row r="273">
      <c r="C273" s="370"/>
      <c r="D273" s="370"/>
      <c r="E273" s="307"/>
      <c r="F273" s="307"/>
    </row>
    <row r="274">
      <c r="C274" s="370"/>
      <c r="D274" s="370"/>
      <c r="E274" s="307"/>
      <c r="F274" s="307"/>
    </row>
    <row r="275">
      <c r="C275" s="370"/>
      <c r="D275" s="370"/>
      <c r="E275" s="307"/>
      <c r="F275" s="307"/>
    </row>
    <row r="276">
      <c r="C276" s="370"/>
      <c r="D276" s="370"/>
      <c r="E276" s="307"/>
      <c r="F276" s="307"/>
    </row>
    <row r="277">
      <c r="C277" s="370"/>
      <c r="D277" s="370"/>
      <c r="E277" s="307"/>
      <c r="F277" s="307"/>
    </row>
    <row r="278">
      <c r="C278" s="370"/>
      <c r="D278" s="370"/>
      <c r="E278" s="307"/>
      <c r="F278" s="307"/>
    </row>
    <row r="279">
      <c r="C279" s="370"/>
      <c r="D279" s="370"/>
      <c r="E279" s="307"/>
      <c r="F279" s="307"/>
    </row>
    <row r="280">
      <c r="C280" s="370"/>
      <c r="D280" s="370"/>
      <c r="E280" s="307"/>
      <c r="F280" s="307"/>
    </row>
    <row r="281">
      <c r="C281" s="370"/>
      <c r="D281" s="370"/>
      <c r="E281" s="307"/>
      <c r="F281" s="307"/>
    </row>
    <row r="282">
      <c r="C282" s="370"/>
      <c r="D282" s="370"/>
      <c r="E282" s="307"/>
      <c r="F282" s="307"/>
    </row>
    <row r="283">
      <c r="C283" s="370"/>
      <c r="D283" s="370"/>
      <c r="E283" s="307"/>
      <c r="F283" s="307"/>
    </row>
    <row r="284">
      <c r="C284" s="370"/>
      <c r="D284" s="370"/>
      <c r="E284" s="307"/>
      <c r="F284" s="307"/>
    </row>
    <row r="285">
      <c r="C285" s="370"/>
      <c r="D285" s="370"/>
      <c r="E285" s="307"/>
      <c r="F285" s="307"/>
    </row>
    <row r="286">
      <c r="C286" s="370"/>
      <c r="D286" s="370"/>
      <c r="E286" s="307"/>
      <c r="F286" s="307"/>
    </row>
    <row r="287">
      <c r="C287" s="370"/>
      <c r="D287" s="370"/>
      <c r="E287" s="307"/>
      <c r="F287" s="307"/>
    </row>
    <row r="288">
      <c r="C288" s="370"/>
      <c r="D288" s="370"/>
      <c r="E288" s="307"/>
      <c r="F288" s="307"/>
    </row>
    <row r="289">
      <c r="C289" s="370"/>
      <c r="D289" s="370"/>
      <c r="E289" s="307"/>
      <c r="F289" s="307"/>
    </row>
    <row r="290">
      <c r="C290" s="370"/>
      <c r="D290" s="370"/>
      <c r="E290" s="307"/>
      <c r="F290" s="307"/>
    </row>
    <row r="291">
      <c r="C291" s="370"/>
      <c r="D291" s="370"/>
      <c r="E291" s="307"/>
      <c r="F291" s="307"/>
    </row>
    <row r="292">
      <c r="C292" s="370"/>
      <c r="D292" s="370"/>
      <c r="E292" s="307"/>
      <c r="F292" s="307"/>
    </row>
    <row r="293">
      <c r="C293" s="370"/>
      <c r="D293" s="370"/>
      <c r="E293" s="307"/>
      <c r="F293" s="307"/>
    </row>
    <row r="294">
      <c r="C294" s="370"/>
      <c r="D294" s="370"/>
      <c r="E294" s="307"/>
      <c r="F294" s="307"/>
    </row>
    <row r="295">
      <c r="C295" s="370"/>
      <c r="D295" s="370"/>
      <c r="E295" s="307"/>
      <c r="F295" s="307"/>
    </row>
    <row r="296">
      <c r="C296" s="370"/>
      <c r="D296" s="370"/>
      <c r="E296" s="307"/>
      <c r="F296" s="307"/>
    </row>
    <row r="297">
      <c r="C297" s="370"/>
      <c r="D297" s="370"/>
      <c r="E297" s="307"/>
      <c r="F297" s="307"/>
    </row>
    <row r="298">
      <c r="C298" s="370"/>
      <c r="D298" s="370"/>
      <c r="E298" s="307"/>
      <c r="F298" s="307"/>
    </row>
    <row r="299">
      <c r="C299" s="370"/>
      <c r="D299" s="370"/>
      <c r="E299" s="307"/>
      <c r="F299" s="307"/>
    </row>
    <row r="300">
      <c r="C300" s="370"/>
      <c r="D300" s="370"/>
      <c r="E300" s="307"/>
      <c r="F300" s="307"/>
    </row>
    <row r="301">
      <c r="C301" s="370"/>
      <c r="D301" s="370"/>
      <c r="E301" s="307"/>
      <c r="F301" s="307"/>
    </row>
    <row r="302">
      <c r="C302" s="370"/>
      <c r="D302" s="370"/>
      <c r="E302" s="307"/>
      <c r="F302" s="307"/>
    </row>
    <row r="303">
      <c r="C303" s="370"/>
      <c r="D303" s="370"/>
      <c r="E303" s="307"/>
      <c r="F303" s="307"/>
    </row>
    <row r="304">
      <c r="C304" s="370"/>
      <c r="D304" s="370"/>
      <c r="E304" s="307"/>
      <c r="F304" s="307"/>
    </row>
    <row r="305">
      <c r="C305" s="370"/>
      <c r="D305" s="370"/>
      <c r="E305" s="307"/>
      <c r="F305" s="307"/>
    </row>
    <row r="306">
      <c r="C306" s="370"/>
      <c r="D306" s="370"/>
      <c r="E306" s="307"/>
      <c r="F306" s="307"/>
    </row>
    <row r="307">
      <c r="C307" s="370"/>
      <c r="D307" s="370"/>
      <c r="E307" s="307"/>
      <c r="F307" s="307"/>
    </row>
    <row r="308">
      <c r="C308" s="370"/>
      <c r="D308" s="370"/>
      <c r="E308" s="307"/>
      <c r="F308" s="307"/>
    </row>
    <row r="309">
      <c r="C309" s="370"/>
      <c r="D309" s="370"/>
      <c r="E309" s="307"/>
      <c r="F309" s="307"/>
    </row>
    <row r="310">
      <c r="C310" s="370"/>
      <c r="D310" s="370"/>
      <c r="E310" s="307"/>
      <c r="F310" s="307"/>
    </row>
    <row r="311">
      <c r="C311" s="370"/>
      <c r="D311" s="370"/>
      <c r="E311" s="307"/>
      <c r="F311" s="307"/>
    </row>
    <row r="312">
      <c r="C312" s="370"/>
      <c r="D312" s="370"/>
      <c r="E312" s="307"/>
      <c r="F312" s="307"/>
    </row>
    <row r="313">
      <c r="C313" s="370"/>
      <c r="D313" s="370"/>
      <c r="E313" s="307"/>
      <c r="F313" s="307"/>
    </row>
    <row r="314">
      <c r="C314" s="370"/>
      <c r="D314" s="370"/>
      <c r="E314" s="307"/>
      <c r="F314" s="307"/>
    </row>
    <row r="315">
      <c r="C315" s="370"/>
      <c r="D315" s="370"/>
      <c r="E315" s="307"/>
      <c r="F315" s="307"/>
    </row>
    <row r="316">
      <c r="C316" s="370"/>
      <c r="D316" s="370"/>
      <c r="E316" s="307"/>
      <c r="F316" s="307"/>
    </row>
    <row r="317">
      <c r="C317" s="370"/>
      <c r="D317" s="370"/>
      <c r="E317" s="307"/>
      <c r="F317" s="307"/>
    </row>
    <row r="318">
      <c r="C318" s="370"/>
      <c r="D318" s="370"/>
      <c r="E318" s="307"/>
      <c r="F318" s="307"/>
    </row>
    <row r="319">
      <c r="C319" s="370"/>
      <c r="D319" s="370"/>
      <c r="E319" s="307"/>
      <c r="F319" s="307"/>
    </row>
    <row r="320">
      <c r="C320" s="370"/>
      <c r="D320" s="370"/>
      <c r="E320" s="307"/>
      <c r="F320" s="307"/>
    </row>
    <row r="321">
      <c r="C321" s="370"/>
      <c r="D321" s="370"/>
      <c r="E321" s="307"/>
      <c r="F321" s="307"/>
    </row>
    <row r="322">
      <c r="C322" s="370"/>
      <c r="D322" s="370"/>
      <c r="E322" s="307"/>
      <c r="F322" s="307"/>
    </row>
    <row r="323">
      <c r="C323" s="370"/>
      <c r="D323" s="370"/>
      <c r="E323" s="307"/>
      <c r="F323" s="307"/>
    </row>
    <row r="324">
      <c r="C324" s="370"/>
      <c r="D324" s="370"/>
      <c r="E324" s="307"/>
      <c r="F324" s="307"/>
    </row>
    <row r="325">
      <c r="C325" s="370"/>
      <c r="D325" s="370"/>
      <c r="E325" s="307"/>
      <c r="F325" s="307"/>
    </row>
    <row r="326">
      <c r="C326" s="370"/>
      <c r="D326" s="370"/>
      <c r="E326" s="307"/>
      <c r="F326" s="307"/>
    </row>
    <row r="327">
      <c r="C327" s="370"/>
      <c r="D327" s="370"/>
      <c r="E327" s="307"/>
      <c r="F327" s="307"/>
    </row>
    <row r="328">
      <c r="C328" s="370"/>
      <c r="D328" s="370"/>
      <c r="E328" s="307"/>
      <c r="F328" s="307"/>
    </row>
    <row r="329">
      <c r="C329" s="370"/>
      <c r="D329" s="370"/>
      <c r="E329" s="307"/>
      <c r="F329" s="307"/>
    </row>
    <row r="330">
      <c r="C330" s="370"/>
      <c r="D330" s="370"/>
      <c r="E330" s="307"/>
      <c r="F330" s="307"/>
    </row>
    <row r="331">
      <c r="C331" s="370"/>
      <c r="D331" s="370"/>
      <c r="E331" s="307"/>
      <c r="F331" s="307"/>
    </row>
    <row r="332">
      <c r="C332" s="370"/>
      <c r="D332" s="370"/>
      <c r="E332" s="307"/>
      <c r="F332" s="307"/>
    </row>
    <row r="333">
      <c r="C333" s="370"/>
      <c r="D333" s="370"/>
      <c r="E333" s="307"/>
      <c r="F333" s="307"/>
    </row>
    <row r="334">
      <c r="C334" s="370"/>
      <c r="D334" s="370"/>
      <c r="E334" s="307"/>
      <c r="F334" s="307"/>
    </row>
    <row r="335">
      <c r="C335" s="370"/>
      <c r="D335" s="370"/>
      <c r="E335" s="307"/>
      <c r="F335" s="307"/>
    </row>
    <row r="336">
      <c r="C336" s="370"/>
      <c r="D336" s="370"/>
      <c r="E336" s="307"/>
      <c r="F336" s="307"/>
    </row>
    <row r="337">
      <c r="C337" s="370"/>
      <c r="D337" s="370"/>
      <c r="E337" s="307"/>
      <c r="F337" s="307"/>
    </row>
    <row r="338">
      <c r="C338" s="370"/>
      <c r="D338" s="370"/>
      <c r="E338" s="307"/>
      <c r="F338" s="307"/>
    </row>
    <row r="339">
      <c r="C339" s="370"/>
      <c r="D339" s="370"/>
      <c r="E339" s="307"/>
      <c r="F339" s="307"/>
    </row>
    <row r="340">
      <c r="C340" s="370"/>
      <c r="D340" s="370"/>
      <c r="E340" s="307"/>
      <c r="F340" s="307"/>
    </row>
    <row r="341">
      <c r="C341" s="370"/>
      <c r="D341" s="370"/>
      <c r="E341" s="307"/>
      <c r="F341" s="307"/>
    </row>
    <row r="342">
      <c r="C342" s="370"/>
      <c r="D342" s="370"/>
      <c r="E342" s="307"/>
      <c r="F342" s="307"/>
    </row>
    <row r="343">
      <c r="C343" s="370"/>
      <c r="D343" s="370"/>
      <c r="E343" s="307"/>
      <c r="F343" s="307"/>
    </row>
    <row r="344">
      <c r="C344" s="370"/>
      <c r="D344" s="370"/>
      <c r="E344" s="307"/>
      <c r="F344" s="307"/>
    </row>
    <row r="345">
      <c r="C345" s="370"/>
      <c r="D345" s="370"/>
      <c r="E345" s="307"/>
      <c r="F345" s="307"/>
    </row>
    <row r="346">
      <c r="C346" s="370"/>
      <c r="D346" s="370"/>
      <c r="E346" s="307"/>
      <c r="F346" s="307"/>
    </row>
    <row r="347">
      <c r="C347" s="370"/>
      <c r="D347" s="370"/>
      <c r="E347" s="307"/>
      <c r="F347" s="307"/>
    </row>
    <row r="348">
      <c r="C348" s="370"/>
      <c r="D348" s="370"/>
      <c r="E348" s="307"/>
      <c r="F348" s="307"/>
    </row>
    <row r="349">
      <c r="C349" s="370"/>
      <c r="D349" s="370"/>
      <c r="E349" s="307"/>
      <c r="F349" s="307"/>
    </row>
    <row r="350">
      <c r="C350" s="370"/>
      <c r="D350" s="370"/>
      <c r="E350" s="307"/>
      <c r="F350" s="307"/>
    </row>
    <row r="351">
      <c r="C351" s="370"/>
      <c r="D351" s="370"/>
      <c r="E351" s="307"/>
      <c r="F351" s="307"/>
    </row>
    <row r="352">
      <c r="C352" s="370"/>
      <c r="D352" s="370"/>
      <c r="E352" s="307"/>
      <c r="F352" s="307"/>
    </row>
    <row r="353">
      <c r="C353" s="370"/>
      <c r="D353" s="370"/>
      <c r="E353" s="307"/>
      <c r="F353" s="307"/>
    </row>
    <row r="354">
      <c r="C354" s="370"/>
      <c r="D354" s="370"/>
      <c r="E354" s="307"/>
      <c r="F354" s="307"/>
    </row>
    <row r="355">
      <c r="C355" s="370"/>
      <c r="D355" s="370"/>
      <c r="E355" s="307"/>
      <c r="F355" s="307"/>
    </row>
    <row r="356">
      <c r="C356" s="370"/>
      <c r="D356" s="370"/>
      <c r="E356" s="307"/>
      <c r="F356" s="307"/>
    </row>
    <row r="357">
      <c r="C357" s="370"/>
      <c r="D357" s="370"/>
      <c r="E357" s="307"/>
      <c r="F357" s="307"/>
    </row>
    <row r="358">
      <c r="C358" s="370"/>
      <c r="D358" s="370"/>
      <c r="E358" s="307"/>
      <c r="F358" s="307"/>
    </row>
    <row r="359">
      <c r="C359" s="370"/>
      <c r="D359" s="370"/>
      <c r="E359" s="307"/>
      <c r="F359" s="307"/>
    </row>
    <row r="360">
      <c r="C360" s="370"/>
      <c r="D360" s="370"/>
      <c r="E360" s="307"/>
      <c r="F360" s="307"/>
    </row>
    <row r="361">
      <c r="C361" s="370"/>
      <c r="D361" s="370"/>
      <c r="E361" s="307"/>
      <c r="F361" s="307"/>
    </row>
    <row r="362">
      <c r="C362" s="370"/>
      <c r="D362" s="370"/>
      <c r="E362" s="307"/>
      <c r="F362" s="307"/>
    </row>
    <row r="363">
      <c r="C363" s="370"/>
      <c r="D363" s="370"/>
      <c r="E363" s="307"/>
      <c r="F363" s="307"/>
    </row>
    <row r="364">
      <c r="C364" s="370"/>
      <c r="D364" s="370"/>
      <c r="E364" s="307"/>
      <c r="F364" s="307"/>
    </row>
    <row r="365">
      <c r="C365" s="370"/>
      <c r="D365" s="370"/>
      <c r="E365" s="307"/>
      <c r="F365" s="307"/>
    </row>
    <row r="366">
      <c r="C366" s="370"/>
      <c r="D366" s="370"/>
      <c r="E366" s="307"/>
      <c r="F366" s="307"/>
    </row>
    <row r="367">
      <c r="C367" s="370"/>
      <c r="D367" s="370"/>
      <c r="E367" s="307"/>
      <c r="F367" s="307"/>
    </row>
    <row r="368">
      <c r="C368" s="370"/>
      <c r="D368" s="370"/>
      <c r="E368" s="307"/>
      <c r="F368" s="307"/>
    </row>
    <row r="369">
      <c r="C369" s="370"/>
      <c r="D369" s="370"/>
      <c r="E369" s="307"/>
      <c r="F369" s="307"/>
    </row>
    <row r="370">
      <c r="C370" s="370"/>
      <c r="D370" s="370"/>
      <c r="E370" s="307"/>
      <c r="F370" s="307"/>
    </row>
    <row r="371">
      <c r="C371" s="370"/>
      <c r="D371" s="370"/>
      <c r="E371" s="307"/>
      <c r="F371" s="307"/>
    </row>
    <row r="372">
      <c r="C372" s="370"/>
      <c r="D372" s="370"/>
      <c r="E372" s="307"/>
      <c r="F372" s="307"/>
    </row>
    <row r="373">
      <c r="C373" s="370"/>
      <c r="D373" s="370"/>
      <c r="E373" s="307"/>
      <c r="F373" s="307"/>
    </row>
    <row r="374">
      <c r="C374" s="370"/>
      <c r="D374" s="370"/>
      <c r="E374" s="307"/>
      <c r="F374" s="307"/>
    </row>
    <row r="375">
      <c r="C375" s="370"/>
      <c r="D375" s="370"/>
      <c r="E375" s="307"/>
      <c r="F375" s="307"/>
    </row>
    <row r="376">
      <c r="C376" s="370"/>
      <c r="D376" s="370"/>
      <c r="E376" s="307"/>
      <c r="F376" s="307"/>
    </row>
    <row r="377">
      <c r="C377" s="370"/>
      <c r="D377" s="370"/>
      <c r="E377" s="307"/>
      <c r="F377" s="307"/>
    </row>
    <row r="378">
      <c r="C378" s="370"/>
      <c r="D378" s="370"/>
      <c r="E378" s="307"/>
      <c r="F378" s="307"/>
    </row>
    <row r="379">
      <c r="C379" s="370"/>
      <c r="D379" s="370"/>
      <c r="E379" s="307"/>
      <c r="F379" s="307"/>
    </row>
    <row r="380">
      <c r="C380" s="370"/>
      <c r="D380" s="370"/>
      <c r="E380" s="307"/>
      <c r="F380" s="307"/>
    </row>
    <row r="381">
      <c r="C381" s="370"/>
      <c r="D381" s="370"/>
      <c r="E381" s="307"/>
      <c r="F381" s="307"/>
    </row>
    <row r="382">
      <c r="C382" s="370"/>
      <c r="D382" s="370"/>
      <c r="E382" s="307"/>
      <c r="F382" s="307"/>
    </row>
    <row r="383">
      <c r="C383" s="370"/>
      <c r="D383" s="370"/>
      <c r="E383" s="307"/>
      <c r="F383" s="307"/>
    </row>
    <row r="384">
      <c r="C384" s="370"/>
      <c r="D384" s="370"/>
      <c r="E384" s="307"/>
      <c r="F384" s="307"/>
    </row>
    <row r="385">
      <c r="C385" s="370"/>
      <c r="D385" s="370"/>
      <c r="E385" s="307"/>
      <c r="F385" s="307"/>
    </row>
    <row r="386">
      <c r="C386" s="370"/>
      <c r="D386" s="370"/>
      <c r="E386" s="307"/>
      <c r="F386" s="307"/>
    </row>
    <row r="387">
      <c r="C387" s="370"/>
      <c r="D387" s="370"/>
      <c r="E387" s="307"/>
      <c r="F387" s="307"/>
    </row>
    <row r="388">
      <c r="C388" s="370"/>
      <c r="D388" s="370"/>
      <c r="E388" s="307"/>
      <c r="F388" s="307"/>
    </row>
    <row r="389">
      <c r="C389" s="370"/>
      <c r="D389" s="370"/>
      <c r="E389" s="307"/>
      <c r="F389" s="307"/>
    </row>
    <row r="390">
      <c r="C390" s="370"/>
      <c r="D390" s="370"/>
      <c r="E390" s="307"/>
      <c r="F390" s="307"/>
    </row>
    <row r="391">
      <c r="C391" s="370"/>
      <c r="D391" s="370"/>
      <c r="E391" s="307"/>
      <c r="F391" s="307"/>
    </row>
    <row r="392">
      <c r="C392" s="370"/>
      <c r="D392" s="370"/>
      <c r="E392" s="307"/>
      <c r="F392" s="307"/>
    </row>
    <row r="393">
      <c r="C393" s="370"/>
      <c r="D393" s="370"/>
      <c r="E393" s="307"/>
      <c r="F393" s="307"/>
    </row>
    <row r="394">
      <c r="C394" s="370"/>
      <c r="D394" s="370"/>
      <c r="E394" s="307"/>
      <c r="F394" s="307"/>
    </row>
    <row r="395">
      <c r="C395" s="370"/>
      <c r="D395" s="370"/>
      <c r="E395" s="307"/>
      <c r="F395" s="307"/>
    </row>
    <row r="396">
      <c r="C396" s="370"/>
      <c r="D396" s="370"/>
      <c r="E396" s="307"/>
      <c r="F396" s="307"/>
    </row>
    <row r="397">
      <c r="C397" s="370"/>
      <c r="D397" s="370"/>
      <c r="E397" s="307"/>
      <c r="F397" s="307"/>
    </row>
    <row r="398">
      <c r="C398" s="370"/>
      <c r="D398" s="370"/>
      <c r="E398" s="307"/>
      <c r="F398" s="307"/>
    </row>
    <row r="399">
      <c r="C399" s="370"/>
      <c r="D399" s="370"/>
      <c r="E399" s="307"/>
      <c r="F399" s="307"/>
    </row>
    <row r="400">
      <c r="C400" s="370"/>
      <c r="D400" s="370"/>
      <c r="E400" s="307"/>
      <c r="F400" s="307"/>
    </row>
    <row r="401">
      <c r="C401" s="370"/>
      <c r="D401" s="370"/>
      <c r="E401" s="307"/>
      <c r="F401" s="307"/>
    </row>
    <row r="402">
      <c r="C402" s="370"/>
      <c r="D402" s="370"/>
      <c r="E402" s="307"/>
      <c r="F402" s="307"/>
    </row>
    <row r="403">
      <c r="C403" s="370"/>
      <c r="D403" s="370"/>
      <c r="E403" s="307"/>
      <c r="F403" s="307"/>
    </row>
    <row r="404">
      <c r="C404" s="370"/>
      <c r="D404" s="370"/>
      <c r="E404" s="307"/>
      <c r="F404" s="307"/>
    </row>
    <row r="405">
      <c r="C405" s="370"/>
      <c r="D405" s="370"/>
      <c r="E405" s="307"/>
      <c r="F405" s="307"/>
    </row>
    <row r="406">
      <c r="C406" s="370"/>
      <c r="D406" s="370"/>
      <c r="E406" s="307"/>
      <c r="F406" s="307"/>
    </row>
    <row r="407">
      <c r="C407" s="370"/>
      <c r="D407" s="370"/>
      <c r="E407" s="307"/>
      <c r="F407" s="307"/>
    </row>
    <row r="408">
      <c r="C408" s="370"/>
      <c r="D408" s="370"/>
      <c r="E408" s="307"/>
      <c r="F408" s="307"/>
    </row>
    <row r="409">
      <c r="C409" s="370"/>
      <c r="D409" s="370"/>
      <c r="E409" s="307"/>
      <c r="F409" s="307"/>
    </row>
    <row r="410">
      <c r="C410" s="370"/>
      <c r="D410" s="370"/>
      <c r="E410" s="307"/>
      <c r="F410" s="307"/>
    </row>
    <row r="411">
      <c r="C411" s="370"/>
      <c r="D411" s="370"/>
      <c r="E411" s="307"/>
      <c r="F411" s="307"/>
    </row>
    <row r="412">
      <c r="C412" s="370"/>
      <c r="D412" s="370"/>
      <c r="E412" s="307"/>
      <c r="F412" s="307"/>
    </row>
    <row r="413">
      <c r="C413" s="370"/>
      <c r="D413" s="370"/>
      <c r="E413" s="307"/>
      <c r="F413" s="307"/>
    </row>
    <row r="414">
      <c r="C414" s="370"/>
      <c r="D414" s="370"/>
      <c r="E414" s="307"/>
      <c r="F414" s="307"/>
    </row>
    <row r="415">
      <c r="C415" s="370"/>
      <c r="D415" s="370"/>
      <c r="E415" s="307"/>
      <c r="F415" s="307"/>
    </row>
    <row r="416">
      <c r="C416" s="370"/>
      <c r="D416" s="370"/>
      <c r="E416" s="307"/>
      <c r="F416" s="307"/>
    </row>
    <row r="417">
      <c r="C417" s="370"/>
      <c r="D417" s="370"/>
      <c r="E417" s="307"/>
      <c r="F417" s="307"/>
    </row>
    <row r="418">
      <c r="C418" s="370"/>
      <c r="D418" s="370"/>
      <c r="E418" s="307"/>
      <c r="F418" s="307"/>
    </row>
    <row r="419">
      <c r="C419" s="370"/>
      <c r="D419" s="370"/>
      <c r="E419" s="307"/>
      <c r="F419" s="307"/>
    </row>
    <row r="420">
      <c r="C420" s="370"/>
      <c r="D420" s="370"/>
      <c r="E420" s="307"/>
      <c r="F420" s="307"/>
    </row>
    <row r="421">
      <c r="C421" s="370"/>
      <c r="D421" s="370"/>
      <c r="E421" s="307"/>
      <c r="F421" s="307"/>
    </row>
    <row r="422">
      <c r="C422" s="370"/>
      <c r="D422" s="370"/>
      <c r="E422" s="307"/>
      <c r="F422" s="307"/>
    </row>
    <row r="423">
      <c r="C423" s="370"/>
      <c r="D423" s="370"/>
      <c r="E423" s="307"/>
      <c r="F423" s="307"/>
    </row>
    <row r="424">
      <c r="C424" s="370"/>
      <c r="D424" s="370"/>
      <c r="E424" s="307"/>
      <c r="F424" s="307"/>
    </row>
    <row r="425">
      <c r="C425" s="370"/>
      <c r="D425" s="370"/>
      <c r="E425" s="307"/>
      <c r="F425" s="307"/>
    </row>
    <row r="426">
      <c r="C426" s="370"/>
      <c r="D426" s="370"/>
      <c r="E426" s="307"/>
      <c r="F426" s="307"/>
    </row>
    <row r="427">
      <c r="C427" s="370"/>
      <c r="D427" s="370"/>
      <c r="E427" s="307"/>
      <c r="F427" s="307"/>
    </row>
    <row r="428">
      <c r="C428" s="370"/>
      <c r="D428" s="370"/>
      <c r="E428" s="307"/>
      <c r="F428" s="307"/>
    </row>
    <row r="429">
      <c r="C429" s="370"/>
      <c r="D429" s="370"/>
      <c r="E429" s="307"/>
      <c r="F429" s="307"/>
    </row>
    <row r="430">
      <c r="C430" s="370"/>
      <c r="D430" s="370"/>
      <c r="E430" s="307"/>
      <c r="F430" s="307"/>
    </row>
    <row r="431">
      <c r="C431" s="370"/>
      <c r="D431" s="370"/>
      <c r="E431" s="307"/>
      <c r="F431" s="307"/>
    </row>
    <row r="432">
      <c r="C432" s="370"/>
      <c r="D432" s="370"/>
      <c r="E432" s="307"/>
      <c r="F432" s="307"/>
    </row>
    <row r="433">
      <c r="C433" s="370"/>
      <c r="D433" s="370"/>
      <c r="E433" s="307"/>
      <c r="F433" s="307"/>
    </row>
    <row r="434">
      <c r="C434" s="370"/>
      <c r="D434" s="370"/>
      <c r="E434" s="307"/>
      <c r="F434" s="307"/>
    </row>
    <row r="435">
      <c r="C435" s="370"/>
      <c r="D435" s="370"/>
      <c r="E435" s="307"/>
      <c r="F435" s="307"/>
    </row>
    <row r="436">
      <c r="C436" s="370"/>
      <c r="D436" s="370"/>
      <c r="E436" s="307"/>
      <c r="F436" s="307"/>
    </row>
    <row r="437">
      <c r="C437" s="370"/>
      <c r="D437" s="370"/>
      <c r="E437" s="307"/>
      <c r="F437" s="307"/>
    </row>
    <row r="438">
      <c r="C438" s="370"/>
      <c r="D438" s="370"/>
      <c r="E438" s="307"/>
      <c r="F438" s="307"/>
    </row>
    <row r="439">
      <c r="C439" s="370"/>
      <c r="D439" s="370"/>
      <c r="E439" s="307"/>
      <c r="F439" s="307"/>
    </row>
    <row r="440">
      <c r="C440" s="370"/>
      <c r="D440" s="370"/>
      <c r="E440" s="307"/>
      <c r="F440" s="307"/>
    </row>
    <row r="441">
      <c r="C441" s="370"/>
      <c r="D441" s="370"/>
      <c r="E441" s="307"/>
      <c r="F441" s="307"/>
    </row>
    <row r="442">
      <c r="C442" s="370"/>
      <c r="D442" s="370"/>
      <c r="E442" s="307"/>
      <c r="F442" s="307"/>
    </row>
    <row r="443">
      <c r="C443" s="370"/>
      <c r="D443" s="370"/>
      <c r="E443" s="307"/>
      <c r="F443" s="307"/>
    </row>
    <row r="444">
      <c r="C444" s="370"/>
      <c r="D444" s="370"/>
      <c r="E444" s="307"/>
      <c r="F444" s="307"/>
    </row>
    <row r="445">
      <c r="C445" s="370"/>
      <c r="D445" s="370"/>
      <c r="E445" s="307"/>
      <c r="F445" s="307"/>
    </row>
    <row r="446">
      <c r="C446" s="370"/>
      <c r="D446" s="370"/>
      <c r="E446" s="307"/>
      <c r="F446" s="307"/>
    </row>
    <row r="447">
      <c r="C447" s="370"/>
      <c r="D447" s="370"/>
      <c r="E447" s="307"/>
      <c r="F447" s="307"/>
    </row>
    <row r="448">
      <c r="C448" s="370"/>
      <c r="D448" s="370"/>
      <c r="E448" s="307"/>
      <c r="F448" s="307"/>
    </row>
    <row r="449">
      <c r="C449" s="370"/>
      <c r="D449" s="370"/>
      <c r="E449" s="307"/>
      <c r="F449" s="307"/>
    </row>
    <row r="450">
      <c r="C450" s="370"/>
      <c r="D450" s="370"/>
      <c r="E450" s="307"/>
      <c r="F450" s="307"/>
    </row>
    <row r="451">
      <c r="C451" s="370"/>
      <c r="D451" s="370"/>
      <c r="E451" s="307"/>
      <c r="F451" s="307"/>
    </row>
    <row r="452">
      <c r="C452" s="370"/>
      <c r="D452" s="370"/>
      <c r="E452" s="307"/>
      <c r="F452" s="307"/>
    </row>
    <row r="453">
      <c r="C453" s="370"/>
      <c r="D453" s="370"/>
      <c r="E453" s="307"/>
      <c r="F453" s="307"/>
    </row>
    <row r="454">
      <c r="C454" s="370"/>
      <c r="D454" s="370"/>
      <c r="E454" s="307"/>
      <c r="F454" s="307"/>
    </row>
    <row r="455">
      <c r="C455" s="370"/>
      <c r="D455" s="370"/>
      <c r="E455" s="307"/>
      <c r="F455" s="307"/>
    </row>
    <row r="456">
      <c r="C456" s="370"/>
      <c r="D456" s="370"/>
      <c r="E456" s="307"/>
      <c r="F456" s="307"/>
    </row>
    <row r="457">
      <c r="C457" s="370"/>
      <c r="D457" s="370"/>
      <c r="E457" s="307"/>
      <c r="F457" s="307"/>
    </row>
    <row r="458">
      <c r="C458" s="370"/>
      <c r="D458" s="370"/>
      <c r="E458" s="307"/>
      <c r="F458" s="307"/>
    </row>
    <row r="459">
      <c r="C459" s="370"/>
      <c r="D459" s="370"/>
      <c r="E459" s="307"/>
      <c r="F459" s="307"/>
    </row>
    <row r="460">
      <c r="C460" s="370"/>
      <c r="D460" s="370"/>
      <c r="E460" s="307"/>
      <c r="F460" s="307"/>
    </row>
    <row r="461">
      <c r="C461" s="370"/>
      <c r="D461" s="370"/>
      <c r="E461" s="307"/>
      <c r="F461" s="307"/>
    </row>
    <row r="462">
      <c r="C462" s="370"/>
      <c r="D462" s="370"/>
      <c r="E462" s="307"/>
      <c r="F462" s="307"/>
    </row>
    <row r="463">
      <c r="C463" s="370"/>
      <c r="D463" s="370"/>
      <c r="E463" s="307"/>
      <c r="F463" s="307"/>
    </row>
    <row r="464">
      <c r="C464" s="370"/>
      <c r="D464" s="370"/>
      <c r="E464" s="307"/>
      <c r="F464" s="307"/>
    </row>
    <row r="465">
      <c r="C465" s="370"/>
      <c r="D465" s="370"/>
      <c r="E465" s="307"/>
      <c r="F465" s="307"/>
    </row>
    <row r="466">
      <c r="C466" s="370"/>
      <c r="D466" s="370"/>
      <c r="E466" s="307"/>
      <c r="F466" s="307"/>
    </row>
    <row r="467">
      <c r="C467" s="370"/>
      <c r="D467" s="370"/>
      <c r="E467" s="307"/>
      <c r="F467" s="307"/>
    </row>
    <row r="468">
      <c r="C468" s="370"/>
      <c r="D468" s="370"/>
      <c r="E468" s="307"/>
      <c r="F468" s="307"/>
    </row>
    <row r="469">
      <c r="C469" s="370"/>
      <c r="D469" s="370"/>
      <c r="E469" s="307"/>
      <c r="F469" s="307"/>
    </row>
    <row r="470">
      <c r="C470" s="370"/>
      <c r="D470" s="370"/>
      <c r="E470" s="307"/>
      <c r="F470" s="307"/>
    </row>
    <row r="471">
      <c r="C471" s="370"/>
      <c r="D471" s="370"/>
      <c r="E471" s="307"/>
      <c r="F471" s="307"/>
    </row>
    <row r="472">
      <c r="C472" s="370"/>
      <c r="D472" s="370"/>
      <c r="E472" s="307"/>
      <c r="F472" s="307"/>
    </row>
    <row r="473">
      <c r="C473" s="370"/>
      <c r="D473" s="370"/>
      <c r="E473" s="307"/>
      <c r="F473" s="307"/>
    </row>
    <row r="474">
      <c r="C474" s="370"/>
      <c r="D474" s="370"/>
      <c r="E474" s="307"/>
      <c r="F474" s="307"/>
    </row>
    <row r="475">
      <c r="C475" s="370"/>
      <c r="D475" s="370"/>
      <c r="E475" s="307"/>
      <c r="F475" s="307"/>
    </row>
    <row r="476">
      <c r="C476" s="370"/>
      <c r="D476" s="370"/>
      <c r="E476" s="307"/>
      <c r="F476" s="307"/>
    </row>
    <row r="477">
      <c r="C477" s="370"/>
      <c r="D477" s="370"/>
      <c r="E477" s="307"/>
      <c r="F477" s="307"/>
    </row>
    <row r="478">
      <c r="C478" s="370"/>
      <c r="D478" s="370"/>
      <c r="E478" s="307"/>
      <c r="F478" s="307"/>
    </row>
    <row r="479">
      <c r="C479" s="370"/>
      <c r="D479" s="370"/>
      <c r="E479" s="307"/>
      <c r="F479" s="307"/>
    </row>
    <row r="480">
      <c r="C480" s="370"/>
      <c r="D480" s="370"/>
      <c r="E480" s="307"/>
      <c r="F480" s="307"/>
    </row>
    <row r="481">
      <c r="C481" s="370"/>
      <c r="D481" s="370"/>
      <c r="E481" s="307"/>
      <c r="F481" s="307"/>
    </row>
    <row r="482">
      <c r="C482" s="370"/>
      <c r="D482" s="370"/>
      <c r="E482" s="307"/>
      <c r="F482" s="307"/>
    </row>
    <row r="483">
      <c r="C483" s="370"/>
      <c r="D483" s="370"/>
      <c r="E483" s="307"/>
      <c r="F483" s="307"/>
    </row>
    <row r="484">
      <c r="C484" s="370"/>
      <c r="D484" s="370"/>
      <c r="E484" s="307"/>
      <c r="F484" s="307"/>
    </row>
    <row r="485">
      <c r="C485" s="370"/>
      <c r="D485" s="370"/>
      <c r="E485" s="307"/>
      <c r="F485" s="307"/>
    </row>
    <row r="486">
      <c r="C486" s="370"/>
      <c r="D486" s="370"/>
      <c r="E486" s="307"/>
      <c r="F486" s="307"/>
    </row>
    <row r="487">
      <c r="C487" s="370"/>
      <c r="D487" s="370"/>
      <c r="E487" s="307"/>
      <c r="F487" s="307"/>
    </row>
    <row r="488">
      <c r="C488" s="370"/>
      <c r="D488" s="370"/>
      <c r="E488" s="307"/>
      <c r="F488" s="307"/>
    </row>
    <row r="489">
      <c r="C489" s="370"/>
      <c r="D489" s="370"/>
      <c r="E489" s="307"/>
      <c r="F489" s="307"/>
    </row>
    <row r="490">
      <c r="C490" s="370"/>
      <c r="D490" s="370"/>
      <c r="E490" s="307"/>
      <c r="F490" s="307"/>
    </row>
    <row r="491">
      <c r="C491" s="370"/>
      <c r="D491" s="370"/>
      <c r="E491" s="307"/>
      <c r="F491" s="307"/>
    </row>
    <row r="492">
      <c r="C492" s="370"/>
      <c r="D492" s="370"/>
      <c r="E492" s="307"/>
      <c r="F492" s="307"/>
    </row>
    <row r="493">
      <c r="C493" s="370"/>
      <c r="D493" s="370"/>
      <c r="E493" s="307"/>
      <c r="F493" s="307"/>
    </row>
    <row r="494">
      <c r="C494" s="370"/>
      <c r="D494" s="370"/>
      <c r="E494" s="307"/>
      <c r="F494" s="307"/>
    </row>
    <row r="495">
      <c r="C495" s="370"/>
      <c r="D495" s="370"/>
      <c r="E495" s="307"/>
      <c r="F495" s="307"/>
    </row>
    <row r="496">
      <c r="C496" s="370"/>
      <c r="D496" s="370"/>
      <c r="E496" s="307"/>
      <c r="F496" s="307"/>
    </row>
    <row r="497">
      <c r="C497" s="370"/>
      <c r="D497" s="370"/>
      <c r="E497" s="307"/>
      <c r="F497" s="307"/>
    </row>
    <row r="498">
      <c r="C498" s="370"/>
      <c r="D498" s="370"/>
      <c r="E498" s="307"/>
      <c r="F498" s="307"/>
    </row>
    <row r="499">
      <c r="C499" s="370"/>
      <c r="D499" s="370"/>
      <c r="E499" s="307"/>
      <c r="F499" s="307"/>
    </row>
    <row r="500">
      <c r="C500" s="370"/>
      <c r="D500" s="370"/>
      <c r="E500" s="307"/>
      <c r="F500" s="307"/>
    </row>
    <row r="501">
      <c r="C501" s="370"/>
      <c r="D501" s="370"/>
      <c r="E501" s="307"/>
      <c r="F501" s="307"/>
    </row>
    <row r="502">
      <c r="C502" s="370"/>
      <c r="D502" s="370"/>
      <c r="E502" s="307"/>
      <c r="F502" s="307"/>
    </row>
    <row r="503">
      <c r="C503" s="370"/>
      <c r="D503" s="370"/>
      <c r="E503" s="307"/>
      <c r="F503" s="307"/>
    </row>
    <row r="504">
      <c r="C504" s="370"/>
      <c r="D504" s="370"/>
      <c r="E504" s="307"/>
      <c r="F504" s="307"/>
    </row>
    <row r="505">
      <c r="C505" s="370"/>
      <c r="D505" s="370"/>
      <c r="E505" s="307"/>
      <c r="F505" s="307"/>
    </row>
    <row r="506">
      <c r="C506" s="370"/>
      <c r="D506" s="370"/>
      <c r="E506" s="307"/>
      <c r="F506" s="307"/>
    </row>
    <row r="507">
      <c r="C507" s="370"/>
      <c r="D507" s="370"/>
      <c r="E507" s="307"/>
      <c r="F507" s="307"/>
    </row>
    <row r="508">
      <c r="C508" s="370"/>
      <c r="D508" s="370"/>
      <c r="E508" s="307"/>
      <c r="F508" s="307"/>
    </row>
    <row r="509">
      <c r="C509" s="370"/>
      <c r="D509" s="370"/>
      <c r="E509" s="307"/>
      <c r="F509" s="307"/>
    </row>
    <row r="510">
      <c r="C510" s="370"/>
      <c r="D510" s="370"/>
      <c r="E510" s="307"/>
      <c r="F510" s="307"/>
    </row>
    <row r="511">
      <c r="C511" s="370"/>
      <c r="D511" s="370"/>
      <c r="E511" s="307"/>
      <c r="F511" s="307"/>
    </row>
    <row r="512">
      <c r="C512" s="370"/>
      <c r="D512" s="370"/>
      <c r="E512" s="307"/>
      <c r="F512" s="307"/>
    </row>
    <row r="513">
      <c r="C513" s="370"/>
      <c r="D513" s="370"/>
      <c r="E513" s="307"/>
      <c r="F513" s="307"/>
    </row>
    <row r="514">
      <c r="C514" s="370"/>
      <c r="D514" s="370"/>
      <c r="E514" s="307"/>
      <c r="F514" s="307"/>
    </row>
    <row r="515">
      <c r="C515" s="370"/>
      <c r="D515" s="370"/>
      <c r="E515" s="307"/>
      <c r="F515" s="307"/>
    </row>
    <row r="516">
      <c r="C516" s="370"/>
      <c r="D516" s="370"/>
      <c r="E516" s="307"/>
      <c r="F516" s="307"/>
    </row>
    <row r="517">
      <c r="C517" s="370"/>
      <c r="D517" s="370"/>
      <c r="E517" s="307"/>
      <c r="F517" s="307"/>
    </row>
    <row r="518">
      <c r="C518" s="370"/>
      <c r="D518" s="370"/>
      <c r="E518" s="307"/>
      <c r="F518" s="307"/>
    </row>
    <row r="519">
      <c r="C519" s="370"/>
      <c r="D519" s="370"/>
      <c r="E519" s="307"/>
      <c r="F519" s="307"/>
    </row>
    <row r="520">
      <c r="C520" s="370"/>
      <c r="D520" s="370"/>
      <c r="E520" s="307"/>
      <c r="F520" s="307"/>
    </row>
    <row r="521">
      <c r="C521" s="370"/>
      <c r="D521" s="370"/>
      <c r="E521" s="307"/>
      <c r="F521" s="307"/>
    </row>
    <row r="522">
      <c r="C522" s="370"/>
      <c r="D522" s="370"/>
      <c r="E522" s="307"/>
      <c r="F522" s="307"/>
    </row>
    <row r="523">
      <c r="C523" s="370"/>
      <c r="D523" s="370"/>
      <c r="E523" s="307"/>
      <c r="F523" s="307"/>
    </row>
    <row r="524">
      <c r="C524" s="370"/>
      <c r="D524" s="370"/>
      <c r="E524" s="307"/>
      <c r="F524" s="307"/>
    </row>
    <row r="525">
      <c r="C525" s="370"/>
      <c r="D525" s="370"/>
      <c r="E525" s="307"/>
      <c r="F525" s="307"/>
    </row>
    <row r="526">
      <c r="C526" s="370"/>
      <c r="D526" s="370"/>
      <c r="E526" s="307"/>
      <c r="F526" s="307"/>
    </row>
    <row r="527">
      <c r="C527" s="370"/>
      <c r="D527" s="370"/>
      <c r="E527" s="307"/>
      <c r="F527" s="307"/>
    </row>
    <row r="528">
      <c r="C528" s="370"/>
      <c r="D528" s="370"/>
      <c r="E528" s="307"/>
      <c r="F528" s="307"/>
    </row>
    <row r="529">
      <c r="C529" s="370"/>
      <c r="D529" s="370"/>
      <c r="E529" s="307"/>
      <c r="F529" s="307"/>
    </row>
    <row r="530">
      <c r="C530" s="370"/>
      <c r="D530" s="370"/>
      <c r="E530" s="307"/>
      <c r="F530" s="307"/>
    </row>
    <row r="531">
      <c r="C531" s="370"/>
      <c r="D531" s="370"/>
      <c r="E531" s="307"/>
      <c r="F531" s="307"/>
    </row>
    <row r="532">
      <c r="C532" s="370"/>
      <c r="D532" s="370"/>
      <c r="E532" s="307"/>
      <c r="F532" s="307"/>
    </row>
    <row r="533">
      <c r="C533" s="370"/>
      <c r="D533" s="370"/>
      <c r="E533" s="307"/>
      <c r="F533" s="307"/>
    </row>
    <row r="534">
      <c r="C534" s="370"/>
      <c r="D534" s="370"/>
      <c r="E534" s="307"/>
      <c r="F534" s="307"/>
    </row>
    <row r="535">
      <c r="C535" s="370"/>
      <c r="D535" s="370"/>
      <c r="E535" s="307"/>
      <c r="F535" s="307"/>
    </row>
    <row r="536">
      <c r="C536" s="370"/>
      <c r="D536" s="370"/>
      <c r="E536" s="307"/>
      <c r="F536" s="307"/>
    </row>
    <row r="537">
      <c r="C537" s="370"/>
      <c r="D537" s="370"/>
      <c r="E537" s="307"/>
      <c r="F537" s="307"/>
    </row>
    <row r="538">
      <c r="C538" s="370"/>
      <c r="D538" s="370"/>
      <c r="E538" s="307"/>
      <c r="F538" s="307"/>
    </row>
    <row r="539">
      <c r="C539" s="370"/>
      <c r="D539" s="370"/>
      <c r="E539" s="307"/>
      <c r="F539" s="307"/>
    </row>
    <row r="540">
      <c r="C540" s="370"/>
      <c r="D540" s="370"/>
      <c r="E540" s="307"/>
      <c r="F540" s="307"/>
    </row>
    <row r="541">
      <c r="C541" s="370"/>
      <c r="D541" s="370"/>
      <c r="E541" s="307"/>
      <c r="F541" s="307"/>
    </row>
    <row r="542">
      <c r="C542" s="370"/>
      <c r="D542" s="370"/>
      <c r="E542" s="307"/>
      <c r="F542" s="307"/>
    </row>
    <row r="543">
      <c r="C543" s="370"/>
      <c r="D543" s="370"/>
      <c r="E543" s="307"/>
      <c r="F543" s="307"/>
    </row>
    <row r="544">
      <c r="C544" s="370"/>
      <c r="D544" s="370"/>
      <c r="E544" s="307"/>
      <c r="F544" s="307"/>
    </row>
    <row r="545">
      <c r="C545" s="370"/>
      <c r="D545" s="370"/>
      <c r="E545" s="307"/>
      <c r="F545" s="307"/>
    </row>
    <row r="546">
      <c r="C546" s="370"/>
      <c r="D546" s="370"/>
      <c r="E546" s="307"/>
      <c r="F546" s="307"/>
    </row>
    <row r="547">
      <c r="C547" s="370"/>
      <c r="D547" s="370"/>
      <c r="E547" s="307"/>
      <c r="F547" s="307"/>
    </row>
    <row r="548">
      <c r="C548" s="370"/>
      <c r="D548" s="370"/>
      <c r="E548" s="307"/>
      <c r="F548" s="307"/>
    </row>
    <row r="549">
      <c r="C549" s="370"/>
      <c r="D549" s="370"/>
      <c r="E549" s="307"/>
      <c r="F549" s="307"/>
    </row>
    <row r="550">
      <c r="C550" s="370"/>
      <c r="D550" s="370"/>
      <c r="E550" s="307"/>
      <c r="F550" s="307"/>
    </row>
    <row r="551">
      <c r="C551" s="370"/>
      <c r="D551" s="370"/>
      <c r="E551" s="307"/>
      <c r="F551" s="307"/>
    </row>
    <row r="552">
      <c r="C552" s="370"/>
      <c r="D552" s="370"/>
      <c r="E552" s="307"/>
      <c r="F552" s="307"/>
    </row>
    <row r="553">
      <c r="C553" s="370"/>
      <c r="D553" s="370"/>
      <c r="E553" s="307"/>
      <c r="F553" s="307"/>
    </row>
    <row r="554">
      <c r="C554" s="370"/>
      <c r="D554" s="370"/>
      <c r="E554" s="307"/>
      <c r="F554" s="307"/>
    </row>
    <row r="555">
      <c r="C555" s="370"/>
      <c r="D555" s="370"/>
      <c r="E555" s="307"/>
      <c r="F555" s="307"/>
    </row>
    <row r="556">
      <c r="C556" s="370"/>
      <c r="D556" s="370"/>
      <c r="E556" s="307"/>
      <c r="F556" s="307"/>
    </row>
    <row r="557">
      <c r="C557" s="370"/>
      <c r="D557" s="370"/>
      <c r="E557" s="307"/>
      <c r="F557" s="307"/>
    </row>
    <row r="558">
      <c r="C558" s="370"/>
      <c r="D558" s="370"/>
      <c r="E558" s="307"/>
      <c r="F558" s="307"/>
    </row>
    <row r="559">
      <c r="C559" s="370"/>
      <c r="D559" s="370"/>
      <c r="E559" s="307"/>
      <c r="F559" s="307"/>
    </row>
    <row r="560">
      <c r="C560" s="370"/>
      <c r="D560" s="370"/>
      <c r="E560" s="307"/>
      <c r="F560" s="307"/>
    </row>
    <row r="561">
      <c r="C561" s="370"/>
      <c r="D561" s="370"/>
      <c r="E561" s="307"/>
      <c r="F561" s="307"/>
    </row>
    <row r="562">
      <c r="C562" s="370"/>
      <c r="D562" s="370"/>
      <c r="E562" s="307"/>
      <c r="F562" s="307"/>
    </row>
    <row r="563">
      <c r="C563" s="370"/>
      <c r="D563" s="370"/>
      <c r="E563" s="307"/>
      <c r="F563" s="307"/>
    </row>
    <row r="564">
      <c r="C564" s="370"/>
      <c r="D564" s="370"/>
      <c r="E564" s="307"/>
      <c r="F564" s="307"/>
    </row>
    <row r="565">
      <c r="C565" s="370"/>
      <c r="D565" s="370"/>
      <c r="E565" s="307"/>
      <c r="F565" s="307"/>
    </row>
    <row r="566">
      <c r="C566" s="370"/>
      <c r="D566" s="370"/>
      <c r="E566" s="307"/>
      <c r="F566" s="307"/>
    </row>
    <row r="567">
      <c r="C567" s="370"/>
      <c r="D567" s="370"/>
      <c r="E567" s="307"/>
      <c r="F567" s="307"/>
    </row>
    <row r="568">
      <c r="C568" s="370"/>
      <c r="D568" s="370"/>
      <c r="E568" s="307"/>
      <c r="F568" s="307"/>
    </row>
    <row r="569">
      <c r="C569" s="370"/>
      <c r="D569" s="370"/>
      <c r="E569" s="307"/>
      <c r="F569" s="307"/>
    </row>
    <row r="570">
      <c r="C570" s="370"/>
      <c r="D570" s="370"/>
      <c r="E570" s="307"/>
      <c r="F570" s="307"/>
    </row>
    <row r="571">
      <c r="C571" s="370"/>
      <c r="D571" s="370"/>
      <c r="E571" s="307"/>
      <c r="F571" s="307"/>
    </row>
    <row r="572">
      <c r="C572" s="370"/>
      <c r="D572" s="370"/>
      <c r="E572" s="307"/>
      <c r="F572" s="307"/>
    </row>
    <row r="573">
      <c r="C573" s="370"/>
      <c r="D573" s="370"/>
      <c r="E573" s="307"/>
      <c r="F573" s="307"/>
    </row>
    <row r="574">
      <c r="C574" s="370"/>
      <c r="D574" s="370"/>
      <c r="E574" s="307"/>
      <c r="F574" s="307"/>
    </row>
    <row r="575">
      <c r="C575" s="370"/>
      <c r="D575" s="370"/>
      <c r="E575" s="307"/>
      <c r="F575" s="307"/>
    </row>
    <row r="576">
      <c r="C576" s="370"/>
      <c r="D576" s="370"/>
      <c r="E576" s="307"/>
      <c r="F576" s="307"/>
    </row>
    <row r="577">
      <c r="C577" s="370"/>
      <c r="D577" s="370"/>
      <c r="E577" s="307"/>
      <c r="F577" s="307"/>
    </row>
    <row r="578">
      <c r="C578" s="370"/>
      <c r="D578" s="370"/>
      <c r="E578" s="307"/>
      <c r="F578" s="307"/>
    </row>
    <row r="579">
      <c r="C579" s="370"/>
      <c r="D579" s="370"/>
      <c r="E579" s="307"/>
      <c r="F579" s="307"/>
    </row>
    <row r="580">
      <c r="C580" s="370"/>
      <c r="D580" s="370"/>
      <c r="E580" s="307"/>
      <c r="F580" s="307"/>
    </row>
    <row r="581">
      <c r="C581" s="370"/>
      <c r="D581" s="370"/>
      <c r="E581" s="307"/>
      <c r="F581" s="307"/>
    </row>
    <row r="582">
      <c r="C582" s="370"/>
      <c r="D582" s="370"/>
      <c r="E582" s="307"/>
      <c r="F582" s="307"/>
    </row>
    <row r="583">
      <c r="C583" s="370"/>
      <c r="D583" s="370"/>
      <c r="E583" s="307"/>
      <c r="F583" s="307"/>
    </row>
    <row r="584">
      <c r="C584" s="370"/>
      <c r="D584" s="370"/>
      <c r="E584" s="307"/>
      <c r="F584" s="307"/>
    </row>
    <row r="585">
      <c r="C585" s="370"/>
      <c r="D585" s="370"/>
      <c r="E585" s="307"/>
      <c r="F585" s="307"/>
    </row>
    <row r="586">
      <c r="C586" s="370"/>
      <c r="D586" s="370"/>
      <c r="E586" s="307"/>
      <c r="F586" s="307"/>
    </row>
    <row r="587">
      <c r="C587" s="370"/>
      <c r="D587" s="370"/>
      <c r="E587" s="307"/>
      <c r="F587" s="307"/>
    </row>
    <row r="588">
      <c r="C588" s="370"/>
      <c r="D588" s="370"/>
      <c r="E588" s="307"/>
      <c r="F588" s="307"/>
    </row>
    <row r="589">
      <c r="C589" s="370"/>
      <c r="D589" s="370"/>
      <c r="E589" s="307"/>
      <c r="F589" s="307"/>
    </row>
    <row r="590">
      <c r="C590" s="370"/>
      <c r="D590" s="370"/>
      <c r="E590" s="307"/>
      <c r="F590" s="307"/>
    </row>
    <row r="591">
      <c r="C591" s="370"/>
      <c r="D591" s="370"/>
      <c r="E591" s="307"/>
      <c r="F591" s="307"/>
    </row>
    <row r="592">
      <c r="C592" s="370"/>
      <c r="D592" s="370"/>
      <c r="E592" s="307"/>
      <c r="F592" s="307"/>
    </row>
    <row r="593">
      <c r="C593" s="370"/>
      <c r="D593" s="370"/>
      <c r="E593" s="307"/>
      <c r="F593" s="307"/>
    </row>
    <row r="594">
      <c r="C594" s="370"/>
      <c r="D594" s="370"/>
      <c r="E594" s="307"/>
      <c r="F594" s="307"/>
    </row>
    <row r="595">
      <c r="C595" s="370"/>
      <c r="D595" s="370"/>
      <c r="E595" s="307"/>
      <c r="F595" s="307"/>
    </row>
    <row r="596">
      <c r="C596" s="370"/>
      <c r="D596" s="370"/>
      <c r="E596" s="307"/>
      <c r="F596" s="307"/>
    </row>
    <row r="597">
      <c r="C597" s="370"/>
      <c r="D597" s="370"/>
      <c r="E597" s="307"/>
      <c r="F597" s="307"/>
    </row>
    <row r="598">
      <c r="C598" s="370"/>
      <c r="D598" s="370"/>
      <c r="E598" s="307"/>
      <c r="F598" s="307"/>
    </row>
    <row r="599">
      <c r="C599" s="370"/>
      <c r="D599" s="370"/>
      <c r="E599" s="307"/>
      <c r="F599" s="307"/>
    </row>
    <row r="600">
      <c r="C600" s="370"/>
      <c r="D600" s="370"/>
      <c r="E600" s="307"/>
      <c r="F600" s="307"/>
    </row>
    <row r="601">
      <c r="C601" s="370"/>
      <c r="D601" s="370"/>
      <c r="E601" s="307"/>
      <c r="F601" s="307"/>
    </row>
    <row r="602">
      <c r="C602" s="370"/>
      <c r="D602" s="370"/>
      <c r="E602" s="307"/>
      <c r="F602" s="307"/>
    </row>
    <row r="603">
      <c r="C603" s="370"/>
      <c r="D603" s="370"/>
      <c r="E603" s="307"/>
      <c r="F603" s="307"/>
    </row>
    <row r="604">
      <c r="C604" s="370"/>
      <c r="D604" s="370"/>
      <c r="E604" s="307"/>
      <c r="F604" s="307"/>
    </row>
    <row r="605">
      <c r="C605" s="370"/>
      <c r="D605" s="370"/>
      <c r="E605" s="307"/>
      <c r="F605" s="307"/>
    </row>
    <row r="606">
      <c r="C606" s="370"/>
      <c r="D606" s="370"/>
      <c r="E606" s="307"/>
      <c r="F606" s="307"/>
    </row>
    <row r="607">
      <c r="C607" s="370"/>
      <c r="D607" s="370"/>
      <c r="E607" s="307"/>
      <c r="F607" s="307"/>
    </row>
    <row r="608">
      <c r="C608" s="370"/>
      <c r="D608" s="370"/>
      <c r="E608" s="307"/>
      <c r="F608" s="307"/>
    </row>
    <row r="609">
      <c r="C609" s="370"/>
      <c r="D609" s="370"/>
      <c r="E609" s="307"/>
      <c r="F609" s="307"/>
    </row>
    <row r="610">
      <c r="C610" s="370"/>
      <c r="D610" s="370"/>
      <c r="E610" s="307"/>
      <c r="F610" s="307"/>
    </row>
    <row r="611">
      <c r="C611" s="370"/>
      <c r="D611" s="370"/>
      <c r="E611" s="307"/>
      <c r="F611" s="307"/>
    </row>
    <row r="612">
      <c r="C612" s="370"/>
      <c r="D612" s="370"/>
      <c r="E612" s="307"/>
      <c r="F612" s="307"/>
    </row>
    <row r="613">
      <c r="C613" s="370"/>
      <c r="D613" s="370"/>
      <c r="E613" s="307"/>
      <c r="F613" s="307"/>
    </row>
    <row r="614">
      <c r="C614" s="370"/>
      <c r="D614" s="370"/>
      <c r="E614" s="307"/>
      <c r="F614" s="307"/>
    </row>
    <row r="615">
      <c r="C615" s="370"/>
      <c r="D615" s="370"/>
      <c r="E615" s="307"/>
      <c r="F615" s="307"/>
    </row>
    <row r="616">
      <c r="C616" s="370"/>
      <c r="D616" s="370"/>
      <c r="E616" s="307"/>
      <c r="F616" s="307"/>
    </row>
    <row r="617">
      <c r="C617" s="370"/>
      <c r="D617" s="370"/>
      <c r="E617" s="307"/>
      <c r="F617" s="307"/>
    </row>
    <row r="618">
      <c r="C618" s="370"/>
      <c r="D618" s="370"/>
      <c r="E618" s="307"/>
      <c r="F618" s="307"/>
    </row>
    <row r="619">
      <c r="C619" s="370"/>
      <c r="D619" s="370"/>
      <c r="E619" s="307"/>
      <c r="F619" s="307"/>
    </row>
    <row r="620">
      <c r="C620" s="370"/>
      <c r="D620" s="370"/>
      <c r="E620" s="307"/>
      <c r="F620" s="307"/>
    </row>
    <row r="621">
      <c r="C621" s="370"/>
      <c r="D621" s="370"/>
      <c r="E621" s="307"/>
      <c r="F621" s="307"/>
    </row>
    <row r="622">
      <c r="C622" s="370"/>
      <c r="D622" s="370"/>
      <c r="E622" s="307"/>
      <c r="F622" s="307"/>
    </row>
    <row r="623">
      <c r="C623" s="370"/>
      <c r="D623" s="370"/>
      <c r="E623" s="307"/>
      <c r="F623" s="307"/>
    </row>
    <row r="624">
      <c r="C624" s="370"/>
      <c r="D624" s="370"/>
      <c r="E624" s="307"/>
      <c r="F624" s="307"/>
    </row>
    <row r="625">
      <c r="C625" s="370"/>
      <c r="D625" s="370"/>
      <c r="E625" s="307"/>
      <c r="F625" s="307"/>
    </row>
    <row r="626">
      <c r="C626" s="370"/>
      <c r="D626" s="370"/>
      <c r="E626" s="307"/>
      <c r="F626" s="307"/>
    </row>
    <row r="627">
      <c r="C627" s="370"/>
      <c r="D627" s="370"/>
      <c r="E627" s="307"/>
      <c r="F627" s="307"/>
    </row>
    <row r="628">
      <c r="C628" s="370"/>
      <c r="D628" s="370"/>
      <c r="E628" s="307"/>
      <c r="F628" s="307"/>
    </row>
    <row r="629">
      <c r="C629" s="370"/>
      <c r="D629" s="370"/>
      <c r="E629" s="307"/>
      <c r="F629" s="307"/>
    </row>
    <row r="630">
      <c r="C630" s="370"/>
      <c r="D630" s="370"/>
      <c r="E630" s="307"/>
      <c r="F630" s="307"/>
    </row>
    <row r="631">
      <c r="C631" s="370"/>
      <c r="D631" s="370"/>
      <c r="E631" s="307"/>
      <c r="F631" s="307"/>
    </row>
    <row r="632">
      <c r="C632" s="370"/>
      <c r="D632" s="370"/>
      <c r="E632" s="307"/>
      <c r="F632" s="307"/>
    </row>
    <row r="633">
      <c r="C633" s="370"/>
      <c r="D633" s="370"/>
      <c r="E633" s="307"/>
      <c r="F633" s="307"/>
    </row>
    <row r="634">
      <c r="C634" s="370"/>
      <c r="D634" s="370"/>
      <c r="E634" s="307"/>
      <c r="F634" s="307"/>
    </row>
    <row r="635">
      <c r="C635" s="370"/>
      <c r="D635" s="370"/>
      <c r="E635" s="307"/>
      <c r="F635" s="307"/>
    </row>
    <row r="636">
      <c r="C636" s="370"/>
      <c r="D636" s="370"/>
      <c r="E636" s="307"/>
      <c r="F636" s="307"/>
    </row>
    <row r="637">
      <c r="C637" s="370"/>
      <c r="D637" s="370"/>
      <c r="E637" s="307"/>
      <c r="F637" s="307"/>
    </row>
    <row r="638">
      <c r="C638" s="370"/>
      <c r="D638" s="370"/>
      <c r="E638" s="307"/>
      <c r="F638" s="307"/>
    </row>
    <row r="639">
      <c r="C639" s="370"/>
      <c r="D639" s="370"/>
      <c r="E639" s="307"/>
      <c r="F639" s="307"/>
    </row>
    <row r="640">
      <c r="C640" s="370"/>
      <c r="D640" s="370"/>
      <c r="E640" s="307"/>
      <c r="F640" s="307"/>
    </row>
    <row r="641">
      <c r="C641" s="370"/>
      <c r="D641" s="370"/>
      <c r="E641" s="307"/>
      <c r="F641" s="307"/>
    </row>
    <row r="642">
      <c r="C642" s="370"/>
      <c r="D642" s="370"/>
      <c r="E642" s="307"/>
      <c r="F642" s="307"/>
    </row>
    <row r="643">
      <c r="C643" s="370"/>
      <c r="D643" s="370"/>
      <c r="E643" s="307"/>
      <c r="F643" s="307"/>
    </row>
    <row r="644">
      <c r="C644" s="370"/>
      <c r="D644" s="370"/>
      <c r="E644" s="307"/>
      <c r="F644" s="307"/>
    </row>
    <row r="645">
      <c r="C645" s="370"/>
      <c r="D645" s="370"/>
      <c r="E645" s="307"/>
      <c r="F645" s="307"/>
    </row>
    <row r="646">
      <c r="C646" s="370"/>
      <c r="D646" s="370"/>
      <c r="E646" s="307"/>
      <c r="F646" s="307"/>
    </row>
    <row r="647">
      <c r="C647" s="370"/>
      <c r="D647" s="370"/>
      <c r="E647" s="307"/>
      <c r="F647" s="307"/>
    </row>
    <row r="648">
      <c r="C648" s="370"/>
      <c r="D648" s="370"/>
      <c r="E648" s="307"/>
      <c r="F648" s="307"/>
    </row>
    <row r="649">
      <c r="C649" s="370"/>
      <c r="D649" s="370"/>
      <c r="E649" s="307"/>
      <c r="F649" s="307"/>
    </row>
    <row r="650">
      <c r="C650" s="370"/>
      <c r="D650" s="370"/>
      <c r="E650" s="307"/>
      <c r="F650" s="307"/>
    </row>
    <row r="651">
      <c r="C651" s="370"/>
      <c r="D651" s="370"/>
      <c r="E651" s="307"/>
      <c r="F651" s="307"/>
    </row>
    <row r="652">
      <c r="C652" s="370"/>
      <c r="D652" s="370"/>
      <c r="E652" s="307"/>
      <c r="F652" s="307"/>
    </row>
    <row r="653">
      <c r="C653" s="370"/>
      <c r="D653" s="370"/>
      <c r="E653" s="307"/>
      <c r="F653" s="307"/>
    </row>
    <row r="654">
      <c r="C654" s="370"/>
      <c r="D654" s="370"/>
      <c r="E654" s="307"/>
      <c r="F654" s="307"/>
    </row>
    <row r="655">
      <c r="C655" s="370"/>
      <c r="D655" s="370"/>
      <c r="E655" s="307"/>
      <c r="F655" s="307"/>
    </row>
    <row r="656">
      <c r="C656" s="370"/>
      <c r="D656" s="370"/>
      <c r="E656" s="307"/>
      <c r="F656" s="307"/>
    </row>
    <row r="657">
      <c r="C657" s="370"/>
      <c r="D657" s="370"/>
      <c r="E657" s="307"/>
      <c r="F657" s="307"/>
    </row>
    <row r="658">
      <c r="C658" s="370"/>
      <c r="D658" s="370"/>
      <c r="E658" s="307"/>
      <c r="F658" s="307"/>
    </row>
    <row r="659">
      <c r="C659" s="370"/>
      <c r="D659" s="370"/>
      <c r="E659" s="307"/>
      <c r="F659" s="307"/>
    </row>
    <row r="660">
      <c r="C660" s="370"/>
      <c r="D660" s="370"/>
      <c r="E660" s="307"/>
      <c r="F660" s="307"/>
    </row>
    <row r="661">
      <c r="C661" s="370"/>
      <c r="D661" s="370"/>
      <c r="E661" s="307"/>
      <c r="F661" s="307"/>
    </row>
    <row r="662">
      <c r="C662" s="370"/>
      <c r="D662" s="370"/>
      <c r="E662" s="307"/>
      <c r="F662" s="307"/>
    </row>
    <row r="663">
      <c r="C663" s="370"/>
      <c r="D663" s="370"/>
      <c r="E663" s="307"/>
      <c r="F663" s="307"/>
    </row>
    <row r="664">
      <c r="C664" s="370"/>
      <c r="D664" s="370"/>
      <c r="E664" s="307"/>
      <c r="F664" s="307"/>
    </row>
    <row r="665">
      <c r="C665" s="370"/>
      <c r="D665" s="370"/>
      <c r="E665" s="307"/>
      <c r="F665" s="307"/>
    </row>
    <row r="666">
      <c r="C666" s="370"/>
      <c r="D666" s="370"/>
      <c r="E666" s="307"/>
      <c r="F666" s="307"/>
    </row>
    <row r="667">
      <c r="C667" s="370"/>
      <c r="D667" s="370"/>
      <c r="E667" s="307"/>
      <c r="F667" s="307"/>
    </row>
    <row r="668">
      <c r="C668" s="370"/>
      <c r="D668" s="370"/>
      <c r="E668" s="307"/>
      <c r="F668" s="307"/>
    </row>
    <row r="669">
      <c r="C669" s="370"/>
      <c r="D669" s="370"/>
      <c r="E669" s="307"/>
      <c r="F669" s="307"/>
    </row>
    <row r="670">
      <c r="C670" s="370"/>
      <c r="D670" s="370"/>
      <c r="E670" s="307"/>
      <c r="F670" s="307"/>
    </row>
    <row r="671">
      <c r="C671" s="370"/>
      <c r="D671" s="370"/>
      <c r="E671" s="307"/>
      <c r="F671" s="307"/>
    </row>
    <row r="672">
      <c r="C672" s="370"/>
      <c r="D672" s="370"/>
      <c r="E672" s="307"/>
      <c r="F672" s="307"/>
    </row>
    <row r="673">
      <c r="C673" s="370"/>
      <c r="D673" s="370"/>
      <c r="E673" s="307"/>
      <c r="F673" s="307"/>
    </row>
    <row r="674">
      <c r="C674" s="370"/>
      <c r="D674" s="370"/>
      <c r="E674" s="307"/>
      <c r="F674" s="307"/>
    </row>
    <row r="675">
      <c r="C675" s="370"/>
      <c r="D675" s="370"/>
      <c r="E675" s="307"/>
      <c r="F675" s="307"/>
    </row>
    <row r="676">
      <c r="C676" s="370"/>
      <c r="D676" s="370"/>
      <c r="E676" s="307"/>
      <c r="F676" s="307"/>
    </row>
    <row r="677">
      <c r="C677" s="370"/>
      <c r="D677" s="370"/>
      <c r="E677" s="307"/>
      <c r="F677" s="307"/>
    </row>
    <row r="678">
      <c r="C678" s="370"/>
      <c r="D678" s="370"/>
      <c r="E678" s="307"/>
      <c r="F678" s="307"/>
    </row>
    <row r="679">
      <c r="C679" s="370"/>
      <c r="D679" s="370"/>
      <c r="E679" s="307"/>
      <c r="F679" s="307"/>
    </row>
    <row r="680">
      <c r="C680" s="370"/>
      <c r="D680" s="370"/>
      <c r="E680" s="307"/>
      <c r="F680" s="307"/>
    </row>
    <row r="681">
      <c r="C681" s="370"/>
      <c r="D681" s="370"/>
      <c r="E681" s="307"/>
      <c r="F681" s="307"/>
    </row>
    <row r="682">
      <c r="C682" s="370"/>
      <c r="D682" s="370"/>
      <c r="E682" s="307"/>
      <c r="F682" s="307"/>
    </row>
    <row r="683">
      <c r="C683" s="370"/>
      <c r="D683" s="370"/>
      <c r="E683" s="307"/>
      <c r="F683" s="307"/>
    </row>
    <row r="684">
      <c r="C684" s="370"/>
      <c r="D684" s="370"/>
      <c r="E684" s="307"/>
      <c r="F684" s="307"/>
    </row>
    <row r="685">
      <c r="C685" s="370"/>
      <c r="D685" s="370"/>
      <c r="E685" s="307"/>
      <c r="F685" s="307"/>
    </row>
    <row r="686">
      <c r="C686" s="370"/>
      <c r="D686" s="370"/>
      <c r="E686" s="307"/>
      <c r="F686" s="307"/>
    </row>
    <row r="687">
      <c r="C687" s="370"/>
      <c r="D687" s="370"/>
      <c r="E687" s="307"/>
      <c r="F687" s="307"/>
    </row>
    <row r="688">
      <c r="C688" s="370"/>
      <c r="D688" s="370"/>
      <c r="E688" s="307"/>
      <c r="F688" s="307"/>
    </row>
    <row r="689">
      <c r="C689" s="370"/>
      <c r="D689" s="370"/>
      <c r="E689" s="307"/>
      <c r="F689" s="307"/>
    </row>
    <row r="690">
      <c r="C690" s="370"/>
      <c r="D690" s="370"/>
      <c r="E690" s="307"/>
      <c r="F690" s="307"/>
    </row>
    <row r="691">
      <c r="C691" s="370"/>
      <c r="D691" s="370"/>
      <c r="E691" s="307"/>
      <c r="F691" s="307"/>
    </row>
    <row r="692">
      <c r="C692" s="370"/>
      <c r="D692" s="370"/>
      <c r="E692" s="307"/>
      <c r="F692" s="307"/>
    </row>
    <row r="693">
      <c r="C693" s="370"/>
      <c r="D693" s="370"/>
      <c r="E693" s="307"/>
      <c r="F693" s="307"/>
    </row>
    <row r="694">
      <c r="C694" s="370"/>
      <c r="D694" s="370"/>
      <c r="E694" s="307"/>
      <c r="F694" s="307"/>
    </row>
    <row r="695">
      <c r="C695" s="370"/>
      <c r="D695" s="370"/>
      <c r="E695" s="307"/>
      <c r="F695" s="307"/>
    </row>
    <row r="696">
      <c r="C696" s="370"/>
      <c r="D696" s="370"/>
      <c r="E696" s="307"/>
      <c r="F696" s="307"/>
    </row>
    <row r="697">
      <c r="C697" s="370"/>
      <c r="D697" s="370"/>
      <c r="E697" s="307"/>
      <c r="F697" s="307"/>
    </row>
    <row r="698">
      <c r="C698" s="370"/>
      <c r="D698" s="370"/>
      <c r="E698" s="307"/>
      <c r="F698" s="307"/>
    </row>
    <row r="699">
      <c r="C699" s="370"/>
      <c r="D699" s="370"/>
      <c r="E699" s="307"/>
      <c r="F699" s="307"/>
    </row>
    <row r="700">
      <c r="C700" s="370"/>
      <c r="D700" s="370"/>
      <c r="E700" s="307"/>
      <c r="F700" s="307"/>
    </row>
    <row r="701">
      <c r="C701" s="370"/>
      <c r="D701" s="370"/>
      <c r="E701" s="307"/>
      <c r="F701" s="307"/>
    </row>
    <row r="702">
      <c r="C702" s="370"/>
      <c r="D702" s="370"/>
      <c r="E702" s="307"/>
      <c r="F702" s="307"/>
    </row>
    <row r="703">
      <c r="C703" s="370"/>
      <c r="D703" s="370"/>
      <c r="E703" s="307"/>
      <c r="F703" s="307"/>
    </row>
    <row r="704">
      <c r="C704" s="370"/>
      <c r="D704" s="370"/>
      <c r="E704" s="307"/>
      <c r="F704" s="307"/>
    </row>
    <row r="705">
      <c r="C705" s="370"/>
      <c r="D705" s="370"/>
      <c r="E705" s="307"/>
      <c r="F705" s="307"/>
    </row>
    <row r="706">
      <c r="C706" s="370"/>
      <c r="D706" s="370"/>
      <c r="E706" s="307"/>
      <c r="F706" s="307"/>
    </row>
    <row r="707">
      <c r="C707" s="370"/>
      <c r="D707" s="370"/>
      <c r="E707" s="307"/>
      <c r="F707" s="307"/>
    </row>
    <row r="708">
      <c r="C708" s="370"/>
      <c r="D708" s="370"/>
      <c r="E708" s="307"/>
      <c r="F708" s="307"/>
    </row>
    <row r="709">
      <c r="C709" s="370"/>
      <c r="D709" s="370"/>
      <c r="E709" s="307"/>
      <c r="F709" s="307"/>
    </row>
    <row r="710">
      <c r="C710" s="370"/>
      <c r="D710" s="370"/>
      <c r="E710" s="307"/>
      <c r="F710" s="307"/>
    </row>
    <row r="711">
      <c r="C711" s="370"/>
      <c r="D711" s="370"/>
      <c r="E711" s="307"/>
      <c r="F711" s="307"/>
    </row>
    <row r="712">
      <c r="C712" s="370"/>
      <c r="D712" s="370"/>
      <c r="E712" s="307"/>
      <c r="F712" s="307"/>
    </row>
    <row r="713">
      <c r="C713" s="370"/>
      <c r="D713" s="370"/>
      <c r="E713" s="307"/>
      <c r="F713" s="307"/>
    </row>
    <row r="714">
      <c r="C714" s="370"/>
      <c r="D714" s="370"/>
      <c r="E714" s="307"/>
      <c r="F714" s="307"/>
    </row>
    <row r="715">
      <c r="C715" s="370"/>
      <c r="D715" s="370"/>
      <c r="E715" s="307"/>
      <c r="F715" s="307"/>
    </row>
    <row r="716">
      <c r="C716" s="370"/>
      <c r="D716" s="370"/>
      <c r="E716" s="307"/>
      <c r="F716" s="307"/>
    </row>
    <row r="717">
      <c r="C717" s="370"/>
      <c r="D717" s="370"/>
      <c r="E717" s="307"/>
      <c r="F717" s="307"/>
    </row>
    <row r="718">
      <c r="C718" s="370"/>
      <c r="D718" s="370"/>
      <c r="E718" s="307"/>
      <c r="F718" s="307"/>
    </row>
    <row r="719">
      <c r="C719" s="370"/>
      <c r="D719" s="370"/>
      <c r="E719" s="307"/>
      <c r="F719" s="307"/>
    </row>
    <row r="720">
      <c r="C720" s="370"/>
      <c r="D720" s="370"/>
      <c r="E720" s="307"/>
      <c r="F720" s="307"/>
    </row>
    <row r="721">
      <c r="C721" s="370"/>
      <c r="D721" s="370"/>
      <c r="E721" s="307"/>
      <c r="F721" s="307"/>
    </row>
    <row r="722">
      <c r="C722" s="370"/>
      <c r="D722" s="370"/>
      <c r="E722" s="307"/>
      <c r="F722" s="307"/>
    </row>
    <row r="723">
      <c r="C723" s="370"/>
      <c r="D723" s="370"/>
      <c r="E723" s="307"/>
      <c r="F723" s="307"/>
    </row>
    <row r="724">
      <c r="C724" s="370"/>
      <c r="D724" s="370"/>
      <c r="E724" s="307"/>
      <c r="F724" s="307"/>
    </row>
    <row r="725">
      <c r="C725" s="370"/>
      <c r="D725" s="370"/>
      <c r="E725" s="307"/>
      <c r="F725" s="307"/>
    </row>
    <row r="726">
      <c r="C726" s="370"/>
      <c r="D726" s="370"/>
      <c r="E726" s="307"/>
      <c r="F726" s="307"/>
    </row>
    <row r="727">
      <c r="C727" s="370"/>
      <c r="D727" s="370"/>
      <c r="E727" s="307"/>
      <c r="F727" s="307"/>
    </row>
    <row r="728">
      <c r="C728" s="370"/>
      <c r="D728" s="370"/>
      <c r="E728" s="307"/>
      <c r="F728" s="307"/>
    </row>
    <row r="729">
      <c r="C729" s="370"/>
      <c r="D729" s="370"/>
      <c r="E729" s="307"/>
      <c r="F729" s="307"/>
    </row>
    <row r="730">
      <c r="C730" s="370"/>
      <c r="D730" s="370"/>
      <c r="E730" s="307"/>
      <c r="F730" s="307"/>
    </row>
    <row r="731">
      <c r="C731" s="370"/>
      <c r="D731" s="370"/>
      <c r="E731" s="307"/>
      <c r="F731" s="307"/>
    </row>
    <row r="732">
      <c r="C732" s="370"/>
      <c r="D732" s="370"/>
      <c r="E732" s="307"/>
      <c r="F732" s="307"/>
    </row>
    <row r="733">
      <c r="C733" s="370"/>
      <c r="D733" s="370"/>
      <c r="E733" s="307"/>
      <c r="F733" s="307"/>
    </row>
    <row r="734">
      <c r="C734" s="370"/>
      <c r="D734" s="370"/>
      <c r="E734" s="307"/>
      <c r="F734" s="307"/>
    </row>
    <row r="735">
      <c r="C735" s="370"/>
      <c r="D735" s="370"/>
      <c r="E735" s="307"/>
      <c r="F735" s="307"/>
    </row>
    <row r="736">
      <c r="C736" s="370"/>
      <c r="D736" s="370"/>
      <c r="E736" s="307"/>
      <c r="F736" s="307"/>
    </row>
    <row r="737">
      <c r="C737" s="370"/>
      <c r="D737" s="370"/>
      <c r="E737" s="307"/>
      <c r="F737" s="307"/>
    </row>
    <row r="738">
      <c r="C738" s="370"/>
      <c r="D738" s="370"/>
      <c r="E738" s="307"/>
      <c r="F738" s="307"/>
    </row>
    <row r="739">
      <c r="C739" s="370"/>
      <c r="D739" s="370"/>
      <c r="E739" s="307"/>
      <c r="F739" s="307"/>
    </row>
    <row r="740">
      <c r="C740" s="370"/>
      <c r="D740" s="370"/>
      <c r="E740" s="307"/>
      <c r="F740" s="307"/>
    </row>
    <row r="741">
      <c r="C741" s="370"/>
      <c r="D741" s="370"/>
      <c r="E741" s="307"/>
      <c r="F741" s="307"/>
    </row>
    <row r="742">
      <c r="C742" s="370"/>
      <c r="D742" s="370"/>
      <c r="E742" s="307"/>
      <c r="F742" s="307"/>
    </row>
    <row r="743">
      <c r="C743" s="370"/>
      <c r="D743" s="370"/>
      <c r="E743" s="307"/>
      <c r="F743" s="307"/>
    </row>
    <row r="744">
      <c r="C744" s="370"/>
      <c r="D744" s="370"/>
      <c r="E744" s="307"/>
      <c r="F744" s="307"/>
    </row>
    <row r="745">
      <c r="C745" s="370"/>
      <c r="D745" s="370"/>
      <c r="E745" s="307"/>
      <c r="F745" s="307"/>
    </row>
    <row r="746">
      <c r="C746" s="370"/>
      <c r="D746" s="370"/>
      <c r="E746" s="307"/>
      <c r="F746" s="307"/>
    </row>
    <row r="747">
      <c r="C747" s="370"/>
      <c r="D747" s="370"/>
      <c r="E747" s="307"/>
      <c r="F747" s="307"/>
    </row>
    <row r="748">
      <c r="C748" s="370"/>
      <c r="D748" s="370"/>
      <c r="E748" s="307"/>
      <c r="F748" s="307"/>
    </row>
    <row r="749">
      <c r="C749" s="370"/>
      <c r="D749" s="370"/>
      <c r="E749" s="307"/>
      <c r="F749" s="307"/>
    </row>
    <row r="750">
      <c r="C750" s="370"/>
      <c r="D750" s="370"/>
      <c r="E750" s="307"/>
      <c r="F750" s="307"/>
    </row>
    <row r="751">
      <c r="C751" s="370"/>
      <c r="D751" s="370"/>
      <c r="E751" s="307"/>
      <c r="F751" s="307"/>
    </row>
    <row r="752">
      <c r="C752" s="370"/>
      <c r="D752" s="370"/>
      <c r="E752" s="307"/>
      <c r="F752" s="307"/>
    </row>
    <row r="753">
      <c r="C753" s="370"/>
      <c r="D753" s="370"/>
      <c r="E753" s="307"/>
      <c r="F753" s="307"/>
    </row>
    <row r="754">
      <c r="C754" s="370"/>
      <c r="D754" s="370"/>
      <c r="E754" s="307"/>
      <c r="F754" s="307"/>
    </row>
    <row r="755">
      <c r="C755" s="370"/>
      <c r="D755" s="370"/>
      <c r="E755" s="307"/>
      <c r="F755" s="307"/>
    </row>
    <row r="756">
      <c r="C756" s="370"/>
      <c r="D756" s="370"/>
      <c r="E756" s="307"/>
      <c r="F756" s="307"/>
    </row>
    <row r="757">
      <c r="C757" s="370"/>
      <c r="D757" s="370"/>
      <c r="E757" s="307"/>
      <c r="F757" s="307"/>
    </row>
    <row r="758">
      <c r="C758" s="370"/>
      <c r="D758" s="370"/>
      <c r="E758" s="307"/>
      <c r="F758" s="307"/>
    </row>
    <row r="759">
      <c r="C759" s="370"/>
      <c r="D759" s="370"/>
      <c r="E759" s="307"/>
      <c r="F759" s="307"/>
    </row>
    <row r="760">
      <c r="C760" s="370"/>
      <c r="D760" s="370"/>
      <c r="E760" s="307"/>
      <c r="F760" s="307"/>
    </row>
    <row r="761">
      <c r="C761" s="370"/>
      <c r="D761" s="370"/>
      <c r="E761" s="307"/>
      <c r="F761" s="307"/>
    </row>
    <row r="762">
      <c r="C762" s="370"/>
      <c r="D762" s="370"/>
      <c r="E762" s="307"/>
      <c r="F762" s="307"/>
    </row>
    <row r="763">
      <c r="C763" s="370"/>
      <c r="D763" s="370"/>
      <c r="E763" s="307"/>
      <c r="F763" s="307"/>
    </row>
    <row r="764">
      <c r="C764" s="370"/>
      <c r="D764" s="370"/>
      <c r="E764" s="307"/>
      <c r="F764" s="307"/>
    </row>
    <row r="765">
      <c r="C765" s="370"/>
      <c r="D765" s="370"/>
      <c r="E765" s="307"/>
      <c r="F765" s="307"/>
    </row>
    <row r="766">
      <c r="C766" s="370"/>
      <c r="D766" s="370"/>
      <c r="E766" s="307"/>
      <c r="F766" s="307"/>
    </row>
    <row r="767">
      <c r="C767" s="370"/>
      <c r="D767" s="370"/>
      <c r="E767" s="307"/>
      <c r="F767" s="307"/>
    </row>
    <row r="768">
      <c r="C768" s="370"/>
      <c r="D768" s="370"/>
      <c r="E768" s="307"/>
      <c r="F768" s="307"/>
    </row>
    <row r="769">
      <c r="C769" s="370"/>
      <c r="D769" s="370"/>
      <c r="E769" s="307"/>
      <c r="F769" s="307"/>
    </row>
    <row r="770">
      <c r="C770" s="370"/>
      <c r="D770" s="370"/>
      <c r="E770" s="307"/>
      <c r="F770" s="307"/>
    </row>
    <row r="771">
      <c r="C771" s="370"/>
      <c r="D771" s="370"/>
      <c r="E771" s="307"/>
      <c r="F771" s="307"/>
    </row>
    <row r="772">
      <c r="C772" s="370"/>
      <c r="D772" s="370"/>
      <c r="E772" s="307"/>
      <c r="F772" s="307"/>
    </row>
    <row r="773">
      <c r="C773" s="370"/>
      <c r="D773" s="370"/>
      <c r="E773" s="307"/>
      <c r="F773" s="307"/>
    </row>
    <row r="774">
      <c r="C774" s="370"/>
      <c r="D774" s="370"/>
      <c r="E774" s="307"/>
      <c r="F774" s="307"/>
    </row>
    <row r="775">
      <c r="C775" s="370"/>
      <c r="D775" s="370"/>
      <c r="E775" s="307"/>
      <c r="F775" s="307"/>
    </row>
    <row r="776">
      <c r="C776" s="370"/>
      <c r="D776" s="370"/>
      <c r="E776" s="307"/>
      <c r="F776" s="307"/>
    </row>
    <row r="777">
      <c r="C777" s="370"/>
      <c r="D777" s="370"/>
      <c r="E777" s="307"/>
      <c r="F777" s="307"/>
    </row>
    <row r="778">
      <c r="C778" s="370"/>
      <c r="D778" s="370"/>
      <c r="E778" s="307"/>
      <c r="F778" s="307"/>
    </row>
    <row r="779">
      <c r="C779" s="370"/>
      <c r="D779" s="370"/>
      <c r="E779" s="307"/>
      <c r="F779" s="307"/>
    </row>
    <row r="780">
      <c r="C780" s="370"/>
      <c r="D780" s="370"/>
      <c r="E780" s="307"/>
      <c r="F780" s="307"/>
    </row>
    <row r="781">
      <c r="C781" s="370"/>
      <c r="D781" s="370"/>
      <c r="E781" s="307"/>
      <c r="F781" s="307"/>
    </row>
    <row r="782">
      <c r="C782" s="370"/>
      <c r="D782" s="370"/>
      <c r="E782" s="307"/>
      <c r="F782" s="307"/>
    </row>
    <row r="783">
      <c r="C783" s="370"/>
      <c r="D783" s="370"/>
      <c r="E783" s="307"/>
      <c r="F783" s="307"/>
    </row>
    <row r="784">
      <c r="C784" s="370"/>
      <c r="D784" s="370"/>
      <c r="E784" s="307"/>
      <c r="F784" s="307"/>
    </row>
    <row r="785">
      <c r="C785" s="370"/>
      <c r="D785" s="370"/>
      <c r="E785" s="307"/>
      <c r="F785" s="307"/>
    </row>
    <row r="786">
      <c r="C786" s="370"/>
      <c r="D786" s="370"/>
      <c r="E786" s="307"/>
      <c r="F786" s="307"/>
    </row>
    <row r="787">
      <c r="C787" s="370"/>
      <c r="D787" s="370"/>
      <c r="E787" s="307"/>
      <c r="F787" s="307"/>
    </row>
    <row r="788">
      <c r="C788" s="370"/>
      <c r="D788" s="370"/>
      <c r="E788" s="307"/>
      <c r="F788" s="307"/>
    </row>
    <row r="789">
      <c r="C789" s="370"/>
      <c r="D789" s="370"/>
      <c r="E789" s="307"/>
      <c r="F789" s="307"/>
    </row>
    <row r="790">
      <c r="C790" s="370"/>
      <c r="D790" s="370"/>
      <c r="E790" s="307"/>
      <c r="F790" s="307"/>
    </row>
    <row r="791">
      <c r="C791" s="370"/>
      <c r="D791" s="370"/>
      <c r="E791" s="307"/>
      <c r="F791" s="307"/>
    </row>
    <row r="792">
      <c r="C792" s="370"/>
      <c r="D792" s="370"/>
      <c r="E792" s="307"/>
      <c r="F792" s="307"/>
    </row>
    <row r="793">
      <c r="C793" s="370"/>
      <c r="D793" s="370"/>
      <c r="E793" s="307"/>
      <c r="F793" s="307"/>
    </row>
    <row r="794">
      <c r="C794" s="370"/>
      <c r="D794" s="370"/>
      <c r="E794" s="307"/>
      <c r="F794" s="307"/>
    </row>
    <row r="795">
      <c r="C795" s="370"/>
      <c r="D795" s="370"/>
      <c r="E795" s="307"/>
      <c r="F795" s="307"/>
    </row>
    <row r="796">
      <c r="C796" s="370"/>
      <c r="D796" s="370"/>
      <c r="E796" s="307"/>
      <c r="F796" s="307"/>
    </row>
    <row r="797">
      <c r="C797" s="370"/>
      <c r="D797" s="370"/>
      <c r="E797" s="307"/>
      <c r="F797" s="307"/>
    </row>
    <row r="798">
      <c r="C798" s="370"/>
      <c r="D798" s="370"/>
      <c r="E798" s="307"/>
      <c r="F798" s="307"/>
    </row>
    <row r="799">
      <c r="C799" s="370"/>
      <c r="D799" s="370"/>
      <c r="E799" s="307"/>
      <c r="F799" s="307"/>
    </row>
    <row r="800">
      <c r="C800" s="370"/>
      <c r="D800" s="370"/>
      <c r="E800" s="307"/>
      <c r="F800" s="307"/>
    </row>
    <row r="801">
      <c r="C801" s="370"/>
      <c r="D801" s="370"/>
      <c r="E801" s="307"/>
      <c r="F801" s="307"/>
    </row>
    <row r="802">
      <c r="C802" s="370"/>
      <c r="D802" s="370"/>
      <c r="E802" s="307"/>
      <c r="F802" s="307"/>
    </row>
    <row r="803">
      <c r="C803" s="370"/>
      <c r="D803" s="370"/>
      <c r="E803" s="307"/>
      <c r="F803" s="307"/>
    </row>
    <row r="804">
      <c r="C804" s="370"/>
      <c r="D804" s="370"/>
      <c r="E804" s="307"/>
      <c r="F804" s="307"/>
    </row>
    <row r="805">
      <c r="C805" s="370"/>
      <c r="D805" s="370"/>
      <c r="E805" s="307"/>
      <c r="F805" s="307"/>
    </row>
    <row r="806">
      <c r="C806" s="370"/>
      <c r="D806" s="370"/>
      <c r="E806" s="307"/>
      <c r="F806" s="307"/>
    </row>
    <row r="807">
      <c r="C807" s="370"/>
      <c r="D807" s="370"/>
      <c r="E807" s="307"/>
      <c r="F807" s="307"/>
    </row>
    <row r="808">
      <c r="C808" s="370"/>
      <c r="D808" s="370"/>
      <c r="E808" s="307"/>
      <c r="F808" s="307"/>
    </row>
    <row r="809">
      <c r="C809" s="370"/>
      <c r="D809" s="370"/>
      <c r="E809" s="307"/>
      <c r="F809" s="307"/>
    </row>
    <row r="810">
      <c r="C810" s="370"/>
      <c r="D810" s="370"/>
      <c r="E810" s="307"/>
      <c r="F810" s="307"/>
    </row>
    <row r="811">
      <c r="C811" s="370"/>
      <c r="D811" s="370"/>
      <c r="E811" s="307"/>
      <c r="F811" s="307"/>
    </row>
    <row r="812">
      <c r="C812" s="370"/>
      <c r="D812" s="370"/>
      <c r="E812" s="307"/>
      <c r="F812" s="307"/>
    </row>
    <row r="813">
      <c r="C813" s="370"/>
      <c r="D813" s="370"/>
      <c r="E813" s="307"/>
      <c r="F813" s="307"/>
    </row>
    <row r="814">
      <c r="C814" s="370"/>
      <c r="D814" s="370"/>
      <c r="E814" s="307"/>
      <c r="F814" s="307"/>
    </row>
    <row r="815">
      <c r="C815" s="370"/>
      <c r="D815" s="370"/>
      <c r="E815" s="307"/>
      <c r="F815" s="307"/>
    </row>
    <row r="816">
      <c r="C816" s="370"/>
      <c r="D816" s="370"/>
      <c r="E816" s="307"/>
      <c r="F816" s="307"/>
    </row>
    <row r="817">
      <c r="C817" s="370"/>
      <c r="D817" s="370"/>
      <c r="E817" s="307"/>
      <c r="F817" s="307"/>
    </row>
    <row r="818">
      <c r="C818" s="370"/>
      <c r="D818" s="370"/>
      <c r="E818" s="307"/>
      <c r="F818" s="307"/>
    </row>
    <row r="819">
      <c r="C819" s="370"/>
      <c r="D819" s="370"/>
      <c r="E819" s="307"/>
      <c r="F819" s="307"/>
    </row>
    <row r="820">
      <c r="C820" s="370"/>
      <c r="D820" s="370"/>
      <c r="E820" s="307"/>
      <c r="F820" s="307"/>
    </row>
    <row r="821">
      <c r="C821" s="370"/>
      <c r="D821" s="370"/>
      <c r="E821" s="307"/>
      <c r="F821" s="307"/>
    </row>
    <row r="822">
      <c r="C822" s="370"/>
      <c r="D822" s="370"/>
      <c r="E822" s="307"/>
      <c r="F822" s="307"/>
    </row>
    <row r="823">
      <c r="C823" s="370"/>
      <c r="D823" s="370"/>
      <c r="E823" s="307"/>
      <c r="F823" s="307"/>
    </row>
    <row r="824">
      <c r="C824" s="370"/>
      <c r="D824" s="370"/>
      <c r="E824" s="307"/>
      <c r="F824" s="307"/>
    </row>
    <row r="825">
      <c r="C825" s="370"/>
      <c r="D825" s="370"/>
      <c r="E825" s="307"/>
      <c r="F825" s="307"/>
    </row>
    <row r="826">
      <c r="C826" s="370"/>
      <c r="D826" s="370"/>
      <c r="E826" s="307"/>
      <c r="F826" s="307"/>
    </row>
    <row r="827">
      <c r="C827" s="370"/>
      <c r="D827" s="370"/>
      <c r="E827" s="307"/>
      <c r="F827" s="307"/>
    </row>
    <row r="828">
      <c r="C828" s="370"/>
      <c r="D828" s="370"/>
      <c r="E828" s="307"/>
      <c r="F828" s="307"/>
    </row>
    <row r="829">
      <c r="C829" s="370"/>
      <c r="D829" s="370"/>
      <c r="E829" s="307"/>
      <c r="F829" s="307"/>
    </row>
    <row r="830">
      <c r="C830" s="370"/>
      <c r="D830" s="370"/>
      <c r="E830" s="307"/>
      <c r="F830" s="307"/>
    </row>
    <row r="831">
      <c r="C831" s="370"/>
      <c r="D831" s="370"/>
      <c r="E831" s="307"/>
      <c r="F831" s="307"/>
    </row>
    <row r="832">
      <c r="C832" s="370"/>
      <c r="D832" s="370"/>
      <c r="E832" s="307"/>
      <c r="F832" s="307"/>
    </row>
    <row r="833">
      <c r="C833" s="370"/>
      <c r="D833" s="370"/>
      <c r="E833" s="307"/>
      <c r="F833" s="307"/>
    </row>
    <row r="834">
      <c r="C834" s="370"/>
      <c r="D834" s="370"/>
      <c r="E834" s="307"/>
      <c r="F834" s="307"/>
    </row>
    <row r="835">
      <c r="C835" s="370"/>
      <c r="D835" s="370"/>
      <c r="E835" s="307"/>
      <c r="F835" s="307"/>
    </row>
    <row r="836">
      <c r="C836" s="370"/>
      <c r="D836" s="370"/>
      <c r="E836" s="307"/>
      <c r="F836" s="307"/>
    </row>
    <row r="837">
      <c r="C837" s="370"/>
      <c r="D837" s="370"/>
      <c r="E837" s="307"/>
      <c r="F837" s="307"/>
    </row>
    <row r="838">
      <c r="C838" s="370"/>
      <c r="D838" s="370"/>
      <c r="E838" s="307"/>
      <c r="F838" s="307"/>
    </row>
    <row r="839">
      <c r="C839" s="370"/>
      <c r="D839" s="370"/>
      <c r="E839" s="307"/>
      <c r="F839" s="307"/>
    </row>
    <row r="840">
      <c r="C840" s="370"/>
      <c r="D840" s="370"/>
      <c r="E840" s="307"/>
      <c r="F840" s="307"/>
    </row>
    <row r="841">
      <c r="C841" s="370"/>
      <c r="D841" s="370"/>
      <c r="E841" s="307"/>
      <c r="F841" s="307"/>
    </row>
    <row r="842">
      <c r="C842" s="370"/>
      <c r="D842" s="370"/>
      <c r="E842" s="307"/>
      <c r="F842" s="307"/>
    </row>
    <row r="843">
      <c r="C843" s="370"/>
      <c r="D843" s="370"/>
      <c r="E843" s="307"/>
      <c r="F843" s="307"/>
    </row>
    <row r="844">
      <c r="C844" s="370"/>
      <c r="D844" s="370"/>
      <c r="E844" s="307"/>
      <c r="F844" s="307"/>
    </row>
    <row r="845">
      <c r="C845" s="370"/>
      <c r="D845" s="370"/>
      <c r="E845" s="307"/>
      <c r="F845" s="307"/>
    </row>
    <row r="846">
      <c r="C846" s="370"/>
      <c r="D846" s="370"/>
      <c r="E846" s="307"/>
      <c r="F846" s="307"/>
    </row>
    <row r="847">
      <c r="C847" s="370"/>
      <c r="D847" s="370"/>
      <c r="E847" s="307"/>
      <c r="F847" s="307"/>
    </row>
    <row r="848">
      <c r="C848" s="370"/>
      <c r="D848" s="370"/>
      <c r="E848" s="307"/>
      <c r="F848" s="307"/>
    </row>
    <row r="849">
      <c r="C849" s="370"/>
      <c r="D849" s="370"/>
      <c r="E849" s="307"/>
      <c r="F849" s="307"/>
    </row>
    <row r="850">
      <c r="C850" s="370"/>
      <c r="D850" s="370"/>
      <c r="E850" s="307"/>
      <c r="F850" s="307"/>
    </row>
    <row r="851">
      <c r="C851" s="370"/>
      <c r="D851" s="370"/>
      <c r="E851" s="307"/>
      <c r="F851" s="307"/>
    </row>
    <row r="852">
      <c r="C852" s="370"/>
      <c r="D852" s="370"/>
      <c r="E852" s="307"/>
      <c r="F852" s="307"/>
    </row>
    <row r="853">
      <c r="C853" s="370"/>
      <c r="D853" s="370"/>
      <c r="E853" s="307"/>
      <c r="F853" s="307"/>
    </row>
    <row r="854">
      <c r="C854" s="370"/>
      <c r="D854" s="370"/>
      <c r="E854" s="307"/>
      <c r="F854" s="307"/>
    </row>
    <row r="855">
      <c r="C855" s="370"/>
      <c r="D855" s="370"/>
      <c r="E855" s="307"/>
      <c r="F855" s="307"/>
    </row>
    <row r="856">
      <c r="C856" s="370"/>
      <c r="D856" s="370"/>
      <c r="E856" s="307"/>
      <c r="F856" s="307"/>
    </row>
    <row r="857">
      <c r="C857" s="370"/>
      <c r="D857" s="370"/>
      <c r="E857" s="307"/>
      <c r="F857" s="307"/>
    </row>
    <row r="858">
      <c r="C858" s="370"/>
      <c r="D858" s="370"/>
      <c r="E858" s="307"/>
      <c r="F858" s="307"/>
    </row>
    <row r="859">
      <c r="C859" s="370"/>
      <c r="D859" s="370"/>
      <c r="E859" s="307"/>
      <c r="F859" s="307"/>
    </row>
    <row r="860">
      <c r="C860" s="370"/>
      <c r="D860" s="370"/>
      <c r="E860" s="307"/>
      <c r="F860" s="307"/>
    </row>
    <row r="861">
      <c r="C861" s="370"/>
      <c r="D861" s="370"/>
      <c r="E861" s="307"/>
      <c r="F861" s="307"/>
    </row>
    <row r="862">
      <c r="C862" s="370"/>
      <c r="D862" s="370"/>
      <c r="E862" s="307"/>
      <c r="F862" s="307"/>
    </row>
    <row r="863">
      <c r="C863" s="370"/>
      <c r="D863" s="370"/>
      <c r="E863" s="307"/>
      <c r="F863" s="307"/>
    </row>
    <row r="864">
      <c r="C864" s="370"/>
      <c r="D864" s="370"/>
      <c r="E864" s="307"/>
      <c r="F864" s="307"/>
    </row>
    <row r="865">
      <c r="C865" s="370"/>
      <c r="D865" s="370"/>
      <c r="E865" s="307"/>
      <c r="F865" s="307"/>
    </row>
    <row r="866">
      <c r="C866" s="370"/>
      <c r="D866" s="370"/>
      <c r="E866" s="307"/>
      <c r="F866" s="307"/>
    </row>
    <row r="867">
      <c r="C867" s="370"/>
      <c r="D867" s="370"/>
      <c r="E867" s="307"/>
      <c r="F867" s="307"/>
    </row>
    <row r="868">
      <c r="C868" s="370"/>
      <c r="D868" s="370"/>
      <c r="E868" s="307"/>
      <c r="F868" s="307"/>
    </row>
    <row r="869">
      <c r="C869" s="370"/>
      <c r="D869" s="370"/>
      <c r="E869" s="307"/>
      <c r="F869" s="307"/>
    </row>
    <row r="870">
      <c r="C870" s="370"/>
      <c r="D870" s="370"/>
      <c r="E870" s="307"/>
      <c r="F870" s="307"/>
    </row>
    <row r="871">
      <c r="C871" s="370"/>
      <c r="D871" s="370"/>
      <c r="E871" s="307"/>
      <c r="F871" s="307"/>
    </row>
    <row r="872">
      <c r="C872" s="370"/>
      <c r="D872" s="370"/>
      <c r="E872" s="307"/>
      <c r="F872" s="307"/>
    </row>
    <row r="873">
      <c r="C873" s="370"/>
      <c r="D873" s="370"/>
      <c r="E873" s="307"/>
      <c r="F873" s="307"/>
    </row>
    <row r="874">
      <c r="C874" s="370"/>
      <c r="D874" s="370"/>
      <c r="E874" s="307"/>
      <c r="F874" s="307"/>
    </row>
    <row r="875">
      <c r="C875" s="370"/>
      <c r="D875" s="370"/>
      <c r="E875" s="307"/>
      <c r="F875" s="307"/>
    </row>
    <row r="876">
      <c r="C876" s="370"/>
      <c r="D876" s="370"/>
      <c r="E876" s="307"/>
      <c r="F876" s="307"/>
    </row>
    <row r="877">
      <c r="C877" s="370"/>
      <c r="D877" s="370"/>
      <c r="E877" s="307"/>
      <c r="F877" s="307"/>
    </row>
    <row r="878">
      <c r="C878" s="370"/>
      <c r="D878" s="370"/>
      <c r="E878" s="307"/>
      <c r="F878" s="307"/>
    </row>
    <row r="879">
      <c r="C879" s="370"/>
      <c r="D879" s="370"/>
      <c r="E879" s="307"/>
      <c r="F879" s="307"/>
    </row>
    <row r="880">
      <c r="C880" s="370"/>
      <c r="D880" s="370"/>
      <c r="E880" s="307"/>
      <c r="F880" s="307"/>
    </row>
    <row r="881">
      <c r="C881" s="370"/>
      <c r="D881" s="370"/>
      <c r="E881" s="307"/>
      <c r="F881" s="307"/>
    </row>
    <row r="882">
      <c r="C882" s="370"/>
      <c r="D882" s="370"/>
      <c r="E882" s="307"/>
      <c r="F882" s="307"/>
    </row>
    <row r="883">
      <c r="C883" s="370"/>
      <c r="D883" s="370"/>
      <c r="E883" s="307"/>
      <c r="F883" s="307"/>
    </row>
    <row r="884">
      <c r="C884" s="370"/>
      <c r="D884" s="370"/>
      <c r="E884" s="307"/>
      <c r="F884" s="307"/>
    </row>
    <row r="885">
      <c r="C885" s="370"/>
      <c r="D885" s="370"/>
      <c r="E885" s="307"/>
      <c r="F885" s="307"/>
    </row>
    <row r="886">
      <c r="C886" s="370"/>
      <c r="D886" s="370"/>
      <c r="E886" s="307"/>
      <c r="F886" s="307"/>
    </row>
    <row r="887">
      <c r="C887" s="370"/>
      <c r="D887" s="370"/>
      <c r="E887" s="307"/>
      <c r="F887" s="307"/>
    </row>
    <row r="888">
      <c r="C888" s="370"/>
      <c r="D888" s="370"/>
      <c r="E888" s="307"/>
      <c r="F888" s="307"/>
    </row>
    <row r="889">
      <c r="C889" s="370"/>
      <c r="D889" s="370"/>
      <c r="E889" s="307"/>
      <c r="F889" s="307"/>
    </row>
    <row r="890">
      <c r="C890" s="370"/>
      <c r="D890" s="370"/>
      <c r="E890" s="307"/>
      <c r="F890" s="307"/>
    </row>
    <row r="891">
      <c r="C891" s="370"/>
      <c r="D891" s="370"/>
      <c r="E891" s="307"/>
      <c r="F891" s="307"/>
    </row>
    <row r="892">
      <c r="C892" s="370"/>
      <c r="D892" s="370"/>
      <c r="E892" s="307"/>
      <c r="F892" s="307"/>
    </row>
    <row r="893">
      <c r="C893" s="370"/>
      <c r="D893" s="370"/>
      <c r="E893" s="307"/>
      <c r="F893" s="307"/>
    </row>
    <row r="894">
      <c r="C894" s="370"/>
      <c r="D894" s="370"/>
      <c r="E894" s="307"/>
      <c r="F894" s="307"/>
    </row>
    <row r="895">
      <c r="C895" s="370"/>
      <c r="D895" s="370"/>
      <c r="E895" s="307"/>
      <c r="F895" s="307"/>
    </row>
    <row r="896">
      <c r="C896" s="370"/>
      <c r="D896" s="370"/>
      <c r="E896" s="307"/>
      <c r="F896" s="307"/>
    </row>
    <row r="897">
      <c r="C897" s="370"/>
      <c r="D897" s="370"/>
      <c r="E897" s="307"/>
      <c r="F897" s="307"/>
    </row>
    <row r="898">
      <c r="C898" s="370"/>
      <c r="D898" s="370"/>
      <c r="E898" s="307"/>
      <c r="F898" s="307"/>
    </row>
    <row r="899">
      <c r="C899" s="370"/>
      <c r="D899" s="370"/>
      <c r="E899" s="307"/>
      <c r="F899" s="307"/>
    </row>
    <row r="900">
      <c r="C900" s="370"/>
      <c r="D900" s="370"/>
      <c r="E900" s="307"/>
      <c r="F900" s="307"/>
    </row>
    <row r="901">
      <c r="C901" s="370"/>
      <c r="D901" s="370"/>
      <c r="E901" s="307"/>
      <c r="F901" s="307"/>
    </row>
    <row r="902">
      <c r="C902" s="370"/>
      <c r="D902" s="370"/>
      <c r="E902" s="307"/>
      <c r="F902" s="307"/>
    </row>
    <row r="903">
      <c r="C903" s="370"/>
      <c r="D903" s="370"/>
      <c r="E903" s="307"/>
      <c r="F903" s="307"/>
    </row>
    <row r="904">
      <c r="C904" s="370"/>
      <c r="D904" s="370"/>
      <c r="E904" s="307"/>
      <c r="F904" s="307"/>
    </row>
    <row r="905">
      <c r="C905" s="370"/>
      <c r="D905" s="370"/>
      <c r="E905" s="307"/>
      <c r="F905" s="307"/>
    </row>
    <row r="906">
      <c r="C906" s="370"/>
      <c r="D906" s="370"/>
      <c r="E906" s="307"/>
      <c r="F906" s="307"/>
    </row>
    <row r="907">
      <c r="C907" s="370"/>
      <c r="D907" s="370"/>
      <c r="E907" s="307"/>
      <c r="F907" s="307"/>
    </row>
    <row r="908">
      <c r="C908" s="370"/>
      <c r="D908" s="370"/>
      <c r="E908" s="307"/>
      <c r="F908" s="307"/>
    </row>
    <row r="909">
      <c r="C909" s="370"/>
      <c r="D909" s="370"/>
      <c r="E909" s="307"/>
      <c r="F909" s="307"/>
    </row>
    <row r="910">
      <c r="C910" s="370"/>
      <c r="D910" s="370"/>
      <c r="E910" s="307"/>
      <c r="F910" s="307"/>
    </row>
    <row r="911">
      <c r="C911" s="370"/>
      <c r="D911" s="370"/>
      <c r="E911" s="307"/>
      <c r="F911" s="307"/>
    </row>
    <row r="912">
      <c r="C912" s="370"/>
      <c r="D912" s="370"/>
      <c r="E912" s="307"/>
      <c r="F912" s="307"/>
    </row>
    <row r="913">
      <c r="C913" s="370"/>
      <c r="D913" s="370"/>
      <c r="E913" s="307"/>
      <c r="F913" s="307"/>
    </row>
    <row r="914">
      <c r="C914" s="370"/>
      <c r="D914" s="370"/>
      <c r="E914" s="307"/>
      <c r="F914" s="307"/>
    </row>
    <row r="915">
      <c r="C915" s="370"/>
      <c r="D915" s="370"/>
      <c r="E915" s="307"/>
      <c r="F915" s="307"/>
    </row>
    <row r="916">
      <c r="C916" s="370"/>
      <c r="D916" s="370"/>
      <c r="E916" s="307"/>
      <c r="F916" s="307"/>
    </row>
    <row r="917">
      <c r="C917" s="370"/>
      <c r="D917" s="370"/>
      <c r="E917" s="307"/>
      <c r="F917" s="307"/>
    </row>
    <row r="918">
      <c r="C918" s="370"/>
      <c r="D918" s="370"/>
      <c r="E918" s="307"/>
      <c r="F918" s="307"/>
    </row>
    <row r="919">
      <c r="C919" s="370"/>
      <c r="D919" s="370"/>
      <c r="E919" s="307"/>
      <c r="F919" s="307"/>
    </row>
    <row r="920">
      <c r="C920" s="370"/>
      <c r="D920" s="370"/>
      <c r="E920" s="307"/>
      <c r="F920" s="307"/>
    </row>
    <row r="921">
      <c r="C921" s="370"/>
      <c r="D921" s="370"/>
      <c r="E921" s="307"/>
      <c r="F921" s="307"/>
    </row>
    <row r="922">
      <c r="C922" s="370"/>
      <c r="D922" s="370"/>
      <c r="E922" s="307"/>
      <c r="F922" s="307"/>
    </row>
    <row r="923">
      <c r="C923" s="370"/>
      <c r="D923" s="370"/>
      <c r="E923" s="307"/>
      <c r="F923" s="307"/>
    </row>
    <row r="924">
      <c r="C924" s="370"/>
      <c r="D924" s="370"/>
      <c r="E924" s="307"/>
      <c r="F924" s="307"/>
    </row>
    <row r="925">
      <c r="C925" s="370"/>
      <c r="D925" s="370"/>
      <c r="E925" s="307"/>
      <c r="F925" s="307"/>
    </row>
    <row r="926">
      <c r="C926" s="370"/>
      <c r="D926" s="370"/>
      <c r="E926" s="307"/>
      <c r="F926" s="307"/>
    </row>
    <row r="927">
      <c r="C927" s="370"/>
      <c r="D927" s="370"/>
      <c r="E927" s="307"/>
      <c r="F927" s="307"/>
    </row>
    <row r="928">
      <c r="C928" s="370"/>
      <c r="D928" s="370"/>
      <c r="E928" s="307"/>
      <c r="F928" s="307"/>
    </row>
    <row r="929">
      <c r="C929" s="370"/>
      <c r="D929" s="370"/>
      <c r="E929" s="307"/>
      <c r="F929" s="307"/>
    </row>
    <row r="930">
      <c r="C930" s="370"/>
      <c r="D930" s="370"/>
      <c r="E930" s="307"/>
      <c r="F930" s="307"/>
    </row>
    <row r="931">
      <c r="C931" s="370"/>
      <c r="D931" s="370"/>
      <c r="E931" s="307"/>
      <c r="F931" s="307"/>
    </row>
    <row r="932">
      <c r="C932" s="370"/>
      <c r="D932" s="370"/>
      <c r="E932" s="307"/>
      <c r="F932" s="307"/>
    </row>
    <row r="933">
      <c r="C933" s="370"/>
      <c r="D933" s="370"/>
      <c r="E933" s="307"/>
      <c r="F933" s="307"/>
    </row>
    <row r="934">
      <c r="C934" s="370"/>
      <c r="D934" s="370"/>
      <c r="E934" s="307"/>
      <c r="F934" s="307"/>
    </row>
    <row r="935">
      <c r="C935" s="370"/>
      <c r="D935" s="370"/>
      <c r="E935" s="307"/>
      <c r="F935" s="307"/>
    </row>
    <row r="936">
      <c r="C936" s="370"/>
      <c r="D936" s="370"/>
      <c r="E936" s="307"/>
      <c r="F936" s="307"/>
    </row>
    <row r="937">
      <c r="C937" s="370"/>
      <c r="D937" s="370"/>
      <c r="E937" s="307"/>
      <c r="F937" s="307"/>
    </row>
    <row r="938">
      <c r="C938" s="370"/>
      <c r="D938" s="370"/>
      <c r="E938" s="307"/>
      <c r="F938" s="307"/>
    </row>
    <row r="939">
      <c r="C939" s="370"/>
      <c r="D939" s="370"/>
      <c r="E939" s="307"/>
      <c r="F939" s="307"/>
    </row>
    <row r="940">
      <c r="C940" s="370"/>
      <c r="D940" s="370"/>
      <c r="E940" s="307"/>
      <c r="F940" s="307"/>
    </row>
    <row r="941">
      <c r="C941" s="370"/>
      <c r="D941" s="370"/>
      <c r="E941" s="307"/>
      <c r="F941" s="307"/>
    </row>
    <row r="942">
      <c r="C942" s="370"/>
      <c r="D942" s="370"/>
      <c r="E942" s="307"/>
      <c r="F942" s="307"/>
    </row>
    <row r="943">
      <c r="C943" s="370"/>
      <c r="D943" s="370"/>
      <c r="E943" s="307"/>
      <c r="F943" s="307"/>
    </row>
    <row r="944">
      <c r="C944" s="370"/>
      <c r="D944" s="370"/>
      <c r="E944" s="307"/>
      <c r="F944" s="307"/>
    </row>
    <row r="945">
      <c r="C945" s="370"/>
      <c r="D945" s="370"/>
      <c r="E945" s="307"/>
      <c r="F945" s="307"/>
    </row>
    <row r="946">
      <c r="C946" s="370"/>
      <c r="D946" s="370"/>
      <c r="E946" s="307"/>
      <c r="F946" s="307"/>
    </row>
    <row r="947">
      <c r="C947" s="370"/>
      <c r="D947" s="370"/>
      <c r="E947" s="307"/>
      <c r="F947" s="307"/>
    </row>
    <row r="948">
      <c r="C948" s="370"/>
      <c r="D948" s="370"/>
      <c r="E948" s="307"/>
      <c r="F948" s="307"/>
    </row>
    <row r="949">
      <c r="C949" s="370"/>
      <c r="D949" s="370"/>
      <c r="E949" s="307"/>
      <c r="F949" s="307"/>
    </row>
    <row r="950">
      <c r="C950" s="370"/>
      <c r="D950" s="370"/>
      <c r="E950" s="307"/>
      <c r="F950" s="307"/>
    </row>
    <row r="951">
      <c r="C951" s="370"/>
      <c r="D951" s="370"/>
      <c r="E951" s="307"/>
      <c r="F951" s="307"/>
    </row>
    <row r="952">
      <c r="C952" s="370"/>
      <c r="D952" s="370"/>
      <c r="E952" s="307"/>
      <c r="F952" s="307"/>
    </row>
    <row r="953">
      <c r="C953" s="370"/>
      <c r="D953" s="370"/>
      <c r="E953" s="307"/>
      <c r="F953" s="307"/>
    </row>
    <row r="954">
      <c r="C954" s="370"/>
      <c r="D954" s="370"/>
      <c r="E954" s="307"/>
      <c r="F954" s="307"/>
    </row>
    <row r="955">
      <c r="C955" s="370"/>
      <c r="D955" s="370"/>
      <c r="E955" s="307"/>
      <c r="F955" s="307"/>
    </row>
    <row r="956">
      <c r="C956" s="370"/>
      <c r="D956" s="370"/>
      <c r="E956" s="307"/>
      <c r="F956" s="307"/>
    </row>
    <row r="957">
      <c r="C957" s="370"/>
      <c r="D957" s="370"/>
      <c r="E957" s="307"/>
      <c r="F957" s="307"/>
    </row>
    <row r="958">
      <c r="C958" s="370"/>
      <c r="D958" s="370"/>
      <c r="E958" s="307"/>
      <c r="F958" s="307"/>
    </row>
    <row r="959">
      <c r="C959" s="370"/>
      <c r="D959" s="370"/>
      <c r="E959" s="307"/>
      <c r="F959" s="307"/>
    </row>
    <row r="960">
      <c r="C960" s="370"/>
      <c r="D960" s="370"/>
      <c r="E960" s="307"/>
      <c r="F960" s="307"/>
    </row>
    <row r="961">
      <c r="C961" s="370"/>
      <c r="D961" s="370"/>
      <c r="E961" s="307"/>
      <c r="F961" s="307"/>
    </row>
    <row r="962">
      <c r="C962" s="370"/>
      <c r="D962" s="370"/>
      <c r="E962" s="307"/>
      <c r="F962" s="307"/>
    </row>
    <row r="963">
      <c r="C963" s="370"/>
      <c r="D963" s="370"/>
      <c r="E963" s="307"/>
      <c r="F963" s="307"/>
    </row>
    <row r="964">
      <c r="C964" s="370"/>
      <c r="D964" s="370"/>
      <c r="E964" s="307"/>
      <c r="F964" s="307"/>
    </row>
    <row r="965">
      <c r="C965" s="370"/>
      <c r="D965" s="370"/>
      <c r="E965" s="307"/>
      <c r="F965" s="307"/>
    </row>
    <row r="966">
      <c r="C966" s="370"/>
      <c r="D966" s="370"/>
      <c r="E966" s="307"/>
      <c r="F966" s="307"/>
    </row>
    <row r="967">
      <c r="C967" s="370"/>
      <c r="D967" s="370"/>
      <c r="E967" s="307"/>
      <c r="F967" s="307"/>
    </row>
    <row r="968">
      <c r="C968" s="370"/>
      <c r="D968" s="370"/>
      <c r="E968" s="307"/>
      <c r="F968" s="307"/>
    </row>
    <row r="969">
      <c r="C969" s="370"/>
      <c r="D969" s="370"/>
      <c r="E969" s="307"/>
      <c r="F969" s="307"/>
    </row>
    <row r="970">
      <c r="C970" s="370"/>
      <c r="D970" s="370"/>
      <c r="E970" s="307"/>
      <c r="F970" s="307"/>
    </row>
    <row r="971">
      <c r="C971" s="370"/>
      <c r="D971" s="370"/>
      <c r="E971" s="307"/>
      <c r="F971" s="307"/>
    </row>
    <row r="972">
      <c r="C972" s="370"/>
      <c r="D972" s="370"/>
      <c r="E972" s="307"/>
      <c r="F972" s="307"/>
    </row>
    <row r="973">
      <c r="C973" s="370"/>
      <c r="D973" s="370"/>
      <c r="E973" s="307"/>
      <c r="F973" s="307"/>
    </row>
    <row r="974">
      <c r="C974" s="370"/>
      <c r="D974" s="370"/>
      <c r="E974" s="307"/>
      <c r="F974" s="307"/>
    </row>
    <row r="975">
      <c r="C975" s="370"/>
      <c r="D975" s="370"/>
      <c r="E975" s="307"/>
      <c r="F975" s="307"/>
    </row>
    <row r="976">
      <c r="C976" s="370"/>
      <c r="D976" s="370"/>
      <c r="E976" s="307"/>
      <c r="F976" s="307"/>
    </row>
    <row r="977">
      <c r="C977" s="370"/>
      <c r="D977" s="370"/>
      <c r="E977" s="307"/>
      <c r="F977" s="307"/>
    </row>
    <row r="978">
      <c r="C978" s="370"/>
      <c r="D978" s="370"/>
      <c r="E978" s="307"/>
      <c r="F978" s="307"/>
    </row>
    <row r="979">
      <c r="C979" s="370"/>
      <c r="D979" s="370"/>
      <c r="E979" s="307"/>
      <c r="F979" s="307"/>
    </row>
    <row r="980">
      <c r="C980" s="370"/>
      <c r="D980" s="370"/>
      <c r="E980" s="307"/>
      <c r="F980" s="307"/>
    </row>
    <row r="981">
      <c r="C981" s="370"/>
      <c r="D981" s="370"/>
      <c r="E981" s="307"/>
      <c r="F981" s="307"/>
    </row>
    <row r="982">
      <c r="C982" s="370"/>
      <c r="D982" s="370"/>
      <c r="E982" s="307"/>
      <c r="F982" s="307"/>
    </row>
    <row r="983">
      <c r="C983" s="370"/>
      <c r="D983" s="370"/>
      <c r="E983" s="307"/>
      <c r="F983" s="307"/>
    </row>
    <row r="984">
      <c r="C984" s="370"/>
      <c r="D984" s="370"/>
      <c r="E984" s="307"/>
      <c r="F984" s="307"/>
    </row>
    <row r="985">
      <c r="C985" s="370"/>
      <c r="D985" s="370"/>
      <c r="E985" s="307"/>
      <c r="F985" s="307"/>
    </row>
    <row r="986">
      <c r="C986" s="370"/>
      <c r="D986" s="370"/>
      <c r="E986" s="307"/>
      <c r="F986" s="307"/>
    </row>
    <row r="987">
      <c r="C987" s="370"/>
      <c r="D987" s="370"/>
      <c r="E987" s="307"/>
      <c r="F987" s="307"/>
    </row>
    <row r="988">
      <c r="C988" s="370"/>
      <c r="D988" s="370"/>
      <c r="E988" s="307"/>
      <c r="F988" s="307"/>
    </row>
    <row r="989">
      <c r="C989" s="370"/>
      <c r="D989" s="370"/>
      <c r="E989" s="307"/>
      <c r="F989" s="307"/>
    </row>
    <row r="990">
      <c r="C990" s="370"/>
      <c r="D990" s="370"/>
      <c r="E990" s="307"/>
      <c r="F990" s="307"/>
    </row>
    <row r="991">
      <c r="C991" s="370"/>
      <c r="D991" s="370"/>
      <c r="E991" s="307"/>
      <c r="F991" s="307"/>
    </row>
    <row r="992">
      <c r="C992" s="370"/>
      <c r="D992" s="370"/>
      <c r="E992" s="307"/>
      <c r="F992" s="307"/>
    </row>
    <row r="993">
      <c r="C993" s="370"/>
      <c r="D993" s="370"/>
      <c r="E993" s="307"/>
      <c r="F993" s="307"/>
    </row>
    <row r="994">
      <c r="C994" s="370"/>
      <c r="D994" s="370"/>
      <c r="E994" s="307"/>
      <c r="F994" s="307"/>
    </row>
    <row r="995">
      <c r="C995" s="370"/>
      <c r="D995" s="370"/>
      <c r="E995" s="307"/>
      <c r="F995" s="307"/>
    </row>
    <row r="996">
      <c r="C996" s="370"/>
      <c r="D996" s="370"/>
      <c r="E996" s="307"/>
      <c r="F996" s="307"/>
    </row>
    <row r="997">
      <c r="C997" s="370"/>
      <c r="D997" s="370"/>
      <c r="E997" s="307"/>
      <c r="F997" s="307"/>
    </row>
    <row r="998">
      <c r="C998" s="370"/>
      <c r="D998" s="370"/>
      <c r="E998" s="307"/>
      <c r="F998" s="307"/>
    </row>
    <row r="999">
      <c r="C999" s="370"/>
      <c r="D999" s="370"/>
      <c r="E999" s="307"/>
      <c r="F999" s="307"/>
    </row>
    <row r="1000">
      <c r="C1000" s="370"/>
      <c r="D1000" s="370"/>
      <c r="E1000" s="307"/>
      <c r="F1000" s="307"/>
    </row>
    <row r="1001">
      <c r="C1001" s="370"/>
      <c r="D1001" s="370"/>
      <c r="E1001" s="307"/>
      <c r="F1001" s="307"/>
    </row>
    <row r="1002">
      <c r="C1002" s="370"/>
      <c r="D1002" s="370"/>
      <c r="E1002" s="307"/>
      <c r="F1002" s="307"/>
    </row>
    <row r="1003">
      <c r="C1003" s="370"/>
      <c r="D1003" s="370"/>
      <c r="E1003" s="307"/>
      <c r="F1003" s="307"/>
    </row>
  </sheetData>
  <autoFilter ref="$A$1:$G$1003"/>
  <mergeCells count="33">
    <mergeCell ref="F11:F13"/>
    <mergeCell ref="G11:G13"/>
    <mergeCell ref="E3:E5"/>
    <mergeCell ref="F3:F5"/>
    <mergeCell ref="G3:G5"/>
    <mergeCell ref="E7:E9"/>
    <mergeCell ref="F7:F9"/>
    <mergeCell ref="G7:G9"/>
    <mergeCell ref="E11:E13"/>
    <mergeCell ref="F36:F37"/>
    <mergeCell ref="G36:G37"/>
    <mergeCell ref="E15:E17"/>
    <mergeCell ref="F15:F17"/>
    <mergeCell ref="G15:G17"/>
    <mergeCell ref="E33:E34"/>
    <mergeCell ref="F33:F34"/>
    <mergeCell ref="G33:G34"/>
    <mergeCell ref="E36:E37"/>
    <mergeCell ref="F45:F46"/>
    <mergeCell ref="G45:G46"/>
    <mergeCell ref="E48:E49"/>
    <mergeCell ref="F48:F49"/>
    <mergeCell ref="G48:G49"/>
    <mergeCell ref="E51:E52"/>
    <mergeCell ref="F51:F52"/>
    <mergeCell ref="G51:G52"/>
    <mergeCell ref="E39:E40"/>
    <mergeCell ref="F39:F40"/>
    <mergeCell ref="G39:G40"/>
    <mergeCell ref="E42:E43"/>
    <mergeCell ref="F42:F43"/>
    <mergeCell ref="G42:G43"/>
    <mergeCell ref="E45:E4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2.75"/>
  <cols>
    <col customWidth="1" min="1" max="1" width="4.63"/>
    <col customWidth="1" min="2" max="4" width="2.88"/>
    <col customWidth="1" min="5" max="5" width="4.5"/>
    <col customWidth="1" min="6" max="6" width="2.88"/>
    <col customWidth="1" min="7" max="7" width="1.75"/>
    <col customWidth="1" min="8" max="8" width="6.75"/>
    <col customWidth="1" min="9" max="10" width="2.88"/>
    <col customWidth="1" min="11" max="11" width="3.5"/>
    <col customWidth="1" min="12" max="12" width="4.25"/>
    <col customWidth="1" min="13" max="13" width="2.88"/>
    <col customWidth="1" min="14" max="14" width="1.75"/>
    <col customWidth="1" min="15" max="15" width="4.63"/>
    <col customWidth="1" min="16" max="18" width="2.88"/>
    <col customWidth="1" min="19" max="19" width="3.63"/>
    <col customWidth="1" min="20" max="20" width="2.88"/>
    <col customWidth="1" min="21" max="21" width="1.88"/>
    <col customWidth="1" min="22" max="22" width="7.5"/>
    <col customWidth="1" min="23" max="27" width="2.75"/>
    <col customWidth="1" min="28" max="28" width="2.0"/>
    <col customWidth="1" min="29" max="29" width="9.25"/>
    <col customWidth="1" min="30" max="30" width="6.0"/>
    <col customWidth="1" min="31" max="32" width="4.0"/>
    <col customWidth="1" min="33" max="33" width="4.38"/>
    <col customWidth="1" min="34" max="34" width="4.25"/>
    <col customWidth="1" min="35" max="35" width="1.75"/>
    <col customWidth="1" min="36" max="36" width="6.5"/>
    <col customWidth="1" min="37" max="37" width="5.25"/>
    <col customWidth="1" min="38" max="39" width="4.0"/>
    <col customWidth="1" min="40" max="40" width="6.88"/>
    <col customWidth="1" min="41" max="41" width="4.88"/>
    <col customWidth="1" min="42" max="42" width="2.13"/>
    <col customWidth="1" min="43" max="44" width="4.88"/>
    <col customWidth="1" min="45" max="45" width="25.38"/>
  </cols>
  <sheetData>
    <row r="1" ht="35.25" customHeight="1">
      <c r="P1" s="1549" t="s">
        <v>6877</v>
      </c>
      <c r="X1" s="1550"/>
      <c r="Y1" s="1550"/>
      <c r="Z1" s="1550"/>
      <c r="AA1" s="1550"/>
      <c r="AC1" s="1551"/>
      <c r="AD1" s="1550"/>
      <c r="AE1" s="1550"/>
      <c r="AF1" s="1550"/>
      <c r="AG1" s="1550"/>
      <c r="AH1" s="1550"/>
      <c r="AJ1" s="1551"/>
      <c r="AK1" s="1550"/>
      <c r="AL1" s="1550"/>
      <c r="AM1" s="1550"/>
      <c r="AN1" s="1550"/>
      <c r="AO1" s="1550"/>
      <c r="AP1" s="1550"/>
      <c r="AQ1" s="1550"/>
      <c r="AR1" s="1550"/>
      <c r="AS1" s="1550"/>
    </row>
    <row r="2" ht="18.0" customHeight="1">
      <c r="V2" s="1551"/>
      <c r="W2" s="1550"/>
      <c r="X2" s="1550"/>
      <c r="Y2" s="1550"/>
      <c r="Z2" s="1550"/>
      <c r="AA2" s="1550"/>
      <c r="AB2" s="312" t="s">
        <v>328</v>
      </c>
      <c r="AC2" s="1551"/>
      <c r="AD2" s="1550"/>
      <c r="AE2" s="1550"/>
      <c r="AF2" s="1550"/>
      <c r="AG2" s="1550"/>
      <c r="AH2" s="1550"/>
      <c r="AJ2" s="1551"/>
      <c r="AK2" s="1550"/>
      <c r="AL2" s="1550"/>
      <c r="AM2" s="1550"/>
      <c r="AN2" s="1550"/>
      <c r="AO2" s="1550"/>
      <c r="AP2" s="1550"/>
      <c r="AQ2" s="1550"/>
      <c r="AR2" s="1550"/>
      <c r="AS2" s="1550"/>
    </row>
    <row r="3" ht="52.5" customHeight="1">
      <c r="A3" s="1552" t="s">
        <v>6878</v>
      </c>
      <c r="B3" s="1553"/>
      <c r="C3" s="1553"/>
      <c r="D3" s="1553"/>
      <c r="E3" s="1553"/>
      <c r="F3" s="1553"/>
      <c r="G3" s="1553"/>
      <c r="H3" s="1553"/>
      <c r="I3" s="1553"/>
      <c r="J3" s="1553"/>
      <c r="K3" s="1553"/>
      <c r="L3" s="1553"/>
      <c r="M3" s="1554"/>
      <c r="N3" s="1555"/>
      <c r="O3" s="1556" t="s">
        <v>6879</v>
      </c>
      <c r="P3" s="1557"/>
      <c r="Q3" s="1557"/>
      <c r="R3" s="1557"/>
      <c r="S3" s="1557"/>
      <c r="T3" s="1557"/>
      <c r="U3" s="1557"/>
      <c r="V3" s="1557"/>
      <c r="W3" s="1557"/>
      <c r="X3" s="1557"/>
      <c r="Y3" s="1557"/>
      <c r="Z3" s="1557"/>
      <c r="AA3" s="1558"/>
      <c r="AB3" s="1555"/>
      <c r="AC3" s="1559" t="s">
        <v>4868</v>
      </c>
      <c r="AD3" s="1287"/>
      <c r="AE3" s="1287"/>
      <c r="AF3" s="1287"/>
      <c r="AG3" s="1287"/>
      <c r="AH3" s="1287"/>
      <c r="AI3" s="1287"/>
      <c r="AJ3" s="1287"/>
      <c r="AK3" s="1287"/>
      <c r="AL3" s="1287"/>
      <c r="AM3" s="1287"/>
      <c r="AN3" s="1287"/>
      <c r="AO3" s="1560"/>
      <c r="AP3" s="1561"/>
      <c r="AQ3" s="1561"/>
      <c r="AR3" s="1561"/>
      <c r="AS3" s="1561"/>
    </row>
    <row r="4" ht="14.25" customHeight="1">
      <c r="A4" s="1562"/>
      <c r="B4" s="1550"/>
      <c r="C4" s="1550"/>
      <c r="D4" s="1550"/>
      <c r="E4" s="1550"/>
      <c r="F4" s="1550"/>
      <c r="H4" s="1551"/>
      <c r="I4" s="1550"/>
      <c r="J4" s="1550"/>
      <c r="K4" s="1550"/>
      <c r="L4" s="1550"/>
      <c r="M4" s="1563"/>
      <c r="O4" s="1564"/>
      <c r="P4" s="1550"/>
      <c r="Q4" s="1550"/>
      <c r="R4" s="1550"/>
      <c r="S4" s="1550"/>
      <c r="T4" s="1550"/>
      <c r="V4" s="1551"/>
      <c r="W4" s="1550"/>
      <c r="X4" s="1550"/>
      <c r="Y4" s="1550"/>
      <c r="Z4" s="1550"/>
      <c r="AA4" s="1565"/>
      <c r="AC4" s="1566"/>
      <c r="AD4" s="1550"/>
      <c r="AE4" s="1550"/>
      <c r="AF4" s="1550"/>
      <c r="AG4" s="1550"/>
      <c r="AH4" s="1550"/>
      <c r="AJ4" s="1551"/>
      <c r="AK4" s="1550"/>
      <c r="AL4" s="1550"/>
      <c r="AM4" s="1550"/>
      <c r="AN4" s="1550"/>
      <c r="AO4" s="1567"/>
      <c r="AP4" s="1550"/>
      <c r="AQ4" s="1550"/>
      <c r="AR4" s="1550"/>
      <c r="AS4" s="1550"/>
    </row>
    <row r="5">
      <c r="A5" s="1568" t="s">
        <v>6880</v>
      </c>
      <c r="G5" s="1539"/>
      <c r="H5" s="1569" t="s">
        <v>6881</v>
      </c>
      <c r="M5" s="1570"/>
      <c r="N5" s="1539"/>
      <c r="O5" s="1571" t="s">
        <v>6880</v>
      </c>
      <c r="U5" s="1539"/>
      <c r="V5" s="1569" t="s">
        <v>6881</v>
      </c>
      <c r="AA5" s="1572"/>
      <c r="AB5" s="1539"/>
      <c r="AC5" s="1573" t="s">
        <v>6880</v>
      </c>
      <c r="AI5" s="1539"/>
      <c r="AJ5" s="1569" t="s">
        <v>6881</v>
      </c>
      <c r="AO5" s="1574"/>
      <c r="AP5" s="1569"/>
      <c r="AQ5" s="1569"/>
      <c r="AR5" s="1569"/>
      <c r="AS5" s="1569"/>
    </row>
    <row r="6">
      <c r="A6" s="1575" t="s">
        <v>6882</v>
      </c>
      <c r="B6" s="1576" t="s">
        <v>6883</v>
      </c>
      <c r="C6" s="1576" t="s">
        <v>6884</v>
      </c>
      <c r="D6" s="1576" t="s">
        <v>6885</v>
      </c>
      <c r="E6" s="1577" t="s">
        <v>6886</v>
      </c>
      <c r="F6" s="1576" t="s">
        <v>6887</v>
      </c>
      <c r="H6" s="1578" t="s">
        <v>6882</v>
      </c>
      <c r="I6" s="1576" t="s">
        <v>6883</v>
      </c>
      <c r="J6" s="1576" t="s">
        <v>6884</v>
      </c>
      <c r="K6" s="1576" t="s">
        <v>6885</v>
      </c>
      <c r="L6" s="1577" t="s">
        <v>6886</v>
      </c>
      <c r="M6" s="1579" t="s">
        <v>6887</v>
      </c>
      <c r="O6" s="1580" t="s">
        <v>6882</v>
      </c>
      <c r="P6" s="1576" t="s">
        <v>6883</v>
      </c>
      <c r="Q6" s="1576" t="s">
        <v>6884</v>
      </c>
      <c r="R6" s="1576" t="s">
        <v>6885</v>
      </c>
      <c r="S6" s="1576" t="s">
        <v>6886</v>
      </c>
      <c r="T6" s="1576" t="s">
        <v>6887</v>
      </c>
      <c r="V6" s="1578" t="s">
        <v>6882</v>
      </c>
      <c r="W6" s="1576" t="s">
        <v>6883</v>
      </c>
      <c r="X6" s="1576" t="s">
        <v>6884</v>
      </c>
      <c r="Y6" s="1576" t="s">
        <v>6885</v>
      </c>
      <c r="Z6" s="1576" t="s">
        <v>6886</v>
      </c>
      <c r="AA6" s="1581" t="s">
        <v>6887</v>
      </c>
      <c r="AC6" s="1582" t="s">
        <v>6882</v>
      </c>
      <c r="AD6" s="1583" t="s">
        <v>6883</v>
      </c>
      <c r="AE6" s="1583" t="s">
        <v>6884</v>
      </c>
      <c r="AF6" s="1583" t="s">
        <v>6885</v>
      </c>
      <c r="AG6" s="1583" t="s">
        <v>6886</v>
      </c>
      <c r="AH6" s="1583" t="s">
        <v>6887</v>
      </c>
      <c r="AI6" s="1584"/>
      <c r="AJ6" s="1585" t="s">
        <v>6882</v>
      </c>
      <c r="AK6" s="1583" t="s">
        <v>6883</v>
      </c>
      <c r="AL6" s="1583" t="s">
        <v>6884</v>
      </c>
      <c r="AM6" s="1583" t="s">
        <v>6885</v>
      </c>
      <c r="AN6" s="514" t="s">
        <v>6886</v>
      </c>
      <c r="AO6" s="1586" t="s">
        <v>6887</v>
      </c>
      <c r="AP6" s="1587"/>
    </row>
    <row r="7" ht="11.25" customHeight="1">
      <c r="A7" s="1588" t="s">
        <v>6888</v>
      </c>
      <c r="B7" s="1589">
        <v>0.0</v>
      </c>
      <c r="C7" s="1589">
        <v>3.0</v>
      </c>
      <c r="D7" s="1589">
        <v>3.0</v>
      </c>
      <c r="E7" s="1589">
        <v>3.0</v>
      </c>
      <c r="F7" s="1589">
        <v>3.0</v>
      </c>
      <c r="G7" s="1590"/>
      <c r="H7" s="1591" t="s">
        <v>6888</v>
      </c>
      <c r="I7" s="1589">
        <v>0.0</v>
      </c>
      <c r="J7" s="1589">
        <v>3.0</v>
      </c>
      <c r="K7" s="1589">
        <v>3.0</v>
      </c>
      <c r="L7" s="1589">
        <v>3.0</v>
      </c>
      <c r="M7" s="1592">
        <v>3.0</v>
      </c>
      <c r="N7" s="312"/>
      <c r="O7" s="1593" t="s">
        <v>6888</v>
      </c>
      <c r="P7" s="1594">
        <v>3.0</v>
      </c>
      <c r="Q7" s="1594">
        <v>3.0</v>
      </c>
      <c r="R7" s="1594">
        <v>3.0</v>
      </c>
      <c r="S7" s="1594">
        <v>3.0</v>
      </c>
      <c r="T7" s="1594">
        <v>3.0</v>
      </c>
      <c r="V7" s="1595" t="s">
        <v>6888</v>
      </c>
      <c r="W7" s="1594">
        <v>3.0</v>
      </c>
      <c r="X7" s="1594">
        <v>3.0</v>
      </c>
      <c r="Y7" s="1594">
        <v>3.0</v>
      </c>
      <c r="Z7" s="1594">
        <v>3.0</v>
      </c>
      <c r="AA7" s="1596">
        <v>3.0</v>
      </c>
      <c r="AC7" s="1597" t="s">
        <v>6888</v>
      </c>
      <c r="AD7" s="1598">
        <f t="shared" ref="AD7:AH7" si="1">P7-B7</f>
        <v>3</v>
      </c>
      <c r="AE7" s="1598">
        <f t="shared" si="1"/>
        <v>0</v>
      </c>
      <c r="AF7" s="1598">
        <f t="shared" si="1"/>
        <v>0</v>
      </c>
      <c r="AG7" s="1598">
        <f t="shared" si="1"/>
        <v>0</v>
      </c>
      <c r="AH7" s="1598">
        <f t="shared" si="1"/>
        <v>0</v>
      </c>
      <c r="AJ7" s="1595" t="s">
        <v>6888</v>
      </c>
      <c r="AK7" s="1598">
        <f t="shared" ref="AK7:AO7" si="2">W7-I7</f>
        <v>3</v>
      </c>
      <c r="AL7" s="1598">
        <f t="shared" si="2"/>
        <v>0</v>
      </c>
      <c r="AM7" s="1598">
        <f t="shared" si="2"/>
        <v>0</v>
      </c>
      <c r="AN7" s="1598">
        <f t="shared" si="2"/>
        <v>0</v>
      </c>
      <c r="AO7" s="1599">
        <f t="shared" si="2"/>
        <v>0</v>
      </c>
      <c r="AP7" s="1587"/>
      <c r="AQ7" s="1587" t="s">
        <v>6888</v>
      </c>
      <c r="AR7" s="305">
        <v>32.0</v>
      </c>
      <c r="AS7" s="371"/>
    </row>
    <row r="8">
      <c r="A8" s="1588" t="s">
        <v>6889</v>
      </c>
      <c r="B8" s="1589">
        <v>0.0</v>
      </c>
      <c r="C8" s="1589">
        <v>4.0</v>
      </c>
      <c r="D8" s="1589">
        <v>3.0</v>
      </c>
      <c r="E8" s="1589">
        <v>3.0</v>
      </c>
      <c r="F8" s="1589">
        <v>3.0</v>
      </c>
      <c r="G8" s="716"/>
      <c r="H8" s="1591" t="s">
        <v>6889</v>
      </c>
      <c r="I8" s="1589">
        <v>0.0</v>
      </c>
      <c r="J8" s="1589">
        <v>0.0</v>
      </c>
      <c r="K8" s="1589">
        <v>3.0</v>
      </c>
      <c r="L8" s="1589">
        <v>3.0</v>
      </c>
      <c r="M8" s="1592">
        <v>3.0</v>
      </c>
      <c r="O8" s="1593" t="s">
        <v>6889</v>
      </c>
      <c r="P8" s="1594">
        <v>3.0</v>
      </c>
      <c r="Q8" s="1594">
        <v>4.0</v>
      </c>
      <c r="R8" s="1594">
        <v>3.0</v>
      </c>
      <c r="S8" s="1594">
        <v>3.0</v>
      </c>
      <c r="T8" s="1594">
        <v>3.0</v>
      </c>
      <c r="V8" s="1595" t="s">
        <v>6889</v>
      </c>
      <c r="W8" s="1594">
        <v>3.0</v>
      </c>
      <c r="X8" s="1594">
        <v>3.0</v>
      </c>
      <c r="Y8" s="1594">
        <v>3.0</v>
      </c>
      <c r="Z8" s="1594">
        <v>3.0</v>
      </c>
      <c r="AA8" s="1596">
        <v>3.0</v>
      </c>
      <c r="AC8" s="1597" t="s">
        <v>6889</v>
      </c>
      <c r="AD8" s="1598">
        <f t="shared" ref="AD8:AH8" si="3">P8-B8</f>
        <v>3</v>
      </c>
      <c r="AE8" s="1598">
        <f t="shared" si="3"/>
        <v>0</v>
      </c>
      <c r="AF8" s="1598">
        <f t="shared" si="3"/>
        <v>0</v>
      </c>
      <c r="AG8" s="1598">
        <f t="shared" si="3"/>
        <v>0</v>
      </c>
      <c r="AH8" s="1598">
        <f t="shared" si="3"/>
        <v>0</v>
      </c>
      <c r="AJ8" s="1595" t="s">
        <v>6889</v>
      </c>
      <c r="AK8" s="1598">
        <f t="shared" ref="AK8:AO8" si="4">W8-I8</f>
        <v>3</v>
      </c>
      <c r="AL8" s="1598">
        <f t="shared" si="4"/>
        <v>3</v>
      </c>
      <c r="AM8" s="1598">
        <f t="shared" si="4"/>
        <v>0</v>
      </c>
      <c r="AN8" s="1598">
        <f t="shared" si="4"/>
        <v>0</v>
      </c>
      <c r="AO8" s="1599">
        <f t="shared" si="4"/>
        <v>0</v>
      </c>
      <c r="AP8" s="1587"/>
      <c r="AQ8" s="1587" t="s">
        <v>6889</v>
      </c>
      <c r="AR8" s="305">
        <v>32.0</v>
      </c>
      <c r="AS8" s="371"/>
    </row>
    <row r="9">
      <c r="A9" s="1588" t="s">
        <v>6676</v>
      </c>
      <c r="B9" s="1589">
        <v>4.0</v>
      </c>
      <c r="C9" s="1589">
        <v>4.0</v>
      </c>
      <c r="D9" s="1589">
        <v>4.0</v>
      </c>
      <c r="E9" s="1589">
        <v>3.0</v>
      </c>
      <c r="F9" s="1589">
        <v>3.0</v>
      </c>
      <c r="G9" s="716"/>
      <c r="H9" s="1591" t="s">
        <v>6676</v>
      </c>
      <c r="I9" s="1589">
        <v>3.0</v>
      </c>
      <c r="J9" s="1589">
        <v>0.0</v>
      </c>
      <c r="K9" s="1589">
        <v>3.0</v>
      </c>
      <c r="L9" s="1589">
        <v>3.0</v>
      </c>
      <c r="M9" s="1592">
        <v>3.0</v>
      </c>
      <c r="O9" s="1593" t="s">
        <v>6676</v>
      </c>
      <c r="P9" s="1594">
        <v>4.0</v>
      </c>
      <c r="Q9" s="1594">
        <v>4.0</v>
      </c>
      <c r="R9" s="1594">
        <v>4.0</v>
      </c>
      <c r="S9" s="1594">
        <v>3.0</v>
      </c>
      <c r="T9" s="1594">
        <v>3.0</v>
      </c>
      <c r="V9" s="1595" t="s">
        <v>6676</v>
      </c>
      <c r="W9" s="1594">
        <v>3.0</v>
      </c>
      <c r="X9" s="1594">
        <v>3.0</v>
      </c>
      <c r="Y9" s="1594">
        <v>3.0</v>
      </c>
      <c r="Z9" s="1594">
        <v>3.0</v>
      </c>
      <c r="AA9" s="1596">
        <v>3.0</v>
      </c>
      <c r="AC9" s="1597" t="s">
        <v>6676</v>
      </c>
      <c r="AD9" s="1598">
        <f t="shared" ref="AD9:AH9" si="5">P9-B9</f>
        <v>0</v>
      </c>
      <c r="AE9" s="1598">
        <f t="shared" si="5"/>
        <v>0</v>
      </c>
      <c r="AF9" s="1598">
        <f t="shared" si="5"/>
        <v>0</v>
      </c>
      <c r="AG9" s="1598">
        <f t="shared" si="5"/>
        <v>0</v>
      </c>
      <c r="AH9" s="1598">
        <f t="shared" si="5"/>
        <v>0</v>
      </c>
      <c r="AJ9" s="1595" t="s">
        <v>6676</v>
      </c>
      <c r="AK9" s="1598">
        <f t="shared" ref="AK9:AO9" si="6">W9-I9</f>
        <v>0</v>
      </c>
      <c r="AL9" s="1598">
        <f t="shared" si="6"/>
        <v>3</v>
      </c>
      <c r="AM9" s="1598">
        <f t="shared" si="6"/>
        <v>0</v>
      </c>
      <c r="AN9" s="1598">
        <f t="shared" si="6"/>
        <v>0</v>
      </c>
      <c r="AO9" s="1599">
        <f t="shared" si="6"/>
        <v>0</v>
      </c>
      <c r="AP9" s="1587"/>
      <c r="AQ9" s="1587" t="s">
        <v>6676</v>
      </c>
      <c r="AR9" s="494">
        <v>32.0</v>
      </c>
      <c r="AS9" s="1600" t="s">
        <v>6890</v>
      </c>
    </row>
    <row r="10">
      <c r="A10" s="1588" t="s">
        <v>6891</v>
      </c>
      <c r="B10" s="1589">
        <v>4.0</v>
      </c>
      <c r="C10" s="1589">
        <v>4.0</v>
      </c>
      <c r="D10" s="1589">
        <v>4.0</v>
      </c>
      <c r="E10" s="1589">
        <v>0.0</v>
      </c>
      <c r="F10" s="1589">
        <v>0.0</v>
      </c>
      <c r="G10" s="716"/>
      <c r="H10" s="1591" t="s">
        <v>6891</v>
      </c>
      <c r="I10" s="1589">
        <v>3.0</v>
      </c>
      <c r="J10" s="1589">
        <v>3.0</v>
      </c>
      <c r="K10" s="1589">
        <v>3.0</v>
      </c>
      <c r="L10" s="1589">
        <v>3.0</v>
      </c>
      <c r="M10" s="1592">
        <v>3.0</v>
      </c>
      <c r="O10" s="1593" t="s">
        <v>6891</v>
      </c>
      <c r="P10" s="1594">
        <v>4.0</v>
      </c>
      <c r="Q10" s="1594">
        <v>4.0</v>
      </c>
      <c r="R10" s="1594">
        <v>4.0</v>
      </c>
      <c r="S10" s="1594">
        <v>3.0</v>
      </c>
      <c r="T10" s="1594">
        <v>3.0</v>
      </c>
      <c r="V10" s="1595" t="s">
        <v>6891</v>
      </c>
      <c r="W10" s="1594">
        <v>3.0</v>
      </c>
      <c r="X10" s="1594">
        <v>3.0</v>
      </c>
      <c r="Y10" s="1594">
        <v>3.0</v>
      </c>
      <c r="Z10" s="1594">
        <v>3.0</v>
      </c>
      <c r="AA10" s="1596">
        <v>3.0</v>
      </c>
      <c r="AC10" s="1597" t="s">
        <v>6891</v>
      </c>
      <c r="AD10" s="1598">
        <f t="shared" ref="AD10:AH10" si="7">P10-B10</f>
        <v>0</v>
      </c>
      <c r="AE10" s="1598">
        <f t="shared" si="7"/>
        <v>0</v>
      </c>
      <c r="AF10" s="1598">
        <f t="shared" si="7"/>
        <v>0</v>
      </c>
      <c r="AG10" s="1598">
        <f t="shared" si="7"/>
        <v>3</v>
      </c>
      <c r="AH10" s="1598">
        <f t="shared" si="7"/>
        <v>3</v>
      </c>
      <c r="AJ10" s="1595" t="s">
        <v>6891</v>
      </c>
      <c r="AK10" s="1598">
        <f t="shared" ref="AK10:AO10" si="8">W10-I10</f>
        <v>0</v>
      </c>
      <c r="AL10" s="1598">
        <f t="shared" si="8"/>
        <v>0</v>
      </c>
      <c r="AM10" s="1598">
        <f t="shared" si="8"/>
        <v>0</v>
      </c>
      <c r="AN10" s="1598">
        <f t="shared" si="8"/>
        <v>0</v>
      </c>
      <c r="AO10" s="1599">
        <f t="shared" si="8"/>
        <v>0</v>
      </c>
      <c r="AP10" s="1587"/>
      <c r="AQ10" s="1587" t="s">
        <v>6891</v>
      </c>
      <c r="AR10" s="305">
        <v>34.0</v>
      </c>
      <c r="AS10" s="371"/>
    </row>
    <row r="11" ht="15.75" customHeight="1">
      <c r="A11" s="1588" t="s">
        <v>6892</v>
      </c>
      <c r="B11" s="1589">
        <v>0.0</v>
      </c>
      <c r="C11" s="1589">
        <v>4.0</v>
      </c>
      <c r="D11" s="1589">
        <v>3.0</v>
      </c>
      <c r="E11" s="1589">
        <v>3.0</v>
      </c>
      <c r="F11" s="1589">
        <v>3.0</v>
      </c>
      <c r="G11" s="716"/>
      <c r="H11" s="1591" t="s">
        <v>6892</v>
      </c>
      <c r="I11" s="1589">
        <v>3.0</v>
      </c>
      <c r="J11" s="1589">
        <v>3.0</v>
      </c>
      <c r="K11" s="1589">
        <v>3.0</v>
      </c>
      <c r="L11" s="1589">
        <v>3.0</v>
      </c>
      <c r="M11" s="1592">
        <v>3.0</v>
      </c>
      <c r="O11" s="1593" t="s">
        <v>6892</v>
      </c>
      <c r="P11" s="1594">
        <v>3.0</v>
      </c>
      <c r="Q11" s="1594">
        <v>4.0</v>
      </c>
      <c r="R11" s="1594">
        <v>3.0</v>
      </c>
      <c r="S11" s="1594">
        <v>3.0</v>
      </c>
      <c r="T11" s="1594">
        <v>3.0</v>
      </c>
      <c r="V11" s="1595" t="s">
        <v>6892</v>
      </c>
      <c r="W11" s="1594">
        <v>3.0</v>
      </c>
      <c r="X11" s="1594">
        <v>3.0</v>
      </c>
      <c r="Y11" s="1594">
        <v>3.0</v>
      </c>
      <c r="Z11" s="1594">
        <v>3.0</v>
      </c>
      <c r="AA11" s="1596">
        <v>3.0</v>
      </c>
      <c r="AC11" s="1597" t="s">
        <v>6892</v>
      </c>
      <c r="AD11" s="1598">
        <f t="shared" ref="AD11:AH11" si="9">P11-B11</f>
        <v>3</v>
      </c>
      <c r="AE11" s="1598">
        <f t="shared" si="9"/>
        <v>0</v>
      </c>
      <c r="AF11" s="1598">
        <f t="shared" si="9"/>
        <v>0</v>
      </c>
      <c r="AG11" s="1598">
        <f t="shared" si="9"/>
        <v>0</v>
      </c>
      <c r="AH11" s="1598">
        <f t="shared" si="9"/>
        <v>0</v>
      </c>
      <c r="AJ11" s="1595" t="s">
        <v>6892</v>
      </c>
      <c r="AK11" s="1598">
        <f t="shared" ref="AK11:AO11" si="10">W11-I11</f>
        <v>0</v>
      </c>
      <c r="AL11" s="1598">
        <f t="shared" si="10"/>
        <v>0</v>
      </c>
      <c r="AM11" s="1598">
        <f t="shared" si="10"/>
        <v>0</v>
      </c>
      <c r="AN11" s="1598">
        <f t="shared" si="10"/>
        <v>0</v>
      </c>
      <c r="AO11" s="1599">
        <f t="shared" si="10"/>
        <v>0</v>
      </c>
      <c r="AP11" s="1587"/>
      <c r="AQ11" s="1587" t="s">
        <v>6892</v>
      </c>
      <c r="AR11" s="1601">
        <v>32.0</v>
      </c>
      <c r="AS11" s="1602" t="s">
        <v>6893</v>
      </c>
    </row>
    <row r="12">
      <c r="A12" s="1588" t="s">
        <v>6894</v>
      </c>
      <c r="B12" s="1589">
        <v>0.0</v>
      </c>
      <c r="C12" s="1603">
        <v>20.0</v>
      </c>
      <c r="D12" s="1603">
        <v>20.0</v>
      </c>
      <c r="E12" s="1589">
        <v>2.0</v>
      </c>
      <c r="F12" s="1589">
        <v>3.0</v>
      </c>
      <c r="G12" s="716"/>
      <c r="H12" s="1591" t="s">
        <v>6894</v>
      </c>
      <c r="I12" s="1589">
        <v>1.0</v>
      </c>
      <c r="J12" s="1589">
        <v>0.0</v>
      </c>
      <c r="K12" s="1589">
        <v>4.0</v>
      </c>
      <c r="L12" s="1589">
        <v>3.0</v>
      </c>
      <c r="M12" s="1592">
        <v>3.0</v>
      </c>
      <c r="O12" s="1593" t="s">
        <v>6894</v>
      </c>
      <c r="P12" s="1594">
        <v>5.0</v>
      </c>
      <c r="Q12" s="1604">
        <v>20.0</v>
      </c>
      <c r="R12" s="1604">
        <v>20.0</v>
      </c>
      <c r="S12" s="1594">
        <v>5.0</v>
      </c>
      <c r="T12" s="1594">
        <v>3.0</v>
      </c>
      <c r="V12" s="1595" t="s">
        <v>6894</v>
      </c>
      <c r="W12" s="1594">
        <v>5.0</v>
      </c>
      <c r="X12" s="1594">
        <v>5.0</v>
      </c>
      <c r="Y12" s="1594">
        <v>4.0</v>
      </c>
      <c r="Z12" s="1594">
        <v>3.0</v>
      </c>
      <c r="AA12" s="1596">
        <v>3.0</v>
      </c>
      <c r="AC12" s="1597" t="s">
        <v>6894</v>
      </c>
      <c r="AD12" s="1598">
        <f t="shared" ref="AD12:AH12" si="11">P12-B12</f>
        <v>5</v>
      </c>
      <c r="AE12" s="1605">
        <f t="shared" si="11"/>
        <v>0</v>
      </c>
      <c r="AF12" s="1605">
        <f t="shared" si="11"/>
        <v>0</v>
      </c>
      <c r="AG12" s="1598">
        <f t="shared" si="11"/>
        <v>3</v>
      </c>
      <c r="AH12" s="1598">
        <f t="shared" si="11"/>
        <v>0</v>
      </c>
      <c r="AJ12" s="1595" t="s">
        <v>6894</v>
      </c>
      <c r="AK12" s="1598">
        <f t="shared" ref="AK12:AO12" si="12">W12-I12</f>
        <v>4</v>
      </c>
      <c r="AL12" s="1598">
        <f t="shared" si="12"/>
        <v>5</v>
      </c>
      <c r="AM12" s="1598">
        <f t="shared" si="12"/>
        <v>0</v>
      </c>
      <c r="AN12" s="1598">
        <f t="shared" si="12"/>
        <v>0</v>
      </c>
      <c r="AO12" s="1599">
        <f t="shared" si="12"/>
        <v>0</v>
      </c>
      <c r="AP12" s="1587"/>
      <c r="AQ12" s="1606" t="s">
        <v>6894</v>
      </c>
      <c r="AR12" s="489">
        <v>32.0</v>
      </c>
      <c r="AS12" s="1607" t="s">
        <v>6895</v>
      </c>
    </row>
    <row r="13" ht="18.75" customHeight="1">
      <c r="A13" s="1588" t="s">
        <v>6896</v>
      </c>
      <c r="B13" s="1589">
        <v>4.0</v>
      </c>
      <c r="C13" s="1603">
        <v>20.0</v>
      </c>
      <c r="D13" s="1589">
        <v>8.0</v>
      </c>
      <c r="E13" s="1589">
        <v>4.0</v>
      </c>
      <c r="F13" s="1589">
        <v>3.0</v>
      </c>
      <c r="G13" s="716"/>
      <c r="H13" s="1591" t="s">
        <v>6896</v>
      </c>
      <c r="I13" s="1589">
        <v>4.0</v>
      </c>
      <c r="J13" s="1589">
        <v>5.0</v>
      </c>
      <c r="K13" s="1589">
        <v>4.0</v>
      </c>
      <c r="L13" s="1589">
        <v>3.0</v>
      </c>
      <c r="M13" s="1592">
        <v>3.0</v>
      </c>
      <c r="O13" s="1593" t="s">
        <v>6896</v>
      </c>
      <c r="P13" s="1594">
        <v>4.0</v>
      </c>
      <c r="Q13" s="1604">
        <v>20.0</v>
      </c>
      <c r="R13" s="1594">
        <v>8.0</v>
      </c>
      <c r="S13" s="1594">
        <v>4.0</v>
      </c>
      <c r="T13" s="1594">
        <v>3.0</v>
      </c>
      <c r="V13" s="1595" t="s">
        <v>6896</v>
      </c>
      <c r="W13" s="1594">
        <v>4.0</v>
      </c>
      <c r="X13" s="1594">
        <v>5.0</v>
      </c>
      <c r="Y13" s="1594">
        <v>4.0</v>
      </c>
      <c r="Z13" s="1594">
        <v>3.0</v>
      </c>
      <c r="AA13" s="1596">
        <v>3.0</v>
      </c>
      <c r="AC13" s="1597" t="s">
        <v>6896</v>
      </c>
      <c r="AD13" s="1598">
        <f t="shared" ref="AD13:AH13" si="13">P13-B13</f>
        <v>0</v>
      </c>
      <c r="AE13" s="1605">
        <f t="shared" si="13"/>
        <v>0</v>
      </c>
      <c r="AF13" s="1598">
        <f t="shared" si="13"/>
        <v>0</v>
      </c>
      <c r="AG13" s="1598">
        <f t="shared" si="13"/>
        <v>0</v>
      </c>
      <c r="AH13" s="1598">
        <f t="shared" si="13"/>
        <v>0</v>
      </c>
      <c r="AJ13" s="1595" t="s">
        <v>6896</v>
      </c>
      <c r="AK13" s="1598">
        <f t="shared" ref="AK13:AO13" si="14">W13-I13</f>
        <v>0</v>
      </c>
      <c r="AL13" s="1598">
        <f t="shared" si="14"/>
        <v>0</v>
      </c>
      <c r="AM13" s="1598">
        <f t="shared" si="14"/>
        <v>0</v>
      </c>
      <c r="AN13" s="1598">
        <f t="shared" si="14"/>
        <v>0</v>
      </c>
      <c r="AO13" s="1599">
        <f t="shared" si="14"/>
        <v>0</v>
      </c>
      <c r="AP13" s="1587"/>
      <c r="AQ13" s="1606" t="s">
        <v>6896</v>
      </c>
      <c r="AR13" s="494">
        <v>32.0</v>
      </c>
      <c r="AS13" s="1600" t="s">
        <v>6890</v>
      </c>
    </row>
    <row r="14">
      <c r="A14" s="1588" t="s">
        <v>6897</v>
      </c>
      <c r="B14" s="1589">
        <v>1.0</v>
      </c>
      <c r="C14" s="1589">
        <v>1.0</v>
      </c>
      <c r="D14" s="1589">
        <v>0.0</v>
      </c>
      <c r="E14" s="1589">
        <v>3.0</v>
      </c>
      <c r="F14" s="1589">
        <v>3.0</v>
      </c>
      <c r="G14" s="716"/>
      <c r="H14" s="1591" t="s">
        <v>6897</v>
      </c>
      <c r="I14" s="1589">
        <v>4.0</v>
      </c>
      <c r="J14" s="1589">
        <v>5.0</v>
      </c>
      <c r="K14" s="1589">
        <v>4.0</v>
      </c>
      <c r="L14" s="1589">
        <v>3.0</v>
      </c>
      <c r="M14" s="1592">
        <v>3.0</v>
      </c>
      <c r="O14" s="1593" t="s">
        <v>6897</v>
      </c>
      <c r="P14" s="1594">
        <v>4.0</v>
      </c>
      <c r="Q14" s="1594">
        <v>4.0</v>
      </c>
      <c r="R14" s="1594">
        <v>3.0</v>
      </c>
      <c r="S14" s="1594">
        <v>3.0</v>
      </c>
      <c r="T14" s="1594">
        <v>3.0</v>
      </c>
      <c r="V14" s="1595" t="s">
        <v>6897</v>
      </c>
      <c r="W14" s="1594">
        <v>4.0</v>
      </c>
      <c r="X14" s="1594">
        <v>5.0</v>
      </c>
      <c r="Y14" s="1594">
        <v>4.0</v>
      </c>
      <c r="Z14" s="1594">
        <v>3.0</v>
      </c>
      <c r="AA14" s="1596">
        <v>3.0</v>
      </c>
      <c r="AC14" s="1597" t="s">
        <v>6897</v>
      </c>
      <c r="AD14" s="1598">
        <f t="shared" ref="AD14:AH14" si="15">P14-B14</f>
        <v>3</v>
      </c>
      <c r="AE14" s="1598">
        <f t="shared" si="15"/>
        <v>3</v>
      </c>
      <c r="AF14" s="1598">
        <f t="shared" si="15"/>
        <v>3</v>
      </c>
      <c r="AG14" s="1598">
        <f t="shared" si="15"/>
        <v>0</v>
      </c>
      <c r="AH14" s="1598">
        <f t="shared" si="15"/>
        <v>0</v>
      </c>
      <c r="AJ14" s="1595" t="s">
        <v>6897</v>
      </c>
      <c r="AK14" s="1598">
        <f t="shared" ref="AK14:AO14" si="16">W14-I14</f>
        <v>0</v>
      </c>
      <c r="AL14" s="1598">
        <f t="shared" si="16"/>
        <v>0</v>
      </c>
      <c r="AM14" s="1598">
        <f t="shared" si="16"/>
        <v>0</v>
      </c>
      <c r="AN14" s="1598">
        <f t="shared" si="16"/>
        <v>0</v>
      </c>
      <c r="AO14" s="1599">
        <f t="shared" si="16"/>
        <v>0</v>
      </c>
      <c r="AP14" s="1587"/>
      <c r="AQ14" s="1606" t="s">
        <v>6897</v>
      </c>
      <c r="AR14" s="489">
        <v>32.0</v>
      </c>
      <c r="AS14" s="1607" t="s">
        <v>6895</v>
      </c>
    </row>
    <row r="15">
      <c r="A15" s="1588" t="s">
        <v>6898</v>
      </c>
      <c r="B15" s="1589">
        <v>0.0</v>
      </c>
      <c r="C15" s="1589">
        <v>3.0</v>
      </c>
      <c r="D15" s="1589">
        <v>6.0</v>
      </c>
      <c r="E15" s="1589">
        <v>1.0</v>
      </c>
      <c r="F15" s="1589">
        <v>0.0</v>
      </c>
      <c r="G15" s="716"/>
      <c r="H15" s="1591" t="s">
        <v>6898</v>
      </c>
      <c r="I15" s="1589">
        <v>2.0</v>
      </c>
      <c r="J15" s="1589">
        <v>2.0</v>
      </c>
      <c r="K15" s="1589">
        <v>4.0</v>
      </c>
      <c r="L15" s="1589">
        <v>3.0</v>
      </c>
      <c r="M15" s="1592">
        <v>3.0</v>
      </c>
      <c r="O15" s="1593" t="s">
        <v>6898</v>
      </c>
      <c r="P15" s="1594">
        <v>4.0</v>
      </c>
      <c r="Q15" s="1594">
        <v>6.0</v>
      </c>
      <c r="R15" s="1594">
        <v>6.0</v>
      </c>
      <c r="S15" s="1594">
        <v>4.0</v>
      </c>
      <c r="T15" s="1594">
        <v>3.0</v>
      </c>
      <c r="V15" s="1595" t="s">
        <v>6898</v>
      </c>
      <c r="W15" s="1594">
        <v>5.0</v>
      </c>
      <c r="X15" s="1594">
        <v>5.0</v>
      </c>
      <c r="Y15" s="1594">
        <v>4.0</v>
      </c>
      <c r="Z15" s="1594">
        <v>3.0</v>
      </c>
      <c r="AA15" s="1596">
        <v>3.0</v>
      </c>
      <c r="AC15" s="1597" t="s">
        <v>6898</v>
      </c>
      <c r="AD15" s="1598">
        <f t="shared" ref="AD15:AH15" si="17">P15-B15</f>
        <v>4</v>
      </c>
      <c r="AE15" s="1598">
        <f t="shared" si="17"/>
        <v>3</v>
      </c>
      <c r="AF15" s="1598">
        <f t="shared" si="17"/>
        <v>0</v>
      </c>
      <c r="AG15" s="1598">
        <f t="shared" si="17"/>
        <v>3</v>
      </c>
      <c r="AH15" s="1598">
        <f t="shared" si="17"/>
        <v>3</v>
      </c>
      <c r="AJ15" s="1595" t="s">
        <v>6898</v>
      </c>
      <c r="AK15" s="1598">
        <f t="shared" ref="AK15:AO15" si="18">W15-I15</f>
        <v>3</v>
      </c>
      <c r="AL15" s="1598">
        <f t="shared" si="18"/>
        <v>3</v>
      </c>
      <c r="AM15" s="1598">
        <f t="shared" si="18"/>
        <v>0</v>
      </c>
      <c r="AN15" s="1598">
        <f t="shared" si="18"/>
        <v>0</v>
      </c>
      <c r="AO15" s="1599">
        <f t="shared" si="18"/>
        <v>0</v>
      </c>
      <c r="AP15" s="1587"/>
      <c r="AQ15" s="1606" t="s">
        <v>6898</v>
      </c>
      <c r="AR15" s="305">
        <v>32.0</v>
      </c>
      <c r="AS15" s="371"/>
    </row>
    <row r="16">
      <c r="A16" s="1588" t="s">
        <v>6899</v>
      </c>
      <c r="B16" s="1589">
        <v>4.0</v>
      </c>
      <c r="C16" s="1603">
        <v>20.0</v>
      </c>
      <c r="D16" s="1603">
        <v>20.0</v>
      </c>
      <c r="E16" s="1589">
        <v>4.0</v>
      </c>
      <c r="F16" s="1589">
        <v>3.0</v>
      </c>
      <c r="G16" s="716"/>
      <c r="H16" s="1591" t="s">
        <v>6899</v>
      </c>
      <c r="I16" s="1589">
        <v>5.0</v>
      </c>
      <c r="J16" s="1589">
        <v>1.0</v>
      </c>
      <c r="K16" s="1589">
        <v>4.0</v>
      </c>
      <c r="L16" s="1589">
        <v>0.0</v>
      </c>
      <c r="M16" s="1592">
        <v>3.0</v>
      </c>
      <c r="O16" s="1593" t="s">
        <v>6899</v>
      </c>
      <c r="P16" s="1594">
        <v>4.0</v>
      </c>
      <c r="Q16" s="1604">
        <v>20.0</v>
      </c>
      <c r="R16" s="1604">
        <v>20.0</v>
      </c>
      <c r="S16" s="1594">
        <v>4.0</v>
      </c>
      <c r="T16" s="1594">
        <v>3.0</v>
      </c>
      <c r="V16" s="1595" t="s">
        <v>6899</v>
      </c>
      <c r="W16" s="1594">
        <v>5.0</v>
      </c>
      <c r="X16" s="1594">
        <v>5.0</v>
      </c>
      <c r="Y16" s="1594">
        <v>4.0</v>
      </c>
      <c r="Z16" s="1594">
        <v>3.0</v>
      </c>
      <c r="AA16" s="1596">
        <v>3.0</v>
      </c>
      <c r="AC16" s="1597" t="s">
        <v>6899</v>
      </c>
      <c r="AD16" s="1598">
        <f t="shared" ref="AD16:AH16" si="19">P16-B16</f>
        <v>0</v>
      </c>
      <c r="AE16" s="1605">
        <f t="shared" si="19"/>
        <v>0</v>
      </c>
      <c r="AF16" s="1605">
        <f t="shared" si="19"/>
        <v>0</v>
      </c>
      <c r="AG16" s="1598">
        <f t="shared" si="19"/>
        <v>0</v>
      </c>
      <c r="AH16" s="1598">
        <f t="shared" si="19"/>
        <v>0</v>
      </c>
      <c r="AJ16" s="1595" t="s">
        <v>6899</v>
      </c>
      <c r="AK16" s="1598">
        <f t="shared" ref="AK16:AO16" si="20">W16-I16</f>
        <v>0</v>
      </c>
      <c r="AL16" s="1598">
        <f t="shared" si="20"/>
        <v>4</v>
      </c>
      <c r="AM16" s="1598">
        <f t="shared" si="20"/>
        <v>0</v>
      </c>
      <c r="AN16" s="1598">
        <f t="shared" si="20"/>
        <v>3</v>
      </c>
      <c r="AO16" s="1599">
        <f t="shared" si="20"/>
        <v>0</v>
      </c>
      <c r="AP16" s="1587"/>
      <c r="AQ16" s="1606" t="s">
        <v>6899</v>
      </c>
      <c r="AR16" s="305">
        <v>32.0</v>
      </c>
      <c r="AS16" s="371"/>
    </row>
    <row r="17">
      <c r="A17" s="1588" t="s">
        <v>6900</v>
      </c>
      <c r="B17" s="1589">
        <v>0.0</v>
      </c>
      <c r="C17" s="1589">
        <v>0.0</v>
      </c>
      <c r="D17" s="1589">
        <v>3.0</v>
      </c>
      <c r="E17" s="1589">
        <v>3.0</v>
      </c>
      <c r="F17" s="1589">
        <v>3.0</v>
      </c>
      <c r="G17" s="716"/>
      <c r="H17" s="1591" t="s">
        <v>6900</v>
      </c>
      <c r="I17" s="1589">
        <v>4.0</v>
      </c>
      <c r="J17" s="1589">
        <v>5.0</v>
      </c>
      <c r="K17" s="1589">
        <v>3.0</v>
      </c>
      <c r="L17" s="1589">
        <v>3.0</v>
      </c>
      <c r="M17" s="1592">
        <v>3.0</v>
      </c>
      <c r="O17" s="1593" t="s">
        <v>6900</v>
      </c>
      <c r="P17" s="1594">
        <v>3.0</v>
      </c>
      <c r="Q17" s="1594">
        <v>3.0</v>
      </c>
      <c r="R17" s="1594">
        <v>3.0</v>
      </c>
      <c r="S17" s="1594">
        <v>3.0</v>
      </c>
      <c r="T17" s="1594">
        <v>3.0</v>
      </c>
      <c r="V17" s="1595" t="s">
        <v>6900</v>
      </c>
      <c r="W17" s="1594">
        <v>4.0</v>
      </c>
      <c r="X17" s="1594">
        <v>5.0</v>
      </c>
      <c r="Y17" s="1594">
        <v>3.0</v>
      </c>
      <c r="Z17" s="1594">
        <v>3.0</v>
      </c>
      <c r="AA17" s="1596">
        <v>3.0</v>
      </c>
      <c r="AC17" s="1597" t="s">
        <v>6900</v>
      </c>
      <c r="AD17" s="1598">
        <f t="shared" ref="AD17:AH17" si="21">P17-B17</f>
        <v>3</v>
      </c>
      <c r="AE17" s="1598">
        <f t="shared" si="21"/>
        <v>3</v>
      </c>
      <c r="AF17" s="1598">
        <f t="shared" si="21"/>
        <v>0</v>
      </c>
      <c r="AG17" s="1598">
        <f t="shared" si="21"/>
        <v>0</v>
      </c>
      <c r="AH17" s="1598">
        <f t="shared" si="21"/>
        <v>0</v>
      </c>
      <c r="AJ17" s="1595" t="s">
        <v>6900</v>
      </c>
      <c r="AK17" s="1598">
        <f t="shared" ref="AK17:AO17" si="22">W17-I17</f>
        <v>0</v>
      </c>
      <c r="AL17" s="1598">
        <f t="shared" si="22"/>
        <v>0</v>
      </c>
      <c r="AM17" s="1598">
        <f t="shared" si="22"/>
        <v>0</v>
      </c>
      <c r="AN17" s="1598">
        <f t="shared" si="22"/>
        <v>0</v>
      </c>
      <c r="AO17" s="1599">
        <f t="shared" si="22"/>
        <v>0</v>
      </c>
      <c r="AP17" s="1587"/>
      <c r="AQ17" s="1587" t="s">
        <v>6900</v>
      </c>
      <c r="AR17" s="305">
        <v>32.0</v>
      </c>
      <c r="AS17" s="371"/>
    </row>
    <row r="18">
      <c r="A18" s="1588" t="s">
        <v>6901</v>
      </c>
      <c r="B18" s="1589">
        <v>0.0</v>
      </c>
      <c r="C18" s="1589">
        <v>10.0</v>
      </c>
      <c r="D18" s="1589">
        <v>6.0</v>
      </c>
      <c r="E18" s="1589">
        <v>4.0</v>
      </c>
      <c r="F18" s="1589">
        <v>3.0</v>
      </c>
      <c r="G18" s="716"/>
      <c r="H18" s="1591" t="s">
        <v>6901</v>
      </c>
      <c r="I18" s="1589">
        <v>3.0</v>
      </c>
      <c r="J18" s="1589">
        <v>0.0</v>
      </c>
      <c r="K18" s="1589">
        <v>4.0</v>
      </c>
      <c r="L18" s="1589">
        <v>3.0</v>
      </c>
      <c r="M18" s="1592">
        <v>3.0</v>
      </c>
      <c r="O18" s="1593" t="s">
        <v>6901</v>
      </c>
      <c r="P18" s="1594">
        <v>3.0</v>
      </c>
      <c r="Q18" s="1594">
        <v>10.0</v>
      </c>
      <c r="R18" s="1594">
        <v>6.0</v>
      </c>
      <c r="S18" s="1594">
        <v>4.0</v>
      </c>
      <c r="T18" s="1594">
        <v>3.0</v>
      </c>
      <c r="V18" s="1595" t="s">
        <v>6901</v>
      </c>
      <c r="W18" s="1594">
        <v>3.0</v>
      </c>
      <c r="X18" s="1594">
        <v>5.0</v>
      </c>
      <c r="Y18" s="1594">
        <v>4.0</v>
      </c>
      <c r="Z18" s="1594">
        <v>3.0</v>
      </c>
      <c r="AA18" s="1596">
        <v>3.0</v>
      </c>
      <c r="AC18" s="1597" t="s">
        <v>6901</v>
      </c>
      <c r="AD18" s="1598">
        <f t="shared" ref="AD18:AH18" si="23">P18-B18</f>
        <v>3</v>
      </c>
      <c r="AE18" s="1598">
        <f t="shared" si="23"/>
        <v>0</v>
      </c>
      <c r="AF18" s="1598">
        <f t="shared" si="23"/>
        <v>0</v>
      </c>
      <c r="AG18" s="1598">
        <f t="shared" si="23"/>
        <v>0</v>
      </c>
      <c r="AH18" s="1598">
        <f t="shared" si="23"/>
        <v>0</v>
      </c>
      <c r="AJ18" s="1595" t="s">
        <v>6901</v>
      </c>
      <c r="AK18" s="1598">
        <f t="shared" ref="AK18:AO18" si="24">W18-I18</f>
        <v>0</v>
      </c>
      <c r="AL18" s="1598">
        <f t="shared" si="24"/>
        <v>5</v>
      </c>
      <c r="AM18" s="1598">
        <f t="shared" si="24"/>
        <v>0</v>
      </c>
      <c r="AN18" s="1598">
        <f t="shared" si="24"/>
        <v>0</v>
      </c>
      <c r="AO18" s="1599">
        <f t="shared" si="24"/>
        <v>0</v>
      </c>
      <c r="AP18" s="1587"/>
      <c r="AQ18" s="1587" t="s">
        <v>6901</v>
      </c>
      <c r="AR18" s="305">
        <v>32.0</v>
      </c>
      <c r="AS18" s="371"/>
    </row>
    <row r="19">
      <c r="A19" s="1588" t="s">
        <v>6902</v>
      </c>
      <c r="B19" s="1589">
        <v>4.0</v>
      </c>
      <c r="C19" s="1603">
        <v>20.0</v>
      </c>
      <c r="D19" s="1603">
        <v>20.0</v>
      </c>
      <c r="E19" s="1589">
        <v>4.0</v>
      </c>
      <c r="F19" s="1589">
        <v>3.0</v>
      </c>
      <c r="G19" s="716"/>
      <c r="H19" s="1608" t="s">
        <v>6903</v>
      </c>
      <c r="I19" s="1589">
        <v>4.0</v>
      </c>
      <c r="J19" s="1589">
        <v>0.0</v>
      </c>
      <c r="K19" s="1589">
        <v>1.0</v>
      </c>
      <c r="L19" s="1589">
        <v>3.0</v>
      </c>
      <c r="M19" s="1592">
        <v>0.0</v>
      </c>
      <c r="O19" s="1593" t="s">
        <v>6902</v>
      </c>
      <c r="P19" s="1594">
        <v>4.0</v>
      </c>
      <c r="Q19" s="1604">
        <v>20.0</v>
      </c>
      <c r="R19" s="1604">
        <v>20.0</v>
      </c>
      <c r="S19" s="1594">
        <v>4.0</v>
      </c>
      <c r="T19" s="1594">
        <v>3.0</v>
      </c>
      <c r="V19" s="1608" t="s">
        <v>6903</v>
      </c>
      <c r="W19" s="1594">
        <v>7.0</v>
      </c>
      <c r="X19" s="1594">
        <v>5.0</v>
      </c>
      <c r="Y19" s="1594">
        <v>4.0</v>
      </c>
      <c r="Z19" s="1594">
        <v>3.0</v>
      </c>
      <c r="AA19" s="1596">
        <v>3.0</v>
      </c>
      <c r="AC19" s="1597" t="s">
        <v>6902</v>
      </c>
      <c r="AD19" s="1598">
        <f t="shared" ref="AD19:AH19" si="25">P19-B19</f>
        <v>0</v>
      </c>
      <c r="AE19" s="1605">
        <f t="shared" si="25"/>
        <v>0</v>
      </c>
      <c r="AF19" s="1605">
        <f t="shared" si="25"/>
        <v>0</v>
      </c>
      <c r="AG19" s="1598">
        <f t="shared" si="25"/>
        <v>0</v>
      </c>
      <c r="AH19" s="1598">
        <f t="shared" si="25"/>
        <v>0</v>
      </c>
      <c r="AJ19" s="1608" t="s">
        <v>6903</v>
      </c>
      <c r="AK19" s="1598">
        <f t="shared" ref="AK19:AO19" si="26">W19-I19</f>
        <v>3</v>
      </c>
      <c r="AL19" s="1598">
        <f t="shared" si="26"/>
        <v>5</v>
      </c>
      <c r="AM19" s="1598">
        <f t="shared" si="26"/>
        <v>3</v>
      </c>
      <c r="AN19" s="1598">
        <f t="shared" si="26"/>
        <v>0</v>
      </c>
      <c r="AO19" s="1599">
        <f t="shared" si="26"/>
        <v>3</v>
      </c>
      <c r="AP19" s="1587"/>
      <c r="AQ19" s="1606" t="s">
        <v>6902</v>
      </c>
      <c r="AR19" s="305">
        <v>32.0</v>
      </c>
      <c r="AS19" s="371"/>
    </row>
    <row r="20">
      <c r="A20" s="1588" t="s">
        <v>6904</v>
      </c>
      <c r="B20" s="1589">
        <v>3.0</v>
      </c>
      <c r="C20" s="1589">
        <v>3.0</v>
      </c>
      <c r="D20" s="1589">
        <v>3.0</v>
      </c>
      <c r="E20" s="1589">
        <v>3.0</v>
      </c>
      <c r="F20" s="1589">
        <v>3.0</v>
      </c>
      <c r="G20" s="716"/>
      <c r="H20" s="1609"/>
      <c r="I20" s="1610"/>
      <c r="J20" s="1610"/>
      <c r="K20" s="1610"/>
      <c r="L20" s="1610"/>
      <c r="M20" s="1611"/>
      <c r="O20" s="1593" t="s">
        <v>6904</v>
      </c>
      <c r="P20" s="1594">
        <v>3.0</v>
      </c>
      <c r="Q20" s="1594">
        <v>3.0</v>
      </c>
      <c r="R20" s="1594">
        <v>3.0</v>
      </c>
      <c r="S20" s="1594">
        <v>3.0</v>
      </c>
      <c r="T20" s="1594">
        <v>3.0</v>
      </c>
      <c r="V20" s="1612"/>
      <c r="W20" s="1613"/>
      <c r="X20" s="1613"/>
      <c r="Y20" s="1614"/>
      <c r="Z20" s="1613"/>
      <c r="AA20" s="1615"/>
      <c r="AC20" s="1597" t="s">
        <v>6904</v>
      </c>
      <c r="AD20" s="1598">
        <f t="shared" ref="AD20:AH20" si="27">P20-B20</f>
        <v>0</v>
      </c>
      <c r="AE20" s="1598">
        <f t="shared" si="27"/>
        <v>0</v>
      </c>
      <c r="AF20" s="1598">
        <f t="shared" si="27"/>
        <v>0</v>
      </c>
      <c r="AG20" s="1598">
        <f t="shared" si="27"/>
        <v>0</v>
      </c>
      <c r="AH20" s="1598">
        <f t="shared" si="27"/>
        <v>0</v>
      </c>
      <c r="AJ20" s="1616"/>
      <c r="AK20" s="1617"/>
      <c r="AL20" s="1617"/>
      <c r="AM20" s="1617"/>
      <c r="AN20" s="1617"/>
      <c r="AO20" s="1618"/>
      <c r="AP20" s="1587"/>
      <c r="AQ20" s="1587" t="s">
        <v>6904</v>
      </c>
      <c r="AR20" s="305">
        <v>32.0</v>
      </c>
      <c r="AS20" s="371"/>
    </row>
    <row r="21" ht="15.75" customHeight="1">
      <c r="A21" s="1588" t="s">
        <v>6905</v>
      </c>
      <c r="B21" s="1589">
        <v>3.0</v>
      </c>
      <c r="C21" s="1589">
        <v>3.0</v>
      </c>
      <c r="D21" s="1589">
        <v>3.0</v>
      </c>
      <c r="E21" s="1589">
        <v>3.0</v>
      </c>
      <c r="F21" s="1589">
        <v>3.0</v>
      </c>
      <c r="G21" s="716"/>
      <c r="H21" s="1609"/>
      <c r="I21" s="1610"/>
      <c r="J21" s="1610"/>
      <c r="K21" s="1610"/>
      <c r="L21" s="1610"/>
      <c r="M21" s="1611"/>
      <c r="O21" s="1593" t="s">
        <v>6905</v>
      </c>
      <c r="P21" s="1594">
        <v>3.0</v>
      </c>
      <c r="Q21" s="1594">
        <v>3.0</v>
      </c>
      <c r="R21" s="1594">
        <v>3.0</v>
      </c>
      <c r="S21" s="1594">
        <v>3.0</v>
      </c>
      <c r="T21" s="1594">
        <v>3.0</v>
      </c>
      <c r="V21" s="1612"/>
      <c r="W21" s="1613"/>
      <c r="X21" s="1613"/>
      <c r="Y21" s="1614"/>
      <c r="Z21" s="1614"/>
      <c r="AA21" s="1615"/>
      <c r="AC21" s="1597" t="s">
        <v>6905</v>
      </c>
      <c r="AD21" s="1598">
        <f t="shared" ref="AD21:AH21" si="28">P21-B21</f>
        <v>0</v>
      </c>
      <c r="AE21" s="1598">
        <f t="shared" si="28"/>
        <v>0</v>
      </c>
      <c r="AF21" s="1598">
        <f t="shared" si="28"/>
        <v>0</v>
      </c>
      <c r="AG21" s="1598">
        <f t="shared" si="28"/>
        <v>0</v>
      </c>
      <c r="AH21" s="1598">
        <f t="shared" si="28"/>
        <v>0</v>
      </c>
      <c r="AJ21" s="1616"/>
      <c r="AK21" s="1617"/>
      <c r="AL21" s="1617"/>
      <c r="AM21" s="1617"/>
      <c r="AN21" s="1617"/>
      <c r="AO21" s="1618"/>
      <c r="AP21" s="1587"/>
      <c r="AQ21" s="1587" t="s">
        <v>6905</v>
      </c>
      <c r="AR21" s="305">
        <v>34.0</v>
      </c>
      <c r="AS21" s="371"/>
    </row>
    <row r="22" ht="14.25" customHeight="1">
      <c r="A22" s="1588" t="s">
        <v>6906</v>
      </c>
      <c r="B22" s="1589">
        <v>3.0</v>
      </c>
      <c r="C22" s="1589">
        <v>1.0</v>
      </c>
      <c r="D22" s="1589">
        <v>3.0</v>
      </c>
      <c r="E22" s="1589">
        <v>3.0</v>
      </c>
      <c r="F22" s="1589">
        <v>3.0</v>
      </c>
      <c r="G22" s="716"/>
      <c r="H22" s="1609"/>
      <c r="I22" s="1610"/>
      <c r="J22" s="1610"/>
      <c r="K22" s="1610"/>
      <c r="L22" s="1610"/>
      <c r="M22" s="1611"/>
      <c r="O22" s="1593" t="s">
        <v>6906</v>
      </c>
      <c r="P22" s="1594">
        <v>3.0</v>
      </c>
      <c r="Q22" s="1594">
        <v>4.0</v>
      </c>
      <c r="R22" s="1594">
        <v>3.0</v>
      </c>
      <c r="S22" s="1594">
        <v>3.0</v>
      </c>
      <c r="T22" s="1594">
        <v>3.0</v>
      </c>
      <c r="V22" s="1612"/>
      <c r="W22" s="1613"/>
      <c r="X22" s="1614"/>
      <c r="Y22" s="1614"/>
      <c r="Z22" s="1614"/>
      <c r="AA22" s="1615"/>
      <c r="AC22" s="1597" t="s">
        <v>6906</v>
      </c>
      <c r="AD22" s="1598">
        <f t="shared" ref="AD22:AH22" si="29">P22-B22</f>
        <v>0</v>
      </c>
      <c r="AE22" s="1598">
        <f t="shared" si="29"/>
        <v>3</v>
      </c>
      <c r="AF22" s="1598">
        <f t="shared" si="29"/>
        <v>0</v>
      </c>
      <c r="AG22" s="1598">
        <f t="shared" si="29"/>
        <v>0</v>
      </c>
      <c r="AH22" s="1598">
        <f t="shared" si="29"/>
        <v>0</v>
      </c>
      <c r="AJ22" s="1616"/>
      <c r="AK22" s="1617"/>
      <c r="AL22" s="1617"/>
      <c r="AM22" s="1617"/>
      <c r="AN22" s="1617"/>
      <c r="AO22" s="1618"/>
      <c r="AP22" s="1587"/>
      <c r="AQ22" s="1587" t="s">
        <v>6906</v>
      </c>
      <c r="AR22" s="489">
        <v>32.0</v>
      </c>
      <c r="AS22" s="1619" t="s">
        <v>6895</v>
      </c>
    </row>
    <row r="23">
      <c r="A23" s="1588">
        <v>136.0</v>
      </c>
      <c r="B23" s="1589">
        <v>5.0</v>
      </c>
      <c r="C23" s="1589">
        <v>6.0</v>
      </c>
      <c r="D23" s="1589">
        <v>4.0</v>
      </c>
      <c r="E23" s="1589">
        <v>4.0</v>
      </c>
      <c r="F23" s="1589">
        <v>3.0</v>
      </c>
      <c r="G23" s="716"/>
      <c r="H23" s="1608" t="s">
        <v>6907</v>
      </c>
      <c r="I23" s="1589">
        <v>2.0</v>
      </c>
      <c r="J23" s="1589">
        <v>0.0</v>
      </c>
      <c r="K23" s="1589">
        <v>0.0</v>
      </c>
      <c r="L23" s="1589">
        <v>3.0</v>
      </c>
      <c r="M23" s="1592">
        <v>3.0</v>
      </c>
      <c r="O23" s="1593">
        <v>136.0</v>
      </c>
      <c r="P23" s="1594">
        <v>5.0</v>
      </c>
      <c r="Q23" s="1594">
        <v>6.0</v>
      </c>
      <c r="R23" s="1594">
        <v>4.0</v>
      </c>
      <c r="S23" s="1594">
        <v>4.0</v>
      </c>
      <c r="T23" s="1594">
        <v>3.0</v>
      </c>
      <c r="V23" s="1608" t="s">
        <v>6907</v>
      </c>
      <c r="W23" s="1594">
        <v>5.0</v>
      </c>
      <c r="X23" s="1594">
        <v>3.0</v>
      </c>
      <c r="Y23" s="1594">
        <v>3.0</v>
      </c>
      <c r="Z23" s="1594">
        <v>3.0</v>
      </c>
      <c r="AA23" s="1596">
        <v>3.0</v>
      </c>
      <c r="AC23" s="1597">
        <v>136.0</v>
      </c>
      <c r="AD23" s="1598">
        <f t="shared" ref="AD23:AH23" si="30">P23-B23</f>
        <v>0</v>
      </c>
      <c r="AE23" s="1598">
        <f t="shared" si="30"/>
        <v>0</v>
      </c>
      <c r="AF23" s="1598">
        <f t="shared" si="30"/>
        <v>0</v>
      </c>
      <c r="AG23" s="1598">
        <f t="shared" si="30"/>
        <v>0</v>
      </c>
      <c r="AH23" s="1598">
        <f t="shared" si="30"/>
        <v>0</v>
      </c>
      <c r="AJ23" s="1608" t="s">
        <v>6907</v>
      </c>
      <c r="AK23" s="1598">
        <f t="shared" ref="AK23:AO23" si="31">W23-I23</f>
        <v>3</v>
      </c>
      <c r="AL23" s="1598">
        <f t="shared" si="31"/>
        <v>3</v>
      </c>
      <c r="AM23" s="1598">
        <f t="shared" si="31"/>
        <v>3</v>
      </c>
      <c r="AN23" s="1598">
        <f t="shared" si="31"/>
        <v>0</v>
      </c>
      <c r="AO23" s="1599">
        <f t="shared" si="31"/>
        <v>0</v>
      </c>
      <c r="AP23" s="1587"/>
      <c r="AQ23" s="1587">
        <v>136.0</v>
      </c>
      <c r="AR23" s="489">
        <v>34.0</v>
      </c>
      <c r="AS23" s="1619" t="s">
        <v>6895</v>
      </c>
    </row>
    <row r="24">
      <c r="A24" s="1588">
        <v>137.0</v>
      </c>
      <c r="B24" s="1589">
        <v>5.0</v>
      </c>
      <c r="C24" s="1589">
        <v>6.0</v>
      </c>
      <c r="D24" s="1589">
        <v>1.0</v>
      </c>
      <c r="E24" s="1589">
        <v>4.0</v>
      </c>
      <c r="F24" s="1589">
        <v>3.0</v>
      </c>
      <c r="G24" s="716"/>
      <c r="H24" s="1608" t="s">
        <v>6908</v>
      </c>
      <c r="I24" s="1589">
        <v>4.0</v>
      </c>
      <c r="J24" s="1589">
        <v>3.0</v>
      </c>
      <c r="K24" s="1589">
        <v>3.0</v>
      </c>
      <c r="L24" s="1589">
        <v>0.0</v>
      </c>
      <c r="M24" s="1592">
        <v>3.0</v>
      </c>
      <c r="O24" s="1593">
        <v>137.0</v>
      </c>
      <c r="P24" s="1594">
        <v>5.0</v>
      </c>
      <c r="Q24" s="1594">
        <v>6.0</v>
      </c>
      <c r="R24" s="1594">
        <v>4.0</v>
      </c>
      <c r="S24" s="1594">
        <v>4.0</v>
      </c>
      <c r="T24" s="1594">
        <v>3.0</v>
      </c>
      <c r="V24" s="1608" t="s">
        <v>6908</v>
      </c>
      <c r="W24" s="1594">
        <v>4.0</v>
      </c>
      <c r="X24" s="1594">
        <v>3.0</v>
      </c>
      <c r="Y24" s="1594">
        <v>3.0</v>
      </c>
      <c r="Z24" s="1594">
        <v>3.0</v>
      </c>
      <c r="AA24" s="1596">
        <v>3.0</v>
      </c>
      <c r="AC24" s="1597">
        <v>137.0</v>
      </c>
      <c r="AD24" s="1598">
        <f t="shared" ref="AD24:AH24" si="32">P24-B24</f>
        <v>0</v>
      </c>
      <c r="AE24" s="1598">
        <f t="shared" si="32"/>
        <v>0</v>
      </c>
      <c r="AF24" s="1598">
        <f t="shared" si="32"/>
        <v>3</v>
      </c>
      <c r="AG24" s="1598">
        <f t="shared" si="32"/>
        <v>0</v>
      </c>
      <c r="AH24" s="1598">
        <f t="shared" si="32"/>
        <v>0</v>
      </c>
      <c r="AJ24" s="1608" t="s">
        <v>6908</v>
      </c>
      <c r="AK24" s="1598">
        <f t="shared" ref="AK24:AO24" si="33">W24-I24</f>
        <v>0</v>
      </c>
      <c r="AL24" s="1598">
        <f t="shared" si="33"/>
        <v>0</v>
      </c>
      <c r="AM24" s="1598">
        <f t="shared" si="33"/>
        <v>0</v>
      </c>
      <c r="AN24" s="1598">
        <f t="shared" si="33"/>
        <v>3</v>
      </c>
      <c r="AO24" s="1599">
        <f t="shared" si="33"/>
        <v>0</v>
      </c>
      <c r="AP24" s="1587"/>
      <c r="AQ24" s="1587">
        <v>137.0</v>
      </c>
      <c r="AR24" s="305">
        <v>34.0</v>
      </c>
      <c r="AS24" s="371"/>
    </row>
    <row r="25">
      <c r="A25" s="1588">
        <v>264.0</v>
      </c>
      <c r="B25" s="1589">
        <v>5.0</v>
      </c>
      <c r="C25" s="1589">
        <v>1.0</v>
      </c>
      <c r="D25" s="1589">
        <v>4.0</v>
      </c>
      <c r="E25" s="1589">
        <v>3.0</v>
      </c>
      <c r="F25" s="1589">
        <v>3.0</v>
      </c>
      <c r="G25" s="716"/>
      <c r="H25" s="1609"/>
      <c r="I25" s="1610"/>
      <c r="J25" s="1610"/>
      <c r="K25" s="1610"/>
      <c r="L25" s="1610"/>
      <c r="M25" s="1611"/>
      <c r="O25" s="1593">
        <v>264.0</v>
      </c>
      <c r="P25" s="1594">
        <v>5.0</v>
      </c>
      <c r="Q25" s="1594">
        <v>4.0</v>
      </c>
      <c r="R25" s="1594">
        <v>4.0</v>
      </c>
      <c r="S25" s="1594">
        <v>3.0</v>
      </c>
      <c r="T25" s="1594">
        <v>3.0</v>
      </c>
      <c r="V25" s="1609"/>
      <c r="W25" s="1610"/>
      <c r="X25" s="1610"/>
      <c r="Y25" s="1610"/>
      <c r="Z25" s="1610"/>
      <c r="AA25" s="1611"/>
      <c r="AC25" s="1597">
        <v>264.0</v>
      </c>
      <c r="AD25" s="1598">
        <f t="shared" ref="AD25:AH25" si="34">P25-B25</f>
        <v>0</v>
      </c>
      <c r="AE25" s="1598">
        <f t="shared" si="34"/>
        <v>3</v>
      </c>
      <c r="AF25" s="1598">
        <f t="shared" si="34"/>
        <v>0</v>
      </c>
      <c r="AG25" s="1598">
        <f t="shared" si="34"/>
        <v>0</v>
      </c>
      <c r="AH25" s="1598">
        <f t="shared" si="34"/>
        <v>0</v>
      </c>
      <c r="AJ25" s="1609"/>
      <c r="AK25" s="1610"/>
      <c r="AL25" s="1610"/>
      <c r="AM25" s="1610"/>
      <c r="AN25" s="1610"/>
      <c r="AO25" s="1620"/>
      <c r="AP25" s="1587"/>
      <c r="AQ25" s="1587">
        <v>264.0</v>
      </c>
      <c r="AR25" s="305">
        <v>32.0</v>
      </c>
      <c r="AS25" s="371"/>
    </row>
    <row r="26">
      <c r="A26" s="1588">
        <v>267.0</v>
      </c>
      <c r="B26" s="1589">
        <v>2.0</v>
      </c>
      <c r="C26" s="1589">
        <v>4.0</v>
      </c>
      <c r="D26" s="1589">
        <v>4.0</v>
      </c>
      <c r="E26" s="1589">
        <v>3.0</v>
      </c>
      <c r="F26" s="1589">
        <v>0.0</v>
      </c>
      <c r="G26" s="716"/>
      <c r="H26" s="1608" t="s">
        <v>6909</v>
      </c>
      <c r="I26" s="1589">
        <v>0.0</v>
      </c>
      <c r="J26" s="1589">
        <v>3.0</v>
      </c>
      <c r="K26" s="1589">
        <v>3.0</v>
      </c>
      <c r="L26" s="1589">
        <v>3.0</v>
      </c>
      <c r="M26" s="1621">
        <v>18.0</v>
      </c>
      <c r="O26" s="1593">
        <v>267.0</v>
      </c>
      <c r="P26" s="1594">
        <v>5.0</v>
      </c>
      <c r="Q26" s="1594">
        <v>4.0</v>
      </c>
      <c r="R26" s="1594">
        <v>4.0</v>
      </c>
      <c r="S26" s="1594">
        <v>3.0</v>
      </c>
      <c r="T26" s="1594">
        <v>3.0</v>
      </c>
      <c r="V26" s="1608" t="s">
        <v>6909</v>
      </c>
      <c r="W26" s="1594">
        <v>3.0</v>
      </c>
      <c r="X26" s="1594">
        <v>3.0</v>
      </c>
      <c r="Y26" s="1594">
        <v>3.0</v>
      </c>
      <c r="Z26" s="1594">
        <v>3.0</v>
      </c>
      <c r="AA26" s="1596">
        <v>3.0</v>
      </c>
      <c r="AC26" s="1597">
        <v>267.0</v>
      </c>
      <c r="AD26" s="1598">
        <f t="shared" ref="AD26:AH26" si="35">P26-B26</f>
        <v>3</v>
      </c>
      <c r="AE26" s="1598">
        <f t="shared" si="35"/>
        <v>0</v>
      </c>
      <c r="AF26" s="1598">
        <f t="shared" si="35"/>
        <v>0</v>
      </c>
      <c r="AG26" s="1598">
        <f t="shared" si="35"/>
        <v>0</v>
      </c>
      <c r="AH26" s="1598">
        <f t="shared" si="35"/>
        <v>3</v>
      </c>
      <c r="AJ26" s="1608" t="s">
        <v>6909</v>
      </c>
      <c r="AK26" s="1598">
        <f t="shared" ref="AK26:AN26" si="36">W26-I26</f>
        <v>3</v>
      </c>
      <c r="AL26" s="1598">
        <f t="shared" si="36"/>
        <v>0</v>
      </c>
      <c r="AM26" s="1598">
        <f t="shared" si="36"/>
        <v>0</v>
      </c>
      <c r="AN26" s="1598">
        <f t="shared" si="36"/>
        <v>0</v>
      </c>
      <c r="AO26" s="1622">
        <v>0.0</v>
      </c>
      <c r="AP26" s="1598"/>
      <c r="AQ26" s="1587">
        <v>267.0</v>
      </c>
      <c r="AR26" s="305">
        <v>34.0</v>
      </c>
      <c r="AS26" s="371"/>
    </row>
    <row r="27" ht="1.5" customHeight="1">
      <c r="A27" s="1623"/>
      <c r="B27" s="1590" t="s">
        <v>6910</v>
      </c>
      <c r="C27" s="1589"/>
      <c r="D27" s="1624"/>
      <c r="E27" s="1624"/>
      <c r="F27" s="1590"/>
      <c r="G27" s="716"/>
      <c r="H27" s="1625"/>
      <c r="I27" s="1590"/>
      <c r="J27" s="1590"/>
      <c r="K27" s="1624"/>
      <c r="L27" s="1624"/>
      <c r="M27" s="1626"/>
      <c r="O27" s="1564"/>
      <c r="P27" s="1550"/>
      <c r="Q27" s="1550"/>
      <c r="R27" s="1550"/>
      <c r="S27" s="1550"/>
      <c r="T27" s="1550"/>
      <c r="V27" s="1551"/>
      <c r="W27" s="1550"/>
      <c r="X27" s="1550"/>
      <c r="Y27" s="1550"/>
      <c r="Z27" s="1550"/>
      <c r="AA27" s="1565"/>
      <c r="AC27" s="1566"/>
      <c r="AD27" s="1550"/>
      <c r="AE27" s="1550"/>
      <c r="AF27" s="1550"/>
      <c r="AG27" s="1550"/>
      <c r="AH27" s="1550"/>
      <c r="AJ27" s="1551"/>
      <c r="AK27" s="1550"/>
      <c r="AL27" s="1550"/>
      <c r="AM27" s="1550"/>
      <c r="AN27" s="1550"/>
      <c r="AO27" s="1567"/>
      <c r="AP27" s="1550"/>
      <c r="AQ27" s="1550"/>
      <c r="AR27" s="1550"/>
      <c r="AS27" s="1550"/>
    </row>
    <row r="28">
      <c r="A28" s="1627" t="s">
        <v>6911</v>
      </c>
      <c r="G28" s="1628"/>
      <c r="H28" s="1629" t="s">
        <v>6912</v>
      </c>
      <c r="M28" s="1570"/>
      <c r="N28" s="1630"/>
      <c r="O28" s="1631" t="s">
        <v>6911</v>
      </c>
      <c r="U28" s="1630"/>
      <c r="V28" s="1632" t="s">
        <v>6912</v>
      </c>
      <c r="AA28" s="1572"/>
      <c r="AB28" s="1630"/>
      <c r="AC28" s="1633" t="s">
        <v>6911</v>
      </c>
      <c r="AI28" s="1630"/>
      <c r="AJ28" s="1632" t="s">
        <v>6912</v>
      </c>
      <c r="AO28" s="1574"/>
      <c r="AP28" s="1632"/>
      <c r="AQ28" s="1632"/>
      <c r="AR28" s="1632"/>
      <c r="AS28" s="1632"/>
    </row>
    <row r="29">
      <c r="A29" s="1575" t="s">
        <v>6882</v>
      </c>
      <c r="B29" s="1634" t="s">
        <v>6883</v>
      </c>
      <c r="C29" s="1634" t="s">
        <v>6884</v>
      </c>
      <c r="D29" s="1634" t="s">
        <v>6885</v>
      </c>
      <c r="E29" s="1634" t="s">
        <v>6886</v>
      </c>
      <c r="F29" s="1634" t="s">
        <v>6887</v>
      </c>
      <c r="G29" s="716"/>
      <c r="H29" s="1578" t="s">
        <v>6882</v>
      </c>
      <c r="I29" s="1634" t="s">
        <v>6883</v>
      </c>
      <c r="J29" s="1634" t="s">
        <v>6884</v>
      </c>
      <c r="K29" s="1634" t="s">
        <v>6885</v>
      </c>
      <c r="L29" s="1577" t="s">
        <v>6886</v>
      </c>
      <c r="M29" s="1635" t="s">
        <v>6887</v>
      </c>
      <c r="O29" s="1580" t="s">
        <v>6882</v>
      </c>
      <c r="P29" s="1576" t="s">
        <v>6883</v>
      </c>
      <c r="Q29" s="1576" t="s">
        <v>6884</v>
      </c>
      <c r="R29" s="1576" t="s">
        <v>6885</v>
      </c>
      <c r="S29" s="1576" t="s">
        <v>6886</v>
      </c>
      <c r="T29" s="1576" t="s">
        <v>6887</v>
      </c>
      <c r="V29" s="1578" t="s">
        <v>6882</v>
      </c>
      <c r="W29" s="1576" t="s">
        <v>6883</v>
      </c>
      <c r="X29" s="1576" t="s">
        <v>6884</v>
      </c>
      <c r="Y29" s="1576" t="s">
        <v>6885</v>
      </c>
      <c r="Z29" s="1576" t="s">
        <v>6886</v>
      </c>
      <c r="AA29" s="1581" t="s">
        <v>6887</v>
      </c>
      <c r="AC29" s="1636" t="s">
        <v>6882</v>
      </c>
      <c r="AD29" s="1576" t="s">
        <v>6883</v>
      </c>
      <c r="AE29" s="1576" t="s">
        <v>6884</v>
      </c>
      <c r="AF29" s="1576" t="s">
        <v>6885</v>
      </c>
      <c r="AG29" s="1576" t="s">
        <v>6886</v>
      </c>
      <c r="AH29" s="1576" t="s">
        <v>6887</v>
      </c>
      <c r="AJ29" s="1595" t="s">
        <v>6882</v>
      </c>
      <c r="AK29" s="1576" t="s">
        <v>6883</v>
      </c>
      <c r="AL29" s="1576" t="s">
        <v>6884</v>
      </c>
      <c r="AM29" s="1576" t="s">
        <v>6885</v>
      </c>
      <c r="AN29" s="1576" t="s">
        <v>6886</v>
      </c>
      <c r="AO29" s="1637" t="s">
        <v>6887</v>
      </c>
      <c r="AP29" s="1576"/>
      <c r="AQ29" s="1576"/>
      <c r="AR29" s="1576"/>
      <c r="AS29" s="1576"/>
    </row>
    <row r="30">
      <c r="A30" s="1588" t="s">
        <v>6913</v>
      </c>
      <c r="B30" s="1603">
        <v>20.0</v>
      </c>
      <c r="C30" s="1603">
        <v>10.0</v>
      </c>
      <c r="D30" s="1603">
        <v>20.0</v>
      </c>
      <c r="E30" s="1589">
        <v>10.0</v>
      </c>
      <c r="F30" s="1589">
        <v>7.0</v>
      </c>
      <c r="G30" s="716"/>
      <c r="H30" s="1608" t="s">
        <v>6913</v>
      </c>
      <c r="I30" s="1589">
        <v>5.0</v>
      </c>
      <c r="J30" s="1603">
        <v>30.0</v>
      </c>
      <c r="K30" s="1603">
        <v>20.0</v>
      </c>
      <c r="L30" s="1589">
        <v>12.0</v>
      </c>
      <c r="M30" s="1592">
        <v>7.0</v>
      </c>
      <c r="O30" s="1593" t="s">
        <v>6913</v>
      </c>
      <c r="P30" s="1604">
        <v>20.0</v>
      </c>
      <c r="Q30" s="1604">
        <v>30.0</v>
      </c>
      <c r="R30" s="1604">
        <v>20.0</v>
      </c>
      <c r="S30" s="1594">
        <v>14.0</v>
      </c>
      <c r="T30" s="1594">
        <v>7.0</v>
      </c>
      <c r="V30" s="1595" t="s">
        <v>6913</v>
      </c>
      <c r="W30" s="1594">
        <v>14.0</v>
      </c>
      <c r="X30" s="1604">
        <v>30.0</v>
      </c>
      <c r="Y30" s="1604">
        <v>20.0</v>
      </c>
      <c r="Z30" s="1594">
        <v>12.0</v>
      </c>
      <c r="AA30" s="1596">
        <v>7.0</v>
      </c>
      <c r="AC30" s="1597" t="s">
        <v>6913</v>
      </c>
      <c r="AD30" s="1605">
        <f t="shared" ref="AD30:AH30" si="37">P30-B30</f>
        <v>0</v>
      </c>
      <c r="AE30" s="1605">
        <f t="shared" si="37"/>
        <v>20</v>
      </c>
      <c r="AF30" s="1605">
        <f t="shared" si="37"/>
        <v>0</v>
      </c>
      <c r="AG30" s="1638">
        <f t="shared" si="37"/>
        <v>4</v>
      </c>
      <c r="AH30" s="1598">
        <f t="shared" si="37"/>
        <v>0</v>
      </c>
      <c r="AJ30" s="1595" t="s">
        <v>6913</v>
      </c>
      <c r="AK30" s="1598">
        <f t="shared" ref="AK30:AO30" si="38">W30-I30</f>
        <v>9</v>
      </c>
      <c r="AL30" s="1605">
        <f t="shared" si="38"/>
        <v>0</v>
      </c>
      <c r="AM30" s="1605">
        <f t="shared" si="38"/>
        <v>0</v>
      </c>
      <c r="AN30" s="1598">
        <f t="shared" si="38"/>
        <v>0</v>
      </c>
      <c r="AO30" s="1599">
        <f t="shared" si="38"/>
        <v>0</v>
      </c>
      <c r="AP30" s="1598"/>
      <c r="AQ30" s="1598"/>
      <c r="AR30" s="1598"/>
      <c r="AS30" s="1598"/>
    </row>
    <row r="31">
      <c r="A31" s="1588" t="s">
        <v>6914</v>
      </c>
      <c r="B31" s="1603">
        <v>0.0</v>
      </c>
      <c r="C31" s="1603">
        <v>10.0</v>
      </c>
      <c r="D31" s="1603">
        <v>30.0</v>
      </c>
      <c r="E31" s="1589">
        <v>8.0</v>
      </c>
      <c r="F31" s="1589">
        <v>8.0</v>
      </c>
      <c r="G31" s="716"/>
      <c r="H31" s="1591" t="s">
        <v>6914</v>
      </c>
      <c r="I31" s="1589">
        <v>16.0</v>
      </c>
      <c r="J31" s="1603">
        <v>30.0</v>
      </c>
      <c r="K31" s="1603">
        <v>5.0</v>
      </c>
      <c r="L31" s="1589">
        <v>17.0</v>
      </c>
      <c r="M31" s="1592">
        <v>9.0</v>
      </c>
      <c r="O31" s="1593" t="s">
        <v>6914</v>
      </c>
      <c r="P31" s="1604">
        <v>20.0</v>
      </c>
      <c r="Q31" s="1604">
        <v>30.0</v>
      </c>
      <c r="R31" s="1604">
        <v>30.0</v>
      </c>
      <c r="S31" s="1594">
        <v>18.0</v>
      </c>
      <c r="T31" s="1594">
        <v>8.0</v>
      </c>
      <c r="V31" s="1595" t="s">
        <v>6914</v>
      </c>
      <c r="W31" s="1594">
        <v>16.0</v>
      </c>
      <c r="X31" s="1604">
        <v>30.0</v>
      </c>
      <c r="Y31" s="1604">
        <v>25.0</v>
      </c>
      <c r="Z31" s="1594">
        <v>20.0</v>
      </c>
      <c r="AA31" s="1596">
        <v>9.0</v>
      </c>
      <c r="AC31" s="1597" t="s">
        <v>6914</v>
      </c>
      <c r="AD31" s="1605">
        <f t="shared" ref="AD31:AH31" si="39">P31-B31</f>
        <v>20</v>
      </c>
      <c r="AE31" s="1605">
        <f t="shared" si="39"/>
        <v>20</v>
      </c>
      <c r="AF31" s="1605">
        <f t="shared" si="39"/>
        <v>0</v>
      </c>
      <c r="AG31" s="1638">
        <f t="shared" si="39"/>
        <v>10</v>
      </c>
      <c r="AH31" s="1598">
        <f t="shared" si="39"/>
        <v>0</v>
      </c>
      <c r="AJ31" s="1595" t="s">
        <v>6914</v>
      </c>
      <c r="AK31" s="1598">
        <f t="shared" ref="AK31:AO31" si="40">W31-I31</f>
        <v>0</v>
      </c>
      <c r="AL31" s="1605">
        <f t="shared" si="40"/>
        <v>0</v>
      </c>
      <c r="AM31" s="1605">
        <f t="shared" si="40"/>
        <v>20</v>
      </c>
      <c r="AN31" s="1598">
        <f t="shared" si="40"/>
        <v>3</v>
      </c>
      <c r="AO31" s="1599">
        <f t="shared" si="40"/>
        <v>0</v>
      </c>
      <c r="AP31" s="1598"/>
      <c r="AQ31" s="1598"/>
      <c r="AR31" s="1598"/>
      <c r="AS31" s="1598"/>
    </row>
    <row r="32">
      <c r="A32" s="1639" t="s">
        <v>6915</v>
      </c>
      <c r="B32" s="1640">
        <v>15.0</v>
      </c>
      <c r="C32" s="1640">
        <v>20.0</v>
      </c>
      <c r="D32" s="1640">
        <v>15.0</v>
      </c>
      <c r="E32" s="1640">
        <v>10.0</v>
      </c>
      <c r="F32" s="1640">
        <v>4.0</v>
      </c>
      <c r="G32" s="1641"/>
      <c r="H32" s="1642" t="s">
        <v>6915</v>
      </c>
      <c r="I32" s="1640">
        <v>6.0</v>
      </c>
      <c r="J32" s="1640">
        <v>11.0</v>
      </c>
      <c r="K32" s="1640">
        <v>9.0</v>
      </c>
      <c r="L32" s="1640">
        <v>10.0</v>
      </c>
      <c r="M32" s="1643">
        <v>4.0</v>
      </c>
      <c r="O32" s="1644" t="s">
        <v>6915</v>
      </c>
      <c r="P32" s="1645">
        <v>15.0</v>
      </c>
      <c r="Q32" s="1645">
        <v>20.0</v>
      </c>
      <c r="R32" s="1645">
        <v>15.0</v>
      </c>
      <c r="S32" s="1645">
        <v>10.0</v>
      </c>
      <c r="T32" s="1645">
        <v>4.0</v>
      </c>
      <c r="U32" s="1646"/>
      <c r="V32" s="1647" t="s">
        <v>6915</v>
      </c>
      <c r="W32" s="1645">
        <v>10.0</v>
      </c>
      <c r="X32" s="1645">
        <v>15.0</v>
      </c>
      <c r="Y32" s="1645">
        <v>15.0</v>
      </c>
      <c r="Z32" s="1645">
        <v>10.0</v>
      </c>
      <c r="AA32" s="1648">
        <v>4.0</v>
      </c>
      <c r="AC32" s="1649" t="s">
        <v>6915</v>
      </c>
      <c r="AD32" s="1650">
        <f t="shared" ref="AD32:AH32" si="41">P32-B32</f>
        <v>0</v>
      </c>
      <c r="AE32" s="1650">
        <f t="shared" si="41"/>
        <v>0</v>
      </c>
      <c r="AF32" s="1650">
        <f t="shared" si="41"/>
        <v>0</v>
      </c>
      <c r="AG32" s="1650">
        <f t="shared" si="41"/>
        <v>0</v>
      </c>
      <c r="AH32" s="1650">
        <f t="shared" si="41"/>
        <v>0</v>
      </c>
      <c r="AI32" s="1651"/>
      <c r="AJ32" s="1652" t="s">
        <v>6915</v>
      </c>
      <c r="AK32" s="1650">
        <f t="shared" ref="AK32:AO32" si="42">W32-I32</f>
        <v>4</v>
      </c>
      <c r="AL32" s="1650">
        <f t="shared" si="42"/>
        <v>4</v>
      </c>
      <c r="AM32" s="1650">
        <f t="shared" si="42"/>
        <v>6</v>
      </c>
      <c r="AN32" s="1650">
        <f t="shared" si="42"/>
        <v>0</v>
      </c>
      <c r="AO32" s="1653">
        <f t="shared" si="42"/>
        <v>0</v>
      </c>
      <c r="AP32" s="1598"/>
      <c r="AQ32" s="1598"/>
      <c r="AR32" s="1598"/>
      <c r="AS32" s="1598"/>
    </row>
    <row r="33">
      <c r="A33" s="1551"/>
      <c r="B33" s="1550"/>
      <c r="C33" s="1550"/>
      <c r="D33" s="1594"/>
      <c r="E33" s="1550"/>
      <c r="F33" s="1594"/>
      <c r="H33" s="1551"/>
      <c r="I33" s="1594"/>
      <c r="J33" s="1594"/>
      <c r="K33" s="1594"/>
      <c r="L33" s="1550"/>
      <c r="M33" s="1550"/>
      <c r="O33" s="1551"/>
      <c r="P33" s="1550"/>
      <c r="Q33" s="1550"/>
      <c r="R33" s="1550"/>
      <c r="S33" s="1550"/>
      <c r="T33" s="1550"/>
      <c r="V33" s="1551"/>
      <c r="W33" s="1550"/>
      <c r="X33" s="1550"/>
      <c r="Y33" s="1550"/>
      <c r="Z33" s="1550"/>
      <c r="AA33" s="1550"/>
      <c r="AC33" s="1551"/>
      <c r="AD33" s="1550"/>
      <c r="AE33" s="1550"/>
      <c r="AF33" s="1550"/>
      <c r="AG33" s="1550"/>
      <c r="AH33" s="1550"/>
      <c r="AJ33" s="1551"/>
      <c r="AK33" s="1550"/>
      <c r="AL33" s="1550"/>
      <c r="AM33" s="1550"/>
      <c r="AN33" s="1550"/>
      <c r="AO33" s="1550"/>
      <c r="AP33" s="1550"/>
      <c r="AQ33" s="1550"/>
      <c r="AR33" s="1550"/>
      <c r="AS33" s="1550"/>
    </row>
    <row r="34">
      <c r="A34" s="1551"/>
      <c r="B34" s="1654">
        <f t="shared" ref="B34:F34" si="43">SUM(B7:B26)+B30+B31+B32</f>
        <v>82</v>
      </c>
      <c r="C34" s="1654">
        <f t="shared" si="43"/>
        <v>177</v>
      </c>
      <c r="D34" s="1654">
        <f t="shared" si="43"/>
        <v>187</v>
      </c>
      <c r="E34" s="1654">
        <f t="shared" si="43"/>
        <v>88</v>
      </c>
      <c r="F34" s="1654">
        <f t="shared" si="43"/>
        <v>70</v>
      </c>
      <c r="G34" s="1550"/>
      <c r="H34" s="1550"/>
      <c r="I34" s="1550">
        <f t="shared" ref="I34:M34" si="44">SUM(I7:I26)+I30+I31+I32</f>
        <v>69</v>
      </c>
      <c r="J34" s="1550">
        <f t="shared" si="44"/>
        <v>104</v>
      </c>
      <c r="K34" s="1550">
        <f t="shared" si="44"/>
        <v>83</v>
      </c>
      <c r="L34" s="1550">
        <f t="shared" si="44"/>
        <v>81</v>
      </c>
      <c r="M34" s="1550">
        <f t="shared" si="44"/>
        <v>80</v>
      </c>
      <c r="O34" s="1551"/>
      <c r="P34" s="1550">
        <f t="shared" ref="P34:T34" si="45">SUM(P7:P26)+P30+P31+P32</f>
        <v>132</v>
      </c>
      <c r="Q34" s="1550">
        <f t="shared" si="45"/>
        <v>232</v>
      </c>
      <c r="R34" s="1550">
        <f t="shared" si="45"/>
        <v>193</v>
      </c>
      <c r="S34" s="1550">
        <f t="shared" si="45"/>
        <v>111</v>
      </c>
      <c r="T34" s="1550">
        <f t="shared" si="45"/>
        <v>79</v>
      </c>
      <c r="U34" s="1550"/>
      <c r="V34" s="1550"/>
      <c r="W34" s="1550">
        <f t="shared" ref="W34:AA34" si="46">SUM(W7:W26)+W30+W31+W32</f>
        <v>104</v>
      </c>
      <c r="X34" s="1550">
        <f t="shared" si="46"/>
        <v>139</v>
      </c>
      <c r="Y34" s="1550">
        <f t="shared" si="46"/>
        <v>115</v>
      </c>
      <c r="Z34" s="1550">
        <f t="shared" si="46"/>
        <v>90</v>
      </c>
      <c r="AA34" s="1550">
        <f t="shared" si="46"/>
        <v>68</v>
      </c>
      <c r="AC34" s="1551"/>
      <c r="AD34" s="1655">
        <f t="shared" ref="AD34:AH34" si="47">AD7+AD8+AD9+AD10+AD11+AD12+AD13+AD14+AD15+AD16+AD17+AD18+AD19+AD20+AD21+AD22+AD23+AD24+AD25+AD26+AD30+AD31+AD32</f>
        <v>50</v>
      </c>
      <c r="AE34" s="1655">
        <f t="shared" si="47"/>
        <v>55</v>
      </c>
      <c r="AF34" s="1655">
        <f t="shared" si="47"/>
        <v>6</v>
      </c>
      <c r="AG34" s="1655">
        <f t="shared" si="47"/>
        <v>23</v>
      </c>
      <c r="AH34" s="1655">
        <f t="shared" si="47"/>
        <v>9</v>
      </c>
      <c r="AI34" s="1594"/>
      <c r="AJ34" s="1594"/>
      <c r="AK34" s="1655">
        <f t="shared" ref="AK34:AO34" si="48">AK7+AK8+AK9+AK10+AK11+AK12+AK13+AK14+AK15+AK16+AK17+AK18+AK19+AK20+AK21+AK22+AK23+AK24+AK25+AK26+AK30+AK31+AK32</f>
        <v>35</v>
      </c>
      <c r="AL34" s="1655">
        <f t="shared" si="48"/>
        <v>35</v>
      </c>
      <c r="AM34" s="1655">
        <f t="shared" si="48"/>
        <v>32</v>
      </c>
      <c r="AN34" s="1655">
        <f t="shared" si="48"/>
        <v>9</v>
      </c>
      <c r="AO34" s="1655">
        <f t="shared" si="48"/>
        <v>3</v>
      </c>
      <c r="AP34" s="1594"/>
      <c r="AQ34" s="1594"/>
      <c r="AR34" s="1594"/>
      <c r="AS34" s="1594"/>
    </row>
    <row r="35" ht="11.25" customHeight="1">
      <c r="A35" s="1551"/>
      <c r="B35" s="1550"/>
      <c r="C35" s="1550"/>
      <c r="D35" s="1550"/>
      <c r="E35" s="1550"/>
      <c r="F35" s="1550"/>
      <c r="H35" s="1551"/>
      <c r="I35" s="1594"/>
      <c r="J35" s="1550"/>
      <c r="K35" s="1550"/>
      <c r="L35" s="1550"/>
      <c r="M35" s="1550"/>
      <c r="O35" s="1551"/>
      <c r="P35" s="1550"/>
      <c r="Q35" s="1550"/>
      <c r="R35" s="1550"/>
      <c r="S35" s="1550"/>
      <c r="T35" s="1550"/>
      <c r="V35" s="1551"/>
      <c r="W35" s="1550"/>
      <c r="X35" s="1550"/>
      <c r="Y35" s="1550"/>
      <c r="Z35" s="1550"/>
      <c r="AA35" s="1550"/>
      <c r="AC35" s="1551"/>
      <c r="AD35" s="1550"/>
      <c r="AE35" s="1550"/>
      <c r="AF35" s="1550"/>
      <c r="AG35" s="1550"/>
      <c r="AH35" s="1550"/>
      <c r="AJ35" s="1656"/>
      <c r="AK35" s="1550"/>
      <c r="AL35" s="1550"/>
      <c r="AM35" s="1550"/>
      <c r="AN35" s="1550"/>
      <c r="AO35" s="1550"/>
      <c r="AP35" s="1550"/>
      <c r="AQ35" s="1550"/>
      <c r="AR35" s="1550"/>
      <c r="AS35" s="1550"/>
    </row>
    <row r="36" ht="11.25" customHeight="1">
      <c r="A36" s="1551"/>
      <c r="B36" s="1550"/>
      <c r="C36" s="1550"/>
      <c r="D36" s="1550"/>
      <c r="E36" s="1550"/>
      <c r="F36" s="1550"/>
      <c r="H36" s="1551"/>
      <c r="I36" s="1550"/>
      <c r="J36" s="1550"/>
      <c r="K36" s="1550"/>
      <c r="L36" s="1550"/>
      <c r="M36" s="1550"/>
      <c r="O36" s="1551"/>
      <c r="P36" s="1550"/>
      <c r="Q36" s="1550"/>
      <c r="R36" s="1550"/>
      <c r="S36" s="1550"/>
      <c r="T36" s="1550"/>
      <c r="W36" s="1550"/>
      <c r="X36" s="1550"/>
      <c r="Y36" s="1550"/>
      <c r="Z36" s="1550"/>
      <c r="AA36" s="1550"/>
      <c r="AC36" s="1551"/>
      <c r="AD36" s="1550"/>
      <c r="AE36" s="1550"/>
      <c r="AF36" s="1550"/>
      <c r="AG36" s="1550"/>
      <c r="AH36" s="1550"/>
      <c r="AJ36" s="1656"/>
      <c r="AK36" s="1550"/>
      <c r="AL36" s="1550"/>
      <c r="AM36" s="1550"/>
      <c r="AN36" s="1550"/>
      <c r="AO36" s="1550"/>
      <c r="AP36" s="1550"/>
      <c r="AQ36" s="1550"/>
      <c r="AR36" s="1550"/>
      <c r="AS36" s="1550"/>
    </row>
    <row r="37">
      <c r="A37" s="310"/>
      <c r="B37" s="307"/>
      <c r="C37" s="307"/>
      <c r="D37" s="307"/>
      <c r="E37" s="307"/>
      <c r="F37" s="307"/>
      <c r="G37" s="371"/>
      <c r="H37" s="1657" t="s">
        <v>6916</v>
      </c>
      <c r="I37" s="307"/>
      <c r="J37" s="307"/>
      <c r="K37" s="307"/>
      <c r="L37" s="307"/>
      <c r="M37" s="1658"/>
      <c r="R37" s="307"/>
      <c r="S37" s="307"/>
      <c r="T37" s="307"/>
      <c r="U37" s="371"/>
      <c r="V37" s="1659" t="s">
        <v>6917</v>
      </c>
      <c r="W37" s="307"/>
      <c r="X37" s="307"/>
      <c r="Y37" s="307"/>
      <c r="Z37" s="307"/>
      <c r="AA37" s="307"/>
      <c r="AB37" s="371"/>
      <c r="AC37" s="281" t="s">
        <v>3429</v>
      </c>
      <c r="AD37" s="283"/>
      <c r="AE37" s="307"/>
      <c r="AF37" s="307"/>
      <c r="AG37" s="307"/>
      <c r="AH37" s="307"/>
      <c r="AI37" s="371"/>
      <c r="AJ37" s="1657" t="s">
        <v>6918</v>
      </c>
      <c r="AK37" s="307"/>
      <c r="AL37" s="1660">
        <f>AJ38-243</f>
        <v>14</v>
      </c>
      <c r="AM37" s="282"/>
      <c r="AN37" s="282"/>
      <c r="AO37" s="283"/>
      <c r="AP37" s="307"/>
      <c r="AQ37" s="307"/>
      <c r="AR37" s="307"/>
      <c r="AS37" s="307"/>
    </row>
    <row r="38">
      <c r="A38" s="1551"/>
      <c r="B38" s="1550"/>
      <c r="C38" s="1550"/>
      <c r="D38" s="1550"/>
      <c r="E38" s="1550"/>
      <c r="F38" s="1550"/>
      <c r="H38" s="1661">
        <f>SUM(B34:M34)</f>
        <v>1021</v>
      </c>
      <c r="I38" s="1550"/>
      <c r="J38" s="1550"/>
      <c r="K38" s="1550"/>
      <c r="L38" s="1550"/>
      <c r="M38" s="1590" t="s">
        <v>328</v>
      </c>
      <c r="N38" s="1594"/>
      <c r="O38" s="1576"/>
      <c r="V38" s="1661">
        <f>SUM(P34:AA34)</f>
        <v>1263</v>
      </c>
      <c r="AC38" s="176" t="s">
        <v>6919</v>
      </c>
      <c r="AD38" s="1662">
        <f>SUM(AD7:AH26)</f>
        <v>69</v>
      </c>
      <c r="AE38" s="1550"/>
      <c r="AF38" s="1550"/>
      <c r="AG38" s="1550"/>
      <c r="AH38" s="1594"/>
      <c r="AJ38" s="1663">
        <f>SUM(AD34:AO34)</f>
        <v>257</v>
      </c>
      <c r="AK38" s="1550"/>
      <c r="AL38" s="1664" t="s">
        <v>6920</v>
      </c>
      <c r="AM38" s="285"/>
      <c r="AN38" s="285"/>
      <c r="AO38" s="286"/>
      <c r="AP38" s="1550"/>
      <c r="AQ38" s="1550"/>
      <c r="AR38" s="1550"/>
      <c r="AS38" s="1550"/>
    </row>
    <row r="39">
      <c r="A39" s="1551"/>
      <c r="B39" s="1550"/>
      <c r="C39" s="1550"/>
      <c r="D39" s="1550"/>
      <c r="E39" s="1550"/>
      <c r="F39" s="1550"/>
      <c r="H39" s="1551"/>
      <c r="I39" s="1550"/>
      <c r="J39" s="1550"/>
      <c r="K39" s="1550"/>
      <c r="L39" s="1550"/>
      <c r="M39" s="1634"/>
      <c r="N39" s="1594"/>
      <c r="O39" s="1576"/>
      <c r="P39" s="1550"/>
      <c r="Q39" s="1550"/>
      <c r="R39" s="1550"/>
      <c r="S39" s="1550"/>
      <c r="T39" s="1550"/>
      <c r="V39" s="1551"/>
      <c r="W39" s="1550"/>
      <c r="X39" s="1550"/>
      <c r="Y39" s="1550"/>
      <c r="Z39" s="1550"/>
      <c r="AA39" s="1550"/>
      <c r="AC39" s="176" t="s">
        <v>6921</v>
      </c>
      <c r="AD39" s="1662">
        <f>SUM(AK7:AO26)</f>
        <v>68</v>
      </c>
      <c r="AE39" s="1550"/>
      <c r="AF39" s="1550"/>
      <c r="AG39" s="1550"/>
      <c r="AH39" s="1550"/>
      <c r="AJ39" s="1550"/>
      <c r="AK39" s="1550"/>
      <c r="AL39" s="1550"/>
      <c r="AM39" s="1550"/>
      <c r="AN39" s="1550"/>
      <c r="AO39" s="1550"/>
      <c r="AP39" s="1550"/>
      <c r="AQ39" s="1550"/>
      <c r="AR39" s="1550"/>
      <c r="AS39" s="1550"/>
    </row>
    <row r="40">
      <c r="A40" s="1551"/>
      <c r="B40" s="1550"/>
      <c r="C40" s="1550"/>
      <c r="D40" s="1550"/>
      <c r="E40" s="1550"/>
      <c r="F40" s="1550"/>
      <c r="H40" s="1665">
        <v>5800.0</v>
      </c>
      <c r="I40" s="1550"/>
      <c r="J40" s="1550"/>
      <c r="K40" s="1550"/>
      <c r="L40" s="1550"/>
      <c r="M40" s="1634"/>
      <c r="N40" s="1594"/>
      <c r="O40" s="1594"/>
      <c r="P40" s="1550"/>
      <c r="Q40" s="1550"/>
      <c r="R40" s="1550"/>
      <c r="S40" s="1550"/>
      <c r="T40" s="1550"/>
      <c r="V40" s="1665">
        <v>5800.0</v>
      </c>
      <c r="W40" s="1550"/>
      <c r="X40" s="1550"/>
      <c r="Y40" s="1550"/>
      <c r="Z40" s="1550"/>
      <c r="AA40" s="1550"/>
      <c r="AC40" s="176" t="s">
        <v>6922</v>
      </c>
      <c r="AD40" s="1662">
        <f>SUM(AD30:AH32)</f>
        <v>74</v>
      </c>
      <c r="AE40" s="1550"/>
      <c r="AF40" s="1550"/>
      <c r="AG40" s="1550"/>
      <c r="AH40" s="1550"/>
      <c r="AJ40" s="1665">
        <v>5800.0</v>
      </c>
      <c r="AL40" s="1550"/>
      <c r="AM40" s="1550"/>
      <c r="AN40" s="1550"/>
      <c r="AO40" s="1550"/>
      <c r="AP40" s="1550"/>
      <c r="AQ40" s="1550"/>
      <c r="AR40" s="1594"/>
      <c r="AS40" s="1550"/>
    </row>
    <row r="41">
      <c r="A41" s="1551"/>
      <c r="B41" s="1550"/>
      <c r="C41" s="1550"/>
      <c r="D41" s="1550"/>
      <c r="E41" s="1550"/>
      <c r="F41" s="1550"/>
      <c r="H41" s="1551"/>
      <c r="I41" s="1550"/>
      <c r="J41" s="1550"/>
      <c r="K41" s="1550"/>
      <c r="L41" s="1550"/>
      <c r="M41" s="1634"/>
      <c r="N41" s="1594"/>
      <c r="O41" s="1551"/>
      <c r="P41" s="1550"/>
      <c r="Q41" s="1550"/>
      <c r="R41" s="1550"/>
      <c r="S41" s="1550"/>
      <c r="T41" s="1550"/>
      <c r="V41" s="1656"/>
      <c r="W41" s="1550"/>
      <c r="X41" s="1550"/>
      <c r="Y41" s="1550"/>
      <c r="Z41" s="1550"/>
      <c r="AA41" s="1550"/>
      <c r="AC41" s="176" t="s">
        <v>6923</v>
      </c>
      <c r="AD41" s="1662">
        <f>SUM(AK30:AO32)</f>
        <v>46</v>
      </c>
      <c r="AE41" s="1550"/>
      <c r="AF41" s="1550"/>
      <c r="AG41" s="1550"/>
      <c r="AH41" s="1550"/>
      <c r="AJ41" s="1550"/>
      <c r="AK41" s="1550"/>
      <c r="AL41" s="1550"/>
      <c r="AM41" s="1550"/>
      <c r="AN41" s="1550"/>
      <c r="AO41" s="1550"/>
      <c r="AP41" s="1550"/>
      <c r="AQ41" s="1550"/>
      <c r="AR41" s="1550"/>
      <c r="AS41" s="1550"/>
    </row>
    <row r="42">
      <c r="A42" s="1551"/>
      <c r="B42" s="1550"/>
      <c r="C42" s="1550"/>
      <c r="D42" s="1550"/>
      <c r="E42" s="1550"/>
      <c r="F42" s="1666"/>
      <c r="G42" s="1667" t="s">
        <v>6924</v>
      </c>
      <c r="H42" s="282"/>
      <c r="I42" s="282"/>
      <c r="J42" s="1668"/>
      <c r="K42" s="1550"/>
      <c r="L42" s="1550"/>
      <c r="M42" s="1634"/>
      <c r="N42" s="1594"/>
      <c r="O42" s="1551"/>
      <c r="P42" s="1550"/>
      <c r="Q42" s="1550"/>
      <c r="R42" s="1550"/>
      <c r="S42" s="1550"/>
      <c r="T42" s="1666"/>
      <c r="U42" s="1667" t="s">
        <v>6925</v>
      </c>
      <c r="V42" s="282"/>
      <c r="W42" s="282"/>
      <c r="X42" s="1668"/>
      <c r="Y42" s="1550"/>
      <c r="Z42" s="1550"/>
      <c r="AA42" s="1550"/>
      <c r="AC42" s="1669"/>
      <c r="AD42" s="1670"/>
      <c r="AE42" s="1550"/>
      <c r="AF42" s="1550"/>
      <c r="AG42" s="1550"/>
      <c r="AH42" s="1550"/>
      <c r="AI42" s="1671" t="s">
        <v>6926</v>
      </c>
      <c r="AJ42" s="282"/>
      <c r="AK42" s="283"/>
      <c r="AL42" s="1672" t="s">
        <v>6927</v>
      </c>
      <c r="AP42" s="1550"/>
      <c r="AQ42" s="1550"/>
      <c r="AR42" s="1550"/>
      <c r="AS42" s="1550"/>
    </row>
    <row r="43" ht="21.0" customHeight="1">
      <c r="A43" s="1551"/>
      <c r="B43" s="1550"/>
      <c r="C43" s="1550"/>
      <c r="D43" s="1550"/>
      <c r="E43" s="1550"/>
      <c r="F43" s="1673"/>
      <c r="G43" s="1674">
        <f>H38*H40</f>
        <v>5921800</v>
      </c>
      <c r="H43" s="285"/>
      <c r="I43" s="285"/>
      <c r="J43" s="1675"/>
      <c r="K43" s="1550"/>
      <c r="L43" s="1550"/>
      <c r="M43" s="1634"/>
      <c r="N43" s="1594"/>
      <c r="O43" s="1551"/>
      <c r="P43" s="1550"/>
      <c r="Q43" s="1550"/>
      <c r="R43" s="1550"/>
      <c r="S43" s="1550"/>
      <c r="T43" s="1673"/>
      <c r="U43" s="1676">
        <f>V38*V40</f>
        <v>7325400</v>
      </c>
      <c r="V43" s="285"/>
      <c r="W43" s="285"/>
      <c r="X43" s="1675"/>
      <c r="Y43" s="1550"/>
      <c r="Z43" s="1550"/>
      <c r="AA43" s="1550"/>
      <c r="AC43" s="1677" t="s">
        <v>6520</v>
      </c>
      <c r="AD43" s="1678">
        <f>SUM(AD38:AD41)</f>
        <v>257</v>
      </c>
      <c r="AE43" s="1550"/>
      <c r="AF43" s="1550"/>
      <c r="AG43" s="1550"/>
      <c r="AH43" s="1550"/>
      <c r="AI43" s="1679">
        <f>AJ38*AJ40</f>
        <v>1490600</v>
      </c>
      <c r="AJ43" s="285"/>
      <c r="AK43" s="286"/>
      <c r="AL43" s="1550"/>
      <c r="AM43" s="1550"/>
      <c r="AN43" s="1550"/>
      <c r="AO43" s="1550"/>
      <c r="AP43" s="1550"/>
      <c r="AQ43" s="1550"/>
      <c r="AR43" s="1550"/>
      <c r="AS43" s="1550"/>
    </row>
    <row r="44">
      <c r="A44" s="1551"/>
      <c r="B44" s="1550"/>
      <c r="C44" s="1550"/>
      <c r="D44" s="1550"/>
      <c r="E44" s="1550"/>
      <c r="F44" s="1550"/>
      <c r="H44" s="1551"/>
      <c r="I44" s="1550"/>
      <c r="J44" s="1550"/>
      <c r="K44" s="1550"/>
      <c r="L44" s="1550"/>
      <c r="M44" s="1634"/>
      <c r="N44" s="1594"/>
      <c r="O44" s="1551"/>
      <c r="P44" s="1550"/>
      <c r="Q44" s="1550"/>
      <c r="R44" s="1550"/>
      <c r="S44" s="1550"/>
      <c r="T44" s="1550"/>
      <c r="V44" s="1551"/>
      <c r="W44" s="1550"/>
      <c r="X44" s="1550"/>
      <c r="Y44" s="1550"/>
      <c r="Z44" s="1550"/>
      <c r="AA44" s="1550"/>
      <c r="AC44" s="1551"/>
      <c r="AD44" s="1550"/>
      <c r="AE44" s="1550"/>
      <c r="AF44" s="1550"/>
      <c r="AG44" s="1550"/>
      <c r="AH44" s="1550"/>
      <c r="AJ44" s="1551"/>
      <c r="AK44" s="1550"/>
      <c r="AP44" s="1550"/>
      <c r="AQ44" s="1550"/>
      <c r="AR44" s="1550"/>
      <c r="AS44" s="1550"/>
    </row>
    <row r="45" ht="21.0" customHeight="1">
      <c r="A45" s="1551"/>
      <c r="B45" s="1550"/>
      <c r="C45" s="1550"/>
      <c r="D45" s="1550"/>
      <c r="E45" s="1550"/>
      <c r="F45" s="1550"/>
      <c r="H45" s="1551"/>
      <c r="I45" s="1550"/>
      <c r="J45" s="1550"/>
      <c r="K45" s="1550"/>
      <c r="L45" s="1550"/>
      <c r="M45" s="1634"/>
      <c r="N45" s="1594"/>
      <c r="O45" s="1634"/>
      <c r="P45" s="1576"/>
      <c r="Q45" s="1550"/>
      <c r="R45" s="1550"/>
      <c r="S45" s="1550"/>
      <c r="T45" s="1550"/>
      <c r="U45" s="1550"/>
      <c r="V45" s="1550"/>
      <c r="W45" s="1550"/>
      <c r="X45" s="1550"/>
      <c r="Y45" s="1550"/>
      <c r="Z45" s="1550"/>
      <c r="AA45" s="1550"/>
      <c r="AC45" s="1656"/>
      <c r="AD45" s="1550"/>
      <c r="AE45" s="1550"/>
      <c r="AF45" s="1550"/>
      <c r="AG45" s="1550"/>
      <c r="AH45" s="1550"/>
      <c r="AJ45" s="1680" t="s">
        <v>6845</v>
      </c>
      <c r="AK45" s="1270"/>
      <c r="AL45" s="1681" t="s">
        <v>6928</v>
      </c>
      <c r="AM45" s="1270"/>
      <c r="AN45" s="1682" t="s">
        <v>2855</v>
      </c>
      <c r="AQ45" s="1550"/>
      <c r="AR45" s="1550"/>
      <c r="AS45" s="1550"/>
    </row>
    <row r="46">
      <c r="A46" s="1551"/>
      <c r="B46" s="1550"/>
      <c r="C46" s="1550"/>
      <c r="D46" s="1550"/>
      <c r="E46" s="1550"/>
      <c r="F46" s="1550"/>
      <c r="H46" s="1550"/>
      <c r="I46" s="1550"/>
      <c r="J46" s="1550"/>
      <c r="K46" s="1550"/>
      <c r="L46" s="1550"/>
      <c r="M46" s="1634"/>
      <c r="N46" s="1594"/>
      <c r="O46" s="1634"/>
      <c r="P46" s="1594"/>
      <c r="Q46" s="1550"/>
      <c r="R46" s="1550"/>
      <c r="S46" s="1550"/>
      <c r="T46" s="1550"/>
      <c r="U46" s="1550"/>
      <c r="V46" s="1550"/>
      <c r="W46" s="1550"/>
      <c r="X46" s="1550"/>
      <c r="Y46" s="1550"/>
      <c r="Z46" s="1550"/>
      <c r="AA46" s="1550"/>
      <c r="AB46" s="1550"/>
      <c r="AC46" s="1594"/>
      <c r="AD46" s="1550"/>
      <c r="AE46" s="1550"/>
      <c r="AF46" s="1550"/>
      <c r="AG46" s="1550"/>
      <c r="AH46" s="1550"/>
      <c r="AJ46" s="1683">
        <v>10.0</v>
      </c>
      <c r="AK46" s="1684">
        <v>44823.0</v>
      </c>
      <c r="AL46" s="1685">
        <v>55.0</v>
      </c>
      <c r="AM46" s="1270"/>
      <c r="AN46" s="1686"/>
      <c r="AQ46" s="1550"/>
      <c r="AR46" s="1550"/>
      <c r="AS46" s="1550"/>
    </row>
    <row r="47">
      <c r="A47" s="1551"/>
      <c r="B47" s="1550"/>
      <c r="C47" s="1550"/>
      <c r="D47" s="1550"/>
      <c r="E47" s="1550"/>
      <c r="F47" s="1550"/>
      <c r="H47" s="1551"/>
      <c r="I47" s="1550"/>
      <c r="J47" s="1550"/>
      <c r="K47" s="1550"/>
      <c r="L47" s="1550"/>
      <c r="M47" s="1550"/>
      <c r="O47" s="1634"/>
      <c r="P47" s="1687"/>
      <c r="Q47" s="1550"/>
      <c r="R47" s="1550"/>
      <c r="S47" s="1550"/>
      <c r="T47" s="1550"/>
      <c r="V47" s="1551"/>
      <c r="W47" s="1550"/>
      <c r="X47" s="1550"/>
      <c r="Y47" s="1550"/>
      <c r="Z47" s="1550"/>
      <c r="AA47" s="1550"/>
      <c r="AC47" s="1551"/>
      <c r="AD47" s="1550"/>
      <c r="AE47" s="1550"/>
      <c r="AF47" s="1550"/>
      <c r="AG47" s="1550"/>
      <c r="AH47" s="1550"/>
      <c r="AJ47" s="1683">
        <v>2.0</v>
      </c>
      <c r="AK47" s="1683" t="s">
        <v>6929</v>
      </c>
      <c r="AL47" s="1685">
        <v>43.0</v>
      </c>
      <c r="AM47" s="1270"/>
      <c r="AN47" s="1683">
        <v>145.0</v>
      </c>
      <c r="AQ47" s="1550"/>
      <c r="AR47" s="1550"/>
      <c r="AS47" s="1550"/>
    </row>
    <row r="48">
      <c r="A48" s="1551"/>
      <c r="B48" s="1550"/>
      <c r="C48" s="1550"/>
      <c r="D48" s="1550"/>
      <c r="E48" s="1550"/>
      <c r="F48" s="1550"/>
      <c r="H48" s="1551"/>
      <c r="I48" s="1550"/>
      <c r="J48" s="1550"/>
      <c r="K48" s="1550"/>
      <c r="L48" s="1550"/>
      <c r="M48" s="1550"/>
      <c r="O48" s="1578"/>
      <c r="P48" s="1576"/>
      <c r="Q48" s="1576"/>
      <c r="R48" s="1576"/>
      <c r="S48" s="1576"/>
      <c r="T48" s="1576"/>
      <c r="V48" s="1578"/>
      <c r="W48" s="1576"/>
      <c r="X48" s="1576"/>
      <c r="Y48" s="1576"/>
      <c r="Z48" s="1576"/>
      <c r="AA48" s="1576"/>
      <c r="AB48" s="1550"/>
      <c r="AC48" s="1594"/>
      <c r="AD48" s="1550"/>
      <c r="AE48" s="1550"/>
      <c r="AF48" s="1550"/>
      <c r="AG48" s="1550"/>
      <c r="AH48" s="1550"/>
      <c r="AJ48" s="1683">
        <v>22.0</v>
      </c>
      <c r="AK48" s="1683" t="s">
        <v>6929</v>
      </c>
      <c r="AL48" s="1685">
        <v>47.0</v>
      </c>
      <c r="AM48" s="1270"/>
      <c r="AN48" s="1683">
        <v>138.0</v>
      </c>
      <c r="AQ48" s="1550"/>
      <c r="AR48" s="1550"/>
      <c r="AS48" s="1550"/>
    </row>
    <row r="49">
      <c r="A49" s="1551"/>
      <c r="B49" s="1550"/>
      <c r="C49" s="1550"/>
      <c r="D49" s="1550"/>
      <c r="E49" s="1550"/>
      <c r="F49" s="1550"/>
      <c r="H49" s="1551"/>
      <c r="I49" s="1550"/>
      <c r="J49" s="1550"/>
      <c r="K49" s="1550"/>
      <c r="L49" s="1550"/>
      <c r="M49" s="1550"/>
      <c r="O49" s="1595"/>
      <c r="P49" s="1594"/>
      <c r="Q49" s="1594"/>
      <c r="R49" s="1594"/>
      <c r="S49" s="1594"/>
      <c r="T49" s="1594"/>
      <c r="V49" s="1595"/>
      <c r="W49" s="1594"/>
      <c r="X49" s="1594"/>
      <c r="Y49" s="1594"/>
      <c r="Z49" s="1594"/>
      <c r="AA49" s="1594"/>
      <c r="AC49" s="1656"/>
      <c r="AD49" s="1550"/>
      <c r="AE49" s="1550"/>
      <c r="AF49" s="1550"/>
      <c r="AG49" s="1550"/>
      <c r="AH49" s="1550"/>
      <c r="AJ49" s="1683">
        <v>30.0</v>
      </c>
      <c r="AK49" s="1683" t="s">
        <v>6929</v>
      </c>
      <c r="AL49" s="1685">
        <v>40.0</v>
      </c>
      <c r="AM49" s="1270"/>
      <c r="AN49" s="1683">
        <v>198.0</v>
      </c>
      <c r="AO49" s="1550"/>
      <c r="AP49" s="1550"/>
      <c r="AQ49" s="1550"/>
      <c r="AR49" s="1550"/>
      <c r="AS49" s="1550"/>
    </row>
    <row r="50">
      <c r="A50" s="1551"/>
      <c r="B50" s="1550"/>
      <c r="C50" s="1550"/>
      <c r="D50" s="1550"/>
      <c r="E50" s="1550"/>
      <c r="F50" s="1550"/>
      <c r="H50" s="1551"/>
      <c r="I50" s="1550"/>
      <c r="J50" s="1550"/>
      <c r="K50" s="1550"/>
      <c r="L50" s="1550"/>
      <c r="M50" s="1550"/>
      <c r="O50" s="1595"/>
      <c r="P50" s="1594"/>
      <c r="Q50" s="1594"/>
      <c r="R50" s="1594"/>
      <c r="S50" s="1594"/>
      <c r="T50" s="1594"/>
      <c r="V50" s="1595"/>
      <c r="W50" s="1594"/>
      <c r="X50" s="1594"/>
      <c r="Y50" s="1594"/>
      <c r="Z50" s="1594"/>
      <c r="AA50" s="1594"/>
      <c r="AC50" s="1551"/>
      <c r="AD50" s="1550"/>
      <c r="AE50" s="1550"/>
      <c r="AF50" s="1550"/>
      <c r="AG50" s="1550"/>
      <c r="AH50" s="1550"/>
      <c r="AJ50" s="1683">
        <v>13.0</v>
      </c>
      <c r="AK50" s="1683" t="s">
        <v>6930</v>
      </c>
      <c r="AL50" s="1685">
        <v>21.0</v>
      </c>
      <c r="AM50" s="1270"/>
      <c r="AN50" s="1683">
        <v>178.0</v>
      </c>
      <c r="AO50" s="1550"/>
      <c r="AP50" s="1550"/>
      <c r="AQ50" s="1550"/>
      <c r="AR50" s="1550"/>
      <c r="AS50" s="1550"/>
    </row>
    <row r="51">
      <c r="A51" s="1551"/>
      <c r="B51" s="1550"/>
      <c r="C51" s="1550"/>
      <c r="D51" s="1550"/>
      <c r="E51" s="1550"/>
      <c r="F51" s="1550"/>
      <c r="H51" s="1656"/>
      <c r="I51" s="1550"/>
      <c r="J51" s="1550"/>
      <c r="K51" s="1550"/>
      <c r="L51" s="1550"/>
      <c r="M51" s="1550"/>
      <c r="O51" s="1595"/>
      <c r="P51" s="1594"/>
      <c r="Q51" s="1594"/>
      <c r="R51" s="1594"/>
      <c r="S51" s="1594"/>
      <c r="T51" s="1594"/>
      <c r="V51" s="1595"/>
      <c r="W51" s="1594"/>
      <c r="X51" s="1594"/>
      <c r="Y51" s="1594"/>
      <c r="Z51" s="1594"/>
      <c r="AA51" s="1594"/>
      <c r="AC51" s="1551"/>
      <c r="AD51" s="1594"/>
      <c r="AE51" s="1550"/>
      <c r="AF51" s="1550"/>
      <c r="AG51" s="1550"/>
      <c r="AH51" s="1550"/>
      <c r="AJ51" s="1683">
        <v>13.0</v>
      </c>
      <c r="AK51" s="1688" t="s">
        <v>6931</v>
      </c>
      <c r="AL51" s="1685"/>
      <c r="AM51" s="1270"/>
      <c r="AN51" s="1683">
        <v>120.0</v>
      </c>
      <c r="AO51" s="1550"/>
      <c r="AP51" s="1550"/>
      <c r="AQ51" s="1550"/>
      <c r="AR51" s="1550"/>
      <c r="AS51" s="1550"/>
    </row>
    <row r="52">
      <c r="A52" s="1551"/>
      <c r="B52" s="1550"/>
      <c r="C52" s="1550"/>
      <c r="D52" s="1550"/>
      <c r="E52" s="1550"/>
      <c r="F52" s="1550"/>
      <c r="H52" s="1551"/>
      <c r="I52" s="1550"/>
      <c r="J52" s="1550"/>
      <c r="K52" s="1550"/>
      <c r="L52" s="1550"/>
      <c r="M52" s="1550"/>
      <c r="O52" s="1634"/>
      <c r="P52" s="1594"/>
      <c r="Q52" s="1550"/>
      <c r="R52" s="1550"/>
      <c r="S52" s="1550"/>
      <c r="T52" s="1550"/>
      <c r="V52" s="1551"/>
      <c r="W52" s="1550"/>
      <c r="X52" s="1550"/>
      <c r="Y52" s="1550"/>
      <c r="Z52" s="1550"/>
      <c r="AA52" s="1550"/>
      <c r="AC52" s="1551"/>
      <c r="AD52" s="1594">
        <v>2020.0</v>
      </c>
      <c r="AE52" s="1550">
        <f>SUM(AN51:AN60)</f>
        <v>1414</v>
      </c>
      <c r="AF52" s="1550"/>
      <c r="AG52" s="1550"/>
      <c r="AH52" s="1550"/>
      <c r="AJ52" s="1683">
        <v>30.0</v>
      </c>
      <c r="AK52" s="1683" t="s">
        <v>6932</v>
      </c>
      <c r="AL52" s="1685">
        <v>45.0</v>
      </c>
      <c r="AM52" s="1270"/>
      <c r="AN52" s="1683">
        <v>112.0</v>
      </c>
      <c r="AO52" s="1550"/>
      <c r="AP52" s="1550"/>
      <c r="AQ52" s="1550"/>
      <c r="AR52" s="1550"/>
      <c r="AS52" s="1550"/>
    </row>
    <row r="53">
      <c r="A53" s="1551"/>
      <c r="B53" s="1550"/>
      <c r="C53" s="1550"/>
      <c r="D53" s="1550"/>
      <c r="E53" s="1550"/>
      <c r="F53" s="1550"/>
      <c r="H53" s="1551"/>
      <c r="I53" s="1550"/>
      <c r="J53" s="1550"/>
      <c r="K53" s="1550"/>
      <c r="L53" s="1550"/>
      <c r="M53" s="1550"/>
      <c r="O53" s="1634"/>
      <c r="P53" s="1576"/>
      <c r="Q53" s="1550"/>
      <c r="R53" s="1550"/>
      <c r="S53" s="1550"/>
      <c r="T53" s="1550"/>
      <c r="V53" s="1551"/>
      <c r="W53" s="1550"/>
      <c r="X53" s="1550"/>
      <c r="Y53" s="1550"/>
      <c r="Z53" s="1550"/>
      <c r="AA53" s="1550"/>
      <c r="AC53" s="1551"/>
      <c r="AD53" s="1594">
        <v>2021.0</v>
      </c>
      <c r="AE53" s="1550">
        <f>SUM(AN61:AN71)</f>
        <v>2468</v>
      </c>
      <c r="AF53" s="1550"/>
      <c r="AG53" s="1550"/>
      <c r="AH53" s="1550"/>
      <c r="AJ53" s="1683">
        <v>18.0</v>
      </c>
      <c r="AK53" s="1683" t="s">
        <v>6933</v>
      </c>
      <c r="AL53" s="1685">
        <v>92.0</v>
      </c>
      <c r="AM53" s="1270"/>
      <c r="AN53" s="1683">
        <v>118.0</v>
      </c>
      <c r="AO53" s="1550"/>
      <c r="AP53" s="1550"/>
      <c r="AQ53" s="1550"/>
      <c r="AR53" s="1550"/>
      <c r="AS53" s="1550"/>
    </row>
    <row r="54">
      <c r="A54" s="1551"/>
      <c r="B54" s="1550"/>
      <c r="C54" s="1550"/>
      <c r="D54" s="1550"/>
      <c r="E54" s="1550"/>
      <c r="F54" s="1550"/>
      <c r="H54" s="1551"/>
      <c r="I54" s="1550"/>
      <c r="J54" s="1550"/>
      <c r="K54" s="1550"/>
      <c r="L54" s="1550"/>
      <c r="M54" s="1550"/>
      <c r="O54" s="1634"/>
      <c r="P54" s="1594"/>
      <c r="Q54" s="1550"/>
      <c r="R54" s="1550"/>
      <c r="S54" s="1550"/>
      <c r="T54" s="1550"/>
      <c r="V54" s="1551"/>
      <c r="W54" s="1550"/>
      <c r="X54" s="1550"/>
      <c r="Y54" s="1550"/>
      <c r="Z54" s="1550"/>
      <c r="AA54" s="1550"/>
      <c r="AC54" s="1551"/>
      <c r="AD54" s="1594">
        <v>2022.0</v>
      </c>
      <c r="AE54" s="1550">
        <f>SUM(AN72:AN82)</f>
        <v>1919</v>
      </c>
      <c r="AF54" s="1550"/>
      <c r="AG54" s="1550"/>
      <c r="AH54" s="1550"/>
      <c r="AJ54" s="1683">
        <v>3.0</v>
      </c>
      <c r="AK54" s="1683" t="s">
        <v>6934</v>
      </c>
      <c r="AL54" s="1685">
        <f>126-76</f>
        <v>50</v>
      </c>
      <c r="AM54" s="1270"/>
      <c r="AN54" s="1683">
        <v>126.0</v>
      </c>
      <c r="AO54" s="1550"/>
      <c r="AP54" s="1550"/>
      <c r="AQ54" s="1550"/>
      <c r="AR54" s="1550"/>
      <c r="AS54" s="1550"/>
    </row>
    <row r="55">
      <c r="A55" s="1551"/>
      <c r="B55" s="1550"/>
      <c r="C55" s="1550"/>
      <c r="D55" s="1550"/>
      <c r="E55" s="1550"/>
      <c r="F55" s="1550"/>
      <c r="H55" s="1551"/>
      <c r="I55" s="1550"/>
      <c r="J55" s="1550"/>
      <c r="K55" s="1550"/>
      <c r="L55" s="1550"/>
      <c r="M55" s="1550"/>
      <c r="O55" s="1634"/>
      <c r="P55" s="1687"/>
      <c r="Q55" s="1550"/>
      <c r="R55" s="1550"/>
      <c r="S55" s="1550"/>
      <c r="T55" s="1550"/>
      <c r="V55" s="1656"/>
      <c r="W55" s="1550"/>
      <c r="X55" s="1550"/>
      <c r="Y55" s="1550"/>
      <c r="Z55" s="1550"/>
      <c r="AA55" s="1550"/>
      <c r="AC55" s="1551"/>
      <c r="AD55" s="1594">
        <v>2023.0</v>
      </c>
      <c r="AE55" s="1550">
        <f>SUM(AN83:AN90)</f>
        <v>3039</v>
      </c>
      <c r="AF55" s="1550"/>
      <c r="AG55" s="1550"/>
      <c r="AH55" s="1550"/>
      <c r="AJ55" s="1683">
        <v>6.0</v>
      </c>
      <c r="AK55" s="1683" t="s">
        <v>6935</v>
      </c>
      <c r="AL55" s="1685">
        <v>40.0</v>
      </c>
      <c r="AM55" s="1270"/>
      <c r="AN55" s="1683">
        <v>152.0</v>
      </c>
      <c r="AO55" s="1550"/>
      <c r="AP55" s="1550"/>
      <c r="AQ55" s="1550"/>
      <c r="AR55" s="1550"/>
      <c r="AS55" s="1550"/>
    </row>
    <row r="56">
      <c r="A56" s="1551"/>
      <c r="B56" s="1550"/>
      <c r="C56" s="1550"/>
      <c r="D56" s="1550"/>
      <c r="E56" s="1550"/>
      <c r="F56" s="1550"/>
      <c r="H56" s="1551"/>
      <c r="I56" s="1550"/>
      <c r="J56" s="1550"/>
      <c r="K56" s="1550"/>
      <c r="L56" s="1550"/>
      <c r="M56" s="1550"/>
      <c r="O56" s="1634"/>
      <c r="P56" s="1687"/>
      <c r="Q56" s="1550"/>
      <c r="R56" s="1550"/>
      <c r="S56" s="1550"/>
      <c r="T56" s="1550"/>
      <c r="V56" s="1551"/>
      <c r="W56" s="1550"/>
      <c r="X56" s="1550"/>
      <c r="Y56" s="1550"/>
      <c r="Z56" s="1550"/>
      <c r="AA56" s="1550"/>
      <c r="AC56" s="1551"/>
      <c r="AD56" s="1594">
        <v>2024.0</v>
      </c>
      <c r="AE56" s="1550">
        <f>SUM(AN91:AN98)</f>
        <v>2252</v>
      </c>
      <c r="AF56" s="1550"/>
      <c r="AG56" s="1550"/>
      <c r="AH56" s="1550"/>
      <c r="AJ56" s="1683">
        <v>7.0</v>
      </c>
      <c r="AK56" s="1683" t="s">
        <v>6936</v>
      </c>
      <c r="AL56" s="1685">
        <v>50.0</v>
      </c>
      <c r="AM56" s="1270"/>
      <c r="AN56" s="1683">
        <v>188.0</v>
      </c>
      <c r="AO56" s="1550"/>
      <c r="AP56" s="1550"/>
      <c r="AQ56" s="1550"/>
      <c r="AR56" s="1550"/>
      <c r="AS56" s="1550"/>
    </row>
    <row r="57">
      <c r="A57" s="1551"/>
      <c r="B57" s="1550"/>
      <c r="C57" s="1550"/>
      <c r="D57" s="1550"/>
      <c r="E57" s="1550"/>
      <c r="F57" s="1550"/>
      <c r="H57" s="1551"/>
      <c r="I57" s="1550"/>
      <c r="J57" s="1550"/>
      <c r="K57" s="1550"/>
      <c r="L57" s="1550"/>
      <c r="M57" s="1550"/>
      <c r="O57" s="1634"/>
      <c r="P57" s="1687"/>
      <c r="Q57" s="1550"/>
      <c r="R57" s="1550"/>
      <c r="S57" s="1550"/>
      <c r="T57" s="1550"/>
      <c r="V57" s="1656"/>
      <c r="W57" s="1550"/>
      <c r="X57" s="1550"/>
      <c r="Y57" s="1550"/>
      <c r="Z57" s="1550"/>
      <c r="AA57" s="1550"/>
      <c r="AC57" s="1689"/>
      <c r="AD57" s="1550"/>
      <c r="AE57" s="1550"/>
      <c r="AF57" s="1550"/>
      <c r="AG57" s="1550"/>
      <c r="AH57" s="1550"/>
      <c r="AJ57" s="1683">
        <v>22.0</v>
      </c>
      <c r="AK57" s="1683" t="s">
        <v>6937</v>
      </c>
      <c r="AL57" s="1685">
        <v>73.0</v>
      </c>
      <c r="AM57" s="1270"/>
      <c r="AN57" s="1683">
        <v>122.0</v>
      </c>
      <c r="AO57" s="1550"/>
      <c r="AP57" s="1550"/>
      <c r="AQ57" s="1550"/>
      <c r="AR57" s="1550"/>
      <c r="AS57" s="1550"/>
    </row>
    <row r="58">
      <c r="A58" s="1551"/>
      <c r="B58" s="1550"/>
      <c r="C58" s="1550"/>
      <c r="D58" s="1550"/>
      <c r="E58" s="1550"/>
      <c r="F58" s="1550"/>
      <c r="H58" s="1551"/>
      <c r="I58" s="1550"/>
      <c r="J58" s="1550"/>
      <c r="K58" s="1550"/>
      <c r="L58" s="1550"/>
      <c r="M58" s="1550"/>
      <c r="O58" s="1634"/>
      <c r="P58" s="1687"/>
      <c r="Q58" s="1550"/>
      <c r="R58" s="1550"/>
      <c r="S58" s="1550"/>
      <c r="T58" s="1550"/>
      <c r="V58" s="1656"/>
      <c r="W58" s="1550"/>
      <c r="X58" s="1550"/>
      <c r="Y58" s="1550"/>
      <c r="Z58" s="1550"/>
      <c r="AA58" s="1550"/>
      <c r="AC58" s="1551"/>
      <c r="AD58" s="1550"/>
      <c r="AE58" s="1550"/>
      <c r="AF58" s="1550"/>
      <c r="AG58" s="1550"/>
      <c r="AH58" s="1550"/>
      <c r="AJ58" s="1683">
        <v>13.0</v>
      </c>
      <c r="AK58" s="1683" t="s">
        <v>6938</v>
      </c>
      <c r="AL58" s="1685">
        <v>64.0</v>
      </c>
      <c r="AM58" s="1270"/>
      <c r="AN58" s="1683">
        <v>100.0</v>
      </c>
      <c r="AO58" s="1550"/>
      <c r="AP58" s="1550"/>
      <c r="AQ58" s="1550"/>
      <c r="AR58" s="1550"/>
      <c r="AS58" s="1550"/>
    </row>
    <row r="59">
      <c r="A59" s="1551"/>
      <c r="B59" s="1550"/>
      <c r="C59" s="1550"/>
      <c r="D59" s="1550"/>
      <c r="E59" s="1550"/>
      <c r="F59" s="1550"/>
      <c r="H59" s="1551"/>
      <c r="I59" s="1550"/>
      <c r="J59" s="1550"/>
      <c r="K59" s="1550"/>
      <c r="L59" s="1550"/>
      <c r="M59" s="1550"/>
      <c r="O59" s="1634"/>
      <c r="P59" s="1687"/>
      <c r="Q59" s="1550"/>
      <c r="R59" s="1550"/>
      <c r="S59" s="1550"/>
      <c r="T59" s="1550"/>
      <c r="V59" s="1656"/>
      <c r="W59" s="1550"/>
      <c r="X59" s="1550"/>
      <c r="Y59" s="1550"/>
      <c r="Z59" s="1550"/>
      <c r="AA59" s="1550"/>
      <c r="AC59" s="1656"/>
      <c r="AD59" s="1550"/>
      <c r="AE59" s="1550"/>
      <c r="AF59" s="1550"/>
      <c r="AG59" s="1550"/>
      <c r="AH59" s="1550"/>
      <c r="AJ59" s="1683">
        <v>3.0</v>
      </c>
      <c r="AK59" s="1683" t="s">
        <v>6939</v>
      </c>
      <c r="AL59" s="1685">
        <v>64.0</v>
      </c>
      <c r="AM59" s="1270"/>
      <c r="AN59" s="1683">
        <v>73.0</v>
      </c>
      <c r="AO59" s="1550"/>
      <c r="AP59" s="1550"/>
      <c r="AQ59" s="1550"/>
      <c r="AR59" s="1550"/>
      <c r="AS59" s="1550"/>
    </row>
    <row r="60">
      <c r="A60" s="1551"/>
      <c r="B60" s="1550"/>
      <c r="C60" s="1550"/>
      <c r="D60" s="1550"/>
      <c r="E60" s="1550"/>
      <c r="F60" s="1550"/>
      <c r="H60" s="1551"/>
      <c r="I60" s="1550"/>
      <c r="J60" s="1550"/>
      <c r="K60" s="1550"/>
      <c r="L60" s="1550"/>
      <c r="M60" s="1550"/>
      <c r="O60" s="1634"/>
      <c r="P60" s="1687"/>
      <c r="Q60" s="1550"/>
      <c r="R60" s="1550"/>
      <c r="S60" s="1550"/>
      <c r="T60" s="1550"/>
      <c r="V60" s="1551"/>
      <c r="W60" s="1550"/>
      <c r="X60" s="1550"/>
      <c r="Y60" s="1550"/>
      <c r="Z60" s="1550"/>
      <c r="AA60" s="1550"/>
      <c r="AC60" s="1656"/>
      <c r="AD60" s="1550"/>
      <c r="AE60" s="1550"/>
      <c r="AF60" s="1550"/>
      <c r="AG60" s="1550"/>
      <c r="AH60" s="1550"/>
      <c r="AJ60" s="1683">
        <v>20.0</v>
      </c>
      <c r="AK60" s="1683" t="s">
        <v>6939</v>
      </c>
      <c r="AL60" s="1685">
        <v>45.0</v>
      </c>
      <c r="AM60" s="1270"/>
      <c r="AN60" s="1683">
        <v>303.0</v>
      </c>
      <c r="AO60" s="1550"/>
      <c r="AP60" s="1550"/>
      <c r="AQ60" s="1550"/>
      <c r="AR60" s="1550"/>
      <c r="AS60" s="1550"/>
    </row>
    <row r="61">
      <c r="A61" s="1551"/>
      <c r="B61" s="1550"/>
      <c r="C61" s="1550"/>
      <c r="D61" s="1550"/>
      <c r="E61" s="1550"/>
      <c r="F61" s="1550"/>
      <c r="H61" s="1551"/>
      <c r="I61" s="1550"/>
      <c r="J61" s="1550"/>
      <c r="K61" s="1550"/>
      <c r="L61" s="1550"/>
      <c r="M61" s="1550"/>
      <c r="O61" s="1634"/>
      <c r="P61" s="1594"/>
      <c r="Q61" s="1550"/>
      <c r="R61" s="1550"/>
      <c r="S61" s="1550"/>
      <c r="T61" s="1550"/>
      <c r="V61" s="1656"/>
      <c r="W61" s="1550"/>
      <c r="X61" s="1550"/>
      <c r="Y61" s="1550"/>
      <c r="Z61" s="1550"/>
      <c r="AA61" s="1550"/>
      <c r="AC61" s="1551"/>
      <c r="AD61" s="1550"/>
      <c r="AE61" s="1550"/>
      <c r="AF61" s="1550"/>
      <c r="AG61" s="1550"/>
      <c r="AH61" s="1550"/>
      <c r="AJ61" s="1683">
        <v>14.0</v>
      </c>
      <c r="AK61" s="1688" t="s">
        <v>6940</v>
      </c>
      <c r="AL61" s="1685">
        <v>49.0</v>
      </c>
      <c r="AM61" s="1270"/>
      <c r="AN61" s="1683">
        <v>174.0</v>
      </c>
      <c r="AO61" s="1550"/>
      <c r="AP61" s="1550"/>
      <c r="AQ61" s="1550"/>
      <c r="AR61" s="1550"/>
      <c r="AS61" s="1550"/>
    </row>
    <row r="62">
      <c r="A62" s="1551"/>
      <c r="B62" s="1550"/>
      <c r="C62" s="1550"/>
      <c r="D62" s="1550"/>
      <c r="E62" s="1550"/>
      <c r="F62" s="1550"/>
      <c r="H62" s="1551"/>
      <c r="I62" s="1550"/>
      <c r="J62" s="1550"/>
      <c r="K62" s="1550"/>
      <c r="L62" s="1550"/>
      <c r="M62" s="1550"/>
      <c r="O62" s="1634"/>
      <c r="P62" s="1594"/>
      <c r="Q62" s="1550"/>
      <c r="R62" s="1550"/>
      <c r="S62" s="1550"/>
      <c r="T62" s="1550"/>
      <c r="V62" s="1656"/>
      <c r="W62" s="1550"/>
      <c r="X62" s="1550"/>
      <c r="Y62" s="1550"/>
      <c r="Z62" s="1550"/>
      <c r="AA62" s="1550"/>
      <c r="AC62" s="1551"/>
      <c r="AD62" s="1550"/>
      <c r="AE62" s="1550"/>
      <c r="AF62" s="1550"/>
      <c r="AG62" s="1550"/>
      <c r="AH62" s="1550"/>
      <c r="AJ62" s="1683">
        <v>25.0</v>
      </c>
      <c r="AK62" s="1683" t="s">
        <v>6941</v>
      </c>
      <c r="AL62" s="1685">
        <v>53.0</v>
      </c>
      <c r="AM62" s="1270"/>
      <c r="AN62" s="1683">
        <v>143.0</v>
      </c>
      <c r="AO62" s="1550"/>
      <c r="AP62" s="1550"/>
      <c r="AQ62" s="1550"/>
      <c r="AR62" s="1550"/>
      <c r="AS62" s="1550"/>
    </row>
    <row r="63">
      <c r="A63" s="1551"/>
      <c r="B63" s="1550"/>
      <c r="C63" s="1550"/>
      <c r="D63" s="1550"/>
      <c r="E63" s="1550"/>
      <c r="F63" s="1550"/>
      <c r="H63" s="1551"/>
      <c r="I63" s="1550"/>
      <c r="J63" s="1550"/>
      <c r="K63" s="1550"/>
      <c r="L63" s="1550"/>
      <c r="M63" s="1550"/>
      <c r="O63" s="1590"/>
      <c r="P63" s="1594"/>
      <c r="Q63" s="1550"/>
      <c r="R63" s="1550"/>
      <c r="S63" s="1550"/>
      <c r="T63" s="1550"/>
      <c r="V63" s="1656"/>
      <c r="W63" s="1550"/>
      <c r="X63" s="1550"/>
      <c r="Y63" s="1550"/>
      <c r="Z63" s="1550"/>
      <c r="AA63" s="1550"/>
      <c r="AC63" s="1551"/>
      <c r="AD63" s="1550"/>
      <c r="AE63" s="1550"/>
      <c r="AF63" s="1550"/>
      <c r="AG63" s="1550"/>
      <c r="AH63" s="1550"/>
      <c r="AJ63" s="1683">
        <v>25.0</v>
      </c>
      <c r="AK63" s="1683" t="s">
        <v>6933</v>
      </c>
      <c r="AL63" s="1685">
        <v>41.0</v>
      </c>
      <c r="AM63" s="1270"/>
      <c r="AN63" s="1683">
        <v>157.0</v>
      </c>
      <c r="AO63" s="1550"/>
      <c r="AP63" s="1550"/>
      <c r="AQ63" s="1550"/>
      <c r="AR63" s="1550"/>
      <c r="AS63" s="1550"/>
    </row>
    <row r="64">
      <c r="A64" s="1551"/>
      <c r="B64" s="1550"/>
      <c r="C64" s="1550"/>
      <c r="D64" s="1550"/>
      <c r="E64" s="1550"/>
      <c r="F64" s="1550"/>
      <c r="H64" s="1551"/>
      <c r="I64" s="1550"/>
      <c r="J64" s="1550"/>
      <c r="K64" s="1550"/>
      <c r="L64" s="1550"/>
      <c r="M64" s="1550"/>
      <c r="O64" s="1551"/>
      <c r="P64" s="1550"/>
      <c r="Q64" s="1550"/>
      <c r="R64" s="1550"/>
      <c r="S64" s="1550"/>
      <c r="T64" s="1550"/>
      <c r="V64" s="1551"/>
      <c r="W64" s="1550"/>
      <c r="X64" s="1550"/>
      <c r="Y64" s="1550"/>
      <c r="Z64" s="1550"/>
      <c r="AA64" s="1550"/>
      <c r="AC64" s="1551"/>
      <c r="AD64" s="1550"/>
      <c r="AE64" s="1550"/>
      <c r="AF64" s="1550"/>
      <c r="AG64" s="1550"/>
      <c r="AH64" s="1550"/>
      <c r="AJ64" s="1683">
        <v>7.0</v>
      </c>
      <c r="AK64" s="1683" t="s">
        <v>6942</v>
      </c>
      <c r="AL64" s="1685">
        <v>34.0</v>
      </c>
      <c r="AM64" s="1270"/>
      <c r="AN64" s="1683">
        <v>278.0</v>
      </c>
      <c r="AO64" s="1550"/>
      <c r="AP64" s="1550"/>
      <c r="AQ64" s="1550"/>
      <c r="AR64" s="1550"/>
      <c r="AS64" s="1550"/>
    </row>
    <row r="65">
      <c r="A65" s="1551"/>
      <c r="B65" s="1550"/>
      <c r="C65" s="1550"/>
      <c r="D65" s="1550"/>
      <c r="E65" s="1550"/>
      <c r="F65" s="1550"/>
      <c r="H65" s="1551"/>
      <c r="I65" s="1550"/>
      <c r="J65" s="1550"/>
      <c r="K65" s="1550"/>
      <c r="L65" s="1550"/>
      <c r="M65" s="1550"/>
      <c r="O65" s="1551"/>
      <c r="P65" s="1550"/>
      <c r="Q65" s="1550"/>
      <c r="R65" s="1550"/>
      <c r="S65" s="1550"/>
      <c r="T65" s="1550"/>
      <c r="V65" s="1551"/>
      <c r="W65" s="1550"/>
      <c r="X65" s="1550"/>
      <c r="Y65" s="1550"/>
      <c r="Z65" s="1550"/>
      <c r="AA65" s="1550"/>
      <c r="AC65" s="1551"/>
      <c r="AD65" s="1550"/>
      <c r="AE65" s="1550"/>
      <c r="AF65" s="1550"/>
      <c r="AG65" s="1550"/>
      <c r="AH65" s="1550"/>
      <c r="AJ65" s="1683">
        <v>3.0</v>
      </c>
      <c r="AK65" s="1683" t="s">
        <v>6943</v>
      </c>
      <c r="AL65" s="1685">
        <v>31.0</v>
      </c>
      <c r="AM65" s="1270"/>
      <c r="AN65" s="1683">
        <v>310.0</v>
      </c>
      <c r="AO65" s="1550"/>
      <c r="AP65" s="1550"/>
      <c r="AQ65" s="1550"/>
      <c r="AR65" s="1550"/>
      <c r="AS65" s="1550"/>
    </row>
    <row r="66">
      <c r="A66" s="1551"/>
      <c r="B66" s="1550"/>
      <c r="C66" s="1550"/>
      <c r="D66" s="1550"/>
      <c r="E66" s="1550"/>
      <c r="F66" s="1550"/>
      <c r="H66" s="1551"/>
      <c r="I66" s="1550"/>
      <c r="J66" s="1550"/>
      <c r="K66" s="1550"/>
      <c r="L66" s="1550"/>
      <c r="M66" s="1550"/>
      <c r="O66" s="1551"/>
      <c r="P66" s="1550"/>
      <c r="Q66" s="1550"/>
      <c r="R66" s="1550"/>
      <c r="S66" s="1550"/>
      <c r="T66" s="1550"/>
      <c r="V66" s="1551"/>
      <c r="W66" s="1550"/>
      <c r="X66" s="1550"/>
      <c r="Y66" s="1550"/>
      <c r="Z66" s="1550"/>
      <c r="AA66" s="1550"/>
      <c r="AC66" s="1551"/>
      <c r="AD66" s="1550"/>
      <c r="AE66" s="1550"/>
      <c r="AF66" s="1550"/>
      <c r="AG66" s="1550"/>
      <c r="AH66" s="1550"/>
      <c r="AJ66" s="1683">
        <v>1.0</v>
      </c>
      <c r="AK66" s="1683" t="s">
        <v>6944</v>
      </c>
      <c r="AL66" s="1685">
        <v>42.0</v>
      </c>
      <c r="AM66" s="1270"/>
      <c r="AN66" s="1683">
        <v>275.0</v>
      </c>
      <c r="AO66" s="1550"/>
      <c r="AP66" s="1550"/>
      <c r="AQ66" s="1550"/>
      <c r="AR66" s="1550"/>
      <c r="AS66" s="1550"/>
    </row>
    <row r="67">
      <c r="A67" s="1551"/>
      <c r="B67" s="1550"/>
      <c r="C67" s="1550"/>
      <c r="D67" s="1550"/>
      <c r="E67" s="1550"/>
      <c r="F67" s="1550"/>
      <c r="H67" s="1551"/>
      <c r="I67" s="1550"/>
      <c r="J67" s="1550"/>
      <c r="K67" s="1550"/>
      <c r="L67" s="1550"/>
      <c r="M67" s="1550"/>
      <c r="O67" s="1551"/>
      <c r="P67" s="1550"/>
      <c r="Q67" s="1550"/>
      <c r="R67" s="1550"/>
      <c r="S67" s="1550"/>
      <c r="T67" s="1550"/>
      <c r="V67" s="1551"/>
      <c r="W67" s="1550"/>
      <c r="X67" s="1550"/>
      <c r="Y67" s="1550"/>
      <c r="Z67" s="1550"/>
      <c r="AA67" s="1550"/>
      <c r="AC67" s="1551"/>
      <c r="AD67" s="1550"/>
      <c r="AE67" s="1550"/>
      <c r="AF67" s="1550"/>
      <c r="AG67" s="1550"/>
      <c r="AH67" s="1550"/>
      <c r="AJ67" s="1683">
        <v>13.0</v>
      </c>
      <c r="AK67" s="1683" t="s">
        <v>6945</v>
      </c>
      <c r="AL67" s="1685">
        <v>34.0</v>
      </c>
      <c r="AM67" s="1270"/>
      <c r="AN67" s="1683">
        <v>253.0</v>
      </c>
      <c r="AO67" s="1550"/>
      <c r="AP67" s="1550"/>
      <c r="AQ67" s="1550"/>
      <c r="AR67" s="1550"/>
      <c r="AS67" s="1550"/>
    </row>
    <row r="68">
      <c r="A68" s="1551"/>
      <c r="B68" s="1550"/>
      <c r="C68" s="1550"/>
      <c r="D68" s="1550"/>
      <c r="E68" s="1550"/>
      <c r="F68" s="1550"/>
      <c r="H68" s="1551"/>
      <c r="I68" s="1550"/>
      <c r="J68" s="1550"/>
      <c r="K68" s="1550"/>
      <c r="L68" s="1550"/>
      <c r="M68" s="1550"/>
      <c r="O68" s="1551"/>
      <c r="P68" s="1550"/>
      <c r="Q68" s="1550"/>
      <c r="R68" s="1550"/>
      <c r="S68" s="1550"/>
      <c r="T68" s="1550"/>
      <c r="V68" s="1551"/>
      <c r="W68" s="1550"/>
      <c r="X68" s="1550"/>
      <c r="Y68" s="1550"/>
      <c r="Z68" s="1550"/>
      <c r="AA68" s="1550"/>
      <c r="AC68" s="1551"/>
      <c r="AD68" s="1550"/>
      <c r="AE68" s="1550"/>
      <c r="AF68" s="1550"/>
      <c r="AG68" s="1550"/>
      <c r="AH68" s="1550"/>
      <c r="AJ68" s="1683">
        <v>13.0</v>
      </c>
      <c r="AK68" s="1683" t="s">
        <v>6937</v>
      </c>
      <c r="AL68" s="1685">
        <v>27.0</v>
      </c>
      <c r="AM68" s="1270"/>
      <c r="AN68" s="1683">
        <v>175.0</v>
      </c>
      <c r="AO68" s="1550"/>
      <c r="AP68" s="1550"/>
      <c r="AQ68" s="1550"/>
      <c r="AR68" s="1550"/>
      <c r="AS68" s="1550"/>
    </row>
    <row r="69">
      <c r="A69" s="1551"/>
      <c r="B69" s="1550"/>
      <c r="C69" s="1550"/>
      <c r="D69" s="1550"/>
      <c r="E69" s="1550"/>
      <c r="F69" s="1550"/>
      <c r="H69" s="1551"/>
      <c r="I69" s="1550"/>
      <c r="J69" s="1550"/>
      <c r="K69" s="1550"/>
      <c r="L69" s="1550"/>
      <c r="M69" s="1550"/>
      <c r="O69" s="1551"/>
      <c r="P69" s="1550"/>
      <c r="Q69" s="1550"/>
      <c r="R69" s="1550"/>
      <c r="S69" s="1550"/>
      <c r="T69" s="1550"/>
      <c r="V69" s="1551"/>
      <c r="W69" s="1550"/>
      <c r="X69" s="1550"/>
      <c r="Y69" s="1550"/>
      <c r="Z69" s="1550"/>
      <c r="AA69" s="1550"/>
      <c r="AC69" s="1551"/>
      <c r="AD69" s="1550"/>
      <c r="AE69" s="1550"/>
      <c r="AF69" s="1550"/>
      <c r="AG69" s="1550"/>
      <c r="AH69" s="1550"/>
      <c r="AJ69" s="1683">
        <v>12.0</v>
      </c>
      <c r="AK69" s="1683" t="s">
        <v>6946</v>
      </c>
      <c r="AL69" s="1685">
        <v>32.0</v>
      </c>
      <c r="AM69" s="1270"/>
      <c r="AN69" s="1683">
        <v>198.0</v>
      </c>
      <c r="AO69" s="1550"/>
      <c r="AP69" s="1550"/>
      <c r="AQ69" s="1550"/>
      <c r="AR69" s="1550"/>
      <c r="AS69" s="1550"/>
    </row>
    <row r="70">
      <c r="A70" s="1551"/>
      <c r="B70" s="1550"/>
      <c r="C70" s="1550"/>
      <c r="D70" s="1550"/>
      <c r="E70" s="1550"/>
      <c r="F70" s="1550"/>
      <c r="H70" s="1551"/>
      <c r="I70" s="1550"/>
      <c r="J70" s="1550"/>
      <c r="K70" s="1550"/>
      <c r="L70" s="1550"/>
      <c r="M70" s="1550"/>
      <c r="O70" s="1551"/>
      <c r="P70" s="1550"/>
      <c r="Q70" s="1550"/>
      <c r="R70" s="1550"/>
      <c r="S70" s="1550"/>
      <c r="T70" s="1550"/>
      <c r="V70" s="1551"/>
      <c r="W70" s="1550"/>
      <c r="X70" s="1550"/>
      <c r="Y70" s="1550"/>
      <c r="Z70" s="1550"/>
      <c r="AA70" s="1550"/>
      <c r="AC70" s="1551"/>
      <c r="AD70" s="1550"/>
      <c r="AE70" s="1550"/>
      <c r="AF70" s="1550"/>
      <c r="AG70" s="1550"/>
      <c r="AH70" s="1550"/>
      <c r="AJ70" s="1683">
        <v>3.0</v>
      </c>
      <c r="AK70" s="1683" t="s">
        <v>6947</v>
      </c>
      <c r="AL70" s="1685">
        <v>27.0</v>
      </c>
      <c r="AM70" s="1270"/>
      <c r="AN70" s="1683">
        <v>284.0</v>
      </c>
      <c r="AO70" s="1550"/>
      <c r="AP70" s="1550"/>
      <c r="AQ70" s="1550"/>
      <c r="AR70" s="1550"/>
      <c r="AS70" s="1550"/>
    </row>
    <row r="71">
      <c r="A71" s="1551"/>
      <c r="B71" s="1550"/>
      <c r="C71" s="1550"/>
      <c r="D71" s="1550"/>
      <c r="E71" s="1550"/>
      <c r="F71" s="1550"/>
      <c r="H71" s="1551"/>
      <c r="I71" s="1550"/>
      <c r="J71" s="1550"/>
      <c r="K71" s="1550"/>
      <c r="L71" s="1550"/>
      <c r="M71" s="1550"/>
      <c r="O71" s="1551"/>
      <c r="P71" s="1550"/>
      <c r="Q71" s="1550"/>
      <c r="R71" s="1550"/>
      <c r="S71" s="1550"/>
      <c r="T71" s="1550"/>
      <c r="V71" s="1551"/>
      <c r="W71" s="1550"/>
      <c r="X71" s="1550"/>
      <c r="Y71" s="1550"/>
      <c r="Z71" s="1550"/>
      <c r="AA71" s="1550"/>
      <c r="AC71" s="1551"/>
      <c r="AD71" s="1550"/>
      <c r="AE71" s="1550"/>
      <c r="AF71" s="1550"/>
      <c r="AG71" s="1550"/>
      <c r="AH71" s="1550"/>
      <c r="AJ71" s="1683">
        <v>22.0</v>
      </c>
      <c r="AK71" s="1683" t="s">
        <v>6948</v>
      </c>
      <c r="AL71" s="1685">
        <v>25.0</v>
      </c>
      <c r="AM71" s="1270"/>
      <c r="AN71" s="1683">
        <v>221.0</v>
      </c>
      <c r="AO71" s="1550"/>
      <c r="AP71" s="1550"/>
      <c r="AQ71" s="1550"/>
      <c r="AR71" s="1550"/>
      <c r="AS71" s="1550"/>
    </row>
    <row r="72">
      <c r="A72" s="1551"/>
      <c r="B72" s="1550"/>
      <c r="C72" s="1550"/>
      <c r="D72" s="1550"/>
      <c r="E72" s="1550"/>
      <c r="F72" s="1550"/>
      <c r="H72" s="1551"/>
      <c r="I72" s="1550"/>
      <c r="J72" s="1550"/>
      <c r="K72" s="1550"/>
      <c r="L72" s="1550"/>
      <c r="M72" s="1550"/>
      <c r="O72" s="1551"/>
      <c r="P72" s="1550"/>
      <c r="Q72" s="1550"/>
      <c r="R72" s="1550"/>
      <c r="S72" s="1550"/>
      <c r="T72" s="1550"/>
      <c r="V72" s="1551"/>
      <c r="W72" s="1550"/>
      <c r="X72" s="1550"/>
      <c r="Y72" s="1550"/>
      <c r="Z72" s="1550"/>
      <c r="AA72" s="1550"/>
      <c r="AC72" s="1551"/>
      <c r="AD72" s="1550"/>
      <c r="AE72" s="1550"/>
      <c r="AF72" s="1550"/>
      <c r="AG72" s="1550"/>
      <c r="AH72" s="1550"/>
      <c r="AJ72" s="1683">
        <v>18.0</v>
      </c>
      <c r="AK72" s="1688" t="s">
        <v>6949</v>
      </c>
      <c r="AL72" s="1685">
        <v>51.0</v>
      </c>
      <c r="AM72" s="1270"/>
      <c r="AN72" s="1683">
        <v>251.0</v>
      </c>
      <c r="AO72" s="1550"/>
      <c r="AP72" s="1550"/>
      <c r="AQ72" s="1550"/>
      <c r="AR72" s="1550"/>
      <c r="AS72" s="1550"/>
    </row>
    <row r="73">
      <c r="A73" s="1551"/>
      <c r="B73" s="1550"/>
      <c r="C73" s="1550"/>
      <c r="D73" s="1550"/>
      <c r="E73" s="1550"/>
      <c r="F73" s="1550"/>
      <c r="H73" s="1551"/>
      <c r="I73" s="1550"/>
      <c r="J73" s="1550"/>
      <c r="K73" s="1550"/>
      <c r="L73" s="1550"/>
      <c r="M73" s="1550"/>
      <c r="O73" s="1551"/>
      <c r="P73" s="1550"/>
      <c r="Q73" s="1550"/>
      <c r="R73" s="1550"/>
      <c r="S73" s="1550"/>
      <c r="T73" s="1550"/>
      <c r="V73" s="1551"/>
      <c r="W73" s="1550"/>
      <c r="X73" s="1550"/>
      <c r="Y73" s="1550"/>
      <c r="Z73" s="1550"/>
      <c r="AA73" s="1550"/>
      <c r="AC73" s="1551"/>
      <c r="AD73" s="1550"/>
      <c r="AE73" s="1550"/>
      <c r="AF73" s="1550"/>
      <c r="AG73" s="1550"/>
      <c r="AH73" s="1550"/>
      <c r="AJ73" s="1683">
        <v>23.0</v>
      </c>
      <c r="AK73" s="1683" t="s">
        <v>6933</v>
      </c>
      <c r="AL73" s="1685">
        <v>39.0</v>
      </c>
      <c r="AM73" s="1270"/>
      <c r="AN73" s="1683">
        <v>180.0</v>
      </c>
      <c r="AO73" s="1550"/>
      <c r="AP73" s="1550"/>
      <c r="AQ73" s="1550"/>
      <c r="AR73" s="1550"/>
      <c r="AS73" s="1550"/>
    </row>
    <row r="74">
      <c r="A74" s="1551"/>
      <c r="B74" s="1550"/>
      <c r="C74" s="1550"/>
      <c r="D74" s="1550"/>
      <c r="E74" s="1550"/>
      <c r="F74" s="1550"/>
      <c r="H74" s="1551"/>
      <c r="I74" s="1550"/>
      <c r="J74" s="1550"/>
      <c r="K74" s="1550"/>
      <c r="L74" s="1550"/>
      <c r="M74" s="1550"/>
      <c r="O74" s="1551"/>
      <c r="P74" s="1550"/>
      <c r="Q74" s="1550"/>
      <c r="R74" s="1550"/>
      <c r="S74" s="1550"/>
      <c r="T74" s="1550"/>
      <c r="V74" s="1551"/>
      <c r="W74" s="1550"/>
      <c r="X74" s="1550"/>
      <c r="Y74" s="1550"/>
      <c r="Z74" s="1550"/>
      <c r="AA74" s="1550"/>
      <c r="AC74" s="1551"/>
      <c r="AD74" s="1550"/>
      <c r="AE74" s="1550"/>
      <c r="AF74" s="1550"/>
      <c r="AG74" s="1550"/>
      <c r="AH74" s="1550"/>
      <c r="AJ74" s="1683">
        <v>22.0</v>
      </c>
      <c r="AK74" s="1683" t="s">
        <v>6950</v>
      </c>
      <c r="AL74" s="1685">
        <v>29.0</v>
      </c>
      <c r="AM74" s="1270"/>
      <c r="AN74" s="1683">
        <v>117.0</v>
      </c>
      <c r="AO74" s="1550"/>
      <c r="AP74" s="1550"/>
      <c r="AQ74" s="1550"/>
      <c r="AR74" s="1550"/>
      <c r="AS74" s="1550"/>
    </row>
    <row r="75">
      <c r="A75" s="1551"/>
      <c r="B75" s="1550"/>
      <c r="C75" s="1550"/>
      <c r="D75" s="1550"/>
      <c r="E75" s="1550"/>
      <c r="F75" s="1550"/>
      <c r="H75" s="1551"/>
      <c r="I75" s="1550"/>
      <c r="J75" s="1550"/>
      <c r="K75" s="1550"/>
      <c r="L75" s="1550"/>
      <c r="M75" s="1550"/>
      <c r="O75" s="1551"/>
      <c r="P75" s="1550"/>
      <c r="Q75" s="1550"/>
      <c r="R75" s="1550"/>
      <c r="S75" s="1550"/>
      <c r="T75" s="1550"/>
      <c r="V75" s="1551"/>
      <c r="W75" s="1550"/>
      <c r="X75" s="1550"/>
      <c r="Y75" s="1550"/>
      <c r="Z75" s="1550"/>
      <c r="AA75" s="1550"/>
      <c r="AC75" s="1551"/>
      <c r="AD75" s="1550"/>
      <c r="AE75" s="1550"/>
      <c r="AF75" s="1550"/>
      <c r="AG75" s="1550"/>
      <c r="AH75" s="1550"/>
      <c r="AJ75" s="1683">
        <v>20.0</v>
      </c>
      <c r="AK75" s="1683" t="s">
        <v>6951</v>
      </c>
      <c r="AL75" s="1685">
        <v>25.0</v>
      </c>
      <c r="AM75" s="1270"/>
      <c r="AN75" s="1683">
        <v>172.0</v>
      </c>
      <c r="AO75" s="1550"/>
      <c r="AP75" s="1550"/>
      <c r="AQ75" s="1550"/>
      <c r="AR75" s="1550"/>
      <c r="AS75" s="1550"/>
    </row>
    <row r="76">
      <c r="A76" s="1551"/>
      <c r="B76" s="1550"/>
      <c r="C76" s="1550"/>
      <c r="D76" s="1550"/>
      <c r="E76" s="1550"/>
      <c r="F76" s="1550"/>
      <c r="H76" s="1551"/>
      <c r="I76" s="1550"/>
      <c r="J76" s="1550"/>
      <c r="K76" s="1550"/>
      <c r="L76" s="1550"/>
      <c r="M76" s="1550"/>
      <c r="O76" s="1551"/>
      <c r="P76" s="1550"/>
      <c r="Q76" s="1550"/>
      <c r="R76" s="1550"/>
      <c r="S76" s="1550"/>
      <c r="T76" s="1550"/>
      <c r="V76" s="1551"/>
      <c r="W76" s="1550"/>
      <c r="X76" s="1550"/>
      <c r="Y76" s="1550"/>
      <c r="Z76" s="1550"/>
      <c r="AA76" s="1550"/>
      <c r="AC76" s="1551"/>
      <c r="AD76" s="1550"/>
      <c r="AE76" s="1550"/>
      <c r="AF76" s="1550"/>
      <c r="AG76" s="1550"/>
      <c r="AH76" s="1550"/>
      <c r="AJ76" s="1683">
        <v>4.0</v>
      </c>
      <c r="AK76" s="1683" t="s">
        <v>6952</v>
      </c>
      <c r="AL76" s="1685">
        <v>25.0</v>
      </c>
      <c r="AM76" s="1270"/>
      <c r="AN76" s="1683">
        <v>106.0</v>
      </c>
      <c r="AO76" s="1550"/>
      <c r="AP76" s="1550"/>
      <c r="AQ76" s="1550"/>
      <c r="AR76" s="1550"/>
      <c r="AS76" s="1550"/>
    </row>
    <row r="77">
      <c r="A77" s="1551"/>
      <c r="B77" s="1550"/>
      <c r="C77" s="1550"/>
      <c r="D77" s="1550"/>
      <c r="E77" s="1550"/>
      <c r="F77" s="1550"/>
      <c r="H77" s="1551"/>
      <c r="I77" s="1550"/>
      <c r="J77" s="1550"/>
      <c r="K77" s="1550"/>
      <c r="L77" s="1550"/>
      <c r="M77" s="1550"/>
      <c r="O77" s="1551"/>
      <c r="P77" s="1550"/>
      <c r="Q77" s="1550"/>
      <c r="R77" s="1550"/>
      <c r="S77" s="1550"/>
      <c r="T77" s="1550"/>
      <c r="V77" s="1551"/>
      <c r="W77" s="1550"/>
      <c r="X77" s="1550"/>
      <c r="Y77" s="1550"/>
      <c r="Z77" s="1550"/>
      <c r="AA77" s="1550"/>
      <c r="AC77" s="1551"/>
      <c r="AD77" s="1550"/>
      <c r="AE77" s="1550"/>
      <c r="AF77" s="1550"/>
      <c r="AG77" s="1550"/>
      <c r="AH77" s="1550"/>
      <c r="AJ77" s="1683">
        <v>18.0</v>
      </c>
      <c r="AK77" s="1683" t="s">
        <v>6953</v>
      </c>
      <c r="AL77" s="1685">
        <v>18.0</v>
      </c>
      <c r="AM77" s="1270"/>
      <c r="AN77" s="1683">
        <v>234.0</v>
      </c>
      <c r="AO77" s="1550"/>
      <c r="AP77" s="1550"/>
      <c r="AQ77" s="1550"/>
      <c r="AR77" s="1550"/>
      <c r="AS77" s="1550"/>
    </row>
    <row r="78">
      <c r="A78" s="1551"/>
      <c r="B78" s="1550"/>
      <c r="C78" s="1550"/>
      <c r="D78" s="1550"/>
      <c r="E78" s="1550"/>
      <c r="F78" s="1550"/>
      <c r="H78" s="1551"/>
      <c r="I78" s="1550"/>
      <c r="J78" s="1550"/>
      <c r="K78" s="1550"/>
      <c r="L78" s="1550"/>
      <c r="M78" s="1550"/>
      <c r="O78" s="1551"/>
      <c r="P78" s="1550"/>
      <c r="Q78" s="1550"/>
      <c r="R78" s="1550"/>
      <c r="S78" s="1550"/>
      <c r="T78" s="1550"/>
      <c r="V78" s="1551"/>
      <c r="W78" s="1550"/>
      <c r="X78" s="1550"/>
      <c r="Y78" s="1550"/>
      <c r="Z78" s="1550"/>
      <c r="AA78" s="1550"/>
      <c r="AC78" s="1551"/>
      <c r="AD78" s="1550"/>
      <c r="AE78" s="1550"/>
      <c r="AF78" s="1550"/>
      <c r="AG78" s="1550"/>
      <c r="AH78" s="1550"/>
      <c r="AJ78" s="1683">
        <v>8.0</v>
      </c>
      <c r="AK78" s="1683" t="s">
        <v>6954</v>
      </c>
      <c r="AL78" s="1685">
        <v>62.0</v>
      </c>
      <c r="AM78" s="1270"/>
      <c r="AN78" s="1683">
        <v>113.0</v>
      </c>
      <c r="AO78" s="1690" t="s">
        <v>6955</v>
      </c>
      <c r="AP78" s="1550"/>
      <c r="AQ78" s="1550"/>
      <c r="AR78" s="1550"/>
      <c r="AS78" s="1550"/>
    </row>
    <row r="79">
      <c r="A79" s="1551"/>
      <c r="B79" s="1550"/>
      <c r="C79" s="1550"/>
      <c r="D79" s="1550"/>
      <c r="E79" s="1550"/>
      <c r="F79" s="1550"/>
      <c r="H79" s="1551"/>
      <c r="I79" s="1550"/>
      <c r="J79" s="1550"/>
      <c r="K79" s="1550"/>
      <c r="L79" s="1550"/>
      <c r="M79" s="1550"/>
      <c r="O79" s="1551"/>
      <c r="P79" s="1550"/>
      <c r="Q79" s="1550"/>
      <c r="R79" s="1550"/>
      <c r="S79" s="1550"/>
      <c r="T79" s="1550"/>
      <c r="V79" s="1551"/>
      <c r="W79" s="1550"/>
      <c r="X79" s="1550"/>
      <c r="Y79" s="1550"/>
      <c r="Z79" s="1550"/>
      <c r="AA79" s="1550"/>
      <c r="AC79" s="1551"/>
      <c r="AD79" s="1550"/>
      <c r="AE79" s="1550"/>
      <c r="AF79" s="1550"/>
      <c r="AG79" s="1550"/>
      <c r="AH79" s="1550"/>
      <c r="AJ79" s="1683">
        <v>12.0</v>
      </c>
      <c r="AK79" s="1683" t="s">
        <v>6944</v>
      </c>
      <c r="AL79" s="1685">
        <v>51.0</v>
      </c>
      <c r="AM79" s="1270"/>
      <c r="AN79" s="1683">
        <v>55.0</v>
      </c>
      <c r="AO79" s="1550"/>
      <c r="AP79" s="1550"/>
      <c r="AQ79" s="1550"/>
      <c r="AR79" s="1550"/>
      <c r="AS79" s="1550"/>
    </row>
    <row r="80">
      <c r="A80" s="1551"/>
      <c r="B80" s="1550"/>
      <c r="C80" s="1550"/>
      <c r="D80" s="1550"/>
      <c r="E80" s="1550"/>
      <c r="F80" s="1550"/>
      <c r="H80" s="1551"/>
      <c r="I80" s="1550"/>
      <c r="J80" s="1550"/>
      <c r="K80" s="1550"/>
      <c r="L80" s="1550"/>
      <c r="M80" s="1550"/>
      <c r="O80" s="1551"/>
      <c r="P80" s="1550"/>
      <c r="Q80" s="1550"/>
      <c r="R80" s="1550"/>
      <c r="S80" s="1550"/>
      <c r="T80" s="1550"/>
      <c r="V80" s="1551"/>
      <c r="W80" s="1550"/>
      <c r="X80" s="1550"/>
      <c r="Y80" s="1550"/>
      <c r="Z80" s="1550"/>
      <c r="AA80" s="1550"/>
      <c r="AC80" s="1551"/>
      <c r="AD80" s="1550"/>
      <c r="AE80" s="1550"/>
      <c r="AF80" s="1550"/>
      <c r="AG80" s="1550"/>
      <c r="AH80" s="1550"/>
      <c r="AJ80" s="1683">
        <v>5.0</v>
      </c>
      <c r="AK80" s="1683" t="s">
        <v>6956</v>
      </c>
      <c r="AL80" s="1685">
        <v>56.0</v>
      </c>
      <c r="AM80" s="1270"/>
      <c r="AN80" s="1683">
        <v>229.0</v>
      </c>
      <c r="AO80" s="1550"/>
      <c r="AP80" s="1550"/>
      <c r="AQ80" s="1550"/>
      <c r="AR80" s="1550"/>
      <c r="AS80" s="1550"/>
    </row>
    <row r="81">
      <c r="A81" s="1551"/>
      <c r="B81" s="1550"/>
      <c r="C81" s="1550"/>
      <c r="D81" s="1550"/>
      <c r="E81" s="1550"/>
      <c r="F81" s="1550"/>
      <c r="H81" s="1551"/>
      <c r="I81" s="1550"/>
      <c r="J81" s="1550"/>
      <c r="K81" s="1550"/>
      <c r="L81" s="1550"/>
      <c r="M81" s="1550"/>
      <c r="O81" s="1551"/>
      <c r="P81" s="1550"/>
      <c r="Q81" s="1550"/>
      <c r="R81" s="1550"/>
      <c r="S81" s="1550"/>
      <c r="T81" s="1550"/>
      <c r="V81" s="1551"/>
      <c r="W81" s="1550"/>
      <c r="X81" s="1550"/>
      <c r="Y81" s="1550"/>
      <c r="Z81" s="1550"/>
      <c r="AA81" s="1550"/>
      <c r="AC81" s="1551"/>
      <c r="AD81" s="1550"/>
      <c r="AE81" s="1550"/>
      <c r="AF81" s="1550"/>
      <c r="AG81" s="1550"/>
      <c r="AH81" s="1550"/>
      <c r="AJ81" s="1683">
        <v>10.0</v>
      </c>
      <c r="AK81" s="1683" t="s">
        <v>6957</v>
      </c>
      <c r="AL81" s="1691">
        <v>84.0</v>
      </c>
      <c r="AM81" s="1270"/>
      <c r="AN81" s="1683">
        <v>243.0</v>
      </c>
      <c r="AO81" s="1692" t="s">
        <v>6958</v>
      </c>
      <c r="AP81" s="1550"/>
      <c r="AQ81" s="1550"/>
      <c r="AR81" s="1550"/>
      <c r="AS81" s="1550"/>
    </row>
    <row r="82">
      <c r="A82" s="1551"/>
      <c r="B82" s="1550"/>
      <c r="C82" s="1550"/>
      <c r="D82" s="1550"/>
      <c r="E82" s="1550"/>
      <c r="F82" s="1550"/>
      <c r="H82" s="1551"/>
      <c r="I82" s="1550"/>
      <c r="J82" s="1550"/>
      <c r="K82" s="1550"/>
      <c r="L82" s="1550"/>
      <c r="M82" s="1550"/>
      <c r="O82" s="1551"/>
      <c r="P82" s="1550"/>
      <c r="Q82" s="1550"/>
      <c r="R82" s="1550"/>
      <c r="S82" s="1550"/>
      <c r="T82" s="1550"/>
      <c r="V82" s="1551"/>
      <c r="W82" s="1550"/>
      <c r="X82" s="1550"/>
      <c r="Y82" s="1550"/>
      <c r="Z82" s="1550"/>
      <c r="AA82" s="1550"/>
      <c r="AC82" s="1551"/>
      <c r="AD82" s="1550"/>
      <c r="AE82" s="1550"/>
      <c r="AF82" s="1550"/>
      <c r="AG82" s="1550"/>
      <c r="AH82" s="1550"/>
      <c r="AJ82" s="1683">
        <v>29.0</v>
      </c>
      <c r="AK82" s="1683" t="s">
        <v>6957</v>
      </c>
      <c r="AL82" s="1685">
        <v>66.0</v>
      </c>
      <c r="AM82" s="1270"/>
      <c r="AN82" s="1683">
        <v>219.0</v>
      </c>
      <c r="AO82" s="1550"/>
      <c r="AP82" s="1550"/>
      <c r="AQ82" s="1550"/>
      <c r="AR82" s="1550"/>
      <c r="AS82" s="1550"/>
    </row>
    <row r="83">
      <c r="A83" s="1551"/>
      <c r="B83" s="1550"/>
      <c r="C83" s="1550"/>
      <c r="D83" s="1550"/>
      <c r="E83" s="1550"/>
      <c r="F83" s="1550"/>
      <c r="H83" s="1551"/>
      <c r="I83" s="1550"/>
      <c r="J83" s="1550"/>
      <c r="K83" s="1550"/>
      <c r="L83" s="1550"/>
      <c r="M83" s="1550"/>
      <c r="O83" s="1551"/>
      <c r="P83" s="1550"/>
      <c r="Q83" s="1550"/>
      <c r="R83" s="1550"/>
      <c r="S83" s="1550"/>
      <c r="T83" s="1550"/>
      <c r="V83" s="1551"/>
      <c r="W83" s="1550"/>
      <c r="X83" s="1550"/>
      <c r="Y83" s="1550"/>
      <c r="Z83" s="1550"/>
      <c r="AA83" s="1550"/>
      <c r="AC83" s="1551"/>
      <c r="AD83" s="1550"/>
      <c r="AE83" s="1550"/>
      <c r="AF83" s="1550"/>
      <c r="AG83" s="1550"/>
      <c r="AH83" s="1550"/>
      <c r="AJ83" s="1683">
        <v>31.0</v>
      </c>
      <c r="AK83" s="1688" t="s">
        <v>6959</v>
      </c>
      <c r="AL83" s="1685">
        <v>50.0</v>
      </c>
      <c r="AM83" s="1270"/>
      <c r="AN83" s="1683">
        <v>328.0</v>
      </c>
      <c r="AO83" s="1550"/>
      <c r="AP83" s="1550"/>
      <c r="AQ83" s="1550"/>
      <c r="AR83" s="1550"/>
      <c r="AS83" s="1550"/>
    </row>
    <row r="84">
      <c r="A84" s="1551"/>
      <c r="B84" s="1550"/>
      <c r="C84" s="1550"/>
      <c r="D84" s="1550"/>
      <c r="E84" s="1550"/>
      <c r="F84" s="1550"/>
      <c r="H84" s="1551"/>
      <c r="I84" s="1550"/>
      <c r="J84" s="1550"/>
      <c r="K84" s="1550"/>
      <c r="L84" s="1550"/>
      <c r="M84" s="1550"/>
      <c r="O84" s="1551"/>
      <c r="P84" s="1550"/>
      <c r="Q84" s="1550"/>
      <c r="R84" s="1550"/>
      <c r="S84" s="1550"/>
      <c r="T84" s="1550"/>
      <c r="V84" s="1551"/>
      <c r="W84" s="1550"/>
      <c r="X84" s="1550"/>
      <c r="Y84" s="1550"/>
      <c r="Z84" s="1550"/>
      <c r="AA84" s="1550"/>
      <c r="AC84" s="1551"/>
      <c r="AD84" s="1550"/>
      <c r="AE84" s="1550"/>
      <c r="AF84" s="1550"/>
      <c r="AG84" s="1550"/>
      <c r="AH84" s="1550"/>
      <c r="AJ84" s="1683">
        <v>8.0</v>
      </c>
      <c r="AK84" s="1693" t="s">
        <v>6960</v>
      </c>
      <c r="AL84" s="1685">
        <v>46.0</v>
      </c>
      <c r="AM84" s="1270"/>
      <c r="AN84" s="1683">
        <v>183.0</v>
      </c>
      <c r="AO84" s="1550"/>
      <c r="AP84" s="1550"/>
      <c r="AQ84" s="1550"/>
      <c r="AR84" s="1550"/>
      <c r="AS84" s="1550"/>
    </row>
    <row r="85">
      <c r="A85" s="1551"/>
      <c r="B85" s="1550"/>
      <c r="C85" s="1550"/>
      <c r="D85" s="1550"/>
      <c r="E85" s="1550"/>
      <c r="F85" s="1550"/>
      <c r="H85" s="1551"/>
      <c r="I85" s="1550"/>
      <c r="J85" s="1550"/>
      <c r="K85" s="1550"/>
      <c r="L85" s="1550"/>
      <c r="M85" s="1550"/>
      <c r="O85" s="1551"/>
      <c r="P85" s="1550"/>
      <c r="Q85" s="1550"/>
      <c r="R85" s="1550"/>
      <c r="S85" s="1550"/>
      <c r="T85" s="1550"/>
      <c r="V85" s="1551"/>
      <c r="W85" s="1550"/>
      <c r="X85" s="1550"/>
      <c r="Y85" s="1550"/>
      <c r="Z85" s="1550"/>
      <c r="AA85" s="1550"/>
      <c r="AC85" s="1551"/>
      <c r="AD85" s="1550"/>
      <c r="AE85" s="1550"/>
      <c r="AF85" s="1550"/>
      <c r="AG85" s="1550"/>
      <c r="AH85" s="1550"/>
      <c r="AJ85" s="1683">
        <v>1.0</v>
      </c>
      <c r="AK85" s="1693" t="s">
        <v>6961</v>
      </c>
      <c r="AL85" s="1685">
        <v>40.0</v>
      </c>
      <c r="AM85" s="1270"/>
      <c r="AN85" s="1683">
        <v>164.0</v>
      </c>
      <c r="AO85" s="1550"/>
      <c r="AP85" s="1550"/>
      <c r="AQ85" s="1550"/>
      <c r="AR85" s="1550"/>
      <c r="AS85" s="1550"/>
    </row>
    <row r="86">
      <c r="A86" s="1551"/>
      <c r="B86" s="1550"/>
      <c r="C86" s="1550"/>
      <c r="D86" s="1550"/>
      <c r="E86" s="1550"/>
      <c r="F86" s="1550"/>
      <c r="H86" s="1551"/>
      <c r="I86" s="1550"/>
      <c r="J86" s="1550"/>
      <c r="K86" s="1550"/>
      <c r="L86" s="1550"/>
      <c r="M86" s="1550"/>
      <c r="O86" s="1551"/>
      <c r="P86" s="1550"/>
      <c r="Q86" s="1550"/>
      <c r="R86" s="1550"/>
      <c r="S86" s="1550"/>
      <c r="T86" s="1550"/>
      <c r="V86" s="1551"/>
      <c r="W86" s="1550"/>
      <c r="X86" s="1550"/>
      <c r="Y86" s="1550"/>
      <c r="Z86" s="1550"/>
      <c r="AA86" s="1550"/>
      <c r="AC86" s="1551"/>
      <c r="AD86" s="1550"/>
      <c r="AE86" s="1550"/>
      <c r="AF86" s="1550"/>
      <c r="AG86" s="1550"/>
      <c r="AH86" s="1550"/>
      <c r="AJ86" s="1683">
        <v>2.0</v>
      </c>
      <c r="AK86" s="1693" t="s">
        <v>6962</v>
      </c>
      <c r="AL86" s="1685">
        <v>37.0</v>
      </c>
      <c r="AM86" s="1270"/>
      <c r="AN86" s="1683">
        <v>271.0</v>
      </c>
      <c r="AO86" s="1550"/>
      <c r="AP86" s="1550"/>
      <c r="AQ86" s="1550"/>
      <c r="AR86" s="1550"/>
      <c r="AS86" s="1550"/>
    </row>
    <row r="87">
      <c r="A87" s="1551"/>
      <c r="B87" s="1550"/>
      <c r="C87" s="1550"/>
      <c r="D87" s="1550"/>
      <c r="E87" s="1550"/>
      <c r="F87" s="1550"/>
      <c r="H87" s="1551"/>
      <c r="I87" s="1550"/>
      <c r="J87" s="1550"/>
      <c r="K87" s="1550"/>
      <c r="L87" s="1550"/>
      <c r="M87" s="1550"/>
      <c r="O87" s="1551"/>
      <c r="P87" s="1550"/>
      <c r="Q87" s="1550"/>
      <c r="R87" s="1550"/>
      <c r="S87" s="1550"/>
      <c r="T87" s="1550"/>
      <c r="V87" s="1551"/>
      <c r="W87" s="1550"/>
      <c r="X87" s="1550"/>
      <c r="Y87" s="1550"/>
      <c r="Z87" s="1550"/>
      <c r="AA87" s="1550"/>
      <c r="AC87" s="1551"/>
      <c r="AD87" s="1550"/>
      <c r="AE87" s="1550"/>
      <c r="AF87" s="1550"/>
      <c r="AG87" s="1550"/>
      <c r="AH87" s="1550"/>
      <c r="AJ87" s="1683">
        <v>24.0</v>
      </c>
      <c r="AK87" s="1693" t="s">
        <v>6962</v>
      </c>
      <c r="AL87" s="1685">
        <v>36.0</v>
      </c>
      <c r="AM87" s="1270"/>
      <c r="AN87" s="1683">
        <v>198.0</v>
      </c>
      <c r="AO87" s="1550"/>
      <c r="AP87" s="1550"/>
      <c r="AQ87" s="1550"/>
      <c r="AR87" s="1550"/>
      <c r="AS87" s="1550"/>
    </row>
    <row r="88">
      <c r="A88" s="1551"/>
      <c r="B88" s="1550"/>
      <c r="C88" s="1550"/>
      <c r="D88" s="1550"/>
      <c r="E88" s="1550"/>
      <c r="F88" s="1550"/>
      <c r="H88" s="1551"/>
      <c r="I88" s="1550"/>
      <c r="J88" s="1550"/>
      <c r="K88" s="1550"/>
      <c r="L88" s="1550"/>
      <c r="M88" s="1550"/>
      <c r="O88" s="1551"/>
      <c r="P88" s="1550"/>
      <c r="Q88" s="1550"/>
      <c r="R88" s="1550"/>
      <c r="S88" s="1550"/>
      <c r="T88" s="1550"/>
      <c r="V88" s="1551"/>
      <c r="W88" s="1550"/>
      <c r="X88" s="1550"/>
      <c r="Y88" s="1550"/>
      <c r="Z88" s="1550"/>
      <c r="AA88" s="1550"/>
      <c r="AC88" s="1551"/>
      <c r="AD88" s="1550"/>
      <c r="AE88" s="1550"/>
      <c r="AF88" s="1550"/>
      <c r="AG88" s="1550"/>
      <c r="AH88" s="1550"/>
      <c r="AJ88" s="1683">
        <v>22.0</v>
      </c>
      <c r="AK88" s="1693" t="s">
        <v>6944</v>
      </c>
      <c r="AL88" s="1685">
        <v>86.0</v>
      </c>
      <c r="AM88" s="1270"/>
      <c r="AN88" s="1683">
        <v>1548.0</v>
      </c>
      <c r="AO88" s="1550"/>
      <c r="AP88" s="1550"/>
      <c r="AQ88" s="1550"/>
      <c r="AR88" s="1550"/>
      <c r="AS88" s="1550"/>
    </row>
    <row r="89">
      <c r="A89" s="1551"/>
      <c r="B89" s="1550"/>
      <c r="C89" s="1550"/>
      <c r="D89" s="1550"/>
      <c r="E89" s="1550"/>
      <c r="F89" s="1550"/>
      <c r="H89" s="1551"/>
      <c r="I89" s="1550"/>
      <c r="J89" s="1550"/>
      <c r="K89" s="1550"/>
      <c r="L89" s="1550"/>
      <c r="M89" s="1550"/>
      <c r="O89" s="1551"/>
      <c r="P89" s="1550"/>
      <c r="Q89" s="1550"/>
      <c r="R89" s="1550"/>
      <c r="S89" s="1550"/>
      <c r="T89" s="1550"/>
      <c r="V89" s="1551"/>
      <c r="W89" s="1550"/>
      <c r="X89" s="1550"/>
      <c r="Y89" s="1550"/>
      <c r="Z89" s="1550"/>
      <c r="AA89" s="1550"/>
      <c r="AC89" s="1551"/>
      <c r="AD89" s="1550"/>
      <c r="AE89" s="1550"/>
      <c r="AF89" s="1550"/>
      <c r="AG89" s="1550"/>
      <c r="AH89" s="1550"/>
      <c r="AJ89" s="1683">
        <v>15.0</v>
      </c>
      <c r="AK89" s="1693" t="s">
        <v>6963</v>
      </c>
      <c r="AL89" s="1685">
        <v>59.0</v>
      </c>
      <c r="AM89" s="1270"/>
      <c r="AN89" s="1683">
        <v>183.0</v>
      </c>
      <c r="AO89" s="1694" t="s">
        <v>6964</v>
      </c>
      <c r="AP89" s="1550"/>
      <c r="AQ89" s="1550"/>
      <c r="AR89" s="1550"/>
      <c r="AS89" s="1550"/>
    </row>
    <row r="90">
      <c r="A90" s="1551"/>
      <c r="B90" s="1550"/>
      <c r="C90" s="1550"/>
      <c r="D90" s="1550"/>
      <c r="E90" s="1550"/>
      <c r="F90" s="1550"/>
      <c r="H90" s="1551"/>
      <c r="I90" s="1550"/>
      <c r="J90" s="1550"/>
      <c r="K90" s="1550"/>
      <c r="L90" s="1550"/>
      <c r="M90" s="1550"/>
      <c r="O90" s="1551"/>
      <c r="P90" s="1550"/>
      <c r="Q90" s="1550"/>
      <c r="R90" s="1550"/>
      <c r="S90" s="1550"/>
      <c r="T90" s="1550"/>
      <c r="V90" s="1551"/>
      <c r="W90" s="1550"/>
      <c r="X90" s="1550"/>
      <c r="Y90" s="1550"/>
      <c r="Z90" s="1550"/>
      <c r="AA90" s="1550"/>
      <c r="AC90" s="1551"/>
      <c r="AD90" s="1550"/>
      <c r="AE90" s="1550"/>
      <c r="AF90" s="1550"/>
      <c r="AG90" s="1550"/>
      <c r="AH90" s="1550"/>
      <c r="AJ90" s="1683">
        <v>24.0</v>
      </c>
      <c r="AK90" s="1693" t="s">
        <v>6965</v>
      </c>
      <c r="AL90" s="1685">
        <v>163.0</v>
      </c>
      <c r="AM90" s="1270"/>
      <c r="AN90" s="1683">
        <v>164.0</v>
      </c>
      <c r="AO90" s="1550"/>
      <c r="AP90" s="1550"/>
      <c r="AQ90" s="1550"/>
      <c r="AR90" s="1550"/>
      <c r="AS90" s="1550"/>
    </row>
    <row r="91">
      <c r="A91" s="1551"/>
      <c r="B91" s="1550"/>
      <c r="C91" s="1550"/>
      <c r="D91" s="1550"/>
      <c r="E91" s="1550"/>
      <c r="F91" s="1550"/>
      <c r="H91" s="1551"/>
      <c r="I91" s="1550"/>
      <c r="J91" s="1550"/>
      <c r="K91" s="1550"/>
      <c r="L91" s="1550"/>
      <c r="M91" s="1550"/>
      <c r="O91" s="1551"/>
      <c r="P91" s="1550"/>
      <c r="Q91" s="1550"/>
      <c r="R91" s="1550"/>
      <c r="S91" s="1550"/>
      <c r="T91" s="1550"/>
      <c r="V91" s="1551"/>
      <c r="W91" s="1550"/>
      <c r="X91" s="1550"/>
      <c r="Y91" s="1550"/>
      <c r="Z91" s="1550"/>
      <c r="AA91" s="1550"/>
      <c r="AC91" s="1551"/>
      <c r="AD91" s="1550"/>
      <c r="AE91" s="1550"/>
      <c r="AF91" s="1550"/>
      <c r="AG91" s="1550"/>
      <c r="AH91" s="1550"/>
      <c r="AJ91" s="1683">
        <v>30.0</v>
      </c>
      <c r="AK91" s="1695">
        <v>45315.0</v>
      </c>
      <c r="AL91" s="1685">
        <v>195.0</v>
      </c>
      <c r="AM91" s="1270"/>
      <c r="AN91" s="1683">
        <v>243.0</v>
      </c>
      <c r="AO91" s="1550"/>
      <c r="AP91" s="1550"/>
      <c r="AQ91" s="1550"/>
      <c r="AR91" s="1550"/>
      <c r="AS91" s="1550"/>
    </row>
    <row r="92">
      <c r="A92" s="1551"/>
      <c r="B92" s="1550"/>
      <c r="C92" s="1550"/>
      <c r="D92" s="1550"/>
      <c r="E92" s="1550"/>
      <c r="F92" s="1550"/>
      <c r="H92" s="1551"/>
      <c r="I92" s="1550"/>
      <c r="J92" s="1550"/>
      <c r="K92" s="1550"/>
      <c r="L92" s="1550"/>
      <c r="M92" s="1550"/>
      <c r="O92" s="1551"/>
      <c r="P92" s="1550"/>
      <c r="Q92" s="1550"/>
      <c r="R92" s="1550"/>
      <c r="S92" s="1550"/>
      <c r="T92" s="1550"/>
      <c r="V92" s="1551"/>
      <c r="W92" s="1550"/>
      <c r="X92" s="1550"/>
      <c r="Y92" s="1550"/>
      <c r="Z92" s="1550"/>
      <c r="AA92" s="1550"/>
      <c r="AC92" s="1551"/>
      <c r="AD92" s="1550"/>
      <c r="AE92" s="1550"/>
      <c r="AF92" s="1550"/>
      <c r="AG92" s="1550"/>
      <c r="AH92" s="1550"/>
      <c r="AJ92" s="1683">
        <v>15.0</v>
      </c>
      <c r="AK92" s="1693" t="s">
        <v>6961</v>
      </c>
      <c r="AL92" s="1685">
        <v>118.0</v>
      </c>
      <c r="AM92" s="1270"/>
      <c r="AN92" s="1683">
        <v>218.0</v>
      </c>
      <c r="AO92" s="1550"/>
      <c r="AP92" s="1550"/>
      <c r="AQ92" s="1550"/>
      <c r="AR92" s="1550"/>
      <c r="AS92" s="1550"/>
    </row>
    <row r="93">
      <c r="A93" s="1551"/>
      <c r="B93" s="1550"/>
      <c r="C93" s="1550"/>
      <c r="D93" s="1550"/>
      <c r="E93" s="1550"/>
      <c r="F93" s="1550"/>
      <c r="H93" s="1551"/>
      <c r="I93" s="1550"/>
      <c r="J93" s="1550"/>
      <c r="K93" s="1550"/>
      <c r="L93" s="1550"/>
      <c r="M93" s="1550"/>
      <c r="O93" s="1551"/>
      <c r="P93" s="1550"/>
      <c r="Q93" s="1550"/>
      <c r="R93" s="1550"/>
      <c r="S93" s="1550"/>
      <c r="T93" s="1550"/>
      <c r="V93" s="1551"/>
      <c r="W93" s="1550"/>
      <c r="X93" s="1550"/>
      <c r="Y93" s="1550"/>
      <c r="Z93" s="1550"/>
      <c r="AA93" s="1550"/>
      <c r="AC93" s="1551"/>
      <c r="AD93" s="1550"/>
      <c r="AE93" s="1550"/>
      <c r="AF93" s="1550"/>
      <c r="AG93" s="1550"/>
      <c r="AH93" s="1550"/>
      <c r="AJ93" s="1683">
        <v>22.0</v>
      </c>
      <c r="AK93" s="1693" t="s">
        <v>6966</v>
      </c>
      <c r="AL93" s="1685">
        <v>86.0</v>
      </c>
      <c r="AM93" s="1270"/>
      <c r="AN93" s="1683">
        <v>250.0</v>
      </c>
      <c r="AO93" s="1550"/>
      <c r="AP93" s="1550"/>
      <c r="AQ93" s="1550"/>
      <c r="AR93" s="1550"/>
      <c r="AS93" s="1550"/>
    </row>
    <row r="94">
      <c r="A94" s="1551"/>
      <c r="B94" s="1550"/>
      <c r="C94" s="1550"/>
      <c r="D94" s="1550"/>
      <c r="E94" s="1550"/>
      <c r="F94" s="1550"/>
      <c r="H94" s="1551"/>
      <c r="I94" s="1550"/>
      <c r="J94" s="1550"/>
      <c r="K94" s="1550"/>
      <c r="L94" s="1550"/>
      <c r="M94" s="1550"/>
      <c r="O94" s="1551"/>
      <c r="P94" s="1550"/>
      <c r="Q94" s="1550"/>
      <c r="R94" s="1550"/>
      <c r="S94" s="1550"/>
      <c r="T94" s="1550"/>
      <c r="V94" s="1551"/>
      <c r="W94" s="1550"/>
      <c r="X94" s="1550"/>
      <c r="Y94" s="1550"/>
      <c r="Z94" s="1550"/>
      <c r="AA94" s="1550"/>
      <c r="AC94" s="1551"/>
      <c r="AD94" s="1550"/>
      <c r="AE94" s="1550"/>
      <c r="AF94" s="1550"/>
      <c r="AG94" s="1550"/>
      <c r="AH94" s="1550"/>
      <c r="AJ94" s="1683">
        <v>11.0</v>
      </c>
      <c r="AK94" s="1683" t="s">
        <v>6944</v>
      </c>
      <c r="AL94" s="1685">
        <v>106.0</v>
      </c>
      <c r="AM94" s="1270"/>
      <c r="AN94" s="1683">
        <v>226.0</v>
      </c>
      <c r="AO94" s="1550"/>
      <c r="AP94" s="1550"/>
      <c r="AQ94" s="1550"/>
      <c r="AR94" s="1550"/>
      <c r="AS94" s="1550"/>
    </row>
    <row r="95">
      <c r="A95" s="1551"/>
      <c r="B95" s="1550"/>
      <c r="C95" s="1550"/>
      <c r="D95" s="1550"/>
      <c r="E95" s="1550"/>
      <c r="F95" s="1550"/>
      <c r="H95" s="1551"/>
      <c r="I95" s="1550"/>
      <c r="J95" s="1550"/>
      <c r="K95" s="1550"/>
      <c r="L95" s="1550"/>
      <c r="M95" s="1550"/>
      <c r="O95" s="1551"/>
      <c r="P95" s="1550"/>
      <c r="Q95" s="1550"/>
      <c r="R95" s="1550"/>
      <c r="S95" s="1550"/>
      <c r="T95" s="1550"/>
      <c r="V95" s="1551"/>
      <c r="W95" s="1550"/>
      <c r="X95" s="1550"/>
      <c r="Y95" s="1550"/>
      <c r="Z95" s="1550"/>
      <c r="AA95" s="1550"/>
      <c r="AC95" s="1551"/>
      <c r="AD95" s="1550"/>
      <c r="AE95" s="1550"/>
      <c r="AF95" s="1550"/>
      <c r="AG95" s="1550"/>
      <c r="AH95" s="1550"/>
      <c r="AJ95" s="1683">
        <v>3.0</v>
      </c>
      <c r="AK95" s="1683" t="s">
        <v>6963</v>
      </c>
      <c r="AL95" s="1685">
        <v>100.0</v>
      </c>
      <c r="AM95" s="1270"/>
      <c r="AN95" s="1683">
        <v>326.0</v>
      </c>
      <c r="AO95" s="1550"/>
      <c r="AP95" s="1550"/>
      <c r="AQ95" s="1550"/>
      <c r="AR95" s="1550"/>
      <c r="AS95" s="1550"/>
    </row>
    <row r="96">
      <c r="A96" s="1551"/>
      <c r="B96" s="1550"/>
      <c r="C96" s="1550"/>
      <c r="D96" s="1550"/>
      <c r="E96" s="1550"/>
      <c r="F96" s="1550"/>
      <c r="H96" s="1551"/>
      <c r="I96" s="1550"/>
      <c r="J96" s="1550"/>
      <c r="K96" s="1550"/>
      <c r="L96" s="1550"/>
      <c r="M96" s="1550"/>
      <c r="O96" s="1551"/>
      <c r="P96" s="1550"/>
      <c r="Q96" s="1550"/>
      <c r="R96" s="1550"/>
      <c r="S96" s="1550"/>
      <c r="T96" s="1550"/>
      <c r="V96" s="1551"/>
      <c r="W96" s="1550"/>
      <c r="X96" s="1550"/>
      <c r="Y96" s="1550"/>
      <c r="Z96" s="1550"/>
      <c r="AA96" s="1550"/>
      <c r="AC96" s="1551"/>
      <c r="AD96" s="1550"/>
      <c r="AE96" s="1550"/>
      <c r="AF96" s="1550"/>
      <c r="AG96" s="1550"/>
      <c r="AH96" s="1550"/>
      <c r="AJ96" s="1683">
        <v>10.0</v>
      </c>
      <c r="AK96" s="1683" t="s">
        <v>6929</v>
      </c>
      <c r="AL96" s="1685">
        <v>98.0</v>
      </c>
      <c r="AM96" s="1270"/>
      <c r="AN96" s="1683">
        <v>226.0</v>
      </c>
      <c r="AO96" s="1550"/>
      <c r="AP96" s="1550"/>
      <c r="AQ96" s="1550"/>
      <c r="AR96" s="1550"/>
      <c r="AS96" s="1550"/>
    </row>
    <row r="97">
      <c r="A97" s="1551"/>
      <c r="B97" s="1550"/>
      <c r="C97" s="1550"/>
      <c r="D97" s="1550"/>
      <c r="E97" s="1550"/>
      <c r="F97" s="1550"/>
      <c r="H97" s="1551"/>
      <c r="I97" s="1550"/>
      <c r="J97" s="1550"/>
      <c r="K97" s="1550"/>
      <c r="L97" s="1550"/>
      <c r="M97" s="1550"/>
      <c r="O97" s="1551"/>
      <c r="P97" s="1550"/>
      <c r="Q97" s="1550"/>
      <c r="R97" s="1550"/>
      <c r="S97" s="1550"/>
      <c r="T97" s="1550"/>
      <c r="V97" s="1551"/>
      <c r="W97" s="1550"/>
      <c r="X97" s="1550"/>
      <c r="Y97" s="1550"/>
      <c r="Z97" s="1550"/>
      <c r="AA97" s="1550"/>
      <c r="AC97" s="1551"/>
      <c r="AD97" s="1550"/>
      <c r="AE97" s="1550"/>
      <c r="AF97" s="1550"/>
      <c r="AG97" s="1550"/>
      <c r="AH97" s="1550"/>
      <c r="AJ97" s="1683">
        <v>6.0</v>
      </c>
      <c r="AK97" s="1683" t="s">
        <v>6930</v>
      </c>
      <c r="AL97" s="1685">
        <v>89.0</v>
      </c>
      <c r="AM97" s="1270"/>
      <c r="AN97" s="1683">
        <v>342.0</v>
      </c>
      <c r="AO97" s="1550"/>
      <c r="AP97" s="1550"/>
      <c r="AQ97" s="1550"/>
      <c r="AR97" s="1550"/>
      <c r="AS97" s="1550"/>
    </row>
    <row r="98">
      <c r="A98" s="1551"/>
      <c r="B98" s="1550"/>
      <c r="C98" s="1550"/>
      <c r="D98" s="1550"/>
      <c r="E98" s="1550"/>
      <c r="F98" s="1550"/>
      <c r="H98" s="1551"/>
      <c r="I98" s="1550"/>
      <c r="J98" s="1550"/>
      <c r="K98" s="1550"/>
      <c r="L98" s="1550"/>
      <c r="M98" s="1550"/>
      <c r="O98" s="1551"/>
      <c r="P98" s="1550"/>
      <c r="Q98" s="1550"/>
      <c r="R98" s="1550"/>
      <c r="S98" s="1550"/>
      <c r="T98" s="1550"/>
      <c r="V98" s="1551"/>
      <c r="W98" s="1550"/>
      <c r="X98" s="1550"/>
      <c r="Y98" s="1550"/>
      <c r="Z98" s="1550"/>
      <c r="AA98" s="1550"/>
      <c r="AC98" s="1551"/>
      <c r="AD98" s="1550"/>
      <c r="AE98" s="1550"/>
      <c r="AF98" s="1550"/>
      <c r="AG98" s="1550"/>
      <c r="AH98" s="1550"/>
      <c r="AJ98" s="1683">
        <v>13.0</v>
      </c>
      <c r="AK98" s="1683" t="s">
        <v>6967</v>
      </c>
      <c r="AL98" s="1685">
        <v>111.0</v>
      </c>
      <c r="AM98" s="1270"/>
      <c r="AN98" s="1683">
        <v>421.0</v>
      </c>
      <c r="AO98" s="1550"/>
      <c r="AP98" s="1550"/>
      <c r="AQ98" s="1550"/>
      <c r="AR98" s="1550"/>
      <c r="AS98" s="1550"/>
    </row>
    <row r="99">
      <c r="A99" s="1551"/>
      <c r="B99" s="1550"/>
      <c r="C99" s="1550"/>
      <c r="D99" s="1550"/>
      <c r="E99" s="1550"/>
      <c r="F99" s="1550"/>
      <c r="H99" s="1551"/>
      <c r="I99" s="1550"/>
      <c r="J99" s="1550"/>
      <c r="K99" s="1550"/>
      <c r="L99" s="1550"/>
      <c r="M99" s="1550"/>
      <c r="O99" s="1551"/>
      <c r="P99" s="1550"/>
      <c r="Q99" s="1550"/>
      <c r="R99" s="1550"/>
      <c r="S99" s="1550"/>
      <c r="T99" s="1550"/>
      <c r="V99" s="1551"/>
      <c r="W99" s="1550"/>
      <c r="X99" s="1550"/>
      <c r="Y99" s="1550"/>
      <c r="Z99" s="1550"/>
      <c r="AA99" s="1550"/>
      <c r="AC99" s="1551"/>
      <c r="AD99" s="1550"/>
      <c r="AE99" s="1550"/>
      <c r="AF99" s="1550"/>
      <c r="AG99" s="1550"/>
      <c r="AH99" s="1550"/>
      <c r="AJ99" s="1683">
        <v>24.0</v>
      </c>
      <c r="AK99" s="1696" t="s">
        <v>6968</v>
      </c>
      <c r="AL99" s="1685">
        <v>31.0</v>
      </c>
      <c r="AM99" s="1270"/>
      <c r="AN99" s="1683">
        <v>178.0</v>
      </c>
      <c r="AO99" s="1550"/>
      <c r="AP99" s="1550"/>
      <c r="AQ99" s="1550"/>
      <c r="AR99" s="1550"/>
      <c r="AS99" s="1550"/>
    </row>
    <row r="100">
      <c r="A100" s="1551"/>
      <c r="B100" s="1550"/>
      <c r="C100" s="1550"/>
      <c r="D100" s="1550"/>
      <c r="E100" s="1550"/>
      <c r="F100" s="1550"/>
      <c r="H100" s="1551"/>
      <c r="I100" s="1550"/>
      <c r="J100" s="1550"/>
      <c r="K100" s="1550"/>
      <c r="L100" s="1550"/>
      <c r="M100" s="1550"/>
      <c r="O100" s="1551"/>
      <c r="P100" s="1550"/>
      <c r="Q100" s="1550"/>
      <c r="R100" s="1550"/>
      <c r="S100" s="1550"/>
      <c r="T100" s="1550"/>
      <c r="V100" s="1551"/>
      <c r="W100" s="1550"/>
      <c r="X100" s="1550"/>
      <c r="Y100" s="1550"/>
      <c r="Z100" s="1550"/>
      <c r="AA100" s="1550"/>
      <c r="AC100" s="1551"/>
      <c r="AD100" s="1550"/>
      <c r="AE100" s="1550"/>
      <c r="AF100" s="1550"/>
      <c r="AG100" s="1550"/>
      <c r="AH100" s="1550"/>
      <c r="AJ100" s="1683"/>
      <c r="AK100" s="1683" t="s">
        <v>6961</v>
      </c>
      <c r="AL100" s="1685"/>
      <c r="AM100" s="1270"/>
      <c r="AN100" s="1683">
        <v>373.0</v>
      </c>
      <c r="AO100" s="1550"/>
      <c r="AP100" s="1550"/>
      <c r="AQ100" s="1550"/>
      <c r="AR100" s="1550"/>
      <c r="AS100" s="1550"/>
    </row>
    <row r="101">
      <c r="A101" s="1551"/>
      <c r="B101" s="1550"/>
      <c r="C101" s="1550"/>
      <c r="D101" s="1550"/>
      <c r="E101" s="1550"/>
      <c r="F101" s="1550"/>
      <c r="H101" s="1551"/>
      <c r="I101" s="1550"/>
      <c r="J101" s="1550"/>
      <c r="K101" s="1550"/>
      <c r="L101" s="1550"/>
      <c r="M101" s="1550"/>
      <c r="O101" s="1551"/>
      <c r="P101" s="1550"/>
      <c r="Q101" s="1550"/>
      <c r="R101" s="1550"/>
      <c r="S101" s="1550"/>
      <c r="T101" s="1550"/>
      <c r="V101" s="1551"/>
      <c r="W101" s="1550"/>
      <c r="X101" s="1550"/>
      <c r="Y101" s="1550"/>
      <c r="Z101" s="1550"/>
      <c r="AA101" s="1550"/>
      <c r="AC101" s="1551"/>
      <c r="AD101" s="1550"/>
      <c r="AE101" s="1550"/>
      <c r="AF101" s="1550"/>
      <c r="AG101" s="1550"/>
      <c r="AH101" s="1550"/>
      <c r="AJ101" s="1551"/>
      <c r="AK101" s="1594" t="s">
        <v>6321</v>
      </c>
      <c r="AL101" s="1594">
        <v>14.0</v>
      </c>
      <c r="AM101" s="1550"/>
      <c r="AN101" s="1594">
        <v>257.0</v>
      </c>
      <c r="AO101" s="1550"/>
      <c r="AP101" s="1550"/>
      <c r="AQ101" s="1550"/>
      <c r="AR101" s="1550"/>
      <c r="AS101" s="1550"/>
    </row>
    <row r="102">
      <c r="A102" s="1551"/>
      <c r="B102" s="1550"/>
      <c r="C102" s="1550"/>
      <c r="D102" s="1550"/>
      <c r="E102" s="1550"/>
      <c r="F102" s="1550"/>
      <c r="H102" s="1551"/>
      <c r="I102" s="1550"/>
      <c r="J102" s="1550"/>
      <c r="K102" s="1550"/>
      <c r="L102" s="1550"/>
      <c r="M102" s="1550"/>
      <c r="O102" s="1551"/>
      <c r="P102" s="1550"/>
      <c r="Q102" s="1550"/>
      <c r="R102" s="1550"/>
      <c r="S102" s="1550"/>
      <c r="T102" s="1550"/>
      <c r="V102" s="1551"/>
      <c r="W102" s="1550"/>
      <c r="X102" s="1550"/>
      <c r="Y102" s="1550"/>
      <c r="Z102" s="1550"/>
      <c r="AA102" s="1550"/>
      <c r="AC102" s="1551"/>
      <c r="AD102" s="1550"/>
      <c r="AE102" s="1550"/>
      <c r="AF102" s="1550"/>
      <c r="AG102" s="1550"/>
      <c r="AH102" s="1550"/>
      <c r="AJ102" s="1551"/>
      <c r="AK102" s="1550"/>
      <c r="AL102" s="1550"/>
      <c r="AM102" s="1550"/>
      <c r="AN102" s="1550">
        <f>SUM(AN46:AN101)</f>
        <v>12559</v>
      </c>
      <c r="AO102" s="1550"/>
      <c r="AP102" s="1550"/>
      <c r="AQ102" s="1550"/>
      <c r="AR102" s="1550"/>
      <c r="AS102" s="1550"/>
    </row>
    <row r="103">
      <c r="A103" s="1551"/>
      <c r="B103" s="1550"/>
      <c r="C103" s="1550"/>
      <c r="D103" s="1550"/>
      <c r="E103" s="1550"/>
      <c r="F103" s="1550"/>
      <c r="H103" s="1551"/>
      <c r="I103" s="1550"/>
      <c r="J103" s="1550"/>
      <c r="K103" s="1550"/>
      <c r="L103" s="1550"/>
      <c r="M103" s="1550"/>
      <c r="O103" s="1551"/>
      <c r="P103" s="1550"/>
      <c r="Q103" s="1550"/>
      <c r="R103" s="1550"/>
      <c r="S103" s="1550"/>
      <c r="T103" s="1550"/>
      <c r="V103" s="1551"/>
      <c r="W103" s="1550"/>
      <c r="X103" s="1550"/>
      <c r="Y103" s="1550"/>
      <c r="Z103" s="1550"/>
      <c r="AA103" s="1550"/>
      <c r="AC103" s="1551"/>
      <c r="AD103" s="1550"/>
      <c r="AE103" s="1550"/>
      <c r="AF103" s="1550"/>
      <c r="AG103" s="1550"/>
      <c r="AH103" s="1550"/>
      <c r="AJ103" s="1551"/>
      <c r="AK103" s="1550"/>
      <c r="AL103" s="1550"/>
      <c r="AM103" s="1550"/>
      <c r="AN103" s="1550"/>
      <c r="AO103" s="1550"/>
      <c r="AP103" s="1550"/>
      <c r="AQ103" s="1550"/>
      <c r="AR103" s="1550"/>
      <c r="AS103" s="1550"/>
    </row>
    <row r="104">
      <c r="A104" s="1551"/>
      <c r="B104" s="1550"/>
      <c r="C104" s="1550"/>
      <c r="D104" s="1550"/>
      <c r="E104" s="1550"/>
      <c r="F104" s="1550"/>
      <c r="H104" s="1551"/>
      <c r="I104" s="1550"/>
      <c r="J104" s="1550"/>
      <c r="K104" s="1550"/>
      <c r="L104" s="1550"/>
      <c r="M104" s="1550"/>
      <c r="O104" s="1551"/>
      <c r="P104" s="1550"/>
      <c r="Q104" s="1550"/>
      <c r="R104" s="1550"/>
      <c r="S104" s="1550"/>
      <c r="T104" s="1550"/>
      <c r="V104" s="1551"/>
      <c r="W104" s="1550"/>
      <c r="X104" s="1550"/>
      <c r="Y104" s="1550"/>
      <c r="Z104" s="1550"/>
      <c r="AA104" s="1550"/>
      <c r="AC104" s="1551"/>
      <c r="AD104" s="1550"/>
      <c r="AE104" s="1550"/>
      <c r="AF104" s="1550"/>
      <c r="AG104" s="1550"/>
      <c r="AH104" s="1550"/>
      <c r="AJ104" s="1551"/>
      <c r="AK104" s="1550"/>
      <c r="AL104" s="1550"/>
      <c r="AM104" s="1550"/>
      <c r="AN104" s="1550"/>
      <c r="AO104" s="1550"/>
      <c r="AP104" s="1550"/>
      <c r="AQ104" s="1550"/>
      <c r="AR104" s="1550"/>
      <c r="AS104" s="1550"/>
    </row>
    <row r="105">
      <c r="A105" s="1551"/>
      <c r="B105" s="1550"/>
      <c r="C105" s="1550"/>
      <c r="D105" s="1550"/>
      <c r="E105" s="1550"/>
      <c r="F105" s="1550"/>
      <c r="H105" s="1551"/>
      <c r="I105" s="1550"/>
      <c r="J105" s="1550"/>
      <c r="K105" s="1550"/>
      <c r="L105" s="1550"/>
      <c r="M105" s="1550"/>
      <c r="O105" s="1551"/>
      <c r="P105" s="1550"/>
      <c r="Q105" s="1550"/>
      <c r="R105" s="1550"/>
      <c r="S105" s="1550"/>
      <c r="T105" s="1550"/>
      <c r="V105" s="1551"/>
      <c r="W105" s="1550"/>
      <c r="X105" s="1550"/>
      <c r="Y105" s="1550"/>
      <c r="Z105" s="1550"/>
      <c r="AA105" s="1550"/>
      <c r="AC105" s="1551"/>
      <c r="AD105" s="1550"/>
      <c r="AE105" s="1550"/>
      <c r="AF105" s="1550"/>
      <c r="AG105" s="1550"/>
      <c r="AH105" s="1550"/>
      <c r="AJ105" s="1551"/>
      <c r="AK105" s="1550"/>
      <c r="AL105" s="1550"/>
      <c r="AM105" s="1550"/>
      <c r="AN105" s="1550"/>
      <c r="AO105" s="1550"/>
      <c r="AP105" s="1550"/>
      <c r="AQ105" s="1550"/>
      <c r="AR105" s="1550"/>
      <c r="AS105" s="1550"/>
    </row>
    <row r="106">
      <c r="A106" s="1551"/>
      <c r="B106" s="1550"/>
      <c r="C106" s="1550"/>
      <c r="D106" s="1550"/>
      <c r="E106" s="1550"/>
      <c r="F106" s="1550"/>
      <c r="H106" s="1551"/>
      <c r="I106" s="1550"/>
      <c r="J106" s="1550"/>
      <c r="K106" s="1550"/>
      <c r="L106" s="1550"/>
      <c r="M106" s="1550"/>
      <c r="O106" s="1551"/>
      <c r="P106" s="1550"/>
      <c r="Q106" s="1550"/>
      <c r="R106" s="1550"/>
      <c r="S106" s="1550"/>
      <c r="T106" s="1550"/>
      <c r="V106" s="1551"/>
      <c r="W106" s="1550"/>
      <c r="X106" s="1550"/>
      <c r="Y106" s="1550"/>
      <c r="Z106" s="1550"/>
      <c r="AA106" s="1550"/>
      <c r="AC106" s="1551"/>
      <c r="AD106" s="1550"/>
      <c r="AE106" s="1550"/>
      <c r="AF106" s="1550"/>
      <c r="AG106" s="1550"/>
      <c r="AH106" s="1550"/>
      <c r="AJ106" s="1551"/>
      <c r="AK106" s="1550"/>
      <c r="AL106" s="1550"/>
      <c r="AM106" s="1550"/>
      <c r="AN106" s="1550"/>
      <c r="AO106" s="1550"/>
      <c r="AP106" s="1550"/>
      <c r="AQ106" s="1550"/>
      <c r="AR106" s="1550"/>
      <c r="AS106" s="1550"/>
    </row>
    <row r="107">
      <c r="A107" s="1551"/>
      <c r="B107" s="1550"/>
      <c r="C107" s="1550"/>
      <c r="D107" s="1550"/>
      <c r="E107" s="1550"/>
      <c r="F107" s="1550"/>
      <c r="H107" s="1551"/>
      <c r="I107" s="1550"/>
      <c r="J107" s="1550"/>
      <c r="K107" s="1550"/>
      <c r="L107" s="1550"/>
      <c r="M107" s="1550"/>
      <c r="O107" s="1551"/>
      <c r="P107" s="1550"/>
      <c r="Q107" s="1550"/>
      <c r="R107" s="1550"/>
      <c r="S107" s="1550"/>
      <c r="T107" s="1550"/>
      <c r="V107" s="1551"/>
      <c r="W107" s="1550"/>
      <c r="X107" s="1550"/>
      <c r="Y107" s="1550"/>
      <c r="Z107" s="1550"/>
      <c r="AA107" s="1550"/>
      <c r="AC107" s="1551"/>
      <c r="AD107" s="1550"/>
      <c r="AE107" s="1550"/>
      <c r="AF107" s="1550"/>
      <c r="AG107" s="1550"/>
      <c r="AH107" s="1550"/>
      <c r="AJ107" s="1551"/>
      <c r="AK107" s="1550"/>
      <c r="AL107" s="1550"/>
      <c r="AM107" s="1550"/>
      <c r="AN107" s="1550"/>
      <c r="AO107" s="1550"/>
      <c r="AP107" s="1550"/>
      <c r="AQ107" s="1550"/>
      <c r="AR107" s="1550"/>
      <c r="AS107" s="1550"/>
    </row>
    <row r="108">
      <c r="A108" s="1551"/>
      <c r="B108" s="1550"/>
      <c r="C108" s="1550"/>
      <c r="D108" s="1550"/>
      <c r="E108" s="1550"/>
      <c r="F108" s="1550"/>
      <c r="H108" s="1551"/>
      <c r="I108" s="1550"/>
      <c r="J108" s="1550"/>
      <c r="K108" s="1550"/>
      <c r="L108" s="1550"/>
      <c r="M108" s="1550"/>
      <c r="O108" s="1551"/>
      <c r="P108" s="1550"/>
      <c r="Q108" s="1550"/>
      <c r="R108" s="1550"/>
      <c r="S108" s="1550"/>
      <c r="T108" s="1550"/>
      <c r="V108" s="1551"/>
      <c r="W108" s="1550"/>
      <c r="X108" s="1550"/>
      <c r="Y108" s="1550"/>
      <c r="Z108" s="1550"/>
      <c r="AA108" s="1550"/>
      <c r="AC108" s="1551"/>
      <c r="AD108" s="1550"/>
      <c r="AE108" s="1550"/>
      <c r="AF108" s="1550"/>
      <c r="AG108" s="1550"/>
      <c r="AH108" s="1550"/>
      <c r="AJ108" s="1551"/>
      <c r="AK108" s="1550"/>
      <c r="AL108" s="1550"/>
      <c r="AM108" s="1550"/>
      <c r="AN108" s="1550"/>
      <c r="AO108" s="1550"/>
      <c r="AP108" s="1550"/>
      <c r="AQ108" s="1550"/>
      <c r="AR108" s="1550"/>
      <c r="AS108" s="1550"/>
    </row>
    <row r="109">
      <c r="A109" s="1551"/>
      <c r="B109" s="1550"/>
      <c r="C109" s="1550"/>
      <c r="D109" s="1550"/>
      <c r="E109" s="1550"/>
      <c r="F109" s="1550"/>
      <c r="H109" s="1551"/>
      <c r="I109" s="1550"/>
      <c r="J109" s="1550"/>
      <c r="K109" s="1550"/>
      <c r="L109" s="1550"/>
      <c r="M109" s="1550"/>
      <c r="O109" s="1551"/>
      <c r="P109" s="1550"/>
      <c r="Q109" s="1550"/>
      <c r="R109" s="1550"/>
      <c r="S109" s="1550"/>
      <c r="T109" s="1550"/>
      <c r="V109" s="1551"/>
      <c r="W109" s="1550"/>
      <c r="X109" s="1550"/>
      <c r="Y109" s="1550"/>
      <c r="Z109" s="1550"/>
      <c r="AA109" s="1550"/>
      <c r="AC109" s="1551"/>
      <c r="AD109" s="1550"/>
      <c r="AE109" s="1550"/>
      <c r="AF109" s="1550"/>
      <c r="AG109" s="1550"/>
      <c r="AH109" s="1550"/>
      <c r="AJ109" s="1551"/>
      <c r="AK109" s="1550"/>
      <c r="AL109" s="1550"/>
      <c r="AM109" s="1550"/>
      <c r="AN109" s="1550"/>
      <c r="AO109" s="1550"/>
      <c r="AP109" s="1550"/>
      <c r="AQ109" s="1550"/>
      <c r="AR109" s="1550"/>
      <c r="AS109" s="1550"/>
    </row>
    <row r="110">
      <c r="A110" s="1551"/>
      <c r="B110" s="1550"/>
      <c r="C110" s="1550"/>
      <c r="D110" s="1550"/>
      <c r="E110" s="1550"/>
      <c r="F110" s="1550"/>
      <c r="H110" s="1551"/>
      <c r="I110" s="1550"/>
      <c r="J110" s="1550"/>
      <c r="K110" s="1550"/>
      <c r="L110" s="1550"/>
      <c r="M110" s="1550"/>
      <c r="O110" s="1551"/>
      <c r="P110" s="1550"/>
      <c r="Q110" s="1550"/>
      <c r="R110" s="1550"/>
      <c r="S110" s="1550"/>
      <c r="T110" s="1550"/>
      <c r="V110" s="1551"/>
      <c r="W110" s="1550"/>
      <c r="X110" s="1550"/>
      <c r="Y110" s="1550"/>
      <c r="Z110" s="1550"/>
      <c r="AA110" s="1550"/>
      <c r="AC110" s="1551"/>
      <c r="AD110" s="1550"/>
      <c r="AE110" s="1550"/>
      <c r="AF110" s="1550"/>
      <c r="AG110" s="1550"/>
      <c r="AH110" s="1550"/>
      <c r="AJ110" s="1551"/>
      <c r="AK110" s="1550"/>
      <c r="AL110" s="1550"/>
      <c r="AM110" s="1550"/>
      <c r="AN110" s="1550"/>
      <c r="AO110" s="1550"/>
      <c r="AP110" s="1550"/>
      <c r="AQ110" s="1550"/>
      <c r="AR110" s="1550"/>
      <c r="AS110" s="1550"/>
    </row>
  </sheetData>
  <autoFilter ref="$AC$6:$AO$32"/>
  <mergeCells count="85">
    <mergeCell ref="AL62:AM62"/>
    <mergeCell ref="AL63:AM63"/>
    <mergeCell ref="AL64:AM64"/>
    <mergeCell ref="AL65:AM65"/>
    <mergeCell ref="AL66:AM66"/>
    <mergeCell ref="AL67:AM67"/>
    <mergeCell ref="AL68:AM68"/>
    <mergeCell ref="AL69:AM69"/>
    <mergeCell ref="AL70:AM70"/>
    <mergeCell ref="AL71:AM71"/>
    <mergeCell ref="AL72:AM72"/>
    <mergeCell ref="AL73:AM73"/>
    <mergeCell ref="AL74:AM74"/>
    <mergeCell ref="AL75:AM75"/>
    <mergeCell ref="AL76:AM76"/>
    <mergeCell ref="AL77:AM77"/>
    <mergeCell ref="AL78:AM78"/>
    <mergeCell ref="AL79:AM79"/>
    <mergeCell ref="AL80:AM80"/>
    <mergeCell ref="AL81:AM81"/>
    <mergeCell ref="AL82:AM82"/>
    <mergeCell ref="AL83:AM83"/>
    <mergeCell ref="AL84:AM84"/>
    <mergeCell ref="AL85:AM85"/>
    <mergeCell ref="AL86:AM86"/>
    <mergeCell ref="AL87:AM87"/>
    <mergeCell ref="AL88:AM88"/>
    <mergeCell ref="AL89:AM89"/>
    <mergeCell ref="AL97:AM97"/>
    <mergeCell ref="AL98:AM98"/>
    <mergeCell ref="AL99:AM99"/>
    <mergeCell ref="AL100:AM100"/>
    <mergeCell ref="AL90:AM90"/>
    <mergeCell ref="AL91:AM91"/>
    <mergeCell ref="AL92:AM92"/>
    <mergeCell ref="AL93:AM93"/>
    <mergeCell ref="AL94:AM94"/>
    <mergeCell ref="AL95:AM95"/>
    <mergeCell ref="AL96:AM96"/>
    <mergeCell ref="P1:W1"/>
    <mergeCell ref="A3:M3"/>
    <mergeCell ref="O3:AA3"/>
    <mergeCell ref="AC3:AO3"/>
    <mergeCell ref="A5:F5"/>
    <mergeCell ref="H5:M5"/>
    <mergeCell ref="O5:T5"/>
    <mergeCell ref="AJ5:AO5"/>
    <mergeCell ref="V5:AA5"/>
    <mergeCell ref="AC5:AH5"/>
    <mergeCell ref="A28:F28"/>
    <mergeCell ref="H28:M28"/>
    <mergeCell ref="V28:AA28"/>
    <mergeCell ref="AC28:AH28"/>
    <mergeCell ref="AJ28:AO28"/>
    <mergeCell ref="G42:I42"/>
    <mergeCell ref="G43:I43"/>
    <mergeCell ref="U43:W43"/>
    <mergeCell ref="O28:T28"/>
    <mergeCell ref="M37:Q37"/>
    <mergeCell ref="AC37:AD37"/>
    <mergeCell ref="AL37:AO37"/>
    <mergeCell ref="AL38:AO38"/>
    <mergeCell ref="U42:W42"/>
    <mergeCell ref="AL42:AO42"/>
    <mergeCell ref="AJ40:AK40"/>
    <mergeCell ref="AI42:AK42"/>
    <mergeCell ref="AI43:AK43"/>
    <mergeCell ref="AJ45:AK45"/>
    <mergeCell ref="AL45:AM45"/>
    <mergeCell ref="AL46:AM46"/>
    <mergeCell ref="AL47:AM47"/>
    <mergeCell ref="AL48:AM48"/>
    <mergeCell ref="AL49:AM49"/>
    <mergeCell ref="AL50:AM50"/>
    <mergeCell ref="AL51:AM51"/>
    <mergeCell ref="AL52:AM52"/>
    <mergeCell ref="AL53:AM53"/>
    <mergeCell ref="AL54:AM54"/>
    <mergeCell ref="AL55:AM55"/>
    <mergeCell ref="AL56:AM56"/>
    <mergeCell ref="AL57:AM57"/>
    <mergeCell ref="AL58:AM58"/>
    <mergeCell ref="AL59:AM59"/>
    <mergeCell ref="AL60:AM60"/>
    <mergeCell ref="AL61:AM61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.0"/>
    <col customWidth="1" min="2" max="14" width="8.5"/>
    <col customWidth="1" min="15" max="15" width="7.63"/>
  </cols>
  <sheetData>
    <row r="1" ht="35.25" customHeight="1">
      <c r="C1" s="1549" t="s">
        <v>6877</v>
      </c>
      <c r="K1" s="1550"/>
      <c r="L1" s="1550"/>
      <c r="M1" s="1550"/>
      <c r="N1" s="1550"/>
    </row>
    <row r="2" ht="18.0" customHeight="1">
      <c r="I2" s="1551"/>
      <c r="J2" s="1550"/>
      <c r="K2" s="1550"/>
      <c r="L2" s="1550"/>
      <c r="M2" s="1550"/>
      <c r="N2" s="1550"/>
      <c r="O2" s="312" t="s">
        <v>328</v>
      </c>
    </row>
    <row r="3" ht="52.5" customHeight="1">
      <c r="A3" s="1555"/>
      <c r="B3" s="1556" t="s">
        <v>6879</v>
      </c>
      <c r="C3" s="1557"/>
      <c r="D3" s="1557"/>
      <c r="E3" s="1557"/>
      <c r="F3" s="1557"/>
      <c r="G3" s="1557"/>
      <c r="H3" s="1557"/>
      <c r="I3" s="1557"/>
      <c r="J3" s="1557"/>
      <c r="K3" s="1557"/>
      <c r="L3" s="1557"/>
      <c r="M3" s="1557"/>
      <c r="N3" s="1558"/>
      <c r="O3" s="1555"/>
    </row>
    <row r="4" ht="14.25" customHeight="1">
      <c r="B4" s="1564"/>
      <c r="C4" s="1550"/>
      <c r="D4" s="1550"/>
      <c r="E4" s="1550"/>
      <c r="F4" s="1550"/>
      <c r="G4" s="1550"/>
      <c r="I4" s="1551"/>
      <c r="J4" s="1550"/>
      <c r="K4" s="1550"/>
      <c r="L4" s="1550"/>
      <c r="M4" s="1550"/>
      <c r="N4" s="1565"/>
    </row>
    <row r="5">
      <c r="A5" s="1539"/>
      <c r="B5" s="1571" t="s">
        <v>6880</v>
      </c>
      <c r="H5" s="1539"/>
      <c r="I5" s="1569" t="s">
        <v>6881</v>
      </c>
      <c r="N5" s="1572"/>
      <c r="O5" s="1539"/>
    </row>
    <row r="6">
      <c r="B6" s="1580" t="s">
        <v>6882</v>
      </c>
      <c r="C6" s="1576" t="s">
        <v>6883</v>
      </c>
      <c r="D6" s="1576" t="s">
        <v>6884</v>
      </c>
      <c r="E6" s="1576" t="s">
        <v>6885</v>
      </c>
      <c r="F6" s="1576" t="s">
        <v>6886</v>
      </c>
      <c r="G6" s="1576" t="s">
        <v>6887</v>
      </c>
      <c r="I6" s="1578" t="s">
        <v>6882</v>
      </c>
      <c r="J6" s="1576" t="s">
        <v>6883</v>
      </c>
      <c r="K6" s="1576" t="s">
        <v>6884</v>
      </c>
      <c r="L6" s="1576" t="s">
        <v>6885</v>
      </c>
      <c r="M6" s="1576" t="s">
        <v>6886</v>
      </c>
      <c r="N6" s="1581" t="s">
        <v>6887</v>
      </c>
    </row>
    <row r="7" ht="11.25" customHeight="1">
      <c r="A7" s="312"/>
      <c r="B7" s="1593" t="s">
        <v>6888</v>
      </c>
      <c r="C7" s="1594">
        <v>3.0</v>
      </c>
      <c r="D7" s="1594">
        <v>3.0</v>
      </c>
      <c r="E7" s="1594">
        <v>3.0</v>
      </c>
      <c r="F7" s="1594">
        <v>3.0</v>
      </c>
      <c r="G7" s="1594">
        <v>3.0</v>
      </c>
      <c r="I7" s="1595" t="s">
        <v>6888</v>
      </c>
      <c r="J7" s="1594">
        <v>3.0</v>
      </c>
      <c r="K7" s="1594">
        <v>3.0</v>
      </c>
      <c r="L7" s="1594">
        <v>3.0</v>
      </c>
      <c r="M7" s="1594">
        <v>3.0</v>
      </c>
      <c r="N7" s="1594">
        <v>3.0</v>
      </c>
    </row>
    <row r="8">
      <c r="B8" s="1593" t="s">
        <v>6889</v>
      </c>
      <c r="C8" s="1594">
        <v>3.0</v>
      </c>
      <c r="D8" s="1594">
        <v>3.0</v>
      </c>
      <c r="E8" s="1594">
        <v>3.0</v>
      </c>
      <c r="F8" s="1594">
        <v>3.0</v>
      </c>
      <c r="G8" s="1594">
        <v>3.0</v>
      </c>
      <c r="I8" s="1595" t="s">
        <v>6889</v>
      </c>
      <c r="J8" s="1594">
        <v>3.0</v>
      </c>
      <c r="K8" s="1594">
        <v>3.0</v>
      </c>
      <c r="L8" s="1594">
        <v>3.0</v>
      </c>
      <c r="M8" s="1594">
        <v>3.0</v>
      </c>
      <c r="N8" s="1594">
        <v>3.0</v>
      </c>
    </row>
    <row r="9">
      <c r="B9" s="1593" t="s">
        <v>6676</v>
      </c>
      <c r="C9" s="1594">
        <v>3.0</v>
      </c>
      <c r="D9" s="1594">
        <v>3.0</v>
      </c>
      <c r="E9" s="1594">
        <v>3.0</v>
      </c>
      <c r="F9" s="1594">
        <v>3.0</v>
      </c>
      <c r="G9" s="1594">
        <v>3.0</v>
      </c>
      <c r="I9" s="1595" t="s">
        <v>6676</v>
      </c>
      <c r="J9" s="1594">
        <v>3.0</v>
      </c>
      <c r="K9" s="1594">
        <v>3.0</v>
      </c>
      <c r="L9" s="1594">
        <v>3.0</v>
      </c>
      <c r="M9" s="1594">
        <v>3.0</v>
      </c>
      <c r="N9" s="1594">
        <v>3.0</v>
      </c>
    </row>
    <row r="10">
      <c r="B10" s="1593" t="s">
        <v>6891</v>
      </c>
      <c r="C10" s="1594">
        <v>3.0</v>
      </c>
      <c r="D10" s="1594">
        <v>3.0</v>
      </c>
      <c r="E10" s="1594">
        <v>3.0</v>
      </c>
      <c r="F10" s="1594">
        <v>3.0</v>
      </c>
      <c r="G10" s="1594">
        <v>3.0</v>
      </c>
      <c r="I10" s="1595" t="s">
        <v>6891</v>
      </c>
      <c r="J10" s="1594">
        <v>3.0</v>
      </c>
      <c r="K10" s="1594">
        <v>3.0</v>
      </c>
      <c r="L10" s="1594">
        <v>3.0</v>
      </c>
      <c r="M10" s="1594">
        <v>3.0</v>
      </c>
      <c r="N10" s="1594">
        <v>3.0</v>
      </c>
    </row>
    <row r="11" ht="15.75" customHeight="1">
      <c r="B11" s="1593" t="s">
        <v>6892</v>
      </c>
      <c r="C11" s="1594">
        <v>3.0</v>
      </c>
      <c r="D11" s="1594">
        <v>3.0</v>
      </c>
      <c r="E11" s="1594">
        <v>3.0</v>
      </c>
      <c r="F11" s="1594">
        <v>3.0</v>
      </c>
      <c r="G11" s="1594">
        <v>3.0</v>
      </c>
      <c r="I11" s="1595" t="s">
        <v>6892</v>
      </c>
      <c r="J11" s="1594">
        <v>3.0</v>
      </c>
      <c r="K11" s="1594">
        <v>3.0</v>
      </c>
      <c r="L11" s="1594">
        <v>3.0</v>
      </c>
      <c r="M11" s="1594">
        <v>3.0</v>
      </c>
      <c r="N11" s="1594">
        <v>3.0</v>
      </c>
    </row>
    <row r="12">
      <c r="B12" s="1593" t="s">
        <v>6894</v>
      </c>
      <c r="C12" s="1594">
        <v>3.0</v>
      </c>
      <c r="D12" s="1604">
        <v>20.0</v>
      </c>
      <c r="E12" s="1604">
        <v>20.0</v>
      </c>
      <c r="F12" s="1594">
        <v>3.0</v>
      </c>
      <c r="G12" s="1594">
        <v>3.0</v>
      </c>
      <c r="I12" s="1595" t="s">
        <v>6894</v>
      </c>
      <c r="J12" s="1594">
        <v>3.0</v>
      </c>
      <c r="K12" s="1594">
        <v>3.0</v>
      </c>
      <c r="L12" s="1594">
        <v>3.0</v>
      </c>
      <c r="M12" s="1594">
        <v>3.0</v>
      </c>
      <c r="N12" s="1594">
        <v>3.0</v>
      </c>
    </row>
    <row r="13" ht="18.75" customHeight="1">
      <c r="B13" s="1593" t="s">
        <v>6896</v>
      </c>
      <c r="C13" s="1594">
        <v>3.0</v>
      </c>
      <c r="D13" s="1604">
        <v>20.0</v>
      </c>
      <c r="E13" s="1594">
        <v>3.0</v>
      </c>
      <c r="F13" s="1594">
        <v>3.0</v>
      </c>
      <c r="G13" s="1594">
        <v>3.0</v>
      </c>
      <c r="I13" s="1595" t="s">
        <v>6896</v>
      </c>
      <c r="J13" s="1594">
        <v>3.0</v>
      </c>
      <c r="K13" s="1594">
        <v>3.0</v>
      </c>
      <c r="L13" s="1594">
        <v>3.0</v>
      </c>
      <c r="M13" s="1594">
        <v>3.0</v>
      </c>
      <c r="N13" s="1594">
        <v>3.0</v>
      </c>
    </row>
    <row r="14">
      <c r="B14" s="1593" t="s">
        <v>6897</v>
      </c>
      <c r="C14" s="1594">
        <v>3.0</v>
      </c>
      <c r="D14" s="1594">
        <v>3.0</v>
      </c>
      <c r="E14" s="1594">
        <v>3.0</v>
      </c>
      <c r="F14" s="1594">
        <v>3.0</v>
      </c>
      <c r="G14" s="1594">
        <v>3.0</v>
      </c>
      <c r="I14" s="1595" t="s">
        <v>6897</v>
      </c>
      <c r="J14" s="1594">
        <v>3.0</v>
      </c>
      <c r="K14" s="1594">
        <v>3.0</v>
      </c>
      <c r="L14" s="1594">
        <v>3.0</v>
      </c>
      <c r="M14" s="1594">
        <v>3.0</v>
      </c>
      <c r="N14" s="1594">
        <v>3.0</v>
      </c>
    </row>
    <row r="15">
      <c r="B15" s="1593" t="s">
        <v>6898</v>
      </c>
      <c r="C15" s="1594">
        <v>3.0</v>
      </c>
      <c r="D15" s="1594">
        <v>3.0</v>
      </c>
      <c r="E15" s="1594">
        <v>3.0</v>
      </c>
      <c r="F15" s="1594">
        <v>3.0</v>
      </c>
      <c r="G15" s="1594">
        <v>3.0</v>
      </c>
      <c r="I15" s="1595" t="s">
        <v>6898</v>
      </c>
      <c r="J15" s="1594">
        <v>3.0</v>
      </c>
      <c r="K15" s="1594">
        <v>3.0</v>
      </c>
      <c r="L15" s="1594">
        <v>3.0</v>
      </c>
      <c r="M15" s="1594">
        <v>3.0</v>
      </c>
      <c r="N15" s="1594">
        <v>3.0</v>
      </c>
    </row>
    <row r="16">
      <c r="B16" s="1593" t="s">
        <v>6899</v>
      </c>
      <c r="C16" s="1594">
        <v>3.0</v>
      </c>
      <c r="D16" s="1604">
        <v>20.0</v>
      </c>
      <c r="E16" s="1604">
        <v>20.0</v>
      </c>
      <c r="F16" s="1594">
        <v>3.0</v>
      </c>
      <c r="G16" s="1594">
        <v>3.0</v>
      </c>
      <c r="I16" s="1595" t="s">
        <v>6899</v>
      </c>
      <c r="J16" s="1594">
        <v>3.0</v>
      </c>
      <c r="K16" s="1594">
        <v>3.0</v>
      </c>
      <c r="L16" s="1594">
        <v>3.0</v>
      </c>
      <c r="M16" s="1594">
        <v>3.0</v>
      </c>
      <c r="N16" s="1594">
        <v>3.0</v>
      </c>
    </row>
    <row r="17">
      <c r="B17" s="1593" t="s">
        <v>6900</v>
      </c>
      <c r="C17" s="1594">
        <v>3.0</v>
      </c>
      <c r="D17" s="1594">
        <v>3.0</v>
      </c>
      <c r="E17" s="1594">
        <v>3.0</v>
      </c>
      <c r="F17" s="1594">
        <v>3.0</v>
      </c>
      <c r="G17" s="1594">
        <v>3.0</v>
      </c>
      <c r="I17" s="1595" t="s">
        <v>6900</v>
      </c>
      <c r="J17" s="1594">
        <v>3.0</v>
      </c>
      <c r="K17" s="1594">
        <v>3.0</v>
      </c>
      <c r="L17" s="1594">
        <v>3.0</v>
      </c>
      <c r="M17" s="1594">
        <v>3.0</v>
      </c>
      <c r="N17" s="1594">
        <v>3.0</v>
      </c>
    </row>
    <row r="18">
      <c r="B18" s="1593" t="s">
        <v>6901</v>
      </c>
      <c r="C18" s="1594">
        <v>3.0</v>
      </c>
      <c r="D18" s="1594">
        <v>6.0</v>
      </c>
      <c r="E18" s="1594">
        <v>6.0</v>
      </c>
      <c r="F18" s="1594">
        <v>3.0</v>
      </c>
      <c r="G18" s="1594">
        <v>3.0</v>
      </c>
      <c r="I18" s="1595" t="s">
        <v>6901</v>
      </c>
      <c r="J18" s="1594">
        <v>3.0</v>
      </c>
      <c r="K18" s="1594">
        <v>3.0</v>
      </c>
      <c r="L18" s="1594">
        <v>3.0</v>
      </c>
      <c r="M18" s="1594">
        <v>3.0</v>
      </c>
      <c r="N18" s="1594">
        <v>3.0</v>
      </c>
    </row>
    <row r="19">
      <c r="B19" s="1593" t="s">
        <v>6902</v>
      </c>
      <c r="C19" s="1594">
        <v>3.0</v>
      </c>
      <c r="D19" s="1604">
        <v>20.0</v>
      </c>
      <c r="E19" s="1604">
        <v>20.0</v>
      </c>
      <c r="F19" s="1594">
        <v>3.0</v>
      </c>
      <c r="G19" s="1594">
        <v>3.0</v>
      </c>
      <c r="I19" s="1608" t="s">
        <v>6903</v>
      </c>
      <c r="J19" s="1594">
        <v>3.0</v>
      </c>
      <c r="K19" s="1594">
        <v>3.0</v>
      </c>
      <c r="L19" s="1594">
        <v>3.0</v>
      </c>
      <c r="M19" s="1594">
        <v>3.0</v>
      </c>
      <c r="N19" s="1594">
        <v>3.0</v>
      </c>
    </row>
    <row r="20">
      <c r="B20" s="1593" t="s">
        <v>6904</v>
      </c>
      <c r="C20" s="1594">
        <v>3.0</v>
      </c>
      <c r="D20" s="1594">
        <v>3.0</v>
      </c>
      <c r="E20" s="1594">
        <v>3.0</v>
      </c>
      <c r="F20" s="1594">
        <v>3.0</v>
      </c>
      <c r="G20" s="1594">
        <v>3.0</v>
      </c>
      <c r="I20" s="1612"/>
      <c r="J20" s="1613"/>
      <c r="K20" s="1613"/>
      <c r="L20" s="1614"/>
      <c r="M20" s="1613"/>
      <c r="N20" s="1615"/>
    </row>
    <row r="21" ht="15.75" customHeight="1">
      <c r="B21" s="1593" t="s">
        <v>6905</v>
      </c>
      <c r="C21" s="1594">
        <v>3.0</v>
      </c>
      <c r="D21" s="1594">
        <v>3.0</v>
      </c>
      <c r="E21" s="1594">
        <v>3.0</v>
      </c>
      <c r="F21" s="1594">
        <v>3.0</v>
      </c>
      <c r="G21" s="1594">
        <v>3.0</v>
      </c>
      <c r="I21" s="1612"/>
      <c r="J21" s="1613"/>
      <c r="K21" s="1613"/>
      <c r="L21" s="1614"/>
      <c r="M21" s="1614"/>
      <c r="N21" s="1615"/>
    </row>
    <row r="22" ht="14.25" customHeight="1">
      <c r="B22" s="1593" t="s">
        <v>6906</v>
      </c>
      <c r="C22" s="1594">
        <v>3.0</v>
      </c>
      <c r="D22" s="1594">
        <v>3.0</v>
      </c>
      <c r="E22" s="1594">
        <v>3.0</v>
      </c>
      <c r="F22" s="1594">
        <v>3.0</v>
      </c>
      <c r="G22" s="1594">
        <v>3.0</v>
      </c>
      <c r="I22" s="1612"/>
      <c r="J22" s="1613"/>
      <c r="K22" s="1614"/>
      <c r="L22" s="1614"/>
      <c r="M22" s="1614"/>
      <c r="N22" s="1615"/>
    </row>
    <row r="23">
      <c r="B23" s="1593">
        <v>136.0</v>
      </c>
      <c r="C23" s="1594">
        <v>3.0</v>
      </c>
      <c r="D23" s="1594">
        <v>3.0</v>
      </c>
      <c r="E23" s="1594">
        <v>3.0</v>
      </c>
      <c r="F23" s="1594">
        <v>3.0</v>
      </c>
      <c r="G23" s="1594">
        <v>3.0</v>
      </c>
      <c r="I23" s="1608" t="s">
        <v>6907</v>
      </c>
      <c r="J23" s="1594">
        <v>3.0</v>
      </c>
      <c r="K23" s="1594">
        <v>3.0</v>
      </c>
      <c r="L23" s="1594">
        <v>3.0</v>
      </c>
      <c r="M23" s="1594">
        <v>3.0</v>
      </c>
      <c r="N23" s="1596">
        <v>3.0</v>
      </c>
    </row>
    <row r="24">
      <c r="B24" s="1593">
        <v>137.0</v>
      </c>
      <c r="C24" s="1594">
        <v>3.0</v>
      </c>
      <c r="D24" s="1594">
        <v>3.0</v>
      </c>
      <c r="E24" s="1594">
        <v>3.0</v>
      </c>
      <c r="F24" s="1594">
        <v>3.0</v>
      </c>
      <c r="G24" s="1594">
        <v>3.0</v>
      </c>
      <c r="I24" s="1608" t="s">
        <v>6908</v>
      </c>
      <c r="J24" s="1594">
        <v>3.0</v>
      </c>
      <c r="K24" s="1594">
        <v>3.0</v>
      </c>
      <c r="L24" s="1594">
        <v>3.0</v>
      </c>
      <c r="M24" s="1594">
        <v>3.0</v>
      </c>
      <c r="N24" s="1596">
        <v>3.0</v>
      </c>
    </row>
    <row r="25">
      <c r="B25" s="1593">
        <v>264.0</v>
      </c>
      <c r="C25" s="1594">
        <v>3.0</v>
      </c>
      <c r="D25" s="1594">
        <v>3.0</v>
      </c>
      <c r="E25" s="1594">
        <v>3.0</v>
      </c>
      <c r="F25" s="1594">
        <v>3.0</v>
      </c>
      <c r="G25" s="1594">
        <v>3.0</v>
      </c>
      <c r="I25" s="1609"/>
      <c r="J25" s="1610"/>
      <c r="K25" s="1610"/>
      <c r="L25" s="1610"/>
      <c r="M25" s="1610"/>
      <c r="N25" s="1611"/>
    </row>
    <row r="26">
      <c r="B26" s="1593">
        <v>267.0</v>
      </c>
      <c r="C26" s="1594">
        <v>3.0</v>
      </c>
      <c r="D26" s="1594">
        <v>3.0</v>
      </c>
      <c r="E26" s="1594">
        <v>3.0</v>
      </c>
      <c r="F26" s="1594">
        <v>3.0</v>
      </c>
      <c r="G26" s="1594">
        <v>3.0</v>
      </c>
      <c r="I26" s="1608" t="s">
        <v>6909</v>
      </c>
      <c r="J26" s="1594">
        <v>3.0</v>
      </c>
      <c r="K26" s="1594">
        <v>3.0</v>
      </c>
      <c r="L26" s="1594">
        <v>3.0</v>
      </c>
      <c r="M26" s="1594">
        <v>3.0</v>
      </c>
      <c r="N26" s="1596">
        <v>3.0</v>
      </c>
    </row>
    <row r="27" ht="1.5" customHeight="1">
      <c r="B27" s="1564"/>
      <c r="C27" s="1550"/>
      <c r="D27" s="1550"/>
      <c r="E27" s="1550"/>
      <c r="F27" s="1550"/>
      <c r="G27" s="1550"/>
      <c r="I27" s="1551"/>
      <c r="J27" s="1550"/>
      <c r="K27" s="1550"/>
      <c r="L27" s="1550"/>
      <c r="M27" s="1550"/>
      <c r="N27" s="1565"/>
    </row>
    <row r="28">
      <c r="A28" s="1630"/>
      <c r="B28" s="1631" t="s">
        <v>6911</v>
      </c>
      <c r="H28" s="1630"/>
      <c r="I28" s="1632" t="s">
        <v>6912</v>
      </c>
      <c r="N28" s="1572"/>
      <c r="O28" s="1630"/>
    </row>
    <row r="29">
      <c r="B29" s="1580" t="s">
        <v>6882</v>
      </c>
      <c r="C29" s="1576" t="s">
        <v>6883</v>
      </c>
      <c r="D29" s="1576" t="s">
        <v>6884</v>
      </c>
      <c r="E29" s="1576" t="s">
        <v>6885</v>
      </c>
      <c r="F29" s="1576" t="s">
        <v>6886</v>
      </c>
      <c r="G29" s="1576" t="s">
        <v>6887</v>
      </c>
      <c r="I29" s="1578" t="s">
        <v>6882</v>
      </c>
      <c r="J29" s="1576" t="s">
        <v>6883</v>
      </c>
      <c r="K29" s="1576" t="s">
        <v>6884</v>
      </c>
      <c r="L29" s="1576" t="s">
        <v>6885</v>
      </c>
      <c r="M29" s="1576" t="s">
        <v>6886</v>
      </c>
      <c r="N29" s="1581" t="s">
        <v>6887</v>
      </c>
    </row>
    <row r="30">
      <c r="B30" s="1593" t="s">
        <v>6913</v>
      </c>
      <c r="C30" s="1604">
        <v>20.0</v>
      </c>
      <c r="D30" s="1604">
        <v>20.0</v>
      </c>
      <c r="E30" s="1604">
        <v>20.0</v>
      </c>
      <c r="F30" s="1594">
        <v>10.0</v>
      </c>
      <c r="G30" s="1594">
        <v>4.0</v>
      </c>
      <c r="I30" s="1595" t="s">
        <v>6913</v>
      </c>
      <c r="J30" s="1645">
        <v>10.0</v>
      </c>
      <c r="K30" s="1604">
        <v>20.0</v>
      </c>
      <c r="L30" s="1604">
        <v>20.0</v>
      </c>
      <c r="M30" s="1645">
        <v>10.0</v>
      </c>
      <c r="N30" s="1596">
        <v>4.0</v>
      </c>
    </row>
    <row r="31">
      <c r="B31" s="1593" t="s">
        <v>6914</v>
      </c>
      <c r="C31" s="1604">
        <v>20.0</v>
      </c>
      <c r="D31" s="1604">
        <v>20.0</v>
      </c>
      <c r="E31" s="1604">
        <v>20.0</v>
      </c>
      <c r="F31" s="1594">
        <v>10.0</v>
      </c>
      <c r="G31" s="1594">
        <v>4.0</v>
      </c>
      <c r="I31" s="1595" t="s">
        <v>6914</v>
      </c>
      <c r="J31" s="1645">
        <v>10.0</v>
      </c>
      <c r="K31" s="1604">
        <v>20.0</v>
      </c>
      <c r="L31" s="1604">
        <v>20.0</v>
      </c>
      <c r="M31" s="1645">
        <v>10.0</v>
      </c>
      <c r="N31" s="1596">
        <v>4.0</v>
      </c>
    </row>
    <row r="32">
      <c r="B32" s="1644" t="s">
        <v>6915</v>
      </c>
      <c r="C32" s="1645">
        <v>15.0</v>
      </c>
      <c r="D32" s="1645">
        <v>15.0</v>
      </c>
      <c r="E32" s="1645">
        <v>15.0</v>
      </c>
      <c r="F32" s="1645">
        <v>10.0</v>
      </c>
      <c r="G32" s="1645">
        <v>4.0</v>
      </c>
      <c r="H32" s="1646"/>
      <c r="I32" s="1647" t="s">
        <v>6915</v>
      </c>
      <c r="J32" s="1645">
        <v>10.0</v>
      </c>
      <c r="K32" s="1645">
        <v>10.0</v>
      </c>
      <c r="L32" s="1645">
        <v>10.0</v>
      </c>
      <c r="M32" s="1645">
        <v>10.0</v>
      </c>
      <c r="N32" s="1648">
        <v>4.0</v>
      </c>
    </row>
    <row r="33">
      <c r="B33" s="1551"/>
      <c r="C33" s="1550"/>
      <c r="D33" s="1550"/>
      <c r="E33" s="1550"/>
      <c r="F33" s="1550"/>
      <c r="G33" s="1550"/>
      <c r="I33" s="1551"/>
      <c r="J33" s="1550"/>
      <c r="K33" s="1550"/>
      <c r="L33" s="1550"/>
      <c r="M33" s="1550"/>
      <c r="N33" s="1550"/>
    </row>
    <row r="34">
      <c r="B34" s="1551"/>
      <c r="C34" s="1550">
        <f t="shared" ref="C34:G34" si="1">SUM(C7:C26)+C30+C31+C32</f>
        <v>115</v>
      </c>
      <c r="D34" s="1550">
        <f t="shared" si="1"/>
        <v>186</v>
      </c>
      <c r="E34" s="1550">
        <f t="shared" si="1"/>
        <v>169</v>
      </c>
      <c r="F34" s="1550">
        <f t="shared" si="1"/>
        <v>90</v>
      </c>
      <c r="G34" s="1550">
        <f t="shared" si="1"/>
        <v>72</v>
      </c>
      <c r="H34" s="1550"/>
      <c r="I34" s="1550"/>
      <c r="J34" s="1550">
        <f t="shared" ref="J34:N34" si="2">SUM(J7:J26)+J30+J31+J32</f>
        <v>78</v>
      </c>
      <c r="K34" s="1550">
        <f t="shared" si="2"/>
        <v>98</v>
      </c>
      <c r="L34" s="1550">
        <f t="shared" si="2"/>
        <v>98</v>
      </c>
      <c r="M34" s="1550">
        <f t="shared" si="2"/>
        <v>78</v>
      </c>
      <c r="N34" s="1550">
        <f t="shared" si="2"/>
        <v>60</v>
      </c>
    </row>
    <row r="35" ht="11.25" customHeight="1">
      <c r="B35" s="1551"/>
      <c r="C35" s="1550"/>
      <c r="D35" s="1550"/>
      <c r="E35" s="1550"/>
      <c r="F35" s="1550"/>
      <c r="G35" s="1550"/>
      <c r="I35" s="1551"/>
      <c r="J35" s="1550"/>
      <c r="K35" s="1550"/>
      <c r="L35" s="1550"/>
      <c r="M35" s="1550"/>
      <c r="N35" s="1550"/>
    </row>
    <row r="36" ht="11.25" customHeight="1">
      <c r="B36" s="1551"/>
      <c r="C36" s="1550"/>
      <c r="D36" s="1550"/>
      <c r="E36" s="1550"/>
      <c r="F36" s="1550"/>
      <c r="G36" s="1550"/>
      <c r="J36" s="1550"/>
      <c r="K36" s="1550"/>
      <c r="L36" s="1550"/>
      <c r="M36" s="1550"/>
      <c r="N36" s="1550"/>
    </row>
    <row r="37">
      <c r="A37" s="1658"/>
      <c r="E37" s="307"/>
      <c r="F37" s="307"/>
      <c r="G37" s="307"/>
      <c r="H37" s="371"/>
      <c r="I37" s="1659" t="s">
        <v>6917</v>
      </c>
      <c r="J37" s="307"/>
      <c r="K37" s="307"/>
      <c r="L37" s="307"/>
      <c r="M37" s="307"/>
      <c r="N37" s="307"/>
      <c r="O37" s="371"/>
    </row>
    <row r="38">
      <c r="A38" s="1594"/>
      <c r="B38" s="1576"/>
      <c r="I38" s="1661">
        <f>SUM(C34:N34)</f>
        <v>1044</v>
      </c>
    </row>
    <row r="39">
      <c r="A39" s="1594"/>
      <c r="B39" s="1576"/>
      <c r="C39" s="1550"/>
      <c r="D39" s="1550"/>
      <c r="E39" s="1550"/>
      <c r="F39" s="1550"/>
      <c r="G39" s="1550"/>
      <c r="I39" s="1551"/>
      <c r="J39" s="1550"/>
      <c r="K39" s="1550"/>
      <c r="L39" s="1550"/>
      <c r="M39" s="1550"/>
      <c r="N39" s="1550"/>
    </row>
    <row r="40">
      <c r="A40" s="1594"/>
      <c r="B40" s="1594"/>
      <c r="C40" s="1550"/>
      <c r="D40" s="1550"/>
      <c r="E40" s="1550"/>
      <c r="F40" s="1550"/>
      <c r="G40" s="1550"/>
      <c r="I40" s="1665">
        <v>5800.0</v>
      </c>
      <c r="J40" s="1550"/>
      <c r="K40" s="1550"/>
      <c r="L40" s="1550"/>
      <c r="M40" s="1550"/>
      <c r="N40" s="1550"/>
    </row>
    <row r="41">
      <c r="A41" s="1594"/>
      <c r="B41" s="1551"/>
      <c r="C41" s="1550"/>
      <c r="D41" s="1550"/>
      <c r="E41" s="1550"/>
      <c r="F41" s="1550"/>
      <c r="G41" s="1550"/>
      <c r="I41" s="1656"/>
      <c r="J41" s="1550"/>
      <c r="K41" s="1550"/>
      <c r="L41" s="1550"/>
      <c r="M41" s="1550"/>
      <c r="N41" s="1550"/>
    </row>
    <row r="42">
      <c r="A42" s="1594"/>
      <c r="B42" s="1551"/>
      <c r="C42" s="1550"/>
      <c r="D42" s="1550"/>
      <c r="E42" s="1550"/>
      <c r="F42" s="1550"/>
      <c r="G42" s="1666"/>
      <c r="H42" s="1667" t="s">
        <v>6925</v>
      </c>
      <c r="I42" s="282"/>
      <c r="J42" s="282"/>
      <c r="K42" s="1668"/>
      <c r="L42" s="1550"/>
      <c r="M42" s="1550"/>
      <c r="N42" s="1550"/>
    </row>
    <row r="43" ht="21.0" customHeight="1">
      <c r="A43" s="1594"/>
      <c r="B43" s="1551"/>
      <c r="C43" s="1550"/>
      <c r="D43" s="1550"/>
      <c r="E43" s="1550"/>
      <c r="F43" s="1550"/>
      <c r="G43" s="1673"/>
      <c r="H43" s="1676">
        <f>I38*I40</f>
        <v>6055200</v>
      </c>
      <c r="I43" s="285"/>
      <c r="J43" s="285"/>
      <c r="K43" s="1675"/>
      <c r="L43" s="1550"/>
      <c r="M43" s="1550"/>
      <c r="N43" s="1550"/>
    </row>
    <row r="44">
      <c r="A44" s="1594"/>
      <c r="B44" s="1551"/>
      <c r="C44" s="1550"/>
      <c r="D44" s="1550"/>
      <c r="E44" s="1550"/>
      <c r="F44" s="1550"/>
      <c r="G44" s="1550"/>
      <c r="I44" s="1551"/>
      <c r="J44" s="1550"/>
      <c r="K44" s="1550"/>
      <c r="L44" s="1550"/>
      <c r="M44" s="1550"/>
      <c r="N44" s="1550"/>
    </row>
    <row r="45" ht="21.0" customHeight="1">
      <c r="A45" s="1594"/>
      <c r="B45" s="1634"/>
      <c r="C45" s="1576"/>
      <c r="D45" s="1550"/>
      <c r="E45" s="1550"/>
      <c r="F45" s="1550"/>
      <c r="G45" s="1550"/>
      <c r="H45" s="1550"/>
      <c r="I45" s="1550"/>
      <c r="J45" s="1550"/>
      <c r="K45" s="1550"/>
      <c r="L45" s="1550"/>
      <c r="M45" s="1550"/>
      <c r="N45" s="1550"/>
    </row>
    <row r="46">
      <c r="A46" s="1594"/>
      <c r="B46" s="1634"/>
      <c r="C46" s="1594"/>
      <c r="D46" s="1550"/>
      <c r="E46" s="1550"/>
      <c r="F46" s="1550"/>
      <c r="G46" s="1550"/>
      <c r="H46" s="1550"/>
      <c r="I46" s="1550"/>
      <c r="J46" s="1550"/>
      <c r="K46" s="1550"/>
      <c r="L46" s="1550"/>
      <c r="M46" s="1550"/>
      <c r="N46" s="1550"/>
      <c r="O46" s="1550"/>
    </row>
    <row r="47">
      <c r="B47" s="1634"/>
      <c r="C47" s="1687"/>
      <c r="D47" s="1550"/>
      <c r="E47" s="1550"/>
      <c r="F47" s="1550"/>
      <c r="G47" s="1550"/>
      <c r="I47" s="1551"/>
      <c r="J47" s="1550"/>
      <c r="K47" s="1550"/>
      <c r="L47" s="1550"/>
      <c r="M47" s="1550"/>
      <c r="N47" s="1550"/>
    </row>
    <row r="48">
      <c r="B48" s="1578"/>
      <c r="C48" s="1576"/>
      <c r="D48" s="1576"/>
      <c r="E48" s="1576"/>
      <c r="F48" s="1576"/>
      <c r="G48" s="1576"/>
      <c r="I48" s="1578"/>
      <c r="J48" s="1576"/>
      <c r="K48" s="1576"/>
      <c r="L48" s="1576"/>
      <c r="M48" s="1576"/>
      <c r="N48" s="1576"/>
      <c r="O48" s="1550"/>
    </row>
    <row r="49">
      <c r="B49" s="1595"/>
      <c r="C49" s="1594"/>
      <c r="D49" s="1594"/>
      <c r="E49" s="1594"/>
      <c r="F49" s="1594"/>
      <c r="G49" s="1594"/>
      <c r="I49" s="1595"/>
      <c r="J49" s="1594"/>
      <c r="K49" s="1594"/>
      <c r="L49" s="1594"/>
      <c r="M49" s="1594"/>
      <c r="N49" s="1594"/>
    </row>
    <row r="50">
      <c r="B50" s="1595"/>
      <c r="C50" s="1594"/>
      <c r="D50" s="1594"/>
      <c r="E50" s="1594"/>
      <c r="F50" s="1594"/>
      <c r="G50" s="1594"/>
      <c r="I50" s="1595"/>
      <c r="J50" s="1594"/>
      <c r="K50" s="1594"/>
      <c r="L50" s="1594"/>
      <c r="M50" s="1594"/>
      <c r="N50" s="1594"/>
    </row>
    <row r="51">
      <c r="B51" s="1595"/>
      <c r="C51" s="1594"/>
      <c r="D51" s="1594"/>
      <c r="E51" s="1594"/>
      <c r="F51" s="1594"/>
      <c r="G51" s="1594"/>
      <c r="I51" s="1595"/>
      <c r="J51" s="1594"/>
      <c r="K51" s="1594"/>
      <c r="L51" s="1594"/>
      <c r="M51" s="1594"/>
      <c r="N51" s="1594"/>
    </row>
    <row r="52">
      <c r="B52" s="1634"/>
      <c r="C52" s="1594"/>
      <c r="D52" s="1550"/>
      <c r="E52" s="1550"/>
      <c r="F52" s="1550"/>
      <c r="G52" s="1550"/>
      <c r="I52" s="1551"/>
      <c r="J52" s="1550"/>
      <c r="K52" s="1550"/>
      <c r="L52" s="1550"/>
      <c r="M52" s="1550"/>
      <c r="N52" s="1550"/>
    </row>
    <row r="53">
      <c r="B53" s="1634"/>
      <c r="C53" s="1576"/>
      <c r="D53" s="1550"/>
      <c r="E53" s="1550"/>
      <c r="F53" s="1550"/>
      <c r="G53" s="1550"/>
      <c r="I53" s="1551"/>
      <c r="J53" s="1550"/>
      <c r="K53" s="1550"/>
      <c r="L53" s="1550"/>
      <c r="M53" s="1550"/>
      <c r="N53" s="1550"/>
    </row>
    <row r="54">
      <c r="B54" s="1634"/>
      <c r="C54" s="1594"/>
      <c r="D54" s="1550"/>
      <c r="E54" s="1550"/>
      <c r="F54" s="1550"/>
      <c r="G54" s="1550"/>
      <c r="I54" s="1551"/>
      <c r="J54" s="1550"/>
      <c r="K54" s="1550"/>
      <c r="L54" s="1550"/>
      <c r="M54" s="1550"/>
      <c r="N54" s="1550"/>
    </row>
    <row r="55">
      <c r="B55" s="1634"/>
      <c r="C55" s="1687"/>
      <c r="D55" s="1550"/>
      <c r="E55" s="1550"/>
      <c r="F55" s="1550"/>
      <c r="G55" s="1550"/>
      <c r="I55" s="1656"/>
      <c r="J55" s="1550"/>
      <c r="K55" s="1550"/>
      <c r="L55" s="1550"/>
      <c r="M55" s="1550"/>
      <c r="N55" s="1550"/>
    </row>
    <row r="56">
      <c r="B56" s="1634"/>
      <c r="C56" s="1687"/>
      <c r="D56" s="1550"/>
      <c r="E56" s="1550"/>
      <c r="F56" s="1550"/>
      <c r="G56" s="1550"/>
      <c r="I56" s="1551"/>
      <c r="J56" s="1550"/>
      <c r="K56" s="1550"/>
      <c r="L56" s="1550"/>
      <c r="M56" s="1550"/>
      <c r="N56" s="1550"/>
    </row>
    <row r="57">
      <c r="B57" s="1634"/>
      <c r="C57" s="1687"/>
      <c r="D57" s="1550"/>
      <c r="E57" s="1550"/>
      <c r="F57" s="1550"/>
      <c r="G57" s="1550"/>
      <c r="I57" s="1656"/>
      <c r="J57" s="1550"/>
      <c r="K57" s="1550"/>
      <c r="L57" s="1550"/>
      <c r="M57" s="1550"/>
      <c r="N57" s="1550"/>
    </row>
    <row r="58">
      <c r="B58" s="1634"/>
      <c r="C58" s="1687"/>
      <c r="D58" s="1550"/>
      <c r="E58" s="1550"/>
      <c r="F58" s="1550"/>
      <c r="G58" s="1550"/>
      <c r="I58" s="1656"/>
      <c r="J58" s="1550"/>
      <c r="K58" s="1550"/>
      <c r="L58" s="1550"/>
      <c r="M58" s="1550"/>
      <c r="N58" s="1550"/>
    </row>
    <row r="59">
      <c r="B59" s="1634"/>
      <c r="C59" s="1687"/>
      <c r="D59" s="1550"/>
      <c r="E59" s="1550"/>
      <c r="F59" s="1550"/>
      <c r="G59" s="1550"/>
      <c r="I59" s="1656"/>
      <c r="J59" s="1550"/>
      <c r="K59" s="1550"/>
      <c r="L59" s="1550"/>
      <c r="M59" s="1550"/>
      <c r="N59" s="1550"/>
    </row>
    <row r="60">
      <c r="B60" s="1634"/>
      <c r="C60" s="1687"/>
      <c r="D60" s="1550"/>
      <c r="E60" s="1550"/>
      <c r="F60" s="1550"/>
      <c r="G60" s="1550"/>
      <c r="I60" s="1551"/>
      <c r="J60" s="1550"/>
      <c r="K60" s="1550"/>
      <c r="L60" s="1550"/>
      <c r="M60" s="1550"/>
      <c r="N60" s="1550"/>
    </row>
    <row r="61">
      <c r="B61" s="1634"/>
      <c r="C61" s="1594"/>
      <c r="D61" s="1550"/>
      <c r="E61" s="1550"/>
      <c r="F61" s="1550"/>
      <c r="G61" s="1550"/>
      <c r="I61" s="1656"/>
      <c r="J61" s="1550"/>
      <c r="K61" s="1550"/>
      <c r="L61" s="1550"/>
      <c r="M61" s="1550"/>
      <c r="N61" s="1550"/>
    </row>
    <row r="62">
      <c r="B62" s="1634"/>
      <c r="C62" s="1594"/>
      <c r="D62" s="1550"/>
      <c r="E62" s="1550"/>
      <c r="F62" s="1550"/>
      <c r="G62" s="1550"/>
      <c r="I62" s="1656"/>
      <c r="J62" s="1550"/>
      <c r="K62" s="1550"/>
      <c r="L62" s="1550"/>
      <c r="M62" s="1550"/>
      <c r="N62" s="1550"/>
    </row>
    <row r="63">
      <c r="B63" s="1590"/>
      <c r="C63" s="1594"/>
      <c r="D63" s="1550"/>
      <c r="E63" s="1550"/>
      <c r="F63" s="1550"/>
      <c r="G63" s="1550"/>
      <c r="I63" s="1656"/>
      <c r="J63" s="1550"/>
      <c r="K63" s="1550"/>
      <c r="L63" s="1550"/>
      <c r="M63" s="1550"/>
      <c r="N63" s="1550"/>
    </row>
    <row r="64">
      <c r="B64" s="1551"/>
      <c r="C64" s="1550"/>
      <c r="D64" s="1550"/>
      <c r="E64" s="1550"/>
      <c r="F64" s="1550"/>
      <c r="G64" s="1550"/>
      <c r="I64" s="1551"/>
      <c r="J64" s="1550"/>
      <c r="K64" s="1550"/>
      <c r="L64" s="1550"/>
      <c r="M64" s="1550"/>
      <c r="N64" s="1550"/>
    </row>
    <row r="65">
      <c r="B65" s="1551"/>
      <c r="C65" s="1550"/>
      <c r="D65" s="1550"/>
      <c r="E65" s="1550"/>
      <c r="F65" s="1550"/>
      <c r="G65" s="1550"/>
      <c r="I65" s="1551"/>
      <c r="J65" s="1550"/>
      <c r="K65" s="1550"/>
      <c r="L65" s="1550"/>
      <c r="M65" s="1550"/>
      <c r="N65" s="1550"/>
    </row>
    <row r="66">
      <c r="B66" s="1551"/>
      <c r="C66" s="1550"/>
      <c r="D66" s="1550"/>
      <c r="E66" s="1550"/>
      <c r="F66" s="1550"/>
      <c r="G66" s="1550"/>
      <c r="I66" s="1551"/>
      <c r="J66" s="1550"/>
      <c r="K66" s="1550"/>
      <c r="L66" s="1550"/>
      <c r="M66" s="1550"/>
      <c r="N66" s="1550"/>
    </row>
    <row r="67">
      <c r="B67" s="1551"/>
      <c r="C67" s="1550"/>
      <c r="D67" s="1550"/>
      <c r="E67" s="1550"/>
      <c r="F67" s="1550"/>
      <c r="G67" s="1550"/>
      <c r="I67" s="1551"/>
      <c r="J67" s="1550"/>
      <c r="K67" s="1550"/>
      <c r="L67" s="1550"/>
      <c r="M67" s="1550"/>
      <c r="N67" s="1550"/>
    </row>
    <row r="68">
      <c r="B68" s="1551"/>
      <c r="C68" s="1550"/>
      <c r="D68" s="1550"/>
      <c r="E68" s="1550"/>
      <c r="F68" s="1550"/>
      <c r="G68" s="1550"/>
      <c r="I68" s="1551"/>
      <c r="J68" s="1550"/>
      <c r="K68" s="1550"/>
      <c r="L68" s="1550"/>
      <c r="M68" s="1550"/>
      <c r="N68" s="1550"/>
    </row>
    <row r="69">
      <c r="B69" s="1551"/>
      <c r="C69" s="1550"/>
      <c r="D69" s="1550"/>
      <c r="E69" s="1550"/>
      <c r="F69" s="1550"/>
      <c r="G69" s="1550"/>
      <c r="I69" s="1551"/>
      <c r="J69" s="1550"/>
      <c r="K69" s="1550"/>
      <c r="L69" s="1550"/>
      <c r="M69" s="1550"/>
      <c r="N69" s="1550"/>
    </row>
    <row r="70">
      <c r="B70" s="1551"/>
      <c r="C70" s="1550"/>
      <c r="D70" s="1550"/>
      <c r="E70" s="1550"/>
      <c r="F70" s="1550"/>
      <c r="G70" s="1550"/>
      <c r="I70" s="1551"/>
      <c r="J70" s="1550"/>
      <c r="K70" s="1550"/>
      <c r="L70" s="1550"/>
      <c r="M70" s="1550"/>
      <c r="N70" s="1550"/>
    </row>
    <row r="71">
      <c r="B71" s="1551"/>
      <c r="C71" s="1550"/>
      <c r="D71" s="1550"/>
      <c r="E71" s="1550"/>
      <c r="F71" s="1550"/>
      <c r="G71" s="1550"/>
      <c r="I71" s="1551"/>
      <c r="J71" s="1550"/>
      <c r="K71" s="1550"/>
      <c r="L71" s="1550"/>
      <c r="M71" s="1550"/>
      <c r="N71" s="1550"/>
    </row>
    <row r="72">
      <c r="B72" s="1551"/>
      <c r="C72" s="1550"/>
      <c r="D72" s="1550"/>
      <c r="E72" s="1550"/>
      <c r="F72" s="1550"/>
      <c r="G72" s="1550"/>
      <c r="I72" s="1551"/>
      <c r="J72" s="1550"/>
      <c r="K72" s="1550"/>
      <c r="L72" s="1550"/>
      <c r="M72" s="1550"/>
      <c r="N72" s="1550"/>
    </row>
    <row r="73">
      <c r="B73" s="1551"/>
      <c r="C73" s="1550"/>
      <c r="D73" s="1550"/>
      <c r="E73" s="1550"/>
      <c r="F73" s="1550"/>
      <c r="G73" s="1550"/>
      <c r="I73" s="1551"/>
      <c r="J73" s="1550"/>
      <c r="K73" s="1550"/>
      <c r="L73" s="1550"/>
      <c r="M73" s="1550"/>
      <c r="N73" s="1550"/>
    </row>
    <row r="74">
      <c r="B74" s="1551"/>
      <c r="C74" s="1550"/>
      <c r="D74" s="1550"/>
      <c r="E74" s="1550"/>
      <c r="F74" s="1550"/>
      <c r="G74" s="1550"/>
      <c r="I74" s="1551"/>
      <c r="J74" s="1550"/>
      <c r="K74" s="1550"/>
      <c r="L74" s="1550"/>
      <c r="M74" s="1550"/>
      <c r="N74" s="1550"/>
    </row>
    <row r="75">
      <c r="B75" s="1551"/>
      <c r="C75" s="1550"/>
      <c r="D75" s="1550"/>
      <c r="E75" s="1550"/>
      <c r="F75" s="1550"/>
      <c r="G75" s="1550"/>
      <c r="I75" s="1551"/>
      <c r="J75" s="1550"/>
      <c r="K75" s="1550"/>
      <c r="L75" s="1550"/>
      <c r="M75" s="1550"/>
      <c r="N75" s="1550"/>
    </row>
    <row r="76">
      <c r="B76" s="1551"/>
      <c r="C76" s="1550"/>
      <c r="D76" s="1550"/>
      <c r="E76" s="1550"/>
      <c r="F76" s="1550"/>
      <c r="G76" s="1550"/>
      <c r="I76" s="1551"/>
      <c r="J76" s="1550"/>
      <c r="K76" s="1550"/>
      <c r="L76" s="1550"/>
      <c r="M76" s="1550"/>
      <c r="N76" s="1550"/>
    </row>
    <row r="77">
      <c r="B77" s="1551"/>
      <c r="C77" s="1550"/>
      <c r="D77" s="1550"/>
      <c r="E77" s="1550"/>
      <c r="F77" s="1550"/>
      <c r="G77" s="1550"/>
      <c r="I77" s="1551"/>
      <c r="J77" s="1550"/>
      <c r="K77" s="1550"/>
      <c r="L77" s="1550"/>
      <c r="M77" s="1550"/>
      <c r="N77" s="1550"/>
    </row>
    <row r="78">
      <c r="B78" s="1551"/>
      <c r="C78" s="1550"/>
      <c r="D78" s="1550"/>
      <c r="E78" s="1550"/>
      <c r="F78" s="1550"/>
      <c r="G78" s="1550"/>
      <c r="I78" s="1551"/>
      <c r="J78" s="1550"/>
      <c r="K78" s="1550"/>
      <c r="L78" s="1550"/>
      <c r="M78" s="1550"/>
      <c r="N78" s="1550"/>
    </row>
    <row r="79">
      <c r="B79" s="1551"/>
      <c r="C79" s="1550"/>
      <c r="D79" s="1550"/>
      <c r="E79" s="1550"/>
      <c r="F79" s="1550"/>
      <c r="G79" s="1550"/>
      <c r="I79" s="1551"/>
      <c r="J79" s="1550"/>
      <c r="K79" s="1550"/>
      <c r="L79" s="1550"/>
      <c r="M79" s="1550"/>
      <c r="N79" s="1550"/>
    </row>
    <row r="80">
      <c r="B80" s="1551"/>
      <c r="C80" s="1550"/>
      <c r="D80" s="1550"/>
      <c r="E80" s="1550"/>
      <c r="F80" s="1550"/>
      <c r="G80" s="1550"/>
      <c r="I80" s="1551"/>
      <c r="J80" s="1550"/>
      <c r="K80" s="1550"/>
      <c r="L80" s="1550"/>
      <c r="M80" s="1550"/>
      <c r="N80" s="1550"/>
    </row>
    <row r="81">
      <c r="B81" s="1551"/>
      <c r="C81" s="1550"/>
      <c r="D81" s="1550"/>
      <c r="E81" s="1550"/>
      <c r="F81" s="1550"/>
      <c r="G81" s="1550"/>
      <c r="I81" s="1551"/>
      <c r="J81" s="1550"/>
      <c r="K81" s="1550"/>
      <c r="L81" s="1550"/>
      <c r="M81" s="1550"/>
      <c r="N81" s="1550"/>
    </row>
    <row r="82">
      <c r="B82" s="1551"/>
      <c r="C82" s="1550"/>
      <c r="D82" s="1550"/>
      <c r="E82" s="1550"/>
      <c r="F82" s="1550"/>
      <c r="G82" s="1550"/>
      <c r="I82" s="1551"/>
      <c r="J82" s="1550"/>
      <c r="K82" s="1550"/>
      <c r="L82" s="1550"/>
      <c r="M82" s="1550"/>
      <c r="N82" s="1550"/>
    </row>
    <row r="83">
      <c r="B83" s="1551"/>
      <c r="C83" s="1550"/>
      <c r="D83" s="1550"/>
      <c r="E83" s="1550"/>
      <c r="F83" s="1550"/>
      <c r="G83" s="1550"/>
      <c r="I83" s="1551"/>
      <c r="J83" s="1550"/>
      <c r="K83" s="1550"/>
      <c r="L83" s="1550"/>
      <c r="M83" s="1550"/>
      <c r="N83" s="1550"/>
    </row>
    <row r="84">
      <c r="B84" s="1551"/>
      <c r="C84" s="1550"/>
      <c r="D84" s="1550"/>
      <c r="E84" s="1550"/>
      <c r="F84" s="1550"/>
      <c r="G84" s="1550"/>
      <c r="I84" s="1551"/>
      <c r="J84" s="1550"/>
      <c r="K84" s="1550"/>
      <c r="L84" s="1550"/>
      <c r="M84" s="1550"/>
      <c r="N84" s="1550"/>
    </row>
    <row r="85">
      <c r="B85" s="1551"/>
      <c r="C85" s="1550"/>
      <c r="D85" s="1550"/>
      <c r="E85" s="1550"/>
      <c r="F85" s="1550"/>
      <c r="G85" s="1550"/>
      <c r="I85" s="1551"/>
      <c r="J85" s="1550"/>
      <c r="K85" s="1550"/>
      <c r="L85" s="1550"/>
      <c r="M85" s="1550"/>
      <c r="N85" s="1550"/>
    </row>
    <row r="86">
      <c r="B86" s="1551"/>
      <c r="C86" s="1550"/>
      <c r="D86" s="1550"/>
      <c r="E86" s="1550"/>
      <c r="F86" s="1550"/>
      <c r="G86" s="1550"/>
      <c r="I86" s="1551"/>
      <c r="J86" s="1550"/>
      <c r="K86" s="1550"/>
      <c r="L86" s="1550"/>
      <c r="M86" s="1550"/>
      <c r="N86" s="1550"/>
    </row>
    <row r="87">
      <c r="B87" s="1551"/>
      <c r="C87" s="1550"/>
      <c r="D87" s="1550"/>
      <c r="E87" s="1550"/>
      <c r="F87" s="1550"/>
      <c r="G87" s="1550"/>
      <c r="I87" s="1551"/>
      <c r="J87" s="1550"/>
      <c r="K87" s="1550"/>
      <c r="L87" s="1550"/>
      <c r="M87" s="1550"/>
      <c r="N87" s="1550"/>
    </row>
    <row r="88">
      <c r="B88" s="1551"/>
      <c r="C88" s="1550"/>
      <c r="D88" s="1550"/>
      <c r="E88" s="1550"/>
      <c r="F88" s="1550"/>
      <c r="G88" s="1550"/>
      <c r="I88" s="1551"/>
      <c r="J88" s="1550"/>
      <c r="K88" s="1550"/>
      <c r="L88" s="1550"/>
      <c r="M88" s="1550"/>
      <c r="N88" s="1550"/>
    </row>
    <row r="89">
      <c r="B89" s="1551"/>
      <c r="C89" s="1550"/>
      <c r="D89" s="1550"/>
      <c r="E89" s="1550"/>
      <c r="F89" s="1550"/>
      <c r="G89" s="1550"/>
      <c r="I89" s="1551"/>
      <c r="J89" s="1550"/>
      <c r="K89" s="1550"/>
      <c r="L89" s="1550"/>
      <c r="M89" s="1550"/>
      <c r="N89" s="1550"/>
    </row>
    <row r="90">
      <c r="B90" s="1551"/>
      <c r="C90" s="1550"/>
      <c r="D90" s="1550"/>
      <c r="E90" s="1550"/>
      <c r="F90" s="1550"/>
      <c r="G90" s="1550"/>
      <c r="I90" s="1551"/>
      <c r="J90" s="1550"/>
      <c r="K90" s="1550"/>
      <c r="L90" s="1550"/>
      <c r="M90" s="1550"/>
      <c r="N90" s="1550"/>
    </row>
    <row r="91">
      <c r="B91" s="1551"/>
      <c r="C91" s="1550"/>
      <c r="D91" s="1550"/>
      <c r="E91" s="1550"/>
      <c r="F91" s="1550"/>
      <c r="G91" s="1550"/>
      <c r="I91" s="1551"/>
      <c r="J91" s="1550"/>
      <c r="K91" s="1550"/>
      <c r="L91" s="1550"/>
      <c r="M91" s="1550"/>
      <c r="N91" s="1550"/>
    </row>
    <row r="92">
      <c r="B92" s="1551"/>
      <c r="C92" s="1550"/>
      <c r="D92" s="1550"/>
      <c r="E92" s="1550"/>
      <c r="F92" s="1550"/>
      <c r="G92" s="1550"/>
      <c r="I92" s="1551"/>
      <c r="J92" s="1550"/>
      <c r="K92" s="1550"/>
      <c r="L92" s="1550"/>
      <c r="M92" s="1550"/>
      <c r="N92" s="1550"/>
    </row>
    <row r="93">
      <c r="B93" s="1551"/>
      <c r="C93" s="1550"/>
      <c r="D93" s="1550"/>
      <c r="E93" s="1550"/>
      <c r="F93" s="1550"/>
      <c r="G93" s="1550"/>
      <c r="I93" s="1551"/>
      <c r="J93" s="1550"/>
      <c r="K93" s="1550"/>
      <c r="L93" s="1550"/>
      <c r="M93" s="1550"/>
      <c r="N93" s="1550"/>
    </row>
    <row r="94">
      <c r="B94" s="1551"/>
      <c r="C94" s="1550"/>
      <c r="D94" s="1550"/>
      <c r="E94" s="1550"/>
      <c r="F94" s="1550"/>
      <c r="G94" s="1550"/>
      <c r="I94" s="1551"/>
      <c r="J94" s="1550"/>
      <c r="K94" s="1550"/>
      <c r="L94" s="1550"/>
      <c r="M94" s="1550"/>
      <c r="N94" s="1550"/>
    </row>
    <row r="95">
      <c r="B95" s="1551"/>
      <c r="C95" s="1550"/>
      <c r="D95" s="1550"/>
      <c r="E95" s="1550"/>
      <c r="F95" s="1550"/>
      <c r="G95" s="1550"/>
      <c r="I95" s="1551"/>
      <c r="J95" s="1550"/>
      <c r="K95" s="1550"/>
      <c r="L95" s="1550"/>
      <c r="M95" s="1550"/>
      <c r="N95" s="1550"/>
    </row>
    <row r="96">
      <c r="B96" s="1551"/>
      <c r="C96" s="1550"/>
      <c r="D96" s="1550"/>
      <c r="E96" s="1550"/>
      <c r="F96" s="1550"/>
      <c r="G96" s="1550"/>
      <c r="I96" s="1551"/>
      <c r="J96" s="1550"/>
      <c r="K96" s="1550"/>
      <c r="L96" s="1550"/>
      <c r="M96" s="1550"/>
      <c r="N96" s="1550"/>
    </row>
    <row r="97">
      <c r="B97" s="1551"/>
      <c r="C97" s="1550"/>
      <c r="D97" s="1550"/>
      <c r="E97" s="1550"/>
      <c r="F97" s="1550"/>
      <c r="G97" s="1550"/>
      <c r="I97" s="1551"/>
      <c r="J97" s="1550"/>
      <c r="K97" s="1550"/>
      <c r="L97" s="1550"/>
      <c r="M97" s="1550"/>
      <c r="N97" s="1550"/>
    </row>
    <row r="98">
      <c r="B98" s="1551"/>
      <c r="C98" s="1550"/>
      <c r="D98" s="1550"/>
      <c r="E98" s="1550"/>
      <c r="F98" s="1550"/>
      <c r="G98" s="1550"/>
      <c r="I98" s="1551"/>
      <c r="J98" s="1550"/>
      <c r="K98" s="1550"/>
      <c r="L98" s="1550"/>
      <c r="M98" s="1550"/>
      <c r="N98" s="1550"/>
    </row>
    <row r="99">
      <c r="B99" s="1551"/>
      <c r="C99" s="1550"/>
      <c r="D99" s="1550"/>
      <c r="E99" s="1550"/>
      <c r="F99" s="1550"/>
      <c r="G99" s="1550"/>
      <c r="I99" s="1551"/>
      <c r="J99" s="1550"/>
      <c r="K99" s="1550"/>
      <c r="L99" s="1550"/>
      <c r="M99" s="1550"/>
      <c r="N99" s="1550"/>
    </row>
    <row r="100">
      <c r="B100" s="1551"/>
      <c r="C100" s="1550"/>
      <c r="D100" s="1550"/>
      <c r="E100" s="1550"/>
      <c r="F100" s="1550"/>
      <c r="G100" s="1550"/>
      <c r="I100" s="1551"/>
      <c r="J100" s="1550"/>
      <c r="K100" s="1550"/>
      <c r="L100" s="1550"/>
      <c r="M100" s="1550"/>
      <c r="N100" s="1550"/>
    </row>
    <row r="101">
      <c r="B101" s="1551"/>
      <c r="C101" s="1550"/>
      <c r="D101" s="1550"/>
      <c r="E101" s="1550"/>
      <c r="F101" s="1550"/>
      <c r="G101" s="1550"/>
      <c r="I101" s="1551"/>
      <c r="J101" s="1550"/>
      <c r="K101" s="1550"/>
      <c r="L101" s="1550"/>
      <c r="M101" s="1550"/>
      <c r="N101" s="1550"/>
    </row>
    <row r="102">
      <c r="B102" s="1551"/>
      <c r="C102" s="1550"/>
      <c r="D102" s="1550"/>
      <c r="E102" s="1550"/>
      <c r="F102" s="1550"/>
      <c r="G102" s="1550"/>
      <c r="I102" s="1551"/>
      <c r="J102" s="1550"/>
      <c r="K102" s="1550"/>
      <c r="L102" s="1550"/>
      <c r="M102" s="1550"/>
      <c r="N102" s="1550"/>
    </row>
    <row r="103">
      <c r="B103" s="1551"/>
      <c r="C103" s="1550"/>
      <c r="D103" s="1550"/>
      <c r="E103" s="1550"/>
      <c r="F103" s="1550"/>
      <c r="G103" s="1550"/>
      <c r="I103" s="1551"/>
      <c r="J103" s="1550"/>
      <c r="K103" s="1550"/>
      <c r="L103" s="1550"/>
      <c r="M103" s="1550"/>
      <c r="N103" s="1550"/>
    </row>
    <row r="104">
      <c r="B104" s="1551"/>
      <c r="C104" s="1550"/>
      <c r="D104" s="1550"/>
      <c r="E104" s="1550"/>
      <c r="F104" s="1550"/>
      <c r="G104" s="1550"/>
      <c r="I104" s="1551"/>
      <c r="J104" s="1550"/>
      <c r="K104" s="1550"/>
      <c r="L104" s="1550"/>
      <c r="M104" s="1550"/>
      <c r="N104" s="1550"/>
    </row>
    <row r="105">
      <c r="B105" s="1551"/>
      <c r="C105" s="1550"/>
      <c r="D105" s="1550"/>
      <c r="E105" s="1550"/>
      <c r="F105" s="1550"/>
      <c r="G105" s="1550"/>
      <c r="I105" s="1551"/>
      <c r="J105" s="1550"/>
      <c r="K105" s="1550"/>
      <c r="L105" s="1550"/>
      <c r="M105" s="1550"/>
      <c r="N105" s="1550"/>
    </row>
    <row r="106">
      <c r="B106" s="1551"/>
      <c r="C106" s="1550"/>
      <c r="D106" s="1550"/>
      <c r="E106" s="1550"/>
      <c r="F106" s="1550"/>
      <c r="G106" s="1550"/>
      <c r="I106" s="1551"/>
      <c r="J106" s="1550"/>
      <c r="K106" s="1550"/>
      <c r="L106" s="1550"/>
      <c r="M106" s="1550"/>
      <c r="N106" s="1550"/>
    </row>
    <row r="107">
      <c r="B107" s="1551"/>
      <c r="C107" s="1550"/>
      <c r="D107" s="1550"/>
      <c r="E107" s="1550"/>
      <c r="F107" s="1550"/>
      <c r="G107" s="1550"/>
      <c r="I107" s="1551"/>
      <c r="J107" s="1550"/>
      <c r="K107" s="1550"/>
      <c r="L107" s="1550"/>
      <c r="M107" s="1550"/>
      <c r="N107" s="1550"/>
    </row>
    <row r="108">
      <c r="B108" s="1551"/>
      <c r="C108" s="1550"/>
      <c r="D108" s="1550"/>
      <c r="E108" s="1550"/>
      <c r="F108" s="1550"/>
      <c r="G108" s="1550"/>
      <c r="I108" s="1551"/>
      <c r="J108" s="1550"/>
      <c r="K108" s="1550"/>
      <c r="L108" s="1550"/>
      <c r="M108" s="1550"/>
      <c r="N108" s="1550"/>
    </row>
    <row r="109">
      <c r="B109" s="1551"/>
      <c r="C109" s="1550"/>
      <c r="D109" s="1550"/>
      <c r="E109" s="1550"/>
      <c r="F109" s="1550"/>
      <c r="G109" s="1550"/>
      <c r="I109" s="1551"/>
      <c r="J109" s="1550"/>
      <c r="K109" s="1550"/>
      <c r="L109" s="1550"/>
      <c r="M109" s="1550"/>
      <c r="N109" s="1550"/>
    </row>
    <row r="110">
      <c r="B110" s="1551"/>
      <c r="C110" s="1550"/>
      <c r="D110" s="1550"/>
      <c r="E110" s="1550"/>
      <c r="F110" s="1550"/>
      <c r="G110" s="1550"/>
      <c r="I110" s="1551"/>
      <c r="J110" s="1550"/>
      <c r="K110" s="1550"/>
      <c r="L110" s="1550"/>
      <c r="M110" s="1550"/>
      <c r="N110" s="1550"/>
    </row>
  </sheetData>
  <autoFilter ref="$B$6:$N$26"/>
  <mergeCells count="9">
    <mergeCell ref="H42:J42"/>
    <mergeCell ref="H43:J43"/>
    <mergeCell ref="C1:J1"/>
    <mergeCell ref="B3:N3"/>
    <mergeCell ref="B5:G5"/>
    <mergeCell ref="I5:N5"/>
    <mergeCell ref="B28:G28"/>
    <mergeCell ref="I28:N28"/>
    <mergeCell ref="A37:D37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2.75"/>
  <cols>
    <col customWidth="1" min="1" max="1" width="3.38"/>
    <col customWidth="1" min="2" max="2" width="6.75"/>
    <col customWidth="1" min="3" max="3" width="6.5"/>
    <col customWidth="1" min="4" max="4" width="0.63"/>
    <col customWidth="1" min="5" max="9" width="0.38"/>
    <col customWidth="1" min="10" max="10" width="6.5"/>
    <col customWidth="1" min="11" max="16" width="0.38"/>
    <col customWidth="1" min="17" max="17" width="5.0"/>
    <col customWidth="1" min="18" max="25" width="0.38"/>
    <col customWidth="1" min="26" max="26" width="5.63"/>
    <col customWidth="1" min="27" max="27" width="0.75"/>
    <col customWidth="1" min="28" max="36" width="0.38"/>
    <col customWidth="1" min="37" max="37" width="5.5"/>
    <col customWidth="1" min="38" max="45" width="0.38"/>
    <col customWidth="1" min="46" max="46" width="6.88"/>
    <col customWidth="1" min="47" max="52" width="4.38"/>
    <col customWidth="1" min="53" max="53" width="9.25"/>
    <col customWidth="1" min="54" max="54" width="7.38"/>
  </cols>
  <sheetData>
    <row r="1" ht="14.25" customHeight="1">
      <c r="A1" s="514" t="s">
        <v>328</v>
      </c>
      <c r="B1" s="1583"/>
      <c r="C1" s="1583"/>
      <c r="D1" s="1697"/>
      <c r="E1" s="1697"/>
      <c r="F1" s="1697"/>
      <c r="G1" s="1697"/>
      <c r="H1" s="1697"/>
      <c r="I1" s="1697"/>
      <c r="J1" s="1698">
        <v>2020.0</v>
      </c>
      <c r="K1" s="1697"/>
      <c r="L1" s="1697"/>
      <c r="M1" s="1697"/>
      <c r="N1" s="1697"/>
      <c r="O1" s="1697"/>
      <c r="P1" s="1697"/>
      <c r="Q1" s="1698">
        <v>2021.0</v>
      </c>
      <c r="R1" s="1697"/>
      <c r="S1" s="1697"/>
      <c r="T1" s="1697"/>
      <c r="U1" s="1697"/>
      <c r="V1" s="1697"/>
      <c r="W1" s="1697"/>
      <c r="X1" s="1697"/>
      <c r="Y1" s="1697"/>
      <c r="Z1" s="1698">
        <v>2022.0</v>
      </c>
      <c r="AA1" s="1697"/>
      <c r="AB1" s="1697"/>
      <c r="AC1" s="1697"/>
      <c r="AD1" s="1697"/>
      <c r="AE1" s="1697"/>
      <c r="AF1" s="1697"/>
      <c r="AG1" s="1697"/>
      <c r="AH1" s="1697"/>
      <c r="AI1" s="1697"/>
      <c r="AJ1" s="1697"/>
      <c r="AK1" s="1698">
        <v>2023.0</v>
      </c>
      <c r="AL1" s="1698"/>
      <c r="AM1" s="1698"/>
      <c r="AN1" s="1697"/>
      <c r="AO1" s="1697"/>
      <c r="AP1" s="1697"/>
      <c r="AQ1" s="1697"/>
      <c r="AR1" s="1697"/>
      <c r="AS1" s="1697"/>
      <c r="AT1" s="1698">
        <v>2024.0</v>
      </c>
      <c r="AU1" s="1697"/>
      <c r="AV1" s="1697"/>
      <c r="AW1" s="1697"/>
      <c r="AX1" s="1697"/>
      <c r="AY1" s="1697"/>
      <c r="AZ1" s="1697"/>
      <c r="BA1" s="1697"/>
      <c r="BB1" s="1697"/>
    </row>
    <row r="2" ht="56.25" customHeight="1">
      <c r="A2" s="1699"/>
      <c r="B2" s="1700" t="s">
        <v>6882</v>
      </c>
      <c r="D2" s="549" t="s">
        <v>6969</v>
      </c>
      <c r="E2" s="1701" t="s">
        <v>6970</v>
      </c>
      <c r="F2" s="1701" t="s">
        <v>6971</v>
      </c>
      <c r="G2" s="1701" t="s">
        <v>6972</v>
      </c>
      <c r="H2" s="549" t="s">
        <v>6973</v>
      </c>
      <c r="I2" s="1701" t="s">
        <v>6974</v>
      </c>
      <c r="J2" s="1701" t="s">
        <v>6975</v>
      </c>
      <c r="K2" s="1701" t="s">
        <v>6976</v>
      </c>
      <c r="L2" s="1701" t="s">
        <v>6977</v>
      </c>
      <c r="M2" s="1701" t="s">
        <v>6978</v>
      </c>
      <c r="N2" s="1701" t="s">
        <v>6979</v>
      </c>
      <c r="O2" s="1701" t="s">
        <v>6980</v>
      </c>
      <c r="P2" s="1701" t="s">
        <v>6975</v>
      </c>
      <c r="Q2" s="1702" t="s">
        <v>6981</v>
      </c>
      <c r="R2" s="1703">
        <v>44252.0</v>
      </c>
      <c r="S2" s="1702" t="s">
        <v>6982</v>
      </c>
      <c r="T2" s="1702" t="s">
        <v>6983</v>
      </c>
      <c r="U2" s="1702" t="s">
        <v>6984</v>
      </c>
      <c r="V2" s="1702" t="s">
        <v>6985</v>
      </c>
      <c r="W2" s="1704">
        <v>45182.0</v>
      </c>
      <c r="X2" s="1704">
        <v>45240.0</v>
      </c>
      <c r="Y2" s="1704">
        <v>45259.0</v>
      </c>
      <c r="Z2" s="1704">
        <v>44958.0</v>
      </c>
      <c r="AA2" s="1704">
        <v>44980.0</v>
      </c>
      <c r="AB2" s="1704">
        <v>45007.0</v>
      </c>
      <c r="AC2" s="1705">
        <v>45017.0</v>
      </c>
      <c r="AD2" s="1704">
        <v>45050.0</v>
      </c>
      <c r="AE2" s="1704">
        <v>45064.0</v>
      </c>
      <c r="AF2" s="1704">
        <v>45085.0</v>
      </c>
      <c r="AG2" s="1704">
        <v>45119.0</v>
      </c>
      <c r="AH2" s="1704">
        <v>45206.0</v>
      </c>
      <c r="AI2" s="1704">
        <v>45240.0</v>
      </c>
      <c r="AJ2" s="1704">
        <v>45259.0</v>
      </c>
      <c r="AK2" s="1704">
        <v>44958.0</v>
      </c>
      <c r="AL2" s="1704">
        <v>44986.0</v>
      </c>
      <c r="AM2" s="1704">
        <v>45014.0</v>
      </c>
      <c r="AN2" s="1704">
        <v>45048.0</v>
      </c>
      <c r="AO2" s="1706">
        <v>45436.0</v>
      </c>
      <c r="AP2" s="549" t="s">
        <v>6986</v>
      </c>
      <c r="AQ2" s="1706">
        <v>45590.0</v>
      </c>
      <c r="AR2" s="1707">
        <v>45612.0</v>
      </c>
      <c r="AS2" s="1706">
        <v>45638.0</v>
      </c>
      <c r="AT2" s="1706">
        <v>45322.0</v>
      </c>
      <c r="AU2" s="549"/>
      <c r="AV2" s="549"/>
      <c r="AW2" s="549"/>
      <c r="AX2" s="549"/>
      <c r="AY2" s="549"/>
      <c r="AZ2" s="549"/>
      <c r="BA2" s="549" t="s">
        <v>2823</v>
      </c>
      <c r="BB2" s="549"/>
    </row>
    <row r="3" ht="11.25" customHeight="1">
      <c r="A3" s="1687" t="s">
        <v>6987</v>
      </c>
      <c r="B3" s="1634" t="s">
        <v>6888</v>
      </c>
      <c r="C3" s="1576" t="s">
        <v>6883</v>
      </c>
      <c r="D3" s="1708">
        <v>0.0</v>
      </c>
      <c r="E3" s="1708">
        <v>0.0</v>
      </c>
      <c r="F3" s="1708">
        <v>0.0</v>
      </c>
      <c r="G3" s="1708">
        <v>0.0</v>
      </c>
      <c r="H3" s="1709">
        <v>1.0</v>
      </c>
      <c r="I3" s="1710">
        <v>0.0</v>
      </c>
      <c r="J3" s="1710"/>
      <c r="K3" s="1711">
        <v>0.0</v>
      </c>
      <c r="L3" s="549">
        <v>0.0</v>
      </c>
      <c r="M3" s="549">
        <v>0.0</v>
      </c>
      <c r="N3" s="549">
        <v>0.0</v>
      </c>
      <c r="O3" s="1710">
        <v>2.0</v>
      </c>
      <c r="P3" s="1167"/>
      <c r="Q3" s="549">
        <v>0.0</v>
      </c>
      <c r="R3" s="549">
        <v>0.0</v>
      </c>
      <c r="S3" s="549">
        <v>1.0</v>
      </c>
      <c r="T3" s="549">
        <v>0.0</v>
      </c>
      <c r="U3" s="549">
        <v>1.0</v>
      </c>
      <c r="V3" s="549">
        <v>0.0</v>
      </c>
      <c r="W3" s="549">
        <v>2.0</v>
      </c>
      <c r="X3" s="548">
        <v>0.0</v>
      </c>
      <c r="Y3" s="548">
        <v>0.0</v>
      </c>
      <c r="Z3" s="548">
        <v>0.0</v>
      </c>
      <c r="AA3" s="549">
        <v>0.0</v>
      </c>
      <c r="AB3" s="549">
        <v>0.0</v>
      </c>
      <c r="AC3" s="549">
        <v>0.0</v>
      </c>
      <c r="AD3" s="549">
        <v>1.0</v>
      </c>
      <c r="AE3" s="549">
        <v>0.0</v>
      </c>
      <c r="AF3" s="549">
        <v>0.0</v>
      </c>
      <c r="AG3" s="549">
        <v>0.0</v>
      </c>
      <c r="AH3" s="549">
        <v>0.0</v>
      </c>
      <c r="AI3" s="549">
        <v>0.0</v>
      </c>
      <c r="AJ3" s="549">
        <v>1.0</v>
      </c>
      <c r="AK3" s="549">
        <v>2.0</v>
      </c>
      <c r="AL3" s="549">
        <v>2.0</v>
      </c>
      <c r="AM3" s="549">
        <v>0.0</v>
      </c>
      <c r="AN3" s="549">
        <v>0.0</v>
      </c>
      <c r="AO3" s="549">
        <v>0.0</v>
      </c>
      <c r="AP3" s="549">
        <v>0.0</v>
      </c>
      <c r="AQ3" s="549">
        <v>3.0</v>
      </c>
      <c r="AR3" s="549">
        <v>0.0</v>
      </c>
      <c r="AS3" s="549"/>
      <c r="AT3" s="549">
        <v>0.0</v>
      </c>
      <c r="AU3" s="549"/>
      <c r="AV3" s="549"/>
      <c r="AW3" s="549"/>
      <c r="AX3" s="549"/>
      <c r="AY3" s="549"/>
      <c r="AZ3" s="549"/>
      <c r="BA3" s="549">
        <f t="shared" ref="BA3:BA25" si="1">SUM(D3:AZ3)</f>
        <v>16</v>
      </c>
      <c r="BB3" s="549" t="s">
        <v>6988</v>
      </c>
    </row>
    <row r="4">
      <c r="A4" s="1687" t="s">
        <v>6987</v>
      </c>
      <c r="B4" s="1634" t="s">
        <v>6889</v>
      </c>
      <c r="C4" s="1576" t="s">
        <v>6883</v>
      </c>
      <c r="D4" s="1708">
        <v>0.0</v>
      </c>
      <c r="E4" s="1708">
        <v>0.0</v>
      </c>
      <c r="F4" s="1708">
        <v>0.0</v>
      </c>
      <c r="G4" s="1708">
        <v>0.0</v>
      </c>
      <c r="H4" s="1155">
        <v>0.0</v>
      </c>
      <c r="I4" s="1710">
        <v>0.0</v>
      </c>
      <c r="J4" s="1710">
        <v>0.0</v>
      </c>
      <c r="K4" s="1711">
        <v>0.0</v>
      </c>
      <c r="L4" s="549">
        <v>0.0</v>
      </c>
      <c r="M4" s="549">
        <v>0.0</v>
      </c>
      <c r="N4" s="549">
        <v>0.0</v>
      </c>
      <c r="O4" s="1710">
        <v>2.0</v>
      </c>
      <c r="P4" s="1167"/>
      <c r="Q4" s="549">
        <v>0.0</v>
      </c>
      <c r="R4" s="549">
        <v>2.0</v>
      </c>
      <c r="S4" s="549">
        <v>2.0</v>
      </c>
      <c r="T4" s="549">
        <v>0.0</v>
      </c>
      <c r="U4" s="549">
        <v>1.0</v>
      </c>
      <c r="V4" s="549">
        <v>2.0</v>
      </c>
      <c r="W4" s="549">
        <v>1.0</v>
      </c>
      <c r="X4" s="548">
        <v>1.0</v>
      </c>
      <c r="Y4" s="548">
        <v>0.0</v>
      </c>
      <c r="Z4" s="548">
        <v>0.0</v>
      </c>
      <c r="AA4" s="549">
        <v>0.0</v>
      </c>
      <c r="AB4" s="549">
        <v>0.0</v>
      </c>
      <c r="AC4" s="549">
        <v>0.0</v>
      </c>
      <c r="AD4" s="549">
        <v>2.0</v>
      </c>
      <c r="AE4" s="549">
        <v>0.0</v>
      </c>
      <c r="AF4" s="549">
        <v>0.0</v>
      </c>
      <c r="AG4" s="549">
        <v>0.0</v>
      </c>
      <c r="AH4" s="549">
        <v>1.0</v>
      </c>
      <c r="AI4" s="549">
        <v>1.0</v>
      </c>
      <c r="AJ4" s="549">
        <v>0.0</v>
      </c>
      <c r="AK4" s="549">
        <v>1.0</v>
      </c>
      <c r="AL4" s="549">
        <v>0.0</v>
      </c>
      <c r="AM4" s="549">
        <v>1.0</v>
      </c>
      <c r="AN4" s="549">
        <v>0.0</v>
      </c>
      <c r="AO4" s="549">
        <v>0.0</v>
      </c>
      <c r="AP4" s="549">
        <v>3.0</v>
      </c>
      <c r="AQ4" s="549">
        <v>0.0</v>
      </c>
      <c r="AR4" s="549">
        <v>0.0</v>
      </c>
      <c r="AS4" s="549"/>
      <c r="AT4" s="549">
        <v>0.0</v>
      </c>
      <c r="AU4" s="549"/>
      <c r="AV4" s="549"/>
      <c r="AW4" s="549"/>
      <c r="AX4" s="549"/>
      <c r="AY4" s="549"/>
      <c r="AZ4" s="549"/>
      <c r="BA4" s="549">
        <f t="shared" si="1"/>
        <v>20</v>
      </c>
      <c r="BB4" s="549" t="s">
        <v>6988</v>
      </c>
    </row>
    <row r="5">
      <c r="A5" s="1687" t="s">
        <v>6987</v>
      </c>
      <c r="B5" s="1634" t="s">
        <v>6676</v>
      </c>
      <c r="C5" s="1576" t="s">
        <v>6883</v>
      </c>
      <c r="D5" s="1708">
        <v>0.0</v>
      </c>
      <c r="E5" s="1708">
        <v>0.0</v>
      </c>
      <c r="F5" s="1708">
        <v>0.0</v>
      </c>
      <c r="G5" s="1708">
        <v>0.0</v>
      </c>
      <c r="H5" s="1155">
        <v>1.0</v>
      </c>
      <c r="I5" s="1710">
        <v>1.0</v>
      </c>
      <c r="J5" s="1710">
        <v>1.0</v>
      </c>
      <c r="K5" s="1711">
        <v>0.0</v>
      </c>
      <c r="L5" s="549">
        <v>0.0</v>
      </c>
      <c r="M5" s="549">
        <v>0.0</v>
      </c>
      <c r="N5" s="549">
        <v>0.0</v>
      </c>
      <c r="O5" s="1710">
        <v>2.0</v>
      </c>
      <c r="P5" s="1167"/>
      <c r="Q5" s="549">
        <v>0.0</v>
      </c>
      <c r="R5" s="549">
        <v>1.0</v>
      </c>
      <c r="S5" s="549">
        <v>0.0</v>
      </c>
      <c r="T5" s="549">
        <v>1.0</v>
      </c>
      <c r="U5" s="549">
        <v>2.0</v>
      </c>
      <c r="V5" s="549">
        <v>0.0</v>
      </c>
      <c r="W5" s="549">
        <v>0.0</v>
      </c>
      <c r="X5" s="548">
        <v>3.0</v>
      </c>
      <c r="Y5" s="548">
        <v>0.0</v>
      </c>
      <c r="Z5" s="548">
        <v>1.0</v>
      </c>
      <c r="AA5" s="549">
        <v>0.0</v>
      </c>
      <c r="AB5" s="549">
        <v>0.0</v>
      </c>
      <c r="AC5" s="549">
        <v>2.0</v>
      </c>
      <c r="AD5" s="549">
        <v>0.0</v>
      </c>
      <c r="AE5" s="549">
        <v>1.0</v>
      </c>
      <c r="AF5" s="549">
        <v>1.0</v>
      </c>
      <c r="AG5" s="549">
        <v>0.0</v>
      </c>
      <c r="AH5" s="549">
        <v>0.0</v>
      </c>
      <c r="AI5" s="549">
        <v>1.0</v>
      </c>
      <c r="AJ5" s="549">
        <v>0.0</v>
      </c>
      <c r="AK5" s="549">
        <v>2.0</v>
      </c>
      <c r="AL5" s="549">
        <v>0.0</v>
      </c>
      <c r="AM5" s="549">
        <v>0.0</v>
      </c>
      <c r="AN5" s="549">
        <v>2.0</v>
      </c>
      <c r="AO5" s="549">
        <v>1.0</v>
      </c>
      <c r="AP5" s="549">
        <v>3.0</v>
      </c>
      <c r="AQ5" s="549">
        <v>0.0</v>
      </c>
      <c r="AR5" s="549">
        <v>0.0</v>
      </c>
      <c r="AS5" s="549">
        <v>3.0</v>
      </c>
      <c r="AT5" s="549">
        <v>0.0</v>
      </c>
      <c r="AU5" s="549"/>
      <c r="AV5" s="549"/>
      <c r="AW5" s="549"/>
      <c r="AX5" s="549"/>
      <c r="AY5" s="549"/>
      <c r="AZ5" s="549"/>
      <c r="BA5" s="549">
        <f t="shared" si="1"/>
        <v>29</v>
      </c>
      <c r="BB5" s="549"/>
    </row>
    <row r="6">
      <c r="A6" s="1687" t="s">
        <v>6987</v>
      </c>
      <c r="B6" s="1634" t="s">
        <v>6891</v>
      </c>
      <c r="C6" s="1576" t="s">
        <v>6883</v>
      </c>
      <c r="D6" s="1708">
        <v>1.0</v>
      </c>
      <c r="E6" s="1708">
        <v>0.0</v>
      </c>
      <c r="F6" s="1708">
        <v>0.0</v>
      </c>
      <c r="G6" s="1708">
        <v>0.0</v>
      </c>
      <c r="H6" s="1155">
        <v>0.0</v>
      </c>
      <c r="I6" s="1710">
        <v>1.0</v>
      </c>
      <c r="J6" s="1710">
        <v>1.0</v>
      </c>
      <c r="K6" s="1711">
        <v>1.0</v>
      </c>
      <c r="L6" s="549">
        <v>0.0</v>
      </c>
      <c r="M6" s="549">
        <v>0.0</v>
      </c>
      <c r="N6" s="549">
        <v>1.0</v>
      </c>
      <c r="O6" s="1710">
        <v>0.0</v>
      </c>
      <c r="P6" s="1167"/>
      <c r="Q6" s="549">
        <v>0.0</v>
      </c>
      <c r="R6" s="549">
        <v>0.0</v>
      </c>
      <c r="S6" s="549">
        <v>0.0</v>
      </c>
      <c r="T6" s="549">
        <v>2.0</v>
      </c>
      <c r="U6" s="549">
        <v>0.0</v>
      </c>
      <c r="V6" s="549">
        <v>2.0</v>
      </c>
      <c r="W6" s="549">
        <v>2.0</v>
      </c>
      <c r="X6" s="548">
        <v>3.0</v>
      </c>
      <c r="Y6" s="548">
        <v>0.0</v>
      </c>
      <c r="Z6" s="548">
        <v>1.0</v>
      </c>
      <c r="AA6" s="549">
        <v>1.0</v>
      </c>
      <c r="AB6" s="549">
        <v>0.0</v>
      </c>
      <c r="AC6" s="549">
        <v>1.0</v>
      </c>
      <c r="AD6" s="549">
        <v>0.0</v>
      </c>
      <c r="AE6" s="549">
        <v>0.0</v>
      </c>
      <c r="AF6" s="549">
        <v>0.0</v>
      </c>
      <c r="AG6" s="549">
        <v>0.0</v>
      </c>
      <c r="AH6" s="549">
        <v>1.0</v>
      </c>
      <c r="AI6" s="549">
        <v>0.0</v>
      </c>
      <c r="AJ6" s="549">
        <v>0.0</v>
      </c>
      <c r="AK6" s="549">
        <v>2.0</v>
      </c>
      <c r="AL6" s="549">
        <v>0.0</v>
      </c>
      <c r="AM6" s="549">
        <v>0.0</v>
      </c>
      <c r="AN6" s="549">
        <v>1.0</v>
      </c>
      <c r="AO6" s="549">
        <v>0.0</v>
      </c>
      <c r="AP6" s="549">
        <v>0.0</v>
      </c>
      <c r="AQ6" s="549">
        <v>0.0</v>
      </c>
      <c r="AR6" s="549">
        <v>0.0</v>
      </c>
      <c r="AS6" s="549"/>
      <c r="AT6" s="549">
        <v>3.0</v>
      </c>
      <c r="AU6" s="549"/>
      <c r="AV6" s="549"/>
      <c r="AW6" s="549"/>
      <c r="AX6" s="549"/>
      <c r="AY6" s="549"/>
      <c r="AZ6" s="549"/>
      <c r="BA6" s="549">
        <f t="shared" si="1"/>
        <v>24</v>
      </c>
      <c r="BB6" s="549"/>
    </row>
    <row r="7" ht="15.75" customHeight="1">
      <c r="A7" s="1687" t="s">
        <v>6987</v>
      </c>
      <c r="B7" s="1634" t="s">
        <v>6892</v>
      </c>
      <c r="C7" s="1576" t="s">
        <v>6883</v>
      </c>
      <c r="D7" s="1708">
        <v>0.0</v>
      </c>
      <c r="E7" s="1708">
        <v>0.0</v>
      </c>
      <c r="F7" s="1708">
        <v>0.0</v>
      </c>
      <c r="G7" s="1708">
        <v>0.0</v>
      </c>
      <c r="H7" s="1155">
        <v>1.0</v>
      </c>
      <c r="I7" s="1710">
        <v>0.0</v>
      </c>
      <c r="J7" s="1712"/>
      <c r="K7" s="1711">
        <v>0.0</v>
      </c>
      <c r="L7" s="549">
        <v>0.0</v>
      </c>
      <c r="M7" s="549">
        <v>0.0</v>
      </c>
      <c r="N7" s="549">
        <v>0.0</v>
      </c>
      <c r="O7" s="1710">
        <v>1.0</v>
      </c>
      <c r="P7" s="1167"/>
      <c r="Q7" s="549">
        <v>0.0</v>
      </c>
      <c r="R7" s="549">
        <v>1.0</v>
      </c>
      <c r="S7" s="549">
        <v>0.0</v>
      </c>
      <c r="T7" s="549">
        <v>0.0</v>
      </c>
      <c r="U7" s="549">
        <v>1.0</v>
      </c>
      <c r="V7" s="549">
        <v>0.0</v>
      </c>
      <c r="W7" s="549">
        <v>0.0</v>
      </c>
      <c r="X7" s="548">
        <v>0.0</v>
      </c>
      <c r="Y7" s="548">
        <v>1.0</v>
      </c>
      <c r="Z7" s="548">
        <v>0.0</v>
      </c>
      <c r="AA7" s="549">
        <v>1.0</v>
      </c>
      <c r="AB7" s="549">
        <v>0.0</v>
      </c>
      <c r="AC7" s="549">
        <v>0.0</v>
      </c>
      <c r="AD7" s="549">
        <v>0.0</v>
      </c>
      <c r="AE7" s="549">
        <v>0.0</v>
      </c>
      <c r="AF7" s="549">
        <v>0.0</v>
      </c>
      <c r="AG7" s="549">
        <v>0.0</v>
      </c>
      <c r="AH7" s="549">
        <v>0.0</v>
      </c>
      <c r="AI7" s="549">
        <v>0.0</v>
      </c>
      <c r="AJ7" s="549">
        <v>0.0</v>
      </c>
      <c r="AK7" s="549">
        <v>0.0</v>
      </c>
      <c r="AL7" s="549">
        <v>0.0</v>
      </c>
      <c r="AM7" s="549">
        <v>0.0</v>
      </c>
      <c r="AN7" s="549">
        <v>0.0</v>
      </c>
      <c r="AO7" s="549">
        <v>0.0</v>
      </c>
      <c r="AP7" s="549">
        <v>0.0</v>
      </c>
      <c r="AQ7" s="549">
        <v>0.0</v>
      </c>
      <c r="AR7" s="549">
        <v>0.0</v>
      </c>
      <c r="AS7" s="549"/>
      <c r="AT7" s="549">
        <v>0.0</v>
      </c>
      <c r="AU7" s="549"/>
      <c r="AV7" s="549"/>
      <c r="AW7" s="549"/>
      <c r="AX7" s="549"/>
      <c r="AY7" s="549"/>
      <c r="AZ7" s="549"/>
      <c r="BA7" s="549">
        <f t="shared" si="1"/>
        <v>6</v>
      </c>
      <c r="BB7" s="549" t="s">
        <v>6988</v>
      </c>
    </row>
    <row r="8">
      <c r="A8" s="1687" t="s">
        <v>6987</v>
      </c>
      <c r="B8" s="1634" t="s">
        <v>6894</v>
      </c>
      <c r="C8" s="1576" t="s">
        <v>6883</v>
      </c>
      <c r="D8" s="1708">
        <v>0.0</v>
      </c>
      <c r="E8" s="1708">
        <v>2.0</v>
      </c>
      <c r="F8" s="1708">
        <v>0.0</v>
      </c>
      <c r="G8" s="1708">
        <v>0.0</v>
      </c>
      <c r="H8" s="1155">
        <v>0.0</v>
      </c>
      <c r="I8" s="1710">
        <v>0.0</v>
      </c>
      <c r="J8" s="1712"/>
      <c r="K8" s="1711">
        <v>1.0</v>
      </c>
      <c r="L8" s="549">
        <v>1.0</v>
      </c>
      <c r="M8" s="549">
        <v>0.0</v>
      </c>
      <c r="N8" s="549">
        <v>0.0</v>
      </c>
      <c r="O8" s="1710">
        <v>3.0</v>
      </c>
      <c r="P8" s="1167"/>
      <c r="Q8" s="549">
        <v>0.0</v>
      </c>
      <c r="R8" s="549">
        <v>0.0</v>
      </c>
      <c r="S8" s="549">
        <v>0.0</v>
      </c>
      <c r="T8" s="549">
        <v>1.0</v>
      </c>
      <c r="U8" s="549">
        <v>1.0</v>
      </c>
      <c r="V8" s="549">
        <v>2.0</v>
      </c>
      <c r="W8" s="549">
        <v>0.0</v>
      </c>
      <c r="X8" s="548">
        <v>0.0</v>
      </c>
      <c r="Y8" s="548">
        <v>4.0</v>
      </c>
      <c r="Z8" s="548">
        <v>1.0</v>
      </c>
      <c r="AA8" s="549">
        <v>0.0</v>
      </c>
      <c r="AB8" s="549">
        <v>0.0</v>
      </c>
      <c r="AC8" s="549">
        <v>0.0</v>
      </c>
      <c r="AD8" s="549">
        <v>0.0</v>
      </c>
      <c r="AE8" s="549">
        <v>0.0</v>
      </c>
      <c r="AF8" s="549">
        <v>0.0</v>
      </c>
      <c r="AG8" s="549">
        <v>1.0</v>
      </c>
      <c r="AH8" s="549">
        <v>3.0</v>
      </c>
      <c r="AI8" s="549">
        <v>0.0</v>
      </c>
      <c r="AJ8" s="549">
        <v>2.0</v>
      </c>
      <c r="AK8" s="549">
        <v>2.0</v>
      </c>
      <c r="AL8" s="549">
        <v>1.0</v>
      </c>
      <c r="AM8" s="549">
        <v>1.0</v>
      </c>
      <c r="AN8" s="549">
        <v>0.0</v>
      </c>
      <c r="AO8" s="549">
        <v>0.0</v>
      </c>
      <c r="AP8" s="549">
        <v>0.0</v>
      </c>
      <c r="AQ8" s="549">
        <v>3.0</v>
      </c>
      <c r="AR8" s="549">
        <v>0.0</v>
      </c>
      <c r="AS8" s="549"/>
      <c r="AT8" s="549">
        <v>3.0</v>
      </c>
      <c r="AU8" s="549"/>
      <c r="AV8" s="549"/>
      <c r="AW8" s="549"/>
      <c r="AX8" s="549"/>
      <c r="AY8" s="549"/>
      <c r="AZ8" s="549"/>
      <c r="BA8" s="549">
        <f t="shared" si="1"/>
        <v>32</v>
      </c>
      <c r="BB8" s="549"/>
    </row>
    <row r="9" ht="16.5" customHeight="1">
      <c r="A9" s="1687" t="s">
        <v>6987</v>
      </c>
      <c r="B9" s="1634" t="s">
        <v>6896</v>
      </c>
      <c r="C9" s="1576" t="s">
        <v>6883</v>
      </c>
      <c r="D9" s="1708">
        <v>0.0</v>
      </c>
      <c r="E9" s="1708">
        <v>0.0</v>
      </c>
      <c r="F9" s="1708">
        <v>1.0</v>
      </c>
      <c r="G9" s="1708">
        <v>0.0</v>
      </c>
      <c r="H9" s="1155">
        <v>1.0</v>
      </c>
      <c r="I9" s="1710">
        <v>0.0</v>
      </c>
      <c r="J9" s="1710">
        <v>2.0</v>
      </c>
      <c r="K9" s="1711">
        <v>0.0</v>
      </c>
      <c r="L9" s="549">
        <v>0.0</v>
      </c>
      <c r="M9" s="549">
        <v>1.0</v>
      </c>
      <c r="N9" s="1167"/>
      <c r="O9" s="1710">
        <v>1.0</v>
      </c>
      <c r="P9" s="1167"/>
      <c r="Q9" s="549">
        <v>1.0</v>
      </c>
      <c r="R9" s="549">
        <v>1.0</v>
      </c>
      <c r="S9" s="549">
        <v>0.0</v>
      </c>
      <c r="T9" s="549">
        <v>0.0</v>
      </c>
      <c r="U9" s="549">
        <v>0.0</v>
      </c>
      <c r="V9" s="549">
        <v>1.0</v>
      </c>
      <c r="W9" s="549">
        <v>0.0</v>
      </c>
      <c r="X9" s="548">
        <v>1.0</v>
      </c>
      <c r="Y9" s="548">
        <v>2.0</v>
      </c>
      <c r="Z9" s="548">
        <v>2.0</v>
      </c>
      <c r="AA9" s="549">
        <v>2.0</v>
      </c>
      <c r="AB9" s="549">
        <v>0.0</v>
      </c>
      <c r="AC9" s="549">
        <v>1.0</v>
      </c>
      <c r="AD9" s="549">
        <v>0.0</v>
      </c>
      <c r="AE9" s="549">
        <v>0.0</v>
      </c>
      <c r="AF9" s="549">
        <v>0.0</v>
      </c>
      <c r="AG9" s="549">
        <v>0.0</v>
      </c>
      <c r="AH9" s="549">
        <v>0.0</v>
      </c>
      <c r="AI9" s="549">
        <v>0.0</v>
      </c>
      <c r="AJ9" s="549">
        <v>0.0</v>
      </c>
      <c r="AK9" s="549">
        <v>1.0</v>
      </c>
      <c r="AL9" s="549">
        <v>2.0</v>
      </c>
      <c r="AM9" s="549">
        <v>0.0</v>
      </c>
      <c r="AN9" s="549">
        <v>1.0</v>
      </c>
      <c r="AO9" s="549">
        <v>0.0</v>
      </c>
      <c r="AP9" s="549">
        <v>0.0</v>
      </c>
      <c r="AQ9" s="549">
        <v>0.0</v>
      </c>
      <c r="AR9" s="549">
        <v>0.0</v>
      </c>
      <c r="AS9" s="549"/>
      <c r="AT9" s="549">
        <v>3.0</v>
      </c>
      <c r="AU9" s="549"/>
      <c r="AV9" s="549"/>
      <c r="AW9" s="549"/>
      <c r="AX9" s="549"/>
      <c r="AY9" s="549"/>
      <c r="AZ9" s="549"/>
      <c r="BA9" s="549">
        <f t="shared" si="1"/>
        <v>24</v>
      </c>
      <c r="BB9" s="549"/>
    </row>
    <row r="10">
      <c r="A10" s="1687" t="s">
        <v>6987</v>
      </c>
      <c r="B10" s="1634" t="s">
        <v>6897</v>
      </c>
      <c r="C10" s="1576" t="s">
        <v>6883</v>
      </c>
      <c r="D10" s="1708">
        <v>0.0</v>
      </c>
      <c r="E10" s="1708">
        <v>0.0</v>
      </c>
      <c r="F10" s="1708">
        <v>0.0</v>
      </c>
      <c r="G10" s="1708">
        <v>0.0</v>
      </c>
      <c r="H10" s="1155">
        <v>0.0</v>
      </c>
      <c r="I10" s="1710">
        <v>0.0</v>
      </c>
      <c r="J10" s="1710">
        <v>0.0</v>
      </c>
      <c r="K10" s="1711">
        <v>0.0</v>
      </c>
      <c r="L10" s="549">
        <v>0.0</v>
      </c>
      <c r="M10" s="549">
        <v>0.0</v>
      </c>
      <c r="N10" s="1167"/>
      <c r="O10" s="1710">
        <v>0.0</v>
      </c>
      <c r="P10" s="1167"/>
      <c r="Q10" s="549">
        <v>2.0</v>
      </c>
      <c r="R10" s="549">
        <v>0.0</v>
      </c>
      <c r="S10" s="549">
        <v>0.0</v>
      </c>
      <c r="T10" s="549">
        <v>0.0</v>
      </c>
      <c r="U10" s="549">
        <v>2.0</v>
      </c>
      <c r="V10" s="549">
        <v>0.0</v>
      </c>
      <c r="W10" s="549">
        <v>1.0</v>
      </c>
      <c r="X10" s="548">
        <v>3.0</v>
      </c>
      <c r="Y10" s="548">
        <v>0.0</v>
      </c>
      <c r="Z10" s="548">
        <v>3.0</v>
      </c>
      <c r="AA10" s="549">
        <v>2.0</v>
      </c>
      <c r="AB10" s="549">
        <v>2.0</v>
      </c>
      <c r="AC10" s="549">
        <v>0.0</v>
      </c>
      <c r="AD10" s="549">
        <v>1.0</v>
      </c>
      <c r="AE10" s="549">
        <v>2.0</v>
      </c>
      <c r="AF10" s="549">
        <v>0.0</v>
      </c>
      <c r="AG10" s="549">
        <v>1.0</v>
      </c>
      <c r="AH10" s="549">
        <v>1.0</v>
      </c>
      <c r="AI10" s="549">
        <v>0.0</v>
      </c>
      <c r="AJ10" s="549">
        <v>1.0</v>
      </c>
      <c r="AK10" s="549">
        <v>0.0</v>
      </c>
      <c r="AL10" s="549">
        <v>0.0</v>
      </c>
      <c r="AM10" s="549">
        <v>1.0</v>
      </c>
      <c r="AN10" s="549">
        <v>0.0</v>
      </c>
      <c r="AO10" s="549">
        <v>0.0</v>
      </c>
      <c r="AP10" s="549">
        <v>0.0</v>
      </c>
      <c r="AQ10" s="549">
        <v>0.0</v>
      </c>
      <c r="AR10" s="549">
        <v>0.0</v>
      </c>
      <c r="AS10" s="549"/>
      <c r="AT10" s="549">
        <v>3.0</v>
      </c>
      <c r="AU10" s="549"/>
      <c r="AV10" s="549"/>
      <c r="AW10" s="549"/>
      <c r="AX10" s="549"/>
      <c r="AY10" s="549"/>
      <c r="AZ10" s="549"/>
      <c r="BA10" s="549">
        <f t="shared" si="1"/>
        <v>25</v>
      </c>
      <c r="BB10" s="549" t="s">
        <v>6988</v>
      </c>
    </row>
    <row r="11">
      <c r="A11" s="1687" t="s">
        <v>6987</v>
      </c>
      <c r="B11" s="1634" t="s">
        <v>6898</v>
      </c>
      <c r="C11" s="1576" t="s">
        <v>6883</v>
      </c>
      <c r="D11" s="1708">
        <v>0.0</v>
      </c>
      <c r="E11" s="1708">
        <v>0.0</v>
      </c>
      <c r="F11" s="1708">
        <v>0.0</v>
      </c>
      <c r="G11" s="1708">
        <v>0.0</v>
      </c>
      <c r="H11" s="1155">
        <v>3.0</v>
      </c>
      <c r="I11" s="1710">
        <v>0.0</v>
      </c>
      <c r="J11" s="1710">
        <v>2.0</v>
      </c>
      <c r="K11" s="1711">
        <v>2.0</v>
      </c>
      <c r="L11" s="549">
        <v>0.0</v>
      </c>
      <c r="M11" s="549">
        <v>1.0</v>
      </c>
      <c r="N11" s="1167"/>
      <c r="O11" s="1710">
        <v>1.0</v>
      </c>
      <c r="P11" s="1167"/>
      <c r="Q11" s="549">
        <v>2.0</v>
      </c>
      <c r="R11" s="549">
        <v>1.0</v>
      </c>
      <c r="S11" s="549">
        <v>0.0</v>
      </c>
      <c r="T11" s="549">
        <v>2.0</v>
      </c>
      <c r="U11" s="549">
        <v>1.0</v>
      </c>
      <c r="V11" s="549">
        <v>0.0</v>
      </c>
      <c r="W11" s="549">
        <v>1.0</v>
      </c>
      <c r="X11" s="548">
        <v>1.0</v>
      </c>
      <c r="Y11" s="548">
        <v>1.0</v>
      </c>
      <c r="Z11" s="548">
        <v>2.0</v>
      </c>
      <c r="AA11" s="549">
        <v>0.0</v>
      </c>
      <c r="AB11" s="549">
        <v>0.0</v>
      </c>
      <c r="AC11" s="549">
        <v>1.0</v>
      </c>
      <c r="AD11" s="549">
        <v>0.0</v>
      </c>
      <c r="AE11" s="549">
        <v>1.0</v>
      </c>
      <c r="AF11" s="549">
        <v>0.0</v>
      </c>
      <c r="AG11" s="549">
        <v>0.0</v>
      </c>
      <c r="AH11" s="549">
        <v>1.0</v>
      </c>
      <c r="AI11" s="549">
        <v>1.0</v>
      </c>
      <c r="AJ11" s="549">
        <v>0.0</v>
      </c>
      <c r="AK11" s="549">
        <v>1.0</v>
      </c>
      <c r="AL11" s="549">
        <v>0.0</v>
      </c>
      <c r="AM11" s="549">
        <v>1.0</v>
      </c>
      <c r="AN11" s="549">
        <v>1.0</v>
      </c>
      <c r="AO11" s="549">
        <v>1.0</v>
      </c>
      <c r="AP11" s="549">
        <v>3.0</v>
      </c>
      <c r="AQ11" s="549">
        <v>0.0</v>
      </c>
      <c r="AR11" s="549">
        <v>0.0</v>
      </c>
      <c r="AS11" s="549"/>
      <c r="AT11" s="549">
        <v>3.0</v>
      </c>
      <c r="AU11" s="549"/>
      <c r="AV11" s="549"/>
      <c r="AW11" s="549"/>
      <c r="AX11" s="549"/>
      <c r="AY11" s="549"/>
      <c r="AZ11" s="549"/>
      <c r="BA11" s="549">
        <f t="shared" si="1"/>
        <v>34</v>
      </c>
      <c r="BB11" s="549"/>
    </row>
    <row r="12">
      <c r="A12" s="1687" t="s">
        <v>6987</v>
      </c>
      <c r="B12" s="1634" t="s">
        <v>6899</v>
      </c>
      <c r="C12" s="1576" t="s">
        <v>6883</v>
      </c>
      <c r="D12" s="1708">
        <v>2.0</v>
      </c>
      <c r="E12" s="1708">
        <v>0.0</v>
      </c>
      <c r="F12" s="1708">
        <v>0.0</v>
      </c>
      <c r="G12" s="1708">
        <v>1.0</v>
      </c>
      <c r="H12" s="1155">
        <v>2.0</v>
      </c>
      <c r="I12" s="1710">
        <v>0.0</v>
      </c>
      <c r="J12" s="1712"/>
      <c r="K12" s="1711">
        <v>1.0</v>
      </c>
      <c r="L12" s="549">
        <v>2.0</v>
      </c>
      <c r="M12" s="549">
        <v>0.0</v>
      </c>
      <c r="N12" s="1167"/>
      <c r="O12" s="1710">
        <v>0.0</v>
      </c>
      <c r="P12" s="1167"/>
      <c r="Q12" s="549">
        <v>0.0</v>
      </c>
      <c r="R12" s="549">
        <v>2.0</v>
      </c>
      <c r="S12" s="549">
        <v>1.0</v>
      </c>
      <c r="T12" s="549">
        <v>1.0</v>
      </c>
      <c r="U12" s="549">
        <v>2.0</v>
      </c>
      <c r="V12" s="549">
        <v>2.0</v>
      </c>
      <c r="W12" s="549">
        <v>2.0</v>
      </c>
      <c r="X12" s="548">
        <v>4.0</v>
      </c>
      <c r="Y12" s="548">
        <v>0.0</v>
      </c>
      <c r="Z12" s="548">
        <v>1.0</v>
      </c>
      <c r="AA12" s="549">
        <v>0.0</v>
      </c>
      <c r="AB12" s="549">
        <v>1.0</v>
      </c>
      <c r="AC12" s="549">
        <v>0.0</v>
      </c>
      <c r="AD12" s="549">
        <v>0.0</v>
      </c>
      <c r="AE12" s="549">
        <v>0.0</v>
      </c>
      <c r="AF12" s="549">
        <v>0.0</v>
      </c>
      <c r="AG12" s="549">
        <v>0.0</v>
      </c>
      <c r="AH12" s="549">
        <v>2.0</v>
      </c>
      <c r="AI12" s="549">
        <v>1.0</v>
      </c>
      <c r="AJ12" s="549">
        <v>0.0</v>
      </c>
      <c r="AK12" s="549">
        <v>3.0</v>
      </c>
      <c r="AL12" s="549">
        <v>2.0</v>
      </c>
      <c r="AM12" s="549">
        <v>0.0</v>
      </c>
      <c r="AN12" s="549">
        <v>2.0</v>
      </c>
      <c r="AO12" s="549">
        <v>1.0</v>
      </c>
      <c r="AP12" s="549">
        <v>0.0</v>
      </c>
      <c r="AQ12" s="549">
        <v>0.0</v>
      </c>
      <c r="AR12" s="549">
        <v>0.0</v>
      </c>
      <c r="AS12" s="549"/>
      <c r="AT12" s="549">
        <v>3.0</v>
      </c>
      <c r="AU12" s="549"/>
      <c r="AV12" s="549"/>
      <c r="AW12" s="549"/>
      <c r="AX12" s="549"/>
      <c r="AY12" s="549"/>
      <c r="AZ12" s="549"/>
      <c r="BA12" s="549">
        <f t="shared" si="1"/>
        <v>38</v>
      </c>
      <c r="BB12" s="549"/>
    </row>
    <row r="13">
      <c r="A13" s="1687" t="s">
        <v>6987</v>
      </c>
      <c r="B13" s="1634" t="s">
        <v>6900</v>
      </c>
      <c r="C13" s="1576" t="s">
        <v>6883</v>
      </c>
      <c r="D13" s="1713">
        <v>0.0</v>
      </c>
      <c r="E13" s="1708">
        <v>0.0</v>
      </c>
      <c r="F13" s="1708">
        <v>0.0</v>
      </c>
      <c r="G13" s="1708">
        <v>0.0</v>
      </c>
      <c r="H13" s="1155">
        <v>1.0</v>
      </c>
      <c r="I13" s="1710">
        <v>1.0</v>
      </c>
      <c r="J13" s="1712"/>
      <c r="K13" s="1711">
        <v>2.0</v>
      </c>
      <c r="L13" s="549">
        <v>0.0</v>
      </c>
      <c r="M13" s="549">
        <v>0.0</v>
      </c>
      <c r="N13" s="1167"/>
      <c r="O13" s="1710">
        <v>0.0</v>
      </c>
      <c r="P13" s="1167"/>
      <c r="Q13" s="549">
        <v>3.0</v>
      </c>
      <c r="R13" s="549">
        <v>1.0</v>
      </c>
      <c r="S13" s="549">
        <v>0.0</v>
      </c>
      <c r="T13" s="549">
        <v>0.0</v>
      </c>
      <c r="U13" s="549">
        <v>1.0</v>
      </c>
      <c r="V13" s="549">
        <v>1.0</v>
      </c>
      <c r="W13" s="549">
        <v>1.0</v>
      </c>
      <c r="X13" s="548">
        <v>0.0</v>
      </c>
      <c r="Y13" s="548">
        <v>0.0</v>
      </c>
      <c r="Z13" s="548">
        <v>0.0</v>
      </c>
      <c r="AA13" s="549">
        <v>0.0</v>
      </c>
      <c r="AB13" s="549">
        <v>0.0</v>
      </c>
      <c r="AC13" s="549">
        <v>0.0</v>
      </c>
      <c r="AD13" s="549">
        <v>0.0</v>
      </c>
      <c r="AE13" s="549">
        <v>1.0</v>
      </c>
      <c r="AF13" s="549">
        <v>1.0</v>
      </c>
      <c r="AG13" s="549">
        <v>0.0</v>
      </c>
      <c r="AH13" s="549">
        <v>0.0</v>
      </c>
      <c r="AI13" s="549">
        <v>0.0</v>
      </c>
      <c r="AJ13" s="549">
        <v>2.0</v>
      </c>
      <c r="AK13" s="549">
        <v>0.0</v>
      </c>
      <c r="AL13" s="549">
        <v>0.0</v>
      </c>
      <c r="AM13" s="549">
        <v>1.0</v>
      </c>
      <c r="AN13" s="549">
        <v>1.0</v>
      </c>
      <c r="AO13" s="549">
        <v>0.0</v>
      </c>
      <c r="AP13" s="549">
        <v>3.0</v>
      </c>
      <c r="AQ13" s="549">
        <v>0.0</v>
      </c>
      <c r="AR13" s="549">
        <v>0.0</v>
      </c>
      <c r="AS13" s="549"/>
      <c r="AT13" s="549">
        <v>0.0</v>
      </c>
      <c r="AU13" s="549"/>
      <c r="AV13" s="549"/>
      <c r="AW13" s="549"/>
      <c r="AX13" s="549"/>
      <c r="AY13" s="549"/>
      <c r="AZ13" s="549"/>
      <c r="BA13" s="549">
        <f t="shared" si="1"/>
        <v>20</v>
      </c>
      <c r="BB13" s="549"/>
    </row>
    <row r="14">
      <c r="A14" s="1687" t="s">
        <v>6987</v>
      </c>
      <c r="B14" s="1634" t="s">
        <v>6901</v>
      </c>
      <c r="C14" s="1576" t="s">
        <v>6883</v>
      </c>
      <c r="D14" s="1708">
        <v>1.0</v>
      </c>
      <c r="E14" s="1708">
        <v>1.0</v>
      </c>
      <c r="F14" s="1708">
        <v>0.0</v>
      </c>
      <c r="G14" s="1708">
        <v>0.0</v>
      </c>
      <c r="H14" s="1155">
        <v>1.0</v>
      </c>
      <c r="I14" s="1710">
        <v>1.0</v>
      </c>
      <c r="J14" s="1710">
        <v>3.0</v>
      </c>
      <c r="K14" s="1711">
        <v>0.0</v>
      </c>
      <c r="L14" s="549">
        <v>0.0</v>
      </c>
      <c r="M14" s="549">
        <v>1.0</v>
      </c>
      <c r="N14" s="1167"/>
      <c r="O14" s="1710">
        <v>2.0</v>
      </c>
      <c r="P14" s="1167"/>
      <c r="Q14" s="549">
        <v>1.0</v>
      </c>
      <c r="R14" s="549">
        <v>0.0</v>
      </c>
      <c r="S14" s="549">
        <v>3.0</v>
      </c>
      <c r="T14" s="549">
        <v>1.0</v>
      </c>
      <c r="U14" s="549">
        <v>1.0</v>
      </c>
      <c r="V14" s="549">
        <v>0.0</v>
      </c>
      <c r="W14" s="549">
        <v>3.0</v>
      </c>
      <c r="X14" s="548">
        <v>0.0</v>
      </c>
      <c r="Y14" s="548">
        <v>2.0</v>
      </c>
      <c r="Z14" s="548">
        <v>2.0</v>
      </c>
      <c r="AA14" s="549">
        <v>5.0</v>
      </c>
      <c r="AB14" s="549">
        <v>0.0</v>
      </c>
      <c r="AC14" s="549">
        <v>0.0</v>
      </c>
      <c r="AD14" s="549">
        <v>0.0</v>
      </c>
      <c r="AE14" s="549">
        <v>1.0</v>
      </c>
      <c r="AF14" s="549">
        <v>0.0</v>
      </c>
      <c r="AG14" s="549">
        <v>2.0</v>
      </c>
      <c r="AH14" s="549">
        <v>0.0</v>
      </c>
      <c r="AI14" s="549">
        <v>0.0</v>
      </c>
      <c r="AJ14" s="549">
        <v>0.0</v>
      </c>
      <c r="AK14" s="549">
        <v>0.0</v>
      </c>
      <c r="AL14" s="549">
        <v>0.0</v>
      </c>
      <c r="AM14" s="549">
        <v>0.0</v>
      </c>
      <c r="AN14" s="549">
        <v>0.0</v>
      </c>
      <c r="AO14" s="549">
        <v>0.0</v>
      </c>
      <c r="AP14" s="549">
        <v>0.0</v>
      </c>
      <c r="AQ14" s="549">
        <v>0.0</v>
      </c>
      <c r="AR14" s="549">
        <v>0.0</v>
      </c>
      <c r="AS14" s="549"/>
      <c r="AT14" s="549">
        <v>0.0</v>
      </c>
      <c r="AU14" s="549"/>
      <c r="AV14" s="549"/>
      <c r="AW14" s="549"/>
      <c r="AX14" s="549"/>
      <c r="AY14" s="549"/>
      <c r="AZ14" s="549"/>
      <c r="BA14" s="549">
        <f t="shared" si="1"/>
        <v>31</v>
      </c>
      <c r="BB14" s="549"/>
    </row>
    <row r="15">
      <c r="A15" s="1687" t="s">
        <v>6987</v>
      </c>
      <c r="B15" s="1634" t="s">
        <v>6902</v>
      </c>
      <c r="C15" s="1576" t="s">
        <v>6883</v>
      </c>
      <c r="D15" s="1708">
        <v>2.0</v>
      </c>
      <c r="E15" s="1708">
        <v>0.0</v>
      </c>
      <c r="F15" s="1708">
        <v>3.0</v>
      </c>
      <c r="G15" s="1708">
        <v>1.0</v>
      </c>
      <c r="H15" s="1155">
        <v>0.0</v>
      </c>
      <c r="I15" s="1710">
        <v>0.0</v>
      </c>
      <c r="J15" s="1710">
        <v>3.0</v>
      </c>
      <c r="K15" s="1711">
        <v>4.0</v>
      </c>
      <c r="L15" s="549">
        <v>0.0</v>
      </c>
      <c r="M15" s="549">
        <v>2.0</v>
      </c>
      <c r="N15" s="1167"/>
      <c r="O15" s="1710">
        <v>1.0</v>
      </c>
      <c r="P15" s="1167"/>
      <c r="Q15" s="549">
        <v>2.0</v>
      </c>
      <c r="R15" s="549">
        <v>0.0</v>
      </c>
      <c r="S15" s="549">
        <v>2.0</v>
      </c>
      <c r="T15" s="549">
        <v>3.0</v>
      </c>
      <c r="U15" s="549">
        <v>1.0</v>
      </c>
      <c r="V15" s="549">
        <v>1.0</v>
      </c>
      <c r="W15" s="549">
        <v>1.0</v>
      </c>
      <c r="X15" s="548">
        <v>4.0</v>
      </c>
      <c r="Y15" s="548">
        <v>2.0</v>
      </c>
      <c r="Z15" s="548">
        <v>1.0</v>
      </c>
      <c r="AA15" s="549">
        <v>1.0</v>
      </c>
      <c r="AB15" s="549">
        <v>0.0</v>
      </c>
      <c r="AC15" s="549">
        <v>1.0</v>
      </c>
      <c r="AD15" s="549">
        <v>0.0</v>
      </c>
      <c r="AE15" s="549">
        <v>0.0</v>
      </c>
      <c r="AF15" s="549">
        <v>0.0</v>
      </c>
      <c r="AG15" s="549">
        <v>1.0</v>
      </c>
      <c r="AH15" s="549">
        <v>0.0</v>
      </c>
      <c r="AI15" s="549">
        <v>0.0</v>
      </c>
      <c r="AJ15" s="549">
        <v>1.0</v>
      </c>
      <c r="AK15" s="549">
        <v>3.0</v>
      </c>
      <c r="AL15" s="549">
        <v>3.0</v>
      </c>
      <c r="AM15" s="549">
        <v>0.0</v>
      </c>
      <c r="AN15" s="549">
        <v>2.0</v>
      </c>
      <c r="AO15" s="549">
        <v>0.0</v>
      </c>
      <c r="AP15" s="549">
        <v>0.0</v>
      </c>
      <c r="AQ15" s="549">
        <v>3.0</v>
      </c>
      <c r="AR15" s="549">
        <v>0.0</v>
      </c>
      <c r="AS15" s="549"/>
      <c r="AT15" s="549">
        <v>0.0</v>
      </c>
      <c r="AU15" s="549"/>
      <c r="AV15" s="549"/>
      <c r="AW15" s="549"/>
      <c r="AX15" s="549"/>
      <c r="AY15" s="549"/>
      <c r="AZ15" s="549"/>
      <c r="BA15" s="549">
        <f t="shared" si="1"/>
        <v>48</v>
      </c>
      <c r="BB15" s="549"/>
    </row>
    <row r="16">
      <c r="A16" s="1687" t="s">
        <v>6987</v>
      </c>
      <c r="B16" s="1634" t="s">
        <v>6904</v>
      </c>
      <c r="C16" s="1576" t="s">
        <v>6883</v>
      </c>
      <c r="D16" s="1708">
        <v>0.0</v>
      </c>
      <c r="E16" s="1708">
        <v>0.0</v>
      </c>
      <c r="F16" s="1708">
        <v>0.0</v>
      </c>
      <c r="G16" s="1708">
        <v>0.0</v>
      </c>
      <c r="H16" s="1155">
        <v>0.0</v>
      </c>
      <c r="I16" s="1710">
        <v>0.0</v>
      </c>
      <c r="J16" s="1710">
        <v>0.0</v>
      </c>
      <c r="K16" s="1711">
        <v>0.0</v>
      </c>
      <c r="L16" s="549">
        <v>0.0</v>
      </c>
      <c r="M16" s="549">
        <v>0.0</v>
      </c>
      <c r="N16" s="1167"/>
      <c r="O16" s="1710">
        <v>0.0</v>
      </c>
      <c r="P16" s="1167"/>
      <c r="Q16" s="549">
        <v>0.0</v>
      </c>
      <c r="R16" s="549">
        <v>0.0</v>
      </c>
      <c r="S16" s="549">
        <v>0.0</v>
      </c>
      <c r="T16" s="549">
        <v>0.0</v>
      </c>
      <c r="U16" s="549">
        <v>0.0</v>
      </c>
      <c r="V16" s="549">
        <v>0.0</v>
      </c>
      <c r="W16" s="549">
        <v>0.0</v>
      </c>
      <c r="X16" s="548">
        <v>2.0</v>
      </c>
      <c r="Y16" s="548">
        <v>2.0</v>
      </c>
      <c r="Z16" s="548">
        <v>0.0</v>
      </c>
      <c r="AA16" s="549">
        <v>0.0</v>
      </c>
      <c r="AB16" s="549">
        <v>0.0</v>
      </c>
      <c r="AC16" s="549">
        <v>0.0</v>
      </c>
      <c r="AD16" s="549">
        <v>0.0</v>
      </c>
      <c r="AE16" s="549">
        <v>0.0</v>
      </c>
      <c r="AF16" s="549">
        <v>0.0</v>
      </c>
      <c r="AG16" s="549">
        <v>0.0</v>
      </c>
      <c r="AH16" s="549">
        <v>0.0</v>
      </c>
      <c r="AI16" s="549">
        <v>0.0</v>
      </c>
      <c r="AJ16" s="549">
        <v>2.0</v>
      </c>
      <c r="AK16" s="549">
        <v>0.0</v>
      </c>
      <c r="AL16" s="549">
        <v>0.0</v>
      </c>
      <c r="AM16" s="549">
        <v>0.0</v>
      </c>
      <c r="AN16" s="549">
        <v>0.0</v>
      </c>
      <c r="AO16" s="549">
        <v>0.0</v>
      </c>
      <c r="AP16" s="549">
        <v>0.0</v>
      </c>
      <c r="AQ16" s="549">
        <v>0.0</v>
      </c>
      <c r="AR16" s="549">
        <v>0.0</v>
      </c>
      <c r="AS16" s="549"/>
      <c r="AT16" s="549">
        <v>0.0</v>
      </c>
      <c r="AU16" s="549"/>
      <c r="AV16" s="549"/>
      <c r="AW16" s="549"/>
      <c r="AX16" s="549"/>
      <c r="AY16" s="549"/>
      <c r="AZ16" s="549"/>
      <c r="BA16" s="549">
        <f t="shared" si="1"/>
        <v>6</v>
      </c>
      <c r="BB16" s="549" t="s">
        <v>6988</v>
      </c>
    </row>
    <row r="17" ht="15.75" customHeight="1">
      <c r="A17" s="1687" t="s">
        <v>6987</v>
      </c>
      <c r="B17" s="1634" t="s">
        <v>6905</v>
      </c>
      <c r="C17" s="1576" t="s">
        <v>6883</v>
      </c>
      <c r="D17" s="1708">
        <v>0.0</v>
      </c>
      <c r="E17" s="1708">
        <v>0.0</v>
      </c>
      <c r="F17" s="1708">
        <v>0.0</v>
      </c>
      <c r="G17" s="1708">
        <v>0.0</v>
      </c>
      <c r="H17" s="1155">
        <v>0.0</v>
      </c>
      <c r="I17" s="1710">
        <v>1.0</v>
      </c>
      <c r="J17" s="1712"/>
      <c r="K17" s="1711">
        <v>0.0</v>
      </c>
      <c r="L17" s="549">
        <v>0.0</v>
      </c>
      <c r="M17" s="549">
        <v>0.0</v>
      </c>
      <c r="N17" s="1167"/>
      <c r="O17" s="1710">
        <v>0.0</v>
      </c>
      <c r="P17" s="1167"/>
      <c r="Q17" s="549">
        <v>0.0</v>
      </c>
      <c r="R17" s="549">
        <v>0.0</v>
      </c>
      <c r="S17" s="549">
        <v>0.0</v>
      </c>
      <c r="T17" s="549">
        <v>2.0</v>
      </c>
      <c r="U17" s="549">
        <v>0.0</v>
      </c>
      <c r="V17" s="549">
        <v>0.0</v>
      </c>
      <c r="W17" s="549">
        <v>1.0</v>
      </c>
      <c r="X17" s="548">
        <v>1.0</v>
      </c>
      <c r="Y17" s="548">
        <v>1.0</v>
      </c>
      <c r="Z17" s="548">
        <v>0.0</v>
      </c>
      <c r="AA17" s="549">
        <v>0.0</v>
      </c>
      <c r="AB17" s="549">
        <v>1.0</v>
      </c>
      <c r="AC17" s="549">
        <v>0.0</v>
      </c>
      <c r="AD17" s="549">
        <v>0.0</v>
      </c>
      <c r="AE17" s="549">
        <v>0.0</v>
      </c>
      <c r="AF17" s="549">
        <v>0.0</v>
      </c>
      <c r="AG17" s="549">
        <v>0.0</v>
      </c>
      <c r="AH17" s="549">
        <v>0.0</v>
      </c>
      <c r="AI17" s="549">
        <v>0.0</v>
      </c>
      <c r="AJ17" s="549">
        <v>1.0</v>
      </c>
      <c r="AK17" s="549">
        <v>0.0</v>
      </c>
      <c r="AL17" s="549">
        <v>0.0</v>
      </c>
      <c r="AM17" s="549">
        <v>0.0</v>
      </c>
      <c r="AN17" s="549">
        <v>0.0</v>
      </c>
      <c r="AO17" s="549">
        <v>0.0</v>
      </c>
      <c r="AP17" s="549">
        <v>0.0</v>
      </c>
      <c r="AQ17" s="549">
        <v>0.0</v>
      </c>
      <c r="AR17" s="549">
        <v>0.0</v>
      </c>
      <c r="AS17" s="549"/>
      <c r="AT17" s="549">
        <v>0.0</v>
      </c>
      <c r="AU17" s="549"/>
      <c r="AV17" s="549"/>
      <c r="AW17" s="549"/>
      <c r="AX17" s="549"/>
      <c r="AY17" s="549"/>
      <c r="AZ17" s="549"/>
      <c r="BA17" s="549">
        <f t="shared" si="1"/>
        <v>8</v>
      </c>
      <c r="BB17" s="549" t="s">
        <v>6988</v>
      </c>
    </row>
    <row r="18" ht="14.25" customHeight="1">
      <c r="A18" s="1687" t="s">
        <v>6987</v>
      </c>
      <c r="B18" s="1634" t="s">
        <v>6906</v>
      </c>
      <c r="C18" s="1576" t="s">
        <v>6883</v>
      </c>
      <c r="D18" s="1708">
        <v>0.0</v>
      </c>
      <c r="E18" s="1708">
        <v>0.0</v>
      </c>
      <c r="F18" s="1708">
        <v>1.0</v>
      </c>
      <c r="G18" s="1708">
        <v>0.0</v>
      </c>
      <c r="H18" s="1155">
        <v>1.0</v>
      </c>
      <c r="I18" s="1710">
        <v>1.0</v>
      </c>
      <c r="J18" s="1712"/>
      <c r="K18" s="1711">
        <v>0.0</v>
      </c>
      <c r="L18" s="549">
        <v>0.0</v>
      </c>
      <c r="M18" s="549">
        <v>0.0</v>
      </c>
      <c r="N18" s="1167"/>
      <c r="O18" s="1710">
        <v>0.0</v>
      </c>
      <c r="P18" s="1167"/>
      <c r="Q18" s="549">
        <v>0.0</v>
      </c>
      <c r="R18" s="549">
        <v>0.0</v>
      </c>
      <c r="S18" s="549">
        <v>0.0</v>
      </c>
      <c r="T18" s="549">
        <v>0.0</v>
      </c>
      <c r="U18" s="549">
        <v>1.0</v>
      </c>
      <c r="V18" s="549">
        <v>0.0</v>
      </c>
      <c r="W18" s="549">
        <v>1.0</v>
      </c>
      <c r="X18" s="548">
        <v>0.0</v>
      </c>
      <c r="Y18" s="548">
        <v>0.0</v>
      </c>
      <c r="Z18" s="548">
        <v>1.0</v>
      </c>
      <c r="AA18" s="549">
        <v>0.0</v>
      </c>
      <c r="AB18" s="549">
        <v>0.0</v>
      </c>
      <c r="AC18" s="549">
        <v>0.0</v>
      </c>
      <c r="AD18" s="549">
        <v>0.0</v>
      </c>
      <c r="AE18" s="549">
        <v>0.0</v>
      </c>
      <c r="AF18" s="549">
        <v>0.0</v>
      </c>
      <c r="AG18" s="549">
        <v>0.0</v>
      </c>
      <c r="AH18" s="549">
        <v>0.0</v>
      </c>
      <c r="AI18" s="549">
        <v>0.0</v>
      </c>
      <c r="AJ18" s="549">
        <v>1.0</v>
      </c>
      <c r="AK18" s="549">
        <v>1.0</v>
      </c>
      <c r="AL18" s="549">
        <v>1.0</v>
      </c>
      <c r="AM18" s="549">
        <v>0.0</v>
      </c>
      <c r="AN18" s="549">
        <v>1.0</v>
      </c>
      <c r="AO18" s="549">
        <v>0.0</v>
      </c>
      <c r="AP18" s="549">
        <v>3.0</v>
      </c>
      <c r="AQ18" s="549">
        <v>0.0</v>
      </c>
      <c r="AR18" s="549">
        <v>0.0</v>
      </c>
      <c r="AS18" s="549"/>
      <c r="AT18" s="549">
        <v>3.0</v>
      </c>
      <c r="AU18" s="549"/>
      <c r="AV18" s="549"/>
      <c r="AW18" s="549"/>
      <c r="AX18" s="549"/>
      <c r="AY18" s="549"/>
      <c r="AZ18" s="549"/>
      <c r="BA18" s="549">
        <f t="shared" si="1"/>
        <v>16</v>
      </c>
      <c r="BB18" s="549" t="s">
        <v>6988</v>
      </c>
    </row>
    <row r="19">
      <c r="A19" s="1687" t="s">
        <v>6987</v>
      </c>
      <c r="B19" s="1634">
        <v>136.0</v>
      </c>
      <c r="C19" s="1576" t="s">
        <v>6883</v>
      </c>
      <c r="D19" s="1708">
        <v>0.0</v>
      </c>
      <c r="E19" s="1708">
        <v>1.0</v>
      </c>
      <c r="F19" s="1708">
        <v>2.0</v>
      </c>
      <c r="G19" s="1708">
        <v>0.0</v>
      </c>
      <c r="H19" s="1155">
        <v>0.0</v>
      </c>
      <c r="I19" s="1710">
        <v>0.0</v>
      </c>
      <c r="J19" s="1712"/>
      <c r="K19" s="1711">
        <v>2.0</v>
      </c>
      <c r="L19" s="549">
        <v>2.0</v>
      </c>
      <c r="M19" s="549">
        <v>0.0</v>
      </c>
      <c r="N19" s="1167"/>
      <c r="O19" s="1710">
        <v>0.0</v>
      </c>
      <c r="P19" s="1167"/>
      <c r="Q19" s="549">
        <v>3.0</v>
      </c>
      <c r="R19" s="549">
        <v>1.0</v>
      </c>
      <c r="S19" s="549">
        <v>0.0</v>
      </c>
      <c r="T19" s="549">
        <v>2.0</v>
      </c>
      <c r="U19" s="549">
        <v>0.0</v>
      </c>
      <c r="V19" s="549">
        <v>3.0</v>
      </c>
      <c r="W19" s="549">
        <v>1.0</v>
      </c>
      <c r="X19" s="548">
        <v>0.0</v>
      </c>
      <c r="Y19" s="548">
        <v>3.0</v>
      </c>
      <c r="Z19" s="548">
        <v>2.0</v>
      </c>
      <c r="AA19" s="549">
        <v>0.0</v>
      </c>
      <c r="AB19" s="549">
        <v>3.0</v>
      </c>
      <c r="AC19" s="549">
        <v>1.0</v>
      </c>
      <c r="AD19" s="549">
        <v>0.0</v>
      </c>
      <c r="AE19" s="549">
        <v>0.0</v>
      </c>
      <c r="AF19" s="549">
        <v>0.0</v>
      </c>
      <c r="AG19" s="549">
        <v>1.0</v>
      </c>
      <c r="AH19" s="549">
        <v>2.0</v>
      </c>
      <c r="AI19" s="549">
        <v>0.0</v>
      </c>
      <c r="AJ19" s="549">
        <v>2.0</v>
      </c>
      <c r="AK19" s="549">
        <v>2.0</v>
      </c>
      <c r="AL19" s="549">
        <v>0.0</v>
      </c>
      <c r="AM19" s="549">
        <v>1.0</v>
      </c>
      <c r="AN19" s="549">
        <v>1.0</v>
      </c>
      <c r="AO19" s="549">
        <v>0.0</v>
      </c>
      <c r="AP19" s="549">
        <v>3.0</v>
      </c>
      <c r="AQ19" s="549">
        <v>0.0</v>
      </c>
      <c r="AR19" s="549">
        <v>0.0</v>
      </c>
      <c r="AS19" s="549"/>
      <c r="AT19" s="549">
        <v>0.0</v>
      </c>
      <c r="AU19" s="549"/>
      <c r="AV19" s="549"/>
      <c r="AW19" s="549"/>
      <c r="AX19" s="549"/>
      <c r="AY19" s="549"/>
      <c r="AZ19" s="549"/>
      <c r="BA19" s="549">
        <f t="shared" si="1"/>
        <v>38</v>
      </c>
      <c r="BB19" s="549"/>
    </row>
    <row r="20">
      <c r="A20" s="1687" t="s">
        <v>6987</v>
      </c>
      <c r="B20" s="1634">
        <v>137.0</v>
      </c>
      <c r="C20" s="1576" t="s">
        <v>6883</v>
      </c>
      <c r="D20" s="1708">
        <v>0.0</v>
      </c>
      <c r="E20" s="1708">
        <v>0.0</v>
      </c>
      <c r="F20" s="1708">
        <v>0.0</v>
      </c>
      <c r="G20" s="1708">
        <v>0.0</v>
      </c>
      <c r="H20" s="1155">
        <v>0.0</v>
      </c>
      <c r="I20" s="1710">
        <v>2.0</v>
      </c>
      <c r="J20" s="1710">
        <v>2.0</v>
      </c>
      <c r="K20" s="1711">
        <v>2.0</v>
      </c>
      <c r="L20" s="549">
        <v>0.0</v>
      </c>
      <c r="M20" s="549">
        <v>0.0</v>
      </c>
      <c r="N20" s="549">
        <v>2.0</v>
      </c>
      <c r="O20" s="1710">
        <v>1.0</v>
      </c>
      <c r="P20" s="1167"/>
      <c r="Q20" s="549">
        <v>1.0</v>
      </c>
      <c r="R20" s="549">
        <v>0.0</v>
      </c>
      <c r="S20" s="549">
        <v>0.0</v>
      </c>
      <c r="T20" s="549">
        <v>2.0</v>
      </c>
      <c r="U20" s="549">
        <v>0.0</v>
      </c>
      <c r="V20" s="549">
        <v>1.0</v>
      </c>
      <c r="W20" s="549">
        <v>0.0</v>
      </c>
      <c r="X20" s="548">
        <v>2.0</v>
      </c>
      <c r="Y20" s="548">
        <v>0.0</v>
      </c>
      <c r="Z20" s="548">
        <v>2.0</v>
      </c>
      <c r="AA20" s="549">
        <v>2.0</v>
      </c>
      <c r="AB20" s="549">
        <v>1.0</v>
      </c>
      <c r="AC20" s="549">
        <v>1.0</v>
      </c>
      <c r="AD20" s="549">
        <v>0.0</v>
      </c>
      <c r="AE20" s="549">
        <v>3.0</v>
      </c>
      <c r="AF20" s="549">
        <v>1.0</v>
      </c>
      <c r="AG20" s="549">
        <v>1.0</v>
      </c>
      <c r="AH20" s="549">
        <v>4.0</v>
      </c>
      <c r="AI20" s="549">
        <v>1.0</v>
      </c>
      <c r="AJ20" s="549">
        <v>0.0</v>
      </c>
      <c r="AK20" s="549">
        <v>1.0</v>
      </c>
      <c r="AL20" s="549">
        <v>3.0</v>
      </c>
      <c r="AM20" s="549">
        <v>0.0</v>
      </c>
      <c r="AN20" s="549">
        <v>1.0</v>
      </c>
      <c r="AO20" s="549">
        <v>1.0</v>
      </c>
      <c r="AP20" s="549">
        <v>0.0</v>
      </c>
      <c r="AQ20" s="549">
        <v>0.0</v>
      </c>
      <c r="AR20" s="549">
        <v>0.0</v>
      </c>
      <c r="AS20" s="549"/>
      <c r="AT20" s="549">
        <v>4.0</v>
      </c>
      <c r="AU20" s="549"/>
      <c r="AV20" s="549"/>
      <c r="AW20" s="549"/>
      <c r="AX20" s="549"/>
      <c r="AY20" s="549"/>
      <c r="AZ20" s="549"/>
      <c r="BA20" s="549">
        <f t="shared" si="1"/>
        <v>41</v>
      </c>
      <c r="BB20" s="549"/>
    </row>
    <row r="21">
      <c r="A21" s="1687" t="s">
        <v>6987</v>
      </c>
      <c r="B21" s="1634">
        <v>264.0</v>
      </c>
      <c r="C21" s="1576" t="s">
        <v>6883</v>
      </c>
      <c r="D21" s="1708">
        <v>0.0</v>
      </c>
      <c r="E21" s="1708">
        <v>0.0</v>
      </c>
      <c r="F21" s="1708">
        <v>0.0</v>
      </c>
      <c r="G21" s="1708">
        <v>1.0</v>
      </c>
      <c r="H21" s="1155">
        <v>1.0</v>
      </c>
      <c r="I21" s="1710">
        <v>0.0</v>
      </c>
      <c r="J21" s="1712"/>
      <c r="K21" s="1711">
        <v>0.0</v>
      </c>
      <c r="L21" s="549">
        <v>0.0</v>
      </c>
      <c r="M21" s="549">
        <v>0.0</v>
      </c>
      <c r="N21" s="1167"/>
      <c r="O21" s="1710">
        <v>1.0</v>
      </c>
      <c r="P21" s="1167"/>
      <c r="Q21" s="549">
        <v>1.0</v>
      </c>
      <c r="R21" s="549">
        <v>0.0</v>
      </c>
      <c r="S21" s="549">
        <v>0.0</v>
      </c>
      <c r="T21" s="549">
        <v>0.0</v>
      </c>
      <c r="U21" s="549">
        <v>0.0</v>
      </c>
      <c r="V21" s="549">
        <v>1.0</v>
      </c>
      <c r="W21" s="549">
        <v>0.0</v>
      </c>
      <c r="X21" s="548">
        <v>0.0</v>
      </c>
      <c r="Y21" s="548">
        <v>0.0</v>
      </c>
      <c r="Z21" s="548">
        <v>1.0</v>
      </c>
      <c r="AA21" s="549">
        <v>0.0</v>
      </c>
      <c r="AB21" s="549">
        <v>0.0</v>
      </c>
      <c r="AC21" s="549">
        <v>0.0</v>
      </c>
      <c r="AD21" s="549">
        <v>0.0</v>
      </c>
      <c r="AE21" s="549">
        <v>0.0</v>
      </c>
      <c r="AF21" s="549">
        <v>2.0</v>
      </c>
      <c r="AG21" s="549">
        <v>0.0</v>
      </c>
      <c r="AH21" s="549">
        <v>0.0</v>
      </c>
      <c r="AI21" s="549">
        <v>0.0</v>
      </c>
      <c r="AJ21" s="549">
        <v>0.0</v>
      </c>
      <c r="AK21" s="549">
        <v>1.0</v>
      </c>
      <c r="AL21" s="549">
        <v>0.0</v>
      </c>
      <c r="AM21" s="549">
        <v>0.0</v>
      </c>
      <c r="AN21" s="549">
        <v>1.0</v>
      </c>
      <c r="AO21" s="549">
        <v>0.0</v>
      </c>
      <c r="AP21" s="549">
        <v>0.0</v>
      </c>
      <c r="AQ21" s="549">
        <v>0.0</v>
      </c>
      <c r="AR21" s="549">
        <v>0.0</v>
      </c>
      <c r="AS21" s="549"/>
      <c r="AT21" s="549">
        <v>3.0</v>
      </c>
      <c r="AU21" s="549"/>
      <c r="AV21" s="549"/>
      <c r="AW21" s="549"/>
      <c r="AX21" s="549"/>
      <c r="AY21" s="549"/>
      <c r="AZ21" s="549"/>
      <c r="BA21" s="549">
        <f t="shared" si="1"/>
        <v>13</v>
      </c>
      <c r="BB21" s="549"/>
    </row>
    <row r="22">
      <c r="A22" s="1687" t="s">
        <v>6987</v>
      </c>
      <c r="B22" s="1634">
        <v>267.0</v>
      </c>
      <c r="C22" s="1576" t="s">
        <v>6883</v>
      </c>
      <c r="D22" s="1708">
        <v>0.0</v>
      </c>
      <c r="E22" s="1708">
        <v>0.0</v>
      </c>
      <c r="F22" s="1708">
        <v>0.0</v>
      </c>
      <c r="G22" s="1708">
        <v>0.0</v>
      </c>
      <c r="H22" s="1155">
        <v>1.0</v>
      </c>
      <c r="I22" s="1710">
        <v>0.0</v>
      </c>
      <c r="J22" s="1710">
        <v>1.0</v>
      </c>
      <c r="K22" s="1711">
        <v>1.0</v>
      </c>
      <c r="L22" s="549">
        <v>0.0</v>
      </c>
      <c r="M22" s="549">
        <v>0.0</v>
      </c>
      <c r="N22" s="549">
        <v>1.0</v>
      </c>
      <c r="O22" s="1710">
        <v>1.0</v>
      </c>
      <c r="P22" s="1167"/>
      <c r="Q22" s="549">
        <v>0.0</v>
      </c>
      <c r="R22" s="549">
        <v>0.0</v>
      </c>
      <c r="S22" s="549">
        <v>0.0</v>
      </c>
      <c r="T22" s="549">
        <v>2.0</v>
      </c>
      <c r="U22" s="549">
        <v>0.0</v>
      </c>
      <c r="V22" s="549">
        <v>3.0</v>
      </c>
      <c r="W22" s="549">
        <v>0.0</v>
      </c>
      <c r="X22" s="548">
        <v>0.0</v>
      </c>
      <c r="Y22" s="548">
        <v>1.0</v>
      </c>
      <c r="Z22" s="548">
        <v>1.0</v>
      </c>
      <c r="AA22" s="549">
        <v>1.0</v>
      </c>
      <c r="AB22" s="549">
        <v>0.0</v>
      </c>
      <c r="AC22" s="549">
        <v>1.0</v>
      </c>
      <c r="AD22" s="549">
        <v>0.0</v>
      </c>
      <c r="AE22" s="549">
        <v>1.0</v>
      </c>
      <c r="AF22" s="549">
        <v>0.0</v>
      </c>
      <c r="AG22" s="549">
        <v>0.0</v>
      </c>
      <c r="AH22" s="549">
        <v>2.0</v>
      </c>
      <c r="AI22" s="549">
        <v>0.0</v>
      </c>
      <c r="AJ22" s="549">
        <v>0.0</v>
      </c>
      <c r="AK22" s="549">
        <v>2.0</v>
      </c>
      <c r="AL22" s="549">
        <v>0.0</v>
      </c>
      <c r="AM22" s="549">
        <v>0.0</v>
      </c>
      <c r="AN22" s="549">
        <v>1.0</v>
      </c>
      <c r="AO22" s="549">
        <v>1.0</v>
      </c>
      <c r="AP22" s="549">
        <v>0.0</v>
      </c>
      <c r="AQ22" s="549">
        <v>0.0</v>
      </c>
      <c r="AR22" s="549">
        <v>0.0</v>
      </c>
      <c r="AS22" s="549"/>
      <c r="AT22" s="549">
        <v>3.0</v>
      </c>
      <c r="AU22" s="549"/>
      <c r="AV22" s="549"/>
      <c r="AW22" s="549"/>
      <c r="AX22" s="549"/>
      <c r="AY22" s="549"/>
      <c r="AZ22" s="549"/>
      <c r="BA22" s="549">
        <f t="shared" si="1"/>
        <v>24</v>
      </c>
      <c r="BB22" s="549"/>
    </row>
    <row r="23">
      <c r="A23" s="1714" t="s">
        <v>6987</v>
      </c>
      <c r="B23" s="1715" t="s">
        <v>6913</v>
      </c>
      <c r="C23" s="1716" t="s">
        <v>6883</v>
      </c>
      <c r="D23" s="1717">
        <v>0.0</v>
      </c>
      <c r="E23" s="1717">
        <v>0.0</v>
      </c>
      <c r="F23" s="1717">
        <v>0.0</v>
      </c>
      <c r="G23" s="1717">
        <v>0.0</v>
      </c>
      <c r="H23" s="1718">
        <v>5.0</v>
      </c>
      <c r="I23" s="1719">
        <v>2.0</v>
      </c>
      <c r="J23" s="1717"/>
      <c r="K23" s="1720">
        <v>3.0</v>
      </c>
      <c r="L23" s="1721">
        <v>0.0</v>
      </c>
      <c r="M23" s="1721">
        <v>1.0</v>
      </c>
      <c r="N23" s="1721">
        <v>1.0</v>
      </c>
      <c r="O23" s="1722">
        <v>4.0</v>
      </c>
      <c r="P23" s="1721">
        <v>8.0</v>
      </c>
      <c r="Q23" s="1722"/>
      <c r="R23" s="1721">
        <v>2.0</v>
      </c>
      <c r="S23" s="1721">
        <v>1.0</v>
      </c>
      <c r="T23" s="1721">
        <v>3.0</v>
      </c>
      <c r="U23" s="1721">
        <v>5.0</v>
      </c>
      <c r="V23" s="1721">
        <v>1.0</v>
      </c>
      <c r="W23" s="549">
        <v>2.0</v>
      </c>
      <c r="X23" s="548">
        <v>0.0</v>
      </c>
      <c r="Y23" s="548">
        <v>0.0</v>
      </c>
      <c r="Z23" s="548">
        <v>18.0</v>
      </c>
      <c r="AA23" s="549">
        <v>1.0</v>
      </c>
      <c r="AB23" s="549">
        <v>2.0</v>
      </c>
      <c r="AC23" s="549">
        <v>1.0</v>
      </c>
      <c r="AD23" s="549">
        <v>5.0</v>
      </c>
      <c r="AE23" s="549">
        <v>6.0</v>
      </c>
      <c r="AF23" s="549">
        <v>4.0</v>
      </c>
      <c r="AG23" s="549">
        <v>1.0</v>
      </c>
      <c r="AH23" s="549">
        <v>7.0</v>
      </c>
      <c r="AI23" s="549">
        <v>5.0</v>
      </c>
      <c r="AJ23" s="549">
        <v>9.0</v>
      </c>
      <c r="AK23" s="549">
        <v>8.0</v>
      </c>
      <c r="AL23" s="549">
        <v>2.0</v>
      </c>
      <c r="AM23" s="549">
        <v>1.0</v>
      </c>
      <c r="AN23" s="549">
        <v>2.0</v>
      </c>
      <c r="AO23" s="549">
        <v>2.0</v>
      </c>
      <c r="AP23" s="549">
        <v>9.0</v>
      </c>
      <c r="AQ23" s="549">
        <v>0.0</v>
      </c>
      <c r="AR23" s="549">
        <v>0.0</v>
      </c>
      <c r="AS23" s="549">
        <v>0.0</v>
      </c>
      <c r="AT23" s="549">
        <v>0.0</v>
      </c>
      <c r="AU23" s="549"/>
      <c r="AV23" s="549"/>
      <c r="AW23" s="549"/>
      <c r="AX23" s="549"/>
      <c r="AY23" s="549"/>
      <c r="AZ23" s="549"/>
      <c r="BA23" s="549">
        <f t="shared" si="1"/>
        <v>121</v>
      </c>
      <c r="BB23" s="1721"/>
    </row>
    <row r="24">
      <c r="A24" s="1714" t="s">
        <v>6987</v>
      </c>
      <c r="B24" s="1715" t="s">
        <v>6914</v>
      </c>
      <c r="C24" s="1716" t="s">
        <v>6883</v>
      </c>
      <c r="D24" s="1717">
        <v>2.0</v>
      </c>
      <c r="E24" s="1717">
        <v>2.0</v>
      </c>
      <c r="F24" s="1717">
        <v>5.0</v>
      </c>
      <c r="G24" s="1717">
        <v>2.0</v>
      </c>
      <c r="H24" s="1718">
        <v>4.0</v>
      </c>
      <c r="I24" s="1719">
        <v>4.0</v>
      </c>
      <c r="J24" s="1717"/>
      <c r="K24" s="1720">
        <v>5.0</v>
      </c>
      <c r="L24" s="1721">
        <v>1.0</v>
      </c>
      <c r="M24" s="1721">
        <v>1.0</v>
      </c>
      <c r="N24" s="1722"/>
      <c r="O24" s="1722">
        <v>1.0</v>
      </c>
      <c r="P24" s="1721">
        <v>5.0</v>
      </c>
      <c r="Q24" s="1722"/>
      <c r="R24" s="1721">
        <v>3.0</v>
      </c>
      <c r="S24" s="1721">
        <v>3.0</v>
      </c>
      <c r="T24" s="1721">
        <v>6.0</v>
      </c>
      <c r="U24" s="1721">
        <v>0.0</v>
      </c>
      <c r="V24" s="1721">
        <v>5.0</v>
      </c>
      <c r="W24" s="549">
        <v>3.0</v>
      </c>
      <c r="X24" s="548">
        <v>6.0</v>
      </c>
      <c r="Y24" s="548">
        <v>5.0</v>
      </c>
      <c r="Z24" s="548">
        <v>3.0</v>
      </c>
      <c r="AA24" s="549">
        <v>3.0</v>
      </c>
      <c r="AB24" s="549">
        <v>0.0</v>
      </c>
      <c r="AC24" s="549">
        <v>0.0</v>
      </c>
      <c r="AD24" s="549">
        <v>0.0</v>
      </c>
      <c r="AE24" s="549">
        <v>5.0</v>
      </c>
      <c r="AF24" s="549">
        <v>1.0</v>
      </c>
      <c r="AG24" s="549">
        <v>2.0</v>
      </c>
      <c r="AH24" s="549">
        <v>4.0</v>
      </c>
      <c r="AI24" s="549">
        <v>3.0</v>
      </c>
      <c r="AJ24" s="549">
        <v>1.0</v>
      </c>
      <c r="AK24" s="549">
        <v>4.0</v>
      </c>
      <c r="AL24" s="549">
        <v>2.0</v>
      </c>
      <c r="AM24" s="549">
        <v>2.0</v>
      </c>
      <c r="AN24" s="549">
        <v>6.0</v>
      </c>
      <c r="AO24" s="549">
        <v>0.0</v>
      </c>
      <c r="AP24" s="549">
        <v>0.0</v>
      </c>
      <c r="AQ24" s="549">
        <v>0.0</v>
      </c>
      <c r="AR24" s="549">
        <v>0.0</v>
      </c>
      <c r="AS24" s="549">
        <v>0.0</v>
      </c>
      <c r="AT24" s="549">
        <v>0.0</v>
      </c>
      <c r="AU24" s="549"/>
      <c r="AV24" s="549"/>
      <c r="AW24" s="549"/>
      <c r="AX24" s="549"/>
      <c r="AY24" s="549"/>
      <c r="AZ24" s="549"/>
      <c r="BA24" s="549">
        <f t="shared" si="1"/>
        <v>99</v>
      </c>
      <c r="BB24" s="1723" t="s">
        <v>6989</v>
      </c>
    </row>
    <row r="25">
      <c r="A25" s="1714" t="s">
        <v>6987</v>
      </c>
      <c r="B25" s="1715" t="s">
        <v>6915</v>
      </c>
      <c r="C25" s="1716" t="s">
        <v>6883</v>
      </c>
      <c r="D25" s="1717">
        <v>1.0</v>
      </c>
      <c r="E25" s="1717">
        <v>0.0</v>
      </c>
      <c r="F25" s="1717">
        <v>3.0</v>
      </c>
      <c r="G25" s="1717">
        <v>0.0</v>
      </c>
      <c r="H25" s="1718">
        <v>0.0</v>
      </c>
      <c r="I25" s="1719">
        <v>0.0</v>
      </c>
      <c r="J25" s="1717"/>
      <c r="K25" s="1720">
        <v>3.0</v>
      </c>
      <c r="L25" s="1721">
        <v>0.0</v>
      </c>
      <c r="M25" s="1721">
        <v>0.0</v>
      </c>
      <c r="N25" s="1722"/>
      <c r="O25" s="1722">
        <v>2.0</v>
      </c>
      <c r="P25" s="1721">
        <v>2.0</v>
      </c>
      <c r="Q25" s="1722"/>
      <c r="R25" s="1721">
        <v>1.0</v>
      </c>
      <c r="S25" s="1721">
        <v>1.0</v>
      </c>
      <c r="T25" s="1721">
        <v>1.0</v>
      </c>
      <c r="U25" s="1721">
        <v>0.0</v>
      </c>
      <c r="V25" s="1721">
        <v>1.0</v>
      </c>
      <c r="W25" s="549">
        <v>4.0</v>
      </c>
      <c r="X25" s="548">
        <v>1.0</v>
      </c>
      <c r="Y25" s="548">
        <v>1.0</v>
      </c>
      <c r="Z25" s="548">
        <v>1.0</v>
      </c>
      <c r="AA25" s="549">
        <v>1.0</v>
      </c>
      <c r="AB25" s="549">
        <v>0.0</v>
      </c>
      <c r="AC25" s="549">
        <v>0.0</v>
      </c>
      <c r="AD25" s="549">
        <v>1.0</v>
      </c>
      <c r="AE25" s="549">
        <v>3.0</v>
      </c>
      <c r="AF25" s="549">
        <v>1.0</v>
      </c>
      <c r="AG25" s="549">
        <v>1.0</v>
      </c>
      <c r="AH25" s="549">
        <v>1.0</v>
      </c>
      <c r="AI25" s="549">
        <v>0.0</v>
      </c>
      <c r="AJ25" s="549">
        <v>1.0</v>
      </c>
      <c r="AK25" s="549">
        <v>1.0</v>
      </c>
      <c r="AL25" s="549">
        <v>1.0</v>
      </c>
      <c r="AM25" s="549">
        <v>0.0</v>
      </c>
      <c r="AN25" s="549">
        <v>3.0</v>
      </c>
      <c r="AO25" s="549">
        <v>0.0</v>
      </c>
      <c r="AP25" s="549">
        <v>0.0</v>
      </c>
      <c r="AQ25" s="549">
        <v>0.0</v>
      </c>
      <c r="AR25" s="549">
        <v>0.0</v>
      </c>
      <c r="AS25" s="549">
        <v>0.0</v>
      </c>
      <c r="AT25" s="549">
        <v>3.0</v>
      </c>
      <c r="AU25" s="549"/>
      <c r="AV25" s="549"/>
      <c r="AW25" s="549"/>
      <c r="AX25" s="549"/>
      <c r="AY25" s="549"/>
      <c r="AZ25" s="549"/>
      <c r="BA25" s="549">
        <f t="shared" si="1"/>
        <v>39</v>
      </c>
      <c r="BB25" s="1721"/>
    </row>
    <row r="26">
      <c r="A26" s="1724"/>
      <c r="B26" s="1550"/>
      <c r="C26" s="1550"/>
      <c r="D26" s="1725"/>
      <c r="E26" s="1701"/>
      <c r="F26" s="1725"/>
      <c r="G26" s="1701"/>
      <c r="H26" s="1167"/>
      <c r="I26" s="1725"/>
      <c r="J26" s="1701"/>
      <c r="K26" s="1708"/>
      <c r="L26" s="1701"/>
      <c r="M26" s="1701"/>
      <c r="N26" s="1701"/>
      <c r="O26" s="1701"/>
      <c r="P26" s="1701"/>
      <c r="Q26" s="1701"/>
      <c r="R26" s="1725"/>
      <c r="S26" s="1725"/>
      <c r="T26" s="1725"/>
      <c r="U26" s="1725"/>
      <c r="V26" s="1725"/>
      <c r="W26" s="1725"/>
      <c r="X26" s="280"/>
      <c r="Y26" s="280"/>
      <c r="Z26" s="280"/>
      <c r="AA26" s="1725"/>
      <c r="AB26" s="1725"/>
      <c r="AC26" s="1725"/>
      <c r="AD26" s="1725"/>
      <c r="AE26" s="1725"/>
      <c r="AF26" s="1725"/>
      <c r="AG26" s="1725"/>
      <c r="AH26" s="1725"/>
      <c r="AI26" s="1725"/>
      <c r="AJ26" s="1725"/>
      <c r="AK26" s="1725"/>
      <c r="AL26" s="1725"/>
      <c r="AM26" s="1725"/>
      <c r="AN26" s="549"/>
      <c r="AO26" s="549"/>
      <c r="AP26" s="549"/>
      <c r="AQ26" s="549"/>
      <c r="AR26" s="549"/>
      <c r="AS26" s="549"/>
      <c r="AT26" s="549"/>
      <c r="AU26" s="549"/>
      <c r="AV26" s="549"/>
      <c r="AW26" s="549"/>
      <c r="AX26" s="549"/>
      <c r="AY26" s="549"/>
      <c r="AZ26" s="549"/>
      <c r="BA26" s="549"/>
      <c r="BB26" s="549"/>
    </row>
    <row r="27">
      <c r="A27" s="1726"/>
      <c r="B27" s="1727" t="s">
        <v>6882</v>
      </c>
      <c r="D27" s="1725"/>
      <c r="E27" s="1725"/>
      <c r="F27" s="1725"/>
      <c r="G27" s="1725"/>
      <c r="H27" s="1725"/>
      <c r="I27" s="1725"/>
      <c r="J27" s="1725"/>
      <c r="K27" s="1708"/>
      <c r="L27" s="1725"/>
      <c r="M27" s="1725"/>
      <c r="N27" s="1725"/>
      <c r="O27" s="1725"/>
      <c r="P27" s="1725"/>
      <c r="Q27" s="1725"/>
      <c r="R27" s="1725"/>
      <c r="S27" s="1725"/>
      <c r="T27" s="1725"/>
      <c r="U27" s="1725"/>
      <c r="V27" s="1725"/>
      <c r="W27" s="1725"/>
      <c r="X27" s="280"/>
      <c r="Y27" s="280"/>
      <c r="Z27" s="280"/>
      <c r="AA27" s="1725"/>
      <c r="AB27" s="1725"/>
      <c r="AC27" s="1725"/>
      <c r="AD27" s="1725"/>
      <c r="AE27" s="1725"/>
      <c r="AF27" s="1725"/>
      <c r="AG27" s="1725"/>
      <c r="AH27" s="1725"/>
      <c r="AI27" s="1725"/>
      <c r="AJ27" s="1725"/>
      <c r="AK27" s="1725"/>
      <c r="AL27" s="1725"/>
      <c r="AM27" s="1725"/>
      <c r="AN27" s="549"/>
      <c r="AO27" s="549"/>
      <c r="AP27" s="549"/>
      <c r="AQ27" s="549"/>
      <c r="AR27" s="549"/>
      <c r="AS27" s="549"/>
      <c r="AT27" s="549"/>
      <c r="AU27" s="549"/>
      <c r="AV27" s="549"/>
      <c r="AW27" s="549"/>
      <c r="AX27" s="549"/>
      <c r="AY27" s="549"/>
      <c r="AZ27" s="549"/>
      <c r="BA27" s="549"/>
      <c r="BB27" s="549"/>
    </row>
    <row r="28">
      <c r="A28" s="1687" t="s">
        <v>6987</v>
      </c>
      <c r="B28" s="1634" t="s">
        <v>6888</v>
      </c>
      <c r="C28" s="1594" t="s">
        <v>6884</v>
      </c>
      <c r="D28" s="1701">
        <v>0.0</v>
      </c>
      <c r="E28" s="1701">
        <v>0.0</v>
      </c>
      <c r="F28" s="1701">
        <v>1.0</v>
      </c>
      <c r="G28" s="1701">
        <v>2.0</v>
      </c>
      <c r="H28" s="549">
        <v>3.0</v>
      </c>
      <c r="I28" s="1710">
        <v>0.0</v>
      </c>
      <c r="J28" s="1710">
        <v>1.0</v>
      </c>
      <c r="K28" s="1711">
        <v>0.0</v>
      </c>
      <c r="L28" s="549">
        <v>0.0</v>
      </c>
      <c r="M28" s="549">
        <v>2.0</v>
      </c>
      <c r="N28" s="1167"/>
      <c r="O28" s="1710">
        <v>3.0</v>
      </c>
      <c r="P28" s="1167"/>
      <c r="Q28" s="549">
        <v>1.0</v>
      </c>
      <c r="R28" s="549">
        <v>2.0</v>
      </c>
      <c r="S28" s="549">
        <v>0.0</v>
      </c>
      <c r="T28" s="549">
        <v>1.0</v>
      </c>
      <c r="U28" s="549">
        <v>0.0</v>
      </c>
      <c r="V28" s="549">
        <v>0.0</v>
      </c>
      <c r="W28" s="1701">
        <v>1.0</v>
      </c>
      <c r="X28" s="548">
        <v>1.0</v>
      </c>
      <c r="Y28" s="548">
        <v>3.0</v>
      </c>
      <c r="Z28" s="548">
        <v>0.0</v>
      </c>
      <c r="AA28" s="1701">
        <v>0.0</v>
      </c>
      <c r="AB28" s="1701">
        <v>0.0</v>
      </c>
      <c r="AC28" s="1701">
        <v>1.0</v>
      </c>
      <c r="AD28" s="1701"/>
      <c r="AE28" s="1701">
        <v>2.0</v>
      </c>
      <c r="AF28" s="1701">
        <v>1.0</v>
      </c>
      <c r="AG28" s="1701">
        <v>1.0</v>
      </c>
      <c r="AH28" s="1701">
        <v>0.0</v>
      </c>
      <c r="AI28" s="1701">
        <v>3.0</v>
      </c>
      <c r="AJ28" s="1701">
        <v>0.0</v>
      </c>
      <c r="AK28" s="1701">
        <v>2.0</v>
      </c>
      <c r="AL28" s="1701">
        <v>0.0</v>
      </c>
      <c r="AM28" s="1728">
        <v>1.0</v>
      </c>
      <c r="AN28" s="549">
        <v>2.0</v>
      </c>
      <c r="AO28" s="549">
        <v>1.0</v>
      </c>
      <c r="AP28" s="549">
        <v>0.0</v>
      </c>
      <c r="AQ28" s="549">
        <v>3.0</v>
      </c>
      <c r="AR28" s="549">
        <v>3.0</v>
      </c>
      <c r="AS28" s="549"/>
      <c r="AT28" s="549">
        <v>0.0</v>
      </c>
      <c r="AU28" s="549"/>
      <c r="AV28" s="549"/>
      <c r="AW28" s="549"/>
      <c r="AX28" s="549"/>
      <c r="AY28" s="549"/>
      <c r="AZ28" s="549"/>
      <c r="BA28" s="549">
        <f t="shared" ref="BA28:BA50" si="2">SUM(D28:AZ28)</f>
        <v>41</v>
      </c>
      <c r="BB28" s="549"/>
    </row>
    <row r="29">
      <c r="A29" s="1687" t="s">
        <v>6987</v>
      </c>
      <c r="B29" s="1634" t="s">
        <v>6889</v>
      </c>
      <c r="C29" s="1594" t="s">
        <v>6884</v>
      </c>
      <c r="D29" s="1701">
        <v>1.0</v>
      </c>
      <c r="E29" s="1701">
        <v>2.0</v>
      </c>
      <c r="F29" s="1701">
        <v>0.0</v>
      </c>
      <c r="G29" s="1701">
        <v>1.0</v>
      </c>
      <c r="H29" s="549">
        <v>3.0</v>
      </c>
      <c r="I29" s="1710">
        <v>0.0</v>
      </c>
      <c r="J29" s="1710">
        <v>1.0</v>
      </c>
      <c r="K29" s="1711">
        <v>0.0</v>
      </c>
      <c r="L29" s="549">
        <v>2.0</v>
      </c>
      <c r="M29" s="549">
        <v>0.0</v>
      </c>
      <c r="N29" s="1167"/>
      <c r="O29" s="1710">
        <v>3.0</v>
      </c>
      <c r="P29" s="1167"/>
      <c r="Q29" s="549">
        <v>1.0</v>
      </c>
      <c r="R29" s="549">
        <v>0.0</v>
      </c>
      <c r="S29" s="549">
        <v>2.0</v>
      </c>
      <c r="T29" s="549">
        <v>1.0</v>
      </c>
      <c r="U29" s="549">
        <v>1.0</v>
      </c>
      <c r="V29" s="549">
        <v>0.0</v>
      </c>
      <c r="W29" s="1701">
        <v>1.0</v>
      </c>
      <c r="X29" s="548">
        <v>1.0</v>
      </c>
      <c r="Y29" s="548">
        <v>2.0</v>
      </c>
      <c r="Z29" s="548">
        <v>2.0</v>
      </c>
      <c r="AA29" s="1701">
        <v>1.0</v>
      </c>
      <c r="AB29" s="1701">
        <v>0.0</v>
      </c>
      <c r="AC29" s="1701">
        <v>0.0</v>
      </c>
      <c r="AD29" s="1701"/>
      <c r="AE29" s="1701">
        <v>0.0</v>
      </c>
      <c r="AF29" s="1701">
        <v>2.0</v>
      </c>
      <c r="AG29" s="1701">
        <v>0.0</v>
      </c>
      <c r="AH29" s="1701">
        <v>2.0</v>
      </c>
      <c r="AI29" s="1701">
        <v>3.0</v>
      </c>
      <c r="AJ29" s="1701">
        <v>0.0</v>
      </c>
      <c r="AK29" s="1701">
        <v>1.0</v>
      </c>
      <c r="AL29" s="1701">
        <v>0.0</v>
      </c>
      <c r="AM29" s="1728">
        <v>1.0</v>
      </c>
      <c r="AN29" s="549">
        <v>3.0</v>
      </c>
      <c r="AO29" s="549">
        <v>1.0</v>
      </c>
      <c r="AP29" s="549">
        <v>3.0</v>
      </c>
      <c r="AQ29" s="549">
        <v>0.0</v>
      </c>
      <c r="AR29" s="549">
        <v>3.0</v>
      </c>
      <c r="AS29" s="549"/>
      <c r="AT29" s="549">
        <v>3.0</v>
      </c>
      <c r="AU29" s="549"/>
      <c r="AV29" s="549"/>
      <c r="AW29" s="549"/>
      <c r="AX29" s="549"/>
      <c r="AY29" s="549"/>
      <c r="AZ29" s="549"/>
      <c r="BA29" s="549">
        <f t="shared" si="2"/>
        <v>47</v>
      </c>
      <c r="BB29" s="549"/>
    </row>
    <row r="30">
      <c r="A30" s="1687" t="s">
        <v>6987</v>
      </c>
      <c r="B30" s="1634" t="s">
        <v>6676</v>
      </c>
      <c r="C30" s="1594" t="s">
        <v>6884</v>
      </c>
      <c r="D30" s="1701">
        <v>0.0</v>
      </c>
      <c r="E30" s="1701">
        <v>0.0</v>
      </c>
      <c r="F30" s="1701">
        <v>0.0</v>
      </c>
      <c r="G30" s="1701">
        <v>2.0</v>
      </c>
      <c r="H30" s="549">
        <v>2.0</v>
      </c>
      <c r="I30" s="1710">
        <v>0.0</v>
      </c>
      <c r="J30" s="1710">
        <v>2.0</v>
      </c>
      <c r="K30" s="1711">
        <v>2.0</v>
      </c>
      <c r="L30" s="549">
        <v>0.0</v>
      </c>
      <c r="M30" s="549">
        <v>0.0</v>
      </c>
      <c r="N30" s="549">
        <v>1.0</v>
      </c>
      <c r="O30" s="1710">
        <v>2.0</v>
      </c>
      <c r="P30" s="1167"/>
      <c r="Q30" s="549">
        <v>0.0</v>
      </c>
      <c r="R30" s="549">
        <v>2.0</v>
      </c>
      <c r="S30" s="549">
        <v>2.0</v>
      </c>
      <c r="T30" s="549">
        <v>2.0</v>
      </c>
      <c r="U30" s="549">
        <v>2.0</v>
      </c>
      <c r="V30" s="549">
        <v>2.0</v>
      </c>
      <c r="W30" s="1701">
        <v>1.0</v>
      </c>
      <c r="X30" s="548">
        <v>3.0</v>
      </c>
      <c r="Y30" s="548">
        <v>0.0</v>
      </c>
      <c r="Z30" s="548">
        <v>3.0</v>
      </c>
      <c r="AA30" s="1701">
        <v>0.0</v>
      </c>
      <c r="AB30" s="1701">
        <v>0.0</v>
      </c>
      <c r="AC30" s="1701">
        <v>3.0</v>
      </c>
      <c r="AD30" s="1701"/>
      <c r="AE30" s="1701">
        <v>3.0</v>
      </c>
      <c r="AF30" s="1701">
        <v>2.0</v>
      </c>
      <c r="AG30" s="1701">
        <v>0.0</v>
      </c>
      <c r="AH30" s="1701">
        <v>2.0</v>
      </c>
      <c r="AI30" s="1701">
        <v>3.0</v>
      </c>
      <c r="AJ30" s="1701">
        <v>1.0</v>
      </c>
      <c r="AK30" s="1701">
        <v>1.0</v>
      </c>
      <c r="AL30" s="1701">
        <v>0.0</v>
      </c>
      <c r="AM30" s="1728">
        <v>0.0</v>
      </c>
      <c r="AN30" s="549">
        <v>3.0</v>
      </c>
      <c r="AO30" s="549">
        <v>2.0</v>
      </c>
      <c r="AP30" s="549">
        <v>3.0</v>
      </c>
      <c r="AQ30" s="549">
        <v>3.0</v>
      </c>
      <c r="AR30" s="549">
        <v>3.0</v>
      </c>
      <c r="AS30" s="549"/>
      <c r="AT30" s="549">
        <v>0.0</v>
      </c>
      <c r="AU30" s="549"/>
      <c r="AV30" s="549"/>
      <c r="AW30" s="549"/>
      <c r="AX30" s="549"/>
      <c r="AY30" s="549"/>
      <c r="AZ30" s="549"/>
      <c r="BA30" s="549">
        <f t="shared" si="2"/>
        <v>57</v>
      </c>
      <c r="BB30" s="549"/>
    </row>
    <row r="31">
      <c r="A31" s="1687" t="s">
        <v>6987</v>
      </c>
      <c r="B31" s="1634" t="s">
        <v>6891</v>
      </c>
      <c r="C31" s="1594" t="s">
        <v>6884</v>
      </c>
      <c r="D31" s="1701">
        <v>0.0</v>
      </c>
      <c r="E31" s="1701">
        <v>2.0</v>
      </c>
      <c r="F31" s="1701">
        <v>1.0</v>
      </c>
      <c r="G31" s="1701">
        <v>2.0</v>
      </c>
      <c r="H31" s="549">
        <v>0.0</v>
      </c>
      <c r="I31" s="1710">
        <v>0.0</v>
      </c>
      <c r="J31" s="1710">
        <v>3.0</v>
      </c>
      <c r="K31" s="1711">
        <v>2.0</v>
      </c>
      <c r="L31" s="549">
        <v>1.0</v>
      </c>
      <c r="M31" s="549">
        <v>1.0</v>
      </c>
      <c r="N31" s="1167"/>
      <c r="O31" s="1710">
        <v>0.0</v>
      </c>
      <c r="P31" s="1167"/>
      <c r="Q31" s="549">
        <v>0.0</v>
      </c>
      <c r="R31" s="549">
        <v>0.0</v>
      </c>
      <c r="S31" s="549">
        <v>1.0</v>
      </c>
      <c r="T31" s="549">
        <v>1.0</v>
      </c>
      <c r="U31" s="549">
        <v>1.0</v>
      </c>
      <c r="V31" s="549">
        <v>3.0</v>
      </c>
      <c r="W31" s="1701">
        <v>2.0</v>
      </c>
      <c r="X31" s="548">
        <v>1.0</v>
      </c>
      <c r="Y31" s="548">
        <v>1.0</v>
      </c>
      <c r="Z31" s="548">
        <v>1.0</v>
      </c>
      <c r="AA31" s="1701">
        <v>2.0</v>
      </c>
      <c r="AB31" s="1701">
        <v>0.0</v>
      </c>
      <c r="AC31" s="1701">
        <v>0.0</v>
      </c>
      <c r="AD31" s="1701"/>
      <c r="AE31" s="1701">
        <v>3.0</v>
      </c>
      <c r="AF31" s="1701">
        <v>1.0</v>
      </c>
      <c r="AG31" s="1701">
        <v>0.0</v>
      </c>
      <c r="AH31" s="1701">
        <v>2.0</v>
      </c>
      <c r="AI31" s="1701">
        <v>1.0</v>
      </c>
      <c r="AJ31" s="1701">
        <v>3.0</v>
      </c>
      <c r="AK31" s="1701">
        <v>1.0</v>
      </c>
      <c r="AL31" s="1701">
        <v>1.0</v>
      </c>
      <c r="AM31" s="1728">
        <v>0.0</v>
      </c>
      <c r="AN31" s="549">
        <v>1.0</v>
      </c>
      <c r="AO31" s="549">
        <v>0.0</v>
      </c>
      <c r="AP31" s="549">
        <v>0.0</v>
      </c>
      <c r="AQ31" s="549">
        <v>0.0</v>
      </c>
      <c r="AR31" s="549">
        <v>0.0</v>
      </c>
      <c r="AS31" s="549"/>
      <c r="AT31" s="549">
        <v>3.0</v>
      </c>
      <c r="AU31" s="549"/>
      <c r="AV31" s="549"/>
      <c r="AW31" s="549"/>
      <c r="AX31" s="549"/>
      <c r="AY31" s="549"/>
      <c r="AZ31" s="549"/>
      <c r="BA31" s="549">
        <f t="shared" si="2"/>
        <v>41</v>
      </c>
      <c r="BB31" s="549"/>
    </row>
    <row r="32">
      <c r="A32" s="1687" t="s">
        <v>6987</v>
      </c>
      <c r="B32" s="1634" t="s">
        <v>6892</v>
      </c>
      <c r="C32" s="1594" t="s">
        <v>6884</v>
      </c>
      <c r="D32" s="1701">
        <v>1.0</v>
      </c>
      <c r="E32" s="1701">
        <v>0.0</v>
      </c>
      <c r="F32" s="1701">
        <v>0.0</v>
      </c>
      <c r="G32" s="1701">
        <v>0.0</v>
      </c>
      <c r="H32" s="549">
        <v>1.0</v>
      </c>
      <c r="I32" s="1710">
        <v>1.0</v>
      </c>
      <c r="J32" s="1710">
        <v>0.0</v>
      </c>
      <c r="K32" s="1711">
        <v>1.0</v>
      </c>
      <c r="L32" s="549">
        <v>0.0</v>
      </c>
      <c r="M32" s="549">
        <v>0.0</v>
      </c>
      <c r="N32" s="549">
        <v>1.0</v>
      </c>
      <c r="O32" s="1710">
        <v>0.0</v>
      </c>
      <c r="P32" s="1167"/>
      <c r="Q32" s="549">
        <v>1.0</v>
      </c>
      <c r="R32" s="549">
        <v>0.0</v>
      </c>
      <c r="S32" s="549">
        <v>2.0</v>
      </c>
      <c r="T32" s="549">
        <v>0.0</v>
      </c>
      <c r="U32" s="549">
        <v>0.0</v>
      </c>
      <c r="V32" s="549">
        <v>0.0</v>
      </c>
      <c r="W32" s="1701">
        <v>0.0</v>
      </c>
      <c r="X32" s="548">
        <v>1.0</v>
      </c>
      <c r="Y32" s="548">
        <v>0.0</v>
      </c>
      <c r="Z32" s="548">
        <v>0.0</v>
      </c>
      <c r="AA32" s="1701">
        <v>1.0</v>
      </c>
      <c r="AB32" s="1701">
        <v>0.0</v>
      </c>
      <c r="AC32" s="1701">
        <v>1.0</v>
      </c>
      <c r="AD32" s="1701"/>
      <c r="AE32" s="1701">
        <v>1.0</v>
      </c>
      <c r="AF32" s="1701">
        <v>0.0</v>
      </c>
      <c r="AG32" s="1701">
        <v>0.0</v>
      </c>
      <c r="AH32" s="1701">
        <v>0.0</v>
      </c>
      <c r="AI32" s="1701">
        <v>0.0</v>
      </c>
      <c r="AJ32" s="1701">
        <v>0.0</v>
      </c>
      <c r="AK32" s="1701">
        <v>1.0</v>
      </c>
      <c r="AL32" s="1701">
        <v>0.0</v>
      </c>
      <c r="AM32" s="1728">
        <v>0.0</v>
      </c>
      <c r="AN32" s="549">
        <v>0.0</v>
      </c>
      <c r="AO32" s="549">
        <v>0.0</v>
      </c>
      <c r="AP32" s="549">
        <v>0.0</v>
      </c>
      <c r="AQ32" s="549">
        <v>0.0</v>
      </c>
      <c r="AR32" s="549">
        <v>0.0</v>
      </c>
      <c r="AS32" s="549"/>
      <c r="AT32" s="549">
        <v>0.0</v>
      </c>
      <c r="AU32" s="549"/>
      <c r="AV32" s="549"/>
      <c r="AW32" s="549"/>
      <c r="AX32" s="549"/>
      <c r="AY32" s="549"/>
      <c r="AZ32" s="549"/>
      <c r="BA32" s="549">
        <f t="shared" si="2"/>
        <v>13</v>
      </c>
      <c r="BB32" s="549"/>
    </row>
    <row r="33">
      <c r="A33" s="1687" t="s">
        <v>6987</v>
      </c>
      <c r="B33" s="1634" t="s">
        <v>6894</v>
      </c>
      <c r="C33" s="1594" t="s">
        <v>6884</v>
      </c>
      <c r="D33" s="1701">
        <v>0.0</v>
      </c>
      <c r="E33" s="1701">
        <v>2.0</v>
      </c>
      <c r="F33" s="1701">
        <v>1.0</v>
      </c>
      <c r="G33" s="1701">
        <v>1.0</v>
      </c>
      <c r="H33" s="549">
        <v>6.0</v>
      </c>
      <c r="I33" s="1710">
        <v>1.0</v>
      </c>
      <c r="J33" s="1710">
        <v>3.0</v>
      </c>
      <c r="K33" s="1711">
        <v>4.0</v>
      </c>
      <c r="L33" s="549">
        <v>4.0</v>
      </c>
      <c r="M33" s="549">
        <v>2.0</v>
      </c>
      <c r="N33" s="1167"/>
      <c r="O33" s="1710">
        <v>8.0</v>
      </c>
      <c r="P33" s="1167"/>
      <c r="Q33" s="549">
        <v>8.0</v>
      </c>
      <c r="R33" s="549">
        <v>3.0</v>
      </c>
      <c r="S33" s="549">
        <v>6.0</v>
      </c>
      <c r="T33" s="549">
        <v>3.0</v>
      </c>
      <c r="U33" s="549">
        <v>6.0</v>
      </c>
      <c r="V33" s="549">
        <v>6.0</v>
      </c>
      <c r="W33" s="1701">
        <v>1.0</v>
      </c>
      <c r="X33" s="548">
        <v>1.0</v>
      </c>
      <c r="Y33" s="548">
        <v>4.0</v>
      </c>
      <c r="Z33" s="548">
        <v>4.0</v>
      </c>
      <c r="AA33" s="1701">
        <v>1.0</v>
      </c>
      <c r="AB33" s="1701">
        <v>0.0</v>
      </c>
      <c r="AC33" s="1701">
        <v>3.0</v>
      </c>
      <c r="AD33" s="1701"/>
      <c r="AE33" s="1701">
        <v>1.0</v>
      </c>
      <c r="AF33" s="1701">
        <v>3.0</v>
      </c>
      <c r="AG33" s="1701">
        <v>2.0</v>
      </c>
      <c r="AH33" s="1701">
        <v>2.0</v>
      </c>
      <c r="AI33" s="1701">
        <v>9.0</v>
      </c>
      <c r="AJ33" s="1701">
        <v>3.0</v>
      </c>
      <c r="AK33" s="1701">
        <v>8.0</v>
      </c>
      <c r="AL33" s="1701">
        <v>1.0</v>
      </c>
      <c r="AM33" s="1728">
        <v>4.0</v>
      </c>
      <c r="AN33" s="1729">
        <v>3.0</v>
      </c>
      <c r="AO33" s="1729">
        <v>4.0</v>
      </c>
      <c r="AP33" s="1729">
        <v>0.0</v>
      </c>
      <c r="AQ33" s="1729">
        <v>0.0</v>
      </c>
      <c r="AR33" s="1729">
        <v>0.0</v>
      </c>
      <c r="AS33" s="1729"/>
      <c r="AT33" s="1729">
        <v>20.0</v>
      </c>
      <c r="AU33" s="1729"/>
      <c r="AV33" s="1729"/>
      <c r="AW33" s="1729"/>
      <c r="AX33" s="1729"/>
      <c r="AY33" s="1729"/>
      <c r="AZ33" s="1729"/>
      <c r="BA33" s="549">
        <f t="shared" si="2"/>
        <v>138</v>
      </c>
      <c r="BB33" s="1729" t="s">
        <v>6989</v>
      </c>
    </row>
    <row r="34">
      <c r="A34" s="1687" t="s">
        <v>6987</v>
      </c>
      <c r="B34" s="1634" t="s">
        <v>6896</v>
      </c>
      <c r="C34" s="1594" t="s">
        <v>6884</v>
      </c>
      <c r="D34" s="1701">
        <v>0.0</v>
      </c>
      <c r="E34" s="1701">
        <v>4.0</v>
      </c>
      <c r="F34" s="1701">
        <v>1.0</v>
      </c>
      <c r="G34" s="1701">
        <v>2.0</v>
      </c>
      <c r="H34" s="549">
        <v>2.0</v>
      </c>
      <c r="I34" s="1710">
        <v>0.0</v>
      </c>
      <c r="J34" s="1710">
        <v>5.0</v>
      </c>
      <c r="K34" s="1711">
        <v>4.0</v>
      </c>
      <c r="L34" s="549">
        <v>2.0</v>
      </c>
      <c r="M34" s="549">
        <v>2.0</v>
      </c>
      <c r="N34" s="1167"/>
      <c r="O34" s="1710">
        <v>4.0</v>
      </c>
      <c r="P34" s="1167"/>
      <c r="Q34" s="549">
        <v>0.0</v>
      </c>
      <c r="R34" s="549">
        <v>5.0</v>
      </c>
      <c r="S34" s="549">
        <v>4.0</v>
      </c>
      <c r="T34" s="549">
        <v>6.0</v>
      </c>
      <c r="U34" s="549">
        <v>6.0</v>
      </c>
      <c r="V34" s="549">
        <v>2.0</v>
      </c>
      <c r="W34" s="1701">
        <v>2.0</v>
      </c>
      <c r="X34" s="548">
        <v>5.0</v>
      </c>
      <c r="Y34" s="548">
        <v>2.0</v>
      </c>
      <c r="Z34" s="548">
        <v>1.0</v>
      </c>
      <c r="AA34" s="1701">
        <v>4.0</v>
      </c>
      <c r="AB34" s="1701">
        <v>3.0</v>
      </c>
      <c r="AC34" s="1701">
        <v>1.0</v>
      </c>
      <c r="AD34" s="1701"/>
      <c r="AE34" s="1701">
        <v>1.0</v>
      </c>
      <c r="AF34" s="1701">
        <v>0.0</v>
      </c>
      <c r="AG34" s="1701">
        <v>2.0</v>
      </c>
      <c r="AH34" s="1701">
        <v>3.0</v>
      </c>
      <c r="AI34" s="1701">
        <v>0.0</v>
      </c>
      <c r="AJ34" s="1701">
        <v>4.0</v>
      </c>
      <c r="AK34" s="1701">
        <v>4.0</v>
      </c>
      <c r="AL34" s="1701">
        <v>7.0</v>
      </c>
      <c r="AM34" s="1728">
        <v>2.0</v>
      </c>
      <c r="AN34" s="549">
        <v>2.0</v>
      </c>
      <c r="AO34" s="549">
        <v>3.0</v>
      </c>
      <c r="AP34" s="549">
        <v>0.0</v>
      </c>
      <c r="AQ34" s="549">
        <v>0.0</v>
      </c>
      <c r="AR34" s="549">
        <v>0.0</v>
      </c>
      <c r="AS34" s="549"/>
      <c r="AT34" s="549">
        <v>0.0</v>
      </c>
      <c r="AU34" s="549"/>
      <c r="AV34" s="549"/>
      <c r="AW34" s="549"/>
      <c r="AX34" s="549"/>
      <c r="AY34" s="549"/>
      <c r="AZ34" s="549"/>
      <c r="BA34" s="549">
        <f t="shared" si="2"/>
        <v>95</v>
      </c>
      <c r="BB34" s="549"/>
    </row>
    <row r="35">
      <c r="A35" s="1687" t="s">
        <v>6987</v>
      </c>
      <c r="B35" s="1634" t="s">
        <v>6897</v>
      </c>
      <c r="C35" s="1594" t="s">
        <v>6884</v>
      </c>
      <c r="D35" s="1701">
        <v>0.0</v>
      </c>
      <c r="E35" s="1701">
        <v>2.0</v>
      </c>
      <c r="F35" s="1701">
        <v>1.0</v>
      </c>
      <c r="G35" s="1701">
        <v>2.0</v>
      </c>
      <c r="H35" s="549">
        <v>1.0</v>
      </c>
      <c r="I35" s="1710">
        <v>1.0</v>
      </c>
      <c r="J35" s="1710">
        <v>1.0</v>
      </c>
      <c r="K35" s="1711">
        <v>0.0</v>
      </c>
      <c r="L35" s="549">
        <v>0.0</v>
      </c>
      <c r="M35" s="549">
        <v>0.0</v>
      </c>
      <c r="N35" s="1167"/>
      <c r="O35" s="1710">
        <v>1.0</v>
      </c>
      <c r="P35" s="1167"/>
      <c r="Q35" s="549">
        <v>0.0</v>
      </c>
      <c r="R35" s="549">
        <v>2.0</v>
      </c>
      <c r="S35" s="549">
        <v>4.0</v>
      </c>
      <c r="T35" s="549">
        <v>3.0</v>
      </c>
      <c r="U35" s="549">
        <v>2.0</v>
      </c>
      <c r="V35" s="549">
        <v>4.0</v>
      </c>
      <c r="W35" s="1701">
        <v>1.0</v>
      </c>
      <c r="X35" s="548">
        <v>3.0</v>
      </c>
      <c r="Y35" s="548">
        <v>0.0</v>
      </c>
      <c r="Z35" s="548">
        <v>3.0</v>
      </c>
      <c r="AA35" s="1701">
        <v>4.0</v>
      </c>
      <c r="AB35" s="1701">
        <v>1.0</v>
      </c>
      <c r="AC35" s="1701">
        <v>0.0</v>
      </c>
      <c r="AD35" s="1701"/>
      <c r="AE35" s="1701">
        <v>0.0</v>
      </c>
      <c r="AF35" s="1701">
        <v>0.0</v>
      </c>
      <c r="AG35" s="1701">
        <v>0.0</v>
      </c>
      <c r="AH35" s="1701">
        <v>3.0</v>
      </c>
      <c r="AI35" s="1701">
        <v>1.0</v>
      </c>
      <c r="AJ35" s="1701">
        <v>3.0</v>
      </c>
      <c r="AK35" s="1701">
        <v>0.0</v>
      </c>
      <c r="AL35" s="1701">
        <v>1.0</v>
      </c>
      <c r="AM35" s="1728">
        <v>0.0</v>
      </c>
      <c r="AN35" s="549">
        <v>2.0</v>
      </c>
      <c r="AO35" s="549">
        <v>1.0</v>
      </c>
      <c r="AP35" s="549">
        <v>0.0</v>
      </c>
      <c r="AQ35" s="549">
        <v>0.0</v>
      </c>
      <c r="AR35" s="549">
        <v>0.0</v>
      </c>
      <c r="AS35" s="549"/>
      <c r="AT35" s="549">
        <v>3.0</v>
      </c>
      <c r="AU35" s="549"/>
      <c r="AV35" s="549"/>
      <c r="AW35" s="549"/>
      <c r="AX35" s="549"/>
      <c r="AY35" s="549"/>
      <c r="AZ35" s="549"/>
      <c r="BA35" s="549">
        <f t="shared" si="2"/>
        <v>50</v>
      </c>
      <c r="BB35" s="549"/>
    </row>
    <row r="36">
      <c r="A36" s="1687" t="s">
        <v>6987</v>
      </c>
      <c r="B36" s="1634" t="s">
        <v>6898</v>
      </c>
      <c r="C36" s="1594" t="s">
        <v>6884</v>
      </c>
      <c r="D36" s="1701">
        <v>1.0</v>
      </c>
      <c r="E36" s="1701">
        <v>0.0</v>
      </c>
      <c r="F36" s="1701">
        <v>0.0</v>
      </c>
      <c r="G36" s="1701">
        <v>3.0</v>
      </c>
      <c r="H36" s="549">
        <v>1.0</v>
      </c>
      <c r="I36" s="1710">
        <v>0.0</v>
      </c>
      <c r="J36" s="1710">
        <v>1.0</v>
      </c>
      <c r="K36" s="1711">
        <v>0.0</v>
      </c>
      <c r="L36" s="549">
        <v>0.0</v>
      </c>
      <c r="M36" s="549">
        <v>0.0</v>
      </c>
      <c r="N36" s="549">
        <v>2.0</v>
      </c>
      <c r="O36" s="1710">
        <v>6.0</v>
      </c>
      <c r="P36" s="1167"/>
      <c r="Q36" s="549">
        <v>2.0</v>
      </c>
      <c r="R36" s="549">
        <v>1.0</v>
      </c>
      <c r="S36" s="549">
        <v>3.0</v>
      </c>
      <c r="T36" s="549">
        <v>4.0</v>
      </c>
      <c r="U36" s="549">
        <v>5.0</v>
      </c>
      <c r="V36" s="549">
        <v>3.0</v>
      </c>
      <c r="W36" s="1701">
        <v>1.0</v>
      </c>
      <c r="X36" s="548">
        <v>3.0</v>
      </c>
      <c r="Y36" s="548">
        <v>2.0</v>
      </c>
      <c r="Z36" s="548">
        <v>3.0</v>
      </c>
      <c r="AA36" s="1701">
        <v>2.0</v>
      </c>
      <c r="AB36" s="1701">
        <v>1.0</v>
      </c>
      <c r="AC36" s="1701">
        <v>0.0</v>
      </c>
      <c r="AD36" s="1701"/>
      <c r="AE36" s="1701">
        <v>4.0</v>
      </c>
      <c r="AF36" s="1701">
        <v>1.0</v>
      </c>
      <c r="AG36" s="1701">
        <v>0.0</v>
      </c>
      <c r="AH36" s="1701">
        <v>4.0</v>
      </c>
      <c r="AI36" s="1701">
        <v>6.0</v>
      </c>
      <c r="AJ36" s="1701">
        <v>1.0</v>
      </c>
      <c r="AK36" s="1701">
        <v>2.0</v>
      </c>
      <c r="AL36" s="1701">
        <v>8.0</v>
      </c>
      <c r="AM36" s="1728">
        <v>1.0</v>
      </c>
      <c r="AN36" s="549">
        <v>6.0</v>
      </c>
      <c r="AO36" s="549">
        <v>1.0</v>
      </c>
      <c r="AP36" s="549">
        <v>0.0</v>
      </c>
      <c r="AQ36" s="549">
        <v>6.0</v>
      </c>
      <c r="AR36" s="549">
        <v>4.0</v>
      </c>
      <c r="AS36" s="549"/>
      <c r="AT36" s="549">
        <v>0.0</v>
      </c>
      <c r="AU36" s="549"/>
      <c r="AV36" s="549"/>
      <c r="AW36" s="549"/>
      <c r="AX36" s="549"/>
      <c r="AY36" s="549"/>
      <c r="AZ36" s="549"/>
      <c r="BA36" s="549">
        <f t="shared" si="2"/>
        <v>88</v>
      </c>
      <c r="BB36" s="549"/>
    </row>
    <row r="37">
      <c r="A37" s="1687" t="s">
        <v>6987</v>
      </c>
      <c r="B37" s="1634" t="s">
        <v>6899</v>
      </c>
      <c r="C37" s="1594" t="s">
        <v>6884</v>
      </c>
      <c r="D37" s="1701">
        <v>1.0</v>
      </c>
      <c r="E37" s="1701">
        <v>2.0</v>
      </c>
      <c r="F37" s="1701">
        <v>5.0</v>
      </c>
      <c r="G37" s="1701">
        <v>2.0</v>
      </c>
      <c r="H37" s="549">
        <v>4.0</v>
      </c>
      <c r="I37" s="1710">
        <v>4.0</v>
      </c>
      <c r="J37" s="1710">
        <v>3.0</v>
      </c>
      <c r="K37" s="1711">
        <v>3.0</v>
      </c>
      <c r="L37" s="549">
        <v>4.0</v>
      </c>
      <c r="M37" s="549">
        <v>0.0</v>
      </c>
      <c r="N37" s="549">
        <v>1.0</v>
      </c>
      <c r="O37" s="1710">
        <v>5.0</v>
      </c>
      <c r="P37" s="1167"/>
      <c r="Q37" s="549">
        <v>10.0</v>
      </c>
      <c r="R37" s="549">
        <v>1.0</v>
      </c>
      <c r="S37" s="549">
        <v>3.0</v>
      </c>
      <c r="T37" s="549">
        <v>6.0</v>
      </c>
      <c r="U37" s="549">
        <v>2.0</v>
      </c>
      <c r="V37" s="549">
        <v>4.0</v>
      </c>
      <c r="W37" s="1701">
        <v>5.0</v>
      </c>
      <c r="X37" s="548">
        <v>0.0</v>
      </c>
      <c r="Y37" s="548">
        <v>0.0</v>
      </c>
      <c r="Z37" s="548">
        <v>8.0</v>
      </c>
      <c r="AA37" s="1701">
        <v>3.0</v>
      </c>
      <c r="AB37" s="1701">
        <v>3.0</v>
      </c>
      <c r="AC37" s="1701">
        <v>4.0</v>
      </c>
      <c r="AD37" s="1701"/>
      <c r="AE37" s="1701">
        <v>2.0</v>
      </c>
      <c r="AF37" s="1701">
        <v>2.0</v>
      </c>
      <c r="AG37" s="1701">
        <v>0.0</v>
      </c>
      <c r="AH37" s="1701">
        <v>9.0</v>
      </c>
      <c r="AI37" s="1701">
        <v>2.0</v>
      </c>
      <c r="AJ37" s="1701">
        <v>6.0</v>
      </c>
      <c r="AK37" s="1701">
        <v>0.0</v>
      </c>
      <c r="AL37" s="1701">
        <v>1.0</v>
      </c>
      <c r="AM37" s="1728">
        <v>2.0</v>
      </c>
      <c r="AN37" s="1729">
        <v>2.0</v>
      </c>
      <c r="AO37" s="1729">
        <v>2.0</v>
      </c>
      <c r="AP37" s="1729">
        <v>0.0</v>
      </c>
      <c r="AQ37" s="1729">
        <v>0.0</v>
      </c>
      <c r="AR37" s="1729">
        <v>0.0</v>
      </c>
      <c r="AS37" s="1729"/>
      <c r="AT37" s="1729">
        <v>0.0</v>
      </c>
      <c r="AU37" s="1729"/>
      <c r="AV37" s="1729"/>
      <c r="AW37" s="1729"/>
      <c r="AX37" s="1729"/>
      <c r="AY37" s="1729"/>
      <c r="AZ37" s="1729"/>
      <c r="BA37" s="549">
        <f t="shared" si="2"/>
        <v>111</v>
      </c>
      <c r="BB37" s="1729" t="s">
        <v>6989</v>
      </c>
    </row>
    <row r="38">
      <c r="A38" s="1687" t="s">
        <v>6987</v>
      </c>
      <c r="B38" s="1634" t="s">
        <v>6900</v>
      </c>
      <c r="C38" s="1594" t="s">
        <v>6884</v>
      </c>
      <c r="D38" s="1701">
        <v>0.0</v>
      </c>
      <c r="E38" s="1701">
        <v>0.0</v>
      </c>
      <c r="F38" s="1701">
        <v>0.0</v>
      </c>
      <c r="G38" s="1701">
        <v>1.0</v>
      </c>
      <c r="H38" s="549">
        <v>2.0</v>
      </c>
      <c r="I38" s="1710">
        <v>0.0</v>
      </c>
      <c r="J38" s="1710">
        <v>0.0</v>
      </c>
      <c r="K38" s="1711">
        <v>0.0</v>
      </c>
      <c r="L38" s="549">
        <v>1.0</v>
      </c>
      <c r="M38" s="549">
        <v>1.0</v>
      </c>
      <c r="N38" s="549">
        <v>0.0</v>
      </c>
      <c r="O38" s="1710">
        <v>3.0</v>
      </c>
      <c r="P38" s="1167"/>
      <c r="Q38" s="549">
        <v>2.0</v>
      </c>
      <c r="R38" s="549">
        <v>0.0</v>
      </c>
      <c r="S38" s="549">
        <v>0.0</v>
      </c>
      <c r="T38" s="549">
        <v>1.0</v>
      </c>
      <c r="U38" s="549">
        <v>0.0</v>
      </c>
      <c r="V38" s="549">
        <v>0.0</v>
      </c>
      <c r="W38" s="549">
        <v>0.0</v>
      </c>
      <c r="X38" s="548">
        <v>0.0</v>
      </c>
      <c r="Y38" s="548">
        <v>2.0</v>
      </c>
      <c r="Z38" s="548">
        <v>0.0</v>
      </c>
      <c r="AA38" s="549">
        <v>0.0</v>
      </c>
      <c r="AB38" s="549">
        <v>0.0</v>
      </c>
      <c r="AC38" s="549">
        <v>1.0</v>
      </c>
      <c r="AD38" s="549"/>
      <c r="AE38" s="549">
        <v>1.0</v>
      </c>
      <c r="AF38" s="549">
        <v>1.0</v>
      </c>
      <c r="AG38" s="549">
        <v>0.0</v>
      </c>
      <c r="AH38" s="549">
        <v>2.0</v>
      </c>
      <c r="AI38" s="549">
        <v>2.0</v>
      </c>
      <c r="AJ38" s="549">
        <v>1.0</v>
      </c>
      <c r="AK38" s="549">
        <v>0.0</v>
      </c>
      <c r="AL38" s="549">
        <v>2.0</v>
      </c>
      <c r="AM38" s="1730">
        <v>2.0</v>
      </c>
      <c r="AN38" s="549">
        <v>3.0</v>
      </c>
      <c r="AO38" s="549">
        <v>1.0</v>
      </c>
      <c r="AP38" s="549">
        <v>0.0</v>
      </c>
      <c r="AQ38" s="549">
        <v>3.0</v>
      </c>
      <c r="AR38" s="549">
        <v>3.0</v>
      </c>
      <c r="AS38" s="549"/>
      <c r="AT38" s="549">
        <v>0.0</v>
      </c>
      <c r="AU38" s="549"/>
      <c r="AV38" s="549"/>
      <c r="AW38" s="549"/>
      <c r="AX38" s="549"/>
      <c r="AY38" s="549"/>
      <c r="AZ38" s="549"/>
      <c r="BA38" s="549">
        <f t="shared" si="2"/>
        <v>35</v>
      </c>
      <c r="BB38" s="549"/>
    </row>
    <row r="39">
      <c r="A39" s="1687" t="s">
        <v>6987</v>
      </c>
      <c r="B39" s="1634" t="s">
        <v>6901</v>
      </c>
      <c r="C39" s="1594" t="s">
        <v>6884</v>
      </c>
      <c r="D39" s="1701">
        <v>0.0</v>
      </c>
      <c r="E39" s="1701">
        <v>2.0</v>
      </c>
      <c r="F39" s="1701">
        <v>2.0</v>
      </c>
      <c r="G39" s="1701">
        <v>2.0</v>
      </c>
      <c r="H39" s="549">
        <v>1.0</v>
      </c>
      <c r="I39" s="1710">
        <v>2.0</v>
      </c>
      <c r="J39" s="1710">
        <v>1.0</v>
      </c>
      <c r="K39" s="1711">
        <v>5.0</v>
      </c>
      <c r="L39" s="549">
        <v>3.0</v>
      </c>
      <c r="M39" s="549">
        <v>1.0</v>
      </c>
      <c r="N39" s="549">
        <v>3.0</v>
      </c>
      <c r="O39" s="1710">
        <v>3.0</v>
      </c>
      <c r="P39" s="1167"/>
      <c r="Q39" s="549">
        <v>3.0</v>
      </c>
      <c r="R39" s="549">
        <v>1.0</v>
      </c>
      <c r="S39" s="549">
        <v>6.0</v>
      </c>
      <c r="T39" s="549">
        <v>4.0</v>
      </c>
      <c r="U39" s="549">
        <v>4.0</v>
      </c>
      <c r="V39" s="549">
        <v>1.0</v>
      </c>
      <c r="W39" s="549">
        <v>7.0</v>
      </c>
      <c r="X39" s="548">
        <v>5.0</v>
      </c>
      <c r="Y39" s="548">
        <v>4.0</v>
      </c>
      <c r="Z39" s="548">
        <v>5.0</v>
      </c>
      <c r="AA39" s="549">
        <v>5.0</v>
      </c>
      <c r="AB39" s="549">
        <v>1.0</v>
      </c>
      <c r="AC39" s="549">
        <v>2.0</v>
      </c>
      <c r="AD39" s="549"/>
      <c r="AE39" s="549">
        <v>0.0</v>
      </c>
      <c r="AF39" s="549">
        <v>0.0</v>
      </c>
      <c r="AG39" s="549">
        <v>0.0</v>
      </c>
      <c r="AH39" s="549">
        <v>1.0</v>
      </c>
      <c r="AI39" s="549">
        <v>1.0</v>
      </c>
      <c r="AJ39" s="549">
        <v>1.0</v>
      </c>
      <c r="AK39" s="549">
        <v>3.0</v>
      </c>
      <c r="AL39" s="549">
        <v>1.0</v>
      </c>
      <c r="AM39" s="1730">
        <v>1.0</v>
      </c>
      <c r="AN39" s="549">
        <v>3.0</v>
      </c>
      <c r="AO39" s="549">
        <v>1.0</v>
      </c>
      <c r="AP39" s="549">
        <v>0.0</v>
      </c>
      <c r="AQ39" s="549">
        <v>3.0</v>
      </c>
      <c r="AR39" s="549">
        <v>0.0</v>
      </c>
      <c r="AS39" s="549"/>
      <c r="AT39" s="549">
        <v>0.0</v>
      </c>
      <c r="AU39" s="549"/>
      <c r="AV39" s="549"/>
      <c r="AW39" s="549"/>
      <c r="AX39" s="549"/>
      <c r="AY39" s="549"/>
      <c r="AZ39" s="549"/>
      <c r="BA39" s="549">
        <f t="shared" si="2"/>
        <v>88</v>
      </c>
      <c r="BB39" s="549"/>
    </row>
    <row r="40">
      <c r="A40" s="1687" t="s">
        <v>6987</v>
      </c>
      <c r="B40" s="1634" t="s">
        <v>6902</v>
      </c>
      <c r="C40" s="1594" t="s">
        <v>6884</v>
      </c>
      <c r="D40" s="1701">
        <v>2.0</v>
      </c>
      <c r="E40" s="1701">
        <v>3.0</v>
      </c>
      <c r="F40" s="1701">
        <v>7.0</v>
      </c>
      <c r="G40" s="1701">
        <v>3.0</v>
      </c>
      <c r="H40" s="549">
        <v>3.0</v>
      </c>
      <c r="I40" s="1710">
        <v>4.0</v>
      </c>
      <c r="J40" s="1710">
        <v>4.0</v>
      </c>
      <c r="K40" s="1711">
        <v>6.0</v>
      </c>
      <c r="L40" s="549">
        <v>1.0</v>
      </c>
      <c r="M40" s="549">
        <v>7.0</v>
      </c>
      <c r="N40" s="549">
        <v>1.0</v>
      </c>
      <c r="O40" s="1710">
        <v>1.0</v>
      </c>
      <c r="P40" s="1167"/>
      <c r="Q40" s="549">
        <v>4.0</v>
      </c>
      <c r="R40" s="549">
        <v>8.0</v>
      </c>
      <c r="S40" s="549">
        <v>6.0</v>
      </c>
      <c r="T40" s="549">
        <v>2.0</v>
      </c>
      <c r="U40" s="549">
        <v>6.0</v>
      </c>
      <c r="V40" s="549">
        <v>5.0</v>
      </c>
      <c r="W40" s="549">
        <v>6.0</v>
      </c>
      <c r="X40" s="548">
        <v>9.0</v>
      </c>
      <c r="Y40" s="548">
        <v>1.0</v>
      </c>
      <c r="Z40" s="548">
        <v>4.0</v>
      </c>
      <c r="AA40" s="549">
        <v>4.0</v>
      </c>
      <c r="AB40" s="549">
        <v>7.0</v>
      </c>
      <c r="AC40" s="549">
        <v>5.0</v>
      </c>
      <c r="AD40" s="549"/>
      <c r="AE40" s="549">
        <v>3.0</v>
      </c>
      <c r="AF40" s="549">
        <v>2.0</v>
      </c>
      <c r="AG40" s="549">
        <v>0.0</v>
      </c>
      <c r="AH40" s="549">
        <v>4.0</v>
      </c>
      <c r="AI40" s="549">
        <v>0.0</v>
      </c>
      <c r="AJ40" s="549">
        <v>1.0</v>
      </c>
      <c r="AK40" s="549">
        <v>4.0</v>
      </c>
      <c r="AL40" s="549">
        <v>3.0</v>
      </c>
      <c r="AM40" s="1730">
        <v>3.0</v>
      </c>
      <c r="AN40" s="1729">
        <v>2.0</v>
      </c>
      <c r="AO40" s="1729">
        <v>7.0</v>
      </c>
      <c r="AP40" s="1729">
        <v>0.0</v>
      </c>
      <c r="AQ40" s="1729">
        <v>0.0</v>
      </c>
      <c r="AR40" s="1729">
        <v>0.0</v>
      </c>
      <c r="AS40" s="1729"/>
      <c r="AT40" s="1729">
        <v>0.0</v>
      </c>
      <c r="AU40" s="1729"/>
      <c r="AV40" s="1729"/>
      <c r="AW40" s="1729"/>
      <c r="AX40" s="1729"/>
      <c r="AY40" s="1729"/>
      <c r="AZ40" s="1729"/>
      <c r="BA40" s="549">
        <f t="shared" si="2"/>
        <v>138</v>
      </c>
      <c r="BB40" s="1729" t="s">
        <v>6989</v>
      </c>
    </row>
    <row r="41">
      <c r="A41" s="1687" t="s">
        <v>6987</v>
      </c>
      <c r="B41" s="1634" t="s">
        <v>6904</v>
      </c>
      <c r="C41" s="1594" t="s">
        <v>6884</v>
      </c>
      <c r="D41" s="1701">
        <v>1.0</v>
      </c>
      <c r="E41" s="1701">
        <v>0.0</v>
      </c>
      <c r="F41" s="1701">
        <v>0.0</v>
      </c>
      <c r="G41" s="1701">
        <v>0.0</v>
      </c>
      <c r="H41" s="549">
        <v>0.0</v>
      </c>
      <c r="I41" s="1710">
        <v>0.0</v>
      </c>
      <c r="J41" s="1710">
        <v>2.0</v>
      </c>
      <c r="K41" s="1711">
        <v>0.0</v>
      </c>
      <c r="L41" s="549">
        <v>1.0</v>
      </c>
      <c r="M41" s="549">
        <v>0.0</v>
      </c>
      <c r="N41" s="549">
        <v>1.0</v>
      </c>
      <c r="O41" s="1710">
        <v>0.0</v>
      </c>
      <c r="P41" s="1167"/>
      <c r="Q41" s="549">
        <v>0.0</v>
      </c>
      <c r="R41" s="549">
        <v>0.0</v>
      </c>
      <c r="S41" s="549">
        <v>0.0</v>
      </c>
      <c r="T41" s="549">
        <v>0.0</v>
      </c>
      <c r="U41" s="549">
        <v>0.0</v>
      </c>
      <c r="V41" s="549">
        <v>0.0</v>
      </c>
      <c r="W41" s="1701">
        <v>0.0</v>
      </c>
      <c r="X41" s="548">
        <v>1.0</v>
      </c>
      <c r="Y41" s="548">
        <v>0.0</v>
      </c>
      <c r="Z41" s="548">
        <v>0.0</v>
      </c>
      <c r="AA41" s="1701">
        <v>1.0</v>
      </c>
      <c r="AB41" s="1701">
        <v>0.0</v>
      </c>
      <c r="AC41" s="1701">
        <v>0.0</v>
      </c>
      <c r="AD41" s="1701"/>
      <c r="AE41" s="1701">
        <v>0.0</v>
      </c>
      <c r="AF41" s="1701">
        <v>0.0</v>
      </c>
      <c r="AG41" s="1701">
        <v>0.0</v>
      </c>
      <c r="AH41" s="1701">
        <v>0.0</v>
      </c>
      <c r="AI41" s="1701">
        <v>0.0</v>
      </c>
      <c r="AJ41" s="1701">
        <v>0.0</v>
      </c>
      <c r="AK41" s="1701">
        <v>0.0</v>
      </c>
      <c r="AL41" s="1701">
        <v>1.0</v>
      </c>
      <c r="AM41" s="1728">
        <v>0.0</v>
      </c>
      <c r="AN41" s="549">
        <v>0.0</v>
      </c>
      <c r="AO41" s="549">
        <v>0.0</v>
      </c>
      <c r="AP41" s="549">
        <v>0.0</v>
      </c>
      <c r="AQ41" s="549">
        <v>0.0</v>
      </c>
      <c r="AR41" s="549">
        <v>0.0</v>
      </c>
      <c r="AS41" s="549"/>
      <c r="AT41" s="549">
        <v>3.0</v>
      </c>
      <c r="AU41" s="549"/>
      <c r="AV41" s="549"/>
      <c r="AW41" s="549"/>
      <c r="AX41" s="549"/>
      <c r="AY41" s="549"/>
      <c r="AZ41" s="549"/>
      <c r="BA41" s="549">
        <f t="shared" si="2"/>
        <v>11</v>
      </c>
      <c r="BB41" s="549"/>
    </row>
    <row r="42">
      <c r="A42" s="1687" t="s">
        <v>6987</v>
      </c>
      <c r="B42" s="1634" t="s">
        <v>6905</v>
      </c>
      <c r="C42" s="1594" t="s">
        <v>6884</v>
      </c>
      <c r="D42" s="1701">
        <v>0.0</v>
      </c>
      <c r="E42" s="1701">
        <v>1.0</v>
      </c>
      <c r="F42" s="1701">
        <v>1.0</v>
      </c>
      <c r="G42" s="1701">
        <v>1.0</v>
      </c>
      <c r="H42" s="549">
        <v>3.0</v>
      </c>
      <c r="I42" s="1710">
        <v>0.0</v>
      </c>
      <c r="J42" s="1710">
        <v>1.0</v>
      </c>
      <c r="K42" s="1711">
        <v>0.0</v>
      </c>
      <c r="L42" s="549">
        <v>0.0</v>
      </c>
      <c r="M42" s="549">
        <v>1.0</v>
      </c>
      <c r="N42" s="1167"/>
      <c r="O42" s="1710">
        <v>2.0</v>
      </c>
      <c r="P42" s="1167"/>
      <c r="Q42" s="549">
        <v>0.0</v>
      </c>
      <c r="R42" s="549">
        <v>0.0</v>
      </c>
      <c r="S42" s="549">
        <v>1.0</v>
      </c>
      <c r="T42" s="549">
        <v>2.0</v>
      </c>
      <c r="U42" s="549">
        <v>1.0</v>
      </c>
      <c r="V42" s="549">
        <v>1.0</v>
      </c>
      <c r="W42" s="1701">
        <v>1.0</v>
      </c>
      <c r="X42" s="548">
        <v>1.0</v>
      </c>
      <c r="Y42" s="548">
        <v>1.0</v>
      </c>
      <c r="Z42" s="548">
        <v>0.0</v>
      </c>
      <c r="AA42" s="1701">
        <v>0.0</v>
      </c>
      <c r="AB42" s="1701">
        <v>0.0</v>
      </c>
      <c r="AC42" s="1701">
        <v>0.0</v>
      </c>
      <c r="AD42" s="1701"/>
      <c r="AE42" s="1701">
        <v>1.0</v>
      </c>
      <c r="AF42" s="1701">
        <v>0.0</v>
      </c>
      <c r="AG42" s="1701">
        <v>0.0</v>
      </c>
      <c r="AH42" s="1701">
        <v>1.0</v>
      </c>
      <c r="AI42" s="1701">
        <v>0.0</v>
      </c>
      <c r="AJ42" s="1701">
        <v>2.0</v>
      </c>
      <c r="AK42" s="1701">
        <v>1.0</v>
      </c>
      <c r="AL42" s="1701">
        <v>0.0</v>
      </c>
      <c r="AM42" s="1728">
        <v>1.0</v>
      </c>
      <c r="AN42" s="549">
        <v>1.0</v>
      </c>
      <c r="AO42" s="549">
        <v>0.0</v>
      </c>
      <c r="AP42" s="549">
        <v>0.0</v>
      </c>
      <c r="AQ42" s="549">
        <v>0.0</v>
      </c>
      <c r="AR42" s="549">
        <v>3.0</v>
      </c>
      <c r="AS42" s="549"/>
      <c r="AT42" s="549">
        <v>0.0</v>
      </c>
      <c r="AU42" s="549"/>
      <c r="AV42" s="549"/>
      <c r="AW42" s="549"/>
      <c r="AX42" s="549"/>
      <c r="AY42" s="549"/>
      <c r="AZ42" s="549"/>
      <c r="BA42" s="549">
        <f t="shared" si="2"/>
        <v>28</v>
      </c>
      <c r="BB42" s="549"/>
    </row>
    <row r="43">
      <c r="A43" s="1687" t="s">
        <v>6987</v>
      </c>
      <c r="B43" s="1634" t="s">
        <v>6906</v>
      </c>
      <c r="C43" s="1594" t="s">
        <v>6884</v>
      </c>
      <c r="D43" s="1701">
        <v>0.0</v>
      </c>
      <c r="E43" s="1701">
        <v>1.0</v>
      </c>
      <c r="F43" s="1701">
        <v>1.0</v>
      </c>
      <c r="G43" s="1701">
        <v>0.0</v>
      </c>
      <c r="H43" s="549">
        <v>0.0</v>
      </c>
      <c r="I43" s="1710">
        <v>1.0</v>
      </c>
      <c r="J43" s="1710">
        <v>1.0</v>
      </c>
      <c r="K43" s="1711">
        <v>0.0</v>
      </c>
      <c r="L43" s="549">
        <v>0.0</v>
      </c>
      <c r="M43" s="549">
        <v>0.0</v>
      </c>
      <c r="N43" s="1167"/>
      <c r="O43" s="1710">
        <v>2.0</v>
      </c>
      <c r="P43" s="1167"/>
      <c r="Q43" s="549">
        <v>2.0</v>
      </c>
      <c r="R43" s="549">
        <v>2.0</v>
      </c>
      <c r="S43" s="549">
        <v>0.0</v>
      </c>
      <c r="T43" s="549">
        <v>0.0</v>
      </c>
      <c r="U43" s="549">
        <v>1.0</v>
      </c>
      <c r="V43" s="549">
        <v>0.0</v>
      </c>
      <c r="W43" s="1701">
        <v>2.0</v>
      </c>
      <c r="X43" s="548">
        <v>1.0</v>
      </c>
      <c r="Y43" s="548">
        <v>2.0</v>
      </c>
      <c r="Z43" s="548">
        <v>0.0</v>
      </c>
      <c r="AA43" s="1701">
        <v>0.0</v>
      </c>
      <c r="AB43" s="1701">
        <v>0.0</v>
      </c>
      <c r="AC43" s="1701">
        <v>2.0</v>
      </c>
      <c r="AD43" s="1701"/>
      <c r="AE43" s="1701">
        <v>1.0</v>
      </c>
      <c r="AF43" s="1701">
        <v>0.0</v>
      </c>
      <c r="AG43" s="1701">
        <v>0.0</v>
      </c>
      <c r="AH43" s="1701">
        <v>4.0</v>
      </c>
      <c r="AI43" s="1701">
        <v>1.0</v>
      </c>
      <c r="AJ43" s="1701">
        <v>1.0</v>
      </c>
      <c r="AK43" s="1701">
        <v>1.0</v>
      </c>
      <c r="AL43" s="1701">
        <v>2.0</v>
      </c>
      <c r="AM43" s="1728">
        <v>1.0</v>
      </c>
      <c r="AN43" s="549">
        <v>0.0</v>
      </c>
      <c r="AO43" s="549">
        <v>0.0</v>
      </c>
      <c r="AP43" s="549">
        <v>0.0</v>
      </c>
      <c r="AQ43" s="549">
        <v>0.0</v>
      </c>
      <c r="AR43" s="549">
        <v>0.0</v>
      </c>
      <c r="AS43" s="549"/>
      <c r="AT43" s="549">
        <v>0.0</v>
      </c>
      <c r="AU43" s="549"/>
      <c r="AV43" s="549"/>
      <c r="AW43" s="549"/>
      <c r="AX43" s="549"/>
      <c r="AY43" s="549"/>
      <c r="AZ43" s="549"/>
      <c r="BA43" s="549">
        <f t="shared" si="2"/>
        <v>29</v>
      </c>
      <c r="BB43" s="549"/>
    </row>
    <row r="44">
      <c r="A44" s="1687" t="s">
        <v>6987</v>
      </c>
      <c r="B44" s="1634">
        <v>136.0</v>
      </c>
      <c r="C44" s="1594" t="s">
        <v>6884</v>
      </c>
      <c r="D44" s="1701">
        <v>0.0</v>
      </c>
      <c r="E44" s="1701">
        <v>5.0</v>
      </c>
      <c r="F44" s="1701">
        <v>4.0</v>
      </c>
      <c r="G44" s="1701">
        <v>0.0</v>
      </c>
      <c r="H44" s="549">
        <v>0.0</v>
      </c>
      <c r="I44" s="1710">
        <v>1.0</v>
      </c>
      <c r="J44" s="1710">
        <v>1.0</v>
      </c>
      <c r="K44" s="1711">
        <v>0.0</v>
      </c>
      <c r="L44" s="549">
        <v>0.0</v>
      </c>
      <c r="M44" s="549">
        <v>0.0</v>
      </c>
      <c r="N44" s="1167"/>
      <c r="O44" s="1710">
        <v>0.0</v>
      </c>
      <c r="P44" s="1167"/>
      <c r="Q44" s="549">
        <v>0.0</v>
      </c>
      <c r="R44" s="549">
        <v>2.0</v>
      </c>
      <c r="S44" s="549">
        <v>1.0</v>
      </c>
      <c r="T44" s="549">
        <v>0.0</v>
      </c>
      <c r="U44" s="549">
        <v>0.0</v>
      </c>
      <c r="V44" s="549">
        <v>1.0</v>
      </c>
      <c r="W44" s="1701">
        <v>4.0</v>
      </c>
      <c r="X44" s="548">
        <v>3.0</v>
      </c>
      <c r="Y44" s="548">
        <v>5.0</v>
      </c>
      <c r="Z44" s="548">
        <v>0.0</v>
      </c>
      <c r="AA44" s="1701">
        <v>2.0</v>
      </c>
      <c r="AB44" s="1701">
        <v>1.0</v>
      </c>
      <c r="AC44" s="1701">
        <v>2.0</v>
      </c>
      <c r="AD44" s="1701"/>
      <c r="AE44" s="1701">
        <v>5.0</v>
      </c>
      <c r="AF44" s="1701">
        <v>0.0</v>
      </c>
      <c r="AG44" s="1701">
        <v>1.0</v>
      </c>
      <c r="AH44" s="1701">
        <v>0.0</v>
      </c>
      <c r="AI44" s="1701">
        <v>4.0</v>
      </c>
      <c r="AJ44" s="1701">
        <v>3.0</v>
      </c>
      <c r="AK44" s="1701">
        <v>4.0</v>
      </c>
      <c r="AL44" s="1701">
        <v>3.0</v>
      </c>
      <c r="AM44" s="1728">
        <v>4.0</v>
      </c>
      <c r="AN44" s="549">
        <v>2.0</v>
      </c>
      <c r="AO44" s="549">
        <v>3.0</v>
      </c>
      <c r="AP44" s="549">
        <v>0.0</v>
      </c>
      <c r="AQ44" s="549">
        <v>4.0</v>
      </c>
      <c r="AR44" s="549">
        <v>0.0</v>
      </c>
      <c r="AS44" s="549"/>
      <c r="AT44" s="549">
        <v>4.0</v>
      </c>
      <c r="AU44" s="549"/>
      <c r="AV44" s="549"/>
      <c r="AW44" s="549"/>
      <c r="AX44" s="549"/>
      <c r="AY44" s="549"/>
      <c r="AZ44" s="549"/>
      <c r="BA44" s="549">
        <f t="shared" si="2"/>
        <v>69</v>
      </c>
      <c r="BB44" s="549"/>
    </row>
    <row r="45">
      <c r="A45" s="1687" t="s">
        <v>6987</v>
      </c>
      <c r="B45" s="1634">
        <v>137.0</v>
      </c>
      <c r="C45" s="1594" t="s">
        <v>6884</v>
      </c>
      <c r="D45" s="1701">
        <v>1.0</v>
      </c>
      <c r="E45" s="1701">
        <v>1.0</v>
      </c>
      <c r="F45" s="1701">
        <v>2.0</v>
      </c>
      <c r="G45" s="1701">
        <v>4.0</v>
      </c>
      <c r="H45" s="549">
        <v>1.0</v>
      </c>
      <c r="I45" s="1710">
        <v>5.0</v>
      </c>
      <c r="J45" s="1710">
        <v>3.0</v>
      </c>
      <c r="K45" s="1711">
        <v>1.0</v>
      </c>
      <c r="L45" s="549">
        <v>2.0</v>
      </c>
      <c r="M45" s="549">
        <v>0.0</v>
      </c>
      <c r="N45" s="1167"/>
      <c r="O45" s="1710">
        <v>2.0</v>
      </c>
      <c r="P45" s="1167"/>
      <c r="Q45" s="549">
        <v>2.0</v>
      </c>
      <c r="R45" s="549">
        <v>1.0</v>
      </c>
      <c r="S45" s="549">
        <v>1.0</v>
      </c>
      <c r="T45" s="549">
        <v>3.0</v>
      </c>
      <c r="U45" s="549">
        <v>1.0</v>
      </c>
      <c r="V45" s="549">
        <v>4.0</v>
      </c>
      <c r="W45" s="1701">
        <v>5.0</v>
      </c>
      <c r="X45" s="548">
        <v>3.0</v>
      </c>
      <c r="Y45" s="548">
        <v>2.0</v>
      </c>
      <c r="Z45" s="548">
        <v>1.0</v>
      </c>
      <c r="AA45" s="1701">
        <v>1.0</v>
      </c>
      <c r="AB45" s="1701">
        <v>1.0</v>
      </c>
      <c r="AC45" s="1701">
        <v>3.0</v>
      </c>
      <c r="AD45" s="1701"/>
      <c r="AE45" s="1701">
        <v>1.0</v>
      </c>
      <c r="AF45" s="1701">
        <v>1.0</v>
      </c>
      <c r="AG45" s="1701">
        <v>0.0</v>
      </c>
      <c r="AH45" s="1701">
        <v>1.0</v>
      </c>
      <c r="AI45" s="1701">
        <v>3.0</v>
      </c>
      <c r="AJ45" s="1701">
        <v>6.0</v>
      </c>
      <c r="AK45" s="1701">
        <v>3.0</v>
      </c>
      <c r="AL45" s="1701">
        <v>3.0</v>
      </c>
      <c r="AM45" s="1728">
        <v>2.0</v>
      </c>
      <c r="AN45" s="549">
        <v>1.0</v>
      </c>
      <c r="AO45" s="549">
        <v>4.0</v>
      </c>
      <c r="AP45" s="549">
        <v>0.0</v>
      </c>
      <c r="AQ45" s="549">
        <v>4.0</v>
      </c>
      <c r="AR45" s="549">
        <v>0.0</v>
      </c>
      <c r="AS45" s="549"/>
      <c r="AT45" s="549">
        <v>3.0</v>
      </c>
      <c r="AU45" s="549"/>
      <c r="AV45" s="549"/>
      <c r="AW45" s="549"/>
      <c r="AX45" s="549"/>
      <c r="AY45" s="549"/>
      <c r="AZ45" s="549"/>
      <c r="BA45" s="549">
        <f t="shared" si="2"/>
        <v>82</v>
      </c>
      <c r="BB45" s="549"/>
    </row>
    <row r="46">
      <c r="A46" s="1687" t="s">
        <v>6987</v>
      </c>
      <c r="B46" s="1634">
        <v>264.0</v>
      </c>
      <c r="C46" s="1594" t="s">
        <v>6884</v>
      </c>
      <c r="D46" s="1701">
        <v>2.0</v>
      </c>
      <c r="E46" s="1701">
        <v>1.0</v>
      </c>
      <c r="F46" s="1701">
        <v>2.0</v>
      </c>
      <c r="G46" s="1701">
        <v>1.0</v>
      </c>
      <c r="H46" s="549">
        <v>0.0</v>
      </c>
      <c r="I46" s="1710">
        <v>3.0</v>
      </c>
      <c r="J46" s="1710">
        <v>2.0</v>
      </c>
      <c r="K46" s="1711">
        <v>4.0</v>
      </c>
      <c r="L46" s="549">
        <v>0.0</v>
      </c>
      <c r="M46" s="549">
        <v>0.0</v>
      </c>
      <c r="N46" s="1167"/>
      <c r="O46" s="1710">
        <v>1.0</v>
      </c>
      <c r="P46" s="1167"/>
      <c r="Q46" s="549">
        <v>0.0</v>
      </c>
      <c r="R46" s="549">
        <v>1.0</v>
      </c>
      <c r="S46" s="549">
        <v>2.0</v>
      </c>
      <c r="T46" s="549">
        <v>0.0</v>
      </c>
      <c r="U46" s="549">
        <v>0.0</v>
      </c>
      <c r="V46" s="549">
        <v>0.0</v>
      </c>
      <c r="W46" s="1701">
        <v>0.0</v>
      </c>
      <c r="X46" s="548">
        <v>3.0</v>
      </c>
      <c r="Y46" s="548">
        <v>1.0</v>
      </c>
      <c r="Z46" s="548">
        <v>1.0</v>
      </c>
      <c r="AA46" s="1701">
        <v>1.0</v>
      </c>
      <c r="AB46" s="1701">
        <v>1.0</v>
      </c>
      <c r="AC46" s="1701">
        <v>3.0</v>
      </c>
      <c r="AD46" s="1701"/>
      <c r="AE46" s="1701">
        <v>1.0</v>
      </c>
      <c r="AF46" s="1701">
        <v>2.0</v>
      </c>
      <c r="AG46" s="1701">
        <v>0.0</v>
      </c>
      <c r="AH46" s="1701">
        <v>3.0</v>
      </c>
      <c r="AI46" s="1701">
        <v>0.0</v>
      </c>
      <c r="AJ46" s="1701">
        <v>1.0</v>
      </c>
      <c r="AK46" s="1701">
        <v>1.0</v>
      </c>
      <c r="AL46" s="1701">
        <v>1.0</v>
      </c>
      <c r="AM46" s="1728">
        <v>1.0</v>
      </c>
      <c r="AN46" s="549">
        <v>2.0</v>
      </c>
      <c r="AO46" s="549">
        <v>1.0</v>
      </c>
      <c r="AP46" s="549">
        <v>0.0</v>
      </c>
      <c r="AQ46" s="549">
        <v>0.0</v>
      </c>
      <c r="AR46" s="549">
        <v>0.0</v>
      </c>
      <c r="AS46" s="549"/>
      <c r="AT46" s="549">
        <v>0.0</v>
      </c>
      <c r="AU46" s="549"/>
      <c r="AV46" s="549"/>
      <c r="AW46" s="549"/>
      <c r="AX46" s="549"/>
      <c r="AY46" s="549"/>
      <c r="AZ46" s="549"/>
      <c r="BA46" s="549">
        <f t="shared" si="2"/>
        <v>42</v>
      </c>
      <c r="BB46" s="549"/>
    </row>
    <row r="47">
      <c r="A47" s="1687" t="s">
        <v>6987</v>
      </c>
      <c r="B47" s="1634">
        <v>267.0</v>
      </c>
      <c r="C47" s="1594" t="s">
        <v>6884</v>
      </c>
      <c r="D47" s="1701">
        <v>0.0</v>
      </c>
      <c r="E47" s="1701">
        <v>0.0</v>
      </c>
      <c r="F47" s="1701">
        <v>4.0</v>
      </c>
      <c r="G47" s="1701">
        <v>2.0</v>
      </c>
      <c r="H47" s="549">
        <v>2.0</v>
      </c>
      <c r="I47" s="1710">
        <v>1.0</v>
      </c>
      <c r="J47" s="1710">
        <v>3.0</v>
      </c>
      <c r="K47" s="1711">
        <v>1.0</v>
      </c>
      <c r="L47" s="549">
        <v>0.0</v>
      </c>
      <c r="M47" s="549">
        <v>0.0</v>
      </c>
      <c r="N47" s="549">
        <v>1.0</v>
      </c>
      <c r="O47" s="1710">
        <v>4.0</v>
      </c>
      <c r="P47" s="1167"/>
      <c r="Q47" s="549">
        <v>0.0</v>
      </c>
      <c r="R47" s="549">
        <v>1.0</v>
      </c>
      <c r="S47" s="549">
        <v>1.0</v>
      </c>
      <c r="T47" s="549">
        <v>3.0</v>
      </c>
      <c r="U47" s="549">
        <v>2.0</v>
      </c>
      <c r="V47" s="549">
        <v>2.0</v>
      </c>
      <c r="W47" s="1701">
        <v>2.0</v>
      </c>
      <c r="X47" s="548">
        <v>0.0</v>
      </c>
      <c r="Y47" s="548">
        <v>1.0</v>
      </c>
      <c r="Z47" s="548">
        <v>3.0</v>
      </c>
      <c r="AA47" s="1701">
        <v>1.0</v>
      </c>
      <c r="AB47" s="1701">
        <v>0.0</v>
      </c>
      <c r="AC47" s="1701">
        <v>3.0</v>
      </c>
      <c r="AD47" s="1701"/>
      <c r="AE47" s="1701">
        <v>0.0</v>
      </c>
      <c r="AF47" s="1701">
        <v>0.0</v>
      </c>
      <c r="AG47" s="1701">
        <v>0.0</v>
      </c>
      <c r="AH47" s="1701">
        <v>1.0</v>
      </c>
      <c r="AI47" s="1701">
        <v>3.0</v>
      </c>
      <c r="AJ47" s="1701">
        <v>1.0</v>
      </c>
      <c r="AK47" s="1701">
        <v>2.0</v>
      </c>
      <c r="AL47" s="1701">
        <v>1.0</v>
      </c>
      <c r="AM47" s="1701">
        <v>2.0</v>
      </c>
      <c r="AN47" s="549">
        <v>2.0</v>
      </c>
      <c r="AO47" s="549">
        <v>0.0</v>
      </c>
      <c r="AP47" s="549">
        <v>0.0</v>
      </c>
      <c r="AQ47" s="549">
        <v>4.0</v>
      </c>
      <c r="AR47" s="549">
        <v>5.0</v>
      </c>
      <c r="AS47" s="549"/>
      <c r="AT47" s="549">
        <v>0.0</v>
      </c>
      <c r="AU47" s="549"/>
      <c r="AV47" s="549"/>
      <c r="AW47" s="549"/>
      <c r="AX47" s="549"/>
      <c r="AY47" s="549"/>
      <c r="AZ47" s="549"/>
      <c r="BA47" s="549">
        <f t="shared" si="2"/>
        <v>58</v>
      </c>
      <c r="BB47" s="549"/>
    </row>
    <row r="48">
      <c r="A48" s="1714" t="s">
        <v>6987</v>
      </c>
      <c r="B48" s="1715" t="s">
        <v>6913</v>
      </c>
      <c r="C48" s="1731" t="s">
        <v>6884</v>
      </c>
      <c r="D48" s="1732">
        <v>2.0</v>
      </c>
      <c r="E48" s="1732">
        <v>2.0</v>
      </c>
      <c r="F48" s="1732">
        <v>2.0</v>
      </c>
      <c r="G48" s="1732">
        <v>8.0</v>
      </c>
      <c r="H48" s="1721">
        <v>13.0</v>
      </c>
      <c r="I48" s="1719">
        <v>9.0</v>
      </c>
      <c r="J48" s="1733"/>
      <c r="K48" s="1720">
        <v>3.0</v>
      </c>
      <c r="L48" s="1721">
        <v>3.0</v>
      </c>
      <c r="M48" s="1721">
        <v>2.0</v>
      </c>
      <c r="N48" s="1721">
        <v>2.0</v>
      </c>
      <c r="O48" s="1722">
        <v>21.0</v>
      </c>
      <c r="P48" s="1721">
        <v>5.0</v>
      </c>
      <c r="Q48" s="1722"/>
      <c r="R48" s="1721">
        <v>6.0</v>
      </c>
      <c r="S48" s="1721">
        <v>7.0</v>
      </c>
      <c r="T48" s="1721">
        <v>20.0</v>
      </c>
      <c r="U48" s="1721">
        <v>8.0</v>
      </c>
      <c r="V48" s="1721">
        <v>5.0</v>
      </c>
      <c r="W48" s="1701">
        <v>8.0</v>
      </c>
      <c r="X48" s="548">
        <v>16.0</v>
      </c>
      <c r="Y48" s="548">
        <v>10.0</v>
      </c>
      <c r="Z48" s="548">
        <v>10.0</v>
      </c>
      <c r="AA48" s="1701">
        <v>2.0</v>
      </c>
      <c r="AB48" s="1701">
        <v>4.0</v>
      </c>
      <c r="AC48" s="1701">
        <v>17.0</v>
      </c>
      <c r="AD48" s="1701"/>
      <c r="AE48" s="1701">
        <v>10.0</v>
      </c>
      <c r="AF48" s="1701">
        <v>0.0</v>
      </c>
      <c r="AG48" s="1701">
        <v>0.0</v>
      </c>
      <c r="AH48" s="1701">
        <v>0.0</v>
      </c>
      <c r="AI48" s="1701">
        <v>22.0</v>
      </c>
      <c r="AJ48" s="1701">
        <v>9.0</v>
      </c>
      <c r="AK48" s="1701">
        <v>23.0</v>
      </c>
      <c r="AL48" s="1701">
        <v>7.0</v>
      </c>
      <c r="AM48" s="1701">
        <v>9.0</v>
      </c>
      <c r="AN48" s="1723">
        <v>24.0</v>
      </c>
      <c r="AO48" s="1723">
        <v>18.0</v>
      </c>
      <c r="AP48" s="1723">
        <v>20.0</v>
      </c>
      <c r="AQ48" s="1723">
        <v>0.0</v>
      </c>
      <c r="AR48" s="1723">
        <v>20.0</v>
      </c>
      <c r="AS48" s="1723">
        <v>20.0</v>
      </c>
      <c r="AT48" s="1723">
        <v>0.0</v>
      </c>
      <c r="AU48" s="1723"/>
      <c r="AV48" s="1723"/>
      <c r="AW48" s="1723"/>
      <c r="AX48" s="1723"/>
      <c r="AY48" s="1723"/>
      <c r="AZ48" s="1723"/>
      <c r="BA48" s="549">
        <f t="shared" si="2"/>
        <v>367</v>
      </c>
      <c r="BB48" s="1723" t="s">
        <v>6990</v>
      </c>
    </row>
    <row r="49">
      <c r="A49" s="1714" t="s">
        <v>6987</v>
      </c>
      <c r="B49" s="1715" t="s">
        <v>6914</v>
      </c>
      <c r="C49" s="1731" t="s">
        <v>6884</v>
      </c>
      <c r="D49" s="1732">
        <v>16.0</v>
      </c>
      <c r="E49" s="1732">
        <v>0.0</v>
      </c>
      <c r="F49" s="1732">
        <v>10.0</v>
      </c>
      <c r="G49" s="1732">
        <v>0.0</v>
      </c>
      <c r="H49" s="1721">
        <v>0.0</v>
      </c>
      <c r="I49" s="1719">
        <v>3.0</v>
      </c>
      <c r="J49" s="1719">
        <v>20.0</v>
      </c>
      <c r="K49" s="1720">
        <v>16.0</v>
      </c>
      <c r="L49" s="1721">
        <v>8.0</v>
      </c>
      <c r="M49" s="1721">
        <v>6.0</v>
      </c>
      <c r="N49" s="1721">
        <v>7.0</v>
      </c>
      <c r="O49" s="1722">
        <v>23.0</v>
      </c>
      <c r="P49" s="1721">
        <v>12.0</v>
      </c>
      <c r="Q49" s="1722"/>
      <c r="R49" s="1721">
        <v>14.0</v>
      </c>
      <c r="S49" s="1721">
        <v>16.0</v>
      </c>
      <c r="T49" s="1721">
        <v>19.0</v>
      </c>
      <c r="U49" s="1721">
        <v>17.0</v>
      </c>
      <c r="V49" s="1721">
        <v>22.0</v>
      </c>
      <c r="W49" s="1701">
        <v>9.0</v>
      </c>
      <c r="X49" s="548">
        <v>19.0</v>
      </c>
      <c r="Y49" s="548">
        <v>14.0</v>
      </c>
      <c r="Z49" s="548">
        <v>7.0</v>
      </c>
      <c r="AA49" s="1701">
        <v>0.0</v>
      </c>
      <c r="AB49" s="1701">
        <v>3.0</v>
      </c>
      <c r="AC49" s="1701">
        <v>8.0</v>
      </c>
      <c r="AD49" s="1701"/>
      <c r="AE49" s="1701">
        <v>4.0</v>
      </c>
      <c r="AF49" s="1701">
        <v>0.0</v>
      </c>
      <c r="AG49" s="1701">
        <v>0.0</v>
      </c>
      <c r="AH49" s="1701">
        <v>8.0</v>
      </c>
      <c r="AI49" s="1701">
        <v>15.0</v>
      </c>
      <c r="AJ49" s="1701">
        <v>15.0</v>
      </c>
      <c r="AK49" s="1701">
        <v>10.0</v>
      </c>
      <c r="AL49" s="1701">
        <v>10.0</v>
      </c>
      <c r="AM49" s="1701">
        <v>3.0</v>
      </c>
      <c r="AN49" s="1723">
        <v>7.0</v>
      </c>
      <c r="AO49" s="1723">
        <v>8.0</v>
      </c>
      <c r="AP49" s="1723">
        <v>20.0</v>
      </c>
      <c r="AQ49" s="1723">
        <v>0.0</v>
      </c>
      <c r="AR49" s="1723">
        <v>20.0</v>
      </c>
      <c r="AS49" s="1723">
        <v>0.0</v>
      </c>
      <c r="AT49" s="1723">
        <v>0.0</v>
      </c>
      <c r="AU49" s="1723"/>
      <c r="AV49" s="1723"/>
      <c r="AW49" s="1723"/>
      <c r="AX49" s="1723"/>
      <c r="AY49" s="1723"/>
      <c r="AZ49" s="1723"/>
      <c r="BA49" s="549">
        <f t="shared" si="2"/>
        <v>389</v>
      </c>
      <c r="BB49" s="1723" t="s">
        <v>6990</v>
      </c>
    </row>
    <row r="50">
      <c r="A50" s="1714" t="s">
        <v>6987</v>
      </c>
      <c r="B50" s="1715" t="s">
        <v>6915</v>
      </c>
      <c r="C50" s="1731" t="s">
        <v>6884</v>
      </c>
      <c r="D50" s="1732">
        <v>0.0</v>
      </c>
      <c r="E50" s="1732">
        <v>0.0</v>
      </c>
      <c r="F50" s="1732">
        <v>0.0</v>
      </c>
      <c r="G50" s="1732">
        <v>0.0</v>
      </c>
      <c r="H50" s="1721">
        <v>0.0</v>
      </c>
      <c r="I50" s="1719">
        <v>1.0</v>
      </c>
      <c r="J50" s="1719">
        <v>1.0</v>
      </c>
      <c r="K50" s="1720">
        <v>3.0</v>
      </c>
      <c r="L50" s="1721">
        <v>2.0</v>
      </c>
      <c r="M50" s="1721">
        <v>1.0</v>
      </c>
      <c r="N50" s="1721">
        <v>0.0</v>
      </c>
      <c r="O50" s="1722">
        <v>1.0</v>
      </c>
      <c r="P50" s="1721">
        <v>4.0</v>
      </c>
      <c r="Q50" s="1722"/>
      <c r="R50" s="1721">
        <v>5.0</v>
      </c>
      <c r="S50" s="1721">
        <v>9.0</v>
      </c>
      <c r="T50" s="1721">
        <v>4.0</v>
      </c>
      <c r="U50" s="1721">
        <v>5.0</v>
      </c>
      <c r="V50" s="1721">
        <v>2.0</v>
      </c>
      <c r="W50" s="1701">
        <v>4.0</v>
      </c>
      <c r="X50" s="548">
        <v>7.0</v>
      </c>
      <c r="Y50" s="548">
        <v>4.0</v>
      </c>
      <c r="Z50" s="548">
        <v>5.0</v>
      </c>
      <c r="AA50" s="1701">
        <v>0.0</v>
      </c>
      <c r="AB50" s="1701">
        <v>2.0</v>
      </c>
      <c r="AC50" s="1701">
        <v>7.0</v>
      </c>
      <c r="AD50" s="1701"/>
      <c r="AE50" s="1701">
        <v>2.0</v>
      </c>
      <c r="AF50" s="1701">
        <v>2.0</v>
      </c>
      <c r="AG50" s="1701">
        <v>0.0</v>
      </c>
      <c r="AH50" s="1701">
        <v>2.0</v>
      </c>
      <c r="AI50" s="1701">
        <v>3.0</v>
      </c>
      <c r="AJ50" s="1701">
        <v>4.0</v>
      </c>
      <c r="AK50" s="1701">
        <v>3.0</v>
      </c>
      <c r="AL50" s="1701">
        <v>6.0</v>
      </c>
      <c r="AM50" s="1701">
        <v>4.0</v>
      </c>
      <c r="AN50" s="1721">
        <v>6.0</v>
      </c>
      <c r="AO50" s="1721">
        <v>4.0</v>
      </c>
      <c r="AP50" s="1721">
        <v>0.0</v>
      </c>
      <c r="AQ50" s="1721">
        <v>5.0</v>
      </c>
      <c r="AR50" s="1721">
        <v>0.0</v>
      </c>
      <c r="AS50" s="1721">
        <v>0.0</v>
      </c>
      <c r="AT50" s="1721">
        <v>4.0</v>
      </c>
      <c r="AU50" s="1721"/>
      <c r="AV50" s="1721"/>
      <c r="AW50" s="1721"/>
      <c r="AX50" s="1721"/>
      <c r="AY50" s="1721"/>
      <c r="AZ50" s="1721"/>
      <c r="BA50" s="549">
        <f t="shared" si="2"/>
        <v>112</v>
      </c>
      <c r="BB50" s="1721"/>
    </row>
    <row r="51">
      <c r="A51" s="1724"/>
      <c r="B51" s="1550"/>
      <c r="C51" s="1550"/>
      <c r="D51" s="1725"/>
      <c r="E51" s="1725"/>
      <c r="F51" s="1725"/>
      <c r="G51" s="1725"/>
      <c r="H51" s="1167"/>
      <c r="I51" s="1725"/>
      <c r="J51" s="1725"/>
      <c r="K51" s="1708"/>
      <c r="L51" s="1725"/>
      <c r="M51" s="1725"/>
      <c r="N51" s="1725"/>
      <c r="O51" s="1725"/>
      <c r="P51" s="1725"/>
      <c r="Q51" s="1725"/>
      <c r="R51" s="1725"/>
      <c r="S51" s="1725"/>
      <c r="T51" s="1725"/>
      <c r="U51" s="1725"/>
      <c r="V51" s="1725"/>
      <c r="W51" s="1725"/>
      <c r="X51" s="280"/>
      <c r="Y51" s="280"/>
      <c r="Z51" s="280"/>
      <c r="AA51" s="1725"/>
      <c r="AB51" s="1725"/>
      <c r="AC51" s="1725"/>
      <c r="AD51" s="1725"/>
      <c r="AE51" s="1725"/>
      <c r="AF51" s="1725"/>
      <c r="AG51" s="1725"/>
      <c r="AH51" s="1725"/>
      <c r="AI51" s="1725"/>
      <c r="AJ51" s="1725"/>
      <c r="AK51" s="1725"/>
      <c r="AL51" s="1725"/>
      <c r="AM51" s="1725"/>
      <c r="AN51" s="549"/>
      <c r="AO51" s="549"/>
      <c r="AP51" s="549"/>
      <c r="AQ51" s="549"/>
      <c r="AR51" s="549"/>
      <c r="AS51" s="549"/>
      <c r="AT51" s="549"/>
      <c r="AU51" s="549"/>
      <c r="AV51" s="549"/>
      <c r="AW51" s="549"/>
      <c r="AX51" s="549"/>
      <c r="AY51" s="549"/>
      <c r="AZ51" s="549"/>
      <c r="BA51" s="549"/>
      <c r="BB51" s="549"/>
    </row>
    <row r="52">
      <c r="A52" s="1724"/>
      <c r="B52" s="1550"/>
      <c r="C52" s="1550"/>
      <c r="D52" s="1725"/>
      <c r="E52" s="1725"/>
      <c r="F52" s="1725"/>
      <c r="G52" s="1725"/>
      <c r="H52" s="1167"/>
      <c r="I52" s="1725"/>
      <c r="J52" s="1725"/>
      <c r="K52" s="1708"/>
      <c r="L52" s="1725"/>
      <c r="M52" s="1725"/>
      <c r="N52" s="1725"/>
      <c r="O52" s="1725"/>
      <c r="P52" s="1725"/>
      <c r="Q52" s="1725"/>
      <c r="R52" s="1725"/>
      <c r="S52" s="1725"/>
      <c r="T52" s="1725"/>
      <c r="U52" s="1725"/>
      <c r="V52" s="1725"/>
      <c r="W52" s="1725"/>
      <c r="X52" s="280"/>
      <c r="Y52" s="280"/>
      <c r="Z52" s="280"/>
      <c r="AA52" s="1725"/>
      <c r="AB52" s="1725"/>
      <c r="AC52" s="1725"/>
      <c r="AD52" s="1725"/>
      <c r="AE52" s="1725"/>
      <c r="AF52" s="1725"/>
      <c r="AG52" s="1725"/>
      <c r="AH52" s="1725"/>
      <c r="AI52" s="1725"/>
      <c r="AJ52" s="1725"/>
      <c r="AK52" s="1725"/>
      <c r="AL52" s="1725"/>
      <c r="AM52" s="1725"/>
      <c r="AN52" s="549"/>
      <c r="AO52" s="549"/>
      <c r="AP52" s="549"/>
      <c r="AQ52" s="549"/>
      <c r="AR52" s="549"/>
      <c r="AS52" s="549"/>
      <c r="AT52" s="549"/>
      <c r="AU52" s="549"/>
      <c r="AV52" s="549"/>
      <c r="AW52" s="549"/>
      <c r="AX52" s="549"/>
      <c r="AY52" s="549"/>
      <c r="AZ52" s="549"/>
      <c r="BA52" s="549"/>
      <c r="BB52" s="549"/>
    </row>
    <row r="53">
      <c r="A53" s="1726"/>
      <c r="B53" s="1727" t="s">
        <v>6882</v>
      </c>
      <c r="D53" s="1725"/>
      <c r="E53" s="1725"/>
      <c r="F53" s="1725"/>
      <c r="G53" s="1725"/>
      <c r="H53" s="1167"/>
      <c r="I53" s="1725"/>
      <c r="J53" s="1725"/>
      <c r="K53" s="1708"/>
      <c r="L53" s="1725"/>
      <c r="M53" s="1725"/>
      <c r="N53" s="1725"/>
      <c r="O53" s="1725"/>
      <c r="P53" s="1725"/>
      <c r="Q53" s="1725"/>
      <c r="R53" s="1725"/>
      <c r="S53" s="1725"/>
      <c r="T53" s="1725"/>
      <c r="U53" s="1725"/>
      <c r="V53" s="1725"/>
      <c r="W53" s="1725"/>
      <c r="X53" s="280"/>
      <c r="Y53" s="280"/>
      <c r="Z53" s="280"/>
      <c r="AA53" s="1725"/>
      <c r="AB53" s="1725"/>
      <c r="AC53" s="1725"/>
      <c r="AD53" s="1725"/>
      <c r="AE53" s="1725"/>
      <c r="AF53" s="1725"/>
      <c r="AG53" s="1725"/>
      <c r="AH53" s="1725"/>
      <c r="AI53" s="1725"/>
      <c r="AJ53" s="1725"/>
      <c r="AK53" s="1725"/>
      <c r="AL53" s="1725"/>
      <c r="AM53" s="1725"/>
      <c r="AN53" s="549"/>
      <c r="AO53" s="549"/>
      <c r="AP53" s="549"/>
      <c r="AQ53" s="549"/>
      <c r="AR53" s="549"/>
      <c r="AS53" s="549"/>
      <c r="AT53" s="549"/>
      <c r="AU53" s="549"/>
      <c r="AV53" s="549"/>
      <c r="AW53" s="549"/>
      <c r="AX53" s="549"/>
      <c r="AY53" s="549"/>
      <c r="AZ53" s="549"/>
      <c r="BA53" s="549"/>
      <c r="BB53" s="549"/>
    </row>
    <row r="54">
      <c r="A54" s="1687" t="s">
        <v>6987</v>
      </c>
      <c r="B54" s="1634" t="s">
        <v>6888</v>
      </c>
      <c r="C54" s="1594" t="s">
        <v>6885</v>
      </c>
      <c r="D54" s="1701">
        <v>1.0</v>
      </c>
      <c r="E54" s="1701">
        <v>1.0</v>
      </c>
      <c r="F54" s="1701">
        <v>0.0</v>
      </c>
      <c r="G54" s="1701">
        <v>1.0</v>
      </c>
      <c r="H54" s="549">
        <v>1.0</v>
      </c>
      <c r="I54" s="1710">
        <v>0.0</v>
      </c>
      <c r="J54" s="1710">
        <v>2.0</v>
      </c>
      <c r="K54" s="1711">
        <v>0.0</v>
      </c>
      <c r="L54" s="549">
        <v>0.0</v>
      </c>
      <c r="M54" s="549">
        <v>1.0</v>
      </c>
      <c r="N54" s="549">
        <v>0.0</v>
      </c>
      <c r="O54" s="1710">
        <v>2.0</v>
      </c>
      <c r="P54" s="1167"/>
      <c r="Q54" s="549">
        <v>1.0</v>
      </c>
      <c r="R54" s="549">
        <v>1.0</v>
      </c>
      <c r="S54" s="549">
        <v>2.0</v>
      </c>
      <c r="T54" s="549">
        <v>2.0</v>
      </c>
      <c r="U54" s="549">
        <v>0.0</v>
      </c>
      <c r="V54" s="1701">
        <v>1.0</v>
      </c>
      <c r="W54" s="1701">
        <v>0.0</v>
      </c>
      <c r="X54" s="548">
        <v>1.0</v>
      </c>
      <c r="Y54" s="548">
        <v>1.0</v>
      </c>
      <c r="Z54" s="548">
        <v>0.0</v>
      </c>
      <c r="AA54" s="1701">
        <v>0.0</v>
      </c>
      <c r="AB54" s="1701">
        <v>1.0</v>
      </c>
      <c r="AC54" s="1701">
        <v>2.0</v>
      </c>
      <c r="AD54" s="1701"/>
      <c r="AE54" s="1701">
        <v>1.0</v>
      </c>
      <c r="AF54" s="1701">
        <v>1.0</v>
      </c>
      <c r="AG54" s="1701">
        <v>0.0</v>
      </c>
      <c r="AH54" s="1701">
        <v>0.0</v>
      </c>
      <c r="AI54" s="1701">
        <v>1.0</v>
      </c>
      <c r="AJ54" s="1701">
        <v>1.0</v>
      </c>
      <c r="AK54" s="1701">
        <v>1.0</v>
      </c>
      <c r="AL54" s="1701">
        <v>0.0</v>
      </c>
      <c r="AM54" s="1701">
        <v>0.0</v>
      </c>
      <c r="AN54" s="549">
        <v>1.0</v>
      </c>
      <c r="AO54" s="549">
        <v>0.0</v>
      </c>
      <c r="AP54" s="549">
        <v>0.0</v>
      </c>
      <c r="AQ54" s="549">
        <v>0.0</v>
      </c>
      <c r="AR54" s="549">
        <v>3.0</v>
      </c>
      <c r="AS54" s="549"/>
      <c r="AT54" s="549">
        <v>0.0</v>
      </c>
      <c r="AU54" s="549"/>
      <c r="AV54" s="549"/>
      <c r="AW54" s="549"/>
      <c r="AX54" s="549"/>
      <c r="AY54" s="549"/>
      <c r="AZ54" s="549"/>
      <c r="BA54" s="549">
        <f t="shared" ref="BA54:BA76" si="3">SUM(D54:AZ54)</f>
        <v>30</v>
      </c>
      <c r="BB54" s="549"/>
    </row>
    <row r="55">
      <c r="A55" s="1687" t="s">
        <v>6987</v>
      </c>
      <c r="B55" s="1634" t="s">
        <v>6889</v>
      </c>
      <c r="C55" s="1594" t="s">
        <v>6885</v>
      </c>
      <c r="D55" s="1701">
        <v>0.0</v>
      </c>
      <c r="E55" s="1701">
        <v>1.0</v>
      </c>
      <c r="F55" s="1701">
        <v>0.0</v>
      </c>
      <c r="G55" s="1701">
        <v>0.0</v>
      </c>
      <c r="H55" s="549">
        <v>1.0</v>
      </c>
      <c r="I55" s="1710">
        <v>0.0</v>
      </c>
      <c r="J55" s="1710">
        <v>0.0</v>
      </c>
      <c r="K55" s="1711">
        <v>0.0</v>
      </c>
      <c r="L55" s="549">
        <v>1.0</v>
      </c>
      <c r="M55" s="549">
        <v>0.0</v>
      </c>
      <c r="N55" s="549">
        <v>0.0</v>
      </c>
      <c r="O55" s="1710">
        <v>1.0</v>
      </c>
      <c r="P55" s="1167"/>
      <c r="Q55" s="549">
        <v>2.0</v>
      </c>
      <c r="R55" s="549">
        <v>0.0</v>
      </c>
      <c r="S55" s="549">
        <v>1.0</v>
      </c>
      <c r="T55" s="549">
        <v>0.0</v>
      </c>
      <c r="U55" s="549">
        <v>0.0</v>
      </c>
      <c r="V55" s="1701">
        <v>0.0</v>
      </c>
      <c r="W55" s="1701">
        <v>0.0</v>
      </c>
      <c r="X55" s="548">
        <v>1.0</v>
      </c>
      <c r="Y55" s="548">
        <v>0.0</v>
      </c>
      <c r="Z55" s="548">
        <v>0.0</v>
      </c>
      <c r="AA55" s="1701">
        <v>1.0</v>
      </c>
      <c r="AB55" s="1701">
        <v>0.0</v>
      </c>
      <c r="AC55" s="1701">
        <v>1.0</v>
      </c>
      <c r="AD55" s="1701"/>
      <c r="AE55" s="1701">
        <v>1.0</v>
      </c>
      <c r="AF55" s="1701">
        <v>0.0</v>
      </c>
      <c r="AG55" s="1701">
        <v>0.0</v>
      </c>
      <c r="AH55" s="1701">
        <v>0.0</v>
      </c>
      <c r="AI55" s="1701">
        <v>0.0</v>
      </c>
      <c r="AJ55" s="1701">
        <v>0.0</v>
      </c>
      <c r="AK55" s="1701">
        <v>2.0</v>
      </c>
      <c r="AL55" s="1701">
        <v>1.0</v>
      </c>
      <c r="AM55" s="1701">
        <v>0.0</v>
      </c>
      <c r="AN55" s="549">
        <v>1.0</v>
      </c>
      <c r="AO55" s="549">
        <v>0.0</v>
      </c>
      <c r="AP55" s="549">
        <v>0.0</v>
      </c>
      <c r="AQ55" s="549">
        <v>0.0</v>
      </c>
      <c r="AR55" s="549">
        <v>3.0</v>
      </c>
      <c r="AS55" s="549"/>
      <c r="AT55" s="549">
        <v>0.0</v>
      </c>
      <c r="AU55" s="549"/>
      <c r="AV55" s="549"/>
      <c r="AW55" s="549"/>
      <c r="AX55" s="549"/>
      <c r="AY55" s="549"/>
      <c r="AZ55" s="549"/>
      <c r="BA55" s="549">
        <f t="shared" si="3"/>
        <v>18</v>
      </c>
      <c r="BB55" s="549"/>
    </row>
    <row r="56">
      <c r="A56" s="1687" t="s">
        <v>6987</v>
      </c>
      <c r="B56" s="1634" t="s">
        <v>6676</v>
      </c>
      <c r="C56" s="1594" t="s">
        <v>6885</v>
      </c>
      <c r="D56" s="1701">
        <v>0.0</v>
      </c>
      <c r="E56" s="1701">
        <v>2.0</v>
      </c>
      <c r="F56" s="1701">
        <v>0.0</v>
      </c>
      <c r="G56" s="1701">
        <v>2.0</v>
      </c>
      <c r="H56" s="549">
        <v>1.0</v>
      </c>
      <c r="I56" s="1710">
        <v>0.0</v>
      </c>
      <c r="J56" s="1710">
        <v>1.0</v>
      </c>
      <c r="K56" s="1711">
        <v>0.0</v>
      </c>
      <c r="L56" s="549">
        <v>1.0</v>
      </c>
      <c r="M56" s="549">
        <v>0.0</v>
      </c>
      <c r="N56" s="549">
        <v>0.0</v>
      </c>
      <c r="O56" s="1710">
        <v>1.0</v>
      </c>
      <c r="P56" s="1167"/>
      <c r="Q56" s="549">
        <v>2.0</v>
      </c>
      <c r="R56" s="549">
        <v>0.0</v>
      </c>
      <c r="S56" s="549">
        <v>1.0</v>
      </c>
      <c r="T56" s="549">
        <v>1.0</v>
      </c>
      <c r="U56" s="549">
        <v>2.0</v>
      </c>
      <c r="V56" s="1701">
        <v>1.0</v>
      </c>
      <c r="W56" s="1701">
        <v>1.0</v>
      </c>
      <c r="X56" s="548">
        <v>3.0</v>
      </c>
      <c r="Y56" s="548">
        <v>3.0</v>
      </c>
      <c r="Z56" s="548">
        <v>0.0</v>
      </c>
      <c r="AA56" s="1701">
        <v>0.0</v>
      </c>
      <c r="AB56" s="1701">
        <v>0.0</v>
      </c>
      <c r="AC56" s="1701">
        <v>1.0</v>
      </c>
      <c r="AD56" s="1701"/>
      <c r="AE56" s="1701">
        <v>2.0</v>
      </c>
      <c r="AF56" s="1701">
        <v>2.0</v>
      </c>
      <c r="AG56" s="1701">
        <v>0.0</v>
      </c>
      <c r="AH56" s="1701">
        <v>1.0</v>
      </c>
      <c r="AI56" s="1701">
        <v>0.0</v>
      </c>
      <c r="AJ56" s="1701">
        <v>2.0</v>
      </c>
      <c r="AK56" s="1701">
        <v>1.0</v>
      </c>
      <c r="AL56" s="1701">
        <v>0.0</v>
      </c>
      <c r="AM56" s="1701">
        <v>1.0</v>
      </c>
      <c r="AN56" s="549">
        <v>1.0</v>
      </c>
      <c r="AO56" s="549">
        <v>1.0</v>
      </c>
      <c r="AP56" s="549">
        <v>3.0</v>
      </c>
      <c r="AQ56" s="549">
        <v>0.0</v>
      </c>
      <c r="AR56" s="549">
        <v>3.0</v>
      </c>
      <c r="AS56" s="549"/>
      <c r="AT56" s="549">
        <v>3.0</v>
      </c>
      <c r="AU56" s="549"/>
      <c r="AV56" s="549"/>
      <c r="AW56" s="549"/>
      <c r="AX56" s="549"/>
      <c r="AY56" s="549"/>
      <c r="AZ56" s="549"/>
      <c r="BA56" s="549">
        <f t="shared" si="3"/>
        <v>43</v>
      </c>
      <c r="BB56" s="549"/>
    </row>
    <row r="57">
      <c r="A57" s="1687" t="s">
        <v>6987</v>
      </c>
      <c r="B57" s="1634" t="s">
        <v>6891</v>
      </c>
      <c r="C57" s="1594" t="s">
        <v>6885</v>
      </c>
      <c r="D57" s="1701">
        <v>0.0</v>
      </c>
      <c r="E57" s="1701">
        <v>1.0</v>
      </c>
      <c r="F57" s="1701">
        <v>2.0</v>
      </c>
      <c r="G57" s="1701">
        <v>0.0</v>
      </c>
      <c r="H57" s="549">
        <v>1.0</v>
      </c>
      <c r="I57" s="1710">
        <v>0.0</v>
      </c>
      <c r="J57" s="1710">
        <v>3.0</v>
      </c>
      <c r="K57" s="1711">
        <v>1.0</v>
      </c>
      <c r="L57" s="549">
        <v>0.0</v>
      </c>
      <c r="M57" s="549">
        <v>0.0</v>
      </c>
      <c r="N57" s="549">
        <v>2.0</v>
      </c>
      <c r="O57" s="1710">
        <v>2.0</v>
      </c>
      <c r="P57" s="1167"/>
      <c r="Q57" s="549">
        <v>0.0</v>
      </c>
      <c r="R57" s="549">
        <v>1.0</v>
      </c>
      <c r="S57" s="549">
        <v>0.0</v>
      </c>
      <c r="T57" s="549">
        <v>3.0</v>
      </c>
      <c r="U57" s="549">
        <v>0.0</v>
      </c>
      <c r="V57" s="1701">
        <v>0.0</v>
      </c>
      <c r="W57" s="1701">
        <v>3.0</v>
      </c>
      <c r="X57" s="548">
        <v>2.0</v>
      </c>
      <c r="Y57" s="548">
        <v>0.0</v>
      </c>
      <c r="Z57" s="548">
        <v>0.0</v>
      </c>
      <c r="AA57" s="1701">
        <v>1.0</v>
      </c>
      <c r="AB57" s="1701">
        <v>1.0</v>
      </c>
      <c r="AC57" s="1701">
        <v>0.0</v>
      </c>
      <c r="AD57" s="1701"/>
      <c r="AE57" s="1701">
        <v>1.0</v>
      </c>
      <c r="AF57" s="1701">
        <v>1.0</v>
      </c>
      <c r="AG57" s="1701">
        <v>0.0</v>
      </c>
      <c r="AH57" s="1701">
        <v>0.0</v>
      </c>
      <c r="AI57" s="1701">
        <v>0.0</v>
      </c>
      <c r="AJ57" s="1701">
        <v>0.0</v>
      </c>
      <c r="AK57" s="1701">
        <v>0.0</v>
      </c>
      <c r="AL57" s="1701">
        <v>1.0</v>
      </c>
      <c r="AM57" s="1701">
        <v>0.0</v>
      </c>
      <c r="AN57" s="549">
        <v>0.0</v>
      </c>
      <c r="AO57" s="549">
        <v>0.0</v>
      </c>
      <c r="AP57" s="549">
        <v>0.0</v>
      </c>
      <c r="AQ57" s="549">
        <v>0.0</v>
      </c>
      <c r="AR57" s="549">
        <v>0.0</v>
      </c>
      <c r="AS57" s="549"/>
      <c r="AT57" s="549">
        <v>0.0</v>
      </c>
      <c r="AU57" s="549"/>
      <c r="AV57" s="549"/>
      <c r="AW57" s="549"/>
      <c r="AX57" s="549"/>
      <c r="AY57" s="549"/>
      <c r="AZ57" s="549"/>
      <c r="BA57" s="549">
        <f t="shared" si="3"/>
        <v>26</v>
      </c>
      <c r="BB57" s="549"/>
    </row>
    <row r="58">
      <c r="A58" s="1687" t="s">
        <v>6987</v>
      </c>
      <c r="B58" s="1634" t="s">
        <v>6892</v>
      </c>
      <c r="C58" s="1594" t="s">
        <v>6885</v>
      </c>
      <c r="D58" s="1701">
        <v>0.0</v>
      </c>
      <c r="E58" s="1701">
        <v>0.0</v>
      </c>
      <c r="F58" s="1701">
        <v>0.0</v>
      </c>
      <c r="G58" s="1701">
        <v>0.0</v>
      </c>
      <c r="H58" s="549">
        <v>0.0</v>
      </c>
      <c r="I58" s="1710">
        <v>0.0</v>
      </c>
      <c r="J58" s="1710">
        <v>0.0</v>
      </c>
      <c r="K58" s="1711">
        <v>0.0</v>
      </c>
      <c r="L58" s="549">
        <v>0.0</v>
      </c>
      <c r="M58" s="549">
        <v>0.0</v>
      </c>
      <c r="N58" s="549">
        <v>0.0</v>
      </c>
      <c r="O58" s="1710">
        <v>0.0</v>
      </c>
      <c r="P58" s="1167"/>
      <c r="Q58" s="549">
        <v>0.0</v>
      </c>
      <c r="R58" s="549">
        <v>0.0</v>
      </c>
      <c r="S58" s="549">
        <v>0.0</v>
      </c>
      <c r="T58" s="549">
        <v>0.0</v>
      </c>
      <c r="U58" s="549">
        <v>0.0</v>
      </c>
      <c r="V58" s="1701">
        <v>0.0</v>
      </c>
      <c r="W58" s="1701">
        <v>0.0</v>
      </c>
      <c r="X58" s="548">
        <v>0.0</v>
      </c>
      <c r="Y58" s="548">
        <v>0.0</v>
      </c>
      <c r="Z58" s="548">
        <v>0.0</v>
      </c>
      <c r="AA58" s="1701">
        <v>0.0</v>
      </c>
      <c r="AB58" s="1701">
        <v>0.0</v>
      </c>
      <c r="AC58" s="1701">
        <v>1.0</v>
      </c>
      <c r="AD58" s="1701"/>
      <c r="AE58" s="1701">
        <v>0.0</v>
      </c>
      <c r="AF58" s="1701">
        <v>0.0</v>
      </c>
      <c r="AG58" s="1701">
        <v>0.0</v>
      </c>
      <c r="AH58" s="1701">
        <v>0.0</v>
      </c>
      <c r="AI58" s="1701">
        <v>0.0</v>
      </c>
      <c r="AJ58" s="1701">
        <v>0.0</v>
      </c>
      <c r="AK58" s="1701">
        <v>0.0</v>
      </c>
      <c r="AL58" s="1701">
        <v>0.0</v>
      </c>
      <c r="AM58" s="1701">
        <v>1.0</v>
      </c>
      <c r="AN58" s="549">
        <v>0.0</v>
      </c>
      <c r="AO58" s="549">
        <v>0.0</v>
      </c>
      <c r="AP58" s="549">
        <v>0.0</v>
      </c>
      <c r="AQ58" s="549">
        <v>0.0</v>
      </c>
      <c r="AR58" s="549">
        <v>0.0</v>
      </c>
      <c r="AS58" s="549"/>
      <c r="AT58" s="549">
        <v>0.0</v>
      </c>
      <c r="AU58" s="549"/>
      <c r="AV58" s="549"/>
      <c r="AW58" s="549"/>
      <c r="AX58" s="549"/>
      <c r="AY58" s="549"/>
      <c r="AZ58" s="549"/>
      <c r="BA58" s="549">
        <f t="shared" si="3"/>
        <v>2</v>
      </c>
      <c r="BB58" s="549" t="s">
        <v>6988</v>
      </c>
    </row>
    <row r="59">
      <c r="A59" s="1687" t="s">
        <v>6987</v>
      </c>
      <c r="B59" s="1634" t="s">
        <v>6894</v>
      </c>
      <c r="C59" s="1594" t="s">
        <v>6885</v>
      </c>
      <c r="D59" s="1701">
        <v>2.0</v>
      </c>
      <c r="E59" s="1701">
        <v>2.0</v>
      </c>
      <c r="F59" s="1701">
        <v>0.0</v>
      </c>
      <c r="G59" s="1701">
        <v>1.0</v>
      </c>
      <c r="H59" s="549">
        <v>2.0</v>
      </c>
      <c r="I59" s="1710">
        <v>0.0</v>
      </c>
      <c r="J59" s="1710">
        <v>0.0</v>
      </c>
      <c r="K59" s="1711">
        <v>0.0</v>
      </c>
      <c r="L59" s="549">
        <v>2.0</v>
      </c>
      <c r="M59" s="549">
        <v>1.0</v>
      </c>
      <c r="N59" s="549">
        <v>2.0</v>
      </c>
      <c r="O59" s="1710">
        <v>1.0</v>
      </c>
      <c r="P59" s="1167"/>
      <c r="Q59" s="549">
        <v>4.0</v>
      </c>
      <c r="R59" s="549">
        <v>3.0</v>
      </c>
      <c r="S59" s="549">
        <v>3.0</v>
      </c>
      <c r="T59" s="549">
        <v>0.0</v>
      </c>
      <c r="U59" s="549">
        <v>0.0</v>
      </c>
      <c r="V59" s="1701">
        <v>0.0</v>
      </c>
      <c r="W59" s="1701">
        <v>0.0</v>
      </c>
      <c r="X59" s="548">
        <v>0.0</v>
      </c>
      <c r="Y59" s="548">
        <v>2.0</v>
      </c>
      <c r="Z59" s="548">
        <v>2.0</v>
      </c>
      <c r="AA59" s="1701">
        <v>1.0</v>
      </c>
      <c r="AB59" s="1701">
        <v>1.0</v>
      </c>
      <c r="AC59" s="1701">
        <v>1.0</v>
      </c>
      <c r="AD59" s="1701"/>
      <c r="AE59" s="1701">
        <v>2.0</v>
      </c>
      <c r="AF59" s="1701">
        <v>2.0</v>
      </c>
      <c r="AG59" s="1701">
        <v>0.0</v>
      </c>
      <c r="AH59" s="1701">
        <v>2.0</v>
      </c>
      <c r="AI59" s="1701">
        <v>0.0</v>
      </c>
      <c r="AJ59" s="1701">
        <v>0.0</v>
      </c>
      <c r="AK59" s="1701">
        <v>3.0</v>
      </c>
      <c r="AL59" s="1701">
        <v>0.0</v>
      </c>
      <c r="AM59" s="1701">
        <v>5.0</v>
      </c>
      <c r="AN59" s="549">
        <v>1.0</v>
      </c>
      <c r="AO59" s="549">
        <v>3.0</v>
      </c>
      <c r="AP59" s="549">
        <v>20.0</v>
      </c>
      <c r="AQ59" s="549">
        <v>0.0</v>
      </c>
      <c r="AR59" s="549">
        <v>0.0</v>
      </c>
      <c r="AS59" s="549"/>
      <c r="AT59" s="549">
        <v>3.0</v>
      </c>
      <c r="AU59" s="549"/>
      <c r="AV59" s="549"/>
      <c r="AW59" s="549"/>
      <c r="AX59" s="549"/>
      <c r="AY59" s="549"/>
      <c r="AZ59" s="549"/>
      <c r="BA59" s="549">
        <f t="shared" si="3"/>
        <v>71</v>
      </c>
      <c r="BB59" s="549"/>
    </row>
    <row r="60">
      <c r="A60" s="1687" t="s">
        <v>6987</v>
      </c>
      <c r="B60" s="1634" t="s">
        <v>6896</v>
      </c>
      <c r="C60" s="1594" t="s">
        <v>6885</v>
      </c>
      <c r="D60" s="1701">
        <v>0.0</v>
      </c>
      <c r="E60" s="1701">
        <v>3.0</v>
      </c>
      <c r="F60" s="1701">
        <v>4.0</v>
      </c>
      <c r="G60" s="1701">
        <v>3.0</v>
      </c>
      <c r="H60" s="549">
        <v>0.0</v>
      </c>
      <c r="I60" s="1710">
        <v>0.0</v>
      </c>
      <c r="J60" s="1710">
        <v>2.0</v>
      </c>
      <c r="K60" s="1711">
        <v>1.0</v>
      </c>
      <c r="L60" s="549">
        <v>3.0</v>
      </c>
      <c r="M60" s="549">
        <v>1.0</v>
      </c>
      <c r="N60" s="549">
        <v>0.0</v>
      </c>
      <c r="O60" s="1710">
        <v>0.0</v>
      </c>
      <c r="P60" s="1167"/>
      <c r="Q60" s="549">
        <v>4.0</v>
      </c>
      <c r="R60" s="549">
        <v>3.0</v>
      </c>
      <c r="S60" s="549">
        <v>3.0</v>
      </c>
      <c r="T60" s="549">
        <v>5.0</v>
      </c>
      <c r="U60" s="549">
        <v>2.0</v>
      </c>
      <c r="V60" s="1701">
        <v>1.0</v>
      </c>
      <c r="W60" s="1701">
        <v>1.0</v>
      </c>
      <c r="X60" s="548">
        <v>1.0</v>
      </c>
      <c r="Y60" s="548">
        <v>0.0</v>
      </c>
      <c r="Z60" s="548">
        <v>1.0</v>
      </c>
      <c r="AA60" s="1701">
        <v>1.0</v>
      </c>
      <c r="AB60" s="1701">
        <v>1.0</v>
      </c>
      <c r="AC60" s="1701">
        <v>0.0</v>
      </c>
      <c r="AD60" s="1701"/>
      <c r="AE60" s="1701">
        <v>1.0</v>
      </c>
      <c r="AF60" s="1701">
        <v>1.0</v>
      </c>
      <c r="AG60" s="1701">
        <v>3.0</v>
      </c>
      <c r="AH60" s="1701">
        <v>3.0</v>
      </c>
      <c r="AI60" s="1701">
        <v>1.0</v>
      </c>
      <c r="AJ60" s="1701">
        <v>0.0</v>
      </c>
      <c r="AK60" s="1701">
        <v>6.0</v>
      </c>
      <c r="AL60" s="1701">
        <v>2.0</v>
      </c>
      <c r="AM60" s="1701">
        <v>0.0</v>
      </c>
      <c r="AN60" s="549">
        <v>0.0</v>
      </c>
      <c r="AO60" s="549">
        <v>0.0</v>
      </c>
      <c r="AP60" s="549">
        <v>0.0</v>
      </c>
      <c r="AQ60" s="549">
        <v>0.0</v>
      </c>
      <c r="AR60" s="549">
        <v>3.0</v>
      </c>
      <c r="AS60" s="549"/>
      <c r="AT60" s="549">
        <v>0.0</v>
      </c>
      <c r="AU60" s="549"/>
      <c r="AV60" s="549"/>
      <c r="AW60" s="549"/>
      <c r="AX60" s="549"/>
      <c r="AY60" s="549"/>
      <c r="AZ60" s="549"/>
      <c r="BA60" s="549">
        <f t="shared" si="3"/>
        <v>60</v>
      </c>
      <c r="BB60" s="549"/>
    </row>
    <row r="61">
      <c r="A61" s="1687" t="s">
        <v>6987</v>
      </c>
      <c r="B61" s="1634" t="s">
        <v>6897</v>
      </c>
      <c r="C61" s="1594" t="s">
        <v>6885</v>
      </c>
      <c r="D61" s="1701">
        <v>1.0</v>
      </c>
      <c r="E61" s="1701">
        <v>0.0</v>
      </c>
      <c r="F61" s="1701">
        <v>2.0</v>
      </c>
      <c r="G61" s="1701">
        <v>1.0</v>
      </c>
      <c r="H61" s="549">
        <v>1.0</v>
      </c>
      <c r="I61" s="1710">
        <v>0.0</v>
      </c>
      <c r="J61" s="1710">
        <v>2.0</v>
      </c>
      <c r="K61" s="1711">
        <v>0.0</v>
      </c>
      <c r="L61" s="549">
        <v>1.0</v>
      </c>
      <c r="M61" s="549">
        <v>1.0</v>
      </c>
      <c r="N61" s="549">
        <v>0.0</v>
      </c>
      <c r="O61" s="1710">
        <v>3.0</v>
      </c>
      <c r="P61" s="1167"/>
      <c r="Q61" s="549">
        <v>2.0</v>
      </c>
      <c r="R61" s="549">
        <v>0.0</v>
      </c>
      <c r="S61" s="549">
        <v>1.0</v>
      </c>
      <c r="T61" s="549">
        <v>2.0</v>
      </c>
      <c r="U61" s="549">
        <v>3.0</v>
      </c>
      <c r="V61" s="1701">
        <v>0.0</v>
      </c>
      <c r="W61" s="1701">
        <v>3.0</v>
      </c>
      <c r="X61" s="548">
        <v>4.0</v>
      </c>
      <c r="Y61" s="548">
        <v>1.0</v>
      </c>
      <c r="Z61" s="548">
        <v>0.0</v>
      </c>
      <c r="AA61" s="1701">
        <v>5.0</v>
      </c>
      <c r="AB61" s="1701">
        <v>1.0</v>
      </c>
      <c r="AC61" s="1701">
        <v>1.0</v>
      </c>
      <c r="AD61" s="1701"/>
      <c r="AE61" s="1701">
        <v>0.0</v>
      </c>
      <c r="AF61" s="1701">
        <v>1.0</v>
      </c>
      <c r="AG61" s="1701">
        <v>0.0</v>
      </c>
      <c r="AH61" s="1701">
        <v>1.0</v>
      </c>
      <c r="AI61" s="1701">
        <v>5.0</v>
      </c>
      <c r="AJ61" s="1701">
        <v>1.0</v>
      </c>
      <c r="AK61" s="1701">
        <v>2.0</v>
      </c>
      <c r="AL61" s="1701">
        <v>2.0</v>
      </c>
      <c r="AM61" s="1701">
        <v>2.0</v>
      </c>
      <c r="AN61" s="549">
        <v>1.0</v>
      </c>
      <c r="AO61" s="549">
        <v>1.0</v>
      </c>
      <c r="AP61" s="549">
        <v>0.0</v>
      </c>
      <c r="AQ61" s="549">
        <v>0.0</v>
      </c>
      <c r="AR61" s="549">
        <v>0.0</v>
      </c>
      <c r="AS61" s="549"/>
      <c r="AT61" s="549">
        <v>0.0</v>
      </c>
      <c r="AU61" s="549"/>
      <c r="AV61" s="549"/>
      <c r="AW61" s="549"/>
      <c r="AX61" s="549"/>
      <c r="AY61" s="549"/>
      <c r="AZ61" s="549"/>
      <c r="BA61" s="549">
        <f t="shared" si="3"/>
        <v>51</v>
      </c>
      <c r="BB61" s="549"/>
    </row>
    <row r="62">
      <c r="A62" s="1687" t="s">
        <v>6987</v>
      </c>
      <c r="B62" s="1634" t="s">
        <v>6898</v>
      </c>
      <c r="C62" s="1594" t="s">
        <v>6885</v>
      </c>
      <c r="D62" s="1701">
        <v>1.0</v>
      </c>
      <c r="E62" s="1701">
        <v>0.0</v>
      </c>
      <c r="F62" s="1701">
        <v>1.0</v>
      </c>
      <c r="G62" s="1701">
        <v>2.0</v>
      </c>
      <c r="H62" s="549">
        <v>1.0</v>
      </c>
      <c r="I62" s="1710">
        <v>0.0</v>
      </c>
      <c r="J62" s="1710">
        <v>3.0</v>
      </c>
      <c r="K62" s="1711">
        <v>2.0</v>
      </c>
      <c r="L62" s="549">
        <v>2.0</v>
      </c>
      <c r="M62" s="549">
        <v>0.0</v>
      </c>
      <c r="N62" s="549">
        <v>0.0</v>
      </c>
      <c r="O62" s="1710">
        <v>3.0</v>
      </c>
      <c r="P62" s="1167"/>
      <c r="Q62" s="549">
        <v>3.0</v>
      </c>
      <c r="R62" s="549">
        <v>1.0</v>
      </c>
      <c r="S62" s="549">
        <v>3.0</v>
      </c>
      <c r="T62" s="549">
        <v>5.0</v>
      </c>
      <c r="U62" s="549">
        <v>2.0</v>
      </c>
      <c r="V62" s="1701">
        <v>1.0</v>
      </c>
      <c r="W62" s="1701">
        <v>1.0</v>
      </c>
      <c r="X62" s="548">
        <v>1.0</v>
      </c>
      <c r="Y62" s="548">
        <v>0.0</v>
      </c>
      <c r="Z62" s="548">
        <v>3.0</v>
      </c>
      <c r="AA62" s="1701">
        <v>0.0</v>
      </c>
      <c r="AB62" s="1701">
        <v>0.0</v>
      </c>
      <c r="AC62" s="1701">
        <v>0.0</v>
      </c>
      <c r="AD62" s="1701"/>
      <c r="AE62" s="1701">
        <v>1.0</v>
      </c>
      <c r="AF62" s="1701">
        <v>2.0</v>
      </c>
      <c r="AG62" s="1701">
        <v>0.0</v>
      </c>
      <c r="AH62" s="1701">
        <v>1.0</v>
      </c>
      <c r="AI62" s="1701">
        <v>1.0</v>
      </c>
      <c r="AJ62" s="1701">
        <v>2.0</v>
      </c>
      <c r="AK62" s="1701">
        <v>1.0</v>
      </c>
      <c r="AL62" s="1701">
        <v>1.0</v>
      </c>
      <c r="AM62" s="1701">
        <v>0.0</v>
      </c>
      <c r="AN62" s="549">
        <v>0.0</v>
      </c>
      <c r="AO62" s="549">
        <v>1.0</v>
      </c>
      <c r="AP62" s="549">
        <v>0.0</v>
      </c>
      <c r="AQ62" s="549">
        <v>0.0</v>
      </c>
      <c r="AR62" s="549">
        <v>5.0</v>
      </c>
      <c r="AS62" s="549"/>
      <c r="AT62" s="549">
        <v>0.0</v>
      </c>
      <c r="AU62" s="549"/>
      <c r="AV62" s="549"/>
      <c r="AW62" s="549"/>
      <c r="AX62" s="549"/>
      <c r="AY62" s="549"/>
      <c r="AZ62" s="549"/>
      <c r="BA62" s="549">
        <f t="shared" si="3"/>
        <v>50</v>
      </c>
      <c r="BB62" s="549"/>
    </row>
    <row r="63">
      <c r="A63" s="1687" t="s">
        <v>6987</v>
      </c>
      <c r="B63" s="1634" t="s">
        <v>6899</v>
      </c>
      <c r="C63" s="1594" t="s">
        <v>6885</v>
      </c>
      <c r="D63" s="1701">
        <v>1.0</v>
      </c>
      <c r="E63" s="1701">
        <v>1.0</v>
      </c>
      <c r="F63" s="1701">
        <v>1.0</v>
      </c>
      <c r="G63" s="1701">
        <v>0.0</v>
      </c>
      <c r="H63" s="549">
        <v>2.0</v>
      </c>
      <c r="I63" s="1710">
        <v>0.0</v>
      </c>
      <c r="J63" s="1710">
        <v>2.0</v>
      </c>
      <c r="K63" s="1711">
        <v>1.0</v>
      </c>
      <c r="L63" s="549">
        <v>3.0</v>
      </c>
      <c r="M63" s="549">
        <v>1.0</v>
      </c>
      <c r="N63" s="549">
        <v>1.0</v>
      </c>
      <c r="O63" s="1710">
        <v>2.0</v>
      </c>
      <c r="P63" s="1167"/>
      <c r="Q63" s="549">
        <v>4.0</v>
      </c>
      <c r="R63" s="549">
        <v>5.0</v>
      </c>
      <c r="S63" s="549">
        <v>4.0</v>
      </c>
      <c r="T63" s="549">
        <v>3.0</v>
      </c>
      <c r="U63" s="549">
        <v>2.0</v>
      </c>
      <c r="V63" s="1701">
        <v>6.0</v>
      </c>
      <c r="W63" s="1701">
        <v>2.0</v>
      </c>
      <c r="X63" s="548">
        <v>2.0</v>
      </c>
      <c r="Y63" s="548">
        <v>1.0</v>
      </c>
      <c r="Z63" s="548">
        <v>1.0</v>
      </c>
      <c r="AA63" s="1701">
        <v>1.0</v>
      </c>
      <c r="AB63" s="1701">
        <v>0.0</v>
      </c>
      <c r="AC63" s="1701">
        <v>1.0</v>
      </c>
      <c r="AD63" s="1701"/>
      <c r="AE63" s="1701">
        <v>1.0</v>
      </c>
      <c r="AF63" s="1701">
        <v>1.0</v>
      </c>
      <c r="AG63" s="1701">
        <v>1.0</v>
      </c>
      <c r="AH63" s="1701">
        <v>3.0</v>
      </c>
      <c r="AI63" s="1701">
        <v>1.0</v>
      </c>
      <c r="AJ63" s="1701">
        <v>3.0</v>
      </c>
      <c r="AK63" s="1701">
        <v>4.0</v>
      </c>
      <c r="AL63" s="1701">
        <v>2.0</v>
      </c>
      <c r="AM63" s="1701">
        <v>5.0</v>
      </c>
      <c r="AN63" s="549">
        <v>2.0</v>
      </c>
      <c r="AO63" s="549">
        <v>0.0</v>
      </c>
      <c r="AP63" s="549">
        <v>0.0</v>
      </c>
      <c r="AQ63" s="549">
        <v>0.0</v>
      </c>
      <c r="AR63" s="549">
        <v>0.0</v>
      </c>
      <c r="AS63" s="549"/>
      <c r="AT63" s="549">
        <v>0.0</v>
      </c>
      <c r="AU63" s="549"/>
      <c r="AV63" s="549"/>
      <c r="AW63" s="549"/>
      <c r="AX63" s="549"/>
      <c r="AY63" s="549"/>
      <c r="AZ63" s="549"/>
      <c r="BA63" s="549">
        <f t="shared" si="3"/>
        <v>70</v>
      </c>
      <c r="BB63" s="549"/>
    </row>
    <row r="64">
      <c r="A64" s="1687" t="s">
        <v>6987</v>
      </c>
      <c r="B64" s="1634" t="s">
        <v>6900</v>
      </c>
      <c r="C64" s="1594" t="s">
        <v>6885</v>
      </c>
      <c r="D64" s="1701">
        <v>0.0</v>
      </c>
      <c r="E64" s="1701">
        <v>0.0</v>
      </c>
      <c r="F64" s="1701">
        <v>2.0</v>
      </c>
      <c r="G64" s="1701">
        <v>2.0</v>
      </c>
      <c r="H64" s="549">
        <v>1.0</v>
      </c>
      <c r="I64" s="1710">
        <v>0.0</v>
      </c>
      <c r="J64" s="1710">
        <v>0.0</v>
      </c>
      <c r="K64" s="1711">
        <v>1.0</v>
      </c>
      <c r="L64" s="549">
        <v>1.0</v>
      </c>
      <c r="M64" s="549">
        <v>0.0</v>
      </c>
      <c r="N64" s="549">
        <v>0.0</v>
      </c>
      <c r="O64" s="1710">
        <v>0.0</v>
      </c>
      <c r="P64" s="1167"/>
      <c r="Q64" s="549">
        <v>1.0</v>
      </c>
      <c r="R64" s="549">
        <v>0.0</v>
      </c>
      <c r="S64" s="549">
        <v>0.0</v>
      </c>
      <c r="T64" s="549">
        <v>2.0</v>
      </c>
      <c r="U64" s="549">
        <v>1.0</v>
      </c>
      <c r="V64" s="1701">
        <v>0.0</v>
      </c>
      <c r="W64" s="1701">
        <v>1.0</v>
      </c>
      <c r="X64" s="548">
        <v>2.0</v>
      </c>
      <c r="Y64" s="548">
        <v>0.0</v>
      </c>
      <c r="Z64" s="548">
        <v>0.0</v>
      </c>
      <c r="AA64" s="1701">
        <v>0.0</v>
      </c>
      <c r="AB64" s="1701">
        <v>0.0</v>
      </c>
      <c r="AC64" s="1701">
        <v>0.0</v>
      </c>
      <c r="AD64" s="1701"/>
      <c r="AE64" s="1701">
        <v>2.0</v>
      </c>
      <c r="AF64" s="1701">
        <v>0.0</v>
      </c>
      <c r="AG64" s="1701">
        <v>0.0</v>
      </c>
      <c r="AH64" s="1701">
        <v>1.0</v>
      </c>
      <c r="AI64" s="1701">
        <v>0.0</v>
      </c>
      <c r="AJ64" s="1701">
        <v>0.0</v>
      </c>
      <c r="AK64" s="1701">
        <v>2.0</v>
      </c>
      <c r="AL64" s="1701">
        <v>0.0</v>
      </c>
      <c r="AM64" s="1701">
        <v>0.0</v>
      </c>
      <c r="AN64" s="549">
        <v>0.0</v>
      </c>
      <c r="AO64" s="549">
        <v>0.0</v>
      </c>
      <c r="AP64" s="549">
        <v>0.0</v>
      </c>
      <c r="AQ64" s="549">
        <v>3.0</v>
      </c>
      <c r="AR64" s="549">
        <v>3.0</v>
      </c>
      <c r="AS64" s="549"/>
      <c r="AT64" s="549">
        <v>0.0</v>
      </c>
      <c r="AU64" s="549"/>
      <c r="AV64" s="549"/>
      <c r="AW64" s="549"/>
      <c r="AX64" s="549"/>
      <c r="AY64" s="549"/>
      <c r="AZ64" s="549"/>
      <c r="BA64" s="549">
        <f t="shared" si="3"/>
        <v>25</v>
      </c>
      <c r="BB64" s="549"/>
    </row>
    <row r="65">
      <c r="A65" s="1687" t="s">
        <v>6987</v>
      </c>
      <c r="B65" s="1634" t="s">
        <v>6901</v>
      </c>
      <c r="C65" s="1594" t="s">
        <v>6885</v>
      </c>
      <c r="D65" s="1701">
        <v>2.0</v>
      </c>
      <c r="E65" s="1701">
        <v>1.0</v>
      </c>
      <c r="F65" s="1701">
        <v>1.0</v>
      </c>
      <c r="G65" s="1701">
        <v>0.0</v>
      </c>
      <c r="H65" s="549">
        <v>1.0</v>
      </c>
      <c r="I65" s="1710">
        <v>1.0</v>
      </c>
      <c r="J65" s="1710">
        <v>1.0</v>
      </c>
      <c r="K65" s="1711">
        <v>4.0</v>
      </c>
      <c r="L65" s="549">
        <v>2.0</v>
      </c>
      <c r="M65" s="549">
        <v>0.0</v>
      </c>
      <c r="N65" s="549">
        <v>0.0</v>
      </c>
      <c r="O65" s="1710">
        <v>3.0</v>
      </c>
      <c r="P65" s="1167"/>
      <c r="Q65" s="549">
        <v>2.0</v>
      </c>
      <c r="R65" s="549">
        <v>0.0</v>
      </c>
      <c r="S65" s="549">
        <v>3.0</v>
      </c>
      <c r="T65" s="549">
        <v>2.0</v>
      </c>
      <c r="U65" s="549">
        <v>2.0</v>
      </c>
      <c r="V65" s="1701">
        <v>2.0</v>
      </c>
      <c r="W65" s="1701">
        <v>4.0</v>
      </c>
      <c r="X65" s="548">
        <v>1.0</v>
      </c>
      <c r="Y65" s="548">
        <v>2.0</v>
      </c>
      <c r="Z65" s="548">
        <v>3.0</v>
      </c>
      <c r="AA65" s="1701">
        <v>4.0</v>
      </c>
      <c r="AB65" s="1701">
        <v>2.0</v>
      </c>
      <c r="AC65" s="1701">
        <v>0.0</v>
      </c>
      <c r="AD65" s="1701"/>
      <c r="AE65" s="1701">
        <v>2.0</v>
      </c>
      <c r="AF65" s="1701">
        <v>0.0</v>
      </c>
      <c r="AG65" s="1701">
        <v>0.0</v>
      </c>
      <c r="AH65" s="1701">
        <v>4.0</v>
      </c>
      <c r="AI65" s="1701">
        <v>0.0</v>
      </c>
      <c r="AJ65" s="1701">
        <v>1.0</v>
      </c>
      <c r="AK65" s="1701">
        <v>3.0</v>
      </c>
      <c r="AL65" s="1701">
        <v>3.0</v>
      </c>
      <c r="AM65" s="1701">
        <v>0.0</v>
      </c>
      <c r="AN65" s="549">
        <v>0.0</v>
      </c>
      <c r="AO65" s="549">
        <v>1.0</v>
      </c>
      <c r="AP65" s="549">
        <v>0.0</v>
      </c>
      <c r="AQ65" s="549">
        <v>3.0</v>
      </c>
      <c r="AR65" s="549">
        <v>3.0</v>
      </c>
      <c r="AS65" s="549"/>
      <c r="AT65" s="549">
        <v>0.0</v>
      </c>
      <c r="AU65" s="549"/>
      <c r="AV65" s="549"/>
      <c r="AW65" s="549"/>
      <c r="AX65" s="549"/>
      <c r="AY65" s="549"/>
      <c r="AZ65" s="549"/>
      <c r="BA65" s="549">
        <f t="shared" si="3"/>
        <v>63</v>
      </c>
      <c r="BB65" s="549"/>
    </row>
    <row r="66">
      <c r="A66" s="1687" t="s">
        <v>6987</v>
      </c>
      <c r="B66" s="1634" t="s">
        <v>6902</v>
      </c>
      <c r="C66" s="1594" t="s">
        <v>6885</v>
      </c>
      <c r="D66" s="1701">
        <v>4.0</v>
      </c>
      <c r="E66" s="1701">
        <v>1.0</v>
      </c>
      <c r="F66" s="1701">
        <v>3.0</v>
      </c>
      <c r="G66" s="1701">
        <v>3.0</v>
      </c>
      <c r="H66" s="549">
        <v>1.0</v>
      </c>
      <c r="I66" s="1710">
        <v>1.0</v>
      </c>
      <c r="J66" s="1710">
        <v>4.0</v>
      </c>
      <c r="K66" s="1711">
        <v>5.0</v>
      </c>
      <c r="L66" s="549">
        <v>1.0</v>
      </c>
      <c r="M66" s="549">
        <v>6.0</v>
      </c>
      <c r="N66" s="549">
        <v>0.0</v>
      </c>
      <c r="O66" s="1710">
        <v>2.0</v>
      </c>
      <c r="P66" s="1167"/>
      <c r="Q66" s="549">
        <v>3.0</v>
      </c>
      <c r="R66" s="549">
        <v>1.0</v>
      </c>
      <c r="S66" s="549">
        <v>6.0</v>
      </c>
      <c r="T66" s="549">
        <v>3.0</v>
      </c>
      <c r="U66" s="549">
        <v>4.0</v>
      </c>
      <c r="V66" s="1701">
        <v>6.0</v>
      </c>
      <c r="W66" s="1701">
        <v>2.0</v>
      </c>
      <c r="X66" s="548">
        <v>3.0</v>
      </c>
      <c r="Y66" s="548">
        <v>1.0</v>
      </c>
      <c r="Z66" s="548">
        <v>6.0</v>
      </c>
      <c r="AA66" s="1701">
        <v>8.0</v>
      </c>
      <c r="AB66" s="1701">
        <v>1.0</v>
      </c>
      <c r="AC66" s="1701">
        <v>0.0</v>
      </c>
      <c r="AD66" s="1701"/>
      <c r="AE66" s="1701">
        <v>3.0</v>
      </c>
      <c r="AF66" s="1701">
        <v>1.0</v>
      </c>
      <c r="AG66" s="1701">
        <v>1.0</v>
      </c>
      <c r="AH66" s="1701">
        <v>0.0</v>
      </c>
      <c r="AI66" s="1701">
        <v>3.0</v>
      </c>
      <c r="AJ66" s="1701">
        <v>0.0</v>
      </c>
      <c r="AK66" s="1701">
        <v>3.0</v>
      </c>
      <c r="AL66" s="1701">
        <v>1.0</v>
      </c>
      <c r="AM66" s="1701">
        <v>1.0</v>
      </c>
      <c r="AN66" s="1729">
        <v>3.0</v>
      </c>
      <c r="AO66" s="1729">
        <v>2.0</v>
      </c>
      <c r="AP66" s="1729">
        <v>20.0</v>
      </c>
      <c r="AQ66" s="1729">
        <v>0.0</v>
      </c>
      <c r="AR66" s="1729">
        <v>0.0</v>
      </c>
      <c r="AS66" s="1729"/>
      <c r="AT66" s="1729">
        <v>0.0</v>
      </c>
      <c r="AU66" s="1729"/>
      <c r="AV66" s="1729"/>
      <c r="AW66" s="1729"/>
      <c r="AX66" s="1729"/>
      <c r="AY66" s="1729"/>
      <c r="AZ66" s="1729"/>
      <c r="BA66" s="549">
        <f t="shared" si="3"/>
        <v>113</v>
      </c>
      <c r="BB66" s="1729" t="s">
        <v>6991</v>
      </c>
    </row>
    <row r="67">
      <c r="A67" s="1687" t="s">
        <v>6987</v>
      </c>
      <c r="B67" s="1634" t="s">
        <v>6904</v>
      </c>
      <c r="C67" s="1594" t="s">
        <v>6885</v>
      </c>
      <c r="D67" s="1701">
        <v>0.0</v>
      </c>
      <c r="E67" s="1701">
        <v>0.0</v>
      </c>
      <c r="F67" s="1701">
        <v>0.0</v>
      </c>
      <c r="G67" s="1701">
        <v>0.0</v>
      </c>
      <c r="H67" s="549">
        <v>1.0</v>
      </c>
      <c r="I67" s="1710">
        <v>1.0</v>
      </c>
      <c r="J67" s="1710">
        <v>1.0</v>
      </c>
      <c r="K67" s="1711">
        <v>0.0</v>
      </c>
      <c r="L67" s="549">
        <v>1.0</v>
      </c>
      <c r="M67" s="549">
        <v>0.0</v>
      </c>
      <c r="N67" s="549">
        <v>0.0</v>
      </c>
      <c r="O67" s="1710">
        <v>0.0</v>
      </c>
      <c r="P67" s="1167"/>
      <c r="Q67" s="549">
        <v>0.0</v>
      </c>
      <c r="R67" s="549">
        <v>1.0</v>
      </c>
      <c r="S67" s="549">
        <v>0.0</v>
      </c>
      <c r="T67" s="549">
        <v>2.0</v>
      </c>
      <c r="U67" s="549">
        <v>0.0</v>
      </c>
      <c r="V67" s="1701">
        <v>0.0</v>
      </c>
      <c r="W67" s="1701">
        <v>0.0</v>
      </c>
      <c r="X67" s="548">
        <v>0.0</v>
      </c>
      <c r="Y67" s="548">
        <v>0.0</v>
      </c>
      <c r="Z67" s="548">
        <v>0.0</v>
      </c>
      <c r="AA67" s="1701">
        <v>0.0</v>
      </c>
      <c r="AB67" s="1701">
        <v>0.0</v>
      </c>
      <c r="AC67" s="1701">
        <v>0.0</v>
      </c>
      <c r="AD67" s="1701"/>
      <c r="AE67" s="1701">
        <v>0.0</v>
      </c>
      <c r="AF67" s="1701">
        <v>0.0</v>
      </c>
      <c r="AG67" s="1701">
        <v>0.0</v>
      </c>
      <c r="AH67" s="1701">
        <v>0.0</v>
      </c>
      <c r="AI67" s="1701">
        <v>0.0</v>
      </c>
      <c r="AJ67" s="1701">
        <v>1.0</v>
      </c>
      <c r="AK67" s="1701">
        <v>0.0</v>
      </c>
      <c r="AL67" s="1701">
        <v>1.0</v>
      </c>
      <c r="AM67" s="1701">
        <v>0.0</v>
      </c>
      <c r="AN67" s="549">
        <v>0.0</v>
      </c>
      <c r="AO67" s="549">
        <v>0.0</v>
      </c>
      <c r="AP67" s="549">
        <v>0.0</v>
      </c>
      <c r="AQ67" s="549">
        <v>0.0</v>
      </c>
      <c r="AR67" s="549">
        <v>3.0</v>
      </c>
      <c r="AS67" s="549"/>
      <c r="AT67" s="549">
        <v>0.0</v>
      </c>
      <c r="AU67" s="549"/>
      <c r="AV67" s="549"/>
      <c r="AW67" s="549"/>
      <c r="AX67" s="549"/>
      <c r="AY67" s="549"/>
      <c r="AZ67" s="549"/>
      <c r="BA67" s="549">
        <f t="shared" si="3"/>
        <v>12</v>
      </c>
      <c r="BB67" s="549"/>
    </row>
    <row r="68">
      <c r="A68" s="1687" t="s">
        <v>6987</v>
      </c>
      <c r="B68" s="1634" t="s">
        <v>6905</v>
      </c>
      <c r="C68" s="1594" t="s">
        <v>6885</v>
      </c>
      <c r="D68" s="1701">
        <v>0.0</v>
      </c>
      <c r="E68" s="1701">
        <v>1.0</v>
      </c>
      <c r="F68" s="1701">
        <v>0.0</v>
      </c>
      <c r="G68" s="1701">
        <v>0.0</v>
      </c>
      <c r="H68" s="549">
        <v>0.0</v>
      </c>
      <c r="I68" s="1710">
        <v>0.0</v>
      </c>
      <c r="J68" s="1710">
        <v>1.0</v>
      </c>
      <c r="K68" s="1711">
        <v>0.0</v>
      </c>
      <c r="L68" s="549">
        <v>2.0</v>
      </c>
      <c r="M68" s="549">
        <v>0.0</v>
      </c>
      <c r="N68" s="549">
        <v>0.0</v>
      </c>
      <c r="O68" s="1710">
        <v>0.0</v>
      </c>
      <c r="P68" s="1167"/>
      <c r="Q68" s="549">
        <v>0.0</v>
      </c>
      <c r="R68" s="549">
        <v>0.0</v>
      </c>
      <c r="S68" s="549">
        <v>0.0</v>
      </c>
      <c r="T68" s="549">
        <v>0.0</v>
      </c>
      <c r="U68" s="549">
        <v>0.0</v>
      </c>
      <c r="V68" s="1701">
        <v>0.0</v>
      </c>
      <c r="W68" s="1701">
        <v>0.0</v>
      </c>
      <c r="X68" s="548">
        <v>0.0</v>
      </c>
      <c r="Y68" s="548">
        <v>2.0</v>
      </c>
      <c r="Z68" s="548">
        <v>0.0</v>
      </c>
      <c r="AA68" s="1701">
        <v>0.0</v>
      </c>
      <c r="AB68" s="1701">
        <v>0.0</v>
      </c>
      <c r="AC68" s="1701">
        <v>0.0</v>
      </c>
      <c r="AD68" s="1701"/>
      <c r="AE68" s="1701">
        <v>1.0</v>
      </c>
      <c r="AF68" s="1701">
        <v>2.0</v>
      </c>
      <c r="AG68" s="1701">
        <v>0.0</v>
      </c>
      <c r="AH68" s="1701">
        <v>1.0</v>
      </c>
      <c r="AI68" s="1701">
        <v>0.0</v>
      </c>
      <c r="AJ68" s="1701">
        <v>0.0</v>
      </c>
      <c r="AK68" s="1701">
        <v>1.0</v>
      </c>
      <c r="AL68" s="1701">
        <v>1.0</v>
      </c>
      <c r="AM68" s="1701">
        <v>1.0</v>
      </c>
      <c r="AN68" s="549">
        <v>1.0</v>
      </c>
      <c r="AO68" s="549">
        <v>0.0</v>
      </c>
      <c r="AP68" s="549">
        <v>0.0</v>
      </c>
      <c r="AQ68" s="549">
        <v>0.0</v>
      </c>
      <c r="AR68" s="549">
        <v>0.0</v>
      </c>
      <c r="AS68" s="549"/>
      <c r="AT68" s="549">
        <v>0.0</v>
      </c>
      <c r="AU68" s="549"/>
      <c r="AV68" s="549"/>
      <c r="AW68" s="549"/>
      <c r="AX68" s="549"/>
      <c r="AY68" s="549"/>
      <c r="AZ68" s="549"/>
      <c r="BA68" s="549">
        <f t="shared" si="3"/>
        <v>14</v>
      </c>
      <c r="BB68" s="549"/>
    </row>
    <row r="69">
      <c r="A69" s="1687" t="s">
        <v>6987</v>
      </c>
      <c r="B69" s="1634" t="s">
        <v>6906</v>
      </c>
      <c r="C69" s="1594" t="s">
        <v>6885</v>
      </c>
      <c r="D69" s="1701">
        <v>0.0</v>
      </c>
      <c r="E69" s="1701">
        <v>1.0</v>
      </c>
      <c r="F69" s="1701">
        <v>1.0</v>
      </c>
      <c r="G69" s="1701">
        <v>1.0</v>
      </c>
      <c r="H69" s="549">
        <v>1.0</v>
      </c>
      <c r="I69" s="1710">
        <v>0.0</v>
      </c>
      <c r="J69" s="1710">
        <v>0.0</v>
      </c>
      <c r="K69" s="1711">
        <v>0.0</v>
      </c>
      <c r="L69" s="549">
        <v>1.0</v>
      </c>
      <c r="M69" s="549">
        <v>0.0</v>
      </c>
      <c r="N69" s="549">
        <v>0.0</v>
      </c>
      <c r="O69" s="1710">
        <v>0.0</v>
      </c>
      <c r="P69" s="1167"/>
      <c r="Q69" s="549">
        <v>1.0</v>
      </c>
      <c r="R69" s="549">
        <v>0.0</v>
      </c>
      <c r="S69" s="549">
        <v>1.0</v>
      </c>
      <c r="T69" s="549">
        <v>1.0</v>
      </c>
      <c r="U69" s="549">
        <v>0.0</v>
      </c>
      <c r="V69" s="1701">
        <v>0.0</v>
      </c>
      <c r="W69" s="1701">
        <v>0.0</v>
      </c>
      <c r="X69" s="548">
        <v>1.0</v>
      </c>
      <c r="Y69" s="548">
        <v>0.0</v>
      </c>
      <c r="Z69" s="548">
        <v>0.0</v>
      </c>
      <c r="AA69" s="1701">
        <v>0.0</v>
      </c>
      <c r="AB69" s="1701">
        <v>0.0</v>
      </c>
      <c r="AC69" s="1701">
        <v>0.0</v>
      </c>
      <c r="AD69" s="1701"/>
      <c r="AE69" s="1701">
        <v>0.0</v>
      </c>
      <c r="AF69" s="1701">
        <v>0.0</v>
      </c>
      <c r="AG69" s="1701">
        <v>0.0</v>
      </c>
      <c r="AH69" s="1701">
        <v>0.0</v>
      </c>
      <c r="AI69" s="1701">
        <v>1.0</v>
      </c>
      <c r="AJ69" s="1701">
        <v>0.0</v>
      </c>
      <c r="AK69" s="1701">
        <v>1.0</v>
      </c>
      <c r="AL69" s="1701">
        <v>0.0</v>
      </c>
      <c r="AM69" s="1701">
        <v>0.0</v>
      </c>
      <c r="AN69" s="549">
        <v>1.0</v>
      </c>
      <c r="AO69" s="549">
        <v>0.0</v>
      </c>
      <c r="AP69" s="549">
        <v>0.0</v>
      </c>
      <c r="AQ69" s="549">
        <v>3.0</v>
      </c>
      <c r="AR69" s="549">
        <v>3.0</v>
      </c>
      <c r="AS69" s="549"/>
      <c r="AT69" s="549">
        <v>0.0</v>
      </c>
      <c r="AU69" s="549"/>
      <c r="AV69" s="549"/>
      <c r="AW69" s="549"/>
      <c r="AX69" s="549"/>
      <c r="AY69" s="549"/>
      <c r="AZ69" s="549"/>
      <c r="BA69" s="549">
        <f t="shared" si="3"/>
        <v>18</v>
      </c>
      <c r="BB69" s="549"/>
    </row>
    <row r="70">
      <c r="A70" s="1687" t="s">
        <v>6987</v>
      </c>
      <c r="B70" s="1634">
        <v>136.0</v>
      </c>
      <c r="C70" s="1594" t="s">
        <v>6885</v>
      </c>
      <c r="D70" s="1701">
        <v>2.0</v>
      </c>
      <c r="E70" s="1701">
        <v>1.0</v>
      </c>
      <c r="F70" s="1701">
        <v>0.0</v>
      </c>
      <c r="G70" s="1701">
        <v>2.0</v>
      </c>
      <c r="H70" s="549">
        <v>0.0</v>
      </c>
      <c r="I70" s="1710">
        <v>2.0</v>
      </c>
      <c r="J70" s="1710">
        <v>2.0</v>
      </c>
      <c r="K70" s="1711">
        <v>0.0</v>
      </c>
      <c r="L70" s="549">
        <v>1.0</v>
      </c>
      <c r="M70" s="549">
        <v>0.0</v>
      </c>
      <c r="N70" s="549">
        <v>1.0</v>
      </c>
      <c r="O70" s="1710">
        <v>1.0</v>
      </c>
      <c r="P70" s="1167"/>
      <c r="Q70" s="549">
        <v>2.0</v>
      </c>
      <c r="R70" s="549">
        <v>2.0</v>
      </c>
      <c r="S70" s="549">
        <v>0.0</v>
      </c>
      <c r="T70" s="549">
        <v>1.0</v>
      </c>
      <c r="U70" s="549">
        <v>0.0</v>
      </c>
      <c r="V70" s="1701">
        <v>0.0</v>
      </c>
      <c r="W70" s="1701">
        <v>2.0</v>
      </c>
      <c r="X70" s="548">
        <v>0.0</v>
      </c>
      <c r="Y70" s="548">
        <v>0.0</v>
      </c>
      <c r="Z70" s="548">
        <v>0.0</v>
      </c>
      <c r="AA70" s="1701">
        <v>0.0</v>
      </c>
      <c r="AB70" s="1701">
        <v>0.0</v>
      </c>
      <c r="AC70" s="1701">
        <v>0.0</v>
      </c>
      <c r="AD70" s="1701"/>
      <c r="AE70" s="1701">
        <v>0.0</v>
      </c>
      <c r="AF70" s="1701">
        <v>0.0</v>
      </c>
      <c r="AG70" s="1701">
        <v>1.0</v>
      </c>
      <c r="AH70" s="1701">
        <v>1.0</v>
      </c>
      <c r="AI70" s="1701">
        <v>0.0</v>
      </c>
      <c r="AJ70" s="1701">
        <v>0.0</v>
      </c>
      <c r="AK70" s="1701">
        <v>1.0</v>
      </c>
      <c r="AL70" s="1701">
        <v>2.0</v>
      </c>
      <c r="AM70" s="1701">
        <v>1.0</v>
      </c>
      <c r="AN70" s="549">
        <v>3.0</v>
      </c>
      <c r="AO70" s="549">
        <v>0.0</v>
      </c>
      <c r="AP70" s="549">
        <v>0.0</v>
      </c>
      <c r="AQ70" s="549">
        <v>0.0</v>
      </c>
      <c r="AR70" s="549">
        <v>3.0</v>
      </c>
      <c r="AS70" s="549"/>
      <c r="AT70" s="549">
        <v>0.0</v>
      </c>
      <c r="AU70" s="549"/>
      <c r="AV70" s="549"/>
      <c r="AW70" s="549"/>
      <c r="AX70" s="549"/>
      <c r="AY70" s="549"/>
      <c r="AZ70" s="549"/>
      <c r="BA70" s="549">
        <f t="shared" si="3"/>
        <v>31</v>
      </c>
      <c r="BB70" s="549"/>
    </row>
    <row r="71">
      <c r="A71" s="1687" t="s">
        <v>6987</v>
      </c>
      <c r="B71" s="1634">
        <v>137.0</v>
      </c>
      <c r="C71" s="1594" t="s">
        <v>6885</v>
      </c>
      <c r="D71" s="1701">
        <v>1.0</v>
      </c>
      <c r="E71" s="1701">
        <v>1.0</v>
      </c>
      <c r="F71" s="1701">
        <v>2.0</v>
      </c>
      <c r="G71" s="1701">
        <v>1.0</v>
      </c>
      <c r="H71" s="549">
        <v>0.0</v>
      </c>
      <c r="I71" s="1710">
        <v>3.0</v>
      </c>
      <c r="J71" s="1710">
        <v>3.0</v>
      </c>
      <c r="K71" s="1711">
        <v>0.0</v>
      </c>
      <c r="L71" s="549">
        <v>1.0</v>
      </c>
      <c r="M71" s="549">
        <v>1.0</v>
      </c>
      <c r="N71" s="549">
        <v>1.0</v>
      </c>
      <c r="O71" s="1710">
        <v>0.0</v>
      </c>
      <c r="P71" s="1167"/>
      <c r="Q71" s="549">
        <v>2.0</v>
      </c>
      <c r="R71" s="549">
        <v>2.0</v>
      </c>
      <c r="S71" s="549">
        <v>3.0</v>
      </c>
      <c r="T71" s="549">
        <v>1.0</v>
      </c>
      <c r="U71" s="549">
        <v>2.0</v>
      </c>
      <c r="V71" s="1701">
        <v>1.0</v>
      </c>
      <c r="W71" s="1701">
        <v>0.0</v>
      </c>
      <c r="X71" s="548">
        <v>1.0</v>
      </c>
      <c r="Y71" s="548">
        <v>1.0</v>
      </c>
      <c r="Z71" s="548">
        <v>3.0</v>
      </c>
      <c r="AA71" s="1701">
        <v>2.0</v>
      </c>
      <c r="AB71" s="1701">
        <v>0.0</v>
      </c>
      <c r="AC71" s="1701">
        <v>0.0</v>
      </c>
      <c r="AD71" s="1701"/>
      <c r="AE71" s="1701">
        <v>2.0</v>
      </c>
      <c r="AF71" s="1701">
        <v>1.0</v>
      </c>
      <c r="AG71" s="1701">
        <v>1.0</v>
      </c>
      <c r="AH71" s="1701">
        <v>1.0</v>
      </c>
      <c r="AI71" s="1701">
        <v>0.0</v>
      </c>
      <c r="AJ71" s="1701">
        <v>1.0</v>
      </c>
      <c r="AK71" s="1701">
        <v>2.0</v>
      </c>
      <c r="AL71" s="1701">
        <v>1.0</v>
      </c>
      <c r="AM71" s="1701">
        <v>0.0</v>
      </c>
      <c r="AN71" s="549">
        <v>1.0</v>
      </c>
      <c r="AO71" s="549">
        <v>4.0</v>
      </c>
      <c r="AP71" s="549">
        <v>0.0</v>
      </c>
      <c r="AQ71" s="549">
        <v>3.0</v>
      </c>
      <c r="AR71" s="549">
        <v>3.0</v>
      </c>
      <c r="AS71" s="549"/>
      <c r="AT71" s="549">
        <v>0.0</v>
      </c>
      <c r="AU71" s="549"/>
      <c r="AV71" s="549"/>
      <c r="AW71" s="549"/>
      <c r="AX71" s="549"/>
      <c r="AY71" s="549"/>
      <c r="AZ71" s="549"/>
      <c r="BA71" s="549">
        <f t="shared" si="3"/>
        <v>52</v>
      </c>
      <c r="BB71" s="549"/>
    </row>
    <row r="72">
      <c r="A72" s="1687" t="s">
        <v>6987</v>
      </c>
      <c r="B72" s="1634">
        <v>264.0</v>
      </c>
      <c r="C72" s="1594" t="s">
        <v>6885</v>
      </c>
      <c r="D72" s="1701">
        <v>0.0</v>
      </c>
      <c r="E72" s="1701">
        <v>0.0</v>
      </c>
      <c r="F72" s="1701">
        <v>0.0</v>
      </c>
      <c r="G72" s="1701">
        <v>1.0</v>
      </c>
      <c r="H72" s="549">
        <v>1.0</v>
      </c>
      <c r="I72" s="1710">
        <v>1.0</v>
      </c>
      <c r="J72" s="1710">
        <v>3.0</v>
      </c>
      <c r="K72" s="1711">
        <v>1.0</v>
      </c>
      <c r="L72" s="549">
        <v>0.0</v>
      </c>
      <c r="M72" s="549">
        <v>0.0</v>
      </c>
      <c r="N72" s="549">
        <v>0.0</v>
      </c>
      <c r="O72" s="1710">
        <v>2.0</v>
      </c>
      <c r="P72" s="1167"/>
      <c r="Q72" s="549">
        <v>2.0</v>
      </c>
      <c r="R72" s="549">
        <v>0.0</v>
      </c>
      <c r="S72" s="549">
        <v>2.0</v>
      </c>
      <c r="T72" s="549">
        <v>0.0</v>
      </c>
      <c r="U72" s="549">
        <v>1.0</v>
      </c>
      <c r="V72" s="1701">
        <v>0.0</v>
      </c>
      <c r="W72" s="1701">
        <v>0.0</v>
      </c>
      <c r="X72" s="548">
        <v>1.0</v>
      </c>
      <c r="Y72" s="548">
        <v>0.0</v>
      </c>
      <c r="Z72" s="548">
        <v>0.0</v>
      </c>
      <c r="AA72" s="1701">
        <v>1.0</v>
      </c>
      <c r="AB72" s="1701">
        <v>1.0</v>
      </c>
      <c r="AC72" s="1701">
        <v>1.0</v>
      </c>
      <c r="AD72" s="1701"/>
      <c r="AE72" s="1701">
        <v>0.0</v>
      </c>
      <c r="AF72" s="1701">
        <v>0.0</v>
      </c>
      <c r="AG72" s="1701">
        <v>0.0</v>
      </c>
      <c r="AH72" s="1701">
        <v>0.0</v>
      </c>
      <c r="AI72" s="1701">
        <v>0.0</v>
      </c>
      <c r="AJ72" s="1701">
        <v>2.0</v>
      </c>
      <c r="AK72" s="1701">
        <v>1.0</v>
      </c>
      <c r="AL72" s="1701">
        <v>1.0</v>
      </c>
      <c r="AM72" s="1701">
        <v>1.0</v>
      </c>
      <c r="AN72" s="549">
        <v>0.0</v>
      </c>
      <c r="AO72" s="549">
        <v>0.0</v>
      </c>
      <c r="AP72" s="549">
        <v>0.0</v>
      </c>
      <c r="AQ72" s="549">
        <v>0.0</v>
      </c>
      <c r="AR72" s="549">
        <v>0.0</v>
      </c>
      <c r="AS72" s="549"/>
      <c r="AT72" s="549">
        <v>0.0</v>
      </c>
      <c r="AU72" s="549"/>
      <c r="AV72" s="549"/>
      <c r="AW72" s="549"/>
      <c r="AX72" s="549"/>
      <c r="AY72" s="549"/>
      <c r="AZ72" s="549"/>
      <c r="BA72" s="549">
        <f t="shared" si="3"/>
        <v>23</v>
      </c>
      <c r="BB72" s="549"/>
    </row>
    <row r="73">
      <c r="A73" s="1687" t="s">
        <v>6987</v>
      </c>
      <c r="B73" s="1634">
        <v>267.0</v>
      </c>
      <c r="C73" s="1594" t="s">
        <v>6885</v>
      </c>
      <c r="D73" s="1701">
        <v>0.0</v>
      </c>
      <c r="E73" s="1701">
        <v>2.0</v>
      </c>
      <c r="F73" s="1701">
        <v>2.0</v>
      </c>
      <c r="G73" s="1701">
        <v>0.0</v>
      </c>
      <c r="H73" s="549">
        <v>0.0</v>
      </c>
      <c r="I73" s="1710">
        <v>0.0</v>
      </c>
      <c r="J73" s="1710">
        <v>1.0</v>
      </c>
      <c r="K73" s="1711">
        <v>1.0</v>
      </c>
      <c r="L73" s="549">
        <v>0.0</v>
      </c>
      <c r="M73" s="549">
        <v>0.0</v>
      </c>
      <c r="N73" s="549">
        <v>0.0</v>
      </c>
      <c r="O73" s="1710">
        <v>1.0</v>
      </c>
      <c r="P73" s="1167"/>
      <c r="Q73" s="549">
        <v>1.0</v>
      </c>
      <c r="R73" s="549">
        <v>1.0</v>
      </c>
      <c r="S73" s="549">
        <v>1.0</v>
      </c>
      <c r="T73" s="549">
        <v>0.0</v>
      </c>
      <c r="U73" s="549">
        <v>1.0</v>
      </c>
      <c r="V73" s="1701">
        <v>3.0</v>
      </c>
      <c r="W73" s="1701">
        <v>0.0</v>
      </c>
      <c r="X73" s="548">
        <v>3.0</v>
      </c>
      <c r="Y73" s="548">
        <v>1.0</v>
      </c>
      <c r="Z73" s="548">
        <v>1.0</v>
      </c>
      <c r="AA73" s="1701">
        <v>0.0</v>
      </c>
      <c r="AB73" s="1701">
        <v>0.0</v>
      </c>
      <c r="AC73" s="1701">
        <v>0.0</v>
      </c>
      <c r="AD73" s="1701"/>
      <c r="AE73" s="1701">
        <v>1.0</v>
      </c>
      <c r="AF73" s="1701">
        <v>0.0</v>
      </c>
      <c r="AG73" s="1701">
        <v>0.0</v>
      </c>
      <c r="AH73" s="1701">
        <v>2.0</v>
      </c>
      <c r="AI73" s="1701">
        <v>2.0</v>
      </c>
      <c r="AJ73" s="1701">
        <v>0.0</v>
      </c>
      <c r="AK73" s="1701">
        <v>3.0</v>
      </c>
      <c r="AL73" s="1701">
        <v>1.0</v>
      </c>
      <c r="AM73" s="1701">
        <v>0.0</v>
      </c>
      <c r="AN73" s="549">
        <v>2.0</v>
      </c>
      <c r="AO73" s="549">
        <v>0.0</v>
      </c>
      <c r="AP73" s="549">
        <v>4.0</v>
      </c>
      <c r="AQ73" s="549">
        <v>0.0</v>
      </c>
      <c r="AR73" s="549">
        <v>0.0</v>
      </c>
      <c r="AS73" s="549"/>
      <c r="AT73" s="549">
        <v>0.0</v>
      </c>
      <c r="AU73" s="549"/>
      <c r="AV73" s="549"/>
      <c r="AW73" s="549"/>
      <c r="AX73" s="549"/>
      <c r="AY73" s="549"/>
      <c r="AZ73" s="549"/>
      <c r="BA73" s="549">
        <f t="shared" si="3"/>
        <v>34</v>
      </c>
      <c r="BB73" s="549"/>
    </row>
    <row r="74">
      <c r="A74" s="1714" t="s">
        <v>6987</v>
      </c>
      <c r="B74" s="1715" t="s">
        <v>6913</v>
      </c>
      <c r="C74" s="1731" t="s">
        <v>6885</v>
      </c>
      <c r="D74" s="1732">
        <v>2.0</v>
      </c>
      <c r="E74" s="1732">
        <v>3.0</v>
      </c>
      <c r="F74" s="1732">
        <v>3.0</v>
      </c>
      <c r="G74" s="1732">
        <v>9.0</v>
      </c>
      <c r="H74" s="1721">
        <v>11.0</v>
      </c>
      <c r="I74" s="1732">
        <v>6.0</v>
      </c>
      <c r="J74" s="1732">
        <v>10.0</v>
      </c>
      <c r="K74" s="1720">
        <v>4.0</v>
      </c>
      <c r="L74" s="1721">
        <v>3.0</v>
      </c>
      <c r="M74" s="1721">
        <v>4.0</v>
      </c>
      <c r="N74" s="1721">
        <v>1.0</v>
      </c>
      <c r="O74" s="1722">
        <v>0.0</v>
      </c>
      <c r="P74" s="1721">
        <v>12.0</v>
      </c>
      <c r="Q74" s="1722"/>
      <c r="R74" s="1732">
        <v>4.0</v>
      </c>
      <c r="S74" s="1732">
        <v>4.0</v>
      </c>
      <c r="T74" s="1732">
        <v>4.0</v>
      </c>
      <c r="U74" s="1732">
        <v>9.0</v>
      </c>
      <c r="V74" s="1732">
        <v>1.0</v>
      </c>
      <c r="W74" s="1701">
        <v>1.0</v>
      </c>
      <c r="X74" s="548">
        <v>10.0</v>
      </c>
      <c r="Y74" s="548">
        <v>2.0</v>
      </c>
      <c r="Z74" s="548">
        <v>6.0</v>
      </c>
      <c r="AA74" s="1701">
        <v>2.0</v>
      </c>
      <c r="AB74" s="1701">
        <v>1.0</v>
      </c>
      <c r="AC74" s="1701">
        <v>6.0</v>
      </c>
      <c r="AD74" s="1701"/>
      <c r="AE74" s="1701">
        <v>10.0</v>
      </c>
      <c r="AF74" s="1701">
        <v>0.0</v>
      </c>
      <c r="AG74" s="1701">
        <v>0.0</v>
      </c>
      <c r="AH74" s="1701">
        <v>0.0</v>
      </c>
      <c r="AI74" s="1701">
        <v>2.0</v>
      </c>
      <c r="AJ74" s="1701">
        <v>0.0</v>
      </c>
      <c r="AK74" s="1701">
        <v>13.0</v>
      </c>
      <c r="AL74" s="1701">
        <v>2.0</v>
      </c>
      <c r="AM74" s="1701">
        <v>4.0</v>
      </c>
      <c r="AN74" s="1723">
        <v>6.0</v>
      </c>
      <c r="AO74" s="1723">
        <v>2.0</v>
      </c>
      <c r="AP74" s="1723">
        <v>0.0</v>
      </c>
      <c r="AQ74" s="1723">
        <v>0.0</v>
      </c>
      <c r="AR74" s="1723">
        <v>0.0</v>
      </c>
      <c r="AS74" s="1723">
        <v>20.0</v>
      </c>
      <c r="AT74" s="1723">
        <v>0.0</v>
      </c>
      <c r="AU74" s="1723"/>
      <c r="AV74" s="1723"/>
      <c r="AW74" s="1723"/>
      <c r="AX74" s="1723"/>
      <c r="AY74" s="1723"/>
      <c r="AZ74" s="1723"/>
      <c r="BA74" s="549">
        <f t="shared" si="3"/>
        <v>177</v>
      </c>
      <c r="BB74" s="1723" t="s">
        <v>6989</v>
      </c>
    </row>
    <row r="75">
      <c r="A75" s="1714" t="s">
        <v>6987</v>
      </c>
      <c r="B75" s="1715" t="s">
        <v>6914</v>
      </c>
      <c r="C75" s="1731" t="s">
        <v>6885</v>
      </c>
      <c r="D75" s="1732">
        <v>3.0</v>
      </c>
      <c r="E75" s="1732">
        <v>1.0</v>
      </c>
      <c r="F75" s="1732">
        <v>5.0</v>
      </c>
      <c r="G75" s="1732">
        <v>6.0</v>
      </c>
      <c r="H75" s="1721">
        <v>5.0</v>
      </c>
      <c r="I75" s="1732">
        <v>5.0</v>
      </c>
      <c r="J75" s="1732">
        <v>20.0</v>
      </c>
      <c r="K75" s="1720">
        <v>10.0</v>
      </c>
      <c r="L75" s="1721">
        <v>4.0</v>
      </c>
      <c r="M75" s="1721">
        <v>6.0</v>
      </c>
      <c r="N75" s="1721">
        <v>1.0</v>
      </c>
      <c r="O75" s="1722">
        <v>12.0</v>
      </c>
      <c r="P75" s="1721">
        <v>25.0</v>
      </c>
      <c r="Q75" s="1722"/>
      <c r="R75" s="1732">
        <v>5.0</v>
      </c>
      <c r="S75" s="1732">
        <v>11.0</v>
      </c>
      <c r="T75" s="1732">
        <v>17.0</v>
      </c>
      <c r="U75" s="1732">
        <v>12.0</v>
      </c>
      <c r="V75" s="1732">
        <v>9.0</v>
      </c>
      <c r="W75" s="1701">
        <v>8.0</v>
      </c>
      <c r="X75" s="548">
        <v>5.0</v>
      </c>
      <c r="Y75" s="548">
        <v>5.0</v>
      </c>
      <c r="Z75" s="548">
        <v>7.0</v>
      </c>
      <c r="AA75" s="1701">
        <v>10.0</v>
      </c>
      <c r="AB75" s="1701">
        <v>3.0</v>
      </c>
      <c r="AC75" s="1701">
        <v>4.0</v>
      </c>
      <c r="AD75" s="1701"/>
      <c r="AE75" s="1701">
        <v>4.0</v>
      </c>
      <c r="AF75" s="1701">
        <v>6.0</v>
      </c>
      <c r="AG75" s="1701">
        <v>3.0</v>
      </c>
      <c r="AH75" s="1701">
        <v>8.0</v>
      </c>
      <c r="AI75" s="1701">
        <v>12.0</v>
      </c>
      <c r="AJ75" s="1701">
        <v>9.0</v>
      </c>
      <c r="AK75" s="1701">
        <v>9.0</v>
      </c>
      <c r="AL75" s="1701">
        <v>3.0</v>
      </c>
      <c r="AM75" s="1701">
        <v>5.0</v>
      </c>
      <c r="AN75" s="1723">
        <v>13.0</v>
      </c>
      <c r="AO75" s="1723">
        <v>11.0</v>
      </c>
      <c r="AP75" s="1723">
        <v>0.0</v>
      </c>
      <c r="AQ75" s="1723">
        <v>0.0</v>
      </c>
      <c r="AR75" s="1723">
        <v>0.0</v>
      </c>
      <c r="AS75" s="1723">
        <v>20.0</v>
      </c>
      <c r="AT75" s="1723">
        <v>20.0</v>
      </c>
      <c r="AU75" s="1723"/>
      <c r="AV75" s="1723"/>
      <c r="AW75" s="1723"/>
      <c r="AX75" s="1723"/>
      <c r="AY75" s="1723"/>
      <c r="AZ75" s="1723"/>
      <c r="BA75" s="549">
        <f t="shared" si="3"/>
        <v>322</v>
      </c>
      <c r="BB75" s="1723" t="s">
        <v>6990</v>
      </c>
    </row>
    <row r="76">
      <c r="A76" s="1714" t="s">
        <v>6987</v>
      </c>
      <c r="B76" s="1715" t="s">
        <v>6915</v>
      </c>
      <c r="C76" s="1731" t="s">
        <v>6885</v>
      </c>
      <c r="D76" s="1732">
        <v>0.0</v>
      </c>
      <c r="E76" s="1732">
        <v>2.0</v>
      </c>
      <c r="F76" s="1732">
        <v>1.0</v>
      </c>
      <c r="G76" s="1732">
        <v>1.0</v>
      </c>
      <c r="H76" s="1721">
        <v>1.0</v>
      </c>
      <c r="I76" s="1732">
        <v>0.0</v>
      </c>
      <c r="J76" s="1734"/>
      <c r="K76" s="1720">
        <v>3.0</v>
      </c>
      <c r="L76" s="1721">
        <v>2.0</v>
      </c>
      <c r="M76" s="1721">
        <v>1.0</v>
      </c>
      <c r="N76" s="1721">
        <v>1.0</v>
      </c>
      <c r="O76" s="1722">
        <v>3.0</v>
      </c>
      <c r="P76" s="1721">
        <v>6.0</v>
      </c>
      <c r="Q76" s="1722"/>
      <c r="R76" s="1732">
        <v>3.0</v>
      </c>
      <c r="S76" s="1732">
        <v>6.0</v>
      </c>
      <c r="T76" s="1732">
        <v>3.0</v>
      </c>
      <c r="U76" s="1732">
        <v>4.0</v>
      </c>
      <c r="V76" s="1732">
        <v>7.0</v>
      </c>
      <c r="W76" s="1701">
        <v>2.0</v>
      </c>
      <c r="X76" s="548">
        <v>3.0</v>
      </c>
      <c r="Y76" s="548">
        <v>3.0</v>
      </c>
      <c r="Z76" s="548">
        <v>2.0</v>
      </c>
      <c r="AA76" s="1701">
        <v>1.0</v>
      </c>
      <c r="AB76" s="1701">
        <v>3.0</v>
      </c>
      <c r="AC76" s="1701">
        <v>0.0</v>
      </c>
      <c r="AD76" s="1701"/>
      <c r="AE76" s="1701">
        <v>2.0</v>
      </c>
      <c r="AF76" s="1701">
        <v>4.0</v>
      </c>
      <c r="AG76" s="1701">
        <v>3.0</v>
      </c>
      <c r="AH76" s="1701">
        <v>3.0</v>
      </c>
      <c r="AI76" s="1701">
        <v>0.0</v>
      </c>
      <c r="AJ76" s="1701">
        <v>1.0</v>
      </c>
      <c r="AK76" s="1701">
        <v>4.0</v>
      </c>
      <c r="AL76" s="1701">
        <v>3.0</v>
      </c>
      <c r="AM76" s="1701">
        <v>2.0</v>
      </c>
      <c r="AN76" s="1721">
        <v>0.0</v>
      </c>
      <c r="AO76" s="1721">
        <v>2.0</v>
      </c>
      <c r="AP76" s="1721">
        <v>3.0</v>
      </c>
      <c r="AQ76" s="1721">
        <v>0.0</v>
      </c>
      <c r="AR76" s="1721">
        <v>0.0</v>
      </c>
      <c r="AS76" s="1721">
        <v>0.0</v>
      </c>
      <c r="AT76" s="1721">
        <v>7.0</v>
      </c>
      <c r="AU76" s="1721"/>
      <c r="AV76" s="1721"/>
      <c r="AW76" s="1721"/>
      <c r="AX76" s="1721"/>
      <c r="AY76" s="1721"/>
      <c r="AZ76" s="1721"/>
      <c r="BA76" s="549">
        <f t="shared" si="3"/>
        <v>92</v>
      </c>
      <c r="BB76" s="1721"/>
    </row>
    <row r="77">
      <c r="A77" s="1724"/>
      <c r="B77" s="1550"/>
      <c r="C77" s="1550"/>
      <c r="D77" s="1725"/>
      <c r="E77" s="1725"/>
      <c r="F77" s="1725"/>
      <c r="G77" s="1725"/>
      <c r="H77" s="1167"/>
      <c r="I77" s="1725"/>
      <c r="J77" s="1725"/>
      <c r="K77" s="1708"/>
      <c r="L77" s="1725"/>
      <c r="M77" s="1725"/>
      <c r="N77" s="1725"/>
      <c r="O77" s="1725"/>
      <c r="P77" s="1725"/>
      <c r="Q77" s="1725"/>
      <c r="R77" s="1725"/>
      <c r="S77" s="1725"/>
      <c r="T77" s="1725"/>
      <c r="U77" s="1725"/>
      <c r="V77" s="1725"/>
      <c r="W77" s="1725"/>
      <c r="X77" s="280"/>
      <c r="Y77" s="280"/>
      <c r="Z77" s="280"/>
      <c r="AA77" s="1725"/>
      <c r="AB77" s="1725"/>
      <c r="AC77" s="1725"/>
      <c r="AD77" s="1725"/>
      <c r="AE77" s="1725"/>
      <c r="AF77" s="1725"/>
      <c r="AG77" s="1725"/>
      <c r="AH77" s="1725"/>
      <c r="AI77" s="1725"/>
      <c r="AJ77" s="1725"/>
      <c r="AK77" s="1725"/>
      <c r="AL77" s="1725"/>
      <c r="AM77" s="1725"/>
      <c r="AN77" s="549"/>
      <c r="AO77" s="549"/>
      <c r="AP77" s="549"/>
      <c r="AQ77" s="549"/>
      <c r="AR77" s="549"/>
      <c r="AS77" s="549"/>
      <c r="AT77" s="549"/>
      <c r="AU77" s="549"/>
      <c r="AV77" s="549"/>
      <c r="AW77" s="549"/>
      <c r="AX77" s="549"/>
      <c r="AY77" s="549"/>
      <c r="AZ77" s="549"/>
      <c r="BA77" s="549"/>
      <c r="BB77" s="549"/>
    </row>
    <row r="78">
      <c r="A78" s="1724"/>
      <c r="B78" s="1550"/>
      <c r="C78" s="1550"/>
      <c r="D78" s="1725"/>
      <c r="E78" s="1725"/>
      <c r="F78" s="1725"/>
      <c r="G78" s="1725"/>
      <c r="H78" s="1167"/>
      <c r="I78" s="1725"/>
      <c r="J78" s="1725"/>
      <c r="K78" s="1708"/>
      <c r="L78" s="1725"/>
      <c r="M78" s="1725"/>
      <c r="N78" s="1725"/>
      <c r="O78" s="1725"/>
      <c r="P78" s="1725"/>
      <c r="Q78" s="1725"/>
      <c r="R78" s="1725"/>
      <c r="S78" s="1725"/>
      <c r="T78" s="1725"/>
      <c r="U78" s="1725"/>
      <c r="V78" s="1725"/>
      <c r="W78" s="1725"/>
      <c r="X78" s="280"/>
      <c r="Y78" s="280"/>
      <c r="Z78" s="280"/>
      <c r="AA78" s="1725"/>
      <c r="AB78" s="1725"/>
      <c r="AC78" s="1725"/>
      <c r="AD78" s="1725"/>
      <c r="AE78" s="1725"/>
      <c r="AF78" s="1725"/>
      <c r="AG78" s="1725"/>
      <c r="AH78" s="1725"/>
      <c r="AI78" s="1725"/>
      <c r="AJ78" s="1725"/>
      <c r="AK78" s="1725"/>
      <c r="AL78" s="1725"/>
      <c r="AM78" s="1725"/>
      <c r="AN78" s="549"/>
      <c r="AO78" s="549"/>
      <c r="AP78" s="549"/>
      <c r="AQ78" s="549"/>
      <c r="AR78" s="549"/>
      <c r="AS78" s="549"/>
      <c r="AT78" s="549"/>
      <c r="AU78" s="549"/>
      <c r="AV78" s="549"/>
      <c r="AW78" s="549"/>
      <c r="AX78" s="549"/>
      <c r="AY78" s="549"/>
      <c r="AZ78" s="549"/>
      <c r="BA78" s="549"/>
      <c r="BB78" s="549"/>
    </row>
    <row r="79">
      <c r="A79" s="1726"/>
      <c r="B79" s="1727" t="s">
        <v>6882</v>
      </c>
      <c r="D79" s="1725"/>
      <c r="E79" s="1725"/>
      <c r="F79" s="1725"/>
      <c r="G79" s="1725"/>
      <c r="H79" s="1167"/>
      <c r="I79" s="1725"/>
      <c r="J79" s="1725"/>
      <c r="K79" s="1708"/>
      <c r="L79" s="1725"/>
      <c r="M79" s="1725"/>
      <c r="N79" s="1725"/>
      <c r="O79" s="1725"/>
      <c r="P79" s="1725"/>
      <c r="Q79" s="1725"/>
      <c r="R79" s="1725"/>
      <c r="S79" s="1725"/>
      <c r="T79" s="1725"/>
      <c r="U79" s="1725"/>
      <c r="V79" s="1725"/>
      <c r="W79" s="1725"/>
      <c r="X79" s="280"/>
      <c r="Y79" s="280"/>
      <c r="Z79" s="280"/>
      <c r="AA79" s="1725"/>
      <c r="AB79" s="1725"/>
      <c r="AC79" s="1725"/>
      <c r="AD79" s="1725"/>
      <c r="AE79" s="1725"/>
      <c r="AF79" s="1725"/>
      <c r="AG79" s="1725"/>
      <c r="AH79" s="1725"/>
      <c r="AI79" s="1725"/>
      <c r="AJ79" s="1725"/>
      <c r="AK79" s="1725"/>
      <c r="AL79" s="1725"/>
      <c r="AM79" s="1725"/>
      <c r="AN79" s="549"/>
      <c r="AO79" s="549"/>
      <c r="AP79" s="549"/>
      <c r="AQ79" s="549"/>
      <c r="AR79" s="549"/>
      <c r="AS79" s="549"/>
      <c r="AT79" s="549"/>
      <c r="AU79" s="549"/>
      <c r="AV79" s="549"/>
      <c r="AW79" s="549"/>
      <c r="AX79" s="549"/>
      <c r="AY79" s="549"/>
      <c r="AZ79" s="549"/>
      <c r="BA79" s="549"/>
      <c r="BB79" s="549"/>
    </row>
    <row r="80">
      <c r="A80" s="1687" t="s">
        <v>6987</v>
      </c>
      <c r="B80" s="1634" t="s">
        <v>6888</v>
      </c>
      <c r="C80" s="1687" t="s">
        <v>6886</v>
      </c>
      <c r="D80" s="1701">
        <v>0.0</v>
      </c>
      <c r="E80" s="1701">
        <v>0.0</v>
      </c>
      <c r="F80" s="1701">
        <v>0.0</v>
      </c>
      <c r="G80" s="1701">
        <v>0.0</v>
      </c>
      <c r="H80" s="549">
        <v>0.0</v>
      </c>
      <c r="I80" s="1710">
        <v>0.0</v>
      </c>
      <c r="J80" s="1710">
        <v>0.0</v>
      </c>
      <c r="K80" s="1711">
        <v>0.0</v>
      </c>
      <c r="L80" s="549">
        <v>0.0</v>
      </c>
      <c r="M80" s="1701">
        <v>0.0</v>
      </c>
      <c r="N80" s="1701">
        <v>0.0</v>
      </c>
      <c r="O80" s="1710">
        <v>0.0</v>
      </c>
      <c r="P80" s="1167"/>
      <c r="Q80" s="549">
        <v>0.0</v>
      </c>
      <c r="R80" s="549">
        <v>0.0</v>
      </c>
      <c r="S80" s="549">
        <v>0.0</v>
      </c>
      <c r="T80" s="549">
        <v>1.0</v>
      </c>
      <c r="U80" s="1701">
        <v>0.0</v>
      </c>
      <c r="V80" s="1701">
        <v>0.0</v>
      </c>
      <c r="W80" s="1701">
        <v>0.0</v>
      </c>
      <c r="X80" s="548">
        <v>0.0</v>
      </c>
      <c r="Y80" s="548">
        <v>0.0</v>
      </c>
      <c r="Z80" s="548">
        <v>1.0</v>
      </c>
      <c r="AA80" s="1701">
        <v>0.0</v>
      </c>
      <c r="AB80" s="1701">
        <v>0.0</v>
      </c>
      <c r="AC80" s="1701">
        <v>0.0</v>
      </c>
      <c r="AD80" s="1701"/>
      <c r="AE80" s="1701">
        <v>1.0</v>
      </c>
      <c r="AF80" s="1701">
        <v>0.0</v>
      </c>
      <c r="AG80" s="1701">
        <v>1.0</v>
      </c>
      <c r="AH80" s="1701">
        <v>0.0</v>
      </c>
      <c r="AI80" s="1701">
        <v>0.0</v>
      </c>
      <c r="AJ80" s="1701">
        <v>0.0</v>
      </c>
      <c r="AK80" s="1701">
        <v>0.0</v>
      </c>
      <c r="AL80" s="1701">
        <v>0.0</v>
      </c>
      <c r="AM80" s="1701">
        <v>0.0</v>
      </c>
      <c r="AN80" s="549">
        <v>0.0</v>
      </c>
      <c r="AO80" s="549">
        <v>0.0</v>
      </c>
      <c r="AP80" s="549">
        <v>0.0</v>
      </c>
      <c r="AQ80" s="549">
        <v>0.0</v>
      </c>
      <c r="AR80" s="549">
        <v>0.0</v>
      </c>
      <c r="AS80" s="549">
        <v>2.0</v>
      </c>
      <c r="AT80" s="549">
        <v>0.0</v>
      </c>
      <c r="AU80" s="549"/>
      <c r="AV80" s="549"/>
      <c r="AW80" s="549"/>
      <c r="AX80" s="549"/>
      <c r="AY80" s="549"/>
      <c r="AZ80" s="549"/>
      <c r="BA80" s="549">
        <f t="shared" ref="BA80:BA102" si="4">SUM(D80:AZ80)</f>
        <v>6</v>
      </c>
      <c r="BB80" s="549" t="s">
        <v>6988</v>
      </c>
    </row>
    <row r="81">
      <c r="A81" s="1687" t="s">
        <v>6987</v>
      </c>
      <c r="B81" s="1634" t="s">
        <v>6889</v>
      </c>
      <c r="C81" s="1687" t="s">
        <v>6886</v>
      </c>
      <c r="D81" s="1701">
        <v>0.0</v>
      </c>
      <c r="E81" s="1701">
        <v>0.0</v>
      </c>
      <c r="F81" s="1701">
        <v>0.0</v>
      </c>
      <c r="G81" s="1701">
        <v>0.0</v>
      </c>
      <c r="H81" s="549">
        <v>0.0</v>
      </c>
      <c r="I81" s="1710">
        <v>0.0</v>
      </c>
      <c r="J81" s="1710">
        <v>0.0</v>
      </c>
      <c r="K81" s="1711">
        <v>0.0</v>
      </c>
      <c r="L81" s="549">
        <v>0.0</v>
      </c>
      <c r="M81" s="549">
        <v>0.0</v>
      </c>
      <c r="N81" s="1701">
        <v>0.0</v>
      </c>
      <c r="O81" s="1710">
        <v>0.0</v>
      </c>
      <c r="P81" s="1167"/>
      <c r="Q81" s="549">
        <v>0.0</v>
      </c>
      <c r="R81" s="549">
        <v>0.0</v>
      </c>
      <c r="S81" s="549">
        <v>0.0</v>
      </c>
      <c r="T81" s="549">
        <v>0.0</v>
      </c>
      <c r="U81" s="1701">
        <v>0.0</v>
      </c>
      <c r="V81" s="1701">
        <v>0.0</v>
      </c>
      <c r="W81" s="1701">
        <v>0.0</v>
      </c>
      <c r="X81" s="548">
        <v>0.0</v>
      </c>
      <c r="Y81" s="548">
        <v>0.0</v>
      </c>
      <c r="Z81" s="548">
        <v>0.0</v>
      </c>
      <c r="AA81" s="1701">
        <v>0.0</v>
      </c>
      <c r="AB81" s="1701">
        <v>0.0</v>
      </c>
      <c r="AC81" s="1701">
        <v>0.0</v>
      </c>
      <c r="AD81" s="1701"/>
      <c r="AE81" s="1701">
        <v>0.0</v>
      </c>
      <c r="AF81" s="1701">
        <v>0.0</v>
      </c>
      <c r="AG81" s="1701">
        <v>0.0</v>
      </c>
      <c r="AH81" s="1701">
        <v>0.0</v>
      </c>
      <c r="AI81" s="1701">
        <v>0.0</v>
      </c>
      <c r="AJ81" s="1701">
        <v>0.0</v>
      </c>
      <c r="AK81" s="1701">
        <v>0.0</v>
      </c>
      <c r="AL81" s="1701">
        <v>0.0</v>
      </c>
      <c r="AM81" s="1701">
        <v>0.0</v>
      </c>
      <c r="AN81" s="549">
        <v>0.0</v>
      </c>
      <c r="AO81" s="549">
        <v>0.0</v>
      </c>
      <c r="AP81" s="549">
        <v>0.0</v>
      </c>
      <c r="AQ81" s="549">
        <v>0.0</v>
      </c>
      <c r="AR81" s="549">
        <v>0.0</v>
      </c>
      <c r="AS81" s="549"/>
      <c r="AT81" s="549">
        <v>0.0</v>
      </c>
      <c r="AU81" s="549"/>
      <c r="AV81" s="549"/>
      <c r="AW81" s="549"/>
      <c r="AX81" s="549"/>
      <c r="AY81" s="549"/>
      <c r="AZ81" s="549"/>
      <c r="BA81" s="549">
        <f t="shared" si="4"/>
        <v>0</v>
      </c>
      <c r="BB81" s="549" t="s">
        <v>6988</v>
      </c>
    </row>
    <row r="82">
      <c r="A82" s="1687" t="s">
        <v>6987</v>
      </c>
      <c r="B82" s="1634" t="s">
        <v>6676</v>
      </c>
      <c r="C82" s="1687" t="s">
        <v>6886</v>
      </c>
      <c r="D82" s="1701">
        <v>0.0</v>
      </c>
      <c r="E82" s="1701">
        <v>0.0</v>
      </c>
      <c r="F82" s="1701">
        <v>0.0</v>
      </c>
      <c r="G82" s="1701">
        <v>0.0</v>
      </c>
      <c r="H82" s="549">
        <v>0.0</v>
      </c>
      <c r="I82" s="1710">
        <v>0.0</v>
      </c>
      <c r="J82" s="1710">
        <v>0.0</v>
      </c>
      <c r="K82" s="1711">
        <v>0.0</v>
      </c>
      <c r="L82" s="549">
        <v>0.0</v>
      </c>
      <c r="M82" s="549">
        <v>0.0</v>
      </c>
      <c r="N82" s="1701">
        <v>0.0</v>
      </c>
      <c r="O82" s="1710">
        <v>0.0</v>
      </c>
      <c r="P82" s="1167"/>
      <c r="Q82" s="549">
        <v>1.0</v>
      </c>
      <c r="R82" s="549">
        <v>0.0</v>
      </c>
      <c r="S82" s="549">
        <v>0.0</v>
      </c>
      <c r="T82" s="549">
        <v>0.0</v>
      </c>
      <c r="U82" s="1701">
        <v>2.0</v>
      </c>
      <c r="V82" s="1701">
        <v>0.0</v>
      </c>
      <c r="W82" s="1701">
        <v>0.0</v>
      </c>
      <c r="X82" s="548">
        <v>1.0</v>
      </c>
      <c r="Y82" s="548">
        <v>0.0</v>
      </c>
      <c r="Z82" s="548">
        <v>0.0</v>
      </c>
      <c r="AA82" s="1701">
        <v>0.0</v>
      </c>
      <c r="AB82" s="1701">
        <v>0.0</v>
      </c>
      <c r="AC82" s="1701">
        <v>0.0</v>
      </c>
      <c r="AD82" s="1701"/>
      <c r="AE82" s="1701">
        <v>2.0</v>
      </c>
      <c r="AF82" s="1701">
        <v>0.0</v>
      </c>
      <c r="AG82" s="1701">
        <v>0.0</v>
      </c>
      <c r="AH82" s="1701">
        <v>1.0</v>
      </c>
      <c r="AI82" s="1701">
        <v>0.0</v>
      </c>
      <c r="AJ82" s="1701">
        <v>0.0</v>
      </c>
      <c r="AK82" s="1701">
        <v>0.0</v>
      </c>
      <c r="AL82" s="1701">
        <v>0.0</v>
      </c>
      <c r="AM82" s="1701">
        <v>0.0</v>
      </c>
      <c r="AN82" s="549">
        <v>0.0</v>
      </c>
      <c r="AO82" s="549">
        <v>0.0</v>
      </c>
      <c r="AP82" s="549">
        <v>0.0</v>
      </c>
      <c r="AQ82" s="549">
        <v>0.0</v>
      </c>
      <c r="AR82" s="549">
        <v>0.0</v>
      </c>
      <c r="AS82" s="549"/>
      <c r="AT82" s="549">
        <v>3.0</v>
      </c>
      <c r="AU82" s="549"/>
      <c r="AV82" s="549"/>
      <c r="AW82" s="549"/>
      <c r="AX82" s="549"/>
      <c r="AY82" s="549"/>
      <c r="AZ82" s="549"/>
      <c r="BA82" s="549">
        <f t="shared" si="4"/>
        <v>10</v>
      </c>
      <c r="BB82" s="549" t="s">
        <v>6988</v>
      </c>
    </row>
    <row r="83">
      <c r="A83" s="1687" t="s">
        <v>6987</v>
      </c>
      <c r="B83" s="1634" t="s">
        <v>6891</v>
      </c>
      <c r="C83" s="1687" t="s">
        <v>6886</v>
      </c>
      <c r="D83" s="1701">
        <v>0.0</v>
      </c>
      <c r="E83" s="1701">
        <v>0.0</v>
      </c>
      <c r="F83" s="1701">
        <v>0.0</v>
      </c>
      <c r="G83" s="1701">
        <v>0.0</v>
      </c>
      <c r="H83" s="549">
        <v>0.0</v>
      </c>
      <c r="I83" s="1710">
        <v>0.0</v>
      </c>
      <c r="J83" s="1710">
        <v>0.0</v>
      </c>
      <c r="K83" s="1711">
        <v>0.0</v>
      </c>
      <c r="L83" s="549">
        <v>0.0</v>
      </c>
      <c r="M83" s="1701">
        <v>1.0</v>
      </c>
      <c r="N83" s="1701">
        <v>1.0</v>
      </c>
      <c r="O83" s="1710">
        <v>0.0</v>
      </c>
      <c r="P83" s="1167"/>
      <c r="Q83" s="549">
        <v>0.0</v>
      </c>
      <c r="R83" s="549">
        <v>0.0</v>
      </c>
      <c r="S83" s="549">
        <v>1.0</v>
      </c>
      <c r="T83" s="549">
        <v>2.0</v>
      </c>
      <c r="U83" s="1701">
        <v>0.0</v>
      </c>
      <c r="V83" s="1701">
        <v>0.0</v>
      </c>
      <c r="W83" s="1701">
        <v>0.0</v>
      </c>
      <c r="X83" s="548">
        <v>1.0</v>
      </c>
      <c r="Y83" s="548">
        <v>1.0</v>
      </c>
      <c r="Z83" s="548">
        <v>0.0</v>
      </c>
      <c r="AA83" s="1701">
        <v>0.0</v>
      </c>
      <c r="AB83" s="1701">
        <v>0.0</v>
      </c>
      <c r="AC83" s="1701">
        <v>0.0</v>
      </c>
      <c r="AD83" s="1701"/>
      <c r="AE83" s="1701">
        <v>0.0</v>
      </c>
      <c r="AF83" s="1701">
        <v>0.0</v>
      </c>
      <c r="AG83" s="1701">
        <v>0.0</v>
      </c>
      <c r="AH83" s="1701">
        <v>0.0</v>
      </c>
      <c r="AI83" s="1701">
        <v>0.0</v>
      </c>
      <c r="AJ83" s="1701">
        <v>1.0</v>
      </c>
      <c r="AK83" s="1701">
        <v>0.0</v>
      </c>
      <c r="AL83" s="1701">
        <v>0.0</v>
      </c>
      <c r="AM83" s="1701">
        <v>0.0</v>
      </c>
      <c r="AN83" s="549">
        <v>0.0</v>
      </c>
      <c r="AO83" s="549">
        <v>0.0</v>
      </c>
      <c r="AP83" s="549">
        <v>0.0</v>
      </c>
      <c r="AQ83" s="549">
        <v>0.0</v>
      </c>
      <c r="AR83" s="549">
        <v>0.0</v>
      </c>
      <c r="AS83" s="549"/>
      <c r="AT83" s="549">
        <v>0.0</v>
      </c>
      <c r="AU83" s="549"/>
      <c r="AV83" s="549"/>
      <c r="AW83" s="549"/>
      <c r="AX83" s="549"/>
      <c r="AY83" s="549"/>
      <c r="AZ83" s="549"/>
      <c r="BA83" s="549">
        <f t="shared" si="4"/>
        <v>8</v>
      </c>
      <c r="BB83" s="549" t="s">
        <v>6988</v>
      </c>
    </row>
    <row r="84">
      <c r="A84" s="1687" t="s">
        <v>6987</v>
      </c>
      <c r="B84" s="1634" t="s">
        <v>6892</v>
      </c>
      <c r="C84" s="1687" t="s">
        <v>6886</v>
      </c>
      <c r="D84" s="1701">
        <v>0.0</v>
      </c>
      <c r="E84" s="1701">
        <v>0.0</v>
      </c>
      <c r="F84" s="1701">
        <v>0.0</v>
      </c>
      <c r="G84" s="1701">
        <v>0.0</v>
      </c>
      <c r="H84" s="549">
        <v>0.0</v>
      </c>
      <c r="I84" s="1710">
        <v>0.0</v>
      </c>
      <c r="J84" s="1710">
        <v>0.0</v>
      </c>
      <c r="K84" s="1711">
        <v>0.0</v>
      </c>
      <c r="L84" s="549">
        <v>0.0</v>
      </c>
      <c r="M84" s="549">
        <v>0.0</v>
      </c>
      <c r="N84" s="1701">
        <v>0.0</v>
      </c>
      <c r="O84" s="1710">
        <v>0.0</v>
      </c>
      <c r="P84" s="1167"/>
      <c r="Q84" s="549">
        <v>0.0</v>
      </c>
      <c r="R84" s="549">
        <v>0.0</v>
      </c>
      <c r="S84" s="549">
        <v>0.0</v>
      </c>
      <c r="T84" s="549">
        <v>0.0</v>
      </c>
      <c r="U84" s="1701">
        <v>0.0</v>
      </c>
      <c r="V84" s="1701">
        <v>0.0</v>
      </c>
      <c r="W84" s="1701">
        <v>0.0</v>
      </c>
      <c r="X84" s="548">
        <v>0.0</v>
      </c>
      <c r="Y84" s="548">
        <v>0.0</v>
      </c>
      <c r="Z84" s="548">
        <v>0.0</v>
      </c>
      <c r="AA84" s="1701">
        <v>0.0</v>
      </c>
      <c r="AB84" s="1701">
        <v>0.0</v>
      </c>
      <c r="AC84" s="1701">
        <v>0.0</v>
      </c>
      <c r="AD84" s="1701"/>
      <c r="AE84" s="1701">
        <v>0.0</v>
      </c>
      <c r="AF84" s="1701">
        <v>0.0</v>
      </c>
      <c r="AG84" s="1701">
        <v>0.0</v>
      </c>
      <c r="AH84" s="1701">
        <v>0.0</v>
      </c>
      <c r="AI84" s="1701">
        <v>0.0</v>
      </c>
      <c r="AJ84" s="1701">
        <v>0.0</v>
      </c>
      <c r="AK84" s="1701">
        <v>0.0</v>
      </c>
      <c r="AL84" s="1701">
        <v>0.0</v>
      </c>
      <c r="AM84" s="1701">
        <v>0.0</v>
      </c>
      <c r="AN84" s="549">
        <v>1.0</v>
      </c>
      <c r="AO84" s="549">
        <v>1.0</v>
      </c>
      <c r="AP84" s="549">
        <v>0.0</v>
      </c>
      <c r="AQ84" s="549">
        <v>0.0</v>
      </c>
      <c r="AR84" s="549">
        <v>0.0</v>
      </c>
      <c r="AS84" s="549"/>
      <c r="AT84" s="549">
        <v>0.0</v>
      </c>
      <c r="AU84" s="549"/>
      <c r="AV84" s="549"/>
      <c r="AW84" s="549"/>
      <c r="AX84" s="549"/>
      <c r="AY84" s="549"/>
      <c r="AZ84" s="549"/>
      <c r="BA84" s="549">
        <f t="shared" si="4"/>
        <v>2</v>
      </c>
      <c r="BB84" s="549" t="s">
        <v>6988</v>
      </c>
    </row>
    <row r="85">
      <c r="A85" s="1687" t="s">
        <v>6987</v>
      </c>
      <c r="B85" s="1634" t="s">
        <v>6894</v>
      </c>
      <c r="C85" s="1687" t="s">
        <v>6886</v>
      </c>
      <c r="D85" s="1701">
        <v>0.0</v>
      </c>
      <c r="E85" s="1701">
        <v>1.0</v>
      </c>
      <c r="F85" s="1701">
        <v>0.0</v>
      </c>
      <c r="G85" s="1701">
        <v>1.0</v>
      </c>
      <c r="H85" s="549">
        <v>1.0</v>
      </c>
      <c r="I85" s="1710">
        <v>1.0</v>
      </c>
      <c r="J85" s="1735"/>
      <c r="K85" s="1711">
        <v>2.0</v>
      </c>
      <c r="L85" s="549">
        <v>0.0</v>
      </c>
      <c r="M85" s="1701">
        <v>0.0</v>
      </c>
      <c r="N85" s="1701">
        <v>0.0</v>
      </c>
      <c r="O85" s="1710">
        <v>1.0</v>
      </c>
      <c r="P85" s="1167"/>
      <c r="Q85" s="549">
        <v>0.0</v>
      </c>
      <c r="R85" s="549">
        <v>0.0</v>
      </c>
      <c r="S85" s="549">
        <v>0.0</v>
      </c>
      <c r="T85" s="549">
        <v>0.0</v>
      </c>
      <c r="U85" s="1701">
        <v>0.0</v>
      </c>
      <c r="V85" s="1701">
        <v>1.0</v>
      </c>
      <c r="W85" s="1701">
        <v>0.0</v>
      </c>
      <c r="X85" s="548">
        <v>1.0</v>
      </c>
      <c r="Y85" s="548">
        <v>2.0</v>
      </c>
      <c r="Z85" s="548">
        <v>0.0</v>
      </c>
      <c r="AA85" s="1701">
        <v>0.0</v>
      </c>
      <c r="AB85" s="1701">
        <v>0.0</v>
      </c>
      <c r="AC85" s="1701">
        <v>0.0</v>
      </c>
      <c r="AD85" s="1701"/>
      <c r="AE85" s="1701">
        <v>1.0</v>
      </c>
      <c r="AF85" s="1701">
        <v>0.0</v>
      </c>
      <c r="AG85" s="1701">
        <v>0.0</v>
      </c>
      <c r="AH85" s="1701">
        <v>1.0</v>
      </c>
      <c r="AI85" s="1701">
        <v>0.0</v>
      </c>
      <c r="AJ85" s="1701">
        <v>0.0</v>
      </c>
      <c r="AK85" s="1701">
        <v>1.0</v>
      </c>
      <c r="AL85" s="1701">
        <v>0.0</v>
      </c>
      <c r="AM85" s="1701">
        <v>3.0</v>
      </c>
      <c r="AN85" s="549">
        <v>0.0</v>
      </c>
      <c r="AO85" s="549">
        <v>0.0</v>
      </c>
      <c r="AP85" s="549">
        <v>0.0</v>
      </c>
      <c r="AQ85" s="549">
        <v>0.0</v>
      </c>
      <c r="AR85" s="549">
        <v>0.0</v>
      </c>
      <c r="AS85" s="549"/>
      <c r="AT85" s="549">
        <v>3.0</v>
      </c>
      <c r="AU85" s="549"/>
      <c r="AV85" s="549"/>
      <c r="AW85" s="549"/>
      <c r="AX85" s="549"/>
      <c r="AY85" s="549"/>
      <c r="AZ85" s="549"/>
      <c r="BA85" s="549">
        <f t="shared" si="4"/>
        <v>20</v>
      </c>
      <c r="BB85" s="549"/>
    </row>
    <row r="86">
      <c r="A86" s="1687" t="s">
        <v>6987</v>
      </c>
      <c r="B86" s="1634" t="s">
        <v>6896</v>
      </c>
      <c r="C86" s="1687" t="s">
        <v>6886</v>
      </c>
      <c r="D86" s="1701">
        <v>0.0</v>
      </c>
      <c r="E86" s="1701">
        <v>0.0</v>
      </c>
      <c r="F86" s="1701">
        <v>0.0</v>
      </c>
      <c r="G86" s="1701">
        <v>1.0</v>
      </c>
      <c r="H86" s="549">
        <v>0.0</v>
      </c>
      <c r="I86" s="1710">
        <v>1.0</v>
      </c>
      <c r="J86" s="1710">
        <v>1.0</v>
      </c>
      <c r="K86" s="1711">
        <v>0.0</v>
      </c>
      <c r="L86" s="549">
        <v>0.0</v>
      </c>
      <c r="M86" s="1701">
        <v>1.0</v>
      </c>
      <c r="N86" s="1701">
        <v>0.0</v>
      </c>
      <c r="O86" s="1710">
        <v>0.0</v>
      </c>
      <c r="P86" s="1167"/>
      <c r="Q86" s="549">
        <v>0.0</v>
      </c>
      <c r="R86" s="549">
        <v>0.0</v>
      </c>
      <c r="S86" s="549">
        <v>2.0</v>
      </c>
      <c r="T86" s="549">
        <v>1.0</v>
      </c>
      <c r="U86" s="1701">
        <v>0.0</v>
      </c>
      <c r="V86" s="1701">
        <v>1.0</v>
      </c>
      <c r="W86" s="1701">
        <v>1.0</v>
      </c>
      <c r="X86" s="548">
        <v>0.0</v>
      </c>
      <c r="Y86" s="548">
        <v>0.0</v>
      </c>
      <c r="Z86" s="548">
        <v>0.0</v>
      </c>
      <c r="AA86" s="1701">
        <v>1.0</v>
      </c>
      <c r="AB86" s="1701">
        <v>1.0</v>
      </c>
      <c r="AC86" s="1701">
        <v>0.0</v>
      </c>
      <c r="AD86" s="1701"/>
      <c r="AE86" s="1701">
        <v>0.0</v>
      </c>
      <c r="AF86" s="1701">
        <v>1.0</v>
      </c>
      <c r="AG86" s="1701">
        <v>0.0</v>
      </c>
      <c r="AH86" s="1701">
        <v>0.0</v>
      </c>
      <c r="AI86" s="1701">
        <v>0.0</v>
      </c>
      <c r="AJ86" s="1701">
        <v>0.0</v>
      </c>
      <c r="AK86" s="1701">
        <v>1.0</v>
      </c>
      <c r="AL86" s="1701">
        <v>0.0</v>
      </c>
      <c r="AM86" s="1701">
        <v>0.0</v>
      </c>
      <c r="AN86" s="549">
        <v>0.0</v>
      </c>
      <c r="AO86" s="549">
        <v>0.0</v>
      </c>
      <c r="AP86" s="549">
        <v>3.0</v>
      </c>
      <c r="AQ86" s="549">
        <v>0.0</v>
      </c>
      <c r="AR86" s="549">
        <v>0.0</v>
      </c>
      <c r="AS86" s="549"/>
      <c r="AT86" s="549">
        <v>0.0</v>
      </c>
      <c r="AU86" s="549"/>
      <c r="AV86" s="549"/>
      <c r="AW86" s="549"/>
      <c r="AX86" s="549"/>
      <c r="AY86" s="549"/>
      <c r="AZ86" s="549"/>
      <c r="BA86" s="549">
        <f t="shared" si="4"/>
        <v>16</v>
      </c>
      <c r="BB86" s="549"/>
    </row>
    <row r="87">
      <c r="A87" s="1687" t="s">
        <v>6987</v>
      </c>
      <c r="B87" s="1634" t="s">
        <v>6897</v>
      </c>
      <c r="C87" s="1687" t="s">
        <v>6886</v>
      </c>
      <c r="D87" s="1701">
        <v>0.0</v>
      </c>
      <c r="E87" s="1701">
        <v>0.0</v>
      </c>
      <c r="F87" s="1701">
        <v>0.0</v>
      </c>
      <c r="G87" s="1701">
        <v>0.0</v>
      </c>
      <c r="H87" s="549">
        <v>0.0</v>
      </c>
      <c r="I87" s="1710">
        <v>0.0</v>
      </c>
      <c r="J87" s="1710">
        <v>0.0</v>
      </c>
      <c r="K87" s="1711">
        <v>0.0</v>
      </c>
      <c r="L87" s="549">
        <v>0.0</v>
      </c>
      <c r="M87" s="1701">
        <v>0.0</v>
      </c>
      <c r="N87" s="1701">
        <v>0.0</v>
      </c>
      <c r="O87" s="1710">
        <v>1.0</v>
      </c>
      <c r="P87" s="1167"/>
      <c r="Q87" s="549">
        <v>0.0</v>
      </c>
      <c r="R87" s="549">
        <v>0.0</v>
      </c>
      <c r="S87" s="549">
        <v>1.0</v>
      </c>
      <c r="T87" s="549">
        <v>1.0</v>
      </c>
      <c r="U87" s="1701">
        <v>2.0</v>
      </c>
      <c r="V87" s="1701">
        <v>0.0</v>
      </c>
      <c r="W87" s="1701">
        <v>2.0</v>
      </c>
      <c r="X87" s="548">
        <v>0.0</v>
      </c>
      <c r="Y87" s="548">
        <v>0.0</v>
      </c>
      <c r="Z87" s="548">
        <v>0.0</v>
      </c>
      <c r="AA87" s="1701">
        <v>3.0</v>
      </c>
      <c r="AB87" s="1701">
        <v>2.0</v>
      </c>
      <c r="AC87" s="1701">
        <v>0.0</v>
      </c>
      <c r="AD87" s="1701"/>
      <c r="AE87" s="1701">
        <v>0.0</v>
      </c>
      <c r="AF87" s="1701">
        <v>0.0</v>
      </c>
      <c r="AG87" s="1701">
        <v>0.0</v>
      </c>
      <c r="AH87" s="1701">
        <v>0.0</v>
      </c>
      <c r="AI87" s="1701">
        <v>0.0</v>
      </c>
      <c r="AJ87" s="1701">
        <v>2.0</v>
      </c>
      <c r="AK87" s="1701">
        <v>4.0</v>
      </c>
      <c r="AL87" s="1701">
        <v>0.0</v>
      </c>
      <c r="AM87" s="1701">
        <v>0.0</v>
      </c>
      <c r="AN87" s="549">
        <v>0.0</v>
      </c>
      <c r="AO87" s="549">
        <v>0.0</v>
      </c>
      <c r="AP87" s="549">
        <v>0.0</v>
      </c>
      <c r="AQ87" s="549">
        <v>0.0</v>
      </c>
      <c r="AR87" s="549">
        <v>0.0</v>
      </c>
      <c r="AS87" s="549"/>
      <c r="AT87" s="549">
        <v>0.0</v>
      </c>
      <c r="AU87" s="549"/>
      <c r="AV87" s="549"/>
      <c r="AW87" s="549"/>
      <c r="AX87" s="549"/>
      <c r="AY87" s="549"/>
      <c r="AZ87" s="549"/>
      <c r="BA87" s="549">
        <f t="shared" si="4"/>
        <v>18</v>
      </c>
      <c r="BB87" s="549" t="s">
        <v>6988</v>
      </c>
    </row>
    <row r="88">
      <c r="A88" s="1687" t="s">
        <v>6987</v>
      </c>
      <c r="B88" s="1634" t="s">
        <v>6898</v>
      </c>
      <c r="C88" s="1687" t="s">
        <v>6886</v>
      </c>
      <c r="D88" s="1701">
        <v>1.0</v>
      </c>
      <c r="E88" s="1701">
        <v>0.0</v>
      </c>
      <c r="F88" s="1701">
        <v>0.0</v>
      </c>
      <c r="G88" s="1701">
        <v>0.0</v>
      </c>
      <c r="H88" s="549">
        <v>0.0</v>
      </c>
      <c r="I88" s="1710">
        <v>1.0</v>
      </c>
      <c r="J88" s="1735"/>
      <c r="K88" s="1711">
        <v>0.0</v>
      </c>
      <c r="L88" s="549">
        <v>1.0</v>
      </c>
      <c r="M88" s="549">
        <v>0.0</v>
      </c>
      <c r="N88" s="1701">
        <v>0.0</v>
      </c>
      <c r="O88" s="1710">
        <v>1.0</v>
      </c>
      <c r="P88" s="1167"/>
      <c r="Q88" s="549">
        <v>0.0</v>
      </c>
      <c r="R88" s="549">
        <v>0.0</v>
      </c>
      <c r="S88" s="549">
        <v>1.0</v>
      </c>
      <c r="T88" s="549">
        <v>1.0</v>
      </c>
      <c r="U88" s="1701">
        <v>0.0</v>
      </c>
      <c r="V88" s="1701">
        <v>2.0</v>
      </c>
      <c r="W88" s="1701">
        <v>1.0</v>
      </c>
      <c r="X88" s="548">
        <v>0.0</v>
      </c>
      <c r="Y88" s="548">
        <v>0.0</v>
      </c>
      <c r="Z88" s="548">
        <v>1.0</v>
      </c>
      <c r="AA88" s="1701">
        <v>0.0</v>
      </c>
      <c r="AB88" s="1701">
        <v>0.0</v>
      </c>
      <c r="AC88" s="1701">
        <v>0.0</v>
      </c>
      <c r="AD88" s="1701"/>
      <c r="AE88" s="1701">
        <v>0.0</v>
      </c>
      <c r="AF88" s="1701">
        <v>0.0</v>
      </c>
      <c r="AG88" s="1701">
        <v>0.0</v>
      </c>
      <c r="AH88" s="1701">
        <v>2.0</v>
      </c>
      <c r="AI88" s="1701">
        <v>0.0</v>
      </c>
      <c r="AJ88" s="1701">
        <v>0.0</v>
      </c>
      <c r="AK88" s="1701">
        <v>0.0</v>
      </c>
      <c r="AL88" s="1701">
        <v>1.0</v>
      </c>
      <c r="AM88" s="1701">
        <v>0.0</v>
      </c>
      <c r="AN88" s="549">
        <v>0.0</v>
      </c>
      <c r="AO88" s="549">
        <v>1.0</v>
      </c>
      <c r="AP88" s="549">
        <v>3.0</v>
      </c>
      <c r="AQ88" s="549">
        <v>0.0</v>
      </c>
      <c r="AR88" s="549">
        <v>0.0</v>
      </c>
      <c r="AS88" s="549"/>
      <c r="AT88" s="549">
        <v>0.0</v>
      </c>
      <c r="AU88" s="549"/>
      <c r="AV88" s="549"/>
      <c r="AW88" s="549"/>
      <c r="AX88" s="549"/>
      <c r="AY88" s="549"/>
      <c r="AZ88" s="549"/>
      <c r="BA88" s="549">
        <f t="shared" si="4"/>
        <v>17</v>
      </c>
      <c r="BB88" s="549"/>
    </row>
    <row r="89">
      <c r="A89" s="1687" t="s">
        <v>6987</v>
      </c>
      <c r="B89" s="1634" t="s">
        <v>6899</v>
      </c>
      <c r="C89" s="1687" t="s">
        <v>6886</v>
      </c>
      <c r="D89" s="1701">
        <v>0.0</v>
      </c>
      <c r="E89" s="1701">
        <v>0.0</v>
      </c>
      <c r="F89" s="1701">
        <v>0.0</v>
      </c>
      <c r="G89" s="1701">
        <v>1.0</v>
      </c>
      <c r="H89" s="549">
        <v>0.0</v>
      </c>
      <c r="I89" s="1710">
        <v>0.0</v>
      </c>
      <c r="J89" s="1735"/>
      <c r="K89" s="1711">
        <v>1.0</v>
      </c>
      <c r="L89" s="549">
        <v>2.0</v>
      </c>
      <c r="M89" s="1701">
        <v>0.0</v>
      </c>
      <c r="N89" s="1701">
        <v>0.0</v>
      </c>
      <c r="O89" s="1710">
        <v>1.0</v>
      </c>
      <c r="P89" s="1167"/>
      <c r="Q89" s="549">
        <v>2.0</v>
      </c>
      <c r="R89" s="549">
        <v>0.0</v>
      </c>
      <c r="S89" s="549">
        <v>1.0</v>
      </c>
      <c r="T89" s="549">
        <v>2.0</v>
      </c>
      <c r="U89" s="1701">
        <v>1.0</v>
      </c>
      <c r="V89" s="1701">
        <v>3.0</v>
      </c>
      <c r="W89" s="1701">
        <v>1.0</v>
      </c>
      <c r="X89" s="548">
        <v>0.0</v>
      </c>
      <c r="Y89" s="548">
        <v>1.0</v>
      </c>
      <c r="Z89" s="548">
        <v>0.0</v>
      </c>
      <c r="AA89" s="1701">
        <v>0.0</v>
      </c>
      <c r="AB89" s="1701">
        <v>0.0</v>
      </c>
      <c r="AC89" s="1701">
        <v>0.0</v>
      </c>
      <c r="AD89" s="1701"/>
      <c r="AE89" s="1701">
        <v>1.0</v>
      </c>
      <c r="AF89" s="1701">
        <v>1.0</v>
      </c>
      <c r="AG89" s="1701">
        <v>0.0</v>
      </c>
      <c r="AH89" s="1701">
        <v>2.0</v>
      </c>
      <c r="AI89" s="1701">
        <v>0.0</v>
      </c>
      <c r="AJ89" s="1701">
        <v>0.0</v>
      </c>
      <c r="AK89" s="1701">
        <v>2.0</v>
      </c>
      <c r="AL89" s="1701">
        <v>0.0</v>
      </c>
      <c r="AM89" s="1701">
        <v>2.0</v>
      </c>
      <c r="AN89" s="549">
        <v>1.0</v>
      </c>
      <c r="AO89" s="549">
        <v>0.0</v>
      </c>
      <c r="AP89" s="549">
        <v>0.0</v>
      </c>
      <c r="AQ89" s="549">
        <v>0.0</v>
      </c>
      <c r="AR89" s="549">
        <v>0.0</v>
      </c>
      <c r="AS89" s="549"/>
      <c r="AT89" s="549">
        <v>0.0</v>
      </c>
      <c r="AU89" s="549"/>
      <c r="AV89" s="549"/>
      <c r="AW89" s="549"/>
      <c r="AX89" s="549"/>
      <c r="AY89" s="549"/>
      <c r="AZ89" s="549"/>
      <c r="BA89" s="549">
        <f t="shared" si="4"/>
        <v>25</v>
      </c>
      <c r="BB89" s="549"/>
    </row>
    <row r="90">
      <c r="A90" s="1687" t="s">
        <v>6987</v>
      </c>
      <c r="B90" s="1634" t="s">
        <v>6900</v>
      </c>
      <c r="C90" s="1687" t="s">
        <v>6886</v>
      </c>
      <c r="D90" s="1701">
        <v>0.0</v>
      </c>
      <c r="E90" s="1701">
        <v>0.0</v>
      </c>
      <c r="F90" s="1701">
        <v>1.0</v>
      </c>
      <c r="G90" s="1701">
        <v>0.0</v>
      </c>
      <c r="H90" s="549">
        <v>0.0</v>
      </c>
      <c r="I90" s="1710">
        <v>0.0</v>
      </c>
      <c r="J90" s="1735"/>
      <c r="K90" s="1711">
        <v>0.0</v>
      </c>
      <c r="L90" s="549">
        <v>0.0</v>
      </c>
      <c r="M90" s="549">
        <v>0.0</v>
      </c>
      <c r="N90" s="1701">
        <v>0.0</v>
      </c>
      <c r="O90" s="1710">
        <v>0.0</v>
      </c>
      <c r="P90" s="1167"/>
      <c r="Q90" s="549">
        <v>0.0</v>
      </c>
      <c r="R90" s="549">
        <v>0.0</v>
      </c>
      <c r="S90" s="549">
        <v>1.0</v>
      </c>
      <c r="T90" s="549">
        <v>0.0</v>
      </c>
      <c r="U90" s="1701">
        <v>0.0</v>
      </c>
      <c r="V90" s="1701">
        <v>0.0</v>
      </c>
      <c r="W90" s="1701">
        <v>0.0</v>
      </c>
      <c r="X90" s="548">
        <v>0.0</v>
      </c>
      <c r="Y90" s="548">
        <v>0.0</v>
      </c>
      <c r="Z90" s="548">
        <v>0.0</v>
      </c>
      <c r="AA90" s="1701">
        <v>5.0</v>
      </c>
      <c r="AB90" s="1701">
        <v>0.0</v>
      </c>
      <c r="AC90" s="1701">
        <v>0.0</v>
      </c>
      <c r="AD90" s="1701"/>
      <c r="AE90" s="1701">
        <v>0.0</v>
      </c>
      <c r="AF90" s="1701">
        <v>0.0</v>
      </c>
      <c r="AG90" s="1701">
        <v>0.0</v>
      </c>
      <c r="AH90" s="1701">
        <v>0.0</v>
      </c>
      <c r="AI90" s="1701">
        <v>1.0</v>
      </c>
      <c r="AJ90" s="1701">
        <v>0.0</v>
      </c>
      <c r="AK90" s="1701">
        <v>0.0</v>
      </c>
      <c r="AL90" s="1701">
        <v>0.0</v>
      </c>
      <c r="AM90" s="1701">
        <v>0.0</v>
      </c>
      <c r="AN90" s="549">
        <v>0.0</v>
      </c>
      <c r="AO90" s="549">
        <v>0.0</v>
      </c>
      <c r="AP90" s="549">
        <v>0.0</v>
      </c>
      <c r="AQ90" s="549">
        <v>0.0</v>
      </c>
      <c r="AR90" s="549">
        <v>0.0</v>
      </c>
      <c r="AS90" s="549"/>
      <c r="AT90" s="549">
        <v>0.0</v>
      </c>
      <c r="AU90" s="549"/>
      <c r="AV90" s="549"/>
      <c r="AW90" s="549"/>
      <c r="AX90" s="549"/>
      <c r="AY90" s="549"/>
      <c r="AZ90" s="549"/>
      <c r="BA90" s="549">
        <f t="shared" si="4"/>
        <v>8</v>
      </c>
      <c r="BB90" s="549" t="s">
        <v>6988</v>
      </c>
    </row>
    <row r="91">
      <c r="A91" s="1687" t="s">
        <v>6987</v>
      </c>
      <c r="B91" s="1634" t="s">
        <v>6901</v>
      </c>
      <c r="C91" s="1687" t="s">
        <v>6886</v>
      </c>
      <c r="D91" s="1701">
        <v>0.0</v>
      </c>
      <c r="E91" s="1701">
        <v>0.0</v>
      </c>
      <c r="F91" s="1701">
        <v>0.0</v>
      </c>
      <c r="G91" s="1701">
        <v>1.0</v>
      </c>
      <c r="H91" s="549">
        <v>0.0</v>
      </c>
      <c r="I91" s="1710">
        <v>1.0</v>
      </c>
      <c r="J91" s="1710">
        <v>4.0</v>
      </c>
      <c r="K91" s="1711">
        <v>4.0</v>
      </c>
      <c r="L91" s="549">
        <v>0.0</v>
      </c>
      <c r="M91" s="1701">
        <v>0.0</v>
      </c>
      <c r="N91" s="1701">
        <v>1.0</v>
      </c>
      <c r="O91" s="1710">
        <v>1.0</v>
      </c>
      <c r="P91" s="1167"/>
      <c r="Q91" s="549">
        <v>3.0</v>
      </c>
      <c r="R91" s="549">
        <v>1.0</v>
      </c>
      <c r="S91" s="549">
        <v>2.0</v>
      </c>
      <c r="T91" s="549">
        <v>0.0</v>
      </c>
      <c r="U91" s="1701">
        <v>1.0</v>
      </c>
      <c r="V91" s="1701">
        <v>1.0</v>
      </c>
      <c r="W91" s="1701">
        <v>2.0</v>
      </c>
      <c r="X91" s="548">
        <v>0.0</v>
      </c>
      <c r="Y91" s="548">
        <v>4.0</v>
      </c>
      <c r="Z91" s="548">
        <v>1.0</v>
      </c>
      <c r="AA91" s="1701">
        <v>6.0</v>
      </c>
      <c r="AB91" s="1701">
        <v>1.0</v>
      </c>
      <c r="AC91" s="1701">
        <v>0.0</v>
      </c>
      <c r="AD91" s="1701"/>
      <c r="AE91" s="1701">
        <v>1.0</v>
      </c>
      <c r="AF91" s="1701">
        <v>0.0</v>
      </c>
      <c r="AG91" s="1701">
        <v>0.0</v>
      </c>
      <c r="AH91" s="1701">
        <v>1.0</v>
      </c>
      <c r="AI91" s="1701">
        <v>0.0</v>
      </c>
      <c r="AJ91" s="1701">
        <v>0.0</v>
      </c>
      <c r="AK91" s="1701">
        <v>0.0</v>
      </c>
      <c r="AL91" s="1701">
        <v>0.0</v>
      </c>
      <c r="AM91" s="1701">
        <v>0.0</v>
      </c>
      <c r="AN91" s="549">
        <v>0.0</v>
      </c>
      <c r="AO91" s="549">
        <v>0.0</v>
      </c>
      <c r="AP91" s="549">
        <v>0.0</v>
      </c>
      <c r="AQ91" s="549">
        <v>0.0</v>
      </c>
      <c r="AR91" s="549">
        <v>0.0</v>
      </c>
      <c r="AS91" s="549"/>
      <c r="AT91" s="549">
        <v>0.0</v>
      </c>
      <c r="AU91" s="549"/>
      <c r="AV91" s="549"/>
      <c r="AW91" s="549"/>
      <c r="AX91" s="549"/>
      <c r="AY91" s="549"/>
      <c r="AZ91" s="549"/>
      <c r="BA91" s="549">
        <f t="shared" si="4"/>
        <v>36</v>
      </c>
      <c r="BB91" s="549"/>
    </row>
    <row r="92">
      <c r="A92" s="1687" t="s">
        <v>6987</v>
      </c>
      <c r="B92" s="1634" t="s">
        <v>6902</v>
      </c>
      <c r="C92" s="1687" t="s">
        <v>6886</v>
      </c>
      <c r="D92" s="1701">
        <v>0.0</v>
      </c>
      <c r="E92" s="1701">
        <v>1.0</v>
      </c>
      <c r="F92" s="1701">
        <v>0.0</v>
      </c>
      <c r="G92" s="1701">
        <v>0.0</v>
      </c>
      <c r="H92" s="549">
        <v>2.0</v>
      </c>
      <c r="I92" s="1710">
        <v>0.0</v>
      </c>
      <c r="J92" s="1710">
        <v>2.0</v>
      </c>
      <c r="K92" s="1711">
        <v>0.0</v>
      </c>
      <c r="L92" s="549">
        <v>1.0</v>
      </c>
      <c r="M92" s="1701">
        <v>2.0</v>
      </c>
      <c r="N92" s="1701">
        <v>0.0</v>
      </c>
      <c r="O92" s="1710">
        <v>0.0</v>
      </c>
      <c r="P92" s="1167"/>
      <c r="Q92" s="549">
        <v>0.0</v>
      </c>
      <c r="R92" s="549">
        <v>1.0</v>
      </c>
      <c r="S92" s="549">
        <v>0.0</v>
      </c>
      <c r="T92" s="549">
        <v>2.0</v>
      </c>
      <c r="U92" s="1701">
        <v>0.0</v>
      </c>
      <c r="V92" s="1701">
        <v>2.0</v>
      </c>
      <c r="W92" s="1701">
        <v>0.0</v>
      </c>
      <c r="X92" s="548">
        <v>0.0</v>
      </c>
      <c r="Y92" s="548">
        <v>0.0</v>
      </c>
      <c r="Z92" s="548">
        <v>0.0</v>
      </c>
      <c r="AA92" s="1701">
        <v>0.0</v>
      </c>
      <c r="AB92" s="1701">
        <v>0.0</v>
      </c>
      <c r="AC92" s="1701">
        <v>0.0</v>
      </c>
      <c r="AD92" s="1701"/>
      <c r="AE92" s="1701">
        <v>0.0</v>
      </c>
      <c r="AF92" s="1701">
        <v>1.0</v>
      </c>
      <c r="AG92" s="1701">
        <v>0.0</v>
      </c>
      <c r="AH92" s="1701">
        <v>3.0</v>
      </c>
      <c r="AI92" s="1701">
        <v>1.0</v>
      </c>
      <c r="AJ92" s="1701">
        <v>0.0</v>
      </c>
      <c r="AK92" s="1701">
        <v>4.0</v>
      </c>
      <c r="AL92" s="1701">
        <v>1.0</v>
      </c>
      <c r="AM92" s="1701">
        <v>0.0</v>
      </c>
      <c r="AN92" s="549">
        <v>1.0</v>
      </c>
      <c r="AO92" s="549">
        <v>1.0</v>
      </c>
      <c r="AP92" s="549">
        <v>0.0</v>
      </c>
      <c r="AQ92" s="549">
        <v>0.0</v>
      </c>
      <c r="AR92" s="549">
        <v>0.0</v>
      </c>
      <c r="AS92" s="549"/>
      <c r="AT92" s="549">
        <v>0.0</v>
      </c>
      <c r="AU92" s="549"/>
      <c r="AV92" s="549"/>
      <c r="AW92" s="549"/>
      <c r="AX92" s="549"/>
      <c r="AY92" s="549"/>
      <c r="AZ92" s="549"/>
      <c r="BA92" s="549">
        <f t="shared" si="4"/>
        <v>25</v>
      </c>
      <c r="BB92" s="549"/>
    </row>
    <row r="93">
      <c r="A93" s="1687" t="s">
        <v>6987</v>
      </c>
      <c r="B93" s="1634" t="s">
        <v>6904</v>
      </c>
      <c r="C93" s="1687" t="s">
        <v>6886</v>
      </c>
      <c r="D93" s="1701">
        <v>0.0</v>
      </c>
      <c r="E93" s="1701">
        <v>0.0</v>
      </c>
      <c r="F93" s="1701">
        <v>0.0</v>
      </c>
      <c r="G93" s="1701">
        <v>0.0</v>
      </c>
      <c r="H93" s="549">
        <v>0.0</v>
      </c>
      <c r="I93" s="1710">
        <v>0.0</v>
      </c>
      <c r="J93" s="1710">
        <v>0.0</v>
      </c>
      <c r="K93" s="1711">
        <v>0.0</v>
      </c>
      <c r="L93" s="549">
        <v>1.0</v>
      </c>
      <c r="M93" s="1701">
        <v>0.0</v>
      </c>
      <c r="N93" s="1701">
        <v>1.0</v>
      </c>
      <c r="O93" s="1710">
        <v>0.0</v>
      </c>
      <c r="P93" s="1167"/>
      <c r="Q93" s="549">
        <v>0.0</v>
      </c>
      <c r="R93" s="549">
        <v>0.0</v>
      </c>
      <c r="S93" s="549">
        <v>0.0</v>
      </c>
      <c r="T93" s="549">
        <v>0.0</v>
      </c>
      <c r="U93" s="1701">
        <v>1.0</v>
      </c>
      <c r="V93" s="1701">
        <v>0.0</v>
      </c>
      <c r="W93" s="1701">
        <v>0.0</v>
      </c>
      <c r="X93" s="548">
        <v>1.0</v>
      </c>
      <c r="Y93" s="548">
        <v>0.0</v>
      </c>
      <c r="Z93" s="548">
        <v>0.0</v>
      </c>
      <c r="AA93" s="1701">
        <v>0.0</v>
      </c>
      <c r="AB93" s="1701">
        <v>0.0</v>
      </c>
      <c r="AC93" s="1701">
        <v>0.0</v>
      </c>
      <c r="AD93" s="1701"/>
      <c r="AE93" s="1701">
        <v>0.0</v>
      </c>
      <c r="AF93" s="1701">
        <v>0.0</v>
      </c>
      <c r="AG93" s="1701">
        <v>0.0</v>
      </c>
      <c r="AH93" s="1701">
        <v>0.0</v>
      </c>
      <c r="AI93" s="1701">
        <v>0.0</v>
      </c>
      <c r="AJ93" s="1701">
        <v>0.0</v>
      </c>
      <c r="AK93" s="1701">
        <v>0.0</v>
      </c>
      <c r="AL93" s="1701">
        <v>0.0</v>
      </c>
      <c r="AM93" s="1701">
        <v>0.0</v>
      </c>
      <c r="AN93" s="549">
        <v>1.0</v>
      </c>
      <c r="AO93" s="549">
        <v>0.0</v>
      </c>
      <c r="AP93" s="549">
        <v>3.0</v>
      </c>
      <c r="AQ93" s="549">
        <v>0.0</v>
      </c>
      <c r="AR93" s="549">
        <v>0.0</v>
      </c>
      <c r="AS93" s="549"/>
      <c r="AT93" s="549">
        <v>0.0</v>
      </c>
      <c r="AU93" s="549"/>
      <c r="AV93" s="549"/>
      <c r="AW93" s="549"/>
      <c r="AX93" s="549"/>
      <c r="AY93" s="549"/>
      <c r="AZ93" s="549"/>
      <c r="BA93" s="549">
        <f t="shared" si="4"/>
        <v>8</v>
      </c>
      <c r="BB93" s="549" t="s">
        <v>6988</v>
      </c>
    </row>
    <row r="94">
      <c r="A94" s="1687" t="s">
        <v>6987</v>
      </c>
      <c r="B94" s="1634" t="s">
        <v>6905</v>
      </c>
      <c r="C94" s="1687" t="s">
        <v>6886</v>
      </c>
      <c r="D94" s="1701">
        <v>0.0</v>
      </c>
      <c r="E94" s="1701">
        <v>0.0</v>
      </c>
      <c r="F94" s="1701">
        <v>0.0</v>
      </c>
      <c r="G94" s="1701">
        <v>0.0</v>
      </c>
      <c r="H94" s="549">
        <v>0.0</v>
      </c>
      <c r="I94" s="1710">
        <v>0.0</v>
      </c>
      <c r="J94" s="1710">
        <v>0.0</v>
      </c>
      <c r="K94" s="1711">
        <v>0.0</v>
      </c>
      <c r="L94" s="549">
        <v>0.0</v>
      </c>
      <c r="M94" s="1701">
        <v>0.0</v>
      </c>
      <c r="N94" s="1701">
        <v>0.0</v>
      </c>
      <c r="O94" s="1710">
        <v>0.0</v>
      </c>
      <c r="P94" s="1167"/>
      <c r="Q94" s="549">
        <v>0.0</v>
      </c>
      <c r="R94" s="549">
        <v>0.0</v>
      </c>
      <c r="S94" s="549">
        <v>0.0</v>
      </c>
      <c r="T94" s="549">
        <v>0.0</v>
      </c>
      <c r="U94" s="1701">
        <v>0.0</v>
      </c>
      <c r="V94" s="1701">
        <v>0.0</v>
      </c>
      <c r="W94" s="1701">
        <v>0.0</v>
      </c>
      <c r="X94" s="548">
        <v>0.0</v>
      </c>
      <c r="Y94" s="548">
        <v>0.0</v>
      </c>
      <c r="Z94" s="548">
        <v>0.0</v>
      </c>
      <c r="AA94" s="1701">
        <v>0.0</v>
      </c>
      <c r="AB94" s="1701">
        <v>0.0</v>
      </c>
      <c r="AC94" s="1701">
        <v>0.0</v>
      </c>
      <c r="AD94" s="1701"/>
      <c r="AE94" s="1701">
        <v>0.0</v>
      </c>
      <c r="AF94" s="1701">
        <v>2.0</v>
      </c>
      <c r="AG94" s="1701">
        <v>0.0</v>
      </c>
      <c r="AH94" s="1701">
        <v>0.0</v>
      </c>
      <c r="AI94" s="1701">
        <v>1.0</v>
      </c>
      <c r="AJ94" s="1701">
        <v>1.0</v>
      </c>
      <c r="AK94" s="1701">
        <v>0.0</v>
      </c>
      <c r="AL94" s="1701">
        <v>0.0</v>
      </c>
      <c r="AM94" s="1701">
        <v>0.0</v>
      </c>
      <c r="AN94" s="549">
        <v>0.0</v>
      </c>
      <c r="AO94" s="549">
        <v>0.0</v>
      </c>
      <c r="AP94" s="549">
        <v>0.0</v>
      </c>
      <c r="AQ94" s="549">
        <v>0.0</v>
      </c>
      <c r="AR94" s="549">
        <v>0.0</v>
      </c>
      <c r="AS94" s="549"/>
      <c r="AT94" s="549">
        <v>0.0</v>
      </c>
      <c r="AU94" s="549"/>
      <c r="AV94" s="549"/>
      <c r="AW94" s="549"/>
      <c r="AX94" s="549"/>
      <c r="AY94" s="549"/>
      <c r="AZ94" s="549"/>
      <c r="BA94" s="549">
        <f t="shared" si="4"/>
        <v>4</v>
      </c>
      <c r="BB94" s="549" t="s">
        <v>6988</v>
      </c>
    </row>
    <row r="95">
      <c r="A95" s="1687" t="s">
        <v>6987</v>
      </c>
      <c r="B95" s="1634" t="s">
        <v>6906</v>
      </c>
      <c r="C95" s="1687" t="s">
        <v>6886</v>
      </c>
      <c r="D95" s="1701">
        <v>0.0</v>
      </c>
      <c r="E95" s="1701">
        <v>0.0</v>
      </c>
      <c r="F95" s="1701">
        <v>0.0</v>
      </c>
      <c r="G95" s="1701">
        <v>0.0</v>
      </c>
      <c r="H95" s="549">
        <v>0.0</v>
      </c>
      <c r="I95" s="1710">
        <v>2.0</v>
      </c>
      <c r="J95" s="1735"/>
      <c r="K95" s="1711">
        <v>0.0</v>
      </c>
      <c r="L95" s="549">
        <v>0.0</v>
      </c>
      <c r="M95" s="1701">
        <v>0.0</v>
      </c>
      <c r="N95" s="1701">
        <v>0.0</v>
      </c>
      <c r="O95" s="1710">
        <v>0.0</v>
      </c>
      <c r="P95" s="1167"/>
      <c r="Q95" s="549">
        <v>1.0</v>
      </c>
      <c r="R95" s="549">
        <v>0.0</v>
      </c>
      <c r="S95" s="549">
        <v>0.0</v>
      </c>
      <c r="T95" s="549">
        <v>1.0</v>
      </c>
      <c r="U95" s="1701">
        <v>0.0</v>
      </c>
      <c r="V95" s="1701">
        <v>0.0</v>
      </c>
      <c r="W95" s="1701">
        <v>0.0</v>
      </c>
      <c r="X95" s="548">
        <v>0.0</v>
      </c>
      <c r="Y95" s="548">
        <v>0.0</v>
      </c>
      <c r="Z95" s="548">
        <v>0.0</v>
      </c>
      <c r="AA95" s="1701">
        <v>1.0</v>
      </c>
      <c r="AB95" s="1701">
        <v>0.0</v>
      </c>
      <c r="AC95" s="1701">
        <v>0.0</v>
      </c>
      <c r="AD95" s="1701"/>
      <c r="AE95" s="1701">
        <v>0.0</v>
      </c>
      <c r="AF95" s="1701">
        <v>0.0</v>
      </c>
      <c r="AG95" s="1701">
        <v>0.0</v>
      </c>
      <c r="AH95" s="1701">
        <v>0.0</v>
      </c>
      <c r="AI95" s="1701">
        <v>0.0</v>
      </c>
      <c r="AJ95" s="1701">
        <v>0.0</v>
      </c>
      <c r="AK95" s="1701">
        <v>0.0</v>
      </c>
      <c r="AL95" s="1701">
        <v>0.0</v>
      </c>
      <c r="AM95" s="1701">
        <v>0.0</v>
      </c>
      <c r="AN95" s="549">
        <v>0.0</v>
      </c>
      <c r="AO95" s="549">
        <v>0.0</v>
      </c>
      <c r="AP95" s="549">
        <v>0.0</v>
      </c>
      <c r="AQ95" s="549">
        <v>0.0</v>
      </c>
      <c r="AR95" s="549">
        <v>0.0</v>
      </c>
      <c r="AS95" s="549"/>
      <c r="AT95" s="549">
        <v>0.0</v>
      </c>
      <c r="AU95" s="549"/>
      <c r="AV95" s="549"/>
      <c r="AW95" s="549"/>
      <c r="AX95" s="549"/>
      <c r="AY95" s="549"/>
      <c r="AZ95" s="549"/>
      <c r="BA95" s="549">
        <f t="shared" si="4"/>
        <v>5</v>
      </c>
      <c r="BB95" s="549" t="s">
        <v>6988</v>
      </c>
    </row>
    <row r="96">
      <c r="A96" s="1687" t="s">
        <v>6987</v>
      </c>
      <c r="B96" s="1634">
        <v>136.0</v>
      </c>
      <c r="C96" s="1687" t="s">
        <v>6886</v>
      </c>
      <c r="D96" s="1701">
        <v>0.0</v>
      </c>
      <c r="E96" s="1701">
        <v>0.0</v>
      </c>
      <c r="F96" s="1701">
        <v>0.0</v>
      </c>
      <c r="G96" s="1701">
        <v>0.0</v>
      </c>
      <c r="H96" s="549">
        <v>0.0</v>
      </c>
      <c r="I96" s="1710">
        <v>1.0</v>
      </c>
      <c r="J96" s="1710">
        <v>1.0</v>
      </c>
      <c r="K96" s="1711">
        <v>0.0</v>
      </c>
      <c r="L96" s="549">
        <v>0.0</v>
      </c>
      <c r="M96" s="1701">
        <v>1.0</v>
      </c>
      <c r="N96" s="1701">
        <v>0.0</v>
      </c>
      <c r="O96" s="1710">
        <v>0.0</v>
      </c>
      <c r="P96" s="1167"/>
      <c r="Q96" s="549">
        <v>0.0</v>
      </c>
      <c r="R96" s="549">
        <v>0.0</v>
      </c>
      <c r="S96" s="549">
        <v>1.0</v>
      </c>
      <c r="T96" s="549">
        <v>0.0</v>
      </c>
      <c r="U96" s="1701">
        <v>0.0</v>
      </c>
      <c r="V96" s="1701">
        <v>0.0</v>
      </c>
      <c r="W96" s="1701">
        <v>0.0</v>
      </c>
      <c r="X96" s="548">
        <v>0.0</v>
      </c>
      <c r="Y96" s="548">
        <v>0.0</v>
      </c>
      <c r="Z96" s="548">
        <v>1.0</v>
      </c>
      <c r="AA96" s="1701">
        <v>2.0</v>
      </c>
      <c r="AB96" s="1701">
        <v>1.0</v>
      </c>
      <c r="AC96" s="1701">
        <v>0.0</v>
      </c>
      <c r="AD96" s="1701"/>
      <c r="AE96" s="1701">
        <v>0.0</v>
      </c>
      <c r="AF96" s="1701">
        <v>0.0</v>
      </c>
      <c r="AG96" s="1701">
        <v>0.0</v>
      </c>
      <c r="AH96" s="1701">
        <v>0.0</v>
      </c>
      <c r="AI96" s="1701">
        <v>2.0</v>
      </c>
      <c r="AJ96" s="1701">
        <v>0.0</v>
      </c>
      <c r="AK96" s="1701">
        <v>0.0</v>
      </c>
      <c r="AL96" s="1701">
        <v>0.0</v>
      </c>
      <c r="AM96" s="1701">
        <v>1.0</v>
      </c>
      <c r="AN96" s="549">
        <v>2.0</v>
      </c>
      <c r="AO96" s="549">
        <v>0.0</v>
      </c>
      <c r="AP96" s="549">
        <v>0.0</v>
      </c>
      <c r="AQ96" s="549">
        <v>0.0</v>
      </c>
      <c r="AR96" s="549">
        <v>0.0</v>
      </c>
      <c r="AS96" s="549"/>
      <c r="AT96" s="549">
        <v>0.0</v>
      </c>
      <c r="AU96" s="549"/>
      <c r="AV96" s="549"/>
      <c r="AW96" s="549"/>
      <c r="AX96" s="549"/>
      <c r="AY96" s="549"/>
      <c r="AZ96" s="549"/>
      <c r="BA96" s="549">
        <f t="shared" si="4"/>
        <v>13</v>
      </c>
      <c r="BB96" s="549" t="s">
        <v>6988</v>
      </c>
    </row>
    <row r="97">
      <c r="A97" s="1687" t="s">
        <v>6987</v>
      </c>
      <c r="B97" s="1634">
        <v>137.0</v>
      </c>
      <c r="C97" s="1687" t="s">
        <v>6886</v>
      </c>
      <c r="D97" s="1701">
        <v>0.0</v>
      </c>
      <c r="E97" s="1701">
        <v>1.0</v>
      </c>
      <c r="F97" s="1701">
        <v>0.0</v>
      </c>
      <c r="G97" s="1701">
        <v>2.0</v>
      </c>
      <c r="H97" s="549">
        <v>0.0</v>
      </c>
      <c r="I97" s="1710">
        <v>2.0</v>
      </c>
      <c r="J97" s="1710">
        <v>2.0</v>
      </c>
      <c r="K97" s="1711">
        <v>0.0</v>
      </c>
      <c r="L97" s="549">
        <v>0.0</v>
      </c>
      <c r="M97" s="1701">
        <v>0.0</v>
      </c>
      <c r="N97" s="1701">
        <v>0.0</v>
      </c>
      <c r="O97" s="1710">
        <v>1.0</v>
      </c>
      <c r="P97" s="1167"/>
      <c r="Q97" s="549">
        <v>2.0</v>
      </c>
      <c r="R97" s="549">
        <v>0.0</v>
      </c>
      <c r="S97" s="549">
        <v>2.0</v>
      </c>
      <c r="T97" s="549">
        <v>0.0</v>
      </c>
      <c r="U97" s="1701">
        <v>0.0</v>
      </c>
      <c r="V97" s="1701">
        <v>0.0</v>
      </c>
      <c r="W97" s="1701">
        <v>0.0</v>
      </c>
      <c r="X97" s="548">
        <v>0.0</v>
      </c>
      <c r="Y97" s="548">
        <v>0.0</v>
      </c>
      <c r="Z97" s="548">
        <v>0.0</v>
      </c>
      <c r="AA97" s="1701">
        <v>0.0</v>
      </c>
      <c r="AB97" s="1701">
        <v>0.0</v>
      </c>
      <c r="AC97" s="1701">
        <v>0.0</v>
      </c>
      <c r="AD97" s="1701"/>
      <c r="AE97" s="1701">
        <v>0.0</v>
      </c>
      <c r="AF97" s="1701">
        <v>1.0</v>
      </c>
      <c r="AG97" s="1701">
        <v>0.0</v>
      </c>
      <c r="AH97" s="1701">
        <v>1.0</v>
      </c>
      <c r="AI97" s="1701">
        <v>1.0</v>
      </c>
      <c r="AJ97" s="1701">
        <v>1.0</v>
      </c>
      <c r="AK97" s="1701">
        <v>0.0</v>
      </c>
      <c r="AL97" s="1701">
        <v>0.0</v>
      </c>
      <c r="AM97" s="1701">
        <v>0.0</v>
      </c>
      <c r="AN97" s="549">
        <v>2.0</v>
      </c>
      <c r="AO97" s="549">
        <v>0.0</v>
      </c>
      <c r="AP97" s="549">
        <v>0.0</v>
      </c>
      <c r="AQ97" s="549">
        <v>3.0</v>
      </c>
      <c r="AR97" s="549">
        <v>0.0</v>
      </c>
      <c r="AS97" s="549"/>
      <c r="AT97" s="549">
        <v>0.0</v>
      </c>
      <c r="AU97" s="549"/>
      <c r="AV97" s="549"/>
      <c r="AW97" s="549"/>
      <c r="AX97" s="549"/>
      <c r="AY97" s="549"/>
      <c r="AZ97" s="549"/>
      <c r="BA97" s="549">
        <f t="shared" si="4"/>
        <v>21</v>
      </c>
      <c r="BB97" s="549"/>
    </row>
    <row r="98">
      <c r="A98" s="1687" t="s">
        <v>6987</v>
      </c>
      <c r="B98" s="1634">
        <v>264.0</v>
      </c>
      <c r="C98" s="1687" t="s">
        <v>6886</v>
      </c>
      <c r="D98" s="1701">
        <v>0.0</v>
      </c>
      <c r="E98" s="1701">
        <v>0.0</v>
      </c>
      <c r="F98" s="1701">
        <v>0.0</v>
      </c>
      <c r="G98" s="1701">
        <v>0.0</v>
      </c>
      <c r="H98" s="549">
        <v>0.0</v>
      </c>
      <c r="I98" s="1710">
        <v>1.0</v>
      </c>
      <c r="J98" s="1735"/>
      <c r="K98" s="1711">
        <v>0.0</v>
      </c>
      <c r="L98" s="549">
        <v>0.0</v>
      </c>
      <c r="M98" s="1710">
        <v>0.0</v>
      </c>
      <c r="N98" s="1710">
        <v>0.0</v>
      </c>
      <c r="O98" s="1710">
        <v>0.0</v>
      </c>
      <c r="P98" s="1167"/>
      <c r="Q98" s="549">
        <v>0.0</v>
      </c>
      <c r="R98" s="549">
        <v>0.0</v>
      </c>
      <c r="S98" s="549">
        <v>0.0</v>
      </c>
      <c r="T98" s="549">
        <v>0.0</v>
      </c>
      <c r="U98" s="1701">
        <v>0.0</v>
      </c>
      <c r="V98" s="1701">
        <v>0.0</v>
      </c>
      <c r="W98" s="1701">
        <v>0.0</v>
      </c>
      <c r="X98" s="548">
        <v>1.0</v>
      </c>
      <c r="Y98" s="548">
        <v>1.0</v>
      </c>
      <c r="Z98" s="548">
        <v>2.0</v>
      </c>
      <c r="AA98" s="1701">
        <v>0.0</v>
      </c>
      <c r="AB98" s="1701">
        <v>1.0</v>
      </c>
      <c r="AC98" s="1701">
        <v>0.0</v>
      </c>
      <c r="AD98" s="1701"/>
      <c r="AE98" s="1701">
        <v>0.0</v>
      </c>
      <c r="AF98" s="1701">
        <v>0.0</v>
      </c>
      <c r="AG98" s="1701">
        <v>0.0</v>
      </c>
      <c r="AH98" s="1701">
        <v>0.0</v>
      </c>
      <c r="AI98" s="1701">
        <v>0.0</v>
      </c>
      <c r="AJ98" s="1701">
        <v>0.0</v>
      </c>
      <c r="AK98" s="1701">
        <v>2.0</v>
      </c>
      <c r="AL98" s="1701">
        <v>0.0</v>
      </c>
      <c r="AM98" s="1701">
        <v>0.0</v>
      </c>
      <c r="AN98" s="549">
        <v>0.0</v>
      </c>
      <c r="AO98" s="549">
        <v>0.0</v>
      </c>
      <c r="AP98" s="549">
        <v>0.0</v>
      </c>
      <c r="AQ98" s="549">
        <v>0.0</v>
      </c>
      <c r="AR98" s="549">
        <v>0.0</v>
      </c>
      <c r="AS98" s="549"/>
      <c r="AT98" s="549">
        <v>0.0</v>
      </c>
      <c r="AU98" s="549"/>
      <c r="AV98" s="549"/>
      <c r="AW98" s="549"/>
      <c r="AX98" s="549"/>
      <c r="AY98" s="549"/>
      <c r="AZ98" s="549"/>
      <c r="BA98" s="549">
        <f t="shared" si="4"/>
        <v>8</v>
      </c>
      <c r="BB98" s="549" t="s">
        <v>6988</v>
      </c>
    </row>
    <row r="99">
      <c r="A99" s="1687" t="s">
        <v>6987</v>
      </c>
      <c r="B99" s="1634">
        <v>267.0</v>
      </c>
      <c r="C99" s="1687" t="s">
        <v>6886</v>
      </c>
      <c r="D99" s="1701">
        <v>0.0</v>
      </c>
      <c r="E99" s="1701">
        <v>0.0</v>
      </c>
      <c r="F99" s="1701">
        <v>0.0</v>
      </c>
      <c r="G99" s="1701">
        <v>0.0</v>
      </c>
      <c r="H99" s="549">
        <v>0.0</v>
      </c>
      <c r="I99" s="1710">
        <v>0.0</v>
      </c>
      <c r="J99" s="1735"/>
      <c r="K99" s="1711">
        <v>1.0</v>
      </c>
      <c r="L99" s="549">
        <v>0.0</v>
      </c>
      <c r="M99" s="1710">
        <v>0.0</v>
      </c>
      <c r="N99" s="1710">
        <v>1.0</v>
      </c>
      <c r="O99" s="1710">
        <v>0.0</v>
      </c>
      <c r="P99" s="1167"/>
      <c r="Q99" s="549">
        <v>0.0</v>
      </c>
      <c r="R99" s="549">
        <v>0.0</v>
      </c>
      <c r="S99" s="549">
        <v>1.0</v>
      </c>
      <c r="T99" s="549">
        <v>0.0</v>
      </c>
      <c r="U99" s="1701">
        <v>1.0</v>
      </c>
      <c r="V99" s="1701">
        <v>1.0</v>
      </c>
      <c r="W99" s="1701">
        <v>0.0</v>
      </c>
      <c r="X99" s="548">
        <v>0.0</v>
      </c>
      <c r="Y99" s="548">
        <v>0.0</v>
      </c>
      <c r="Z99" s="548">
        <v>2.0</v>
      </c>
      <c r="AA99" s="1701">
        <v>0.0</v>
      </c>
      <c r="AB99" s="1701">
        <v>0.0</v>
      </c>
      <c r="AC99" s="1701">
        <v>0.0</v>
      </c>
      <c r="AD99" s="1701"/>
      <c r="AE99" s="1701">
        <v>0.0</v>
      </c>
      <c r="AF99" s="1701">
        <v>0.0</v>
      </c>
      <c r="AG99" s="1701">
        <v>0.0</v>
      </c>
      <c r="AH99" s="1701">
        <v>2.0</v>
      </c>
      <c r="AI99" s="1701">
        <v>0.0</v>
      </c>
      <c r="AJ99" s="1701">
        <v>0.0</v>
      </c>
      <c r="AK99" s="1701">
        <v>0.0</v>
      </c>
      <c r="AL99" s="1701">
        <v>2.0</v>
      </c>
      <c r="AM99" s="1701">
        <v>0.0</v>
      </c>
      <c r="AN99" s="549">
        <v>0.0</v>
      </c>
      <c r="AO99" s="549">
        <v>1.0</v>
      </c>
      <c r="AP99" s="549">
        <v>0.0</v>
      </c>
      <c r="AQ99" s="549">
        <v>0.0</v>
      </c>
      <c r="AR99" s="549">
        <v>0.0</v>
      </c>
      <c r="AS99" s="549"/>
      <c r="AT99" s="549">
        <v>0.0</v>
      </c>
      <c r="AU99" s="549"/>
      <c r="AV99" s="549"/>
      <c r="AW99" s="549"/>
      <c r="AX99" s="549"/>
      <c r="AY99" s="549"/>
      <c r="AZ99" s="549"/>
      <c r="BA99" s="549">
        <f t="shared" si="4"/>
        <v>12</v>
      </c>
      <c r="BB99" s="549" t="s">
        <v>6988</v>
      </c>
    </row>
    <row r="100">
      <c r="A100" s="1714" t="s">
        <v>6987</v>
      </c>
      <c r="B100" s="1715" t="s">
        <v>6913</v>
      </c>
      <c r="C100" s="1714" t="s">
        <v>6886</v>
      </c>
      <c r="D100" s="1732">
        <v>1.0</v>
      </c>
      <c r="E100" s="1732">
        <v>1.0</v>
      </c>
      <c r="F100" s="1732">
        <v>3.0</v>
      </c>
      <c r="G100" s="1732">
        <v>1.0</v>
      </c>
      <c r="H100" s="1721">
        <v>0.0</v>
      </c>
      <c r="I100" s="1732">
        <v>1.0</v>
      </c>
      <c r="J100" s="1732">
        <v>1.0</v>
      </c>
      <c r="K100" s="1720">
        <v>0.0</v>
      </c>
      <c r="L100" s="1721">
        <v>0.0</v>
      </c>
      <c r="M100" s="1719">
        <v>0.0</v>
      </c>
      <c r="N100" s="1719">
        <v>0.0</v>
      </c>
      <c r="O100" s="1722">
        <v>2.0</v>
      </c>
      <c r="P100" s="1721">
        <v>1.0</v>
      </c>
      <c r="Q100" s="1719"/>
      <c r="R100" s="1732">
        <v>0.0</v>
      </c>
      <c r="S100" s="1732">
        <v>3.0</v>
      </c>
      <c r="T100" s="1732">
        <v>4.0</v>
      </c>
      <c r="U100" s="1732">
        <v>6.0</v>
      </c>
      <c r="V100" s="1732">
        <v>1.0</v>
      </c>
      <c r="W100" s="1701">
        <v>0.0</v>
      </c>
      <c r="X100" s="548">
        <v>4.0</v>
      </c>
      <c r="Y100" s="548">
        <v>0.0</v>
      </c>
      <c r="Z100" s="548">
        <v>1.0</v>
      </c>
      <c r="AA100" s="1701">
        <v>0.0</v>
      </c>
      <c r="AB100" s="1701">
        <v>0.0</v>
      </c>
      <c r="AC100" s="1701">
        <v>0.0</v>
      </c>
      <c r="AD100" s="1701"/>
      <c r="AE100" s="1701">
        <v>4.0</v>
      </c>
      <c r="AF100" s="1701">
        <v>1.0</v>
      </c>
      <c r="AG100" s="1701">
        <v>2.0</v>
      </c>
      <c r="AH100" s="1701">
        <v>1.0</v>
      </c>
      <c r="AI100" s="1701">
        <v>1.0</v>
      </c>
      <c r="AJ100" s="1701">
        <v>1.0</v>
      </c>
      <c r="AK100" s="1701">
        <v>5.0</v>
      </c>
      <c r="AL100" s="1701">
        <v>2.0</v>
      </c>
      <c r="AM100" s="1701">
        <v>4.0</v>
      </c>
      <c r="AN100" s="1721">
        <v>1.0</v>
      </c>
      <c r="AO100" s="1721">
        <v>1.0</v>
      </c>
      <c r="AP100" s="1721">
        <v>0.0</v>
      </c>
      <c r="AQ100" s="1721">
        <v>4.0</v>
      </c>
      <c r="AR100" s="1721">
        <v>0.0</v>
      </c>
      <c r="AS100" s="1721">
        <v>0.0</v>
      </c>
      <c r="AT100" s="1721">
        <v>5.0</v>
      </c>
      <c r="AU100" s="1721"/>
      <c r="AV100" s="1721"/>
      <c r="AW100" s="1721"/>
      <c r="AX100" s="1721"/>
      <c r="AY100" s="1721"/>
      <c r="AZ100" s="1721"/>
      <c r="BA100" s="549">
        <f t="shared" si="4"/>
        <v>62</v>
      </c>
      <c r="BB100" s="1721"/>
    </row>
    <row r="101">
      <c r="A101" s="1714" t="s">
        <v>6987</v>
      </c>
      <c r="B101" s="1715" t="s">
        <v>6914</v>
      </c>
      <c r="C101" s="1714" t="s">
        <v>6886</v>
      </c>
      <c r="D101" s="1732">
        <v>0.0</v>
      </c>
      <c r="E101" s="1732">
        <v>2.0</v>
      </c>
      <c r="F101" s="1732">
        <v>2.0</v>
      </c>
      <c r="G101" s="1732">
        <v>1.0</v>
      </c>
      <c r="H101" s="1721">
        <v>2.0</v>
      </c>
      <c r="I101" s="1732">
        <v>6.0</v>
      </c>
      <c r="J101" s="1732">
        <v>4.0</v>
      </c>
      <c r="K101" s="1720">
        <v>4.0</v>
      </c>
      <c r="L101" s="1721">
        <v>2.0</v>
      </c>
      <c r="M101" s="1732">
        <v>3.0</v>
      </c>
      <c r="N101" s="1732">
        <v>1.0</v>
      </c>
      <c r="O101" s="1722">
        <v>4.0</v>
      </c>
      <c r="P101" s="1721">
        <v>7.0</v>
      </c>
      <c r="Q101" s="1734"/>
      <c r="R101" s="1732">
        <v>0.0</v>
      </c>
      <c r="S101" s="1732">
        <v>8.0</v>
      </c>
      <c r="T101" s="1732">
        <v>4.0</v>
      </c>
      <c r="U101" s="1732">
        <v>2.0</v>
      </c>
      <c r="V101" s="1732">
        <v>7.0</v>
      </c>
      <c r="W101" s="1701">
        <v>3.0</v>
      </c>
      <c r="X101" s="548">
        <v>1.0</v>
      </c>
      <c r="Y101" s="548">
        <v>7.0</v>
      </c>
      <c r="Z101" s="548">
        <v>3.0</v>
      </c>
      <c r="AA101" s="1701">
        <v>10.0</v>
      </c>
      <c r="AB101" s="1701">
        <v>5.0</v>
      </c>
      <c r="AC101" s="1701">
        <v>0.0</v>
      </c>
      <c r="AD101" s="1701"/>
      <c r="AE101" s="1701">
        <v>1.0</v>
      </c>
      <c r="AF101" s="1701">
        <v>2.0</v>
      </c>
      <c r="AG101" s="1701">
        <v>1.0</v>
      </c>
      <c r="AH101" s="1701">
        <v>2.0</v>
      </c>
      <c r="AI101" s="1701">
        <v>2.0</v>
      </c>
      <c r="AJ101" s="1701">
        <v>5.0</v>
      </c>
      <c r="AK101" s="1701">
        <v>7.0</v>
      </c>
      <c r="AL101" s="1701">
        <v>1.0</v>
      </c>
      <c r="AM101" s="1701">
        <v>2.0</v>
      </c>
      <c r="AN101" s="1723">
        <v>3.0</v>
      </c>
      <c r="AO101" s="1723">
        <v>1.0</v>
      </c>
      <c r="AP101" s="1723">
        <v>0.0</v>
      </c>
      <c r="AQ101" s="1723">
        <v>0.0</v>
      </c>
      <c r="AR101" s="1723">
        <v>0.0</v>
      </c>
      <c r="AS101" s="1723">
        <v>0.0</v>
      </c>
      <c r="AT101" s="1723">
        <v>3.0</v>
      </c>
      <c r="AU101" s="1723"/>
      <c r="AV101" s="1723"/>
      <c r="AW101" s="1723"/>
      <c r="AX101" s="1723"/>
      <c r="AY101" s="1723"/>
      <c r="AZ101" s="1723"/>
      <c r="BA101" s="549">
        <f t="shared" si="4"/>
        <v>118</v>
      </c>
      <c r="BB101" s="1723" t="s">
        <v>6989</v>
      </c>
    </row>
    <row r="102">
      <c r="A102" s="1714" t="s">
        <v>6987</v>
      </c>
      <c r="B102" s="1715" t="s">
        <v>6915</v>
      </c>
      <c r="C102" s="1714" t="s">
        <v>6886</v>
      </c>
      <c r="D102" s="1732">
        <v>0.0</v>
      </c>
      <c r="E102" s="1732">
        <v>0.0</v>
      </c>
      <c r="F102" s="1732">
        <v>0.0</v>
      </c>
      <c r="G102" s="1732">
        <v>0.0</v>
      </c>
      <c r="H102" s="1721">
        <v>0.0</v>
      </c>
      <c r="I102" s="1732">
        <v>0.0</v>
      </c>
      <c r="J102" s="1734"/>
      <c r="K102" s="1720">
        <v>1.0</v>
      </c>
      <c r="L102" s="1721">
        <v>1.0</v>
      </c>
      <c r="M102" s="1732">
        <v>0.0</v>
      </c>
      <c r="N102" s="1732">
        <v>2.0</v>
      </c>
      <c r="O102" s="1722">
        <v>2.0</v>
      </c>
      <c r="P102" s="1721">
        <v>3.0</v>
      </c>
      <c r="Q102" s="1734"/>
      <c r="R102" s="1732">
        <v>1.0</v>
      </c>
      <c r="S102" s="1732">
        <v>3.0</v>
      </c>
      <c r="T102" s="1732">
        <v>0.0</v>
      </c>
      <c r="U102" s="1732">
        <v>0.0</v>
      </c>
      <c r="V102" s="1732">
        <v>2.0</v>
      </c>
      <c r="W102" s="1701">
        <v>2.0</v>
      </c>
      <c r="X102" s="548">
        <v>0.0</v>
      </c>
      <c r="Y102" s="548">
        <v>2.0</v>
      </c>
      <c r="Z102" s="548">
        <v>0.0</v>
      </c>
      <c r="AA102" s="1701">
        <v>1.0</v>
      </c>
      <c r="AB102" s="1701">
        <v>1.0</v>
      </c>
      <c r="AC102" s="1701">
        <v>0.0</v>
      </c>
      <c r="AD102" s="1701"/>
      <c r="AE102" s="1701">
        <v>1.0</v>
      </c>
      <c r="AF102" s="1701">
        <v>0.0</v>
      </c>
      <c r="AG102" s="1701">
        <v>0.0</v>
      </c>
      <c r="AH102" s="1701">
        <v>6.0</v>
      </c>
      <c r="AI102" s="1701">
        <v>0.0</v>
      </c>
      <c r="AJ102" s="1701">
        <v>1.0</v>
      </c>
      <c r="AK102" s="1701">
        <v>2.0</v>
      </c>
      <c r="AL102" s="1701">
        <v>0.0</v>
      </c>
      <c r="AM102" s="1701">
        <v>1.0</v>
      </c>
      <c r="AN102" s="1721">
        <v>3.0</v>
      </c>
      <c r="AO102" s="1721">
        <v>1.0</v>
      </c>
      <c r="AP102" s="1721">
        <v>0.0</v>
      </c>
      <c r="AQ102" s="1721">
        <v>4.0</v>
      </c>
      <c r="AR102" s="1721">
        <v>0.0</v>
      </c>
      <c r="AS102" s="1721">
        <v>0.0</v>
      </c>
      <c r="AT102" s="1721">
        <v>0.0</v>
      </c>
      <c r="AU102" s="1721"/>
      <c r="AV102" s="1721"/>
      <c r="AW102" s="1721"/>
      <c r="AX102" s="1721"/>
      <c r="AY102" s="1721"/>
      <c r="AZ102" s="1721"/>
      <c r="BA102" s="549">
        <f t="shared" si="4"/>
        <v>40</v>
      </c>
      <c r="BB102" s="1721"/>
    </row>
    <row r="103">
      <c r="A103" s="1724"/>
      <c r="B103" s="1550"/>
      <c r="C103" s="1550"/>
      <c r="D103" s="1725"/>
      <c r="E103" s="1725"/>
      <c r="F103" s="1725"/>
      <c r="G103" s="1725"/>
      <c r="H103" s="1167"/>
      <c r="I103" s="1725"/>
      <c r="J103" s="1725"/>
      <c r="K103" s="1708"/>
      <c r="L103" s="1701"/>
      <c r="M103" s="1725"/>
      <c r="N103" s="1725"/>
      <c r="O103" s="1725"/>
      <c r="P103" s="1725"/>
      <c r="Q103" s="1725"/>
      <c r="R103" s="1725"/>
      <c r="S103" s="1725"/>
      <c r="T103" s="1725"/>
      <c r="U103" s="1725"/>
      <c r="V103" s="1725"/>
      <c r="W103" s="1725"/>
      <c r="X103" s="280"/>
      <c r="Y103" s="280"/>
      <c r="Z103" s="280"/>
      <c r="AA103" s="1725"/>
      <c r="AB103" s="1725"/>
      <c r="AC103" s="1725"/>
      <c r="AD103" s="1725"/>
      <c r="AE103" s="1725"/>
      <c r="AF103" s="1725"/>
      <c r="AG103" s="1725"/>
      <c r="AH103" s="1725"/>
      <c r="AI103" s="1725"/>
      <c r="AJ103" s="1725"/>
      <c r="AK103" s="1725"/>
      <c r="AL103" s="1725"/>
      <c r="AM103" s="1725"/>
      <c r="AN103" s="549"/>
      <c r="AO103" s="549"/>
      <c r="AP103" s="549"/>
      <c r="AQ103" s="549"/>
      <c r="AR103" s="549"/>
      <c r="AS103" s="549"/>
      <c r="AT103" s="549"/>
      <c r="AU103" s="549"/>
      <c r="AV103" s="549"/>
      <c r="AW103" s="549"/>
      <c r="AX103" s="549"/>
      <c r="AY103" s="549"/>
      <c r="AZ103" s="549"/>
      <c r="BA103" s="549"/>
      <c r="BB103" s="549"/>
    </row>
    <row r="104">
      <c r="A104" s="1724"/>
      <c r="B104" s="1550"/>
      <c r="C104" s="1550"/>
      <c r="D104" s="1725"/>
      <c r="E104" s="1725"/>
      <c r="F104" s="1725"/>
      <c r="G104" s="1725"/>
      <c r="H104" s="1167"/>
      <c r="I104" s="1725"/>
      <c r="J104" s="1725"/>
      <c r="K104" s="1708"/>
      <c r="L104" s="1725"/>
      <c r="M104" s="1725"/>
      <c r="N104" s="1725"/>
      <c r="O104" s="1725"/>
      <c r="P104" s="1725"/>
      <c r="Q104" s="1725"/>
      <c r="R104" s="1725"/>
      <c r="S104" s="1725"/>
      <c r="T104" s="1725"/>
      <c r="U104" s="1725"/>
      <c r="V104" s="1725"/>
      <c r="W104" s="1725"/>
      <c r="X104" s="280"/>
      <c r="Y104" s="280"/>
      <c r="Z104" s="280"/>
      <c r="AA104" s="1725"/>
      <c r="AB104" s="1725"/>
      <c r="AC104" s="1725"/>
      <c r="AD104" s="1725"/>
      <c r="AE104" s="1725"/>
      <c r="AF104" s="1725"/>
      <c r="AG104" s="1725"/>
      <c r="AH104" s="1725"/>
      <c r="AI104" s="1725"/>
      <c r="AJ104" s="1725"/>
      <c r="AK104" s="1725"/>
      <c r="AL104" s="1725"/>
      <c r="AM104" s="1725"/>
      <c r="AN104" s="549"/>
      <c r="AO104" s="549"/>
      <c r="AP104" s="549"/>
      <c r="AQ104" s="549"/>
      <c r="AR104" s="549"/>
      <c r="AS104" s="549"/>
      <c r="AT104" s="549"/>
      <c r="AU104" s="549"/>
      <c r="AV104" s="549"/>
      <c r="AW104" s="549"/>
      <c r="AX104" s="549"/>
      <c r="AY104" s="549"/>
      <c r="AZ104" s="549"/>
      <c r="BA104" s="549"/>
      <c r="BB104" s="549"/>
    </row>
    <row r="105">
      <c r="A105" s="1726"/>
      <c r="B105" s="1727" t="s">
        <v>6882</v>
      </c>
      <c r="D105" s="1725"/>
      <c r="E105" s="1725"/>
      <c r="F105" s="1725"/>
      <c r="G105" s="1725"/>
      <c r="H105" s="1167"/>
      <c r="I105" s="1725"/>
      <c r="J105" s="1725"/>
      <c r="K105" s="1708"/>
      <c r="L105" s="1725"/>
      <c r="M105" s="1725"/>
      <c r="N105" s="1725"/>
      <c r="O105" s="1725"/>
      <c r="P105" s="1725"/>
      <c r="Q105" s="1725"/>
      <c r="R105" s="1725"/>
      <c r="S105" s="1725"/>
      <c r="T105" s="1725"/>
      <c r="U105" s="1725"/>
      <c r="V105" s="1725"/>
      <c r="W105" s="1725"/>
      <c r="X105" s="280"/>
      <c r="Y105" s="280"/>
      <c r="Z105" s="280"/>
      <c r="AA105" s="1725"/>
      <c r="AB105" s="1701"/>
      <c r="AC105" s="1725"/>
      <c r="AD105" s="1725"/>
      <c r="AE105" s="1725"/>
      <c r="AF105" s="1725"/>
      <c r="AG105" s="1725"/>
      <c r="AH105" s="1725"/>
      <c r="AI105" s="1725"/>
      <c r="AJ105" s="1725"/>
      <c r="AK105" s="1725"/>
      <c r="AL105" s="1725"/>
      <c r="AM105" s="1725"/>
      <c r="AN105" s="549"/>
      <c r="AO105" s="549"/>
      <c r="AP105" s="549"/>
      <c r="AQ105" s="549"/>
      <c r="AR105" s="549"/>
      <c r="AS105" s="549"/>
      <c r="AT105" s="549"/>
      <c r="AU105" s="549"/>
      <c r="AV105" s="549"/>
      <c r="AW105" s="549"/>
      <c r="AX105" s="549"/>
      <c r="AY105" s="549"/>
      <c r="AZ105" s="549"/>
      <c r="BA105" s="549"/>
      <c r="BB105" s="549"/>
    </row>
    <row r="106">
      <c r="A106" s="1687" t="s">
        <v>6987</v>
      </c>
      <c r="B106" s="1634" t="s">
        <v>6888</v>
      </c>
      <c r="C106" s="1594" t="s">
        <v>6887</v>
      </c>
      <c r="D106" s="1701">
        <v>0.0</v>
      </c>
      <c r="E106" s="1701">
        <v>0.0</v>
      </c>
      <c r="F106" s="1701">
        <v>0.0</v>
      </c>
      <c r="G106" s="1701">
        <v>0.0</v>
      </c>
      <c r="H106" s="549">
        <v>2.0</v>
      </c>
      <c r="I106" s="1710">
        <v>0.0</v>
      </c>
      <c r="J106" s="1735"/>
      <c r="K106" s="1711">
        <v>0.0</v>
      </c>
      <c r="L106" s="1725"/>
      <c r="M106" s="1701">
        <v>0.0</v>
      </c>
      <c r="N106" s="1725"/>
      <c r="O106" s="1710">
        <v>1.0</v>
      </c>
      <c r="P106" s="1725"/>
      <c r="Q106" s="549">
        <v>0.0</v>
      </c>
      <c r="R106" s="1701">
        <v>1.0</v>
      </c>
      <c r="S106" s="1701">
        <v>0.0</v>
      </c>
      <c r="T106" s="1701">
        <v>1.0</v>
      </c>
      <c r="U106" s="1701">
        <v>0.0</v>
      </c>
      <c r="V106" s="1701">
        <v>0.0</v>
      </c>
      <c r="W106" s="1701">
        <v>0.0</v>
      </c>
      <c r="X106" s="548">
        <v>0.0</v>
      </c>
      <c r="Y106" s="548">
        <v>0.0</v>
      </c>
      <c r="Z106" s="548">
        <v>0.0</v>
      </c>
      <c r="AA106" s="1701">
        <v>0.0</v>
      </c>
      <c r="AB106" s="1701">
        <v>0.0</v>
      </c>
      <c r="AC106" s="1701">
        <v>0.0</v>
      </c>
      <c r="AD106" s="1701"/>
      <c r="AE106" s="1701">
        <v>1.0</v>
      </c>
      <c r="AF106" s="1701">
        <v>0.0</v>
      </c>
      <c r="AG106" s="1701">
        <v>0.0</v>
      </c>
      <c r="AH106" s="1701">
        <v>0.0</v>
      </c>
      <c r="AI106" s="1701">
        <v>1.0</v>
      </c>
      <c r="AJ106" s="1701">
        <v>0.0</v>
      </c>
      <c r="AK106" s="1701">
        <v>1.0</v>
      </c>
      <c r="AL106" s="1701">
        <v>0.0</v>
      </c>
      <c r="AM106" s="1701">
        <v>0.0</v>
      </c>
      <c r="AN106" s="549">
        <v>0.0</v>
      </c>
      <c r="AO106" s="549">
        <v>1.0</v>
      </c>
      <c r="AP106" s="549">
        <v>3.0</v>
      </c>
      <c r="AQ106" s="549">
        <v>0.0</v>
      </c>
      <c r="AR106" s="549">
        <v>0.0</v>
      </c>
      <c r="AS106" s="549"/>
      <c r="AT106" s="549">
        <v>0.0</v>
      </c>
      <c r="AU106" s="549"/>
      <c r="AV106" s="549"/>
      <c r="AW106" s="549"/>
      <c r="AX106" s="549"/>
      <c r="AY106" s="549"/>
      <c r="AZ106" s="549"/>
      <c r="BA106" s="549">
        <f t="shared" ref="BA106:BA128" si="5">SUM(D106:AZ106)</f>
        <v>12</v>
      </c>
      <c r="BB106" s="549" t="s">
        <v>6988</v>
      </c>
    </row>
    <row r="107">
      <c r="A107" s="1687" t="s">
        <v>6987</v>
      </c>
      <c r="B107" s="1634" t="s">
        <v>6889</v>
      </c>
      <c r="C107" s="1594" t="s">
        <v>6887</v>
      </c>
      <c r="D107" s="1701">
        <v>0.0</v>
      </c>
      <c r="E107" s="1701">
        <v>0.0</v>
      </c>
      <c r="F107" s="1701">
        <v>0.0</v>
      </c>
      <c r="G107" s="1701">
        <v>0.0</v>
      </c>
      <c r="H107" s="549">
        <v>0.0</v>
      </c>
      <c r="I107" s="1710">
        <v>2.0</v>
      </c>
      <c r="J107" s="1735"/>
      <c r="K107" s="1711">
        <v>0.0</v>
      </c>
      <c r="L107" s="1725"/>
      <c r="M107" s="549">
        <v>0.0</v>
      </c>
      <c r="N107" s="1725"/>
      <c r="O107" s="1710">
        <v>1.0</v>
      </c>
      <c r="P107" s="1725"/>
      <c r="Q107" s="549">
        <v>0.0</v>
      </c>
      <c r="R107" s="1701">
        <v>0.0</v>
      </c>
      <c r="S107" s="1701">
        <v>0.0</v>
      </c>
      <c r="T107" s="1701">
        <v>0.0</v>
      </c>
      <c r="U107" s="1701">
        <v>0.0</v>
      </c>
      <c r="V107" s="1701">
        <v>1.0</v>
      </c>
      <c r="W107" s="1701">
        <v>0.0</v>
      </c>
      <c r="X107" s="548">
        <v>1.0</v>
      </c>
      <c r="Y107" s="548">
        <v>1.0</v>
      </c>
      <c r="Z107" s="548">
        <v>0.0</v>
      </c>
      <c r="AA107" s="1701">
        <v>0.0</v>
      </c>
      <c r="AB107" s="1701">
        <v>0.0</v>
      </c>
      <c r="AC107" s="1701">
        <v>0.0</v>
      </c>
      <c r="AD107" s="1701"/>
      <c r="AE107" s="1701">
        <v>0.0</v>
      </c>
      <c r="AF107" s="1701">
        <v>0.0</v>
      </c>
      <c r="AG107" s="1701">
        <v>0.0</v>
      </c>
      <c r="AH107" s="1701">
        <v>0.0</v>
      </c>
      <c r="AI107" s="1701">
        <v>0.0</v>
      </c>
      <c r="AJ107" s="1701">
        <v>1.0</v>
      </c>
      <c r="AK107" s="1701">
        <v>0.0</v>
      </c>
      <c r="AL107" s="1701">
        <v>0.0</v>
      </c>
      <c r="AM107" s="1701">
        <v>0.0</v>
      </c>
      <c r="AN107" s="549">
        <v>0.0</v>
      </c>
      <c r="AO107" s="549">
        <v>1.0</v>
      </c>
      <c r="AP107" s="549">
        <v>0.0</v>
      </c>
      <c r="AQ107" s="549">
        <v>0.0</v>
      </c>
      <c r="AR107" s="549">
        <v>0.0</v>
      </c>
      <c r="AS107" s="549"/>
      <c r="AT107" s="549">
        <v>0.0</v>
      </c>
      <c r="AU107" s="549"/>
      <c r="AV107" s="549"/>
      <c r="AW107" s="549"/>
      <c r="AX107" s="549"/>
      <c r="AY107" s="549"/>
      <c r="AZ107" s="549"/>
      <c r="BA107" s="549">
        <f t="shared" si="5"/>
        <v>8</v>
      </c>
      <c r="BB107" s="549" t="s">
        <v>6988</v>
      </c>
    </row>
    <row r="108">
      <c r="A108" s="1687" t="s">
        <v>6987</v>
      </c>
      <c r="B108" s="1634" t="s">
        <v>6676</v>
      </c>
      <c r="C108" s="1594" t="s">
        <v>6887</v>
      </c>
      <c r="D108" s="1701">
        <v>0.0</v>
      </c>
      <c r="E108" s="1701">
        <v>0.0</v>
      </c>
      <c r="F108" s="1701">
        <v>0.0</v>
      </c>
      <c r="G108" s="1701">
        <v>0.0</v>
      </c>
      <c r="H108" s="549">
        <v>2.0</v>
      </c>
      <c r="I108" s="1710">
        <v>0.0</v>
      </c>
      <c r="J108" s="1735"/>
      <c r="K108" s="1711">
        <v>0.0</v>
      </c>
      <c r="L108" s="1725"/>
      <c r="M108" s="549">
        <v>0.0</v>
      </c>
      <c r="N108" s="1725"/>
      <c r="O108" s="1710">
        <v>2.0</v>
      </c>
      <c r="P108" s="1725"/>
      <c r="Q108" s="549">
        <v>0.0</v>
      </c>
      <c r="R108" s="1701">
        <v>0.0</v>
      </c>
      <c r="S108" s="1701">
        <v>1.0</v>
      </c>
      <c r="T108" s="1701">
        <v>1.0</v>
      </c>
      <c r="U108" s="1701">
        <v>2.0</v>
      </c>
      <c r="V108" s="1701">
        <v>0.0</v>
      </c>
      <c r="W108" s="1701">
        <v>0.0</v>
      </c>
      <c r="X108" s="548">
        <v>1.0</v>
      </c>
      <c r="Y108" s="548">
        <v>2.0</v>
      </c>
      <c r="Z108" s="548">
        <v>0.0</v>
      </c>
      <c r="AA108" s="1701">
        <v>0.0</v>
      </c>
      <c r="AB108" s="1701">
        <v>0.0</v>
      </c>
      <c r="AC108" s="1701">
        <v>0.0</v>
      </c>
      <c r="AD108" s="1701"/>
      <c r="AE108" s="1701">
        <v>2.0</v>
      </c>
      <c r="AF108" s="1701">
        <v>0.0</v>
      </c>
      <c r="AG108" s="1701">
        <v>0.0</v>
      </c>
      <c r="AH108" s="1701">
        <v>0.0</v>
      </c>
      <c r="AI108" s="1701">
        <v>2.0</v>
      </c>
      <c r="AJ108" s="1701">
        <v>0.0</v>
      </c>
      <c r="AK108" s="1701">
        <v>0.0</v>
      </c>
      <c r="AL108" s="1701">
        <v>0.0</v>
      </c>
      <c r="AM108" s="1701">
        <v>0.0</v>
      </c>
      <c r="AN108" s="549">
        <v>2.0</v>
      </c>
      <c r="AO108" s="549">
        <v>0.0</v>
      </c>
      <c r="AP108" s="549">
        <v>0.0</v>
      </c>
      <c r="AQ108" s="549">
        <v>3.0</v>
      </c>
      <c r="AR108" s="549">
        <v>0.0</v>
      </c>
      <c r="AS108" s="549"/>
      <c r="AT108" s="549">
        <v>0.0</v>
      </c>
      <c r="AU108" s="549"/>
      <c r="AV108" s="549"/>
      <c r="AW108" s="549"/>
      <c r="AX108" s="549"/>
      <c r="AY108" s="549"/>
      <c r="AZ108" s="549"/>
      <c r="BA108" s="549">
        <f t="shared" si="5"/>
        <v>20</v>
      </c>
      <c r="BB108" s="549"/>
    </row>
    <row r="109">
      <c r="A109" s="1687" t="s">
        <v>6987</v>
      </c>
      <c r="B109" s="1634" t="s">
        <v>6891</v>
      </c>
      <c r="C109" s="1594" t="s">
        <v>6887</v>
      </c>
      <c r="D109" s="1701">
        <v>0.0</v>
      </c>
      <c r="E109" s="1701">
        <v>0.0</v>
      </c>
      <c r="F109" s="1701">
        <v>1.0</v>
      </c>
      <c r="G109" s="1701">
        <v>0.0</v>
      </c>
      <c r="H109" s="549">
        <v>0.0</v>
      </c>
      <c r="I109" s="1710">
        <v>0.0</v>
      </c>
      <c r="J109" s="1735"/>
      <c r="K109" s="1711">
        <v>0.0</v>
      </c>
      <c r="L109" s="1725"/>
      <c r="M109" s="1701">
        <v>0.0</v>
      </c>
      <c r="N109" s="1725"/>
      <c r="O109" s="1710">
        <v>0.0</v>
      </c>
      <c r="P109" s="1725"/>
      <c r="Q109" s="549">
        <v>0.0</v>
      </c>
      <c r="R109" s="1701">
        <v>0.0</v>
      </c>
      <c r="S109" s="1701">
        <v>1.0</v>
      </c>
      <c r="T109" s="1701">
        <v>0.0</v>
      </c>
      <c r="U109" s="1701">
        <v>0.0</v>
      </c>
      <c r="V109" s="1701">
        <v>0.0</v>
      </c>
      <c r="W109" s="1701">
        <v>0.0</v>
      </c>
      <c r="X109" s="548">
        <v>0.0</v>
      </c>
      <c r="Y109" s="548">
        <v>0.0</v>
      </c>
      <c r="Z109" s="548">
        <v>0.0</v>
      </c>
      <c r="AA109" s="1701">
        <v>0.0</v>
      </c>
      <c r="AB109" s="1701">
        <v>0.0</v>
      </c>
      <c r="AC109" s="1701">
        <v>0.0</v>
      </c>
      <c r="AD109" s="1701"/>
      <c r="AE109" s="1701">
        <v>0.0</v>
      </c>
      <c r="AF109" s="1701">
        <v>0.0</v>
      </c>
      <c r="AG109" s="1701">
        <v>0.0</v>
      </c>
      <c r="AH109" s="1701">
        <v>2.0</v>
      </c>
      <c r="AI109" s="1701">
        <v>2.0</v>
      </c>
      <c r="AJ109" s="1701">
        <v>1.0</v>
      </c>
      <c r="AK109" s="1701">
        <v>0.0</v>
      </c>
      <c r="AL109" s="1701">
        <v>0.0</v>
      </c>
      <c r="AM109" s="1701">
        <v>0.0</v>
      </c>
      <c r="AN109" s="549">
        <v>0.0</v>
      </c>
      <c r="AO109" s="549">
        <v>0.0</v>
      </c>
      <c r="AP109" s="549">
        <v>0.0</v>
      </c>
      <c r="AQ109" s="549">
        <v>3.0</v>
      </c>
      <c r="AR109" s="549">
        <v>0.0</v>
      </c>
      <c r="AS109" s="549"/>
      <c r="AT109" s="549">
        <v>0.0</v>
      </c>
      <c r="AU109" s="549"/>
      <c r="AV109" s="549"/>
      <c r="AW109" s="549"/>
      <c r="AX109" s="549"/>
      <c r="AY109" s="549"/>
      <c r="AZ109" s="549"/>
      <c r="BA109" s="549">
        <f t="shared" si="5"/>
        <v>10</v>
      </c>
      <c r="BB109" s="549" t="s">
        <v>6988</v>
      </c>
    </row>
    <row r="110">
      <c r="A110" s="1687" t="s">
        <v>6987</v>
      </c>
      <c r="B110" s="1634" t="s">
        <v>6892</v>
      </c>
      <c r="C110" s="1594" t="s">
        <v>6887</v>
      </c>
      <c r="D110" s="1701">
        <v>0.0</v>
      </c>
      <c r="E110" s="1701">
        <v>0.0</v>
      </c>
      <c r="F110" s="1701">
        <v>0.0</v>
      </c>
      <c r="G110" s="1701">
        <v>0.0</v>
      </c>
      <c r="H110" s="549">
        <v>0.0</v>
      </c>
      <c r="I110" s="1710">
        <v>0.0</v>
      </c>
      <c r="J110" s="1710">
        <v>0.0</v>
      </c>
      <c r="K110" s="1711">
        <v>0.0</v>
      </c>
      <c r="L110" s="1725"/>
      <c r="M110" s="549">
        <v>0.0</v>
      </c>
      <c r="N110" s="1725"/>
      <c r="O110" s="1710">
        <v>0.0</v>
      </c>
      <c r="P110" s="1725"/>
      <c r="Q110" s="549">
        <v>0.0</v>
      </c>
      <c r="R110" s="1701">
        <v>0.0</v>
      </c>
      <c r="S110" s="1701">
        <v>0.0</v>
      </c>
      <c r="T110" s="1701">
        <v>0.0</v>
      </c>
      <c r="U110" s="1701">
        <v>0.0</v>
      </c>
      <c r="V110" s="1701">
        <v>0.0</v>
      </c>
      <c r="W110" s="1701">
        <v>0.0</v>
      </c>
      <c r="X110" s="548">
        <v>0.0</v>
      </c>
      <c r="Y110" s="548">
        <v>0.0</v>
      </c>
      <c r="Z110" s="548">
        <v>0.0</v>
      </c>
      <c r="AA110" s="1701">
        <v>0.0</v>
      </c>
      <c r="AB110" s="1701">
        <v>0.0</v>
      </c>
      <c r="AC110" s="1701">
        <v>0.0</v>
      </c>
      <c r="AD110" s="1701"/>
      <c r="AE110" s="1701">
        <v>0.0</v>
      </c>
      <c r="AF110" s="1701">
        <v>0.0</v>
      </c>
      <c r="AG110" s="1701">
        <v>0.0</v>
      </c>
      <c r="AH110" s="1701">
        <v>0.0</v>
      </c>
      <c r="AI110" s="1701">
        <v>0.0</v>
      </c>
      <c r="AJ110" s="1701">
        <v>0.0</v>
      </c>
      <c r="AK110" s="1701">
        <v>0.0</v>
      </c>
      <c r="AL110" s="1701">
        <v>0.0</v>
      </c>
      <c r="AM110" s="1701">
        <v>0.0</v>
      </c>
      <c r="AN110" s="549">
        <v>0.0</v>
      </c>
      <c r="AO110" s="549">
        <v>0.0</v>
      </c>
      <c r="AP110" s="549">
        <v>0.0</v>
      </c>
      <c r="AQ110" s="549">
        <v>0.0</v>
      </c>
      <c r="AR110" s="549">
        <v>0.0</v>
      </c>
      <c r="AS110" s="549"/>
      <c r="AT110" s="549">
        <v>0.0</v>
      </c>
      <c r="AU110" s="549"/>
      <c r="AV110" s="549"/>
      <c r="AW110" s="549"/>
      <c r="AX110" s="549"/>
      <c r="AY110" s="549"/>
      <c r="AZ110" s="549"/>
      <c r="BA110" s="549">
        <f t="shared" si="5"/>
        <v>0</v>
      </c>
      <c r="BB110" s="549" t="s">
        <v>6988</v>
      </c>
    </row>
    <row r="111">
      <c r="A111" s="1687" t="s">
        <v>6987</v>
      </c>
      <c r="B111" s="1634" t="s">
        <v>6894</v>
      </c>
      <c r="C111" s="1594" t="s">
        <v>6887</v>
      </c>
      <c r="D111" s="1701">
        <v>0.0</v>
      </c>
      <c r="E111" s="1701">
        <v>0.0</v>
      </c>
      <c r="F111" s="1701">
        <v>0.0</v>
      </c>
      <c r="G111" s="1701">
        <v>0.0</v>
      </c>
      <c r="H111" s="549">
        <v>1.0</v>
      </c>
      <c r="I111" s="1710">
        <v>0.0</v>
      </c>
      <c r="J111" s="1710">
        <v>1.0</v>
      </c>
      <c r="K111" s="1711">
        <v>0.0</v>
      </c>
      <c r="L111" s="1725"/>
      <c r="M111" s="1701">
        <v>0.0</v>
      </c>
      <c r="N111" s="1725"/>
      <c r="O111" s="1710">
        <v>0.0</v>
      </c>
      <c r="P111" s="1725"/>
      <c r="Q111" s="549">
        <v>0.0</v>
      </c>
      <c r="R111" s="1701">
        <v>0.0</v>
      </c>
      <c r="S111" s="1701">
        <v>0.0</v>
      </c>
      <c r="T111" s="1701">
        <v>1.0</v>
      </c>
      <c r="U111" s="1701">
        <v>0.0</v>
      </c>
      <c r="V111" s="1701">
        <v>0.0</v>
      </c>
      <c r="W111" s="1701">
        <v>0.0</v>
      </c>
      <c r="X111" s="548">
        <v>1.0</v>
      </c>
      <c r="Y111" s="548">
        <v>1.0</v>
      </c>
      <c r="Z111" s="548">
        <v>0.0</v>
      </c>
      <c r="AA111" s="1701">
        <v>0.0</v>
      </c>
      <c r="AB111" s="1701">
        <v>0.0</v>
      </c>
      <c r="AC111" s="1701">
        <v>0.0</v>
      </c>
      <c r="AD111" s="1701"/>
      <c r="AE111" s="1701">
        <v>1.0</v>
      </c>
      <c r="AF111" s="1701">
        <v>0.0</v>
      </c>
      <c r="AG111" s="1701">
        <v>1.0</v>
      </c>
      <c r="AH111" s="1701">
        <v>0.0</v>
      </c>
      <c r="AI111" s="1701">
        <v>0.0</v>
      </c>
      <c r="AJ111" s="1701">
        <v>1.0</v>
      </c>
      <c r="AK111" s="1701">
        <v>1.0</v>
      </c>
      <c r="AL111" s="1701">
        <v>2.0</v>
      </c>
      <c r="AM111" s="1701">
        <v>0.0</v>
      </c>
      <c r="AN111" s="549">
        <v>0.0</v>
      </c>
      <c r="AO111" s="549">
        <v>0.0</v>
      </c>
      <c r="AP111" s="549">
        <v>0.0</v>
      </c>
      <c r="AQ111" s="549">
        <v>3.0</v>
      </c>
      <c r="AR111" s="549">
        <v>0.0</v>
      </c>
      <c r="AS111" s="549"/>
      <c r="AT111" s="549">
        <v>3.0</v>
      </c>
      <c r="AU111" s="549"/>
      <c r="AV111" s="549"/>
      <c r="AW111" s="549"/>
      <c r="AX111" s="549"/>
      <c r="AY111" s="549"/>
      <c r="AZ111" s="549"/>
      <c r="BA111" s="549">
        <f t="shared" si="5"/>
        <v>17</v>
      </c>
      <c r="BB111" s="549" t="s">
        <v>6988</v>
      </c>
    </row>
    <row r="112">
      <c r="A112" s="1687" t="s">
        <v>6987</v>
      </c>
      <c r="B112" s="1634" t="s">
        <v>6896</v>
      </c>
      <c r="C112" s="1594" t="s">
        <v>6887</v>
      </c>
      <c r="D112" s="1701">
        <v>0.0</v>
      </c>
      <c r="E112" s="1701">
        <v>0.0</v>
      </c>
      <c r="F112" s="1701">
        <v>0.0</v>
      </c>
      <c r="G112" s="1701">
        <v>1.0</v>
      </c>
      <c r="H112" s="549">
        <v>0.0</v>
      </c>
      <c r="I112" s="1710">
        <v>0.0</v>
      </c>
      <c r="J112" s="1710">
        <v>1.0</v>
      </c>
      <c r="K112" s="1711">
        <v>0.0</v>
      </c>
      <c r="L112" s="1701">
        <v>0.0</v>
      </c>
      <c r="M112" s="1701">
        <v>0.0</v>
      </c>
      <c r="N112" s="1725"/>
      <c r="O112" s="1710">
        <v>0.0</v>
      </c>
      <c r="P112" s="1725"/>
      <c r="Q112" s="549">
        <v>0.0</v>
      </c>
      <c r="R112" s="1701">
        <v>1.0</v>
      </c>
      <c r="S112" s="1701">
        <v>0.0</v>
      </c>
      <c r="T112" s="1701">
        <v>0.0</v>
      </c>
      <c r="U112" s="1701">
        <v>2.0</v>
      </c>
      <c r="V112" s="1701">
        <v>0.0</v>
      </c>
      <c r="W112" s="1701">
        <v>0.0</v>
      </c>
      <c r="X112" s="548">
        <v>0.0</v>
      </c>
      <c r="Y112" s="548">
        <v>0.0</v>
      </c>
      <c r="Z112" s="548">
        <v>1.0</v>
      </c>
      <c r="AA112" s="1701">
        <v>0.0</v>
      </c>
      <c r="AB112" s="1701">
        <v>0.0</v>
      </c>
      <c r="AC112" s="1701">
        <v>0.0</v>
      </c>
      <c r="AD112" s="1701"/>
      <c r="AE112" s="1701">
        <v>0.0</v>
      </c>
      <c r="AF112" s="1701">
        <v>0.0</v>
      </c>
      <c r="AG112" s="1701">
        <v>0.0</v>
      </c>
      <c r="AH112" s="1701">
        <v>1.0</v>
      </c>
      <c r="AI112" s="1701">
        <v>0.0</v>
      </c>
      <c r="AJ112" s="1701">
        <v>0.0</v>
      </c>
      <c r="AK112" s="1701">
        <v>0.0</v>
      </c>
      <c r="AL112" s="1701">
        <v>1.0</v>
      </c>
      <c r="AM112" s="1701">
        <v>0.0</v>
      </c>
      <c r="AN112" s="549">
        <v>0.0</v>
      </c>
      <c r="AO112" s="549">
        <v>0.0</v>
      </c>
      <c r="AP112" s="549">
        <v>0.0</v>
      </c>
      <c r="AQ112" s="549">
        <v>0.0</v>
      </c>
      <c r="AR112" s="549">
        <v>0.0</v>
      </c>
      <c r="AS112" s="549"/>
      <c r="AT112" s="549">
        <v>3.0</v>
      </c>
      <c r="AU112" s="549"/>
      <c r="AV112" s="549"/>
      <c r="AW112" s="549"/>
      <c r="AX112" s="549"/>
      <c r="AY112" s="549"/>
      <c r="AZ112" s="549"/>
      <c r="BA112" s="549">
        <f t="shared" si="5"/>
        <v>11</v>
      </c>
      <c r="BB112" s="549" t="s">
        <v>6988</v>
      </c>
    </row>
    <row r="113">
      <c r="A113" s="1687" t="s">
        <v>6987</v>
      </c>
      <c r="B113" s="1634" t="s">
        <v>6897</v>
      </c>
      <c r="C113" s="1594" t="s">
        <v>6887</v>
      </c>
      <c r="D113" s="1701">
        <v>0.0</v>
      </c>
      <c r="E113" s="1701">
        <v>0.0</v>
      </c>
      <c r="F113" s="1701">
        <v>0.0</v>
      </c>
      <c r="G113" s="1701">
        <v>0.0</v>
      </c>
      <c r="H113" s="549">
        <v>0.0</v>
      </c>
      <c r="I113" s="1710">
        <v>1.0</v>
      </c>
      <c r="J113" s="1735"/>
      <c r="K113" s="1711">
        <v>0.0</v>
      </c>
      <c r="L113" s="1725"/>
      <c r="M113" s="1701">
        <v>0.0</v>
      </c>
      <c r="N113" s="1725"/>
      <c r="O113" s="1710">
        <v>2.0</v>
      </c>
      <c r="P113" s="1725"/>
      <c r="Q113" s="549">
        <v>0.0</v>
      </c>
      <c r="R113" s="1701">
        <v>0.0</v>
      </c>
      <c r="S113" s="1701">
        <v>0.0</v>
      </c>
      <c r="T113" s="1701">
        <v>0.0</v>
      </c>
      <c r="U113" s="1701">
        <v>2.0</v>
      </c>
      <c r="V113" s="1701">
        <v>0.0</v>
      </c>
      <c r="W113" s="1701">
        <v>0.0</v>
      </c>
      <c r="X113" s="548">
        <v>0.0</v>
      </c>
      <c r="Y113" s="548">
        <v>0.0</v>
      </c>
      <c r="Z113" s="548">
        <v>0.0</v>
      </c>
      <c r="AA113" s="1701">
        <v>0.0</v>
      </c>
      <c r="AB113" s="1701">
        <v>0.0</v>
      </c>
      <c r="AC113" s="1701">
        <v>0.0</v>
      </c>
      <c r="AD113" s="1701"/>
      <c r="AE113" s="1701">
        <v>0.0</v>
      </c>
      <c r="AF113" s="1701">
        <v>0.0</v>
      </c>
      <c r="AG113" s="1701">
        <v>1.0</v>
      </c>
      <c r="AH113" s="1701">
        <v>0.0</v>
      </c>
      <c r="AI113" s="1701">
        <v>1.0</v>
      </c>
      <c r="AJ113" s="1701">
        <v>0.0</v>
      </c>
      <c r="AK113" s="1701">
        <v>0.0</v>
      </c>
      <c r="AL113" s="1701">
        <v>0.0</v>
      </c>
      <c r="AM113" s="1701">
        <v>0.0</v>
      </c>
      <c r="AN113" s="549">
        <v>0.0</v>
      </c>
      <c r="AO113" s="549">
        <v>0.0</v>
      </c>
      <c r="AP113" s="549">
        <v>0.0</v>
      </c>
      <c r="AQ113" s="549">
        <v>0.0</v>
      </c>
      <c r="AR113" s="549">
        <v>0.0</v>
      </c>
      <c r="AS113" s="549"/>
      <c r="AT113" s="549">
        <v>0.0</v>
      </c>
      <c r="AU113" s="549"/>
      <c r="AV113" s="549"/>
      <c r="AW113" s="549"/>
      <c r="AX113" s="549"/>
      <c r="AY113" s="549"/>
      <c r="AZ113" s="549"/>
      <c r="BA113" s="549">
        <f t="shared" si="5"/>
        <v>7</v>
      </c>
      <c r="BB113" s="549" t="s">
        <v>6988</v>
      </c>
    </row>
    <row r="114">
      <c r="A114" s="1687" t="s">
        <v>6987</v>
      </c>
      <c r="B114" s="1634" t="s">
        <v>6898</v>
      </c>
      <c r="C114" s="1594" t="s">
        <v>6887</v>
      </c>
      <c r="D114" s="1701">
        <v>0.0</v>
      </c>
      <c r="E114" s="1701">
        <v>0.0</v>
      </c>
      <c r="F114" s="1701">
        <v>0.0</v>
      </c>
      <c r="G114" s="1701">
        <v>0.0</v>
      </c>
      <c r="H114" s="549">
        <v>1.0</v>
      </c>
      <c r="I114" s="1710">
        <v>0.0</v>
      </c>
      <c r="J114" s="1735"/>
      <c r="K114" s="1711">
        <v>0.0</v>
      </c>
      <c r="L114" s="1725"/>
      <c r="M114" s="549">
        <v>0.0</v>
      </c>
      <c r="N114" s="1725"/>
      <c r="O114" s="1710">
        <v>0.0</v>
      </c>
      <c r="P114" s="1725"/>
      <c r="Q114" s="549">
        <v>0.0</v>
      </c>
      <c r="R114" s="1701">
        <v>0.0</v>
      </c>
      <c r="S114" s="1701">
        <v>0.0</v>
      </c>
      <c r="T114" s="1701">
        <v>1.0</v>
      </c>
      <c r="U114" s="1701">
        <v>2.0</v>
      </c>
      <c r="V114" s="1701">
        <v>0.0</v>
      </c>
      <c r="W114" s="1701">
        <v>0.0</v>
      </c>
      <c r="X114" s="548">
        <v>0.0</v>
      </c>
      <c r="Y114" s="548">
        <v>0.0</v>
      </c>
      <c r="Z114" s="548">
        <v>0.0</v>
      </c>
      <c r="AA114" s="1701">
        <v>0.0</v>
      </c>
      <c r="AB114" s="1701">
        <v>0.0</v>
      </c>
      <c r="AC114" s="1701">
        <v>0.0</v>
      </c>
      <c r="AD114" s="1701"/>
      <c r="AE114" s="1701">
        <v>0.0</v>
      </c>
      <c r="AF114" s="1701">
        <v>0.0</v>
      </c>
      <c r="AG114" s="1701">
        <v>0.0</v>
      </c>
      <c r="AH114" s="1701">
        <v>0.0</v>
      </c>
      <c r="AI114" s="1701">
        <v>0.0</v>
      </c>
      <c r="AJ114" s="1701">
        <v>0.0</v>
      </c>
      <c r="AK114" s="1701">
        <v>0.0</v>
      </c>
      <c r="AL114" s="1701">
        <v>0.0</v>
      </c>
      <c r="AM114" s="1701">
        <v>1.0</v>
      </c>
      <c r="AN114" s="549">
        <v>0.0</v>
      </c>
      <c r="AO114" s="549">
        <v>1.0</v>
      </c>
      <c r="AP114" s="549">
        <v>0.0</v>
      </c>
      <c r="AQ114" s="549">
        <v>3.0</v>
      </c>
      <c r="AR114" s="549">
        <v>0.0</v>
      </c>
      <c r="AS114" s="549"/>
      <c r="AT114" s="549">
        <v>0.0</v>
      </c>
      <c r="AU114" s="549"/>
      <c r="AV114" s="549"/>
      <c r="AW114" s="549"/>
      <c r="AX114" s="549"/>
      <c r="AY114" s="549"/>
      <c r="AZ114" s="549"/>
      <c r="BA114" s="549">
        <f t="shared" si="5"/>
        <v>9</v>
      </c>
      <c r="BB114" s="549" t="s">
        <v>6988</v>
      </c>
    </row>
    <row r="115">
      <c r="A115" s="1687" t="s">
        <v>6987</v>
      </c>
      <c r="B115" s="1634" t="s">
        <v>6899</v>
      </c>
      <c r="C115" s="1594" t="s">
        <v>6887</v>
      </c>
      <c r="D115" s="1701">
        <v>0.0</v>
      </c>
      <c r="E115" s="1701">
        <v>0.0</v>
      </c>
      <c r="F115" s="1701">
        <v>0.0</v>
      </c>
      <c r="G115" s="1701">
        <v>0.0</v>
      </c>
      <c r="H115" s="549">
        <v>0.0</v>
      </c>
      <c r="I115" s="1710">
        <v>0.0</v>
      </c>
      <c r="J115" s="1710">
        <v>0.0</v>
      </c>
      <c r="K115" s="1711">
        <v>0.0</v>
      </c>
      <c r="L115" s="1725"/>
      <c r="M115" s="1701">
        <v>0.0</v>
      </c>
      <c r="N115" s="1701">
        <v>1.0</v>
      </c>
      <c r="O115" s="1710">
        <v>2.0</v>
      </c>
      <c r="P115" s="1725"/>
      <c r="Q115" s="549">
        <v>0.0</v>
      </c>
      <c r="R115" s="1701">
        <v>0.0</v>
      </c>
      <c r="S115" s="1701">
        <v>0.0</v>
      </c>
      <c r="T115" s="1701">
        <v>1.0</v>
      </c>
      <c r="U115" s="1701">
        <v>2.0</v>
      </c>
      <c r="V115" s="1701">
        <v>0.0</v>
      </c>
      <c r="W115" s="1701">
        <v>0.0</v>
      </c>
      <c r="X115" s="548">
        <v>0.0</v>
      </c>
      <c r="Y115" s="548">
        <v>1.0</v>
      </c>
      <c r="Z115" s="548">
        <v>0.0</v>
      </c>
      <c r="AA115" s="1701">
        <v>0.0</v>
      </c>
      <c r="AB115" s="1701">
        <v>0.0</v>
      </c>
      <c r="AC115" s="1701">
        <v>0.0</v>
      </c>
      <c r="AD115" s="1701"/>
      <c r="AE115" s="1701">
        <v>1.0</v>
      </c>
      <c r="AF115" s="1701">
        <v>0.0</v>
      </c>
      <c r="AG115" s="1701">
        <v>0.0</v>
      </c>
      <c r="AH115" s="1701">
        <v>2.0</v>
      </c>
      <c r="AI115" s="1701">
        <v>0.0</v>
      </c>
      <c r="AJ115" s="1701">
        <v>0.0</v>
      </c>
      <c r="AK115" s="1701">
        <v>1.0</v>
      </c>
      <c r="AL115" s="1701">
        <v>0.0</v>
      </c>
      <c r="AM115" s="1701">
        <v>0.0</v>
      </c>
      <c r="AN115" s="549">
        <v>1.0</v>
      </c>
      <c r="AO115" s="549">
        <v>0.0</v>
      </c>
      <c r="AP115" s="549">
        <v>0.0</v>
      </c>
      <c r="AQ115" s="549">
        <v>0.0</v>
      </c>
      <c r="AR115" s="549">
        <v>0.0</v>
      </c>
      <c r="AS115" s="549"/>
      <c r="AT115" s="549">
        <v>3.0</v>
      </c>
      <c r="AU115" s="549"/>
      <c r="AV115" s="549"/>
      <c r="AW115" s="549"/>
      <c r="AX115" s="549"/>
      <c r="AY115" s="549"/>
      <c r="AZ115" s="549"/>
      <c r="BA115" s="549">
        <f t="shared" si="5"/>
        <v>15</v>
      </c>
      <c r="BB115" s="549" t="s">
        <v>6988</v>
      </c>
    </row>
    <row r="116">
      <c r="A116" s="1687" t="s">
        <v>6987</v>
      </c>
      <c r="B116" s="1634" t="s">
        <v>6900</v>
      </c>
      <c r="C116" s="1594" t="s">
        <v>6887</v>
      </c>
      <c r="D116" s="1701">
        <v>0.0</v>
      </c>
      <c r="E116" s="1701">
        <v>0.0</v>
      </c>
      <c r="F116" s="1701">
        <v>0.0</v>
      </c>
      <c r="G116" s="1701">
        <v>0.0</v>
      </c>
      <c r="H116" s="549">
        <v>1.0</v>
      </c>
      <c r="I116" s="1710">
        <v>0.0</v>
      </c>
      <c r="J116" s="1735"/>
      <c r="K116" s="1711">
        <v>0.0</v>
      </c>
      <c r="L116" s="1701">
        <v>1.0</v>
      </c>
      <c r="M116" s="549">
        <v>0.0</v>
      </c>
      <c r="N116" s="1701">
        <v>0.0</v>
      </c>
      <c r="O116" s="1710">
        <v>0.0</v>
      </c>
      <c r="P116" s="1725"/>
      <c r="Q116" s="549">
        <v>1.0</v>
      </c>
      <c r="R116" s="1701">
        <v>0.0</v>
      </c>
      <c r="S116" s="1701">
        <v>0.0</v>
      </c>
      <c r="T116" s="1701">
        <v>0.0</v>
      </c>
      <c r="U116" s="1701">
        <v>0.0</v>
      </c>
      <c r="V116" s="1701">
        <v>0.0</v>
      </c>
      <c r="W116" s="1701">
        <v>0.0</v>
      </c>
      <c r="X116" s="548">
        <v>1.0</v>
      </c>
      <c r="Y116" s="548">
        <v>0.0</v>
      </c>
      <c r="Z116" s="548">
        <v>1.0</v>
      </c>
      <c r="AA116" s="1701">
        <v>0.0</v>
      </c>
      <c r="AB116" s="1701">
        <v>0.0</v>
      </c>
      <c r="AC116" s="1701">
        <v>0.0</v>
      </c>
      <c r="AD116" s="1701"/>
      <c r="AE116" s="1701">
        <v>0.0</v>
      </c>
      <c r="AF116" s="1701">
        <v>0.0</v>
      </c>
      <c r="AG116" s="1701">
        <v>0.0</v>
      </c>
      <c r="AH116" s="1701">
        <v>0.0</v>
      </c>
      <c r="AI116" s="1701">
        <v>0.0</v>
      </c>
      <c r="AJ116" s="1701">
        <v>0.0</v>
      </c>
      <c r="AK116" s="1701">
        <v>0.0</v>
      </c>
      <c r="AL116" s="1701">
        <v>0.0</v>
      </c>
      <c r="AM116" s="1701">
        <v>0.0</v>
      </c>
      <c r="AN116" s="549">
        <v>0.0</v>
      </c>
      <c r="AO116" s="549">
        <v>0.0</v>
      </c>
      <c r="AP116" s="549">
        <v>0.0</v>
      </c>
      <c r="AQ116" s="549">
        <v>0.0</v>
      </c>
      <c r="AR116" s="549">
        <v>0.0</v>
      </c>
      <c r="AS116" s="549"/>
      <c r="AT116" s="549">
        <v>0.0</v>
      </c>
      <c r="AU116" s="549"/>
      <c r="AV116" s="549"/>
      <c r="AW116" s="549"/>
      <c r="AX116" s="549"/>
      <c r="AY116" s="549"/>
      <c r="AZ116" s="549"/>
      <c r="BA116" s="549">
        <f t="shared" si="5"/>
        <v>5</v>
      </c>
      <c r="BB116" s="549" t="s">
        <v>6988</v>
      </c>
    </row>
    <row r="117">
      <c r="A117" s="1687" t="s">
        <v>6987</v>
      </c>
      <c r="B117" s="1634" t="s">
        <v>6901</v>
      </c>
      <c r="C117" s="1594" t="s">
        <v>6887</v>
      </c>
      <c r="D117" s="1701">
        <v>1.0</v>
      </c>
      <c r="E117" s="1701">
        <v>0.0</v>
      </c>
      <c r="F117" s="1701">
        <v>0.0</v>
      </c>
      <c r="G117" s="1701">
        <v>0.0</v>
      </c>
      <c r="H117" s="549">
        <v>0.0</v>
      </c>
      <c r="I117" s="1710">
        <v>2.0</v>
      </c>
      <c r="J117" s="1735"/>
      <c r="K117" s="1711">
        <v>0.0</v>
      </c>
      <c r="L117" s="1701">
        <v>0.0</v>
      </c>
      <c r="M117" s="1701">
        <v>0.0</v>
      </c>
      <c r="N117" s="1701">
        <v>1.0</v>
      </c>
      <c r="O117" s="1710">
        <v>1.0</v>
      </c>
      <c r="P117" s="1725"/>
      <c r="Q117" s="549">
        <v>0.0</v>
      </c>
      <c r="R117" s="1701">
        <v>0.0</v>
      </c>
      <c r="S117" s="1701">
        <v>1.0</v>
      </c>
      <c r="T117" s="1701">
        <v>2.0</v>
      </c>
      <c r="U117" s="1701">
        <v>0.0</v>
      </c>
      <c r="V117" s="1701">
        <v>1.0</v>
      </c>
      <c r="W117" s="1701">
        <v>0.0</v>
      </c>
      <c r="X117" s="548">
        <v>0.0</v>
      </c>
      <c r="Y117" s="548">
        <v>0.0</v>
      </c>
      <c r="Z117" s="548">
        <v>0.0</v>
      </c>
      <c r="AA117" s="1701">
        <v>0.0</v>
      </c>
      <c r="AB117" s="1701">
        <v>0.0</v>
      </c>
      <c r="AC117" s="1701">
        <v>0.0</v>
      </c>
      <c r="AD117" s="1701"/>
      <c r="AE117" s="1701">
        <v>1.0</v>
      </c>
      <c r="AF117" s="1701">
        <v>0.0</v>
      </c>
      <c r="AG117" s="1701">
        <v>0.0</v>
      </c>
      <c r="AH117" s="1701">
        <v>1.0</v>
      </c>
      <c r="AI117" s="1701">
        <v>0.0</v>
      </c>
      <c r="AJ117" s="1701">
        <v>0.0</v>
      </c>
      <c r="AK117" s="1701">
        <v>0.0</v>
      </c>
      <c r="AL117" s="1701">
        <v>0.0</v>
      </c>
      <c r="AM117" s="1701">
        <v>1.0</v>
      </c>
      <c r="AN117" s="549">
        <v>1.0</v>
      </c>
      <c r="AO117" s="549">
        <v>0.0</v>
      </c>
      <c r="AP117" s="549">
        <v>0.0</v>
      </c>
      <c r="AQ117" s="549">
        <v>0.0</v>
      </c>
      <c r="AR117" s="549">
        <v>0.0</v>
      </c>
      <c r="AS117" s="549"/>
      <c r="AT117" s="549">
        <v>0.0</v>
      </c>
      <c r="AU117" s="549"/>
      <c r="AV117" s="549"/>
      <c r="AW117" s="549"/>
      <c r="AX117" s="549"/>
      <c r="AY117" s="549"/>
      <c r="AZ117" s="549"/>
      <c r="BA117" s="549">
        <f t="shared" si="5"/>
        <v>13</v>
      </c>
      <c r="BB117" s="549"/>
    </row>
    <row r="118">
      <c r="A118" s="1687" t="s">
        <v>6987</v>
      </c>
      <c r="B118" s="1634" t="s">
        <v>6902</v>
      </c>
      <c r="C118" s="1594" t="s">
        <v>6887</v>
      </c>
      <c r="D118" s="1701">
        <v>1.0</v>
      </c>
      <c r="E118" s="1701">
        <v>0.0</v>
      </c>
      <c r="F118" s="1701">
        <v>0.0</v>
      </c>
      <c r="G118" s="1701">
        <v>0.0</v>
      </c>
      <c r="H118" s="549">
        <v>0.0</v>
      </c>
      <c r="I118" s="1710">
        <v>0.0</v>
      </c>
      <c r="J118" s="1710">
        <v>2.0</v>
      </c>
      <c r="K118" s="1711">
        <v>0.0</v>
      </c>
      <c r="L118" s="1701">
        <v>1.0</v>
      </c>
      <c r="M118" s="1701">
        <v>0.0</v>
      </c>
      <c r="N118" s="1701">
        <v>2.0</v>
      </c>
      <c r="O118" s="1710">
        <v>1.0</v>
      </c>
      <c r="P118" s="1725"/>
      <c r="Q118" s="549">
        <v>0.0</v>
      </c>
      <c r="R118" s="1701">
        <v>0.0</v>
      </c>
      <c r="S118" s="1701">
        <v>0.0</v>
      </c>
      <c r="T118" s="1701">
        <v>0.0</v>
      </c>
      <c r="U118" s="1701">
        <v>1.0</v>
      </c>
      <c r="V118" s="1701">
        <v>0.0</v>
      </c>
      <c r="W118" s="1701">
        <v>0.0</v>
      </c>
      <c r="X118" s="548">
        <v>0.0</v>
      </c>
      <c r="Y118" s="548">
        <v>1.0</v>
      </c>
      <c r="Z118" s="548">
        <v>1.0</v>
      </c>
      <c r="AA118" s="1701">
        <v>1.0</v>
      </c>
      <c r="AB118" s="1701">
        <v>1.0</v>
      </c>
      <c r="AC118" s="1701">
        <v>1.0</v>
      </c>
      <c r="AD118" s="1701"/>
      <c r="AE118" s="1701">
        <v>0.0</v>
      </c>
      <c r="AF118" s="1701">
        <v>0.0</v>
      </c>
      <c r="AG118" s="1701">
        <v>0.0</v>
      </c>
      <c r="AH118" s="1701">
        <v>2.0</v>
      </c>
      <c r="AI118" s="1701">
        <v>0.0</v>
      </c>
      <c r="AJ118" s="1701">
        <v>1.0</v>
      </c>
      <c r="AK118" s="1701">
        <v>0.0</v>
      </c>
      <c r="AL118" s="1701">
        <v>0.0</v>
      </c>
      <c r="AM118" s="1701">
        <v>0.0</v>
      </c>
      <c r="AN118" s="549">
        <v>0.0</v>
      </c>
      <c r="AO118" s="549">
        <v>0.0</v>
      </c>
      <c r="AP118" s="549">
        <v>0.0</v>
      </c>
      <c r="AQ118" s="549">
        <v>0.0</v>
      </c>
      <c r="AR118" s="549">
        <v>0.0</v>
      </c>
      <c r="AS118" s="549"/>
      <c r="AT118" s="549">
        <v>0.0</v>
      </c>
      <c r="AU118" s="549"/>
      <c r="AV118" s="549"/>
      <c r="AW118" s="549"/>
      <c r="AX118" s="549"/>
      <c r="AY118" s="549"/>
      <c r="AZ118" s="549"/>
      <c r="BA118" s="549">
        <f t="shared" si="5"/>
        <v>16</v>
      </c>
      <c r="BB118" s="549"/>
    </row>
    <row r="119">
      <c r="A119" s="1687" t="s">
        <v>6987</v>
      </c>
      <c r="B119" s="1634" t="s">
        <v>6904</v>
      </c>
      <c r="C119" s="1594" t="s">
        <v>6887</v>
      </c>
      <c r="D119" s="1701">
        <v>0.0</v>
      </c>
      <c r="E119" s="1701">
        <v>0.0</v>
      </c>
      <c r="F119" s="1701">
        <v>0.0</v>
      </c>
      <c r="G119" s="1701">
        <v>0.0</v>
      </c>
      <c r="H119" s="549">
        <v>0.0</v>
      </c>
      <c r="I119" s="1710">
        <v>0.0</v>
      </c>
      <c r="J119" s="1710">
        <v>0.0</v>
      </c>
      <c r="K119" s="1711">
        <v>0.0</v>
      </c>
      <c r="L119" s="1725"/>
      <c r="M119" s="1701">
        <v>0.0</v>
      </c>
      <c r="N119" s="1725"/>
      <c r="O119" s="1710">
        <v>0.0</v>
      </c>
      <c r="P119" s="1725"/>
      <c r="Q119" s="549">
        <v>0.0</v>
      </c>
      <c r="R119" s="1701">
        <v>0.0</v>
      </c>
      <c r="S119" s="1701">
        <v>0.0</v>
      </c>
      <c r="T119" s="1701">
        <v>0.0</v>
      </c>
      <c r="U119" s="1701">
        <v>0.0</v>
      </c>
      <c r="V119" s="1701">
        <v>0.0</v>
      </c>
      <c r="W119" s="1701">
        <v>0.0</v>
      </c>
      <c r="X119" s="548">
        <v>0.0</v>
      </c>
      <c r="Y119" s="548">
        <v>0.0</v>
      </c>
      <c r="Z119" s="548">
        <v>0.0</v>
      </c>
      <c r="AA119" s="1701">
        <v>0.0</v>
      </c>
      <c r="AB119" s="1701">
        <v>0.0</v>
      </c>
      <c r="AC119" s="1701">
        <v>0.0</v>
      </c>
      <c r="AD119" s="1701"/>
      <c r="AE119" s="1701">
        <v>0.0</v>
      </c>
      <c r="AF119" s="1701">
        <v>0.0</v>
      </c>
      <c r="AG119" s="1701">
        <v>0.0</v>
      </c>
      <c r="AH119" s="1701">
        <v>0.0</v>
      </c>
      <c r="AI119" s="1701">
        <v>0.0</v>
      </c>
      <c r="AJ119" s="1701">
        <v>1.0</v>
      </c>
      <c r="AK119" s="1701">
        <v>0.0</v>
      </c>
      <c r="AL119" s="1701">
        <v>0.0</v>
      </c>
      <c r="AM119" s="1701">
        <v>0.0</v>
      </c>
      <c r="AN119" s="549">
        <v>0.0</v>
      </c>
      <c r="AO119" s="549">
        <v>0.0</v>
      </c>
      <c r="AP119" s="549">
        <v>0.0</v>
      </c>
      <c r="AQ119" s="549">
        <v>0.0</v>
      </c>
      <c r="AR119" s="549">
        <v>0.0</v>
      </c>
      <c r="AS119" s="549"/>
      <c r="AT119" s="549">
        <v>0.0</v>
      </c>
      <c r="AU119" s="549"/>
      <c r="AV119" s="549"/>
      <c r="AW119" s="549"/>
      <c r="AX119" s="549"/>
      <c r="AY119" s="549"/>
      <c r="AZ119" s="549"/>
      <c r="BA119" s="549">
        <f t="shared" si="5"/>
        <v>1</v>
      </c>
      <c r="BB119" s="549" t="s">
        <v>6988</v>
      </c>
    </row>
    <row r="120">
      <c r="A120" s="1687" t="s">
        <v>6987</v>
      </c>
      <c r="B120" s="1634" t="s">
        <v>6905</v>
      </c>
      <c r="C120" s="1594" t="s">
        <v>6887</v>
      </c>
      <c r="D120" s="1701">
        <v>0.0</v>
      </c>
      <c r="E120" s="1701">
        <v>0.0</v>
      </c>
      <c r="F120" s="1701">
        <v>0.0</v>
      </c>
      <c r="G120" s="1701">
        <v>0.0</v>
      </c>
      <c r="H120" s="549">
        <v>0.0</v>
      </c>
      <c r="I120" s="1710">
        <v>0.0</v>
      </c>
      <c r="J120" s="1710">
        <v>0.0</v>
      </c>
      <c r="K120" s="1711">
        <v>0.0</v>
      </c>
      <c r="L120" s="1725"/>
      <c r="M120" s="1701">
        <v>0.0</v>
      </c>
      <c r="N120" s="1725"/>
      <c r="O120" s="1710">
        <v>2.0</v>
      </c>
      <c r="P120" s="1725"/>
      <c r="Q120" s="549">
        <v>0.0</v>
      </c>
      <c r="R120" s="1701">
        <v>0.0</v>
      </c>
      <c r="S120" s="1701">
        <v>0.0</v>
      </c>
      <c r="T120" s="1701">
        <v>0.0</v>
      </c>
      <c r="U120" s="1701">
        <v>0.0</v>
      </c>
      <c r="V120" s="1701">
        <v>0.0</v>
      </c>
      <c r="W120" s="1701">
        <v>0.0</v>
      </c>
      <c r="X120" s="548">
        <v>0.0</v>
      </c>
      <c r="Y120" s="548">
        <v>1.0</v>
      </c>
      <c r="Z120" s="548">
        <v>1.0</v>
      </c>
      <c r="AA120" s="1701">
        <v>0.0</v>
      </c>
      <c r="AB120" s="1701">
        <v>0.0</v>
      </c>
      <c r="AC120" s="1701">
        <v>0.0</v>
      </c>
      <c r="AD120" s="1701"/>
      <c r="AE120" s="1701">
        <v>0.0</v>
      </c>
      <c r="AF120" s="1701">
        <v>0.0</v>
      </c>
      <c r="AG120" s="1701">
        <v>0.0</v>
      </c>
      <c r="AH120" s="1701">
        <v>0.0</v>
      </c>
      <c r="AI120" s="1701">
        <v>1.0</v>
      </c>
      <c r="AJ120" s="1701">
        <v>0.0</v>
      </c>
      <c r="AK120" s="1701">
        <v>0.0</v>
      </c>
      <c r="AL120" s="1701">
        <v>0.0</v>
      </c>
      <c r="AM120" s="1701">
        <v>0.0</v>
      </c>
      <c r="AN120" s="549">
        <v>0.0</v>
      </c>
      <c r="AO120" s="549">
        <v>0.0</v>
      </c>
      <c r="AP120" s="549">
        <v>0.0</v>
      </c>
      <c r="AQ120" s="549">
        <v>3.0</v>
      </c>
      <c r="AR120" s="549">
        <v>0.0</v>
      </c>
      <c r="AS120" s="549"/>
      <c r="AT120" s="549">
        <v>0.0</v>
      </c>
      <c r="AU120" s="549"/>
      <c r="AV120" s="549"/>
      <c r="AW120" s="549"/>
      <c r="AX120" s="549"/>
      <c r="AY120" s="549"/>
      <c r="AZ120" s="549"/>
      <c r="BA120" s="549">
        <f t="shared" si="5"/>
        <v>8</v>
      </c>
      <c r="BB120" s="549" t="s">
        <v>6988</v>
      </c>
    </row>
    <row r="121">
      <c r="A121" s="1687" t="s">
        <v>6987</v>
      </c>
      <c r="B121" s="1634" t="s">
        <v>6906</v>
      </c>
      <c r="C121" s="1594" t="s">
        <v>6887</v>
      </c>
      <c r="D121" s="1701">
        <v>0.0</v>
      </c>
      <c r="E121" s="1701">
        <v>0.0</v>
      </c>
      <c r="F121" s="1701">
        <v>0.0</v>
      </c>
      <c r="G121" s="1701">
        <v>1.0</v>
      </c>
      <c r="H121" s="549">
        <v>0.0</v>
      </c>
      <c r="I121" s="1710">
        <v>0.0</v>
      </c>
      <c r="J121" s="1735"/>
      <c r="K121" s="1711">
        <v>0.0</v>
      </c>
      <c r="L121" s="1725"/>
      <c r="M121" s="1701">
        <v>0.0</v>
      </c>
      <c r="N121" s="1725"/>
      <c r="O121" s="1710">
        <v>0.0</v>
      </c>
      <c r="P121" s="1725"/>
      <c r="Q121" s="549">
        <v>1.0</v>
      </c>
      <c r="R121" s="1701">
        <v>0.0</v>
      </c>
      <c r="S121" s="1701">
        <v>0.0</v>
      </c>
      <c r="T121" s="1701">
        <v>0.0</v>
      </c>
      <c r="U121" s="1701">
        <v>0.0</v>
      </c>
      <c r="V121" s="1701">
        <v>1.0</v>
      </c>
      <c r="W121" s="1701">
        <v>0.0</v>
      </c>
      <c r="X121" s="548">
        <v>0.0</v>
      </c>
      <c r="Y121" s="548">
        <v>0.0</v>
      </c>
      <c r="Z121" s="548">
        <v>0.0</v>
      </c>
      <c r="AA121" s="1701">
        <v>0.0</v>
      </c>
      <c r="AB121" s="1701">
        <v>0.0</v>
      </c>
      <c r="AC121" s="1701">
        <v>0.0</v>
      </c>
      <c r="AD121" s="1701"/>
      <c r="AE121" s="1701">
        <v>0.0</v>
      </c>
      <c r="AF121" s="1701">
        <v>0.0</v>
      </c>
      <c r="AG121" s="1701">
        <v>1.0</v>
      </c>
      <c r="AH121" s="1701">
        <v>0.0</v>
      </c>
      <c r="AI121" s="1701">
        <v>0.0</v>
      </c>
      <c r="AJ121" s="1701">
        <v>0.0</v>
      </c>
      <c r="AK121" s="1701">
        <v>0.0</v>
      </c>
      <c r="AL121" s="1701">
        <v>0.0</v>
      </c>
      <c r="AM121" s="1701">
        <v>0.0</v>
      </c>
      <c r="AN121" s="549">
        <v>0.0</v>
      </c>
      <c r="AO121" s="549">
        <v>0.0</v>
      </c>
      <c r="AP121" s="549">
        <v>0.0</v>
      </c>
      <c r="AQ121" s="549">
        <v>0.0</v>
      </c>
      <c r="AR121" s="549">
        <v>0.0</v>
      </c>
      <c r="AS121" s="549"/>
      <c r="AT121" s="549">
        <v>0.0</v>
      </c>
      <c r="AU121" s="549"/>
      <c r="AV121" s="549"/>
      <c r="AW121" s="549"/>
      <c r="AX121" s="549"/>
      <c r="AY121" s="549"/>
      <c r="AZ121" s="549"/>
      <c r="BA121" s="549">
        <f t="shared" si="5"/>
        <v>4</v>
      </c>
      <c r="BB121" s="549" t="s">
        <v>6988</v>
      </c>
    </row>
    <row r="122">
      <c r="A122" s="1687" t="s">
        <v>6987</v>
      </c>
      <c r="B122" s="1634">
        <v>136.0</v>
      </c>
      <c r="C122" s="1594" t="s">
        <v>6887</v>
      </c>
      <c r="D122" s="1701">
        <v>0.0</v>
      </c>
      <c r="E122" s="1701">
        <v>0.0</v>
      </c>
      <c r="F122" s="1701">
        <v>0.0</v>
      </c>
      <c r="G122" s="1701">
        <v>0.0</v>
      </c>
      <c r="H122" s="549">
        <v>0.0</v>
      </c>
      <c r="I122" s="1710">
        <v>1.0</v>
      </c>
      <c r="J122" s="1735"/>
      <c r="K122" s="1711">
        <v>0.0</v>
      </c>
      <c r="L122" s="1725"/>
      <c r="M122" s="1701">
        <v>0.0</v>
      </c>
      <c r="N122" s="1725"/>
      <c r="O122" s="1710">
        <v>0.0</v>
      </c>
      <c r="P122" s="1725"/>
      <c r="Q122" s="549">
        <v>0.0</v>
      </c>
      <c r="R122" s="1701">
        <v>0.0</v>
      </c>
      <c r="S122" s="1701">
        <v>0.0</v>
      </c>
      <c r="T122" s="1701">
        <v>0.0</v>
      </c>
      <c r="U122" s="1701">
        <v>0.0</v>
      </c>
      <c r="V122" s="1701">
        <v>0.0</v>
      </c>
      <c r="W122" s="1701">
        <v>0.0</v>
      </c>
      <c r="X122" s="548">
        <v>0.0</v>
      </c>
      <c r="Y122" s="548">
        <v>0.0</v>
      </c>
      <c r="Z122" s="548">
        <v>1.0</v>
      </c>
      <c r="AA122" s="1701">
        <v>0.0</v>
      </c>
      <c r="AB122" s="1701">
        <v>0.0</v>
      </c>
      <c r="AC122" s="1701">
        <v>0.0</v>
      </c>
      <c r="AD122" s="1701"/>
      <c r="AE122" s="1701">
        <v>0.0</v>
      </c>
      <c r="AF122" s="1701">
        <v>1.0</v>
      </c>
      <c r="AG122" s="1701">
        <v>0.0</v>
      </c>
      <c r="AH122" s="1701">
        <v>2.0</v>
      </c>
      <c r="AI122" s="1701">
        <v>0.0</v>
      </c>
      <c r="AJ122" s="1701">
        <v>0.0</v>
      </c>
      <c r="AK122" s="1701">
        <v>0.0</v>
      </c>
      <c r="AL122" s="1701">
        <v>0.0</v>
      </c>
      <c r="AM122" s="1701">
        <v>0.0</v>
      </c>
      <c r="AN122" s="549">
        <v>0.0</v>
      </c>
      <c r="AO122" s="549">
        <v>0.0</v>
      </c>
      <c r="AP122" s="549">
        <v>0.0</v>
      </c>
      <c r="AQ122" s="549">
        <v>0.0</v>
      </c>
      <c r="AR122" s="549">
        <v>0.0</v>
      </c>
      <c r="AS122" s="549"/>
      <c r="AT122" s="549">
        <v>0.0</v>
      </c>
      <c r="AU122" s="549"/>
      <c r="AV122" s="549"/>
      <c r="AW122" s="549"/>
      <c r="AX122" s="549"/>
      <c r="AY122" s="549"/>
      <c r="AZ122" s="549"/>
      <c r="BA122" s="549">
        <f t="shared" si="5"/>
        <v>5</v>
      </c>
      <c r="BB122" s="549" t="s">
        <v>6988</v>
      </c>
    </row>
    <row r="123">
      <c r="A123" s="1687" t="s">
        <v>6987</v>
      </c>
      <c r="B123" s="1634">
        <v>137.0</v>
      </c>
      <c r="C123" s="1594" t="s">
        <v>6887</v>
      </c>
      <c r="D123" s="1701">
        <v>1.0</v>
      </c>
      <c r="E123" s="1701">
        <v>0.0</v>
      </c>
      <c r="F123" s="1701">
        <v>0.0</v>
      </c>
      <c r="G123" s="1701">
        <v>0.0</v>
      </c>
      <c r="H123" s="549">
        <v>0.0</v>
      </c>
      <c r="I123" s="1710">
        <v>1.0</v>
      </c>
      <c r="J123" s="1710">
        <v>2.0</v>
      </c>
      <c r="K123" s="1711">
        <v>0.0</v>
      </c>
      <c r="L123" s="1701">
        <v>1.0</v>
      </c>
      <c r="M123" s="1701">
        <v>0.0</v>
      </c>
      <c r="N123" s="1725"/>
      <c r="O123" s="1710">
        <v>1.0</v>
      </c>
      <c r="P123" s="1725"/>
      <c r="Q123" s="549">
        <v>0.0</v>
      </c>
      <c r="R123" s="1701">
        <v>0.0</v>
      </c>
      <c r="S123" s="1701">
        <v>0.0</v>
      </c>
      <c r="T123" s="1701">
        <v>0.0</v>
      </c>
      <c r="U123" s="1701">
        <v>1.0</v>
      </c>
      <c r="V123" s="1701">
        <v>1.0</v>
      </c>
      <c r="W123" s="1701">
        <v>1.0</v>
      </c>
      <c r="X123" s="548">
        <v>0.0</v>
      </c>
      <c r="Y123" s="548">
        <v>0.0</v>
      </c>
      <c r="Z123" s="548">
        <v>0.0</v>
      </c>
      <c r="AA123" s="1701">
        <v>1.0</v>
      </c>
      <c r="AB123" s="1701">
        <v>0.0</v>
      </c>
      <c r="AC123" s="1701">
        <v>0.0</v>
      </c>
      <c r="AD123" s="1701"/>
      <c r="AE123" s="1701">
        <v>0.0</v>
      </c>
      <c r="AF123" s="1701">
        <v>0.0</v>
      </c>
      <c r="AG123" s="1701">
        <v>1.0</v>
      </c>
      <c r="AH123" s="1701">
        <v>2.0</v>
      </c>
      <c r="AI123" s="1701">
        <v>1.0</v>
      </c>
      <c r="AJ123" s="1701">
        <v>0.0</v>
      </c>
      <c r="AK123" s="1701">
        <v>0.0</v>
      </c>
      <c r="AL123" s="1701">
        <v>0.0</v>
      </c>
      <c r="AM123" s="1701">
        <v>0.0</v>
      </c>
      <c r="AN123" s="549">
        <v>0.0</v>
      </c>
      <c r="AO123" s="549">
        <v>0.0</v>
      </c>
      <c r="AP123" s="549">
        <v>0.0</v>
      </c>
      <c r="AQ123" s="549">
        <v>0.0</v>
      </c>
      <c r="AR123" s="549">
        <v>0.0</v>
      </c>
      <c r="AS123" s="549"/>
      <c r="AT123" s="549">
        <v>0.0</v>
      </c>
      <c r="AU123" s="549"/>
      <c r="AV123" s="549"/>
      <c r="AW123" s="549"/>
      <c r="AX123" s="549"/>
      <c r="AY123" s="549"/>
      <c r="AZ123" s="549"/>
      <c r="BA123" s="549">
        <f t="shared" si="5"/>
        <v>14</v>
      </c>
      <c r="BB123" s="549"/>
    </row>
    <row r="124">
      <c r="A124" s="1687" t="s">
        <v>6987</v>
      </c>
      <c r="B124" s="1634">
        <v>264.0</v>
      </c>
      <c r="C124" s="1594" t="s">
        <v>6887</v>
      </c>
      <c r="D124" s="1701">
        <v>0.0</v>
      </c>
      <c r="E124" s="1701">
        <v>0.0</v>
      </c>
      <c r="F124" s="1701">
        <v>0.0</v>
      </c>
      <c r="G124" s="1701">
        <v>0.0</v>
      </c>
      <c r="H124" s="549">
        <v>1.0</v>
      </c>
      <c r="I124" s="1710">
        <v>0.0</v>
      </c>
      <c r="J124" s="1735"/>
      <c r="K124" s="1711">
        <v>0.0</v>
      </c>
      <c r="L124" s="1725"/>
      <c r="M124" s="1701">
        <v>0.0</v>
      </c>
      <c r="N124" s="1725"/>
      <c r="O124" s="1710">
        <v>0.0</v>
      </c>
      <c r="P124" s="1725"/>
      <c r="Q124" s="549">
        <v>0.0</v>
      </c>
      <c r="R124" s="1701">
        <v>0.0</v>
      </c>
      <c r="S124" s="1701">
        <v>0.0</v>
      </c>
      <c r="T124" s="1701">
        <v>0.0</v>
      </c>
      <c r="U124" s="1701">
        <v>0.0</v>
      </c>
      <c r="V124" s="1701">
        <v>0.0</v>
      </c>
      <c r="W124" s="1701">
        <v>0.0</v>
      </c>
      <c r="X124" s="548">
        <v>1.0</v>
      </c>
      <c r="Y124" s="548">
        <v>0.0</v>
      </c>
      <c r="Z124" s="548">
        <v>2.0</v>
      </c>
      <c r="AA124" s="1701">
        <v>0.0</v>
      </c>
      <c r="AB124" s="1701">
        <v>0.0</v>
      </c>
      <c r="AC124" s="1701">
        <v>0.0</v>
      </c>
      <c r="AD124" s="1701"/>
      <c r="AE124" s="1701">
        <v>0.0</v>
      </c>
      <c r="AF124" s="1701">
        <v>0.0</v>
      </c>
      <c r="AG124" s="1701">
        <v>0.0</v>
      </c>
      <c r="AH124" s="1701">
        <v>2.0</v>
      </c>
      <c r="AI124" s="1701">
        <v>0.0</v>
      </c>
      <c r="AJ124" s="1701">
        <v>0.0</v>
      </c>
      <c r="AK124" s="1701">
        <v>0.0</v>
      </c>
      <c r="AL124" s="1701">
        <v>0.0</v>
      </c>
      <c r="AM124" s="1701">
        <v>0.0</v>
      </c>
      <c r="AN124" s="549">
        <v>0.0</v>
      </c>
      <c r="AO124" s="549">
        <v>0.0</v>
      </c>
      <c r="AP124" s="549">
        <v>0.0</v>
      </c>
      <c r="AQ124" s="549">
        <v>0.0</v>
      </c>
      <c r="AR124" s="549">
        <v>0.0</v>
      </c>
      <c r="AS124" s="549"/>
      <c r="AT124" s="549">
        <v>0.0</v>
      </c>
      <c r="AU124" s="549"/>
      <c r="AV124" s="549"/>
      <c r="AW124" s="549"/>
      <c r="AX124" s="549"/>
      <c r="AY124" s="549"/>
      <c r="AZ124" s="549"/>
      <c r="BA124" s="549">
        <f t="shared" si="5"/>
        <v>6</v>
      </c>
      <c r="BB124" s="549" t="s">
        <v>6988</v>
      </c>
    </row>
    <row r="125">
      <c r="A125" s="1687" t="s">
        <v>6987</v>
      </c>
      <c r="B125" s="1634">
        <v>267.0</v>
      </c>
      <c r="C125" s="1594" t="s">
        <v>6887</v>
      </c>
      <c r="D125" s="1701">
        <v>0.0</v>
      </c>
      <c r="E125" s="1701">
        <v>0.0</v>
      </c>
      <c r="F125" s="1701">
        <v>0.0</v>
      </c>
      <c r="G125" s="1701">
        <v>0.0</v>
      </c>
      <c r="H125" s="549">
        <v>0.0</v>
      </c>
      <c r="I125" s="1710">
        <v>0.0</v>
      </c>
      <c r="J125" s="1710">
        <v>1.0</v>
      </c>
      <c r="K125" s="1711">
        <v>0.0</v>
      </c>
      <c r="L125" s="1725"/>
      <c r="M125" s="1701">
        <v>0.0</v>
      </c>
      <c r="N125" s="1725"/>
      <c r="O125" s="1710">
        <v>0.0</v>
      </c>
      <c r="P125" s="1725"/>
      <c r="Q125" s="549">
        <v>0.0</v>
      </c>
      <c r="R125" s="1701">
        <v>0.0</v>
      </c>
      <c r="S125" s="1701">
        <v>1.0</v>
      </c>
      <c r="T125" s="1701">
        <v>0.0</v>
      </c>
      <c r="U125" s="1701">
        <v>0.0</v>
      </c>
      <c r="V125" s="1701">
        <v>0.0</v>
      </c>
      <c r="W125" s="1701">
        <v>0.0</v>
      </c>
      <c r="X125" s="548">
        <v>1.0</v>
      </c>
      <c r="Y125" s="548">
        <v>0.0</v>
      </c>
      <c r="Z125" s="548">
        <v>2.0</v>
      </c>
      <c r="AA125" s="1701">
        <v>2.0</v>
      </c>
      <c r="AB125" s="1701">
        <v>0.0</v>
      </c>
      <c r="AC125" s="1701">
        <v>0.0</v>
      </c>
      <c r="AD125" s="1701"/>
      <c r="AE125" s="1701">
        <v>0.0</v>
      </c>
      <c r="AF125" s="1701">
        <v>0.0</v>
      </c>
      <c r="AG125" s="1701">
        <v>0.0</v>
      </c>
      <c r="AH125" s="1701">
        <v>2.0</v>
      </c>
      <c r="AI125" s="1701">
        <v>1.0</v>
      </c>
      <c r="AJ125" s="1701">
        <v>0.0</v>
      </c>
      <c r="AK125" s="1701">
        <v>0.0</v>
      </c>
      <c r="AL125" s="1701">
        <v>0.0</v>
      </c>
      <c r="AM125" s="1701">
        <v>0.0</v>
      </c>
      <c r="AN125" s="549">
        <v>0.0</v>
      </c>
      <c r="AO125" s="549">
        <v>0.0</v>
      </c>
      <c r="AP125" s="549">
        <v>0.0</v>
      </c>
      <c r="AQ125" s="549">
        <v>0.0</v>
      </c>
      <c r="AR125" s="549">
        <v>0.0</v>
      </c>
      <c r="AS125" s="549"/>
      <c r="AT125" s="549">
        <v>0.0</v>
      </c>
      <c r="AU125" s="549"/>
      <c r="AV125" s="549"/>
      <c r="AW125" s="549"/>
      <c r="AX125" s="549"/>
      <c r="AY125" s="549"/>
      <c r="AZ125" s="549"/>
      <c r="BA125" s="549">
        <f t="shared" si="5"/>
        <v>10</v>
      </c>
      <c r="BB125" s="549" t="s">
        <v>6988</v>
      </c>
    </row>
    <row r="126">
      <c r="A126" s="1714" t="s">
        <v>6987</v>
      </c>
      <c r="B126" s="1715" t="s">
        <v>6913</v>
      </c>
      <c r="C126" s="1731" t="s">
        <v>6887</v>
      </c>
      <c r="D126" s="1732">
        <v>0.0</v>
      </c>
      <c r="E126" s="1732">
        <v>0.0</v>
      </c>
      <c r="F126" s="1732">
        <v>1.0</v>
      </c>
      <c r="G126" s="1732">
        <v>1.0</v>
      </c>
      <c r="H126" s="1721">
        <v>7.0</v>
      </c>
      <c r="I126" s="1732">
        <v>1.0</v>
      </c>
      <c r="J126" s="1732">
        <v>2.0</v>
      </c>
      <c r="K126" s="1720">
        <v>1.0</v>
      </c>
      <c r="L126" s="1732">
        <v>1.0</v>
      </c>
      <c r="M126" s="1732">
        <v>1.0</v>
      </c>
      <c r="N126" s="1734"/>
      <c r="O126" s="1720">
        <v>5.0</v>
      </c>
      <c r="P126" s="1732">
        <v>7.0</v>
      </c>
      <c r="Q126" s="1734"/>
      <c r="R126" s="1732">
        <v>0.0</v>
      </c>
      <c r="S126" s="1732">
        <v>0.0</v>
      </c>
      <c r="T126" s="1732">
        <v>3.0</v>
      </c>
      <c r="U126" s="1732">
        <v>6.0</v>
      </c>
      <c r="V126" s="1732">
        <v>1.0</v>
      </c>
      <c r="W126" s="1701">
        <v>0.0</v>
      </c>
      <c r="X126" s="548">
        <v>4.0</v>
      </c>
      <c r="Y126" s="548">
        <v>3.0</v>
      </c>
      <c r="Z126" s="548">
        <v>3.0</v>
      </c>
      <c r="AA126" s="1701">
        <v>7.0</v>
      </c>
      <c r="AB126" s="1701">
        <v>0.0</v>
      </c>
      <c r="AC126" s="1701">
        <v>7.0</v>
      </c>
      <c r="AD126" s="1701"/>
      <c r="AE126" s="1701">
        <v>4.0</v>
      </c>
      <c r="AF126" s="1701">
        <v>1.0</v>
      </c>
      <c r="AG126" s="1701">
        <v>0.0</v>
      </c>
      <c r="AH126" s="1701">
        <v>6.0</v>
      </c>
      <c r="AI126" s="1701">
        <v>4.0</v>
      </c>
      <c r="AJ126" s="1701">
        <v>3.0</v>
      </c>
      <c r="AK126" s="1701">
        <v>2.0</v>
      </c>
      <c r="AL126" s="1701">
        <v>0.0</v>
      </c>
      <c r="AM126" s="1701">
        <v>1.0</v>
      </c>
      <c r="AN126" s="1721">
        <v>3.0</v>
      </c>
      <c r="AO126" s="1721">
        <v>2.0</v>
      </c>
      <c r="AP126" s="1721">
        <v>0.0</v>
      </c>
      <c r="AQ126" s="1721">
        <v>4.0</v>
      </c>
      <c r="AR126" s="1721">
        <v>0.0</v>
      </c>
      <c r="AS126" s="1721"/>
      <c r="AT126" s="1721">
        <v>3.0</v>
      </c>
      <c r="AU126" s="1721"/>
      <c r="AV126" s="1721"/>
      <c r="AW126" s="1721"/>
      <c r="AX126" s="1721"/>
      <c r="AY126" s="1721"/>
      <c r="AZ126" s="1721"/>
      <c r="BA126" s="549">
        <f t="shared" si="5"/>
        <v>94</v>
      </c>
      <c r="BB126" s="1721"/>
    </row>
    <row r="127">
      <c r="A127" s="1714" t="s">
        <v>6987</v>
      </c>
      <c r="B127" s="1715" t="s">
        <v>6914</v>
      </c>
      <c r="C127" s="1731" t="s">
        <v>6887</v>
      </c>
      <c r="D127" s="1732">
        <v>1.0</v>
      </c>
      <c r="E127" s="1732">
        <v>0.0</v>
      </c>
      <c r="F127" s="1732">
        <v>0.0</v>
      </c>
      <c r="G127" s="1732">
        <v>0.0</v>
      </c>
      <c r="H127" s="1721">
        <v>0.0</v>
      </c>
      <c r="I127" s="1732">
        <v>2.0</v>
      </c>
      <c r="J127" s="1732">
        <v>7.0</v>
      </c>
      <c r="K127" s="1720">
        <v>0.0</v>
      </c>
      <c r="L127" s="1732">
        <v>0.0</v>
      </c>
      <c r="M127" s="1732">
        <v>0.0</v>
      </c>
      <c r="N127" s="1734"/>
      <c r="O127" s="1720">
        <v>0.0</v>
      </c>
      <c r="P127" s="1732">
        <v>0.0</v>
      </c>
      <c r="Q127" s="1734"/>
      <c r="R127" s="1732">
        <v>0.0</v>
      </c>
      <c r="S127" s="1732">
        <v>1.0</v>
      </c>
      <c r="T127" s="1732">
        <v>2.0</v>
      </c>
      <c r="U127" s="1732">
        <v>2.0</v>
      </c>
      <c r="V127" s="1732">
        <v>7.0</v>
      </c>
      <c r="W127" s="1701">
        <v>0.0</v>
      </c>
      <c r="X127" s="548">
        <v>1.0</v>
      </c>
      <c r="Y127" s="548">
        <v>4.0</v>
      </c>
      <c r="Z127" s="548">
        <v>2.0</v>
      </c>
      <c r="AA127" s="1701">
        <v>1.0</v>
      </c>
      <c r="AB127" s="1701">
        <v>0.0</v>
      </c>
      <c r="AC127" s="1701">
        <v>2.0</v>
      </c>
      <c r="AD127" s="1701"/>
      <c r="AE127" s="1701">
        <v>1.0</v>
      </c>
      <c r="AF127" s="1701">
        <v>0.0</v>
      </c>
      <c r="AG127" s="1701">
        <v>1.0</v>
      </c>
      <c r="AH127" s="1701">
        <v>3.0</v>
      </c>
      <c r="AI127" s="1701">
        <v>4.0</v>
      </c>
      <c r="AJ127" s="1701">
        <v>1.0</v>
      </c>
      <c r="AK127" s="1701">
        <v>3.0</v>
      </c>
      <c r="AL127" s="1701">
        <v>4.0</v>
      </c>
      <c r="AM127" s="1701">
        <v>0.0</v>
      </c>
      <c r="AN127" s="1721">
        <v>1.0</v>
      </c>
      <c r="AO127" s="1721">
        <v>2.0</v>
      </c>
      <c r="AP127" s="1721">
        <v>3.0</v>
      </c>
      <c r="AQ127" s="1721">
        <v>0.0</v>
      </c>
      <c r="AR127" s="1721">
        <v>0.0</v>
      </c>
      <c r="AS127" s="1721"/>
      <c r="AT127" s="1721">
        <v>3.0</v>
      </c>
      <c r="AU127" s="1721"/>
      <c r="AV127" s="1721"/>
      <c r="AW127" s="1721"/>
      <c r="AX127" s="1721"/>
      <c r="AY127" s="1721"/>
      <c r="AZ127" s="1721"/>
      <c r="BA127" s="549">
        <f t="shared" si="5"/>
        <v>58</v>
      </c>
      <c r="BB127" s="1721"/>
    </row>
    <row r="128">
      <c r="A128" s="1714" t="s">
        <v>6987</v>
      </c>
      <c r="B128" s="1715" t="s">
        <v>6915</v>
      </c>
      <c r="C128" s="1731" t="s">
        <v>6887</v>
      </c>
      <c r="D128" s="1732">
        <v>0.0</v>
      </c>
      <c r="E128" s="1732">
        <v>0.0</v>
      </c>
      <c r="F128" s="1732">
        <v>0.0</v>
      </c>
      <c r="G128" s="1732">
        <v>0.0</v>
      </c>
      <c r="H128" s="1721">
        <v>0.0</v>
      </c>
      <c r="I128" s="1732">
        <v>1.0</v>
      </c>
      <c r="J128" s="1734"/>
      <c r="K128" s="1720">
        <v>1.0</v>
      </c>
      <c r="L128" s="1732">
        <v>0.0</v>
      </c>
      <c r="M128" s="1732">
        <v>0.0</v>
      </c>
      <c r="N128" s="1732">
        <v>2.0</v>
      </c>
      <c r="O128" s="1720">
        <v>0.0</v>
      </c>
      <c r="P128" s="1732">
        <v>0.0</v>
      </c>
      <c r="Q128" s="1734"/>
      <c r="R128" s="1732">
        <v>0.0</v>
      </c>
      <c r="S128" s="1732">
        <v>1.0</v>
      </c>
      <c r="T128" s="1732">
        <v>1.0</v>
      </c>
      <c r="U128" s="1732">
        <v>0.0</v>
      </c>
      <c r="V128" s="1732">
        <v>2.0</v>
      </c>
      <c r="W128" s="1701">
        <v>0.0</v>
      </c>
      <c r="X128" s="548">
        <v>1.0</v>
      </c>
      <c r="Y128" s="548">
        <v>0.0</v>
      </c>
      <c r="Z128" s="548">
        <v>0.0</v>
      </c>
      <c r="AA128" s="1701">
        <v>0.0</v>
      </c>
      <c r="AB128" s="1701">
        <v>0.0</v>
      </c>
      <c r="AC128" s="1701">
        <v>0.0</v>
      </c>
      <c r="AD128" s="1701"/>
      <c r="AE128" s="1701">
        <v>1.0</v>
      </c>
      <c r="AF128" s="1701">
        <v>0.0</v>
      </c>
      <c r="AG128" s="1701">
        <v>0.0</v>
      </c>
      <c r="AH128" s="1701">
        <v>1.0</v>
      </c>
      <c r="AI128" s="1701">
        <v>0.0</v>
      </c>
      <c r="AJ128" s="1701">
        <v>0.0</v>
      </c>
      <c r="AK128" s="1701">
        <v>0.0</v>
      </c>
      <c r="AL128" s="1701">
        <v>0.0</v>
      </c>
      <c r="AM128" s="1701">
        <v>0.0</v>
      </c>
      <c r="AN128" s="1721">
        <v>0.0</v>
      </c>
      <c r="AO128" s="1721">
        <v>1.0</v>
      </c>
      <c r="AP128" s="1721">
        <v>0.0</v>
      </c>
      <c r="AQ128" s="1721">
        <v>0.0</v>
      </c>
      <c r="AR128" s="1721">
        <v>0.0</v>
      </c>
      <c r="AS128" s="1721"/>
      <c r="AT128" s="1721">
        <v>0.0</v>
      </c>
      <c r="AU128" s="1721"/>
      <c r="AV128" s="1721"/>
      <c r="AW128" s="1721"/>
      <c r="AX128" s="1721"/>
      <c r="AY128" s="1721"/>
      <c r="AZ128" s="1721"/>
      <c r="BA128" s="549">
        <f t="shared" si="5"/>
        <v>12</v>
      </c>
      <c r="BB128" s="1721"/>
    </row>
    <row r="129">
      <c r="A129" s="1724"/>
      <c r="B129" s="1550"/>
      <c r="C129" s="1550"/>
      <c r="D129" s="1725"/>
      <c r="E129" s="1701"/>
      <c r="F129" s="1725"/>
      <c r="G129" s="1725"/>
      <c r="H129" s="1167"/>
      <c r="I129" s="1725"/>
      <c r="J129" s="1725"/>
      <c r="K129" s="1708"/>
      <c r="L129" s="1725"/>
      <c r="M129" s="1725"/>
      <c r="N129" s="1725"/>
      <c r="O129" s="1725"/>
      <c r="P129" s="1725"/>
      <c r="Q129" s="1725"/>
      <c r="R129" s="1725"/>
      <c r="S129" s="1725"/>
      <c r="T129" s="1725"/>
      <c r="U129" s="1725"/>
      <c r="V129" s="1725"/>
      <c r="W129" s="1725"/>
      <c r="X129" s="280"/>
      <c r="Y129" s="280"/>
      <c r="Z129" s="280"/>
      <c r="AA129" s="1725"/>
      <c r="AB129" s="1725"/>
      <c r="AC129" s="1725"/>
      <c r="AD129" s="1725"/>
      <c r="AE129" s="1725"/>
      <c r="AF129" s="1725"/>
      <c r="AG129" s="1725"/>
      <c r="AH129" s="1725"/>
      <c r="AI129" s="1725"/>
      <c r="AJ129" s="1725"/>
      <c r="AK129" s="1725"/>
      <c r="AL129" s="1725"/>
      <c r="AM129" s="1725"/>
      <c r="AN129" s="549"/>
      <c r="AO129" s="549"/>
      <c r="AP129" s="549"/>
      <c r="AQ129" s="549"/>
      <c r="AR129" s="549"/>
      <c r="AS129" s="549"/>
      <c r="AT129" s="549"/>
      <c r="AU129" s="549"/>
      <c r="AV129" s="549"/>
      <c r="AW129" s="549"/>
      <c r="AX129" s="549"/>
      <c r="AY129" s="549"/>
      <c r="AZ129" s="549"/>
      <c r="BA129" s="549"/>
      <c r="BB129" s="549"/>
    </row>
    <row r="130">
      <c r="A130" s="1724"/>
      <c r="B130" s="1550"/>
      <c r="C130" s="1550"/>
      <c r="D130" s="1725"/>
      <c r="E130" s="1701"/>
      <c r="F130" s="1725"/>
      <c r="G130" s="1725"/>
      <c r="H130" s="1167"/>
      <c r="I130" s="1725"/>
      <c r="J130" s="1725"/>
      <c r="K130" s="1708"/>
      <c r="L130" s="1725"/>
      <c r="M130" s="1725"/>
      <c r="N130" s="1725"/>
      <c r="O130" s="1725"/>
      <c r="P130" s="1725"/>
      <c r="Q130" s="1725"/>
      <c r="R130" s="1725"/>
      <c r="S130" s="1725"/>
      <c r="T130" s="1725"/>
      <c r="U130" s="1725"/>
      <c r="V130" s="1725"/>
      <c r="W130" s="1725"/>
      <c r="X130" s="280"/>
      <c r="Y130" s="280"/>
      <c r="Z130" s="280"/>
      <c r="AA130" s="1725"/>
      <c r="AB130" s="1725"/>
      <c r="AC130" s="1725"/>
      <c r="AD130" s="1725"/>
      <c r="AE130" s="1725"/>
      <c r="AF130" s="1725"/>
      <c r="AG130" s="1725"/>
      <c r="AH130" s="1725"/>
      <c r="AI130" s="1725"/>
      <c r="AJ130" s="1725"/>
      <c r="AK130" s="1725"/>
      <c r="AL130" s="1725"/>
      <c r="AM130" s="1725"/>
      <c r="AN130" s="549"/>
      <c r="AO130" s="549"/>
      <c r="AP130" s="549"/>
      <c r="AQ130" s="549"/>
      <c r="AR130" s="549"/>
      <c r="AS130" s="549"/>
      <c r="AT130" s="549"/>
      <c r="AU130" s="549"/>
      <c r="AV130" s="549"/>
      <c r="AW130" s="549"/>
      <c r="AX130" s="549"/>
      <c r="AY130" s="549"/>
      <c r="AZ130" s="549"/>
      <c r="BA130" s="549"/>
      <c r="BB130" s="549"/>
    </row>
    <row r="131">
      <c r="A131" s="1726"/>
      <c r="B131" s="1727" t="s">
        <v>6882</v>
      </c>
      <c r="D131" s="1725"/>
      <c r="E131" s="1725"/>
      <c r="F131" s="1725"/>
      <c r="G131" s="1725"/>
      <c r="H131" s="1167"/>
      <c r="I131" s="1725"/>
      <c r="J131" s="1725"/>
      <c r="K131" s="1708"/>
      <c r="L131" s="1725"/>
      <c r="M131" s="1725"/>
      <c r="N131" s="1725"/>
      <c r="O131" s="1725"/>
      <c r="P131" s="1725"/>
      <c r="Q131" s="1725"/>
      <c r="R131" s="1725"/>
      <c r="S131" s="1725"/>
      <c r="T131" s="1725"/>
      <c r="U131" s="1725"/>
      <c r="V131" s="1725"/>
      <c r="W131" s="1725"/>
      <c r="X131" s="280"/>
      <c r="Y131" s="280"/>
      <c r="Z131" s="280"/>
      <c r="AA131" s="1725"/>
      <c r="AB131" s="1725"/>
      <c r="AC131" s="1725"/>
      <c r="AD131" s="1725"/>
      <c r="AE131" s="1725"/>
      <c r="AF131" s="1725"/>
      <c r="AG131" s="1725"/>
      <c r="AH131" s="1725"/>
      <c r="AI131" s="1725"/>
      <c r="AJ131" s="1725"/>
      <c r="AK131" s="1725"/>
      <c r="AL131" s="1725"/>
      <c r="AM131" s="1725"/>
      <c r="AN131" s="549"/>
      <c r="AO131" s="549"/>
      <c r="AP131" s="549"/>
      <c r="AQ131" s="549"/>
      <c r="AR131" s="549"/>
      <c r="AS131" s="549"/>
      <c r="AT131" s="549"/>
      <c r="AU131" s="549"/>
      <c r="AV131" s="549"/>
      <c r="AW131" s="549"/>
      <c r="AX131" s="549"/>
      <c r="AY131" s="549"/>
      <c r="AZ131" s="549"/>
      <c r="BA131" s="549"/>
      <c r="BB131" s="549"/>
    </row>
    <row r="132">
      <c r="A132" s="1687" t="s">
        <v>6992</v>
      </c>
      <c r="B132" s="1634" t="s">
        <v>6888</v>
      </c>
      <c r="C132" s="1576" t="s">
        <v>6883</v>
      </c>
      <c r="D132" s="1701">
        <v>0.0</v>
      </c>
      <c r="E132" s="1701">
        <v>0.0</v>
      </c>
      <c r="F132" s="1701">
        <v>0.0</v>
      </c>
      <c r="G132" s="1701">
        <v>0.0</v>
      </c>
      <c r="H132" s="549">
        <v>0.0</v>
      </c>
      <c r="I132" s="1710">
        <v>0.0</v>
      </c>
      <c r="J132" s="1710">
        <v>0.0</v>
      </c>
      <c r="K132" s="1167">
        <v>0.0</v>
      </c>
      <c r="L132" s="549">
        <v>0.0</v>
      </c>
      <c r="M132" s="549">
        <v>0.0</v>
      </c>
      <c r="N132" s="1710"/>
      <c r="O132" s="1710">
        <v>1.0</v>
      </c>
      <c r="P132" s="1167"/>
      <c r="Q132" s="1167">
        <v>0.0</v>
      </c>
      <c r="R132" s="549">
        <v>0.0</v>
      </c>
      <c r="S132" s="549">
        <v>1.0</v>
      </c>
      <c r="T132" s="549">
        <v>1.0</v>
      </c>
      <c r="U132" s="549">
        <v>0.0</v>
      </c>
      <c r="V132" s="549">
        <v>0.0</v>
      </c>
      <c r="W132" s="549">
        <v>0.0</v>
      </c>
      <c r="X132" s="548">
        <v>0.0</v>
      </c>
      <c r="Y132" s="548">
        <v>0.0</v>
      </c>
      <c r="Z132" s="548">
        <v>0.0</v>
      </c>
      <c r="AA132" s="549">
        <v>0.0</v>
      </c>
      <c r="AB132" s="549">
        <v>0.0</v>
      </c>
      <c r="AC132" s="549">
        <v>0.0</v>
      </c>
      <c r="AD132" s="549"/>
      <c r="AE132" s="549">
        <v>0.0</v>
      </c>
      <c r="AF132" s="549">
        <v>0.0</v>
      </c>
      <c r="AG132" s="549">
        <v>0.0</v>
      </c>
      <c r="AH132" s="549">
        <v>0.0</v>
      </c>
      <c r="AI132" s="549">
        <v>0.0</v>
      </c>
      <c r="AJ132" s="549">
        <v>0.0</v>
      </c>
      <c r="AK132" s="549">
        <v>0.0</v>
      </c>
      <c r="AL132" s="549">
        <v>1.0</v>
      </c>
      <c r="AM132" s="549">
        <v>0.0</v>
      </c>
      <c r="AN132" s="549">
        <v>0.0</v>
      </c>
      <c r="AO132" s="549">
        <v>0.0</v>
      </c>
      <c r="AP132" s="549">
        <v>0.0</v>
      </c>
      <c r="AQ132" s="549">
        <v>0.0</v>
      </c>
      <c r="AR132" s="549">
        <v>0.0</v>
      </c>
      <c r="AS132" s="549"/>
      <c r="AT132" s="549">
        <v>0.0</v>
      </c>
      <c r="AU132" s="549"/>
      <c r="AV132" s="549"/>
      <c r="AW132" s="549"/>
      <c r="AX132" s="549"/>
      <c r="AY132" s="549"/>
      <c r="AZ132" s="549"/>
      <c r="BA132" s="549">
        <f t="shared" ref="BA132:BA150" si="6">SUM(D132:AZ132)</f>
        <v>4</v>
      </c>
      <c r="BB132" s="549" t="s">
        <v>6988</v>
      </c>
    </row>
    <row r="133">
      <c r="A133" s="1687" t="s">
        <v>6992</v>
      </c>
      <c r="B133" s="1634" t="s">
        <v>6889</v>
      </c>
      <c r="C133" s="1576" t="s">
        <v>6883</v>
      </c>
      <c r="D133" s="1701">
        <v>1.0</v>
      </c>
      <c r="E133" s="1701">
        <v>0.0</v>
      </c>
      <c r="F133" s="1701">
        <v>0.0</v>
      </c>
      <c r="G133" s="1701">
        <v>0.0</v>
      </c>
      <c r="H133" s="549">
        <v>0.0</v>
      </c>
      <c r="I133" s="1710">
        <v>0.0</v>
      </c>
      <c r="J133" s="1735"/>
      <c r="K133" s="1167">
        <v>0.0</v>
      </c>
      <c r="L133" s="549">
        <v>0.0</v>
      </c>
      <c r="M133" s="549">
        <v>0.0</v>
      </c>
      <c r="N133" s="1710"/>
      <c r="O133" s="1710">
        <v>2.0</v>
      </c>
      <c r="P133" s="1167"/>
      <c r="Q133" s="1167">
        <v>0.0</v>
      </c>
      <c r="R133" s="549">
        <v>0.0</v>
      </c>
      <c r="S133" s="549">
        <v>0.0</v>
      </c>
      <c r="T133" s="549">
        <v>0.0</v>
      </c>
      <c r="U133" s="549">
        <v>0.0</v>
      </c>
      <c r="V133" s="549">
        <v>0.0</v>
      </c>
      <c r="W133" s="549">
        <v>0.0</v>
      </c>
      <c r="X133" s="548">
        <v>0.0</v>
      </c>
      <c r="Y133" s="548">
        <v>0.0</v>
      </c>
      <c r="Z133" s="548">
        <v>0.0</v>
      </c>
      <c r="AA133" s="549">
        <v>0.0</v>
      </c>
      <c r="AB133" s="549">
        <v>0.0</v>
      </c>
      <c r="AC133" s="549">
        <v>0.0</v>
      </c>
      <c r="AD133" s="549"/>
      <c r="AE133" s="549">
        <v>0.0</v>
      </c>
      <c r="AF133" s="549">
        <v>0.0</v>
      </c>
      <c r="AG133" s="549">
        <v>0.0</v>
      </c>
      <c r="AH133" s="549">
        <v>1.0</v>
      </c>
      <c r="AI133" s="549">
        <v>0.0</v>
      </c>
      <c r="AJ133" s="549">
        <v>0.0</v>
      </c>
      <c r="AK133" s="549">
        <v>0.0</v>
      </c>
      <c r="AL133" s="549">
        <v>0.0</v>
      </c>
      <c r="AM133" s="549">
        <v>0.0</v>
      </c>
      <c r="AN133" s="549">
        <v>0.0</v>
      </c>
      <c r="AO133" s="549">
        <v>0.0</v>
      </c>
      <c r="AP133" s="549">
        <v>0.0</v>
      </c>
      <c r="AQ133" s="549">
        <v>0.0</v>
      </c>
      <c r="AR133" s="549">
        <v>0.0</v>
      </c>
      <c r="AS133" s="549">
        <v>3.0</v>
      </c>
      <c r="AT133" s="549">
        <v>0.0</v>
      </c>
      <c r="AU133" s="549"/>
      <c r="AV133" s="549"/>
      <c r="AW133" s="549"/>
      <c r="AX133" s="549"/>
      <c r="AY133" s="549"/>
      <c r="AZ133" s="549"/>
      <c r="BA133" s="549">
        <f t="shared" si="6"/>
        <v>7</v>
      </c>
      <c r="BB133" s="549" t="s">
        <v>6988</v>
      </c>
    </row>
    <row r="134">
      <c r="A134" s="1687" t="s">
        <v>6992</v>
      </c>
      <c r="B134" s="1634" t="s">
        <v>6676</v>
      </c>
      <c r="C134" s="1576" t="s">
        <v>6883</v>
      </c>
      <c r="D134" s="1701">
        <v>0.0</v>
      </c>
      <c r="E134" s="1701">
        <v>0.0</v>
      </c>
      <c r="F134" s="1701">
        <v>0.0</v>
      </c>
      <c r="G134" s="1701">
        <v>0.0</v>
      </c>
      <c r="H134" s="549">
        <v>1.0</v>
      </c>
      <c r="I134" s="1710">
        <v>0.0</v>
      </c>
      <c r="J134" s="1710">
        <v>1.0</v>
      </c>
      <c r="K134" s="1167">
        <v>0.0</v>
      </c>
      <c r="L134" s="549">
        <v>0.0</v>
      </c>
      <c r="M134" s="549">
        <v>0.0</v>
      </c>
      <c r="N134" s="1710"/>
      <c r="O134" s="1710">
        <v>1.0</v>
      </c>
      <c r="P134" s="1167"/>
      <c r="Q134" s="1167">
        <v>0.0</v>
      </c>
      <c r="R134" s="549">
        <v>0.0</v>
      </c>
      <c r="S134" s="549">
        <v>0.0</v>
      </c>
      <c r="T134" s="549">
        <v>1.0</v>
      </c>
      <c r="U134" s="549">
        <v>2.0</v>
      </c>
      <c r="V134" s="549">
        <v>0.0</v>
      </c>
      <c r="W134" s="549">
        <v>0.0</v>
      </c>
      <c r="X134" s="548">
        <v>1.0</v>
      </c>
      <c r="Y134" s="548">
        <v>0.0</v>
      </c>
      <c r="Z134" s="548">
        <v>1.0</v>
      </c>
      <c r="AA134" s="549">
        <v>1.0</v>
      </c>
      <c r="AB134" s="549">
        <v>0.0</v>
      </c>
      <c r="AC134" s="549">
        <v>1.0</v>
      </c>
      <c r="AD134" s="549"/>
      <c r="AE134" s="549">
        <v>1.0</v>
      </c>
      <c r="AF134" s="549">
        <v>0.0</v>
      </c>
      <c r="AG134" s="549">
        <v>0.0</v>
      </c>
      <c r="AH134" s="549">
        <v>0.0</v>
      </c>
      <c r="AI134" s="549">
        <v>1.0</v>
      </c>
      <c r="AJ134" s="549">
        <v>0.0</v>
      </c>
      <c r="AK134" s="549">
        <v>0.0</v>
      </c>
      <c r="AL134" s="549">
        <v>0.0</v>
      </c>
      <c r="AM134" s="549">
        <v>0.0</v>
      </c>
      <c r="AN134" s="549">
        <v>1.0</v>
      </c>
      <c r="AO134" s="549">
        <v>1.0</v>
      </c>
      <c r="AP134" s="549">
        <v>0.0</v>
      </c>
      <c r="AQ134" s="549">
        <v>0.0</v>
      </c>
      <c r="AR134" s="549">
        <v>0.0</v>
      </c>
      <c r="AS134" s="549"/>
      <c r="AT134" s="549">
        <v>0.0</v>
      </c>
      <c r="AU134" s="549"/>
      <c r="AV134" s="549"/>
      <c r="AW134" s="549"/>
      <c r="AX134" s="549"/>
      <c r="AY134" s="549"/>
      <c r="AZ134" s="549"/>
      <c r="BA134" s="549">
        <f t="shared" si="6"/>
        <v>14</v>
      </c>
      <c r="BB134" s="549" t="s">
        <v>6988</v>
      </c>
    </row>
    <row r="135">
      <c r="A135" s="1687" t="s">
        <v>6992</v>
      </c>
      <c r="B135" s="1634" t="s">
        <v>6891</v>
      </c>
      <c r="C135" s="1576" t="s">
        <v>6883</v>
      </c>
      <c r="D135" s="1701">
        <v>0.0</v>
      </c>
      <c r="E135" s="1701">
        <v>0.0</v>
      </c>
      <c r="F135" s="1701">
        <v>0.0</v>
      </c>
      <c r="G135" s="1701">
        <v>0.0</v>
      </c>
      <c r="H135" s="549">
        <v>0.0</v>
      </c>
      <c r="I135" s="1710">
        <v>1.0</v>
      </c>
      <c r="J135" s="1710">
        <v>1.0</v>
      </c>
      <c r="K135" s="1167">
        <v>0.0</v>
      </c>
      <c r="L135" s="549">
        <v>0.0</v>
      </c>
      <c r="M135" s="549">
        <v>0.0</v>
      </c>
      <c r="N135" s="1710"/>
      <c r="O135" s="1710">
        <v>0.0</v>
      </c>
      <c r="P135" s="1167"/>
      <c r="Q135" s="1167">
        <v>0.0</v>
      </c>
      <c r="R135" s="549">
        <v>0.0</v>
      </c>
      <c r="S135" s="549">
        <v>0.0</v>
      </c>
      <c r="T135" s="549">
        <v>0.0</v>
      </c>
      <c r="U135" s="549">
        <v>0.0</v>
      </c>
      <c r="V135" s="549">
        <v>0.0</v>
      </c>
      <c r="W135" s="549">
        <v>0.0</v>
      </c>
      <c r="X135" s="548">
        <v>2.0</v>
      </c>
      <c r="Y135" s="548">
        <v>0.0</v>
      </c>
      <c r="Z135" s="548">
        <v>0.0</v>
      </c>
      <c r="AA135" s="549">
        <v>0.0</v>
      </c>
      <c r="AB135" s="549">
        <v>0.0</v>
      </c>
      <c r="AC135" s="549">
        <v>1.0</v>
      </c>
      <c r="AD135" s="549"/>
      <c r="AE135" s="549">
        <v>0.0</v>
      </c>
      <c r="AF135" s="549">
        <v>0.0</v>
      </c>
      <c r="AG135" s="549">
        <v>0.0</v>
      </c>
      <c r="AH135" s="549">
        <v>0.0</v>
      </c>
      <c r="AI135" s="549">
        <v>0.0</v>
      </c>
      <c r="AJ135" s="549">
        <v>0.0</v>
      </c>
      <c r="AK135" s="549">
        <v>0.0</v>
      </c>
      <c r="AL135" s="549">
        <v>1.0</v>
      </c>
      <c r="AM135" s="549">
        <v>1.0</v>
      </c>
      <c r="AN135" s="549">
        <v>0.0</v>
      </c>
      <c r="AO135" s="549">
        <v>1.0</v>
      </c>
      <c r="AP135" s="549">
        <v>0.0</v>
      </c>
      <c r="AQ135" s="549">
        <v>0.0</v>
      </c>
      <c r="AR135" s="549">
        <v>0.0</v>
      </c>
      <c r="AS135" s="549"/>
      <c r="AT135" s="549">
        <v>0.0</v>
      </c>
      <c r="AU135" s="549"/>
      <c r="AV135" s="549"/>
      <c r="AW135" s="549"/>
      <c r="AX135" s="549"/>
      <c r="AY135" s="549"/>
      <c r="AZ135" s="549"/>
      <c r="BA135" s="549">
        <f t="shared" si="6"/>
        <v>8</v>
      </c>
      <c r="BB135" s="549" t="s">
        <v>6988</v>
      </c>
    </row>
    <row r="136">
      <c r="A136" s="1687" t="s">
        <v>6992</v>
      </c>
      <c r="B136" s="1634" t="s">
        <v>6892</v>
      </c>
      <c r="C136" s="1576" t="s">
        <v>6883</v>
      </c>
      <c r="D136" s="1701">
        <v>1.0</v>
      </c>
      <c r="E136" s="1701">
        <v>0.0</v>
      </c>
      <c r="F136" s="1701">
        <v>0.0</v>
      </c>
      <c r="G136" s="1701">
        <v>0.0</v>
      </c>
      <c r="H136" s="549">
        <v>0.0</v>
      </c>
      <c r="I136" s="1710">
        <v>0.0</v>
      </c>
      <c r="J136" s="1735"/>
      <c r="K136" s="1167">
        <v>2.0</v>
      </c>
      <c r="L136" s="549">
        <v>0.0</v>
      </c>
      <c r="M136" s="549">
        <v>0.0</v>
      </c>
      <c r="N136" s="1710"/>
      <c r="O136" s="1710">
        <v>0.0</v>
      </c>
      <c r="P136" s="1167"/>
      <c r="Q136" s="1167">
        <v>0.0</v>
      </c>
      <c r="R136" s="549">
        <v>0.0</v>
      </c>
      <c r="S136" s="549">
        <v>0.0</v>
      </c>
      <c r="T136" s="549">
        <v>0.0</v>
      </c>
      <c r="U136" s="549">
        <v>0.0</v>
      </c>
      <c r="V136" s="549">
        <v>0.0</v>
      </c>
      <c r="W136" s="549">
        <v>0.0</v>
      </c>
      <c r="X136" s="548">
        <v>0.0</v>
      </c>
      <c r="Y136" s="548">
        <v>0.0</v>
      </c>
      <c r="Z136" s="548">
        <v>0.0</v>
      </c>
      <c r="AA136" s="549">
        <v>0.0</v>
      </c>
      <c r="AB136" s="549">
        <v>0.0</v>
      </c>
      <c r="AC136" s="549">
        <v>0.0</v>
      </c>
      <c r="AD136" s="549"/>
      <c r="AE136" s="549">
        <v>0.0</v>
      </c>
      <c r="AF136" s="549">
        <v>0.0</v>
      </c>
      <c r="AG136" s="549">
        <v>0.0</v>
      </c>
      <c r="AH136" s="549">
        <v>0.0</v>
      </c>
      <c r="AI136" s="549">
        <v>0.0</v>
      </c>
      <c r="AJ136" s="549">
        <v>0.0</v>
      </c>
      <c r="AK136" s="549">
        <v>0.0</v>
      </c>
      <c r="AL136" s="549">
        <v>0.0</v>
      </c>
      <c r="AM136" s="549">
        <v>0.0</v>
      </c>
      <c r="AN136" s="549">
        <v>0.0</v>
      </c>
      <c r="AO136" s="549">
        <v>0.0</v>
      </c>
      <c r="AP136" s="549">
        <v>0.0</v>
      </c>
      <c r="AQ136" s="549">
        <v>0.0</v>
      </c>
      <c r="AR136" s="549">
        <v>0.0</v>
      </c>
      <c r="AS136" s="549"/>
      <c r="AT136" s="549">
        <v>0.0</v>
      </c>
      <c r="AU136" s="549"/>
      <c r="AV136" s="549"/>
      <c r="AW136" s="549"/>
      <c r="AX136" s="549"/>
      <c r="AY136" s="549"/>
      <c r="AZ136" s="549"/>
      <c r="BA136" s="549">
        <f t="shared" si="6"/>
        <v>3</v>
      </c>
      <c r="BB136" s="549" t="s">
        <v>6988</v>
      </c>
    </row>
    <row r="137">
      <c r="A137" s="1687" t="s">
        <v>6992</v>
      </c>
      <c r="B137" s="1634" t="s">
        <v>6894</v>
      </c>
      <c r="C137" s="1576" t="s">
        <v>6883</v>
      </c>
      <c r="D137" s="1701">
        <v>1.0</v>
      </c>
      <c r="E137" s="1701">
        <v>2.0</v>
      </c>
      <c r="F137" s="1701">
        <v>0.0</v>
      </c>
      <c r="G137" s="1701">
        <v>1.0</v>
      </c>
      <c r="H137" s="549">
        <v>0.0</v>
      </c>
      <c r="I137" s="1710">
        <v>0.0</v>
      </c>
      <c r="J137" s="1710">
        <v>1.0</v>
      </c>
      <c r="K137" s="1167">
        <v>0.0</v>
      </c>
      <c r="L137" s="549">
        <v>2.0</v>
      </c>
      <c r="M137" s="549">
        <v>0.0</v>
      </c>
      <c r="N137" s="1710"/>
      <c r="O137" s="1710">
        <v>2.0</v>
      </c>
      <c r="P137" s="1167"/>
      <c r="Q137" s="1167">
        <v>0.0</v>
      </c>
      <c r="R137" s="549">
        <v>0.0</v>
      </c>
      <c r="S137" s="549">
        <v>0.0</v>
      </c>
      <c r="T137" s="549">
        <v>1.0</v>
      </c>
      <c r="U137" s="549">
        <v>0.0</v>
      </c>
      <c r="V137" s="549">
        <v>0.0</v>
      </c>
      <c r="W137" s="549">
        <v>1.0</v>
      </c>
      <c r="X137" s="548">
        <v>0.0</v>
      </c>
      <c r="Y137" s="548">
        <v>2.0</v>
      </c>
      <c r="Z137" s="548">
        <v>2.0</v>
      </c>
      <c r="AA137" s="549">
        <v>0.0</v>
      </c>
      <c r="AB137" s="549">
        <v>1.0</v>
      </c>
      <c r="AC137" s="549">
        <v>0.0</v>
      </c>
      <c r="AD137" s="549"/>
      <c r="AE137" s="549">
        <v>2.0</v>
      </c>
      <c r="AF137" s="549">
        <v>0.0</v>
      </c>
      <c r="AG137" s="549">
        <v>0.0</v>
      </c>
      <c r="AH137" s="549">
        <v>0.0</v>
      </c>
      <c r="AI137" s="549">
        <v>0.0</v>
      </c>
      <c r="AJ137" s="549">
        <v>0.0</v>
      </c>
      <c r="AK137" s="549">
        <v>0.0</v>
      </c>
      <c r="AL137" s="549">
        <v>0.0</v>
      </c>
      <c r="AM137" s="549">
        <v>0.0</v>
      </c>
      <c r="AN137" s="549">
        <v>0.0</v>
      </c>
      <c r="AO137" s="549">
        <v>0.0</v>
      </c>
      <c r="AP137" s="549">
        <v>0.0</v>
      </c>
      <c r="AQ137" s="549">
        <v>0.0</v>
      </c>
      <c r="AR137" s="549">
        <v>0.0</v>
      </c>
      <c r="AS137" s="549"/>
      <c r="AT137" s="549">
        <v>0.0</v>
      </c>
      <c r="AU137" s="549"/>
      <c r="AV137" s="549"/>
      <c r="AW137" s="549"/>
      <c r="AX137" s="549"/>
      <c r="AY137" s="549"/>
      <c r="AZ137" s="549"/>
      <c r="BA137" s="549">
        <f t="shared" si="6"/>
        <v>18</v>
      </c>
      <c r="BB137" s="549"/>
    </row>
    <row r="138">
      <c r="A138" s="1687" t="s">
        <v>6992</v>
      </c>
      <c r="B138" s="1634" t="s">
        <v>6896</v>
      </c>
      <c r="C138" s="1576" t="s">
        <v>6883</v>
      </c>
      <c r="D138" s="1701">
        <v>0.0</v>
      </c>
      <c r="E138" s="1701">
        <v>0.0</v>
      </c>
      <c r="F138" s="1701">
        <v>0.0</v>
      </c>
      <c r="G138" s="1701">
        <v>0.0</v>
      </c>
      <c r="H138" s="549">
        <v>0.0</v>
      </c>
      <c r="I138" s="1710">
        <v>0.0</v>
      </c>
      <c r="J138" s="1710">
        <v>1.0</v>
      </c>
      <c r="K138" s="1167">
        <v>0.0</v>
      </c>
      <c r="L138" s="549">
        <v>0.0</v>
      </c>
      <c r="M138" s="1701">
        <v>0.0</v>
      </c>
      <c r="N138" s="1710"/>
      <c r="O138" s="1710">
        <v>0.0</v>
      </c>
      <c r="P138" s="1167"/>
      <c r="Q138" s="1167">
        <v>0.0</v>
      </c>
      <c r="R138" s="549">
        <v>0.0</v>
      </c>
      <c r="S138" s="549">
        <v>0.0</v>
      </c>
      <c r="T138" s="549">
        <v>0.0</v>
      </c>
      <c r="U138" s="549">
        <v>0.0</v>
      </c>
      <c r="V138" s="549">
        <v>0.0</v>
      </c>
      <c r="W138" s="549">
        <v>0.0</v>
      </c>
      <c r="X138" s="548">
        <v>0.0</v>
      </c>
      <c r="Y138" s="548">
        <v>0.0</v>
      </c>
      <c r="Z138" s="548">
        <v>1.0</v>
      </c>
      <c r="AA138" s="549">
        <v>0.0</v>
      </c>
      <c r="AB138" s="549">
        <v>0.0</v>
      </c>
      <c r="AC138" s="549">
        <v>0.0</v>
      </c>
      <c r="AD138" s="549"/>
      <c r="AE138" s="549">
        <v>0.0</v>
      </c>
      <c r="AF138" s="549">
        <v>0.0</v>
      </c>
      <c r="AG138" s="549">
        <v>0.0</v>
      </c>
      <c r="AH138" s="549">
        <v>0.0</v>
      </c>
      <c r="AI138" s="549">
        <v>0.0</v>
      </c>
      <c r="AJ138" s="549">
        <v>0.0</v>
      </c>
      <c r="AK138" s="549">
        <v>0.0</v>
      </c>
      <c r="AL138" s="549">
        <v>0.0</v>
      </c>
      <c r="AM138" s="549">
        <v>0.0</v>
      </c>
      <c r="AN138" s="549">
        <v>0.0</v>
      </c>
      <c r="AO138" s="549">
        <v>0.0</v>
      </c>
      <c r="AP138" s="549">
        <v>3.0</v>
      </c>
      <c r="AQ138" s="549">
        <v>0.0</v>
      </c>
      <c r="AR138" s="549">
        <v>0.0</v>
      </c>
      <c r="AS138" s="549"/>
      <c r="AT138" s="549">
        <v>0.0</v>
      </c>
      <c r="AU138" s="549"/>
      <c r="AV138" s="549"/>
      <c r="AW138" s="549"/>
      <c r="AX138" s="549"/>
      <c r="AY138" s="549"/>
      <c r="AZ138" s="549"/>
      <c r="BA138" s="549">
        <f t="shared" si="6"/>
        <v>5</v>
      </c>
      <c r="BB138" s="549" t="s">
        <v>6988</v>
      </c>
    </row>
    <row r="139">
      <c r="A139" s="1687" t="s">
        <v>6992</v>
      </c>
      <c r="B139" s="1634" t="s">
        <v>6897</v>
      </c>
      <c r="C139" s="1576" t="s">
        <v>6883</v>
      </c>
      <c r="D139" s="1701">
        <v>0.0</v>
      </c>
      <c r="E139" s="1701">
        <v>0.0</v>
      </c>
      <c r="F139" s="1701">
        <v>0.0</v>
      </c>
      <c r="G139" s="1701">
        <v>0.0</v>
      </c>
      <c r="H139" s="549">
        <v>0.0</v>
      </c>
      <c r="I139" s="1710">
        <v>0.0</v>
      </c>
      <c r="J139" s="1710">
        <v>0.0</v>
      </c>
      <c r="K139" s="1167">
        <v>0.0</v>
      </c>
      <c r="L139" s="549">
        <v>0.0</v>
      </c>
      <c r="M139" s="1701">
        <v>0.0</v>
      </c>
      <c r="N139" s="1710"/>
      <c r="O139" s="1710">
        <v>0.0</v>
      </c>
      <c r="P139" s="1167"/>
      <c r="Q139" s="1167">
        <v>0.0</v>
      </c>
      <c r="R139" s="549">
        <v>0.0</v>
      </c>
      <c r="S139" s="549">
        <v>0.0</v>
      </c>
      <c r="T139" s="549">
        <v>0.0</v>
      </c>
      <c r="U139" s="549">
        <v>0.0</v>
      </c>
      <c r="V139" s="549">
        <v>0.0</v>
      </c>
      <c r="W139" s="549">
        <v>0.0</v>
      </c>
      <c r="X139" s="548">
        <v>0.0</v>
      </c>
      <c r="Y139" s="548">
        <v>0.0</v>
      </c>
      <c r="Z139" s="548">
        <v>0.0</v>
      </c>
      <c r="AA139" s="549">
        <v>0.0</v>
      </c>
      <c r="AB139" s="549">
        <v>0.0</v>
      </c>
      <c r="AC139" s="549">
        <v>0.0</v>
      </c>
      <c r="AD139" s="549"/>
      <c r="AE139" s="549">
        <v>1.0</v>
      </c>
      <c r="AF139" s="549">
        <v>0.0</v>
      </c>
      <c r="AG139" s="549">
        <v>0.0</v>
      </c>
      <c r="AH139" s="549">
        <v>0.0</v>
      </c>
      <c r="AI139" s="549">
        <v>0.0</v>
      </c>
      <c r="AJ139" s="549">
        <v>0.0</v>
      </c>
      <c r="AK139" s="549">
        <v>0.0</v>
      </c>
      <c r="AL139" s="549">
        <v>0.0</v>
      </c>
      <c r="AM139" s="549">
        <v>0.0</v>
      </c>
      <c r="AN139" s="549">
        <v>1.0</v>
      </c>
      <c r="AO139" s="549">
        <v>1.0</v>
      </c>
      <c r="AP139" s="549">
        <v>0.0</v>
      </c>
      <c r="AQ139" s="549">
        <v>0.0</v>
      </c>
      <c r="AR139" s="549">
        <v>0.0</v>
      </c>
      <c r="AS139" s="549"/>
      <c r="AT139" s="549">
        <v>0.0</v>
      </c>
      <c r="AU139" s="549"/>
      <c r="AV139" s="549"/>
      <c r="AW139" s="549"/>
      <c r="AX139" s="549"/>
      <c r="AY139" s="549"/>
      <c r="AZ139" s="549"/>
      <c r="BA139" s="549">
        <f t="shared" si="6"/>
        <v>3</v>
      </c>
      <c r="BB139" s="549" t="s">
        <v>6988</v>
      </c>
    </row>
    <row r="140">
      <c r="A140" s="1687" t="s">
        <v>6992</v>
      </c>
      <c r="B140" s="1634" t="s">
        <v>6898</v>
      </c>
      <c r="C140" s="1576" t="s">
        <v>6883</v>
      </c>
      <c r="D140" s="1701">
        <v>0.0</v>
      </c>
      <c r="E140" s="1701">
        <v>0.0</v>
      </c>
      <c r="F140" s="1701">
        <v>0.0</v>
      </c>
      <c r="G140" s="1701">
        <v>1.0</v>
      </c>
      <c r="H140" s="549">
        <v>1.0</v>
      </c>
      <c r="I140" s="1710">
        <v>0.0</v>
      </c>
      <c r="J140" s="1735"/>
      <c r="K140" s="1167">
        <v>0.0</v>
      </c>
      <c r="L140" s="549">
        <v>0.0</v>
      </c>
      <c r="M140" s="549">
        <v>0.0</v>
      </c>
      <c r="N140" s="1710"/>
      <c r="O140" s="1710">
        <v>0.0</v>
      </c>
      <c r="P140" s="1167"/>
      <c r="Q140" s="1167">
        <v>0.0</v>
      </c>
      <c r="R140" s="549">
        <v>0.0</v>
      </c>
      <c r="S140" s="549">
        <v>0.0</v>
      </c>
      <c r="T140" s="549">
        <v>0.0</v>
      </c>
      <c r="U140" s="549">
        <v>1.0</v>
      </c>
      <c r="V140" s="549">
        <v>0.0</v>
      </c>
      <c r="W140" s="549">
        <v>0.0</v>
      </c>
      <c r="X140" s="548">
        <v>1.0</v>
      </c>
      <c r="Y140" s="548">
        <v>0.0</v>
      </c>
      <c r="Z140" s="548">
        <v>2.0</v>
      </c>
      <c r="AA140" s="549">
        <v>0.0</v>
      </c>
      <c r="AB140" s="549">
        <v>1.0</v>
      </c>
      <c r="AC140" s="549">
        <v>0.0</v>
      </c>
      <c r="AD140" s="549"/>
      <c r="AE140" s="549">
        <v>0.0</v>
      </c>
      <c r="AF140" s="549">
        <v>0.0</v>
      </c>
      <c r="AG140" s="549">
        <v>0.0</v>
      </c>
      <c r="AH140" s="549">
        <v>1.0</v>
      </c>
      <c r="AI140" s="549">
        <v>0.0</v>
      </c>
      <c r="AJ140" s="549">
        <v>0.0</v>
      </c>
      <c r="AK140" s="549">
        <v>0.0</v>
      </c>
      <c r="AL140" s="549">
        <v>0.0</v>
      </c>
      <c r="AM140" s="549">
        <v>1.0</v>
      </c>
      <c r="AN140" s="549">
        <v>0.0</v>
      </c>
      <c r="AO140" s="549">
        <v>1.0</v>
      </c>
      <c r="AP140" s="549">
        <v>3.0</v>
      </c>
      <c r="AQ140" s="549">
        <v>0.0</v>
      </c>
      <c r="AR140" s="549">
        <v>0.0</v>
      </c>
      <c r="AS140" s="549"/>
      <c r="AT140" s="549">
        <v>0.0</v>
      </c>
      <c r="AU140" s="549"/>
      <c r="AV140" s="549"/>
      <c r="AW140" s="549"/>
      <c r="AX140" s="549"/>
      <c r="AY140" s="549"/>
      <c r="AZ140" s="549"/>
      <c r="BA140" s="549">
        <f t="shared" si="6"/>
        <v>13</v>
      </c>
      <c r="BB140" s="549" t="s">
        <v>6988</v>
      </c>
    </row>
    <row r="141">
      <c r="A141" s="1687" t="s">
        <v>6992</v>
      </c>
      <c r="B141" s="1634" t="s">
        <v>6899</v>
      </c>
      <c r="C141" s="1576" t="s">
        <v>6883</v>
      </c>
      <c r="D141" s="1701">
        <v>0.0</v>
      </c>
      <c r="E141" s="1701">
        <v>0.0</v>
      </c>
      <c r="F141" s="1701">
        <v>0.0</v>
      </c>
      <c r="G141" s="1701">
        <v>0.0</v>
      </c>
      <c r="H141" s="549">
        <v>1.0</v>
      </c>
      <c r="I141" s="1710">
        <v>0.0</v>
      </c>
      <c r="J141" s="1735"/>
      <c r="K141" s="1167">
        <v>0.0</v>
      </c>
      <c r="L141" s="549">
        <v>0.0</v>
      </c>
      <c r="M141" s="549">
        <v>0.0</v>
      </c>
      <c r="N141" s="1710"/>
      <c r="O141" s="1710">
        <v>0.0</v>
      </c>
      <c r="P141" s="1167"/>
      <c r="Q141" s="1167">
        <v>0.0</v>
      </c>
      <c r="R141" s="549">
        <v>0.0</v>
      </c>
      <c r="S141" s="549">
        <v>0.0</v>
      </c>
      <c r="T141" s="549">
        <v>1.0</v>
      </c>
      <c r="U141" s="549">
        <v>1.0</v>
      </c>
      <c r="V141" s="549">
        <v>2.0</v>
      </c>
      <c r="W141" s="549">
        <v>0.0</v>
      </c>
      <c r="X141" s="548">
        <v>1.0</v>
      </c>
      <c r="Y141" s="548">
        <v>0.0</v>
      </c>
      <c r="Z141" s="548">
        <v>2.0</v>
      </c>
      <c r="AA141" s="549">
        <v>0.0</v>
      </c>
      <c r="AB141" s="549">
        <v>1.0</v>
      </c>
      <c r="AC141" s="549">
        <v>0.0</v>
      </c>
      <c r="AD141" s="549"/>
      <c r="AE141" s="549">
        <v>0.0</v>
      </c>
      <c r="AF141" s="549">
        <v>0.0</v>
      </c>
      <c r="AG141" s="549">
        <v>0.0</v>
      </c>
      <c r="AH141" s="549">
        <v>0.0</v>
      </c>
      <c r="AI141" s="549">
        <v>0.0</v>
      </c>
      <c r="AJ141" s="549">
        <v>1.0</v>
      </c>
      <c r="AK141" s="549">
        <v>2.0</v>
      </c>
      <c r="AL141" s="549">
        <v>2.0</v>
      </c>
      <c r="AM141" s="549">
        <v>0.0</v>
      </c>
      <c r="AN141" s="549">
        <v>0.0</v>
      </c>
      <c r="AO141" s="549">
        <v>0.0</v>
      </c>
      <c r="AP141" s="549">
        <v>0.0</v>
      </c>
      <c r="AQ141" s="549">
        <v>0.0</v>
      </c>
      <c r="AR141" s="549">
        <v>0.0</v>
      </c>
      <c r="AS141" s="549"/>
      <c r="AT141" s="549">
        <v>3.0</v>
      </c>
      <c r="AU141" s="549"/>
      <c r="AV141" s="549"/>
      <c r="AW141" s="549"/>
      <c r="AX141" s="549"/>
      <c r="AY141" s="549"/>
      <c r="AZ141" s="549"/>
      <c r="BA141" s="549">
        <f t="shared" si="6"/>
        <v>17</v>
      </c>
      <c r="BB141" s="549" t="s">
        <v>6988</v>
      </c>
    </row>
    <row r="142">
      <c r="A142" s="1687" t="s">
        <v>6992</v>
      </c>
      <c r="B142" s="1634" t="s">
        <v>6900</v>
      </c>
      <c r="C142" s="1576" t="s">
        <v>6883</v>
      </c>
      <c r="D142" s="1701">
        <v>0.0</v>
      </c>
      <c r="E142" s="1701">
        <v>0.0</v>
      </c>
      <c r="F142" s="1701">
        <v>0.0</v>
      </c>
      <c r="G142" s="1701">
        <v>2.0</v>
      </c>
      <c r="H142" s="549">
        <v>0.0</v>
      </c>
      <c r="I142" s="1710">
        <v>0.0</v>
      </c>
      <c r="J142" s="1735"/>
      <c r="K142" s="1167">
        <v>0.0</v>
      </c>
      <c r="L142" s="549">
        <v>0.0</v>
      </c>
      <c r="M142" s="549">
        <v>0.0</v>
      </c>
      <c r="N142" s="1710"/>
      <c r="O142" s="1710">
        <v>0.0</v>
      </c>
      <c r="P142" s="1167"/>
      <c r="Q142" s="1167">
        <v>0.0</v>
      </c>
      <c r="R142" s="549">
        <v>0.0</v>
      </c>
      <c r="S142" s="549">
        <v>0.0</v>
      </c>
      <c r="T142" s="549">
        <v>0.0</v>
      </c>
      <c r="U142" s="549">
        <v>0.0</v>
      </c>
      <c r="V142" s="549">
        <v>0.0</v>
      </c>
      <c r="W142" s="549">
        <v>0.0</v>
      </c>
      <c r="X142" s="548">
        <v>0.0</v>
      </c>
      <c r="Y142" s="548">
        <v>0.0</v>
      </c>
      <c r="Z142" s="548">
        <v>0.0</v>
      </c>
      <c r="AA142" s="549">
        <v>0.0</v>
      </c>
      <c r="AB142" s="549">
        <v>0.0</v>
      </c>
      <c r="AC142" s="549">
        <v>0.0</v>
      </c>
      <c r="AD142" s="549"/>
      <c r="AE142" s="549">
        <v>0.0</v>
      </c>
      <c r="AF142" s="549">
        <v>0.0</v>
      </c>
      <c r="AG142" s="549">
        <v>0.0</v>
      </c>
      <c r="AH142" s="549">
        <v>0.0</v>
      </c>
      <c r="AI142" s="549">
        <v>0.0</v>
      </c>
      <c r="AJ142" s="549">
        <v>0.0</v>
      </c>
      <c r="AK142" s="549">
        <v>0.0</v>
      </c>
      <c r="AL142" s="549">
        <v>0.0</v>
      </c>
      <c r="AM142" s="549">
        <v>0.0</v>
      </c>
      <c r="AN142" s="549">
        <v>1.0</v>
      </c>
      <c r="AO142" s="549">
        <v>0.0</v>
      </c>
      <c r="AP142" s="549">
        <v>0.0</v>
      </c>
      <c r="AQ142" s="549">
        <v>0.0</v>
      </c>
      <c r="AR142" s="549">
        <v>0.0</v>
      </c>
      <c r="AS142" s="549"/>
      <c r="AT142" s="549">
        <v>0.0</v>
      </c>
      <c r="AU142" s="549"/>
      <c r="AV142" s="549"/>
      <c r="AW142" s="549"/>
      <c r="AX142" s="549"/>
      <c r="AY142" s="549"/>
      <c r="AZ142" s="549"/>
      <c r="BA142" s="549">
        <f t="shared" si="6"/>
        <v>3</v>
      </c>
      <c r="BB142" s="549" t="s">
        <v>6988</v>
      </c>
    </row>
    <row r="143">
      <c r="A143" s="1687" t="s">
        <v>6992</v>
      </c>
      <c r="B143" s="1634" t="s">
        <v>6901</v>
      </c>
      <c r="C143" s="1576" t="s">
        <v>6883</v>
      </c>
      <c r="D143" s="1701">
        <v>1.0</v>
      </c>
      <c r="E143" s="1701">
        <v>0.0</v>
      </c>
      <c r="F143" s="1701">
        <v>0.0</v>
      </c>
      <c r="G143" s="1701">
        <v>0.0</v>
      </c>
      <c r="H143" s="549">
        <v>0.0</v>
      </c>
      <c r="I143" s="1710">
        <v>1.0</v>
      </c>
      <c r="J143" s="1710">
        <v>1.0</v>
      </c>
      <c r="K143" s="1167">
        <v>0.0</v>
      </c>
      <c r="L143" s="549">
        <v>0.0</v>
      </c>
      <c r="M143" s="549">
        <v>1.0</v>
      </c>
      <c r="N143" s="1710"/>
      <c r="O143" s="1710">
        <v>2.0</v>
      </c>
      <c r="P143" s="1167"/>
      <c r="Q143" s="1167">
        <v>0.0</v>
      </c>
      <c r="R143" s="549">
        <v>0.0</v>
      </c>
      <c r="S143" s="549">
        <v>0.0</v>
      </c>
      <c r="T143" s="549">
        <v>1.0</v>
      </c>
      <c r="U143" s="549">
        <v>0.0</v>
      </c>
      <c r="V143" s="549">
        <v>0.0</v>
      </c>
      <c r="W143" s="549">
        <v>0.0</v>
      </c>
      <c r="X143" s="548">
        <v>0.0</v>
      </c>
      <c r="Y143" s="548">
        <v>0.0</v>
      </c>
      <c r="Z143" s="548">
        <v>1.0</v>
      </c>
      <c r="AA143" s="549">
        <v>0.0</v>
      </c>
      <c r="AB143" s="549">
        <v>1.0</v>
      </c>
      <c r="AC143" s="549">
        <v>0.0</v>
      </c>
      <c r="AD143" s="549"/>
      <c r="AE143" s="549">
        <v>0.0</v>
      </c>
      <c r="AF143" s="549">
        <v>0.0</v>
      </c>
      <c r="AG143" s="549">
        <v>0.0</v>
      </c>
      <c r="AH143" s="549">
        <v>0.0</v>
      </c>
      <c r="AI143" s="549">
        <v>0.0</v>
      </c>
      <c r="AJ143" s="549">
        <v>0.0</v>
      </c>
      <c r="AK143" s="549">
        <v>0.0</v>
      </c>
      <c r="AL143" s="549">
        <v>0.0</v>
      </c>
      <c r="AM143" s="549">
        <v>0.0</v>
      </c>
      <c r="AN143" s="549">
        <v>0.0</v>
      </c>
      <c r="AO143" s="549">
        <v>0.0</v>
      </c>
      <c r="AP143" s="549">
        <v>0.0</v>
      </c>
      <c r="AQ143" s="549">
        <v>0.0</v>
      </c>
      <c r="AR143" s="549">
        <v>0.0</v>
      </c>
      <c r="AS143" s="549"/>
      <c r="AT143" s="549">
        <v>0.0</v>
      </c>
      <c r="AU143" s="549"/>
      <c r="AV143" s="549"/>
      <c r="AW143" s="549"/>
      <c r="AX143" s="549"/>
      <c r="AY143" s="549"/>
      <c r="AZ143" s="549"/>
      <c r="BA143" s="549">
        <f t="shared" si="6"/>
        <v>9</v>
      </c>
      <c r="BB143" s="549"/>
    </row>
    <row r="144">
      <c r="A144" s="1687" t="s">
        <v>6992</v>
      </c>
      <c r="B144" s="1590" t="s">
        <v>6903</v>
      </c>
      <c r="C144" s="1576" t="s">
        <v>6883</v>
      </c>
      <c r="D144" s="1701">
        <v>0.0</v>
      </c>
      <c r="E144" s="1701">
        <v>0.0</v>
      </c>
      <c r="F144" s="1701">
        <v>0.0</v>
      </c>
      <c r="G144" s="1701">
        <v>0.0</v>
      </c>
      <c r="H144" s="549">
        <v>0.0</v>
      </c>
      <c r="I144" s="1710">
        <v>0.0</v>
      </c>
      <c r="J144" s="1710">
        <v>0.0</v>
      </c>
      <c r="K144" s="1167">
        <v>0.0</v>
      </c>
      <c r="L144" s="549">
        <v>0.0</v>
      </c>
      <c r="M144" s="549">
        <v>0.0</v>
      </c>
      <c r="N144" s="1710"/>
      <c r="O144" s="1710">
        <v>0.0</v>
      </c>
      <c r="P144" s="1167"/>
      <c r="Q144" s="1167">
        <v>1.0</v>
      </c>
      <c r="R144" s="549">
        <v>0.0</v>
      </c>
      <c r="S144" s="549">
        <v>0.0</v>
      </c>
      <c r="T144" s="549">
        <v>2.0</v>
      </c>
      <c r="U144" s="549">
        <v>0.0</v>
      </c>
      <c r="V144" s="549">
        <v>1.0</v>
      </c>
      <c r="W144" s="549">
        <v>0.0</v>
      </c>
      <c r="X144" s="548">
        <v>0.0</v>
      </c>
      <c r="Y144" s="548">
        <v>1.0</v>
      </c>
      <c r="Z144" s="548">
        <v>3.0</v>
      </c>
      <c r="AA144" s="549">
        <v>0.0</v>
      </c>
      <c r="AB144" s="549">
        <v>0.0</v>
      </c>
      <c r="AC144" s="549">
        <v>0.0</v>
      </c>
      <c r="AD144" s="549"/>
      <c r="AE144" s="549">
        <v>1.0</v>
      </c>
      <c r="AF144" s="549">
        <v>1.0</v>
      </c>
      <c r="AG144" s="549">
        <v>0.0</v>
      </c>
      <c r="AH144" s="549">
        <v>0.0</v>
      </c>
      <c r="AI144" s="549">
        <v>0.0</v>
      </c>
      <c r="AJ144" s="549">
        <v>0.0</v>
      </c>
      <c r="AK144" s="549">
        <v>0.0</v>
      </c>
      <c r="AL144" s="549">
        <v>0.0</v>
      </c>
      <c r="AM144" s="549">
        <v>0.0</v>
      </c>
      <c r="AN144" s="549">
        <v>0.0</v>
      </c>
      <c r="AO144" s="549">
        <v>0.0</v>
      </c>
      <c r="AP144" s="549">
        <v>0.0</v>
      </c>
      <c r="AQ144" s="549">
        <v>3.0</v>
      </c>
      <c r="AR144" s="549">
        <v>0.0</v>
      </c>
      <c r="AS144" s="549"/>
      <c r="AT144" s="549">
        <v>0.0</v>
      </c>
      <c r="AU144" s="549"/>
      <c r="AV144" s="549"/>
      <c r="AW144" s="549"/>
      <c r="AX144" s="549"/>
      <c r="AY144" s="549"/>
      <c r="AZ144" s="549"/>
      <c r="BA144" s="549">
        <f t="shared" si="6"/>
        <v>13</v>
      </c>
      <c r="BB144" s="549" t="s">
        <v>6988</v>
      </c>
    </row>
    <row r="145">
      <c r="A145" s="1687" t="s">
        <v>6992</v>
      </c>
      <c r="B145" s="1590" t="s">
        <v>6907</v>
      </c>
      <c r="C145" s="1576" t="s">
        <v>6883</v>
      </c>
      <c r="D145" s="1701">
        <v>0.0</v>
      </c>
      <c r="E145" s="1701">
        <v>2.0</v>
      </c>
      <c r="F145" s="1701">
        <v>1.0</v>
      </c>
      <c r="G145" s="1701">
        <v>0.0</v>
      </c>
      <c r="H145" s="549">
        <v>1.0</v>
      </c>
      <c r="I145" s="1710">
        <v>0.0</v>
      </c>
      <c r="J145" s="1735"/>
      <c r="K145" s="1708">
        <v>0.0</v>
      </c>
      <c r="L145" s="1709">
        <v>0.0</v>
      </c>
      <c r="M145" s="1709">
        <v>0.0</v>
      </c>
      <c r="N145" s="1710"/>
      <c r="O145" s="1710">
        <v>0.0</v>
      </c>
      <c r="P145" s="1167"/>
      <c r="Q145" s="1167"/>
      <c r="R145" s="549">
        <v>0.0</v>
      </c>
      <c r="S145" s="549">
        <v>0.0</v>
      </c>
      <c r="T145" s="549">
        <v>0.0</v>
      </c>
      <c r="U145" s="549">
        <v>0.0</v>
      </c>
      <c r="V145" s="549">
        <v>0.0</v>
      </c>
      <c r="W145" s="549">
        <v>0.0</v>
      </c>
      <c r="X145" s="548">
        <v>1.0</v>
      </c>
      <c r="Y145" s="548">
        <v>0.0</v>
      </c>
      <c r="Z145" s="548">
        <v>0.0</v>
      </c>
      <c r="AA145" s="549">
        <v>0.0</v>
      </c>
      <c r="AB145" s="549">
        <v>0.0</v>
      </c>
      <c r="AC145" s="549">
        <v>0.0</v>
      </c>
      <c r="AD145" s="549"/>
      <c r="AE145" s="549">
        <v>0.0</v>
      </c>
      <c r="AF145" s="549">
        <v>0.0</v>
      </c>
      <c r="AG145" s="549">
        <v>1.0</v>
      </c>
      <c r="AH145" s="549">
        <v>0.0</v>
      </c>
      <c r="AI145" s="549">
        <v>0.0</v>
      </c>
      <c r="AJ145" s="549">
        <v>0.0</v>
      </c>
      <c r="AK145" s="549">
        <v>0.0</v>
      </c>
      <c r="AL145" s="549">
        <v>0.0</v>
      </c>
      <c r="AM145" s="549">
        <v>0.0</v>
      </c>
      <c r="AN145" s="549">
        <v>0.0</v>
      </c>
      <c r="AO145" s="549">
        <v>0.0</v>
      </c>
      <c r="AP145" s="549">
        <v>0.0</v>
      </c>
      <c r="AQ145" s="549">
        <v>3.0</v>
      </c>
      <c r="AR145" s="549">
        <v>0.0</v>
      </c>
      <c r="AS145" s="549"/>
      <c r="AT145" s="549">
        <v>0.0</v>
      </c>
      <c r="AU145" s="549"/>
      <c r="AV145" s="549"/>
      <c r="AW145" s="549"/>
      <c r="AX145" s="549"/>
      <c r="AY145" s="549"/>
      <c r="AZ145" s="549"/>
      <c r="BA145" s="549">
        <f t="shared" si="6"/>
        <v>9</v>
      </c>
      <c r="BB145" s="549"/>
    </row>
    <row r="146">
      <c r="A146" s="1687" t="s">
        <v>6992</v>
      </c>
      <c r="B146" s="1590" t="s">
        <v>6908</v>
      </c>
      <c r="C146" s="1576" t="s">
        <v>6883</v>
      </c>
      <c r="D146" s="1701">
        <v>0.0</v>
      </c>
      <c r="E146" s="1701">
        <v>1.0</v>
      </c>
      <c r="F146" s="1701">
        <v>1.0</v>
      </c>
      <c r="G146" s="1701">
        <v>0.0</v>
      </c>
      <c r="H146" s="549">
        <v>2.0</v>
      </c>
      <c r="I146" s="1710">
        <v>0.0</v>
      </c>
      <c r="J146" s="1735"/>
      <c r="K146" s="1708">
        <v>0.0</v>
      </c>
      <c r="L146" s="1709">
        <v>0.0</v>
      </c>
      <c r="M146" s="1709">
        <v>0.0</v>
      </c>
      <c r="N146" s="1710"/>
      <c r="O146" s="1710">
        <v>1.0</v>
      </c>
      <c r="P146" s="1167"/>
      <c r="Q146" s="1167"/>
      <c r="R146" s="549">
        <v>0.0</v>
      </c>
      <c r="S146" s="549">
        <v>0.0</v>
      </c>
      <c r="T146" s="549">
        <v>0.0</v>
      </c>
      <c r="U146" s="549">
        <v>0.0</v>
      </c>
      <c r="V146" s="549">
        <v>0.0</v>
      </c>
      <c r="W146" s="549">
        <v>0.0</v>
      </c>
      <c r="X146" s="548">
        <v>2.0</v>
      </c>
      <c r="Y146" s="548">
        <v>0.0</v>
      </c>
      <c r="Z146" s="548">
        <v>0.0</v>
      </c>
      <c r="AA146" s="549">
        <v>0.0</v>
      </c>
      <c r="AB146" s="549">
        <v>0.0</v>
      </c>
      <c r="AC146" s="549">
        <v>0.0</v>
      </c>
      <c r="AD146" s="549"/>
      <c r="AE146" s="549">
        <v>3.0</v>
      </c>
      <c r="AF146" s="549">
        <v>0.0</v>
      </c>
      <c r="AG146" s="549">
        <v>0.0</v>
      </c>
      <c r="AH146" s="549">
        <v>0.0</v>
      </c>
      <c r="AI146" s="549">
        <v>1.0</v>
      </c>
      <c r="AJ146" s="549">
        <v>0.0</v>
      </c>
      <c r="AK146" s="549">
        <v>0.0</v>
      </c>
      <c r="AL146" s="549">
        <v>0.0</v>
      </c>
      <c r="AM146" s="549">
        <v>1.0</v>
      </c>
      <c r="AN146" s="549">
        <v>0.0</v>
      </c>
      <c r="AO146" s="549">
        <v>0.0</v>
      </c>
      <c r="AP146" s="549">
        <v>0.0</v>
      </c>
      <c r="AQ146" s="549">
        <v>0.0</v>
      </c>
      <c r="AR146" s="549">
        <v>0.0</v>
      </c>
      <c r="AS146" s="549"/>
      <c r="AT146" s="549">
        <v>3.0</v>
      </c>
      <c r="AU146" s="549"/>
      <c r="AV146" s="549"/>
      <c r="AW146" s="549"/>
      <c r="AX146" s="549"/>
      <c r="AY146" s="549"/>
      <c r="AZ146" s="549"/>
      <c r="BA146" s="549">
        <f t="shared" si="6"/>
        <v>15</v>
      </c>
      <c r="BB146" s="549"/>
    </row>
    <row r="147">
      <c r="A147" s="1687" t="s">
        <v>6992</v>
      </c>
      <c r="B147" s="1590" t="s">
        <v>6909</v>
      </c>
      <c r="C147" s="1576" t="s">
        <v>6883</v>
      </c>
      <c r="D147" s="1701">
        <v>0.0</v>
      </c>
      <c r="E147" s="1701">
        <v>0.0</v>
      </c>
      <c r="F147" s="1701">
        <v>0.0</v>
      </c>
      <c r="G147" s="1701">
        <v>0.0</v>
      </c>
      <c r="H147" s="549">
        <v>2.0</v>
      </c>
      <c r="I147" s="1710">
        <v>1.0</v>
      </c>
      <c r="J147" s="1735"/>
      <c r="K147" s="1708">
        <v>0.0</v>
      </c>
      <c r="L147" s="1709">
        <v>0.0</v>
      </c>
      <c r="M147" s="1709">
        <v>0.0</v>
      </c>
      <c r="N147" s="1710"/>
      <c r="O147" s="1710">
        <v>0.0</v>
      </c>
      <c r="P147" s="1167"/>
      <c r="Q147" s="1167"/>
      <c r="R147" s="549">
        <v>0.0</v>
      </c>
      <c r="S147" s="549">
        <v>0.0</v>
      </c>
      <c r="T147" s="549">
        <v>0.0</v>
      </c>
      <c r="U147" s="549">
        <v>0.0</v>
      </c>
      <c r="V147" s="549">
        <v>1.0</v>
      </c>
      <c r="W147" s="549">
        <v>0.0</v>
      </c>
      <c r="X147" s="548">
        <v>0.0</v>
      </c>
      <c r="Y147" s="548">
        <v>0.0</v>
      </c>
      <c r="Z147" s="548">
        <v>0.0</v>
      </c>
      <c r="AA147" s="549">
        <v>0.0</v>
      </c>
      <c r="AB147" s="549">
        <v>0.0</v>
      </c>
      <c r="AC147" s="549">
        <v>0.0</v>
      </c>
      <c r="AD147" s="549"/>
      <c r="AE147" s="549">
        <v>2.0</v>
      </c>
      <c r="AF147" s="549">
        <v>0.0</v>
      </c>
      <c r="AG147" s="549">
        <v>0.0</v>
      </c>
      <c r="AH147" s="549">
        <v>0.0</v>
      </c>
      <c r="AI147" s="549">
        <v>0.0</v>
      </c>
      <c r="AJ147" s="549">
        <v>0.0</v>
      </c>
      <c r="AK147" s="549">
        <v>0.0</v>
      </c>
      <c r="AL147" s="549">
        <v>0.0</v>
      </c>
      <c r="AM147" s="549">
        <v>0.0</v>
      </c>
      <c r="AN147" s="549">
        <v>0.0</v>
      </c>
      <c r="AO147" s="549">
        <v>0.0</v>
      </c>
      <c r="AP147" s="549">
        <v>0.0</v>
      </c>
      <c r="AQ147" s="549">
        <v>0.0</v>
      </c>
      <c r="AR147" s="549">
        <v>0.0</v>
      </c>
      <c r="AS147" s="549"/>
      <c r="AT147" s="549">
        <v>0.0</v>
      </c>
      <c r="AU147" s="549"/>
      <c r="AV147" s="549"/>
      <c r="AW147" s="549"/>
      <c r="AX147" s="549"/>
      <c r="AY147" s="549"/>
      <c r="AZ147" s="549"/>
      <c r="BA147" s="549">
        <f t="shared" si="6"/>
        <v>6</v>
      </c>
      <c r="BB147" s="549" t="s">
        <v>6988</v>
      </c>
    </row>
    <row r="148">
      <c r="A148" s="1714" t="s">
        <v>6992</v>
      </c>
      <c r="B148" s="1715" t="s">
        <v>6913</v>
      </c>
      <c r="C148" s="1716" t="s">
        <v>6883</v>
      </c>
      <c r="D148" s="1732">
        <v>2.0</v>
      </c>
      <c r="E148" s="1732">
        <v>1.0</v>
      </c>
      <c r="F148" s="1732">
        <v>5.0</v>
      </c>
      <c r="G148" s="1732">
        <v>0.0</v>
      </c>
      <c r="H148" s="1721">
        <v>4.0</v>
      </c>
      <c r="I148" s="1732">
        <v>1.0</v>
      </c>
      <c r="J148" s="1732">
        <v>2.0</v>
      </c>
      <c r="K148" s="1720">
        <v>3.0</v>
      </c>
      <c r="L148" s="1721">
        <v>0.0</v>
      </c>
      <c r="M148" s="1721">
        <v>1.0</v>
      </c>
      <c r="N148" s="1721">
        <v>0.0</v>
      </c>
      <c r="O148" s="1722">
        <v>11.0</v>
      </c>
      <c r="P148" s="1721">
        <v>5.0</v>
      </c>
      <c r="Q148" s="1722"/>
      <c r="R148" s="1721">
        <v>0.0</v>
      </c>
      <c r="S148" s="1721">
        <v>5.0</v>
      </c>
      <c r="T148" s="1721">
        <v>2.0</v>
      </c>
      <c r="U148" s="1721">
        <v>6.0</v>
      </c>
      <c r="V148" s="1721">
        <v>0.0</v>
      </c>
      <c r="W148" s="549">
        <v>1.0</v>
      </c>
      <c r="X148" s="548">
        <v>6.0</v>
      </c>
      <c r="Y148" s="548">
        <v>2.0</v>
      </c>
      <c r="Z148" s="548">
        <v>4.0</v>
      </c>
      <c r="AA148" s="549">
        <v>2.0</v>
      </c>
      <c r="AB148" s="549">
        <v>1.0</v>
      </c>
      <c r="AC148" s="549">
        <v>1.0</v>
      </c>
      <c r="AD148" s="549"/>
      <c r="AE148" s="549">
        <v>2.0</v>
      </c>
      <c r="AF148" s="549">
        <v>4.0</v>
      </c>
      <c r="AG148" s="549">
        <v>0.0</v>
      </c>
      <c r="AH148" s="549">
        <v>3.0</v>
      </c>
      <c r="AI148" s="549">
        <v>3.0</v>
      </c>
      <c r="AJ148" s="549">
        <v>6.0</v>
      </c>
      <c r="AK148" s="549">
        <v>6.0</v>
      </c>
      <c r="AL148" s="549">
        <v>4.0</v>
      </c>
      <c r="AM148" s="549">
        <v>1.0</v>
      </c>
      <c r="AN148" s="1723">
        <v>2.0</v>
      </c>
      <c r="AO148" s="1723">
        <v>2.0</v>
      </c>
      <c r="AP148" s="1723">
        <v>8.0</v>
      </c>
      <c r="AQ148" s="1723">
        <v>7.0</v>
      </c>
      <c r="AR148" s="1723">
        <v>8.0</v>
      </c>
      <c r="AS148" s="1723"/>
      <c r="AT148" s="1723">
        <v>3.0</v>
      </c>
      <c r="AU148" s="1723"/>
      <c r="AV148" s="1723"/>
      <c r="AW148" s="1723"/>
      <c r="AX148" s="1723"/>
      <c r="AY148" s="1723"/>
      <c r="AZ148" s="1723"/>
      <c r="BA148" s="549">
        <f t="shared" si="6"/>
        <v>124</v>
      </c>
      <c r="BB148" s="1723" t="s">
        <v>6989</v>
      </c>
    </row>
    <row r="149">
      <c r="A149" s="1714" t="s">
        <v>6992</v>
      </c>
      <c r="B149" s="1715" t="s">
        <v>6914</v>
      </c>
      <c r="C149" s="1716" t="s">
        <v>6883</v>
      </c>
      <c r="D149" s="1732">
        <v>0.0</v>
      </c>
      <c r="E149" s="1732">
        <v>7.0</v>
      </c>
      <c r="F149" s="1732">
        <v>0.0</v>
      </c>
      <c r="G149" s="1732">
        <v>0.0</v>
      </c>
      <c r="H149" s="1721">
        <v>0.0</v>
      </c>
      <c r="I149" s="1732">
        <v>0.0</v>
      </c>
      <c r="J149" s="1734"/>
      <c r="K149" s="1720">
        <v>0.0</v>
      </c>
      <c r="L149" s="1721">
        <v>0.0</v>
      </c>
      <c r="M149" s="1721">
        <v>3.0</v>
      </c>
      <c r="N149" s="1721">
        <v>1.0</v>
      </c>
      <c r="O149" s="1722">
        <v>3.0</v>
      </c>
      <c r="P149" s="1721">
        <v>1.0</v>
      </c>
      <c r="Q149" s="1722"/>
      <c r="R149" s="1721">
        <v>1.0</v>
      </c>
      <c r="S149" s="1721">
        <v>0.0</v>
      </c>
      <c r="T149" s="1721">
        <v>1.0</v>
      </c>
      <c r="U149" s="1721">
        <v>1.0</v>
      </c>
      <c r="V149" s="1721">
        <v>2.0</v>
      </c>
      <c r="W149" s="549">
        <v>0.0</v>
      </c>
      <c r="X149" s="548">
        <v>2.0</v>
      </c>
      <c r="Y149" s="548">
        <v>2.0</v>
      </c>
      <c r="Z149" s="548">
        <v>2.0</v>
      </c>
      <c r="AA149" s="549">
        <v>2.0</v>
      </c>
      <c r="AB149" s="549">
        <v>0.0</v>
      </c>
      <c r="AC149" s="549">
        <v>0.0</v>
      </c>
      <c r="AD149" s="549"/>
      <c r="AE149" s="549">
        <v>3.0</v>
      </c>
      <c r="AF149" s="549">
        <v>0.0</v>
      </c>
      <c r="AG149" s="549">
        <v>0.0</v>
      </c>
      <c r="AH149" s="549">
        <v>4.0</v>
      </c>
      <c r="AI149" s="549">
        <v>0.0</v>
      </c>
      <c r="AJ149" s="549">
        <v>1.0</v>
      </c>
      <c r="AK149" s="549">
        <v>4.0</v>
      </c>
      <c r="AL149" s="549">
        <v>2.0</v>
      </c>
      <c r="AM149" s="549">
        <v>1.0</v>
      </c>
      <c r="AN149" s="1721">
        <v>2.0</v>
      </c>
      <c r="AO149" s="1721">
        <v>0.0</v>
      </c>
      <c r="AP149" s="1721">
        <v>0.0</v>
      </c>
      <c r="AQ149" s="1721">
        <v>0.0</v>
      </c>
      <c r="AR149" s="1721">
        <v>0.0</v>
      </c>
      <c r="AS149" s="1721"/>
      <c r="AT149" s="1721">
        <v>0.0</v>
      </c>
      <c r="AU149" s="1721"/>
      <c r="AV149" s="1721"/>
      <c r="AW149" s="1721"/>
      <c r="AX149" s="1721"/>
      <c r="AY149" s="1721"/>
      <c r="AZ149" s="1721"/>
      <c r="BA149" s="549">
        <f t="shared" si="6"/>
        <v>45</v>
      </c>
      <c r="BB149" s="1721"/>
    </row>
    <row r="150">
      <c r="A150" s="1714" t="s">
        <v>6992</v>
      </c>
      <c r="B150" s="1715" t="s">
        <v>6915</v>
      </c>
      <c r="C150" s="1716" t="s">
        <v>6883</v>
      </c>
      <c r="D150" s="1732">
        <v>1.0</v>
      </c>
      <c r="E150" s="1732">
        <v>0.0</v>
      </c>
      <c r="F150" s="1732">
        <v>4.0</v>
      </c>
      <c r="G150" s="1732">
        <v>1.0</v>
      </c>
      <c r="H150" s="1721">
        <v>0.0</v>
      </c>
      <c r="I150" s="1732">
        <v>0.0</v>
      </c>
      <c r="J150" s="1734"/>
      <c r="K150" s="1720">
        <v>1.0</v>
      </c>
      <c r="L150" s="1721">
        <v>0.0</v>
      </c>
      <c r="M150" s="1721">
        <v>1.0</v>
      </c>
      <c r="N150" s="1721">
        <v>0.0</v>
      </c>
      <c r="O150" s="1722">
        <v>2.0</v>
      </c>
      <c r="P150" s="1721">
        <v>3.0</v>
      </c>
      <c r="Q150" s="1722"/>
      <c r="R150" s="1721">
        <v>0.0</v>
      </c>
      <c r="S150" s="1721">
        <v>1.0</v>
      </c>
      <c r="T150" s="1721">
        <v>4.0</v>
      </c>
      <c r="U150" s="1721">
        <v>1.0</v>
      </c>
      <c r="V150" s="1721">
        <v>2.0</v>
      </c>
      <c r="W150" s="549">
        <v>1.0</v>
      </c>
      <c r="X150" s="548">
        <v>3.0</v>
      </c>
      <c r="Y150" s="548">
        <v>3.0</v>
      </c>
      <c r="Z150" s="548">
        <v>5.0</v>
      </c>
      <c r="AA150" s="549">
        <v>2.0</v>
      </c>
      <c r="AB150" s="549">
        <v>0.0</v>
      </c>
      <c r="AC150" s="549">
        <v>0.0</v>
      </c>
      <c r="AD150" s="549"/>
      <c r="AE150" s="549">
        <v>3.0</v>
      </c>
      <c r="AF150" s="549">
        <v>0.0</v>
      </c>
      <c r="AG150" s="549">
        <v>1.0</v>
      </c>
      <c r="AH150" s="549">
        <v>0.0</v>
      </c>
      <c r="AI150" s="549">
        <v>1.0</v>
      </c>
      <c r="AJ150" s="549">
        <v>0.0</v>
      </c>
      <c r="AK150" s="549">
        <v>0.0</v>
      </c>
      <c r="AL150" s="549">
        <v>0.0</v>
      </c>
      <c r="AM150" s="549">
        <v>0.0</v>
      </c>
      <c r="AN150" s="1721">
        <v>2.0</v>
      </c>
      <c r="AO150" s="1721">
        <v>0.0</v>
      </c>
      <c r="AP150" s="1721">
        <v>0.0</v>
      </c>
      <c r="AQ150" s="1721">
        <v>0.0</v>
      </c>
      <c r="AR150" s="1721">
        <v>4.0</v>
      </c>
      <c r="AS150" s="1721"/>
      <c r="AT150" s="1721">
        <v>0.0</v>
      </c>
      <c r="AU150" s="1721"/>
      <c r="AV150" s="1721"/>
      <c r="AW150" s="1721"/>
      <c r="AX150" s="1721"/>
      <c r="AY150" s="1721"/>
      <c r="AZ150" s="1721"/>
      <c r="BA150" s="549">
        <f t="shared" si="6"/>
        <v>46</v>
      </c>
      <c r="BB150" s="1721"/>
    </row>
    <row r="151">
      <c r="A151" s="1724"/>
      <c r="B151" s="1550"/>
      <c r="C151" s="1550"/>
      <c r="D151" s="1725"/>
      <c r="E151" s="1725"/>
      <c r="F151" s="1725"/>
      <c r="G151" s="1725"/>
      <c r="H151" s="1167"/>
      <c r="I151" s="1725"/>
      <c r="J151" s="1725"/>
      <c r="K151" s="1708"/>
      <c r="L151" s="1725"/>
      <c r="M151" s="1725"/>
      <c r="N151" s="1725"/>
      <c r="O151" s="1725"/>
      <c r="P151" s="1725"/>
      <c r="Q151" s="1725"/>
      <c r="R151" s="1725"/>
      <c r="S151" s="1725"/>
      <c r="T151" s="1725"/>
      <c r="U151" s="1725"/>
      <c r="V151" s="1725"/>
      <c r="W151" s="1725"/>
      <c r="X151" s="280"/>
      <c r="Y151" s="280"/>
      <c r="Z151" s="280"/>
      <c r="AA151" s="1725"/>
      <c r="AB151" s="1725"/>
      <c r="AC151" s="1725"/>
      <c r="AD151" s="1725"/>
      <c r="AE151" s="1725"/>
      <c r="AF151" s="1725"/>
      <c r="AG151" s="1725"/>
      <c r="AH151" s="1725"/>
      <c r="AI151" s="1725"/>
      <c r="AJ151" s="1725"/>
      <c r="AK151" s="1725"/>
      <c r="AL151" s="1725"/>
      <c r="AM151" s="1725"/>
      <c r="AN151" s="549"/>
      <c r="AO151" s="549"/>
      <c r="AP151" s="549"/>
      <c r="AQ151" s="549"/>
      <c r="AR151" s="549"/>
      <c r="AS151" s="549"/>
      <c r="AT151" s="549"/>
      <c r="AU151" s="549"/>
      <c r="AV151" s="549"/>
      <c r="AW151" s="549"/>
      <c r="AX151" s="549"/>
      <c r="AY151" s="549"/>
      <c r="AZ151" s="549"/>
      <c r="BA151" s="549"/>
      <c r="BB151" s="549"/>
    </row>
    <row r="152">
      <c r="A152" s="1726"/>
      <c r="B152" s="1727" t="s">
        <v>6882</v>
      </c>
      <c r="D152" s="1725"/>
      <c r="E152" s="1725"/>
      <c r="F152" s="1725"/>
      <c r="G152" s="1725"/>
      <c r="H152" s="1167"/>
      <c r="I152" s="1725"/>
      <c r="J152" s="1725"/>
      <c r="K152" s="1708"/>
      <c r="L152" s="1725"/>
      <c r="M152" s="1725"/>
      <c r="N152" s="1725"/>
      <c r="O152" s="1725"/>
      <c r="P152" s="1725"/>
      <c r="Q152" s="1725"/>
      <c r="R152" s="1725"/>
      <c r="S152" s="1725"/>
      <c r="T152" s="1725"/>
      <c r="U152" s="1725"/>
      <c r="V152" s="1725"/>
      <c r="W152" s="1725"/>
      <c r="X152" s="280"/>
      <c r="Y152" s="280"/>
      <c r="Z152" s="280"/>
      <c r="AA152" s="1725"/>
      <c r="AB152" s="1725"/>
      <c r="AC152" s="1725"/>
      <c r="AD152" s="1725"/>
      <c r="AE152" s="1725"/>
      <c r="AF152" s="1725"/>
      <c r="AG152" s="1725"/>
      <c r="AH152" s="1725"/>
      <c r="AI152" s="1725"/>
      <c r="AJ152" s="1725"/>
      <c r="AK152" s="1725"/>
      <c r="AL152" s="1725"/>
      <c r="AM152" s="1725"/>
      <c r="AN152" s="549"/>
      <c r="AO152" s="549"/>
      <c r="AP152" s="549"/>
      <c r="AQ152" s="549"/>
      <c r="AR152" s="549"/>
      <c r="AS152" s="549"/>
      <c r="AT152" s="549"/>
      <c r="AU152" s="549"/>
      <c r="AV152" s="549"/>
      <c r="AW152" s="549"/>
      <c r="AX152" s="549"/>
      <c r="AY152" s="549"/>
      <c r="AZ152" s="549"/>
      <c r="BA152" s="549"/>
      <c r="BB152" s="549"/>
    </row>
    <row r="153">
      <c r="A153" s="1687" t="s">
        <v>6992</v>
      </c>
      <c r="B153" s="1634" t="s">
        <v>6888</v>
      </c>
      <c r="C153" s="1594" t="s">
        <v>6884</v>
      </c>
      <c r="D153" s="1701">
        <v>0.0</v>
      </c>
      <c r="E153" s="1701">
        <v>0.0</v>
      </c>
      <c r="F153" s="1701">
        <v>0.0</v>
      </c>
      <c r="G153" s="1701">
        <v>0.0</v>
      </c>
      <c r="H153" s="549">
        <v>1.0</v>
      </c>
      <c r="I153" s="1710">
        <v>0.0</v>
      </c>
      <c r="J153" s="1710">
        <v>2.0</v>
      </c>
      <c r="K153" s="1167">
        <v>1.0</v>
      </c>
      <c r="L153" s="549">
        <v>0.0</v>
      </c>
      <c r="M153" s="549">
        <v>0.0</v>
      </c>
      <c r="N153" s="1167"/>
      <c r="O153" s="1710">
        <v>0.0</v>
      </c>
      <c r="P153" s="1167"/>
      <c r="Q153" s="1167">
        <v>0.0</v>
      </c>
      <c r="R153" s="549">
        <v>2.0</v>
      </c>
      <c r="S153" s="549">
        <v>1.0</v>
      </c>
      <c r="T153" s="549">
        <v>0.0</v>
      </c>
      <c r="U153" s="549">
        <v>0.0</v>
      </c>
      <c r="V153" s="549">
        <v>0.0</v>
      </c>
      <c r="W153" s="1701">
        <v>0.0</v>
      </c>
      <c r="X153" s="548">
        <v>0.0</v>
      </c>
      <c r="Y153" s="548">
        <v>2.0</v>
      </c>
      <c r="Z153" s="548">
        <v>0.0</v>
      </c>
      <c r="AA153" s="1701">
        <v>1.0</v>
      </c>
      <c r="AB153" s="1701">
        <v>0.0</v>
      </c>
      <c r="AC153" s="1701">
        <v>0.0</v>
      </c>
      <c r="AD153" s="1701"/>
      <c r="AE153" s="1701">
        <v>1.0</v>
      </c>
      <c r="AF153" s="1701">
        <v>0.0</v>
      </c>
      <c r="AG153" s="1701">
        <v>0.0</v>
      </c>
      <c r="AH153" s="1701">
        <v>0.0</v>
      </c>
      <c r="AI153" s="1701">
        <v>1.0</v>
      </c>
      <c r="AJ153" s="1701">
        <v>1.0</v>
      </c>
      <c r="AK153" s="1701">
        <v>0.0</v>
      </c>
      <c r="AL153" s="1701">
        <v>0.0</v>
      </c>
      <c r="AM153" s="1701">
        <v>1.0</v>
      </c>
      <c r="AN153" s="549">
        <v>1.0</v>
      </c>
      <c r="AO153" s="549">
        <v>2.0</v>
      </c>
      <c r="AP153" s="549">
        <v>0.0</v>
      </c>
      <c r="AQ153" s="549">
        <v>0.0</v>
      </c>
      <c r="AR153" s="549">
        <v>0.0</v>
      </c>
      <c r="AS153" s="549"/>
      <c r="AT153" s="549">
        <v>0.0</v>
      </c>
      <c r="AU153" s="549"/>
      <c r="AV153" s="549"/>
      <c r="AW153" s="549"/>
      <c r="AX153" s="549"/>
      <c r="AY153" s="549"/>
      <c r="AZ153" s="549"/>
      <c r="BA153" s="549">
        <f t="shared" ref="BA153:BA171" si="7">SUM(D153:AZ153)</f>
        <v>17</v>
      </c>
      <c r="BB153" s="549"/>
    </row>
    <row r="154">
      <c r="A154" s="1687" t="s">
        <v>6992</v>
      </c>
      <c r="B154" s="1634" t="s">
        <v>6889</v>
      </c>
      <c r="C154" s="1594" t="s">
        <v>6884</v>
      </c>
      <c r="D154" s="1701">
        <v>0.0</v>
      </c>
      <c r="E154" s="1701">
        <v>1.0</v>
      </c>
      <c r="F154" s="1701">
        <v>0.0</v>
      </c>
      <c r="G154" s="1701">
        <v>0.0</v>
      </c>
      <c r="H154" s="549">
        <v>1.0</v>
      </c>
      <c r="I154" s="1710">
        <v>0.0</v>
      </c>
      <c r="J154" s="1710">
        <v>1.0</v>
      </c>
      <c r="K154" s="1167">
        <v>0.0</v>
      </c>
      <c r="L154" s="549">
        <v>0.0</v>
      </c>
      <c r="M154" s="549">
        <v>0.0</v>
      </c>
      <c r="N154" s="1167"/>
      <c r="O154" s="1710">
        <v>1.0</v>
      </c>
      <c r="P154" s="1167"/>
      <c r="Q154" s="1167">
        <v>0.0</v>
      </c>
      <c r="R154" s="549">
        <v>0.0</v>
      </c>
      <c r="S154" s="549">
        <v>1.0</v>
      </c>
      <c r="T154" s="549">
        <v>0.0</v>
      </c>
      <c r="U154" s="549">
        <v>0.0</v>
      </c>
      <c r="V154" s="549">
        <v>0.0</v>
      </c>
      <c r="W154" s="1701">
        <v>0.0</v>
      </c>
      <c r="X154" s="548">
        <v>1.0</v>
      </c>
      <c r="Y154" s="548">
        <v>2.0</v>
      </c>
      <c r="Z154" s="548">
        <v>0.0</v>
      </c>
      <c r="AA154" s="1701">
        <v>0.0</v>
      </c>
      <c r="AB154" s="1701">
        <v>0.0</v>
      </c>
      <c r="AC154" s="1701">
        <v>0.0</v>
      </c>
      <c r="AD154" s="1701"/>
      <c r="AE154" s="1701">
        <v>0.0</v>
      </c>
      <c r="AF154" s="1701">
        <v>0.0</v>
      </c>
      <c r="AG154" s="1701">
        <v>0.0</v>
      </c>
      <c r="AH154" s="1701">
        <v>0.0</v>
      </c>
      <c r="AI154" s="1701">
        <v>0.0</v>
      </c>
      <c r="AJ154" s="1701">
        <v>0.0</v>
      </c>
      <c r="AK154" s="1701">
        <v>0.0</v>
      </c>
      <c r="AL154" s="1701">
        <v>0.0</v>
      </c>
      <c r="AM154" s="1701">
        <v>0.0</v>
      </c>
      <c r="AN154" s="549">
        <v>1.0</v>
      </c>
      <c r="AO154" s="549">
        <v>0.0</v>
      </c>
      <c r="AP154" s="549">
        <v>3.0</v>
      </c>
      <c r="AQ154" s="549">
        <v>0.0</v>
      </c>
      <c r="AR154" s="549">
        <v>3.0</v>
      </c>
      <c r="AS154" s="549"/>
      <c r="AT154" s="549">
        <v>0.0</v>
      </c>
      <c r="AU154" s="549"/>
      <c r="AV154" s="549"/>
      <c r="AW154" s="549"/>
      <c r="AX154" s="549"/>
      <c r="AY154" s="549"/>
      <c r="AZ154" s="549"/>
      <c r="BA154" s="549">
        <f t="shared" si="7"/>
        <v>15</v>
      </c>
      <c r="BB154" s="549"/>
    </row>
    <row r="155">
      <c r="A155" s="1687" t="s">
        <v>6992</v>
      </c>
      <c r="B155" s="1634" t="s">
        <v>6676</v>
      </c>
      <c r="C155" s="1594" t="s">
        <v>6884</v>
      </c>
      <c r="D155" s="1701">
        <v>1.0</v>
      </c>
      <c r="E155" s="1701">
        <v>0.0</v>
      </c>
      <c r="F155" s="1701">
        <v>1.0</v>
      </c>
      <c r="G155" s="1701">
        <v>0.0</v>
      </c>
      <c r="H155" s="549">
        <v>2.0</v>
      </c>
      <c r="I155" s="1710">
        <v>0.0</v>
      </c>
      <c r="J155" s="1710">
        <v>1.0</v>
      </c>
      <c r="K155" s="1167">
        <v>1.0</v>
      </c>
      <c r="L155" s="549">
        <v>0.0</v>
      </c>
      <c r="M155" s="549">
        <v>0.0</v>
      </c>
      <c r="N155" s="1167"/>
      <c r="O155" s="1710">
        <v>2.0</v>
      </c>
      <c r="P155" s="1167"/>
      <c r="Q155" s="1167">
        <v>0.0</v>
      </c>
      <c r="R155" s="549">
        <v>1.0</v>
      </c>
      <c r="S155" s="549">
        <v>0.0</v>
      </c>
      <c r="T155" s="549">
        <v>1.0</v>
      </c>
      <c r="U155" s="549">
        <v>1.0</v>
      </c>
      <c r="V155" s="549">
        <v>0.0</v>
      </c>
      <c r="W155" s="1701">
        <v>1.0</v>
      </c>
      <c r="X155" s="548">
        <v>0.0</v>
      </c>
      <c r="Y155" s="548">
        <v>2.0</v>
      </c>
      <c r="Z155" s="548">
        <v>0.0</v>
      </c>
      <c r="AA155" s="1701">
        <v>0.0</v>
      </c>
      <c r="AB155" s="1701">
        <v>0.0</v>
      </c>
      <c r="AC155" s="1701">
        <v>0.0</v>
      </c>
      <c r="AD155" s="1701"/>
      <c r="AE155" s="1701">
        <v>2.0</v>
      </c>
      <c r="AF155" s="1701">
        <v>0.0</v>
      </c>
      <c r="AG155" s="1701">
        <v>0.0</v>
      </c>
      <c r="AH155" s="1701">
        <v>0.0</v>
      </c>
      <c r="AI155" s="1701">
        <v>2.0</v>
      </c>
      <c r="AJ155" s="1701">
        <v>0.0</v>
      </c>
      <c r="AK155" s="1701">
        <v>0.0</v>
      </c>
      <c r="AL155" s="1701">
        <v>1.0</v>
      </c>
      <c r="AM155" s="1701">
        <v>0.0</v>
      </c>
      <c r="AN155" s="549">
        <v>2.0</v>
      </c>
      <c r="AO155" s="549">
        <v>1.0</v>
      </c>
      <c r="AP155" s="549">
        <v>0.0</v>
      </c>
      <c r="AQ155" s="549">
        <v>0.0</v>
      </c>
      <c r="AR155" s="549">
        <v>3.0</v>
      </c>
      <c r="AS155" s="549"/>
      <c r="AT155" s="549">
        <v>0.0</v>
      </c>
      <c r="AU155" s="549"/>
      <c r="AV155" s="549"/>
      <c r="AW155" s="549"/>
      <c r="AX155" s="549"/>
      <c r="AY155" s="549"/>
      <c r="AZ155" s="549"/>
      <c r="BA155" s="549">
        <f t="shared" si="7"/>
        <v>25</v>
      </c>
      <c r="BB155" s="549"/>
    </row>
    <row r="156">
      <c r="A156" s="1687" t="s">
        <v>6992</v>
      </c>
      <c r="B156" s="1634" t="s">
        <v>6891</v>
      </c>
      <c r="C156" s="1594" t="s">
        <v>6884</v>
      </c>
      <c r="D156" s="1701">
        <v>1.0</v>
      </c>
      <c r="E156" s="1701">
        <v>1.0</v>
      </c>
      <c r="F156" s="1701">
        <v>1.0</v>
      </c>
      <c r="G156" s="1701">
        <v>0.0</v>
      </c>
      <c r="H156" s="549">
        <v>1.0</v>
      </c>
      <c r="I156" s="1710">
        <v>2.0</v>
      </c>
      <c r="J156" s="1710">
        <v>2.0</v>
      </c>
      <c r="K156" s="1167">
        <v>1.0</v>
      </c>
      <c r="L156" s="549">
        <v>0.0</v>
      </c>
      <c r="M156" s="549">
        <v>0.0</v>
      </c>
      <c r="N156" s="1167"/>
      <c r="O156" s="1710">
        <v>0.0</v>
      </c>
      <c r="P156" s="1167"/>
      <c r="Q156" s="1167">
        <v>2.0</v>
      </c>
      <c r="R156" s="549">
        <v>0.0</v>
      </c>
      <c r="S156" s="549">
        <v>0.0</v>
      </c>
      <c r="T156" s="549">
        <v>0.0</v>
      </c>
      <c r="U156" s="549">
        <v>2.0</v>
      </c>
      <c r="V156" s="549">
        <v>2.0</v>
      </c>
      <c r="W156" s="1701">
        <v>0.0</v>
      </c>
      <c r="X156" s="548">
        <v>0.0</v>
      </c>
      <c r="Y156" s="548">
        <v>1.0</v>
      </c>
      <c r="Z156" s="548">
        <v>1.0</v>
      </c>
      <c r="AA156" s="1701">
        <v>1.0</v>
      </c>
      <c r="AB156" s="1701">
        <v>2.0</v>
      </c>
      <c r="AC156" s="1701">
        <v>2.0</v>
      </c>
      <c r="AD156" s="1701"/>
      <c r="AE156" s="1701">
        <v>2.0</v>
      </c>
      <c r="AF156" s="1701">
        <v>0.0</v>
      </c>
      <c r="AG156" s="1701">
        <v>0.0</v>
      </c>
      <c r="AH156" s="1701">
        <v>0.0</v>
      </c>
      <c r="AI156" s="1701">
        <v>0.0</v>
      </c>
      <c r="AJ156" s="1701">
        <v>1.0</v>
      </c>
      <c r="AK156" s="1701">
        <v>2.0</v>
      </c>
      <c r="AL156" s="1701">
        <v>1.0</v>
      </c>
      <c r="AM156" s="1701">
        <v>0.0</v>
      </c>
      <c r="AN156" s="549">
        <v>1.0</v>
      </c>
      <c r="AO156" s="549">
        <v>0.0</v>
      </c>
      <c r="AP156" s="549">
        <v>0.0</v>
      </c>
      <c r="AQ156" s="549">
        <v>3.0</v>
      </c>
      <c r="AR156" s="549">
        <v>0.0</v>
      </c>
      <c r="AS156" s="549"/>
      <c r="AT156" s="549">
        <v>0.0</v>
      </c>
      <c r="AU156" s="549"/>
      <c r="AV156" s="549"/>
      <c r="AW156" s="549"/>
      <c r="AX156" s="549"/>
      <c r="AY156" s="549"/>
      <c r="AZ156" s="549"/>
      <c r="BA156" s="549">
        <f t="shared" si="7"/>
        <v>32</v>
      </c>
      <c r="BB156" s="549"/>
    </row>
    <row r="157">
      <c r="A157" s="1687" t="s">
        <v>6992</v>
      </c>
      <c r="B157" s="1634" t="s">
        <v>6892</v>
      </c>
      <c r="C157" s="1594" t="s">
        <v>6884</v>
      </c>
      <c r="D157" s="1701">
        <v>1.0</v>
      </c>
      <c r="E157" s="1701">
        <v>0.0</v>
      </c>
      <c r="F157" s="1701">
        <v>0.0</v>
      </c>
      <c r="G157" s="1701">
        <v>0.0</v>
      </c>
      <c r="H157" s="549">
        <v>1.0</v>
      </c>
      <c r="I157" s="1710">
        <v>0.0</v>
      </c>
      <c r="J157" s="1735"/>
      <c r="K157" s="1167">
        <v>0.0</v>
      </c>
      <c r="L157" s="549">
        <v>0.0</v>
      </c>
      <c r="M157" s="549">
        <v>0.0</v>
      </c>
      <c r="N157" s="1167"/>
      <c r="O157" s="1710">
        <v>1.0</v>
      </c>
      <c r="P157" s="1167"/>
      <c r="Q157" s="1167">
        <v>0.0</v>
      </c>
      <c r="R157" s="549">
        <v>0.0</v>
      </c>
      <c r="S157" s="549">
        <v>0.0</v>
      </c>
      <c r="T157" s="549">
        <v>0.0</v>
      </c>
      <c r="U157" s="549">
        <v>0.0</v>
      </c>
      <c r="V157" s="549">
        <v>0.0</v>
      </c>
      <c r="W157" s="1701">
        <v>0.0</v>
      </c>
      <c r="X157" s="548">
        <v>0.0</v>
      </c>
      <c r="Y157" s="548">
        <v>0.0</v>
      </c>
      <c r="Z157" s="548">
        <v>0.0</v>
      </c>
      <c r="AA157" s="1701">
        <v>0.0</v>
      </c>
      <c r="AB157" s="1701">
        <v>0.0</v>
      </c>
      <c r="AC157" s="1701">
        <v>1.0</v>
      </c>
      <c r="AD157" s="1701"/>
      <c r="AE157" s="1701">
        <v>1.0</v>
      </c>
      <c r="AF157" s="1701">
        <v>0.0</v>
      </c>
      <c r="AG157" s="1701">
        <v>0.0</v>
      </c>
      <c r="AH157" s="1701">
        <v>0.0</v>
      </c>
      <c r="AI157" s="1701">
        <v>0.0</v>
      </c>
      <c r="AJ157" s="1701">
        <v>0.0</v>
      </c>
      <c r="AK157" s="1701">
        <v>0.0</v>
      </c>
      <c r="AL157" s="1701">
        <v>0.0</v>
      </c>
      <c r="AM157" s="1701">
        <v>0.0</v>
      </c>
      <c r="AN157" s="549">
        <v>0.0</v>
      </c>
      <c r="AO157" s="549">
        <v>0.0</v>
      </c>
      <c r="AP157" s="549">
        <v>0.0</v>
      </c>
      <c r="AQ157" s="549">
        <v>0.0</v>
      </c>
      <c r="AR157" s="549">
        <v>3.0</v>
      </c>
      <c r="AS157" s="549"/>
      <c r="AT157" s="549">
        <v>0.0</v>
      </c>
      <c r="AU157" s="549"/>
      <c r="AV157" s="549"/>
      <c r="AW157" s="549"/>
      <c r="AX157" s="549"/>
      <c r="AY157" s="549"/>
      <c r="AZ157" s="549"/>
      <c r="BA157" s="549">
        <f t="shared" si="7"/>
        <v>8</v>
      </c>
      <c r="BB157" s="549" t="s">
        <v>6988</v>
      </c>
    </row>
    <row r="158">
      <c r="A158" s="1687" t="s">
        <v>6992</v>
      </c>
      <c r="B158" s="1634" t="s">
        <v>6894</v>
      </c>
      <c r="C158" s="1594" t="s">
        <v>6884</v>
      </c>
      <c r="D158" s="1701">
        <v>0.0</v>
      </c>
      <c r="E158" s="1701">
        <v>1.0</v>
      </c>
      <c r="F158" s="1701">
        <v>1.0</v>
      </c>
      <c r="G158" s="1701">
        <v>0.0</v>
      </c>
      <c r="H158" s="549">
        <v>2.0</v>
      </c>
      <c r="I158" s="1710">
        <v>2.0</v>
      </c>
      <c r="J158" s="1710">
        <v>4.0</v>
      </c>
      <c r="K158" s="1167">
        <v>1.0</v>
      </c>
      <c r="L158" s="549">
        <v>3.0</v>
      </c>
      <c r="M158" s="549">
        <v>0.0</v>
      </c>
      <c r="N158" s="1167"/>
      <c r="O158" s="1710">
        <v>2.0</v>
      </c>
      <c r="P158" s="1167"/>
      <c r="Q158" s="1167">
        <v>1.0</v>
      </c>
      <c r="R158" s="549">
        <v>2.0</v>
      </c>
      <c r="S158" s="549">
        <v>4.0</v>
      </c>
      <c r="T158" s="549">
        <v>1.0</v>
      </c>
      <c r="U158" s="549">
        <v>1.0</v>
      </c>
      <c r="V158" s="549">
        <v>3.0</v>
      </c>
      <c r="W158" s="1701">
        <v>0.0</v>
      </c>
      <c r="X158" s="548">
        <v>2.0</v>
      </c>
      <c r="Y158" s="548">
        <v>3.0</v>
      </c>
      <c r="Z158" s="548">
        <v>1.0</v>
      </c>
      <c r="AA158" s="1701">
        <v>0.0</v>
      </c>
      <c r="AB158" s="1701">
        <v>0.0</v>
      </c>
      <c r="AC158" s="1701">
        <v>2.0</v>
      </c>
      <c r="AD158" s="1701"/>
      <c r="AE158" s="1701">
        <v>0.0</v>
      </c>
      <c r="AF158" s="1701">
        <v>1.0</v>
      </c>
      <c r="AG158" s="1701">
        <v>0.0</v>
      </c>
      <c r="AH158" s="1701">
        <v>0.0</v>
      </c>
      <c r="AI158" s="1701">
        <v>4.0</v>
      </c>
      <c r="AJ158" s="1701">
        <v>1.0</v>
      </c>
      <c r="AK158" s="1701">
        <v>4.0</v>
      </c>
      <c r="AL158" s="1701">
        <v>1.0</v>
      </c>
      <c r="AM158" s="1701">
        <v>3.0</v>
      </c>
      <c r="AN158" s="549">
        <v>2.0</v>
      </c>
      <c r="AO158" s="549">
        <v>1.0</v>
      </c>
      <c r="AP158" s="549">
        <v>4.0</v>
      </c>
      <c r="AQ158" s="549">
        <v>3.0</v>
      </c>
      <c r="AR158" s="549">
        <v>5.0</v>
      </c>
      <c r="AS158" s="549">
        <v>5.0</v>
      </c>
      <c r="AT158" s="549">
        <v>0.0</v>
      </c>
      <c r="AU158" s="549"/>
      <c r="AV158" s="549"/>
      <c r="AW158" s="549"/>
      <c r="AX158" s="549"/>
      <c r="AY158" s="549"/>
      <c r="AZ158" s="549"/>
      <c r="BA158" s="549">
        <f t="shared" si="7"/>
        <v>70</v>
      </c>
      <c r="BB158" s="549"/>
    </row>
    <row r="159">
      <c r="A159" s="1687" t="s">
        <v>6992</v>
      </c>
      <c r="B159" s="1634" t="s">
        <v>6896</v>
      </c>
      <c r="C159" s="1594" t="s">
        <v>6884</v>
      </c>
      <c r="D159" s="1701">
        <v>0.0</v>
      </c>
      <c r="E159" s="1701">
        <v>1.0</v>
      </c>
      <c r="F159" s="1701">
        <v>1.0</v>
      </c>
      <c r="G159" s="1701">
        <v>0.0</v>
      </c>
      <c r="H159" s="549">
        <v>0.0</v>
      </c>
      <c r="I159" s="1710">
        <v>1.0</v>
      </c>
      <c r="J159" s="1710">
        <v>2.0</v>
      </c>
      <c r="K159" s="1167">
        <v>1.0</v>
      </c>
      <c r="L159" s="549">
        <v>2.0</v>
      </c>
      <c r="M159" s="549">
        <v>1.0</v>
      </c>
      <c r="N159" s="1167"/>
      <c r="O159" s="1710">
        <v>1.0</v>
      </c>
      <c r="P159" s="1167"/>
      <c r="Q159" s="1167">
        <v>0.0</v>
      </c>
      <c r="R159" s="549">
        <v>3.0</v>
      </c>
      <c r="S159" s="549">
        <v>4.0</v>
      </c>
      <c r="T159" s="549">
        <v>2.0</v>
      </c>
      <c r="U159" s="549">
        <v>3.0</v>
      </c>
      <c r="V159" s="549">
        <v>3.0</v>
      </c>
      <c r="W159" s="549">
        <v>0.0</v>
      </c>
      <c r="X159" s="548">
        <v>2.0</v>
      </c>
      <c r="Y159" s="548">
        <v>0.0</v>
      </c>
      <c r="Z159" s="548">
        <v>0.0</v>
      </c>
      <c r="AA159" s="549">
        <v>1.0</v>
      </c>
      <c r="AB159" s="549">
        <v>1.0</v>
      </c>
      <c r="AC159" s="549">
        <v>0.0</v>
      </c>
      <c r="AD159" s="549"/>
      <c r="AE159" s="549">
        <v>1.0</v>
      </c>
      <c r="AF159" s="549">
        <v>0.0</v>
      </c>
      <c r="AG159" s="549">
        <v>0.0</v>
      </c>
      <c r="AH159" s="549">
        <v>0.0</v>
      </c>
      <c r="AI159" s="549">
        <v>1.0</v>
      </c>
      <c r="AJ159" s="549">
        <v>3.0</v>
      </c>
      <c r="AK159" s="549">
        <v>1.0</v>
      </c>
      <c r="AL159" s="549">
        <v>0.0</v>
      </c>
      <c r="AM159" s="549">
        <v>0.0</v>
      </c>
      <c r="AN159" s="549">
        <v>1.0</v>
      </c>
      <c r="AO159" s="549">
        <v>3.0</v>
      </c>
      <c r="AP159" s="549">
        <v>0.0</v>
      </c>
      <c r="AQ159" s="549">
        <v>0.0</v>
      </c>
      <c r="AR159" s="549">
        <v>3.0</v>
      </c>
      <c r="AS159" s="549"/>
      <c r="AT159" s="549">
        <v>0.0</v>
      </c>
      <c r="AU159" s="549"/>
      <c r="AV159" s="549"/>
      <c r="AW159" s="549"/>
      <c r="AX159" s="549"/>
      <c r="AY159" s="549"/>
      <c r="AZ159" s="549"/>
      <c r="BA159" s="549">
        <f t="shared" si="7"/>
        <v>42</v>
      </c>
      <c r="BB159" s="549"/>
    </row>
    <row r="160">
      <c r="A160" s="1687" t="s">
        <v>6992</v>
      </c>
      <c r="B160" s="1634" t="s">
        <v>6897</v>
      </c>
      <c r="C160" s="1594" t="s">
        <v>6884</v>
      </c>
      <c r="D160" s="1701">
        <v>1.0</v>
      </c>
      <c r="E160" s="1701">
        <v>1.0</v>
      </c>
      <c r="F160" s="1701">
        <v>0.0</v>
      </c>
      <c r="G160" s="1701">
        <v>0.0</v>
      </c>
      <c r="H160" s="549">
        <v>1.0</v>
      </c>
      <c r="I160" s="1710">
        <v>1.0</v>
      </c>
      <c r="J160" s="1735"/>
      <c r="K160" s="1167">
        <v>0.0</v>
      </c>
      <c r="L160" s="549">
        <v>0.0</v>
      </c>
      <c r="M160" s="1701">
        <v>0.0</v>
      </c>
      <c r="N160" s="549">
        <v>1.0</v>
      </c>
      <c r="O160" s="1710">
        <v>0.0</v>
      </c>
      <c r="P160" s="1167"/>
      <c r="Q160" s="1167">
        <v>0.0</v>
      </c>
      <c r="R160" s="549">
        <v>0.0</v>
      </c>
      <c r="S160" s="549">
        <v>2.0</v>
      </c>
      <c r="T160" s="549">
        <v>0.0</v>
      </c>
      <c r="U160" s="549">
        <v>1.0</v>
      </c>
      <c r="V160" s="549">
        <v>0.0</v>
      </c>
      <c r="W160" s="549">
        <v>1.0</v>
      </c>
      <c r="X160" s="548">
        <v>2.0</v>
      </c>
      <c r="Y160" s="548">
        <v>3.0</v>
      </c>
      <c r="Z160" s="548">
        <v>0.0</v>
      </c>
      <c r="AA160" s="549"/>
      <c r="AB160" s="549">
        <v>0.0</v>
      </c>
      <c r="AC160" s="549">
        <v>0.0</v>
      </c>
      <c r="AD160" s="549"/>
      <c r="AE160" s="549">
        <v>0.0</v>
      </c>
      <c r="AF160" s="549">
        <v>0.0</v>
      </c>
      <c r="AG160" s="549">
        <v>0.0</v>
      </c>
      <c r="AH160" s="549">
        <v>3.0</v>
      </c>
      <c r="AI160" s="549">
        <v>2.0</v>
      </c>
      <c r="AJ160" s="549">
        <v>3.0</v>
      </c>
      <c r="AK160" s="549">
        <v>0.0</v>
      </c>
      <c r="AL160" s="549">
        <v>0.0</v>
      </c>
      <c r="AM160" s="549">
        <v>0.0</v>
      </c>
      <c r="AN160" s="549">
        <v>1.0</v>
      </c>
      <c r="AO160" s="549">
        <v>0.0</v>
      </c>
      <c r="AP160" s="549">
        <v>0.0</v>
      </c>
      <c r="AQ160" s="549">
        <v>0.0</v>
      </c>
      <c r="AR160" s="549">
        <v>3.0</v>
      </c>
      <c r="AS160" s="549"/>
      <c r="AT160" s="549">
        <v>0.0</v>
      </c>
      <c r="AU160" s="549"/>
      <c r="AV160" s="549"/>
      <c r="AW160" s="549"/>
      <c r="AX160" s="549"/>
      <c r="AY160" s="549"/>
      <c r="AZ160" s="549"/>
      <c r="BA160" s="549">
        <f t="shared" si="7"/>
        <v>26</v>
      </c>
      <c r="BB160" s="549"/>
    </row>
    <row r="161">
      <c r="A161" s="1687" t="s">
        <v>6992</v>
      </c>
      <c r="B161" s="1634" t="s">
        <v>6898</v>
      </c>
      <c r="C161" s="1594" t="s">
        <v>6884</v>
      </c>
      <c r="D161" s="1701">
        <v>0.0</v>
      </c>
      <c r="E161" s="1701">
        <v>0.0</v>
      </c>
      <c r="F161" s="1701">
        <v>0.0</v>
      </c>
      <c r="G161" s="1701">
        <v>1.0</v>
      </c>
      <c r="H161" s="549">
        <v>2.0</v>
      </c>
      <c r="I161" s="1710">
        <v>0.0</v>
      </c>
      <c r="J161" s="1710">
        <v>1.0</v>
      </c>
      <c r="K161" s="1167">
        <v>2.0</v>
      </c>
      <c r="L161" s="549">
        <v>0.0</v>
      </c>
      <c r="M161" s="549">
        <v>0.0</v>
      </c>
      <c r="N161" s="549">
        <v>1.0</v>
      </c>
      <c r="O161" s="1710">
        <v>2.0</v>
      </c>
      <c r="P161" s="1167"/>
      <c r="Q161" s="1167">
        <v>0.0</v>
      </c>
      <c r="R161" s="549">
        <v>0.0</v>
      </c>
      <c r="S161" s="549">
        <v>0.0</v>
      </c>
      <c r="T161" s="549">
        <v>1.0</v>
      </c>
      <c r="U161" s="549">
        <v>3.0</v>
      </c>
      <c r="V161" s="549">
        <v>0.0</v>
      </c>
      <c r="W161" s="549">
        <v>0.0</v>
      </c>
      <c r="X161" s="548">
        <v>1.0</v>
      </c>
      <c r="Y161" s="548">
        <v>3.0</v>
      </c>
      <c r="Z161" s="548">
        <v>0.0</v>
      </c>
      <c r="AA161" s="549">
        <v>0.0</v>
      </c>
      <c r="AB161" s="549">
        <v>1.0</v>
      </c>
      <c r="AC161" s="549">
        <v>0.0</v>
      </c>
      <c r="AD161" s="549"/>
      <c r="AE161" s="549">
        <v>1.0</v>
      </c>
      <c r="AF161" s="549">
        <v>0.0</v>
      </c>
      <c r="AG161" s="549">
        <v>0.0</v>
      </c>
      <c r="AH161" s="549">
        <v>2.0</v>
      </c>
      <c r="AI161" s="549">
        <v>2.0</v>
      </c>
      <c r="AJ161" s="549">
        <v>2.0</v>
      </c>
      <c r="AK161" s="549">
        <v>4.0</v>
      </c>
      <c r="AL161" s="549">
        <v>3.0</v>
      </c>
      <c r="AM161" s="549">
        <v>1.0</v>
      </c>
      <c r="AN161" s="549">
        <v>5.0</v>
      </c>
      <c r="AO161" s="549">
        <v>0.0</v>
      </c>
      <c r="AP161" s="549">
        <v>4.0</v>
      </c>
      <c r="AQ161" s="549">
        <v>4.0</v>
      </c>
      <c r="AR161" s="549">
        <v>3.0</v>
      </c>
      <c r="AS161" s="549"/>
      <c r="AT161" s="549">
        <v>0.0</v>
      </c>
      <c r="AU161" s="549"/>
      <c r="AV161" s="549"/>
      <c r="AW161" s="549"/>
      <c r="AX161" s="549"/>
      <c r="AY161" s="549"/>
      <c r="AZ161" s="549"/>
      <c r="BA161" s="549">
        <f t="shared" si="7"/>
        <v>49</v>
      </c>
      <c r="BB161" s="549"/>
    </row>
    <row r="162">
      <c r="A162" s="1687" t="s">
        <v>6992</v>
      </c>
      <c r="B162" s="1634" t="s">
        <v>6899</v>
      </c>
      <c r="C162" s="1594" t="s">
        <v>6884</v>
      </c>
      <c r="D162" s="1701">
        <v>0.0</v>
      </c>
      <c r="E162" s="1701">
        <v>0.0</v>
      </c>
      <c r="F162" s="1701">
        <v>2.0</v>
      </c>
      <c r="G162" s="1701">
        <v>0.0</v>
      </c>
      <c r="H162" s="549">
        <v>0.0</v>
      </c>
      <c r="I162" s="1710">
        <v>2.0</v>
      </c>
      <c r="J162" s="1710">
        <v>1.0</v>
      </c>
      <c r="K162" s="1167">
        <v>1.0</v>
      </c>
      <c r="L162" s="549">
        <v>0.0</v>
      </c>
      <c r="M162" s="549">
        <v>0.0</v>
      </c>
      <c r="N162" s="549">
        <v>0.0</v>
      </c>
      <c r="O162" s="1710">
        <v>2.0</v>
      </c>
      <c r="P162" s="1167"/>
      <c r="Q162" s="1167">
        <v>4.0</v>
      </c>
      <c r="R162" s="549">
        <v>2.0</v>
      </c>
      <c r="S162" s="549">
        <v>2.0</v>
      </c>
      <c r="T162" s="549">
        <v>1.0</v>
      </c>
      <c r="U162" s="549">
        <v>2.0</v>
      </c>
      <c r="V162" s="549">
        <v>1.0</v>
      </c>
      <c r="W162" s="1701">
        <v>1.0</v>
      </c>
      <c r="X162" s="548">
        <v>0.0</v>
      </c>
      <c r="Y162" s="548">
        <v>0.0</v>
      </c>
      <c r="Z162" s="548">
        <v>5.0</v>
      </c>
      <c r="AA162" s="1701">
        <v>0.0</v>
      </c>
      <c r="AB162" s="1701">
        <v>1.0</v>
      </c>
      <c r="AC162" s="1701">
        <v>2.0</v>
      </c>
      <c r="AD162" s="1701"/>
      <c r="AE162" s="1701">
        <v>0.0</v>
      </c>
      <c r="AF162" s="1701">
        <v>0.0</v>
      </c>
      <c r="AG162" s="1701">
        <v>0.0</v>
      </c>
      <c r="AH162" s="1701">
        <v>3.0</v>
      </c>
      <c r="AI162" s="1701">
        <v>1.0</v>
      </c>
      <c r="AJ162" s="1701">
        <v>2.0</v>
      </c>
      <c r="AK162" s="1701">
        <v>0.0</v>
      </c>
      <c r="AL162" s="1701">
        <v>0.0</v>
      </c>
      <c r="AM162" s="1701">
        <v>4.0</v>
      </c>
      <c r="AN162" s="549">
        <v>0.0</v>
      </c>
      <c r="AO162" s="549">
        <v>1.0</v>
      </c>
      <c r="AP162" s="549">
        <v>0.0</v>
      </c>
      <c r="AQ162" s="549">
        <v>0.0</v>
      </c>
      <c r="AR162" s="549">
        <v>4.0</v>
      </c>
      <c r="AS162" s="549"/>
      <c r="AT162" s="549">
        <v>0.0</v>
      </c>
      <c r="AU162" s="549"/>
      <c r="AV162" s="549"/>
      <c r="AW162" s="549"/>
      <c r="AX162" s="549"/>
      <c r="AY162" s="549"/>
      <c r="AZ162" s="549"/>
      <c r="BA162" s="549">
        <f t="shared" si="7"/>
        <v>44</v>
      </c>
      <c r="BB162" s="549"/>
    </row>
    <row r="163">
      <c r="A163" s="1687" t="s">
        <v>6992</v>
      </c>
      <c r="B163" s="1634" t="s">
        <v>6900</v>
      </c>
      <c r="C163" s="1594" t="s">
        <v>6884</v>
      </c>
      <c r="D163" s="1701">
        <v>0.0</v>
      </c>
      <c r="E163" s="1701">
        <v>1.0</v>
      </c>
      <c r="F163" s="1701">
        <v>0.0</v>
      </c>
      <c r="G163" s="1701">
        <v>2.0</v>
      </c>
      <c r="H163" s="549">
        <v>0.0</v>
      </c>
      <c r="I163" s="1710">
        <v>0.0</v>
      </c>
      <c r="J163" s="1735"/>
      <c r="K163" s="1167">
        <v>1.0</v>
      </c>
      <c r="L163" s="549">
        <v>1.0</v>
      </c>
      <c r="M163" s="549">
        <v>0.0</v>
      </c>
      <c r="N163" s="549">
        <v>0.0</v>
      </c>
      <c r="O163" s="1710">
        <v>2.0</v>
      </c>
      <c r="P163" s="1167"/>
      <c r="Q163" s="1167">
        <v>2.0</v>
      </c>
      <c r="R163" s="549">
        <v>0.0</v>
      </c>
      <c r="S163" s="549">
        <v>0.0</v>
      </c>
      <c r="T163" s="549">
        <v>1.0</v>
      </c>
      <c r="U163" s="549">
        <v>0.0</v>
      </c>
      <c r="V163" s="549">
        <v>0.0</v>
      </c>
      <c r="W163" s="1701">
        <v>0.0</v>
      </c>
      <c r="X163" s="548">
        <v>0.0</v>
      </c>
      <c r="Y163" s="548">
        <v>0.0</v>
      </c>
      <c r="Z163" s="548">
        <v>0.0</v>
      </c>
      <c r="AA163" s="1701">
        <v>1.0</v>
      </c>
      <c r="AB163" s="1701">
        <v>0.0</v>
      </c>
      <c r="AC163" s="1701">
        <v>0.0</v>
      </c>
      <c r="AD163" s="1701"/>
      <c r="AE163" s="1701">
        <v>1.0</v>
      </c>
      <c r="AF163" s="1701">
        <v>1.0</v>
      </c>
      <c r="AG163" s="1701">
        <v>0.0</v>
      </c>
      <c r="AH163" s="1701">
        <v>0.0</v>
      </c>
      <c r="AI163" s="1701">
        <v>0.0</v>
      </c>
      <c r="AJ163" s="1701">
        <v>0.0</v>
      </c>
      <c r="AK163" s="1701">
        <v>0.0</v>
      </c>
      <c r="AL163" s="1701">
        <v>0.0</v>
      </c>
      <c r="AM163" s="1701">
        <v>3.0</v>
      </c>
      <c r="AN163" s="549">
        <v>1.0</v>
      </c>
      <c r="AO163" s="549">
        <v>1.0</v>
      </c>
      <c r="AP163" s="549">
        <v>0.0</v>
      </c>
      <c r="AQ163" s="549">
        <v>0.0</v>
      </c>
      <c r="AR163" s="549">
        <v>3.0</v>
      </c>
      <c r="AS163" s="549"/>
      <c r="AT163" s="549">
        <v>0.0</v>
      </c>
      <c r="AU163" s="549"/>
      <c r="AV163" s="549"/>
      <c r="AW163" s="549"/>
      <c r="AX163" s="549"/>
      <c r="AY163" s="549"/>
      <c r="AZ163" s="549"/>
      <c r="BA163" s="549">
        <f t="shared" si="7"/>
        <v>21</v>
      </c>
      <c r="BB163" s="549"/>
    </row>
    <row r="164">
      <c r="A164" s="1687" t="s">
        <v>6992</v>
      </c>
      <c r="B164" s="1634" t="s">
        <v>6901</v>
      </c>
      <c r="C164" s="1594" t="s">
        <v>6884</v>
      </c>
      <c r="D164" s="1701">
        <v>0.0</v>
      </c>
      <c r="E164" s="1701">
        <v>2.0</v>
      </c>
      <c r="F164" s="1701">
        <v>1.0</v>
      </c>
      <c r="G164" s="1701">
        <v>0.0</v>
      </c>
      <c r="H164" s="549">
        <v>2.0</v>
      </c>
      <c r="I164" s="1710">
        <v>1.0</v>
      </c>
      <c r="J164" s="1735"/>
      <c r="K164" s="1167">
        <v>2.0</v>
      </c>
      <c r="L164" s="549">
        <v>0.0</v>
      </c>
      <c r="M164" s="549">
        <v>0.0</v>
      </c>
      <c r="N164" s="549">
        <v>1.0</v>
      </c>
      <c r="O164" s="1710">
        <v>1.0</v>
      </c>
      <c r="P164" s="1167"/>
      <c r="Q164" s="1167">
        <v>0.0</v>
      </c>
      <c r="R164" s="549">
        <v>0.0</v>
      </c>
      <c r="S164" s="549">
        <v>1.0</v>
      </c>
      <c r="T164" s="549">
        <v>1.0</v>
      </c>
      <c r="U164" s="549">
        <v>1.0</v>
      </c>
      <c r="V164" s="549">
        <v>0.0</v>
      </c>
      <c r="W164" s="1701">
        <v>1.0</v>
      </c>
      <c r="X164" s="548">
        <v>1.0</v>
      </c>
      <c r="Y164" s="548">
        <v>1.0</v>
      </c>
      <c r="Z164" s="548">
        <v>2.0</v>
      </c>
      <c r="AA164" s="1701">
        <v>5.0</v>
      </c>
      <c r="AB164" s="1701">
        <v>2.0</v>
      </c>
      <c r="AC164" s="1701">
        <v>0.0</v>
      </c>
      <c r="AD164" s="1701"/>
      <c r="AE164" s="1701">
        <v>1.0</v>
      </c>
      <c r="AF164" s="1701">
        <v>1.0</v>
      </c>
      <c r="AG164" s="1701">
        <v>0.0</v>
      </c>
      <c r="AH164" s="1701">
        <v>0.0</v>
      </c>
      <c r="AI164" s="1701">
        <v>2.0</v>
      </c>
      <c r="AJ164" s="1701">
        <v>0.0</v>
      </c>
      <c r="AK164" s="1701">
        <v>2.0</v>
      </c>
      <c r="AL164" s="1701">
        <v>0.0</v>
      </c>
      <c r="AM164" s="1701">
        <v>0.0</v>
      </c>
      <c r="AN164" s="549">
        <v>1.0</v>
      </c>
      <c r="AO164" s="549">
        <v>1.0</v>
      </c>
      <c r="AP164" s="549">
        <v>0.0</v>
      </c>
      <c r="AQ164" s="549">
        <v>0.0</v>
      </c>
      <c r="AR164" s="549">
        <v>3.0</v>
      </c>
      <c r="AS164" s="549"/>
      <c r="AT164" s="549">
        <v>0.0</v>
      </c>
      <c r="AU164" s="549"/>
      <c r="AV164" s="549"/>
      <c r="AW164" s="549"/>
      <c r="AX164" s="549"/>
      <c r="AY164" s="549"/>
      <c r="AZ164" s="549"/>
      <c r="BA164" s="549">
        <f t="shared" si="7"/>
        <v>36</v>
      </c>
      <c r="BB164" s="549"/>
    </row>
    <row r="165">
      <c r="A165" s="1687" t="s">
        <v>6992</v>
      </c>
      <c r="B165" s="1590" t="s">
        <v>6903</v>
      </c>
      <c r="C165" s="1594" t="s">
        <v>6884</v>
      </c>
      <c r="D165" s="1701">
        <v>2.0</v>
      </c>
      <c r="E165" s="1701">
        <v>0.0</v>
      </c>
      <c r="F165" s="1701">
        <v>0.0</v>
      </c>
      <c r="G165" s="1701">
        <v>0.0</v>
      </c>
      <c r="H165" s="549">
        <v>1.0</v>
      </c>
      <c r="I165" s="1710">
        <v>3.0</v>
      </c>
      <c r="J165" s="1710">
        <v>4.0</v>
      </c>
      <c r="K165" s="1167">
        <v>0.0</v>
      </c>
      <c r="L165" s="549">
        <v>0.0</v>
      </c>
      <c r="M165" s="549">
        <v>1.0</v>
      </c>
      <c r="N165" s="1167"/>
      <c r="O165" s="1710">
        <v>1.0</v>
      </c>
      <c r="P165" s="1167"/>
      <c r="Q165" s="1167">
        <v>1.0</v>
      </c>
      <c r="R165" s="549">
        <v>2.0</v>
      </c>
      <c r="S165" s="549">
        <v>1.0</v>
      </c>
      <c r="T165" s="549">
        <v>3.0</v>
      </c>
      <c r="U165" s="549">
        <v>1.0</v>
      </c>
      <c r="V165" s="549">
        <v>2.0</v>
      </c>
      <c r="W165" s="1701">
        <v>1.0</v>
      </c>
      <c r="X165" s="548">
        <v>3.0</v>
      </c>
      <c r="Y165" s="548">
        <v>2.0</v>
      </c>
      <c r="Z165" s="548">
        <v>3.0</v>
      </c>
      <c r="AA165" s="1701">
        <v>0.0</v>
      </c>
      <c r="AB165" s="1701">
        <v>3.0</v>
      </c>
      <c r="AC165" s="1701">
        <v>4.0</v>
      </c>
      <c r="AD165" s="1701"/>
      <c r="AE165" s="1701">
        <v>2.0</v>
      </c>
      <c r="AF165" s="1701">
        <v>1.0</v>
      </c>
      <c r="AG165" s="1701">
        <v>0.0</v>
      </c>
      <c r="AH165" s="1701">
        <v>2.0</v>
      </c>
      <c r="AI165" s="1701">
        <v>2.0</v>
      </c>
      <c r="AJ165" s="1701">
        <v>1.0</v>
      </c>
      <c r="AK165" s="1701">
        <v>5.0</v>
      </c>
      <c r="AL165" s="1701">
        <v>2.0</v>
      </c>
      <c r="AM165" s="1701">
        <v>2.0</v>
      </c>
      <c r="AN165" s="549">
        <v>0.0</v>
      </c>
      <c r="AO165" s="549">
        <v>4.0</v>
      </c>
      <c r="AP165" s="549">
        <v>0.0</v>
      </c>
      <c r="AQ165" s="549">
        <v>3.0</v>
      </c>
      <c r="AR165" s="549">
        <v>3.0</v>
      </c>
      <c r="AS165" s="549"/>
      <c r="AT165" s="549">
        <v>0.0</v>
      </c>
      <c r="AU165" s="549"/>
      <c r="AV165" s="549"/>
      <c r="AW165" s="549"/>
      <c r="AX165" s="549"/>
      <c r="AY165" s="549"/>
      <c r="AZ165" s="549"/>
      <c r="BA165" s="549">
        <f t="shared" si="7"/>
        <v>65</v>
      </c>
      <c r="BB165" s="549"/>
    </row>
    <row r="166">
      <c r="A166" s="1687" t="s">
        <v>6992</v>
      </c>
      <c r="B166" s="1590" t="s">
        <v>6907</v>
      </c>
      <c r="C166" s="1594" t="s">
        <v>6884</v>
      </c>
      <c r="D166" s="1701">
        <v>0.0</v>
      </c>
      <c r="E166" s="1701">
        <v>1.0</v>
      </c>
      <c r="F166" s="1701">
        <v>1.0</v>
      </c>
      <c r="G166" s="1701">
        <v>0.0</v>
      </c>
      <c r="H166" s="549">
        <v>1.0</v>
      </c>
      <c r="I166" s="1710">
        <v>0.0</v>
      </c>
      <c r="J166" s="1710">
        <v>1.0</v>
      </c>
      <c r="K166" s="549">
        <v>2.0</v>
      </c>
      <c r="L166" s="549">
        <v>1.0</v>
      </c>
      <c r="M166" s="549">
        <v>1.0</v>
      </c>
      <c r="N166" s="549">
        <v>2.0</v>
      </c>
      <c r="O166" s="1710">
        <v>1.0</v>
      </c>
      <c r="P166" s="1167"/>
      <c r="Q166" s="1167"/>
      <c r="R166" s="549">
        <v>0.0</v>
      </c>
      <c r="S166" s="549">
        <v>0.0</v>
      </c>
      <c r="T166" s="549">
        <v>1.0</v>
      </c>
      <c r="U166" s="549">
        <v>1.0</v>
      </c>
      <c r="V166" s="549">
        <v>2.0</v>
      </c>
      <c r="W166" s="1701">
        <v>0.0</v>
      </c>
      <c r="X166" s="548">
        <v>1.0</v>
      </c>
      <c r="Y166" s="548">
        <v>2.0</v>
      </c>
      <c r="Z166" s="548">
        <v>1.0</v>
      </c>
      <c r="AA166" s="1701">
        <v>0.0</v>
      </c>
      <c r="AB166" s="1701">
        <v>0.0</v>
      </c>
      <c r="AC166" s="1701">
        <v>1.0</v>
      </c>
      <c r="AD166" s="1701"/>
      <c r="AE166" s="1701">
        <v>2.0</v>
      </c>
      <c r="AF166" s="1701">
        <v>1.0</v>
      </c>
      <c r="AG166" s="1701">
        <v>0.0</v>
      </c>
      <c r="AH166" s="1701">
        <v>1.0</v>
      </c>
      <c r="AI166" s="1701">
        <v>4.0</v>
      </c>
      <c r="AJ166" s="1701">
        <v>0.0</v>
      </c>
      <c r="AK166" s="1701">
        <v>0.0</v>
      </c>
      <c r="AL166" s="1701">
        <v>2.0</v>
      </c>
      <c r="AM166" s="1701">
        <v>1.0</v>
      </c>
      <c r="AN166" s="549">
        <v>4.0</v>
      </c>
      <c r="AO166" s="549">
        <v>1.0</v>
      </c>
      <c r="AP166" s="549">
        <v>0.0</v>
      </c>
      <c r="AQ166" s="549">
        <v>3.0</v>
      </c>
      <c r="AR166" s="549">
        <v>4.0</v>
      </c>
      <c r="AS166" s="549"/>
      <c r="AT166" s="549">
        <v>0.0</v>
      </c>
      <c r="AU166" s="549"/>
      <c r="AV166" s="549"/>
      <c r="AW166" s="549"/>
      <c r="AX166" s="549"/>
      <c r="AY166" s="549"/>
      <c r="AZ166" s="549"/>
      <c r="BA166" s="549">
        <f t="shared" si="7"/>
        <v>43</v>
      </c>
      <c r="BB166" s="549"/>
    </row>
    <row r="167">
      <c r="A167" s="1687" t="s">
        <v>6992</v>
      </c>
      <c r="B167" s="1590" t="s">
        <v>6908</v>
      </c>
      <c r="C167" s="1594" t="s">
        <v>6884</v>
      </c>
      <c r="D167" s="1701">
        <v>0.0</v>
      </c>
      <c r="E167" s="1701">
        <v>0.0</v>
      </c>
      <c r="F167" s="1701">
        <v>1.0</v>
      </c>
      <c r="G167" s="1701">
        <v>0.0</v>
      </c>
      <c r="H167" s="549">
        <v>2.0</v>
      </c>
      <c r="I167" s="1710">
        <v>3.0</v>
      </c>
      <c r="J167" s="1710">
        <v>4.0</v>
      </c>
      <c r="K167" s="549">
        <v>0.0</v>
      </c>
      <c r="L167" s="549">
        <v>1.0</v>
      </c>
      <c r="M167" s="549">
        <v>0.0</v>
      </c>
      <c r="N167" s="1167"/>
      <c r="O167" s="1710">
        <v>0.0</v>
      </c>
      <c r="P167" s="1167"/>
      <c r="Q167" s="1167"/>
      <c r="R167" s="549">
        <v>0.0</v>
      </c>
      <c r="S167" s="549">
        <v>3.0</v>
      </c>
      <c r="T167" s="549">
        <v>3.0</v>
      </c>
      <c r="U167" s="549">
        <v>0.0</v>
      </c>
      <c r="V167" s="549">
        <v>0.0</v>
      </c>
      <c r="W167" s="1701">
        <v>0.0</v>
      </c>
      <c r="X167" s="548">
        <v>2.0</v>
      </c>
      <c r="Y167" s="548">
        <v>1.0</v>
      </c>
      <c r="Z167" s="548">
        <v>2.0</v>
      </c>
      <c r="AA167" s="1701">
        <v>0.0</v>
      </c>
      <c r="AB167" s="1701">
        <v>0.0</v>
      </c>
      <c r="AC167" s="1701">
        <v>3.0</v>
      </c>
      <c r="AD167" s="1701"/>
      <c r="AE167" s="1701">
        <v>1.0</v>
      </c>
      <c r="AF167" s="1701">
        <v>0.0</v>
      </c>
      <c r="AG167" s="1701">
        <v>0.0</v>
      </c>
      <c r="AH167" s="1701">
        <v>0.0</v>
      </c>
      <c r="AI167" s="1701">
        <v>3.0</v>
      </c>
      <c r="AJ167" s="1701">
        <v>2.0</v>
      </c>
      <c r="AK167" s="1701">
        <v>3.0</v>
      </c>
      <c r="AL167" s="1701">
        <v>3.0</v>
      </c>
      <c r="AM167" s="1701">
        <v>0.0</v>
      </c>
      <c r="AN167" s="549">
        <v>3.0</v>
      </c>
      <c r="AO167" s="549">
        <v>1.0</v>
      </c>
      <c r="AP167" s="549">
        <v>0.0</v>
      </c>
      <c r="AQ167" s="549">
        <v>0.0</v>
      </c>
      <c r="AR167" s="549">
        <v>0.0</v>
      </c>
      <c r="AS167" s="549"/>
      <c r="AT167" s="549">
        <v>0.0</v>
      </c>
      <c r="AU167" s="549"/>
      <c r="AV167" s="549"/>
      <c r="AW167" s="549"/>
      <c r="AX167" s="549"/>
      <c r="AY167" s="549"/>
      <c r="AZ167" s="549"/>
      <c r="BA167" s="549">
        <f t="shared" si="7"/>
        <v>41</v>
      </c>
      <c r="BB167" s="549"/>
    </row>
    <row r="168">
      <c r="A168" s="1687" t="s">
        <v>6992</v>
      </c>
      <c r="B168" s="1590" t="s">
        <v>6909</v>
      </c>
      <c r="C168" s="1594" t="s">
        <v>6884</v>
      </c>
      <c r="D168" s="1701">
        <v>0.0</v>
      </c>
      <c r="E168" s="1701">
        <v>0.0</v>
      </c>
      <c r="F168" s="1701">
        <v>0.0</v>
      </c>
      <c r="G168" s="1701">
        <v>0.0</v>
      </c>
      <c r="H168" s="549">
        <v>3.0</v>
      </c>
      <c r="I168" s="1710">
        <v>3.0</v>
      </c>
      <c r="J168" s="1710">
        <v>1.0</v>
      </c>
      <c r="K168" s="1708">
        <v>0.0</v>
      </c>
      <c r="L168" s="549">
        <v>0.0</v>
      </c>
      <c r="M168" s="549">
        <v>0.0</v>
      </c>
      <c r="N168" s="1167"/>
      <c r="O168" s="1710">
        <v>1.0</v>
      </c>
      <c r="P168" s="1167"/>
      <c r="Q168" s="1167"/>
      <c r="R168" s="549">
        <v>0.0</v>
      </c>
      <c r="S168" s="549">
        <v>2.0</v>
      </c>
      <c r="T168" s="549">
        <v>1.0</v>
      </c>
      <c r="U168" s="549">
        <v>0.0</v>
      </c>
      <c r="V168" s="549">
        <v>2.0</v>
      </c>
      <c r="W168" s="1701">
        <v>1.0</v>
      </c>
      <c r="X168" s="548">
        <v>0.0</v>
      </c>
      <c r="Y168" s="548">
        <v>0.0</v>
      </c>
      <c r="Z168" s="548">
        <v>0.0</v>
      </c>
      <c r="AA168" s="1701">
        <v>0.0</v>
      </c>
      <c r="AB168" s="1701">
        <v>0.0</v>
      </c>
      <c r="AC168" s="1701">
        <v>1.0</v>
      </c>
      <c r="AD168" s="1701"/>
      <c r="AE168" s="1701">
        <v>0.0</v>
      </c>
      <c r="AF168" s="1701">
        <v>0.0</v>
      </c>
      <c r="AG168" s="1701">
        <v>0.0</v>
      </c>
      <c r="AH168" s="1701">
        <v>0.0</v>
      </c>
      <c r="AI168" s="1701">
        <v>1.0</v>
      </c>
      <c r="AJ168" s="1701">
        <v>1.0</v>
      </c>
      <c r="AK168" s="1701">
        <v>1.0</v>
      </c>
      <c r="AL168" s="1701">
        <v>0.0</v>
      </c>
      <c r="AM168" s="1701">
        <v>1.0</v>
      </c>
      <c r="AN168" s="549">
        <v>2.0</v>
      </c>
      <c r="AO168" s="549">
        <v>0.0</v>
      </c>
      <c r="AP168" s="549">
        <v>0.0</v>
      </c>
      <c r="AQ168" s="549">
        <v>0.0</v>
      </c>
      <c r="AR168" s="549">
        <v>0.0</v>
      </c>
      <c r="AS168" s="549"/>
      <c r="AT168" s="549">
        <v>0.0</v>
      </c>
      <c r="AU168" s="549"/>
      <c r="AV168" s="549"/>
      <c r="AW168" s="549"/>
      <c r="AX168" s="549"/>
      <c r="AY168" s="549"/>
      <c r="AZ168" s="549"/>
      <c r="BA168" s="549">
        <f t="shared" si="7"/>
        <v>21</v>
      </c>
      <c r="BB168" s="549"/>
    </row>
    <row r="169">
      <c r="A169" s="1714" t="s">
        <v>6992</v>
      </c>
      <c r="B169" s="1715" t="s">
        <v>6913</v>
      </c>
      <c r="C169" s="1731" t="s">
        <v>6884</v>
      </c>
      <c r="D169" s="1732">
        <v>1.0</v>
      </c>
      <c r="E169" s="1732">
        <v>3.0</v>
      </c>
      <c r="F169" s="1732">
        <v>7.0</v>
      </c>
      <c r="G169" s="1732">
        <v>2.0</v>
      </c>
      <c r="H169" s="1721">
        <v>12.0</v>
      </c>
      <c r="I169" s="1732">
        <v>9.0</v>
      </c>
      <c r="J169" s="1732">
        <v>2.0</v>
      </c>
      <c r="K169" s="1736">
        <v>8.0</v>
      </c>
      <c r="L169" s="1721">
        <v>2.0</v>
      </c>
      <c r="M169" s="1721">
        <v>1.0</v>
      </c>
      <c r="N169" s="1721">
        <v>4.0</v>
      </c>
      <c r="O169" s="1722">
        <v>16.0</v>
      </c>
      <c r="P169" s="1721">
        <v>11.0</v>
      </c>
      <c r="Q169" s="1722"/>
      <c r="R169" s="1721">
        <v>6.0</v>
      </c>
      <c r="S169" s="1721">
        <v>4.0</v>
      </c>
      <c r="T169" s="1721">
        <v>6.0</v>
      </c>
      <c r="U169" s="1721">
        <v>11.0</v>
      </c>
      <c r="V169" s="1721">
        <v>8.0</v>
      </c>
      <c r="W169" s="1701">
        <v>5.0</v>
      </c>
      <c r="X169" s="548">
        <v>6.0</v>
      </c>
      <c r="Y169" s="548">
        <v>10.0</v>
      </c>
      <c r="Z169" s="548">
        <v>8.0</v>
      </c>
      <c r="AA169" s="1701">
        <v>0.0</v>
      </c>
      <c r="AB169" s="1701">
        <v>4.0</v>
      </c>
      <c r="AC169" s="1701">
        <v>11.0</v>
      </c>
      <c r="AD169" s="1701"/>
      <c r="AE169" s="1701">
        <v>13.0</v>
      </c>
      <c r="AF169" s="1701">
        <v>5.0</v>
      </c>
      <c r="AG169" s="1701">
        <v>2.0</v>
      </c>
      <c r="AH169" s="1701">
        <v>5.0</v>
      </c>
      <c r="AI169" s="1701">
        <v>25.0</v>
      </c>
      <c r="AJ169" s="1701">
        <v>7.0</v>
      </c>
      <c r="AK169" s="1701">
        <v>6.0</v>
      </c>
      <c r="AL169" s="1701">
        <v>8.0</v>
      </c>
      <c r="AM169" s="1701">
        <v>10.0</v>
      </c>
      <c r="AN169" s="1723">
        <v>18.0</v>
      </c>
      <c r="AO169" s="1723">
        <v>20.0</v>
      </c>
      <c r="AP169" s="1723">
        <v>0.0</v>
      </c>
      <c r="AQ169" s="1723">
        <v>20.0</v>
      </c>
      <c r="AR169" s="1723">
        <v>20.0</v>
      </c>
      <c r="AS169" s="1723"/>
      <c r="AT169" s="1723">
        <v>0.0</v>
      </c>
      <c r="AU169" s="1723"/>
      <c r="AV169" s="1723"/>
      <c r="AW169" s="1723"/>
      <c r="AX169" s="1723"/>
      <c r="AY169" s="1723"/>
      <c r="AZ169" s="1723"/>
      <c r="BA169" s="549">
        <f t="shared" si="7"/>
        <v>316</v>
      </c>
      <c r="BB169" s="1723" t="s">
        <v>6990</v>
      </c>
    </row>
    <row r="170">
      <c r="A170" s="1714" t="s">
        <v>6992</v>
      </c>
      <c r="B170" s="1715" t="s">
        <v>6914</v>
      </c>
      <c r="C170" s="1731" t="s">
        <v>6884</v>
      </c>
      <c r="D170" s="1732">
        <v>3.0</v>
      </c>
      <c r="E170" s="1732">
        <v>5.0</v>
      </c>
      <c r="F170" s="1732">
        <v>6.0</v>
      </c>
      <c r="G170" s="1732">
        <v>5.0</v>
      </c>
      <c r="H170" s="1721">
        <v>8.0</v>
      </c>
      <c r="I170" s="1732">
        <v>5.0</v>
      </c>
      <c r="J170" s="1732">
        <v>10.0</v>
      </c>
      <c r="K170" s="1737">
        <v>5.0</v>
      </c>
      <c r="L170" s="1721">
        <v>8.0</v>
      </c>
      <c r="M170" s="1721">
        <v>3.0</v>
      </c>
      <c r="N170" s="1721">
        <v>4.0</v>
      </c>
      <c r="O170" s="1722">
        <v>7.0</v>
      </c>
      <c r="P170" s="1721">
        <v>13.0</v>
      </c>
      <c r="Q170" s="1722"/>
      <c r="R170" s="1721">
        <v>7.0</v>
      </c>
      <c r="S170" s="1721">
        <v>9.0</v>
      </c>
      <c r="T170" s="1721">
        <v>9.0</v>
      </c>
      <c r="U170" s="1721">
        <v>9.0</v>
      </c>
      <c r="V170" s="1721">
        <v>18.0</v>
      </c>
      <c r="W170" s="1701">
        <v>4.0</v>
      </c>
      <c r="X170" s="548">
        <v>2.0</v>
      </c>
      <c r="Y170" s="548">
        <v>7.0</v>
      </c>
      <c r="Z170" s="548">
        <v>5.0</v>
      </c>
      <c r="AA170" s="1701">
        <v>6.0</v>
      </c>
      <c r="AB170" s="1701">
        <v>4.0</v>
      </c>
      <c r="AC170" s="1701">
        <v>8.0</v>
      </c>
      <c r="AD170" s="1701"/>
      <c r="AE170" s="1701">
        <v>5.0</v>
      </c>
      <c r="AF170" s="1701">
        <v>10.0</v>
      </c>
      <c r="AG170" s="1701">
        <v>0.0</v>
      </c>
      <c r="AH170" s="1701">
        <v>7.0</v>
      </c>
      <c r="AI170" s="1701">
        <v>10.0</v>
      </c>
      <c r="AJ170" s="1701">
        <v>9.0</v>
      </c>
      <c r="AK170" s="1701">
        <v>3.0</v>
      </c>
      <c r="AL170" s="1701">
        <v>7.0</v>
      </c>
      <c r="AM170" s="1701">
        <v>6.0</v>
      </c>
      <c r="AN170" s="1723">
        <v>11.0</v>
      </c>
      <c r="AO170" s="1723">
        <v>5.0</v>
      </c>
      <c r="AP170" s="1723">
        <v>20.0</v>
      </c>
      <c r="AQ170" s="1723">
        <v>0.0</v>
      </c>
      <c r="AR170" s="1723">
        <v>0.0</v>
      </c>
      <c r="AS170" s="1723">
        <v>20.0</v>
      </c>
      <c r="AT170" s="1723">
        <v>20.0</v>
      </c>
      <c r="AU170" s="1723"/>
      <c r="AV170" s="1723"/>
      <c r="AW170" s="1723"/>
      <c r="AX170" s="1723"/>
      <c r="AY170" s="1723"/>
      <c r="AZ170" s="1723"/>
      <c r="BA170" s="549">
        <f t="shared" si="7"/>
        <v>303</v>
      </c>
      <c r="BB170" s="1723" t="s">
        <v>6990</v>
      </c>
    </row>
    <row r="171">
      <c r="A171" s="1714" t="s">
        <v>6992</v>
      </c>
      <c r="B171" s="1715" t="s">
        <v>6915</v>
      </c>
      <c r="C171" s="1731" t="s">
        <v>6884</v>
      </c>
      <c r="D171" s="1732">
        <v>3.0</v>
      </c>
      <c r="E171" s="1732">
        <v>5.0</v>
      </c>
      <c r="F171" s="1732">
        <v>4.0</v>
      </c>
      <c r="G171" s="1732">
        <v>4.0</v>
      </c>
      <c r="H171" s="1721">
        <v>0.0</v>
      </c>
      <c r="I171" s="1732">
        <v>1.0</v>
      </c>
      <c r="J171" s="1734"/>
      <c r="K171" s="1734">
        <v>5.0</v>
      </c>
      <c r="L171" s="1721">
        <v>0.0</v>
      </c>
      <c r="M171" s="1721">
        <v>2.0</v>
      </c>
      <c r="N171" s="1721">
        <v>1.0</v>
      </c>
      <c r="O171" s="1722">
        <v>2.0</v>
      </c>
      <c r="P171" s="1721">
        <v>8.0</v>
      </c>
      <c r="Q171" s="1722"/>
      <c r="R171" s="1721">
        <v>4.0</v>
      </c>
      <c r="S171" s="1721">
        <v>10.0</v>
      </c>
      <c r="T171" s="1721">
        <v>7.0</v>
      </c>
      <c r="U171" s="1721">
        <v>8.0</v>
      </c>
      <c r="V171" s="1721">
        <v>7.0</v>
      </c>
      <c r="W171" s="1701">
        <v>6.0</v>
      </c>
      <c r="X171" s="548">
        <v>3.0</v>
      </c>
      <c r="Y171" s="548">
        <v>4.0</v>
      </c>
      <c r="Z171" s="548">
        <v>10.0</v>
      </c>
      <c r="AA171" s="1701">
        <v>9.0</v>
      </c>
      <c r="AB171" s="1701">
        <v>5.0</v>
      </c>
      <c r="AC171" s="1701">
        <v>2.0</v>
      </c>
      <c r="AD171" s="1701"/>
      <c r="AE171" s="1701">
        <v>5.0</v>
      </c>
      <c r="AF171" s="1701">
        <v>2.0</v>
      </c>
      <c r="AG171" s="1701">
        <v>0.0</v>
      </c>
      <c r="AH171" s="1701">
        <v>8.0</v>
      </c>
      <c r="AI171" s="1701">
        <v>2.0</v>
      </c>
      <c r="AJ171" s="1701">
        <v>4.0</v>
      </c>
      <c r="AK171" s="1701">
        <v>7.0</v>
      </c>
      <c r="AL171" s="1701">
        <v>6.0</v>
      </c>
      <c r="AM171" s="1701">
        <v>2.0</v>
      </c>
      <c r="AN171" s="1723">
        <v>5.0</v>
      </c>
      <c r="AO171" s="1723">
        <v>5.0</v>
      </c>
      <c r="AP171" s="1723">
        <v>0.0</v>
      </c>
      <c r="AQ171" s="1723">
        <v>3.0</v>
      </c>
      <c r="AR171" s="1723">
        <v>0.0</v>
      </c>
      <c r="AS171" s="1723"/>
      <c r="AT171" s="1723">
        <v>6.0</v>
      </c>
      <c r="AU171" s="1723"/>
      <c r="AV171" s="1723"/>
      <c r="AW171" s="1723"/>
      <c r="AX171" s="1723"/>
      <c r="AY171" s="1723"/>
      <c r="AZ171" s="1723"/>
      <c r="BA171" s="549">
        <f t="shared" si="7"/>
        <v>165</v>
      </c>
      <c r="BB171" s="1723" t="s">
        <v>6989</v>
      </c>
    </row>
    <row r="172">
      <c r="A172" s="1724"/>
      <c r="B172" s="1550"/>
      <c r="C172" s="1550"/>
      <c r="D172" s="1725"/>
      <c r="E172" s="1725"/>
      <c r="F172" s="1725"/>
      <c r="G172" s="1725"/>
      <c r="H172" s="1167"/>
      <c r="I172" s="1725"/>
      <c r="J172" s="1725"/>
      <c r="K172" s="1708"/>
      <c r="L172" s="1725"/>
      <c r="M172" s="1725"/>
      <c r="N172" s="1725"/>
      <c r="O172" s="1725"/>
      <c r="P172" s="1725"/>
      <c r="Q172" s="1725"/>
      <c r="R172" s="1725"/>
      <c r="S172" s="1701"/>
      <c r="T172" s="1725"/>
      <c r="U172" s="1725"/>
      <c r="V172" s="1725"/>
      <c r="W172" s="1725"/>
      <c r="X172" s="280"/>
      <c r="Y172" s="280"/>
      <c r="Z172" s="280"/>
      <c r="AA172" s="1725"/>
      <c r="AB172" s="1725"/>
      <c r="AC172" s="1725"/>
      <c r="AD172" s="1725"/>
      <c r="AE172" s="1725"/>
      <c r="AF172" s="1725"/>
      <c r="AG172" s="1725"/>
      <c r="AH172" s="1725"/>
      <c r="AI172" s="1725"/>
      <c r="AJ172" s="1725"/>
      <c r="AK172" s="1725"/>
      <c r="AL172" s="1725"/>
      <c r="AM172" s="1725"/>
      <c r="AN172" s="549"/>
      <c r="AO172" s="549"/>
      <c r="AP172" s="549"/>
      <c r="AQ172" s="549"/>
      <c r="AR172" s="549"/>
      <c r="AS172" s="549"/>
      <c r="AT172" s="549"/>
      <c r="AU172" s="549"/>
      <c r="AV172" s="549"/>
      <c r="AW172" s="549"/>
      <c r="AX172" s="549"/>
      <c r="AY172" s="549"/>
      <c r="AZ172" s="549"/>
      <c r="BA172" s="549"/>
      <c r="BB172" s="549"/>
    </row>
    <row r="173">
      <c r="A173" s="1724"/>
      <c r="B173" s="1550"/>
      <c r="C173" s="1550"/>
      <c r="D173" s="1725"/>
      <c r="E173" s="1725"/>
      <c r="F173" s="1725"/>
      <c r="G173" s="1725"/>
      <c r="H173" s="1167"/>
      <c r="I173" s="1725"/>
      <c r="J173" s="1725"/>
      <c r="K173" s="1708"/>
      <c r="L173" s="1725"/>
      <c r="M173" s="1725"/>
      <c r="N173" s="1725"/>
      <c r="O173" s="1725"/>
      <c r="P173" s="1725"/>
      <c r="Q173" s="1725"/>
      <c r="R173" s="1725"/>
      <c r="S173" s="1725"/>
      <c r="T173" s="1725"/>
      <c r="U173" s="1725"/>
      <c r="V173" s="1725"/>
      <c r="W173" s="1725"/>
      <c r="X173" s="280"/>
      <c r="Y173" s="280"/>
      <c r="Z173" s="280"/>
      <c r="AA173" s="1725"/>
      <c r="AB173" s="1725"/>
      <c r="AC173" s="1725"/>
      <c r="AD173" s="1725"/>
      <c r="AE173" s="1725"/>
      <c r="AF173" s="1725"/>
      <c r="AG173" s="1725"/>
      <c r="AH173" s="1725"/>
      <c r="AI173" s="1725"/>
      <c r="AJ173" s="1725"/>
      <c r="AK173" s="1725"/>
      <c r="AL173" s="1725"/>
      <c r="AM173" s="1725"/>
      <c r="AN173" s="549"/>
      <c r="AO173" s="549"/>
      <c r="AP173" s="549"/>
      <c r="AQ173" s="549"/>
      <c r="AR173" s="549"/>
      <c r="AS173" s="549"/>
      <c r="AT173" s="549"/>
      <c r="AU173" s="549"/>
      <c r="AV173" s="549"/>
      <c r="AW173" s="549"/>
      <c r="AX173" s="549"/>
      <c r="AY173" s="549"/>
      <c r="AZ173" s="549"/>
      <c r="BA173" s="549"/>
      <c r="BB173" s="549"/>
    </row>
    <row r="174">
      <c r="A174" s="1726"/>
      <c r="B174" s="1727" t="s">
        <v>6882</v>
      </c>
      <c r="D174" s="1725"/>
      <c r="E174" s="1725"/>
      <c r="F174" s="1725"/>
      <c r="G174" s="1725"/>
      <c r="H174" s="1167"/>
      <c r="I174" s="1725"/>
      <c r="J174" s="1725"/>
      <c r="K174" s="1708"/>
      <c r="L174" s="1725"/>
      <c r="M174" s="1725"/>
      <c r="N174" s="1725"/>
      <c r="O174" s="1725"/>
      <c r="P174" s="1725"/>
      <c r="Q174" s="1725"/>
      <c r="R174" s="1725"/>
      <c r="S174" s="1725"/>
      <c r="T174" s="1725"/>
      <c r="U174" s="1725"/>
      <c r="V174" s="1725"/>
      <c r="W174" s="1725"/>
      <c r="X174" s="280"/>
      <c r="Y174" s="280"/>
      <c r="Z174" s="280"/>
      <c r="AA174" s="1725"/>
      <c r="AB174" s="1725"/>
      <c r="AC174" s="1725"/>
      <c r="AD174" s="1725"/>
      <c r="AE174" s="1725"/>
      <c r="AF174" s="1725"/>
      <c r="AG174" s="1725"/>
      <c r="AH174" s="1725"/>
      <c r="AI174" s="1725"/>
      <c r="AJ174" s="1725"/>
      <c r="AK174" s="1725"/>
      <c r="AL174" s="1725"/>
      <c r="AM174" s="1725"/>
      <c r="AN174" s="549"/>
      <c r="AO174" s="549"/>
      <c r="AP174" s="549"/>
      <c r="AQ174" s="549"/>
      <c r="AR174" s="549"/>
      <c r="AS174" s="549"/>
      <c r="AT174" s="549"/>
      <c r="AU174" s="549"/>
      <c r="AV174" s="549"/>
      <c r="AW174" s="549"/>
      <c r="AX174" s="549"/>
      <c r="AY174" s="549"/>
      <c r="AZ174" s="549"/>
      <c r="BA174" s="549"/>
      <c r="BB174" s="549"/>
    </row>
    <row r="175">
      <c r="A175" s="1687" t="s">
        <v>6992</v>
      </c>
      <c r="B175" s="1634" t="s">
        <v>6888</v>
      </c>
      <c r="C175" s="1594" t="s">
        <v>6885</v>
      </c>
      <c r="D175" s="1701">
        <v>0.0</v>
      </c>
      <c r="E175" s="1701">
        <v>0.0</v>
      </c>
      <c r="F175" s="1701">
        <v>0.0</v>
      </c>
      <c r="G175" s="1701">
        <v>0.0</v>
      </c>
      <c r="H175" s="549">
        <v>1.0</v>
      </c>
      <c r="I175" s="1710">
        <v>0.0</v>
      </c>
      <c r="J175" s="1710">
        <v>1.0</v>
      </c>
      <c r="K175" s="1167">
        <v>0.0</v>
      </c>
      <c r="L175" s="549">
        <v>0.0</v>
      </c>
      <c r="M175" s="549">
        <v>0.0</v>
      </c>
      <c r="N175" s="1167"/>
      <c r="O175" s="1710">
        <v>1.0</v>
      </c>
      <c r="P175" s="1167"/>
      <c r="Q175" s="1167">
        <v>1.0</v>
      </c>
      <c r="R175" s="549">
        <v>0.0</v>
      </c>
      <c r="S175" s="549">
        <v>0.0</v>
      </c>
      <c r="T175" s="549">
        <v>0.0</v>
      </c>
      <c r="U175" s="549">
        <v>0.0</v>
      </c>
      <c r="V175" s="1701">
        <v>1.0</v>
      </c>
      <c r="W175" s="1701">
        <v>0.0</v>
      </c>
      <c r="X175" s="548">
        <v>0.0</v>
      </c>
      <c r="Y175" s="548">
        <v>0.0</v>
      </c>
      <c r="Z175" s="548">
        <v>0.0</v>
      </c>
      <c r="AA175" s="1701">
        <v>0.0</v>
      </c>
      <c r="AB175" s="1701">
        <v>0.0</v>
      </c>
      <c r="AC175" s="1701">
        <v>0.0</v>
      </c>
      <c r="AD175" s="1701"/>
      <c r="AE175" s="1701">
        <v>0.0</v>
      </c>
      <c r="AF175" s="1701">
        <v>0.0</v>
      </c>
      <c r="AG175" s="1701">
        <v>0.0</v>
      </c>
      <c r="AH175" s="1701">
        <v>0.0</v>
      </c>
      <c r="AI175" s="1701">
        <v>0.0</v>
      </c>
      <c r="AJ175" s="1701">
        <v>0.0</v>
      </c>
      <c r="AK175" s="1701">
        <v>0.0</v>
      </c>
      <c r="AL175" s="1701">
        <v>0.0</v>
      </c>
      <c r="AM175" s="1701">
        <v>0.0</v>
      </c>
      <c r="AN175" s="549">
        <v>0.0</v>
      </c>
      <c r="AO175" s="549">
        <v>0.0</v>
      </c>
      <c r="AP175" s="549">
        <v>0.0</v>
      </c>
      <c r="AQ175" s="549">
        <v>3.0</v>
      </c>
      <c r="AR175" s="549">
        <v>0.0</v>
      </c>
      <c r="AS175" s="549"/>
      <c r="AT175" s="549">
        <v>0.0</v>
      </c>
      <c r="AU175" s="549"/>
      <c r="AV175" s="549"/>
      <c r="AW175" s="549"/>
      <c r="AX175" s="549"/>
      <c r="AY175" s="549"/>
      <c r="AZ175" s="549"/>
      <c r="BA175" s="549">
        <f t="shared" ref="BA175:BA193" si="8">SUM(D175:AZ175)</f>
        <v>8</v>
      </c>
      <c r="BB175" s="549"/>
    </row>
    <row r="176">
      <c r="A176" s="1687" t="s">
        <v>6992</v>
      </c>
      <c r="B176" s="1634" t="s">
        <v>6889</v>
      </c>
      <c r="C176" s="1594" t="s">
        <v>6885</v>
      </c>
      <c r="D176" s="1701">
        <v>0.0</v>
      </c>
      <c r="E176" s="1701">
        <v>0.0</v>
      </c>
      <c r="F176" s="1701">
        <v>0.0</v>
      </c>
      <c r="G176" s="1701">
        <v>0.0</v>
      </c>
      <c r="H176" s="549">
        <v>0.0</v>
      </c>
      <c r="I176" s="1710">
        <v>0.0</v>
      </c>
      <c r="J176" s="1710">
        <v>0.0</v>
      </c>
      <c r="K176" s="1167">
        <v>0.0</v>
      </c>
      <c r="L176" s="549">
        <v>1.0</v>
      </c>
      <c r="M176" s="549">
        <v>0.0</v>
      </c>
      <c r="N176" s="1167"/>
      <c r="O176" s="1710">
        <v>0.0</v>
      </c>
      <c r="P176" s="1167"/>
      <c r="Q176" s="1167">
        <v>0.0</v>
      </c>
      <c r="R176" s="549">
        <v>0.0</v>
      </c>
      <c r="S176" s="549">
        <v>0.0</v>
      </c>
      <c r="T176" s="549">
        <v>1.0</v>
      </c>
      <c r="U176" s="549">
        <v>1.0</v>
      </c>
      <c r="V176" s="1701">
        <v>0.0</v>
      </c>
      <c r="W176" s="1701">
        <v>0.0</v>
      </c>
      <c r="X176" s="548">
        <v>1.0</v>
      </c>
      <c r="Y176" s="548">
        <v>0.0</v>
      </c>
      <c r="Z176" s="548">
        <v>0.0</v>
      </c>
      <c r="AA176" s="1701">
        <v>0.0</v>
      </c>
      <c r="AB176" s="1701">
        <v>0.0</v>
      </c>
      <c r="AC176" s="1701">
        <v>0.0</v>
      </c>
      <c r="AD176" s="1701"/>
      <c r="AE176" s="1701">
        <v>0.0</v>
      </c>
      <c r="AF176" s="1701">
        <v>0.0</v>
      </c>
      <c r="AG176" s="1701">
        <v>0.0</v>
      </c>
      <c r="AH176" s="1701">
        <v>0.0</v>
      </c>
      <c r="AI176" s="1701">
        <v>0.0</v>
      </c>
      <c r="AJ176" s="1701">
        <v>0.0</v>
      </c>
      <c r="AK176" s="1701">
        <v>0.0</v>
      </c>
      <c r="AL176" s="1701">
        <v>0.0</v>
      </c>
      <c r="AM176" s="1701">
        <v>0.0</v>
      </c>
      <c r="AN176" s="549">
        <v>0.0</v>
      </c>
      <c r="AO176" s="549">
        <v>0.0</v>
      </c>
      <c r="AP176" s="549">
        <v>0.0</v>
      </c>
      <c r="AQ176" s="549">
        <v>0.0</v>
      </c>
      <c r="AR176" s="549">
        <v>0.0</v>
      </c>
      <c r="AS176" s="549"/>
      <c r="AT176" s="549">
        <v>2.0</v>
      </c>
      <c r="AU176" s="549"/>
      <c r="AV176" s="549"/>
      <c r="AW176" s="549"/>
      <c r="AX176" s="549"/>
      <c r="AY176" s="549"/>
      <c r="AZ176" s="549"/>
      <c r="BA176" s="549">
        <f t="shared" si="8"/>
        <v>6</v>
      </c>
      <c r="BB176" s="549" t="s">
        <v>6988</v>
      </c>
    </row>
    <row r="177">
      <c r="A177" s="1687" t="s">
        <v>6992</v>
      </c>
      <c r="B177" s="1634" t="s">
        <v>6676</v>
      </c>
      <c r="C177" s="1594" t="s">
        <v>6885</v>
      </c>
      <c r="D177" s="1701">
        <v>0.0</v>
      </c>
      <c r="E177" s="1701">
        <v>2.0</v>
      </c>
      <c r="F177" s="1701">
        <v>0.0</v>
      </c>
      <c r="G177" s="1701">
        <v>0.0</v>
      </c>
      <c r="H177" s="549">
        <v>0.0</v>
      </c>
      <c r="I177" s="1710">
        <v>0.0</v>
      </c>
      <c r="J177" s="1710">
        <v>0.0</v>
      </c>
      <c r="K177" s="1167">
        <v>0.0</v>
      </c>
      <c r="L177" s="549">
        <v>0.0</v>
      </c>
      <c r="M177" s="549">
        <v>0.0</v>
      </c>
      <c r="N177" s="1167"/>
      <c r="O177" s="1710">
        <v>0.0</v>
      </c>
      <c r="P177" s="1167"/>
      <c r="Q177" s="1167">
        <v>0.0</v>
      </c>
      <c r="R177" s="549">
        <v>0.0</v>
      </c>
      <c r="S177" s="549">
        <v>0.0</v>
      </c>
      <c r="T177" s="549">
        <v>0.0</v>
      </c>
      <c r="U177" s="549">
        <v>1.0</v>
      </c>
      <c r="V177" s="1701">
        <v>0.0</v>
      </c>
      <c r="W177" s="1701">
        <v>0.0</v>
      </c>
      <c r="X177" s="548">
        <v>0.0</v>
      </c>
      <c r="Y177" s="548">
        <v>0.0</v>
      </c>
      <c r="Z177" s="548">
        <v>0.0</v>
      </c>
      <c r="AA177" s="1701">
        <v>0.0</v>
      </c>
      <c r="AB177" s="1701">
        <v>0.0</v>
      </c>
      <c r="AC177" s="1701">
        <v>1.0</v>
      </c>
      <c r="AD177" s="1701"/>
      <c r="AE177" s="1701">
        <v>0.0</v>
      </c>
      <c r="AF177" s="1701">
        <v>0.0</v>
      </c>
      <c r="AG177" s="1701">
        <v>0.0</v>
      </c>
      <c r="AH177" s="1701">
        <v>0.0</v>
      </c>
      <c r="AI177" s="1701">
        <v>0.0</v>
      </c>
      <c r="AJ177" s="1701">
        <v>0.0</v>
      </c>
      <c r="AK177" s="1701">
        <v>0.0</v>
      </c>
      <c r="AL177" s="1701">
        <v>0.0</v>
      </c>
      <c r="AM177" s="1701">
        <v>0.0</v>
      </c>
      <c r="AN177" s="549">
        <v>0.0</v>
      </c>
      <c r="AO177" s="549">
        <v>0.0</v>
      </c>
      <c r="AP177" s="549">
        <v>0.0</v>
      </c>
      <c r="AQ177" s="549">
        <v>3.0</v>
      </c>
      <c r="AR177" s="549">
        <v>0.0</v>
      </c>
      <c r="AS177" s="549"/>
      <c r="AT177" s="549">
        <v>0.0</v>
      </c>
      <c r="AU177" s="549"/>
      <c r="AV177" s="549"/>
      <c r="AW177" s="549"/>
      <c r="AX177" s="549"/>
      <c r="AY177" s="549"/>
      <c r="AZ177" s="549"/>
      <c r="BA177" s="549">
        <f t="shared" si="8"/>
        <v>7</v>
      </c>
      <c r="BB177" s="549" t="s">
        <v>6988</v>
      </c>
    </row>
    <row r="178">
      <c r="A178" s="1687" t="s">
        <v>6992</v>
      </c>
      <c r="B178" s="1634" t="s">
        <v>6891</v>
      </c>
      <c r="C178" s="1594" t="s">
        <v>6885</v>
      </c>
      <c r="D178" s="1701">
        <v>0.0</v>
      </c>
      <c r="E178" s="1701">
        <v>1.0</v>
      </c>
      <c r="F178" s="1701">
        <v>0.0</v>
      </c>
      <c r="G178" s="1701">
        <v>0.0</v>
      </c>
      <c r="H178" s="549">
        <v>0.0</v>
      </c>
      <c r="I178" s="1710">
        <v>0.0</v>
      </c>
      <c r="J178" s="1710">
        <v>1.0</v>
      </c>
      <c r="K178" s="1167">
        <v>0.0</v>
      </c>
      <c r="L178" s="549">
        <v>1.0</v>
      </c>
      <c r="M178" s="549">
        <v>0.0</v>
      </c>
      <c r="N178" s="1167"/>
      <c r="O178" s="1710">
        <v>0.0</v>
      </c>
      <c r="P178" s="1167"/>
      <c r="Q178" s="1167">
        <v>0.0</v>
      </c>
      <c r="R178" s="549">
        <v>0.0</v>
      </c>
      <c r="S178" s="549">
        <v>0.0</v>
      </c>
      <c r="T178" s="549">
        <v>0.0</v>
      </c>
      <c r="U178" s="549">
        <v>2.0</v>
      </c>
      <c r="V178" s="1701">
        <v>0.0</v>
      </c>
      <c r="W178" s="1701">
        <v>0.0</v>
      </c>
      <c r="X178" s="548">
        <v>0.0</v>
      </c>
      <c r="Y178" s="548">
        <v>0.0</v>
      </c>
      <c r="Z178" s="548">
        <v>1.0</v>
      </c>
      <c r="AA178" s="1701">
        <v>0.0</v>
      </c>
      <c r="AB178" s="1701">
        <v>1.0</v>
      </c>
      <c r="AC178" s="1701">
        <v>0.0</v>
      </c>
      <c r="AD178" s="1701"/>
      <c r="AE178" s="1701">
        <v>1.0</v>
      </c>
      <c r="AF178" s="1701">
        <v>2.0</v>
      </c>
      <c r="AG178" s="1701">
        <v>0.0</v>
      </c>
      <c r="AH178" s="1701">
        <v>1.0</v>
      </c>
      <c r="AI178" s="1701">
        <v>0.0</v>
      </c>
      <c r="AJ178" s="1701">
        <v>0.0</v>
      </c>
      <c r="AK178" s="1701">
        <v>2.0</v>
      </c>
      <c r="AL178" s="1701">
        <v>0.0</v>
      </c>
      <c r="AM178" s="1701">
        <v>0.0</v>
      </c>
      <c r="AN178" s="549">
        <v>0.0</v>
      </c>
      <c r="AO178" s="549">
        <v>1.0</v>
      </c>
      <c r="AP178" s="549">
        <v>0.0</v>
      </c>
      <c r="AQ178" s="549">
        <v>0.0</v>
      </c>
      <c r="AR178" s="549">
        <v>0.0</v>
      </c>
      <c r="AS178" s="549"/>
      <c r="AT178" s="549">
        <v>2.0</v>
      </c>
      <c r="AU178" s="549"/>
      <c r="AV178" s="549"/>
      <c r="AW178" s="549"/>
      <c r="AX178" s="549"/>
      <c r="AY178" s="549"/>
      <c r="AZ178" s="549"/>
      <c r="BA178" s="549">
        <f t="shared" si="8"/>
        <v>16</v>
      </c>
      <c r="BB178" s="549" t="s">
        <v>6988</v>
      </c>
    </row>
    <row r="179">
      <c r="A179" s="1687" t="s">
        <v>6992</v>
      </c>
      <c r="B179" s="1634" t="s">
        <v>6892</v>
      </c>
      <c r="C179" s="1594" t="s">
        <v>6885</v>
      </c>
      <c r="D179" s="1701">
        <v>0.0</v>
      </c>
      <c r="E179" s="1701">
        <v>0.0</v>
      </c>
      <c r="F179" s="1701">
        <v>0.0</v>
      </c>
      <c r="G179" s="1701">
        <v>0.0</v>
      </c>
      <c r="H179" s="549">
        <v>0.0</v>
      </c>
      <c r="I179" s="1710">
        <v>0.0</v>
      </c>
      <c r="J179" s="1710">
        <v>0.0</v>
      </c>
      <c r="K179" s="1167">
        <v>0.0</v>
      </c>
      <c r="L179" s="549">
        <v>0.0</v>
      </c>
      <c r="M179" s="549">
        <v>0.0</v>
      </c>
      <c r="N179" s="1167"/>
      <c r="O179" s="1710">
        <v>0.0</v>
      </c>
      <c r="P179" s="1167"/>
      <c r="Q179" s="1167">
        <v>0.0</v>
      </c>
      <c r="R179" s="549">
        <v>0.0</v>
      </c>
      <c r="S179" s="549">
        <v>0.0</v>
      </c>
      <c r="T179" s="549">
        <v>0.0</v>
      </c>
      <c r="U179" s="549">
        <v>1.0</v>
      </c>
      <c r="V179" s="1701">
        <v>0.0</v>
      </c>
      <c r="W179" s="1701">
        <v>0.0</v>
      </c>
      <c r="X179" s="548">
        <v>0.0</v>
      </c>
      <c r="Y179" s="548">
        <v>0.0</v>
      </c>
      <c r="Z179" s="548">
        <v>0.0</v>
      </c>
      <c r="AA179" s="1701">
        <v>0.0</v>
      </c>
      <c r="AB179" s="1701">
        <v>0.0</v>
      </c>
      <c r="AC179" s="1701">
        <v>0.0</v>
      </c>
      <c r="AD179" s="1701"/>
      <c r="AE179" s="1701">
        <v>0.0</v>
      </c>
      <c r="AF179" s="1701">
        <v>0.0</v>
      </c>
      <c r="AG179" s="1701">
        <v>0.0</v>
      </c>
      <c r="AH179" s="1701">
        <v>0.0</v>
      </c>
      <c r="AI179" s="1701">
        <v>1.0</v>
      </c>
      <c r="AJ179" s="1701">
        <v>1.0</v>
      </c>
      <c r="AK179" s="1701">
        <v>0.0</v>
      </c>
      <c r="AL179" s="1701">
        <v>0.0</v>
      </c>
      <c r="AM179" s="1701">
        <v>0.0</v>
      </c>
      <c r="AN179" s="549">
        <v>0.0</v>
      </c>
      <c r="AO179" s="549">
        <v>0.0</v>
      </c>
      <c r="AP179" s="549">
        <v>0.0</v>
      </c>
      <c r="AQ179" s="549">
        <v>0.0</v>
      </c>
      <c r="AR179" s="549">
        <v>0.0</v>
      </c>
      <c r="AS179" s="549"/>
      <c r="AT179" s="549">
        <v>0.0</v>
      </c>
      <c r="AU179" s="549"/>
      <c r="AV179" s="549"/>
      <c r="AW179" s="549"/>
      <c r="AX179" s="549"/>
      <c r="AY179" s="549"/>
      <c r="AZ179" s="549"/>
      <c r="BA179" s="549">
        <f t="shared" si="8"/>
        <v>3</v>
      </c>
      <c r="BB179" s="549" t="s">
        <v>6988</v>
      </c>
    </row>
    <row r="180">
      <c r="A180" s="1687" t="s">
        <v>6992</v>
      </c>
      <c r="B180" s="1634" t="s">
        <v>6894</v>
      </c>
      <c r="C180" s="1594" t="s">
        <v>6885</v>
      </c>
      <c r="D180" s="1701">
        <v>0.0</v>
      </c>
      <c r="E180" s="1701">
        <v>0.0</v>
      </c>
      <c r="F180" s="1701">
        <v>1.0</v>
      </c>
      <c r="G180" s="1701">
        <v>0.0</v>
      </c>
      <c r="H180" s="549">
        <v>0.0</v>
      </c>
      <c r="I180" s="1710">
        <v>0.0</v>
      </c>
      <c r="J180" s="1710">
        <v>1.0</v>
      </c>
      <c r="K180" s="1167">
        <v>0.0</v>
      </c>
      <c r="L180" s="549">
        <v>0.0</v>
      </c>
      <c r="M180" s="549">
        <v>1.0</v>
      </c>
      <c r="N180" s="1167"/>
      <c r="O180" s="1710">
        <v>0.0</v>
      </c>
      <c r="P180" s="1167"/>
      <c r="Q180" s="1167">
        <v>1.0</v>
      </c>
      <c r="R180" s="549">
        <v>0.0</v>
      </c>
      <c r="S180" s="549">
        <v>0.0</v>
      </c>
      <c r="T180" s="549">
        <v>0.0</v>
      </c>
      <c r="U180" s="549">
        <v>0.0</v>
      </c>
      <c r="V180" s="1701">
        <v>0.0</v>
      </c>
      <c r="W180" s="1701">
        <v>0.0</v>
      </c>
      <c r="X180" s="548">
        <v>2.0</v>
      </c>
      <c r="Y180" s="548">
        <v>2.0</v>
      </c>
      <c r="Z180" s="548">
        <v>0.0</v>
      </c>
      <c r="AA180" s="1701">
        <v>0.0</v>
      </c>
      <c r="AB180" s="1701">
        <v>0.0</v>
      </c>
      <c r="AC180" s="1701">
        <v>1.0</v>
      </c>
      <c r="AD180" s="1701"/>
      <c r="AE180" s="1701">
        <v>0.0</v>
      </c>
      <c r="AF180" s="1701">
        <v>0.0</v>
      </c>
      <c r="AG180" s="1701">
        <v>0.0</v>
      </c>
      <c r="AH180" s="1701">
        <v>1.0</v>
      </c>
      <c r="AI180" s="1701">
        <v>0.0</v>
      </c>
      <c r="AJ180" s="1701">
        <v>0.0</v>
      </c>
      <c r="AK180" s="1701">
        <v>1.0</v>
      </c>
      <c r="AL180" s="1701">
        <v>2.0</v>
      </c>
      <c r="AM180" s="1701">
        <v>2.0</v>
      </c>
      <c r="AN180" s="549">
        <v>2.0</v>
      </c>
      <c r="AO180" s="549">
        <v>0.0</v>
      </c>
      <c r="AP180" s="549">
        <v>0.0</v>
      </c>
      <c r="AQ180" s="549">
        <v>0.0</v>
      </c>
      <c r="AR180" s="549">
        <v>3.0</v>
      </c>
      <c r="AS180" s="549"/>
      <c r="AT180" s="549">
        <v>0.0</v>
      </c>
      <c r="AU180" s="549"/>
      <c r="AV180" s="549"/>
      <c r="AW180" s="549"/>
      <c r="AX180" s="549"/>
      <c r="AY180" s="549"/>
      <c r="AZ180" s="549"/>
      <c r="BA180" s="549">
        <f t="shared" si="8"/>
        <v>20</v>
      </c>
      <c r="BB180" s="549"/>
    </row>
    <row r="181">
      <c r="A181" s="1687" t="s">
        <v>6992</v>
      </c>
      <c r="B181" s="1634" t="s">
        <v>6896</v>
      </c>
      <c r="C181" s="1594" t="s">
        <v>6885</v>
      </c>
      <c r="D181" s="1701">
        <v>0.0</v>
      </c>
      <c r="E181" s="1701">
        <v>1.0</v>
      </c>
      <c r="F181" s="1701">
        <v>0.0</v>
      </c>
      <c r="G181" s="1701">
        <v>0.0</v>
      </c>
      <c r="H181" s="549">
        <v>0.0</v>
      </c>
      <c r="I181" s="1710">
        <v>0.0</v>
      </c>
      <c r="J181" s="1710">
        <v>2.0</v>
      </c>
      <c r="K181" s="1167">
        <v>1.0</v>
      </c>
      <c r="L181" s="549">
        <v>3.0</v>
      </c>
      <c r="M181" s="1701">
        <v>0.0</v>
      </c>
      <c r="N181" s="1167"/>
      <c r="O181" s="1710">
        <v>0.0</v>
      </c>
      <c r="P181" s="1167"/>
      <c r="Q181" s="1167">
        <v>2.0</v>
      </c>
      <c r="R181" s="549">
        <v>0.0</v>
      </c>
      <c r="S181" s="549">
        <v>1.0</v>
      </c>
      <c r="T181" s="549">
        <v>0.0</v>
      </c>
      <c r="U181" s="549">
        <v>0.0</v>
      </c>
      <c r="V181" s="1701">
        <v>0.0</v>
      </c>
      <c r="W181" s="1701">
        <v>0.0</v>
      </c>
      <c r="X181" s="548">
        <v>2.0</v>
      </c>
      <c r="Y181" s="548">
        <v>1.0</v>
      </c>
      <c r="Z181" s="548">
        <v>0.0</v>
      </c>
      <c r="AA181" s="1701">
        <v>0.0</v>
      </c>
      <c r="AB181" s="1701">
        <v>0.0</v>
      </c>
      <c r="AC181" s="1701">
        <v>2.0</v>
      </c>
      <c r="AD181" s="1701"/>
      <c r="AE181" s="1701">
        <v>0.0</v>
      </c>
      <c r="AF181" s="1701">
        <v>0.0</v>
      </c>
      <c r="AG181" s="1701">
        <v>1.0</v>
      </c>
      <c r="AH181" s="1701">
        <v>0.0</v>
      </c>
      <c r="AI181" s="1701">
        <v>0.0</v>
      </c>
      <c r="AJ181" s="1701">
        <v>0.0</v>
      </c>
      <c r="AK181" s="1701">
        <v>2.0</v>
      </c>
      <c r="AL181" s="1701">
        <v>1.0</v>
      </c>
      <c r="AM181" s="1701">
        <v>1.0</v>
      </c>
      <c r="AN181" s="549">
        <v>0.0</v>
      </c>
      <c r="AO181" s="549">
        <v>0.0</v>
      </c>
      <c r="AP181" s="549">
        <v>0.0</v>
      </c>
      <c r="AQ181" s="549">
        <v>0.0</v>
      </c>
      <c r="AR181" s="549">
        <v>3.0</v>
      </c>
      <c r="AS181" s="549"/>
      <c r="AT181" s="549">
        <v>3.0</v>
      </c>
      <c r="AU181" s="549"/>
      <c r="AV181" s="549"/>
      <c r="AW181" s="549"/>
      <c r="AX181" s="549"/>
      <c r="AY181" s="549"/>
      <c r="AZ181" s="549"/>
      <c r="BA181" s="549">
        <f t="shared" si="8"/>
        <v>26</v>
      </c>
      <c r="BB181" s="549"/>
    </row>
    <row r="182">
      <c r="A182" s="1687" t="s">
        <v>6992</v>
      </c>
      <c r="B182" s="1634" t="s">
        <v>6897</v>
      </c>
      <c r="C182" s="1594" t="s">
        <v>6885</v>
      </c>
      <c r="D182" s="1701">
        <v>0.0</v>
      </c>
      <c r="E182" s="1701">
        <v>0.0</v>
      </c>
      <c r="F182" s="1701">
        <v>0.0</v>
      </c>
      <c r="G182" s="1701">
        <v>0.0</v>
      </c>
      <c r="H182" s="549">
        <v>1.0</v>
      </c>
      <c r="I182" s="1710">
        <v>0.0</v>
      </c>
      <c r="J182" s="1735"/>
      <c r="K182" s="1167">
        <v>0.0</v>
      </c>
      <c r="L182" s="549">
        <v>0.0</v>
      </c>
      <c r="M182" s="1701">
        <v>0.0</v>
      </c>
      <c r="N182" s="1167"/>
      <c r="O182" s="1710">
        <v>0.0</v>
      </c>
      <c r="P182" s="1167"/>
      <c r="Q182" s="1167">
        <v>1.0</v>
      </c>
      <c r="R182" s="549">
        <v>0.0</v>
      </c>
      <c r="S182" s="549">
        <v>0.0</v>
      </c>
      <c r="T182" s="549">
        <v>1.0</v>
      </c>
      <c r="U182" s="549">
        <v>0.0</v>
      </c>
      <c r="V182" s="1701">
        <v>0.0</v>
      </c>
      <c r="W182" s="1701">
        <v>0.0</v>
      </c>
      <c r="X182" s="548">
        <v>2.0</v>
      </c>
      <c r="Y182" s="548">
        <v>0.0</v>
      </c>
      <c r="Z182" s="548">
        <v>0.0</v>
      </c>
      <c r="AA182" s="1701">
        <v>0.0</v>
      </c>
      <c r="AB182" s="1701">
        <v>0.0</v>
      </c>
      <c r="AC182" s="1701">
        <v>1.0</v>
      </c>
      <c r="AD182" s="1701"/>
      <c r="AE182" s="1701">
        <v>0.0</v>
      </c>
      <c r="AF182" s="1701">
        <v>0.0</v>
      </c>
      <c r="AG182" s="1701">
        <v>0.0</v>
      </c>
      <c r="AH182" s="1701">
        <v>0.0</v>
      </c>
      <c r="AI182" s="1701">
        <v>0.0</v>
      </c>
      <c r="AJ182" s="1701">
        <v>0.0</v>
      </c>
      <c r="AK182" s="1701">
        <v>1.0</v>
      </c>
      <c r="AL182" s="1701">
        <v>0.0</v>
      </c>
      <c r="AM182" s="1701">
        <v>0.0</v>
      </c>
      <c r="AN182" s="549">
        <v>1.0</v>
      </c>
      <c r="AO182" s="549">
        <v>1.0</v>
      </c>
      <c r="AP182" s="549">
        <v>0.0</v>
      </c>
      <c r="AQ182" s="549">
        <v>0.0</v>
      </c>
      <c r="AR182" s="549">
        <v>0.0</v>
      </c>
      <c r="AS182" s="549"/>
      <c r="AT182" s="549">
        <v>0.0</v>
      </c>
      <c r="AU182" s="549"/>
      <c r="AV182" s="549"/>
      <c r="AW182" s="549"/>
      <c r="AX182" s="549"/>
      <c r="AY182" s="549"/>
      <c r="AZ182" s="549"/>
      <c r="BA182" s="549">
        <f t="shared" si="8"/>
        <v>9</v>
      </c>
      <c r="BB182" s="549" t="s">
        <v>6988</v>
      </c>
    </row>
    <row r="183">
      <c r="A183" s="1687" t="s">
        <v>6992</v>
      </c>
      <c r="B183" s="1634" t="s">
        <v>6898</v>
      </c>
      <c r="C183" s="1594" t="s">
        <v>6885</v>
      </c>
      <c r="D183" s="1701">
        <v>0.0</v>
      </c>
      <c r="E183" s="1701">
        <v>0.0</v>
      </c>
      <c r="F183" s="1701">
        <v>0.0</v>
      </c>
      <c r="G183" s="1701">
        <v>0.0</v>
      </c>
      <c r="H183" s="549">
        <v>1.0</v>
      </c>
      <c r="I183" s="1710">
        <v>0.0</v>
      </c>
      <c r="J183" s="1710">
        <v>1.0</v>
      </c>
      <c r="K183" s="1167">
        <v>0.0</v>
      </c>
      <c r="L183" s="549">
        <v>1.0</v>
      </c>
      <c r="M183" s="549">
        <v>0.0</v>
      </c>
      <c r="N183" s="549">
        <v>1.0</v>
      </c>
      <c r="O183" s="1710">
        <v>0.0</v>
      </c>
      <c r="P183" s="1167"/>
      <c r="Q183" s="1167">
        <v>0.0</v>
      </c>
      <c r="R183" s="549">
        <v>0.0</v>
      </c>
      <c r="S183" s="549">
        <v>1.0</v>
      </c>
      <c r="T183" s="549">
        <v>4.0</v>
      </c>
      <c r="U183" s="549">
        <v>2.0</v>
      </c>
      <c r="V183" s="1701">
        <v>1.0</v>
      </c>
      <c r="W183" s="1701">
        <v>0.0</v>
      </c>
      <c r="X183" s="548">
        <v>1.0</v>
      </c>
      <c r="Y183" s="548">
        <v>0.0</v>
      </c>
      <c r="Z183" s="548">
        <v>0.0</v>
      </c>
      <c r="AA183" s="1701">
        <v>0.0</v>
      </c>
      <c r="AB183" s="1701">
        <v>0.0</v>
      </c>
      <c r="AC183" s="1701">
        <v>0.0</v>
      </c>
      <c r="AD183" s="1701"/>
      <c r="AE183" s="1701">
        <v>0.0</v>
      </c>
      <c r="AF183" s="1701">
        <v>1.0</v>
      </c>
      <c r="AG183" s="1701">
        <v>0.0</v>
      </c>
      <c r="AH183" s="1701">
        <v>1.0</v>
      </c>
      <c r="AI183" s="1701">
        <v>0.0</v>
      </c>
      <c r="AJ183" s="1701">
        <v>0.0</v>
      </c>
      <c r="AK183" s="1701">
        <v>0.0</v>
      </c>
      <c r="AL183" s="1701">
        <v>0.0</v>
      </c>
      <c r="AM183" s="1701">
        <v>0.0</v>
      </c>
      <c r="AN183" s="549">
        <v>0.0</v>
      </c>
      <c r="AO183" s="549">
        <v>0.0</v>
      </c>
      <c r="AP183" s="549">
        <v>0.0</v>
      </c>
      <c r="AQ183" s="549">
        <v>0.0</v>
      </c>
      <c r="AR183" s="549">
        <v>0.0</v>
      </c>
      <c r="AS183" s="549"/>
      <c r="AT183" s="549">
        <v>0.0</v>
      </c>
      <c r="AU183" s="549"/>
      <c r="AV183" s="549"/>
      <c r="AW183" s="549"/>
      <c r="AX183" s="549"/>
      <c r="AY183" s="549"/>
      <c r="AZ183" s="549"/>
      <c r="BA183" s="549">
        <f t="shared" si="8"/>
        <v>15</v>
      </c>
      <c r="BB183" s="549"/>
    </row>
    <row r="184">
      <c r="A184" s="1687" t="s">
        <v>6992</v>
      </c>
      <c r="B184" s="1634" t="s">
        <v>6899</v>
      </c>
      <c r="C184" s="1594" t="s">
        <v>6885</v>
      </c>
      <c r="D184" s="1701">
        <v>0.0</v>
      </c>
      <c r="E184" s="1701">
        <v>0.0</v>
      </c>
      <c r="F184" s="1701">
        <v>1.0</v>
      </c>
      <c r="G184" s="1701">
        <v>1.0</v>
      </c>
      <c r="H184" s="549">
        <v>0.0</v>
      </c>
      <c r="I184" s="1710">
        <v>0.0</v>
      </c>
      <c r="J184" s="1710">
        <v>1.0</v>
      </c>
      <c r="K184" s="1167">
        <v>1.0</v>
      </c>
      <c r="L184" s="549">
        <v>0.0</v>
      </c>
      <c r="M184" s="549">
        <v>1.0</v>
      </c>
      <c r="N184" s="1167"/>
      <c r="O184" s="1710">
        <v>2.0</v>
      </c>
      <c r="P184" s="1167"/>
      <c r="Q184" s="1167">
        <v>1.0</v>
      </c>
      <c r="R184" s="549">
        <v>0.0</v>
      </c>
      <c r="S184" s="549">
        <v>1.0</v>
      </c>
      <c r="T184" s="549">
        <v>2.0</v>
      </c>
      <c r="U184" s="549">
        <v>1.0</v>
      </c>
      <c r="V184" s="1701">
        <v>0.0</v>
      </c>
      <c r="W184" s="1701">
        <v>1.0</v>
      </c>
      <c r="X184" s="548">
        <v>0.0</v>
      </c>
      <c r="Y184" s="548">
        <v>1.0</v>
      </c>
      <c r="Z184" s="548">
        <v>0.0</v>
      </c>
      <c r="AA184" s="1701">
        <v>0.0</v>
      </c>
      <c r="AB184" s="1701">
        <v>0.0</v>
      </c>
      <c r="AC184" s="1701">
        <v>1.0</v>
      </c>
      <c r="AD184" s="1701"/>
      <c r="AE184" s="1701">
        <v>0.0</v>
      </c>
      <c r="AF184" s="1701">
        <v>0.0</v>
      </c>
      <c r="AG184" s="1701">
        <v>0.0</v>
      </c>
      <c r="AH184" s="1701">
        <v>1.0</v>
      </c>
      <c r="AI184" s="1701">
        <v>0.0</v>
      </c>
      <c r="AJ184" s="1701">
        <v>0.0</v>
      </c>
      <c r="AK184" s="1701">
        <v>2.0</v>
      </c>
      <c r="AL184" s="1701">
        <v>0.0</v>
      </c>
      <c r="AM184" s="1701">
        <v>2.0</v>
      </c>
      <c r="AN184" s="549">
        <v>1.0</v>
      </c>
      <c r="AO184" s="549">
        <v>1.0</v>
      </c>
      <c r="AP184" s="549">
        <v>0.0</v>
      </c>
      <c r="AQ184" s="549">
        <v>0.0</v>
      </c>
      <c r="AR184" s="549">
        <v>3.0</v>
      </c>
      <c r="AS184" s="549"/>
      <c r="AT184" s="549">
        <v>0.0</v>
      </c>
      <c r="AU184" s="549"/>
      <c r="AV184" s="549"/>
      <c r="AW184" s="549"/>
      <c r="AX184" s="549"/>
      <c r="AY184" s="549"/>
      <c r="AZ184" s="549"/>
      <c r="BA184" s="549">
        <f t="shared" si="8"/>
        <v>25</v>
      </c>
      <c r="BB184" s="549"/>
    </row>
    <row r="185">
      <c r="A185" s="1687" t="s">
        <v>6992</v>
      </c>
      <c r="B185" s="1634" t="s">
        <v>6900</v>
      </c>
      <c r="C185" s="1594" t="s">
        <v>6885</v>
      </c>
      <c r="D185" s="1701">
        <v>0.0</v>
      </c>
      <c r="E185" s="1701">
        <v>0.0</v>
      </c>
      <c r="F185" s="1701">
        <v>1.0</v>
      </c>
      <c r="G185" s="1701">
        <v>2.0</v>
      </c>
      <c r="H185" s="549">
        <v>1.0</v>
      </c>
      <c r="I185" s="1710">
        <v>0.0</v>
      </c>
      <c r="J185" s="1710">
        <v>1.0</v>
      </c>
      <c r="K185" s="1167">
        <v>0.0</v>
      </c>
      <c r="L185" s="549">
        <v>1.0</v>
      </c>
      <c r="M185" s="549">
        <v>0.0</v>
      </c>
      <c r="N185" s="1167"/>
      <c r="O185" s="1710">
        <v>0.0</v>
      </c>
      <c r="P185" s="1167"/>
      <c r="Q185" s="1167">
        <v>1.0</v>
      </c>
      <c r="R185" s="549">
        <v>0.0</v>
      </c>
      <c r="S185" s="549">
        <v>0.0</v>
      </c>
      <c r="T185" s="549">
        <v>0.0</v>
      </c>
      <c r="U185" s="549">
        <v>1.0</v>
      </c>
      <c r="V185" s="1701">
        <v>0.0</v>
      </c>
      <c r="W185" s="1701">
        <v>1.0</v>
      </c>
      <c r="X185" s="548">
        <v>0.0</v>
      </c>
      <c r="Y185" s="548">
        <v>0.0</v>
      </c>
      <c r="Z185" s="548">
        <v>0.0</v>
      </c>
      <c r="AA185" s="1701">
        <v>0.0</v>
      </c>
      <c r="AB185" s="1701">
        <v>1.0</v>
      </c>
      <c r="AC185" s="1701">
        <v>1.0</v>
      </c>
      <c r="AD185" s="1701"/>
      <c r="AE185" s="1701">
        <v>0.0</v>
      </c>
      <c r="AF185" s="1701">
        <v>0.0</v>
      </c>
      <c r="AG185" s="1701">
        <v>0.0</v>
      </c>
      <c r="AH185" s="1701">
        <v>0.0</v>
      </c>
      <c r="AI185" s="1701">
        <v>1.0</v>
      </c>
      <c r="AJ185" s="1701">
        <v>0.0</v>
      </c>
      <c r="AK185" s="1701">
        <v>0.0</v>
      </c>
      <c r="AL185" s="1701">
        <v>0.0</v>
      </c>
      <c r="AM185" s="1701">
        <v>1.0</v>
      </c>
      <c r="AN185" s="549">
        <v>0.0</v>
      </c>
      <c r="AO185" s="549">
        <v>0.0</v>
      </c>
      <c r="AP185" s="549">
        <v>0.0</v>
      </c>
      <c r="AQ185" s="549">
        <v>0.0</v>
      </c>
      <c r="AR185" s="549">
        <v>0.0</v>
      </c>
      <c r="AS185" s="549"/>
      <c r="AT185" s="549">
        <v>0.0</v>
      </c>
      <c r="AU185" s="549"/>
      <c r="AV185" s="549"/>
      <c r="AW185" s="549"/>
      <c r="AX185" s="549"/>
      <c r="AY185" s="549"/>
      <c r="AZ185" s="549"/>
      <c r="BA185" s="549">
        <f t="shared" si="8"/>
        <v>13</v>
      </c>
      <c r="BB185" s="549"/>
    </row>
    <row r="186">
      <c r="A186" s="1687" t="s">
        <v>6992</v>
      </c>
      <c r="B186" s="1634" t="s">
        <v>6901</v>
      </c>
      <c r="C186" s="1594" t="s">
        <v>6885</v>
      </c>
      <c r="D186" s="1701">
        <v>0.0</v>
      </c>
      <c r="E186" s="1701">
        <v>1.0</v>
      </c>
      <c r="F186" s="1701">
        <v>0.0</v>
      </c>
      <c r="G186" s="1701">
        <v>0.0</v>
      </c>
      <c r="H186" s="549">
        <v>0.0</v>
      </c>
      <c r="I186" s="1710">
        <v>0.0</v>
      </c>
      <c r="J186" s="1735"/>
      <c r="K186" s="1167">
        <v>0.0</v>
      </c>
      <c r="L186" s="549">
        <v>1.0</v>
      </c>
      <c r="M186" s="549">
        <v>0.0</v>
      </c>
      <c r="N186" s="1167"/>
      <c r="O186" s="1710">
        <v>0.0</v>
      </c>
      <c r="P186" s="1167"/>
      <c r="Q186" s="1167">
        <v>0.0</v>
      </c>
      <c r="R186" s="549">
        <v>0.0</v>
      </c>
      <c r="S186" s="549">
        <v>2.0</v>
      </c>
      <c r="T186" s="549">
        <v>1.0</v>
      </c>
      <c r="U186" s="549">
        <v>0.0</v>
      </c>
      <c r="V186" s="1701">
        <v>2.0</v>
      </c>
      <c r="W186" s="1701">
        <v>0.0</v>
      </c>
      <c r="X186" s="548">
        <v>1.0</v>
      </c>
      <c r="Y186" s="548">
        <v>0.0</v>
      </c>
      <c r="Z186" s="548">
        <v>0.0</v>
      </c>
      <c r="AA186" s="1701">
        <v>0.0</v>
      </c>
      <c r="AB186" s="1701">
        <v>0.0</v>
      </c>
      <c r="AC186" s="1701">
        <v>1.0</v>
      </c>
      <c r="AD186" s="1701"/>
      <c r="AE186" s="1701">
        <v>0.0</v>
      </c>
      <c r="AF186" s="1701">
        <v>0.0</v>
      </c>
      <c r="AG186" s="1701">
        <v>1.0</v>
      </c>
      <c r="AH186" s="1701">
        <v>0.0</v>
      </c>
      <c r="AI186" s="1701">
        <v>0.0</v>
      </c>
      <c r="AJ186" s="1701">
        <v>0.0</v>
      </c>
      <c r="AK186" s="1701">
        <v>0.0</v>
      </c>
      <c r="AL186" s="1701">
        <v>0.0</v>
      </c>
      <c r="AM186" s="1701">
        <v>0.0</v>
      </c>
      <c r="AN186" s="549">
        <v>0.0</v>
      </c>
      <c r="AO186" s="549">
        <v>0.0</v>
      </c>
      <c r="AP186" s="549">
        <v>0.0</v>
      </c>
      <c r="AQ186" s="549">
        <v>0.0</v>
      </c>
      <c r="AR186" s="549">
        <v>0.0</v>
      </c>
      <c r="AS186" s="549"/>
      <c r="AT186" s="549">
        <v>33.0</v>
      </c>
      <c r="AU186" s="549"/>
      <c r="AV186" s="549"/>
      <c r="AW186" s="549"/>
      <c r="AX186" s="549"/>
      <c r="AY186" s="549"/>
      <c r="AZ186" s="549"/>
      <c r="BA186" s="549">
        <f t="shared" si="8"/>
        <v>43</v>
      </c>
      <c r="BB186" s="549" t="s">
        <v>6988</v>
      </c>
    </row>
    <row r="187">
      <c r="A187" s="1687" t="s">
        <v>6992</v>
      </c>
      <c r="B187" s="1590" t="s">
        <v>6903</v>
      </c>
      <c r="C187" s="1594" t="s">
        <v>6885</v>
      </c>
      <c r="D187" s="1701">
        <v>2.0</v>
      </c>
      <c r="E187" s="1701">
        <v>0.0</v>
      </c>
      <c r="F187" s="1701">
        <v>2.0</v>
      </c>
      <c r="G187" s="1701">
        <v>0.0</v>
      </c>
      <c r="H187" s="549">
        <v>0.0</v>
      </c>
      <c r="I187" s="1710">
        <v>0.0</v>
      </c>
      <c r="J187" s="1710">
        <v>3.0</v>
      </c>
      <c r="K187" s="1167">
        <v>1.0</v>
      </c>
      <c r="L187" s="549">
        <v>0.0</v>
      </c>
      <c r="M187" s="549">
        <v>1.0</v>
      </c>
      <c r="N187" s="1167"/>
      <c r="O187" s="1710">
        <v>0.0</v>
      </c>
      <c r="P187" s="1167"/>
      <c r="Q187" s="1167">
        <v>1.0</v>
      </c>
      <c r="R187" s="549">
        <v>0.0</v>
      </c>
      <c r="S187" s="549">
        <v>4.0</v>
      </c>
      <c r="T187" s="549">
        <v>1.0</v>
      </c>
      <c r="U187" s="549">
        <v>0.0</v>
      </c>
      <c r="V187" s="1701">
        <v>3.0</v>
      </c>
      <c r="W187" s="1701">
        <v>1.0</v>
      </c>
      <c r="X187" s="548">
        <v>3.0</v>
      </c>
      <c r="Y187" s="548">
        <v>0.0</v>
      </c>
      <c r="Z187" s="548">
        <v>0.0</v>
      </c>
      <c r="AA187" s="1701">
        <v>2.0</v>
      </c>
      <c r="AB187" s="1701">
        <v>3.0</v>
      </c>
      <c r="AC187" s="1701">
        <v>0.0</v>
      </c>
      <c r="AD187" s="1701"/>
      <c r="AE187" s="1701">
        <v>1.0</v>
      </c>
      <c r="AF187" s="1701">
        <v>0.0</v>
      </c>
      <c r="AG187" s="1701">
        <v>1.0</v>
      </c>
      <c r="AH187" s="1701">
        <v>3.0</v>
      </c>
      <c r="AI187" s="1701">
        <v>2.0</v>
      </c>
      <c r="AJ187" s="1701">
        <v>0.0</v>
      </c>
      <c r="AK187" s="1701">
        <v>0.0</v>
      </c>
      <c r="AL187" s="1701">
        <v>0.0</v>
      </c>
      <c r="AM187" s="1701">
        <v>0.0</v>
      </c>
      <c r="AN187" s="549">
        <v>0.0</v>
      </c>
      <c r="AO187" s="549">
        <v>1.0</v>
      </c>
      <c r="AP187" s="549">
        <v>0.0</v>
      </c>
      <c r="AQ187" s="549">
        <v>0.0</v>
      </c>
      <c r="AR187" s="549">
        <v>3.0</v>
      </c>
      <c r="AS187" s="549"/>
      <c r="AT187" s="549">
        <v>0.0</v>
      </c>
      <c r="AU187" s="549"/>
      <c r="AV187" s="549"/>
      <c r="AW187" s="549"/>
      <c r="AX187" s="549"/>
      <c r="AY187" s="549"/>
      <c r="AZ187" s="549"/>
      <c r="BA187" s="549">
        <f t="shared" si="8"/>
        <v>38</v>
      </c>
      <c r="BB187" s="549"/>
    </row>
    <row r="188">
      <c r="A188" s="1687" t="s">
        <v>6992</v>
      </c>
      <c r="B188" s="1590" t="s">
        <v>6907</v>
      </c>
      <c r="C188" s="1594" t="s">
        <v>6885</v>
      </c>
      <c r="D188" s="1701">
        <v>1.0</v>
      </c>
      <c r="E188" s="1701">
        <v>1.0</v>
      </c>
      <c r="F188" s="1701">
        <v>1.0</v>
      </c>
      <c r="G188" s="1701">
        <v>1.0</v>
      </c>
      <c r="H188" s="549">
        <v>2.0</v>
      </c>
      <c r="I188" s="1710">
        <v>2.0</v>
      </c>
      <c r="J188" s="1735"/>
      <c r="K188" s="1708">
        <v>0.0</v>
      </c>
      <c r="L188" s="1701">
        <v>0.0</v>
      </c>
      <c r="M188" s="1701">
        <v>0.0</v>
      </c>
      <c r="N188" s="1701">
        <v>1.0</v>
      </c>
      <c r="O188" s="1710">
        <v>0.0</v>
      </c>
      <c r="P188" s="1167"/>
      <c r="Q188" s="1167"/>
      <c r="R188" s="549">
        <v>0.0</v>
      </c>
      <c r="S188" s="1701">
        <v>0.0</v>
      </c>
      <c r="T188" s="1701">
        <v>0.0</v>
      </c>
      <c r="U188" s="1701">
        <v>1.0</v>
      </c>
      <c r="V188" s="1701">
        <v>0.0</v>
      </c>
      <c r="W188" s="1701">
        <v>0.0</v>
      </c>
      <c r="X188" s="548">
        <v>2.0</v>
      </c>
      <c r="Y188" s="548">
        <v>0.0</v>
      </c>
      <c r="Z188" s="548">
        <v>0.0</v>
      </c>
      <c r="AA188" s="1701">
        <v>0.0</v>
      </c>
      <c r="AB188" s="1701">
        <v>0.0</v>
      </c>
      <c r="AC188" s="1701">
        <v>0.0</v>
      </c>
      <c r="AD188" s="1701"/>
      <c r="AE188" s="1701">
        <v>0.0</v>
      </c>
      <c r="AF188" s="1701">
        <v>0.0</v>
      </c>
      <c r="AG188" s="1701">
        <v>0.0</v>
      </c>
      <c r="AH188" s="1701">
        <v>0.0</v>
      </c>
      <c r="AI188" s="1701">
        <v>0.0</v>
      </c>
      <c r="AJ188" s="1701">
        <v>1.0</v>
      </c>
      <c r="AK188" s="1701">
        <v>1.0</v>
      </c>
      <c r="AL188" s="1701">
        <v>0.0</v>
      </c>
      <c r="AM188" s="1701">
        <v>1.0</v>
      </c>
      <c r="AN188" s="549">
        <v>2.0</v>
      </c>
      <c r="AO188" s="549">
        <v>0.0</v>
      </c>
      <c r="AP188" s="549">
        <v>0.0</v>
      </c>
      <c r="AQ188" s="549">
        <v>0.0</v>
      </c>
      <c r="AR188" s="549">
        <v>0.0</v>
      </c>
      <c r="AS188" s="549"/>
      <c r="AT188" s="549">
        <v>0.0</v>
      </c>
      <c r="AU188" s="549"/>
      <c r="AV188" s="549"/>
      <c r="AW188" s="549"/>
      <c r="AX188" s="549"/>
      <c r="AY188" s="549"/>
      <c r="AZ188" s="549"/>
      <c r="BA188" s="549">
        <f t="shared" si="8"/>
        <v>17</v>
      </c>
      <c r="BB188" s="549"/>
    </row>
    <row r="189">
      <c r="A189" s="1687" t="s">
        <v>6992</v>
      </c>
      <c r="B189" s="1590" t="s">
        <v>6908</v>
      </c>
      <c r="C189" s="1594" t="s">
        <v>6885</v>
      </c>
      <c r="D189" s="1701">
        <v>1.0</v>
      </c>
      <c r="E189" s="1701">
        <v>1.0</v>
      </c>
      <c r="F189" s="1701">
        <v>0.0</v>
      </c>
      <c r="G189" s="1701">
        <v>0.0</v>
      </c>
      <c r="H189" s="549">
        <v>0.0</v>
      </c>
      <c r="I189" s="1710">
        <v>2.0</v>
      </c>
      <c r="J189" s="1710">
        <v>2.0</v>
      </c>
      <c r="K189" s="1708">
        <v>0.0</v>
      </c>
      <c r="L189" s="1701">
        <v>0.0</v>
      </c>
      <c r="M189" s="1701">
        <v>1.0</v>
      </c>
      <c r="N189" s="1725"/>
      <c r="O189" s="1710">
        <v>0.0</v>
      </c>
      <c r="P189" s="1167"/>
      <c r="Q189" s="1167"/>
      <c r="R189" s="549">
        <v>0.0</v>
      </c>
      <c r="S189" s="1701">
        <v>0.0</v>
      </c>
      <c r="T189" s="1701">
        <v>1.0</v>
      </c>
      <c r="U189" s="1701">
        <v>2.0</v>
      </c>
      <c r="V189" s="1701">
        <v>1.0</v>
      </c>
      <c r="W189" s="1701">
        <v>0.0</v>
      </c>
      <c r="X189" s="548">
        <v>2.0</v>
      </c>
      <c r="Y189" s="548">
        <v>0.0</v>
      </c>
      <c r="Z189" s="548">
        <v>0.0</v>
      </c>
      <c r="AA189" s="1701">
        <v>0.0</v>
      </c>
      <c r="AB189" s="1701">
        <v>0.0</v>
      </c>
      <c r="AC189" s="1701">
        <v>0.0</v>
      </c>
      <c r="AD189" s="1701"/>
      <c r="AE189" s="1701">
        <v>0.0</v>
      </c>
      <c r="AF189" s="1701">
        <v>0.0</v>
      </c>
      <c r="AG189" s="1701">
        <v>0.0</v>
      </c>
      <c r="AH189" s="1701">
        <v>2.0</v>
      </c>
      <c r="AI189" s="1701">
        <v>0.0</v>
      </c>
      <c r="AJ189" s="1701">
        <v>0.0</v>
      </c>
      <c r="AK189" s="1701">
        <v>0.0</v>
      </c>
      <c r="AL189" s="1701">
        <v>0.0</v>
      </c>
      <c r="AM189" s="1701">
        <v>0.0</v>
      </c>
      <c r="AN189" s="549">
        <v>0.0</v>
      </c>
      <c r="AO189" s="549">
        <v>0.0</v>
      </c>
      <c r="AP189" s="549">
        <v>3.0</v>
      </c>
      <c r="AQ189" s="549">
        <v>0.0</v>
      </c>
      <c r="AR189" s="549">
        <v>0.0</v>
      </c>
      <c r="AS189" s="549"/>
      <c r="AT189" s="549">
        <v>0.0</v>
      </c>
      <c r="AU189" s="549"/>
      <c r="AV189" s="549"/>
      <c r="AW189" s="549"/>
      <c r="AX189" s="549"/>
      <c r="AY189" s="549"/>
      <c r="AZ189" s="549"/>
      <c r="BA189" s="549">
        <f t="shared" si="8"/>
        <v>18</v>
      </c>
      <c r="BB189" s="549"/>
    </row>
    <row r="190">
      <c r="A190" s="1687" t="s">
        <v>6992</v>
      </c>
      <c r="B190" s="1590" t="s">
        <v>6909</v>
      </c>
      <c r="C190" s="1594" t="s">
        <v>6885</v>
      </c>
      <c r="D190" s="1701">
        <v>0.0</v>
      </c>
      <c r="E190" s="1701">
        <v>1.0</v>
      </c>
      <c r="F190" s="1701">
        <v>0.0</v>
      </c>
      <c r="G190" s="1701">
        <v>0.0</v>
      </c>
      <c r="H190" s="549">
        <v>2.0</v>
      </c>
      <c r="I190" s="1710">
        <v>1.0</v>
      </c>
      <c r="J190" s="1710">
        <v>1.0</v>
      </c>
      <c r="K190" s="1708">
        <v>0.0</v>
      </c>
      <c r="L190" s="1701">
        <v>0.0</v>
      </c>
      <c r="M190" s="1701">
        <v>0.0</v>
      </c>
      <c r="N190" s="1725"/>
      <c r="O190" s="1710">
        <v>0.0</v>
      </c>
      <c r="P190" s="1167"/>
      <c r="Q190" s="1167"/>
      <c r="R190" s="549">
        <v>0.0</v>
      </c>
      <c r="S190" s="1701">
        <v>0.0</v>
      </c>
      <c r="T190" s="1701">
        <v>1.0</v>
      </c>
      <c r="U190" s="1701">
        <v>1.0</v>
      </c>
      <c r="V190" s="1701">
        <v>0.0</v>
      </c>
      <c r="W190" s="1701">
        <v>0.0</v>
      </c>
      <c r="X190" s="548">
        <v>1.0</v>
      </c>
      <c r="Y190" s="548">
        <v>0.0</v>
      </c>
      <c r="Z190" s="548">
        <v>0.0</v>
      </c>
      <c r="AA190" s="1701">
        <v>0.0</v>
      </c>
      <c r="AB190" s="1701">
        <v>1.0</v>
      </c>
      <c r="AC190" s="1701">
        <v>0.0</v>
      </c>
      <c r="AD190" s="1701"/>
      <c r="AE190" s="1701">
        <v>0.0</v>
      </c>
      <c r="AF190" s="1701">
        <v>1.0</v>
      </c>
      <c r="AG190" s="1701">
        <v>0.0</v>
      </c>
      <c r="AH190" s="1701">
        <v>1.0</v>
      </c>
      <c r="AI190" s="1701">
        <v>0.0</v>
      </c>
      <c r="AJ190" s="1701">
        <v>0.0</v>
      </c>
      <c r="AK190" s="1701">
        <v>3.0</v>
      </c>
      <c r="AL190" s="1701">
        <v>0.0</v>
      </c>
      <c r="AM190" s="1701">
        <v>0.0</v>
      </c>
      <c r="AN190" s="549">
        <v>0.0</v>
      </c>
      <c r="AO190" s="549">
        <v>0.0</v>
      </c>
      <c r="AP190" s="549">
        <v>0.0</v>
      </c>
      <c r="AQ190" s="549">
        <v>0.0</v>
      </c>
      <c r="AR190" s="549">
        <v>0.0</v>
      </c>
      <c r="AS190" s="549"/>
      <c r="AT190" s="549">
        <v>0.0</v>
      </c>
      <c r="AU190" s="549"/>
      <c r="AV190" s="549"/>
      <c r="AW190" s="549"/>
      <c r="AX190" s="549"/>
      <c r="AY190" s="549"/>
      <c r="AZ190" s="549"/>
      <c r="BA190" s="549">
        <f t="shared" si="8"/>
        <v>14</v>
      </c>
      <c r="BB190" s="549"/>
    </row>
    <row r="191">
      <c r="A191" s="1714" t="s">
        <v>6992</v>
      </c>
      <c r="B191" s="1715" t="s">
        <v>6913</v>
      </c>
      <c r="C191" s="1731" t="s">
        <v>6885</v>
      </c>
      <c r="D191" s="1732">
        <v>0.0</v>
      </c>
      <c r="E191" s="1732">
        <v>3.0</v>
      </c>
      <c r="F191" s="1732">
        <v>2.0</v>
      </c>
      <c r="G191" s="1732">
        <v>6.0</v>
      </c>
      <c r="H191" s="1721">
        <v>7.0</v>
      </c>
      <c r="I191" s="1732">
        <v>6.0</v>
      </c>
      <c r="J191" s="1732">
        <v>5.0</v>
      </c>
      <c r="K191" s="1736">
        <v>3.0</v>
      </c>
      <c r="L191" s="1721">
        <v>2.0</v>
      </c>
      <c r="M191" s="1721">
        <v>6.0</v>
      </c>
      <c r="N191" s="1721">
        <v>0.0</v>
      </c>
      <c r="O191" s="1722">
        <v>5.0</v>
      </c>
      <c r="P191" s="1721">
        <v>9.0</v>
      </c>
      <c r="Q191" s="1722"/>
      <c r="R191" s="1732">
        <v>3.0</v>
      </c>
      <c r="S191" s="1732">
        <v>3.0</v>
      </c>
      <c r="T191" s="1732">
        <v>7.0</v>
      </c>
      <c r="U191" s="1732">
        <v>7.0</v>
      </c>
      <c r="V191" s="1732">
        <v>5.0</v>
      </c>
      <c r="W191" s="1701">
        <v>1.0</v>
      </c>
      <c r="X191" s="548">
        <v>8.0</v>
      </c>
      <c r="Y191" s="548">
        <v>4.0</v>
      </c>
      <c r="Z191" s="548">
        <v>7.0</v>
      </c>
      <c r="AA191" s="1701">
        <v>0.0</v>
      </c>
      <c r="AB191" s="1701">
        <v>2.0</v>
      </c>
      <c r="AC191" s="1701">
        <v>8.0</v>
      </c>
      <c r="AD191" s="1701"/>
      <c r="AE191" s="1701">
        <v>6.0</v>
      </c>
      <c r="AF191" s="1701">
        <v>4.0</v>
      </c>
      <c r="AG191" s="1701">
        <v>1.0</v>
      </c>
      <c r="AH191" s="1701">
        <v>2.0</v>
      </c>
      <c r="AI191" s="1701">
        <v>0.0</v>
      </c>
      <c r="AJ191" s="1701">
        <v>15.0</v>
      </c>
      <c r="AK191" s="1701">
        <v>6.0</v>
      </c>
      <c r="AL191" s="1701">
        <v>3.0</v>
      </c>
      <c r="AM191" s="1701">
        <v>4.0</v>
      </c>
      <c r="AN191" s="1723">
        <v>4.0</v>
      </c>
      <c r="AO191" s="1723">
        <v>0.0</v>
      </c>
      <c r="AP191" s="1723">
        <v>0.0</v>
      </c>
      <c r="AQ191" s="1723">
        <v>0.0</v>
      </c>
      <c r="AR191" s="1723">
        <v>0.0</v>
      </c>
      <c r="AS191" s="1723"/>
      <c r="AT191" s="1723">
        <v>0.0</v>
      </c>
      <c r="AU191" s="1723"/>
      <c r="AV191" s="1723"/>
      <c r="AW191" s="1723"/>
      <c r="AX191" s="1723"/>
      <c r="AY191" s="1723"/>
      <c r="AZ191" s="1723"/>
      <c r="BA191" s="549">
        <f t="shared" si="8"/>
        <v>154</v>
      </c>
      <c r="BB191" s="1723" t="s">
        <v>6989</v>
      </c>
    </row>
    <row r="192">
      <c r="A192" s="1714" t="s">
        <v>6992</v>
      </c>
      <c r="B192" s="1715" t="s">
        <v>6914</v>
      </c>
      <c r="C192" s="1731" t="s">
        <v>6885</v>
      </c>
      <c r="D192" s="1732">
        <v>3.0</v>
      </c>
      <c r="E192" s="1732">
        <v>10.0</v>
      </c>
      <c r="F192" s="1732">
        <v>4.0</v>
      </c>
      <c r="G192" s="1732">
        <v>2.0</v>
      </c>
      <c r="H192" s="1721">
        <v>2.0</v>
      </c>
      <c r="I192" s="1732">
        <v>4.0</v>
      </c>
      <c r="J192" s="1732">
        <v>15.0</v>
      </c>
      <c r="K192" s="1737">
        <v>2.0</v>
      </c>
      <c r="L192" s="1721">
        <v>4.0</v>
      </c>
      <c r="M192" s="1721">
        <v>3.0</v>
      </c>
      <c r="N192" s="1721">
        <v>1.0</v>
      </c>
      <c r="O192" s="1722">
        <v>6.0</v>
      </c>
      <c r="P192" s="1721">
        <v>4.0</v>
      </c>
      <c r="Q192" s="1722"/>
      <c r="R192" s="1732">
        <v>3.0</v>
      </c>
      <c r="S192" s="1732">
        <v>10.0</v>
      </c>
      <c r="T192" s="1732">
        <v>10.0</v>
      </c>
      <c r="U192" s="1732">
        <v>1.0</v>
      </c>
      <c r="V192" s="1732">
        <v>12.0</v>
      </c>
      <c r="W192" s="1701">
        <v>7.0</v>
      </c>
      <c r="X192" s="548">
        <v>12.0</v>
      </c>
      <c r="Y192" s="548">
        <v>2.0</v>
      </c>
      <c r="Z192" s="548">
        <v>0.0</v>
      </c>
      <c r="AA192" s="1701">
        <v>1.0</v>
      </c>
      <c r="AB192" s="1701">
        <v>4.0</v>
      </c>
      <c r="AC192" s="1701">
        <v>1.0</v>
      </c>
      <c r="AD192" s="1701"/>
      <c r="AE192" s="1701">
        <v>8.0</v>
      </c>
      <c r="AF192" s="1701">
        <v>4.0</v>
      </c>
      <c r="AG192" s="1701">
        <v>0.0</v>
      </c>
      <c r="AH192" s="1701">
        <v>3.0</v>
      </c>
      <c r="AI192" s="1701">
        <v>0.0</v>
      </c>
      <c r="AJ192" s="1701">
        <v>3.0</v>
      </c>
      <c r="AK192" s="1701">
        <v>3.0</v>
      </c>
      <c r="AL192" s="1701">
        <v>3.0</v>
      </c>
      <c r="AM192" s="1701">
        <v>5.0</v>
      </c>
      <c r="AN192" s="1723">
        <v>8.0</v>
      </c>
      <c r="AO192" s="1723">
        <v>13.0</v>
      </c>
      <c r="AP192" s="1723">
        <v>0.0</v>
      </c>
      <c r="AQ192" s="1723">
        <v>0.0</v>
      </c>
      <c r="AR192" s="1723">
        <v>0.0</v>
      </c>
      <c r="AS192" s="1723"/>
      <c r="AT192" s="1723">
        <v>20.0</v>
      </c>
      <c r="AU192" s="1723"/>
      <c r="AV192" s="1723"/>
      <c r="AW192" s="1723"/>
      <c r="AX192" s="1723"/>
      <c r="AY192" s="1723"/>
      <c r="AZ192" s="1723"/>
      <c r="BA192" s="549">
        <f t="shared" si="8"/>
        <v>193</v>
      </c>
      <c r="BB192" s="1723" t="s">
        <v>6989</v>
      </c>
    </row>
    <row r="193">
      <c r="A193" s="1714" t="s">
        <v>6992</v>
      </c>
      <c r="B193" s="1715" t="s">
        <v>6915</v>
      </c>
      <c r="C193" s="1731" t="s">
        <v>6885</v>
      </c>
      <c r="D193" s="1732">
        <v>1.0</v>
      </c>
      <c r="E193" s="1732">
        <v>0.0</v>
      </c>
      <c r="F193" s="1732">
        <v>3.0</v>
      </c>
      <c r="G193" s="1732">
        <v>1.0</v>
      </c>
      <c r="H193" s="1721">
        <v>1.0</v>
      </c>
      <c r="I193" s="1732">
        <v>2.0</v>
      </c>
      <c r="J193" s="1732">
        <v>6.0</v>
      </c>
      <c r="K193" s="1734">
        <v>7.0</v>
      </c>
      <c r="L193" s="1721">
        <v>2.0</v>
      </c>
      <c r="M193" s="1721">
        <v>1.0</v>
      </c>
      <c r="N193" s="1721">
        <v>2.0</v>
      </c>
      <c r="O193" s="1722">
        <v>4.0</v>
      </c>
      <c r="P193" s="1721">
        <v>7.0</v>
      </c>
      <c r="Q193" s="1722"/>
      <c r="R193" s="1732">
        <v>4.0</v>
      </c>
      <c r="S193" s="1732">
        <v>3.0</v>
      </c>
      <c r="T193" s="1732">
        <v>7.0</v>
      </c>
      <c r="U193" s="1732">
        <v>2.0</v>
      </c>
      <c r="V193" s="1732">
        <v>8.0</v>
      </c>
      <c r="W193" s="1701">
        <v>3.0</v>
      </c>
      <c r="X193" s="548">
        <v>5.0</v>
      </c>
      <c r="Y193" s="548">
        <v>3.0</v>
      </c>
      <c r="Z193" s="548">
        <v>8.0</v>
      </c>
      <c r="AA193" s="1701">
        <v>6.0</v>
      </c>
      <c r="AB193" s="1701">
        <v>2.0</v>
      </c>
      <c r="AC193" s="1701">
        <v>1.0</v>
      </c>
      <c r="AD193" s="1701"/>
      <c r="AE193" s="1701">
        <v>1.0</v>
      </c>
      <c r="AF193" s="1701">
        <v>1.0</v>
      </c>
      <c r="AG193" s="1701">
        <v>3.0</v>
      </c>
      <c r="AH193" s="1701">
        <v>2.0</v>
      </c>
      <c r="AI193" s="1701">
        <v>3.0</v>
      </c>
      <c r="AJ193" s="1701">
        <v>7.0</v>
      </c>
      <c r="AK193" s="1701">
        <v>7.0</v>
      </c>
      <c r="AL193" s="1701">
        <v>3.0</v>
      </c>
      <c r="AM193" s="1701">
        <v>1.0</v>
      </c>
      <c r="AN193" s="1723">
        <v>3.0</v>
      </c>
      <c r="AO193" s="1723">
        <v>3.0</v>
      </c>
      <c r="AP193" s="1723">
        <v>6.0</v>
      </c>
      <c r="AQ193" s="1723">
        <v>0.0</v>
      </c>
      <c r="AR193" s="1723">
        <v>6.0</v>
      </c>
      <c r="AS193" s="1723"/>
      <c r="AT193" s="1723">
        <v>13.0</v>
      </c>
      <c r="AU193" s="1723"/>
      <c r="AV193" s="1723"/>
      <c r="AW193" s="1723"/>
      <c r="AX193" s="1723"/>
      <c r="AY193" s="1723"/>
      <c r="AZ193" s="1723"/>
      <c r="BA193" s="549">
        <f t="shared" si="8"/>
        <v>148</v>
      </c>
      <c r="BB193" s="1723" t="s">
        <v>6989</v>
      </c>
    </row>
    <row r="194">
      <c r="A194" s="1724"/>
      <c r="B194" s="1550"/>
      <c r="C194" s="1550"/>
      <c r="D194" s="1725"/>
      <c r="E194" s="1725"/>
      <c r="F194" s="1725"/>
      <c r="G194" s="1725"/>
      <c r="H194" s="1167"/>
      <c r="I194" s="1725"/>
      <c r="J194" s="1701"/>
      <c r="K194" s="1708"/>
      <c r="L194" s="1725"/>
      <c r="M194" s="1725"/>
      <c r="N194" s="1725"/>
      <c r="O194" s="1725"/>
      <c r="P194" s="1725"/>
      <c r="Q194" s="1725"/>
      <c r="R194" s="1725"/>
      <c r="S194" s="1725"/>
      <c r="T194" s="1725"/>
      <c r="U194" s="1725"/>
      <c r="V194" s="1725"/>
      <c r="W194" s="1725"/>
      <c r="X194" s="280"/>
      <c r="Y194" s="280"/>
      <c r="Z194" s="280"/>
      <c r="AA194" s="1725"/>
      <c r="AB194" s="1725"/>
      <c r="AC194" s="1725"/>
      <c r="AD194" s="1725"/>
      <c r="AE194" s="1725"/>
      <c r="AF194" s="1725"/>
      <c r="AG194" s="1725"/>
      <c r="AH194" s="1725"/>
      <c r="AI194" s="1725"/>
      <c r="AJ194" s="1725"/>
      <c r="AK194" s="1725"/>
      <c r="AL194" s="1725"/>
      <c r="AM194" s="1725"/>
      <c r="AN194" s="549"/>
      <c r="AO194" s="549"/>
      <c r="AP194" s="549"/>
      <c r="AQ194" s="549"/>
      <c r="AR194" s="549"/>
      <c r="AS194" s="549"/>
      <c r="AT194" s="549"/>
      <c r="AU194" s="549"/>
      <c r="AV194" s="549"/>
      <c r="AW194" s="549"/>
      <c r="AX194" s="549"/>
      <c r="AY194" s="549"/>
      <c r="AZ194" s="549"/>
      <c r="BA194" s="549"/>
      <c r="BB194" s="549"/>
    </row>
    <row r="195">
      <c r="A195" s="1724"/>
      <c r="B195" s="1550"/>
      <c r="C195" s="1550"/>
      <c r="D195" s="1725"/>
      <c r="E195" s="1725"/>
      <c r="F195" s="1725"/>
      <c r="G195" s="1725"/>
      <c r="H195" s="1167"/>
      <c r="I195" s="1725"/>
      <c r="J195" s="1725"/>
      <c r="K195" s="1708"/>
      <c r="L195" s="1725"/>
      <c r="M195" s="1725"/>
      <c r="N195" s="1725"/>
      <c r="O195" s="1725"/>
      <c r="P195" s="1725"/>
      <c r="Q195" s="1725"/>
      <c r="R195" s="1725"/>
      <c r="S195" s="1725"/>
      <c r="T195" s="1725"/>
      <c r="U195" s="1725"/>
      <c r="V195" s="1725"/>
      <c r="W195" s="1725"/>
      <c r="X195" s="280"/>
      <c r="Y195" s="280"/>
      <c r="Z195" s="280"/>
      <c r="AA195" s="1725"/>
      <c r="AB195" s="1725"/>
      <c r="AC195" s="1725"/>
      <c r="AD195" s="1725"/>
      <c r="AE195" s="1725"/>
      <c r="AF195" s="1725"/>
      <c r="AG195" s="1725"/>
      <c r="AH195" s="1725"/>
      <c r="AI195" s="1725"/>
      <c r="AJ195" s="1725"/>
      <c r="AK195" s="1725"/>
      <c r="AL195" s="1725"/>
      <c r="AM195" s="1725"/>
      <c r="AN195" s="549"/>
      <c r="AO195" s="549"/>
      <c r="AP195" s="549"/>
      <c r="AQ195" s="549"/>
      <c r="AR195" s="549"/>
      <c r="AS195" s="549"/>
      <c r="AT195" s="549"/>
      <c r="AU195" s="549"/>
      <c r="AV195" s="549"/>
      <c r="AW195" s="549"/>
      <c r="AX195" s="549"/>
      <c r="AY195" s="549"/>
      <c r="AZ195" s="549"/>
      <c r="BA195" s="549"/>
      <c r="BB195" s="549"/>
    </row>
    <row r="196">
      <c r="A196" s="1726"/>
      <c r="B196" s="1727" t="s">
        <v>6882</v>
      </c>
      <c r="D196" s="1725"/>
      <c r="E196" s="1725"/>
      <c r="F196" s="1725"/>
      <c r="G196" s="1725"/>
      <c r="H196" s="1167"/>
      <c r="I196" s="1725"/>
      <c r="J196" s="1725"/>
      <c r="K196" s="1708"/>
      <c r="L196" s="1725"/>
      <c r="M196" s="1725"/>
      <c r="N196" s="1725"/>
      <c r="O196" s="1725"/>
      <c r="P196" s="1725"/>
      <c r="Q196" s="1725"/>
      <c r="R196" s="1725"/>
      <c r="S196" s="1725"/>
      <c r="T196" s="1725"/>
      <c r="U196" s="1725"/>
      <c r="V196" s="1725"/>
      <c r="W196" s="1725"/>
      <c r="X196" s="280"/>
      <c r="Y196" s="280"/>
      <c r="Z196" s="280"/>
      <c r="AA196" s="1725"/>
      <c r="AB196" s="1725"/>
      <c r="AC196" s="1725"/>
      <c r="AD196" s="1725"/>
      <c r="AE196" s="1725"/>
      <c r="AF196" s="1725"/>
      <c r="AG196" s="1725"/>
      <c r="AH196" s="1725"/>
      <c r="AI196" s="1725"/>
      <c r="AJ196" s="1701"/>
      <c r="AK196" s="1725"/>
      <c r="AL196" s="1725"/>
      <c r="AM196" s="1725"/>
      <c r="AN196" s="549"/>
      <c r="AO196" s="549"/>
      <c r="AP196" s="549"/>
      <c r="AQ196" s="549"/>
      <c r="AR196" s="549"/>
      <c r="AS196" s="549"/>
      <c r="AT196" s="549"/>
      <c r="AU196" s="549"/>
      <c r="AV196" s="549"/>
      <c r="AW196" s="549"/>
      <c r="AX196" s="549"/>
      <c r="AY196" s="549"/>
      <c r="AZ196" s="549"/>
      <c r="BA196" s="549"/>
      <c r="BB196" s="549"/>
    </row>
    <row r="197">
      <c r="A197" s="1687" t="s">
        <v>6992</v>
      </c>
      <c r="B197" s="1634" t="s">
        <v>6888</v>
      </c>
      <c r="C197" s="1687" t="s">
        <v>6886</v>
      </c>
      <c r="D197" s="1701">
        <v>0.0</v>
      </c>
      <c r="E197" s="1701">
        <v>0.0</v>
      </c>
      <c r="F197" s="1701">
        <v>0.0</v>
      </c>
      <c r="G197" s="1701">
        <v>0.0</v>
      </c>
      <c r="H197" s="549">
        <v>0.0</v>
      </c>
      <c r="I197" s="1710">
        <v>0.0</v>
      </c>
      <c r="J197" s="1710">
        <v>0.0</v>
      </c>
      <c r="K197" s="1167">
        <v>0.0</v>
      </c>
      <c r="L197" s="1167"/>
      <c r="M197" s="549">
        <v>0.0</v>
      </c>
      <c r="N197" s="549">
        <v>0.0</v>
      </c>
      <c r="O197" s="1710">
        <v>0.0</v>
      </c>
      <c r="P197" s="1167"/>
      <c r="Q197" s="1167">
        <v>0.0</v>
      </c>
      <c r="R197" s="549">
        <v>0.0</v>
      </c>
      <c r="S197" s="549">
        <v>0.0</v>
      </c>
      <c r="T197" s="549">
        <v>0.0</v>
      </c>
      <c r="U197" s="1701">
        <v>0.0</v>
      </c>
      <c r="V197" s="1701">
        <v>0.0</v>
      </c>
      <c r="W197" s="1701">
        <v>0.0</v>
      </c>
      <c r="X197" s="548">
        <v>0.0</v>
      </c>
      <c r="Y197" s="548">
        <v>0.0</v>
      </c>
      <c r="Z197" s="548">
        <v>0.0</v>
      </c>
      <c r="AA197" s="1701">
        <v>0.0</v>
      </c>
      <c r="AB197" s="1701">
        <v>0.0</v>
      </c>
      <c r="AC197" s="1701">
        <v>0.0</v>
      </c>
      <c r="AD197" s="1701"/>
      <c r="AE197" s="1701">
        <v>0.0</v>
      </c>
      <c r="AF197" s="1701">
        <v>0.0</v>
      </c>
      <c r="AG197" s="1701">
        <v>1.0</v>
      </c>
      <c r="AH197" s="1701">
        <v>0.0</v>
      </c>
      <c r="AI197" s="1701">
        <v>0.0</v>
      </c>
      <c r="AJ197" s="1701">
        <v>0.0</v>
      </c>
      <c r="AK197" s="1701">
        <v>0.0</v>
      </c>
      <c r="AL197" s="1701">
        <v>0.0</v>
      </c>
      <c r="AM197" s="1701">
        <v>0.0</v>
      </c>
      <c r="AN197" s="549">
        <v>0.0</v>
      </c>
      <c r="AO197" s="549">
        <v>0.0</v>
      </c>
      <c r="AP197" s="549">
        <v>0.0</v>
      </c>
      <c r="AQ197" s="549">
        <v>0.0</v>
      </c>
      <c r="AR197" s="549">
        <v>0.0</v>
      </c>
      <c r="AS197" s="549">
        <v>2.0</v>
      </c>
      <c r="AT197" s="549">
        <v>0.0</v>
      </c>
      <c r="AU197" s="549"/>
      <c r="AV197" s="549"/>
      <c r="AW197" s="549"/>
      <c r="AX197" s="549"/>
      <c r="AY197" s="549"/>
      <c r="AZ197" s="549"/>
      <c r="BA197" s="549">
        <f t="shared" ref="BA197:BA215" si="9">SUM(D197:AZ197)</f>
        <v>3</v>
      </c>
      <c r="BB197" s="549" t="s">
        <v>6988</v>
      </c>
    </row>
    <row r="198">
      <c r="A198" s="1687" t="s">
        <v>6992</v>
      </c>
      <c r="B198" s="1634" t="s">
        <v>6889</v>
      </c>
      <c r="C198" s="1687" t="s">
        <v>6886</v>
      </c>
      <c r="D198" s="1701">
        <v>0.0</v>
      </c>
      <c r="E198" s="1701">
        <v>0.0</v>
      </c>
      <c r="F198" s="1701">
        <v>0.0</v>
      </c>
      <c r="G198" s="1701">
        <v>0.0</v>
      </c>
      <c r="H198" s="549">
        <v>0.0</v>
      </c>
      <c r="I198" s="1710">
        <v>0.0</v>
      </c>
      <c r="J198" s="1710">
        <v>0.0</v>
      </c>
      <c r="K198" s="1167">
        <v>0.0</v>
      </c>
      <c r="L198" s="1167"/>
      <c r="M198" s="549">
        <v>0.0</v>
      </c>
      <c r="N198" s="549">
        <v>0.0</v>
      </c>
      <c r="O198" s="1710">
        <v>0.0</v>
      </c>
      <c r="P198" s="1167"/>
      <c r="Q198" s="1167">
        <v>0.0</v>
      </c>
      <c r="R198" s="549">
        <v>0.0</v>
      </c>
      <c r="S198" s="549">
        <v>0.0</v>
      </c>
      <c r="T198" s="549">
        <v>0.0</v>
      </c>
      <c r="U198" s="1701">
        <v>0.0</v>
      </c>
      <c r="V198" s="1701">
        <v>0.0</v>
      </c>
      <c r="W198" s="1701">
        <v>0.0</v>
      </c>
      <c r="X198" s="548">
        <v>0.0</v>
      </c>
      <c r="Y198" s="548">
        <v>0.0</v>
      </c>
      <c r="Z198" s="548">
        <v>0.0</v>
      </c>
      <c r="AA198" s="1701">
        <v>0.0</v>
      </c>
      <c r="AB198" s="1701">
        <v>0.0</v>
      </c>
      <c r="AC198" s="1701">
        <v>0.0</v>
      </c>
      <c r="AD198" s="1701"/>
      <c r="AE198" s="1701">
        <v>0.0</v>
      </c>
      <c r="AF198" s="1701">
        <v>0.0</v>
      </c>
      <c r="AG198" s="1701">
        <v>0.0</v>
      </c>
      <c r="AH198" s="1701">
        <v>0.0</v>
      </c>
      <c r="AI198" s="1701">
        <v>0.0</v>
      </c>
      <c r="AJ198" s="1701">
        <v>0.0</v>
      </c>
      <c r="AK198" s="1701">
        <v>0.0</v>
      </c>
      <c r="AL198" s="1701">
        <v>0.0</v>
      </c>
      <c r="AM198" s="1701">
        <v>0.0</v>
      </c>
      <c r="AN198" s="549">
        <v>0.0</v>
      </c>
      <c r="AO198" s="549">
        <v>0.0</v>
      </c>
      <c r="AP198" s="549">
        <v>0.0</v>
      </c>
      <c r="AQ198" s="549">
        <v>0.0</v>
      </c>
      <c r="AR198" s="549">
        <v>0.0</v>
      </c>
      <c r="AS198" s="549"/>
      <c r="AT198" s="549">
        <v>0.0</v>
      </c>
      <c r="AU198" s="549"/>
      <c r="AV198" s="549"/>
      <c r="AW198" s="549"/>
      <c r="AX198" s="549"/>
      <c r="AY198" s="549"/>
      <c r="AZ198" s="549"/>
      <c r="BA198" s="549">
        <f t="shared" si="9"/>
        <v>0</v>
      </c>
      <c r="BB198" s="549" t="s">
        <v>6988</v>
      </c>
    </row>
    <row r="199">
      <c r="A199" s="1687" t="s">
        <v>6992</v>
      </c>
      <c r="B199" s="1634" t="s">
        <v>6676</v>
      </c>
      <c r="C199" s="1687" t="s">
        <v>6886</v>
      </c>
      <c r="D199" s="1701">
        <v>0.0</v>
      </c>
      <c r="E199" s="1701">
        <v>0.0</v>
      </c>
      <c r="F199" s="1701">
        <v>0.0</v>
      </c>
      <c r="G199" s="1701">
        <v>0.0</v>
      </c>
      <c r="H199" s="549">
        <v>0.0</v>
      </c>
      <c r="I199" s="1710">
        <v>0.0</v>
      </c>
      <c r="J199" s="1710">
        <v>0.0</v>
      </c>
      <c r="K199" s="1167">
        <v>0.0</v>
      </c>
      <c r="L199" s="1167"/>
      <c r="M199" s="549">
        <v>0.0</v>
      </c>
      <c r="N199" s="549">
        <v>0.0</v>
      </c>
      <c r="O199" s="1710">
        <v>0.0</v>
      </c>
      <c r="P199" s="1167"/>
      <c r="Q199" s="1167">
        <v>1.0</v>
      </c>
      <c r="R199" s="549">
        <v>0.0</v>
      </c>
      <c r="S199" s="549">
        <v>0.0</v>
      </c>
      <c r="T199" s="549">
        <v>0.0</v>
      </c>
      <c r="U199" s="1701">
        <v>1.0</v>
      </c>
      <c r="V199" s="1701">
        <v>0.0</v>
      </c>
      <c r="W199" s="1701">
        <v>0.0</v>
      </c>
      <c r="X199" s="548">
        <v>0.0</v>
      </c>
      <c r="Y199" s="548">
        <v>0.0</v>
      </c>
      <c r="Z199" s="548">
        <v>0.0</v>
      </c>
      <c r="AA199" s="1701">
        <v>0.0</v>
      </c>
      <c r="AB199" s="1701">
        <v>0.0</v>
      </c>
      <c r="AC199" s="1701">
        <v>0.0</v>
      </c>
      <c r="AD199" s="1701"/>
      <c r="AE199" s="1701">
        <v>0.0</v>
      </c>
      <c r="AF199" s="1701">
        <v>0.0</v>
      </c>
      <c r="AG199" s="1701">
        <v>0.0</v>
      </c>
      <c r="AH199" s="1701">
        <v>0.0</v>
      </c>
      <c r="AI199" s="1701">
        <v>0.0</v>
      </c>
      <c r="AJ199" s="1701">
        <v>0.0</v>
      </c>
      <c r="AK199" s="1701">
        <v>0.0</v>
      </c>
      <c r="AL199" s="1701">
        <v>0.0</v>
      </c>
      <c r="AM199" s="1701">
        <v>0.0</v>
      </c>
      <c r="AN199" s="549">
        <v>0.0</v>
      </c>
      <c r="AO199" s="549">
        <v>0.0</v>
      </c>
      <c r="AP199" s="549">
        <v>0.0</v>
      </c>
      <c r="AQ199" s="549">
        <v>0.0</v>
      </c>
      <c r="AR199" s="549">
        <v>0.0</v>
      </c>
      <c r="AS199" s="549"/>
      <c r="AT199" s="549">
        <v>3.0</v>
      </c>
      <c r="AU199" s="549"/>
      <c r="AV199" s="549"/>
      <c r="AW199" s="549"/>
      <c r="AX199" s="549"/>
      <c r="AY199" s="549"/>
      <c r="AZ199" s="549"/>
      <c r="BA199" s="549">
        <f t="shared" si="9"/>
        <v>5</v>
      </c>
      <c r="BB199" s="549" t="s">
        <v>6988</v>
      </c>
    </row>
    <row r="200">
      <c r="A200" s="1687" t="s">
        <v>6992</v>
      </c>
      <c r="B200" s="1634" t="s">
        <v>6891</v>
      </c>
      <c r="C200" s="1687" t="s">
        <v>6886</v>
      </c>
      <c r="D200" s="1701">
        <v>0.0</v>
      </c>
      <c r="E200" s="1701">
        <v>0.0</v>
      </c>
      <c r="F200" s="1701">
        <v>0.0</v>
      </c>
      <c r="G200" s="1701">
        <v>0.0</v>
      </c>
      <c r="H200" s="549">
        <v>0.0</v>
      </c>
      <c r="I200" s="1710">
        <v>0.0</v>
      </c>
      <c r="J200" s="1710">
        <v>0.0</v>
      </c>
      <c r="K200" s="1167">
        <v>0.0</v>
      </c>
      <c r="L200" s="1167"/>
      <c r="M200" s="549">
        <v>0.0</v>
      </c>
      <c r="N200" s="549">
        <v>1.0</v>
      </c>
      <c r="O200" s="1710">
        <v>1.0</v>
      </c>
      <c r="P200" s="1167"/>
      <c r="Q200" s="1167">
        <v>1.0</v>
      </c>
      <c r="R200" s="549">
        <v>0.0</v>
      </c>
      <c r="S200" s="549">
        <v>0.0</v>
      </c>
      <c r="T200" s="549">
        <v>0.0</v>
      </c>
      <c r="U200" s="1701">
        <v>0.0</v>
      </c>
      <c r="V200" s="1701">
        <v>1.0</v>
      </c>
      <c r="W200" s="1701">
        <v>0.0</v>
      </c>
      <c r="X200" s="548">
        <v>0.0</v>
      </c>
      <c r="Y200" s="548">
        <v>0.0</v>
      </c>
      <c r="Z200" s="548">
        <v>1.0</v>
      </c>
      <c r="AA200" s="1701">
        <v>0.0</v>
      </c>
      <c r="AB200" s="1701">
        <v>1.0</v>
      </c>
      <c r="AC200" s="1701">
        <v>0.0</v>
      </c>
      <c r="AD200" s="1701"/>
      <c r="AE200" s="1701">
        <v>0.0</v>
      </c>
      <c r="AF200" s="1701">
        <v>0.0</v>
      </c>
      <c r="AG200" s="1701">
        <v>0.0</v>
      </c>
      <c r="AH200" s="1701">
        <v>0.0</v>
      </c>
      <c r="AI200" s="1701">
        <v>0.0</v>
      </c>
      <c r="AJ200" s="1701">
        <v>0.0</v>
      </c>
      <c r="AK200" s="1701">
        <v>0.0</v>
      </c>
      <c r="AL200" s="1701">
        <v>0.0</v>
      </c>
      <c r="AM200" s="1701">
        <v>0.0</v>
      </c>
      <c r="AN200" s="549">
        <v>0.0</v>
      </c>
      <c r="AO200" s="549">
        <v>0.0</v>
      </c>
      <c r="AP200" s="549">
        <v>0.0</v>
      </c>
      <c r="AQ200" s="549">
        <v>0.0</v>
      </c>
      <c r="AR200" s="549">
        <v>0.0</v>
      </c>
      <c r="AS200" s="549"/>
      <c r="AT200" s="549">
        <v>0.0</v>
      </c>
      <c r="AU200" s="549"/>
      <c r="AV200" s="549"/>
      <c r="AW200" s="549"/>
      <c r="AX200" s="549"/>
      <c r="AY200" s="549"/>
      <c r="AZ200" s="549"/>
      <c r="BA200" s="549">
        <f t="shared" si="9"/>
        <v>6</v>
      </c>
      <c r="BB200" s="549" t="s">
        <v>6988</v>
      </c>
    </row>
    <row r="201">
      <c r="A201" s="1687" t="s">
        <v>6992</v>
      </c>
      <c r="B201" s="1634" t="s">
        <v>6892</v>
      </c>
      <c r="C201" s="1687" t="s">
        <v>6886</v>
      </c>
      <c r="D201" s="1701">
        <v>0.0</v>
      </c>
      <c r="E201" s="1701">
        <v>0.0</v>
      </c>
      <c r="F201" s="1701">
        <v>0.0</v>
      </c>
      <c r="G201" s="1701">
        <v>0.0</v>
      </c>
      <c r="H201" s="549">
        <v>0.0</v>
      </c>
      <c r="I201" s="1710">
        <v>0.0</v>
      </c>
      <c r="J201" s="1710">
        <v>0.0</v>
      </c>
      <c r="K201" s="1167">
        <v>0.0</v>
      </c>
      <c r="L201" s="1167"/>
      <c r="M201" s="549">
        <v>0.0</v>
      </c>
      <c r="N201" s="1167"/>
      <c r="O201" s="1710">
        <v>0.0</v>
      </c>
      <c r="P201" s="1167"/>
      <c r="Q201" s="1167">
        <v>0.0</v>
      </c>
      <c r="R201" s="549">
        <v>0.0</v>
      </c>
      <c r="S201" s="549">
        <v>0.0</v>
      </c>
      <c r="T201" s="549">
        <v>0.0</v>
      </c>
      <c r="U201" s="1701">
        <v>0.0</v>
      </c>
      <c r="V201" s="1701">
        <v>0.0</v>
      </c>
      <c r="W201" s="1701">
        <v>0.0</v>
      </c>
      <c r="X201" s="548">
        <v>0.0</v>
      </c>
      <c r="Y201" s="548">
        <v>0.0</v>
      </c>
      <c r="Z201" s="548">
        <v>0.0</v>
      </c>
      <c r="AA201" s="1701">
        <v>0.0</v>
      </c>
      <c r="AB201" s="1701">
        <v>0.0</v>
      </c>
      <c r="AC201" s="1701">
        <v>0.0</v>
      </c>
      <c r="AD201" s="1701"/>
      <c r="AE201" s="1701">
        <v>0.0</v>
      </c>
      <c r="AF201" s="1701">
        <v>0.0</v>
      </c>
      <c r="AG201" s="1701">
        <v>0.0</v>
      </c>
      <c r="AH201" s="1701">
        <v>0.0</v>
      </c>
      <c r="AI201" s="1701">
        <v>0.0</v>
      </c>
      <c r="AJ201" s="1701">
        <v>0.0</v>
      </c>
      <c r="AK201" s="1701">
        <v>1.0</v>
      </c>
      <c r="AL201" s="1701">
        <v>0.0</v>
      </c>
      <c r="AM201" s="1701">
        <v>0.0</v>
      </c>
      <c r="AN201" s="549">
        <v>0.0</v>
      </c>
      <c r="AO201" s="549">
        <v>0.0</v>
      </c>
      <c r="AP201" s="549">
        <v>0.0</v>
      </c>
      <c r="AQ201" s="549">
        <v>0.0</v>
      </c>
      <c r="AR201" s="549">
        <v>0.0</v>
      </c>
      <c r="AS201" s="549"/>
      <c r="AT201" s="549">
        <v>3.0</v>
      </c>
      <c r="AU201" s="549"/>
      <c r="AV201" s="549"/>
      <c r="AW201" s="549"/>
      <c r="AX201" s="549"/>
      <c r="AY201" s="549"/>
      <c r="AZ201" s="549"/>
      <c r="BA201" s="549">
        <f t="shared" si="9"/>
        <v>4</v>
      </c>
      <c r="BB201" s="549" t="s">
        <v>6988</v>
      </c>
    </row>
    <row r="202">
      <c r="A202" s="1687" t="s">
        <v>6992</v>
      </c>
      <c r="B202" s="1634" t="s">
        <v>6894</v>
      </c>
      <c r="C202" s="1687" t="s">
        <v>6886</v>
      </c>
      <c r="D202" s="1701">
        <v>0.0</v>
      </c>
      <c r="E202" s="1701">
        <v>0.0</v>
      </c>
      <c r="F202" s="1701">
        <v>0.0</v>
      </c>
      <c r="G202" s="1701">
        <v>0.0</v>
      </c>
      <c r="H202" s="549">
        <v>0.0</v>
      </c>
      <c r="I202" s="1710">
        <v>1.0</v>
      </c>
      <c r="J202" s="1735"/>
      <c r="K202" s="1167">
        <v>0.0</v>
      </c>
      <c r="L202" s="1167"/>
      <c r="M202" s="549">
        <v>0.0</v>
      </c>
      <c r="N202" s="1167"/>
      <c r="O202" s="1710">
        <v>0.0</v>
      </c>
      <c r="P202" s="1167"/>
      <c r="Q202" s="1167">
        <v>0.0</v>
      </c>
      <c r="R202" s="549">
        <v>0.0</v>
      </c>
      <c r="S202" s="549">
        <v>0.0</v>
      </c>
      <c r="T202" s="549">
        <v>0.0</v>
      </c>
      <c r="U202" s="1701">
        <v>1.0</v>
      </c>
      <c r="V202" s="1701">
        <v>0.0</v>
      </c>
      <c r="W202" s="1701">
        <v>0.0</v>
      </c>
      <c r="X202" s="548">
        <v>0.0</v>
      </c>
      <c r="Y202" s="548">
        <v>0.0</v>
      </c>
      <c r="Z202" s="548">
        <v>0.0</v>
      </c>
      <c r="AA202" s="1701">
        <v>0.0</v>
      </c>
      <c r="AB202" s="1701">
        <v>0.0</v>
      </c>
      <c r="AC202" s="1701">
        <v>0.0</v>
      </c>
      <c r="AD202" s="1701"/>
      <c r="AE202" s="1701">
        <v>0.0</v>
      </c>
      <c r="AF202" s="1701">
        <v>0.0</v>
      </c>
      <c r="AG202" s="1701">
        <v>0.0</v>
      </c>
      <c r="AH202" s="1701">
        <v>0.0</v>
      </c>
      <c r="AI202" s="1701">
        <v>0.0</v>
      </c>
      <c r="AJ202" s="1701">
        <v>0.0</v>
      </c>
      <c r="AK202" s="1701">
        <v>0.0</v>
      </c>
      <c r="AL202" s="1701">
        <v>0.0</v>
      </c>
      <c r="AM202" s="1701">
        <v>0.0</v>
      </c>
      <c r="AN202" s="549">
        <v>1.0</v>
      </c>
      <c r="AO202" s="549">
        <v>0.0</v>
      </c>
      <c r="AP202" s="549">
        <v>0.0</v>
      </c>
      <c r="AQ202" s="549">
        <v>0.0</v>
      </c>
      <c r="AR202" s="549">
        <v>0.0</v>
      </c>
      <c r="AS202" s="549">
        <v>2.0</v>
      </c>
      <c r="AT202" s="549">
        <v>0.0</v>
      </c>
      <c r="AU202" s="549"/>
      <c r="AV202" s="549"/>
      <c r="AW202" s="549"/>
      <c r="AX202" s="549"/>
      <c r="AY202" s="549"/>
      <c r="AZ202" s="549"/>
      <c r="BA202" s="549">
        <f t="shared" si="9"/>
        <v>5</v>
      </c>
      <c r="BB202" s="549" t="s">
        <v>6988</v>
      </c>
    </row>
    <row r="203">
      <c r="A203" s="1687" t="s">
        <v>6992</v>
      </c>
      <c r="B203" s="1634" t="s">
        <v>6896</v>
      </c>
      <c r="C203" s="1687" t="s">
        <v>6886</v>
      </c>
      <c r="D203" s="1701">
        <v>0.0</v>
      </c>
      <c r="E203" s="1701">
        <v>0.0</v>
      </c>
      <c r="F203" s="1701">
        <v>0.0</v>
      </c>
      <c r="G203" s="1701">
        <v>0.0</v>
      </c>
      <c r="H203" s="549">
        <v>0.0</v>
      </c>
      <c r="I203" s="1710">
        <v>1.0</v>
      </c>
      <c r="J203" s="1710">
        <v>2.0</v>
      </c>
      <c r="K203" s="1167">
        <v>0.0</v>
      </c>
      <c r="L203" s="549">
        <v>0.0</v>
      </c>
      <c r="M203" s="1701">
        <v>0.0</v>
      </c>
      <c r="N203" s="1167"/>
      <c r="O203" s="1710">
        <v>0.0</v>
      </c>
      <c r="P203" s="1167"/>
      <c r="Q203" s="1167">
        <v>0.0</v>
      </c>
      <c r="R203" s="549">
        <v>0.0</v>
      </c>
      <c r="S203" s="549">
        <v>1.0</v>
      </c>
      <c r="T203" s="549">
        <v>0.0</v>
      </c>
      <c r="U203" s="1701">
        <v>1.0</v>
      </c>
      <c r="V203" s="1701">
        <v>0.0</v>
      </c>
      <c r="W203" s="1701">
        <v>0.0</v>
      </c>
      <c r="X203" s="548">
        <v>0.0</v>
      </c>
      <c r="Y203" s="548">
        <v>0.0</v>
      </c>
      <c r="Z203" s="548">
        <v>0.0</v>
      </c>
      <c r="AA203" s="1701">
        <v>0.0</v>
      </c>
      <c r="AB203" s="1701">
        <v>0.0</v>
      </c>
      <c r="AC203" s="1701">
        <v>0.0</v>
      </c>
      <c r="AD203" s="1701"/>
      <c r="AE203" s="1701">
        <v>0.0</v>
      </c>
      <c r="AF203" s="1701">
        <v>0.0</v>
      </c>
      <c r="AG203" s="1701">
        <v>0.0</v>
      </c>
      <c r="AH203" s="1701">
        <v>0.0</v>
      </c>
      <c r="AI203" s="1701">
        <v>0.0</v>
      </c>
      <c r="AJ203" s="1701">
        <v>0.0</v>
      </c>
      <c r="AK203" s="1701">
        <v>0.0</v>
      </c>
      <c r="AL203" s="1701">
        <v>0.0</v>
      </c>
      <c r="AM203" s="1701">
        <v>0.0</v>
      </c>
      <c r="AN203" s="549">
        <v>0.0</v>
      </c>
      <c r="AO203" s="549">
        <v>0.0</v>
      </c>
      <c r="AP203" s="549">
        <v>0.0</v>
      </c>
      <c r="AQ203" s="549">
        <v>0.0</v>
      </c>
      <c r="AR203" s="549">
        <v>0.0</v>
      </c>
      <c r="AS203" s="549"/>
      <c r="AT203" s="549">
        <v>0.0</v>
      </c>
      <c r="AU203" s="549"/>
      <c r="AV203" s="549"/>
      <c r="AW203" s="549"/>
      <c r="AX203" s="549"/>
      <c r="AY203" s="549"/>
      <c r="AZ203" s="549"/>
      <c r="BA203" s="549">
        <f t="shared" si="9"/>
        <v>5</v>
      </c>
      <c r="BB203" s="549" t="s">
        <v>6988</v>
      </c>
    </row>
    <row r="204">
      <c r="A204" s="1687" t="s">
        <v>6992</v>
      </c>
      <c r="B204" s="1634" t="s">
        <v>6897</v>
      </c>
      <c r="C204" s="1687" t="s">
        <v>6886</v>
      </c>
      <c r="D204" s="1701">
        <v>0.0</v>
      </c>
      <c r="E204" s="1701">
        <v>0.0</v>
      </c>
      <c r="F204" s="1701">
        <v>0.0</v>
      </c>
      <c r="G204" s="1701">
        <v>0.0</v>
      </c>
      <c r="H204" s="549">
        <v>0.0</v>
      </c>
      <c r="I204" s="1710">
        <v>0.0</v>
      </c>
      <c r="J204" s="1710">
        <v>0.0</v>
      </c>
      <c r="K204" s="1167">
        <v>0.0</v>
      </c>
      <c r="L204" s="1167"/>
      <c r="M204" s="1701">
        <v>0.0</v>
      </c>
      <c r="N204" s="1167"/>
      <c r="O204" s="1710">
        <v>0.0</v>
      </c>
      <c r="P204" s="1167"/>
      <c r="Q204" s="1167">
        <v>0.0</v>
      </c>
      <c r="R204" s="549">
        <v>0.0</v>
      </c>
      <c r="S204" s="549">
        <v>1.0</v>
      </c>
      <c r="T204" s="549">
        <v>1.0</v>
      </c>
      <c r="U204" s="1701">
        <v>0.0</v>
      </c>
      <c r="V204" s="1701">
        <v>0.0</v>
      </c>
      <c r="W204" s="1701">
        <v>0.0</v>
      </c>
      <c r="X204" s="548">
        <v>0.0</v>
      </c>
      <c r="Y204" s="548">
        <v>0.0</v>
      </c>
      <c r="Z204" s="548">
        <v>0.0</v>
      </c>
      <c r="AA204" s="1701">
        <v>0.0</v>
      </c>
      <c r="AB204" s="1701">
        <v>0.0</v>
      </c>
      <c r="AC204" s="1701">
        <v>0.0</v>
      </c>
      <c r="AD204" s="1701"/>
      <c r="AE204" s="1701">
        <v>0.0</v>
      </c>
      <c r="AF204" s="1701">
        <v>0.0</v>
      </c>
      <c r="AG204" s="1701">
        <v>0.0</v>
      </c>
      <c r="AH204" s="1701">
        <v>0.0</v>
      </c>
      <c r="AI204" s="1701">
        <v>0.0</v>
      </c>
      <c r="AJ204" s="1701">
        <v>0.0</v>
      </c>
      <c r="AK204" s="1701">
        <v>0.0</v>
      </c>
      <c r="AL204" s="1701">
        <v>0.0</v>
      </c>
      <c r="AM204" s="1701">
        <v>0.0</v>
      </c>
      <c r="AN204" s="549">
        <v>1.0</v>
      </c>
      <c r="AO204" s="549">
        <v>0.0</v>
      </c>
      <c r="AP204" s="549">
        <v>0.0</v>
      </c>
      <c r="AQ204" s="549">
        <v>0.0</v>
      </c>
      <c r="AR204" s="549">
        <v>0.0</v>
      </c>
      <c r="AS204" s="549"/>
      <c r="AT204" s="549">
        <v>0.0</v>
      </c>
      <c r="AU204" s="549"/>
      <c r="AV204" s="549"/>
      <c r="AW204" s="549"/>
      <c r="AX204" s="549"/>
      <c r="AY204" s="549"/>
      <c r="AZ204" s="549"/>
      <c r="BA204" s="549">
        <f t="shared" si="9"/>
        <v>3</v>
      </c>
      <c r="BB204" s="549" t="s">
        <v>6988</v>
      </c>
    </row>
    <row r="205">
      <c r="A205" s="1687" t="s">
        <v>6992</v>
      </c>
      <c r="B205" s="1634" t="s">
        <v>6898</v>
      </c>
      <c r="C205" s="1687" t="s">
        <v>6886</v>
      </c>
      <c r="D205" s="1701">
        <v>0.0</v>
      </c>
      <c r="E205" s="1701">
        <v>0.0</v>
      </c>
      <c r="F205" s="1701">
        <v>0.0</v>
      </c>
      <c r="G205" s="1701">
        <v>0.0</v>
      </c>
      <c r="H205" s="549">
        <v>0.0</v>
      </c>
      <c r="I205" s="1710">
        <v>0.0</v>
      </c>
      <c r="J205" s="1710">
        <v>0.0</v>
      </c>
      <c r="K205" s="1167">
        <v>0.0</v>
      </c>
      <c r="L205" s="1167"/>
      <c r="M205" s="549">
        <v>0.0</v>
      </c>
      <c r="N205" s="1167"/>
      <c r="O205" s="1710">
        <v>0.0</v>
      </c>
      <c r="P205" s="1167"/>
      <c r="Q205" s="1167">
        <v>0.0</v>
      </c>
      <c r="R205" s="549">
        <v>0.0</v>
      </c>
      <c r="S205" s="549">
        <v>0.0</v>
      </c>
      <c r="T205" s="549">
        <v>0.0</v>
      </c>
      <c r="U205" s="1701">
        <v>0.0</v>
      </c>
      <c r="V205" s="1701">
        <v>0.0</v>
      </c>
      <c r="W205" s="1701">
        <v>0.0</v>
      </c>
      <c r="X205" s="548">
        <v>0.0</v>
      </c>
      <c r="Y205" s="548">
        <v>0.0</v>
      </c>
      <c r="Z205" s="548">
        <v>0.0</v>
      </c>
      <c r="AA205" s="1701">
        <v>0.0</v>
      </c>
      <c r="AB205" s="1701">
        <v>0.0</v>
      </c>
      <c r="AC205" s="1701">
        <v>0.0</v>
      </c>
      <c r="AD205" s="1701"/>
      <c r="AE205" s="1701">
        <v>0.0</v>
      </c>
      <c r="AF205" s="1701">
        <v>0.0</v>
      </c>
      <c r="AG205" s="1701">
        <v>0.0</v>
      </c>
      <c r="AH205" s="1701">
        <v>0.0</v>
      </c>
      <c r="AI205" s="1701">
        <v>0.0</v>
      </c>
      <c r="AJ205" s="1701">
        <v>0.0</v>
      </c>
      <c r="AK205" s="1701">
        <v>0.0</v>
      </c>
      <c r="AL205" s="1701">
        <v>0.0</v>
      </c>
      <c r="AM205" s="1701">
        <v>0.0</v>
      </c>
      <c r="AN205" s="549">
        <v>1.0</v>
      </c>
      <c r="AO205" s="549">
        <v>0.0</v>
      </c>
      <c r="AP205" s="549">
        <v>0.0</v>
      </c>
      <c r="AQ205" s="549">
        <v>0.0</v>
      </c>
      <c r="AR205" s="549">
        <v>0.0</v>
      </c>
      <c r="AS205" s="549"/>
      <c r="AT205" s="549">
        <v>0.0</v>
      </c>
      <c r="AU205" s="549"/>
      <c r="AV205" s="549"/>
      <c r="AW205" s="549"/>
      <c r="AX205" s="549"/>
      <c r="AY205" s="549"/>
      <c r="AZ205" s="549"/>
      <c r="BA205" s="549">
        <f t="shared" si="9"/>
        <v>1</v>
      </c>
      <c r="BB205" s="549" t="s">
        <v>6988</v>
      </c>
    </row>
    <row r="206">
      <c r="A206" s="1687" t="s">
        <v>6992</v>
      </c>
      <c r="B206" s="1634" t="s">
        <v>6899</v>
      </c>
      <c r="C206" s="1687" t="s">
        <v>6886</v>
      </c>
      <c r="D206" s="1701">
        <v>0.0</v>
      </c>
      <c r="E206" s="1701">
        <v>0.0</v>
      </c>
      <c r="F206" s="1701">
        <v>0.0</v>
      </c>
      <c r="G206" s="1701">
        <v>0.0</v>
      </c>
      <c r="H206" s="549">
        <v>0.0</v>
      </c>
      <c r="I206" s="1710">
        <v>0.0</v>
      </c>
      <c r="J206" s="1710">
        <v>0.0</v>
      </c>
      <c r="K206" s="1167">
        <v>0.0</v>
      </c>
      <c r="L206" s="1167"/>
      <c r="M206" s="549">
        <v>0.0</v>
      </c>
      <c r="N206" s="1167"/>
      <c r="O206" s="1710">
        <v>0.0</v>
      </c>
      <c r="P206" s="1167"/>
      <c r="Q206" s="1167">
        <v>0.0</v>
      </c>
      <c r="R206" s="549">
        <v>0.0</v>
      </c>
      <c r="S206" s="549">
        <v>2.0</v>
      </c>
      <c r="T206" s="549">
        <v>0.0</v>
      </c>
      <c r="U206" s="1701">
        <v>0.0</v>
      </c>
      <c r="V206" s="1701">
        <v>0.0</v>
      </c>
      <c r="W206" s="1701">
        <v>0.0</v>
      </c>
      <c r="X206" s="548">
        <v>0.0</v>
      </c>
      <c r="Y206" s="548">
        <v>0.0</v>
      </c>
      <c r="Z206" s="548">
        <v>0.0</v>
      </c>
      <c r="AA206" s="1701">
        <v>0.0</v>
      </c>
      <c r="AB206" s="1701">
        <v>0.0</v>
      </c>
      <c r="AC206" s="1701">
        <v>0.0</v>
      </c>
      <c r="AD206" s="1701"/>
      <c r="AE206" s="1701">
        <v>0.0</v>
      </c>
      <c r="AF206" s="1701">
        <v>0.0</v>
      </c>
      <c r="AG206" s="1701">
        <v>0.0</v>
      </c>
      <c r="AH206" s="1701">
        <v>0.0</v>
      </c>
      <c r="AI206" s="1701">
        <v>0.0</v>
      </c>
      <c r="AJ206" s="1701">
        <v>0.0</v>
      </c>
      <c r="AK206" s="1701">
        <v>0.0</v>
      </c>
      <c r="AL206" s="1701">
        <v>0.0</v>
      </c>
      <c r="AM206" s="1701">
        <v>0.0</v>
      </c>
      <c r="AN206" s="549">
        <v>0.0</v>
      </c>
      <c r="AO206" s="549">
        <v>0.0</v>
      </c>
      <c r="AP206" s="549">
        <v>0.0</v>
      </c>
      <c r="AQ206" s="549">
        <v>0.0</v>
      </c>
      <c r="AR206" s="549">
        <v>0.0</v>
      </c>
      <c r="AS206" s="549"/>
      <c r="AT206" s="549">
        <v>0.0</v>
      </c>
      <c r="AU206" s="549"/>
      <c r="AV206" s="549"/>
      <c r="AW206" s="549"/>
      <c r="AX206" s="549"/>
      <c r="AY206" s="549"/>
      <c r="AZ206" s="549"/>
      <c r="BA206" s="549">
        <f t="shared" si="9"/>
        <v>2</v>
      </c>
      <c r="BB206" s="549" t="s">
        <v>6988</v>
      </c>
    </row>
    <row r="207">
      <c r="A207" s="1687" t="s">
        <v>6992</v>
      </c>
      <c r="B207" s="1634" t="s">
        <v>6900</v>
      </c>
      <c r="C207" s="1687" t="s">
        <v>6886</v>
      </c>
      <c r="D207" s="1701">
        <v>0.0</v>
      </c>
      <c r="E207" s="1701">
        <v>0.0</v>
      </c>
      <c r="F207" s="1701">
        <v>1.0</v>
      </c>
      <c r="G207" s="1701">
        <v>0.0</v>
      </c>
      <c r="H207" s="549">
        <v>0.0</v>
      </c>
      <c r="I207" s="1710">
        <v>0.0</v>
      </c>
      <c r="J207" s="1735"/>
      <c r="K207" s="1167">
        <v>0.0</v>
      </c>
      <c r="L207" s="1167"/>
      <c r="M207" s="549">
        <v>0.0</v>
      </c>
      <c r="N207" s="1167"/>
      <c r="O207" s="1710">
        <v>0.0</v>
      </c>
      <c r="P207" s="1167"/>
      <c r="Q207" s="1167">
        <v>0.0</v>
      </c>
      <c r="R207" s="549">
        <v>0.0</v>
      </c>
      <c r="S207" s="549">
        <v>1.0</v>
      </c>
      <c r="T207" s="549">
        <v>0.0</v>
      </c>
      <c r="U207" s="1701">
        <v>0.0</v>
      </c>
      <c r="V207" s="1701">
        <v>0.0</v>
      </c>
      <c r="W207" s="1701">
        <v>0.0</v>
      </c>
      <c r="X207" s="548">
        <v>0.0</v>
      </c>
      <c r="Y207" s="548">
        <v>0.0</v>
      </c>
      <c r="Z207" s="548">
        <v>1.0</v>
      </c>
      <c r="AA207" s="1701">
        <v>0.0</v>
      </c>
      <c r="AB207" s="1701">
        <v>0.0</v>
      </c>
      <c r="AC207" s="1701">
        <v>0.0</v>
      </c>
      <c r="AD207" s="1701"/>
      <c r="AE207" s="1701">
        <v>0.0</v>
      </c>
      <c r="AF207" s="1701">
        <v>0.0</v>
      </c>
      <c r="AG207" s="1701">
        <v>0.0</v>
      </c>
      <c r="AH207" s="1701">
        <v>0.0</v>
      </c>
      <c r="AI207" s="1701">
        <v>0.0</v>
      </c>
      <c r="AJ207" s="1701">
        <v>0.0</v>
      </c>
      <c r="AK207" s="1701">
        <v>0.0</v>
      </c>
      <c r="AL207" s="1701">
        <v>0.0</v>
      </c>
      <c r="AM207" s="1701">
        <v>0.0</v>
      </c>
      <c r="AN207" s="549">
        <v>0.0</v>
      </c>
      <c r="AO207" s="549">
        <v>0.0</v>
      </c>
      <c r="AP207" s="549">
        <v>0.0</v>
      </c>
      <c r="AQ207" s="549">
        <v>0.0</v>
      </c>
      <c r="AR207" s="549">
        <v>0.0</v>
      </c>
      <c r="AS207" s="549"/>
      <c r="AT207" s="549">
        <v>0.0</v>
      </c>
      <c r="AU207" s="549"/>
      <c r="AV207" s="549"/>
      <c r="AW207" s="549"/>
      <c r="AX207" s="549"/>
      <c r="AY207" s="549"/>
      <c r="AZ207" s="549"/>
      <c r="BA207" s="549">
        <f t="shared" si="9"/>
        <v>3</v>
      </c>
      <c r="BB207" s="549" t="s">
        <v>6988</v>
      </c>
    </row>
    <row r="208">
      <c r="A208" s="1687" t="s">
        <v>6992</v>
      </c>
      <c r="B208" s="1634" t="s">
        <v>6901</v>
      </c>
      <c r="C208" s="1687" t="s">
        <v>6886</v>
      </c>
      <c r="D208" s="1701">
        <v>0.0</v>
      </c>
      <c r="E208" s="1701">
        <v>0.0</v>
      </c>
      <c r="F208" s="1701">
        <v>0.0</v>
      </c>
      <c r="G208" s="1701">
        <v>1.0</v>
      </c>
      <c r="H208" s="549">
        <v>0.0</v>
      </c>
      <c r="I208" s="1710">
        <v>1.0</v>
      </c>
      <c r="J208" s="1710">
        <v>1.0</v>
      </c>
      <c r="K208" s="1167">
        <v>0.0</v>
      </c>
      <c r="L208" s="1167"/>
      <c r="M208" s="549">
        <v>0.0</v>
      </c>
      <c r="N208" s="1167"/>
      <c r="O208" s="1710">
        <v>1.0</v>
      </c>
      <c r="P208" s="1167"/>
      <c r="Q208" s="1167">
        <v>1.0</v>
      </c>
      <c r="R208" s="549">
        <v>0.0</v>
      </c>
      <c r="S208" s="549">
        <v>0.0</v>
      </c>
      <c r="T208" s="549">
        <v>0.0</v>
      </c>
      <c r="U208" s="1701">
        <v>0.0</v>
      </c>
      <c r="V208" s="1701">
        <v>0.0</v>
      </c>
      <c r="W208" s="1701">
        <v>0.0</v>
      </c>
      <c r="X208" s="548">
        <v>0.0</v>
      </c>
      <c r="Y208" s="548">
        <v>0.0</v>
      </c>
      <c r="Z208" s="548">
        <v>0.0</v>
      </c>
      <c r="AA208" s="1701">
        <v>0.0</v>
      </c>
      <c r="AB208" s="1701">
        <v>1.0</v>
      </c>
      <c r="AC208" s="1701">
        <v>0.0</v>
      </c>
      <c r="AD208" s="1701"/>
      <c r="AE208" s="1701">
        <v>0.0</v>
      </c>
      <c r="AF208" s="1701">
        <v>0.0</v>
      </c>
      <c r="AG208" s="1701">
        <v>0.0</v>
      </c>
      <c r="AH208" s="1701">
        <v>0.0</v>
      </c>
      <c r="AI208" s="1701">
        <v>0.0</v>
      </c>
      <c r="AJ208" s="1701">
        <v>0.0</v>
      </c>
      <c r="AK208" s="1701">
        <v>0.0</v>
      </c>
      <c r="AL208" s="1701">
        <v>0.0</v>
      </c>
      <c r="AM208" s="1701">
        <v>0.0</v>
      </c>
      <c r="AN208" s="549">
        <v>0.0</v>
      </c>
      <c r="AO208" s="549">
        <v>0.0</v>
      </c>
      <c r="AP208" s="549">
        <v>0.0</v>
      </c>
      <c r="AQ208" s="549">
        <v>0.0</v>
      </c>
      <c r="AR208" s="549">
        <v>0.0</v>
      </c>
      <c r="AS208" s="549"/>
      <c r="AT208" s="549">
        <v>0.0</v>
      </c>
      <c r="AU208" s="549"/>
      <c r="AV208" s="549"/>
      <c r="AW208" s="549"/>
      <c r="AX208" s="549"/>
      <c r="AY208" s="549"/>
      <c r="AZ208" s="549"/>
      <c r="BA208" s="549">
        <f t="shared" si="9"/>
        <v>6</v>
      </c>
      <c r="BB208" s="549"/>
    </row>
    <row r="209">
      <c r="A209" s="1687" t="s">
        <v>6992</v>
      </c>
      <c r="B209" s="1590" t="s">
        <v>6903</v>
      </c>
      <c r="C209" s="1687" t="s">
        <v>6886</v>
      </c>
      <c r="D209" s="1701">
        <v>0.0</v>
      </c>
      <c r="E209" s="1701">
        <v>0.0</v>
      </c>
      <c r="F209" s="1701">
        <v>1.0</v>
      </c>
      <c r="G209" s="1701">
        <v>0.0</v>
      </c>
      <c r="H209" s="549">
        <v>0.0</v>
      </c>
      <c r="I209" s="1710">
        <v>0.0</v>
      </c>
      <c r="J209" s="1735"/>
      <c r="K209" s="1167">
        <v>0.0</v>
      </c>
      <c r="L209" s="1167"/>
      <c r="M209" s="549">
        <v>0.0</v>
      </c>
      <c r="N209" s="549">
        <v>1.0</v>
      </c>
      <c r="O209" s="1710">
        <v>2.0</v>
      </c>
      <c r="P209" s="1167"/>
      <c r="Q209" s="1167">
        <v>1.0</v>
      </c>
      <c r="R209" s="549">
        <v>0.0</v>
      </c>
      <c r="S209" s="549">
        <v>1.0</v>
      </c>
      <c r="T209" s="549">
        <v>0.0</v>
      </c>
      <c r="U209" s="1710">
        <v>0.0</v>
      </c>
      <c r="V209" s="1710">
        <v>0.0</v>
      </c>
      <c r="W209" s="1710">
        <v>2.0</v>
      </c>
      <c r="X209" s="548">
        <v>0.0</v>
      </c>
      <c r="Y209" s="548">
        <v>0.0</v>
      </c>
      <c r="Z209" s="548">
        <v>0.0</v>
      </c>
      <c r="AA209" s="1710">
        <v>0.0</v>
      </c>
      <c r="AB209" s="1710">
        <v>0.0</v>
      </c>
      <c r="AC209" s="1710">
        <v>0.0</v>
      </c>
      <c r="AD209" s="1710"/>
      <c r="AE209" s="1710">
        <v>0.0</v>
      </c>
      <c r="AF209" s="1710">
        <v>0.0</v>
      </c>
      <c r="AG209" s="1710">
        <v>0.0</v>
      </c>
      <c r="AH209" s="1710">
        <v>0.0</v>
      </c>
      <c r="AI209" s="1710">
        <v>1.0</v>
      </c>
      <c r="AJ209" s="1710">
        <v>0.0</v>
      </c>
      <c r="AK209" s="1710">
        <v>2.0</v>
      </c>
      <c r="AL209" s="1710">
        <v>0.0</v>
      </c>
      <c r="AM209" s="1710">
        <v>0.0</v>
      </c>
      <c r="AN209" s="549">
        <v>0.0</v>
      </c>
      <c r="AO209" s="549">
        <v>0.0</v>
      </c>
      <c r="AP209" s="549">
        <v>0.0</v>
      </c>
      <c r="AQ209" s="549">
        <v>0.0</v>
      </c>
      <c r="AR209" s="549">
        <v>0.0</v>
      </c>
      <c r="AS209" s="549"/>
      <c r="AT209" s="549">
        <v>0.0</v>
      </c>
      <c r="AU209" s="549"/>
      <c r="AV209" s="549"/>
      <c r="AW209" s="549"/>
      <c r="AX209" s="549"/>
      <c r="AY209" s="549"/>
      <c r="AZ209" s="549"/>
      <c r="BA209" s="549">
        <f t="shared" si="9"/>
        <v>11</v>
      </c>
      <c r="BB209" s="549"/>
    </row>
    <row r="210">
      <c r="A210" s="1687" t="s">
        <v>6992</v>
      </c>
      <c r="B210" s="1590" t="s">
        <v>6907</v>
      </c>
      <c r="C210" s="1687" t="s">
        <v>6886</v>
      </c>
      <c r="D210" s="1701">
        <v>0.0</v>
      </c>
      <c r="E210" s="1701">
        <v>0.0</v>
      </c>
      <c r="F210" s="1701">
        <v>0.0</v>
      </c>
      <c r="G210" s="1701">
        <v>0.0</v>
      </c>
      <c r="H210" s="549">
        <v>1.0</v>
      </c>
      <c r="I210" s="1710">
        <v>1.0</v>
      </c>
      <c r="J210" s="1710">
        <v>1.0</v>
      </c>
      <c r="K210" s="1708">
        <v>0.0</v>
      </c>
      <c r="L210" s="1701">
        <v>1.0</v>
      </c>
      <c r="M210" s="1701">
        <v>0.0</v>
      </c>
      <c r="N210" s="1725"/>
      <c r="O210" s="1710">
        <v>0.0</v>
      </c>
      <c r="P210" s="1167"/>
      <c r="Q210" s="1725"/>
      <c r="R210" s="549">
        <v>0.0</v>
      </c>
      <c r="S210" s="1701">
        <v>0.0</v>
      </c>
      <c r="T210" s="1701">
        <v>1.0</v>
      </c>
      <c r="U210" s="1701">
        <v>0.0</v>
      </c>
      <c r="V210" s="1701">
        <v>1.0</v>
      </c>
      <c r="W210" s="1701">
        <v>0.0</v>
      </c>
      <c r="X210" s="548">
        <v>0.0</v>
      </c>
      <c r="Y210" s="548">
        <v>0.0</v>
      </c>
      <c r="Z210" s="548">
        <v>0.0</v>
      </c>
      <c r="AA210" s="1701">
        <v>0.0</v>
      </c>
      <c r="AB210" s="1701">
        <v>0.0</v>
      </c>
      <c r="AC210" s="1701">
        <v>0.0</v>
      </c>
      <c r="AD210" s="1701"/>
      <c r="AE210" s="1701">
        <v>0.0</v>
      </c>
      <c r="AF210" s="1701">
        <v>0.0</v>
      </c>
      <c r="AG210" s="1701">
        <v>0.0</v>
      </c>
      <c r="AH210" s="1701">
        <v>0.0</v>
      </c>
      <c r="AI210" s="1701">
        <v>0.0</v>
      </c>
      <c r="AJ210" s="1701">
        <v>0.0</v>
      </c>
      <c r="AK210" s="1701">
        <v>1.0</v>
      </c>
      <c r="AL210" s="1701">
        <v>0.0</v>
      </c>
      <c r="AM210" s="1701">
        <v>0.0</v>
      </c>
      <c r="AN210" s="549">
        <v>0.0</v>
      </c>
      <c r="AO210" s="549">
        <v>0.0</v>
      </c>
      <c r="AP210" s="549">
        <v>0.0</v>
      </c>
      <c r="AQ210" s="549">
        <v>0.0</v>
      </c>
      <c r="AR210" s="549">
        <v>0.0</v>
      </c>
      <c r="AS210" s="549"/>
      <c r="AT210" s="549">
        <v>0.0</v>
      </c>
      <c r="AU210" s="549"/>
      <c r="AV210" s="549"/>
      <c r="AW210" s="549"/>
      <c r="AX210" s="549"/>
      <c r="AY210" s="549"/>
      <c r="AZ210" s="549"/>
      <c r="BA210" s="549">
        <f t="shared" si="9"/>
        <v>7</v>
      </c>
      <c r="BB210" s="549"/>
    </row>
    <row r="211">
      <c r="A211" s="1687" t="s">
        <v>6992</v>
      </c>
      <c r="B211" s="1590" t="s">
        <v>6908</v>
      </c>
      <c r="C211" s="1687" t="s">
        <v>6886</v>
      </c>
      <c r="D211" s="1701">
        <v>0.0</v>
      </c>
      <c r="E211" s="1701">
        <v>0.0</v>
      </c>
      <c r="F211" s="1701">
        <v>0.0</v>
      </c>
      <c r="G211" s="1701">
        <v>0.0</v>
      </c>
      <c r="H211" s="549">
        <v>1.0</v>
      </c>
      <c r="I211" s="1710">
        <v>2.0</v>
      </c>
      <c r="J211" s="1735"/>
      <c r="K211" s="1708">
        <v>0.0</v>
      </c>
      <c r="L211" s="1701">
        <v>0.0</v>
      </c>
      <c r="M211" s="1701">
        <v>0.0</v>
      </c>
      <c r="N211" s="1725"/>
      <c r="O211" s="1710">
        <v>0.0</v>
      </c>
      <c r="P211" s="1167"/>
      <c r="Q211" s="1725"/>
      <c r="R211" s="549">
        <v>0.0</v>
      </c>
      <c r="S211" s="1701">
        <v>2.0</v>
      </c>
      <c r="T211" s="1701">
        <v>0.0</v>
      </c>
      <c r="U211" s="1701">
        <v>0.0</v>
      </c>
      <c r="V211" s="1701">
        <v>0.0</v>
      </c>
      <c r="W211" s="1701">
        <v>0.0</v>
      </c>
      <c r="X211" s="548">
        <v>0.0</v>
      </c>
      <c r="Y211" s="548">
        <v>0.0</v>
      </c>
      <c r="Z211" s="548">
        <v>0.0</v>
      </c>
      <c r="AA211" s="1701">
        <v>0.0</v>
      </c>
      <c r="AB211" s="1701">
        <v>0.0</v>
      </c>
      <c r="AC211" s="1701">
        <v>0.0</v>
      </c>
      <c r="AD211" s="1701"/>
      <c r="AE211" s="1701">
        <v>1.0</v>
      </c>
      <c r="AF211" s="1701">
        <v>0.0</v>
      </c>
      <c r="AG211" s="1701">
        <v>0.0</v>
      </c>
      <c r="AH211" s="1701">
        <v>0.0</v>
      </c>
      <c r="AI211" s="1701">
        <v>1.0</v>
      </c>
      <c r="AJ211" s="1701">
        <v>1.0</v>
      </c>
      <c r="AK211" s="1701">
        <v>2.0</v>
      </c>
      <c r="AL211" s="1701">
        <v>0.0</v>
      </c>
      <c r="AM211" s="1701">
        <v>0.0</v>
      </c>
      <c r="AN211" s="549">
        <v>1.0</v>
      </c>
      <c r="AO211" s="549">
        <v>0.0</v>
      </c>
      <c r="AP211" s="549">
        <v>0.0</v>
      </c>
      <c r="AQ211" s="549">
        <v>0.0</v>
      </c>
      <c r="AR211" s="549">
        <v>0.0</v>
      </c>
      <c r="AS211" s="549"/>
      <c r="AT211" s="549">
        <v>0.0</v>
      </c>
      <c r="AU211" s="549"/>
      <c r="AV211" s="549"/>
      <c r="AW211" s="549"/>
      <c r="AX211" s="549"/>
      <c r="AY211" s="549"/>
      <c r="AZ211" s="549"/>
      <c r="BA211" s="549">
        <f t="shared" si="9"/>
        <v>11</v>
      </c>
      <c r="BB211" s="549" t="s">
        <v>6988</v>
      </c>
    </row>
    <row r="212">
      <c r="A212" s="1687" t="s">
        <v>6992</v>
      </c>
      <c r="B212" s="1590" t="s">
        <v>6909</v>
      </c>
      <c r="C212" s="1687" t="s">
        <v>6886</v>
      </c>
      <c r="D212" s="1701">
        <v>0.0</v>
      </c>
      <c r="E212" s="1701">
        <v>0.0</v>
      </c>
      <c r="F212" s="1701">
        <v>0.0</v>
      </c>
      <c r="G212" s="1701">
        <v>0.0</v>
      </c>
      <c r="H212" s="549">
        <v>2.0</v>
      </c>
      <c r="I212" s="1710">
        <v>0.0</v>
      </c>
      <c r="J212" s="1735"/>
      <c r="K212" s="1708">
        <v>0.0</v>
      </c>
      <c r="L212" s="1701">
        <v>0.0</v>
      </c>
      <c r="M212" s="1701">
        <v>0.0</v>
      </c>
      <c r="N212" s="1725"/>
      <c r="O212" s="1710">
        <v>0.0</v>
      </c>
      <c r="P212" s="1167"/>
      <c r="Q212" s="1725"/>
      <c r="R212" s="549">
        <v>0.0</v>
      </c>
      <c r="S212" s="1701">
        <v>0.0</v>
      </c>
      <c r="T212" s="1701">
        <v>0.0</v>
      </c>
      <c r="U212" s="1701">
        <v>0.0</v>
      </c>
      <c r="V212" s="1701">
        <v>0.0</v>
      </c>
      <c r="W212" s="1701">
        <v>0.0</v>
      </c>
      <c r="X212" s="548">
        <v>0.0</v>
      </c>
      <c r="Y212" s="548">
        <v>0.0</v>
      </c>
      <c r="Z212" s="548">
        <v>0.0</v>
      </c>
      <c r="AA212" s="1701">
        <v>0.0</v>
      </c>
      <c r="AB212" s="1701">
        <v>0.0</v>
      </c>
      <c r="AC212" s="1701">
        <v>0.0</v>
      </c>
      <c r="AD212" s="1701"/>
      <c r="AE212" s="1701">
        <v>0.0</v>
      </c>
      <c r="AF212" s="1701">
        <v>0.0</v>
      </c>
      <c r="AG212" s="1701">
        <v>0.0</v>
      </c>
      <c r="AH212" s="1701">
        <v>0.0</v>
      </c>
      <c r="AI212" s="1701">
        <v>0.0</v>
      </c>
      <c r="AJ212" s="1701">
        <v>0.0</v>
      </c>
      <c r="AK212" s="1701">
        <v>0.0</v>
      </c>
      <c r="AL212" s="1701">
        <v>0.0</v>
      </c>
      <c r="AM212" s="1701">
        <v>0.0</v>
      </c>
      <c r="AN212" s="549">
        <v>0.0</v>
      </c>
      <c r="AO212" s="549">
        <v>0.0</v>
      </c>
      <c r="AP212" s="549">
        <v>0.0</v>
      </c>
      <c r="AQ212" s="549">
        <v>0.0</v>
      </c>
      <c r="AR212" s="549">
        <v>0.0</v>
      </c>
      <c r="AS212" s="549"/>
      <c r="AT212" s="549">
        <v>0.0</v>
      </c>
      <c r="AU212" s="549"/>
      <c r="AV212" s="549"/>
      <c r="AW212" s="549"/>
      <c r="AX212" s="549"/>
      <c r="AY212" s="549"/>
      <c r="AZ212" s="549"/>
      <c r="BA212" s="549">
        <f t="shared" si="9"/>
        <v>2</v>
      </c>
      <c r="BB212" s="549" t="s">
        <v>6988</v>
      </c>
    </row>
    <row r="213">
      <c r="A213" s="1714" t="s">
        <v>6992</v>
      </c>
      <c r="B213" s="1715" t="s">
        <v>6913</v>
      </c>
      <c r="C213" s="1714" t="s">
        <v>6886</v>
      </c>
      <c r="D213" s="1732">
        <v>1.0</v>
      </c>
      <c r="E213" s="1732">
        <v>0.0</v>
      </c>
      <c r="F213" s="1732">
        <v>1.0</v>
      </c>
      <c r="G213" s="1732">
        <v>2.0</v>
      </c>
      <c r="H213" s="1721">
        <v>0.0</v>
      </c>
      <c r="I213" s="1732">
        <v>1.0</v>
      </c>
      <c r="J213" s="1734"/>
      <c r="K213" s="1736">
        <v>0.0</v>
      </c>
      <c r="L213" s="1721">
        <v>0.0</v>
      </c>
      <c r="M213" s="1732">
        <v>0.0</v>
      </c>
      <c r="N213" s="1732">
        <v>0.0</v>
      </c>
      <c r="O213" s="1722">
        <v>0.0</v>
      </c>
      <c r="P213" s="1721">
        <v>2.0</v>
      </c>
      <c r="Q213" s="1734"/>
      <c r="R213" s="1732">
        <v>0.0</v>
      </c>
      <c r="S213" s="1732">
        <v>4.0</v>
      </c>
      <c r="T213" s="1732">
        <v>1.0</v>
      </c>
      <c r="U213" s="1732">
        <v>3.0</v>
      </c>
      <c r="V213" s="1732">
        <v>0.0</v>
      </c>
      <c r="W213" s="1701">
        <v>0.0</v>
      </c>
      <c r="X213" s="548">
        <v>1.0</v>
      </c>
      <c r="Y213" s="548">
        <v>1.0</v>
      </c>
      <c r="Z213" s="548">
        <v>1.0</v>
      </c>
      <c r="AA213" s="1701">
        <v>0.0</v>
      </c>
      <c r="AB213" s="1701">
        <v>0.0</v>
      </c>
      <c r="AC213" s="1701">
        <v>0.0</v>
      </c>
      <c r="AD213" s="1701"/>
      <c r="AE213" s="1701">
        <v>2.0</v>
      </c>
      <c r="AF213" s="1701">
        <v>0.0</v>
      </c>
      <c r="AG213" s="1701">
        <v>0.0</v>
      </c>
      <c r="AH213" s="1701">
        <v>3.0</v>
      </c>
      <c r="AI213" s="1701">
        <v>2.0</v>
      </c>
      <c r="AJ213" s="1701">
        <v>1.0</v>
      </c>
      <c r="AK213" s="1701">
        <v>7.0</v>
      </c>
      <c r="AL213" s="1701">
        <v>0.0</v>
      </c>
      <c r="AM213" s="1701">
        <v>5.0</v>
      </c>
      <c r="AN213" s="1721">
        <v>0.0</v>
      </c>
      <c r="AO213" s="1721">
        <v>0.0</v>
      </c>
      <c r="AP213" s="1721">
        <v>0.0</v>
      </c>
      <c r="AQ213" s="1721">
        <v>0.0</v>
      </c>
      <c r="AR213" s="1721">
        <v>0.0</v>
      </c>
      <c r="AS213" s="1721"/>
      <c r="AT213" s="1721">
        <v>3.0</v>
      </c>
      <c r="AU213" s="1721"/>
      <c r="AV213" s="1721"/>
      <c r="AW213" s="1721"/>
      <c r="AX213" s="1721"/>
      <c r="AY213" s="1721"/>
      <c r="AZ213" s="1721"/>
      <c r="BA213" s="549">
        <f t="shared" si="9"/>
        <v>41</v>
      </c>
      <c r="BB213" s="1721"/>
    </row>
    <row r="214">
      <c r="A214" s="1714" t="s">
        <v>6992</v>
      </c>
      <c r="B214" s="1715" t="s">
        <v>6914</v>
      </c>
      <c r="C214" s="1714" t="s">
        <v>6886</v>
      </c>
      <c r="D214" s="1732">
        <v>0.0</v>
      </c>
      <c r="E214" s="1732">
        <v>4.0</v>
      </c>
      <c r="F214" s="1732">
        <v>1.0</v>
      </c>
      <c r="G214" s="1732">
        <v>0.0</v>
      </c>
      <c r="H214" s="1721">
        <v>1.0</v>
      </c>
      <c r="I214" s="1732">
        <v>6.0</v>
      </c>
      <c r="J214" s="1734"/>
      <c r="K214" s="1737">
        <v>0.0</v>
      </c>
      <c r="L214" s="1721">
        <v>0.0</v>
      </c>
      <c r="M214" s="1732">
        <v>1.0</v>
      </c>
      <c r="N214" s="1732">
        <v>2.0</v>
      </c>
      <c r="O214" s="1722">
        <v>1.0</v>
      </c>
      <c r="P214" s="1721">
        <v>4.0</v>
      </c>
      <c r="Q214" s="1734"/>
      <c r="R214" s="1732">
        <v>0.0</v>
      </c>
      <c r="S214" s="1732">
        <v>6.0</v>
      </c>
      <c r="T214" s="1732">
        <v>8.0</v>
      </c>
      <c r="U214" s="1732">
        <v>0.0</v>
      </c>
      <c r="V214" s="1732">
        <v>0.0</v>
      </c>
      <c r="W214" s="1701">
        <v>0.0</v>
      </c>
      <c r="X214" s="548">
        <v>0.0</v>
      </c>
      <c r="Y214" s="548">
        <v>0.0</v>
      </c>
      <c r="Z214" s="548">
        <v>0.0</v>
      </c>
      <c r="AA214" s="1701">
        <v>0.0</v>
      </c>
      <c r="AB214" s="1701">
        <v>0.0</v>
      </c>
      <c r="AC214" s="1701">
        <v>0.0</v>
      </c>
      <c r="AD214" s="1701"/>
      <c r="AE214" s="1701">
        <v>2.0</v>
      </c>
      <c r="AF214" s="1701">
        <v>2.0</v>
      </c>
      <c r="AG214" s="1701">
        <v>1.0</v>
      </c>
      <c r="AH214" s="1701">
        <v>0.0</v>
      </c>
      <c r="AI214" s="1701">
        <v>2.0</v>
      </c>
      <c r="AJ214" s="1701">
        <v>3.0</v>
      </c>
      <c r="AK214" s="1701">
        <v>3.0</v>
      </c>
      <c r="AL214" s="1701">
        <v>0.0</v>
      </c>
      <c r="AM214" s="1701">
        <v>1.0</v>
      </c>
      <c r="AN214" s="1721">
        <v>1.0</v>
      </c>
      <c r="AO214" s="1721">
        <v>1.0</v>
      </c>
      <c r="AP214" s="1721">
        <v>0.0</v>
      </c>
      <c r="AQ214" s="1721">
        <v>0.0</v>
      </c>
      <c r="AR214" s="1721">
        <v>0.0</v>
      </c>
      <c r="AS214" s="1721"/>
      <c r="AT214" s="1721">
        <v>5.0</v>
      </c>
      <c r="AU214" s="1721"/>
      <c r="AV214" s="1721"/>
      <c r="AW214" s="1721"/>
      <c r="AX214" s="1721"/>
      <c r="AY214" s="1721"/>
      <c r="AZ214" s="1721"/>
      <c r="BA214" s="549">
        <f t="shared" si="9"/>
        <v>55</v>
      </c>
      <c r="BB214" s="1721"/>
    </row>
    <row r="215">
      <c r="A215" s="1714" t="s">
        <v>6992</v>
      </c>
      <c r="B215" s="1715" t="s">
        <v>6915</v>
      </c>
      <c r="C215" s="1714" t="s">
        <v>6886</v>
      </c>
      <c r="D215" s="1732">
        <v>0.0</v>
      </c>
      <c r="E215" s="1732">
        <v>1.0</v>
      </c>
      <c r="F215" s="1732">
        <v>4.0</v>
      </c>
      <c r="G215" s="1732">
        <v>1.0</v>
      </c>
      <c r="H215" s="1721">
        <v>1.0</v>
      </c>
      <c r="I215" s="1732">
        <v>2.0</v>
      </c>
      <c r="J215" s="1732">
        <v>5.0</v>
      </c>
      <c r="K215" s="1734">
        <v>4.0</v>
      </c>
      <c r="L215" s="1721">
        <v>0.0</v>
      </c>
      <c r="M215" s="1732">
        <v>2.0</v>
      </c>
      <c r="N215" s="1732">
        <v>1.0</v>
      </c>
      <c r="O215" s="1722">
        <v>4.0</v>
      </c>
      <c r="P215" s="1721">
        <v>6.0</v>
      </c>
      <c r="Q215" s="1734"/>
      <c r="R215" s="1732">
        <v>0.0</v>
      </c>
      <c r="S215" s="1732">
        <v>5.0</v>
      </c>
      <c r="T215" s="1732">
        <v>1.0</v>
      </c>
      <c r="U215" s="1732">
        <v>0.0</v>
      </c>
      <c r="V215" s="1732">
        <v>0.0</v>
      </c>
      <c r="W215" s="1701">
        <v>3.0</v>
      </c>
      <c r="X215" s="548">
        <v>0.0</v>
      </c>
      <c r="Y215" s="548">
        <v>4.0</v>
      </c>
      <c r="Z215" s="548">
        <v>5.0</v>
      </c>
      <c r="AA215" s="1701">
        <v>6.0</v>
      </c>
      <c r="AB215" s="1701">
        <v>5.0</v>
      </c>
      <c r="AC215" s="1701">
        <v>1.0</v>
      </c>
      <c r="AD215" s="1701"/>
      <c r="AE215" s="1701">
        <v>0.0</v>
      </c>
      <c r="AF215" s="1701">
        <v>0.0</v>
      </c>
      <c r="AG215" s="1701">
        <v>1.0</v>
      </c>
      <c r="AH215" s="1701">
        <v>3.0</v>
      </c>
      <c r="AI215" s="1701">
        <v>0.0</v>
      </c>
      <c r="AJ215" s="1701">
        <v>0.0</v>
      </c>
      <c r="AK215" s="1701">
        <v>2.0</v>
      </c>
      <c r="AL215" s="1701">
        <v>0.0</v>
      </c>
      <c r="AM215" s="1701">
        <v>1.0</v>
      </c>
      <c r="AN215" s="1723">
        <v>4.0</v>
      </c>
      <c r="AO215" s="1723">
        <v>2.0</v>
      </c>
      <c r="AP215" s="1723">
        <v>0.0</v>
      </c>
      <c r="AQ215" s="1723">
        <v>0.0</v>
      </c>
      <c r="AR215" s="1723">
        <v>0.0</v>
      </c>
      <c r="AS215" s="1723"/>
      <c r="AT215" s="1723">
        <v>3.0</v>
      </c>
      <c r="AU215" s="1723"/>
      <c r="AV215" s="1723"/>
      <c r="AW215" s="1723"/>
      <c r="AX215" s="1723"/>
      <c r="AY215" s="1723"/>
      <c r="AZ215" s="1723"/>
      <c r="BA215" s="549">
        <f t="shared" si="9"/>
        <v>77</v>
      </c>
      <c r="BB215" s="1723" t="s">
        <v>6989</v>
      </c>
    </row>
    <row r="216">
      <c r="A216" s="1724"/>
      <c r="B216" s="1550"/>
      <c r="C216" s="1550"/>
      <c r="D216" s="1725"/>
      <c r="E216" s="1725"/>
      <c r="F216" s="1725"/>
      <c r="G216" s="1725"/>
      <c r="H216" s="1167"/>
      <c r="I216" s="1725"/>
      <c r="J216" s="1725"/>
      <c r="K216" s="1708"/>
      <c r="L216" s="1725"/>
      <c r="M216" s="1725"/>
      <c r="N216" s="1725"/>
      <c r="O216" s="1725"/>
      <c r="P216" s="1725"/>
      <c r="Q216" s="1725"/>
      <c r="R216" s="1725"/>
      <c r="S216" s="1725"/>
      <c r="T216" s="1725"/>
      <c r="U216" s="1725"/>
      <c r="V216" s="1725"/>
      <c r="W216" s="1725"/>
      <c r="X216" s="280"/>
      <c r="Y216" s="280"/>
      <c r="Z216" s="280"/>
      <c r="AA216" s="1725"/>
      <c r="AB216" s="1725"/>
      <c r="AC216" s="1701"/>
      <c r="AD216" s="1725"/>
      <c r="AE216" s="1725"/>
      <c r="AF216" s="1725"/>
      <c r="AG216" s="1725"/>
      <c r="AH216" s="1725"/>
      <c r="AI216" s="1725"/>
      <c r="AJ216" s="1725"/>
      <c r="AK216" s="1725"/>
      <c r="AL216" s="1725"/>
      <c r="AM216" s="1725"/>
      <c r="AN216" s="549"/>
      <c r="AO216" s="549"/>
      <c r="AP216" s="549"/>
      <c r="AQ216" s="549"/>
      <c r="AR216" s="549"/>
      <c r="AS216" s="549"/>
      <c r="AT216" s="549"/>
      <c r="AU216" s="549"/>
      <c r="AV216" s="549"/>
      <c r="AW216" s="549"/>
      <c r="AX216" s="549"/>
      <c r="AY216" s="549"/>
      <c r="AZ216" s="549"/>
      <c r="BA216" s="549"/>
      <c r="BB216" s="549"/>
    </row>
    <row r="217">
      <c r="A217" s="1724"/>
      <c r="B217" s="1550"/>
      <c r="C217" s="1550"/>
      <c r="D217" s="1725"/>
      <c r="E217" s="1725"/>
      <c r="F217" s="1725"/>
      <c r="G217" s="1725"/>
      <c r="H217" s="1167"/>
      <c r="I217" s="1725"/>
      <c r="J217" s="1725"/>
      <c r="K217" s="1708"/>
      <c r="L217" s="1725"/>
      <c r="M217" s="1725"/>
      <c r="N217" s="1725"/>
      <c r="O217" s="1725"/>
      <c r="P217" s="1725"/>
      <c r="Q217" s="1725"/>
      <c r="R217" s="1725"/>
      <c r="S217" s="1725"/>
      <c r="T217" s="1725"/>
      <c r="U217" s="1725"/>
      <c r="V217" s="1725"/>
      <c r="W217" s="1725"/>
      <c r="X217" s="280"/>
      <c r="Y217" s="280"/>
      <c r="Z217" s="280"/>
      <c r="AA217" s="1725"/>
      <c r="AB217" s="1725"/>
      <c r="AC217" s="1725"/>
      <c r="AD217" s="1725"/>
      <c r="AE217" s="1725"/>
      <c r="AF217" s="1725"/>
      <c r="AG217" s="1725"/>
      <c r="AH217" s="1725"/>
      <c r="AI217" s="1725"/>
      <c r="AJ217" s="1725"/>
      <c r="AK217" s="1725"/>
      <c r="AL217" s="1725"/>
      <c r="AM217" s="1725"/>
      <c r="AN217" s="549"/>
      <c r="AO217" s="549"/>
      <c r="AP217" s="549"/>
      <c r="AQ217" s="549"/>
      <c r="AR217" s="549"/>
      <c r="AS217" s="549"/>
      <c r="AT217" s="549"/>
      <c r="AU217" s="549"/>
      <c r="AV217" s="549"/>
      <c r="AW217" s="549"/>
      <c r="AX217" s="549"/>
      <c r="AY217" s="549"/>
      <c r="AZ217" s="549"/>
      <c r="BA217" s="549"/>
      <c r="BB217" s="549"/>
    </row>
    <row r="218">
      <c r="A218" s="1726"/>
      <c r="B218" s="1727" t="s">
        <v>6882</v>
      </c>
      <c r="D218" s="1725"/>
      <c r="E218" s="1725"/>
      <c r="F218" s="1725"/>
      <c r="G218" s="1725"/>
      <c r="H218" s="1167"/>
      <c r="I218" s="1725"/>
      <c r="J218" s="1725"/>
      <c r="K218" s="1708"/>
      <c r="L218" s="1725"/>
      <c r="M218" s="1725"/>
      <c r="N218" s="1725"/>
      <c r="O218" s="1725"/>
      <c r="P218" s="1725"/>
      <c r="Q218" s="1725"/>
      <c r="R218" s="1725"/>
      <c r="S218" s="1725"/>
      <c r="T218" s="1725"/>
      <c r="U218" s="1725"/>
      <c r="V218" s="1725"/>
      <c r="W218" s="1725"/>
      <c r="X218" s="280"/>
      <c r="Y218" s="280"/>
      <c r="Z218" s="280"/>
      <c r="AA218" s="1725"/>
      <c r="AB218" s="1725"/>
      <c r="AC218" s="1725"/>
      <c r="AD218" s="1725"/>
      <c r="AE218" s="1725"/>
      <c r="AF218" s="1725"/>
      <c r="AG218" s="1725"/>
      <c r="AH218" s="1725"/>
      <c r="AI218" s="1725"/>
      <c r="AJ218" s="1725"/>
      <c r="AK218" s="1725"/>
      <c r="AL218" s="1725"/>
      <c r="AM218" s="1725"/>
      <c r="AN218" s="549"/>
      <c r="AO218" s="549"/>
      <c r="AP218" s="549"/>
      <c r="AQ218" s="549"/>
      <c r="AR218" s="549"/>
      <c r="AS218" s="549"/>
      <c r="AT218" s="549"/>
      <c r="AU218" s="549"/>
      <c r="AV218" s="549"/>
      <c r="AW218" s="549"/>
      <c r="AX218" s="549"/>
      <c r="AY218" s="549"/>
      <c r="AZ218" s="549"/>
      <c r="BA218" s="549"/>
      <c r="BB218" s="549"/>
    </row>
    <row r="219">
      <c r="A219" s="1687" t="s">
        <v>6992</v>
      </c>
      <c r="B219" s="1634" t="s">
        <v>6888</v>
      </c>
      <c r="C219" s="1594" t="s">
        <v>6887</v>
      </c>
      <c r="D219" s="1701">
        <v>0.0</v>
      </c>
      <c r="E219" s="1701">
        <v>0.0</v>
      </c>
      <c r="F219" s="1701">
        <v>0.0</v>
      </c>
      <c r="G219" s="1701">
        <v>0.0</v>
      </c>
      <c r="H219" s="549">
        <v>1.0</v>
      </c>
      <c r="I219" s="1710">
        <v>0.0</v>
      </c>
      <c r="J219" s="1725"/>
      <c r="K219" s="1167">
        <v>0.0</v>
      </c>
      <c r="L219" s="1725"/>
      <c r="M219" s="1701">
        <v>0.0</v>
      </c>
      <c r="N219" s="1725"/>
      <c r="O219" s="1710">
        <v>1.0</v>
      </c>
      <c r="P219" s="1725"/>
      <c r="Q219" s="1167">
        <v>0.0</v>
      </c>
      <c r="R219" s="1701">
        <v>1.0</v>
      </c>
      <c r="S219" s="1701">
        <v>0.0</v>
      </c>
      <c r="T219" s="1701">
        <v>0.0</v>
      </c>
      <c r="U219" s="1701">
        <v>0.0</v>
      </c>
      <c r="V219" s="1701">
        <v>0.0</v>
      </c>
      <c r="W219" s="1701">
        <v>0.0</v>
      </c>
      <c r="X219" s="548">
        <v>0.0</v>
      </c>
      <c r="Y219" s="548">
        <v>0.0</v>
      </c>
      <c r="Z219" s="548">
        <v>0.0</v>
      </c>
      <c r="AA219" s="1701">
        <v>0.0</v>
      </c>
      <c r="AB219" s="1701">
        <v>0.0</v>
      </c>
      <c r="AC219" s="1701">
        <v>0.0</v>
      </c>
      <c r="AD219" s="1701"/>
      <c r="AE219" s="1701">
        <v>1.0</v>
      </c>
      <c r="AF219" s="1701">
        <v>0.0</v>
      </c>
      <c r="AG219" s="1701">
        <v>0.0</v>
      </c>
      <c r="AH219" s="1701">
        <v>0.0</v>
      </c>
      <c r="AI219" s="1701">
        <v>1.0</v>
      </c>
      <c r="AJ219" s="1701">
        <v>0.0</v>
      </c>
      <c r="AK219" s="1701">
        <v>1.0</v>
      </c>
      <c r="AL219" s="1701">
        <v>0.0</v>
      </c>
      <c r="AM219" s="1701">
        <v>0.0</v>
      </c>
      <c r="AN219" s="549">
        <v>0.0</v>
      </c>
      <c r="AO219" s="549">
        <v>1.0</v>
      </c>
      <c r="AP219" s="549">
        <v>0.0</v>
      </c>
      <c r="AQ219" s="549">
        <v>0.0</v>
      </c>
      <c r="AR219" s="549">
        <v>0.0</v>
      </c>
      <c r="AS219" s="549"/>
      <c r="AT219" s="549">
        <v>0.0</v>
      </c>
      <c r="AU219" s="549"/>
      <c r="AV219" s="549"/>
      <c r="AW219" s="549"/>
      <c r="AX219" s="549"/>
      <c r="AY219" s="549"/>
      <c r="AZ219" s="549"/>
      <c r="BA219" s="549">
        <f t="shared" ref="BA219:BA237" si="10">SUM(D219:AZ219)</f>
        <v>7</v>
      </c>
      <c r="BB219" s="549" t="s">
        <v>6988</v>
      </c>
    </row>
    <row r="220">
      <c r="A220" s="1687" t="s">
        <v>6992</v>
      </c>
      <c r="B220" s="1634" t="s">
        <v>6889</v>
      </c>
      <c r="C220" s="1594" t="s">
        <v>6887</v>
      </c>
      <c r="D220" s="1701">
        <v>0.0</v>
      </c>
      <c r="E220" s="1701">
        <v>0.0</v>
      </c>
      <c r="F220" s="1701">
        <v>0.0</v>
      </c>
      <c r="G220" s="1701">
        <v>0.0</v>
      </c>
      <c r="H220" s="549">
        <v>0.0</v>
      </c>
      <c r="I220" s="1710">
        <v>1.0</v>
      </c>
      <c r="J220" s="1725"/>
      <c r="K220" s="1167">
        <v>0.0</v>
      </c>
      <c r="L220" s="1725"/>
      <c r="M220" s="549">
        <v>0.0</v>
      </c>
      <c r="N220" s="1725"/>
      <c r="O220" s="1710">
        <v>1.0</v>
      </c>
      <c r="P220" s="1725"/>
      <c r="Q220" s="1167">
        <v>0.0</v>
      </c>
      <c r="R220" s="1701">
        <v>0.0</v>
      </c>
      <c r="S220" s="1701">
        <v>0.0</v>
      </c>
      <c r="T220" s="1701">
        <v>0.0</v>
      </c>
      <c r="U220" s="1701">
        <v>0.0</v>
      </c>
      <c r="V220" s="1701">
        <v>0.0</v>
      </c>
      <c r="W220" s="1701">
        <v>0.0</v>
      </c>
      <c r="X220" s="548">
        <v>1.0</v>
      </c>
      <c r="Y220" s="548">
        <v>0.0</v>
      </c>
      <c r="Z220" s="548">
        <v>0.0</v>
      </c>
      <c r="AA220" s="1701">
        <v>0.0</v>
      </c>
      <c r="AB220" s="1701">
        <v>0.0</v>
      </c>
      <c r="AC220" s="1701">
        <v>0.0</v>
      </c>
      <c r="AD220" s="1701"/>
      <c r="AE220" s="1701">
        <v>0.0</v>
      </c>
      <c r="AF220" s="1701">
        <v>0.0</v>
      </c>
      <c r="AG220" s="1701">
        <v>0.0</v>
      </c>
      <c r="AH220" s="1701">
        <v>0.0</v>
      </c>
      <c r="AI220" s="1701">
        <v>0.0</v>
      </c>
      <c r="AJ220" s="1701">
        <v>0.0</v>
      </c>
      <c r="AK220" s="1701">
        <v>0.0</v>
      </c>
      <c r="AL220" s="1701">
        <v>0.0</v>
      </c>
      <c r="AM220" s="1701">
        <v>0.0</v>
      </c>
      <c r="AN220" s="549">
        <v>0.0</v>
      </c>
      <c r="AO220" s="549">
        <v>2.0</v>
      </c>
      <c r="AP220" s="549">
        <v>0.0</v>
      </c>
      <c r="AQ220" s="549">
        <v>0.0</v>
      </c>
      <c r="AR220" s="549">
        <v>0.0</v>
      </c>
      <c r="AS220" s="549"/>
      <c r="AT220" s="549">
        <v>0.0</v>
      </c>
      <c r="AU220" s="549"/>
      <c r="AV220" s="549"/>
      <c r="AW220" s="549"/>
      <c r="AX220" s="549"/>
      <c r="AY220" s="549"/>
      <c r="AZ220" s="549"/>
      <c r="BA220" s="549">
        <f t="shared" si="10"/>
        <v>5</v>
      </c>
      <c r="BB220" s="549" t="s">
        <v>6988</v>
      </c>
    </row>
    <row r="221">
      <c r="A221" s="1687" t="s">
        <v>6992</v>
      </c>
      <c r="B221" s="1634" t="s">
        <v>6676</v>
      </c>
      <c r="C221" s="1594" t="s">
        <v>6887</v>
      </c>
      <c r="D221" s="1701">
        <v>0.0</v>
      </c>
      <c r="E221" s="1701">
        <v>0.0</v>
      </c>
      <c r="F221" s="1701">
        <v>0.0</v>
      </c>
      <c r="G221" s="1701">
        <v>0.0</v>
      </c>
      <c r="H221" s="549">
        <v>1.0</v>
      </c>
      <c r="I221" s="1710">
        <v>0.0</v>
      </c>
      <c r="J221" s="1725"/>
      <c r="K221" s="1167">
        <v>0.0</v>
      </c>
      <c r="L221" s="1725"/>
      <c r="M221" s="549">
        <v>0.0</v>
      </c>
      <c r="N221" s="1725"/>
      <c r="O221" s="1710">
        <v>2.0</v>
      </c>
      <c r="P221" s="1725"/>
      <c r="Q221" s="1167">
        <v>0.0</v>
      </c>
      <c r="R221" s="1701">
        <v>0.0</v>
      </c>
      <c r="S221" s="1701">
        <v>0.0</v>
      </c>
      <c r="T221" s="1701">
        <v>0.0</v>
      </c>
      <c r="U221" s="1701">
        <v>2.0</v>
      </c>
      <c r="V221" s="1701">
        <v>0.0</v>
      </c>
      <c r="W221" s="1701">
        <v>0.0</v>
      </c>
      <c r="X221" s="548">
        <v>0.0</v>
      </c>
      <c r="Y221" s="548">
        <v>0.0</v>
      </c>
      <c r="Z221" s="548">
        <v>0.0</v>
      </c>
      <c r="AA221" s="1701">
        <v>0.0</v>
      </c>
      <c r="AB221" s="1701">
        <v>0.0</v>
      </c>
      <c r="AC221" s="1701">
        <v>2.0</v>
      </c>
      <c r="AD221" s="1701"/>
      <c r="AE221" s="1701">
        <v>1.0</v>
      </c>
      <c r="AF221" s="1701">
        <v>0.0</v>
      </c>
      <c r="AG221" s="1701">
        <v>0.0</v>
      </c>
      <c r="AH221" s="1701">
        <v>0.0</v>
      </c>
      <c r="AI221" s="1701">
        <v>1.0</v>
      </c>
      <c r="AJ221" s="1701">
        <v>0.0</v>
      </c>
      <c r="AK221" s="1701">
        <v>0.0</v>
      </c>
      <c r="AL221" s="1701">
        <v>0.0</v>
      </c>
      <c r="AM221" s="1701">
        <v>0.0</v>
      </c>
      <c r="AN221" s="549">
        <v>0.0</v>
      </c>
      <c r="AO221" s="549">
        <v>0.0</v>
      </c>
      <c r="AP221" s="549">
        <v>0.0</v>
      </c>
      <c r="AQ221" s="549">
        <v>3.0</v>
      </c>
      <c r="AR221" s="549">
        <v>0.0</v>
      </c>
      <c r="AS221" s="549"/>
      <c r="AT221" s="549">
        <v>0.0</v>
      </c>
      <c r="AU221" s="549"/>
      <c r="AV221" s="549"/>
      <c r="AW221" s="549"/>
      <c r="AX221" s="549"/>
      <c r="AY221" s="549"/>
      <c r="AZ221" s="549"/>
      <c r="BA221" s="549">
        <f t="shared" si="10"/>
        <v>12</v>
      </c>
      <c r="BB221" s="549" t="s">
        <v>6988</v>
      </c>
    </row>
    <row r="222">
      <c r="A222" s="1687" t="s">
        <v>6992</v>
      </c>
      <c r="B222" s="1634" t="s">
        <v>6891</v>
      </c>
      <c r="C222" s="1594" t="s">
        <v>6887</v>
      </c>
      <c r="D222" s="1701">
        <v>0.0</v>
      </c>
      <c r="E222" s="1701">
        <v>0.0</v>
      </c>
      <c r="F222" s="1701">
        <v>0.0</v>
      </c>
      <c r="G222" s="1701">
        <v>0.0</v>
      </c>
      <c r="H222" s="549">
        <v>0.0</v>
      </c>
      <c r="I222" s="1710">
        <v>0.0</v>
      </c>
      <c r="J222" s="1710">
        <v>0.0</v>
      </c>
      <c r="K222" s="1167">
        <v>0.0</v>
      </c>
      <c r="L222" s="1725"/>
      <c r="M222" s="1701">
        <v>0.0</v>
      </c>
      <c r="N222" s="1725"/>
      <c r="O222" s="1710">
        <v>0.0</v>
      </c>
      <c r="P222" s="1725"/>
      <c r="Q222" s="1167">
        <v>1.0</v>
      </c>
      <c r="R222" s="1701">
        <v>0.0</v>
      </c>
      <c r="S222" s="1701">
        <v>0.0</v>
      </c>
      <c r="T222" s="1701">
        <v>0.0</v>
      </c>
      <c r="U222" s="1701">
        <v>0.0</v>
      </c>
      <c r="V222" s="1701">
        <v>0.0</v>
      </c>
      <c r="W222" s="1701">
        <v>0.0</v>
      </c>
      <c r="X222" s="548">
        <v>0.0</v>
      </c>
      <c r="Y222" s="548">
        <v>0.0</v>
      </c>
      <c r="Z222" s="548">
        <v>0.0</v>
      </c>
      <c r="AA222" s="1701">
        <v>0.0</v>
      </c>
      <c r="AB222" s="1701">
        <v>0.0</v>
      </c>
      <c r="AC222" s="1701">
        <v>0.0</v>
      </c>
      <c r="AD222" s="1701"/>
      <c r="AE222" s="1701">
        <v>0.0</v>
      </c>
      <c r="AF222" s="1701">
        <v>0.0</v>
      </c>
      <c r="AG222" s="1701">
        <v>0.0</v>
      </c>
      <c r="AH222" s="1701">
        <v>0.0</v>
      </c>
      <c r="AI222" s="1701">
        <v>0.0</v>
      </c>
      <c r="AJ222" s="1701">
        <v>0.0</v>
      </c>
      <c r="AK222" s="1701">
        <v>0.0</v>
      </c>
      <c r="AL222" s="1701">
        <v>0.0</v>
      </c>
      <c r="AM222" s="1701">
        <v>0.0</v>
      </c>
      <c r="AN222" s="549">
        <v>0.0</v>
      </c>
      <c r="AO222" s="549">
        <v>0.0</v>
      </c>
      <c r="AP222" s="549">
        <v>0.0</v>
      </c>
      <c r="AQ222" s="549">
        <v>0.0</v>
      </c>
      <c r="AR222" s="549">
        <v>0.0</v>
      </c>
      <c r="AS222" s="549"/>
      <c r="AT222" s="549">
        <v>0.0</v>
      </c>
      <c r="AU222" s="549"/>
      <c r="AV222" s="549"/>
      <c r="AW222" s="549"/>
      <c r="AX222" s="549"/>
      <c r="AY222" s="549"/>
      <c r="AZ222" s="549"/>
      <c r="BA222" s="549">
        <f t="shared" si="10"/>
        <v>1</v>
      </c>
      <c r="BB222" s="549" t="s">
        <v>6988</v>
      </c>
    </row>
    <row r="223">
      <c r="A223" s="1687" t="s">
        <v>6992</v>
      </c>
      <c r="B223" s="1634" t="s">
        <v>6892</v>
      </c>
      <c r="C223" s="1594" t="s">
        <v>6887</v>
      </c>
      <c r="D223" s="1701">
        <v>0.0</v>
      </c>
      <c r="E223" s="1701">
        <v>0.0</v>
      </c>
      <c r="F223" s="1701">
        <v>0.0</v>
      </c>
      <c r="G223" s="1701">
        <v>0.0</v>
      </c>
      <c r="H223" s="549">
        <v>0.0</v>
      </c>
      <c r="I223" s="1710">
        <v>0.0</v>
      </c>
      <c r="J223" s="1710">
        <v>0.0</v>
      </c>
      <c r="K223" s="1167">
        <v>0.0</v>
      </c>
      <c r="L223" s="1725"/>
      <c r="M223" s="549">
        <v>0.0</v>
      </c>
      <c r="N223" s="1725"/>
      <c r="O223" s="1710">
        <v>0.0</v>
      </c>
      <c r="P223" s="1725"/>
      <c r="Q223" s="1167">
        <v>0.0</v>
      </c>
      <c r="R223" s="1701">
        <v>0.0</v>
      </c>
      <c r="S223" s="1701">
        <v>0.0</v>
      </c>
      <c r="T223" s="1701">
        <v>0.0</v>
      </c>
      <c r="U223" s="1701">
        <v>0.0</v>
      </c>
      <c r="V223" s="1701">
        <v>0.0</v>
      </c>
      <c r="W223" s="1701">
        <v>0.0</v>
      </c>
      <c r="X223" s="548">
        <v>0.0</v>
      </c>
      <c r="Y223" s="548">
        <v>0.0</v>
      </c>
      <c r="Z223" s="548">
        <v>0.0</v>
      </c>
      <c r="AA223" s="1701">
        <v>0.0</v>
      </c>
      <c r="AB223" s="1701">
        <v>0.0</v>
      </c>
      <c r="AC223" s="1701">
        <v>0.0</v>
      </c>
      <c r="AD223" s="1701"/>
      <c r="AE223" s="1701">
        <v>0.0</v>
      </c>
      <c r="AF223" s="1701">
        <v>0.0</v>
      </c>
      <c r="AG223" s="1701">
        <v>0.0</v>
      </c>
      <c r="AH223" s="1701">
        <v>0.0</v>
      </c>
      <c r="AI223" s="1701">
        <v>0.0</v>
      </c>
      <c r="AJ223" s="1701">
        <v>0.0</v>
      </c>
      <c r="AK223" s="1701">
        <v>0.0</v>
      </c>
      <c r="AL223" s="1701">
        <v>0.0</v>
      </c>
      <c r="AM223" s="1701">
        <v>0.0</v>
      </c>
      <c r="AN223" s="549">
        <v>0.0</v>
      </c>
      <c r="AO223" s="549">
        <v>0.0</v>
      </c>
      <c r="AP223" s="549">
        <v>0.0</v>
      </c>
      <c r="AQ223" s="549">
        <v>0.0</v>
      </c>
      <c r="AR223" s="549">
        <v>0.0</v>
      </c>
      <c r="AS223" s="549"/>
      <c r="AT223" s="549">
        <v>0.0</v>
      </c>
      <c r="AU223" s="549"/>
      <c r="AV223" s="549"/>
      <c r="AW223" s="549"/>
      <c r="AX223" s="549"/>
      <c r="AY223" s="549"/>
      <c r="AZ223" s="549"/>
      <c r="BA223" s="549">
        <f t="shared" si="10"/>
        <v>0</v>
      </c>
      <c r="BB223" s="549" t="s">
        <v>6988</v>
      </c>
    </row>
    <row r="224">
      <c r="A224" s="1687" t="s">
        <v>6992</v>
      </c>
      <c r="B224" s="1634" t="s">
        <v>6894</v>
      </c>
      <c r="C224" s="1594" t="s">
        <v>6887</v>
      </c>
      <c r="D224" s="1701">
        <v>0.0</v>
      </c>
      <c r="E224" s="1701">
        <v>0.0</v>
      </c>
      <c r="F224" s="1701">
        <v>0.0</v>
      </c>
      <c r="G224" s="1701">
        <v>0.0</v>
      </c>
      <c r="H224" s="549">
        <v>1.0</v>
      </c>
      <c r="I224" s="1710">
        <v>0.0</v>
      </c>
      <c r="J224" s="1725"/>
      <c r="K224" s="1167">
        <v>0.0</v>
      </c>
      <c r="L224" s="1725"/>
      <c r="M224" s="1701">
        <v>0.0</v>
      </c>
      <c r="N224" s="1725"/>
      <c r="O224" s="1710">
        <v>0.0</v>
      </c>
      <c r="P224" s="1725"/>
      <c r="Q224" s="1167">
        <v>0.0</v>
      </c>
      <c r="R224" s="1701">
        <v>0.0</v>
      </c>
      <c r="S224" s="1701">
        <v>0.0</v>
      </c>
      <c r="T224" s="1701">
        <v>1.0</v>
      </c>
      <c r="U224" s="1701">
        <v>0.0</v>
      </c>
      <c r="V224" s="1701">
        <v>0.0</v>
      </c>
      <c r="W224" s="1701">
        <v>0.0</v>
      </c>
      <c r="X224" s="548">
        <v>0.0</v>
      </c>
      <c r="Y224" s="548">
        <v>0.0</v>
      </c>
      <c r="Z224" s="548">
        <v>0.0</v>
      </c>
      <c r="AA224" s="1701">
        <v>0.0</v>
      </c>
      <c r="AB224" s="1701">
        <v>0.0</v>
      </c>
      <c r="AC224" s="1701">
        <v>0.0</v>
      </c>
      <c r="AD224" s="1701"/>
      <c r="AE224" s="1701">
        <v>0.0</v>
      </c>
      <c r="AF224" s="1701">
        <v>0.0</v>
      </c>
      <c r="AG224" s="1701">
        <v>0.0</v>
      </c>
      <c r="AH224" s="1701">
        <v>0.0</v>
      </c>
      <c r="AI224" s="1701">
        <v>0.0</v>
      </c>
      <c r="AJ224" s="1701">
        <v>0.0</v>
      </c>
      <c r="AK224" s="1701">
        <v>0.0</v>
      </c>
      <c r="AL224" s="1701">
        <v>0.0</v>
      </c>
      <c r="AM224" s="1701">
        <v>0.0</v>
      </c>
      <c r="AN224" s="549">
        <v>0.0</v>
      </c>
      <c r="AO224" s="549">
        <v>1.0</v>
      </c>
      <c r="AP224" s="549">
        <v>0.0</v>
      </c>
      <c r="AQ224" s="549">
        <v>3.0</v>
      </c>
      <c r="AR224" s="549">
        <v>0.0</v>
      </c>
      <c r="AS224" s="549"/>
      <c r="AT224" s="549">
        <v>0.0</v>
      </c>
      <c r="AU224" s="549"/>
      <c r="AV224" s="549"/>
      <c r="AW224" s="549"/>
      <c r="AX224" s="549"/>
      <c r="AY224" s="549"/>
      <c r="AZ224" s="549"/>
      <c r="BA224" s="549">
        <f t="shared" si="10"/>
        <v>6</v>
      </c>
      <c r="BB224" s="549" t="s">
        <v>6988</v>
      </c>
    </row>
    <row r="225">
      <c r="A225" s="1687" t="s">
        <v>6992</v>
      </c>
      <c r="B225" s="1634" t="s">
        <v>6896</v>
      </c>
      <c r="C225" s="1594" t="s">
        <v>6887</v>
      </c>
      <c r="D225" s="1701">
        <v>0.0</v>
      </c>
      <c r="E225" s="1701">
        <v>0.0</v>
      </c>
      <c r="F225" s="1701">
        <v>0.0</v>
      </c>
      <c r="G225" s="1701">
        <v>1.0</v>
      </c>
      <c r="H225" s="549">
        <v>0.0</v>
      </c>
      <c r="I225" s="1710">
        <v>0.0</v>
      </c>
      <c r="J225" s="1725"/>
      <c r="K225" s="1167">
        <v>0.0</v>
      </c>
      <c r="L225" s="1701">
        <v>0.0</v>
      </c>
      <c r="M225" s="1701">
        <v>0.0</v>
      </c>
      <c r="N225" s="1725"/>
      <c r="O225" s="1710">
        <v>0.0</v>
      </c>
      <c r="P225" s="1725"/>
      <c r="Q225" s="1167">
        <v>0.0</v>
      </c>
      <c r="R225" s="1701">
        <v>0.0</v>
      </c>
      <c r="S225" s="1701">
        <v>0.0</v>
      </c>
      <c r="T225" s="1701">
        <v>0.0</v>
      </c>
      <c r="U225" s="1701">
        <v>1.0</v>
      </c>
      <c r="V225" s="1701">
        <v>0.0</v>
      </c>
      <c r="W225" s="1701">
        <v>0.0</v>
      </c>
      <c r="X225" s="548">
        <v>1.0</v>
      </c>
      <c r="Y225" s="548">
        <v>0.0</v>
      </c>
      <c r="Z225" s="548">
        <v>0.0</v>
      </c>
      <c r="AA225" s="1701">
        <v>0.0</v>
      </c>
      <c r="AB225" s="1701">
        <v>0.0</v>
      </c>
      <c r="AC225" s="1701">
        <v>0.0</v>
      </c>
      <c r="AD225" s="1701"/>
      <c r="AE225" s="1701">
        <v>0.0</v>
      </c>
      <c r="AF225" s="1701">
        <v>0.0</v>
      </c>
      <c r="AG225" s="1701">
        <v>0.0</v>
      </c>
      <c r="AH225" s="1701">
        <v>1.0</v>
      </c>
      <c r="AI225" s="1701">
        <v>0.0</v>
      </c>
      <c r="AJ225" s="1701">
        <v>0.0</v>
      </c>
      <c r="AK225" s="1701">
        <v>0.0</v>
      </c>
      <c r="AL225" s="1701">
        <v>0.0</v>
      </c>
      <c r="AM225" s="1701">
        <v>0.0</v>
      </c>
      <c r="AN225" s="549">
        <v>1.0</v>
      </c>
      <c r="AO225" s="549">
        <v>0.0</v>
      </c>
      <c r="AP225" s="549">
        <v>0.0</v>
      </c>
      <c r="AQ225" s="549">
        <v>3.0</v>
      </c>
      <c r="AR225" s="549">
        <v>0.0</v>
      </c>
      <c r="AS225" s="549"/>
      <c r="AT225" s="549">
        <v>0.0</v>
      </c>
      <c r="AU225" s="549"/>
      <c r="AV225" s="549"/>
      <c r="AW225" s="549"/>
      <c r="AX225" s="549"/>
      <c r="AY225" s="549"/>
      <c r="AZ225" s="549"/>
      <c r="BA225" s="549">
        <f t="shared" si="10"/>
        <v>8</v>
      </c>
      <c r="BB225" s="549" t="s">
        <v>6988</v>
      </c>
    </row>
    <row r="226">
      <c r="A226" s="1687" t="s">
        <v>6992</v>
      </c>
      <c r="B226" s="1634" t="s">
        <v>6897</v>
      </c>
      <c r="C226" s="1594" t="s">
        <v>6887</v>
      </c>
      <c r="D226" s="1701">
        <v>0.0</v>
      </c>
      <c r="E226" s="1701">
        <v>0.0</v>
      </c>
      <c r="F226" s="1701">
        <v>0.0</v>
      </c>
      <c r="G226" s="1701">
        <v>0.0</v>
      </c>
      <c r="H226" s="549">
        <v>0.0</v>
      </c>
      <c r="I226" s="1710">
        <v>0.0</v>
      </c>
      <c r="J226" s="1710">
        <v>0.0</v>
      </c>
      <c r="K226" s="1167">
        <v>0.0</v>
      </c>
      <c r="L226" s="1725"/>
      <c r="M226" s="1701">
        <v>0.0</v>
      </c>
      <c r="N226" s="1725"/>
      <c r="O226" s="1710">
        <v>2.0</v>
      </c>
      <c r="P226" s="1725"/>
      <c r="Q226" s="1167">
        <v>0.0</v>
      </c>
      <c r="R226" s="1701">
        <v>0.0</v>
      </c>
      <c r="S226" s="1701">
        <v>0.0</v>
      </c>
      <c r="T226" s="1701">
        <v>0.0</v>
      </c>
      <c r="U226" s="1701">
        <v>1.0</v>
      </c>
      <c r="V226" s="1701">
        <v>0.0</v>
      </c>
      <c r="W226" s="1701">
        <v>0.0</v>
      </c>
      <c r="X226" s="548">
        <v>0.0</v>
      </c>
      <c r="Y226" s="548">
        <v>0.0</v>
      </c>
      <c r="Z226" s="548">
        <v>0.0</v>
      </c>
      <c r="AA226" s="1701">
        <v>0.0</v>
      </c>
      <c r="AB226" s="1701">
        <v>0.0</v>
      </c>
      <c r="AC226" s="1701">
        <v>0.0</v>
      </c>
      <c r="AD226" s="1701"/>
      <c r="AE226" s="1701">
        <v>0.0</v>
      </c>
      <c r="AF226" s="1701">
        <v>0.0</v>
      </c>
      <c r="AG226" s="1701">
        <v>0.0</v>
      </c>
      <c r="AH226" s="1701">
        <v>0.0</v>
      </c>
      <c r="AI226" s="1701">
        <v>0.0</v>
      </c>
      <c r="AJ226" s="1701">
        <v>0.0</v>
      </c>
      <c r="AK226" s="1701">
        <v>0.0</v>
      </c>
      <c r="AL226" s="1701">
        <v>0.0</v>
      </c>
      <c r="AM226" s="1701">
        <v>0.0</v>
      </c>
      <c r="AN226" s="549">
        <v>0.0</v>
      </c>
      <c r="AO226" s="549">
        <v>0.0</v>
      </c>
      <c r="AP226" s="549">
        <v>0.0</v>
      </c>
      <c r="AQ226" s="549">
        <v>0.0</v>
      </c>
      <c r="AR226" s="549">
        <v>0.0</v>
      </c>
      <c r="AS226" s="549"/>
      <c r="AT226" s="549">
        <v>0.0</v>
      </c>
      <c r="AU226" s="549"/>
      <c r="AV226" s="549"/>
      <c r="AW226" s="549"/>
      <c r="AX226" s="549"/>
      <c r="AY226" s="549"/>
      <c r="AZ226" s="549"/>
      <c r="BA226" s="549">
        <f t="shared" si="10"/>
        <v>3</v>
      </c>
      <c r="BB226" s="549" t="s">
        <v>6988</v>
      </c>
    </row>
    <row r="227">
      <c r="A227" s="1687" t="s">
        <v>6992</v>
      </c>
      <c r="B227" s="1634" t="s">
        <v>6898</v>
      </c>
      <c r="C227" s="1594" t="s">
        <v>6887</v>
      </c>
      <c r="D227" s="1701">
        <v>0.0</v>
      </c>
      <c r="E227" s="1701">
        <v>0.0</v>
      </c>
      <c r="F227" s="1701">
        <v>0.0</v>
      </c>
      <c r="G227" s="1701">
        <v>0.0</v>
      </c>
      <c r="H227" s="549">
        <v>0.0</v>
      </c>
      <c r="I227" s="1710">
        <v>0.0</v>
      </c>
      <c r="J227" s="1710">
        <v>0.0</v>
      </c>
      <c r="K227" s="1167">
        <v>0.0</v>
      </c>
      <c r="L227" s="1725"/>
      <c r="M227" s="549">
        <v>0.0</v>
      </c>
      <c r="N227" s="1725"/>
      <c r="O227" s="1710">
        <v>0.0</v>
      </c>
      <c r="P227" s="1725"/>
      <c r="Q227" s="1167">
        <v>0.0</v>
      </c>
      <c r="R227" s="1701">
        <v>0.0</v>
      </c>
      <c r="S227" s="1701">
        <v>0.0</v>
      </c>
      <c r="T227" s="1701">
        <v>0.0</v>
      </c>
      <c r="U227" s="1701">
        <v>0.0</v>
      </c>
      <c r="V227" s="1701">
        <v>0.0</v>
      </c>
      <c r="W227" s="1701">
        <v>0.0</v>
      </c>
      <c r="X227" s="548">
        <v>0.0</v>
      </c>
      <c r="Y227" s="548">
        <v>0.0</v>
      </c>
      <c r="Z227" s="548">
        <v>0.0</v>
      </c>
      <c r="AA227" s="1701">
        <v>0.0</v>
      </c>
      <c r="AB227" s="1701">
        <v>0.0</v>
      </c>
      <c r="AC227" s="1701">
        <v>0.0</v>
      </c>
      <c r="AD227" s="1701"/>
      <c r="AE227" s="1701">
        <v>0.0</v>
      </c>
      <c r="AF227" s="1701">
        <v>0.0</v>
      </c>
      <c r="AG227" s="1701">
        <v>0.0</v>
      </c>
      <c r="AH227" s="1701">
        <v>0.0</v>
      </c>
      <c r="AI227" s="1701">
        <v>0.0</v>
      </c>
      <c r="AJ227" s="1701">
        <v>0.0</v>
      </c>
      <c r="AK227" s="1701">
        <v>0.0</v>
      </c>
      <c r="AL227" s="1701">
        <v>0.0</v>
      </c>
      <c r="AM227" s="1701">
        <v>0.0</v>
      </c>
      <c r="AN227" s="549">
        <v>0.0</v>
      </c>
      <c r="AO227" s="549">
        <v>0.0</v>
      </c>
      <c r="AP227" s="549">
        <v>0.0</v>
      </c>
      <c r="AQ227" s="549">
        <v>0.0</v>
      </c>
      <c r="AR227" s="549">
        <v>0.0</v>
      </c>
      <c r="AS227" s="549"/>
      <c r="AT227" s="549">
        <v>0.0</v>
      </c>
      <c r="AU227" s="549"/>
      <c r="AV227" s="549"/>
      <c r="AW227" s="549"/>
      <c r="AX227" s="549"/>
      <c r="AY227" s="549"/>
      <c r="AZ227" s="549"/>
      <c r="BA227" s="549">
        <f t="shared" si="10"/>
        <v>0</v>
      </c>
      <c r="BB227" s="549" t="s">
        <v>6988</v>
      </c>
    </row>
    <row r="228">
      <c r="A228" s="1687" t="s">
        <v>6992</v>
      </c>
      <c r="B228" s="1634" t="s">
        <v>6899</v>
      </c>
      <c r="C228" s="1594" t="s">
        <v>6887</v>
      </c>
      <c r="D228" s="1701">
        <v>0.0</v>
      </c>
      <c r="E228" s="1701">
        <v>0.0</v>
      </c>
      <c r="F228" s="1701">
        <v>0.0</v>
      </c>
      <c r="G228" s="1701">
        <v>0.0</v>
      </c>
      <c r="H228" s="549">
        <v>0.0</v>
      </c>
      <c r="I228" s="1710">
        <v>0.0</v>
      </c>
      <c r="J228" s="1710">
        <v>0.0</v>
      </c>
      <c r="K228" s="1167">
        <v>0.0</v>
      </c>
      <c r="L228" s="1725"/>
      <c r="M228" s="1701">
        <v>0.0</v>
      </c>
      <c r="N228" s="1725"/>
      <c r="O228" s="1710">
        <v>2.0</v>
      </c>
      <c r="P228" s="1725"/>
      <c r="Q228" s="1167">
        <v>0.0</v>
      </c>
      <c r="R228" s="1701">
        <v>0.0</v>
      </c>
      <c r="S228" s="1701">
        <v>0.0</v>
      </c>
      <c r="T228" s="1701">
        <v>0.0</v>
      </c>
      <c r="U228" s="1701">
        <v>2.0</v>
      </c>
      <c r="V228" s="1701">
        <v>0.0</v>
      </c>
      <c r="W228" s="1701">
        <v>0.0</v>
      </c>
      <c r="X228" s="548">
        <v>0.0</v>
      </c>
      <c r="Y228" s="548">
        <v>1.0</v>
      </c>
      <c r="Z228" s="548">
        <v>0.0</v>
      </c>
      <c r="AA228" s="1701">
        <v>0.0</v>
      </c>
      <c r="AB228" s="1701">
        <v>0.0</v>
      </c>
      <c r="AC228" s="1701">
        <v>0.0</v>
      </c>
      <c r="AD228" s="1701"/>
      <c r="AE228" s="1701">
        <v>1.0</v>
      </c>
      <c r="AF228" s="1701">
        <v>0.0</v>
      </c>
      <c r="AG228" s="1701">
        <v>0.0</v>
      </c>
      <c r="AH228" s="1701">
        <v>0.0</v>
      </c>
      <c r="AI228" s="1701">
        <v>0.0</v>
      </c>
      <c r="AJ228" s="1701">
        <v>0.0</v>
      </c>
      <c r="AK228" s="1701">
        <v>1.0</v>
      </c>
      <c r="AL228" s="1701">
        <v>0.0</v>
      </c>
      <c r="AM228" s="1701">
        <v>0.0</v>
      </c>
      <c r="AN228" s="549">
        <v>0.0</v>
      </c>
      <c r="AO228" s="549">
        <v>0.0</v>
      </c>
      <c r="AP228" s="549">
        <v>0.0</v>
      </c>
      <c r="AQ228" s="549">
        <v>0.0</v>
      </c>
      <c r="AR228" s="549">
        <v>0.0</v>
      </c>
      <c r="AS228" s="549">
        <v>2.0</v>
      </c>
      <c r="AT228" s="549">
        <v>0.0</v>
      </c>
      <c r="AU228" s="549"/>
      <c r="AV228" s="549"/>
      <c r="AW228" s="549"/>
      <c r="AX228" s="549"/>
      <c r="AY228" s="549"/>
      <c r="AZ228" s="549"/>
      <c r="BA228" s="549">
        <f t="shared" si="10"/>
        <v>9</v>
      </c>
      <c r="BB228" s="549" t="s">
        <v>6988</v>
      </c>
    </row>
    <row r="229">
      <c r="A229" s="1687" t="s">
        <v>6992</v>
      </c>
      <c r="B229" s="1634" t="s">
        <v>6900</v>
      </c>
      <c r="C229" s="1594" t="s">
        <v>6887</v>
      </c>
      <c r="D229" s="1701">
        <v>0.0</v>
      </c>
      <c r="E229" s="1701">
        <v>0.0</v>
      </c>
      <c r="F229" s="1701">
        <v>0.0</v>
      </c>
      <c r="G229" s="1701">
        <v>0.0</v>
      </c>
      <c r="H229" s="549">
        <v>1.0</v>
      </c>
      <c r="I229" s="1710">
        <v>0.0</v>
      </c>
      <c r="J229" s="1725"/>
      <c r="K229" s="1167">
        <v>0.0</v>
      </c>
      <c r="L229" s="1701">
        <v>1.0</v>
      </c>
      <c r="M229" s="549">
        <v>0.0</v>
      </c>
      <c r="N229" s="1725"/>
      <c r="O229" s="1710">
        <v>0.0</v>
      </c>
      <c r="P229" s="1725"/>
      <c r="Q229" s="1167">
        <v>1.0</v>
      </c>
      <c r="R229" s="1701">
        <v>0.0</v>
      </c>
      <c r="S229" s="1701">
        <v>0.0</v>
      </c>
      <c r="T229" s="1701">
        <v>0.0</v>
      </c>
      <c r="U229" s="1701">
        <v>0.0</v>
      </c>
      <c r="V229" s="1701">
        <v>0.0</v>
      </c>
      <c r="W229" s="1701">
        <v>0.0</v>
      </c>
      <c r="X229" s="548">
        <v>0.0</v>
      </c>
      <c r="Y229" s="548">
        <v>0.0</v>
      </c>
      <c r="Z229" s="548">
        <v>1.0</v>
      </c>
      <c r="AA229" s="1701">
        <v>0.0</v>
      </c>
      <c r="AB229" s="1701">
        <v>0.0</v>
      </c>
      <c r="AC229" s="1701">
        <v>0.0</v>
      </c>
      <c r="AD229" s="1701"/>
      <c r="AE229" s="1701">
        <v>0.0</v>
      </c>
      <c r="AF229" s="1701">
        <v>0.0</v>
      </c>
      <c r="AG229" s="1701">
        <v>0.0</v>
      </c>
      <c r="AH229" s="1701">
        <v>0.0</v>
      </c>
      <c r="AI229" s="1701">
        <v>0.0</v>
      </c>
      <c r="AJ229" s="1701">
        <v>0.0</v>
      </c>
      <c r="AK229" s="1701">
        <v>0.0</v>
      </c>
      <c r="AL229" s="1701">
        <v>0.0</v>
      </c>
      <c r="AM229" s="1701">
        <v>0.0</v>
      </c>
      <c r="AN229" s="549">
        <v>0.0</v>
      </c>
      <c r="AO229" s="549">
        <v>0.0</v>
      </c>
      <c r="AP229" s="549">
        <v>0.0</v>
      </c>
      <c r="AQ229" s="549">
        <v>3.0</v>
      </c>
      <c r="AR229" s="549">
        <v>0.0</v>
      </c>
      <c r="AS229" s="549"/>
      <c r="AT229" s="549">
        <v>0.0</v>
      </c>
      <c r="AU229" s="549"/>
      <c r="AV229" s="549"/>
      <c r="AW229" s="549"/>
      <c r="AX229" s="549"/>
      <c r="AY229" s="549"/>
      <c r="AZ229" s="549"/>
      <c r="BA229" s="549">
        <f t="shared" si="10"/>
        <v>7</v>
      </c>
      <c r="BB229" s="549" t="s">
        <v>6988</v>
      </c>
    </row>
    <row r="230">
      <c r="A230" s="1687" t="s">
        <v>6992</v>
      </c>
      <c r="B230" s="1634" t="s">
        <v>6901</v>
      </c>
      <c r="C230" s="1594" t="s">
        <v>6887</v>
      </c>
      <c r="D230" s="1701">
        <v>0.0</v>
      </c>
      <c r="E230" s="1701">
        <v>0.0</v>
      </c>
      <c r="F230" s="1701">
        <v>0.0</v>
      </c>
      <c r="G230" s="1701">
        <v>0.0</v>
      </c>
      <c r="H230" s="549">
        <v>0.0</v>
      </c>
      <c r="I230" s="1710">
        <v>1.0</v>
      </c>
      <c r="J230" s="1725"/>
      <c r="K230" s="1167">
        <v>0.0</v>
      </c>
      <c r="L230" s="1725"/>
      <c r="M230" s="1701">
        <v>0.0</v>
      </c>
      <c r="N230" s="1725"/>
      <c r="O230" s="1710">
        <v>0.0</v>
      </c>
      <c r="P230" s="1725"/>
      <c r="Q230" s="1167">
        <v>0.0</v>
      </c>
      <c r="R230" s="1701">
        <v>0.0</v>
      </c>
      <c r="S230" s="1701">
        <v>0.0</v>
      </c>
      <c r="T230" s="1701">
        <v>0.0</v>
      </c>
      <c r="U230" s="1701">
        <v>0.0</v>
      </c>
      <c r="V230" s="1701">
        <v>0.0</v>
      </c>
      <c r="W230" s="1701">
        <v>0.0</v>
      </c>
      <c r="X230" s="548">
        <v>0.0</v>
      </c>
      <c r="Y230" s="548">
        <v>0.0</v>
      </c>
      <c r="Z230" s="548">
        <v>0.0</v>
      </c>
      <c r="AA230" s="1701">
        <v>0.0</v>
      </c>
      <c r="AB230" s="1701">
        <v>0.0</v>
      </c>
      <c r="AC230" s="1701">
        <v>0.0</v>
      </c>
      <c r="AD230" s="1701"/>
      <c r="AE230" s="1701">
        <v>1.0</v>
      </c>
      <c r="AF230" s="1701">
        <v>0.0</v>
      </c>
      <c r="AG230" s="1701">
        <v>0.0</v>
      </c>
      <c r="AH230" s="1701">
        <v>0.0</v>
      </c>
      <c r="AI230" s="1701">
        <v>0.0</v>
      </c>
      <c r="AJ230" s="1701">
        <v>0.0</v>
      </c>
      <c r="AK230" s="1701">
        <v>0.0</v>
      </c>
      <c r="AL230" s="1701">
        <v>0.0</v>
      </c>
      <c r="AM230" s="1701">
        <v>0.0</v>
      </c>
      <c r="AN230" s="549">
        <v>0.0</v>
      </c>
      <c r="AO230" s="549">
        <v>0.0</v>
      </c>
      <c r="AP230" s="549">
        <v>0.0</v>
      </c>
      <c r="AQ230" s="549">
        <v>3.0</v>
      </c>
      <c r="AR230" s="549">
        <v>0.0</v>
      </c>
      <c r="AS230" s="549"/>
      <c r="AT230" s="549">
        <v>0.0</v>
      </c>
      <c r="AU230" s="549"/>
      <c r="AV230" s="549"/>
      <c r="AW230" s="549"/>
      <c r="AX230" s="549"/>
      <c r="AY230" s="549"/>
      <c r="AZ230" s="549"/>
      <c r="BA230" s="549">
        <f t="shared" si="10"/>
        <v>5</v>
      </c>
      <c r="BB230" s="549" t="s">
        <v>6988</v>
      </c>
    </row>
    <row r="231">
      <c r="A231" s="1687" t="s">
        <v>6992</v>
      </c>
      <c r="B231" s="1590" t="s">
        <v>6903</v>
      </c>
      <c r="C231" s="1594" t="s">
        <v>6887</v>
      </c>
      <c r="D231" s="1701">
        <v>0.0</v>
      </c>
      <c r="E231" s="1701">
        <v>0.0</v>
      </c>
      <c r="F231" s="1701">
        <v>0.0</v>
      </c>
      <c r="G231" s="1701">
        <v>1.0</v>
      </c>
      <c r="H231" s="549">
        <v>0.0</v>
      </c>
      <c r="I231" s="1710">
        <v>1.0</v>
      </c>
      <c r="J231" s="1725"/>
      <c r="K231" s="1167">
        <v>0.0</v>
      </c>
      <c r="L231" s="1710"/>
      <c r="M231" s="1701">
        <v>0.0</v>
      </c>
      <c r="N231" s="1725"/>
      <c r="O231" s="1710">
        <v>0.0</v>
      </c>
      <c r="P231" s="1725"/>
      <c r="Q231" s="1167">
        <v>0.0</v>
      </c>
      <c r="R231" s="1701">
        <v>0.0</v>
      </c>
      <c r="S231" s="1701">
        <v>0.0</v>
      </c>
      <c r="T231" s="1701">
        <v>0.0</v>
      </c>
      <c r="U231" s="1701">
        <v>0.0</v>
      </c>
      <c r="V231" s="1701">
        <v>0.0</v>
      </c>
      <c r="W231" s="1701">
        <v>0.0</v>
      </c>
      <c r="X231" s="548">
        <v>0.0</v>
      </c>
      <c r="Y231" s="548">
        <v>1.0</v>
      </c>
      <c r="Z231" s="548">
        <v>0.0</v>
      </c>
      <c r="AA231" s="1701">
        <v>1.0</v>
      </c>
      <c r="AB231" s="1701">
        <v>0.0</v>
      </c>
      <c r="AC231" s="1701">
        <v>0.0</v>
      </c>
      <c r="AD231" s="1701"/>
      <c r="AE231" s="1701">
        <v>0.0</v>
      </c>
      <c r="AF231" s="1701">
        <v>0.0</v>
      </c>
      <c r="AG231" s="1701">
        <v>0.0</v>
      </c>
      <c r="AH231" s="1701">
        <v>0.0</v>
      </c>
      <c r="AI231" s="1701">
        <v>0.0</v>
      </c>
      <c r="AJ231" s="1701">
        <v>0.0</v>
      </c>
      <c r="AK231" s="1701">
        <v>0.0</v>
      </c>
      <c r="AL231" s="1701">
        <v>0.0</v>
      </c>
      <c r="AM231" s="1701">
        <v>0.0</v>
      </c>
      <c r="AN231" s="549">
        <v>0.0</v>
      </c>
      <c r="AO231" s="549">
        <v>0.0</v>
      </c>
      <c r="AP231" s="549">
        <v>0.0</v>
      </c>
      <c r="AQ231" s="549">
        <v>0.0</v>
      </c>
      <c r="AR231" s="549">
        <v>0.0</v>
      </c>
      <c r="AS231" s="549"/>
      <c r="AT231" s="549">
        <v>0.0</v>
      </c>
      <c r="AU231" s="549"/>
      <c r="AV231" s="549"/>
      <c r="AW231" s="549"/>
      <c r="AX231" s="549"/>
      <c r="AY231" s="549"/>
      <c r="AZ231" s="549"/>
      <c r="BA231" s="549">
        <f t="shared" si="10"/>
        <v>4</v>
      </c>
      <c r="BB231" s="549" t="s">
        <v>6988</v>
      </c>
    </row>
    <row r="232">
      <c r="A232" s="1687" t="s">
        <v>6992</v>
      </c>
      <c r="B232" s="1590" t="s">
        <v>6907</v>
      </c>
      <c r="C232" s="1594" t="s">
        <v>6887</v>
      </c>
      <c r="D232" s="1701">
        <v>0.0</v>
      </c>
      <c r="E232" s="1701">
        <v>0.0</v>
      </c>
      <c r="F232" s="1701">
        <v>0.0</v>
      </c>
      <c r="G232" s="1701">
        <v>0.0</v>
      </c>
      <c r="H232" s="549">
        <v>0.0</v>
      </c>
      <c r="I232" s="1710">
        <v>1.0</v>
      </c>
      <c r="J232" s="1725"/>
      <c r="K232" s="1708">
        <v>0.0</v>
      </c>
      <c r="L232" s="1725"/>
      <c r="M232" s="1701">
        <v>0.0</v>
      </c>
      <c r="N232" s="1725"/>
      <c r="O232" s="1710">
        <v>0.0</v>
      </c>
      <c r="P232" s="1725"/>
      <c r="Q232" s="1725"/>
      <c r="R232" s="1701">
        <v>0.0</v>
      </c>
      <c r="S232" s="1701">
        <v>0.0</v>
      </c>
      <c r="T232" s="1701">
        <v>0.0</v>
      </c>
      <c r="U232" s="1701">
        <v>0.0</v>
      </c>
      <c r="V232" s="1701">
        <v>0.0</v>
      </c>
      <c r="W232" s="1701">
        <v>0.0</v>
      </c>
      <c r="X232" s="548">
        <v>0.0</v>
      </c>
      <c r="Y232" s="548">
        <v>0.0</v>
      </c>
      <c r="Z232" s="548">
        <v>0.0</v>
      </c>
      <c r="AA232" s="1701">
        <v>0.0</v>
      </c>
      <c r="AB232" s="1701">
        <v>0.0</v>
      </c>
      <c r="AC232" s="1701">
        <v>0.0</v>
      </c>
      <c r="AD232" s="1701"/>
      <c r="AE232" s="1701">
        <v>0.0</v>
      </c>
      <c r="AF232" s="1701">
        <v>0.0</v>
      </c>
      <c r="AG232" s="1701">
        <v>0.0</v>
      </c>
      <c r="AH232" s="1701">
        <v>0.0</v>
      </c>
      <c r="AI232" s="1701">
        <v>0.0</v>
      </c>
      <c r="AJ232" s="1701">
        <v>0.0</v>
      </c>
      <c r="AK232" s="1701">
        <v>0.0</v>
      </c>
      <c r="AL232" s="1701">
        <v>0.0</v>
      </c>
      <c r="AM232" s="1701">
        <v>0.0</v>
      </c>
      <c r="AN232" s="549">
        <v>0.0</v>
      </c>
      <c r="AO232" s="549">
        <v>0.0</v>
      </c>
      <c r="AP232" s="549">
        <v>0.0</v>
      </c>
      <c r="AQ232" s="549">
        <v>0.0</v>
      </c>
      <c r="AR232" s="549">
        <v>0.0</v>
      </c>
      <c r="AS232" s="549"/>
      <c r="AT232" s="549">
        <v>0.0</v>
      </c>
      <c r="AU232" s="549"/>
      <c r="AV232" s="549"/>
      <c r="AW232" s="549"/>
      <c r="AX232" s="549"/>
      <c r="AY232" s="549"/>
      <c r="AZ232" s="549"/>
      <c r="BA232" s="549">
        <f t="shared" si="10"/>
        <v>1</v>
      </c>
      <c r="BB232" s="549" t="s">
        <v>6988</v>
      </c>
    </row>
    <row r="233">
      <c r="A233" s="1687" t="s">
        <v>6992</v>
      </c>
      <c r="B233" s="1590" t="s">
        <v>6908</v>
      </c>
      <c r="C233" s="1594" t="s">
        <v>6887</v>
      </c>
      <c r="D233" s="1701">
        <v>0.0</v>
      </c>
      <c r="E233" s="1701">
        <v>1.0</v>
      </c>
      <c r="F233" s="1701">
        <v>0.0</v>
      </c>
      <c r="G233" s="1701">
        <v>1.0</v>
      </c>
      <c r="H233" s="549">
        <v>0.0</v>
      </c>
      <c r="I233" s="1710">
        <v>0.0</v>
      </c>
      <c r="J233" s="1725"/>
      <c r="K233" s="1708">
        <v>0.0</v>
      </c>
      <c r="L233" s="1725"/>
      <c r="M233" s="1701">
        <v>0.0</v>
      </c>
      <c r="N233" s="1725"/>
      <c r="O233" s="1710">
        <v>1.0</v>
      </c>
      <c r="P233" s="1725"/>
      <c r="Q233" s="1725"/>
      <c r="R233" s="1701">
        <v>0.0</v>
      </c>
      <c r="S233" s="1701">
        <v>0.0</v>
      </c>
      <c r="T233" s="1701">
        <v>0.0</v>
      </c>
      <c r="U233" s="1701">
        <v>2.0</v>
      </c>
      <c r="V233" s="1701">
        <v>0.0</v>
      </c>
      <c r="W233" s="1701">
        <v>0.0</v>
      </c>
      <c r="X233" s="280"/>
      <c r="Y233" s="548">
        <v>0.0</v>
      </c>
      <c r="Z233" s="548">
        <v>0.0</v>
      </c>
      <c r="AA233" s="1701">
        <v>0.0</v>
      </c>
      <c r="AB233" s="1701">
        <v>0.0</v>
      </c>
      <c r="AC233" s="1701">
        <v>0.0</v>
      </c>
      <c r="AD233" s="1701"/>
      <c r="AE233" s="1701">
        <v>0.0</v>
      </c>
      <c r="AF233" s="1701">
        <v>0.0</v>
      </c>
      <c r="AG233" s="1701">
        <v>0.0</v>
      </c>
      <c r="AH233" s="1701">
        <v>0.0</v>
      </c>
      <c r="AI233" s="1701">
        <v>1.0</v>
      </c>
      <c r="AJ233" s="1701">
        <v>0.0</v>
      </c>
      <c r="AK233" s="1701">
        <v>0.0</v>
      </c>
      <c r="AL233" s="1701">
        <v>0.0</v>
      </c>
      <c r="AM233" s="1701">
        <v>0.0</v>
      </c>
      <c r="AN233" s="549">
        <v>0.0</v>
      </c>
      <c r="AO233" s="549">
        <v>0.0</v>
      </c>
      <c r="AP233" s="549">
        <v>0.0</v>
      </c>
      <c r="AQ233" s="549">
        <v>0.0</v>
      </c>
      <c r="AR233" s="549">
        <v>0.0</v>
      </c>
      <c r="AS233" s="549"/>
      <c r="AT233" s="549">
        <v>0.0</v>
      </c>
      <c r="AU233" s="549"/>
      <c r="AV233" s="549"/>
      <c r="AW233" s="549"/>
      <c r="AX233" s="549"/>
      <c r="AY233" s="549"/>
      <c r="AZ233" s="549"/>
      <c r="BA233" s="549">
        <f t="shared" si="10"/>
        <v>6</v>
      </c>
      <c r="BB233" s="549" t="s">
        <v>6988</v>
      </c>
    </row>
    <row r="234">
      <c r="A234" s="1687" t="s">
        <v>6992</v>
      </c>
      <c r="B234" s="1590" t="s">
        <v>6909</v>
      </c>
      <c r="C234" s="1594" t="s">
        <v>6887</v>
      </c>
      <c r="D234" s="1701">
        <v>0.0</v>
      </c>
      <c r="E234" s="1701">
        <v>0.0</v>
      </c>
      <c r="F234" s="1701">
        <v>0.0</v>
      </c>
      <c r="G234" s="1701">
        <v>0.0</v>
      </c>
      <c r="H234" s="549">
        <v>0.0</v>
      </c>
      <c r="I234" s="1710">
        <v>0.0</v>
      </c>
      <c r="J234" s="1710">
        <v>0.0</v>
      </c>
      <c r="K234" s="1708">
        <v>0.0</v>
      </c>
      <c r="L234" s="1725"/>
      <c r="M234" s="1701">
        <v>0.0</v>
      </c>
      <c r="N234" s="1725"/>
      <c r="O234" s="1710">
        <v>0.0</v>
      </c>
      <c r="P234" s="1725"/>
      <c r="Q234" s="1167">
        <v>0.0</v>
      </c>
      <c r="R234" s="1701">
        <v>0.0</v>
      </c>
      <c r="S234" s="1701">
        <v>0.0</v>
      </c>
      <c r="T234" s="1701">
        <v>0.0</v>
      </c>
      <c r="U234" s="1701">
        <v>0.0</v>
      </c>
      <c r="V234" s="1701">
        <v>0.0</v>
      </c>
      <c r="W234" s="1701">
        <v>0.0</v>
      </c>
      <c r="X234" s="548">
        <v>0.0</v>
      </c>
      <c r="Y234" s="548">
        <v>1.0</v>
      </c>
      <c r="Z234" s="548">
        <v>0.0</v>
      </c>
      <c r="AA234" s="1701">
        <v>0.0</v>
      </c>
      <c r="AB234" s="1701">
        <v>0.0</v>
      </c>
      <c r="AC234" s="1701">
        <v>0.0</v>
      </c>
      <c r="AD234" s="1701"/>
      <c r="AE234" s="1701">
        <v>2.0</v>
      </c>
      <c r="AF234" s="1701">
        <v>2.0</v>
      </c>
      <c r="AG234" s="1701">
        <v>2.0</v>
      </c>
      <c r="AH234" s="1701">
        <v>2.0</v>
      </c>
      <c r="AI234" s="1701">
        <v>2.0</v>
      </c>
      <c r="AJ234" s="1701">
        <v>2.0</v>
      </c>
      <c r="AK234" s="1701">
        <v>2.0</v>
      </c>
      <c r="AL234" s="1701">
        <v>2.0</v>
      </c>
      <c r="AM234" s="1701">
        <v>2.0</v>
      </c>
      <c r="AN234" s="549">
        <v>2.0</v>
      </c>
      <c r="AO234" s="549">
        <v>0.0</v>
      </c>
      <c r="AP234" s="549">
        <v>0.0</v>
      </c>
      <c r="AQ234" s="549">
        <v>0.0</v>
      </c>
      <c r="AR234" s="549">
        <v>0.0</v>
      </c>
      <c r="AS234" s="549"/>
      <c r="AT234" s="549">
        <v>0.0</v>
      </c>
      <c r="AU234" s="549"/>
      <c r="AV234" s="549"/>
      <c r="AW234" s="549"/>
      <c r="AX234" s="549"/>
      <c r="AY234" s="549"/>
      <c r="AZ234" s="549"/>
      <c r="BA234" s="549">
        <f t="shared" si="10"/>
        <v>21</v>
      </c>
      <c r="BB234" s="549" t="s">
        <v>6988</v>
      </c>
    </row>
    <row r="235">
      <c r="A235" s="1714" t="s">
        <v>6992</v>
      </c>
      <c r="B235" s="1715" t="s">
        <v>6913</v>
      </c>
      <c r="C235" s="1731" t="s">
        <v>6887</v>
      </c>
      <c r="D235" s="1732">
        <v>0.0</v>
      </c>
      <c r="E235" s="1732">
        <v>0.0</v>
      </c>
      <c r="F235" s="1732">
        <v>0.0</v>
      </c>
      <c r="G235" s="1732">
        <v>1.0</v>
      </c>
      <c r="H235" s="1721">
        <v>5.0</v>
      </c>
      <c r="I235" s="1732">
        <v>1.0</v>
      </c>
      <c r="J235" s="1734"/>
      <c r="K235" s="1734">
        <v>0.0</v>
      </c>
      <c r="L235" s="1732">
        <v>1.0</v>
      </c>
      <c r="M235" s="1732">
        <v>0.0</v>
      </c>
      <c r="N235" s="1734"/>
      <c r="O235" s="1738">
        <v>7.0</v>
      </c>
      <c r="P235" s="1732">
        <v>0.0</v>
      </c>
      <c r="Q235" s="1734"/>
      <c r="R235" s="1732">
        <v>1.0</v>
      </c>
      <c r="S235" s="1732">
        <v>0.0</v>
      </c>
      <c r="T235" s="1732">
        <v>3.0</v>
      </c>
      <c r="U235" s="1732">
        <v>6.0</v>
      </c>
      <c r="V235" s="1732">
        <v>2.0</v>
      </c>
      <c r="W235" s="1701">
        <v>0.0</v>
      </c>
      <c r="X235" s="548">
        <v>2.0</v>
      </c>
      <c r="Y235" s="548">
        <v>3.0</v>
      </c>
      <c r="Z235" s="548">
        <v>0.0</v>
      </c>
      <c r="AA235" s="1701">
        <v>0.0</v>
      </c>
      <c r="AB235" s="1701">
        <v>0.0</v>
      </c>
      <c r="AC235" s="1701">
        <v>0.0</v>
      </c>
      <c r="AD235" s="1701"/>
      <c r="AE235" s="1701">
        <v>3.0</v>
      </c>
      <c r="AF235" s="1701">
        <v>0.0</v>
      </c>
      <c r="AG235" s="1701">
        <v>0.0</v>
      </c>
      <c r="AH235" s="1701">
        <v>0.0</v>
      </c>
      <c r="AI235" s="1701">
        <v>5.0</v>
      </c>
      <c r="AJ235" s="1701">
        <v>2.0</v>
      </c>
      <c r="AK235" s="1701">
        <v>4.0</v>
      </c>
      <c r="AL235" s="1701">
        <v>1.0</v>
      </c>
      <c r="AM235" s="1701">
        <v>0.0</v>
      </c>
      <c r="AN235" s="1721">
        <v>2.0</v>
      </c>
      <c r="AO235" s="1721">
        <v>5.0</v>
      </c>
      <c r="AP235" s="1721">
        <v>0.0</v>
      </c>
      <c r="AQ235" s="1721">
        <v>0.0</v>
      </c>
      <c r="AR235" s="1721">
        <v>0.0</v>
      </c>
      <c r="AS235" s="1721"/>
      <c r="AT235" s="1721">
        <v>3.0</v>
      </c>
      <c r="AU235" s="1721"/>
      <c r="AV235" s="1721"/>
      <c r="AW235" s="1721"/>
      <c r="AX235" s="1721"/>
      <c r="AY235" s="1721"/>
      <c r="AZ235" s="1721"/>
      <c r="BA235" s="549">
        <f t="shared" si="10"/>
        <v>57</v>
      </c>
      <c r="BB235" s="1721"/>
    </row>
    <row r="236">
      <c r="A236" s="1714" t="s">
        <v>6992</v>
      </c>
      <c r="B236" s="1715" t="s">
        <v>6914</v>
      </c>
      <c r="C236" s="1731" t="s">
        <v>6887</v>
      </c>
      <c r="D236" s="1732">
        <v>0.0</v>
      </c>
      <c r="E236" s="1732">
        <v>2.0</v>
      </c>
      <c r="F236" s="1732">
        <v>3.0</v>
      </c>
      <c r="G236" s="1732">
        <v>0.0</v>
      </c>
      <c r="H236" s="1721">
        <v>0.0</v>
      </c>
      <c r="I236" s="1732">
        <v>5.0</v>
      </c>
      <c r="J236" s="1734"/>
      <c r="K236" s="1734">
        <v>0.0</v>
      </c>
      <c r="L236" s="1734"/>
      <c r="M236" s="1732">
        <v>0.0</v>
      </c>
      <c r="N236" s="1732">
        <v>1.0</v>
      </c>
      <c r="O236" s="1738">
        <v>1.0</v>
      </c>
      <c r="P236" s="1732">
        <v>2.0</v>
      </c>
      <c r="Q236" s="1734"/>
      <c r="R236" s="1732">
        <v>0.0</v>
      </c>
      <c r="S236" s="1732">
        <v>0.0</v>
      </c>
      <c r="T236" s="1732">
        <v>2.0</v>
      </c>
      <c r="U236" s="1732">
        <v>5.0</v>
      </c>
      <c r="V236" s="1732">
        <v>0.0</v>
      </c>
      <c r="W236" s="1701">
        <v>0.0</v>
      </c>
      <c r="X236" s="548">
        <v>0.0</v>
      </c>
      <c r="Y236" s="548">
        <v>2.0</v>
      </c>
      <c r="Z236" s="548">
        <v>0.0</v>
      </c>
      <c r="AA236" s="1701">
        <v>0.0</v>
      </c>
      <c r="AB236" s="1701">
        <v>0.0</v>
      </c>
      <c r="AC236" s="1701">
        <v>0.0</v>
      </c>
      <c r="AD236" s="1701"/>
      <c r="AE236" s="1701">
        <v>1.0</v>
      </c>
      <c r="AF236" s="1701">
        <v>1.0</v>
      </c>
      <c r="AG236" s="1701">
        <v>0.0</v>
      </c>
      <c r="AH236" s="1701">
        <v>0.0</v>
      </c>
      <c r="AI236" s="1701">
        <v>1.0</v>
      </c>
      <c r="AJ236" s="1701">
        <v>3.0</v>
      </c>
      <c r="AK236" s="1701">
        <v>1.0</v>
      </c>
      <c r="AL236" s="1701">
        <v>0.0</v>
      </c>
      <c r="AM236" s="1701">
        <v>0.0</v>
      </c>
      <c r="AN236" s="1721">
        <v>1.0</v>
      </c>
      <c r="AO236" s="1721">
        <v>2.0</v>
      </c>
      <c r="AP236" s="1721">
        <v>0.0</v>
      </c>
      <c r="AQ236" s="1721">
        <v>0.0</v>
      </c>
      <c r="AR236" s="1721">
        <v>0.0</v>
      </c>
      <c r="AS236" s="1721"/>
      <c r="AT236" s="1721">
        <v>5.0</v>
      </c>
      <c r="AU236" s="1721"/>
      <c r="AV236" s="1721"/>
      <c r="AW236" s="1721"/>
      <c r="AX236" s="1721"/>
      <c r="AY236" s="1721"/>
      <c r="AZ236" s="1721"/>
      <c r="BA236" s="549">
        <f t="shared" si="10"/>
        <v>38</v>
      </c>
      <c r="BB236" s="1721"/>
    </row>
    <row r="237">
      <c r="A237" s="1714" t="s">
        <v>6992</v>
      </c>
      <c r="B237" s="1715" t="s">
        <v>6915</v>
      </c>
      <c r="C237" s="1731" t="s">
        <v>6887</v>
      </c>
      <c r="D237" s="1732">
        <v>0.0</v>
      </c>
      <c r="E237" s="1732">
        <v>4.0</v>
      </c>
      <c r="F237" s="1732">
        <v>0.0</v>
      </c>
      <c r="G237" s="1732">
        <v>0.0</v>
      </c>
      <c r="H237" s="1721">
        <v>0.0</v>
      </c>
      <c r="I237" s="1732">
        <v>0.0</v>
      </c>
      <c r="J237" s="1734"/>
      <c r="K237" s="1734">
        <v>0.0</v>
      </c>
      <c r="L237" s="1734"/>
      <c r="M237" s="1732">
        <v>1.0</v>
      </c>
      <c r="N237" s="1734"/>
      <c r="O237" s="1734">
        <v>1.0</v>
      </c>
      <c r="P237" s="1732">
        <v>2.0</v>
      </c>
      <c r="Q237" s="1734"/>
      <c r="R237" s="1732">
        <v>1.0</v>
      </c>
      <c r="S237" s="1732">
        <v>2.0</v>
      </c>
      <c r="T237" s="1732">
        <v>2.0</v>
      </c>
      <c r="U237" s="1732">
        <v>1.0</v>
      </c>
      <c r="V237" s="1732">
        <v>0.0</v>
      </c>
      <c r="W237" s="1701">
        <v>0.0</v>
      </c>
      <c r="X237" s="548">
        <v>0.0</v>
      </c>
      <c r="Y237" s="548">
        <v>0.0</v>
      </c>
      <c r="Z237" s="548">
        <v>0.0</v>
      </c>
      <c r="AA237" s="1701">
        <v>0.0</v>
      </c>
      <c r="AB237" s="1701">
        <v>0.0</v>
      </c>
      <c r="AC237" s="1701">
        <v>1.0</v>
      </c>
      <c r="AD237" s="1701"/>
      <c r="AE237" s="1701">
        <v>1.0</v>
      </c>
      <c r="AF237" s="1701">
        <v>0.0</v>
      </c>
      <c r="AG237" s="1701">
        <v>0.0</v>
      </c>
      <c r="AH237" s="1701">
        <v>0.0</v>
      </c>
      <c r="AI237" s="1701">
        <v>1.0</v>
      </c>
      <c r="AJ237" s="1701">
        <v>0.0</v>
      </c>
      <c r="AK237" s="1701">
        <v>0.0</v>
      </c>
      <c r="AL237" s="1701">
        <v>1.0</v>
      </c>
      <c r="AM237" s="1701">
        <v>0.0</v>
      </c>
      <c r="AN237" s="1721">
        <v>2.0</v>
      </c>
      <c r="AO237" s="1721">
        <v>0.0</v>
      </c>
      <c r="AP237" s="1721">
        <v>0.0</v>
      </c>
      <c r="AQ237" s="1721">
        <v>0.0</v>
      </c>
      <c r="AR237" s="1721">
        <v>0.0</v>
      </c>
      <c r="AS237" s="1721"/>
      <c r="AT237" s="1721">
        <v>0.0</v>
      </c>
      <c r="AU237" s="1721"/>
      <c r="AV237" s="1721"/>
      <c r="AW237" s="1721"/>
      <c r="AX237" s="1721"/>
      <c r="AY237" s="1721"/>
      <c r="AZ237" s="1721"/>
      <c r="BA237" s="549">
        <f t="shared" si="10"/>
        <v>20</v>
      </c>
      <c r="BB237" s="1721"/>
    </row>
    <row r="238">
      <c r="A238" s="1724"/>
      <c r="B238" s="1550"/>
      <c r="C238" s="1550"/>
      <c r="D238" s="1701"/>
      <c r="E238" s="1725"/>
      <c r="F238" s="1725"/>
      <c r="G238" s="1725"/>
      <c r="H238" s="549"/>
      <c r="I238" s="1725"/>
      <c r="J238" s="1725"/>
      <c r="K238" s="1725"/>
      <c r="L238" s="1725"/>
      <c r="M238" s="1725"/>
      <c r="N238" s="1725"/>
      <c r="O238" s="1725"/>
      <c r="P238" s="1725"/>
      <c r="Q238" s="1725"/>
      <c r="R238" s="1725"/>
      <c r="S238" s="1725"/>
      <c r="T238" s="1725"/>
      <c r="U238" s="1725"/>
      <c r="V238" s="1725"/>
      <c r="W238" s="1725"/>
      <c r="X238" s="1725"/>
      <c r="Y238" s="1725"/>
      <c r="Z238" s="1725"/>
      <c r="AA238" s="1725"/>
      <c r="AB238" s="1725"/>
      <c r="AC238" s="1701"/>
      <c r="AD238" s="1725"/>
      <c r="AE238" s="1725"/>
      <c r="AF238" s="1725"/>
      <c r="AG238" s="1701"/>
      <c r="AH238" s="1725"/>
      <c r="AI238" s="1725"/>
      <c r="AJ238" s="1725"/>
      <c r="AK238" s="1725"/>
      <c r="AL238" s="1725"/>
      <c r="AM238" s="1725"/>
      <c r="AN238" s="549" t="s">
        <v>328</v>
      </c>
      <c r="AO238" s="1167"/>
      <c r="AP238" s="1167"/>
      <c r="AQ238" s="1167"/>
      <c r="AR238" s="549">
        <v>0.0</v>
      </c>
      <c r="AS238" s="1167"/>
      <c r="AT238" s="1167"/>
      <c r="AU238" s="1167"/>
      <c r="AV238" s="1167"/>
      <c r="AW238" s="1167"/>
      <c r="AX238" s="1167"/>
      <c r="AY238" s="1167"/>
      <c r="AZ238" s="1167"/>
      <c r="BA238" s="1167"/>
      <c r="BB238" s="1167"/>
    </row>
    <row r="239">
      <c r="A239" s="1724"/>
      <c r="B239" s="1550"/>
      <c r="C239" s="1550"/>
      <c r="D239" s="1725">
        <f t="shared" ref="D239:AM239" si="11">SUM(D3:D237)</f>
        <v>92</v>
      </c>
      <c r="E239" s="1725">
        <f t="shared" si="11"/>
        <v>135</v>
      </c>
      <c r="F239" s="1725">
        <f t="shared" si="11"/>
        <v>161</v>
      </c>
      <c r="G239" s="1725">
        <f t="shared" si="11"/>
        <v>131</v>
      </c>
      <c r="H239" s="1725">
        <f t="shared" si="11"/>
        <v>209</v>
      </c>
      <c r="I239" s="1725">
        <f t="shared" si="11"/>
        <v>178</v>
      </c>
      <c r="J239" s="1725">
        <f t="shared" si="11"/>
        <v>258</v>
      </c>
      <c r="K239" s="1725">
        <f t="shared" si="11"/>
        <v>187</v>
      </c>
      <c r="L239" s="1725">
        <f t="shared" si="11"/>
        <v>123</v>
      </c>
      <c r="M239" s="1725">
        <f t="shared" si="11"/>
        <v>98</v>
      </c>
      <c r="N239" s="1725">
        <f t="shared" si="11"/>
        <v>74</v>
      </c>
      <c r="O239" s="1725">
        <f t="shared" si="11"/>
        <v>303</v>
      </c>
      <c r="P239" s="1725">
        <f t="shared" si="11"/>
        <v>174</v>
      </c>
      <c r="Q239" s="1725">
        <f t="shared" si="11"/>
        <v>124</v>
      </c>
      <c r="R239" s="1725">
        <f t="shared" si="11"/>
        <v>154</v>
      </c>
      <c r="S239" s="1725">
        <f t="shared" si="11"/>
        <v>280</v>
      </c>
      <c r="T239" s="1725">
        <f t="shared" si="11"/>
        <v>311</v>
      </c>
      <c r="U239" s="1725">
        <f t="shared" si="11"/>
        <v>278</v>
      </c>
      <c r="V239" s="1725">
        <f t="shared" si="11"/>
        <v>260</v>
      </c>
      <c r="W239" s="1725">
        <f t="shared" si="11"/>
        <v>176</v>
      </c>
      <c r="X239" s="1725">
        <f t="shared" si="11"/>
        <v>278</v>
      </c>
      <c r="Y239" s="1725">
        <f t="shared" si="11"/>
        <v>222</v>
      </c>
      <c r="Z239" s="1725">
        <f t="shared" si="11"/>
        <v>251</v>
      </c>
      <c r="AA239" s="1725">
        <f t="shared" si="11"/>
        <v>181</v>
      </c>
      <c r="AB239" s="1725">
        <f t="shared" si="11"/>
        <v>116</v>
      </c>
      <c r="AC239" s="1725">
        <f t="shared" si="11"/>
        <v>167</v>
      </c>
      <c r="AD239" s="1725">
        <f t="shared" si="11"/>
        <v>10</v>
      </c>
      <c r="AE239" s="1725">
        <f t="shared" si="11"/>
        <v>220</v>
      </c>
      <c r="AF239" s="1725">
        <f t="shared" si="11"/>
        <v>112</v>
      </c>
      <c r="AG239" s="1725">
        <f t="shared" si="11"/>
        <v>55</v>
      </c>
      <c r="AH239" s="1725">
        <f t="shared" si="11"/>
        <v>229</v>
      </c>
      <c r="AI239" s="1725">
        <f t="shared" si="11"/>
        <v>243</v>
      </c>
      <c r="AJ239" s="1725">
        <f t="shared" si="11"/>
        <v>219</v>
      </c>
      <c r="AK239" s="1725">
        <f t="shared" si="11"/>
        <v>316</v>
      </c>
      <c r="AL239" s="1725">
        <f t="shared" si="11"/>
        <v>180</v>
      </c>
      <c r="AM239" s="1725">
        <f t="shared" si="11"/>
        <v>163</v>
      </c>
      <c r="AN239" s="1167"/>
      <c r="AO239" s="1167"/>
      <c r="AP239" s="1167"/>
      <c r="AQ239" s="1167"/>
      <c r="AR239" s="1167"/>
      <c r="AS239" s="1167"/>
      <c r="AT239" s="1167"/>
      <c r="AU239" s="1167"/>
      <c r="AV239" s="1167"/>
      <c r="AW239" s="1167"/>
      <c r="AX239" s="1167"/>
      <c r="AY239" s="1167"/>
      <c r="AZ239" s="1167"/>
      <c r="BA239" s="1167">
        <f>SUM(BA1:BA237)</f>
        <v>8046</v>
      </c>
      <c r="BB239" s="1167"/>
    </row>
  </sheetData>
  <autoFilter ref="$A$1:$BB$239"/>
  <mergeCells count="10">
    <mergeCell ref="B174:C174"/>
    <mergeCell ref="B196:C196"/>
    <mergeCell ref="B218:C218"/>
    <mergeCell ref="B2:C2"/>
    <mergeCell ref="B27:C27"/>
    <mergeCell ref="B53:C53"/>
    <mergeCell ref="B79:C79"/>
    <mergeCell ref="B105:C105"/>
    <mergeCell ref="B131:C131"/>
    <mergeCell ref="B152:C152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2.75"/>
  <cols>
    <col customWidth="1" min="1" max="1" width="3.63"/>
    <col customWidth="1" min="2" max="2" width="29.5"/>
    <col customWidth="1" min="3" max="3" width="25.75"/>
    <col customWidth="1" min="4" max="4" width="19.88"/>
    <col customWidth="1" min="5" max="6" width="26.88"/>
  </cols>
  <sheetData>
    <row r="1">
      <c r="A1" s="1739"/>
      <c r="B1" s="1740" t="s">
        <v>6993</v>
      </c>
      <c r="C1" s="1741" t="s">
        <v>6994</v>
      </c>
      <c r="D1" s="1742" t="s">
        <v>4874</v>
      </c>
      <c r="E1" s="1743" t="s">
        <v>6995</v>
      </c>
      <c r="F1" s="1744"/>
    </row>
    <row r="2">
      <c r="A2" s="1745"/>
      <c r="B2" s="1746" t="s">
        <v>93</v>
      </c>
      <c r="C2" s="1747" t="s">
        <v>6996</v>
      </c>
      <c r="D2" s="1747" t="s">
        <v>6997</v>
      </c>
      <c r="E2" s="1748" t="s">
        <v>6998</v>
      </c>
      <c r="F2" s="1749"/>
    </row>
    <row r="3">
      <c r="A3" s="1745"/>
      <c r="B3" s="1750" t="s">
        <v>6999</v>
      </c>
      <c r="C3" s="1748"/>
      <c r="D3" s="1185"/>
      <c r="E3" s="1185"/>
      <c r="F3" s="1282"/>
    </row>
    <row r="4">
      <c r="A4" s="1745"/>
      <c r="B4" s="1750" t="s">
        <v>286</v>
      </c>
      <c r="C4" s="1747">
        <v>3233232.0</v>
      </c>
      <c r="D4" s="1747" t="s">
        <v>7000</v>
      </c>
      <c r="E4" s="1748" t="s">
        <v>7001</v>
      </c>
      <c r="F4" s="1749"/>
    </row>
    <row r="5">
      <c r="A5" s="1751"/>
      <c r="B5" s="1746" t="s">
        <v>7002</v>
      </c>
      <c r="C5" s="1748">
        <v>3742022.0</v>
      </c>
      <c r="D5" s="1752" t="s">
        <v>7003</v>
      </c>
      <c r="E5" s="1255" t="s">
        <v>7004</v>
      </c>
      <c r="F5" s="1753"/>
    </row>
    <row r="6">
      <c r="A6" s="1751"/>
      <c r="B6" s="1746" t="s">
        <v>3328</v>
      </c>
      <c r="C6" s="1747">
        <v>3.153106961E9</v>
      </c>
      <c r="D6" s="1747" t="s">
        <v>7005</v>
      </c>
      <c r="E6" s="1748" t="s">
        <v>7006</v>
      </c>
      <c r="F6" s="1749"/>
    </row>
    <row r="7">
      <c r="A7" s="1745"/>
      <c r="B7" s="1746" t="s">
        <v>437</v>
      </c>
      <c r="C7" s="1747">
        <v>8940660.0</v>
      </c>
      <c r="D7" s="1748" t="s">
        <v>7007</v>
      </c>
      <c r="E7" s="1748" t="s">
        <v>7008</v>
      </c>
      <c r="F7" s="1749"/>
    </row>
    <row r="8">
      <c r="A8" s="1751"/>
      <c r="B8" s="1746" t="s">
        <v>7009</v>
      </c>
      <c r="C8" s="1747" t="s">
        <v>7010</v>
      </c>
      <c r="D8" s="1188" t="s">
        <v>7011</v>
      </c>
      <c r="E8" s="1188" t="s">
        <v>7012</v>
      </c>
      <c r="F8" s="1754"/>
    </row>
    <row r="9">
      <c r="A9" s="1751"/>
      <c r="B9" s="1746" t="s">
        <v>7013</v>
      </c>
      <c r="C9" s="1747">
        <v>3837985.0</v>
      </c>
      <c r="D9" s="1185"/>
      <c r="E9" s="1185"/>
      <c r="F9" s="1282"/>
    </row>
    <row r="10">
      <c r="A10" s="1745"/>
      <c r="B10" s="1746" t="s">
        <v>7014</v>
      </c>
      <c r="C10" s="1747" t="s">
        <v>7015</v>
      </c>
      <c r="D10" s="1185"/>
      <c r="E10" s="1188" t="s">
        <v>7016</v>
      </c>
      <c r="F10" s="1754"/>
    </row>
    <row r="11">
      <c r="A11" s="1745"/>
      <c r="B11" s="1750" t="s">
        <v>7017</v>
      </c>
      <c r="C11" s="1748">
        <v>3.113394992E9</v>
      </c>
      <c r="D11" s="1188" t="s">
        <v>7018</v>
      </c>
      <c r="E11" s="1188"/>
      <c r="F11" s="1754"/>
    </row>
    <row r="12">
      <c r="A12" s="1751"/>
      <c r="B12" s="1746" t="s">
        <v>7019</v>
      </c>
      <c r="C12" s="1747">
        <v>4389310.0</v>
      </c>
      <c r="D12" s="1748" t="s">
        <v>7020</v>
      </c>
      <c r="E12" s="1748" t="s">
        <v>7021</v>
      </c>
      <c r="F12" s="1749"/>
    </row>
    <row r="13">
      <c r="A13" s="1745"/>
      <c r="B13" s="1750" t="s">
        <v>7022</v>
      </c>
      <c r="C13" s="1748" t="s">
        <v>7023</v>
      </c>
      <c r="D13" s="1188" t="s">
        <v>7024</v>
      </c>
      <c r="E13" s="1188" t="s">
        <v>7025</v>
      </c>
      <c r="F13" s="1754"/>
    </row>
    <row r="14">
      <c r="A14" s="1751"/>
      <c r="B14" s="1746" t="s">
        <v>2778</v>
      </c>
      <c r="C14" s="1747" t="s">
        <v>7026</v>
      </c>
      <c r="D14" s="1747" t="s">
        <v>7027</v>
      </c>
      <c r="E14" s="1747"/>
      <c r="F14" s="1755"/>
    </row>
    <row r="15">
      <c r="A15" s="1745"/>
      <c r="B15" s="1746" t="s">
        <v>5290</v>
      </c>
      <c r="C15" s="1747">
        <v>6678521.0</v>
      </c>
      <c r="D15" s="1756"/>
      <c r="E15" s="1756"/>
      <c r="F15" s="1757"/>
    </row>
    <row r="16">
      <c r="A16" s="1751"/>
      <c r="B16" s="1746" t="s">
        <v>7028</v>
      </c>
      <c r="C16" s="1747" t="s">
        <v>7029</v>
      </c>
      <c r="D16" s="1747" t="s">
        <v>7030</v>
      </c>
      <c r="E16" s="1748" t="s">
        <v>7031</v>
      </c>
      <c r="F16" s="1749"/>
    </row>
    <row r="17">
      <c r="A17" s="1745"/>
      <c r="B17" s="1746" t="s">
        <v>7032</v>
      </c>
      <c r="C17" s="1747">
        <v>3.015184572E9</v>
      </c>
      <c r="D17" s="1185"/>
      <c r="E17" s="1185"/>
      <c r="F17" s="1282"/>
    </row>
    <row r="18">
      <c r="A18" s="1751"/>
      <c r="B18" s="1750" t="s">
        <v>7033</v>
      </c>
      <c r="C18" s="1747" t="s">
        <v>7034</v>
      </c>
      <c r="D18" s="1747" t="s">
        <v>7035</v>
      </c>
      <c r="E18" s="1748" t="s">
        <v>7036</v>
      </c>
      <c r="F18" s="1749"/>
    </row>
    <row r="19">
      <c r="A19" s="1751"/>
      <c r="B19" s="1750" t="s">
        <v>355</v>
      </c>
      <c r="C19" s="1748" t="s">
        <v>7037</v>
      </c>
      <c r="D19" s="1747" t="s">
        <v>7038</v>
      </c>
      <c r="E19" s="1748" t="s">
        <v>7031</v>
      </c>
      <c r="F19" s="1749"/>
    </row>
    <row r="20">
      <c r="A20" s="1751"/>
      <c r="B20" s="1746" t="s">
        <v>7039</v>
      </c>
      <c r="C20" s="1747">
        <v>3.134610108E9</v>
      </c>
      <c r="D20" s="1185"/>
      <c r="E20" s="1185"/>
      <c r="F20" s="1282"/>
    </row>
    <row r="21">
      <c r="A21" s="1751"/>
      <c r="B21" s="1746" t="s">
        <v>7040</v>
      </c>
      <c r="C21" s="1748">
        <v>8961157.0</v>
      </c>
      <c r="D21" s="1188" t="s">
        <v>7041</v>
      </c>
      <c r="E21" s="1188" t="s">
        <v>7042</v>
      </c>
      <c r="F21" s="1754"/>
    </row>
    <row r="22">
      <c r="A22" s="1745"/>
      <c r="B22" s="1750" t="s">
        <v>7043</v>
      </c>
      <c r="C22" s="1748" t="s">
        <v>7044</v>
      </c>
      <c r="D22" s="1255" t="s">
        <v>7045</v>
      </c>
      <c r="E22" s="1185"/>
      <c r="F22" s="1282"/>
    </row>
    <row r="23">
      <c r="A23" s="1751"/>
      <c r="B23" s="1746" t="s">
        <v>7046</v>
      </c>
      <c r="C23" s="1747" t="s">
        <v>7047</v>
      </c>
      <c r="D23" s="1185"/>
      <c r="E23" s="1185"/>
      <c r="F23" s="1282"/>
    </row>
    <row r="24">
      <c r="A24" s="1745"/>
      <c r="B24" s="1750" t="s">
        <v>7048</v>
      </c>
      <c r="C24" s="1748"/>
      <c r="D24" s="1185"/>
      <c r="E24" s="1185"/>
      <c r="F24" s="1282"/>
    </row>
    <row r="25">
      <c r="A25" s="1751"/>
      <c r="B25" s="1746" t="s">
        <v>7049</v>
      </c>
      <c r="C25" s="1747">
        <v>3.166280088E9</v>
      </c>
      <c r="D25" s="1747">
        <v>3.166280088E9</v>
      </c>
      <c r="E25" s="1747"/>
      <c r="F25" s="1755"/>
    </row>
    <row r="26">
      <c r="A26" s="1751"/>
      <c r="B26" s="1746" t="s">
        <v>1435</v>
      </c>
      <c r="C26" s="1748" t="s">
        <v>7050</v>
      </c>
      <c r="D26" s="1756"/>
      <c r="E26" s="1756"/>
      <c r="F26" s="1757"/>
    </row>
    <row r="27">
      <c r="A27" s="1751"/>
      <c r="B27" s="1750" t="s">
        <v>7051</v>
      </c>
      <c r="C27" s="1747">
        <v>3827991.0</v>
      </c>
      <c r="D27" s="1748" t="s">
        <v>7052</v>
      </c>
      <c r="E27" s="1756"/>
      <c r="F27" s="1757"/>
    </row>
    <row r="28">
      <c r="A28" s="1751"/>
      <c r="B28" s="1750" t="s">
        <v>1569</v>
      </c>
      <c r="C28" s="1748" t="s">
        <v>7053</v>
      </c>
      <c r="D28" s="1747"/>
      <c r="E28" s="1747"/>
      <c r="F28" s="1755"/>
    </row>
    <row r="29">
      <c r="A29" s="1751"/>
      <c r="B29" s="1746" t="s">
        <v>7054</v>
      </c>
      <c r="C29" s="1748">
        <v>3441736.0</v>
      </c>
      <c r="D29" s="1188" t="s">
        <v>7055</v>
      </c>
      <c r="E29" s="1188" t="s">
        <v>7056</v>
      </c>
      <c r="F29" s="1754"/>
    </row>
    <row r="30">
      <c r="A30" s="1751"/>
      <c r="B30" s="1746" t="s">
        <v>7057</v>
      </c>
      <c r="C30" s="1747">
        <v>3.147907023E9</v>
      </c>
      <c r="D30" s="1747" t="s">
        <v>7058</v>
      </c>
      <c r="E30" s="1747"/>
      <c r="F30" s="1755"/>
    </row>
    <row r="31">
      <c r="A31" s="1751"/>
      <c r="B31" s="1746" t="s">
        <v>7059</v>
      </c>
      <c r="C31" s="1747" t="s">
        <v>7060</v>
      </c>
      <c r="D31" s="1185"/>
      <c r="E31" s="1185"/>
      <c r="F31" s="1282"/>
    </row>
    <row r="32">
      <c r="A32" s="1751"/>
      <c r="B32" s="1746" t="s">
        <v>7061</v>
      </c>
      <c r="C32" s="1747">
        <v>3.146112788E9</v>
      </c>
      <c r="D32" s="1185"/>
      <c r="E32" s="1185"/>
      <c r="F32" s="1282"/>
    </row>
    <row r="33">
      <c r="A33" s="1751"/>
      <c r="B33" s="1746" t="s">
        <v>7062</v>
      </c>
      <c r="C33" s="1748" t="s">
        <v>7063</v>
      </c>
      <c r="D33" s="1747" t="s">
        <v>7064</v>
      </c>
      <c r="E33" s="1748" t="s">
        <v>7065</v>
      </c>
      <c r="F33" s="1749"/>
    </row>
    <row r="34">
      <c r="A34" s="1751"/>
      <c r="B34" s="1746" t="s">
        <v>7066</v>
      </c>
      <c r="C34" s="1747" t="s">
        <v>7067</v>
      </c>
      <c r="D34" s="1185"/>
      <c r="E34" s="1185"/>
      <c r="F34" s="1282"/>
    </row>
    <row r="35">
      <c r="A35" s="1745"/>
      <c r="B35" s="1750" t="s">
        <v>88</v>
      </c>
      <c r="C35" s="1748">
        <v>2886055.0</v>
      </c>
      <c r="D35" s="1188" t="s">
        <v>7068</v>
      </c>
      <c r="E35" s="1188"/>
      <c r="F35" s="1754"/>
    </row>
    <row r="36">
      <c r="A36" s="1751"/>
      <c r="B36" s="1746" t="s">
        <v>7069</v>
      </c>
      <c r="C36" s="1756"/>
      <c r="D36" s="1185"/>
      <c r="E36" s="1185"/>
      <c r="F36" s="1282"/>
    </row>
    <row r="37">
      <c r="A37" s="1751"/>
      <c r="B37" s="1746" t="s">
        <v>57</v>
      </c>
      <c r="C37" s="1747" t="s">
        <v>7070</v>
      </c>
      <c r="D37" s="1747" t="s">
        <v>7071</v>
      </c>
      <c r="E37" s="1747"/>
      <c r="F37" s="1755"/>
    </row>
    <row r="38">
      <c r="A38" s="1751"/>
      <c r="B38" s="1746" t="s">
        <v>7072</v>
      </c>
      <c r="C38" s="1747">
        <v>3.173769957E9</v>
      </c>
      <c r="D38" s="1185"/>
      <c r="E38" s="1185"/>
      <c r="F38" s="1282"/>
    </row>
    <row r="39">
      <c r="A39" s="1751"/>
      <c r="B39" s="1746" t="s">
        <v>7073</v>
      </c>
      <c r="C39" s="1747">
        <v>3.176607353E9</v>
      </c>
      <c r="D39" s="1185"/>
      <c r="E39" s="1185"/>
      <c r="F39" s="1282"/>
    </row>
    <row r="40">
      <c r="A40" s="1751"/>
      <c r="B40" s="1746" t="s">
        <v>7074</v>
      </c>
      <c r="C40" s="1747" t="s">
        <v>7075</v>
      </c>
      <c r="D40" s="1747" t="s">
        <v>7076</v>
      </c>
      <c r="E40" s="1747"/>
      <c r="F40" s="1755"/>
    </row>
    <row r="41">
      <c r="A41" s="1751"/>
      <c r="B41" s="1746" t="s">
        <v>7077</v>
      </c>
      <c r="C41" s="1747">
        <v>3.12786326E9</v>
      </c>
      <c r="D41" s="1747" t="s">
        <v>7078</v>
      </c>
      <c r="E41" s="1747"/>
      <c r="F41" s="1755"/>
    </row>
    <row r="42">
      <c r="A42" s="1751"/>
      <c r="B42" s="1750" t="s">
        <v>1210</v>
      </c>
      <c r="C42" s="1747"/>
      <c r="D42" s="1185"/>
      <c r="E42" s="1185"/>
      <c r="F42" s="1282"/>
    </row>
    <row r="43">
      <c r="A43" s="1751"/>
      <c r="B43" s="1746" t="s">
        <v>7079</v>
      </c>
      <c r="C43" s="1747">
        <v>3.004947211E9</v>
      </c>
      <c r="D43" s="1185"/>
      <c r="E43" s="1185"/>
      <c r="F43" s="1282"/>
    </row>
    <row r="44">
      <c r="A44" s="1751"/>
      <c r="B44" s="1746" t="s">
        <v>7080</v>
      </c>
      <c r="C44" s="1747" t="s">
        <v>7081</v>
      </c>
      <c r="D44" s="1185"/>
      <c r="E44" s="1185"/>
      <c r="F44" s="1282"/>
    </row>
    <row r="45">
      <c r="A45" s="1751"/>
      <c r="B45" s="1746" t="s">
        <v>7082</v>
      </c>
      <c r="C45" s="1747" t="s">
        <v>7083</v>
      </c>
      <c r="D45" s="1282"/>
      <c r="E45" s="1185"/>
      <c r="F45" s="1282"/>
    </row>
    <row r="46">
      <c r="A46" s="1745"/>
      <c r="B46" s="1750"/>
      <c r="C46" s="1748"/>
      <c r="D46" s="1185"/>
      <c r="E46" s="1185"/>
      <c r="F46" s="1282"/>
    </row>
    <row r="47">
      <c r="A47" s="1758"/>
      <c r="B47" s="1759"/>
      <c r="C47" s="1749"/>
      <c r="D47" s="1282"/>
      <c r="E47" s="1282"/>
      <c r="F47" s="1282"/>
    </row>
    <row r="48">
      <c r="A48" s="1758"/>
      <c r="B48" s="1759"/>
      <c r="C48" s="1749"/>
      <c r="D48" s="1282"/>
      <c r="E48" s="1282"/>
      <c r="F48" s="1282"/>
    </row>
    <row r="49">
      <c r="A49" s="1758"/>
      <c r="B49" s="1759"/>
      <c r="C49" s="1749"/>
      <c r="D49" s="1282"/>
      <c r="E49" s="1282"/>
      <c r="F49" s="1282"/>
    </row>
    <row r="50">
      <c r="A50" s="1758"/>
      <c r="B50" s="1759"/>
      <c r="C50" s="1749"/>
      <c r="D50" s="1282"/>
      <c r="E50" s="1282"/>
      <c r="F50" s="1282"/>
    </row>
    <row r="51">
      <c r="A51" s="1758"/>
      <c r="B51" s="1759"/>
      <c r="C51" s="1749"/>
      <c r="D51" s="1282"/>
      <c r="E51" s="1282"/>
      <c r="F51" s="1282"/>
    </row>
    <row r="52">
      <c r="A52" s="1758"/>
      <c r="B52" s="1759"/>
      <c r="C52" s="1749"/>
      <c r="D52" s="1282"/>
      <c r="E52" s="1282"/>
      <c r="F52" s="1282"/>
    </row>
    <row r="53">
      <c r="A53" s="1758"/>
      <c r="B53" s="1759"/>
      <c r="C53" s="1749"/>
      <c r="D53" s="1282"/>
      <c r="E53" s="1282"/>
      <c r="F53" s="1282"/>
    </row>
    <row r="54">
      <c r="A54" s="1758"/>
      <c r="B54" s="1759"/>
      <c r="C54" s="1749"/>
      <c r="D54" s="1282"/>
      <c r="E54" s="1282"/>
      <c r="F54" s="1282"/>
    </row>
    <row r="55">
      <c r="A55" s="1758"/>
      <c r="B55" s="1759"/>
      <c r="C55" s="1749"/>
      <c r="D55" s="1282"/>
      <c r="E55" s="1282"/>
      <c r="F55" s="1282"/>
    </row>
    <row r="56">
      <c r="A56" s="1758"/>
      <c r="B56" s="1759"/>
      <c r="C56" s="1749"/>
      <c r="D56" s="1282"/>
      <c r="E56" s="1282"/>
      <c r="F56" s="1282"/>
    </row>
    <row r="57">
      <c r="A57" s="1758"/>
      <c r="B57" s="1759"/>
      <c r="C57" s="1749"/>
      <c r="D57" s="1282"/>
      <c r="E57" s="1282"/>
      <c r="F57" s="1282"/>
    </row>
    <row r="58">
      <c r="A58" s="1758"/>
      <c r="B58" s="1759"/>
      <c r="C58" s="1749"/>
      <c r="D58" s="1282"/>
      <c r="E58" s="1282"/>
      <c r="F58" s="1282"/>
    </row>
    <row r="59">
      <c r="A59" s="1758"/>
      <c r="B59" s="1759"/>
      <c r="C59" s="1749"/>
      <c r="D59" s="1282"/>
      <c r="E59" s="1282"/>
      <c r="F59" s="1282"/>
    </row>
    <row r="60">
      <c r="A60" s="1758"/>
      <c r="B60" s="1759"/>
      <c r="C60" s="1749"/>
      <c r="D60" s="1282"/>
      <c r="E60" s="1282"/>
      <c r="F60" s="1282"/>
    </row>
    <row r="61">
      <c r="A61" s="1758"/>
      <c r="B61" s="1759"/>
      <c r="C61" s="1749"/>
      <c r="D61" s="1282"/>
      <c r="E61" s="1282"/>
      <c r="F61" s="1282"/>
    </row>
    <row r="62">
      <c r="A62" s="1758"/>
      <c r="B62" s="1759"/>
      <c r="C62" s="1749"/>
      <c r="D62" s="1282"/>
      <c r="E62" s="1282"/>
      <c r="F62" s="1282"/>
    </row>
    <row r="63">
      <c r="A63" s="1758"/>
      <c r="B63" s="1759"/>
      <c r="C63" s="1749"/>
      <c r="D63" s="1282"/>
      <c r="E63" s="1282"/>
      <c r="F63" s="1282"/>
    </row>
    <row r="64">
      <c r="A64" s="1758"/>
      <c r="B64" s="1759"/>
      <c r="C64" s="1749"/>
      <c r="D64" s="1282"/>
      <c r="E64" s="1282"/>
      <c r="F64" s="1282"/>
    </row>
    <row r="65">
      <c r="A65" s="1758"/>
      <c r="B65" s="1759"/>
      <c r="C65" s="1749"/>
      <c r="D65" s="1282"/>
      <c r="E65" s="1282"/>
      <c r="F65" s="1282"/>
    </row>
    <row r="66">
      <c r="A66" s="1758"/>
      <c r="B66" s="1759"/>
      <c r="C66" s="1749"/>
      <c r="D66" s="1282"/>
      <c r="E66" s="1282"/>
      <c r="F66" s="1282"/>
    </row>
    <row r="67">
      <c r="A67" s="1758"/>
      <c r="B67" s="1759"/>
      <c r="C67" s="1749"/>
      <c r="D67" s="1282"/>
      <c r="E67" s="1282"/>
      <c r="F67" s="1282"/>
    </row>
    <row r="68">
      <c r="A68" s="1758"/>
      <c r="B68" s="1759"/>
      <c r="C68" s="1749"/>
      <c r="D68" s="1282"/>
      <c r="E68" s="1282"/>
      <c r="F68" s="1282"/>
    </row>
    <row r="69">
      <c r="A69" s="1758"/>
      <c r="B69" s="1759"/>
      <c r="C69" s="1749"/>
      <c r="D69" s="1282"/>
      <c r="E69" s="1282"/>
      <c r="F69" s="1282"/>
    </row>
    <row r="70">
      <c r="A70" s="1758"/>
      <c r="B70" s="1759"/>
      <c r="C70" s="1749"/>
      <c r="D70" s="1282"/>
      <c r="E70" s="1282"/>
      <c r="F70" s="1282"/>
    </row>
    <row r="71">
      <c r="A71" s="1758"/>
      <c r="B71" s="1759"/>
      <c r="C71" s="1749"/>
      <c r="D71" s="1282"/>
      <c r="E71" s="1282"/>
      <c r="F71" s="1282"/>
    </row>
    <row r="72">
      <c r="A72" s="1758"/>
      <c r="B72" s="1759"/>
      <c r="C72" s="1749"/>
      <c r="D72" s="1282"/>
      <c r="E72" s="1282"/>
      <c r="F72" s="1282"/>
    </row>
    <row r="73">
      <c r="A73" s="1758"/>
      <c r="B73" s="1759"/>
      <c r="C73" s="1749"/>
      <c r="D73" s="1282"/>
      <c r="E73" s="1282"/>
      <c r="F73" s="1282"/>
    </row>
    <row r="74">
      <c r="A74" s="1758"/>
      <c r="B74" s="1759"/>
      <c r="C74" s="1749"/>
      <c r="D74" s="1282"/>
      <c r="E74" s="1282"/>
      <c r="F74" s="1282"/>
    </row>
    <row r="75">
      <c r="A75" s="1758"/>
      <c r="B75" s="1759"/>
      <c r="C75" s="1749"/>
      <c r="D75" s="1282"/>
      <c r="E75" s="1282"/>
      <c r="F75" s="1282"/>
    </row>
    <row r="76">
      <c r="A76" s="1758"/>
      <c r="B76" s="1759"/>
      <c r="C76" s="1749"/>
      <c r="D76" s="1282"/>
      <c r="E76" s="1282"/>
      <c r="F76" s="1282"/>
    </row>
    <row r="77">
      <c r="A77" s="1758"/>
      <c r="B77" s="1759"/>
      <c r="C77" s="1749"/>
      <c r="D77" s="1282"/>
      <c r="E77" s="1282"/>
      <c r="F77" s="1282"/>
    </row>
    <row r="78">
      <c r="A78" s="1758"/>
      <c r="B78" s="1759"/>
      <c r="C78" s="1749"/>
      <c r="D78" s="1282"/>
      <c r="E78" s="1282"/>
      <c r="F78" s="1282"/>
    </row>
    <row r="79">
      <c r="A79" s="1758"/>
      <c r="B79" s="1759"/>
      <c r="C79" s="1749"/>
      <c r="D79" s="1282"/>
      <c r="E79" s="1282"/>
      <c r="F79" s="1282"/>
    </row>
    <row r="80">
      <c r="A80" s="1758"/>
      <c r="B80" s="1759"/>
      <c r="C80" s="1749"/>
      <c r="D80" s="1282"/>
      <c r="E80" s="1282"/>
      <c r="F80" s="1282"/>
    </row>
    <row r="81">
      <c r="A81" s="1758"/>
      <c r="B81" s="1759"/>
      <c r="C81" s="1749"/>
      <c r="D81" s="1282"/>
      <c r="E81" s="1282"/>
      <c r="F81" s="1282"/>
    </row>
    <row r="82">
      <c r="A82" s="1758"/>
      <c r="B82" s="1759"/>
      <c r="C82" s="1749"/>
      <c r="D82" s="1282"/>
      <c r="E82" s="1282"/>
      <c r="F82" s="1282"/>
    </row>
    <row r="83">
      <c r="A83" s="1758"/>
      <c r="B83" s="1759"/>
      <c r="C83" s="1749"/>
      <c r="D83" s="1282"/>
      <c r="E83" s="1282"/>
      <c r="F83" s="1282"/>
    </row>
    <row r="84">
      <c r="A84" s="1758"/>
      <c r="B84" s="1759"/>
      <c r="C84" s="1749"/>
      <c r="D84" s="1282"/>
      <c r="E84" s="1282"/>
      <c r="F84" s="1282"/>
    </row>
    <row r="85">
      <c r="A85" s="1758"/>
      <c r="B85" s="1759"/>
      <c r="C85" s="1749"/>
      <c r="D85" s="1282"/>
      <c r="E85" s="1282"/>
      <c r="F85" s="1282"/>
    </row>
    <row r="86">
      <c r="A86" s="1758"/>
      <c r="B86" s="1759"/>
      <c r="C86" s="1749"/>
      <c r="D86" s="1282"/>
      <c r="E86" s="1282"/>
      <c r="F86" s="1282"/>
    </row>
    <row r="87">
      <c r="A87" s="1758"/>
      <c r="B87" s="1759"/>
      <c r="C87" s="1749"/>
      <c r="D87" s="1282"/>
      <c r="E87" s="1282"/>
      <c r="F87" s="1282"/>
    </row>
    <row r="88">
      <c r="A88" s="1758"/>
      <c r="B88" s="1759"/>
      <c r="C88" s="1749"/>
      <c r="D88" s="1282"/>
      <c r="E88" s="1282"/>
      <c r="F88" s="1282"/>
    </row>
    <row r="89">
      <c r="A89" s="1758"/>
      <c r="B89" s="1759"/>
      <c r="C89" s="1749"/>
      <c r="D89" s="1282"/>
      <c r="E89" s="1282"/>
      <c r="F89" s="1282"/>
    </row>
    <row r="90">
      <c r="A90" s="1758"/>
      <c r="B90" s="1759"/>
      <c r="C90" s="1749"/>
      <c r="D90" s="1282"/>
      <c r="E90" s="1282"/>
      <c r="F90" s="1282"/>
    </row>
    <row r="91">
      <c r="A91" s="1758"/>
      <c r="B91" s="1759"/>
      <c r="C91" s="1749"/>
      <c r="D91" s="1282"/>
      <c r="E91" s="1282"/>
      <c r="F91" s="1282"/>
    </row>
    <row r="92">
      <c r="A92" s="1758"/>
      <c r="B92" s="1759"/>
      <c r="C92" s="1749"/>
      <c r="D92" s="1282"/>
      <c r="E92" s="1282"/>
      <c r="F92" s="1282"/>
    </row>
    <row r="93">
      <c r="A93" s="1758"/>
      <c r="B93" s="1759"/>
      <c r="C93" s="1749"/>
      <c r="D93" s="1282"/>
      <c r="E93" s="1282"/>
      <c r="F93" s="1282"/>
    </row>
    <row r="94">
      <c r="A94" s="1758"/>
      <c r="B94" s="1759"/>
      <c r="C94" s="1749"/>
      <c r="D94" s="1282"/>
      <c r="E94" s="1282"/>
      <c r="F94" s="1282"/>
    </row>
    <row r="95">
      <c r="A95" s="1758"/>
      <c r="B95" s="1759"/>
      <c r="C95" s="1749"/>
      <c r="D95" s="1282"/>
      <c r="E95" s="1282"/>
      <c r="F95" s="1282"/>
    </row>
    <row r="96">
      <c r="A96" s="1758"/>
      <c r="B96" s="1759"/>
      <c r="C96" s="1749"/>
      <c r="D96" s="1282"/>
      <c r="E96" s="1282"/>
      <c r="F96" s="1282"/>
    </row>
    <row r="97">
      <c r="A97" s="1758"/>
      <c r="B97" s="1759"/>
      <c r="C97" s="1749"/>
      <c r="D97" s="1282"/>
      <c r="E97" s="1282"/>
      <c r="F97" s="1282"/>
    </row>
    <row r="98">
      <c r="A98" s="1758"/>
      <c r="B98" s="1759"/>
      <c r="C98" s="1749"/>
      <c r="D98" s="1282"/>
      <c r="E98" s="1282"/>
      <c r="F98" s="1282"/>
    </row>
    <row r="99">
      <c r="A99" s="1758"/>
      <c r="B99" s="1759"/>
      <c r="C99" s="1749"/>
      <c r="D99" s="1282"/>
      <c r="E99" s="1282"/>
      <c r="F99" s="1282"/>
    </row>
    <row r="100">
      <c r="A100" s="1758"/>
      <c r="B100" s="1759"/>
      <c r="C100" s="1749"/>
      <c r="D100" s="1282"/>
      <c r="E100" s="1282"/>
      <c r="F100" s="1282"/>
    </row>
    <row r="101">
      <c r="A101" s="1758"/>
      <c r="B101" s="1759"/>
      <c r="C101" s="1749"/>
      <c r="D101" s="1282"/>
      <c r="E101" s="1282"/>
      <c r="F101" s="1282"/>
    </row>
    <row r="102">
      <c r="A102" s="1758"/>
      <c r="B102" s="1759"/>
      <c r="C102" s="1749"/>
      <c r="D102" s="1282"/>
      <c r="E102" s="1282"/>
      <c r="F102" s="1282"/>
    </row>
    <row r="103">
      <c r="A103" s="1758"/>
      <c r="B103" s="1759"/>
      <c r="C103" s="1749"/>
      <c r="D103" s="1282"/>
      <c r="E103" s="1282"/>
      <c r="F103" s="1282"/>
    </row>
    <row r="104">
      <c r="A104" s="1758"/>
      <c r="B104" s="1759"/>
      <c r="C104" s="1749"/>
      <c r="D104" s="1282"/>
      <c r="E104" s="1282"/>
      <c r="F104" s="1282"/>
    </row>
    <row r="105">
      <c r="A105" s="1758"/>
      <c r="B105" s="1759"/>
      <c r="C105" s="1749"/>
      <c r="D105" s="1282"/>
      <c r="E105" s="1282"/>
      <c r="F105" s="1282"/>
    </row>
    <row r="106">
      <c r="A106" s="1758"/>
      <c r="B106" s="1759"/>
      <c r="C106" s="1749"/>
      <c r="D106" s="1282"/>
      <c r="E106" s="1282"/>
      <c r="F106" s="1282"/>
    </row>
    <row r="107">
      <c r="A107" s="1758"/>
      <c r="B107" s="1759"/>
      <c r="C107" s="1749"/>
      <c r="D107" s="1282"/>
      <c r="E107" s="1282"/>
      <c r="F107" s="1282"/>
    </row>
    <row r="108">
      <c r="A108" s="1758"/>
      <c r="B108" s="1759"/>
      <c r="C108" s="1749"/>
      <c r="D108" s="1282"/>
      <c r="E108" s="1282"/>
      <c r="F108" s="1282"/>
    </row>
    <row r="109">
      <c r="A109" s="1758"/>
      <c r="B109" s="1759"/>
      <c r="C109" s="1749"/>
      <c r="D109" s="1282"/>
      <c r="E109" s="1282"/>
      <c r="F109" s="1282"/>
    </row>
    <row r="110">
      <c r="A110" s="1758"/>
      <c r="B110" s="1759"/>
      <c r="C110" s="1749"/>
      <c r="D110" s="1282"/>
      <c r="E110" s="1282"/>
      <c r="F110" s="1282"/>
    </row>
    <row r="111">
      <c r="A111" s="1758"/>
      <c r="B111" s="1759"/>
      <c r="C111" s="1749"/>
      <c r="D111" s="1282"/>
      <c r="E111" s="1282"/>
      <c r="F111" s="1282"/>
    </row>
    <row r="112">
      <c r="A112" s="1758"/>
      <c r="B112" s="1759"/>
      <c r="C112" s="1749"/>
      <c r="D112" s="1282"/>
      <c r="E112" s="1282"/>
      <c r="F112" s="1282"/>
    </row>
    <row r="113">
      <c r="A113" s="1758"/>
      <c r="B113" s="1759"/>
      <c r="C113" s="1749"/>
      <c r="D113" s="1282"/>
      <c r="E113" s="1282"/>
      <c r="F113" s="1282"/>
    </row>
    <row r="114">
      <c r="A114" s="1758"/>
      <c r="B114" s="1759"/>
      <c r="C114" s="1749"/>
      <c r="D114" s="1282"/>
      <c r="E114" s="1282"/>
      <c r="F114" s="1282"/>
    </row>
    <row r="115">
      <c r="A115" s="1758"/>
      <c r="B115" s="1759"/>
      <c r="C115" s="1749"/>
      <c r="D115" s="1282"/>
      <c r="E115" s="1282"/>
      <c r="F115" s="1282"/>
    </row>
    <row r="116">
      <c r="A116" s="1758"/>
      <c r="B116" s="1759"/>
      <c r="C116" s="1749"/>
      <c r="D116" s="1282"/>
      <c r="E116" s="1282"/>
      <c r="F116" s="1282"/>
    </row>
    <row r="117">
      <c r="A117" s="1758"/>
      <c r="B117" s="1759"/>
      <c r="C117" s="1749"/>
      <c r="D117" s="1282"/>
      <c r="E117" s="1282"/>
      <c r="F117" s="1282"/>
    </row>
    <row r="118">
      <c r="A118" s="1758"/>
      <c r="B118" s="1759"/>
      <c r="C118" s="1749"/>
      <c r="D118" s="1282"/>
      <c r="E118" s="1282"/>
      <c r="F118" s="1282"/>
    </row>
    <row r="119">
      <c r="A119" s="1758"/>
      <c r="B119" s="1759"/>
      <c r="C119" s="1749"/>
      <c r="D119" s="1282"/>
      <c r="E119" s="1282"/>
      <c r="F119" s="1282"/>
    </row>
    <row r="120">
      <c r="A120" s="1758"/>
      <c r="B120" s="1759"/>
      <c r="C120" s="1749"/>
      <c r="D120" s="1282"/>
      <c r="E120" s="1282"/>
      <c r="F120" s="1282"/>
    </row>
    <row r="121">
      <c r="A121" s="1758"/>
      <c r="B121" s="1759"/>
      <c r="C121" s="1749"/>
      <c r="D121" s="1282"/>
      <c r="E121" s="1282"/>
      <c r="F121" s="1282"/>
    </row>
    <row r="122">
      <c r="A122" s="1758"/>
      <c r="B122" s="1759"/>
      <c r="C122" s="1749"/>
      <c r="D122" s="1282"/>
      <c r="E122" s="1282"/>
      <c r="F122" s="1282"/>
    </row>
    <row r="123">
      <c r="A123" s="1758"/>
      <c r="B123" s="1759"/>
      <c r="C123" s="1749"/>
      <c r="D123" s="1282"/>
      <c r="E123" s="1282"/>
      <c r="F123" s="1282"/>
    </row>
    <row r="124">
      <c r="A124" s="1758"/>
      <c r="B124" s="1759"/>
      <c r="C124" s="1749"/>
      <c r="D124" s="1282"/>
      <c r="E124" s="1282"/>
      <c r="F124" s="1282"/>
    </row>
    <row r="125">
      <c r="A125" s="1758"/>
      <c r="B125" s="1759"/>
      <c r="C125" s="1749"/>
      <c r="D125" s="1282"/>
      <c r="E125" s="1282"/>
      <c r="F125" s="1282"/>
    </row>
    <row r="126">
      <c r="A126" s="1758"/>
      <c r="B126" s="1759"/>
      <c r="C126" s="1749"/>
      <c r="D126" s="1282"/>
      <c r="E126" s="1282"/>
      <c r="F126" s="1282"/>
    </row>
    <row r="127">
      <c r="A127" s="1758"/>
      <c r="B127" s="1759"/>
      <c r="C127" s="1749"/>
      <c r="D127" s="1282"/>
      <c r="E127" s="1282"/>
      <c r="F127" s="1282"/>
    </row>
    <row r="128">
      <c r="A128" s="1758"/>
      <c r="B128" s="1759"/>
      <c r="C128" s="1749"/>
      <c r="D128" s="1282"/>
      <c r="E128" s="1282"/>
      <c r="F128" s="1282"/>
    </row>
    <row r="129">
      <c r="A129" s="1758"/>
      <c r="B129" s="1759"/>
      <c r="C129" s="1749"/>
      <c r="D129" s="1282"/>
      <c r="E129" s="1282"/>
      <c r="F129" s="1282"/>
    </row>
    <row r="130">
      <c r="A130" s="1758"/>
      <c r="B130" s="1759"/>
      <c r="C130" s="1749"/>
      <c r="D130" s="1282"/>
      <c r="E130" s="1282"/>
      <c r="F130" s="1282"/>
    </row>
    <row r="131">
      <c r="A131" s="1758"/>
      <c r="B131" s="1759"/>
      <c r="C131" s="1749"/>
      <c r="D131" s="1282"/>
      <c r="E131" s="1282"/>
      <c r="F131" s="1282"/>
    </row>
    <row r="132">
      <c r="A132" s="1758"/>
      <c r="B132" s="1759"/>
      <c r="C132" s="1749"/>
      <c r="D132" s="1282"/>
      <c r="E132" s="1282"/>
      <c r="F132" s="1282"/>
    </row>
    <row r="133">
      <c r="A133" s="1758"/>
      <c r="B133" s="1759"/>
      <c r="C133" s="1749"/>
      <c r="D133" s="1282"/>
      <c r="E133" s="1282"/>
      <c r="F133" s="1282"/>
    </row>
    <row r="134">
      <c r="A134" s="1758"/>
      <c r="B134" s="1759"/>
      <c r="C134" s="1749"/>
      <c r="D134" s="1282"/>
      <c r="E134" s="1282"/>
      <c r="F134" s="1282"/>
    </row>
    <row r="135">
      <c r="A135" s="1758"/>
      <c r="B135" s="1759"/>
      <c r="C135" s="1749"/>
      <c r="D135" s="1282"/>
      <c r="E135" s="1282"/>
      <c r="F135" s="1282"/>
    </row>
    <row r="136">
      <c r="A136" s="1758"/>
      <c r="B136" s="1759"/>
      <c r="C136" s="1749"/>
      <c r="D136" s="1282"/>
      <c r="E136" s="1282"/>
      <c r="F136" s="1282"/>
    </row>
    <row r="137">
      <c r="A137" s="1758"/>
      <c r="B137" s="1759"/>
      <c r="C137" s="1749"/>
      <c r="D137" s="1282"/>
      <c r="E137" s="1282"/>
      <c r="F137" s="1282"/>
    </row>
    <row r="138">
      <c r="A138" s="1758"/>
      <c r="B138" s="1759"/>
      <c r="C138" s="1749"/>
      <c r="D138" s="1282"/>
      <c r="E138" s="1282"/>
      <c r="F138" s="1282"/>
    </row>
    <row r="139">
      <c r="A139" s="1758"/>
      <c r="B139" s="1759"/>
      <c r="C139" s="1749"/>
      <c r="D139" s="1282"/>
      <c r="E139" s="1282"/>
      <c r="F139" s="1282"/>
    </row>
    <row r="140">
      <c r="A140" s="1758"/>
      <c r="B140" s="1759"/>
      <c r="C140" s="1749"/>
      <c r="D140" s="1282"/>
      <c r="E140" s="1282"/>
      <c r="F140" s="1282"/>
    </row>
    <row r="141">
      <c r="A141" s="1758"/>
      <c r="B141" s="1759"/>
      <c r="C141" s="1749"/>
      <c r="D141" s="1282"/>
      <c r="E141" s="1282"/>
      <c r="F141" s="1282"/>
    </row>
    <row r="142">
      <c r="A142" s="1758"/>
      <c r="B142" s="1759"/>
      <c r="C142" s="1749"/>
      <c r="D142" s="1282"/>
      <c r="E142" s="1282"/>
      <c r="F142" s="1282"/>
    </row>
    <row r="143">
      <c r="A143" s="1758"/>
      <c r="B143" s="1759"/>
      <c r="C143" s="1749"/>
      <c r="D143" s="1282"/>
      <c r="E143" s="1282"/>
      <c r="F143" s="1282"/>
    </row>
    <row r="144">
      <c r="A144" s="1758"/>
      <c r="B144" s="1759"/>
      <c r="C144" s="1749"/>
      <c r="D144" s="1282"/>
      <c r="E144" s="1282"/>
      <c r="F144" s="1282"/>
    </row>
    <row r="145">
      <c r="A145" s="1758"/>
      <c r="B145" s="1759"/>
      <c r="C145" s="1749"/>
      <c r="D145" s="1282"/>
      <c r="E145" s="1282"/>
      <c r="F145" s="1282"/>
    </row>
    <row r="146">
      <c r="A146" s="1758"/>
      <c r="B146" s="1759"/>
      <c r="C146" s="1749"/>
      <c r="D146" s="1282"/>
      <c r="E146" s="1282"/>
      <c r="F146" s="1282"/>
    </row>
    <row r="147">
      <c r="A147" s="1758"/>
      <c r="B147" s="1759"/>
      <c r="C147" s="1749"/>
      <c r="D147" s="1282"/>
      <c r="E147" s="1282"/>
      <c r="F147" s="1282"/>
    </row>
    <row r="148">
      <c r="A148" s="1758"/>
      <c r="B148" s="1759"/>
      <c r="C148" s="1749"/>
      <c r="D148" s="1282"/>
      <c r="E148" s="1282"/>
      <c r="F148" s="1282"/>
    </row>
    <row r="149">
      <c r="A149" s="1758"/>
      <c r="B149" s="1759"/>
      <c r="C149" s="1749"/>
      <c r="D149" s="1282"/>
      <c r="E149" s="1282"/>
      <c r="F149" s="1282"/>
    </row>
    <row r="150">
      <c r="A150" s="1758"/>
      <c r="B150" s="1759"/>
      <c r="C150" s="1749"/>
      <c r="D150" s="1282"/>
      <c r="E150" s="1282"/>
      <c r="F150" s="1282"/>
    </row>
    <row r="151">
      <c r="A151" s="1758"/>
      <c r="B151" s="1759"/>
      <c r="C151" s="1749"/>
      <c r="D151" s="1282"/>
      <c r="E151" s="1282"/>
      <c r="F151" s="1282"/>
    </row>
    <row r="152">
      <c r="A152" s="1758"/>
      <c r="B152" s="1759"/>
      <c r="C152" s="1749"/>
      <c r="D152" s="1282"/>
      <c r="E152" s="1282"/>
      <c r="F152" s="1282"/>
    </row>
    <row r="153">
      <c r="A153" s="1758"/>
      <c r="B153" s="1759"/>
      <c r="C153" s="1749"/>
      <c r="D153" s="1282"/>
      <c r="E153" s="1282"/>
      <c r="F153" s="1282"/>
    </row>
    <row r="154">
      <c r="A154" s="1758"/>
      <c r="B154" s="1759"/>
      <c r="C154" s="1749"/>
      <c r="D154" s="1282"/>
      <c r="E154" s="1282"/>
      <c r="F154" s="1282"/>
    </row>
    <row r="155">
      <c r="A155" s="1758"/>
      <c r="B155" s="1759"/>
      <c r="C155" s="1749"/>
      <c r="D155" s="1282"/>
      <c r="E155" s="1282"/>
      <c r="F155" s="1282"/>
    </row>
    <row r="156">
      <c r="A156" s="1758"/>
      <c r="B156" s="1759"/>
      <c r="C156" s="1749"/>
      <c r="D156" s="1282"/>
      <c r="E156" s="1282"/>
      <c r="F156" s="1282"/>
    </row>
    <row r="157">
      <c r="A157" s="1758"/>
      <c r="B157" s="1759"/>
      <c r="C157" s="1749"/>
      <c r="D157" s="1282"/>
      <c r="E157" s="1282"/>
      <c r="F157" s="1282"/>
    </row>
    <row r="158">
      <c r="A158" s="1758"/>
      <c r="B158" s="1759"/>
      <c r="C158" s="1749"/>
      <c r="D158" s="1282"/>
      <c r="E158" s="1282"/>
      <c r="F158" s="1282"/>
    </row>
    <row r="159">
      <c r="A159" s="1758"/>
      <c r="B159" s="1759"/>
      <c r="C159" s="1749"/>
      <c r="D159" s="1282"/>
      <c r="E159" s="1282"/>
      <c r="F159" s="1282"/>
    </row>
    <row r="160">
      <c r="A160" s="1758"/>
      <c r="B160" s="1759"/>
      <c r="C160" s="1749"/>
      <c r="D160" s="1282"/>
      <c r="E160" s="1282"/>
      <c r="F160" s="1282"/>
    </row>
    <row r="161">
      <c r="A161" s="1758"/>
      <c r="B161" s="1759"/>
      <c r="C161" s="1749"/>
      <c r="D161" s="1282"/>
      <c r="E161" s="1282"/>
      <c r="F161" s="1282"/>
    </row>
    <row r="162">
      <c r="A162" s="1758"/>
      <c r="B162" s="1759"/>
      <c r="C162" s="1749"/>
      <c r="D162" s="1282"/>
      <c r="E162" s="1282"/>
      <c r="F162" s="1282"/>
    </row>
    <row r="163">
      <c r="A163" s="1758"/>
      <c r="B163" s="1759"/>
      <c r="C163" s="1749"/>
      <c r="D163" s="1282"/>
      <c r="E163" s="1282"/>
      <c r="F163" s="1282"/>
    </row>
    <row r="164">
      <c r="A164" s="1758"/>
      <c r="B164" s="1759"/>
      <c r="C164" s="1749"/>
      <c r="D164" s="1282"/>
      <c r="E164" s="1282"/>
      <c r="F164" s="1282"/>
    </row>
    <row r="165">
      <c r="A165" s="1758"/>
      <c r="B165" s="1759"/>
      <c r="C165" s="1749"/>
      <c r="D165" s="1282"/>
      <c r="E165" s="1282"/>
      <c r="F165" s="1282"/>
    </row>
    <row r="166">
      <c r="A166" s="1758"/>
      <c r="B166" s="1759"/>
      <c r="C166" s="1749"/>
      <c r="D166" s="1282"/>
      <c r="E166" s="1282"/>
      <c r="F166" s="1282"/>
    </row>
    <row r="167">
      <c r="A167" s="1758"/>
      <c r="B167" s="1759"/>
      <c r="C167" s="1749"/>
      <c r="D167" s="1282"/>
      <c r="E167" s="1282"/>
      <c r="F167" s="1282"/>
    </row>
    <row r="168">
      <c r="A168" s="1758"/>
      <c r="B168" s="1759"/>
      <c r="C168" s="1749"/>
      <c r="D168" s="1282"/>
      <c r="E168" s="1282"/>
      <c r="F168" s="1282"/>
    </row>
    <row r="169">
      <c r="A169" s="1758"/>
      <c r="B169" s="1759"/>
      <c r="C169" s="1749"/>
      <c r="D169" s="1282"/>
      <c r="E169" s="1282"/>
      <c r="F169" s="1282"/>
    </row>
    <row r="170">
      <c r="A170" s="1758"/>
      <c r="B170" s="1759"/>
      <c r="C170" s="1749"/>
      <c r="D170" s="1282"/>
      <c r="E170" s="1282"/>
      <c r="F170" s="1282"/>
    </row>
    <row r="171">
      <c r="A171" s="1758"/>
      <c r="B171" s="1759"/>
      <c r="C171" s="1749"/>
      <c r="D171" s="1282"/>
      <c r="E171" s="1282"/>
      <c r="F171" s="1282"/>
    </row>
    <row r="172">
      <c r="A172" s="1758"/>
      <c r="B172" s="1759"/>
      <c r="C172" s="1749"/>
      <c r="D172" s="1282"/>
      <c r="E172" s="1282"/>
      <c r="F172" s="1282"/>
    </row>
    <row r="173">
      <c r="A173" s="1758"/>
      <c r="B173" s="1759"/>
      <c r="C173" s="1749"/>
      <c r="D173" s="1282"/>
      <c r="E173" s="1282"/>
      <c r="F173" s="1282"/>
    </row>
    <row r="174">
      <c r="A174" s="1758"/>
      <c r="B174" s="1759"/>
      <c r="C174" s="1749"/>
      <c r="D174" s="1282"/>
      <c r="E174" s="1282"/>
      <c r="F174" s="1282"/>
    </row>
    <row r="175">
      <c r="A175" s="1758"/>
      <c r="B175" s="1759"/>
      <c r="C175" s="1749"/>
      <c r="D175" s="1282"/>
      <c r="E175" s="1282"/>
      <c r="F175" s="1282"/>
    </row>
    <row r="176">
      <c r="A176" s="1758"/>
      <c r="B176" s="1759"/>
      <c r="C176" s="1749"/>
      <c r="D176" s="1282"/>
      <c r="E176" s="1282"/>
      <c r="F176" s="1282"/>
    </row>
    <row r="177">
      <c r="A177" s="1758"/>
      <c r="B177" s="1759"/>
      <c r="C177" s="1749"/>
      <c r="D177" s="1282"/>
      <c r="E177" s="1282"/>
      <c r="F177" s="1282"/>
    </row>
    <row r="178">
      <c r="A178" s="1758"/>
      <c r="B178" s="1759"/>
      <c r="C178" s="1749"/>
      <c r="D178" s="1282"/>
      <c r="E178" s="1282"/>
      <c r="F178" s="1282"/>
    </row>
    <row r="179">
      <c r="A179" s="1758"/>
      <c r="B179" s="1759"/>
      <c r="C179" s="1749"/>
      <c r="D179" s="1282"/>
      <c r="E179" s="1282"/>
      <c r="F179" s="1282"/>
    </row>
    <row r="180">
      <c r="A180" s="1758"/>
      <c r="B180" s="1759"/>
      <c r="C180" s="1749"/>
      <c r="D180" s="1282"/>
      <c r="E180" s="1282"/>
      <c r="F180" s="1282"/>
    </row>
    <row r="181">
      <c r="A181" s="1758"/>
      <c r="B181" s="1759"/>
      <c r="C181" s="1749"/>
      <c r="D181" s="1282"/>
      <c r="E181" s="1282"/>
      <c r="F181" s="1282"/>
    </row>
    <row r="182">
      <c r="A182" s="1758"/>
      <c r="B182" s="1759"/>
      <c r="C182" s="1749"/>
      <c r="D182" s="1282"/>
      <c r="E182" s="1282"/>
      <c r="F182" s="1282"/>
    </row>
    <row r="183">
      <c r="A183" s="1758"/>
      <c r="B183" s="1759"/>
      <c r="C183" s="1749"/>
      <c r="D183" s="1282"/>
      <c r="E183" s="1282"/>
      <c r="F183" s="1282"/>
    </row>
    <row r="184">
      <c r="A184" s="1758"/>
      <c r="B184" s="1759"/>
      <c r="C184" s="1749"/>
      <c r="D184" s="1282"/>
      <c r="E184" s="1282"/>
      <c r="F184" s="1282"/>
    </row>
    <row r="185">
      <c r="A185" s="1758"/>
      <c r="B185" s="1759"/>
      <c r="C185" s="1749"/>
      <c r="D185" s="1282"/>
      <c r="E185" s="1282"/>
      <c r="F185" s="1282"/>
    </row>
    <row r="186">
      <c r="A186" s="1758"/>
      <c r="B186" s="1759"/>
      <c r="C186" s="1749"/>
      <c r="D186" s="1282"/>
      <c r="E186" s="1282"/>
      <c r="F186" s="1282"/>
    </row>
    <row r="187">
      <c r="A187" s="1758"/>
      <c r="B187" s="1759"/>
      <c r="C187" s="1749"/>
      <c r="D187" s="1282"/>
      <c r="E187" s="1282"/>
      <c r="F187" s="1282"/>
    </row>
    <row r="188">
      <c r="A188" s="1758"/>
      <c r="B188" s="1759"/>
      <c r="C188" s="1749"/>
      <c r="D188" s="1282"/>
      <c r="E188" s="1282"/>
      <c r="F188" s="1282"/>
    </row>
    <row r="189">
      <c r="A189" s="1758"/>
      <c r="B189" s="1759"/>
      <c r="C189" s="1749"/>
      <c r="D189" s="1282"/>
      <c r="E189" s="1282"/>
      <c r="F189" s="1282"/>
    </row>
    <row r="190">
      <c r="A190" s="1758"/>
      <c r="B190" s="1759"/>
      <c r="C190" s="1749"/>
      <c r="D190" s="1282"/>
      <c r="E190" s="1282"/>
      <c r="F190" s="1282"/>
    </row>
    <row r="191">
      <c r="A191" s="1758"/>
      <c r="B191" s="1759"/>
      <c r="C191" s="1749"/>
      <c r="D191" s="1282"/>
      <c r="E191" s="1282"/>
      <c r="F191" s="1282"/>
    </row>
    <row r="192">
      <c r="A192" s="1758"/>
      <c r="B192" s="1759"/>
      <c r="C192" s="1749"/>
      <c r="D192" s="1282"/>
      <c r="E192" s="1282"/>
      <c r="F192" s="1282"/>
    </row>
    <row r="193">
      <c r="A193" s="1758"/>
      <c r="B193" s="1759"/>
      <c r="C193" s="1749"/>
      <c r="D193" s="1282"/>
      <c r="E193" s="1282"/>
      <c r="F193" s="1282"/>
    </row>
    <row r="194">
      <c r="A194" s="1758"/>
      <c r="B194" s="1759"/>
      <c r="C194" s="1749"/>
      <c r="D194" s="1282"/>
      <c r="E194" s="1282"/>
      <c r="F194" s="1282"/>
    </row>
    <row r="195">
      <c r="A195" s="1758"/>
      <c r="B195" s="1759"/>
      <c r="C195" s="1749"/>
      <c r="D195" s="1282"/>
      <c r="E195" s="1282"/>
      <c r="F195" s="1282"/>
    </row>
    <row r="196">
      <c r="A196" s="1758"/>
      <c r="B196" s="1759"/>
      <c r="C196" s="1749"/>
      <c r="D196" s="1282"/>
      <c r="E196" s="1282"/>
      <c r="F196" s="1282"/>
    </row>
    <row r="197">
      <c r="A197" s="1758"/>
      <c r="B197" s="1759"/>
      <c r="C197" s="1749"/>
      <c r="D197" s="1282"/>
      <c r="E197" s="1282"/>
      <c r="F197" s="1282"/>
    </row>
    <row r="198">
      <c r="A198" s="1758"/>
      <c r="B198" s="1759"/>
      <c r="C198" s="1749"/>
      <c r="D198" s="1282"/>
      <c r="E198" s="1282"/>
      <c r="F198" s="1282"/>
    </row>
    <row r="199">
      <c r="A199" s="1758"/>
      <c r="B199" s="1759"/>
      <c r="C199" s="1749"/>
      <c r="D199" s="1282"/>
      <c r="E199" s="1282"/>
      <c r="F199" s="1282"/>
    </row>
    <row r="200">
      <c r="A200" s="1758"/>
      <c r="B200" s="1759"/>
      <c r="C200" s="1749"/>
      <c r="D200" s="1282"/>
      <c r="E200" s="1282"/>
      <c r="F200" s="1282"/>
    </row>
    <row r="201">
      <c r="A201" s="1758"/>
      <c r="B201" s="1759"/>
      <c r="C201" s="1749"/>
      <c r="D201" s="1282"/>
      <c r="E201" s="1282"/>
      <c r="F201" s="1282"/>
    </row>
    <row r="202">
      <c r="A202" s="1758"/>
      <c r="B202" s="1759"/>
      <c r="C202" s="1749"/>
      <c r="D202" s="1282"/>
      <c r="E202" s="1282"/>
      <c r="F202" s="1282"/>
    </row>
    <row r="203">
      <c r="A203" s="1758"/>
      <c r="B203" s="1759"/>
      <c r="C203" s="1749"/>
      <c r="D203" s="1282"/>
      <c r="E203" s="1282"/>
      <c r="F203" s="1282"/>
    </row>
    <row r="204">
      <c r="A204" s="1758"/>
      <c r="B204" s="1759"/>
      <c r="C204" s="1749"/>
      <c r="D204" s="1282"/>
      <c r="E204" s="1282"/>
      <c r="F204" s="1282"/>
    </row>
    <row r="205">
      <c r="A205" s="1758"/>
      <c r="B205" s="1759"/>
      <c r="C205" s="1749"/>
      <c r="D205" s="1282"/>
      <c r="E205" s="1282"/>
      <c r="F205" s="1282"/>
    </row>
    <row r="206">
      <c r="A206" s="1758"/>
      <c r="B206" s="1759"/>
      <c r="C206" s="1749"/>
      <c r="D206" s="1282"/>
      <c r="E206" s="1282"/>
      <c r="F206" s="1282"/>
    </row>
    <row r="207">
      <c r="A207" s="1758"/>
      <c r="B207" s="1759"/>
      <c r="C207" s="1749"/>
      <c r="D207" s="1282"/>
      <c r="E207" s="1282"/>
      <c r="F207" s="1282"/>
    </row>
    <row r="208">
      <c r="A208" s="1758"/>
      <c r="B208" s="1759"/>
      <c r="C208" s="1749"/>
      <c r="D208" s="1282"/>
      <c r="E208" s="1282"/>
      <c r="F208" s="1282"/>
    </row>
    <row r="209">
      <c r="A209" s="1758"/>
      <c r="B209" s="1759"/>
      <c r="C209" s="1749"/>
      <c r="D209" s="1282"/>
      <c r="E209" s="1282"/>
      <c r="F209" s="1282"/>
    </row>
    <row r="210">
      <c r="A210" s="1758"/>
      <c r="B210" s="1759"/>
      <c r="C210" s="1749"/>
      <c r="D210" s="1282"/>
      <c r="E210" s="1282"/>
      <c r="F210" s="1282"/>
    </row>
    <row r="211">
      <c r="A211" s="1758"/>
      <c r="B211" s="1759"/>
      <c r="C211" s="1749"/>
      <c r="D211" s="1282"/>
      <c r="E211" s="1282"/>
      <c r="F211" s="1282"/>
    </row>
    <row r="212">
      <c r="A212" s="1758"/>
      <c r="B212" s="1759"/>
      <c r="C212" s="1749"/>
      <c r="D212" s="1282"/>
      <c r="E212" s="1282"/>
      <c r="F212" s="1282"/>
    </row>
    <row r="213">
      <c r="A213" s="1758"/>
      <c r="B213" s="1759"/>
      <c r="C213" s="1749"/>
      <c r="D213" s="1282"/>
      <c r="E213" s="1282"/>
      <c r="F213" s="1282"/>
    </row>
    <row r="214">
      <c r="A214" s="1758"/>
      <c r="B214" s="1759"/>
      <c r="C214" s="1749"/>
      <c r="D214" s="1282"/>
      <c r="E214" s="1282"/>
      <c r="F214" s="1282"/>
    </row>
    <row r="215">
      <c r="A215" s="1758"/>
      <c r="B215" s="1759"/>
      <c r="C215" s="1749"/>
      <c r="D215" s="1282"/>
      <c r="E215" s="1282"/>
      <c r="F215" s="1282"/>
    </row>
    <row r="216">
      <c r="A216" s="1758"/>
      <c r="B216" s="1759"/>
      <c r="C216" s="1749"/>
      <c r="D216" s="1282"/>
      <c r="E216" s="1282"/>
      <c r="F216" s="1282"/>
    </row>
    <row r="217">
      <c r="A217" s="1758"/>
      <c r="B217" s="1759"/>
      <c r="C217" s="1749"/>
      <c r="D217" s="1282"/>
      <c r="E217" s="1282"/>
      <c r="F217" s="1282"/>
    </row>
    <row r="218">
      <c r="A218" s="1758"/>
      <c r="B218" s="1759"/>
      <c r="C218" s="1749"/>
      <c r="D218" s="1282"/>
      <c r="E218" s="1282"/>
      <c r="F218" s="1282"/>
    </row>
    <row r="219">
      <c r="A219" s="1758"/>
      <c r="B219" s="1759"/>
      <c r="C219" s="1749"/>
      <c r="D219" s="1282"/>
      <c r="E219" s="1282"/>
      <c r="F219" s="1282"/>
    </row>
    <row r="220">
      <c r="A220" s="1758"/>
      <c r="B220" s="1759"/>
      <c r="C220" s="1749"/>
      <c r="D220" s="1282"/>
      <c r="E220" s="1282"/>
      <c r="F220" s="1282"/>
    </row>
    <row r="221">
      <c r="A221" s="1758"/>
      <c r="B221" s="1759"/>
      <c r="C221" s="1749"/>
      <c r="D221" s="1282"/>
      <c r="E221" s="1282"/>
      <c r="F221" s="1282"/>
    </row>
    <row r="222">
      <c r="A222" s="1758"/>
      <c r="B222" s="1759"/>
      <c r="C222" s="1749"/>
      <c r="D222" s="1282"/>
      <c r="E222" s="1282"/>
      <c r="F222" s="1282"/>
    </row>
    <row r="223">
      <c r="A223" s="1758"/>
      <c r="B223" s="1759"/>
      <c r="C223" s="1749"/>
      <c r="D223" s="1282"/>
      <c r="E223" s="1282"/>
      <c r="F223" s="1282"/>
    </row>
    <row r="224">
      <c r="A224" s="1758"/>
      <c r="B224" s="1759"/>
      <c r="C224" s="1749"/>
      <c r="D224" s="1282"/>
      <c r="E224" s="1282"/>
      <c r="F224" s="1282"/>
    </row>
    <row r="225">
      <c r="A225" s="1758"/>
      <c r="B225" s="1759"/>
      <c r="C225" s="1749"/>
      <c r="D225" s="1282"/>
      <c r="E225" s="1282"/>
      <c r="F225" s="1282"/>
    </row>
    <row r="226">
      <c r="A226" s="1758"/>
      <c r="B226" s="1759"/>
      <c r="C226" s="1749"/>
      <c r="D226" s="1282"/>
      <c r="E226" s="1282"/>
      <c r="F226" s="1282"/>
    </row>
    <row r="227">
      <c r="A227" s="1758"/>
      <c r="B227" s="1759"/>
      <c r="C227" s="1749"/>
      <c r="D227" s="1282"/>
      <c r="E227" s="1282"/>
      <c r="F227" s="1282"/>
    </row>
    <row r="228">
      <c r="A228" s="1758"/>
      <c r="B228" s="1759"/>
      <c r="C228" s="1749"/>
      <c r="D228" s="1282"/>
      <c r="E228" s="1282"/>
      <c r="F228" s="1282"/>
    </row>
    <row r="229">
      <c r="A229" s="1758"/>
      <c r="B229" s="1759"/>
      <c r="C229" s="1749"/>
      <c r="D229" s="1282"/>
      <c r="E229" s="1282"/>
      <c r="F229" s="1282"/>
    </row>
    <row r="230">
      <c r="A230" s="1758"/>
      <c r="B230" s="1759"/>
      <c r="C230" s="1749"/>
      <c r="D230" s="1282"/>
      <c r="E230" s="1282"/>
      <c r="F230" s="1282"/>
    </row>
    <row r="231">
      <c r="A231" s="1758"/>
      <c r="B231" s="1759"/>
      <c r="C231" s="1749"/>
      <c r="D231" s="1282"/>
      <c r="E231" s="1282"/>
      <c r="F231" s="1282"/>
    </row>
    <row r="232">
      <c r="A232" s="1758"/>
      <c r="B232" s="1759"/>
      <c r="C232" s="1749"/>
      <c r="D232" s="1282"/>
      <c r="E232" s="1282"/>
      <c r="F232" s="1282"/>
    </row>
    <row r="233">
      <c r="A233" s="1758"/>
      <c r="B233" s="1759"/>
      <c r="C233" s="1749"/>
      <c r="D233" s="1282"/>
      <c r="E233" s="1282"/>
      <c r="F233" s="1282"/>
    </row>
    <row r="234">
      <c r="A234" s="1758"/>
      <c r="B234" s="1759"/>
      <c r="C234" s="1749"/>
      <c r="D234" s="1282"/>
      <c r="E234" s="1282"/>
      <c r="F234" s="1282"/>
    </row>
    <row r="235">
      <c r="A235" s="1758"/>
      <c r="B235" s="1759"/>
      <c r="C235" s="1749"/>
      <c r="D235" s="1282"/>
      <c r="E235" s="1282"/>
      <c r="F235" s="1282"/>
    </row>
    <row r="236">
      <c r="A236" s="1758"/>
      <c r="B236" s="1759"/>
      <c r="C236" s="1749"/>
      <c r="D236" s="1282"/>
      <c r="E236" s="1282"/>
      <c r="F236" s="1282"/>
    </row>
    <row r="237">
      <c r="A237" s="1758"/>
      <c r="B237" s="1759"/>
      <c r="C237" s="1749"/>
      <c r="D237" s="1282"/>
      <c r="E237" s="1282"/>
      <c r="F237" s="1282"/>
    </row>
    <row r="238">
      <c r="A238" s="1758"/>
      <c r="B238" s="1759"/>
      <c r="C238" s="1749"/>
      <c r="D238" s="1282"/>
      <c r="E238" s="1282"/>
      <c r="F238" s="1282"/>
    </row>
    <row r="239">
      <c r="A239" s="1758"/>
      <c r="B239" s="1759"/>
      <c r="C239" s="1749"/>
      <c r="D239" s="1282"/>
      <c r="E239" s="1282"/>
      <c r="F239" s="1282"/>
    </row>
    <row r="240">
      <c r="A240" s="1758"/>
      <c r="B240" s="1759"/>
      <c r="C240" s="1749"/>
      <c r="D240" s="1282"/>
      <c r="E240" s="1282"/>
      <c r="F240" s="1282"/>
    </row>
    <row r="241">
      <c r="A241" s="1758"/>
      <c r="B241" s="1759"/>
      <c r="C241" s="1749"/>
      <c r="D241" s="1282"/>
      <c r="E241" s="1282"/>
      <c r="F241" s="1282"/>
    </row>
    <row r="242">
      <c r="A242" s="1758"/>
      <c r="B242" s="1759"/>
      <c r="C242" s="1749"/>
      <c r="D242" s="1282"/>
      <c r="E242" s="1282"/>
      <c r="F242" s="1282"/>
    </row>
    <row r="243">
      <c r="A243" s="1758"/>
      <c r="B243" s="1759"/>
      <c r="C243" s="1749"/>
      <c r="D243" s="1282"/>
      <c r="E243" s="1282"/>
      <c r="F243" s="1282"/>
    </row>
    <row r="244">
      <c r="A244" s="1758"/>
      <c r="B244" s="1759"/>
      <c r="C244" s="1749"/>
      <c r="D244" s="1282"/>
      <c r="E244" s="1282"/>
      <c r="F244" s="1282"/>
    </row>
    <row r="245">
      <c r="A245" s="1758"/>
      <c r="B245" s="1759"/>
      <c r="C245" s="1749"/>
      <c r="D245" s="1282"/>
      <c r="E245" s="1282"/>
      <c r="F245" s="1282"/>
    </row>
    <row r="246">
      <c r="A246" s="1758"/>
      <c r="B246" s="1759"/>
      <c r="C246" s="1749"/>
      <c r="D246" s="1282"/>
      <c r="E246" s="1282"/>
      <c r="F246" s="1282"/>
    </row>
    <row r="247">
      <c r="A247" s="1758"/>
      <c r="B247" s="1759"/>
      <c r="C247" s="1749"/>
      <c r="D247" s="1282"/>
      <c r="E247" s="1282"/>
      <c r="F247" s="1282"/>
    </row>
    <row r="248">
      <c r="A248" s="1758"/>
      <c r="B248" s="1759"/>
      <c r="C248" s="1749"/>
      <c r="D248" s="1282"/>
      <c r="E248" s="1282"/>
      <c r="F248" s="1282"/>
    </row>
    <row r="249">
      <c r="A249" s="1758"/>
      <c r="B249" s="1759"/>
      <c r="C249" s="1749"/>
      <c r="D249" s="1282"/>
      <c r="E249" s="1282"/>
      <c r="F249" s="1282"/>
    </row>
    <row r="250">
      <c r="A250" s="1758"/>
      <c r="B250" s="1759"/>
      <c r="C250" s="1749"/>
      <c r="D250" s="1282"/>
      <c r="E250" s="1282"/>
      <c r="F250" s="1282"/>
    </row>
    <row r="251">
      <c r="A251" s="1758"/>
      <c r="B251" s="1759"/>
      <c r="C251" s="1749"/>
      <c r="D251" s="1282"/>
      <c r="E251" s="1282"/>
      <c r="F251" s="1282"/>
    </row>
    <row r="252">
      <c r="A252" s="1758"/>
      <c r="B252" s="1759"/>
      <c r="C252" s="1749"/>
      <c r="D252" s="1282"/>
      <c r="E252" s="1282"/>
      <c r="F252" s="1282"/>
    </row>
    <row r="253">
      <c r="A253" s="1758"/>
      <c r="B253" s="1759"/>
      <c r="C253" s="1749"/>
      <c r="D253" s="1282"/>
      <c r="E253" s="1282"/>
      <c r="F253" s="1282"/>
    </row>
    <row r="254">
      <c r="A254" s="1758"/>
      <c r="B254" s="1759"/>
      <c r="C254" s="1749"/>
      <c r="D254" s="1282"/>
      <c r="E254" s="1282"/>
      <c r="F254" s="1282"/>
    </row>
    <row r="255">
      <c r="A255" s="1758"/>
      <c r="B255" s="1759"/>
      <c r="C255" s="1749"/>
      <c r="D255" s="1282"/>
      <c r="E255" s="1282"/>
      <c r="F255" s="1282"/>
    </row>
    <row r="256">
      <c r="A256" s="1758"/>
      <c r="B256" s="1759"/>
      <c r="C256" s="1749"/>
      <c r="D256" s="1282"/>
      <c r="E256" s="1282"/>
      <c r="F256" s="1282"/>
    </row>
    <row r="257">
      <c r="A257" s="1758"/>
      <c r="B257" s="1759"/>
      <c r="C257" s="1749"/>
      <c r="D257" s="1282"/>
      <c r="E257" s="1282"/>
      <c r="F257" s="1282"/>
    </row>
    <row r="258">
      <c r="A258" s="1758"/>
      <c r="B258" s="1759"/>
      <c r="C258" s="1749"/>
      <c r="D258" s="1282"/>
      <c r="E258" s="1282"/>
      <c r="F258" s="1282"/>
    </row>
    <row r="259">
      <c r="A259" s="1758"/>
      <c r="B259" s="1759"/>
      <c r="C259" s="1749"/>
      <c r="D259" s="1282"/>
      <c r="E259" s="1282"/>
      <c r="F259" s="1282"/>
    </row>
    <row r="260">
      <c r="A260" s="1758"/>
      <c r="B260" s="1759"/>
      <c r="C260" s="1749"/>
      <c r="D260" s="1282"/>
      <c r="E260" s="1282"/>
      <c r="F260" s="1282"/>
    </row>
    <row r="261">
      <c r="A261" s="1758"/>
      <c r="B261" s="1759"/>
      <c r="C261" s="1749"/>
      <c r="D261" s="1282"/>
      <c r="E261" s="1282"/>
      <c r="F261" s="1282"/>
    </row>
    <row r="262">
      <c r="A262" s="1758"/>
      <c r="B262" s="1759"/>
      <c r="C262" s="1749"/>
      <c r="D262" s="1282"/>
      <c r="E262" s="1282"/>
      <c r="F262" s="1282"/>
    </row>
    <row r="263">
      <c r="A263" s="1758"/>
      <c r="B263" s="1759"/>
      <c r="C263" s="1749"/>
      <c r="D263" s="1282"/>
      <c r="E263" s="1282"/>
      <c r="F263" s="1282"/>
    </row>
    <row r="264">
      <c r="A264" s="1758"/>
      <c r="B264" s="1759"/>
      <c r="C264" s="1749"/>
      <c r="D264" s="1282"/>
      <c r="E264" s="1282"/>
      <c r="F264" s="1282"/>
    </row>
    <row r="265">
      <c r="A265" s="1758"/>
      <c r="B265" s="1759"/>
      <c r="C265" s="1749"/>
      <c r="D265" s="1282"/>
      <c r="E265" s="1282"/>
      <c r="F265" s="1282"/>
    </row>
    <row r="266">
      <c r="A266" s="1758"/>
      <c r="B266" s="1759"/>
      <c r="C266" s="1749"/>
      <c r="D266" s="1282"/>
      <c r="E266" s="1282"/>
      <c r="F266" s="1282"/>
    </row>
    <row r="267">
      <c r="A267" s="1758"/>
      <c r="B267" s="1759"/>
      <c r="C267" s="1749"/>
      <c r="D267" s="1282"/>
      <c r="E267" s="1282"/>
      <c r="F267" s="1282"/>
    </row>
    <row r="268">
      <c r="A268" s="1758"/>
      <c r="B268" s="1759"/>
      <c r="C268" s="1749"/>
      <c r="D268" s="1282"/>
      <c r="E268" s="1282"/>
      <c r="F268" s="1282"/>
    </row>
    <row r="269">
      <c r="A269" s="1758"/>
      <c r="B269" s="1759"/>
      <c r="C269" s="1749"/>
      <c r="D269" s="1282"/>
      <c r="E269" s="1282"/>
      <c r="F269" s="1282"/>
    </row>
    <row r="270">
      <c r="A270" s="1758"/>
      <c r="B270" s="1759"/>
      <c r="C270" s="1749"/>
      <c r="D270" s="1282"/>
      <c r="E270" s="1282"/>
      <c r="F270" s="1282"/>
    </row>
    <row r="271">
      <c r="A271" s="1758"/>
      <c r="B271" s="1759"/>
      <c r="C271" s="1749"/>
      <c r="D271" s="1282"/>
      <c r="E271" s="1282"/>
      <c r="F271" s="1282"/>
    </row>
    <row r="272">
      <c r="A272" s="1758"/>
      <c r="B272" s="1759"/>
      <c r="C272" s="1749"/>
      <c r="D272" s="1282"/>
      <c r="E272" s="1282"/>
      <c r="F272" s="1282"/>
    </row>
    <row r="273">
      <c r="A273" s="1758"/>
      <c r="B273" s="1759"/>
      <c r="C273" s="1749"/>
      <c r="D273" s="1282"/>
      <c r="E273" s="1282"/>
      <c r="F273" s="1282"/>
    </row>
    <row r="274">
      <c r="A274" s="1758"/>
      <c r="B274" s="1759"/>
      <c r="C274" s="1749"/>
      <c r="D274" s="1282"/>
      <c r="E274" s="1282"/>
      <c r="F274" s="1282"/>
    </row>
    <row r="275">
      <c r="A275" s="1758"/>
      <c r="B275" s="1759"/>
      <c r="C275" s="1749"/>
      <c r="D275" s="1282"/>
      <c r="E275" s="1282"/>
      <c r="F275" s="1282"/>
    </row>
    <row r="276">
      <c r="A276" s="1758"/>
      <c r="B276" s="1759"/>
      <c r="C276" s="1749"/>
      <c r="D276" s="1282"/>
      <c r="E276" s="1282"/>
      <c r="F276" s="1282"/>
    </row>
    <row r="277">
      <c r="A277" s="1758"/>
      <c r="B277" s="1759"/>
      <c r="C277" s="1749"/>
      <c r="D277" s="1282"/>
      <c r="E277" s="1282"/>
      <c r="F277" s="1282"/>
    </row>
    <row r="278">
      <c r="A278" s="1758"/>
      <c r="B278" s="1759"/>
      <c r="C278" s="1749"/>
      <c r="D278" s="1282"/>
      <c r="E278" s="1282"/>
      <c r="F278" s="1282"/>
    </row>
    <row r="279">
      <c r="A279" s="1758"/>
      <c r="B279" s="1759"/>
      <c r="C279" s="1749"/>
      <c r="D279" s="1282"/>
      <c r="E279" s="1282"/>
      <c r="F279" s="1282"/>
    </row>
    <row r="280">
      <c r="A280" s="1758"/>
      <c r="B280" s="1759"/>
      <c r="C280" s="1749"/>
      <c r="D280" s="1282"/>
      <c r="E280" s="1282"/>
      <c r="F280" s="1282"/>
    </row>
    <row r="281">
      <c r="A281" s="1758"/>
      <c r="B281" s="1759"/>
      <c r="C281" s="1749"/>
      <c r="D281" s="1282"/>
      <c r="E281" s="1282"/>
      <c r="F281" s="1282"/>
    </row>
    <row r="282">
      <c r="A282" s="1758"/>
      <c r="B282" s="1759"/>
      <c r="C282" s="1749"/>
      <c r="D282" s="1282"/>
      <c r="E282" s="1282"/>
      <c r="F282" s="1282"/>
    </row>
    <row r="283">
      <c r="A283" s="1758"/>
      <c r="B283" s="1759"/>
      <c r="C283" s="1749"/>
      <c r="D283" s="1282"/>
      <c r="E283" s="1282"/>
      <c r="F283" s="1282"/>
    </row>
    <row r="284">
      <c r="A284" s="1758"/>
      <c r="B284" s="1759"/>
      <c r="C284" s="1749"/>
      <c r="D284" s="1282"/>
      <c r="E284" s="1282"/>
      <c r="F284" s="1282"/>
    </row>
    <row r="285">
      <c r="A285" s="1758"/>
      <c r="B285" s="1759"/>
      <c r="C285" s="1749"/>
      <c r="D285" s="1282"/>
      <c r="E285" s="1282"/>
      <c r="F285" s="1282"/>
    </row>
    <row r="286">
      <c r="A286" s="1758"/>
      <c r="B286" s="1759"/>
      <c r="C286" s="1749"/>
      <c r="D286" s="1282"/>
      <c r="E286" s="1282"/>
      <c r="F286" s="1282"/>
    </row>
    <row r="287">
      <c r="A287" s="1758"/>
      <c r="B287" s="1759"/>
      <c r="C287" s="1749"/>
      <c r="D287" s="1282"/>
      <c r="E287" s="1282"/>
      <c r="F287" s="1282"/>
    </row>
    <row r="288">
      <c r="A288" s="1758"/>
      <c r="B288" s="1759"/>
      <c r="C288" s="1749"/>
      <c r="D288" s="1282"/>
      <c r="E288" s="1282"/>
      <c r="F288" s="1282"/>
    </row>
    <row r="289">
      <c r="A289" s="1758"/>
      <c r="B289" s="1759"/>
      <c r="C289" s="1749"/>
      <c r="D289" s="1282"/>
      <c r="E289" s="1282"/>
      <c r="F289" s="1282"/>
    </row>
    <row r="290">
      <c r="A290" s="1758"/>
      <c r="B290" s="1759"/>
      <c r="C290" s="1749"/>
      <c r="D290" s="1282"/>
      <c r="E290" s="1282"/>
      <c r="F290" s="1282"/>
    </row>
    <row r="291">
      <c r="A291" s="1758"/>
      <c r="B291" s="1759"/>
      <c r="C291" s="1749"/>
      <c r="D291" s="1282"/>
      <c r="E291" s="1282"/>
      <c r="F291" s="1282"/>
    </row>
    <row r="292">
      <c r="A292" s="1758"/>
      <c r="B292" s="1759"/>
      <c r="C292" s="1749"/>
      <c r="D292" s="1282"/>
      <c r="E292" s="1282"/>
      <c r="F292" s="1282"/>
    </row>
    <row r="293">
      <c r="A293" s="1758"/>
      <c r="B293" s="1759"/>
      <c r="C293" s="1749"/>
      <c r="D293" s="1282"/>
      <c r="E293" s="1282"/>
      <c r="F293" s="1282"/>
    </row>
    <row r="294">
      <c r="A294" s="1758"/>
      <c r="B294" s="1759"/>
      <c r="C294" s="1749"/>
      <c r="D294" s="1282"/>
      <c r="E294" s="1282"/>
      <c r="F294" s="1282"/>
    </row>
    <row r="295">
      <c r="A295" s="1758"/>
      <c r="B295" s="1759"/>
      <c r="C295" s="1749"/>
      <c r="D295" s="1282"/>
      <c r="E295" s="1282"/>
      <c r="F295" s="1282"/>
    </row>
    <row r="296">
      <c r="A296" s="1758"/>
      <c r="B296" s="1759"/>
      <c r="C296" s="1749"/>
      <c r="D296" s="1282"/>
      <c r="E296" s="1282"/>
      <c r="F296" s="1282"/>
    </row>
    <row r="297">
      <c r="A297" s="1758"/>
      <c r="B297" s="1759"/>
      <c r="C297" s="1749"/>
      <c r="D297" s="1282"/>
      <c r="E297" s="1282"/>
      <c r="F297" s="1282"/>
    </row>
    <row r="298">
      <c r="A298" s="1758"/>
      <c r="B298" s="1759"/>
      <c r="C298" s="1749"/>
      <c r="D298" s="1282"/>
      <c r="E298" s="1282"/>
      <c r="F298" s="1282"/>
    </row>
    <row r="299">
      <c r="A299" s="1758"/>
      <c r="B299" s="1759"/>
      <c r="C299" s="1749"/>
      <c r="D299" s="1282"/>
      <c r="E299" s="1282"/>
      <c r="F299" s="1282"/>
    </row>
    <row r="300">
      <c r="A300" s="1758"/>
      <c r="B300" s="1759"/>
      <c r="C300" s="1749"/>
      <c r="D300" s="1282"/>
      <c r="E300" s="1282"/>
      <c r="F300" s="1282"/>
    </row>
    <row r="301">
      <c r="A301" s="1758"/>
      <c r="B301" s="1759"/>
      <c r="C301" s="1749"/>
      <c r="D301" s="1282"/>
      <c r="E301" s="1282"/>
      <c r="F301" s="1282"/>
    </row>
    <row r="302">
      <c r="A302" s="1758"/>
      <c r="B302" s="1759"/>
      <c r="C302" s="1749"/>
      <c r="D302" s="1282"/>
      <c r="E302" s="1282"/>
      <c r="F302" s="1282"/>
    </row>
    <row r="303">
      <c r="A303" s="1758"/>
      <c r="B303" s="1759"/>
      <c r="C303" s="1749"/>
      <c r="D303" s="1282"/>
      <c r="E303" s="1282"/>
      <c r="F303" s="1282"/>
    </row>
    <row r="304">
      <c r="A304" s="1758"/>
      <c r="B304" s="1759"/>
      <c r="C304" s="1749"/>
      <c r="D304" s="1282"/>
      <c r="E304" s="1282"/>
      <c r="F304" s="1282"/>
    </row>
    <row r="305">
      <c r="A305" s="1758"/>
      <c r="B305" s="1759"/>
      <c r="C305" s="1749"/>
      <c r="D305" s="1282"/>
      <c r="E305" s="1282"/>
      <c r="F305" s="1282"/>
    </row>
    <row r="306">
      <c r="A306" s="1758"/>
      <c r="B306" s="1759"/>
      <c r="C306" s="1749"/>
      <c r="D306" s="1282"/>
      <c r="E306" s="1282"/>
      <c r="F306" s="1282"/>
    </row>
    <row r="307">
      <c r="A307" s="1758"/>
      <c r="B307" s="1759"/>
      <c r="C307" s="1749"/>
      <c r="D307" s="1282"/>
      <c r="E307" s="1282"/>
      <c r="F307" s="1282"/>
    </row>
    <row r="308">
      <c r="A308" s="1758"/>
      <c r="B308" s="1759"/>
      <c r="C308" s="1749"/>
      <c r="D308" s="1282"/>
      <c r="E308" s="1282"/>
      <c r="F308" s="1282"/>
    </row>
    <row r="309">
      <c r="A309" s="1758"/>
      <c r="B309" s="1759"/>
      <c r="C309" s="1749"/>
      <c r="D309" s="1282"/>
      <c r="E309" s="1282"/>
      <c r="F309" s="1282"/>
    </row>
    <row r="310">
      <c r="A310" s="1758"/>
      <c r="B310" s="1759"/>
      <c r="C310" s="1749"/>
      <c r="D310" s="1282"/>
      <c r="E310" s="1282"/>
      <c r="F310" s="1282"/>
    </row>
    <row r="311">
      <c r="A311" s="1758"/>
      <c r="B311" s="1759"/>
      <c r="C311" s="1749"/>
      <c r="D311" s="1282"/>
      <c r="E311" s="1282"/>
      <c r="F311" s="1282"/>
    </row>
    <row r="312">
      <c r="A312" s="1758"/>
      <c r="B312" s="1759"/>
      <c r="C312" s="1749"/>
      <c r="D312" s="1282"/>
      <c r="E312" s="1282"/>
      <c r="F312" s="1282"/>
    </row>
    <row r="313">
      <c r="A313" s="1758"/>
      <c r="B313" s="1759"/>
      <c r="C313" s="1749"/>
      <c r="D313" s="1282"/>
      <c r="E313" s="1282"/>
      <c r="F313" s="1282"/>
    </row>
    <row r="314">
      <c r="A314" s="1758"/>
      <c r="B314" s="1759"/>
      <c r="C314" s="1749"/>
      <c r="D314" s="1282"/>
      <c r="E314" s="1282"/>
      <c r="F314" s="1282"/>
    </row>
    <row r="315">
      <c r="A315" s="1758"/>
      <c r="B315" s="1759"/>
      <c r="C315" s="1749"/>
      <c r="D315" s="1282"/>
      <c r="E315" s="1282"/>
      <c r="F315" s="1282"/>
    </row>
    <row r="316">
      <c r="A316" s="1758"/>
      <c r="B316" s="1759"/>
      <c r="C316" s="1749"/>
      <c r="D316" s="1282"/>
      <c r="E316" s="1282"/>
      <c r="F316" s="1282"/>
    </row>
    <row r="317">
      <c r="A317" s="1758"/>
      <c r="B317" s="1759"/>
      <c r="C317" s="1749"/>
      <c r="D317" s="1282"/>
      <c r="E317" s="1282"/>
      <c r="F317" s="1282"/>
    </row>
    <row r="318">
      <c r="A318" s="1758"/>
      <c r="B318" s="1759"/>
      <c r="C318" s="1749"/>
      <c r="D318" s="1282"/>
      <c r="E318" s="1282"/>
      <c r="F318" s="1282"/>
    </row>
    <row r="319">
      <c r="A319" s="1758"/>
      <c r="B319" s="1759"/>
      <c r="C319" s="1749"/>
      <c r="D319" s="1282"/>
      <c r="E319" s="1282"/>
      <c r="F319" s="1282"/>
    </row>
    <row r="320">
      <c r="A320" s="1758"/>
      <c r="B320" s="1759"/>
      <c r="C320" s="1749"/>
      <c r="D320" s="1282"/>
      <c r="E320" s="1282"/>
      <c r="F320" s="1282"/>
    </row>
    <row r="321">
      <c r="A321" s="1758"/>
      <c r="B321" s="1759"/>
      <c r="C321" s="1749"/>
      <c r="D321" s="1282"/>
      <c r="E321" s="1282"/>
      <c r="F321" s="1282"/>
    </row>
    <row r="322">
      <c r="A322" s="1758"/>
      <c r="B322" s="1759"/>
      <c r="C322" s="1749"/>
      <c r="D322" s="1282"/>
      <c r="E322" s="1282"/>
      <c r="F322" s="1282"/>
    </row>
    <row r="323">
      <c r="A323" s="1758"/>
      <c r="B323" s="1759"/>
      <c r="C323" s="1749"/>
      <c r="D323" s="1282"/>
      <c r="E323" s="1282"/>
      <c r="F323" s="1282"/>
    </row>
    <row r="324">
      <c r="A324" s="1758"/>
      <c r="B324" s="1759"/>
      <c r="C324" s="1749"/>
      <c r="D324" s="1282"/>
      <c r="E324" s="1282"/>
      <c r="F324" s="1282"/>
    </row>
    <row r="325">
      <c r="A325" s="1758"/>
      <c r="B325" s="1759"/>
      <c r="C325" s="1749"/>
      <c r="D325" s="1282"/>
      <c r="E325" s="1282"/>
      <c r="F325" s="1282"/>
    </row>
    <row r="326">
      <c r="A326" s="1758"/>
      <c r="B326" s="1759"/>
      <c r="C326" s="1749"/>
      <c r="D326" s="1282"/>
      <c r="E326" s="1282"/>
      <c r="F326" s="1282"/>
    </row>
    <row r="327">
      <c r="A327" s="1758"/>
      <c r="B327" s="1759"/>
      <c r="C327" s="1749"/>
      <c r="D327" s="1282"/>
      <c r="E327" s="1282"/>
      <c r="F327" s="1282"/>
    </row>
    <row r="328">
      <c r="A328" s="1758"/>
      <c r="B328" s="1759"/>
      <c r="C328" s="1749"/>
      <c r="D328" s="1282"/>
      <c r="E328" s="1282"/>
      <c r="F328" s="1282"/>
    </row>
    <row r="329">
      <c r="A329" s="1758"/>
      <c r="B329" s="1759"/>
      <c r="C329" s="1749"/>
      <c r="D329" s="1282"/>
      <c r="E329" s="1282"/>
      <c r="F329" s="1282"/>
    </row>
    <row r="330">
      <c r="A330" s="1758"/>
      <c r="B330" s="1759"/>
      <c r="C330" s="1749"/>
      <c r="D330" s="1282"/>
      <c r="E330" s="1282"/>
      <c r="F330" s="1282"/>
    </row>
    <row r="331">
      <c r="A331" s="1758"/>
      <c r="B331" s="1759"/>
      <c r="C331" s="1749"/>
      <c r="D331" s="1282"/>
      <c r="E331" s="1282"/>
      <c r="F331" s="1282"/>
    </row>
    <row r="332">
      <c r="A332" s="1758"/>
      <c r="B332" s="1759"/>
      <c r="C332" s="1749"/>
      <c r="D332" s="1282"/>
      <c r="E332" s="1282"/>
      <c r="F332" s="1282"/>
    </row>
    <row r="333">
      <c r="A333" s="1758"/>
      <c r="B333" s="1759"/>
      <c r="C333" s="1749"/>
      <c r="D333" s="1282"/>
      <c r="E333" s="1282"/>
      <c r="F333" s="1282"/>
    </row>
    <row r="334">
      <c r="A334" s="1758"/>
      <c r="B334" s="1759"/>
      <c r="C334" s="1749"/>
      <c r="D334" s="1282"/>
      <c r="E334" s="1282"/>
      <c r="F334" s="1282"/>
    </row>
    <row r="335">
      <c r="A335" s="1758"/>
      <c r="B335" s="1759"/>
      <c r="C335" s="1749"/>
      <c r="D335" s="1282"/>
      <c r="E335" s="1282"/>
      <c r="F335" s="1282"/>
    </row>
    <row r="336">
      <c r="A336" s="1758"/>
      <c r="B336" s="1759"/>
      <c r="C336" s="1749"/>
      <c r="D336" s="1282"/>
      <c r="E336" s="1282"/>
      <c r="F336" s="1282"/>
    </row>
    <row r="337">
      <c r="A337" s="1758"/>
      <c r="B337" s="1759"/>
      <c r="C337" s="1749"/>
      <c r="D337" s="1282"/>
      <c r="E337" s="1282"/>
      <c r="F337" s="1282"/>
    </row>
    <row r="338">
      <c r="A338" s="1758"/>
      <c r="B338" s="1759"/>
      <c r="C338" s="1749"/>
      <c r="D338" s="1282"/>
      <c r="E338" s="1282"/>
      <c r="F338" s="1282"/>
    </row>
    <row r="339">
      <c r="A339" s="1758"/>
      <c r="B339" s="1759"/>
      <c r="C339" s="1749"/>
      <c r="D339" s="1282"/>
      <c r="E339" s="1282"/>
      <c r="F339" s="1282"/>
    </row>
    <row r="340">
      <c r="A340" s="1758"/>
      <c r="B340" s="1759"/>
      <c r="C340" s="1749"/>
      <c r="D340" s="1282"/>
      <c r="E340" s="1282"/>
      <c r="F340" s="1282"/>
    </row>
    <row r="341">
      <c r="A341" s="1758"/>
      <c r="B341" s="1759"/>
      <c r="C341" s="1749"/>
      <c r="D341" s="1282"/>
      <c r="E341" s="1282"/>
      <c r="F341" s="1282"/>
    </row>
    <row r="342">
      <c r="A342" s="1758"/>
      <c r="B342" s="1759"/>
      <c r="C342" s="1749"/>
      <c r="D342" s="1282"/>
      <c r="E342" s="1282"/>
      <c r="F342" s="1282"/>
    </row>
    <row r="343">
      <c r="A343" s="1758"/>
      <c r="B343" s="1759"/>
      <c r="C343" s="1749"/>
      <c r="D343" s="1282"/>
      <c r="E343" s="1282"/>
      <c r="F343" s="1282"/>
    </row>
    <row r="344">
      <c r="A344" s="1758"/>
      <c r="B344" s="1759"/>
      <c r="C344" s="1749"/>
      <c r="D344" s="1282"/>
      <c r="E344" s="1282"/>
      <c r="F344" s="1282"/>
    </row>
    <row r="345">
      <c r="A345" s="1758"/>
      <c r="B345" s="1759"/>
      <c r="C345" s="1749"/>
      <c r="D345" s="1282"/>
      <c r="E345" s="1282"/>
      <c r="F345" s="1282"/>
    </row>
    <row r="346">
      <c r="A346" s="1758"/>
      <c r="B346" s="1759"/>
      <c r="C346" s="1749"/>
      <c r="D346" s="1282"/>
      <c r="E346" s="1282"/>
      <c r="F346" s="1282"/>
    </row>
    <row r="347">
      <c r="A347" s="1758"/>
      <c r="B347" s="1759"/>
      <c r="C347" s="1749"/>
      <c r="D347" s="1282"/>
      <c r="E347" s="1282"/>
      <c r="F347" s="1282"/>
    </row>
    <row r="348">
      <c r="A348" s="1758"/>
      <c r="B348" s="1759"/>
      <c r="C348" s="1749"/>
      <c r="D348" s="1282"/>
      <c r="E348" s="1282"/>
      <c r="F348" s="1282"/>
    </row>
    <row r="349">
      <c r="A349" s="1758"/>
      <c r="B349" s="1759"/>
      <c r="C349" s="1749"/>
      <c r="D349" s="1282"/>
      <c r="E349" s="1282"/>
      <c r="F349" s="1282"/>
    </row>
    <row r="350">
      <c r="A350" s="1758"/>
      <c r="B350" s="1759"/>
      <c r="C350" s="1749"/>
      <c r="D350" s="1282"/>
      <c r="E350" s="1282"/>
      <c r="F350" s="1282"/>
    </row>
    <row r="351">
      <c r="A351" s="1758"/>
      <c r="B351" s="1759"/>
      <c r="C351" s="1749"/>
      <c r="D351" s="1282"/>
      <c r="E351" s="1282"/>
      <c r="F351" s="1282"/>
    </row>
    <row r="352">
      <c r="A352" s="1758"/>
      <c r="B352" s="1759"/>
      <c r="C352" s="1749"/>
      <c r="D352" s="1282"/>
      <c r="E352" s="1282"/>
      <c r="F352" s="1282"/>
    </row>
    <row r="353">
      <c r="A353" s="1758"/>
      <c r="B353" s="1759"/>
      <c r="C353" s="1749"/>
      <c r="D353" s="1282"/>
      <c r="E353" s="1282"/>
      <c r="F353" s="1282"/>
    </row>
    <row r="354">
      <c r="A354" s="1758"/>
      <c r="B354" s="1759"/>
      <c r="C354" s="1749"/>
      <c r="D354" s="1282"/>
      <c r="E354" s="1282"/>
      <c r="F354" s="1282"/>
    </row>
    <row r="355">
      <c r="A355" s="1758"/>
      <c r="B355" s="1759"/>
      <c r="C355" s="1749"/>
      <c r="D355" s="1282"/>
      <c r="E355" s="1282"/>
      <c r="F355" s="1282"/>
    </row>
    <row r="356">
      <c r="A356" s="1758"/>
      <c r="B356" s="1759"/>
      <c r="C356" s="1749"/>
      <c r="D356" s="1282"/>
      <c r="E356" s="1282"/>
      <c r="F356" s="1282"/>
    </row>
    <row r="357">
      <c r="A357" s="1758"/>
      <c r="B357" s="1759"/>
      <c r="C357" s="1749"/>
      <c r="D357" s="1282"/>
      <c r="E357" s="1282"/>
      <c r="F357" s="1282"/>
    </row>
    <row r="358">
      <c r="A358" s="1758"/>
      <c r="B358" s="1759"/>
      <c r="C358" s="1749"/>
      <c r="D358" s="1282"/>
      <c r="E358" s="1282"/>
      <c r="F358" s="1282"/>
    </row>
    <row r="359">
      <c r="A359" s="1758"/>
      <c r="B359" s="1759"/>
      <c r="C359" s="1749"/>
      <c r="D359" s="1282"/>
      <c r="E359" s="1282"/>
      <c r="F359" s="1282"/>
    </row>
    <row r="360">
      <c r="A360" s="1758"/>
      <c r="B360" s="1759"/>
      <c r="C360" s="1749"/>
      <c r="D360" s="1282"/>
      <c r="E360" s="1282"/>
      <c r="F360" s="1282"/>
    </row>
    <row r="361">
      <c r="A361" s="1758"/>
      <c r="B361" s="1759"/>
      <c r="C361" s="1749"/>
      <c r="D361" s="1282"/>
      <c r="E361" s="1282"/>
      <c r="F361" s="1282"/>
    </row>
    <row r="362">
      <c r="A362" s="1758"/>
      <c r="B362" s="1759"/>
      <c r="C362" s="1749"/>
      <c r="D362" s="1282"/>
      <c r="E362" s="1282"/>
      <c r="F362" s="1282"/>
    </row>
    <row r="363">
      <c r="A363" s="1758"/>
      <c r="B363" s="1759"/>
      <c r="C363" s="1749"/>
      <c r="D363" s="1282"/>
      <c r="E363" s="1282"/>
      <c r="F363" s="1282"/>
    </row>
    <row r="364">
      <c r="A364" s="1758"/>
      <c r="B364" s="1759"/>
      <c r="C364" s="1749"/>
      <c r="D364" s="1282"/>
      <c r="E364" s="1282"/>
      <c r="F364" s="1282"/>
    </row>
    <row r="365">
      <c r="A365" s="1758"/>
      <c r="B365" s="1759"/>
      <c r="C365" s="1749"/>
      <c r="D365" s="1282"/>
      <c r="E365" s="1282"/>
      <c r="F365" s="1282"/>
    </row>
    <row r="366">
      <c r="A366" s="1758"/>
      <c r="B366" s="1759"/>
      <c r="C366" s="1749"/>
      <c r="D366" s="1282"/>
      <c r="E366" s="1282"/>
      <c r="F366" s="1282"/>
    </row>
    <row r="367">
      <c r="A367" s="1758"/>
      <c r="B367" s="1759"/>
      <c r="C367" s="1749"/>
      <c r="D367" s="1282"/>
      <c r="E367" s="1282"/>
      <c r="F367" s="1282"/>
    </row>
    <row r="368">
      <c r="A368" s="1758"/>
      <c r="B368" s="1759"/>
      <c r="C368" s="1749"/>
      <c r="D368" s="1282"/>
      <c r="E368" s="1282"/>
      <c r="F368" s="1282"/>
    </row>
    <row r="369">
      <c r="A369" s="1758"/>
      <c r="B369" s="1759"/>
      <c r="C369" s="1749"/>
      <c r="D369" s="1282"/>
      <c r="E369" s="1282"/>
      <c r="F369" s="1282"/>
    </row>
    <row r="370">
      <c r="A370" s="1758"/>
      <c r="B370" s="1759"/>
      <c r="C370" s="1749"/>
      <c r="D370" s="1282"/>
      <c r="E370" s="1282"/>
      <c r="F370" s="1282"/>
    </row>
    <row r="371">
      <c r="A371" s="1758"/>
      <c r="B371" s="1759"/>
      <c r="C371" s="1749"/>
      <c r="D371" s="1282"/>
      <c r="E371" s="1282"/>
      <c r="F371" s="1282"/>
    </row>
    <row r="372">
      <c r="A372" s="1758"/>
      <c r="B372" s="1759"/>
      <c r="C372" s="1749"/>
      <c r="D372" s="1282"/>
      <c r="E372" s="1282"/>
      <c r="F372" s="1282"/>
    </row>
    <row r="373">
      <c r="A373" s="1758"/>
      <c r="B373" s="1759"/>
      <c r="C373" s="1749"/>
      <c r="D373" s="1282"/>
      <c r="E373" s="1282"/>
      <c r="F373" s="1282"/>
    </row>
    <row r="374">
      <c r="A374" s="1758"/>
      <c r="B374" s="1759"/>
      <c r="C374" s="1749"/>
      <c r="D374" s="1282"/>
      <c r="E374" s="1282"/>
      <c r="F374" s="1282"/>
    </row>
    <row r="375">
      <c r="A375" s="1758"/>
      <c r="B375" s="1759"/>
      <c r="C375" s="1749"/>
      <c r="D375" s="1282"/>
      <c r="E375" s="1282"/>
      <c r="F375" s="1282"/>
    </row>
    <row r="376">
      <c r="A376" s="1758"/>
      <c r="B376" s="1759"/>
      <c r="C376" s="1749"/>
      <c r="D376" s="1282"/>
      <c r="E376" s="1282"/>
      <c r="F376" s="1282"/>
    </row>
    <row r="377">
      <c r="A377" s="1758"/>
      <c r="B377" s="1759"/>
      <c r="C377" s="1749"/>
      <c r="D377" s="1282"/>
      <c r="E377" s="1282"/>
      <c r="F377" s="1282"/>
    </row>
    <row r="378">
      <c r="A378" s="1758"/>
      <c r="B378" s="1759"/>
      <c r="C378" s="1749"/>
      <c r="D378" s="1282"/>
      <c r="E378" s="1282"/>
      <c r="F378" s="1282"/>
    </row>
    <row r="379">
      <c r="A379" s="1758"/>
      <c r="B379" s="1759"/>
      <c r="C379" s="1749"/>
      <c r="D379" s="1282"/>
      <c r="E379" s="1282"/>
      <c r="F379" s="1282"/>
    </row>
    <row r="380">
      <c r="A380" s="1758"/>
      <c r="B380" s="1759"/>
      <c r="C380" s="1749"/>
      <c r="D380" s="1282"/>
      <c r="E380" s="1282"/>
      <c r="F380" s="1282"/>
    </row>
    <row r="381">
      <c r="A381" s="1758"/>
      <c r="B381" s="1759"/>
      <c r="C381" s="1749"/>
      <c r="D381" s="1282"/>
      <c r="E381" s="1282"/>
      <c r="F381" s="1282"/>
    </row>
    <row r="382">
      <c r="A382" s="1758"/>
      <c r="B382" s="1759"/>
      <c r="C382" s="1749"/>
      <c r="D382" s="1282"/>
      <c r="E382" s="1282"/>
      <c r="F382" s="1282"/>
    </row>
    <row r="383">
      <c r="A383" s="1758"/>
      <c r="B383" s="1759"/>
      <c r="C383" s="1749"/>
      <c r="D383" s="1282"/>
      <c r="E383" s="1282"/>
      <c r="F383" s="1282"/>
    </row>
    <row r="384">
      <c r="A384" s="1758"/>
      <c r="B384" s="1759"/>
      <c r="C384" s="1749"/>
      <c r="D384" s="1282"/>
      <c r="E384" s="1282"/>
      <c r="F384" s="1282"/>
    </row>
    <row r="385">
      <c r="A385" s="1758"/>
      <c r="B385" s="1759"/>
      <c r="C385" s="1749"/>
      <c r="D385" s="1282"/>
      <c r="E385" s="1282"/>
      <c r="F385" s="1282"/>
    </row>
    <row r="386">
      <c r="A386" s="1758"/>
      <c r="B386" s="1759"/>
      <c r="C386" s="1749"/>
      <c r="D386" s="1282"/>
      <c r="E386" s="1282"/>
      <c r="F386" s="1282"/>
    </row>
    <row r="387">
      <c r="A387" s="1758"/>
      <c r="B387" s="1759"/>
      <c r="C387" s="1749"/>
      <c r="D387" s="1282"/>
      <c r="E387" s="1282"/>
      <c r="F387" s="1282"/>
    </row>
    <row r="388">
      <c r="A388" s="1758"/>
      <c r="B388" s="1759"/>
      <c r="C388" s="1749"/>
      <c r="D388" s="1282"/>
      <c r="E388" s="1282"/>
      <c r="F388" s="1282"/>
    </row>
    <row r="389">
      <c r="A389" s="1758"/>
      <c r="B389" s="1759"/>
      <c r="C389" s="1749"/>
      <c r="D389" s="1282"/>
      <c r="E389" s="1282"/>
      <c r="F389" s="1282"/>
    </row>
    <row r="390">
      <c r="A390" s="1758"/>
      <c r="B390" s="1759"/>
      <c r="C390" s="1749"/>
      <c r="D390" s="1282"/>
      <c r="E390" s="1282"/>
      <c r="F390" s="1282"/>
    </row>
    <row r="391">
      <c r="A391" s="1758"/>
      <c r="B391" s="1759"/>
      <c r="C391" s="1749"/>
      <c r="D391" s="1282"/>
      <c r="E391" s="1282"/>
      <c r="F391" s="1282"/>
    </row>
    <row r="392">
      <c r="A392" s="1758"/>
      <c r="B392" s="1759"/>
      <c r="C392" s="1749"/>
      <c r="D392" s="1282"/>
      <c r="E392" s="1282"/>
      <c r="F392" s="1282"/>
    </row>
    <row r="393">
      <c r="A393" s="1758"/>
      <c r="B393" s="1759"/>
      <c r="C393" s="1749"/>
      <c r="D393" s="1282"/>
      <c r="E393" s="1282"/>
      <c r="F393" s="1282"/>
    </row>
    <row r="394">
      <c r="A394" s="1758"/>
      <c r="B394" s="1759"/>
      <c r="C394" s="1749"/>
      <c r="D394" s="1282"/>
      <c r="E394" s="1282"/>
      <c r="F394" s="1282"/>
    </row>
    <row r="395">
      <c r="A395" s="1758"/>
      <c r="B395" s="1759"/>
      <c r="C395" s="1749"/>
      <c r="D395" s="1282"/>
      <c r="E395" s="1282"/>
      <c r="F395" s="1282"/>
    </row>
    <row r="396">
      <c r="A396" s="1758"/>
      <c r="B396" s="1759"/>
      <c r="C396" s="1749"/>
      <c r="D396" s="1282"/>
      <c r="E396" s="1282"/>
      <c r="F396" s="1282"/>
    </row>
    <row r="397">
      <c r="A397" s="1758"/>
      <c r="B397" s="1759"/>
      <c r="C397" s="1749"/>
      <c r="D397" s="1282"/>
      <c r="E397" s="1282"/>
      <c r="F397" s="1282"/>
    </row>
    <row r="398">
      <c r="A398" s="1758"/>
      <c r="B398" s="1759"/>
      <c r="C398" s="1749"/>
      <c r="D398" s="1282"/>
      <c r="E398" s="1282"/>
      <c r="F398" s="1282"/>
    </row>
    <row r="399">
      <c r="A399" s="1758"/>
      <c r="B399" s="1759"/>
      <c r="C399" s="1749"/>
      <c r="D399" s="1282"/>
      <c r="E399" s="1282"/>
      <c r="F399" s="1282"/>
    </row>
    <row r="400">
      <c r="A400" s="1758"/>
      <c r="B400" s="1759"/>
      <c r="C400" s="1749"/>
      <c r="D400" s="1282"/>
      <c r="E400" s="1282"/>
      <c r="F400" s="1282"/>
    </row>
    <row r="401">
      <c r="A401" s="1758"/>
      <c r="B401" s="1759"/>
      <c r="C401" s="1749"/>
      <c r="D401" s="1282"/>
      <c r="E401" s="1282"/>
      <c r="F401" s="1282"/>
    </row>
    <row r="402">
      <c r="A402" s="1758"/>
      <c r="B402" s="1759"/>
      <c r="C402" s="1749"/>
      <c r="D402" s="1282"/>
      <c r="E402" s="1282"/>
      <c r="F402" s="1282"/>
    </row>
    <row r="403">
      <c r="A403" s="1758"/>
      <c r="B403" s="1759"/>
      <c r="C403" s="1749"/>
      <c r="D403" s="1282"/>
      <c r="E403" s="1282"/>
      <c r="F403" s="1282"/>
    </row>
    <row r="404">
      <c r="A404" s="1758"/>
      <c r="B404" s="1759"/>
      <c r="C404" s="1749"/>
      <c r="D404" s="1282"/>
      <c r="E404" s="1282"/>
      <c r="F404" s="1282"/>
    </row>
    <row r="405">
      <c r="A405" s="1758"/>
      <c r="B405" s="1759"/>
      <c r="C405" s="1749"/>
      <c r="D405" s="1282"/>
      <c r="E405" s="1282"/>
      <c r="F405" s="1282"/>
    </row>
    <row r="406">
      <c r="A406" s="1758"/>
      <c r="B406" s="1759"/>
      <c r="C406" s="1749"/>
      <c r="D406" s="1282"/>
      <c r="E406" s="1282"/>
      <c r="F406" s="1282"/>
    </row>
    <row r="407">
      <c r="A407" s="1758"/>
      <c r="B407" s="1759"/>
      <c r="C407" s="1749"/>
      <c r="D407" s="1282"/>
      <c r="E407" s="1282"/>
      <c r="F407" s="1282"/>
    </row>
    <row r="408">
      <c r="A408" s="1758"/>
      <c r="B408" s="1759"/>
      <c r="C408" s="1749"/>
      <c r="D408" s="1282"/>
      <c r="E408" s="1282"/>
      <c r="F408" s="1282"/>
    </row>
    <row r="409">
      <c r="A409" s="1758"/>
      <c r="B409" s="1759"/>
      <c r="C409" s="1749"/>
      <c r="D409" s="1282"/>
      <c r="E409" s="1282"/>
      <c r="F409" s="1282"/>
    </row>
    <row r="410">
      <c r="A410" s="1758"/>
      <c r="B410" s="1759"/>
      <c r="C410" s="1749"/>
      <c r="D410" s="1282"/>
      <c r="E410" s="1282"/>
      <c r="F410" s="1282"/>
    </row>
    <row r="411">
      <c r="A411" s="1758"/>
      <c r="B411" s="1759"/>
      <c r="C411" s="1749"/>
      <c r="D411" s="1282"/>
      <c r="E411" s="1282"/>
      <c r="F411" s="1282"/>
    </row>
    <row r="412">
      <c r="A412" s="1758"/>
      <c r="B412" s="1759"/>
      <c r="C412" s="1749"/>
      <c r="D412" s="1282"/>
      <c r="E412" s="1282"/>
      <c r="F412" s="1282"/>
    </row>
    <row r="413">
      <c r="A413" s="1758"/>
      <c r="B413" s="1759"/>
      <c r="C413" s="1749"/>
      <c r="D413" s="1282"/>
      <c r="E413" s="1282"/>
      <c r="F413" s="1282"/>
    </row>
    <row r="414">
      <c r="A414" s="1758"/>
      <c r="B414" s="1759"/>
      <c r="C414" s="1749"/>
      <c r="D414" s="1282"/>
      <c r="E414" s="1282"/>
      <c r="F414" s="1282"/>
    </row>
    <row r="415">
      <c r="A415" s="1758"/>
      <c r="B415" s="1759"/>
      <c r="C415" s="1749"/>
      <c r="D415" s="1282"/>
      <c r="E415" s="1282"/>
      <c r="F415" s="1282"/>
    </row>
    <row r="416">
      <c r="A416" s="1758"/>
      <c r="B416" s="1759"/>
      <c r="C416" s="1749"/>
      <c r="D416" s="1282"/>
      <c r="E416" s="1282"/>
      <c r="F416" s="1282"/>
    </row>
    <row r="417">
      <c r="A417" s="1758"/>
      <c r="B417" s="1759"/>
      <c r="C417" s="1749"/>
      <c r="D417" s="1282"/>
      <c r="E417" s="1282"/>
      <c r="F417" s="1282"/>
    </row>
    <row r="418">
      <c r="A418" s="1758"/>
      <c r="B418" s="1759"/>
      <c r="C418" s="1749"/>
      <c r="D418" s="1282"/>
      <c r="E418" s="1282"/>
      <c r="F418" s="1282"/>
    </row>
    <row r="419">
      <c r="A419" s="1758"/>
      <c r="B419" s="1759"/>
      <c r="C419" s="1749"/>
      <c r="D419" s="1282"/>
      <c r="E419" s="1282"/>
      <c r="F419" s="1282"/>
    </row>
    <row r="420">
      <c r="A420" s="1758"/>
      <c r="B420" s="1759"/>
      <c r="C420" s="1749"/>
      <c r="D420" s="1282"/>
      <c r="E420" s="1282"/>
      <c r="F420" s="1282"/>
    </row>
    <row r="421">
      <c r="A421" s="1758"/>
      <c r="B421" s="1759"/>
      <c r="C421" s="1749"/>
      <c r="D421" s="1282"/>
      <c r="E421" s="1282"/>
      <c r="F421" s="1282"/>
    </row>
    <row r="422">
      <c r="A422" s="1758"/>
      <c r="B422" s="1759"/>
      <c r="C422" s="1749"/>
      <c r="D422" s="1282"/>
      <c r="E422" s="1282"/>
      <c r="F422" s="1282"/>
    </row>
    <row r="423">
      <c r="A423" s="1758"/>
      <c r="B423" s="1759"/>
      <c r="C423" s="1749"/>
      <c r="D423" s="1282"/>
      <c r="E423" s="1282"/>
      <c r="F423" s="1282"/>
    </row>
    <row r="424">
      <c r="A424" s="1758"/>
      <c r="B424" s="1759"/>
      <c r="C424" s="1749"/>
      <c r="D424" s="1282"/>
      <c r="E424" s="1282"/>
      <c r="F424" s="1282"/>
    </row>
    <row r="425">
      <c r="A425" s="1758"/>
      <c r="B425" s="1759"/>
      <c r="C425" s="1749"/>
      <c r="D425" s="1282"/>
      <c r="E425" s="1282"/>
      <c r="F425" s="1282"/>
    </row>
    <row r="426">
      <c r="A426" s="1758"/>
      <c r="B426" s="1759"/>
      <c r="C426" s="1749"/>
      <c r="D426" s="1282"/>
      <c r="E426" s="1282"/>
      <c r="F426" s="1282"/>
    </row>
    <row r="427">
      <c r="A427" s="1758"/>
      <c r="B427" s="1759"/>
      <c r="C427" s="1749"/>
      <c r="D427" s="1282"/>
      <c r="E427" s="1282"/>
      <c r="F427" s="1282"/>
    </row>
    <row r="428">
      <c r="A428" s="1758"/>
      <c r="B428" s="1759"/>
      <c r="C428" s="1749"/>
      <c r="D428" s="1282"/>
      <c r="E428" s="1282"/>
      <c r="F428" s="1282"/>
    </row>
    <row r="429">
      <c r="A429" s="1758"/>
      <c r="B429" s="1759"/>
      <c r="C429" s="1749"/>
      <c r="D429" s="1282"/>
      <c r="E429" s="1282"/>
      <c r="F429" s="1282"/>
    </row>
    <row r="430">
      <c r="A430" s="1758"/>
      <c r="B430" s="1759"/>
      <c r="C430" s="1749"/>
      <c r="D430" s="1282"/>
      <c r="E430" s="1282"/>
      <c r="F430" s="1282"/>
    </row>
    <row r="431">
      <c r="A431" s="1758"/>
      <c r="B431" s="1759"/>
      <c r="C431" s="1749"/>
      <c r="D431" s="1282"/>
      <c r="E431" s="1282"/>
      <c r="F431" s="1282"/>
    </row>
    <row r="432">
      <c r="A432" s="1758"/>
      <c r="B432" s="1759"/>
      <c r="C432" s="1749"/>
      <c r="D432" s="1282"/>
      <c r="E432" s="1282"/>
      <c r="F432" s="1282"/>
    </row>
    <row r="433">
      <c r="A433" s="1758"/>
      <c r="B433" s="1759"/>
      <c r="C433" s="1749"/>
      <c r="D433" s="1282"/>
      <c r="E433" s="1282"/>
      <c r="F433" s="1282"/>
    </row>
    <row r="434">
      <c r="A434" s="1758"/>
      <c r="B434" s="1759"/>
      <c r="C434" s="1749"/>
      <c r="D434" s="1282"/>
      <c r="E434" s="1282"/>
      <c r="F434" s="1282"/>
    </row>
    <row r="435">
      <c r="A435" s="1758"/>
      <c r="B435" s="1759"/>
      <c r="C435" s="1749"/>
      <c r="D435" s="1282"/>
      <c r="E435" s="1282"/>
      <c r="F435" s="1282"/>
    </row>
    <row r="436">
      <c r="A436" s="1758"/>
      <c r="B436" s="1759"/>
      <c r="C436" s="1749"/>
      <c r="D436" s="1282"/>
      <c r="E436" s="1282"/>
      <c r="F436" s="1282"/>
    </row>
    <row r="437">
      <c r="A437" s="1758"/>
      <c r="B437" s="1759"/>
      <c r="C437" s="1749"/>
      <c r="D437" s="1282"/>
      <c r="E437" s="1282"/>
      <c r="F437" s="1282"/>
    </row>
    <row r="438">
      <c r="A438" s="1758"/>
      <c r="B438" s="1759"/>
      <c r="C438" s="1749"/>
      <c r="D438" s="1282"/>
      <c r="E438" s="1282"/>
      <c r="F438" s="1282"/>
    </row>
    <row r="439">
      <c r="A439" s="1758"/>
      <c r="B439" s="1759"/>
      <c r="C439" s="1749"/>
      <c r="D439" s="1282"/>
      <c r="E439" s="1282"/>
      <c r="F439" s="1282"/>
    </row>
    <row r="440">
      <c r="A440" s="1758"/>
      <c r="B440" s="1759"/>
      <c r="C440" s="1749"/>
      <c r="D440" s="1282"/>
      <c r="E440" s="1282"/>
      <c r="F440" s="1282"/>
    </row>
    <row r="441">
      <c r="A441" s="1758"/>
      <c r="B441" s="1759"/>
      <c r="C441" s="1749"/>
      <c r="D441" s="1282"/>
      <c r="E441" s="1282"/>
      <c r="F441" s="1282"/>
    </row>
    <row r="442">
      <c r="A442" s="1758"/>
      <c r="B442" s="1759"/>
      <c r="C442" s="1749"/>
      <c r="D442" s="1282"/>
      <c r="E442" s="1282"/>
      <c r="F442" s="1282"/>
    </row>
    <row r="443">
      <c r="A443" s="1758"/>
      <c r="B443" s="1759"/>
      <c r="C443" s="1749"/>
      <c r="D443" s="1282"/>
      <c r="E443" s="1282"/>
      <c r="F443" s="1282"/>
    </row>
    <row r="444">
      <c r="A444" s="1758"/>
      <c r="B444" s="1759"/>
      <c r="C444" s="1749"/>
      <c r="D444" s="1282"/>
      <c r="E444" s="1282"/>
      <c r="F444" s="1282"/>
    </row>
    <row r="445">
      <c r="A445" s="1758"/>
      <c r="B445" s="1759"/>
      <c r="C445" s="1749"/>
      <c r="D445" s="1282"/>
      <c r="E445" s="1282"/>
      <c r="F445" s="1282"/>
    </row>
    <row r="446">
      <c r="A446" s="1758"/>
      <c r="B446" s="1759"/>
      <c r="C446" s="1749"/>
      <c r="D446" s="1282"/>
      <c r="E446" s="1282"/>
      <c r="F446" s="1282"/>
    </row>
    <row r="447">
      <c r="A447" s="1758"/>
      <c r="B447" s="1759"/>
      <c r="C447" s="1749"/>
      <c r="D447" s="1282"/>
      <c r="E447" s="1282"/>
      <c r="F447" s="1282"/>
    </row>
    <row r="448">
      <c r="A448" s="1758"/>
      <c r="B448" s="1759"/>
      <c r="C448" s="1749"/>
      <c r="D448" s="1282"/>
      <c r="E448" s="1282"/>
      <c r="F448" s="1282"/>
    </row>
    <row r="449">
      <c r="A449" s="1758"/>
      <c r="B449" s="1759"/>
      <c r="C449" s="1749"/>
      <c r="D449" s="1282"/>
      <c r="E449" s="1282"/>
      <c r="F449" s="1282"/>
    </row>
    <row r="450">
      <c r="A450" s="1758"/>
      <c r="B450" s="1759"/>
      <c r="C450" s="1749"/>
      <c r="D450" s="1282"/>
      <c r="E450" s="1282"/>
      <c r="F450" s="1282"/>
    </row>
    <row r="451">
      <c r="A451" s="1758"/>
      <c r="B451" s="1759"/>
      <c r="C451" s="1749"/>
      <c r="D451" s="1282"/>
      <c r="E451" s="1282"/>
      <c r="F451" s="1282"/>
    </row>
    <row r="452">
      <c r="A452" s="1758"/>
      <c r="B452" s="1759"/>
      <c r="C452" s="1749"/>
      <c r="D452" s="1282"/>
      <c r="E452" s="1282"/>
      <c r="F452" s="1282"/>
    </row>
    <row r="453">
      <c r="A453" s="1758"/>
      <c r="B453" s="1759"/>
      <c r="C453" s="1749"/>
      <c r="D453" s="1282"/>
      <c r="E453" s="1282"/>
      <c r="F453" s="1282"/>
    </row>
    <row r="454">
      <c r="A454" s="1758"/>
      <c r="B454" s="1759"/>
      <c r="C454" s="1749"/>
      <c r="D454" s="1282"/>
      <c r="E454" s="1282"/>
      <c r="F454" s="1282"/>
    </row>
    <row r="455">
      <c r="A455" s="1758"/>
      <c r="B455" s="1759"/>
      <c r="C455" s="1749"/>
      <c r="D455" s="1282"/>
      <c r="E455" s="1282"/>
      <c r="F455" s="1282"/>
    </row>
    <row r="456">
      <c r="A456" s="1758"/>
      <c r="B456" s="1759"/>
      <c r="C456" s="1749"/>
      <c r="D456" s="1282"/>
      <c r="E456" s="1282"/>
      <c r="F456" s="1282"/>
    </row>
    <row r="457">
      <c r="A457" s="1758"/>
      <c r="B457" s="1759"/>
      <c r="C457" s="1749"/>
      <c r="D457" s="1282"/>
      <c r="E457" s="1282"/>
      <c r="F457" s="1282"/>
    </row>
    <row r="458">
      <c r="A458" s="1758"/>
      <c r="B458" s="1759"/>
      <c r="C458" s="1749"/>
      <c r="D458" s="1282"/>
      <c r="E458" s="1282"/>
      <c r="F458" s="1282"/>
    </row>
    <row r="459">
      <c r="A459" s="1758"/>
      <c r="B459" s="1759"/>
      <c r="C459" s="1749"/>
      <c r="D459" s="1282"/>
      <c r="E459" s="1282"/>
      <c r="F459" s="1282"/>
    </row>
    <row r="460">
      <c r="A460" s="1758"/>
      <c r="B460" s="1759"/>
      <c r="C460" s="1749"/>
      <c r="D460" s="1282"/>
      <c r="E460" s="1282"/>
      <c r="F460" s="1282"/>
    </row>
    <row r="461">
      <c r="A461" s="1758"/>
      <c r="B461" s="1759"/>
      <c r="C461" s="1749"/>
      <c r="D461" s="1282"/>
      <c r="E461" s="1282"/>
      <c r="F461" s="1282"/>
    </row>
    <row r="462">
      <c r="A462" s="1758"/>
      <c r="B462" s="1759"/>
      <c r="C462" s="1749"/>
      <c r="D462" s="1282"/>
      <c r="E462" s="1282"/>
      <c r="F462" s="1282"/>
    </row>
    <row r="463">
      <c r="A463" s="1758"/>
      <c r="B463" s="1759"/>
      <c r="C463" s="1749"/>
      <c r="D463" s="1282"/>
      <c r="E463" s="1282"/>
      <c r="F463" s="1282"/>
    </row>
    <row r="464">
      <c r="A464" s="1758"/>
      <c r="B464" s="1759"/>
      <c r="C464" s="1749"/>
      <c r="D464" s="1282"/>
      <c r="E464" s="1282"/>
      <c r="F464" s="1282"/>
    </row>
    <row r="465">
      <c r="A465" s="1758"/>
      <c r="B465" s="1759"/>
      <c r="C465" s="1749"/>
      <c r="D465" s="1282"/>
      <c r="E465" s="1282"/>
      <c r="F465" s="1282"/>
    </row>
    <row r="466">
      <c r="A466" s="1758"/>
      <c r="B466" s="1759"/>
      <c r="C466" s="1749"/>
      <c r="D466" s="1282"/>
      <c r="E466" s="1282"/>
      <c r="F466" s="1282"/>
    </row>
    <row r="467">
      <c r="A467" s="1758"/>
      <c r="B467" s="1759"/>
      <c r="C467" s="1749"/>
      <c r="D467" s="1282"/>
      <c r="E467" s="1282"/>
      <c r="F467" s="1282"/>
    </row>
    <row r="468">
      <c r="A468" s="1758"/>
      <c r="B468" s="1759"/>
      <c r="C468" s="1749"/>
      <c r="D468" s="1282"/>
      <c r="E468" s="1282"/>
      <c r="F468" s="1282"/>
    </row>
    <row r="469">
      <c r="A469" s="1758"/>
      <c r="B469" s="1759"/>
      <c r="C469" s="1749"/>
      <c r="D469" s="1282"/>
      <c r="E469" s="1282"/>
      <c r="F469" s="1282"/>
    </row>
    <row r="470">
      <c r="A470" s="1758"/>
      <c r="B470" s="1759"/>
      <c r="C470" s="1749"/>
      <c r="D470" s="1282"/>
      <c r="E470" s="1282"/>
      <c r="F470" s="1282"/>
    </row>
    <row r="471">
      <c r="A471" s="1758"/>
      <c r="B471" s="1759"/>
      <c r="C471" s="1749"/>
      <c r="D471" s="1282"/>
      <c r="E471" s="1282"/>
      <c r="F471" s="1282"/>
    </row>
    <row r="472">
      <c r="A472" s="1758"/>
      <c r="B472" s="1759"/>
      <c r="C472" s="1749"/>
      <c r="D472" s="1282"/>
      <c r="E472" s="1282"/>
      <c r="F472" s="1282"/>
    </row>
    <row r="473">
      <c r="A473" s="1758"/>
      <c r="B473" s="1759"/>
      <c r="C473" s="1749"/>
      <c r="D473" s="1282"/>
      <c r="E473" s="1282"/>
      <c r="F473" s="1282"/>
    </row>
    <row r="474">
      <c r="A474" s="1758"/>
      <c r="B474" s="1759"/>
      <c r="C474" s="1749"/>
      <c r="D474" s="1282"/>
      <c r="E474" s="1282"/>
      <c r="F474" s="1282"/>
    </row>
    <row r="475">
      <c r="A475" s="1758"/>
      <c r="B475" s="1759"/>
      <c r="C475" s="1749"/>
      <c r="D475" s="1282"/>
      <c r="E475" s="1282"/>
      <c r="F475" s="1282"/>
    </row>
    <row r="476">
      <c r="A476" s="1758"/>
      <c r="B476" s="1759"/>
      <c r="C476" s="1749"/>
      <c r="D476" s="1282"/>
      <c r="E476" s="1282"/>
      <c r="F476" s="1282"/>
    </row>
    <row r="477">
      <c r="A477" s="1758"/>
      <c r="B477" s="1759"/>
      <c r="C477" s="1749"/>
      <c r="D477" s="1282"/>
      <c r="E477" s="1282"/>
      <c r="F477" s="1282"/>
    </row>
    <row r="478">
      <c r="A478" s="1758"/>
      <c r="B478" s="1759"/>
      <c r="C478" s="1749"/>
      <c r="D478" s="1282"/>
      <c r="E478" s="1282"/>
      <c r="F478" s="1282"/>
    </row>
    <row r="479">
      <c r="A479" s="1758"/>
      <c r="B479" s="1759"/>
      <c r="C479" s="1749"/>
      <c r="D479" s="1282"/>
      <c r="E479" s="1282"/>
      <c r="F479" s="1282"/>
    </row>
    <row r="480">
      <c r="A480" s="1758"/>
      <c r="B480" s="1759"/>
      <c r="C480" s="1749"/>
      <c r="D480" s="1282"/>
      <c r="E480" s="1282"/>
      <c r="F480" s="1282"/>
    </row>
    <row r="481">
      <c r="A481" s="1758"/>
      <c r="B481" s="1759"/>
      <c r="C481" s="1749"/>
      <c r="D481" s="1282"/>
      <c r="E481" s="1282"/>
      <c r="F481" s="1282"/>
    </row>
    <row r="482">
      <c r="A482" s="1758"/>
      <c r="B482" s="1759"/>
      <c r="C482" s="1749"/>
      <c r="D482" s="1282"/>
      <c r="E482" s="1282"/>
      <c r="F482" s="1282"/>
    </row>
    <row r="483">
      <c r="A483" s="1758"/>
      <c r="B483" s="1759"/>
      <c r="C483" s="1749"/>
      <c r="D483" s="1282"/>
      <c r="E483" s="1282"/>
      <c r="F483" s="1282"/>
    </row>
    <row r="484">
      <c r="A484" s="1758"/>
      <c r="B484" s="1759"/>
      <c r="C484" s="1749"/>
      <c r="D484" s="1282"/>
      <c r="E484" s="1282"/>
      <c r="F484" s="1282"/>
    </row>
    <row r="485">
      <c r="A485" s="1758"/>
      <c r="B485" s="1759"/>
      <c r="C485" s="1749"/>
      <c r="D485" s="1282"/>
      <c r="E485" s="1282"/>
      <c r="F485" s="1282"/>
    </row>
    <row r="486">
      <c r="A486" s="1758"/>
      <c r="B486" s="1759"/>
      <c r="C486" s="1749"/>
      <c r="D486" s="1282"/>
      <c r="E486" s="1282"/>
      <c r="F486" s="1282"/>
    </row>
    <row r="487">
      <c r="A487" s="1758"/>
      <c r="B487" s="1759"/>
      <c r="C487" s="1749"/>
      <c r="D487" s="1282"/>
      <c r="E487" s="1282"/>
      <c r="F487" s="1282"/>
    </row>
    <row r="488">
      <c r="A488" s="1758"/>
      <c r="B488" s="1759"/>
      <c r="C488" s="1749"/>
      <c r="D488" s="1282"/>
      <c r="E488" s="1282"/>
      <c r="F488" s="1282"/>
    </row>
    <row r="489">
      <c r="A489" s="1758"/>
      <c r="B489" s="1759"/>
      <c r="C489" s="1749"/>
      <c r="D489" s="1282"/>
      <c r="E489" s="1282"/>
      <c r="F489" s="1282"/>
    </row>
    <row r="490">
      <c r="A490" s="1758"/>
      <c r="B490" s="1759"/>
      <c r="C490" s="1749"/>
      <c r="D490" s="1282"/>
      <c r="E490" s="1282"/>
      <c r="F490" s="1282"/>
    </row>
    <row r="491">
      <c r="A491" s="1758"/>
      <c r="B491" s="1759"/>
      <c r="C491" s="1749"/>
      <c r="D491" s="1282"/>
      <c r="E491" s="1282"/>
      <c r="F491" s="1282"/>
    </row>
    <row r="492">
      <c r="A492" s="1758"/>
      <c r="B492" s="1759"/>
      <c r="C492" s="1749"/>
      <c r="D492" s="1282"/>
      <c r="E492" s="1282"/>
      <c r="F492" s="1282"/>
    </row>
    <row r="493">
      <c r="A493" s="1758"/>
      <c r="B493" s="1759"/>
      <c r="C493" s="1749"/>
      <c r="D493" s="1282"/>
      <c r="E493" s="1282"/>
      <c r="F493" s="1282"/>
    </row>
    <row r="494">
      <c r="A494" s="1758"/>
      <c r="B494" s="1759"/>
      <c r="C494" s="1749"/>
      <c r="D494" s="1282"/>
      <c r="E494" s="1282"/>
      <c r="F494" s="1282"/>
    </row>
    <row r="495">
      <c r="A495" s="1758"/>
      <c r="B495" s="1759"/>
      <c r="C495" s="1749"/>
      <c r="D495" s="1282"/>
      <c r="E495" s="1282"/>
      <c r="F495" s="1282"/>
    </row>
    <row r="496">
      <c r="A496" s="1758"/>
      <c r="B496" s="1759"/>
      <c r="C496" s="1749"/>
      <c r="D496" s="1282"/>
      <c r="E496" s="1282"/>
      <c r="F496" s="1282"/>
    </row>
    <row r="497">
      <c r="A497" s="1758"/>
      <c r="B497" s="1759"/>
      <c r="C497" s="1749"/>
      <c r="D497" s="1282"/>
      <c r="E497" s="1282"/>
      <c r="F497" s="1282"/>
    </row>
    <row r="498">
      <c r="A498" s="1758"/>
      <c r="B498" s="1759"/>
      <c r="C498" s="1749"/>
      <c r="D498" s="1282"/>
      <c r="E498" s="1282"/>
      <c r="F498" s="1282"/>
    </row>
    <row r="499">
      <c r="A499" s="1758"/>
      <c r="B499" s="1759"/>
      <c r="C499" s="1749"/>
      <c r="D499" s="1282"/>
      <c r="E499" s="1282"/>
      <c r="F499" s="1282"/>
    </row>
    <row r="500">
      <c r="A500" s="1758"/>
      <c r="B500" s="1759"/>
      <c r="C500" s="1749"/>
      <c r="D500" s="1282"/>
      <c r="E500" s="1282"/>
      <c r="F500" s="1282"/>
    </row>
    <row r="501">
      <c r="A501" s="1758"/>
      <c r="B501" s="1759"/>
      <c r="C501" s="1749"/>
      <c r="D501" s="1282"/>
      <c r="E501" s="1282"/>
      <c r="F501" s="1282"/>
    </row>
    <row r="502">
      <c r="A502" s="1758"/>
      <c r="B502" s="1759"/>
      <c r="C502" s="1749"/>
      <c r="D502" s="1282"/>
      <c r="E502" s="1282"/>
      <c r="F502" s="1282"/>
    </row>
    <row r="503">
      <c r="A503" s="1758"/>
      <c r="B503" s="1759"/>
      <c r="C503" s="1749"/>
      <c r="D503" s="1282"/>
      <c r="E503" s="1282"/>
      <c r="F503" s="1282"/>
    </row>
    <row r="504">
      <c r="A504" s="1758"/>
      <c r="B504" s="1759"/>
      <c r="C504" s="1749"/>
      <c r="D504" s="1282"/>
      <c r="E504" s="1282"/>
      <c r="F504" s="1282"/>
    </row>
    <row r="505">
      <c r="A505" s="1758"/>
      <c r="B505" s="1759"/>
      <c r="C505" s="1749"/>
      <c r="D505" s="1282"/>
      <c r="E505" s="1282"/>
      <c r="F505" s="1282"/>
    </row>
    <row r="506">
      <c r="A506" s="1758"/>
      <c r="B506" s="1759"/>
      <c r="C506" s="1749"/>
      <c r="D506" s="1282"/>
      <c r="E506" s="1282"/>
      <c r="F506" s="1282"/>
    </row>
    <row r="507">
      <c r="A507" s="1758"/>
      <c r="B507" s="1759"/>
      <c r="C507" s="1749"/>
      <c r="D507" s="1282"/>
      <c r="E507" s="1282"/>
      <c r="F507" s="1282"/>
    </row>
    <row r="508">
      <c r="A508" s="1758"/>
      <c r="B508" s="1759"/>
      <c r="C508" s="1749"/>
      <c r="D508" s="1282"/>
      <c r="E508" s="1282"/>
      <c r="F508" s="1282"/>
    </row>
    <row r="509">
      <c r="A509" s="1758"/>
      <c r="B509" s="1759"/>
      <c r="C509" s="1749"/>
      <c r="D509" s="1282"/>
      <c r="E509" s="1282"/>
      <c r="F509" s="1282"/>
    </row>
    <row r="510">
      <c r="A510" s="1758"/>
      <c r="B510" s="1759"/>
      <c r="C510" s="1749"/>
      <c r="D510" s="1282"/>
      <c r="E510" s="1282"/>
      <c r="F510" s="1282"/>
    </row>
    <row r="511">
      <c r="A511" s="1758"/>
      <c r="B511" s="1759"/>
      <c r="C511" s="1749"/>
      <c r="D511" s="1282"/>
      <c r="E511" s="1282"/>
      <c r="F511" s="1282"/>
    </row>
    <row r="512">
      <c r="A512" s="1758"/>
      <c r="B512" s="1759"/>
      <c r="C512" s="1749"/>
      <c r="D512" s="1282"/>
      <c r="E512" s="1282"/>
      <c r="F512" s="1282"/>
    </row>
    <row r="513">
      <c r="A513" s="1758"/>
      <c r="B513" s="1759"/>
      <c r="C513" s="1749"/>
      <c r="D513" s="1282"/>
      <c r="E513" s="1282"/>
      <c r="F513" s="1282"/>
    </row>
    <row r="514">
      <c r="A514" s="1758"/>
      <c r="B514" s="1759"/>
      <c r="C514" s="1749"/>
      <c r="D514" s="1282"/>
      <c r="E514" s="1282"/>
      <c r="F514" s="1282"/>
    </row>
    <row r="515">
      <c r="A515" s="1758"/>
      <c r="B515" s="1759"/>
      <c r="C515" s="1749"/>
      <c r="D515" s="1282"/>
      <c r="E515" s="1282"/>
      <c r="F515" s="1282"/>
    </row>
    <row r="516">
      <c r="A516" s="1758"/>
      <c r="B516" s="1759"/>
      <c r="C516" s="1749"/>
      <c r="D516" s="1282"/>
      <c r="E516" s="1282"/>
      <c r="F516" s="1282"/>
    </row>
    <row r="517">
      <c r="A517" s="1758"/>
      <c r="B517" s="1759"/>
      <c r="C517" s="1749"/>
      <c r="D517" s="1282"/>
      <c r="E517" s="1282"/>
      <c r="F517" s="1282"/>
    </row>
    <row r="518">
      <c r="A518" s="1758"/>
      <c r="B518" s="1759"/>
      <c r="C518" s="1749"/>
      <c r="D518" s="1282"/>
      <c r="E518" s="1282"/>
      <c r="F518" s="1282"/>
    </row>
    <row r="519">
      <c r="A519" s="1758"/>
      <c r="B519" s="1759"/>
      <c r="C519" s="1749"/>
      <c r="D519" s="1282"/>
      <c r="E519" s="1282"/>
      <c r="F519" s="1282"/>
    </row>
    <row r="520">
      <c r="A520" s="1758"/>
      <c r="B520" s="1759"/>
      <c r="C520" s="1749"/>
      <c r="D520" s="1282"/>
      <c r="E520" s="1282"/>
      <c r="F520" s="1282"/>
    </row>
    <row r="521">
      <c r="A521" s="1758"/>
      <c r="B521" s="1759"/>
      <c r="C521" s="1749"/>
      <c r="D521" s="1282"/>
      <c r="E521" s="1282"/>
      <c r="F521" s="1282"/>
    </row>
    <row r="522">
      <c r="A522" s="1758"/>
      <c r="B522" s="1759"/>
      <c r="C522" s="1749"/>
      <c r="D522" s="1282"/>
      <c r="E522" s="1282"/>
      <c r="F522" s="1282"/>
    </row>
    <row r="523">
      <c r="A523" s="1758"/>
      <c r="B523" s="1759"/>
      <c r="C523" s="1749"/>
      <c r="D523" s="1282"/>
      <c r="E523" s="1282"/>
      <c r="F523" s="1282"/>
    </row>
    <row r="524">
      <c r="A524" s="1758"/>
      <c r="B524" s="1759"/>
      <c r="C524" s="1749"/>
      <c r="D524" s="1282"/>
      <c r="E524" s="1282"/>
      <c r="F524" s="1282"/>
    </row>
    <row r="525">
      <c r="A525" s="1758"/>
      <c r="B525" s="1759"/>
      <c r="C525" s="1749"/>
      <c r="D525" s="1282"/>
      <c r="E525" s="1282"/>
      <c r="F525" s="1282"/>
    </row>
    <row r="526">
      <c r="A526" s="1758"/>
      <c r="B526" s="1759"/>
      <c r="C526" s="1749"/>
      <c r="D526" s="1282"/>
      <c r="E526" s="1282"/>
      <c r="F526" s="1282"/>
    </row>
    <row r="527">
      <c r="A527" s="1758"/>
      <c r="B527" s="1759"/>
      <c r="C527" s="1749"/>
      <c r="D527" s="1282"/>
      <c r="E527" s="1282"/>
      <c r="F527" s="1282"/>
    </row>
    <row r="528">
      <c r="A528" s="1758"/>
      <c r="B528" s="1759"/>
      <c r="C528" s="1749"/>
      <c r="D528" s="1282"/>
      <c r="E528" s="1282"/>
      <c r="F528" s="1282"/>
    </row>
    <row r="529">
      <c r="A529" s="1758"/>
      <c r="B529" s="1759"/>
      <c r="C529" s="1749"/>
      <c r="D529" s="1282"/>
      <c r="E529" s="1282"/>
      <c r="F529" s="1282"/>
    </row>
    <row r="530">
      <c r="A530" s="1758"/>
      <c r="B530" s="1759"/>
      <c r="C530" s="1749"/>
      <c r="D530" s="1282"/>
      <c r="E530" s="1282"/>
      <c r="F530" s="1282"/>
    </row>
    <row r="531">
      <c r="A531" s="1758"/>
      <c r="B531" s="1759"/>
      <c r="C531" s="1749"/>
      <c r="D531" s="1282"/>
      <c r="E531" s="1282"/>
      <c r="F531" s="1282"/>
    </row>
    <row r="532">
      <c r="A532" s="1758"/>
      <c r="B532" s="1759"/>
      <c r="C532" s="1749"/>
      <c r="D532" s="1282"/>
      <c r="E532" s="1282"/>
      <c r="F532" s="1282"/>
    </row>
    <row r="533">
      <c r="A533" s="1758"/>
      <c r="B533" s="1759"/>
      <c r="C533" s="1749"/>
      <c r="D533" s="1282"/>
      <c r="E533" s="1282"/>
      <c r="F533" s="1282"/>
    </row>
    <row r="534">
      <c r="A534" s="1758"/>
      <c r="B534" s="1759"/>
      <c r="C534" s="1749"/>
      <c r="D534" s="1282"/>
      <c r="E534" s="1282"/>
      <c r="F534" s="1282"/>
    </row>
    <row r="535">
      <c r="A535" s="1758"/>
      <c r="B535" s="1759"/>
      <c r="C535" s="1749"/>
      <c r="D535" s="1282"/>
      <c r="E535" s="1282"/>
      <c r="F535" s="1282"/>
    </row>
    <row r="536">
      <c r="A536" s="1758"/>
      <c r="B536" s="1759"/>
      <c r="C536" s="1749"/>
      <c r="D536" s="1282"/>
      <c r="E536" s="1282"/>
      <c r="F536" s="1282"/>
    </row>
    <row r="537">
      <c r="A537" s="1758"/>
      <c r="B537" s="1759"/>
      <c r="C537" s="1749"/>
      <c r="D537" s="1282"/>
      <c r="E537" s="1282"/>
      <c r="F537" s="1282"/>
    </row>
    <row r="538">
      <c r="A538" s="1758"/>
      <c r="B538" s="1759"/>
      <c r="C538" s="1749"/>
      <c r="D538" s="1282"/>
      <c r="E538" s="1282"/>
      <c r="F538" s="1282"/>
    </row>
    <row r="539">
      <c r="A539" s="1758"/>
      <c r="B539" s="1759"/>
      <c r="C539" s="1749"/>
      <c r="D539" s="1282"/>
      <c r="E539" s="1282"/>
      <c r="F539" s="1282"/>
    </row>
    <row r="540">
      <c r="A540" s="1758"/>
      <c r="B540" s="1759"/>
      <c r="C540" s="1749"/>
      <c r="D540" s="1282"/>
      <c r="E540" s="1282"/>
      <c r="F540" s="1282"/>
    </row>
    <row r="541">
      <c r="A541" s="1758"/>
      <c r="B541" s="1759"/>
      <c r="C541" s="1749"/>
      <c r="D541" s="1282"/>
      <c r="E541" s="1282"/>
      <c r="F541" s="1282"/>
    </row>
    <row r="542">
      <c r="A542" s="1758"/>
      <c r="B542" s="1759"/>
      <c r="C542" s="1749"/>
      <c r="D542" s="1282"/>
      <c r="E542" s="1282"/>
      <c r="F542" s="1282"/>
    </row>
    <row r="543">
      <c r="A543" s="1758"/>
      <c r="B543" s="1759"/>
      <c r="C543" s="1749"/>
      <c r="D543" s="1282"/>
      <c r="E543" s="1282"/>
      <c r="F543" s="1282"/>
    </row>
    <row r="544">
      <c r="A544" s="1758"/>
      <c r="B544" s="1759"/>
      <c r="C544" s="1749"/>
      <c r="D544" s="1282"/>
      <c r="E544" s="1282"/>
      <c r="F544" s="1282"/>
    </row>
    <row r="545">
      <c r="A545" s="1758"/>
      <c r="B545" s="1759"/>
      <c r="C545" s="1749"/>
      <c r="D545" s="1282"/>
      <c r="E545" s="1282"/>
      <c r="F545" s="1282"/>
    </row>
    <row r="546">
      <c r="A546" s="1758"/>
      <c r="B546" s="1759"/>
      <c r="C546" s="1749"/>
      <c r="D546" s="1282"/>
      <c r="E546" s="1282"/>
      <c r="F546" s="1282"/>
    </row>
    <row r="547">
      <c r="A547" s="1758"/>
      <c r="B547" s="1759"/>
      <c r="C547" s="1749"/>
      <c r="D547" s="1282"/>
      <c r="E547" s="1282"/>
      <c r="F547" s="1282"/>
    </row>
    <row r="548">
      <c r="A548" s="1758"/>
      <c r="B548" s="1759"/>
      <c r="C548" s="1749"/>
      <c r="D548" s="1282"/>
      <c r="E548" s="1282"/>
      <c r="F548" s="1282"/>
    </row>
    <row r="549">
      <c r="A549" s="1758"/>
      <c r="B549" s="1759"/>
      <c r="C549" s="1749"/>
      <c r="D549" s="1282"/>
      <c r="E549" s="1282"/>
      <c r="F549" s="1282"/>
    </row>
    <row r="550">
      <c r="A550" s="1758"/>
      <c r="B550" s="1759"/>
      <c r="C550" s="1749"/>
      <c r="D550" s="1282"/>
      <c r="E550" s="1282"/>
      <c r="F550" s="1282"/>
    </row>
    <row r="551">
      <c r="A551" s="1758"/>
      <c r="B551" s="1759"/>
      <c r="C551" s="1749"/>
      <c r="D551" s="1282"/>
      <c r="E551" s="1282"/>
      <c r="F551" s="1282"/>
    </row>
    <row r="552">
      <c r="A552" s="1758"/>
      <c r="B552" s="1759"/>
      <c r="C552" s="1749"/>
      <c r="D552" s="1282"/>
      <c r="E552" s="1282"/>
      <c r="F552" s="1282"/>
    </row>
    <row r="553">
      <c r="A553" s="1758"/>
      <c r="B553" s="1759"/>
      <c r="C553" s="1749"/>
      <c r="D553" s="1282"/>
      <c r="E553" s="1282"/>
      <c r="F553" s="1282"/>
    </row>
    <row r="554">
      <c r="A554" s="1758"/>
      <c r="B554" s="1759"/>
      <c r="C554" s="1749"/>
      <c r="D554" s="1282"/>
      <c r="E554" s="1282"/>
      <c r="F554" s="1282"/>
    </row>
    <row r="555">
      <c r="A555" s="1758"/>
      <c r="B555" s="1759"/>
      <c r="C555" s="1749"/>
      <c r="D555" s="1282"/>
      <c r="E555" s="1282"/>
      <c r="F555" s="1282"/>
    </row>
    <row r="556">
      <c r="A556" s="1758"/>
      <c r="B556" s="1759"/>
      <c r="C556" s="1749"/>
      <c r="D556" s="1282"/>
      <c r="E556" s="1282"/>
      <c r="F556" s="1282"/>
    </row>
    <row r="557">
      <c r="A557" s="1758"/>
      <c r="B557" s="1759"/>
      <c r="C557" s="1749"/>
      <c r="D557" s="1282"/>
      <c r="E557" s="1282"/>
      <c r="F557" s="1282"/>
    </row>
    <row r="558">
      <c r="A558" s="1758"/>
      <c r="B558" s="1759"/>
      <c r="C558" s="1749"/>
      <c r="D558" s="1282"/>
      <c r="E558" s="1282"/>
      <c r="F558" s="1282"/>
    </row>
    <row r="559">
      <c r="A559" s="1758"/>
      <c r="B559" s="1759"/>
      <c r="C559" s="1749"/>
      <c r="D559" s="1282"/>
      <c r="E559" s="1282"/>
      <c r="F559" s="1282"/>
    </row>
    <row r="560">
      <c r="A560" s="1758"/>
      <c r="B560" s="1759"/>
      <c r="C560" s="1749"/>
      <c r="D560" s="1282"/>
      <c r="E560" s="1282"/>
      <c r="F560" s="1282"/>
    </row>
    <row r="561">
      <c r="A561" s="1758"/>
      <c r="B561" s="1759"/>
      <c r="C561" s="1749"/>
      <c r="D561" s="1282"/>
      <c r="E561" s="1282"/>
      <c r="F561" s="1282"/>
    </row>
    <row r="562">
      <c r="A562" s="1758"/>
      <c r="B562" s="1759"/>
      <c r="C562" s="1749"/>
      <c r="D562" s="1282"/>
      <c r="E562" s="1282"/>
      <c r="F562" s="1282"/>
    </row>
    <row r="563">
      <c r="A563" s="1758"/>
      <c r="B563" s="1759"/>
      <c r="C563" s="1749"/>
      <c r="D563" s="1282"/>
      <c r="E563" s="1282"/>
      <c r="F563" s="1282"/>
    </row>
    <row r="564">
      <c r="A564" s="1758"/>
      <c r="B564" s="1759"/>
      <c r="C564" s="1749"/>
      <c r="D564" s="1282"/>
      <c r="E564" s="1282"/>
      <c r="F564" s="1282"/>
    </row>
    <row r="565">
      <c r="A565" s="1758"/>
      <c r="B565" s="1759"/>
      <c r="C565" s="1749"/>
      <c r="D565" s="1282"/>
      <c r="E565" s="1282"/>
      <c r="F565" s="1282"/>
    </row>
    <row r="566">
      <c r="A566" s="1758"/>
      <c r="B566" s="1759"/>
      <c r="C566" s="1749"/>
      <c r="D566" s="1282"/>
      <c r="E566" s="1282"/>
      <c r="F566" s="1282"/>
    </row>
    <row r="567">
      <c r="A567" s="1758"/>
      <c r="B567" s="1759"/>
      <c r="C567" s="1749"/>
      <c r="D567" s="1282"/>
      <c r="E567" s="1282"/>
      <c r="F567" s="1282"/>
    </row>
    <row r="568">
      <c r="A568" s="1758"/>
      <c r="B568" s="1759"/>
      <c r="C568" s="1749"/>
      <c r="D568" s="1282"/>
      <c r="E568" s="1282"/>
      <c r="F568" s="1282"/>
    </row>
    <row r="569">
      <c r="A569" s="1758"/>
      <c r="B569" s="1759"/>
      <c r="C569" s="1749"/>
      <c r="D569" s="1282"/>
      <c r="E569" s="1282"/>
      <c r="F569" s="1282"/>
    </row>
    <row r="570">
      <c r="A570" s="1758"/>
      <c r="B570" s="1759"/>
      <c r="C570" s="1749"/>
      <c r="D570" s="1282"/>
      <c r="E570" s="1282"/>
      <c r="F570" s="1282"/>
    </row>
    <row r="571">
      <c r="A571" s="1758"/>
      <c r="B571" s="1759"/>
      <c r="C571" s="1749"/>
      <c r="D571" s="1282"/>
      <c r="E571" s="1282"/>
      <c r="F571" s="1282"/>
    </row>
    <row r="572">
      <c r="A572" s="1758"/>
      <c r="B572" s="1759"/>
      <c r="C572" s="1749"/>
      <c r="D572" s="1282"/>
      <c r="E572" s="1282"/>
      <c r="F572" s="1282"/>
    </row>
    <row r="573">
      <c r="A573" s="1758"/>
      <c r="B573" s="1759"/>
      <c r="C573" s="1749"/>
      <c r="D573" s="1282"/>
      <c r="E573" s="1282"/>
      <c r="F573" s="1282"/>
    </row>
    <row r="574">
      <c r="A574" s="1758"/>
      <c r="B574" s="1759"/>
      <c r="C574" s="1749"/>
      <c r="D574" s="1282"/>
      <c r="E574" s="1282"/>
      <c r="F574" s="1282"/>
    </row>
    <row r="575">
      <c r="A575" s="1758"/>
      <c r="B575" s="1759"/>
      <c r="C575" s="1749"/>
      <c r="D575" s="1282"/>
      <c r="E575" s="1282"/>
      <c r="F575" s="1282"/>
    </row>
    <row r="576">
      <c r="A576" s="1758"/>
      <c r="B576" s="1759"/>
      <c r="C576" s="1749"/>
      <c r="D576" s="1282"/>
      <c r="E576" s="1282"/>
      <c r="F576" s="1282"/>
    </row>
    <row r="577">
      <c r="A577" s="1758"/>
      <c r="B577" s="1759"/>
      <c r="C577" s="1749"/>
      <c r="D577" s="1282"/>
      <c r="E577" s="1282"/>
      <c r="F577" s="1282"/>
    </row>
    <row r="578">
      <c r="A578" s="1758"/>
      <c r="B578" s="1759"/>
      <c r="C578" s="1749"/>
      <c r="D578" s="1282"/>
      <c r="E578" s="1282"/>
      <c r="F578" s="1282"/>
    </row>
    <row r="579">
      <c r="A579" s="1758"/>
      <c r="B579" s="1759"/>
      <c r="C579" s="1749"/>
      <c r="D579" s="1282"/>
      <c r="E579" s="1282"/>
      <c r="F579" s="1282"/>
    </row>
    <row r="580">
      <c r="A580" s="1758"/>
      <c r="B580" s="1759"/>
      <c r="C580" s="1749"/>
      <c r="D580" s="1282"/>
      <c r="E580" s="1282"/>
      <c r="F580" s="1282"/>
    </row>
    <row r="581">
      <c r="A581" s="1758"/>
      <c r="B581" s="1759"/>
      <c r="C581" s="1749"/>
      <c r="D581" s="1282"/>
      <c r="E581" s="1282"/>
      <c r="F581" s="1282"/>
    </row>
    <row r="582">
      <c r="A582" s="1758"/>
      <c r="B582" s="1759"/>
      <c r="C582" s="1749"/>
      <c r="D582" s="1282"/>
      <c r="E582" s="1282"/>
      <c r="F582" s="1282"/>
    </row>
    <row r="583">
      <c r="A583" s="1758"/>
      <c r="B583" s="1759"/>
      <c r="C583" s="1749"/>
      <c r="D583" s="1282"/>
      <c r="E583" s="1282"/>
      <c r="F583" s="1282"/>
    </row>
    <row r="584">
      <c r="A584" s="1758"/>
      <c r="B584" s="1759"/>
      <c r="C584" s="1749"/>
      <c r="D584" s="1282"/>
      <c r="E584" s="1282"/>
      <c r="F584" s="1282"/>
    </row>
    <row r="585">
      <c r="A585" s="1758"/>
      <c r="B585" s="1759"/>
      <c r="C585" s="1749"/>
      <c r="D585" s="1282"/>
      <c r="E585" s="1282"/>
      <c r="F585" s="1282"/>
    </row>
    <row r="586">
      <c r="A586" s="1758"/>
      <c r="B586" s="1759"/>
      <c r="C586" s="1749"/>
      <c r="D586" s="1282"/>
      <c r="E586" s="1282"/>
      <c r="F586" s="1282"/>
    </row>
    <row r="587">
      <c r="A587" s="1758"/>
      <c r="B587" s="1759"/>
      <c r="C587" s="1749"/>
      <c r="D587" s="1282"/>
      <c r="E587" s="1282"/>
      <c r="F587" s="1282"/>
    </row>
    <row r="588">
      <c r="A588" s="1758"/>
      <c r="B588" s="1759"/>
      <c r="C588" s="1749"/>
      <c r="D588" s="1282"/>
      <c r="E588" s="1282"/>
      <c r="F588" s="1282"/>
    </row>
    <row r="589">
      <c r="A589" s="1758"/>
      <c r="B589" s="1759"/>
      <c r="C589" s="1749"/>
      <c r="D589" s="1282"/>
      <c r="E589" s="1282"/>
      <c r="F589" s="1282"/>
    </row>
    <row r="590">
      <c r="A590" s="1758"/>
      <c r="B590" s="1759"/>
      <c r="C590" s="1749"/>
      <c r="D590" s="1282"/>
      <c r="E590" s="1282"/>
      <c r="F590" s="1282"/>
    </row>
    <row r="591">
      <c r="A591" s="1758"/>
      <c r="B591" s="1759"/>
      <c r="C591" s="1749"/>
      <c r="D591" s="1282"/>
      <c r="E591" s="1282"/>
      <c r="F591" s="1282"/>
    </row>
    <row r="592">
      <c r="A592" s="1758"/>
      <c r="B592" s="1759"/>
      <c r="C592" s="1749"/>
      <c r="D592" s="1282"/>
      <c r="E592" s="1282"/>
      <c r="F592" s="1282"/>
    </row>
    <row r="593">
      <c r="A593" s="1758"/>
      <c r="B593" s="1759"/>
      <c r="C593" s="1749"/>
      <c r="D593" s="1282"/>
      <c r="E593" s="1282"/>
      <c r="F593" s="1282"/>
    </row>
    <row r="594">
      <c r="A594" s="1758"/>
      <c r="B594" s="1759"/>
      <c r="C594" s="1749"/>
      <c r="D594" s="1282"/>
      <c r="E594" s="1282"/>
      <c r="F594" s="1282"/>
    </row>
    <row r="595">
      <c r="A595" s="1758"/>
      <c r="B595" s="1759"/>
      <c r="C595" s="1749"/>
      <c r="D595" s="1282"/>
      <c r="E595" s="1282"/>
      <c r="F595" s="1282"/>
    </row>
    <row r="596">
      <c r="A596" s="1758"/>
      <c r="B596" s="1759"/>
      <c r="C596" s="1749"/>
      <c r="D596" s="1282"/>
      <c r="E596" s="1282"/>
      <c r="F596" s="1282"/>
    </row>
    <row r="597">
      <c r="A597" s="1758"/>
      <c r="B597" s="1759"/>
      <c r="C597" s="1749"/>
      <c r="D597" s="1282"/>
      <c r="E597" s="1282"/>
      <c r="F597" s="1282"/>
    </row>
    <row r="598">
      <c r="A598" s="1758"/>
      <c r="B598" s="1759"/>
      <c r="C598" s="1749"/>
      <c r="D598" s="1282"/>
      <c r="E598" s="1282"/>
      <c r="F598" s="1282"/>
    </row>
    <row r="599">
      <c r="A599" s="1758"/>
      <c r="B599" s="1759"/>
      <c r="C599" s="1749"/>
      <c r="D599" s="1282"/>
      <c r="E599" s="1282"/>
      <c r="F599" s="1282"/>
    </row>
    <row r="600">
      <c r="A600" s="1758"/>
      <c r="B600" s="1759"/>
      <c r="C600" s="1749"/>
      <c r="D600" s="1282"/>
      <c r="E600" s="1282"/>
      <c r="F600" s="1282"/>
    </row>
    <row r="601">
      <c r="A601" s="1758"/>
      <c r="B601" s="1759"/>
      <c r="C601" s="1749"/>
      <c r="D601" s="1282"/>
      <c r="E601" s="1282"/>
      <c r="F601" s="1282"/>
    </row>
    <row r="602">
      <c r="A602" s="1758"/>
      <c r="B602" s="1759"/>
      <c r="C602" s="1749"/>
      <c r="D602" s="1282"/>
      <c r="E602" s="1282"/>
      <c r="F602" s="1282"/>
    </row>
    <row r="603">
      <c r="A603" s="1758"/>
      <c r="B603" s="1759"/>
      <c r="C603" s="1749"/>
      <c r="D603" s="1282"/>
      <c r="E603" s="1282"/>
      <c r="F603" s="1282"/>
    </row>
    <row r="604">
      <c r="A604" s="1758"/>
      <c r="B604" s="1759"/>
      <c r="C604" s="1749"/>
      <c r="D604" s="1282"/>
      <c r="E604" s="1282"/>
      <c r="F604" s="1282"/>
    </row>
    <row r="605">
      <c r="A605" s="1758"/>
      <c r="B605" s="1759"/>
      <c r="C605" s="1749"/>
      <c r="D605" s="1282"/>
      <c r="E605" s="1282"/>
      <c r="F605" s="1282"/>
    </row>
    <row r="606">
      <c r="A606" s="1758"/>
      <c r="B606" s="1759"/>
      <c r="C606" s="1749"/>
      <c r="D606" s="1282"/>
      <c r="E606" s="1282"/>
      <c r="F606" s="1282"/>
    </row>
    <row r="607">
      <c r="A607" s="1758"/>
      <c r="B607" s="1759"/>
      <c r="C607" s="1749"/>
      <c r="D607" s="1282"/>
      <c r="E607" s="1282"/>
      <c r="F607" s="1282"/>
    </row>
    <row r="608">
      <c r="A608" s="1758"/>
      <c r="B608" s="1759"/>
      <c r="C608" s="1749"/>
      <c r="D608" s="1282"/>
      <c r="E608" s="1282"/>
      <c r="F608" s="1282"/>
    </row>
    <row r="609">
      <c r="A609" s="1758"/>
      <c r="B609" s="1759"/>
      <c r="C609" s="1749"/>
      <c r="D609" s="1282"/>
      <c r="E609" s="1282"/>
      <c r="F609" s="1282"/>
    </row>
    <row r="610">
      <c r="A610" s="1758"/>
      <c r="B610" s="1759"/>
      <c r="C610" s="1749"/>
      <c r="D610" s="1282"/>
      <c r="E610" s="1282"/>
      <c r="F610" s="1282"/>
    </row>
    <row r="611">
      <c r="A611" s="1758"/>
      <c r="B611" s="1759"/>
      <c r="C611" s="1749"/>
      <c r="D611" s="1282"/>
      <c r="E611" s="1282"/>
      <c r="F611" s="1282"/>
    </row>
    <row r="612">
      <c r="A612" s="1758"/>
      <c r="B612" s="1759"/>
      <c r="C612" s="1749"/>
      <c r="D612" s="1282"/>
      <c r="E612" s="1282"/>
      <c r="F612" s="1282"/>
    </row>
    <row r="613">
      <c r="A613" s="1758"/>
      <c r="B613" s="1759"/>
      <c r="C613" s="1749"/>
      <c r="D613" s="1282"/>
      <c r="E613" s="1282"/>
      <c r="F613" s="1282"/>
    </row>
    <row r="614">
      <c r="A614" s="1758"/>
      <c r="B614" s="1759"/>
      <c r="C614" s="1749"/>
      <c r="D614" s="1282"/>
      <c r="E614" s="1282"/>
      <c r="F614" s="1282"/>
    </row>
    <row r="615">
      <c r="A615" s="1758"/>
      <c r="B615" s="1759"/>
      <c r="C615" s="1749"/>
      <c r="D615" s="1282"/>
      <c r="E615" s="1282"/>
      <c r="F615" s="1282"/>
    </row>
    <row r="616">
      <c r="A616" s="1758"/>
      <c r="B616" s="1759"/>
      <c r="C616" s="1749"/>
      <c r="D616" s="1282"/>
      <c r="E616" s="1282"/>
      <c r="F616" s="1282"/>
    </row>
    <row r="617">
      <c r="A617" s="1758"/>
      <c r="B617" s="1759"/>
      <c r="C617" s="1749"/>
      <c r="D617" s="1282"/>
      <c r="E617" s="1282"/>
      <c r="F617" s="1282"/>
    </row>
    <row r="618">
      <c r="A618" s="1758"/>
      <c r="B618" s="1759"/>
      <c r="C618" s="1749"/>
      <c r="D618" s="1282"/>
      <c r="E618" s="1282"/>
      <c r="F618" s="1282"/>
    </row>
    <row r="619">
      <c r="A619" s="1758"/>
      <c r="B619" s="1759"/>
      <c r="C619" s="1749"/>
      <c r="D619" s="1282"/>
      <c r="E619" s="1282"/>
      <c r="F619" s="1282"/>
    </row>
    <row r="620">
      <c r="A620" s="1758"/>
      <c r="B620" s="1759"/>
      <c r="C620" s="1749"/>
      <c r="D620" s="1282"/>
      <c r="E620" s="1282"/>
      <c r="F620" s="1282"/>
    </row>
    <row r="621">
      <c r="A621" s="1758"/>
      <c r="B621" s="1759"/>
      <c r="C621" s="1749"/>
      <c r="D621" s="1282"/>
      <c r="E621" s="1282"/>
      <c r="F621" s="1282"/>
    </row>
    <row r="622">
      <c r="A622" s="1758"/>
      <c r="B622" s="1759"/>
      <c r="C622" s="1749"/>
      <c r="D622" s="1282"/>
      <c r="E622" s="1282"/>
      <c r="F622" s="1282"/>
    </row>
    <row r="623">
      <c r="A623" s="1758"/>
      <c r="B623" s="1759"/>
      <c r="C623" s="1749"/>
      <c r="D623" s="1282"/>
      <c r="E623" s="1282"/>
      <c r="F623" s="1282"/>
    </row>
    <row r="624">
      <c r="A624" s="1758"/>
      <c r="B624" s="1759"/>
      <c r="C624" s="1749"/>
      <c r="D624" s="1282"/>
      <c r="E624" s="1282"/>
      <c r="F624" s="1282"/>
    </row>
    <row r="625">
      <c r="A625" s="1758"/>
      <c r="B625" s="1759"/>
      <c r="C625" s="1749"/>
      <c r="D625" s="1282"/>
      <c r="E625" s="1282"/>
      <c r="F625" s="1282"/>
    </row>
    <row r="626">
      <c r="A626" s="1758"/>
      <c r="B626" s="1759"/>
      <c r="C626" s="1749"/>
      <c r="D626" s="1282"/>
      <c r="E626" s="1282"/>
      <c r="F626" s="1282"/>
    </row>
    <row r="627">
      <c r="A627" s="1758"/>
      <c r="B627" s="1759"/>
      <c r="C627" s="1749"/>
      <c r="D627" s="1282"/>
      <c r="E627" s="1282"/>
      <c r="F627" s="1282"/>
    </row>
    <row r="628">
      <c r="A628" s="1758"/>
      <c r="B628" s="1759"/>
      <c r="C628" s="1749"/>
      <c r="D628" s="1282"/>
      <c r="E628" s="1282"/>
      <c r="F628" s="1282"/>
    </row>
    <row r="629">
      <c r="A629" s="1758"/>
      <c r="B629" s="1759"/>
      <c r="C629" s="1749"/>
      <c r="D629" s="1282"/>
      <c r="E629" s="1282"/>
      <c r="F629" s="1282"/>
    </row>
    <row r="630">
      <c r="A630" s="1758"/>
      <c r="B630" s="1759"/>
      <c r="C630" s="1749"/>
      <c r="D630" s="1282"/>
      <c r="E630" s="1282"/>
      <c r="F630" s="1282"/>
    </row>
    <row r="631">
      <c r="A631" s="1758"/>
      <c r="B631" s="1759"/>
      <c r="C631" s="1749"/>
      <c r="D631" s="1282"/>
      <c r="E631" s="1282"/>
      <c r="F631" s="1282"/>
    </row>
    <row r="632">
      <c r="A632" s="1758"/>
      <c r="B632" s="1759"/>
      <c r="C632" s="1749"/>
      <c r="D632" s="1282"/>
      <c r="E632" s="1282"/>
      <c r="F632" s="1282"/>
    </row>
    <row r="633">
      <c r="A633" s="1758"/>
      <c r="B633" s="1759"/>
      <c r="C633" s="1749"/>
      <c r="D633" s="1282"/>
      <c r="E633" s="1282"/>
      <c r="F633" s="1282"/>
    </row>
    <row r="634">
      <c r="A634" s="1758"/>
      <c r="B634" s="1759"/>
      <c r="C634" s="1749"/>
      <c r="D634" s="1282"/>
      <c r="E634" s="1282"/>
      <c r="F634" s="1282"/>
    </row>
    <row r="635">
      <c r="A635" s="1758"/>
      <c r="B635" s="1759"/>
      <c r="C635" s="1749"/>
      <c r="D635" s="1282"/>
      <c r="E635" s="1282"/>
      <c r="F635" s="1282"/>
    </row>
    <row r="636">
      <c r="A636" s="1758"/>
      <c r="B636" s="1759"/>
      <c r="C636" s="1749"/>
      <c r="D636" s="1282"/>
      <c r="E636" s="1282"/>
      <c r="F636" s="1282"/>
    </row>
    <row r="637">
      <c r="A637" s="1758"/>
      <c r="B637" s="1759"/>
      <c r="C637" s="1749"/>
      <c r="D637" s="1282"/>
      <c r="E637" s="1282"/>
      <c r="F637" s="1282"/>
    </row>
    <row r="638">
      <c r="A638" s="1758"/>
      <c r="B638" s="1759"/>
      <c r="C638" s="1749"/>
      <c r="D638" s="1282"/>
      <c r="E638" s="1282"/>
      <c r="F638" s="1282"/>
    </row>
    <row r="639">
      <c r="A639" s="1758"/>
      <c r="B639" s="1759"/>
      <c r="C639" s="1749"/>
      <c r="D639" s="1282"/>
      <c r="E639" s="1282"/>
      <c r="F639" s="1282"/>
    </row>
    <row r="640">
      <c r="A640" s="1758"/>
      <c r="B640" s="1759"/>
      <c r="C640" s="1749"/>
      <c r="D640" s="1282"/>
      <c r="E640" s="1282"/>
      <c r="F640" s="1282"/>
    </row>
    <row r="641">
      <c r="A641" s="1758"/>
      <c r="B641" s="1759"/>
      <c r="C641" s="1749"/>
      <c r="D641" s="1282"/>
      <c r="E641" s="1282"/>
      <c r="F641" s="1282"/>
    </row>
    <row r="642">
      <c r="A642" s="1758"/>
      <c r="B642" s="1759"/>
      <c r="C642" s="1749"/>
      <c r="D642" s="1282"/>
      <c r="E642" s="1282"/>
      <c r="F642" s="1282"/>
    </row>
    <row r="643">
      <c r="A643" s="1758"/>
      <c r="B643" s="1759"/>
      <c r="C643" s="1749"/>
      <c r="D643" s="1282"/>
      <c r="E643" s="1282"/>
      <c r="F643" s="1282"/>
    </row>
    <row r="644">
      <c r="A644" s="1758"/>
      <c r="B644" s="1759"/>
      <c r="C644" s="1749"/>
      <c r="D644" s="1282"/>
      <c r="E644" s="1282"/>
      <c r="F644" s="1282"/>
    </row>
    <row r="645">
      <c r="A645" s="1758"/>
      <c r="B645" s="1759"/>
      <c r="C645" s="1749"/>
      <c r="D645" s="1282"/>
      <c r="E645" s="1282"/>
      <c r="F645" s="1282"/>
    </row>
    <row r="646">
      <c r="A646" s="1758"/>
      <c r="B646" s="1759"/>
      <c r="C646" s="1749"/>
      <c r="D646" s="1282"/>
      <c r="E646" s="1282"/>
      <c r="F646" s="1282"/>
    </row>
    <row r="647">
      <c r="A647" s="1758"/>
      <c r="B647" s="1759"/>
      <c r="C647" s="1749"/>
      <c r="D647" s="1282"/>
      <c r="E647" s="1282"/>
      <c r="F647" s="1282"/>
    </row>
    <row r="648">
      <c r="A648" s="1758"/>
      <c r="B648" s="1759"/>
      <c r="C648" s="1749"/>
      <c r="D648" s="1282"/>
      <c r="E648" s="1282"/>
      <c r="F648" s="1282"/>
    </row>
    <row r="649">
      <c r="A649" s="1758"/>
      <c r="B649" s="1759"/>
      <c r="C649" s="1749"/>
      <c r="D649" s="1282"/>
      <c r="E649" s="1282"/>
      <c r="F649" s="1282"/>
    </row>
    <row r="650">
      <c r="A650" s="1758"/>
      <c r="B650" s="1759"/>
      <c r="C650" s="1749"/>
      <c r="D650" s="1282"/>
      <c r="E650" s="1282"/>
      <c r="F650" s="1282"/>
    </row>
    <row r="651">
      <c r="A651" s="1758"/>
      <c r="B651" s="1759"/>
      <c r="C651" s="1749"/>
      <c r="D651" s="1282"/>
      <c r="E651" s="1282"/>
      <c r="F651" s="1282"/>
    </row>
    <row r="652">
      <c r="A652" s="1758"/>
      <c r="B652" s="1759"/>
      <c r="C652" s="1749"/>
      <c r="D652" s="1282"/>
      <c r="E652" s="1282"/>
      <c r="F652" s="1282"/>
    </row>
    <row r="653">
      <c r="A653" s="1758"/>
      <c r="B653" s="1759"/>
      <c r="C653" s="1749"/>
      <c r="D653" s="1282"/>
      <c r="E653" s="1282"/>
      <c r="F653" s="1282"/>
    </row>
    <row r="654">
      <c r="A654" s="1758"/>
      <c r="B654" s="1759"/>
      <c r="C654" s="1749"/>
      <c r="D654" s="1282"/>
      <c r="E654" s="1282"/>
      <c r="F654" s="1282"/>
    </row>
    <row r="655">
      <c r="A655" s="1758"/>
      <c r="B655" s="1759"/>
      <c r="C655" s="1749"/>
      <c r="D655" s="1282"/>
      <c r="E655" s="1282"/>
      <c r="F655" s="1282"/>
    </row>
    <row r="656">
      <c r="A656" s="1758"/>
      <c r="B656" s="1759"/>
      <c r="C656" s="1749"/>
      <c r="D656" s="1282"/>
      <c r="E656" s="1282"/>
      <c r="F656" s="1282"/>
    </row>
    <row r="657">
      <c r="A657" s="1758"/>
      <c r="B657" s="1759"/>
      <c r="C657" s="1749"/>
      <c r="D657" s="1282"/>
      <c r="E657" s="1282"/>
      <c r="F657" s="1282"/>
    </row>
    <row r="658">
      <c r="A658" s="1758"/>
      <c r="B658" s="1759"/>
      <c r="C658" s="1749"/>
      <c r="D658" s="1282"/>
      <c r="E658" s="1282"/>
      <c r="F658" s="1282"/>
    </row>
    <row r="659">
      <c r="A659" s="1758"/>
      <c r="B659" s="1759"/>
      <c r="C659" s="1749"/>
      <c r="D659" s="1282"/>
      <c r="E659" s="1282"/>
      <c r="F659" s="1282"/>
    </row>
    <row r="660">
      <c r="A660" s="1758"/>
      <c r="B660" s="1759"/>
      <c r="C660" s="1749"/>
      <c r="D660" s="1282"/>
      <c r="E660" s="1282"/>
      <c r="F660" s="1282"/>
    </row>
    <row r="661">
      <c r="A661" s="1758"/>
      <c r="B661" s="1759"/>
      <c r="C661" s="1749"/>
      <c r="D661" s="1282"/>
      <c r="E661" s="1282"/>
      <c r="F661" s="1282"/>
    </row>
    <row r="662">
      <c r="A662" s="1758"/>
      <c r="B662" s="1759"/>
      <c r="C662" s="1749"/>
      <c r="D662" s="1282"/>
      <c r="E662" s="1282"/>
      <c r="F662" s="1282"/>
    </row>
    <row r="663">
      <c r="A663" s="1758"/>
      <c r="B663" s="1759"/>
      <c r="C663" s="1749"/>
      <c r="D663" s="1282"/>
      <c r="E663" s="1282"/>
      <c r="F663" s="1282"/>
    </row>
    <row r="664">
      <c r="A664" s="1758"/>
      <c r="B664" s="1759"/>
      <c r="C664" s="1749"/>
      <c r="D664" s="1282"/>
      <c r="E664" s="1282"/>
      <c r="F664" s="1282"/>
    </row>
    <row r="665">
      <c r="A665" s="1758"/>
      <c r="B665" s="1759"/>
      <c r="C665" s="1749"/>
      <c r="D665" s="1282"/>
      <c r="E665" s="1282"/>
      <c r="F665" s="1282"/>
    </row>
    <row r="666">
      <c r="A666" s="1758"/>
      <c r="B666" s="1759"/>
      <c r="C666" s="1749"/>
      <c r="D666" s="1282"/>
      <c r="E666" s="1282"/>
      <c r="F666" s="1282"/>
    </row>
    <row r="667">
      <c r="A667" s="1758"/>
      <c r="B667" s="1759"/>
      <c r="C667" s="1749"/>
      <c r="D667" s="1282"/>
      <c r="E667" s="1282"/>
      <c r="F667" s="1282"/>
    </row>
    <row r="668">
      <c r="A668" s="1758"/>
      <c r="B668" s="1759"/>
      <c r="C668" s="1749"/>
      <c r="D668" s="1282"/>
      <c r="E668" s="1282"/>
      <c r="F668" s="1282"/>
    </row>
    <row r="669">
      <c r="A669" s="1758"/>
      <c r="B669" s="1759"/>
      <c r="C669" s="1749"/>
      <c r="D669" s="1282"/>
      <c r="E669" s="1282"/>
      <c r="F669" s="1282"/>
    </row>
    <row r="670">
      <c r="A670" s="1758"/>
      <c r="B670" s="1759"/>
      <c r="C670" s="1749"/>
      <c r="D670" s="1282"/>
      <c r="E670" s="1282"/>
      <c r="F670" s="1282"/>
    </row>
    <row r="671">
      <c r="A671" s="1758"/>
      <c r="B671" s="1759"/>
      <c r="C671" s="1749"/>
      <c r="D671" s="1282"/>
      <c r="E671" s="1282"/>
      <c r="F671" s="1282"/>
    </row>
    <row r="672">
      <c r="A672" s="1758"/>
      <c r="B672" s="1759"/>
      <c r="C672" s="1749"/>
      <c r="D672" s="1282"/>
      <c r="E672" s="1282"/>
      <c r="F672" s="1282"/>
    </row>
    <row r="673">
      <c r="A673" s="1758"/>
      <c r="B673" s="1759"/>
      <c r="C673" s="1749"/>
      <c r="D673" s="1282"/>
      <c r="E673" s="1282"/>
      <c r="F673" s="1282"/>
    </row>
    <row r="674">
      <c r="A674" s="1758"/>
      <c r="B674" s="1759"/>
      <c r="C674" s="1749"/>
      <c r="D674" s="1282"/>
      <c r="E674" s="1282"/>
      <c r="F674" s="1282"/>
    </row>
    <row r="675">
      <c r="A675" s="1758"/>
      <c r="B675" s="1759"/>
      <c r="C675" s="1749"/>
      <c r="D675" s="1282"/>
      <c r="E675" s="1282"/>
      <c r="F675" s="1282"/>
    </row>
    <row r="676">
      <c r="A676" s="1758"/>
      <c r="B676" s="1759"/>
      <c r="C676" s="1749"/>
      <c r="D676" s="1282"/>
      <c r="E676" s="1282"/>
      <c r="F676" s="1282"/>
    </row>
    <row r="677">
      <c r="A677" s="1758"/>
      <c r="B677" s="1759"/>
      <c r="C677" s="1749"/>
      <c r="D677" s="1282"/>
      <c r="E677" s="1282"/>
      <c r="F677" s="1282"/>
    </row>
    <row r="678">
      <c r="A678" s="1758"/>
      <c r="B678" s="1759"/>
      <c r="C678" s="1749"/>
      <c r="D678" s="1282"/>
      <c r="E678" s="1282"/>
      <c r="F678" s="1282"/>
    </row>
    <row r="679">
      <c r="A679" s="1758"/>
      <c r="B679" s="1759"/>
      <c r="C679" s="1749"/>
      <c r="D679" s="1282"/>
      <c r="E679" s="1282"/>
      <c r="F679" s="1282"/>
    </row>
    <row r="680">
      <c r="A680" s="1758"/>
      <c r="B680" s="1759"/>
      <c r="C680" s="1749"/>
      <c r="D680" s="1282"/>
      <c r="E680" s="1282"/>
      <c r="F680" s="1282"/>
    </row>
    <row r="681">
      <c r="A681" s="1758"/>
      <c r="B681" s="1759"/>
      <c r="C681" s="1749"/>
      <c r="D681" s="1282"/>
      <c r="E681" s="1282"/>
      <c r="F681" s="1282"/>
    </row>
    <row r="682">
      <c r="A682" s="1758"/>
      <c r="B682" s="1759"/>
      <c r="C682" s="1749"/>
      <c r="D682" s="1282"/>
      <c r="E682" s="1282"/>
      <c r="F682" s="1282"/>
    </row>
    <row r="683">
      <c r="A683" s="1758"/>
      <c r="B683" s="1759"/>
      <c r="C683" s="1749"/>
      <c r="D683" s="1282"/>
      <c r="E683" s="1282"/>
      <c r="F683" s="1282"/>
    </row>
    <row r="684">
      <c r="A684" s="1758"/>
      <c r="B684" s="1759"/>
      <c r="C684" s="1749"/>
      <c r="D684" s="1282"/>
      <c r="E684" s="1282"/>
      <c r="F684" s="1282"/>
    </row>
    <row r="685">
      <c r="A685" s="1758"/>
      <c r="B685" s="1759"/>
      <c r="C685" s="1749"/>
      <c r="D685" s="1282"/>
      <c r="E685" s="1282"/>
      <c r="F685" s="1282"/>
    </row>
    <row r="686">
      <c r="A686" s="1758"/>
      <c r="B686" s="1759"/>
      <c r="C686" s="1749"/>
      <c r="D686" s="1282"/>
      <c r="E686" s="1282"/>
      <c r="F686" s="1282"/>
    </row>
    <row r="687">
      <c r="A687" s="1758"/>
      <c r="B687" s="1759"/>
      <c r="C687" s="1749"/>
      <c r="D687" s="1282"/>
      <c r="E687" s="1282"/>
      <c r="F687" s="1282"/>
    </row>
    <row r="688">
      <c r="A688" s="1758"/>
      <c r="B688" s="1759"/>
      <c r="C688" s="1749"/>
      <c r="D688" s="1282"/>
      <c r="E688" s="1282"/>
      <c r="F688" s="1282"/>
    </row>
    <row r="689">
      <c r="A689" s="1758"/>
      <c r="B689" s="1759"/>
      <c r="C689" s="1749"/>
      <c r="D689" s="1282"/>
      <c r="E689" s="1282"/>
      <c r="F689" s="1282"/>
    </row>
    <row r="690">
      <c r="A690" s="1758"/>
      <c r="B690" s="1759"/>
      <c r="C690" s="1749"/>
      <c r="D690" s="1282"/>
      <c r="E690" s="1282"/>
      <c r="F690" s="1282"/>
    </row>
    <row r="691">
      <c r="A691" s="1758"/>
      <c r="B691" s="1759"/>
      <c r="C691" s="1749"/>
      <c r="D691" s="1282"/>
      <c r="E691" s="1282"/>
      <c r="F691" s="1282"/>
    </row>
    <row r="692">
      <c r="A692" s="1758"/>
      <c r="B692" s="1759"/>
      <c r="C692" s="1749"/>
      <c r="D692" s="1282"/>
      <c r="E692" s="1282"/>
      <c r="F692" s="1282"/>
    </row>
    <row r="693">
      <c r="A693" s="1758"/>
      <c r="B693" s="1759"/>
      <c r="C693" s="1749"/>
      <c r="D693" s="1282"/>
      <c r="E693" s="1282"/>
      <c r="F693" s="1282"/>
    </row>
    <row r="694">
      <c r="A694" s="1758"/>
      <c r="B694" s="1759"/>
      <c r="C694" s="1749"/>
      <c r="D694" s="1282"/>
      <c r="E694" s="1282"/>
      <c r="F694" s="1282"/>
    </row>
    <row r="695">
      <c r="A695" s="1758"/>
      <c r="B695" s="1759"/>
      <c r="C695" s="1749"/>
      <c r="D695" s="1282"/>
      <c r="E695" s="1282"/>
      <c r="F695" s="1282"/>
    </row>
    <row r="696">
      <c r="A696" s="1758"/>
      <c r="B696" s="1759"/>
      <c r="C696" s="1749"/>
      <c r="D696" s="1282"/>
      <c r="E696" s="1282"/>
      <c r="F696" s="1282"/>
    </row>
    <row r="697">
      <c r="A697" s="1758"/>
      <c r="B697" s="1759"/>
      <c r="C697" s="1749"/>
      <c r="D697" s="1282"/>
      <c r="E697" s="1282"/>
      <c r="F697" s="1282"/>
    </row>
    <row r="698">
      <c r="A698" s="1758"/>
      <c r="B698" s="1759"/>
      <c r="C698" s="1749"/>
      <c r="D698" s="1282"/>
      <c r="E698" s="1282"/>
      <c r="F698" s="1282"/>
    </row>
    <row r="699">
      <c r="A699" s="1758"/>
      <c r="B699" s="1759"/>
      <c r="C699" s="1749"/>
      <c r="D699" s="1282"/>
      <c r="E699" s="1282"/>
      <c r="F699" s="1282"/>
    </row>
    <row r="700">
      <c r="A700" s="1758"/>
      <c r="B700" s="1759"/>
      <c r="C700" s="1749"/>
      <c r="D700" s="1282"/>
      <c r="E700" s="1282"/>
      <c r="F700" s="1282"/>
    </row>
    <row r="701">
      <c r="A701" s="1758"/>
      <c r="B701" s="1759"/>
      <c r="C701" s="1749"/>
      <c r="D701" s="1282"/>
      <c r="E701" s="1282"/>
      <c r="F701" s="1282"/>
    </row>
    <row r="702">
      <c r="A702" s="1758"/>
      <c r="B702" s="1759"/>
      <c r="C702" s="1749"/>
      <c r="D702" s="1282"/>
      <c r="E702" s="1282"/>
      <c r="F702" s="1282"/>
    </row>
    <row r="703">
      <c r="A703" s="1758"/>
      <c r="B703" s="1759"/>
      <c r="C703" s="1749"/>
      <c r="D703" s="1282"/>
      <c r="E703" s="1282"/>
      <c r="F703" s="1282"/>
    </row>
    <row r="704">
      <c r="A704" s="1758"/>
      <c r="B704" s="1759"/>
      <c r="C704" s="1749"/>
      <c r="D704" s="1282"/>
      <c r="E704" s="1282"/>
      <c r="F704" s="1282"/>
    </row>
    <row r="705">
      <c r="A705" s="1758"/>
      <c r="B705" s="1759"/>
      <c r="C705" s="1749"/>
      <c r="D705" s="1282"/>
      <c r="E705" s="1282"/>
      <c r="F705" s="1282"/>
    </row>
    <row r="706">
      <c r="A706" s="1758"/>
      <c r="B706" s="1759"/>
      <c r="C706" s="1749"/>
      <c r="D706" s="1282"/>
      <c r="E706" s="1282"/>
      <c r="F706" s="1282"/>
    </row>
    <row r="707">
      <c r="A707" s="1758"/>
      <c r="B707" s="1759"/>
      <c r="C707" s="1749"/>
      <c r="D707" s="1282"/>
      <c r="E707" s="1282"/>
      <c r="F707" s="1282"/>
    </row>
    <row r="708">
      <c r="A708" s="1758"/>
      <c r="B708" s="1759"/>
      <c r="C708" s="1749"/>
      <c r="D708" s="1282"/>
      <c r="E708" s="1282"/>
      <c r="F708" s="1282"/>
    </row>
    <row r="709">
      <c r="A709" s="1758"/>
      <c r="B709" s="1759"/>
      <c r="C709" s="1749"/>
      <c r="D709" s="1282"/>
      <c r="E709" s="1282"/>
      <c r="F709" s="1282"/>
    </row>
    <row r="710">
      <c r="A710" s="1758"/>
      <c r="B710" s="1759"/>
      <c r="C710" s="1749"/>
      <c r="D710" s="1282"/>
      <c r="E710" s="1282"/>
      <c r="F710" s="1282"/>
    </row>
    <row r="711">
      <c r="A711" s="1758"/>
      <c r="B711" s="1759"/>
      <c r="C711" s="1749"/>
      <c r="D711" s="1282"/>
      <c r="E711" s="1282"/>
      <c r="F711" s="1282"/>
    </row>
    <row r="712">
      <c r="A712" s="1758"/>
      <c r="B712" s="1759"/>
      <c r="C712" s="1749"/>
      <c r="D712" s="1282"/>
      <c r="E712" s="1282"/>
      <c r="F712" s="1282"/>
    </row>
    <row r="713">
      <c r="A713" s="1758"/>
      <c r="B713" s="1759"/>
      <c r="C713" s="1749"/>
      <c r="D713" s="1282"/>
      <c r="E713" s="1282"/>
      <c r="F713" s="1282"/>
    </row>
    <row r="714">
      <c r="A714" s="1758"/>
      <c r="B714" s="1759"/>
      <c r="C714" s="1749"/>
      <c r="D714" s="1282"/>
      <c r="E714" s="1282"/>
      <c r="F714" s="1282"/>
    </row>
    <row r="715">
      <c r="A715" s="1758"/>
      <c r="B715" s="1759"/>
      <c r="C715" s="1749"/>
      <c r="D715" s="1282"/>
      <c r="E715" s="1282"/>
      <c r="F715" s="1282"/>
    </row>
    <row r="716">
      <c r="A716" s="1758"/>
      <c r="B716" s="1759"/>
      <c r="C716" s="1749"/>
      <c r="D716" s="1282"/>
      <c r="E716" s="1282"/>
      <c r="F716" s="1282"/>
    </row>
    <row r="717">
      <c r="A717" s="1758"/>
      <c r="B717" s="1759"/>
      <c r="C717" s="1749"/>
      <c r="D717" s="1282"/>
      <c r="E717" s="1282"/>
      <c r="F717" s="1282"/>
    </row>
    <row r="718">
      <c r="A718" s="1758"/>
      <c r="B718" s="1759"/>
      <c r="C718" s="1749"/>
      <c r="D718" s="1282"/>
      <c r="E718" s="1282"/>
      <c r="F718" s="1282"/>
    </row>
    <row r="719">
      <c r="A719" s="1758"/>
      <c r="B719" s="1759"/>
      <c r="C719" s="1749"/>
      <c r="D719" s="1282"/>
      <c r="E719" s="1282"/>
      <c r="F719" s="1282"/>
    </row>
    <row r="720">
      <c r="A720" s="1758"/>
      <c r="B720" s="1759"/>
      <c r="C720" s="1749"/>
      <c r="D720" s="1282"/>
      <c r="E720" s="1282"/>
      <c r="F720" s="1282"/>
    </row>
    <row r="721">
      <c r="A721" s="1758"/>
      <c r="B721" s="1759"/>
      <c r="C721" s="1749"/>
      <c r="D721" s="1282"/>
      <c r="E721" s="1282"/>
      <c r="F721" s="1282"/>
    </row>
    <row r="722">
      <c r="A722" s="1758"/>
      <c r="B722" s="1759"/>
      <c r="C722" s="1749"/>
      <c r="D722" s="1282"/>
      <c r="E722" s="1282"/>
      <c r="F722" s="1282"/>
    </row>
    <row r="723">
      <c r="A723" s="1758"/>
      <c r="B723" s="1759"/>
      <c r="C723" s="1749"/>
      <c r="D723" s="1282"/>
      <c r="E723" s="1282"/>
      <c r="F723" s="1282"/>
    </row>
    <row r="724">
      <c r="A724" s="1758"/>
      <c r="B724" s="1759"/>
      <c r="C724" s="1749"/>
      <c r="D724" s="1282"/>
      <c r="E724" s="1282"/>
      <c r="F724" s="1282"/>
    </row>
    <row r="725">
      <c r="A725" s="1758"/>
      <c r="B725" s="1759"/>
      <c r="C725" s="1749"/>
      <c r="D725" s="1282"/>
      <c r="E725" s="1282"/>
      <c r="F725" s="1282"/>
    </row>
    <row r="726">
      <c r="A726" s="1758"/>
      <c r="B726" s="1759"/>
      <c r="C726" s="1749"/>
      <c r="D726" s="1282"/>
      <c r="E726" s="1282"/>
      <c r="F726" s="1282"/>
    </row>
    <row r="727">
      <c r="A727" s="1758"/>
      <c r="B727" s="1759"/>
      <c r="C727" s="1749"/>
      <c r="D727" s="1282"/>
      <c r="E727" s="1282"/>
      <c r="F727" s="1282"/>
    </row>
    <row r="728">
      <c r="A728" s="1758"/>
      <c r="B728" s="1759"/>
      <c r="C728" s="1749"/>
      <c r="D728" s="1282"/>
      <c r="E728" s="1282"/>
      <c r="F728" s="1282"/>
    </row>
    <row r="729">
      <c r="A729" s="1758"/>
      <c r="B729" s="1759"/>
      <c r="C729" s="1749"/>
      <c r="D729" s="1282"/>
      <c r="E729" s="1282"/>
      <c r="F729" s="1282"/>
    </row>
    <row r="730">
      <c r="A730" s="1758"/>
      <c r="B730" s="1759"/>
      <c r="C730" s="1749"/>
      <c r="D730" s="1282"/>
      <c r="E730" s="1282"/>
      <c r="F730" s="1282"/>
    </row>
    <row r="731">
      <c r="A731" s="1758"/>
      <c r="B731" s="1759"/>
      <c r="C731" s="1749"/>
      <c r="D731" s="1282"/>
      <c r="E731" s="1282"/>
      <c r="F731" s="1282"/>
    </row>
    <row r="732">
      <c r="A732" s="1758"/>
      <c r="B732" s="1759"/>
      <c r="C732" s="1749"/>
      <c r="D732" s="1282"/>
      <c r="E732" s="1282"/>
      <c r="F732" s="1282"/>
    </row>
    <row r="733">
      <c r="A733" s="1758"/>
      <c r="B733" s="1759"/>
      <c r="C733" s="1749"/>
      <c r="D733" s="1282"/>
      <c r="E733" s="1282"/>
      <c r="F733" s="1282"/>
    </row>
    <row r="734">
      <c r="A734" s="1758"/>
      <c r="B734" s="1759"/>
      <c r="C734" s="1749"/>
      <c r="D734" s="1282"/>
      <c r="E734" s="1282"/>
      <c r="F734" s="1282"/>
    </row>
    <row r="735">
      <c r="A735" s="1758"/>
      <c r="B735" s="1759"/>
      <c r="C735" s="1749"/>
      <c r="D735" s="1282"/>
      <c r="E735" s="1282"/>
      <c r="F735" s="1282"/>
    </row>
    <row r="736">
      <c r="A736" s="1758"/>
      <c r="B736" s="1759"/>
      <c r="C736" s="1749"/>
      <c r="D736" s="1282"/>
      <c r="E736" s="1282"/>
      <c r="F736" s="1282"/>
    </row>
    <row r="737">
      <c r="A737" s="1758"/>
      <c r="B737" s="1759"/>
      <c r="C737" s="1749"/>
      <c r="D737" s="1282"/>
      <c r="E737" s="1282"/>
      <c r="F737" s="1282"/>
    </row>
    <row r="738">
      <c r="A738" s="1758"/>
      <c r="B738" s="1759"/>
      <c r="C738" s="1749"/>
      <c r="D738" s="1282"/>
      <c r="E738" s="1282"/>
      <c r="F738" s="1282"/>
    </row>
    <row r="739">
      <c r="A739" s="1758"/>
      <c r="B739" s="1759"/>
      <c r="C739" s="1749"/>
      <c r="D739" s="1282"/>
      <c r="E739" s="1282"/>
      <c r="F739" s="1282"/>
    </row>
    <row r="740">
      <c r="A740" s="1758"/>
      <c r="B740" s="1759"/>
      <c r="C740" s="1749"/>
      <c r="D740" s="1282"/>
      <c r="E740" s="1282"/>
      <c r="F740" s="1282"/>
    </row>
    <row r="741">
      <c r="A741" s="1758"/>
      <c r="B741" s="1759"/>
      <c r="C741" s="1749"/>
      <c r="D741" s="1282"/>
      <c r="E741" s="1282"/>
      <c r="F741" s="1282"/>
    </row>
    <row r="742">
      <c r="A742" s="1758"/>
      <c r="B742" s="1759"/>
      <c r="C742" s="1749"/>
      <c r="D742" s="1282"/>
      <c r="E742" s="1282"/>
      <c r="F742" s="1282"/>
    </row>
    <row r="743">
      <c r="A743" s="1758"/>
      <c r="B743" s="1759"/>
      <c r="C743" s="1749"/>
      <c r="D743" s="1282"/>
      <c r="E743" s="1282"/>
      <c r="F743" s="1282"/>
    </row>
    <row r="744">
      <c r="A744" s="1758"/>
      <c r="B744" s="1759"/>
      <c r="C744" s="1749"/>
      <c r="D744" s="1282"/>
      <c r="E744" s="1282"/>
      <c r="F744" s="1282"/>
    </row>
    <row r="745">
      <c r="A745" s="1758"/>
      <c r="B745" s="1759"/>
      <c r="C745" s="1749"/>
      <c r="D745" s="1282"/>
      <c r="E745" s="1282"/>
      <c r="F745" s="1282"/>
    </row>
    <row r="746">
      <c r="A746" s="1758"/>
      <c r="B746" s="1759"/>
      <c r="C746" s="1749"/>
      <c r="D746" s="1282"/>
      <c r="E746" s="1282"/>
      <c r="F746" s="1282"/>
    </row>
    <row r="747">
      <c r="A747" s="1758"/>
      <c r="B747" s="1759"/>
      <c r="C747" s="1749"/>
      <c r="D747" s="1282"/>
      <c r="E747" s="1282"/>
      <c r="F747" s="1282"/>
    </row>
    <row r="748">
      <c r="A748" s="1758"/>
      <c r="B748" s="1759"/>
      <c r="C748" s="1749"/>
      <c r="D748" s="1282"/>
      <c r="E748" s="1282"/>
      <c r="F748" s="1282"/>
    </row>
    <row r="749">
      <c r="A749" s="1758"/>
      <c r="B749" s="1759"/>
      <c r="C749" s="1749"/>
      <c r="D749" s="1282"/>
      <c r="E749" s="1282"/>
      <c r="F749" s="1282"/>
    </row>
    <row r="750">
      <c r="A750" s="1758"/>
      <c r="B750" s="1759"/>
      <c r="C750" s="1749"/>
      <c r="D750" s="1282"/>
      <c r="E750" s="1282"/>
      <c r="F750" s="1282"/>
    </row>
    <row r="751">
      <c r="A751" s="1758"/>
      <c r="B751" s="1759"/>
      <c r="C751" s="1749"/>
      <c r="D751" s="1282"/>
      <c r="E751" s="1282"/>
      <c r="F751" s="1282"/>
    </row>
    <row r="752">
      <c r="A752" s="1758"/>
      <c r="B752" s="1759"/>
      <c r="C752" s="1749"/>
      <c r="D752" s="1282"/>
      <c r="E752" s="1282"/>
      <c r="F752" s="1282"/>
    </row>
    <row r="753">
      <c r="A753" s="1758"/>
      <c r="B753" s="1759"/>
      <c r="C753" s="1749"/>
      <c r="D753" s="1282"/>
      <c r="E753" s="1282"/>
      <c r="F753" s="1282"/>
    </row>
    <row r="754">
      <c r="A754" s="1758"/>
      <c r="B754" s="1759"/>
      <c r="C754" s="1749"/>
      <c r="D754" s="1282"/>
      <c r="E754" s="1282"/>
      <c r="F754" s="1282"/>
    </row>
    <row r="755">
      <c r="A755" s="1758"/>
      <c r="B755" s="1759"/>
      <c r="C755" s="1749"/>
      <c r="D755" s="1282"/>
      <c r="E755" s="1282"/>
      <c r="F755" s="1282"/>
    </row>
    <row r="756">
      <c r="A756" s="1758"/>
      <c r="B756" s="1759"/>
      <c r="C756" s="1749"/>
      <c r="D756" s="1282"/>
      <c r="E756" s="1282"/>
      <c r="F756" s="1282"/>
    </row>
    <row r="757">
      <c r="A757" s="1758"/>
      <c r="B757" s="1759"/>
      <c r="C757" s="1749"/>
      <c r="D757" s="1282"/>
      <c r="E757" s="1282"/>
      <c r="F757" s="1282"/>
    </row>
    <row r="758">
      <c r="A758" s="1758"/>
      <c r="B758" s="1759"/>
      <c r="C758" s="1749"/>
      <c r="D758" s="1282"/>
      <c r="E758" s="1282"/>
      <c r="F758" s="1282"/>
    </row>
    <row r="759">
      <c r="A759" s="1758"/>
      <c r="B759" s="1759"/>
      <c r="C759" s="1749"/>
      <c r="D759" s="1282"/>
      <c r="E759" s="1282"/>
      <c r="F759" s="1282"/>
    </row>
    <row r="760">
      <c r="A760" s="1758"/>
      <c r="B760" s="1759"/>
      <c r="C760" s="1749"/>
      <c r="D760" s="1282"/>
      <c r="E760" s="1282"/>
      <c r="F760" s="1282"/>
    </row>
    <row r="761">
      <c r="A761" s="1758"/>
      <c r="B761" s="1759"/>
      <c r="C761" s="1749"/>
      <c r="D761" s="1282"/>
      <c r="E761" s="1282"/>
      <c r="F761" s="1282"/>
    </row>
    <row r="762">
      <c r="A762" s="1758"/>
      <c r="B762" s="1759"/>
      <c r="C762" s="1749"/>
      <c r="D762" s="1282"/>
      <c r="E762" s="1282"/>
      <c r="F762" s="1282"/>
    </row>
    <row r="763">
      <c r="A763" s="1758"/>
      <c r="B763" s="1759"/>
      <c r="C763" s="1749"/>
      <c r="D763" s="1282"/>
      <c r="E763" s="1282"/>
      <c r="F763" s="1282"/>
    </row>
    <row r="764">
      <c r="A764" s="1758"/>
      <c r="B764" s="1759"/>
      <c r="C764" s="1749"/>
      <c r="D764" s="1282"/>
      <c r="E764" s="1282"/>
      <c r="F764" s="1282"/>
    </row>
    <row r="765">
      <c r="A765" s="1758"/>
      <c r="B765" s="1759"/>
      <c r="C765" s="1749"/>
      <c r="D765" s="1282"/>
      <c r="E765" s="1282"/>
      <c r="F765" s="1282"/>
    </row>
    <row r="766">
      <c r="A766" s="1758"/>
      <c r="B766" s="1759"/>
      <c r="C766" s="1749"/>
      <c r="D766" s="1282"/>
      <c r="E766" s="1282"/>
      <c r="F766" s="1282"/>
    </row>
    <row r="767">
      <c r="A767" s="1758"/>
      <c r="B767" s="1759"/>
      <c r="C767" s="1749"/>
      <c r="D767" s="1282"/>
      <c r="E767" s="1282"/>
      <c r="F767" s="1282"/>
    </row>
    <row r="768">
      <c r="A768" s="1758"/>
      <c r="B768" s="1759"/>
      <c r="C768" s="1749"/>
      <c r="D768" s="1282"/>
      <c r="E768" s="1282"/>
      <c r="F768" s="1282"/>
    </row>
    <row r="769">
      <c r="A769" s="1758"/>
      <c r="B769" s="1759"/>
      <c r="C769" s="1749"/>
      <c r="D769" s="1282"/>
      <c r="E769" s="1282"/>
      <c r="F769" s="1282"/>
    </row>
    <row r="770">
      <c r="A770" s="1758"/>
      <c r="B770" s="1759"/>
      <c r="C770" s="1749"/>
      <c r="D770" s="1282"/>
      <c r="E770" s="1282"/>
      <c r="F770" s="1282"/>
    </row>
    <row r="771">
      <c r="A771" s="1758"/>
      <c r="B771" s="1759"/>
      <c r="C771" s="1749"/>
      <c r="D771" s="1282"/>
      <c r="E771" s="1282"/>
      <c r="F771" s="1282"/>
    </row>
    <row r="772">
      <c r="A772" s="1758"/>
      <c r="B772" s="1759"/>
      <c r="C772" s="1749"/>
      <c r="D772" s="1282"/>
      <c r="E772" s="1282"/>
      <c r="F772" s="1282"/>
    </row>
    <row r="773">
      <c r="A773" s="1758"/>
      <c r="B773" s="1759"/>
      <c r="C773" s="1749"/>
      <c r="D773" s="1282"/>
      <c r="E773" s="1282"/>
      <c r="F773" s="1282"/>
    </row>
    <row r="774">
      <c r="A774" s="1758"/>
      <c r="B774" s="1759"/>
      <c r="C774" s="1749"/>
      <c r="D774" s="1282"/>
      <c r="E774" s="1282"/>
      <c r="F774" s="1282"/>
    </row>
    <row r="775">
      <c r="A775" s="1758"/>
      <c r="B775" s="1759"/>
      <c r="C775" s="1749"/>
      <c r="D775" s="1282"/>
      <c r="E775" s="1282"/>
      <c r="F775" s="1282"/>
    </row>
    <row r="776">
      <c r="A776" s="1758"/>
      <c r="B776" s="1759"/>
      <c r="C776" s="1749"/>
      <c r="D776" s="1282"/>
      <c r="E776" s="1282"/>
      <c r="F776" s="1282"/>
    </row>
    <row r="777">
      <c r="A777" s="1758"/>
      <c r="B777" s="1759"/>
      <c r="C777" s="1749"/>
      <c r="D777" s="1282"/>
      <c r="E777" s="1282"/>
      <c r="F777" s="1282"/>
    </row>
    <row r="778">
      <c r="A778" s="1758"/>
      <c r="B778" s="1759"/>
      <c r="C778" s="1749"/>
      <c r="D778" s="1282"/>
      <c r="E778" s="1282"/>
      <c r="F778" s="1282"/>
    </row>
    <row r="779">
      <c r="A779" s="1758"/>
      <c r="B779" s="1759"/>
      <c r="C779" s="1749"/>
      <c r="D779" s="1282"/>
      <c r="E779" s="1282"/>
      <c r="F779" s="1282"/>
    </row>
    <row r="780">
      <c r="A780" s="1758"/>
      <c r="B780" s="1759"/>
      <c r="C780" s="1749"/>
      <c r="D780" s="1282"/>
      <c r="E780" s="1282"/>
      <c r="F780" s="1282"/>
    </row>
    <row r="781">
      <c r="A781" s="1758"/>
      <c r="B781" s="1759"/>
      <c r="C781" s="1749"/>
      <c r="D781" s="1282"/>
      <c r="E781" s="1282"/>
      <c r="F781" s="1282"/>
    </row>
    <row r="782">
      <c r="A782" s="1758"/>
      <c r="B782" s="1759"/>
      <c r="C782" s="1749"/>
      <c r="D782" s="1282"/>
      <c r="E782" s="1282"/>
      <c r="F782" s="1282"/>
    </row>
    <row r="783">
      <c r="A783" s="1758"/>
      <c r="B783" s="1759"/>
      <c r="C783" s="1749"/>
      <c r="D783" s="1282"/>
      <c r="E783" s="1282"/>
      <c r="F783" s="1282"/>
    </row>
    <row r="784">
      <c r="A784" s="1758"/>
      <c r="B784" s="1759"/>
      <c r="C784" s="1749"/>
      <c r="D784" s="1282"/>
      <c r="E784" s="1282"/>
      <c r="F784" s="1282"/>
    </row>
    <row r="785">
      <c r="A785" s="1758"/>
      <c r="B785" s="1759"/>
      <c r="C785" s="1749"/>
      <c r="D785" s="1282"/>
      <c r="E785" s="1282"/>
      <c r="F785" s="1282"/>
    </row>
    <row r="786">
      <c r="A786" s="1758"/>
      <c r="B786" s="1759"/>
      <c r="C786" s="1749"/>
      <c r="D786" s="1282"/>
      <c r="E786" s="1282"/>
      <c r="F786" s="1282"/>
    </row>
    <row r="787">
      <c r="A787" s="1758"/>
      <c r="B787" s="1759"/>
      <c r="C787" s="1749"/>
      <c r="D787" s="1282"/>
      <c r="E787" s="1282"/>
      <c r="F787" s="1282"/>
    </row>
    <row r="788">
      <c r="A788" s="1758"/>
      <c r="B788" s="1759"/>
      <c r="C788" s="1749"/>
      <c r="D788" s="1282"/>
      <c r="E788" s="1282"/>
      <c r="F788" s="1282"/>
    </row>
    <row r="789">
      <c r="A789" s="1758"/>
      <c r="B789" s="1759"/>
      <c r="C789" s="1749"/>
      <c r="D789" s="1282"/>
      <c r="E789" s="1282"/>
      <c r="F789" s="1282"/>
    </row>
    <row r="790">
      <c r="A790" s="1758"/>
      <c r="B790" s="1759"/>
      <c r="C790" s="1749"/>
      <c r="D790" s="1282"/>
      <c r="E790" s="1282"/>
      <c r="F790" s="1282"/>
    </row>
    <row r="791">
      <c r="A791" s="1758"/>
      <c r="B791" s="1759"/>
      <c r="C791" s="1749"/>
      <c r="D791" s="1282"/>
      <c r="E791" s="1282"/>
      <c r="F791" s="1282"/>
    </row>
    <row r="792">
      <c r="A792" s="1758"/>
      <c r="B792" s="1759"/>
      <c r="C792" s="1749"/>
      <c r="D792" s="1282"/>
      <c r="E792" s="1282"/>
      <c r="F792" s="1282"/>
    </row>
    <row r="793">
      <c r="A793" s="1758"/>
      <c r="B793" s="1759"/>
      <c r="C793" s="1749"/>
      <c r="D793" s="1282"/>
      <c r="E793" s="1282"/>
      <c r="F793" s="1282"/>
    </row>
    <row r="794">
      <c r="A794" s="1758"/>
      <c r="B794" s="1759"/>
      <c r="C794" s="1749"/>
      <c r="D794" s="1282"/>
      <c r="E794" s="1282"/>
      <c r="F794" s="1282"/>
    </row>
    <row r="795">
      <c r="A795" s="1758"/>
      <c r="B795" s="1759"/>
      <c r="C795" s="1749"/>
      <c r="D795" s="1282"/>
      <c r="E795" s="1282"/>
      <c r="F795" s="1282"/>
    </row>
    <row r="796">
      <c r="A796" s="1758"/>
      <c r="B796" s="1759"/>
      <c r="C796" s="1749"/>
      <c r="D796" s="1282"/>
      <c r="E796" s="1282"/>
      <c r="F796" s="1282"/>
    </row>
    <row r="797">
      <c r="A797" s="1758"/>
      <c r="B797" s="1759"/>
      <c r="C797" s="1749"/>
      <c r="D797" s="1282"/>
      <c r="E797" s="1282"/>
      <c r="F797" s="1282"/>
    </row>
    <row r="798">
      <c r="A798" s="1758"/>
      <c r="B798" s="1759"/>
      <c r="C798" s="1749"/>
      <c r="D798" s="1282"/>
      <c r="E798" s="1282"/>
      <c r="F798" s="1282"/>
    </row>
    <row r="799">
      <c r="A799" s="1758"/>
      <c r="B799" s="1759"/>
      <c r="C799" s="1749"/>
      <c r="D799" s="1282"/>
      <c r="E799" s="1282"/>
      <c r="F799" s="1282"/>
    </row>
    <row r="800">
      <c r="A800" s="1758"/>
      <c r="B800" s="1759"/>
      <c r="C800" s="1749"/>
      <c r="D800" s="1282"/>
      <c r="E800" s="1282"/>
      <c r="F800" s="1282"/>
    </row>
    <row r="801">
      <c r="A801" s="1758"/>
      <c r="B801" s="1759"/>
      <c r="C801" s="1749"/>
      <c r="D801" s="1282"/>
      <c r="E801" s="1282"/>
      <c r="F801" s="1282"/>
    </row>
    <row r="802">
      <c r="A802" s="1758"/>
      <c r="B802" s="1759"/>
      <c r="C802" s="1749"/>
      <c r="D802" s="1282"/>
      <c r="E802" s="1282"/>
      <c r="F802" s="1282"/>
    </row>
    <row r="803">
      <c r="A803" s="1758"/>
      <c r="B803" s="1759"/>
      <c r="C803" s="1749"/>
      <c r="D803" s="1282"/>
      <c r="E803" s="1282"/>
      <c r="F803" s="1282"/>
    </row>
    <row r="804">
      <c r="A804" s="1758"/>
      <c r="B804" s="1759"/>
      <c r="C804" s="1749"/>
      <c r="D804" s="1282"/>
      <c r="E804" s="1282"/>
      <c r="F804" s="1282"/>
    </row>
    <row r="805">
      <c r="A805" s="1758"/>
      <c r="B805" s="1759"/>
      <c r="C805" s="1749"/>
      <c r="D805" s="1282"/>
      <c r="E805" s="1282"/>
      <c r="F805" s="1282"/>
    </row>
    <row r="806">
      <c r="A806" s="1758"/>
      <c r="B806" s="1759"/>
      <c r="C806" s="1749"/>
      <c r="D806" s="1282"/>
      <c r="E806" s="1282"/>
      <c r="F806" s="1282"/>
    </row>
    <row r="807">
      <c r="A807" s="1758"/>
      <c r="B807" s="1759"/>
      <c r="C807" s="1749"/>
      <c r="D807" s="1282"/>
      <c r="E807" s="1282"/>
      <c r="F807" s="1282"/>
    </row>
    <row r="808">
      <c r="A808" s="1758"/>
      <c r="B808" s="1759"/>
      <c r="C808" s="1749"/>
      <c r="D808" s="1282"/>
      <c r="E808" s="1282"/>
      <c r="F808" s="1282"/>
    </row>
    <row r="809">
      <c r="A809" s="1758"/>
      <c r="B809" s="1759"/>
      <c r="C809" s="1749"/>
      <c r="D809" s="1282"/>
      <c r="E809" s="1282"/>
      <c r="F809" s="1282"/>
    </row>
    <row r="810">
      <c r="A810" s="1758"/>
      <c r="B810" s="1759"/>
      <c r="C810" s="1749"/>
      <c r="D810" s="1282"/>
      <c r="E810" s="1282"/>
      <c r="F810" s="1282"/>
    </row>
    <row r="811">
      <c r="A811" s="1758"/>
      <c r="B811" s="1759"/>
      <c r="C811" s="1749"/>
      <c r="D811" s="1282"/>
      <c r="E811" s="1282"/>
      <c r="F811" s="1282"/>
    </row>
    <row r="812">
      <c r="A812" s="1758"/>
      <c r="B812" s="1759"/>
      <c r="C812" s="1749"/>
      <c r="D812" s="1282"/>
      <c r="E812" s="1282"/>
      <c r="F812" s="1282"/>
    </row>
    <row r="813">
      <c r="A813" s="1758"/>
      <c r="B813" s="1759"/>
      <c r="C813" s="1749"/>
      <c r="D813" s="1282"/>
      <c r="E813" s="1282"/>
      <c r="F813" s="1282"/>
    </row>
    <row r="814">
      <c r="A814" s="1758"/>
      <c r="B814" s="1759"/>
      <c r="C814" s="1749"/>
      <c r="D814" s="1282"/>
      <c r="E814" s="1282"/>
      <c r="F814" s="1282"/>
    </row>
    <row r="815">
      <c r="A815" s="1758"/>
      <c r="B815" s="1759"/>
      <c r="C815" s="1749"/>
      <c r="D815" s="1282"/>
      <c r="E815" s="1282"/>
      <c r="F815" s="1282"/>
    </row>
    <row r="816">
      <c r="A816" s="1758"/>
      <c r="B816" s="1759"/>
      <c r="C816" s="1749"/>
      <c r="D816" s="1282"/>
      <c r="E816" s="1282"/>
      <c r="F816" s="1282"/>
    </row>
    <row r="817">
      <c r="A817" s="1758"/>
      <c r="B817" s="1759"/>
      <c r="C817" s="1749"/>
      <c r="D817" s="1282"/>
      <c r="E817" s="1282"/>
      <c r="F817" s="1282"/>
    </row>
    <row r="818">
      <c r="A818" s="1758"/>
      <c r="B818" s="1759"/>
      <c r="C818" s="1749"/>
      <c r="D818" s="1282"/>
      <c r="E818" s="1282"/>
      <c r="F818" s="1282"/>
    </row>
    <row r="819">
      <c r="A819" s="1758"/>
      <c r="B819" s="1759"/>
      <c r="C819" s="1749"/>
      <c r="D819" s="1282"/>
      <c r="E819" s="1282"/>
      <c r="F819" s="1282"/>
    </row>
    <row r="820">
      <c r="A820" s="1758"/>
      <c r="B820" s="1759"/>
      <c r="C820" s="1749"/>
      <c r="D820" s="1282"/>
      <c r="E820" s="1282"/>
      <c r="F820" s="1282"/>
    </row>
    <row r="821">
      <c r="A821" s="1758"/>
      <c r="B821" s="1759"/>
      <c r="C821" s="1749"/>
      <c r="D821" s="1282"/>
      <c r="E821" s="1282"/>
      <c r="F821" s="1282"/>
    </row>
    <row r="822">
      <c r="A822" s="1758"/>
      <c r="B822" s="1759"/>
      <c r="C822" s="1749"/>
      <c r="D822" s="1282"/>
      <c r="E822" s="1282"/>
      <c r="F822" s="1282"/>
    </row>
    <row r="823">
      <c r="A823" s="1758"/>
      <c r="B823" s="1759"/>
      <c r="C823" s="1749"/>
      <c r="D823" s="1282"/>
      <c r="E823" s="1282"/>
      <c r="F823" s="1282"/>
    </row>
    <row r="824">
      <c r="A824" s="1758"/>
      <c r="B824" s="1759"/>
      <c r="C824" s="1749"/>
      <c r="D824" s="1282"/>
      <c r="E824" s="1282"/>
      <c r="F824" s="1282"/>
    </row>
    <row r="825">
      <c r="A825" s="1758"/>
      <c r="B825" s="1759"/>
      <c r="C825" s="1749"/>
      <c r="D825" s="1282"/>
      <c r="E825" s="1282"/>
      <c r="F825" s="1282"/>
    </row>
    <row r="826">
      <c r="A826" s="1758"/>
      <c r="B826" s="1759"/>
      <c r="C826" s="1749"/>
      <c r="D826" s="1282"/>
      <c r="E826" s="1282"/>
      <c r="F826" s="1282"/>
    </row>
    <row r="827">
      <c r="A827" s="1758"/>
      <c r="B827" s="1759"/>
      <c r="C827" s="1749"/>
      <c r="D827" s="1282"/>
      <c r="E827" s="1282"/>
      <c r="F827" s="1282"/>
    </row>
    <row r="828">
      <c r="A828" s="1758"/>
      <c r="B828" s="1759"/>
      <c r="C828" s="1749"/>
      <c r="D828" s="1282"/>
      <c r="E828" s="1282"/>
      <c r="F828" s="1282"/>
    </row>
    <row r="829">
      <c r="A829" s="1758"/>
      <c r="B829" s="1759"/>
      <c r="C829" s="1749"/>
      <c r="D829" s="1282"/>
      <c r="E829" s="1282"/>
      <c r="F829" s="1282"/>
    </row>
    <row r="830">
      <c r="A830" s="1758"/>
      <c r="B830" s="1759"/>
      <c r="C830" s="1749"/>
      <c r="D830" s="1282"/>
      <c r="E830" s="1282"/>
      <c r="F830" s="1282"/>
    </row>
    <row r="831">
      <c r="A831" s="1758"/>
      <c r="B831" s="1759"/>
      <c r="C831" s="1749"/>
      <c r="D831" s="1282"/>
      <c r="E831" s="1282"/>
      <c r="F831" s="1282"/>
    </row>
    <row r="832">
      <c r="A832" s="1758"/>
      <c r="B832" s="1759"/>
      <c r="C832" s="1749"/>
      <c r="D832" s="1282"/>
      <c r="E832" s="1282"/>
      <c r="F832" s="1282"/>
    </row>
    <row r="833">
      <c r="A833" s="1758"/>
      <c r="B833" s="1759"/>
      <c r="C833" s="1749"/>
      <c r="D833" s="1282"/>
      <c r="E833" s="1282"/>
      <c r="F833" s="1282"/>
    </row>
    <row r="834">
      <c r="A834" s="1758"/>
      <c r="B834" s="1759"/>
      <c r="C834" s="1749"/>
      <c r="D834" s="1282"/>
      <c r="E834" s="1282"/>
      <c r="F834" s="1282"/>
    </row>
    <row r="835">
      <c r="A835" s="1758"/>
      <c r="B835" s="1759"/>
      <c r="C835" s="1749"/>
      <c r="D835" s="1282"/>
      <c r="E835" s="1282"/>
      <c r="F835" s="1282"/>
    </row>
    <row r="836">
      <c r="A836" s="1758"/>
      <c r="B836" s="1759"/>
      <c r="C836" s="1749"/>
      <c r="D836" s="1282"/>
      <c r="E836" s="1282"/>
      <c r="F836" s="1282"/>
    </row>
    <row r="837">
      <c r="A837" s="1758"/>
      <c r="B837" s="1759"/>
      <c r="C837" s="1749"/>
      <c r="D837" s="1282"/>
      <c r="E837" s="1282"/>
      <c r="F837" s="1282"/>
    </row>
    <row r="838">
      <c r="A838" s="1758"/>
      <c r="B838" s="1759"/>
      <c r="C838" s="1749"/>
      <c r="D838" s="1282"/>
      <c r="E838" s="1282"/>
      <c r="F838" s="1282"/>
    </row>
    <row r="839">
      <c r="A839" s="1758"/>
      <c r="B839" s="1759"/>
      <c r="C839" s="1749"/>
      <c r="D839" s="1282"/>
      <c r="E839" s="1282"/>
      <c r="F839" s="1282"/>
    </row>
    <row r="840">
      <c r="A840" s="1758"/>
      <c r="B840" s="1759"/>
      <c r="C840" s="1749"/>
      <c r="D840" s="1282"/>
      <c r="E840" s="1282"/>
      <c r="F840" s="1282"/>
    </row>
    <row r="841">
      <c r="A841" s="1758"/>
      <c r="B841" s="1759"/>
      <c r="C841" s="1749"/>
      <c r="D841" s="1282"/>
      <c r="E841" s="1282"/>
      <c r="F841" s="1282"/>
    </row>
    <row r="842">
      <c r="A842" s="1758"/>
      <c r="B842" s="1759"/>
      <c r="C842" s="1749"/>
      <c r="D842" s="1282"/>
      <c r="E842" s="1282"/>
      <c r="F842" s="1282"/>
    </row>
    <row r="843">
      <c r="A843" s="1758"/>
      <c r="B843" s="1759"/>
      <c r="C843" s="1749"/>
      <c r="D843" s="1282"/>
      <c r="E843" s="1282"/>
      <c r="F843" s="1282"/>
    </row>
    <row r="844">
      <c r="A844" s="1758"/>
      <c r="B844" s="1759"/>
      <c r="C844" s="1749"/>
      <c r="D844" s="1282"/>
      <c r="E844" s="1282"/>
      <c r="F844" s="1282"/>
    </row>
    <row r="845">
      <c r="A845" s="1758"/>
      <c r="B845" s="1759"/>
      <c r="C845" s="1749"/>
      <c r="D845" s="1282"/>
      <c r="E845" s="1282"/>
      <c r="F845" s="1282"/>
    </row>
    <row r="846">
      <c r="A846" s="1758"/>
      <c r="B846" s="1759"/>
      <c r="C846" s="1749"/>
      <c r="D846" s="1282"/>
      <c r="E846" s="1282"/>
      <c r="F846" s="1282"/>
    </row>
    <row r="847">
      <c r="A847" s="1758"/>
      <c r="B847" s="1759"/>
      <c r="C847" s="1749"/>
      <c r="D847" s="1282"/>
      <c r="E847" s="1282"/>
      <c r="F847" s="1282"/>
    </row>
    <row r="848">
      <c r="A848" s="1758"/>
      <c r="B848" s="1759"/>
      <c r="C848" s="1749"/>
      <c r="D848" s="1282"/>
      <c r="E848" s="1282"/>
      <c r="F848" s="1282"/>
    </row>
    <row r="849">
      <c r="A849" s="1758"/>
      <c r="B849" s="1759"/>
      <c r="C849" s="1749"/>
      <c r="D849" s="1282"/>
      <c r="E849" s="1282"/>
      <c r="F849" s="1282"/>
    </row>
    <row r="850">
      <c r="A850" s="1758"/>
      <c r="B850" s="1759"/>
      <c r="C850" s="1749"/>
      <c r="D850" s="1282"/>
      <c r="E850" s="1282"/>
      <c r="F850" s="1282"/>
    </row>
    <row r="851">
      <c r="A851" s="1758"/>
      <c r="B851" s="1759"/>
      <c r="C851" s="1749"/>
      <c r="D851" s="1282"/>
      <c r="E851" s="1282"/>
      <c r="F851" s="1282"/>
    </row>
    <row r="852">
      <c r="A852" s="1758"/>
      <c r="B852" s="1759"/>
      <c r="C852" s="1749"/>
      <c r="D852" s="1282"/>
      <c r="E852" s="1282"/>
      <c r="F852" s="1282"/>
    </row>
    <row r="853">
      <c r="A853" s="1758"/>
      <c r="B853" s="1759"/>
      <c r="C853" s="1749"/>
      <c r="D853" s="1282"/>
      <c r="E853" s="1282"/>
      <c r="F853" s="1282"/>
    </row>
    <row r="854">
      <c r="A854" s="1758"/>
      <c r="B854" s="1759"/>
      <c r="C854" s="1749"/>
      <c r="D854" s="1282"/>
      <c r="E854" s="1282"/>
      <c r="F854" s="1282"/>
    </row>
    <row r="855">
      <c r="A855" s="1758"/>
      <c r="B855" s="1759"/>
      <c r="C855" s="1749"/>
      <c r="D855" s="1282"/>
      <c r="E855" s="1282"/>
      <c r="F855" s="1282"/>
    </row>
    <row r="856">
      <c r="A856" s="1758"/>
      <c r="B856" s="1759"/>
      <c r="C856" s="1749"/>
      <c r="D856" s="1282"/>
      <c r="E856" s="1282"/>
      <c r="F856" s="1282"/>
    </row>
    <row r="857">
      <c r="A857" s="1758"/>
      <c r="B857" s="1759"/>
      <c r="C857" s="1749"/>
      <c r="D857" s="1282"/>
      <c r="E857" s="1282"/>
      <c r="F857" s="1282"/>
    </row>
    <row r="858">
      <c r="A858" s="1758"/>
      <c r="B858" s="1759"/>
      <c r="C858" s="1749"/>
      <c r="D858" s="1282"/>
      <c r="E858" s="1282"/>
      <c r="F858" s="1282"/>
    </row>
    <row r="859">
      <c r="A859" s="1758"/>
      <c r="B859" s="1759"/>
      <c r="C859" s="1749"/>
      <c r="D859" s="1282"/>
      <c r="E859" s="1282"/>
      <c r="F859" s="1282"/>
    </row>
    <row r="860">
      <c r="A860" s="1758"/>
      <c r="B860" s="1759"/>
      <c r="C860" s="1749"/>
      <c r="D860" s="1282"/>
      <c r="E860" s="1282"/>
      <c r="F860" s="1282"/>
    </row>
    <row r="861">
      <c r="A861" s="1758"/>
      <c r="B861" s="1759"/>
      <c r="C861" s="1749"/>
      <c r="D861" s="1282"/>
      <c r="E861" s="1282"/>
      <c r="F861" s="1282"/>
    </row>
    <row r="862">
      <c r="A862" s="1758"/>
      <c r="B862" s="1759"/>
      <c r="C862" s="1749"/>
      <c r="D862" s="1282"/>
      <c r="E862" s="1282"/>
      <c r="F862" s="1282"/>
    </row>
    <row r="863">
      <c r="A863" s="1758"/>
      <c r="B863" s="1759"/>
      <c r="C863" s="1749"/>
      <c r="D863" s="1282"/>
      <c r="E863" s="1282"/>
      <c r="F863" s="1282"/>
    </row>
    <row r="864">
      <c r="A864" s="1758"/>
      <c r="B864" s="1759"/>
      <c r="C864" s="1749"/>
      <c r="D864" s="1282"/>
      <c r="E864" s="1282"/>
      <c r="F864" s="1282"/>
    </row>
    <row r="865">
      <c r="A865" s="1758"/>
      <c r="B865" s="1759"/>
      <c r="C865" s="1749"/>
      <c r="D865" s="1282"/>
      <c r="E865" s="1282"/>
      <c r="F865" s="1282"/>
    </row>
    <row r="866">
      <c r="A866" s="1758"/>
      <c r="B866" s="1759"/>
      <c r="C866" s="1749"/>
      <c r="D866" s="1282"/>
      <c r="E866" s="1282"/>
      <c r="F866" s="1282"/>
    </row>
    <row r="867">
      <c r="A867" s="1758"/>
      <c r="B867" s="1759"/>
      <c r="C867" s="1749"/>
      <c r="D867" s="1282"/>
      <c r="E867" s="1282"/>
      <c r="F867" s="1282"/>
    </row>
    <row r="868">
      <c r="A868" s="1758"/>
      <c r="B868" s="1759"/>
      <c r="C868" s="1749"/>
      <c r="D868" s="1282"/>
      <c r="E868" s="1282"/>
      <c r="F868" s="1282"/>
    </row>
    <row r="869">
      <c r="A869" s="1758"/>
      <c r="B869" s="1759"/>
      <c r="C869" s="1749"/>
      <c r="D869" s="1282"/>
      <c r="E869" s="1282"/>
      <c r="F869" s="1282"/>
    </row>
    <row r="870">
      <c r="A870" s="1758"/>
      <c r="B870" s="1759"/>
      <c r="C870" s="1749"/>
      <c r="D870" s="1282"/>
      <c r="E870" s="1282"/>
      <c r="F870" s="1282"/>
    </row>
    <row r="871">
      <c r="A871" s="1758"/>
      <c r="B871" s="1759"/>
      <c r="C871" s="1749"/>
      <c r="D871" s="1282"/>
      <c r="E871" s="1282"/>
      <c r="F871" s="1282"/>
    </row>
    <row r="872">
      <c r="A872" s="1758"/>
      <c r="B872" s="1759"/>
      <c r="C872" s="1749"/>
      <c r="D872" s="1282"/>
      <c r="E872" s="1282"/>
      <c r="F872" s="1282"/>
    </row>
    <row r="873">
      <c r="A873" s="1758"/>
      <c r="B873" s="1759"/>
      <c r="C873" s="1749"/>
      <c r="D873" s="1282"/>
      <c r="E873" s="1282"/>
      <c r="F873" s="1282"/>
    </row>
    <row r="874">
      <c r="A874" s="1758"/>
      <c r="B874" s="1759"/>
      <c r="C874" s="1749"/>
      <c r="D874" s="1282"/>
      <c r="E874" s="1282"/>
      <c r="F874" s="1282"/>
    </row>
    <row r="875">
      <c r="A875" s="1758"/>
      <c r="B875" s="1759"/>
      <c r="C875" s="1749"/>
      <c r="D875" s="1282"/>
      <c r="E875" s="1282"/>
      <c r="F875" s="1282"/>
    </row>
    <row r="876">
      <c r="A876" s="1758"/>
      <c r="B876" s="1759"/>
      <c r="C876" s="1749"/>
      <c r="D876" s="1282"/>
      <c r="E876" s="1282"/>
      <c r="F876" s="1282"/>
    </row>
    <row r="877">
      <c r="A877" s="1758"/>
      <c r="B877" s="1759"/>
      <c r="C877" s="1749"/>
      <c r="D877" s="1282"/>
      <c r="E877" s="1282"/>
      <c r="F877" s="1282"/>
    </row>
    <row r="878">
      <c r="A878" s="1758"/>
      <c r="B878" s="1759"/>
      <c r="C878" s="1749"/>
      <c r="D878" s="1282"/>
      <c r="E878" s="1282"/>
      <c r="F878" s="1282"/>
    </row>
    <row r="879">
      <c r="A879" s="1758"/>
      <c r="B879" s="1759"/>
      <c r="C879" s="1749"/>
      <c r="D879" s="1282"/>
      <c r="E879" s="1282"/>
      <c r="F879" s="1282"/>
    </row>
    <row r="880">
      <c r="A880" s="1758"/>
      <c r="B880" s="1759"/>
      <c r="C880" s="1749"/>
      <c r="D880" s="1282"/>
      <c r="E880" s="1282"/>
      <c r="F880" s="1282"/>
    </row>
    <row r="881">
      <c r="A881" s="1758"/>
      <c r="B881" s="1759"/>
      <c r="C881" s="1749"/>
      <c r="D881" s="1282"/>
      <c r="E881" s="1282"/>
      <c r="F881" s="1282"/>
    </row>
    <row r="882">
      <c r="A882" s="1758"/>
      <c r="B882" s="1759"/>
      <c r="C882" s="1749"/>
      <c r="D882" s="1282"/>
      <c r="E882" s="1282"/>
      <c r="F882" s="1282"/>
    </row>
    <row r="883">
      <c r="A883" s="1758"/>
      <c r="B883" s="1759"/>
      <c r="C883" s="1749"/>
      <c r="D883" s="1282"/>
      <c r="E883" s="1282"/>
      <c r="F883" s="1282"/>
    </row>
    <row r="884">
      <c r="A884" s="1758"/>
      <c r="B884" s="1759"/>
      <c r="C884" s="1749"/>
      <c r="D884" s="1282"/>
      <c r="E884" s="1282"/>
      <c r="F884" s="1282"/>
    </row>
    <row r="885">
      <c r="A885" s="1758"/>
      <c r="B885" s="1759"/>
      <c r="C885" s="1749"/>
      <c r="D885" s="1282"/>
      <c r="E885" s="1282"/>
      <c r="F885" s="1282"/>
    </row>
    <row r="886">
      <c r="A886" s="1758"/>
      <c r="B886" s="1759"/>
      <c r="C886" s="1749"/>
      <c r="D886" s="1282"/>
      <c r="E886" s="1282"/>
      <c r="F886" s="1282"/>
    </row>
    <row r="887">
      <c r="A887" s="1758"/>
      <c r="B887" s="1759"/>
      <c r="C887" s="1749"/>
      <c r="D887" s="1282"/>
      <c r="E887" s="1282"/>
      <c r="F887" s="1282"/>
    </row>
    <row r="888">
      <c r="A888" s="1758"/>
      <c r="B888" s="1759"/>
      <c r="C888" s="1749"/>
      <c r="D888" s="1282"/>
      <c r="E888" s="1282"/>
      <c r="F888" s="1282"/>
    </row>
    <row r="889">
      <c r="A889" s="1758"/>
      <c r="B889" s="1759"/>
      <c r="C889" s="1749"/>
      <c r="D889" s="1282"/>
      <c r="E889" s="1282"/>
      <c r="F889" s="1282"/>
    </row>
    <row r="890">
      <c r="A890" s="1758"/>
      <c r="B890" s="1759"/>
      <c r="C890" s="1749"/>
      <c r="D890" s="1282"/>
      <c r="E890" s="1282"/>
      <c r="F890" s="1282"/>
    </row>
    <row r="891">
      <c r="A891" s="1758"/>
      <c r="B891" s="1759"/>
      <c r="C891" s="1749"/>
      <c r="D891" s="1282"/>
      <c r="E891" s="1282"/>
      <c r="F891" s="1282"/>
    </row>
    <row r="892">
      <c r="A892" s="1758"/>
      <c r="B892" s="1759"/>
      <c r="C892" s="1749"/>
      <c r="D892" s="1282"/>
      <c r="E892" s="1282"/>
      <c r="F892" s="1282"/>
    </row>
    <row r="893">
      <c r="A893" s="1758"/>
      <c r="B893" s="1759"/>
      <c r="C893" s="1749"/>
      <c r="D893" s="1282"/>
      <c r="E893" s="1282"/>
      <c r="F893" s="1282"/>
    </row>
    <row r="894">
      <c r="A894" s="1758"/>
      <c r="B894" s="1759"/>
      <c r="C894" s="1749"/>
      <c r="D894" s="1282"/>
      <c r="E894" s="1282"/>
      <c r="F894" s="1282"/>
    </row>
    <row r="895">
      <c r="A895" s="1758"/>
      <c r="B895" s="1759"/>
      <c r="C895" s="1749"/>
      <c r="D895" s="1282"/>
      <c r="E895" s="1282"/>
      <c r="F895" s="1282"/>
    </row>
    <row r="896">
      <c r="A896" s="1758"/>
      <c r="B896" s="1759"/>
      <c r="C896" s="1749"/>
      <c r="D896" s="1282"/>
      <c r="E896" s="1282"/>
      <c r="F896" s="1282"/>
    </row>
    <row r="897">
      <c r="A897" s="1758"/>
      <c r="B897" s="1759"/>
      <c r="C897" s="1749"/>
      <c r="D897" s="1282"/>
      <c r="E897" s="1282"/>
      <c r="F897" s="1282"/>
    </row>
    <row r="898">
      <c r="A898" s="1758"/>
      <c r="B898" s="1759"/>
      <c r="C898" s="1749"/>
      <c r="D898" s="1282"/>
      <c r="E898" s="1282"/>
      <c r="F898" s="1282"/>
    </row>
    <row r="899">
      <c r="A899" s="1758"/>
      <c r="B899" s="1759"/>
      <c r="C899" s="1749"/>
      <c r="D899" s="1282"/>
      <c r="E899" s="1282"/>
      <c r="F899" s="1282"/>
    </row>
    <row r="900">
      <c r="A900" s="1758"/>
      <c r="B900" s="1759"/>
      <c r="C900" s="1749"/>
      <c r="D900" s="1282"/>
      <c r="E900" s="1282"/>
      <c r="F900" s="1282"/>
    </row>
    <row r="901">
      <c r="A901" s="1758"/>
      <c r="B901" s="1759"/>
      <c r="C901" s="1749"/>
      <c r="D901" s="1282"/>
      <c r="E901" s="1282"/>
      <c r="F901" s="1282"/>
    </row>
    <row r="902">
      <c r="A902" s="1758"/>
      <c r="B902" s="1759"/>
      <c r="C902" s="1749"/>
      <c r="D902" s="1282"/>
      <c r="E902" s="1282"/>
      <c r="F902" s="1282"/>
    </row>
    <row r="903">
      <c r="A903" s="1758"/>
      <c r="B903" s="1759"/>
      <c r="C903" s="1749"/>
      <c r="D903" s="1282"/>
      <c r="E903" s="1282"/>
      <c r="F903" s="1282"/>
    </row>
    <row r="904">
      <c r="A904" s="1758"/>
      <c r="B904" s="1759"/>
      <c r="C904" s="1749"/>
      <c r="D904" s="1282"/>
      <c r="E904" s="1282"/>
      <c r="F904" s="1282"/>
    </row>
    <row r="905">
      <c r="A905" s="1758"/>
      <c r="B905" s="1759"/>
      <c r="C905" s="1749"/>
      <c r="D905" s="1282"/>
      <c r="E905" s="1282"/>
      <c r="F905" s="1282"/>
    </row>
    <row r="906">
      <c r="A906" s="1758"/>
      <c r="B906" s="1759"/>
      <c r="C906" s="1749"/>
      <c r="D906" s="1282"/>
      <c r="E906" s="1282"/>
      <c r="F906" s="1282"/>
    </row>
    <row r="907">
      <c r="A907" s="1758"/>
      <c r="B907" s="1759"/>
      <c r="C907" s="1749"/>
      <c r="D907" s="1282"/>
      <c r="E907" s="1282"/>
      <c r="F907" s="1282"/>
    </row>
    <row r="908">
      <c r="A908" s="1758"/>
      <c r="B908" s="1759"/>
      <c r="C908" s="1749"/>
      <c r="D908" s="1282"/>
      <c r="E908" s="1282"/>
      <c r="F908" s="1282"/>
    </row>
    <row r="909">
      <c r="A909" s="1758"/>
      <c r="B909" s="1759"/>
      <c r="C909" s="1749"/>
      <c r="D909" s="1282"/>
      <c r="E909" s="1282"/>
      <c r="F909" s="1282"/>
    </row>
    <row r="910">
      <c r="A910" s="1758"/>
      <c r="B910" s="1759"/>
      <c r="C910" s="1749"/>
      <c r="D910" s="1282"/>
      <c r="E910" s="1282"/>
      <c r="F910" s="1282"/>
    </row>
    <row r="911">
      <c r="A911" s="1758"/>
      <c r="B911" s="1759"/>
      <c r="C911" s="1749"/>
      <c r="D911" s="1282"/>
      <c r="E911" s="1282"/>
      <c r="F911" s="1282"/>
    </row>
    <row r="912">
      <c r="A912" s="1758"/>
      <c r="B912" s="1759"/>
      <c r="C912" s="1749"/>
      <c r="D912" s="1282"/>
      <c r="E912" s="1282"/>
      <c r="F912" s="1282"/>
    </row>
    <row r="913">
      <c r="A913" s="1758"/>
      <c r="B913" s="1759"/>
      <c r="C913" s="1749"/>
      <c r="D913" s="1282"/>
      <c r="E913" s="1282"/>
      <c r="F913" s="1282"/>
    </row>
    <row r="914">
      <c r="A914" s="1758"/>
      <c r="B914" s="1759"/>
      <c r="C914" s="1749"/>
      <c r="D914" s="1282"/>
      <c r="E914" s="1282"/>
      <c r="F914" s="1282"/>
    </row>
    <row r="915">
      <c r="A915" s="1758"/>
      <c r="B915" s="1759"/>
      <c r="C915" s="1749"/>
      <c r="D915" s="1282"/>
      <c r="E915" s="1282"/>
      <c r="F915" s="1282"/>
    </row>
    <row r="916">
      <c r="A916" s="1758"/>
      <c r="B916" s="1759"/>
      <c r="C916" s="1749"/>
      <c r="D916" s="1282"/>
      <c r="E916" s="1282"/>
      <c r="F916" s="1282"/>
    </row>
    <row r="917">
      <c r="A917" s="1758"/>
      <c r="B917" s="1759"/>
      <c r="C917" s="1749"/>
      <c r="D917" s="1282"/>
      <c r="E917" s="1282"/>
      <c r="F917" s="1282"/>
    </row>
    <row r="918">
      <c r="A918" s="1758"/>
      <c r="B918" s="1759"/>
      <c r="C918" s="1749"/>
      <c r="D918" s="1282"/>
      <c r="E918" s="1282"/>
      <c r="F918" s="1282"/>
    </row>
    <row r="919">
      <c r="A919" s="1758"/>
      <c r="B919" s="1759"/>
      <c r="C919" s="1749"/>
      <c r="D919" s="1282"/>
      <c r="E919" s="1282"/>
      <c r="F919" s="1282"/>
    </row>
    <row r="920">
      <c r="A920" s="1758"/>
      <c r="B920" s="1759"/>
      <c r="C920" s="1749"/>
      <c r="D920" s="1282"/>
      <c r="E920" s="1282"/>
      <c r="F920" s="1282"/>
    </row>
    <row r="921">
      <c r="A921" s="1758"/>
      <c r="B921" s="1759"/>
      <c r="C921" s="1749"/>
      <c r="D921" s="1282"/>
      <c r="E921" s="1282"/>
      <c r="F921" s="1282"/>
    </row>
    <row r="922">
      <c r="A922" s="1758"/>
      <c r="B922" s="1759"/>
      <c r="C922" s="1749"/>
      <c r="D922" s="1282"/>
      <c r="E922" s="1282"/>
      <c r="F922" s="1282"/>
    </row>
    <row r="923">
      <c r="A923" s="1758"/>
      <c r="B923" s="1759"/>
      <c r="C923" s="1749"/>
      <c r="D923" s="1282"/>
      <c r="E923" s="1282"/>
      <c r="F923" s="1282"/>
    </row>
    <row r="924">
      <c r="A924" s="1758"/>
      <c r="B924" s="1759"/>
      <c r="C924" s="1749"/>
      <c r="D924" s="1282"/>
      <c r="E924" s="1282"/>
      <c r="F924" s="1282"/>
    </row>
    <row r="925">
      <c r="A925" s="1758"/>
      <c r="B925" s="1759"/>
      <c r="C925" s="1749"/>
      <c r="D925" s="1282"/>
      <c r="E925" s="1282"/>
      <c r="F925" s="1282"/>
    </row>
    <row r="926">
      <c r="A926" s="1758"/>
      <c r="B926" s="1759"/>
      <c r="C926" s="1749"/>
      <c r="D926" s="1282"/>
      <c r="E926" s="1282"/>
      <c r="F926" s="1282"/>
    </row>
    <row r="927">
      <c r="A927" s="1758"/>
      <c r="B927" s="1759"/>
      <c r="C927" s="1749"/>
      <c r="D927" s="1282"/>
      <c r="E927" s="1282"/>
      <c r="F927" s="1282"/>
    </row>
    <row r="928">
      <c r="A928" s="1758"/>
      <c r="B928" s="1759"/>
      <c r="C928" s="1749"/>
      <c r="D928" s="1282"/>
      <c r="E928" s="1282"/>
      <c r="F928" s="1282"/>
    </row>
    <row r="929">
      <c r="A929" s="1758"/>
      <c r="B929" s="1759"/>
      <c r="C929" s="1749"/>
      <c r="D929" s="1282"/>
      <c r="E929" s="1282"/>
      <c r="F929" s="1282"/>
    </row>
    <row r="930">
      <c r="A930" s="1758"/>
      <c r="B930" s="1759"/>
      <c r="C930" s="1749"/>
      <c r="D930" s="1282"/>
      <c r="E930" s="1282"/>
      <c r="F930" s="1282"/>
    </row>
    <row r="931">
      <c r="A931" s="1758"/>
      <c r="B931" s="1759"/>
      <c r="C931" s="1749"/>
      <c r="D931" s="1282"/>
      <c r="E931" s="1282"/>
      <c r="F931" s="1282"/>
    </row>
    <row r="932">
      <c r="A932" s="1758"/>
      <c r="B932" s="1759"/>
      <c r="C932" s="1749"/>
      <c r="D932" s="1282"/>
      <c r="E932" s="1282"/>
      <c r="F932" s="1282"/>
    </row>
    <row r="933">
      <c r="A933" s="1758"/>
      <c r="B933" s="1759"/>
      <c r="C933" s="1749"/>
      <c r="D933" s="1282"/>
      <c r="E933" s="1282"/>
      <c r="F933" s="1282"/>
    </row>
    <row r="934">
      <c r="A934" s="1758"/>
      <c r="B934" s="1759"/>
      <c r="C934" s="1749"/>
      <c r="D934" s="1282"/>
      <c r="E934" s="1282"/>
      <c r="F934" s="1282"/>
    </row>
    <row r="935">
      <c r="A935" s="1758"/>
      <c r="B935" s="1759"/>
      <c r="C935" s="1749"/>
      <c r="D935" s="1282"/>
      <c r="E935" s="1282"/>
      <c r="F935" s="1282"/>
    </row>
    <row r="936">
      <c r="A936" s="1758"/>
      <c r="B936" s="1759"/>
      <c r="C936" s="1749"/>
      <c r="D936" s="1282"/>
      <c r="E936" s="1282"/>
      <c r="F936" s="1282"/>
    </row>
    <row r="937">
      <c r="A937" s="1758"/>
      <c r="B937" s="1759"/>
      <c r="C937" s="1749"/>
      <c r="D937" s="1282"/>
      <c r="E937" s="1282"/>
      <c r="F937" s="1282"/>
    </row>
    <row r="938">
      <c r="A938" s="1758"/>
      <c r="B938" s="1759"/>
      <c r="C938" s="1749"/>
      <c r="D938" s="1282"/>
      <c r="E938" s="1282"/>
      <c r="F938" s="1282"/>
    </row>
    <row r="939">
      <c r="A939" s="1758"/>
      <c r="B939" s="1759"/>
      <c r="C939" s="1749"/>
      <c r="D939" s="1282"/>
      <c r="E939" s="1282"/>
      <c r="F939" s="1282"/>
    </row>
    <row r="940">
      <c r="A940" s="1758"/>
      <c r="B940" s="1759"/>
      <c r="C940" s="1749"/>
      <c r="D940" s="1282"/>
      <c r="E940" s="1282"/>
      <c r="F940" s="1282"/>
    </row>
    <row r="941">
      <c r="A941" s="1758"/>
      <c r="B941" s="1759"/>
      <c r="C941" s="1749"/>
      <c r="D941" s="1282"/>
      <c r="E941" s="1282"/>
      <c r="F941" s="1282"/>
    </row>
    <row r="942">
      <c r="A942" s="1758"/>
      <c r="B942" s="1759"/>
      <c r="C942" s="1749"/>
      <c r="D942" s="1282"/>
      <c r="E942" s="1282"/>
      <c r="F942" s="1282"/>
    </row>
    <row r="943">
      <c r="A943" s="1758"/>
      <c r="B943" s="1759"/>
      <c r="C943" s="1749"/>
      <c r="D943" s="1282"/>
      <c r="E943" s="1282"/>
      <c r="F943" s="1282"/>
    </row>
    <row r="944">
      <c r="A944" s="1758"/>
      <c r="B944" s="1759"/>
      <c r="C944" s="1749"/>
      <c r="D944" s="1282"/>
      <c r="E944" s="1282"/>
      <c r="F944" s="1282"/>
    </row>
    <row r="945">
      <c r="A945" s="1758"/>
      <c r="B945" s="1759"/>
      <c r="C945" s="1749"/>
      <c r="D945" s="1282"/>
      <c r="E945" s="1282"/>
      <c r="F945" s="1282"/>
    </row>
    <row r="946">
      <c r="A946" s="1758"/>
      <c r="B946" s="1759"/>
      <c r="C946" s="1749"/>
      <c r="D946" s="1282"/>
      <c r="E946" s="1282"/>
      <c r="F946" s="1282"/>
    </row>
    <row r="947">
      <c r="A947" s="1758"/>
      <c r="B947" s="1759"/>
      <c r="C947" s="1749"/>
      <c r="D947" s="1282"/>
      <c r="E947" s="1282"/>
      <c r="F947" s="1282"/>
    </row>
    <row r="948">
      <c r="A948" s="1758"/>
      <c r="B948" s="1759"/>
      <c r="C948" s="1749"/>
      <c r="D948" s="1282"/>
      <c r="E948" s="1282"/>
      <c r="F948" s="1282"/>
    </row>
    <row r="949">
      <c r="A949" s="1758"/>
      <c r="B949" s="1759"/>
      <c r="C949" s="1749"/>
      <c r="D949" s="1282"/>
      <c r="E949" s="1282"/>
      <c r="F949" s="1282"/>
    </row>
    <row r="950">
      <c r="A950" s="1758"/>
      <c r="B950" s="1759"/>
      <c r="C950" s="1749"/>
      <c r="D950" s="1282"/>
      <c r="E950" s="1282"/>
      <c r="F950" s="1282"/>
    </row>
    <row r="951">
      <c r="A951" s="1758"/>
      <c r="B951" s="1759"/>
      <c r="C951" s="1749"/>
      <c r="D951" s="1282"/>
      <c r="E951" s="1282"/>
      <c r="F951" s="1282"/>
    </row>
    <row r="952">
      <c r="A952" s="1758"/>
      <c r="B952" s="1759"/>
      <c r="C952" s="1749"/>
      <c r="D952" s="1282"/>
      <c r="E952" s="1282"/>
      <c r="F952" s="1282"/>
    </row>
    <row r="953">
      <c r="A953" s="1758"/>
      <c r="B953" s="1759"/>
      <c r="C953" s="1749"/>
      <c r="D953" s="1282"/>
      <c r="E953" s="1282"/>
      <c r="F953" s="1282"/>
    </row>
    <row r="954">
      <c r="A954" s="1758"/>
      <c r="B954" s="1759"/>
      <c r="C954" s="1749"/>
      <c r="D954" s="1282"/>
      <c r="E954" s="1282"/>
      <c r="F954" s="1282"/>
    </row>
    <row r="955">
      <c r="A955" s="1758"/>
      <c r="B955" s="1759"/>
      <c r="C955" s="1749"/>
      <c r="D955" s="1282"/>
      <c r="E955" s="1282"/>
      <c r="F955" s="1282"/>
    </row>
    <row r="956">
      <c r="A956" s="1758"/>
      <c r="B956" s="1759"/>
      <c r="C956" s="1749"/>
      <c r="D956" s="1282"/>
      <c r="E956" s="1282"/>
      <c r="F956" s="1282"/>
    </row>
    <row r="957">
      <c r="A957" s="1758"/>
      <c r="B957" s="1759"/>
      <c r="C957" s="1749"/>
      <c r="D957" s="1282"/>
      <c r="E957" s="1282"/>
      <c r="F957" s="1282"/>
    </row>
    <row r="958">
      <c r="A958" s="1758"/>
      <c r="B958" s="1759"/>
      <c r="C958" s="1749"/>
      <c r="D958" s="1282"/>
      <c r="E958" s="1282"/>
      <c r="F958" s="1282"/>
    </row>
    <row r="959">
      <c r="A959" s="1758"/>
      <c r="B959" s="1759"/>
      <c r="C959" s="1749"/>
      <c r="D959" s="1282"/>
      <c r="E959" s="1282"/>
      <c r="F959" s="1282"/>
    </row>
    <row r="960">
      <c r="A960" s="1758"/>
      <c r="B960" s="1759"/>
      <c r="C960" s="1749"/>
      <c r="D960" s="1282"/>
      <c r="E960" s="1282"/>
      <c r="F960" s="1282"/>
    </row>
    <row r="961">
      <c r="A961" s="1758"/>
      <c r="B961" s="1759"/>
      <c r="C961" s="1749"/>
      <c r="D961" s="1282"/>
      <c r="E961" s="1282"/>
      <c r="F961" s="1282"/>
    </row>
    <row r="962">
      <c r="A962" s="1758"/>
      <c r="B962" s="1759"/>
      <c r="C962" s="1749"/>
      <c r="D962" s="1282"/>
      <c r="E962" s="1282"/>
      <c r="F962" s="1282"/>
    </row>
    <row r="963">
      <c r="A963" s="1758"/>
      <c r="B963" s="1759"/>
      <c r="C963" s="1749"/>
      <c r="D963" s="1282"/>
      <c r="E963" s="1282"/>
      <c r="F963" s="1282"/>
    </row>
    <row r="964">
      <c r="A964" s="1758"/>
      <c r="B964" s="1759"/>
      <c r="C964" s="1749"/>
      <c r="D964" s="1282"/>
      <c r="E964" s="1282"/>
      <c r="F964" s="1282"/>
    </row>
    <row r="965">
      <c r="A965" s="1758"/>
      <c r="B965" s="1759"/>
      <c r="C965" s="1749"/>
      <c r="D965" s="1282"/>
      <c r="E965" s="1282"/>
      <c r="F965" s="1282"/>
    </row>
    <row r="966">
      <c r="A966" s="1758"/>
      <c r="B966" s="1759"/>
      <c r="C966" s="1749"/>
      <c r="D966" s="1282"/>
      <c r="E966" s="1282"/>
      <c r="F966" s="1282"/>
    </row>
    <row r="967">
      <c r="A967" s="1758"/>
      <c r="B967" s="1759"/>
      <c r="C967" s="1749"/>
      <c r="D967" s="1282"/>
      <c r="E967" s="1282"/>
      <c r="F967" s="1282"/>
    </row>
    <row r="968">
      <c r="A968" s="1758"/>
      <c r="B968" s="1759"/>
      <c r="C968" s="1749"/>
      <c r="D968" s="1282"/>
      <c r="E968" s="1282"/>
      <c r="F968" s="1282"/>
    </row>
    <row r="969">
      <c r="A969" s="1758"/>
      <c r="B969" s="1759"/>
      <c r="C969" s="1749"/>
      <c r="D969" s="1282"/>
      <c r="E969" s="1282"/>
      <c r="F969" s="1282"/>
    </row>
    <row r="970">
      <c r="A970" s="1758"/>
      <c r="B970" s="1759"/>
      <c r="C970" s="1749"/>
      <c r="D970" s="1282"/>
      <c r="E970" s="1282"/>
      <c r="F970" s="1282"/>
    </row>
    <row r="971">
      <c r="A971" s="1758"/>
      <c r="B971" s="1759"/>
      <c r="C971" s="1749"/>
      <c r="D971" s="1282"/>
      <c r="E971" s="1282"/>
      <c r="F971" s="1282"/>
    </row>
    <row r="972">
      <c r="A972" s="1758"/>
      <c r="B972" s="1759"/>
      <c r="C972" s="1749"/>
      <c r="D972" s="1282"/>
      <c r="E972" s="1282"/>
      <c r="F972" s="1282"/>
    </row>
    <row r="973">
      <c r="A973" s="1758"/>
      <c r="B973" s="1759"/>
      <c r="C973" s="1749"/>
      <c r="D973" s="1282"/>
      <c r="E973" s="1282"/>
      <c r="F973" s="1282"/>
    </row>
    <row r="974">
      <c r="A974" s="1758"/>
      <c r="B974" s="1759"/>
      <c r="C974" s="1749"/>
      <c r="D974" s="1282"/>
      <c r="E974" s="1282"/>
      <c r="F974" s="1282"/>
    </row>
    <row r="975">
      <c r="A975" s="1758"/>
      <c r="B975" s="1759"/>
      <c r="C975" s="1749"/>
      <c r="D975" s="1282"/>
      <c r="E975" s="1282"/>
      <c r="F975" s="1282"/>
    </row>
    <row r="976">
      <c r="A976" s="1758"/>
      <c r="B976" s="1759"/>
      <c r="C976" s="1749"/>
      <c r="D976" s="1282"/>
      <c r="E976" s="1282"/>
      <c r="F976" s="1282"/>
    </row>
    <row r="977">
      <c r="A977" s="1758"/>
      <c r="B977" s="1759"/>
      <c r="C977" s="1749"/>
      <c r="D977" s="1282"/>
      <c r="E977" s="1282"/>
      <c r="F977" s="1282"/>
    </row>
    <row r="978">
      <c r="A978" s="1758"/>
      <c r="B978" s="1759"/>
      <c r="C978" s="1749"/>
      <c r="D978" s="1282"/>
      <c r="E978" s="1282"/>
      <c r="F978" s="1282"/>
    </row>
    <row r="979">
      <c r="A979" s="1758"/>
      <c r="B979" s="1759"/>
      <c r="C979" s="1749"/>
      <c r="D979" s="1282"/>
      <c r="E979" s="1282"/>
      <c r="F979" s="1282"/>
    </row>
    <row r="980">
      <c r="A980" s="1758"/>
      <c r="B980" s="1759"/>
      <c r="C980" s="1749"/>
      <c r="D980" s="1282"/>
      <c r="E980" s="1282"/>
      <c r="F980" s="1282"/>
    </row>
    <row r="981">
      <c r="A981" s="1758"/>
      <c r="B981" s="1759"/>
      <c r="C981" s="1749"/>
      <c r="D981" s="1282"/>
      <c r="E981" s="1282"/>
      <c r="F981" s="1282"/>
    </row>
    <row r="982">
      <c r="A982" s="1758"/>
      <c r="B982" s="1759"/>
      <c r="C982" s="1749"/>
      <c r="D982" s="1282"/>
      <c r="E982" s="1282"/>
      <c r="F982" s="1282"/>
    </row>
    <row r="983">
      <c r="A983" s="1758"/>
      <c r="B983" s="1759"/>
      <c r="C983" s="1749"/>
      <c r="D983" s="1282"/>
      <c r="E983" s="1282"/>
      <c r="F983" s="1282"/>
    </row>
    <row r="984">
      <c r="A984" s="1758"/>
      <c r="B984" s="1759"/>
      <c r="C984" s="1749"/>
      <c r="D984" s="1282"/>
      <c r="E984" s="1282"/>
      <c r="F984" s="1282"/>
    </row>
    <row r="985">
      <c r="A985" s="1758"/>
      <c r="B985" s="1759"/>
      <c r="C985" s="1749"/>
      <c r="D985" s="1282"/>
      <c r="E985" s="1282"/>
      <c r="F985" s="1282"/>
    </row>
    <row r="986">
      <c r="A986" s="1758"/>
      <c r="B986" s="1759"/>
      <c r="C986" s="1749"/>
      <c r="D986" s="1282"/>
      <c r="E986" s="1282"/>
      <c r="F986" s="1282"/>
    </row>
    <row r="987">
      <c r="A987" s="1758"/>
      <c r="B987" s="1759"/>
      <c r="C987" s="1749"/>
      <c r="D987" s="1282"/>
      <c r="E987" s="1282"/>
      <c r="F987" s="1282"/>
    </row>
    <row r="988">
      <c r="A988" s="1758"/>
      <c r="B988" s="1759"/>
      <c r="C988" s="1749"/>
      <c r="D988" s="1282"/>
      <c r="E988" s="1282"/>
      <c r="F988" s="1282"/>
    </row>
    <row r="989">
      <c r="A989" s="1758"/>
      <c r="B989" s="1759"/>
      <c r="C989" s="1749"/>
      <c r="D989" s="1282"/>
      <c r="E989" s="1282"/>
      <c r="F989" s="1282"/>
    </row>
    <row r="990">
      <c r="A990" s="1758"/>
      <c r="B990" s="1759"/>
      <c r="C990" s="1749"/>
      <c r="D990" s="1282"/>
      <c r="E990" s="1282"/>
      <c r="F990" s="1282"/>
    </row>
    <row r="991">
      <c r="A991" s="1758"/>
      <c r="B991" s="1759"/>
      <c r="C991" s="1749"/>
      <c r="D991" s="1282"/>
      <c r="E991" s="1282"/>
      <c r="F991" s="1282"/>
    </row>
    <row r="992">
      <c r="A992" s="1758"/>
      <c r="B992" s="1759"/>
      <c r="C992" s="1749"/>
      <c r="D992" s="1282"/>
      <c r="E992" s="1282"/>
      <c r="F992" s="1282"/>
    </row>
    <row r="993">
      <c r="A993" s="1758"/>
      <c r="B993" s="1759"/>
      <c r="C993" s="1749"/>
      <c r="D993" s="1282"/>
      <c r="E993" s="1282"/>
      <c r="F993" s="1282"/>
    </row>
    <row r="994">
      <c r="A994" s="1758"/>
      <c r="B994" s="1759"/>
      <c r="C994" s="1749"/>
      <c r="D994" s="1282"/>
      <c r="E994" s="1282"/>
      <c r="F994" s="1282"/>
    </row>
    <row r="995">
      <c r="A995" s="1758"/>
      <c r="B995" s="1759"/>
      <c r="C995" s="1749"/>
      <c r="D995" s="1282"/>
      <c r="E995" s="1282"/>
      <c r="F995" s="1282"/>
    </row>
    <row r="996">
      <c r="A996" s="1758"/>
      <c r="B996" s="1759"/>
      <c r="C996" s="1749"/>
      <c r="D996" s="1282"/>
      <c r="E996" s="1282"/>
      <c r="F996" s="1282"/>
    </row>
    <row r="997">
      <c r="A997" s="1758"/>
      <c r="B997" s="1759"/>
      <c r="C997" s="1749"/>
      <c r="D997" s="1282"/>
      <c r="E997" s="1282"/>
      <c r="F997" s="1282"/>
    </row>
    <row r="998">
      <c r="A998" s="1758"/>
      <c r="B998" s="1759"/>
      <c r="C998" s="1749"/>
      <c r="D998" s="1282"/>
      <c r="E998" s="1282"/>
      <c r="F998" s="1282"/>
    </row>
    <row r="999">
      <c r="A999" s="1758"/>
      <c r="B999" s="1759"/>
      <c r="C999" s="1749"/>
      <c r="D999" s="1282"/>
      <c r="E999" s="1282"/>
      <c r="F999" s="1282"/>
    </row>
    <row r="1000">
      <c r="A1000" s="1758"/>
      <c r="B1000" s="1759"/>
      <c r="C1000" s="1749"/>
      <c r="D1000" s="1282"/>
      <c r="E1000" s="1282"/>
      <c r="F1000" s="1282"/>
    </row>
    <row r="1001">
      <c r="A1001" s="1758"/>
      <c r="B1001" s="1759"/>
      <c r="C1001" s="1749"/>
      <c r="D1001" s="1282"/>
      <c r="E1001" s="1282"/>
      <c r="F1001" s="1282"/>
    </row>
    <row r="1002">
      <c r="A1002" s="1758"/>
      <c r="B1002" s="1759"/>
      <c r="C1002" s="1749"/>
      <c r="D1002" s="1282"/>
      <c r="E1002" s="1282"/>
      <c r="F1002" s="1282"/>
    </row>
    <row r="1003">
      <c r="A1003" s="1758"/>
      <c r="B1003" s="1759"/>
      <c r="C1003" s="1749"/>
      <c r="D1003" s="1282"/>
      <c r="E1003" s="1282"/>
      <c r="F1003" s="1282"/>
    </row>
    <row r="1004">
      <c r="A1004" s="1758"/>
      <c r="B1004" s="1759"/>
      <c r="C1004" s="1749"/>
      <c r="D1004" s="1282"/>
      <c r="E1004" s="1282"/>
      <c r="F1004" s="1282"/>
    </row>
    <row r="1005">
      <c r="A1005" s="1758"/>
      <c r="B1005" s="1759"/>
      <c r="C1005" s="1749"/>
      <c r="D1005" s="1282"/>
      <c r="E1005" s="1282"/>
      <c r="F1005" s="1282"/>
    </row>
    <row r="1006">
      <c r="A1006" s="1758"/>
      <c r="B1006" s="1759"/>
      <c r="C1006" s="1749"/>
      <c r="D1006" s="1282"/>
      <c r="E1006" s="1282"/>
      <c r="F1006" s="1282"/>
    </row>
    <row r="1007">
      <c r="A1007" s="1758"/>
      <c r="B1007" s="1759"/>
      <c r="C1007" s="1749"/>
      <c r="D1007" s="1282"/>
      <c r="E1007" s="1282"/>
      <c r="F1007" s="1282"/>
    </row>
    <row r="1008">
      <c r="A1008" s="1758"/>
      <c r="B1008" s="1759"/>
      <c r="C1008" s="1749"/>
      <c r="D1008" s="1282"/>
      <c r="E1008" s="1282"/>
      <c r="F1008" s="1282"/>
    </row>
    <row r="1009">
      <c r="A1009" s="1758"/>
      <c r="B1009" s="1759"/>
      <c r="C1009" s="1749"/>
      <c r="D1009" s="1282"/>
      <c r="E1009" s="1282"/>
      <c r="F1009" s="1282"/>
    </row>
    <row r="1010">
      <c r="A1010" s="1758"/>
      <c r="B1010" s="1759"/>
      <c r="C1010" s="1749"/>
      <c r="D1010" s="1282"/>
      <c r="E1010" s="1282"/>
      <c r="F1010" s="1282"/>
    </row>
    <row r="1011">
      <c r="A1011" s="1758"/>
      <c r="B1011" s="1759"/>
      <c r="C1011" s="1749"/>
      <c r="D1011" s="1282"/>
      <c r="E1011" s="1282"/>
      <c r="F1011" s="1282"/>
    </row>
    <row r="1012">
      <c r="A1012" s="1758"/>
      <c r="B1012" s="1759"/>
      <c r="C1012" s="1749"/>
      <c r="D1012" s="1282"/>
      <c r="E1012" s="1282"/>
      <c r="F1012" s="1282"/>
    </row>
    <row r="1013">
      <c r="A1013" s="1758"/>
      <c r="B1013" s="1759"/>
      <c r="C1013" s="1749"/>
      <c r="D1013" s="1282"/>
      <c r="E1013" s="1282"/>
      <c r="F1013" s="1282"/>
    </row>
    <row r="1014">
      <c r="A1014" s="1758"/>
      <c r="B1014" s="1759"/>
      <c r="C1014" s="1749"/>
      <c r="D1014" s="1282"/>
      <c r="E1014" s="1282"/>
      <c r="F1014" s="1282"/>
    </row>
    <row r="1015">
      <c r="A1015" s="1758"/>
      <c r="B1015" s="1759"/>
      <c r="C1015" s="1749"/>
      <c r="D1015" s="1282"/>
      <c r="E1015" s="1282"/>
      <c r="F1015" s="1282"/>
    </row>
    <row r="1016">
      <c r="A1016" s="1758"/>
      <c r="B1016" s="1759"/>
      <c r="C1016" s="1749"/>
      <c r="D1016" s="1282"/>
      <c r="E1016" s="1282"/>
      <c r="F1016" s="1282"/>
    </row>
    <row r="1017">
      <c r="A1017" s="1758"/>
      <c r="B1017" s="1759"/>
      <c r="C1017" s="1749"/>
      <c r="D1017" s="1282"/>
      <c r="E1017" s="1282"/>
      <c r="F1017" s="1282"/>
    </row>
    <row r="1018">
      <c r="A1018" s="1758"/>
      <c r="B1018" s="1759"/>
      <c r="C1018" s="1749"/>
      <c r="D1018" s="1282"/>
      <c r="E1018" s="1282"/>
      <c r="F1018" s="1282"/>
    </row>
    <row r="1019">
      <c r="A1019" s="1758"/>
      <c r="B1019" s="1759"/>
      <c r="C1019" s="1749"/>
      <c r="D1019" s="1282"/>
      <c r="E1019" s="1282"/>
      <c r="F1019" s="1282"/>
    </row>
    <row r="1020">
      <c r="A1020" s="1758"/>
      <c r="B1020" s="1759"/>
      <c r="C1020" s="1749"/>
      <c r="D1020" s="1282"/>
      <c r="E1020" s="1282"/>
      <c r="F1020" s="1282"/>
    </row>
    <row r="1021">
      <c r="A1021" s="1758"/>
      <c r="B1021" s="1759"/>
      <c r="C1021" s="1749"/>
      <c r="D1021" s="1282"/>
      <c r="E1021" s="1282"/>
      <c r="F1021" s="1282"/>
    </row>
    <row r="1022">
      <c r="A1022" s="1758"/>
      <c r="B1022" s="1759"/>
      <c r="C1022" s="1749"/>
      <c r="D1022" s="1282"/>
      <c r="E1022" s="1282"/>
      <c r="F1022" s="1282"/>
    </row>
    <row r="1023">
      <c r="A1023" s="1758"/>
      <c r="B1023" s="1759"/>
      <c r="C1023" s="1749"/>
      <c r="D1023" s="1282"/>
      <c r="E1023" s="1282"/>
      <c r="F1023" s="1282"/>
    </row>
    <row r="1024">
      <c r="A1024" s="1758"/>
      <c r="B1024" s="1759"/>
      <c r="C1024" s="1749"/>
      <c r="D1024" s="1282"/>
      <c r="E1024" s="1282"/>
      <c r="F1024" s="1282"/>
    </row>
    <row r="1025">
      <c r="A1025" s="1758"/>
      <c r="B1025" s="1759"/>
      <c r="C1025" s="1749"/>
      <c r="D1025" s="1282"/>
      <c r="E1025" s="1282"/>
      <c r="F1025" s="1282"/>
    </row>
    <row r="1026">
      <c r="A1026" s="1758"/>
      <c r="B1026" s="1759"/>
      <c r="C1026" s="1749"/>
      <c r="D1026" s="1282"/>
      <c r="E1026" s="1282"/>
      <c r="F1026" s="1282"/>
    </row>
    <row r="1027">
      <c r="A1027" s="1758"/>
      <c r="B1027" s="1759"/>
      <c r="C1027" s="1749"/>
      <c r="D1027" s="1282"/>
      <c r="E1027" s="1282"/>
      <c r="F1027" s="1282"/>
    </row>
    <row r="1028">
      <c r="A1028" s="1758"/>
      <c r="B1028" s="1759"/>
      <c r="C1028" s="1749"/>
      <c r="D1028" s="1282"/>
      <c r="E1028" s="1282"/>
      <c r="F1028" s="1282"/>
    </row>
    <row r="1029">
      <c r="A1029" s="1758"/>
      <c r="B1029" s="1759"/>
      <c r="C1029" s="1749"/>
      <c r="D1029" s="1282"/>
      <c r="E1029" s="1282"/>
      <c r="F1029" s="1282"/>
    </row>
    <row r="1030">
      <c r="A1030" s="1758"/>
      <c r="B1030" s="1759"/>
      <c r="C1030" s="1749"/>
      <c r="D1030" s="1282"/>
      <c r="E1030" s="1282"/>
      <c r="F1030" s="1282"/>
    </row>
    <row r="1031">
      <c r="A1031" s="1758"/>
      <c r="B1031" s="1759"/>
      <c r="C1031" s="1749"/>
      <c r="D1031" s="1282"/>
      <c r="E1031" s="1282"/>
      <c r="F1031" s="1282"/>
    </row>
    <row r="1032">
      <c r="A1032" s="1758"/>
      <c r="B1032" s="1759"/>
      <c r="C1032" s="1749"/>
      <c r="D1032" s="1282"/>
      <c r="E1032" s="1282"/>
      <c r="F1032" s="1282"/>
    </row>
    <row r="1033">
      <c r="A1033" s="1758"/>
      <c r="B1033" s="1759"/>
      <c r="C1033" s="1749"/>
      <c r="D1033" s="1282"/>
      <c r="E1033" s="1282"/>
      <c r="F1033" s="1282"/>
    </row>
    <row r="1034">
      <c r="A1034" s="1758"/>
      <c r="B1034" s="1759"/>
      <c r="C1034" s="1749"/>
      <c r="D1034" s="1282"/>
      <c r="E1034" s="1282"/>
      <c r="F1034" s="1282"/>
    </row>
    <row r="1035">
      <c r="A1035" s="1758"/>
      <c r="B1035" s="1759"/>
      <c r="C1035" s="1749"/>
      <c r="D1035" s="1282"/>
      <c r="E1035" s="1282"/>
      <c r="F1035" s="1282"/>
    </row>
    <row r="1036">
      <c r="A1036" s="1758"/>
      <c r="B1036" s="1759"/>
      <c r="C1036" s="1749"/>
      <c r="D1036" s="1282"/>
      <c r="E1036" s="1282"/>
      <c r="F1036" s="1282"/>
    </row>
    <row r="1037">
      <c r="A1037" s="1758"/>
      <c r="B1037" s="1759"/>
      <c r="C1037" s="1749"/>
      <c r="D1037" s="1282"/>
      <c r="E1037" s="1282"/>
      <c r="F1037" s="1282"/>
    </row>
    <row r="1038">
      <c r="A1038" s="1758"/>
      <c r="B1038" s="1759"/>
      <c r="C1038" s="1749"/>
      <c r="D1038" s="1282"/>
      <c r="E1038" s="1282"/>
      <c r="F1038" s="1282"/>
    </row>
    <row r="1039">
      <c r="A1039" s="1758"/>
      <c r="B1039" s="1759"/>
      <c r="C1039" s="1749"/>
      <c r="D1039" s="1282"/>
      <c r="E1039" s="1282"/>
      <c r="F1039" s="1282"/>
    </row>
    <row r="1040">
      <c r="A1040" s="1758"/>
      <c r="B1040" s="1759"/>
      <c r="C1040" s="1749"/>
      <c r="D1040" s="1282"/>
      <c r="E1040" s="1282"/>
      <c r="F1040" s="1282"/>
    </row>
    <row r="1041">
      <c r="A1041" s="1758"/>
      <c r="B1041" s="1759"/>
      <c r="C1041" s="1749"/>
      <c r="D1041" s="1282"/>
      <c r="E1041" s="1282"/>
      <c r="F1041" s="1282"/>
    </row>
    <row r="1042">
      <c r="A1042" s="1758"/>
      <c r="B1042" s="1759"/>
      <c r="C1042" s="1749"/>
      <c r="D1042" s="1282"/>
      <c r="E1042" s="1282"/>
      <c r="F1042" s="1282"/>
    </row>
    <row r="1043">
      <c r="A1043" s="1758"/>
      <c r="B1043" s="1759"/>
      <c r="C1043" s="1749"/>
      <c r="D1043" s="1282"/>
      <c r="E1043" s="1282"/>
      <c r="F1043" s="1282"/>
    </row>
    <row r="1044">
      <c r="A1044" s="1758"/>
      <c r="B1044" s="1759"/>
      <c r="C1044" s="1749"/>
      <c r="D1044" s="1282"/>
      <c r="E1044" s="1282"/>
      <c r="F1044" s="1282"/>
    </row>
    <row r="1045">
      <c r="A1045" s="1758"/>
      <c r="B1045" s="1759"/>
      <c r="C1045" s="1749"/>
      <c r="D1045" s="1282"/>
      <c r="E1045" s="1282"/>
      <c r="F1045" s="1282"/>
    </row>
    <row r="1046">
      <c r="A1046" s="1758"/>
      <c r="B1046" s="1759"/>
      <c r="C1046" s="1749"/>
      <c r="D1046" s="1282"/>
      <c r="E1046" s="1282"/>
      <c r="F1046" s="1282"/>
    </row>
  </sheetData>
  <autoFilter ref="$A$1:$F$1046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18.0"/>
    <col customWidth="1" min="5" max="5" width="3.75"/>
  </cols>
  <sheetData>
    <row r="1" ht="20.25" customHeight="1">
      <c r="A1" s="1760"/>
      <c r="B1" s="1760"/>
      <c r="C1" s="1760"/>
      <c r="D1" s="1760"/>
    </row>
    <row r="2" ht="20.25" customHeight="1">
      <c r="A2" s="1760"/>
      <c r="B2" s="1761" t="s">
        <v>2784</v>
      </c>
      <c r="C2" s="1761" t="s">
        <v>7084</v>
      </c>
      <c r="D2" s="1761" t="s">
        <v>7085</v>
      </c>
    </row>
    <row r="3" ht="20.25" customHeight="1">
      <c r="A3" s="1760"/>
      <c r="B3" s="1761" t="s">
        <v>7086</v>
      </c>
      <c r="C3" s="1761" t="s">
        <v>7084</v>
      </c>
      <c r="D3" s="1761" t="s">
        <v>7085</v>
      </c>
    </row>
    <row r="4" ht="20.25" customHeight="1">
      <c r="A4" s="1760"/>
      <c r="B4" s="1761" t="s">
        <v>88</v>
      </c>
      <c r="C4" s="1761" t="s">
        <v>7087</v>
      </c>
      <c r="D4" s="1761" t="s">
        <v>7088</v>
      </c>
    </row>
    <row r="5" ht="20.25" customHeight="1">
      <c r="A5" s="1760"/>
      <c r="B5" s="1761" t="s">
        <v>7089</v>
      </c>
      <c r="C5" s="1761" t="s">
        <v>7090</v>
      </c>
      <c r="D5" s="1761" t="s">
        <v>7088</v>
      </c>
    </row>
    <row r="6" ht="20.25" customHeight="1">
      <c r="A6" s="1760"/>
      <c r="B6" s="1761" t="s">
        <v>3346</v>
      </c>
      <c r="C6" s="1761" t="s">
        <v>7091</v>
      </c>
      <c r="D6" s="1761" t="s">
        <v>7085</v>
      </c>
    </row>
    <row r="7" ht="20.25" customHeight="1">
      <c r="A7" s="1760"/>
      <c r="B7" s="1761" t="s">
        <v>485</v>
      </c>
      <c r="C7" s="1761" t="s">
        <v>7092</v>
      </c>
      <c r="D7" s="1761" t="s">
        <v>7085</v>
      </c>
    </row>
    <row r="8" ht="20.25" customHeight="1">
      <c r="A8" s="1760"/>
      <c r="B8" s="1761" t="s">
        <v>3328</v>
      </c>
      <c r="C8" s="1761" t="s">
        <v>7092</v>
      </c>
      <c r="D8" s="1761" t="s">
        <v>7093</v>
      </c>
    </row>
    <row r="9" ht="20.25" customHeight="1">
      <c r="B9" s="1761" t="s">
        <v>2918</v>
      </c>
      <c r="C9" s="1761" t="s">
        <v>7094</v>
      </c>
      <c r="D9" s="1761" t="s">
        <v>7095</v>
      </c>
    </row>
    <row r="10" ht="20.25" customHeight="1">
      <c r="B10" s="1761" t="s">
        <v>3415</v>
      </c>
      <c r="C10" s="1761" t="s">
        <v>7094</v>
      </c>
      <c r="D10" s="1761" t="s">
        <v>7085</v>
      </c>
    </row>
    <row r="11" ht="20.25" customHeight="1">
      <c r="B11" s="1761" t="s">
        <v>7096</v>
      </c>
      <c r="C11" s="1761" t="s">
        <v>7094</v>
      </c>
      <c r="D11" s="1761" t="s">
        <v>7085</v>
      </c>
    </row>
    <row r="12" ht="20.25" customHeight="1">
      <c r="B12" s="1761" t="s">
        <v>154</v>
      </c>
      <c r="C12" s="1761" t="s">
        <v>7094</v>
      </c>
      <c r="D12" s="1761" t="s">
        <v>7085</v>
      </c>
    </row>
    <row r="13" ht="20.25" customHeight="1">
      <c r="B13" s="1762"/>
      <c r="C13" s="1762"/>
      <c r="D13" s="1762"/>
    </row>
    <row r="14" ht="20.25" customHeight="1">
      <c r="B14" s="1762"/>
      <c r="C14" s="1762"/>
      <c r="D14" s="1762"/>
    </row>
    <row r="15" ht="20.25" customHeight="1"/>
    <row r="16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  <row r="231" ht="20.25" customHeight="1"/>
    <row r="232" ht="20.25" customHeight="1"/>
    <row r="233" ht="20.25" customHeight="1"/>
    <row r="234" ht="20.25" customHeight="1"/>
    <row r="235" ht="20.25" customHeight="1"/>
    <row r="236" ht="20.25" customHeight="1"/>
    <row r="237" ht="20.25" customHeight="1"/>
    <row r="238" ht="20.25" customHeight="1"/>
    <row r="239" ht="20.25" customHeight="1"/>
    <row r="240" ht="20.25" customHeight="1"/>
    <row r="241" ht="20.25" customHeight="1"/>
    <row r="242" ht="20.25" customHeight="1"/>
    <row r="243" ht="20.25" customHeight="1"/>
    <row r="244" ht="20.25" customHeight="1"/>
    <row r="245" ht="20.25" customHeight="1"/>
    <row r="246" ht="20.25" customHeight="1"/>
    <row r="247" ht="20.25" customHeight="1"/>
    <row r="248" ht="20.25" customHeight="1"/>
    <row r="249" ht="20.25" customHeight="1"/>
    <row r="250" ht="20.25" customHeight="1"/>
    <row r="251" ht="20.25" customHeight="1"/>
    <row r="252" ht="20.25" customHeight="1"/>
    <row r="253" ht="20.25" customHeight="1"/>
    <row r="254" ht="20.25" customHeight="1"/>
    <row r="255" ht="20.25" customHeight="1"/>
    <row r="256" ht="20.25" customHeight="1"/>
    <row r="257" ht="20.25" customHeight="1"/>
    <row r="258" ht="20.25" customHeight="1"/>
    <row r="259" ht="20.25" customHeight="1"/>
    <row r="260" ht="20.25" customHeight="1"/>
    <row r="261" ht="20.25" customHeight="1"/>
    <row r="262" ht="20.25" customHeight="1"/>
    <row r="263" ht="20.25" customHeight="1"/>
    <row r="264" ht="20.25" customHeight="1"/>
    <row r="265" ht="20.25" customHeight="1"/>
    <row r="266" ht="20.25" customHeight="1"/>
    <row r="267" ht="20.25" customHeight="1"/>
    <row r="268" ht="20.25" customHeight="1"/>
    <row r="269" ht="20.25" customHeight="1"/>
    <row r="270" ht="20.25" customHeight="1"/>
    <row r="271" ht="20.25" customHeight="1"/>
    <row r="272" ht="20.25" customHeight="1"/>
    <row r="273" ht="20.25" customHeight="1"/>
    <row r="274" ht="20.25" customHeight="1"/>
    <row r="275" ht="20.25" customHeight="1"/>
    <row r="276" ht="20.25" customHeight="1"/>
    <row r="277" ht="20.25" customHeight="1"/>
    <row r="278" ht="20.25" customHeight="1"/>
    <row r="279" ht="20.25" customHeight="1"/>
    <row r="280" ht="20.25" customHeight="1"/>
    <row r="281" ht="20.25" customHeight="1"/>
    <row r="282" ht="20.25" customHeight="1"/>
    <row r="283" ht="20.25" customHeight="1"/>
    <row r="284" ht="20.25" customHeight="1"/>
    <row r="285" ht="20.25" customHeight="1"/>
    <row r="286" ht="20.25" customHeight="1"/>
    <row r="287" ht="20.25" customHeight="1"/>
    <row r="288" ht="20.25" customHeight="1"/>
    <row r="289" ht="20.25" customHeight="1"/>
    <row r="290" ht="20.25" customHeight="1"/>
    <row r="291" ht="20.25" customHeight="1"/>
    <row r="292" ht="20.25" customHeight="1"/>
    <row r="293" ht="20.25" customHeight="1"/>
    <row r="294" ht="20.25" customHeight="1"/>
    <row r="295" ht="20.25" customHeight="1"/>
    <row r="296" ht="20.25" customHeight="1"/>
    <row r="297" ht="20.25" customHeight="1"/>
    <row r="298" ht="20.25" customHeight="1"/>
    <row r="299" ht="20.25" customHeight="1"/>
    <row r="300" ht="20.25" customHeight="1"/>
    <row r="301" ht="20.25" customHeight="1"/>
    <row r="302" ht="20.25" customHeight="1"/>
    <row r="303" ht="20.25" customHeight="1"/>
    <row r="304" ht="20.25" customHeight="1"/>
    <row r="305" ht="20.25" customHeight="1"/>
    <row r="306" ht="20.25" customHeight="1"/>
    <row r="307" ht="20.25" customHeight="1"/>
    <row r="308" ht="20.25" customHeight="1"/>
    <row r="309" ht="20.25" customHeight="1"/>
    <row r="310" ht="20.25" customHeight="1"/>
    <row r="311" ht="20.25" customHeight="1"/>
    <row r="312" ht="20.25" customHeight="1"/>
    <row r="313" ht="20.25" customHeight="1"/>
    <row r="314" ht="20.25" customHeight="1"/>
    <row r="315" ht="20.25" customHeight="1"/>
    <row r="316" ht="20.25" customHeight="1"/>
    <row r="317" ht="20.25" customHeight="1"/>
    <row r="318" ht="20.25" customHeight="1"/>
    <row r="319" ht="20.25" customHeight="1"/>
    <row r="320" ht="20.25" customHeight="1"/>
    <row r="321" ht="20.25" customHeight="1"/>
    <row r="322" ht="20.25" customHeight="1"/>
    <row r="323" ht="20.25" customHeight="1"/>
    <row r="324" ht="20.25" customHeight="1"/>
    <row r="325" ht="20.25" customHeight="1"/>
    <row r="326" ht="20.25" customHeight="1"/>
    <row r="327" ht="20.25" customHeight="1"/>
    <row r="328" ht="20.25" customHeight="1"/>
    <row r="329" ht="20.25" customHeight="1"/>
    <row r="330" ht="20.25" customHeight="1"/>
    <row r="331" ht="20.25" customHeight="1"/>
    <row r="332" ht="20.25" customHeight="1"/>
    <row r="333" ht="20.25" customHeight="1"/>
    <row r="334" ht="20.25" customHeight="1"/>
    <row r="335" ht="20.25" customHeight="1"/>
    <row r="336" ht="20.25" customHeight="1"/>
    <row r="337" ht="20.25" customHeight="1"/>
    <row r="338" ht="20.25" customHeight="1"/>
    <row r="339" ht="20.25" customHeight="1"/>
    <row r="340" ht="20.25" customHeight="1"/>
    <row r="341" ht="20.25" customHeight="1"/>
    <row r="342" ht="20.25" customHeight="1"/>
    <row r="343" ht="20.25" customHeight="1"/>
    <row r="344" ht="20.25" customHeight="1"/>
    <row r="345" ht="20.25" customHeight="1"/>
    <row r="346" ht="20.25" customHeight="1"/>
    <row r="347" ht="20.25" customHeight="1"/>
    <row r="348" ht="20.25" customHeight="1"/>
    <row r="349" ht="20.25" customHeight="1"/>
    <row r="350" ht="20.25" customHeight="1"/>
    <row r="351" ht="20.25" customHeight="1"/>
    <row r="352" ht="20.25" customHeight="1"/>
    <row r="353" ht="20.25" customHeight="1"/>
    <row r="354" ht="20.25" customHeight="1"/>
    <row r="355" ht="20.25" customHeight="1"/>
    <row r="356" ht="20.25" customHeight="1"/>
    <row r="357" ht="20.25" customHeight="1"/>
    <row r="358" ht="20.25" customHeight="1"/>
    <row r="359" ht="20.25" customHeight="1"/>
    <row r="360" ht="20.25" customHeight="1"/>
    <row r="361" ht="20.25" customHeight="1"/>
    <row r="362" ht="20.25" customHeight="1"/>
    <row r="363" ht="20.25" customHeight="1"/>
    <row r="364" ht="20.25" customHeight="1"/>
    <row r="365" ht="20.25" customHeight="1"/>
    <row r="366" ht="20.25" customHeight="1"/>
    <row r="367" ht="20.25" customHeight="1"/>
    <row r="368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  <row r="971" ht="20.25" customHeight="1"/>
    <row r="972" ht="20.25" customHeight="1"/>
    <row r="973" ht="20.25" customHeight="1"/>
    <row r="974" ht="20.25" customHeight="1"/>
    <row r="975" ht="20.25" customHeight="1"/>
    <row r="976" ht="20.25" customHeight="1"/>
    <row r="977" ht="20.25" customHeight="1"/>
    <row r="978" ht="20.25" customHeight="1"/>
    <row r="979" ht="20.25" customHeight="1"/>
    <row r="980" ht="20.25" customHeight="1"/>
    <row r="981" ht="20.25" customHeight="1"/>
    <row r="982" ht="20.25" customHeight="1"/>
    <row r="983" ht="20.25" customHeight="1"/>
    <row r="984" ht="20.25" customHeight="1"/>
    <row r="985" ht="20.25" customHeight="1"/>
    <row r="986" ht="20.25" customHeight="1"/>
    <row r="987" ht="20.25" customHeight="1"/>
    <row r="988" ht="20.25" customHeight="1"/>
    <row r="989" ht="20.25" customHeight="1"/>
    <row r="990" ht="20.25" customHeight="1"/>
    <row r="991" ht="20.25" customHeight="1"/>
    <row r="992" ht="20.25" customHeight="1"/>
    <row r="993" ht="20.25" customHeight="1"/>
    <row r="994" ht="20.25" customHeight="1"/>
    <row r="995" ht="20.25" customHeight="1"/>
    <row r="996" ht="20.25" customHeight="1"/>
    <row r="997" ht="20.25" customHeight="1"/>
    <row r="998" ht="20.25" customHeight="1"/>
    <row r="999" ht="20.2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43.38"/>
    <col customWidth="1" min="2" max="2" width="16.88"/>
    <col customWidth="1" min="3" max="26" width="28.38"/>
  </cols>
  <sheetData>
    <row r="1">
      <c r="A1" s="1763" t="s">
        <v>7097</v>
      </c>
      <c r="B1" s="1764">
        <v>10000.0</v>
      </c>
    </row>
    <row r="2">
      <c r="A2" s="1763" t="s">
        <v>7098</v>
      </c>
      <c r="B2" s="1764">
        <v>2500.0</v>
      </c>
    </row>
    <row r="3">
      <c r="A3" s="1763" t="s">
        <v>7099</v>
      </c>
      <c r="B3" s="1764">
        <v>7000.0</v>
      </c>
    </row>
    <row r="4">
      <c r="A4" s="1763" t="s">
        <v>7100</v>
      </c>
      <c r="B4" s="1764">
        <v>10000.0</v>
      </c>
    </row>
    <row r="5">
      <c r="A5" s="1763" t="s">
        <v>7101</v>
      </c>
      <c r="B5" s="1764">
        <v>5000.0</v>
      </c>
    </row>
    <row r="6">
      <c r="A6" s="1763" t="s">
        <v>7102</v>
      </c>
      <c r="B6" s="1764">
        <v>7000.0</v>
      </c>
    </row>
    <row r="7">
      <c r="A7" s="1763" t="s">
        <v>6702</v>
      </c>
      <c r="B7" s="1764">
        <v>5000.0</v>
      </c>
    </row>
    <row r="8">
      <c r="A8" s="1763" t="s">
        <v>7103</v>
      </c>
      <c r="B8" s="1764">
        <v>5000.0</v>
      </c>
    </row>
    <row r="9">
      <c r="A9" s="1763" t="s">
        <v>7104</v>
      </c>
      <c r="B9" s="1764">
        <v>3000.0</v>
      </c>
    </row>
    <row r="10">
      <c r="A10" s="1763" t="s">
        <v>7105</v>
      </c>
      <c r="B10" s="1764">
        <v>5000.0</v>
      </c>
    </row>
    <row r="11">
      <c r="A11" s="1763" t="s">
        <v>7106</v>
      </c>
      <c r="B11" s="1764">
        <v>4000.0</v>
      </c>
    </row>
    <row r="12">
      <c r="A12" s="1763" t="s">
        <v>7107</v>
      </c>
      <c r="B12" s="1764">
        <v>70000.0</v>
      </c>
    </row>
    <row r="13">
      <c r="A13" s="1763" t="s">
        <v>7108</v>
      </c>
      <c r="B13" s="1764">
        <v>30000.0</v>
      </c>
    </row>
    <row r="14">
      <c r="A14" s="1763" t="s">
        <v>7109</v>
      </c>
      <c r="B14" s="1764">
        <v>7000.0</v>
      </c>
    </row>
    <row r="15">
      <c r="A15" s="1763" t="s">
        <v>7110</v>
      </c>
      <c r="B15" s="1764">
        <v>8000.0</v>
      </c>
    </row>
    <row r="16">
      <c r="A16" s="1763" t="s">
        <v>7111</v>
      </c>
      <c r="B16" s="1764">
        <v>5000.0</v>
      </c>
    </row>
    <row r="17">
      <c r="A17" s="1763" t="s">
        <v>7112</v>
      </c>
      <c r="B17" s="1764">
        <v>5000.0</v>
      </c>
    </row>
    <row r="18">
      <c r="A18" s="1763" t="s">
        <v>7113</v>
      </c>
      <c r="B18" s="1764">
        <v>3000.0</v>
      </c>
    </row>
    <row r="19">
      <c r="A19" s="1763" t="s">
        <v>6759</v>
      </c>
      <c r="B19" s="1764">
        <v>3000.0</v>
      </c>
    </row>
    <row r="20">
      <c r="A20" s="1763" t="s">
        <v>7114</v>
      </c>
      <c r="B20" s="1764">
        <v>10000.0</v>
      </c>
    </row>
    <row r="21">
      <c r="A21" s="1763" t="s">
        <v>6760</v>
      </c>
      <c r="B21" s="1764">
        <v>5000.0</v>
      </c>
    </row>
    <row r="22">
      <c r="A22" s="1763" t="s">
        <v>7115</v>
      </c>
      <c r="B22" s="1764">
        <v>5000.0</v>
      </c>
    </row>
    <row r="23">
      <c r="A23" s="1763" t="s">
        <v>7116</v>
      </c>
      <c r="B23" s="1764">
        <v>3000.0</v>
      </c>
    </row>
    <row r="24">
      <c r="A24" s="1763" t="s">
        <v>7117</v>
      </c>
      <c r="B24" s="1764">
        <v>5000.0</v>
      </c>
    </row>
    <row r="25">
      <c r="A25" s="1763" t="s">
        <v>7118</v>
      </c>
      <c r="B25" s="1764">
        <v>5000.0</v>
      </c>
    </row>
    <row r="26">
      <c r="A26" s="1763" t="s">
        <v>7119</v>
      </c>
      <c r="B26" s="1764">
        <v>6000.0</v>
      </c>
    </row>
    <row r="27">
      <c r="A27" s="1763" t="s">
        <v>7120</v>
      </c>
      <c r="B27" s="1764">
        <v>15000.0</v>
      </c>
    </row>
    <row r="28">
      <c r="A28" s="1763" t="s">
        <v>3812</v>
      </c>
      <c r="B28" s="1764">
        <v>10000.0</v>
      </c>
    </row>
    <row r="29">
      <c r="A29" s="1763" t="s">
        <v>3804</v>
      </c>
      <c r="B29" s="1764">
        <v>6000.0</v>
      </c>
    </row>
    <row r="30">
      <c r="A30" s="1763" t="s">
        <v>6764</v>
      </c>
      <c r="B30" s="1764">
        <v>3000.0</v>
      </c>
    </row>
    <row r="31">
      <c r="A31" s="1763" t="s">
        <v>7121</v>
      </c>
      <c r="B31" s="1764">
        <v>6000.0</v>
      </c>
    </row>
    <row r="32">
      <c r="B32" s="1765"/>
    </row>
    <row r="33">
      <c r="B33" s="1765"/>
    </row>
    <row r="34">
      <c r="B34" s="1765"/>
    </row>
    <row r="35">
      <c r="B35" s="1765"/>
    </row>
    <row r="36">
      <c r="B36" s="1765"/>
    </row>
    <row r="37">
      <c r="B37" s="1765"/>
    </row>
    <row r="38">
      <c r="A38" s="312" t="s">
        <v>328</v>
      </c>
      <c r="B38" s="1765"/>
    </row>
    <row r="39">
      <c r="B39" s="1765"/>
    </row>
    <row r="40">
      <c r="B40" s="1765"/>
    </row>
    <row r="41">
      <c r="B41" s="1765"/>
    </row>
    <row r="42">
      <c r="B42" s="1765"/>
    </row>
    <row r="43">
      <c r="B43" s="1765"/>
    </row>
    <row r="44">
      <c r="B44" s="1765"/>
    </row>
    <row r="45">
      <c r="B45" s="1765"/>
    </row>
    <row r="46">
      <c r="B46" s="1765"/>
    </row>
    <row r="47">
      <c r="B47" s="1765"/>
    </row>
    <row r="48">
      <c r="B48" s="1765"/>
    </row>
    <row r="49">
      <c r="B49" s="1765"/>
    </row>
    <row r="50">
      <c r="B50" s="1765"/>
    </row>
    <row r="51">
      <c r="B51" s="1765"/>
    </row>
    <row r="52">
      <c r="B52" s="1765"/>
    </row>
    <row r="53">
      <c r="B53" s="1765"/>
    </row>
    <row r="54">
      <c r="B54" s="1765"/>
    </row>
    <row r="55">
      <c r="B55" s="1765"/>
    </row>
    <row r="56">
      <c r="B56" s="1765"/>
    </row>
    <row r="57">
      <c r="B57" s="1765"/>
    </row>
    <row r="58">
      <c r="B58" s="1765"/>
    </row>
    <row r="59">
      <c r="B59" s="1765"/>
    </row>
    <row r="60">
      <c r="B60" s="1765"/>
    </row>
    <row r="61">
      <c r="B61" s="1765"/>
    </row>
    <row r="62">
      <c r="B62" s="1765"/>
    </row>
    <row r="63">
      <c r="B63" s="1765"/>
    </row>
    <row r="64">
      <c r="B64" s="1765"/>
    </row>
    <row r="65">
      <c r="B65" s="1765"/>
    </row>
    <row r="66">
      <c r="B66" s="1765"/>
    </row>
    <row r="67">
      <c r="B67" s="1765"/>
    </row>
    <row r="68">
      <c r="B68" s="1765"/>
    </row>
    <row r="69">
      <c r="B69" s="1765"/>
    </row>
    <row r="70">
      <c r="B70" s="1765"/>
    </row>
    <row r="71">
      <c r="B71" s="1765"/>
    </row>
    <row r="72">
      <c r="B72" s="1765"/>
    </row>
    <row r="73">
      <c r="B73" s="1765"/>
    </row>
    <row r="74">
      <c r="B74" s="1765"/>
    </row>
    <row r="75">
      <c r="B75" s="1765"/>
    </row>
    <row r="76">
      <c r="B76" s="1765"/>
    </row>
    <row r="77">
      <c r="B77" s="1765"/>
    </row>
    <row r="78">
      <c r="B78" s="1765"/>
    </row>
    <row r="79">
      <c r="B79" s="1765"/>
    </row>
    <row r="80">
      <c r="B80" s="1765"/>
    </row>
    <row r="81">
      <c r="B81" s="1765"/>
    </row>
    <row r="82">
      <c r="B82" s="1765"/>
    </row>
    <row r="83">
      <c r="B83" s="1765"/>
    </row>
    <row r="84">
      <c r="B84" s="1765"/>
    </row>
    <row r="85">
      <c r="B85" s="1765"/>
    </row>
    <row r="86">
      <c r="B86" s="1765"/>
    </row>
    <row r="87">
      <c r="B87" s="1765"/>
    </row>
    <row r="88">
      <c r="B88" s="1765"/>
    </row>
    <row r="89">
      <c r="B89" s="1765"/>
    </row>
    <row r="90">
      <c r="B90" s="1765"/>
    </row>
    <row r="91">
      <c r="B91" s="1765"/>
    </row>
    <row r="92">
      <c r="B92" s="1765"/>
    </row>
    <row r="93">
      <c r="B93" s="1765"/>
    </row>
    <row r="94">
      <c r="B94" s="1765"/>
    </row>
    <row r="95">
      <c r="B95" s="1765"/>
    </row>
    <row r="96">
      <c r="B96" s="1765"/>
    </row>
    <row r="97">
      <c r="B97" s="1765"/>
    </row>
    <row r="98">
      <c r="B98" s="1765"/>
    </row>
    <row r="99">
      <c r="B99" s="1765"/>
    </row>
    <row r="100">
      <c r="B100" s="1765"/>
    </row>
    <row r="101">
      <c r="B101" s="1765"/>
    </row>
    <row r="102">
      <c r="B102" s="1765"/>
    </row>
    <row r="103">
      <c r="B103" s="1765"/>
    </row>
    <row r="104">
      <c r="B104" s="1765"/>
    </row>
    <row r="105">
      <c r="B105" s="1765"/>
    </row>
    <row r="106">
      <c r="B106" s="1765"/>
    </row>
    <row r="107">
      <c r="B107" s="1765"/>
    </row>
    <row r="108">
      <c r="B108" s="1765"/>
    </row>
    <row r="109">
      <c r="B109" s="1765"/>
    </row>
    <row r="110">
      <c r="B110" s="1765"/>
    </row>
    <row r="111">
      <c r="B111" s="1765"/>
    </row>
    <row r="112">
      <c r="B112" s="1765"/>
    </row>
    <row r="113">
      <c r="B113" s="1765"/>
    </row>
    <row r="114">
      <c r="B114" s="1765"/>
    </row>
    <row r="115">
      <c r="B115" s="1765"/>
    </row>
    <row r="116">
      <c r="B116" s="1765"/>
    </row>
    <row r="117">
      <c r="B117" s="1765"/>
    </row>
    <row r="118">
      <c r="B118" s="1765"/>
    </row>
    <row r="119">
      <c r="B119" s="1765"/>
    </row>
    <row r="120">
      <c r="B120" s="1765"/>
    </row>
    <row r="121">
      <c r="B121" s="1765"/>
    </row>
    <row r="122">
      <c r="B122" s="1765"/>
    </row>
    <row r="123">
      <c r="B123" s="1765"/>
    </row>
    <row r="124">
      <c r="B124" s="1765"/>
    </row>
    <row r="125">
      <c r="B125" s="1765"/>
    </row>
    <row r="126">
      <c r="B126" s="1765"/>
    </row>
    <row r="127">
      <c r="B127" s="1765"/>
    </row>
    <row r="128">
      <c r="B128" s="1765"/>
    </row>
    <row r="129">
      <c r="B129" s="1765"/>
    </row>
    <row r="130">
      <c r="B130" s="1765"/>
    </row>
    <row r="131">
      <c r="B131" s="1765"/>
    </row>
    <row r="132">
      <c r="B132" s="1765"/>
    </row>
    <row r="133">
      <c r="B133" s="1765"/>
    </row>
    <row r="134">
      <c r="B134" s="1765"/>
    </row>
    <row r="135">
      <c r="B135" s="1765"/>
    </row>
    <row r="136">
      <c r="B136" s="1765"/>
    </row>
    <row r="137">
      <c r="B137" s="1765"/>
    </row>
    <row r="138">
      <c r="B138" s="1765"/>
    </row>
    <row r="139">
      <c r="B139" s="1765"/>
    </row>
    <row r="140">
      <c r="B140" s="1765"/>
    </row>
    <row r="141">
      <c r="B141" s="1765"/>
    </row>
    <row r="142">
      <c r="B142" s="1765"/>
    </row>
    <row r="143">
      <c r="B143" s="1765"/>
    </row>
    <row r="144">
      <c r="B144" s="1765"/>
    </row>
    <row r="145">
      <c r="B145" s="1765"/>
    </row>
    <row r="146">
      <c r="B146" s="1765"/>
    </row>
    <row r="147">
      <c r="B147" s="1765"/>
    </row>
    <row r="148">
      <c r="B148" s="1765"/>
    </row>
    <row r="149">
      <c r="B149" s="1765"/>
    </row>
    <row r="150">
      <c r="B150" s="1765"/>
    </row>
    <row r="151">
      <c r="B151" s="1765"/>
    </row>
    <row r="152">
      <c r="B152" s="1765"/>
    </row>
    <row r="153">
      <c r="B153" s="1765"/>
    </row>
    <row r="154">
      <c r="B154" s="1765"/>
    </row>
    <row r="155">
      <c r="B155" s="1765"/>
    </row>
    <row r="156">
      <c r="B156" s="1765"/>
    </row>
    <row r="157">
      <c r="B157" s="1765"/>
    </row>
    <row r="158">
      <c r="B158" s="1765"/>
    </row>
    <row r="159">
      <c r="B159" s="1765"/>
    </row>
    <row r="160">
      <c r="B160" s="1765"/>
    </row>
    <row r="161">
      <c r="B161" s="1765"/>
    </row>
    <row r="162">
      <c r="B162" s="1765"/>
    </row>
    <row r="163">
      <c r="B163" s="1765"/>
    </row>
    <row r="164">
      <c r="B164" s="1765"/>
    </row>
    <row r="165">
      <c r="B165" s="1765"/>
    </row>
    <row r="166">
      <c r="B166" s="1765"/>
    </row>
    <row r="167">
      <c r="B167" s="1765"/>
    </row>
    <row r="168">
      <c r="B168" s="1765"/>
    </row>
    <row r="169">
      <c r="B169" s="1765"/>
    </row>
    <row r="170">
      <c r="B170" s="1765"/>
    </row>
    <row r="171">
      <c r="B171" s="1765"/>
    </row>
    <row r="172">
      <c r="B172" s="1765"/>
    </row>
    <row r="173">
      <c r="B173" s="1765"/>
    </row>
    <row r="174">
      <c r="B174" s="1765"/>
    </row>
    <row r="175">
      <c r="B175" s="1765"/>
    </row>
    <row r="176">
      <c r="B176" s="1765"/>
    </row>
    <row r="177">
      <c r="B177" s="1765"/>
    </row>
    <row r="178">
      <c r="B178" s="1765"/>
    </row>
    <row r="179">
      <c r="B179" s="1765"/>
    </row>
    <row r="180">
      <c r="B180" s="1765"/>
    </row>
    <row r="181">
      <c r="B181" s="1765"/>
    </row>
    <row r="182">
      <c r="B182" s="1765"/>
    </row>
    <row r="183">
      <c r="B183" s="1765"/>
    </row>
    <row r="184">
      <c r="B184" s="1765"/>
    </row>
    <row r="185">
      <c r="B185" s="1765"/>
    </row>
    <row r="186">
      <c r="B186" s="1765"/>
    </row>
    <row r="187">
      <c r="B187" s="1765"/>
    </row>
    <row r="188">
      <c r="B188" s="1765"/>
    </row>
    <row r="189">
      <c r="B189" s="1765"/>
    </row>
    <row r="190">
      <c r="B190" s="1765"/>
    </row>
    <row r="191">
      <c r="B191" s="1765"/>
    </row>
    <row r="192">
      <c r="B192" s="1765"/>
    </row>
    <row r="193">
      <c r="B193" s="1765"/>
    </row>
    <row r="194">
      <c r="B194" s="1765"/>
    </row>
    <row r="195">
      <c r="B195" s="1765"/>
    </row>
    <row r="196">
      <c r="B196" s="1765"/>
    </row>
    <row r="197">
      <c r="B197" s="1765"/>
    </row>
    <row r="198">
      <c r="B198" s="1765"/>
    </row>
    <row r="199">
      <c r="B199" s="1765"/>
    </row>
    <row r="200">
      <c r="B200" s="1765"/>
    </row>
    <row r="201">
      <c r="B201" s="1765"/>
    </row>
    <row r="202">
      <c r="B202" s="1765"/>
    </row>
    <row r="203">
      <c r="B203" s="1765"/>
    </row>
    <row r="204">
      <c r="B204" s="1765"/>
    </row>
    <row r="205">
      <c r="B205" s="1765"/>
    </row>
    <row r="206">
      <c r="B206" s="1765"/>
    </row>
    <row r="207">
      <c r="B207" s="1765"/>
    </row>
    <row r="208">
      <c r="B208" s="1765"/>
    </row>
    <row r="209">
      <c r="B209" s="1765"/>
    </row>
    <row r="210">
      <c r="B210" s="1765"/>
    </row>
    <row r="211">
      <c r="B211" s="1765"/>
    </row>
    <row r="212">
      <c r="B212" s="1765"/>
    </row>
    <row r="213">
      <c r="B213" s="1765"/>
    </row>
    <row r="214">
      <c r="B214" s="1765"/>
    </row>
    <row r="215">
      <c r="B215" s="1765"/>
    </row>
    <row r="216">
      <c r="B216" s="1765"/>
    </row>
    <row r="217">
      <c r="B217" s="1765"/>
    </row>
    <row r="218">
      <c r="B218" s="1765"/>
    </row>
    <row r="219">
      <c r="B219" s="1765"/>
    </row>
    <row r="220">
      <c r="B220" s="1765"/>
    </row>
    <row r="221">
      <c r="B221" s="1765"/>
    </row>
    <row r="222">
      <c r="B222" s="1765"/>
    </row>
    <row r="223">
      <c r="B223" s="1765"/>
    </row>
    <row r="224">
      <c r="B224" s="1765"/>
    </row>
    <row r="225">
      <c r="B225" s="1765"/>
    </row>
    <row r="226">
      <c r="B226" s="1765"/>
    </row>
    <row r="227">
      <c r="B227" s="1765"/>
    </row>
    <row r="228">
      <c r="B228" s="1765"/>
    </row>
    <row r="229">
      <c r="B229" s="1765"/>
    </row>
    <row r="230">
      <c r="B230" s="1765"/>
    </row>
    <row r="231">
      <c r="B231" s="1765"/>
    </row>
    <row r="232">
      <c r="B232" s="1765"/>
    </row>
    <row r="233">
      <c r="B233" s="1765"/>
    </row>
    <row r="234">
      <c r="B234" s="1765"/>
    </row>
    <row r="235">
      <c r="B235" s="1765"/>
    </row>
    <row r="236">
      <c r="B236" s="1765"/>
    </row>
    <row r="237">
      <c r="B237" s="1765"/>
    </row>
    <row r="238">
      <c r="B238" s="1765"/>
    </row>
    <row r="239">
      <c r="B239" s="1765"/>
    </row>
    <row r="240">
      <c r="B240" s="1765"/>
    </row>
    <row r="241">
      <c r="B241" s="1765"/>
    </row>
    <row r="242">
      <c r="B242" s="1765"/>
    </row>
    <row r="243">
      <c r="B243" s="1765"/>
    </row>
    <row r="244">
      <c r="B244" s="1765"/>
    </row>
    <row r="245">
      <c r="B245" s="1765"/>
    </row>
    <row r="246">
      <c r="B246" s="1765"/>
    </row>
    <row r="247">
      <c r="B247" s="1765"/>
    </row>
    <row r="248">
      <c r="B248" s="1765"/>
    </row>
    <row r="249">
      <c r="B249" s="1765"/>
    </row>
    <row r="250">
      <c r="B250" s="1765"/>
    </row>
    <row r="251">
      <c r="B251" s="1765"/>
    </row>
    <row r="252">
      <c r="B252" s="1765"/>
    </row>
    <row r="253">
      <c r="B253" s="1765"/>
    </row>
    <row r="254">
      <c r="B254" s="1765"/>
    </row>
    <row r="255">
      <c r="B255" s="1765"/>
    </row>
    <row r="256">
      <c r="B256" s="1765"/>
    </row>
    <row r="257">
      <c r="B257" s="1765"/>
    </row>
    <row r="258">
      <c r="B258" s="1765"/>
    </row>
    <row r="259">
      <c r="B259" s="1765"/>
    </row>
    <row r="260">
      <c r="B260" s="1765"/>
    </row>
    <row r="261">
      <c r="B261" s="1765"/>
    </row>
    <row r="262">
      <c r="B262" s="1765"/>
    </row>
    <row r="263">
      <c r="B263" s="1765"/>
    </row>
    <row r="264">
      <c r="B264" s="1765"/>
    </row>
    <row r="265">
      <c r="B265" s="1765"/>
    </row>
    <row r="266">
      <c r="B266" s="1765"/>
    </row>
    <row r="267">
      <c r="B267" s="1765"/>
    </row>
    <row r="268">
      <c r="B268" s="1765"/>
    </row>
    <row r="269">
      <c r="B269" s="1765"/>
    </row>
    <row r="270">
      <c r="B270" s="1765"/>
    </row>
    <row r="271">
      <c r="B271" s="1765"/>
    </row>
    <row r="272">
      <c r="B272" s="1765"/>
    </row>
    <row r="273">
      <c r="B273" s="1765"/>
    </row>
    <row r="274">
      <c r="B274" s="1765"/>
    </row>
    <row r="275">
      <c r="B275" s="1765"/>
    </row>
    <row r="276">
      <c r="B276" s="1765"/>
    </row>
    <row r="277">
      <c r="B277" s="1765"/>
    </row>
    <row r="278">
      <c r="B278" s="1765"/>
    </row>
    <row r="279">
      <c r="B279" s="1765"/>
    </row>
    <row r="280">
      <c r="B280" s="1765"/>
    </row>
    <row r="281">
      <c r="B281" s="1765"/>
    </row>
    <row r="282">
      <c r="B282" s="1765"/>
    </row>
    <row r="283">
      <c r="B283" s="1765"/>
    </row>
    <row r="284">
      <c r="B284" s="1765"/>
    </row>
    <row r="285">
      <c r="B285" s="1765"/>
    </row>
    <row r="286">
      <c r="B286" s="1765"/>
    </row>
    <row r="287">
      <c r="B287" s="1765"/>
    </row>
    <row r="288">
      <c r="B288" s="1765"/>
    </row>
    <row r="289">
      <c r="B289" s="1765"/>
    </row>
    <row r="290">
      <c r="B290" s="1765"/>
    </row>
    <row r="291">
      <c r="B291" s="1765"/>
    </row>
    <row r="292">
      <c r="B292" s="1765"/>
    </row>
    <row r="293">
      <c r="B293" s="1765"/>
    </row>
    <row r="294">
      <c r="B294" s="1765"/>
    </row>
    <row r="295">
      <c r="B295" s="1765"/>
    </row>
    <row r="296">
      <c r="B296" s="1765"/>
    </row>
    <row r="297">
      <c r="B297" s="1765"/>
    </row>
    <row r="298">
      <c r="B298" s="1765"/>
    </row>
    <row r="299">
      <c r="B299" s="1765"/>
    </row>
    <row r="300">
      <c r="B300" s="1765"/>
    </row>
    <row r="301">
      <c r="B301" s="1765"/>
    </row>
    <row r="302">
      <c r="B302" s="1765"/>
    </row>
    <row r="303">
      <c r="B303" s="1765"/>
    </row>
    <row r="304">
      <c r="B304" s="1765"/>
    </row>
    <row r="305">
      <c r="B305" s="1765"/>
    </row>
    <row r="306">
      <c r="B306" s="1765"/>
    </row>
    <row r="307">
      <c r="B307" s="1765"/>
    </row>
    <row r="308">
      <c r="B308" s="1765"/>
    </row>
    <row r="309">
      <c r="B309" s="1765"/>
    </row>
    <row r="310">
      <c r="B310" s="1765"/>
    </row>
    <row r="311">
      <c r="B311" s="1765"/>
    </row>
    <row r="312">
      <c r="B312" s="1765"/>
    </row>
    <row r="313">
      <c r="B313" s="1765"/>
    </row>
    <row r="314">
      <c r="B314" s="1765"/>
    </row>
    <row r="315">
      <c r="B315" s="1765"/>
    </row>
    <row r="316">
      <c r="B316" s="1765"/>
    </row>
    <row r="317">
      <c r="B317" s="1765"/>
    </row>
    <row r="318">
      <c r="B318" s="1765"/>
    </row>
    <row r="319">
      <c r="B319" s="1765"/>
    </row>
    <row r="320">
      <c r="B320" s="1765"/>
    </row>
    <row r="321">
      <c r="B321" s="1765"/>
    </row>
    <row r="322">
      <c r="B322" s="1765"/>
    </row>
    <row r="323">
      <c r="B323" s="1765"/>
    </row>
    <row r="324">
      <c r="B324" s="1765"/>
    </row>
    <row r="325">
      <c r="B325" s="1765"/>
    </row>
    <row r="326">
      <c r="B326" s="1765"/>
    </row>
    <row r="327">
      <c r="B327" s="1765"/>
    </row>
    <row r="328">
      <c r="B328" s="1765"/>
    </row>
    <row r="329">
      <c r="B329" s="1765"/>
    </row>
    <row r="330">
      <c r="B330" s="1765"/>
    </row>
    <row r="331">
      <c r="B331" s="1765"/>
    </row>
    <row r="332">
      <c r="B332" s="1765"/>
    </row>
    <row r="333">
      <c r="B333" s="1765"/>
    </row>
    <row r="334">
      <c r="B334" s="1765"/>
    </row>
    <row r="335">
      <c r="B335" s="1765"/>
    </row>
    <row r="336">
      <c r="B336" s="1765"/>
    </row>
    <row r="337">
      <c r="B337" s="1765"/>
    </row>
    <row r="338">
      <c r="B338" s="1765"/>
    </row>
    <row r="339">
      <c r="B339" s="1765"/>
    </row>
    <row r="340">
      <c r="B340" s="1765"/>
    </row>
    <row r="341">
      <c r="B341" s="1765"/>
    </row>
    <row r="342">
      <c r="B342" s="1765"/>
    </row>
    <row r="343">
      <c r="B343" s="1765"/>
    </row>
    <row r="344">
      <c r="B344" s="1765"/>
    </row>
    <row r="345">
      <c r="B345" s="1765"/>
    </row>
    <row r="346">
      <c r="B346" s="1765"/>
    </row>
    <row r="347">
      <c r="B347" s="1765"/>
    </row>
    <row r="348">
      <c r="B348" s="1765"/>
    </row>
    <row r="349">
      <c r="B349" s="1765"/>
    </row>
    <row r="350">
      <c r="B350" s="1765"/>
    </row>
    <row r="351">
      <c r="B351" s="1765"/>
    </row>
    <row r="352">
      <c r="B352" s="1765"/>
    </row>
    <row r="353">
      <c r="B353" s="1765"/>
    </row>
    <row r="354">
      <c r="B354" s="1765"/>
    </row>
    <row r="355">
      <c r="B355" s="1765"/>
    </row>
    <row r="356">
      <c r="B356" s="1765"/>
    </row>
    <row r="357">
      <c r="B357" s="1765"/>
    </row>
    <row r="358">
      <c r="B358" s="1765"/>
    </row>
    <row r="359">
      <c r="B359" s="1765"/>
    </row>
    <row r="360">
      <c r="B360" s="1765"/>
    </row>
    <row r="361">
      <c r="B361" s="1765"/>
    </row>
    <row r="362">
      <c r="B362" s="1765"/>
    </row>
    <row r="363">
      <c r="B363" s="1765"/>
    </row>
    <row r="364">
      <c r="B364" s="1765"/>
    </row>
    <row r="365">
      <c r="B365" s="1765"/>
    </row>
    <row r="366">
      <c r="B366" s="1765"/>
    </row>
    <row r="367">
      <c r="B367" s="1765"/>
    </row>
    <row r="368">
      <c r="B368" s="1765"/>
    </row>
    <row r="369">
      <c r="B369" s="1765"/>
    </row>
    <row r="370">
      <c r="B370" s="1765"/>
    </row>
    <row r="371">
      <c r="B371" s="1765"/>
    </row>
    <row r="372">
      <c r="B372" s="1765"/>
    </row>
    <row r="373">
      <c r="B373" s="1765"/>
    </row>
    <row r="374">
      <c r="B374" s="1765"/>
    </row>
    <row r="375">
      <c r="B375" s="1765"/>
    </row>
    <row r="376">
      <c r="B376" s="1765"/>
    </row>
    <row r="377">
      <c r="B377" s="1765"/>
    </row>
    <row r="378">
      <c r="B378" s="1765"/>
    </row>
    <row r="379">
      <c r="B379" s="1765"/>
    </row>
    <row r="380">
      <c r="B380" s="1765"/>
    </row>
    <row r="381">
      <c r="B381" s="1765"/>
    </row>
    <row r="382">
      <c r="B382" s="1765"/>
    </row>
    <row r="383">
      <c r="B383" s="1765"/>
    </row>
    <row r="384">
      <c r="B384" s="1765"/>
    </row>
    <row r="385">
      <c r="B385" s="1765"/>
    </row>
    <row r="386">
      <c r="B386" s="1765"/>
    </row>
    <row r="387">
      <c r="B387" s="1765"/>
    </row>
    <row r="388">
      <c r="B388" s="1765"/>
    </row>
    <row r="389">
      <c r="B389" s="1765"/>
    </row>
    <row r="390">
      <c r="B390" s="1765"/>
    </row>
    <row r="391">
      <c r="B391" s="1765"/>
    </row>
    <row r="392">
      <c r="B392" s="1765"/>
    </row>
    <row r="393">
      <c r="B393" s="1765"/>
    </row>
    <row r="394">
      <c r="B394" s="1765"/>
    </row>
    <row r="395">
      <c r="B395" s="1765"/>
    </row>
    <row r="396">
      <c r="B396" s="1765"/>
    </row>
    <row r="397">
      <c r="B397" s="1765"/>
    </row>
    <row r="398">
      <c r="B398" s="1765"/>
    </row>
    <row r="399">
      <c r="B399" s="1765"/>
    </row>
    <row r="400">
      <c r="B400" s="1765"/>
    </row>
    <row r="401">
      <c r="B401" s="1765"/>
    </row>
    <row r="402">
      <c r="B402" s="1765"/>
    </row>
    <row r="403">
      <c r="B403" s="1765"/>
    </row>
    <row r="404">
      <c r="B404" s="1765"/>
    </row>
    <row r="405">
      <c r="B405" s="1765"/>
    </row>
    <row r="406">
      <c r="B406" s="1765"/>
    </row>
    <row r="407">
      <c r="B407" s="1765"/>
    </row>
    <row r="408">
      <c r="B408" s="1765"/>
    </row>
    <row r="409">
      <c r="B409" s="1765"/>
    </row>
    <row r="410">
      <c r="B410" s="1765"/>
    </row>
    <row r="411">
      <c r="B411" s="1765"/>
    </row>
    <row r="412">
      <c r="B412" s="1765"/>
    </row>
    <row r="413">
      <c r="B413" s="1765"/>
    </row>
    <row r="414">
      <c r="B414" s="1765"/>
    </row>
    <row r="415">
      <c r="B415" s="1765"/>
    </row>
    <row r="416">
      <c r="B416" s="1765"/>
    </row>
    <row r="417">
      <c r="B417" s="1765"/>
    </row>
    <row r="418">
      <c r="B418" s="1765"/>
    </row>
    <row r="419">
      <c r="B419" s="1765"/>
    </row>
    <row r="420">
      <c r="B420" s="1765"/>
    </row>
    <row r="421">
      <c r="B421" s="1765"/>
    </row>
    <row r="422">
      <c r="B422" s="1765"/>
    </row>
    <row r="423">
      <c r="B423" s="1765"/>
    </row>
    <row r="424">
      <c r="B424" s="1765"/>
    </row>
    <row r="425">
      <c r="B425" s="1765"/>
    </row>
    <row r="426">
      <c r="B426" s="1765"/>
    </row>
    <row r="427">
      <c r="B427" s="1765"/>
    </row>
    <row r="428">
      <c r="B428" s="1765"/>
    </row>
    <row r="429">
      <c r="B429" s="1765"/>
    </row>
    <row r="430">
      <c r="B430" s="1765"/>
    </row>
    <row r="431">
      <c r="B431" s="1765"/>
    </row>
    <row r="432">
      <c r="B432" s="1765"/>
    </row>
    <row r="433">
      <c r="B433" s="1765"/>
    </row>
    <row r="434">
      <c r="B434" s="1765"/>
    </row>
    <row r="435">
      <c r="B435" s="1765"/>
    </row>
    <row r="436">
      <c r="B436" s="1765"/>
    </row>
    <row r="437">
      <c r="B437" s="1765"/>
    </row>
    <row r="438">
      <c r="B438" s="1765"/>
    </row>
    <row r="439">
      <c r="B439" s="1765"/>
    </row>
    <row r="440">
      <c r="B440" s="1765"/>
    </row>
    <row r="441">
      <c r="B441" s="1765"/>
    </row>
    <row r="442">
      <c r="B442" s="1765"/>
    </row>
    <row r="443">
      <c r="B443" s="1765"/>
    </row>
    <row r="444">
      <c r="B444" s="1765"/>
    </row>
    <row r="445">
      <c r="B445" s="1765"/>
    </row>
    <row r="446">
      <c r="B446" s="1765"/>
    </row>
    <row r="447">
      <c r="B447" s="1765"/>
    </row>
    <row r="448">
      <c r="B448" s="1765"/>
    </row>
    <row r="449">
      <c r="B449" s="1765"/>
    </row>
    <row r="450">
      <c r="B450" s="1765"/>
    </row>
    <row r="451">
      <c r="B451" s="1765"/>
    </row>
    <row r="452">
      <c r="B452" s="1765"/>
    </row>
    <row r="453">
      <c r="B453" s="1765"/>
    </row>
    <row r="454">
      <c r="B454" s="1765"/>
    </row>
    <row r="455">
      <c r="B455" s="1765"/>
    </row>
    <row r="456">
      <c r="B456" s="1765"/>
    </row>
    <row r="457">
      <c r="B457" s="1765"/>
    </row>
    <row r="458">
      <c r="B458" s="1765"/>
    </row>
    <row r="459">
      <c r="B459" s="1765"/>
    </row>
    <row r="460">
      <c r="B460" s="1765"/>
    </row>
    <row r="461">
      <c r="B461" s="1765"/>
    </row>
    <row r="462">
      <c r="B462" s="1765"/>
    </row>
    <row r="463">
      <c r="B463" s="1765"/>
    </row>
    <row r="464">
      <c r="B464" s="1765"/>
    </row>
    <row r="465">
      <c r="B465" s="1765"/>
    </row>
    <row r="466">
      <c r="B466" s="1765"/>
    </row>
    <row r="467">
      <c r="B467" s="1765"/>
    </row>
    <row r="468">
      <c r="B468" s="1765"/>
    </row>
    <row r="469">
      <c r="B469" s="1765"/>
    </row>
    <row r="470">
      <c r="B470" s="1765"/>
    </row>
    <row r="471">
      <c r="B471" s="1765"/>
    </row>
    <row r="472">
      <c r="B472" s="1765"/>
    </row>
    <row r="473">
      <c r="B473" s="1765"/>
    </row>
    <row r="474">
      <c r="B474" s="1765"/>
    </row>
    <row r="475">
      <c r="B475" s="1765"/>
    </row>
    <row r="476">
      <c r="B476" s="1765"/>
    </row>
    <row r="477">
      <c r="B477" s="1765"/>
    </row>
    <row r="478">
      <c r="B478" s="1765"/>
    </row>
    <row r="479">
      <c r="B479" s="1765"/>
    </row>
    <row r="480">
      <c r="B480" s="1765"/>
    </row>
    <row r="481">
      <c r="B481" s="1765"/>
    </row>
    <row r="482">
      <c r="B482" s="1765"/>
    </row>
    <row r="483">
      <c r="B483" s="1765"/>
    </row>
    <row r="484">
      <c r="B484" s="1765"/>
    </row>
    <row r="485">
      <c r="B485" s="1765"/>
    </row>
    <row r="486">
      <c r="B486" s="1765"/>
    </row>
    <row r="487">
      <c r="B487" s="1765"/>
    </row>
    <row r="488">
      <c r="B488" s="1765"/>
    </row>
    <row r="489">
      <c r="B489" s="1765"/>
    </row>
    <row r="490">
      <c r="B490" s="1765"/>
    </row>
    <row r="491">
      <c r="B491" s="1765"/>
    </row>
    <row r="492">
      <c r="B492" s="1765"/>
    </row>
    <row r="493">
      <c r="B493" s="1765"/>
    </row>
    <row r="494">
      <c r="B494" s="1765"/>
    </row>
    <row r="495">
      <c r="B495" s="1765"/>
    </row>
    <row r="496">
      <c r="B496" s="1765"/>
    </row>
    <row r="497">
      <c r="B497" s="1765"/>
    </row>
    <row r="498">
      <c r="B498" s="1765"/>
    </row>
    <row r="499">
      <c r="B499" s="1765"/>
    </row>
    <row r="500">
      <c r="B500" s="1765"/>
    </row>
    <row r="501">
      <c r="B501" s="1765"/>
    </row>
    <row r="502">
      <c r="B502" s="1765"/>
    </row>
    <row r="503">
      <c r="B503" s="1765"/>
    </row>
    <row r="504">
      <c r="B504" s="1765"/>
    </row>
    <row r="505">
      <c r="B505" s="1765"/>
    </row>
    <row r="506">
      <c r="B506" s="1765"/>
    </row>
    <row r="507">
      <c r="B507" s="1765"/>
    </row>
    <row r="508">
      <c r="B508" s="1765"/>
    </row>
    <row r="509">
      <c r="B509" s="1765"/>
    </row>
    <row r="510">
      <c r="B510" s="1765"/>
    </row>
    <row r="511">
      <c r="B511" s="1765"/>
    </row>
    <row r="512">
      <c r="B512" s="1765"/>
    </row>
    <row r="513">
      <c r="B513" s="1765"/>
    </row>
    <row r="514">
      <c r="B514" s="1765"/>
    </row>
    <row r="515">
      <c r="B515" s="1765"/>
    </row>
    <row r="516">
      <c r="B516" s="1765"/>
    </row>
    <row r="517">
      <c r="B517" s="1765"/>
    </row>
    <row r="518">
      <c r="B518" s="1765"/>
    </row>
    <row r="519">
      <c r="B519" s="1765"/>
    </row>
    <row r="520">
      <c r="B520" s="1765"/>
    </row>
    <row r="521">
      <c r="B521" s="1765"/>
    </row>
    <row r="522">
      <c r="B522" s="1765"/>
    </row>
    <row r="523">
      <c r="B523" s="1765"/>
    </row>
    <row r="524">
      <c r="B524" s="1765"/>
    </row>
    <row r="525">
      <c r="B525" s="1765"/>
    </row>
    <row r="526">
      <c r="B526" s="1765"/>
    </row>
    <row r="527">
      <c r="B527" s="1765"/>
    </row>
    <row r="528">
      <c r="B528" s="1765"/>
    </row>
    <row r="529">
      <c r="B529" s="1765"/>
    </row>
    <row r="530">
      <c r="B530" s="1765"/>
    </row>
    <row r="531">
      <c r="B531" s="1765"/>
    </row>
    <row r="532">
      <c r="B532" s="1765"/>
    </row>
    <row r="533">
      <c r="B533" s="1765"/>
    </row>
    <row r="534">
      <c r="B534" s="1765"/>
    </row>
    <row r="535">
      <c r="B535" s="1765"/>
    </row>
    <row r="536">
      <c r="B536" s="1765"/>
    </row>
    <row r="537">
      <c r="B537" s="1765"/>
    </row>
    <row r="538">
      <c r="B538" s="1765"/>
    </row>
    <row r="539">
      <c r="B539" s="1765"/>
    </row>
    <row r="540">
      <c r="B540" s="1765"/>
    </row>
    <row r="541">
      <c r="B541" s="1765"/>
    </row>
    <row r="542">
      <c r="B542" s="1765"/>
    </row>
    <row r="543">
      <c r="B543" s="1765"/>
    </row>
    <row r="544">
      <c r="B544" s="1765"/>
    </row>
    <row r="545">
      <c r="B545" s="1765"/>
    </row>
    <row r="546">
      <c r="B546" s="1765"/>
    </row>
    <row r="547">
      <c r="B547" s="1765"/>
    </row>
    <row r="548">
      <c r="B548" s="1765"/>
    </row>
    <row r="549">
      <c r="B549" s="1765"/>
    </row>
    <row r="550">
      <c r="B550" s="1765"/>
    </row>
    <row r="551">
      <c r="B551" s="1765"/>
    </row>
    <row r="552">
      <c r="B552" s="1765"/>
    </row>
    <row r="553">
      <c r="B553" s="1765"/>
    </row>
    <row r="554">
      <c r="B554" s="1765"/>
    </row>
    <row r="555">
      <c r="B555" s="1765"/>
    </row>
    <row r="556">
      <c r="B556" s="1765"/>
    </row>
    <row r="557">
      <c r="B557" s="1765"/>
    </row>
    <row r="558">
      <c r="B558" s="1765"/>
    </row>
    <row r="559">
      <c r="B559" s="1765"/>
    </row>
    <row r="560">
      <c r="B560" s="1765"/>
    </row>
    <row r="561">
      <c r="B561" s="1765"/>
    </row>
    <row r="562">
      <c r="B562" s="1765"/>
    </row>
    <row r="563">
      <c r="B563" s="1765"/>
    </row>
    <row r="564">
      <c r="B564" s="1765"/>
    </row>
    <row r="565">
      <c r="B565" s="1765"/>
    </row>
    <row r="566">
      <c r="B566" s="1765"/>
    </row>
    <row r="567">
      <c r="B567" s="1765"/>
    </row>
    <row r="568">
      <c r="B568" s="1765"/>
    </row>
    <row r="569">
      <c r="B569" s="1765"/>
    </row>
    <row r="570">
      <c r="B570" s="1765"/>
    </row>
    <row r="571">
      <c r="B571" s="1765"/>
    </row>
    <row r="572">
      <c r="B572" s="1765"/>
    </row>
    <row r="573">
      <c r="B573" s="1765"/>
    </row>
    <row r="574">
      <c r="B574" s="1765"/>
    </row>
    <row r="575">
      <c r="B575" s="1765"/>
    </row>
    <row r="576">
      <c r="B576" s="1765"/>
    </row>
    <row r="577">
      <c r="B577" s="1765"/>
    </row>
    <row r="578">
      <c r="B578" s="1765"/>
    </row>
    <row r="579">
      <c r="B579" s="1765"/>
    </row>
    <row r="580">
      <c r="B580" s="1765"/>
    </row>
    <row r="581">
      <c r="B581" s="1765"/>
    </row>
    <row r="582">
      <c r="B582" s="1765"/>
    </row>
    <row r="583">
      <c r="B583" s="1765"/>
    </row>
    <row r="584">
      <c r="B584" s="1765"/>
    </row>
    <row r="585">
      <c r="B585" s="1765"/>
    </row>
    <row r="586">
      <c r="B586" s="1765"/>
    </row>
    <row r="587">
      <c r="B587" s="1765"/>
    </row>
    <row r="588">
      <c r="B588" s="1765"/>
    </row>
    <row r="589">
      <c r="B589" s="1765"/>
    </row>
    <row r="590">
      <c r="B590" s="1765"/>
    </row>
    <row r="591">
      <c r="B591" s="1765"/>
    </row>
    <row r="592">
      <c r="B592" s="1765"/>
    </row>
    <row r="593">
      <c r="B593" s="1765"/>
    </row>
    <row r="594">
      <c r="B594" s="1765"/>
    </row>
    <row r="595">
      <c r="B595" s="1765"/>
    </row>
    <row r="596">
      <c r="B596" s="1765"/>
    </row>
    <row r="597">
      <c r="B597" s="1765"/>
    </row>
    <row r="598">
      <c r="B598" s="1765"/>
    </row>
    <row r="599">
      <c r="B599" s="1765"/>
    </row>
    <row r="600">
      <c r="B600" s="1765"/>
    </row>
    <row r="601">
      <c r="B601" s="1765"/>
    </row>
    <row r="602">
      <c r="B602" s="1765"/>
    </row>
    <row r="603">
      <c r="B603" s="1765"/>
    </row>
    <row r="604">
      <c r="B604" s="1765"/>
    </row>
    <row r="605">
      <c r="B605" s="1765"/>
    </row>
    <row r="606">
      <c r="B606" s="1765"/>
    </row>
    <row r="607">
      <c r="B607" s="1765"/>
    </row>
    <row r="608">
      <c r="B608" s="1765"/>
    </row>
    <row r="609">
      <c r="B609" s="1765"/>
    </row>
    <row r="610">
      <c r="B610" s="1765"/>
    </row>
    <row r="611">
      <c r="B611" s="1765"/>
    </row>
    <row r="612">
      <c r="B612" s="1765"/>
    </row>
    <row r="613">
      <c r="B613" s="1765"/>
    </row>
    <row r="614">
      <c r="B614" s="1765"/>
    </row>
    <row r="615">
      <c r="B615" s="1765"/>
    </row>
    <row r="616">
      <c r="B616" s="1765"/>
    </row>
    <row r="617">
      <c r="B617" s="1765"/>
    </row>
    <row r="618">
      <c r="B618" s="1765"/>
    </row>
    <row r="619">
      <c r="B619" s="1765"/>
    </row>
    <row r="620">
      <c r="B620" s="1765"/>
    </row>
    <row r="621">
      <c r="B621" s="1765"/>
    </row>
    <row r="622">
      <c r="B622" s="1765"/>
    </row>
    <row r="623">
      <c r="B623" s="1765"/>
    </row>
    <row r="624">
      <c r="B624" s="1765"/>
    </row>
    <row r="625">
      <c r="B625" s="1765"/>
    </row>
    <row r="626">
      <c r="B626" s="1765"/>
    </row>
    <row r="627">
      <c r="B627" s="1765"/>
    </row>
    <row r="628">
      <c r="B628" s="1765"/>
    </row>
    <row r="629">
      <c r="B629" s="1765"/>
    </row>
    <row r="630">
      <c r="B630" s="1765"/>
    </row>
    <row r="631">
      <c r="B631" s="1765"/>
    </row>
    <row r="632">
      <c r="B632" s="1765"/>
    </row>
    <row r="633">
      <c r="B633" s="1765"/>
    </row>
    <row r="634">
      <c r="B634" s="1765"/>
    </row>
    <row r="635">
      <c r="B635" s="1765"/>
    </row>
    <row r="636">
      <c r="B636" s="1765"/>
    </row>
    <row r="637">
      <c r="B637" s="1765"/>
    </row>
    <row r="638">
      <c r="B638" s="1765"/>
    </row>
    <row r="639">
      <c r="B639" s="1765"/>
    </row>
    <row r="640">
      <c r="B640" s="1765"/>
    </row>
    <row r="641">
      <c r="B641" s="1765"/>
    </row>
    <row r="642">
      <c r="B642" s="1765"/>
    </row>
    <row r="643">
      <c r="B643" s="1765"/>
    </row>
    <row r="644">
      <c r="B644" s="1765"/>
    </row>
    <row r="645">
      <c r="B645" s="1765"/>
    </row>
    <row r="646">
      <c r="B646" s="1765"/>
    </row>
    <row r="647">
      <c r="B647" s="1765"/>
    </row>
    <row r="648">
      <c r="B648" s="1765"/>
    </row>
    <row r="649">
      <c r="B649" s="1765"/>
    </row>
    <row r="650">
      <c r="B650" s="1765"/>
    </row>
    <row r="651">
      <c r="B651" s="1765"/>
    </row>
    <row r="652">
      <c r="B652" s="1765"/>
    </row>
    <row r="653">
      <c r="B653" s="1765"/>
    </row>
    <row r="654">
      <c r="B654" s="1765"/>
    </row>
    <row r="655">
      <c r="B655" s="1765"/>
    </row>
    <row r="656">
      <c r="B656" s="1765"/>
    </row>
    <row r="657">
      <c r="B657" s="1765"/>
    </row>
    <row r="658">
      <c r="B658" s="1765"/>
    </row>
    <row r="659">
      <c r="B659" s="1765"/>
    </row>
    <row r="660">
      <c r="B660" s="1765"/>
    </row>
    <row r="661">
      <c r="B661" s="1765"/>
    </row>
    <row r="662">
      <c r="B662" s="1765"/>
    </row>
    <row r="663">
      <c r="B663" s="1765"/>
    </row>
    <row r="664">
      <c r="B664" s="1765"/>
    </row>
    <row r="665">
      <c r="B665" s="1765"/>
    </row>
    <row r="666">
      <c r="B666" s="1765"/>
    </row>
    <row r="667">
      <c r="B667" s="1765"/>
    </row>
    <row r="668">
      <c r="B668" s="1765"/>
    </row>
    <row r="669">
      <c r="B669" s="1765"/>
    </row>
    <row r="670">
      <c r="B670" s="1765"/>
    </row>
    <row r="671">
      <c r="B671" s="1765"/>
    </row>
    <row r="672">
      <c r="B672" s="1765"/>
    </row>
    <row r="673">
      <c r="B673" s="1765"/>
    </row>
    <row r="674">
      <c r="B674" s="1765"/>
    </row>
    <row r="675">
      <c r="B675" s="1765"/>
    </row>
    <row r="676">
      <c r="B676" s="1765"/>
    </row>
    <row r="677">
      <c r="B677" s="1765"/>
    </row>
    <row r="678">
      <c r="B678" s="1765"/>
    </row>
    <row r="679">
      <c r="B679" s="1765"/>
    </row>
    <row r="680">
      <c r="B680" s="1765"/>
    </row>
    <row r="681">
      <c r="B681" s="1765"/>
    </row>
    <row r="682">
      <c r="B682" s="1765"/>
    </row>
    <row r="683">
      <c r="B683" s="1765"/>
    </row>
    <row r="684">
      <c r="B684" s="1765"/>
    </row>
    <row r="685">
      <c r="B685" s="1765"/>
    </row>
    <row r="686">
      <c r="B686" s="1765"/>
    </row>
    <row r="687">
      <c r="B687" s="1765"/>
    </row>
    <row r="688">
      <c r="B688" s="1765"/>
    </row>
    <row r="689">
      <c r="B689" s="1765"/>
    </row>
    <row r="690">
      <c r="B690" s="1765"/>
    </row>
    <row r="691">
      <c r="B691" s="1765"/>
    </row>
    <row r="692">
      <c r="B692" s="1765"/>
    </row>
    <row r="693">
      <c r="B693" s="1765"/>
    </row>
    <row r="694">
      <c r="B694" s="1765"/>
    </row>
    <row r="695">
      <c r="B695" s="1765"/>
    </row>
    <row r="696">
      <c r="B696" s="1765"/>
    </row>
    <row r="697">
      <c r="B697" s="1765"/>
    </row>
    <row r="698">
      <c r="B698" s="1765"/>
    </row>
    <row r="699">
      <c r="B699" s="1765"/>
    </row>
    <row r="700">
      <c r="B700" s="1765"/>
    </row>
    <row r="701">
      <c r="B701" s="1765"/>
    </row>
    <row r="702">
      <c r="B702" s="1765"/>
    </row>
    <row r="703">
      <c r="B703" s="1765"/>
    </row>
    <row r="704">
      <c r="B704" s="1765"/>
    </row>
    <row r="705">
      <c r="B705" s="1765"/>
    </row>
    <row r="706">
      <c r="B706" s="1765"/>
    </row>
    <row r="707">
      <c r="B707" s="1765"/>
    </row>
    <row r="708">
      <c r="B708" s="1765"/>
    </row>
    <row r="709">
      <c r="B709" s="1765"/>
    </row>
    <row r="710">
      <c r="B710" s="1765"/>
    </row>
    <row r="711">
      <c r="B711" s="1765"/>
    </row>
    <row r="712">
      <c r="B712" s="1765"/>
    </row>
    <row r="713">
      <c r="B713" s="1765"/>
    </row>
    <row r="714">
      <c r="B714" s="1765"/>
    </row>
    <row r="715">
      <c r="B715" s="1765"/>
    </row>
    <row r="716">
      <c r="B716" s="1765"/>
    </row>
    <row r="717">
      <c r="B717" s="1765"/>
    </row>
    <row r="718">
      <c r="B718" s="1765"/>
    </row>
    <row r="719">
      <c r="B719" s="1765"/>
    </row>
    <row r="720">
      <c r="B720" s="1765"/>
    </row>
    <row r="721">
      <c r="B721" s="1765"/>
    </row>
    <row r="722">
      <c r="B722" s="1765"/>
    </row>
    <row r="723">
      <c r="B723" s="1765"/>
    </row>
    <row r="724">
      <c r="B724" s="1765"/>
    </row>
    <row r="725">
      <c r="B725" s="1765"/>
    </row>
    <row r="726">
      <c r="B726" s="1765"/>
    </row>
    <row r="727">
      <c r="B727" s="1765"/>
    </row>
    <row r="728">
      <c r="B728" s="1765"/>
    </row>
    <row r="729">
      <c r="B729" s="1765"/>
    </row>
    <row r="730">
      <c r="B730" s="1765"/>
    </row>
    <row r="731">
      <c r="B731" s="1765"/>
    </row>
    <row r="732">
      <c r="B732" s="1765"/>
    </row>
    <row r="733">
      <c r="B733" s="1765"/>
    </row>
    <row r="734">
      <c r="B734" s="1765"/>
    </row>
    <row r="735">
      <c r="B735" s="1765"/>
    </row>
    <row r="736">
      <c r="B736" s="1765"/>
    </row>
    <row r="737">
      <c r="B737" s="1765"/>
    </row>
    <row r="738">
      <c r="B738" s="1765"/>
    </row>
    <row r="739">
      <c r="B739" s="1765"/>
    </row>
    <row r="740">
      <c r="B740" s="1765"/>
    </row>
    <row r="741">
      <c r="B741" s="1765"/>
    </row>
    <row r="742">
      <c r="B742" s="1765"/>
    </row>
    <row r="743">
      <c r="B743" s="1765"/>
    </row>
    <row r="744">
      <c r="B744" s="1765"/>
    </row>
    <row r="745">
      <c r="B745" s="1765"/>
    </row>
    <row r="746">
      <c r="B746" s="1765"/>
    </row>
    <row r="747">
      <c r="B747" s="1765"/>
    </row>
    <row r="748">
      <c r="B748" s="1765"/>
    </row>
    <row r="749">
      <c r="B749" s="1765"/>
    </row>
    <row r="750">
      <c r="B750" s="1765"/>
    </row>
    <row r="751">
      <c r="B751" s="1765"/>
    </row>
    <row r="752">
      <c r="B752" s="1765"/>
    </row>
    <row r="753">
      <c r="B753" s="1765"/>
    </row>
    <row r="754">
      <c r="B754" s="1765"/>
    </row>
    <row r="755">
      <c r="B755" s="1765"/>
    </row>
    <row r="756">
      <c r="B756" s="1765"/>
    </row>
    <row r="757">
      <c r="B757" s="1765"/>
    </row>
    <row r="758">
      <c r="B758" s="1765"/>
    </row>
    <row r="759">
      <c r="B759" s="1765"/>
    </row>
    <row r="760">
      <c r="B760" s="1765"/>
    </row>
    <row r="761">
      <c r="B761" s="1765"/>
    </row>
    <row r="762">
      <c r="B762" s="1765"/>
    </row>
    <row r="763">
      <c r="B763" s="1765"/>
    </row>
    <row r="764">
      <c r="B764" s="1765"/>
    </row>
    <row r="765">
      <c r="B765" s="1765"/>
    </row>
    <row r="766">
      <c r="B766" s="1765"/>
    </row>
    <row r="767">
      <c r="B767" s="1765"/>
    </row>
    <row r="768">
      <c r="B768" s="1765"/>
    </row>
    <row r="769">
      <c r="B769" s="1765"/>
    </row>
    <row r="770">
      <c r="B770" s="1765"/>
    </row>
    <row r="771">
      <c r="B771" s="1765"/>
    </row>
    <row r="772">
      <c r="B772" s="1765"/>
    </row>
    <row r="773">
      <c r="B773" s="1765"/>
    </row>
    <row r="774">
      <c r="B774" s="1765"/>
    </row>
    <row r="775">
      <c r="B775" s="1765"/>
    </row>
    <row r="776">
      <c r="B776" s="1765"/>
    </row>
    <row r="777">
      <c r="B777" s="1765"/>
    </row>
    <row r="778">
      <c r="B778" s="1765"/>
    </row>
    <row r="779">
      <c r="B779" s="1765"/>
    </row>
    <row r="780">
      <c r="B780" s="1765"/>
    </row>
    <row r="781">
      <c r="B781" s="1765"/>
    </row>
    <row r="782">
      <c r="B782" s="1765"/>
    </row>
    <row r="783">
      <c r="B783" s="1765"/>
    </row>
    <row r="784">
      <c r="B784" s="1765"/>
    </row>
    <row r="785">
      <c r="B785" s="1765"/>
    </row>
    <row r="786">
      <c r="B786" s="1765"/>
    </row>
    <row r="787">
      <c r="B787" s="1765"/>
    </row>
    <row r="788">
      <c r="B788" s="1765"/>
    </row>
    <row r="789">
      <c r="B789" s="1765"/>
    </row>
    <row r="790">
      <c r="B790" s="1765"/>
    </row>
    <row r="791">
      <c r="B791" s="1765"/>
    </row>
    <row r="792">
      <c r="B792" s="1765"/>
    </row>
    <row r="793">
      <c r="B793" s="1765"/>
    </row>
    <row r="794">
      <c r="B794" s="1765"/>
    </row>
    <row r="795">
      <c r="B795" s="1765"/>
    </row>
    <row r="796">
      <c r="B796" s="1765"/>
    </row>
    <row r="797">
      <c r="B797" s="1765"/>
    </row>
    <row r="798">
      <c r="B798" s="1765"/>
    </row>
    <row r="799">
      <c r="B799" s="1765"/>
    </row>
    <row r="800">
      <c r="B800" s="1765"/>
    </row>
    <row r="801">
      <c r="B801" s="1765"/>
    </row>
    <row r="802">
      <c r="B802" s="1765"/>
    </row>
    <row r="803">
      <c r="B803" s="1765"/>
    </row>
    <row r="804">
      <c r="B804" s="1765"/>
    </row>
    <row r="805">
      <c r="B805" s="1765"/>
    </row>
    <row r="806">
      <c r="B806" s="1765"/>
    </row>
    <row r="807">
      <c r="B807" s="1765"/>
    </row>
    <row r="808">
      <c r="B808" s="1765"/>
    </row>
    <row r="809">
      <c r="B809" s="1765"/>
    </row>
    <row r="810">
      <c r="B810" s="1765"/>
    </row>
    <row r="811">
      <c r="B811" s="1765"/>
    </row>
    <row r="812">
      <c r="B812" s="1765"/>
    </row>
    <row r="813">
      <c r="B813" s="1765"/>
    </row>
    <row r="814">
      <c r="B814" s="1765"/>
    </row>
    <row r="815">
      <c r="B815" s="1765"/>
    </row>
    <row r="816">
      <c r="B816" s="1765"/>
    </row>
    <row r="817">
      <c r="B817" s="1765"/>
    </row>
    <row r="818">
      <c r="B818" s="1765"/>
    </row>
    <row r="819">
      <c r="B819" s="1765"/>
    </row>
    <row r="820">
      <c r="B820" s="1765"/>
    </row>
    <row r="821">
      <c r="B821" s="1765"/>
    </row>
    <row r="822">
      <c r="B822" s="1765"/>
    </row>
    <row r="823">
      <c r="B823" s="1765"/>
    </row>
    <row r="824">
      <c r="B824" s="1765"/>
    </row>
    <row r="825">
      <c r="B825" s="1765"/>
    </row>
    <row r="826">
      <c r="B826" s="1765"/>
    </row>
    <row r="827">
      <c r="B827" s="1765"/>
    </row>
    <row r="828">
      <c r="B828" s="1765"/>
    </row>
    <row r="829">
      <c r="B829" s="1765"/>
    </row>
    <row r="830">
      <c r="B830" s="1765"/>
    </row>
    <row r="831">
      <c r="B831" s="1765"/>
    </row>
    <row r="832">
      <c r="B832" s="1765"/>
    </row>
    <row r="833">
      <c r="B833" s="1765"/>
    </row>
    <row r="834">
      <c r="B834" s="1765"/>
    </row>
    <row r="835">
      <c r="B835" s="1765"/>
    </row>
    <row r="836">
      <c r="B836" s="1765"/>
    </row>
    <row r="837">
      <c r="B837" s="1765"/>
    </row>
    <row r="838">
      <c r="B838" s="1765"/>
    </row>
    <row r="839">
      <c r="B839" s="1765"/>
    </row>
    <row r="840">
      <c r="B840" s="1765"/>
    </row>
    <row r="841">
      <c r="B841" s="1765"/>
    </row>
    <row r="842">
      <c r="B842" s="1765"/>
    </row>
    <row r="843">
      <c r="B843" s="1765"/>
    </row>
    <row r="844">
      <c r="B844" s="1765"/>
    </row>
    <row r="845">
      <c r="B845" s="1765"/>
    </row>
    <row r="846">
      <c r="B846" s="1765"/>
    </row>
    <row r="847">
      <c r="B847" s="1765"/>
    </row>
    <row r="848">
      <c r="B848" s="1765"/>
    </row>
    <row r="849">
      <c r="B849" s="1765"/>
    </row>
    <row r="850">
      <c r="B850" s="1765"/>
    </row>
    <row r="851">
      <c r="B851" s="1765"/>
    </row>
    <row r="852">
      <c r="B852" s="1765"/>
    </row>
    <row r="853">
      <c r="B853" s="1765"/>
    </row>
    <row r="854">
      <c r="B854" s="1765"/>
    </row>
    <row r="855">
      <c r="B855" s="1765"/>
    </row>
    <row r="856">
      <c r="B856" s="1765"/>
    </row>
    <row r="857">
      <c r="B857" s="1765"/>
    </row>
    <row r="858">
      <c r="B858" s="1765"/>
    </row>
    <row r="859">
      <c r="B859" s="1765"/>
    </row>
    <row r="860">
      <c r="B860" s="1765"/>
    </row>
    <row r="861">
      <c r="B861" s="1765"/>
    </row>
    <row r="862">
      <c r="B862" s="1765"/>
    </row>
    <row r="863">
      <c r="B863" s="1765"/>
    </row>
    <row r="864">
      <c r="B864" s="1765"/>
    </row>
    <row r="865">
      <c r="B865" s="1765"/>
    </row>
    <row r="866">
      <c r="B866" s="1765"/>
    </row>
    <row r="867">
      <c r="B867" s="1765"/>
    </row>
    <row r="868">
      <c r="B868" s="1765"/>
    </row>
    <row r="869">
      <c r="B869" s="1765"/>
    </row>
    <row r="870">
      <c r="B870" s="1765"/>
    </row>
    <row r="871">
      <c r="B871" s="1765"/>
    </row>
    <row r="872">
      <c r="B872" s="1765"/>
    </row>
    <row r="873">
      <c r="B873" s="1765"/>
    </row>
    <row r="874">
      <c r="B874" s="1765"/>
    </row>
    <row r="875">
      <c r="B875" s="1765"/>
    </row>
    <row r="876">
      <c r="B876" s="1765"/>
    </row>
    <row r="877">
      <c r="B877" s="1765"/>
    </row>
    <row r="878">
      <c r="B878" s="1765"/>
    </row>
    <row r="879">
      <c r="B879" s="1765"/>
    </row>
    <row r="880">
      <c r="B880" s="1765"/>
    </row>
    <row r="881">
      <c r="B881" s="1765"/>
    </row>
    <row r="882">
      <c r="B882" s="1765"/>
    </row>
    <row r="883">
      <c r="B883" s="1765"/>
    </row>
    <row r="884">
      <c r="B884" s="1765"/>
    </row>
    <row r="885">
      <c r="B885" s="1765"/>
    </row>
    <row r="886">
      <c r="B886" s="1765"/>
    </row>
    <row r="887">
      <c r="B887" s="1765"/>
    </row>
    <row r="888">
      <c r="B888" s="1765"/>
    </row>
    <row r="889">
      <c r="B889" s="1765"/>
    </row>
    <row r="890">
      <c r="B890" s="1765"/>
    </row>
    <row r="891">
      <c r="B891" s="1765"/>
    </row>
    <row r="892">
      <c r="B892" s="1765"/>
    </row>
    <row r="893">
      <c r="B893" s="1765"/>
    </row>
    <row r="894">
      <c r="B894" s="1765"/>
    </row>
    <row r="895">
      <c r="B895" s="1765"/>
    </row>
    <row r="896">
      <c r="B896" s="1765"/>
    </row>
    <row r="897">
      <c r="B897" s="1765"/>
    </row>
    <row r="898">
      <c r="B898" s="1765"/>
    </row>
    <row r="899">
      <c r="B899" s="1765"/>
    </row>
    <row r="900">
      <c r="B900" s="1765"/>
    </row>
    <row r="901">
      <c r="B901" s="1765"/>
    </row>
    <row r="902">
      <c r="B902" s="1765"/>
    </row>
    <row r="903">
      <c r="B903" s="1765"/>
    </row>
    <row r="904">
      <c r="B904" s="1765"/>
    </row>
    <row r="905">
      <c r="B905" s="1765"/>
    </row>
    <row r="906">
      <c r="B906" s="1765"/>
    </row>
    <row r="907">
      <c r="B907" s="1765"/>
    </row>
    <row r="908">
      <c r="B908" s="1765"/>
    </row>
    <row r="909">
      <c r="B909" s="1765"/>
    </row>
    <row r="910">
      <c r="B910" s="1765"/>
    </row>
    <row r="911">
      <c r="B911" s="1765"/>
    </row>
    <row r="912">
      <c r="B912" s="1765"/>
    </row>
    <row r="913">
      <c r="B913" s="1765"/>
    </row>
    <row r="914">
      <c r="B914" s="1765"/>
    </row>
    <row r="915">
      <c r="B915" s="1765"/>
    </row>
    <row r="916">
      <c r="B916" s="1765"/>
    </row>
    <row r="917">
      <c r="B917" s="1765"/>
    </row>
    <row r="918">
      <c r="B918" s="1765"/>
    </row>
    <row r="919">
      <c r="B919" s="1765"/>
    </row>
    <row r="920">
      <c r="B920" s="1765"/>
    </row>
    <row r="921">
      <c r="B921" s="1765"/>
    </row>
    <row r="922">
      <c r="B922" s="1765"/>
    </row>
    <row r="923">
      <c r="B923" s="1765"/>
    </row>
    <row r="924">
      <c r="B924" s="1765"/>
    </row>
    <row r="925">
      <c r="B925" s="1765"/>
    </row>
    <row r="926">
      <c r="B926" s="1765"/>
    </row>
    <row r="927">
      <c r="B927" s="1765"/>
    </row>
    <row r="928">
      <c r="B928" s="1765"/>
    </row>
    <row r="929">
      <c r="B929" s="1765"/>
    </row>
    <row r="930">
      <c r="B930" s="1765"/>
    </row>
    <row r="931">
      <c r="B931" s="1765"/>
    </row>
    <row r="932">
      <c r="B932" s="1765"/>
    </row>
    <row r="933">
      <c r="B933" s="1765"/>
    </row>
    <row r="934">
      <c r="B934" s="1765"/>
    </row>
    <row r="935">
      <c r="B935" s="1765"/>
    </row>
    <row r="936">
      <c r="B936" s="1765"/>
    </row>
    <row r="937">
      <c r="B937" s="1765"/>
    </row>
    <row r="938">
      <c r="B938" s="1765"/>
    </row>
    <row r="939">
      <c r="B939" s="1765"/>
    </row>
    <row r="940">
      <c r="B940" s="1765"/>
    </row>
    <row r="941">
      <c r="B941" s="1765"/>
    </row>
    <row r="942">
      <c r="B942" s="1765"/>
    </row>
    <row r="943">
      <c r="B943" s="1765"/>
    </row>
    <row r="944">
      <c r="B944" s="1765"/>
    </row>
    <row r="945">
      <c r="B945" s="1765"/>
    </row>
    <row r="946">
      <c r="B946" s="1765"/>
    </row>
    <row r="947">
      <c r="B947" s="1765"/>
    </row>
    <row r="948">
      <c r="B948" s="1765"/>
    </row>
    <row r="949">
      <c r="B949" s="1765"/>
    </row>
    <row r="950">
      <c r="B950" s="1765"/>
    </row>
    <row r="951">
      <c r="B951" s="1765"/>
    </row>
    <row r="952">
      <c r="B952" s="1765"/>
    </row>
    <row r="953">
      <c r="B953" s="1765"/>
    </row>
    <row r="954">
      <c r="B954" s="1765"/>
    </row>
    <row r="955">
      <c r="B955" s="1765"/>
    </row>
    <row r="956">
      <c r="B956" s="1765"/>
    </row>
    <row r="957">
      <c r="B957" s="1765"/>
    </row>
    <row r="958">
      <c r="B958" s="1765"/>
    </row>
    <row r="959">
      <c r="B959" s="1765"/>
    </row>
    <row r="960">
      <c r="B960" s="1765"/>
    </row>
    <row r="961">
      <c r="B961" s="1765"/>
    </row>
    <row r="962">
      <c r="B962" s="1765"/>
    </row>
    <row r="963">
      <c r="B963" s="1765"/>
    </row>
    <row r="964">
      <c r="B964" s="1765"/>
    </row>
    <row r="965">
      <c r="B965" s="1765"/>
    </row>
    <row r="966">
      <c r="B966" s="1765"/>
    </row>
    <row r="967">
      <c r="B967" s="1765"/>
    </row>
    <row r="968">
      <c r="B968" s="1765"/>
    </row>
    <row r="969">
      <c r="B969" s="1765"/>
    </row>
    <row r="970">
      <c r="B970" s="1765"/>
    </row>
    <row r="971">
      <c r="B971" s="1765"/>
    </row>
    <row r="972">
      <c r="B972" s="1765"/>
    </row>
    <row r="973">
      <c r="B973" s="1765"/>
    </row>
    <row r="974">
      <c r="B974" s="1765"/>
    </row>
    <row r="975">
      <c r="B975" s="1765"/>
    </row>
    <row r="976">
      <c r="B976" s="1765"/>
    </row>
    <row r="977">
      <c r="B977" s="1765"/>
    </row>
    <row r="978">
      <c r="B978" s="1765"/>
    </row>
    <row r="979">
      <c r="B979" s="1765"/>
    </row>
    <row r="980">
      <c r="B980" s="1765"/>
    </row>
    <row r="981">
      <c r="B981" s="1765"/>
    </row>
    <row r="982">
      <c r="B982" s="1765"/>
    </row>
    <row r="983">
      <c r="B983" s="1765"/>
    </row>
    <row r="984">
      <c r="B984" s="1765"/>
    </row>
    <row r="985">
      <c r="B985" s="1765"/>
    </row>
    <row r="986">
      <c r="B986" s="1765"/>
    </row>
    <row r="987">
      <c r="B987" s="1765"/>
    </row>
    <row r="988">
      <c r="B988" s="1765"/>
    </row>
    <row r="989">
      <c r="B989" s="1765"/>
    </row>
    <row r="990">
      <c r="B990" s="1765"/>
    </row>
    <row r="991">
      <c r="B991" s="1765"/>
    </row>
    <row r="992">
      <c r="B992" s="1765"/>
    </row>
    <row r="993">
      <c r="B993" s="1765"/>
    </row>
    <row r="994">
      <c r="B994" s="1765"/>
    </row>
    <row r="995">
      <c r="B995" s="1765"/>
    </row>
    <row r="996">
      <c r="B996" s="1765"/>
    </row>
    <row r="997">
      <c r="B997" s="1765"/>
    </row>
    <row r="998">
      <c r="B998" s="1765"/>
    </row>
    <row r="999">
      <c r="B999" s="1765"/>
    </row>
    <row r="1000">
      <c r="B1000" s="1765"/>
    </row>
    <row r="1001">
      <c r="B1001" s="1765"/>
    </row>
    <row r="1002">
      <c r="B1002" s="1765"/>
    </row>
    <row r="1003">
      <c r="B1003" s="1765"/>
    </row>
    <row r="1004">
      <c r="B1004" s="1765"/>
    </row>
    <row r="1005">
      <c r="B1005" s="1765"/>
    </row>
    <row r="1006">
      <c r="B1006" s="1765"/>
    </row>
    <row r="1007">
      <c r="B1007" s="1765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0.25"/>
    <col customWidth="1" min="2" max="2" width="31.13"/>
    <col customWidth="1" min="3" max="3" width="25.38"/>
    <col customWidth="1" min="4" max="4" width="16.25"/>
    <col customWidth="1" min="5" max="5" width="19.25"/>
    <col customWidth="1" min="6" max="6" width="20.0"/>
    <col customWidth="1" min="7" max="7" width="13.88"/>
  </cols>
  <sheetData>
    <row r="1" ht="23.25" customHeight="1">
      <c r="A1" s="633" t="s">
        <v>3440</v>
      </c>
      <c r="B1" s="633" t="s">
        <v>7122</v>
      </c>
      <c r="C1" s="633" t="s">
        <v>7123</v>
      </c>
      <c r="D1" s="633" t="s">
        <v>7124</v>
      </c>
      <c r="E1" s="633" t="s">
        <v>7125</v>
      </c>
      <c r="F1" s="633" t="s">
        <v>7126</v>
      </c>
      <c r="G1" s="1766" t="s">
        <v>7127</v>
      </c>
      <c r="H1" s="1767"/>
      <c r="I1" s="1767"/>
      <c r="J1" s="1767"/>
      <c r="K1" s="1767"/>
      <c r="L1" s="1767"/>
      <c r="M1" s="1767"/>
      <c r="N1" s="1767"/>
      <c r="O1" s="1767"/>
      <c r="P1" s="1767"/>
      <c r="Q1" s="1767"/>
      <c r="R1" s="1767"/>
      <c r="S1" s="1767"/>
      <c r="T1" s="1767"/>
      <c r="U1" s="1767"/>
      <c r="V1" s="1767"/>
      <c r="W1" s="1767"/>
      <c r="X1" s="1767"/>
      <c r="Y1" s="1767"/>
      <c r="Z1" s="1767"/>
    </row>
    <row r="2" ht="47.25" customHeight="1">
      <c r="A2" s="633" t="s">
        <v>6910</v>
      </c>
      <c r="B2" s="126"/>
      <c r="C2" s="126"/>
      <c r="D2" s="126"/>
      <c r="E2" s="126"/>
      <c r="F2" s="126"/>
      <c r="G2" s="126"/>
    </row>
    <row r="3" ht="47.25" customHeight="1">
      <c r="A3" s="126"/>
      <c r="B3" s="126"/>
      <c r="C3" s="167" t="s">
        <v>704</v>
      </c>
      <c r="D3" s="126"/>
      <c r="E3" s="126"/>
      <c r="F3" s="126"/>
      <c r="G3" s="126"/>
    </row>
    <row r="4" ht="47.25" customHeight="1">
      <c r="A4" s="126"/>
      <c r="B4" s="126"/>
      <c r="C4" s="633"/>
      <c r="D4" s="126"/>
      <c r="E4" s="126"/>
      <c r="F4" s="126"/>
      <c r="G4" s="126"/>
    </row>
    <row r="5" ht="47.25" customHeight="1">
      <c r="A5" s="126"/>
      <c r="B5" s="126"/>
      <c r="C5" s="126"/>
      <c r="D5" s="126"/>
      <c r="E5" s="126"/>
      <c r="F5" s="126"/>
      <c r="G5" s="126"/>
    </row>
    <row r="6" ht="47.25" customHeight="1">
      <c r="A6" s="126"/>
      <c r="B6" s="126"/>
      <c r="C6" s="126"/>
      <c r="D6" s="126"/>
      <c r="E6" s="126"/>
      <c r="F6" s="126"/>
      <c r="G6" s="126"/>
    </row>
    <row r="7" ht="47.25" customHeight="1">
      <c r="A7" s="126"/>
      <c r="B7" s="126"/>
      <c r="C7" s="126"/>
      <c r="D7" s="126"/>
      <c r="E7" s="126"/>
      <c r="F7" s="126"/>
      <c r="G7" s="126"/>
    </row>
    <row r="8" ht="47.25" customHeight="1">
      <c r="A8" s="126"/>
      <c r="B8" s="126"/>
      <c r="C8" s="126"/>
      <c r="D8" s="126"/>
      <c r="E8" s="126"/>
      <c r="F8" s="126"/>
      <c r="G8" s="126"/>
    </row>
    <row r="9" ht="47.25" customHeight="1">
      <c r="A9" s="126"/>
      <c r="B9" s="126"/>
      <c r="C9" s="126"/>
      <c r="D9" s="126"/>
      <c r="E9" s="126"/>
      <c r="F9" s="126"/>
      <c r="G9" s="126"/>
    </row>
    <row r="10" ht="47.25" customHeight="1">
      <c r="A10" s="126"/>
      <c r="B10" s="126"/>
      <c r="C10" s="126"/>
      <c r="D10" s="126"/>
      <c r="E10" s="126"/>
      <c r="F10" s="126"/>
      <c r="G10" s="126"/>
    </row>
    <row r="11" ht="47.25" customHeight="1">
      <c r="A11" s="126"/>
      <c r="B11" s="126"/>
      <c r="C11" s="126"/>
      <c r="D11" s="126"/>
      <c r="E11" s="126"/>
      <c r="F11" s="126"/>
      <c r="G11" s="126"/>
    </row>
    <row r="12" ht="47.25" customHeight="1">
      <c r="A12" s="126"/>
      <c r="B12" s="126"/>
      <c r="C12" s="126"/>
      <c r="D12" s="126"/>
      <c r="E12" s="126"/>
      <c r="F12" s="126"/>
      <c r="G12" s="126"/>
    </row>
    <row r="13" ht="47.25" customHeight="1">
      <c r="A13" s="126"/>
      <c r="B13" s="126"/>
      <c r="C13" s="126"/>
      <c r="D13" s="126"/>
      <c r="E13" s="126"/>
      <c r="F13" s="126"/>
      <c r="G13" s="126"/>
    </row>
    <row r="14" ht="23.25" customHeight="1"/>
    <row r="15" ht="23.25" customHeight="1"/>
    <row r="16" ht="23.25" customHeight="1"/>
    <row r="17" ht="23.25" customHeight="1"/>
    <row r="18" ht="23.25" customHeight="1"/>
    <row r="19" ht="23.25" customHeight="1"/>
    <row r="20" ht="23.25" customHeight="1"/>
    <row r="21" ht="23.25" customHeight="1"/>
    <row r="22" ht="23.25" customHeight="1"/>
    <row r="23" ht="23.25" customHeight="1"/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</sheetData>
  <printOptions gridLines="1" horizontalCentered="1"/>
  <pageMargins bottom="0.3742764770297753" footer="0.0" header="0.0" left="0.0" right="0.0" top="0.4517129895186944"/>
  <pageSetup fitToWidth="0" paperSize="9" cellComments="atEnd" orientation="landscape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6.75"/>
    <col customWidth="1" min="2" max="2" width="28.38"/>
    <col customWidth="1" min="3" max="3" width="28.25"/>
    <col customWidth="1" min="4" max="4" width="10.38"/>
    <col customWidth="1" min="5" max="5" width="22.38"/>
    <col customWidth="1" min="6" max="6" width="11.13"/>
    <col customWidth="1" min="7" max="7" width="9.13"/>
    <col customWidth="1" min="8" max="8" width="19.38"/>
  </cols>
  <sheetData>
    <row r="1" ht="45.75" customHeight="1">
      <c r="A1" s="1768" t="s">
        <v>3440</v>
      </c>
      <c r="B1" s="483" t="s">
        <v>7128</v>
      </c>
      <c r="C1" s="483" t="s">
        <v>7129</v>
      </c>
      <c r="D1" s="1518" t="s">
        <v>7130</v>
      </c>
      <c r="E1" s="1518" t="s">
        <v>7131</v>
      </c>
      <c r="F1" s="1518" t="s">
        <v>7132</v>
      </c>
      <c r="G1" s="635" t="s">
        <v>7133</v>
      </c>
      <c r="H1" s="1518" t="s">
        <v>7134</v>
      </c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  <c r="U1" s="411"/>
      <c r="V1" s="411"/>
      <c r="W1" s="411"/>
      <c r="X1" s="411"/>
      <c r="Y1" s="411"/>
      <c r="Z1" s="411"/>
    </row>
    <row r="2" ht="47.25" customHeight="1">
      <c r="A2" s="126"/>
      <c r="B2" s="167"/>
      <c r="C2" s="167"/>
      <c r="E2" s="126"/>
      <c r="F2" s="126"/>
      <c r="G2" s="126"/>
      <c r="H2" s="126"/>
    </row>
    <row r="3" ht="47.25" customHeight="1">
      <c r="A3" s="126"/>
      <c r="B3" s="126"/>
      <c r="C3" s="126"/>
      <c r="D3" s="126"/>
      <c r="E3" s="126"/>
      <c r="F3" s="126"/>
      <c r="G3" s="126"/>
      <c r="H3" s="126"/>
    </row>
    <row r="4" ht="47.25" customHeight="1">
      <c r="A4" s="126"/>
      <c r="B4" s="167"/>
      <c r="C4" s="126"/>
      <c r="D4" s="126"/>
      <c r="E4" s="126"/>
      <c r="F4" s="126"/>
      <c r="G4" s="126"/>
      <c r="H4" s="126"/>
    </row>
    <row r="5" ht="47.25" customHeight="1">
      <c r="A5" s="126"/>
      <c r="B5" s="126"/>
      <c r="C5" s="126"/>
      <c r="D5" s="126"/>
      <c r="E5" s="126"/>
      <c r="F5" s="126"/>
      <c r="G5" s="126"/>
      <c r="H5" s="126"/>
    </row>
    <row r="6" ht="47.25" customHeight="1">
      <c r="A6" s="126"/>
      <c r="B6" s="126"/>
      <c r="C6" s="126"/>
      <c r="D6" s="126"/>
      <c r="E6" s="126"/>
      <c r="F6" s="126"/>
      <c r="G6" s="126"/>
      <c r="H6" s="126"/>
    </row>
    <row r="7" ht="47.25" customHeight="1">
      <c r="A7" s="126"/>
      <c r="B7" s="126"/>
      <c r="C7" s="126"/>
      <c r="D7" s="126"/>
      <c r="E7" s="126"/>
      <c r="F7" s="126"/>
      <c r="G7" s="126"/>
      <c r="H7" s="126"/>
    </row>
    <row r="8" ht="47.25" customHeight="1">
      <c r="A8" s="126"/>
      <c r="B8" s="126"/>
      <c r="C8" s="126"/>
      <c r="D8" s="126"/>
      <c r="E8" s="126"/>
      <c r="F8" s="126"/>
      <c r="G8" s="126"/>
      <c r="H8" s="126"/>
    </row>
    <row r="9" ht="47.25" customHeight="1">
      <c r="A9" s="126"/>
      <c r="B9" s="126"/>
      <c r="C9" s="126"/>
      <c r="D9" s="126"/>
      <c r="E9" s="126"/>
      <c r="F9" s="126"/>
      <c r="G9" s="126"/>
      <c r="H9" s="126"/>
    </row>
    <row r="10" ht="47.25" customHeight="1">
      <c r="A10" s="126"/>
      <c r="B10" s="126"/>
      <c r="C10" s="126"/>
      <c r="D10" s="126"/>
      <c r="E10" s="126"/>
      <c r="F10" s="126"/>
      <c r="G10" s="126"/>
      <c r="H10" s="126"/>
    </row>
    <row r="11" ht="47.25" customHeight="1">
      <c r="A11" s="126"/>
      <c r="B11" s="126"/>
      <c r="C11" s="126"/>
      <c r="D11" s="126"/>
      <c r="E11" s="126"/>
      <c r="F11" s="126"/>
      <c r="G11" s="126"/>
      <c r="H11" s="126"/>
    </row>
  </sheetData>
  <printOptions gridLines="1" horizontalCentered="1"/>
  <pageMargins bottom="0.0" footer="0.0" header="0.0" left="0.1935912812222976" right="0.0" top="0.2968399645408563"/>
  <pageSetup paperSize="9" cellComments="atEnd" orientation="landscape" pageOrder="overThenDown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8.88"/>
    <col customWidth="1" min="2" max="2" width="28.5"/>
    <col customWidth="1" min="3" max="3" width="45.88"/>
    <col customWidth="1" min="4" max="4" width="16.88"/>
  </cols>
  <sheetData>
    <row r="1" ht="42.75" customHeight="1">
      <c r="A1" s="421" t="s">
        <v>3440</v>
      </c>
      <c r="B1" s="1544" t="s">
        <v>7135</v>
      </c>
      <c r="C1" s="1544" t="s">
        <v>7136</v>
      </c>
      <c r="D1" s="1769" t="s">
        <v>7134</v>
      </c>
      <c r="E1" s="1539"/>
      <c r="F1" s="1539"/>
      <c r="G1" s="1539"/>
      <c r="H1" s="1539"/>
      <c r="I1" s="1539"/>
      <c r="J1" s="1539"/>
      <c r="K1" s="1539"/>
      <c r="L1" s="1539"/>
      <c r="M1" s="1539"/>
      <c r="N1" s="1539"/>
      <c r="O1" s="1539"/>
      <c r="P1" s="1539"/>
      <c r="Q1" s="1539"/>
      <c r="R1" s="1539"/>
      <c r="S1" s="1539"/>
      <c r="T1" s="1539"/>
      <c r="U1" s="1539"/>
      <c r="V1" s="1539"/>
      <c r="W1" s="1539"/>
      <c r="X1" s="1539"/>
      <c r="Y1" s="1539"/>
      <c r="Z1" s="1539"/>
    </row>
    <row r="2" ht="49.5" customHeight="1">
      <c r="A2" s="126"/>
      <c r="B2" s="126"/>
      <c r="C2" s="126"/>
      <c r="D2" s="126"/>
    </row>
    <row r="3" ht="49.5" customHeight="1">
      <c r="A3" s="126"/>
      <c r="B3" s="126"/>
      <c r="C3" s="126"/>
      <c r="D3" s="126"/>
    </row>
    <row r="4" ht="49.5" customHeight="1">
      <c r="A4" s="126"/>
      <c r="B4" s="126"/>
      <c r="C4" s="126"/>
      <c r="D4" s="126"/>
    </row>
    <row r="5" ht="49.5" customHeight="1">
      <c r="A5" s="126"/>
      <c r="B5" s="126"/>
      <c r="C5" s="126"/>
      <c r="D5" s="126"/>
    </row>
    <row r="6" ht="49.5" customHeight="1">
      <c r="A6" s="126"/>
      <c r="B6" s="126"/>
      <c r="C6" s="126"/>
      <c r="D6" s="126"/>
    </row>
    <row r="7" ht="49.5" customHeight="1">
      <c r="A7" s="126"/>
      <c r="B7" s="126"/>
      <c r="C7" s="126"/>
      <c r="D7" s="126"/>
    </row>
    <row r="8" ht="49.5" customHeight="1">
      <c r="A8" s="126"/>
      <c r="B8" s="126"/>
      <c r="C8" s="126"/>
      <c r="D8" s="126"/>
    </row>
    <row r="9" ht="49.5" customHeight="1">
      <c r="A9" s="126"/>
      <c r="B9" s="126"/>
      <c r="C9" s="126"/>
      <c r="D9" s="126"/>
    </row>
    <row r="10" ht="49.5" customHeight="1">
      <c r="A10" s="126"/>
      <c r="B10" s="126"/>
      <c r="C10" s="126"/>
      <c r="D10" s="126"/>
    </row>
    <row r="11" ht="49.5" customHeight="1">
      <c r="A11" s="126"/>
      <c r="B11" s="126"/>
      <c r="C11" s="126"/>
      <c r="D11" s="126"/>
    </row>
    <row r="12" ht="49.5" customHeight="1">
      <c r="A12" s="126"/>
      <c r="B12" s="126"/>
      <c r="C12" s="126"/>
      <c r="D12" s="126"/>
    </row>
    <row r="13" ht="49.5" customHeight="1">
      <c r="A13" s="126"/>
      <c r="B13" s="126"/>
      <c r="C13" s="126"/>
      <c r="D13" s="126"/>
    </row>
    <row r="14" ht="49.5" customHeight="1">
      <c r="A14" s="126"/>
      <c r="B14" s="126"/>
      <c r="C14" s="126"/>
      <c r="D14" s="126"/>
    </row>
    <row r="15" ht="49.5" customHeight="1">
      <c r="A15" s="126"/>
      <c r="B15" s="126"/>
      <c r="C15" s="126"/>
      <c r="D15" s="126"/>
    </row>
    <row r="16" ht="49.5" customHeight="1">
      <c r="A16" s="126"/>
      <c r="B16" s="126"/>
      <c r="C16" s="126"/>
      <c r="D16" s="126"/>
    </row>
    <row r="17" ht="49.5" customHeight="1">
      <c r="A17" s="126"/>
      <c r="B17" s="126"/>
      <c r="C17" s="126"/>
      <c r="D17" s="126"/>
    </row>
    <row r="18" ht="49.5" customHeight="1">
      <c r="A18" s="126"/>
      <c r="B18" s="126"/>
      <c r="C18" s="126"/>
      <c r="D18" s="126"/>
    </row>
    <row r="19" ht="49.5" customHeight="1">
      <c r="A19" s="126"/>
      <c r="B19" s="126"/>
      <c r="C19" s="126"/>
      <c r="D19" s="126"/>
    </row>
    <row r="20" ht="49.5" customHeight="1">
      <c r="A20" s="126"/>
      <c r="B20" s="126"/>
      <c r="C20" s="126"/>
      <c r="D20" s="126"/>
    </row>
    <row r="21" ht="49.5" customHeight="1">
      <c r="A21" s="126"/>
      <c r="B21" s="126"/>
      <c r="C21" s="126"/>
      <c r="D21" s="126"/>
    </row>
    <row r="22" ht="49.5" customHeight="1"/>
    <row r="23" ht="49.5" customHeight="1"/>
    <row r="24" ht="49.5" customHeight="1"/>
    <row r="25" ht="49.5" customHeight="1"/>
    <row r="26" ht="49.5" customHeight="1"/>
    <row r="27" ht="49.5" customHeight="1"/>
    <row r="28" ht="49.5" customHeight="1"/>
    <row r="29" ht="49.5" customHeight="1"/>
    <row r="30" ht="49.5" customHeight="1"/>
    <row r="31" ht="49.5" customHeight="1"/>
    <row r="32" ht="49.5" customHeight="1"/>
    <row r="33" ht="49.5" customHeight="1"/>
    <row r="34" ht="49.5" customHeight="1"/>
    <row r="35" ht="49.5" customHeight="1"/>
    <row r="36" ht="49.5" customHeight="1"/>
    <row r="37" ht="49.5" customHeight="1"/>
    <row r="38" ht="49.5" customHeight="1"/>
    <row r="39" ht="49.5" customHeight="1"/>
    <row r="40" ht="49.5" customHeight="1"/>
    <row r="41" ht="49.5" customHeight="1"/>
    <row r="42" ht="49.5" customHeight="1"/>
    <row r="43" ht="49.5" customHeight="1"/>
    <row r="44" ht="49.5" customHeight="1"/>
    <row r="45" ht="49.5" customHeight="1"/>
    <row r="46" ht="49.5" customHeight="1"/>
    <row r="47" ht="49.5" customHeight="1"/>
    <row r="48" ht="49.5" customHeight="1"/>
    <row r="49" ht="49.5" customHeight="1"/>
    <row r="50" ht="49.5" customHeight="1"/>
    <row r="51" ht="49.5" customHeight="1"/>
    <row r="52" ht="49.5" customHeight="1"/>
    <row r="53" ht="49.5" customHeight="1"/>
    <row r="54" ht="49.5" customHeight="1"/>
    <row r="55" ht="49.5" customHeight="1"/>
    <row r="56" ht="49.5" customHeight="1"/>
    <row r="57" ht="49.5" customHeight="1"/>
    <row r="58" ht="49.5" customHeight="1"/>
    <row r="59" ht="49.5" customHeight="1"/>
    <row r="60" ht="49.5" customHeight="1"/>
    <row r="61" ht="49.5" customHeight="1"/>
    <row r="62" ht="49.5" customHeight="1"/>
    <row r="63" ht="49.5" customHeight="1"/>
    <row r="64" ht="49.5" customHeight="1"/>
    <row r="65" ht="49.5" customHeight="1"/>
    <row r="66" ht="49.5" customHeight="1"/>
    <row r="67" ht="49.5" customHeight="1"/>
    <row r="68" ht="49.5" customHeight="1"/>
    <row r="69" ht="49.5" customHeight="1"/>
    <row r="70" ht="49.5" customHeight="1"/>
    <row r="71" ht="49.5" customHeight="1"/>
    <row r="72" ht="49.5" customHeight="1"/>
    <row r="73" ht="49.5" customHeight="1"/>
    <row r="74" ht="49.5" customHeight="1"/>
    <row r="75" ht="49.5" customHeight="1"/>
    <row r="76" ht="49.5" customHeight="1"/>
    <row r="77" ht="49.5" customHeight="1"/>
    <row r="78" ht="49.5" customHeight="1"/>
    <row r="79" ht="49.5" customHeight="1"/>
    <row r="80" ht="49.5" customHeight="1"/>
    <row r="81" ht="49.5" customHeight="1"/>
    <row r="82" ht="49.5" customHeight="1"/>
    <row r="83" ht="49.5" customHeight="1"/>
    <row r="84" ht="49.5" customHeight="1"/>
    <row r="85" ht="49.5" customHeight="1"/>
    <row r="86" ht="49.5" customHeight="1"/>
    <row r="87" ht="49.5" customHeight="1"/>
    <row r="88" ht="49.5" customHeight="1"/>
    <row r="89" ht="49.5" customHeight="1"/>
    <row r="90" ht="49.5" customHeight="1"/>
    <row r="91" ht="49.5" customHeight="1"/>
    <row r="92" ht="49.5" customHeight="1"/>
    <row r="93" ht="49.5" customHeight="1"/>
    <row r="94" ht="49.5" customHeight="1"/>
    <row r="95" ht="49.5" customHeight="1"/>
    <row r="96" ht="49.5" customHeight="1"/>
    <row r="97" ht="49.5" customHeight="1"/>
    <row r="98" ht="49.5" customHeight="1"/>
    <row r="99" ht="49.5" customHeight="1"/>
    <row r="100" ht="49.5" customHeight="1"/>
    <row r="101" ht="49.5" customHeight="1"/>
    <row r="102" ht="49.5" customHeight="1"/>
    <row r="103" ht="49.5" customHeight="1"/>
    <row r="104" ht="49.5" customHeight="1"/>
    <row r="105" ht="49.5" customHeight="1"/>
    <row r="106" ht="49.5" customHeight="1"/>
    <row r="107" ht="49.5" customHeight="1"/>
    <row r="108" ht="49.5" customHeight="1"/>
    <row r="109" ht="49.5" customHeight="1"/>
    <row r="110" ht="49.5" customHeight="1"/>
    <row r="111" ht="49.5" customHeight="1"/>
    <row r="112" ht="49.5" customHeight="1"/>
    <row r="113" ht="49.5" customHeight="1"/>
    <row r="114" ht="49.5" customHeight="1"/>
    <row r="115" ht="49.5" customHeight="1"/>
    <row r="116" ht="49.5" customHeight="1"/>
    <row r="117" ht="49.5" customHeight="1"/>
    <row r="118" ht="49.5" customHeight="1"/>
    <row r="119" ht="49.5" customHeight="1"/>
    <row r="120" ht="49.5" customHeight="1"/>
    <row r="121" ht="49.5" customHeight="1"/>
    <row r="122" ht="49.5" customHeight="1"/>
    <row r="123" ht="49.5" customHeight="1"/>
    <row r="124" ht="49.5" customHeight="1"/>
    <row r="125" ht="49.5" customHeight="1"/>
    <row r="126" ht="49.5" customHeight="1"/>
    <row r="127" ht="49.5" customHeight="1"/>
    <row r="128" ht="49.5" customHeight="1"/>
    <row r="129" ht="49.5" customHeight="1"/>
    <row r="130" ht="49.5" customHeight="1"/>
    <row r="131" ht="49.5" customHeight="1"/>
    <row r="132" ht="49.5" customHeight="1"/>
    <row r="133" ht="49.5" customHeight="1"/>
    <row r="134" ht="49.5" customHeight="1"/>
    <row r="135" ht="49.5" customHeight="1"/>
    <row r="136" ht="49.5" customHeight="1"/>
    <row r="137" ht="49.5" customHeight="1"/>
    <row r="138" ht="49.5" customHeight="1"/>
    <row r="139" ht="49.5" customHeight="1"/>
    <row r="140" ht="49.5" customHeight="1"/>
    <row r="141" ht="49.5" customHeight="1"/>
    <row r="142" ht="49.5" customHeight="1"/>
    <row r="143" ht="49.5" customHeight="1"/>
    <row r="144" ht="49.5" customHeight="1"/>
    <row r="145" ht="49.5" customHeight="1"/>
    <row r="146" ht="49.5" customHeight="1"/>
    <row r="147" ht="49.5" customHeight="1"/>
    <row r="148" ht="49.5" customHeight="1"/>
    <row r="149" ht="49.5" customHeight="1"/>
    <row r="150" ht="49.5" customHeight="1"/>
    <row r="151" ht="49.5" customHeight="1"/>
    <row r="152" ht="49.5" customHeight="1"/>
    <row r="153" ht="49.5" customHeight="1"/>
    <row r="154" ht="49.5" customHeight="1"/>
    <row r="155" ht="49.5" customHeight="1"/>
    <row r="156" ht="49.5" customHeight="1"/>
    <row r="157" ht="49.5" customHeight="1"/>
    <row r="158" ht="49.5" customHeight="1"/>
    <row r="159" ht="49.5" customHeight="1"/>
    <row r="160" ht="49.5" customHeight="1"/>
    <row r="161" ht="49.5" customHeight="1"/>
    <row r="162" ht="49.5" customHeight="1"/>
    <row r="163" ht="49.5" customHeight="1"/>
    <row r="164" ht="49.5" customHeight="1"/>
    <row r="165" ht="49.5" customHeight="1"/>
    <row r="166" ht="49.5" customHeight="1"/>
    <row r="167" ht="49.5" customHeight="1"/>
    <row r="168" ht="49.5" customHeight="1"/>
    <row r="169" ht="49.5" customHeight="1"/>
    <row r="170" ht="49.5" customHeight="1"/>
    <row r="171" ht="49.5" customHeight="1"/>
    <row r="172" ht="49.5" customHeight="1"/>
    <row r="173" ht="49.5" customHeight="1"/>
    <row r="174" ht="49.5" customHeight="1"/>
    <row r="175" ht="49.5" customHeight="1"/>
    <row r="176" ht="49.5" customHeight="1"/>
    <row r="177" ht="49.5" customHeight="1"/>
    <row r="178" ht="49.5" customHeight="1"/>
    <row r="179" ht="49.5" customHeight="1"/>
    <row r="180" ht="49.5" customHeight="1"/>
    <row r="181" ht="49.5" customHeight="1"/>
    <row r="182" ht="49.5" customHeight="1"/>
    <row r="183" ht="49.5" customHeight="1"/>
    <row r="184" ht="49.5" customHeight="1"/>
    <row r="185" ht="49.5" customHeight="1"/>
    <row r="186" ht="49.5" customHeight="1"/>
    <row r="187" ht="49.5" customHeight="1"/>
    <row r="188" ht="49.5" customHeight="1"/>
    <row r="189" ht="49.5" customHeight="1"/>
    <row r="190" ht="49.5" customHeight="1"/>
    <row r="191" ht="49.5" customHeight="1"/>
    <row r="192" ht="49.5" customHeight="1"/>
    <row r="193" ht="49.5" customHeight="1"/>
    <row r="194" ht="49.5" customHeight="1"/>
    <row r="195" ht="49.5" customHeight="1"/>
    <row r="196" ht="49.5" customHeight="1"/>
    <row r="197" ht="49.5" customHeight="1"/>
    <row r="198" ht="49.5" customHeight="1"/>
    <row r="199" ht="49.5" customHeight="1"/>
    <row r="200" ht="49.5" customHeight="1"/>
    <row r="201" ht="49.5" customHeight="1"/>
    <row r="202" ht="49.5" customHeight="1"/>
    <row r="203" ht="49.5" customHeight="1"/>
    <row r="204" ht="49.5" customHeight="1"/>
    <row r="205" ht="49.5" customHeight="1"/>
    <row r="206" ht="49.5" customHeight="1"/>
    <row r="207" ht="49.5" customHeight="1"/>
    <row r="208" ht="49.5" customHeight="1"/>
    <row r="209" ht="49.5" customHeight="1"/>
    <row r="210" ht="49.5" customHeight="1"/>
    <row r="211" ht="49.5" customHeight="1"/>
    <row r="212" ht="49.5" customHeight="1"/>
    <row r="213" ht="49.5" customHeight="1"/>
    <row r="214" ht="49.5" customHeight="1"/>
    <row r="215" ht="49.5" customHeight="1"/>
    <row r="216" ht="49.5" customHeight="1"/>
    <row r="217" ht="49.5" customHeight="1"/>
    <row r="218" ht="49.5" customHeight="1"/>
    <row r="219" ht="49.5" customHeight="1"/>
    <row r="220" ht="49.5" customHeight="1"/>
    <row r="221" ht="49.5" customHeight="1"/>
    <row r="222" ht="49.5" customHeight="1"/>
    <row r="223" ht="49.5" customHeight="1"/>
    <row r="224" ht="49.5" customHeight="1"/>
    <row r="225" ht="49.5" customHeight="1"/>
    <row r="226" ht="49.5" customHeight="1"/>
    <row r="227" ht="49.5" customHeight="1"/>
    <row r="228" ht="49.5" customHeight="1"/>
    <row r="229" ht="49.5" customHeight="1"/>
    <row r="230" ht="49.5" customHeight="1"/>
    <row r="231" ht="49.5" customHeight="1"/>
    <row r="232" ht="49.5" customHeight="1"/>
    <row r="233" ht="49.5" customHeight="1"/>
    <row r="234" ht="49.5" customHeight="1"/>
    <row r="235" ht="49.5" customHeight="1"/>
    <row r="236" ht="49.5" customHeight="1"/>
    <row r="237" ht="49.5" customHeight="1"/>
    <row r="238" ht="49.5" customHeight="1"/>
    <row r="239" ht="49.5" customHeight="1"/>
    <row r="240" ht="49.5" customHeight="1"/>
    <row r="241" ht="49.5" customHeight="1"/>
    <row r="242" ht="49.5" customHeight="1"/>
    <row r="243" ht="49.5" customHeight="1"/>
    <row r="244" ht="49.5" customHeight="1"/>
    <row r="245" ht="49.5" customHeight="1"/>
    <row r="246" ht="49.5" customHeight="1"/>
    <row r="247" ht="49.5" customHeight="1"/>
    <row r="248" ht="49.5" customHeight="1"/>
    <row r="249" ht="49.5" customHeight="1"/>
    <row r="250" ht="49.5" customHeight="1"/>
    <row r="251" ht="49.5" customHeight="1"/>
    <row r="252" ht="49.5" customHeight="1"/>
    <row r="253" ht="49.5" customHeight="1"/>
    <row r="254" ht="49.5" customHeight="1"/>
    <row r="255" ht="49.5" customHeight="1"/>
    <row r="256" ht="49.5" customHeight="1"/>
    <row r="257" ht="49.5" customHeight="1"/>
    <row r="258" ht="49.5" customHeight="1"/>
    <row r="259" ht="49.5" customHeight="1"/>
    <row r="260" ht="49.5" customHeight="1"/>
    <row r="261" ht="49.5" customHeight="1"/>
    <row r="262" ht="49.5" customHeight="1"/>
    <row r="263" ht="49.5" customHeight="1"/>
    <row r="264" ht="49.5" customHeight="1"/>
    <row r="265" ht="49.5" customHeight="1"/>
    <row r="266" ht="49.5" customHeight="1"/>
    <row r="267" ht="49.5" customHeight="1"/>
    <row r="268" ht="49.5" customHeight="1"/>
    <row r="269" ht="49.5" customHeight="1"/>
    <row r="270" ht="49.5" customHeight="1"/>
    <row r="271" ht="49.5" customHeight="1"/>
    <row r="272" ht="49.5" customHeight="1"/>
    <row r="273" ht="49.5" customHeight="1"/>
    <row r="274" ht="49.5" customHeight="1"/>
    <row r="275" ht="49.5" customHeight="1"/>
    <row r="276" ht="49.5" customHeight="1"/>
    <row r="277" ht="49.5" customHeight="1"/>
    <row r="278" ht="49.5" customHeight="1"/>
    <row r="279" ht="49.5" customHeight="1"/>
    <row r="280" ht="49.5" customHeight="1"/>
    <row r="281" ht="49.5" customHeight="1"/>
    <row r="282" ht="49.5" customHeight="1"/>
    <row r="283" ht="49.5" customHeight="1"/>
    <row r="284" ht="49.5" customHeight="1"/>
    <row r="285" ht="49.5" customHeight="1"/>
    <row r="286" ht="49.5" customHeight="1"/>
    <row r="287" ht="49.5" customHeight="1"/>
    <row r="288" ht="49.5" customHeight="1"/>
    <row r="289" ht="49.5" customHeight="1"/>
    <row r="290" ht="49.5" customHeight="1"/>
    <row r="291" ht="49.5" customHeight="1"/>
    <row r="292" ht="49.5" customHeight="1"/>
    <row r="293" ht="49.5" customHeight="1"/>
    <row r="294" ht="49.5" customHeight="1"/>
    <row r="295" ht="49.5" customHeight="1"/>
    <row r="296" ht="49.5" customHeight="1"/>
    <row r="297" ht="49.5" customHeight="1"/>
    <row r="298" ht="49.5" customHeight="1"/>
    <row r="299" ht="49.5" customHeight="1"/>
    <row r="300" ht="49.5" customHeight="1"/>
    <row r="301" ht="49.5" customHeight="1"/>
    <row r="302" ht="49.5" customHeight="1"/>
    <row r="303" ht="49.5" customHeight="1"/>
    <row r="304" ht="49.5" customHeight="1"/>
    <row r="305" ht="49.5" customHeight="1"/>
    <row r="306" ht="49.5" customHeight="1"/>
    <row r="307" ht="49.5" customHeight="1"/>
    <row r="308" ht="49.5" customHeight="1"/>
    <row r="309" ht="49.5" customHeight="1"/>
    <row r="310" ht="49.5" customHeight="1"/>
    <row r="311" ht="49.5" customHeight="1"/>
    <row r="312" ht="49.5" customHeight="1"/>
    <row r="313" ht="49.5" customHeight="1"/>
    <row r="314" ht="49.5" customHeight="1"/>
    <row r="315" ht="49.5" customHeight="1"/>
    <row r="316" ht="49.5" customHeight="1"/>
    <row r="317" ht="49.5" customHeight="1"/>
    <row r="318" ht="49.5" customHeight="1"/>
    <row r="319" ht="49.5" customHeight="1"/>
    <row r="320" ht="49.5" customHeight="1"/>
    <row r="321" ht="49.5" customHeight="1"/>
    <row r="322" ht="49.5" customHeight="1"/>
    <row r="323" ht="49.5" customHeight="1"/>
    <row r="324" ht="49.5" customHeight="1"/>
    <row r="325" ht="49.5" customHeight="1"/>
    <row r="326" ht="49.5" customHeight="1"/>
    <row r="327" ht="49.5" customHeight="1"/>
    <row r="328" ht="49.5" customHeight="1"/>
    <row r="329" ht="49.5" customHeight="1"/>
    <row r="330" ht="49.5" customHeight="1"/>
    <row r="331" ht="49.5" customHeight="1"/>
    <row r="332" ht="49.5" customHeight="1"/>
    <row r="333" ht="49.5" customHeight="1"/>
    <row r="334" ht="49.5" customHeight="1"/>
    <row r="335" ht="49.5" customHeight="1"/>
    <row r="336" ht="49.5" customHeight="1"/>
    <row r="337" ht="49.5" customHeight="1"/>
    <row r="338" ht="49.5" customHeight="1"/>
    <row r="339" ht="49.5" customHeight="1"/>
    <row r="340" ht="49.5" customHeight="1"/>
    <row r="341" ht="49.5" customHeight="1"/>
    <row r="342" ht="49.5" customHeight="1"/>
    <row r="343" ht="49.5" customHeight="1"/>
    <row r="344" ht="49.5" customHeight="1"/>
    <row r="345" ht="49.5" customHeight="1"/>
    <row r="346" ht="49.5" customHeight="1"/>
    <row r="347" ht="49.5" customHeight="1"/>
    <row r="348" ht="49.5" customHeight="1"/>
    <row r="349" ht="49.5" customHeight="1"/>
    <row r="350" ht="49.5" customHeight="1"/>
    <row r="351" ht="49.5" customHeight="1"/>
    <row r="352" ht="49.5" customHeight="1"/>
    <row r="353" ht="49.5" customHeight="1"/>
    <row r="354" ht="49.5" customHeight="1"/>
    <row r="355" ht="49.5" customHeight="1"/>
    <row r="356" ht="49.5" customHeight="1"/>
    <row r="357" ht="49.5" customHeight="1"/>
    <row r="358" ht="49.5" customHeight="1"/>
    <row r="359" ht="49.5" customHeight="1"/>
    <row r="360" ht="49.5" customHeight="1"/>
    <row r="361" ht="49.5" customHeight="1"/>
    <row r="362" ht="49.5" customHeight="1"/>
    <row r="363" ht="49.5" customHeight="1"/>
    <row r="364" ht="49.5" customHeight="1"/>
    <row r="365" ht="49.5" customHeight="1"/>
    <row r="366" ht="49.5" customHeight="1"/>
    <row r="367" ht="49.5" customHeight="1"/>
    <row r="368" ht="49.5" customHeight="1"/>
    <row r="369" ht="49.5" customHeight="1"/>
    <row r="370" ht="49.5" customHeight="1"/>
    <row r="371" ht="49.5" customHeight="1"/>
    <row r="372" ht="49.5" customHeight="1"/>
    <row r="373" ht="49.5" customHeight="1"/>
    <row r="374" ht="49.5" customHeight="1"/>
    <row r="375" ht="49.5" customHeight="1"/>
    <row r="376" ht="49.5" customHeight="1"/>
    <row r="377" ht="49.5" customHeight="1"/>
    <row r="378" ht="49.5" customHeight="1"/>
    <row r="379" ht="49.5" customHeight="1"/>
    <row r="380" ht="49.5" customHeight="1"/>
    <row r="381" ht="49.5" customHeight="1"/>
    <row r="382" ht="49.5" customHeight="1"/>
    <row r="383" ht="49.5" customHeight="1"/>
    <row r="384" ht="49.5" customHeight="1"/>
    <row r="385" ht="49.5" customHeight="1"/>
    <row r="386" ht="49.5" customHeight="1"/>
    <row r="387" ht="49.5" customHeight="1"/>
    <row r="388" ht="49.5" customHeight="1"/>
    <row r="389" ht="49.5" customHeight="1"/>
    <row r="390" ht="49.5" customHeight="1"/>
    <row r="391" ht="49.5" customHeight="1"/>
    <row r="392" ht="49.5" customHeight="1"/>
    <row r="393" ht="49.5" customHeight="1"/>
    <row r="394" ht="49.5" customHeight="1"/>
    <row r="395" ht="49.5" customHeight="1"/>
    <row r="396" ht="49.5" customHeight="1"/>
    <row r="397" ht="49.5" customHeight="1"/>
    <row r="398" ht="49.5" customHeight="1"/>
    <row r="399" ht="49.5" customHeight="1"/>
    <row r="400" ht="49.5" customHeight="1"/>
    <row r="401" ht="49.5" customHeight="1"/>
    <row r="402" ht="49.5" customHeight="1"/>
    <row r="403" ht="49.5" customHeight="1"/>
    <row r="404" ht="49.5" customHeight="1"/>
    <row r="405" ht="49.5" customHeight="1"/>
    <row r="406" ht="49.5" customHeight="1"/>
    <row r="407" ht="49.5" customHeight="1"/>
    <row r="408" ht="49.5" customHeight="1"/>
    <row r="409" ht="49.5" customHeight="1"/>
    <row r="410" ht="49.5" customHeight="1"/>
    <row r="411" ht="49.5" customHeight="1"/>
    <row r="412" ht="49.5" customHeight="1"/>
    <row r="413" ht="49.5" customHeight="1"/>
    <row r="414" ht="49.5" customHeight="1"/>
    <row r="415" ht="49.5" customHeight="1"/>
    <row r="416" ht="49.5" customHeight="1"/>
    <row r="417" ht="49.5" customHeight="1"/>
    <row r="418" ht="49.5" customHeight="1"/>
    <row r="419" ht="49.5" customHeight="1"/>
    <row r="420" ht="49.5" customHeight="1"/>
    <row r="421" ht="49.5" customHeight="1"/>
    <row r="422" ht="49.5" customHeight="1"/>
    <row r="423" ht="49.5" customHeight="1"/>
    <row r="424" ht="49.5" customHeight="1"/>
    <row r="425" ht="49.5" customHeight="1"/>
    <row r="426" ht="49.5" customHeight="1"/>
    <row r="427" ht="49.5" customHeight="1"/>
    <row r="428" ht="49.5" customHeight="1"/>
    <row r="429" ht="49.5" customHeight="1"/>
    <row r="430" ht="49.5" customHeight="1"/>
    <row r="431" ht="49.5" customHeight="1"/>
    <row r="432" ht="49.5" customHeight="1"/>
    <row r="433" ht="49.5" customHeight="1"/>
    <row r="434" ht="49.5" customHeight="1"/>
    <row r="435" ht="49.5" customHeight="1"/>
    <row r="436" ht="49.5" customHeight="1"/>
    <row r="437" ht="49.5" customHeight="1"/>
    <row r="438" ht="49.5" customHeight="1"/>
    <row r="439" ht="49.5" customHeight="1"/>
    <row r="440" ht="49.5" customHeight="1"/>
    <row r="441" ht="49.5" customHeight="1"/>
    <row r="442" ht="49.5" customHeight="1"/>
    <row r="443" ht="49.5" customHeight="1"/>
    <row r="444" ht="49.5" customHeight="1"/>
    <row r="445" ht="49.5" customHeight="1"/>
    <row r="446" ht="49.5" customHeight="1"/>
    <row r="447" ht="49.5" customHeight="1"/>
    <row r="448" ht="49.5" customHeight="1"/>
    <row r="449" ht="49.5" customHeight="1"/>
    <row r="450" ht="49.5" customHeight="1"/>
    <row r="451" ht="49.5" customHeight="1"/>
    <row r="452" ht="49.5" customHeight="1"/>
    <row r="453" ht="49.5" customHeight="1"/>
    <row r="454" ht="49.5" customHeight="1"/>
    <row r="455" ht="49.5" customHeight="1"/>
    <row r="456" ht="49.5" customHeight="1"/>
    <row r="457" ht="49.5" customHeight="1"/>
    <row r="458" ht="49.5" customHeight="1"/>
    <row r="459" ht="49.5" customHeight="1"/>
    <row r="460" ht="49.5" customHeight="1"/>
    <row r="461" ht="49.5" customHeight="1"/>
    <row r="462" ht="49.5" customHeight="1"/>
    <row r="463" ht="49.5" customHeight="1"/>
    <row r="464" ht="49.5" customHeight="1"/>
    <row r="465" ht="49.5" customHeight="1"/>
    <row r="466" ht="49.5" customHeight="1"/>
    <row r="467" ht="49.5" customHeight="1"/>
    <row r="468" ht="49.5" customHeight="1"/>
    <row r="469" ht="49.5" customHeight="1"/>
    <row r="470" ht="49.5" customHeight="1"/>
    <row r="471" ht="49.5" customHeight="1"/>
    <row r="472" ht="49.5" customHeight="1"/>
    <row r="473" ht="49.5" customHeight="1"/>
    <row r="474" ht="49.5" customHeight="1"/>
    <row r="475" ht="49.5" customHeight="1"/>
    <row r="476" ht="49.5" customHeight="1"/>
    <row r="477" ht="49.5" customHeight="1"/>
    <row r="478" ht="49.5" customHeight="1"/>
    <row r="479" ht="49.5" customHeight="1"/>
    <row r="480" ht="49.5" customHeight="1"/>
    <row r="481" ht="49.5" customHeight="1"/>
    <row r="482" ht="49.5" customHeight="1"/>
    <row r="483" ht="49.5" customHeight="1"/>
    <row r="484" ht="49.5" customHeight="1"/>
    <row r="485" ht="49.5" customHeight="1"/>
    <row r="486" ht="49.5" customHeight="1"/>
    <row r="487" ht="49.5" customHeight="1"/>
    <row r="488" ht="49.5" customHeight="1"/>
    <row r="489" ht="49.5" customHeight="1"/>
    <row r="490" ht="49.5" customHeight="1"/>
    <row r="491" ht="49.5" customHeight="1"/>
    <row r="492" ht="49.5" customHeight="1"/>
    <row r="493" ht="49.5" customHeight="1"/>
    <row r="494" ht="49.5" customHeight="1"/>
    <row r="495" ht="49.5" customHeight="1"/>
    <row r="496" ht="49.5" customHeight="1"/>
    <row r="497" ht="49.5" customHeight="1"/>
    <row r="498" ht="49.5" customHeight="1"/>
    <row r="499" ht="49.5" customHeight="1"/>
    <row r="500" ht="49.5" customHeight="1"/>
    <row r="501" ht="49.5" customHeight="1"/>
    <row r="502" ht="49.5" customHeight="1"/>
    <row r="503" ht="49.5" customHeight="1"/>
    <row r="504" ht="49.5" customHeight="1"/>
    <row r="505" ht="49.5" customHeight="1"/>
    <row r="506" ht="49.5" customHeight="1"/>
    <row r="507" ht="49.5" customHeight="1"/>
    <row r="508" ht="49.5" customHeight="1"/>
    <row r="509" ht="49.5" customHeight="1"/>
    <row r="510" ht="49.5" customHeight="1"/>
    <row r="511" ht="49.5" customHeight="1"/>
    <row r="512" ht="49.5" customHeight="1"/>
    <row r="513" ht="49.5" customHeight="1"/>
    <row r="514" ht="49.5" customHeight="1"/>
    <row r="515" ht="49.5" customHeight="1"/>
    <row r="516" ht="49.5" customHeight="1"/>
    <row r="517" ht="49.5" customHeight="1"/>
    <row r="518" ht="49.5" customHeight="1"/>
    <row r="519" ht="49.5" customHeight="1"/>
    <row r="520" ht="49.5" customHeight="1"/>
    <row r="521" ht="49.5" customHeight="1"/>
    <row r="522" ht="49.5" customHeight="1"/>
    <row r="523" ht="49.5" customHeight="1"/>
    <row r="524" ht="49.5" customHeight="1"/>
    <row r="525" ht="49.5" customHeight="1"/>
    <row r="526" ht="49.5" customHeight="1"/>
    <row r="527" ht="49.5" customHeight="1"/>
    <row r="528" ht="49.5" customHeight="1"/>
    <row r="529" ht="49.5" customHeight="1"/>
    <row r="530" ht="49.5" customHeight="1"/>
    <row r="531" ht="49.5" customHeight="1"/>
    <row r="532" ht="49.5" customHeight="1"/>
    <row r="533" ht="49.5" customHeight="1"/>
    <row r="534" ht="49.5" customHeight="1"/>
    <row r="535" ht="49.5" customHeight="1"/>
    <row r="536" ht="49.5" customHeight="1"/>
    <row r="537" ht="49.5" customHeight="1"/>
    <row r="538" ht="49.5" customHeight="1"/>
    <row r="539" ht="49.5" customHeight="1"/>
    <row r="540" ht="49.5" customHeight="1"/>
    <row r="541" ht="49.5" customHeight="1"/>
    <row r="542" ht="49.5" customHeight="1"/>
    <row r="543" ht="49.5" customHeight="1"/>
    <row r="544" ht="49.5" customHeight="1"/>
    <row r="545" ht="49.5" customHeight="1"/>
    <row r="546" ht="49.5" customHeight="1"/>
    <row r="547" ht="49.5" customHeight="1"/>
    <row r="548" ht="49.5" customHeight="1"/>
    <row r="549" ht="49.5" customHeight="1"/>
    <row r="550" ht="49.5" customHeight="1"/>
    <row r="551" ht="49.5" customHeight="1"/>
    <row r="552" ht="49.5" customHeight="1"/>
    <row r="553" ht="49.5" customHeight="1"/>
    <row r="554" ht="49.5" customHeight="1"/>
    <row r="555" ht="49.5" customHeight="1"/>
    <row r="556" ht="49.5" customHeight="1"/>
    <row r="557" ht="49.5" customHeight="1"/>
    <row r="558" ht="49.5" customHeight="1"/>
    <row r="559" ht="49.5" customHeight="1"/>
    <row r="560" ht="49.5" customHeight="1"/>
    <row r="561" ht="49.5" customHeight="1"/>
    <row r="562" ht="49.5" customHeight="1"/>
    <row r="563" ht="49.5" customHeight="1"/>
    <row r="564" ht="49.5" customHeight="1"/>
    <row r="565" ht="49.5" customHeight="1"/>
    <row r="566" ht="49.5" customHeight="1"/>
    <row r="567" ht="49.5" customHeight="1"/>
    <row r="568" ht="49.5" customHeight="1"/>
    <row r="569" ht="49.5" customHeight="1"/>
    <row r="570" ht="49.5" customHeight="1"/>
    <row r="571" ht="49.5" customHeight="1"/>
    <row r="572" ht="49.5" customHeight="1"/>
    <row r="573" ht="49.5" customHeight="1"/>
    <row r="574" ht="49.5" customHeight="1"/>
    <row r="575" ht="49.5" customHeight="1"/>
    <row r="576" ht="49.5" customHeight="1"/>
    <row r="577" ht="49.5" customHeight="1"/>
    <row r="578" ht="49.5" customHeight="1"/>
    <row r="579" ht="49.5" customHeight="1"/>
    <row r="580" ht="49.5" customHeight="1"/>
    <row r="581" ht="49.5" customHeight="1"/>
    <row r="582" ht="49.5" customHeight="1"/>
    <row r="583" ht="49.5" customHeight="1"/>
    <row r="584" ht="49.5" customHeight="1"/>
    <row r="585" ht="49.5" customHeight="1"/>
    <row r="586" ht="49.5" customHeight="1"/>
    <row r="587" ht="49.5" customHeight="1"/>
    <row r="588" ht="49.5" customHeight="1"/>
    <row r="589" ht="49.5" customHeight="1"/>
    <row r="590" ht="49.5" customHeight="1"/>
    <row r="591" ht="49.5" customHeight="1"/>
    <row r="592" ht="49.5" customHeight="1"/>
    <row r="593" ht="49.5" customHeight="1"/>
    <row r="594" ht="49.5" customHeight="1"/>
    <row r="595" ht="49.5" customHeight="1"/>
    <row r="596" ht="49.5" customHeight="1"/>
    <row r="597" ht="49.5" customHeight="1"/>
    <row r="598" ht="49.5" customHeight="1"/>
    <row r="599" ht="49.5" customHeight="1"/>
    <row r="600" ht="49.5" customHeight="1"/>
    <row r="601" ht="49.5" customHeight="1"/>
    <row r="602" ht="49.5" customHeight="1"/>
    <row r="603" ht="49.5" customHeight="1"/>
    <row r="604" ht="49.5" customHeight="1"/>
    <row r="605" ht="49.5" customHeight="1"/>
    <row r="606" ht="49.5" customHeight="1"/>
    <row r="607" ht="49.5" customHeight="1"/>
    <row r="608" ht="49.5" customHeight="1"/>
    <row r="609" ht="49.5" customHeight="1"/>
    <row r="610" ht="49.5" customHeight="1"/>
    <row r="611" ht="49.5" customHeight="1"/>
    <row r="612" ht="49.5" customHeight="1"/>
    <row r="613" ht="49.5" customHeight="1"/>
    <row r="614" ht="49.5" customHeight="1"/>
    <row r="615" ht="49.5" customHeight="1"/>
    <row r="616" ht="49.5" customHeight="1"/>
    <row r="617" ht="49.5" customHeight="1"/>
    <row r="618" ht="49.5" customHeight="1"/>
    <row r="619" ht="49.5" customHeight="1"/>
    <row r="620" ht="49.5" customHeight="1"/>
    <row r="621" ht="49.5" customHeight="1"/>
    <row r="622" ht="49.5" customHeight="1"/>
    <row r="623" ht="49.5" customHeight="1"/>
    <row r="624" ht="49.5" customHeight="1"/>
    <row r="625" ht="49.5" customHeight="1"/>
    <row r="626" ht="49.5" customHeight="1"/>
    <row r="627" ht="49.5" customHeight="1"/>
    <row r="628" ht="49.5" customHeight="1"/>
    <row r="629" ht="49.5" customHeight="1"/>
    <row r="630" ht="49.5" customHeight="1"/>
    <row r="631" ht="49.5" customHeight="1"/>
    <row r="632" ht="49.5" customHeight="1"/>
    <row r="633" ht="49.5" customHeight="1"/>
    <row r="634" ht="49.5" customHeight="1"/>
    <row r="635" ht="49.5" customHeight="1"/>
    <row r="636" ht="49.5" customHeight="1"/>
    <row r="637" ht="49.5" customHeight="1"/>
    <row r="638" ht="49.5" customHeight="1"/>
    <row r="639" ht="49.5" customHeight="1"/>
    <row r="640" ht="49.5" customHeight="1"/>
    <row r="641" ht="49.5" customHeight="1"/>
    <row r="642" ht="49.5" customHeight="1"/>
    <row r="643" ht="49.5" customHeight="1"/>
    <row r="644" ht="49.5" customHeight="1"/>
    <row r="645" ht="49.5" customHeight="1"/>
    <row r="646" ht="49.5" customHeight="1"/>
    <row r="647" ht="49.5" customHeight="1"/>
    <row r="648" ht="49.5" customHeight="1"/>
    <row r="649" ht="49.5" customHeight="1"/>
    <row r="650" ht="49.5" customHeight="1"/>
    <row r="651" ht="49.5" customHeight="1"/>
    <row r="652" ht="49.5" customHeight="1"/>
    <row r="653" ht="49.5" customHeight="1"/>
    <row r="654" ht="49.5" customHeight="1"/>
    <row r="655" ht="49.5" customHeight="1"/>
    <row r="656" ht="49.5" customHeight="1"/>
    <row r="657" ht="49.5" customHeight="1"/>
    <row r="658" ht="49.5" customHeight="1"/>
    <row r="659" ht="49.5" customHeight="1"/>
    <row r="660" ht="49.5" customHeight="1"/>
    <row r="661" ht="49.5" customHeight="1"/>
    <row r="662" ht="49.5" customHeight="1"/>
    <row r="663" ht="49.5" customHeight="1"/>
    <row r="664" ht="49.5" customHeight="1"/>
    <row r="665" ht="49.5" customHeight="1"/>
    <row r="666" ht="49.5" customHeight="1"/>
    <row r="667" ht="49.5" customHeight="1"/>
    <row r="668" ht="49.5" customHeight="1"/>
    <row r="669" ht="49.5" customHeight="1"/>
    <row r="670" ht="49.5" customHeight="1"/>
    <row r="671" ht="49.5" customHeight="1"/>
    <row r="672" ht="49.5" customHeight="1"/>
    <row r="673" ht="49.5" customHeight="1"/>
    <row r="674" ht="49.5" customHeight="1"/>
    <row r="675" ht="49.5" customHeight="1"/>
    <row r="676" ht="49.5" customHeight="1"/>
    <row r="677" ht="49.5" customHeight="1"/>
    <row r="678" ht="49.5" customHeight="1"/>
    <row r="679" ht="49.5" customHeight="1"/>
    <row r="680" ht="49.5" customHeight="1"/>
    <row r="681" ht="49.5" customHeight="1"/>
    <row r="682" ht="49.5" customHeight="1"/>
    <row r="683" ht="49.5" customHeight="1"/>
    <row r="684" ht="49.5" customHeight="1"/>
    <row r="685" ht="49.5" customHeight="1"/>
    <row r="686" ht="49.5" customHeight="1"/>
    <row r="687" ht="49.5" customHeight="1"/>
    <row r="688" ht="49.5" customHeight="1"/>
    <row r="689" ht="49.5" customHeight="1"/>
    <row r="690" ht="49.5" customHeight="1"/>
    <row r="691" ht="49.5" customHeight="1"/>
    <row r="692" ht="49.5" customHeight="1"/>
    <row r="693" ht="49.5" customHeight="1"/>
    <row r="694" ht="49.5" customHeight="1"/>
    <row r="695" ht="49.5" customHeight="1"/>
    <row r="696" ht="49.5" customHeight="1"/>
    <row r="697" ht="49.5" customHeight="1"/>
    <row r="698" ht="49.5" customHeight="1"/>
    <row r="699" ht="49.5" customHeight="1"/>
    <row r="700" ht="49.5" customHeight="1"/>
    <row r="701" ht="49.5" customHeight="1"/>
    <row r="702" ht="49.5" customHeight="1"/>
    <row r="703" ht="49.5" customHeight="1"/>
    <row r="704" ht="49.5" customHeight="1"/>
    <row r="705" ht="49.5" customHeight="1"/>
    <row r="706" ht="49.5" customHeight="1"/>
    <row r="707" ht="49.5" customHeight="1"/>
    <row r="708" ht="49.5" customHeight="1"/>
    <row r="709" ht="49.5" customHeight="1"/>
    <row r="710" ht="49.5" customHeight="1"/>
    <row r="711" ht="49.5" customHeight="1"/>
    <row r="712" ht="49.5" customHeight="1"/>
    <row r="713" ht="49.5" customHeight="1"/>
    <row r="714" ht="49.5" customHeight="1"/>
    <row r="715" ht="49.5" customHeight="1"/>
    <row r="716" ht="49.5" customHeight="1"/>
    <row r="717" ht="49.5" customHeight="1"/>
    <row r="718" ht="49.5" customHeight="1"/>
    <row r="719" ht="49.5" customHeight="1"/>
    <row r="720" ht="49.5" customHeight="1"/>
    <row r="721" ht="49.5" customHeight="1"/>
    <row r="722" ht="49.5" customHeight="1"/>
    <row r="723" ht="49.5" customHeight="1"/>
    <row r="724" ht="49.5" customHeight="1"/>
    <row r="725" ht="49.5" customHeight="1"/>
    <row r="726" ht="49.5" customHeight="1"/>
    <row r="727" ht="49.5" customHeight="1"/>
    <row r="728" ht="49.5" customHeight="1"/>
    <row r="729" ht="49.5" customHeight="1"/>
    <row r="730" ht="49.5" customHeight="1"/>
    <row r="731" ht="49.5" customHeight="1"/>
    <row r="732" ht="49.5" customHeight="1"/>
    <row r="733" ht="49.5" customHeight="1"/>
    <row r="734" ht="49.5" customHeight="1"/>
    <row r="735" ht="49.5" customHeight="1"/>
    <row r="736" ht="49.5" customHeight="1"/>
    <row r="737" ht="49.5" customHeight="1"/>
    <row r="738" ht="49.5" customHeight="1"/>
    <row r="739" ht="49.5" customHeight="1"/>
    <row r="740" ht="49.5" customHeight="1"/>
    <row r="741" ht="49.5" customHeight="1"/>
    <row r="742" ht="49.5" customHeight="1"/>
    <row r="743" ht="49.5" customHeight="1"/>
    <row r="744" ht="49.5" customHeight="1"/>
    <row r="745" ht="49.5" customHeight="1"/>
    <row r="746" ht="49.5" customHeight="1"/>
    <row r="747" ht="49.5" customHeight="1"/>
    <row r="748" ht="49.5" customHeight="1"/>
    <row r="749" ht="49.5" customHeight="1"/>
    <row r="750" ht="49.5" customHeight="1"/>
    <row r="751" ht="49.5" customHeight="1"/>
    <row r="752" ht="49.5" customHeight="1"/>
    <row r="753" ht="49.5" customHeight="1"/>
    <row r="754" ht="49.5" customHeight="1"/>
    <row r="755" ht="49.5" customHeight="1"/>
    <row r="756" ht="49.5" customHeight="1"/>
    <row r="757" ht="49.5" customHeight="1"/>
    <row r="758" ht="49.5" customHeight="1"/>
    <row r="759" ht="49.5" customHeight="1"/>
    <row r="760" ht="49.5" customHeight="1"/>
    <row r="761" ht="49.5" customHeight="1"/>
    <row r="762" ht="49.5" customHeight="1"/>
    <row r="763" ht="49.5" customHeight="1"/>
    <row r="764" ht="49.5" customHeight="1"/>
    <row r="765" ht="49.5" customHeight="1"/>
    <row r="766" ht="49.5" customHeight="1"/>
    <row r="767" ht="49.5" customHeight="1"/>
    <row r="768" ht="49.5" customHeight="1"/>
    <row r="769" ht="49.5" customHeight="1"/>
    <row r="770" ht="49.5" customHeight="1"/>
    <row r="771" ht="49.5" customHeight="1"/>
    <row r="772" ht="49.5" customHeight="1"/>
    <row r="773" ht="49.5" customHeight="1"/>
    <row r="774" ht="49.5" customHeight="1"/>
    <row r="775" ht="49.5" customHeight="1"/>
    <row r="776" ht="49.5" customHeight="1"/>
    <row r="777" ht="49.5" customHeight="1"/>
    <row r="778" ht="49.5" customHeight="1"/>
    <row r="779" ht="49.5" customHeight="1"/>
    <row r="780" ht="49.5" customHeight="1"/>
    <row r="781" ht="49.5" customHeight="1"/>
    <row r="782" ht="49.5" customHeight="1"/>
    <row r="783" ht="49.5" customHeight="1"/>
    <row r="784" ht="49.5" customHeight="1"/>
    <row r="785" ht="49.5" customHeight="1"/>
    <row r="786" ht="49.5" customHeight="1"/>
    <row r="787" ht="49.5" customHeight="1"/>
    <row r="788" ht="49.5" customHeight="1"/>
    <row r="789" ht="49.5" customHeight="1"/>
    <row r="790" ht="49.5" customHeight="1"/>
    <row r="791" ht="49.5" customHeight="1"/>
    <row r="792" ht="49.5" customHeight="1"/>
    <row r="793" ht="49.5" customHeight="1"/>
    <row r="794" ht="49.5" customHeight="1"/>
    <row r="795" ht="49.5" customHeight="1"/>
    <row r="796" ht="49.5" customHeight="1"/>
    <row r="797" ht="49.5" customHeight="1"/>
    <row r="798" ht="49.5" customHeight="1"/>
    <row r="799" ht="49.5" customHeight="1"/>
    <row r="800" ht="49.5" customHeight="1"/>
    <row r="801" ht="49.5" customHeight="1"/>
    <row r="802" ht="49.5" customHeight="1"/>
    <row r="803" ht="49.5" customHeight="1"/>
    <row r="804" ht="49.5" customHeight="1"/>
    <row r="805" ht="49.5" customHeight="1"/>
    <row r="806" ht="49.5" customHeight="1"/>
    <row r="807" ht="49.5" customHeight="1"/>
    <row r="808" ht="49.5" customHeight="1"/>
    <row r="809" ht="49.5" customHeight="1"/>
    <row r="810" ht="49.5" customHeight="1"/>
    <row r="811" ht="49.5" customHeight="1"/>
    <row r="812" ht="49.5" customHeight="1"/>
    <row r="813" ht="49.5" customHeight="1"/>
    <row r="814" ht="49.5" customHeight="1"/>
    <row r="815" ht="49.5" customHeight="1"/>
    <row r="816" ht="49.5" customHeight="1"/>
    <row r="817" ht="49.5" customHeight="1"/>
    <row r="818" ht="49.5" customHeight="1"/>
    <row r="819" ht="49.5" customHeight="1"/>
    <row r="820" ht="49.5" customHeight="1"/>
    <row r="821" ht="49.5" customHeight="1"/>
    <row r="822" ht="49.5" customHeight="1"/>
    <row r="823" ht="49.5" customHeight="1"/>
    <row r="824" ht="49.5" customHeight="1"/>
    <row r="825" ht="49.5" customHeight="1"/>
    <row r="826" ht="49.5" customHeight="1"/>
    <row r="827" ht="49.5" customHeight="1"/>
    <row r="828" ht="49.5" customHeight="1"/>
    <row r="829" ht="49.5" customHeight="1"/>
    <row r="830" ht="49.5" customHeight="1"/>
    <row r="831" ht="49.5" customHeight="1"/>
    <row r="832" ht="49.5" customHeight="1"/>
    <row r="833" ht="49.5" customHeight="1"/>
    <row r="834" ht="49.5" customHeight="1"/>
    <row r="835" ht="49.5" customHeight="1"/>
    <row r="836" ht="49.5" customHeight="1"/>
    <row r="837" ht="49.5" customHeight="1"/>
    <row r="838" ht="49.5" customHeight="1"/>
    <row r="839" ht="49.5" customHeight="1"/>
    <row r="840" ht="49.5" customHeight="1"/>
    <row r="841" ht="49.5" customHeight="1"/>
    <row r="842" ht="49.5" customHeight="1"/>
    <row r="843" ht="49.5" customHeight="1"/>
    <row r="844" ht="49.5" customHeight="1"/>
    <row r="845" ht="49.5" customHeight="1"/>
    <row r="846" ht="49.5" customHeight="1"/>
    <row r="847" ht="49.5" customHeight="1"/>
    <row r="848" ht="49.5" customHeight="1"/>
    <row r="849" ht="49.5" customHeight="1"/>
    <row r="850" ht="49.5" customHeight="1"/>
    <row r="851" ht="49.5" customHeight="1"/>
    <row r="852" ht="49.5" customHeight="1"/>
    <row r="853" ht="49.5" customHeight="1"/>
    <row r="854" ht="49.5" customHeight="1"/>
    <row r="855" ht="49.5" customHeight="1"/>
    <row r="856" ht="49.5" customHeight="1"/>
    <row r="857" ht="49.5" customHeight="1"/>
    <row r="858" ht="49.5" customHeight="1"/>
    <row r="859" ht="49.5" customHeight="1"/>
    <row r="860" ht="49.5" customHeight="1"/>
    <row r="861" ht="49.5" customHeight="1"/>
    <row r="862" ht="49.5" customHeight="1"/>
    <row r="863" ht="49.5" customHeight="1"/>
    <row r="864" ht="49.5" customHeight="1"/>
    <row r="865" ht="49.5" customHeight="1"/>
    <row r="866" ht="49.5" customHeight="1"/>
    <row r="867" ht="49.5" customHeight="1"/>
    <row r="868" ht="49.5" customHeight="1"/>
    <row r="869" ht="49.5" customHeight="1"/>
    <row r="870" ht="49.5" customHeight="1"/>
    <row r="871" ht="49.5" customHeight="1"/>
    <row r="872" ht="49.5" customHeight="1"/>
    <row r="873" ht="49.5" customHeight="1"/>
    <row r="874" ht="49.5" customHeight="1"/>
    <row r="875" ht="49.5" customHeight="1"/>
    <row r="876" ht="49.5" customHeight="1"/>
    <row r="877" ht="49.5" customHeight="1"/>
    <row r="878" ht="49.5" customHeight="1"/>
    <row r="879" ht="49.5" customHeight="1"/>
    <row r="880" ht="49.5" customHeight="1"/>
    <row r="881" ht="49.5" customHeight="1"/>
    <row r="882" ht="49.5" customHeight="1"/>
    <row r="883" ht="49.5" customHeight="1"/>
    <row r="884" ht="49.5" customHeight="1"/>
    <row r="885" ht="49.5" customHeight="1"/>
    <row r="886" ht="49.5" customHeight="1"/>
    <row r="887" ht="49.5" customHeight="1"/>
    <row r="888" ht="49.5" customHeight="1"/>
    <row r="889" ht="49.5" customHeight="1"/>
    <row r="890" ht="49.5" customHeight="1"/>
    <row r="891" ht="49.5" customHeight="1"/>
    <row r="892" ht="49.5" customHeight="1"/>
    <row r="893" ht="49.5" customHeight="1"/>
    <row r="894" ht="49.5" customHeight="1"/>
    <row r="895" ht="49.5" customHeight="1"/>
    <row r="896" ht="49.5" customHeight="1"/>
    <row r="897" ht="49.5" customHeight="1"/>
    <row r="898" ht="49.5" customHeight="1"/>
    <row r="899" ht="49.5" customHeight="1"/>
    <row r="900" ht="49.5" customHeight="1"/>
    <row r="901" ht="49.5" customHeight="1"/>
    <row r="902" ht="49.5" customHeight="1"/>
    <row r="903" ht="49.5" customHeight="1"/>
    <row r="904" ht="49.5" customHeight="1"/>
    <row r="905" ht="49.5" customHeight="1"/>
    <row r="906" ht="49.5" customHeight="1"/>
    <row r="907" ht="49.5" customHeight="1"/>
    <row r="908" ht="49.5" customHeight="1"/>
    <row r="909" ht="49.5" customHeight="1"/>
    <row r="910" ht="49.5" customHeight="1"/>
    <row r="911" ht="49.5" customHeight="1"/>
    <row r="912" ht="49.5" customHeight="1"/>
    <row r="913" ht="49.5" customHeight="1"/>
    <row r="914" ht="49.5" customHeight="1"/>
    <row r="915" ht="49.5" customHeight="1"/>
    <row r="916" ht="49.5" customHeight="1"/>
    <row r="917" ht="49.5" customHeight="1"/>
    <row r="918" ht="49.5" customHeight="1"/>
    <row r="919" ht="49.5" customHeight="1"/>
    <row r="920" ht="49.5" customHeight="1"/>
    <row r="921" ht="49.5" customHeight="1"/>
    <row r="922" ht="49.5" customHeight="1"/>
    <row r="923" ht="49.5" customHeight="1"/>
    <row r="924" ht="49.5" customHeight="1"/>
    <row r="925" ht="49.5" customHeight="1"/>
    <row r="926" ht="49.5" customHeight="1"/>
    <row r="927" ht="49.5" customHeight="1"/>
    <row r="928" ht="49.5" customHeight="1"/>
    <row r="929" ht="49.5" customHeight="1"/>
    <row r="930" ht="49.5" customHeight="1"/>
    <row r="931" ht="49.5" customHeight="1"/>
    <row r="932" ht="49.5" customHeight="1"/>
    <row r="933" ht="49.5" customHeight="1"/>
    <row r="934" ht="49.5" customHeight="1"/>
    <row r="935" ht="49.5" customHeight="1"/>
    <row r="936" ht="49.5" customHeight="1"/>
    <row r="937" ht="49.5" customHeight="1"/>
    <row r="938" ht="49.5" customHeight="1"/>
    <row r="939" ht="49.5" customHeight="1"/>
    <row r="940" ht="49.5" customHeight="1"/>
    <row r="941" ht="49.5" customHeight="1"/>
    <row r="942" ht="49.5" customHeight="1"/>
    <row r="943" ht="49.5" customHeight="1"/>
    <row r="944" ht="49.5" customHeight="1"/>
    <row r="945" ht="49.5" customHeight="1"/>
    <row r="946" ht="49.5" customHeight="1"/>
    <row r="947" ht="49.5" customHeight="1"/>
    <row r="948" ht="49.5" customHeight="1"/>
    <row r="949" ht="49.5" customHeight="1"/>
    <row r="950" ht="49.5" customHeight="1"/>
    <row r="951" ht="49.5" customHeight="1"/>
    <row r="952" ht="49.5" customHeight="1"/>
    <row r="953" ht="49.5" customHeight="1"/>
    <row r="954" ht="49.5" customHeight="1"/>
    <row r="955" ht="49.5" customHeight="1"/>
    <row r="956" ht="49.5" customHeight="1"/>
    <row r="957" ht="49.5" customHeight="1"/>
    <row r="958" ht="49.5" customHeight="1"/>
    <row r="959" ht="49.5" customHeight="1"/>
    <row r="960" ht="49.5" customHeight="1"/>
    <row r="961" ht="49.5" customHeight="1"/>
    <row r="962" ht="49.5" customHeight="1"/>
    <row r="963" ht="49.5" customHeight="1"/>
    <row r="964" ht="49.5" customHeight="1"/>
    <row r="965" ht="49.5" customHeight="1"/>
    <row r="966" ht="49.5" customHeight="1"/>
    <row r="967" ht="49.5" customHeight="1"/>
    <row r="968" ht="49.5" customHeight="1"/>
    <row r="969" ht="49.5" customHeight="1"/>
    <row r="970" ht="49.5" customHeight="1"/>
    <row r="971" ht="49.5" customHeight="1"/>
    <row r="972" ht="49.5" customHeight="1"/>
    <row r="973" ht="49.5" customHeight="1"/>
    <row r="974" ht="49.5" customHeight="1"/>
    <row r="975" ht="49.5" customHeight="1"/>
    <row r="976" ht="49.5" customHeight="1"/>
    <row r="977" ht="49.5" customHeight="1"/>
    <row r="978" ht="49.5" customHeight="1"/>
    <row r="979" ht="49.5" customHeight="1"/>
  </sheetData>
  <printOptions gridLines="1" horizontalCentered="1"/>
  <pageMargins bottom="0.7499952374904756" footer="0.0" header="0.0" left="0.0" right="0.0" top="0.11668148336296674"/>
  <pageSetup fitToWidth="0" paperSize="9" cellComments="atEnd" orientation="portrait" pageOrder="overThenDown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8.0"/>
    <col customWidth="1" min="2" max="2" width="39.88"/>
    <col customWidth="1" min="3" max="3" width="29.63"/>
    <col customWidth="1" min="4" max="4" width="37.5"/>
    <col customWidth="1" min="5" max="5" width="41.5"/>
  </cols>
  <sheetData>
    <row r="1">
      <c r="A1" s="1193" t="s">
        <v>3440</v>
      </c>
      <c r="B1" s="1193" t="s">
        <v>7137</v>
      </c>
      <c r="C1" s="1194" t="s">
        <v>4872</v>
      </c>
      <c r="D1" s="1194" t="s">
        <v>4874</v>
      </c>
      <c r="E1" s="1194" t="s">
        <v>4875</v>
      </c>
    </row>
    <row r="2" ht="39.75" customHeight="1">
      <c r="A2" s="1197"/>
      <c r="B2" s="1197"/>
      <c r="C2" s="1198"/>
      <c r="D2" s="1199"/>
      <c r="E2" s="1199"/>
    </row>
    <row r="3" ht="39.75" customHeight="1">
      <c r="A3" s="1201"/>
      <c r="B3" s="1201"/>
      <c r="C3" s="1202"/>
      <c r="D3" s="1203"/>
      <c r="E3" s="1203"/>
    </row>
    <row r="4" ht="39.75" customHeight="1">
      <c r="A4" s="1197"/>
      <c r="B4" s="1197"/>
      <c r="C4" s="1205"/>
      <c r="D4" s="1206"/>
      <c r="E4" s="1203"/>
    </row>
    <row r="5" ht="39.75" customHeight="1">
      <c r="A5" s="1197"/>
      <c r="B5" s="1197"/>
      <c r="C5" s="1202"/>
      <c r="D5" s="1206"/>
      <c r="E5" s="1206"/>
    </row>
    <row r="6" ht="39.75" customHeight="1">
      <c r="A6" s="1197"/>
      <c r="B6" s="1197"/>
      <c r="C6" s="1202"/>
      <c r="D6" s="1206"/>
      <c r="E6" s="1206"/>
    </row>
    <row r="7" ht="39.75" customHeight="1">
      <c r="A7" s="1212"/>
      <c r="B7" s="1212"/>
      <c r="C7" s="1209"/>
      <c r="D7" s="1210"/>
      <c r="E7" s="1210"/>
    </row>
    <row r="8" ht="39.75" customHeight="1">
      <c r="A8" s="1208"/>
      <c r="B8" s="1208"/>
      <c r="C8" s="1209"/>
      <c r="D8" s="1210"/>
      <c r="E8" s="1210"/>
    </row>
    <row r="9" ht="39.75" customHeight="1">
      <c r="A9" s="1208"/>
      <c r="B9" s="1208"/>
      <c r="C9" s="1209"/>
      <c r="D9" s="1210"/>
      <c r="E9" s="1210"/>
    </row>
    <row r="10" ht="39.75" customHeight="1">
      <c r="A10" s="1197"/>
      <c r="B10" s="1197"/>
      <c r="C10" s="1202"/>
      <c r="D10" s="1203"/>
      <c r="E10" s="1203"/>
    </row>
    <row r="11" ht="39.75" customHeight="1">
      <c r="A11" s="1208"/>
      <c r="B11" s="1208"/>
      <c r="C11" s="1209"/>
      <c r="D11" s="1210"/>
      <c r="E11" s="1210"/>
    </row>
    <row r="12" ht="39.75" customHeight="1">
      <c r="A12" s="1208"/>
      <c r="B12" s="1208"/>
      <c r="C12" s="1213"/>
      <c r="D12" s="1210"/>
      <c r="E12" s="1210"/>
    </row>
    <row r="13" ht="39.75" customHeight="1">
      <c r="A13" s="1208"/>
      <c r="B13" s="1208"/>
      <c r="C13" s="1209"/>
      <c r="D13" s="1210"/>
      <c r="E13" s="1210"/>
    </row>
    <row r="14" ht="39.75" customHeight="1">
      <c r="A14" s="1208"/>
      <c r="B14" s="1208"/>
      <c r="C14" s="1209"/>
      <c r="D14" s="1210"/>
      <c r="E14" s="1210"/>
    </row>
    <row r="15" ht="39.75" customHeight="1">
      <c r="A15" s="1208"/>
      <c r="B15" s="1208"/>
      <c r="C15" s="1209"/>
      <c r="D15" s="1210"/>
      <c r="E15" s="1210"/>
    </row>
    <row r="16" ht="39.75" customHeight="1">
      <c r="A16" s="1208"/>
      <c r="B16" s="1208"/>
      <c r="C16" s="1209"/>
      <c r="D16" s="1210"/>
      <c r="E16" s="1210"/>
    </row>
    <row r="17" ht="26.25" customHeight="1">
      <c r="A17" s="1253"/>
      <c r="B17" s="1253"/>
      <c r="C17" s="1213"/>
      <c r="D17" s="1211"/>
      <c r="E17" s="1211"/>
    </row>
    <row r="18" ht="26.25" customHeight="1">
      <c r="A18" s="1253"/>
      <c r="B18" s="1253"/>
      <c r="C18" s="1213"/>
      <c r="D18" s="1211"/>
      <c r="E18" s="1211"/>
    </row>
    <row r="19" ht="26.25" customHeight="1">
      <c r="A19" s="1253"/>
      <c r="B19" s="1253"/>
      <c r="C19" s="1213"/>
      <c r="D19" s="1211"/>
      <c r="E19" s="1211"/>
    </row>
    <row r="20" ht="26.25" customHeight="1">
      <c r="A20" s="1253"/>
      <c r="B20" s="1253"/>
      <c r="C20" s="1213"/>
      <c r="D20" s="1211"/>
      <c r="E20" s="1211"/>
    </row>
    <row r="21" ht="26.25" customHeight="1">
      <c r="A21" s="1253"/>
      <c r="B21" s="1253"/>
      <c r="C21" s="1213"/>
      <c r="D21" s="1211"/>
      <c r="E21" s="1211"/>
    </row>
    <row r="22" ht="26.25" customHeight="1">
      <c r="A22" s="1253"/>
      <c r="B22" s="1253"/>
      <c r="C22" s="1213"/>
      <c r="D22" s="1211"/>
      <c r="E22" s="1211"/>
    </row>
    <row r="23" ht="26.25" customHeight="1">
      <c r="A23" s="1253"/>
      <c r="B23" s="1253"/>
      <c r="C23" s="1213"/>
      <c r="D23" s="1211"/>
      <c r="E23" s="1211"/>
    </row>
    <row r="24" ht="26.25" customHeight="1">
      <c r="A24" s="1253"/>
      <c r="B24" s="1253"/>
      <c r="C24" s="1213"/>
      <c r="D24" s="1211"/>
      <c r="E24" s="1211"/>
    </row>
    <row r="25" ht="26.25" customHeight="1">
      <c r="A25" s="1253"/>
      <c r="B25" s="1253"/>
      <c r="C25" s="1213"/>
      <c r="D25" s="1211"/>
      <c r="E25" s="1211"/>
    </row>
    <row r="26" ht="26.25" customHeight="1">
      <c r="A26" s="1253"/>
      <c r="B26" s="1253"/>
      <c r="C26" s="1213"/>
      <c r="D26" s="1211"/>
      <c r="E26" s="1211"/>
    </row>
    <row r="27" ht="26.25" customHeight="1">
      <c r="A27" s="1253"/>
      <c r="B27" s="1253"/>
      <c r="C27" s="1213"/>
      <c r="D27" s="1211"/>
      <c r="E27" s="1211"/>
    </row>
    <row r="28" ht="26.25" customHeight="1">
      <c r="A28" s="1253"/>
      <c r="B28" s="1253"/>
      <c r="C28" s="1213"/>
      <c r="D28" s="1211"/>
      <c r="E28" s="1211"/>
    </row>
    <row r="29" ht="26.25" customHeight="1">
      <c r="A29" s="1253"/>
      <c r="B29" s="1253"/>
      <c r="C29" s="1213"/>
      <c r="D29" s="1211"/>
      <c r="E29" s="1211"/>
    </row>
    <row r="30" ht="26.25" customHeight="1">
      <c r="A30" s="1253"/>
      <c r="B30" s="1253"/>
      <c r="C30" s="1213"/>
      <c r="D30" s="1211"/>
      <c r="E30" s="1211"/>
    </row>
    <row r="31" ht="26.25" customHeight="1">
      <c r="A31" s="1253"/>
      <c r="B31" s="1253"/>
      <c r="C31" s="1213"/>
      <c r="D31" s="1211"/>
      <c r="E31" s="1211"/>
    </row>
    <row r="32" ht="26.25" customHeight="1">
      <c r="A32" s="1253"/>
      <c r="B32" s="1253"/>
      <c r="C32" s="1213"/>
      <c r="D32" s="1211"/>
      <c r="E32" s="1211"/>
    </row>
    <row r="33" ht="26.25" customHeight="1">
      <c r="A33" s="1253"/>
      <c r="B33" s="1253"/>
      <c r="C33" s="1213"/>
      <c r="D33" s="1211"/>
      <c r="E33" s="1211"/>
    </row>
    <row r="34" ht="26.25" customHeight="1">
      <c r="A34" s="1253"/>
      <c r="B34" s="1253"/>
      <c r="C34" s="1213"/>
      <c r="D34" s="1211"/>
      <c r="E34" s="1211"/>
    </row>
    <row r="35" ht="26.25" customHeight="1">
      <c r="A35" s="1253"/>
      <c r="B35" s="1253"/>
      <c r="C35" s="1213"/>
      <c r="D35" s="1211"/>
      <c r="E35" s="1211"/>
    </row>
    <row r="36" ht="26.25" customHeight="1">
      <c r="A36" s="1253"/>
      <c r="B36" s="1253"/>
      <c r="C36" s="1213"/>
      <c r="D36" s="1211"/>
      <c r="E36" s="1211"/>
    </row>
    <row r="37" ht="26.25" customHeight="1">
      <c r="A37" s="1253"/>
      <c r="B37" s="1253"/>
      <c r="C37" s="1213"/>
      <c r="D37" s="1211"/>
      <c r="E37" s="1211"/>
    </row>
    <row r="38" ht="26.25" customHeight="1">
      <c r="A38" s="1253"/>
      <c r="B38" s="1253"/>
      <c r="C38" s="1213"/>
      <c r="D38" s="1211"/>
      <c r="E38" s="1211"/>
    </row>
    <row r="39" ht="26.25" customHeight="1">
      <c r="A39" s="1253"/>
      <c r="B39" s="1253"/>
      <c r="C39" s="1213"/>
      <c r="D39" s="1211"/>
      <c r="E39" s="1211"/>
    </row>
    <row r="40" ht="26.25" customHeight="1">
      <c r="A40" s="1253"/>
      <c r="B40" s="1253"/>
      <c r="C40" s="1213"/>
      <c r="D40" s="1211"/>
      <c r="E40" s="1211"/>
    </row>
    <row r="41" ht="26.25" customHeight="1">
      <c r="A41" s="1253"/>
      <c r="B41" s="1253"/>
      <c r="C41" s="1213"/>
      <c r="D41" s="1211"/>
      <c r="E41" s="1211"/>
    </row>
    <row r="42" ht="26.25" customHeight="1">
      <c r="A42" s="1253"/>
      <c r="B42" s="1253"/>
      <c r="C42" s="1213"/>
      <c r="D42" s="1211"/>
      <c r="E42" s="1211"/>
    </row>
    <row r="43" ht="26.25" customHeight="1">
      <c r="A43" s="1253"/>
      <c r="B43" s="1253"/>
      <c r="C43" s="1213"/>
      <c r="D43" s="1211"/>
      <c r="E43" s="1211"/>
    </row>
    <row r="44" ht="26.25" customHeight="1">
      <c r="A44" s="1253"/>
      <c r="B44" s="1253"/>
      <c r="C44" s="1213"/>
      <c r="D44" s="1211"/>
      <c r="E44" s="1211"/>
    </row>
    <row r="45" ht="26.25" customHeight="1">
      <c r="A45" s="1253"/>
      <c r="B45" s="1253"/>
      <c r="C45" s="1213"/>
      <c r="D45" s="1211"/>
      <c r="E45" s="1211"/>
    </row>
    <row r="46" ht="26.25" customHeight="1">
      <c r="A46" s="1253"/>
      <c r="B46" s="1253"/>
      <c r="C46" s="1213"/>
      <c r="D46" s="1211"/>
      <c r="E46" s="1211"/>
    </row>
    <row r="47" ht="26.25" customHeight="1">
      <c r="A47" s="1253"/>
      <c r="B47" s="1253"/>
      <c r="C47" s="1213"/>
      <c r="D47" s="1211"/>
      <c r="E47" s="1211"/>
    </row>
    <row r="48" ht="26.25" customHeight="1">
      <c r="A48" s="1253"/>
      <c r="B48" s="1253"/>
      <c r="C48" s="1213"/>
      <c r="D48" s="1211"/>
      <c r="E48" s="1211"/>
    </row>
    <row r="49" ht="26.25" customHeight="1">
      <c r="A49" s="1253"/>
      <c r="B49" s="1253"/>
      <c r="C49" s="1213"/>
      <c r="D49" s="1211"/>
      <c r="E49" s="1211"/>
    </row>
    <row r="50" ht="26.25" customHeight="1">
      <c r="A50" s="1253"/>
      <c r="B50" s="1253"/>
      <c r="C50" s="1213"/>
      <c r="D50" s="1211"/>
      <c r="E50" s="1211"/>
    </row>
    <row r="51" ht="26.25" customHeight="1">
      <c r="A51" s="1253"/>
      <c r="B51" s="1253"/>
      <c r="C51" s="1213"/>
      <c r="D51" s="1211"/>
      <c r="E51" s="1211"/>
    </row>
    <row r="52" ht="26.25" customHeight="1">
      <c r="A52" s="1253"/>
      <c r="B52" s="1253"/>
      <c r="C52" s="1213"/>
      <c r="D52" s="1211"/>
      <c r="E52" s="1211"/>
    </row>
    <row r="53" ht="26.25" customHeight="1">
      <c r="A53" s="1253"/>
      <c r="B53" s="1253"/>
      <c r="C53" s="1213"/>
      <c r="D53" s="1211"/>
      <c r="E53" s="1211"/>
    </row>
    <row r="54" ht="26.25" customHeight="1">
      <c r="A54" s="1253"/>
      <c r="B54" s="1253"/>
      <c r="C54" s="1213"/>
      <c r="D54" s="1211"/>
      <c r="E54" s="1211"/>
    </row>
    <row r="55" ht="26.25" customHeight="1">
      <c r="A55" s="1253"/>
      <c r="B55" s="1253"/>
      <c r="C55" s="1213"/>
      <c r="D55" s="1211"/>
      <c r="E55" s="1211"/>
    </row>
    <row r="56" ht="26.25" customHeight="1">
      <c r="A56" s="1253"/>
      <c r="B56" s="1253"/>
      <c r="C56" s="1213"/>
      <c r="D56" s="1211"/>
      <c r="E56" s="1211"/>
    </row>
    <row r="57" ht="26.25" customHeight="1">
      <c r="A57" s="1253"/>
      <c r="B57" s="1253"/>
      <c r="C57" s="1213"/>
      <c r="D57" s="1211"/>
      <c r="E57" s="1211"/>
    </row>
    <row r="58">
      <c r="A58" s="1253"/>
      <c r="B58" s="1253"/>
      <c r="C58" s="1213"/>
      <c r="D58" s="1211"/>
      <c r="E58" s="1211"/>
    </row>
    <row r="59">
      <c r="A59" s="1258"/>
      <c r="B59" s="1258"/>
      <c r="C59" s="1251"/>
      <c r="D59" s="1207"/>
      <c r="E59" s="1207"/>
    </row>
    <row r="60">
      <c r="A60" s="1770"/>
      <c r="B60" s="1770"/>
      <c r="C60" s="1213"/>
      <c r="D60" s="1211"/>
      <c r="E60" s="1211"/>
    </row>
    <row r="61">
      <c r="A61" s="1770"/>
      <c r="B61" s="1770"/>
      <c r="C61" s="1213"/>
      <c r="D61" s="1211"/>
      <c r="E61" s="1211"/>
    </row>
    <row r="62">
      <c r="A62" s="1258"/>
      <c r="B62" s="1258"/>
      <c r="C62" s="1251"/>
      <c r="D62" s="1207"/>
      <c r="E62" s="1207"/>
    </row>
    <row r="63">
      <c r="A63" s="1253"/>
      <c r="B63" s="1253"/>
      <c r="C63" s="1213"/>
      <c r="D63" s="1211"/>
      <c r="E63" s="1211"/>
    </row>
    <row r="64">
      <c r="A64" s="1253"/>
      <c r="B64" s="1253"/>
      <c r="C64" s="1213"/>
      <c r="D64" s="1211"/>
      <c r="E64" s="1211"/>
    </row>
    <row r="65">
      <c r="A65" s="1771"/>
      <c r="B65" s="1771"/>
      <c r="C65" s="1213"/>
      <c r="D65" s="1211"/>
      <c r="E65" s="1211"/>
    </row>
    <row r="66">
      <c r="A66" s="1253"/>
      <c r="B66" s="1253"/>
      <c r="C66" s="1213"/>
      <c r="D66" s="1211"/>
      <c r="E66" s="1211"/>
    </row>
    <row r="67">
      <c r="A67" s="1256"/>
      <c r="B67" s="1256"/>
      <c r="C67" s="1251"/>
      <c r="D67" s="1207"/>
      <c r="E67" s="1207"/>
    </row>
    <row r="68">
      <c r="A68" s="1253"/>
      <c r="B68" s="1253"/>
      <c r="C68" s="1213"/>
      <c r="D68" s="1211"/>
      <c r="E68" s="1211"/>
    </row>
    <row r="69">
      <c r="A69" s="1253"/>
      <c r="B69" s="1253"/>
      <c r="C69" s="1213"/>
      <c r="D69" s="1211"/>
      <c r="E69" s="1211"/>
    </row>
    <row r="70">
      <c r="A70" s="1258"/>
      <c r="B70" s="1258"/>
      <c r="C70" s="1251"/>
      <c r="D70" s="1207"/>
      <c r="E70" s="1207"/>
    </row>
    <row r="71">
      <c r="A71" s="1253"/>
      <c r="B71" s="1253"/>
      <c r="C71" s="1213"/>
      <c r="D71" s="1211"/>
      <c r="E71" s="1211"/>
    </row>
    <row r="72">
      <c r="A72" s="1253"/>
      <c r="B72" s="1253"/>
      <c r="C72" s="1213"/>
      <c r="D72" s="1211"/>
      <c r="E72" s="1211"/>
    </row>
    <row r="73">
      <c r="A73" s="1253"/>
      <c r="B73" s="1253"/>
      <c r="C73" s="1213"/>
      <c r="D73" s="1211"/>
      <c r="E73" s="1211"/>
    </row>
    <row r="74">
      <c r="A74" s="1253"/>
      <c r="B74" s="1253"/>
      <c r="C74" s="1213"/>
      <c r="D74" s="1211"/>
      <c r="E74" s="1211"/>
    </row>
    <row r="75">
      <c r="A75" s="1253"/>
      <c r="B75" s="1253"/>
      <c r="C75" s="1213"/>
      <c r="D75" s="1211"/>
      <c r="E75" s="1211"/>
    </row>
    <row r="76">
      <c r="A76" s="1771"/>
      <c r="B76" s="1771"/>
      <c r="C76" s="1213"/>
      <c r="D76" s="1211"/>
      <c r="E76" s="1211"/>
    </row>
    <row r="77">
      <c r="A77" s="1253"/>
      <c r="B77" s="1253"/>
      <c r="C77" s="1213"/>
      <c r="D77" s="1211"/>
      <c r="E77" s="1211"/>
    </row>
    <row r="78">
      <c r="A78" s="1770"/>
      <c r="B78" s="1770"/>
      <c r="C78" s="1213"/>
      <c r="D78" s="1211"/>
      <c r="E78" s="1211"/>
    </row>
    <row r="79">
      <c r="A79" s="1253"/>
      <c r="B79" s="1253"/>
      <c r="C79" s="1213"/>
      <c r="D79" s="1211"/>
      <c r="E79" s="1211"/>
    </row>
    <row r="80">
      <c r="A80" s="1256"/>
      <c r="B80" s="1256"/>
      <c r="C80" s="1257"/>
      <c r="D80" s="1222"/>
      <c r="E80" s="1222"/>
    </row>
    <row r="81">
      <c r="A81" s="1253"/>
      <c r="B81" s="1253"/>
      <c r="C81" s="1213"/>
      <c r="D81" s="1211"/>
      <c r="E81" s="1211"/>
    </row>
    <row r="82">
      <c r="A82" s="1256"/>
      <c r="B82" s="1256"/>
      <c r="C82" s="1214"/>
      <c r="D82" s="1204"/>
      <c r="E82" s="1204"/>
    </row>
    <row r="83">
      <c r="A83" s="1253"/>
      <c r="B83" s="1253"/>
      <c r="C83" s="1213"/>
      <c r="D83" s="1211"/>
      <c r="E83" s="1211"/>
    </row>
    <row r="84">
      <c r="A84" s="1253"/>
      <c r="B84" s="1253"/>
      <c r="C84" s="1213"/>
      <c r="D84" s="1211"/>
      <c r="E84" s="1211"/>
    </row>
    <row r="85">
      <c r="A85" s="1253"/>
      <c r="B85" s="1253"/>
      <c r="C85" s="1213"/>
      <c r="D85" s="1211"/>
      <c r="E85" s="1211"/>
    </row>
    <row r="86">
      <c r="A86" s="1253"/>
      <c r="B86" s="1253"/>
      <c r="C86" s="1213"/>
      <c r="D86" s="1211"/>
      <c r="E86" s="1211"/>
    </row>
    <row r="87">
      <c r="A87" s="1253"/>
      <c r="B87" s="1253"/>
      <c r="C87" s="1213"/>
      <c r="D87" s="1211"/>
      <c r="E87" s="1211"/>
    </row>
    <row r="88">
      <c r="A88" s="1253"/>
      <c r="B88" s="1253"/>
      <c r="C88" s="1213"/>
      <c r="D88" s="1211"/>
      <c r="E88" s="1211"/>
    </row>
    <row r="89">
      <c r="A89" s="1253"/>
      <c r="B89" s="1253"/>
      <c r="C89" s="1213"/>
      <c r="D89" s="1211"/>
      <c r="E89" s="1211"/>
    </row>
    <row r="90">
      <c r="A90" s="1253"/>
      <c r="B90" s="1253"/>
      <c r="C90" s="1213"/>
      <c r="D90" s="1211"/>
      <c r="E90" s="1211"/>
    </row>
    <row r="91">
      <c r="A91" s="1253"/>
      <c r="B91" s="1253"/>
      <c r="C91" s="1213"/>
      <c r="D91" s="1211"/>
      <c r="E91" s="1211"/>
    </row>
    <row r="92">
      <c r="A92" s="1772"/>
      <c r="B92" s="1772"/>
      <c r="C92" s="1773"/>
      <c r="D92" s="1774"/>
      <c r="E92" s="1774"/>
    </row>
    <row r="93">
      <c r="A93" s="1775"/>
      <c r="B93" s="1775"/>
      <c r="C93" s="1213"/>
      <c r="D93" s="1776"/>
      <c r="E93" s="1776"/>
    </row>
    <row r="94">
      <c r="A94" s="1777"/>
      <c r="B94" s="1777"/>
      <c r="C94" s="1773"/>
      <c r="D94" s="1778"/>
      <c r="E94" s="1774"/>
    </row>
    <row r="95">
      <c r="A95" s="1256"/>
      <c r="B95" s="1256"/>
      <c r="C95" s="1251"/>
      <c r="D95" s="1207"/>
      <c r="E95" s="1207"/>
    </row>
    <row r="96">
      <c r="A96" s="1253"/>
      <c r="B96" s="1253"/>
      <c r="C96" s="1213"/>
      <c r="D96" s="1211"/>
      <c r="E96" s="1211"/>
    </row>
  </sheetData>
  <printOptions gridLines="1" horizontalCentered="1"/>
  <pageMargins bottom="0.0" footer="0.0" header="0.0" left="0.5905511811023622" right="0.0" top="0.5905511811023622"/>
  <pageSetup cellComments="atEnd" orientation="landscape" pageOrder="overThenDown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26" width="10.25"/>
  </cols>
  <sheetData>
    <row r="1" ht="27.0" customHeight="1">
      <c r="A1" s="1779" t="s">
        <v>1542</v>
      </c>
      <c r="B1" s="1779" t="s">
        <v>7138</v>
      </c>
      <c r="C1" s="1779" t="s">
        <v>7138</v>
      </c>
      <c r="D1" s="1779" t="s">
        <v>7138</v>
      </c>
      <c r="E1" s="1779" t="s">
        <v>7138</v>
      </c>
      <c r="F1" s="1779" t="s">
        <v>7138</v>
      </c>
      <c r="G1" s="1265"/>
      <c r="H1" s="1265"/>
      <c r="I1" s="1265"/>
      <c r="J1" s="1265"/>
      <c r="K1" s="1265"/>
      <c r="L1" s="1265"/>
      <c r="M1" s="1265"/>
      <c r="N1" s="1265"/>
      <c r="O1" s="1265"/>
      <c r="P1" s="1265"/>
      <c r="Q1" s="1265"/>
      <c r="R1" s="1265"/>
      <c r="S1" s="1265"/>
      <c r="T1" s="1265"/>
      <c r="U1" s="1265"/>
      <c r="V1" s="1265"/>
      <c r="W1" s="1265"/>
      <c r="X1" s="1265"/>
      <c r="Y1" s="1265"/>
      <c r="Z1" s="1265"/>
    </row>
    <row r="2" ht="27.0" customHeight="1">
      <c r="A2" s="1779" t="s">
        <v>7138</v>
      </c>
      <c r="B2" s="1779" t="s">
        <v>7138</v>
      </c>
      <c r="C2" s="1779" t="s">
        <v>7138</v>
      </c>
      <c r="D2" s="1779" t="s">
        <v>7138</v>
      </c>
      <c r="E2" s="1779" t="s">
        <v>7138</v>
      </c>
      <c r="F2" s="1779" t="s">
        <v>7138</v>
      </c>
      <c r="G2" s="1265"/>
      <c r="H2" s="1265"/>
      <c r="I2" s="1265"/>
      <c r="J2" s="1265"/>
      <c r="K2" s="1265"/>
      <c r="L2" s="1265"/>
      <c r="M2" s="1265"/>
      <c r="N2" s="1265"/>
      <c r="O2" s="1265"/>
      <c r="P2" s="1265"/>
      <c r="Q2" s="1265"/>
      <c r="R2" s="1265"/>
      <c r="S2" s="1265"/>
      <c r="T2" s="1265"/>
      <c r="U2" s="1265"/>
      <c r="V2" s="1265"/>
      <c r="W2" s="1265"/>
      <c r="X2" s="1265"/>
      <c r="Y2" s="1265"/>
      <c r="Z2" s="1265"/>
    </row>
    <row r="3" ht="27.0" customHeight="1">
      <c r="A3" s="1779" t="s">
        <v>7138</v>
      </c>
      <c r="B3" s="1779" t="s">
        <v>7138</v>
      </c>
      <c r="C3" s="1779" t="s">
        <v>7138</v>
      </c>
      <c r="D3" s="1779" t="s">
        <v>7138</v>
      </c>
      <c r="E3" s="1779" t="s">
        <v>7138</v>
      </c>
      <c r="F3" s="1779" t="s">
        <v>7138</v>
      </c>
      <c r="G3" s="1265"/>
      <c r="H3" s="1265"/>
      <c r="I3" s="1265"/>
      <c r="J3" s="1265"/>
      <c r="K3" s="1265"/>
      <c r="L3" s="1265"/>
      <c r="M3" s="1265"/>
      <c r="N3" s="1265"/>
      <c r="O3" s="1265"/>
      <c r="P3" s="1265"/>
      <c r="Q3" s="1265"/>
      <c r="R3" s="1265"/>
      <c r="S3" s="1265"/>
      <c r="T3" s="1265"/>
      <c r="U3" s="1265"/>
      <c r="V3" s="1265"/>
      <c r="W3" s="1265"/>
      <c r="X3" s="1265"/>
      <c r="Y3" s="1265"/>
      <c r="Z3" s="1265"/>
    </row>
    <row r="4" ht="27.0" customHeight="1">
      <c r="A4" s="1779" t="s">
        <v>7138</v>
      </c>
      <c r="B4" s="1779" t="s">
        <v>7138</v>
      </c>
      <c r="C4" s="1779" t="s">
        <v>7138</v>
      </c>
      <c r="D4" s="1779" t="s">
        <v>7138</v>
      </c>
      <c r="E4" s="1779" t="s">
        <v>7138</v>
      </c>
      <c r="F4" s="1779" t="s">
        <v>7138</v>
      </c>
      <c r="G4" s="1265"/>
      <c r="H4" s="1265"/>
      <c r="I4" s="1265"/>
      <c r="J4" s="1265"/>
      <c r="K4" s="1265"/>
      <c r="L4" s="1265"/>
      <c r="M4" s="1265"/>
      <c r="N4" s="1265"/>
      <c r="O4" s="1265"/>
      <c r="P4" s="1265"/>
      <c r="Q4" s="1265"/>
      <c r="R4" s="1265"/>
      <c r="S4" s="1265"/>
      <c r="T4" s="1265"/>
      <c r="U4" s="1265"/>
      <c r="V4" s="1265"/>
      <c r="W4" s="1265"/>
      <c r="X4" s="1265"/>
      <c r="Y4" s="1265"/>
      <c r="Z4" s="1265"/>
    </row>
    <row r="5" ht="27.0" customHeight="1">
      <c r="A5" s="1779" t="s">
        <v>7138</v>
      </c>
      <c r="B5" s="1779" t="s">
        <v>7138</v>
      </c>
      <c r="C5" s="1779" t="s">
        <v>7138</v>
      </c>
      <c r="D5" s="1779" t="s">
        <v>7138</v>
      </c>
      <c r="E5" s="1779" t="s">
        <v>7138</v>
      </c>
      <c r="F5" s="1779" t="s">
        <v>7138</v>
      </c>
      <c r="G5" s="1265"/>
      <c r="H5" s="1265"/>
      <c r="I5" s="1265"/>
      <c r="J5" s="1265"/>
      <c r="K5" s="1265"/>
      <c r="L5" s="1265"/>
      <c r="M5" s="1265"/>
      <c r="N5" s="1265"/>
      <c r="O5" s="1265"/>
      <c r="P5" s="1265"/>
      <c r="Q5" s="1265"/>
      <c r="R5" s="1265"/>
      <c r="S5" s="1265"/>
      <c r="T5" s="1265"/>
      <c r="U5" s="1265"/>
      <c r="V5" s="1265"/>
      <c r="W5" s="1265"/>
      <c r="X5" s="1265"/>
      <c r="Y5" s="1265"/>
      <c r="Z5" s="1265"/>
    </row>
    <row r="6" ht="27.0" customHeight="1">
      <c r="A6" s="1779" t="s">
        <v>7138</v>
      </c>
      <c r="B6" s="1779" t="s">
        <v>7138</v>
      </c>
      <c r="C6" s="1779" t="s">
        <v>7138</v>
      </c>
      <c r="D6" s="1779" t="s">
        <v>7138</v>
      </c>
      <c r="E6" s="1779" t="s">
        <v>7138</v>
      </c>
      <c r="F6" s="1779" t="s">
        <v>7138</v>
      </c>
      <c r="G6" s="1265"/>
      <c r="H6" s="1265"/>
      <c r="I6" s="1265"/>
      <c r="J6" s="1265"/>
      <c r="K6" s="1265"/>
      <c r="L6" s="1265"/>
      <c r="M6" s="1265"/>
      <c r="N6" s="1265"/>
      <c r="O6" s="1265"/>
      <c r="P6" s="1265"/>
      <c r="Q6" s="1265"/>
      <c r="R6" s="1265"/>
      <c r="S6" s="1265"/>
      <c r="T6" s="1265"/>
      <c r="U6" s="1265"/>
      <c r="V6" s="1265"/>
      <c r="W6" s="1265"/>
      <c r="X6" s="1265"/>
      <c r="Y6" s="1265"/>
      <c r="Z6" s="1265"/>
    </row>
    <row r="7" ht="27.0" customHeight="1">
      <c r="A7" s="1779" t="s">
        <v>7138</v>
      </c>
      <c r="B7" s="1779" t="s">
        <v>7138</v>
      </c>
      <c r="C7" s="1779" t="s">
        <v>7138</v>
      </c>
      <c r="D7" s="1779" t="s">
        <v>7138</v>
      </c>
      <c r="E7" s="1779" t="s">
        <v>7138</v>
      </c>
      <c r="F7" s="1779" t="s">
        <v>7138</v>
      </c>
      <c r="G7" s="1265"/>
      <c r="H7" s="1265"/>
      <c r="I7" s="1265"/>
      <c r="J7" s="1265"/>
      <c r="K7" s="1265"/>
      <c r="L7" s="1265"/>
      <c r="M7" s="1265"/>
      <c r="N7" s="1265"/>
      <c r="O7" s="1265"/>
      <c r="P7" s="1265"/>
      <c r="Q7" s="1265"/>
      <c r="R7" s="1265"/>
      <c r="S7" s="1265"/>
      <c r="T7" s="1265"/>
      <c r="U7" s="1265"/>
      <c r="V7" s="1265"/>
      <c r="W7" s="1265"/>
      <c r="X7" s="1265"/>
      <c r="Y7" s="1265"/>
      <c r="Z7" s="1265"/>
    </row>
    <row r="8" ht="27.0" customHeight="1">
      <c r="A8" s="1779" t="s">
        <v>7138</v>
      </c>
      <c r="B8" s="1779" t="s">
        <v>7138</v>
      </c>
      <c r="C8" s="1779" t="s">
        <v>7138</v>
      </c>
      <c r="D8" s="1779" t="s">
        <v>7138</v>
      </c>
      <c r="E8" s="1779" t="s">
        <v>7138</v>
      </c>
      <c r="F8" s="1779" t="s">
        <v>7138</v>
      </c>
      <c r="G8" s="1265"/>
      <c r="H8" s="1265"/>
      <c r="I8" s="1265"/>
      <c r="J8" s="1265"/>
      <c r="K8" s="1265"/>
      <c r="L8" s="1265"/>
      <c r="M8" s="1265"/>
      <c r="N8" s="1265"/>
      <c r="O8" s="1265"/>
      <c r="P8" s="1265"/>
      <c r="Q8" s="1265"/>
      <c r="R8" s="1265"/>
      <c r="S8" s="1265"/>
      <c r="T8" s="1265"/>
      <c r="U8" s="1265"/>
      <c r="V8" s="1265"/>
      <c r="W8" s="1265"/>
      <c r="X8" s="1265"/>
      <c r="Y8" s="1265"/>
      <c r="Z8" s="1265"/>
    </row>
    <row r="9" ht="27.0" customHeight="1">
      <c r="A9" s="1779" t="s">
        <v>7138</v>
      </c>
      <c r="B9" s="1779" t="s">
        <v>7138</v>
      </c>
      <c r="C9" s="1779" t="s">
        <v>7138</v>
      </c>
      <c r="D9" s="1779" t="s">
        <v>7138</v>
      </c>
      <c r="E9" s="1779" t="s">
        <v>7138</v>
      </c>
      <c r="F9" s="1779" t="s">
        <v>7138</v>
      </c>
      <c r="G9" s="1265"/>
      <c r="H9" s="1265"/>
      <c r="I9" s="1265"/>
      <c r="J9" s="1265"/>
      <c r="K9" s="1265"/>
      <c r="L9" s="1265"/>
      <c r="M9" s="1265"/>
      <c r="N9" s="1265"/>
      <c r="O9" s="1265"/>
      <c r="P9" s="1265"/>
      <c r="Q9" s="1265"/>
      <c r="R9" s="1265"/>
      <c r="S9" s="1265"/>
      <c r="T9" s="1265"/>
      <c r="U9" s="1265"/>
      <c r="V9" s="1265"/>
      <c r="W9" s="1265"/>
      <c r="X9" s="1265"/>
      <c r="Y9" s="1265"/>
      <c r="Z9" s="1265"/>
    </row>
    <row r="10" ht="27.0" customHeight="1">
      <c r="A10" s="1779" t="s">
        <v>7138</v>
      </c>
      <c r="B10" s="1779" t="s">
        <v>7138</v>
      </c>
      <c r="C10" s="1779" t="s">
        <v>7138</v>
      </c>
      <c r="D10" s="1779" t="s">
        <v>7138</v>
      </c>
      <c r="E10" s="1779" t="s">
        <v>7138</v>
      </c>
      <c r="F10" s="1779" t="s">
        <v>7138</v>
      </c>
      <c r="G10" s="1265"/>
      <c r="H10" s="1265"/>
      <c r="I10" s="1265"/>
      <c r="J10" s="1265"/>
      <c r="K10" s="1265"/>
      <c r="L10" s="1265"/>
      <c r="M10" s="1265"/>
      <c r="N10" s="1265"/>
      <c r="O10" s="1265"/>
      <c r="P10" s="1265"/>
      <c r="Q10" s="1265"/>
      <c r="R10" s="1265"/>
      <c r="S10" s="1265"/>
      <c r="T10" s="1265"/>
      <c r="U10" s="1265"/>
      <c r="V10" s="1265"/>
      <c r="W10" s="1265"/>
      <c r="X10" s="1265"/>
      <c r="Y10" s="1265"/>
      <c r="Z10" s="1265"/>
    </row>
    <row r="11" ht="27.0" customHeight="1">
      <c r="A11" s="1779" t="s">
        <v>7138</v>
      </c>
      <c r="B11" s="1779" t="s">
        <v>7138</v>
      </c>
      <c r="C11" s="1779" t="s">
        <v>7138</v>
      </c>
      <c r="D11" s="1779" t="s">
        <v>7138</v>
      </c>
      <c r="E11" s="1779" t="s">
        <v>7138</v>
      </c>
      <c r="F11" s="1779" t="s">
        <v>7138</v>
      </c>
      <c r="G11" s="1265"/>
      <c r="H11" s="1265"/>
      <c r="I11" s="1265"/>
      <c r="J11" s="1265"/>
      <c r="K11" s="1265"/>
      <c r="L11" s="1265"/>
      <c r="M11" s="1265"/>
      <c r="N11" s="1265"/>
      <c r="O11" s="1265"/>
      <c r="P11" s="1265"/>
      <c r="Q11" s="1265"/>
      <c r="R11" s="1265"/>
      <c r="S11" s="1265"/>
      <c r="T11" s="1265"/>
      <c r="U11" s="1265"/>
      <c r="V11" s="1265"/>
      <c r="W11" s="1265"/>
      <c r="X11" s="1265"/>
      <c r="Y11" s="1265"/>
      <c r="Z11" s="1265"/>
    </row>
    <row r="12" ht="27.0" customHeight="1">
      <c r="A12" s="1779" t="s">
        <v>7138</v>
      </c>
      <c r="B12" s="1779" t="s">
        <v>7138</v>
      </c>
      <c r="C12" s="1779" t="s">
        <v>7138</v>
      </c>
      <c r="D12" s="1779" t="s">
        <v>7138</v>
      </c>
      <c r="E12" s="1779" t="s">
        <v>7138</v>
      </c>
      <c r="F12" s="1779" t="s">
        <v>7138</v>
      </c>
      <c r="G12" s="1265"/>
      <c r="H12" s="1265"/>
      <c r="I12" s="1265"/>
      <c r="J12" s="1265"/>
      <c r="K12" s="1265"/>
      <c r="L12" s="1265"/>
      <c r="M12" s="1265"/>
      <c r="N12" s="1265"/>
      <c r="O12" s="1265"/>
      <c r="P12" s="1265"/>
      <c r="Q12" s="1265"/>
      <c r="R12" s="1265"/>
      <c r="S12" s="1265"/>
      <c r="T12" s="1265"/>
      <c r="U12" s="1265"/>
      <c r="V12" s="1265"/>
      <c r="W12" s="1265"/>
      <c r="X12" s="1265"/>
      <c r="Y12" s="1265"/>
      <c r="Z12" s="1265"/>
    </row>
    <row r="13" ht="27.0" customHeight="1">
      <c r="A13" s="1779" t="s">
        <v>7138</v>
      </c>
      <c r="B13" s="1779" t="s">
        <v>7138</v>
      </c>
      <c r="C13" s="1779" t="s">
        <v>7138</v>
      </c>
      <c r="D13" s="1779" t="s">
        <v>7138</v>
      </c>
      <c r="E13" s="1779" t="s">
        <v>7138</v>
      </c>
      <c r="F13" s="1779" t="s">
        <v>7138</v>
      </c>
      <c r="G13" s="1265"/>
      <c r="H13" s="1265"/>
      <c r="I13" s="1265"/>
      <c r="J13" s="1265"/>
      <c r="K13" s="1265"/>
      <c r="L13" s="1265"/>
      <c r="M13" s="1265"/>
      <c r="N13" s="1265"/>
      <c r="O13" s="1265"/>
      <c r="P13" s="1265"/>
      <c r="Q13" s="1265"/>
      <c r="R13" s="1265"/>
      <c r="S13" s="1265"/>
      <c r="T13" s="1265"/>
      <c r="U13" s="1265"/>
      <c r="V13" s="1265"/>
      <c r="W13" s="1265"/>
      <c r="X13" s="1265"/>
      <c r="Y13" s="1265"/>
      <c r="Z13" s="1265"/>
    </row>
    <row r="14" ht="27.0" customHeight="1">
      <c r="A14" s="1779" t="s">
        <v>7138</v>
      </c>
      <c r="B14" s="1779" t="s">
        <v>7138</v>
      </c>
      <c r="C14" s="1779" t="s">
        <v>7138</v>
      </c>
      <c r="D14" s="1779" t="s">
        <v>7138</v>
      </c>
      <c r="E14" s="1779" t="s">
        <v>7138</v>
      </c>
      <c r="F14" s="1779" t="s">
        <v>7138</v>
      </c>
      <c r="G14" s="1265"/>
      <c r="H14" s="1265"/>
      <c r="I14" s="1265"/>
      <c r="J14" s="1265"/>
      <c r="K14" s="1265"/>
      <c r="L14" s="1265"/>
      <c r="M14" s="1265"/>
      <c r="N14" s="1265"/>
      <c r="O14" s="1265"/>
      <c r="P14" s="1265"/>
      <c r="Q14" s="1265"/>
      <c r="R14" s="1265"/>
      <c r="S14" s="1265"/>
      <c r="T14" s="1265"/>
      <c r="U14" s="1265"/>
      <c r="V14" s="1265"/>
      <c r="W14" s="1265"/>
      <c r="X14" s="1265"/>
      <c r="Y14" s="1265"/>
      <c r="Z14" s="1265"/>
    </row>
    <row r="15" ht="27.0" customHeight="1">
      <c r="A15" s="1779" t="s">
        <v>7138</v>
      </c>
      <c r="B15" s="1779" t="s">
        <v>7138</v>
      </c>
      <c r="C15" s="1779" t="s">
        <v>7138</v>
      </c>
      <c r="D15" s="1779" t="s">
        <v>7138</v>
      </c>
      <c r="E15" s="1779" t="s">
        <v>7138</v>
      </c>
      <c r="F15" s="1779" t="s">
        <v>7138</v>
      </c>
      <c r="G15" s="1265"/>
      <c r="H15" s="1265"/>
      <c r="I15" s="1265"/>
      <c r="J15" s="1265"/>
      <c r="K15" s="1265"/>
      <c r="L15" s="1265"/>
      <c r="M15" s="1265"/>
      <c r="N15" s="1265"/>
      <c r="O15" s="1265"/>
      <c r="P15" s="1265"/>
      <c r="Q15" s="1265"/>
      <c r="R15" s="1265"/>
      <c r="S15" s="1265"/>
      <c r="T15" s="1265"/>
      <c r="U15" s="1265"/>
      <c r="V15" s="1265"/>
      <c r="W15" s="1265"/>
      <c r="X15" s="1265"/>
      <c r="Y15" s="1265"/>
      <c r="Z15" s="1265"/>
    </row>
    <row r="16" ht="27.0" customHeight="1">
      <c r="A16" s="1779" t="s">
        <v>7138</v>
      </c>
      <c r="B16" s="1779" t="s">
        <v>7138</v>
      </c>
      <c r="C16" s="1779" t="s">
        <v>7138</v>
      </c>
      <c r="D16" s="1779" t="s">
        <v>7138</v>
      </c>
      <c r="E16" s="1779" t="s">
        <v>7138</v>
      </c>
      <c r="F16" s="1779" t="s">
        <v>7138</v>
      </c>
      <c r="G16" s="1265"/>
      <c r="H16" s="1265"/>
      <c r="I16" s="1265"/>
      <c r="J16" s="1265"/>
      <c r="K16" s="1265"/>
      <c r="L16" s="1265"/>
      <c r="M16" s="1265"/>
      <c r="N16" s="1265"/>
      <c r="O16" s="1265"/>
      <c r="P16" s="1265"/>
      <c r="Q16" s="1265"/>
      <c r="R16" s="1265"/>
      <c r="S16" s="1265"/>
      <c r="T16" s="1265"/>
      <c r="U16" s="1265"/>
      <c r="V16" s="1265"/>
      <c r="W16" s="1265"/>
      <c r="X16" s="1265"/>
      <c r="Y16" s="1265"/>
      <c r="Z16" s="1265"/>
    </row>
    <row r="17" ht="27.0" customHeight="1">
      <c r="A17" s="1779" t="s">
        <v>7138</v>
      </c>
      <c r="B17" s="1779" t="s">
        <v>7138</v>
      </c>
      <c r="C17" s="1779" t="s">
        <v>7138</v>
      </c>
      <c r="D17" s="1779" t="s">
        <v>7138</v>
      </c>
      <c r="E17" s="1779" t="s">
        <v>7138</v>
      </c>
      <c r="F17" s="1779" t="s">
        <v>7138</v>
      </c>
      <c r="G17" s="1265"/>
      <c r="H17" s="1265"/>
      <c r="I17" s="1265"/>
      <c r="J17" s="1265"/>
      <c r="K17" s="1265"/>
      <c r="L17" s="1265"/>
      <c r="M17" s="1265"/>
      <c r="N17" s="1265"/>
      <c r="O17" s="1265"/>
      <c r="P17" s="1265"/>
      <c r="Q17" s="1265"/>
      <c r="R17" s="1265"/>
      <c r="S17" s="1265"/>
      <c r="T17" s="1265"/>
      <c r="U17" s="1265"/>
      <c r="V17" s="1265"/>
      <c r="W17" s="1265"/>
      <c r="X17" s="1265"/>
      <c r="Y17" s="1265"/>
      <c r="Z17" s="1265"/>
    </row>
    <row r="18" ht="27.0" customHeight="1">
      <c r="A18" s="1779" t="s">
        <v>7138</v>
      </c>
      <c r="B18" s="1779" t="s">
        <v>7138</v>
      </c>
      <c r="C18" s="1779" t="s">
        <v>7138</v>
      </c>
      <c r="D18" s="1779" t="s">
        <v>7138</v>
      </c>
      <c r="E18" s="1779" t="s">
        <v>7138</v>
      </c>
      <c r="F18" s="1779" t="s">
        <v>7138</v>
      </c>
      <c r="G18" s="1265"/>
      <c r="H18" s="1265"/>
      <c r="I18" s="1265"/>
      <c r="J18" s="1265"/>
      <c r="K18" s="1265"/>
      <c r="L18" s="1265"/>
      <c r="M18" s="1265"/>
      <c r="N18" s="1265"/>
      <c r="O18" s="1265"/>
      <c r="P18" s="1265"/>
      <c r="Q18" s="1265"/>
      <c r="R18" s="1265"/>
      <c r="S18" s="1265"/>
      <c r="T18" s="1265"/>
      <c r="U18" s="1265"/>
      <c r="V18" s="1265"/>
      <c r="W18" s="1265"/>
      <c r="X18" s="1265"/>
      <c r="Y18" s="1265"/>
      <c r="Z18" s="1265"/>
    </row>
    <row r="19" ht="27.0" customHeight="1">
      <c r="A19" s="1779" t="s">
        <v>7138</v>
      </c>
      <c r="B19" s="1779" t="s">
        <v>7138</v>
      </c>
      <c r="C19" s="1779" t="s">
        <v>7138</v>
      </c>
      <c r="D19" s="1779" t="s">
        <v>7138</v>
      </c>
      <c r="E19" s="1779" t="s">
        <v>7138</v>
      </c>
      <c r="F19" s="1779" t="s">
        <v>7138</v>
      </c>
      <c r="G19" s="1265"/>
      <c r="H19" s="1265"/>
      <c r="I19" s="1265"/>
      <c r="J19" s="1265"/>
      <c r="K19" s="1265"/>
      <c r="L19" s="1265"/>
      <c r="M19" s="1265"/>
      <c r="N19" s="1265"/>
      <c r="O19" s="1265"/>
      <c r="P19" s="1265"/>
      <c r="Q19" s="1265"/>
      <c r="R19" s="1265"/>
      <c r="S19" s="1265"/>
      <c r="T19" s="1265"/>
      <c r="U19" s="1265"/>
      <c r="V19" s="1265"/>
      <c r="W19" s="1265"/>
      <c r="X19" s="1265"/>
      <c r="Y19" s="1265"/>
      <c r="Z19" s="1265"/>
    </row>
    <row r="20" ht="27.0" customHeight="1">
      <c r="A20" s="1779" t="s">
        <v>7138</v>
      </c>
      <c r="B20" s="1779" t="s">
        <v>7138</v>
      </c>
      <c r="C20" s="1779" t="s">
        <v>7138</v>
      </c>
      <c r="D20" s="1779" t="s">
        <v>7138</v>
      </c>
      <c r="E20" s="1779" t="s">
        <v>7138</v>
      </c>
      <c r="F20" s="1779" t="s">
        <v>7138</v>
      </c>
      <c r="G20" s="1265"/>
      <c r="H20" s="1265"/>
      <c r="I20" s="1265"/>
      <c r="J20" s="1265"/>
      <c r="K20" s="1265"/>
      <c r="L20" s="1265"/>
      <c r="M20" s="1265"/>
      <c r="N20" s="1265"/>
      <c r="O20" s="1265"/>
      <c r="P20" s="1265"/>
      <c r="Q20" s="1265"/>
      <c r="R20" s="1265"/>
      <c r="S20" s="1265"/>
      <c r="T20" s="1265"/>
      <c r="U20" s="1265"/>
      <c r="V20" s="1265"/>
      <c r="W20" s="1265"/>
      <c r="X20" s="1265"/>
      <c r="Y20" s="1265"/>
      <c r="Z20" s="1265"/>
    </row>
    <row r="21" ht="27.0" customHeight="1">
      <c r="A21" s="1779" t="s">
        <v>7138</v>
      </c>
      <c r="B21" s="1779" t="s">
        <v>7138</v>
      </c>
      <c r="C21" s="1779" t="s">
        <v>7138</v>
      </c>
      <c r="D21" s="1779" t="s">
        <v>7138</v>
      </c>
      <c r="E21" s="1779" t="s">
        <v>7138</v>
      </c>
      <c r="F21" s="1779" t="s">
        <v>7138</v>
      </c>
      <c r="G21" s="1265"/>
      <c r="H21" s="1265"/>
      <c r="I21" s="1265"/>
      <c r="J21" s="1265"/>
      <c r="K21" s="1265"/>
      <c r="L21" s="1265"/>
      <c r="M21" s="1265"/>
      <c r="N21" s="1265"/>
      <c r="O21" s="1265"/>
      <c r="P21" s="1265"/>
      <c r="Q21" s="1265"/>
      <c r="R21" s="1265"/>
      <c r="S21" s="1265"/>
      <c r="T21" s="1265"/>
      <c r="U21" s="1265"/>
      <c r="V21" s="1265"/>
      <c r="W21" s="1265"/>
      <c r="X21" s="1265"/>
      <c r="Y21" s="1265"/>
      <c r="Z21" s="1265"/>
    </row>
    <row r="22" ht="27.0" customHeight="1">
      <c r="A22" s="1779" t="s">
        <v>7138</v>
      </c>
      <c r="B22" s="1779" t="s">
        <v>7138</v>
      </c>
      <c r="C22" s="1779" t="s">
        <v>7138</v>
      </c>
      <c r="D22" s="1779" t="s">
        <v>7138</v>
      </c>
      <c r="E22" s="1779" t="s">
        <v>7138</v>
      </c>
      <c r="F22" s="1779" t="s">
        <v>7138</v>
      </c>
      <c r="G22" s="1265"/>
      <c r="H22" s="1265"/>
      <c r="I22" s="1265"/>
      <c r="J22" s="1265"/>
      <c r="K22" s="1265"/>
      <c r="L22" s="1265"/>
      <c r="M22" s="1265"/>
      <c r="N22" s="1265"/>
      <c r="O22" s="1265"/>
      <c r="P22" s="1265"/>
      <c r="Q22" s="1265"/>
      <c r="R22" s="1265"/>
      <c r="S22" s="1265"/>
      <c r="T22" s="1265"/>
      <c r="U22" s="1265"/>
      <c r="V22" s="1265"/>
      <c r="W22" s="1265"/>
      <c r="X22" s="1265"/>
      <c r="Y22" s="1265"/>
      <c r="Z22" s="1265"/>
    </row>
    <row r="23" ht="27.0" customHeight="1">
      <c r="A23" s="1265"/>
      <c r="B23" s="1265"/>
      <c r="C23" s="1265"/>
      <c r="D23" s="1265"/>
      <c r="E23" s="1265"/>
      <c r="F23" s="1265"/>
      <c r="G23" s="1265"/>
      <c r="H23" s="1265"/>
      <c r="I23" s="1265"/>
      <c r="J23" s="1265"/>
      <c r="K23" s="1265"/>
      <c r="L23" s="1265"/>
      <c r="M23" s="1265"/>
      <c r="N23" s="1265"/>
      <c r="O23" s="1265"/>
      <c r="P23" s="1265"/>
      <c r="Q23" s="1265"/>
      <c r="R23" s="1265"/>
      <c r="S23" s="1265"/>
      <c r="T23" s="1265"/>
      <c r="U23" s="1265"/>
      <c r="V23" s="1265"/>
      <c r="W23" s="1265"/>
      <c r="X23" s="1265"/>
      <c r="Y23" s="1265"/>
      <c r="Z23" s="1265"/>
    </row>
    <row r="24" ht="27.0" customHeight="1">
      <c r="A24" s="1265"/>
      <c r="B24" s="1265"/>
      <c r="C24" s="1265"/>
      <c r="D24" s="1265"/>
      <c r="E24" s="1265"/>
      <c r="F24" s="1265"/>
      <c r="G24" s="1265"/>
      <c r="H24" s="1265"/>
      <c r="I24" s="1265"/>
      <c r="J24" s="1265"/>
      <c r="K24" s="1265"/>
      <c r="L24" s="1265"/>
      <c r="M24" s="1265"/>
      <c r="N24" s="1265"/>
      <c r="O24" s="1265"/>
      <c r="P24" s="1265"/>
      <c r="Q24" s="1265"/>
      <c r="R24" s="1265"/>
      <c r="S24" s="1265"/>
      <c r="T24" s="1265"/>
      <c r="U24" s="1265"/>
      <c r="V24" s="1265"/>
      <c r="W24" s="1265"/>
      <c r="X24" s="1265"/>
      <c r="Y24" s="1265"/>
      <c r="Z24" s="1265"/>
    </row>
    <row r="25" ht="27.0" customHeight="1">
      <c r="A25" s="1265"/>
      <c r="B25" s="1265"/>
      <c r="C25" s="1265"/>
      <c r="D25" s="1265"/>
      <c r="E25" s="1265"/>
      <c r="F25" s="1265"/>
      <c r="G25" s="1265"/>
      <c r="H25" s="1265"/>
      <c r="I25" s="1265"/>
      <c r="J25" s="1265"/>
      <c r="K25" s="1265"/>
      <c r="L25" s="1265"/>
      <c r="M25" s="1265"/>
      <c r="N25" s="1265"/>
      <c r="O25" s="1265"/>
      <c r="P25" s="1265"/>
      <c r="Q25" s="1265"/>
      <c r="R25" s="1265"/>
      <c r="S25" s="1265"/>
      <c r="T25" s="1265"/>
      <c r="U25" s="1265"/>
      <c r="V25" s="1265"/>
      <c r="W25" s="1265"/>
      <c r="X25" s="1265"/>
      <c r="Y25" s="1265"/>
      <c r="Z25" s="1265"/>
    </row>
    <row r="26" ht="27.0" customHeight="1">
      <c r="A26" s="1265"/>
      <c r="B26" s="1265"/>
      <c r="C26" s="1265"/>
      <c r="D26" s="1265"/>
      <c r="E26" s="1265"/>
      <c r="F26" s="1265"/>
      <c r="G26" s="1265"/>
      <c r="H26" s="1265"/>
      <c r="I26" s="1265"/>
      <c r="J26" s="1265"/>
      <c r="K26" s="1265"/>
      <c r="L26" s="1265"/>
      <c r="M26" s="1265"/>
      <c r="N26" s="1265"/>
      <c r="O26" s="1265"/>
      <c r="P26" s="1265"/>
      <c r="Q26" s="1265"/>
      <c r="R26" s="1265"/>
      <c r="S26" s="1265"/>
      <c r="T26" s="1265"/>
      <c r="U26" s="1265"/>
      <c r="V26" s="1265"/>
      <c r="W26" s="1265"/>
      <c r="X26" s="1265"/>
      <c r="Y26" s="1265"/>
      <c r="Z26" s="1265"/>
    </row>
    <row r="27" ht="27.0" customHeight="1">
      <c r="A27" s="1265"/>
      <c r="B27" s="1265"/>
      <c r="C27" s="1265"/>
      <c r="D27" s="1265"/>
      <c r="E27" s="1265"/>
      <c r="F27" s="1265"/>
      <c r="G27" s="1265"/>
      <c r="H27" s="1265"/>
      <c r="I27" s="1265"/>
      <c r="J27" s="1265"/>
      <c r="K27" s="1265"/>
      <c r="L27" s="1265"/>
      <c r="M27" s="1265"/>
      <c r="N27" s="1265"/>
      <c r="O27" s="1265"/>
      <c r="P27" s="1265"/>
      <c r="Q27" s="1265"/>
      <c r="R27" s="1265"/>
      <c r="S27" s="1265"/>
      <c r="T27" s="1265"/>
      <c r="U27" s="1265"/>
      <c r="V27" s="1265"/>
      <c r="W27" s="1265"/>
      <c r="X27" s="1265"/>
      <c r="Y27" s="1265"/>
      <c r="Z27" s="1265"/>
    </row>
    <row r="28" ht="27.0" customHeight="1">
      <c r="A28" s="1265"/>
      <c r="B28" s="1265"/>
      <c r="C28" s="1265"/>
      <c r="D28" s="1265"/>
      <c r="E28" s="1265"/>
      <c r="F28" s="1265"/>
      <c r="G28" s="1265"/>
      <c r="H28" s="1265"/>
      <c r="I28" s="1265"/>
      <c r="J28" s="1265"/>
      <c r="K28" s="1265"/>
      <c r="L28" s="1265"/>
      <c r="M28" s="1265"/>
      <c r="N28" s="1265"/>
      <c r="O28" s="1265"/>
      <c r="P28" s="1265"/>
      <c r="Q28" s="1265"/>
      <c r="R28" s="1265"/>
      <c r="S28" s="1265"/>
      <c r="T28" s="1265"/>
      <c r="U28" s="1265"/>
      <c r="V28" s="1265"/>
      <c r="W28" s="1265"/>
      <c r="X28" s="1265"/>
      <c r="Y28" s="1265"/>
      <c r="Z28" s="1265"/>
    </row>
    <row r="29" ht="27.0" customHeight="1">
      <c r="A29" s="1265"/>
      <c r="B29" s="1265"/>
      <c r="C29" s="1265"/>
      <c r="D29" s="1265"/>
      <c r="E29" s="1265"/>
      <c r="F29" s="1265"/>
      <c r="G29" s="1265"/>
      <c r="H29" s="1265"/>
      <c r="I29" s="1265"/>
      <c r="J29" s="1265"/>
      <c r="K29" s="1265"/>
      <c r="L29" s="1265"/>
      <c r="M29" s="1265"/>
      <c r="N29" s="1265"/>
      <c r="O29" s="1265"/>
      <c r="P29" s="1265"/>
      <c r="Q29" s="1265"/>
      <c r="R29" s="1265"/>
      <c r="S29" s="1265"/>
      <c r="T29" s="1265"/>
      <c r="U29" s="1265"/>
      <c r="V29" s="1265"/>
      <c r="W29" s="1265"/>
      <c r="X29" s="1265"/>
      <c r="Y29" s="1265"/>
      <c r="Z29" s="1265"/>
    </row>
    <row r="30" ht="27.0" customHeight="1">
      <c r="A30" s="1265"/>
      <c r="B30" s="1265"/>
      <c r="C30" s="1265"/>
      <c r="D30" s="1265"/>
      <c r="E30" s="1265"/>
      <c r="F30" s="1265"/>
      <c r="G30" s="1265"/>
      <c r="H30" s="1265"/>
      <c r="I30" s="1265"/>
      <c r="J30" s="1265"/>
      <c r="K30" s="1265"/>
      <c r="L30" s="1265"/>
      <c r="M30" s="1265"/>
      <c r="N30" s="1265"/>
      <c r="O30" s="1265"/>
      <c r="P30" s="1265"/>
      <c r="Q30" s="1265"/>
      <c r="R30" s="1265"/>
      <c r="S30" s="1265"/>
      <c r="T30" s="1265"/>
      <c r="U30" s="1265"/>
      <c r="V30" s="1265"/>
      <c r="W30" s="1265"/>
      <c r="X30" s="1265"/>
      <c r="Y30" s="1265"/>
      <c r="Z30" s="1265"/>
    </row>
    <row r="31" ht="27.0" customHeight="1">
      <c r="A31" s="1265"/>
      <c r="B31" s="1265"/>
      <c r="C31" s="1265"/>
      <c r="D31" s="1265"/>
      <c r="E31" s="1265"/>
      <c r="F31" s="1265"/>
      <c r="G31" s="1265"/>
      <c r="H31" s="1265"/>
      <c r="I31" s="1265"/>
      <c r="J31" s="1265"/>
      <c r="K31" s="1265"/>
      <c r="L31" s="1265"/>
      <c r="M31" s="1265"/>
      <c r="N31" s="1265"/>
      <c r="O31" s="1265"/>
      <c r="P31" s="1265"/>
      <c r="Q31" s="1265"/>
      <c r="R31" s="1265"/>
      <c r="S31" s="1265"/>
      <c r="T31" s="1265"/>
      <c r="U31" s="1265"/>
      <c r="V31" s="1265"/>
      <c r="W31" s="1265"/>
      <c r="X31" s="1265"/>
      <c r="Y31" s="1265"/>
      <c r="Z31" s="1265"/>
    </row>
    <row r="32" ht="27.0" customHeight="1">
      <c r="A32" s="1265"/>
      <c r="B32" s="1265"/>
      <c r="C32" s="1265"/>
      <c r="D32" s="1265"/>
      <c r="E32" s="1265"/>
      <c r="F32" s="1265"/>
      <c r="G32" s="1265"/>
      <c r="H32" s="1265"/>
      <c r="I32" s="1265"/>
      <c r="J32" s="1265"/>
      <c r="K32" s="1265"/>
      <c r="L32" s="1265"/>
      <c r="M32" s="1265"/>
      <c r="N32" s="1265"/>
      <c r="O32" s="1265"/>
      <c r="P32" s="1265"/>
      <c r="Q32" s="1265"/>
      <c r="R32" s="1265"/>
      <c r="S32" s="1265"/>
      <c r="T32" s="1265"/>
      <c r="U32" s="1265"/>
      <c r="V32" s="1265"/>
      <c r="W32" s="1265"/>
      <c r="X32" s="1265"/>
      <c r="Y32" s="1265"/>
      <c r="Z32" s="1265"/>
    </row>
    <row r="33" ht="27.0" customHeight="1">
      <c r="A33" s="1265"/>
      <c r="B33" s="1265"/>
      <c r="C33" s="1265"/>
      <c r="D33" s="1265"/>
      <c r="E33" s="1265"/>
      <c r="F33" s="1265"/>
      <c r="G33" s="1265"/>
      <c r="H33" s="1265"/>
      <c r="I33" s="1265"/>
      <c r="J33" s="1265"/>
      <c r="K33" s="1265"/>
      <c r="L33" s="1265"/>
      <c r="M33" s="1265"/>
      <c r="N33" s="1265"/>
      <c r="O33" s="1265"/>
      <c r="P33" s="1265"/>
      <c r="Q33" s="1265"/>
      <c r="R33" s="1265"/>
      <c r="S33" s="1265"/>
      <c r="T33" s="1265"/>
      <c r="U33" s="1265"/>
      <c r="V33" s="1265"/>
      <c r="W33" s="1265"/>
      <c r="X33" s="1265"/>
      <c r="Y33" s="1265"/>
      <c r="Z33" s="1265"/>
    </row>
    <row r="34" ht="27.0" customHeight="1">
      <c r="A34" s="1265"/>
      <c r="B34" s="1265"/>
      <c r="C34" s="1265"/>
      <c r="D34" s="1265"/>
      <c r="E34" s="1265"/>
      <c r="F34" s="1265"/>
      <c r="G34" s="1265"/>
      <c r="H34" s="1265"/>
      <c r="I34" s="1265"/>
      <c r="J34" s="1265"/>
      <c r="K34" s="1265"/>
      <c r="L34" s="1265"/>
      <c r="M34" s="1265"/>
      <c r="N34" s="1265"/>
      <c r="O34" s="1265"/>
      <c r="P34" s="1265"/>
      <c r="Q34" s="1265"/>
      <c r="R34" s="1265"/>
      <c r="S34" s="1265"/>
      <c r="T34" s="1265"/>
      <c r="U34" s="1265"/>
      <c r="V34" s="1265"/>
      <c r="W34" s="1265"/>
      <c r="X34" s="1265"/>
      <c r="Y34" s="1265"/>
      <c r="Z34" s="1265"/>
    </row>
    <row r="35" ht="27.0" customHeight="1">
      <c r="A35" s="1265"/>
      <c r="B35" s="1265"/>
      <c r="C35" s="1265"/>
      <c r="D35" s="1265"/>
      <c r="E35" s="1265"/>
      <c r="F35" s="1265"/>
      <c r="G35" s="1265"/>
      <c r="H35" s="1265"/>
      <c r="I35" s="1265"/>
      <c r="J35" s="1265"/>
      <c r="K35" s="1265"/>
      <c r="L35" s="1265"/>
      <c r="M35" s="1265"/>
      <c r="N35" s="1265"/>
      <c r="O35" s="1265"/>
      <c r="P35" s="1265"/>
      <c r="Q35" s="1265"/>
      <c r="R35" s="1265"/>
      <c r="S35" s="1265"/>
      <c r="T35" s="1265"/>
      <c r="U35" s="1265"/>
      <c r="V35" s="1265"/>
      <c r="W35" s="1265"/>
      <c r="X35" s="1265"/>
      <c r="Y35" s="1265"/>
      <c r="Z35" s="1265"/>
    </row>
    <row r="36" ht="27.0" customHeight="1">
      <c r="A36" s="1265"/>
      <c r="B36" s="1265"/>
      <c r="C36" s="1265"/>
      <c r="D36" s="1265"/>
      <c r="E36" s="1265"/>
      <c r="F36" s="1265"/>
      <c r="G36" s="1265"/>
      <c r="H36" s="1265"/>
      <c r="I36" s="1265"/>
      <c r="J36" s="1265"/>
      <c r="K36" s="1265"/>
      <c r="L36" s="1265"/>
      <c r="M36" s="1265"/>
      <c r="N36" s="1265"/>
      <c r="O36" s="1265"/>
      <c r="P36" s="1265"/>
      <c r="Q36" s="1265"/>
      <c r="R36" s="1265"/>
      <c r="S36" s="1265"/>
      <c r="T36" s="1265"/>
      <c r="U36" s="1265"/>
      <c r="V36" s="1265"/>
      <c r="W36" s="1265"/>
      <c r="X36" s="1265"/>
      <c r="Y36" s="1265"/>
      <c r="Z36" s="1265"/>
    </row>
    <row r="37" ht="27.0" customHeight="1">
      <c r="A37" s="1265"/>
      <c r="B37" s="1265"/>
      <c r="C37" s="1265"/>
      <c r="D37" s="1265"/>
      <c r="E37" s="1265"/>
      <c r="F37" s="1265"/>
      <c r="G37" s="1265"/>
      <c r="H37" s="1265"/>
      <c r="I37" s="1265"/>
      <c r="J37" s="1265"/>
      <c r="K37" s="1265"/>
      <c r="L37" s="1265"/>
      <c r="M37" s="1265"/>
      <c r="N37" s="1265"/>
      <c r="O37" s="1265"/>
      <c r="P37" s="1265"/>
      <c r="Q37" s="1265"/>
      <c r="R37" s="1265"/>
      <c r="S37" s="1265"/>
      <c r="T37" s="1265"/>
      <c r="U37" s="1265"/>
      <c r="V37" s="1265"/>
      <c r="W37" s="1265"/>
      <c r="X37" s="1265"/>
      <c r="Y37" s="1265"/>
      <c r="Z37" s="1265"/>
    </row>
    <row r="38" ht="27.0" customHeight="1">
      <c r="A38" s="1265"/>
      <c r="B38" s="1265"/>
      <c r="C38" s="1265"/>
      <c r="D38" s="1265"/>
      <c r="E38" s="1265"/>
      <c r="F38" s="1265"/>
      <c r="G38" s="1265"/>
      <c r="H38" s="1265"/>
      <c r="I38" s="1265"/>
      <c r="J38" s="1265"/>
      <c r="K38" s="1265"/>
      <c r="L38" s="1265"/>
      <c r="M38" s="1265"/>
      <c r="N38" s="1265"/>
      <c r="O38" s="1265"/>
      <c r="P38" s="1265"/>
      <c r="Q38" s="1265"/>
      <c r="R38" s="1265"/>
      <c r="S38" s="1265"/>
      <c r="T38" s="1265"/>
      <c r="U38" s="1265"/>
      <c r="V38" s="1265"/>
      <c r="W38" s="1265"/>
      <c r="X38" s="1265"/>
      <c r="Y38" s="1265"/>
      <c r="Z38" s="1265"/>
    </row>
    <row r="39" ht="27.0" customHeight="1">
      <c r="A39" s="1265"/>
      <c r="B39" s="1265"/>
      <c r="C39" s="1265"/>
      <c r="D39" s="1265"/>
      <c r="E39" s="1265"/>
      <c r="F39" s="1265"/>
      <c r="G39" s="1265"/>
      <c r="H39" s="1265"/>
      <c r="I39" s="1265"/>
      <c r="J39" s="1265"/>
      <c r="K39" s="1265"/>
      <c r="L39" s="1265"/>
      <c r="M39" s="1265"/>
      <c r="N39" s="1265"/>
      <c r="O39" s="1265"/>
      <c r="P39" s="1265"/>
      <c r="Q39" s="1265"/>
      <c r="R39" s="1265"/>
      <c r="S39" s="1265"/>
      <c r="T39" s="1265"/>
      <c r="U39" s="1265"/>
      <c r="V39" s="1265"/>
      <c r="W39" s="1265"/>
      <c r="X39" s="1265"/>
      <c r="Y39" s="1265"/>
      <c r="Z39" s="1265"/>
    </row>
    <row r="40" ht="27.0" customHeight="1">
      <c r="A40" s="1265"/>
      <c r="B40" s="1265"/>
      <c r="C40" s="1265"/>
      <c r="D40" s="1265"/>
      <c r="E40" s="1265"/>
      <c r="F40" s="1265"/>
      <c r="G40" s="1265"/>
      <c r="H40" s="1265"/>
      <c r="I40" s="1265"/>
      <c r="J40" s="1265"/>
      <c r="K40" s="1265"/>
      <c r="L40" s="1265"/>
      <c r="M40" s="1265"/>
      <c r="N40" s="1265"/>
      <c r="O40" s="1265"/>
      <c r="P40" s="1265"/>
      <c r="Q40" s="1265"/>
      <c r="R40" s="1265"/>
      <c r="S40" s="1265"/>
      <c r="T40" s="1265"/>
      <c r="U40" s="1265"/>
      <c r="V40" s="1265"/>
      <c r="W40" s="1265"/>
      <c r="X40" s="1265"/>
      <c r="Y40" s="1265"/>
      <c r="Z40" s="1265"/>
    </row>
    <row r="41" ht="27.0" customHeight="1">
      <c r="A41" s="1265"/>
      <c r="B41" s="1265"/>
      <c r="C41" s="1265"/>
      <c r="D41" s="1265"/>
      <c r="E41" s="1265"/>
      <c r="F41" s="1265"/>
      <c r="G41" s="1265"/>
      <c r="H41" s="1265"/>
      <c r="I41" s="1265"/>
      <c r="J41" s="1265"/>
      <c r="K41" s="1265"/>
      <c r="L41" s="1265"/>
      <c r="M41" s="1265"/>
      <c r="N41" s="1265"/>
      <c r="O41" s="1265"/>
      <c r="P41" s="1265"/>
      <c r="Q41" s="1265"/>
      <c r="R41" s="1265"/>
      <c r="S41" s="1265"/>
      <c r="T41" s="1265"/>
      <c r="U41" s="1265"/>
      <c r="V41" s="1265"/>
      <c r="W41" s="1265"/>
      <c r="X41" s="1265"/>
      <c r="Y41" s="1265"/>
      <c r="Z41" s="1265"/>
    </row>
    <row r="42" ht="27.0" customHeight="1">
      <c r="A42" s="1265"/>
      <c r="B42" s="1265"/>
      <c r="C42" s="1265"/>
      <c r="D42" s="1265"/>
      <c r="E42" s="1265"/>
      <c r="F42" s="1265"/>
      <c r="G42" s="1265"/>
      <c r="H42" s="1265"/>
      <c r="I42" s="1265"/>
      <c r="J42" s="1265"/>
      <c r="K42" s="1265"/>
      <c r="L42" s="1265"/>
      <c r="M42" s="1265"/>
      <c r="N42" s="1265"/>
      <c r="O42" s="1265"/>
      <c r="P42" s="1265"/>
      <c r="Q42" s="1265"/>
      <c r="R42" s="1265"/>
      <c r="S42" s="1265"/>
      <c r="T42" s="1265"/>
      <c r="U42" s="1265"/>
      <c r="V42" s="1265"/>
      <c r="W42" s="1265"/>
      <c r="X42" s="1265"/>
      <c r="Y42" s="1265"/>
      <c r="Z42" s="1265"/>
    </row>
    <row r="43" ht="27.0" customHeight="1">
      <c r="A43" s="1265"/>
      <c r="B43" s="1265"/>
      <c r="C43" s="1265"/>
      <c r="D43" s="1265"/>
      <c r="E43" s="1265"/>
      <c r="F43" s="1265"/>
      <c r="G43" s="1265"/>
      <c r="H43" s="1265"/>
      <c r="I43" s="1265"/>
      <c r="J43" s="1265"/>
      <c r="K43" s="1265"/>
      <c r="L43" s="1265"/>
      <c r="M43" s="1265"/>
      <c r="N43" s="1265"/>
      <c r="O43" s="1265"/>
      <c r="P43" s="1265"/>
      <c r="Q43" s="1265"/>
      <c r="R43" s="1265"/>
      <c r="S43" s="1265"/>
      <c r="T43" s="1265"/>
      <c r="U43" s="1265"/>
      <c r="V43" s="1265"/>
      <c r="W43" s="1265"/>
      <c r="X43" s="1265"/>
      <c r="Y43" s="1265"/>
      <c r="Z43" s="1265"/>
    </row>
    <row r="44" ht="27.0" customHeight="1">
      <c r="A44" s="1265"/>
      <c r="B44" s="1265"/>
      <c r="C44" s="1265"/>
      <c r="D44" s="1265"/>
      <c r="E44" s="1265"/>
      <c r="F44" s="1265"/>
      <c r="G44" s="1265"/>
      <c r="H44" s="1265"/>
      <c r="I44" s="1265"/>
      <c r="J44" s="1265"/>
      <c r="K44" s="1265"/>
      <c r="L44" s="1265"/>
      <c r="M44" s="1265"/>
      <c r="N44" s="1265"/>
      <c r="O44" s="1265"/>
      <c r="P44" s="1265"/>
      <c r="Q44" s="1265"/>
      <c r="R44" s="1265"/>
      <c r="S44" s="1265"/>
      <c r="T44" s="1265"/>
      <c r="U44" s="1265"/>
      <c r="V44" s="1265"/>
      <c r="W44" s="1265"/>
      <c r="X44" s="1265"/>
      <c r="Y44" s="1265"/>
      <c r="Z44" s="1265"/>
    </row>
    <row r="45" ht="27.0" customHeight="1">
      <c r="A45" s="1265"/>
      <c r="B45" s="1265"/>
      <c r="C45" s="1265"/>
      <c r="D45" s="1265"/>
      <c r="E45" s="1265"/>
      <c r="F45" s="1265"/>
      <c r="G45" s="1265"/>
      <c r="H45" s="1265"/>
      <c r="I45" s="1265"/>
      <c r="J45" s="1265"/>
      <c r="K45" s="1265"/>
      <c r="L45" s="1265"/>
      <c r="M45" s="1265"/>
      <c r="N45" s="1265"/>
      <c r="O45" s="1265"/>
      <c r="P45" s="1265"/>
      <c r="Q45" s="1265"/>
      <c r="R45" s="1265"/>
      <c r="S45" s="1265"/>
      <c r="T45" s="1265"/>
      <c r="U45" s="1265"/>
      <c r="V45" s="1265"/>
      <c r="W45" s="1265"/>
      <c r="X45" s="1265"/>
      <c r="Y45" s="1265"/>
      <c r="Z45" s="1265"/>
    </row>
    <row r="46" ht="27.0" customHeight="1">
      <c r="A46" s="1265"/>
      <c r="B46" s="1265"/>
      <c r="C46" s="1265"/>
      <c r="D46" s="1265"/>
      <c r="E46" s="1265"/>
      <c r="F46" s="1265"/>
      <c r="G46" s="1265"/>
      <c r="H46" s="1265"/>
      <c r="I46" s="1265"/>
      <c r="J46" s="1265"/>
      <c r="K46" s="1265"/>
      <c r="L46" s="1265"/>
      <c r="M46" s="1265"/>
      <c r="N46" s="1265"/>
      <c r="O46" s="1265"/>
      <c r="P46" s="1265"/>
      <c r="Q46" s="1265"/>
      <c r="R46" s="1265"/>
      <c r="S46" s="1265"/>
      <c r="T46" s="1265"/>
      <c r="U46" s="1265"/>
      <c r="V46" s="1265"/>
      <c r="W46" s="1265"/>
      <c r="X46" s="1265"/>
      <c r="Y46" s="1265"/>
      <c r="Z46" s="1265"/>
    </row>
    <row r="47" ht="27.0" customHeight="1">
      <c r="A47" s="1265"/>
      <c r="B47" s="1265"/>
      <c r="C47" s="1265"/>
      <c r="D47" s="1265"/>
      <c r="E47" s="1265"/>
      <c r="F47" s="1265"/>
      <c r="G47" s="1265"/>
      <c r="H47" s="1265"/>
      <c r="I47" s="1265"/>
      <c r="J47" s="1265"/>
      <c r="K47" s="1265"/>
      <c r="L47" s="1265"/>
      <c r="M47" s="1265"/>
      <c r="N47" s="1265"/>
      <c r="O47" s="1265"/>
      <c r="P47" s="1265"/>
      <c r="Q47" s="1265"/>
      <c r="R47" s="1265"/>
      <c r="S47" s="1265"/>
      <c r="T47" s="1265"/>
      <c r="U47" s="1265"/>
      <c r="V47" s="1265"/>
      <c r="W47" s="1265"/>
      <c r="X47" s="1265"/>
      <c r="Y47" s="1265"/>
      <c r="Z47" s="1265"/>
    </row>
    <row r="48" ht="27.0" customHeight="1">
      <c r="A48" s="1265"/>
      <c r="B48" s="1265"/>
      <c r="C48" s="1265"/>
      <c r="D48" s="1265"/>
      <c r="E48" s="1265"/>
      <c r="F48" s="1265"/>
      <c r="G48" s="1265"/>
      <c r="H48" s="1265"/>
      <c r="I48" s="1265"/>
      <c r="J48" s="1265"/>
      <c r="K48" s="1265"/>
      <c r="L48" s="1265"/>
      <c r="M48" s="1265"/>
      <c r="N48" s="1265"/>
      <c r="O48" s="1265"/>
      <c r="P48" s="1265"/>
      <c r="Q48" s="1265"/>
      <c r="R48" s="1265"/>
      <c r="S48" s="1265"/>
      <c r="T48" s="1265"/>
      <c r="U48" s="1265"/>
      <c r="V48" s="1265"/>
      <c r="W48" s="1265"/>
      <c r="X48" s="1265"/>
      <c r="Y48" s="1265"/>
      <c r="Z48" s="1265"/>
    </row>
    <row r="49" ht="27.0" customHeight="1">
      <c r="A49" s="1265"/>
      <c r="B49" s="1265"/>
      <c r="C49" s="1265"/>
      <c r="D49" s="1265"/>
      <c r="E49" s="1265"/>
      <c r="F49" s="1265"/>
      <c r="G49" s="1265"/>
      <c r="H49" s="1265"/>
      <c r="I49" s="1265"/>
      <c r="J49" s="1265"/>
      <c r="K49" s="1265"/>
      <c r="L49" s="1265"/>
      <c r="M49" s="1265"/>
      <c r="N49" s="1265"/>
      <c r="O49" s="1265"/>
      <c r="P49" s="1265"/>
      <c r="Q49" s="1265"/>
      <c r="R49" s="1265"/>
      <c r="S49" s="1265"/>
      <c r="T49" s="1265"/>
      <c r="U49" s="1265"/>
      <c r="V49" s="1265"/>
      <c r="W49" s="1265"/>
      <c r="X49" s="1265"/>
      <c r="Y49" s="1265"/>
      <c r="Z49" s="1265"/>
    </row>
    <row r="50" ht="27.0" customHeight="1">
      <c r="A50" s="1265"/>
      <c r="B50" s="1265"/>
      <c r="C50" s="1265"/>
      <c r="D50" s="1265"/>
      <c r="E50" s="1265"/>
      <c r="F50" s="1265"/>
      <c r="G50" s="1265"/>
      <c r="H50" s="1265"/>
      <c r="I50" s="1265"/>
      <c r="J50" s="1265"/>
      <c r="K50" s="1265"/>
      <c r="L50" s="1265"/>
      <c r="M50" s="1265"/>
      <c r="N50" s="1265"/>
      <c r="O50" s="1265"/>
      <c r="P50" s="1265"/>
      <c r="Q50" s="1265"/>
      <c r="R50" s="1265"/>
      <c r="S50" s="1265"/>
      <c r="T50" s="1265"/>
      <c r="U50" s="1265"/>
      <c r="V50" s="1265"/>
      <c r="W50" s="1265"/>
      <c r="X50" s="1265"/>
      <c r="Y50" s="1265"/>
      <c r="Z50" s="1265"/>
    </row>
    <row r="51" ht="27.0" customHeight="1">
      <c r="A51" s="1265"/>
      <c r="B51" s="1265"/>
      <c r="C51" s="1265"/>
      <c r="D51" s="1265"/>
      <c r="E51" s="1265"/>
      <c r="F51" s="1265"/>
      <c r="G51" s="1265"/>
      <c r="H51" s="1265"/>
      <c r="I51" s="1265"/>
      <c r="J51" s="1265"/>
      <c r="K51" s="1265"/>
      <c r="L51" s="1265"/>
      <c r="M51" s="1265"/>
      <c r="N51" s="1265"/>
      <c r="O51" s="1265"/>
      <c r="P51" s="1265"/>
      <c r="Q51" s="1265"/>
      <c r="R51" s="1265"/>
      <c r="S51" s="1265"/>
      <c r="T51" s="1265"/>
      <c r="U51" s="1265"/>
      <c r="V51" s="1265"/>
      <c r="W51" s="1265"/>
      <c r="X51" s="1265"/>
      <c r="Y51" s="1265"/>
      <c r="Z51" s="1265"/>
    </row>
    <row r="52" ht="27.0" customHeight="1">
      <c r="A52" s="1265"/>
      <c r="B52" s="1265"/>
      <c r="C52" s="1265"/>
      <c r="D52" s="1265"/>
      <c r="E52" s="1265"/>
      <c r="F52" s="1265"/>
      <c r="G52" s="1265"/>
      <c r="H52" s="1265"/>
      <c r="I52" s="1265"/>
      <c r="J52" s="1265"/>
      <c r="K52" s="1265"/>
      <c r="L52" s="1265"/>
      <c r="M52" s="1265"/>
      <c r="N52" s="1265"/>
      <c r="O52" s="1265"/>
      <c r="P52" s="1265"/>
      <c r="Q52" s="1265"/>
      <c r="R52" s="1265"/>
      <c r="S52" s="1265"/>
      <c r="T52" s="1265"/>
      <c r="U52" s="1265"/>
      <c r="V52" s="1265"/>
      <c r="W52" s="1265"/>
      <c r="X52" s="1265"/>
      <c r="Y52" s="1265"/>
      <c r="Z52" s="1265"/>
    </row>
    <row r="53" ht="27.0" customHeight="1">
      <c r="A53" s="1265"/>
      <c r="B53" s="1265"/>
      <c r="C53" s="1265"/>
      <c r="D53" s="1265"/>
      <c r="E53" s="1265"/>
      <c r="F53" s="1265"/>
      <c r="G53" s="1265"/>
      <c r="H53" s="1265"/>
      <c r="I53" s="1265"/>
      <c r="J53" s="1265"/>
      <c r="K53" s="1265"/>
      <c r="L53" s="1265"/>
      <c r="M53" s="1265"/>
      <c r="N53" s="1265"/>
      <c r="O53" s="1265"/>
      <c r="P53" s="1265"/>
      <c r="Q53" s="1265"/>
      <c r="R53" s="1265"/>
      <c r="S53" s="1265"/>
      <c r="T53" s="1265"/>
      <c r="U53" s="1265"/>
      <c r="V53" s="1265"/>
      <c r="W53" s="1265"/>
      <c r="X53" s="1265"/>
      <c r="Y53" s="1265"/>
      <c r="Z53" s="1265"/>
    </row>
    <row r="54" ht="27.0" customHeight="1">
      <c r="A54" s="1265"/>
      <c r="B54" s="1265"/>
      <c r="C54" s="1265"/>
      <c r="D54" s="1265"/>
      <c r="E54" s="1265"/>
      <c r="F54" s="1265"/>
      <c r="G54" s="1265"/>
      <c r="H54" s="1265"/>
      <c r="I54" s="1265"/>
      <c r="J54" s="1265"/>
      <c r="K54" s="1265"/>
      <c r="L54" s="1265"/>
      <c r="M54" s="1265"/>
      <c r="N54" s="1265"/>
      <c r="O54" s="1265"/>
      <c r="P54" s="1265"/>
      <c r="Q54" s="1265"/>
      <c r="R54" s="1265"/>
      <c r="S54" s="1265"/>
      <c r="T54" s="1265"/>
      <c r="U54" s="1265"/>
      <c r="V54" s="1265"/>
      <c r="W54" s="1265"/>
      <c r="X54" s="1265"/>
      <c r="Y54" s="1265"/>
      <c r="Z54" s="1265"/>
    </row>
    <row r="55" ht="27.0" customHeight="1">
      <c r="A55" s="1265"/>
      <c r="B55" s="1265"/>
      <c r="C55" s="1265"/>
      <c r="D55" s="1265"/>
      <c r="E55" s="1265"/>
      <c r="F55" s="1265"/>
      <c r="G55" s="1265"/>
      <c r="H55" s="1265"/>
      <c r="I55" s="1265"/>
      <c r="J55" s="1265"/>
      <c r="K55" s="1265"/>
      <c r="L55" s="1265"/>
      <c r="M55" s="1265"/>
      <c r="N55" s="1265"/>
      <c r="O55" s="1265"/>
      <c r="P55" s="1265"/>
      <c r="Q55" s="1265"/>
      <c r="R55" s="1265"/>
      <c r="S55" s="1265"/>
      <c r="T55" s="1265"/>
      <c r="U55" s="1265"/>
      <c r="V55" s="1265"/>
      <c r="W55" s="1265"/>
      <c r="X55" s="1265"/>
      <c r="Y55" s="1265"/>
      <c r="Z55" s="1265"/>
    </row>
    <row r="56" ht="27.0" customHeight="1">
      <c r="A56" s="1265"/>
      <c r="B56" s="1265"/>
      <c r="C56" s="1265"/>
      <c r="D56" s="1265"/>
      <c r="E56" s="1265"/>
      <c r="F56" s="1265"/>
      <c r="G56" s="1265"/>
      <c r="H56" s="1265"/>
      <c r="I56" s="1265"/>
      <c r="J56" s="1265"/>
      <c r="K56" s="1265"/>
      <c r="L56" s="1265"/>
      <c r="M56" s="1265"/>
      <c r="N56" s="1265"/>
      <c r="O56" s="1265"/>
      <c r="P56" s="1265"/>
      <c r="Q56" s="1265"/>
      <c r="R56" s="1265"/>
      <c r="S56" s="1265"/>
      <c r="T56" s="1265"/>
      <c r="U56" s="1265"/>
      <c r="V56" s="1265"/>
      <c r="W56" s="1265"/>
      <c r="X56" s="1265"/>
      <c r="Y56" s="1265"/>
      <c r="Z56" s="1265"/>
    </row>
    <row r="57" ht="27.0" customHeight="1">
      <c r="A57" s="1265"/>
      <c r="B57" s="1265"/>
      <c r="C57" s="1265"/>
      <c r="D57" s="1265"/>
      <c r="E57" s="1265"/>
      <c r="F57" s="1265"/>
      <c r="G57" s="1265"/>
      <c r="H57" s="1265"/>
      <c r="I57" s="1265"/>
      <c r="J57" s="1265"/>
      <c r="K57" s="1265"/>
      <c r="L57" s="1265"/>
      <c r="M57" s="1265"/>
      <c r="N57" s="1265"/>
      <c r="O57" s="1265"/>
      <c r="P57" s="1265"/>
      <c r="Q57" s="1265"/>
      <c r="R57" s="1265"/>
      <c r="S57" s="1265"/>
      <c r="T57" s="1265"/>
      <c r="U57" s="1265"/>
      <c r="V57" s="1265"/>
      <c r="W57" s="1265"/>
      <c r="X57" s="1265"/>
      <c r="Y57" s="1265"/>
      <c r="Z57" s="1265"/>
    </row>
    <row r="58" ht="27.0" customHeight="1">
      <c r="A58" s="1265"/>
      <c r="B58" s="1265"/>
      <c r="C58" s="1265"/>
      <c r="D58" s="1265"/>
      <c r="E58" s="1265"/>
      <c r="F58" s="1265"/>
      <c r="G58" s="1265"/>
      <c r="H58" s="1265"/>
      <c r="I58" s="1265"/>
      <c r="J58" s="1265"/>
      <c r="K58" s="1265"/>
      <c r="L58" s="1265"/>
      <c r="M58" s="1265"/>
      <c r="N58" s="1265"/>
      <c r="O58" s="1265"/>
      <c r="P58" s="1265"/>
      <c r="Q58" s="1265"/>
      <c r="R58" s="1265"/>
      <c r="S58" s="1265"/>
      <c r="T58" s="1265"/>
      <c r="U58" s="1265"/>
      <c r="V58" s="1265"/>
      <c r="W58" s="1265"/>
      <c r="X58" s="1265"/>
      <c r="Y58" s="1265"/>
      <c r="Z58" s="1265"/>
    </row>
    <row r="59" ht="27.0" customHeight="1">
      <c r="A59" s="1265"/>
      <c r="B59" s="1265"/>
      <c r="C59" s="1265"/>
      <c r="D59" s="1265"/>
      <c r="E59" s="1265"/>
      <c r="F59" s="1265"/>
      <c r="G59" s="1265"/>
      <c r="H59" s="1265"/>
      <c r="I59" s="1265"/>
      <c r="J59" s="1265"/>
      <c r="K59" s="1265"/>
      <c r="L59" s="1265"/>
      <c r="M59" s="1265"/>
      <c r="N59" s="1265"/>
      <c r="O59" s="1265"/>
      <c r="P59" s="1265"/>
      <c r="Q59" s="1265"/>
      <c r="R59" s="1265"/>
      <c r="S59" s="1265"/>
      <c r="T59" s="1265"/>
      <c r="U59" s="1265"/>
      <c r="V59" s="1265"/>
      <c r="W59" s="1265"/>
      <c r="X59" s="1265"/>
      <c r="Y59" s="1265"/>
      <c r="Z59" s="1265"/>
    </row>
    <row r="60" ht="27.0" customHeight="1">
      <c r="A60" s="1265"/>
      <c r="B60" s="1265"/>
      <c r="C60" s="1265"/>
      <c r="D60" s="1265"/>
      <c r="E60" s="1265"/>
      <c r="F60" s="1265"/>
      <c r="G60" s="1265"/>
      <c r="H60" s="1265"/>
      <c r="I60" s="1265"/>
      <c r="J60" s="1265"/>
      <c r="K60" s="1265"/>
      <c r="L60" s="1265"/>
      <c r="M60" s="1265"/>
      <c r="N60" s="1265"/>
      <c r="O60" s="1265"/>
      <c r="P60" s="1265"/>
      <c r="Q60" s="1265"/>
      <c r="R60" s="1265"/>
      <c r="S60" s="1265"/>
      <c r="T60" s="1265"/>
      <c r="U60" s="1265"/>
      <c r="V60" s="1265"/>
      <c r="W60" s="1265"/>
      <c r="X60" s="1265"/>
      <c r="Y60" s="1265"/>
      <c r="Z60" s="1265"/>
    </row>
    <row r="61" ht="27.0" customHeight="1">
      <c r="A61" s="1265"/>
      <c r="B61" s="1265"/>
      <c r="C61" s="1265"/>
      <c r="D61" s="1265"/>
      <c r="E61" s="1265"/>
      <c r="F61" s="1265"/>
      <c r="G61" s="1265"/>
      <c r="H61" s="1265"/>
      <c r="I61" s="1265"/>
      <c r="J61" s="1265"/>
      <c r="K61" s="1265"/>
      <c r="L61" s="1265"/>
      <c r="M61" s="1265"/>
      <c r="N61" s="1265"/>
      <c r="O61" s="1265"/>
      <c r="P61" s="1265"/>
      <c r="Q61" s="1265"/>
      <c r="R61" s="1265"/>
      <c r="S61" s="1265"/>
      <c r="T61" s="1265"/>
      <c r="U61" s="1265"/>
      <c r="V61" s="1265"/>
      <c r="W61" s="1265"/>
      <c r="X61" s="1265"/>
      <c r="Y61" s="1265"/>
      <c r="Z61" s="1265"/>
    </row>
    <row r="62" ht="27.0" customHeight="1">
      <c r="A62" s="1265"/>
      <c r="B62" s="1265"/>
      <c r="C62" s="1265"/>
      <c r="D62" s="1265"/>
      <c r="E62" s="1265"/>
      <c r="F62" s="1265"/>
      <c r="G62" s="1265"/>
      <c r="H62" s="1265"/>
      <c r="I62" s="1265"/>
      <c r="J62" s="1265"/>
      <c r="K62" s="1265"/>
      <c r="L62" s="1265"/>
      <c r="M62" s="1265"/>
      <c r="N62" s="1265"/>
      <c r="O62" s="1265"/>
      <c r="P62" s="1265"/>
      <c r="Q62" s="1265"/>
      <c r="R62" s="1265"/>
      <c r="S62" s="1265"/>
      <c r="T62" s="1265"/>
      <c r="U62" s="1265"/>
      <c r="V62" s="1265"/>
      <c r="W62" s="1265"/>
      <c r="X62" s="1265"/>
      <c r="Y62" s="1265"/>
      <c r="Z62" s="1265"/>
    </row>
    <row r="63" ht="27.0" customHeight="1">
      <c r="A63" s="1265"/>
      <c r="B63" s="1265"/>
      <c r="C63" s="1265"/>
      <c r="D63" s="1265"/>
      <c r="E63" s="1265"/>
      <c r="F63" s="1265"/>
      <c r="G63" s="1265"/>
      <c r="H63" s="1265"/>
      <c r="I63" s="1265"/>
      <c r="J63" s="1265"/>
      <c r="K63" s="1265"/>
      <c r="L63" s="1265"/>
      <c r="M63" s="1265"/>
      <c r="N63" s="1265"/>
      <c r="O63" s="1265"/>
      <c r="P63" s="1265"/>
      <c r="Q63" s="1265"/>
      <c r="R63" s="1265"/>
      <c r="S63" s="1265"/>
      <c r="T63" s="1265"/>
      <c r="U63" s="1265"/>
      <c r="V63" s="1265"/>
      <c r="W63" s="1265"/>
      <c r="X63" s="1265"/>
      <c r="Y63" s="1265"/>
      <c r="Z63" s="1265"/>
    </row>
    <row r="64" ht="27.0" customHeight="1">
      <c r="A64" s="1265"/>
      <c r="B64" s="1265"/>
      <c r="C64" s="1265"/>
      <c r="D64" s="1265"/>
      <c r="E64" s="1265"/>
      <c r="F64" s="1265"/>
      <c r="G64" s="1265"/>
      <c r="H64" s="1265"/>
      <c r="I64" s="1265"/>
      <c r="J64" s="1265"/>
      <c r="K64" s="1265"/>
      <c r="L64" s="1265"/>
      <c r="M64" s="1265"/>
      <c r="N64" s="1265"/>
      <c r="O64" s="1265"/>
      <c r="P64" s="1265"/>
      <c r="Q64" s="1265"/>
      <c r="R64" s="1265"/>
      <c r="S64" s="1265"/>
      <c r="T64" s="1265"/>
      <c r="U64" s="1265"/>
      <c r="V64" s="1265"/>
      <c r="W64" s="1265"/>
      <c r="X64" s="1265"/>
      <c r="Y64" s="1265"/>
      <c r="Z64" s="1265"/>
    </row>
    <row r="65" ht="27.0" customHeight="1">
      <c r="A65" s="1265"/>
      <c r="B65" s="1265"/>
      <c r="C65" s="1265"/>
      <c r="D65" s="1265"/>
      <c r="E65" s="1265"/>
      <c r="F65" s="1265"/>
      <c r="G65" s="1265"/>
      <c r="H65" s="1265"/>
      <c r="I65" s="1265"/>
      <c r="J65" s="1265"/>
      <c r="K65" s="1265"/>
      <c r="L65" s="1265"/>
      <c r="M65" s="1265"/>
      <c r="N65" s="1265"/>
      <c r="O65" s="1265"/>
      <c r="P65" s="1265"/>
      <c r="Q65" s="1265"/>
      <c r="R65" s="1265"/>
      <c r="S65" s="1265"/>
      <c r="T65" s="1265"/>
      <c r="U65" s="1265"/>
      <c r="V65" s="1265"/>
      <c r="W65" s="1265"/>
      <c r="X65" s="1265"/>
      <c r="Y65" s="1265"/>
      <c r="Z65" s="1265"/>
    </row>
    <row r="66" ht="27.0" customHeight="1">
      <c r="A66" s="1265"/>
      <c r="B66" s="1265"/>
      <c r="C66" s="1265"/>
      <c r="D66" s="1265"/>
      <c r="E66" s="1265"/>
      <c r="F66" s="1265"/>
      <c r="G66" s="1265"/>
      <c r="H66" s="1265"/>
      <c r="I66" s="1265"/>
      <c r="J66" s="1265"/>
      <c r="K66" s="1265"/>
      <c r="L66" s="1265"/>
      <c r="M66" s="1265"/>
      <c r="N66" s="1265"/>
      <c r="O66" s="1265"/>
      <c r="P66" s="1265"/>
      <c r="Q66" s="1265"/>
      <c r="R66" s="1265"/>
      <c r="S66" s="1265"/>
      <c r="T66" s="1265"/>
      <c r="U66" s="1265"/>
      <c r="V66" s="1265"/>
      <c r="W66" s="1265"/>
      <c r="X66" s="1265"/>
      <c r="Y66" s="1265"/>
      <c r="Z66" s="1265"/>
    </row>
    <row r="67" ht="27.0" customHeight="1">
      <c r="A67" s="1265"/>
      <c r="B67" s="1265"/>
      <c r="C67" s="1265"/>
      <c r="D67" s="1265"/>
      <c r="E67" s="1265"/>
      <c r="F67" s="1265"/>
      <c r="G67" s="1265"/>
      <c r="H67" s="1265"/>
      <c r="I67" s="1265"/>
      <c r="J67" s="1265"/>
      <c r="K67" s="1265"/>
      <c r="L67" s="1265"/>
      <c r="M67" s="1265"/>
      <c r="N67" s="1265"/>
      <c r="O67" s="1265"/>
      <c r="P67" s="1265"/>
      <c r="Q67" s="1265"/>
      <c r="R67" s="1265"/>
      <c r="S67" s="1265"/>
      <c r="T67" s="1265"/>
      <c r="U67" s="1265"/>
      <c r="V67" s="1265"/>
      <c r="W67" s="1265"/>
      <c r="X67" s="1265"/>
      <c r="Y67" s="1265"/>
      <c r="Z67" s="1265"/>
    </row>
    <row r="68" ht="27.0" customHeight="1">
      <c r="A68" s="1265"/>
      <c r="B68" s="1265"/>
      <c r="C68" s="1265"/>
      <c r="D68" s="1265"/>
      <c r="E68" s="1265"/>
      <c r="F68" s="1265"/>
      <c r="G68" s="1265"/>
      <c r="H68" s="1265"/>
      <c r="I68" s="1265"/>
      <c r="J68" s="1265"/>
      <c r="K68" s="1265"/>
      <c r="L68" s="1265"/>
      <c r="M68" s="1265"/>
      <c r="N68" s="1265"/>
      <c r="O68" s="1265"/>
      <c r="P68" s="1265"/>
      <c r="Q68" s="1265"/>
      <c r="R68" s="1265"/>
      <c r="S68" s="1265"/>
      <c r="T68" s="1265"/>
      <c r="U68" s="1265"/>
      <c r="V68" s="1265"/>
      <c r="W68" s="1265"/>
      <c r="X68" s="1265"/>
      <c r="Y68" s="1265"/>
      <c r="Z68" s="1265"/>
    </row>
    <row r="69" ht="27.0" customHeight="1">
      <c r="A69" s="1265"/>
      <c r="B69" s="1265"/>
      <c r="C69" s="1265"/>
      <c r="D69" s="1265"/>
      <c r="E69" s="1265"/>
      <c r="F69" s="1265"/>
      <c r="G69" s="1265"/>
      <c r="H69" s="1265"/>
      <c r="I69" s="1265"/>
      <c r="J69" s="1265"/>
      <c r="K69" s="1265"/>
      <c r="L69" s="1265"/>
      <c r="M69" s="1265"/>
      <c r="N69" s="1265"/>
      <c r="O69" s="1265"/>
      <c r="P69" s="1265"/>
      <c r="Q69" s="1265"/>
      <c r="R69" s="1265"/>
      <c r="S69" s="1265"/>
      <c r="T69" s="1265"/>
      <c r="U69" s="1265"/>
      <c r="V69" s="1265"/>
      <c r="W69" s="1265"/>
      <c r="X69" s="1265"/>
      <c r="Y69" s="1265"/>
      <c r="Z69" s="1265"/>
    </row>
    <row r="70" ht="27.0" customHeight="1">
      <c r="A70" s="1265"/>
      <c r="B70" s="1265"/>
      <c r="C70" s="1265"/>
      <c r="D70" s="1265"/>
      <c r="E70" s="1265"/>
      <c r="F70" s="1265"/>
      <c r="G70" s="1265"/>
      <c r="H70" s="1265"/>
      <c r="I70" s="1265"/>
      <c r="J70" s="1265"/>
      <c r="K70" s="1265"/>
      <c r="L70" s="1265"/>
      <c r="M70" s="1265"/>
      <c r="N70" s="1265"/>
      <c r="O70" s="1265"/>
      <c r="P70" s="1265"/>
      <c r="Q70" s="1265"/>
      <c r="R70" s="1265"/>
      <c r="S70" s="1265"/>
      <c r="T70" s="1265"/>
      <c r="U70" s="1265"/>
      <c r="V70" s="1265"/>
      <c r="W70" s="1265"/>
      <c r="X70" s="1265"/>
      <c r="Y70" s="1265"/>
      <c r="Z70" s="1265"/>
    </row>
    <row r="71" ht="27.0" customHeight="1">
      <c r="A71" s="1265"/>
      <c r="B71" s="1265"/>
      <c r="C71" s="1265"/>
      <c r="D71" s="1265"/>
      <c r="E71" s="1265"/>
      <c r="F71" s="1265"/>
      <c r="G71" s="1265"/>
      <c r="H71" s="1265"/>
      <c r="I71" s="1265"/>
      <c r="J71" s="1265"/>
      <c r="K71" s="1265"/>
      <c r="L71" s="1265"/>
      <c r="M71" s="1265"/>
      <c r="N71" s="1265"/>
      <c r="O71" s="1265"/>
      <c r="P71" s="1265"/>
      <c r="Q71" s="1265"/>
      <c r="R71" s="1265"/>
      <c r="S71" s="1265"/>
      <c r="T71" s="1265"/>
      <c r="U71" s="1265"/>
      <c r="V71" s="1265"/>
      <c r="W71" s="1265"/>
      <c r="X71" s="1265"/>
      <c r="Y71" s="1265"/>
      <c r="Z71" s="1265"/>
    </row>
    <row r="72" ht="27.0" customHeight="1">
      <c r="A72" s="1265"/>
      <c r="B72" s="1265"/>
      <c r="C72" s="1265"/>
      <c r="D72" s="1265"/>
      <c r="E72" s="1265"/>
      <c r="F72" s="1265"/>
      <c r="G72" s="1265"/>
      <c r="H72" s="1265"/>
      <c r="I72" s="1265"/>
      <c r="J72" s="1265"/>
      <c r="K72" s="1265"/>
      <c r="L72" s="1265"/>
      <c r="M72" s="1265"/>
      <c r="N72" s="1265"/>
      <c r="O72" s="1265"/>
      <c r="P72" s="1265"/>
      <c r="Q72" s="1265"/>
      <c r="R72" s="1265"/>
      <c r="S72" s="1265"/>
      <c r="T72" s="1265"/>
      <c r="U72" s="1265"/>
      <c r="V72" s="1265"/>
      <c r="W72" s="1265"/>
      <c r="X72" s="1265"/>
      <c r="Y72" s="1265"/>
      <c r="Z72" s="1265"/>
    </row>
    <row r="73" ht="27.0" customHeight="1">
      <c r="A73" s="1265"/>
      <c r="B73" s="1265"/>
      <c r="C73" s="1265"/>
      <c r="D73" s="1265"/>
      <c r="E73" s="1265"/>
      <c r="F73" s="1265"/>
      <c r="G73" s="1265"/>
      <c r="H73" s="1265"/>
      <c r="I73" s="1265"/>
      <c r="J73" s="1265"/>
      <c r="K73" s="1265"/>
      <c r="L73" s="1265"/>
      <c r="M73" s="1265"/>
      <c r="N73" s="1265"/>
      <c r="O73" s="1265"/>
      <c r="P73" s="1265"/>
      <c r="Q73" s="1265"/>
      <c r="R73" s="1265"/>
      <c r="S73" s="1265"/>
      <c r="T73" s="1265"/>
      <c r="U73" s="1265"/>
      <c r="V73" s="1265"/>
      <c r="W73" s="1265"/>
      <c r="X73" s="1265"/>
      <c r="Y73" s="1265"/>
      <c r="Z73" s="1265"/>
    </row>
    <row r="74" ht="27.0" customHeight="1">
      <c r="A74" s="1265"/>
      <c r="B74" s="1265"/>
      <c r="C74" s="1265"/>
      <c r="D74" s="1265"/>
      <c r="E74" s="1265"/>
      <c r="F74" s="1265"/>
      <c r="G74" s="1265"/>
      <c r="H74" s="1265"/>
      <c r="I74" s="1265"/>
      <c r="J74" s="1265"/>
      <c r="K74" s="1265"/>
      <c r="L74" s="1265"/>
      <c r="M74" s="1265"/>
      <c r="N74" s="1265"/>
      <c r="O74" s="1265"/>
      <c r="P74" s="1265"/>
      <c r="Q74" s="1265"/>
      <c r="R74" s="1265"/>
      <c r="S74" s="1265"/>
      <c r="T74" s="1265"/>
      <c r="U74" s="1265"/>
      <c r="V74" s="1265"/>
      <c r="W74" s="1265"/>
      <c r="X74" s="1265"/>
      <c r="Y74" s="1265"/>
      <c r="Z74" s="1265"/>
    </row>
    <row r="75" ht="27.0" customHeight="1">
      <c r="A75" s="1265"/>
      <c r="B75" s="1265"/>
      <c r="C75" s="1265"/>
      <c r="D75" s="1265"/>
      <c r="E75" s="1265"/>
      <c r="F75" s="1265"/>
      <c r="G75" s="1265"/>
      <c r="H75" s="1265"/>
      <c r="I75" s="1265"/>
      <c r="J75" s="1265"/>
      <c r="K75" s="1265"/>
      <c r="L75" s="1265"/>
      <c r="M75" s="1265"/>
      <c r="N75" s="1265"/>
      <c r="O75" s="1265"/>
      <c r="P75" s="1265"/>
      <c r="Q75" s="1265"/>
      <c r="R75" s="1265"/>
      <c r="S75" s="1265"/>
      <c r="T75" s="1265"/>
      <c r="U75" s="1265"/>
      <c r="V75" s="1265"/>
      <c r="W75" s="1265"/>
      <c r="X75" s="1265"/>
      <c r="Y75" s="1265"/>
      <c r="Z75" s="1265"/>
    </row>
    <row r="76" ht="27.0" customHeight="1">
      <c r="A76" s="1265"/>
      <c r="B76" s="1265"/>
      <c r="C76" s="1265"/>
      <c r="D76" s="1265"/>
      <c r="E76" s="1265"/>
      <c r="F76" s="1265"/>
      <c r="G76" s="1265"/>
      <c r="H76" s="1265"/>
      <c r="I76" s="1265"/>
      <c r="J76" s="1265"/>
      <c r="K76" s="1265"/>
      <c r="L76" s="1265"/>
      <c r="M76" s="1265"/>
      <c r="N76" s="1265"/>
      <c r="O76" s="1265"/>
      <c r="P76" s="1265"/>
      <c r="Q76" s="1265"/>
      <c r="R76" s="1265"/>
      <c r="S76" s="1265"/>
      <c r="T76" s="1265"/>
      <c r="U76" s="1265"/>
      <c r="V76" s="1265"/>
      <c r="W76" s="1265"/>
      <c r="X76" s="1265"/>
      <c r="Y76" s="1265"/>
      <c r="Z76" s="1265"/>
    </row>
    <row r="77" ht="27.0" customHeight="1">
      <c r="A77" s="1265"/>
      <c r="B77" s="1265"/>
      <c r="C77" s="1265"/>
      <c r="D77" s="1265"/>
      <c r="E77" s="1265"/>
      <c r="F77" s="1265"/>
      <c r="G77" s="1265"/>
      <c r="H77" s="1265"/>
      <c r="I77" s="1265"/>
      <c r="J77" s="1265"/>
      <c r="K77" s="1265"/>
      <c r="L77" s="1265"/>
      <c r="M77" s="1265"/>
      <c r="N77" s="1265"/>
      <c r="O77" s="1265"/>
      <c r="P77" s="1265"/>
      <c r="Q77" s="1265"/>
      <c r="R77" s="1265"/>
      <c r="S77" s="1265"/>
      <c r="T77" s="1265"/>
      <c r="U77" s="1265"/>
      <c r="V77" s="1265"/>
      <c r="W77" s="1265"/>
      <c r="X77" s="1265"/>
      <c r="Y77" s="1265"/>
      <c r="Z77" s="1265"/>
    </row>
    <row r="78" ht="27.0" customHeight="1">
      <c r="A78" s="1265"/>
      <c r="B78" s="1265"/>
      <c r="C78" s="1265"/>
      <c r="D78" s="1265"/>
      <c r="E78" s="1265"/>
      <c r="F78" s="1265"/>
      <c r="G78" s="1265"/>
      <c r="H78" s="1265"/>
      <c r="I78" s="1265"/>
      <c r="J78" s="1265"/>
      <c r="K78" s="1265"/>
      <c r="L78" s="1265"/>
      <c r="M78" s="1265"/>
      <c r="N78" s="1265"/>
      <c r="O78" s="1265"/>
      <c r="P78" s="1265"/>
      <c r="Q78" s="1265"/>
      <c r="R78" s="1265"/>
      <c r="S78" s="1265"/>
      <c r="T78" s="1265"/>
      <c r="U78" s="1265"/>
      <c r="V78" s="1265"/>
      <c r="W78" s="1265"/>
      <c r="X78" s="1265"/>
      <c r="Y78" s="1265"/>
      <c r="Z78" s="1265"/>
    </row>
    <row r="79" ht="27.0" customHeight="1">
      <c r="A79" s="1265"/>
      <c r="B79" s="1265"/>
      <c r="C79" s="1265"/>
      <c r="D79" s="1265"/>
      <c r="E79" s="1265"/>
      <c r="F79" s="1265"/>
      <c r="G79" s="1265"/>
      <c r="H79" s="1265"/>
      <c r="I79" s="1265"/>
      <c r="J79" s="1265"/>
      <c r="K79" s="1265"/>
      <c r="L79" s="1265"/>
      <c r="M79" s="1265"/>
      <c r="N79" s="1265"/>
      <c r="O79" s="1265"/>
      <c r="P79" s="1265"/>
      <c r="Q79" s="1265"/>
      <c r="R79" s="1265"/>
      <c r="S79" s="1265"/>
      <c r="T79" s="1265"/>
      <c r="U79" s="1265"/>
      <c r="V79" s="1265"/>
      <c r="W79" s="1265"/>
      <c r="X79" s="1265"/>
      <c r="Y79" s="1265"/>
      <c r="Z79" s="1265"/>
    </row>
    <row r="80" ht="27.0" customHeight="1">
      <c r="A80" s="1265"/>
      <c r="B80" s="1265"/>
      <c r="C80" s="1265"/>
      <c r="D80" s="1265"/>
      <c r="E80" s="1265"/>
      <c r="F80" s="1265"/>
      <c r="G80" s="1265"/>
      <c r="H80" s="1265"/>
      <c r="I80" s="1265"/>
      <c r="J80" s="1265"/>
      <c r="K80" s="1265"/>
      <c r="L80" s="1265"/>
      <c r="M80" s="1265"/>
      <c r="N80" s="1265"/>
      <c r="O80" s="1265"/>
      <c r="P80" s="1265"/>
      <c r="Q80" s="1265"/>
      <c r="R80" s="1265"/>
      <c r="S80" s="1265"/>
      <c r="T80" s="1265"/>
      <c r="U80" s="1265"/>
      <c r="V80" s="1265"/>
      <c r="W80" s="1265"/>
      <c r="X80" s="1265"/>
      <c r="Y80" s="1265"/>
      <c r="Z80" s="1265"/>
    </row>
    <row r="81" ht="27.0" customHeight="1">
      <c r="A81" s="1265"/>
      <c r="B81" s="1265"/>
      <c r="C81" s="1265"/>
      <c r="D81" s="1265"/>
      <c r="E81" s="1265"/>
      <c r="F81" s="1265"/>
      <c r="G81" s="1265"/>
      <c r="H81" s="1265"/>
      <c r="I81" s="1265"/>
      <c r="J81" s="1265"/>
      <c r="K81" s="1265"/>
      <c r="L81" s="1265"/>
      <c r="M81" s="1265"/>
      <c r="N81" s="1265"/>
      <c r="O81" s="1265"/>
      <c r="P81" s="1265"/>
      <c r="Q81" s="1265"/>
      <c r="R81" s="1265"/>
      <c r="S81" s="1265"/>
      <c r="T81" s="1265"/>
      <c r="U81" s="1265"/>
      <c r="V81" s="1265"/>
      <c r="W81" s="1265"/>
      <c r="X81" s="1265"/>
      <c r="Y81" s="1265"/>
      <c r="Z81" s="1265"/>
    </row>
    <row r="82" ht="27.0" customHeight="1">
      <c r="A82" s="1265"/>
      <c r="B82" s="1265"/>
      <c r="C82" s="1265"/>
      <c r="D82" s="1265"/>
      <c r="E82" s="1265"/>
      <c r="F82" s="1265"/>
      <c r="G82" s="1265"/>
      <c r="H82" s="1265"/>
      <c r="I82" s="1265"/>
      <c r="J82" s="1265"/>
      <c r="K82" s="1265"/>
      <c r="L82" s="1265"/>
      <c r="M82" s="1265"/>
      <c r="N82" s="1265"/>
      <c r="O82" s="1265"/>
      <c r="P82" s="1265"/>
      <c r="Q82" s="1265"/>
      <c r="R82" s="1265"/>
      <c r="S82" s="1265"/>
      <c r="T82" s="1265"/>
      <c r="U82" s="1265"/>
      <c r="V82" s="1265"/>
      <c r="W82" s="1265"/>
      <c r="X82" s="1265"/>
      <c r="Y82" s="1265"/>
      <c r="Z82" s="1265"/>
    </row>
    <row r="83" ht="27.0" customHeight="1">
      <c r="A83" s="1265"/>
      <c r="B83" s="1265"/>
      <c r="C83" s="1265"/>
      <c r="D83" s="1265"/>
      <c r="E83" s="1265"/>
      <c r="F83" s="1265"/>
      <c r="G83" s="1265"/>
      <c r="H83" s="1265"/>
      <c r="I83" s="1265"/>
      <c r="J83" s="1265"/>
      <c r="K83" s="1265"/>
      <c r="L83" s="1265"/>
      <c r="M83" s="1265"/>
      <c r="N83" s="1265"/>
      <c r="O83" s="1265"/>
      <c r="P83" s="1265"/>
      <c r="Q83" s="1265"/>
      <c r="R83" s="1265"/>
      <c r="S83" s="1265"/>
      <c r="T83" s="1265"/>
      <c r="U83" s="1265"/>
      <c r="V83" s="1265"/>
      <c r="W83" s="1265"/>
      <c r="X83" s="1265"/>
      <c r="Y83" s="1265"/>
      <c r="Z83" s="1265"/>
    </row>
    <row r="84" ht="27.0" customHeight="1">
      <c r="A84" s="1265"/>
      <c r="B84" s="1265"/>
      <c r="C84" s="1265"/>
      <c r="D84" s="1265"/>
      <c r="E84" s="1265"/>
      <c r="F84" s="1265"/>
      <c r="G84" s="1265"/>
      <c r="H84" s="1265"/>
      <c r="I84" s="1265"/>
      <c r="J84" s="1265"/>
      <c r="K84" s="1265"/>
      <c r="L84" s="1265"/>
      <c r="M84" s="1265"/>
      <c r="N84" s="1265"/>
      <c r="O84" s="1265"/>
      <c r="P84" s="1265"/>
      <c r="Q84" s="1265"/>
      <c r="R84" s="1265"/>
      <c r="S84" s="1265"/>
      <c r="T84" s="1265"/>
      <c r="U84" s="1265"/>
      <c r="V84" s="1265"/>
      <c r="W84" s="1265"/>
      <c r="X84" s="1265"/>
      <c r="Y84" s="1265"/>
      <c r="Z84" s="1265"/>
    </row>
    <row r="85" ht="27.0" customHeight="1">
      <c r="A85" s="1265"/>
      <c r="B85" s="1265"/>
      <c r="C85" s="1265"/>
      <c r="D85" s="1265"/>
      <c r="E85" s="1265"/>
      <c r="F85" s="1265"/>
      <c r="G85" s="1265"/>
      <c r="H85" s="1265"/>
      <c r="I85" s="1265"/>
      <c r="J85" s="1265"/>
      <c r="K85" s="1265"/>
      <c r="L85" s="1265"/>
      <c r="M85" s="1265"/>
      <c r="N85" s="1265"/>
      <c r="O85" s="1265"/>
      <c r="P85" s="1265"/>
      <c r="Q85" s="1265"/>
      <c r="R85" s="1265"/>
      <c r="S85" s="1265"/>
      <c r="T85" s="1265"/>
      <c r="U85" s="1265"/>
      <c r="V85" s="1265"/>
      <c r="W85" s="1265"/>
      <c r="X85" s="1265"/>
      <c r="Y85" s="1265"/>
      <c r="Z85" s="1265"/>
    </row>
    <row r="86" ht="27.0" customHeight="1">
      <c r="A86" s="1265"/>
      <c r="B86" s="1265"/>
      <c r="C86" s="1265"/>
      <c r="D86" s="1265"/>
      <c r="E86" s="1265"/>
      <c r="F86" s="1265"/>
      <c r="G86" s="1265"/>
      <c r="H86" s="1265"/>
      <c r="I86" s="1265"/>
      <c r="J86" s="1265"/>
      <c r="K86" s="1265"/>
      <c r="L86" s="1265"/>
      <c r="M86" s="1265"/>
      <c r="N86" s="1265"/>
      <c r="O86" s="1265"/>
      <c r="P86" s="1265"/>
      <c r="Q86" s="1265"/>
      <c r="R86" s="1265"/>
      <c r="S86" s="1265"/>
      <c r="T86" s="1265"/>
      <c r="U86" s="1265"/>
      <c r="V86" s="1265"/>
      <c r="W86" s="1265"/>
      <c r="X86" s="1265"/>
      <c r="Y86" s="1265"/>
      <c r="Z86" s="1265"/>
    </row>
    <row r="87" ht="27.0" customHeight="1">
      <c r="A87" s="1265"/>
      <c r="B87" s="1265"/>
      <c r="C87" s="1265"/>
      <c r="D87" s="1265"/>
      <c r="E87" s="1265"/>
      <c r="F87" s="1265"/>
      <c r="G87" s="1265"/>
      <c r="H87" s="1265"/>
      <c r="I87" s="1265"/>
      <c r="J87" s="1265"/>
      <c r="K87" s="1265"/>
      <c r="L87" s="1265"/>
      <c r="M87" s="1265"/>
      <c r="N87" s="1265"/>
      <c r="O87" s="1265"/>
      <c r="P87" s="1265"/>
      <c r="Q87" s="1265"/>
      <c r="R87" s="1265"/>
      <c r="S87" s="1265"/>
      <c r="T87" s="1265"/>
      <c r="U87" s="1265"/>
      <c r="V87" s="1265"/>
      <c r="W87" s="1265"/>
      <c r="X87" s="1265"/>
      <c r="Y87" s="1265"/>
      <c r="Z87" s="1265"/>
    </row>
    <row r="88" ht="27.0" customHeight="1">
      <c r="A88" s="1265"/>
      <c r="B88" s="1265"/>
      <c r="C88" s="1265"/>
      <c r="D88" s="1265"/>
      <c r="E88" s="1265"/>
      <c r="F88" s="1265"/>
      <c r="G88" s="1265"/>
      <c r="H88" s="1265"/>
      <c r="I88" s="1265"/>
      <c r="J88" s="1265"/>
      <c r="K88" s="1265"/>
      <c r="L88" s="1265"/>
      <c r="M88" s="1265"/>
      <c r="N88" s="1265"/>
      <c r="O88" s="1265"/>
      <c r="P88" s="1265"/>
      <c r="Q88" s="1265"/>
      <c r="R88" s="1265"/>
      <c r="S88" s="1265"/>
      <c r="T88" s="1265"/>
      <c r="U88" s="1265"/>
      <c r="V88" s="1265"/>
      <c r="W88" s="1265"/>
      <c r="X88" s="1265"/>
      <c r="Y88" s="1265"/>
      <c r="Z88" s="1265"/>
    </row>
    <row r="89" ht="27.0" customHeight="1">
      <c r="A89" s="1265"/>
      <c r="B89" s="1265"/>
      <c r="C89" s="1265"/>
      <c r="D89" s="1265"/>
      <c r="E89" s="1265"/>
      <c r="F89" s="1265"/>
      <c r="G89" s="1265"/>
      <c r="H89" s="1265"/>
      <c r="I89" s="1265"/>
      <c r="J89" s="1265"/>
      <c r="K89" s="1265"/>
      <c r="L89" s="1265"/>
      <c r="M89" s="1265"/>
      <c r="N89" s="1265"/>
      <c r="O89" s="1265"/>
      <c r="P89" s="1265"/>
      <c r="Q89" s="1265"/>
      <c r="R89" s="1265"/>
      <c r="S89" s="1265"/>
      <c r="T89" s="1265"/>
      <c r="U89" s="1265"/>
      <c r="V89" s="1265"/>
      <c r="W89" s="1265"/>
      <c r="X89" s="1265"/>
      <c r="Y89" s="1265"/>
      <c r="Z89" s="1265"/>
    </row>
    <row r="90" ht="27.0" customHeight="1">
      <c r="A90" s="1265"/>
      <c r="B90" s="1265"/>
      <c r="C90" s="1265"/>
      <c r="D90" s="1265"/>
      <c r="E90" s="1265"/>
      <c r="F90" s="1265"/>
      <c r="G90" s="1265"/>
      <c r="H90" s="1265"/>
      <c r="I90" s="1265"/>
      <c r="J90" s="1265"/>
      <c r="K90" s="1265"/>
      <c r="L90" s="1265"/>
      <c r="M90" s="1265"/>
      <c r="N90" s="1265"/>
      <c r="O90" s="1265"/>
      <c r="P90" s="1265"/>
      <c r="Q90" s="1265"/>
      <c r="R90" s="1265"/>
      <c r="S90" s="1265"/>
      <c r="T90" s="1265"/>
      <c r="U90" s="1265"/>
      <c r="V90" s="1265"/>
      <c r="W90" s="1265"/>
      <c r="X90" s="1265"/>
      <c r="Y90" s="1265"/>
      <c r="Z90" s="1265"/>
    </row>
    <row r="91" ht="27.0" customHeight="1">
      <c r="A91" s="1265"/>
      <c r="B91" s="1265"/>
      <c r="C91" s="1265"/>
      <c r="D91" s="1265"/>
      <c r="E91" s="1265"/>
      <c r="F91" s="1265"/>
      <c r="G91" s="1265"/>
      <c r="H91" s="1265"/>
      <c r="I91" s="1265"/>
      <c r="J91" s="1265"/>
      <c r="K91" s="1265"/>
      <c r="L91" s="1265"/>
      <c r="M91" s="1265"/>
      <c r="N91" s="1265"/>
      <c r="O91" s="1265"/>
      <c r="P91" s="1265"/>
      <c r="Q91" s="1265"/>
      <c r="R91" s="1265"/>
      <c r="S91" s="1265"/>
      <c r="T91" s="1265"/>
      <c r="U91" s="1265"/>
      <c r="V91" s="1265"/>
      <c r="W91" s="1265"/>
      <c r="X91" s="1265"/>
      <c r="Y91" s="1265"/>
      <c r="Z91" s="1265"/>
    </row>
    <row r="92" ht="27.0" customHeight="1">
      <c r="A92" s="1265"/>
      <c r="B92" s="1265"/>
      <c r="C92" s="1265"/>
      <c r="D92" s="1265"/>
      <c r="E92" s="1265"/>
      <c r="F92" s="1265"/>
      <c r="G92" s="1265"/>
      <c r="H92" s="1265"/>
      <c r="I92" s="1265"/>
      <c r="J92" s="1265"/>
      <c r="K92" s="1265"/>
      <c r="L92" s="1265"/>
      <c r="M92" s="1265"/>
      <c r="N92" s="1265"/>
      <c r="O92" s="1265"/>
      <c r="P92" s="1265"/>
      <c r="Q92" s="1265"/>
      <c r="R92" s="1265"/>
      <c r="S92" s="1265"/>
      <c r="T92" s="1265"/>
      <c r="U92" s="1265"/>
      <c r="V92" s="1265"/>
      <c r="W92" s="1265"/>
      <c r="X92" s="1265"/>
      <c r="Y92" s="1265"/>
      <c r="Z92" s="1265"/>
    </row>
    <row r="93" ht="27.0" customHeight="1">
      <c r="A93" s="1265"/>
      <c r="B93" s="1265"/>
      <c r="C93" s="1265"/>
      <c r="D93" s="1265"/>
      <c r="E93" s="1265"/>
      <c r="F93" s="1265"/>
      <c r="G93" s="1265"/>
      <c r="H93" s="1265"/>
      <c r="I93" s="1265"/>
      <c r="J93" s="1265"/>
      <c r="K93" s="1265"/>
      <c r="L93" s="1265"/>
      <c r="M93" s="1265"/>
      <c r="N93" s="1265"/>
      <c r="O93" s="1265"/>
      <c r="P93" s="1265"/>
      <c r="Q93" s="1265"/>
      <c r="R93" s="1265"/>
      <c r="S93" s="1265"/>
      <c r="T93" s="1265"/>
      <c r="U93" s="1265"/>
      <c r="V93" s="1265"/>
      <c r="W93" s="1265"/>
      <c r="X93" s="1265"/>
      <c r="Y93" s="1265"/>
      <c r="Z93" s="1265"/>
    </row>
    <row r="94" ht="27.0" customHeight="1">
      <c r="A94" s="1265"/>
      <c r="B94" s="1265"/>
      <c r="C94" s="1265"/>
      <c r="D94" s="1265"/>
      <c r="E94" s="1265"/>
      <c r="F94" s="1265"/>
      <c r="G94" s="1265"/>
      <c r="H94" s="1265"/>
      <c r="I94" s="1265"/>
      <c r="J94" s="1265"/>
      <c r="K94" s="1265"/>
      <c r="L94" s="1265"/>
      <c r="M94" s="1265"/>
      <c r="N94" s="1265"/>
      <c r="O94" s="1265"/>
      <c r="P94" s="1265"/>
      <c r="Q94" s="1265"/>
      <c r="R94" s="1265"/>
      <c r="S94" s="1265"/>
      <c r="T94" s="1265"/>
      <c r="U94" s="1265"/>
      <c r="V94" s="1265"/>
      <c r="W94" s="1265"/>
      <c r="X94" s="1265"/>
      <c r="Y94" s="1265"/>
      <c r="Z94" s="1265"/>
    </row>
    <row r="95" ht="27.0" customHeight="1">
      <c r="A95" s="1265"/>
      <c r="B95" s="1265"/>
      <c r="C95" s="1265"/>
      <c r="D95" s="1265"/>
      <c r="E95" s="1265"/>
      <c r="F95" s="1265"/>
      <c r="G95" s="1265"/>
      <c r="H95" s="1265"/>
      <c r="I95" s="1265"/>
      <c r="J95" s="1265"/>
      <c r="K95" s="1265"/>
      <c r="L95" s="1265"/>
      <c r="M95" s="1265"/>
      <c r="N95" s="1265"/>
      <c r="O95" s="1265"/>
      <c r="P95" s="1265"/>
      <c r="Q95" s="1265"/>
      <c r="R95" s="1265"/>
      <c r="S95" s="1265"/>
      <c r="T95" s="1265"/>
      <c r="U95" s="1265"/>
      <c r="V95" s="1265"/>
      <c r="W95" s="1265"/>
      <c r="X95" s="1265"/>
      <c r="Y95" s="1265"/>
      <c r="Z95" s="1265"/>
    </row>
    <row r="96" ht="27.0" customHeight="1">
      <c r="A96" s="1265"/>
      <c r="B96" s="1265"/>
      <c r="C96" s="1265"/>
      <c r="D96" s="1265"/>
      <c r="E96" s="1265"/>
      <c r="F96" s="1265"/>
      <c r="G96" s="1265"/>
      <c r="H96" s="1265"/>
      <c r="I96" s="1265"/>
      <c r="J96" s="1265"/>
      <c r="K96" s="1265"/>
      <c r="L96" s="1265"/>
      <c r="M96" s="1265"/>
      <c r="N96" s="1265"/>
      <c r="O96" s="1265"/>
      <c r="P96" s="1265"/>
      <c r="Q96" s="1265"/>
      <c r="R96" s="1265"/>
      <c r="S96" s="1265"/>
      <c r="T96" s="1265"/>
      <c r="U96" s="1265"/>
      <c r="V96" s="1265"/>
      <c r="W96" s="1265"/>
      <c r="X96" s="1265"/>
      <c r="Y96" s="1265"/>
      <c r="Z96" s="1265"/>
    </row>
    <row r="97" ht="27.0" customHeight="1">
      <c r="A97" s="1265"/>
      <c r="B97" s="1265"/>
      <c r="C97" s="1265"/>
      <c r="D97" s="1265"/>
      <c r="E97" s="1265"/>
      <c r="F97" s="1265"/>
      <c r="G97" s="1265"/>
      <c r="H97" s="1265"/>
      <c r="I97" s="1265"/>
      <c r="J97" s="1265"/>
      <c r="K97" s="1265"/>
      <c r="L97" s="1265"/>
      <c r="M97" s="1265"/>
      <c r="N97" s="1265"/>
      <c r="O97" s="1265"/>
      <c r="P97" s="1265"/>
      <c r="Q97" s="1265"/>
      <c r="R97" s="1265"/>
      <c r="S97" s="1265"/>
      <c r="T97" s="1265"/>
      <c r="U97" s="1265"/>
      <c r="V97" s="1265"/>
      <c r="W97" s="1265"/>
      <c r="X97" s="1265"/>
      <c r="Y97" s="1265"/>
      <c r="Z97" s="1265"/>
    </row>
    <row r="98" ht="27.0" customHeight="1">
      <c r="A98" s="1265"/>
      <c r="B98" s="1265"/>
      <c r="C98" s="1265"/>
      <c r="D98" s="1265"/>
      <c r="E98" s="1265"/>
      <c r="F98" s="1265"/>
      <c r="G98" s="1265"/>
      <c r="H98" s="1265"/>
      <c r="I98" s="1265"/>
      <c r="J98" s="1265"/>
      <c r="K98" s="1265"/>
      <c r="L98" s="1265"/>
      <c r="M98" s="1265"/>
      <c r="N98" s="1265"/>
      <c r="O98" s="1265"/>
      <c r="P98" s="1265"/>
      <c r="Q98" s="1265"/>
      <c r="R98" s="1265"/>
      <c r="S98" s="1265"/>
      <c r="T98" s="1265"/>
      <c r="U98" s="1265"/>
      <c r="V98" s="1265"/>
      <c r="W98" s="1265"/>
      <c r="X98" s="1265"/>
      <c r="Y98" s="1265"/>
      <c r="Z98" s="1265"/>
    </row>
    <row r="99" ht="27.0" customHeight="1">
      <c r="A99" s="1265"/>
      <c r="B99" s="1265"/>
      <c r="C99" s="1265"/>
      <c r="D99" s="1265"/>
      <c r="E99" s="1265"/>
      <c r="F99" s="1265"/>
      <c r="G99" s="1265"/>
      <c r="H99" s="1265"/>
      <c r="I99" s="1265"/>
      <c r="J99" s="1265"/>
      <c r="K99" s="1265"/>
      <c r="L99" s="1265"/>
      <c r="M99" s="1265"/>
      <c r="N99" s="1265"/>
      <c r="O99" s="1265"/>
      <c r="P99" s="1265"/>
      <c r="Q99" s="1265"/>
      <c r="R99" s="1265"/>
      <c r="S99" s="1265"/>
      <c r="T99" s="1265"/>
      <c r="U99" s="1265"/>
      <c r="V99" s="1265"/>
      <c r="W99" s="1265"/>
      <c r="X99" s="1265"/>
      <c r="Y99" s="1265"/>
      <c r="Z99" s="1265"/>
    </row>
    <row r="100" ht="27.0" customHeight="1">
      <c r="A100" s="1265"/>
      <c r="B100" s="1265"/>
      <c r="C100" s="1265"/>
      <c r="D100" s="1265"/>
      <c r="E100" s="1265"/>
      <c r="F100" s="1265"/>
      <c r="G100" s="1265"/>
      <c r="H100" s="1265"/>
      <c r="I100" s="1265"/>
      <c r="J100" s="1265"/>
      <c r="K100" s="1265"/>
      <c r="L100" s="1265"/>
      <c r="M100" s="1265"/>
      <c r="N100" s="1265"/>
      <c r="O100" s="1265"/>
      <c r="P100" s="1265"/>
      <c r="Q100" s="1265"/>
      <c r="R100" s="1265"/>
      <c r="S100" s="1265"/>
      <c r="T100" s="1265"/>
      <c r="U100" s="1265"/>
      <c r="V100" s="1265"/>
      <c r="W100" s="1265"/>
      <c r="X100" s="1265"/>
      <c r="Y100" s="1265"/>
      <c r="Z100" s="1265"/>
    </row>
    <row r="101" ht="27.0" customHeight="1">
      <c r="A101" s="1265"/>
      <c r="B101" s="1265"/>
      <c r="C101" s="1265"/>
      <c r="D101" s="1265"/>
      <c r="E101" s="1265"/>
      <c r="F101" s="1265"/>
      <c r="G101" s="1265"/>
      <c r="H101" s="1265"/>
      <c r="I101" s="1265"/>
      <c r="J101" s="1265"/>
      <c r="K101" s="1265"/>
      <c r="L101" s="1265"/>
      <c r="M101" s="1265"/>
      <c r="N101" s="1265"/>
      <c r="O101" s="1265"/>
      <c r="P101" s="1265"/>
      <c r="Q101" s="1265"/>
      <c r="R101" s="1265"/>
      <c r="S101" s="1265"/>
      <c r="T101" s="1265"/>
      <c r="U101" s="1265"/>
      <c r="V101" s="1265"/>
      <c r="W101" s="1265"/>
      <c r="X101" s="1265"/>
      <c r="Y101" s="1265"/>
      <c r="Z101" s="1265"/>
    </row>
    <row r="102" ht="27.0" customHeight="1">
      <c r="A102" s="1265"/>
      <c r="B102" s="1265"/>
      <c r="C102" s="1265"/>
      <c r="D102" s="1265"/>
      <c r="E102" s="1265"/>
      <c r="F102" s="1265"/>
      <c r="G102" s="1265"/>
      <c r="H102" s="1265"/>
      <c r="I102" s="1265"/>
      <c r="J102" s="1265"/>
      <c r="K102" s="1265"/>
      <c r="L102" s="1265"/>
      <c r="M102" s="1265"/>
      <c r="N102" s="1265"/>
      <c r="O102" s="1265"/>
      <c r="P102" s="1265"/>
      <c r="Q102" s="1265"/>
      <c r="R102" s="1265"/>
      <c r="S102" s="1265"/>
      <c r="T102" s="1265"/>
      <c r="U102" s="1265"/>
      <c r="V102" s="1265"/>
      <c r="W102" s="1265"/>
      <c r="X102" s="1265"/>
      <c r="Y102" s="1265"/>
      <c r="Z102" s="1265"/>
    </row>
    <row r="103" ht="27.0" customHeight="1">
      <c r="A103" s="1265"/>
      <c r="B103" s="1265"/>
      <c r="C103" s="1265"/>
      <c r="D103" s="1265"/>
      <c r="E103" s="1265"/>
      <c r="F103" s="1265"/>
      <c r="G103" s="1265"/>
      <c r="H103" s="1265"/>
      <c r="I103" s="1265"/>
      <c r="J103" s="1265"/>
      <c r="K103" s="1265"/>
      <c r="L103" s="1265"/>
      <c r="M103" s="1265"/>
      <c r="N103" s="1265"/>
      <c r="O103" s="1265"/>
      <c r="P103" s="1265"/>
      <c r="Q103" s="1265"/>
      <c r="R103" s="1265"/>
      <c r="S103" s="1265"/>
      <c r="T103" s="1265"/>
      <c r="U103" s="1265"/>
      <c r="V103" s="1265"/>
      <c r="W103" s="1265"/>
      <c r="X103" s="1265"/>
      <c r="Y103" s="1265"/>
      <c r="Z103" s="1265"/>
    </row>
    <row r="104" ht="27.0" customHeight="1">
      <c r="A104" s="1265"/>
      <c r="B104" s="1265"/>
      <c r="C104" s="1265"/>
      <c r="D104" s="1265"/>
      <c r="E104" s="1265"/>
      <c r="F104" s="1265"/>
      <c r="G104" s="1265"/>
      <c r="H104" s="1265"/>
      <c r="I104" s="1265"/>
      <c r="J104" s="1265"/>
      <c r="K104" s="1265"/>
      <c r="L104" s="1265"/>
      <c r="M104" s="1265"/>
      <c r="N104" s="1265"/>
      <c r="O104" s="1265"/>
      <c r="P104" s="1265"/>
      <c r="Q104" s="1265"/>
      <c r="R104" s="1265"/>
      <c r="S104" s="1265"/>
      <c r="T104" s="1265"/>
      <c r="U104" s="1265"/>
      <c r="V104" s="1265"/>
      <c r="W104" s="1265"/>
      <c r="X104" s="1265"/>
      <c r="Y104" s="1265"/>
      <c r="Z104" s="1265"/>
    </row>
    <row r="105" ht="27.0" customHeight="1">
      <c r="A105" s="1265"/>
      <c r="B105" s="1265"/>
      <c r="C105" s="1265"/>
      <c r="D105" s="1265"/>
      <c r="E105" s="1265"/>
      <c r="F105" s="1265"/>
      <c r="G105" s="1265"/>
      <c r="H105" s="1265"/>
      <c r="I105" s="1265"/>
      <c r="J105" s="1265"/>
      <c r="K105" s="1265"/>
      <c r="L105" s="1265"/>
      <c r="M105" s="1265"/>
      <c r="N105" s="1265"/>
      <c r="O105" s="1265"/>
      <c r="P105" s="1265"/>
      <c r="Q105" s="1265"/>
      <c r="R105" s="1265"/>
      <c r="S105" s="1265"/>
      <c r="T105" s="1265"/>
      <c r="U105" s="1265"/>
      <c r="V105" s="1265"/>
      <c r="W105" s="1265"/>
      <c r="X105" s="1265"/>
      <c r="Y105" s="1265"/>
      <c r="Z105" s="1265"/>
    </row>
    <row r="106" ht="27.0" customHeight="1">
      <c r="A106" s="1265"/>
      <c r="B106" s="1265"/>
      <c r="C106" s="1265"/>
      <c r="D106" s="1265"/>
      <c r="E106" s="1265"/>
      <c r="F106" s="1265"/>
      <c r="G106" s="1265"/>
      <c r="H106" s="1265"/>
      <c r="I106" s="1265"/>
      <c r="J106" s="1265"/>
      <c r="K106" s="1265"/>
      <c r="L106" s="1265"/>
      <c r="M106" s="1265"/>
      <c r="N106" s="1265"/>
      <c r="O106" s="1265"/>
      <c r="P106" s="1265"/>
      <c r="Q106" s="1265"/>
      <c r="R106" s="1265"/>
      <c r="S106" s="1265"/>
      <c r="T106" s="1265"/>
      <c r="U106" s="1265"/>
      <c r="V106" s="1265"/>
      <c r="W106" s="1265"/>
      <c r="X106" s="1265"/>
      <c r="Y106" s="1265"/>
      <c r="Z106" s="1265"/>
    </row>
    <row r="107" ht="27.0" customHeight="1">
      <c r="A107" s="1265"/>
      <c r="B107" s="1265"/>
      <c r="C107" s="1265"/>
      <c r="D107" s="1265"/>
      <c r="E107" s="1265"/>
      <c r="F107" s="1265"/>
      <c r="G107" s="1265"/>
      <c r="H107" s="1265"/>
      <c r="I107" s="1265"/>
      <c r="J107" s="1265"/>
      <c r="K107" s="1265"/>
      <c r="L107" s="1265"/>
      <c r="M107" s="1265"/>
      <c r="N107" s="1265"/>
      <c r="O107" s="1265"/>
      <c r="P107" s="1265"/>
      <c r="Q107" s="1265"/>
      <c r="R107" s="1265"/>
      <c r="S107" s="1265"/>
      <c r="T107" s="1265"/>
      <c r="U107" s="1265"/>
      <c r="V107" s="1265"/>
      <c r="W107" s="1265"/>
      <c r="X107" s="1265"/>
      <c r="Y107" s="1265"/>
      <c r="Z107" s="1265"/>
    </row>
    <row r="108" ht="27.0" customHeight="1">
      <c r="A108" s="1265"/>
      <c r="B108" s="1265"/>
      <c r="C108" s="1265"/>
      <c r="D108" s="1265"/>
      <c r="E108" s="1265"/>
      <c r="F108" s="1265"/>
      <c r="G108" s="1265"/>
      <c r="H108" s="1265"/>
      <c r="I108" s="1265"/>
      <c r="J108" s="1265"/>
      <c r="K108" s="1265"/>
      <c r="L108" s="1265"/>
      <c r="M108" s="1265"/>
      <c r="N108" s="1265"/>
      <c r="O108" s="1265"/>
      <c r="P108" s="1265"/>
      <c r="Q108" s="1265"/>
      <c r="R108" s="1265"/>
      <c r="S108" s="1265"/>
      <c r="T108" s="1265"/>
      <c r="U108" s="1265"/>
      <c r="V108" s="1265"/>
      <c r="W108" s="1265"/>
      <c r="X108" s="1265"/>
      <c r="Y108" s="1265"/>
      <c r="Z108" s="1265"/>
    </row>
    <row r="109" ht="27.0" customHeight="1">
      <c r="A109" s="1265"/>
      <c r="B109" s="1265"/>
      <c r="C109" s="1265"/>
      <c r="D109" s="1265"/>
      <c r="E109" s="1265"/>
      <c r="F109" s="1265"/>
      <c r="G109" s="1265"/>
      <c r="H109" s="1265"/>
      <c r="I109" s="1265"/>
      <c r="J109" s="1265"/>
      <c r="K109" s="1265"/>
      <c r="L109" s="1265"/>
      <c r="M109" s="1265"/>
      <c r="N109" s="1265"/>
      <c r="O109" s="1265"/>
      <c r="P109" s="1265"/>
      <c r="Q109" s="1265"/>
      <c r="R109" s="1265"/>
      <c r="S109" s="1265"/>
      <c r="T109" s="1265"/>
      <c r="U109" s="1265"/>
      <c r="V109" s="1265"/>
      <c r="W109" s="1265"/>
      <c r="X109" s="1265"/>
      <c r="Y109" s="1265"/>
      <c r="Z109" s="1265"/>
    </row>
    <row r="110" ht="27.0" customHeight="1">
      <c r="A110" s="1265"/>
      <c r="B110" s="1265"/>
      <c r="C110" s="1265"/>
      <c r="D110" s="1265"/>
      <c r="E110" s="1265"/>
      <c r="F110" s="1265"/>
      <c r="G110" s="1265"/>
      <c r="H110" s="1265"/>
      <c r="I110" s="1265"/>
      <c r="J110" s="1265"/>
      <c r="K110" s="1265"/>
      <c r="L110" s="1265"/>
      <c r="M110" s="1265"/>
      <c r="N110" s="1265"/>
      <c r="O110" s="1265"/>
      <c r="P110" s="1265"/>
      <c r="Q110" s="1265"/>
      <c r="R110" s="1265"/>
      <c r="S110" s="1265"/>
      <c r="T110" s="1265"/>
      <c r="U110" s="1265"/>
      <c r="V110" s="1265"/>
      <c r="W110" s="1265"/>
      <c r="X110" s="1265"/>
      <c r="Y110" s="1265"/>
      <c r="Z110" s="1265"/>
    </row>
    <row r="111" ht="27.0" customHeight="1">
      <c r="A111" s="1265"/>
      <c r="B111" s="1265"/>
      <c r="C111" s="1265"/>
      <c r="D111" s="1265"/>
      <c r="E111" s="1265"/>
      <c r="F111" s="1265"/>
      <c r="G111" s="1265"/>
      <c r="H111" s="1265"/>
      <c r="I111" s="1265"/>
      <c r="J111" s="1265"/>
      <c r="K111" s="1265"/>
      <c r="L111" s="1265"/>
      <c r="M111" s="1265"/>
      <c r="N111" s="1265"/>
      <c r="O111" s="1265"/>
      <c r="P111" s="1265"/>
      <c r="Q111" s="1265"/>
      <c r="R111" s="1265"/>
      <c r="S111" s="1265"/>
      <c r="T111" s="1265"/>
      <c r="U111" s="1265"/>
      <c r="V111" s="1265"/>
      <c r="W111" s="1265"/>
      <c r="X111" s="1265"/>
      <c r="Y111" s="1265"/>
      <c r="Z111" s="1265"/>
    </row>
    <row r="112" ht="27.0" customHeight="1">
      <c r="A112" s="1265"/>
      <c r="B112" s="1265"/>
      <c r="C112" s="1265"/>
      <c r="D112" s="1265"/>
      <c r="E112" s="1265"/>
      <c r="F112" s="1265"/>
      <c r="G112" s="1265"/>
      <c r="H112" s="1265"/>
      <c r="I112" s="1265"/>
      <c r="J112" s="1265"/>
      <c r="K112" s="1265"/>
      <c r="L112" s="1265"/>
      <c r="M112" s="1265"/>
      <c r="N112" s="1265"/>
      <c r="O112" s="1265"/>
      <c r="P112" s="1265"/>
      <c r="Q112" s="1265"/>
      <c r="R112" s="1265"/>
      <c r="S112" s="1265"/>
      <c r="T112" s="1265"/>
      <c r="U112" s="1265"/>
      <c r="V112" s="1265"/>
      <c r="W112" s="1265"/>
      <c r="X112" s="1265"/>
      <c r="Y112" s="1265"/>
      <c r="Z112" s="1265"/>
    </row>
    <row r="113" ht="27.0" customHeight="1">
      <c r="A113" s="1265"/>
      <c r="B113" s="1265"/>
      <c r="C113" s="1265"/>
      <c r="D113" s="1265"/>
      <c r="E113" s="1265"/>
      <c r="F113" s="1265"/>
      <c r="G113" s="1265"/>
      <c r="H113" s="1265"/>
      <c r="I113" s="1265"/>
      <c r="J113" s="1265"/>
      <c r="K113" s="1265"/>
      <c r="L113" s="1265"/>
      <c r="M113" s="1265"/>
      <c r="N113" s="1265"/>
      <c r="O113" s="1265"/>
      <c r="P113" s="1265"/>
      <c r="Q113" s="1265"/>
      <c r="R113" s="1265"/>
      <c r="S113" s="1265"/>
      <c r="T113" s="1265"/>
      <c r="U113" s="1265"/>
      <c r="V113" s="1265"/>
      <c r="W113" s="1265"/>
      <c r="X113" s="1265"/>
      <c r="Y113" s="1265"/>
      <c r="Z113" s="1265"/>
    </row>
    <row r="114" ht="27.0" customHeight="1">
      <c r="A114" s="1265"/>
      <c r="B114" s="1265"/>
      <c r="C114" s="1265"/>
      <c r="D114" s="1265"/>
      <c r="E114" s="1265"/>
      <c r="F114" s="1265"/>
      <c r="G114" s="1265"/>
      <c r="H114" s="1265"/>
      <c r="I114" s="1265"/>
      <c r="J114" s="1265"/>
      <c r="K114" s="1265"/>
      <c r="L114" s="1265"/>
      <c r="M114" s="1265"/>
      <c r="N114" s="1265"/>
      <c r="O114" s="1265"/>
      <c r="P114" s="1265"/>
      <c r="Q114" s="1265"/>
      <c r="R114" s="1265"/>
      <c r="S114" s="1265"/>
      <c r="T114" s="1265"/>
      <c r="U114" s="1265"/>
      <c r="V114" s="1265"/>
      <c r="W114" s="1265"/>
      <c r="X114" s="1265"/>
      <c r="Y114" s="1265"/>
      <c r="Z114" s="1265"/>
    </row>
    <row r="115" ht="27.0" customHeight="1">
      <c r="A115" s="1265"/>
      <c r="B115" s="1265"/>
      <c r="C115" s="1265"/>
      <c r="D115" s="1265"/>
      <c r="E115" s="1265"/>
      <c r="F115" s="1265"/>
      <c r="G115" s="1265"/>
      <c r="H115" s="1265"/>
      <c r="I115" s="1265"/>
      <c r="J115" s="1265"/>
      <c r="K115" s="1265"/>
      <c r="L115" s="1265"/>
      <c r="M115" s="1265"/>
      <c r="N115" s="1265"/>
      <c r="O115" s="1265"/>
      <c r="P115" s="1265"/>
      <c r="Q115" s="1265"/>
      <c r="R115" s="1265"/>
      <c r="S115" s="1265"/>
      <c r="T115" s="1265"/>
      <c r="U115" s="1265"/>
      <c r="V115" s="1265"/>
      <c r="W115" s="1265"/>
      <c r="X115" s="1265"/>
      <c r="Y115" s="1265"/>
      <c r="Z115" s="1265"/>
    </row>
    <row r="116" ht="27.0" customHeight="1">
      <c r="A116" s="1265"/>
      <c r="B116" s="1265"/>
      <c r="C116" s="1265"/>
      <c r="D116" s="1265"/>
      <c r="E116" s="1265"/>
      <c r="F116" s="1265"/>
      <c r="G116" s="1265"/>
      <c r="H116" s="1265"/>
      <c r="I116" s="1265"/>
      <c r="J116" s="1265"/>
      <c r="K116" s="1265"/>
      <c r="L116" s="1265"/>
      <c r="M116" s="1265"/>
      <c r="N116" s="1265"/>
      <c r="O116" s="1265"/>
      <c r="P116" s="1265"/>
      <c r="Q116" s="1265"/>
      <c r="R116" s="1265"/>
      <c r="S116" s="1265"/>
      <c r="T116" s="1265"/>
      <c r="U116" s="1265"/>
      <c r="V116" s="1265"/>
      <c r="W116" s="1265"/>
      <c r="X116" s="1265"/>
      <c r="Y116" s="1265"/>
      <c r="Z116" s="1265"/>
    </row>
    <row r="117" ht="27.0" customHeight="1">
      <c r="A117" s="1265"/>
      <c r="B117" s="1265"/>
      <c r="C117" s="1265"/>
      <c r="D117" s="1265"/>
      <c r="E117" s="1265"/>
      <c r="F117" s="1265"/>
      <c r="G117" s="1265"/>
      <c r="H117" s="1265"/>
      <c r="I117" s="1265"/>
      <c r="J117" s="1265"/>
      <c r="K117" s="1265"/>
      <c r="L117" s="1265"/>
      <c r="M117" s="1265"/>
      <c r="N117" s="1265"/>
      <c r="O117" s="1265"/>
      <c r="P117" s="1265"/>
      <c r="Q117" s="1265"/>
      <c r="R117" s="1265"/>
      <c r="S117" s="1265"/>
      <c r="T117" s="1265"/>
      <c r="U117" s="1265"/>
      <c r="V117" s="1265"/>
      <c r="W117" s="1265"/>
      <c r="X117" s="1265"/>
      <c r="Y117" s="1265"/>
      <c r="Z117" s="1265"/>
    </row>
    <row r="118" ht="27.0" customHeight="1">
      <c r="A118" s="1265"/>
      <c r="B118" s="1265"/>
      <c r="C118" s="1265"/>
      <c r="D118" s="1265"/>
      <c r="E118" s="1265"/>
      <c r="F118" s="1265"/>
      <c r="G118" s="1265"/>
      <c r="H118" s="1265"/>
      <c r="I118" s="1265"/>
      <c r="J118" s="1265"/>
      <c r="K118" s="1265"/>
      <c r="L118" s="1265"/>
      <c r="M118" s="1265"/>
      <c r="N118" s="1265"/>
      <c r="O118" s="1265"/>
      <c r="P118" s="1265"/>
      <c r="Q118" s="1265"/>
      <c r="R118" s="1265"/>
      <c r="S118" s="1265"/>
      <c r="T118" s="1265"/>
      <c r="U118" s="1265"/>
      <c r="V118" s="1265"/>
      <c r="W118" s="1265"/>
      <c r="X118" s="1265"/>
      <c r="Y118" s="1265"/>
      <c r="Z118" s="1265"/>
    </row>
    <row r="119" ht="27.0" customHeight="1">
      <c r="A119" s="1265"/>
      <c r="B119" s="1265"/>
      <c r="C119" s="1265"/>
      <c r="D119" s="1265"/>
      <c r="E119" s="1265"/>
      <c r="F119" s="1265"/>
      <c r="G119" s="1265"/>
      <c r="H119" s="1265"/>
      <c r="I119" s="1265"/>
      <c r="J119" s="1265"/>
      <c r="K119" s="1265"/>
      <c r="L119" s="1265"/>
      <c r="M119" s="1265"/>
      <c r="N119" s="1265"/>
      <c r="O119" s="1265"/>
      <c r="P119" s="1265"/>
      <c r="Q119" s="1265"/>
      <c r="R119" s="1265"/>
      <c r="S119" s="1265"/>
      <c r="T119" s="1265"/>
      <c r="U119" s="1265"/>
      <c r="V119" s="1265"/>
      <c r="W119" s="1265"/>
      <c r="X119" s="1265"/>
      <c r="Y119" s="1265"/>
      <c r="Z119" s="1265"/>
    </row>
    <row r="120" ht="27.0" customHeight="1">
      <c r="A120" s="1265"/>
      <c r="B120" s="1265"/>
      <c r="C120" s="1265"/>
      <c r="D120" s="1265"/>
      <c r="E120" s="1265"/>
      <c r="F120" s="1265"/>
      <c r="G120" s="1265"/>
      <c r="H120" s="1265"/>
      <c r="I120" s="1265"/>
      <c r="J120" s="1265"/>
      <c r="K120" s="1265"/>
      <c r="L120" s="1265"/>
      <c r="M120" s="1265"/>
      <c r="N120" s="1265"/>
      <c r="O120" s="1265"/>
      <c r="P120" s="1265"/>
      <c r="Q120" s="1265"/>
      <c r="R120" s="1265"/>
      <c r="S120" s="1265"/>
      <c r="T120" s="1265"/>
      <c r="U120" s="1265"/>
      <c r="V120" s="1265"/>
      <c r="W120" s="1265"/>
      <c r="X120" s="1265"/>
      <c r="Y120" s="1265"/>
      <c r="Z120" s="1265"/>
    </row>
    <row r="121" ht="27.0" customHeight="1">
      <c r="A121" s="1265"/>
      <c r="B121" s="1265"/>
      <c r="C121" s="1265"/>
      <c r="D121" s="1265"/>
      <c r="E121" s="1265"/>
      <c r="F121" s="1265"/>
      <c r="G121" s="1265"/>
      <c r="H121" s="1265"/>
      <c r="I121" s="1265"/>
      <c r="J121" s="1265"/>
      <c r="K121" s="1265"/>
      <c r="L121" s="1265"/>
      <c r="M121" s="1265"/>
      <c r="N121" s="1265"/>
      <c r="O121" s="1265"/>
      <c r="P121" s="1265"/>
      <c r="Q121" s="1265"/>
      <c r="R121" s="1265"/>
      <c r="S121" s="1265"/>
      <c r="T121" s="1265"/>
      <c r="U121" s="1265"/>
      <c r="V121" s="1265"/>
      <c r="W121" s="1265"/>
      <c r="X121" s="1265"/>
      <c r="Y121" s="1265"/>
      <c r="Z121" s="1265"/>
    </row>
    <row r="122" ht="27.0" customHeight="1">
      <c r="A122" s="1265"/>
      <c r="B122" s="1265"/>
      <c r="C122" s="1265"/>
      <c r="D122" s="1265"/>
      <c r="E122" s="1265"/>
      <c r="F122" s="1265"/>
      <c r="G122" s="1265"/>
      <c r="H122" s="1265"/>
      <c r="I122" s="1265"/>
      <c r="J122" s="1265"/>
      <c r="K122" s="1265"/>
      <c r="L122" s="1265"/>
      <c r="M122" s="1265"/>
      <c r="N122" s="1265"/>
      <c r="O122" s="1265"/>
      <c r="P122" s="1265"/>
      <c r="Q122" s="1265"/>
      <c r="R122" s="1265"/>
      <c r="S122" s="1265"/>
      <c r="T122" s="1265"/>
      <c r="U122" s="1265"/>
      <c r="V122" s="1265"/>
      <c r="W122" s="1265"/>
      <c r="X122" s="1265"/>
      <c r="Y122" s="1265"/>
      <c r="Z122" s="1265"/>
    </row>
    <row r="123" ht="27.0" customHeight="1">
      <c r="A123" s="1265"/>
      <c r="B123" s="1265"/>
      <c r="C123" s="1265"/>
      <c r="D123" s="1265"/>
      <c r="E123" s="1265"/>
      <c r="F123" s="1265"/>
      <c r="G123" s="1265"/>
      <c r="H123" s="1265"/>
      <c r="I123" s="1265"/>
      <c r="J123" s="1265"/>
      <c r="K123" s="1265"/>
      <c r="L123" s="1265"/>
      <c r="M123" s="1265"/>
      <c r="N123" s="1265"/>
      <c r="O123" s="1265"/>
      <c r="P123" s="1265"/>
      <c r="Q123" s="1265"/>
      <c r="R123" s="1265"/>
      <c r="S123" s="1265"/>
      <c r="T123" s="1265"/>
      <c r="U123" s="1265"/>
      <c r="V123" s="1265"/>
      <c r="W123" s="1265"/>
      <c r="X123" s="1265"/>
      <c r="Y123" s="1265"/>
      <c r="Z123" s="1265"/>
    </row>
    <row r="124" ht="27.0" customHeight="1">
      <c r="A124" s="1265"/>
      <c r="B124" s="1265"/>
      <c r="C124" s="1265"/>
      <c r="D124" s="1265"/>
      <c r="E124" s="1265"/>
      <c r="F124" s="1265"/>
      <c r="G124" s="1265"/>
      <c r="H124" s="1265"/>
      <c r="I124" s="1265"/>
      <c r="J124" s="1265"/>
      <c r="K124" s="1265"/>
      <c r="L124" s="1265"/>
      <c r="M124" s="1265"/>
      <c r="N124" s="1265"/>
      <c r="O124" s="1265"/>
      <c r="P124" s="1265"/>
      <c r="Q124" s="1265"/>
      <c r="R124" s="1265"/>
      <c r="S124" s="1265"/>
      <c r="T124" s="1265"/>
      <c r="U124" s="1265"/>
      <c r="V124" s="1265"/>
      <c r="W124" s="1265"/>
      <c r="X124" s="1265"/>
      <c r="Y124" s="1265"/>
      <c r="Z124" s="1265"/>
    </row>
    <row r="125" ht="27.0" customHeight="1">
      <c r="A125" s="1265"/>
      <c r="B125" s="1265"/>
      <c r="C125" s="1265"/>
      <c r="D125" s="1265"/>
      <c r="E125" s="1265"/>
      <c r="F125" s="1265"/>
      <c r="G125" s="1265"/>
      <c r="H125" s="1265"/>
      <c r="I125" s="1265"/>
      <c r="J125" s="1265"/>
      <c r="K125" s="1265"/>
      <c r="L125" s="1265"/>
      <c r="M125" s="1265"/>
      <c r="N125" s="1265"/>
      <c r="O125" s="1265"/>
      <c r="P125" s="1265"/>
      <c r="Q125" s="1265"/>
      <c r="R125" s="1265"/>
      <c r="S125" s="1265"/>
      <c r="T125" s="1265"/>
      <c r="U125" s="1265"/>
      <c r="V125" s="1265"/>
      <c r="W125" s="1265"/>
      <c r="X125" s="1265"/>
      <c r="Y125" s="1265"/>
      <c r="Z125" s="1265"/>
    </row>
    <row r="126" ht="27.0" customHeight="1">
      <c r="A126" s="1265"/>
      <c r="B126" s="1265"/>
      <c r="C126" s="1265"/>
      <c r="D126" s="1265"/>
      <c r="E126" s="1265"/>
      <c r="F126" s="1265"/>
      <c r="G126" s="1265"/>
      <c r="H126" s="1265"/>
      <c r="I126" s="1265"/>
      <c r="J126" s="1265"/>
      <c r="K126" s="1265"/>
      <c r="L126" s="1265"/>
      <c r="M126" s="1265"/>
      <c r="N126" s="1265"/>
      <c r="O126" s="1265"/>
      <c r="P126" s="1265"/>
      <c r="Q126" s="1265"/>
      <c r="R126" s="1265"/>
      <c r="S126" s="1265"/>
      <c r="T126" s="1265"/>
      <c r="U126" s="1265"/>
      <c r="V126" s="1265"/>
      <c r="W126" s="1265"/>
      <c r="X126" s="1265"/>
      <c r="Y126" s="1265"/>
      <c r="Z126" s="1265"/>
    </row>
    <row r="127" ht="27.0" customHeight="1">
      <c r="A127" s="1265"/>
      <c r="B127" s="1265"/>
      <c r="C127" s="1265"/>
      <c r="D127" s="1265"/>
      <c r="E127" s="1265"/>
      <c r="F127" s="1265"/>
      <c r="G127" s="1265"/>
      <c r="H127" s="1265"/>
      <c r="I127" s="1265"/>
      <c r="J127" s="1265"/>
      <c r="K127" s="1265"/>
      <c r="L127" s="1265"/>
      <c r="M127" s="1265"/>
      <c r="N127" s="1265"/>
      <c r="O127" s="1265"/>
      <c r="P127" s="1265"/>
      <c r="Q127" s="1265"/>
      <c r="R127" s="1265"/>
      <c r="S127" s="1265"/>
      <c r="T127" s="1265"/>
      <c r="U127" s="1265"/>
      <c r="V127" s="1265"/>
      <c r="W127" s="1265"/>
      <c r="X127" s="1265"/>
      <c r="Y127" s="1265"/>
      <c r="Z127" s="1265"/>
    </row>
    <row r="128" ht="27.0" customHeight="1">
      <c r="A128" s="1265"/>
      <c r="B128" s="1265"/>
      <c r="C128" s="1265"/>
      <c r="D128" s="1265"/>
      <c r="E128" s="1265"/>
      <c r="F128" s="1265"/>
      <c r="G128" s="1265"/>
      <c r="H128" s="1265"/>
      <c r="I128" s="1265"/>
      <c r="J128" s="1265"/>
      <c r="K128" s="1265"/>
      <c r="L128" s="1265"/>
      <c r="M128" s="1265"/>
      <c r="N128" s="1265"/>
      <c r="O128" s="1265"/>
      <c r="P128" s="1265"/>
      <c r="Q128" s="1265"/>
      <c r="R128" s="1265"/>
      <c r="S128" s="1265"/>
      <c r="T128" s="1265"/>
      <c r="U128" s="1265"/>
      <c r="V128" s="1265"/>
      <c r="W128" s="1265"/>
      <c r="X128" s="1265"/>
      <c r="Y128" s="1265"/>
      <c r="Z128" s="1265"/>
    </row>
    <row r="129" ht="27.0" customHeight="1">
      <c r="A129" s="1265"/>
      <c r="B129" s="1265"/>
      <c r="C129" s="1265"/>
      <c r="D129" s="1265"/>
      <c r="E129" s="1265"/>
      <c r="F129" s="1265"/>
      <c r="G129" s="1265"/>
      <c r="H129" s="1265"/>
      <c r="I129" s="1265"/>
      <c r="J129" s="1265"/>
      <c r="K129" s="1265"/>
      <c r="L129" s="1265"/>
      <c r="M129" s="1265"/>
      <c r="N129" s="1265"/>
      <c r="O129" s="1265"/>
      <c r="P129" s="1265"/>
      <c r="Q129" s="1265"/>
      <c r="R129" s="1265"/>
      <c r="S129" s="1265"/>
      <c r="T129" s="1265"/>
      <c r="U129" s="1265"/>
      <c r="V129" s="1265"/>
      <c r="W129" s="1265"/>
      <c r="X129" s="1265"/>
      <c r="Y129" s="1265"/>
      <c r="Z129" s="1265"/>
    </row>
    <row r="130" ht="27.0" customHeight="1">
      <c r="A130" s="1265"/>
      <c r="B130" s="1265"/>
      <c r="C130" s="1265"/>
      <c r="D130" s="1265"/>
      <c r="E130" s="1265"/>
      <c r="F130" s="1265"/>
      <c r="G130" s="1265"/>
      <c r="H130" s="1265"/>
      <c r="I130" s="1265"/>
      <c r="J130" s="1265"/>
      <c r="K130" s="1265"/>
      <c r="L130" s="1265"/>
      <c r="M130" s="1265"/>
      <c r="N130" s="1265"/>
      <c r="O130" s="1265"/>
      <c r="P130" s="1265"/>
      <c r="Q130" s="1265"/>
      <c r="R130" s="1265"/>
      <c r="S130" s="1265"/>
      <c r="T130" s="1265"/>
      <c r="U130" s="1265"/>
      <c r="V130" s="1265"/>
      <c r="W130" s="1265"/>
      <c r="X130" s="1265"/>
      <c r="Y130" s="1265"/>
      <c r="Z130" s="1265"/>
    </row>
    <row r="131" ht="27.0" customHeight="1">
      <c r="A131" s="1265"/>
      <c r="B131" s="1265"/>
      <c r="C131" s="1265"/>
      <c r="D131" s="1265"/>
      <c r="E131" s="1265"/>
      <c r="F131" s="1265"/>
      <c r="G131" s="1265"/>
      <c r="H131" s="1265"/>
      <c r="I131" s="1265"/>
      <c r="J131" s="1265"/>
      <c r="K131" s="1265"/>
      <c r="L131" s="1265"/>
      <c r="M131" s="1265"/>
      <c r="N131" s="1265"/>
      <c r="O131" s="1265"/>
      <c r="P131" s="1265"/>
      <c r="Q131" s="1265"/>
      <c r="R131" s="1265"/>
      <c r="S131" s="1265"/>
      <c r="T131" s="1265"/>
      <c r="U131" s="1265"/>
      <c r="V131" s="1265"/>
      <c r="W131" s="1265"/>
      <c r="X131" s="1265"/>
      <c r="Y131" s="1265"/>
      <c r="Z131" s="1265"/>
    </row>
    <row r="132" ht="27.0" customHeight="1">
      <c r="A132" s="1265"/>
      <c r="B132" s="1265"/>
      <c r="C132" s="1265"/>
      <c r="D132" s="1265"/>
      <c r="E132" s="1265"/>
      <c r="F132" s="1265"/>
      <c r="G132" s="1265"/>
      <c r="H132" s="1265"/>
      <c r="I132" s="1265"/>
      <c r="J132" s="1265"/>
      <c r="K132" s="1265"/>
      <c r="L132" s="1265"/>
      <c r="M132" s="1265"/>
      <c r="N132" s="1265"/>
      <c r="O132" s="1265"/>
      <c r="P132" s="1265"/>
      <c r="Q132" s="1265"/>
      <c r="R132" s="1265"/>
      <c r="S132" s="1265"/>
      <c r="T132" s="1265"/>
      <c r="U132" s="1265"/>
      <c r="V132" s="1265"/>
      <c r="W132" s="1265"/>
      <c r="X132" s="1265"/>
      <c r="Y132" s="1265"/>
      <c r="Z132" s="1265"/>
    </row>
    <row r="133" ht="27.0" customHeight="1">
      <c r="A133" s="1265"/>
      <c r="B133" s="1265"/>
      <c r="C133" s="1265"/>
      <c r="D133" s="1265"/>
      <c r="E133" s="1265"/>
      <c r="F133" s="1265"/>
      <c r="G133" s="1265"/>
      <c r="H133" s="1265"/>
      <c r="I133" s="1265"/>
      <c r="J133" s="1265"/>
      <c r="K133" s="1265"/>
      <c r="L133" s="1265"/>
      <c r="M133" s="1265"/>
      <c r="N133" s="1265"/>
      <c r="O133" s="1265"/>
      <c r="P133" s="1265"/>
      <c r="Q133" s="1265"/>
      <c r="R133" s="1265"/>
      <c r="S133" s="1265"/>
      <c r="T133" s="1265"/>
      <c r="U133" s="1265"/>
      <c r="V133" s="1265"/>
      <c r="W133" s="1265"/>
      <c r="X133" s="1265"/>
      <c r="Y133" s="1265"/>
      <c r="Z133" s="1265"/>
    </row>
    <row r="134" ht="27.0" customHeight="1">
      <c r="A134" s="1265"/>
      <c r="B134" s="1265"/>
      <c r="C134" s="1265"/>
      <c r="D134" s="1265"/>
      <c r="E134" s="1265"/>
      <c r="F134" s="1265"/>
      <c r="G134" s="1265"/>
      <c r="H134" s="1265"/>
      <c r="I134" s="1265"/>
      <c r="J134" s="1265"/>
      <c r="K134" s="1265"/>
      <c r="L134" s="1265"/>
      <c r="M134" s="1265"/>
      <c r="N134" s="1265"/>
      <c r="O134" s="1265"/>
      <c r="P134" s="1265"/>
      <c r="Q134" s="1265"/>
      <c r="R134" s="1265"/>
      <c r="S134" s="1265"/>
      <c r="T134" s="1265"/>
      <c r="U134" s="1265"/>
      <c r="V134" s="1265"/>
      <c r="W134" s="1265"/>
      <c r="X134" s="1265"/>
      <c r="Y134" s="1265"/>
      <c r="Z134" s="1265"/>
    </row>
    <row r="135" ht="27.0" customHeight="1">
      <c r="A135" s="1265"/>
      <c r="B135" s="1265"/>
      <c r="C135" s="1265"/>
      <c r="D135" s="1265"/>
      <c r="E135" s="1265"/>
      <c r="F135" s="1265"/>
      <c r="G135" s="1265"/>
      <c r="H135" s="1265"/>
      <c r="I135" s="1265"/>
      <c r="J135" s="1265"/>
      <c r="K135" s="1265"/>
      <c r="L135" s="1265"/>
      <c r="M135" s="1265"/>
      <c r="N135" s="1265"/>
      <c r="O135" s="1265"/>
      <c r="P135" s="1265"/>
      <c r="Q135" s="1265"/>
      <c r="R135" s="1265"/>
      <c r="S135" s="1265"/>
      <c r="T135" s="1265"/>
      <c r="U135" s="1265"/>
      <c r="V135" s="1265"/>
      <c r="W135" s="1265"/>
      <c r="X135" s="1265"/>
      <c r="Y135" s="1265"/>
      <c r="Z135" s="1265"/>
    </row>
    <row r="136" ht="27.0" customHeight="1">
      <c r="A136" s="1265"/>
      <c r="B136" s="1265"/>
      <c r="C136" s="1265"/>
      <c r="D136" s="1265"/>
      <c r="E136" s="1265"/>
      <c r="F136" s="1265"/>
      <c r="G136" s="1265"/>
      <c r="H136" s="1265"/>
      <c r="I136" s="1265"/>
      <c r="J136" s="1265"/>
      <c r="K136" s="1265"/>
      <c r="L136" s="1265"/>
      <c r="M136" s="1265"/>
      <c r="N136" s="1265"/>
      <c r="O136" s="1265"/>
      <c r="P136" s="1265"/>
      <c r="Q136" s="1265"/>
      <c r="R136" s="1265"/>
      <c r="S136" s="1265"/>
      <c r="T136" s="1265"/>
      <c r="U136" s="1265"/>
      <c r="V136" s="1265"/>
      <c r="W136" s="1265"/>
      <c r="X136" s="1265"/>
      <c r="Y136" s="1265"/>
      <c r="Z136" s="1265"/>
    </row>
    <row r="137" ht="27.0" customHeight="1">
      <c r="A137" s="1265"/>
      <c r="B137" s="1265"/>
      <c r="C137" s="1265"/>
      <c r="D137" s="1265"/>
      <c r="E137" s="1265"/>
      <c r="F137" s="1265"/>
      <c r="G137" s="1265"/>
      <c r="H137" s="1265"/>
      <c r="I137" s="1265"/>
      <c r="J137" s="1265"/>
      <c r="K137" s="1265"/>
      <c r="L137" s="1265"/>
      <c r="M137" s="1265"/>
      <c r="N137" s="1265"/>
      <c r="O137" s="1265"/>
      <c r="P137" s="1265"/>
      <c r="Q137" s="1265"/>
      <c r="R137" s="1265"/>
      <c r="S137" s="1265"/>
      <c r="T137" s="1265"/>
      <c r="U137" s="1265"/>
      <c r="V137" s="1265"/>
      <c r="W137" s="1265"/>
      <c r="X137" s="1265"/>
      <c r="Y137" s="1265"/>
      <c r="Z137" s="1265"/>
    </row>
    <row r="138" ht="27.0" customHeight="1">
      <c r="A138" s="1265"/>
      <c r="B138" s="1265"/>
      <c r="C138" s="1265"/>
      <c r="D138" s="1265"/>
      <c r="E138" s="1265"/>
      <c r="F138" s="1265"/>
      <c r="G138" s="1265"/>
      <c r="H138" s="1265"/>
      <c r="I138" s="1265"/>
      <c r="J138" s="1265"/>
      <c r="K138" s="1265"/>
      <c r="L138" s="1265"/>
      <c r="M138" s="1265"/>
      <c r="N138" s="1265"/>
      <c r="O138" s="1265"/>
      <c r="P138" s="1265"/>
      <c r="Q138" s="1265"/>
      <c r="R138" s="1265"/>
      <c r="S138" s="1265"/>
      <c r="T138" s="1265"/>
      <c r="U138" s="1265"/>
      <c r="V138" s="1265"/>
      <c r="W138" s="1265"/>
      <c r="X138" s="1265"/>
      <c r="Y138" s="1265"/>
      <c r="Z138" s="1265"/>
    </row>
    <row r="139" ht="27.0" customHeight="1">
      <c r="A139" s="1265"/>
      <c r="B139" s="1265"/>
      <c r="C139" s="1265"/>
      <c r="D139" s="1265"/>
      <c r="E139" s="1265"/>
      <c r="F139" s="1265"/>
      <c r="G139" s="1265"/>
      <c r="H139" s="1265"/>
      <c r="I139" s="1265"/>
      <c r="J139" s="1265"/>
      <c r="K139" s="1265"/>
      <c r="L139" s="1265"/>
      <c r="M139" s="1265"/>
      <c r="N139" s="1265"/>
      <c r="O139" s="1265"/>
      <c r="P139" s="1265"/>
      <c r="Q139" s="1265"/>
      <c r="R139" s="1265"/>
      <c r="S139" s="1265"/>
      <c r="T139" s="1265"/>
      <c r="U139" s="1265"/>
      <c r="V139" s="1265"/>
      <c r="W139" s="1265"/>
      <c r="X139" s="1265"/>
      <c r="Y139" s="1265"/>
      <c r="Z139" s="1265"/>
    </row>
    <row r="140" ht="27.0" customHeight="1">
      <c r="A140" s="1265"/>
      <c r="B140" s="1265"/>
      <c r="C140" s="1265"/>
      <c r="D140" s="1265"/>
      <c r="E140" s="1265"/>
      <c r="F140" s="1265"/>
      <c r="G140" s="1265"/>
      <c r="H140" s="1265"/>
      <c r="I140" s="1265"/>
      <c r="J140" s="1265"/>
      <c r="K140" s="1265"/>
      <c r="L140" s="1265"/>
      <c r="M140" s="1265"/>
      <c r="N140" s="1265"/>
      <c r="O140" s="1265"/>
      <c r="P140" s="1265"/>
      <c r="Q140" s="1265"/>
      <c r="R140" s="1265"/>
      <c r="S140" s="1265"/>
      <c r="T140" s="1265"/>
      <c r="U140" s="1265"/>
      <c r="V140" s="1265"/>
      <c r="W140" s="1265"/>
      <c r="X140" s="1265"/>
      <c r="Y140" s="1265"/>
      <c r="Z140" s="1265"/>
    </row>
    <row r="141" ht="27.0" customHeight="1">
      <c r="A141" s="1265"/>
      <c r="B141" s="1265"/>
      <c r="C141" s="1265"/>
      <c r="D141" s="1265"/>
      <c r="E141" s="1265"/>
      <c r="F141" s="1265"/>
      <c r="G141" s="1265"/>
      <c r="H141" s="1265"/>
      <c r="I141" s="1265"/>
      <c r="J141" s="1265"/>
      <c r="K141" s="1265"/>
      <c r="L141" s="1265"/>
      <c r="M141" s="1265"/>
      <c r="N141" s="1265"/>
      <c r="O141" s="1265"/>
      <c r="P141" s="1265"/>
      <c r="Q141" s="1265"/>
      <c r="R141" s="1265"/>
      <c r="S141" s="1265"/>
      <c r="T141" s="1265"/>
      <c r="U141" s="1265"/>
      <c r="V141" s="1265"/>
      <c r="W141" s="1265"/>
      <c r="X141" s="1265"/>
      <c r="Y141" s="1265"/>
      <c r="Z141" s="1265"/>
    </row>
    <row r="142" ht="27.0" customHeight="1">
      <c r="A142" s="1265"/>
      <c r="B142" s="1265"/>
      <c r="C142" s="1265"/>
      <c r="D142" s="1265"/>
      <c r="E142" s="1265"/>
      <c r="F142" s="1265"/>
      <c r="G142" s="1265"/>
      <c r="H142" s="1265"/>
      <c r="I142" s="1265"/>
      <c r="J142" s="1265"/>
      <c r="K142" s="1265"/>
      <c r="L142" s="1265"/>
      <c r="M142" s="1265"/>
      <c r="N142" s="1265"/>
      <c r="O142" s="1265"/>
      <c r="P142" s="1265"/>
      <c r="Q142" s="1265"/>
      <c r="R142" s="1265"/>
      <c r="S142" s="1265"/>
      <c r="T142" s="1265"/>
      <c r="U142" s="1265"/>
      <c r="V142" s="1265"/>
      <c r="W142" s="1265"/>
      <c r="X142" s="1265"/>
      <c r="Y142" s="1265"/>
      <c r="Z142" s="1265"/>
    </row>
    <row r="143" ht="27.0" customHeight="1">
      <c r="A143" s="1265"/>
      <c r="B143" s="1265"/>
      <c r="C143" s="1265"/>
      <c r="D143" s="1265"/>
      <c r="E143" s="1265"/>
      <c r="F143" s="1265"/>
      <c r="G143" s="1265"/>
      <c r="H143" s="1265"/>
      <c r="I143" s="1265"/>
      <c r="J143" s="1265"/>
      <c r="K143" s="1265"/>
      <c r="L143" s="1265"/>
      <c r="M143" s="1265"/>
      <c r="N143" s="1265"/>
      <c r="O143" s="1265"/>
      <c r="P143" s="1265"/>
      <c r="Q143" s="1265"/>
      <c r="R143" s="1265"/>
      <c r="S143" s="1265"/>
      <c r="T143" s="1265"/>
      <c r="U143" s="1265"/>
      <c r="V143" s="1265"/>
      <c r="W143" s="1265"/>
      <c r="X143" s="1265"/>
      <c r="Y143" s="1265"/>
      <c r="Z143" s="1265"/>
    </row>
    <row r="144" ht="27.0" customHeight="1">
      <c r="A144" s="1265"/>
      <c r="B144" s="1265"/>
      <c r="C144" s="1265"/>
      <c r="D144" s="1265"/>
      <c r="E144" s="1265"/>
      <c r="F144" s="1265"/>
      <c r="G144" s="1265"/>
      <c r="H144" s="1265"/>
      <c r="I144" s="1265"/>
      <c r="J144" s="1265"/>
      <c r="K144" s="1265"/>
      <c r="L144" s="1265"/>
      <c r="M144" s="1265"/>
      <c r="N144" s="1265"/>
      <c r="O144" s="1265"/>
      <c r="P144" s="1265"/>
      <c r="Q144" s="1265"/>
      <c r="R144" s="1265"/>
      <c r="S144" s="1265"/>
      <c r="T144" s="1265"/>
      <c r="U144" s="1265"/>
      <c r="V144" s="1265"/>
      <c r="W144" s="1265"/>
      <c r="X144" s="1265"/>
      <c r="Y144" s="1265"/>
      <c r="Z144" s="1265"/>
    </row>
    <row r="145" ht="27.0" customHeight="1">
      <c r="A145" s="1265"/>
      <c r="B145" s="1265"/>
      <c r="C145" s="1265"/>
      <c r="D145" s="1265"/>
      <c r="E145" s="1265"/>
      <c r="F145" s="1265"/>
      <c r="G145" s="1265"/>
      <c r="H145" s="1265"/>
      <c r="I145" s="1265"/>
      <c r="J145" s="1265"/>
      <c r="K145" s="1265"/>
      <c r="L145" s="1265"/>
      <c r="M145" s="1265"/>
      <c r="N145" s="1265"/>
      <c r="O145" s="1265"/>
      <c r="P145" s="1265"/>
      <c r="Q145" s="1265"/>
      <c r="R145" s="1265"/>
      <c r="S145" s="1265"/>
      <c r="T145" s="1265"/>
      <c r="U145" s="1265"/>
      <c r="V145" s="1265"/>
      <c r="W145" s="1265"/>
      <c r="X145" s="1265"/>
      <c r="Y145" s="1265"/>
      <c r="Z145" s="1265"/>
    </row>
    <row r="146" ht="27.0" customHeight="1">
      <c r="A146" s="1265"/>
      <c r="B146" s="1265"/>
      <c r="C146" s="1265"/>
      <c r="D146" s="1265"/>
      <c r="E146" s="1265"/>
      <c r="F146" s="1265"/>
      <c r="G146" s="1265"/>
      <c r="H146" s="1265"/>
      <c r="I146" s="1265"/>
      <c r="J146" s="1265"/>
      <c r="K146" s="1265"/>
      <c r="L146" s="1265"/>
      <c r="M146" s="1265"/>
      <c r="N146" s="1265"/>
      <c r="O146" s="1265"/>
      <c r="P146" s="1265"/>
      <c r="Q146" s="1265"/>
      <c r="R146" s="1265"/>
      <c r="S146" s="1265"/>
      <c r="T146" s="1265"/>
      <c r="U146" s="1265"/>
      <c r="V146" s="1265"/>
      <c r="W146" s="1265"/>
      <c r="X146" s="1265"/>
      <c r="Y146" s="1265"/>
      <c r="Z146" s="1265"/>
    </row>
    <row r="147" ht="27.0" customHeight="1">
      <c r="A147" s="1265"/>
      <c r="B147" s="1265"/>
      <c r="C147" s="1265"/>
      <c r="D147" s="1265"/>
      <c r="E147" s="1265"/>
      <c r="F147" s="1265"/>
      <c r="G147" s="1265"/>
      <c r="H147" s="1265"/>
      <c r="I147" s="1265"/>
      <c r="J147" s="1265"/>
      <c r="K147" s="1265"/>
      <c r="L147" s="1265"/>
      <c r="M147" s="1265"/>
      <c r="N147" s="1265"/>
      <c r="O147" s="1265"/>
      <c r="P147" s="1265"/>
      <c r="Q147" s="1265"/>
      <c r="R147" s="1265"/>
      <c r="S147" s="1265"/>
      <c r="T147" s="1265"/>
      <c r="U147" s="1265"/>
      <c r="V147" s="1265"/>
      <c r="W147" s="1265"/>
      <c r="X147" s="1265"/>
      <c r="Y147" s="1265"/>
      <c r="Z147" s="1265"/>
    </row>
    <row r="148" ht="27.0" customHeight="1">
      <c r="A148" s="1265"/>
      <c r="B148" s="1265"/>
      <c r="C148" s="1265"/>
      <c r="D148" s="1265"/>
      <c r="E148" s="1265"/>
      <c r="F148" s="1265"/>
      <c r="G148" s="1265"/>
      <c r="H148" s="1265"/>
      <c r="I148" s="1265"/>
      <c r="J148" s="1265"/>
      <c r="K148" s="1265"/>
      <c r="L148" s="1265"/>
      <c r="M148" s="1265"/>
      <c r="N148" s="1265"/>
      <c r="O148" s="1265"/>
      <c r="P148" s="1265"/>
      <c r="Q148" s="1265"/>
      <c r="R148" s="1265"/>
      <c r="S148" s="1265"/>
      <c r="T148" s="1265"/>
      <c r="U148" s="1265"/>
      <c r="V148" s="1265"/>
      <c r="W148" s="1265"/>
      <c r="X148" s="1265"/>
      <c r="Y148" s="1265"/>
      <c r="Z148" s="1265"/>
    </row>
    <row r="149" ht="27.0" customHeight="1">
      <c r="A149" s="1265"/>
      <c r="B149" s="1265"/>
      <c r="C149" s="1265"/>
      <c r="D149" s="1265"/>
      <c r="E149" s="1265"/>
      <c r="F149" s="1265"/>
      <c r="G149" s="1265"/>
      <c r="H149" s="1265"/>
      <c r="I149" s="1265"/>
      <c r="J149" s="1265"/>
      <c r="K149" s="1265"/>
      <c r="L149" s="1265"/>
      <c r="M149" s="1265"/>
      <c r="N149" s="1265"/>
      <c r="O149" s="1265"/>
      <c r="P149" s="1265"/>
      <c r="Q149" s="1265"/>
      <c r="R149" s="1265"/>
      <c r="S149" s="1265"/>
      <c r="T149" s="1265"/>
      <c r="U149" s="1265"/>
      <c r="V149" s="1265"/>
      <c r="W149" s="1265"/>
      <c r="X149" s="1265"/>
      <c r="Y149" s="1265"/>
      <c r="Z149" s="1265"/>
    </row>
    <row r="150" ht="27.0" customHeight="1">
      <c r="A150" s="1265"/>
      <c r="B150" s="1265"/>
      <c r="C150" s="1265"/>
      <c r="D150" s="1265"/>
      <c r="E150" s="1265"/>
      <c r="F150" s="1265"/>
      <c r="G150" s="1265"/>
      <c r="H150" s="1265"/>
      <c r="I150" s="1265"/>
      <c r="J150" s="1265"/>
      <c r="K150" s="1265"/>
      <c r="L150" s="1265"/>
      <c r="M150" s="1265"/>
      <c r="N150" s="1265"/>
      <c r="O150" s="1265"/>
      <c r="P150" s="1265"/>
      <c r="Q150" s="1265"/>
      <c r="R150" s="1265"/>
      <c r="S150" s="1265"/>
      <c r="T150" s="1265"/>
      <c r="U150" s="1265"/>
      <c r="V150" s="1265"/>
      <c r="W150" s="1265"/>
      <c r="X150" s="1265"/>
      <c r="Y150" s="1265"/>
      <c r="Z150" s="1265"/>
    </row>
    <row r="151" ht="27.0" customHeight="1">
      <c r="A151" s="1265"/>
      <c r="B151" s="1265"/>
      <c r="C151" s="1265"/>
      <c r="D151" s="1265"/>
      <c r="E151" s="1265"/>
      <c r="F151" s="1265"/>
      <c r="G151" s="1265"/>
      <c r="H151" s="1265"/>
      <c r="I151" s="1265"/>
      <c r="J151" s="1265"/>
      <c r="K151" s="1265"/>
      <c r="L151" s="1265"/>
      <c r="M151" s="1265"/>
      <c r="N151" s="1265"/>
      <c r="O151" s="1265"/>
      <c r="P151" s="1265"/>
      <c r="Q151" s="1265"/>
      <c r="R151" s="1265"/>
      <c r="S151" s="1265"/>
      <c r="T151" s="1265"/>
      <c r="U151" s="1265"/>
      <c r="V151" s="1265"/>
      <c r="W151" s="1265"/>
      <c r="X151" s="1265"/>
      <c r="Y151" s="1265"/>
      <c r="Z151" s="1265"/>
    </row>
    <row r="152" ht="27.0" customHeight="1">
      <c r="A152" s="1265"/>
      <c r="B152" s="1265"/>
      <c r="C152" s="1265"/>
      <c r="D152" s="1265"/>
      <c r="E152" s="1265"/>
      <c r="F152" s="1265"/>
      <c r="G152" s="1265"/>
      <c r="H152" s="1265"/>
      <c r="I152" s="1265"/>
      <c r="J152" s="1265"/>
      <c r="K152" s="1265"/>
      <c r="L152" s="1265"/>
      <c r="M152" s="1265"/>
      <c r="N152" s="1265"/>
      <c r="O152" s="1265"/>
      <c r="P152" s="1265"/>
      <c r="Q152" s="1265"/>
      <c r="R152" s="1265"/>
      <c r="S152" s="1265"/>
      <c r="T152" s="1265"/>
      <c r="U152" s="1265"/>
      <c r="V152" s="1265"/>
      <c r="W152" s="1265"/>
      <c r="X152" s="1265"/>
      <c r="Y152" s="1265"/>
      <c r="Z152" s="1265"/>
    </row>
    <row r="153" ht="27.0" customHeight="1">
      <c r="A153" s="1265"/>
      <c r="B153" s="1265"/>
      <c r="C153" s="1265"/>
      <c r="D153" s="1265"/>
      <c r="E153" s="1265"/>
      <c r="F153" s="1265"/>
      <c r="G153" s="1265"/>
      <c r="H153" s="1265"/>
      <c r="I153" s="1265"/>
      <c r="J153" s="1265"/>
      <c r="K153" s="1265"/>
      <c r="L153" s="1265"/>
      <c r="M153" s="1265"/>
      <c r="N153" s="1265"/>
      <c r="O153" s="1265"/>
      <c r="P153" s="1265"/>
      <c r="Q153" s="1265"/>
      <c r="R153" s="1265"/>
      <c r="S153" s="1265"/>
      <c r="T153" s="1265"/>
      <c r="U153" s="1265"/>
      <c r="V153" s="1265"/>
      <c r="W153" s="1265"/>
      <c r="X153" s="1265"/>
      <c r="Y153" s="1265"/>
      <c r="Z153" s="1265"/>
    </row>
    <row r="154" ht="27.0" customHeight="1">
      <c r="A154" s="1265"/>
      <c r="B154" s="1265"/>
      <c r="C154" s="1265"/>
      <c r="D154" s="1265"/>
      <c r="E154" s="1265"/>
      <c r="F154" s="1265"/>
      <c r="G154" s="1265"/>
      <c r="H154" s="1265"/>
      <c r="I154" s="1265"/>
      <c r="J154" s="1265"/>
      <c r="K154" s="1265"/>
      <c r="L154" s="1265"/>
      <c r="M154" s="1265"/>
      <c r="N154" s="1265"/>
      <c r="O154" s="1265"/>
      <c r="P154" s="1265"/>
      <c r="Q154" s="1265"/>
      <c r="R154" s="1265"/>
      <c r="S154" s="1265"/>
      <c r="T154" s="1265"/>
      <c r="U154" s="1265"/>
      <c r="V154" s="1265"/>
      <c r="W154" s="1265"/>
      <c r="X154" s="1265"/>
      <c r="Y154" s="1265"/>
      <c r="Z154" s="1265"/>
    </row>
    <row r="155" ht="27.0" customHeight="1">
      <c r="A155" s="1265"/>
      <c r="B155" s="1265"/>
      <c r="C155" s="1265"/>
      <c r="D155" s="1265"/>
      <c r="E155" s="1265"/>
      <c r="F155" s="1265"/>
      <c r="G155" s="1265"/>
      <c r="H155" s="1265"/>
      <c r="I155" s="1265"/>
      <c r="J155" s="1265"/>
      <c r="K155" s="1265"/>
      <c r="L155" s="1265"/>
      <c r="M155" s="1265"/>
      <c r="N155" s="1265"/>
      <c r="O155" s="1265"/>
      <c r="P155" s="1265"/>
      <c r="Q155" s="1265"/>
      <c r="R155" s="1265"/>
      <c r="S155" s="1265"/>
      <c r="T155" s="1265"/>
      <c r="U155" s="1265"/>
      <c r="V155" s="1265"/>
      <c r="W155" s="1265"/>
      <c r="X155" s="1265"/>
      <c r="Y155" s="1265"/>
      <c r="Z155" s="1265"/>
    </row>
    <row r="156" ht="27.0" customHeight="1">
      <c r="A156" s="1265"/>
      <c r="B156" s="1265"/>
      <c r="C156" s="1265"/>
      <c r="D156" s="1265"/>
      <c r="E156" s="1265"/>
      <c r="F156" s="1265"/>
      <c r="G156" s="1265"/>
      <c r="H156" s="1265"/>
      <c r="I156" s="1265"/>
      <c r="J156" s="1265"/>
      <c r="K156" s="1265"/>
      <c r="L156" s="1265"/>
      <c r="M156" s="1265"/>
      <c r="N156" s="1265"/>
      <c r="O156" s="1265"/>
      <c r="P156" s="1265"/>
      <c r="Q156" s="1265"/>
      <c r="R156" s="1265"/>
      <c r="S156" s="1265"/>
      <c r="T156" s="1265"/>
      <c r="U156" s="1265"/>
      <c r="V156" s="1265"/>
      <c r="W156" s="1265"/>
      <c r="X156" s="1265"/>
      <c r="Y156" s="1265"/>
      <c r="Z156" s="1265"/>
    </row>
    <row r="157" ht="27.0" customHeight="1">
      <c r="A157" s="1265"/>
      <c r="B157" s="1265"/>
      <c r="C157" s="1265"/>
      <c r="D157" s="1265"/>
      <c r="E157" s="1265"/>
      <c r="F157" s="1265"/>
      <c r="G157" s="1265"/>
      <c r="H157" s="1265"/>
      <c r="I157" s="1265"/>
      <c r="J157" s="1265"/>
      <c r="K157" s="1265"/>
      <c r="L157" s="1265"/>
      <c r="M157" s="1265"/>
      <c r="N157" s="1265"/>
      <c r="O157" s="1265"/>
      <c r="P157" s="1265"/>
      <c r="Q157" s="1265"/>
      <c r="R157" s="1265"/>
      <c r="S157" s="1265"/>
      <c r="T157" s="1265"/>
      <c r="U157" s="1265"/>
      <c r="V157" s="1265"/>
      <c r="W157" s="1265"/>
      <c r="X157" s="1265"/>
      <c r="Y157" s="1265"/>
      <c r="Z157" s="1265"/>
    </row>
    <row r="158" ht="27.0" customHeight="1">
      <c r="A158" s="1265"/>
      <c r="B158" s="1265"/>
      <c r="C158" s="1265"/>
      <c r="D158" s="1265"/>
      <c r="E158" s="1265"/>
      <c r="F158" s="1265"/>
      <c r="G158" s="1265"/>
      <c r="H158" s="1265"/>
      <c r="I158" s="1265"/>
      <c r="J158" s="1265"/>
      <c r="K158" s="1265"/>
      <c r="L158" s="1265"/>
      <c r="M158" s="1265"/>
      <c r="N158" s="1265"/>
      <c r="O158" s="1265"/>
      <c r="P158" s="1265"/>
      <c r="Q158" s="1265"/>
      <c r="R158" s="1265"/>
      <c r="S158" s="1265"/>
      <c r="T158" s="1265"/>
      <c r="U158" s="1265"/>
      <c r="V158" s="1265"/>
      <c r="W158" s="1265"/>
      <c r="X158" s="1265"/>
      <c r="Y158" s="1265"/>
      <c r="Z158" s="1265"/>
    </row>
    <row r="159" ht="27.0" customHeight="1">
      <c r="A159" s="1265"/>
      <c r="B159" s="1265"/>
      <c r="C159" s="1265"/>
      <c r="D159" s="1265"/>
      <c r="E159" s="1265"/>
      <c r="F159" s="1265"/>
      <c r="G159" s="1265"/>
      <c r="H159" s="1265"/>
      <c r="I159" s="1265"/>
      <c r="J159" s="1265"/>
      <c r="K159" s="1265"/>
      <c r="L159" s="1265"/>
      <c r="M159" s="1265"/>
      <c r="N159" s="1265"/>
      <c r="O159" s="1265"/>
      <c r="P159" s="1265"/>
      <c r="Q159" s="1265"/>
      <c r="R159" s="1265"/>
      <c r="S159" s="1265"/>
      <c r="T159" s="1265"/>
      <c r="U159" s="1265"/>
      <c r="V159" s="1265"/>
      <c r="W159" s="1265"/>
      <c r="X159" s="1265"/>
      <c r="Y159" s="1265"/>
      <c r="Z159" s="1265"/>
    </row>
    <row r="160" ht="27.0" customHeight="1">
      <c r="A160" s="1265"/>
      <c r="B160" s="1265"/>
      <c r="C160" s="1265"/>
      <c r="D160" s="1265"/>
      <c r="E160" s="1265"/>
      <c r="F160" s="1265"/>
      <c r="G160" s="1265"/>
      <c r="H160" s="1265"/>
      <c r="I160" s="1265"/>
      <c r="J160" s="1265"/>
      <c r="K160" s="1265"/>
      <c r="L160" s="1265"/>
      <c r="M160" s="1265"/>
      <c r="N160" s="1265"/>
      <c r="O160" s="1265"/>
      <c r="P160" s="1265"/>
      <c r="Q160" s="1265"/>
      <c r="R160" s="1265"/>
      <c r="S160" s="1265"/>
      <c r="T160" s="1265"/>
      <c r="U160" s="1265"/>
      <c r="V160" s="1265"/>
      <c r="W160" s="1265"/>
      <c r="X160" s="1265"/>
      <c r="Y160" s="1265"/>
      <c r="Z160" s="1265"/>
    </row>
    <row r="161" ht="27.0" customHeight="1">
      <c r="A161" s="1265"/>
      <c r="B161" s="1265"/>
      <c r="C161" s="1265"/>
      <c r="D161" s="1265"/>
      <c r="E161" s="1265"/>
      <c r="F161" s="1265"/>
      <c r="G161" s="1265"/>
      <c r="H161" s="1265"/>
      <c r="I161" s="1265"/>
      <c r="J161" s="1265"/>
      <c r="K161" s="1265"/>
      <c r="L161" s="1265"/>
      <c r="M161" s="1265"/>
      <c r="N161" s="1265"/>
      <c r="O161" s="1265"/>
      <c r="P161" s="1265"/>
      <c r="Q161" s="1265"/>
      <c r="R161" s="1265"/>
      <c r="S161" s="1265"/>
      <c r="T161" s="1265"/>
      <c r="U161" s="1265"/>
      <c r="V161" s="1265"/>
      <c r="W161" s="1265"/>
      <c r="X161" s="1265"/>
      <c r="Y161" s="1265"/>
      <c r="Z161" s="1265"/>
    </row>
    <row r="162" ht="27.0" customHeight="1">
      <c r="A162" s="1265"/>
      <c r="B162" s="1265"/>
      <c r="C162" s="1265"/>
      <c r="D162" s="1265"/>
      <c r="E162" s="1265"/>
      <c r="F162" s="1265"/>
      <c r="G162" s="1265"/>
      <c r="H162" s="1265"/>
      <c r="I162" s="1265"/>
      <c r="J162" s="1265"/>
      <c r="K162" s="1265"/>
      <c r="L162" s="1265"/>
      <c r="M162" s="1265"/>
      <c r="N162" s="1265"/>
      <c r="O162" s="1265"/>
      <c r="P162" s="1265"/>
      <c r="Q162" s="1265"/>
      <c r="R162" s="1265"/>
      <c r="S162" s="1265"/>
      <c r="T162" s="1265"/>
      <c r="U162" s="1265"/>
      <c r="V162" s="1265"/>
      <c r="W162" s="1265"/>
      <c r="X162" s="1265"/>
      <c r="Y162" s="1265"/>
      <c r="Z162" s="1265"/>
    </row>
    <row r="163" ht="27.0" customHeight="1">
      <c r="A163" s="1265"/>
      <c r="B163" s="1265"/>
      <c r="C163" s="1265"/>
      <c r="D163" s="1265"/>
      <c r="E163" s="1265"/>
      <c r="F163" s="1265"/>
      <c r="G163" s="1265"/>
      <c r="H163" s="1265"/>
      <c r="I163" s="1265"/>
      <c r="J163" s="1265"/>
      <c r="K163" s="1265"/>
      <c r="L163" s="1265"/>
      <c r="M163" s="1265"/>
      <c r="N163" s="1265"/>
      <c r="O163" s="1265"/>
      <c r="P163" s="1265"/>
      <c r="Q163" s="1265"/>
      <c r="R163" s="1265"/>
      <c r="S163" s="1265"/>
      <c r="T163" s="1265"/>
      <c r="U163" s="1265"/>
      <c r="V163" s="1265"/>
      <c r="W163" s="1265"/>
      <c r="X163" s="1265"/>
      <c r="Y163" s="1265"/>
      <c r="Z163" s="1265"/>
    </row>
    <row r="164" ht="27.0" customHeight="1">
      <c r="A164" s="1265"/>
      <c r="B164" s="1265"/>
      <c r="C164" s="1265"/>
      <c r="D164" s="1265"/>
      <c r="E164" s="1265"/>
      <c r="F164" s="1265"/>
      <c r="G164" s="1265"/>
      <c r="H164" s="1265"/>
      <c r="I164" s="1265"/>
      <c r="J164" s="1265"/>
      <c r="K164" s="1265"/>
      <c r="L164" s="1265"/>
      <c r="M164" s="1265"/>
      <c r="N164" s="1265"/>
      <c r="O164" s="1265"/>
      <c r="P164" s="1265"/>
      <c r="Q164" s="1265"/>
      <c r="R164" s="1265"/>
      <c r="S164" s="1265"/>
      <c r="T164" s="1265"/>
      <c r="U164" s="1265"/>
      <c r="V164" s="1265"/>
      <c r="W164" s="1265"/>
      <c r="X164" s="1265"/>
      <c r="Y164" s="1265"/>
      <c r="Z164" s="1265"/>
    </row>
    <row r="165" ht="27.0" customHeight="1">
      <c r="A165" s="1265"/>
      <c r="B165" s="1265"/>
      <c r="C165" s="1265"/>
      <c r="D165" s="1265"/>
      <c r="E165" s="1265"/>
      <c r="F165" s="1265"/>
      <c r="G165" s="1265"/>
      <c r="H165" s="1265"/>
      <c r="I165" s="1265"/>
      <c r="J165" s="1265"/>
      <c r="K165" s="1265"/>
      <c r="L165" s="1265"/>
      <c r="M165" s="1265"/>
      <c r="N165" s="1265"/>
      <c r="O165" s="1265"/>
      <c r="P165" s="1265"/>
      <c r="Q165" s="1265"/>
      <c r="R165" s="1265"/>
      <c r="S165" s="1265"/>
      <c r="T165" s="1265"/>
      <c r="U165" s="1265"/>
      <c r="V165" s="1265"/>
      <c r="W165" s="1265"/>
      <c r="X165" s="1265"/>
      <c r="Y165" s="1265"/>
      <c r="Z165" s="1265"/>
    </row>
    <row r="166" ht="27.0" customHeight="1">
      <c r="A166" s="1265"/>
      <c r="B166" s="1265"/>
      <c r="C166" s="1265"/>
      <c r="D166" s="1265"/>
      <c r="E166" s="1265"/>
      <c r="F166" s="1265"/>
      <c r="G166" s="1265"/>
      <c r="H166" s="1265"/>
      <c r="I166" s="1265"/>
      <c r="J166" s="1265"/>
      <c r="K166" s="1265"/>
      <c r="L166" s="1265"/>
      <c r="M166" s="1265"/>
      <c r="N166" s="1265"/>
      <c r="O166" s="1265"/>
      <c r="P166" s="1265"/>
      <c r="Q166" s="1265"/>
      <c r="R166" s="1265"/>
      <c r="S166" s="1265"/>
      <c r="T166" s="1265"/>
      <c r="U166" s="1265"/>
      <c r="V166" s="1265"/>
      <c r="W166" s="1265"/>
      <c r="X166" s="1265"/>
      <c r="Y166" s="1265"/>
      <c r="Z166" s="1265"/>
    </row>
    <row r="167" ht="27.0" customHeight="1">
      <c r="A167" s="1265"/>
      <c r="B167" s="1265"/>
      <c r="C167" s="1265"/>
      <c r="D167" s="1265"/>
      <c r="E167" s="1265"/>
      <c r="F167" s="1265"/>
      <c r="G167" s="1265"/>
      <c r="H167" s="1265"/>
      <c r="I167" s="1265"/>
      <c r="J167" s="1265"/>
      <c r="K167" s="1265"/>
      <c r="L167" s="1265"/>
      <c r="M167" s="1265"/>
      <c r="N167" s="1265"/>
      <c r="O167" s="1265"/>
      <c r="P167" s="1265"/>
      <c r="Q167" s="1265"/>
      <c r="R167" s="1265"/>
      <c r="S167" s="1265"/>
      <c r="T167" s="1265"/>
      <c r="U167" s="1265"/>
      <c r="V167" s="1265"/>
      <c r="W167" s="1265"/>
      <c r="X167" s="1265"/>
      <c r="Y167" s="1265"/>
      <c r="Z167" s="1265"/>
    </row>
    <row r="168" ht="27.0" customHeight="1">
      <c r="A168" s="1265"/>
      <c r="B168" s="1265"/>
      <c r="C168" s="1265"/>
      <c r="D168" s="1265"/>
      <c r="E168" s="1265"/>
      <c r="F168" s="1265"/>
      <c r="G168" s="1265"/>
      <c r="H168" s="1265"/>
      <c r="I168" s="1265"/>
      <c r="J168" s="1265"/>
      <c r="K168" s="1265"/>
      <c r="L168" s="1265"/>
      <c r="M168" s="1265"/>
      <c r="N168" s="1265"/>
      <c r="O168" s="1265"/>
      <c r="P168" s="1265"/>
      <c r="Q168" s="1265"/>
      <c r="R168" s="1265"/>
      <c r="S168" s="1265"/>
      <c r="T168" s="1265"/>
      <c r="U168" s="1265"/>
      <c r="V168" s="1265"/>
      <c r="W168" s="1265"/>
      <c r="X168" s="1265"/>
      <c r="Y168" s="1265"/>
      <c r="Z168" s="1265"/>
    </row>
    <row r="169" ht="27.0" customHeight="1">
      <c r="A169" s="1265"/>
      <c r="B169" s="1265"/>
      <c r="C169" s="1265"/>
      <c r="D169" s="1265"/>
      <c r="E169" s="1265"/>
      <c r="F169" s="1265"/>
      <c r="G169" s="1265"/>
      <c r="H169" s="1265"/>
      <c r="I169" s="1265"/>
      <c r="J169" s="1265"/>
      <c r="K169" s="1265"/>
      <c r="L169" s="1265"/>
      <c r="M169" s="1265"/>
      <c r="N169" s="1265"/>
      <c r="O169" s="1265"/>
      <c r="P169" s="1265"/>
      <c r="Q169" s="1265"/>
      <c r="R169" s="1265"/>
      <c r="S169" s="1265"/>
      <c r="T169" s="1265"/>
      <c r="U169" s="1265"/>
      <c r="V169" s="1265"/>
      <c r="W169" s="1265"/>
      <c r="X169" s="1265"/>
      <c r="Y169" s="1265"/>
      <c r="Z169" s="1265"/>
    </row>
    <row r="170" ht="27.0" customHeight="1">
      <c r="A170" s="1265"/>
      <c r="B170" s="1265"/>
      <c r="C170" s="1265"/>
      <c r="D170" s="1265"/>
      <c r="E170" s="1265"/>
      <c r="F170" s="1265"/>
      <c r="G170" s="1265"/>
      <c r="H170" s="1265"/>
      <c r="I170" s="1265"/>
      <c r="J170" s="1265"/>
      <c r="K170" s="1265"/>
      <c r="L170" s="1265"/>
      <c r="M170" s="1265"/>
      <c r="N170" s="1265"/>
      <c r="O170" s="1265"/>
      <c r="P170" s="1265"/>
      <c r="Q170" s="1265"/>
      <c r="R170" s="1265"/>
      <c r="S170" s="1265"/>
      <c r="T170" s="1265"/>
      <c r="U170" s="1265"/>
      <c r="V170" s="1265"/>
      <c r="W170" s="1265"/>
      <c r="X170" s="1265"/>
      <c r="Y170" s="1265"/>
      <c r="Z170" s="1265"/>
    </row>
    <row r="171" ht="27.0" customHeight="1">
      <c r="A171" s="1265"/>
      <c r="B171" s="1265"/>
      <c r="C171" s="1265"/>
      <c r="D171" s="1265"/>
      <c r="E171" s="1265"/>
      <c r="F171" s="1265"/>
      <c r="G171" s="1265"/>
      <c r="H171" s="1265"/>
      <c r="I171" s="1265"/>
      <c r="J171" s="1265"/>
      <c r="K171" s="1265"/>
      <c r="L171" s="1265"/>
      <c r="M171" s="1265"/>
      <c r="N171" s="1265"/>
      <c r="O171" s="1265"/>
      <c r="P171" s="1265"/>
      <c r="Q171" s="1265"/>
      <c r="R171" s="1265"/>
      <c r="S171" s="1265"/>
      <c r="T171" s="1265"/>
      <c r="U171" s="1265"/>
      <c r="V171" s="1265"/>
      <c r="W171" s="1265"/>
      <c r="X171" s="1265"/>
      <c r="Y171" s="1265"/>
      <c r="Z171" s="1265"/>
    </row>
    <row r="172" ht="27.0" customHeight="1">
      <c r="A172" s="1265"/>
      <c r="B172" s="1265"/>
      <c r="C172" s="1265"/>
      <c r="D172" s="1265"/>
      <c r="E172" s="1265"/>
      <c r="F172" s="1265"/>
      <c r="G172" s="1265"/>
      <c r="H172" s="1265"/>
      <c r="I172" s="1265"/>
      <c r="J172" s="1265"/>
      <c r="K172" s="1265"/>
      <c r="L172" s="1265"/>
      <c r="M172" s="1265"/>
      <c r="N172" s="1265"/>
      <c r="O172" s="1265"/>
      <c r="P172" s="1265"/>
      <c r="Q172" s="1265"/>
      <c r="R172" s="1265"/>
      <c r="S172" s="1265"/>
      <c r="T172" s="1265"/>
      <c r="U172" s="1265"/>
      <c r="V172" s="1265"/>
      <c r="W172" s="1265"/>
      <c r="X172" s="1265"/>
      <c r="Y172" s="1265"/>
      <c r="Z172" s="1265"/>
    </row>
    <row r="173" ht="27.0" customHeight="1">
      <c r="A173" s="1265"/>
      <c r="B173" s="1265"/>
      <c r="C173" s="1265"/>
      <c r="D173" s="1265"/>
      <c r="E173" s="1265"/>
      <c r="F173" s="1265"/>
      <c r="G173" s="1265"/>
      <c r="H173" s="1265"/>
      <c r="I173" s="1265"/>
      <c r="J173" s="1265"/>
      <c r="K173" s="1265"/>
      <c r="L173" s="1265"/>
      <c r="M173" s="1265"/>
      <c r="N173" s="1265"/>
      <c r="O173" s="1265"/>
      <c r="P173" s="1265"/>
      <c r="Q173" s="1265"/>
      <c r="R173" s="1265"/>
      <c r="S173" s="1265"/>
      <c r="T173" s="1265"/>
      <c r="U173" s="1265"/>
      <c r="V173" s="1265"/>
      <c r="W173" s="1265"/>
      <c r="X173" s="1265"/>
      <c r="Y173" s="1265"/>
      <c r="Z173" s="1265"/>
    </row>
    <row r="174" ht="27.0" customHeight="1">
      <c r="A174" s="1265"/>
      <c r="B174" s="1265"/>
      <c r="C174" s="1265"/>
      <c r="D174" s="1265"/>
      <c r="E174" s="1265"/>
      <c r="F174" s="1265"/>
      <c r="G174" s="1265"/>
      <c r="H174" s="1265"/>
      <c r="I174" s="1265"/>
      <c r="J174" s="1265"/>
      <c r="K174" s="1265"/>
      <c r="L174" s="1265"/>
      <c r="M174" s="1265"/>
      <c r="N174" s="1265"/>
      <c r="O174" s="1265"/>
      <c r="P174" s="1265"/>
      <c r="Q174" s="1265"/>
      <c r="R174" s="1265"/>
      <c r="S174" s="1265"/>
      <c r="T174" s="1265"/>
      <c r="U174" s="1265"/>
      <c r="V174" s="1265"/>
      <c r="W174" s="1265"/>
      <c r="X174" s="1265"/>
      <c r="Y174" s="1265"/>
      <c r="Z174" s="1265"/>
    </row>
    <row r="175" ht="27.0" customHeight="1">
      <c r="A175" s="1265"/>
      <c r="B175" s="1265"/>
      <c r="C175" s="1265"/>
      <c r="D175" s="1265"/>
      <c r="E175" s="1265"/>
      <c r="F175" s="1265"/>
      <c r="G175" s="1265"/>
      <c r="H175" s="1265"/>
      <c r="I175" s="1265"/>
      <c r="J175" s="1265"/>
      <c r="K175" s="1265"/>
      <c r="L175" s="1265"/>
      <c r="M175" s="1265"/>
      <c r="N175" s="1265"/>
      <c r="O175" s="1265"/>
      <c r="P175" s="1265"/>
      <c r="Q175" s="1265"/>
      <c r="R175" s="1265"/>
      <c r="S175" s="1265"/>
      <c r="T175" s="1265"/>
      <c r="U175" s="1265"/>
      <c r="V175" s="1265"/>
      <c r="W175" s="1265"/>
      <c r="X175" s="1265"/>
      <c r="Y175" s="1265"/>
      <c r="Z175" s="1265"/>
    </row>
    <row r="176" ht="27.0" customHeight="1">
      <c r="A176" s="1265"/>
      <c r="B176" s="1265"/>
      <c r="C176" s="1265"/>
      <c r="D176" s="1265"/>
      <c r="E176" s="1265"/>
      <c r="F176" s="1265"/>
      <c r="G176" s="1265"/>
      <c r="H176" s="1265"/>
      <c r="I176" s="1265"/>
      <c r="J176" s="1265"/>
      <c r="K176" s="1265"/>
      <c r="L176" s="1265"/>
      <c r="M176" s="1265"/>
      <c r="N176" s="1265"/>
      <c r="O176" s="1265"/>
      <c r="P176" s="1265"/>
      <c r="Q176" s="1265"/>
      <c r="R176" s="1265"/>
      <c r="S176" s="1265"/>
      <c r="T176" s="1265"/>
      <c r="U176" s="1265"/>
      <c r="V176" s="1265"/>
      <c r="W176" s="1265"/>
      <c r="X176" s="1265"/>
      <c r="Y176" s="1265"/>
      <c r="Z176" s="1265"/>
    </row>
    <row r="177" ht="27.0" customHeight="1">
      <c r="A177" s="1265"/>
      <c r="B177" s="1265"/>
      <c r="C177" s="1265"/>
      <c r="D177" s="1265"/>
      <c r="E177" s="1265"/>
      <c r="F177" s="1265"/>
      <c r="G177" s="1265"/>
      <c r="H177" s="1265"/>
      <c r="I177" s="1265"/>
      <c r="J177" s="1265"/>
      <c r="K177" s="1265"/>
      <c r="L177" s="1265"/>
      <c r="M177" s="1265"/>
      <c r="N177" s="1265"/>
      <c r="O177" s="1265"/>
      <c r="P177" s="1265"/>
      <c r="Q177" s="1265"/>
      <c r="R177" s="1265"/>
      <c r="S177" s="1265"/>
      <c r="T177" s="1265"/>
      <c r="U177" s="1265"/>
      <c r="V177" s="1265"/>
      <c r="W177" s="1265"/>
      <c r="X177" s="1265"/>
      <c r="Y177" s="1265"/>
      <c r="Z177" s="1265"/>
    </row>
    <row r="178" ht="27.0" customHeight="1">
      <c r="A178" s="1265"/>
      <c r="B178" s="1265"/>
      <c r="C178" s="1265"/>
      <c r="D178" s="1265"/>
      <c r="E178" s="1265"/>
      <c r="F178" s="1265"/>
      <c r="G178" s="1265"/>
      <c r="H178" s="1265"/>
      <c r="I178" s="1265"/>
      <c r="J178" s="1265"/>
      <c r="K178" s="1265"/>
      <c r="L178" s="1265"/>
      <c r="M178" s="1265"/>
      <c r="N178" s="1265"/>
      <c r="O178" s="1265"/>
      <c r="P178" s="1265"/>
      <c r="Q178" s="1265"/>
      <c r="R178" s="1265"/>
      <c r="S178" s="1265"/>
      <c r="T178" s="1265"/>
      <c r="U178" s="1265"/>
      <c r="V178" s="1265"/>
      <c r="W178" s="1265"/>
      <c r="X178" s="1265"/>
      <c r="Y178" s="1265"/>
      <c r="Z178" s="1265"/>
    </row>
    <row r="179" ht="27.0" customHeight="1">
      <c r="A179" s="1265"/>
      <c r="B179" s="1265"/>
      <c r="C179" s="1265"/>
      <c r="D179" s="1265"/>
      <c r="E179" s="1265"/>
      <c r="F179" s="1265"/>
      <c r="G179" s="1265"/>
      <c r="H179" s="1265"/>
      <c r="I179" s="1265"/>
      <c r="J179" s="1265"/>
      <c r="K179" s="1265"/>
      <c r="L179" s="1265"/>
      <c r="M179" s="1265"/>
      <c r="N179" s="1265"/>
      <c r="O179" s="1265"/>
      <c r="P179" s="1265"/>
      <c r="Q179" s="1265"/>
      <c r="R179" s="1265"/>
      <c r="S179" s="1265"/>
      <c r="T179" s="1265"/>
      <c r="U179" s="1265"/>
      <c r="V179" s="1265"/>
      <c r="W179" s="1265"/>
      <c r="X179" s="1265"/>
      <c r="Y179" s="1265"/>
      <c r="Z179" s="1265"/>
    </row>
    <row r="180" ht="27.0" customHeight="1">
      <c r="A180" s="1265"/>
      <c r="B180" s="1265"/>
      <c r="C180" s="1265"/>
      <c r="D180" s="1265"/>
      <c r="E180" s="1265"/>
      <c r="F180" s="1265"/>
      <c r="G180" s="1265"/>
      <c r="H180" s="1265"/>
      <c r="I180" s="1265"/>
      <c r="J180" s="1265"/>
      <c r="K180" s="1265"/>
      <c r="L180" s="1265"/>
      <c r="M180" s="1265"/>
      <c r="N180" s="1265"/>
      <c r="O180" s="1265"/>
      <c r="P180" s="1265"/>
      <c r="Q180" s="1265"/>
      <c r="R180" s="1265"/>
      <c r="S180" s="1265"/>
      <c r="T180" s="1265"/>
      <c r="U180" s="1265"/>
      <c r="V180" s="1265"/>
      <c r="W180" s="1265"/>
      <c r="X180" s="1265"/>
      <c r="Y180" s="1265"/>
      <c r="Z180" s="1265"/>
    </row>
    <row r="181" ht="27.0" customHeight="1">
      <c r="A181" s="1265"/>
      <c r="B181" s="1265"/>
      <c r="C181" s="1265"/>
      <c r="D181" s="1265"/>
      <c r="E181" s="1265"/>
      <c r="F181" s="1265"/>
      <c r="G181" s="1265"/>
      <c r="H181" s="1265"/>
      <c r="I181" s="1265"/>
      <c r="J181" s="1265"/>
      <c r="K181" s="1265"/>
      <c r="L181" s="1265"/>
      <c r="M181" s="1265"/>
      <c r="N181" s="1265"/>
      <c r="O181" s="1265"/>
      <c r="P181" s="1265"/>
      <c r="Q181" s="1265"/>
      <c r="R181" s="1265"/>
      <c r="S181" s="1265"/>
      <c r="T181" s="1265"/>
      <c r="U181" s="1265"/>
      <c r="V181" s="1265"/>
      <c r="W181" s="1265"/>
      <c r="X181" s="1265"/>
      <c r="Y181" s="1265"/>
      <c r="Z181" s="1265"/>
    </row>
    <row r="182" ht="27.0" customHeight="1">
      <c r="A182" s="1265"/>
      <c r="B182" s="1265"/>
      <c r="C182" s="1265"/>
      <c r="D182" s="1265"/>
      <c r="E182" s="1265"/>
      <c r="F182" s="1265"/>
      <c r="G182" s="1265"/>
      <c r="H182" s="1265"/>
      <c r="I182" s="1265"/>
      <c r="J182" s="1265"/>
      <c r="K182" s="1265"/>
      <c r="L182" s="1265"/>
      <c r="M182" s="1265"/>
      <c r="N182" s="1265"/>
      <c r="O182" s="1265"/>
      <c r="P182" s="1265"/>
      <c r="Q182" s="1265"/>
      <c r="R182" s="1265"/>
      <c r="S182" s="1265"/>
      <c r="T182" s="1265"/>
      <c r="U182" s="1265"/>
      <c r="V182" s="1265"/>
      <c r="W182" s="1265"/>
      <c r="X182" s="1265"/>
      <c r="Y182" s="1265"/>
      <c r="Z182" s="1265"/>
    </row>
    <row r="183" ht="27.0" customHeight="1">
      <c r="A183" s="1265"/>
      <c r="B183" s="1265"/>
      <c r="C183" s="1265"/>
      <c r="D183" s="1265"/>
      <c r="E183" s="1265"/>
      <c r="F183" s="1265"/>
      <c r="G183" s="1265"/>
      <c r="H183" s="1265"/>
      <c r="I183" s="1265"/>
      <c r="J183" s="1265"/>
      <c r="K183" s="1265"/>
      <c r="L183" s="1265"/>
      <c r="M183" s="1265"/>
      <c r="N183" s="1265"/>
      <c r="O183" s="1265"/>
      <c r="P183" s="1265"/>
      <c r="Q183" s="1265"/>
      <c r="R183" s="1265"/>
      <c r="S183" s="1265"/>
      <c r="T183" s="1265"/>
      <c r="U183" s="1265"/>
      <c r="V183" s="1265"/>
      <c r="W183" s="1265"/>
      <c r="X183" s="1265"/>
      <c r="Y183" s="1265"/>
      <c r="Z183" s="1265"/>
    </row>
    <row r="184" ht="27.0" customHeight="1">
      <c r="A184" s="1265"/>
      <c r="B184" s="1265"/>
      <c r="C184" s="1265"/>
      <c r="D184" s="1265"/>
      <c r="E184" s="1265"/>
      <c r="F184" s="1265"/>
      <c r="G184" s="1265"/>
      <c r="H184" s="1265"/>
      <c r="I184" s="1265"/>
      <c r="J184" s="1265"/>
      <c r="K184" s="1265"/>
      <c r="L184" s="1265"/>
      <c r="M184" s="1265"/>
      <c r="N184" s="1265"/>
      <c r="O184" s="1265"/>
      <c r="P184" s="1265"/>
      <c r="Q184" s="1265"/>
      <c r="R184" s="1265"/>
      <c r="S184" s="1265"/>
      <c r="T184" s="1265"/>
      <c r="U184" s="1265"/>
      <c r="V184" s="1265"/>
      <c r="W184" s="1265"/>
      <c r="X184" s="1265"/>
      <c r="Y184" s="1265"/>
      <c r="Z184" s="1265"/>
    </row>
    <row r="185" ht="27.0" customHeight="1">
      <c r="A185" s="1265"/>
      <c r="B185" s="1265"/>
      <c r="C185" s="1265"/>
      <c r="D185" s="1265"/>
      <c r="E185" s="1265"/>
      <c r="F185" s="1265"/>
      <c r="G185" s="1265"/>
      <c r="H185" s="1265"/>
      <c r="I185" s="1265"/>
      <c r="J185" s="1265"/>
      <c r="K185" s="1265"/>
      <c r="L185" s="1265"/>
      <c r="M185" s="1265"/>
      <c r="N185" s="1265"/>
      <c r="O185" s="1265"/>
      <c r="P185" s="1265"/>
      <c r="Q185" s="1265"/>
      <c r="R185" s="1265"/>
      <c r="S185" s="1265"/>
      <c r="T185" s="1265"/>
      <c r="U185" s="1265"/>
      <c r="V185" s="1265"/>
      <c r="W185" s="1265"/>
      <c r="X185" s="1265"/>
      <c r="Y185" s="1265"/>
      <c r="Z185" s="1265"/>
    </row>
    <row r="186" ht="27.0" customHeight="1">
      <c r="A186" s="1265"/>
      <c r="B186" s="1265"/>
      <c r="C186" s="1265"/>
      <c r="D186" s="1265"/>
      <c r="E186" s="1265"/>
      <c r="F186" s="1265"/>
      <c r="G186" s="1265"/>
      <c r="H186" s="1265"/>
      <c r="I186" s="1265"/>
      <c r="J186" s="1265"/>
      <c r="K186" s="1265"/>
      <c r="L186" s="1265"/>
      <c r="M186" s="1265"/>
      <c r="N186" s="1265"/>
      <c r="O186" s="1265"/>
      <c r="P186" s="1265"/>
      <c r="Q186" s="1265"/>
      <c r="R186" s="1265"/>
      <c r="S186" s="1265"/>
      <c r="T186" s="1265"/>
      <c r="U186" s="1265"/>
      <c r="V186" s="1265"/>
      <c r="W186" s="1265"/>
      <c r="X186" s="1265"/>
      <c r="Y186" s="1265"/>
      <c r="Z186" s="1265"/>
    </row>
    <row r="187" ht="27.0" customHeight="1">
      <c r="A187" s="1265"/>
      <c r="B187" s="1265"/>
      <c r="C187" s="1265"/>
      <c r="D187" s="1265"/>
      <c r="E187" s="1265"/>
      <c r="F187" s="1265"/>
      <c r="G187" s="1265"/>
      <c r="H187" s="1265"/>
      <c r="I187" s="1265"/>
      <c r="J187" s="1265"/>
      <c r="K187" s="1265"/>
      <c r="L187" s="1265"/>
      <c r="M187" s="1265"/>
      <c r="N187" s="1265"/>
      <c r="O187" s="1265"/>
      <c r="P187" s="1265"/>
      <c r="Q187" s="1265"/>
      <c r="R187" s="1265"/>
      <c r="S187" s="1265"/>
      <c r="T187" s="1265"/>
      <c r="U187" s="1265"/>
      <c r="V187" s="1265"/>
      <c r="W187" s="1265"/>
      <c r="X187" s="1265"/>
      <c r="Y187" s="1265"/>
      <c r="Z187" s="1265"/>
    </row>
    <row r="188" ht="27.0" customHeight="1">
      <c r="A188" s="1265"/>
      <c r="B188" s="1265"/>
      <c r="C188" s="1265"/>
      <c r="D188" s="1265"/>
      <c r="E188" s="1265"/>
      <c r="F188" s="1265"/>
      <c r="G188" s="1265"/>
      <c r="H188" s="1265"/>
      <c r="I188" s="1265"/>
      <c r="J188" s="1265"/>
      <c r="K188" s="1265"/>
      <c r="L188" s="1265"/>
      <c r="M188" s="1265"/>
      <c r="N188" s="1265"/>
      <c r="O188" s="1265"/>
      <c r="P188" s="1265"/>
      <c r="Q188" s="1265"/>
      <c r="R188" s="1265"/>
      <c r="S188" s="1265"/>
      <c r="T188" s="1265"/>
      <c r="U188" s="1265"/>
      <c r="V188" s="1265"/>
      <c r="W188" s="1265"/>
      <c r="X188" s="1265"/>
      <c r="Y188" s="1265"/>
      <c r="Z188" s="1265"/>
    </row>
    <row r="189" ht="27.0" customHeight="1">
      <c r="A189" s="1265"/>
      <c r="B189" s="1265"/>
      <c r="C189" s="1265"/>
      <c r="D189" s="1265"/>
      <c r="E189" s="1265"/>
      <c r="F189" s="1265"/>
      <c r="G189" s="1265"/>
      <c r="H189" s="1265"/>
      <c r="I189" s="1265"/>
      <c r="J189" s="1265"/>
      <c r="K189" s="1265"/>
      <c r="L189" s="1265"/>
      <c r="M189" s="1265"/>
      <c r="N189" s="1265"/>
      <c r="O189" s="1265"/>
      <c r="P189" s="1265"/>
      <c r="Q189" s="1265"/>
      <c r="R189" s="1265"/>
      <c r="S189" s="1265"/>
      <c r="T189" s="1265"/>
      <c r="U189" s="1265"/>
      <c r="V189" s="1265"/>
      <c r="W189" s="1265"/>
      <c r="X189" s="1265"/>
      <c r="Y189" s="1265"/>
      <c r="Z189" s="1265"/>
    </row>
    <row r="190" ht="27.0" customHeight="1">
      <c r="A190" s="1265"/>
      <c r="B190" s="1265"/>
      <c r="C190" s="1265"/>
      <c r="D190" s="1265"/>
      <c r="E190" s="1265"/>
      <c r="F190" s="1265"/>
      <c r="G190" s="1265"/>
      <c r="H190" s="1265"/>
      <c r="I190" s="1265"/>
      <c r="J190" s="1265"/>
      <c r="K190" s="1265"/>
      <c r="L190" s="1265"/>
      <c r="M190" s="1265"/>
      <c r="N190" s="1265"/>
      <c r="O190" s="1265"/>
      <c r="P190" s="1265"/>
      <c r="Q190" s="1265"/>
      <c r="R190" s="1265"/>
      <c r="S190" s="1265"/>
      <c r="T190" s="1265"/>
      <c r="U190" s="1265"/>
      <c r="V190" s="1265"/>
      <c r="W190" s="1265"/>
      <c r="X190" s="1265"/>
      <c r="Y190" s="1265"/>
      <c r="Z190" s="1265"/>
    </row>
    <row r="191" ht="27.0" customHeight="1">
      <c r="A191" s="1265"/>
      <c r="B191" s="1265"/>
      <c r="C191" s="1265"/>
      <c r="D191" s="1265"/>
      <c r="E191" s="1265"/>
      <c r="F191" s="1265"/>
      <c r="G191" s="1265"/>
      <c r="H191" s="1265"/>
      <c r="I191" s="1265"/>
      <c r="J191" s="1265"/>
      <c r="K191" s="1265"/>
      <c r="L191" s="1265"/>
      <c r="M191" s="1265"/>
      <c r="N191" s="1265"/>
      <c r="O191" s="1265"/>
      <c r="P191" s="1265"/>
      <c r="Q191" s="1265"/>
      <c r="R191" s="1265"/>
      <c r="S191" s="1265"/>
      <c r="T191" s="1265"/>
      <c r="U191" s="1265"/>
      <c r="V191" s="1265"/>
      <c r="W191" s="1265"/>
      <c r="X191" s="1265"/>
      <c r="Y191" s="1265"/>
      <c r="Z191" s="1265"/>
    </row>
    <row r="192" ht="27.0" customHeight="1">
      <c r="A192" s="1265"/>
      <c r="B192" s="1265"/>
      <c r="C192" s="1265"/>
      <c r="D192" s="1265"/>
      <c r="E192" s="1265"/>
      <c r="F192" s="1265"/>
      <c r="G192" s="1265"/>
      <c r="H192" s="1265"/>
      <c r="I192" s="1265"/>
      <c r="J192" s="1265"/>
      <c r="K192" s="1265"/>
      <c r="L192" s="1265"/>
      <c r="M192" s="1265"/>
      <c r="N192" s="1265"/>
      <c r="O192" s="1265"/>
      <c r="P192" s="1265"/>
      <c r="Q192" s="1265"/>
      <c r="R192" s="1265"/>
      <c r="S192" s="1265"/>
      <c r="T192" s="1265"/>
      <c r="U192" s="1265"/>
      <c r="V192" s="1265"/>
      <c r="W192" s="1265"/>
      <c r="X192" s="1265"/>
      <c r="Y192" s="1265"/>
      <c r="Z192" s="1265"/>
    </row>
    <row r="193" ht="27.0" customHeight="1">
      <c r="A193" s="1265"/>
      <c r="B193" s="1265"/>
      <c r="C193" s="1265"/>
      <c r="D193" s="1265"/>
      <c r="E193" s="1265"/>
      <c r="F193" s="1265"/>
      <c r="G193" s="1265"/>
      <c r="H193" s="1265"/>
      <c r="I193" s="1265"/>
      <c r="J193" s="1265"/>
      <c r="K193" s="1265"/>
      <c r="L193" s="1265"/>
      <c r="M193" s="1265"/>
      <c r="N193" s="1265"/>
      <c r="O193" s="1265"/>
      <c r="P193" s="1265"/>
      <c r="Q193" s="1265"/>
      <c r="R193" s="1265"/>
      <c r="S193" s="1265"/>
      <c r="T193" s="1265"/>
      <c r="U193" s="1265"/>
      <c r="V193" s="1265"/>
      <c r="W193" s="1265"/>
      <c r="X193" s="1265"/>
      <c r="Y193" s="1265"/>
      <c r="Z193" s="1265"/>
    </row>
    <row r="194" ht="27.0" customHeight="1">
      <c r="A194" s="1265"/>
      <c r="B194" s="1265"/>
      <c r="C194" s="1265"/>
      <c r="D194" s="1265"/>
      <c r="E194" s="1265"/>
      <c r="F194" s="1265"/>
      <c r="G194" s="1265"/>
      <c r="H194" s="1265"/>
      <c r="I194" s="1265"/>
      <c r="J194" s="1265"/>
      <c r="K194" s="1265"/>
      <c r="L194" s="1265"/>
      <c r="M194" s="1265"/>
      <c r="N194" s="1265"/>
      <c r="O194" s="1265"/>
      <c r="P194" s="1265"/>
      <c r="Q194" s="1265"/>
      <c r="R194" s="1265"/>
      <c r="S194" s="1265"/>
      <c r="T194" s="1265"/>
      <c r="U194" s="1265"/>
      <c r="V194" s="1265"/>
      <c r="W194" s="1265"/>
      <c r="X194" s="1265"/>
      <c r="Y194" s="1265"/>
      <c r="Z194" s="1265"/>
    </row>
    <row r="195" ht="27.0" customHeight="1">
      <c r="A195" s="1265"/>
      <c r="B195" s="1265"/>
      <c r="C195" s="1265"/>
      <c r="D195" s="1265"/>
      <c r="E195" s="1265"/>
      <c r="F195" s="1265"/>
      <c r="G195" s="1265"/>
      <c r="H195" s="1265"/>
      <c r="I195" s="1265"/>
      <c r="J195" s="1265"/>
      <c r="K195" s="1265"/>
      <c r="L195" s="1265"/>
      <c r="M195" s="1265"/>
      <c r="N195" s="1265"/>
      <c r="O195" s="1265"/>
      <c r="P195" s="1265"/>
      <c r="Q195" s="1265"/>
      <c r="R195" s="1265"/>
      <c r="S195" s="1265"/>
      <c r="T195" s="1265"/>
      <c r="U195" s="1265"/>
      <c r="V195" s="1265"/>
      <c r="W195" s="1265"/>
      <c r="X195" s="1265"/>
      <c r="Y195" s="1265"/>
      <c r="Z195" s="1265"/>
    </row>
    <row r="196" ht="27.0" customHeight="1">
      <c r="A196" s="1265"/>
      <c r="B196" s="1265"/>
      <c r="C196" s="1265"/>
      <c r="D196" s="1265"/>
      <c r="E196" s="1265"/>
      <c r="F196" s="1265"/>
      <c r="G196" s="1265"/>
      <c r="H196" s="1265"/>
      <c r="I196" s="1265"/>
      <c r="J196" s="1265"/>
      <c r="K196" s="1265"/>
      <c r="L196" s="1265"/>
      <c r="M196" s="1265"/>
      <c r="N196" s="1265"/>
      <c r="O196" s="1265"/>
      <c r="P196" s="1265"/>
      <c r="Q196" s="1265"/>
      <c r="R196" s="1265"/>
      <c r="S196" s="1265"/>
      <c r="T196" s="1265"/>
      <c r="U196" s="1265"/>
      <c r="V196" s="1265"/>
      <c r="W196" s="1265"/>
      <c r="X196" s="1265"/>
      <c r="Y196" s="1265"/>
      <c r="Z196" s="1265"/>
    </row>
    <row r="197" ht="27.0" customHeight="1">
      <c r="A197" s="1265"/>
      <c r="B197" s="1265"/>
      <c r="C197" s="1265"/>
      <c r="D197" s="1265"/>
      <c r="E197" s="1265"/>
      <c r="F197" s="1265"/>
      <c r="G197" s="1265"/>
      <c r="H197" s="1265"/>
      <c r="I197" s="1265"/>
      <c r="J197" s="1265"/>
      <c r="K197" s="1265"/>
      <c r="L197" s="1265"/>
      <c r="M197" s="1265"/>
      <c r="N197" s="1265"/>
      <c r="O197" s="1265"/>
      <c r="P197" s="1265"/>
      <c r="Q197" s="1265"/>
      <c r="R197" s="1265"/>
      <c r="S197" s="1265"/>
      <c r="T197" s="1265"/>
      <c r="U197" s="1265"/>
      <c r="V197" s="1265"/>
      <c r="W197" s="1265"/>
      <c r="X197" s="1265"/>
      <c r="Y197" s="1265"/>
      <c r="Z197" s="1265"/>
    </row>
    <row r="198" ht="27.0" customHeight="1">
      <c r="A198" s="1265"/>
      <c r="B198" s="1265"/>
      <c r="C198" s="1265"/>
      <c r="D198" s="1265"/>
      <c r="E198" s="1265"/>
      <c r="F198" s="1265"/>
      <c r="G198" s="1265"/>
      <c r="H198" s="1265"/>
      <c r="I198" s="1265"/>
      <c r="J198" s="1265"/>
      <c r="K198" s="1265"/>
      <c r="L198" s="1265"/>
      <c r="M198" s="1265"/>
      <c r="N198" s="1265"/>
      <c r="O198" s="1265"/>
      <c r="P198" s="1265"/>
      <c r="Q198" s="1265"/>
      <c r="R198" s="1265"/>
      <c r="S198" s="1265"/>
      <c r="T198" s="1265"/>
      <c r="U198" s="1265"/>
      <c r="V198" s="1265"/>
      <c r="W198" s="1265"/>
      <c r="X198" s="1265"/>
      <c r="Y198" s="1265"/>
      <c r="Z198" s="1265"/>
    </row>
    <row r="199" ht="27.0" customHeight="1">
      <c r="A199" s="1265"/>
      <c r="B199" s="1265"/>
      <c r="C199" s="1265"/>
      <c r="D199" s="1265"/>
      <c r="E199" s="1265"/>
      <c r="F199" s="1265"/>
      <c r="G199" s="1265"/>
      <c r="H199" s="1265"/>
      <c r="I199" s="1265"/>
      <c r="J199" s="1265"/>
      <c r="K199" s="1265"/>
      <c r="L199" s="1265"/>
      <c r="M199" s="1265"/>
      <c r="N199" s="1265"/>
      <c r="O199" s="1265"/>
      <c r="P199" s="1265"/>
      <c r="Q199" s="1265"/>
      <c r="R199" s="1265"/>
      <c r="S199" s="1265"/>
      <c r="T199" s="1265"/>
      <c r="U199" s="1265"/>
      <c r="V199" s="1265"/>
      <c r="W199" s="1265"/>
      <c r="X199" s="1265"/>
      <c r="Y199" s="1265"/>
      <c r="Z199" s="1265"/>
    </row>
    <row r="200" ht="27.0" customHeight="1">
      <c r="A200" s="1265"/>
      <c r="B200" s="1265"/>
      <c r="C200" s="1265"/>
      <c r="D200" s="1265"/>
      <c r="E200" s="1265"/>
      <c r="F200" s="1265"/>
      <c r="G200" s="1265"/>
      <c r="H200" s="1265"/>
      <c r="I200" s="1265"/>
      <c r="J200" s="1265"/>
      <c r="K200" s="1265"/>
      <c r="L200" s="1265"/>
      <c r="M200" s="1265"/>
      <c r="N200" s="1265"/>
      <c r="O200" s="1265"/>
      <c r="P200" s="1265"/>
      <c r="Q200" s="1265"/>
      <c r="R200" s="1265"/>
      <c r="S200" s="1265"/>
      <c r="T200" s="1265"/>
      <c r="U200" s="1265"/>
      <c r="V200" s="1265"/>
      <c r="W200" s="1265"/>
      <c r="X200" s="1265"/>
      <c r="Y200" s="1265"/>
      <c r="Z200" s="1265"/>
    </row>
    <row r="201" ht="27.0" customHeight="1">
      <c r="A201" s="1265"/>
      <c r="B201" s="1265"/>
      <c r="C201" s="1265"/>
      <c r="D201" s="1265"/>
      <c r="E201" s="1265"/>
      <c r="F201" s="1265"/>
      <c r="G201" s="1265"/>
      <c r="H201" s="1265"/>
      <c r="I201" s="1265"/>
      <c r="J201" s="1265"/>
      <c r="K201" s="1265"/>
      <c r="L201" s="1265"/>
      <c r="M201" s="1265"/>
      <c r="N201" s="1265"/>
      <c r="O201" s="1265"/>
      <c r="P201" s="1265"/>
      <c r="Q201" s="1265"/>
      <c r="R201" s="1265"/>
      <c r="S201" s="1265"/>
      <c r="T201" s="1265"/>
      <c r="U201" s="1265"/>
      <c r="V201" s="1265"/>
      <c r="W201" s="1265"/>
      <c r="X201" s="1265"/>
      <c r="Y201" s="1265"/>
      <c r="Z201" s="1265"/>
    </row>
    <row r="202" ht="27.0" customHeight="1">
      <c r="A202" s="1265"/>
      <c r="B202" s="1265"/>
      <c r="C202" s="1265"/>
      <c r="D202" s="1265"/>
      <c r="E202" s="1265"/>
      <c r="F202" s="1265"/>
      <c r="G202" s="1265"/>
      <c r="H202" s="1265"/>
      <c r="I202" s="1265"/>
      <c r="J202" s="1265"/>
      <c r="K202" s="1265"/>
      <c r="L202" s="1265"/>
      <c r="M202" s="1265"/>
      <c r="N202" s="1265"/>
      <c r="O202" s="1265"/>
      <c r="P202" s="1265"/>
      <c r="Q202" s="1265"/>
      <c r="R202" s="1265"/>
      <c r="S202" s="1265"/>
      <c r="T202" s="1265"/>
      <c r="U202" s="1265"/>
      <c r="V202" s="1265"/>
      <c r="W202" s="1265"/>
      <c r="X202" s="1265"/>
      <c r="Y202" s="1265"/>
      <c r="Z202" s="1265"/>
    </row>
    <row r="203" ht="27.0" customHeight="1">
      <c r="A203" s="1265"/>
      <c r="B203" s="1265"/>
      <c r="C203" s="1265"/>
      <c r="D203" s="1265"/>
      <c r="E203" s="1265"/>
      <c r="F203" s="1265"/>
      <c r="G203" s="1265"/>
      <c r="H203" s="1265"/>
      <c r="I203" s="1265"/>
      <c r="J203" s="1265"/>
      <c r="K203" s="1265"/>
      <c r="L203" s="1265"/>
      <c r="M203" s="1265"/>
      <c r="N203" s="1265"/>
      <c r="O203" s="1265"/>
      <c r="P203" s="1265"/>
      <c r="Q203" s="1265"/>
      <c r="R203" s="1265"/>
      <c r="S203" s="1265"/>
      <c r="T203" s="1265"/>
      <c r="U203" s="1265"/>
      <c r="V203" s="1265"/>
      <c r="W203" s="1265"/>
      <c r="X203" s="1265"/>
      <c r="Y203" s="1265"/>
      <c r="Z203" s="1265"/>
    </row>
    <row r="204" ht="27.0" customHeight="1">
      <c r="A204" s="1265"/>
      <c r="B204" s="1265"/>
      <c r="C204" s="1265"/>
      <c r="D204" s="1265"/>
      <c r="E204" s="1265"/>
      <c r="F204" s="1265"/>
      <c r="G204" s="1265"/>
      <c r="H204" s="1265"/>
      <c r="I204" s="1265"/>
      <c r="J204" s="1265"/>
      <c r="K204" s="1265"/>
      <c r="L204" s="1265"/>
      <c r="M204" s="1265"/>
      <c r="N204" s="1265"/>
      <c r="O204" s="1265"/>
      <c r="P204" s="1265"/>
      <c r="Q204" s="1265"/>
      <c r="R204" s="1265"/>
      <c r="S204" s="1265"/>
      <c r="T204" s="1265"/>
      <c r="U204" s="1265"/>
      <c r="V204" s="1265"/>
      <c r="W204" s="1265"/>
      <c r="X204" s="1265"/>
      <c r="Y204" s="1265"/>
      <c r="Z204" s="1265"/>
    </row>
    <row r="205" ht="27.0" customHeight="1">
      <c r="A205" s="1265"/>
      <c r="B205" s="1265"/>
      <c r="C205" s="1265"/>
      <c r="D205" s="1265"/>
      <c r="E205" s="1265"/>
      <c r="F205" s="1265"/>
      <c r="G205" s="1265"/>
      <c r="H205" s="1265"/>
      <c r="I205" s="1265"/>
      <c r="J205" s="1265"/>
      <c r="K205" s="1265"/>
      <c r="L205" s="1265"/>
      <c r="M205" s="1265"/>
      <c r="N205" s="1265"/>
      <c r="O205" s="1265"/>
      <c r="P205" s="1265"/>
      <c r="Q205" s="1265"/>
      <c r="R205" s="1265"/>
      <c r="S205" s="1265"/>
      <c r="T205" s="1265"/>
      <c r="U205" s="1265"/>
      <c r="V205" s="1265"/>
      <c r="W205" s="1265"/>
      <c r="X205" s="1265"/>
      <c r="Y205" s="1265"/>
      <c r="Z205" s="1265"/>
    </row>
    <row r="206" ht="27.0" customHeight="1">
      <c r="A206" s="1265"/>
      <c r="B206" s="1265"/>
      <c r="C206" s="1265"/>
      <c r="D206" s="1265"/>
      <c r="E206" s="1265"/>
      <c r="F206" s="1265"/>
      <c r="G206" s="1265"/>
      <c r="H206" s="1265"/>
      <c r="I206" s="1265"/>
      <c r="J206" s="1265"/>
      <c r="K206" s="1265"/>
      <c r="L206" s="1265"/>
      <c r="M206" s="1265"/>
      <c r="N206" s="1265"/>
      <c r="O206" s="1265"/>
      <c r="P206" s="1265"/>
      <c r="Q206" s="1265"/>
      <c r="R206" s="1265"/>
      <c r="S206" s="1265"/>
      <c r="T206" s="1265"/>
      <c r="U206" s="1265"/>
      <c r="V206" s="1265"/>
      <c r="W206" s="1265"/>
      <c r="X206" s="1265"/>
      <c r="Y206" s="1265"/>
      <c r="Z206" s="1265"/>
    </row>
    <row r="207" ht="27.0" customHeight="1">
      <c r="A207" s="1265"/>
      <c r="B207" s="1265"/>
      <c r="C207" s="1265"/>
      <c r="D207" s="1265"/>
      <c r="E207" s="1265"/>
      <c r="F207" s="1265"/>
      <c r="G207" s="1265"/>
      <c r="H207" s="1265"/>
      <c r="I207" s="1265"/>
      <c r="J207" s="1265"/>
      <c r="K207" s="1265"/>
      <c r="L207" s="1265"/>
      <c r="M207" s="1265"/>
      <c r="N207" s="1265"/>
      <c r="O207" s="1265"/>
      <c r="P207" s="1265"/>
      <c r="Q207" s="1265"/>
      <c r="R207" s="1265"/>
      <c r="S207" s="1265"/>
      <c r="T207" s="1265"/>
      <c r="U207" s="1265"/>
      <c r="V207" s="1265"/>
      <c r="W207" s="1265"/>
      <c r="X207" s="1265"/>
      <c r="Y207" s="1265"/>
      <c r="Z207" s="1265"/>
    </row>
    <row r="208" ht="27.0" customHeight="1">
      <c r="A208" s="1265"/>
      <c r="B208" s="1265"/>
      <c r="C208" s="1265"/>
      <c r="D208" s="1265"/>
      <c r="E208" s="1265"/>
      <c r="F208" s="1265"/>
      <c r="G208" s="1265"/>
      <c r="H208" s="1265"/>
      <c r="I208" s="1265"/>
      <c r="J208" s="1265"/>
      <c r="K208" s="1265"/>
      <c r="L208" s="1265"/>
      <c r="M208" s="1265"/>
      <c r="N208" s="1265"/>
      <c r="O208" s="1265"/>
      <c r="P208" s="1265"/>
      <c r="Q208" s="1265"/>
      <c r="R208" s="1265"/>
      <c r="S208" s="1265"/>
      <c r="T208" s="1265"/>
      <c r="U208" s="1265"/>
      <c r="V208" s="1265"/>
      <c r="W208" s="1265"/>
      <c r="X208" s="1265"/>
      <c r="Y208" s="1265"/>
      <c r="Z208" s="1265"/>
    </row>
    <row r="209" ht="27.0" customHeight="1">
      <c r="A209" s="1265"/>
      <c r="B209" s="1265"/>
      <c r="C209" s="1265"/>
      <c r="D209" s="1265"/>
      <c r="E209" s="1265"/>
      <c r="F209" s="1265"/>
      <c r="G209" s="1265"/>
      <c r="H209" s="1265"/>
      <c r="I209" s="1265"/>
      <c r="J209" s="1265"/>
      <c r="K209" s="1265"/>
      <c r="L209" s="1265"/>
      <c r="M209" s="1265"/>
      <c r="N209" s="1265"/>
      <c r="O209" s="1265"/>
      <c r="P209" s="1265"/>
      <c r="Q209" s="1265"/>
      <c r="R209" s="1265"/>
      <c r="S209" s="1265"/>
      <c r="T209" s="1265"/>
      <c r="U209" s="1265"/>
      <c r="V209" s="1265"/>
      <c r="W209" s="1265"/>
      <c r="X209" s="1265"/>
      <c r="Y209" s="1265"/>
      <c r="Z209" s="1265"/>
    </row>
    <row r="210" ht="27.0" customHeight="1">
      <c r="A210" s="1265"/>
      <c r="B210" s="1265"/>
      <c r="C210" s="1265"/>
      <c r="D210" s="1265"/>
      <c r="E210" s="1265"/>
      <c r="F210" s="1265"/>
      <c r="G210" s="1265"/>
      <c r="H210" s="1265"/>
      <c r="I210" s="1265"/>
      <c r="J210" s="1265"/>
      <c r="K210" s="1265"/>
      <c r="L210" s="1265"/>
      <c r="M210" s="1265"/>
      <c r="N210" s="1265"/>
      <c r="O210" s="1265"/>
      <c r="P210" s="1265"/>
      <c r="Q210" s="1265"/>
      <c r="R210" s="1265"/>
      <c r="S210" s="1265"/>
      <c r="T210" s="1265"/>
      <c r="U210" s="1265"/>
      <c r="V210" s="1265"/>
      <c r="W210" s="1265"/>
      <c r="X210" s="1265"/>
      <c r="Y210" s="1265"/>
      <c r="Z210" s="1265"/>
    </row>
    <row r="211" ht="27.0" customHeight="1">
      <c r="A211" s="1265"/>
      <c r="B211" s="1265"/>
      <c r="C211" s="1265"/>
      <c r="D211" s="1265"/>
      <c r="E211" s="1265"/>
      <c r="F211" s="1265"/>
      <c r="G211" s="1265"/>
      <c r="H211" s="1265"/>
      <c r="I211" s="1265"/>
      <c r="J211" s="1265"/>
      <c r="K211" s="1265"/>
      <c r="L211" s="1265"/>
      <c r="M211" s="1265"/>
      <c r="N211" s="1265"/>
      <c r="O211" s="1265"/>
      <c r="P211" s="1265"/>
      <c r="Q211" s="1265"/>
      <c r="R211" s="1265"/>
      <c r="S211" s="1265"/>
      <c r="T211" s="1265"/>
      <c r="U211" s="1265"/>
      <c r="V211" s="1265"/>
      <c r="W211" s="1265"/>
      <c r="X211" s="1265"/>
      <c r="Y211" s="1265"/>
      <c r="Z211" s="1265"/>
    </row>
    <row r="212" ht="27.0" customHeight="1">
      <c r="A212" s="1265"/>
      <c r="B212" s="1265"/>
      <c r="C212" s="1265"/>
      <c r="D212" s="1265"/>
      <c r="E212" s="1265"/>
      <c r="F212" s="1265"/>
      <c r="G212" s="1265"/>
      <c r="H212" s="1265"/>
      <c r="I212" s="1265"/>
      <c r="J212" s="1265"/>
      <c r="K212" s="1265"/>
      <c r="L212" s="1265"/>
      <c r="M212" s="1265"/>
      <c r="N212" s="1265"/>
      <c r="O212" s="1265"/>
      <c r="P212" s="1265"/>
      <c r="Q212" s="1265"/>
      <c r="R212" s="1265"/>
      <c r="S212" s="1265"/>
      <c r="T212" s="1265"/>
      <c r="U212" s="1265"/>
      <c r="V212" s="1265"/>
      <c r="W212" s="1265"/>
      <c r="X212" s="1265"/>
      <c r="Y212" s="1265"/>
      <c r="Z212" s="1265"/>
    </row>
    <row r="213" ht="27.0" customHeight="1">
      <c r="A213" s="1265"/>
      <c r="B213" s="1265"/>
      <c r="C213" s="1265"/>
      <c r="D213" s="1265"/>
      <c r="E213" s="1265"/>
      <c r="F213" s="1265"/>
      <c r="G213" s="1265"/>
      <c r="H213" s="1265"/>
      <c r="I213" s="1265"/>
      <c r="J213" s="1265"/>
      <c r="K213" s="1265"/>
      <c r="L213" s="1265"/>
      <c r="M213" s="1265"/>
      <c r="N213" s="1265"/>
      <c r="O213" s="1265"/>
      <c r="P213" s="1265"/>
      <c r="Q213" s="1265"/>
      <c r="R213" s="1265"/>
      <c r="S213" s="1265"/>
      <c r="T213" s="1265"/>
      <c r="U213" s="1265"/>
      <c r="V213" s="1265"/>
      <c r="W213" s="1265"/>
      <c r="X213" s="1265"/>
      <c r="Y213" s="1265"/>
      <c r="Z213" s="1265"/>
    </row>
    <row r="214" ht="27.0" customHeight="1">
      <c r="A214" s="1265"/>
      <c r="B214" s="1265"/>
      <c r="C214" s="1265"/>
      <c r="D214" s="1265"/>
      <c r="E214" s="1265"/>
      <c r="F214" s="1265"/>
      <c r="G214" s="1265"/>
      <c r="H214" s="1265"/>
      <c r="I214" s="1265"/>
      <c r="J214" s="1265"/>
      <c r="K214" s="1265"/>
      <c r="L214" s="1265"/>
      <c r="M214" s="1265"/>
      <c r="N214" s="1265"/>
      <c r="O214" s="1265"/>
      <c r="P214" s="1265"/>
      <c r="Q214" s="1265"/>
      <c r="R214" s="1265"/>
      <c r="S214" s="1265"/>
      <c r="T214" s="1265"/>
      <c r="U214" s="1265"/>
      <c r="V214" s="1265"/>
      <c r="W214" s="1265"/>
      <c r="X214" s="1265"/>
      <c r="Y214" s="1265"/>
      <c r="Z214" s="1265"/>
    </row>
    <row r="215" ht="27.0" customHeight="1">
      <c r="A215" s="1265"/>
      <c r="B215" s="1265"/>
      <c r="C215" s="1265"/>
      <c r="D215" s="1265"/>
      <c r="E215" s="1265"/>
      <c r="F215" s="1265"/>
      <c r="G215" s="1265"/>
      <c r="H215" s="1265"/>
      <c r="I215" s="1265"/>
      <c r="J215" s="1265"/>
      <c r="K215" s="1265"/>
      <c r="L215" s="1265"/>
      <c r="M215" s="1265"/>
      <c r="N215" s="1265"/>
      <c r="O215" s="1265"/>
      <c r="P215" s="1265"/>
      <c r="Q215" s="1265"/>
      <c r="R215" s="1265"/>
      <c r="S215" s="1265"/>
      <c r="T215" s="1265"/>
      <c r="U215" s="1265"/>
      <c r="V215" s="1265"/>
      <c r="W215" s="1265"/>
      <c r="X215" s="1265"/>
      <c r="Y215" s="1265"/>
      <c r="Z215" s="1265"/>
    </row>
    <row r="216" ht="27.0" customHeight="1">
      <c r="A216" s="1265"/>
      <c r="B216" s="1265"/>
      <c r="C216" s="1265"/>
      <c r="D216" s="1265"/>
      <c r="E216" s="1265"/>
      <c r="F216" s="1265"/>
      <c r="G216" s="1265"/>
      <c r="H216" s="1265"/>
      <c r="I216" s="1265"/>
      <c r="J216" s="1265"/>
      <c r="K216" s="1265"/>
      <c r="L216" s="1265"/>
      <c r="M216" s="1265"/>
      <c r="N216" s="1265"/>
      <c r="O216" s="1265"/>
      <c r="P216" s="1265"/>
      <c r="Q216" s="1265"/>
      <c r="R216" s="1265"/>
      <c r="S216" s="1265"/>
      <c r="T216" s="1265"/>
      <c r="U216" s="1265"/>
      <c r="V216" s="1265"/>
      <c r="W216" s="1265"/>
      <c r="X216" s="1265"/>
      <c r="Y216" s="1265"/>
      <c r="Z216" s="1265"/>
    </row>
    <row r="217" ht="27.0" customHeight="1">
      <c r="A217" s="1265"/>
      <c r="B217" s="1265"/>
      <c r="C217" s="1265"/>
      <c r="D217" s="1265"/>
      <c r="E217" s="1265"/>
      <c r="F217" s="1265"/>
      <c r="G217" s="1265"/>
      <c r="H217" s="1265"/>
      <c r="I217" s="1265"/>
      <c r="J217" s="1265"/>
      <c r="K217" s="1265"/>
      <c r="L217" s="1265"/>
      <c r="M217" s="1265"/>
      <c r="N217" s="1265"/>
      <c r="O217" s="1265"/>
      <c r="P217" s="1265"/>
      <c r="Q217" s="1265"/>
      <c r="R217" s="1265"/>
      <c r="S217" s="1265"/>
      <c r="T217" s="1265"/>
      <c r="U217" s="1265"/>
      <c r="V217" s="1265"/>
      <c r="W217" s="1265"/>
      <c r="X217" s="1265"/>
      <c r="Y217" s="1265"/>
      <c r="Z217" s="1265"/>
    </row>
    <row r="218" ht="27.0" customHeight="1">
      <c r="A218" s="1265"/>
      <c r="B218" s="1265"/>
      <c r="C218" s="1265"/>
      <c r="D218" s="1265"/>
      <c r="E218" s="1265"/>
      <c r="F218" s="1265"/>
      <c r="G218" s="1265"/>
      <c r="H218" s="1265"/>
      <c r="I218" s="1265"/>
      <c r="J218" s="1265"/>
      <c r="K218" s="1265"/>
      <c r="L218" s="1265"/>
      <c r="M218" s="1265"/>
      <c r="N218" s="1265"/>
      <c r="O218" s="1265"/>
      <c r="P218" s="1265"/>
      <c r="Q218" s="1265"/>
      <c r="R218" s="1265"/>
      <c r="S218" s="1265"/>
      <c r="T218" s="1265"/>
      <c r="U218" s="1265"/>
      <c r="V218" s="1265"/>
      <c r="W218" s="1265"/>
      <c r="X218" s="1265"/>
      <c r="Y218" s="1265"/>
      <c r="Z218" s="1265"/>
    </row>
    <row r="219" ht="27.0" customHeight="1">
      <c r="A219" s="1265"/>
      <c r="B219" s="1265"/>
      <c r="C219" s="1265"/>
      <c r="D219" s="1265"/>
      <c r="E219" s="1265"/>
      <c r="F219" s="1265"/>
      <c r="G219" s="1265"/>
      <c r="H219" s="1265"/>
      <c r="I219" s="1265"/>
      <c r="J219" s="1265"/>
      <c r="K219" s="1265"/>
      <c r="L219" s="1265"/>
      <c r="M219" s="1265"/>
      <c r="N219" s="1265"/>
      <c r="O219" s="1265"/>
      <c r="P219" s="1265"/>
      <c r="Q219" s="1265"/>
      <c r="R219" s="1265"/>
      <c r="S219" s="1265"/>
      <c r="T219" s="1265"/>
      <c r="U219" s="1265"/>
      <c r="V219" s="1265"/>
      <c r="W219" s="1265"/>
      <c r="X219" s="1265"/>
      <c r="Y219" s="1265"/>
      <c r="Z219" s="1265"/>
    </row>
    <row r="220" ht="27.0" customHeight="1">
      <c r="A220" s="1265"/>
      <c r="B220" s="1265"/>
      <c r="C220" s="1265"/>
      <c r="D220" s="1265"/>
      <c r="E220" s="1265"/>
      <c r="F220" s="1265"/>
      <c r="G220" s="1265"/>
      <c r="H220" s="1265"/>
      <c r="I220" s="1265"/>
      <c r="J220" s="1265"/>
      <c r="K220" s="1265"/>
      <c r="L220" s="1265"/>
      <c r="M220" s="1265"/>
      <c r="N220" s="1265"/>
      <c r="O220" s="1265"/>
      <c r="P220" s="1265"/>
      <c r="Q220" s="1265"/>
      <c r="R220" s="1265"/>
      <c r="S220" s="1265"/>
      <c r="T220" s="1265"/>
      <c r="U220" s="1265"/>
      <c r="V220" s="1265"/>
      <c r="W220" s="1265"/>
      <c r="X220" s="1265"/>
      <c r="Y220" s="1265"/>
      <c r="Z220" s="1265"/>
    </row>
    <row r="221" ht="27.0" customHeight="1">
      <c r="A221" s="1265"/>
      <c r="B221" s="1265"/>
      <c r="C221" s="1265"/>
      <c r="D221" s="1265"/>
      <c r="E221" s="1265"/>
      <c r="F221" s="1265"/>
      <c r="G221" s="1265"/>
      <c r="H221" s="1265"/>
      <c r="I221" s="1265"/>
      <c r="J221" s="1265"/>
      <c r="K221" s="1265"/>
      <c r="L221" s="1265"/>
      <c r="M221" s="1265"/>
      <c r="N221" s="1265"/>
      <c r="O221" s="1265"/>
      <c r="P221" s="1265"/>
      <c r="Q221" s="1265"/>
      <c r="R221" s="1265"/>
      <c r="S221" s="1265"/>
      <c r="T221" s="1265"/>
      <c r="U221" s="1265"/>
      <c r="V221" s="1265"/>
      <c r="W221" s="1265"/>
      <c r="X221" s="1265"/>
      <c r="Y221" s="1265"/>
      <c r="Z221" s="1265"/>
    </row>
    <row r="222" ht="27.0" customHeight="1">
      <c r="A222" s="1265"/>
      <c r="B222" s="1265"/>
      <c r="C222" s="1265"/>
      <c r="D222" s="1265"/>
      <c r="E222" s="1265"/>
      <c r="F222" s="1265"/>
      <c r="G222" s="1265"/>
      <c r="H222" s="1265"/>
      <c r="I222" s="1265"/>
      <c r="J222" s="1265"/>
      <c r="K222" s="1265"/>
      <c r="L222" s="1265"/>
      <c r="M222" s="1265"/>
      <c r="N222" s="1265"/>
      <c r="O222" s="1265"/>
      <c r="P222" s="1265"/>
      <c r="Q222" s="1265"/>
      <c r="R222" s="1265"/>
      <c r="S222" s="1265"/>
      <c r="T222" s="1265"/>
      <c r="U222" s="1265"/>
      <c r="V222" s="1265"/>
      <c r="W222" s="1265"/>
      <c r="X222" s="1265"/>
      <c r="Y222" s="1265"/>
      <c r="Z222" s="1265"/>
    </row>
    <row r="223" ht="27.0" customHeight="1">
      <c r="A223" s="1265"/>
      <c r="B223" s="1265"/>
      <c r="C223" s="1265"/>
      <c r="D223" s="1265"/>
      <c r="E223" s="1265"/>
      <c r="F223" s="1265"/>
      <c r="G223" s="1265"/>
      <c r="H223" s="1265"/>
      <c r="I223" s="1265"/>
      <c r="J223" s="1265"/>
      <c r="K223" s="1265"/>
      <c r="L223" s="1265"/>
      <c r="M223" s="1265"/>
      <c r="N223" s="1265"/>
      <c r="O223" s="1265"/>
      <c r="P223" s="1265"/>
      <c r="Q223" s="1265"/>
      <c r="R223" s="1265"/>
      <c r="S223" s="1265"/>
      <c r="T223" s="1265"/>
      <c r="U223" s="1265"/>
      <c r="V223" s="1265"/>
      <c r="W223" s="1265"/>
      <c r="X223" s="1265"/>
      <c r="Y223" s="1265"/>
      <c r="Z223" s="1265"/>
    </row>
    <row r="224" ht="27.0" customHeight="1">
      <c r="A224" s="1265"/>
      <c r="B224" s="1265"/>
      <c r="C224" s="1265"/>
      <c r="D224" s="1265"/>
      <c r="E224" s="1265"/>
      <c r="F224" s="1265"/>
      <c r="G224" s="1265"/>
      <c r="H224" s="1265"/>
      <c r="I224" s="1265"/>
      <c r="J224" s="1265"/>
      <c r="K224" s="1265"/>
      <c r="L224" s="1265"/>
      <c r="M224" s="1265"/>
      <c r="N224" s="1265"/>
      <c r="O224" s="1265"/>
      <c r="P224" s="1265"/>
      <c r="Q224" s="1265"/>
      <c r="R224" s="1265"/>
      <c r="S224" s="1265"/>
      <c r="T224" s="1265"/>
      <c r="U224" s="1265"/>
      <c r="V224" s="1265"/>
      <c r="W224" s="1265"/>
      <c r="X224" s="1265"/>
      <c r="Y224" s="1265"/>
      <c r="Z224" s="1265"/>
    </row>
    <row r="225" ht="27.0" customHeight="1">
      <c r="A225" s="1265"/>
      <c r="B225" s="1265"/>
      <c r="C225" s="1265"/>
      <c r="D225" s="1265"/>
      <c r="E225" s="1265"/>
      <c r="F225" s="1265"/>
      <c r="G225" s="1265"/>
      <c r="H225" s="1265"/>
      <c r="I225" s="1265"/>
      <c r="J225" s="1265"/>
      <c r="K225" s="1265"/>
      <c r="L225" s="1265"/>
      <c r="M225" s="1265"/>
      <c r="N225" s="1265"/>
      <c r="O225" s="1265"/>
      <c r="P225" s="1265"/>
      <c r="Q225" s="1265"/>
      <c r="R225" s="1265"/>
      <c r="S225" s="1265"/>
      <c r="T225" s="1265"/>
      <c r="U225" s="1265"/>
      <c r="V225" s="1265"/>
      <c r="W225" s="1265"/>
      <c r="X225" s="1265"/>
      <c r="Y225" s="1265"/>
      <c r="Z225" s="1265"/>
    </row>
    <row r="226" ht="27.0" customHeight="1">
      <c r="A226" s="1265"/>
      <c r="B226" s="1265"/>
      <c r="C226" s="1265"/>
      <c r="D226" s="1265"/>
      <c r="E226" s="1265"/>
      <c r="F226" s="1265"/>
      <c r="G226" s="1265"/>
      <c r="H226" s="1265"/>
      <c r="I226" s="1265"/>
      <c r="J226" s="1265"/>
      <c r="K226" s="1265"/>
      <c r="L226" s="1265"/>
      <c r="M226" s="1265"/>
      <c r="N226" s="1265"/>
      <c r="O226" s="1265"/>
      <c r="P226" s="1265"/>
      <c r="Q226" s="1265"/>
      <c r="R226" s="1265"/>
      <c r="S226" s="1265"/>
      <c r="T226" s="1265"/>
      <c r="U226" s="1265"/>
      <c r="V226" s="1265"/>
      <c r="W226" s="1265"/>
      <c r="X226" s="1265"/>
      <c r="Y226" s="1265"/>
      <c r="Z226" s="1265"/>
    </row>
    <row r="227" ht="27.0" customHeight="1">
      <c r="A227" s="1265"/>
      <c r="B227" s="1265"/>
      <c r="C227" s="1265"/>
      <c r="D227" s="1265"/>
      <c r="E227" s="1265"/>
      <c r="F227" s="1265"/>
      <c r="G227" s="1265"/>
      <c r="H227" s="1265"/>
      <c r="I227" s="1265"/>
      <c r="J227" s="1265"/>
      <c r="K227" s="1265"/>
      <c r="L227" s="1265"/>
      <c r="M227" s="1265"/>
      <c r="N227" s="1265"/>
      <c r="O227" s="1265"/>
      <c r="P227" s="1265"/>
      <c r="Q227" s="1265"/>
      <c r="R227" s="1265"/>
      <c r="S227" s="1265"/>
      <c r="T227" s="1265"/>
      <c r="U227" s="1265"/>
      <c r="V227" s="1265"/>
      <c r="W227" s="1265"/>
      <c r="X227" s="1265"/>
      <c r="Y227" s="1265"/>
      <c r="Z227" s="1265"/>
    </row>
    <row r="228" ht="27.0" customHeight="1">
      <c r="A228" s="1265"/>
      <c r="B228" s="1265"/>
      <c r="C228" s="1265"/>
      <c r="D228" s="1265"/>
      <c r="E228" s="1265"/>
      <c r="F228" s="1265"/>
      <c r="G228" s="1265"/>
      <c r="H228" s="1265"/>
      <c r="I228" s="1265"/>
      <c r="J228" s="1265"/>
      <c r="K228" s="1265"/>
      <c r="L228" s="1265"/>
      <c r="M228" s="1265"/>
      <c r="N228" s="1265"/>
      <c r="O228" s="1265"/>
      <c r="P228" s="1265"/>
      <c r="Q228" s="1265"/>
      <c r="R228" s="1265"/>
      <c r="S228" s="1265"/>
      <c r="T228" s="1265"/>
      <c r="U228" s="1265"/>
      <c r="V228" s="1265"/>
      <c r="W228" s="1265"/>
      <c r="X228" s="1265"/>
      <c r="Y228" s="1265"/>
      <c r="Z228" s="1265"/>
    </row>
    <row r="229" ht="27.0" customHeight="1">
      <c r="A229" s="1265"/>
      <c r="B229" s="1265"/>
      <c r="C229" s="1265"/>
      <c r="D229" s="1265"/>
      <c r="E229" s="1265"/>
      <c r="F229" s="1265"/>
      <c r="G229" s="1265"/>
      <c r="H229" s="1265"/>
      <c r="I229" s="1265"/>
      <c r="J229" s="1265"/>
      <c r="K229" s="1265"/>
      <c r="L229" s="1265"/>
      <c r="M229" s="1265"/>
      <c r="N229" s="1265"/>
      <c r="O229" s="1265"/>
      <c r="P229" s="1265"/>
      <c r="Q229" s="1265"/>
      <c r="R229" s="1265"/>
      <c r="S229" s="1265"/>
      <c r="T229" s="1265"/>
      <c r="U229" s="1265"/>
      <c r="V229" s="1265"/>
      <c r="W229" s="1265"/>
      <c r="X229" s="1265"/>
      <c r="Y229" s="1265"/>
      <c r="Z229" s="1265"/>
    </row>
    <row r="230" ht="27.0" customHeight="1">
      <c r="A230" s="1265"/>
      <c r="B230" s="1265"/>
      <c r="C230" s="1265"/>
      <c r="D230" s="1265"/>
      <c r="E230" s="1265"/>
      <c r="F230" s="1265"/>
      <c r="G230" s="1265"/>
      <c r="H230" s="1265"/>
      <c r="I230" s="1265"/>
      <c r="J230" s="1265"/>
      <c r="K230" s="1265"/>
      <c r="L230" s="1265"/>
      <c r="M230" s="1265"/>
      <c r="N230" s="1265"/>
      <c r="O230" s="1265"/>
      <c r="P230" s="1265"/>
      <c r="Q230" s="1265"/>
      <c r="R230" s="1265"/>
      <c r="S230" s="1265"/>
      <c r="T230" s="1265"/>
      <c r="U230" s="1265"/>
      <c r="V230" s="1265"/>
      <c r="W230" s="1265"/>
      <c r="X230" s="1265"/>
      <c r="Y230" s="1265"/>
      <c r="Z230" s="1265"/>
    </row>
    <row r="231" ht="27.0" customHeight="1">
      <c r="A231" s="1265"/>
      <c r="B231" s="1265"/>
      <c r="C231" s="1265"/>
      <c r="D231" s="1265"/>
      <c r="E231" s="1265"/>
      <c r="F231" s="1265"/>
      <c r="G231" s="1265"/>
      <c r="H231" s="1265"/>
      <c r="I231" s="1265"/>
      <c r="J231" s="1265"/>
      <c r="K231" s="1265"/>
      <c r="L231" s="1265"/>
      <c r="M231" s="1265"/>
      <c r="N231" s="1265"/>
      <c r="O231" s="1265"/>
      <c r="P231" s="1265"/>
      <c r="Q231" s="1265"/>
      <c r="R231" s="1265"/>
      <c r="S231" s="1265"/>
      <c r="T231" s="1265"/>
      <c r="U231" s="1265"/>
      <c r="V231" s="1265"/>
      <c r="W231" s="1265"/>
      <c r="X231" s="1265"/>
      <c r="Y231" s="1265"/>
      <c r="Z231" s="1265"/>
    </row>
    <row r="232" ht="27.0" customHeight="1">
      <c r="A232" s="1265"/>
      <c r="B232" s="1265"/>
      <c r="C232" s="1265"/>
      <c r="D232" s="1265"/>
      <c r="E232" s="1265"/>
      <c r="F232" s="1265"/>
      <c r="G232" s="1265"/>
      <c r="H232" s="1265"/>
      <c r="I232" s="1265"/>
      <c r="J232" s="1265"/>
      <c r="K232" s="1265"/>
      <c r="L232" s="1265"/>
      <c r="M232" s="1265"/>
      <c r="N232" s="1265"/>
      <c r="O232" s="1265"/>
      <c r="P232" s="1265"/>
      <c r="Q232" s="1265"/>
      <c r="R232" s="1265"/>
      <c r="S232" s="1265"/>
      <c r="T232" s="1265"/>
      <c r="U232" s="1265"/>
      <c r="V232" s="1265"/>
      <c r="W232" s="1265"/>
      <c r="X232" s="1265"/>
      <c r="Y232" s="1265"/>
      <c r="Z232" s="1265"/>
    </row>
    <row r="233" ht="27.0" customHeight="1">
      <c r="A233" s="1265"/>
      <c r="B233" s="1265"/>
      <c r="C233" s="1265"/>
      <c r="D233" s="1265"/>
      <c r="E233" s="1265"/>
      <c r="F233" s="1265"/>
      <c r="G233" s="1265"/>
      <c r="H233" s="1265"/>
      <c r="I233" s="1265"/>
      <c r="J233" s="1265"/>
      <c r="K233" s="1265"/>
      <c r="L233" s="1265"/>
      <c r="M233" s="1265"/>
      <c r="N233" s="1265"/>
      <c r="O233" s="1265"/>
      <c r="P233" s="1265"/>
      <c r="Q233" s="1265"/>
      <c r="R233" s="1265"/>
      <c r="S233" s="1265"/>
      <c r="T233" s="1265"/>
      <c r="U233" s="1265"/>
      <c r="V233" s="1265"/>
      <c r="W233" s="1265"/>
      <c r="X233" s="1265"/>
      <c r="Y233" s="1265"/>
      <c r="Z233" s="1265"/>
    </row>
    <row r="234" ht="27.0" customHeight="1">
      <c r="A234" s="1265"/>
      <c r="B234" s="1265"/>
      <c r="C234" s="1265"/>
      <c r="D234" s="1265"/>
      <c r="E234" s="1265"/>
      <c r="F234" s="1265"/>
      <c r="G234" s="1265"/>
      <c r="H234" s="1265"/>
      <c r="I234" s="1265"/>
      <c r="J234" s="1265"/>
      <c r="K234" s="1265"/>
      <c r="L234" s="1265"/>
      <c r="M234" s="1265"/>
      <c r="N234" s="1265"/>
      <c r="O234" s="1265"/>
      <c r="P234" s="1265"/>
      <c r="Q234" s="1265"/>
      <c r="R234" s="1265"/>
      <c r="S234" s="1265"/>
      <c r="T234" s="1265"/>
      <c r="U234" s="1265"/>
      <c r="V234" s="1265"/>
      <c r="W234" s="1265"/>
      <c r="X234" s="1265"/>
      <c r="Y234" s="1265"/>
      <c r="Z234" s="1265"/>
    </row>
    <row r="235" ht="27.0" customHeight="1">
      <c r="A235" s="1265"/>
      <c r="B235" s="1265"/>
      <c r="C235" s="1265"/>
      <c r="D235" s="1265"/>
      <c r="E235" s="1265"/>
      <c r="F235" s="1265"/>
      <c r="G235" s="1265"/>
      <c r="H235" s="1265"/>
      <c r="I235" s="1265"/>
      <c r="J235" s="1265"/>
      <c r="K235" s="1265"/>
      <c r="L235" s="1265"/>
      <c r="M235" s="1265"/>
      <c r="N235" s="1265"/>
      <c r="O235" s="1265"/>
      <c r="P235" s="1265"/>
      <c r="Q235" s="1265"/>
      <c r="R235" s="1265"/>
      <c r="S235" s="1265"/>
      <c r="T235" s="1265"/>
      <c r="U235" s="1265"/>
      <c r="V235" s="1265"/>
      <c r="W235" s="1265"/>
      <c r="X235" s="1265"/>
      <c r="Y235" s="1265"/>
      <c r="Z235" s="1265"/>
    </row>
    <row r="236" ht="27.0" customHeight="1">
      <c r="A236" s="1265"/>
      <c r="B236" s="1265"/>
      <c r="C236" s="1265"/>
      <c r="D236" s="1265"/>
      <c r="E236" s="1265"/>
      <c r="F236" s="1265"/>
      <c r="G236" s="1265"/>
      <c r="H236" s="1265"/>
      <c r="I236" s="1265"/>
      <c r="J236" s="1265"/>
      <c r="K236" s="1265"/>
      <c r="L236" s="1265"/>
      <c r="M236" s="1265"/>
      <c r="N236" s="1265"/>
      <c r="O236" s="1265"/>
      <c r="P236" s="1265"/>
      <c r="Q236" s="1265"/>
      <c r="R236" s="1265"/>
      <c r="S236" s="1265"/>
      <c r="T236" s="1265"/>
      <c r="U236" s="1265"/>
      <c r="V236" s="1265"/>
      <c r="W236" s="1265"/>
      <c r="X236" s="1265"/>
      <c r="Y236" s="1265"/>
      <c r="Z236" s="1265"/>
    </row>
    <row r="237" ht="27.0" customHeight="1">
      <c r="A237" s="1265"/>
      <c r="B237" s="1265"/>
      <c r="C237" s="1265"/>
      <c r="D237" s="1265"/>
      <c r="E237" s="1265"/>
      <c r="F237" s="1265"/>
      <c r="G237" s="1265"/>
      <c r="H237" s="1265"/>
      <c r="I237" s="1265"/>
      <c r="J237" s="1265"/>
      <c r="K237" s="1265"/>
      <c r="L237" s="1265"/>
      <c r="M237" s="1265"/>
      <c r="N237" s="1265"/>
      <c r="O237" s="1265"/>
      <c r="P237" s="1265"/>
      <c r="Q237" s="1265"/>
      <c r="R237" s="1265"/>
      <c r="S237" s="1265"/>
      <c r="T237" s="1265"/>
      <c r="U237" s="1265"/>
      <c r="V237" s="1265"/>
      <c r="W237" s="1265"/>
      <c r="X237" s="1265"/>
      <c r="Y237" s="1265"/>
      <c r="Z237" s="1265"/>
    </row>
    <row r="238" ht="27.0" customHeight="1">
      <c r="A238" s="1265"/>
      <c r="B238" s="1265"/>
      <c r="C238" s="1265"/>
      <c r="D238" s="1265"/>
      <c r="E238" s="1265"/>
      <c r="F238" s="1265"/>
      <c r="G238" s="1265"/>
      <c r="H238" s="1265"/>
      <c r="I238" s="1265"/>
      <c r="J238" s="1265"/>
      <c r="K238" s="1265"/>
      <c r="L238" s="1265"/>
      <c r="M238" s="1265"/>
      <c r="N238" s="1265"/>
      <c r="O238" s="1265"/>
      <c r="P238" s="1265"/>
      <c r="Q238" s="1265"/>
      <c r="R238" s="1265"/>
      <c r="S238" s="1265"/>
      <c r="T238" s="1265"/>
      <c r="U238" s="1265"/>
      <c r="V238" s="1265"/>
      <c r="W238" s="1265"/>
      <c r="X238" s="1265"/>
      <c r="Y238" s="1265"/>
      <c r="Z238" s="1265"/>
    </row>
    <row r="239" ht="27.0" customHeight="1">
      <c r="A239" s="1265"/>
      <c r="B239" s="1265"/>
      <c r="C239" s="1265"/>
      <c r="D239" s="1265"/>
      <c r="E239" s="1265"/>
      <c r="F239" s="1265"/>
      <c r="G239" s="1265"/>
      <c r="H239" s="1265"/>
      <c r="I239" s="1265"/>
      <c r="J239" s="1265"/>
      <c r="K239" s="1265"/>
      <c r="L239" s="1265"/>
      <c r="M239" s="1265"/>
      <c r="N239" s="1265"/>
      <c r="O239" s="1265"/>
      <c r="P239" s="1265"/>
      <c r="Q239" s="1265"/>
      <c r="R239" s="1265"/>
      <c r="S239" s="1265"/>
      <c r="T239" s="1265"/>
      <c r="U239" s="1265"/>
      <c r="V239" s="1265"/>
      <c r="W239" s="1265"/>
      <c r="X239" s="1265"/>
      <c r="Y239" s="1265"/>
      <c r="Z239" s="1265"/>
    </row>
    <row r="240" ht="27.0" customHeight="1">
      <c r="A240" s="1265"/>
      <c r="B240" s="1265"/>
      <c r="C240" s="1265"/>
      <c r="D240" s="1265"/>
      <c r="E240" s="1265"/>
      <c r="F240" s="1265"/>
      <c r="G240" s="1265"/>
      <c r="H240" s="1265"/>
      <c r="I240" s="1265"/>
      <c r="J240" s="1265"/>
      <c r="K240" s="1265"/>
      <c r="L240" s="1265"/>
      <c r="M240" s="1265"/>
      <c r="N240" s="1265"/>
      <c r="O240" s="1265"/>
      <c r="P240" s="1265"/>
      <c r="Q240" s="1265"/>
      <c r="R240" s="1265"/>
      <c r="S240" s="1265"/>
      <c r="T240" s="1265"/>
      <c r="U240" s="1265"/>
      <c r="V240" s="1265"/>
      <c r="W240" s="1265"/>
      <c r="X240" s="1265"/>
      <c r="Y240" s="1265"/>
      <c r="Z240" s="1265"/>
    </row>
    <row r="241" ht="27.0" customHeight="1">
      <c r="A241" s="1265"/>
      <c r="B241" s="1265"/>
      <c r="C241" s="1265"/>
      <c r="D241" s="1265"/>
      <c r="E241" s="1265"/>
      <c r="F241" s="1265"/>
      <c r="G241" s="1265"/>
      <c r="H241" s="1265"/>
      <c r="I241" s="1265"/>
      <c r="J241" s="1265"/>
      <c r="K241" s="1265"/>
      <c r="L241" s="1265"/>
      <c r="M241" s="1265"/>
      <c r="N241" s="1265"/>
      <c r="O241" s="1265"/>
      <c r="P241" s="1265"/>
      <c r="Q241" s="1265"/>
      <c r="R241" s="1265"/>
      <c r="S241" s="1265"/>
      <c r="T241" s="1265"/>
      <c r="U241" s="1265"/>
      <c r="V241" s="1265"/>
      <c r="W241" s="1265"/>
      <c r="X241" s="1265"/>
      <c r="Y241" s="1265"/>
      <c r="Z241" s="1265"/>
    </row>
    <row r="242" ht="27.0" customHeight="1">
      <c r="A242" s="1265"/>
      <c r="B242" s="1265"/>
      <c r="C242" s="1265"/>
      <c r="D242" s="1265"/>
      <c r="E242" s="1265"/>
      <c r="F242" s="1265"/>
      <c r="G242" s="1265"/>
      <c r="H242" s="1265"/>
      <c r="I242" s="1265"/>
      <c r="J242" s="1265"/>
      <c r="K242" s="1265"/>
      <c r="L242" s="1265"/>
      <c r="M242" s="1265"/>
      <c r="N242" s="1265"/>
      <c r="O242" s="1265"/>
      <c r="P242" s="1265"/>
      <c r="Q242" s="1265"/>
      <c r="R242" s="1265"/>
      <c r="S242" s="1265"/>
      <c r="T242" s="1265"/>
      <c r="U242" s="1265"/>
      <c r="V242" s="1265"/>
      <c r="W242" s="1265"/>
      <c r="X242" s="1265"/>
      <c r="Y242" s="1265"/>
      <c r="Z242" s="1265"/>
    </row>
    <row r="243" ht="27.0" customHeight="1">
      <c r="A243" s="1265"/>
      <c r="B243" s="1265"/>
      <c r="C243" s="1265"/>
      <c r="D243" s="1265"/>
      <c r="E243" s="1265"/>
      <c r="F243" s="1265"/>
      <c r="G243" s="1265"/>
      <c r="H243" s="1265"/>
      <c r="I243" s="1265"/>
      <c r="J243" s="1265"/>
      <c r="K243" s="1265"/>
      <c r="L243" s="1265"/>
      <c r="M243" s="1265"/>
      <c r="N243" s="1265"/>
      <c r="O243" s="1265"/>
      <c r="P243" s="1265"/>
      <c r="Q243" s="1265"/>
      <c r="R243" s="1265"/>
      <c r="S243" s="1265"/>
      <c r="T243" s="1265"/>
      <c r="U243" s="1265"/>
      <c r="V243" s="1265"/>
      <c r="W243" s="1265"/>
      <c r="X243" s="1265"/>
      <c r="Y243" s="1265"/>
      <c r="Z243" s="1265"/>
    </row>
    <row r="244" ht="27.0" customHeight="1">
      <c r="A244" s="1265"/>
      <c r="B244" s="1265"/>
      <c r="C244" s="1265"/>
      <c r="D244" s="1265"/>
      <c r="E244" s="1265"/>
      <c r="F244" s="1265"/>
      <c r="G244" s="1265"/>
      <c r="H244" s="1265"/>
      <c r="I244" s="1265"/>
      <c r="J244" s="1265"/>
      <c r="K244" s="1265"/>
      <c r="L244" s="1265"/>
      <c r="M244" s="1265"/>
      <c r="N244" s="1265"/>
      <c r="O244" s="1265"/>
      <c r="P244" s="1265"/>
      <c r="Q244" s="1265"/>
      <c r="R244" s="1265"/>
      <c r="S244" s="1265"/>
      <c r="T244" s="1265"/>
      <c r="U244" s="1265"/>
      <c r="V244" s="1265"/>
      <c r="W244" s="1265"/>
      <c r="X244" s="1265"/>
      <c r="Y244" s="1265"/>
      <c r="Z244" s="1265"/>
    </row>
    <row r="245" ht="27.0" customHeight="1">
      <c r="A245" s="1265"/>
      <c r="B245" s="1265"/>
      <c r="C245" s="1265"/>
      <c r="D245" s="1265"/>
      <c r="E245" s="1265"/>
      <c r="F245" s="1265"/>
      <c r="G245" s="1265"/>
      <c r="H245" s="1265"/>
      <c r="I245" s="1265"/>
      <c r="J245" s="1265"/>
      <c r="K245" s="1265"/>
      <c r="L245" s="1265"/>
      <c r="M245" s="1265"/>
      <c r="N245" s="1265"/>
      <c r="O245" s="1265"/>
      <c r="P245" s="1265"/>
      <c r="Q245" s="1265"/>
      <c r="R245" s="1265"/>
      <c r="S245" s="1265"/>
      <c r="T245" s="1265"/>
      <c r="U245" s="1265"/>
      <c r="V245" s="1265"/>
      <c r="W245" s="1265"/>
      <c r="X245" s="1265"/>
      <c r="Y245" s="1265"/>
      <c r="Z245" s="1265"/>
    </row>
    <row r="246" ht="27.0" customHeight="1">
      <c r="A246" s="1265"/>
      <c r="B246" s="1265"/>
      <c r="C246" s="1265"/>
      <c r="D246" s="1265"/>
      <c r="E246" s="1265"/>
      <c r="F246" s="1265"/>
      <c r="G246" s="1265"/>
      <c r="H246" s="1265"/>
      <c r="I246" s="1265"/>
      <c r="J246" s="1265"/>
      <c r="K246" s="1265"/>
      <c r="L246" s="1265"/>
      <c r="M246" s="1265"/>
      <c r="N246" s="1265"/>
      <c r="O246" s="1265"/>
      <c r="P246" s="1265"/>
      <c r="Q246" s="1265"/>
      <c r="R246" s="1265"/>
      <c r="S246" s="1265"/>
      <c r="T246" s="1265"/>
      <c r="U246" s="1265"/>
      <c r="V246" s="1265"/>
      <c r="W246" s="1265"/>
      <c r="X246" s="1265"/>
      <c r="Y246" s="1265"/>
      <c r="Z246" s="1265"/>
    </row>
    <row r="247" ht="27.0" customHeight="1">
      <c r="A247" s="1265"/>
      <c r="B247" s="1265"/>
      <c r="C247" s="1265"/>
      <c r="D247" s="1265"/>
      <c r="E247" s="1265"/>
      <c r="F247" s="1265"/>
      <c r="G247" s="1265"/>
      <c r="H247" s="1265"/>
      <c r="I247" s="1265"/>
      <c r="J247" s="1265"/>
      <c r="K247" s="1265"/>
      <c r="L247" s="1265"/>
      <c r="M247" s="1265"/>
      <c r="N247" s="1265"/>
      <c r="O247" s="1265"/>
      <c r="P247" s="1265"/>
      <c r="Q247" s="1265"/>
      <c r="R247" s="1265"/>
      <c r="S247" s="1265"/>
      <c r="T247" s="1265"/>
      <c r="U247" s="1265"/>
      <c r="V247" s="1265"/>
      <c r="W247" s="1265"/>
      <c r="X247" s="1265"/>
      <c r="Y247" s="1265"/>
      <c r="Z247" s="1265"/>
    </row>
    <row r="248" ht="27.0" customHeight="1">
      <c r="A248" s="1265"/>
      <c r="B248" s="1265"/>
      <c r="C248" s="1265"/>
      <c r="D248" s="1265"/>
      <c r="E248" s="1265"/>
      <c r="F248" s="1265"/>
      <c r="G248" s="1265"/>
      <c r="H248" s="1265"/>
      <c r="I248" s="1265"/>
      <c r="J248" s="1265"/>
      <c r="K248" s="1265"/>
      <c r="L248" s="1265"/>
      <c r="M248" s="1265"/>
      <c r="N248" s="1265"/>
      <c r="O248" s="1265"/>
      <c r="P248" s="1265"/>
      <c r="Q248" s="1265"/>
      <c r="R248" s="1265"/>
      <c r="S248" s="1265"/>
      <c r="T248" s="1265"/>
      <c r="U248" s="1265"/>
      <c r="V248" s="1265"/>
      <c r="W248" s="1265"/>
      <c r="X248" s="1265"/>
      <c r="Y248" s="1265"/>
      <c r="Z248" s="1265"/>
    </row>
    <row r="249" ht="27.0" customHeight="1">
      <c r="A249" s="1265"/>
      <c r="B249" s="1265"/>
      <c r="C249" s="1265"/>
      <c r="D249" s="1265"/>
      <c r="E249" s="1265"/>
      <c r="F249" s="1265"/>
      <c r="G249" s="1265"/>
      <c r="H249" s="1265"/>
      <c r="I249" s="1265"/>
      <c r="J249" s="1265"/>
      <c r="K249" s="1265"/>
      <c r="L249" s="1265"/>
      <c r="M249" s="1265"/>
      <c r="N249" s="1265"/>
      <c r="O249" s="1265"/>
      <c r="P249" s="1265"/>
      <c r="Q249" s="1265"/>
      <c r="R249" s="1265"/>
      <c r="S249" s="1265"/>
      <c r="T249" s="1265"/>
      <c r="U249" s="1265"/>
      <c r="V249" s="1265"/>
      <c r="W249" s="1265"/>
      <c r="X249" s="1265"/>
      <c r="Y249" s="1265"/>
      <c r="Z249" s="1265"/>
    </row>
    <row r="250" ht="27.0" customHeight="1">
      <c r="A250" s="1265"/>
      <c r="B250" s="1265"/>
      <c r="C250" s="1265"/>
      <c r="D250" s="1265"/>
      <c r="E250" s="1265"/>
      <c r="F250" s="1265"/>
      <c r="G250" s="1265"/>
      <c r="H250" s="1265"/>
      <c r="I250" s="1265"/>
      <c r="J250" s="1265"/>
      <c r="K250" s="1265"/>
      <c r="L250" s="1265"/>
      <c r="M250" s="1265"/>
      <c r="N250" s="1265"/>
      <c r="O250" s="1265"/>
      <c r="P250" s="1265"/>
      <c r="Q250" s="1265"/>
      <c r="R250" s="1265"/>
      <c r="S250" s="1265"/>
      <c r="T250" s="1265"/>
      <c r="U250" s="1265"/>
      <c r="V250" s="1265"/>
      <c r="W250" s="1265"/>
      <c r="X250" s="1265"/>
      <c r="Y250" s="1265"/>
      <c r="Z250" s="1265"/>
    </row>
    <row r="251" ht="27.0" customHeight="1">
      <c r="A251" s="1265"/>
      <c r="B251" s="1265"/>
      <c r="C251" s="1265"/>
      <c r="D251" s="1265"/>
      <c r="E251" s="1265"/>
      <c r="F251" s="1265"/>
      <c r="G251" s="1265"/>
      <c r="H251" s="1265"/>
      <c r="I251" s="1265"/>
      <c r="J251" s="1265"/>
      <c r="K251" s="1265"/>
      <c r="L251" s="1265"/>
      <c r="M251" s="1265"/>
      <c r="N251" s="1265"/>
      <c r="O251" s="1265"/>
      <c r="P251" s="1265"/>
      <c r="Q251" s="1265"/>
      <c r="R251" s="1265"/>
      <c r="S251" s="1265"/>
      <c r="T251" s="1265"/>
      <c r="U251" s="1265"/>
      <c r="V251" s="1265"/>
      <c r="W251" s="1265"/>
      <c r="X251" s="1265"/>
      <c r="Y251" s="1265"/>
      <c r="Z251" s="1265"/>
    </row>
    <row r="252" ht="27.0" customHeight="1">
      <c r="A252" s="1265"/>
      <c r="B252" s="1265"/>
      <c r="C252" s="1265"/>
      <c r="D252" s="1265"/>
      <c r="E252" s="1265"/>
      <c r="F252" s="1265"/>
      <c r="G252" s="1265"/>
      <c r="H252" s="1265"/>
      <c r="I252" s="1265"/>
      <c r="J252" s="1265"/>
      <c r="K252" s="1265"/>
      <c r="L252" s="1265"/>
      <c r="M252" s="1265"/>
      <c r="N252" s="1265"/>
      <c r="O252" s="1265"/>
      <c r="P252" s="1265"/>
      <c r="Q252" s="1265"/>
      <c r="R252" s="1265"/>
      <c r="S252" s="1265"/>
      <c r="T252" s="1265"/>
      <c r="U252" s="1265"/>
      <c r="V252" s="1265"/>
      <c r="W252" s="1265"/>
      <c r="X252" s="1265"/>
      <c r="Y252" s="1265"/>
      <c r="Z252" s="1265"/>
    </row>
    <row r="253" ht="27.0" customHeight="1">
      <c r="A253" s="1265"/>
      <c r="B253" s="1265"/>
      <c r="C253" s="1265"/>
      <c r="D253" s="1265"/>
      <c r="E253" s="1265"/>
      <c r="F253" s="1265"/>
      <c r="G253" s="1265"/>
      <c r="H253" s="1265"/>
      <c r="I253" s="1265"/>
      <c r="J253" s="1265"/>
      <c r="K253" s="1265"/>
      <c r="L253" s="1265"/>
      <c r="M253" s="1265"/>
      <c r="N253" s="1265"/>
      <c r="O253" s="1265"/>
      <c r="P253" s="1265"/>
      <c r="Q253" s="1265"/>
      <c r="R253" s="1265"/>
      <c r="S253" s="1265"/>
      <c r="T253" s="1265"/>
      <c r="U253" s="1265"/>
      <c r="V253" s="1265"/>
      <c r="W253" s="1265"/>
      <c r="X253" s="1265"/>
      <c r="Y253" s="1265"/>
      <c r="Z253" s="1265"/>
    </row>
    <row r="254" ht="27.0" customHeight="1">
      <c r="A254" s="1265"/>
      <c r="B254" s="1265"/>
      <c r="C254" s="1265"/>
      <c r="D254" s="1265"/>
      <c r="E254" s="1265"/>
      <c r="F254" s="1265"/>
      <c r="G254" s="1265"/>
      <c r="H254" s="1265"/>
      <c r="I254" s="1265"/>
      <c r="J254" s="1265"/>
      <c r="K254" s="1265"/>
      <c r="L254" s="1265"/>
      <c r="M254" s="1265"/>
      <c r="N254" s="1265"/>
      <c r="O254" s="1265"/>
      <c r="P254" s="1265"/>
      <c r="Q254" s="1265"/>
      <c r="R254" s="1265"/>
      <c r="S254" s="1265"/>
      <c r="T254" s="1265"/>
      <c r="U254" s="1265"/>
      <c r="V254" s="1265"/>
      <c r="W254" s="1265"/>
      <c r="X254" s="1265"/>
      <c r="Y254" s="1265"/>
      <c r="Z254" s="1265"/>
    </row>
    <row r="255" ht="27.0" customHeight="1">
      <c r="A255" s="1265"/>
      <c r="B255" s="1265"/>
      <c r="C255" s="1265"/>
      <c r="D255" s="1265"/>
      <c r="E255" s="1265"/>
      <c r="F255" s="1265"/>
      <c r="G255" s="1265"/>
      <c r="H255" s="1265"/>
      <c r="I255" s="1265"/>
      <c r="J255" s="1265"/>
      <c r="K255" s="1265"/>
      <c r="L255" s="1265"/>
      <c r="M255" s="1265"/>
      <c r="N255" s="1265"/>
      <c r="O255" s="1265"/>
      <c r="P255" s="1265"/>
      <c r="Q255" s="1265"/>
      <c r="R255" s="1265"/>
      <c r="S255" s="1265"/>
      <c r="T255" s="1265"/>
      <c r="U255" s="1265"/>
      <c r="V255" s="1265"/>
      <c r="W255" s="1265"/>
      <c r="X255" s="1265"/>
      <c r="Y255" s="1265"/>
      <c r="Z255" s="1265"/>
    </row>
    <row r="256" ht="27.0" customHeight="1">
      <c r="A256" s="1265"/>
      <c r="B256" s="1265"/>
      <c r="C256" s="1265"/>
      <c r="D256" s="1265"/>
      <c r="E256" s="1265"/>
      <c r="F256" s="1265"/>
      <c r="G256" s="1265"/>
      <c r="H256" s="1265"/>
      <c r="I256" s="1265"/>
      <c r="J256" s="1265"/>
      <c r="K256" s="1265"/>
      <c r="L256" s="1265"/>
      <c r="M256" s="1265"/>
      <c r="N256" s="1265"/>
      <c r="O256" s="1265"/>
      <c r="P256" s="1265"/>
      <c r="Q256" s="1265"/>
      <c r="R256" s="1265"/>
      <c r="S256" s="1265"/>
      <c r="T256" s="1265"/>
      <c r="U256" s="1265"/>
      <c r="V256" s="1265"/>
      <c r="W256" s="1265"/>
      <c r="X256" s="1265"/>
      <c r="Y256" s="1265"/>
      <c r="Z256" s="1265"/>
    </row>
    <row r="257" ht="27.0" customHeight="1">
      <c r="A257" s="1265"/>
      <c r="B257" s="1265"/>
      <c r="C257" s="1265"/>
      <c r="D257" s="1265"/>
      <c r="E257" s="1265"/>
      <c r="F257" s="1265"/>
      <c r="G257" s="1265"/>
      <c r="H257" s="1265"/>
      <c r="I257" s="1265"/>
      <c r="J257" s="1265"/>
      <c r="K257" s="1265"/>
      <c r="L257" s="1265"/>
      <c r="M257" s="1265"/>
      <c r="N257" s="1265"/>
      <c r="O257" s="1265"/>
      <c r="P257" s="1265"/>
      <c r="Q257" s="1265"/>
      <c r="R257" s="1265"/>
      <c r="S257" s="1265"/>
      <c r="T257" s="1265"/>
      <c r="U257" s="1265"/>
      <c r="V257" s="1265"/>
      <c r="W257" s="1265"/>
      <c r="X257" s="1265"/>
      <c r="Y257" s="1265"/>
      <c r="Z257" s="1265"/>
    </row>
    <row r="258" ht="27.0" customHeight="1">
      <c r="A258" s="1265"/>
      <c r="B258" s="1265"/>
      <c r="C258" s="1265"/>
      <c r="D258" s="1265"/>
      <c r="E258" s="1265"/>
      <c r="F258" s="1265"/>
      <c r="G258" s="1265"/>
      <c r="H258" s="1265"/>
      <c r="I258" s="1265"/>
      <c r="J258" s="1265"/>
      <c r="K258" s="1265"/>
      <c r="L258" s="1265"/>
      <c r="M258" s="1265"/>
      <c r="N258" s="1265"/>
      <c r="O258" s="1265"/>
      <c r="P258" s="1265"/>
      <c r="Q258" s="1265"/>
      <c r="R258" s="1265"/>
      <c r="S258" s="1265"/>
      <c r="T258" s="1265"/>
      <c r="U258" s="1265"/>
      <c r="V258" s="1265"/>
      <c r="W258" s="1265"/>
      <c r="X258" s="1265"/>
      <c r="Y258" s="1265"/>
      <c r="Z258" s="1265"/>
    </row>
    <row r="259" ht="27.0" customHeight="1">
      <c r="A259" s="1265"/>
      <c r="B259" s="1265"/>
      <c r="C259" s="1265"/>
      <c r="D259" s="1265"/>
      <c r="E259" s="1265"/>
      <c r="F259" s="1265"/>
      <c r="G259" s="1265"/>
      <c r="H259" s="1265"/>
      <c r="I259" s="1265"/>
      <c r="J259" s="1265"/>
      <c r="K259" s="1265"/>
      <c r="L259" s="1265"/>
      <c r="M259" s="1265"/>
      <c r="N259" s="1265"/>
      <c r="O259" s="1265"/>
      <c r="P259" s="1265"/>
      <c r="Q259" s="1265"/>
      <c r="R259" s="1265"/>
      <c r="S259" s="1265"/>
      <c r="T259" s="1265"/>
      <c r="U259" s="1265"/>
      <c r="V259" s="1265"/>
      <c r="W259" s="1265"/>
      <c r="X259" s="1265"/>
      <c r="Y259" s="1265"/>
      <c r="Z259" s="1265"/>
    </row>
    <row r="260" ht="27.0" customHeight="1">
      <c r="A260" s="1265"/>
      <c r="B260" s="1265"/>
      <c r="C260" s="1265"/>
      <c r="D260" s="1265"/>
      <c r="E260" s="1265"/>
      <c r="F260" s="1265"/>
      <c r="G260" s="1265"/>
      <c r="H260" s="1265"/>
      <c r="I260" s="1265"/>
      <c r="J260" s="1265"/>
      <c r="K260" s="1265"/>
      <c r="L260" s="1265"/>
      <c r="M260" s="1265"/>
      <c r="N260" s="1265"/>
      <c r="O260" s="1265"/>
      <c r="P260" s="1265"/>
      <c r="Q260" s="1265"/>
      <c r="R260" s="1265"/>
      <c r="S260" s="1265"/>
      <c r="T260" s="1265"/>
      <c r="U260" s="1265"/>
      <c r="V260" s="1265"/>
      <c r="W260" s="1265"/>
      <c r="X260" s="1265"/>
      <c r="Y260" s="1265"/>
      <c r="Z260" s="1265"/>
    </row>
    <row r="261" ht="27.0" customHeight="1">
      <c r="A261" s="1265"/>
      <c r="B261" s="1265"/>
      <c r="C261" s="1265"/>
      <c r="D261" s="1265"/>
      <c r="E261" s="1265"/>
      <c r="F261" s="1265"/>
      <c r="G261" s="1265"/>
      <c r="H261" s="1265"/>
      <c r="I261" s="1265"/>
      <c r="J261" s="1265"/>
      <c r="K261" s="1265"/>
      <c r="L261" s="1265"/>
      <c r="M261" s="1265"/>
      <c r="N261" s="1265"/>
      <c r="O261" s="1265"/>
      <c r="P261" s="1265"/>
      <c r="Q261" s="1265"/>
      <c r="R261" s="1265"/>
      <c r="S261" s="1265"/>
      <c r="T261" s="1265"/>
      <c r="U261" s="1265"/>
      <c r="V261" s="1265"/>
      <c r="W261" s="1265"/>
      <c r="X261" s="1265"/>
      <c r="Y261" s="1265"/>
      <c r="Z261" s="1265"/>
    </row>
    <row r="262" ht="27.0" customHeight="1">
      <c r="A262" s="1265"/>
      <c r="B262" s="1265"/>
      <c r="C262" s="1265"/>
      <c r="D262" s="1265"/>
      <c r="E262" s="1265"/>
      <c r="F262" s="1265"/>
      <c r="G262" s="1265"/>
      <c r="H262" s="1265"/>
      <c r="I262" s="1265"/>
      <c r="J262" s="1265"/>
      <c r="K262" s="1265"/>
      <c r="L262" s="1265"/>
      <c r="M262" s="1265"/>
      <c r="N262" s="1265"/>
      <c r="O262" s="1265"/>
      <c r="P262" s="1265"/>
      <c r="Q262" s="1265"/>
      <c r="R262" s="1265"/>
      <c r="S262" s="1265"/>
      <c r="T262" s="1265"/>
      <c r="U262" s="1265"/>
      <c r="V262" s="1265"/>
      <c r="W262" s="1265"/>
      <c r="X262" s="1265"/>
      <c r="Y262" s="1265"/>
      <c r="Z262" s="1265"/>
    </row>
    <row r="263" ht="27.0" customHeight="1">
      <c r="A263" s="1265"/>
      <c r="B263" s="1265"/>
      <c r="C263" s="1265"/>
      <c r="D263" s="1265"/>
      <c r="E263" s="1265"/>
      <c r="F263" s="1265"/>
      <c r="G263" s="1265"/>
      <c r="H263" s="1265"/>
      <c r="I263" s="1265"/>
      <c r="J263" s="1265"/>
      <c r="K263" s="1265"/>
      <c r="L263" s="1265"/>
      <c r="M263" s="1265"/>
      <c r="N263" s="1265"/>
      <c r="O263" s="1265"/>
      <c r="P263" s="1265"/>
      <c r="Q263" s="1265"/>
      <c r="R263" s="1265"/>
      <c r="S263" s="1265"/>
      <c r="T263" s="1265"/>
      <c r="U263" s="1265"/>
      <c r="V263" s="1265"/>
      <c r="W263" s="1265"/>
      <c r="X263" s="1265"/>
      <c r="Y263" s="1265"/>
      <c r="Z263" s="1265"/>
    </row>
    <row r="264" ht="27.0" customHeight="1">
      <c r="A264" s="1265"/>
      <c r="B264" s="1265"/>
      <c r="C264" s="1265"/>
      <c r="D264" s="1265"/>
      <c r="E264" s="1265"/>
      <c r="F264" s="1265"/>
      <c r="G264" s="1265"/>
      <c r="H264" s="1265"/>
      <c r="I264" s="1265"/>
      <c r="J264" s="1265"/>
      <c r="K264" s="1265"/>
      <c r="L264" s="1265"/>
      <c r="M264" s="1265"/>
      <c r="N264" s="1265"/>
      <c r="O264" s="1265"/>
      <c r="P264" s="1265"/>
      <c r="Q264" s="1265"/>
      <c r="R264" s="1265"/>
      <c r="S264" s="1265"/>
      <c r="T264" s="1265"/>
      <c r="U264" s="1265"/>
      <c r="V264" s="1265"/>
      <c r="W264" s="1265"/>
      <c r="X264" s="1265"/>
      <c r="Y264" s="1265"/>
      <c r="Z264" s="1265"/>
    </row>
    <row r="265" ht="27.0" customHeight="1">
      <c r="A265" s="1265"/>
      <c r="B265" s="1265"/>
      <c r="C265" s="1265"/>
      <c r="D265" s="1265"/>
      <c r="E265" s="1265"/>
      <c r="F265" s="1265"/>
      <c r="G265" s="1265"/>
      <c r="H265" s="1265"/>
      <c r="I265" s="1265"/>
      <c r="J265" s="1265"/>
      <c r="K265" s="1265"/>
      <c r="L265" s="1265"/>
      <c r="M265" s="1265"/>
      <c r="N265" s="1265"/>
      <c r="O265" s="1265"/>
      <c r="P265" s="1265"/>
      <c r="Q265" s="1265"/>
      <c r="R265" s="1265"/>
      <c r="S265" s="1265"/>
      <c r="T265" s="1265"/>
      <c r="U265" s="1265"/>
      <c r="V265" s="1265"/>
      <c r="W265" s="1265"/>
      <c r="X265" s="1265"/>
      <c r="Y265" s="1265"/>
      <c r="Z265" s="1265"/>
    </row>
    <row r="266" ht="27.0" customHeight="1">
      <c r="A266" s="1265"/>
      <c r="B266" s="1265"/>
      <c r="C266" s="1265"/>
      <c r="D266" s="1265"/>
      <c r="E266" s="1265"/>
      <c r="F266" s="1265"/>
      <c r="G266" s="1265"/>
      <c r="H266" s="1265"/>
      <c r="I266" s="1265"/>
      <c r="J266" s="1265"/>
      <c r="K266" s="1265"/>
      <c r="L266" s="1265"/>
      <c r="M266" s="1265"/>
      <c r="N266" s="1265"/>
      <c r="O266" s="1265"/>
      <c r="P266" s="1265"/>
      <c r="Q266" s="1265"/>
      <c r="R266" s="1265"/>
      <c r="S266" s="1265"/>
      <c r="T266" s="1265"/>
      <c r="U266" s="1265"/>
      <c r="V266" s="1265"/>
      <c r="W266" s="1265"/>
      <c r="X266" s="1265"/>
      <c r="Y266" s="1265"/>
      <c r="Z266" s="1265"/>
    </row>
    <row r="267" ht="27.0" customHeight="1">
      <c r="A267" s="1265"/>
      <c r="B267" s="1265"/>
      <c r="C267" s="1265"/>
      <c r="D267" s="1265"/>
      <c r="E267" s="1265"/>
      <c r="F267" s="1265"/>
      <c r="G267" s="1265"/>
      <c r="H267" s="1265"/>
      <c r="I267" s="1265"/>
      <c r="J267" s="1265"/>
      <c r="K267" s="1265"/>
      <c r="L267" s="1265"/>
      <c r="M267" s="1265"/>
      <c r="N267" s="1265"/>
      <c r="O267" s="1265"/>
      <c r="P267" s="1265"/>
      <c r="Q267" s="1265"/>
      <c r="R267" s="1265"/>
      <c r="S267" s="1265"/>
      <c r="T267" s="1265"/>
      <c r="U267" s="1265"/>
      <c r="V267" s="1265"/>
      <c r="W267" s="1265"/>
      <c r="X267" s="1265"/>
      <c r="Y267" s="1265"/>
      <c r="Z267" s="1265"/>
    </row>
    <row r="268" ht="27.0" customHeight="1">
      <c r="A268" s="1265"/>
      <c r="B268" s="1265"/>
      <c r="C268" s="1265"/>
      <c r="D268" s="1265"/>
      <c r="E268" s="1265"/>
      <c r="F268" s="1265"/>
      <c r="G268" s="1265"/>
      <c r="H268" s="1265"/>
      <c r="I268" s="1265"/>
      <c r="J268" s="1265"/>
      <c r="K268" s="1265"/>
      <c r="L268" s="1265"/>
      <c r="M268" s="1265"/>
      <c r="N268" s="1265"/>
      <c r="O268" s="1265"/>
      <c r="P268" s="1265"/>
      <c r="Q268" s="1265"/>
      <c r="R268" s="1265"/>
      <c r="S268" s="1265"/>
      <c r="T268" s="1265"/>
      <c r="U268" s="1265"/>
      <c r="V268" s="1265"/>
      <c r="W268" s="1265"/>
      <c r="X268" s="1265"/>
      <c r="Y268" s="1265"/>
      <c r="Z268" s="1265"/>
    </row>
    <row r="269" ht="27.0" customHeight="1">
      <c r="A269" s="1265"/>
      <c r="B269" s="1265"/>
      <c r="C269" s="1265"/>
      <c r="D269" s="1265"/>
      <c r="E269" s="1265"/>
      <c r="F269" s="1265"/>
      <c r="G269" s="1265"/>
      <c r="H269" s="1265"/>
      <c r="I269" s="1265"/>
      <c r="J269" s="1265"/>
      <c r="K269" s="1265"/>
      <c r="L269" s="1265"/>
      <c r="M269" s="1265"/>
      <c r="N269" s="1265"/>
      <c r="O269" s="1265"/>
      <c r="P269" s="1265"/>
      <c r="Q269" s="1265"/>
      <c r="R269" s="1265"/>
      <c r="S269" s="1265"/>
      <c r="T269" s="1265"/>
      <c r="U269" s="1265"/>
      <c r="V269" s="1265"/>
      <c r="W269" s="1265"/>
      <c r="X269" s="1265"/>
      <c r="Y269" s="1265"/>
      <c r="Z269" s="1265"/>
    </row>
    <row r="270" ht="27.0" customHeight="1">
      <c r="A270" s="1265"/>
      <c r="B270" s="1265"/>
      <c r="C270" s="1265"/>
      <c r="D270" s="1265"/>
      <c r="E270" s="1265"/>
      <c r="F270" s="1265"/>
      <c r="G270" s="1265"/>
      <c r="H270" s="1265"/>
      <c r="I270" s="1265"/>
      <c r="J270" s="1265"/>
      <c r="K270" s="1265"/>
      <c r="L270" s="1265"/>
      <c r="M270" s="1265"/>
      <c r="N270" s="1265"/>
      <c r="O270" s="1265"/>
      <c r="P270" s="1265"/>
      <c r="Q270" s="1265"/>
      <c r="R270" s="1265"/>
      <c r="S270" s="1265"/>
      <c r="T270" s="1265"/>
      <c r="U270" s="1265"/>
      <c r="V270" s="1265"/>
      <c r="W270" s="1265"/>
      <c r="X270" s="1265"/>
      <c r="Y270" s="1265"/>
      <c r="Z270" s="1265"/>
    </row>
    <row r="271" ht="27.0" customHeight="1">
      <c r="A271" s="1265"/>
      <c r="B271" s="1265"/>
      <c r="C271" s="1265"/>
      <c r="D271" s="1265"/>
      <c r="E271" s="1265"/>
      <c r="F271" s="1265"/>
      <c r="G271" s="1265"/>
      <c r="H271" s="1265"/>
      <c r="I271" s="1265"/>
      <c r="J271" s="1265"/>
      <c r="K271" s="1265"/>
      <c r="L271" s="1265"/>
      <c r="M271" s="1265"/>
      <c r="N271" s="1265"/>
      <c r="O271" s="1265"/>
      <c r="P271" s="1265"/>
      <c r="Q271" s="1265"/>
      <c r="R271" s="1265"/>
      <c r="S271" s="1265"/>
      <c r="T271" s="1265"/>
      <c r="U271" s="1265"/>
      <c r="V271" s="1265"/>
      <c r="W271" s="1265"/>
      <c r="X271" s="1265"/>
      <c r="Y271" s="1265"/>
      <c r="Z271" s="1265"/>
    </row>
    <row r="272" ht="27.0" customHeight="1">
      <c r="A272" s="1265"/>
      <c r="B272" s="1265"/>
      <c r="C272" s="1265"/>
      <c r="D272" s="1265"/>
      <c r="E272" s="1265"/>
      <c r="F272" s="1265"/>
      <c r="G272" s="1265"/>
      <c r="H272" s="1265"/>
      <c r="I272" s="1265"/>
      <c r="J272" s="1265"/>
      <c r="K272" s="1265"/>
      <c r="L272" s="1265"/>
      <c r="M272" s="1265"/>
      <c r="N272" s="1265"/>
      <c r="O272" s="1265"/>
      <c r="P272" s="1265"/>
      <c r="Q272" s="1265"/>
      <c r="R272" s="1265"/>
      <c r="S272" s="1265"/>
      <c r="T272" s="1265"/>
      <c r="U272" s="1265"/>
      <c r="V272" s="1265"/>
      <c r="W272" s="1265"/>
      <c r="X272" s="1265"/>
      <c r="Y272" s="1265"/>
      <c r="Z272" s="1265"/>
    </row>
    <row r="273" ht="27.0" customHeight="1">
      <c r="A273" s="1265"/>
      <c r="B273" s="1265"/>
      <c r="C273" s="1265"/>
      <c r="D273" s="1265"/>
      <c r="E273" s="1265"/>
      <c r="F273" s="1265"/>
      <c r="G273" s="1265"/>
      <c r="H273" s="1265"/>
      <c r="I273" s="1265"/>
      <c r="J273" s="1265"/>
      <c r="K273" s="1265"/>
      <c r="L273" s="1265"/>
      <c r="M273" s="1265"/>
      <c r="N273" s="1265"/>
      <c r="O273" s="1265"/>
      <c r="P273" s="1265"/>
      <c r="Q273" s="1265"/>
      <c r="R273" s="1265"/>
      <c r="S273" s="1265"/>
      <c r="T273" s="1265"/>
      <c r="U273" s="1265"/>
      <c r="V273" s="1265"/>
      <c r="W273" s="1265"/>
      <c r="X273" s="1265"/>
      <c r="Y273" s="1265"/>
      <c r="Z273" s="1265"/>
    </row>
    <row r="274" ht="27.0" customHeight="1">
      <c r="A274" s="1265"/>
      <c r="B274" s="1265"/>
      <c r="C274" s="1265"/>
      <c r="D274" s="1265"/>
      <c r="E274" s="1265"/>
      <c r="F274" s="1265"/>
      <c r="G274" s="1265"/>
      <c r="H274" s="1265"/>
      <c r="I274" s="1265"/>
      <c r="J274" s="1265"/>
      <c r="K274" s="1265"/>
      <c r="L274" s="1265"/>
      <c r="M274" s="1265"/>
      <c r="N274" s="1265"/>
      <c r="O274" s="1265"/>
      <c r="P274" s="1265"/>
      <c r="Q274" s="1265"/>
      <c r="R274" s="1265"/>
      <c r="S274" s="1265"/>
      <c r="T274" s="1265"/>
      <c r="U274" s="1265"/>
      <c r="V274" s="1265"/>
      <c r="W274" s="1265"/>
      <c r="X274" s="1265"/>
      <c r="Y274" s="1265"/>
      <c r="Z274" s="1265"/>
    </row>
    <row r="275" ht="27.0" customHeight="1">
      <c r="A275" s="1265"/>
      <c r="B275" s="1265"/>
      <c r="C275" s="1265"/>
      <c r="D275" s="1265"/>
      <c r="E275" s="1265"/>
      <c r="F275" s="1265"/>
      <c r="G275" s="1265"/>
      <c r="H275" s="1265"/>
      <c r="I275" s="1265"/>
      <c r="J275" s="1265"/>
      <c r="K275" s="1265"/>
      <c r="L275" s="1265"/>
      <c r="M275" s="1265"/>
      <c r="N275" s="1265"/>
      <c r="O275" s="1265"/>
      <c r="P275" s="1265"/>
      <c r="Q275" s="1265"/>
      <c r="R275" s="1265"/>
      <c r="S275" s="1265"/>
      <c r="T275" s="1265"/>
      <c r="U275" s="1265"/>
      <c r="V275" s="1265"/>
      <c r="W275" s="1265"/>
      <c r="X275" s="1265"/>
      <c r="Y275" s="1265"/>
      <c r="Z275" s="1265"/>
    </row>
    <row r="276" ht="27.0" customHeight="1">
      <c r="A276" s="1265"/>
      <c r="B276" s="1265"/>
      <c r="C276" s="1265"/>
      <c r="D276" s="1265"/>
      <c r="E276" s="1265"/>
      <c r="F276" s="1265"/>
      <c r="G276" s="1265"/>
      <c r="H276" s="1265"/>
      <c r="I276" s="1265"/>
      <c r="J276" s="1265"/>
      <c r="K276" s="1265"/>
      <c r="L276" s="1265"/>
      <c r="M276" s="1265"/>
      <c r="N276" s="1265"/>
      <c r="O276" s="1265"/>
      <c r="P276" s="1265"/>
      <c r="Q276" s="1265"/>
      <c r="R276" s="1265"/>
      <c r="S276" s="1265"/>
      <c r="T276" s="1265"/>
      <c r="U276" s="1265"/>
      <c r="V276" s="1265"/>
      <c r="W276" s="1265"/>
      <c r="X276" s="1265"/>
      <c r="Y276" s="1265"/>
      <c r="Z276" s="1265"/>
    </row>
    <row r="277" ht="27.0" customHeight="1">
      <c r="A277" s="1265"/>
      <c r="B277" s="1265"/>
      <c r="C277" s="1265"/>
      <c r="D277" s="1265"/>
      <c r="E277" s="1265"/>
      <c r="F277" s="1265"/>
      <c r="G277" s="1265"/>
      <c r="H277" s="1265"/>
      <c r="I277" s="1265"/>
      <c r="J277" s="1265"/>
      <c r="K277" s="1265"/>
      <c r="L277" s="1265"/>
      <c r="M277" s="1265"/>
      <c r="N277" s="1265"/>
      <c r="O277" s="1265"/>
      <c r="P277" s="1265"/>
      <c r="Q277" s="1265"/>
      <c r="R277" s="1265"/>
      <c r="S277" s="1265"/>
      <c r="T277" s="1265"/>
      <c r="U277" s="1265"/>
      <c r="V277" s="1265"/>
      <c r="W277" s="1265"/>
      <c r="X277" s="1265"/>
      <c r="Y277" s="1265"/>
      <c r="Z277" s="1265"/>
    </row>
    <row r="278" ht="27.0" customHeight="1">
      <c r="A278" s="1265"/>
      <c r="B278" s="1265"/>
      <c r="C278" s="1265"/>
      <c r="D278" s="1265"/>
      <c r="E278" s="1265"/>
      <c r="F278" s="1265"/>
      <c r="G278" s="1265"/>
      <c r="H278" s="1265"/>
      <c r="I278" s="1265"/>
      <c r="J278" s="1265"/>
      <c r="K278" s="1265"/>
      <c r="L278" s="1265"/>
      <c r="M278" s="1265"/>
      <c r="N278" s="1265"/>
      <c r="O278" s="1265"/>
      <c r="P278" s="1265"/>
      <c r="Q278" s="1265"/>
      <c r="R278" s="1265"/>
      <c r="S278" s="1265"/>
      <c r="T278" s="1265"/>
      <c r="U278" s="1265"/>
      <c r="V278" s="1265"/>
      <c r="W278" s="1265"/>
      <c r="X278" s="1265"/>
      <c r="Y278" s="1265"/>
      <c r="Z278" s="1265"/>
    </row>
    <row r="279" ht="27.0" customHeight="1">
      <c r="A279" s="1265"/>
      <c r="B279" s="1265"/>
      <c r="C279" s="1265"/>
      <c r="D279" s="1265"/>
      <c r="E279" s="1265"/>
      <c r="F279" s="1265"/>
      <c r="G279" s="1265"/>
      <c r="H279" s="1265"/>
      <c r="I279" s="1265"/>
      <c r="J279" s="1265"/>
      <c r="K279" s="1265"/>
      <c r="L279" s="1265"/>
      <c r="M279" s="1265"/>
      <c r="N279" s="1265"/>
      <c r="O279" s="1265"/>
      <c r="P279" s="1265"/>
      <c r="Q279" s="1265"/>
      <c r="R279" s="1265"/>
      <c r="S279" s="1265"/>
      <c r="T279" s="1265"/>
      <c r="U279" s="1265"/>
      <c r="V279" s="1265"/>
      <c r="W279" s="1265"/>
      <c r="X279" s="1265"/>
      <c r="Y279" s="1265"/>
      <c r="Z279" s="1265"/>
    </row>
    <row r="280" ht="27.0" customHeight="1">
      <c r="A280" s="1265"/>
      <c r="B280" s="1265"/>
      <c r="C280" s="1265"/>
      <c r="D280" s="1265"/>
      <c r="E280" s="1265"/>
      <c r="F280" s="1265"/>
      <c r="G280" s="1265"/>
      <c r="H280" s="1265"/>
      <c r="I280" s="1265"/>
      <c r="J280" s="1265"/>
      <c r="K280" s="1265"/>
      <c r="L280" s="1265"/>
      <c r="M280" s="1265"/>
      <c r="N280" s="1265"/>
      <c r="O280" s="1265"/>
      <c r="P280" s="1265"/>
      <c r="Q280" s="1265"/>
      <c r="R280" s="1265"/>
      <c r="S280" s="1265"/>
      <c r="T280" s="1265"/>
      <c r="U280" s="1265"/>
      <c r="V280" s="1265"/>
      <c r="W280" s="1265"/>
      <c r="X280" s="1265"/>
      <c r="Y280" s="1265"/>
      <c r="Z280" s="1265"/>
    </row>
    <row r="281" ht="27.0" customHeight="1">
      <c r="A281" s="1265"/>
      <c r="B281" s="1265"/>
      <c r="C281" s="1265"/>
      <c r="D281" s="1265"/>
      <c r="E281" s="1265"/>
      <c r="F281" s="1265"/>
      <c r="G281" s="1265"/>
      <c r="H281" s="1265"/>
      <c r="I281" s="1265"/>
      <c r="J281" s="1265"/>
      <c r="K281" s="1265"/>
      <c r="L281" s="1265"/>
      <c r="M281" s="1265"/>
      <c r="N281" s="1265"/>
      <c r="O281" s="1265"/>
      <c r="P281" s="1265"/>
      <c r="Q281" s="1265"/>
      <c r="R281" s="1265"/>
      <c r="S281" s="1265"/>
      <c r="T281" s="1265"/>
      <c r="U281" s="1265"/>
      <c r="V281" s="1265"/>
      <c r="W281" s="1265"/>
      <c r="X281" s="1265"/>
      <c r="Y281" s="1265"/>
      <c r="Z281" s="1265"/>
    </row>
    <row r="282" ht="27.0" customHeight="1">
      <c r="A282" s="1265"/>
      <c r="B282" s="1265"/>
      <c r="C282" s="1265"/>
      <c r="D282" s="1265"/>
      <c r="E282" s="1265"/>
      <c r="F282" s="1265"/>
      <c r="G282" s="1265"/>
      <c r="H282" s="1265"/>
      <c r="I282" s="1265"/>
      <c r="J282" s="1265"/>
      <c r="K282" s="1265"/>
      <c r="L282" s="1265"/>
      <c r="M282" s="1265"/>
      <c r="N282" s="1265"/>
      <c r="O282" s="1265"/>
      <c r="P282" s="1265"/>
      <c r="Q282" s="1265"/>
      <c r="R282" s="1265"/>
      <c r="S282" s="1265"/>
      <c r="T282" s="1265"/>
      <c r="U282" s="1265"/>
      <c r="V282" s="1265"/>
      <c r="W282" s="1265"/>
      <c r="X282" s="1265"/>
      <c r="Y282" s="1265"/>
      <c r="Z282" s="1265"/>
    </row>
    <row r="283" ht="27.0" customHeight="1">
      <c r="A283" s="1265"/>
      <c r="B283" s="1265"/>
      <c r="C283" s="1265"/>
      <c r="D283" s="1265"/>
      <c r="E283" s="1265"/>
      <c r="F283" s="1265"/>
      <c r="G283" s="1265"/>
      <c r="H283" s="1265"/>
      <c r="I283" s="1265"/>
      <c r="J283" s="1265"/>
      <c r="K283" s="1265"/>
      <c r="L283" s="1265"/>
      <c r="M283" s="1265"/>
      <c r="N283" s="1265"/>
      <c r="O283" s="1265"/>
      <c r="P283" s="1265"/>
      <c r="Q283" s="1265"/>
      <c r="R283" s="1265"/>
      <c r="S283" s="1265"/>
      <c r="T283" s="1265"/>
      <c r="U283" s="1265"/>
      <c r="V283" s="1265"/>
      <c r="W283" s="1265"/>
      <c r="X283" s="1265"/>
      <c r="Y283" s="1265"/>
      <c r="Z283" s="1265"/>
    </row>
    <row r="284" ht="27.0" customHeight="1">
      <c r="A284" s="1265"/>
      <c r="B284" s="1265"/>
      <c r="C284" s="1265"/>
      <c r="D284" s="1265"/>
      <c r="E284" s="1265"/>
      <c r="F284" s="1265"/>
      <c r="G284" s="1265"/>
      <c r="H284" s="1265"/>
      <c r="I284" s="1265"/>
      <c r="J284" s="1265"/>
      <c r="K284" s="1265"/>
      <c r="L284" s="1265"/>
      <c r="M284" s="1265"/>
      <c r="N284" s="1265"/>
      <c r="O284" s="1265"/>
      <c r="P284" s="1265"/>
      <c r="Q284" s="1265"/>
      <c r="R284" s="1265"/>
      <c r="S284" s="1265"/>
      <c r="T284" s="1265"/>
      <c r="U284" s="1265"/>
      <c r="V284" s="1265"/>
      <c r="W284" s="1265"/>
      <c r="X284" s="1265"/>
      <c r="Y284" s="1265"/>
      <c r="Z284" s="1265"/>
    </row>
    <row r="285" ht="27.0" customHeight="1">
      <c r="A285" s="1265"/>
      <c r="B285" s="1265"/>
      <c r="C285" s="1265"/>
      <c r="D285" s="1265"/>
      <c r="E285" s="1265"/>
      <c r="F285" s="1265"/>
      <c r="G285" s="1265"/>
      <c r="H285" s="1265"/>
      <c r="I285" s="1265"/>
      <c r="J285" s="1265"/>
      <c r="K285" s="1265"/>
      <c r="L285" s="1265"/>
      <c r="M285" s="1265"/>
      <c r="N285" s="1265"/>
      <c r="O285" s="1265"/>
      <c r="P285" s="1265"/>
      <c r="Q285" s="1265"/>
      <c r="R285" s="1265"/>
      <c r="S285" s="1265"/>
      <c r="T285" s="1265"/>
      <c r="U285" s="1265"/>
      <c r="V285" s="1265"/>
      <c r="W285" s="1265"/>
      <c r="X285" s="1265"/>
      <c r="Y285" s="1265"/>
      <c r="Z285" s="1265"/>
    </row>
    <row r="286" ht="27.0" customHeight="1">
      <c r="A286" s="1265"/>
      <c r="B286" s="1265"/>
      <c r="C286" s="1265"/>
      <c r="D286" s="1265"/>
      <c r="E286" s="1265"/>
      <c r="F286" s="1265"/>
      <c r="G286" s="1265"/>
      <c r="H286" s="1265"/>
      <c r="I286" s="1265"/>
      <c r="J286" s="1265"/>
      <c r="K286" s="1265"/>
      <c r="L286" s="1265"/>
      <c r="M286" s="1265"/>
      <c r="N286" s="1265"/>
      <c r="O286" s="1265"/>
      <c r="P286" s="1265"/>
      <c r="Q286" s="1265"/>
      <c r="R286" s="1265"/>
      <c r="S286" s="1265"/>
      <c r="T286" s="1265"/>
      <c r="U286" s="1265"/>
      <c r="V286" s="1265"/>
      <c r="W286" s="1265"/>
      <c r="X286" s="1265"/>
      <c r="Y286" s="1265"/>
      <c r="Z286" s="1265"/>
    </row>
    <row r="287" ht="27.0" customHeight="1">
      <c r="A287" s="1265"/>
      <c r="B287" s="1265"/>
      <c r="C287" s="1265"/>
      <c r="D287" s="1265"/>
      <c r="E287" s="1265"/>
      <c r="F287" s="1265"/>
      <c r="G287" s="1265"/>
      <c r="H287" s="1265"/>
      <c r="I287" s="1265"/>
      <c r="J287" s="1265"/>
      <c r="K287" s="1265"/>
      <c r="L287" s="1265"/>
      <c r="M287" s="1265"/>
      <c r="N287" s="1265"/>
      <c r="O287" s="1265"/>
      <c r="P287" s="1265"/>
      <c r="Q287" s="1265"/>
      <c r="R287" s="1265"/>
      <c r="S287" s="1265"/>
      <c r="T287" s="1265"/>
      <c r="U287" s="1265"/>
      <c r="V287" s="1265"/>
      <c r="W287" s="1265"/>
      <c r="X287" s="1265"/>
      <c r="Y287" s="1265"/>
      <c r="Z287" s="1265"/>
    </row>
    <row r="288" ht="27.0" customHeight="1">
      <c r="A288" s="1265"/>
      <c r="B288" s="1265"/>
      <c r="C288" s="1265"/>
      <c r="D288" s="1265"/>
      <c r="E288" s="1265"/>
      <c r="F288" s="1265"/>
      <c r="G288" s="1265"/>
      <c r="H288" s="1265"/>
      <c r="I288" s="1265"/>
      <c r="J288" s="1265"/>
      <c r="K288" s="1265"/>
      <c r="L288" s="1265"/>
      <c r="M288" s="1265"/>
      <c r="N288" s="1265"/>
      <c r="O288" s="1265"/>
      <c r="P288" s="1265"/>
      <c r="Q288" s="1265"/>
      <c r="R288" s="1265"/>
      <c r="S288" s="1265"/>
      <c r="T288" s="1265"/>
      <c r="U288" s="1265"/>
      <c r="V288" s="1265"/>
      <c r="W288" s="1265"/>
      <c r="X288" s="1265"/>
      <c r="Y288" s="1265"/>
      <c r="Z288" s="1265"/>
    </row>
    <row r="289" ht="27.0" customHeight="1">
      <c r="A289" s="1265"/>
      <c r="B289" s="1265"/>
      <c r="C289" s="1265"/>
      <c r="D289" s="1265"/>
      <c r="E289" s="1265"/>
      <c r="F289" s="1265"/>
      <c r="G289" s="1265"/>
      <c r="H289" s="1265"/>
      <c r="I289" s="1265"/>
      <c r="J289" s="1265"/>
      <c r="K289" s="1265"/>
      <c r="L289" s="1265"/>
      <c r="M289" s="1265"/>
      <c r="N289" s="1265"/>
      <c r="O289" s="1265"/>
      <c r="P289" s="1265"/>
      <c r="Q289" s="1265"/>
      <c r="R289" s="1265"/>
      <c r="S289" s="1265"/>
      <c r="T289" s="1265"/>
      <c r="U289" s="1265"/>
      <c r="V289" s="1265"/>
      <c r="W289" s="1265"/>
      <c r="X289" s="1265"/>
      <c r="Y289" s="1265"/>
      <c r="Z289" s="1265"/>
    </row>
    <row r="290" ht="27.0" customHeight="1">
      <c r="A290" s="1265"/>
      <c r="B290" s="1265"/>
      <c r="C290" s="1265"/>
      <c r="D290" s="1265"/>
      <c r="E290" s="1265"/>
      <c r="F290" s="1265"/>
      <c r="G290" s="1265"/>
      <c r="H290" s="1265"/>
      <c r="I290" s="1265"/>
      <c r="J290" s="1265"/>
      <c r="K290" s="1265"/>
      <c r="L290" s="1265"/>
      <c r="M290" s="1265"/>
      <c r="N290" s="1265"/>
      <c r="O290" s="1265"/>
      <c r="P290" s="1265"/>
      <c r="Q290" s="1265"/>
      <c r="R290" s="1265"/>
      <c r="S290" s="1265"/>
      <c r="T290" s="1265"/>
      <c r="U290" s="1265"/>
      <c r="V290" s="1265"/>
      <c r="W290" s="1265"/>
      <c r="X290" s="1265"/>
      <c r="Y290" s="1265"/>
      <c r="Z290" s="1265"/>
    </row>
    <row r="291" ht="27.0" customHeight="1">
      <c r="A291" s="1265"/>
      <c r="B291" s="1265"/>
      <c r="C291" s="1265"/>
      <c r="D291" s="1265"/>
      <c r="E291" s="1265"/>
      <c r="F291" s="1265"/>
      <c r="G291" s="1265"/>
      <c r="H291" s="1265"/>
      <c r="I291" s="1265"/>
      <c r="J291" s="1265"/>
      <c r="K291" s="1265"/>
      <c r="L291" s="1265"/>
      <c r="M291" s="1265"/>
      <c r="N291" s="1265"/>
      <c r="O291" s="1265"/>
      <c r="P291" s="1265"/>
      <c r="Q291" s="1265"/>
      <c r="R291" s="1265"/>
      <c r="S291" s="1265"/>
      <c r="T291" s="1265"/>
      <c r="U291" s="1265"/>
      <c r="V291" s="1265"/>
      <c r="W291" s="1265"/>
      <c r="X291" s="1265"/>
      <c r="Y291" s="1265"/>
      <c r="Z291" s="1265"/>
    </row>
    <row r="292" ht="27.0" customHeight="1">
      <c r="A292" s="1265"/>
      <c r="B292" s="1265"/>
      <c r="C292" s="1265"/>
      <c r="D292" s="1265"/>
      <c r="E292" s="1265"/>
      <c r="F292" s="1265"/>
      <c r="G292" s="1265"/>
      <c r="H292" s="1265"/>
      <c r="I292" s="1265"/>
      <c r="J292" s="1265"/>
      <c r="K292" s="1265"/>
      <c r="L292" s="1265"/>
      <c r="M292" s="1265"/>
      <c r="N292" s="1265"/>
      <c r="O292" s="1265"/>
      <c r="P292" s="1265"/>
      <c r="Q292" s="1265"/>
      <c r="R292" s="1265"/>
      <c r="S292" s="1265"/>
      <c r="T292" s="1265"/>
      <c r="U292" s="1265"/>
      <c r="V292" s="1265"/>
      <c r="W292" s="1265"/>
      <c r="X292" s="1265"/>
      <c r="Y292" s="1265"/>
      <c r="Z292" s="1265"/>
    </row>
    <row r="293" ht="27.0" customHeight="1">
      <c r="A293" s="1265"/>
      <c r="B293" s="1265"/>
      <c r="C293" s="1265"/>
      <c r="D293" s="1265"/>
      <c r="E293" s="1265"/>
      <c r="F293" s="1265"/>
      <c r="G293" s="1265"/>
      <c r="H293" s="1265"/>
      <c r="I293" s="1265"/>
      <c r="J293" s="1265"/>
      <c r="K293" s="1265"/>
      <c r="L293" s="1265"/>
      <c r="M293" s="1265"/>
      <c r="N293" s="1265"/>
      <c r="O293" s="1265"/>
      <c r="P293" s="1265"/>
      <c r="Q293" s="1265"/>
      <c r="R293" s="1265"/>
      <c r="S293" s="1265"/>
      <c r="T293" s="1265"/>
      <c r="U293" s="1265"/>
      <c r="V293" s="1265"/>
      <c r="W293" s="1265"/>
      <c r="X293" s="1265"/>
      <c r="Y293" s="1265"/>
      <c r="Z293" s="1265"/>
    </row>
    <row r="294" ht="27.0" customHeight="1">
      <c r="A294" s="1265"/>
      <c r="B294" s="1265"/>
      <c r="C294" s="1265"/>
      <c r="D294" s="1265"/>
      <c r="E294" s="1265"/>
      <c r="F294" s="1265"/>
      <c r="G294" s="1265"/>
      <c r="H294" s="1265"/>
      <c r="I294" s="1265"/>
      <c r="J294" s="1265"/>
      <c r="K294" s="1265"/>
      <c r="L294" s="1265"/>
      <c r="M294" s="1265"/>
      <c r="N294" s="1265"/>
      <c r="O294" s="1265"/>
      <c r="P294" s="1265"/>
      <c r="Q294" s="1265"/>
      <c r="R294" s="1265"/>
      <c r="S294" s="1265"/>
      <c r="T294" s="1265"/>
      <c r="U294" s="1265"/>
      <c r="V294" s="1265"/>
      <c r="W294" s="1265"/>
      <c r="X294" s="1265"/>
      <c r="Y294" s="1265"/>
      <c r="Z294" s="1265"/>
    </row>
    <row r="295" ht="27.0" customHeight="1">
      <c r="A295" s="1265"/>
      <c r="B295" s="1265"/>
      <c r="C295" s="1265"/>
      <c r="D295" s="1265"/>
      <c r="E295" s="1265"/>
      <c r="F295" s="1265"/>
      <c r="G295" s="1265"/>
      <c r="H295" s="1265"/>
      <c r="I295" s="1265"/>
      <c r="J295" s="1265"/>
      <c r="K295" s="1265"/>
      <c r="L295" s="1265"/>
      <c r="M295" s="1265"/>
      <c r="N295" s="1265"/>
      <c r="O295" s="1265"/>
      <c r="P295" s="1265"/>
      <c r="Q295" s="1265"/>
      <c r="R295" s="1265"/>
      <c r="S295" s="1265"/>
      <c r="T295" s="1265"/>
      <c r="U295" s="1265"/>
      <c r="V295" s="1265"/>
      <c r="W295" s="1265"/>
      <c r="X295" s="1265"/>
      <c r="Y295" s="1265"/>
      <c r="Z295" s="1265"/>
    </row>
    <row r="296" ht="27.0" customHeight="1">
      <c r="A296" s="1265"/>
      <c r="B296" s="1265"/>
      <c r="C296" s="1265"/>
      <c r="D296" s="1265"/>
      <c r="E296" s="1265"/>
      <c r="F296" s="1265"/>
      <c r="G296" s="1265"/>
      <c r="H296" s="1265"/>
      <c r="I296" s="1265"/>
      <c r="J296" s="1265"/>
      <c r="K296" s="1265"/>
      <c r="L296" s="1265"/>
      <c r="M296" s="1265"/>
      <c r="N296" s="1265"/>
      <c r="O296" s="1265"/>
      <c r="P296" s="1265"/>
      <c r="Q296" s="1265"/>
      <c r="R296" s="1265"/>
      <c r="S296" s="1265"/>
      <c r="T296" s="1265"/>
      <c r="U296" s="1265"/>
      <c r="V296" s="1265"/>
      <c r="W296" s="1265"/>
      <c r="X296" s="1265"/>
      <c r="Y296" s="1265"/>
      <c r="Z296" s="1265"/>
    </row>
    <row r="297" ht="27.0" customHeight="1">
      <c r="A297" s="1265"/>
      <c r="B297" s="1265"/>
      <c r="C297" s="1265"/>
      <c r="D297" s="1265"/>
      <c r="E297" s="1265"/>
      <c r="F297" s="1265"/>
      <c r="G297" s="1265"/>
      <c r="H297" s="1265"/>
      <c r="I297" s="1265"/>
      <c r="J297" s="1265"/>
      <c r="K297" s="1265"/>
      <c r="L297" s="1265"/>
      <c r="M297" s="1265"/>
      <c r="N297" s="1265"/>
      <c r="O297" s="1265"/>
      <c r="P297" s="1265"/>
      <c r="Q297" s="1265"/>
      <c r="R297" s="1265"/>
      <c r="S297" s="1265"/>
      <c r="T297" s="1265"/>
      <c r="U297" s="1265"/>
      <c r="V297" s="1265"/>
      <c r="W297" s="1265"/>
      <c r="X297" s="1265"/>
      <c r="Y297" s="1265"/>
      <c r="Z297" s="1265"/>
    </row>
    <row r="298" ht="27.0" customHeight="1">
      <c r="A298" s="1265"/>
      <c r="B298" s="1265"/>
      <c r="C298" s="1265"/>
      <c r="D298" s="1265"/>
      <c r="E298" s="1265"/>
      <c r="F298" s="1265"/>
      <c r="G298" s="1265"/>
      <c r="H298" s="1265"/>
      <c r="I298" s="1265"/>
      <c r="J298" s="1265"/>
      <c r="K298" s="1265"/>
      <c r="L298" s="1265"/>
      <c r="M298" s="1265"/>
      <c r="N298" s="1265"/>
      <c r="O298" s="1265"/>
      <c r="P298" s="1265"/>
      <c r="Q298" s="1265"/>
      <c r="R298" s="1265"/>
      <c r="S298" s="1265"/>
      <c r="T298" s="1265"/>
      <c r="U298" s="1265"/>
      <c r="V298" s="1265"/>
      <c r="W298" s="1265"/>
      <c r="X298" s="1265"/>
      <c r="Y298" s="1265"/>
      <c r="Z298" s="1265"/>
    </row>
    <row r="299" ht="27.0" customHeight="1">
      <c r="A299" s="1265"/>
      <c r="B299" s="1265"/>
      <c r="C299" s="1265"/>
      <c r="D299" s="1265"/>
      <c r="E299" s="1265"/>
      <c r="F299" s="1265"/>
      <c r="G299" s="1265"/>
      <c r="H299" s="1265"/>
      <c r="I299" s="1265"/>
      <c r="J299" s="1265"/>
      <c r="K299" s="1265"/>
      <c r="L299" s="1265"/>
      <c r="M299" s="1265"/>
      <c r="N299" s="1265"/>
      <c r="O299" s="1265"/>
      <c r="P299" s="1265"/>
      <c r="Q299" s="1265"/>
      <c r="R299" s="1265"/>
      <c r="S299" s="1265"/>
      <c r="T299" s="1265"/>
      <c r="U299" s="1265"/>
      <c r="V299" s="1265"/>
      <c r="W299" s="1265"/>
      <c r="X299" s="1265"/>
      <c r="Y299" s="1265"/>
      <c r="Z299" s="1265"/>
    </row>
    <row r="300" ht="27.0" customHeight="1">
      <c r="A300" s="1265"/>
      <c r="B300" s="1265"/>
      <c r="C300" s="1265"/>
      <c r="D300" s="1265"/>
      <c r="E300" s="1265"/>
      <c r="F300" s="1265"/>
      <c r="G300" s="1265"/>
      <c r="H300" s="1265"/>
      <c r="I300" s="1265"/>
      <c r="J300" s="1265"/>
      <c r="K300" s="1265"/>
      <c r="L300" s="1265"/>
      <c r="M300" s="1265"/>
      <c r="N300" s="1265"/>
      <c r="O300" s="1265"/>
      <c r="P300" s="1265"/>
      <c r="Q300" s="1265"/>
      <c r="R300" s="1265"/>
      <c r="S300" s="1265"/>
      <c r="T300" s="1265"/>
      <c r="U300" s="1265"/>
      <c r="V300" s="1265"/>
      <c r="W300" s="1265"/>
      <c r="X300" s="1265"/>
      <c r="Y300" s="1265"/>
      <c r="Z300" s="1265"/>
    </row>
    <row r="301" ht="27.0" customHeight="1">
      <c r="A301" s="1265"/>
      <c r="B301" s="1265"/>
      <c r="C301" s="1265"/>
      <c r="D301" s="1265"/>
      <c r="E301" s="1265"/>
      <c r="F301" s="1265"/>
      <c r="G301" s="1265"/>
      <c r="H301" s="1265"/>
      <c r="I301" s="1265"/>
      <c r="J301" s="1265"/>
      <c r="K301" s="1265"/>
      <c r="L301" s="1265"/>
      <c r="M301" s="1265"/>
      <c r="N301" s="1265"/>
      <c r="O301" s="1265"/>
      <c r="P301" s="1265"/>
      <c r="Q301" s="1265"/>
      <c r="R301" s="1265"/>
      <c r="S301" s="1265"/>
      <c r="T301" s="1265"/>
      <c r="U301" s="1265"/>
      <c r="V301" s="1265"/>
      <c r="W301" s="1265"/>
      <c r="X301" s="1265"/>
      <c r="Y301" s="1265"/>
      <c r="Z301" s="1265"/>
    </row>
    <row r="302" ht="27.0" customHeight="1">
      <c r="A302" s="1265"/>
      <c r="B302" s="1265"/>
      <c r="C302" s="1265"/>
      <c r="D302" s="1265"/>
      <c r="E302" s="1265"/>
      <c r="F302" s="1265"/>
      <c r="G302" s="1265"/>
      <c r="H302" s="1265"/>
      <c r="I302" s="1265"/>
      <c r="J302" s="1265"/>
      <c r="K302" s="1265"/>
      <c r="L302" s="1265"/>
      <c r="M302" s="1265"/>
      <c r="N302" s="1265"/>
      <c r="O302" s="1265"/>
      <c r="P302" s="1265"/>
      <c r="Q302" s="1265"/>
      <c r="R302" s="1265"/>
      <c r="S302" s="1265"/>
      <c r="T302" s="1265"/>
      <c r="U302" s="1265"/>
      <c r="V302" s="1265"/>
      <c r="W302" s="1265"/>
      <c r="X302" s="1265"/>
      <c r="Y302" s="1265"/>
      <c r="Z302" s="1265"/>
    </row>
    <row r="303" ht="27.0" customHeight="1">
      <c r="A303" s="1265"/>
      <c r="B303" s="1265"/>
      <c r="C303" s="1265"/>
      <c r="D303" s="1265"/>
      <c r="E303" s="1265"/>
      <c r="F303" s="1265"/>
      <c r="G303" s="1265"/>
      <c r="H303" s="1265"/>
      <c r="I303" s="1265"/>
      <c r="J303" s="1265"/>
      <c r="K303" s="1265"/>
      <c r="L303" s="1265"/>
      <c r="M303" s="1265"/>
      <c r="N303" s="1265"/>
      <c r="O303" s="1265"/>
      <c r="P303" s="1265"/>
      <c r="Q303" s="1265"/>
      <c r="R303" s="1265"/>
      <c r="S303" s="1265"/>
      <c r="T303" s="1265"/>
      <c r="U303" s="1265"/>
      <c r="V303" s="1265"/>
      <c r="W303" s="1265"/>
      <c r="X303" s="1265"/>
      <c r="Y303" s="1265"/>
      <c r="Z303" s="1265"/>
    </row>
    <row r="304" ht="27.0" customHeight="1">
      <c r="A304" s="1265"/>
      <c r="B304" s="1265"/>
      <c r="C304" s="1265"/>
      <c r="D304" s="1265"/>
      <c r="E304" s="1265"/>
      <c r="F304" s="1265"/>
      <c r="G304" s="1265"/>
      <c r="H304" s="1265"/>
      <c r="I304" s="1265"/>
      <c r="J304" s="1265"/>
      <c r="K304" s="1265"/>
      <c r="L304" s="1265"/>
      <c r="M304" s="1265"/>
      <c r="N304" s="1265"/>
      <c r="O304" s="1265"/>
      <c r="P304" s="1265"/>
      <c r="Q304" s="1265"/>
      <c r="R304" s="1265"/>
      <c r="S304" s="1265"/>
      <c r="T304" s="1265"/>
      <c r="U304" s="1265"/>
      <c r="V304" s="1265"/>
      <c r="W304" s="1265"/>
      <c r="X304" s="1265"/>
      <c r="Y304" s="1265"/>
      <c r="Z304" s="1265"/>
    </row>
    <row r="305" ht="27.0" customHeight="1">
      <c r="A305" s="1265"/>
      <c r="B305" s="1265"/>
      <c r="C305" s="1265"/>
      <c r="D305" s="1265"/>
      <c r="E305" s="1265"/>
      <c r="F305" s="1265"/>
      <c r="G305" s="1265"/>
      <c r="H305" s="1265"/>
      <c r="I305" s="1265"/>
      <c r="J305" s="1265"/>
      <c r="K305" s="1265"/>
      <c r="L305" s="1265"/>
      <c r="M305" s="1265"/>
      <c r="N305" s="1265"/>
      <c r="O305" s="1265"/>
      <c r="P305" s="1265"/>
      <c r="Q305" s="1265"/>
      <c r="R305" s="1265"/>
      <c r="S305" s="1265"/>
      <c r="T305" s="1265"/>
      <c r="U305" s="1265"/>
      <c r="V305" s="1265"/>
      <c r="W305" s="1265"/>
      <c r="X305" s="1265"/>
      <c r="Y305" s="1265"/>
      <c r="Z305" s="1265"/>
    </row>
    <row r="306" ht="27.0" customHeight="1">
      <c r="A306" s="1265"/>
      <c r="B306" s="1265"/>
      <c r="C306" s="1265"/>
      <c r="D306" s="1265"/>
      <c r="E306" s="1265"/>
      <c r="F306" s="1265"/>
      <c r="G306" s="1265"/>
      <c r="H306" s="1265"/>
      <c r="I306" s="1265"/>
      <c r="J306" s="1265"/>
      <c r="K306" s="1265"/>
      <c r="L306" s="1265"/>
      <c r="M306" s="1265"/>
      <c r="N306" s="1265"/>
      <c r="O306" s="1265"/>
      <c r="P306" s="1265"/>
      <c r="Q306" s="1265"/>
      <c r="R306" s="1265"/>
      <c r="S306" s="1265"/>
      <c r="T306" s="1265"/>
      <c r="U306" s="1265"/>
      <c r="V306" s="1265"/>
      <c r="W306" s="1265"/>
      <c r="X306" s="1265"/>
      <c r="Y306" s="1265"/>
      <c r="Z306" s="1265"/>
    </row>
    <row r="307" ht="27.0" customHeight="1">
      <c r="A307" s="1265"/>
      <c r="B307" s="1265"/>
      <c r="C307" s="1265"/>
      <c r="D307" s="1265"/>
      <c r="E307" s="1265"/>
      <c r="F307" s="1265"/>
      <c r="G307" s="1265"/>
      <c r="H307" s="1265"/>
      <c r="I307" s="1265"/>
      <c r="J307" s="1265"/>
      <c r="K307" s="1265"/>
      <c r="L307" s="1265"/>
      <c r="M307" s="1265"/>
      <c r="N307" s="1265"/>
      <c r="O307" s="1265"/>
      <c r="P307" s="1265"/>
      <c r="Q307" s="1265"/>
      <c r="R307" s="1265"/>
      <c r="S307" s="1265"/>
      <c r="T307" s="1265"/>
      <c r="U307" s="1265"/>
      <c r="V307" s="1265"/>
      <c r="W307" s="1265"/>
      <c r="X307" s="1265"/>
      <c r="Y307" s="1265"/>
      <c r="Z307" s="1265"/>
    </row>
    <row r="308" ht="27.0" customHeight="1">
      <c r="A308" s="1265"/>
      <c r="B308" s="1265"/>
      <c r="C308" s="1265"/>
      <c r="D308" s="1265"/>
      <c r="E308" s="1265"/>
      <c r="F308" s="1265"/>
      <c r="G308" s="1265"/>
      <c r="H308" s="1265"/>
      <c r="I308" s="1265"/>
      <c r="J308" s="1265"/>
      <c r="K308" s="1265"/>
      <c r="L308" s="1265"/>
      <c r="M308" s="1265"/>
      <c r="N308" s="1265"/>
      <c r="O308" s="1265"/>
      <c r="P308" s="1265"/>
      <c r="Q308" s="1265"/>
      <c r="R308" s="1265"/>
      <c r="S308" s="1265"/>
      <c r="T308" s="1265"/>
      <c r="U308" s="1265"/>
      <c r="V308" s="1265"/>
      <c r="W308" s="1265"/>
      <c r="X308" s="1265"/>
      <c r="Y308" s="1265"/>
      <c r="Z308" s="1265"/>
    </row>
    <row r="309" ht="27.0" customHeight="1">
      <c r="A309" s="1265"/>
      <c r="B309" s="1265"/>
      <c r="C309" s="1265"/>
      <c r="D309" s="1265"/>
      <c r="E309" s="1265"/>
      <c r="F309" s="1265"/>
      <c r="G309" s="1265"/>
      <c r="H309" s="1265"/>
      <c r="I309" s="1265"/>
      <c r="J309" s="1265"/>
      <c r="K309" s="1265"/>
      <c r="L309" s="1265"/>
      <c r="M309" s="1265"/>
      <c r="N309" s="1265"/>
      <c r="O309" s="1265"/>
      <c r="P309" s="1265"/>
      <c r="Q309" s="1265"/>
      <c r="R309" s="1265"/>
      <c r="S309" s="1265"/>
      <c r="T309" s="1265"/>
      <c r="U309" s="1265"/>
      <c r="V309" s="1265"/>
      <c r="W309" s="1265"/>
      <c r="X309" s="1265"/>
      <c r="Y309" s="1265"/>
      <c r="Z309" s="1265"/>
    </row>
    <row r="310" ht="27.0" customHeight="1">
      <c r="A310" s="1265"/>
      <c r="B310" s="1265"/>
      <c r="C310" s="1265"/>
      <c r="D310" s="1265"/>
      <c r="E310" s="1265"/>
      <c r="F310" s="1265"/>
      <c r="G310" s="1265"/>
      <c r="H310" s="1265"/>
      <c r="I310" s="1265"/>
      <c r="J310" s="1265"/>
      <c r="K310" s="1265"/>
      <c r="L310" s="1265"/>
      <c r="M310" s="1265"/>
      <c r="N310" s="1265"/>
      <c r="O310" s="1265"/>
      <c r="P310" s="1265"/>
      <c r="Q310" s="1265"/>
      <c r="R310" s="1265"/>
      <c r="S310" s="1265"/>
      <c r="T310" s="1265"/>
      <c r="U310" s="1265"/>
      <c r="V310" s="1265"/>
      <c r="W310" s="1265"/>
      <c r="X310" s="1265"/>
      <c r="Y310" s="1265"/>
      <c r="Z310" s="1265"/>
    </row>
    <row r="311" ht="27.0" customHeight="1">
      <c r="A311" s="1265"/>
      <c r="B311" s="1265"/>
      <c r="C311" s="1265"/>
      <c r="D311" s="1265"/>
      <c r="E311" s="1265"/>
      <c r="F311" s="1265"/>
      <c r="G311" s="1265"/>
      <c r="H311" s="1265"/>
      <c r="I311" s="1265"/>
      <c r="J311" s="1265"/>
      <c r="K311" s="1265"/>
      <c r="L311" s="1265"/>
      <c r="M311" s="1265"/>
      <c r="N311" s="1265"/>
      <c r="O311" s="1265"/>
      <c r="P311" s="1265"/>
      <c r="Q311" s="1265"/>
      <c r="R311" s="1265"/>
      <c r="S311" s="1265"/>
      <c r="T311" s="1265"/>
      <c r="U311" s="1265"/>
      <c r="V311" s="1265"/>
      <c r="W311" s="1265"/>
      <c r="X311" s="1265"/>
      <c r="Y311" s="1265"/>
      <c r="Z311" s="1265"/>
    </row>
    <row r="312" ht="27.0" customHeight="1">
      <c r="A312" s="1265"/>
      <c r="B312" s="1265"/>
      <c r="C312" s="1265"/>
      <c r="D312" s="1265"/>
      <c r="E312" s="1265"/>
      <c r="F312" s="1265"/>
      <c r="G312" s="1265"/>
      <c r="H312" s="1265"/>
      <c r="I312" s="1265"/>
      <c r="J312" s="1265"/>
      <c r="K312" s="1265"/>
      <c r="L312" s="1265"/>
      <c r="M312" s="1265"/>
      <c r="N312" s="1265"/>
      <c r="O312" s="1265"/>
      <c r="P312" s="1265"/>
      <c r="Q312" s="1265"/>
      <c r="R312" s="1265"/>
      <c r="S312" s="1265"/>
      <c r="T312" s="1265"/>
      <c r="U312" s="1265"/>
      <c r="V312" s="1265"/>
      <c r="W312" s="1265"/>
      <c r="X312" s="1265"/>
      <c r="Y312" s="1265"/>
      <c r="Z312" s="1265"/>
    </row>
    <row r="313" ht="27.0" customHeight="1">
      <c r="A313" s="1265"/>
      <c r="B313" s="1265"/>
      <c r="C313" s="1265"/>
      <c r="D313" s="1265"/>
      <c r="E313" s="1265"/>
      <c r="F313" s="1265"/>
      <c r="G313" s="1265"/>
      <c r="H313" s="1265"/>
      <c r="I313" s="1265"/>
      <c r="J313" s="1265"/>
      <c r="K313" s="1265"/>
      <c r="L313" s="1265"/>
      <c r="M313" s="1265"/>
      <c r="N313" s="1265"/>
      <c r="O313" s="1265"/>
      <c r="P313" s="1265"/>
      <c r="Q313" s="1265"/>
      <c r="R313" s="1265"/>
      <c r="S313" s="1265"/>
      <c r="T313" s="1265"/>
      <c r="U313" s="1265"/>
      <c r="V313" s="1265"/>
      <c r="W313" s="1265"/>
      <c r="X313" s="1265"/>
      <c r="Y313" s="1265"/>
      <c r="Z313" s="1265"/>
    </row>
    <row r="314" ht="27.0" customHeight="1">
      <c r="A314" s="1265"/>
      <c r="B314" s="1265"/>
      <c r="C314" s="1265"/>
      <c r="D314" s="1265"/>
      <c r="E314" s="1265"/>
      <c r="F314" s="1265"/>
      <c r="G314" s="1265"/>
      <c r="H314" s="1265"/>
      <c r="I314" s="1265"/>
      <c r="J314" s="1265"/>
      <c r="K314" s="1265"/>
      <c r="L314" s="1265"/>
      <c r="M314" s="1265"/>
      <c r="N314" s="1265"/>
      <c r="O314" s="1265"/>
      <c r="P314" s="1265"/>
      <c r="Q314" s="1265"/>
      <c r="R314" s="1265"/>
      <c r="S314" s="1265"/>
      <c r="T314" s="1265"/>
      <c r="U314" s="1265"/>
      <c r="V314" s="1265"/>
      <c r="W314" s="1265"/>
      <c r="X314" s="1265"/>
      <c r="Y314" s="1265"/>
      <c r="Z314" s="1265"/>
    </row>
    <row r="315" ht="27.0" customHeight="1">
      <c r="A315" s="1265"/>
      <c r="B315" s="1265"/>
      <c r="C315" s="1265"/>
      <c r="D315" s="1265"/>
      <c r="E315" s="1265"/>
      <c r="F315" s="1265"/>
      <c r="G315" s="1265"/>
      <c r="H315" s="1265"/>
      <c r="I315" s="1265"/>
      <c r="J315" s="1265"/>
      <c r="K315" s="1265"/>
      <c r="L315" s="1265"/>
      <c r="M315" s="1265"/>
      <c r="N315" s="1265"/>
      <c r="O315" s="1265"/>
      <c r="P315" s="1265"/>
      <c r="Q315" s="1265"/>
      <c r="R315" s="1265"/>
      <c r="S315" s="1265"/>
      <c r="T315" s="1265"/>
      <c r="U315" s="1265"/>
      <c r="V315" s="1265"/>
      <c r="W315" s="1265"/>
      <c r="X315" s="1265"/>
      <c r="Y315" s="1265"/>
      <c r="Z315" s="1265"/>
    </row>
    <row r="316" ht="27.0" customHeight="1">
      <c r="A316" s="1265"/>
      <c r="B316" s="1265"/>
      <c r="C316" s="1265"/>
      <c r="D316" s="1265"/>
      <c r="E316" s="1265"/>
      <c r="F316" s="1265"/>
      <c r="G316" s="1265"/>
      <c r="H316" s="1265"/>
      <c r="I316" s="1265"/>
      <c r="J316" s="1265"/>
      <c r="K316" s="1265"/>
      <c r="L316" s="1265"/>
      <c r="M316" s="1265"/>
      <c r="N316" s="1265"/>
      <c r="O316" s="1265"/>
      <c r="P316" s="1265"/>
      <c r="Q316" s="1265"/>
      <c r="R316" s="1265"/>
      <c r="S316" s="1265"/>
      <c r="T316" s="1265"/>
      <c r="U316" s="1265"/>
      <c r="V316" s="1265"/>
      <c r="W316" s="1265"/>
      <c r="X316" s="1265"/>
      <c r="Y316" s="1265"/>
      <c r="Z316" s="1265"/>
    </row>
    <row r="317" ht="27.0" customHeight="1">
      <c r="A317" s="1265"/>
      <c r="B317" s="1265"/>
      <c r="C317" s="1265"/>
      <c r="D317" s="1265"/>
      <c r="E317" s="1265"/>
      <c r="F317" s="1265"/>
      <c r="G317" s="1265"/>
      <c r="H317" s="1265"/>
      <c r="I317" s="1265"/>
      <c r="J317" s="1265"/>
      <c r="K317" s="1265"/>
      <c r="L317" s="1265"/>
      <c r="M317" s="1265"/>
      <c r="N317" s="1265"/>
      <c r="O317" s="1265"/>
      <c r="P317" s="1265"/>
      <c r="Q317" s="1265"/>
      <c r="R317" s="1265"/>
      <c r="S317" s="1265"/>
      <c r="T317" s="1265"/>
      <c r="U317" s="1265"/>
      <c r="V317" s="1265"/>
      <c r="W317" s="1265"/>
      <c r="X317" s="1265"/>
      <c r="Y317" s="1265"/>
      <c r="Z317" s="1265"/>
    </row>
    <row r="318" ht="27.0" customHeight="1">
      <c r="A318" s="1265"/>
      <c r="B318" s="1265"/>
      <c r="C318" s="1265"/>
      <c r="D318" s="1265"/>
      <c r="E318" s="1265"/>
      <c r="F318" s="1265"/>
      <c r="G318" s="1265"/>
      <c r="H318" s="1265"/>
      <c r="I318" s="1265"/>
      <c r="J318" s="1265"/>
      <c r="K318" s="1265"/>
      <c r="L318" s="1265"/>
      <c r="M318" s="1265"/>
      <c r="N318" s="1265"/>
      <c r="O318" s="1265"/>
      <c r="P318" s="1265"/>
      <c r="Q318" s="1265"/>
      <c r="R318" s="1265"/>
      <c r="S318" s="1265"/>
      <c r="T318" s="1265"/>
      <c r="U318" s="1265"/>
      <c r="V318" s="1265"/>
      <c r="W318" s="1265"/>
      <c r="X318" s="1265"/>
      <c r="Y318" s="1265"/>
      <c r="Z318" s="1265"/>
    </row>
    <row r="319" ht="27.0" customHeight="1">
      <c r="A319" s="1265"/>
      <c r="B319" s="1265"/>
      <c r="C319" s="1265"/>
      <c r="D319" s="1265"/>
      <c r="E319" s="1265"/>
      <c r="F319" s="1265"/>
      <c r="G319" s="1265"/>
      <c r="H319" s="1265"/>
      <c r="I319" s="1265"/>
      <c r="J319" s="1265"/>
      <c r="K319" s="1265"/>
      <c r="L319" s="1265"/>
      <c r="M319" s="1265"/>
      <c r="N319" s="1265"/>
      <c r="O319" s="1265"/>
      <c r="P319" s="1265"/>
      <c r="Q319" s="1265"/>
      <c r="R319" s="1265"/>
      <c r="S319" s="1265"/>
      <c r="T319" s="1265"/>
      <c r="U319" s="1265"/>
      <c r="V319" s="1265"/>
      <c r="W319" s="1265"/>
      <c r="X319" s="1265"/>
      <c r="Y319" s="1265"/>
      <c r="Z319" s="1265"/>
    </row>
    <row r="320" ht="27.0" customHeight="1">
      <c r="A320" s="1265"/>
      <c r="B320" s="1265"/>
      <c r="C320" s="1265"/>
      <c r="D320" s="1265"/>
      <c r="E320" s="1265"/>
      <c r="F320" s="1265"/>
      <c r="G320" s="1265"/>
      <c r="H320" s="1265"/>
      <c r="I320" s="1265"/>
      <c r="J320" s="1265"/>
      <c r="K320" s="1265"/>
      <c r="L320" s="1265"/>
      <c r="M320" s="1265"/>
      <c r="N320" s="1265"/>
      <c r="O320" s="1265"/>
      <c r="P320" s="1265"/>
      <c r="Q320" s="1265"/>
      <c r="R320" s="1265"/>
      <c r="S320" s="1265"/>
      <c r="T320" s="1265"/>
      <c r="U320" s="1265"/>
      <c r="V320" s="1265"/>
      <c r="W320" s="1265"/>
      <c r="X320" s="1265"/>
      <c r="Y320" s="1265"/>
      <c r="Z320" s="1265"/>
    </row>
    <row r="321" ht="27.0" customHeight="1">
      <c r="A321" s="1265"/>
      <c r="B321" s="1265"/>
      <c r="C321" s="1265"/>
      <c r="D321" s="1265"/>
      <c r="E321" s="1265"/>
      <c r="F321" s="1265"/>
      <c r="G321" s="1265"/>
      <c r="H321" s="1265"/>
      <c r="I321" s="1265"/>
      <c r="J321" s="1265"/>
      <c r="K321" s="1265"/>
      <c r="L321" s="1265"/>
      <c r="M321" s="1265"/>
      <c r="N321" s="1265"/>
      <c r="O321" s="1265"/>
      <c r="P321" s="1265"/>
      <c r="Q321" s="1265"/>
      <c r="R321" s="1265"/>
      <c r="S321" s="1265"/>
      <c r="T321" s="1265"/>
      <c r="U321" s="1265"/>
      <c r="V321" s="1265"/>
      <c r="W321" s="1265"/>
      <c r="X321" s="1265"/>
      <c r="Y321" s="1265"/>
      <c r="Z321" s="1265"/>
    </row>
    <row r="322" ht="27.0" customHeight="1">
      <c r="A322" s="1265"/>
      <c r="B322" s="1265"/>
      <c r="C322" s="1265"/>
      <c r="D322" s="1265"/>
      <c r="E322" s="1265"/>
      <c r="F322" s="1265"/>
      <c r="G322" s="1265"/>
      <c r="H322" s="1265"/>
      <c r="I322" s="1265"/>
      <c r="J322" s="1265"/>
      <c r="K322" s="1265"/>
      <c r="L322" s="1265"/>
      <c r="M322" s="1265"/>
      <c r="N322" s="1265"/>
      <c r="O322" s="1265"/>
      <c r="P322" s="1265"/>
      <c r="Q322" s="1265"/>
      <c r="R322" s="1265"/>
      <c r="S322" s="1265"/>
      <c r="T322" s="1265"/>
      <c r="U322" s="1265"/>
      <c r="V322" s="1265"/>
      <c r="W322" s="1265"/>
      <c r="X322" s="1265"/>
      <c r="Y322" s="1265"/>
      <c r="Z322" s="1265"/>
    </row>
    <row r="323" ht="27.0" customHeight="1">
      <c r="A323" s="1265"/>
      <c r="B323" s="1265"/>
      <c r="C323" s="1265"/>
      <c r="D323" s="1265"/>
      <c r="E323" s="1265"/>
      <c r="F323" s="1265"/>
      <c r="G323" s="1265"/>
      <c r="H323" s="1265"/>
      <c r="I323" s="1265"/>
      <c r="J323" s="1265"/>
      <c r="K323" s="1265"/>
      <c r="L323" s="1265"/>
      <c r="M323" s="1265"/>
      <c r="N323" s="1265"/>
      <c r="O323" s="1265"/>
      <c r="P323" s="1265"/>
      <c r="Q323" s="1265"/>
      <c r="R323" s="1265"/>
      <c r="S323" s="1265"/>
      <c r="T323" s="1265"/>
      <c r="U323" s="1265"/>
      <c r="V323" s="1265"/>
      <c r="W323" s="1265"/>
      <c r="X323" s="1265"/>
      <c r="Y323" s="1265"/>
      <c r="Z323" s="1265"/>
    </row>
    <row r="324" ht="27.0" customHeight="1">
      <c r="A324" s="1265"/>
      <c r="B324" s="1265"/>
      <c r="C324" s="1265"/>
      <c r="D324" s="1265"/>
      <c r="E324" s="1265"/>
      <c r="F324" s="1265"/>
      <c r="G324" s="1265"/>
      <c r="H324" s="1265"/>
      <c r="I324" s="1265"/>
      <c r="J324" s="1265"/>
      <c r="K324" s="1265"/>
      <c r="L324" s="1265"/>
      <c r="M324" s="1265"/>
      <c r="N324" s="1265"/>
      <c r="O324" s="1265"/>
      <c r="P324" s="1265"/>
      <c r="Q324" s="1265"/>
      <c r="R324" s="1265"/>
      <c r="S324" s="1265"/>
      <c r="T324" s="1265"/>
      <c r="U324" s="1265"/>
      <c r="V324" s="1265"/>
      <c r="W324" s="1265"/>
      <c r="X324" s="1265"/>
      <c r="Y324" s="1265"/>
      <c r="Z324" s="1265"/>
    </row>
    <row r="325" ht="27.0" customHeight="1">
      <c r="A325" s="1265"/>
      <c r="B325" s="1265"/>
      <c r="C325" s="1265"/>
      <c r="D325" s="1265"/>
      <c r="E325" s="1265"/>
      <c r="F325" s="1265"/>
      <c r="G325" s="1265"/>
      <c r="H325" s="1265"/>
      <c r="I325" s="1265"/>
      <c r="J325" s="1265"/>
      <c r="K325" s="1265"/>
      <c r="L325" s="1265"/>
      <c r="M325" s="1265"/>
      <c r="N325" s="1265"/>
      <c r="O325" s="1265"/>
      <c r="P325" s="1265"/>
      <c r="Q325" s="1265"/>
      <c r="R325" s="1265"/>
      <c r="S325" s="1265"/>
      <c r="T325" s="1265"/>
      <c r="U325" s="1265"/>
      <c r="V325" s="1265"/>
      <c r="W325" s="1265"/>
      <c r="X325" s="1265"/>
      <c r="Y325" s="1265"/>
      <c r="Z325" s="1265"/>
    </row>
    <row r="326" ht="27.0" customHeight="1">
      <c r="A326" s="1265"/>
      <c r="B326" s="1265"/>
      <c r="C326" s="1265"/>
      <c r="D326" s="1265"/>
      <c r="E326" s="1265"/>
      <c r="F326" s="1265"/>
      <c r="G326" s="1265"/>
      <c r="H326" s="1265"/>
      <c r="I326" s="1265"/>
      <c r="J326" s="1265"/>
      <c r="K326" s="1265"/>
      <c r="L326" s="1265"/>
      <c r="M326" s="1265"/>
      <c r="N326" s="1265"/>
      <c r="O326" s="1265"/>
      <c r="P326" s="1265"/>
      <c r="Q326" s="1265"/>
      <c r="R326" s="1265"/>
      <c r="S326" s="1265"/>
      <c r="T326" s="1265"/>
      <c r="U326" s="1265"/>
      <c r="V326" s="1265"/>
      <c r="W326" s="1265"/>
      <c r="X326" s="1265"/>
      <c r="Y326" s="1265"/>
      <c r="Z326" s="1265"/>
    </row>
    <row r="327" ht="27.0" customHeight="1">
      <c r="A327" s="1265"/>
      <c r="B327" s="1265"/>
      <c r="C327" s="1265"/>
      <c r="D327" s="1265"/>
      <c r="E327" s="1265"/>
      <c r="F327" s="1265"/>
      <c r="G327" s="1265"/>
      <c r="H327" s="1265"/>
      <c r="I327" s="1265"/>
      <c r="J327" s="1265"/>
      <c r="K327" s="1265"/>
      <c r="L327" s="1265"/>
      <c r="M327" s="1265"/>
      <c r="N327" s="1265"/>
      <c r="O327" s="1265"/>
      <c r="P327" s="1265"/>
      <c r="Q327" s="1265"/>
      <c r="R327" s="1265"/>
      <c r="S327" s="1265"/>
      <c r="T327" s="1265"/>
      <c r="U327" s="1265"/>
      <c r="V327" s="1265"/>
      <c r="W327" s="1265"/>
      <c r="X327" s="1265"/>
      <c r="Y327" s="1265"/>
      <c r="Z327" s="1265"/>
    </row>
    <row r="328" ht="27.0" customHeight="1">
      <c r="A328" s="1265"/>
      <c r="B328" s="1265"/>
      <c r="C328" s="1265"/>
      <c r="D328" s="1265"/>
      <c r="E328" s="1265"/>
      <c r="F328" s="1265"/>
      <c r="G328" s="1265"/>
      <c r="H328" s="1265"/>
      <c r="I328" s="1265"/>
      <c r="J328" s="1265"/>
      <c r="K328" s="1265"/>
      <c r="L328" s="1265"/>
      <c r="M328" s="1265"/>
      <c r="N328" s="1265"/>
      <c r="O328" s="1265"/>
      <c r="P328" s="1265"/>
      <c r="Q328" s="1265"/>
      <c r="R328" s="1265"/>
      <c r="S328" s="1265"/>
      <c r="T328" s="1265"/>
      <c r="U328" s="1265"/>
      <c r="V328" s="1265"/>
      <c r="W328" s="1265"/>
      <c r="X328" s="1265"/>
      <c r="Y328" s="1265"/>
      <c r="Z328" s="1265"/>
    </row>
    <row r="329" ht="27.0" customHeight="1">
      <c r="A329" s="1265"/>
      <c r="B329" s="1265"/>
      <c r="C329" s="1265"/>
      <c r="D329" s="1265"/>
      <c r="E329" s="1265"/>
      <c r="F329" s="1265"/>
      <c r="G329" s="1265"/>
      <c r="H329" s="1265"/>
      <c r="I329" s="1265"/>
      <c r="J329" s="1265"/>
      <c r="K329" s="1265"/>
      <c r="L329" s="1265"/>
      <c r="M329" s="1265"/>
      <c r="N329" s="1265"/>
      <c r="O329" s="1265"/>
      <c r="P329" s="1265"/>
      <c r="Q329" s="1265"/>
      <c r="R329" s="1265"/>
      <c r="S329" s="1265"/>
      <c r="T329" s="1265"/>
      <c r="U329" s="1265"/>
      <c r="V329" s="1265"/>
      <c r="W329" s="1265"/>
      <c r="X329" s="1265"/>
      <c r="Y329" s="1265"/>
      <c r="Z329" s="1265"/>
    </row>
    <row r="330" ht="27.0" customHeight="1">
      <c r="A330" s="1265"/>
      <c r="B330" s="1265"/>
      <c r="C330" s="1265"/>
      <c r="D330" s="1265"/>
      <c r="E330" s="1265"/>
      <c r="F330" s="1265"/>
      <c r="G330" s="1265"/>
      <c r="H330" s="1265"/>
      <c r="I330" s="1265"/>
      <c r="J330" s="1265"/>
      <c r="K330" s="1265"/>
      <c r="L330" s="1265"/>
      <c r="M330" s="1265"/>
      <c r="N330" s="1265"/>
      <c r="O330" s="1265"/>
      <c r="P330" s="1265"/>
      <c r="Q330" s="1265"/>
      <c r="R330" s="1265"/>
      <c r="S330" s="1265"/>
      <c r="T330" s="1265"/>
      <c r="U330" s="1265"/>
      <c r="V330" s="1265"/>
      <c r="W330" s="1265"/>
      <c r="X330" s="1265"/>
      <c r="Y330" s="1265"/>
      <c r="Z330" s="1265"/>
    </row>
    <row r="331" ht="27.0" customHeight="1">
      <c r="A331" s="1265"/>
      <c r="B331" s="1265"/>
      <c r="C331" s="1265"/>
      <c r="D331" s="1265"/>
      <c r="E331" s="1265"/>
      <c r="F331" s="1265"/>
      <c r="G331" s="1265"/>
      <c r="H331" s="1265"/>
      <c r="I331" s="1265"/>
      <c r="J331" s="1265"/>
      <c r="K331" s="1265"/>
      <c r="L331" s="1265"/>
      <c r="M331" s="1265"/>
      <c r="N331" s="1265"/>
      <c r="O331" s="1265"/>
      <c r="P331" s="1265"/>
      <c r="Q331" s="1265"/>
      <c r="R331" s="1265"/>
      <c r="S331" s="1265"/>
      <c r="T331" s="1265"/>
      <c r="U331" s="1265"/>
      <c r="V331" s="1265"/>
      <c r="W331" s="1265"/>
      <c r="X331" s="1265"/>
      <c r="Y331" s="1265"/>
      <c r="Z331" s="1265"/>
    </row>
    <row r="332" ht="27.0" customHeight="1">
      <c r="A332" s="1265"/>
      <c r="B332" s="1265"/>
      <c r="C332" s="1265"/>
      <c r="D332" s="1265"/>
      <c r="E332" s="1265"/>
      <c r="F332" s="1265"/>
      <c r="G332" s="1265"/>
      <c r="H332" s="1265"/>
      <c r="I332" s="1265"/>
      <c r="J332" s="1265"/>
      <c r="K332" s="1265"/>
      <c r="L332" s="1265"/>
      <c r="M332" s="1265"/>
      <c r="N332" s="1265"/>
      <c r="O332" s="1265"/>
      <c r="P332" s="1265"/>
      <c r="Q332" s="1265"/>
      <c r="R332" s="1265"/>
      <c r="S332" s="1265"/>
      <c r="T332" s="1265"/>
      <c r="U332" s="1265"/>
      <c r="V332" s="1265"/>
      <c r="W332" s="1265"/>
      <c r="X332" s="1265"/>
      <c r="Y332" s="1265"/>
      <c r="Z332" s="1265"/>
    </row>
    <row r="333" ht="27.0" customHeight="1">
      <c r="A333" s="1265"/>
      <c r="B333" s="1265"/>
      <c r="C333" s="1265"/>
      <c r="D333" s="1265"/>
      <c r="E333" s="1265"/>
      <c r="F333" s="1265"/>
      <c r="G333" s="1265"/>
      <c r="H333" s="1265"/>
      <c r="I333" s="1265"/>
      <c r="J333" s="1265"/>
      <c r="K333" s="1265"/>
      <c r="L333" s="1265"/>
      <c r="M333" s="1265"/>
      <c r="N333" s="1265"/>
      <c r="O333" s="1265"/>
      <c r="P333" s="1265"/>
      <c r="Q333" s="1265"/>
      <c r="R333" s="1265"/>
      <c r="S333" s="1265"/>
      <c r="T333" s="1265"/>
      <c r="U333" s="1265"/>
      <c r="V333" s="1265"/>
      <c r="W333" s="1265"/>
      <c r="X333" s="1265"/>
      <c r="Y333" s="1265"/>
      <c r="Z333" s="1265"/>
    </row>
    <row r="334" ht="27.0" customHeight="1">
      <c r="A334" s="1265"/>
      <c r="B334" s="1265"/>
      <c r="C334" s="1265"/>
      <c r="D334" s="1265"/>
      <c r="E334" s="1265"/>
      <c r="F334" s="1265"/>
      <c r="G334" s="1265"/>
      <c r="H334" s="1265"/>
      <c r="I334" s="1265"/>
      <c r="J334" s="1265"/>
      <c r="K334" s="1265"/>
      <c r="L334" s="1265"/>
      <c r="M334" s="1265"/>
      <c r="N334" s="1265"/>
      <c r="O334" s="1265"/>
      <c r="P334" s="1265"/>
      <c r="Q334" s="1265"/>
      <c r="R334" s="1265"/>
      <c r="S334" s="1265"/>
      <c r="T334" s="1265"/>
      <c r="U334" s="1265"/>
      <c r="V334" s="1265"/>
      <c r="W334" s="1265"/>
      <c r="X334" s="1265"/>
      <c r="Y334" s="1265"/>
      <c r="Z334" s="1265"/>
    </row>
    <row r="335" ht="27.0" customHeight="1">
      <c r="A335" s="1265"/>
      <c r="B335" s="1265"/>
      <c r="C335" s="1265"/>
      <c r="D335" s="1265"/>
      <c r="E335" s="1265"/>
      <c r="F335" s="1265"/>
      <c r="G335" s="1265"/>
      <c r="H335" s="1265"/>
      <c r="I335" s="1265"/>
      <c r="J335" s="1265"/>
      <c r="K335" s="1265"/>
      <c r="L335" s="1265"/>
      <c r="M335" s="1265"/>
      <c r="N335" s="1265"/>
      <c r="O335" s="1265"/>
      <c r="P335" s="1265"/>
      <c r="Q335" s="1265"/>
      <c r="R335" s="1265"/>
      <c r="S335" s="1265"/>
      <c r="T335" s="1265"/>
      <c r="U335" s="1265"/>
      <c r="V335" s="1265"/>
      <c r="W335" s="1265"/>
      <c r="X335" s="1265"/>
      <c r="Y335" s="1265"/>
      <c r="Z335" s="1265"/>
    </row>
    <row r="336" ht="27.0" customHeight="1">
      <c r="A336" s="1265"/>
      <c r="B336" s="1265"/>
      <c r="C336" s="1265"/>
      <c r="D336" s="1265"/>
      <c r="E336" s="1265"/>
      <c r="F336" s="1265"/>
      <c r="G336" s="1265"/>
      <c r="H336" s="1265"/>
      <c r="I336" s="1265"/>
      <c r="J336" s="1265"/>
      <c r="K336" s="1265"/>
      <c r="L336" s="1265"/>
      <c r="M336" s="1265"/>
      <c r="N336" s="1265"/>
      <c r="O336" s="1265"/>
      <c r="P336" s="1265"/>
      <c r="Q336" s="1265"/>
      <c r="R336" s="1265"/>
      <c r="S336" s="1265"/>
      <c r="T336" s="1265"/>
      <c r="U336" s="1265"/>
      <c r="V336" s="1265"/>
      <c r="W336" s="1265"/>
      <c r="X336" s="1265"/>
      <c r="Y336" s="1265"/>
      <c r="Z336" s="1265"/>
    </row>
    <row r="337" ht="27.0" customHeight="1">
      <c r="A337" s="1265"/>
      <c r="B337" s="1265"/>
      <c r="C337" s="1265"/>
      <c r="D337" s="1265"/>
      <c r="E337" s="1265"/>
      <c r="F337" s="1265"/>
      <c r="G337" s="1265"/>
      <c r="H337" s="1265"/>
      <c r="I337" s="1265"/>
      <c r="J337" s="1265"/>
      <c r="K337" s="1265"/>
      <c r="L337" s="1265"/>
      <c r="M337" s="1265"/>
      <c r="N337" s="1265"/>
      <c r="O337" s="1265"/>
      <c r="P337" s="1265"/>
      <c r="Q337" s="1265"/>
      <c r="R337" s="1265"/>
      <c r="S337" s="1265"/>
      <c r="T337" s="1265"/>
      <c r="U337" s="1265"/>
      <c r="V337" s="1265"/>
      <c r="W337" s="1265"/>
      <c r="X337" s="1265"/>
      <c r="Y337" s="1265"/>
      <c r="Z337" s="1265"/>
    </row>
    <row r="338" ht="27.0" customHeight="1">
      <c r="A338" s="1265"/>
      <c r="B338" s="1265"/>
      <c r="C338" s="1265"/>
      <c r="D338" s="1265"/>
      <c r="E338" s="1265"/>
      <c r="F338" s="1265"/>
      <c r="G338" s="1265"/>
      <c r="H338" s="1265"/>
      <c r="I338" s="1265"/>
      <c r="J338" s="1265"/>
      <c r="K338" s="1265"/>
      <c r="L338" s="1265"/>
      <c r="M338" s="1265"/>
      <c r="N338" s="1265"/>
      <c r="O338" s="1265"/>
      <c r="P338" s="1265"/>
      <c r="Q338" s="1265"/>
      <c r="R338" s="1265"/>
      <c r="S338" s="1265"/>
      <c r="T338" s="1265"/>
      <c r="U338" s="1265"/>
      <c r="V338" s="1265"/>
      <c r="W338" s="1265"/>
      <c r="X338" s="1265"/>
      <c r="Y338" s="1265"/>
      <c r="Z338" s="1265"/>
    </row>
    <row r="339" ht="27.0" customHeight="1">
      <c r="A339" s="1265"/>
      <c r="B339" s="1265"/>
      <c r="C339" s="1265"/>
      <c r="D339" s="1265"/>
      <c r="E339" s="1265"/>
      <c r="F339" s="1265"/>
      <c r="G339" s="1265"/>
      <c r="H339" s="1265"/>
      <c r="I339" s="1265"/>
      <c r="J339" s="1265"/>
      <c r="K339" s="1265"/>
      <c r="L339" s="1265"/>
      <c r="M339" s="1265"/>
      <c r="N339" s="1265"/>
      <c r="O339" s="1265"/>
      <c r="P339" s="1265"/>
      <c r="Q339" s="1265"/>
      <c r="R339" s="1265"/>
      <c r="S339" s="1265"/>
      <c r="T339" s="1265"/>
      <c r="U339" s="1265"/>
      <c r="V339" s="1265"/>
      <c r="W339" s="1265"/>
      <c r="X339" s="1265"/>
      <c r="Y339" s="1265"/>
      <c r="Z339" s="1265"/>
    </row>
    <row r="340" ht="27.0" customHeight="1">
      <c r="A340" s="1265"/>
      <c r="B340" s="1265"/>
      <c r="C340" s="1265"/>
      <c r="D340" s="1265"/>
      <c r="E340" s="1265"/>
      <c r="F340" s="1265"/>
      <c r="G340" s="1265"/>
      <c r="H340" s="1265"/>
      <c r="I340" s="1265"/>
      <c r="J340" s="1265"/>
      <c r="K340" s="1265"/>
      <c r="L340" s="1265"/>
      <c r="M340" s="1265"/>
      <c r="N340" s="1265"/>
      <c r="O340" s="1265"/>
      <c r="P340" s="1265"/>
      <c r="Q340" s="1265"/>
      <c r="R340" s="1265"/>
      <c r="S340" s="1265"/>
      <c r="T340" s="1265"/>
      <c r="U340" s="1265"/>
      <c r="V340" s="1265"/>
      <c r="W340" s="1265"/>
      <c r="X340" s="1265"/>
      <c r="Y340" s="1265"/>
      <c r="Z340" s="1265"/>
    </row>
    <row r="341" ht="27.0" customHeight="1">
      <c r="A341" s="1265"/>
      <c r="B341" s="1265"/>
      <c r="C341" s="1265"/>
      <c r="D341" s="1265"/>
      <c r="E341" s="1265"/>
      <c r="F341" s="1265"/>
      <c r="G341" s="1265"/>
      <c r="H341" s="1265"/>
      <c r="I341" s="1265"/>
      <c r="J341" s="1265"/>
      <c r="K341" s="1265"/>
      <c r="L341" s="1265"/>
      <c r="M341" s="1265"/>
      <c r="N341" s="1265"/>
      <c r="O341" s="1265"/>
      <c r="P341" s="1265"/>
      <c r="Q341" s="1265"/>
      <c r="R341" s="1265"/>
      <c r="S341" s="1265"/>
      <c r="T341" s="1265"/>
      <c r="U341" s="1265"/>
      <c r="V341" s="1265"/>
      <c r="W341" s="1265"/>
      <c r="X341" s="1265"/>
      <c r="Y341" s="1265"/>
      <c r="Z341" s="1265"/>
    </row>
    <row r="342" ht="27.0" customHeight="1">
      <c r="A342" s="1265"/>
      <c r="B342" s="1265"/>
      <c r="C342" s="1265"/>
      <c r="D342" s="1265"/>
      <c r="E342" s="1265"/>
      <c r="F342" s="1265"/>
      <c r="G342" s="1265"/>
      <c r="H342" s="1265"/>
      <c r="I342" s="1265"/>
      <c r="J342" s="1265"/>
      <c r="K342" s="1265"/>
      <c r="L342" s="1265"/>
      <c r="M342" s="1265"/>
      <c r="N342" s="1265"/>
      <c r="O342" s="1265"/>
      <c r="P342" s="1265"/>
      <c r="Q342" s="1265"/>
      <c r="R342" s="1265"/>
      <c r="S342" s="1265"/>
      <c r="T342" s="1265"/>
      <c r="U342" s="1265"/>
      <c r="V342" s="1265"/>
      <c r="W342" s="1265"/>
      <c r="X342" s="1265"/>
      <c r="Y342" s="1265"/>
      <c r="Z342" s="1265"/>
    </row>
    <row r="343" ht="27.0" customHeight="1">
      <c r="A343" s="1265"/>
      <c r="B343" s="1265"/>
      <c r="C343" s="1265"/>
      <c r="D343" s="1265"/>
      <c r="E343" s="1265"/>
      <c r="F343" s="1265"/>
      <c r="G343" s="1265"/>
      <c r="H343" s="1265"/>
      <c r="I343" s="1265"/>
      <c r="J343" s="1265"/>
      <c r="K343" s="1265"/>
      <c r="L343" s="1265"/>
      <c r="M343" s="1265"/>
      <c r="N343" s="1265"/>
      <c r="O343" s="1265"/>
      <c r="P343" s="1265"/>
      <c r="Q343" s="1265"/>
      <c r="R343" s="1265"/>
      <c r="S343" s="1265"/>
      <c r="T343" s="1265"/>
      <c r="U343" s="1265"/>
      <c r="V343" s="1265"/>
      <c r="W343" s="1265"/>
      <c r="X343" s="1265"/>
      <c r="Y343" s="1265"/>
      <c r="Z343" s="1265"/>
    </row>
    <row r="344" ht="27.0" customHeight="1">
      <c r="A344" s="1265"/>
      <c r="B344" s="1265"/>
      <c r="C344" s="1265"/>
      <c r="D344" s="1265"/>
      <c r="E344" s="1265"/>
      <c r="F344" s="1265"/>
      <c r="G344" s="1265"/>
      <c r="H344" s="1265"/>
      <c r="I344" s="1265"/>
      <c r="J344" s="1265"/>
      <c r="K344" s="1265"/>
      <c r="L344" s="1265"/>
      <c r="M344" s="1265"/>
      <c r="N344" s="1265"/>
      <c r="O344" s="1265"/>
      <c r="P344" s="1265"/>
      <c r="Q344" s="1265"/>
      <c r="R344" s="1265"/>
      <c r="S344" s="1265"/>
      <c r="T344" s="1265"/>
      <c r="U344" s="1265"/>
      <c r="V344" s="1265"/>
      <c r="W344" s="1265"/>
      <c r="X344" s="1265"/>
      <c r="Y344" s="1265"/>
      <c r="Z344" s="1265"/>
    </row>
    <row r="345" ht="27.0" customHeight="1">
      <c r="A345" s="1265"/>
      <c r="B345" s="1265"/>
      <c r="C345" s="1265"/>
      <c r="D345" s="1265"/>
      <c r="E345" s="1265"/>
      <c r="F345" s="1265"/>
      <c r="G345" s="1265"/>
      <c r="H345" s="1265"/>
      <c r="I345" s="1265"/>
      <c r="J345" s="1265"/>
      <c r="K345" s="1265"/>
      <c r="L345" s="1265"/>
      <c r="M345" s="1265"/>
      <c r="N345" s="1265"/>
      <c r="O345" s="1265"/>
      <c r="P345" s="1265"/>
      <c r="Q345" s="1265"/>
      <c r="R345" s="1265"/>
      <c r="S345" s="1265"/>
      <c r="T345" s="1265"/>
      <c r="U345" s="1265"/>
      <c r="V345" s="1265"/>
      <c r="W345" s="1265"/>
      <c r="X345" s="1265"/>
      <c r="Y345" s="1265"/>
      <c r="Z345" s="1265"/>
    </row>
    <row r="346" ht="27.0" customHeight="1">
      <c r="A346" s="1265"/>
      <c r="B346" s="1265"/>
      <c r="C346" s="1265"/>
      <c r="D346" s="1265"/>
      <c r="E346" s="1265"/>
      <c r="F346" s="1265"/>
      <c r="G346" s="1265"/>
      <c r="H346" s="1265"/>
      <c r="I346" s="1265"/>
      <c r="J346" s="1265"/>
      <c r="K346" s="1265"/>
      <c r="L346" s="1265"/>
      <c r="M346" s="1265"/>
      <c r="N346" s="1265"/>
      <c r="O346" s="1265"/>
      <c r="P346" s="1265"/>
      <c r="Q346" s="1265"/>
      <c r="R346" s="1265"/>
      <c r="S346" s="1265"/>
      <c r="T346" s="1265"/>
      <c r="U346" s="1265"/>
      <c r="V346" s="1265"/>
      <c r="W346" s="1265"/>
      <c r="X346" s="1265"/>
      <c r="Y346" s="1265"/>
      <c r="Z346" s="1265"/>
    </row>
    <row r="347" ht="27.0" customHeight="1">
      <c r="A347" s="1265"/>
      <c r="B347" s="1265"/>
      <c r="C347" s="1265"/>
      <c r="D347" s="1265"/>
      <c r="E347" s="1265"/>
      <c r="F347" s="1265"/>
      <c r="G347" s="1265"/>
      <c r="H347" s="1265"/>
      <c r="I347" s="1265"/>
      <c r="J347" s="1265"/>
      <c r="K347" s="1265"/>
      <c r="L347" s="1265"/>
      <c r="M347" s="1265"/>
      <c r="N347" s="1265"/>
      <c r="O347" s="1265"/>
      <c r="P347" s="1265"/>
      <c r="Q347" s="1265"/>
      <c r="R347" s="1265"/>
      <c r="S347" s="1265"/>
      <c r="T347" s="1265"/>
      <c r="U347" s="1265"/>
      <c r="V347" s="1265"/>
      <c r="W347" s="1265"/>
      <c r="X347" s="1265"/>
      <c r="Y347" s="1265"/>
      <c r="Z347" s="1265"/>
    </row>
    <row r="348" ht="27.0" customHeight="1">
      <c r="A348" s="1265"/>
      <c r="B348" s="1265"/>
      <c r="C348" s="1265"/>
      <c r="D348" s="1265"/>
      <c r="E348" s="1265"/>
      <c r="F348" s="1265"/>
      <c r="G348" s="1265"/>
      <c r="H348" s="1265"/>
      <c r="I348" s="1265"/>
      <c r="J348" s="1265"/>
      <c r="K348" s="1265"/>
      <c r="L348" s="1265"/>
      <c r="M348" s="1265"/>
      <c r="N348" s="1265"/>
      <c r="O348" s="1265"/>
      <c r="P348" s="1265"/>
      <c r="Q348" s="1265"/>
      <c r="R348" s="1265"/>
      <c r="S348" s="1265"/>
      <c r="T348" s="1265"/>
      <c r="U348" s="1265"/>
      <c r="V348" s="1265"/>
      <c r="W348" s="1265"/>
      <c r="X348" s="1265"/>
      <c r="Y348" s="1265"/>
      <c r="Z348" s="1265"/>
    </row>
    <row r="349" ht="27.0" customHeight="1">
      <c r="A349" s="1265"/>
      <c r="B349" s="1265"/>
      <c r="C349" s="1265"/>
      <c r="D349" s="1265"/>
      <c r="E349" s="1265"/>
      <c r="F349" s="1265"/>
      <c r="G349" s="1265"/>
      <c r="H349" s="1265"/>
      <c r="I349" s="1265"/>
      <c r="J349" s="1265"/>
      <c r="K349" s="1265"/>
      <c r="L349" s="1265"/>
      <c r="M349" s="1265"/>
      <c r="N349" s="1265"/>
      <c r="O349" s="1265"/>
      <c r="P349" s="1265"/>
      <c r="Q349" s="1265"/>
      <c r="R349" s="1265"/>
      <c r="S349" s="1265"/>
      <c r="T349" s="1265"/>
      <c r="U349" s="1265"/>
      <c r="V349" s="1265"/>
      <c r="W349" s="1265"/>
      <c r="X349" s="1265"/>
      <c r="Y349" s="1265"/>
      <c r="Z349" s="1265"/>
    </row>
    <row r="350" ht="27.0" customHeight="1">
      <c r="A350" s="1265"/>
      <c r="B350" s="1265"/>
      <c r="C350" s="1265"/>
      <c r="D350" s="1265"/>
      <c r="E350" s="1265"/>
      <c r="F350" s="1265"/>
      <c r="G350" s="1265"/>
      <c r="H350" s="1265"/>
      <c r="I350" s="1265"/>
      <c r="J350" s="1265"/>
      <c r="K350" s="1265"/>
      <c r="L350" s="1265"/>
      <c r="M350" s="1265"/>
      <c r="N350" s="1265"/>
      <c r="O350" s="1265"/>
      <c r="P350" s="1265"/>
      <c r="Q350" s="1265"/>
      <c r="R350" s="1265"/>
      <c r="S350" s="1265"/>
      <c r="T350" s="1265"/>
      <c r="U350" s="1265"/>
      <c r="V350" s="1265"/>
      <c r="W350" s="1265"/>
      <c r="X350" s="1265"/>
      <c r="Y350" s="1265"/>
      <c r="Z350" s="1265"/>
    </row>
    <row r="351" ht="27.0" customHeight="1">
      <c r="A351" s="1265"/>
      <c r="B351" s="1265"/>
      <c r="C351" s="1265"/>
      <c r="D351" s="1265"/>
      <c r="E351" s="1265"/>
      <c r="F351" s="1265"/>
      <c r="G351" s="1265"/>
      <c r="H351" s="1265"/>
      <c r="I351" s="1265"/>
      <c r="J351" s="1265"/>
      <c r="K351" s="1265"/>
      <c r="L351" s="1265"/>
      <c r="M351" s="1265"/>
      <c r="N351" s="1265"/>
      <c r="O351" s="1265"/>
      <c r="P351" s="1265"/>
      <c r="Q351" s="1265"/>
      <c r="R351" s="1265"/>
      <c r="S351" s="1265"/>
      <c r="T351" s="1265"/>
      <c r="U351" s="1265"/>
      <c r="V351" s="1265"/>
      <c r="W351" s="1265"/>
      <c r="X351" s="1265"/>
      <c r="Y351" s="1265"/>
      <c r="Z351" s="1265"/>
    </row>
    <row r="352" ht="27.0" customHeight="1">
      <c r="A352" s="1265"/>
      <c r="B352" s="1265"/>
      <c r="C352" s="1265"/>
      <c r="D352" s="1265"/>
      <c r="E352" s="1265"/>
      <c r="F352" s="1265"/>
      <c r="G352" s="1265"/>
      <c r="H352" s="1265"/>
      <c r="I352" s="1265"/>
      <c r="J352" s="1265"/>
      <c r="K352" s="1265"/>
      <c r="L352" s="1265"/>
      <c r="M352" s="1265"/>
      <c r="N352" s="1265"/>
      <c r="O352" s="1265"/>
      <c r="P352" s="1265"/>
      <c r="Q352" s="1265"/>
      <c r="R352" s="1265"/>
      <c r="S352" s="1265"/>
      <c r="T352" s="1265"/>
      <c r="U352" s="1265"/>
      <c r="V352" s="1265"/>
      <c r="W352" s="1265"/>
      <c r="X352" s="1265"/>
      <c r="Y352" s="1265"/>
      <c r="Z352" s="1265"/>
    </row>
    <row r="353" ht="27.0" customHeight="1">
      <c r="A353" s="1265"/>
      <c r="B353" s="1265"/>
      <c r="C353" s="1265"/>
      <c r="D353" s="1265"/>
      <c r="E353" s="1265"/>
      <c r="F353" s="1265"/>
      <c r="G353" s="1265"/>
      <c r="H353" s="1265"/>
      <c r="I353" s="1265"/>
      <c r="J353" s="1265"/>
      <c r="K353" s="1265"/>
      <c r="L353" s="1265"/>
      <c r="M353" s="1265"/>
      <c r="N353" s="1265"/>
      <c r="O353" s="1265"/>
      <c r="P353" s="1265"/>
      <c r="Q353" s="1265"/>
      <c r="R353" s="1265"/>
      <c r="S353" s="1265"/>
      <c r="T353" s="1265"/>
      <c r="U353" s="1265"/>
      <c r="V353" s="1265"/>
      <c r="W353" s="1265"/>
      <c r="X353" s="1265"/>
      <c r="Y353" s="1265"/>
      <c r="Z353" s="1265"/>
    </row>
    <row r="354" ht="27.0" customHeight="1">
      <c r="A354" s="1265"/>
      <c r="B354" s="1265"/>
      <c r="C354" s="1265"/>
      <c r="D354" s="1265"/>
      <c r="E354" s="1265"/>
      <c r="F354" s="1265"/>
      <c r="G354" s="1265"/>
      <c r="H354" s="1265"/>
      <c r="I354" s="1265"/>
      <c r="J354" s="1265"/>
      <c r="K354" s="1265"/>
      <c r="L354" s="1265"/>
      <c r="M354" s="1265"/>
      <c r="N354" s="1265"/>
      <c r="O354" s="1265"/>
      <c r="P354" s="1265"/>
      <c r="Q354" s="1265"/>
      <c r="R354" s="1265"/>
      <c r="S354" s="1265"/>
      <c r="T354" s="1265"/>
      <c r="U354" s="1265"/>
      <c r="V354" s="1265"/>
      <c r="W354" s="1265"/>
      <c r="X354" s="1265"/>
      <c r="Y354" s="1265"/>
      <c r="Z354" s="1265"/>
    </row>
    <row r="355" ht="27.0" customHeight="1">
      <c r="A355" s="1265"/>
      <c r="B355" s="1265"/>
      <c r="C355" s="1265"/>
      <c r="D355" s="1265"/>
      <c r="E355" s="1265"/>
      <c r="F355" s="1265"/>
      <c r="G355" s="1265"/>
      <c r="H355" s="1265"/>
      <c r="I355" s="1265"/>
      <c r="J355" s="1265"/>
      <c r="K355" s="1265"/>
      <c r="L355" s="1265"/>
      <c r="M355" s="1265"/>
      <c r="N355" s="1265"/>
      <c r="O355" s="1265"/>
      <c r="P355" s="1265"/>
      <c r="Q355" s="1265"/>
      <c r="R355" s="1265"/>
      <c r="S355" s="1265"/>
      <c r="T355" s="1265"/>
      <c r="U355" s="1265"/>
      <c r="V355" s="1265"/>
      <c r="W355" s="1265"/>
      <c r="X355" s="1265"/>
      <c r="Y355" s="1265"/>
      <c r="Z355" s="1265"/>
    </row>
    <row r="356" ht="27.0" customHeight="1">
      <c r="A356" s="1265"/>
      <c r="B356" s="1265"/>
      <c r="C356" s="1265"/>
      <c r="D356" s="1265"/>
      <c r="E356" s="1265"/>
      <c r="F356" s="1265"/>
      <c r="G356" s="1265"/>
      <c r="H356" s="1265"/>
      <c r="I356" s="1265"/>
      <c r="J356" s="1265"/>
      <c r="K356" s="1265"/>
      <c r="L356" s="1265"/>
      <c r="M356" s="1265"/>
      <c r="N356" s="1265"/>
      <c r="O356" s="1265"/>
      <c r="P356" s="1265"/>
      <c r="Q356" s="1265"/>
      <c r="R356" s="1265"/>
      <c r="S356" s="1265"/>
      <c r="T356" s="1265"/>
      <c r="U356" s="1265"/>
      <c r="V356" s="1265"/>
      <c r="W356" s="1265"/>
      <c r="X356" s="1265"/>
      <c r="Y356" s="1265"/>
      <c r="Z356" s="1265"/>
    </row>
    <row r="357" ht="27.0" customHeight="1">
      <c r="A357" s="1265"/>
      <c r="B357" s="1265"/>
      <c r="C357" s="1265"/>
      <c r="D357" s="1265"/>
      <c r="E357" s="1265"/>
      <c r="F357" s="1265"/>
      <c r="G357" s="1265"/>
      <c r="H357" s="1265"/>
      <c r="I357" s="1265"/>
      <c r="J357" s="1265"/>
      <c r="K357" s="1265"/>
      <c r="L357" s="1265"/>
      <c r="M357" s="1265"/>
      <c r="N357" s="1265"/>
      <c r="O357" s="1265"/>
      <c r="P357" s="1265"/>
      <c r="Q357" s="1265"/>
      <c r="R357" s="1265"/>
      <c r="S357" s="1265"/>
      <c r="T357" s="1265"/>
      <c r="U357" s="1265"/>
      <c r="V357" s="1265"/>
      <c r="W357" s="1265"/>
      <c r="X357" s="1265"/>
      <c r="Y357" s="1265"/>
      <c r="Z357" s="1265"/>
    </row>
    <row r="358" ht="27.0" customHeight="1">
      <c r="A358" s="1265"/>
      <c r="B358" s="1265"/>
      <c r="C358" s="1265"/>
      <c r="D358" s="1265"/>
      <c r="E358" s="1265"/>
      <c r="F358" s="1265"/>
      <c r="G358" s="1265"/>
      <c r="H358" s="1265"/>
      <c r="I358" s="1265"/>
      <c r="J358" s="1265"/>
      <c r="K358" s="1265"/>
      <c r="L358" s="1265"/>
      <c r="M358" s="1265"/>
      <c r="N358" s="1265"/>
      <c r="O358" s="1265"/>
      <c r="P358" s="1265"/>
      <c r="Q358" s="1265"/>
      <c r="R358" s="1265"/>
      <c r="S358" s="1265"/>
      <c r="T358" s="1265"/>
      <c r="U358" s="1265"/>
      <c r="V358" s="1265"/>
      <c r="W358" s="1265"/>
      <c r="X358" s="1265"/>
      <c r="Y358" s="1265"/>
      <c r="Z358" s="1265"/>
    </row>
    <row r="359" ht="27.0" customHeight="1">
      <c r="A359" s="1265"/>
      <c r="B359" s="1265"/>
      <c r="C359" s="1265"/>
      <c r="D359" s="1265"/>
      <c r="E359" s="1265"/>
      <c r="F359" s="1265"/>
      <c r="G359" s="1265"/>
      <c r="H359" s="1265"/>
      <c r="I359" s="1265"/>
      <c r="J359" s="1265"/>
      <c r="K359" s="1265"/>
      <c r="L359" s="1265"/>
      <c r="M359" s="1265"/>
      <c r="N359" s="1265"/>
      <c r="O359" s="1265"/>
      <c r="P359" s="1265"/>
      <c r="Q359" s="1265"/>
      <c r="R359" s="1265"/>
      <c r="S359" s="1265"/>
      <c r="T359" s="1265"/>
      <c r="U359" s="1265"/>
      <c r="V359" s="1265"/>
      <c r="W359" s="1265"/>
      <c r="X359" s="1265"/>
      <c r="Y359" s="1265"/>
      <c r="Z359" s="1265"/>
    </row>
    <row r="360" ht="27.0" customHeight="1">
      <c r="A360" s="1265"/>
      <c r="B360" s="1265"/>
      <c r="C360" s="1265"/>
      <c r="D360" s="1265"/>
      <c r="E360" s="1265"/>
      <c r="F360" s="1265"/>
      <c r="G360" s="1265"/>
      <c r="H360" s="1265"/>
      <c r="I360" s="1265"/>
      <c r="J360" s="1265"/>
      <c r="K360" s="1265"/>
      <c r="L360" s="1265"/>
      <c r="M360" s="1265"/>
      <c r="N360" s="1265"/>
      <c r="O360" s="1265"/>
      <c r="P360" s="1265"/>
      <c r="Q360" s="1265"/>
      <c r="R360" s="1265"/>
      <c r="S360" s="1265"/>
      <c r="T360" s="1265"/>
      <c r="U360" s="1265"/>
      <c r="V360" s="1265"/>
      <c r="W360" s="1265"/>
      <c r="X360" s="1265"/>
      <c r="Y360" s="1265"/>
      <c r="Z360" s="1265"/>
    </row>
    <row r="361" ht="27.0" customHeight="1">
      <c r="A361" s="1265"/>
      <c r="B361" s="1265"/>
      <c r="C361" s="1265"/>
      <c r="D361" s="1265"/>
      <c r="E361" s="1265"/>
      <c r="F361" s="1265"/>
      <c r="G361" s="1265"/>
      <c r="H361" s="1265"/>
      <c r="I361" s="1265"/>
      <c r="J361" s="1265"/>
      <c r="K361" s="1265"/>
      <c r="L361" s="1265"/>
      <c r="M361" s="1265"/>
      <c r="N361" s="1265"/>
      <c r="O361" s="1265"/>
      <c r="P361" s="1265"/>
      <c r="Q361" s="1265"/>
      <c r="R361" s="1265"/>
      <c r="S361" s="1265"/>
      <c r="T361" s="1265"/>
      <c r="U361" s="1265"/>
      <c r="V361" s="1265"/>
      <c r="W361" s="1265"/>
      <c r="X361" s="1265"/>
      <c r="Y361" s="1265"/>
      <c r="Z361" s="1265"/>
    </row>
    <row r="362" ht="27.0" customHeight="1">
      <c r="A362" s="1265"/>
      <c r="B362" s="1265"/>
      <c r="C362" s="1265"/>
      <c r="D362" s="1265"/>
      <c r="E362" s="1265"/>
      <c r="F362" s="1265"/>
      <c r="G362" s="1265"/>
      <c r="H362" s="1265"/>
      <c r="I362" s="1265"/>
      <c r="J362" s="1265"/>
      <c r="K362" s="1265"/>
      <c r="L362" s="1265"/>
      <c r="M362" s="1265"/>
      <c r="N362" s="1265"/>
      <c r="O362" s="1265"/>
      <c r="P362" s="1265"/>
      <c r="Q362" s="1265"/>
      <c r="R362" s="1265"/>
      <c r="S362" s="1265"/>
      <c r="T362" s="1265"/>
      <c r="U362" s="1265"/>
      <c r="V362" s="1265"/>
      <c r="W362" s="1265"/>
      <c r="X362" s="1265"/>
      <c r="Y362" s="1265"/>
      <c r="Z362" s="1265"/>
    </row>
    <row r="363" ht="27.0" customHeight="1">
      <c r="A363" s="1265"/>
      <c r="B363" s="1265"/>
      <c r="C363" s="1265"/>
      <c r="D363" s="1265"/>
      <c r="E363" s="1265"/>
      <c r="F363" s="1265"/>
      <c r="G363" s="1265"/>
      <c r="H363" s="1265"/>
      <c r="I363" s="1265"/>
      <c r="J363" s="1265"/>
      <c r="K363" s="1265"/>
      <c r="L363" s="1265"/>
      <c r="M363" s="1265"/>
      <c r="N363" s="1265"/>
      <c r="O363" s="1265"/>
      <c r="P363" s="1265"/>
      <c r="Q363" s="1265"/>
      <c r="R363" s="1265"/>
      <c r="S363" s="1265"/>
      <c r="T363" s="1265"/>
      <c r="U363" s="1265"/>
      <c r="V363" s="1265"/>
      <c r="W363" s="1265"/>
      <c r="X363" s="1265"/>
      <c r="Y363" s="1265"/>
      <c r="Z363" s="1265"/>
    </row>
    <row r="364" ht="27.0" customHeight="1">
      <c r="A364" s="1265"/>
      <c r="B364" s="1265"/>
      <c r="C364" s="1265"/>
      <c r="D364" s="1265"/>
      <c r="E364" s="1265"/>
      <c r="F364" s="1265"/>
      <c r="G364" s="1265"/>
      <c r="H364" s="1265"/>
      <c r="I364" s="1265"/>
      <c r="J364" s="1265"/>
      <c r="K364" s="1265"/>
      <c r="L364" s="1265"/>
      <c r="M364" s="1265"/>
      <c r="N364" s="1265"/>
      <c r="O364" s="1265"/>
      <c r="P364" s="1265"/>
      <c r="Q364" s="1265"/>
      <c r="R364" s="1265"/>
      <c r="S364" s="1265"/>
      <c r="T364" s="1265"/>
      <c r="U364" s="1265"/>
      <c r="V364" s="1265"/>
      <c r="W364" s="1265"/>
      <c r="X364" s="1265"/>
      <c r="Y364" s="1265"/>
      <c r="Z364" s="1265"/>
    </row>
    <row r="365" ht="27.0" customHeight="1">
      <c r="A365" s="1265"/>
      <c r="B365" s="1265"/>
      <c r="C365" s="1265"/>
      <c r="D365" s="1265"/>
      <c r="E365" s="1265"/>
      <c r="F365" s="1265"/>
      <c r="G365" s="1265"/>
      <c r="H365" s="1265"/>
      <c r="I365" s="1265"/>
      <c r="J365" s="1265"/>
      <c r="K365" s="1265"/>
      <c r="L365" s="1265"/>
      <c r="M365" s="1265"/>
      <c r="N365" s="1265"/>
      <c r="O365" s="1265"/>
      <c r="P365" s="1265"/>
      <c r="Q365" s="1265"/>
      <c r="R365" s="1265"/>
      <c r="S365" s="1265"/>
      <c r="T365" s="1265"/>
      <c r="U365" s="1265"/>
      <c r="V365" s="1265"/>
      <c r="W365" s="1265"/>
      <c r="X365" s="1265"/>
      <c r="Y365" s="1265"/>
      <c r="Z365" s="1265"/>
    </row>
    <row r="366" ht="27.0" customHeight="1">
      <c r="A366" s="1265"/>
      <c r="B366" s="1265"/>
      <c r="C366" s="1265"/>
      <c r="D366" s="1265"/>
      <c r="E366" s="1265"/>
      <c r="F366" s="1265"/>
      <c r="G366" s="1265"/>
      <c r="H366" s="1265"/>
      <c r="I366" s="1265"/>
      <c r="J366" s="1265"/>
      <c r="K366" s="1265"/>
      <c r="L366" s="1265"/>
      <c r="M366" s="1265"/>
      <c r="N366" s="1265"/>
      <c r="O366" s="1265"/>
      <c r="P366" s="1265"/>
      <c r="Q366" s="1265"/>
      <c r="R366" s="1265"/>
      <c r="S366" s="1265"/>
      <c r="T366" s="1265"/>
      <c r="U366" s="1265"/>
      <c r="V366" s="1265"/>
      <c r="W366" s="1265"/>
      <c r="X366" s="1265"/>
      <c r="Y366" s="1265"/>
      <c r="Z366" s="1265"/>
    </row>
    <row r="367" ht="27.0" customHeight="1">
      <c r="A367" s="1265"/>
      <c r="B367" s="1265"/>
      <c r="C367" s="1265"/>
      <c r="D367" s="1265"/>
      <c r="E367" s="1265"/>
      <c r="F367" s="1265"/>
      <c r="G367" s="1265"/>
      <c r="H367" s="1265"/>
      <c r="I367" s="1265"/>
      <c r="J367" s="1265"/>
      <c r="K367" s="1265"/>
      <c r="L367" s="1265"/>
      <c r="M367" s="1265"/>
      <c r="N367" s="1265"/>
      <c r="O367" s="1265"/>
      <c r="P367" s="1265"/>
      <c r="Q367" s="1265"/>
      <c r="R367" s="1265"/>
      <c r="S367" s="1265"/>
      <c r="T367" s="1265"/>
      <c r="U367" s="1265"/>
      <c r="V367" s="1265"/>
      <c r="W367" s="1265"/>
      <c r="X367" s="1265"/>
      <c r="Y367" s="1265"/>
      <c r="Z367" s="1265"/>
    </row>
    <row r="368" ht="27.0" customHeight="1">
      <c r="A368" s="1265"/>
      <c r="B368" s="1265"/>
      <c r="C368" s="1265"/>
      <c r="D368" s="1265"/>
      <c r="E368" s="1265"/>
      <c r="F368" s="1265"/>
      <c r="G368" s="1265"/>
      <c r="H368" s="1265"/>
      <c r="I368" s="1265"/>
      <c r="J368" s="1265"/>
      <c r="K368" s="1265"/>
      <c r="L368" s="1265"/>
      <c r="M368" s="1265"/>
      <c r="N368" s="1265"/>
      <c r="O368" s="1265"/>
      <c r="P368" s="1265"/>
      <c r="Q368" s="1265"/>
      <c r="R368" s="1265"/>
      <c r="S368" s="1265"/>
      <c r="T368" s="1265"/>
      <c r="U368" s="1265"/>
      <c r="V368" s="1265"/>
      <c r="W368" s="1265"/>
      <c r="X368" s="1265"/>
      <c r="Y368" s="1265"/>
      <c r="Z368" s="1265"/>
    </row>
    <row r="369" ht="27.0" customHeight="1">
      <c r="A369" s="1265"/>
      <c r="B369" s="1265"/>
      <c r="C369" s="1265"/>
      <c r="D369" s="1265"/>
      <c r="E369" s="1265"/>
      <c r="F369" s="1265"/>
      <c r="G369" s="1265"/>
      <c r="H369" s="1265"/>
      <c r="I369" s="1265"/>
      <c r="J369" s="1265"/>
      <c r="K369" s="1265"/>
      <c r="L369" s="1265"/>
      <c r="M369" s="1265"/>
      <c r="N369" s="1265"/>
      <c r="O369" s="1265"/>
      <c r="P369" s="1265"/>
      <c r="Q369" s="1265"/>
      <c r="R369" s="1265"/>
      <c r="S369" s="1265"/>
      <c r="T369" s="1265"/>
      <c r="U369" s="1265"/>
      <c r="V369" s="1265"/>
      <c r="W369" s="1265"/>
      <c r="X369" s="1265"/>
      <c r="Y369" s="1265"/>
      <c r="Z369" s="1265"/>
    </row>
    <row r="370" ht="27.0" customHeight="1">
      <c r="A370" s="1265"/>
      <c r="B370" s="1265"/>
      <c r="C370" s="1265"/>
      <c r="D370" s="1265"/>
      <c r="E370" s="1265"/>
      <c r="F370" s="1265"/>
      <c r="G370" s="1265"/>
      <c r="H370" s="1265"/>
      <c r="I370" s="1265"/>
      <c r="J370" s="1265"/>
      <c r="K370" s="1265"/>
      <c r="L370" s="1265"/>
      <c r="M370" s="1265"/>
      <c r="N370" s="1265"/>
      <c r="O370" s="1265"/>
      <c r="P370" s="1265"/>
      <c r="Q370" s="1265"/>
      <c r="R370" s="1265"/>
      <c r="S370" s="1265"/>
      <c r="T370" s="1265"/>
      <c r="U370" s="1265"/>
      <c r="V370" s="1265"/>
      <c r="W370" s="1265"/>
      <c r="X370" s="1265"/>
      <c r="Y370" s="1265"/>
      <c r="Z370" s="1265"/>
    </row>
    <row r="371" ht="27.0" customHeight="1">
      <c r="A371" s="1265"/>
      <c r="B371" s="1265"/>
      <c r="C371" s="1265"/>
      <c r="D371" s="1265"/>
      <c r="E371" s="1265"/>
      <c r="F371" s="1265"/>
      <c r="G371" s="1265"/>
      <c r="H371" s="1265"/>
      <c r="I371" s="1265"/>
      <c r="J371" s="1265"/>
      <c r="K371" s="1265"/>
      <c r="L371" s="1265"/>
      <c r="M371" s="1265"/>
      <c r="N371" s="1265"/>
      <c r="O371" s="1265"/>
      <c r="P371" s="1265"/>
      <c r="Q371" s="1265"/>
      <c r="R371" s="1265"/>
      <c r="S371" s="1265"/>
      <c r="T371" s="1265"/>
      <c r="U371" s="1265"/>
      <c r="V371" s="1265"/>
      <c r="W371" s="1265"/>
      <c r="X371" s="1265"/>
      <c r="Y371" s="1265"/>
      <c r="Z371" s="1265"/>
    </row>
    <row r="372" ht="27.0" customHeight="1">
      <c r="A372" s="1265"/>
      <c r="B372" s="1265"/>
      <c r="C372" s="1265"/>
      <c r="D372" s="1265"/>
      <c r="E372" s="1265"/>
      <c r="F372" s="1265"/>
      <c r="G372" s="1265"/>
      <c r="H372" s="1265"/>
      <c r="I372" s="1265"/>
      <c r="J372" s="1265"/>
      <c r="K372" s="1265"/>
      <c r="L372" s="1265"/>
      <c r="M372" s="1265"/>
      <c r="N372" s="1265"/>
      <c r="O372" s="1265"/>
      <c r="P372" s="1265"/>
      <c r="Q372" s="1265"/>
      <c r="R372" s="1265"/>
      <c r="S372" s="1265"/>
      <c r="T372" s="1265"/>
      <c r="U372" s="1265"/>
      <c r="V372" s="1265"/>
      <c r="W372" s="1265"/>
      <c r="X372" s="1265"/>
      <c r="Y372" s="1265"/>
      <c r="Z372" s="1265"/>
    </row>
    <row r="373" ht="27.0" customHeight="1">
      <c r="A373" s="1265"/>
      <c r="B373" s="1265"/>
      <c r="C373" s="1265"/>
      <c r="D373" s="1265"/>
      <c r="E373" s="1265"/>
      <c r="F373" s="1265"/>
      <c r="G373" s="1265"/>
      <c r="H373" s="1265"/>
      <c r="I373" s="1265"/>
      <c r="J373" s="1265"/>
      <c r="K373" s="1265"/>
      <c r="L373" s="1265"/>
      <c r="M373" s="1265"/>
      <c r="N373" s="1265"/>
      <c r="O373" s="1265"/>
      <c r="P373" s="1265"/>
      <c r="Q373" s="1265"/>
      <c r="R373" s="1265"/>
      <c r="S373" s="1265"/>
      <c r="T373" s="1265"/>
      <c r="U373" s="1265"/>
      <c r="V373" s="1265"/>
      <c r="W373" s="1265"/>
      <c r="X373" s="1265"/>
      <c r="Y373" s="1265"/>
      <c r="Z373" s="1265"/>
    </row>
    <row r="374" ht="27.0" customHeight="1">
      <c r="A374" s="1265"/>
      <c r="B374" s="1265"/>
      <c r="C374" s="1265"/>
      <c r="D374" s="1265"/>
      <c r="E374" s="1265"/>
      <c r="F374" s="1265"/>
      <c r="G374" s="1265"/>
      <c r="H374" s="1265"/>
      <c r="I374" s="1265"/>
      <c r="J374" s="1265"/>
      <c r="K374" s="1265"/>
      <c r="L374" s="1265"/>
      <c r="M374" s="1265"/>
      <c r="N374" s="1265"/>
      <c r="O374" s="1265"/>
      <c r="P374" s="1265"/>
      <c r="Q374" s="1265"/>
      <c r="R374" s="1265"/>
      <c r="S374" s="1265"/>
      <c r="T374" s="1265"/>
      <c r="U374" s="1265"/>
      <c r="V374" s="1265"/>
      <c r="W374" s="1265"/>
      <c r="X374" s="1265"/>
      <c r="Y374" s="1265"/>
      <c r="Z374" s="1265"/>
    </row>
    <row r="375" ht="27.0" customHeight="1">
      <c r="A375" s="1265"/>
      <c r="B375" s="1265"/>
      <c r="C375" s="1265"/>
      <c r="D375" s="1265"/>
      <c r="E375" s="1265"/>
      <c r="F375" s="1265"/>
      <c r="G375" s="1265"/>
      <c r="H375" s="1265"/>
      <c r="I375" s="1265"/>
      <c r="J375" s="1265"/>
      <c r="K375" s="1265"/>
      <c r="L375" s="1265"/>
      <c r="M375" s="1265"/>
      <c r="N375" s="1265"/>
      <c r="O375" s="1265"/>
      <c r="P375" s="1265"/>
      <c r="Q375" s="1265"/>
      <c r="R375" s="1265"/>
      <c r="S375" s="1265"/>
      <c r="T375" s="1265"/>
      <c r="U375" s="1265"/>
      <c r="V375" s="1265"/>
      <c r="W375" s="1265"/>
      <c r="X375" s="1265"/>
      <c r="Y375" s="1265"/>
      <c r="Z375" s="1265"/>
    </row>
    <row r="376" ht="27.0" customHeight="1">
      <c r="A376" s="1265"/>
      <c r="B376" s="1265"/>
      <c r="C376" s="1265"/>
      <c r="D376" s="1265"/>
      <c r="E376" s="1265"/>
      <c r="F376" s="1265"/>
      <c r="G376" s="1265"/>
      <c r="H376" s="1265"/>
      <c r="I376" s="1265"/>
      <c r="J376" s="1265"/>
      <c r="K376" s="1265"/>
      <c r="L376" s="1265"/>
      <c r="M376" s="1265"/>
      <c r="N376" s="1265"/>
      <c r="O376" s="1265"/>
      <c r="P376" s="1265"/>
      <c r="Q376" s="1265"/>
      <c r="R376" s="1265"/>
      <c r="S376" s="1265"/>
      <c r="T376" s="1265"/>
      <c r="U376" s="1265"/>
      <c r="V376" s="1265"/>
      <c r="W376" s="1265"/>
      <c r="X376" s="1265"/>
      <c r="Y376" s="1265"/>
      <c r="Z376" s="1265"/>
    </row>
    <row r="377" ht="27.0" customHeight="1">
      <c r="A377" s="1265"/>
      <c r="B377" s="1265"/>
      <c r="C377" s="1265"/>
      <c r="D377" s="1265"/>
      <c r="E377" s="1265"/>
      <c r="F377" s="1265"/>
      <c r="G377" s="1265"/>
      <c r="H377" s="1265"/>
      <c r="I377" s="1265"/>
      <c r="J377" s="1265"/>
      <c r="K377" s="1265"/>
      <c r="L377" s="1265"/>
      <c r="M377" s="1265"/>
      <c r="N377" s="1265"/>
      <c r="O377" s="1265"/>
      <c r="P377" s="1265"/>
      <c r="Q377" s="1265"/>
      <c r="R377" s="1265"/>
      <c r="S377" s="1265"/>
      <c r="T377" s="1265"/>
      <c r="U377" s="1265"/>
      <c r="V377" s="1265"/>
      <c r="W377" s="1265"/>
      <c r="X377" s="1265"/>
      <c r="Y377" s="1265"/>
      <c r="Z377" s="1265"/>
    </row>
    <row r="378" ht="27.0" customHeight="1">
      <c r="A378" s="1265"/>
      <c r="B378" s="1265"/>
      <c r="C378" s="1265"/>
      <c r="D378" s="1265"/>
      <c r="E378" s="1265"/>
      <c r="F378" s="1265"/>
      <c r="G378" s="1265"/>
      <c r="H378" s="1265"/>
      <c r="I378" s="1265"/>
      <c r="J378" s="1265"/>
      <c r="K378" s="1265"/>
      <c r="L378" s="1265"/>
      <c r="M378" s="1265"/>
      <c r="N378" s="1265"/>
      <c r="O378" s="1265"/>
      <c r="P378" s="1265"/>
      <c r="Q378" s="1265"/>
      <c r="R378" s="1265"/>
      <c r="S378" s="1265"/>
      <c r="T378" s="1265"/>
      <c r="U378" s="1265"/>
      <c r="V378" s="1265"/>
      <c r="W378" s="1265"/>
      <c r="X378" s="1265"/>
      <c r="Y378" s="1265"/>
      <c r="Z378" s="1265"/>
    </row>
    <row r="379" ht="27.0" customHeight="1">
      <c r="A379" s="1265"/>
      <c r="B379" s="1265"/>
      <c r="C379" s="1265"/>
      <c r="D379" s="1265"/>
      <c r="E379" s="1265"/>
      <c r="F379" s="1265"/>
      <c r="G379" s="1265"/>
      <c r="H379" s="1265"/>
      <c r="I379" s="1265"/>
      <c r="J379" s="1265"/>
      <c r="K379" s="1265"/>
      <c r="L379" s="1265"/>
      <c r="M379" s="1265"/>
      <c r="N379" s="1265"/>
      <c r="O379" s="1265"/>
      <c r="P379" s="1265"/>
      <c r="Q379" s="1265"/>
      <c r="R379" s="1265"/>
      <c r="S379" s="1265"/>
      <c r="T379" s="1265"/>
      <c r="U379" s="1265"/>
      <c r="V379" s="1265"/>
      <c r="W379" s="1265"/>
      <c r="X379" s="1265"/>
      <c r="Y379" s="1265"/>
      <c r="Z379" s="1265"/>
    </row>
    <row r="380" ht="27.0" customHeight="1">
      <c r="A380" s="1265"/>
      <c r="B380" s="1265"/>
      <c r="C380" s="1265"/>
      <c r="D380" s="1265"/>
      <c r="E380" s="1265"/>
      <c r="F380" s="1265"/>
      <c r="G380" s="1265"/>
      <c r="H380" s="1265"/>
      <c r="I380" s="1265"/>
      <c r="J380" s="1265"/>
      <c r="K380" s="1265"/>
      <c r="L380" s="1265"/>
      <c r="M380" s="1265"/>
      <c r="N380" s="1265"/>
      <c r="O380" s="1265"/>
      <c r="P380" s="1265"/>
      <c r="Q380" s="1265"/>
      <c r="R380" s="1265"/>
      <c r="S380" s="1265"/>
      <c r="T380" s="1265"/>
      <c r="U380" s="1265"/>
      <c r="V380" s="1265"/>
      <c r="W380" s="1265"/>
      <c r="X380" s="1265"/>
      <c r="Y380" s="1265"/>
      <c r="Z380" s="1265"/>
    </row>
    <row r="381" ht="27.0" customHeight="1">
      <c r="A381" s="1265"/>
      <c r="B381" s="1265"/>
      <c r="C381" s="1265"/>
      <c r="D381" s="1265"/>
      <c r="E381" s="1265"/>
      <c r="F381" s="1265"/>
      <c r="G381" s="1265"/>
      <c r="H381" s="1265"/>
      <c r="I381" s="1265"/>
      <c r="J381" s="1265"/>
      <c r="K381" s="1265"/>
      <c r="L381" s="1265"/>
      <c r="M381" s="1265"/>
      <c r="N381" s="1265"/>
      <c r="O381" s="1265"/>
      <c r="P381" s="1265"/>
      <c r="Q381" s="1265"/>
      <c r="R381" s="1265"/>
      <c r="S381" s="1265"/>
      <c r="T381" s="1265"/>
      <c r="U381" s="1265"/>
      <c r="V381" s="1265"/>
      <c r="W381" s="1265"/>
      <c r="X381" s="1265"/>
      <c r="Y381" s="1265"/>
      <c r="Z381" s="1265"/>
    </row>
    <row r="382" ht="27.0" customHeight="1">
      <c r="A382" s="1265"/>
      <c r="B382" s="1265"/>
      <c r="C382" s="1265"/>
      <c r="D382" s="1265"/>
      <c r="E382" s="1265"/>
      <c r="F382" s="1265"/>
      <c r="G382" s="1265"/>
      <c r="H382" s="1265"/>
      <c r="I382" s="1265"/>
      <c r="J382" s="1265"/>
      <c r="K382" s="1265"/>
      <c r="L382" s="1265"/>
      <c r="M382" s="1265"/>
      <c r="N382" s="1265"/>
      <c r="O382" s="1265"/>
      <c r="P382" s="1265"/>
      <c r="Q382" s="1265"/>
      <c r="R382" s="1265"/>
      <c r="S382" s="1265"/>
      <c r="T382" s="1265"/>
      <c r="U382" s="1265"/>
      <c r="V382" s="1265"/>
      <c r="W382" s="1265"/>
      <c r="X382" s="1265"/>
      <c r="Y382" s="1265"/>
      <c r="Z382" s="1265"/>
    </row>
    <row r="383" ht="27.0" customHeight="1">
      <c r="A383" s="1265"/>
      <c r="B383" s="1265"/>
      <c r="C383" s="1265"/>
      <c r="D383" s="1265"/>
      <c r="E383" s="1265"/>
      <c r="F383" s="1265"/>
      <c r="G383" s="1265"/>
      <c r="H383" s="1265"/>
      <c r="I383" s="1265"/>
      <c r="J383" s="1265"/>
      <c r="K383" s="1265"/>
      <c r="L383" s="1265"/>
      <c r="M383" s="1265"/>
      <c r="N383" s="1265"/>
      <c r="O383" s="1265"/>
      <c r="P383" s="1265"/>
      <c r="Q383" s="1265"/>
      <c r="R383" s="1265"/>
      <c r="S383" s="1265"/>
      <c r="T383" s="1265"/>
      <c r="U383" s="1265"/>
      <c r="V383" s="1265"/>
      <c r="W383" s="1265"/>
      <c r="X383" s="1265"/>
      <c r="Y383" s="1265"/>
      <c r="Z383" s="1265"/>
    </row>
    <row r="384" ht="27.0" customHeight="1">
      <c r="A384" s="1265"/>
      <c r="B384" s="1265"/>
      <c r="C384" s="1265"/>
      <c r="D384" s="1265"/>
      <c r="E384" s="1265"/>
      <c r="F384" s="1265"/>
      <c r="G384" s="1265"/>
      <c r="H384" s="1265"/>
      <c r="I384" s="1265"/>
      <c r="J384" s="1265"/>
      <c r="K384" s="1265"/>
      <c r="L384" s="1265"/>
      <c r="M384" s="1265"/>
      <c r="N384" s="1265"/>
      <c r="O384" s="1265"/>
      <c r="P384" s="1265"/>
      <c r="Q384" s="1265"/>
      <c r="R384" s="1265"/>
      <c r="S384" s="1265"/>
      <c r="T384" s="1265"/>
      <c r="U384" s="1265"/>
      <c r="V384" s="1265"/>
      <c r="W384" s="1265"/>
      <c r="X384" s="1265"/>
      <c r="Y384" s="1265"/>
      <c r="Z384" s="1265"/>
    </row>
    <row r="385" ht="27.0" customHeight="1">
      <c r="A385" s="1265"/>
      <c r="B385" s="1265"/>
      <c r="C385" s="1265"/>
      <c r="D385" s="1265"/>
      <c r="E385" s="1265"/>
      <c r="F385" s="1265"/>
      <c r="G385" s="1265"/>
      <c r="H385" s="1265"/>
      <c r="I385" s="1265"/>
      <c r="J385" s="1265"/>
      <c r="K385" s="1265"/>
      <c r="L385" s="1265"/>
      <c r="M385" s="1265"/>
      <c r="N385" s="1265"/>
      <c r="O385" s="1265"/>
      <c r="P385" s="1265"/>
      <c r="Q385" s="1265"/>
      <c r="R385" s="1265"/>
      <c r="S385" s="1265"/>
      <c r="T385" s="1265"/>
      <c r="U385" s="1265"/>
      <c r="V385" s="1265"/>
      <c r="W385" s="1265"/>
      <c r="X385" s="1265"/>
      <c r="Y385" s="1265"/>
      <c r="Z385" s="1265"/>
    </row>
    <row r="386" ht="27.0" customHeight="1">
      <c r="A386" s="1265"/>
      <c r="B386" s="1265"/>
      <c r="C386" s="1265"/>
      <c r="D386" s="1265"/>
      <c r="E386" s="1265"/>
      <c r="F386" s="1265"/>
      <c r="G386" s="1265"/>
      <c r="H386" s="1265"/>
      <c r="I386" s="1265"/>
      <c r="J386" s="1265"/>
      <c r="K386" s="1265"/>
      <c r="L386" s="1265"/>
      <c r="M386" s="1265"/>
      <c r="N386" s="1265"/>
      <c r="O386" s="1265"/>
      <c r="P386" s="1265"/>
      <c r="Q386" s="1265"/>
      <c r="R386" s="1265"/>
      <c r="S386" s="1265"/>
      <c r="T386" s="1265"/>
      <c r="U386" s="1265"/>
      <c r="V386" s="1265"/>
      <c r="W386" s="1265"/>
      <c r="X386" s="1265"/>
      <c r="Y386" s="1265"/>
      <c r="Z386" s="1265"/>
    </row>
    <row r="387" ht="27.0" customHeight="1">
      <c r="A387" s="1265"/>
      <c r="B387" s="1265"/>
      <c r="C387" s="1265"/>
      <c r="D387" s="1265"/>
      <c r="E387" s="1265"/>
      <c r="F387" s="1265"/>
      <c r="G387" s="1265"/>
      <c r="H387" s="1265"/>
      <c r="I387" s="1265"/>
      <c r="J387" s="1265"/>
      <c r="K387" s="1265"/>
      <c r="L387" s="1265"/>
      <c r="M387" s="1265"/>
      <c r="N387" s="1265"/>
      <c r="O387" s="1265"/>
      <c r="P387" s="1265"/>
      <c r="Q387" s="1265"/>
      <c r="R387" s="1265"/>
      <c r="S387" s="1265"/>
      <c r="T387" s="1265"/>
      <c r="U387" s="1265"/>
      <c r="V387" s="1265"/>
      <c r="W387" s="1265"/>
      <c r="X387" s="1265"/>
      <c r="Y387" s="1265"/>
      <c r="Z387" s="1265"/>
    </row>
    <row r="388" ht="27.0" customHeight="1">
      <c r="A388" s="1265"/>
      <c r="B388" s="1265"/>
      <c r="C388" s="1265"/>
      <c r="D388" s="1265"/>
      <c r="E388" s="1265"/>
      <c r="F388" s="1265"/>
      <c r="G388" s="1265"/>
      <c r="H388" s="1265"/>
      <c r="I388" s="1265"/>
      <c r="J388" s="1265"/>
      <c r="K388" s="1265"/>
      <c r="L388" s="1265"/>
      <c r="M388" s="1265"/>
      <c r="N388" s="1265"/>
      <c r="O388" s="1265"/>
      <c r="P388" s="1265"/>
      <c r="Q388" s="1265"/>
      <c r="R388" s="1265"/>
      <c r="S388" s="1265"/>
      <c r="T388" s="1265"/>
      <c r="U388" s="1265"/>
      <c r="V388" s="1265"/>
      <c r="W388" s="1265"/>
      <c r="X388" s="1265"/>
      <c r="Y388" s="1265"/>
      <c r="Z388" s="1265"/>
    </row>
    <row r="389" ht="27.0" customHeight="1">
      <c r="A389" s="1265"/>
      <c r="B389" s="1265"/>
      <c r="C389" s="1265"/>
      <c r="D389" s="1265"/>
      <c r="E389" s="1265"/>
      <c r="F389" s="1265"/>
      <c r="G389" s="1265"/>
      <c r="H389" s="1265"/>
      <c r="I389" s="1265"/>
      <c r="J389" s="1265"/>
      <c r="K389" s="1265"/>
      <c r="L389" s="1265"/>
      <c r="M389" s="1265"/>
      <c r="N389" s="1265"/>
      <c r="O389" s="1265"/>
      <c r="P389" s="1265"/>
      <c r="Q389" s="1265"/>
      <c r="R389" s="1265"/>
      <c r="S389" s="1265"/>
      <c r="T389" s="1265"/>
      <c r="U389" s="1265"/>
      <c r="V389" s="1265"/>
      <c r="W389" s="1265"/>
      <c r="X389" s="1265"/>
      <c r="Y389" s="1265"/>
      <c r="Z389" s="1265"/>
    </row>
    <row r="390" ht="27.0" customHeight="1">
      <c r="A390" s="1265"/>
      <c r="B390" s="1265"/>
      <c r="C390" s="1265"/>
      <c r="D390" s="1265"/>
      <c r="E390" s="1265"/>
      <c r="F390" s="1265"/>
      <c r="G390" s="1265"/>
      <c r="H390" s="1265"/>
      <c r="I390" s="1265"/>
      <c r="J390" s="1265"/>
      <c r="K390" s="1265"/>
      <c r="L390" s="1265"/>
      <c r="M390" s="1265"/>
      <c r="N390" s="1265"/>
      <c r="O390" s="1265"/>
      <c r="P390" s="1265"/>
      <c r="Q390" s="1265"/>
      <c r="R390" s="1265"/>
      <c r="S390" s="1265"/>
      <c r="T390" s="1265"/>
      <c r="U390" s="1265"/>
      <c r="V390" s="1265"/>
      <c r="W390" s="1265"/>
      <c r="X390" s="1265"/>
      <c r="Y390" s="1265"/>
      <c r="Z390" s="1265"/>
    </row>
    <row r="391" ht="27.0" customHeight="1">
      <c r="A391" s="1265"/>
      <c r="B391" s="1265"/>
      <c r="C391" s="1265"/>
      <c r="D391" s="1265"/>
      <c r="E391" s="1265"/>
      <c r="F391" s="1265"/>
      <c r="G391" s="1265"/>
      <c r="H391" s="1265"/>
      <c r="I391" s="1265"/>
      <c r="J391" s="1265"/>
      <c r="K391" s="1265"/>
      <c r="L391" s="1265"/>
      <c r="M391" s="1265"/>
      <c r="N391" s="1265"/>
      <c r="O391" s="1265"/>
      <c r="P391" s="1265"/>
      <c r="Q391" s="1265"/>
      <c r="R391" s="1265"/>
      <c r="S391" s="1265"/>
      <c r="T391" s="1265"/>
      <c r="U391" s="1265"/>
      <c r="V391" s="1265"/>
      <c r="W391" s="1265"/>
      <c r="X391" s="1265"/>
      <c r="Y391" s="1265"/>
      <c r="Z391" s="1265"/>
    </row>
    <row r="392" ht="27.0" customHeight="1">
      <c r="A392" s="1265"/>
      <c r="B392" s="1265"/>
      <c r="C392" s="1265"/>
      <c r="D392" s="1265"/>
      <c r="E392" s="1265"/>
      <c r="F392" s="1265"/>
      <c r="G392" s="1265"/>
      <c r="H392" s="1265"/>
      <c r="I392" s="1265"/>
      <c r="J392" s="1265"/>
      <c r="K392" s="1265"/>
      <c r="L392" s="1265"/>
      <c r="M392" s="1265"/>
      <c r="N392" s="1265"/>
      <c r="O392" s="1265"/>
      <c r="P392" s="1265"/>
      <c r="Q392" s="1265"/>
      <c r="R392" s="1265"/>
      <c r="S392" s="1265"/>
      <c r="T392" s="1265"/>
      <c r="U392" s="1265"/>
      <c r="V392" s="1265"/>
      <c r="W392" s="1265"/>
      <c r="X392" s="1265"/>
      <c r="Y392" s="1265"/>
      <c r="Z392" s="1265"/>
    </row>
    <row r="393" ht="27.0" customHeight="1">
      <c r="A393" s="1265"/>
      <c r="B393" s="1265"/>
      <c r="C393" s="1265"/>
      <c r="D393" s="1265"/>
      <c r="E393" s="1265"/>
      <c r="F393" s="1265"/>
      <c r="G393" s="1265"/>
      <c r="H393" s="1265"/>
      <c r="I393" s="1265"/>
      <c r="J393" s="1265"/>
      <c r="K393" s="1265"/>
      <c r="L393" s="1265"/>
      <c r="M393" s="1265"/>
      <c r="N393" s="1265"/>
      <c r="O393" s="1265"/>
      <c r="P393" s="1265"/>
      <c r="Q393" s="1265"/>
      <c r="R393" s="1265"/>
      <c r="S393" s="1265"/>
      <c r="T393" s="1265"/>
      <c r="U393" s="1265"/>
      <c r="V393" s="1265"/>
      <c r="W393" s="1265"/>
      <c r="X393" s="1265"/>
      <c r="Y393" s="1265"/>
      <c r="Z393" s="1265"/>
    </row>
    <row r="394" ht="27.0" customHeight="1">
      <c r="A394" s="1265"/>
      <c r="B394" s="1265"/>
      <c r="C394" s="1265"/>
      <c r="D394" s="1265"/>
      <c r="E394" s="1265"/>
      <c r="F394" s="1265"/>
      <c r="G394" s="1265"/>
      <c r="H394" s="1265"/>
      <c r="I394" s="1265"/>
      <c r="J394" s="1265"/>
      <c r="K394" s="1265"/>
      <c r="L394" s="1265"/>
      <c r="M394" s="1265"/>
      <c r="N394" s="1265"/>
      <c r="O394" s="1265"/>
      <c r="P394" s="1265"/>
      <c r="Q394" s="1265"/>
      <c r="R394" s="1265"/>
      <c r="S394" s="1265"/>
      <c r="T394" s="1265"/>
      <c r="U394" s="1265"/>
      <c r="V394" s="1265"/>
      <c r="W394" s="1265"/>
      <c r="X394" s="1265"/>
      <c r="Y394" s="1265"/>
      <c r="Z394" s="1265"/>
    </row>
    <row r="395" ht="27.0" customHeight="1">
      <c r="A395" s="1265"/>
      <c r="B395" s="1265"/>
      <c r="C395" s="1265"/>
      <c r="D395" s="1265"/>
      <c r="E395" s="1265"/>
      <c r="F395" s="1265"/>
      <c r="G395" s="1265"/>
      <c r="H395" s="1265"/>
      <c r="I395" s="1265"/>
      <c r="J395" s="1265"/>
      <c r="K395" s="1265"/>
      <c r="L395" s="1265"/>
      <c r="M395" s="1265"/>
      <c r="N395" s="1265"/>
      <c r="O395" s="1265"/>
      <c r="P395" s="1265"/>
      <c r="Q395" s="1265"/>
      <c r="R395" s="1265"/>
      <c r="S395" s="1265"/>
      <c r="T395" s="1265"/>
      <c r="U395" s="1265"/>
      <c r="V395" s="1265"/>
      <c r="W395" s="1265"/>
      <c r="X395" s="1265"/>
      <c r="Y395" s="1265"/>
      <c r="Z395" s="1265"/>
    </row>
    <row r="396" ht="27.0" customHeight="1">
      <c r="A396" s="1265"/>
      <c r="B396" s="1265"/>
      <c r="C396" s="1265"/>
      <c r="D396" s="1265"/>
      <c r="E396" s="1265"/>
      <c r="F396" s="1265"/>
      <c r="G396" s="1265"/>
      <c r="H396" s="1265"/>
      <c r="I396" s="1265"/>
      <c r="J396" s="1265"/>
      <c r="K396" s="1265"/>
      <c r="L396" s="1265"/>
      <c r="M396" s="1265"/>
      <c r="N396" s="1265"/>
      <c r="O396" s="1265"/>
      <c r="P396" s="1265"/>
      <c r="Q396" s="1265"/>
      <c r="R396" s="1265"/>
      <c r="S396" s="1265"/>
      <c r="T396" s="1265"/>
      <c r="U396" s="1265"/>
      <c r="V396" s="1265"/>
      <c r="W396" s="1265"/>
      <c r="X396" s="1265"/>
      <c r="Y396" s="1265"/>
      <c r="Z396" s="1265"/>
    </row>
    <row r="397" ht="27.0" customHeight="1">
      <c r="A397" s="1265"/>
      <c r="B397" s="1265"/>
      <c r="C397" s="1265"/>
      <c r="D397" s="1265"/>
      <c r="E397" s="1265"/>
      <c r="F397" s="1265"/>
      <c r="G397" s="1265"/>
      <c r="H397" s="1265"/>
      <c r="I397" s="1265"/>
      <c r="J397" s="1265"/>
      <c r="K397" s="1265"/>
      <c r="L397" s="1265"/>
      <c r="M397" s="1265"/>
      <c r="N397" s="1265"/>
      <c r="O397" s="1265"/>
      <c r="P397" s="1265"/>
      <c r="Q397" s="1265"/>
      <c r="R397" s="1265"/>
      <c r="S397" s="1265"/>
      <c r="T397" s="1265"/>
      <c r="U397" s="1265"/>
      <c r="V397" s="1265"/>
      <c r="W397" s="1265"/>
      <c r="X397" s="1265"/>
      <c r="Y397" s="1265"/>
      <c r="Z397" s="1265"/>
    </row>
    <row r="398" ht="27.0" customHeight="1">
      <c r="A398" s="1265"/>
      <c r="B398" s="1265"/>
      <c r="C398" s="1265"/>
      <c r="D398" s="1265"/>
      <c r="E398" s="1265"/>
      <c r="F398" s="1265"/>
      <c r="G398" s="1265"/>
      <c r="H398" s="1265"/>
      <c r="I398" s="1265"/>
      <c r="J398" s="1265"/>
      <c r="K398" s="1265"/>
      <c r="L398" s="1265"/>
      <c r="M398" s="1265"/>
      <c r="N398" s="1265"/>
      <c r="O398" s="1265"/>
      <c r="P398" s="1265"/>
      <c r="Q398" s="1265"/>
      <c r="R398" s="1265"/>
      <c r="S398" s="1265"/>
      <c r="T398" s="1265"/>
      <c r="U398" s="1265"/>
      <c r="V398" s="1265"/>
      <c r="W398" s="1265"/>
      <c r="X398" s="1265"/>
      <c r="Y398" s="1265"/>
      <c r="Z398" s="1265"/>
    </row>
    <row r="399" ht="27.0" customHeight="1">
      <c r="A399" s="1265"/>
      <c r="B399" s="1265"/>
      <c r="C399" s="1265"/>
      <c r="D399" s="1265"/>
      <c r="E399" s="1265"/>
      <c r="F399" s="1265"/>
      <c r="G399" s="1265"/>
      <c r="H399" s="1265"/>
      <c r="I399" s="1265"/>
      <c r="J399" s="1265"/>
      <c r="K399" s="1265"/>
      <c r="L399" s="1265"/>
      <c r="M399" s="1265"/>
      <c r="N399" s="1265"/>
      <c r="O399" s="1265"/>
      <c r="P399" s="1265"/>
      <c r="Q399" s="1265"/>
      <c r="R399" s="1265"/>
      <c r="S399" s="1265"/>
      <c r="T399" s="1265"/>
      <c r="U399" s="1265"/>
      <c r="V399" s="1265"/>
      <c r="W399" s="1265"/>
      <c r="X399" s="1265"/>
      <c r="Y399" s="1265"/>
      <c r="Z399" s="1265"/>
    </row>
    <row r="400" ht="27.0" customHeight="1">
      <c r="A400" s="1265"/>
      <c r="B400" s="1265"/>
      <c r="C400" s="1265"/>
      <c r="D400" s="1265"/>
      <c r="E400" s="1265"/>
      <c r="F400" s="1265"/>
      <c r="G400" s="1265"/>
      <c r="H400" s="1265"/>
      <c r="I400" s="1265"/>
      <c r="J400" s="1265"/>
      <c r="K400" s="1265"/>
      <c r="L400" s="1265"/>
      <c r="M400" s="1265"/>
      <c r="N400" s="1265"/>
      <c r="O400" s="1265"/>
      <c r="P400" s="1265"/>
      <c r="Q400" s="1265"/>
      <c r="R400" s="1265"/>
      <c r="S400" s="1265"/>
      <c r="T400" s="1265"/>
      <c r="U400" s="1265"/>
      <c r="V400" s="1265"/>
      <c r="W400" s="1265"/>
      <c r="X400" s="1265"/>
      <c r="Y400" s="1265"/>
      <c r="Z400" s="1265"/>
    </row>
    <row r="401" ht="27.0" customHeight="1">
      <c r="A401" s="1265"/>
      <c r="B401" s="1265"/>
      <c r="C401" s="1265"/>
      <c r="D401" s="1265"/>
      <c r="E401" s="1265"/>
      <c r="F401" s="1265"/>
      <c r="G401" s="1265"/>
      <c r="H401" s="1265"/>
      <c r="I401" s="1265"/>
      <c r="J401" s="1265"/>
      <c r="K401" s="1265"/>
      <c r="L401" s="1265"/>
      <c r="M401" s="1265"/>
      <c r="N401" s="1265"/>
      <c r="O401" s="1265"/>
      <c r="P401" s="1265"/>
      <c r="Q401" s="1265"/>
      <c r="R401" s="1265"/>
      <c r="S401" s="1265"/>
      <c r="T401" s="1265"/>
      <c r="U401" s="1265"/>
      <c r="V401" s="1265"/>
      <c r="W401" s="1265"/>
      <c r="X401" s="1265"/>
      <c r="Y401" s="1265"/>
      <c r="Z401" s="1265"/>
    </row>
    <row r="402" ht="27.0" customHeight="1">
      <c r="A402" s="1265"/>
      <c r="B402" s="1265"/>
      <c r="C402" s="1265"/>
      <c r="D402" s="1265"/>
      <c r="E402" s="1265"/>
      <c r="F402" s="1265"/>
      <c r="G402" s="1265"/>
      <c r="H402" s="1265"/>
      <c r="I402" s="1265"/>
      <c r="J402" s="1265"/>
      <c r="K402" s="1265"/>
      <c r="L402" s="1265"/>
      <c r="M402" s="1265"/>
      <c r="N402" s="1265"/>
      <c r="O402" s="1265"/>
      <c r="P402" s="1265"/>
      <c r="Q402" s="1265"/>
      <c r="R402" s="1265"/>
      <c r="S402" s="1265"/>
      <c r="T402" s="1265"/>
      <c r="U402" s="1265"/>
      <c r="V402" s="1265"/>
      <c r="W402" s="1265"/>
      <c r="X402" s="1265"/>
      <c r="Y402" s="1265"/>
      <c r="Z402" s="1265"/>
    </row>
    <row r="403" ht="27.0" customHeight="1">
      <c r="A403" s="1265"/>
      <c r="B403" s="1265"/>
      <c r="C403" s="1265"/>
      <c r="D403" s="1265"/>
      <c r="E403" s="1265"/>
      <c r="F403" s="1265"/>
      <c r="G403" s="1265"/>
      <c r="H403" s="1265"/>
      <c r="I403" s="1265"/>
      <c r="J403" s="1265"/>
      <c r="K403" s="1265"/>
      <c r="L403" s="1265"/>
      <c r="M403" s="1265"/>
      <c r="N403" s="1265"/>
      <c r="O403" s="1265"/>
      <c r="P403" s="1265"/>
      <c r="Q403" s="1265"/>
      <c r="R403" s="1265"/>
      <c r="S403" s="1265"/>
      <c r="T403" s="1265"/>
      <c r="U403" s="1265"/>
      <c r="V403" s="1265"/>
      <c r="W403" s="1265"/>
      <c r="X403" s="1265"/>
      <c r="Y403" s="1265"/>
      <c r="Z403" s="1265"/>
    </row>
    <row r="404" ht="27.0" customHeight="1">
      <c r="A404" s="1265"/>
      <c r="B404" s="1265"/>
      <c r="C404" s="1265"/>
      <c r="D404" s="1265"/>
      <c r="E404" s="1265"/>
      <c r="F404" s="1265"/>
      <c r="G404" s="1265"/>
      <c r="H404" s="1265"/>
      <c r="I404" s="1265"/>
      <c r="J404" s="1265"/>
      <c r="K404" s="1265"/>
      <c r="L404" s="1265"/>
      <c r="M404" s="1265"/>
      <c r="N404" s="1265"/>
      <c r="O404" s="1265"/>
      <c r="P404" s="1265"/>
      <c r="Q404" s="1265"/>
      <c r="R404" s="1265"/>
      <c r="S404" s="1265"/>
      <c r="T404" s="1265"/>
      <c r="U404" s="1265"/>
      <c r="V404" s="1265"/>
      <c r="W404" s="1265"/>
      <c r="X404" s="1265"/>
      <c r="Y404" s="1265"/>
      <c r="Z404" s="1265"/>
    </row>
    <row r="405" ht="27.0" customHeight="1">
      <c r="A405" s="1265"/>
      <c r="B405" s="1265"/>
      <c r="C405" s="1265"/>
      <c r="D405" s="1265"/>
      <c r="E405" s="1265"/>
      <c r="F405" s="1265"/>
      <c r="G405" s="1265"/>
      <c r="H405" s="1265"/>
      <c r="I405" s="1265"/>
      <c r="J405" s="1265"/>
      <c r="K405" s="1265"/>
      <c r="L405" s="1265"/>
      <c r="M405" s="1265"/>
      <c r="N405" s="1265"/>
      <c r="O405" s="1265"/>
      <c r="P405" s="1265"/>
      <c r="Q405" s="1265"/>
      <c r="R405" s="1265"/>
      <c r="S405" s="1265"/>
      <c r="T405" s="1265"/>
      <c r="U405" s="1265"/>
      <c r="V405" s="1265"/>
      <c r="W405" s="1265"/>
      <c r="X405" s="1265"/>
      <c r="Y405" s="1265"/>
      <c r="Z405" s="1265"/>
    </row>
    <row r="406" ht="27.0" customHeight="1">
      <c r="A406" s="1265"/>
      <c r="B406" s="1265"/>
      <c r="C406" s="1265"/>
      <c r="D406" s="1265"/>
      <c r="E406" s="1265"/>
      <c r="F406" s="1265"/>
      <c r="G406" s="1265"/>
      <c r="H406" s="1265"/>
      <c r="I406" s="1265"/>
      <c r="J406" s="1265"/>
      <c r="K406" s="1265"/>
      <c r="L406" s="1265"/>
      <c r="M406" s="1265"/>
      <c r="N406" s="1265"/>
      <c r="O406" s="1265"/>
      <c r="P406" s="1265"/>
      <c r="Q406" s="1265"/>
      <c r="R406" s="1265"/>
      <c r="S406" s="1265"/>
      <c r="T406" s="1265"/>
      <c r="U406" s="1265"/>
      <c r="V406" s="1265"/>
      <c r="W406" s="1265"/>
      <c r="X406" s="1265"/>
      <c r="Y406" s="1265"/>
      <c r="Z406" s="1265"/>
    </row>
    <row r="407" ht="27.0" customHeight="1">
      <c r="A407" s="1265"/>
      <c r="B407" s="1265"/>
      <c r="C407" s="1265"/>
      <c r="D407" s="1265"/>
      <c r="E407" s="1265"/>
      <c r="F407" s="1265"/>
      <c r="G407" s="1265"/>
      <c r="H407" s="1265"/>
      <c r="I407" s="1265"/>
      <c r="J407" s="1265"/>
      <c r="K407" s="1265"/>
      <c r="L407" s="1265"/>
      <c r="M407" s="1265"/>
      <c r="N407" s="1265"/>
      <c r="O407" s="1265"/>
      <c r="P407" s="1265"/>
      <c r="Q407" s="1265"/>
      <c r="R407" s="1265"/>
      <c r="S407" s="1265"/>
      <c r="T407" s="1265"/>
      <c r="U407" s="1265"/>
      <c r="V407" s="1265"/>
      <c r="W407" s="1265"/>
      <c r="X407" s="1265"/>
      <c r="Y407" s="1265"/>
      <c r="Z407" s="1265"/>
    </row>
    <row r="408" ht="27.0" customHeight="1">
      <c r="A408" s="1265"/>
      <c r="B408" s="1265"/>
      <c r="C408" s="1265"/>
      <c r="D408" s="1265"/>
      <c r="E408" s="1265"/>
      <c r="F408" s="1265"/>
      <c r="G408" s="1265"/>
      <c r="H408" s="1265"/>
      <c r="I408" s="1265"/>
      <c r="J408" s="1265"/>
      <c r="K408" s="1265"/>
      <c r="L408" s="1265"/>
      <c r="M408" s="1265"/>
      <c r="N408" s="1265"/>
      <c r="O408" s="1265"/>
      <c r="P408" s="1265"/>
      <c r="Q408" s="1265"/>
      <c r="R408" s="1265"/>
      <c r="S408" s="1265"/>
      <c r="T408" s="1265"/>
      <c r="U408" s="1265"/>
      <c r="V408" s="1265"/>
      <c r="W408" s="1265"/>
      <c r="X408" s="1265"/>
      <c r="Y408" s="1265"/>
      <c r="Z408" s="1265"/>
    </row>
    <row r="409" ht="27.0" customHeight="1">
      <c r="A409" s="1265"/>
      <c r="B409" s="1265"/>
      <c r="C409" s="1265"/>
      <c r="D409" s="1265"/>
      <c r="E409" s="1265"/>
      <c r="F409" s="1265"/>
      <c r="G409" s="1265"/>
      <c r="H409" s="1265"/>
      <c r="I409" s="1265"/>
      <c r="J409" s="1265"/>
      <c r="K409" s="1265"/>
      <c r="L409" s="1265"/>
      <c r="M409" s="1265"/>
      <c r="N409" s="1265"/>
      <c r="O409" s="1265"/>
      <c r="P409" s="1265"/>
      <c r="Q409" s="1265"/>
      <c r="R409" s="1265"/>
      <c r="S409" s="1265"/>
      <c r="T409" s="1265"/>
      <c r="U409" s="1265"/>
      <c r="V409" s="1265"/>
      <c r="W409" s="1265"/>
      <c r="X409" s="1265"/>
      <c r="Y409" s="1265"/>
      <c r="Z409" s="1265"/>
    </row>
    <row r="410" ht="27.0" customHeight="1">
      <c r="A410" s="1265"/>
      <c r="B410" s="1265"/>
      <c r="C410" s="1265"/>
      <c r="D410" s="1265"/>
      <c r="E410" s="1265"/>
      <c r="F410" s="1265"/>
      <c r="G410" s="1265"/>
      <c r="H410" s="1265"/>
      <c r="I410" s="1265"/>
      <c r="J410" s="1265"/>
      <c r="K410" s="1265"/>
      <c r="L410" s="1265"/>
      <c r="M410" s="1265"/>
      <c r="N410" s="1265"/>
      <c r="O410" s="1265"/>
      <c r="P410" s="1265"/>
      <c r="Q410" s="1265"/>
      <c r="R410" s="1265"/>
      <c r="S410" s="1265"/>
      <c r="T410" s="1265"/>
      <c r="U410" s="1265"/>
      <c r="V410" s="1265"/>
      <c r="W410" s="1265"/>
      <c r="X410" s="1265"/>
      <c r="Y410" s="1265"/>
      <c r="Z410" s="1265"/>
    </row>
    <row r="411" ht="27.0" customHeight="1">
      <c r="A411" s="1265"/>
      <c r="B411" s="1265"/>
      <c r="C411" s="1265"/>
      <c r="D411" s="1265"/>
      <c r="E411" s="1265"/>
      <c r="F411" s="1265"/>
      <c r="G411" s="1265"/>
      <c r="H411" s="1265"/>
      <c r="I411" s="1265"/>
      <c r="J411" s="1265"/>
      <c r="K411" s="1265"/>
      <c r="L411" s="1265"/>
      <c r="M411" s="1265"/>
      <c r="N411" s="1265"/>
      <c r="O411" s="1265"/>
      <c r="P411" s="1265"/>
      <c r="Q411" s="1265"/>
      <c r="R411" s="1265"/>
      <c r="S411" s="1265"/>
      <c r="T411" s="1265"/>
      <c r="U411" s="1265"/>
      <c r="V411" s="1265"/>
      <c r="W411" s="1265"/>
      <c r="X411" s="1265"/>
      <c r="Y411" s="1265"/>
      <c r="Z411" s="1265"/>
    </row>
    <row r="412" ht="27.0" customHeight="1">
      <c r="A412" s="1265"/>
      <c r="B412" s="1265"/>
      <c r="C412" s="1265"/>
      <c r="D412" s="1265"/>
      <c r="E412" s="1265"/>
      <c r="F412" s="1265"/>
      <c r="G412" s="1265"/>
      <c r="H412" s="1265"/>
      <c r="I412" s="1265"/>
      <c r="J412" s="1265"/>
      <c r="K412" s="1265"/>
      <c r="L412" s="1265"/>
      <c r="M412" s="1265"/>
      <c r="N412" s="1265"/>
      <c r="O412" s="1265"/>
      <c r="P412" s="1265"/>
      <c r="Q412" s="1265"/>
      <c r="R412" s="1265"/>
      <c r="S412" s="1265"/>
      <c r="T412" s="1265"/>
      <c r="U412" s="1265"/>
      <c r="V412" s="1265"/>
      <c r="W412" s="1265"/>
      <c r="X412" s="1265"/>
      <c r="Y412" s="1265"/>
      <c r="Z412" s="1265"/>
    </row>
    <row r="413" ht="27.0" customHeight="1">
      <c r="A413" s="1265"/>
      <c r="B413" s="1265"/>
      <c r="C413" s="1265"/>
      <c r="D413" s="1265"/>
      <c r="E413" s="1265"/>
      <c r="F413" s="1265"/>
      <c r="G413" s="1265"/>
      <c r="H413" s="1265"/>
      <c r="I413" s="1265"/>
      <c r="J413" s="1265"/>
      <c r="K413" s="1265"/>
      <c r="L413" s="1265"/>
      <c r="M413" s="1265"/>
      <c r="N413" s="1265"/>
      <c r="O413" s="1265"/>
      <c r="P413" s="1265"/>
      <c r="Q413" s="1265"/>
      <c r="R413" s="1265"/>
      <c r="S413" s="1265"/>
      <c r="T413" s="1265"/>
      <c r="U413" s="1265"/>
      <c r="V413" s="1265"/>
      <c r="W413" s="1265"/>
      <c r="X413" s="1265"/>
      <c r="Y413" s="1265"/>
      <c r="Z413" s="1265"/>
    </row>
    <row r="414" ht="27.0" customHeight="1">
      <c r="A414" s="1265"/>
      <c r="B414" s="1265"/>
      <c r="C414" s="1265"/>
      <c r="D414" s="1265"/>
      <c r="E414" s="1265"/>
      <c r="F414" s="1265"/>
      <c r="G414" s="1265"/>
      <c r="H414" s="1265"/>
      <c r="I414" s="1265"/>
      <c r="J414" s="1265"/>
      <c r="K414" s="1265"/>
      <c r="L414" s="1265"/>
      <c r="M414" s="1265"/>
      <c r="N414" s="1265"/>
      <c r="O414" s="1265"/>
      <c r="P414" s="1265"/>
      <c r="Q414" s="1265"/>
      <c r="R414" s="1265"/>
      <c r="S414" s="1265"/>
      <c r="T414" s="1265"/>
      <c r="U414" s="1265"/>
      <c r="V414" s="1265"/>
      <c r="W414" s="1265"/>
      <c r="X414" s="1265"/>
      <c r="Y414" s="1265"/>
      <c r="Z414" s="1265"/>
    </row>
    <row r="415" ht="27.0" customHeight="1">
      <c r="A415" s="1265"/>
      <c r="B415" s="1265"/>
      <c r="C415" s="1265"/>
      <c r="D415" s="1265"/>
      <c r="E415" s="1265"/>
      <c r="F415" s="1265"/>
      <c r="G415" s="1265"/>
      <c r="H415" s="1265"/>
      <c r="I415" s="1265"/>
      <c r="J415" s="1265"/>
      <c r="K415" s="1265"/>
      <c r="L415" s="1265"/>
      <c r="M415" s="1265"/>
      <c r="N415" s="1265"/>
      <c r="O415" s="1265"/>
      <c r="P415" s="1265"/>
      <c r="Q415" s="1265"/>
      <c r="R415" s="1265"/>
      <c r="S415" s="1265"/>
      <c r="T415" s="1265"/>
      <c r="U415" s="1265"/>
      <c r="V415" s="1265"/>
      <c r="W415" s="1265"/>
      <c r="X415" s="1265"/>
      <c r="Y415" s="1265"/>
      <c r="Z415" s="1265"/>
    </row>
    <row r="416" ht="27.0" customHeight="1">
      <c r="A416" s="1265"/>
      <c r="B416" s="1265"/>
      <c r="C416" s="1265"/>
      <c r="D416" s="1265"/>
      <c r="E416" s="1265"/>
      <c r="F416" s="1265"/>
      <c r="G416" s="1265"/>
      <c r="H416" s="1265"/>
      <c r="I416" s="1265"/>
      <c r="J416" s="1265"/>
      <c r="K416" s="1265"/>
      <c r="L416" s="1265"/>
      <c r="M416" s="1265"/>
      <c r="N416" s="1265"/>
      <c r="O416" s="1265"/>
      <c r="P416" s="1265"/>
      <c r="Q416" s="1265"/>
      <c r="R416" s="1265"/>
      <c r="S416" s="1265"/>
      <c r="T416" s="1265"/>
      <c r="U416" s="1265"/>
      <c r="V416" s="1265"/>
      <c r="W416" s="1265"/>
      <c r="X416" s="1265"/>
      <c r="Y416" s="1265"/>
      <c r="Z416" s="1265"/>
    </row>
    <row r="417" ht="27.0" customHeight="1">
      <c r="A417" s="1265"/>
      <c r="B417" s="1265"/>
      <c r="C417" s="1265"/>
      <c r="D417" s="1265"/>
      <c r="E417" s="1265"/>
      <c r="F417" s="1265"/>
      <c r="G417" s="1265"/>
      <c r="H417" s="1265"/>
      <c r="I417" s="1265"/>
      <c r="J417" s="1265"/>
      <c r="K417" s="1265"/>
      <c r="L417" s="1265"/>
      <c r="M417" s="1265"/>
      <c r="N417" s="1265"/>
      <c r="O417" s="1265"/>
      <c r="P417" s="1265"/>
      <c r="Q417" s="1265"/>
      <c r="R417" s="1265"/>
      <c r="S417" s="1265"/>
      <c r="T417" s="1265"/>
      <c r="U417" s="1265"/>
      <c r="V417" s="1265"/>
      <c r="W417" s="1265"/>
      <c r="X417" s="1265"/>
      <c r="Y417" s="1265"/>
      <c r="Z417" s="1265"/>
    </row>
    <row r="418" ht="27.0" customHeight="1">
      <c r="A418" s="1265"/>
      <c r="B418" s="1265"/>
      <c r="C418" s="1265"/>
      <c r="D418" s="1265"/>
      <c r="E418" s="1265"/>
      <c r="F418" s="1265"/>
      <c r="G418" s="1265"/>
      <c r="H418" s="1265"/>
      <c r="I418" s="1265"/>
      <c r="J418" s="1265"/>
      <c r="K418" s="1265"/>
      <c r="L418" s="1265"/>
      <c r="M418" s="1265"/>
      <c r="N418" s="1265"/>
      <c r="O418" s="1265"/>
      <c r="P418" s="1265"/>
      <c r="Q418" s="1265"/>
      <c r="R418" s="1265"/>
      <c r="S418" s="1265"/>
      <c r="T418" s="1265"/>
      <c r="U418" s="1265"/>
      <c r="V418" s="1265"/>
      <c r="W418" s="1265"/>
      <c r="X418" s="1265"/>
      <c r="Y418" s="1265"/>
      <c r="Z418" s="1265"/>
    </row>
    <row r="419" ht="27.0" customHeight="1">
      <c r="A419" s="1265"/>
      <c r="B419" s="1265"/>
      <c r="C419" s="1265"/>
      <c r="D419" s="1265"/>
      <c r="E419" s="1265"/>
      <c r="F419" s="1265"/>
      <c r="G419" s="1265"/>
      <c r="H419" s="1265"/>
      <c r="I419" s="1265"/>
      <c r="J419" s="1265"/>
      <c r="K419" s="1265"/>
      <c r="L419" s="1265"/>
      <c r="M419" s="1265"/>
      <c r="N419" s="1265"/>
      <c r="O419" s="1265"/>
      <c r="P419" s="1265"/>
      <c r="Q419" s="1265"/>
      <c r="R419" s="1265"/>
      <c r="S419" s="1265"/>
      <c r="T419" s="1265"/>
      <c r="U419" s="1265"/>
      <c r="V419" s="1265"/>
      <c r="W419" s="1265"/>
      <c r="X419" s="1265"/>
      <c r="Y419" s="1265"/>
      <c r="Z419" s="1265"/>
    </row>
    <row r="420" ht="27.0" customHeight="1">
      <c r="A420" s="1265"/>
      <c r="B420" s="1265"/>
      <c r="C420" s="1265"/>
      <c r="D420" s="1265"/>
      <c r="E420" s="1265"/>
      <c r="F420" s="1265"/>
      <c r="G420" s="1265"/>
      <c r="H420" s="1265"/>
      <c r="I420" s="1265"/>
      <c r="J420" s="1265"/>
      <c r="K420" s="1265"/>
      <c r="L420" s="1265"/>
      <c r="M420" s="1265"/>
      <c r="N420" s="1265"/>
      <c r="O420" s="1265"/>
      <c r="P420" s="1265"/>
      <c r="Q420" s="1265"/>
      <c r="R420" s="1265"/>
      <c r="S420" s="1265"/>
      <c r="T420" s="1265"/>
      <c r="U420" s="1265"/>
      <c r="V420" s="1265"/>
      <c r="W420" s="1265"/>
      <c r="X420" s="1265"/>
      <c r="Y420" s="1265"/>
      <c r="Z420" s="1265"/>
    </row>
    <row r="421" ht="27.0" customHeight="1">
      <c r="A421" s="1265"/>
      <c r="B421" s="1265"/>
      <c r="C421" s="1265"/>
      <c r="D421" s="1265"/>
      <c r="E421" s="1265"/>
      <c r="F421" s="1265"/>
      <c r="G421" s="1265"/>
      <c r="H421" s="1265"/>
      <c r="I421" s="1265"/>
      <c r="J421" s="1265"/>
      <c r="K421" s="1265"/>
      <c r="L421" s="1265"/>
      <c r="M421" s="1265"/>
      <c r="N421" s="1265"/>
      <c r="O421" s="1265"/>
      <c r="P421" s="1265"/>
      <c r="Q421" s="1265"/>
      <c r="R421" s="1265"/>
      <c r="S421" s="1265"/>
      <c r="T421" s="1265"/>
      <c r="U421" s="1265"/>
      <c r="V421" s="1265"/>
      <c r="W421" s="1265"/>
      <c r="X421" s="1265"/>
      <c r="Y421" s="1265"/>
      <c r="Z421" s="1265"/>
    </row>
    <row r="422" ht="27.0" customHeight="1">
      <c r="A422" s="1265"/>
      <c r="B422" s="1265"/>
      <c r="C422" s="1265"/>
      <c r="D422" s="1265"/>
      <c r="E422" s="1265"/>
      <c r="F422" s="1265"/>
      <c r="G422" s="1265"/>
      <c r="H422" s="1265"/>
      <c r="I422" s="1265"/>
      <c r="J422" s="1265"/>
      <c r="K422" s="1265"/>
      <c r="L422" s="1265"/>
      <c r="M422" s="1265"/>
      <c r="N422" s="1265"/>
      <c r="O422" s="1265"/>
      <c r="P422" s="1265"/>
      <c r="Q422" s="1265"/>
      <c r="R422" s="1265"/>
      <c r="S422" s="1265"/>
      <c r="T422" s="1265"/>
      <c r="U422" s="1265"/>
      <c r="V422" s="1265"/>
      <c r="W422" s="1265"/>
      <c r="X422" s="1265"/>
      <c r="Y422" s="1265"/>
      <c r="Z422" s="1265"/>
    </row>
    <row r="423" ht="27.0" customHeight="1">
      <c r="A423" s="1265"/>
      <c r="B423" s="1265"/>
      <c r="C423" s="1265"/>
      <c r="D423" s="1265"/>
      <c r="E423" s="1265"/>
      <c r="F423" s="1265"/>
      <c r="G423" s="1265"/>
      <c r="H423" s="1265"/>
      <c r="I423" s="1265"/>
      <c r="J423" s="1265"/>
      <c r="K423" s="1265"/>
      <c r="L423" s="1265"/>
      <c r="M423" s="1265"/>
      <c r="N423" s="1265"/>
      <c r="O423" s="1265"/>
      <c r="P423" s="1265"/>
      <c r="Q423" s="1265"/>
      <c r="R423" s="1265"/>
      <c r="S423" s="1265"/>
      <c r="T423" s="1265"/>
      <c r="U423" s="1265"/>
      <c r="V423" s="1265"/>
      <c r="W423" s="1265"/>
      <c r="X423" s="1265"/>
      <c r="Y423" s="1265"/>
      <c r="Z423" s="1265"/>
    </row>
    <row r="424" ht="27.0" customHeight="1">
      <c r="A424" s="1265"/>
      <c r="B424" s="1265"/>
      <c r="C424" s="1265"/>
      <c r="D424" s="1265"/>
      <c r="E424" s="1265"/>
      <c r="F424" s="1265"/>
      <c r="G424" s="1265"/>
      <c r="H424" s="1265"/>
      <c r="I424" s="1265"/>
      <c r="J424" s="1265"/>
      <c r="K424" s="1265"/>
      <c r="L424" s="1265"/>
      <c r="M424" s="1265"/>
      <c r="N424" s="1265"/>
      <c r="O424" s="1265"/>
      <c r="P424" s="1265"/>
      <c r="Q424" s="1265"/>
      <c r="R424" s="1265"/>
      <c r="S424" s="1265"/>
      <c r="T424" s="1265"/>
      <c r="U424" s="1265"/>
      <c r="V424" s="1265"/>
      <c r="W424" s="1265"/>
      <c r="X424" s="1265"/>
      <c r="Y424" s="1265"/>
      <c r="Z424" s="1265"/>
    </row>
    <row r="425" ht="27.0" customHeight="1">
      <c r="A425" s="1265"/>
      <c r="B425" s="1265"/>
      <c r="C425" s="1265"/>
      <c r="D425" s="1265"/>
      <c r="E425" s="1265"/>
      <c r="F425" s="1265"/>
      <c r="G425" s="1265"/>
      <c r="H425" s="1265"/>
      <c r="I425" s="1265"/>
      <c r="J425" s="1265"/>
      <c r="K425" s="1265"/>
      <c r="L425" s="1265"/>
      <c r="M425" s="1265"/>
      <c r="N425" s="1265"/>
      <c r="O425" s="1265"/>
      <c r="P425" s="1265"/>
      <c r="Q425" s="1265"/>
      <c r="R425" s="1265"/>
      <c r="S425" s="1265"/>
      <c r="T425" s="1265"/>
      <c r="U425" s="1265"/>
      <c r="V425" s="1265"/>
      <c r="W425" s="1265"/>
      <c r="X425" s="1265"/>
      <c r="Y425" s="1265"/>
      <c r="Z425" s="1265"/>
    </row>
    <row r="426" ht="27.0" customHeight="1">
      <c r="A426" s="1265"/>
      <c r="B426" s="1265"/>
      <c r="C426" s="1265"/>
      <c r="D426" s="1265"/>
      <c r="E426" s="1265"/>
      <c r="F426" s="1265"/>
      <c r="G426" s="1265"/>
      <c r="H426" s="1265"/>
      <c r="I426" s="1265"/>
      <c r="J426" s="1265"/>
      <c r="K426" s="1265"/>
      <c r="L426" s="1265"/>
      <c r="M426" s="1265"/>
      <c r="N426" s="1265"/>
      <c r="O426" s="1265"/>
      <c r="P426" s="1265"/>
      <c r="Q426" s="1265"/>
      <c r="R426" s="1265"/>
      <c r="S426" s="1265"/>
      <c r="T426" s="1265"/>
      <c r="U426" s="1265"/>
      <c r="V426" s="1265"/>
      <c r="W426" s="1265"/>
      <c r="X426" s="1265"/>
      <c r="Y426" s="1265"/>
      <c r="Z426" s="1265"/>
    </row>
    <row r="427" ht="27.0" customHeight="1">
      <c r="A427" s="1265"/>
      <c r="B427" s="1265"/>
      <c r="C427" s="1265"/>
      <c r="D427" s="1265"/>
      <c r="E427" s="1265"/>
      <c r="F427" s="1265"/>
      <c r="G427" s="1265"/>
      <c r="H427" s="1265"/>
      <c r="I427" s="1265"/>
      <c r="J427" s="1265"/>
      <c r="K427" s="1265"/>
      <c r="L427" s="1265"/>
      <c r="M427" s="1265"/>
      <c r="N427" s="1265"/>
      <c r="O427" s="1265"/>
      <c r="P427" s="1265"/>
      <c r="Q427" s="1265"/>
      <c r="R427" s="1265"/>
      <c r="S427" s="1265"/>
      <c r="T427" s="1265"/>
      <c r="U427" s="1265"/>
      <c r="V427" s="1265"/>
      <c r="W427" s="1265"/>
      <c r="X427" s="1265"/>
      <c r="Y427" s="1265"/>
      <c r="Z427" s="1265"/>
    </row>
    <row r="428" ht="27.0" customHeight="1">
      <c r="A428" s="1265"/>
      <c r="B428" s="1265"/>
      <c r="C428" s="1265"/>
      <c r="D428" s="1265"/>
      <c r="E428" s="1265"/>
      <c r="F428" s="1265"/>
      <c r="G428" s="1265"/>
      <c r="H428" s="1265"/>
      <c r="I428" s="1265"/>
      <c r="J428" s="1265"/>
      <c r="K428" s="1265"/>
      <c r="L428" s="1265"/>
      <c r="M428" s="1265"/>
      <c r="N428" s="1265"/>
      <c r="O428" s="1265"/>
      <c r="P428" s="1265"/>
      <c r="Q428" s="1265"/>
      <c r="R428" s="1265"/>
      <c r="S428" s="1265"/>
      <c r="T428" s="1265"/>
      <c r="U428" s="1265"/>
      <c r="V428" s="1265"/>
      <c r="W428" s="1265"/>
      <c r="X428" s="1265"/>
      <c r="Y428" s="1265"/>
      <c r="Z428" s="1265"/>
    </row>
    <row r="429" ht="27.0" customHeight="1">
      <c r="A429" s="1265"/>
      <c r="B429" s="1265"/>
      <c r="C429" s="1265"/>
      <c r="D429" s="1265"/>
      <c r="E429" s="1265"/>
      <c r="F429" s="1265"/>
      <c r="G429" s="1265"/>
      <c r="H429" s="1265"/>
      <c r="I429" s="1265"/>
      <c r="J429" s="1265"/>
      <c r="K429" s="1265"/>
      <c r="L429" s="1265"/>
      <c r="M429" s="1265"/>
      <c r="N429" s="1265"/>
      <c r="O429" s="1265"/>
      <c r="P429" s="1265"/>
      <c r="Q429" s="1265"/>
      <c r="R429" s="1265"/>
      <c r="S429" s="1265"/>
      <c r="T429" s="1265"/>
      <c r="U429" s="1265"/>
      <c r="V429" s="1265"/>
      <c r="W429" s="1265"/>
      <c r="X429" s="1265"/>
      <c r="Y429" s="1265"/>
      <c r="Z429" s="1265"/>
    </row>
    <row r="430" ht="27.0" customHeight="1">
      <c r="A430" s="1265"/>
      <c r="B430" s="1265"/>
      <c r="C430" s="1265"/>
      <c r="D430" s="1265"/>
      <c r="E430" s="1265"/>
      <c r="F430" s="1265"/>
      <c r="G430" s="1265"/>
      <c r="H430" s="1265"/>
      <c r="I430" s="1265"/>
      <c r="J430" s="1265"/>
      <c r="K430" s="1265"/>
      <c r="L430" s="1265"/>
      <c r="M430" s="1265"/>
      <c r="N430" s="1265"/>
      <c r="O430" s="1265"/>
      <c r="P430" s="1265"/>
      <c r="Q430" s="1265"/>
      <c r="R430" s="1265"/>
      <c r="S430" s="1265"/>
      <c r="T430" s="1265"/>
      <c r="U430" s="1265"/>
      <c r="V430" s="1265"/>
      <c r="W430" s="1265"/>
      <c r="X430" s="1265"/>
      <c r="Y430" s="1265"/>
      <c r="Z430" s="1265"/>
    </row>
    <row r="431" ht="27.0" customHeight="1">
      <c r="A431" s="1265"/>
      <c r="B431" s="1265"/>
      <c r="C431" s="1265"/>
      <c r="D431" s="1265"/>
      <c r="E431" s="1265"/>
      <c r="F431" s="1265"/>
      <c r="G431" s="1265"/>
      <c r="H431" s="1265"/>
      <c r="I431" s="1265"/>
      <c r="J431" s="1265"/>
      <c r="K431" s="1265"/>
      <c r="L431" s="1265"/>
      <c r="M431" s="1265"/>
      <c r="N431" s="1265"/>
      <c r="O431" s="1265"/>
      <c r="P431" s="1265"/>
      <c r="Q431" s="1265"/>
      <c r="R431" s="1265"/>
      <c r="S431" s="1265"/>
      <c r="T431" s="1265"/>
      <c r="U431" s="1265"/>
      <c r="V431" s="1265"/>
      <c r="W431" s="1265"/>
      <c r="X431" s="1265"/>
      <c r="Y431" s="1265"/>
      <c r="Z431" s="1265"/>
    </row>
    <row r="432" ht="27.0" customHeight="1">
      <c r="A432" s="1265"/>
      <c r="B432" s="1265"/>
      <c r="C432" s="1265"/>
      <c r="D432" s="1265"/>
      <c r="E432" s="1265"/>
      <c r="F432" s="1265"/>
      <c r="G432" s="1265"/>
      <c r="H432" s="1265"/>
      <c r="I432" s="1265"/>
      <c r="J432" s="1265"/>
      <c r="K432" s="1265"/>
      <c r="L432" s="1265"/>
      <c r="M432" s="1265"/>
      <c r="N432" s="1265"/>
      <c r="O432" s="1265"/>
      <c r="P432" s="1265"/>
      <c r="Q432" s="1265"/>
      <c r="R432" s="1265"/>
      <c r="S432" s="1265"/>
      <c r="T432" s="1265"/>
      <c r="U432" s="1265"/>
      <c r="V432" s="1265"/>
      <c r="W432" s="1265"/>
      <c r="X432" s="1265"/>
      <c r="Y432" s="1265"/>
      <c r="Z432" s="1265"/>
    </row>
    <row r="433" ht="27.0" customHeight="1">
      <c r="A433" s="1265"/>
      <c r="B433" s="1265"/>
      <c r="C433" s="1265"/>
      <c r="D433" s="1265"/>
      <c r="E433" s="1265"/>
      <c r="F433" s="1265"/>
      <c r="G433" s="1265"/>
      <c r="H433" s="1265"/>
      <c r="I433" s="1265"/>
      <c r="J433" s="1265"/>
      <c r="K433" s="1265"/>
      <c r="L433" s="1265"/>
      <c r="M433" s="1265"/>
      <c r="N433" s="1265"/>
      <c r="O433" s="1265"/>
      <c r="P433" s="1265"/>
      <c r="Q433" s="1265"/>
      <c r="R433" s="1265"/>
      <c r="S433" s="1265"/>
      <c r="T433" s="1265"/>
      <c r="U433" s="1265"/>
      <c r="V433" s="1265"/>
      <c r="W433" s="1265"/>
      <c r="X433" s="1265"/>
      <c r="Y433" s="1265"/>
      <c r="Z433" s="1265"/>
    </row>
    <row r="434" ht="27.0" customHeight="1">
      <c r="A434" s="1265"/>
      <c r="B434" s="1265"/>
      <c r="C434" s="1265"/>
      <c r="D434" s="1265"/>
      <c r="E434" s="1265"/>
      <c r="F434" s="1265"/>
      <c r="G434" s="1265"/>
      <c r="H434" s="1265"/>
      <c r="I434" s="1265"/>
      <c r="J434" s="1265"/>
      <c r="K434" s="1265"/>
      <c r="L434" s="1265"/>
      <c r="M434" s="1265"/>
      <c r="N434" s="1265"/>
      <c r="O434" s="1265"/>
      <c r="P434" s="1265"/>
      <c r="Q434" s="1265"/>
      <c r="R434" s="1265"/>
      <c r="S434" s="1265"/>
      <c r="T434" s="1265"/>
      <c r="U434" s="1265"/>
      <c r="V434" s="1265"/>
      <c r="W434" s="1265"/>
      <c r="X434" s="1265"/>
      <c r="Y434" s="1265"/>
      <c r="Z434" s="1265"/>
    </row>
    <row r="435" ht="27.0" customHeight="1">
      <c r="A435" s="1265"/>
      <c r="B435" s="1265"/>
      <c r="C435" s="1265"/>
      <c r="D435" s="1265"/>
      <c r="E435" s="1265"/>
      <c r="F435" s="1265"/>
      <c r="G435" s="1265"/>
      <c r="H435" s="1265"/>
      <c r="I435" s="1265"/>
      <c r="J435" s="1265"/>
      <c r="K435" s="1265"/>
      <c r="L435" s="1265"/>
      <c r="M435" s="1265"/>
      <c r="N435" s="1265"/>
      <c r="O435" s="1265"/>
      <c r="P435" s="1265"/>
      <c r="Q435" s="1265"/>
      <c r="R435" s="1265"/>
      <c r="S435" s="1265"/>
      <c r="T435" s="1265"/>
      <c r="U435" s="1265"/>
      <c r="V435" s="1265"/>
      <c r="W435" s="1265"/>
      <c r="X435" s="1265"/>
      <c r="Y435" s="1265"/>
      <c r="Z435" s="1265"/>
    </row>
    <row r="436" ht="27.0" customHeight="1">
      <c r="A436" s="1265"/>
      <c r="B436" s="1265"/>
      <c r="C436" s="1265"/>
      <c r="D436" s="1265"/>
      <c r="E436" s="1265"/>
      <c r="F436" s="1265"/>
      <c r="G436" s="1265"/>
      <c r="H436" s="1265"/>
      <c r="I436" s="1265"/>
      <c r="J436" s="1265"/>
      <c r="K436" s="1265"/>
      <c r="L436" s="1265"/>
      <c r="M436" s="1265"/>
      <c r="N436" s="1265"/>
      <c r="O436" s="1265"/>
      <c r="P436" s="1265"/>
      <c r="Q436" s="1265"/>
      <c r="R436" s="1265"/>
      <c r="S436" s="1265"/>
      <c r="T436" s="1265"/>
      <c r="U436" s="1265"/>
      <c r="V436" s="1265"/>
      <c r="W436" s="1265"/>
      <c r="X436" s="1265"/>
      <c r="Y436" s="1265"/>
      <c r="Z436" s="1265"/>
    </row>
    <row r="437" ht="27.0" customHeight="1">
      <c r="A437" s="1265"/>
      <c r="B437" s="1265"/>
      <c r="C437" s="1265"/>
      <c r="D437" s="1265"/>
      <c r="E437" s="1265"/>
      <c r="F437" s="1265"/>
      <c r="G437" s="1265"/>
      <c r="H437" s="1265"/>
      <c r="I437" s="1265"/>
      <c r="J437" s="1265"/>
      <c r="K437" s="1265"/>
      <c r="L437" s="1265"/>
      <c r="M437" s="1265"/>
      <c r="N437" s="1265"/>
      <c r="O437" s="1265"/>
      <c r="P437" s="1265"/>
      <c r="Q437" s="1265"/>
      <c r="R437" s="1265"/>
      <c r="S437" s="1265"/>
      <c r="T437" s="1265"/>
      <c r="U437" s="1265"/>
      <c r="V437" s="1265"/>
      <c r="W437" s="1265"/>
      <c r="X437" s="1265"/>
      <c r="Y437" s="1265"/>
      <c r="Z437" s="1265"/>
    </row>
    <row r="438" ht="27.0" customHeight="1">
      <c r="A438" s="1265"/>
      <c r="B438" s="1265"/>
      <c r="C438" s="1265"/>
      <c r="D438" s="1265"/>
      <c r="E438" s="1265"/>
      <c r="F438" s="1265"/>
      <c r="G438" s="1265"/>
      <c r="H438" s="1265"/>
      <c r="I438" s="1265"/>
      <c r="J438" s="1265"/>
      <c r="K438" s="1265"/>
      <c r="L438" s="1265"/>
      <c r="M438" s="1265"/>
      <c r="N438" s="1265"/>
      <c r="O438" s="1265"/>
      <c r="P438" s="1265"/>
      <c r="Q438" s="1265"/>
      <c r="R438" s="1265"/>
      <c r="S438" s="1265"/>
      <c r="T438" s="1265"/>
      <c r="U438" s="1265"/>
      <c r="V438" s="1265"/>
      <c r="W438" s="1265"/>
      <c r="X438" s="1265"/>
      <c r="Y438" s="1265"/>
      <c r="Z438" s="1265"/>
    </row>
    <row r="439" ht="27.0" customHeight="1">
      <c r="A439" s="1265"/>
      <c r="B439" s="1265"/>
      <c r="C439" s="1265"/>
      <c r="D439" s="1265"/>
      <c r="E439" s="1265"/>
      <c r="F439" s="1265"/>
      <c r="G439" s="1265"/>
      <c r="H439" s="1265"/>
      <c r="I439" s="1265"/>
      <c r="J439" s="1265"/>
      <c r="K439" s="1265"/>
      <c r="L439" s="1265"/>
      <c r="M439" s="1265"/>
      <c r="N439" s="1265"/>
      <c r="O439" s="1265"/>
      <c r="P439" s="1265"/>
      <c r="Q439" s="1265"/>
      <c r="R439" s="1265"/>
      <c r="S439" s="1265"/>
      <c r="T439" s="1265"/>
      <c r="U439" s="1265"/>
      <c r="V439" s="1265"/>
      <c r="W439" s="1265"/>
      <c r="X439" s="1265"/>
      <c r="Y439" s="1265"/>
      <c r="Z439" s="1265"/>
    </row>
    <row r="440" ht="27.0" customHeight="1">
      <c r="A440" s="1265"/>
      <c r="B440" s="1265"/>
      <c r="C440" s="1265"/>
      <c r="D440" s="1265"/>
      <c r="E440" s="1265"/>
      <c r="F440" s="1265"/>
      <c r="G440" s="1265"/>
      <c r="H440" s="1265"/>
      <c r="I440" s="1265"/>
      <c r="J440" s="1265"/>
      <c r="K440" s="1265"/>
      <c r="L440" s="1265"/>
      <c r="M440" s="1265"/>
      <c r="N440" s="1265"/>
      <c r="O440" s="1265"/>
      <c r="P440" s="1265"/>
      <c r="Q440" s="1265"/>
      <c r="R440" s="1265"/>
      <c r="S440" s="1265"/>
      <c r="T440" s="1265"/>
      <c r="U440" s="1265"/>
      <c r="V440" s="1265"/>
      <c r="W440" s="1265"/>
      <c r="X440" s="1265"/>
      <c r="Y440" s="1265"/>
      <c r="Z440" s="1265"/>
    </row>
    <row r="441" ht="27.0" customHeight="1">
      <c r="A441" s="1265"/>
      <c r="B441" s="1265"/>
      <c r="C441" s="1265"/>
      <c r="D441" s="1265"/>
      <c r="E441" s="1265"/>
      <c r="F441" s="1265"/>
      <c r="G441" s="1265"/>
      <c r="H441" s="1265"/>
      <c r="I441" s="1265"/>
      <c r="J441" s="1265"/>
      <c r="K441" s="1265"/>
      <c r="L441" s="1265"/>
      <c r="M441" s="1265"/>
      <c r="N441" s="1265"/>
      <c r="O441" s="1265"/>
      <c r="P441" s="1265"/>
      <c r="Q441" s="1265"/>
      <c r="R441" s="1265"/>
      <c r="S441" s="1265"/>
      <c r="T441" s="1265"/>
      <c r="U441" s="1265"/>
      <c r="V441" s="1265"/>
      <c r="W441" s="1265"/>
      <c r="X441" s="1265"/>
      <c r="Y441" s="1265"/>
      <c r="Z441" s="1265"/>
    </row>
    <row r="442" ht="27.0" customHeight="1">
      <c r="A442" s="1265"/>
      <c r="B442" s="1265"/>
      <c r="C442" s="1265"/>
      <c r="D442" s="1265"/>
      <c r="E442" s="1265"/>
      <c r="F442" s="1265"/>
      <c r="G442" s="1265"/>
      <c r="H442" s="1265"/>
      <c r="I442" s="1265"/>
      <c r="J442" s="1265"/>
      <c r="K442" s="1265"/>
      <c r="L442" s="1265"/>
      <c r="M442" s="1265"/>
      <c r="N442" s="1265"/>
      <c r="O442" s="1265"/>
      <c r="P442" s="1265"/>
      <c r="Q442" s="1265"/>
      <c r="R442" s="1265"/>
      <c r="S442" s="1265"/>
      <c r="T442" s="1265"/>
      <c r="U442" s="1265"/>
      <c r="V442" s="1265"/>
      <c r="W442" s="1265"/>
      <c r="X442" s="1265"/>
      <c r="Y442" s="1265"/>
      <c r="Z442" s="1265"/>
    </row>
    <row r="443" ht="27.0" customHeight="1">
      <c r="A443" s="1265"/>
      <c r="B443" s="1265"/>
      <c r="C443" s="1265"/>
      <c r="D443" s="1265"/>
      <c r="E443" s="1265"/>
      <c r="F443" s="1265"/>
      <c r="G443" s="1265"/>
      <c r="H443" s="1265"/>
      <c r="I443" s="1265"/>
      <c r="J443" s="1265"/>
      <c r="K443" s="1265"/>
      <c r="L443" s="1265"/>
      <c r="M443" s="1265"/>
      <c r="N443" s="1265"/>
      <c r="O443" s="1265"/>
      <c r="P443" s="1265"/>
      <c r="Q443" s="1265"/>
      <c r="R443" s="1265"/>
      <c r="S443" s="1265"/>
      <c r="T443" s="1265"/>
      <c r="U443" s="1265"/>
      <c r="V443" s="1265"/>
      <c r="W443" s="1265"/>
      <c r="X443" s="1265"/>
      <c r="Y443" s="1265"/>
      <c r="Z443" s="1265"/>
    </row>
    <row r="444" ht="27.0" customHeight="1">
      <c r="A444" s="1265"/>
      <c r="B444" s="1265"/>
      <c r="C444" s="1265"/>
      <c r="D444" s="1265"/>
      <c r="E444" s="1265"/>
      <c r="F444" s="1265"/>
      <c r="G444" s="1265"/>
      <c r="H444" s="1265"/>
      <c r="I444" s="1265"/>
      <c r="J444" s="1265"/>
      <c r="K444" s="1265"/>
      <c r="L444" s="1265"/>
      <c r="M444" s="1265"/>
      <c r="N444" s="1265"/>
      <c r="O444" s="1265"/>
      <c r="P444" s="1265"/>
      <c r="Q444" s="1265"/>
      <c r="R444" s="1265"/>
      <c r="S444" s="1265"/>
      <c r="T444" s="1265"/>
      <c r="U444" s="1265"/>
      <c r="V444" s="1265"/>
      <c r="W444" s="1265"/>
      <c r="X444" s="1265"/>
      <c r="Y444" s="1265"/>
      <c r="Z444" s="1265"/>
    </row>
    <row r="445" ht="27.0" customHeight="1">
      <c r="A445" s="1265"/>
      <c r="B445" s="1265"/>
      <c r="C445" s="1265"/>
      <c r="D445" s="1265"/>
      <c r="E445" s="1265"/>
      <c r="F445" s="1265"/>
      <c r="G445" s="1265"/>
      <c r="H445" s="1265"/>
      <c r="I445" s="1265"/>
      <c r="J445" s="1265"/>
      <c r="K445" s="1265"/>
      <c r="L445" s="1265"/>
      <c r="M445" s="1265"/>
      <c r="N445" s="1265"/>
      <c r="O445" s="1265"/>
      <c r="P445" s="1265"/>
      <c r="Q445" s="1265"/>
      <c r="R445" s="1265"/>
      <c r="S445" s="1265"/>
      <c r="T445" s="1265"/>
      <c r="U445" s="1265"/>
      <c r="V445" s="1265"/>
      <c r="W445" s="1265"/>
      <c r="X445" s="1265"/>
      <c r="Y445" s="1265"/>
      <c r="Z445" s="1265"/>
    </row>
    <row r="446" ht="27.0" customHeight="1">
      <c r="A446" s="1265"/>
      <c r="B446" s="1265"/>
      <c r="C446" s="1265"/>
      <c r="D446" s="1265"/>
      <c r="E446" s="1265"/>
      <c r="F446" s="1265"/>
      <c r="G446" s="1265"/>
      <c r="H446" s="1265"/>
      <c r="I446" s="1265"/>
      <c r="J446" s="1265"/>
      <c r="K446" s="1265"/>
      <c r="L446" s="1265"/>
      <c r="M446" s="1265"/>
      <c r="N446" s="1265"/>
      <c r="O446" s="1265"/>
      <c r="P446" s="1265"/>
      <c r="Q446" s="1265"/>
      <c r="R446" s="1265"/>
      <c r="S446" s="1265"/>
      <c r="T446" s="1265"/>
      <c r="U446" s="1265"/>
      <c r="V446" s="1265"/>
      <c r="W446" s="1265"/>
      <c r="X446" s="1265"/>
      <c r="Y446" s="1265"/>
      <c r="Z446" s="1265"/>
    </row>
    <row r="447" ht="27.0" customHeight="1">
      <c r="A447" s="1265"/>
      <c r="B447" s="1265"/>
      <c r="C447" s="1265"/>
      <c r="D447" s="1265"/>
      <c r="E447" s="1265"/>
      <c r="F447" s="1265"/>
      <c r="G447" s="1265"/>
      <c r="H447" s="1265"/>
      <c r="I447" s="1265"/>
      <c r="J447" s="1265"/>
      <c r="K447" s="1265"/>
      <c r="L447" s="1265"/>
      <c r="M447" s="1265"/>
      <c r="N447" s="1265"/>
      <c r="O447" s="1265"/>
      <c r="P447" s="1265"/>
      <c r="Q447" s="1265"/>
      <c r="R447" s="1265"/>
      <c r="S447" s="1265"/>
      <c r="T447" s="1265"/>
      <c r="U447" s="1265"/>
      <c r="V447" s="1265"/>
      <c r="W447" s="1265"/>
      <c r="X447" s="1265"/>
      <c r="Y447" s="1265"/>
      <c r="Z447" s="1265"/>
    </row>
    <row r="448" ht="27.0" customHeight="1">
      <c r="A448" s="1265"/>
      <c r="B448" s="1265"/>
      <c r="C448" s="1265"/>
      <c r="D448" s="1265"/>
      <c r="E448" s="1265"/>
      <c r="F448" s="1265"/>
      <c r="G448" s="1265"/>
      <c r="H448" s="1265"/>
      <c r="I448" s="1265"/>
      <c r="J448" s="1265"/>
      <c r="K448" s="1265"/>
      <c r="L448" s="1265"/>
      <c r="M448" s="1265"/>
      <c r="N448" s="1265"/>
      <c r="O448" s="1265"/>
      <c r="P448" s="1265"/>
      <c r="Q448" s="1265"/>
      <c r="R448" s="1265"/>
      <c r="S448" s="1265"/>
      <c r="T448" s="1265"/>
      <c r="U448" s="1265"/>
      <c r="V448" s="1265"/>
      <c r="W448" s="1265"/>
      <c r="X448" s="1265"/>
      <c r="Y448" s="1265"/>
      <c r="Z448" s="1265"/>
    </row>
    <row r="449" ht="27.0" customHeight="1">
      <c r="A449" s="1265"/>
      <c r="B449" s="1265"/>
      <c r="C449" s="1265"/>
      <c r="D449" s="1265"/>
      <c r="E449" s="1265"/>
      <c r="F449" s="1265"/>
      <c r="G449" s="1265"/>
      <c r="H449" s="1265"/>
      <c r="I449" s="1265"/>
      <c r="J449" s="1265"/>
      <c r="K449" s="1265"/>
      <c r="L449" s="1265"/>
      <c r="M449" s="1265"/>
      <c r="N449" s="1265"/>
      <c r="O449" s="1265"/>
      <c r="P449" s="1265"/>
      <c r="Q449" s="1265"/>
      <c r="R449" s="1265"/>
      <c r="S449" s="1265"/>
      <c r="T449" s="1265"/>
      <c r="U449" s="1265"/>
      <c r="V449" s="1265"/>
      <c r="W449" s="1265"/>
      <c r="X449" s="1265"/>
      <c r="Y449" s="1265"/>
      <c r="Z449" s="1265"/>
    </row>
    <row r="450" ht="27.0" customHeight="1">
      <c r="A450" s="1265"/>
      <c r="B450" s="1265"/>
      <c r="C450" s="1265"/>
      <c r="D450" s="1265"/>
      <c r="E450" s="1265"/>
      <c r="F450" s="1265"/>
      <c r="G450" s="1265"/>
      <c r="H450" s="1265"/>
      <c r="I450" s="1265"/>
      <c r="J450" s="1265"/>
      <c r="K450" s="1265"/>
      <c r="L450" s="1265"/>
      <c r="M450" s="1265"/>
      <c r="N450" s="1265"/>
      <c r="O450" s="1265"/>
      <c r="P450" s="1265"/>
      <c r="Q450" s="1265"/>
      <c r="R450" s="1265"/>
      <c r="S450" s="1265"/>
      <c r="T450" s="1265"/>
      <c r="U450" s="1265"/>
      <c r="V450" s="1265"/>
      <c r="W450" s="1265"/>
      <c r="X450" s="1265"/>
      <c r="Y450" s="1265"/>
      <c r="Z450" s="1265"/>
    </row>
    <row r="451" ht="27.0" customHeight="1">
      <c r="A451" s="1265"/>
      <c r="B451" s="1265"/>
      <c r="C451" s="1265"/>
      <c r="D451" s="1265"/>
      <c r="E451" s="1265"/>
      <c r="F451" s="1265"/>
      <c r="G451" s="1265"/>
      <c r="H451" s="1265"/>
      <c r="I451" s="1265"/>
      <c r="J451" s="1265"/>
      <c r="K451" s="1265"/>
      <c r="L451" s="1265"/>
      <c r="M451" s="1265"/>
      <c r="N451" s="1265"/>
      <c r="O451" s="1265"/>
      <c r="P451" s="1265"/>
      <c r="Q451" s="1265"/>
      <c r="R451" s="1265"/>
      <c r="S451" s="1265"/>
      <c r="T451" s="1265"/>
      <c r="U451" s="1265"/>
      <c r="V451" s="1265"/>
      <c r="W451" s="1265"/>
      <c r="X451" s="1265"/>
      <c r="Y451" s="1265"/>
      <c r="Z451" s="1265"/>
    </row>
    <row r="452" ht="27.0" customHeight="1">
      <c r="A452" s="1265"/>
      <c r="B452" s="1265"/>
      <c r="C452" s="1265"/>
      <c r="D452" s="1265"/>
      <c r="E452" s="1265"/>
      <c r="F452" s="1265"/>
      <c r="G452" s="1265"/>
      <c r="H452" s="1265"/>
      <c r="I452" s="1265"/>
      <c r="J452" s="1265"/>
      <c r="K452" s="1265"/>
      <c r="L452" s="1265"/>
      <c r="M452" s="1265"/>
      <c r="N452" s="1265"/>
      <c r="O452" s="1265"/>
      <c r="P452" s="1265"/>
      <c r="Q452" s="1265"/>
      <c r="R452" s="1265"/>
      <c r="S452" s="1265"/>
      <c r="T452" s="1265"/>
      <c r="U452" s="1265"/>
      <c r="V452" s="1265"/>
      <c r="W452" s="1265"/>
      <c r="X452" s="1265"/>
      <c r="Y452" s="1265"/>
      <c r="Z452" s="1265"/>
    </row>
    <row r="453" ht="27.0" customHeight="1">
      <c r="A453" s="1265"/>
      <c r="B453" s="1265"/>
      <c r="C453" s="1265"/>
      <c r="D453" s="1265"/>
      <c r="E453" s="1265"/>
      <c r="F453" s="1265"/>
      <c r="G453" s="1265"/>
      <c r="H453" s="1265"/>
      <c r="I453" s="1265"/>
      <c r="J453" s="1265"/>
      <c r="K453" s="1265"/>
      <c r="L453" s="1265"/>
      <c r="M453" s="1265"/>
      <c r="N453" s="1265"/>
      <c r="O453" s="1265"/>
      <c r="P453" s="1265"/>
      <c r="Q453" s="1265"/>
      <c r="R453" s="1265"/>
      <c r="S453" s="1265"/>
      <c r="T453" s="1265"/>
      <c r="U453" s="1265"/>
      <c r="V453" s="1265"/>
      <c r="W453" s="1265"/>
      <c r="X453" s="1265"/>
      <c r="Y453" s="1265"/>
      <c r="Z453" s="1265"/>
    </row>
    <row r="454" ht="27.0" customHeight="1">
      <c r="A454" s="1265"/>
      <c r="B454" s="1265"/>
      <c r="C454" s="1265"/>
      <c r="D454" s="1265"/>
      <c r="E454" s="1265"/>
      <c r="F454" s="1265"/>
      <c r="G454" s="1265"/>
      <c r="H454" s="1265"/>
      <c r="I454" s="1265"/>
      <c r="J454" s="1265"/>
      <c r="K454" s="1265"/>
      <c r="L454" s="1265"/>
      <c r="M454" s="1265"/>
      <c r="N454" s="1265"/>
      <c r="O454" s="1265"/>
      <c r="P454" s="1265"/>
      <c r="Q454" s="1265"/>
      <c r="R454" s="1265"/>
      <c r="S454" s="1265"/>
      <c r="T454" s="1265"/>
      <c r="U454" s="1265"/>
      <c r="V454" s="1265"/>
      <c r="W454" s="1265"/>
      <c r="X454" s="1265"/>
      <c r="Y454" s="1265"/>
      <c r="Z454" s="1265"/>
    </row>
    <row r="455" ht="27.0" customHeight="1">
      <c r="A455" s="1265"/>
      <c r="B455" s="1265"/>
      <c r="C455" s="1265"/>
      <c r="D455" s="1265"/>
      <c r="E455" s="1265"/>
      <c r="F455" s="1265"/>
      <c r="G455" s="1265"/>
      <c r="H455" s="1265"/>
      <c r="I455" s="1265"/>
      <c r="J455" s="1265"/>
      <c r="K455" s="1265"/>
      <c r="L455" s="1265"/>
      <c r="M455" s="1265"/>
      <c r="N455" s="1265"/>
      <c r="O455" s="1265"/>
      <c r="P455" s="1265"/>
      <c r="Q455" s="1265"/>
      <c r="R455" s="1265"/>
      <c r="S455" s="1265"/>
      <c r="T455" s="1265"/>
      <c r="U455" s="1265"/>
      <c r="V455" s="1265"/>
      <c r="W455" s="1265"/>
      <c r="X455" s="1265"/>
      <c r="Y455" s="1265"/>
      <c r="Z455" s="1265"/>
    </row>
    <row r="456" ht="27.0" customHeight="1">
      <c r="A456" s="1265"/>
      <c r="B456" s="1265"/>
      <c r="C456" s="1265"/>
      <c r="D456" s="1265"/>
      <c r="E456" s="1265"/>
      <c r="F456" s="1265"/>
      <c r="G456" s="1265"/>
      <c r="H456" s="1265"/>
      <c r="I456" s="1265"/>
      <c r="J456" s="1265"/>
      <c r="K456" s="1265"/>
      <c r="L456" s="1265"/>
      <c r="M456" s="1265"/>
      <c r="N456" s="1265"/>
      <c r="O456" s="1265"/>
      <c r="P456" s="1265"/>
      <c r="Q456" s="1265"/>
      <c r="R456" s="1265"/>
      <c r="S456" s="1265"/>
      <c r="T456" s="1265"/>
      <c r="U456" s="1265"/>
      <c r="V456" s="1265"/>
      <c r="W456" s="1265"/>
      <c r="X456" s="1265"/>
      <c r="Y456" s="1265"/>
      <c r="Z456" s="1265"/>
    </row>
    <row r="457" ht="27.0" customHeight="1">
      <c r="A457" s="1265"/>
      <c r="B457" s="1265"/>
      <c r="C457" s="1265"/>
      <c r="D457" s="1265"/>
      <c r="E457" s="1265"/>
      <c r="F457" s="1265"/>
      <c r="G457" s="1265"/>
      <c r="H457" s="1265"/>
      <c r="I457" s="1265"/>
      <c r="J457" s="1265"/>
      <c r="K457" s="1265"/>
      <c r="L457" s="1265"/>
      <c r="M457" s="1265"/>
      <c r="N457" s="1265"/>
      <c r="O457" s="1265"/>
      <c r="P457" s="1265"/>
      <c r="Q457" s="1265"/>
      <c r="R457" s="1265"/>
      <c r="S457" s="1265"/>
      <c r="T457" s="1265"/>
      <c r="U457" s="1265"/>
      <c r="V457" s="1265"/>
      <c r="W457" s="1265"/>
      <c r="X457" s="1265"/>
      <c r="Y457" s="1265"/>
      <c r="Z457" s="1265"/>
    </row>
    <row r="458" ht="27.0" customHeight="1">
      <c r="A458" s="1265"/>
      <c r="B458" s="1265"/>
      <c r="C458" s="1265"/>
      <c r="D458" s="1265"/>
      <c r="E458" s="1265"/>
      <c r="F458" s="1265"/>
      <c r="G458" s="1265"/>
      <c r="H458" s="1265"/>
      <c r="I458" s="1265"/>
      <c r="J458" s="1265"/>
      <c r="K458" s="1265"/>
      <c r="L458" s="1265"/>
      <c r="M458" s="1265"/>
      <c r="N458" s="1265"/>
      <c r="O458" s="1265"/>
      <c r="P458" s="1265"/>
      <c r="Q458" s="1265"/>
      <c r="R458" s="1265"/>
      <c r="S458" s="1265"/>
      <c r="T458" s="1265"/>
      <c r="U458" s="1265"/>
      <c r="V458" s="1265"/>
      <c r="W458" s="1265"/>
      <c r="X458" s="1265"/>
      <c r="Y458" s="1265"/>
      <c r="Z458" s="1265"/>
    </row>
    <row r="459" ht="27.0" customHeight="1">
      <c r="A459" s="1265"/>
      <c r="B459" s="1265"/>
      <c r="C459" s="1265"/>
      <c r="D459" s="1265"/>
      <c r="E459" s="1265"/>
      <c r="F459" s="1265"/>
      <c r="G459" s="1265"/>
      <c r="H459" s="1265"/>
      <c r="I459" s="1265"/>
      <c r="J459" s="1265"/>
      <c r="K459" s="1265"/>
      <c r="L459" s="1265"/>
      <c r="M459" s="1265"/>
      <c r="N459" s="1265"/>
      <c r="O459" s="1265"/>
      <c r="P459" s="1265"/>
      <c r="Q459" s="1265"/>
      <c r="R459" s="1265"/>
      <c r="S459" s="1265"/>
      <c r="T459" s="1265"/>
      <c r="U459" s="1265"/>
      <c r="V459" s="1265"/>
      <c r="W459" s="1265"/>
      <c r="X459" s="1265"/>
      <c r="Y459" s="1265"/>
      <c r="Z459" s="1265"/>
    </row>
    <row r="460" ht="27.0" customHeight="1">
      <c r="A460" s="1265"/>
      <c r="B460" s="1265"/>
      <c r="C460" s="1265"/>
      <c r="D460" s="1265"/>
      <c r="E460" s="1265"/>
      <c r="F460" s="1265"/>
      <c r="G460" s="1265"/>
      <c r="H460" s="1265"/>
      <c r="I460" s="1265"/>
      <c r="J460" s="1265"/>
      <c r="K460" s="1265"/>
      <c r="L460" s="1265"/>
      <c r="M460" s="1265"/>
      <c r="N460" s="1265"/>
      <c r="O460" s="1265"/>
      <c r="P460" s="1265"/>
      <c r="Q460" s="1265"/>
      <c r="R460" s="1265"/>
      <c r="S460" s="1265"/>
      <c r="T460" s="1265"/>
      <c r="U460" s="1265"/>
      <c r="V460" s="1265"/>
      <c r="W460" s="1265"/>
      <c r="X460" s="1265"/>
      <c r="Y460" s="1265"/>
      <c r="Z460" s="1265"/>
    </row>
    <row r="461" ht="27.0" customHeight="1">
      <c r="A461" s="1265"/>
      <c r="B461" s="1265"/>
      <c r="C461" s="1265"/>
      <c r="D461" s="1265"/>
      <c r="E461" s="1265"/>
      <c r="F461" s="1265"/>
      <c r="G461" s="1265"/>
      <c r="H461" s="1265"/>
      <c r="I461" s="1265"/>
      <c r="J461" s="1265"/>
      <c r="K461" s="1265"/>
      <c r="L461" s="1265"/>
      <c r="M461" s="1265"/>
      <c r="N461" s="1265"/>
      <c r="O461" s="1265"/>
      <c r="P461" s="1265"/>
      <c r="Q461" s="1265"/>
      <c r="R461" s="1265"/>
      <c r="S461" s="1265"/>
      <c r="T461" s="1265"/>
      <c r="U461" s="1265"/>
      <c r="V461" s="1265"/>
      <c r="W461" s="1265"/>
      <c r="X461" s="1265"/>
      <c r="Y461" s="1265"/>
      <c r="Z461" s="1265"/>
    </row>
    <row r="462" ht="27.0" customHeight="1">
      <c r="A462" s="1265"/>
      <c r="B462" s="1265"/>
      <c r="C462" s="1265"/>
      <c r="D462" s="1265"/>
      <c r="E462" s="1265"/>
      <c r="F462" s="1265"/>
      <c r="G462" s="1265"/>
      <c r="H462" s="1265"/>
      <c r="I462" s="1265"/>
      <c r="J462" s="1265"/>
      <c r="K462" s="1265"/>
      <c r="L462" s="1265"/>
      <c r="M462" s="1265"/>
      <c r="N462" s="1265"/>
      <c r="O462" s="1265"/>
      <c r="P462" s="1265"/>
      <c r="Q462" s="1265"/>
      <c r="R462" s="1265"/>
      <c r="S462" s="1265"/>
      <c r="T462" s="1265"/>
      <c r="U462" s="1265"/>
      <c r="V462" s="1265"/>
      <c r="W462" s="1265"/>
      <c r="X462" s="1265"/>
      <c r="Y462" s="1265"/>
      <c r="Z462" s="1265"/>
    </row>
    <row r="463" ht="27.0" customHeight="1">
      <c r="A463" s="1265"/>
      <c r="B463" s="1265"/>
      <c r="C463" s="1265"/>
      <c r="D463" s="1265"/>
      <c r="E463" s="1265"/>
      <c r="F463" s="1265"/>
      <c r="G463" s="1265"/>
      <c r="H463" s="1265"/>
      <c r="I463" s="1265"/>
      <c r="J463" s="1265"/>
      <c r="K463" s="1265"/>
      <c r="L463" s="1265"/>
      <c r="M463" s="1265"/>
      <c r="N463" s="1265"/>
      <c r="O463" s="1265"/>
      <c r="P463" s="1265"/>
      <c r="Q463" s="1265"/>
      <c r="R463" s="1265"/>
      <c r="S463" s="1265"/>
      <c r="T463" s="1265"/>
      <c r="U463" s="1265"/>
      <c r="V463" s="1265"/>
      <c r="W463" s="1265"/>
      <c r="X463" s="1265"/>
      <c r="Y463" s="1265"/>
      <c r="Z463" s="1265"/>
    </row>
    <row r="464" ht="27.0" customHeight="1">
      <c r="A464" s="1265"/>
      <c r="B464" s="1265"/>
      <c r="C464" s="1265"/>
      <c r="D464" s="1265"/>
      <c r="E464" s="1265"/>
      <c r="F464" s="1265"/>
      <c r="G464" s="1265"/>
      <c r="H464" s="1265"/>
      <c r="I464" s="1265"/>
      <c r="J464" s="1265"/>
      <c r="K464" s="1265"/>
      <c r="L464" s="1265"/>
      <c r="M464" s="1265"/>
      <c r="N464" s="1265"/>
      <c r="O464" s="1265"/>
      <c r="P464" s="1265"/>
      <c r="Q464" s="1265"/>
      <c r="R464" s="1265"/>
      <c r="S464" s="1265"/>
      <c r="T464" s="1265"/>
      <c r="U464" s="1265"/>
      <c r="V464" s="1265"/>
      <c r="W464" s="1265"/>
      <c r="X464" s="1265"/>
      <c r="Y464" s="1265"/>
      <c r="Z464" s="1265"/>
    </row>
    <row r="465" ht="27.0" customHeight="1">
      <c r="A465" s="1265"/>
      <c r="B465" s="1265"/>
      <c r="C465" s="1265"/>
      <c r="D465" s="1265"/>
      <c r="E465" s="1265"/>
      <c r="F465" s="1265"/>
      <c r="G465" s="1265"/>
      <c r="H465" s="1265"/>
      <c r="I465" s="1265"/>
      <c r="J465" s="1265"/>
      <c r="K465" s="1265"/>
      <c r="L465" s="1265"/>
      <c r="M465" s="1265"/>
      <c r="N465" s="1265"/>
      <c r="O465" s="1265"/>
      <c r="P465" s="1265"/>
      <c r="Q465" s="1265"/>
      <c r="R465" s="1265"/>
      <c r="S465" s="1265"/>
      <c r="T465" s="1265"/>
      <c r="U465" s="1265"/>
      <c r="V465" s="1265"/>
      <c r="W465" s="1265"/>
      <c r="X465" s="1265"/>
      <c r="Y465" s="1265"/>
      <c r="Z465" s="1265"/>
    </row>
    <row r="466" ht="27.0" customHeight="1">
      <c r="A466" s="1265"/>
      <c r="B466" s="1265"/>
      <c r="C466" s="1265"/>
      <c r="D466" s="1265"/>
      <c r="E466" s="1265"/>
      <c r="F466" s="1265"/>
      <c r="G466" s="1265"/>
      <c r="H466" s="1265"/>
      <c r="I466" s="1265"/>
      <c r="J466" s="1265"/>
      <c r="K466" s="1265"/>
      <c r="L466" s="1265"/>
      <c r="M466" s="1265"/>
      <c r="N466" s="1265"/>
      <c r="O466" s="1265"/>
      <c r="P466" s="1265"/>
      <c r="Q466" s="1265"/>
      <c r="R466" s="1265"/>
      <c r="S466" s="1265"/>
      <c r="T466" s="1265"/>
      <c r="U466" s="1265"/>
      <c r="V466" s="1265"/>
      <c r="W466" s="1265"/>
      <c r="X466" s="1265"/>
      <c r="Y466" s="1265"/>
      <c r="Z466" s="1265"/>
    </row>
    <row r="467" ht="27.0" customHeight="1">
      <c r="A467" s="1265"/>
      <c r="B467" s="1265"/>
      <c r="C467" s="1265"/>
      <c r="D467" s="1265"/>
      <c r="E467" s="1265"/>
      <c r="F467" s="1265"/>
      <c r="G467" s="1265"/>
      <c r="H467" s="1265"/>
      <c r="I467" s="1265"/>
      <c r="J467" s="1265"/>
      <c r="K467" s="1265"/>
      <c r="L467" s="1265"/>
      <c r="M467" s="1265"/>
      <c r="N467" s="1265"/>
      <c r="O467" s="1265"/>
      <c r="P467" s="1265"/>
      <c r="Q467" s="1265"/>
      <c r="R467" s="1265"/>
      <c r="S467" s="1265"/>
      <c r="T467" s="1265"/>
      <c r="U467" s="1265"/>
      <c r="V467" s="1265"/>
      <c r="W467" s="1265"/>
      <c r="X467" s="1265"/>
      <c r="Y467" s="1265"/>
      <c r="Z467" s="1265"/>
    </row>
    <row r="468" ht="27.0" customHeight="1">
      <c r="A468" s="1265"/>
      <c r="B468" s="1265"/>
      <c r="C468" s="1265"/>
      <c r="D468" s="1265"/>
      <c r="E468" s="1265"/>
      <c r="F468" s="1265"/>
      <c r="G468" s="1265"/>
      <c r="H468" s="1265"/>
      <c r="I468" s="1265"/>
      <c r="J468" s="1265"/>
      <c r="K468" s="1265"/>
      <c r="L468" s="1265"/>
      <c r="M468" s="1265"/>
      <c r="N468" s="1265"/>
      <c r="O468" s="1265"/>
      <c r="P468" s="1265"/>
      <c r="Q468" s="1265"/>
      <c r="R468" s="1265"/>
      <c r="S468" s="1265"/>
      <c r="T468" s="1265"/>
      <c r="U468" s="1265"/>
      <c r="V468" s="1265"/>
      <c r="W468" s="1265"/>
      <c r="X468" s="1265"/>
      <c r="Y468" s="1265"/>
      <c r="Z468" s="1265"/>
    </row>
    <row r="469" ht="27.0" customHeight="1">
      <c r="A469" s="1265"/>
      <c r="B469" s="1265"/>
      <c r="C469" s="1265"/>
      <c r="D469" s="1265"/>
      <c r="E469" s="1265"/>
      <c r="F469" s="1265"/>
      <c r="G469" s="1265"/>
      <c r="H469" s="1265"/>
      <c r="I469" s="1265"/>
      <c r="J469" s="1265"/>
      <c r="K469" s="1265"/>
      <c r="L469" s="1265"/>
      <c r="M469" s="1265"/>
      <c r="N469" s="1265"/>
      <c r="O469" s="1265"/>
      <c r="P469" s="1265"/>
      <c r="Q469" s="1265"/>
      <c r="R469" s="1265"/>
      <c r="S469" s="1265"/>
      <c r="T469" s="1265"/>
      <c r="U469" s="1265"/>
      <c r="V469" s="1265"/>
      <c r="W469" s="1265"/>
      <c r="X469" s="1265"/>
      <c r="Y469" s="1265"/>
      <c r="Z469" s="1265"/>
    </row>
    <row r="470" ht="27.0" customHeight="1">
      <c r="A470" s="1265"/>
      <c r="B470" s="1265"/>
      <c r="C470" s="1265"/>
      <c r="D470" s="1265"/>
      <c r="E470" s="1265"/>
      <c r="F470" s="1265"/>
      <c r="G470" s="1265"/>
      <c r="H470" s="1265"/>
      <c r="I470" s="1265"/>
      <c r="J470" s="1265"/>
      <c r="K470" s="1265"/>
      <c r="L470" s="1265"/>
      <c r="M470" s="1265"/>
      <c r="N470" s="1265"/>
      <c r="O470" s="1265"/>
      <c r="P470" s="1265"/>
      <c r="Q470" s="1265"/>
      <c r="R470" s="1265"/>
      <c r="S470" s="1265"/>
      <c r="T470" s="1265"/>
      <c r="U470" s="1265"/>
      <c r="V470" s="1265"/>
      <c r="W470" s="1265"/>
      <c r="X470" s="1265"/>
      <c r="Y470" s="1265"/>
      <c r="Z470" s="1265"/>
    </row>
    <row r="471" ht="27.0" customHeight="1">
      <c r="A471" s="1265"/>
      <c r="B471" s="1265"/>
      <c r="C471" s="1265"/>
      <c r="D471" s="1265"/>
      <c r="E471" s="1265"/>
      <c r="F471" s="1265"/>
      <c r="G471" s="1265"/>
      <c r="H471" s="1265"/>
      <c r="I471" s="1265"/>
      <c r="J471" s="1265"/>
      <c r="K471" s="1265"/>
      <c r="L471" s="1265"/>
      <c r="M471" s="1265"/>
      <c r="N471" s="1265"/>
      <c r="O471" s="1265"/>
      <c r="P471" s="1265"/>
      <c r="Q471" s="1265"/>
      <c r="R471" s="1265"/>
      <c r="S471" s="1265"/>
      <c r="T471" s="1265"/>
      <c r="U471" s="1265"/>
      <c r="V471" s="1265"/>
      <c r="W471" s="1265"/>
      <c r="X471" s="1265"/>
      <c r="Y471" s="1265"/>
      <c r="Z471" s="1265"/>
    </row>
    <row r="472" ht="27.0" customHeight="1">
      <c r="A472" s="1265"/>
      <c r="B472" s="1265"/>
      <c r="C472" s="1265"/>
      <c r="D472" s="1265"/>
      <c r="E472" s="1265"/>
      <c r="F472" s="1265"/>
      <c r="G472" s="1265"/>
      <c r="H472" s="1265"/>
      <c r="I472" s="1265"/>
      <c r="J472" s="1265"/>
      <c r="K472" s="1265"/>
      <c r="L472" s="1265"/>
      <c r="M472" s="1265"/>
      <c r="N472" s="1265"/>
      <c r="O472" s="1265"/>
      <c r="P472" s="1265"/>
      <c r="Q472" s="1265"/>
      <c r="R472" s="1265"/>
      <c r="S472" s="1265"/>
      <c r="T472" s="1265"/>
      <c r="U472" s="1265"/>
      <c r="V472" s="1265"/>
      <c r="W472" s="1265"/>
      <c r="X472" s="1265"/>
      <c r="Y472" s="1265"/>
      <c r="Z472" s="1265"/>
    </row>
    <row r="473" ht="27.0" customHeight="1">
      <c r="A473" s="1265"/>
      <c r="B473" s="1265"/>
      <c r="C473" s="1265"/>
      <c r="D473" s="1265"/>
      <c r="E473" s="1265"/>
      <c r="F473" s="1265"/>
      <c r="G473" s="1265"/>
      <c r="H473" s="1265"/>
      <c r="I473" s="1265"/>
      <c r="J473" s="1265"/>
      <c r="K473" s="1265"/>
      <c r="L473" s="1265"/>
      <c r="M473" s="1265"/>
      <c r="N473" s="1265"/>
      <c r="O473" s="1265"/>
      <c r="P473" s="1265"/>
      <c r="Q473" s="1265"/>
      <c r="R473" s="1265"/>
      <c r="S473" s="1265"/>
      <c r="T473" s="1265"/>
      <c r="U473" s="1265"/>
      <c r="V473" s="1265"/>
      <c r="W473" s="1265"/>
      <c r="X473" s="1265"/>
      <c r="Y473" s="1265"/>
      <c r="Z473" s="1265"/>
    </row>
    <row r="474" ht="27.0" customHeight="1">
      <c r="A474" s="1265"/>
      <c r="B474" s="1265"/>
      <c r="C474" s="1265"/>
      <c r="D474" s="1265"/>
      <c r="E474" s="1265"/>
      <c r="F474" s="1265"/>
      <c r="G474" s="1265"/>
      <c r="H474" s="1265"/>
      <c r="I474" s="1265"/>
      <c r="J474" s="1265"/>
      <c r="K474" s="1265"/>
      <c r="L474" s="1265"/>
      <c r="M474" s="1265"/>
      <c r="N474" s="1265"/>
      <c r="O474" s="1265"/>
      <c r="P474" s="1265"/>
      <c r="Q474" s="1265"/>
      <c r="R474" s="1265"/>
      <c r="S474" s="1265"/>
      <c r="T474" s="1265"/>
      <c r="U474" s="1265"/>
      <c r="V474" s="1265"/>
      <c r="W474" s="1265"/>
      <c r="X474" s="1265"/>
      <c r="Y474" s="1265"/>
      <c r="Z474" s="1265"/>
    </row>
    <row r="475" ht="27.0" customHeight="1">
      <c r="A475" s="1265"/>
      <c r="B475" s="1265"/>
      <c r="C475" s="1265"/>
      <c r="D475" s="1265"/>
      <c r="E475" s="1265"/>
      <c r="F475" s="1265"/>
      <c r="G475" s="1265"/>
      <c r="H475" s="1265"/>
      <c r="I475" s="1265"/>
      <c r="J475" s="1265"/>
      <c r="K475" s="1265"/>
      <c r="L475" s="1265"/>
      <c r="M475" s="1265"/>
      <c r="N475" s="1265"/>
      <c r="O475" s="1265"/>
      <c r="P475" s="1265"/>
      <c r="Q475" s="1265"/>
      <c r="R475" s="1265"/>
      <c r="S475" s="1265"/>
      <c r="T475" s="1265"/>
      <c r="U475" s="1265"/>
      <c r="V475" s="1265"/>
      <c r="W475" s="1265"/>
      <c r="X475" s="1265"/>
      <c r="Y475" s="1265"/>
      <c r="Z475" s="1265"/>
    </row>
    <row r="476" ht="27.0" customHeight="1">
      <c r="A476" s="1265"/>
      <c r="B476" s="1265"/>
      <c r="C476" s="1265"/>
      <c r="D476" s="1265"/>
      <c r="E476" s="1265"/>
      <c r="F476" s="1265"/>
      <c r="G476" s="1265"/>
      <c r="H476" s="1265"/>
      <c r="I476" s="1265"/>
      <c r="J476" s="1265"/>
      <c r="K476" s="1265"/>
      <c r="L476" s="1265"/>
      <c r="M476" s="1265"/>
      <c r="N476" s="1265"/>
      <c r="O476" s="1265"/>
      <c r="P476" s="1265"/>
      <c r="Q476" s="1265"/>
      <c r="R476" s="1265"/>
      <c r="S476" s="1265"/>
      <c r="T476" s="1265"/>
      <c r="U476" s="1265"/>
      <c r="V476" s="1265"/>
      <c r="W476" s="1265"/>
      <c r="X476" s="1265"/>
      <c r="Y476" s="1265"/>
      <c r="Z476" s="1265"/>
    </row>
    <row r="477" ht="27.0" customHeight="1">
      <c r="A477" s="1265"/>
      <c r="B477" s="1265"/>
      <c r="C477" s="1265"/>
      <c r="D477" s="1265"/>
      <c r="E477" s="1265"/>
      <c r="F477" s="1265"/>
      <c r="G477" s="1265"/>
      <c r="H477" s="1265"/>
      <c r="I477" s="1265"/>
      <c r="J477" s="1265"/>
      <c r="K477" s="1265"/>
      <c r="L477" s="1265"/>
      <c r="M477" s="1265"/>
      <c r="N477" s="1265"/>
      <c r="O477" s="1265"/>
      <c r="P477" s="1265"/>
      <c r="Q477" s="1265"/>
      <c r="R477" s="1265"/>
      <c r="S477" s="1265"/>
      <c r="T477" s="1265"/>
      <c r="U477" s="1265"/>
      <c r="V477" s="1265"/>
      <c r="W477" s="1265"/>
      <c r="X477" s="1265"/>
      <c r="Y477" s="1265"/>
      <c r="Z477" s="1265"/>
    </row>
    <row r="478" ht="27.0" customHeight="1">
      <c r="A478" s="1265"/>
      <c r="B478" s="1265"/>
      <c r="C478" s="1265"/>
      <c r="D478" s="1265"/>
      <c r="E478" s="1265"/>
      <c r="F478" s="1265"/>
      <c r="G478" s="1265"/>
      <c r="H478" s="1265"/>
      <c r="I478" s="1265"/>
      <c r="J478" s="1265"/>
      <c r="K478" s="1265"/>
      <c r="L478" s="1265"/>
      <c r="M478" s="1265"/>
      <c r="N478" s="1265"/>
      <c r="O478" s="1265"/>
      <c r="P478" s="1265"/>
      <c r="Q478" s="1265"/>
      <c r="R478" s="1265"/>
      <c r="S478" s="1265"/>
      <c r="T478" s="1265"/>
      <c r="U478" s="1265"/>
      <c r="V478" s="1265"/>
      <c r="W478" s="1265"/>
      <c r="X478" s="1265"/>
      <c r="Y478" s="1265"/>
      <c r="Z478" s="1265"/>
    </row>
    <row r="479" ht="27.0" customHeight="1">
      <c r="A479" s="1265"/>
      <c r="B479" s="1265"/>
      <c r="C479" s="1265"/>
      <c r="D479" s="1265"/>
      <c r="E479" s="1265"/>
      <c r="F479" s="1265"/>
      <c r="G479" s="1265"/>
      <c r="H479" s="1265"/>
      <c r="I479" s="1265"/>
      <c r="J479" s="1265"/>
      <c r="K479" s="1265"/>
      <c r="L479" s="1265"/>
      <c r="M479" s="1265"/>
      <c r="N479" s="1265"/>
      <c r="O479" s="1265"/>
      <c r="P479" s="1265"/>
      <c r="Q479" s="1265"/>
      <c r="R479" s="1265"/>
      <c r="S479" s="1265"/>
      <c r="T479" s="1265"/>
      <c r="U479" s="1265"/>
      <c r="V479" s="1265"/>
      <c r="W479" s="1265"/>
      <c r="X479" s="1265"/>
      <c r="Y479" s="1265"/>
      <c r="Z479" s="1265"/>
    </row>
    <row r="480" ht="27.0" customHeight="1">
      <c r="A480" s="1265"/>
      <c r="B480" s="1265"/>
      <c r="C480" s="1265"/>
      <c r="D480" s="1265"/>
      <c r="E480" s="1265"/>
      <c r="F480" s="1265"/>
      <c r="G480" s="1265"/>
      <c r="H480" s="1265"/>
      <c r="I480" s="1265"/>
      <c r="J480" s="1265"/>
      <c r="K480" s="1265"/>
      <c r="L480" s="1265"/>
      <c r="M480" s="1265"/>
      <c r="N480" s="1265"/>
      <c r="O480" s="1265"/>
      <c r="P480" s="1265"/>
      <c r="Q480" s="1265"/>
      <c r="R480" s="1265"/>
      <c r="S480" s="1265"/>
      <c r="T480" s="1265"/>
      <c r="U480" s="1265"/>
      <c r="V480" s="1265"/>
      <c r="W480" s="1265"/>
      <c r="X480" s="1265"/>
      <c r="Y480" s="1265"/>
      <c r="Z480" s="1265"/>
    </row>
    <row r="481" ht="27.0" customHeight="1">
      <c r="A481" s="1265"/>
      <c r="B481" s="1265"/>
      <c r="C481" s="1265"/>
      <c r="D481" s="1265"/>
      <c r="E481" s="1265"/>
      <c r="F481" s="1265"/>
      <c r="G481" s="1265"/>
      <c r="H481" s="1265"/>
      <c r="I481" s="1265"/>
      <c r="J481" s="1265"/>
      <c r="K481" s="1265"/>
      <c r="L481" s="1265"/>
      <c r="M481" s="1265"/>
      <c r="N481" s="1265"/>
      <c r="O481" s="1265"/>
      <c r="P481" s="1265"/>
      <c r="Q481" s="1265"/>
      <c r="R481" s="1265"/>
      <c r="S481" s="1265"/>
      <c r="T481" s="1265"/>
      <c r="U481" s="1265"/>
      <c r="V481" s="1265"/>
      <c r="W481" s="1265"/>
      <c r="X481" s="1265"/>
      <c r="Y481" s="1265"/>
      <c r="Z481" s="1265"/>
    </row>
    <row r="482" ht="27.0" customHeight="1">
      <c r="A482" s="1265"/>
      <c r="B482" s="1265"/>
      <c r="C482" s="1265"/>
      <c r="D482" s="1265"/>
      <c r="E482" s="1265"/>
      <c r="F482" s="1265"/>
      <c r="G482" s="1265"/>
      <c r="H482" s="1265"/>
      <c r="I482" s="1265"/>
      <c r="J482" s="1265"/>
      <c r="K482" s="1265"/>
      <c r="L482" s="1265"/>
      <c r="M482" s="1265"/>
      <c r="N482" s="1265"/>
      <c r="O482" s="1265"/>
      <c r="P482" s="1265"/>
      <c r="Q482" s="1265"/>
      <c r="R482" s="1265"/>
      <c r="S482" s="1265"/>
      <c r="T482" s="1265"/>
      <c r="U482" s="1265"/>
      <c r="V482" s="1265"/>
      <c r="W482" s="1265"/>
      <c r="X482" s="1265"/>
      <c r="Y482" s="1265"/>
      <c r="Z482" s="1265"/>
    </row>
    <row r="483" ht="27.0" customHeight="1">
      <c r="A483" s="1265"/>
      <c r="B483" s="1265"/>
      <c r="C483" s="1265"/>
      <c r="D483" s="1265"/>
      <c r="E483" s="1265"/>
      <c r="F483" s="1265"/>
      <c r="G483" s="1265"/>
      <c r="H483" s="1265"/>
      <c r="I483" s="1265"/>
      <c r="J483" s="1265"/>
      <c r="K483" s="1265"/>
      <c r="L483" s="1265"/>
      <c r="M483" s="1265"/>
      <c r="N483" s="1265"/>
      <c r="O483" s="1265"/>
      <c r="P483" s="1265"/>
      <c r="Q483" s="1265"/>
      <c r="R483" s="1265"/>
      <c r="S483" s="1265"/>
      <c r="T483" s="1265"/>
      <c r="U483" s="1265"/>
      <c r="V483" s="1265"/>
      <c r="W483" s="1265"/>
      <c r="X483" s="1265"/>
      <c r="Y483" s="1265"/>
      <c r="Z483" s="1265"/>
    </row>
    <row r="484" ht="27.0" customHeight="1">
      <c r="A484" s="1265"/>
      <c r="B484" s="1265"/>
      <c r="C484" s="1265"/>
      <c r="D484" s="1265"/>
      <c r="E484" s="1265"/>
      <c r="F484" s="1265"/>
      <c r="G484" s="1265"/>
      <c r="H484" s="1265"/>
      <c r="I484" s="1265"/>
      <c r="J484" s="1265"/>
      <c r="K484" s="1265"/>
      <c r="L484" s="1265"/>
      <c r="M484" s="1265"/>
      <c r="N484" s="1265"/>
      <c r="O484" s="1265"/>
      <c r="P484" s="1265"/>
      <c r="Q484" s="1265"/>
      <c r="R484" s="1265"/>
      <c r="S484" s="1265"/>
      <c r="T484" s="1265"/>
      <c r="U484" s="1265"/>
      <c r="V484" s="1265"/>
      <c r="W484" s="1265"/>
      <c r="X484" s="1265"/>
      <c r="Y484" s="1265"/>
      <c r="Z484" s="1265"/>
    </row>
    <row r="485" ht="27.0" customHeight="1">
      <c r="A485" s="1265"/>
      <c r="B485" s="1265"/>
      <c r="C485" s="1265"/>
      <c r="D485" s="1265"/>
      <c r="E485" s="1265"/>
      <c r="F485" s="1265"/>
      <c r="G485" s="1265"/>
      <c r="H485" s="1265"/>
      <c r="I485" s="1265"/>
      <c r="J485" s="1265"/>
      <c r="K485" s="1265"/>
      <c r="L485" s="1265"/>
      <c r="M485" s="1265"/>
      <c r="N485" s="1265"/>
      <c r="O485" s="1265"/>
      <c r="P485" s="1265"/>
      <c r="Q485" s="1265"/>
      <c r="R485" s="1265"/>
      <c r="S485" s="1265"/>
      <c r="T485" s="1265"/>
      <c r="U485" s="1265"/>
      <c r="V485" s="1265"/>
      <c r="W485" s="1265"/>
      <c r="X485" s="1265"/>
      <c r="Y485" s="1265"/>
      <c r="Z485" s="1265"/>
    </row>
    <row r="486" ht="27.0" customHeight="1">
      <c r="A486" s="1265"/>
      <c r="B486" s="1265"/>
      <c r="C486" s="1265"/>
      <c r="D486" s="1265"/>
      <c r="E486" s="1265"/>
      <c r="F486" s="1265"/>
      <c r="G486" s="1265"/>
      <c r="H486" s="1265"/>
      <c r="I486" s="1265"/>
      <c r="J486" s="1265"/>
      <c r="K486" s="1265"/>
      <c r="L486" s="1265"/>
      <c r="M486" s="1265"/>
      <c r="N486" s="1265"/>
      <c r="O486" s="1265"/>
      <c r="P486" s="1265"/>
      <c r="Q486" s="1265"/>
      <c r="R486" s="1265"/>
      <c r="S486" s="1265"/>
      <c r="T486" s="1265"/>
      <c r="U486" s="1265"/>
      <c r="V486" s="1265"/>
      <c r="W486" s="1265"/>
      <c r="X486" s="1265"/>
      <c r="Y486" s="1265"/>
      <c r="Z486" s="1265"/>
    </row>
    <row r="487" ht="27.0" customHeight="1">
      <c r="A487" s="1265"/>
      <c r="B487" s="1265"/>
      <c r="C487" s="1265"/>
      <c r="D487" s="1265"/>
      <c r="E487" s="1265"/>
      <c r="F487" s="1265"/>
      <c r="G487" s="1265"/>
      <c r="H487" s="1265"/>
      <c r="I487" s="1265"/>
      <c r="J487" s="1265"/>
      <c r="K487" s="1265"/>
      <c r="L487" s="1265"/>
      <c r="M487" s="1265"/>
      <c r="N487" s="1265"/>
      <c r="O487" s="1265"/>
      <c r="P487" s="1265"/>
      <c r="Q487" s="1265"/>
      <c r="R487" s="1265"/>
      <c r="S487" s="1265"/>
      <c r="T487" s="1265"/>
      <c r="U487" s="1265"/>
      <c r="V487" s="1265"/>
      <c r="W487" s="1265"/>
      <c r="X487" s="1265"/>
      <c r="Y487" s="1265"/>
      <c r="Z487" s="1265"/>
    </row>
    <row r="488" ht="27.0" customHeight="1">
      <c r="A488" s="1265"/>
      <c r="B488" s="1265"/>
      <c r="C488" s="1265"/>
      <c r="D488" s="1265"/>
      <c r="E488" s="1265"/>
      <c r="F488" s="1265"/>
      <c r="G488" s="1265"/>
      <c r="H488" s="1265"/>
      <c r="I488" s="1265"/>
      <c r="J488" s="1265"/>
      <c r="K488" s="1265"/>
      <c r="L488" s="1265"/>
      <c r="M488" s="1265"/>
      <c r="N488" s="1265"/>
      <c r="O488" s="1265"/>
      <c r="P488" s="1265"/>
      <c r="Q488" s="1265"/>
      <c r="R488" s="1265"/>
      <c r="S488" s="1265"/>
      <c r="T488" s="1265"/>
      <c r="U488" s="1265"/>
      <c r="V488" s="1265"/>
      <c r="W488" s="1265"/>
      <c r="X488" s="1265"/>
      <c r="Y488" s="1265"/>
      <c r="Z488" s="1265"/>
    </row>
    <row r="489" ht="27.0" customHeight="1">
      <c r="A489" s="1265"/>
      <c r="B489" s="1265"/>
      <c r="C489" s="1265"/>
      <c r="D489" s="1265"/>
      <c r="E489" s="1265"/>
      <c r="F489" s="1265"/>
      <c r="G489" s="1265"/>
      <c r="H489" s="1265"/>
      <c r="I489" s="1265"/>
      <c r="J489" s="1265"/>
      <c r="K489" s="1265"/>
      <c r="L489" s="1265"/>
      <c r="M489" s="1265"/>
      <c r="N489" s="1265"/>
      <c r="O489" s="1265"/>
      <c r="P489" s="1265"/>
      <c r="Q489" s="1265"/>
      <c r="R489" s="1265"/>
      <c r="S489" s="1265"/>
      <c r="T489" s="1265"/>
      <c r="U489" s="1265"/>
      <c r="V489" s="1265"/>
      <c r="W489" s="1265"/>
      <c r="X489" s="1265"/>
      <c r="Y489" s="1265"/>
      <c r="Z489" s="1265"/>
    </row>
    <row r="490" ht="27.0" customHeight="1">
      <c r="A490" s="1265"/>
      <c r="B490" s="1265"/>
      <c r="C490" s="1265"/>
      <c r="D490" s="1265"/>
      <c r="E490" s="1265"/>
      <c r="F490" s="1265"/>
      <c r="G490" s="1265"/>
      <c r="H490" s="1265"/>
      <c r="I490" s="1265"/>
      <c r="J490" s="1265"/>
      <c r="K490" s="1265"/>
      <c r="L490" s="1265"/>
      <c r="M490" s="1265"/>
      <c r="N490" s="1265"/>
      <c r="O490" s="1265"/>
      <c r="P490" s="1265"/>
      <c r="Q490" s="1265"/>
      <c r="R490" s="1265"/>
      <c r="S490" s="1265"/>
      <c r="T490" s="1265"/>
      <c r="U490" s="1265"/>
      <c r="V490" s="1265"/>
      <c r="W490" s="1265"/>
      <c r="X490" s="1265"/>
      <c r="Y490" s="1265"/>
      <c r="Z490" s="1265"/>
    </row>
    <row r="491" ht="27.0" customHeight="1">
      <c r="A491" s="1265"/>
      <c r="B491" s="1265"/>
      <c r="C491" s="1265"/>
      <c r="D491" s="1265"/>
      <c r="E491" s="1265"/>
      <c r="F491" s="1265"/>
      <c r="G491" s="1265"/>
      <c r="H491" s="1265"/>
      <c r="I491" s="1265"/>
      <c r="J491" s="1265"/>
      <c r="K491" s="1265"/>
      <c r="L491" s="1265"/>
      <c r="M491" s="1265"/>
      <c r="N491" s="1265"/>
      <c r="O491" s="1265"/>
      <c r="P491" s="1265"/>
      <c r="Q491" s="1265"/>
      <c r="R491" s="1265"/>
      <c r="S491" s="1265"/>
      <c r="T491" s="1265"/>
      <c r="U491" s="1265"/>
      <c r="V491" s="1265"/>
      <c r="W491" s="1265"/>
      <c r="X491" s="1265"/>
      <c r="Y491" s="1265"/>
      <c r="Z491" s="1265"/>
    </row>
    <row r="492" ht="27.0" customHeight="1">
      <c r="A492" s="1265"/>
      <c r="B492" s="1265"/>
      <c r="C492" s="1265"/>
      <c r="D492" s="1265"/>
      <c r="E492" s="1265"/>
      <c r="F492" s="1265"/>
      <c r="G492" s="1265"/>
      <c r="H492" s="1265"/>
      <c r="I492" s="1265"/>
      <c r="J492" s="1265"/>
      <c r="K492" s="1265"/>
      <c r="L492" s="1265"/>
      <c r="M492" s="1265"/>
      <c r="N492" s="1265"/>
      <c r="O492" s="1265"/>
      <c r="P492" s="1265"/>
      <c r="Q492" s="1265"/>
      <c r="R492" s="1265"/>
      <c r="S492" s="1265"/>
      <c r="T492" s="1265"/>
      <c r="U492" s="1265"/>
      <c r="V492" s="1265"/>
      <c r="W492" s="1265"/>
      <c r="X492" s="1265"/>
      <c r="Y492" s="1265"/>
      <c r="Z492" s="1265"/>
    </row>
    <row r="493" ht="27.0" customHeight="1">
      <c r="A493" s="1265"/>
      <c r="B493" s="1265"/>
      <c r="C493" s="1265"/>
      <c r="D493" s="1265"/>
      <c r="E493" s="1265"/>
      <c r="F493" s="1265"/>
      <c r="G493" s="1265"/>
      <c r="H493" s="1265"/>
      <c r="I493" s="1265"/>
      <c r="J493" s="1265"/>
      <c r="K493" s="1265"/>
      <c r="L493" s="1265"/>
      <c r="M493" s="1265"/>
      <c r="N493" s="1265"/>
      <c r="O493" s="1265"/>
      <c r="P493" s="1265"/>
      <c r="Q493" s="1265"/>
      <c r="R493" s="1265"/>
      <c r="S493" s="1265"/>
      <c r="T493" s="1265"/>
      <c r="U493" s="1265"/>
      <c r="V493" s="1265"/>
      <c r="W493" s="1265"/>
      <c r="X493" s="1265"/>
      <c r="Y493" s="1265"/>
      <c r="Z493" s="1265"/>
    </row>
    <row r="494" ht="27.0" customHeight="1">
      <c r="A494" s="1265"/>
      <c r="B494" s="1265"/>
      <c r="C494" s="1265"/>
      <c r="D494" s="1265"/>
      <c r="E494" s="1265"/>
      <c r="F494" s="1265"/>
      <c r="G494" s="1265"/>
      <c r="H494" s="1265"/>
      <c r="I494" s="1265"/>
      <c r="J494" s="1265"/>
      <c r="K494" s="1265"/>
      <c r="L494" s="1265"/>
      <c r="M494" s="1265"/>
      <c r="N494" s="1265"/>
      <c r="O494" s="1265"/>
      <c r="P494" s="1265"/>
      <c r="Q494" s="1265"/>
      <c r="R494" s="1265"/>
      <c r="S494" s="1265"/>
      <c r="T494" s="1265"/>
      <c r="U494" s="1265"/>
      <c r="V494" s="1265"/>
      <c r="W494" s="1265"/>
      <c r="X494" s="1265"/>
      <c r="Y494" s="1265"/>
      <c r="Z494" s="1265"/>
    </row>
    <row r="495" ht="27.0" customHeight="1">
      <c r="A495" s="1265"/>
      <c r="B495" s="1265"/>
      <c r="C495" s="1265"/>
      <c r="D495" s="1265"/>
      <c r="E495" s="1265"/>
      <c r="F495" s="1265"/>
      <c r="G495" s="1265"/>
      <c r="H495" s="1265"/>
      <c r="I495" s="1265"/>
      <c r="J495" s="1265"/>
      <c r="K495" s="1265"/>
      <c r="L495" s="1265"/>
      <c r="M495" s="1265"/>
      <c r="N495" s="1265"/>
      <c r="O495" s="1265"/>
      <c r="P495" s="1265"/>
      <c r="Q495" s="1265"/>
      <c r="R495" s="1265"/>
      <c r="S495" s="1265"/>
      <c r="T495" s="1265"/>
      <c r="U495" s="1265"/>
      <c r="V495" s="1265"/>
      <c r="W495" s="1265"/>
      <c r="X495" s="1265"/>
      <c r="Y495" s="1265"/>
      <c r="Z495" s="1265"/>
    </row>
    <row r="496" ht="27.0" customHeight="1">
      <c r="A496" s="1265"/>
      <c r="B496" s="1265"/>
      <c r="C496" s="1265"/>
      <c r="D496" s="1265"/>
      <c r="E496" s="1265"/>
      <c r="F496" s="1265"/>
      <c r="G496" s="1265"/>
      <c r="H496" s="1265"/>
      <c r="I496" s="1265"/>
      <c r="J496" s="1265"/>
      <c r="K496" s="1265"/>
      <c r="L496" s="1265"/>
      <c r="M496" s="1265"/>
      <c r="N496" s="1265"/>
      <c r="O496" s="1265"/>
      <c r="P496" s="1265"/>
      <c r="Q496" s="1265"/>
      <c r="R496" s="1265"/>
      <c r="S496" s="1265"/>
      <c r="T496" s="1265"/>
      <c r="U496" s="1265"/>
      <c r="V496" s="1265"/>
      <c r="W496" s="1265"/>
      <c r="X496" s="1265"/>
      <c r="Y496" s="1265"/>
      <c r="Z496" s="1265"/>
    </row>
    <row r="497" ht="27.0" customHeight="1">
      <c r="A497" s="1265"/>
      <c r="B497" s="1265"/>
      <c r="C497" s="1265"/>
      <c r="D497" s="1265"/>
      <c r="E497" s="1265"/>
      <c r="F497" s="1265"/>
      <c r="G497" s="1265"/>
      <c r="H497" s="1265"/>
      <c r="I497" s="1265"/>
      <c r="J497" s="1265"/>
      <c r="K497" s="1265"/>
      <c r="L497" s="1265"/>
      <c r="M497" s="1265"/>
      <c r="N497" s="1265"/>
      <c r="O497" s="1265"/>
      <c r="P497" s="1265"/>
      <c r="Q497" s="1265"/>
      <c r="R497" s="1265"/>
      <c r="S497" s="1265"/>
      <c r="T497" s="1265"/>
      <c r="U497" s="1265"/>
      <c r="V497" s="1265"/>
      <c r="W497" s="1265"/>
      <c r="X497" s="1265"/>
      <c r="Y497" s="1265"/>
      <c r="Z497" s="1265"/>
    </row>
    <row r="498" ht="27.0" customHeight="1">
      <c r="A498" s="1265"/>
      <c r="B498" s="1265"/>
      <c r="C498" s="1265"/>
      <c r="D498" s="1265"/>
      <c r="E498" s="1265"/>
      <c r="F498" s="1265"/>
      <c r="G498" s="1265"/>
      <c r="H498" s="1265"/>
      <c r="I498" s="1265"/>
      <c r="J498" s="1265"/>
      <c r="K498" s="1265"/>
      <c r="L498" s="1265"/>
      <c r="M498" s="1265"/>
      <c r="N498" s="1265"/>
      <c r="O498" s="1265"/>
      <c r="P498" s="1265"/>
      <c r="Q498" s="1265"/>
      <c r="R498" s="1265"/>
      <c r="S498" s="1265"/>
      <c r="T498" s="1265"/>
      <c r="U498" s="1265"/>
      <c r="V498" s="1265"/>
      <c r="W498" s="1265"/>
      <c r="X498" s="1265"/>
      <c r="Y498" s="1265"/>
      <c r="Z498" s="1265"/>
    </row>
    <row r="499" ht="27.0" customHeight="1">
      <c r="A499" s="1265"/>
      <c r="B499" s="1265"/>
      <c r="C499" s="1265"/>
      <c r="D499" s="1265"/>
      <c r="E499" s="1265"/>
      <c r="F499" s="1265"/>
      <c r="G499" s="1265"/>
      <c r="H499" s="1265"/>
      <c r="I499" s="1265"/>
      <c r="J499" s="1265"/>
      <c r="K499" s="1265"/>
      <c r="L499" s="1265"/>
      <c r="M499" s="1265"/>
      <c r="N499" s="1265"/>
      <c r="O499" s="1265"/>
      <c r="P499" s="1265"/>
      <c r="Q499" s="1265"/>
      <c r="R499" s="1265"/>
      <c r="S499" s="1265"/>
      <c r="T499" s="1265"/>
      <c r="U499" s="1265"/>
      <c r="V499" s="1265"/>
      <c r="W499" s="1265"/>
      <c r="X499" s="1265"/>
      <c r="Y499" s="1265"/>
      <c r="Z499" s="1265"/>
    </row>
    <row r="500" ht="27.0" customHeight="1">
      <c r="A500" s="1265"/>
      <c r="B500" s="1265"/>
      <c r="C500" s="1265"/>
      <c r="D500" s="1265"/>
      <c r="E500" s="1265"/>
      <c r="F500" s="1265"/>
      <c r="G500" s="1265"/>
      <c r="H500" s="1265"/>
      <c r="I500" s="1265"/>
      <c r="J500" s="1265"/>
      <c r="K500" s="1265"/>
      <c r="L500" s="1265"/>
      <c r="M500" s="1265"/>
      <c r="N500" s="1265"/>
      <c r="O500" s="1265"/>
      <c r="P500" s="1265"/>
      <c r="Q500" s="1265"/>
      <c r="R500" s="1265"/>
      <c r="S500" s="1265"/>
      <c r="T500" s="1265"/>
      <c r="U500" s="1265"/>
      <c r="V500" s="1265"/>
      <c r="W500" s="1265"/>
      <c r="X500" s="1265"/>
      <c r="Y500" s="1265"/>
      <c r="Z500" s="1265"/>
    </row>
    <row r="501" ht="27.0" customHeight="1">
      <c r="A501" s="1265"/>
      <c r="B501" s="1265"/>
      <c r="C501" s="1265"/>
      <c r="D501" s="1265"/>
      <c r="E501" s="1265"/>
      <c r="F501" s="1265"/>
      <c r="G501" s="1265"/>
      <c r="H501" s="1265"/>
      <c r="I501" s="1265"/>
      <c r="J501" s="1265"/>
      <c r="K501" s="1265"/>
      <c r="L501" s="1265"/>
      <c r="M501" s="1265"/>
      <c r="N501" s="1265"/>
      <c r="O501" s="1265"/>
      <c r="P501" s="1265"/>
      <c r="Q501" s="1265"/>
      <c r="R501" s="1265"/>
      <c r="S501" s="1265"/>
      <c r="T501" s="1265"/>
      <c r="U501" s="1265"/>
      <c r="V501" s="1265"/>
      <c r="W501" s="1265"/>
      <c r="X501" s="1265"/>
      <c r="Y501" s="1265"/>
      <c r="Z501" s="1265"/>
    </row>
    <row r="502" ht="27.0" customHeight="1">
      <c r="A502" s="1265"/>
      <c r="B502" s="1265"/>
      <c r="C502" s="1265"/>
      <c r="D502" s="1265"/>
      <c r="E502" s="1265"/>
      <c r="F502" s="1265"/>
      <c r="G502" s="1265"/>
      <c r="H502" s="1265"/>
      <c r="I502" s="1265"/>
      <c r="J502" s="1265"/>
      <c r="K502" s="1265"/>
      <c r="L502" s="1265"/>
      <c r="M502" s="1265"/>
      <c r="N502" s="1265"/>
      <c r="O502" s="1265"/>
      <c r="P502" s="1265"/>
      <c r="Q502" s="1265"/>
      <c r="R502" s="1265"/>
      <c r="S502" s="1265"/>
      <c r="T502" s="1265"/>
      <c r="U502" s="1265"/>
      <c r="V502" s="1265"/>
      <c r="W502" s="1265"/>
      <c r="X502" s="1265"/>
      <c r="Y502" s="1265"/>
      <c r="Z502" s="1265"/>
    </row>
    <row r="503" ht="27.0" customHeight="1">
      <c r="A503" s="1265"/>
      <c r="B503" s="1265"/>
      <c r="C503" s="1265"/>
      <c r="D503" s="1265"/>
      <c r="E503" s="1265"/>
      <c r="F503" s="1265"/>
      <c r="G503" s="1265"/>
      <c r="H503" s="1265"/>
      <c r="I503" s="1265"/>
      <c r="J503" s="1265"/>
      <c r="K503" s="1265"/>
      <c r="L503" s="1265"/>
      <c r="M503" s="1265"/>
      <c r="N503" s="1265"/>
      <c r="O503" s="1265"/>
      <c r="P503" s="1265"/>
      <c r="Q503" s="1265"/>
      <c r="R503" s="1265"/>
      <c r="S503" s="1265"/>
      <c r="T503" s="1265"/>
      <c r="U503" s="1265"/>
      <c r="V503" s="1265"/>
      <c r="W503" s="1265"/>
      <c r="X503" s="1265"/>
      <c r="Y503" s="1265"/>
      <c r="Z503" s="1265"/>
    </row>
    <row r="504" ht="27.0" customHeight="1">
      <c r="A504" s="1265"/>
      <c r="B504" s="1265"/>
      <c r="C504" s="1265"/>
      <c r="D504" s="1265"/>
      <c r="E504" s="1265"/>
      <c r="F504" s="1265"/>
      <c r="G504" s="1265"/>
      <c r="H504" s="1265"/>
      <c r="I504" s="1265"/>
      <c r="J504" s="1265"/>
      <c r="K504" s="1265"/>
      <c r="L504" s="1265"/>
      <c r="M504" s="1265"/>
      <c r="N504" s="1265"/>
      <c r="O504" s="1265"/>
      <c r="P504" s="1265"/>
      <c r="Q504" s="1265"/>
      <c r="R504" s="1265"/>
      <c r="S504" s="1265"/>
      <c r="T504" s="1265"/>
      <c r="U504" s="1265"/>
      <c r="V504" s="1265"/>
      <c r="W504" s="1265"/>
      <c r="X504" s="1265"/>
      <c r="Y504" s="1265"/>
      <c r="Z504" s="1265"/>
    </row>
    <row r="505" ht="27.0" customHeight="1">
      <c r="A505" s="1265"/>
      <c r="B505" s="1265"/>
      <c r="C505" s="1265"/>
      <c r="D505" s="1265"/>
      <c r="E505" s="1265"/>
      <c r="F505" s="1265"/>
      <c r="G505" s="1265"/>
      <c r="H505" s="1265"/>
      <c r="I505" s="1265"/>
      <c r="J505" s="1265"/>
      <c r="K505" s="1265"/>
      <c r="L505" s="1265"/>
      <c r="M505" s="1265"/>
      <c r="N505" s="1265"/>
      <c r="O505" s="1265"/>
      <c r="P505" s="1265"/>
      <c r="Q505" s="1265"/>
      <c r="R505" s="1265"/>
      <c r="S505" s="1265"/>
      <c r="T505" s="1265"/>
      <c r="U505" s="1265"/>
      <c r="V505" s="1265"/>
      <c r="W505" s="1265"/>
      <c r="X505" s="1265"/>
      <c r="Y505" s="1265"/>
      <c r="Z505" s="1265"/>
    </row>
    <row r="506" ht="27.0" customHeight="1">
      <c r="A506" s="1265"/>
      <c r="B506" s="1265"/>
      <c r="C506" s="1265"/>
      <c r="D506" s="1265"/>
      <c r="E506" s="1265"/>
      <c r="F506" s="1265"/>
      <c r="G506" s="1265"/>
      <c r="H506" s="1265"/>
      <c r="I506" s="1265"/>
      <c r="J506" s="1265"/>
      <c r="K506" s="1265"/>
      <c r="L506" s="1265"/>
      <c r="M506" s="1265"/>
      <c r="N506" s="1265"/>
      <c r="O506" s="1265"/>
      <c r="P506" s="1265"/>
      <c r="Q506" s="1265"/>
      <c r="R506" s="1265"/>
      <c r="S506" s="1265"/>
      <c r="T506" s="1265"/>
      <c r="U506" s="1265"/>
      <c r="V506" s="1265"/>
      <c r="W506" s="1265"/>
      <c r="X506" s="1265"/>
      <c r="Y506" s="1265"/>
      <c r="Z506" s="1265"/>
    </row>
    <row r="507" ht="27.0" customHeight="1">
      <c r="A507" s="1265"/>
      <c r="B507" s="1265"/>
      <c r="C507" s="1265"/>
      <c r="D507" s="1265"/>
      <c r="E507" s="1265"/>
      <c r="F507" s="1265"/>
      <c r="G507" s="1265"/>
      <c r="H507" s="1265"/>
      <c r="I507" s="1265"/>
      <c r="J507" s="1265"/>
      <c r="K507" s="1265"/>
      <c r="L507" s="1265"/>
      <c r="M507" s="1265"/>
      <c r="N507" s="1265"/>
      <c r="O507" s="1265"/>
      <c r="P507" s="1265"/>
      <c r="Q507" s="1265"/>
      <c r="R507" s="1265"/>
      <c r="S507" s="1265"/>
      <c r="T507" s="1265"/>
      <c r="U507" s="1265"/>
      <c r="V507" s="1265"/>
      <c r="W507" s="1265"/>
      <c r="X507" s="1265"/>
      <c r="Y507" s="1265"/>
      <c r="Z507" s="1265"/>
    </row>
    <row r="508" ht="27.0" customHeight="1">
      <c r="A508" s="1265"/>
      <c r="B508" s="1265"/>
      <c r="C508" s="1265"/>
      <c r="D508" s="1265"/>
      <c r="E508" s="1265"/>
      <c r="F508" s="1265"/>
      <c r="G508" s="1265"/>
      <c r="H508" s="1265"/>
      <c r="I508" s="1265"/>
      <c r="J508" s="1265"/>
      <c r="K508" s="1265"/>
      <c r="L508" s="1265"/>
      <c r="M508" s="1265"/>
      <c r="N508" s="1265"/>
      <c r="O508" s="1265"/>
      <c r="P508" s="1265"/>
      <c r="Q508" s="1265"/>
      <c r="R508" s="1265"/>
      <c r="S508" s="1265"/>
      <c r="T508" s="1265"/>
      <c r="U508" s="1265"/>
      <c r="V508" s="1265"/>
      <c r="W508" s="1265"/>
      <c r="X508" s="1265"/>
      <c r="Y508" s="1265"/>
      <c r="Z508" s="1265"/>
    </row>
    <row r="509" ht="27.0" customHeight="1">
      <c r="A509" s="1265"/>
      <c r="B509" s="1265"/>
      <c r="C509" s="1265"/>
      <c r="D509" s="1265"/>
      <c r="E509" s="1265"/>
      <c r="F509" s="1265"/>
      <c r="G509" s="1265"/>
      <c r="H509" s="1265"/>
      <c r="I509" s="1265"/>
      <c r="J509" s="1265"/>
      <c r="K509" s="1265"/>
      <c r="L509" s="1265"/>
      <c r="M509" s="1265"/>
      <c r="N509" s="1265"/>
      <c r="O509" s="1265"/>
      <c r="P509" s="1265"/>
      <c r="Q509" s="1265"/>
      <c r="R509" s="1265"/>
      <c r="S509" s="1265"/>
      <c r="T509" s="1265"/>
      <c r="U509" s="1265"/>
      <c r="V509" s="1265"/>
      <c r="W509" s="1265"/>
      <c r="X509" s="1265"/>
      <c r="Y509" s="1265"/>
      <c r="Z509" s="1265"/>
    </row>
    <row r="510" ht="27.0" customHeight="1">
      <c r="A510" s="1265"/>
      <c r="B510" s="1265"/>
      <c r="C510" s="1265"/>
      <c r="D510" s="1265"/>
      <c r="E510" s="1265"/>
      <c r="F510" s="1265"/>
      <c r="G510" s="1265"/>
      <c r="H510" s="1265"/>
      <c r="I510" s="1265"/>
      <c r="J510" s="1265"/>
      <c r="K510" s="1265"/>
      <c r="L510" s="1265"/>
      <c r="M510" s="1265"/>
      <c r="N510" s="1265"/>
      <c r="O510" s="1265"/>
      <c r="P510" s="1265"/>
      <c r="Q510" s="1265"/>
      <c r="R510" s="1265"/>
      <c r="S510" s="1265"/>
      <c r="T510" s="1265"/>
      <c r="U510" s="1265"/>
      <c r="V510" s="1265"/>
      <c r="W510" s="1265"/>
      <c r="X510" s="1265"/>
      <c r="Y510" s="1265"/>
      <c r="Z510" s="1265"/>
    </row>
    <row r="511" ht="27.0" customHeight="1">
      <c r="A511" s="1265"/>
      <c r="B511" s="1265"/>
      <c r="C511" s="1265"/>
      <c r="D511" s="1265"/>
      <c r="E511" s="1265"/>
      <c r="F511" s="1265"/>
      <c r="G511" s="1265"/>
      <c r="H511" s="1265"/>
      <c r="I511" s="1265"/>
      <c r="J511" s="1265"/>
      <c r="K511" s="1265"/>
      <c r="L511" s="1265"/>
      <c r="M511" s="1265"/>
      <c r="N511" s="1265"/>
      <c r="O511" s="1265"/>
      <c r="P511" s="1265"/>
      <c r="Q511" s="1265"/>
      <c r="R511" s="1265"/>
      <c r="S511" s="1265"/>
      <c r="T511" s="1265"/>
      <c r="U511" s="1265"/>
      <c r="V511" s="1265"/>
      <c r="W511" s="1265"/>
      <c r="X511" s="1265"/>
      <c r="Y511" s="1265"/>
      <c r="Z511" s="1265"/>
    </row>
    <row r="512" ht="27.0" customHeight="1">
      <c r="A512" s="1265"/>
      <c r="B512" s="1265"/>
      <c r="C512" s="1265"/>
      <c r="D512" s="1265"/>
      <c r="E512" s="1265"/>
      <c r="F512" s="1265"/>
      <c r="G512" s="1265"/>
      <c r="H512" s="1265"/>
      <c r="I512" s="1265"/>
      <c r="J512" s="1265"/>
      <c r="K512" s="1265"/>
      <c r="L512" s="1265"/>
      <c r="M512" s="1265"/>
      <c r="N512" s="1265"/>
      <c r="O512" s="1265"/>
      <c r="P512" s="1265"/>
      <c r="Q512" s="1265"/>
      <c r="R512" s="1265"/>
      <c r="S512" s="1265"/>
      <c r="T512" s="1265"/>
      <c r="U512" s="1265"/>
      <c r="V512" s="1265"/>
      <c r="W512" s="1265"/>
      <c r="X512" s="1265"/>
      <c r="Y512" s="1265"/>
      <c r="Z512" s="1265"/>
    </row>
    <row r="513" ht="27.0" customHeight="1">
      <c r="A513" s="1265"/>
      <c r="B513" s="1265"/>
      <c r="C513" s="1265"/>
      <c r="D513" s="1265"/>
      <c r="E513" s="1265"/>
      <c r="F513" s="1265"/>
      <c r="G513" s="1265"/>
      <c r="H513" s="1265"/>
      <c r="I513" s="1265"/>
      <c r="J513" s="1265"/>
      <c r="K513" s="1265"/>
      <c r="L513" s="1265"/>
      <c r="M513" s="1265"/>
      <c r="N513" s="1265"/>
      <c r="O513" s="1265"/>
      <c r="P513" s="1265"/>
      <c r="Q513" s="1265"/>
      <c r="R513" s="1265"/>
      <c r="S513" s="1265"/>
      <c r="T513" s="1265"/>
      <c r="U513" s="1265"/>
      <c r="V513" s="1265"/>
      <c r="W513" s="1265"/>
      <c r="X513" s="1265"/>
      <c r="Y513" s="1265"/>
      <c r="Z513" s="1265"/>
    </row>
    <row r="514" ht="27.0" customHeight="1">
      <c r="A514" s="1265"/>
      <c r="B514" s="1265"/>
      <c r="C514" s="1265"/>
      <c r="D514" s="1265"/>
      <c r="E514" s="1265"/>
      <c r="F514" s="1265"/>
      <c r="G514" s="1265"/>
      <c r="H514" s="1265"/>
      <c r="I514" s="1265"/>
      <c r="J514" s="1265"/>
      <c r="K514" s="1265"/>
      <c r="L514" s="1265"/>
      <c r="M514" s="1265"/>
      <c r="N514" s="1265"/>
      <c r="O514" s="1265"/>
      <c r="P514" s="1265"/>
      <c r="Q514" s="1265"/>
      <c r="R514" s="1265"/>
      <c r="S514" s="1265"/>
      <c r="T514" s="1265"/>
      <c r="U514" s="1265"/>
      <c r="V514" s="1265"/>
      <c r="W514" s="1265"/>
      <c r="X514" s="1265"/>
      <c r="Y514" s="1265"/>
      <c r="Z514" s="1265"/>
    </row>
    <row r="515" ht="27.0" customHeight="1">
      <c r="A515" s="1265"/>
      <c r="B515" s="1265"/>
      <c r="C515" s="1265"/>
      <c r="D515" s="1265"/>
      <c r="E515" s="1265"/>
      <c r="F515" s="1265"/>
      <c r="G515" s="1265"/>
      <c r="H515" s="1265"/>
      <c r="I515" s="1265"/>
      <c r="J515" s="1265"/>
      <c r="K515" s="1265"/>
      <c r="L515" s="1265"/>
      <c r="M515" s="1265"/>
      <c r="N515" s="1265"/>
      <c r="O515" s="1265"/>
      <c r="P515" s="1265"/>
      <c r="Q515" s="1265"/>
      <c r="R515" s="1265"/>
      <c r="S515" s="1265"/>
      <c r="T515" s="1265"/>
      <c r="U515" s="1265"/>
      <c r="V515" s="1265"/>
      <c r="W515" s="1265"/>
      <c r="X515" s="1265"/>
      <c r="Y515" s="1265"/>
      <c r="Z515" s="1265"/>
    </row>
    <row r="516" ht="27.0" customHeight="1">
      <c r="A516" s="1265"/>
      <c r="B516" s="1265"/>
      <c r="C516" s="1265"/>
      <c r="D516" s="1265"/>
      <c r="E516" s="1265"/>
      <c r="F516" s="1265"/>
      <c r="G516" s="1265"/>
      <c r="H516" s="1265"/>
      <c r="I516" s="1265"/>
      <c r="J516" s="1265"/>
      <c r="K516" s="1265"/>
      <c r="L516" s="1265"/>
      <c r="M516" s="1265"/>
      <c r="N516" s="1265"/>
      <c r="O516" s="1265"/>
      <c r="P516" s="1265"/>
      <c r="Q516" s="1265"/>
      <c r="R516" s="1265"/>
      <c r="S516" s="1265"/>
      <c r="T516" s="1265"/>
      <c r="U516" s="1265"/>
      <c r="V516" s="1265"/>
      <c r="W516" s="1265"/>
      <c r="X516" s="1265"/>
      <c r="Y516" s="1265"/>
      <c r="Z516" s="1265"/>
    </row>
    <row r="517" ht="27.0" customHeight="1">
      <c r="A517" s="1265"/>
      <c r="B517" s="1265"/>
      <c r="C517" s="1265"/>
      <c r="D517" s="1265"/>
      <c r="E517" s="1265"/>
      <c r="F517" s="1265"/>
      <c r="G517" s="1265"/>
      <c r="H517" s="1265"/>
      <c r="I517" s="1265"/>
      <c r="J517" s="1265"/>
      <c r="K517" s="1265"/>
      <c r="L517" s="1265"/>
      <c r="M517" s="1265"/>
      <c r="N517" s="1265"/>
      <c r="O517" s="1265"/>
      <c r="P517" s="1265"/>
      <c r="Q517" s="1265"/>
      <c r="R517" s="1265"/>
      <c r="S517" s="1265"/>
      <c r="T517" s="1265"/>
      <c r="U517" s="1265"/>
      <c r="V517" s="1265"/>
      <c r="W517" s="1265"/>
      <c r="X517" s="1265"/>
      <c r="Y517" s="1265"/>
      <c r="Z517" s="1265"/>
    </row>
    <row r="518" ht="27.0" customHeight="1">
      <c r="A518" s="1265"/>
      <c r="B518" s="1265"/>
      <c r="C518" s="1265"/>
      <c r="D518" s="1265"/>
      <c r="E518" s="1265"/>
      <c r="F518" s="1265"/>
      <c r="G518" s="1265"/>
      <c r="H518" s="1265"/>
      <c r="I518" s="1265"/>
      <c r="J518" s="1265"/>
      <c r="K518" s="1265"/>
      <c r="L518" s="1265"/>
      <c r="M518" s="1265"/>
      <c r="N518" s="1265"/>
      <c r="O518" s="1265"/>
      <c r="P518" s="1265"/>
      <c r="Q518" s="1265"/>
      <c r="R518" s="1265"/>
      <c r="S518" s="1265"/>
      <c r="T518" s="1265"/>
      <c r="U518" s="1265"/>
      <c r="V518" s="1265"/>
      <c r="W518" s="1265"/>
      <c r="X518" s="1265"/>
      <c r="Y518" s="1265"/>
      <c r="Z518" s="1265"/>
    </row>
    <row r="519" ht="27.0" customHeight="1">
      <c r="A519" s="1265"/>
      <c r="B519" s="1265"/>
      <c r="C519" s="1265"/>
      <c r="D519" s="1265"/>
      <c r="E519" s="1265"/>
      <c r="F519" s="1265"/>
      <c r="G519" s="1265"/>
      <c r="H519" s="1265"/>
      <c r="I519" s="1265"/>
      <c r="J519" s="1265"/>
      <c r="K519" s="1265"/>
      <c r="L519" s="1265"/>
      <c r="M519" s="1265"/>
      <c r="N519" s="1265"/>
      <c r="O519" s="1265"/>
      <c r="P519" s="1265"/>
      <c r="Q519" s="1265"/>
      <c r="R519" s="1265"/>
      <c r="S519" s="1265"/>
      <c r="T519" s="1265"/>
      <c r="U519" s="1265"/>
      <c r="V519" s="1265"/>
      <c r="W519" s="1265"/>
      <c r="X519" s="1265"/>
      <c r="Y519" s="1265"/>
      <c r="Z519" s="1265"/>
    </row>
    <row r="520" ht="27.0" customHeight="1">
      <c r="A520" s="1265"/>
      <c r="B520" s="1265"/>
      <c r="C520" s="1265"/>
      <c r="D520" s="1265"/>
      <c r="E520" s="1265"/>
      <c r="F520" s="1265"/>
      <c r="G520" s="1265"/>
      <c r="H520" s="1265"/>
      <c r="I520" s="1265"/>
      <c r="J520" s="1265"/>
      <c r="K520" s="1265"/>
      <c r="L520" s="1265"/>
      <c r="M520" s="1265"/>
      <c r="N520" s="1265"/>
      <c r="O520" s="1265"/>
      <c r="P520" s="1265"/>
      <c r="Q520" s="1265"/>
      <c r="R520" s="1265"/>
      <c r="S520" s="1265"/>
      <c r="T520" s="1265"/>
      <c r="U520" s="1265"/>
      <c r="V520" s="1265"/>
      <c r="W520" s="1265"/>
      <c r="X520" s="1265"/>
      <c r="Y520" s="1265"/>
      <c r="Z520" s="1265"/>
    </row>
    <row r="521" ht="27.0" customHeight="1">
      <c r="A521" s="1265"/>
      <c r="B521" s="1265"/>
      <c r="C521" s="1265"/>
      <c r="D521" s="1265"/>
      <c r="E521" s="1265"/>
      <c r="F521" s="1265"/>
      <c r="G521" s="1265"/>
      <c r="H521" s="1265"/>
      <c r="I521" s="1265"/>
      <c r="J521" s="1265"/>
      <c r="K521" s="1265"/>
      <c r="L521" s="1265"/>
      <c r="M521" s="1265"/>
      <c r="N521" s="1265"/>
      <c r="O521" s="1265"/>
      <c r="P521" s="1265"/>
      <c r="Q521" s="1265"/>
      <c r="R521" s="1265"/>
      <c r="S521" s="1265"/>
      <c r="T521" s="1265"/>
      <c r="U521" s="1265"/>
      <c r="V521" s="1265"/>
      <c r="W521" s="1265"/>
      <c r="X521" s="1265"/>
      <c r="Y521" s="1265"/>
      <c r="Z521" s="1265"/>
    </row>
    <row r="522" ht="27.0" customHeight="1">
      <c r="A522" s="1265"/>
      <c r="B522" s="1265"/>
      <c r="C522" s="1265"/>
      <c r="D522" s="1265"/>
      <c r="E522" s="1265"/>
      <c r="F522" s="1265"/>
      <c r="G522" s="1265"/>
      <c r="H522" s="1265"/>
      <c r="I522" s="1265"/>
      <c r="J522" s="1265"/>
      <c r="K522" s="1265"/>
      <c r="L522" s="1265"/>
      <c r="M522" s="1265"/>
      <c r="N522" s="1265"/>
      <c r="O522" s="1265"/>
      <c r="P522" s="1265"/>
      <c r="Q522" s="1265"/>
      <c r="R522" s="1265"/>
      <c r="S522" s="1265"/>
      <c r="T522" s="1265"/>
      <c r="U522" s="1265"/>
      <c r="V522" s="1265"/>
      <c r="W522" s="1265"/>
      <c r="X522" s="1265"/>
      <c r="Y522" s="1265"/>
      <c r="Z522" s="1265"/>
    </row>
    <row r="523" ht="27.0" customHeight="1">
      <c r="A523" s="1265"/>
      <c r="B523" s="1265"/>
      <c r="C523" s="1265"/>
      <c r="D523" s="1265"/>
      <c r="E523" s="1265"/>
      <c r="F523" s="1265"/>
      <c r="G523" s="1265"/>
      <c r="H523" s="1265"/>
      <c r="I523" s="1265"/>
      <c r="J523" s="1265"/>
      <c r="K523" s="1265"/>
      <c r="L523" s="1265"/>
      <c r="M523" s="1265"/>
      <c r="N523" s="1265"/>
      <c r="O523" s="1265"/>
      <c r="P523" s="1265"/>
      <c r="Q523" s="1265"/>
      <c r="R523" s="1265"/>
      <c r="S523" s="1265"/>
      <c r="T523" s="1265"/>
      <c r="U523" s="1265"/>
      <c r="V523" s="1265"/>
      <c r="W523" s="1265"/>
      <c r="X523" s="1265"/>
      <c r="Y523" s="1265"/>
      <c r="Z523" s="1265"/>
    </row>
    <row r="524" ht="27.0" customHeight="1">
      <c r="A524" s="1265"/>
      <c r="B524" s="1265"/>
      <c r="C524" s="1265"/>
      <c r="D524" s="1265"/>
      <c r="E524" s="1265"/>
      <c r="F524" s="1265"/>
      <c r="G524" s="1265"/>
      <c r="H524" s="1265"/>
      <c r="I524" s="1265"/>
      <c r="J524" s="1265"/>
      <c r="K524" s="1265"/>
      <c r="L524" s="1265"/>
      <c r="M524" s="1265"/>
      <c r="N524" s="1265"/>
      <c r="O524" s="1265"/>
      <c r="P524" s="1265"/>
      <c r="Q524" s="1265"/>
      <c r="R524" s="1265"/>
      <c r="S524" s="1265"/>
      <c r="T524" s="1265"/>
      <c r="U524" s="1265"/>
      <c r="V524" s="1265"/>
      <c r="W524" s="1265"/>
      <c r="X524" s="1265"/>
      <c r="Y524" s="1265"/>
      <c r="Z524" s="1265"/>
    </row>
    <row r="525" ht="27.0" customHeight="1">
      <c r="A525" s="1265"/>
      <c r="B525" s="1265"/>
      <c r="C525" s="1265"/>
      <c r="D525" s="1265"/>
      <c r="E525" s="1265"/>
      <c r="F525" s="1265"/>
      <c r="G525" s="1265"/>
      <c r="H525" s="1265"/>
      <c r="I525" s="1265"/>
      <c r="J525" s="1265"/>
      <c r="K525" s="1265"/>
      <c r="L525" s="1265"/>
      <c r="M525" s="1265"/>
      <c r="N525" s="1265"/>
      <c r="O525" s="1265"/>
      <c r="P525" s="1265"/>
      <c r="Q525" s="1265"/>
      <c r="R525" s="1265"/>
      <c r="S525" s="1265"/>
      <c r="T525" s="1265"/>
      <c r="U525" s="1265"/>
      <c r="V525" s="1265"/>
      <c r="W525" s="1265"/>
      <c r="X525" s="1265"/>
      <c r="Y525" s="1265"/>
      <c r="Z525" s="1265"/>
    </row>
    <row r="526" ht="27.0" customHeight="1">
      <c r="A526" s="1265"/>
      <c r="B526" s="1265"/>
      <c r="C526" s="1265"/>
      <c r="D526" s="1265"/>
      <c r="E526" s="1265"/>
      <c r="F526" s="1265"/>
      <c r="G526" s="1265"/>
      <c r="H526" s="1265"/>
      <c r="I526" s="1265"/>
      <c r="J526" s="1265"/>
      <c r="K526" s="1265"/>
      <c r="L526" s="1265"/>
      <c r="M526" s="1265"/>
      <c r="N526" s="1265"/>
      <c r="O526" s="1265"/>
      <c r="P526" s="1265"/>
      <c r="Q526" s="1265"/>
      <c r="R526" s="1265"/>
      <c r="S526" s="1265"/>
      <c r="T526" s="1265"/>
      <c r="U526" s="1265"/>
      <c r="V526" s="1265"/>
      <c r="W526" s="1265"/>
      <c r="X526" s="1265"/>
      <c r="Y526" s="1265"/>
      <c r="Z526" s="1265"/>
    </row>
    <row r="527" ht="27.0" customHeight="1">
      <c r="A527" s="1265"/>
      <c r="B527" s="1265"/>
      <c r="C527" s="1265"/>
      <c r="D527" s="1265"/>
      <c r="E527" s="1265"/>
      <c r="F527" s="1265"/>
      <c r="G527" s="1265"/>
      <c r="H527" s="1265"/>
      <c r="I527" s="1265"/>
      <c r="J527" s="1265"/>
      <c r="K527" s="1265"/>
      <c r="L527" s="1265"/>
      <c r="M527" s="1265"/>
      <c r="N527" s="1265"/>
      <c r="O527" s="1265"/>
      <c r="P527" s="1265"/>
      <c r="Q527" s="1265"/>
      <c r="R527" s="1265"/>
      <c r="S527" s="1265"/>
      <c r="T527" s="1265"/>
      <c r="U527" s="1265"/>
      <c r="V527" s="1265"/>
      <c r="W527" s="1265"/>
      <c r="X527" s="1265"/>
      <c r="Y527" s="1265"/>
      <c r="Z527" s="1265"/>
    </row>
    <row r="528" ht="27.0" customHeight="1">
      <c r="A528" s="1265"/>
      <c r="B528" s="1265"/>
      <c r="C528" s="1265"/>
      <c r="D528" s="1265"/>
      <c r="E528" s="1265"/>
      <c r="F528" s="1265"/>
      <c r="G528" s="1265"/>
      <c r="H528" s="1265"/>
      <c r="I528" s="1265"/>
      <c r="J528" s="1265"/>
      <c r="K528" s="1265"/>
      <c r="L528" s="1265"/>
      <c r="M528" s="1265"/>
      <c r="N528" s="1265"/>
      <c r="O528" s="1265"/>
      <c r="P528" s="1265"/>
      <c r="Q528" s="1265"/>
      <c r="R528" s="1265"/>
      <c r="S528" s="1265"/>
      <c r="T528" s="1265"/>
      <c r="U528" s="1265"/>
      <c r="V528" s="1265"/>
      <c r="W528" s="1265"/>
      <c r="X528" s="1265"/>
      <c r="Y528" s="1265"/>
      <c r="Z528" s="1265"/>
    </row>
    <row r="529" ht="27.0" customHeight="1">
      <c r="A529" s="1265"/>
      <c r="B529" s="1265"/>
      <c r="C529" s="1265"/>
      <c r="D529" s="1265"/>
      <c r="E529" s="1265"/>
      <c r="F529" s="1265"/>
      <c r="G529" s="1265"/>
      <c r="H529" s="1265"/>
      <c r="I529" s="1265"/>
      <c r="J529" s="1265"/>
      <c r="K529" s="1265"/>
      <c r="L529" s="1265"/>
      <c r="M529" s="1265"/>
      <c r="N529" s="1265"/>
      <c r="O529" s="1265"/>
      <c r="P529" s="1265"/>
      <c r="Q529" s="1265"/>
      <c r="R529" s="1265"/>
      <c r="S529" s="1265"/>
      <c r="T529" s="1265"/>
      <c r="U529" s="1265"/>
      <c r="V529" s="1265"/>
      <c r="W529" s="1265"/>
      <c r="X529" s="1265"/>
      <c r="Y529" s="1265"/>
      <c r="Z529" s="1265"/>
    </row>
    <row r="530" ht="27.0" customHeight="1">
      <c r="A530" s="1265"/>
      <c r="B530" s="1265"/>
      <c r="C530" s="1265"/>
      <c r="D530" s="1265"/>
      <c r="E530" s="1265"/>
      <c r="F530" s="1265"/>
      <c r="G530" s="1265"/>
      <c r="H530" s="1265"/>
      <c r="I530" s="1265"/>
      <c r="J530" s="1265"/>
      <c r="K530" s="1265"/>
      <c r="L530" s="1265"/>
      <c r="M530" s="1265"/>
      <c r="N530" s="1265"/>
      <c r="O530" s="1265"/>
      <c r="P530" s="1265"/>
      <c r="Q530" s="1265"/>
      <c r="R530" s="1265"/>
      <c r="S530" s="1265"/>
      <c r="T530" s="1265"/>
      <c r="U530" s="1265"/>
      <c r="V530" s="1265"/>
      <c r="W530" s="1265"/>
      <c r="X530" s="1265"/>
      <c r="Y530" s="1265"/>
      <c r="Z530" s="1265"/>
    </row>
    <row r="531" ht="27.0" customHeight="1">
      <c r="A531" s="1265"/>
      <c r="B531" s="1265"/>
      <c r="C531" s="1265"/>
      <c r="D531" s="1265"/>
      <c r="E531" s="1265"/>
      <c r="F531" s="1265"/>
      <c r="G531" s="1265"/>
      <c r="H531" s="1265"/>
      <c r="I531" s="1265"/>
      <c r="J531" s="1265"/>
      <c r="K531" s="1265"/>
      <c r="L531" s="1265"/>
      <c r="M531" s="1265"/>
      <c r="N531" s="1265"/>
      <c r="O531" s="1265"/>
      <c r="P531" s="1265"/>
      <c r="Q531" s="1265"/>
      <c r="R531" s="1265"/>
      <c r="S531" s="1265"/>
      <c r="T531" s="1265"/>
      <c r="U531" s="1265"/>
      <c r="V531" s="1265"/>
      <c r="W531" s="1265"/>
      <c r="X531" s="1265"/>
      <c r="Y531" s="1265"/>
      <c r="Z531" s="1265"/>
    </row>
    <row r="532" ht="27.0" customHeight="1">
      <c r="A532" s="1265"/>
      <c r="B532" s="1265"/>
      <c r="C532" s="1265"/>
      <c r="D532" s="1265"/>
      <c r="E532" s="1265"/>
      <c r="F532" s="1265"/>
      <c r="G532" s="1265"/>
      <c r="H532" s="1265"/>
      <c r="I532" s="1265"/>
      <c r="J532" s="1265"/>
      <c r="K532" s="1265"/>
      <c r="L532" s="1265"/>
      <c r="M532" s="1265"/>
      <c r="N532" s="1265"/>
      <c r="O532" s="1265"/>
      <c r="P532" s="1265"/>
      <c r="Q532" s="1265"/>
      <c r="R532" s="1265"/>
      <c r="S532" s="1265"/>
      <c r="T532" s="1265"/>
      <c r="U532" s="1265"/>
      <c r="V532" s="1265"/>
      <c r="W532" s="1265"/>
      <c r="X532" s="1265"/>
      <c r="Y532" s="1265"/>
      <c r="Z532" s="1265"/>
    </row>
    <row r="533" ht="27.0" customHeight="1">
      <c r="A533" s="1265"/>
      <c r="B533" s="1265"/>
      <c r="C533" s="1265"/>
      <c r="D533" s="1265"/>
      <c r="E533" s="1265"/>
      <c r="F533" s="1265"/>
      <c r="G533" s="1265"/>
      <c r="H533" s="1265"/>
      <c r="I533" s="1265"/>
      <c r="J533" s="1265"/>
      <c r="K533" s="1265"/>
      <c r="L533" s="1265"/>
      <c r="M533" s="1265"/>
      <c r="N533" s="1265"/>
      <c r="O533" s="1265"/>
      <c r="P533" s="1265"/>
      <c r="Q533" s="1265"/>
      <c r="R533" s="1265"/>
      <c r="S533" s="1265"/>
      <c r="T533" s="1265"/>
      <c r="U533" s="1265"/>
      <c r="V533" s="1265"/>
      <c r="W533" s="1265"/>
      <c r="X533" s="1265"/>
      <c r="Y533" s="1265"/>
      <c r="Z533" s="1265"/>
    </row>
    <row r="534" ht="27.0" customHeight="1">
      <c r="A534" s="1265"/>
      <c r="B534" s="1265"/>
      <c r="C534" s="1265"/>
      <c r="D534" s="1265"/>
      <c r="E534" s="1265"/>
      <c r="F534" s="1265"/>
      <c r="G534" s="1265"/>
      <c r="H534" s="1265"/>
      <c r="I534" s="1265"/>
      <c r="J534" s="1265"/>
      <c r="K534" s="1265"/>
      <c r="L534" s="1265"/>
      <c r="M534" s="1265"/>
      <c r="N534" s="1265"/>
      <c r="O534" s="1265"/>
      <c r="P534" s="1265"/>
      <c r="Q534" s="1265"/>
      <c r="R534" s="1265"/>
      <c r="S534" s="1265"/>
      <c r="T534" s="1265"/>
      <c r="U534" s="1265"/>
      <c r="V534" s="1265"/>
      <c r="W534" s="1265"/>
      <c r="X534" s="1265"/>
      <c r="Y534" s="1265"/>
      <c r="Z534" s="1265"/>
    </row>
    <row r="535" ht="27.0" customHeight="1">
      <c r="A535" s="1265"/>
      <c r="B535" s="1265"/>
      <c r="C535" s="1265"/>
      <c r="D535" s="1265"/>
      <c r="E535" s="1265"/>
      <c r="F535" s="1265"/>
      <c r="G535" s="1265"/>
      <c r="H535" s="1265"/>
      <c r="I535" s="1265"/>
      <c r="J535" s="1265"/>
      <c r="K535" s="1265"/>
      <c r="L535" s="1265"/>
      <c r="M535" s="1265"/>
      <c r="N535" s="1265"/>
      <c r="O535" s="1265"/>
      <c r="P535" s="1265"/>
      <c r="Q535" s="1265"/>
      <c r="R535" s="1265"/>
      <c r="S535" s="1265"/>
      <c r="T535" s="1265"/>
      <c r="U535" s="1265"/>
      <c r="V535" s="1265"/>
      <c r="W535" s="1265"/>
      <c r="X535" s="1265"/>
      <c r="Y535" s="1265"/>
      <c r="Z535" s="1265"/>
    </row>
    <row r="536" ht="27.0" customHeight="1">
      <c r="A536" s="1265"/>
      <c r="B536" s="1265"/>
      <c r="C536" s="1265"/>
      <c r="D536" s="1265"/>
      <c r="E536" s="1265"/>
      <c r="F536" s="1265"/>
      <c r="G536" s="1265"/>
      <c r="H536" s="1265"/>
      <c r="I536" s="1265"/>
      <c r="J536" s="1265"/>
      <c r="K536" s="1265"/>
      <c r="L536" s="1265"/>
      <c r="M536" s="1265"/>
      <c r="N536" s="1265"/>
      <c r="O536" s="1265"/>
      <c r="P536" s="1265"/>
      <c r="Q536" s="1265"/>
      <c r="R536" s="1265"/>
      <c r="S536" s="1265"/>
      <c r="T536" s="1265"/>
      <c r="U536" s="1265"/>
      <c r="V536" s="1265"/>
      <c r="W536" s="1265"/>
      <c r="X536" s="1265"/>
      <c r="Y536" s="1265"/>
      <c r="Z536" s="1265"/>
    </row>
    <row r="537" ht="27.0" customHeight="1">
      <c r="A537" s="1265"/>
      <c r="B537" s="1265"/>
      <c r="C537" s="1265"/>
      <c r="D537" s="1265"/>
      <c r="E537" s="1265"/>
      <c r="F537" s="1265"/>
      <c r="G537" s="1265"/>
      <c r="H537" s="1265"/>
      <c r="I537" s="1265"/>
      <c r="J537" s="1265"/>
      <c r="K537" s="1265"/>
      <c r="L537" s="1265"/>
      <c r="M537" s="1265"/>
      <c r="N537" s="1265"/>
      <c r="O537" s="1265"/>
      <c r="P537" s="1265"/>
      <c r="Q537" s="1265"/>
      <c r="R537" s="1265"/>
      <c r="S537" s="1265"/>
      <c r="T537" s="1265"/>
      <c r="U537" s="1265"/>
      <c r="V537" s="1265"/>
      <c r="W537" s="1265"/>
      <c r="X537" s="1265"/>
      <c r="Y537" s="1265"/>
      <c r="Z537" s="1265"/>
    </row>
    <row r="538" ht="27.0" customHeight="1">
      <c r="A538" s="1265"/>
      <c r="B538" s="1265"/>
      <c r="C538" s="1265"/>
      <c r="D538" s="1265"/>
      <c r="E538" s="1265"/>
      <c r="F538" s="1265"/>
      <c r="G538" s="1265"/>
      <c r="H538" s="1265"/>
      <c r="I538" s="1265"/>
      <c r="J538" s="1265"/>
      <c r="K538" s="1265"/>
      <c r="L538" s="1265"/>
      <c r="M538" s="1265"/>
      <c r="N538" s="1265"/>
      <c r="O538" s="1265"/>
      <c r="P538" s="1265"/>
      <c r="Q538" s="1265"/>
      <c r="R538" s="1265"/>
      <c r="S538" s="1265"/>
      <c r="T538" s="1265"/>
      <c r="U538" s="1265"/>
      <c r="V538" s="1265"/>
      <c r="W538" s="1265"/>
      <c r="X538" s="1265"/>
      <c r="Y538" s="1265"/>
      <c r="Z538" s="1265"/>
    </row>
    <row r="539" ht="27.0" customHeight="1">
      <c r="A539" s="1265"/>
      <c r="B539" s="1265"/>
      <c r="C539" s="1265"/>
      <c r="D539" s="1265"/>
      <c r="E539" s="1265"/>
      <c r="F539" s="1265"/>
      <c r="G539" s="1265"/>
      <c r="H539" s="1265"/>
      <c r="I539" s="1265"/>
      <c r="J539" s="1265"/>
      <c r="K539" s="1265"/>
      <c r="L539" s="1265"/>
      <c r="M539" s="1265"/>
      <c r="N539" s="1265"/>
      <c r="O539" s="1265"/>
      <c r="P539" s="1265"/>
      <c r="Q539" s="1265"/>
      <c r="R539" s="1265"/>
      <c r="S539" s="1265"/>
      <c r="T539" s="1265"/>
      <c r="U539" s="1265"/>
      <c r="V539" s="1265"/>
      <c r="W539" s="1265"/>
      <c r="X539" s="1265"/>
      <c r="Y539" s="1265"/>
      <c r="Z539" s="1265"/>
    </row>
    <row r="540" ht="27.0" customHeight="1">
      <c r="A540" s="1265"/>
      <c r="B540" s="1265"/>
      <c r="C540" s="1265"/>
      <c r="D540" s="1265"/>
      <c r="E540" s="1265"/>
      <c r="F540" s="1265"/>
      <c r="G540" s="1265"/>
      <c r="H540" s="1265"/>
      <c r="I540" s="1265"/>
      <c r="J540" s="1265"/>
      <c r="K540" s="1265"/>
      <c r="L540" s="1265"/>
      <c r="M540" s="1265"/>
      <c r="N540" s="1265"/>
      <c r="O540" s="1265"/>
      <c r="P540" s="1265"/>
      <c r="Q540" s="1265"/>
      <c r="R540" s="1265"/>
      <c r="S540" s="1265"/>
      <c r="T540" s="1265"/>
      <c r="U540" s="1265"/>
      <c r="V540" s="1265"/>
      <c r="W540" s="1265"/>
      <c r="X540" s="1265"/>
      <c r="Y540" s="1265"/>
      <c r="Z540" s="1265"/>
    </row>
    <row r="541" ht="27.0" customHeight="1">
      <c r="A541" s="1265"/>
      <c r="B541" s="1265"/>
      <c r="C541" s="1265"/>
      <c r="D541" s="1265"/>
      <c r="E541" s="1265"/>
      <c r="F541" s="1265"/>
      <c r="G541" s="1265"/>
      <c r="H541" s="1265"/>
      <c r="I541" s="1265"/>
      <c r="J541" s="1265"/>
      <c r="K541" s="1265"/>
      <c r="L541" s="1265"/>
      <c r="M541" s="1265"/>
      <c r="N541" s="1265"/>
      <c r="O541" s="1265"/>
      <c r="P541" s="1265"/>
      <c r="Q541" s="1265"/>
      <c r="R541" s="1265"/>
      <c r="S541" s="1265"/>
      <c r="T541" s="1265"/>
      <c r="U541" s="1265"/>
      <c r="V541" s="1265"/>
      <c r="W541" s="1265"/>
      <c r="X541" s="1265"/>
      <c r="Y541" s="1265"/>
      <c r="Z541" s="1265"/>
    </row>
    <row r="542" ht="27.0" customHeight="1">
      <c r="A542" s="1265"/>
      <c r="B542" s="1265"/>
      <c r="C542" s="1265"/>
      <c r="D542" s="1265"/>
      <c r="E542" s="1265"/>
      <c r="F542" s="1265"/>
      <c r="G542" s="1265"/>
      <c r="H542" s="1265"/>
      <c r="I542" s="1265"/>
      <c r="J542" s="1265"/>
      <c r="K542" s="1265"/>
      <c r="L542" s="1265"/>
      <c r="M542" s="1265"/>
      <c r="N542" s="1265"/>
      <c r="O542" s="1265"/>
      <c r="P542" s="1265"/>
      <c r="Q542" s="1265"/>
      <c r="R542" s="1265"/>
      <c r="S542" s="1265"/>
      <c r="T542" s="1265"/>
      <c r="U542" s="1265"/>
      <c r="V542" s="1265"/>
      <c r="W542" s="1265"/>
      <c r="X542" s="1265"/>
      <c r="Y542" s="1265"/>
      <c r="Z542" s="1265"/>
    </row>
    <row r="543" ht="27.0" customHeight="1">
      <c r="A543" s="1265"/>
      <c r="B543" s="1265"/>
      <c r="C543" s="1265"/>
      <c r="D543" s="1265"/>
      <c r="E543" s="1265"/>
      <c r="F543" s="1265"/>
      <c r="G543" s="1265"/>
      <c r="H543" s="1265"/>
      <c r="I543" s="1265"/>
      <c r="J543" s="1265"/>
      <c r="K543" s="1265"/>
      <c r="L543" s="1265"/>
      <c r="M543" s="1265"/>
      <c r="N543" s="1265"/>
      <c r="O543" s="1265"/>
      <c r="P543" s="1265"/>
      <c r="Q543" s="1265"/>
      <c r="R543" s="1265"/>
      <c r="S543" s="1265"/>
      <c r="T543" s="1265"/>
      <c r="U543" s="1265"/>
      <c r="V543" s="1265"/>
      <c r="W543" s="1265"/>
      <c r="X543" s="1265"/>
      <c r="Y543" s="1265"/>
      <c r="Z543" s="1265"/>
    </row>
    <row r="544" ht="27.0" customHeight="1">
      <c r="A544" s="1265"/>
      <c r="B544" s="1265"/>
      <c r="C544" s="1265"/>
      <c r="D544" s="1265"/>
      <c r="E544" s="1265"/>
      <c r="F544" s="1265"/>
      <c r="G544" s="1265"/>
      <c r="H544" s="1265"/>
      <c r="I544" s="1265"/>
      <c r="J544" s="1265"/>
      <c r="K544" s="1265"/>
      <c r="L544" s="1265"/>
      <c r="M544" s="1265"/>
      <c r="N544" s="1265"/>
      <c r="O544" s="1265"/>
      <c r="P544" s="1265"/>
      <c r="Q544" s="1265"/>
      <c r="R544" s="1265"/>
      <c r="S544" s="1265"/>
      <c r="T544" s="1265"/>
      <c r="U544" s="1265"/>
      <c r="V544" s="1265"/>
      <c r="W544" s="1265"/>
      <c r="X544" s="1265"/>
      <c r="Y544" s="1265"/>
      <c r="Z544" s="1265"/>
    </row>
    <row r="545" ht="27.0" customHeight="1">
      <c r="A545" s="1265"/>
      <c r="B545" s="1265"/>
      <c r="C545" s="1265"/>
      <c r="D545" s="1265"/>
      <c r="E545" s="1265"/>
      <c r="F545" s="1265"/>
      <c r="G545" s="1265"/>
      <c r="H545" s="1265"/>
      <c r="I545" s="1265"/>
      <c r="J545" s="1265"/>
      <c r="K545" s="1265"/>
      <c r="L545" s="1265"/>
      <c r="M545" s="1265"/>
      <c r="N545" s="1265"/>
      <c r="O545" s="1265"/>
      <c r="P545" s="1265"/>
      <c r="Q545" s="1265"/>
      <c r="R545" s="1265"/>
      <c r="S545" s="1265"/>
      <c r="T545" s="1265"/>
      <c r="U545" s="1265"/>
      <c r="V545" s="1265"/>
      <c r="W545" s="1265"/>
      <c r="X545" s="1265"/>
      <c r="Y545" s="1265"/>
      <c r="Z545" s="1265"/>
    </row>
    <row r="546" ht="27.0" customHeight="1">
      <c r="A546" s="1265"/>
      <c r="B546" s="1265"/>
      <c r="C546" s="1265"/>
      <c r="D546" s="1265"/>
      <c r="E546" s="1265"/>
      <c r="F546" s="1265"/>
      <c r="G546" s="1265"/>
      <c r="H546" s="1265"/>
      <c r="I546" s="1265"/>
      <c r="J546" s="1265"/>
      <c r="K546" s="1265"/>
      <c r="L546" s="1265"/>
      <c r="M546" s="1265"/>
      <c r="N546" s="1265"/>
      <c r="O546" s="1265"/>
      <c r="P546" s="1265"/>
      <c r="Q546" s="1265"/>
      <c r="R546" s="1265"/>
      <c r="S546" s="1265"/>
      <c r="T546" s="1265"/>
      <c r="U546" s="1265"/>
      <c r="V546" s="1265"/>
      <c r="W546" s="1265"/>
      <c r="X546" s="1265"/>
      <c r="Y546" s="1265"/>
      <c r="Z546" s="1265"/>
    </row>
    <row r="547" ht="27.0" customHeight="1">
      <c r="A547" s="1265"/>
      <c r="B547" s="1265"/>
      <c r="C547" s="1265"/>
      <c r="D547" s="1265"/>
      <c r="E547" s="1265"/>
      <c r="F547" s="1265"/>
      <c r="G547" s="1265"/>
      <c r="H547" s="1265"/>
      <c r="I547" s="1265"/>
      <c r="J547" s="1265"/>
      <c r="K547" s="1265"/>
      <c r="L547" s="1265"/>
      <c r="M547" s="1265"/>
      <c r="N547" s="1265"/>
      <c r="O547" s="1265"/>
      <c r="P547" s="1265"/>
      <c r="Q547" s="1265"/>
      <c r="R547" s="1265"/>
      <c r="S547" s="1265"/>
      <c r="T547" s="1265"/>
      <c r="U547" s="1265"/>
      <c r="V547" s="1265"/>
      <c r="W547" s="1265"/>
      <c r="X547" s="1265"/>
      <c r="Y547" s="1265"/>
      <c r="Z547" s="1265"/>
    </row>
    <row r="548" ht="27.0" customHeight="1">
      <c r="A548" s="1265"/>
      <c r="B548" s="1265"/>
      <c r="C548" s="1265"/>
      <c r="D548" s="1265"/>
      <c r="E548" s="1265"/>
      <c r="F548" s="1265"/>
      <c r="G548" s="1265"/>
      <c r="H548" s="1265"/>
      <c r="I548" s="1265"/>
      <c r="J548" s="1265"/>
      <c r="K548" s="1265"/>
      <c r="L548" s="1265"/>
      <c r="M548" s="1265"/>
      <c r="N548" s="1265"/>
      <c r="O548" s="1265"/>
      <c r="P548" s="1265"/>
      <c r="Q548" s="1265"/>
      <c r="R548" s="1265"/>
      <c r="S548" s="1265"/>
      <c r="T548" s="1265"/>
      <c r="U548" s="1265"/>
      <c r="V548" s="1265"/>
      <c r="W548" s="1265"/>
      <c r="X548" s="1265"/>
      <c r="Y548" s="1265"/>
      <c r="Z548" s="1265"/>
    </row>
    <row r="549" ht="27.0" customHeight="1">
      <c r="A549" s="1265"/>
      <c r="B549" s="1265"/>
      <c r="C549" s="1265"/>
      <c r="D549" s="1265"/>
      <c r="E549" s="1265"/>
      <c r="F549" s="1265"/>
      <c r="G549" s="1265"/>
      <c r="H549" s="1265"/>
      <c r="I549" s="1265"/>
      <c r="J549" s="1265"/>
      <c r="K549" s="1265"/>
      <c r="L549" s="1265"/>
      <c r="M549" s="1265"/>
      <c r="N549" s="1265"/>
      <c r="O549" s="1265"/>
      <c r="P549" s="1265"/>
      <c r="Q549" s="1265"/>
      <c r="R549" s="1265"/>
      <c r="S549" s="1265"/>
      <c r="T549" s="1265"/>
      <c r="U549" s="1265"/>
      <c r="V549" s="1265"/>
      <c r="W549" s="1265"/>
      <c r="X549" s="1265"/>
      <c r="Y549" s="1265"/>
      <c r="Z549" s="1265"/>
    </row>
    <row r="550" ht="27.0" customHeight="1">
      <c r="A550" s="1265"/>
      <c r="B550" s="1265"/>
      <c r="C550" s="1265"/>
      <c r="D550" s="1265"/>
      <c r="E550" s="1265"/>
      <c r="F550" s="1265"/>
      <c r="G550" s="1265"/>
      <c r="H550" s="1265"/>
      <c r="I550" s="1265"/>
      <c r="J550" s="1265"/>
      <c r="K550" s="1265"/>
      <c r="L550" s="1265"/>
      <c r="M550" s="1265"/>
      <c r="N550" s="1265"/>
      <c r="O550" s="1265"/>
      <c r="P550" s="1265"/>
      <c r="Q550" s="1265"/>
      <c r="R550" s="1265"/>
      <c r="S550" s="1265"/>
      <c r="T550" s="1265"/>
      <c r="U550" s="1265"/>
      <c r="V550" s="1265"/>
      <c r="W550" s="1265"/>
      <c r="X550" s="1265"/>
      <c r="Y550" s="1265"/>
      <c r="Z550" s="1265"/>
    </row>
    <row r="551" ht="27.0" customHeight="1">
      <c r="A551" s="1265"/>
      <c r="B551" s="1265"/>
      <c r="C551" s="1265"/>
      <c r="D551" s="1265"/>
      <c r="E551" s="1265"/>
      <c r="F551" s="1265"/>
      <c r="G551" s="1265"/>
      <c r="H551" s="1265"/>
      <c r="I551" s="1265"/>
      <c r="J551" s="1265"/>
      <c r="K551" s="1265"/>
      <c r="L551" s="1265"/>
      <c r="M551" s="1265"/>
      <c r="N551" s="1265"/>
      <c r="O551" s="1265"/>
      <c r="P551" s="1265"/>
      <c r="Q551" s="1265"/>
      <c r="R551" s="1265"/>
      <c r="S551" s="1265"/>
      <c r="T551" s="1265"/>
      <c r="U551" s="1265"/>
      <c r="V551" s="1265"/>
      <c r="W551" s="1265"/>
      <c r="X551" s="1265"/>
      <c r="Y551" s="1265"/>
      <c r="Z551" s="1265"/>
    </row>
    <row r="552" ht="27.0" customHeight="1">
      <c r="A552" s="1265"/>
      <c r="B552" s="1265"/>
      <c r="C552" s="1265"/>
      <c r="D552" s="1265"/>
      <c r="E552" s="1265"/>
      <c r="F552" s="1265"/>
      <c r="G552" s="1265"/>
      <c r="H552" s="1265"/>
      <c r="I552" s="1265"/>
      <c r="J552" s="1265"/>
      <c r="K552" s="1265"/>
      <c r="L552" s="1265"/>
      <c r="M552" s="1265"/>
      <c r="N552" s="1265"/>
      <c r="O552" s="1265"/>
      <c r="P552" s="1265"/>
      <c r="Q552" s="1265"/>
      <c r="R552" s="1265"/>
      <c r="S552" s="1265"/>
      <c r="T552" s="1265"/>
      <c r="U552" s="1265"/>
      <c r="V552" s="1265"/>
      <c r="W552" s="1265"/>
      <c r="X552" s="1265"/>
      <c r="Y552" s="1265"/>
      <c r="Z552" s="1265"/>
    </row>
    <row r="553" ht="27.0" customHeight="1">
      <c r="A553" s="1265"/>
      <c r="B553" s="1265"/>
      <c r="C553" s="1265"/>
      <c r="D553" s="1265"/>
      <c r="E553" s="1265"/>
      <c r="F553" s="1265"/>
      <c r="G553" s="1265"/>
      <c r="H553" s="1265"/>
      <c r="I553" s="1265"/>
      <c r="J553" s="1265"/>
      <c r="K553" s="1265"/>
      <c r="L553" s="1265"/>
      <c r="M553" s="1265"/>
      <c r="N553" s="1265"/>
      <c r="O553" s="1265"/>
      <c r="P553" s="1265"/>
      <c r="Q553" s="1265"/>
      <c r="R553" s="1265"/>
      <c r="S553" s="1265"/>
      <c r="T553" s="1265"/>
      <c r="U553" s="1265"/>
      <c r="V553" s="1265"/>
      <c r="W553" s="1265"/>
      <c r="X553" s="1265"/>
      <c r="Y553" s="1265"/>
      <c r="Z553" s="1265"/>
    </row>
    <row r="554" ht="27.0" customHeight="1">
      <c r="A554" s="1265"/>
      <c r="B554" s="1265"/>
      <c r="C554" s="1265"/>
      <c r="D554" s="1265"/>
      <c r="E554" s="1265"/>
      <c r="F554" s="1265"/>
      <c r="G554" s="1265"/>
      <c r="H554" s="1265"/>
      <c r="I554" s="1265"/>
      <c r="J554" s="1265"/>
      <c r="K554" s="1265"/>
      <c r="L554" s="1265"/>
      <c r="M554" s="1265"/>
      <c r="N554" s="1265"/>
      <c r="O554" s="1265"/>
      <c r="P554" s="1265"/>
      <c r="Q554" s="1265"/>
      <c r="R554" s="1265"/>
      <c r="S554" s="1265"/>
      <c r="T554" s="1265"/>
      <c r="U554" s="1265"/>
      <c r="V554" s="1265"/>
      <c r="W554" s="1265"/>
      <c r="X554" s="1265"/>
      <c r="Y554" s="1265"/>
      <c r="Z554" s="1265"/>
    </row>
    <row r="555" ht="27.0" customHeight="1">
      <c r="A555" s="1265"/>
      <c r="B555" s="1265"/>
      <c r="C555" s="1265"/>
      <c r="D555" s="1265"/>
      <c r="E555" s="1265"/>
      <c r="F555" s="1265"/>
      <c r="G555" s="1265"/>
      <c r="H555" s="1265"/>
      <c r="I555" s="1265"/>
      <c r="J555" s="1265"/>
      <c r="K555" s="1265"/>
      <c r="L555" s="1265"/>
      <c r="M555" s="1265"/>
      <c r="N555" s="1265"/>
      <c r="O555" s="1265"/>
      <c r="P555" s="1265"/>
      <c r="Q555" s="1265"/>
      <c r="R555" s="1265"/>
      <c r="S555" s="1265"/>
      <c r="T555" s="1265"/>
      <c r="U555" s="1265"/>
      <c r="V555" s="1265"/>
      <c r="W555" s="1265"/>
      <c r="X555" s="1265"/>
      <c r="Y555" s="1265"/>
      <c r="Z555" s="1265"/>
    </row>
    <row r="556" ht="27.0" customHeight="1">
      <c r="A556" s="1265"/>
      <c r="B556" s="1265"/>
      <c r="C556" s="1265"/>
      <c r="D556" s="1265"/>
      <c r="E556" s="1265"/>
      <c r="F556" s="1265"/>
      <c r="G556" s="1265"/>
      <c r="H556" s="1265"/>
      <c r="I556" s="1265"/>
      <c r="J556" s="1265"/>
      <c r="K556" s="1265"/>
      <c r="L556" s="1265"/>
      <c r="M556" s="1265"/>
      <c r="N556" s="1265"/>
      <c r="O556" s="1265"/>
      <c r="P556" s="1265"/>
      <c r="Q556" s="1265"/>
      <c r="R556" s="1265"/>
      <c r="S556" s="1265"/>
      <c r="T556" s="1265"/>
      <c r="U556" s="1265"/>
      <c r="V556" s="1265"/>
      <c r="W556" s="1265"/>
      <c r="X556" s="1265"/>
      <c r="Y556" s="1265"/>
      <c r="Z556" s="1265"/>
    </row>
    <row r="557" ht="27.0" customHeight="1">
      <c r="A557" s="1265"/>
      <c r="B557" s="1265"/>
      <c r="C557" s="1265"/>
      <c r="D557" s="1265"/>
      <c r="E557" s="1265"/>
      <c r="F557" s="1265"/>
      <c r="G557" s="1265"/>
      <c r="H557" s="1265"/>
      <c r="I557" s="1265"/>
      <c r="J557" s="1265"/>
      <c r="K557" s="1265"/>
      <c r="L557" s="1265"/>
      <c r="M557" s="1265"/>
      <c r="N557" s="1265"/>
      <c r="O557" s="1265"/>
      <c r="P557" s="1265"/>
      <c r="Q557" s="1265"/>
      <c r="R557" s="1265"/>
      <c r="S557" s="1265"/>
      <c r="T557" s="1265"/>
      <c r="U557" s="1265"/>
      <c r="V557" s="1265"/>
      <c r="W557" s="1265"/>
      <c r="X557" s="1265"/>
      <c r="Y557" s="1265"/>
      <c r="Z557" s="1265"/>
    </row>
    <row r="558" ht="27.0" customHeight="1">
      <c r="A558" s="1265"/>
      <c r="B558" s="1265"/>
      <c r="C558" s="1265"/>
      <c r="D558" s="1265"/>
      <c r="E558" s="1265"/>
      <c r="F558" s="1265"/>
      <c r="G558" s="1265"/>
      <c r="H558" s="1265"/>
      <c r="I558" s="1265"/>
      <c r="J558" s="1265"/>
      <c r="K558" s="1265"/>
      <c r="L558" s="1265"/>
      <c r="M558" s="1265"/>
      <c r="N558" s="1265"/>
      <c r="O558" s="1265"/>
      <c r="P558" s="1265"/>
      <c r="Q558" s="1265"/>
      <c r="R558" s="1265"/>
      <c r="S558" s="1265"/>
      <c r="T558" s="1265"/>
      <c r="U558" s="1265"/>
      <c r="V558" s="1265"/>
      <c r="W558" s="1265"/>
      <c r="X558" s="1265"/>
      <c r="Y558" s="1265"/>
      <c r="Z558" s="1265"/>
    </row>
    <row r="559" ht="27.0" customHeight="1">
      <c r="A559" s="1265"/>
      <c r="B559" s="1265"/>
      <c r="C559" s="1265"/>
      <c r="D559" s="1265"/>
      <c r="E559" s="1265"/>
      <c r="F559" s="1265"/>
      <c r="G559" s="1265"/>
      <c r="H559" s="1265"/>
      <c r="I559" s="1265"/>
      <c r="J559" s="1265"/>
      <c r="K559" s="1265"/>
      <c r="L559" s="1265"/>
      <c r="M559" s="1265"/>
      <c r="N559" s="1265"/>
      <c r="O559" s="1265"/>
      <c r="P559" s="1265"/>
      <c r="Q559" s="1265"/>
      <c r="R559" s="1265"/>
      <c r="S559" s="1265"/>
      <c r="T559" s="1265"/>
      <c r="U559" s="1265"/>
      <c r="V559" s="1265"/>
      <c r="W559" s="1265"/>
      <c r="X559" s="1265"/>
      <c r="Y559" s="1265"/>
      <c r="Z559" s="1265"/>
    </row>
    <row r="560" ht="27.0" customHeight="1">
      <c r="A560" s="1265"/>
      <c r="B560" s="1265"/>
      <c r="C560" s="1265"/>
      <c r="D560" s="1265"/>
      <c r="E560" s="1265"/>
      <c r="F560" s="1265"/>
      <c r="G560" s="1265"/>
      <c r="H560" s="1265"/>
      <c r="I560" s="1265"/>
      <c r="J560" s="1265"/>
      <c r="K560" s="1265"/>
      <c r="L560" s="1265"/>
      <c r="M560" s="1265"/>
      <c r="N560" s="1265"/>
      <c r="O560" s="1265"/>
      <c r="P560" s="1265"/>
      <c r="Q560" s="1265"/>
      <c r="R560" s="1265"/>
      <c r="S560" s="1265"/>
      <c r="T560" s="1265"/>
      <c r="U560" s="1265"/>
      <c r="V560" s="1265"/>
      <c r="W560" s="1265"/>
      <c r="X560" s="1265"/>
      <c r="Y560" s="1265"/>
      <c r="Z560" s="1265"/>
    </row>
    <row r="561" ht="27.0" customHeight="1">
      <c r="A561" s="1265"/>
      <c r="B561" s="1265"/>
      <c r="C561" s="1265"/>
      <c r="D561" s="1265"/>
      <c r="E561" s="1265"/>
      <c r="F561" s="1265"/>
      <c r="G561" s="1265"/>
      <c r="H561" s="1265"/>
      <c r="I561" s="1265"/>
      <c r="J561" s="1265"/>
      <c r="K561" s="1265"/>
      <c r="L561" s="1265"/>
      <c r="M561" s="1265"/>
      <c r="N561" s="1265"/>
      <c r="O561" s="1265"/>
      <c r="P561" s="1265"/>
      <c r="Q561" s="1265"/>
      <c r="R561" s="1265"/>
      <c r="S561" s="1265"/>
      <c r="T561" s="1265"/>
      <c r="U561" s="1265"/>
      <c r="V561" s="1265"/>
      <c r="W561" s="1265"/>
      <c r="X561" s="1265"/>
      <c r="Y561" s="1265"/>
      <c r="Z561" s="1265"/>
    </row>
    <row r="562" ht="27.0" customHeight="1">
      <c r="A562" s="1265"/>
      <c r="B562" s="1265"/>
      <c r="C562" s="1265"/>
      <c r="D562" s="1265"/>
      <c r="E562" s="1265"/>
      <c r="F562" s="1265"/>
      <c r="G562" s="1265"/>
      <c r="H562" s="1265"/>
      <c r="I562" s="1265"/>
      <c r="J562" s="1265"/>
      <c r="K562" s="1265"/>
      <c r="L562" s="1265"/>
      <c r="M562" s="1265"/>
      <c r="N562" s="1265"/>
      <c r="O562" s="1265"/>
      <c r="P562" s="1265"/>
      <c r="Q562" s="1265"/>
      <c r="R562" s="1265"/>
      <c r="S562" s="1265"/>
      <c r="T562" s="1265"/>
      <c r="U562" s="1265"/>
      <c r="V562" s="1265"/>
      <c r="W562" s="1265"/>
      <c r="X562" s="1265"/>
      <c r="Y562" s="1265"/>
      <c r="Z562" s="1265"/>
    </row>
    <row r="563" ht="27.0" customHeight="1">
      <c r="A563" s="1265"/>
      <c r="B563" s="1265"/>
      <c r="C563" s="1265"/>
      <c r="D563" s="1265"/>
      <c r="E563" s="1265"/>
      <c r="F563" s="1265"/>
      <c r="G563" s="1265"/>
      <c r="H563" s="1265"/>
      <c r="I563" s="1265"/>
      <c r="J563" s="1265"/>
      <c r="K563" s="1265"/>
      <c r="L563" s="1265"/>
      <c r="M563" s="1265"/>
      <c r="N563" s="1265"/>
      <c r="O563" s="1265"/>
      <c r="P563" s="1265"/>
      <c r="Q563" s="1265"/>
      <c r="R563" s="1265"/>
      <c r="S563" s="1265"/>
      <c r="T563" s="1265"/>
      <c r="U563" s="1265"/>
      <c r="V563" s="1265"/>
      <c r="W563" s="1265"/>
      <c r="X563" s="1265"/>
      <c r="Y563" s="1265"/>
      <c r="Z563" s="1265"/>
    </row>
    <row r="564" ht="27.0" customHeight="1">
      <c r="A564" s="1265"/>
      <c r="B564" s="1265"/>
      <c r="C564" s="1265"/>
      <c r="D564" s="1265"/>
      <c r="E564" s="1265"/>
      <c r="F564" s="1265"/>
      <c r="G564" s="1265"/>
      <c r="H564" s="1265"/>
      <c r="I564" s="1265"/>
      <c r="J564" s="1265"/>
      <c r="K564" s="1265"/>
      <c r="L564" s="1265"/>
      <c r="M564" s="1265"/>
      <c r="N564" s="1265"/>
      <c r="O564" s="1265"/>
      <c r="P564" s="1265"/>
      <c r="Q564" s="1265"/>
      <c r="R564" s="1265"/>
      <c r="S564" s="1265"/>
      <c r="T564" s="1265"/>
      <c r="U564" s="1265"/>
      <c r="V564" s="1265"/>
      <c r="W564" s="1265"/>
      <c r="X564" s="1265"/>
      <c r="Y564" s="1265"/>
      <c r="Z564" s="1265"/>
    </row>
    <row r="565" ht="27.0" customHeight="1">
      <c r="A565" s="1265"/>
      <c r="B565" s="1265"/>
      <c r="C565" s="1265"/>
      <c r="D565" s="1265"/>
      <c r="E565" s="1265"/>
      <c r="F565" s="1265"/>
      <c r="G565" s="1265"/>
      <c r="H565" s="1265"/>
      <c r="I565" s="1265"/>
      <c r="J565" s="1265"/>
      <c r="K565" s="1265"/>
      <c r="L565" s="1265"/>
      <c r="M565" s="1265"/>
      <c r="N565" s="1265"/>
      <c r="O565" s="1265"/>
      <c r="P565" s="1265"/>
      <c r="Q565" s="1265"/>
      <c r="R565" s="1265"/>
      <c r="S565" s="1265"/>
      <c r="T565" s="1265"/>
      <c r="U565" s="1265"/>
      <c r="V565" s="1265"/>
      <c r="W565" s="1265"/>
      <c r="X565" s="1265"/>
      <c r="Y565" s="1265"/>
      <c r="Z565" s="1265"/>
    </row>
    <row r="566" ht="27.0" customHeight="1">
      <c r="A566" s="1265"/>
      <c r="B566" s="1265"/>
      <c r="C566" s="1265"/>
      <c r="D566" s="1265"/>
      <c r="E566" s="1265"/>
      <c r="F566" s="1265"/>
      <c r="G566" s="1265"/>
      <c r="H566" s="1265"/>
      <c r="I566" s="1265"/>
      <c r="J566" s="1265"/>
      <c r="K566" s="1265"/>
      <c r="L566" s="1265"/>
      <c r="M566" s="1265"/>
      <c r="N566" s="1265"/>
      <c r="O566" s="1265"/>
      <c r="P566" s="1265"/>
      <c r="Q566" s="1265"/>
      <c r="R566" s="1265"/>
      <c r="S566" s="1265"/>
      <c r="T566" s="1265"/>
      <c r="U566" s="1265"/>
      <c r="V566" s="1265"/>
      <c r="W566" s="1265"/>
      <c r="X566" s="1265"/>
      <c r="Y566" s="1265"/>
      <c r="Z566" s="1265"/>
    </row>
    <row r="567" ht="27.0" customHeight="1">
      <c r="A567" s="1265"/>
      <c r="B567" s="1265"/>
      <c r="C567" s="1265"/>
      <c r="D567" s="1265"/>
      <c r="E567" s="1265"/>
      <c r="F567" s="1265"/>
      <c r="G567" s="1265"/>
      <c r="H567" s="1265"/>
      <c r="I567" s="1265"/>
      <c r="J567" s="1265"/>
      <c r="K567" s="1265"/>
      <c r="L567" s="1265"/>
      <c r="M567" s="1265"/>
      <c r="N567" s="1265"/>
      <c r="O567" s="1265"/>
      <c r="P567" s="1265"/>
      <c r="Q567" s="1265"/>
      <c r="R567" s="1265"/>
      <c r="S567" s="1265"/>
      <c r="T567" s="1265"/>
      <c r="U567" s="1265"/>
      <c r="V567" s="1265"/>
      <c r="W567" s="1265"/>
      <c r="X567" s="1265"/>
      <c r="Y567" s="1265"/>
      <c r="Z567" s="1265"/>
    </row>
    <row r="568" ht="27.0" customHeight="1">
      <c r="A568" s="1265"/>
      <c r="B568" s="1265"/>
      <c r="C568" s="1265"/>
      <c r="D568" s="1265"/>
      <c r="E568" s="1265"/>
      <c r="F568" s="1265"/>
      <c r="G568" s="1265"/>
      <c r="H568" s="1265"/>
      <c r="I568" s="1265"/>
      <c r="J568" s="1265"/>
      <c r="K568" s="1265"/>
      <c r="L568" s="1265"/>
      <c r="M568" s="1265"/>
      <c r="N568" s="1265"/>
      <c r="O568" s="1265"/>
      <c r="P568" s="1265"/>
      <c r="Q568" s="1265"/>
      <c r="R568" s="1265"/>
      <c r="S568" s="1265"/>
      <c r="T568" s="1265"/>
      <c r="U568" s="1265"/>
      <c r="V568" s="1265"/>
      <c r="W568" s="1265"/>
      <c r="X568" s="1265"/>
      <c r="Y568" s="1265"/>
      <c r="Z568" s="1265"/>
    </row>
    <row r="569" ht="27.0" customHeight="1">
      <c r="A569" s="1265"/>
      <c r="B569" s="1265"/>
      <c r="C569" s="1265"/>
      <c r="D569" s="1265"/>
      <c r="E569" s="1265"/>
      <c r="F569" s="1265"/>
      <c r="G569" s="1265"/>
      <c r="H569" s="1265"/>
      <c r="I569" s="1265"/>
      <c r="J569" s="1265"/>
      <c r="K569" s="1265"/>
      <c r="L569" s="1265"/>
      <c r="M569" s="1265"/>
      <c r="N569" s="1265"/>
      <c r="O569" s="1265"/>
      <c r="P569" s="1265"/>
      <c r="Q569" s="1265"/>
      <c r="R569" s="1265"/>
      <c r="S569" s="1265"/>
      <c r="T569" s="1265"/>
      <c r="U569" s="1265"/>
      <c r="V569" s="1265"/>
      <c r="W569" s="1265"/>
      <c r="X569" s="1265"/>
      <c r="Y569" s="1265"/>
      <c r="Z569" s="1265"/>
    </row>
    <row r="570" ht="27.0" customHeight="1">
      <c r="A570" s="1265"/>
      <c r="B570" s="1265"/>
      <c r="C570" s="1265"/>
      <c r="D570" s="1265"/>
      <c r="E570" s="1265"/>
      <c r="F570" s="1265"/>
      <c r="G570" s="1265"/>
      <c r="H570" s="1265"/>
      <c r="I570" s="1265"/>
      <c r="J570" s="1265"/>
      <c r="K570" s="1265"/>
      <c r="L570" s="1265"/>
      <c r="M570" s="1265"/>
      <c r="N570" s="1265"/>
      <c r="O570" s="1265"/>
      <c r="P570" s="1265"/>
      <c r="Q570" s="1265"/>
      <c r="R570" s="1265"/>
      <c r="S570" s="1265"/>
      <c r="T570" s="1265"/>
      <c r="U570" s="1265"/>
      <c r="V570" s="1265"/>
      <c r="W570" s="1265"/>
      <c r="X570" s="1265"/>
      <c r="Y570" s="1265"/>
      <c r="Z570" s="1265"/>
    </row>
    <row r="571" ht="27.0" customHeight="1">
      <c r="A571" s="1265"/>
      <c r="B571" s="1265"/>
      <c r="C571" s="1265"/>
      <c r="D571" s="1265"/>
      <c r="E571" s="1265"/>
      <c r="F571" s="1265"/>
      <c r="G571" s="1265"/>
      <c r="H571" s="1265"/>
      <c r="I571" s="1265"/>
      <c r="J571" s="1265"/>
      <c r="K571" s="1265"/>
      <c r="L571" s="1265"/>
      <c r="M571" s="1265"/>
      <c r="N571" s="1265"/>
      <c r="O571" s="1265"/>
      <c r="P571" s="1265"/>
      <c r="Q571" s="1265"/>
      <c r="R571" s="1265"/>
      <c r="S571" s="1265"/>
      <c r="T571" s="1265"/>
      <c r="U571" s="1265"/>
      <c r="V571" s="1265"/>
      <c r="W571" s="1265"/>
      <c r="X571" s="1265"/>
      <c r="Y571" s="1265"/>
      <c r="Z571" s="1265"/>
    </row>
    <row r="572" ht="27.0" customHeight="1">
      <c r="A572" s="1265"/>
      <c r="B572" s="1265"/>
      <c r="C572" s="1265"/>
      <c r="D572" s="1265"/>
      <c r="E572" s="1265"/>
      <c r="F572" s="1265"/>
      <c r="G572" s="1265"/>
      <c r="H572" s="1265"/>
      <c r="I572" s="1265"/>
      <c r="J572" s="1265"/>
      <c r="K572" s="1265"/>
      <c r="L572" s="1265"/>
      <c r="M572" s="1265"/>
      <c r="N572" s="1265"/>
      <c r="O572" s="1265"/>
      <c r="P572" s="1265"/>
      <c r="Q572" s="1265"/>
      <c r="R572" s="1265"/>
      <c r="S572" s="1265"/>
      <c r="T572" s="1265"/>
      <c r="U572" s="1265"/>
      <c r="V572" s="1265"/>
      <c r="W572" s="1265"/>
      <c r="X572" s="1265"/>
      <c r="Y572" s="1265"/>
      <c r="Z572" s="1265"/>
    </row>
    <row r="573" ht="27.0" customHeight="1">
      <c r="A573" s="1265"/>
      <c r="B573" s="1265"/>
      <c r="C573" s="1265"/>
      <c r="D573" s="1265"/>
      <c r="E573" s="1265"/>
      <c r="F573" s="1265"/>
      <c r="G573" s="1265"/>
      <c r="H573" s="1265"/>
      <c r="I573" s="1265"/>
      <c r="J573" s="1265"/>
      <c r="K573" s="1265"/>
      <c r="L573" s="1265"/>
      <c r="M573" s="1265"/>
      <c r="N573" s="1265"/>
      <c r="O573" s="1265"/>
      <c r="P573" s="1265"/>
      <c r="Q573" s="1265"/>
      <c r="R573" s="1265"/>
      <c r="S573" s="1265"/>
      <c r="T573" s="1265"/>
      <c r="U573" s="1265"/>
      <c r="V573" s="1265"/>
      <c r="W573" s="1265"/>
      <c r="X573" s="1265"/>
      <c r="Y573" s="1265"/>
      <c r="Z573" s="1265"/>
    </row>
    <row r="574" ht="27.0" customHeight="1">
      <c r="A574" s="1265"/>
      <c r="B574" s="1265"/>
      <c r="C574" s="1265"/>
      <c r="D574" s="1265"/>
      <c r="E574" s="1265"/>
      <c r="F574" s="1265"/>
      <c r="G574" s="1265"/>
      <c r="H574" s="1265"/>
      <c r="I574" s="1265"/>
      <c r="J574" s="1265"/>
      <c r="K574" s="1265"/>
      <c r="L574" s="1265"/>
      <c r="M574" s="1265"/>
      <c r="N574" s="1265"/>
      <c r="O574" s="1265"/>
      <c r="P574" s="1265"/>
      <c r="Q574" s="1265"/>
      <c r="R574" s="1265"/>
      <c r="S574" s="1265"/>
      <c r="T574" s="1265"/>
      <c r="U574" s="1265"/>
      <c r="V574" s="1265"/>
      <c r="W574" s="1265"/>
      <c r="X574" s="1265"/>
      <c r="Y574" s="1265"/>
      <c r="Z574" s="1265"/>
    </row>
    <row r="575" ht="27.0" customHeight="1">
      <c r="A575" s="1265"/>
      <c r="B575" s="1265"/>
      <c r="C575" s="1265"/>
      <c r="D575" s="1265"/>
      <c r="E575" s="1265"/>
      <c r="F575" s="1265"/>
      <c r="G575" s="1265"/>
      <c r="H575" s="1265"/>
      <c r="I575" s="1265"/>
      <c r="J575" s="1265"/>
      <c r="K575" s="1265"/>
      <c r="L575" s="1265"/>
      <c r="M575" s="1265"/>
      <c r="N575" s="1265"/>
      <c r="O575" s="1265"/>
      <c r="P575" s="1265"/>
      <c r="Q575" s="1265"/>
      <c r="R575" s="1265"/>
      <c r="S575" s="1265"/>
      <c r="T575" s="1265"/>
      <c r="U575" s="1265"/>
      <c r="V575" s="1265"/>
      <c r="W575" s="1265"/>
      <c r="X575" s="1265"/>
      <c r="Y575" s="1265"/>
      <c r="Z575" s="1265"/>
    </row>
    <row r="576" ht="27.0" customHeight="1">
      <c r="A576" s="1265"/>
      <c r="B576" s="1265"/>
      <c r="C576" s="1265"/>
      <c r="D576" s="1265"/>
      <c r="E576" s="1265"/>
      <c r="F576" s="1265"/>
      <c r="G576" s="1265"/>
      <c r="H576" s="1265"/>
      <c r="I576" s="1265"/>
      <c r="J576" s="1265"/>
      <c r="K576" s="1265"/>
      <c r="L576" s="1265"/>
      <c r="M576" s="1265"/>
      <c r="N576" s="1265"/>
      <c r="O576" s="1265"/>
      <c r="P576" s="1265"/>
      <c r="Q576" s="1265"/>
      <c r="R576" s="1265"/>
      <c r="S576" s="1265"/>
      <c r="T576" s="1265"/>
      <c r="U576" s="1265"/>
      <c r="V576" s="1265"/>
      <c r="W576" s="1265"/>
      <c r="X576" s="1265"/>
      <c r="Y576" s="1265"/>
      <c r="Z576" s="1265"/>
    </row>
    <row r="577" ht="27.0" customHeight="1">
      <c r="A577" s="1265"/>
      <c r="B577" s="1265"/>
      <c r="C577" s="1265"/>
      <c r="D577" s="1265"/>
      <c r="E577" s="1265"/>
      <c r="F577" s="1265"/>
      <c r="G577" s="1265"/>
      <c r="H577" s="1265"/>
      <c r="I577" s="1265"/>
      <c r="J577" s="1265"/>
      <c r="K577" s="1265"/>
      <c r="L577" s="1265"/>
      <c r="M577" s="1265"/>
      <c r="N577" s="1265"/>
      <c r="O577" s="1265"/>
      <c r="P577" s="1265"/>
      <c r="Q577" s="1265"/>
      <c r="R577" s="1265"/>
      <c r="S577" s="1265"/>
      <c r="T577" s="1265"/>
      <c r="U577" s="1265"/>
      <c r="V577" s="1265"/>
      <c r="W577" s="1265"/>
      <c r="X577" s="1265"/>
      <c r="Y577" s="1265"/>
      <c r="Z577" s="1265"/>
    </row>
    <row r="578" ht="27.0" customHeight="1">
      <c r="A578" s="1265"/>
      <c r="B578" s="1265"/>
      <c r="C578" s="1265"/>
      <c r="D578" s="1265"/>
      <c r="E578" s="1265"/>
      <c r="F578" s="1265"/>
      <c r="G578" s="1265"/>
      <c r="H578" s="1265"/>
      <c r="I578" s="1265"/>
      <c r="J578" s="1265"/>
      <c r="K578" s="1265"/>
      <c r="L578" s="1265"/>
      <c r="M578" s="1265"/>
      <c r="N578" s="1265"/>
      <c r="O578" s="1265"/>
      <c r="P578" s="1265"/>
      <c r="Q578" s="1265"/>
      <c r="R578" s="1265"/>
      <c r="S578" s="1265"/>
      <c r="T578" s="1265"/>
      <c r="U578" s="1265"/>
      <c r="V578" s="1265"/>
      <c r="W578" s="1265"/>
      <c r="X578" s="1265"/>
      <c r="Y578" s="1265"/>
      <c r="Z578" s="1265"/>
    </row>
    <row r="579" ht="27.0" customHeight="1">
      <c r="A579" s="1265"/>
      <c r="B579" s="1265"/>
      <c r="C579" s="1265"/>
      <c r="D579" s="1265"/>
      <c r="E579" s="1265"/>
      <c r="F579" s="1265"/>
      <c r="G579" s="1265"/>
      <c r="H579" s="1265"/>
      <c r="I579" s="1265"/>
      <c r="J579" s="1265"/>
      <c r="K579" s="1265"/>
      <c r="L579" s="1265"/>
      <c r="M579" s="1265"/>
      <c r="N579" s="1265"/>
      <c r="O579" s="1265"/>
      <c r="P579" s="1265"/>
      <c r="Q579" s="1265"/>
      <c r="R579" s="1265"/>
      <c r="S579" s="1265"/>
      <c r="T579" s="1265"/>
      <c r="U579" s="1265"/>
      <c r="V579" s="1265"/>
      <c r="W579" s="1265"/>
      <c r="X579" s="1265"/>
      <c r="Y579" s="1265"/>
      <c r="Z579" s="1265"/>
    </row>
    <row r="580" ht="27.0" customHeight="1">
      <c r="A580" s="1265"/>
      <c r="B580" s="1265"/>
      <c r="C580" s="1265"/>
      <c r="D580" s="1265"/>
      <c r="E580" s="1265"/>
      <c r="F580" s="1265"/>
      <c r="G580" s="1265"/>
      <c r="H580" s="1265"/>
      <c r="I580" s="1265"/>
      <c r="J580" s="1265"/>
      <c r="K580" s="1265"/>
      <c r="L580" s="1265"/>
      <c r="M580" s="1265"/>
      <c r="N580" s="1265"/>
      <c r="O580" s="1265"/>
      <c r="P580" s="1265"/>
      <c r="Q580" s="1265"/>
      <c r="R580" s="1265"/>
      <c r="S580" s="1265"/>
      <c r="T580" s="1265"/>
      <c r="U580" s="1265"/>
      <c r="V580" s="1265"/>
      <c r="W580" s="1265"/>
      <c r="X580" s="1265"/>
      <c r="Y580" s="1265"/>
      <c r="Z580" s="1265"/>
    </row>
    <row r="581" ht="27.0" customHeight="1">
      <c r="A581" s="1265"/>
      <c r="B581" s="1265"/>
      <c r="C581" s="1265"/>
      <c r="D581" s="1265"/>
      <c r="E581" s="1265"/>
      <c r="F581" s="1265"/>
      <c r="G581" s="1265"/>
      <c r="H581" s="1265"/>
      <c r="I581" s="1265"/>
      <c r="J581" s="1265"/>
      <c r="K581" s="1265"/>
      <c r="L581" s="1265"/>
      <c r="M581" s="1265"/>
      <c r="N581" s="1265"/>
      <c r="O581" s="1265"/>
      <c r="P581" s="1265"/>
      <c r="Q581" s="1265"/>
      <c r="R581" s="1265"/>
      <c r="S581" s="1265"/>
      <c r="T581" s="1265"/>
      <c r="U581" s="1265"/>
      <c r="V581" s="1265"/>
      <c r="W581" s="1265"/>
      <c r="X581" s="1265"/>
      <c r="Y581" s="1265"/>
      <c r="Z581" s="1265"/>
    </row>
    <row r="582" ht="27.0" customHeight="1">
      <c r="A582" s="1265"/>
      <c r="B582" s="1265"/>
      <c r="C582" s="1265"/>
      <c r="D582" s="1265"/>
      <c r="E582" s="1265"/>
      <c r="F582" s="1265"/>
      <c r="G582" s="1265"/>
      <c r="H582" s="1265"/>
      <c r="I582" s="1265"/>
      <c r="J582" s="1265"/>
      <c r="K582" s="1265"/>
      <c r="L582" s="1265"/>
      <c r="M582" s="1265"/>
      <c r="N582" s="1265"/>
      <c r="O582" s="1265"/>
      <c r="P582" s="1265"/>
      <c r="Q582" s="1265"/>
      <c r="R582" s="1265"/>
      <c r="S582" s="1265"/>
      <c r="T582" s="1265"/>
      <c r="U582" s="1265"/>
      <c r="V582" s="1265"/>
      <c r="W582" s="1265"/>
      <c r="X582" s="1265"/>
      <c r="Y582" s="1265"/>
      <c r="Z582" s="1265"/>
    </row>
    <row r="583" ht="27.0" customHeight="1">
      <c r="A583" s="1265"/>
      <c r="B583" s="1265"/>
      <c r="C583" s="1265"/>
      <c r="D583" s="1265"/>
      <c r="E583" s="1265"/>
      <c r="F583" s="1265"/>
      <c r="G583" s="1265"/>
      <c r="H583" s="1265"/>
      <c r="I583" s="1265"/>
      <c r="J583" s="1265"/>
      <c r="K583" s="1265"/>
      <c r="L583" s="1265"/>
      <c r="M583" s="1265"/>
      <c r="N583" s="1265"/>
      <c r="O583" s="1265"/>
      <c r="P583" s="1265"/>
      <c r="Q583" s="1265"/>
      <c r="R583" s="1265"/>
      <c r="S583" s="1265"/>
      <c r="T583" s="1265"/>
      <c r="U583" s="1265"/>
      <c r="V583" s="1265"/>
      <c r="W583" s="1265"/>
      <c r="X583" s="1265"/>
      <c r="Y583" s="1265"/>
      <c r="Z583" s="1265"/>
    </row>
    <row r="584" ht="27.0" customHeight="1">
      <c r="A584" s="1265"/>
      <c r="B584" s="1265"/>
      <c r="C584" s="1265"/>
      <c r="D584" s="1265"/>
      <c r="E584" s="1265"/>
      <c r="F584" s="1265"/>
      <c r="G584" s="1265"/>
      <c r="H584" s="1265"/>
      <c r="I584" s="1265"/>
      <c r="J584" s="1265"/>
      <c r="K584" s="1265"/>
      <c r="L584" s="1265"/>
      <c r="M584" s="1265"/>
      <c r="N584" s="1265"/>
      <c r="O584" s="1265"/>
      <c r="P584" s="1265"/>
      <c r="Q584" s="1265"/>
      <c r="R584" s="1265"/>
      <c r="S584" s="1265"/>
      <c r="T584" s="1265"/>
      <c r="U584" s="1265"/>
      <c r="V584" s="1265"/>
      <c r="W584" s="1265"/>
      <c r="X584" s="1265"/>
      <c r="Y584" s="1265"/>
      <c r="Z584" s="1265"/>
    </row>
    <row r="585" ht="27.0" customHeight="1">
      <c r="A585" s="1265"/>
      <c r="B585" s="1265"/>
      <c r="C585" s="1265"/>
      <c r="D585" s="1265"/>
      <c r="E585" s="1265"/>
      <c r="F585" s="1265"/>
      <c r="G585" s="1265"/>
      <c r="H585" s="1265"/>
      <c r="I585" s="1265"/>
      <c r="J585" s="1265"/>
      <c r="K585" s="1265"/>
      <c r="L585" s="1265"/>
      <c r="M585" s="1265"/>
      <c r="N585" s="1265"/>
      <c r="O585" s="1265"/>
      <c r="P585" s="1265"/>
      <c r="Q585" s="1265"/>
      <c r="R585" s="1265"/>
      <c r="S585" s="1265"/>
      <c r="T585" s="1265"/>
      <c r="U585" s="1265"/>
      <c r="V585" s="1265"/>
      <c r="W585" s="1265"/>
      <c r="X585" s="1265"/>
      <c r="Y585" s="1265"/>
      <c r="Z585" s="1265"/>
    </row>
    <row r="586" ht="27.0" customHeight="1">
      <c r="A586" s="1265"/>
      <c r="B586" s="1265"/>
      <c r="C586" s="1265"/>
      <c r="D586" s="1265"/>
      <c r="E586" s="1265"/>
      <c r="F586" s="1265"/>
      <c r="G586" s="1265"/>
      <c r="H586" s="1265"/>
      <c r="I586" s="1265"/>
      <c r="J586" s="1265"/>
      <c r="K586" s="1265"/>
      <c r="L586" s="1265"/>
      <c r="M586" s="1265"/>
      <c r="N586" s="1265"/>
      <c r="O586" s="1265"/>
      <c r="P586" s="1265"/>
      <c r="Q586" s="1265"/>
      <c r="R586" s="1265"/>
      <c r="S586" s="1265"/>
      <c r="T586" s="1265"/>
      <c r="U586" s="1265"/>
      <c r="V586" s="1265"/>
      <c r="W586" s="1265"/>
      <c r="X586" s="1265"/>
      <c r="Y586" s="1265"/>
      <c r="Z586" s="1265"/>
    </row>
    <row r="587" ht="27.0" customHeight="1">
      <c r="A587" s="1265"/>
      <c r="B587" s="1265"/>
      <c r="C587" s="1265"/>
      <c r="D587" s="1265"/>
      <c r="E587" s="1265"/>
      <c r="F587" s="1265"/>
      <c r="G587" s="1265"/>
      <c r="H587" s="1265"/>
      <c r="I587" s="1265"/>
      <c r="J587" s="1265"/>
      <c r="K587" s="1265"/>
      <c r="L587" s="1265"/>
      <c r="M587" s="1265"/>
      <c r="N587" s="1265"/>
      <c r="O587" s="1265"/>
      <c r="P587" s="1265"/>
      <c r="Q587" s="1265"/>
      <c r="R587" s="1265"/>
      <c r="S587" s="1265"/>
      <c r="T587" s="1265"/>
      <c r="U587" s="1265"/>
      <c r="V587" s="1265"/>
      <c r="W587" s="1265"/>
      <c r="X587" s="1265"/>
      <c r="Y587" s="1265"/>
      <c r="Z587" s="1265"/>
    </row>
    <row r="588" ht="27.0" customHeight="1">
      <c r="A588" s="1265"/>
      <c r="B588" s="1265"/>
      <c r="C588" s="1265"/>
      <c r="D588" s="1265"/>
      <c r="E588" s="1265"/>
      <c r="F588" s="1265"/>
      <c r="G588" s="1265"/>
      <c r="H588" s="1265"/>
      <c r="I588" s="1265"/>
      <c r="J588" s="1265"/>
      <c r="K588" s="1265"/>
      <c r="L588" s="1265"/>
      <c r="M588" s="1265"/>
      <c r="N588" s="1265"/>
      <c r="O588" s="1265"/>
      <c r="P588" s="1265"/>
      <c r="Q588" s="1265"/>
      <c r="R588" s="1265"/>
      <c r="S588" s="1265"/>
      <c r="T588" s="1265"/>
      <c r="U588" s="1265"/>
      <c r="V588" s="1265"/>
      <c r="W588" s="1265"/>
      <c r="X588" s="1265"/>
      <c r="Y588" s="1265"/>
      <c r="Z588" s="1265"/>
    </row>
    <row r="589" ht="27.0" customHeight="1">
      <c r="A589" s="1265"/>
      <c r="B589" s="1265"/>
      <c r="C589" s="1265"/>
      <c r="D589" s="1265"/>
      <c r="E589" s="1265"/>
      <c r="F589" s="1265"/>
      <c r="G589" s="1265"/>
      <c r="H589" s="1265"/>
      <c r="I589" s="1265"/>
      <c r="J589" s="1265"/>
      <c r="K589" s="1265"/>
      <c r="L589" s="1265"/>
      <c r="M589" s="1265"/>
      <c r="N589" s="1265"/>
      <c r="O589" s="1265"/>
      <c r="P589" s="1265"/>
      <c r="Q589" s="1265"/>
      <c r="R589" s="1265"/>
      <c r="S589" s="1265"/>
      <c r="T589" s="1265"/>
      <c r="U589" s="1265"/>
      <c r="V589" s="1265"/>
      <c r="W589" s="1265"/>
      <c r="X589" s="1265"/>
      <c r="Y589" s="1265"/>
      <c r="Z589" s="1265"/>
    </row>
    <row r="590" ht="27.0" customHeight="1">
      <c r="A590" s="1265"/>
      <c r="B590" s="1265"/>
      <c r="C590" s="1265"/>
      <c r="D590" s="1265"/>
      <c r="E590" s="1265"/>
      <c r="F590" s="1265"/>
      <c r="G590" s="1265"/>
      <c r="H590" s="1265"/>
      <c r="I590" s="1265"/>
      <c r="J590" s="1265"/>
      <c r="K590" s="1265"/>
      <c r="L590" s="1265"/>
      <c r="M590" s="1265"/>
      <c r="N590" s="1265"/>
      <c r="O590" s="1265"/>
      <c r="P590" s="1265"/>
      <c r="Q590" s="1265"/>
      <c r="R590" s="1265"/>
      <c r="S590" s="1265"/>
      <c r="T590" s="1265"/>
      <c r="U590" s="1265"/>
      <c r="V590" s="1265"/>
      <c r="W590" s="1265"/>
      <c r="X590" s="1265"/>
      <c r="Y590" s="1265"/>
      <c r="Z590" s="1265"/>
    </row>
    <row r="591" ht="27.0" customHeight="1">
      <c r="A591" s="1265"/>
      <c r="B591" s="1265"/>
      <c r="C591" s="1265"/>
      <c r="D591" s="1265"/>
      <c r="E591" s="1265"/>
      <c r="F591" s="1265"/>
      <c r="G591" s="1265"/>
      <c r="H591" s="1265"/>
      <c r="I591" s="1265"/>
      <c r="J591" s="1265"/>
      <c r="K591" s="1265"/>
      <c r="L591" s="1265"/>
      <c r="M591" s="1265"/>
      <c r="N591" s="1265"/>
      <c r="O591" s="1265"/>
      <c r="P591" s="1265"/>
      <c r="Q591" s="1265"/>
      <c r="R591" s="1265"/>
      <c r="S591" s="1265"/>
      <c r="T591" s="1265"/>
      <c r="U591" s="1265"/>
      <c r="V591" s="1265"/>
      <c r="W591" s="1265"/>
      <c r="X591" s="1265"/>
      <c r="Y591" s="1265"/>
      <c r="Z591" s="1265"/>
    </row>
    <row r="592" ht="27.0" customHeight="1">
      <c r="A592" s="1265"/>
      <c r="B592" s="1265"/>
      <c r="C592" s="1265"/>
      <c r="D592" s="1265"/>
      <c r="E592" s="1265"/>
      <c r="F592" s="1265"/>
      <c r="G592" s="1265"/>
      <c r="H592" s="1265"/>
      <c r="I592" s="1265"/>
      <c r="J592" s="1265"/>
      <c r="K592" s="1265"/>
      <c r="L592" s="1265"/>
      <c r="M592" s="1265"/>
      <c r="N592" s="1265"/>
      <c r="O592" s="1265"/>
      <c r="P592" s="1265"/>
      <c r="Q592" s="1265"/>
      <c r="R592" s="1265"/>
      <c r="S592" s="1265"/>
      <c r="T592" s="1265"/>
      <c r="U592" s="1265"/>
      <c r="V592" s="1265"/>
      <c r="W592" s="1265"/>
      <c r="X592" s="1265"/>
      <c r="Y592" s="1265"/>
      <c r="Z592" s="1265"/>
    </row>
    <row r="593" ht="27.0" customHeight="1">
      <c r="A593" s="1265"/>
      <c r="B593" s="1265"/>
      <c r="C593" s="1265"/>
      <c r="D593" s="1265"/>
      <c r="E593" s="1265"/>
      <c r="F593" s="1265"/>
      <c r="G593" s="1265"/>
      <c r="H593" s="1265"/>
      <c r="I593" s="1265"/>
      <c r="J593" s="1265"/>
      <c r="K593" s="1265"/>
      <c r="L593" s="1265"/>
      <c r="M593" s="1265"/>
      <c r="N593" s="1265"/>
      <c r="O593" s="1265"/>
      <c r="P593" s="1265"/>
      <c r="Q593" s="1265"/>
      <c r="R593" s="1265"/>
      <c r="S593" s="1265"/>
      <c r="T593" s="1265"/>
      <c r="U593" s="1265"/>
      <c r="V593" s="1265"/>
      <c r="W593" s="1265"/>
      <c r="X593" s="1265"/>
      <c r="Y593" s="1265"/>
      <c r="Z593" s="1265"/>
    </row>
    <row r="594" ht="27.0" customHeight="1">
      <c r="A594" s="1265"/>
      <c r="B594" s="1265"/>
      <c r="C594" s="1265"/>
      <c r="D594" s="1265"/>
      <c r="E594" s="1265"/>
      <c r="F594" s="1265"/>
      <c r="G594" s="1265"/>
      <c r="H594" s="1265"/>
      <c r="I594" s="1265"/>
      <c r="J594" s="1265"/>
      <c r="K594" s="1265"/>
      <c r="L594" s="1265"/>
      <c r="M594" s="1265"/>
      <c r="N594" s="1265"/>
      <c r="O594" s="1265"/>
      <c r="P594" s="1265"/>
      <c r="Q594" s="1265"/>
      <c r="R594" s="1265"/>
      <c r="S594" s="1265"/>
      <c r="T594" s="1265"/>
      <c r="U594" s="1265"/>
      <c r="V594" s="1265"/>
      <c r="W594" s="1265"/>
      <c r="X594" s="1265"/>
      <c r="Y594" s="1265"/>
      <c r="Z594" s="1265"/>
    </row>
    <row r="595" ht="27.0" customHeight="1">
      <c r="A595" s="1265"/>
      <c r="B595" s="1265"/>
      <c r="C595" s="1265"/>
      <c r="D595" s="1265"/>
      <c r="E595" s="1265"/>
      <c r="F595" s="1265"/>
      <c r="G595" s="1265"/>
      <c r="H595" s="1265"/>
      <c r="I595" s="1265"/>
      <c r="J595" s="1265"/>
      <c r="K595" s="1265"/>
      <c r="L595" s="1265"/>
      <c r="M595" s="1265"/>
      <c r="N595" s="1265"/>
      <c r="O595" s="1265"/>
      <c r="P595" s="1265"/>
      <c r="Q595" s="1265"/>
      <c r="R595" s="1265"/>
      <c r="S595" s="1265"/>
      <c r="T595" s="1265"/>
      <c r="U595" s="1265"/>
      <c r="V595" s="1265"/>
      <c r="W595" s="1265"/>
      <c r="X595" s="1265"/>
      <c r="Y595" s="1265"/>
      <c r="Z595" s="1265"/>
    </row>
    <row r="596" ht="27.0" customHeight="1">
      <c r="A596" s="1265"/>
      <c r="B596" s="1265"/>
      <c r="C596" s="1265"/>
      <c r="D596" s="1265"/>
      <c r="E596" s="1265"/>
      <c r="F596" s="1265"/>
      <c r="G596" s="1265"/>
      <c r="H596" s="1265"/>
      <c r="I596" s="1265"/>
      <c r="J596" s="1265"/>
      <c r="K596" s="1265"/>
      <c r="L596" s="1265"/>
      <c r="M596" s="1265"/>
      <c r="N596" s="1265"/>
      <c r="O596" s="1265"/>
      <c r="P596" s="1265"/>
      <c r="Q596" s="1265"/>
      <c r="R596" s="1265"/>
      <c r="S596" s="1265"/>
      <c r="T596" s="1265"/>
      <c r="U596" s="1265"/>
      <c r="V596" s="1265"/>
      <c r="W596" s="1265"/>
      <c r="X596" s="1265"/>
      <c r="Y596" s="1265"/>
      <c r="Z596" s="1265"/>
    </row>
    <row r="597" ht="27.0" customHeight="1">
      <c r="A597" s="1265"/>
      <c r="B597" s="1265"/>
      <c r="C597" s="1265"/>
      <c r="D597" s="1265"/>
      <c r="E597" s="1265"/>
      <c r="F597" s="1265"/>
      <c r="G597" s="1265"/>
      <c r="H597" s="1265"/>
      <c r="I597" s="1265"/>
      <c r="J597" s="1265"/>
      <c r="K597" s="1265"/>
      <c r="L597" s="1265"/>
      <c r="M597" s="1265"/>
      <c r="N597" s="1265"/>
      <c r="O597" s="1265"/>
      <c r="P597" s="1265"/>
      <c r="Q597" s="1265"/>
      <c r="R597" s="1265"/>
      <c r="S597" s="1265"/>
      <c r="T597" s="1265"/>
      <c r="U597" s="1265"/>
      <c r="V597" s="1265"/>
      <c r="W597" s="1265"/>
      <c r="X597" s="1265"/>
      <c r="Y597" s="1265"/>
      <c r="Z597" s="1265"/>
    </row>
    <row r="598" ht="27.0" customHeight="1">
      <c r="A598" s="1265"/>
      <c r="B598" s="1265"/>
      <c r="C598" s="1265"/>
      <c r="D598" s="1265"/>
      <c r="E598" s="1265"/>
      <c r="F598" s="1265"/>
      <c r="G598" s="1265"/>
      <c r="H598" s="1265"/>
      <c r="I598" s="1265"/>
      <c r="J598" s="1265"/>
      <c r="K598" s="1265"/>
      <c r="L598" s="1265"/>
      <c r="M598" s="1265"/>
      <c r="N598" s="1265"/>
      <c r="O598" s="1265"/>
      <c r="P598" s="1265"/>
      <c r="Q598" s="1265"/>
      <c r="R598" s="1265"/>
      <c r="S598" s="1265"/>
      <c r="T598" s="1265"/>
      <c r="U598" s="1265"/>
      <c r="V598" s="1265"/>
      <c r="W598" s="1265"/>
      <c r="X598" s="1265"/>
      <c r="Y598" s="1265"/>
      <c r="Z598" s="1265"/>
    </row>
    <row r="599" ht="27.0" customHeight="1">
      <c r="A599" s="1265"/>
      <c r="B599" s="1265"/>
      <c r="C599" s="1265"/>
      <c r="D599" s="1265"/>
      <c r="E599" s="1265"/>
      <c r="F599" s="1265"/>
      <c r="G599" s="1265"/>
      <c r="H599" s="1265"/>
      <c r="I599" s="1265"/>
      <c r="J599" s="1265"/>
      <c r="K599" s="1265"/>
      <c r="L599" s="1265"/>
      <c r="M599" s="1265"/>
      <c r="N599" s="1265"/>
      <c r="O599" s="1265"/>
      <c r="P599" s="1265"/>
      <c r="Q599" s="1265"/>
      <c r="R599" s="1265"/>
      <c r="S599" s="1265"/>
      <c r="T599" s="1265"/>
      <c r="U599" s="1265"/>
      <c r="V599" s="1265"/>
      <c r="W599" s="1265"/>
      <c r="X599" s="1265"/>
      <c r="Y599" s="1265"/>
      <c r="Z599" s="1265"/>
    </row>
    <row r="600" ht="27.0" customHeight="1">
      <c r="A600" s="1265"/>
      <c r="B600" s="1265"/>
      <c r="C600" s="1265"/>
      <c r="D600" s="1265"/>
      <c r="E600" s="1265"/>
      <c r="F600" s="1265"/>
      <c r="G600" s="1265"/>
      <c r="H600" s="1265"/>
      <c r="I600" s="1265"/>
      <c r="J600" s="1265"/>
      <c r="K600" s="1265"/>
      <c r="L600" s="1265"/>
      <c r="M600" s="1265"/>
      <c r="N600" s="1265"/>
      <c r="O600" s="1265"/>
      <c r="P600" s="1265"/>
      <c r="Q600" s="1265"/>
      <c r="R600" s="1265"/>
      <c r="S600" s="1265"/>
      <c r="T600" s="1265"/>
      <c r="U600" s="1265"/>
      <c r="V600" s="1265"/>
      <c r="W600" s="1265"/>
      <c r="X600" s="1265"/>
      <c r="Y600" s="1265"/>
      <c r="Z600" s="1265"/>
    </row>
    <row r="601" ht="27.0" customHeight="1">
      <c r="A601" s="1265"/>
      <c r="B601" s="1265"/>
      <c r="C601" s="1265"/>
      <c r="D601" s="1265"/>
      <c r="E601" s="1265"/>
      <c r="F601" s="1265"/>
      <c r="G601" s="1265"/>
      <c r="H601" s="1265"/>
      <c r="I601" s="1265"/>
      <c r="J601" s="1265"/>
      <c r="K601" s="1265"/>
      <c r="L601" s="1265"/>
      <c r="M601" s="1265"/>
      <c r="N601" s="1265"/>
      <c r="O601" s="1265"/>
      <c r="P601" s="1265"/>
      <c r="Q601" s="1265"/>
      <c r="R601" s="1265"/>
      <c r="S601" s="1265"/>
      <c r="T601" s="1265"/>
      <c r="U601" s="1265"/>
      <c r="V601" s="1265"/>
      <c r="W601" s="1265"/>
      <c r="X601" s="1265"/>
      <c r="Y601" s="1265"/>
      <c r="Z601" s="1265"/>
    </row>
    <row r="602" ht="27.0" customHeight="1">
      <c r="A602" s="1265"/>
      <c r="B602" s="1265"/>
      <c r="C602" s="1265"/>
      <c r="D602" s="1265"/>
      <c r="E602" s="1265"/>
      <c r="F602" s="1265"/>
      <c r="G602" s="1265"/>
      <c r="H602" s="1265"/>
      <c r="I602" s="1265"/>
      <c r="J602" s="1265"/>
      <c r="K602" s="1265"/>
      <c r="L602" s="1265"/>
      <c r="M602" s="1265"/>
      <c r="N602" s="1265"/>
      <c r="O602" s="1265"/>
      <c r="P602" s="1265"/>
      <c r="Q602" s="1265"/>
      <c r="R602" s="1265"/>
      <c r="S602" s="1265"/>
      <c r="T602" s="1265"/>
      <c r="U602" s="1265"/>
      <c r="V602" s="1265"/>
      <c r="W602" s="1265"/>
      <c r="X602" s="1265"/>
      <c r="Y602" s="1265"/>
      <c r="Z602" s="1265"/>
    </row>
    <row r="603" ht="27.0" customHeight="1">
      <c r="A603" s="1265"/>
      <c r="B603" s="1265"/>
      <c r="C603" s="1265"/>
      <c r="D603" s="1265"/>
      <c r="E603" s="1265"/>
      <c r="F603" s="1265"/>
      <c r="G603" s="1265"/>
      <c r="H603" s="1265"/>
      <c r="I603" s="1265"/>
      <c r="J603" s="1265"/>
      <c r="K603" s="1265"/>
      <c r="L603" s="1265"/>
      <c r="M603" s="1265"/>
      <c r="N603" s="1265"/>
      <c r="O603" s="1265"/>
      <c r="P603" s="1265"/>
      <c r="Q603" s="1265"/>
      <c r="R603" s="1265"/>
      <c r="S603" s="1265"/>
      <c r="T603" s="1265"/>
      <c r="U603" s="1265"/>
      <c r="V603" s="1265"/>
      <c r="W603" s="1265"/>
      <c r="X603" s="1265"/>
      <c r="Y603" s="1265"/>
      <c r="Z603" s="1265"/>
    </row>
    <row r="604" ht="27.0" customHeight="1">
      <c r="A604" s="1265"/>
      <c r="B604" s="1265"/>
      <c r="C604" s="1265"/>
      <c r="D604" s="1265"/>
      <c r="E604" s="1265"/>
      <c r="F604" s="1265"/>
      <c r="G604" s="1265"/>
      <c r="H604" s="1265"/>
      <c r="I604" s="1265"/>
      <c r="J604" s="1265"/>
      <c r="K604" s="1265"/>
      <c r="L604" s="1265"/>
      <c r="M604" s="1265"/>
      <c r="N604" s="1265"/>
      <c r="O604" s="1265"/>
      <c r="P604" s="1265"/>
      <c r="Q604" s="1265"/>
      <c r="R604" s="1265"/>
      <c r="S604" s="1265"/>
      <c r="T604" s="1265"/>
      <c r="U604" s="1265"/>
      <c r="V604" s="1265"/>
      <c r="W604" s="1265"/>
      <c r="X604" s="1265"/>
      <c r="Y604" s="1265"/>
      <c r="Z604" s="1265"/>
    </row>
    <row r="605" ht="27.0" customHeight="1">
      <c r="A605" s="1265"/>
      <c r="B605" s="1265"/>
      <c r="C605" s="1265"/>
      <c r="D605" s="1265"/>
      <c r="E605" s="1265"/>
      <c r="F605" s="1265"/>
      <c r="G605" s="1265"/>
      <c r="H605" s="1265"/>
      <c r="I605" s="1265"/>
      <c r="J605" s="1265"/>
      <c r="K605" s="1265"/>
      <c r="L605" s="1265"/>
      <c r="M605" s="1265"/>
      <c r="N605" s="1265"/>
      <c r="O605" s="1265"/>
      <c r="P605" s="1265"/>
      <c r="Q605" s="1265"/>
      <c r="R605" s="1265"/>
      <c r="S605" s="1265"/>
      <c r="T605" s="1265"/>
      <c r="U605" s="1265"/>
      <c r="V605" s="1265"/>
      <c r="W605" s="1265"/>
      <c r="X605" s="1265"/>
      <c r="Y605" s="1265"/>
      <c r="Z605" s="1265"/>
    </row>
    <row r="606" ht="27.0" customHeight="1">
      <c r="A606" s="1265"/>
      <c r="B606" s="1265"/>
      <c r="C606" s="1265"/>
      <c r="D606" s="1265"/>
      <c r="E606" s="1265"/>
      <c r="F606" s="1265"/>
      <c r="G606" s="1265"/>
      <c r="H606" s="1265"/>
      <c r="I606" s="1265"/>
      <c r="J606" s="1265"/>
      <c r="K606" s="1265"/>
      <c r="L606" s="1265"/>
      <c r="M606" s="1265"/>
      <c r="N606" s="1265"/>
      <c r="O606" s="1265"/>
      <c r="P606" s="1265"/>
      <c r="Q606" s="1265"/>
      <c r="R606" s="1265"/>
      <c r="S606" s="1265"/>
      <c r="T606" s="1265"/>
      <c r="U606" s="1265"/>
      <c r="V606" s="1265"/>
      <c r="W606" s="1265"/>
      <c r="X606" s="1265"/>
      <c r="Y606" s="1265"/>
      <c r="Z606" s="1265"/>
    </row>
    <row r="607" ht="27.0" customHeight="1">
      <c r="A607" s="1265"/>
      <c r="B607" s="1265"/>
      <c r="C607" s="1265"/>
      <c r="D607" s="1265"/>
      <c r="E607" s="1265"/>
      <c r="F607" s="1265"/>
      <c r="G607" s="1265"/>
      <c r="H607" s="1265"/>
      <c r="I607" s="1265"/>
      <c r="J607" s="1265"/>
      <c r="K607" s="1265"/>
      <c r="L607" s="1265"/>
      <c r="M607" s="1265"/>
      <c r="N607" s="1265"/>
      <c r="O607" s="1265"/>
      <c r="P607" s="1265"/>
      <c r="Q607" s="1265"/>
      <c r="R607" s="1265"/>
      <c r="S607" s="1265"/>
      <c r="T607" s="1265"/>
      <c r="U607" s="1265"/>
      <c r="V607" s="1265"/>
      <c r="W607" s="1265"/>
      <c r="X607" s="1265"/>
      <c r="Y607" s="1265"/>
      <c r="Z607" s="1265"/>
    </row>
    <row r="608" ht="27.0" customHeight="1">
      <c r="A608" s="1265"/>
      <c r="B608" s="1265"/>
      <c r="C608" s="1265"/>
      <c r="D608" s="1265"/>
      <c r="E608" s="1265"/>
      <c r="F608" s="1265"/>
      <c r="G608" s="1265"/>
      <c r="H608" s="1265"/>
      <c r="I608" s="1265"/>
      <c r="J608" s="1265"/>
      <c r="K608" s="1265"/>
      <c r="L608" s="1265"/>
      <c r="M608" s="1265"/>
      <c r="N608" s="1265"/>
      <c r="O608" s="1265"/>
      <c r="P608" s="1265"/>
      <c r="Q608" s="1265"/>
      <c r="R608" s="1265"/>
      <c r="S608" s="1265"/>
      <c r="T608" s="1265"/>
      <c r="U608" s="1265"/>
      <c r="V608" s="1265"/>
      <c r="W608" s="1265"/>
      <c r="X608" s="1265"/>
      <c r="Y608" s="1265"/>
      <c r="Z608" s="1265"/>
    </row>
    <row r="609" ht="27.0" customHeight="1">
      <c r="A609" s="1265"/>
      <c r="B609" s="1265"/>
      <c r="C609" s="1265"/>
      <c r="D609" s="1265"/>
      <c r="E609" s="1265"/>
      <c r="F609" s="1265"/>
      <c r="G609" s="1265"/>
      <c r="H609" s="1265"/>
      <c r="I609" s="1265"/>
      <c r="J609" s="1265"/>
      <c r="K609" s="1265"/>
      <c r="L609" s="1265"/>
      <c r="M609" s="1265"/>
      <c r="N609" s="1265"/>
      <c r="O609" s="1265"/>
      <c r="P609" s="1265"/>
      <c r="Q609" s="1265"/>
      <c r="R609" s="1265"/>
      <c r="S609" s="1265"/>
      <c r="T609" s="1265"/>
      <c r="U609" s="1265"/>
      <c r="V609" s="1265"/>
      <c r="W609" s="1265"/>
      <c r="X609" s="1265"/>
      <c r="Y609" s="1265"/>
      <c r="Z609" s="1265"/>
    </row>
    <row r="610" ht="27.0" customHeight="1">
      <c r="A610" s="1265"/>
      <c r="B610" s="1265"/>
      <c r="C610" s="1265"/>
      <c r="D610" s="1265"/>
      <c r="E610" s="1265"/>
      <c r="F610" s="1265"/>
      <c r="G610" s="1265"/>
      <c r="H610" s="1265"/>
      <c r="I610" s="1265"/>
      <c r="J610" s="1265"/>
      <c r="K610" s="1265"/>
      <c r="L610" s="1265"/>
      <c r="M610" s="1265"/>
      <c r="N610" s="1265"/>
      <c r="O610" s="1265"/>
      <c r="P610" s="1265"/>
      <c r="Q610" s="1265"/>
      <c r="R610" s="1265"/>
      <c r="S610" s="1265"/>
      <c r="T610" s="1265"/>
      <c r="U610" s="1265"/>
      <c r="V610" s="1265"/>
      <c r="W610" s="1265"/>
      <c r="X610" s="1265"/>
      <c r="Y610" s="1265"/>
      <c r="Z610" s="1265"/>
    </row>
    <row r="611" ht="27.0" customHeight="1">
      <c r="A611" s="1265"/>
      <c r="B611" s="1265"/>
      <c r="C611" s="1265"/>
      <c r="D611" s="1265"/>
      <c r="E611" s="1265"/>
      <c r="F611" s="1265"/>
      <c r="G611" s="1265"/>
      <c r="H611" s="1265"/>
      <c r="I611" s="1265"/>
      <c r="J611" s="1265"/>
      <c r="K611" s="1265"/>
      <c r="L611" s="1265"/>
      <c r="M611" s="1265"/>
      <c r="N611" s="1265"/>
      <c r="O611" s="1265"/>
      <c r="P611" s="1265"/>
      <c r="Q611" s="1265"/>
      <c r="R611" s="1265"/>
      <c r="S611" s="1265"/>
      <c r="T611" s="1265"/>
      <c r="U611" s="1265"/>
      <c r="V611" s="1265"/>
      <c r="W611" s="1265"/>
      <c r="X611" s="1265"/>
      <c r="Y611" s="1265"/>
      <c r="Z611" s="1265"/>
    </row>
    <row r="612" ht="27.0" customHeight="1">
      <c r="A612" s="1265"/>
      <c r="B612" s="1265"/>
      <c r="C612" s="1265"/>
      <c r="D612" s="1265"/>
      <c r="E612" s="1265"/>
      <c r="F612" s="1265"/>
      <c r="G612" s="1265"/>
      <c r="H612" s="1265"/>
      <c r="I612" s="1265"/>
      <c r="J612" s="1265"/>
      <c r="K612" s="1265"/>
      <c r="L612" s="1265"/>
      <c r="M612" s="1265"/>
      <c r="N612" s="1265"/>
      <c r="O612" s="1265"/>
      <c r="P612" s="1265"/>
      <c r="Q612" s="1265"/>
      <c r="R612" s="1265"/>
      <c r="S612" s="1265"/>
      <c r="T612" s="1265"/>
      <c r="U612" s="1265"/>
      <c r="V612" s="1265"/>
      <c r="W612" s="1265"/>
      <c r="X612" s="1265"/>
      <c r="Y612" s="1265"/>
      <c r="Z612" s="1265"/>
    </row>
    <row r="613" ht="27.0" customHeight="1">
      <c r="A613" s="1265"/>
      <c r="B613" s="1265"/>
      <c r="C613" s="1265"/>
      <c r="D613" s="1265"/>
      <c r="E613" s="1265"/>
      <c r="F613" s="1265"/>
      <c r="G613" s="1265"/>
      <c r="H613" s="1265"/>
      <c r="I613" s="1265"/>
      <c r="J613" s="1265"/>
      <c r="K613" s="1265"/>
      <c r="L613" s="1265"/>
      <c r="M613" s="1265"/>
      <c r="N613" s="1265"/>
      <c r="O613" s="1265"/>
      <c r="P613" s="1265"/>
      <c r="Q613" s="1265"/>
      <c r="R613" s="1265"/>
      <c r="S613" s="1265"/>
      <c r="T613" s="1265"/>
      <c r="U613" s="1265"/>
      <c r="V613" s="1265"/>
      <c r="W613" s="1265"/>
      <c r="X613" s="1265"/>
      <c r="Y613" s="1265"/>
      <c r="Z613" s="1265"/>
    </row>
    <row r="614" ht="27.0" customHeight="1">
      <c r="A614" s="1265"/>
      <c r="B614" s="1265"/>
      <c r="C614" s="1265"/>
      <c r="D614" s="1265"/>
      <c r="E614" s="1265"/>
      <c r="F614" s="1265"/>
      <c r="G614" s="1265"/>
      <c r="H614" s="1265"/>
      <c r="I614" s="1265"/>
      <c r="J614" s="1265"/>
      <c r="K614" s="1265"/>
      <c r="L614" s="1265"/>
      <c r="M614" s="1265"/>
      <c r="N614" s="1265"/>
      <c r="O614" s="1265"/>
      <c r="P614" s="1265"/>
      <c r="Q614" s="1265"/>
      <c r="R614" s="1265"/>
      <c r="S614" s="1265"/>
      <c r="T614" s="1265"/>
      <c r="U614" s="1265"/>
      <c r="V614" s="1265"/>
      <c r="W614" s="1265"/>
      <c r="X614" s="1265"/>
      <c r="Y614" s="1265"/>
      <c r="Z614" s="1265"/>
    </row>
    <row r="615" ht="27.0" customHeight="1">
      <c r="A615" s="1265"/>
      <c r="B615" s="1265"/>
      <c r="C615" s="1265"/>
      <c r="D615" s="1265"/>
      <c r="E615" s="1265"/>
      <c r="F615" s="1265"/>
      <c r="G615" s="1265"/>
      <c r="H615" s="1265"/>
      <c r="I615" s="1265"/>
      <c r="J615" s="1265"/>
      <c r="K615" s="1265"/>
      <c r="L615" s="1265"/>
      <c r="M615" s="1265"/>
      <c r="N615" s="1265"/>
      <c r="O615" s="1265"/>
      <c r="P615" s="1265"/>
      <c r="Q615" s="1265"/>
      <c r="R615" s="1265"/>
      <c r="S615" s="1265"/>
      <c r="T615" s="1265"/>
      <c r="U615" s="1265"/>
      <c r="V615" s="1265"/>
      <c r="W615" s="1265"/>
      <c r="X615" s="1265"/>
      <c r="Y615" s="1265"/>
      <c r="Z615" s="1265"/>
    </row>
    <row r="616" ht="27.0" customHeight="1">
      <c r="A616" s="1265"/>
      <c r="B616" s="1265"/>
      <c r="C616" s="1265"/>
      <c r="D616" s="1265"/>
      <c r="E616" s="1265"/>
      <c r="F616" s="1265"/>
      <c r="G616" s="1265"/>
      <c r="H616" s="1265"/>
      <c r="I616" s="1265"/>
      <c r="J616" s="1265"/>
      <c r="K616" s="1265"/>
      <c r="L616" s="1265"/>
      <c r="M616" s="1265"/>
      <c r="N616" s="1265"/>
      <c r="O616" s="1265"/>
      <c r="P616" s="1265"/>
      <c r="Q616" s="1265"/>
      <c r="R616" s="1265"/>
      <c r="S616" s="1265"/>
      <c r="T616" s="1265"/>
      <c r="U616" s="1265"/>
      <c r="V616" s="1265"/>
      <c r="W616" s="1265"/>
      <c r="X616" s="1265"/>
      <c r="Y616" s="1265"/>
      <c r="Z616" s="1265"/>
    </row>
    <row r="617" ht="27.0" customHeight="1">
      <c r="A617" s="1265"/>
      <c r="B617" s="1265"/>
      <c r="C617" s="1265"/>
      <c r="D617" s="1265"/>
      <c r="E617" s="1265"/>
      <c r="F617" s="1265"/>
      <c r="G617" s="1265"/>
      <c r="H617" s="1265"/>
      <c r="I617" s="1265"/>
      <c r="J617" s="1265"/>
      <c r="K617" s="1265"/>
      <c r="L617" s="1265"/>
      <c r="M617" s="1265"/>
      <c r="N617" s="1265"/>
      <c r="O617" s="1265"/>
      <c r="P617" s="1265"/>
      <c r="Q617" s="1265"/>
      <c r="R617" s="1265"/>
      <c r="S617" s="1265"/>
      <c r="T617" s="1265"/>
      <c r="U617" s="1265"/>
      <c r="V617" s="1265"/>
      <c r="W617" s="1265"/>
      <c r="X617" s="1265"/>
      <c r="Y617" s="1265"/>
      <c r="Z617" s="1265"/>
    </row>
    <row r="618" ht="27.0" customHeight="1">
      <c r="A618" s="1265"/>
      <c r="B618" s="1265"/>
      <c r="C618" s="1265"/>
      <c r="D618" s="1265"/>
      <c r="E618" s="1265"/>
      <c r="F618" s="1265"/>
      <c r="G618" s="1265"/>
      <c r="H618" s="1265"/>
      <c r="I618" s="1265"/>
      <c r="J618" s="1265"/>
      <c r="K618" s="1265"/>
      <c r="L618" s="1265"/>
      <c r="M618" s="1265"/>
      <c r="N618" s="1265"/>
      <c r="O618" s="1265"/>
      <c r="P618" s="1265"/>
      <c r="Q618" s="1265"/>
      <c r="R618" s="1265"/>
      <c r="S618" s="1265"/>
      <c r="T618" s="1265"/>
      <c r="U618" s="1265"/>
      <c r="V618" s="1265"/>
      <c r="W618" s="1265"/>
      <c r="X618" s="1265"/>
      <c r="Y618" s="1265"/>
      <c r="Z618" s="1265"/>
    </row>
    <row r="619" ht="27.0" customHeight="1">
      <c r="A619" s="1265"/>
      <c r="B619" s="1265"/>
      <c r="C619" s="1265"/>
      <c r="D619" s="1265"/>
      <c r="E619" s="1265"/>
      <c r="F619" s="1265"/>
      <c r="G619" s="1265"/>
      <c r="H619" s="1265"/>
      <c r="I619" s="1265"/>
      <c r="J619" s="1265"/>
      <c r="K619" s="1265"/>
      <c r="L619" s="1265"/>
      <c r="M619" s="1265"/>
      <c r="N619" s="1265"/>
      <c r="O619" s="1265"/>
      <c r="P619" s="1265"/>
      <c r="Q619" s="1265"/>
      <c r="R619" s="1265"/>
      <c r="S619" s="1265"/>
      <c r="T619" s="1265"/>
      <c r="U619" s="1265"/>
      <c r="V619" s="1265"/>
      <c r="W619" s="1265"/>
      <c r="X619" s="1265"/>
      <c r="Y619" s="1265"/>
      <c r="Z619" s="1265"/>
    </row>
    <row r="620" ht="27.0" customHeight="1">
      <c r="A620" s="1265"/>
      <c r="B620" s="1265"/>
      <c r="C620" s="1265"/>
      <c r="D620" s="1265"/>
      <c r="E620" s="1265"/>
      <c r="F620" s="1265"/>
      <c r="G620" s="1265"/>
      <c r="H620" s="1265"/>
      <c r="I620" s="1265"/>
      <c r="J620" s="1265"/>
      <c r="K620" s="1265"/>
      <c r="L620" s="1265"/>
      <c r="M620" s="1265"/>
      <c r="N620" s="1265"/>
      <c r="O620" s="1265"/>
      <c r="P620" s="1265"/>
      <c r="Q620" s="1265"/>
      <c r="R620" s="1265"/>
      <c r="S620" s="1265"/>
      <c r="T620" s="1265"/>
      <c r="U620" s="1265"/>
      <c r="V620" s="1265"/>
      <c r="W620" s="1265"/>
      <c r="X620" s="1265"/>
      <c r="Y620" s="1265"/>
      <c r="Z620" s="1265"/>
    </row>
    <row r="621" ht="27.0" customHeight="1">
      <c r="A621" s="1265"/>
      <c r="B621" s="1265"/>
      <c r="C621" s="1265"/>
      <c r="D621" s="1265"/>
      <c r="E621" s="1265"/>
      <c r="F621" s="1265"/>
      <c r="G621" s="1265"/>
      <c r="H621" s="1265"/>
      <c r="I621" s="1265"/>
      <c r="J621" s="1265"/>
      <c r="K621" s="1265"/>
      <c r="L621" s="1265"/>
      <c r="M621" s="1265"/>
      <c r="N621" s="1265"/>
      <c r="O621" s="1265"/>
      <c r="P621" s="1265"/>
      <c r="Q621" s="1265"/>
      <c r="R621" s="1265"/>
      <c r="S621" s="1265"/>
      <c r="T621" s="1265"/>
      <c r="U621" s="1265"/>
      <c r="V621" s="1265"/>
      <c r="W621" s="1265"/>
      <c r="X621" s="1265"/>
      <c r="Y621" s="1265"/>
      <c r="Z621" s="1265"/>
    </row>
    <row r="622" ht="27.0" customHeight="1">
      <c r="A622" s="1265"/>
      <c r="B622" s="1265"/>
      <c r="C622" s="1265"/>
      <c r="D622" s="1265"/>
      <c r="E622" s="1265"/>
      <c r="F622" s="1265"/>
      <c r="G622" s="1265"/>
      <c r="H622" s="1265"/>
      <c r="I622" s="1265"/>
      <c r="J622" s="1265"/>
      <c r="K622" s="1265"/>
      <c r="L622" s="1265"/>
      <c r="M622" s="1265"/>
      <c r="N622" s="1265"/>
      <c r="O622" s="1265"/>
      <c r="P622" s="1265"/>
      <c r="Q622" s="1265"/>
      <c r="R622" s="1265"/>
      <c r="S622" s="1265"/>
      <c r="T622" s="1265"/>
      <c r="U622" s="1265"/>
      <c r="V622" s="1265"/>
      <c r="W622" s="1265"/>
      <c r="X622" s="1265"/>
      <c r="Y622" s="1265"/>
      <c r="Z622" s="1265"/>
    </row>
    <row r="623" ht="27.0" customHeight="1">
      <c r="A623" s="1265"/>
      <c r="B623" s="1265"/>
      <c r="C623" s="1265"/>
      <c r="D623" s="1265"/>
      <c r="E623" s="1265"/>
      <c r="F623" s="1265"/>
      <c r="G623" s="1265"/>
      <c r="H623" s="1265"/>
      <c r="I623" s="1265"/>
      <c r="J623" s="1265"/>
      <c r="K623" s="1265"/>
      <c r="L623" s="1265"/>
      <c r="M623" s="1265"/>
      <c r="N623" s="1265"/>
      <c r="O623" s="1265"/>
      <c r="P623" s="1265"/>
      <c r="Q623" s="1265"/>
      <c r="R623" s="1265"/>
      <c r="S623" s="1265"/>
      <c r="T623" s="1265"/>
      <c r="U623" s="1265"/>
      <c r="V623" s="1265"/>
      <c r="W623" s="1265"/>
      <c r="X623" s="1265"/>
      <c r="Y623" s="1265"/>
      <c r="Z623" s="1265"/>
    </row>
    <row r="624" ht="27.0" customHeight="1">
      <c r="A624" s="1265"/>
      <c r="B624" s="1265"/>
      <c r="C624" s="1265"/>
      <c r="D624" s="1265"/>
      <c r="E624" s="1265"/>
      <c r="F624" s="1265"/>
      <c r="G624" s="1265"/>
      <c r="H624" s="1265"/>
      <c r="I624" s="1265"/>
      <c r="J624" s="1265"/>
      <c r="K624" s="1265"/>
      <c r="L624" s="1265"/>
      <c r="M624" s="1265"/>
      <c r="N624" s="1265"/>
      <c r="O624" s="1265"/>
      <c r="P624" s="1265"/>
      <c r="Q624" s="1265"/>
      <c r="R624" s="1265"/>
      <c r="S624" s="1265"/>
      <c r="T624" s="1265"/>
      <c r="U624" s="1265"/>
      <c r="V624" s="1265"/>
      <c r="W624" s="1265"/>
      <c r="X624" s="1265"/>
      <c r="Y624" s="1265"/>
      <c r="Z624" s="1265"/>
    </row>
    <row r="625" ht="27.0" customHeight="1">
      <c r="A625" s="1265"/>
      <c r="B625" s="1265"/>
      <c r="C625" s="1265"/>
      <c r="D625" s="1265"/>
      <c r="E625" s="1265"/>
      <c r="F625" s="1265"/>
      <c r="G625" s="1265"/>
      <c r="H625" s="1265"/>
      <c r="I625" s="1265"/>
      <c r="J625" s="1265"/>
      <c r="K625" s="1265"/>
      <c r="L625" s="1265"/>
      <c r="M625" s="1265"/>
      <c r="N625" s="1265"/>
      <c r="O625" s="1265"/>
      <c r="P625" s="1265"/>
      <c r="Q625" s="1265"/>
      <c r="R625" s="1265"/>
      <c r="S625" s="1265"/>
      <c r="T625" s="1265"/>
      <c r="U625" s="1265"/>
      <c r="V625" s="1265"/>
      <c r="W625" s="1265"/>
      <c r="X625" s="1265"/>
      <c r="Y625" s="1265"/>
      <c r="Z625" s="1265"/>
    </row>
    <row r="626" ht="27.0" customHeight="1">
      <c r="A626" s="1265"/>
      <c r="B626" s="1265"/>
      <c r="C626" s="1265"/>
      <c r="D626" s="1265"/>
      <c r="E626" s="1265"/>
      <c r="F626" s="1265"/>
      <c r="G626" s="1265"/>
      <c r="H626" s="1265"/>
      <c r="I626" s="1265"/>
      <c r="J626" s="1265"/>
      <c r="K626" s="1265"/>
      <c r="L626" s="1265"/>
      <c r="M626" s="1265"/>
      <c r="N626" s="1265"/>
      <c r="O626" s="1265"/>
      <c r="P626" s="1265"/>
      <c r="Q626" s="1265"/>
      <c r="R626" s="1265"/>
      <c r="S626" s="1265"/>
      <c r="T626" s="1265"/>
      <c r="U626" s="1265"/>
      <c r="V626" s="1265"/>
      <c r="W626" s="1265"/>
      <c r="X626" s="1265"/>
      <c r="Y626" s="1265"/>
      <c r="Z626" s="1265"/>
    </row>
    <row r="627" ht="27.0" customHeight="1">
      <c r="A627" s="1265"/>
      <c r="B627" s="1265"/>
      <c r="C627" s="1265"/>
      <c r="D627" s="1265"/>
      <c r="E627" s="1265"/>
      <c r="F627" s="1265"/>
      <c r="G627" s="1265"/>
      <c r="H627" s="1265"/>
      <c r="I627" s="1265"/>
      <c r="J627" s="1265"/>
      <c r="K627" s="1265"/>
      <c r="L627" s="1265"/>
      <c r="M627" s="1265"/>
      <c r="N627" s="1265"/>
      <c r="O627" s="1265"/>
      <c r="P627" s="1265"/>
      <c r="Q627" s="1265"/>
      <c r="R627" s="1265"/>
      <c r="S627" s="1265"/>
      <c r="T627" s="1265"/>
      <c r="U627" s="1265"/>
      <c r="V627" s="1265"/>
      <c r="W627" s="1265"/>
      <c r="X627" s="1265"/>
      <c r="Y627" s="1265"/>
      <c r="Z627" s="1265"/>
    </row>
    <row r="628" ht="27.0" customHeight="1">
      <c r="A628" s="1265"/>
      <c r="B628" s="1265"/>
      <c r="C628" s="1265"/>
      <c r="D628" s="1265"/>
      <c r="E628" s="1265"/>
      <c r="F628" s="1265"/>
      <c r="G628" s="1265"/>
      <c r="H628" s="1265"/>
      <c r="I628" s="1265"/>
      <c r="J628" s="1265"/>
      <c r="K628" s="1265"/>
      <c r="L628" s="1265"/>
      <c r="M628" s="1265"/>
      <c r="N628" s="1265"/>
      <c r="O628" s="1265"/>
      <c r="P628" s="1265"/>
      <c r="Q628" s="1265"/>
      <c r="R628" s="1265"/>
      <c r="S628" s="1265"/>
      <c r="T628" s="1265"/>
      <c r="U628" s="1265"/>
      <c r="V628" s="1265"/>
      <c r="W628" s="1265"/>
      <c r="X628" s="1265"/>
      <c r="Y628" s="1265"/>
      <c r="Z628" s="1265"/>
    </row>
    <row r="629" ht="27.0" customHeight="1">
      <c r="A629" s="1265"/>
      <c r="B629" s="1265"/>
      <c r="C629" s="1265"/>
      <c r="D629" s="1265"/>
      <c r="E629" s="1265"/>
      <c r="F629" s="1265"/>
      <c r="G629" s="1265"/>
      <c r="H629" s="1265"/>
      <c r="I629" s="1265"/>
      <c r="J629" s="1265"/>
      <c r="K629" s="1265"/>
      <c r="L629" s="1265"/>
      <c r="M629" s="1265"/>
      <c r="N629" s="1265"/>
      <c r="O629" s="1265"/>
      <c r="P629" s="1265"/>
      <c r="Q629" s="1265"/>
      <c r="R629" s="1265"/>
      <c r="S629" s="1265"/>
      <c r="T629" s="1265"/>
      <c r="U629" s="1265"/>
      <c r="V629" s="1265"/>
      <c r="W629" s="1265"/>
      <c r="X629" s="1265"/>
      <c r="Y629" s="1265"/>
      <c r="Z629" s="1265"/>
    </row>
    <row r="630" ht="27.0" customHeight="1">
      <c r="A630" s="1265"/>
      <c r="B630" s="1265"/>
      <c r="C630" s="1265"/>
      <c r="D630" s="1265"/>
      <c r="E630" s="1265"/>
      <c r="F630" s="1265"/>
      <c r="G630" s="1265"/>
      <c r="H630" s="1265"/>
      <c r="I630" s="1265"/>
      <c r="J630" s="1265"/>
      <c r="K630" s="1265"/>
      <c r="L630" s="1265"/>
      <c r="M630" s="1265"/>
      <c r="N630" s="1265"/>
      <c r="O630" s="1265"/>
      <c r="P630" s="1265"/>
      <c r="Q630" s="1265"/>
      <c r="R630" s="1265"/>
      <c r="S630" s="1265"/>
      <c r="T630" s="1265"/>
      <c r="U630" s="1265"/>
      <c r="V630" s="1265"/>
      <c r="W630" s="1265"/>
      <c r="X630" s="1265"/>
      <c r="Y630" s="1265"/>
      <c r="Z630" s="1265"/>
    </row>
    <row r="631" ht="27.0" customHeight="1">
      <c r="A631" s="1265"/>
      <c r="B631" s="1265"/>
      <c r="C631" s="1265"/>
      <c r="D631" s="1265"/>
      <c r="E631" s="1265"/>
      <c r="F631" s="1265"/>
      <c r="G631" s="1265"/>
      <c r="H631" s="1265"/>
      <c r="I631" s="1265"/>
      <c r="J631" s="1265"/>
      <c r="K631" s="1265"/>
      <c r="L631" s="1265"/>
      <c r="M631" s="1265"/>
      <c r="N631" s="1265"/>
      <c r="O631" s="1265"/>
      <c r="P631" s="1265"/>
      <c r="Q631" s="1265"/>
      <c r="R631" s="1265"/>
      <c r="S631" s="1265"/>
      <c r="T631" s="1265"/>
      <c r="U631" s="1265"/>
      <c r="V631" s="1265"/>
      <c r="W631" s="1265"/>
      <c r="X631" s="1265"/>
      <c r="Y631" s="1265"/>
      <c r="Z631" s="1265"/>
    </row>
    <row r="632" ht="27.0" customHeight="1">
      <c r="A632" s="1265"/>
      <c r="B632" s="1265"/>
      <c r="C632" s="1265"/>
      <c r="D632" s="1265"/>
      <c r="E632" s="1265"/>
      <c r="F632" s="1265"/>
      <c r="G632" s="1265"/>
      <c r="H632" s="1265"/>
      <c r="I632" s="1265"/>
      <c r="J632" s="1265"/>
      <c r="K632" s="1265"/>
      <c r="L632" s="1265"/>
      <c r="M632" s="1265"/>
      <c r="N632" s="1265"/>
      <c r="O632" s="1265"/>
      <c r="P632" s="1265"/>
      <c r="Q632" s="1265"/>
      <c r="R632" s="1265"/>
      <c r="S632" s="1265"/>
      <c r="T632" s="1265"/>
      <c r="U632" s="1265"/>
      <c r="V632" s="1265"/>
      <c r="W632" s="1265"/>
      <c r="X632" s="1265"/>
      <c r="Y632" s="1265"/>
      <c r="Z632" s="1265"/>
    </row>
    <row r="633" ht="27.0" customHeight="1">
      <c r="A633" s="1265"/>
      <c r="B633" s="1265"/>
      <c r="C633" s="1265"/>
      <c r="D633" s="1265"/>
      <c r="E633" s="1265"/>
      <c r="F633" s="1265"/>
      <c r="G633" s="1265"/>
      <c r="H633" s="1265"/>
      <c r="I633" s="1265"/>
      <c r="J633" s="1265"/>
      <c r="K633" s="1265"/>
      <c r="L633" s="1265"/>
      <c r="M633" s="1265"/>
      <c r="N633" s="1265"/>
      <c r="O633" s="1265"/>
      <c r="P633" s="1265"/>
      <c r="Q633" s="1265"/>
      <c r="R633" s="1265"/>
      <c r="S633" s="1265"/>
      <c r="T633" s="1265"/>
      <c r="U633" s="1265"/>
      <c r="V633" s="1265"/>
      <c r="W633" s="1265"/>
      <c r="X633" s="1265"/>
      <c r="Y633" s="1265"/>
      <c r="Z633" s="1265"/>
    </row>
    <row r="634" ht="27.0" customHeight="1">
      <c r="A634" s="1265"/>
      <c r="B634" s="1265"/>
      <c r="C634" s="1265"/>
      <c r="D634" s="1265"/>
      <c r="E634" s="1265"/>
      <c r="F634" s="1265"/>
      <c r="G634" s="1265"/>
      <c r="H634" s="1265"/>
      <c r="I634" s="1265"/>
      <c r="J634" s="1265"/>
      <c r="K634" s="1265"/>
      <c r="L634" s="1265"/>
      <c r="M634" s="1265"/>
      <c r="N634" s="1265"/>
      <c r="O634" s="1265"/>
      <c r="P634" s="1265"/>
      <c r="Q634" s="1265"/>
      <c r="R634" s="1265"/>
      <c r="S634" s="1265"/>
      <c r="T634" s="1265"/>
      <c r="U634" s="1265"/>
      <c r="V634" s="1265"/>
      <c r="W634" s="1265"/>
      <c r="X634" s="1265"/>
      <c r="Y634" s="1265"/>
      <c r="Z634" s="1265"/>
    </row>
    <row r="635" ht="27.0" customHeight="1">
      <c r="A635" s="1265"/>
      <c r="B635" s="1265"/>
      <c r="C635" s="1265"/>
      <c r="D635" s="1265"/>
      <c r="E635" s="1265"/>
      <c r="F635" s="1265"/>
      <c r="G635" s="1265"/>
      <c r="H635" s="1265"/>
      <c r="I635" s="1265"/>
      <c r="J635" s="1265"/>
      <c r="K635" s="1265"/>
      <c r="L635" s="1265"/>
      <c r="M635" s="1265"/>
      <c r="N635" s="1265"/>
      <c r="O635" s="1265"/>
      <c r="P635" s="1265"/>
      <c r="Q635" s="1265"/>
      <c r="R635" s="1265"/>
      <c r="S635" s="1265"/>
      <c r="T635" s="1265"/>
      <c r="U635" s="1265"/>
      <c r="V635" s="1265"/>
      <c r="W635" s="1265"/>
      <c r="X635" s="1265"/>
      <c r="Y635" s="1265"/>
      <c r="Z635" s="1265"/>
    </row>
    <row r="636" ht="27.0" customHeight="1">
      <c r="A636" s="1265"/>
      <c r="B636" s="1265"/>
      <c r="C636" s="1265"/>
      <c r="D636" s="1265"/>
      <c r="E636" s="1265"/>
      <c r="F636" s="1265"/>
      <c r="G636" s="1265"/>
      <c r="H636" s="1265"/>
      <c r="I636" s="1265"/>
      <c r="J636" s="1265"/>
      <c r="K636" s="1265"/>
      <c r="L636" s="1265"/>
      <c r="M636" s="1265"/>
      <c r="N636" s="1265"/>
      <c r="O636" s="1265"/>
      <c r="P636" s="1265"/>
      <c r="Q636" s="1265"/>
      <c r="R636" s="1265"/>
      <c r="S636" s="1265"/>
      <c r="T636" s="1265"/>
      <c r="U636" s="1265"/>
      <c r="V636" s="1265"/>
      <c r="W636" s="1265"/>
      <c r="X636" s="1265"/>
      <c r="Y636" s="1265"/>
      <c r="Z636" s="1265"/>
    </row>
    <row r="637" ht="27.0" customHeight="1">
      <c r="A637" s="1265"/>
      <c r="B637" s="1265"/>
      <c r="C637" s="1265"/>
      <c r="D637" s="1265"/>
      <c r="E637" s="1265"/>
      <c r="F637" s="1265"/>
      <c r="G637" s="1265"/>
      <c r="H637" s="1265"/>
      <c r="I637" s="1265"/>
      <c r="J637" s="1265"/>
      <c r="K637" s="1265"/>
      <c r="L637" s="1265"/>
      <c r="M637" s="1265"/>
      <c r="N637" s="1265"/>
      <c r="O637" s="1265"/>
      <c r="P637" s="1265"/>
      <c r="Q637" s="1265"/>
      <c r="R637" s="1265"/>
      <c r="S637" s="1265"/>
      <c r="T637" s="1265"/>
      <c r="U637" s="1265"/>
      <c r="V637" s="1265"/>
      <c r="W637" s="1265"/>
      <c r="X637" s="1265"/>
      <c r="Y637" s="1265"/>
      <c r="Z637" s="1265"/>
    </row>
    <row r="638" ht="27.0" customHeight="1">
      <c r="A638" s="1265"/>
      <c r="B638" s="1265"/>
      <c r="C638" s="1265"/>
      <c r="D638" s="1265"/>
      <c r="E638" s="1265"/>
      <c r="F638" s="1265"/>
      <c r="G638" s="1265"/>
      <c r="H638" s="1265"/>
      <c r="I638" s="1265"/>
      <c r="J638" s="1265"/>
      <c r="K638" s="1265"/>
      <c r="L638" s="1265"/>
      <c r="M638" s="1265"/>
      <c r="N638" s="1265"/>
      <c r="O638" s="1265"/>
      <c r="P638" s="1265"/>
      <c r="Q638" s="1265"/>
      <c r="R638" s="1265"/>
      <c r="S638" s="1265"/>
      <c r="T638" s="1265"/>
      <c r="U638" s="1265"/>
      <c r="V638" s="1265"/>
      <c r="W638" s="1265"/>
      <c r="X638" s="1265"/>
      <c r="Y638" s="1265"/>
      <c r="Z638" s="1265"/>
    </row>
    <row r="639" ht="27.0" customHeight="1">
      <c r="A639" s="1265"/>
      <c r="B639" s="1265"/>
      <c r="C639" s="1265"/>
      <c r="D639" s="1265"/>
      <c r="E639" s="1265"/>
      <c r="F639" s="1265"/>
      <c r="G639" s="1265"/>
      <c r="H639" s="1265"/>
      <c r="I639" s="1265"/>
      <c r="J639" s="1265"/>
      <c r="K639" s="1265"/>
      <c r="L639" s="1265"/>
      <c r="M639" s="1265"/>
      <c r="N639" s="1265"/>
      <c r="O639" s="1265"/>
      <c r="P639" s="1265"/>
      <c r="Q639" s="1265"/>
      <c r="R639" s="1265"/>
      <c r="S639" s="1265"/>
      <c r="T639" s="1265"/>
      <c r="U639" s="1265"/>
      <c r="V639" s="1265"/>
      <c r="W639" s="1265"/>
      <c r="X639" s="1265"/>
      <c r="Y639" s="1265"/>
      <c r="Z639" s="1265"/>
    </row>
    <row r="640" ht="27.0" customHeight="1">
      <c r="A640" s="1265"/>
      <c r="B640" s="1265"/>
      <c r="C640" s="1265"/>
      <c r="D640" s="1265"/>
      <c r="E640" s="1265"/>
      <c r="F640" s="1265"/>
      <c r="G640" s="1265"/>
      <c r="H640" s="1265"/>
      <c r="I640" s="1265"/>
      <c r="J640" s="1265"/>
      <c r="K640" s="1265"/>
      <c r="L640" s="1265"/>
      <c r="M640" s="1265"/>
      <c r="N640" s="1265"/>
      <c r="O640" s="1265"/>
      <c r="P640" s="1265"/>
      <c r="Q640" s="1265"/>
      <c r="R640" s="1265"/>
      <c r="S640" s="1265"/>
      <c r="T640" s="1265"/>
      <c r="U640" s="1265"/>
      <c r="V640" s="1265"/>
      <c r="W640" s="1265"/>
      <c r="X640" s="1265"/>
      <c r="Y640" s="1265"/>
      <c r="Z640" s="1265"/>
    </row>
    <row r="641" ht="27.0" customHeight="1">
      <c r="A641" s="1265"/>
      <c r="B641" s="1265"/>
      <c r="C641" s="1265"/>
      <c r="D641" s="1265"/>
      <c r="E641" s="1265"/>
      <c r="F641" s="1265"/>
      <c r="G641" s="1265"/>
      <c r="H641" s="1265"/>
      <c r="I641" s="1265"/>
      <c r="J641" s="1265"/>
      <c r="K641" s="1265"/>
      <c r="L641" s="1265"/>
      <c r="M641" s="1265"/>
      <c r="N641" s="1265"/>
      <c r="O641" s="1265"/>
      <c r="P641" s="1265"/>
      <c r="Q641" s="1265"/>
      <c r="R641" s="1265"/>
      <c r="S641" s="1265"/>
      <c r="T641" s="1265"/>
      <c r="U641" s="1265"/>
      <c r="V641" s="1265"/>
      <c r="W641" s="1265"/>
      <c r="X641" s="1265"/>
      <c r="Y641" s="1265"/>
      <c r="Z641" s="1265"/>
    </row>
    <row r="642" ht="27.0" customHeight="1">
      <c r="A642" s="1265"/>
      <c r="B642" s="1265"/>
      <c r="C642" s="1265"/>
      <c r="D642" s="1265"/>
      <c r="E642" s="1265"/>
      <c r="F642" s="1265"/>
      <c r="G642" s="1265"/>
      <c r="H642" s="1265"/>
      <c r="I642" s="1265"/>
      <c r="J642" s="1265"/>
      <c r="K642" s="1265"/>
      <c r="L642" s="1265"/>
      <c r="M642" s="1265"/>
      <c r="N642" s="1265"/>
      <c r="O642" s="1265"/>
      <c r="P642" s="1265"/>
      <c r="Q642" s="1265"/>
      <c r="R642" s="1265"/>
      <c r="S642" s="1265"/>
      <c r="T642" s="1265"/>
      <c r="U642" s="1265"/>
      <c r="V642" s="1265"/>
      <c r="W642" s="1265"/>
      <c r="X642" s="1265"/>
      <c r="Y642" s="1265"/>
      <c r="Z642" s="1265"/>
    </row>
    <row r="643" ht="27.0" customHeight="1">
      <c r="A643" s="1265"/>
      <c r="B643" s="1265"/>
      <c r="C643" s="1265"/>
      <c r="D643" s="1265"/>
      <c r="E643" s="1265"/>
      <c r="F643" s="1265"/>
      <c r="G643" s="1265"/>
      <c r="H643" s="1265"/>
      <c r="I643" s="1265"/>
      <c r="J643" s="1265"/>
      <c r="K643" s="1265"/>
      <c r="L643" s="1265"/>
      <c r="M643" s="1265"/>
      <c r="N643" s="1265"/>
      <c r="O643" s="1265"/>
      <c r="P643" s="1265"/>
      <c r="Q643" s="1265"/>
      <c r="R643" s="1265"/>
      <c r="S643" s="1265"/>
      <c r="T643" s="1265"/>
      <c r="U643" s="1265"/>
      <c r="V643" s="1265"/>
      <c r="W643" s="1265"/>
      <c r="X643" s="1265"/>
      <c r="Y643" s="1265"/>
      <c r="Z643" s="1265"/>
    </row>
    <row r="644" ht="27.0" customHeight="1">
      <c r="A644" s="1265"/>
      <c r="B644" s="1265"/>
      <c r="C644" s="1265"/>
      <c r="D644" s="1265"/>
      <c r="E644" s="1265"/>
      <c r="F644" s="1265"/>
      <c r="G644" s="1265"/>
      <c r="H644" s="1265"/>
      <c r="I644" s="1265"/>
      <c r="J644" s="1265"/>
      <c r="K644" s="1265"/>
      <c r="L644" s="1265"/>
      <c r="M644" s="1265"/>
      <c r="N644" s="1265"/>
      <c r="O644" s="1265"/>
      <c r="P644" s="1265"/>
      <c r="Q644" s="1265"/>
      <c r="R644" s="1265"/>
      <c r="S644" s="1265"/>
      <c r="T644" s="1265"/>
      <c r="U644" s="1265"/>
      <c r="V644" s="1265"/>
      <c r="W644" s="1265"/>
      <c r="X644" s="1265"/>
      <c r="Y644" s="1265"/>
      <c r="Z644" s="1265"/>
    </row>
    <row r="645" ht="27.0" customHeight="1">
      <c r="A645" s="1265"/>
      <c r="B645" s="1265"/>
      <c r="C645" s="1265"/>
      <c r="D645" s="1265"/>
      <c r="E645" s="1265"/>
      <c r="F645" s="1265"/>
      <c r="G645" s="1265"/>
      <c r="H645" s="1265"/>
      <c r="I645" s="1265"/>
      <c r="J645" s="1265"/>
      <c r="K645" s="1265"/>
      <c r="L645" s="1265"/>
      <c r="M645" s="1265"/>
      <c r="N645" s="1265"/>
      <c r="O645" s="1265"/>
      <c r="P645" s="1265"/>
      <c r="Q645" s="1265"/>
      <c r="R645" s="1265"/>
      <c r="S645" s="1265"/>
      <c r="T645" s="1265"/>
      <c r="U645" s="1265"/>
      <c r="V645" s="1265"/>
      <c r="W645" s="1265"/>
      <c r="X645" s="1265"/>
      <c r="Y645" s="1265"/>
      <c r="Z645" s="1265"/>
    </row>
    <row r="646" ht="27.0" customHeight="1">
      <c r="A646" s="1265"/>
      <c r="B646" s="1265"/>
      <c r="C646" s="1265"/>
      <c r="D646" s="1265"/>
      <c r="E646" s="1265"/>
      <c r="F646" s="1265"/>
      <c r="G646" s="1265"/>
      <c r="H646" s="1265"/>
      <c r="I646" s="1265"/>
      <c r="J646" s="1265"/>
      <c r="K646" s="1265"/>
      <c r="L646" s="1265"/>
      <c r="M646" s="1265"/>
      <c r="N646" s="1265"/>
      <c r="O646" s="1265"/>
      <c r="P646" s="1265"/>
      <c r="Q646" s="1265"/>
      <c r="R646" s="1265"/>
      <c r="S646" s="1265"/>
      <c r="T646" s="1265"/>
      <c r="U646" s="1265"/>
      <c r="V646" s="1265"/>
      <c r="W646" s="1265"/>
      <c r="X646" s="1265"/>
      <c r="Y646" s="1265"/>
      <c r="Z646" s="1265"/>
    </row>
    <row r="647" ht="27.0" customHeight="1">
      <c r="A647" s="1265"/>
      <c r="B647" s="1265"/>
      <c r="C647" s="1265"/>
      <c r="D647" s="1265"/>
      <c r="E647" s="1265"/>
      <c r="F647" s="1265"/>
      <c r="G647" s="1265"/>
      <c r="H647" s="1265"/>
      <c r="I647" s="1265"/>
      <c r="J647" s="1265"/>
      <c r="K647" s="1265"/>
      <c r="L647" s="1265"/>
      <c r="M647" s="1265"/>
      <c r="N647" s="1265"/>
      <c r="O647" s="1265"/>
      <c r="P647" s="1265"/>
      <c r="Q647" s="1265"/>
      <c r="R647" s="1265"/>
      <c r="S647" s="1265"/>
      <c r="T647" s="1265"/>
      <c r="U647" s="1265"/>
      <c r="V647" s="1265"/>
      <c r="W647" s="1265"/>
      <c r="X647" s="1265"/>
      <c r="Y647" s="1265"/>
      <c r="Z647" s="1265"/>
    </row>
    <row r="648" ht="27.0" customHeight="1">
      <c r="A648" s="1265"/>
      <c r="B648" s="1265"/>
      <c r="C648" s="1265"/>
      <c r="D648" s="1265"/>
      <c r="E648" s="1265"/>
      <c r="F648" s="1265"/>
      <c r="G648" s="1265"/>
      <c r="H648" s="1265"/>
      <c r="I648" s="1265"/>
      <c r="J648" s="1265"/>
      <c r="K648" s="1265"/>
      <c r="L648" s="1265"/>
      <c r="M648" s="1265"/>
      <c r="N648" s="1265"/>
      <c r="O648" s="1265"/>
      <c r="P648" s="1265"/>
      <c r="Q648" s="1265"/>
      <c r="R648" s="1265"/>
      <c r="S648" s="1265"/>
      <c r="T648" s="1265"/>
      <c r="U648" s="1265"/>
      <c r="V648" s="1265"/>
      <c r="W648" s="1265"/>
      <c r="X648" s="1265"/>
      <c r="Y648" s="1265"/>
      <c r="Z648" s="1265"/>
    </row>
    <row r="649" ht="27.0" customHeight="1">
      <c r="A649" s="1265"/>
      <c r="B649" s="1265"/>
      <c r="C649" s="1265"/>
      <c r="D649" s="1265"/>
      <c r="E649" s="1265"/>
      <c r="F649" s="1265"/>
      <c r="G649" s="1265"/>
      <c r="H649" s="1265"/>
      <c r="I649" s="1265"/>
      <c r="J649" s="1265"/>
      <c r="K649" s="1265"/>
      <c r="L649" s="1265"/>
      <c r="M649" s="1265"/>
      <c r="N649" s="1265"/>
      <c r="O649" s="1265"/>
      <c r="P649" s="1265"/>
      <c r="Q649" s="1265"/>
      <c r="R649" s="1265"/>
      <c r="S649" s="1265"/>
      <c r="T649" s="1265"/>
      <c r="U649" s="1265"/>
      <c r="V649" s="1265"/>
      <c r="W649" s="1265"/>
      <c r="X649" s="1265"/>
      <c r="Y649" s="1265"/>
      <c r="Z649" s="1265"/>
    </row>
    <row r="650" ht="27.0" customHeight="1">
      <c r="A650" s="1265"/>
      <c r="B650" s="1265"/>
      <c r="C650" s="1265"/>
      <c r="D650" s="1265"/>
      <c r="E650" s="1265"/>
      <c r="F650" s="1265"/>
      <c r="G650" s="1265"/>
      <c r="H650" s="1265"/>
      <c r="I650" s="1265"/>
      <c r="J650" s="1265"/>
      <c r="K650" s="1265"/>
      <c r="L650" s="1265"/>
      <c r="M650" s="1265"/>
      <c r="N650" s="1265"/>
      <c r="O650" s="1265"/>
      <c r="P650" s="1265"/>
      <c r="Q650" s="1265"/>
      <c r="R650" s="1265"/>
      <c r="S650" s="1265"/>
      <c r="T650" s="1265"/>
      <c r="U650" s="1265"/>
      <c r="V650" s="1265"/>
      <c r="W650" s="1265"/>
      <c r="X650" s="1265"/>
      <c r="Y650" s="1265"/>
      <c r="Z650" s="1265"/>
    </row>
    <row r="651" ht="27.0" customHeight="1">
      <c r="A651" s="1265"/>
      <c r="B651" s="1265"/>
      <c r="C651" s="1265"/>
      <c r="D651" s="1265"/>
      <c r="E651" s="1265"/>
      <c r="F651" s="1265"/>
      <c r="G651" s="1265"/>
      <c r="H651" s="1265"/>
      <c r="I651" s="1265"/>
      <c r="J651" s="1265"/>
      <c r="K651" s="1265"/>
      <c r="L651" s="1265"/>
      <c r="M651" s="1265"/>
      <c r="N651" s="1265"/>
      <c r="O651" s="1265"/>
      <c r="P651" s="1265"/>
      <c r="Q651" s="1265"/>
      <c r="R651" s="1265"/>
      <c r="S651" s="1265"/>
      <c r="T651" s="1265"/>
      <c r="U651" s="1265"/>
      <c r="V651" s="1265"/>
      <c r="W651" s="1265"/>
      <c r="X651" s="1265"/>
      <c r="Y651" s="1265"/>
      <c r="Z651" s="1265"/>
    </row>
    <row r="652" ht="27.0" customHeight="1">
      <c r="A652" s="1265"/>
      <c r="B652" s="1265"/>
      <c r="C652" s="1265"/>
      <c r="D652" s="1265"/>
      <c r="E652" s="1265"/>
      <c r="F652" s="1265"/>
      <c r="G652" s="1265"/>
      <c r="H652" s="1265"/>
      <c r="I652" s="1265"/>
      <c r="J652" s="1265"/>
      <c r="K652" s="1265"/>
      <c r="L652" s="1265"/>
      <c r="M652" s="1265"/>
      <c r="N652" s="1265"/>
      <c r="O652" s="1265"/>
      <c r="P652" s="1265"/>
      <c r="Q652" s="1265"/>
      <c r="R652" s="1265"/>
      <c r="S652" s="1265"/>
      <c r="T652" s="1265"/>
      <c r="U652" s="1265"/>
      <c r="V652" s="1265"/>
      <c r="W652" s="1265"/>
      <c r="X652" s="1265"/>
      <c r="Y652" s="1265"/>
      <c r="Z652" s="1265"/>
    </row>
    <row r="653" ht="27.0" customHeight="1">
      <c r="A653" s="1265"/>
      <c r="B653" s="1265"/>
      <c r="C653" s="1265"/>
      <c r="D653" s="1265"/>
      <c r="E653" s="1265"/>
      <c r="F653" s="1265"/>
      <c r="G653" s="1265"/>
      <c r="H653" s="1265"/>
      <c r="I653" s="1265"/>
      <c r="J653" s="1265"/>
      <c r="K653" s="1265"/>
      <c r="L653" s="1265"/>
      <c r="M653" s="1265"/>
      <c r="N653" s="1265"/>
      <c r="O653" s="1265"/>
      <c r="P653" s="1265"/>
      <c r="Q653" s="1265"/>
      <c r="R653" s="1265"/>
      <c r="S653" s="1265"/>
      <c r="T653" s="1265"/>
      <c r="U653" s="1265"/>
      <c r="V653" s="1265"/>
      <c r="W653" s="1265"/>
      <c r="X653" s="1265"/>
      <c r="Y653" s="1265"/>
      <c r="Z653" s="1265"/>
    </row>
    <row r="654" ht="27.0" customHeight="1">
      <c r="A654" s="1265"/>
      <c r="B654" s="1265"/>
      <c r="C654" s="1265"/>
      <c r="D654" s="1265"/>
      <c r="E654" s="1265"/>
      <c r="F654" s="1265"/>
      <c r="G654" s="1265"/>
      <c r="H654" s="1265"/>
      <c r="I654" s="1265"/>
      <c r="J654" s="1265"/>
      <c r="K654" s="1265"/>
      <c r="L654" s="1265"/>
      <c r="M654" s="1265"/>
      <c r="N654" s="1265"/>
      <c r="O654" s="1265"/>
      <c r="P654" s="1265"/>
      <c r="Q654" s="1265"/>
      <c r="R654" s="1265"/>
      <c r="S654" s="1265"/>
      <c r="T654" s="1265"/>
      <c r="U654" s="1265"/>
      <c r="V654" s="1265"/>
      <c r="W654" s="1265"/>
      <c r="X654" s="1265"/>
      <c r="Y654" s="1265"/>
      <c r="Z654" s="1265"/>
    </row>
    <row r="655" ht="27.0" customHeight="1">
      <c r="A655" s="1265"/>
      <c r="B655" s="1265"/>
      <c r="C655" s="1265"/>
      <c r="D655" s="1265"/>
      <c r="E655" s="1265"/>
      <c r="F655" s="1265"/>
      <c r="G655" s="1265"/>
      <c r="H655" s="1265"/>
      <c r="I655" s="1265"/>
      <c r="J655" s="1265"/>
      <c r="K655" s="1265"/>
      <c r="L655" s="1265"/>
      <c r="M655" s="1265"/>
      <c r="N655" s="1265"/>
      <c r="O655" s="1265"/>
      <c r="P655" s="1265"/>
      <c r="Q655" s="1265"/>
      <c r="R655" s="1265"/>
      <c r="S655" s="1265"/>
      <c r="T655" s="1265"/>
      <c r="U655" s="1265"/>
      <c r="V655" s="1265"/>
      <c r="W655" s="1265"/>
      <c r="X655" s="1265"/>
      <c r="Y655" s="1265"/>
      <c r="Z655" s="1265"/>
    </row>
    <row r="656" ht="27.0" customHeight="1">
      <c r="A656" s="1265"/>
      <c r="B656" s="1265"/>
      <c r="C656" s="1265"/>
      <c r="D656" s="1265"/>
      <c r="E656" s="1265"/>
      <c r="F656" s="1265"/>
      <c r="G656" s="1265"/>
      <c r="H656" s="1265"/>
      <c r="I656" s="1265"/>
      <c r="J656" s="1265"/>
      <c r="K656" s="1265"/>
      <c r="L656" s="1265"/>
      <c r="M656" s="1265"/>
      <c r="N656" s="1265"/>
      <c r="O656" s="1265"/>
      <c r="P656" s="1265"/>
      <c r="Q656" s="1265"/>
      <c r="R656" s="1265"/>
      <c r="S656" s="1265"/>
      <c r="T656" s="1265"/>
      <c r="U656" s="1265"/>
      <c r="V656" s="1265"/>
      <c r="W656" s="1265"/>
      <c r="X656" s="1265"/>
      <c r="Y656" s="1265"/>
      <c r="Z656" s="1265"/>
    </row>
    <row r="657" ht="27.0" customHeight="1">
      <c r="A657" s="1265"/>
      <c r="B657" s="1265"/>
      <c r="C657" s="1265"/>
      <c r="D657" s="1265"/>
      <c r="E657" s="1265"/>
      <c r="F657" s="1265"/>
      <c r="G657" s="1265"/>
      <c r="H657" s="1265"/>
      <c r="I657" s="1265"/>
      <c r="J657" s="1265"/>
      <c r="K657" s="1265"/>
      <c r="L657" s="1265"/>
      <c r="M657" s="1265"/>
      <c r="N657" s="1265"/>
      <c r="O657" s="1265"/>
      <c r="P657" s="1265"/>
      <c r="Q657" s="1265"/>
      <c r="R657" s="1265"/>
      <c r="S657" s="1265"/>
      <c r="T657" s="1265"/>
      <c r="U657" s="1265"/>
      <c r="V657" s="1265"/>
      <c r="W657" s="1265"/>
      <c r="X657" s="1265"/>
      <c r="Y657" s="1265"/>
      <c r="Z657" s="1265"/>
    </row>
    <row r="658" ht="27.0" customHeight="1">
      <c r="A658" s="1265"/>
      <c r="B658" s="1265"/>
      <c r="C658" s="1265"/>
      <c r="D658" s="1265"/>
      <c r="E658" s="1265"/>
      <c r="F658" s="1265"/>
      <c r="G658" s="1265"/>
      <c r="H658" s="1265"/>
      <c r="I658" s="1265"/>
      <c r="J658" s="1265"/>
      <c r="K658" s="1265"/>
      <c r="L658" s="1265"/>
      <c r="M658" s="1265"/>
      <c r="N658" s="1265"/>
      <c r="O658" s="1265"/>
      <c r="P658" s="1265"/>
      <c r="Q658" s="1265"/>
      <c r="R658" s="1265"/>
      <c r="S658" s="1265"/>
      <c r="T658" s="1265"/>
      <c r="U658" s="1265"/>
      <c r="V658" s="1265"/>
      <c r="W658" s="1265"/>
      <c r="X658" s="1265"/>
      <c r="Y658" s="1265"/>
      <c r="Z658" s="1265"/>
    </row>
    <row r="659" ht="27.0" customHeight="1">
      <c r="A659" s="1265"/>
      <c r="B659" s="1265"/>
      <c r="C659" s="1265"/>
      <c r="D659" s="1265"/>
      <c r="E659" s="1265"/>
      <c r="F659" s="1265"/>
      <c r="G659" s="1265"/>
      <c r="H659" s="1265"/>
      <c r="I659" s="1265"/>
      <c r="J659" s="1265"/>
      <c r="K659" s="1265"/>
      <c r="L659" s="1265"/>
      <c r="M659" s="1265"/>
      <c r="N659" s="1265"/>
      <c r="O659" s="1265"/>
      <c r="P659" s="1265"/>
      <c r="Q659" s="1265"/>
      <c r="R659" s="1265"/>
      <c r="S659" s="1265"/>
      <c r="T659" s="1265"/>
      <c r="U659" s="1265"/>
      <c r="V659" s="1265"/>
      <c r="W659" s="1265"/>
      <c r="X659" s="1265"/>
      <c r="Y659" s="1265"/>
      <c r="Z659" s="1265"/>
    </row>
    <row r="660" ht="27.0" customHeight="1">
      <c r="A660" s="1265"/>
      <c r="B660" s="1265"/>
      <c r="C660" s="1265"/>
      <c r="D660" s="1265"/>
      <c r="E660" s="1265"/>
      <c r="F660" s="1265"/>
      <c r="G660" s="1265"/>
      <c r="H660" s="1265"/>
      <c r="I660" s="1265"/>
      <c r="J660" s="1265"/>
      <c r="K660" s="1265"/>
      <c r="L660" s="1265"/>
      <c r="M660" s="1265"/>
      <c r="N660" s="1265"/>
      <c r="O660" s="1265"/>
      <c r="P660" s="1265"/>
      <c r="Q660" s="1265"/>
      <c r="R660" s="1265"/>
      <c r="S660" s="1265"/>
      <c r="T660" s="1265"/>
      <c r="U660" s="1265"/>
      <c r="V660" s="1265"/>
      <c r="W660" s="1265"/>
      <c r="X660" s="1265"/>
      <c r="Y660" s="1265"/>
      <c r="Z660" s="1265"/>
    </row>
    <row r="661" ht="27.0" customHeight="1">
      <c r="A661" s="1265"/>
      <c r="B661" s="1265"/>
      <c r="C661" s="1265"/>
      <c r="D661" s="1265"/>
      <c r="E661" s="1265"/>
      <c r="F661" s="1265"/>
      <c r="G661" s="1265"/>
      <c r="H661" s="1265"/>
      <c r="I661" s="1265"/>
      <c r="J661" s="1265"/>
      <c r="K661" s="1265"/>
      <c r="L661" s="1265"/>
      <c r="M661" s="1265"/>
      <c r="N661" s="1265"/>
      <c r="O661" s="1265"/>
      <c r="P661" s="1265"/>
      <c r="Q661" s="1265"/>
      <c r="R661" s="1265"/>
      <c r="S661" s="1265"/>
      <c r="T661" s="1265"/>
      <c r="U661" s="1265"/>
      <c r="V661" s="1265"/>
      <c r="W661" s="1265"/>
      <c r="X661" s="1265"/>
      <c r="Y661" s="1265"/>
      <c r="Z661" s="1265"/>
    </row>
    <row r="662" ht="27.0" customHeight="1">
      <c r="A662" s="1265"/>
      <c r="B662" s="1265"/>
      <c r="C662" s="1265"/>
      <c r="D662" s="1265"/>
      <c r="E662" s="1265"/>
      <c r="F662" s="1265"/>
      <c r="G662" s="1265"/>
      <c r="H662" s="1265"/>
      <c r="I662" s="1265"/>
      <c r="J662" s="1265"/>
      <c r="K662" s="1265"/>
      <c r="L662" s="1265"/>
      <c r="M662" s="1265"/>
      <c r="N662" s="1265"/>
      <c r="O662" s="1265"/>
      <c r="P662" s="1265"/>
      <c r="Q662" s="1265"/>
      <c r="R662" s="1265"/>
      <c r="S662" s="1265"/>
      <c r="T662" s="1265"/>
      <c r="U662" s="1265"/>
      <c r="V662" s="1265"/>
      <c r="W662" s="1265"/>
      <c r="X662" s="1265"/>
      <c r="Y662" s="1265"/>
      <c r="Z662" s="1265"/>
    </row>
    <row r="663" ht="27.0" customHeight="1">
      <c r="A663" s="1265"/>
      <c r="B663" s="1265"/>
      <c r="C663" s="1265"/>
      <c r="D663" s="1265"/>
      <c r="E663" s="1265"/>
      <c r="F663" s="1265"/>
      <c r="G663" s="1265"/>
      <c r="H663" s="1265"/>
      <c r="I663" s="1265"/>
      <c r="J663" s="1265"/>
      <c r="K663" s="1265"/>
      <c r="L663" s="1265"/>
      <c r="M663" s="1265"/>
      <c r="N663" s="1265"/>
      <c r="O663" s="1265"/>
      <c r="P663" s="1265"/>
      <c r="Q663" s="1265"/>
      <c r="R663" s="1265"/>
      <c r="S663" s="1265"/>
      <c r="T663" s="1265"/>
      <c r="U663" s="1265"/>
      <c r="V663" s="1265"/>
      <c r="W663" s="1265"/>
      <c r="X663" s="1265"/>
      <c r="Y663" s="1265"/>
      <c r="Z663" s="1265"/>
    </row>
    <row r="664" ht="27.0" customHeight="1">
      <c r="A664" s="1265"/>
      <c r="B664" s="1265"/>
      <c r="C664" s="1265"/>
      <c r="D664" s="1265"/>
      <c r="E664" s="1265"/>
      <c r="F664" s="1265"/>
      <c r="G664" s="1265"/>
      <c r="H664" s="1265"/>
      <c r="I664" s="1265"/>
      <c r="J664" s="1265"/>
      <c r="K664" s="1265"/>
      <c r="L664" s="1265"/>
      <c r="M664" s="1265"/>
      <c r="N664" s="1265"/>
      <c r="O664" s="1265"/>
      <c r="P664" s="1265"/>
      <c r="Q664" s="1265"/>
      <c r="R664" s="1265"/>
      <c r="S664" s="1265"/>
      <c r="T664" s="1265"/>
      <c r="U664" s="1265"/>
      <c r="V664" s="1265"/>
      <c r="W664" s="1265"/>
      <c r="X664" s="1265"/>
      <c r="Y664" s="1265"/>
      <c r="Z664" s="1265"/>
    </row>
    <row r="665" ht="27.0" customHeight="1">
      <c r="A665" s="1265"/>
      <c r="B665" s="1265"/>
      <c r="C665" s="1265"/>
      <c r="D665" s="1265"/>
      <c r="E665" s="1265"/>
      <c r="F665" s="1265"/>
      <c r="G665" s="1265"/>
      <c r="H665" s="1265"/>
      <c r="I665" s="1265"/>
      <c r="J665" s="1265"/>
      <c r="K665" s="1265"/>
      <c r="L665" s="1265"/>
      <c r="M665" s="1265"/>
      <c r="N665" s="1265"/>
      <c r="O665" s="1265"/>
      <c r="P665" s="1265"/>
      <c r="Q665" s="1265"/>
      <c r="R665" s="1265"/>
      <c r="S665" s="1265"/>
      <c r="T665" s="1265"/>
      <c r="U665" s="1265"/>
      <c r="V665" s="1265"/>
      <c r="W665" s="1265"/>
      <c r="X665" s="1265"/>
      <c r="Y665" s="1265"/>
      <c r="Z665" s="1265"/>
    </row>
    <row r="666" ht="27.0" customHeight="1">
      <c r="A666" s="1265"/>
      <c r="B666" s="1265"/>
      <c r="C666" s="1265"/>
      <c r="D666" s="1265"/>
      <c r="E666" s="1265"/>
      <c r="F666" s="1265"/>
      <c r="G666" s="1265"/>
      <c r="H666" s="1265"/>
      <c r="I666" s="1265"/>
      <c r="J666" s="1265"/>
      <c r="K666" s="1265"/>
      <c r="L666" s="1265"/>
      <c r="M666" s="1265"/>
      <c r="N666" s="1265"/>
      <c r="O666" s="1265"/>
      <c r="P666" s="1265"/>
      <c r="Q666" s="1265"/>
      <c r="R666" s="1265"/>
      <c r="S666" s="1265"/>
      <c r="T666" s="1265"/>
      <c r="U666" s="1265"/>
      <c r="V666" s="1265"/>
      <c r="W666" s="1265"/>
      <c r="X666" s="1265"/>
      <c r="Y666" s="1265"/>
      <c r="Z666" s="1265"/>
    </row>
    <row r="667" ht="27.0" customHeight="1">
      <c r="A667" s="1265"/>
      <c r="B667" s="1265"/>
      <c r="C667" s="1265"/>
      <c r="D667" s="1265"/>
      <c r="E667" s="1265"/>
      <c r="F667" s="1265"/>
      <c r="G667" s="1265"/>
      <c r="H667" s="1265"/>
      <c r="I667" s="1265"/>
      <c r="J667" s="1265"/>
      <c r="K667" s="1265"/>
      <c r="L667" s="1265"/>
      <c r="M667" s="1265"/>
      <c r="N667" s="1265"/>
      <c r="O667" s="1265"/>
      <c r="P667" s="1265"/>
      <c r="Q667" s="1265"/>
      <c r="R667" s="1265"/>
      <c r="S667" s="1265"/>
      <c r="T667" s="1265"/>
      <c r="U667" s="1265"/>
      <c r="V667" s="1265"/>
      <c r="W667" s="1265"/>
      <c r="X667" s="1265"/>
      <c r="Y667" s="1265"/>
      <c r="Z667" s="1265"/>
    </row>
    <row r="668" ht="27.0" customHeight="1">
      <c r="A668" s="1265"/>
      <c r="B668" s="1265"/>
      <c r="C668" s="1265"/>
      <c r="D668" s="1265"/>
      <c r="E668" s="1265"/>
      <c r="F668" s="1265"/>
      <c r="G668" s="1265"/>
      <c r="H668" s="1265"/>
      <c r="I668" s="1265"/>
      <c r="J668" s="1265"/>
      <c r="K668" s="1265"/>
      <c r="L668" s="1265"/>
      <c r="M668" s="1265"/>
      <c r="N668" s="1265"/>
      <c r="O668" s="1265"/>
      <c r="P668" s="1265"/>
      <c r="Q668" s="1265"/>
      <c r="R668" s="1265"/>
      <c r="S668" s="1265"/>
      <c r="T668" s="1265"/>
      <c r="U668" s="1265"/>
      <c r="V668" s="1265"/>
      <c r="W668" s="1265"/>
      <c r="X668" s="1265"/>
      <c r="Y668" s="1265"/>
      <c r="Z668" s="1265"/>
    </row>
    <row r="669" ht="27.0" customHeight="1">
      <c r="A669" s="1265"/>
      <c r="B669" s="1265"/>
      <c r="C669" s="1265"/>
      <c r="D669" s="1265"/>
      <c r="E669" s="1265"/>
      <c r="F669" s="1265"/>
      <c r="G669" s="1265"/>
      <c r="H669" s="1265"/>
      <c r="I669" s="1265"/>
      <c r="J669" s="1265"/>
      <c r="K669" s="1265"/>
      <c r="L669" s="1265"/>
      <c r="M669" s="1265"/>
      <c r="N669" s="1265"/>
      <c r="O669" s="1265"/>
      <c r="P669" s="1265"/>
      <c r="Q669" s="1265"/>
      <c r="R669" s="1265"/>
      <c r="S669" s="1265"/>
      <c r="T669" s="1265"/>
      <c r="U669" s="1265"/>
      <c r="V669" s="1265"/>
      <c r="W669" s="1265"/>
      <c r="X669" s="1265"/>
      <c r="Y669" s="1265"/>
      <c r="Z669" s="1265"/>
    </row>
    <row r="670" ht="27.0" customHeight="1">
      <c r="A670" s="1265"/>
      <c r="B670" s="1265"/>
      <c r="C670" s="1265"/>
      <c r="D670" s="1265"/>
      <c r="E670" s="1265"/>
      <c r="F670" s="1265"/>
      <c r="G670" s="1265"/>
      <c r="H670" s="1265"/>
      <c r="I670" s="1265"/>
      <c r="J670" s="1265"/>
      <c r="K670" s="1265"/>
      <c r="L670" s="1265"/>
      <c r="M670" s="1265"/>
      <c r="N670" s="1265"/>
      <c r="O670" s="1265"/>
      <c r="P670" s="1265"/>
      <c r="Q670" s="1265"/>
      <c r="R670" s="1265"/>
      <c r="S670" s="1265"/>
      <c r="T670" s="1265"/>
      <c r="U670" s="1265"/>
      <c r="V670" s="1265"/>
      <c r="W670" s="1265"/>
      <c r="X670" s="1265"/>
      <c r="Y670" s="1265"/>
      <c r="Z670" s="1265"/>
    </row>
    <row r="671" ht="27.0" customHeight="1">
      <c r="A671" s="1265"/>
      <c r="B671" s="1265"/>
      <c r="C671" s="1265"/>
      <c r="D671" s="1265"/>
      <c r="E671" s="1265"/>
      <c r="F671" s="1265"/>
      <c r="G671" s="1265"/>
      <c r="H671" s="1265"/>
      <c r="I671" s="1265"/>
      <c r="J671" s="1265"/>
      <c r="K671" s="1265"/>
      <c r="L671" s="1265"/>
      <c r="M671" s="1265"/>
      <c r="N671" s="1265"/>
      <c r="O671" s="1265"/>
      <c r="P671" s="1265"/>
      <c r="Q671" s="1265"/>
      <c r="R671" s="1265"/>
      <c r="S671" s="1265"/>
      <c r="T671" s="1265"/>
      <c r="U671" s="1265"/>
      <c r="V671" s="1265"/>
      <c r="W671" s="1265"/>
      <c r="X671" s="1265"/>
      <c r="Y671" s="1265"/>
      <c r="Z671" s="1265"/>
    </row>
    <row r="672" ht="27.0" customHeight="1">
      <c r="A672" s="1265"/>
      <c r="B672" s="1265"/>
      <c r="C672" s="1265"/>
      <c r="D672" s="1265"/>
      <c r="E672" s="1265"/>
      <c r="F672" s="1265"/>
      <c r="G672" s="1265"/>
      <c r="H672" s="1265"/>
      <c r="I672" s="1265"/>
      <c r="J672" s="1265"/>
      <c r="K672" s="1265"/>
      <c r="L672" s="1265"/>
      <c r="M672" s="1265"/>
      <c r="N672" s="1265"/>
      <c r="O672" s="1265"/>
      <c r="P672" s="1265"/>
      <c r="Q672" s="1265"/>
      <c r="R672" s="1265"/>
      <c r="S672" s="1265"/>
      <c r="T672" s="1265"/>
      <c r="U672" s="1265"/>
      <c r="V672" s="1265"/>
      <c r="W672" s="1265"/>
      <c r="X672" s="1265"/>
      <c r="Y672" s="1265"/>
      <c r="Z672" s="1265"/>
    </row>
    <row r="673" ht="27.0" customHeight="1">
      <c r="A673" s="1265"/>
      <c r="B673" s="1265"/>
      <c r="C673" s="1265"/>
      <c r="D673" s="1265"/>
      <c r="E673" s="1265"/>
      <c r="F673" s="1265"/>
      <c r="G673" s="1265"/>
      <c r="H673" s="1265"/>
      <c r="I673" s="1265"/>
      <c r="J673" s="1265"/>
      <c r="K673" s="1265"/>
      <c r="L673" s="1265"/>
      <c r="M673" s="1265"/>
      <c r="N673" s="1265"/>
      <c r="O673" s="1265"/>
      <c r="P673" s="1265"/>
      <c r="Q673" s="1265"/>
      <c r="R673" s="1265"/>
      <c r="S673" s="1265"/>
      <c r="T673" s="1265"/>
      <c r="U673" s="1265"/>
      <c r="V673" s="1265"/>
      <c r="W673" s="1265"/>
      <c r="X673" s="1265"/>
      <c r="Y673" s="1265"/>
      <c r="Z673" s="1265"/>
    </row>
    <row r="674" ht="27.0" customHeight="1">
      <c r="A674" s="1265"/>
      <c r="B674" s="1265"/>
      <c r="C674" s="1265"/>
      <c r="D674" s="1265"/>
      <c r="E674" s="1265"/>
      <c r="F674" s="1265"/>
      <c r="G674" s="1265"/>
      <c r="H674" s="1265"/>
      <c r="I674" s="1265"/>
      <c r="J674" s="1265"/>
      <c r="K674" s="1265"/>
      <c r="L674" s="1265"/>
      <c r="M674" s="1265"/>
      <c r="N674" s="1265"/>
      <c r="O674" s="1265"/>
      <c r="P674" s="1265"/>
      <c r="Q674" s="1265"/>
      <c r="R674" s="1265"/>
      <c r="S674" s="1265"/>
      <c r="T674" s="1265"/>
      <c r="U674" s="1265"/>
      <c r="V674" s="1265"/>
      <c r="W674" s="1265"/>
      <c r="X674" s="1265"/>
      <c r="Y674" s="1265"/>
      <c r="Z674" s="1265"/>
    </row>
    <row r="675" ht="27.0" customHeight="1">
      <c r="A675" s="1265"/>
      <c r="B675" s="1265"/>
      <c r="C675" s="1265"/>
      <c r="D675" s="1265"/>
      <c r="E675" s="1265"/>
      <c r="F675" s="1265"/>
      <c r="G675" s="1265"/>
      <c r="H675" s="1265"/>
      <c r="I675" s="1265"/>
      <c r="J675" s="1265"/>
      <c r="K675" s="1265"/>
      <c r="L675" s="1265"/>
      <c r="M675" s="1265"/>
      <c r="N675" s="1265"/>
      <c r="O675" s="1265"/>
      <c r="P675" s="1265"/>
      <c r="Q675" s="1265"/>
      <c r="R675" s="1265"/>
      <c r="S675" s="1265"/>
      <c r="T675" s="1265"/>
      <c r="U675" s="1265"/>
      <c r="V675" s="1265"/>
      <c r="W675" s="1265"/>
      <c r="X675" s="1265"/>
      <c r="Y675" s="1265"/>
      <c r="Z675" s="1265"/>
    </row>
    <row r="676" ht="27.0" customHeight="1">
      <c r="A676" s="1265"/>
      <c r="B676" s="1265"/>
      <c r="C676" s="1265"/>
      <c r="D676" s="1265"/>
      <c r="E676" s="1265"/>
      <c r="F676" s="1265"/>
      <c r="G676" s="1265"/>
      <c r="H676" s="1265"/>
      <c r="I676" s="1265"/>
      <c r="J676" s="1265"/>
      <c r="K676" s="1265"/>
      <c r="L676" s="1265"/>
      <c r="M676" s="1265"/>
      <c r="N676" s="1265"/>
      <c r="O676" s="1265"/>
      <c r="P676" s="1265"/>
      <c r="Q676" s="1265"/>
      <c r="R676" s="1265"/>
      <c r="S676" s="1265"/>
      <c r="T676" s="1265"/>
      <c r="U676" s="1265"/>
      <c r="V676" s="1265"/>
      <c r="W676" s="1265"/>
      <c r="X676" s="1265"/>
      <c r="Y676" s="1265"/>
      <c r="Z676" s="1265"/>
    </row>
    <row r="677" ht="27.0" customHeight="1">
      <c r="A677" s="1265"/>
      <c r="B677" s="1265"/>
      <c r="C677" s="1265"/>
      <c r="D677" s="1265"/>
      <c r="E677" s="1265"/>
      <c r="F677" s="1265"/>
      <c r="G677" s="1265"/>
      <c r="H677" s="1265"/>
      <c r="I677" s="1265"/>
      <c r="J677" s="1265"/>
      <c r="K677" s="1265"/>
      <c r="L677" s="1265"/>
      <c r="M677" s="1265"/>
      <c r="N677" s="1265"/>
      <c r="O677" s="1265"/>
      <c r="P677" s="1265"/>
      <c r="Q677" s="1265"/>
      <c r="R677" s="1265"/>
      <c r="S677" s="1265"/>
      <c r="T677" s="1265"/>
      <c r="U677" s="1265"/>
      <c r="V677" s="1265"/>
      <c r="W677" s="1265"/>
      <c r="X677" s="1265"/>
      <c r="Y677" s="1265"/>
      <c r="Z677" s="1265"/>
    </row>
    <row r="678" ht="27.0" customHeight="1">
      <c r="A678" s="1265"/>
      <c r="B678" s="1265"/>
      <c r="C678" s="1265"/>
      <c r="D678" s="1265"/>
      <c r="E678" s="1265"/>
      <c r="F678" s="1265"/>
      <c r="G678" s="1265"/>
      <c r="H678" s="1265"/>
      <c r="I678" s="1265"/>
      <c r="J678" s="1265"/>
      <c r="K678" s="1265"/>
      <c r="L678" s="1265"/>
      <c r="M678" s="1265"/>
      <c r="N678" s="1265"/>
      <c r="O678" s="1265"/>
      <c r="P678" s="1265"/>
      <c r="Q678" s="1265"/>
      <c r="R678" s="1265"/>
      <c r="S678" s="1265"/>
      <c r="T678" s="1265"/>
      <c r="U678" s="1265"/>
      <c r="V678" s="1265"/>
      <c r="W678" s="1265"/>
      <c r="X678" s="1265"/>
      <c r="Y678" s="1265"/>
      <c r="Z678" s="1265"/>
    </row>
    <row r="679" ht="27.0" customHeight="1">
      <c r="A679" s="1265"/>
      <c r="B679" s="1265"/>
      <c r="C679" s="1265"/>
      <c r="D679" s="1265"/>
      <c r="E679" s="1265"/>
      <c r="F679" s="1265"/>
      <c r="G679" s="1265"/>
      <c r="H679" s="1265"/>
      <c r="I679" s="1265"/>
      <c r="J679" s="1265"/>
      <c r="K679" s="1265"/>
      <c r="L679" s="1265"/>
      <c r="M679" s="1265"/>
      <c r="N679" s="1265"/>
      <c r="O679" s="1265"/>
      <c r="P679" s="1265"/>
      <c r="Q679" s="1265"/>
      <c r="R679" s="1265"/>
      <c r="S679" s="1265"/>
      <c r="T679" s="1265"/>
      <c r="U679" s="1265"/>
      <c r="V679" s="1265"/>
      <c r="W679" s="1265"/>
      <c r="X679" s="1265"/>
      <c r="Y679" s="1265"/>
      <c r="Z679" s="1265"/>
    </row>
    <row r="680" ht="27.0" customHeight="1">
      <c r="A680" s="1265"/>
      <c r="B680" s="1265"/>
      <c r="C680" s="1265"/>
      <c r="D680" s="1265"/>
      <c r="E680" s="1265"/>
      <c r="F680" s="1265"/>
      <c r="G680" s="1265"/>
      <c r="H680" s="1265"/>
      <c r="I680" s="1265"/>
      <c r="J680" s="1265"/>
      <c r="K680" s="1265"/>
      <c r="L680" s="1265"/>
      <c r="M680" s="1265"/>
      <c r="N680" s="1265"/>
      <c r="O680" s="1265"/>
      <c r="P680" s="1265"/>
      <c r="Q680" s="1265"/>
      <c r="R680" s="1265"/>
      <c r="S680" s="1265"/>
      <c r="T680" s="1265"/>
      <c r="U680" s="1265"/>
      <c r="V680" s="1265"/>
      <c r="W680" s="1265"/>
      <c r="X680" s="1265"/>
      <c r="Y680" s="1265"/>
      <c r="Z680" s="1265"/>
    </row>
    <row r="681" ht="27.0" customHeight="1">
      <c r="A681" s="1265"/>
      <c r="B681" s="1265"/>
      <c r="C681" s="1265"/>
      <c r="D681" s="1265"/>
      <c r="E681" s="1265"/>
      <c r="F681" s="1265"/>
      <c r="G681" s="1265"/>
      <c r="H681" s="1265"/>
      <c r="I681" s="1265"/>
      <c r="J681" s="1265"/>
      <c r="K681" s="1265"/>
      <c r="L681" s="1265"/>
      <c r="M681" s="1265"/>
      <c r="N681" s="1265"/>
      <c r="O681" s="1265"/>
      <c r="P681" s="1265"/>
      <c r="Q681" s="1265"/>
      <c r="R681" s="1265"/>
      <c r="S681" s="1265"/>
      <c r="T681" s="1265"/>
      <c r="U681" s="1265"/>
      <c r="V681" s="1265"/>
      <c r="W681" s="1265"/>
      <c r="X681" s="1265"/>
      <c r="Y681" s="1265"/>
      <c r="Z681" s="1265"/>
    </row>
    <row r="682" ht="27.0" customHeight="1">
      <c r="A682" s="1265"/>
      <c r="B682" s="1265"/>
      <c r="C682" s="1265"/>
      <c r="D682" s="1265"/>
      <c r="E682" s="1265"/>
      <c r="F682" s="1265"/>
      <c r="G682" s="1265"/>
      <c r="H682" s="1265"/>
      <c r="I682" s="1265"/>
      <c r="J682" s="1265"/>
      <c r="K682" s="1265"/>
      <c r="L682" s="1265"/>
      <c r="M682" s="1265"/>
      <c r="N682" s="1265"/>
      <c r="O682" s="1265"/>
      <c r="P682" s="1265"/>
      <c r="Q682" s="1265"/>
      <c r="R682" s="1265"/>
      <c r="S682" s="1265"/>
      <c r="T682" s="1265"/>
      <c r="U682" s="1265"/>
      <c r="V682" s="1265"/>
      <c r="W682" s="1265"/>
      <c r="X682" s="1265"/>
      <c r="Y682" s="1265"/>
      <c r="Z682" s="1265"/>
    </row>
    <row r="683" ht="27.0" customHeight="1">
      <c r="A683" s="1265"/>
      <c r="B683" s="1265"/>
      <c r="C683" s="1265"/>
      <c r="D683" s="1265"/>
      <c r="E683" s="1265"/>
      <c r="F683" s="1265"/>
      <c r="G683" s="1265"/>
      <c r="H683" s="1265"/>
      <c r="I683" s="1265"/>
      <c r="J683" s="1265"/>
      <c r="K683" s="1265"/>
      <c r="L683" s="1265"/>
      <c r="M683" s="1265"/>
      <c r="N683" s="1265"/>
      <c r="O683" s="1265"/>
      <c r="P683" s="1265"/>
      <c r="Q683" s="1265"/>
      <c r="R683" s="1265"/>
      <c r="S683" s="1265"/>
      <c r="T683" s="1265"/>
      <c r="U683" s="1265"/>
      <c r="V683" s="1265"/>
      <c r="W683" s="1265"/>
      <c r="X683" s="1265"/>
      <c r="Y683" s="1265"/>
      <c r="Z683" s="1265"/>
    </row>
    <row r="684" ht="27.0" customHeight="1">
      <c r="A684" s="1265"/>
      <c r="B684" s="1265"/>
      <c r="C684" s="1265"/>
      <c r="D684" s="1265"/>
      <c r="E684" s="1265"/>
      <c r="F684" s="1265"/>
      <c r="G684" s="1265"/>
      <c r="H684" s="1265"/>
      <c r="I684" s="1265"/>
      <c r="J684" s="1265"/>
      <c r="K684" s="1265"/>
      <c r="L684" s="1265"/>
      <c r="M684" s="1265"/>
      <c r="N684" s="1265"/>
      <c r="O684" s="1265"/>
      <c r="P684" s="1265"/>
      <c r="Q684" s="1265"/>
      <c r="R684" s="1265"/>
      <c r="S684" s="1265"/>
      <c r="T684" s="1265"/>
      <c r="U684" s="1265"/>
      <c r="V684" s="1265"/>
      <c r="W684" s="1265"/>
      <c r="X684" s="1265"/>
      <c r="Y684" s="1265"/>
      <c r="Z684" s="1265"/>
    </row>
    <row r="685" ht="27.0" customHeight="1">
      <c r="A685" s="1265"/>
      <c r="B685" s="1265"/>
      <c r="C685" s="1265"/>
      <c r="D685" s="1265"/>
      <c r="E685" s="1265"/>
      <c r="F685" s="1265"/>
      <c r="G685" s="1265"/>
      <c r="H685" s="1265"/>
      <c r="I685" s="1265"/>
      <c r="J685" s="1265"/>
      <c r="K685" s="1265"/>
      <c r="L685" s="1265"/>
      <c r="M685" s="1265"/>
      <c r="N685" s="1265"/>
      <c r="O685" s="1265"/>
      <c r="P685" s="1265"/>
      <c r="Q685" s="1265"/>
      <c r="R685" s="1265"/>
      <c r="S685" s="1265"/>
      <c r="T685" s="1265"/>
      <c r="U685" s="1265"/>
      <c r="V685" s="1265"/>
      <c r="W685" s="1265"/>
      <c r="X685" s="1265"/>
      <c r="Y685" s="1265"/>
      <c r="Z685" s="1265"/>
    </row>
    <row r="686" ht="27.0" customHeight="1">
      <c r="A686" s="1265"/>
      <c r="B686" s="1265"/>
      <c r="C686" s="1265"/>
      <c r="D686" s="1265"/>
      <c r="E686" s="1265"/>
      <c r="F686" s="1265"/>
      <c r="G686" s="1265"/>
      <c r="H686" s="1265"/>
      <c r="I686" s="1265"/>
      <c r="J686" s="1265"/>
      <c r="K686" s="1265"/>
      <c r="L686" s="1265"/>
      <c r="M686" s="1265"/>
      <c r="N686" s="1265"/>
      <c r="O686" s="1265"/>
      <c r="P686" s="1265"/>
      <c r="Q686" s="1265"/>
      <c r="R686" s="1265"/>
      <c r="S686" s="1265"/>
      <c r="T686" s="1265"/>
      <c r="U686" s="1265"/>
      <c r="V686" s="1265"/>
      <c r="W686" s="1265"/>
      <c r="X686" s="1265"/>
      <c r="Y686" s="1265"/>
      <c r="Z686" s="1265"/>
    </row>
    <row r="687" ht="27.0" customHeight="1">
      <c r="A687" s="1265"/>
      <c r="B687" s="1265"/>
      <c r="C687" s="1265"/>
      <c r="D687" s="1265"/>
      <c r="E687" s="1265"/>
      <c r="F687" s="1265"/>
      <c r="G687" s="1265"/>
      <c r="H687" s="1265"/>
      <c r="I687" s="1265"/>
      <c r="J687" s="1265"/>
      <c r="K687" s="1265"/>
      <c r="L687" s="1265"/>
      <c r="M687" s="1265"/>
      <c r="N687" s="1265"/>
      <c r="O687" s="1265"/>
      <c r="P687" s="1265"/>
      <c r="Q687" s="1265"/>
      <c r="R687" s="1265"/>
      <c r="S687" s="1265"/>
      <c r="T687" s="1265"/>
      <c r="U687" s="1265"/>
      <c r="V687" s="1265"/>
      <c r="W687" s="1265"/>
      <c r="X687" s="1265"/>
      <c r="Y687" s="1265"/>
      <c r="Z687" s="1265"/>
    </row>
    <row r="688" ht="27.0" customHeight="1">
      <c r="A688" s="1265"/>
      <c r="B688" s="1265"/>
      <c r="C688" s="1265"/>
      <c r="D688" s="1265"/>
      <c r="E688" s="1265"/>
      <c r="F688" s="1265"/>
      <c r="G688" s="1265"/>
      <c r="H688" s="1265"/>
      <c r="I688" s="1265"/>
      <c r="J688" s="1265"/>
      <c r="K688" s="1265"/>
      <c r="L688" s="1265"/>
      <c r="M688" s="1265"/>
      <c r="N688" s="1265"/>
      <c r="O688" s="1265"/>
      <c r="P688" s="1265"/>
      <c r="Q688" s="1265"/>
      <c r="R688" s="1265"/>
      <c r="S688" s="1265"/>
      <c r="T688" s="1265"/>
      <c r="U688" s="1265"/>
      <c r="V688" s="1265"/>
      <c r="W688" s="1265"/>
      <c r="X688" s="1265"/>
      <c r="Y688" s="1265"/>
      <c r="Z688" s="1265"/>
    </row>
    <row r="689" ht="27.0" customHeight="1">
      <c r="A689" s="1265"/>
      <c r="B689" s="1265"/>
      <c r="C689" s="1265"/>
      <c r="D689" s="1265"/>
      <c r="E689" s="1265"/>
      <c r="F689" s="1265"/>
      <c r="G689" s="1265"/>
      <c r="H689" s="1265"/>
      <c r="I689" s="1265"/>
      <c r="J689" s="1265"/>
      <c r="K689" s="1265"/>
      <c r="L689" s="1265"/>
      <c r="M689" s="1265"/>
      <c r="N689" s="1265"/>
      <c r="O689" s="1265"/>
      <c r="P689" s="1265"/>
      <c r="Q689" s="1265"/>
      <c r="R689" s="1265"/>
      <c r="S689" s="1265"/>
      <c r="T689" s="1265"/>
      <c r="U689" s="1265"/>
      <c r="V689" s="1265"/>
      <c r="W689" s="1265"/>
      <c r="X689" s="1265"/>
      <c r="Y689" s="1265"/>
      <c r="Z689" s="1265"/>
    </row>
    <row r="690" ht="27.0" customHeight="1">
      <c r="A690" s="1265"/>
      <c r="B690" s="1265"/>
      <c r="C690" s="1265"/>
      <c r="D690" s="1265"/>
      <c r="E690" s="1265"/>
      <c r="F690" s="1265"/>
      <c r="G690" s="1265"/>
      <c r="H690" s="1265"/>
      <c r="I690" s="1265"/>
      <c r="J690" s="1265"/>
      <c r="K690" s="1265"/>
      <c r="L690" s="1265"/>
      <c r="M690" s="1265"/>
      <c r="N690" s="1265"/>
      <c r="O690" s="1265"/>
      <c r="P690" s="1265"/>
      <c r="Q690" s="1265"/>
      <c r="R690" s="1265"/>
      <c r="S690" s="1265"/>
      <c r="T690" s="1265"/>
      <c r="U690" s="1265"/>
      <c r="V690" s="1265"/>
      <c r="W690" s="1265"/>
      <c r="X690" s="1265"/>
      <c r="Y690" s="1265"/>
      <c r="Z690" s="1265"/>
    </row>
    <row r="691" ht="27.0" customHeight="1">
      <c r="A691" s="1265"/>
      <c r="B691" s="1265"/>
      <c r="C691" s="1265"/>
      <c r="D691" s="1265"/>
      <c r="E691" s="1265"/>
      <c r="F691" s="1265"/>
      <c r="G691" s="1265"/>
      <c r="H691" s="1265"/>
      <c r="I691" s="1265"/>
      <c r="J691" s="1265"/>
      <c r="K691" s="1265"/>
      <c r="L691" s="1265"/>
      <c r="M691" s="1265"/>
      <c r="N691" s="1265"/>
      <c r="O691" s="1265"/>
      <c r="P691" s="1265"/>
      <c r="Q691" s="1265"/>
      <c r="R691" s="1265"/>
      <c r="S691" s="1265"/>
      <c r="T691" s="1265"/>
      <c r="U691" s="1265"/>
      <c r="V691" s="1265"/>
      <c r="W691" s="1265"/>
      <c r="X691" s="1265"/>
      <c r="Y691" s="1265"/>
      <c r="Z691" s="1265"/>
    </row>
    <row r="692" ht="27.0" customHeight="1">
      <c r="A692" s="1265"/>
      <c r="B692" s="1265"/>
      <c r="C692" s="1265"/>
      <c r="D692" s="1265"/>
      <c r="E692" s="1265"/>
      <c r="F692" s="1265"/>
      <c r="G692" s="1265"/>
      <c r="H692" s="1265"/>
      <c r="I692" s="1265"/>
      <c r="J692" s="1265"/>
      <c r="K692" s="1265"/>
      <c r="L692" s="1265"/>
      <c r="M692" s="1265"/>
      <c r="N692" s="1265"/>
      <c r="O692" s="1265"/>
      <c r="P692" s="1265"/>
      <c r="Q692" s="1265"/>
      <c r="R692" s="1265"/>
      <c r="S692" s="1265"/>
      <c r="T692" s="1265"/>
      <c r="U692" s="1265"/>
      <c r="V692" s="1265"/>
      <c r="W692" s="1265"/>
      <c r="X692" s="1265"/>
      <c r="Y692" s="1265"/>
      <c r="Z692" s="1265"/>
    </row>
    <row r="693" ht="27.0" customHeight="1">
      <c r="A693" s="1265"/>
      <c r="B693" s="1265"/>
      <c r="C693" s="1265"/>
      <c r="D693" s="1265"/>
      <c r="E693" s="1265"/>
      <c r="F693" s="1265"/>
      <c r="G693" s="1265"/>
      <c r="H693" s="1265"/>
      <c r="I693" s="1265"/>
      <c r="J693" s="1265"/>
      <c r="K693" s="1265"/>
      <c r="L693" s="1265"/>
      <c r="M693" s="1265"/>
      <c r="N693" s="1265"/>
      <c r="O693" s="1265"/>
      <c r="P693" s="1265"/>
      <c r="Q693" s="1265"/>
      <c r="R693" s="1265"/>
      <c r="S693" s="1265"/>
      <c r="T693" s="1265"/>
      <c r="U693" s="1265"/>
      <c r="V693" s="1265"/>
      <c r="W693" s="1265"/>
      <c r="X693" s="1265"/>
      <c r="Y693" s="1265"/>
      <c r="Z693" s="1265"/>
    </row>
    <row r="694" ht="27.0" customHeight="1">
      <c r="A694" s="1265"/>
      <c r="B694" s="1265"/>
      <c r="C694" s="1265"/>
      <c r="D694" s="1265"/>
      <c r="E694" s="1265"/>
      <c r="F694" s="1265"/>
      <c r="G694" s="1265"/>
      <c r="H694" s="1265"/>
      <c r="I694" s="1265"/>
      <c r="J694" s="1265"/>
      <c r="K694" s="1265"/>
      <c r="L694" s="1265"/>
      <c r="M694" s="1265"/>
      <c r="N694" s="1265"/>
      <c r="O694" s="1265"/>
      <c r="P694" s="1265"/>
      <c r="Q694" s="1265"/>
      <c r="R694" s="1265"/>
      <c r="S694" s="1265"/>
      <c r="T694" s="1265"/>
      <c r="U694" s="1265"/>
      <c r="V694" s="1265"/>
      <c r="W694" s="1265"/>
      <c r="X694" s="1265"/>
      <c r="Y694" s="1265"/>
      <c r="Z694" s="1265"/>
    </row>
    <row r="695" ht="27.0" customHeight="1">
      <c r="A695" s="1265"/>
      <c r="B695" s="1265"/>
      <c r="C695" s="1265"/>
      <c r="D695" s="1265"/>
      <c r="E695" s="1265"/>
      <c r="F695" s="1265"/>
      <c r="G695" s="1265"/>
      <c r="H695" s="1265"/>
      <c r="I695" s="1265"/>
      <c r="J695" s="1265"/>
      <c r="K695" s="1265"/>
      <c r="L695" s="1265"/>
      <c r="M695" s="1265"/>
      <c r="N695" s="1265"/>
      <c r="O695" s="1265"/>
      <c r="P695" s="1265"/>
      <c r="Q695" s="1265"/>
      <c r="R695" s="1265"/>
      <c r="S695" s="1265"/>
      <c r="T695" s="1265"/>
      <c r="U695" s="1265"/>
      <c r="V695" s="1265"/>
      <c r="W695" s="1265"/>
      <c r="X695" s="1265"/>
      <c r="Y695" s="1265"/>
      <c r="Z695" s="1265"/>
    </row>
    <row r="696" ht="27.0" customHeight="1">
      <c r="A696" s="1265"/>
      <c r="B696" s="1265"/>
      <c r="C696" s="1265"/>
      <c r="D696" s="1265"/>
      <c r="E696" s="1265"/>
      <c r="F696" s="1265"/>
      <c r="G696" s="1265"/>
      <c r="H696" s="1265"/>
      <c r="I696" s="1265"/>
      <c r="J696" s="1265"/>
      <c r="K696" s="1265"/>
      <c r="L696" s="1265"/>
      <c r="M696" s="1265"/>
      <c r="N696" s="1265"/>
      <c r="O696" s="1265"/>
      <c r="P696" s="1265"/>
      <c r="Q696" s="1265"/>
      <c r="R696" s="1265"/>
      <c r="S696" s="1265"/>
      <c r="T696" s="1265"/>
      <c r="U696" s="1265"/>
      <c r="V696" s="1265"/>
      <c r="W696" s="1265"/>
      <c r="X696" s="1265"/>
      <c r="Y696" s="1265"/>
      <c r="Z696" s="1265"/>
    </row>
    <row r="697" ht="27.0" customHeight="1">
      <c r="A697" s="1265"/>
      <c r="B697" s="1265"/>
      <c r="C697" s="1265"/>
      <c r="D697" s="1265"/>
      <c r="E697" s="1265"/>
      <c r="F697" s="1265"/>
      <c r="G697" s="1265"/>
      <c r="H697" s="1265"/>
      <c r="I697" s="1265"/>
      <c r="J697" s="1265"/>
      <c r="K697" s="1265"/>
      <c r="L697" s="1265"/>
      <c r="M697" s="1265"/>
      <c r="N697" s="1265"/>
      <c r="O697" s="1265"/>
      <c r="P697" s="1265"/>
      <c r="Q697" s="1265"/>
      <c r="R697" s="1265"/>
      <c r="S697" s="1265"/>
      <c r="T697" s="1265"/>
      <c r="U697" s="1265"/>
      <c r="V697" s="1265"/>
      <c r="W697" s="1265"/>
      <c r="X697" s="1265"/>
      <c r="Y697" s="1265"/>
      <c r="Z697" s="1265"/>
    </row>
    <row r="698" ht="27.0" customHeight="1">
      <c r="A698" s="1265"/>
      <c r="B698" s="1265"/>
      <c r="C698" s="1265"/>
      <c r="D698" s="1265"/>
      <c r="E698" s="1265"/>
      <c r="F698" s="1265"/>
      <c r="G698" s="1265"/>
      <c r="H698" s="1265"/>
      <c r="I698" s="1265"/>
      <c r="J698" s="1265"/>
      <c r="K698" s="1265"/>
      <c r="L698" s="1265"/>
      <c r="M698" s="1265"/>
      <c r="N698" s="1265"/>
      <c r="O698" s="1265"/>
      <c r="P698" s="1265"/>
      <c r="Q698" s="1265"/>
      <c r="R698" s="1265"/>
      <c r="S698" s="1265"/>
      <c r="T698" s="1265"/>
      <c r="U698" s="1265"/>
      <c r="V698" s="1265"/>
      <c r="W698" s="1265"/>
      <c r="X698" s="1265"/>
      <c r="Y698" s="1265"/>
      <c r="Z698" s="1265"/>
    </row>
    <row r="699" ht="27.0" customHeight="1">
      <c r="A699" s="1265"/>
      <c r="B699" s="1265"/>
      <c r="C699" s="1265"/>
      <c r="D699" s="1265"/>
      <c r="E699" s="1265"/>
      <c r="F699" s="1265"/>
      <c r="G699" s="1265"/>
      <c r="H699" s="1265"/>
      <c r="I699" s="1265"/>
      <c r="J699" s="1265"/>
      <c r="K699" s="1265"/>
      <c r="L699" s="1265"/>
      <c r="M699" s="1265"/>
      <c r="N699" s="1265"/>
      <c r="O699" s="1265"/>
      <c r="P699" s="1265"/>
      <c r="Q699" s="1265"/>
      <c r="R699" s="1265"/>
      <c r="S699" s="1265"/>
      <c r="T699" s="1265"/>
      <c r="U699" s="1265"/>
      <c r="V699" s="1265"/>
      <c r="W699" s="1265"/>
      <c r="X699" s="1265"/>
      <c r="Y699" s="1265"/>
      <c r="Z699" s="1265"/>
    </row>
    <row r="700" ht="27.0" customHeight="1">
      <c r="A700" s="1265"/>
      <c r="B700" s="1265"/>
      <c r="C700" s="1265"/>
      <c r="D700" s="1265"/>
      <c r="E700" s="1265"/>
      <c r="F700" s="1265"/>
      <c r="G700" s="1265"/>
      <c r="H700" s="1265"/>
      <c r="I700" s="1265"/>
      <c r="J700" s="1265"/>
      <c r="K700" s="1265"/>
      <c r="L700" s="1265"/>
      <c r="M700" s="1265"/>
      <c r="N700" s="1265"/>
      <c r="O700" s="1265"/>
      <c r="P700" s="1265"/>
      <c r="Q700" s="1265"/>
      <c r="R700" s="1265"/>
      <c r="S700" s="1265"/>
      <c r="T700" s="1265"/>
      <c r="U700" s="1265"/>
      <c r="V700" s="1265"/>
      <c r="W700" s="1265"/>
      <c r="X700" s="1265"/>
      <c r="Y700" s="1265"/>
      <c r="Z700" s="1265"/>
    </row>
    <row r="701" ht="27.0" customHeight="1">
      <c r="A701" s="1265"/>
      <c r="B701" s="1265"/>
      <c r="C701" s="1265"/>
      <c r="D701" s="1265"/>
      <c r="E701" s="1265"/>
      <c r="F701" s="1265"/>
      <c r="G701" s="1265"/>
      <c r="H701" s="1265"/>
      <c r="I701" s="1265"/>
      <c r="J701" s="1265"/>
      <c r="K701" s="1265"/>
      <c r="L701" s="1265"/>
      <c r="M701" s="1265"/>
      <c r="N701" s="1265"/>
      <c r="O701" s="1265"/>
      <c r="P701" s="1265"/>
      <c r="Q701" s="1265"/>
      <c r="R701" s="1265"/>
      <c r="S701" s="1265"/>
      <c r="T701" s="1265"/>
      <c r="U701" s="1265"/>
      <c r="V701" s="1265"/>
      <c r="W701" s="1265"/>
      <c r="X701" s="1265"/>
      <c r="Y701" s="1265"/>
      <c r="Z701" s="1265"/>
    </row>
    <row r="702" ht="27.0" customHeight="1">
      <c r="A702" s="1265"/>
      <c r="B702" s="1265"/>
      <c r="C702" s="1265"/>
      <c r="D702" s="1265"/>
      <c r="E702" s="1265"/>
      <c r="F702" s="1265"/>
      <c r="G702" s="1265"/>
      <c r="H702" s="1265"/>
      <c r="I702" s="1265"/>
      <c r="J702" s="1265"/>
      <c r="K702" s="1265"/>
      <c r="L702" s="1265"/>
      <c r="M702" s="1265"/>
      <c r="N702" s="1265"/>
      <c r="O702" s="1265"/>
      <c r="P702" s="1265"/>
      <c r="Q702" s="1265"/>
      <c r="R702" s="1265"/>
      <c r="S702" s="1265"/>
      <c r="T702" s="1265"/>
      <c r="U702" s="1265"/>
      <c r="V702" s="1265"/>
      <c r="W702" s="1265"/>
      <c r="X702" s="1265"/>
      <c r="Y702" s="1265"/>
      <c r="Z702" s="1265"/>
    </row>
    <row r="703" ht="27.0" customHeight="1">
      <c r="A703" s="1265"/>
      <c r="B703" s="1265"/>
      <c r="C703" s="1265"/>
      <c r="D703" s="1265"/>
      <c r="E703" s="1265"/>
      <c r="F703" s="1265"/>
      <c r="G703" s="1265"/>
      <c r="H703" s="1265"/>
      <c r="I703" s="1265"/>
      <c r="J703" s="1265"/>
      <c r="K703" s="1265"/>
      <c r="L703" s="1265"/>
      <c r="M703" s="1265"/>
      <c r="N703" s="1265"/>
      <c r="O703" s="1265"/>
      <c r="P703" s="1265"/>
      <c r="Q703" s="1265"/>
      <c r="R703" s="1265"/>
      <c r="S703" s="1265"/>
      <c r="T703" s="1265"/>
      <c r="U703" s="1265"/>
      <c r="V703" s="1265"/>
      <c r="W703" s="1265"/>
      <c r="X703" s="1265"/>
      <c r="Y703" s="1265"/>
      <c r="Z703" s="1265"/>
    </row>
    <row r="704" ht="27.0" customHeight="1">
      <c r="A704" s="1265"/>
      <c r="B704" s="1265"/>
      <c r="C704" s="1265"/>
      <c r="D704" s="1265"/>
      <c r="E704" s="1265"/>
      <c r="F704" s="1265"/>
      <c r="G704" s="1265"/>
      <c r="H704" s="1265"/>
      <c r="I704" s="1265"/>
      <c r="J704" s="1265"/>
      <c r="K704" s="1265"/>
      <c r="L704" s="1265"/>
      <c r="M704" s="1265"/>
      <c r="N704" s="1265"/>
      <c r="O704" s="1265"/>
      <c r="P704" s="1265"/>
      <c r="Q704" s="1265"/>
      <c r="R704" s="1265"/>
      <c r="S704" s="1265"/>
      <c r="T704" s="1265"/>
      <c r="U704" s="1265"/>
      <c r="V704" s="1265"/>
      <c r="W704" s="1265"/>
      <c r="X704" s="1265"/>
      <c r="Y704" s="1265"/>
      <c r="Z704" s="1265"/>
    </row>
    <row r="705" ht="27.0" customHeight="1">
      <c r="A705" s="1265"/>
      <c r="B705" s="1265"/>
      <c r="C705" s="1265"/>
      <c r="D705" s="1265"/>
      <c r="E705" s="1265"/>
      <c r="F705" s="1265"/>
      <c r="G705" s="1265"/>
      <c r="H705" s="1265"/>
      <c r="I705" s="1265"/>
      <c r="J705" s="1265"/>
      <c r="K705" s="1265"/>
      <c r="L705" s="1265"/>
      <c r="M705" s="1265"/>
      <c r="N705" s="1265"/>
      <c r="O705" s="1265"/>
      <c r="P705" s="1265"/>
      <c r="Q705" s="1265"/>
      <c r="R705" s="1265"/>
      <c r="S705" s="1265"/>
      <c r="T705" s="1265"/>
      <c r="U705" s="1265"/>
      <c r="V705" s="1265"/>
      <c r="W705" s="1265"/>
      <c r="X705" s="1265"/>
      <c r="Y705" s="1265"/>
      <c r="Z705" s="1265"/>
    </row>
    <row r="706" ht="27.0" customHeight="1">
      <c r="A706" s="1265"/>
      <c r="B706" s="1265"/>
      <c r="C706" s="1265"/>
      <c r="D706" s="1265"/>
      <c r="E706" s="1265"/>
      <c r="F706" s="1265"/>
      <c r="G706" s="1265"/>
      <c r="H706" s="1265"/>
      <c r="I706" s="1265"/>
      <c r="J706" s="1265"/>
      <c r="K706" s="1265"/>
      <c r="L706" s="1265"/>
      <c r="M706" s="1265"/>
      <c r="N706" s="1265"/>
      <c r="O706" s="1265"/>
      <c r="P706" s="1265"/>
      <c r="Q706" s="1265"/>
      <c r="R706" s="1265"/>
      <c r="S706" s="1265"/>
      <c r="T706" s="1265"/>
      <c r="U706" s="1265"/>
      <c r="V706" s="1265"/>
      <c r="W706" s="1265"/>
      <c r="X706" s="1265"/>
      <c r="Y706" s="1265"/>
      <c r="Z706" s="1265"/>
    </row>
    <row r="707" ht="27.0" customHeight="1">
      <c r="A707" s="1265"/>
      <c r="B707" s="1265"/>
      <c r="C707" s="1265"/>
      <c r="D707" s="1265"/>
      <c r="E707" s="1265"/>
      <c r="F707" s="1265"/>
      <c r="G707" s="1265"/>
      <c r="H707" s="1265"/>
      <c r="I707" s="1265"/>
      <c r="J707" s="1265"/>
      <c r="K707" s="1265"/>
      <c r="L707" s="1265"/>
      <c r="M707" s="1265"/>
      <c r="N707" s="1265"/>
      <c r="O707" s="1265"/>
      <c r="P707" s="1265"/>
      <c r="Q707" s="1265"/>
      <c r="R707" s="1265"/>
      <c r="S707" s="1265"/>
      <c r="T707" s="1265"/>
      <c r="U707" s="1265"/>
      <c r="V707" s="1265"/>
      <c r="W707" s="1265"/>
      <c r="X707" s="1265"/>
      <c r="Y707" s="1265"/>
      <c r="Z707" s="1265"/>
    </row>
    <row r="708" ht="27.0" customHeight="1">
      <c r="A708" s="1265"/>
      <c r="B708" s="1265"/>
      <c r="C708" s="1265"/>
      <c r="D708" s="1265"/>
      <c r="E708" s="1265"/>
      <c r="F708" s="1265"/>
      <c r="G708" s="1265"/>
      <c r="H708" s="1265"/>
      <c r="I708" s="1265"/>
      <c r="J708" s="1265"/>
      <c r="K708" s="1265"/>
      <c r="L708" s="1265"/>
      <c r="M708" s="1265"/>
      <c r="N708" s="1265"/>
      <c r="O708" s="1265"/>
      <c r="P708" s="1265"/>
      <c r="Q708" s="1265"/>
      <c r="R708" s="1265"/>
      <c r="S708" s="1265"/>
      <c r="T708" s="1265"/>
      <c r="U708" s="1265"/>
      <c r="V708" s="1265"/>
      <c r="W708" s="1265"/>
      <c r="X708" s="1265"/>
      <c r="Y708" s="1265"/>
      <c r="Z708" s="1265"/>
    </row>
    <row r="709" ht="27.0" customHeight="1">
      <c r="A709" s="1265"/>
      <c r="B709" s="1265"/>
      <c r="C709" s="1265"/>
      <c r="D709" s="1265"/>
      <c r="E709" s="1265"/>
      <c r="F709" s="1265"/>
      <c r="G709" s="1265"/>
      <c r="H709" s="1265"/>
      <c r="I709" s="1265"/>
      <c r="J709" s="1265"/>
      <c r="K709" s="1265"/>
      <c r="L709" s="1265"/>
      <c r="M709" s="1265"/>
      <c r="N709" s="1265"/>
      <c r="O709" s="1265"/>
      <c r="P709" s="1265"/>
      <c r="Q709" s="1265"/>
      <c r="R709" s="1265"/>
      <c r="S709" s="1265"/>
      <c r="T709" s="1265"/>
      <c r="U709" s="1265"/>
      <c r="V709" s="1265"/>
      <c r="W709" s="1265"/>
      <c r="X709" s="1265"/>
      <c r="Y709" s="1265"/>
      <c r="Z709" s="1265"/>
    </row>
    <row r="710" ht="27.0" customHeight="1">
      <c r="A710" s="1265"/>
      <c r="B710" s="1265"/>
      <c r="C710" s="1265"/>
      <c r="D710" s="1265"/>
      <c r="E710" s="1265"/>
      <c r="F710" s="1265"/>
      <c r="G710" s="1265"/>
      <c r="H710" s="1265"/>
      <c r="I710" s="1265"/>
      <c r="J710" s="1265"/>
      <c r="K710" s="1265"/>
      <c r="L710" s="1265"/>
      <c r="M710" s="1265"/>
      <c r="N710" s="1265"/>
      <c r="O710" s="1265"/>
      <c r="P710" s="1265"/>
      <c r="Q710" s="1265"/>
      <c r="R710" s="1265"/>
      <c r="S710" s="1265"/>
      <c r="T710" s="1265"/>
      <c r="U710" s="1265"/>
      <c r="V710" s="1265"/>
      <c r="W710" s="1265"/>
      <c r="X710" s="1265"/>
      <c r="Y710" s="1265"/>
      <c r="Z710" s="1265"/>
    </row>
    <row r="711" ht="27.0" customHeight="1">
      <c r="A711" s="1265"/>
      <c r="B711" s="1265"/>
      <c r="C711" s="1265"/>
      <c r="D711" s="1265"/>
      <c r="E711" s="1265"/>
      <c r="F711" s="1265"/>
      <c r="G711" s="1265"/>
      <c r="H711" s="1265"/>
      <c r="I711" s="1265"/>
      <c r="J711" s="1265"/>
      <c r="K711" s="1265"/>
      <c r="L711" s="1265"/>
      <c r="M711" s="1265"/>
      <c r="N711" s="1265"/>
      <c r="O711" s="1265"/>
      <c r="P711" s="1265"/>
      <c r="Q711" s="1265"/>
      <c r="R711" s="1265"/>
      <c r="S711" s="1265"/>
      <c r="T711" s="1265"/>
      <c r="U711" s="1265"/>
      <c r="V711" s="1265"/>
      <c r="W711" s="1265"/>
      <c r="X711" s="1265"/>
      <c r="Y711" s="1265"/>
      <c r="Z711" s="1265"/>
    </row>
    <row r="712" ht="27.0" customHeight="1">
      <c r="A712" s="1265"/>
      <c r="B712" s="1265"/>
      <c r="C712" s="1265"/>
      <c r="D712" s="1265"/>
      <c r="E712" s="1265"/>
      <c r="F712" s="1265"/>
      <c r="G712" s="1265"/>
      <c r="H712" s="1265"/>
      <c r="I712" s="1265"/>
      <c r="J712" s="1265"/>
      <c r="K712" s="1265"/>
      <c r="L712" s="1265"/>
      <c r="M712" s="1265"/>
      <c r="N712" s="1265"/>
      <c r="O712" s="1265"/>
      <c r="P712" s="1265"/>
      <c r="Q712" s="1265"/>
      <c r="R712" s="1265"/>
      <c r="S712" s="1265"/>
      <c r="T712" s="1265"/>
      <c r="U712" s="1265"/>
      <c r="V712" s="1265"/>
      <c r="W712" s="1265"/>
      <c r="X712" s="1265"/>
      <c r="Y712" s="1265"/>
      <c r="Z712" s="1265"/>
    </row>
    <row r="713" ht="27.0" customHeight="1">
      <c r="A713" s="1265"/>
      <c r="B713" s="1265"/>
      <c r="C713" s="1265"/>
      <c r="D713" s="1265"/>
      <c r="E713" s="1265"/>
      <c r="F713" s="1265"/>
      <c r="G713" s="1265"/>
      <c r="H713" s="1265"/>
      <c r="I713" s="1265"/>
      <c r="J713" s="1265"/>
      <c r="K713" s="1265"/>
      <c r="L713" s="1265"/>
      <c r="M713" s="1265"/>
      <c r="N713" s="1265"/>
      <c r="O713" s="1265"/>
      <c r="P713" s="1265"/>
      <c r="Q713" s="1265"/>
      <c r="R713" s="1265"/>
      <c r="S713" s="1265"/>
      <c r="T713" s="1265"/>
      <c r="U713" s="1265"/>
      <c r="V713" s="1265"/>
      <c r="W713" s="1265"/>
      <c r="X713" s="1265"/>
      <c r="Y713" s="1265"/>
      <c r="Z713" s="1265"/>
    </row>
    <row r="714" ht="27.0" customHeight="1">
      <c r="A714" s="1265"/>
      <c r="B714" s="1265"/>
      <c r="C714" s="1265"/>
      <c r="D714" s="1265"/>
      <c r="E714" s="1265"/>
      <c r="F714" s="1265"/>
      <c r="G714" s="1265"/>
      <c r="H714" s="1265"/>
      <c r="I714" s="1265"/>
      <c r="J714" s="1265"/>
      <c r="K714" s="1265"/>
      <c r="L714" s="1265"/>
      <c r="M714" s="1265"/>
      <c r="N714" s="1265"/>
      <c r="O714" s="1265"/>
      <c r="P714" s="1265"/>
      <c r="Q714" s="1265"/>
      <c r="R714" s="1265"/>
      <c r="S714" s="1265"/>
      <c r="T714" s="1265"/>
      <c r="U714" s="1265"/>
      <c r="V714" s="1265"/>
      <c r="W714" s="1265"/>
      <c r="X714" s="1265"/>
      <c r="Y714" s="1265"/>
      <c r="Z714" s="1265"/>
    </row>
    <row r="715" ht="27.0" customHeight="1">
      <c r="A715" s="1265"/>
      <c r="B715" s="1265"/>
      <c r="C715" s="1265"/>
      <c r="D715" s="1265"/>
      <c r="E715" s="1265"/>
      <c r="F715" s="1265"/>
      <c r="G715" s="1265"/>
      <c r="H715" s="1265"/>
      <c r="I715" s="1265"/>
      <c r="J715" s="1265"/>
      <c r="K715" s="1265"/>
      <c r="L715" s="1265"/>
      <c r="M715" s="1265"/>
      <c r="N715" s="1265"/>
      <c r="O715" s="1265"/>
      <c r="P715" s="1265"/>
      <c r="Q715" s="1265"/>
      <c r="R715" s="1265"/>
      <c r="S715" s="1265"/>
      <c r="T715" s="1265"/>
      <c r="U715" s="1265"/>
      <c r="V715" s="1265"/>
      <c r="W715" s="1265"/>
      <c r="X715" s="1265"/>
      <c r="Y715" s="1265"/>
      <c r="Z715" s="1265"/>
    </row>
    <row r="716" ht="27.0" customHeight="1">
      <c r="A716" s="1265"/>
      <c r="B716" s="1265"/>
      <c r="C716" s="1265"/>
      <c r="D716" s="1265"/>
      <c r="E716" s="1265"/>
      <c r="F716" s="1265"/>
      <c r="G716" s="1265"/>
      <c r="H716" s="1265"/>
      <c r="I716" s="1265"/>
      <c r="J716" s="1265"/>
      <c r="K716" s="1265"/>
      <c r="L716" s="1265"/>
      <c r="M716" s="1265"/>
      <c r="N716" s="1265"/>
      <c r="O716" s="1265"/>
      <c r="P716" s="1265"/>
      <c r="Q716" s="1265"/>
      <c r="R716" s="1265"/>
      <c r="S716" s="1265"/>
      <c r="T716" s="1265"/>
      <c r="U716" s="1265"/>
      <c r="V716" s="1265"/>
      <c r="W716" s="1265"/>
      <c r="X716" s="1265"/>
      <c r="Y716" s="1265"/>
      <c r="Z716" s="1265"/>
    </row>
    <row r="717" ht="27.0" customHeight="1">
      <c r="A717" s="1265"/>
      <c r="B717" s="1265"/>
      <c r="C717" s="1265"/>
      <c r="D717" s="1265"/>
      <c r="E717" s="1265"/>
      <c r="F717" s="1265"/>
      <c r="G717" s="1265"/>
      <c r="H717" s="1265"/>
      <c r="I717" s="1265"/>
      <c r="J717" s="1265"/>
      <c r="K717" s="1265"/>
      <c r="L717" s="1265"/>
      <c r="M717" s="1265"/>
      <c r="N717" s="1265"/>
      <c r="O717" s="1265"/>
      <c r="P717" s="1265"/>
      <c r="Q717" s="1265"/>
      <c r="R717" s="1265"/>
      <c r="S717" s="1265"/>
      <c r="T717" s="1265"/>
      <c r="U717" s="1265"/>
      <c r="V717" s="1265"/>
      <c r="W717" s="1265"/>
      <c r="X717" s="1265"/>
      <c r="Y717" s="1265"/>
      <c r="Z717" s="1265"/>
    </row>
    <row r="718" ht="27.0" customHeight="1">
      <c r="A718" s="1265"/>
      <c r="B718" s="1265"/>
      <c r="C718" s="1265"/>
      <c r="D718" s="1265"/>
      <c r="E718" s="1265"/>
      <c r="F718" s="1265"/>
      <c r="G718" s="1265"/>
      <c r="H718" s="1265"/>
      <c r="I718" s="1265"/>
      <c r="J718" s="1265"/>
      <c r="K718" s="1265"/>
      <c r="L718" s="1265"/>
      <c r="M718" s="1265"/>
      <c r="N718" s="1265"/>
      <c r="O718" s="1265"/>
      <c r="P718" s="1265"/>
      <c r="Q718" s="1265"/>
      <c r="R718" s="1265"/>
      <c r="S718" s="1265"/>
      <c r="T718" s="1265"/>
      <c r="U718" s="1265"/>
      <c r="V718" s="1265"/>
      <c r="W718" s="1265"/>
      <c r="X718" s="1265"/>
      <c r="Y718" s="1265"/>
      <c r="Z718" s="1265"/>
    </row>
    <row r="719" ht="27.0" customHeight="1">
      <c r="A719" s="1265"/>
      <c r="B719" s="1265"/>
      <c r="C719" s="1265"/>
      <c r="D719" s="1265"/>
      <c r="E719" s="1265"/>
      <c r="F719" s="1265"/>
      <c r="G719" s="1265"/>
      <c r="H719" s="1265"/>
      <c r="I719" s="1265"/>
      <c r="J719" s="1265"/>
      <c r="K719" s="1265"/>
      <c r="L719" s="1265"/>
      <c r="M719" s="1265"/>
      <c r="N719" s="1265"/>
      <c r="O719" s="1265"/>
      <c r="P719" s="1265"/>
      <c r="Q719" s="1265"/>
      <c r="R719" s="1265"/>
      <c r="S719" s="1265"/>
      <c r="T719" s="1265"/>
      <c r="U719" s="1265"/>
      <c r="V719" s="1265"/>
      <c r="W719" s="1265"/>
      <c r="X719" s="1265"/>
      <c r="Y719" s="1265"/>
      <c r="Z719" s="1265"/>
    </row>
    <row r="720" ht="27.0" customHeight="1">
      <c r="A720" s="1265"/>
      <c r="B720" s="1265"/>
      <c r="C720" s="1265"/>
      <c r="D720" s="1265"/>
      <c r="E720" s="1265"/>
      <c r="F720" s="1265"/>
      <c r="G720" s="1265"/>
      <c r="H720" s="1265"/>
      <c r="I720" s="1265"/>
      <c r="J720" s="1265"/>
      <c r="K720" s="1265"/>
      <c r="L720" s="1265"/>
      <c r="M720" s="1265"/>
      <c r="N720" s="1265"/>
      <c r="O720" s="1265"/>
      <c r="P720" s="1265"/>
      <c r="Q720" s="1265"/>
      <c r="R720" s="1265"/>
      <c r="S720" s="1265"/>
      <c r="T720" s="1265"/>
      <c r="U720" s="1265"/>
      <c r="V720" s="1265"/>
      <c r="W720" s="1265"/>
      <c r="X720" s="1265"/>
      <c r="Y720" s="1265"/>
      <c r="Z720" s="1265"/>
    </row>
    <row r="721" ht="27.0" customHeight="1">
      <c r="A721" s="1265"/>
      <c r="B721" s="1265"/>
      <c r="C721" s="1265"/>
      <c r="D721" s="1265"/>
      <c r="E721" s="1265"/>
      <c r="F721" s="1265"/>
      <c r="G721" s="1265"/>
      <c r="H721" s="1265"/>
      <c r="I721" s="1265"/>
      <c r="J721" s="1265"/>
      <c r="K721" s="1265"/>
      <c r="L721" s="1265"/>
      <c r="M721" s="1265"/>
      <c r="N721" s="1265"/>
      <c r="O721" s="1265"/>
      <c r="P721" s="1265"/>
      <c r="Q721" s="1265"/>
      <c r="R721" s="1265"/>
      <c r="S721" s="1265"/>
      <c r="T721" s="1265"/>
      <c r="U721" s="1265"/>
      <c r="V721" s="1265"/>
      <c r="W721" s="1265"/>
      <c r="X721" s="1265"/>
      <c r="Y721" s="1265"/>
      <c r="Z721" s="1265"/>
    </row>
    <row r="722" ht="27.0" customHeight="1">
      <c r="A722" s="1265"/>
      <c r="B722" s="1265"/>
      <c r="C722" s="1265"/>
      <c r="D722" s="1265"/>
      <c r="E722" s="1265"/>
      <c r="F722" s="1265"/>
      <c r="G722" s="1265"/>
      <c r="H722" s="1265"/>
      <c r="I722" s="1265"/>
      <c r="J722" s="1265"/>
      <c r="K722" s="1265"/>
      <c r="L722" s="1265"/>
      <c r="M722" s="1265"/>
      <c r="N722" s="1265"/>
      <c r="O722" s="1265"/>
      <c r="P722" s="1265"/>
      <c r="Q722" s="1265"/>
      <c r="R722" s="1265"/>
      <c r="S722" s="1265"/>
      <c r="T722" s="1265"/>
      <c r="U722" s="1265"/>
      <c r="V722" s="1265"/>
      <c r="W722" s="1265"/>
      <c r="X722" s="1265"/>
      <c r="Y722" s="1265"/>
      <c r="Z722" s="1265"/>
    </row>
    <row r="723" ht="27.0" customHeight="1">
      <c r="A723" s="1265"/>
      <c r="B723" s="1265"/>
      <c r="C723" s="1265"/>
      <c r="D723" s="1265"/>
      <c r="E723" s="1265"/>
      <c r="F723" s="1265"/>
      <c r="G723" s="1265"/>
      <c r="H723" s="1265"/>
      <c r="I723" s="1265"/>
      <c r="J723" s="1265"/>
      <c r="K723" s="1265"/>
      <c r="L723" s="1265"/>
      <c r="M723" s="1265"/>
      <c r="N723" s="1265"/>
      <c r="O723" s="1265"/>
      <c r="P723" s="1265"/>
      <c r="Q723" s="1265"/>
      <c r="R723" s="1265"/>
      <c r="S723" s="1265"/>
      <c r="T723" s="1265"/>
      <c r="U723" s="1265"/>
      <c r="V723" s="1265"/>
      <c r="W723" s="1265"/>
      <c r="X723" s="1265"/>
      <c r="Y723" s="1265"/>
      <c r="Z723" s="1265"/>
    </row>
    <row r="724" ht="27.0" customHeight="1">
      <c r="A724" s="1265"/>
      <c r="B724" s="1265"/>
      <c r="C724" s="1265"/>
      <c r="D724" s="1265"/>
      <c r="E724" s="1265"/>
      <c r="F724" s="1265"/>
      <c r="G724" s="1265"/>
      <c r="H724" s="1265"/>
      <c r="I724" s="1265"/>
      <c r="J724" s="1265"/>
      <c r="K724" s="1265"/>
      <c r="L724" s="1265"/>
      <c r="M724" s="1265"/>
      <c r="N724" s="1265"/>
      <c r="O724" s="1265"/>
      <c r="P724" s="1265"/>
      <c r="Q724" s="1265"/>
      <c r="R724" s="1265"/>
      <c r="S724" s="1265"/>
      <c r="T724" s="1265"/>
      <c r="U724" s="1265"/>
      <c r="V724" s="1265"/>
      <c r="W724" s="1265"/>
      <c r="X724" s="1265"/>
      <c r="Y724" s="1265"/>
      <c r="Z724" s="1265"/>
    </row>
    <row r="725" ht="27.0" customHeight="1">
      <c r="A725" s="1265"/>
      <c r="B725" s="1265"/>
      <c r="C725" s="1265"/>
      <c r="D725" s="1265"/>
      <c r="E725" s="1265"/>
      <c r="F725" s="1265"/>
      <c r="G725" s="1265"/>
      <c r="H725" s="1265"/>
      <c r="I725" s="1265"/>
      <c r="J725" s="1265"/>
      <c r="K725" s="1265"/>
      <c r="L725" s="1265"/>
      <c r="M725" s="1265"/>
      <c r="N725" s="1265"/>
      <c r="O725" s="1265"/>
      <c r="P725" s="1265"/>
      <c r="Q725" s="1265"/>
      <c r="R725" s="1265"/>
      <c r="S725" s="1265"/>
      <c r="T725" s="1265"/>
      <c r="U725" s="1265"/>
      <c r="V725" s="1265"/>
      <c r="W725" s="1265"/>
      <c r="X725" s="1265"/>
      <c r="Y725" s="1265"/>
      <c r="Z725" s="1265"/>
    </row>
    <row r="726" ht="27.0" customHeight="1">
      <c r="A726" s="1265"/>
      <c r="B726" s="1265"/>
      <c r="C726" s="1265"/>
      <c r="D726" s="1265"/>
      <c r="E726" s="1265"/>
      <c r="F726" s="1265"/>
      <c r="G726" s="1265"/>
      <c r="H726" s="1265"/>
      <c r="I726" s="1265"/>
      <c r="J726" s="1265"/>
      <c r="K726" s="1265"/>
      <c r="L726" s="1265"/>
      <c r="M726" s="1265"/>
      <c r="N726" s="1265"/>
      <c r="O726" s="1265"/>
      <c r="P726" s="1265"/>
      <c r="Q726" s="1265"/>
      <c r="R726" s="1265"/>
      <c r="S726" s="1265"/>
      <c r="T726" s="1265"/>
      <c r="U726" s="1265"/>
      <c r="V726" s="1265"/>
      <c r="W726" s="1265"/>
      <c r="X726" s="1265"/>
      <c r="Y726" s="1265"/>
      <c r="Z726" s="1265"/>
    </row>
    <row r="727" ht="27.0" customHeight="1">
      <c r="A727" s="1265"/>
      <c r="B727" s="1265"/>
      <c r="C727" s="1265"/>
      <c r="D727" s="1265"/>
      <c r="E727" s="1265"/>
      <c r="F727" s="1265"/>
      <c r="G727" s="1265"/>
      <c r="H727" s="1265"/>
      <c r="I727" s="1265"/>
      <c r="J727" s="1265"/>
      <c r="K727" s="1265"/>
      <c r="L727" s="1265"/>
      <c r="M727" s="1265"/>
      <c r="N727" s="1265"/>
      <c r="O727" s="1265"/>
      <c r="P727" s="1265"/>
      <c r="Q727" s="1265"/>
      <c r="R727" s="1265"/>
      <c r="S727" s="1265"/>
      <c r="T727" s="1265"/>
      <c r="U727" s="1265"/>
      <c r="V727" s="1265"/>
      <c r="W727" s="1265"/>
      <c r="X727" s="1265"/>
      <c r="Y727" s="1265"/>
      <c r="Z727" s="1265"/>
    </row>
    <row r="728" ht="27.0" customHeight="1">
      <c r="A728" s="1265"/>
      <c r="B728" s="1265"/>
      <c r="C728" s="1265"/>
      <c r="D728" s="1265"/>
      <c r="E728" s="1265"/>
      <c r="F728" s="1265"/>
      <c r="G728" s="1265"/>
      <c r="H728" s="1265"/>
      <c r="I728" s="1265"/>
      <c r="J728" s="1265"/>
      <c r="K728" s="1265"/>
      <c r="L728" s="1265"/>
      <c r="M728" s="1265"/>
      <c r="N728" s="1265"/>
      <c r="O728" s="1265"/>
      <c r="P728" s="1265"/>
      <c r="Q728" s="1265"/>
      <c r="R728" s="1265"/>
      <c r="S728" s="1265"/>
      <c r="T728" s="1265"/>
      <c r="U728" s="1265"/>
      <c r="V728" s="1265"/>
      <c r="W728" s="1265"/>
      <c r="X728" s="1265"/>
      <c r="Y728" s="1265"/>
      <c r="Z728" s="1265"/>
    </row>
    <row r="729" ht="27.0" customHeight="1">
      <c r="A729" s="1265"/>
      <c r="B729" s="1265"/>
      <c r="C729" s="1265"/>
      <c r="D729" s="1265"/>
      <c r="E729" s="1265"/>
      <c r="F729" s="1265"/>
      <c r="G729" s="1265"/>
      <c r="H729" s="1265"/>
      <c r="I729" s="1265"/>
      <c r="J729" s="1265"/>
      <c r="K729" s="1265"/>
      <c r="L729" s="1265"/>
      <c r="M729" s="1265"/>
      <c r="N729" s="1265"/>
      <c r="O729" s="1265"/>
      <c r="P729" s="1265"/>
      <c r="Q729" s="1265"/>
      <c r="R729" s="1265"/>
      <c r="S729" s="1265"/>
      <c r="T729" s="1265"/>
      <c r="U729" s="1265"/>
      <c r="V729" s="1265"/>
      <c r="W729" s="1265"/>
      <c r="X729" s="1265"/>
      <c r="Y729" s="1265"/>
      <c r="Z729" s="1265"/>
    </row>
    <row r="730" ht="27.0" customHeight="1">
      <c r="A730" s="1265"/>
      <c r="B730" s="1265"/>
      <c r="C730" s="1265"/>
      <c r="D730" s="1265"/>
      <c r="E730" s="1265"/>
      <c r="F730" s="1265"/>
      <c r="G730" s="1265"/>
      <c r="H730" s="1265"/>
      <c r="I730" s="1265"/>
      <c r="J730" s="1265"/>
      <c r="K730" s="1265"/>
      <c r="L730" s="1265"/>
      <c r="M730" s="1265"/>
      <c r="N730" s="1265"/>
      <c r="O730" s="1265"/>
      <c r="P730" s="1265"/>
      <c r="Q730" s="1265"/>
      <c r="R730" s="1265"/>
      <c r="S730" s="1265"/>
      <c r="T730" s="1265"/>
      <c r="U730" s="1265"/>
      <c r="V730" s="1265"/>
      <c r="W730" s="1265"/>
      <c r="X730" s="1265"/>
      <c r="Y730" s="1265"/>
      <c r="Z730" s="1265"/>
    </row>
    <row r="731" ht="27.0" customHeight="1">
      <c r="A731" s="1265"/>
      <c r="B731" s="1265"/>
      <c r="C731" s="1265"/>
      <c r="D731" s="1265"/>
      <c r="E731" s="1265"/>
      <c r="F731" s="1265"/>
      <c r="G731" s="1265"/>
      <c r="H731" s="1265"/>
      <c r="I731" s="1265"/>
      <c r="J731" s="1265"/>
      <c r="K731" s="1265"/>
      <c r="L731" s="1265"/>
      <c r="M731" s="1265"/>
      <c r="N731" s="1265"/>
      <c r="O731" s="1265"/>
      <c r="P731" s="1265"/>
      <c r="Q731" s="1265"/>
      <c r="R731" s="1265"/>
      <c r="S731" s="1265"/>
      <c r="T731" s="1265"/>
      <c r="U731" s="1265"/>
      <c r="V731" s="1265"/>
      <c r="W731" s="1265"/>
      <c r="X731" s="1265"/>
      <c r="Y731" s="1265"/>
      <c r="Z731" s="1265"/>
    </row>
    <row r="732" ht="27.0" customHeight="1">
      <c r="A732" s="1265"/>
      <c r="B732" s="1265"/>
      <c r="C732" s="1265"/>
      <c r="D732" s="1265"/>
      <c r="E732" s="1265"/>
      <c r="F732" s="1265"/>
      <c r="G732" s="1265"/>
      <c r="H732" s="1265"/>
      <c r="I732" s="1265"/>
      <c r="J732" s="1265"/>
      <c r="K732" s="1265"/>
      <c r="L732" s="1265"/>
      <c r="M732" s="1265"/>
      <c r="N732" s="1265"/>
      <c r="O732" s="1265"/>
      <c r="P732" s="1265"/>
      <c r="Q732" s="1265"/>
      <c r="R732" s="1265"/>
      <c r="S732" s="1265"/>
      <c r="T732" s="1265"/>
      <c r="U732" s="1265"/>
      <c r="V732" s="1265"/>
      <c r="W732" s="1265"/>
      <c r="X732" s="1265"/>
      <c r="Y732" s="1265"/>
      <c r="Z732" s="1265"/>
    </row>
    <row r="733" ht="27.0" customHeight="1">
      <c r="A733" s="1265"/>
      <c r="B733" s="1265"/>
      <c r="C733" s="1265"/>
      <c r="D733" s="1265"/>
      <c r="E733" s="1265"/>
      <c r="F733" s="1265"/>
      <c r="G733" s="1265"/>
      <c r="H733" s="1265"/>
      <c r="I733" s="1265"/>
      <c r="J733" s="1265"/>
      <c r="K733" s="1265"/>
      <c r="L733" s="1265"/>
      <c r="M733" s="1265"/>
      <c r="N733" s="1265"/>
      <c r="O733" s="1265"/>
      <c r="P733" s="1265"/>
      <c r="Q733" s="1265"/>
      <c r="R733" s="1265"/>
      <c r="S733" s="1265"/>
      <c r="T733" s="1265"/>
      <c r="U733" s="1265"/>
      <c r="V733" s="1265"/>
      <c r="W733" s="1265"/>
      <c r="X733" s="1265"/>
      <c r="Y733" s="1265"/>
      <c r="Z733" s="1265"/>
    </row>
    <row r="734" ht="27.0" customHeight="1">
      <c r="A734" s="1265"/>
      <c r="B734" s="1265"/>
      <c r="C734" s="1265"/>
      <c r="D734" s="1265"/>
      <c r="E734" s="1265"/>
      <c r="F734" s="1265"/>
      <c r="G734" s="1265"/>
      <c r="H734" s="1265"/>
      <c r="I734" s="1265"/>
      <c r="J734" s="1265"/>
      <c r="K734" s="1265"/>
      <c r="L734" s="1265"/>
      <c r="M734" s="1265"/>
      <c r="N734" s="1265"/>
      <c r="O734" s="1265"/>
      <c r="P734" s="1265"/>
      <c r="Q734" s="1265"/>
      <c r="R734" s="1265"/>
      <c r="S734" s="1265"/>
      <c r="T734" s="1265"/>
      <c r="U734" s="1265"/>
      <c r="V734" s="1265"/>
      <c r="W734" s="1265"/>
      <c r="X734" s="1265"/>
      <c r="Y734" s="1265"/>
      <c r="Z734" s="1265"/>
    </row>
    <row r="735" ht="27.0" customHeight="1">
      <c r="A735" s="1265"/>
      <c r="B735" s="1265"/>
      <c r="C735" s="1265"/>
      <c r="D735" s="1265"/>
      <c r="E735" s="1265"/>
      <c r="F735" s="1265"/>
      <c r="G735" s="1265"/>
      <c r="H735" s="1265"/>
      <c r="I735" s="1265"/>
      <c r="J735" s="1265"/>
      <c r="K735" s="1265"/>
      <c r="L735" s="1265"/>
      <c r="M735" s="1265"/>
      <c r="N735" s="1265"/>
      <c r="O735" s="1265"/>
      <c r="P735" s="1265"/>
      <c r="Q735" s="1265"/>
      <c r="R735" s="1265"/>
      <c r="S735" s="1265"/>
      <c r="T735" s="1265"/>
      <c r="U735" s="1265"/>
      <c r="V735" s="1265"/>
      <c r="W735" s="1265"/>
      <c r="X735" s="1265"/>
      <c r="Y735" s="1265"/>
      <c r="Z735" s="1265"/>
    </row>
    <row r="736" ht="27.0" customHeight="1">
      <c r="A736" s="1265"/>
      <c r="B736" s="1265"/>
      <c r="C736" s="1265"/>
      <c r="D736" s="1265"/>
      <c r="E736" s="1265"/>
      <c r="F736" s="1265"/>
      <c r="G736" s="1265"/>
      <c r="H736" s="1265"/>
      <c r="I736" s="1265"/>
      <c r="J736" s="1265"/>
      <c r="K736" s="1265"/>
      <c r="L736" s="1265"/>
      <c r="M736" s="1265"/>
      <c r="N736" s="1265"/>
      <c r="O736" s="1265"/>
      <c r="P736" s="1265"/>
      <c r="Q736" s="1265"/>
      <c r="R736" s="1265"/>
      <c r="S736" s="1265"/>
      <c r="T736" s="1265"/>
      <c r="U736" s="1265"/>
      <c r="V736" s="1265"/>
      <c r="W736" s="1265"/>
      <c r="X736" s="1265"/>
      <c r="Y736" s="1265"/>
      <c r="Z736" s="1265"/>
    </row>
    <row r="737" ht="27.0" customHeight="1">
      <c r="A737" s="1265"/>
      <c r="B737" s="1265"/>
      <c r="C737" s="1265"/>
      <c r="D737" s="1265"/>
      <c r="E737" s="1265"/>
      <c r="F737" s="1265"/>
      <c r="G737" s="1265"/>
      <c r="H737" s="1265"/>
      <c r="I737" s="1265"/>
      <c r="J737" s="1265"/>
      <c r="K737" s="1265"/>
      <c r="L737" s="1265"/>
      <c r="M737" s="1265"/>
      <c r="N737" s="1265"/>
      <c r="O737" s="1265"/>
      <c r="P737" s="1265"/>
      <c r="Q737" s="1265"/>
      <c r="R737" s="1265"/>
      <c r="S737" s="1265"/>
      <c r="T737" s="1265"/>
      <c r="U737" s="1265"/>
      <c r="V737" s="1265"/>
      <c r="W737" s="1265"/>
      <c r="X737" s="1265"/>
      <c r="Y737" s="1265"/>
      <c r="Z737" s="1265"/>
    </row>
    <row r="738" ht="27.0" customHeight="1">
      <c r="A738" s="1265"/>
      <c r="B738" s="1265"/>
      <c r="C738" s="1265"/>
      <c r="D738" s="1265"/>
      <c r="E738" s="1265"/>
      <c r="F738" s="1265"/>
      <c r="G738" s="1265"/>
      <c r="H738" s="1265"/>
      <c r="I738" s="1265"/>
      <c r="J738" s="1265"/>
      <c r="K738" s="1265"/>
      <c r="L738" s="1265"/>
      <c r="M738" s="1265"/>
      <c r="N738" s="1265"/>
      <c r="O738" s="1265"/>
      <c r="P738" s="1265"/>
      <c r="Q738" s="1265"/>
      <c r="R738" s="1265"/>
      <c r="S738" s="1265"/>
      <c r="T738" s="1265"/>
      <c r="U738" s="1265"/>
      <c r="V738" s="1265"/>
      <c r="W738" s="1265"/>
      <c r="X738" s="1265"/>
      <c r="Y738" s="1265"/>
      <c r="Z738" s="1265"/>
    </row>
    <row r="739" ht="27.0" customHeight="1">
      <c r="A739" s="1265"/>
      <c r="B739" s="1265"/>
      <c r="C739" s="1265"/>
      <c r="D739" s="1265"/>
      <c r="E739" s="1265"/>
      <c r="F739" s="1265"/>
      <c r="G739" s="1265"/>
      <c r="H739" s="1265"/>
      <c r="I739" s="1265"/>
      <c r="J739" s="1265"/>
      <c r="K739" s="1265"/>
      <c r="L739" s="1265"/>
      <c r="M739" s="1265"/>
      <c r="N739" s="1265"/>
      <c r="O739" s="1265"/>
      <c r="P739" s="1265"/>
      <c r="Q739" s="1265"/>
      <c r="R739" s="1265"/>
      <c r="S739" s="1265"/>
      <c r="T739" s="1265"/>
      <c r="U739" s="1265"/>
      <c r="V739" s="1265"/>
      <c r="W739" s="1265"/>
      <c r="X739" s="1265"/>
      <c r="Y739" s="1265"/>
      <c r="Z739" s="1265"/>
    </row>
    <row r="740" ht="27.0" customHeight="1">
      <c r="A740" s="1265"/>
      <c r="B740" s="1265"/>
      <c r="C740" s="1265"/>
      <c r="D740" s="1265"/>
      <c r="E740" s="1265"/>
      <c r="F740" s="1265"/>
      <c r="G740" s="1265"/>
      <c r="H740" s="1265"/>
      <c r="I740" s="1265"/>
      <c r="J740" s="1265"/>
      <c r="K740" s="1265"/>
      <c r="L740" s="1265"/>
      <c r="M740" s="1265"/>
      <c r="N740" s="1265"/>
      <c r="O740" s="1265"/>
      <c r="P740" s="1265"/>
      <c r="Q740" s="1265"/>
      <c r="R740" s="1265"/>
      <c r="S740" s="1265"/>
      <c r="T740" s="1265"/>
      <c r="U740" s="1265"/>
      <c r="V740" s="1265"/>
      <c r="W740" s="1265"/>
      <c r="X740" s="1265"/>
      <c r="Y740" s="1265"/>
      <c r="Z740" s="1265"/>
    </row>
    <row r="741" ht="27.0" customHeight="1">
      <c r="A741" s="1265"/>
      <c r="B741" s="1265"/>
      <c r="C741" s="1265"/>
      <c r="D741" s="1265"/>
      <c r="E741" s="1265"/>
      <c r="F741" s="1265"/>
      <c r="G741" s="1265"/>
      <c r="H741" s="1265"/>
      <c r="I741" s="1265"/>
      <c r="J741" s="1265"/>
      <c r="K741" s="1265"/>
      <c r="L741" s="1265"/>
      <c r="M741" s="1265"/>
      <c r="N741" s="1265"/>
      <c r="O741" s="1265"/>
      <c r="P741" s="1265"/>
      <c r="Q741" s="1265"/>
      <c r="R741" s="1265"/>
      <c r="S741" s="1265"/>
      <c r="T741" s="1265"/>
      <c r="U741" s="1265"/>
      <c r="V741" s="1265"/>
      <c r="W741" s="1265"/>
      <c r="X741" s="1265"/>
      <c r="Y741" s="1265"/>
      <c r="Z741" s="1265"/>
    </row>
    <row r="742" ht="27.0" customHeight="1">
      <c r="A742" s="1265"/>
      <c r="B742" s="1265"/>
      <c r="C742" s="1265"/>
      <c r="D742" s="1265"/>
      <c r="E742" s="1265"/>
      <c r="F742" s="1265"/>
      <c r="G742" s="1265"/>
      <c r="H742" s="1265"/>
      <c r="I742" s="1265"/>
      <c r="J742" s="1265"/>
      <c r="K742" s="1265"/>
      <c r="L742" s="1265"/>
      <c r="M742" s="1265"/>
      <c r="N742" s="1265"/>
      <c r="O742" s="1265"/>
      <c r="P742" s="1265"/>
      <c r="Q742" s="1265"/>
      <c r="R742" s="1265"/>
      <c r="S742" s="1265"/>
      <c r="T742" s="1265"/>
      <c r="U742" s="1265"/>
      <c r="V742" s="1265"/>
      <c r="W742" s="1265"/>
      <c r="X742" s="1265"/>
      <c r="Y742" s="1265"/>
      <c r="Z742" s="1265"/>
    </row>
    <row r="743" ht="27.0" customHeight="1">
      <c r="A743" s="1265"/>
      <c r="B743" s="1265"/>
      <c r="C743" s="1265"/>
      <c r="D743" s="1265"/>
      <c r="E743" s="1265"/>
      <c r="F743" s="1265"/>
      <c r="G743" s="1265"/>
      <c r="H743" s="1265"/>
      <c r="I743" s="1265"/>
      <c r="J743" s="1265"/>
      <c r="K743" s="1265"/>
      <c r="L743" s="1265"/>
      <c r="M743" s="1265"/>
      <c r="N743" s="1265"/>
      <c r="O743" s="1265"/>
      <c r="P743" s="1265"/>
      <c r="Q743" s="1265"/>
      <c r="R743" s="1265"/>
      <c r="S743" s="1265"/>
      <c r="T743" s="1265"/>
      <c r="U743" s="1265"/>
      <c r="V743" s="1265"/>
      <c r="W743" s="1265"/>
      <c r="X743" s="1265"/>
      <c r="Y743" s="1265"/>
      <c r="Z743" s="1265"/>
    </row>
    <row r="744" ht="27.0" customHeight="1">
      <c r="A744" s="1265"/>
      <c r="B744" s="1265"/>
      <c r="C744" s="1265"/>
      <c r="D744" s="1265"/>
      <c r="E744" s="1265"/>
      <c r="F744" s="1265"/>
      <c r="G744" s="1265"/>
      <c r="H744" s="1265"/>
      <c r="I744" s="1265"/>
      <c r="J744" s="1265"/>
      <c r="K744" s="1265"/>
      <c r="L744" s="1265"/>
      <c r="M744" s="1265"/>
      <c r="N744" s="1265"/>
      <c r="O744" s="1265"/>
      <c r="P744" s="1265"/>
      <c r="Q744" s="1265"/>
      <c r="R744" s="1265"/>
      <c r="S744" s="1265"/>
      <c r="T744" s="1265"/>
      <c r="U744" s="1265"/>
      <c r="V744" s="1265"/>
      <c r="W744" s="1265"/>
      <c r="X744" s="1265"/>
      <c r="Y744" s="1265"/>
      <c r="Z744" s="1265"/>
    </row>
    <row r="745" ht="27.0" customHeight="1">
      <c r="A745" s="1265"/>
      <c r="B745" s="1265"/>
      <c r="C745" s="1265"/>
      <c r="D745" s="1265"/>
      <c r="E745" s="1265"/>
      <c r="F745" s="1265"/>
      <c r="G745" s="1265"/>
      <c r="H745" s="1265"/>
      <c r="I745" s="1265"/>
      <c r="J745" s="1265"/>
      <c r="K745" s="1265"/>
      <c r="L745" s="1265"/>
      <c r="M745" s="1265"/>
      <c r="N745" s="1265"/>
      <c r="O745" s="1265"/>
      <c r="P745" s="1265"/>
      <c r="Q745" s="1265"/>
      <c r="R745" s="1265"/>
      <c r="S745" s="1265"/>
      <c r="T745" s="1265"/>
      <c r="U745" s="1265"/>
      <c r="V745" s="1265"/>
      <c r="W745" s="1265"/>
      <c r="X745" s="1265"/>
      <c r="Y745" s="1265"/>
      <c r="Z745" s="1265"/>
    </row>
    <row r="746" ht="27.0" customHeight="1">
      <c r="A746" s="1265"/>
      <c r="B746" s="1265"/>
      <c r="C746" s="1265"/>
      <c r="D746" s="1265"/>
      <c r="E746" s="1265"/>
      <c r="F746" s="1265"/>
      <c r="G746" s="1265"/>
      <c r="H746" s="1265"/>
      <c r="I746" s="1265"/>
      <c r="J746" s="1265"/>
      <c r="K746" s="1265"/>
      <c r="L746" s="1265"/>
      <c r="M746" s="1265"/>
      <c r="N746" s="1265"/>
      <c r="O746" s="1265"/>
      <c r="P746" s="1265"/>
      <c r="Q746" s="1265"/>
      <c r="R746" s="1265"/>
      <c r="S746" s="1265"/>
      <c r="T746" s="1265"/>
      <c r="U746" s="1265"/>
      <c r="V746" s="1265"/>
      <c r="W746" s="1265"/>
      <c r="X746" s="1265"/>
      <c r="Y746" s="1265"/>
      <c r="Z746" s="1265"/>
    </row>
    <row r="747" ht="27.0" customHeight="1">
      <c r="A747" s="1265"/>
      <c r="B747" s="1265"/>
      <c r="C747" s="1265"/>
      <c r="D747" s="1265"/>
      <c r="E747" s="1265"/>
      <c r="F747" s="1265"/>
      <c r="G747" s="1265"/>
      <c r="H747" s="1265"/>
      <c r="I747" s="1265"/>
      <c r="J747" s="1265"/>
      <c r="K747" s="1265"/>
      <c r="L747" s="1265"/>
      <c r="M747" s="1265"/>
      <c r="N747" s="1265"/>
      <c r="O747" s="1265"/>
      <c r="P747" s="1265"/>
      <c r="Q747" s="1265"/>
      <c r="R747" s="1265"/>
      <c r="S747" s="1265"/>
      <c r="T747" s="1265"/>
      <c r="U747" s="1265"/>
      <c r="V747" s="1265"/>
      <c r="W747" s="1265"/>
      <c r="X747" s="1265"/>
      <c r="Y747" s="1265"/>
      <c r="Z747" s="1265"/>
    </row>
    <row r="748" ht="27.0" customHeight="1">
      <c r="A748" s="1265"/>
      <c r="B748" s="1265"/>
      <c r="C748" s="1265"/>
      <c r="D748" s="1265"/>
      <c r="E748" s="1265"/>
      <c r="F748" s="1265"/>
      <c r="G748" s="1265"/>
      <c r="H748" s="1265"/>
      <c r="I748" s="1265"/>
      <c r="J748" s="1265"/>
      <c r="K748" s="1265"/>
      <c r="L748" s="1265"/>
      <c r="M748" s="1265"/>
      <c r="N748" s="1265"/>
      <c r="O748" s="1265"/>
      <c r="P748" s="1265"/>
      <c r="Q748" s="1265"/>
      <c r="R748" s="1265"/>
      <c r="S748" s="1265"/>
      <c r="T748" s="1265"/>
      <c r="U748" s="1265"/>
      <c r="V748" s="1265"/>
      <c r="W748" s="1265"/>
      <c r="X748" s="1265"/>
      <c r="Y748" s="1265"/>
      <c r="Z748" s="1265"/>
    </row>
    <row r="749" ht="27.0" customHeight="1">
      <c r="A749" s="1265"/>
      <c r="B749" s="1265"/>
      <c r="C749" s="1265"/>
      <c r="D749" s="1265"/>
      <c r="E749" s="1265"/>
      <c r="F749" s="1265"/>
      <c r="G749" s="1265"/>
      <c r="H749" s="1265"/>
      <c r="I749" s="1265"/>
      <c r="J749" s="1265"/>
      <c r="K749" s="1265"/>
      <c r="L749" s="1265"/>
      <c r="M749" s="1265"/>
      <c r="N749" s="1265"/>
      <c r="O749" s="1265"/>
      <c r="P749" s="1265"/>
      <c r="Q749" s="1265"/>
      <c r="R749" s="1265"/>
      <c r="S749" s="1265"/>
      <c r="T749" s="1265"/>
      <c r="U749" s="1265"/>
      <c r="V749" s="1265"/>
      <c r="W749" s="1265"/>
      <c r="X749" s="1265"/>
      <c r="Y749" s="1265"/>
      <c r="Z749" s="1265"/>
    </row>
    <row r="750" ht="27.0" customHeight="1">
      <c r="A750" s="1265"/>
      <c r="B750" s="1265"/>
      <c r="C750" s="1265"/>
      <c r="D750" s="1265"/>
      <c r="E750" s="1265"/>
      <c r="F750" s="1265"/>
      <c r="G750" s="1265"/>
      <c r="H750" s="1265"/>
      <c r="I750" s="1265"/>
      <c r="J750" s="1265"/>
      <c r="K750" s="1265"/>
      <c r="L750" s="1265"/>
      <c r="M750" s="1265"/>
      <c r="N750" s="1265"/>
      <c r="O750" s="1265"/>
      <c r="P750" s="1265"/>
      <c r="Q750" s="1265"/>
      <c r="R750" s="1265"/>
      <c r="S750" s="1265"/>
      <c r="T750" s="1265"/>
      <c r="U750" s="1265"/>
      <c r="V750" s="1265"/>
      <c r="W750" s="1265"/>
      <c r="X750" s="1265"/>
      <c r="Y750" s="1265"/>
      <c r="Z750" s="1265"/>
    </row>
    <row r="751" ht="27.0" customHeight="1">
      <c r="A751" s="1265"/>
      <c r="B751" s="1265"/>
      <c r="C751" s="1265"/>
      <c r="D751" s="1265"/>
      <c r="E751" s="1265"/>
      <c r="F751" s="1265"/>
      <c r="G751" s="1265"/>
      <c r="H751" s="1265"/>
      <c r="I751" s="1265"/>
      <c r="J751" s="1265"/>
      <c r="K751" s="1265"/>
      <c r="L751" s="1265"/>
      <c r="M751" s="1265"/>
      <c r="N751" s="1265"/>
      <c r="O751" s="1265"/>
      <c r="P751" s="1265"/>
      <c r="Q751" s="1265"/>
      <c r="R751" s="1265"/>
      <c r="S751" s="1265"/>
      <c r="T751" s="1265"/>
      <c r="U751" s="1265"/>
      <c r="V751" s="1265"/>
      <c r="W751" s="1265"/>
      <c r="X751" s="1265"/>
      <c r="Y751" s="1265"/>
      <c r="Z751" s="1265"/>
    </row>
    <row r="752" ht="27.0" customHeight="1">
      <c r="A752" s="1265"/>
      <c r="B752" s="1265"/>
      <c r="C752" s="1265"/>
      <c r="D752" s="1265"/>
      <c r="E752" s="1265"/>
      <c r="F752" s="1265"/>
      <c r="G752" s="1265"/>
      <c r="H752" s="1265"/>
      <c r="I752" s="1265"/>
      <c r="J752" s="1265"/>
      <c r="K752" s="1265"/>
      <c r="L752" s="1265"/>
      <c r="M752" s="1265"/>
      <c r="N752" s="1265"/>
      <c r="O752" s="1265"/>
      <c r="P752" s="1265"/>
      <c r="Q752" s="1265"/>
      <c r="R752" s="1265"/>
      <c r="S752" s="1265"/>
      <c r="T752" s="1265"/>
      <c r="U752" s="1265"/>
      <c r="V752" s="1265"/>
      <c r="W752" s="1265"/>
      <c r="X752" s="1265"/>
      <c r="Y752" s="1265"/>
      <c r="Z752" s="1265"/>
    </row>
    <row r="753" ht="27.0" customHeight="1">
      <c r="A753" s="1265"/>
      <c r="B753" s="1265"/>
      <c r="C753" s="1265"/>
      <c r="D753" s="1265"/>
      <c r="E753" s="1265"/>
      <c r="F753" s="1265"/>
      <c r="G753" s="1265"/>
      <c r="H753" s="1265"/>
      <c r="I753" s="1265"/>
      <c r="J753" s="1265"/>
      <c r="K753" s="1265"/>
      <c r="L753" s="1265"/>
      <c r="M753" s="1265"/>
      <c r="N753" s="1265"/>
      <c r="O753" s="1265"/>
      <c r="P753" s="1265"/>
      <c r="Q753" s="1265"/>
      <c r="R753" s="1265"/>
      <c r="S753" s="1265"/>
      <c r="T753" s="1265"/>
      <c r="U753" s="1265"/>
      <c r="V753" s="1265"/>
      <c r="W753" s="1265"/>
      <c r="X753" s="1265"/>
      <c r="Y753" s="1265"/>
      <c r="Z753" s="1265"/>
    </row>
    <row r="754" ht="27.0" customHeight="1">
      <c r="A754" s="1265"/>
      <c r="B754" s="1265"/>
      <c r="C754" s="1265"/>
      <c r="D754" s="1265"/>
      <c r="E754" s="1265"/>
      <c r="F754" s="1265"/>
      <c r="G754" s="1265"/>
      <c r="H754" s="1265"/>
      <c r="I754" s="1265"/>
      <c r="J754" s="1265"/>
      <c r="K754" s="1265"/>
      <c r="L754" s="1265"/>
      <c r="M754" s="1265"/>
      <c r="N754" s="1265"/>
      <c r="O754" s="1265"/>
      <c r="P754" s="1265"/>
      <c r="Q754" s="1265"/>
      <c r="R754" s="1265"/>
      <c r="S754" s="1265"/>
      <c r="T754" s="1265"/>
      <c r="U754" s="1265"/>
      <c r="V754" s="1265"/>
      <c r="W754" s="1265"/>
      <c r="X754" s="1265"/>
      <c r="Y754" s="1265"/>
      <c r="Z754" s="1265"/>
    </row>
    <row r="755" ht="27.0" customHeight="1">
      <c r="A755" s="1265"/>
      <c r="B755" s="1265"/>
      <c r="C755" s="1265"/>
      <c r="D755" s="1265"/>
      <c r="E755" s="1265"/>
      <c r="F755" s="1265"/>
      <c r="G755" s="1265"/>
      <c r="H755" s="1265"/>
      <c r="I755" s="1265"/>
      <c r="J755" s="1265"/>
      <c r="K755" s="1265"/>
      <c r="L755" s="1265"/>
      <c r="M755" s="1265"/>
      <c r="N755" s="1265"/>
      <c r="O755" s="1265"/>
      <c r="P755" s="1265"/>
      <c r="Q755" s="1265"/>
      <c r="R755" s="1265"/>
      <c r="S755" s="1265"/>
      <c r="T755" s="1265"/>
      <c r="U755" s="1265"/>
      <c r="V755" s="1265"/>
      <c r="W755" s="1265"/>
      <c r="X755" s="1265"/>
      <c r="Y755" s="1265"/>
      <c r="Z755" s="1265"/>
    </row>
    <row r="756" ht="27.0" customHeight="1">
      <c r="A756" s="1265"/>
      <c r="B756" s="1265"/>
      <c r="C756" s="1265"/>
      <c r="D756" s="1265"/>
      <c r="E756" s="1265"/>
      <c r="F756" s="1265"/>
      <c r="G756" s="1265"/>
      <c r="H756" s="1265"/>
      <c r="I756" s="1265"/>
      <c r="J756" s="1265"/>
      <c r="K756" s="1265"/>
      <c r="L756" s="1265"/>
      <c r="M756" s="1265"/>
      <c r="N756" s="1265"/>
      <c r="O756" s="1265"/>
      <c r="P756" s="1265"/>
      <c r="Q756" s="1265"/>
      <c r="R756" s="1265"/>
      <c r="S756" s="1265"/>
      <c r="T756" s="1265"/>
      <c r="U756" s="1265"/>
      <c r="V756" s="1265"/>
      <c r="W756" s="1265"/>
      <c r="X756" s="1265"/>
      <c r="Y756" s="1265"/>
      <c r="Z756" s="1265"/>
    </row>
    <row r="757" ht="27.0" customHeight="1">
      <c r="A757" s="1265"/>
      <c r="B757" s="1265"/>
      <c r="C757" s="1265"/>
      <c r="D757" s="1265"/>
      <c r="E757" s="1265"/>
      <c r="F757" s="1265"/>
      <c r="G757" s="1265"/>
      <c r="H757" s="1265"/>
      <c r="I757" s="1265"/>
      <c r="J757" s="1265"/>
      <c r="K757" s="1265"/>
      <c r="L757" s="1265"/>
      <c r="M757" s="1265"/>
      <c r="N757" s="1265"/>
      <c r="O757" s="1265"/>
      <c r="P757" s="1265"/>
      <c r="Q757" s="1265"/>
      <c r="R757" s="1265"/>
      <c r="S757" s="1265"/>
      <c r="T757" s="1265"/>
      <c r="U757" s="1265"/>
      <c r="V757" s="1265"/>
      <c r="W757" s="1265"/>
      <c r="X757" s="1265"/>
      <c r="Y757" s="1265"/>
      <c r="Z757" s="1265"/>
    </row>
    <row r="758" ht="27.0" customHeight="1">
      <c r="A758" s="1265"/>
      <c r="B758" s="1265"/>
      <c r="C758" s="1265"/>
      <c r="D758" s="1265"/>
      <c r="E758" s="1265"/>
      <c r="F758" s="1265"/>
      <c r="G758" s="1265"/>
      <c r="H758" s="1265"/>
      <c r="I758" s="1265"/>
      <c r="J758" s="1265"/>
      <c r="K758" s="1265"/>
      <c r="L758" s="1265"/>
      <c r="M758" s="1265"/>
      <c r="N758" s="1265"/>
      <c r="O758" s="1265"/>
      <c r="P758" s="1265"/>
      <c r="Q758" s="1265"/>
      <c r="R758" s="1265"/>
      <c r="S758" s="1265"/>
      <c r="T758" s="1265"/>
      <c r="U758" s="1265"/>
      <c r="V758" s="1265"/>
      <c r="W758" s="1265"/>
      <c r="X758" s="1265"/>
      <c r="Y758" s="1265"/>
      <c r="Z758" s="1265"/>
    </row>
    <row r="759" ht="27.0" customHeight="1">
      <c r="A759" s="1265"/>
      <c r="B759" s="1265"/>
      <c r="C759" s="1265"/>
      <c r="D759" s="1265"/>
      <c r="E759" s="1265"/>
      <c r="F759" s="1265"/>
      <c r="G759" s="1265"/>
      <c r="H759" s="1265"/>
      <c r="I759" s="1265"/>
      <c r="J759" s="1265"/>
      <c r="K759" s="1265"/>
      <c r="L759" s="1265"/>
      <c r="M759" s="1265"/>
      <c r="N759" s="1265"/>
      <c r="O759" s="1265"/>
      <c r="P759" s="1265"/>
      <c r="Q759" s="1265"/>
      <c r="R759" s="1265"/>
      <c r="S759" s="1265"/>
      <c r="T759" s="1265"/>
      <c r="U759" s="1265"/>
      <c r="V759" s="1265"/>
      <c r="W759" s="1265"/>
      <c r="X759" s="1265"/>
      <c r="Y759" s="1265"/>
      <c r="Z759" s="1265"/>
    </row>
    <row r="760" ht="27.0" customHeight="1">
      <c r="A760" s="1265"/>
      <c r="B760" s="1265"/>
      <c r="C760" s="1265"/>
      <c r="D760" s="1265"/>
      <c r="E760" s="1265"/>
      <c r="F760" s="1265"/>
      <c r="G760" s="1265"/>
      <c r="H760" s="1265"/>
      <c r="I760" s="1265"/>
      <c r="J760" s="1265"/>
      <c r="K760" s="1265"/>
      <c r="L760" s="1265"/>
      <c r="M760" s="1265"/>
      <c r="N760" s="1265"/>
      <c r="O760" s="1265"/>
      <c r="P760" s="1265"/>
      <c r="Q760" s="1265"/>
      <c r="R760" s="1265"/>
      <c r="S760" s="1265"/>
      <c r="T760" s="1265"/>
      <c r="U760" s="1265"/>
      <c r="V760" s="1265"/>
      <c r="W760" s="1265"/>
      <c r="X760" s="1265"/>
      <c r="Y760" s="1265"/>
      <c r="Z760" s="1265"/>
    </row>
    <row r="761" ht="27.0" customHeight="1">
      <c r="A761" s="1265"/>
      <c r="B761" s="1265"/>
      <c r="C761" s="1265"/>
      <c r="D761" s="1265"/>
      <c r="E761" s="1265"/>
      <c r="F761" s="1265"/>
      <c r="G761" s="1265"/>
      <c r="H761" s="1265"/>
      <c r="I761" s="1265"/>
      <c r="J761" s="1265"/>
      <c r="K761" s="1265"/>
      <c r="L761" s="1265"/>
      <c r="M761" s="1265"/>
      <c r="N761" s="1265"/>
      <c r="O761" s="1265"/>
      <c r="P761" s="1265"/>
      <c r="Q761" s="1265"/>
      <c r="R761" s="1265"/>
      <c r="S761" s="1265"/>
      <c r="T761" s="1265"/>
      <c r="U761" s="1265"/>
      <c r="V761" s="1265"/>
      <c r="W761" s="1265"/>
      <c r="X761" s="1265"/>
      <c r="Y761" s="1265"/>
      <c r="Z761" s="1265"/>
    </row>
    <row r="762" ht="27.0" customHeight="1">
      <c r="A762" s="1265"/>
      <c r="B762" s="1265"/>
      <c r="C762" s="1265"/>
      <c r="D762" s="1265"/>
      <c r="E762" s="1265"/>
      <c r="F762" s="1265"/>
      <c r="G762" s="1265"/>
      <c r="H762" s="1265"/>
      <c r="I762" s="1265"/>
      <c r="J762" s="1265"/>
      <c r="K762" s="1265"/>
      <c r="L762" s="1265"/>
      <c r="M762" s="1265"/>
      <c r="N762" s="1265"/>
      <c r="O762" s="1265"/>
      <c r="P762" s="1265"/>
      <c r="Q762" s="1265"/>
      <c r="R762" s="1265"/>
      <c r="S762" s="1265"/>
      <c r="T762" s="1265"/>
      <c r="U762" s="1265"/>
      <c r="V762" s="1265"/>
      <c r="W762" s="1265"/>
      <c r="X762" s="1265"/>
      <c r="Y762" s="1265"/>
      <c r="Z762" s="1265"/>
    </row>
    <row r="763" ht="27.0" customHeight="1">
      <c r="A763" s="1265"/>
      <c r="B763" s="1265"/>
      <c r="C763" s="1265"/>
      <c r="D763" s="1265"/>
      <c r="E763" s="1265"/>
      <c r="F763" s="1265"/>
      <c r="G763" s="1265"/>
      <c r="H763" s="1265"/>
      <c r="I763" s="1265"/>
      <c r="J763" s="1265"/>
      <c r="K763" s="1265"/>
      <c r="L763" s="1265"/>
      <c r="M763" s="1265"/>
      <c r="N763" s="1265"/>
      <c r="O763" s="1265"/>
      <c r="P763" s="1265"/>
      <c r="Q763" s="1265"/>
      <c r="R763" s="1265"/>
      <c r="S763" s="1265"/>
      <c r="T763" s="1265"/>
      <c r="U763" s="1265"/>
      <c r="V763" s="1265"/>
      <c r="W763" s="1265"/>
      <c r="X763" s="1265"/>
      <c r="Y763" s="1265"/>
      <c r="Z763" s="1265"/>
    </row>
    <row r="764" ht="27.0" customHeight="1">
      <c r="A764" s="1265"/>
      <c r="B764" s="1265"/>
      <c r="C764" s="1265"/>
      <c r="D764" s="1265"/>
      <c r="E764" s="1265"/>
      <c r="F764" s="1265"/>
      <c r="G764" s="1265"/>
      <c r="H764" s="1265"/>
      <c r="I764" s="1265"/>
      <c r="J764" s="1265"/>
      <c r="K764" s="1265"/>
      <c r="L764" s="1265"/>
      <c r="M764" s="1265"/>
      <c r="N764" s="1265"/>
      <c r="O764" s="1265"/>
      <c r="P764" s="1265"/>
      <c r="Q764" s="1265"/>
      <c r="R764" s="1265"/>
      <c r="S764" s="1265"/>
      <c r="T764" s="1265"/>
      <c r="U764" s="1265"/>
      <c r="V764" s="1265"/>
      <c r="W764" s="1265"/>
      <c r="X764" s="1265"/>
      <c r="Y764" s="1265"/>
      <c r="Z764" s="1265"/>
    </row>
    <row r="765" ht="27.0" customHeight="1">
      <c r="A765" s="1265"/>
      <c r="B765" s="1265"/>
      <c r="C765" s="1265"/>
      <c r="D765" s="1265"/>
      <c r="E765" s="1265"/>
      <c r="F765" s="1265"/>
      <c r="G765" s="1265"/>
      <c r="H765" s="1265"/>
      <c r="I765" s="1265"/>
      <c r="J765" s="1265"/>
      <c r="K765" s="1265"/>
      <c r="L765" s="1265"/>
      <c r="M765" s="1265"/>
      <c r="N765" s="1265"/>
      <c r="O765" s="1265"/>
      <c r="P765" s="1265"/>
      <c r="Q765" s="1265"/>
      <c r="R765" s="1265"/>
      <c r="S765" s="1265"/>
      <c r="T765" s="1265"/>
      <c r="U765" s="1265"/>
      <c r="V765" s="1265"/>
      <c r="W765" s="1265"/>
      <c r="X765" s="1265"/>
      <c r="Y765" s="1265"/>
      <c r="Z765" s="1265"/>
    </row>
    <row r="766" ht="27.0" customHeight="1">
      <c r="A766" s="1265"/>
      <c r="B766" s="1265"/>
      <c r="C766" s="1265"/>
      <c r="D766" s="1265"/>
      <c r="E766" s="1265"/>
      <c r="F766" s="1265"/>
      <c r="G766" s="1265"/>
      <c r="H766" s="1265"/>
      <c r="I766" s="1265"/>
      <c r="J766" s="1265"/>
      <c r="K766" s="1265"/>
      <c r="L766" s="1265"/>
      <c r="M766" s="1265"/>
      <c r="N766" s="1265"/>
      <c r="O766" s="1265"/>
      <c r="P766" s="1265"/>
      <c r="Q766" s="1265"/>
      <c r="R766" s="1265"/>
      <c r="S766" s="1265"/>
      <c r="T766" s="1265"/>
      <c r="U766" s="1265"/>
      <c r="V766" s="1265"/>
      <c r="W766" s="1265"/>
      <c r="X766" s="1265"/>
      <c r="Y766" s="1265"/>
      <c r="Z766" s="1265"/>
    </row>
    <row r="767" ht="27.0" customHeight="1">
      <c r="A767" s="1265"/>
      <c r="B767" s="1265"/>
      <c r="C767" s="1265"/>
      <c r="D767" s="1265"/>
      <c r="E767" s="1265"/>
      <c r="F767" s="1265"/>
      <c r="G767" s="1265"/>
      <c r="H767" s="1265"/>
      <c r="I767" s="1265"/>
      <c r="J767" s="1265"/>
      <c r="K767" s="1265"/>
      <c r="L767" s="1265"/>
      <c r="M767" s="1265"/>
      <c r="N767" s="1265"/>
      <c r="O767" s="1265"/>
      <c r="P767" s="1265"/>
      <c r="Q767" s="1265"/>
      <c r="R767" s="1265"/>
      <c r="S767" s="1265"/>
      <c r="T767" s="1265"/>
      <c r="U767" s="1265"/>
      <c r="V767" s="1265"/>
      <c r="W767" s="1265"/>
      <c r="X767" s="1265"/>
      <c r="Y767" s="1265"/>
      <c r="Z767" s="1265"/>
    </row>
    <row r="768" ht="27.0" customHeight="1">
      <c r="A768" s="1265"/>
      <c r="B768" s="1265"/>
      <c r="C768" s="1265"/>
      <c r="D768" s="1265"/>
      <c r="E768" s="1265"/>
      <c r="F768" s="1265"/>
      <c r="G768" s="1265"/>
      <c r="H768" s="1265"/>
      <c r="I768" s="1265"/>
      <c r="J768" s="1265"/>
      <c r="K768" s="1265"/>
      <c r="L768" s="1265"/>
      <c r="M768" s="1265"/>
      <c r="N768" s="1265"/>
      <c r="O768" s="1265"/>
      <c r="P768" s="1265"/>
      <c r="Q768" s="1265"/>
      <c r="R768" s="1265"/>
      <c r="S768" s="1265"/>
      <c r="T768" s="1265"/>
      <c r="U768" s="1265"/>
      <c r="V768" s="1265"/>
      <c r="W768" s="1265"/>
      <c r="X768" s="1265"/>
      <c r="Y768" s="1265"/>
      <c r="Z768" s="1265"/>
    </row>
    <row r="769" ht="27.0" customHeight="1">
      <c r="A769" s="1265"/>
      <c r="B769" s="1265"/>
      <c r="C769" s="1265"/>
      <c r="D769" s="1265"/>
      <c r="E769" s="1265"/>
      <c r="F769" s="1265"/>
      <c r="G769" s="1265"/>
      <c r="H769" s="1265"/>
      <c r="I769" s="1265"/>
      <c r="J769" s="1265"/>
      <c r="K769" s="1265"/>
      <c r="L769" s="1265"/>
      <c r="M769" s="1265"/>
      <c r="N769" s="1265"/>
      <c r="O769" s="1265"/>
      <c r="P769" s="1265"/>
      <c r="Q769" s="1265"/>
      <c r="R769" s="1265"/>
      <c r="S769" s="1265"/>
      <c r="T769" s="1265"/>
      <c r="U769" s="1265"/>
      <c r="V769" s="1265"/>
      <c r="W769" s="1265"/>
      <c r="X769" s="1265"/>
      <c r="Y769" s="1265"/>
      <c r="Z769" s="1265"/>
    </row>
    <row r="770" ht="27.0" customHeight="1">
      <c r="A770" s="1265"/>
      <c r="B770" s="1265"/>
      <c r="C770" s="1265"/>
      <c r="D770" s="1265"/>
      <c r="E770" s="1265"/>
      <c r="F770" s="1265"/>
      <c r="G770" s="1265"/>
      <c r="H770" s="1265"/>
      <c r="I770" s="1265"/>
      <c r="J770" s="1265"/>
      <c r="K770" s="1265"/>
      <c r="L770" s="1265"/>
      <c r="M770" s="1265"/>
      <c r="N770" s="1265"/>
      <c r="O770" s="1265"/>
      <c r="P770" s="1265"/>
      <c r="Q770" s="1265"/>
      <c r="R770" s="1265"/>
      <c r="S770" s="1265"/>
      <c r="T770" s="1265"/>
      <c r="U770" s="1265"/>
      <c r="V770" s="1265"/>
      <c r="W770" s="1265"/>
      <c r="X770" s="1265"/>
      <c r="Y770" s="1265"/>
      <c r="Z770" s="1265"/>
    </row>
    <row r="771" ht="27.0" customHeight="1">
      <c r="A771" s="1265"/>
      <c r="B771" s="1265"/>
      <c r="C771" s="1265"/>
      <c r="D771" s="1265"/>
      <c r="E771" s="1265"/>
      <c r="F771" s="1265"/>
      <c r="G771" s="1265"/>
      <c r="H771" s="1265"/>
      <c r="I771" s="1265"/>
      <c r="J771" s="1265"/>
      <c r="K771" s="1265"/>
      <c r="L771" s="1265"/>
      <c r="M771" s="1265"/>
      <c r="N771" s="1265"/>
      <c r="O771" s="1265"/>
      <c r="P771" s="1265"/>
      <c r="Q771" s="1265"/>
      <c r="R771" s="1265"/>
      <c r="S771" s="1265"/>
      <c r="T771" s="1265"/>
      <c r="U771" s="1265"/>
      <c r="V771" s="1265"/>
      <c r="W771" s="1265"/>
      <c r="X771" s="1265"/>
      <c r="Y771" s="1265"/>
      <c r="Z771" s="1265"/>
    </row>
    <row r="772" ht="27.0" customHeight="1">
      <c r="A772" s="1265"/>
      <c r="B772" s="1265"/>
      <c r="C772" s="1265"/>
      <c r="D772" s="1265"/>
      <c r="E772" s="1265"/>
      <c r="F772" s="1265"/>
      <c r="G772" s="1265"/>
      <c r="H772" s="1265"/>
      <c r="I772" s="1265"/>
      <c r="J772" s="1265"/>
      <c r="K772" s="1265"/>
      <c r="L772" s="1265"/>
      <c r="M772" s="1265"/>
      <c r="N772" s="1265"/>
      <c r="O772" s="1265"/>
      <c r="P772" s="1265"/>
      <c r="Q772" s="1265"/>
      <c r="R772" s="1265"/>
      <c r="S772" s="1265"/>
      <c r="T772" s="1265"/>
      <c r="U772" s="1265"/>
      <c r="V772" s="1265"/>
      <c r="W772" s="1265"/>
      <c r="X772" s="1265"/>
      <c r="Y772" s="1265"/>
      <c r="Z772" s="1265"/>
    </row>
    <row r="773" ht="27.0" customHeight="1">
      <c r="A773" s="1265"/>
      <c r="B773" s="1265"/>
      <c r="C773" s="1265"/>
      <c r="D773" s="1265"/>
      <c r="E773" s="1265"/>
      <c r="F773" s="1265"/>
      <c r="G773" s="1265"/>
      <c r="H773" s="1265"/>
      <c r="I773" s="1265"/>
      <c r="J773" s="1265"/>
      <c r="K773" s="1265"/>
      <c r="L773" s="1265"/>
      <c r="M773" s="1265"/>
      <c r="N773" s="1265"/>
      <c r="O773" s="1265"/>
      <c r="P773" s="1265"/>
      <c r="Q773" s="1265"/>
      <c r="R773" s="1265"/>
      <c r="S773" s="1265"/>
      <c r="T773" s="1265"/>
      <c r="U773" s="1265"/>
      <c r="V773" s="1265"/>
      <c r="W773" s="1265"/>
      <c r="X773" s="1265"/>
      <c r="Y773" s="1265"/>
      <c r="Z773" s="1265"/>
    </row>
    <row r="774" ht="27.0" customHeight="1">
      <c r="A774" s="1265"/>
      <c r="B774" s="1265"/>
      <c r="C774" s="1265"/>
      <c r="D774" s="1265"/>
      <c r="E774" s="1265"/>
      <c r="F774" s="1265"/>
      <c r="G774" s="1265"/>
      <c r="H774" s="1265"/>
      <c r="I774" s="1265"/>
      <c r="J774" s="1265"/>
      <c r="K774" s="1265"/>
      <c r="L774" s="1265"/>
      <c r="M774" s="1265"/>
      <c r="N774" s="1265"/>
      <c r="O774" s="1265"/>
      <c r="P774" s="1265"/>
      <c r="Q774" s="1265"/>
      <c r="R774" s="1265"/>
      <c r="S774" s="1265"/>
      <c r="T774" s="1265"/>
      <c r="U774" s="1265"/>
      <c r="V774" s="1265"/>
      <c r="W774" s="1265"/>
      <c r="X774" s="1265"/>
      <c r="Y774" s="1265"/>
      <c r="Z774" s="1265"/>
    </row>
    <row r="775" ht="27.0" customHeight="1">
      <c r="A775" s="1265"/>
      <c r="B775" s="1265"/>
      <c r="C775" s="1265"/>
      <c r="D775" s="1265"/>
      <c r="E775" s="1265"/>
      <c r="F775" s="1265"/>
      <c r="G775" s="1265"/>
      <c r="H775" s="1265"/>
      <c r="I775" s="1265"/>
      <c r="J775" s="1265"/>
      <c r="K775" s="1265"/>
      <c r="L775" s="1265"/>
      <c r="M775" s="1265"/>
      <c r="N775" s="1265"/>
      <c r="O775" s="1265"/>
      <c r="P775" s="1265"/>
      <c r="Q775" s="1265"/>
      <c r="R775" s="1265"/>
      <c r="S775" s="1265"/>
      <c r="T775" s="1265"/>
      <c r="U775" s="1265"/>
      <c r="V775" s="1265"/>
      <c r="W775" s="1265"/>
      <c r="X775" s="1265"/>
      <c r="Y775" s="1265"/>
      <c r="Z775" s="1265"/>
    </row>
    <row r="776" ht="27.0" customHeight="1">
      <c r="A776" s="1265"/>
      <c r="B776" s="1265"/>
      <c r="C776" s="1265"/>
      <c r="D776" s="1265"/>
      <c r="E776" s="1265"/>
      <c r="F776" s="1265"/>
      <c r="G776" s="1265"/>
      <c r="H776" s="1265"/>
      <c r="I776" s="1265"/>
      <c r="J776" s="1265"/>
      <c r="K776" s="1265"/>
      <c r="L776" s="1265"/>
      <c r="M776" s="1265"/>
      <c r="N776" s="1265"/>
      <c r="O776" s="1265"/>
      <c r="P776" s="1265"/>
      <c r="Q776" s="1265"/>
      <c r="R776" s="1265"/>
      <c r="S776" s="1265"/>
      <c r="T776" s="1265"/>
      <c r="U776" s="1265"/>
      <c r="V776" s="1265"/>
      <c r="W776" s="1265"/>
      <c r="X776" s="1265"/>
      <c r="Y776" s="1265"/>
      <c r="Z776" s="1265"/>
    </row>
    <row r="777" ht="27.0" customHeight="1">
      <c r="A777" s="1265"/>
      <c r="B777" s="1265"/>
      <c r="C777" s="1265"/>
      <c r="D777" s="1265"/>
      <c r="E777" s="1265"/>
      <c r="F777" s="1265"/>
      <c r="G777" s="1265"/>
      <c r="H777" s="1265"/>
      <c r="I777" s="1265"/>
      <c r="J777" s="1265"/>
      <c r="K777" s="1265"/>
      <c r="L777" s="1265"/>
      <c r="M777" s="1265"/>
      <c r="N777" s="1265"/>
      <c r="O777" s="1265"/>
      <c r="P777" s="1265"/>
      <c r="Q777" s="1265"/>
      <c r="R777" s="1265"/>
      <c r="S777" s="1265"/>
      <c r="T777" s="1265"/>
      <c r="U777" s="1265"/>
      <c r="V777" s="1265"/>
      <c r="W777" s="1265"/>
      <c r="X777" s="1265"/>
      <c r="Y777" s="1265"/>
      <c r="Z777" s="1265"/>
    </row>
    <row r="778" ht="27.0" customHeight="1">
      <c r="A778" s="1265"/>
      <c r="B778" s="1265"/>
      <c r="C778" s="1265"/>
      <c r="D778" s="1265"/>
      <c r="E778" s="1265"/>
      <c r="F778" s="1265"/>
      <c r="G778" s="1265"/>
      <c r="H778" s="1265"/>
      <c r="I778" s="1265"/>
      <c r="J778" s="1265"/>
      <c r="K778" s="1265"/>
      <c r="L778" s="1265"/>
      <c r="M778" s="1265"/>
      <c r="N778" s="1265"/>
      <c r="O778" s="1265"/>
      <c r="P778" s="1265"/>
      <c r="Q778" s="1265"/>
      <c r="R778" s="1265"/>
      <c r="S778" s="1265"/>
      <c r="T778" s="1265"/>
      <c r="U778" s="1265"/>
      <c r="V778" s="1265"/>
      <c r="W778" s="1265"/>
      <c r="X778" s="1265"/>
      <c r="Y778" s="1265"/>
      <c r="Z778" s="1265"/>
    </row>
    <row r="779" ht="27.0" customHeight="1">
      <c r="A779" s="1265"/>
      <c r="B779" s="1265"/>
      <c r="C779" s="1265"/>
      <c r="D779" s="1265"/>
      <c r="E779" s="1265"/>
      <c r="F779" s="1265"/>
      <c r="G779" s="1265"/>
      <c r="H779" s="1265"/>
      <c r="I779" s="1265"/>
      <c r="J779" s="1265"/>
      <c r="K779" s="1265"/>
      <c r="L779" s="1265"/>
      <c r="M779" s="1265"/>
      <c r="N779" s="1265"/>
      <c r="O779" s="1265"/>
      <c r="P779" s="1265"/>
      <c r="Q779" s="1265"/>
      <c r="R779" s="1265"/>
      <c r="S779" s="1265"/>
      <c r="T779" s="1265"/>
      <c r="U779" s="1265"/>
      <c r="V779" s="1265"/>
      <c r="W779" s="1265"/>
      <c r="X779" s="1265"/>
      <c r="Y779" s="1265"/>
      <c r="Z779" s="1265"/>
    </row>
    <row r="780" ht="27.0" customHeight="1">
      <c r="A780" s="1265"/>
      <c r="B780" s="1265"/>
      <c r="C780" s="1265"/>
      <c r="D780" s="1265"/>
      <c r="E780" s="1265"/>
      <c r="F780" s="1265"/>
      <c r="G780" s="1265"/>
      <c r="H780" s="1265"/>
      <c r="I780" s="1265"/>
      <c r="J780" s="1265"/>
      <c r="K780" s="1265"/>
      <c r="L780" s="1265"/>
      <c r="M780" s="1265"/>
      <c r="N780" s="1265"/>
      <c r="O780" s="1265"/>
      <c r="P780" s="1265"/>
      <c r="Q780" s="1265"/>
      <c r="R780" s="1265"/>
      <c r="S780" s="1265"/>
      <c r="T780" s="1265"/>
      <c r="U780" s="1265"/>
      <c r="V780" s="1265"/>
      <c r="W780" s="1265"/>
      <c r="X780" s="1265"/>
      <c r="Y780" s="1265"/>
      <c r="Z780" s="1265"/>
    </row>
    <row r="781" ht="27.0" customHeight="1">
      <c r="A781" s="1265"/>
      <c r="B781" s="1265"/>
      <c r="C781" s="1265"/>
      <c r="D781" s="1265"/>
      <c r="E781" s="1265"/>
      <c r="F781" s="1265"/>
      <c r="G781" s="1265"/>
      <c r="H781" s="1265"/>
      <c r="I781" s="1265"/>
      <c r="J781" s="1265"/>
      <c r="K781" s="1265"/>
      <c r="L781" s="1265"/>
      <c r="M781" s="1265"/>
      <c r="N781" s="1265"/>
      <c r="O781" s="1265"/>
      <c r="P781" s="1265"/>
      <c r="Q781" s="1265"/>
      <c r="R781" s="1265"/>
      <c r="S781" s="1265"/>
      <c r="T781" s="1265"/>
      <c r="U781" s="1265"/>
      <c r="V781" s="1265"/>
      <c r="W781" s="1265"/>
      <c r="X781" s="1265"/>
      <c r="Y781" s="1265"/>
      <c r="Z781" s="1265"/>
    </row>
    <row r="782" ht="27.0" customHeight="1">
      <c r="A782" s="1265"/>
      <c r="B782" s="1265"/>
      <c r="C782" s="1265"/>
      <c r="D782" s="1265"/>
      <c r="E782" s="1265"/>
      <c r="F782" s="1265"/>
      <c r="G782" s="1265"/>
      <c r="H782" s="1265"/>
      <c r="I782" s="1265"/>
      <c r="J782" s="1265"/>
      <c r="K782" s="1265"/>
      <c r="L782" s="1265"/>
      <c r="M782" s="1265"/>
      <c r="N782" s="1265"/>
      <c r="O782" s="1265"/>
      <c r="P782" s="1265"/>
      <c r="Q782" s="1265"/>
      <c r="R782" s="1265"/>
      <c r="S782" s="1265"/>
      <c r="T782" s="1265"/>
      <c r="U782" s="1265"/>
      <c r="V782" s="1265"/>
      <c r="W782" s="1265"/>
      <c r="X782" s="1265"/>
      <c r="Y782" s="1265"/>
      <c r="Z782" s="1265"/>
    </row>
    <row r="783" ht="27.0" customHeight="1">
      <c r="A783" s="1265"/>
      <c r="B783" s="1265"/>
      <c r="C783" s="1265"/>
      <c r="D783" s="1265"/>
      <c r="E783" s="1265"/>
      <c r="F783" s="1265"/>
      <c r="G783" s="1265"/>
      <c r="H783" s="1265"/>
      <c r="I783" s="1265"/>
      <c r="J783" s="1265"/>
      <c r="K783" s="1265"/>
      <c r="L783" s="1265"/>
      <c r="M783" s="1265"/>
      <c r="N783" s="1265"/>
      <c r="O783" s="1265"/>
      <c r="P783" s="1265"/>
      <c r="Q783" s="1265"/>
      <c r="R783" s="1265"/>
      <c r="S783" s="1265"/>
      <c r="T783" s="1265"/>
      <c r="U783" s="1265"/>
      <c r="V783" s="1265"/>
      <c r="W783" s="1265"/>
      <c r="X783" s="1265"/>
      <c r="Y783" s="1265"/>
      <c r="Z783" s="1265"/>
    </row>
    <row r="784" ht="27.0" customHeight="1">
      <c r="A784" s="1265"/>
      <c r="B784" s="1265"/>
      <c r="C784" s="1265"/>
      <c r="D784" s="1265"/>
      <c r="E784" s="1265"/>
      <c r="F784" s="1265"/>
      <c r="G784" s="1265"/>
      <c r="H784" s="1265"/>
      <c r="I784" s="1265"/>
      <c r="J784" s="1265"/>
      <c r="K784" s="1265"/>
      <c r="L784" s="1265"/>
      <c r="M784" s="1265"/>
      <c r="N784" s="1265"/>
      <c r="O784" s="1265"/>
      <c r="P784" s="1265"/>
      <c r="Q784" s="1265"/>
      <c r="R784" s="1265"/>
      <c r="S784" s="1265"/>
      <c r="T784" s="1265"/>
      <c r="U784" s="1265"/>
      <c r="V784" s="1265"/>
      <c r="W784" s="1265"/>
      <c r="X784" s="1265"/>
      <c r="Y784" s="1265"/>
      <c r="Z784" s="1265"/>
    </row>
    <row r="785" ht="27.0" customHeight="1">
      <c r="A785" s="1265"/>
      <c r="B785" s="1265"/>
      <c r="C785" s="1265"/>
      <c r="D785" s="1265"/>
      <c r="E785" s="1265"/>
      <c r="F785" s="1265"/>
      <c r="G785" s="1265"/>
      <c r="H785" s="1265"/>
      <c r="I785" s="1265"/>
      <c r="J785" s="1265"/>
      <c r="K785" s="1265"/>
      <c r="L785" s="1265"/>
      <c r="M785" s="1265"/>
      <c r="N785" s="1265"/>
      <c r="O785" s="1265"/>
      <c r="P785" s="1265"/>
      <c r="Q785" s="1265"/>
      <c r="R785" s="1265"/>
      <c r="S785" s="1265"/>
      <c r="T785" s="1265"/>
      <c r="U785" s="1265"/>
      <c r="V785" s="1265"/>
      <c r="W785" s="1265"/>
      <c r="X785" s="1265"/>
      <c r="Y785" s="1265"/>
      <c r="Z785" s="1265"/>
    </row>
    <row r="786" ht="27.0" customHeight="1">
      <c r="A786" s="1265"/>
      <c r="B786" s="1265"/>
      <c r="C786" s="1265"/>
      <c r="D786" s="1265"/>
      <c r="E786" s="1265"/>
      <c r="F786" s="1265"/>
      <c r="G786" s="1265"/>
      <c r="H786" s="1265"/>
      <c r="I786" s="1265"/>
      <c r="J786" s="1265"/>
      <c r="K786" s="1265"/>
      <c r="L786" s="1265"/>
      <c r="M786" s="1265"/>
      <c r="N786" s="1265"/>
      <c r="O786" s="1265"/>
      <c r="P786" s="1265"/>
      <c r="Q786" s="1265"/>
      <c r="R786" s="1265"/>
      <c r="S786" s="1265"/>
      <c r="T786" s="1265"/>
      <c r="U786" s="1265"/>
      <c r="V786" s="1265"/>
      <c r="W786" s="1265"/>
      <c r="X786" s="1265"/>
      <c r="Y786" s="1265"/>
      <c r="Z786" s="1265"/>
    </row>
    <row r="787" ht="27.0" customHeight="1">
      <c r="A787" s="1265"/>
      <c r="B787" s="1265"/>
      <c r="C787" s="1265"/>
      <c r="D787" s="1265"/>
      <c r="E787" s="1265"/>
      <c r="F787" s="1265"/>
      <c r="G787" s="1265"/>
      <c r="H787" s="1265"/>
      <c r="I787" s="1265"/>
      <c r="J787" s="1265"/>
      <c r="K787" s="1265"/>
      <c r="L787" s="1265"/>
      <c r="M787" s="1265"/>
      <c r="N787" s="1265"/>
      <c r="O787" s="1265"/>
      <c r="P787" s="1265"/>
      <c r="Q787" s="1265"/>
      <c r="R787" s="1265"/>
      <c r="S787" s="1265"/>
      <c r="T787" s="1265"/>
      <c r="U787" s="1265"/>
      <c r="V787" s="1265"/>
      <c r="W787" s="1265"/>
      <c r="X787" s="1265"/>
      <c r="Y787" s="1265"/>
      <c r="Z787" s="1265"/>
    </row>
    <row r="788" ht="27.0" customHeight="1">
      <c r="A788" s="1265"/>
      <c r="B788" s="1265"/>
      <c r="C788" s="1265"/>
      <c r="D788" s="1265"/>
      <c r="E788" s="1265"/>
      <c r="F788" s="1265"/>
      <c r="G788" s="1265"/>
      <c r="H788" s="1265"/>
      <c r="I788" s="1265"/>
      <c r="J788" s="1265"/>
      <c r="K788" s="1265"/>
      <c r="L788" s="1265"/>
      <c r="M788" s="1265"/>
      <c r="N788" s="1265"/>
      <c r="O788" s="1265"/>
      <c r="P788" s="1265"/>
      <c r="Q788" s="1265"/>
      <c r="R788" s="1265"/>
      <c r="S788" s="1265"/>
      <c r="T788" s="1265"/>
      <c r="U788" s="1265"/>
      <c r="V788" s="1265"/>
      <c r="W788" s="1265"/>
      <c r="X788" s="1265"/>
      <c r="Y788" s="1265"/>
      <c r="Z788" s="1265"/>
    </row>
    <row r="789" ht="27.0" customHeight="1">
      <c r="A789" s="1265"/>
      <c r="B789" s="1265"/>
      <c r="C789" s="1265"/>
      <c r="D789" s="1265"/>
      <c r="E789" s="1265"/>
      <c r="F789" s="1265"/>
      <c r="G789" s="1265"/>
      <c r="H789" s="1265"/>
      <c r="I789" s="1265"/>
      <c r="J789" s="1265"/>
      <c r="K789" s="1265"/>
      <c r="L789" s="1265"/>
      <c r="M789" s="1265"/>
      <c r="N789" s="1265"/>
      <c r="O789" s="1265"/>
      <c r="P789" s="1265"/>
      <c r="Q789" s="1265"/>
      <c r="R789" s="1265"/>
      <c r="S789" s="1265"/>
      <c r="T789" s="1265"/>
      <c r="U789" s="1265"/>
      <c r="V789" s="1265"/>
      <c r="W789" s="1265"/>
      <c r="X789" s="1265"/>
      <c r="Y789" s="1265"/>
      <c r="Z789" s="1265"/>
    </row>
    <row r="790" ht="27.0" customHeight="1">
      <c r="A790" s="1265"/>
      <c r="B790" s="1265"/>
      <c r="C790" s="1265"/>
      <c r="D790" s="1265"/>
      <c r="E790" s="1265"/>
      <c r="F790" s="1265"/>
      <c r="G790" s="1265"/>
      <c r="H790" s="1265"/>
      <c r="I790" s="1265"/>
      <c r="J790" s="1265"/>
      <c r="K790" s="1265"/>
      <c r="L790" s="1265"/>
      <c r="M790" s="1265"/>
      <c r="N790" s="1265"/>
      <c r="O790" s="1265"/>
      <c r="P790" s="1265"/>
      <c r="Q790" s="1265"/>
      <c r="R790" s="1265"/>
      <c r="S790" s="1265"/>
      <c r="T790" s="1265"/>
      <c r="U790" s="1265"/>
      <c r="V790" s="1265"/>
      <c r="W790" s="1265"/>
      <c r="X790" s="1265"/>
      <c r="Y790" s="1265"/>
      <c r="Z790" s="1265"/>
    </row>
    <row r="791" ht="27.0" customHeight="1">
      <c r="A791" s="1265"/>
      <c r="B791" s="1265"/>
      <c r="C791" s="1265"/>
      <c r="D791" s="1265"/>
      <c r="E791" s="1265"/>
      <c r="F791" s="1265"/>
      <c r="G791" s="1265"/>
      <c r="H791" s="1265"/>
      <c r="I791" s="1265"/>
      <c r="J791" s="1265"/>
      <c r="K791" s="1265"/>
      <c r="L791" s="1265"/>
      <c r="M791" s="1265"/>
      <c r="N791" s="1265"/>
      <c r="O791" s="1265"/>
      <c r="P791" s="1265"/>
      <c r="Q791" s="1265"/>
      <c r="R791" s="1265"/>
      <c r="S791" s="1265"/>
      <c r="T791" s="1265"/>
      <c r="U791" s="1265"/>
      <c r="V791" s="1265"/>
      <c r="W791" s="1265"/>
      <c r="X791" s="1265"/>
      <c r="Y791" s="1265"/>
      <c r="Z791" s="1265"/>
    </row>
    <row r="792" ht="27.0" customHeight="1">
      <c r="A792" s="1265"/>
      <c r="B792" s="1265"/>
      <c r="C792" s="1265"/>
      <c r="D792" s="1265"/>
      <c r="E792" s="1265"/>
      <c r="F792" s="1265"/>
      <c r="G792" s="1265"/>
      <c r="H792" s="1265"/>
      <c r="I792" s="1265"/>
      <c r="J792" s="1265"/>
      <c r="K792" s="1265"/>
      <c r="L792" s="1265"/>
      <c r="M792" s="1265"/>
      <c r="N792" s="1265"/>
      <c r="O792" s="1265"/>
      <c r="P792" s="1265"/>
      <c r="Q792" s="1265"/>
      <c r="R792" s="1265"/>
      <c r="S792" s="1265"/>
      <c r="T792" s="1265"/>
      <c r="U792" s="1265"/>
      <c r="V792" s="1265"/>
      <c r="W792" s="1265"/>
      <c r="X792" s="1265"/>
      <c r="Y792" s="1265"/>
      <c r="Z792" s="1265"/>
    </row>
    <row r="793" ht="27.0" customHeight="1">
      <c r="A793" s="1265"/>
      <c r="B793" s="1265"/>
      <c r="C793" s="1265"/>
      <c r="D793" s="1265"/>
      <c r="E793" s="1265"/>
      <c r="F793" s="1265"/>
      <c r="G793" s="1265"/>
      <c r="H793" s="1265"/>
      <c r="I793" s="1265"/>
      <c r="J793" s="1265"/>
      <c r="K793" s="1265"/>
      <c r="L793" s="1265"/>
      <c r="M793" s="1265"/>
      <c r="N793" s="1265"/>
      <c r="O793" s="1265"/>
      <c r="P793" s="1265"/>
      <c r="Q793" s="1265"/>
      <c r="R793" s="1265"/>
      <c r="S793" s="1265"/>
      <c r="T793" s="1265"/>
      <c r="U793" s="1265"/>
      <c r="V793" s="1265"/>
      <c r="W793" s="1265"/>
      <c r="X793" s="1265"/>
      <c r="Y793" s="1265"/>
      <c r="Z793" s="1265"/>
    </row>
    <row r="794" ht="27.0" customHeight="1">
      <c r="A794" s="1265"/>
      <c r="B794" s="1265"/>
      <c r="C794" s="1265"/>
      <c r="D794" s="1265"/>
      <c r="E794" s="1265"/>
      <c r="F794" s="1265"/>
      <c r="G794" s="1265"/>
      <c r="H794" s="1265"/>
      <c r="I794" s="1265"/>
      <c r="J794" s="1265"/>
      <c r="K794" s="1265"/>
      <c r="L794" s="1265"/>
      <c r="M794" s="1265"/>
      <c r="N794" s="1265"/>
      <c r="O794" s="1265"/>
      <c r="P794" s="1265"/>
      <c r="Q794" s="1265"/>
      <c r="R794" s="1265"/>
      <c r="S794" s="1265"/>
      <c r="T794" s="1265"/>
      <c r="U794" s="1265"/>
      <c r="V794" s="1265"/>
      <c r="W794" s="1265"/>
      <c r="X794" s="1265"/>
      <c r="Y794" s="1265"/>
      <c r="Z794" s="1265"/>
    </row>
    <row r="795" ht="27.0" customHeight="1">
      <c r="A795" s="1265"/>
      <c r="B795" s="1265"/>
      <c r="C795" s="1265"/>
      <c r="D795" s="1265"/>
      <c r="E795" s="1265"/>
      <c r="F795" s="1265"/>
      <c r="G795" s="1265"/>
      <c r="H795" s="1265"/>
      <c r="I795" s="1265"/>
      <c r="J795" s="1265"/>
      <c r="K795" s="1265"/>
      <c r="L795" s="1265"/>
      <c r="M795" s="1265"/>
      <c r="N795" s="1265"/>
      <c r="O795" s="1265"/>
      <c r="P795" s="1265"/>
      <c r="Q795" s="1265"/>
      <c r="R795" s="1265"/>
      <c r="S795" s="1265"/>
      <c r="T795" s="1265"/>
      <c r="U795" s="1265"/>
      <c r="V795" s="1265"/>
      <c r="W795" s="1265"/>
      <c r="X795" s="1265"/>
      <c r="Y795" s="1265"/>
      <c r="Z795" s="1265"/>
    </row>
    <row r="796" ht="27.0" customHeight="1">
      <c r="A796" s="1265"/>
      <c r="B796" s="1265"/>
      <c r="C796" s="1265"/>
      <c r="D796" s="1265"/>
      <c r="E796" s="1265"/>
      <c r="F796" s="1265"/>
      <c r="G796" s="1265"/>
      <c r="H796" s="1265"/>
      <c r="I796" s="1265"/>
      <c r="J796" s="1265"/>
      <c r="K796" s="1265"/>
      <c r="L796" s="1265"/>
      <c r="M796" s="1265"/>
      <c r="N796" s="1265"/>
      <c r="O796" s="1265"/>
      <c r="P796" s="1265"/>
      <c r="Q796" s="1265"/>
      <c r="R796" s="1265"/>
      <c r="S796" s="1265"/>
      <c r="T796" s="1265"/>
      <c r="U796" s="1265"/>
      <c r="V796" s="1265"/>
      <c r="W796" s="1265"/>
      <c r="X796" s="1265"/>
      <c r="Y796" s="1265"/>
      <c r="Z796" s="1265"/>
    </row>
    <row r="797" ht="27.0" customHeight="1">
      <c r="A797" s="1265"/>
      <c r="B797" s="1265"/>
      <c r="C797" s="1265"/>
      <c r="D797" s="1265"/>
      <c r="E797" s="1265"/>
      <c r="F797" s="1265"/>
      <c r="G797" s="1265"/>
      <c r="H797" s="1265"/>
      <c r="I797" s="1265"/>
      <c r="J797" s="1265"/>
      <c r="K797" s="1265"/>
      <c r="L797" s="1265"/>
      <c r="M797" s="1265"/>
      <c r="N797" s="1265"/>
      <c r="O797" s="1265"/>
      <c r="P797" s="1265"/>
      <c r="Q797" s="1265"/>
      <c r="R797" s="1265"/>
      <c r="S797" s="1265"/>
      <c r="T797" s="1265"/>
      <c r="U797" s="1265"/>
      <c r="V797" s="1265"/>
      <c r="W797" s="1265"/>
      <c r="X797" s="1265"/>
      <c r="Y797" s="1265"/>
      <c r="Z797" s="1265"/>
    </row>
    <row r="798" ht="27.0" customHeight="1">
      <c r="A798" s="1265"/>
      <c r="B798" s="1265"/>
      <c r="C798" s="1265"/>
      <c r="D798" s="1265"/>
      <c r="E798" s="1265"/>
      <c r="F798" s="1265"/>
      <c r="G798" s="1265"/>
      <c r="H798" s="1265"/>
      <c r="I798" s="1265"/>
      <c r="J798" s="1265"/>
      <c r="K798" s="1265"/>
      <c r="L798" s="1265"/>
      <c r="M798" s="1265"/>
      <c r="N798" s="1265"/>
      <c r="O798" s="1265"/>
      <c r="P798" s="1265"/>
      <c r="Q798" s="1265"/>
      <c r="R798" s="1265"/>
      <c r="S798" s="1265"/>
      <c r="T798" s="1265"/>
      <c r="U798" s="1265"/>
      <c r="V798" s="1265"/>
      <c r="W798" s="1265"/>
      <c r="X798" s="1265"/>
      <c r="Y798" s="1265"/>
      <c r="Z798" s="1265"/>
    </row>
    <row r="799" ht="27.0" customHeight="1">
      <c r="A799" s="1265"/>
      <c r="B799" s="1265"/>
      <c r="C799" s="1265"/>
      <c r="D799" s="1265"/>
      <c r="E799" s="1265"/>
      <c r="F799" s="1265"/>
      <c r="G799" s="1265"/>
      <c r="H799" s="1265"/>
      <c r="I799" s="1265"/>
      <c r="J799" s="1265"/>
      <c r="K799" s="1265"/>
      <c r="L799" s="1265"/>
      <c r="M799" s="1265"/>
      <c r="N799" s="1265"/>
      <c r="O799" s="1265"/>
      <c r="P799" s="1265"/>
      <c r="Q799" s="1265"/>
      <c r="R799" s="1265"/>
      <c r="S799" s="1265"/>
      <c r="T799" s="1265"/>
      <c r="U799" s="1265"/>
      <c r="V799" s="1265"/>
      <c r="W799" s="1265"/>
      <c r="X799" s="1265"/>
      <c r="Y799" s="1265"/>
      <c r="Z799" s="1265"/>
    </row>
    <row r="800" ht="27.0" customHeight="1">
      <c r="A800" s="1265"/>
      <c r="B800" s="1265"/>
      <c r="C800" s="1265"/>
      <c r="D800" s="1265"/>
      <c r="E800" s="1265"/>
      <c r="F800" s="1265"/>
      <c r="G800" s="1265"/>
      <c r="H800" s="1265"/>
      <c r="I800" s="1265"/>
      <c r="J800" s="1265"/>
      <c r="K800" s="1265"/>
      <c r="L800" s="1265"/>
      <c r="M800" s="1265"/>
      <c r="N800" s="1265"/>
      <c r="O800" s="1265"/>
      <c r="P800" s="1265"/>
      <c r="Q800" s="1265"/>
      <c r="R800" s="1265"/>
      <c r="S800" s="1265"/>
      <c r="T800" s="1265"/>
      <c r="U800" s="1265"/>
      <c r="V800" s="1265"/>
      <c r="W800" s="1265"/>
      <c r="X800" s="1265"/>
      <c r="Y800" s="1265"/>
      <c r="Z800" s="1265"/>
    </row>
    <row r="801" ht="27.0" customHeight="1">
      <c r="A801" s="1265"/>
      <c r="B801" s="1265"/>
      <c r="C801" s="1265"/>
      <c r="D801" s="1265"/>
      <c r="E801" s="1265"/>
      <c r="F801" s="1265"/>
      <c r="G801" s="1265"/>
      <c r="H801" s="1265"/>
      <c r="I801" s="1265"/>
      <c r="J801" s="1265"/>
      <c r="K801" s="1265"/>
      <c r="L801" s="1265"/>
      <c r="M801" s="1265"/>
      <c r="N801" s="1265"/>
      <c r="O801" s="1265"/>
      <c r="P801" s="1265"/>
      <c r="Q801" s="1265"/>
      <c r="R801" s="1265"/>
      <c r="S801" s="1265"/>
      <c r="T801" s="1265"/>
      <c r="U801" s="1265"/>
      <c r="V801" s="1265"/>
      <c r="W801" s="1265"/>
      <c r="X801" s="1265"/>
      <c r="Y801" s="1265"/>
      <c r="Z801" s="1265"/>
    </row>
    <row r="802" ht="27.0" customHeight="1">
      <c r="A802" s="1265"/>
      <c r="B802" s="1265"/>
      <c r="C802" s="1265"/>
      <c r="D802" s="1265"/>
      <c r="E802" s="1265"/>
      <c r="F802" s="1265"/>
      <c r="G802" s="1265"/>
      <c r="H802" s="1265"/>
      <c r="I802" s="1265"/>
      <c r="J802" s="1265"/>
      <c r="K802" s="1265"/>
      <c r="L802" s="1265"/>
      <c r="M802" s="1265"/>
      <c r="N802" s="1265"/>
      <c r="O802" s="1265"/>
      <c r="P802" s="1265"/>
      <c r="Q802" s="1265"/>
      <c r="R802" s="1265"/>
      <c r="S802" s="1265"/>
      <c r="T802" s="1265"/>
      <c r="U802" s="1265"/>
      <c r="V802" s="1265"/>
      <c r="W802" s="1265"/>
      <c r="X802" s="1265"/>
      <c r="Y802" s="1265"/>
      <c r="Z802" s="1265"/>
    </row>
    <row r="803" ht="27.0" customHeight="1">
      <c r="A803" s="1265"/>
      <c r="B803" s="1265"/>
      <c r="C803" s="1265"/>
      <c r="D803" s="1265"/>
      <c r="E803" s="1265"/>
      <c r="F803" s="1265"/>
      <c r="G803" s="1265"/>
      <c r="H803" s="1265"/>
      <c r="I803" s="1265"/>
      <c r="J803" s="1265"/>
      <c r="K803" s="1265"/>
      <c r="L803" s="1265"/>
      <c r="M803" s="1265"/>
      <c r="N803" s="1265"/>
      <c r="O803" s="1265"/>
      <c r="P803" s="1265"/>
      <c r="Q803" s="1265"/>
      <c r="R803" s="1265"/>
      <c r="S803" s="1265"/>
      <c r="T803" s="1265"/>
      <c r="U803" s="1265"/>
      <c r="V803" s="1265"/>
      <c r="W803" s="1265"/>
      <c r="X803" s="1265"/>
      <c r="Y803" s="1265"/>
      <c r="Z803" s="1265"/>
    </row>
    <row r="804" ht="27.0" customHeight="1">
      <c r="A804" s="1265"/>
      <c r="B804" s="1265"/>
      <c r="C804" s="1265"/>
      <c r="D804" s="1265"/>
      <c r="E804" s="1265"/>
      <c r="F804" s="1265"/>
      <c r="G804" s="1265"/>
      <c r="H804" s="1265"/>
      <c r="I804" s="1265"/>
      <c r="J804" s="1265"/>
      <c r="K804" s="1265"/>
      <c r="L804" s="1265"/>
      <c r="M804" s="1265"/>
      <c r="N804" s="1265"/>
      <c r="O804" s="1265"/>
      <c r="P804" s="1265"/>
      <c r="Q804" s="1265"/>
      <c r="R804" s="1265"/>
      <c r="S804" s="1265"/>
      <c r="T804" s="1265"/>
      <c r="U804" s="1265"/>
      <c r="V804" s="1265"/>
      <c r="W804" s="1265"/>
      <c r="X804" s="1265"/>
      <c r="Y804" s="1265"/>
      <c r="Z804" s="1265"/>
    </row>
    <row r="805" ht="27.0" customHeight="1">
      <c r="A805" s="1265"/>
      <c r="B805" s="1265"/>
      <c r="C805" s="1265"/>
      <c r="D805" s="1265"/>
      <c r="E805" s="1265"/>
      <c r="F805" s="1265"/>
      <c r="G805" s="1265"/>
      <c r="H805" s="1265"/>
      <c r="I805" s="1265"/>
      <c r="J805" s="1265"/>
      <c r="K805" s="1265"/>
      <c r="L805" s="1265"/>
      <c r="M805" s="1265"/>
      <c r="N805" s="1265"/>
      <c r="O805" s="1265"/>
      <c r="P805" s="1265"/>
      <c r="Q805" s="1265"/>
      <c r="R805" s="1265"/>
      <c r="S805" s="1265"/>
      <c r="T805" s="1265"/>
      <c r="U805" s="1265"/>
      <c r="V805" s="1265"/>
      <c r="W805" s="1265"/>
      <c r="X805" s="1265"/>
      <c r="Y805" s="1265"/>
      <c r="Z805" s="1265"/>
    </row>
    <row r="806" ht="27.0" customHeight="1">
      <c r="A806" s="1265"/>
      <c r="B806" s="1265"/>
      <c r="C806" s="1265"/>
      <c r="D806" s="1265"/>
      <c r="E806" s="1265"/>
      <c r="F806" s="1265"/>
      <c r="G806" s="1265"/>
      <c r="H806" s="1265"/>
      <c r="I806" s="1265"/>
      <c r="J806" s="1265"/>
      <c r="K806" s="1265"/>
      <c r="L806" s="1265"/>
      <c r="M806" s="1265"/>
      <c r="N806" s="1265"/>
      <c r="O806" s="1265"/>
      <c r="P806" s="1265"/>
      <c r="Q806" s="1265"/>
      <c r="R806" s="1265"/>
      <c r="S806" s="1265"/>
      <c r="T806" s="1265"/>
      <c r="U806" s="1265"/>
      <c r="V806" s="1265"/>
      <c r="W806" s="1265"/>
      <c r="X806" s="1265"/>
      <c r="Y806" s="1265"/>
      <c r="Z806" s="1265"/>
    </row>
    <row r="807" ht="27.0" customHeight="1">
      <c r="A807" s="1265"/>
      <c r="B807" s="1265"/>
      <c r="C807" s="1265"/>
      <c r="D807" s="1265"/>
      <c r="E807" s="1265"/>
      <c r="F807" s="1265"/>
      <c r="G807" s="1265"/>
      <c r="H807" s="1265"/>
      <c r="I807" s="1265"/>
      <c r="J807" s="1265"/>
      <c r="K807" s="1265"/>
      <c r="L807" s="1265"/>
      <c r="M807" s="1265"/>
      <c r="N807" s="1265"/>
      <c r="O807" s="1265"/>
      <c r="P807" s="1265"/>
      <c r="Q807" s="1265"/>
      <c r="R807" s="1265"/>
      <c r="S807" s="1265"/>
      <c r="T807" s="1265"/>
      <c r="U807" s="1265"/>
      <c r="V807" s="1265"/>
      <c r="W807" s="1265"/>
      <c r="X807" s="1265"/>
      <c r="Y807" s="1265"/>
      <c r="Z807" s="1265"/>
    </row>
    <row r="808" ht="27.0" customHeight="1">
      <c r="A808" s="1265"/>
      <c r="B808" s="1265"/>
      <c r="C808" s="1265"/>
      <c r="D808" s="1265"/>
      <c r="E808" s="1265"/>
      <c r="F808" s="1265"/>
      <c r="G808" s="1265"/>
      <c r="H808" s="1265"/>
      <c r="I808" s="1265"/>
      <c r="J808" s="1265"/>
      <c r="K808" s="1265"/>
      <c r="L808" s="1265"/>
      <c r="M808" s="1265"/>
      <c r="N808" s="1265"/>
      <c r="O808" s="1265"/>
      <c r="P808" s="1265"/>
      <c r="Q808" s="1265"/>
      <c r="R808" s="1265"/>
      <c r="S808" s="1265"/>
      <c r="T808" s="1265"/>
      <c r="U808" s="1265"/>
      <c r="V808" s="1265"/>
      <c r="W808" s="1265"/>
      <c r="X808" s="1265"/>
      <c r="Y808" s="1265"/>
      <c r="Z808" s="1265"/>
    </row>
    <row r="809" ht="27.0" customHeight="1">
      <c r="A809" s="1265"/>
      <c r="B809" s="1265"/>
      <c r="C809" s="1265"/>
      <c r="D809" s="1265"/>
      <c r="E809" s="1265"/>
      <c r="F809" s="1265"/>
      <c r="G809" s="1265"/>
      <c r="H809" s="1265"/>
      <c r="I809" s="1265"/>
      <c r="J809" s="1265"/>
      <c r="K809" s="1265"/>
      <c r="L809" s="1265"/>
      <c r="M809" s="1265"/>
      <c r="N809" s="1265"/>
      <c r="O809" s="1265"/>
      <c r="P809" s="1265"/>
      <c r="Q809" s="1265"/>
      <c r="R809" s="1265"/>
      <c r="S809" s="1265"/>
      <c r="T809" s="1265"/>
      <c r="U809" s="1265"/>
      <c r="V809" s="1265"/>
      <c r="W809" s="1265"/>
      <c r="X809" s="1265"/>
      <c r="Y809" s="1265"/>
      <c r="Z809" s="1265"/>
    </row>
    <row r="810" ht="27.0" customHeight="1">
      <c r="A810" s="1265"/>
      <c r="B810" s="1265"/>
      <c r="C810" s="1265"/>
      <c r="D810" s="1265"/>
      <c r="E810" s="1265"/>
      <c r="F810" s="1265"/>
      <c r="G810" s="1265"/>
      <c r="H810" s="1265"/>
      <c r="I810" s="1265"/>
      <c r="J810" s="1265"/>
      <c r="K810" s="1265"/>
      <c r="L810" s="1265"/>
      <c r="M810" s="1265"/>
      <c r="N810" s="1265"/>
      <c r="O810" s="1265"/>
      <c r="P810" s="1265"/>
      <c r="Q810" s="1265"/>
      <c r="R810" s="1265"/>
      <c r="S810" s="1265"/>
      <c r="T810" s="1265"/>
      <c r="U810" s="1265"/>
      <c r="V810" s="1265"/>
      <c r="W810" s="1265"/>
      <c r="X810" s="1265"/>
      <c r="Y810" s="1265"/>
      <c r="Z810" s="1265"/>
    </row>
    <row r="811" ht="27.0" customHeight="1">
      <c r="A811" s="1265"/>
      <c r="B811" s="1265"/>
      <c r="C811" s="1265"/>
      <c r="D811" s="1265"/>
      <c r="E811" s="1265"/>
      <c r="F811" s="1265"/>
      <c r="G811" s="1265"/>
      <c r="H811" s="1265"/>
      <c r="I811" s="1265"/>
      <c r="J811" s="1265"/>
      <c r="K811" s="1265"/>
      <c r="L811" s="1265"/>
      <c r="M811" s="1265"/>
      <c r="N811" s="1265"/>
      <c r="O811" s="1265"/>
      <c r="P811" s="1265"/>
      <c r="Q811" s="1265"/>
      <c r="R811" s="1265"/>
      <c r="S811" s="1265"/>
      <c r="T811" s="1265"/>
      <c r="U811" s="1265"/>
      <c r="V811" s="1265"/>
      <c r="W811" s="1265"/>
      <c r="X811" s="1265"/>
      <c r="Y811" s="1265"/>
      <c r="Z811" s="1265"/>
    </row>
    <row r="812" ht="27.0" customHeight="1">
      <c r="A812" s="1265"/>
      <c r="B812" s="1265"/>
      <c r="C812" s="1265"/>
      <c r="D812" s="1265"/>
      <c r="E812" s="1265"/>
      <c r="F812" s="1265"/>
      <c r="G812" s="1265"/>
      <c r="H812" s="1265"/>
      <c r="I812" s="1265"/>
      <c r="J812" s="1265"/>
      <c r="K812" s="1265"/>
      <c r="L812" s="1265"/>
      <c r="M812" s="1265"/>
      <c r="N812" s="1265"/>
      <c r="O812" s="1265"/>
      <c r="P812" s="1265"/>
      <c r="Q812" s="1265"/>
      <c r="R812" s="1265"/>
      <c r="S812" s="1265"/>
      <c r="T812" s="1265"/>
      <c r="U812" s="1265"/>
      <c r="V812" s="1265"/>
      <c r="W812" s="1265"/>
      <c r="X812" s="1265"/>
      <c r="Y812" s="1265"/>
      <c r="Z812" s="1265"/>
    </row>
    <row r="813" ht="27.0" customHeight="1">
      <c r="A813" s="1265"/>
      <c r="B813" s="1265"/>
      <c r="C813" s="1265"/>
      <c r="D813" s="1265"/>
      <c r="E813" s="1265"/>
      <c r="F813" s="1265"/>
      <c r="G813" s="1265"/>
      <c r="H813" s="1265"/>
      <c r="I813" s="1265"/>
      <c r="J813" s="1265"/>
      <c r="K813" s="1265"/>
      <c r="L813" s="1265"/>
      <c r="M813" s="1265"/>
      <c r="N813" s="1265"/>
      <c r="O813" s="1265"/>
      <c r="P813" s="1265"/>
      <c r="Q813" s="1265"/>
      <c r="R813" s="1265"/>
      <c r="S813" s="1265"/>
      <c r="T813" s="1265"/>
      <c r="U813" s="1265"/>
      <c r="V813" s="1265"/>
      <c r="W813" s="1265"/>
      <c r="X813" s="1265"/>
      <c r="Y813" s="1265"/>
      <c r="Z813" s="1265"/>
    </row>
    <row r="814" ht="27.0" customHeight="1">
      <c r="A814" s="1265"/>
      <c r="B814" s="1265"/>
      <c r="C814" s="1265"/>
      <c r="D814" s="1265"/>
      <c r="E814" s="1265"/>
      <c r="F814" s="1265"/>
      <c r="G814" s="1265"/>
      <c r="H814" s="1265"/>
      <c r="I814" s="1265"/>
      <c r="J814" s="1265"/>
      <c r="K814" s="1265"/>
      <c r="L814" s="1265"/>
      <c r="M814" s="1265"/>
      <c r="N814" s="1265"/>
      <c r="O814" s="1265"/>
      <c r="P814" s="1265"/>
      <c r="Q814" s="1265"/>
      <c r="R814" s="1265"/>
      <c r="S814" s="1265"/>
      <c r="T814" s="1265"/>
      <c r="U814" s="1265"/>
      <c r="V814" s="1265"/>
      <c r="W814" s="1265"/>
      <c r="X814" s="1265"/>
      <c r="Y814" s="1265"/>
      <c r="Z814" s="1265"/>
    </row>
    <row r="815" ht="27.0" customHeight="1">
      <c r="A815" s="1265"/>
      <c r="B815" s="1265"/>
      <c r="C815" s="1265"/>
      <c r="D815" s="1265"/>
      <c r="E815" s="1265"/>
      <c r="F815" s="1265"/>
      <c r="G815" s="1265"/>
      <c r="H815" s="1265"/>
      <c r="I815" s="1265"/>
      <c r="J815" s="1265"/>
      <c r="K815" s="1265"/>
      <c r="L815" s="1265"/>
      <c r="M815" s="1265"/>
      <c r="N815" s="1265"/>
      <c r="O815" s="1265"/>
      <c r="P815" s="1265"/>
      <c r="Q815" s="1265"/>
      <c r="R815" s="1265"/>
      <c r="S815" s="1265"/>
      <c r="T815" s="1265"/>
      <c r="U815" s="1265"/>
      <c r="V815" s="1265"/>
      <c r="W815" s="1265"/>
      <c r="X815" s="1265"/>
      <c r="Y815" s="1265"/>
      <c r="Z815" s="1265"/>
    </row>
    <row r="816" ht="27.0" customHeight="1">
      <c r="A816" s="1265"/>
      <c r="B816" s="1265"/>
      <c r="C816" s="1265"/>
      <c r="D816" s="1265"/>
      <c r="E816" s="1265"/>
      <c r="F816" s="1265"/>
      <c r="G816" s="1265"/>
      <c r="H816" s="1265"/>
      <c r="I816" s="1265"/>
      <c r="J816" s="1265"/>
      <c r="K816" s="1265"/>
      <c r="L816" s="1265"/>
      <c r="M816" s="1265"/>
      <c r="N816" s="1265"/>
      <c r="O816" s="1265"/>
      <c r="P816" s="1265"/>
      <c r="Q816" s="1265"/>
      <c r="R816" s="1265"/>
      <c r="S816" s="1265"/>
      <c r="T816" s="1265"/>
      <c r="U816" s="1265"/>
      <c r="V816" s="1265"/>
      <c r="W816" s="1265"/>
      <c r="X816" s="1265"/>
      <c r="Y816" s="1265"/>
      <c r="Z816" s="1265"/>
    </row>
    <row r="817" ht="27.0" customHeight="1">
      <c r="A817" s="1265"/>
      <c r="B817" s="1265"/>
      <c r="C817" s="1265"/>
      <c r="D817" s="1265"/>
      <c r="E817" s="1265"/>
      <c r="F817" s="1265"/>
      <c r="G817" s="1265"/>
      <c r="H817" s="1265"/>
      <c r="I817" s="1265"/>
      <c r="J817" s="1265"/>
      <c r="K817" s="1265"/>
      <c r="L817" s="1265"/>
      <c r="M817" s="1265"/>
      <c r="N817" s="1265"/>
      <c r="O817" s="1265"/>
      <c r="P817" s="1265"/>
      <c r="Q817" s="1265"/>
      <c r="R817" s="1265"/>
      <c r="S817" s="1265"/>
      <c r="T817" s="1265"/>
      <c r="U817" s="1265"/>
      <c r="V817" s="1265"/>
      <c r="W817" s="1265"/>
      <c r="X817" s="1265"/>
      <c r="Y817" s="1265"/>
      <c r="Z817" s="1265"/>
    </row>
    <row r="818" ht="27.0" customHeight="1">
      <c r="A818" s="1265"/>
      <c r="B818" s="1265"/>
      <c r="C818" s="1265"/>
      <c r="D818" s="1265"/>
      <c r="E818" s="1265"/>
      <c r="F818" s="1265"/>
      <c r="G818" s="1265"/>
      <c r="H818" s="1265"/>
      <c r="I818" s="1265"/>
      <c r="J818" s="1265"/>
      <c r="K818" s="1265"/>
      <c r="L818" s="1265"/>
      <c r="M818" s="1265"/>
      <c r="N818" s="1265"/>
      <c r="O818" s="1265"/>
      <c r="P818" s="1265"/>
      <c r="Q818" s="1265"/>
      <c r="R818" s="1265"/>
      <c r="S818" s="1265"/>
      <c r="T818" s="1265"/>
      <c r="U818" s="1265"/>
      <c r="V818" s="1265"/>
      <c r="W818" s="1265"/>
      <c r="X818" s="1265"/>
      <c r="Y818" s="1265"/>
      <c r="Z818" s="1265"/>
    </row>
    <row r="819" ht="27.0" customHeight="1">
      <c r="A819" s="1265"/>
      <c r="B819" s="1265"/>
      <c r="C819" s="1265"/>
      <c r="D819" s="1265"/>
      <c r="E819" s="1265"/>
      <c r="F819" s="1265"/>
      <c r="G819" s="1265"/>
      <c r="H819" s="1265"/>
      <c r="I819" s="1265"/>
      <c r="J819" s="1265"/>
      <c r="K819" s="1265"/>
      <c r="L819" s="1265"/>
      <c r="M819" s="1265"/>
      <c r="N819" s="1265"/>
      <c r="O819" s="1265"/>
      <c r="P819" s="1265"/>
      <c r="Q819" s="1265"/>
      <c r="R819" s="1265"/>
      <c r="S819" s="1265"/>
      <c r="T819" s="1265"/>
      <c r="U819" s="1265"/>
      <c r="V819" s="1265"/>
      <c r="W819" s="1265"/>
      <c r="X819" s="1265"/>
      <c r="Y819" s="1265"/>
      <c r="Z819" s="1265"/>
    </row>
    <row r="820" ht="27.0" customHeight="1">
      <c r="A820" s="1265"/>
      <c r="B820" s="1265"/>
      <c r="C820" s="1265"/>
      <c r="D820" s="1265"/>
      <c r="E820" s="1265"/>
      <c r="F820" s="1265"/>
      <c r="G820" s="1265"/>
      <c r="H820" s="1265"/>
      <c r="I820" s="1265"/>
      <c r="J820" s="1265"/>
      <c r="K820" s="1265"/>
      <c r="L820" s="1265"/>
      <c r="M820" s="1265"/>
      <c r="N820" s="1265"/>
      <c r="O820" s="1265"/>
      <c r="P820" s="1265"/>
      <c r="Q820" s="1265"/>
      <c r="R820" s="1265"/>
      <c r="S820" s="1265"/>
      <c r="T820" s="1265"/>
      <c r="U820" s="1265"/>
      <c r="V820" s="1265"/>
      <c r="W820" s="1265"/>
      <c r="X820" s="1265"/>
      <c r="Y820" s="1265"/>
      <c r="Z820" s="1265"/>
    </row>
    <row r="821" ht="27.0" customHeight="1">
      <c r="A821" s="1265"/>
      <c r="B821" s="1265"/>
      <c r="C821" s="1265"/>
      <c r="D821" s="1265"/>
      <c r="E821" s="1265"/>
      <c r="F821" s="1265"/>
      <c r="G821" s="1265"/>
      <c r="H821" s="1265"/>
      <c r="I821" s="1265"/>
      <c r="J821" s="1265"/>
      <c r="K821" s="1265"/>
      <c r="L821" s="1265"/>
      <c r="M821" s="1265"/>
      <c r="N821" s="1265"/>
      <c r="O821" s="1265"/>
      <c r="P821" s="1265"/>
      <c r="Q821" s="1265"/>
      <c r="R821" s="1265"/>
      <c r="S821" s="1265"/>
      <c r="T821" s="1265"/>
      <c r="U821" s="1265"/>
      <c r="V821" s="1265"/>
      <c r="W821" s="1265"/>
      <c r="X821" s="1265"/>
      <c r="Y821" s="1265"/>
      <c r="Z821" s="1265"/>
    </row>
    <row r="822" ht="27.0" customHeight="1">
      <c r="A822" s="1265"/>
      <c r="B822" s="1265"/>
      <c r="C822" s="1265"/>
      <c r="D822" s="1265"/>
      <c r="E822" s="1265"/>
      <c r="F822" s="1265"/>
      <c r="G822" s="1265"/>
      <c r="H822" s="1265"/>
      <c r="I822" s="1265"/>
      <c r="J822" s="1265"/>
      <c r="K822" s="1265"/>
      <c r="L822" s="1265"/>
      <c r="M822" s="1265"/>
      <c r="N822" s="1265"/>
      <c r="O822" s="1265"/>
      <c r="P822" s="1265"/>
      <c r="Q822" s="1265"/>
      <c r="R822" s="1265"/>
      <c r="S822" s="1265"/>
      <c r="T822" s="1265"/>
      <c r="U822" s="1265"/>
      <c r="V822" s="1265"/>
      <c r="W822" s="1265"/>
      <c r="X822" s="1265"/>
      <c r="Y822" s="1265"/>
      <c r="Z822" s="1265"/>
    </row>
    <row r="823" ht="27.0" customHeight="1">
      <c r="A823" s="1265"/>
      <c r="B823" s="1265"/>
      <c r="C823" s="1265"/>
      <c r="D823" s="1265"/>
      <c r="E823" s="1265"/>
      <c r="F823" s="1265"/>
      <c r="G823" s="1265"/>
      <c r="H823" s="1265"/>
      <c r="I823" s="1265"/>
      <c r="J823" s="1265"/>
      <c r="K823" s="1265"/>
      <c r="L823" s="1265"/>
      <c r="M823" s="1265"/>
      <c r="N823" s="1265"/>
      <c r="O823" s="1265"/>
      <c r="P823" s="1265"/>
      <c r="Q823" s="1265"/>
      <c r="R823" s="1265"/>
      <c r="S823" s="1265"/>
      <c r="T823" s="1265"/>
      <c r="U823" s="1265"/>
      <c r="V823" s="1265"/>
      <c r="W823" s="1265"/>
      <c r="X823" s="1265"/>
      <c r="Y823" s="1265"/>
      <c r="Z823" s="1265"/>
    </row>
    <row r="824" ht="27.0" customHeight="1">
      <c r="A824" s="1265"/>
      <c r="B824" s="1265"/>
      <c r="C824" s="1265"/>
      <c r="D824" s="1265"/>
      <c r="E824" s="1265"/>
      <c r="F824" s="1265"/>
      <c r="G824" s="1265"/>
      <c r="H824" s="1265"/>
      <c r="I824" s="1265"/>
      <c r="J824" s="1265"/>
      <c r="K824" s="1265"/>
      <c r="L824" s="1265"/>
      <c r="M824" s="1265"/>
      <c r="N824" s="1265"/>
      <c r="O824" s="1265"/>
      <c r="P824" s="1265"/>
      <c r="Q824" s="1265"/>
      <c r="R824" s="1265"/>
      <c r="S824" s="1265"/>
      <c r="T824" s="1265"/>
      <c r="U824" s="1265"/>
      <c r="V824" s="1265"/>
      <c r="W824" s="1265"/>
      <c r="X824" s="1265"/>
      <c r="Y824" s="1265"/>
      <c r="Z824" s="1265"/>
    </row>
    <row r="825" ht="27.0" customHeight="1">
      <c r="A825" s="1265"/>
      <c r="B825" s="1265"/>
      <c r="C825" s="1265"/>
      <c r="D825" s="1265"/>
      <c r="E825" s="1265"/>
      <c r="F825" s="1265"/>
      <c r="G825" s="1265"/>
      <c r="H825" s="1265"/>
      <c r="I825" s="1265"/>
      <c r="J825" s="1265"/>
      <c r="K825" s="1265"/>
      <c r="L825" s="1265"/>
      <c r="M825" s="1265"/>
      <c r="N825" s="1265"/>
      <c r="O825" s="1265"/>
      <c r="P825" s="1265"/>
      <c r="Q825" s="1265"/>
      <c r="R825" s="1265"/>
      <c r="S825" s="1265"/>
      <c r="T825" s="1265"/>
      <c r="U825" s="1265"/>
      <c r="V825" s="1265"/>
      <c r="W825" s="1265"/>
      <c r="X825" s="1265"/>
      <c r="Y825" s="1265"/>
      <c r="Z825" s="1265"/>
    </row>
    <row r="826" ht="27.0" customHeight="1">
      <c r="A826" s="1265"/>
      <c r="B826" s="1265"/>
      <c r="C826" s="1265"/>
      <c r="D826" s="1265"/>
      <c r="E826" s="1265"/>
      <c r="F826" s="1265"/>
      <c r="G826" s="1265"/>
      <c r="H826" s="1265"/>
      <c r="I826" s="1265"/>
      <c r="J826" s="1265"/>
      <c r="K826" s="1265"/>
      <c r="L826" s="1265"/>
      <c r="M826" s="1265"/>
      <c r="N826" s="1265"/>
      <c r="O826" s="1265"/>
      <c r="P826" s="1265"/>
      <c r="Q826" s="1265"/>
      <c r="R826" s="1265"/>
      <c r="S826" s="1265"/>
      <c r="T826" s="1265"/>
      <c r="U826" s="1265"/>
      <c r="V826" s="1265"/>
      <c r="W826" s="1265"/>
      <c r="X826" s="1265"/>
      <c r="Y826" s="1265"/>
      <c r="Z826" s="1265"/>
    </row>
    <row r="827" ht="27.0" customHeight="1">
      <c r="A827" s="1265"/>
      <c r="B827" s="1265"/>
      <c r="C827" s="1265"/>
      <c r="D827" s="1265"/>
      <c r="E827" s="1265"/>
      <c r="F827" s="1265"/>
      <c r="G827" s="1265"/>
      <c r="H827" s="1265"/>
      <c r="I827" s="1265"/>
      <c r="J827" s="1265"/>
      <c r="K827" s="1265"/>
      <c r="L827" s="1265"/>
      <c r="M827" s="1265"/>
      <c r="N827" s="1265"/>
      <c r="O827" s="1265"/>
      <c r="P827" s="1265"/>
      <c r="Q827" s="1265"/>
      <c r="R827" s="1265"/>
      <c r="S827" s="1265"/>
      <c r="T827" s="1265"/>
      <c r="U827" s="1265"/>
      <c r="V827" s="1265"/>
      <c r="W827" s="1265"/>
      <c r="X827" s="1265"/>
      <c r="Y827" s="1265"/>
      <c r="Z827" s="1265"/>
    </row>
    <row r="828" ht="27.0" customHeight="1">
      <c r="A828" s="1265"/>
      <c r="B828" s="1265"/>
      <c r="C828" s="1265"/>
      <c r="D828" s="1265"/>
      <c r="E828" s="1265"/>
      <c r="F828" s="1265"/>
      <c r="G828" s="1265"/>
      <c r="H828" s="1265"/>
      <c r="I828" s="1265"/>
      <c r="J828" s="1265"/>
      <c r="K828" s="1265"/>
      <c r="L828" s="1265"/>
      <c r="M828" s="1265"/>
      <c r="N828" s="1265"/>
      <c r="O828" s="1265"/>
      <c r="P828" s="1265"/>
      <c r="Q828" s="1265"/>
      <c r="R828" s="1265"/>
      <c r="S828" s="1265"/>
      <c r="T828" s="1265"/>
      <c r="U828" s="1265"/>
      <c r="V828" s="1265"/>
      <c r="W828" s="1265"/>
      <c r="X828" s="1265"/>
      <c r="Y828" s="1265"/>
      <c r="Z828" s="1265"/>
    </row>
    <row r="829" ht="27.0" customHeight="1">
      <c r="A829" s="1265"/>
      <c r="B829" s="1265"/>
      <c r="C829" s="1265"/>
      <c r="D829" s="1265"/>
      <c r="E829" s="1265"/>
      <c r="F829" s="1265"/>
      <c r="G829" s="1265"/>
      <c r="H829" s="1265"/>
      <c r="I829" s="1265"/>
      <c r="J829" s="1265"/>
      <c r="K829" s="1265"/>
      <c r="L829" s="1265"/>
      <c r="M829" s="1265"/>
      <c r="N829" s="1265"/>
      <c r="O829" s="1265"/>
      <c r="P829" s="1265"/>
      <c r="Q829" s="1265"/>
      <c r="R829" s="1265"/>
      <c r="S829" s="1265"/>
      <c r="T829" s="1265"/>
      <c r="U829" s="1265"/>
      <c r="V829" s="1265"/>
      <c r="W829" s="1265"/>
      <c r="X829" s="1265"/>
      <c r="Y829" s="1265"/>
      <c r="Z829" s="1265"/>
    </row>
    <row r="830" ht="27.0" customHeight="1">
      <c r="A830" s="1265"/>
      <c r="B830" s="1265"/>
      <c r="C830" s="1265"/>
      <c r="D830" s="1265"/>
      <c r="E830" s="1265"/>
      <c r="F830" s="1265"/>
      <c r="G830" s="1265"/>
      <c r="H830" s="1265"/>
      <c r="I830" s="1265"/>
      <c r="J830" s="1265"/>
      <c r="K830" s="1265"/>
      <c r="L830" s="1265"/>
      <c r="M830" s="1265"/>
      <c r="N830" s="1265"/>
      <c r="O830" s="1265"/>
      <c r="P830" s="1265"/>
      <c r="Q830" s="1265"/>
      <c r="R830" s="1265"/>
      <c r="S830" s="1265"/>
      <c r="T830" s="1265"/>
      <c r="U830" s="1265"/>
      <c r="V830" s="1265"/>
      <c r="W830" s="1265"/>
      <c r="X830" s="1265"/>
      <c r="Y830" s="1265"/>
      <c r="Z830" s="1265"/>
    </row>
    <row r="831" ht="27.0" customHeight="1">
      <c r="A831" s="1265"/>
      <c r="B831" s="1265"/>
      <c r="C831" s="1265"/>
      <c r="D831" s="1265"/>
      <c r="E831" s="1265"/>
      <c r="F831" s="1265"/>
      <c r="G831" s="1265"/>
      <c r="H831" s="1265"/>
      <c r="I831" s="1265"/>
      <c r="J831" s="1265"/>
      <c r="K831" s="1265"/>
      <c r="L831" s="1265"/>
      <c r="M831" s="1265"/>
      <c r="N831" s="1265"/>
      <c r="O831" s="1265"/>
      <c r="P831" s="1265"/>
      <c r="Q831" s="1265"/>
      <c r="R831" s="1265"/>
      <c r="S831" s="1265"/>
      <c r="T831" s="1265"/>
      <c r="U831" s="1265"/>
      <c r="V831" s="1265"/>
      <c r="W831" s="1265"/>
      <c r="X831" s="1265"/>
      <c r="Y831" s="1265"/>
      <c r="Z831" s="1265"/>
    </row>
    <row r="832" ht="27.0" customHeight="1">
      <c r="A832" s="1265"/>
      <c r="B832" s="1265"/>
      <c r="C832" s="1265"/>
      <c r="D832" s="1265"/>
      <c r="E832" s="1265"/>
      <c r="F832" s="1265"/>
      <c r="G832" s="1265"/>
      <c r="H832" s="1265"/>
      <c r="I832" s="1265"/>
      <c r="J832" s="1265"/>
      <c r="K832" s="1265"/>
      <c r="L832" s="1265"/>
      <c r="M832" s="1265"/>
      <c r="N832" s="1265"/>
      <c r="O832" s="1265"/>
      <c r="P832" s="1265"/>
      <c r="Q832" s="1265"/>
      <c r="R832" s="1265"/>
      <c r="S832" s="1265"/>
      <c r="T832" s="1265"/>
      <c r="U832" s="1265"/>
      <c r="V832" s="1265"/>
      <c r="W832" s="1265"/>
      <c r="X832" s="1265"/>
      <c r="Y832" s="1265"/>
      <c r="Z832" s="1265"/>
    </row>
    <row r="833" ht="27.0" customHeight="1">
      <c r="A833" s="1265"/>
      <c r="B833" s="1265"/>
      <c r="C833" s="1265"/>
      <c r="D833" s="1265"/>
      <c r="E833" s="1265"/>
      <c r="F833" s="1265"/>
      <c r="G833" s="1265"/>
      <c r="H833" s="1265"/>
      <c r="I833" s="1265"/>
      <c r="J833" s="1265"/>
      <c r="K833" s="1265"/>
      <c r="L833" s="1265"/>
      <c r="M833" s="1265"/>
      <c r="N833" s="1265"/>
      <c r="O833" s="1265"/>
      <c r="P833" s="1265"/>
      <c r="Q833" s="1265"/>
      <c r="R833" s="1265"/>
      <c r="S833" s="1265"/>
      <c r="T833" s="1265"/>
      <c r="U833" s="1265"/>
      <c r="V833" s="1265"/>
      <c r="W833" s="1265"/>
      <c r="X833" s="1265"/>
      <c r="Y833" s="1265"/>
      <c r="Z833" s="1265"/>
    </row>
    <row r="834" ht="27.0" customHeight="1">
      <c r="A834" s="1265"/>
      <c r="B834" s="1265"/>
      <c r="C834" s="1265"/>
      <c r="D834" s="1265"/>
      <c r="E834" s="1265"/>
      <c r="F834" s="1265"/>
      <c r="G834" s="1265"/>
      <c r="H834" s="1265"/>
      <c r="I834" s="1265"/>
      <c r="J834" s="1265"/>
      <c r="K834" s="1265"/>
      <c r="L834" s="1265"/>
      <c r="M834" s="1265"/>
      <c r="N834" s="1265"/>
      <c r="O834" s="1265"/>
      <c r="P834" s="1265"/>
      <c r="Q834" s="1265"/>
      <c r="R834" s="1265"/>
      <c r="S834" s="1265"/>
      <c r="T834" s="1265"/>
      <c r="U834" s="1265"/>
      <c r="V834" s="1265"/>
      <c r="W834" s="1265"/>
      <c r="X834" s="1265"/>
      <c r="Y834" s="1265"/>
      <c r="Z834" s="1265"/>
    </row>
    <row r="835" ht="27.0" customHeight="1">
      <c r="A835" s="1265"/>
      <c r="B835" s="1265"/>
      <c r="C835" s="1265"/>
      <c r="D835" s="1265"/>
      <c r="E835" s="1265"/>
      <c r="F835" s="1265"/>
      <c r="G835" s="1265"/>
      <c r="H835" s="1265"/>
      <c r="I835" s="1265"/>
      <c r="J835" s="1265"/>
      <c r="K835" s="1265"/>
      <c r="L835" s="1265"/>
      <c r="M835" s="1265"/>
      <c r="N835" s="1265"/>
      <c r="O835" s="1265"/>
      <c r="P835" s="1265"/>
      <c r="Q835" s="1265"/>
      <c r="R835" s="1265"/>
      <c r="S835" s="1265"/>
      <c r="T835" s="1265"/>
      <c r="U835" s="1265"/>
      <c r="V835" s="1265"/>
      <c r="W835" s="1265"/>
      <c r="X835" s="1265"/>
      <c r="Y835" s="1265"/>
      <c r="Z835" s="1265"/>
    </row>
    <row r="836" ht="27.0" customHeight="1">
      <c r="A836" s="1265"/>
      <c r="B836" s="1265"/>
      <c r="C836" s="1265"/>
      <c r="D836" s="1265"/>
      <c r="E836" s="1265"/>
      <c r="F836" s="1265"/>
      <c r="G836" s="1265"/>
      <c r="H836" s="1265"/>
      <c r="I836" s="1265"/>
      <c r="J836" s="1265"/>
      <c r="K836" s="1265"/>
      <c r="L836" s="1265"/>
      <c r="M836" s="1265"/>
      <c r="N836" s="1265"/>
      <c r="O836" s="1265"/>
      <c r="P836" s="1265"/>
      <c r="Q836" s="1265"/>
      <c r="R836" s="1265"/>
      <c r="S836" s="1265"/>
      <c r="T836" s="1265"/>
      <c r="U836" s="1265"/>
      <c r="V836" s="1265"/>
      <c r="W836" s="1265"/>
      <c r="X836" s="1265"/>
      <c r="Y836" s="1265"/>
      <c r="Z836" s="1265"/>
    </row>
    <row r="837" ht="27.0" customHeight="1">
      <c r="A837" s="1265"/>
      <c r="B837" s="1265"/>
      <c r="C837" s="1265"/>
      <c r="D837" s="1265"/>
      <c r="E837" s="1265"/>
      <c r="F837" s="1265"/>
      <c r="G837" s="1265"/>
      <c r="H837" s="1265"/>
      <c r="I837" s="1265"/>
      <c r="J837" s="1265"/>
      <c r="K837" s="1265"/>
      <c r="L837" s="1265"/>
      <c r="M837" s="1265"/>
      <c r="N837" s="1265"/>
      <c r="O837" s="1265"/>
      <c r="P837" s="1265"/>
      <c r="Q837" s="1265"/>
      <c r="R837" s="1265"/>
      <c r="S837" s="1265"/>
      <c r="T837" s="1265"/>
      <c r="U837" s="1265"/>
      <c r="V837" s="1265"/>
      <c r="W837" s="1265"/>
      <c r="X837" s="1265"/>
      <c r="Y837" s="1265"/>
      <c r="Z837" s="1265"/>
    </row>
    <row r="838" ht="27.0" customHeight="1">
      <c r="A838" s="1265"/>
      <c r="B838" s="1265"/>
      <c r="C838" s="1265"/>
      <c r="D838" s="1265"/>
      <c r="E838" s="1265"/>
      <c r="F838" s="1265"/>
      <c r="G838" s="1265"/>
      <c r="H838" s="1265"/>
      <c r="I838" s="1265"/>
      <c r="J838" s="1265"/>
      <c r="K838" s="1265"/>
      <c r="L838" s="1265"/>
      <c r="M838" s="1265"/>
      <c r="N838" s="1265"/>
      <c r="O838" s="1265"/>
      <c r="P838" s="1265"/>
      <c r="Q838" s="1265"/>
      <c r="R838" s="1265"/>
      <c r="S838" s="1265"/>
      <c r="T838" s="1265"/>
      <c r="U838" s="1265"/>
      <c r="V838" s="1265"/>
      <c r="W838" s="1265"/>
      <c r="X838" s="1265"/>
      <c r="Y838" s="1265"/>
      <c r="Z838" s="1265"/>
    </row>
    <row r="839" ht="27.0" customHeight="1">
      <c r="A839" s="1265"/>
      <c r="B839" s="1265"/>
      <c r="C839" s="1265"/>
      <c r="D839" s="1265"/>
      <c r="E839" s="1265"/>
      <c r="F839" s="1265"/>
      <c r="G839" s="1265"/>
      <c r="H839" s="1265"/>
      <c r="I839" s="1265"/>
      <c r="J839" s="1265"/>
      <c r="K839" s="1265"/>
      <c r="L839" s="1265"/>
      <c r="M839" s="1265"/>
      <c r="N839" s="1265"/>
      <c r="O839" s="1265"/>
      <c r="P839" s="1265"/>
      <c r="Q839" s="1265"/>
      <c r="R839" s="1265"/>
      <c r="S839" s="1265"/>
      <c r="T839" s="1265"/>
      <c r="U839" s="1265"/>
      <c r="V839" s="1265"/>
      <c r="W839" s="1265"/>
      <c r="X839" s="1265"/>
      <c r="Y839" s="1265"/>
      <c r="Z839" s="1265"/>
    </row>
    <row r="840" ht="27.0" customHeight="1">
      <c r="A840" s="1265"/>
      <c r="B840" s="1265"/>
      <c r="C840" s="1265"/>
      <c r="D840" s="1265"/>
      <c r="E840" s="1265"/>
      <c r="F840" s="1265"/>
      <c r="G840" s="1265"/>
      <c r="H840" s="1265"/>
      <c r="I840" s="1265"/>
      <c r="J840" s="1265"/>
      <c r="K840" s="1265"/>
      <c r="L840" s="1265"/>
      <c r="M840" s="1265"/>
      <c r="N840" s="1265"/>
      <c r="O840" s="1265"/>
      <c r="P840" s="1265"/>
      <c r="Q840" s="1265"/>
      <c r="R840" s="1265"/>
      <c r="S840" s="1265"/>
      <c r="T840" s="1265"/>
      <c r="U840" s="1265"/>
      <c r="V840" s="1265"/>
      <c r="W840" s="1265"/>
      <c r="X840" s="1265"/>
      <c r="Y840" s="1265"/>
      <c r="Z840" s="1265"/>
    </row>
    <row r="841" ht="27.0" customHeight="1">
      <c r="A841" s="1265"/>
      <c r="B841" s="1265"/>
      <c r="C841" s="1265"/>
      <c r="D841" s="1265"/>
      <c r="E841" s="1265"/>
      <c r="F841" s="1265"/>
      <c r="G841" s="1265"/>
      <c r="H841" s="1265"/>
      <c r="I841" s="1265"/>
      <c r="J841" s="1265"/>
      <c r="K841" s="1265"/>
      <c r="L841" s="1265"/>
      <c r="M841" s="1265"/>
      <c r="N841" s="1265"/>
      <c r="O841" s="1265"/>
      <c r="P841" s="1265"/>
      <c r="Q841" s="1265"/>
      <c r="R841" s="1265"/>
      <c r="S841" s="1265"/>
      <c r="T841" s="1265"/>
      <c r="U841" s="1265"/>
      <c r="V841" s="1265"/>
      <c r="W841" s="1265"/>
      <c r="X841" s="1265"/>
      <c r="Y841" s="1265"/>
      <c r="Z841" s="1265"/>
    </row>
    <row r="842" ht="27.0" customHeight="1">
      <c r="A842" s="1265"/>
      <c r="B842" s="1265"/>
      <c r="C842" s="1265"/>
      <c r="D842" s="1265"/>
      <c r="E842" s="1265"/>
      <c r="F842" s="1265"/>
      <c r="G842" s="1265"/>
      <c r="H842" s="1265"/>
      <c r="I842" s="1265"/>
      <c r="J842" s="1265"/>
      <c r="K842" s="1265"/>
      <c r="L842" s="1265"/>
      <c r="M842" s="1265"/>
      <c r="N842" s="1265"/>
      <c r="O842" s="1265"/>
      <c r="P842" s="1265"/>
      <c r="Q842" s="1265"/>
      <c r="R842" s="1265"/>
      <c r="S842" s="1265"/>
      <c r="T842" s="1265"/>
      <c r="U842" s="1265"/>
      <c r="V842" s="1265"/>
      <c r="W842" s="1265"/>
      <c r="X842" s="1265"/>
      <c r="Y842" s="1265"/>
      <c r="Z842" s="1265"/>
    </row>
    <row r="843" ht="27.0" customHeight="1">
      <c r="A843" s="1265"/>
      <c r="B843" s="1265"/>
      <c r="C843" s="1265"/>
      <c r="D843" s="1265"/>
      <c r="E843" s="1265"/>
      <c r="F843" s="1265"/>
      <c r="G843" s="1265"/>
      <c r="H843" s="1265"/>
      <c r="I843" s="1265"/>
      <c r="J843" s="1265"/>
      <c r="K843" s="1265"/>
      <c r="L843" s="1265"/>
      <c r="M843" s="1265"/>
      <c r="N843" s="1265"/>
      <c r="O843" s="1265"/>
      <c r="P843" s="1265"/>
      <c r="Q843" s="1265"/>
      <c r="R843" s="1265"/>
      <c r="S843" s="1265"/>
      <c r="T843" s="1265"/>
      <c r="U843" s="1265"/>
      <c r="V843" s="1265"/>
      <c r="W843" s="1265"/>
      <c r="X843" s="1265"/>
      <c r="Y843" s="1265"/>
      <c r="Z843" s="1265"/>
    </row>
    <row r="844" ht="27.0" customHeight="1">
      <c r="A844" s="1265"/>
      <c r="B844" s="1265"/>
      <c r="C844" s="1265"/>
      <c r="D844" s="1265"/>
      <c r="E844" s="1265"/>
      <c r="F844" s="1265"/>
      <c r="G844" s="1265"/>
      <c r="H844" s="1265"/>
      <c r="I844" s="1265"/>
      <c r="J844" s="1265"/>
      <c r="K844" s="1265"/>
      <c r="L844" s="1265"/>
      <c r="M844" s="1265"/>
      <c r="N844" s="1265"/>
      <c r="O844" s="1265"/>
      <c r="P844" s="1265"/>
      <c r="Q844" s="1265"/>
      <c r="R844" s="1265"/>
      <c r="S844" s="1265"/>
      <c r="T844" s="1265"/>
      <c r="U844" s="1265"/>
      <c r="V844" s="1265"/>
      <c r="W844" s="1265"/>
      <c r="X844" s="1265"/>
      <c r="Y844" s="1265"/>
      <c r="Z844" s="1265"/>
    </row>
    <row r="845" ht="27.0" customHeight="1">
      <c r="A845" s="1265"/>
      <c r="B845" s="1265"/>
      <c r="C845" s="1265"/>
      <c r="D845" s="1265"/>
      <c r="E845" s="1265"/>
      <c r="F845" s="1265"/>
      <c r="G845" s="1265"/>
      <c r="H845" s="1265"/>
      <c r="I845" s="1265"/>
      <c r="J845" s="1265"/>
      <c r="K845" s="1265"/>
      <c r="L845" s="1265"/>
      <c r="M845" s="1265"/>
      <c r="N845" s="1265"/>
      <c r="O845" s="1265"/>
      <c r="P845" s="1265"/>
      <c r="Q845" s="1265"/>
      <c r="R845" s="1265"/>
      <c r="S845" s="1265"/>
      <c r="T845" s="1265"/>
      <c r="U845" s="1265"/>
      <c r="V845" s="1265"/>
      <c r="W845" s="1265"/>
      <c r="X845" s="1265"/>
      <c r="Y845" s="1265"/>
      <c r="Z845" s="1265"/>
    </row>
    <row r="846" ht="27.0" customHeight="1">
      <c r="A846" s="1265"/>
      <c r="B846" s="1265"/>
      <c r="C846" s="1265"/>
      <c r="D846" s="1265"/>
      <c r="E846" s="1265"/>
      <c r="F846" s="1265"/>
      <c r="G846" s="1265"/>
      <c r="H846" s="1265"/>
      <c r="I846" s="1265"/>
      <c r="J846" s="1265"/>
      <c r="K846" s="1265"/>
      <c r="L846" s="1265"/>
      <c r="M846" s="1265"/>
      <c r="N846" s="1265"/>
      <c r="O846" s="1265"/>
      <c r="P846" s="1265"/>
      <c r="Q846" s="1265"/>
      <c r="R846" s="1265"/>
      <c r="S846" s="1265"/>
      <c r="T846" s="1265"/>
      <c r="U846" s="1265"/>
      <c r="V846" s="1265"/>
      <c r="W846" s="1265"/>
      <c r="X846" s="1265"/>
      <c r="Y846" s="1265"/>
      <c r="Z846" s="1265"/>
    </row>
    <row r="847" ht="27.0" customHeight="1">
      <c r="A847" s="1265"/>
      <c r="B847" s="1265"/>
      <c r="C847" s="1265"/>
      <c r="D847" s="1265"/>
      <c r="E847" s="1265"/>
      <c r="F847" s="1265"/>
      <c r="G847" s="1265"/>
      <c r="H847" s="1265"/>
      <c r="I847" s="1265"/>
      <c r="J847" s="1265"/>
      <c r="K847" s="1265"/>
      <c r="L847" s="1265"/>
      <c r="M847" s="1265"/>
      <c r="N847" s="1265"/>
      <c r="O847" s="1265"/>
      <c r="P847" s="1265"/>
      <c r="Q847" s="1265"/>
      <c r="R847" s="1265"/>
      <c r="S847" s="1265"/>
      <c r="T847" s="1265"/>
      <c r="U847" s="1265"/>
      <c r="V847" s="1265"/>
      <c r="W847" s="1265"/>
      <c r="X847" s="1265"/>
      <c r="Y847" s="1265"/>
      <c r="Z847" s="1265"/>
    </row>
    <row r="848" ht="27.0" customHeight="1">
      <c r="A848" s="1265"/>
      <c r="B848" s="1265"/>
      <c r="C848" s="1265"/>
      <c r="D848" s="1265"/>
      <c r="E848" s="1265"/>
      <c r="F848" s="1265"/>
      <c r="G848" s="1265"/>
      <c r="H848" s="1265"/>
      <c r="I848" s="1265"/>
      <c r="J848" s="1265"/>
      <c r="K848" s="1265"/>
      <c r="L848" s="1265"/>
      <c r="M848" s="1265"/>
      <c r="N848" s="1265"/>
      <c r="O848" s="1265"/>
      <c r="P848" s="1265"/>
      <c r="Q848" s="1265"/>
      <c r="R848" s="1265"/>
      <c r="S848" s="1265"/>
      <c r="T848" s="1265"/>
      <c r="U848" s="1265"/>
      <c r="V848" s="1265"/>
      <c r="W848" s="1265"/>
      <c r="X848" s="1265"/>
      <c r="Y848" s="1265"/>
      <c r="Z848" s="1265"/>
    </row>
    <row r="849" ht="27.0" customHeight="1">
      <c r="A849" s="1265"/>
      <c r="B849" s="1265"/>
      <c r="C849" s="1265"/>
      <c r="D849" s="1265"/>
      <c r="E849" s="1265"/>
      <c r="F849" s="1265"/>
      <c r="G849" s="1265"/>
      <c r="H849" s="1265"/>
      <c r="I849" s="1265"/>
      <c r="J849" s="1265"/>
      <c r="K849" s="1265"/>
      <c r="L849" s="1265"/>
      <c r="M849" s="1265"/>
      <c r="N849" s="1265"/>
      <c r="O849" s="1265"/>
      <c r="P849" s="1265"/>
      <c r="Q849" s="1265"/>
      <c r="R849" s="1265"/>
      <c r="S849" s="1265"/>
      <c r="T849" s="1265"/>
      <c r="U849" s="1265"/>
      <c r="V849" s="1265"/>
      <c r="W849" s="1265"/>
      <c r="X849" s="1265"/>
      <c r="Y849" s="1265"/>
      <c r="Z849" s="1265"/>
    </row>
    <row r="850" ht="27.0" customHeight="1">
      <c r="A850" s="1265"/>
      <c r="B850" s="1265"/>
      <c r="C850" s="1265"/>
      <c r="D850" s="1265"/>
      <c r="E850" s="1265"/>
      <c r="F850" s="1265"/>
      <c r="G850" s="1265"/>
      <c r="H850" s="1265"/>
      <c r="I850" s="1265"/>
      <c r="J850" s="1265"/>
      <c r="K850" s="1265"/>
      <c r="L850" s="1265"/>
      <c r="M850" s="1265"/>
      <c r="N850" s="1265"/>
      <c r="O850" s="1265"/>
      <c r="P850" s="1265"/>
      <c r="Q850" s="1265"/>
      <c r="R850" s="1265"/>
      <c r="S850" s="1265"/>
      <c r="T850" s="1265"/>
      <c r="U850" s="1265"/>
      <c r="V850" s="1265"/>
      <c r="W850" s="1265"/>
      <c r="X850" s="1265"/>
      <c r="Y850" s="1265"/>
      <c r="Z850" s="1265"/>
    </row>
    <row r="851" ht="27.0" customHeight="1">
      <c r="A851" s="1265"/>
      <c r="B851" s="1265"/>
      <c r="C851" s="1265"/>
      <c r="D851" s="1265"/>
      <c r="E851" s="1265"/>
      <c r="F851" s="1265"/>
      <c r="G851" s="1265"/>
      <c r="H851" s="1265"/>
      <c r="I851" s="1265"/>
      <c r="J851" s="1265"/>
      <c r="K851" s="1265"/>
      <c r="L851" s="1265"/>
      <c r="M851" s="1265"/>
      <c r="N851" s="1265"/>
      <c r="O851" s="1265"/>
      <c r="P851" s="1265"/>
      <c r="Q851" s="1265"/>
      <c r="R851" s="1265"/>
      <c r="S851" s="1265"/>
      <c r="T851" s="1265"/>
      <c r="U851" s="1265"/>
      <c r="V851" s="1265"/>
      <c r="W851" s="1265"/>
      <c r="X851" s="1265"/>
      <c r="Y851" s="1265"/>
      <c r="Z851" s="1265"/>
    </row>
    <row r="852" ht="27.0" customHeight="1">
      <c r="A852" s="1265"/>
      <c r="B852" s="1265"/>
      <c r="C852" s="1265"/>
      <c r="D852" s="1265"/>
      <c r="E852" s="1265"/>
      <c r="F852" s="1265"/>
      <c r="G852" s="1265"/>
      <c r="H852" s="1265"/>
      <c r="I852" s="1265"/>
      <c r="J852" s="1265"/>
      <c r="K852" s="1265"/>
      <c r="L852" s="1265"/>
      <c r="M852" s="1265"/>
      <c r="N852" s="1265"/>
      <c r="O852" s="1265"/>
      <c r="P852" s="1265"/>
      <c r="Q852" s="1265"/>
      <c r="R852" s="1265"/>
      <c r="S852" s="1265"/>
      <c r="T852" s="1265"/>
      <c r="U852" s="1265"/>
      <c r="V852" s="1265"/>
      <c r="W852" s="1265"/>
      <c r="X852" s="1265"/>
      <c r="Y852" s="1265"/>
      <c r="Z852" s="1265"/>
    </row>
    <row r="853" ht="27.0" customHeight="1">
      <c r="A853" s="1265"/>
      <c r="B853" s="1265"/>
      <c r="C853" s="1265"/>
      <c r="D853" s="1265"/>
      <c r="E853" s="1265"/>
      <c r="F853" s="1265"/>
      <c r="G853" s="1265"/>
      <c r="H853" s="1265"/>
      <c r="I853" s="1265"/>
      <c r="J853" s="1265"/>
      <c r="K853" s="1265"/>
      <c r="L853" s="1265"/>
      <c r="M853" s="1265"/>
      <c r="N853" s="1265"/>
      <c r="O853" s="1265"/>
      <c r="P853" s="1265"/>
      <c r="Q853" s="1265"/>
      <c r="R853" s="1265"/>
      <c r="S853" s="1265"/>
      <c r="T853" s="1265"/>
      <c r="U853" s="1265"/>
      <c r="V853" s="1265"/>
      <c r="W853" s="1265"/>
      <c r="X853" s="1265"/>
      <c r="Y853" s="1265"/>
      <c r="Z853" s="1265"/>
    </row>
    <row r="854" ht="27.0" customHeight="1">
      <c r="A854" s="1265"/>
      <c r="B854" s="1265"/>
      <c r="C854" s="1265"/>
      <c r="D854" s="1265"/>
      <c r="E854" s="1265"/>
      <c r="F854" s="1265"/>
      <c r="G854" s="1265"/>
      <c r="H854" s="1265"/>
      <c r="I854" s="1265"/>
      <c r="J854" s="1265"/>
      <c r="K854" s="1265"/>
      <c r="L854" s="1265"/>
      <c r="M854" s="1265"/>
      <c r="N854" s="1265"/>
      <c r="O854" s="1265"/>
      <c r="P854" s="1265"/>
      <c r="Q854" s="1265"/>
      <c r="R854" s="1265"/>
      <c r="S854" s="1265"/>
      <c r="T854" s="1265"/>
      <c r="U854" s="1265"/>
      <c r="V854" s="1265"/>
      <c r="W854" s="1265"/>
      <c r="X854" s="1265"/>
      <c r="Y854" s="1265"/>
      <c r="Z854" s="1265"/>
    </row>
    <row r="855" ht="27.0" customHeight="1">
      <c r="A855" s="1265"/>
      <c r="B855" s="1265"/>
      <c r="C855" s="1265"/>
      <c r="D855" s="1265"/>
      <c r="E855" s="1265"/>
      <c r="F855" s="1265"/>
      <c r="G855" s="1265"/>
      <c r="H855" s="1265"/>
      <c r="I855" s="1265"/>
      <c r="J855" s="1265"/>
      <c r="K855" s="1265"/>
      <c r="L855" s="1265"/>
      <c r="M855" s="1265"/>
      <c r="N855" s="1265"/>
      <c r="O855" s="1265"/>
      <c r="P855" s="1265"/>
      <c r="Q855" s="1265"/>
      <c r="R855" s="1265"/>
      <c r="S855" s="1265"/>
      <c r="T855" s="1265"/>
      <c r="U855" s="1265"/>
      <c r="V855" s="1265"/>
      <c r="W855" s="1265"/>
      <c r="X855" s="1265"/>
      <c r="Y855" s="1265"/>
      <c r="Z855" s="1265"/>
    </row>
    <row r="856" ht="27.0" customHeight="1">
      <c r="A856" s="1265"/>
      <c r="B856" s="1265"/>
      <c r="C856" s="1265"/>
      <c r="D856" s="1265"/>
      <c r="E856" s="1265"/>
      <c r="F856" s="1265"/>
      <c r="G856" s="1265"/>
      <c r="H856" s="1265"/>
      <c r="I856" s="1265"/>
      <c r="J856" s="1265"/>
      <c r="K856" s="1265"/>
      <c r="L856" s="1265"/>
      <c r="M856" s="1265"/>
      <c r="N856" s="1265"/>
      <c r="O856" s="1265"/>
      <c r="P856" s="1265"/>
      <c r="Q856" s="1265"/>
      <c r="R856" s="1265"/>
      <c r="S856" s="1265"/>
      <c r="T856" s="1265"/>
      <c r="U856" s="1265"/>
      <c r="V856" s="1265"/>
      <c r="W856" s="1265"/>
      <c r="X856" s="1265"/>
      <c r="Y856" s="1265"/>
      <c r="Z856" s="1265"/>
    </row>
    <row r="857" ht="27.0" customHeight="1">
      <c r="A857" s="1265"/>
      <c r="B857" s="1265"/>
      <c r="C857" s="1265"/>
      <c r="D857" s="1265"/>
      <c r="E857" s="1265"/>
      <c r="F857" s="1265"/>
      <c r="G857" s="1265"/>
      <c r="H857" s="1265"/>
      <c r="I857" s="1265"/>
      <c r="J857" s="1265"/>
      <c r="K857" s="1265"/>
      <c r="L857" s="1265"/>
      <c r="M857" s="1265"/>
      <c r="N857" s="1265"/>
      <c r="O857" s="1265"/>
      <c r="P857" s="1265"/>
      <c r="Q857" s="1265"/>
      <c r="R857" s="1265"/>
      <c r="S857" s="1265"/>
      <c r="T857" s="1265"/>
      <c r="U857" s="1265"/>
      <c r="V857" s="1265"/>
      <c r="W857" s="1265"/>
      <c r="X857" s="1265"/>
      <c r="Y857" s="1265"/>
      <c r="Z857" s="1265"/>
    </row>
    <row r="858" ht="27.0" customHeight="1">
      <c r="A858" s="1265"/>
      <c r="B858" s="1265"/>
      <c r="C858" s="1265"/>
      <c r="D858" s="1265"/>
      <c r="E858" s="1265"/>
      <c r="F858" s="1265"/>
      <c r="G858" s="1265"/>
      <c r="H858" s="1265"/>
      <c r="I858" s="1265"/>
      <c r="J858" s="1265"/>
      <c r="K858" s="1265"/>
      <c r="L858" s="1265"/>
      <c r="M858" s="1265"/>
      <c r="N858" s="1265"/>
      <c r="O858" s="1265"/>
      <c r="P858" s="1265"/>
      <c r="Q858" s="1265"/>
      <c r="R858" s="1265"/>
      <c r="S858" s="1265"/>
      <c r="T858" s="1265"/>
      <c r="U858" s="1265"/>
      <c r="V858" s="1265"/>
      <c r="W858" s="1265"/>
      <c r="X858" s="1265"/>
      <c r="Y858" s="1265"/>
      <c r="Z858" s="1265"/>
    </row>
    <row r="859" ht="27.0" customHeight="1">
      <c r="A859" s="1265"/>
      <c r="B859" s="1265"/>
      <c r="C859" s="1265"/>
      <c r="D859" s="1265"/>
      <c r="E859" s="1265"/>
      <c r="F859" s="1265"/>
      <c r="G859" s="1265"/>
      <c r="H859" s="1265"/>
      <c r="I859" s="1265"/>
      <c r="J859" s="1265"/>
      <c r="K859" s="1265"/>
      <c r="L859" s="1265"/>
      <c r="M859" s="1265"/>
      <c r="N859" s="1265"/>
      <c r="O859" s="1265"/>
      <c r="P859" s="1265"/>
      <c r="Q859" s="1265"/>
      <c r="R859" s="1265"/>
      <c r="S859" s="1265"/>
      <c r="T859" s="1265"/>
      <c r="U859" s="1265"/>
      <c r="V859" s="1265"/>
      <c r="W859" s="1265"/>
      <c r="X859" s="1265"/>
      <c r="Y859" s="1265"/>
      <c r="Z859" s="1265"/>
    </row>
    <row r="860" ht="27.0" customHeight="1">
      <c r="A860" s="1265"/>
      <c r="B860" s="1265"/>
      <c r="C860" s="1265"/>
      <c r="D860" s="1265"/>
      <c r="E860" s="1265"/>
      <c r="F860" s="1265"/>
      <c r="G860" s="1265"/>
      <c r="H860" s="1265"/>
      <c r="I860" s="1265"/>
      <c r="J860" s="1265"/>
      <c r="K860" s="1265"/>
      <c r="L860" s="1265"/>
      <c r="M860" s="1265"/>
      <c r="N860" s="1265"/>
      <c r="O860" s="1265"/>
      <c r="P860" s="1265"/>
      <c r="Q860" s="1265"/>
      <c r="R860" s="1265"/>
      <c r="S860" s="1265"/>
      <c r="T860" s="1265"/>
      <c r="U860" s="1265"/>
      <c r="V860" s="1265"/>
      <c r="W860" s="1265"/>
      <c r="X860" s="1265"/>
      <c r="Y860" s="1265"/>
      <c r="Z860" s="1265"/>
    </row>
    <row r="861" ht="27.0" customHeight="1">
      <c r="A861" s="1265"/>
      <c r="B861" s="1265"/>
      <c r="C861" s="1265"/>
      <c r="D861" s="1265"/>
      <c r="E861" s="1265"/>
      <c r="F861" s="1265"/>
      <c r="G861" s="1265"/>
      <c r="H861" s="1265"/>
      <c r="I861" s="1265"/>
      <c r="J861" s="1265"/>
      <c r="K861" s="1265"/>
      <c r="L861" s="1265"/>
      <c r="M861" s="1265"/>
      <c r="N861" s="1265"/>
      <c r="O861" s="1265"/>
      <c r="P861" s="1265"/>
      <c r="Q861" s="1265"/>
      <c r="R861" s="1265"/>
      <c r="S861" s="1265"/>
      <c r="T861" s="1265"/>
      <c r="U861" s="1265"/>
      <c r="V861" s="1265"/>
      <c r="W861" s="1265"/>
      <c r="X861" s="1265"/>
      <c r="Y861" s="1265"/>
      <c r="Z861" s="1265"/>
    </row>
    <row r="862" ht="27.0" customHeight="1">
      <c r="A862" s="1265"/>
      <c r="B862" s="1265"/>
      <c r="C862" s="1265"/>
      <c r="D862" s="1265"/>
      <c r="E862" s="1265"/>
      <c r="F862" s="1265"/>
      <c r="G862" s="1265"/>
      <c r="H862" s="1265"/>
      <c r="I862" s="1265"/>
      <c r="J862" s="1265"/>
      <c r="K862" s="1265"/>
      <c r="L862" s="1265"/>
      <c r="M862" s="1265"/>
      <c r="N862" s="1265"/>
      <c r="O862" s="1265"/>
      <c r="P862" s="1265"/>
      <c r="Q862" s="1265"/>
      <c r="R862" s="1265"/>
      <c r="S862" s="1265"/>
      <c r="T862" s="1265"/>
      <c r="U862" s="1265"/>
      <c r="V862" s="1265"/>
      <c r="W862" s="1265"/>
      <c r="X862" s="1265"/>
      <c r="Y862" s="1265"/>
      <c r="Z862" s="1265"/>
    </row>
    <row r="863" ht="27.0" customHeight="1">
      <c r="A863" s="1265"/>
      <c r="B863" s="1265"/>
      <c r="C863" s="1265"/>
      <c r="D863" s="1265"/>
      <c r="E863" s="1265"/>
      <c r="F863" s="1265"/>
      <c r="G863" s="1265"/>
      <c r="H863" s="1265"/>
      <c r="I863" s="1265"/>
      <c r="J863" s="1265"/>
      <c r="K863" s="1265"/>
      <c r="L863" s="1265"/>
      <c r="M863" s="1265"/>
      <c r="N863" s="1265"/>
      <c r="O863" s="1265"/>
      <c r="P863" s="1265"/>
      <c r="Q863" s="1265"/>
      <c r="R863" s="1265"/>
      <c r="S863" s="1265"/>
      <c r="T863" s="1265"/>
      <c r="U863" s="1265"/>
      <c r="V863" s="1265"/>
      <c r="W863" s="1265"/>
      <c r="X863" s="1265"/>
      <c r="Y863" s="1265"/>
      <c r="Z863" s="1265"/>
    </row>
    <row r="864" ht="27.0" customHeight="1">
      <c r="A864" s="1265"/>
      <c r="B864" s="1265"/>
      <c r="C864" s="1265"/>
      <c r="D864" s="1265"/>
      <c r="E864" s="1265"/>
      <c r="F864" s="1265"/>
      <c r="G864" s="1265"/>
      <c r="H864" s="1265"/>
      <c r="I864" s="1265"/>
      <c r="J864" s="1265"/>
      <c r="K864" s="1265"/>
      <c r="L864" s="1265"/>
      <c r="M864" s="1265"/>
      <c r="N864" s="1265"/>
      <c r="O864" s="1265"/>
      <c r="P864" s="1265"/>
      <c r="Q864" s="1265"/>
      <c r="R864" s="1265"/>
      <c r="S864" s="1265"/>
      <c r="T864" s="1265"/>
      <c r="U864" s="1265"/>
      <c r="V864" s="1265"/>
      <c r="W864" s="1265"/>
      <c r="X864" s="1265"/>
      <c r="Y864" s="1265"/>
      <c r="Z864" s="1265"/>
    </row>
    <row r="865" ht="27.0" customHeight="1">
      <c r="A865" s="1265"/>
      <c r="B865" s="1265"/>
      <c r="C865" s="1265"/>
      <c r="D865" s="1265"/>
      <c r="E865" s="1265"/>
      <c r="F865" s="1265"/>
      <c r="G865" s="1265"/>
      <c r="H865" s="1265"/>
      <c r="I865" s="1265"/>
      <c r="J865" s="1265"/>
      <c r="K865" s="1265"/>
      <c r="L865" s="1265"/>
      <c r="M865" s="1265"/>
      <c r="N865" s="1265"/>
      <c r="O865" s="1265"/>
      <c r="P865" s="1265"/>
      <c r="Q865" s="1265"/>
      <c r="R865" s="1265"/>
      <c r="S865" s="1265"/>
      <c r="T865" s="1265"/>
      <c r="U865" s="1265"/>
      <c r="V865" s="1265"/>
      <c r="W865" s="1265"/>
      <c r="X865" s="1265"/>
      <c r="Y865" s="1265"/>
      <c r="Z865" s="1265"/>
    </row>
    <row r="866" ht="27.0" customHeight="1">
      <c r="A866" s="1265"/>
      <c r="B866" s="1265"/>
      <c r="C866" s="1265"/>
      <c r="D866" s="1265"/>
      <c r="E866" s="1265"/>
      <c r="F866" s="1265"/>
      <c r="G866" s="1265"/>
      <c r="H866" s="1265"/>
      <c r="I866" s="1265"/>
      <c r="J866" s="1265"/>
      <c r="K866" s="1265"/>
      <c r="L866" s="1265"/>
      <c r="M866" s="1265"/>
      <c r="N866" s="1265"/>
      <c r="O866" s="1265"/>
      <c r="P866" s="1265"/>
      <c r="Q866" s="1265"/>
      <c r="R866" s="1265"/>
      <c r="S866" s="1265"/>
      <c r="T866" s="1265"/>
      <c r="U866" s="1265"/>
      <c r="V866" s="1265"/>
      <c r="W866" s="1265"/>
      <c r="X866" s="1265"/>
      <c r="Y866" s="1265"/>
      <c r="Z866" s="1265"/>
    </row>
    <row r="867" ht="27.0" customHeight="1">
      <c r="A867" s="1265"/>
      <c r="B867" s="1265"/>
      <c r="C867" s="1265"/>
      <c r="D867" s="1265"/>
      <c r="E867" s="1265"/>
      <c r="F867" s="1265"/>
      <c r="G867" s="1265"/>
      <c r="H867" s="1265"/>
      <c r="I867" s="1265"/>
      <c r="J867" s="1265"/>
      <c r="K867" s="1265"/>
      <c r="L867" s="1265"/>
      <c r="M867" s="1265"/>
      <c r="N867" s="1265"/>
      <c r="O867" s="1265"/>
      <c r="P867" s="1265"/>
      <c r="Q867" s="1265"/>
      <c r="R867" s="1265"/>
      <c r="S867" s="1265"/>
      <c r="T867" s="1265"/>
      <c r="U867" s="1265"/>
      <c r="V867" s="1265"/>
      <c r="W867" s="1265"/>
      <c r="X867" s="1265"/>
      <c r="Y867" s="1265"/>
      <c r="Z867" s="1265"/>
    </row>
    <row r="868" ht="27.0" customHeight="1">
      <c r="A868" s="1265"/>
      <c r="B868" s="1265"/>
      <c r="C868" s="1265"/>
      <c r="D868" s="1265"/>
      <c r="E868" s="1265"/>
      <c r="F868" s="1265"/>
      <c r="G868" s="1265"/>
      <c r="H868" s="1265"/>
      <c r="I868" s="1265"/>
      <c r="J868" s="1265"/>
      <c r="K868" s="1265"/>
      <c r="L868" s="1265"/>
      <c r="M868" s="1265"/>
      <c r="N868" s="1265"/>
      <c r="O868" s="1265"/>
      <c r="P868" s="1265"/>
      <c r="Q868" s="1265"/>
      <c r="R868" s="1265"/>
      <c r="S868" s="1265"/>
      <c r="T868" s="1265"/>
      <c r="U868" s="1265"/>
      <c r="V868" s="1265"/>
      <c r="W868" s="1265"/>
      <c r="X868" s="1265"/>
      <c r="Y868" s="1265"/>
      <c r="Z868" s="1265"/>
    </row>
    <row r="869" ht="27.0" customHeight="1">
      <c r="A869" s="1265"/>
      <c r="B869" s="1265"/>
      <c r="C869" s="1265"/>
      <c r="D869" s="1265"/>
      <c r="E869" s="1265"/>
      <c r="F869" s="1265"/>
      <c r="G869" s="1265"/>
      <c r="H869" s="1265"/>
      <c r="I869" s="1265"/>
      <c r="J869" s="1265"/>
      <c r="K869" s="1265"/>
      <c r="L869" s="1265"/>
      <c r="M869" s="1265"/>
      <c r="N869" s="1265"/>
      <c r="O869" s="1265"/>
      <c r="P869" s="1265"/>
      <c r="Q869" s="1265"/>
      <c r="R869" s="1265"/>
      <c r="S869" s="1265"/>
      <c r="T869" s="1265"/>
      <c r="U869" s="1265"/>
      <c r="V869" s="1265"/>
      <c r="W869" s="1265"/>
      <c r="X869" s="1265"/>
      <c r="Y869" s="1265"/>
      <c r="Z869" s="1265"/>
    </row>
    <row r="870" ht="27.0" customHeight="1">
      <c r="A870" s="1265"/>
      <c r="B870" s="1265"/>
      <c r="C870" s="1265"/>
      <c r="D870" s="1265"/>
      <c r="E870" s="1265"/>
      <c r="F870" s="1265"/>
      <c r="G870" s="1265"/>
      <c r="H870" s="1265"/>
      <c r="I870" s="1265"/>
      <c r="J870" s="1265"/>
      <c r="K870" s="1265"/>
      <c r="L870" s="1265"/>
      <c r="M870" s="1265"/>
      <c r="N870" s="1265"/>
      <c r="O870" s="1265"/>
      <c r="P870" s="1265"/>
      <c r="Q870" s="1265"/>
      <c r="R870" s="1265"/>
      <c r="S870" s="1265"/>
      <c r="T870" s="1265"/>
      <c r="U870" s="1265"/>
      <c r="V870" s="1265"/>
      <c r="W870" s="1265"/>
      <c r="X870" s="1265"/>
      <c r="Y870" s="1265"/>
      <c r="Z870" s="1265"/>
    </row>
    <row r="871" ht="27.0" customHeight="1">
      <c r="A871" s="1265"/>
      <c r="B871" s="1265"/>
      <c r="C871" s="1265"/>
      <c r="D871" s="1265"/>
      <c r="E871" s="1265"/>
      <c r="F871" s="1265"/>
      <c r="G871" s="1265"/>
      <c r="H871" s="1265"/>
      <c r="I871" s="1265"/>
      <c r="J871" s="1265"/>
      <c r="K871" s="1265"/>
      <c r="L871" s="1265"/>
      <c r="M871" s="1265"/>
      <c r="N871" s="1265"/>
      <c r="O871" s="1265"/>
      <c r="P871" s="1265"/>
      <c r="Q871" s="1265"/>
      <c r="R871" s="1265"/>
      <c r="S871" s="1265"/>
      <c r="T871" s="1265"/>
      <c r="U871" s="1265"/>
      <c r="V871" s="1265"/>
      <c r="W871" s="1265"/>
      <c r="X871" s="1265"/>
      <c r="Y871" s="1265"/>
      <c r="Z871" s="1265"/>
    </row>
    <row r="872" ht="27.0" customHeight="1">
      <c r="A872" s="1265"/>
      <c r="B872" s="1265"/>
      <c r="C872" s="1265"/>
      <c r="D872" s="1265"/>
      <c r="E872" s="1265"/>
      <c r="F872" s="1265"/>
      <c r="G872" s="1265"/>
      <c r="H872" s="1265"/>
      <c r="I872" s="1265"/>
      <c r="J872" s="1265"/>
      <c r="K872" s="1265"/>
      <c r="L872" s="1265"/>
      <c r="M872" s="1265"/>
      <c r="N872" s="1265"/>
      <c r="O872" s="1265"/>
      <c r="P872" s="1265"/>
      <c r="Q872" s="1265"/>
      <c r="R872" s="1265"/>
      <c r="S872" s="1265"/>
      <c r="T872" s="1265"/>
      <c r="U872" s="1265"/>
      <c r="V872" s="1265"/>
      <c r="W872" s="1265"/>
      <c r="X872" s="1265"/>
      <c r="Y872" s="1265"/>
      <c r="Z872" s="1265"/>
    </row>
    <row r="873" ht="27.0" customHeight="1">
      <c r="A873" s="1265"/>
      <c r="B873" s="1265"/>
      <c r="C873" s="1265"/>
      <c r="D873" s="1265"/>
      <c r="E873" s="1265"/>
      <c r="F873" s="1265"/>
      <c r="G873" s="1265"/>
      <c r="H873" s="1265"/>
      <c r="I873" s="1265"/>
      <c r="J873" s="1265"/>
      <c r="K873" s="1265"/>
      <c r="L873" s="1265"/>
      <c r="M873" s="1265"/>
      <c r="N873" s="1265"/>
      <c r="O873" s="1265"/>
      <c r="P873" s="1265"/>
      <c r="Q873" s="1265"/>
      <c r="R873" s="1265"/>
      <c r="S873" s="1265"/>
      <c r="T873" s="1265"/>
      <c r="U873" s="1265"/>
      <c r="V873" s="1265"/>
      <c r="W873" s="1265"/>
      <c r="X873" s="1265"/>
      <c r="Y873" s="1265"/>
      <c r="Z873" s="1265"/>
    </row>
    <row r="874" ht="27.0" customHeight="1">
      <c r="A874" s="1265"/>
      <c r="B874" s="1265"/>
      <c r="C874" s="1265"/>
      <c r="D874" s="1265"/>
      <c r="E874" s="1265"/>
      <c r="F874" s="1265"/>
      <c r="G874" s="1265"/>
      <c r="H874" s="1265"/>
      <c r="I874" s="1265"/>
      <c r="J874" s="1265"/>
      <c r="K874" s="1265"/>
      <c r="L874" s="1265"/>
      <c r="M874" s="1265"/>
      <c r="N874" s="1265"/>
      <c r="O874" s="1265"/>
      <c r="P874" s="1265"/>
      <c r="Q874" s="1265"/>
      <c r="R874" s="1265"/>
      <c r="S874" s="1265"/>
      <c r="T874" s="1265"/>
      <c r="U874" s="1265"/>
      <c r="V874" s="1265"/>
      <c r="W874" s="1265"/>
      <c r="X874" s="1265"/>
      <c r="Y874" s="1265"/>
      <c r="Z874" s="1265"/>
    </row>
    <row r="875" ht="27.0" customHeight="1">
      <c r="A875" s="1265"/>
      <c r="B875" s="1265"/>
      <c r="C875" s="1265"/>
      <c r="D875" s="1265"/>
      <c r="E875" s="1265"/>
      <c r="F875" s="1265"/>
      <c r="G875" s="1265"/>
      <c r="H875" s="1265"/>
      <c r="I875" s="1265"/>
      <c r="J875" s="1265"/>
      <c r="K875" s="1265"/>
      <c r="L875" s="1265"/>
      <c r="M875" s="1265"/>
      <c r="N875" s="1265"/>
      <c r="O875" s="1265"/>
      <c r="P875" s="1265"/>
      <c r="Q875" s="1265"/>
      <c r="R875" s="1265"/>
      <c r="S875" s="1265"/>
      <c r="T875" s="1265"/>
      <c r="U875" s="1265"/>
      <c r="V875" s="1265"/>
      <c r="W875" s="1265"/>
      <c r="X875" s="1265"/>
      <c r="Y875" s="1265"/>
      <c r="Z875" s="1265"/>
    </row>
    <row r="876" ht="27.0" customHeight="1">
      <c r="A876" s="1265"/>
      <c r="B876" s="1265"/>
      <c r="C876" s="1265"/>
      <c r="D876" s="1265"/>
      <c r="E876" s="1265"/>
      <c r="F876" s="1265"/>
      <c r="G876" s="1265"/>
      <c r="H876" s="1265"/>
      <c r="I876" s="1265"/>
      <c r="J876" s="1265"/>
      <c r="K876" s="1265"/>
      <c r="L876" s="1265"/>
      <c r="M876" s="1265"/>
      <c r="N876" s="1265"/>
      <c r="O876" s="1265"/>
      <c r="P876" s="1265"/>
      <c r="Q876" s="1265"/>
      <c r="R876" s="1265"/>
      <c r="S876" s="1265"/>
      <c r="T876" s="1265"/>
      <c r="U876" s="1265"/>
      <c r="V876" s="1265"/>
      <c r="W876" s="1265"/>
      <c r="X876" s="1265"/>
      <c r="Y876" s="1265"/>
      <c r="Z876" s="1265"/>
    </row>
    <row r="877" ht="27.0" customHeight="1">
      <c r="A877" s="1265"/>
      <c r="B877" s="1265"/>
      <c r="C877" s="1265"/>
      <c r="D877" s="1265"/>
      <c r="E877" s="1265"/>
      <c r="F877" s="1265"/>
      <c r="G877" s="1265"/>
      <c r="H877" s="1265"/>
      <c r="I877" s="1265"/>
      <c r="J877" s="1265"/>
      <c r="K877" s="1265"/>
      <c r="L877" s="1265"/>
      <c r="M877" s="1265"/>
      <c r="N877" s="1265"/>
      <c r="O877" s="1265"/>
      <c r="P877" s="1265"/>
      <c r="Q877" s="1265"/>
      <c r="R877" s="1265"/>
      <c r="S877" s="1265"/>
      <c r="T877" s="1265"/>
      <c r="U877" s="1265"/>
      <c r="V877" s="1265"/>
      <c r="W877" s="1265"/>
      <c r="X877" s="1265"/>
      <c r="Y877" s="1265"/>
      <c r="Z877" s="1265"/>
    </row>
    <row r="878" ht="27.0" customHeight="1">
      <c r="A878" s="1265"/>
      <c r="B878" s="1265"/>
      <c r="C878" s="1265"/>
      <c r="D878" s="1265"/>
      <c r="E878" s="1265"/>
      <c r="F878" s="1265"/>
      <c r="G878" s="1265"/>
      <c r="H878" s="1265"/>
      <c r="I878" s="1265"/>
      <c r="J878" s="1265"/>
      <c r="K878" s="1265"/>
      <c r="L878" s="1265"/>
      <c r="M878" s="1265"/>
      <c r="N878" s="1265"/>
      <c r="O878" s="1265"/>
      <c r="P878" s="1265"/>
      <c r="Q878" s="1265"/>
      <c r="R878" s="1265"/>
      <c r="S878" s="1265"/>
      <c r="T878" s="1265"/>
      <c r="U878" s="1265"/>
      <c r="V878" s="1265"/>
      <c r="W878" s="1265"/>
      <c r="X878" s="1265"/>
      <c r="Y878" s="1265"/>
      <c r="Z878" s="1265"/>
    </row>
    <row r="879" ht="27.0" customHeight="1">
      <c r="A879" s="1265"/>
      <c r="B879" s="1265"/>
      <c r="C879" s="1265"/>
      <c r="D879" s="1265"/>
      <c r="E879" s="1265"/>
      <c r="F879" s="1265"/>
      <c r="G879" s="1265"/>
      <c r="H879" s="1265"/>
      <c r="I879" s="1265"/>
      <c r="J879" s="1265"/>
      <c r="K879" s="1265"/>
      <c r="L879" s="1265"/>
      <c r="M879" s="1265"/>
      <c r="N879" s="1265"/>
      <c r="O879" s="1265"/>
      <c r="P879" s="1265"/>
      <c r="Q879" s="1265"/>
      <c r="R879" s="1265"/>
      <c r="S879" s="1265"/>
      <c r="T879" s="1265"/>
      <c r="U879" s="1265"/>
      <c r="V879" s="1265"/>
      <c r="W879" s="1265"/>
      <c r="X879" s="1265"/>
      <c r="Y879" s="1265"/>
      <c r="Z879" s="1265"/>
    </row>
    <row r="880" ht="27.0" customHeight="1">
      <c r="A880" s="1265"/>
      <c r="B880" s="1265"/>
      <c r="C880" s="1265"/>
      <c r="D880" s="1265"/>
      <c r="E880" s="1265"/>
      <c r="F880" s="1265"/>
      <c r="G880" s="1265"/>
      <c r="H880" s="1265"/>
      <c r="I880" s="1265"/>
      <c r="J880" s="1265"/>
      <c r="K880" s="1265"/>
      <c r="L880" s="1265"/>
      <c r="M880" s="1265"/>
      <c r="N880" s="1265"/>
      <c r="O880" s="1265"/>
      <c r="P880" s="1265"/>
      <c r="Q880" s="1265"/>
      <c r="R880" s="1265"/>
      <c r="S880" s="1265"/>
      <c r="T880" s="1265"/>
      <c r="U880" s="1265"/>
      <c r="V880" s="1265"/>
      <c r="W880" s="1265"/>
      <c r="X880" s="1265"/>
      <c r="Y880" s="1265"/>
      <c r="Z880" s="1265"/>
    </row>
    <row r="881" ht="27.0" customHeight="1">
      <c r="A881" s="1265"/>
      <c r="B881" s="1265"/>
      <c r="C881" s="1265"/>
      <c r="D881" s="1265"/>
      <c r="E881" s="1265"/>
      <c r="F881" s="1265"/>
      <c r="G881" s="1265"/>
      <c r="H881" s="1265"/>
      <c r="I881" s="1265"/>
      <c r="J881" s="1265"/>
      <c r="K881" s="1265"/>
      <c r="L881" s="1265"/>
      <c r="M881" s="1265"/>
      <c r="N881" s="1265"/>
      <c r="O881" s="1265"/>
      <c r="P881" s="1265"/>
      <c r="Q881" s="1265"/>
      <c r="R881" s="1265"/>
      <c r="S881" s="1265"/>
      <c r="T881" s="1265"/>
      <c r="U881" s="1265"/>
      <c r="V881" s="1265"/>
      <c r="W881" s="1265"/>
      <c r="X881" s="1265"/>
      <c r="Y881" s="1265"/>
      <c r="Z881" s="1265"/>
    </row>
    <row r="882" ht="27.0" customHeight="1">
      <c r="A882" s="1265"/>
      <c r="B882" s="1265"/>
      <c r="C882" s="1265"/>
      <c r="D882" s="1265"/>
      <c r="E882" s="1265"/>
      <c r="F882" s="1265"/>
      <c r="G882" s="1265"/>
      <c r="H882" s="1265"/>
      <c r="I882" s="1265"/>
      <c r="J882" s="1265"/>
      <c r="K882" s="1265"/>
      <c r="L882" s="1265"/>
      <c r="M882" s="1265"/>
      <c r="N882" s="1265"/>
      <c r="O882" s="1265"/>
      <c r="P882" s="1265"/>
      <c r="Q882" s="1265"/>
      <c r="R882" s="1265"/>
      <c r="S882" s="1265"/>
      <c r="T882" s="1265"/>
      <c r="U882" s="1265"/>
      <c r="V882" s="1265"/>
      <c r="W882" s="1265"/>
      <c r="X882" s="1265"/>
      <c r="Y882" s="1265"/>
      <c r="Z882" s="1265"/>
    </row>
    <row r="883" ht="27.0" customHeight="1">
      <c r="A883" s="1265"/>
      <c r="B883" s="1265"/>
      <c r="C883" s="1265"/>
      <c r="D883" s="1265"/>
      <c r="E883" s="1265"/>
      <c r="F883" s="1265"/>
      <c r="G883" s="1265"/>
      <c r="H883" s="1265"/>
      <c r="I883" s="1265"/>
      <c r="J883" s="1265"/>
      <c r="K883" s="1265"/>
      <c r="L883" s="1265"/>
      <c r="M883" s="1265"/>
      <c r="N883" s="1265"/>
      <c r="O883" s="1265"/>
      <c r="P883" s="1265"/>
      <c r="Q883" s="1265"/>
      <c r="R883" s="1265"/>
      <c r="S883" s="1265"/>
      <c r="T883" s="1265"/>
      <c r="U883" s="1265"/>
      <c r="V883" s="1265"/>
      <c r="W883" s="1265"/>
      <c r="X883" s="1265"/>
      <c r="Y883" s="1265"/>
      <c r="Z883" s="1265"/>
    </row>
    <row r="884" ht="27.0" customHeight="1">
      <c r="A884" s="1265"/>
      <c r="B884" s="1265"/>
      <c r="C884" s="1265"/>
      <c r="D884" s="1265"/>
      <c r="E884" s="1265"/>
      <c r="F884" s="1265"/>
      <c r="G884" s="1265"/>
      <c r="H884" s="1265"/>
      <c r="I884" s="1265"/>
      <c r="J884" s="1265"/>
      <c r="K884" s="1265"/>
      <c r="L884" s="1265"/>
      <c r="M884" s="1265"/>
      <c r="N884" s="1265"/>
      <c r="O884" s="1265"/>
      <c r="P884" s="1265"/>
      <c r="Q884" s="1265"/>
      <c r="R884" s="1265"/>
      <c r="S884" s="1265"/>
      <c r="T884" s="1265"/>
      <c r="U884" s="1265"/>
      <c r="V884" s="1265"/>
      <c r="W884" s="1265"/>
      <c r="X884" s="1265"/>
      <c r="Y884" s="1265"/>
      <c r="Z884" s="1265"/>
    </row>
    <row r="885" ht="27.0" customHeight="1">
      <c r="A885" s="1265"/>
      <c r="B885" s="1265"/>
      <c r="C885" s="1265"/>
      <c r="D885" s="1265"/>
      <c r="E885" s="1265"/>
      <c r="F885" s="1265"/>
      <c r="G885" s="1265"/>
      <c r="H885" s="1265"/>
      <c r="I885" s="1265"/>
      <c r="J885" s="1265"/>
      <c r="K885" s="1265"/>
      <c r="L885" s="1265"/>
      <c r="M885" s="1265"/>
      <c r="N885" s="1265"/>
      <c r="O885" s="1265"/>
      <c r="P885" s="1265"/>
      <c r="Q885" s="1265"/>
      <c r="R885" s="1265"/>
      <c r="S885" s="1265"/>
      <c r="T885" s="1265"/>
      <c r="U885" s="1265"/>
      <c r="V885" s="1265"/>
      <c r="W885" s="1265"/>
      <c r="X885" s="1265"/>
      <c r="Y885" s="1265"/>
      <c r="Z885" s="1265"/>
    </row>
    <row r="886" ht="27.0" customHeight="1">
      <c r="A886" s="1265"/>
      <c r="B886" s="1265"/>
      <c r="C886" s="1265"/>
      <c r="D886" s="1265"/>
      <c r="E886" s="1265"/>
      <c r="F886" s="1265"/>
      <c r="G886" s="1265"/>
      <c r="H886" s="1265"/>
      <c r="I886" s="1265"/>
      <c r="J886" s="1265"/>
      <c r="K886" s="1265"/>
      <c r="L886" s="1265"/>
      <c r="M886" s="1265"/>
      <c r="N886" s="1265"/>
      <c r="O886" s="1265"/>
      <c r="P886" s="1265"/>
      <c r="Q886" s="1265"/>
      <c r="R886" s="1265"/>
      <c r="S886" s="1265"/>
      <c r="T886" s="1265"/>
      <c r="U886" s="1265"/>
      <c r="V886" s="1265"/>
      <c r="W886" s="1265"/>
      <c r="X886" s="1265"/>
      <c r="Y886" s="1265"/>
      <c r="Z886" s="1265"/>
    </row>
    <row r="887" ht="27.0" customHeight="1">
      <c r="A887" s="1265"/>
      <c r="B887" s="1265"/>
      <c r="C887" s="1265"/>
      <c r="D887" s="1265"/>
      <c r="E887" s="1265"/>
      <c r="F887" s="1265"/>
      <c r="G887" s="1265"/>
      <c r="H887" s="1265"/>
      <c r="I887" s="1265"/>
      <c r="J887" s="1265"/>
      <c r="K887" s="1265"/>
      <c r="L887" s="1265"/>
      <c r="M887" s="1265"/>
      <c r="N887" s="1265"/>
      <c r="O887" s="1265"/>
      <c r="P887" s="1265"/>
      <c r="Q887" s="1265"/>
      <c r="R887" s="1265"/>
      <c r="S887" s="1265"/>
      <c r="T887" s="1265"/>
      <c r="U887" s="1265"/>
      <c r="V887" s="1265"/>
      <c r="W887" s="1265"/>
      <c r="X887" s="1265"/>
      <c r="Y887" s="1265"/>
      <c r="Z887" s="1265"/>
    </row>
    <row r="888" ht="27.0" customHeight="1">
      <c r="A888" s="1265"/>
      <c r="B888" s="1265"/>
      <c r="C888" s="1265"/>
      <c r="D888" s="1265"/>
      <c r="E888" s="1265"/>
      <c r="F888" s="1265"/>
      <c r="G888" s="1265"/>
      <c r="H888" s="1265"/>
      <c r="I888" s="1265"/>
      <c r="J888" s="1265"/>
      <c r="K888" s="1265"/>
      <c r="L888" s="1265"/>
      <c r="M888" s="1265"/>
      <c r="N888" s="1265"/>
      <c r="O888" s="1265"/>
      <c r="P888" s="1265"/>
      <c r="Q888" s="1265"/>
      <c r="R888" s="1265"/>
      <c r="S888" s="1265"/>
      <c r="T888" s="1265"/>
      <c r="U888" s="1265"/>
      <c r="V888" s="1265"/>
      <c r="W888" s="1265"/>
      <c r="X888" s="1265"/>
      <c r="Y888" s="1265"/>
      <c r="Z888" s="1265"/>
    </row>
    <row r="889" ht="27.0" customHeight="1">
      <c r="A889" s="1265"/>
      <c r="B889" s="1265"/>
      <c r="C889" s="1265"/>
      <c r="D889" s="1265"/>
      <c r="E889" s="1265"/>
      <c r="F889" s="1265"/>
      <c r="G889" s="1265"/>
      <c r="H889" s="1265"/>
      <c r="I889" s="1265"/>
      <c r="J889" s="1265"/>
      <c r="K889" s="1265"/>
      <c r="L889" s="1265"/>
      <c r="M889" s="1265"/>
      <c r="N889" s="1265"/>
      <c r="O889" s="1265"/>
      <c r="P889" s="1265"/>
      <c r="Q889" s="1265"/>
      <c r="R889" s="1265"/>
      <c r="S889" s="1265"/>
      <c r="T889" s="1265"/>
      <c r="U889" s="1265"/>
      <c r="V889" s="1265"/>
      <c r="W889" s="1265"/>
      <c r="X889" s="1265"/>
      <c r="Y889" s="1265"/>
      <c r="Z889" s="1265"/>
    </row>
    <row r="890" ht="27.0" customHeight="1">
      <c r="A890" s="1265"/>
      <c r="B890" s="1265"/>
      <c r="C890" s="1265"/>
      <c r="D890" s="1265"/>
      <c r="E890" s="1265"/>
      <c r="F890" s="1265"/>
      <c r="G890" s="1265"/>
      <c r="H890" s="1265"/>
      <c r="I890" s="1265"/>
      <c r="J890" s="1265"/>
      <c r="K890" s="1265"/>
      <c r="L890" s="1265"/>
      <c r="M890" s="1265"/>
      <c r="N890" s="1265"/>
      <c r="O890" s="1265"/>
      <c r="P890" s="1265"/>
      <c r="Q890" s="1265"/>
      <c r="R890" s="1265"/>
      <c r="S890" s="1265"/>
      <c r="T890" s="1265"/>
      <c r="U890" s="1265"/>
      <c r="V890" s="1265"/>
      <c r="W890" s="1265"/>
      <c r="X890" s="1265"/>
      <c r="Y890" s="1265"/>
      <c r="Z890" s="1265"/>
    </row>
    <row r="891" ht="27.0" customHeight="1">
      <c r="A891" s="1265"/>
      <c r="B891" s="1265"/>
      <c r="C891" s="1265"/>
      <c r="D891" s="1265"/>
      <c r="E891" s="1265"/>
      <c r="F891" s="1265"/>
      <c r="G891" s="1265"/>
      <c r="H891" s="1265"/>
      <c r="I891" s="1265"/>
      <c r="J891" s="1265"/>
      <c r="K891" s="1265"/>
      <c r="L891" s="1265"/>
      <c r="M891" s="1265"/>
      <c r="N891" s="1265"/>
      <c r="O891" s="1265"/>
      <c r="P891" s="1265"/>
      <c r="Q891" s="1265"/>
      <c r="R891" s="1265"/>
      <c r="S891" s="1265"/>
      <c r="T891" s="1265"/>
      <c r="U891" s="1265"/>
      <c r="V891" s="1265"/>
      <c r="W891" s="1265"/>
      <c r="X891" s="1265"/>
      <c r="Y891" s="1265"/>
      <c r="Z891" s="1265"/>
    </row>
    <row r="892" ht="27.0" customHeight="1">
      <c r="A892" s="1265"/>
      <c r="B892" s="1265"/>
      <c r="C892" s="1265"/>
      <c r="D892" s="1265"/>
      <c r="E892" s="1265"/>
      <c r="F892" s="1265"/>
      <c r="G892" s="1265"/>
      <c r="H892" s="1265"/>
      <c r="I892" s="1265"/>
      <c r="J892" s="1265"/>
      <c r="K892" s="1265"/>
      <c r="L892" s="1265"/>
      <c r="M892" s="1265"/>
      <c r="N892" s="1265"/>
      <c r="O892" s="1265"/>
      <c r="P892" s="1265"/>
      <c r="Q892" s="1265"/>
      <c r="R892" s="1265"/>
      <c r="S892" s="1265"/>
      <c r="T892" s="1265"/>
      <c r="U892" s="1265"/>
      <c r="V892" s="1265"/>
      <c r="W892" s="1265"/>
      <c r="X892" s="1265"/>
      <c r="Y892" s="1265"/>
      <c r="Z892" s="1265"/>
    </row>
    <row r="893" ht="27.0" customHeight="1">
      <c r="A893" s="1265"/>
      <c r="B893" s="1265"/>
      <c r="C893" s="1265"/>
      <c r="D893" s="1265"/>
      <c r="E893" s="1265"/>
      <c r="F893" s="1265"/>
      <c r="G893" s="1265"/>
      <c r="H893" s="1265"/>
      <c r="I893" s="1265"/>
      <c r="J893" s="1265"/>
      <c r="K893" s="1265"/>
      <c r="L893" s="1265"/>
      <c r="M893" s="1265"/>
      <c r="N893" s="1265"/>
      <c r="O893" s="1265"/>
      <c r="P893" s="1265"/>
      <c r="Q893" s="1265"/>
      <c r="R893" s="1265"/>
      <c r="S893" s="1265"/>
      <c r="T893" s="1265"/>
      <c r="U893" s="1265"/>
      <c r="V893" s="1265"/>
      <c r="W893" s="1265"/>
      <c r="X893" s="1265"/>
      <c r="Y893" s="1265"/>
      <c r="Z893" s="1265"/>
    </row>
    <row r="894" ht="27.0" customHeight="1">
      <c r="A894" s="1265"/>
      <c r="B894" s="1265"/>
      <c r="C894" s="1265"/>
      <c r="D894" s="1265"/>
      <c r="E894" s="1265"/>
      <c r="F894" s="1265"/>
      <c r="G894" s="1265"/>
      <c r="H894" s="1265"/>
      <c r="I894" s="1265"/>
      <c r="J894" s="1265"/>
      <c r="K894" s="1265"/>
      <c r="L894" s="1265"/>
      <c r="M894" s="1265"/>
      <c r="N894" s="1265"/>
      <c r="O894" s="1265"/>
      <c r="P894" s="1265"/>
      <c r="Q894" s="1265"/>
      <c r="R894" s="1265"/>
      <c r="S894" s="1265"/>
      <c r="T894" s="1265"/>
      <c r="U894" s="1265"/>
      <c r="V894" s="1265"/>
      <c r="W894" s="1265"/>
      <c r="X894" s="1265"/>
      <c r="Y894" s="1265"/>
      <c r="Z894" s="1265"/>
    </row>
    <row r="895" ht="27.0" customHeight="1">
      <c r="A895" s="1265"/>
      <c r="B895" s="1265"/>
      <c r="C895" s="1265"/>
      <c r="D895" s="1265"/>
      <c r="E895" s="1265"/>
      <c r="F895" s="1265"/>
      <c r="G895" s="1265"/>
      <c r="H895" s="1265"/>
      <c r="I895" s="1265"/>
      <c r="J895" s="1265"/>
      <c r="K895" s="1265"/>
      <c r="L895" s="1265"/>
      <c r="M895" s="1265"/>
      <c r="N895" s="1265"/>
      <c r="O895" s="1265"/>
      <c r="P895" s="1265"/>
      <c r="Q895" s="1265"/>
      <c r="R895" s="1265"/>
      <c r="S895" s="1265"/>
      <c r="T895" s="1265"/>
      <c r="U895" s="1265"/>
      <c r="V895" s="1265"/>
      <c r="W895" s="1265"/>
      <c r="X895" s="1265"/>
      <c r="Y895" s="1265"/>
      <c r="Z895" s="1265"/>
    </row>
    <row r="896" ht="27.0" customHeight="1">
      <c r="A896" s="1265"/>
      <c r="B896" s="1265"/>
      <c r="C896" s="1265"/>
      <c r="D896" s="1265"/>
      <c r="E896" s="1265"/>
      <c r="F896" s="1265"/>
      <c r="G896" s="1265"/>
      <c r="H896" s="1265"/>
      <c r="I896" s="1265"/>
      <c r="J896" s="1265"/>
      <c r="K896" s="1265"/>
      <c r="L896" s="1265"/>
      <c r="M896" s="1265"/>
      <c r="N896" s="1265"/>
      <c r="O896" s="1265"/>
      <c r="P896" s="1265"/>
      <c r="Q896" s="1265"/>
      <c r="R896" s="1265"/>
      <c r="S896" s="1265"/>
      <c r="T896" s="1265"/>
      <c r="U896" s="1265"/>
      <c r="V896" s="1265"/>
      <c r="W896" s="1265"/>
      <c r="X896" s="1265"/>
      <c r="Y896" s="1265"/>
      <c r="Z896" s="1265"/>
    </row>
    <row r="897" ht="27.0" customHeight="1">
      <c r="A897" s="1265"/>
      <c r="B897" s="1265"/>
      <c r="C897" s="1265"/>
      <c r="D897" s="1265"/>
      <c r="E897" s="1265"/>
      <c r="F897" s="1265"/>
      <c r="G897" s="1265"/>
      <c r="H897" s="1265"/>
      <c r="I897" s="1265"/>
      <c r="J897" s="1265"/>
      <c r="K897" s="1265"/>
      <c r="L897" s="1265"/>
      <c r="M897" s="1265"/>
      <c r="N897" s="1265"/>
      <c r="O897" s="1265"/>
      <c r="P897" s="1265"/>
      <c r="Q897" s="1265"/>
      <c r="R897" s="1265"/>
      <c r="S897" s="1265"/>
      <c r="T897" s="1265"/>
      <c r="U897" s="1265"/>
      <c r="V897" s="1265"/>
      <c r="W897" s="1265"/>
      <c r="X897" s="1265"/>
      <c r="Y897" s="1265"/>
      <c r="Z897" s="1265"/>
    </row>
    <row r="898" ht="27.0" customHeight="1">
      <c r="A898" s="1265"/>
      <c r="B898" s="1265"/>
      <c r="C898" s="1265"/>
      <c r="D898" s="1265"/>
      <c r="E898" s="1265"/>
      <c r="F898" s="1265"/>
      <c r="G898" s="1265"/>
      <c r="H898" s="1265"/>
      <c r="I898" s="1265"/>
      <c r="J898" s="1265"/>
      <c r="K898" s="1265"/>
      <c r="L898" s="1265"/>
      <c r="M898" s="1265"/>
      <c r="N898" s="1265"/>
      <c r="O898" s="1265"/>
      <c r="P898" s="1265"/>
      <c r="Q898" s="1265"/>
      <c r="R898" s="1265"/>
      <c r="S898" s="1265"/>
      <c r="T898" s="1265"/>
      <c r="U898" s="1265"/>
      <c r="V898" s="1265"/>
      <c r="W898" s="1265"/>
      <c r="X898" s="1265"/>
      <c r="Y898" s="1265"/>
      <c r="Z898" s="1265"/>
    </row>
    <row r="899" ht="27.0" customHeight="1">
      <c r="A899" s="1265"/>
      <c r="B899" s="1265"/>
      <c r="C899" s="1265"/>
      <c r="D899" s="1265"/>
      <c r="E899" s="1265"/>
      <c r="F899" s="1265"/>
      <c r="G899" s="1265"/>
      <c r="H899" s="1265"/>
      <c r="I899" s="1265"/>
      <c r="J899" s="1265"/>
      <c r="K899" s="1265"/>
      <c r="L899" s="1265"/>
      <c r="M899" s="1265"/>
      <c r="N899" s="1265"/>
      <c r="O899" s="1265"/>
      <c r="P899" s="1265"/>
      <c r="Q899" s="1265"/>
      <c r="R899" s="1265"/>
      <c r="S899" s="1265"/>
      <c r="T899" s="1265"/>
      <c r="U899" s="1265"/>
      <c r="V899" s="1265"/>
      <c r="W899" s="1265"/>
      <c r="X899" s="1265"/>
      <c r="Y899" s="1265"/>
      <c r="Z899" s="1265"/>
    </row>
    <row r="900" ht="27.0" customHeight="1">
      <c r="A900" s="1265"/>
      <c r="B900" s="1265"/>
      <c r="C900" s="1265"/>
      <c r="D900" s="1265"/>
      <c r="E900" s="1265"/>
      <c r="F900" s="1265"/>
      <c r="G900" s="1265"/>
      <c r="H900" s="1265"/>
      <c r="I900" s="1265"/>
      <c r="J900" s="1265"/>
      <c r="K900" s="1265"/>
      <c r="L900" s="1265"/>
      <c r="M900" s="1265"/>
      <c r="N900" s="1265"/>
      <c r="O900" s="1265"/>
      <c r="P900" s="1265"/>
      <c r="Q900" s="1265"/>
      <c r="R900" s="1265"/>
      <c r="S900" s="1265"/>
      <c r="T900" s="1265"/>
      <c r="U900" s="1265"/>
      <c r="V900" s="1265"/>
      <c r="W900" s="1265"/>
      <c r="X900" s="1265"/>
      <c r="Y900" s="1265"/>
      <c r="Z900" s="1265"/>
    </row>
    <row r="901" ht="27.0" customHeight="1">
      <c r="A901" s="1265"/>
      <c r="B901" s="1265"/>
      <c r="C901" s="1265"/>
      <c r="D901" s="1265"/>
      <c r="E901" s="1265"/>
      <c r="F901" s="1265"/>
      <c r="G901" s="1265"/>
      <c r="H901" s="1265"/>
      <c r="I901" s="1265"/>
      <c r="J901" s="1265"/>
      <c r="K901" s="1265"/>
      <c r="L901" s="1265"/>
      <c r="M901" s="1265"/>
      <c r="N901" s="1265"/>
      <c r="O901" s="1265"/>
      <c r="P901" s="1265"/>
      <c r="Q901" s="1265"/>
      <c r="R901" s="1265"/>
      <c r="S901" s="1265"/>
      <c r="T901" s="1265"/>
      <c r="U901" s="1265"/>
      <c r="V901" s="1265"/>
      <c r="W901" s="1265"/>
      <c r="X901" s="1265"/>
      <c r="Y901" s="1265"/>
      <c r="Z901" s="1265"/>
    </row>
    <row r="902" ht="27.0" customHeight="1">
      <c r="A902" s="1265"/>
      <c r="B902" s="1265"/>
      <c r="C902" s="1265"/>
      <c r="D902" s="1265"/>
      <c r="E902" s="1265"/>
      <c r="F902" s="1265"/>
      <c r="G902" s="1265"/>
      <c r="H902" s="1265"/>
      <c r="I902" s="1265"/>
      <c r="J902" s="1265"/>
      <c r="K902" s="1265"/>
      <c r="L902" s="1265"/>
      <c r="M902" s="1265"/>
      <c r="N902" s="1265"/>
      <c r="O902" s="1265"/>
      <c r="P902" s="1265"/>
      <c r="Q902" s="1265"/>
      <c r="R902" s="1265"/>
      <c r="S902" s="1265"/>
      <c r="T902" s="1265"/>
      <c r="U902" s="1265"/>
      <c r="V902" s="1265"/>
      <c r="W902" s="1265"/>
      <c r="X902" s="1265"/>
      <c r="Y902" s="1265"/>
      <c r="Z902" s="1265"/>
    </row>
    <row r="903" ht="27.0" customHeight="1">
      <c r="A903" s="1265"/>
      <c r="B903" s="1265"/>
      <c r="C903" s="1265"/>
      <c r="D903" s="1265"/>
      <c r="E903" s="1265"/>
      <c r="F903" s="1265"/>
      <c r="G903" s="1265"/>
      <c r="H903" s="1265"/>
      <c r="I903" s="1265"/>
      <c r="J903" s="1265"/>
      <c r="K903" s="1265"/>
      <c r="L903" s="1265"/>
      <c r="M903" s="1265"/>
      <c r="N903" s="1265"/>
      <c r="O903" s="1265"/>
      <c r="P903" s="1265"/>
      <c r="Q903" s="1265"/>
      <c r="R903" s="1265"/>
      <c r="S903" s="1265"/>
      <c r="T903" s="1265"/>
      <c r="U903" s="1265"/>
      <c r="V903" s="1265"/>
      <c r="W903" s="1265"/>
      <c r="X903" s="1265"/>
      <c r="Y903" s="1265"/>
      <c r="Z903" s="1265"/>
    </row>
    <row r="904" ht="27.0" customHeight="1">
      <c r="A904" s="1265"/>
      <c r="B904" s="1265"/>
      <c r="C904" s="1265"/>
      <c r="D904" s="1265"/>
      <c r="E904" s="1265"/>
      <c r="F904" s="1265"/>
      <c r="G904" s="1265"/>
      <c r="H904" s="1265"/>
      <c r="I904" s="1265"/>
      <c r="J904" s="1265"/>
      <c r="K904" s="1265"/>
      <c r="L904" s="1265"/>
      <c r="M904" s="1265"/>
      <c r="N904" s="1265"/>
      <c r="O904" s="1265"/>
      <c r="P904" s="1265"/>
      <c r="Q904" s="1265"/>
      <c r="R904" s="1265"/>
      <c r="S904" s="1265"/>
      <c r="T904" s="1265"/>
      <c r="U904" s="1265"/>
      <c r="V904" s="1265"/>
      <c r="W904" s="1265"/>
      <c r="X904" s="1265"/>
      <c r="Y904" s="1265"/>
      <c r="Z904" s="1265"/>
    </row>
    <row r="905" ht="27.0" customHeight="1">
      <c r="A905" s="1265"/>
      <c r="B905" s="1265"/>
      <c r="C905" s="1265"/>
      <c r="D905" s="1265"/>
      <c r="E905" s="1265"/>
      <c r="F905" s="1265"/>
      <c r="G905" s="1265"/>
      <c r="H905" s="1265"/>
      <c r="I905" s="1265"/>
      <c r="J905" s="1265"/>
      <c r="K905" s="1265"/>
      <c r="L905" s="1265"/>
      <c r="M905" s="1265"/>
      <c r="N905" s="1265"/>
      <c r="O905" s="1265"/>
      <c r="P905" s="1265"/>
      <c r="Q905" s="1265"/>
      <c r="R905" s="1265"/>
      <c r="S905" s="1265"/>
      <c r="T905" s="1265"/>
      <c r="U905" s="1265"/>
      <c r="V905" s="1265"/>
      <c r="W905" s="1265"/>
      <c r="X905" s="1265"/>
      <c r="Y905" s="1265"/>
      <c r="Z905" s="1265"/>
    </row>
    <row r="906" ht="27.0" customHeight="1">
      <c r="A906" s="1265"/>
      <c r="B906" s="1265"/>
      <c r="C906" s="1265"/>
      <c r="D906" s="1265"/>
      <c r="E906" s="1265"/>
      <c r="F906" s="1265"/>
      <c r="G906" s="1265"/>
      <c r="H906" s="1265"/>
      <c r="I906" s="1265"/>
      <c r="J906" s="1265"/>
      <c r="K906" s="1265"/>
      <c r="L906" s="1265"/>
      <c r="M906" s="1265"/>
      <c r="N906" s="1265"/>
      <c r="O906" s="1265"/>
      <c r="P906" s="1265"/>
      <c r="Q906" s="1265"/>
      <c r="R906" s="1265"/>
      <c r="S906" s="1265"/>
      <c r="T906" s="1265"/>
      <c r="U906" s="1265"/>
      <c r="V906" s="1265"/>
      <c r="W906" s="1265"/>
      <c r="X906" s="1265"/>
      <c r="Y906" s="1265"/>
      <c r="Z906" s="1265"/>
    </row>
    <row r="907" ht="27.0" customHeight="1">
      <c r="A907" s="1265"/>
      <c r="B907" s="1265"/>
      <c r="C907" s="1265"/>
      <c r="D907" s="1265"/>
      <c r="E907" s="1265"/>
      <c r="F907" s="1265"/>
      <c r="G907" s="1265"/>
      <c r="H907" s="1265"/>
      <c r="I907" s="1265"/>
      <c r="J907" s="1265"/>
      <c r="K907" s="1265"/>
      <c r="L907" s="1265"/>
      <c r="M907" s="1265"/>
      <c r="N907" s="1265"/>
      <c r="O907" s="1265"/>
      <c r="P907" s="1265"/>
      <c r="Q907" s="1265"/>
      <c r="R907" s="1265"/>
      <c r="S907" s="1265"/>
      <c r="T907" s="1265"/>
      <c r="U907" s="1265"/>
      <c r="V907" s="1265"/>
      <c r="W907" s="1265"/>
      <c r="X907" s="1265"/>
      <c r="Y907" s="1265"/>
      <c r="Z907" s="1265"/>
    </row>
    <row r="908" ht="27.0" customHeight="1">
      <c r="A908" s="1265"/>
      <c r="B908" s="1265"/>
      <c r="C908" s="1265"/>
      <c r="D908" s="1265"/>
      <c r="E908" s="1265"/>
      <c r="F908" s="1265"/>
      <c r="G908" s="1265"/>
      <c r="H908" s="1265"/>
      <c r="I908" s="1265"/>
      <c r="J908" s="1265"/>
      <c r="K908" s="1265"/>
      <c r="L908" s="1265"/>
      <c r="M908" s="1265"/>
      <c r="N908" s="1265"/>
      <c r="O908" s="1265"/>
      <c r="P908" s="1265"/>
      <c r="Q908" s="1265"/>
      <c r="R908" s="1265"/>
      <c r="S908" s="1265"/>
      <c r="T908" s="1265"/>
      <c r="U908" s="1265"/>
      <c r="V908" s="1265"/>
      <c r="W908" s="1265"/>
      <c r="X908" s="1265"/>
      <c r="Y908" s="1265"/>
      <c r="Z908" s="1265"/>
    </row>
    <row r="909" ht="27.0" customHeight="1">
      <c r="A909" s="1265"/>
      <c r="B909" s="1265"/>
      <c r="C909" s="1265"/>
      <c r="D909" s="1265"/>
      <c r="E909" s="1265"/>
      <c r="F909" s="1265"/>
      <c r="G909" s="1265"/>
      <c r="H909" s="1265"/>
      <c r="I909" s="1265"/>
      <c r="J909" s="1265"/>
      <c r="K909" s="1265"/>
      <c r="L909" s="1265"/>
      <c r="M909" s="1265"/>
      <c r="N909" s="1265"/>
      <c r="O909" s="1265"/>
      <c r="P909" s="1265"/>
      <c r="Q909" s="1265"/>
      <c r="R909" s="1265"/>
      <c r="S909" s="1265"/>
      <c r="T909" s="1265"/>
      <c r="U909" s="1265"/>
      <c r="V909" s="1265"/>
      <c r="W909" s="1265"/>
      <c r="X909" s="1265"/>
      <c r="Y909" s="1265"/>
      <c r="Z909" s="1265"/>
    </row>
    <row r="910" ht="27.0" customHeight="1">
      <c r="A910" s="1265"/>
      <c r="B910" s="1265"/>
      <c r="C910" s="1265"/>
      <c r="D910" s="1265"/>
      <c r="E910" s="1265"/>
      <c r="F910" s="1265"/>
      <c r="G910" s="1265"/>
      <c r="H910" s="1265"/>
      <c r="I910" s="1265"/>
      <c r="J910" s="1265"/>
      <c r="K910" s="1265"/>
      <c r="L910" s="1265"/>
      <c r="M910" s="1265"/>
      <c r="N910" s="1265"/>
      <c r="O910" s="1265"/>
      <c r="P910" s="1265"/>
      <c r="Q910" s="1265"/>
      <c r="R910" s="1265"/>
      <c r="S910" s="1265"/>
      <c r="T910" s="1265"/>
      <c r="U910" s="1265"/>
      <c r="V910" s="1265"/>
      <c r="W910" s="1265"/>
      <c r="X910" s="1265"/>
      <c r="Y910" s="1265"/>
      <c r="Z910" s="1265"/>
    </row>
    <row r="911" ht="27.0" customHeight="1">
      <c r="A911" s="1265"/>
      <c r="B911" s="1265"/>
      <c r="C911" s="1265"/>
      <c r="D911" s="1265"/>
      <c r="E911" s="1265"/>
      <c r="F911" s="1265"/>
      <c r="G911" s="1265"/>
      <c r="H911" s="1265"/>
      <c r="I911" s="1265"/>
      <c r="J911" s="1265"/>
      <c r="K911" s="1265"/>
      <c r="L911" s="1265"/>
      <c r="M911" s="1265"/>
      <c r="N911" s="1265"/>
      <c r="O911" s="1265"/>
      <c r="P911" s="1265"/>
      <c r="Q911" s="1265"/>
      <c r="R911" s="1265"/>
      <c r="S911" s="1265"/>
      <c r="T911" s="1265"/>
      <c r="U911" s="1265"/>
      <c r="V911" s="1265"/>
      <c r="W911" s="1265"/>
      <c r="X911" s="1265"/>
      <c r="Y911" s="1265"/>
      <c r="Z911" s="1265"/>
    </row>
    <row r="912" ht="27.0" customHeight="1">
      <c r="A912" s="1265"/>
      <c r="B912" s="1265"/>
      <c r="C912" s="1265"/>
      <c r="D912" s="1265"/>
      <c r="E912" s="1265"/>
      <c r="F912" s="1265"/>
      <c r="G912" s="1265"/>
      <c r="H912" s="1265"/>
      <c r="I912" s="1265"/>
      <c r="J912" s="1265"/>
      <c r="K912" s="1265"/>
      <c r="L912" s="1265"/>
      <c r="M912" s="1265"/>
      <c r="N912" s="1265"/>
      <c r="O912" s="1265"/>
      <c r="P912" s="1265"/>
      <c r="Q912" s="1265"/>
      <c r="R912" s="1265"/>
      <c r="S912" s="1265"/>
      <c r="T912" s="1265"/>
      <c r="U912" s="1265"/>
      <c r="V912" s="1265"/>
      <c r="W912" s="1265"/>
      <c r="X912" s="1265"/>
      <c r="Y912" s="1265"/>
      <c r="Z912" s="1265"/>
    </row>
    <row r="913" ht="27.0" customHeight="1">
      <c r="A913" s="1265"/>
      <c r="B913" s="1265"/>
      <c r="C913" s="1265"/>
      <c r="D913" s="1265"/>
      <c r="E913" s="1265"/>
      <c r="F913" s="1265"/>
      <c r="G913" s="1265"/>
      <c r="H913" s="1265"/>
      <c r="I913" s="1265"/>
      <c r="J913" s="1265"/>
      <c r="K913" s="1265"/>
      <c r="L913" s="1265"/>
      <c r="M913" s="1265"/>
      <c r="N913" s="1265"/>
      <c r="O913" s="1265"/>
      <c r="P913" s="1265"/>
      <c r="Q913" s="1265"/>
      <c r="R913" s="1265"/>
      <c r="S913" s="1265"/>
      <c r="T913" s="1265"/>
      <c r="U913" s="1265"/>
      <c r="V913" s="1265"/>
      <c r="W913" s="1265"/>
      <c r="X913" s="1265"/>
      <c r="Y913" s="1265"/>
      <c r="Z913" s="1265"/>
    </row>
    <row r="914" ht="27.0" customHeight="1">
      <c r="A914" s="1265"/>
      <c r="B914" s="1265"/>
      <c r="C914" s="1265"/>
      <c r="D914" s="1265"/>
      <c r="E914" s="1265"/>
      <c r="F914" s="1265"/>
      <c r="G914" s="1265"/>
      <c r="H914" s="1265"/>
      <c r="I914" s="1265"/>
      <c r="J914" s="1265"/>
      <c r="K914" s="1265"/>
      <c r="L914" s="1265"/>
      <c r="M914" s="1265"/>
      <c r="N914" s="1265"/>
      <c r="O914" s="1265"/>
      <c r="P914" s="1265"/>
      <c r="Q914" s="1265"/>
      <c r="R914" s="1265"/>
      <c r="S914" s="1265"/>
      <c r="T914" s="1265"/>
      <c r="U914" s="1265"/>
      <c r="V914" s="1265"/>
      <c r="W914" s="1265"/>
      <c r="X914" s="1265"/>
      <c r="Y914" s="1265"/>
      <c r="Z914" s="1265"/>
    </row>
    <row r="915" ht="27.0" customHeight="1">
      <c r="A915" s="1265"/>
      <c r="B915" s="1265"/>
      <c r="C915" s="1265"/>
      <c r="D915" s="1265"/>
      <c r="E915" s="1265"/>
      <c r="F915" s="1265"/>
      <c r="G915" s="1265"/>
      <c r="H915" s="1265"/>
      <c r="I915" s="1265"/>
      <c r="J915" s="1265"/>
      <c r="K915" s="1265"/>
      <c r="L915" s="1265"/>
      <c r="M915" s="1265"/>
      <c r="N915" s="1265"/>
      <c r="O915" s="1265"/>
      <c r="P915" s="1265"/>
      <c r="Q915" s="1265"/>
      <c r="R915" s="1265"/>
      <c r="S915" s="1265"/>
      <c r="T915" s="1265"/>
      <c r="U915" s="1265"/>
      <c r="V915" s="1265"/>
      <c r="W915" s="1265"/>
      <c r="X915" s="1265"/>
      <c r="Y915" s="1265"/>
      <c r="Z915" s="1265"/>
    </row>
    <row r="916" ht="27.0" customHeight="1">
      <c r="A916" s="1265"/>
      <c r="B916" s="1265"/>
      <c r="C916" s="1265"/>
      <c r="D916" s="1265"/>
      <c r="E916" s="1265"/>
      <c r="F916" s="1265"/>
      <c r="G916" s="1265"/>
      <c r="H916" s="1265"/>
      <c r="I916" s="1265"/>
      <c r="J916" s="1265"/>
      <c r="K916" s="1265"/>
      <c r="L916" s="1265"/>
      <c r="M916" s="1265"/>
      <c r="N916" s="1265"/>
      <c r="O916" s="1265"/>
      <c r="P916" s="1265"/>
      <c r="Q916" s="1265"/>
      <c r="R916" s="1265"/>
      <c r="S916" s="1265"/>
      <c r="T916" s="1265"/>
      <c r="U916" s="1265"/>
      <c r="V916" s="1265"/>
      <c r="W916" s="1265"/>
      <c r="X916" s="1265"/>
      <c r="Y916" s="1265"/>
      <c r="Z916" s="1265"/>
    </row>
    <row r="917" ht="27.0" customHeight="1">
      <c r="A917" s="1265"/>
      <c r="B917" s="1265"/>
      <c r="C917" s="1265"/>
      <c r="D917" s="1265"/>
      <c r="E917" s="1265"/>
      <c r="F917" s="1265"/>
      <c r="G917" s="1265"/>
      <c r="H917" s="1265"/>
      <c r="I917" s="1265"/>
      <c r="J917" s="1265"/>
      <c r="K917" s="1265"/>
      <c r="L917" s="1265"/>
      <c r="M917" s="1265"/>
      <c r="N917" s="1265"/>
      <c r="O917" s="1265"/>
      <c r="P917" s="1265"/>
      <c r="Q917" s="1265"/>
      <c r="R917" s="1265"/>
      <c r="S917" s="1265"/>
      <c r="T917" s="1265"/>
      <c r="U917" s="1265"/>
      <c r="V917" s="1265"/>
      <c r="W917" s="1265"/>
      <c r="X917" s="1265"/>
      <c r="Y917" s="1265"/>
      <c r="Z917" s="1265"/>
    </row>
    <row r="918" ht="27.0" customHeight="1">
      <c r="A918" s="1265"/>
      <c r="B918" s="1265"/>
      <c r="C918" s="1265"/>
      <c r="D918" s="1265"/>
      <c r="E918" s="1265"/>
      <c r="F918" s="1265"/>
      <c r="G918" s="1265"/>
      <c r="H918" s="1265"/>
      <c r="I918" s="1265"/>
      <c r="J918" s="1265"/>
      <c r="K918" s="1265"/>
      <c r="L918" s="1265"/>
      <c r="M918" s="1265"/>
      <c r="N918" s="1265"/>
      <c r="O918" s="1265"/>
      <c r="P918" s="1265"/>
      <c r="Q918" s="1265"/>
      <c r="R918" s="1265"/>
      <c r="S918" s="1265"/>
      <c r="T918" s="1265"/>
      <c r="U918" s="1265"/>
      <c r="V918" s="1265"/>
      <c r="W918" s="1265"/>
      <c r="X918" s="1265"/>
      <c r="Y918" s="1265"/>
      <c r="Z918" s="1265"/>
    </row>
    <row r="919" ht="27.0" customHeight="1">
      <c r="A919" s="1265"/>
      <c r="B919" s="1265"/>
      <c r="C919" s="1265"/>
      <c r="D919" s="1265"/>
      <c r="E919" s="1265"/>
      <c r="F919" s="1265"/>
      <c r="G919" s="1265"/>
      <c r="H919" s="1265"/>
      <c r="I919" s="1265"/>
      <c r="J919" s="1265"/>
      <c r="K919" s="1265"/>
      <c r="L919" s="1265"/>
      <c r="M919" s="1265"/>
      <c r="N919" s="1265"/>
      <c r="O919" s="1265"/>
      <c r="P919" s="1265"/>
      <c r="Q919" s="1265"/>
      <c r="R919" s="1265"/>
      <c r="S919" s="1265"/>
      <c r="T919" s="1265"/>
      <c r="U919" s="1265"/>
      <c r="V919" s="1265"/>
      <c r="W919" s="1265"/>
      <c r="X919" s="1265"/>
      <c r="Y919" s="1265"/>
      <c r="Z919" s="1265"/>
    </row>
    <row r="920" ht="27.0" customHeight="1">
      <c r="A920" s="1265"/>
      <c r="B920" s="1265"/>
      <c r="C920" s="1265"/>
      <c r="D920" s="1265"/>
      <c r="E920" s="1265"/>
      <c r="F920" s="1265"/>
      <c r="G920" s="1265"/>
      <c r="H920" s="1265"/>
      <c r="I920" s="1265"/>
      <c r="J920" s="1265"/>
      <c r="K920" s="1265"/>
      <c r="L920" s="1265"/>
      <c r="M920" s="1265"/>
      <c r="N920" s="1265"/>
      <c r="O920" s="1265"/>
      <c r="P920" s="1265"/>
      <c r="Q920" s="1265"/>
      <c r="R920" s="1265"/>
      <c r="S920" s="1265"/>
      <c r="T920" s="1265"/>
      <c r="U920" s="1265"/>
      <c r="V920" s="1265"/>
      <c r="W920" s="1265"/>
      <c r="X920" s="1265"/>
      <c r="Y920" s="1265"/>
      <c r="Z920" s="1265"/>
    </row>
    <row r="921" ht="27.0" customHeight="1">
      <c r="A921" s="1265"/>
      <c r="B921" s="1265"/>
      <c r="C921" s="1265"/>
      <c r="D921" s="1265"/>
      <c r="E921" s="1265"/>
      <c r="F921" s="1265"/>
      <c r="G921" s="1265"/>
      <c r="H921" s="1265"/>
      <c r="I921" s="1265"/>
      <c r="J921" s="1265"/>
      <c r="K921" s="1265"/>
      <c r="L921" s="1265"/>
      <c r="M921" s="1265"/>
      <c r="N921" s="1265"/>
      <c r="O921" s="1265"/>
      <c r="P921" s="1265"/>
      <c r="Q921" s="1265"/>
      <c r="R921" s="1265"/>
      <c r="S921" s="1265"/>
      <c r="T921" s="1265"/>
      <c r="U921" s="1265"/>
      <c r="V921" s="1265"/>
      <c r="W921" s="1265"/>
      <c r="X921" s="1265"/>
      <c r="Y921" s="1265"/>
      <c r="Z921" s="1265"/>
    </row>
    <row r="922" ht="27.0" customHeight="1">
      <c r="A922" s="1265"/>
      <c r="B922" s="1265"/>
      <c r="C922" s="1265"/>
      <c r="D922" s="1265"/>
      <c r="E922" s="1265"/>
      <c r="F922" s="1265"/>
      <c r="G922" s="1265"/>
      <c r="H922" s="1265"/>
      <c r="I922" s="1265"/>
      <c r="J922" s="1265"/>
      <c r="K922" s="1265"/>
      <c r="L922" s="1265"/>
      <c r="M922" s="1265"/>
      <c r="N922" s="1265"/>
      <c r="O922" s="1265"/>
      <c r="P922" s="1265"/>
      <c r="Q922" s="1265"/>
      <c r="R922" s="1265"/>
      <c r="S922" s="1265"/>
      <c r="T922" s="1265"/>
      <c r="U922" s="1265"/>
      <c r="V922" s="1265"/>
      <c r="W922" s="1265"/>
      <c r="X922" s="1265"/>
      <c r="Y922" s="1265"/>
      <c r="Z922" s="1265"/>
    </row>
    <row r="923" ht="27.0" customHeight="1">
      <c r="A923" s="1265"/>
      <c r="B923" s="1265"/>
      <c r="C923" s="1265"/>
      <c r="D923" s="1265"/>
      <c r="E923" s="1265"/>
      <c r="F923" s="1265"/>
      <c r="G923" s="1265"/>
      <c r="H923" s="1265"/>
      <c r="I923" s="1265"/>
      <c r="J923" s="1265"/>
      <c r="K923" s="1265"/>
      <c r="L923" s="1265"/>
      <c r="M923" s="1265"/>
      <c r="N923" s="1265"/>
      <c r="O923" s="1265"/>
      <c r="P923" s="1265"/>
      <c r="Q923" s="1265"/>
      <c r="R923" s="1265"/>
      <c r="S923" s="1265"/>
      <c r="T923" s="1265"/>
      <c r="U923" s="1265"/>
      <c r="V923" s="1265"/>
      <c r="W923" s="1265"/>
      <c r="X923" s="1265"/>
      <c r="Y923" s="1265"/>
      <c r="Z923" s="1265"/>
    </row>
    <row r="924" ht="27.0" customHeight="1">
      <c r="A924" s="1265"/>
      <c r="B924" s="1265"/>
      <c r="C924" s="1265"/>
      <c r="D924" s="1265"/>
      <c r="E924" s="1265"/>
      <c r="F924" s="1265"/>
      <c r="G924" s="1265"/>
      <c r="H924" s="1265"/>
      <c r="I924" s="1265"/>
      <c r="J924" s="1265"/>
      <c r="K924" s="1265"/>
      <c r="L924" s="1265"/>
      <c r="M924" s="1265"/>
      <c r="N924" s="1265"/>
      <c r="O924" s="1265"/>
      <c r="P924" s="1265"/>
      <c r="Q924" s="1265"/>
      <c r="R924" s="1265"/>
      <c r="S924" s="1265"/>
      <c r="T924" s="1265"/>
      <c r="U924" s="1265"/>
      <c r="V924" s="1265"/>
      <c r="W924" s="1265"/>
      <c r="X924" s="1265"/>
      <c r="Y924" s="1265"/>
      <c r="Z924" s="1265"/>
    </row>
    <row r="925" ht="27.0" customHeight="1">
      <c r="A925" s="1265"/>
      <c r="B925" s="1265"/>
      <c r="C925" s="1265"/>
      <c r="D925" s="1265"/>
      <c r="E925" s="1265"/>
      <c r="F925" s="1265"/>
      <c r="G925" s="1265"/>
      <c r="H925" s="1265"/>
      <c r="I925" s="1265"/>
      <c r="J925" s="1265"/>
      <c r="K925" s="1265"/>
      <c r="L925" s="1265"/>
      <c r="M925" s="1265"/>
      <c r="N925" s="1265"/>
      <c r="O925" s="1265"/>
      <c r="P925" s="1265"/>
      <c r="Q925" s="1265"/>
      <c r="R925" s="1265"/>
      <c r="S925" s="1265"/>
      <c r="T925" s="1265"/>
      <c r="U925" s="1265"/>
      <c r="V925" s="1265"/>
      <c r="W925" s="1265"/>
      <c r="X925" s="1265"/>
      <c r="Y925" s="1265"/>
      <c r="Z925" s="1265"/>
    </row>
    <row r="926" ht="27.0" customHeight="1">
      <c r="A926" s="1265"/>
      <c r="B926" s="1265"/>
      <c r="C926" s="1265"/>
      <c r="D926" s="1265"/>
      <c r="E926" s="1265"/>
      <c r="F926" s="1265"/>
      <c r="G926" s="1265"/>
      <c r="H926" s="1265"/>
      <c r="I926" s="1265"/>
      <c r="J926" s="1265"/>
      <c r="K926" s="1265"/>
      <c r="L926" s="1265"/>
      <c r="M926" s="1265"/>
      <c r="N926" s="1265"/>
      <c r="O926" s="1265"/>
      <c r="P926" s="1265"/>
      <c r="Q926" s="1265"/>
      <c r="R926" s="1265"/>
      <c r="S926" s="1265"/>
      <c r="T926" s="1265"/>
      <c r="U926" s="1265"/>
      <c r="V926" s="1265"/>
      <c r="W926" s="1265"/>
      <c r="X926" s="1265"/>
      <c r="Y926" s="1265"/>
      <c r="Z926" s="1265"/>
    </row>
    <row r="927" ht="27.0" customHeight="1">
      <c r="A927" s="1265"/>
      <c r="B927" s="1265"/>
      <c r="C927" s="1265"/>
      <c r="D927" s="1265"/>
      <c r="E927" s="1265"/>
      <c r="F927" s="1265"/>
      <c r="G927" s="1265"/>
      <c r="H927" s="1265"/>
      <c r="I927" s="1265"/>
      <c r="J927" s="1265"/>
      <c r="K927" s="1265"/>
      <c r="L927" s="1265"/>
      <c r="M927" s="1265"/>
      <c r="N927" s="1265"/>
      <c r="O927" s="1265"/>
      <c r="P927" s="1265"/>
      <c r="Q927" s="1265"/>
      <c r="R927" s="1265"/>
      <c r="S927" s="1265"/>
      <c r="T927" s="1265"/>
      <c r="U927" s="1265"/>
      <c r="V927" s="1265"/>
      <c r="W927" s="1265"/>
      <c r="X927" s="1265"/>
      <c r="Y927" s="1265"/>
      <c r="Z927" s="1265"/>
    </row>
    <row r="928" ht="27.0" customHeight="1">
      <c r="A928" s="1265"/>
      <c r="B928" s="1265"/>
      <c r="C928" s="1265"/>
      <c r="D928" s="1265"/>
      <c r="E928" s="1265"/>
      <c r="F928" s="1265"/>
      <c r="G928" s="1265"/>
      <c r="H928" s="1265"/>
      <c r="I928" s="1265"/>
      <c r="J928" s="1265"/>
      <c r="K928" s="1265"/>
      <c r="L928" s="1265"/>
      <c r="M928" s="1265"/>
      <c r="N928" s="1265"/>
      <c r="O928" s="1265"/>
      <c r="P928" s="1265"/>
      <c r="Q928" s="1265"/>
      <c r="R928" s="1265"/>
      <c r="S928" s="1265"/>
      <c r="T928" s="1265"/>
      <c r="U928" s="1265"/>
      <c r="V928" s="1265"/>
      <c r="W928" s="1265"/>
      <c r="X928" s="1265"/>
      <c r="Y928" s="1265"/>
      <c r="Z928" s="1265"/>
    </row>
    <row r="929" ht="27.0" customHeight="1">
      <c r="A929" s="1265"/>
      <c r="B929" s="1265"/>
      <c r="C929" s="1265"/>
      <c r="D929" s="1265"/>
      <c r="E929" s="1265"/>
      <c r="F929" s="1265"/>
      <c r="G929" s="1265"/>
      <c r="H929" s="1265"/>
      <c r="I929" s="1265"/>
      <c r="J929" s="1265"/>
      <c r="K929" s="1265"/>
      <c r="L929" s="1265"/>
      <c r="M929" s="1265"/>
      <c r="N929" s="1265"/>
      <c r="O929" s="1265"/>
      <c r="P929" s="1265"/>
      <c r="Q929" s="1265"/>
      <c r="R929" s="1265"/>
      <c r="S929" s="1265"/>
      <c r="T929" s="1265"/>
      <c r="U929" s="1265"/>
      <c r="V929" s="1265"/>
      <c r="W929" s="1265"/>
      <c r="X929" s="1265"/>
      <c r="Y929" s="1265"/>
      <c r="Z929" s="1265"/>
    </row>
    <row r="930" ht="27.0" customHeight="1">
      <c r="A930" s="1265"/>
      <c r="B930" s="1265"/>
      <c r="C930" s="1265"/>
      <c r="D930" s="1265"/>
      <c r="E930" s="1265"/>
      <c r="F930" s="1265"/>
      <c r="G930" s="1265"/>
      <c r="H930" s="1265"/>
      <c r="I930" s="1265"/>
      <c r="J930" s="1265"/>
      <c r="K930" s="1265"/>
      <c r="L930" s="1265"/>
      <c r="M930" s="1265"/>
      <c r="N930" s="1265"/>
      <c r="O930" s="1265"/>
      <c r="P930" s="1265"/>
      <c r="Q930" s="1265"/>
      <c r="R930" s="1265"/>
      <c r="S930" s="1265"/>
      <c r="T930" s="1265"/>
      <c r="U930" s="1265"/>
      <c r="V930" s="1265"/>
      <c r="W930" s="1265"/>
      <c r="X930" s="1265"/>
      <c r="Y930" s="1265"/>
      <c r="Z930" s="1265"/>
    </row>
    <row r="931" ht="27.0" customHeight="1">
      <c r="A931" s="1265"/>
      <c r="B931" s="1265"/>
      <c r="C931" s="1265"/>
      <c r="D931" s="1265"/>
      <c r="E931" s="1265"/>
      <c r="F931" s="1265"/>
      <c r="G931" s="1265"/>
      <c r="H931" s="1265"/>
      <c r="I931" s="1265"/>
      <c r="J931" s="1265"/>
      <c r="K931" s="1265"/>
      <c r="L931" s="1265"/>
      <c r="M931" s="1265"/>
      <c r="N931" s="1265"/>
      <c r="O931" s="1265"/>
      <c r="P931" s="1265"/>
      <c r="Q931" s="1265"/>
      <c r="R931" s="1265"/>
      <c r="S931" s="1265"/>
      <c r="T931" s="1265"/>
      <c r="U931" s="1265"/>
      <c r="V931" s="1265"/>
      <c r="W931" s="1265"/>
      <c r="X931" s="1265"/>
      <c r="Y931" s="1265"/>
      <c r="Z931" s="1265"/>
    </row>
    <row r="932" ht="27.0" customHeight="1">
      <c r="A932" s="1265"/>
      <c r="B932" s="1265"/>
      <c r="C932" s="1265"/>
      <c r="D932" s="1265"/>
      <c r="E932" s="1265"/>
      <c r="F932" s="1265"/>
      <c r="G932" s="1265"/>
      <c r="H932" s="1265"/>
      <c r="I932" s="1265"/>
      <c r="J932" s="1265"/>
      <c r="K932" s="1265"/>
      <c r="L932" s="1265"/>
      <c r="M932" s="1265"/>
      <c r="N932" s="1265"/>
      <c r="O932" s="1265"/>
      <c r="P932" s="1265"/>
      <c r="Q932" s="1265"/>
      <c r="R932" s="1265"/>
      <c r="S932" s="1265"/>
      <c r="T932" s="1265"/>
      <c r="U932" s="1265"/>
      <c r="V932" s="1265"/>
      <c r="W932" s="1265"/>
      <c r="X932" s="1265"/>
      <c r="Y932" s="1265"/>
      <c r="Z932" s="1265"/>
    </row>
    <row r="933" ht="27.0" customHeight="1">
      <c r="A933" s="1265"/>
      <c r="B933" s="1265"/>
      <c r="C933" s="1265"/>
      <c r="D933" s="1265"/>
      <c r="E933" s="1265"/>
      <c r="F933" s="1265"/>
      <c r="G933" s="1265"/>
      <c r="H933" s="1265"/>
      <c r="I933" s="1265"/>
      <c r="J933" s="1265"/>
      <c r="K933" s="1265"/>
      <c r="L933" s="1265"/>
      <c r="M933" s="1265"/>
      <c r="N933" s="1265"/>
      <c r="O933" s="1265"/>
      <c r="P933" s="1265"/>
      <c r="Q933" s="1265"/>
      <c r="R933" s="1265"/>
      <c r="S933" s="1265"/>
      <c r="T933" s="1265"/>
      <c r="U933" s="1265"/>
      <c r="V933" s="1265"/>
      <c r="W933" s="1265"/>
      <c r="X933" s="1265"/>
      <c r="Y933" s="1265"/>
      <c r="Z933" s="1265"/>
    </row>
    <row r="934" ht="27.0" customHeight="1">
      <c r="A934" s="1265"/>
      <c r="B934" s="1265"/>
      <c r="C934" s="1265"/>
      <c r="D934" s="1265"/>
      <c r="E934" s="1265"/>
      <c r="F934" s="1265"/>
      <c r="G934" s="1265"/>
      <c r="H934" s="1265"/>
      <c r="I934" s="1265"/>
      <c r="J934" s="1265"/>
      <c r="K934" s="1265"/>
      <c r="L934" s="1265"/>
      <c r="M934" s="1265"/>
      <c r="N934" s="1265"/>
      <c r="O934" s="1265"/>
      <c r="P934" s="1265"/>
      <c r="Q934" s="1265"/>
      <c r="R934" s="1265"/>
      <c r="S934" s="1265"/>
      <c r="T934" s="1265"/>
      <c r="U934" s="1265"/>
      <c r="V934" s="1265"/>
      <c r="W934" s="1265"/>
      <c r="X934" s="1265"/>
      <c r="Y934" s="1265"/>
      <c r="Z934" s="1265"/>
    </row>
    <row r="935" ht="27.0" customHeight="1">
      <c r="A935" s="1265"/>
      <c r="B935" s="1265"/>
      <c r="C935" s="1265"/>
      <c r="D935" s="1265"/>
      <c r="E935" s="1265"/>
      <c r="F935" s="1265"/>
      <c r="G935" s="1265"/>
      <c r="H935" s="1265"/>
      <c r="I935" s="1265"/>
      <c r="J935" s="1265"/>
      <c r="K935" s="1265"/>
      <c r="L935" s="1265"/>
      <c r="M935" s="1265"/>
      <c r="N935" s="1265"/>
      <c r="O935" s="1265"/>
      <c r="P935" s="1265"/>
      <c r="Q935" s="1265"/>
      <c r="R935" s="1265"/>
      <c r="S935" s="1265"/>
      <c r="T935" s="1265"/>
      <c r="U935" s="1265"/>
      <c r="V935" s="1265"/>
      <c r="W935" s="1265"/>
      <c r="X935" s="1265"/>
      <c r="Y935" s="1265"/>
      <c r="Z935" s="1265"/>
    </row>
    <row r="936" ht="27.0" customHeight="1">
      <c r="A936" s="1265"/>
      <c r="B936" s="1265"/>
      <c r="C936" s="1265"/>
      <c r="D936" s="1265"/>
      <c r="E936" s="1265"/>
      <c r="F936" s="1265"/>
      <c r="G936" s="1265"/>
      <c r="H936" s="1265"/>
      <c r="I936" s="1265"/>
      <c r="J936" s="1265"/>
      <c r="K936" s="1265"/>
      <c r="L936" s="1265"/>
      <c r="M936" s="1265"/>
      <c r="N936" s="1265"/>
      <c r="O936" s="1265"/>
      <c r="P936" s="1265"/>
      <c r="Q936" s="1265"/>
      <c r="R936" s="1265"/>
      <c r="S936" s="1265"/>
      <c r="T936" s="1265"/>
      <c r="U936" s="1265"/>
      <c r="V936" s="1265"/>
      <c r="W936" s="1265"/>
      <c r="X936" s="1265"/>
      <c r="Y936" s="1265"/>
      <c r="Z936" s="1265"/>
    </row>
    <row r="937" ht="27.0" customHeight="1">
      <c r="A937" s="1265"/>
      <c r="B937" s="1265"/>
      <c r="C937" s="1265"/>
      <c r="D937" s="1265"/>
      <c r="E937" s="1265"/>
      <c r="F937" s="1265"/>
      <c r="G937" s="1265"/>
      <c r="H937" s="1265"/>
      <c r="I937" s="1265"/>
      <c r="J937" s="1265"/>
      <c r="K937" s="1265"/>
      <c r="L937" s="1265"/>
      <c r="M937" s="1265"/>
      <c r="N937" s="1265"/>
      <c r="O937" s="1265"/>
      <c r="P937" s="1265"/>
      <c r="Q937" s="1265"/>
      <c r="R937" s="1265"/>
      <c r="S937" s="1265"/>
      <c r="T937" s="1265"/>
      <c r="U937" s="1265"/>
      <c r="V937" s="1265"/>
      <c r="W937" s="1265"/>
      <c r="X937" s="1265"/>
      <c r="Y937" s="1265"/>
      <c r="Z937" s="1265"/>
    </row>
    <row r="938" ht="27.0" customHeight="1">
      <c r="A938" s="1265"/>
      <c r="B938" s="1265"/>
      <c r="C938" s="1265"/>
      <c r="D938" s="1265"/>
      <c r="E938" s="1265"/>
      <c r="F938" s="1265"/>
      <c r="G938" s="1265"/>
      <c r="H938" s="1265"/>
      <c r="I938" s="1265"/>
      <c r="J938" s="1265"/>
      <c r="K938" s="1265"/>
      <c r="L938" s="1265"/>
      <c r="M938" s="1265"/>
      <c r="N938" s="1265"/>
      <c r="O938" s="1265"/>
      <c r="P938" s="1265"/>
      <c r="Q938" s="1265"/>
      <c r="R938" s="1265"/>
      <c r="S938" s="1265"/>
      <c r="T938" s="1265"/>
      <c r="U938" s="1265"/>
      <c r="V938" s="1265"/>
      <c r="W938" s="1265"/>
      <c r="X938" s="1265"/>
      <c r="Y938" s="1265"/>
      <c r="Z938" s="1265"/>
    </row>
    <row r="939" ht="27.0" customHeight="1">
      <c r="A939" s="1265"/>
      <c r="B939" s="1265"/>
      <c r="C939" s="1265"/>
      <c r="D939" s="1265"/>
      <c r="E939" s="1265"/>
      <c r="F939" s="1265"/>
      <c r="G939" s="1265"/>
      <c r="H939" s="1265"/>
      <c r="I939" s="1265"/>
      <c r="J939" s="1265"/>
      <c r="K939" s="1265"/>
      <c r="L939" s="1265"/>
      <c r="M939" s="1265"/>
      <c r="N939" s="1265"/>
      <c r="O939" s="1265"/>
      <c r="P939" s="1265"/>
      <c r="Q939" s="1265"/>
      <c r="R939" s="1265"/>
      <c r="S939" s="1265"/>
      <c r="T939" s="1265"/>
      <c r="U939" s="1265"/>
      <c r="V939" s="1265"/>
      <c r="W939" s="1265"/>
      <c r="X939" s="1265"/>
      <c r="Y939" s="1265"/>
      <c r="Z939" s="1265"/>
    </row>
    <row r="940" ht="27.0" customHeight="1">
      <c r="A940" s="1265"/>
      <c r="B940" s="1265"/>
      <c r="C940" s="1265"/>
      <c r="D940" s="1265"/>
      <c r="E940" s="1265"/>
      <c r="F940" s="1265"/>
      <c r="G940" s="1265"/>
      <c r="H940" s="1265"/>
      <c r="I940" s="1265"/>
      <c r="J940" s="1265"/>
      <c r="K940" s="1265"/>
      <c r="L940" s="1265"/>
      <c r="M940" s="1265"/>
      <c r="N940" s="1265"/>
      <c r="O940" s="1265"/>
      <c r="P940" s="1265"/>
      <c r="Q940" s="1265"/>
      <c r="R940" s="1265"/>
      <c r="S940" s="1265"/>
      <c r="T940" s="1265"/>
      <c r="U940" s="1265"/>
      <c r="V940" s="1265"/>
      <c r="W940" s="1265"/>
      <c r="X940" s="1265"/>
      <c r="Y940" s="1265"/>
      <c r="Z940" s="1265"/>
    </row>
    <row r="941" ht="27.0" customHeight="1">
      <c r="A941" s="1265"/>
      <c r="B941" s="1265"/>
      <c r="C941" s="1265"/>
      <c r="D941" s="1265"/>
      <c r="E941" s="1265"/>
      <c r="F941" s="1265"/>
      <c r="G941" s="1265"/>
      <c r="H941" s="1265"/>
      <c r="I941" s="1265"/>
      <c r="J941" s="1265"/>
      <c r="K941" s="1265"/>
      <c r="L941" s="1265"/>
      <c r="M941" s="1265"/>
      <c r="N941" s="1265"/>
      <c r="O941" s="1265"/>
      <c r="P941" s="1265"/>
      <c r="Q941" s="1265"/>
      <c r="R941" s="1265"/>
      <c r="S941" s="1265"/>
      <c r="T941" s="1265"/>
      <c r="U941" s="1265"/>
      <c r="V941" s="1265"/>
      <c r="W941" s="1265"/>
      <c r="X941" s="1265"/>
      <c r="Y941" s="1265"/>
      <c r="Z941" s="1265"/>
    </row>
    <row r="942" ht="27.0" customHeight="1">
      <c r="A942" s="1265"/>
      <c r="B942" s="1265"/>
      <c r="C942" s="1265"/>
      <c r="D942" s="1265"/>
      <c r="E942" s="1265"/>
      <c r="F942" s="1265"/>
      <c r="G942" s="1265"/>
      <c r="H942" s="1265"/>
      <c r="I942" s="1265"/>
      <c r="J942" s="1265"/>
      <c r="K942" s="1265"/>
      <c r="L942" s="1265"/>
      <c r="M942" s="1265"/>
      <c r="N942" s="1265"/>
      <c r="O942" s="1265"/>
      <c r="P942" s="1265"/>
      <c r="Q942" s="1265"/>
      <c r="R942" s="1265"/>
      <c r="S942" s="1265"/>
      <c r="T942" s="1265"/>
      <c r="U942" s="1265"/>
      <c r="V942" s="1265"/>
      <c r="W942" s="1265"/>
      <c r="X942" s="1265"/>
      <c r="Y942" s="1265"/>
      <c r="Z942" s="1265"/>
    </row>
    <row r="943" ht="27.0" customHeight="1">
      <c r="A943" s="1265"/>
      <c r="B943" s="1265"/>
      <c r="C943" s="1265"/>
      <c r="D943" s="1265"/>
      <c r="E943" s="1265"/>
      <c r="F943" s="1265"/>
      <c r="G943" s="1265"/>
      <c r="H943" s="1265"/>
      <c r="I943" s="1265"/>
      <c r="J943" s="1265"/>
      <c r="K943" s="1265"/>
      <c r="L943" s="1265"/>
      <c r="M943" s="1265"/>
      <c r="N943" s="1265"/>
      <c r="O943" s="1265"/>
      <c r="P943" s="1265"/>
      <c r="Q943" s="1265"/>
      <c r="R943" s="1265"/>
      <c r="S943" s="1265"/>
      <c r="T943" s="1265"/>
      <c r="U943" s="1265"/>
      <c r="V943" s="1265"/>
      <c r="W943" s="1265"/>
      <c r="X943" s="1265"/>
      <c r="Y943" s="1265"/>
      <c r="Z943" s="1265"/>
    </row>
    <row r="944" ht="27.0" customHeight="1">
      <c r="A944" s="1265"/>
      <c r="B944" s="1265"/>
      <c r="C944" s="1265"/>
      <c r="D944" s="1265"/>
      <c r="E944" s="1265"/>
      <c r="F944" s="1265"/>
      <c r="G944" s="1265"/>
      <c r="H944" s="1265"/>
      <c r="I944" s="1265"/>
      <c r="J944" s="1265"/>
      <c r="K944" s="1265"/>
      <c r="L944" s="1265"/>
      <c r="M944" s="1265"/>
      <c r="N944" s="1265"/>
      <c r="O944" s="1265"/>
      <c r="P944" s="1265"/>
      <c r="Q944" s="1265"/>
      <c r="R944" s="1265"/>
      <c r="S944" s="1265"/>
      <c r="T944" s="1265"/>
      <c r="U944" s="1265"/>
      <c r="V944" s="1265"/>
      <c r="W944" s="1265"/>
      <c r="X944" s="1265"/>
      <c r="Y944" s="1265"/>
      <c r="Z944" s="1265"/>
    </row>
    <row r="945" ht="27.0" customHeight="1">
      <c r="A945" s="1265"/>
      <c r="B945" s="1265"/>
      <c r="C945" s="1265"/>
      <c r="D945" s="1265"/>
      <c r="E945" s="1265"/>
      <c r="F945" s="1265"/>
      <c r="G945" s="1265"/>
      <c r="H945" s="1265"/>
      <c r="I945" s="1265"/>
      <c r="J945" s="1265"/>
      <c r="K945" s="1265"/>
      <c r="L945" s="1265"/>
      <c r="M945" s="1265"/>
      <c r="N945" s="1265"/>
      <c r="O945" s="1265"/>
      <c r="P945" s="1265"/>
      <c r="Q945" s="1265"/>
      <c r="R945" s="1265"/>
      <c r="S945" s="1265"/>
      <c r="T945" s="1265"/>
      <c r="U945" s="1265"/>
      <c r="V945" s="1265"/>
      <c r="W945" s="1265"/>
      <c r="X945" s="1265"/>
      <c r="Y945" s="1265"/>
      <c r="Z945" s="1265"/>
    </row>
    <row r="946" ht="27.0" customHeight="1">
      <c r="A946" s="1265"/>
      <c r="B946" s="1265"/>
      <c r="C946" s="1265"/>
      <c r="D946" s="1265"/>
      <c r="E946" s="1265"/>
      <c r="F946" s="1265"/>
      <c r="G946" s="1265"/>
      <c r="H946" s="1265"/>
      <c r="I946" s="1265"/>
      <c r="J946" s="1265"/>
      <c r="K946" s="1265"/>
      <c r="L946" s="1265"/>
      <c r="M946" s="1265"/>
      <c r="N946" s="1265"/>
      <c r="O946" s="1265"/>
      <c r="P946" s="1265"/>
      <c r="Q946" s="1265"/>
      <c r="R946" s="1265"/>
      <c r="S946" s="1265"/>
      <c r="T946" s="1265"/>
      <c r="U946" s="1265"/>
      <c r="V946" s="1265"/>
      <c r="W946" s="1265"/>
      <c r="X946" s="1265"/>
      <c r="Y946" s="1265"/>
      <c r="Z946" s="1265"/>
    </row>
    <row r="947" ht="27.0" customHeight="1">
      <c r="A947" s="1265"/>
      <c r="B947" s="1265"/>
      <c r="C947" s="1265"/>
      <c r="D947" s="1265"/>
      <c r="E947" s="1265"/>
      <c r="F947" s="1265"/>
      <c r="G947" s="1265"/>
      <c r="H947" s="1265"/>
      <c r="I947" s="1265"/>
      <c r="J947" s="1265"/>
      <c r="K947" s="1265"/>
      <c r="L947" s="1265"/>
      <c r="M947" s="1265"/>
      <c r="N947" s="1265"/>
      <c r="O947" s="1265"/>
      <c r="P947" s="1265"/>
      <c r="Q947" s="1265"/>
      <c r="R947" s="1265"/>
      <c r="S947" s="1265"/>
      <c r="T947" s="1265"/>
      <c r="U947" s="1265"/>
      <c r="V947" s="1265"/>
      <c r="W947" s="1265"/>
      <c r="X947" s="1265"/>
      <c r="Y947" s="1265"/>
      <c r="Z947" s="1265"/>
    </row>
    <row r="948" ht="27.0" customHeight="1">
      <c r="A948" s="1265"/>
      <c r="B948" s="1265"/>
      <c r="C948" s="1265"/>
      <c r="D948" s="1265"/>
      <c r="E948" s="1265"/>
      <c r="F948" s="1265"/>
      <c r="G948" s="1265"/>
      <c r="H948" s="1265"/>
      <c r="I948" s="1265"/>
      <c r="J948" s="1265"/>
      <c r="K948" s="1265"/>
      <c r="L948" s="1265"/>
      <c r="M948" s="1265"/>
      <c r="N948" s="1265"/>
      <c r="O948" s="1265"/>
      <c r="P948" s="1265"/>
      <c r="Q948" s="1265"/>
      <c r="R948" s="1265"/>
      <c r="S948" s="1265"/>
      <c r="T948" s="1265"/>
      <c r="U948" s="1265"/>
      <c r="V948" s="1265"/>
      <c r="W948" s="1265"/>
      <c r="X948" s="1265"/>
      <c r="Y948" s="1265"/>
      <c r="Z948" s="1265"/>
    </row>
    <row r="949" ht="27.0" customHeight="1">
      <c r="A949" s="1265"/>
      <c r="B949" s="1265"/>
      <c r="C949" s="1265"/>
      <c r="D949" s="1265"/>
      <c r="E949" s="1265"/>
      <c r="F949" s="1265"/>
      <c r="G949" s="1265"/>
      <c r="H949" s="1265"/>
      <c r="I949" s="1265"/>
      <c r="J949" s="1265"/>
      <c r="K949" s="1265"/>
      <c r="L949" s="1265"/>
      <c r="M949" s="1265"/>
      <c r="N949" s="1265"/>
      <c r="O949" s="1265"/>
      <c r="P949" s="1265"/>
      <c r="Q949" s="1265"/>
      <c r="R949" s="1265"/>
      <c r="S949" s="1265"/>
      <c r="T949" s="1265"/>
      <c r="U949" s="1265"/>
      <c r="V949" s="1265"/>
      <c r="W949" s="1265"/>
      <c r="X949" s="1265"/>
      <c r="Y949" s="1265"/>
      <c r="Z949" s="1265"/>
    </row>
    <row r="950" ht="27.0" customHeight="1">
      <c r="A950" s="1265"/>
      <c r="B950" s="1265"/>
      <c r="C950" s="1265"/>
      <c r="D950" s="1265"/>
      <c r="E950" s="1265"/>
      <c r="F950" s="1265"/>
      <c r="G950" s="1265"/>
      <c r="H950" s="1265"/>
      <c r="I950" s="1265"/>
      <c r="J950" s="1265"/>
      <c r="K950" s="1265"/>
      <c r="L950" s="1265"/>
      <c r="M950" s="1265"/>
      <c r="N950" s="1265"/>
      <c r="O950" s="1265"/>
      <c r="P950" s="1265"/>
      <c r="Q950" s="1265"/>
      <c r="R950" s="1265"/>
      <c r="S950" s="1265"/>
      <c r="T950" s="1265"/>
      <c r="U950" s="1265"/>
      <c r="V950" s="1265"/>
      <c r="W950" s="1265"/>
      <c r="X950" s="1265"/>
      <c r="Y950" s="1265"/>
      <c r="Z950" s="1265"/>
    </row>
    <row r="951" ht="27.0" customHeight="1">
      <c r="A951" s="1265"/>
      <c r="B951" s="1265"/>
      <c r="C951" s="1265"/>
      <c r="D951" s="1265"/>
      <c r="E951" s="1265"/>
      <c r="F951" s="1265"/>
      <c r="G951" s="1265"/>
      <c r="H951" s="1265"/>
      <c r="I951" s="1265"/>
      <c r="J951" s="1265"/>
      <c r="K951" s="1265"/>
      <c r="L951" s="1265"/>
      <c r="M951" s="1265"/>
      <c r="N951" s="1265"/>
      <c r="O951" s="1265"/>
      <c r="P951" s="1265"/>
      <c r="Q951" s="1265"/>
      <c r="R951" s="1265"/>
      <c r="S951" s="1265"/>
      <c r="T951" s="1265"/>
      <c r="U951" s="1265"/>
      <c r="V951" s="1265"/>
      <c r="W951" s="1265"/>
      <c r="X951" s="1265"/>
      <c r="Y951" s="1265"/>
      <c r="Z951" s="1265"/>
    </row>
    <row r="952" ht="27.0" customHeight="1">
      <c r="A952" s="1265"/>
      <c r="B952" s="1265"/>
      <c r="C952" s="1265"/>
      <c r="D952" s="1265"/>
      <c r="E952" s="1265"/>
      <c r="F952" s="1265"/>
      <c r="G952" s="1265"/>
      <c r="H952" s="1265"/>
      <c r="I952" s="1265"/>
      <c r="J952" s="1265"/>
      <c r="K952" s="1265"/>
      <c r="L952" s="1265"/>
      <c r="M952" s="1265"/>
      <c r="N952" s="1265"/>
      <c r="O952" s="1265"/>
      <c r="P952" s="1265"/>
      <c r="Q952" s="1265"/>
      <c r="R952" s="1265"/>
      <c r="S952" s="1265"/>
      <c r="T952" s="1265"/>
      <c r="U952" s="1265"/>
      <c r="V952" s="1265"/>
      <c r="W952" s="1265"/>
      <c r="X952" s="1265"/>
      <c r="Y952" s="1265"/>
      <c r="Z952" s="1265"/>
    </row>
    <row r="953" ht="27.0" customHeight="1">
      <c r="A953" s="1265"/>
      <c r="B953" s="1265"/>
      <c r="C953" s="1265"/>
      <c r="D953" s="1265"/>
      <c r="E953" s="1265"/>
      <c r="F953" s="1265"/>
      <c r="G953" s="1265"/>
      <c r="H953" s="1265"/>
      <c r="I953" s="1265"/>
      <c r="J953" s="1265"/>
      <c r="K953" s="1265"/>
      <c r="L953" s="1265"/>
      <c r="M953" s="1265"/>
      <c r="N953" s="1265"/>
      <c r="O953" s="1265"/>
      <c r="P953" s="1265"/>
      <c r="Q953" s="1265"/>
      <c r="R953" s="1265"/>
      <c r="S953" s="1265"/>
      <c r="T953" s="1265"/>
      <c r="U953" s="1265"/>
      <c r="V953" s="1265"/>
      <c r="W953" s="1265"/>
      <c r="X953" s="1265"/>
      <c r="Y953" s="1265"/>
      <c r="Z953" s="1265"/>
    </row>
    <row r="954" ht="27.0" customHeight="1">
      <c r="A954" s="1265"/>
      <c r="B954" s="1265"/>
      <c r="C954" s="1265"/>
      <c r="D954" s="1265"/>
      <c r="E954" s="1265"/>
      <c r="F954" s="1265"/>
      <c r="G954" s="1265"/>
      <c r="H954" s="1265"/>
      <c r="I954" s="1265"/>
      <c r="J954" s="1265"/>
      <c r="K954" s="1265"/>
      <c r="L954" s="1265"/>
      <c r="M954" s="1265"/>
      <c r="N954" s="1265"/>
      <c r="O954" s="1265"/>
      <c r="P954" s="1265"/>
      <c r="Q954" s="1265"/>
      <c r="R954" s="1265"/>
      <c r="S954" s="1265"/>
      <c r="T954" s="1265"/>
      <c r="U954" s="1265"/>
      <c r="V954" s="1265"/>
      <c r="W954" s="1265"/>
      <c r="X954" s="1265"/>
      <c r="Y954" s="1265"/>
      <c r="Z954" s="1265"/>
    </row>
    <row r="955" ht="27.0" customHeight="1">
      <c r="A955" s="1265"/>
      <c r="B955" s="1265"/>
      <c r="C955" s="1265"/>
      <c r="D955" s="1265"/>
      <c r="E955" s="1265"/>
      <c r="F955" s="1265"/>
      <c r="G955" s="1265"/>
      <c r="H955" s="1265"/>
      <c r="I955" s="1265"/>
      <c r="J955" s="1265"/>
      <c r="K955" s="1265"/>
      <c r="L955" s="1265"/>
      <c r="M955" s="1265"/>
      <c r="N955" s="1265"/>
      <c r="O955" s="1265"/>
      <c r="P955" s="1265"/>
      <c r="Q955" s="1265"/>
      <c r="R955" s="1265"/>
      <c r="S955" s="1265"/>
      <c r="T955" s="1265"/>
      <c r="U955" s="1265"/>
      <c r="V955" s="1265"/>
      <c r="W955" s="1265"/>
      <c r="X955" s="1265"/>
      <c r="Y955" s="1265"/>
      <c r="Z955" s="1265"/>
    </row>
    <row r="956" ht="27.0" customHeight="1">
      <c r="A956" s="1265"/>
      <c r="B956" s="1265"/>
      <c r="C956" s="1265"/>
      <c r="D956" s="1265"/>
      <c r="E956" s="1265"/>
      <c r="F956" s="1265"/>
      <c r="G956" s="1265"/>
      <c r="H956" s="1265"/>
      <c r="I956" s="1265"/>
      <c r="J956" s="1265"/>
      <c r="K956" s="1265"/>
      <c r="L956" s="1265"/>
      <c r="M956" s="1265"/>
      <c r="N956" s="1265"/>
      <c r="O956" s="1265"/>
      <c r="P956" s="1265"/>
      <c r="Q956" s="1265"/>
      <c r="R956" s="1265"/>
      <c r="S956" s="1265"/>
      <c r="T956" s="1265"/>
      <c r="U956" s="1265"/>
      <c r="V956" s="1265"/>
      <c r="W956" s="1265"/>
      <c r="X956" s="1265"/>
      <c r="Y956" s="1265"/>
      <c r="Z956" s="1265"/>
    </row>
    <row r="957" ht="27.0" customHeight="1">
      <c r="A957" s="1265"/>
      <c r="B957" s="1265"/>
      <c r="C957" s="1265"/>
      <c r="D957" s="1265"/>
      <c r="E957" s="1265"/>
      <c r="F957" s="1265"/>
      <c r="G957" s="1265"/>
      <c r="H957" s="1265"/>
      <c r="I957" s="1265"/>
      <c r="J957" s="1265"/>
      <c r="K957" s="1265"/>
      <c r="L957" s="1265"/>
      <c r="M957" s="1265"/>
      <c r="N957" s="1265"/>
      <c r="O957" s="1265"/>
      <c r="P957" s="1265"/>
      <c r="Q957" s="1265"/>
      <c r="R957" s="1265"/>
      <c r="S957" s="1265"/>
      <c r="T957" s="1265"/>
      <c r="U957" s="1265"/>
      <c r="V957" s="1265"/>
      <c r="W957" s="1265"/>
      <c r="X957" s="1265"/>
      <c r="Y957" s="1265"/>
      <c r="Z957" s="1265"/>
    </row>
    <row r="958" ht="27.0" customHeight="1">
      <c r="A958" s="1265"/>
      <c r="B958" s="1265"/>
      <c r="C958" s="1265"/>
      <c r="D958" s="1265"/>
      <c r="E958" s="1265"/>
      <c r="F958" s="1265"/>
      <c r="G958" s="1265"/>
      <c r="H958" s="1265"/>
      <c r="I958" s="1265"/>
      <c r="J958" s="1265"/>
      <c r="K958" s="1265"/>
      <c r="L958" s="1265"/>
      <c r="M958" s="1265"/>
      <c r="N958" s="1265"/>
      <c r="O958" s="1265"/>
      <c r="P958" s="1265"/>
      <c r="Q958" s="1265"/>
      <c r="R958" s="1265"/>
      <c r="S958" s="1265"/>
      <c r="T958" s="1265"/>
      <c r="U958" s="1265"/>
      <c r="V958" s="1265"/>
      <c r="W958" s="1265"/>
      <c r="X958" s="1265"/>
      <c r="Y958" s="1265"/>
      <c r="Z958" s="1265"/>
    </row>
    <row r="959" ht="27.0" customHeight="1">
      <c r="A959" s="1265"/>
      <c r="B959" s="1265"/>
      <c r="C959" s="1265"/>
      <c r="D959" s="1265"/>
      <c r="E959" s="1265"/>
      <c r="F959" s="1265"/>
      <c r="G959" s="1265"/>
      <c r="H959" s="1265"/>
      <c r="I959" s="1265"/>
      <c r="J959" s="1265"/>
      <c r="K959" s="1265"/>
      <c r="L959" s="1265"/>
      <c r="M959" s="1265"/>
      <c r="N959" s="1265"/>
      <c r="O959" s="1265"/>
      <c r="P959" s="1265"/>
      <c r="Q959" s="1265"/>
      <c r="R959" s="1265"/>
      <c r="S959" s="1265"/>
      <c r="T959" s="1265"/>
      <c r="U959" s="1265"/>
      <c r="V959" s="1265"/>
      <c r="W959" s="1265"/>
      <c r="X959" s="1265"/>
      <c r="Y959" s="1265"/>
      <c r="Z959" s="1265"/>
    </row>
    <row r="960" ht="27.0" customHeight="1">
      <c r="A960" s="1265"/>
      <c r="B960" s="1265"/>
      <c r="C960" s="1265"/>
      <c r="D960" s="1265"/>
      <c r="E960" s="1265"/>
      <c r="F960" s="1265"/>
      <c r="G960" s="1265"/>
      <c r="H960" s="1265"/>
      <c r="I960" s="1265"/>
      <c r="J960" s="1265"/>
      <c r="K960" s="1265"/>
      <c r="L960" s="1265"/>
      <c r="M960" s="1265"/>
      <c r="N960" s="1265"/>
      <c r="O960" s="1265"/>
      <c r="P960" s="1265"/>
      <c r="Q960" s="1265"/>
      <c r="R960" s="1265"/>
      <c r="S960" s="1265"/>
      <c r="T960" s="1265"/>
      <c r="U960" s="1265"/>
      <c r="V960" s="1265"/>
      <c r="W960" s="1265"/>
      <c r="X960" s="1265"/>
      <c r="Y960" s="1265"/>
      <c r="Z960" s="1265"/>
    </row>
    <row r="961" ht="27.0" customHeight="1">
      <c r="A961" s="1265"/>
      <c r="B961" s="1265"/>
      <c r="C961" s="1265"/>
      <c r="D961" s="1265"/>
      <c r="E961" s="1265"/>
      <c r="F961" s="1265"/>
      <c r="G961" s="1265"/>
      <c r="H961" s="1265"/>
      <c r="I961" s="1265"/>
      <c r="J961" s="1265"/>
      <c r="K961" s="1265"/>
      <c r="L961" s="1265"/>
      <c r="M961" s="1265"/>
      <c r="N961" s="1265"/>
      <c r="O961" s="1265"/>
      <c r="P961" s="1265"/>
      <c r="Q961" s="1265"/>
      <c r="R961" s="1265"/>
      <c r="S961" s="1265"/>
      <c r="T961" s="1265"/>
      <c r="U961" s="1265"/>
      <c r="V961" s="1265"/>
      <c r="W961" s="1265"/>
      <c r="X961" s="1265"/>
      <c r="Y961" s="1265"/>
      <c r="Z961" s="1265"/>
    </row>
    <row r="962" ht="27.0" customHeight="1">
      <c r="A962" s="1265"/>
      <c r="B962" s="1265"/>
      <c r="C962" s="1265"/>
      <c r="D962" s="1265"/>
      <c r="E962" s="1265"/>
      <c r="F962" s="1265"/>
      <c r="G962" s="1265"/>
      <c r="H962" s="1265"/>
      <c r="I962" s="1265"/>
      <c r="J962" s="1265"/>
      <c r="K962" s="1265"/>
      <c r="L962" s="1265"/>
      <c r="M962" s="1265"/>
      <c r="N962" s="1265"/>
      <c r="O962" s="1265"/>
      <c r="P962" s="1265"/>
      <c r="Q962" s="1265"/>
      <c r="R962" s="1265"/>
      <c r="S962" s="1265"/>
      <c r="T962" s="1265"/>
      <c r="U962" s="1265"/>
      <c r="V962" s="1265"/>
      <c r="W962" s="1265"/>
      <c r="X962" s="1265"/>
      <c r="Y962" s="1265"/>
      <c r="Z962" s="1265"/>
    </row>
    <row r="963" ht="27.0" customHeight="1">
      <c r="A963" s="1265"/>
      <c r="B963" s="1265"/>
      <c r="C963" s="1265"/>
      <c r="D963" s="1265"/>
      <c r="E963" s="1265"/>
      <c r="F963" s="1265"/>
      <c r="G963" s="1265"/>
      <c r="H963" s="1265"/>
      <c r="I963" s="1265"/>
      <c r="J963" s="1265"/>
      <c r="K963" s="1265"/>
      <c r="L963" s="1265"/>
      <c r="M963" s="1265"/>
      <c r="N963" s="1265"/>
      <c r="O963" s="1265"/>
      <c r="P963" s="1265"/>
      <c r="Q963" s="1265"/>
      <c r="R963" s="1265"/>
      <c r="S963" s="1265"/>
      <c r="T963" s="1265"/>
      <c r="U963" s="1265"/>
      <c r="V963" s="1265"/>
      <c r="W963" s="1265"/>
      <c r="X963" s="1265"/>
      <c r="Y963" s="1265"/>
      <c r="Z963" s="1265"/>
    </row>
    <row r="964" ht="27.0" customHeight="1">
      <c r="A964" s="1265"/>
      <c r="B964" s="1265"/>
      <c r="C964" s="1265"/>
      <c r="D964" s="1265"/>
      <c r="E964" s="1265"/>
      <c r="F964" s="1265"/>
      <c r="G964" s="1265"/>
      <c r="H964" s="1265"/>
      <c r="I964" s="1265"/>
      <c r="J964" s="1265"/>
      <c r="K964" s="1265"/>
      <c r="L964" s="1265"/>
      <c r="M964" s="1265"/>
      <c r="N964" s="1265"/>
      <c r="O964" s="1265"/>
      <c r="P964" s="1265"/>
      <c r="Q964" s="1265"/>
      <c r="R964" s="1265"/>
      <c r="S964" s="1265"/>
      <c r="T964" s="1265"/>
      <c r="U964" s="1265"/>
      <c r="V964" s="1265"/>
      <c r="W964" s="1265"/>
      <c r="X964" s="1265"/>
      <c r="Y964" s="1265"/>
      <c r="Z964" s="1265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2.75"/>
  <cols>
    <col customWidth="1" min="1" max="1" width="3.0"/>
    <col customWidth="1" min="2" max="2" width="22.25"/>
    <col customWidth="1" min="3" max="3" width="22.75"/>
    <col customWidth="1" min="4" max="5" width="2.75"/>
    <col customWidth="1" min="6" max="6" width="2.88"/>
    <col customWidth="1" min="7" max="7" width="38.0"/>
    <col customWidth="1" min="8" max="9" width="8.88"/>
    <col customWidth="1" min="10" max="10" width="3.25"/>
    <col customWidth="1" min="11" max="12" width="2.75"/>
    <col customWidth="1" min="13" max="13" width="43.38"/>
    <col customWidth="1" min="14" max="14" width="12.25"/>
    <col customWidth="1" min="15" max="15" width="9.88"/>
    <col customWidth="1" min="16" max="16" width="2.75"/>
    <col customWidth="1" min="17" max="17" width="2.63"/>
    <col customWidth="1" min="18" max="18" width="3.25"/>
    <col customWidth="1" min="19" max="19" width="26.88"/>
    <col customWidth="1" min="22" max="22" width="2.88"/>
    <col customWidth="1" min="23" max="23" width="3.13"/>
    <col customWidth="1" min="24" max="24" width="2.38"/>
    <col customWidth="1" min="28" max="28" width="15.0"/>
    <col customWidth="1" min="31" max="31" width="15.38"/>
    <col customWidth="1" min="32" max="32" width="3.38"/>
    <col customWidth="1" min="33" max="33" width="3.5"/>
    <col customWidth="1" min="34" max="34" width="11.38"/>
    <col customWidth="1" min="35" max="35" width="37.25"/>
    <col customWidth="1" min="36" max="40" width="16.0"/>
  </cols>
  <sheetData>
    <row r="1">
      <c r="H1" s="587"/>
      <c r="X1" s="1780"/>
      <c r="Y1" s="282"/>
      <c r="Z1" s="282"/>
      <c r="AA1" s="282"/>
      <c r="AB1" s="282"/>
      <c r="AC1" s="282"/>
      <c r="AD1" s="282"/>
      <c r="AE1" s="282"/>
      <c r="AF1" s="283"/>
    </row>
    <row r="2">
      <c r="A2" s="1780"/>
      <c r="B2" s="282"/>
      <c r="C2" s="282"/>
      <c r="D2" s="283"/>
      <c r="F2" s="1780"/>
      <c r="G2" s="282"/>
      <c r="H2" s="1781"/>
      <c r="I2" s="282"/>
      <c r="J2" s="283"/>
      <c r="L2" s="1780"/>
      <c r="M2" s="282"/>
      <c r="N2" s="282"/>
      <c r="O2" s="282"/>
      <c r="P2" s="283"/>
      <c r="R2" s="1780"/>
      <c r="S2" s="282"/>
      <c r="T2" s="282"/>
      <c r="U2" s="282"/>
      <c r="V2" s="283"/>
      <c r="X2" s="1782"/>
      <c r="Y2" s="1783" t="s">
        <v>7139</v>
      </c>
      <c r="Z2" s="1270"/>
      <c r="AA2" s="1784" t="s">
        <v>7140</v>
      </c>
      <c r="AB2" s="1267"/>
      <c r="AC2" s="1270"/>
      <c r="AD2" s="1784" t="s">
        <v>7141</v>
      </c>
      <c r="AE2" s="1270"/>
      <c r="AF2" s="1785"/>
      <c r="AG2" s="312"/>
      <c r="AH2" s="312"/>
      <c r="AI2" s="312"/>
      <c r="AJ2" s="312"/>
      <c r="AK2" s="312"/>
      <c r="AL2" s="312"/>
      <c r="AM2" s="312"/>
      <c r="AN2" s="312"/>
    </row>
    <row r="3">
      <c r="A3" s="1782"/>
      <c r="B3" s="1532" t="s">
        <v>7142</v>
      </c>
      <c r="C3" s="1532" t="s">
        <v>2824</v>
      </c>
      <c r="D3" s="1786"/>
      <c r="F3" s="1782"/>
      <c r="G3" s="1783" t="s">
        <v>7143</v>
      </c>
      <c r="H3" s="1267"/>
      <c r="I3" s="1270"/>
      <c r="J3" s="1786"/>
      <c r="L3" s="1782"/>
      <c r="M3" s="1783" t="s">
        <v>7144</v>
      </c>
      <c r="N3" s="1267"/>
      <c r="O3" s="1270"/>
      <c r="P3" s="1786"/>
      <c r="R3" s="1782"/>
      <c r="T3" s="1783" t="s">
        <v>7145</v>
      </c>
      <c r="U3" s="1787" t="s">
        <v>7146</v>
      </c>
      <c r="V3" s="1786"/>
      <c r="X3" s="1782"/>
      <c r="Y3" s="1788" t="s">
        <v>7147</v>
      </c>
      <c r="Z3" s="1789">
        <v>8000.0</v>
      </c>
      <c r="AA3" s="1788" t="s">
        <v>7148</v>
      </c>
      <c r="AB3" s="1790" t="s">
        <v>3078</v>
      </c>
      <c r="AC3" s="1790" t="s">
        <v>7149</v>
      </c>
      <c r="AD3" s="1790" t="s">
        <v>3078</v>
      </c>
      <c r="AE3" s="1790" t="s">
        <v>7149</v>
      </c>
      <c r="AF3" s="1786"/>
    </row>
    <row r="4">
      <c r="A4" s="1782"/>
      <c r="B4" s="1791" t="s">
        <v>7150</v>
      </c>
      <c r="C4" s="1791" t="s">
        <v>7151</v>
      </c>
      <c r="D4" s="1786"/>
      <c r="F4" s="1782"/>
      <c r="G4" s="1792" t="s">
        <v>7152</v>
      </c>
      <c r="H4" s="1793">
        <v>65000.0</v>
      </c>
      <c r="I4" s="1055"/>
      <c r="J4" s="1786"/>
      <c r="L4" s="1782"/>
      <c r="M4" s="1792" t="s">
        <v>7153</v>
      </c>
      <c r="N4" s="1793">
        <v>30000.0</v>
      </c>
      <c r="O4" s="1793"/>
      <c r="P4" s="1786"/>
      <c r="R4" s="1782"/>
      <c r="S4" s="1792" t="s">
        <v>7154</v>
      </c>
      <c r="T4" s="1793">
        <v>3000.0</v>
      </c>
      <c r="U4" s="1793">
        <v>28000.0</v>
      </c>
      <c r="V4" s="1786"/>
      <c r="X4" s="1782"/>
      <c r="Y4" s="399"/>
      <c r="Z4" s="399"/>
      <c r="AA4" s="399"/>
      <c r="AB4" s="1793">
        <v>13000.0</v>
      </c>
      <c r="AC4" s="1793">
        <v>20000.0</v>
      </c>
      <c r="AD4" s="1793">
        <v>20000.0</v>
      </c>
      <c r="AE4" s="1794">
        <v>26000.0</v>
      </c>
      <c r="AF4" s="1786"/>
    </row>
    <row r="5">
      <c r="A5" s="1782"/>
      <c r="B5" s="1791" t="s">
        <v>7155</v>
      </c>
      <c r="C5" s="1791" t="s">
        <v>7156</v>
      </c>
      <c r="D5" s="1786"/>
      <c r="F5" s="1782"/>
      <c r="G5" s="1792" t="s">
        <v>7157</v>
      </c>
      <c r="H5" s="1793">
        <v>132000.0</v>
      </c>
      <c r="I5" s="1792"/>
      <c r="J5" s="1786"/>
      <c r="L5" s="1782"/>
      <c r="M5" s="1792" t="s">
        <v>101</v>
      </c>
      <c r="N5" s="1793">
        <v>38000.0</v>
      </c>
      <c r="O5" s="1793"/>
      <c r="P5" s="1786"/>
      <c r="R5" s="1782"/>
      <c r="S5" s="1792" t="s">
        <v>7158</v>
      </c>
      <c r="T5" s="1793">
        <v>4000.0</v>
      </c>
      <c r="U5" s="1793">
        <v>38000.0</v>
      </c>
      <c r="V5" s="1786"/>
      <c r="X5" s="1782"/>
      <c r="Y5" s="1049" t="s">
        <v>7159</v>
      </c>
      <c r="Z5" s="1793">
        <v>12000.0</v>
      </c>
      <c r="AA5" s="1049" t="s">
        <v>7160</v>
      </c>
      <c r="AB5" s="1793">
        <v>23000.0</v>
      </c>
      <c r="AC5" s="1793" t="s">
        <v>3082</v>
      </c>
      <c r="AD5" s="1795">
        <v>33000.0</v>
      </c>
      <c r="AE5" s="1794" t="s">
        <v>3082</v>
      </c>
      <c r="AF5" s="1786"/>
    </row>
    <row r="6">
      <c r="A6" s="1782"/>
      <c r="B6" s="1791" t="s">
        <v>7161</v>
      </c>
      <c r="C6" s="1791" t="s">
        <v>7161</v>
      </c>
      <c r="D6" s="1786"/>
      <c r="F6" s="1782"/>
      <c r="G6" s="1792" t="s">
        <v>7162</v>
      </c>
      <c r="H6" s="1793">
        <v>54000.0</v>
      </c>
      <c r="I6" s="1792"/>
      <c r="J6" s="1786"/>
      <c r="L6" s="1782"/>
      <c r="M6" s="1792" t="s">
        <v>7163</v>
      </c>
      <c r="N6" s="1793">
        <v>50000.0</v>
      </c>
      <c r="O6" s="1793"/>
      <c r="P6" s="1786"/>
      <c r="R6" s="1782"/>
      <c r="S6" s="1792" t="s">
        <v>7164</v>
      </c>
      <c r="T6" s="1793">
        <v>10000.0</v>
      </c>
      <c r="U6" s="1793">
        <v>98000.0</v>
      </c>
      <c r="V6" s="1786"/>
      <c r="X6" s="1782"/>
      <c r="Y6" s="1049" t="s">
        <v>7165</v>
      </c>
      <c r="Z6" s="1793">
        <v>24000.0</v>
      </c>
      <c r="AA6" s="1049" t="s">
        <v>3082</v>
      </c>
      <c r="AB6" s="1793" t="s">
        <v>3082</v>
      </c>
      <c r="AC6" s="1793" t="s">
        <v>3082</v>
      </c>
      <c r="AD6" s="1795" t="s">
        <v>3082</v>
      </c>
      <c r="AE6" s="1796" t="s">
        <v>3082</v>
      </c>
      <c r="AF6" s="1786"/>
    </row>
    <row r="7">
      <c r="A7" s="1782"/>
      <c r="B7" s="1791" t="s">
        <v>7166</v>
      </c>
      <c r="C7" s="1791" t="s">
        <v>7166</v>
      </c>
      <c r="D7" s="1786"/>
      <c r="F7" s="1782"/>
      <c r="G7" s="1792" t="s">
        <v>7167</v>
      </c>
      <c r="H7" s="1793"/>
      <c r="I7" s="1792"/>
      <c r="J7" s="1786"/>
      <c r="L7" s="1782"/>
      <c r="M7" s="1792" t="s">
        <v>7168</v>
      </c>
      <c r="N7" s="1793">
        <v>40000.0</v>
      </c>
      <c r="O7" s="1793"/>
      <c r="P7" s="1786"/>
      <c r="R7" s="1782"/>
      <c r="S7" s="1792" t="s">
        <v>7169</v>
      </c>
      <c r="T7" s="1793">
        <v>11000.0</v>
      </c>
      <c r="U7" s="1793" t="s">
        <v>3082</v>
      </c>
      <c r="V7" s="1786"/>
      <c r="X7" s="1782"/>
      <c r="Y7" s="1049" t="s">
        <v>7170</v>
      </c>
      <c r="Z7" s="1793">
        <v>42000.0</v>
      </c>
      <c r="AA7" s="1049" t="s">
        <v>7171</v>
      </c>
      <c r="AB7" s="1793">
        <v>66000.0</v>
      </c>
      <c r="AC7" s="1793" t="s">
        <v>3082</v>
      </c>
      <c r="AD7" s="1795">
        <f t="shared" ref="AD7:AD8" si="1">AB7+Z7-2000</f>
        <v>106000</v>
      </c>
      <c r="AE7" s="1796" t="s">
        <v>3082</v>
      </c>
      <c r="AF7" s="1786"/>
    </row>
    <row r="8">
      <c r="A8" s="1782"/>
      <c r="B8" s="1548"/>
      <c r="C8" s="1791" t="s">
        <v>7172</v>
      </c>
      <c r="D8" s="1786"/>
      <c r="F8" s="1782"/>
      <c r="G8" s="1792" t="s">
        <v>7173</v>
      </c>
      <c r="H8" s="1793">
        <v>28000.0</v>
      </c>
      <c r="I8" s="1792"/>
      <c r="J8" s="1786"/>
      <c r="L8" s="1782"/>
      <c r="M8" s="1792" t="s">
        <v>105</v>
      </c>
      <c r="N8" s="1793">
        <v>30000.0</v>
      </c>
      <c r="O8" s="1793"/>
      <c r="P8" s="1786"/>
      <c r="R8" s="1782"/>
      <c r="S8" s="1792" t="s">
        <v>7174</v>
      </c>
      <c r="T8" s="1793">
        <v>11000.0</v>
      </c>
      <c r="U8" s="1793" t="s">
        <v>3082</v>
      </c>
      <c r="V8" s="1786"/>
      <c r="X8" s="1782"/>
      <c r="Y8" s="1049" t="s">
        <v>7175</v>
      </c>
      <c r="Z8" s="1793">
        <v>74000.0</v>
      </c>
      <c r="AA8" s="1049" t="s">
        <v>7176</v>
      </c>
      <c r="AB8" s="1793">
        <v>114000.0</v>
      </c>
      <c r="AC8" s="1793" t="s">
        <v>3082</v>
      </c>
      <c r="AD8" s="1795">
        <f t="shared" si="1"/>
        <v>186000</v>
      </c>
      <c r="AE8" s="1797" t="s">
        <v>3082</v>
      </c>
      <c r="AF8" s="1786"/>
    </row>
    <row r="9">
      <c r="A9" s="1782"/>
      <c r="B9" s="1548"/>
      <c r="C9" s="1791" t="s">
        <v>7177</v>
      </c>
      <c r="D9" s="1786"/>
      <c r="F9" s="1782"/>
      <c r="G9" s="1792" t="s">
        <v>7178</v>
      </c>
      <c r="H9" s="1793"/>
      <c r="I9" s="1792"/>
      <c r="J9" s="1786"/>
      <c r="L9" s="1782"/>
      <c r="M9" s="1792" t="s">
        <v>7179</v>
      </c>
      <c r="N9" s="1793">
        <v>45000.0</v>
      </c>
      <c r="O9" s="1793"/>
      <c r="P9" s="1786"/>
      <c r="R9" s="284"/>
      <c r="S9" s="1798"/>
      <c r="T9" s="1799"/>
      <c r="U9" s="1800"/>
      <c r="V9" s="286"/>
      <c r="X9" s="1782"/>
      <c r="AF9" s="1786"/>
    </row>
    <row r="10">
      <c r="A10" s="1782"/>
      <c r="B10" s="1548"/>
      <c r="C10" s="1791" t="s">
        <v>7180</v>
      </c>
      <c r="D10" s="1786"/>
      <c r="F10" s="1782"/>
      <c r="G10" s="1792" t="s">
        <v>7181</v>
      </c>
      <c r="H10" s="1793">
        <v>28000.0</v>
      </c>
      <c r="I10" s="1792"/>
      <c r="J10" s="1786"/>
      <c r="L10" s="1782"/>
      <c r="M10" s="1792" t="s">
        <v>109</v>
      </c>
      <c r="N10" s="1793">
        <v>38000.0</v>
      </c>
      <c r="O10" s="1793"/>
      <c r="P10" s="1786"/>
      <c r="S10" s="1801"/>
      <c r="T10" s="1802"/>
      <c r="U10" s="1462"/>
      <c r="X10" s="1782"/>
      <c r="Y10" s="1803" t="s">
        <v>7182</v>
      </c>
      <c r="Z10" s="450" t="s">
        <v>7183</v>
      </c>
      <c r="AA10" s="1793">
        <v>6000.0</v>
      </c>
      <c r="AC10" s="1803" t="s">
        <v>7184</v>
      </c>
      <c r="AD10" s="450" t="s">
        <v>7185</v>
      </c>
      <c r="AE10" s="1793">
        <v>25000.0</v>
      </c>
      <c r="AF10" s="1786"/>
    </row>
    <row r="11">
      <c r="A11" s="284"/>
      <c r="B11" s="285"/>
      <c r="C11" s="285"/>
      <c r="D11" s="286"/>
      <c r="F11" s="1782"/>
      <c r="G11" s="1792" t="s">
        <v>7186</v>
      </c>
      <c r="H11" s="1793">
        <v>108000.0</v>
      </c>
      <c r="I11" s="1792"/>
      <c r="J11" s="1786"/>
      <c r="L11" s="1782"/>
      <c r="M11" s="1792" t="s">
        <v>7187</v>
      </c>
      <c r="N11" s="1793">
        <v>65000.0</v>
      </c>
      <c r="O11" s="1793"/>
      <c r="P11" s="1786"/>
      <c r="R11" s="1780"/>
      <c r="S11" s="282"/>
      <c r="T11" s="282"/>
      <c r="U11" s="282"/>
      <c r="V11" s="283"/>
      <c r="X11" s="1782"/>
      <c r="Y11" s="399"/>
      <c r="Z11" s="450" t="s">
        <v>7188</v>
      </c>
      <c r="AA11" s="1793">
        <v>74000.0</v>
      </c>
      <c r="AC11" s="399"/>
      <c r="AD11" s="450" t="s">
        <v>7160</v>
      </c>
      <c r="AE11" s="1793">
        <v>35000.0</v>
      </c>
      <c r="AF11" s="1786"/>
    </row>
    <row r="12">
      <c r="F12" s="1782"/>
      <c r="G12" s="1792" t="s">
        <v>7189</v>
      </c>
      <c r="H12" s="1793">
        <v>150000.0</v>
      </c>
      <c r="I12" s="1792"/>
      <c r="J12" s="1786"/>
      <c r="L12" s="1782"/>
      <c r="M12" s="1792" t="s">
        <v>2517</v>
      </c>
      <c r="N12" s="1793">
        <v>45000.0</v>
      </c>
      <c r="O12" s="1793"/>
      <c r="P12" s="1786"/>
      <c r="R12" s="1782"/>
      <c r="T12" s="1783" t="s">
        <v>7145</v>
      </c>
      <c r="U12" s="1787" t="s">
        <v>7146</v>
      </c>
      <c r="V12" s="1786"/>
      <c r="X12" s="1782"/>
      <c r="Y12" s="293" t="s">
        <v>7190</v>
      </c>
      <c r="Z12" s="1793">
        <v>24000.0</v>
      </c>
      <c r="AA12" s="1804"/>
      <c r="AF12" s="1786"/>
    </row>
    <row r="13">
      <c r="A13" s="1780"/>
      <c r="B13" s="282"/>
      <c r="C13" s="282"/>
      <c r="D13" s="283"/>
      <c r="F13" s="1782"/>
      <c r="G13" s="1792" t="s">
        <v>7191</v>
      </c>
      <c r="H13" s="1793">
        <v>145000.0</v>
      </c>
      <c r="I13" s="1792"/>
      <c r="J13" s="1786"/>
      <c r="L13" s="1782"/>
      <c r="M13" s="1792" t="s">
        <v>7192</v>
      </c>
      <c r="N13" s="1793">
        <v>75000.0</v>
      </c>
      <c r="O13" s="1793"/>
      <c r="P13" s="1786"/>
      <c r="R13" s="1782"/>
      <c r="S13" s="1792" t="s">
        <v>7154</v>
      </c>
      <c r="T13" s="1793">
        <v>3000.0</v>
      </c>
      <c r="U13" s="1793">
        <v>28000.0</v>
      </c>
      <c r="V13" s="1786"/>
      <c r="X13" s="284"/>
      <c r="Y13" s="285"/>
      <c r="Z13" s="285"/>
      <c r="AA13" s="285"/>
      <c r="AB13" s="285"/>
      <c r="AC13" s="285"/>
      <c r="AD13" s="285"/>
      <c r="AE13" s="285"/>
      <c r="AF13" s="286"/>
    </row>
    <row r="14">
      <c r="A14" s="1782"/>
      <c r="B14" s="1783" t="s">
        <v>7193</v>
      </c>
      <c r="C14" s="1270"/>
      <c r="D14" s="1786"/>
      <c r="F14" s="1782"/>
      <c r="G14" s="1792" t="s">
        <v>3812</v>
      </c>
      <c r="H14" s="1793">
        <v>54000.0</v>
      </c>
      <c r="I14" s="1792"/>
      <c r="J14" s="1786"/>
      <c r="L14" s="1782"/>
      <c r="M14" s="1792" t="s">
        <v>2518</v>
      </c>
      <c r="N14" s="1793">
        <v>50000.0</v>
      </c>
      <c r="O14" s="1793"/>
      <c r="P14" s="1786"/>
      <c r="R14" s="1782"/>
      <c r="S14" s="1792" t="s">
        <v>7158</v>
      </c>
      <c r="T14" s="1793">
        <v>4000.0</v>
      </c>
      <c r="U14" s="1793">
        <v>38000.0</v>
      </c>
      <c r="V14" s="1786"/>
    </row>
    <row r="15" ht="17.25" customHeight="1">
      <c r="A15" s="1782"/>
      <c r="B15" s="1792" t="s">
        <v>7194</v>
      </c>
      <c r="C15" s="1793" t="s">
        <v>7195</v>
      </c>
      <c r="D15" s="1786"/>
      <c r="F15" s="284"/>
      <c r="G15" s="285"/>
      <c r="H15" s="1805"/>
      <c r="I15" s="285"/>
      <c r="J15" s="286"/>
      <c r="L15" s="1782"/>
      <c r="M15" s="1792" t="s">
        <v>2519</v>
      </c>
      <c r="N15" s="1793">
        <v>60000.0</v>
      </c>
      <c r="O15" s="1793"/>
      <c r="P15" s="1786"/>
      <c r="R15" s="1782"/>
      <c r="S15" s="1792" t="s">
        <v>7164</v>
      </c>
      <c r="T15" s="1793">
        <v>10000.0</v>
      </c>
      <c r="U15" s="1793">
        <v>98000.0</v>
      </c>
      <c r="V15" s="1786"/>
      <c r="X15" s="1780"/>
      <c r="Y15" s="282"/>
      <c r="Z15" s="282"/>
      <c r="AA15" s="282"/>
      <c r="AB15" s="282"/>
      <c r="AC15" s="282"/>
      <c r="AD15" s="282"/>
      <c r="AE15" s="283"/>
    </row>
    <row r="16">
      <c r="A16" s="1782"/>
      <c r="B16" s="1792" t="s">
        <v>7196</v>
      </c>
      <c r="C16" s="1793">
        <v>175000.0</v>
      </c>
      <c r="D16" s="1786"/>
      <c r="H16" s="587"/>
      <c r="I16" s="1054"/>
      <c r="L16" s="1782"/>
      <c r="M16" s="1792" t="s">
        <v>2521</v>
      </c>
      <c r="N16" s="1793">
        <v>54000.0</v>
      </c>
      <c r="O16" s="1793"/>
      <c r="P16" s="1786"/>
      <c r="R16" s="1782"/>
      <c r="S16" s="1792" t="s">
        <v>7169</v>
      </c>
      <c r="T16" s="1793">
        <v>11000.0</v>
      </c>
      <c r="U16" s="1793" t="s">
        <v>3082</v>
      </c>
      <c r="V16" s="1786"/>
      <c r="X16" s="1782"/>
      <c r="Y16" s="1806"/>
      <c r="Z16" s="633" t="s">
        <v>3640</v>
      </c>
      <c r="AA16" s="633" t="s">
        <v>3652</v>
      </c>
      <c r="AB16" s="633" t="s">
        <v>7197</v>
      </c>
      <c r="AC16" s="633" t="s">
        <v>3641</v>
      </c>
      <c r="AD16" s="633" t="s">
        <v>3642</v>
      </c>
      <c r="AE16" s="633" t="s">
        <v>3643</v>
      </c>
      <c r="AI16" s="450" t="s">
        <v>7198</v>
      </c>
      <c r="AJ16" s="460">
        <v>105000.0</v>
      </c>
    </row>
    <row r="17">
      <c r="A17" s="1782"/>
      <c r="B17" s="1792" t="s">
        <v>7199</v>
      </c>
      <c r="C17" s="1793">
        <v>85000.0</v>
      </c>
      <c r="D17" s="1786"/>
      <c r="F17" s="1780"/>
      <c r="G17" s="282"/>
      <c r="H17" s="1781"/>
      <c r="I17" s="282"/>
      <c r="J17" s="283"/>
      <c r="L17" s="1782"/>
      <c r="M17" s="1792" t="s">
        <v>7200</v>
      </c>
      <c r="N17" s="1793">
        <v>145000.0</v>
      </c>
      <c r="O17" s="1793"/>
      <c r="P17" s="1786"/>
      <c r="R17" s="1782"/>
      <c r="S17" s="1792" t="s">
        <v>7174</v>
      </c>
      <c r="T17" s="1793">
        <v>11000.0</v>
      </c>
      <c r="U17" s="1793" t="s">
        <v>3082</v>
      </c>
      <c r="V17" s="1786"/>
      <c r="X17" s="1782"/>
      <c r="Y17" s="633" t="s">
        <v>3644</v>
      </c>
      <c r="Z17" s="460">
        <v>105000.0</v>
      </c>
      <c r="AA17" s="460">
        <v>230000.0</v>
      </c>
      <c r="AB17" s="460">
        <v>305000.0</v>
      </c>
      <c r="AC17" s="460">
        <v>105000.0</v>
      </c>
      <c r="AD17" s="460">
        <v>105000.0</v>
      </c>
      <c r="AE17" s="460">
        <v>120000.0</v>
      </c>
      <c r="AI17" s="450" t="s">
        <v>7201</v>
      </c>
      <c r="AJ17" s="460">
        <v>105000.0</v>
      </c>
    </row>
    <row r="18">
      <c r="A18" s="284"/>
      <c r="B18" s="285"/>
      <c r="C18" s="285"/>
      <c r="D18" s="286"/>
      <c r="F18" s="1782"/>
      <c r="G18" s="1783" t="s">
        <v>7143</v>
      </c>
      <c r="H18" s="1267"/>
      <c r="I18" s="1270"/>
      <c r="J18" s="1786"/>
      <c r="L18" s="1782"/>
      <c r="M18" s="1792" t="s">
        <v>7202</v>
      </c>
      <c r="N18" s="1793">
        <v>150000.0</v>
      </c>
      <c r="O18" s="1793"/>
      <c r="P18" s="1786"/>
      <c r="R18" s="284"/>
      <c r="S18" s="1798"/>
      <c r="T18" s="1799"/>
      <c r="U18" s="1800"/>
      <c r="V18" s="286"/>
      <c r="X18" s="1782"/>
      <c r="Y18" s="633" t="s">
        <v>3645</v>
      </c>
      <c r="Z18" s="460">
        <v>105000.0</v>
      </c>
      <c r="AA18" s="460">
        <v>180000.0</v>
      </c>
      <c r="AB18" s="460">
        <v>280000.0</v>
      </c>
      <c r="AC18" s="460">
        <v>105000.0</v>
      </c>
      <c r="AD18" s="460">
        <v>105000.0</v>
      </c>
      <c r="AE18" s="460" t="s">
        <v>3082</v>
      </c>
      <c r="AI18" s="450" t="s">
        <v>7203</v>
      </c>
      <c r="AJ18" s="460">
        <v>110000.0</v>
      </c>
    </row>
    <row r="19">
      <c r="F19" s="1782"/>
      <c r="G19" s="1792" t="s">
        <v>7152</v>
      </c>
      <c r="H19" s="1793">
        <v>65000.0</v>
      </c>
      <c r="I19" s="1055"/>
      <c r="J19" s="1786"/>
      <c r="L19" s="284"/>
      <c r="M19" s="285"/>
      <c r="N19" s="285"/>
      <c r="O19" s="285"/>
      <c r="P19" s="286"/>
      <c r="X19" s="1782"/>
      <c r="Y19" s="633" t="s">
        <v>3646</v>
      </c>
      <c r="Z19" s="460">
        <v>110000.0</v>
      </c>
      <c r="AA19" s="460">
        <v>252000.0</v>
      </c>
      <c r="AB19" s="460">
        <v>318000.0</v>
      </c>
      <c r="AC19" s="460">
        <v>110000.0</v>
      </c>
      <c r="AD19" s="460">
        <v>110000.0</v>
      </c>
      <c r="AE19" s="460" t="s">
        <v>3082</v>
      </c>
      <c r="AI19" s="450" t="s">
        <v>7204</v>
      </c>
      <c r="AJ19" s="460">
        <v>120000.0</v>
      </c>
    </row>
    <row r="20">
      <c r="A20" s="1780"/>
      <c r="B20" s="282"/>
      <c r="C20" s="282"/>
      <c r="D20" s="283"/>
      <c r="F20" s="1782"/>
      <c r="G20" s="1792" t="s">
        <v>7157</v>
      </c>
      <c r="H20" s="1793">
        <v>132000.0</v>
      </c>
      <c r="I20" s="1792"/>
      <c r="J20" s="1786"/>
      <c r="R20" s="1780"/>
      <c r="S20" s="282"/>
      <c r="T20" s="282"/>
      <c r="U20" s="282"/>
      <c r="V20" s="283"/>
      <c r="X20" s="1782"/>
      <c r="Y20" s="633" t="s">
        <v>3647</v>
      </c>
      <c r="Z20" s="460">
        <v>120000.0</v>
      </c>
      <c r="AA20" s="460">
        <v>110000.0</v>
      </c>
      <c r="AB20" s="460">
        <v>215000.0</v>
      </c>
      <c r="AC20" s="460" t="s">
        <v>3082</v>
      </c>
      <c r="AD20" s="460" t="s">
        <v>3082</v>
      </c>
      <c r="AE20" s="460">
        <v>160000.0</v>
      </c>
      <c r="AI20" s="450" t="s">
        <v>7205</v>
      </c>
      <c r="AJ20" s="460">
        <v>230000.0</v>
      </c>
    </row>
    <row r="21">
      <c r="A21" s="1782"/>
      <c r="B21" s="1783" t="s">
        <v>1296</v>
      </c>
      <c r="C21" s="1270"/>
      <c r="D21" s="1786"/>
      <c r="F21" s="1782"/>
      <c r="G21" s="1792" t="s">
        <v>7162</v>
      </c>
      <c r="H21" s="1793">
        <v>54000.0</v>
      </c>
      <c r="I21" s="1792"/>
      <c r="J21" s="1786"/>
      <c r="L21" s="1780"/>
      <c r="M21" s="282"/>
      <c r="N21" s="282"/>
      <c r="O21" s="282"/>
      <c r="P21" s="283"/>
      <c r="R21" s="1782"/>
      <c r="T21" s="1783" t="s">
        <v>7145</v>
      </c>
      <c r="U21" s="1787" t="s">
        <v>7146</v>
      </c>
      <c r="V21" s="1786"/>
      <c r="X21" s="1782"/>
      <c r="Y21" s="1806"/>
      <c r="Z21" s="616"/>
      <c r="AA21" s="1789" t="s">
        <v>7206</v>
      </c>
      <c r="AB21" s="616">
        <v>540000.0</v>
      </c>
      <c r="AC21" s="616"/>
      <c r="AD21" s="616"/>
      <c r="AE21" s="1786"/>
      <c r="AI21" s="450" t="s">
        <v>7207</v>
      </c>
      <c r="AJ21" s="460">
        <v>450000.0</v>
      </c>
    </row>
    <row r="22">
      <c r="A22" s="1782"/>
      <c r="B22" s="1792" t="s">
        <v>7208</v>
      </c>
      <c r="C22" s="1793">
        <v>18000.0</v>
      </c>
      <c r="D22" s="1786"/>
      <c r="F22" s="1782"/>
      <c r="G22" s="1792" t="s">
        <v>7167</v>
      </c>
      <c r="H22" s="1793"/>
      <c r="I22" s="1792"/>
      <c r="J22" s="1786"/>
      <c r="L22" s="1782"/>
      <c r="M22" s="1783" t="s">
        <v>7209</v>
      </c>
      <c r="N22" s="1267"/>
      <c r="O22" s="1270"/>
      <c r="P22" s="1786"/>
      <c r="R22" s="1782"/>
      <c r="S22" s="1792" t="s">
        <v>7210</v>
      </c>
      <c r="T22" s="1793">
        <v>3000.0</v>
      </c>
      <c r="U22" s="1793">
        <v>170000.0</v>
      </c>
      <c r="V22" s="1786"/>
      <c r="X22" s="1782"/>
      <c r="Y22" s="1784" t="s">
        <v>3651</v>
      </c>
      <c r="Z22" s="1267"/>
      <c r="AA22" s="460">
        <v>140000.0</v>
      </c>
      <c r="AE22" s="1786"/>
      <c r="AI22" s="450" t="s">
        <v>7211</v>
      </c>
      <c r="AJ22" s="460">
        <v>180000.0</v>
      </c>
    </row>
    <row r="23">
      <c r="A23" s="1782"/>
      <c r="B23" s="1792" t="s">
        <v>7212</v>
      </c>
      <c r="C23" s="1793">
        <v>44000.0</v>
      </c>
      <c r="D23" s="1786"/>
      <c r="F23" s="1782"/>
      <c r="G23" s="1792" t="s">
        <v>7173</v>
      </c>
      <c r="H23" s="1793">
        <v>28000.0</v>
      </c>
      <c r="I23" s="1792"/>
      <c r="J23" s="1786"/>
      <c r="L23" s="1782"/>
      <c r="M23" s="1792" t="s">
        <v>466</v>
      </c>
      <c r="N23" s="1793">
        <v>54000.0</v>
      </c>
      <c r="O23" s="1793"/>
      <c r="P23" s="1786"/>
      <c r="R23" s="1782"/>
      <c r="S23" s="1792" t="s">
        <v>7213</v>
      </c>
      <c r="T23" s="1793">
        <v>500.0</v>
      </c>
      <c r="U23" s="1793">
        <v>30000.0</v>
      </c>
      <c r="V23" s="1786"/>
      <c r="X23" s="284"/>
      <c r="Y23" s="1807"/>
      <c r="Z23" s="285"/>
      <c r="AA23" s="285"/>
      <c r="AB23" s="285"/>
      <c r="AC23" s="285"/>
      <c r="AD23" s="285"/>
      <c r="AE23" s="286"/>
      <c r="AI23" s="450" t="s">
        <v>7214</v>
      </c>
      <c r="AJ23" s="460">
        <v>252000.0</v>
      </c>
    </row>
    <row r="24">
      <c r="A24" s="1782"/>
      <c r="B24" s="1792" t="s">
        <v>7215</v>
      </c>
      <c r="C24" s="1793">
        <v>36000.0</v>
      </c>
      <c r="D24" s="1786"/>
      <c r="F24" s="1782"/>
      <c r="G24" s="1792" t="s">
        <v>7178</v>
      </c>
      <c r="H24" s="1793"/>
      <c r="I24" s="1792"/>
      <c r="J24" s="1786"/>
      <c r="L24" s="1782"/>
      <c r="M24" s="1792" t="s">
        <v>469</v>
      </c>
      <c r="N24" s="1793">
        <v>40000.0</v>
      </c>
      <c r="O24" s="1793"/>
      <c r="P24" s="1786"/>
      <c r="R24" s="1782"/>
      <c r="S24" s="1792" t="s">
        <v>7216</v>
      </c>
      <c r="T24" s="1793">
        <v>500.0</v>
      </c>
      <c r="U24" s="1793">
        <v>30000.0</v>
      </c>
      <c r="V24" s="1786"/>
      <c r="Y24" s="1808"/>
      <c r="AI24" s="450" t="s">
        <v>7217</v>
      </c>
      <c r="AJ24" s="460">
        <v>110000.0</v>
      </c>
    </row>
    <row r="25">
      <c r="A25" s="1782"/>
      <c r="B25" s="1792" t="s">
        <v>7218</v>
      </c>
      <c r="C25" s="1793">
        <v>84000.0</v>
      </c>
      <c r="D25" s="1786"/>
      <c r="F25" s="1782"/>
      <c r="G25" s="1792" t="s">
        <v>7181</v>
      </c>
      <c r="H25" s="1793">
        <v>28000.0</v>
      </c>
      <c r="I25" s="1792"/>
      <c r="J25" s="1786"/>
      <c r="L25" s="1782"/>
      <c r="M25" s="1792" t="s">
        <v>471</v>
      </c>
      <c r="N25" s="1793">
        <v>38000.0</v>
      </c>
      <c r="O25" s="1793"/>
      <c r="P25" s="1786"/>
      <c r="R25" s="1782"/>
      <c r="S25" s="1792" t="s">
        <v>7219</v>
      </c>
      <c r="T25" s="1793">
        <v>500.0</v>
      </c>
      <c r="U25" s="1793">
        <v>30000.0</v>
      </c>
      <c r="V25" s="1786"/>
      <c r="Y25" s="1808"/>
      <c r="AI25" s="450" t="s">
        <v>7220</v>
      </c>
      <c r="AJ25" s="460">
        <v>305000.0</v>
      </c>
    </row>
    <row r="26">
      <c r="A26" s="284"/>
      <c r="B26" s="285"/>
      <c r="C26" s="285"/>
      <c r="D26" s="286"/>
      <c r="F26" s="1782"/>
      <c r="G26" s="1792" t="s">
        <v>7186</v>
      </c>
      <c r="H26" s="1793">
        <v>108000.0</v>
      </c>
      <c r="I26" s="1792"/>
      <c r="J26" s="1786"/>
      <c r="L26" s="1782"/>
      <c r="M26" s="1792" t="s">
        <v>475</v>
      </c>
      <c r="N26" s="1793">
        <v>45000.0</v>
      </c>
      <c r="O26" s="1793"/>
      <c r="P26" s="1786"/>
      <c r="R26" s="284"/>
      <c r="S26" s="285"/>
      <c r="T26" s="285"/>
      <c r="U26" s="285"/>
      <c r="V26" s="286"/>
      <c r="Y26" s="1808"/>
      <c r="AI26" s="450" t="s">
        <v>7221</v>
      </c>
      <c r="AJ26" s="460">
        <v>540000.0</v>
      </c>
    </row>
    <row r="27">
      <c r="A27" s="1780"/>
      <c r="B27" s="282"/>
      <c r="C27" s="282"/>
      <c r="D27" s="283"/>
      <c r="F27" s="1782"/>
      <c r="G27" s="1792" t="s">
        <v>7189</v>
      </c>
      <c r="H27" s="1793">
        <v>150000.0</v>
      </c>
      <c r="I27" s="1792"/>
      <c r="J27" s="1786"/>
      <c r="L27" s="1782"/>
      <c r="M27" s="1792" t="s">
        <v>477</v>
      </c>
      <c r="N27" s="1793">
        <v>42000.0</v>
      </c>
      <c r="O27" s="1793"/>
      <c r="P27" s="1786"/>
      <c r="Y27" s="1808"/>
      <c r="Z27" s="1809"/>
      <c r="AI27" s="450" t="s">
        <v>7222</v>
      </c>
      <c r="AJ27" s="460">
        <v>280000.0</v>
      </c>
    </row>
    <row r="28">
      <c r="A28" s="1782"/>
      <c r="B28" s="1783" t="s">
        <v>7223</v>
      </c>
      <c r="C28" s="1270"/>
      <c r="D28" s="1786"/>
      <c r="F28" s="1782"/>
      <c r="G28" s="1792" t="s">
        <v>7191</v>
      </c>
      <c r="H28" s="1793">
        <v>145000.0</v>
      </c>
      <c r="I28" s="1792"/>
      <c r="J28" s="1786"/>
      <c r="L28" s="284"/>
      <c r="M28" s="1807"/>
      <c r="N28" s="1810"/>
      <c r="O28" s="1810"/>
      <c r="P28" s="286"/>
      <c r="R28" s="1780"/>
      <c r="S28" s="282"/>
      <c r="T28" s="282"/>
      <c r="U28" s="282"/>
      <c r="V28" s="283"/>
      <c r="Y28" s="1808"/>
      <c r="AI28" s="450" t="s">
        <v>7224</v>
      </c>
      <c r="AJ28" s="460">
        <v>318000.0</v>
      </c>
    </row>
    <row r="29">
      <c r="A29" s="1782"/>
      <c r="B29" s="1792" t="s">
        <v>7225</v>
      </c>
      <c r="C29" s="1793">
        <v>30000.0</v>
      </c>
      <c r="D29" s="1786"/>
      <c r="F29" s="1782"/>
      <c r="G29" s="1792" t="s">
        <v>3812</v>
      </c>
      <c r="H29" s="1793">
        <v>54000.0</v>
      </c>
      <c r="I29" s="1792"/>
      <c r="J29" s="1786"/>
      <c r="N29" s="1804"/>
      <c r="O29" s="1804"/>
      <c r="R29" s="1782"/>
      <c r="T29" s="1783" t="s">
        <v>7145</v>
      </c>
      <c r="U29" s="1787" t="s">
        <v>7146</v>
      </c>
      <c r="V29" s="1786"/>
      <c r="Y29" s="1808"/>
      <c r="AI29" s="450" t="s">
        <v>7226</v>
      </c>
      <c r="AJ29" s="460">
        <v>215000.0</v>
      </c>
    </row>
    <row r="30">
      <c r="A30" s="1782"/>
      <c r="B30" s="1792" t="s">
        <v>7227</v>
      </c>
      <c r="C30" s="1793">
        <v>34000.0</v>
      </c>
      <c r="D30" s="1786"/>
      <c r="F30" s="284"/>
      <c r="G30" s="285"/>
      <c r="H30" s="1805"/>
      <c r="I30" s="285"/>
      <c r="J30" s="286"/>
      <c r="L30" s="1780"/>
      <c r="M30" s="282"/>
      <c r="N30" s="1811"/>
      <c r="O30" s="1811"/>
      <c r="P30" s="283"/>
      <c r="R30" s="1782"/>
      <c r="S30" s="1792" t="s">
        <v>7210</v>
      </c>
      <c r="T30" s="1793">
        <v>3000.0</v>
      </c>
      <c r="U30" s="1793">
        <v>170000.0</v>
      </c>
      <c r="V30" s="1786"/>
      <c r="Y30" s="1808"/>
      <c r="AI30" s="450" t="s">
        <v>7228</v>
      </c>
      <c r="AJ30" s="460">
        <v>105000.0</v>
      </c>
    </row>
    <row r="31">
      <c r="A31" s="1782"/>
      <c r="B31" s="1792" t="s">
        <v>7229</v>
      </c>
      <c r="C31" s="1793">
        <v>40000.0</v>
      </c>
      <c r="D31" s="1786"/>
      <c r="L31" s="1782"/>
      <c r="M31" s="1783" t="s">
        <v>7193</v>
      </c>
      <c r="N31" s="1267"/>
      <c r="O31" s="1270"/>
      <c r="P31" s="1786"/>
      <c r="R31" s="1782"/>
      <c r="S31" s="1792" t="s">
        <v>7213</v>
      </c>
      <c r="T31" s="1793">
        <v>500.0</v>
      </c>
      <c r="U31" s="1793">
        <v>30000.0</v>
      </c>
      <c r="V31" s="1786"/>
      <c r="Y31" s="1808"/>
      <c r="AI31" s="450" t="s">
        <v>7230</v>
      </c>
      <c r="AJ31" s="460">
        <v>110000.0</v>
      </c>
    </row>
    <row r="32">
      <c r="A32" s="1782"/>
      <c r="B32" s="1792" t="s">
        <v>7231</v>
      </c>
      <c r="C32" s="1793">
        <v>54000.0</v>
      </c>
      <c r="D32" s="1786"/>
      <c r="F32" s="1780"/>
      <c r="G32" s="282"/>
      <c r="H32" s="1781"/>
      <c r="I32" s="1812"/>
      <c r="J32" s="283"/>
      <c r="L32" s="1782"/>
      <c r="M32" s="1792" t="s">
        <v>7232</v>
      </c>
      <c r="N32" s="1793">
        <v>43000.0</v>
      </c>
      <c r="O32" s="126"/>
      <c r="P32" s="1786"/>
      <c r="R32" s="1782"/>
      <c r="S32" s="1792" t="s">
        <v>7216</v>
      </c>
      <c r="T32" s="1793">
        <v>500.0</v>
      </c>
      <c r="U32" s="1793">
        <v>30000.0</v>
      </c>
      <c r="V32" s="1786"/>
      <c r="Y32" s="1808"/>
      <c r="Z32" s="1813"/>
      <c r="AI32" s="450" t="s">
        <v>7233</v>
      </c>
      <c r="AJ32" s="460">
        <v>120000.0</v>
      </c>
    </row>
    <row r="33">
      <c r="A33" s="1782"/>
      <c r="B33" s="1792" t="s">
        <v>7234</v>
      </c>
      <c r="C33" s="1793">
        <v>54000.0</v>
      </c>
      <c r="D33" s="1786"/>
      <c r="F33" s="1782"/>
      <c r="G33" s="1783" t="s">
        <v>7235</v>
      </c>
      <c r="H33" s="1267"/>
      <c r="I33" s="1270"/>
      <c r="J33" s="1786"/>
      <c r="L33" s="1782"/>
      <c r="M33" s="1792" t="s">
        <v>7236</v>
      </c>
      <c r="N33" s="1793">
        <v>88000.0</v>
      </c>
      <c r="O33" s="126"/>
      <c r="P33" s="1786"/>
      <c r="R33" s="1782"/>
      <c r="S33" s="1792" t="s">
        <v>7219</v>
      </c>
      <c r="T33" s="1793">
        <v>500.0</v>
      </c>
      <c r="U33" s="1793">
        <v>30000.0</v>
      </c>
      <c r="V33" s="1786"/>
      <c r="Y33" s="1808"/>
      <c r="AI33" s="450" t="s">
        <v>7237</v>
      </c>
      <c r="AJ33" s="460">
        <v>160000.0</v>
      </c>
    </row>
    <row r="34">
      <c r="A34" s="284"/>
      <c r="B34" s="285"/>
      <c r="C34" s="285"/>
      <c r="D34" s="286"/>
      <c r="F34" s="1782"/>
      <c r="G34" s="1792" t="s">
        <v>7238</v>
      </c>
      <c r="H34" s="1793">
        <v>50000.0</v>
      </c>
      <c r="I34" s="126"/>
      <c r="J34" s="1786"/>
      <c r="L34" s="1782"/>
      <c r="M34" s="1792" t="s">
        <v>7239</v>
      </c>
      <c r="N34" s="1793">
        <v>64000.0</v>
      </c>
      <c r="O34" s="126"/>
      <c r="P34" s="1786"/>
      <c r="R34" s="284"/>
      <c r="S34" s="285"/>
      <c r="T34" s="285"/>
      <c r="U34" s="285"/>
      <c r="V34" s="286"/>
      <c r="AI34" s="450" t="s">
        <v>3651</v>
      </c>
      <c r="AJ34" s="460">
        <v>140000.0</v>
      </c>
    </row>
    <row r="35">
      <c r="F35" s="1782"/>
      <c r="G35" s="1792" t="s">
        <v>7240</v>
      </c>
      <c r="H35" s="1793">
        <v>42000.0</v>
      </c>
      <c r="I35" s="126"/>
      <c r="J35" s="1786"/>
      <c r="L35" s="1782"/>
      <c r="M35" s="1792" t="s">
        <v>7241</v>
      </c>
      <c r="N35" s="1793"/>
      <c r="O35" s="126"/>
      <c r="P35" s="1786"/>
    </row>
    <row r="36">
      <c r="A36" s="1780"/>
      <c r="B36" s="282"/>
      <c r="C36" s="282"/>
      <c r="D36" s="283"/>
      <c r="F36" s="1782"/>
      <c r="G36" s="1792" t="s">
        <v>7242</v>
      </c>
      <c r="H36" s="1793">
        <v>42000.0</v>
      </c>
      <c r="I36" s="126"/>
      <c r="J36" s="1786"/>
      <c r="L36" s="1782"/>
      <c r="M36" s="1792" t="s">
        <v>7243</v>
      </c>
      <c r="N36" s="1793">
        <v>150000.0</v>
      </c>
      <c r="O36" s="126"/>
      <c r="P36" s="1786"/>
    </row>
    <row r="37">
      <c r="A37" s="1782"/>
      <c r="B37" s="1792" t="s">
        <v>7244</v>
      </c>
      <c r="C37" s="1793">
        <v>10000.0</v>
      </c>
      <c r="D37" s="1786"/>
      <c r="F37" s="1782"/>
      <c r="G37" s="1792" t="s">
        <v>7245</v>
      </c>
      <c r="H37" s="1793">
        <v>44000.0</v>
      </c>
      <c r="I37" s="126"/>
      <c r="J37" s="1786"/>
      <c r="L37" s="1782"/>
      <c r="M37" s="1792" t="s">
        <v>7246</v>
      </c>
      <c r="N37" s="1793">
        <v>104000.0</v>
      </c>
      <c r="O37" s="126"/>
      <c r="P37" s="1786"/>
    </row>
    <row r="38">
      <c r="A38" s="1782"/>
      <c r="B38" s="1792" t="s">
        <v>7247</v>
      </c>
      <c r="C38" s="1793">
        <v>15000.0</v>
      </c>
      <c r="D38" s="1786"/>
      <c r="F38" s="1782"/>
      <c r="G38" s="1792" t="s">
        <v>7248</v>
      </c>
      <c r="H38" s="1793">
        <v>130000.0</v>
      </c>
      <c r="I38" s="126"/>
      <c r="J38" s="1786"/>
      <c r="L38" s="1782"/>
      <c r="M38" s="1792" t="s">
        <v>967</v>
      </c>
      <c r="N38" s="1793">
        <v>60000.0</v>
      </c>
      <c r="O38" s="126"/>
      <c r="P38" s="1786"/>
    </row>
    <row r="39">
      <c r="A39" s="1782"/>
      <c r="B39" s="1792" t="s">
        <v>7249</v>
      </c>
      <c r="C39" s="1793">
        <v>19000.0</v>
      </c>
      <c r="D39" s="1786"/>
      <c r="F39" s="284"/>
      <c r="G39" s="1814"/>
      <c r="H39" s="1810"/>
      <c r="I39" s="285"/>
      <c r="J39" s="286"/>
      <c r="L39" s="1782"/>
      <c r="M39" s="1792" t="s">
        <v>970</v>
      </c>
      <c r="N39" s="1793">
        <v>56000.0</v>
      </c>
      <c r="O39" s="126"/>
      <c r="P39" s="1786"/>
    </row>
    <row r="40">
      <c r="A40" s="1782"/>
      <c r="B40" s="1792" t="s">
        <v>7250</v>
      </c>
      <c r="C40" s="1793">
        <v>21000.0</v>
      </c>
      <c r="D40" s="1786"/>
      <c r="G40" s="1815"/>
      <c r="H40" s="1804"/>
      <c r="L40" s="1782"/>
      <c r="M40" s="1792" t="s">
        <v>7251</v>
      </c>
      <c r="N40" s="1793">
        <v>34000.0</v>
      </c>
      <c r="O40" s="126"/>
      <c r="P40" s="1786"/>
    </row>
    <row r="41">
      <c r="A41" s="1782"/>
      <c r="B41" s="1792" t="s">
        <v>7252</v>
      </c>
      <c r="C41" s="1793">
        <v>6000.0</v>
      </c>
      <c r="D41" s="1786"/>
      <c r="F41" s="1780"/>
      <c r="G41" s="1816"/>
      <c r="H41" s="1811"/>
      <c r="I41" s="282"/>
      <c r="J41" s="283"/>
      <c r="L41" s="1782"/>
      <c r="M41" s="1792" t="s">
        <v>1078</v>
      </c>
      <c r="N41" s="1793">
        <v>80000.0</v>
      </c>
      <c r="O41" s="126"/>
      <c r="P41" s="1786"/>
    </row>
    <row r="42">
      <c r="A42" s="1782"/>
      <c r="B42" s="1792" t="s">
        <v>7253</v>
      </c>
      <c r="C42" s="1793">
        <v>8000.0</v>
      </c>
      <c r="D42" s="1786"/>
      <c r="F42" s="1782"/>
      <c r="G42" s="1783" t="s">
        <v>7254</v>
      </c>
      <c r="H42" s="1267"/>
      <c r="I42" s="1270"/>
      <c r="J42" s="1786"/>
      <c r="L42" s="1782"/>
      <c r="M42" s="1792" t="s">
        <v>1146</v>
      </c>
      <c r="N42" s="1793">
        <v>34000.0</v>
      </c>
      <c r="O42" s="126"/>
      <c r="P42" s="1786"/>
    </row>
    <row r="43">
      <c r="A43" s="1782"/>
      <c r="B43" s="1792" t="s">
        <v>7255</v>
      </c>
      <c r="C43" s="1793">
        <v>20000.0</v>
      </c>
      <c r="D43" s="1786"/>
      <c r="F43" s="1782"/>
      <c r="G43" s="1792" t="s">
        <v>7256</v>
      </c>
      <c r="H43" s="1793">
        <v>78000.0</v>
      </c>
      <c r="I43" s="126"/>
      <c r="J43" s="1786"/>
      <c r="L43" s="1782"/>
      <c r="M43" s="1792" t="s">
        <v>7257</v>
      </c>
      <c r="N43" s="1793">
        <v>138000.0</v>
      </c>
      <c r="O43" s="126"/>
      <c r="P43" s="1786"/>
    </row>
    <row r="44">
      <c r="A44" s="1782"/>
      <c r="B44" s="1792" t="s">
        <v>7258</v>
      </c>
      <c r="C44" s="1793">
        <v>26000.0</v>
      </c>
      <c r="D44" s="1786"/>
      <c r="F44" s="1782"/>
      <c r="G44" s="1792" t="s">
        <v>7259</v>
      </c>
      <c r="H44" s="1793">
        <v>78000.0</v>
      </c>
      <c r="I44" s="126"/>
      <c r="J44" s="1786"/>
      <c r="L44" s="1782"/>
      <c r="M44" s="1792" t="s">
        <v>7260</v>
      </c>
      <c r="N44" s="1793">
        <v>170000.0</v>
      </c>
      <c r="O44" s="126"/>
      <c r="P44" s="1786"/>
    </row>
    <row r="45">
      <c r="A45" s="1782"/>
      <c r="B45" s="1792" t="s">
        <v>7261</v>
      </c>
      <c r="C45" s="1793">
        <v>34000.0</v>
      </c>
      <c r="D45" s="1786"/>
      <c r="F45" s="1782"/>
      <c r="G45" s="1783" t="s">
        <v>7262</v>
      </c>
      <c r="H45" s="1267"/>
      <c r="I45" s="1270"/>
      <c r="J45" s="1786"/>
      <c r="L45" s="1782"/>
      <c r="M45" s="1792" t="s">
        <v>1248</v>
      </c>
      <c r="N45" s="1793"/>
      <c r="O45" s="126"/>
      <c r="P45" s="1786"/>
    </row>
    <row r="46">
      <c r="A46" s="284"/>
      <c r="B46" s="285"/>
      <c r="C46" s="285"/>
      <c r="D46" s="286"/>
      <c r="F46" s="1782"/>
      <c r="G46" s="1792" t="s">
        <v>7263</v>
      </c>
      <c r="H46" s="1793">
        <v>40000.0</v>
      </c>
      <c r="I46" s="126"/>
      <c r="J46" s="1786"/>
      <c r="L46" s="1782"/>
      <c r="M46" s="1792" t="s">
        <v>7264</v>
      </c>
      <c r="N46" s="1793"/>
      <c r="O46" s="126"/>
      <c r="P46" s="1786"/>
    </row>
    <row r="47">
      <c r="F47" s="1782"/>
      <c r="G47" s="1792" t="s">
        <v>7265</v>
      </c>
      <c r="H47" s="1793">
        <v>48000.0</v>
      </c>
      <c r="I47" s="126"/>
      <c r="J47" s="1786"/>
      <c r="L47" s="1782"/>
      <c r="M47" s="1792" t="s">
        <v>7266</v>
      </c>
      <c r="N47" s="1793">
        <v>45000.0</v>
      </c>
      <c r="O47" s="126"/>
      <c r="P47" s="1786"/>
    </row>
    <row r="48">
      <c r="A48" s="1780"/>
      <c r="B48" s="282"/>
      <c r="C48" s="282"/>
      <c r="D48" s="283"/>
      <c r="F48" s="1782"/>
      <c r="G48" s="1792" t="s">
        <v>7267</v>
      </c>
      <c r="H48" s="1793">
        <v>60000.0</v>
      </c>
      <c r="I48" s="126"/>
      <c r="J48" s="1786"/>
      <c r="L48" s="1782"/>
      <c r="M48" s="1792" t="s">
        <v>1499</v>
      </c>
      <c r="N48" s="1793">
        <v>12000.0</v>
      </c>
      <c r="O48" s="126"/>
      <c r="P48" s="1786"/>
    </row>
    <row r="49">
      <c r="A49" s="1782"/>
      <c r="B49" s="1792" t="s">
        <v>7268</v>
      </c>
      <c r="C49" s="1793">
        <v>6000.0</v>
      </c>
      <c r="D49" s="1786"/>
      <c r="F49" s="1782"/>
      <c r="G49" s="1783" t="s">
        <v>7269</v>
      </c>
      <c r="H49" s="1267"/>
      <c r="I49" s="1270"/>
      <c r="J49" s="1786"/>
      <c r="L49" s="1782"/>
      <c r="M49" s="1792" t="s">
        <v>1502</v>
      </c>
      <c r="N49" s="1793">
        <v>74000.0</v>
      </c>
      <c r="O49" s="126"/>
      <c r="P49" s="1786"/>
    </row>
    <row r="50">
      <c r="A50" s="1782"/>
      <c r="B50" s="1792" t="s">
        <v>7270</v>
      </c>
      <c r="C50" s="1793">
        <v>4000.0</v>
      </c>
      <c r="D50" s="1786"/>
      <c r="F50" s="1782"/>
      <c r="G50" s="1792" t="s">
        <v>7271</v>
      </c>
      <c r="H50" s="1793">
        <v>40000.0</v>
      </c>
      <c r="I50" s="126"/>
      <c r="J50" s="1786"/>
      <c r="L50" s="1782"/>
      <c r="M50" s="1792" t="s">
        <v>2013</v>
      </c>
      <c r="N50" s="1793">
        <v>160000.0</v>
      </c>
      <c r="O50" s="126"/>
      <c r="P50" s="1786"/>
    </row>
    <row r="51">
      <c r="A51" s="1782"/>
      <c r="B51" s="1792" t="s">
        <v>7272</v>
      </c>
      <c r="C51" s="1793">
        <v>34000.0</v>
      </c>
      <c r="D51" s="1786"/>
      <c r="F51" s="1782"/>
      <c r="G51" s="1792" t="s">
        <v>7273</v>
      </c>
      <c r="H51" s="1793">
        <v>42000.0</v>
      </c>
      <c r="I51" s="126"/>
      <c r="J51" s="1786"/>
      <c r="L51" s="655"/>
      <c r="M51" s="1817" t="s">
        <v>2258</v>
      </c>
      <c r="N51" s="1793">
        <v>250000.0</v>
      </c>
      <c r="O51" s="1818"/>
      <c r="P51" s="655"/>
    </row>
    <row r="52">
      <c r="A52" s="1782"/>
      <c r="B52" s="1792" t="s">
        <v>7274</v>
      </c>
      <c r="C52" s="1793">
        <v>12000.0</v>
      </c>
      <c r="D52" s="1786"/>
      <c r="F52" s="284"/>
      <c r="G52" s="285"/>
      <c r="H52" s="1805"/>
      <c r="I52" s="285"/>
      <c r="J52" s="286"/>
      <c r="L52" s="1782"/>
      <c r="M52" s="1819" t="s">
        <v>2460</v>
      </c>
      <c r="N52" s="1794">
        <v>79000.0</v>
      </c>
      <c r="O52" s="1820"/>
      <c r="P52" s="1786"/>
    </row>
    <row r="53">
      <c r="A53" s="1782"/>
      <c r="B53" s="1792" t="s">
        <v>7275</v>
      </c>
      <c r="C53" s="1793">
        <v>10000.0</v>
      </c>
      <c r="D53" s="1786"/>
      <c r="H53" s="587"/>
      <c r="L53" s="1782"/>
      <c r="M53" s="1792" t="s">
        <v>7276</v>
      </c>
      <c r="N53" s="1793">
        <v>170000.0</v>
      </c>
      <c r="O53" s="126"/>
      <c r="P53" s="1786"/>
    </row>
    <row r="54">
      <c r="A54" s="1782"/>
      <c r="B54" s="1792" t="s">
        <v>7277</v>
      </c>
      <c r="C54" s="1793">
        <v>10000.0</v>
      </c>
      <c r="D54" s="1786"/>
      <c r="F54" s="1780"/>
      <c r="G54" s="282"/>
      <c r="H54" s="1781"/>
      <c r="I54" s="282"/>
      <c r="J54" s="283"/>
      <c r="L54" s="1782"/>
      <c r="M54" s="1792" t="s">
        <v>7278</v>
      </c>
      <c r="N54" s="1793">
        <v>135000.0</v>
      </c>
      <c r="O54" s="126"/>
      <c r="P54" s="1786"/>
    </row>
    <row r="55">
      <c r="A55" s="1782"/>
      <c r="B55" s="1792" t="s">
        <v>7279</v>
      </c>
      <c r="C55" s="1793">
        <v>12000.0</v>
      </c>
      <c r="D55" s="1786"/>
      <c r="F55" s="1782"/>
      <c r="G55" s="1783" t="s">
        <v>7280</v>
      </c>
      <c r="H55" s="1267"/>
      <c r="I55" s="1270"/>
      <c r="J55" s="1786"/>
      <c r="L55" s="284"/>
      <c r="M55" s="1814"/>
      <c r="N55" s="285"/>
      <c r="O55" s="285"/>
      <c r="P55" s="286"/>
    </row>
    <row r="56">
      <c r="A56" s="1782"/>
      <c r="B56" s="1792" t="s">
        <v>7281</v>
      </c>
      <c r="C56" s="1793">
        <v>10000.0</v>
      </c>
      <c r="D56" s="1786"/>
      <c r="F56" s="1782"/>
      <c r="G56" s="1792" t="s">
        <v>7282</v>
      </c>
      <c r="H56" s="1793">
        <v>270000.0</v>
      </c>
      <c r="I56" s="126"/>
      <c r="J56" s="1786"/>
      <c r="M56" s="1815"/>
    </row>
    <row r="57">
      <c r="A57" s="1782"/>
      <c r="B57" s="1792" t="s">
        <v>7283</v>
      </c>
      <c r="C57" s="1793">
        <v>14000.0</v>
      </c>
      <c r="D57" s="1786"/>
      <c r="F57" s="1782"/>
      <c r="G57" s="1792" t="s">
        <v>7284</v>
      </c>
      <c r="H57" s="1793">
        <v>270000.0</v>
      </c>
      <c r="I57" s="126"/>
      <c r="J57" s="1786"/>
      <c r="L57" s="1780"/>
      <c r="M57" s="1816"/>
      <c r="N57" s="282"/>
      <c r="O57" s="282"/>
      <c r="P57" s="283"/>
    </row>
    <row r="58">
      <c r="A58" s="1782"/>
      <c r="B58" s="1792" t="s">
        <v>7285</v>
      </c>
      <c r="C58" s="1793">
        <v>22000.0</v>
      </c>
      <c r="D58" s="1786"/>
      <c r="F58" s="1782"/>
      <c r="G58" s="1792" t="s">
        <v>7286</v>
      </c>
      <c r="H58" s="1793">
        <v>18000.0</v>
      </c>
      <c r="I58" s="126"/>
      <c r="J58" s="1786"/>
      <c r="L58" s="1782"/>
      <c r="M58" s="1783" t="s">
        <v>7287</v>
      </c>
      <c r="N58" s="1267"/>
      <c r="O58" s="1270"/>
      <c r="P58" s="1786"/>
    </row>
    <row r="59">
      <c r="A59" s="284"/>
      <c r="B59" s="285"/>
      <c r="C59" s="285"/>
      <c r="D59" s="286"/>
      <c r="F59" s="1782"/>
      <c r="G59" s="1792" t="s">
        <v>1894</v>
      </c>
      <c r="H59" s="1793">
        <v>13000.0</v>
      </c>
      <c r="I59" s="126"/>
      <c r="J59" s="1786"/>
      <c r="L59" s="1782"/>
      <c r="M59" s="1792" t="s">
        <v>7288</v>
      </c>
      <c r="N59" s="1793">
        <v>18000.0</v>
      </c>
      <c r="O59" s="126"/>
      <c r="P59" s="1786"/>
    </row>
    <row r="60">
      <c r="A60" s="1780"/>
      <c r="B60" s="282"/>
      <c r="C60" s="282"/>
      <c r="D60" s="283"/>
      <c r="F60" s="1782"/>
      <c r="G60" s="1792" t="s">
        <v>7289</v>
      </c>
      <c r="H60" s="1793">
        <v>13000.0</v>
      </c>
      <c r="I60" s="126"/>
      <c r="J60" s="1786"/>
      <c r="L60" s="1782"/>
      <c r="M60" s="1792" t="s">
        <v>71</v>
      </c>
      <c r="N60" s="1793">
        <v>20000.0</v>
      </c>
      <c r="O60" s="126"/>
      <c r="P60" s="1786"/>
    </row>
    <row r="61">
      <c r="A61" s="1782"/>
      <c r="B61" s="1792" t="s">
        <v>7290</v>
      </c>
      <c r="C61" s="1793">
        <v>10000.0</v>
      </c>
      <c r="D61" s="1786"/>
      <c r="F61" s="1782"/>
      <c r="G61" s="1792" t="s">
        <v>7291</v>
      </c>
      <c r="H61" s="1793">
        <v>128000.0</v>
      </c>
      <c r="I61" s="126"/>
      <c r="J61" s="1786"/>
      <c r="L61" s="1782"/>
      <c r="M61" s="1792" t="s">
        <v>77</v>
      </c>
      <c r="N61" s="1793">
        <v>22000.0</v>
      </c>
      <c r="O61" s="126"/>
      <c r="P61" s="1786"/>
    </row>
    <row r="62">
      <c r="A62" s="1782"/>
      <c r="B62" s="1792" t="s">
        <v>7292</v>
      </c>
      <c r="C62" s="1793">
        <v>3000.0</v>
      </c>
      <c r="D62" s="1786"/>
      <c r="F62" s="1782"/>
      <c r="G62" s="1792" t="s">
        <v>7293</v>
      </c>
      <c r="H62" s="1793">
        <v>128000.0</v>
      </c>
      <c r="I62" s="126"/>
      <c r="J62" s="1786"/>
      <c r="L62" s="1782"/>
      <c r="M62" s="1792" t="s">
        <v>7294</v>
      </c>
      <c r="N62" s="1793">
        <v>40000.0</v>
      </c>
      <c r="O62" s="126"/>
      <c r="P62" s="1786"/>
    </row>
    <row r="63">
      <c r="A63" s="1782"/>
      <c r="B63" s="1792" t="s">
        <v>1122</v>
      </c>
      <c r="C63" s="1793">
        <v>16000.0</v>
      </c>
      <c r="D63" s="1786"/>
      <c r="F63" s="1782"/>
      <c r="G63" s="1792" t="s">
        <v>7295</v>
      </c>
      <c r="H63" s="1793">
        <v>155000.0</v>
      </c>
      <c r="I63" s="126"/>
      <c r="J63" s="1786"/>
      <c r="L63" s="1782"/>
      <c r="M63" s="1792" t="s">
        <v>7296</v>
      </c>
      <c r="N63" s="1793">
        <v>42000.0</v>
      </c>
      <c r="O63" s="126"/>
      <c r="P63" s="1786"/>
    </row>
    <row r="64">
      <c r="A64" s="1782"/>
      <c r="B64" s="1792" t="s">
        <v>7297</v>
      </c>
      <c r="C64" s="1793">
        <v>12000.0</v>
      </c>
      <c r="D64" s="1786"/>
      <c r="F64" s="1782"/>
      <c r="G64" s="1792" t="s">
        <v>7298</v>
      </c>
      <c r="H64" s="1793">
        <v>155000.0</v>
      </c>
      <c r="I64" s="126"/>
      <c r="J64" s="1786"/>
      <c r="L64" s="1782"/>
      <c r="M64" s="1792" t="s">
        <v>7299</v>
      </c>
      <c r="N64" s="1793">
        <v>32000.0</v>
      </c>
      <c r="O64" s="126"/>
      <c r="P64" s="1786"/>
    </row>
    <row r="65">
      <c r="A65" s="1782"/>
      <c r="B65" s="1792" t="s">
        <v>7300</v>
      </c>
      <c r="C65" s="1793">
        <v>13000.0</v>
      </c>
      <c r="D65" s="1786"/>
      <c r="F65" s="1782"/>
      <c r="G65" s="1792" t="s">
        <v>7301</v>
      </c>
      <c r="H65" s="1793">
        <v>90000.0</v>
      </c>
      <c r="I65" s="126"/>
      <c r="J65" s="1786"/>
      <c r="L65" s="1782"/>
      <c r="M65" s="1792" t="s">
        <v>7302</v>
      </c>
      <c r="N65" s="1793">
        <v>68000.0</v>
      </c>
      <c r="O65" s="126"/>
      <c r="P65" s="1786"/>
    </row>
    <row r="66">
      <c r="A66" s="1782"/>
      <c r="B66" s="1792" t="s">
        <v>7303</v>
      </c>
      <c r="C66" s="1793">
        <v>5000.0</v>
      </c>
      <c r="D66" s="1786"/>
      <c r="F66" s="1782"/>
      <c r="G66" s="1792" t="s">
        <v>7304</v>
      </c>
      <c r="H66" s="1793">
        <v>90000.0</v>
      </c>
      <c r="I66" s="126"/>
      <c r="J66" s="1786"/>
      <c r="L66" s="1782"/>
      <c r="M66" s="1792" t="s">
        <v>7305</v>
      </c>
      <c r="N66" s="1793">
        <v>36000.0</v>
      </c>
      <c r="O66" s="126"/>
      <c r="P66" s="1786"/>
    </row>
    <row r="67">
      <c r="A67" s="284"/>
      <c r="B67" s="285"/>
      <c r="C67" s="285"/>
      <c r="D67" s="286"/>
      <c r="F67" s="1782"/>
      <c r="G67" s="1792" t="s">
        <v>2682</v>
      </c>
      <c r="H67" s="1793">
        <v>90000.0</v>
      </c>
      <c r="I67" s="126"/>
      <c r="J67" s="1786"/>
      <c r="L67" s="1782"/>
      <c r="M67" s="1792" t="s">
        <v>7306</v>
      </c>
      <c r="N67" s="1793">
        <v>150000.0</v>
      </c>
      <c r="O67" s="126"/>
      <c r="P67" s="1786"/>
    </row>
    <row r="68">
      <c r="F68" s="1782"/>
      <c r="G68" s="1792" t="s">
        <v>2684</v>
      </c>
      <c r="H68" s="1793">
        <v>90000.0</v>
      </c>
      <c r="I68" s="126"/>
      <c r="J68" s="1786"/>
      <c r="L68" s="1782"/>
      <c r="M68" s="1792" t="s">
        <v>96</v>
      </c>
      <c r="N68" s="1793">
        <v>20000.0</v>
      </c>
      <c r="O68" s="126"/>
      <c r="P68" s="1786"/>
    </row>
    <row r="69">
      <c r="A69" s="1780"/>
      <c r="B69" s="282"/>
      <c r="C69" s="282"/>
      <c r="D69" s="283"/>
      <c r="F69" s="1782"/>
      <c r="G69" s="1792" t="s">
        <v>2686</v>
      </c>
      <c r="H69" s="1793">
        <v>90000.0</v>
      </c>
      <c r="I69" s="126"/>
      <c r="J69" s="1786"/>
      <c r="L69" s="284"/>
      <c r="M69" s="285"/>
      <c r="N69" s="285"/>
      <c r="O69" s="285"/>
      <c r="P69" s="286"/>
    </row>
    <row r="70">
      <c r="A70" s="1782"/>
      <c r="B70" s="1821" t="s">
        <v>7307</v>
      </c>
      <c r="C70" s="1270"/>
      <c r="D70" s="1786"/>
      <c r="F70" s="1782"/>
      <c r="G70" s="1792" t="s">
        <v>2742</v>
      </c>
      <c r="H70" s="1793">
        <v>215000.0</v>
      </c>
      <c r="I70" s="126"/>
      <c r="J70" s="1786"/>
    </row>
    <row r="71">
      <c r="A71" s="1782"/>
      <c r="B71" s="1792" t="s">
        <v>7308</v>
      </c>
      <c r="C71" s="1793">
        <v>48000.0</v>
      </c>
      <c r="D71" s="1786"/>
      <c r="F71" s="1782"/>
      <c r="G71" s="1792" t="s">
        <v>7309</v>
      </c>
      <c r="H71" s="1793">
        <v>290000.0</v>
      </c>
      <c r="I71" s="126"/>
      <c r="J71" s="1786"/>
    </row>
    <row r="72" ht="25.5" customHeight="1">
      <c r="A72" s="1782"/>
      <c r="B72" s="1792" t="s">
        <v>7310</v>
      </c>
      <c r="C72" s="1793">
        <v>60000.0</v>
      </c>
      <c r="D72" s="1786"/>
      <c r="F72" s="1782"/>
      <c r="G72" s="1792" t="s">
        <v>7311</v>
      </c>
      <c r="H72" s="1793">
        <v>290000.0</v>
      </c>
      <c r="I72" s="126"/>
      <c r="J72" s="1786"/>
      <c r="M72" s="1783" t="s">
        <v>7312</v>
      </c>
      <c r="N72" s="1790" t="s">
        <v>3788</v>
      </c>
      <c r="O72" s="1822"/>
    </row>
    <row r="73">
      <c r="A73" s="1782"/>
      <c r="B73" s="1792" t="s">
        <v>7313</v>
      </c>
      <c r="C73" s="1793">
        <v>72000.0</v>
      </c>
      <c r="D73" s="1786"/>
      <c r="F73" s="1782"/>
      <c r="G73" s="1792" t="s">
        <v>7314</v>
      </c>
      <c r="H73" s="1793">
        <v>290000.0</v>
      </c>
      <c r="I73" s="126"/>
      <c r="J73" s="1786"/>
      <c r="M73" s="1823" t="s">
        <v>7315</v>
      </c>
      <c r="N73" s="1824">
        <v>10000.0</v>
      </c>
    </row>
    <row r="74" ht="13.5" customHeight="1">
      <c r="A74" s="1782"/>
      <c r="B74" s="1792" t="s">
        <v>7316</v>
      </c>
      <c r="C74" s="1793">
        <v>70000.0</v>
      </c>
      <c r="D74" s="1786"/>
      <c r="F74" s="1782"/>
      <c r="G74" s="1792" t="s">
        <v>7317</v>
      </c>
      <c r="H74" s="1793">
        <v>215000.0</v>
      </c>
      <c r="I74" s="126"/>
      <c r="J74" s="1786"/>
      <c r="M74" s="1823" t="s">
        <v>6776</v>
      </c>
      <c r="N74" s="1824">
        <v>7000.0</v>
      </c>
    </row>
    <row r="75" ht="15.0" customHeight="1">
      <c r="A75" s="1782"/>
      <c r="B75" s="1792" t="s">
        <v>7318</v>
      </c>
      <c r="C75" s="1793">
        <v>70000.0</v>
      </c>
      <c r="D75" s="1786"/>
      <c r="F75" s="1782"/>
      <c r="G75" s="1792" t="s">
        <v>7319</v>
      </c>
      <c r="H75" s="1793">
        <v>215000.0</v>
      </c>
      <c r="I75" s="126"/>
      <c r="J75" s="1786"/>
      <c r="M75" s="1823" t="s">
        <v>7320</v>
      </c>
      <c r="N75" s="1824">
        <v>5000.0</v>
      </c>
    </row>
    <row r="76">
      <c r="A76" s="284"/>
      <c r="B76" s="285"/>
      <c r="C76" s="285"/>
      <c r="D76" s="286"/>
      <c r="F76" s="284"/>
      <c r="G76" s="285"/>
      <c r="H76" s="1805"/>
      <c r="I76" s="285"/>
      <c r="J76" s="286"/>
      <c r="M76" s="1823" t="s">
        <v>7321</v>
      </c>
      <c r="N76" s="1824">
        <v>5000.0</v>
      </c>
    </row>
    <row r="77">
      <c r="A77" s="1780"/>
      <c r="B77" s="282"/>
      <c r="C77" s="282"/>
      <c r="D77" s="283"/>
      <c r="F77" s="1780"/>
      <c r="G77" s="282"/>
      <c r="H77" s="1781"/>
      <c r="I77" s="282"/>
      <c r="J77" s="283"/>
      <c r="M77" s="1823" t="s">
        <v>7322</v>
      </c>
      <c r="N77" s="1824">
        <v>5000.0</v>
      </c>
    </row>
    <row r="78">
      <c r="A78" s="1782"/>
      <c r="B78" s="1821" t="s">
        <v>7323</v>
      </c>
      <c r="C78" s="1270"/>
      <c r="D78" s="1786"/>
      <c r="F78" s="1782"/>
      <c r="G78" s="1783" t="s">
        <v>7324</v>
      </c>
      <c r="H78" s="1267"/>
      <c r="I78" s="1270"/>
      <c r="J78" s="1786"/>
      <c r="M78" s="1823" t="s">
        <v>6679</v>
      </c>
      <c r="N78" s="1824">
        <v>5000.0</v>
      </c>
    </row>
    <row r="79">
      <c r="A79" s="1782"/>
      <c r="B79" s="1792" t="s">
        <v>7325</v>
      </c>
      <c r="C79" s="1793">
        <v>160000.0</v>
      </c>
      <c r="D79" s="1786"/>
      <c r="F79" s="1782"/>
      <c r="G79" s="1792" t="s">
        <v>232</v>
      </c>
      <c r="H79" s="1793">
        <v>110000.0</v>
      </c>
      <c r="I79" s="1793"/>
      <c r="J79" s="1786"/>
      <c r="M79" s="1823" t="s">
        <v>7326</v>
      </c>
      <c r="N79" s="1824">
        <v>2000.0</v>
      </c>
    </row>
    <row r="80">
      <c r="A80" s="1782"/>
      <c r="B80" s="1792" t="s">
        <v>7327</v>
      </c>
      <c r="C80" s="1793">
        <v>40000.0</v>
      </c>
      <c r="D80" s="1786"/>
      <c r="F80" s="1782"/>
      <c r="G80" s="1792" t="s">
        <v>7328</v>
      </c>
      <c r="H80" s="1793">
        <v>175000.0</v>
      </c>
      <c r="I80" s="1793"/>
      <c r="J80" s="1786"/>
      <c r="M80" s="1823" t="s">
        <v>7329</v>
      </c>
      <c r="N80" s="1824">
        <v>3000.0</v>
      </c>
    </row>
    <row r="81">
      <c r="A81" s="1782"/>
      <c r="B81" s="1792" t="s">
        <v>7330</v>
      </c>
      <c r="C81" s="1793">
        <v>30000.0</v>
      </c>
      <c r="D81" s="1786"/>
      <c r="F81" s="1782"/>
      <c r="G81" s="1792" t="s">
        <v>7331</v>
      </c>
      <c r="H81" s="1793">
        <v>100000.0</v>
      </c>
      <c r="I81" s="1793"/>
      <c r="J81" s="1786"/>
      <c r="M81" s="1823" t="s">
        <v>7332</v>
      </c>
      <c r="N81" s="1824">
        <v>5000.0</v>
      </c>
    </row>
    <row r="82">
      <c r="A82" s="1782"/>
      <c r="B82" s="1792" t="s">
        <v>7333</v>
      </c>
      <c r="C82" s="1793">
        <v>20000.0</v>
      </c>
      <c r="D82" s="1786"/>
      <c r="F82" s="1782"/>
      <c r="G82" s="1792" t="s">
        <v>6528</v>
      </c>
      <c r="H82" s="1793">
        <v>142000.0</v>
      </c>
      <c r="I82" s="1793"/>
      <c r="J82" s="1786"/>
      <c r="M82" s="1823" t="s">
        <v>7334</v>
      </c>
      <c r="N82" s="1824">
        <v>2000.0</v>
      </c>
    </row>
    <row r="83">
      <c r="A83" s="284"/>
      <c r="B83" s="285"/>
      <c r="C83" s="285"/>
      <c r="D83" s="286"/>
      <c r="F83" s="1782"/>
      <c r="G83" s="1792" t="s">
        <v>247</v>
      </c>
      <c r="H83" s="1793">
        <v>48000.0</v>
      </c>
      <c r="I83" s="1793"/>
      <c r="J83" s="1786"/>
      <c r="M83" s="1823" t="s">
        <v>7335</v>
      </c>
      <c r="N83" s="1824">
        <v>10000.0</v>
      </c>
    </row>
    <row r="84">
      <c r="F84" s="1782"/>
      <c r="G84" s="1792" t="s">
        <v>250</v>
      </c>
      <c r="H84" s="1793">
        <v>56000.0</v>
      </c>
      <c r="I84" s="1793"/>
      <c r="J84" s="1786"/>
      <c r="M84" s="1823" t="s">
        <v>6682</v>
      </c>
      <c r="N84" s="1824">
        <v>3000.0</v>
      </c>
    </row>
    <row r="85">
      <c r="A85" s="1780"/>
      <c r="B85" s="282"/>
      <c r="C85" s="282"/>
      <c r="D85" s="283"/>
      <c r="F85" s="1782"/>
      <c r="G85" s="1792" t="s">
        <v>252</v>
      </c>
      <c r="H85" s="1793">
        <v>88000.0</v>
      </c>
      <c r="I85" s="1793"/>
      <c r="J85" s="1786"/>
      <c r="M85" s="1823" t="s">
        <v>7336</v>
      </c>
      <c r="N85" s="1824">
        <v>10000.0</v>
      </c>
    </row>
    <row r="86" ht="15.0" customHeight="1">
      <c r="A86" s="1782"/>
      <c r="B86" s="1825" t="s">
        <v>7337</v>
      </c>
      <c r="C86" s="1793">
        <v>10000.0</v>
      </c>
      <c r="D86" s="1786"/>
      <c r="F86" s="1782"/>
      <c r="G86" s="1792" t="s">
        <v>256</v>
      </c>
      <c r="H86" s="1793"/>
      <c r="I86" s="1793"/>
      <c r="J86" s="1786"/>
      <c r="M86" s="1823" t="s">
        <v>7338</v>
      </c>
      <c r="N86" s="1824">
        <v>3000.0</v>
      </c>
    </row>
    <row r="87" ht="13.5" customHeight="1">
      <c r="A87" s="1782"/>
      <c r="B87" s="1825" t="s">
        <v>7339</v>
      </c>
      <c r="C87" s="1793">
        <v>20000.0</v>
      </c>
      <c r="D87" s="1786"/>
      <c r="F87" s="1782"/>
      <c r="G87" s="1792" t="s">
        <v>7340</v>
      </c>
      <c r="H87" s="1793">
        <v>168000.0</v>
      </c>
      <c r="I87" s="1793"/>
      <c r="J87" s="1786"/>
      <c r="M87" s="1823" t="s">
        <v>7341</v>
      </c>
      <c r="N87" s="1824">
        <v>5000.0</v>
      </c>
    </row>
    <row r="88" ht="16.5" customHeight="1">
      <c r="A88" s="1782"/>
      <c r="B88" s="1825" t="s">
        <v>7342</v>
      </c>
      <c r="C88" s="1793">
        <v>9000.0</v>
      </c>
      <c r="D88" s="1786"/>
      <c r="F88" s="1782"/>
      <c r="G88" s="1792" t="s">
        <v>362</v>
      </c>
      <c r="H88" s="1793">
        <v>315000.0</v>
      </c>
      <c r="I88" s="1793"/>
      <c r="J88" s="1786"/>
      <c r="M88" s="1823" t="s">
        <v>7343</v>
      </c>
      <c r="N88" s="1824">
        <v>5000.0</v>
      </c>
    </row>
    <row r="89" ht="17.25" customHeight="1">
      <c r="A89" s="1782"/>
      <c r="B89" s="1825" t="s">
        <v>7344</v>
      </c>
      <c r="C89" s="1793">
        <v>30000.0</v>
      </c>
      <c r="D89" s="1786"/>
      <c r="F89" s="1782"/>
      <c r="G89" s="1792" t="s">
        <v>2814</v>
      </c>
      <c r="H89" s="1793">
        <v>180000.0</v>
      </c>
      <c r="I89" s="1793"/>
      <c r="J89" s="1786"/>
      <c r="M89" s="1823" t="s">
        <v>6697</v>
      </c>
      <c r="N89" s="1824">
        <v>3000.0</v>
      </c>
    </row>
    <row r="90">
      <c r="A90" s="1782"/>
      <c r="B90" s="1825" t="s">
        <v>7345</v>
      </c>
      <c r="C90" s="1793">
        <v>13000.0</v>
      </c>
      <c r="D90" s="1786"/>
      <c r="F90" s="1782"/>
      <c r="G90" s="1792" t="s">
        <v>7346</v>
      </c>
      <c r="H90" s="1793">
        <v>130000.0</v>
      </c>
      <c r="I90" s="1793"/>
      <c r="J90" s="1786"/>
      <c r="M90" s="1823" t="s">
        <v>7347</v>
      </c>
      <c r="N90" s="1824">
        <v>25000.0</v>
      </c>
    </row>
    <row r="91">
      <c r="A91" s="1782"/>
      <c r="B91" s="1825" t="s">
        <v>7348</v>
      </c>
      <c r="C91" s="1793">
        <v>9000.0</v>
      </c>
      <c r="D91" s="1786"/>
      <c r="F91" s="284"/>
      <c r="G91" s="285"/>
      <c r="H91" s="285"/>
      <c r="I91" s="285"/>
      <c r="J91" s="286"/>
      <c r="M91" s="1823" t="s">
        <v>7349</v>
      </c>
      <c r="N91" s="1824">
        <v>8000.0</v>
      </c>
    </row>
    <row r="92" ht="17.25" customHeight="1">
      <c r="A92" s="1782"/>
      <c r="B92" s="1825" t="s">
        <v>7350</v>
      </c>
      <c r="C92" s="1793">
        <v>10000.0</v>
      </c>
      <c r="D92" s="1786"/>
      <c r="F92" s="1780"/>
      <c r="G92" s="282"/>
      <c r="H92" s="1781"/>
      <c r="I92" s="282"/>
      <c r="J92" s="283"/>
      <c r="M92" s="1826" t="s">
        <v>7351</v>
      </c>
      <c r="N92" s="1827">
        <v>5000.0</v>
      </c>
    </row>
    <row r="93">
      <c r="A93" s="1782"/>
      <c r="B93" s="1825" t="s">
        <v>7352</v>
      </c>
      <c r="C93" s="1793">
        <v>9000.0</v>
      </c>
      <c r="D93" s="1786"/>
      <c r="F93" s="1782"/>
      <c r="G93" s="1783" t="s">
        <v>7324</v>
      </c>
      <c r="H93" s="1267"/>
      <c r="I93" s="1270"/>
      <c r="J93" s="1786"/>
      <c r="M93" s="1826" t="s">
        <v>7353</v>
      </c>
      <c r="N93" s="1827">
        <v>3000.0</v>
      </c>
    </row>
    <row r="94">
      <c r="A94" s="1782"/>
      <c r="B94" s="1825" t="s">
        <v>7354</v>
      </c>
      <c r="C94" s="1793"/>
      <c r="D94" s="1786"/>
      <c r="F94" s="1782"/>
      <c r="G94" s="1792" t="s">
        <v>232</v>
      </c>
      <c r="H94" s="1793">
        <v>110000.0</v>
      </c>
      <c r="I94" s="1793"/>
      <c r="J94" s="1786"/>
      <c r="M94" s="852" t="s">
        <v>7355</v>
      </c>
      <c r="N94" s="1827">
        <v>2000.0</v>
      </c>
    </row>
    <row r="95" ht="21.0" customHeight="1">
      <c r="A95" s="1782"/>
      <c r="B95" s="1825" t="s">
        <v>7356</v>
      </c>
      <c r="C95" s="1793"/>
      <c r="D95" s="1786"/>
      <c r="F95" s="1782"/>
      <c r="G95" s="1792" t="s">
        <v>7328</v>
      </c>
      <c r="H95" s="1793">
        <v>175000.0</v>
      </c>
      <c r="I95" s="1793"/>
      <c r="J95" s="1786"/>
      <c r="M95" s="852" t="s">
        <v>7357</v>
      </c>
      <c r="N95" s="1827">
        <v>3000.0</v>
      </c>
    </row>
    <row r="96" ht="21.75" customHeight="1">
      <c r="A96" s="1782"/>
      <c r="B96" s="1825" t="s">
        <v>7358</v>
      </c>
      <c r="C96" s="1793">
        <v>19000.0</v>
      </c>
      <c r="D96" s="1786"/>
      <c r="F96" s="1782"/>
      <c r="G96" s="1792" t="s">
        <v>7331</v>
      </c>
      <c r="H96" s="1793">
        <v>100000.0</v>
      </c>
      <c r="I96" s="1793"/>
      <c r="J96" s="1786"/>
      <c r="M96" s="852" t="s">
        <v>7359</v>
      </c>
      <c r="N96" s="1827">
        <v>5000.0</v>
      </c>
    </row>
    <row r="97" ht="18.0" customHeight="1">
      <c r="A97" s="1782"/>
      <c r="B97" s="1825" t="s">
        <v>7360</v>
      </c>
      <c r="C97" s="1793">
        <v>10000.0</v>
      </c>
      <c r="D97" s="1786"/>
      <c r="F97" s="1782"/>
      <c r="G97" s="1792" t="s">
        <v>6528</v>
      </c>
      <c r="H97" s="1793">
        <v>142000.0</v>
      </c>
      <c r="I97" s="1793"/>
      <c r="J97" s="1786"/>
      <c r="M97" s="852"/>
      <c r="N97" s="1827"/>
    </row>
    <row r="98">
      <c r="A98" s="284"/>
      <c r="B98" s="285"/>
      <c r="C98" s="285"/>
      <c r="D98" s="286"/>
      <c r="F98" s="1782"/>
      <c r="G98" s="1792" t="s">
        <v>247</v>
      </c>
      <c r="H98" s="1793">
        <v>48000.0</v>
      </c>
      <c r="I98" s="1793"/>
      <c r="J98" s="1786"/>
      <c r="M98" s="1828"/>
      <c r="N98" s="1813"/>
    </row>
    <row r="99">
      <c r="F99" s="1782"/>
      <c r="G99" s="1792" t="s">
        <v>250</v>
      </c>
      <c r="H99" s="1793">
        <v>56000.0</v>
      </c>
      <c r="I99" s="1793"/>
      <c r="J99" s="1786"/>
      <c r="M99" s="1801"/>
      <c r="N99" s="1813"/>
    </row>
    <row r="100">
      <c r="F100" s="1782"/>
      <c r="G100" s="1792" t="s">
        <v>252</v>
      </c>
      <c r="H100" s="1793">
        <v>88000.0</v>
      </c>
      <c r="I100" s="1793"/>
      <c r="J100" s="1786"/>
      <c r="M100" s="1801"/>
      <c r="N100" s="1813"/>
    </row>
    <row r="101">
      <c r="F101" s="1782"/>
      <c r="G101" s="1792" t="s">
        <v>256</v>
      </c>
      <c r="H101" s="1793"/>
      <c r="I101" s="1793"/>
      <c r="J101" s="1786"/>
      <c r="M101" s="1801"/>
      <c r="N101" s="1813"/>
    </row>
    <row r="102">
      <c r="F102" s="1782"/>
      <c r="G102" s="1792" t="s">
        <v>7340</v>
      </c>
      <c r="H102" s="1793">
        <v>168000.0</v>
      </c>
      <c r="I102" s="1793"/>
      <c r="J102" s="1786"/>
      <c r="M102" s="1801"/>
      <c r="N102" s="1829"/>
    </row>
    <row r="103">
      <c r="F103" s="1782"/>
      <c r="G103" s="1792" t="s">
        <v>362</v>
      </c>
      <c r="H103" s="1793">
        <v>315000.0</v>
      </c>
      <c r="I103" s="1793"/>
      <c r="J103" s="1786"/>
      <c r="M103" s="1801"/>
      <c r="N103" s="1829"/>
    </row>
    <row r="104">
      <c r="F104" s="1782"/>
      <c r="G104" s="1792" t="s">
        <v>2814</v>
      </c>
      <c r="H104" s="1793">
        <v>180000.0</v>
      </c>
      <c r="I104" s="1793"/>
      <c r="J104" s="1786"/>
      <c r="M104" s="1801"/>
      <c r="N104" s="1813"/>
    </row>
    <row r="105">
      <c r="F105" s="1782"/>
      <c r="G105" s="1792" t="s">
        <v>7346</v>
      </c>
      <c r="H105" s="1793">
        <v>130000.0</v>
      </c>
      <c r="I105" s="1793"/>
      <c r="J105" s="1786"/>
      <c r="M105" s="1830"/>
      <c r="N105" s="1831"/>
    </row>
    <row r="106">
      <c r="F106" s="284"/>
      <c r="G106" s="285"/>
      <c r="H106" s="285"/>
      <c r="I106" s="285"/>
      <c r="J106" s="286"/>
    </row>
    <row r="107">
      <c r="F107" s="1780"/>
      <c r="G107" s="282"/>
      <c r="H107" s="282"/>
      <c r="I107" s="282"/>
      <c r="J107" s="283"/>
    </row>
    <row r="108">
      <c r="F108" s="1782"/>
      <c r="G108" s="1783" t="s">
        <v>7361</v>
      </c>
      <c r="H108" s="1267"/>
      <c r="I108" s="1270"/>
      <c r="J108" s="1786"/>
    </row>
    <row r="109">
      <c r="F109" s="1782"/>
      <c r="G109" s="1792" t="s">
        <v>740</v>
      </c>
      <c r="H109" s="1793">
        <v>55000.0</v>
      </c>
      <c r="I109" s="126"/>
      <c r="J109" s="1786"/>
    </row>
    <row r="110">
      <c r="F110" s="1782"/>
      <c r="G110" s="1792" t="s">
        <v>741</v>
      </c>
      <c r="H110" s="1793">
        <v>7000.0</v>
      </c>
      <c r="I110" s="126"/>
      <c r="J110" s="1786"/>
    </row>
    <row r="111">
      <c r="F111" s="1782"/>
      <c r="G111" s="1792" t="s">
        <v>7362</v>
      </c>
      <c r="H111" s="1793">
        <v>42200.0</v>
      </c>
      <c r="I111" s="126"/>
      <c r="J111" s="1786"/>
    </row>
    <row r="112">
      <c r="F112" s="1782"/>
      <c r="G112" s="1792" t="s">
        <v>1994</v>
      </c>
      <c r="H112" s="1793">
        <v>65000.0</v>
      </c>
      <c r="I112" s="126"/>
      <c r="J112" s="1786"/>
    </row>
    <row r="113">
      <c r="F113" s="1782"/>
      <c r="G113" s="1792" t="s">
        <v>2297</v>
      </c>
      <c r="H113" s="1793">
        <v>70000.0</v>
      </c>
      <c r="I113" s="126"/>
      <c r="J113" s="1786"/>
    </row>
    <row r="114">
      <c r="F114" s="1782"/>
      <c r="G114" s="1792" t="s">
        <v>2304</v>
      </c>
      <c r="H114" s="1793">
        <v>70000.0</v>
      </c>
      <c r="I114" s="126"/>
      <c r="J114" s="1786"/>
    </row>
    <row r="115">
      <c r="F115" s="1782"/>
      <c r="G115" s="1792" t="s">
        <v>2503</v>
      </c>
      <c r="H115" s="1793">
        <v>201200.0</v>
      </c>
      <c r="I115" s="126"/>
      <c r="J115" s="1786"/>
    </row>
    <row r="116">
      <c r="F116" s="1782"/>
      <c r="G116" s="1792" t="s">
        <v>2515</v>
      </c>
      <c r="H116" s="1793">
        <v>20000.0</v>
      </c>
      <c r="I116" s="126"/>
      <c r="J116" s="1786"/>
    </row>
    <row r="117">
      <c r="F117" s="1782"/>
      <c r="G117" s="1792" t="s">
        <v>2516</v>
      </c>
      <c r="H117" s="1793">
        <v>155000.0</v>
      </c>
      <c r="I117" s="126"/>
      <c r="J117" s="1786"/>
    </row>
    <row r="118">
      <c r="F118" s="1782"/>
      <c r="G118" s="1792" t="s">
        <v>2703</v>
      </c>
      <c r="H118" s="1793">
        <v>25000.0</v>
      </c>
      <c r="I118" s="126"/>
      <c r="J118" s="1786"/>
    </row>
    <row r="119">
      <c r="F119" s="284"/>
      <c r="G119" s="285"/>
      <c r="H119" s="1805"/>
      <c r="I119" s="285"/>
      <c r="J119" s="286"/>
    </row>
    <row r="120">
      <c r="F120" s="1780"/>
      <c r="G120" s="282"/>
      <c r="H120" s="1781"/>
      <c r="I120" s="282"/>
      <c r="J120" s="283"/>
    </row>
    <row r="121">
      <c r="F121" s="1782"/>
      <c r="G121" s="1783" t="s">
        <v>7363</v>
      </c>
      <c r="H121" s="1267"/>
      <c r="I121" s="1270"/>
      <c r="J121" s="1786"/>
    </row>
    <row r="122">
      <c r="F122" s="1782"/>
      <c r="G122" s="1792" t="s">
        <v>7364</v>
      </c>
      <c r="H122" s="1793">
        <v>60000.0</v>
      </c>
      <c r="I122" s="1793"/>
      <c r="J122" s="1786"/>
    </row>
    <row r="123">
      <c r="F123" s="1782"/>
      <c r="G123" s="1792" t="s">
        <v>7365</v>
      </c>
      <c r="H123" s="1793">
        <v>160000.0</v>
      </c>
      <c r="I123" s="1793"/>
      <c r="J123" s="1786"/>
    </row>
    <row r="124">
      <c r="F124" s="1782"/>
      <c r="G124" s="1792" t="s">
        <v>7366</v>
      </c>
      <c r="H124" s="1793">
        <v>140000.0</v>
      </c>
      <c r="I124" s="1793"/>
      <c r="J124" s="1786"/>
    </row>
    <row r="125">
      <c r="F125" s="1782"/>
      <c r="G125" s="1792" t="s">
        <v>7367</v>
      </c>
      <c r="H125" s="1793">
        <v>40000.0</v>
      </c>
      <c r="I125" s="1793"/>
      <c r="J125" s="1786"/>
    </row>
    <row r="126">
      <c r="F126" s="1782"/>
      <c r="G126" s="1792" t="s">
        <v>7368</v>
      </c>
      <c r="H126" s="1793">
        <v>50000.0</v>
      </c>
      <c r="I126" s="1793"/>
      <c r="J126" s="1786"/>
    </row>
    <row r="127">
      <c r="F127" s="1782"/>
      <c r="G127" s="1792" t="s">
        <v>7369</v>
      </c>
      <c r="H127" s="1793">
        <v>110000.0</v>
      </c>
      <c r="I127" s="1793"/>
      <c r="J127" s="1786"/>
    </row>
    <row r="128">
      <c r="F128" s="1782"/>
      <c r="G128" s="1792" t="s">
        <v>7370</v>
      </c>
      <c r="H128" s="1793">
        <v>115000.0</v>
      </c>
      <c r="I128" s="1793"/>
      <c r="J128" s="1786"/>
    </row>
    <row r="129">
      <c r="F129" s="1782"/>
      <c r="G129" s="1792" t="s">
        <v>7371</v>
      </c>
      <c r="H129" s="1793">
        <v>44000.0</v>
      </c>
      <c r="I129" s="1793"/>
      <c r="J129" s="1786"/>
    </row>
    <row r="130">
      <c r="F130" s="1782"/>
      <c r="G130" s="1792" t="s">
        <v>7372</v>
      </c>
      <c r="H130" s="1793">
        <v>230000.0</v>
      </c>
      <c r="I130" s="1793"/>
      <c r="J130" s="1786"/>
    </row>
    <row r="131">
      <c r="F131" s="1782"/>
      <c r="G131" s="1792" t="s">
        <v>7373</v>
      </c>
      <c r="H131" s="1793">
        <v>100000.0</v>
      </c>
      <c r="I131" s="1793"/>
      <c r="J131" s="1786"/>
    </row>
    <row r="132">
      <c r="F132" s="1782"/>
      <c r="G132" s="1792" t="s">
        <v>3405</v>
      </c>
      <c r="H132" s="1793">
        <v>85000.0</v>
      </c>
      <c r="I132" s="1793"/>
      <c r="J132" s="1786"/>
    </row>
    <row r="133">
      <c r="F133" s="1782"/>
      <c r="G133" s="1792" t="s">
        <v>7374</v>
      </c>
      <c r="H133" s="1793">
        <v>82000.0</v>
      </c>
      <c r="I133" s="1793"/>
      <c r="J133" s="1786"/>
    </row>
    <row r="134">
      <c r="F134" s="1782"/>
      <c r="G134" s="1792" t="s">
        <v>7232</v>
      </c>
      <c r="H134" s="1793">
        <v>43000.0</v>
      </c>
      <c r="I134" s="1793"/>
      <c r="J134" s="1786"/>
    </row>
    <row r="135">
      <c r="F135" s="1782"/>
      <c r="G135" s="1792" t="s">
        <v>7375</v>
      </c>
      <c r="H135" s="1793">
        <v>292000.0</v>
      </c>
      <c r="I135" s="1793"/>
      <c r="J135" s="1786"/>
    </row>
    <row r="136">
      <c r="F136" s="1782"/>
      <c r="G136" s="1792" t="s">
        <v>7376</v>
      </c>
      <c r="H136" s="1793">
        <v>65000.0</v>
      </c>
      <c r="I136" s="1793"/>
      <c r="J136" s="1786"/>
    </row>
    <row r="137">
      <c r="F137" s="1782"/>
      <c r="G137" s="1792" t="s">
        <v>7377</v>
      </c>
      <c r="H137" s="1793">
        <v>260000.0</v>
      </c>
      <c r="I137" s="1793"/>
      <c r="J137" s="1786"/>
    </row>
    <row r="138">
      <c r="F138" s="1782"/>
      <c r="G138" s="1792" t="s">
        <v>7378</v>
      </c>
      <c r="H138" s="1793">
        <v>260000.0</v>
      </c>
      <c r="I138" s="1793"/>
      <c r="J138" s="1786"/>
    </row>
    <row r="139">
      <c r="F139" s="284"/>
      <c r="G139" s="1814"/>
      <c r="H139" s="1810"/>
      <c r="I139" s="1810"/>
      <c r="J139" s="286"/>
    </row>
    <row r="140">
      <c r="H140" s="587"/>
    </row>
    <row r="141">
      <c r="F141" s="1780"/>
      <c r="G141" s="282"/>
      <c r="H141" s="1781"/>
      <c r="I141" s="282"/>
      <c r="J141" s="283"/>
    </row>
    <row r="142">
      <c r="F142" s="1782"/>
      <c r="G142" s="1783" t="s">
        <v>7379</v>
      </c>
      <c r="H142" s="1267"/>
      <c r="I142" s="1270"/>
      <c r="J142" s="1786"/>
    </row>
    <row r="143">
      <c r="F143" s="1782"/>
      <c r="G143" s="1792" t="s">
        <v>7380</v>
      </c>
      <c r="H143" s="1793">
        <v>68000.0</v>
      </c>
      <c r="I143" s="1793"/>
      <c r="J143" s="1786"/>
    </row>
    <row r="144">
      <c r="F144" s="1782"/>
      <c r="G144" s="1792" t="s">
        <v>362</v>
      </c>
      <c r="H144" s="1793">
        <v>315000.0</v>
      </c>
      <c r="I144" s="1793"/>
      <c r="J144" s="1786"/>
    </row>
    <row r="145">
      <c r="F145" s="1782"/>
      <c r="G145" s="1792" t="s">
        <v>7381</v>
      </c>
      <c r="H145" s="1793">
        <v>190000.0</v>
      </c>
      <c r="I145" s="1793"/>
      <c r="J145" s="1786"/>
    </row>
    <row r="146">
      <c r="F146" s="1782"/>
      <c r="G146" s="1792" t="s">
        <v>957</v>
      </c>
      <c r="H146" s="1793">
        <v>300000.0</v>
      </c>
      <c r="I146" s="1793"/>
      <c r="J146" s="1786"/>
    </row>
    <row r="147">
      <c r="F147" s="1782"/>
      <c r="G147" s="1792" t="s">
        <v>2688</v>
      </c>
      <c r="H147" s="1793">
        <v>125000.0</v>
      </c>
      <c r="I147" s="1793"/>
      <c r="J147" s="1786"/>
    </row>
    <row r="148">
      <c r="F148" s="1782"/>
      <c r="G148" s="1792" t="s">
        <v>2690</v>
      </c>
      <c r="H148" s="1793">
        <v>380000.0</v>
      </c>
      <c r="I148" s="1793"/>
      <c r="J148" s="1786"/>
    </row>
    <row r="149">
      <c r="F149" s="1782"/>
      <c r="G149" s="1792" t="s">
        <v>2814</v>
      </c>
      <c r="H149" s="1793">
        <v>180000.0</v>
      </c>
      <c r="I149" s="1793"/>
      <c r="J149" s="1786"/>
    </row>
    <row r="150">
      <c r="F150" s="1782"/>
      <c r="G150" s="1792" t="s">
        <v>2818</v>
      </c>
      <c r="H150" s="1793">
        <v>130000.0</v>
      </c>
      <c r="I150" s="1793"/>
      <c r="J150" s="1786"/>
    </row>
    <row r="151">
      <c r="F151" s="1782"/>
      <c r="G151" s="1832" t="s">
        <v>7382</v>
      </c>
      <c r="H151" s="1793">
        <v>34000.0</v>
      </c>
      <c r="I151" s="1793"/>
      <c r="J151" s="1786"/>
    </row>
    <row r="152">
      <c r="F152" s="1782"/>
      <c r="G152" s="1792" t="s">
        <v>479</v>
      </c>
      <c r="H152" s="1793">
        <v>45000.0</v>
      </c>
      <c r="I152" s="1793"/>
      <c r="J152" s="1786"/>
    </row>
    <row r="153">
      <c r="F153" s="284"/>
      <c r="G153" s="285"/>
      <c r="H153" s="1805"/>
      <c r="I153" s="285"/>
      <c r="J153" s="286"/>
    </row>
    <row r="154">
      <c r="H154" s="587"/>
    </row>
    <row r="155">
      <c r="F155" s="1780"/>
      <c r="G155" s="282"/>
      <c r="H155" s="1781"/>
      <c r="I155" s="282"/>
      <c r="J155" s="283"/>
    </row>
    <row r="156">
      <c r="F156" s="1782"/>
      <c r="G156" s="1821" t="s">
        <v>7383</v>
      </c>
      <c r="H156" s="1267"/>
      <c r="I156" s="1270"/>
      <c r="J156" s="1786"/>
    </row>
    <row r="157">
      <c r="F157" s="1782"/>
      <c r="G157" s="1792" t="s">
        <v>7384</v>
      </c>
      <c r="H157" s="1793">
        <v>190000.0</v>
      </c>
      <c r="I157" s="126"/>
      <c r="J157" s="1786"/>
    </row>
    <row r="158">
      <c r="F158" s="1782"/>
      <c r="G158" s="1792" t="s">
        <v>957</v>
      </c>
      <c r="H158" s="1793">
        <v>300000.0</v>
      </c>
      <c r="I158" s="126"/>
      <c r="J158" s="1786"/>
    </row>
    <row r="159">
      <c r="F159" s="1782"/>
      <c r="G159" s="1792" t="s">
        <v>2688</v>
      </c>
      <c r="H159" s="1793">
        <v>125000.0</v>
      </c>
      <c r="I159" s="126"/>
      <c r="J159" s="1786"/>
    </row>
    <row r="160">
      <c r="F160" s="1782"/>
      <c r="G160" s="1792" t="s">
        <v>2690</v>
      </c>
      <c r="H160" s="1793">
        <v>380000.0</v>
      </c>
      <c r="I160" s="126"/>
      <c r="J160" s="1786"/>
    </row>
    <row r="161">
      <c r="F161" s="1782"/>
      <c r="G161" s="1792" t="s">
        <v>2814</v>
      </c>
      <c r="H161" s="1793">
        <v>180000.0</v>
      </c>
      <c r="I161" s="126"/>
      <c r="J161" s="1786"/>
    </row>
    <row r="162">
      <c r="F162" s="1782"/>
      <c r="G162" s="1792" t="s">
        <v>7346</v>
      </c>
      <c r="H162" s="1793">
        <v>130000.0</v>
      </c>
      <c r="I162" s="126"/>
      <c r="J162" s="1786"/>
    </row>
    <row r="163">
      <c r="F163" s="1782"/>
      <c r="G163" s="1792" t="s">
        <v>7385</v>
      </c>
      <c r="H163" s="1793">
        <v>45000.0</v>
      </c>
      <c r="I163" s="126"/>
      <c r="J163" s="1786"/>
    </row>
    <row r="164">
      <c r="F164" s="1782"/>
      <c r="G164" s="1792" t="s">
        <v>7386</v>
      </c>
      <c r="H164" s="1793">
        <v>34000.0</v>
      </c>
      <c r="I164" s="126"/>
      <c r="J164" s="1786"/>
    </row>
    <row r="165">
      <c r="F165" s="1782"/>
      <c r="G165" s="1792" t="s">
        <v>7291</v>
      </c>
      <c r="H165" s="1793">
        <v>128000.0</v>
      </c>
      <c r="I165" s="126"/>
      <c r="J165" s="1786"/>
    </row>
    <row r="166">
      <c r="F166" s="1782"/>
      <c r="G166" s="1792" t="s">
        <v>7293</v>
      </c>
      <c r="H166" s="1793">
        <v>128000.0</v>
      </c>
      <c r="I166" s="126"/>
      <c r="J166" s="1786"/>
    </row>
    <row r="167">
      <c r="F167" s="1782"/>
      <c r="G167" s="1792" t="s">
        <v>7369</v>
      </c>
      <c r="H167" s="1793">
        <v>110000.0</v>
      </c>
      <c r="I167" s="126"/>
      <c r="J167" s="1786"/>
    </row>
    <row r="168">
      <c r="F168" s="1782"/>
      <c r="G168" s="1792" t="s">
        <v>7370</v>
      </c>
      <c r="H168" s="1793">
        <v>115000.0</v>
      </c>
      <c r="I168" s="126"/>
      <c r="J168" s="1786"/>
    </row>
    <row r="169">
      <c r="F169" s="284"/>
      <c r="G169" s="285"/>
      <c r="H169" s="285"/>
      <c r="I169" s="285"/>
      <c r="J169" s="286"/>
    </row>
    <row r="170">
      <c r="H170" s="587"/>
    </row>
    <row r="171">
      <c r="F171" s="1780"/>
      <c r="G171" s="282"/>
      <c r="H171" s="1781"/>
      <c r="I171" s="282"/>
      <c r="J171" s="283"/>
    </row>
    <row r="172">
      <c r="F172" s="1782"/>
      <c r="G172" s="1783" t="s">
        <v>7387</v>
      </c>
      <c r="H172" s="1267"/>
      <c r="I172" s="1270"/>
      <c r="J172" s="1786"/>
    </row>
    <row r="173">
      <c r="F173" s="1782"/>
      <c r="G173" s="1792" t="s">
        <v>7367</v>
      </c>
      <c r="H173" s="1793">
        <v>40000.0</v>
      </c>
      <c r="I173" s="1793"/>
      <c r="J173" s="1786"/>
    </row>
    <row r="174">
      <c r="F174" s="1782"/>
      <c r="G174" s="1792" t="s">
        <v>7368</v>
      </c>
      <c r="H174" s="1793">
        <v>50000.0</v>
      </c>
      <c r="I174" s="1793"/>
      <c r="J174" s="1786"/>
    </row>
    <row r="175">
      <c r="F175" s="1782"/>
      <c r="G175" s="1792" t="s">
        <v>7371</v>
      </c>
      <c r="H175" s="1793">
        <v>44000.0</v>
      </c>
      <c r="I175" s="1793"/>
      <c r="J175" s="1786"/>
    </row>
    <row r="176">
      <c r="F176" s="1782"/>
      <c r="G176" s="1792" t="s">
        <v>7374</v>
      </c>
      <c r="H176" s="1793">
        <v>82000.0</v>
      </c>
      <c r="I176" s="1793"/>
      <c r="J176" s="1786"/>
    </row>
    <row r="177">
      <c r="F177" s="1782"/>
      <c r="G177" s="1792" t="s">
        <v>7364</v>
      </c>
      <c r="H177" s="1793">
        <v>60000.0</v>
      </c>
      <c r="I177" s="126"/>
      <c r="J177" s="1786"/>
    </row>
    <row r="178">
      <c r="F178" s="1782"/>
      <c r="G178" s="1792" t="s">
        <v>7365</v>
      </c>
      <c r="H178" s="1793">
        <v>160000.0</v>
      </c>
      <c r="I178" s="126"/>
      <c r="J178" s="1786"/>
    </row>
    <row r="179">
      <c r="F179" s="284"/>
      <c r="G179" s="285"/>
      <c r="H179" s="1805"/>
      <c r="I179" s="285"/>
      <c r="J179" s="286"/>
    </row>
    <row r="180">
      <c r="H180" s="587"/>
    </row>
    <row r="181">
      <c r="F181" s="1780"/>
      <c r="G181" s="282"/>
      <c r="H181" s="1781"/>
      <c r="I181" s="282"/>
      <c r="J181" s="283"/>
    </row>
    <row r="182">
      <c r="F182" s="1782"/>
      <c r="G182" s="1783" t="s">
        <v>7387</v>
      </c>
      <c r="H182" s="1267"/>
      <c r="I182" s="1270"/>
      <c r="J182" s="1786"/>
    </row>
    <row r="183">
      <c r="F183" s="1782"/>
      <c r="G183" s="1792" t="s">
        <v>7367</v>
      </c>
      <c r="H183" s="1793">
        <v>40000.0</v>
      </c>
      <c r="I183" s="1793"/>
      <c r="J183" s="1786"/>
    </row>
    <row r="184">
      <c r="F184" s="1782"/>
      <c r="G184" s="1792" t="s">
        <v>7368</v>
      </c>
      <c r="H184" s="1793">
        <v>50000.0</v>
      </c>
      <c r="I184" s="1793"/>
      <c r="J184" s="1786"/>
    </row>
    <row r="185">
      <c r="F185" s="1782"/>
      <c r="G185" s="1792" t="s">
        <v>7371</v>
      </c>
      <c r="H185" s="1793">
        <v>44000.0</v>
      </c>
      <c r="I185" s="1793"/>
      <c r="J185" s="1786"/>
    </row>
    <row r="186">
      <c r="F186" s="1782"/>
      <c r="G186" s="1792" t="s">
        <v>7374</v>
      </c>
      <c r="H186" s="1793">
        <v>82000.0</v>
      </c>
      <c r="I186" s="1793"/>
      <c r="J186" s="1786"/>
    </row>
    <row r="187">
      <c r="F187" s="1782"/>
      <c r="G187" s="1792" t="s">
        <v>7364</v>
      </c>
      <c r="H187" s="1793">
        <v>60000.0</v>
      </c>
      <c r="I187" s="126"/>
      <c r="J187" s="1786"/>
    </row>
    <row r="188">
      <c r="F188" s="1782"/>
      <c r="G188" s="1792" t="s">
        <v>7365</v>
      </c>
      <c r="H188" s="1793">
        <v>160000.0</v>
      </c>
      <c r="I188" s="126"/>
      <c r="J188" s="1786"/>
    </row>
    <row r="189">
      <c r="F189" s="284"/>
      <c r="G189" s="285"/>
      <c r="H189" s="1805"/>
      <c r="I189" s="285"/>
      <c r="J189" s="286"/>
    </row>
    <row r="190">
      <c r="H190" s="587"/>
    </row>
    <row r="191">
      <c r="F191" s="1780"/>
      <c r="G191" s="282"/>
      <c r="H191" s="1781"/>
      <c r="I191" s="282"/>
      <c r="J191" s="283"/>
    </row>
    <row r="192">
      <c r="F192" s="1782"/>
      <c r="G192" s="1783" t="s">
        <v>7387</v>
      </c>
      <c r="H192" s="1267"/>
      <c r="I192" s="1270"/>
      <c r="J192" s="1786"/>
    </row>
    <row r="193">
      <c r="F193" s="1782"/>
      <c r="G193" s="1792" t="s">
        <v>7367</v>
      </c>
      <c r="H193" s="1793">
        <v>40000.0</v>
      </c>
      <c r="I193" s="1793"/>
      <c r="J193" s="1786"/>
    </row>
    <row r="194">
      <c r="F194" s="1782"/>
      <c r="G194" s="1792" t="s">
        <v>7368</v>
      </c>
      <c r="H194" s="1793">
        <v>50000.0</v>
      </c>
      <c r="I194" s="1793"/>
      <c r="J194" s="1786"/>
    </row>
    <row r="195">
      <c r="F195" s="1782"/>
      <c r="G195" s="1792" t="s">
        <v>7371</v>
      </c>
      <c r="H195" s="1793">
        <v>44000.0</v>
      </c>
      <c r="I195" s="1793"/>
      <c r="J195" s="1786"/>
    </row>
    <row r="196">
      <c r="F196" s="1782"/>
      <c r="G196" s="1792" t="s">
        <v>7374</v>
      </c>
      <c r="H196" s="1793">
        <v>82000.0</v>
      </c>
      <c r="I196" s="1793"/>
      <c r="J196" s="1786"/>
    </row>
    <row r="197">
      <c r="F197" s="1782"/>
      <c r="G197" s="1792" t="s">
        <v>7364</v>
      </c>
      <c r="H197" s="1793">
        <v>60000.0</v>
      </c>
      <c r="I197" s="126"/>
      <c r="J197" s="1786"/>
    </row>
    <row r="198">
      <c r="F198" s="1782"/>
      <c r="G198" s="1792" t="s">
        <v>7365</v>
      </c>
      <c r="H198" s="1793">
        <v>160000.0</v>
      </c>
      <c r="I198" s="126"/>
      <c r="J198" s="1786"/>
    </row>
    <row r="199">
      <c r="F199" s="284"/>
      <c r="G199" s="285"/>
      <c r="H199" s="1805"/>
      <c r="I199" s="285"/>
      <c r="J199" s="286"/>
    </row>
    <row r="200">
      <c r="H200" s="587"/>
    </row>
    <row r="201">
      <c r="H201" s="587"/>
    </row>
    <row r="202">
      <c r="F202" s="1780"/>
      <c r="G202" s="282"/>
      <c r="H202" s="1781"/>
      <c r="I202" s="282"/>
      <c r="J202" s="283"/>
    </row>
    <row r="203">
      <c r="F203" s="1782"/>
      <c r="H203" s="1790" t="s">
        <v>7388</v>
      </c>
      <c r="I203" s="1790" t="s">
        <v>7146</v>
      </c>
      <c r="J203" s="1786"/>
    </row>
    <row r="204">
      <c r="F204" s="1782"/>
      <c r="G204" s="1792" t="s">
        <v>7389</v>
      </c>
      <c r="H204" s="1793">
        <v>1500.0</v>
      </c>
      <c r="I204" s="1793"/>
      <c r="J204" s="1786"/>
    </row>
    <row r="205">
      <c r="F205" s="1782"/>
      <c r="G205" s="1792" t="s">
        <v>7390</v>
      </c>
      <c r="H205" s="1793">
        <v>2500.0</v>
      </c>
      <c r="I205" s="1793"/>
      <c r="J205" s="1786"/>
    </row>
    <row r="206">
      <c r="F206" s="1782"/>
      <c r="G206" s="1792" t="s">
        <v>702</v>
      </c>
      <c r="H206" s="1793">
        <v>2500.0</v>
      </c>
      <c r="I206" s="1793"/>
      <c r="J206" s="1786"/>
    </row>
    <row r="207">
      <c r="F207" s="1782"/>
      <c r="G207" s="1792" t="s">
        <v>7391</v>
      </c>
      <c r="H207" s="1793">
        <v>2000.0</v>
      </c>
      <c r="I207" s="1793"/>
      <c r="J207" s="1786"/>
    </row>
    <row r="208">
      <c r="F208" s="1782"/>
      <c r="G208" s="1792" t="s">
        <v>7392</v>
      </c>
      <c r="H208" s="1793">
        <v>3500.0</v>
      </c>
      <c r="I208" s="1793"/>
      <c r="J208" s="1786"/>
    </row>
    <row r="209">
      <c r="F209" s="1782"/>
      <c r="G209" s="1792" t="s">
        <v>7393</v>
      </c>
      <c r="H209" s="1793">
        <v>1000.0</v>
      </c>
      <c r="I209" s="1793"/>
      <c r="J209" s="1786"/>
    </row>
    <row r="210">
      <c r="F210" s="1782"/>
      <c r="G210" s="1792" t="s">
        <v>7394</v>
      </c>
      <c r="H210" s="1793">
        <v>2000.0</v>
      </c>
      <c r="I210" s="1793">
        <v>18000.0</v>
      </c>
      <c r="J210" s="1786"/>
    </row>
    <row r="211">
      <c r="F211" s="1782"/>
      <c r="G211" s="1792" t="s">
        <v>7395</v>
      </c>
      <c r="H211" s="1793">
        <v>800.0</v>
      </c>
      <c r="I211" s="1793">
        <v>12000.0</v>
      </c>
      <c r="J211" s="1786"/>
    </row>
    <row r="212">
      <c r="F212" s="1782"/>
      <c r="G212" s="1792" t="s">
        <v>7396</v>
      </c>
      <c r="H212" s="1793">
        <v>1500.0</v>
      </c>
      <c r="I212" s="1793">
        <v>20000.0</v>
      </c>
      <c r="J212" s="1786"/>
    </row>
    <row r="213">
      <c r="F213" s="1782"/>
      <c r="G213" s="1792" t="s">
        <v>7397</v>
      </c>
      <c r="H213" s="1793">
        <v>1500.0</v>
      </c>
      <c r="I213" s="1793"/>
      <c r="J213" s="1786"/>
    </row>
    <row r="214">
      <c r="F214" s="1782"/>
      <c r="G214" s="1792" t="s">
        <v>7398</v>
      </c>
      <c r="H214" s="1793">
        <v>1000.0</v>
      </c>
      <c r="I214" s="1793">
        <v>28000.0</v>
      </c>
      <c r="J214" s="1786"/>
    </row>
    <row r="215">
      <c r="F215" s="1782"/>
      <c r="G215" s="1792" t="s">
        <v>725</v>
      </c>
      <c r="H215" s="1793">
        <v>8000.0</v>
      </c>
      <c r="I215" s="1793"/>
      <c r="J215" s="1786"/>
    </row>
    <row r="216">
      <c r="F216" s="1782"/>
      <c r="G216" s="1792" t="s">
        <v>727</v>
      </c>
      <c r="H216" s="1793">
        <v>10000.0</v>
      </c>
      <c r="I216" s="1793"/>
      <c r="J216" s="1786"/>
    </row>
    <row r="217">
      <c r="F217" s="1782"/>
      <c r="G217" s="1792" t="s">
        <v>7399</v>
      </c>
      <c r="H217" s="1793">
        <v>7000.0</v>
      </c>
      <c r="I217" s="1793"/>
      <c r="J217" s="1786"/>
    </row>
    <row r="218">
      <c r="F218" s="284"/>
      <c r="G218" s="285"/>
      <c r="H218" s="1805"/>
      <c r="I218" s="285"/>
      <c r="J218" s="286"/>
    </row>
    <row r="219">
      <c r="H219" s="587"/>
    </row>
    <row r="220">
      <c r="H220" s="587"/>
    </row>
    <row r="221">
      <c r="H221" s="587"/>
    </row>
    <row r="222">
      <c r="H222" s="587"/>
    </row>
    <row r="223">
      <c r="H223" s="587"/>
    </row>
    <row r="224">
      <c r="H224" s="587"/>
    </row>
    <row r="225">
      <c r="H225" s="587"/>
    </row>
    <row r="226">
      <c r="H226" s="587"/>
    </row>
    <row r="227">
      <c r="H227" s="587"/>
    </row>
    <row r="228">
      <c r="H228" s="587"/>
    </row>
    <row r="229">
      <c r="H229" s="587"/>
    </row>
    <row r="230">
      <c r="H230" s="587"/>
    </row>
    <row r="231">
      <c r="H231" s="587"/>
    </row>
    <row r="232">
      <c r="H232" s="587"/>
    </row>
    <row r="233">
      <c r="H233" s="587"/>
    </row>
    <row r="234">
      <c r="H234" s="587"/>
    </row>
    <row r="235">
      <c r="H235" s="587"/>
    </row>
    <row r="236">
      <c r="H236" s="587"/>
    </row>
    <row r="237">
      <c r="H237" s="587"/>
    </row>
    <row r="238">
      <c r="H238" s="587"/>
    </row>
    <row r="239">
      <c r="H239" s="587"/>
    </row>
    <row r="240">
      <c r="H240" s="587"/>
    </row>
    <row r="241">
      <c r="H241" s="587"/>
    </row>
    <row r="242">
      <c r="H242" s="587"/>
    </row>
    <row r="243">
      <c r="H243" s="587"/>
    </row>
    <row r="244">
      <c r="H244" s="587"/>
    </row>
    <row r="245">
      <c r="H245" s="587"/>
    </row>
    <row r="246">
      <c r="H246" s="587"/>
    </row>
    <row r="247">
      <c r="H247" s="587"/>
    </row>
    <row r="248">
      <c r="H248" s="587"/>
    </row>
    <row r="249">
      <c r="H249" s="587"/>
    </row>
    <row r="250">
      <c r="H250" s="587"/>
    </row>
    <row r="251">
      <c r="H251" s="587"/>
    </row>
    <row r="252">
      <c r="H252" s="587"/>
    </row>
    <row r="253">
      <c r="H253" s="587"/>
    </row>
    <row r="254">
      <c r="H254" s="587"/>
    </row>
    <row r="255">
      <c r="H255" s="587"/>
    </row>
    <row r="256">
      <c r="H256" s="587"/>
    </row>
    <row r="257">
      <c r="H257" s="587"/>
    </row>
    <row r="258">
      <c r="H258" s="587"/>
    </row>
    <row r="259">
      <c r="H259" s="587"/>
    </row>
    <row r="260">
      <c r="H260" s="587"/>
    </row>
    <row r="261">
      <c r="H261" s="587"/>
    </row>
    <row r="262">
      <c r="H262" s="587"/>
    </row>
    <row r="263">
      <c r="H263" s="587"/>
    </row>
    <row r="264">
      <c r="H264" s="587"/>
    </row>
    <row r="265">
      <c r="H265" s="587"/>
    </row>
    <row r="266">
      <c r="H266" s="587"/>
    </row>
    <row r="267">
      <c r="H267" s="587"/>
    </row>
    <row r="268">
      <c r="H268" s="587"/>
    </row>
    <row r="269">
      <c r="H269" s="587"/>
    </row>
    <row r="270">
      <c r="H270" s="587"/>
    </row>
    <row r="271">
      <c r="H271" s="587"/>
    </row>
    <row r="272">
      <c r="H272" s="587"/>
    </row>
    <row r="273">
      <c r="H273" s="587"/>
    </row>
    <row r="274">
      <c r="H274" s="587"/>
    </row>
    <row r="275">
      <c r="H275" s="587"/>
    </row>
    <row r="276">
      <c r="H276" s="587"/>
    </row>
    <row r="277">
      <c r="H277" s="587"/>
    </row>
    <row r="278">
      <c r="H278" s="587"/>
    </row>
    <row r="279">
      <c r="H279" s="587"/>
    </row>
    <row r="280">
      <c r="H280" s="587"/>
    </row>
    <row r="281">
      <c r="H281" s="587"/>
    </row>
    <row r="282">
      <c r="H282" s="587"/>
    </row>
    <row r="283">
      <c r="H283" s="587"/>
    </row>
    <row r="284">
      <c r="H284" s="587"/>
    </row>
    <row r="285">
      <c r="H285" s="587"/>
    </row>
    <row r="286">
      <c r="H286" s="587"/>
    </row>
    <row r="287">
      <c r="H287" s="587"/>
    </row>
    <row r="288">
      <c r="H288" s="587"/>
    </row>
    <row r="289">
      <c r="H289" s="587"/>
    </row>
    <row r="290">
      <c r="H290" s="587"/>
    </row>
    <row r="291">
      <c r="H291" s="587"/>
    </row>
    <row r="292">
      <c r="H292" s="587"/>
    </row>
    <row r="293">
      <c r="H293" s="587"/>
    </row>
    <row r="294">
      <c r="H294" s="587"/>
    </row>
    <row r="295">
      <c r="H295" s="587"/>
    </row>
    <row r="296">
      <c r="H296" s="587"/>
    </row>
    <row r="297">
      <c r="H297" s="587"/>
    </row>
    <row r="298">
      <c r="H298" s="587"/>
    </row>
    <row r="299">
      <c r="H299" s="587"/>
    </row>
    <row r="300">
      <c r="H300" s="587"/>
    </row>
    <row r="301">
      <c r="H301" s="587"/>
    </row>
    <row r="302">
      <c r="H302" s="587"/>
    </row>
    <row r="303">
      <c r="H303" s="587"/>
    </row>
    <row r="304">
      <c r="H304" s="587"/>
    </row>
    <row r="305">
      <c r="H305" s="587"/>
    </row>
    <row r="306">
      <c r="H306" s="587"/>
    </row>
    <row r="307">
      <c r="H307" s="587"/>
    </row>
    <row r="308">
      <c r="H308" s="587"/>
    </row>
    <row r="309">
      <c r="H309" s="587"/>
    </row>
    <row r="310">
      <c r="H310" s="587"/>
    </row>
    <row r="311">
      <c r="H311" s="587"/>
    </row>
    <row r="312">
      <c r="H312" s="587"/>
    </row>
    <row r="313">
      <c r="H313" s="587"/>
    </row>
    <row r="314">
      <c r="H314" s="587"/>
    </row>
    <row r="315">
      <c r="H315" s="587"/>
    </row>
    <row r="316">
      <c r="H316" s="587"/>
    </row>
    <row r="317">
      <c r="H317" s="587"/>
    </row>
    <row r="318">
      <c r="H318" s="587"/>
    </row>
    <row r="319">
      <c r="H319" s="587"/>
    </row>
    <row r="320">
      <c r="H320" s="587"/>
    </row>
    <row r="321">
      <c r="H321" s="587"/>
    </row>
    <row r="322">
      <c r="H322" s="587"/>
    </row>
    <row r="323">
      <c r="H323" s="587"/>
    </row>
    <row r="324">
      <c r="H324" s="587"/>
    </row>
    <row r="325">
      <c r="H325" s="587"/>
    </row>
    <row r="326">
      <c r="H326" s="587"/>
    </row>
    <row r="327">
      <c r="H327" s="587"/>
    </row>
    <row r="328">
      <c r="H328" s="587"/>
    </row>
    <row r="329">
      <c r="H329" s="587"/>
    </row>
    <row r="330">
      <c r="H330" s="587"/>
    </row>
    <row r="331">
      <c r="H331" s="587"/>
    </row>
    <row r="332">
      <c r="H332" s="587"/>
    </row>
    <row r="333">
      <c r="H333" s="587"/>
    </row>
    <row r="334">
      <c r="H334" s="587"/>
    </row>
    <row r="335">
      <c r="H335" s="587"/>
    </row>
    <row r="336">
      <c r="H336" s="587"/>
    </row>
    <row r="337">
      <c r="H337" s="587"/>
    </row>
    <row r="338">
      <c r="H338" s="587"/>
    </row>
    <row r="339">
      <c r="H339" s="587"/>
    </row>
    <row r="340">
      <c r="H340" s="587"/>
    </row>
    <row r="341">
      <c r="H341" s="587"/>
    </row>
    <row r="342">
      <c r="H342" s="587"/>
    </row>
    <row r="343">
      <c r="H343" s="587"/>
    </row>
    <row r="344">
      <c r="H344" s="587"/>
    </row>
    <row r="345">
      <c r="H345" s="587"/>
    </row>
    <row r="346">
      <c r="H346" s="587"/>
    </row>
    <row r="347">
      <c r="H347" s="587"/>
    </row>
    <row r="348">
      <c r="H348" s="587"/>
    </row>
    <row r="349">
      <c r="H349" s="587"/>
    </row>
    <row r="350">
      <c r="H350" s="587"/>
    </row>
    <row r="351">
      <c r="H351" s="587"/>
    </row>
    <row r="352">
      <c r="H352" s="587"/>
    </row>
    <row r="353">
      <c r="H353" s="587"/>
    </row>
    <row r="354">
      <c r="H354" s="587"/>
    </row>
    <row r="355">
      <c r="H355" s="587"/>
    </row>
    <row r="356">
      <c r="H356" s="587"/>
    </row>
    <row r="357">
      <c r="H357" s="587"/>
    </row>
    <row r="358">
      <c r="H358" s="587"/>
    </row>
    <row r="359">
      <c r="H359" s="587"/>
    </row>
    <row r="360">
      <c r="H360" s="587"/>
    </row>
    <row r="361">
      <c r="H361" s="587"/>
    </row>
    <row r="362">
      <c r="H362" s="587"/>
    </row>
    <row r="363">
      <c r="H363" s="587"/>
    </row>
    <row r="364">
      <c r="H364" s="587"/>
    </row>
    <row r="365">
      <c r="H365" s="587"/>
    </row>
    <row r="366">
      <c r="H366" s="587"/>
    </row>
    <row r="367">
      <c r="H367" s="587"/>
    </row>
    <row r="368">
      <c r="H368" s="587"/>
    </row>
    <row r="369">
      <c r="H369" s="587"/>
    </row>
    <row r="370">
      <c r="H370" s="587"/>
    </row>
    <row r="371">
      <c r="H371" s="587"/>
    </row>
    <row r="372">
      <c r="H372" s="587"/>
    </row>
    <row r="373">
      <c r="H373" s="587"/>
    </row>
    <row r="374">
      <c r="H374" s="587"/>
    </row>
    <row r="375">
      <c r="H375" s="587"/>
    </row>
    <row r="376">
      <c r="H376" s="587"/>
    </row>
    <row r="377">
      <c r="H377" s="587"/>
    </row>
    <row r="378">
      <c r="H378" s="587"/>
    </row>
    <row r="379">
      <c r="H379" s="587"/>
    </row>
    <row r="380">
      <c r="H380" s="587"/>
    </row>
    <row r="381">
      <c r="H381" s="587"/>
    </row>
    <row r="382">
      <c r="H382" s="587"/>
    </row>
    <row r="383">
      <c r="H383" s="587"/>
    </row>
    <row r="384">
      <c r="H384" s="587"/>
    </row>
    <row r="385">
      <c r="H385" s="587"/>
    </row>
    <row r="386">
      <c r="H386" s="587"/>
    </row>
    <row r="387">
      <c r="H387" s="587"/>
    </row>
    <row r="388">
      <c r="H388" s="587"/>
    </row>
    <row r="389">
      <c r="H389" s="587"/>
    </row>
    <row r="390">
      <c r="H390" s="587"/>
    </row>
    <row r="391">
      <c r="H391" s="587"/>
    </row>
    <row r="392">
      <c r="H392" s="587"/>
    </row>
    <row r="393">
      <c r="H393" s="587"/>
    </row>
    <row r="394">
      <c r="H394" s="587"/>
    </row>
    <row r="395">
      <c r="H395" s="587"/>
    </row>
    <row r="396">
      <c r="H396" s="587"/>
    </row>
    <row r="397">
      <c r="H397" s="587"/>
    </row>
    <row r="398">
      <c r="H398" s="587"/>
    </row>
    <row r="399">
      <c r="H399" s="587"/>
    </row>
    <row r="400">
      <c r="H400" s="587"/>
    </row>
    <row r="401">
      <c r="H401" s="587"/>
    </row>
    <row r="402">
      <c r="H402" s="587"/>
    </row>
    <row r="403">
      <c r="H403" s="587"/>
    </row>
    <row r="404">
      <c r="H404" s="587"/>
    </row>
    <row r="405">
      <c r="H405" s="587"/>
    </row>
    <row r="406">
      <c r="H406" s="587"/>
    </row>
    <row r="407">
      <c r="H407" s="587"/>
    </row>
    <row r="408">
      <c r="H408" s="587"/>
    </row>
    <row r="409">
      <c r="H409" s="587"/>
    </row>
    <row r="410">
      <c r="H410" s="587"/>
    </row>
    <row r="411">
      <c r="H411" s="587"/>
    </row>
    <row r="412">
      <c r="H412" s="587"/>
    </row>
    <row r="413">
      <c r="H413" s="587"/>
    </row>
    <row r="414">
      <c r="H414" s="587"/>
    </row>
    <row r="415">
      <c r="H415" s="587"/>
    </row>
    <row r="416">
      <c r="H416" s="587"/>
    </row>
    <row r="417">
      <c r="H417" s="587"/>
    </row>
    <row r="418">
      <c r="H418" s="587"/>
    </row>
    <row r="419">
      <c r="H419" s="587"/>
    </row>
    <row r="420">
      <c r="H420" s="587"/>
    </row>
    <row r="421">
      <c r="H421" s="587"/>
    </row>
    <row r="422">
      <c r="H422" s="587"/>
    </row>
    <row r="423">
      <c r="H423" s="587"/>
    </row>
    <row r="424">
      <c r="H424" s="587"/>
    </row>
    <row r="425">
      <c r="H425" s="587"/>
    </row>
    <row r="426">
      <c r="H426" s="587"/>
    </row>
    <row r="427">
      <c r="H427" s="587"/>
    </row>
    <row r="428">
      <c r="H428" s="587"/>
    </row>
    <row r="429">
      <c r="H429" s="587"/>
    </row>
    <row r="430">
      <c r="H430" s="587"/>
    </row>
    <row r="431">
      <c r="H431" s="587"/>
    </row>
    <row r="432">
      <c r="H432" s="587"/>
    </row>
    <row r="433">
      <c r="H433" s="587"/>
    </row>
    <row r="434">
      <c r="H434" s="587"/>
    </row>
    <row r="435">
      <c r="H435" s="587"/>
    </row>
    <row r="436">
      <c r="H436" s="587"/>
    </row>
    <row r="437">
      <c r="H437" s="587"/>
    </row>
    <row r="438">
      <c r="H438" s="587"/>
    </row>
    <row r="439">
      <c r="H439" s="587"/>
    </row>
    <row r="440">
      <c r="H440" s="587"/>
    </row>
    <row r="441">
      <c r="H441" s="587"/>
    </row>
    <row r="442">
      <c r="H442" s="587"/>
    </row>
    <row r="443">
      <c r="H443" s="587"/>
    </row>
    <row r="444">
      <c r="H444" s="587"/>
    </row>
    <row r="445">
      <c r="H445" s="587"/>
    </row>
    <row r="446">
      <c r="H446" s="587"/>
    </row>
    <row r="447">
      <c r="H447" s="587"/>
    </row>
    <row r="448">
      <c r="H448" s="587"/>
    </row>
    <row r="449">
      <c r="H449" s="587"/>
    </row>
    <row r="450">
      <c r="H450" s="587"/>
    </row>
    <row r="451">
      <c r="H451" s="587"/>
    </row>
    <row r="452">
      <c r="H452" s="587"/>
    </row>
    <row r="453">
      <c r="H453" s="587"/>
    </row>
    <row r="454">
      <c r="H454" s="587"/>
    </row>
    <row r="455">
      <c r="H455" s="587"/>
    </row>
    <row r="456">
      <c r="H456" s="587"/>
    </row>
    <row r="457">
      <c r="H457" s="587"/>
    </row>
    <row r="458">
      <c r="H458" s="587"/>
    </row>
    <row r="459">
      <c r="H459" s="587"/>
    </row>
    <row r="460">
      <c r="H460" s="587"/>
    </row>
    <row r="461">
      <c r="H461" s="587"/>
    </row>
    <row r="462">
      <c r="H462" s="587"/>
    </row>
    <row r="463">
      <c r="H463" s="587"/>
    </row>
    <row r="464">
      <c r="H464" s="587"/>
    </row>
    <row r="465">
      <c r="H465" s="587"/>
    </row>
    <row r="466">
      <c r="H466" s="587"/>
    </row>
    <row r="467">
      <c r="H467" s="587"/>
    </row>
    <row r="468">
      <c r="H468" s="587"/>
    </row>
    <row r="469">
      <c r="H469" s="587"/>
    </row>
    <row r="470">
      <c r="H470" s="587"/>
    </row>
    <row r="471">
      <c r="H471" s="587"/>
    </row>
    <row r="472">
      <c r="H472" s="587"/>
    </row>
    <row r="473">
      <c r="H473" s="587"/>
    </row>
    <row r="474">
      <c r="H474" s="587"/>
    </row>
    <row r="475">
      <c r="H475" s="587"/>
    </row>
    <row r="476">
      <c r="H476" s="587"/>
    </row>
    <row r="477">
      <c r="H477" s="587"/>
    </row>
    <row r="478">
      <c r="H478" s="587"/>
    </row>
    <row r="479">
      <c r="H479" s="587"/>
    </row>
    <row r="480">
      <c r="H480" s="587"/>
    </row>
    <row r="481">
      <c r="H481" s="587"/>
    </row>
    <row r="482">
      <c r="H482" s="587"/>
    </row>
    <row r="483">
      <c r="H483" s="587"/>
    </row>
    <row r="484">
      <c r="H484" s="587"/>
    </row>
    <row r="485">
      <c r="H485" s="587"/>
    </row>
    <row r="486">
      <c r="H486" s="587"/>
    </row>
    <row r="487">
      <c r="H487" s="587"/>
    </row>
    <row r="488">
      <c r="H488" s="587"/>
    </row>
    <row r="489">
      <c r="H489" s="587"/>
    </row>
    <row r="490">
      <c r="H490" s="587"/>
    </row>
    <row r="491">
      <c r="H491" s="587"/>
    </row>
    <row r="492">
      <c r="H492" s="587"/>
    </row>
    <row r="493">
      <c r="H493" s="587"/>
    </row>
    <row r="494">
      <c r="H494" s="587"/>
    </row>
    <row r="495">
      <c r="H495" s="587"/>
    </row>
    <row r="496">
      <c r="H496" s="587"/>
    </row>
    <row r="497">
      <c r="H497" s="587"/>
    </row>
    <row r="498">
      <c r="H498" s="587"/>
    </row>
    <row r="499">
      <c r="H499" s="587"/>
    </row>
    <row r="500">
      <c r="H500" s="587"/>
    </row>
    <row r="501">
      <c r="H501" s="587"/>
    </row>
    <row r="502">
      <c r="H502" s="587"/>
    </row>
    <row r="503">
      <c r="H503" s="587"/>
    </row>
    <row r="504">
      <c r="H504" s="587"/>
    </row>
    <row r="505">
      <c r="H505" s="587"/>
    </row>
    <row r="506">
      <c r="H506" s="587"/>
    </row>
    <row r="507">
      <c r="H507" s="587"/>
    </row>
    <row r="508">
      <c r="H508" s="587"/>
    </row>
    <row r="509">
      <c r="H509" s="587"/>
    </row>
    <row r="510">
      <c r="H510" s="587"/>
    </row>
    <row r="511">
      <c r="H511" s="587"/>
    </row>
    <row r="512">
      <c r="H512" s="587"/>
    </row>
    <row r="513">
      <c r="H513" s="587"/>
    </row>
    <row r="514">
      <c r="H514" s="587"/>
    </row>
    <row r="515">
      <c r="H515" s="587"/>
    </row>
    <row r="516">
      <c r="H516" s="587"/>
    </row>
    <row r="517">
      <c r="H517" s="587"/>
    </row>
    <row r="518">
      <c r="H518" s="587"/>
    </row>
    <row r="519">
      <c r="H519" s="587"/>
    </row>
    <row r="520">
      <c r="H520" s="587"/>
    </row>
    <row r="521">
      <c r="H521" s="587"/>
    </row>
    <row r="522">
      <c r="H522" s="587"/>
    </row>
    <row r="523">
      <c r="H523" s="587"/>
    </row>
    <row r="524">
      <c r="H524" s="587"/>
    </row>
    <row r="525">
      <c r="H525" s="587"/>
    </row>
    <row r="526">
      <c r="H526" s="587"/>
    </row>
    <row r="527">
      <c r="H527" s="587"/>
    </row>
    <row r="528">
      <c r="H528" s="587"/>
    </row>
    <row r="529">
      <c r="H529" s="587"/>
    </row>
    <row r="530">
      <c r="H530" s="587"/>
    </row>
    <row r="531">
      <c r="H531" s="587"/>
    </row>
    <row r="532">
      <c r="H532" s="587"/>
    </row>
    <row r="533">
      <c r="H533" s="587"/>
    </row>
    <row r="534">
      <c r="H534" s="587"/>
    </row>
    <row r="535">
      <c r="H535" s="587"/>
    </row>
    <row r="536">
      <c r="H536" s="587"/>
    </row>
    <row r="537">
      <c r="H537" s="587"/>
    </row>
    <row r="538">
      <c r="H538" s="587"/>
    </row>
    <row r="539">
      <c r="H539" s="587"/>
    </row>
    <row r="540">
      <c r="H540" s="587"/>
    </row>
    <row r="541">
      <c r="H541" s="587"/>
    </row>
    <row r="542">
      <c r="H542" s="587"/>
    </row>
    <row r="543">
      <c r="H543" s="587"/>
    </row>
    <row r="544">
      <c r="H544" s="587"/>
    </row>
    <row r="545">
      <c r="H545" s="587"/>
    </row>
    <row r="546">
      <c r="H546" s="587"/>
    </row>
    <row r="547">
      <c r="H547" s="587"/>
    </row>
    <row r="548">
      <c r="H548" s="587"/>
    </row>
    <row r="549">
      <c r="H549" s="587"/>
    </row>
    <row r="550">
      <c r="H550" s="587"/>
    </row>
    <row r="551">
      <c r="H551" s="587"/>
    </row>
    <row r="552">
      <c r="H552" s="587"/>
    </row>
    <row r="553">
      <c r="H553" s="587"/>
    </row>
    <row r="554">
      <c r="H554" s="587"/>
    </row>
    <row r="555">
      <c r="H555" s="587"/>
    </row>
    <row r="556">
      <c r="H556" s="587"/>
    </row>
    <row r="557">
      <c r="H557" s="587"/>
    </row>
    <row r="558">
      <c r="H558" s="587"/>
    </row>
    <row r="559">
      <c r="H559" s="587"/>
    </row>
    <row r="560">
      <c r="H560" s="587"/>
    </row>
    <row r="561">
      <c r="H561" s="587"/>
    </row>
    <row r="562">
      <c r="H562" s="587"/>
    </row>
    <row r="563">
      <c r="H563" s="587"/>
    </row>
    <row r="564">
      <c r="H564" s="587"/>
    </row>
    <row r="565">
      <c r="H565" s="587"/>
    </row>
    <row r="566">
      <c r="H566" s="587"/>
    </row>
    <row r="567">
      <c r="H567" s="587"/>
    </row>
    <row r="568">
      <c r="H568" s="587"/>
    </row>
    <row r="569">
      <c r="H569" s="587"/>
    </row>
    <row r="570">
      <c r="H570" s="587"/>
    </row>
    <row r="571">
      <c r="H571" s="587"/>
    </row>
    <row r="572">
      <c r="H572" s="587"/>
    </row>
    <row r="573">
      <c r="H573" s="587"/>
    </row>
    <row r="574">
      <c r="H574" s="587"/>
    </row>
    <row r="575">
      <c r="H575" s="587"/>
    </row>
    <row r="576">
      <c r="H576" s="587"/>
    </row>
    <row r="577">
      <c r="H577" s="587"/>
    </row>
    <row r="578">
      <c r="H578" s="587"/>
    </row>
    <row r="579">
      <c r="H579" s="587"/>
    </row>
    <row r="580">
      <c r="H580" s="587"/>
    </row>
    <row r="581">
      <c r="H581" s="587"/>
    </row>
    <row r="582">
      <c r="H582" s="587"/>
    </row>
    <row r="583">
      <c r="H583" s="587"/>
    </row>
    <row r="584">
      <c r="H584" s="587"/>
    </row>
    <row r="585">
      <c r="H585" s="587"/>
    </row>
    <row r="586">
      <c r="H586" s="587"/>
    </row>
    <row r="587">
      <c r="H587" s="587"/>
    </row>
    <row r="588">
      <c r="H588" s="587"/>
    </row>
    <row r="589">
      <c r="H589" s="587"/>
    </row>
    <row r="590">
      <c r="H590" s="587"/>
    </row>
    <row r="591">
      <c r="H591" s="587"/>
    </row>
    <row r="592">
      <c r="H592" s="587"/>
    </row>
    <row r="593">
      <c r="H593" s="587"/>
    </row>
    <row r="594">
      <c r="H594" s="587"/>
    </row>
    <row r="595">
      <c r="H595" s="587"/>
    </row>
    <row r="596">
      <c r="H596" s="587"/>
    </row>
    <row r="597">
      <c r="H597" s="587"/>
    </row>
    <row r="598">
      <c r="H598" s="587"/>
    </row>
    <row r="599">
      <c r="H599" s="587"/>
    </row>
    <row r="600">
      <c r="H600" s="587"/>
    </row>
    <row r="601">
      <c r="H601" s="587"/>
    </row>
    <row r="602">
      <c r="H602" s="587"/>
    </row>
    <row r="603">
      <c r="H603" s="587"/>
    </row>
    <row r="604">
      <c r="H604" s="587"/>
    </row>
    <row r="605">
      <c r="H605" s="587"/>
    </row>
    <row r="606">
      <c r="H606" s="587"/>
    </row>
    <row r="607">
      <c r="H607" s="587"/>
    </row>
    <row r="608">
      <c r="H608" s="587"/>
    </row>
    <row r="609">
      <c r="H609" s="587"/>
    </row>
    <row r="610">
      <c r="H610" s="587"/>
    </row>
    <row r="611">
      <c r="H611" s="587"/>
    </row>
    <row r="612">
      <c r="H612" s="587"/>
    </row>
    <row r="613">
      <c r="H613" s="587"/>
    </row>
    <row r="614">
      <c r="H614" s="587"/>
    </row>
    <row r="615">
      <c r="H615" s="587"/>
    </row>
    <row r="616">
      <c r="H616" s="587"/>
    </row>
    <row r="617">
      <c r="H617" s="587"/>
    </row>
    <row r="618">
      <c r="H618" s="587"/>
    </row>
    <row r="619">
      <c r="H619" s="587"/>
    </row>
    <row r="620">
      <c r="H620" s="587"/>
    </row>
    <row r="621">
      <c r="H621" s="587"/>
    </row>
    <row r="622">
      <c r="H622" s="587"/>
    </row>
    <row r="623">
      <c r="H623" s="587"/>
    </row>
    <row r="624">
      <c r="H624" s="587"/>
    </row>
    <row r="625">
      <c r="H625" s="587"/>
    </row>
    <row r="626">
      <c r="H626" s="587"/>
    </row>
    <row r="627">
      <c r="H627" s="587"/>
    </row>
    <row r="628">
      <c r="H628" s="587"/>
    </row>
    <row r="629">
      <c r="H629" s="587"/>
    </row>
    <row r="630">
      <c r="H630" s="587"/>
    </row>
    <row r="631">
      <c r="H631" s="587"/>
    </row>
    <row r="632">
      <c r="H632" s="587"/>
    </row>
    <row r="633">
      <c r="H633" s="587"/>
    </row>
    <row r="634">
      <c r="H634" s="587"/>
    </row>
    <row r="635">
      <c r="H635" s="587"/>
    </row>
    <row r="636">
      <c r="H636" s="587"/>
    </row>
    <row r="637">
      <c r="H637" s="587"/>
    </row>
    <row r="638">
      <c r="H638" s="587"/>
    </row>
    <row r="639">
      <c r="H639" s="587"/>
    </row>
    <row r="640">
      <c r="H640" s="587"/>
    </row>
    <row r="641">
      <c r="H641" s="587"/>
    </row>
    <row r="642">
      <c r="H642" s="587"/>
    </row>
    <row r="643">
      <c r="H643" s="587"/>
    </row>
    <row r="644">
      <c r="H644" s="587"/>
    </row>
    <row r="645">
      <c r="H645" s="587"/>
    </row>
    <row r="646">
      <c r="H646" s="587"/>
    </row>
    <row r="647">
      <c r="H647" s="587"/>
    </row>
    <row r="648">
      <c r="H648" s="587"/>
    </row>
    <row r="649">
      <c r="H649" s="587"/>
    </row>
    <row r="650">
      <c r="H650" s="587"/>
    </row>
    <row r="651">
      <c r="H651" s="587"/>
    </row>
    <row r="652">
      <c r="H652" s="587"/>
    </row>
    <row r="653">
      <c r="H653" s="587"/>
    </row>
    <row r="654">
      <c r="H654" s="587"/>
    </row>
    <row r="655">
      <c r="H655" s="587"/>
    </row>
    <row r="656">
      <c r="H656" s="587"/>
    </row>
    <row r="657">
      <c r="H657" s="587"/>
    </row>
    <row r="658">
      <c r="H658" s="587"/>
    </row>
    <row r="659">
      <c r="H659" s="587"/>
    </row>
    <row r="660">
      <c r="H660" s="587"/>
    </row>
    <row r="661">
      <c r="H661" s="587"/>
    </row>
    <row r="662">
      <c r="H662" s="587"/>
    </row>
    <row r="663">
      <c r="H663" s="587"/>
    </row>
    <row r="664">
      <c r="H664" s="587"/>
    </row>
    <row r="665">
      <c r="H665" s="587"/>
    </row>
    <row r="666">
      <c r="H666" s="587"/>
    </row>
    <row r="667">
      <c r="H667" s="587"/>
    </row>
    <row r="668">
      <c r="H668" s="587"/>
    </row>
    <row r="669">
      <c r="H669" s="587"/>
    </row>
    <row r="670">
      <c r="H670" s="587"/>
    </row>
    <row r="671">
      <c r="H671" s="587"/>
    </row>
    <row r="672">
      <c r="H672" s="587"/>
    </row>
    <row r="673">
      <c r="H673" s="587"/>
    </row>
    <row r="674">
      <c r="H674" s="587"/>
    </row>
    <row r="675">
      <c r="H675" s="587"/>
    </row>
    <row r="676">
      <c r="H676" s="587"/>
    </row>
    <row r="677">
      <c r="H677" s="587"/>
    </row>
    <row r="678">
      <c r="H678" s="587"/>
    </row>
    <row r="679">
      <c r="H679" s="587"/>
    </row>
    <row r="680">
      <c r="H680" s="587"/>
    </row>
    <row r="681">
      <c r="H681" s="587"/>
    </row>
    <row r="682">
      <c r="H682" s="587"/>
    </row>
    <row r="683">
      <c r="H683" s="587"/>
    </row>
    <row r="684">
      <c r="H684" s="587"/>
    </row>
    <row r="685">
      <c r="H685" s="587"/>
    </row>
    <row r="686">
      <c r="H686" s="587"/>
    </row>
    <row r="687">
      <c r="H687" s="587"/>
    </row>
    <row r="688">
      <c r="H688" s="587"/>
    </row>
    <row r="689">
      <c r="H689" s="587"/>
    </row>
    <row r="690">
      <c r="H690" s="587"/>
    </row>
    <row r="691">
      <c r="H691" s="587"/>
    </row>
    <row r="692">
      <c r="H692" s="587"/>
    </row>
    <row r="693">
      <c r="H693" s="587"/>
    </row>
    <row r="694">
      <c r="H694" s="587"/>
    </row>
    <row r="695">
      <c r="H695" s="587"/>
    </row>
    <row r="696">
      <c r="H696" s="587"/>
    </row>
    <row r="697">
      <c r="H697" s="587"/>
    </row>
    <row r="698">
      <c r="H698" s="587"/>
    </row>
    <row r="699">
      <c r="H699" s="587"/>
    </row>
    <row r="700">
      <c r="H700" s="587"/>
    </row>
    <row r="701">
      <c r="H701" s="587"/>
    </row>
    <row r="702">
      <c r="H702" s="587"/>
    </row>
    <row r="703">
      <c r="H703" s="587"/>
    </row>
    <row r="704">
      <c r="H704" s="587"/>
    </row>
    <row r="705">
      <c r="H705" s="587"/>
    </row>
    <row r="706">
      <c r="H706" s="587"/>
    </row>
    <row r="707">
      <c r="H707" s="587"/>
    </row>
    <row r="708">
      <c r="H708" s="587"/>
    </row>
    <row r="709">
      <c r="H709" s="587"/>
    </row>
    <row r="710">
      <c r="H710" s="587"/>
    </row>
    <row r="711">
      <c r="H711" s="587"/>
    </row>
    <row r="712">
      <c r="H712" s="587"/>
    </row>
    <row r="713">
      <c r="H713" s="587"/>
    </row>
    <row r="714">
      <c r="H714" s="587"/>
    </row>
    <row r="715">
      <c r="H715" s="587"/>
    </row>
    <row r="716">
      <c r="H716" s="587"/>
    </row>
    <row r="717">
      <c r="H717" s="587"/>
    </row>
    <row r="718">
      <c r="H718" s="587"/>
    </row>
    <row r="719">
      <c r="H719" s="587"/>
    </row>
    <row r="720">
      <c r="H720" s="587"/>
    </row>
    <row r="721">
      <c r="H721" s="587"/>
    </row>
    <row r="722">
      <c r="H722" s="587"/>
    </row>
    <row r="723">
      <c r="H723" s="587"/>
    </row>
    <row r="724">
      <c r="H724" s="587"/>
    </row>
    <row r="725">
      <c r="H725" s="587"/>
    </row>
    <row r="726">
      <c r="H726" s="587"/>
    </row>
    <row r="727">
      <c r="H727" s="587"/>
    </row>
    <row r="728">
      <c r="H728" s="587"/>
    </row>
    <row r="729">
      <c r="H729" s="587"/>
    </row>
    <row r="730">
      <c r="H730" s="587"/>
    </row>
    <row r="731">
      <c r="H731" s="587"/>
    </row>
    <row r="732">
      <c r="H732" s="587"/>
    </row>
    <row r="733">
      <c r="H733" s="587"/>
    </row>
    <row r="734">
      <c r="H734" s="587"/>
    </row>
    <row r="735">
      <c r="H735" s="587"/>
    </row>
    <row r="736">
      <c r="H736" s="587"/>
    </row>
    <row r="737">
      <c r="H737" s="587"/>
    </row>
    <row r="738">
      <c r="H738" s="587"/>
    </row>
    <row r="739">
      <c r="H739" s="587"/>
    </row>
    <row r="740">
      <c r="H740" s="587"/>
    </row>
    <row r="741">
      <c r="H741" s="587"/>
    </row>
    <row r="742">
      <c r="H742" s="587"/>
    </row>
    <row r="743">
      <c r="H743" s="587"/>
    </row>
    <row r="744">
      <c r="H744" s="587"/>
    </row>
    <row r="745">
      <c r="H745" s="587"/>
    </row>
    <row r="746">
      <c r="H746" s="587"/>
    </row>
    <row r="747">
      <c r="H747" s="587"/>
    </row>
    <row r="748">
      <c r="H748" s="587"/>
    </row>
    <row r="749">
      <c r="H749" s="587"/>
    </row>
    <row r="750">
      <c r="H750" s="587"/>
    </row>
    <row r="751">
      <c r="H751" s="587"/>
    </row>
    <row r="752">
      <c r="H752" s="587"/>
    </row>
    <row r="753">
      <c r="H753" s="587"/>
    </row>
    <row r="754">
      <c r="H754" s="587"/>
    </row>
    <row r="755">
      <c r="H755" s="587"/>
    </row>
    <row r="756">
      <c r="H756" s="587"/>
    </row>
    <row r="757">
      <c r="H757" s="587"/>
    </row>
    <row r="758">
      <c r="H758" s="587"/>
    </row>
    <row r="759">
      <c r="H759" s="587"/>
    </row>
    <row r="760">
      <c r="H760" s="587"/>
    </row>
    <row r="761">
      <c r="H761" s="587"/>
    </row>
    <row r="762">
      <c r="H762" s="587"/>
    </row>
    <row r="763">
      <c r="H763" s="587"/>
    </row>
    <row r="764">
      <c r="H764" s="587"/>
    </row>
    <row r="765">
      <c r="H765" s="587"/>
    </row>
    <row r="766">
      <c r="H766" s="587"/>
    </row>
    <row r="767">
      <c r="H767" s="587"/>
    </row>
    <row r="768">
      <c r="H768" s="587"/>
    </row>
    <row r="769">
      <c r="H769" s="587"/>
    </row>
    <row r="770">
      <c r="H770" s="587"/>
    </row>
    <row r="771">
      <c r="H771" s="587"/>
    </row>
    <row r="772">
      <c r="H772" s="587"/>
    </row>
    <row r="773">
      <c r="H773" s="587"/>
    </row>
    <row r="774">
      <c r="H774" s="587"/>
    </row>
    <row r="775">
      <c r="H775" s="587"/>
    </row>
    <row r="776">
      <c r="H776" s="587"/>
    </row>
    <row r="777">
      <c r="H777" s="587"/>
    </row>
    <row r="778">
      <c r="H778" s="587"/>
    </row>
    <row r="779">
      <c r="H779" s="587"/>
    </row>
    <row r="780">
      <c r="H780" s="587"/>
    </row>
    <row r="781">
      <c r="H781" s="587"/>
    </row>
    <row r="782">
      <c r="H782" s="587"/>
    </row>
    <row r="783">
      <c r="H783" s="587"/>
    </row>
    <row r="784">
      <c r="H784" s="587"/>
    </row>
    <row r="785">
      <c r="H785" s="587"/>
    </row>
    <row r="786">
      <c r="H786" s="587"/>
    </row>
    <row r="787">
      <c r="H787" s="587"/>
    </row>
    <row r="788">
      <c r="H788" s="587"/>
    </row>
    <row r="789">
      <c r="H789" s="587"/>
    </row>
    <row r="790">
      <c r="H790" s="587"/>
    </row>
    <row r="791">
      <c r="H791" s="587"/>
    </row>
    <row r="792">
      <c r="H792" s="587"/>
    </row>
    <row r="793">
      <c r="H793" s="587"/>
    </row>
    <row r="794">
      <c r="H794" s="587"/>
    </row>
    <row r="795">
      <c r="H795" s="587"/>
    </row>
    <row r="796">
      <c r="H796" s="587"/>
    </row>
    <row r="797">
      <c r="H797" s="587"/>
    </row>
    <row r="798">
      <c r="H798" s="587"/>
    </row>
    <row r="799">
      <c r="H799" s="587"/>
    </row>
    <row r="800">
      <c r="H800" s="587"/>
    </row>
    <row r="801">
      <c r="H801" s="587"/>
    </row>
    <row r="802">
      <c r="H802" s="587"/>
    </row>
    <row r="803">
      <c r="H803" s="587"/>
    </row>
    <row r="804">
      <c r="H804" s="587"/>
    </row>
    <row r="805">
      <c r="H805" s="587"/>
    </row>
    <row r="806">
      <c r="H806" s="587"/>
    </row>
    <row r="807">
      <c r="H807" s="587"/>
    </row>
    <row r="808">
      <c r="H808" s="587"/>
    </row>
    <row r="809">
      <c r="H809" s="587"/>
    </row>
    <row r="810">
      <c r="H810" s="587"/>
    </row>
    <row r="811">
      <c r="H811" s="587"/>
    </row>
    <row r="812">
      <c r="H812" s="587"/>
    </row>
    <row r="813">
      <c r="H813" s="587"/>
    </row>
    <row r="814">
      <c r="H814" s="587"/>
    </row>
    <row r="815">
      <c r="H815" s="587"/>
    </row>
    <row r="816">
      <c r="H816" s="587"/>
    </row>
    <row r="817">
      <c r="H817" s="587"/>
    </row>
    <row r="818">
      <c r="H818" s="587"/>
    </row>
    <row r="819">
      <c r="H819" s="587"/>
    </row>
    <row r="820">
      <c r="H820" s="587"/>
    </row>
    <row r="821">
      <c r="H821" s="587"/>
    </row>
    <row r="822">
      <c r="H822" s="587"/>
    </row>
    <row r="823">
      <c r="H823" s="587"/>
    </row>
    <row r="824">
      <c r="H824" s="587"/>
    </row>
    <row r="825">
      <c r="H825" s="587"/>
    </row>
    <row r="826">
      <c r="H826" s="587"/>
    </row>
    <row r="827">
      <c r="H827" s="587"/>
    </row>
    <row r="828">
      <c r="H828" s="587"/>
    </row>
    <row r="829">
      <c r="H829" s="587"/>
    </row>
    <row r="830">
      <c r="H830" s="587"/>
    </row>
    <row r="831">
      <c r="H831" s="587"/>
    </row>
    <row r="832">
      <c r="H832" s="587"/>
    </row>
    <row r="833">
      <c r="H833" s="587"/>
    </row>
    <row r="834">
      <c r="H834" s="587"/>
    </row>
    <row r="835">
      <c r="H835" s="587"/>
    </row>
    <row r="836">
      <c r="H836" s="587"/>
    </row>
    <row r="837">
      <c r="H837" s="587"/>
    </row>
    <row r="838">
      <c r="H838" s="587"/>
    </row>
    <row r="839">
      <c r="H839" s="587"/>
    </row>
    <row r="840">
      <c r="H840" s="587"/>
    </row>
    <row r="841">
      <c r="H841" s="587"/>
    </row>
    <row r="842">
      <c r="H842" s="587"/>
    </row>
    <row r="843">
      <c r="H843" s="587"/>
    </row>
    <row r="844">
      <c r="H844" s="587"/>
    </row>
    <row r="845">
      <c r="H845" s="587"/>
    </row>
    <row r="846">
      <c r="H846" s="587"/>
    </row>
    <row r="847">
      <c r="H847" s="587"/>
    </row>
    <row r="848">
      <c r="H848" s="587"/>
    </row>
    <row r="849">
      <c r="H849" s="587"/>
    </row>
    <row r="850">
      <c r="H850" s="587"/>
    </row>
    <row r="851">
      <c r="H851" s="587"/>
    </row>
    <row r="852">
      <c r="H852" s="587"/>
    </row>
    <row r="853">
      <c r="H853" s="587"/>
    </row>
    <row r="854">
      <c r="H854" s="587"/>
    </row>
    <row r="855">
      <c r="H855" s="587"/>
    </row>
    <row r="856">
      <c r="H856" s="587"/>
    </row>
    <row r="857">
      <c r="H857" s="587"/>
    </row>
    <row r="858">
      <c r="H858" s="587"/>
    </row>
    <row r="859">
      <c r="H859" s="587"/>
    </row>
  </sheetData>
  <mergeCells count="33">
    <mergeCell ref="Y2:Z2"/>
    <mergeCell ref="AA2:AC2"/>
    <mergeCell ref="AD2:AE2"/>
    <mergeCell ref="G3:I3"/>
    <mergeCell ref="M3:O3"/>
    <mergeCell ref="Z3:Z4"/>
    <mergeCell ref="AA3:AA4"/>
    <mergeCell ref="Y3:Y4"/>
    <mergeCell ref="Y10:Y11"/>
    <mergeCell ref="AC10:AC11"/>
    <mergeCell ref="B14:C14"/>
    <mergeCell ref="G18:I18"/>
    <mergeCell ref="B21:C21"/>
    <mergeCell ref="B28:C28"/>
    <mergeCell ref="M22:O22"/>
    <mergeCell ref="M31:O31"/>
    <mergeCell ref="G33:I33"/>
    <mergeCell ref="G42:I42"/>
    <mergeCell ref="G45:I45"/>
    <mergeCell ref="G49:I49"/>
    <mergeCell ref="M58:O58"/>
    <mergeCell ref="G142:I142"/>
    <mergeCell ref="G156:I156"/>
    <mergeCell ref="G172:I172"/>
    <mergeCell ref="G182:I182"/>
    <mergeCell ref="G192:I192"/>
    <mergeCell ref="G55:I55"/>
    <mergeCell ref="B70:C70"/>
    <mergeCell ref="B78:C78"/>
    <mergeCell ref="G78:I78"/>
    <mergeCell ref="G93:I93"/>
    <mergeCell ref="G108:I108"/>
    <mergeCell ref="G121:I121"/>
  </mergeCells>
  <conditionalFormatting sqref="B100">
    <cfRule type="notContainsBlanks" dxfId="1" priority="1">
      <formula>LEN(TRIM(B100))&gt;0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2.75"/>
    <col customWidth="1" min="2" max="2" width="21.75"/>
    <col customWidth="1" min="3" max="3" width="20.0"/>
    <col customWidth="1" min="4" max="4" width="8.63"/>
    <col customWidth="1" min="5" max="5" width="23.38"/>
    <col customWidth="1" min="6" max="6" width="6.75"/>
    <col customWidth="1" min="7" max="7" width="20.38"/>
    <col customWidth="1" min="8" max="8" width="20.75"/>
    <col customWidth="1" min="9" max="9" width="20.5"/>
    <col customWidth="1" min="10" max="10" width="3.0"/>
    <col customWidth="1" min="11" max="11" width="18.5"/>
  </cols>
  <sheetData>
    <row r="1">
      <c r="A1" s="1833"/>
      <c r="B1" s="1834"/>
      <c r="C1" s="1834"/>
      <c r="D1" s="1834"/>
      <c r="E1" s="1834"/>
      <c r="F1" s="1835"/>
      <c r="G1" s="307"/>
      <c r="H1" s="307"/>
      <c r="I1" s="307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</row>
    <row r="2">
      <c r="A2" s="1836"/>
      <c r="B2" s="1837" t="s">
        <v>7400</v>
      </c>
      <c r="C2" s="1838" t="s">
        <v>7401</v>
      </c>
      <c r="D2" s="1838" t="s">
        <v>7402</v>
      </c>
      <c r="E2" s="1839" t="s">
        <v>7403</v>
      </c>
      <c r="F2" s="371"/>
      <c r="G2" s="1840" t="s">
        <v>7404</v>
      </c>
      <c r="H2" s="375"/>
      <c r="I2" s="376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</row>
    <row r="3">
      <c r="A3" s="1841"/>
      <c r="B3" s="1842" t="s">
        <v>7405</v>
      </c>
      <c r="C3" s="1843">
        <v>5.02022907E8</v>
      </c>
      <c r="D3" s="1843" t="s">
        <v>7406</v>
      </c>
      <c r="E3" s="1844" t="s">
        <v>3207</v>
      </c>
      <c r="F3" s="371"/>
      <c r="G3" s="1845"/>
      <c r="H3" s="1843" t="s">
        <v>7407</v>
      </c>
      <c r="I3" s="1844" t="s">
        <v>7408</v>
      </c>
      <c r="J3" s="371"/>
      <c r="K3" s="1846" t="s">
        <v>7409</v>
      </c>
      <c r="L3" s="371"/>
      <c r="M3" s="371"/>
      <c r="N3" s="371"/>
      <c r="O3" s="371"/>
      <c r="P3" s="371"/>
      <c r="Q3" s="371"/>
      <c r="R3" s="371"/>
      <c r="S3" s="371"/>
      <c r="T3" s="371"/>
    </row>
    <row r="4">
      <c r="A4" s="1841"/>
      <c r="B4" s="1842" t="s">
        <v>7405</v>
      </c>
      <c r="C4" s="1843">
        <v>5.01010243E8</v>
      </c>
      <c r="D4" s="1843" t="s">
        <v>7410</v>
      </c>
      <c r="E4" s="1844" t="s">
        <v>3207</v>
      </c>
      <c r="F4" s="371"/>
      <c r="G4" s="1842" t="s">
        <v>7411</v>
      </c>
      <c r="H4" s="1843" t="s">
        <v>7412</v>
      </c>
      <c r="I4" s="1844" t="s">
        <v>7413</v>
      </c>
      <c r="J4" s="371"/>
      <c r="K4" s="1847" t="s">
        <v>7414</v>
      </c>
      <c r="L4" s="371"/>
      <c r="M4" s="371"/>
      <c r="N4" s="371"/>
      <c r="O4" s="371"/>
      <c r="P4" s="371"/>
      <c r="Q4" s="371"/>
      <c r="R4" s="371"/>
      <c r="S4" s="371"/>
      <c r="T4" s="371"/>
    </row>
    <row r="5">
      <c r="A5" s="1841"/>
      <c r="B5" s="1842" t="s">
        <v>7415</v>
      </c>
      <c r="C5" s="1843" t="s">
        <v>7416</v>
      </c>
      <c r="D5" s="1843" t="s">
        <v>7406</v>
      </c>
      <c r="E5" s="1844" t="s">
        <v>3207</v>
      </c>
      <c r="F5" s="371"/>
      <c r="G5" s="1848" t="s">
        <v>7417</v>
      </c>
      <c r="H5" s="1849" t="s">
        <v>7412</v>
      </c>
      <c r="I5" s="1850" t="s">
        <v>7418</v>
      </c>
      <c r="J5" s="371"/>
      <c r="K5" s="1851" t="s">
        <v>7419</v>
      </c>
      <c r="L5" s="371"/>
      <c r="M5" s="371"/>
      <c r="N5" s="371"/>
      <c r="O5" s="371"/>
      <c r="P5" s="371"/>
      <c r="Q5" s="371"/>
      <c r="R5" s="371"/>
      <c r="S5" s="371"/>
      <c r="T5" s="371"/>
    </row>
    <row r="6">
      <c r="A6" s="1841"/>
      <c r="B6" s="1848" t="s">
        <v>7415</v>
      </c>
      <c r="C6" s="1849" t="s">
        <v>7420</v>
      </c>
      <c r="D6" s="1849" t="s">
        <v>7406</v>
      </c>
      <c r="E6" s="1850" t="s">
        <v>7421</v>
      </c>
      <c r="F6" s="371"/>
      <c r="G6" s="307"/>
      <c r="H6" s="307"/>
      <c r="I6" s="307"/>
      <c r="J6" s="371"/>
      <c r="K6" s="371"/>
      <c r="L6" s="371"/>
      <c r="M6" s="371"/>
      <c r="N6" s="371"/>
      <c r="O6" s="371"/>
      <c r="P6" s="371"/>
      <c r="Q6" s="371"/>
      <c r="R6" s="371"/>
      <c r="S6" s="371"/>
      <c r="T6" s="371"/>
    </row>
    <row r="7">
      <c r="A7" s="307"/>
      <c r="B7" s="307"/>
      <c r="C7" s="307"/>
      <c r="D7" s="307"/>
      <c r="E7" s="307"/>
      <c r="F7" s="371"/>
      <c r="G7" s="307"/>
      <c r="H7" s="307"/>
      <c r="I7" s="307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</row>
    <row r="8">
      <c r="A8" s="1852"/>
      <c r="B8" s="307"/>
      <c r="C8" s="307"/>
      <c r="D8" s="307"/>
      <c r="E8" s="307"/>
      <c r="F8" s="371"/>
      <c r="G8" s="307"/>
      <c r="H8" s="307"/>
      <c r="I8" s="307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</row>
    <row r="9">
      <c r="A9" s="1852"/>
      <c r="B9" s="371"/>
      <c r="C9" s="307"/>
      <c r="D9" s="371"/>
      <c r="E9" s="371"/>
      <c r="F9" s="371"/>
      <c r="G9" s="307"/>
      <c r="H9" s="307"/>
      <c r="I9" s="307"/>
      <c r="J9" s="371"/>
      <c r="K9" s="371"/>
      <c r="L9" s="371"/>
      <c r="M9" s="371"/>
      <c r="N9" s="371"/>
      <c r="O9" s="371"/>
      <c r="P9" s="371"/>
      <c r="Q9" s="371"/>
      <c r="R9" s="371"/>
      <c r="S9" s="371"/>
      <c r="T9" s="371"/>
    </row>
    <row r="10">
      <c r="A10" s="307"/>
      <c r="B10" s="371"/>
      <c r="C10" s="307"/>
      <c r="D10" s="371"/>
      <c r="E10" s="371"/>
      <c r="F10" s="371"/>
      <c r="G10" s="307"/>
      <c r="H10" s="307"/>
      <c r="I10" s="307"/>
      <c r="J10" s="371"/>
      <c r="K10" s="371"/>
      <c r="L10" s="371"/>
      <c r="M10" s="371"/>
      <c r="N10" s="371"/>
      <c r="O10" s="371"/>
      <c r="P10" s="371"/>
      <c r="Q10" s="371"/>
      <c r="R10" s="371"/>
      <c r="S10" s="371"/>
      <c r="T10" s="371"/>
    </row>
    <row r="11">
      <c r="A11" s="307"/>
      <c r="B11" s="371"/>
      <c r="C11" s="307"/>
      <c r="D11" s="371"/>
      <c r="E11" s="371"/>
      <c r="F11" s="371"/>
      <c r="G11" s="307"/>
      <c r="H11" s="307"/>
      <c r="I11" s="307"/>
      <c r="J11" s="371"/>
      <c r="K11" s="371"/>
      <c r="L11" s="371"/>
      <c r="M11" s="371"/>
      <c r="N11" s="371"/>
      <c r="O11" s="371"/>
      <c r="P11" s="371"/>
      <c r="Q11" s="371"/>
      <c r="R11" s="371"/>
      <c r="S11" s="371"/>
      <c r="T11" s="371"/>
    </row>
    <row r="12">
      <c r="A12" s="307"/>
      <c r="B12" s="371"/>
      <c r="C12" s="307"/>
      <c r="D12" s="371"/>
      <c r="E12" s="371"/>
      <c r="F12" s="371"/>
      <c r="G12" s="307"/>
      <c r="H12" s="307"/>
      <c r="I12" s="307"/>
      <c r="J12" s="371"/>
      <c r="K12" s="371"/>
      <c r="L12" s="371"/>
      <c r="M12" s="371"/>
      <c r="N12" s="371"/>
      <c r="O12" s="371"/>
      <c r="P12" s="371"/>
      <c r="Q12" s="371"/>
      <c r="R12" s="371"/>
      <c r="S12" s="371"/>
      <c r="T12" s="371"/>
    </row>
    <row r="13">
      <c r="A13" s="307"/>
      <c r="B13" s="371"/>
      <c r="C13" s="307"/>
      <c r="D13" s="371"/>
      <c r="E13" s="371"/>
      <c r="F13" s="371"/>
      <c r="G13" s="307"/>
      <c r="H13" s="307"/>
      <c r="I13" s="307"/>
      <c r="J13" s="371"/>
      <c r="K13" s="371"/>
      <c r="L13" s="371"/>
      <c r="M13" s="371"/>
      <c r="N13" s="371"/>
      <c r="O13" s="371"/>
      <c r="P13" s="371"/>
      <c r="Q13" s="371"/>
      <c r="R13" s="371"/>
      <c r="S13" s="371"/>
      <c r="T13" s="371"/>
    </row>
    <row r="14">
      <c r="A14" s="307"/>
      <c r="B14" s="371"/>
      <c r="C14" s="307"/>
      <c r="D14" s="371"/>
      <c r="E14" s="371"/>
      <c r="F14" s="371"/>
      <c r="G14" s="307"/>
      <c r="H14" s="307"/>
      <c r="I14" s="307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</row>
    <row r="15">
      <c r="A15" s="307"/>
      <c r="B15" s="371"/>
      <c r="C15" s="307"/>
      <c r="D15" s="371"/>
      <c r="E15" s="371"/>
      <c r="F15" s="371"/>
      <c r="G15" s="307"/>
      <c r="H15" s="307"/>
      <c r="I15" s="307"/>
      <c r="J15" s="371"/>
      <c r="K15" s="371"/>
      <c r="L15" s="371"/>
      <c r="M15" s="371"/>
      <c r="N15" s="371"/>
      <c r="O15" s="371"/>
      <c r="P15" s="371"/>
      <c r="Q15" s="371"/>
      <c r="R15" s="371"/>
      <c r="S15" s="371"/>
      <c r="T15" s="371"/>
    </row>
    <row r="16">
      <c r="A16" s="307"/>
      <c r="B16" s="307"/>
      <c r="C16" s="307"/>
      <c r="D16" s="307"/>
      <c r="E16" s="307"/>
      <c r="F16" s="371"/>
      <c r="G16" s="307"/>
      <c r="H16" s="307"/>
      <c r="I16" s="307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</row>
    <row r="17">
      <c r="A17" s="307"/>
      <c r="B17" s="307"/>
      <c r="C17" s="307"/>
      <c r="D17" s="307"/>
      <c r="E17" s="307"/>
      <c r="F17" s="371"/>
      <c r="G17" s="307"/>
      <c r="H17" s="307"/>
      <c r="I17" s="307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</row>
    <row r="18">
      <c r="A18" s="307"/>
      <c r="B18" s="307"/>
      <c r="C18" s="307"/>
      <c r="D18" s="307"/>
      <c r="E18" s="307"/>
      <c r="F18" s="371"/>
      <c r="G18" s="307"/>
      <c r="H18" s="307"/>
      <c r="I18" s="307"/>
      <c r="J18" s="371"/>
      <c r="K18" s="371"/>
      <c r="L18" s="371"/>
      <c r="M18" s="371"/>
      <c r="N18" s="371"/>
      <c r="O18" s="371"/>
      <c r="P18" s="371"/>
      <c r="Q18" s="371"/>
      <c r="R18" s="371"/>
      <c r="S18" s="371"/>
      <c r="T18" s="371"/>
    </row>
    <row r="19">
      <c r="A19" s="307"/>
      <c r="B19" s="307"/>
      <c r="C19" s="307"/>
      <c r="D19" s="307"/>
      <c r="E19" s="307"/>
      <c r="F19" s="371"/>
      <c r="G19" s="307"/>
      <c r="H19" s="307"/>
      <c r="I19" s="307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</row>
    <row r="20">
      <c r="A20" s="307"/>
      <c r="B20" s="307"/>
      <c r="C20" s="307"/>
      <c r="D20" s="307"/>
      <c r="E20" s="307"/>
      <c r="F20" s="371"/>
      <c r="G20" s="307"/>
      <c r="H20" s="307"/>
      <c r="I20" s="307"/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</row>
    <row r="21">
      <c r="A21" s="307"/>
      <c r="B21" s="307"/>
      <c r="C21" s="307"/>
      <c r="D21" s="307"/>
      <c r="E21" s="307"/>
      <c r="F21" s="371"/>
      <c r="G21" s="307"/>
      <c r="H21" s="307"/>
      <c r="I21" s="307"/>
      <c r="J21" s="371"/>
      <c r="K21" s="371"/>
      <c r="L21" s="371"/>
      <c r="M21" s="371"/>
      <c r="N21" s="371"/>
      <c r="O21" s="371"/>
      <c r="P21" s="371"/>
      <c r="Q21" s="371"/>
      <c r="R21" s="371"/>
      <c r="S21" s="371"/>
      <c r="T21" s="371"/>
    </row>
    <row r="22">
      <c r="A22" s="307"/>
      <c r="B22" s="307"/>
      <c r="C22" s="307"/>
      <c r="D22" s="307"/>
      <c r="E22" s="307"/>
      <c r="F22" s="371"/>
      <c r="G22" s="307"/>
      <c r="H22" s="307"/>
      <c r="I22" s="307"/>
      <c r="J22" s="371"/>
      <c r="K22" s="371"/>
      <c r="L22" s="371"/>
      <c r="M22" s="371"/>
      <c r="N22" s="371"/>
      <c r="O22" s="371"/>
      <c r="P22" s="371"/>
      <c r="Q22" s="371"/>
      <c r="R22" s="371"/>
      <c r="S22" s="371"/>
      <c r="T22" s="371"/>
    </row>
    <row r="23">
      <c r="A23" s="307"/>
      <c r="B23" s="307"/>
      <c r="C23" s="307"/>
      <c r="D23" s="307"/>
      <c r="E23" s="307"/>
      <c r="F23" s="371"/>
      <c r="G23" s="307"/>
      <c r="H23" s="307"/>
      <c r="I23" s="307"/>
      <c r="J23" s="371"/>
      <c r="K23" s="371"/>
      <c r="L23" s="371"/>
      <c r="M23" s="371"/>
      <c r="N23" s="371"/>
      <c r="O23" s="371"/>
      <c r="P23" s="371"/>
      <c r="Q23" s="371"/>
      <c r="R23" s="371"/>
      <c r="S23" s="371"/>
      <c r="T23" s="371"/>
    </row>
    <row r="24">
      <c r="A24" s="307"/>
      <c r="B24" s="307"/>
      <c r="C24" s="307"/>
      <c r="D24" s="307"/>
      <c r="E24" s="307"/>
      <c r="F24" s="371"/>
      <c r="G24" s="307"/>
      <c r="H24" s="307"/>
      <c r="I24" s="307"/>
      <c r="J24" s="371"/>
      <c r="K24" s="371"/>
      <c r="L24" s="371"/>
      <c r="M24" s="371"/>
      <c r="N24" s="371"/>
      <c r="O24" s="371"/>
      <c r="P24" s="371"/>
      <c r="Q24" s="371"/>
      <c r="R24" s="371"/>
      <c r="S24" s="371"/>
      <c r="T24" s="371"/>
    </row>
    <row r="25">
      <c r="A25" s="307"/>
      <c r="B25" s="307"/>
      <c r="C25" s="307"/>
      <c r="D25" s="307"/>
      <c r="E25" s="307"/>
      <c r="F25" s="371"/>
      <c r="G25" s="307"/>
      <c r="H25" s="307"/>
      <c r="I25" s="307"/>
      <c r="J25" s="371"/>
      <c r="K25" s="371"/>
      <c r="L25" s="371"/>
      <c r="M25" s="371"/>
      <c r="N25" s="371"/>
      <c r="O25" s="371"/>
      <c r="P25" s="371"/>
      <c r="Q25" s="371"/>
      <c r="R25" s="371"/>
      <c r="S25" s="371"/>
      <c r="T25" s="371"/>
    </row>
    <row r="26">
      <c r="A26" s="307"/>
      <c r="B26" s="307"/>
      <c r="C26" s="307"/>
      <c r="D26" s="307"/>
      <c r="E26" s="307"/>
      <c r="F26" s="371"/>
      <c r="G26" s="307"/>
      <c r="H26" s="307"/>
      <c r="I26" s="307"/>
      <c r="J26" s="371"/>
      <c r="K26" s="371"/>
      <c r="L26" s="371"/>
      <c r="M26" s="371"/>
      <c r="N26" s="371"/>
      <c r="O26" s="371"/>
      <c r="P26" s="371"/>
      <c r="Q26" s="371"/>
      <c r="R26" s="371"/>
      <c r="S26" s="371"/>
      <c r="T26" s="371"/>
    </row>
    <row r="27">
      <c r="A27" s="307"/>
      <c r="B27" s="307"/>
      <c r="C27" s="307"/>
      <c r="D27" s="307"/>
      <c r="E27" s="307"/>
      <c r="F27" s="371"/>
      <c r="G27" s="307"/>
      <c r="H27" s="307"/>
      <c r="I27" s="307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</row>
    <row r="28">
      <c r="A28" s="307"/>
      <c r="B28" s="307"/>
      <c r="C28" s="307"/>
      <c r="D28" s="307"/>
      <c r="E28" s="307"/>
      <c r="F28" s="371"/>
      <c r="G28" s="307"/>
      <c r="H28" s="307"/>
      <c r="I28" s="307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1"/>
    </row>
    <row r="29">
      <c r="A29" s="307"/>
      <c r="B29" s="307"/>
      <c r="C29" s="307"/>
      <c r="D29" s="307"/>
      <c r="E29" s="307"/>
      <c r="F29" s="371"/>
      <c r="G29" s="307"/>
      <c r="H29" s="307"/>
      <c r="I29" s="307"/>
      <c r="J29" s="371"/>
      <c r="K29" s="371"/>
      <c r="L29" s="371"/>
      <c r="M29" s="371"/>
      <c r="N29" s="371"/>
      <c r="O29" s="371"/>
      <c r="P29" s="371"/>
      <c r="Q29" s="371"/>
      <c r="R29" s="371"/>
      <c r="S29" s="371"/>
      <c r="T29" s="371"/>
    </row>
    <row r="30">
      <c r="A30" s="307"/>
      <c r="B30" s="307"/>
      <c r="C30" s="307"/>
      <c r="D30" s="307"/>
      <c r="E30" s="307"/>
      <c r="F30" s="371"/>
      <c r="G30" s="307"/>
      <c r="H30" s="307"/>
      <c r="I30" s="307"/>
      <c r="J30" s="371"/>
      <c r="K30" s="371"/>
      <c r="L30" s="371"/>
      <c r="M30" s="371"/>
      <c r="N30" s="371"/>
      <c r="O30" s="371"/>
      <c r="P30" s="371"/>
      <c r="Q30" s="371"/>
      <c r="R30" s="371"/>
      <c r="S30" s="371"/>
      <c r="T30" s="371"/>
    </row>
    <row r="31">
      <c r="A31" s="307"/>
      <c r="B31" s="307"/>
      <c r="C31" s="307"/>
      <c r="D31" s="307"/>
      <c r="E31" s="307"/>
      <c r="F31" s="371"/>
      <c r="G31" s="307"/>
      <c r="H31" s="307"/>
      <c r="I31" s="307"/>
      <c r="J31" s="371"/>
      <c r="K31" s="371"/>
      <c r="L31" s="371"/>
      <c r="M31" s="371"/>
      <c r="N31" s="371"/>
      <c r="O31" s="371"/>
      <c r="P31" s="371"/>
      <c r="Q31" s="371"/>
      <c r="R31" s="371"/>
      <c r="S31" s="371"/>
      <c r="T31" s="371"/>
    </row>
    <row r="32">
      <c r="A32" s="307"/>
      <c r="B32" s="307"/>
      <c r="C32" s="307"/>
      <c r="D32" s="307"/>
      <c r="E32" s="307"/>
      <c r="F32" s="371"/>
      <c r="G32" s="307"/>
      <c r="H32" s="307"/>
      <c r="I32" s="307"/>
      <c r="J32" s="371"/>
      <c r="K32" s="371"/>
      <c r="L32" s="371"/>
      <c r="M32" s="371"/>
      <c r="N32" s="371"/>
      <c r="O32" s="371"/>
      <c r="P32" s="371"/>
      <c r="Q32" s="371"/>
      <c r="R32" s="371"/>
      <c r="S32" s="371"/>
      <c r="T32" s="371"/>
    </row>
    <row r="33">
      <c r="A33" s="307"/>
      <c r="B33" s="307"/>
      <c r="C33" s="307"/>
      <c r="D33" s="307"/>
      <c r="E33" s="307"/>
      <c r="F33" s="371"/>
      <c r="G33" s="307"/>
      <c r="H33" s="307"/>
      <c r="I33" s="307"/>
      <c r="J33" s="371"/>
      <c r="K33" s="371"/>
      <c r="L33" s="371"/>
      <c r="M33" s="371"/>
      <c r="N33" s="371"/>
      <c r="O33" s="371"/>
      <c r="P33" s="371"/>
      <c r="Q33" s="371"/>
      <c r="R33" s="371"/>
      <c r="S33" s="371"/>
      <c r="T33" s="371"/>
    </row>
    <row r="34">
      <c r="A34" s="307"/>
      <c r="B34" s="307"/>
      <c r="C34" s="307"/>
      <c r="D34" s="307"/>
      <c r="E34" s="307"/>
      <c r="F34" s="371"/>
      <c r="G34" s="307"/>
      <c r="H34" s="307"/>
      <c r="I34" s="307"/>
      <c r="J34" s="371"/>
      <c r="K34" s="371"/>
      <c r="L34" s="371"/>
      <c r="M34" s="371"/>
      <c r="N34" s="371"/>
      <c r="O34" s="371"/>
      <c r="P34" s="371"/>
      <c r="Q34" s="371"/>
      <c r="R34" s="371"/>
      <c r="S34" s="371"/>
      <c r="T34" s="371"/>
    </row>
    <row r="35">
      <c r="A35" s="307"/>
      <c r="B35" s="307"/>
      <c r="C35" s="307"/>
      <c r="D35" s="307"/>
      <c r="E35" s="307"/>
      <c r="F35" s="371"/>
      <c r="G35" s="307"/>
      <c r="H35" s="307"/>
      <c r="I35" s="307"/>
      <c r="J35" s="371"/>
      <c r="K35" s="371"/>
      <c r="L35" s="371"/>
      <c r="M35" s="371"/>
      <c r="N35" s="371"/>
      <c r="O35" s="371"/>
      <c r="P35" s="371"/>
      <c r="Q35" s="371"/>
      <c r="R35" s="371"/>
      <c r="S35" s="371"/>
      <c r="T35" s="371"/>
    </row>
    <row r="36">
      <c r="A36" s="307"/>
      <c r="B36" s="307"/>
      <c r="C36" s="307"/>
      <c r="D36" s="307"/>
      <c r="E36" s="307"/>
      <c r="F36" s="371"/>
      <c r="G36" s="307"/>
      <c r="H36" s="307"/>
      <c r="I36" s="307"/>
      <c r="J36" s="371"/>
      <c r="K36" s="371"/>
      <c r="L36" s="371"/>
      <c r="M36" s="371"/>
      <c r="N36" s="371"/>
      <c r="O36" s="371"/>
      <c r="P36" s="371"/>
      <c r="Q36" s="371"/>
      <c r="R36" s="371"/>
      <c r="S36" s="371"/>
      <c r="T36" s="371"/>
    </row>
    <row r="37">
      <c r="A37" s="307"/>
      <c r="B37" s="307"/>
      <c r="C37" s="307"/>
      <c r="D37" s="307"/>
      <c r="E37" s="307"/>
      <c r="F37" s="371"/>
      <c r="G37" s="307"/>
      <c r="H37" s="307"/>
      <c r="I37" s="307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</row>
    <row r="38">
      <c r="A38" s="307"/>
      <c r="B38" s="307"/>
      <c r="C38" s="307"/>
      <c r="D38" s="307"/>
      <c r="E38" s="307"/>
      <c r="F38" s="371"/>
      <c r="G38" s="307"/>
      <c r="H38" s="307"/>
      <c r="I38" s="307"/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</row>
    <row r="39">
      <c r="A39" s="307"/>
      <c r="B39" s="307"/>
      <c r="C39" s="307"/>
      <c r="D39" s="307"/>
      <c r="E39" s="307"/>
      <c r="F39" s="371"/>
      <c r="G39" s="307"/>
      <c r="H39" s="307"/>
      <c r="I39" s="307"/>
      <c r="J39" s="371"/>
      <c r="K39" s="371"/>
      <c r="L39" s="371"/>
      <c r="M39" s="371"/>
      <c r="N39" s="371"/>
      <c r="O39" s="371"/>
      <c r="P39" s="371"/>
      <c r="Q39" s="371"/>
      <c r="R39" s="371"/>
      <c r="S39" s="371"/>
      <c r="T39" s="371"/>
    </row>
    <row r="40">
      <c r="A40" s="307"/>
      <c r="B40" s="307"/>
      <c r="C40" s="307"/>
      <c r="D40" s="307"/>
      <c r="E40" s="307"/>
      <c r="F40" s="371"/>
      <c r="G40" s="307"/>
      <c r="H40" s="307"/>
      <c r="I40" s="307"/>
      <c r="J40" s="371"/>
      <c r="K40" s="371"/>
      <c r="L40" s="371"/>
      <c r="M40" s="371"/>
      <c r="N40" s="371"/>
      <c r="O40" s="371"/>
      <c r="P40" s="371"/>
      <c r="Q40" s="371"/>
      <c r="R40" s="371"/>
      <c r="S40" s="371"/>
      <c r="T40" s="371"/>
    </row>
    <row r="41">
      <c r="A41" s="307"/>
      <c r="B41" s="307"/>
      <c r="C41" s="307"/>
      <c r="D41" s="307"/>
      <c r="E41" s="307"/>
      <c r="F41" s="371"/>
      <c r="G41" s="307"/>
      <c r="H41" s="307"/>
      <c r="I41" s="307"/>
      <c r="J41" s="371"/>
      <c r="K41" s="371"/>
      <c r="L41" s="371"/>
      <c r="M41" s="371"/>
      <c r="N41" s="371"/>
      <c r="O41" s="371"/>
      <c r="P41" s="371"/>
      <c r="Q41" s="371"/>
      <c r="R41" s="371"/>
      <c r="S41" s="371"/>
      <c r="T41" s="371"/>
    </row>
    <row r="42">
      <c r="A42" s="307"/>
      <c r="B42" s="307"/>
      <c r="C42" s="307"/>
      <c r="D42" s="307"/>
      <c r="E42" s="307"/>
      <c r="F42" s="371"/>
      <c r="G42" s="307"/>
      <c r="H42" s="307"/>
      <c r="I42" s="307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</row>
    <row r="43">
      <c r="A43" s="307"/>
      <c r="B43" s="307"/>
      <c r="C43" s="307"/>
      <c r="D43" s="307"/>
      <c r="E43" s="307"/>
      <c r="F43" s="371"/>
      <c r="G43" s="307"/>
      <c r="H43" s="307"/>
      <c r="I43" s="307"/>
      <c r="J43" s="371"/>
      <c r="K43" s="371"/>
      <c r="L43" s="371"/>
      <c r="M43" s="371"/>
      <c r="N43" s="371"/>
      <c r="O43" s="371"/>
      <c r="P43" s="371"/>
      <c r="Q43" s="371"/>
      <c r="R43" s="371"/>
      <c r="S43" s="371"/>
      <c r="T43" s="371"/>
    </row>
    <row r="44">
      <c r="A44" s="307"/>
      <c r="B44" s="307"/>
      <c r="C44" s="307"/>
      <c r="D44" s="307"/>
      <c r="E44" s="307"/>
      <c r="F44" s="371"/>
      <c r="G44" s="307"/>
      <c r="H44" s="307"/>
      <c r="I44" s="307"/>
      <c r="J44" s="371"/>
      <c r="K44" s="371"/>
      <c r="L44" s="371"/>
      <c r="M44" s="371"/>
      <c r="N44" s="371"/>
      <c r="O44" s="371"/>
      <c r="P44" s="371"/>
      <c r="Q44" s="371"/>
      <c r="R44" s="371"/>
      <c r="S44" s="371"/>
      <c r="T44" s="371"/>
    </row>
    <row r="45">
      <c r="A45" s="307"/>
      <c r="B45" s="307"/>
      <c r="C45" s="307"/>
      <c r="D45" s="307"/>
      <c r="E45" s="307"/>
      <c r="F45" s="371"/>
      <c r="G45" s="307"/>
      <c r="H45" s="307"/>
      <c r="I45" s="307"/>
      <c r="J45" s="371"/>
      <c r="K45" s="371"/>
      <c r="L45" s="371"/>
      <c r="M45" s="371"/>
      <c r="N45" s="371"/>
      <c r="O45" s="371"/>
      <c r="P45" s="371"/>
      <c r="Q45" s="371"/>
      <c r="R45" s="371"/>
      <c r="S45" s="371"/>
      <c r="T45" s="371"/>
    </row>
    <row r="46">
      <c r="A46" s="307"/>
      <c r="B46" s="307"/>
      <c r="C46" s="307"/>
      <c r="D46" s="307"/>
      <c r="E46" s="307"/>
      <c r="F46" s="371"/>
      <c r="G46" s="307"/>
      <c r="H46" s="307"/>
      <c r="I46" s="307"/>
      <c r="J46" s="371"/>
      <c r="K46" s="371"/>
      <c r="L46" s="371"/>
      <c r="M46" s="371"/>
      <c r="N46" s="371"/>
      <c r="O46" s="371"/>
      <c r="P46" s="371"/>
      <c r="Q46" s="371"/>
      <c r="R46" s="371"/>
      <c r="S46" s="371"/>
      <c r="T46" s="371"/>
    </row>
    <row r="47">
      <c r="A47" s="307"/>
      <c r="B47" s="307"/>
      <c r="C47" s="307"/>
      <c r="D47" s="307"/>
      <c r="E47" s="307"/>
      <c r="F47" s="371"/>
      <c r="G47" s="307"/>
      <c r="H47" s="307"/>
      <c r="I47" s="307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</row>
    <row r="48">
      <c r="A48" s="307"/>
      <c r="B48" s="307"/>
      <c r="C48" s="307"/>
      <c r="D48" s="307"/>
      <c r="E48" s="307"/>
      <c r="F48" s="371"/>
      <c r="G48" s="307"/>
      <c r="H48" s="307"/>
      <c r="I48" s="307"/>
      <c r="J48" s="371"/>
      <c r="K48" s="371"/>
      <c r="L48" s="371"/>
      <c r="M48" s="371"/>
      <c r="N48" s="371"/>
      <c r="O48" s="371"/>
      <c r="P48" s="371"/>
      <c r="Q48" s="371"/>
      <c r="R48" s="371"/>
      <c r="S48" s="371"/>
      <c r="T48" s="371"/>
    </row>
    <row r="49">
      <c r="A49" s="307"/>
      <c r="B49" s="307"/>
      <c r="C49" s="307"/>
      <c r="D49" s="307"/>
      <c r="E49" s="307"/>
      <c r="F49" s="371"/>
      <c r="G49" s="307"/>
      <c r="H49" s="307"/>
      <c r="I49" s="307"/>
      <c r="J49" s="371"/>
      <c r="K49" s="371"/>
      <c r="L49" s="371"/>
      <c r="M49" s="371"/>
      <c r="N49" s="371"/>
      <c r="O49" s="371"/>
      <c r="P49" s="371"/>
      <c r="Q49" s="371"/>
      <c r="R49" s="371"/>
      <c r="S49" s="371"/>
      <c r="T49" s="371"/>
    </row>
    <row r="50">
      <c r="A50" s="307"/>
      <c r="B50" s="307"/>
      <c r="C50" s="307"/>
      <c r="D50" s="307"/>
      <c r="E50" s="307"/>
      <c r="F50" s="371"/>
      <c r="G50" s="307"/>
      <c r="H50" s="307"/>
      <c r="I50" s="307"/>
      <c r="J50" s="371"/>
      <c r="K50" s="371"/>
      <c r="L50" s="371"/>
      <c r="M50" s="371"/>
      <c r="N50" s="371"/>
      <c r="O50" s="371"/>
      <c r="P50" s="371"/>
      <c r="Q50" s="371"/>
      <c r="R50" s="371"/>
      <c r="S50" s="371"/>
      <c r="T50" s="371"/>
    </row>
    <row r="51">
      <c r="A51" s="307"/>
      <c r="B51" s="307"/>
      <c r="C51" s="307"/>
      <c r="D51" s="307"/>
      <c r="E51" s="307"/>
      <c r="F51" s="371"/>
      <c r="G51" s="307"/>
      <c r="H51" s="307"/>
      <c r="I51" s="307"/>
      <c r="J51" s="371"/>
      <c r="K51" s="371"/>
      <c r="L51" s="371"/>
      <c r="M51" s="371"/>
      <c r="N51" s="371"/>
      <c r="O51" s="371"/>
      <c r="P51" s="371"/>
      <c r="Q51" s="371"/>
      <c r="R51" s="371"/>
      <c r="S51" s="371"/>
      <c r="T51" s="371"/>
    </row>
    <row r="52">
      <c r="A52" s="307"/>
      <c r="B52" s="307"/>
      <c r="C52" s="307"/>
      <c r="D52" s="307"/>
      <c r="E52" s="307"/>
      <c r="F52" s="371"/>
      <c r="G52" s="307"/>
      <c r="H52" s="307"/>
      <c r="I52" s="307"/>
      <c r="J52" s="371"/>
      <c r="K52" s="371"/>
      <c r="L52" s="371"/>
      <c r="M52" s="371"/>
      <c r="N52" s="371"/>
      <c r="O52" s="371"/>
      <c r="P52" s="371"/>
      <c r="Q52" s="371"/>
      <c r="R52" s="371"/>
      <c r="S52" s="371"/>
      <c r="T52" s="371"/>
    </row>
    <row r="53">
      <c r="A53" s="307"/>
      <c r="B53" s="307"/>
      <c r="C53" s="307"/>
      <c r="D53" s="307"/>
      <c r="E53" s="307"/>
      <c r="F53" s="371"/>
      <c r="G53" s="307"/>
      <c r="H53" s="307"/>
      <c r="I53" s="307"/>
      <c r="J53" s="371"/>
      <c r="K53" s="371"/>
      <c r="L53" s="371"/>
      <c r="M53" s="371"/>
      <c r="N53" s="371"/>
      <c r="O53" s="371"/>
      <c r="P53" s="371"/>
      <c r="Q53" s="371"/>
      <c r="R53" s="371"/>
      <c r="S53" s="371"/>
      <c r="T53" s="371"/>
    </row>
    <row r="54">
      <c r="A54" s="307"/>
      <c r="B54" s="307"/>
      <c r="C54" s="307"/>
      <c r="D54" s="307"/>
      <c r="E54" s="307"/>
      <c r="F54" s="371"/>
      <c r="G54" s="307"/>
      <c r="H54" s="307"/>
      <c r="I54" s="307"/>
      <c r="J54" s="371"/>
      <c r="K54" s="371"/>
      <c r="L54" s="371"/>
      <c r="M54" s="371"/>
      <c r="N54" s="371"/>
      <c r="O54" s="371"/>
      <c r="P54" s="371"/>
      <c r="Q54" s="371"/>
      <c r="R54" s="371"/>
      <c r="S54" s="371"/>
      <c r="T54" s="371"/>
    </row>
    <row r="55">
      <c r="A55" s="307"/>
      <c r="B55" s="307"/>
      <c r="C55" s="307"/>
      <c r="D55" s="307"/>
      <c r="E55" s="307"/>
      <c r="F55" s="371"/>
      <c r="G55" s="307"/>
      <c r="H55" s="307"/>
      <c r="I55" s="307"/>
      <c r="J55" s="371"/>
      <c r="K55" s="371"/>
      <c r="L55" s="371"/>
      <c r="M55" s="371"/>
      <c r="N55" s="371"/>
      <c r="O55" s="371"/>
      <c r="P55" s="371"/>
      <c r="Q55" s="371"/>
      <c r="R55" s="371"/>
      <c r="S55" s="371"/>
      <c r="T55" s="371"/>
    </row>
    <row r="56">
      <c r="A56" s="307"/>
      <c r="B56" s="307"/>
      <c r="C56" s="307"/>
      <c r="D56" s="307"/>
      <c r="E56" s="307"/>
      <c r="F56" s="371"/>
      <c r="G56" s="307"/>
      <c r="H56" s="307"/>
      <c r="I56" s="307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</row>
    <row r="57">
      <c r="A57" s="307"/>
      <c r="B57" s="307"/>
      <c r="C57" s="307"/>
      <c r="D57" s="307"/>
      <c r="E57" s="307"/>
      <c r="F57" s="371"/>
      <c r="G57" s="307"/>
      <c r="H57" s="307"/>
      <c r="I57" s="307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</row>
    <row r="58">
      <c r="A58" s="307"/>
      <c r="B58" s="307"/>
      <c r="C58" s="307"/>
      <c r="D58" s="307"/>
      <c r="E58" s="307"/>
      <c r="F58" s="371"/>
      <c r="G58" s="307"/>
      <c r="H58" s="307"/>
      <c r="I58" s="307"/>
      <c r="J58" s="371"/>
      <c r="K58" s="371"/>
      <c r="L58" s="371"/>
      <c r="M58" s="371"/>
      <c r="N58" s="371"/>
      <c r="O58" s="371"/>
      <c r="P58" s="371"/>
      <c r="Q58" s="371"/>
      <c r="R58" s="371"/>
      <c r="S58" s="371"/>
      <c r="T58" s="371"/>
    </row>
    <row r="59">
      <c r="A59" s="307"/>
      <c r="B59" s="307"/>
      <c r="C59" s="307"/>
      <c r="D59" s="307"/>
      <c r="E59" s="307"/>
      <c r="F59" s="371"/>
      <c r="G59" s="307"/>
      <c r="H59" s="307"/>
      <c r="I59" s="307"/>
      <c r="J59" s="371"/>
      <c r="K59" s="371"/>
      <c r="L59" s="371"/>
      <c r="M59" s="371"/>
      <c r="N59" s="371"/>
      <c r="O59" s="371"/>
      <c r="P59" s="371"/>
      <c r="Q59" s="371"/>
      <c r="R59" s="371"/>
      <c r="S59" s="371"/>
      <c r="T59" s="371"/>
    </row>
    <row r="60">
      <c r="A60" s="307"/>
      <c r="B60" s="307"/>
      <c r="C60" s="307"/>
      <c r="D60" s="307"/>
      <c r="E60" s="307"/>
      <c r="F60" s="371"/>
      <c r="G60" s="307"/>
      <c r="H60" s="307"/>
      <c r="I60" s="307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</row>
    <row r="61">
      <c r="A61" s="307"/>
      <c r="B61" s="307"/>
      <c r="C61" s="307"/>
      <c r="D61" s="307"/>
      <c r="E61" s="307"/>
      <c r="F61" s="371"/>
      <c r="G61" s="307"/>
      <c r="H61" s="307"/>
      <c r="I61" s="307"/>
      <c r="J61" s="371"/>
      <c r="K61" s="371"/>
      <c r="L61" s="371"/>
      <c r="M61" s="371"/>
      <c r="N61" s="371"/>
      <c r="O61" s="371"/>
      <c r="P61" s="371"/>
      <c r="Q61" s="371"/>
      <c r="R61" s="371"/>
      <c r="S61" s="371"/>
      <c r="T61" s="371"/>
    </row>
    <row r="62">
      <c r="A62" s="307"/>
      <c r="B62" s="307"/>
      <c r="C62" s="307"/>
      <c r="D62" s="307"/>
      <c r="E62" s="307"/>
      <c r="F62" s="371"/>
      <c r="G62" s="307"/>
      <c r="H62" s="307"/>
      <c r="I62" s="307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</row>
    <row r="63">
      <c r="A63" s="307"/>
      <c r="B63" s="307"/>
      <c r="C63" s="307"/>
      <c r="D63" s="307"/>
      <c r="E63" s="307"/>
      <c r="F63" s="371"/>
      <c r="G63" s="307"/>
      <c r="H63" s="307"/>
      <c r="I63" s="307"/>
      <c r="J63" s="371"/>
      <c r="K63" s="371"/>
      <c r="L63" s="371"/>
      <c r="M63" s="371"/>
      <c r="N63" s="371"/>
      <c r="O63" s="371"/>
      <c r="P63" s="371"/>
      <c r="Q63" s="371"/>
      <c r="R63" s="371"/>
      <c r="S63" s="371"/>
      <c r="T63" s="371"/>
    </row>
    <row r="64">
      <c r="A64" s="307"/>
      <c r="B64" s="307"/>
      <c r="C64" s="307"/>
      <c r="D64" s="307"/>
      <c r="E64" s="307"/>
      <c r="F64" s="371"/>
      <c r="G64" s="307"/>
      <c r="H64" s="307"/>
      <c r="I64" s="307"/>
      <c r="J64" s="371"/>
      <c r="K64" s="371"/>
      <c r="L64" s="371"/>
      <c r="M64" s="371"/>
      <c r="N64" s="371"/>
      <c r="O64" s="371"/>
      <c r="P64" s="371"/>
      <c r="Q64" s="371"/>
      <c r="R64" s="371"/>
      <c r="S64" s="371"/>
      <c r="T64" s="371"/>
    </row>
    <row r="65">
      <c r="A65" s="307"/>
      <c r="B65" s="307"/>
      <c r="C65" s="307"/>
      <c r="D65" s="307"/>
      <c r="E65" s="307"/>
      <c r="F65" s="371"/>
      <c r="G65" s="307"/>
      <c r="H65" s="307"/>
      <c r="I65" s="307"/>
      <c r="J65" s="371"/>
      <c r="K65" s="371"/>
      <c r="L65" s="371"/>
      <c r="M65" s="371"/>
      <c r="N65" s="371"/>
      <c r="O65" s="371"/>
      <c r="P65" s="371"/>
      <c r="Q65" s="371"/>
      <c r="R65" s="371"/>
      <c r="S65" s="371"/>
      <c r="T65" s="371"/>
    </row>
    <row r="66">
      <c r="A66" s="307"/>
      <c r="B66" s="307"/>
      <c r="C66" s="307"/>
      <c r="D66" s="307"/>
      <c r="E66" s="307"/>
      <c r="F66" s="371"/>
      <c r="G66" s="307"/>
      <c r="H66" s="307"/>
      <c r="I66" s="307"/>
      <c r="J66" s="371"/>
      <c r="K66" s="371"/>
      <c r="L66" s="371"/>
      <c r="M66" s="371"/>
      <c r="N66" s="371"/>
      <c r="O66" s="371"/>
      <c r="P66" s="371"/>
      <c r="Q66" s="371"/>
      <c r="R66" s="371"/>
      <c r="S66" s="371"/>
      <c r="T66" s="371"/>
    </row>
    <row r="67">
      <c r="A67" s="307"/>
      <c r="B67" s="307"/>
      <c r="C67" s="307"/>
      <c r="D67" s="307"/>
      <c r="E67" s="307"/>
      <c r="F67" s="371"/>
      <c r="G67" s="307"/>
      <c r="H67" s="307"/>
      <c r="I67" s="307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</row>
    <row r="68">
      <c r="A68" s="307"/>
      <c r="B68" s="307"/>
      <c r="C68" s="307"/>
      <c r="D68" s="307"/>
      <c r="E68" s="307"/>
      <c r="F68" s="371"/>
      <c r="G68" s="307"/>
      <c r="H68" s="307"/>
      <c r="I68" s="307"/>
      <c r="J68" s="371"/>
      <c r="K68" s="371"/>
      <c r="L68" s="371"/>
      <c r="M68" s="371"/>
      <c r="N68" s="371"/>
      <c r="O68" s="371"/>
      <c r="P68" s="371"/>
      <c r="Q68" s="371"/>
      <c r="R68" s="371"/>
      <c r="S68" s="371"/>
      <c r="T68" s="371"/>
    </row>
    <row r="69">
      <c r="A69" s="307"/>
      <c r="B69" s="307"/>
      <c r="C69" s="307"/>
      <c r="D69" s="307"/>
      <c r="E69" s="307"/>
      <c r="F69" s="371"/>
      <c r="G69" s="307"/>
      <c r="H69" s="307"/>
      <c r="I69" s="307"/>
      <c r="J69" s="371"/>
      <c r="K69" s="371"/>
      <c r="L69" s="371"/>
      <c r="M69" s="371"/>
      <c r="N69" s="371"/>
      <c r="O69" s="371"/>
      <c r="P69" s="371"/>
      <c r="Q69" s="371"/>
      <c r="R69" s="371"/>
      <c r="S69" s="371"/>
      <c r="T69" s="371"/>
    </row>
    <row r="70">
      <c r="A70" s="307"/>
      <c r="B70" s="307"/>
      <c r="C70" s="307"/>
      <c r="D70" s="307"/>
      <c r="E70" s="307"/>
      <c r="F70" s="371"/>
      <c r="G70" s="307"/>
      <c r="H70" s="307"/>
      <c r="I70" s="307"/>
      <c r="J70" s="371"/>
      <c r="K70" s="371"/>
      <c r="L70" s="371"/>
      <c r="M70" s="371"/>
      <c r="N70" s="371"/>
      <c r="O70" s="371"/>
      <c r="P70" s="371"/>
      <c r="Q70" s="371"/>
      <c r="R70" s="371"/>
      <c r="S70" s="371"/>
      <c r="T70" s="371"/>
    </row>
    <row r="71">
      <c r="A71" s="307"/>
      <c r="B71" s="307"/>
      <c r="C71" s="307"/>
      <c r="D71" s="307"/>
      <c r="E71" s="307"/>
      <c r="F71" s="371"/>
      <c r="G71" s="307"/>
      <c r="H71" s="307"/>
      <c r="I71" s="307"/>
      <c r="J71" s="371"/>
      <c r="K71" s="371"/>
      <c r="L71" s="371"/>
      <c r="M71" s="371"/>
      <c r="N71" s="371"/>
      <c r="O71" s="371"/>
      <c r="P71" s="371"/>
      <c r="Q71" s="371"/>
      <c r="R71" s="371"/>
      <c r="S71" s="371"/>
      <c r="T71" s="371"/>
    </row>
    <row r="72">
      <c r="A72" s="307"/>
      <c r="B72" s="307"/>
      <c r="C72" s="307"/>
      <c r="D72" s="307"/>
      <c r="E72" s="307"/>
      <c r="F72" s="371"/>
      <c r="G72" s="307"/>
      <c r="H72" s="307"/>
      <c r="I72" s="307"/>
      <c r="J72" s="371"/>
      <c r="K72" s="371"/>
      <c r="L72" s="371"/>
      <c r="M72" s="371"/>
      <c r="N72" s="371"/>
      <c r="O72" s="371"/>
      <c r="P72" s="371"/>
      <c r="Q72" s="371"/>
      <c r="R72" s="371"/>
      <c r="S72" s="371"/>
      <c r="T72" s="371"/>
    </row>
    <row r="73">
      <c r="A73" s="307"/>
      <c r="B73" s="307"/>
      <c r="C73" s="307"/>
      <c r="D73" s="307"/>
      <c r="E73" s="307"/>
      <c r="F73" s="371"/>
      <c r="G73" s="307"/>
      <c r="H73" s="307"/>
      <c r="I73" s="307"/>
      <c r="J73" s="371"/>
      <c r="K73" s="371"/>
      <c r="L73" s="371"/>
      <c r="M73" s="371"/>
      <c r="N73" s="371"/>
      <c r="O73" s="371"/>
      <c r="P73" s="371"/>
      <c r="Q73" s="371"/>
      <c r="R73" s="371"/>
      <c r="S73" s="371"/>
      <c r="T73" s="371"/>
    </row>
    <row r="74">
      <c r="A74" s="307"/>
      <c r="B74" s="307"/>
      <c r="C74" s="307"/>
      <c r="D74" s="307"/>
      <c r="E74" s="307"/>
      <c r="F74" s="371"/>
      <c r="G74" s="307"/>
      <c r="H74" s="307"/>
      <c r="I74" s="307"/>
      <c r="J74" s="371"/>
      <c r="K74" s="371"/>
      <c r="L74" s="371"/>
      <c r="M74" s="371"/>
      <c r="N74" s="371"/>
      <c r="O74" s="371"/>
      <c r="P74" s="371"/>
      <c r="Q74" s="371"/>
      <c r="R74" s="371"/>
      <c r="S74" s="371"/>
      <c r="T74" s="371"/>
    </row>
    <row r="75">
      <c r="A75" s="307"/>
      <c r="B75" s="307"/>
      <c r="C75" s="307"/>
      <c r="D75" s="307"/>
      <c r="E75" s="307"/>
      <c r="F75" s="371"/>
      <c r="G75" s="307"/>
      <c r="H75" s="307"/>
      <c r="I75" s="307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</row>
    <row r="76">
      <c r="A76" s="307"/>
      <c r="B76" s="307"/>
      <c r="C76" s="307"/>
      <c r="D76" s="307"/>
      <c r="E76" s="307"/>
      <c r="F76" s="371"/>
      <c r="G76" s="307"/>
      <c r="H76" s="307"/>
      <c r="I76" s="307"/>
      <c r="J76" s="371"/>
      <c r="K76" s="371"/>
      <c r="L76" s="371"/>
      <c r="M76" s="371"/>
      <c r="N76" s="371"/>
      <c r="O76" s="371"/>
      <c r="P76" s="371"/>
      <c r="Q76" s="371"/>
      <c r="R76" s="371"/>
      <c r="S76" s="371"/>
      <c r="T76" s="371"/>
    </row>
    <row r="77">
      <c r="A77" s="307"/>
      <c r="B77" s="307"/>
      <c r="C77" s="307"/>
      <c r="D77" s="307"/>
      <c r="E77" s="307"/>
      <c r="F77" s="371"/>
      <c r="G77" s="307"/>
      <c r="H77" s="307"/>
      <c r="I77" s="307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</row>
    <row r="78">
      <c r="A78" s="307"/>
      <c r="B78" s="307"/>
      <c r="C78" s="307"/>
      <c r="D78" s="307"/>
      <c r="E78" s="307"/>
      <c r="F78" s="371"/>
      <c r="G78" s="307"/>
      <c r="H78" s="307"/>
      <c r="I78" s="307"/>
      <c r="J78" s="371"/>
      <c r="K78" s="371"/>
      <c r="L78" s="371"/>
      <c r="M78" s="371"/>
      <c r="N78" s="371"/>
      <c r="O78" s="371"/>
      <c r="P78" s="371"/>
      <c r="Q78" s="371"/>
      <c r="R78" s="371"/>
      <c r="S78" s="371"/>
      <c r="T78" s="371"/>
    </row>
    <row r="79">
      <c r="A79" s="307"/>
      <c r="B79" s="307"/>
      <c r="C79" s="307"/>
      <c r="D79" s="307"/>
      <c r="E79" s="307"/>
      <c r="F79" s="371"/>
      <c r="G79" s="307"/>
      <c r="H79" s="307"/>
      <c r="I79" s="307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</row>
    <row r="80">
      <c r="A80" s="307"/>
      <c r="B80" s="307"/>
      <c r="C80" s="307"/>
      <c r="D80" s="307"/>
      <c r="E80" s="307"/>
      <c r="F80" s="371"/>
      <c r="G80" s="307"/>
      <c r="H80" s="307"/>
      <c r="I80" s="307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</row>
    <row r="81">
      <c r="A81" s="307"/>
      <c r="B81" s="307"/>
      <c r="C81" s="307"/>
      <c r="D81" s="307"/>
      <c r="E81" s="307"/>
      <c r="F81" s="371"/>
      <c r="G81" s="307"/>
      <c r="H81" s="307"/>
      <c r="I81" s="307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</row>
    <row r="82">
      <c r="A82" s="307"/>
      <c r="B82" s="307"/>
      <c r="C82" s="307"/>
      <c r="D82" s="307"/>
      <c r="E82" s="307"/>
      <c r="F82" s="371"/>
      <c r="G82" s="307"/>
      <c r="H82" s="307"/>
      <c r="I82" s="307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T82" s="371"/>
    </row>
    <row r="83">
      <c r="A83" s="307"/>
      <c r="B83" s="307"/>
      <c r="C83" s="307"/>
      <c r="D83" s="307"/>
      <c r="E83" s="307"/>
      <c r="F83" s="371"/>
      <c r="G83" s="307"/>
      <c r="H83" s="307"/>
      <c r="I83" s="307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T83" s="371"/>
    </row>
    <row r="84">
      <c r="A84" s="307"/>
      <c r="B84" s="307"/>
      <c r="C84" s="307"/>
      <c r="D84" s="307"/>
      <c r="E84" s="307"/>
      <c r="F84" s="371"/>
      <c r="G84" s="307"/>
      <c r="H84" s="307"/>
      <c r="I84" s="307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</row>
    <row r="85">
      <c r="A85" s="307"/>
      <c r="B85" s="307"/>
      <c r="C85" s="307"/>
      <c r="D85" s="307"/>
      <c r="E85" s="307"/>
      <c r="F85" s="371"/>
      <c r="G85" s="307"/>
      <c r="H85" s="307"/>
      <c r="I85" s="307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</row>
    <row r="86">
      <c r="A86" s="307"/>
      <c r="B86" s="307"/>
      <c r="C86" s="307"/>
      <c r="D86" s="307"/>
      <c r="E86" s="307"/>
      <c r="F86" s="371"/>
      <c r="G86" s="307"/>
      <c r="H86" s="307"/>
      <c r="I86" s="307"/>
      <c r="J86" s="371"/>
      <c r="K86" s="371"/>
      <c r="L86" s="371"/>
      <c r="M86" s="371"/>
      <c r="N86" s="371"/>
      <c r="O86" s="371"/>
      <c r="P86" s="371"/>
      <c r="Q86" s="371"/>
      <c r="R86" s="371"/>
      <c r="S86" s="371"/>
      <c r="T86" s="371"/>
    </row>
    <row r="87">
      <c r="A87" s="307"/>
      <c r="B87" s="307"/>
      <c r="C87" s="307"/>
      <c r="D87" s="307"/>
      <c r="E87" s="307"/>
      <c r="F87" s="371"/>
      <c r="G87" s="307"/>
      <c r="H87" s="307"/>
      <c r="I87" s="307"/>
      <c r="J87" s="371"/>
      <c r="K87" s="371"/>
      <c r="L87" s="371"/>
      <c r="M87" s="371"/>
      <c r="N87" s="371"/>
      <c r="O87" s="371"/>
      <c r="P87" s="371"/>
      <c r="Q87" s="371"/>
      <c r="R87" s="371"/>
      <c r="S87" s="371"/>
      <c r="T87" s="371"/>
    </row>
    <row r="88">
      <c r="A88" s="307"/>
      <c r="B88" s="307"/>
      <c r="C88" s="307"/>
      <c r="D88" s="307"/>
      <c r="E88" s="307"/>
      <c r="F88" s="371"/>
      <c r="G88" s="307"/>
      <c r="H88" s="307"/>
      <c r="I88" s="307"/>
      <c r="J88" s="371"/>
      <c r="K88" s="371"/>
      <c r="L88" s="371"/>
      <c r="M88" s="371"/>
      <c r="N88" s="371"/>
      <c r="O88" s="371"/>
      <c r="P88" s="371"/>
      <c r="Q88" s="371"/>
      <c r="R88" s="371"/>
      <c r="S88" s="371"/>
      <c r="T88" s="371"/>
    </row>
    <row r="89">
      <c r="A89" s="307"/>
      <c r="B89" s="307"/>
      <c r="C89" s="307"/>
      <c r="D89" s="307"/>
      <c r="E89" s="307"/>
      <c r="F89" s="371"/>
      <c r="G89" s="307"/>
      <c r="H89" s="307"/>
      <c r="I89" s="307"/>
      <c r="J89" s="371"/>
      <c r="K89" s="371"/>
      <c r="L89" s="371"/>
      <c r="M89" s="371"/>
      <c r="N89" s="371"/>
      <c r="O89" s="371"/>
      <c r="P89" s="371"/>
      <c r="Q89" s="371"/>
      <c r="R89" s="371"/>
      <c r="S89" s="371"/>
      <c r="T89" s="371"/>
    </row>
    <row r="90">
      <c r="A90" s="307"/>
      <c r="B90" s="307"/>
      <c r="C90" s="307"/>
      <c r="D90" s="307"/>
      <c r="E90" s="307"/>
      <c r="F90" s="371"/>
      <c r="G90" s="307"/>
      <c r="H90" s="307"/>
      <c r="I90" s="307"/>
      <c r="J90" s="371"/>
      <c r="K90" s="371"/>
      <c r="L90" s="371"/>
      <c r="M90" s="371"/>
      <c r="N90" s="371"/>
      <c r="O90" s="371"/>
      <c r="P90" s="371"/>
      <c r="Q90" s="371"/>
      <c r="R90" s="371"/>
      <c r="S90" s="371"/>
      <c r="T90" s="371"/>
    </row>
    <row r="91">
      <c r="A91" s="307"/>
      <c r="B91" s="307"/>
      <c r="C91" s="307"/>
      <c r="D91" s="307"/>
      <c r="E91" s="307"/>
      <c r="F91" s="371"/>
      <c r="G91" s="307"/>
      <c r="H91" s="307"/>
      <c r="I91" s="307"/>
      <c r="J91" s="371"/>
      <c r="K91" s="371"/>
      <c r="L91" s="371"/>
      <c r="M91" s="371"/>
      <c r="N91" s="371"/>
      <c r="O91" s="371"/>
      <c r="P91" s="371"/>
      <c r="Q91" s="371"/>
      <c r="R91" s="371"/>
      <c r="S91" s="371"/>
      <c r="T91" s="371"/>
    </row>
    <row r="92">
      <c r="A92" s="307"/>
      <c r="B92" s="307"/>
      <c r="C92" s="307"/>
      <c r="D92" s="307"/>
      <c r="E92" s="307"/>
      <c r="F92" s="371"/>
      <c r="G92" s="307"/>
      <c r="H92" s="307"/>
      <c r="I92" s="307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</row>
    <row r="93">
      <c r="A93" s="307"/>
      <c r="B93" s="307"/>
      <c r="C93" s="307"/>
      <c r="D93" s="307"/>
      <c r="E93" s="307"/>
      <c r="F93" s="371"/>
      <c r="G93" s="307"/>
      <c r="H93" s="307"/>
      <c r="I93" s="307"/>
      <c r="J93" s="371"/>
      <c r="K93" s="371"/>
      <c r="L93" s="371"/>
      <c r="M93" s="371"/>
      <c r="N93" s="371"/>
      <c r="O93" s="371"/>
      <c r="P93" s="371"/>
      <c r="Q93" s="371"/>
      <c r="R93" s="371"/>
      <c r="S93" s="371"/>
      <c r="T93" s="371"/>
    </row>
    <row r="94">
      <c r="A94" s="307"/>
      <c r="B94" s="307"/>
      <c r="C94" s="307"/>
      <c r="D94" s="307"/>
      <c r="E94" s="307"/>
      <c r="F94" s="371"/>
      <c r="G94" s="307"/>
      <c r="H94" s="307"/>
      <c r="I94" s="307"/>
      <c r="J94" s="371"/>
      <c r="K94" s="371"/>
      <c r="L94" s="371"/>
      <c r="M94" s="371"/>
      <c r="N94" s="371"/>
      <c r="O94" s="371"/>
      <c r="P94" s="371"/>
      <c r="Q94" s="371"/>
      <c r="R94" s="371"/>
      <c r="S94" s="371"/>
      <c r="T94" s="371"/>
    </row>
    <row r="95">
      <c r="A95" s="307"/>
      <c r="B95" s="307"/>
      <c r="C95" s="307"/>
      <c r="D95" s="307"/>
      <c r="E95" s="307"/>
      <c r="F95" s="371"/>
      <c r="G95" s="307"/>
      <c r="H95" s="307"/>
      <c r="I95" s="307"/>
      <c r="J95" s="371"/>
      <c r="K95" s="371"/>
      <c r="L95" s="371"/>
      <c r="M95" s="371"/>
      <c r="N95" s="371"/>
      <c r="O95" s="371"/>
      <c r="P95" s="371"/>
      <c r="Q95" s="371"/>
      <c r="R95" s="371"/>
      <c r="S95" s="371"/>
      <c r="T95" s="371"/>
    </row>
    <row r="96">
      <c r="A96" s="307"/>
      <c r="B96" s="307"/>
      <c r="C96" s="307"/>
      <c r="D96" s="307"/>
      <c r="E96" s="307"/>
      <c r="F96" s="371"/>
      <c r="G96" s="307"/>
      <c r="H96" s="307"/>
      <c r="I96" s="307"/>
      <c r="J96" s="371"/>
      <c r="K96" s="371"/>
      <c r="L96" s="371"/>
      <c r="M96" s="371"/>
      <c r="N96" s="371"/>
      <c r="O96" s="371"/>
      <c r="P96" s="371"/>
      <c r="Q96" s="371"/>
      <c r="R96" s="371"/>
      <c r="S96" s="371"/>
      <c r="T96" s="371"/>
    </row>
    <row r="97">
      <c r="A97" s="307"/>
      <c r="B97" s="307"/>
      <c r="C97" s="307"/>
      <c r="D97" s="307"/>
      <c r="E97" s="307"/>
      <c r="F97" s="371"/>
      <c r="G97" s="307"/>
      <c r="H97" s="307"/>
      <c r="I97" s="307"/>
      <c r="J97" s="371"/>
      <c r="K97" s="371"/>
      <c r="L97" s="371"/>
      <c r="M97" s="371"/>
      <c r="N97" s="371"/>
      <c r="O97" s="371"/>
      <c r="P97" s="371"/>
      <c r="Q97" s="371"/>
      <c r="R97" s="371"/>
      <c r="S97" s="371"/>
      <c r="T97" s="371"/>
    </row>
    <row r="98">
      <c r="A98" s="307"/>
      <c r="B98" s="307"/>
      <c r="C98" s="307"/>
      <c r="D98" s="307"/>
      <c r="E98" s="307"/>
      <c r="F98" s="371"/>
      <c r="G98" s="307"/>
      <c r="H98" s="307"/>
      <c r="I98" s="307"/>
      <c r="J98" s="371"/>
      <c r="K98" s="371"/>
      <c r="L98" s="371"/>
      <c r="M98" s="371"/>
      <c r="N98" s="371"/>
      <c r="O98" s="371"/>
      <c r="P98" s="371"/>
      <c r="Q98" s="371"/>
      <c r="R98" s="371"/>
      <c r="S98" s="371"/>
      <c r="T98" s="371"/>
    </row>
    <row r="99">
      <c r="A99" s="307"/>
      <c r="B99" s="307"/>
      <c r="C99" s="307"/>
      <c r="D99" s="307"/>
      <c r="E99" s="307"/>
      <c r="F99" s="371"/>
      <c r="G99" s="307"/>
      <c r="H99" s="307"/>
      <c r="I99" s="307"/>
      <c r="J99" s="371"/>
      <c r="K99" s="371"/>
      <c r="L99" s="371"/>
      <c r="M99" s="371"/>
      <c r="N99" s="371"/>
      <c r="O99" s="371"/>
      <c r="P99" s="371"/>
      <c r="Q99" s="371"/>
      <c r="R99" s="371"/>
      <c r="S99" s="371"/>
      <c r="T99" s="371"/>
    </row>
    <row r="100">
      <c r="A100" s="307"/>
      <c r="B100" s="307"/>
      <c r="C100" s="307"/>
      <c r="D100" s="307"/>
      <c r="E100" s="307"/>
      <c r="F100" s="371"/>
      <c r="G100" s="307"/>
      <c r="H100" s="307"/>
      <c r="I100" s="307"/>
      <c r="J100" s="371"/>
      <c r="K100" s="371"/>
      <c r="L100" s="371"/>
      <c r="M100" s="371"/>
      <c r="N100" s="371"/>
      <c r="O100" s="371"/>
      <c r="P100" s="371"/>
      <c r="Q100" s="371"/>
      <c r="R100" s="371"/>
      <c r="S100" s="371"/>
      <c r="T100" s="371"/>
    </row>
    <row r="101">
      <c r="A101" s="307"/>
      <c r="B101" s="307"/>
      <c r="C101" s="307"/>
      <c r="D101" s="307"/>
      <c r="E101" s="307"/>
      <c r="F101" s="371"/>
      <c r="G101" s="307"/>
      <c r="H101" s="307"/>
      <c r="I101" s="307"/>
      <c r="J101" s="371"/>
      <c r="K101" s="371"/>
      <c r="L101" s="371"/>
      <c r="M101" s="371"/>
      <c r="N101" s="371"/>
      <c r="O101" s="371"/>
      <c r="P101" s="371"/>
      <c r="Q101" s="371"/>
      <c r="R101" s="371"/>
      <c r="S101" s="371"/>
      <c r="T101" s="371"/>
    </row>
    <row r="102">
      <c r="A102" s="307"/>
      <c r="B102" s="307"/>
      <c r="C102" s="307"/>
      <c r="D102" s="307"/>
      <c r="E102" s="307"/>
      <c r="F102" s="371"/>
      <c r="G102" s="307"/>
      <c r="H102" s="307"/>
      <c r="I102" s="307"/>
      <c r="J102" s="371"/>
      <c r="K102" s="371"/>
      <c r="L102" s="371"/>
      <c r="M102" s="371"/>
      <c r="N102" s="371"/>
      <c r="O102" s="371"/>
      <c r="P102" s="371"/>
      <c r="Q102" s="371"/>
      <c r="R102" s="371"/>
      <c r="S102" s="371"/>
      <c r="T102" s="371"/>
    </row>
    <row r="103">
      <c r="A103" s="307"/>
      <c r="B103" s="307"/>
      <c r="C103" s="307"/>
      <c r="D103" s="307"/>
      <c r="E103" s="307"/>
      <c r="F103" s="371"/>
      <c r="G103" s="307"/>
      <c r="H103" s="307"/>
      <c r="I103" s="307"/>
      <c r="J103" s="371"/>
      <c r="K103" s="371"/>
      <c r="L103" s="371"/>
      <c r="M103" s="371"/>
      <c r="N103" s="371"/>
      <c r="O103" s="371"/>
      <c r="P103" s="371"/>
      <c r="Q103" s="371"/>
      <c r="R103" s="371"/>
      <c r="S103" s="371"/>
      <c r="T103" s="371"/>
    </row>
    <row r="104">
      <c r="A104" s="307"/>
      <c r="B104" s="307"/>
      <c r="C104" s="307"/>
      <c r="D104" s="307"/>
      <c r="E104" s="307"/>
      <c r="F104" s="371"/>
      <c r="G104" s="307"/>
      <c r="H104" s="307"/>
      <c r="I104" s="307"/>
      <c r="J104" s="371"/>
      <c r="K104" s="371"/>
      <c r="L104" s="371"/>
      <c r="M104" s="371"/>
      <c r="N104" s="371"/>
      <c r="O104" s="371"/>
      <c r="P104" s="371"/>
      <c r="Q104" s="371"/>
      <c r="R104" s="371"/>
      <c r="S104" s="371"/>
      <c r="T104" s="371"/>
    </row>
    <row r="105">
      <c r="A105" s="307"/>
      <c r="B105" s="307"/>
      <c r="C105" s="307"/>
      <c r="D105" s="307"/>
      <c r="E105" s="307"/>
      <c r="F105" s="371"/>
      <c r="G105" s="307"/>
      <c r="H105" s="307"/>
      <c r="I105" s="307"/>
      <c r="J105" s="371"/>
      <c r="K105" s="371"/>
      <c r="L105" s="371"/>
      <c r="M105" s="371"/>
      <c r="N105" s="371"/>
      <c r="O105" s="371"/>
      <c r="P105" s="371"/>
      <c r="Q105" s="371"/>
      <c r="R105" s="371"/>
      <c r="S105" s="371"/>
      <c r="T105" s="371"/>
    </row>
    <row r="106">
      <c r="A106" s="307"/>
      <c r="B106" s="307"/>
      <c r="C106" s="307"/>
      <c r="D106" s="307"/>
      <c r="E106" s="307"/>
      <c r="F106" s="371"/>
      <c r="G106" s="307"/>
      <c r="H106" s="307"/>
      <c r="I106" s="307"/>
      <c r="J106" s="371"/>
      <c r="K106" s="371"/>
      <c r="L106" s="371"/>
      <c r="M106" s="371"/>
      <c r="N106" s="371"/>
      <c r="O106" s="371"/>
      <c r="P106" s="371"/>
      <c r="Q106" s="371"/>
      <c r="R106" s="371"/>
      <c r="S106" s="371"/>
      <c r="T106" s="371"/>
    </row>
    <row r="107">
      <c r="A107" s="307"/>
      <c r="B107" s="307"/>
      <c r="C107" s="307"/>
      <c r="D107" s="307"/>
      <c r="E107" s="307"/>
      <c r="F107" s="371"/>
      <c r="G107" s="307"/>
      <c r="H107" s="307"/>
      <c r="I107" s="307"/>
      <c r="J107" s="371"/>
      <c r="K107" s="371"/>
      <c r="L107" s="371"/>
      <c r="M107" s="371"/>
      <c r="N107" s="371"/>
      <c r="O107" s="371"/>
      <c r="P107" s="371"/>
      <c r="Q107" s="371"/>
      <c r="R107" s="371"/>
      <c r="S107" s="371"/>
      <c r="T107" s="371"/>
    </row>
    <row r="108">
      <c r="A108" s="307"/>
      <c r="B108" s="307"/>
      <c r="C108" s="307"/>
      <c r="D108" s="307"/>
      <c r="E108" s="307"/>
      <c r="F108" s="371"/>
      <c r="G108" s="307"/>
      <c r="H108" s="307"/>
      <c r="I108" s="307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</row>
    <row r="109">
      <c r="A109" s="307"/>
      <c r="B109" s="307"/>
      <c r="C109" s="307"/>
      <c r="D109" s="307"/>
      <c r="E109" s="307"/>
      <c r="F109" s="371"/>
      <c r="G109" s="307"/>
      <c r="H109" s="307"/>
      <c r="I109" s="307"/>
      <c r="J109" s="371"/>
      <c r="K109" s="371"/>
      <c r="L109" s="371"/>
      <c r="M109" s="371"/>
      <c r="N109" s="371"/>
      <c r="O109" s="371"/>
      <c r="P109" s="371"/>
      <c r="Q109" s="371"/>
      <c r="R109" s="371"/>
      <c r="S109" s="371"/>
      <c r="T109" s="371"/>
    </row>
    <row r="110">
      <c r="A110" s="307"/>
      <c r="B110" s="307"/>
      <c r="C110" s="307"/>
      <c r="D110" s="307"/>
      <c r="E110" s="307"/>
      <c r="F110" s="371"/>
      <c r="G110" s="307"/>
      <c r="H110" s="307"/>
      <c r="I110" s="307"/>
      <c r="J110" s="371"/>
      <c r="K110" s="371"/>
      <c r="L110" s="371"/>
      <c r="M110" s="371"/>
      <c r="N110" s="371"/>
      <c r="O110" s="371"/>
      <c r="P110" s="371"/>
      <c r="Q110" s="371"/>
      <c r="R110" s="371"/>
      <c r="S110" s="371"/>
      <c r="T110" s="371"/>
    </row>
    <row r="111">
      <c r="A111" s="307"/>
      <c r="B111" s="307"/>
      <c r="C111" s="307"/>
      <c r="D111" s="307"/>
      <c r="E111" s="307"/>
      <c r="F111" s="371"/>
      <c r="G111" s="307"/>
      <c r="H111" s="307"/>
      <c r="I111" s="307"/>
      <c r="J111" s="371"/>
      <c r="K111" s="371"/>
      <c r="L111" s="371"/>
      <c r="M111" s="371"/>
      <c r="N111" s="371"/>
      <c r="O111" s="371"/>
      <c r="P111" s="371"/>
      <c r="Q111" s="371"/>
      <c r="R111" s="371"/>
      <c r="S111" s="371"/>
      <c r="T111" s="371"/>
    </row>
    <row r="112">
      <c r="A112" s="307"/>
      <c r="B112" s="307"/>
      <c r="C112" s="307"/>
      <c r="D112" s="307"/>
      <c r="E112" s="307"/>
      <c r="F112" s="371"/>
      <c r="G112" s="307"/>
      <c r="H112" s="307"/>
      <c r="I112" s="307"/>
      <c r="J112" s="371"/>
      <c r="K112" s="371"/>
      <c r="L112" s="371"/>
      <c r="M112" s="371"/>
      <c r="N112" s="371"/>
      <c r="O112" s="371"/>
      <c r="P112" s="371"/>
      <c r="Q112" s="371"/>
      <c r="R112" s="371"/>
      <c r="S112" s="371"/>
      <c r="T112" s="371"/>
    </row>
    <row r="113">
      <c r="A113" s="307"/>
      <c r="B113" s="307"/>
      <c r="C113" s="307"/>
      <c r="D113" s="307"/>
      <c r="E113" s="307"/>
      <c r="F113" s="371"/>
      <c r="G113" s="307"/>
      <c r="H113" s="307"/>
      <c r="I113" s="307"/>
      <c r="J113" s="371"/>
      <c r="K113" s="371"/>
      <c r="L113" s="371"/>
      <c r="M113" s="371"/>
      <c r="N113" s="371"/>
      <c r="O113" s="371"/>
      <c r="P113" s="371"/>
      <c r="Q113" s="371"/>
      <c r="R113" s="371"/>
      <c r="S113" s="371"/>
      <c r="T113" s="371"/>
    </row>
    <row r="114">
      <c r="A114" s="307"/>
      <c r="B114" s="307"/>
      <c r="C114" s="307"/>
      <c r="D114" s="307"/>
      <c r="E114" s="307"/>
      <c r="F114" s="371"/>
      <c r="G114" s="307"/>
      <c r="H114" s="307"/>
      <c r="I114" s="307"/>
      <c r="J114" s="371"/>
      <c r="K114" s="371"/>
      <c r="L114" s="371"/>
      <c r="M114" s="371"/>
      <c r="N114" s="371"/>
      <c r="O114" s="371"/>
      <c r="P114" s="371"/>
      <c r="Q114" s="371"/>
      <c r="R114" s="371"/>
      <c r="S114" s="371"/>
      <c r="T114" s="371"/>
    </row>
    <row r="115">
      <c r="A115" s="307"/>
      <c r="B115" s="307"/>
      <c r="C115" s="307"/>
      <c r="D115" s="307"/>
      <c r="E115" s="307"/>
      <c r="F115" s="371"/>
      <c r="G115" s="307"/>
      <c r="H115" s="307"/>
      <c r="I115" s="307"/>
      <c r="J115" s="371"/>
      <c r="K115" s="371"/>
      <c r="L115" s="371"/>
      <c r="M115" s="371"/>
      <c r="N115" s="371"/>
      <c r="O115" s="371"/>
      <c r="P115" s="371"/>
      <c r="Q115" s="371"/>
      <c r="R115" s="371"/>
      <c r="S115" s="371"/>
      <c r="T115" s="371"/>
    </row>
    <row r="116">
      <c r="A116" s="307"/>
      <c r="B116" s="307"/>
      <c r="C116" s="307"/>
      <c r="D116" s="307"/>
      <c r="E116" s="307"/>
      <c r="F116" s="371"/>
      <c r="G116" s="307"/>
      <c r="H116" s="307"/>
      <c r="I116" s="307"/>
      <c r="J116" s="371"/>
      <c r="K116" s="371"/>
      <c r="L116" s="371"/>
      <c r="M116" s="371"/>
      <c r="N116" s="371"/>
      <c r="O116" s="371"/>
      <c r="P116" s="371"/>
      <c r="Q116" s="371"/>
      <c r="R116" s="371"/>
      <c r="S116" s="371"/>
      <c r="T116" s="371"/>
    </row>
    <row r="117">
      <c r="A117" s="307"/>
      <c r="B117" s="307"/>
      <c r="C117" s="307"/>
      <c r="D117" s="307"/>
      <c r="E117" s="307"/>
      <c r="F117" s="371"/>
      <c r="G117" s="307"/>
      <c r="H117" s="307"/>
      <c r="I117" s="307"/>
      <c r="J117" s="371"/>
      <c r="K117" s="371"/>
      <c r="L117" s="371"/>
      <c r="M117" s="371"/>
      <c r="N117" s="371"/>
      <c r="O117" s="371"/>
      <c r="P117" s="371"/>
      <c r="Q117" s="371"/>
      <c r="R117" s="371"/>
      <c r="S117" s="371"/>
      <c r="T117" s="371"/>
    </row>
    <row r="118">
      <c r="A118" s="307"/>
      <c r="B118" s="307"/>
      <c r="C118" s="307"/>
      <c r="D118" s="307"/>
      <c r="E118" s="307"/>
      <c r="F118" s="371"/>
      <c r="G118" s="307"/>
      <c r="H118" s="307"/>
      <c r="I118" s="307"/>
      <c r="J118" s="371"/>
      <c r="K118" s="371"/>
      <c r="L118" s="371"/>
      <c r="M118" s="371"/>
      <c r="N118" s="371"/>
      <c r="O118" s="371"/>
      <c r="P118" s="371"/>
      <c r="Q118" s="371"/>
      <c r="R118" s="371"/>
      <c r="S118" s="371"/>
      <c r="T118" s="371"/>
    </row>
    <row r="119">
      <c r="A119" s="307"/>
      <c r="B119" s="307"/>
      <c r="C119" s="307"/>
      <c r="D119" s="307"/>
      <c r="E119" s="307"/>
      <c r="F119" s="371"/>
      <c r="G119" s="307"/>
      <c r="H119" s="307"/>
      <c r="I119" s="307"/>
      <c r="J119" s="371"/>
      <c r="K119" s="371"/>
      <c r="L119" s="371"/>
      <c r="M119" s="371"/>
      <c r="N119" s="371"/>
      <c r="O119" s="371"/>
      <c r="P119" s="371"/>
      <c r="Q119" s="371"/>
      <c r="R119" s="371"/>
      <c r="S119" s="371"/>
      <c r="T119" s="371"/>
    </row>
    <row r="120">
      <c r="A120" s="307"/>
      <c r="B120" s="307"/>
      <c r="C120" s="307"/>
      <c r="D120" s="307"/>
      <c r="E120" s="307"/>
      <c r="F120" s="371"/>
      <c r="G120" s="307"/>
      <c r="H120" s="307"/>
      <c r="I120" s="307"/>
      <c r="J120" s="371"/>
      <c r="K120" s="371"/>
      <c r="L120" s="371"/>
      <c r="M120" s="371"/>
      <c r="N120" s="371"/>
      <c r="O120" s="371"/>
      <c r="P120" s="371"/>
      <c r="Q120" s="371"/>
      <c r="R120" s="371"/>
      <c r="S120" s="371"/>
      <c r="T120" s="371"/>
    </row>
    <row r="121">
      <c r="A121" s="307"/>
      <c r="B121" s="307"/>
      <c r="C121" s="307"/>
      <c r="D121" s="307"/>
      <c r="E121" s="307"/>
      <c r="F121" s="371"/>
      <c r="G121" s="307"/>
      <c r="H121" s="307"/>
      <c r="I121" s="307"/>
      <c r="J121" s="371"/>
      <c r="K121" s="371"/>
      <c r="L121" s="371"/>
      <c r="M121" s="371"/>
      <c r="N121" s="371"/>
      <c r="O121" s="371"/>
      <c r="P121" s="371"/>
      <c r="Q121" s="371"/>
      <c r="R121" s="371"/>
      <c r="S121" s="371"/>
      <c r="T121" s="371"/>
    </row>
    <row r="122">
      <c r="A122" s="307"/>
      <c r="B122" s="307"/>
      <c r="C122" s="307"/>
      <c r="D122" s="307"/>
      <c r="E122" s="307"/>
      <c r="F122" s="371"/>
      <c r="G122" s="307"/>
      <c r="H122" s="307"/>
      <c r="I122" s="307"/>
      <c r="J122" s="371"/>
      <c r="K122" s="371"/>
      <c r="L122" s="371"/>
      <c r="M122" s="371"/>
      <c r="N122" s="371"/>
      <c r="O122" s="371"/>
      <c r="P122" s="371"/>
      <c r="Q122" s="371"/>
      <c r="R122" s="371"/>
      <c r="S122" s="371"/>
      <c r="T122" s="371"/>
    </row>
    <row r="123">
      <c r="A123" s="307"/>
      <c r="B123" s="307"/>
      <c r="C123" s="307"/>
      <c r="D123" s="307"/>
      <c r="E123" s="307"/>
      <c r="F123" s="371"/>
      <c r="G123" s="307"/>
      <c r="H123" s="307"/>
      <c r="I123" s="307"/>
      <c r="J123" s="371"/>
      <c r="K123" s="371"/>
      <c r="L123" s="371"/>
      <c r="M123" s="371"/>
      <c r="N123" s="371"/>
      <c r="O123" s="371"/>
      <c r="P123" s="371"/>
      <c r="Q123" s="371"/>
      <c r="R123" s="371"/>
      <c r="S123" s="371"/>
      <c r="T123" s="371"/>
    </row>
    <row r="124">
      <c r="A124" s="307"/>
      <c r="B124" s="307"/>
      <c r="C124" s="307"/>
      <c r="D124" s="307"/>
      <c r="E124" s="307"/>
      <c r="F124" s="371"/>
      <c r="G124" s="307"/>
      <c r="H124" s="307"/>
      <c r="I124" s="307"/>
      <c r="J124" s="371"/>
      <c r="K124" s="371"/>
      <c r="L124" s="371"/>
      <c r="M124" s="371"/>
      <c r="N124" s="371"/>
      <c r="O124" s="371"/>
      <c r="P124" s="371"/>
      <c r="Q124" s="371"/>
      <c r="R124" s="371"/>
      <c r="S124" s="371"/>
      <c r="T124" s="371"/>
    </row>
    <row r="125">
      <c r="A125" s="307"/>
      <c r="B125" s="307"/>
      <c r="C125" s="307"/>
      <c r="D125" s="307"/>
      <c r="E125" s="307"/>
      <c r="F125" s="371"/>
      <c r="G125" s="307"/>
      <c r="H125" s="307"/>
      <c r="I125" s="307"/>
      <c r="J125" s="371"/>
      <c r="K125" s="371"/>
      <c r="L125" s="371"/>
      <c r="M125" s="371"/>
      <c r="N125" s="371"/>
      <c r="O125" s="371"/>
      <c r="P125" s="371"/>
      <c r="Q125" s="371"/>
      <c r="R125" s="371"/>
      <c r="S125" s="371"/>
      <c r="T125" s="371"/>
    </row>
    <row r="126">
      <c r="A126" s="307"/>
      <c r="B126" s="307"/>
      <c r="C126" s="307"/>
      <c r="D126" s="307"/>
      <c r="E126" s="307"/>
      <c r="F126" s="371"/>
      <c r="G126" s="307"/>
      <c r="H126" s="307"/>
      <c r="I126" s="307"/>
      <c r="J126" s="371"/>
      <c r="K126" s="371"/>
      <c r="L126" s="371"/>
      <c r="M126" s="371"/>
      <c r="N126" s="371"/>
      <c r="O126" s="371"/>
      <c r="P126" s="371"/>
      <c r="Q126" s="371"/>
      <c r="R126" s="371"/>
      <c r="S126" s="371"/>
      <c r="T126" s="371"/>
    </row>
    <row r="127">
      <c r="A127" s="307"/>
      <c r="B127" s="307"/>
      <c r="C127" s="307"/>
      <c r="D127" s="307"/>
      <c r="E127" s="307"/>
      <c r="F127" s="371"/>
      <c r="G127" s="307"/>
      <c r="H127" s="307"/>
      <c r="I127" s="307"/>
      <c r="J127" s="371"/>
      <c r="K127" s="371"/>
      <c r="L127" s="371"/>
      <c r="M127" s="371"/>
      <c r="N127" s="371"/>
      <c r="O127" s="371"/>
      <c r="P127" s="371"/>
      <c r="Q127" s="371"/>
      <c r="R127" s="371"/>
      <c r="S127" s="371"/>
      <c r="T127" s="371"/>
    </row>
    <row r="128">
      <c r="A128" s="307"/>
      <c r="B128" s="307"/>
      <c r="C128" s="307"/>
      <c r="D128" s="307"/>
      <c r="E128" s="307"/>
      <c r="F128" s="371"/>
      <c r="G128" s="307"/>
      <c r="H128" s="307"/>
      <c r="I128" s="307"/>
      <c r="J128" s="371"/>
      <c r="K128" s="371"/>
      <c r="L128" s="371"/>
      <c r="M128" s="371"/>
      <c r="N128" s="371"/>
      <c r="O128" s="371"/>
      <c r="P128" s="371"/>
      <c r="Q128" s="371"/>
      <c r="R128" s="371"/>
      <c r="S128" s="371"/>
      <c r="T128" s="371"/>
    </row>
    <row r="129">
      <c r="A129" s="307"/>
      <c r="B129" s="307"/>
      <c r="C129" s="307"/>
      <c r="D129" s="307"/>
      <c r="E129" s="307"/>
      <c r="F129" s="371"/>
      <c r="G129" s="307"/>
      <c r="H129" s="307"/>
      <c r="I129" s="307"/>
      <c r="J129" s="371"/>
      <c r="K129" s="371"/>
      <c r="L129" s="371"/>
      <c r="M129" s="371"/>
      <c r="N129" s="371"/>
      <c r="O129" s="371"/>
      <c r="P129" s="371"/>
      <c r="Q129" s="371"/>
      <c r="R129" s="371"/>
      <c r="S129" s="371"/>
      <c r="T129" s="371"/>
    </row>
    <row r="130">
      <c r="A130" s="307"/>
      <c r="B130" s="307"/>
      <c r="C130" s="307"/>
      <c r="D130" s="307"/>
      <c r="E130" s="307"/>
      <c r="F130" s="371"/>
      <c r="G130" s="307"/>
      <c r="H130" s="307"/>
      <c r="I130" s="307"/>
      <c r="J130" s="371"/>
      <c r="K130" s="371"/>
      <c r="L130" s="371"/>
      <c r="M130" s="371"/>
      <c r="N130" s="371"/>
      <c r="O130" s="371"/>
      <c r="P130" s="371"/>
      <c r="Q130" s="371"/>
      <c r="R130" s="371"/>
      <c r="S130" s="371"/>
      <c r="T130" s="371"/>
    </row>
    <row r="131">
      <c r="A131" s="307"/>
      <c r="B131" s="307"/>
      <c r="C131" s="307"/>
      <c r="D131" s="307"/>
      <c r="E131" s="307"/>
      <c r="F131" s="371"/>
      <c r="G131" s="307"/>
      <c r="H131" s="307"/>
      <c r="I131" s="307"/>
      <c r="J131" s="371"/>
      <c r="K131" s="371"/>
      <c r="L131" s="371"/>
      <c r="M131" s="371"/>
      <c r="N131" s="371"/>
      <c r="O131" s="371"/>
      <c r="P131" s="371"/>
      <c r="Q131" s="371"/>
      <c r="R131" s="371"/>
      <c r="S131" s="371"/>
      <c r="T131" s="371"/>
    </row>
    <row r="132">
      <c r="A132" s="307"/>
      <c r="B132" s="307"/>
      <c r="C132" s="307"/>
      <c r="D132" s="307"/>
      <c r="E132" s="307"/>
      <c r="F132" s="371"/>
      <c r="G132" s="307"/>
      <c r="H132" s="307"/>
      <c r="I132" s="307"/>
      <c r="J132" s="371"/>
      <c r="K132" s="371"/>
      <c r="L132" s="371"/>
      <c r="M132" s="371"/>
      <c r="N132" s="371"/>
      <c r="O132" s="371"/>
      <c r="P132" s="371"/>
      <c r="Q132" s="371"/>
      <c r="R132" s="371"/>
      <c r="S132" s="371"/>
      <c r="T132" s="371"/>
    </row>
    <row r="133">
      <c r="A133" s="307"/>
      <c r="B133" s="307"/>
      <c r="C133" s="307"/>
      <c r="D133" s="307"/>
      <c r="E133" s="307"/>
      <c r="F133" s="371"/>
      <c r="G133" s="307"/>
      <c r="H133" s="307"/>
      <c r="I133" s="307"/>
      <c r="J133" s="371"/>
      <c r="K133" s="371"/>
      <c r="L133" s="371"/>
      <c r="M133" s="371"/>
      <c r="N133" s="371"/>
      <c r="O133" s="371"/>
      <c r="P133" s="371"/>
      <c r="Q133" s="371"/>
      <c r="R133" s="371"/>
      <c r="S133" s="371"/>
      <c r="T133" s="371"/>
    </row>
    <row r="134">
      <c r="A134" s="307"/>
      <c r="B134" s="307"/>
      <c r="C134" s="307"/>
      <c r="D134" s="307"/>
      <c r="E134" s="307"/>
      <c r="F134" s="371"/>
      <c r="G134" s="307"/>
      <c r="H134" s="307"/>
      <c r="I134" s="307"/>
      <c r="J134" s="371"/>
      <c r="K134" s="371"/>
      <c r="L134" s="371"/>
      <c r="M134" s="371"/>
      <c r="N134" s="371"/>
      <c r="O134" s="371"/>
      <c r="P134" s="371"/>
      <c r="Q134" s="371"/>
      <c r="R134" s="371"/>
      <c r="S134" s="371"/>
      <c r="T134" s="371"/>
    </row>
    <row r="135">
      <c r="A135" s="307"/>
      <c r="B135" s="307"/>
      <c r="C135" s="307"/>
      <c r="D135" s="307"/>
      <c r="E135" s="307"/>
      <c r="F135" s="371"/>
      <c r="G135" s="307"/>
      <c r="H135" s="307"/>
      <c r="I135" s="307"/>
      <c r="J135" s="371"/>
      <c r="K135" s="371"/>
      <c r="L135" s="371"/>
      <c r="M135" s="371"/>
      <c r="N135" s="371"/>
      <c r="O135" s="371"/>
      <c r="P135" s="371"/>
      <c r="Q135" s="371"/>
      <c r="R135" s="371"/>
      <c r="S135" s="371"/>
      <c r="T135" s="371"/>
    </row>
    <row r="136">
      <c r="A136" s="307"/>
      <c r="B136" s="307"/>
      <c r="C136" s="307"/>
      <c r="D136" s="307"/>
      <c r="E136" s="307"/>
      <c r="F136" s="371"/>
      <c r="G136" s="307"/>
      <c r="H136" s="307"/>
      <c r="I136" s="307"/>
      <c r="J136" s="371"/>
      <c r="K136" s="371"/>
      <c r="L136" s="371"/>
      <c r="M136" s="371"/>
      <c r="N136" s="371"/>
      <c r="O136" s="371"/>
      <c r="P136" s="371"/>
      <c r="Q136" s="371"/>
      <c r="R136" s="371"/>
      <c r="S136" s="371"/>
      <c r="T136" s="371"/>
    </row>
    <row r="137">
      <c r="A137" s="307"/>
      <c r="B137" s="307"/>
      <c r="C137" s="307"/>
      <c r="D137" s="307"/>
      <c r="E137" s="307"/>
      <c r="F137" s="371"/>
      <c r="G137" s="307"/>
      <c r="H137" s="307"/>
      <c r="I137" s="307"/>
      <c r="J137" s="371"/>
      <c r="K137" s="371"/>
      <c r="L137" s="371"/>
      <c r="M137" s="371"/>
      <c r="N137" s="371"/>
      <c r="O137" s="371"/>
      <c r="P137" s="371"/>
      <c r="Q137" s="371"/>
      <c r="R137" s="371"/>
      <c r="S137" s="371"/>
      <c r="T137" s="371"/>
    </row>
    <row r="138">
      <c r="A138" s="307"/>
      <c r="B138" s="307"/>
      <c r="C138" s="307"/>
      <c r="D138" s="307"/>
      <c r="E138" s="307"/>
      <c r="F138" s="371"/>
      <c r="G138" s="307"/>
      <c r="H138" s="307"/>
      <c r="I138" s="307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</row>
    <row r="139">
      <c r="A139" s="307"/>
      <c r="B139" s="307"/>
      <c r="C139" s="307"/>
      <c r="D139" s="307"/>
      <c r="E139" s="307"/>
      <c r="F139" s="371"/>
      <c r="G139" s="307"/>
      <c r="H139" s="307"/>
      <c r="I139" s="307"/>
      <c r="J139" s="371"/>
      <c r="K139" s="371"/>
      <c r="L139" s="371"/>
      <c r="M139" s="371"/>
      <c r="N139" s="371"/>
      <c r="O139" s="371"/>
      <c r="P139" s="371"/>
      <c r="Q139" s="371"/>
      <c r="R139" s="371"/>
      <c r="S139" s="371"/>
      <c r="T139" s="371"/>
    </row>
    <row r="140">
      <c r="A140" s="307"/>
      <c r="B140" s="307"/>
      <c r="C140" s="307"/>
      <c r="D140" s="307"/>
      <c r="E140" s="307"/>
      <c r="F140" s="371"/>
      <c r="G140" s="307"/>
      <c r="H140" s="307"/>
      <c r="I140" s="307"/>
      <c r="J140" s="371"/>
      <c r="K140" s="371"/>
      <c r="L140" s="371"/>
      <c r="M140" s="371"/>
      <c r="N140" s="371"/>
      <c r="O140" s="371"/>
      <c r="P140" s="371"/>
      <c r="Q140" s="371"/>
      <c r="R140" s="371"/>
      <c r="S140" s="371"/>
      <c r="T140" s="371"/>
    </row>
    <row r="141">
      <c r="A141" s="307"/>
      <c r="B141" s="307"/>
      <c r="C141" s="307"/>
      <c r="D141" s="307"/>
      <c r="E141" s="307"/>
      <c r="F141" s="371"/>
      <c r="G141" s="307"/>
      <c r="H141" s="307"/>
      <c r="I141" s="307"/>
      <c r="J141" s="371"/>
      <c r="K141" s="371"/>
      <c r="L141" s="371"/>
      <c r="M141" s="371"/>
      <c r="N141" s="371"/>
      <c r="O141" s="371"/>
      <c r="P141" s="371"/>
      <c r="Q141" s="371"/>
      <c r="R141" s="371"/>
      <c r="S141" s="371"/>
      <c r="T141" s="371"/>
    </row>
    <row r="142">
      <c r="A142" s="307"/>
      <c r="B142" s="307"/>
      <c r="C142" s="307"/>
      <c r="D142" s="307"/>
      <c r="E142" s="307"/>
      <c r="F142" s="371"/>
      <c r="G142" s="307"/>
      <c r="H142" s="307"/>
      <c r="I142" s="307"/>
      <c r="J142" s="371"/>
      <c r="K142" s="371"/>
      <c r="L142" s="371"/>
      <c r="M142" s="371"/>
      <c r="N142" s="371"/>
      <c r="O142" s="371"/>
      <c r="P142" s="371"/>
      <c r="Q142" s="371"/>
      <c r="R142" s="371"/>
      <c r="S142" s="371"/>
      <c r="T142" s="371"/>
    </row>
    <row r="143">
      <c r="A143" s="307"/>
      <c r="B143" s="307"/>
      <c r="C143" s="307"/>
      <c r="D143" s="307"/>
      <c r="E143" s="307"/>
      <c r="F143" s="371"/>
      <c r="G143" s="307"/>
      <c r="H143" s="307"/>
      <c r="I143" s="307"/>
      <c r="J143" s="371"/>
      <c r="K143" s="371"/>
      <c r="L143" s="371"/>
      <c r="M143" s="371"/>
      <c r="N143" s="371"/>
      <c r="O143" s="371"/>
      <c r="P143" s="371"/>
      <c r="Q143" s="371"/>
      <c r="R143" s="371"/>
      <c r="S143" s="371"/>
      <c r="T143" s="371"/>
    </row>
    <row r="144">
      <c r="A144" s="307"/>
      <c r="B144" s="307"/>
      <c r="C144" s="307"/>
      <c r="D144" s="307"/>
      <c r="E144" s="307"/>
      <c r="F144" s="371"/>
      <c r="G144" s="307"/>
      <c r="H144" s="307"/>
      <c r="I144" s="307"/>
      <c r="J144" s="371"/>
      <c r="K144" s="371"/>
      <c r="L144" s="371"/>
      <c r="M144" s="371"/>
      <c r="N144" s="371"/>
      <c r="O144" s="371"/>
      <c r="P144" s="371"/>
      <c r="Q144" s="371"/>
      <c r="R144" s="371"/>
      <c r="S144" s="371"/>
      <c r="T144" s="371"/>
    </row>
    <row r="145">
      <c r="A145" s="307"/>
      <c r="B145" s="307"/>
      <c r="C145" s="307"/>
      <c r="D145" s="307"/>
      <c r="E145" s="307"/>
      <c r="F145" s="371"/>
      <c r="G145" s="307"/>
      <c r="H145" s="307"/>
      <c r="I145" s="307"/>
      <c r="J145" s="371"/>
      <c r="K145" s="371"/>
      <c r="L145" s="371"/>
      <c r="M145" s="371"/>
      <c r="N145" s="371"/>
      <c r="O145" s="371"/>
      <c r="P145" s="371"/>
      <c r="Q145" s="371"/>
      <c r="R145" s="371"/>
      <c r="S145" s="371"/>
      <c r="T145" s="371"/>
    </row>
    <row r="146">
      <c r="A146" s="307"/>
      <c r="B146" s="307"/>
      <c r="C146" s="307"/>
      <c r="D146" s="307"/>
      <c r="E146" s="307"/>
      <c r="F146" s="371"/>
      <c r="G146" s="307"/>
      <c r="H146" s="307"/>
      <c r="I146" s="307"/>
      <c r="J146" s="371"/>
      <c r="K146" s="371"/>
      <c r="L146" s="371"/>
      <c r="M146" s="371"/>
      <c r="N146" s="371"/>
      <c r="O146" s="371"/>
      <c r="P146" s="371"/>
      <c r="Q146" s="371"/>
      <c r="R146" s="371"/>
      <c r="S146" s="371"/>
      <c r="T146" s="371"/>
    </row>
    <row r="147">
      <c r="A147" s="307"/>
      <c r="B147" s="307"/>
      <c r="C147" s="307"/>
      <c r="D147" s="307"/>
      <c r="E147" s="307"/>
      <c r="F147" s="371"/>
      <c r="G147" s="307"/>
      <c r="H147" s="307"/>
      <c r="I147" s="307"/>
      <c r="J147" s="371"/>
      <c r="K147" s="371"/>
      <c r="L147" s="371"/>
      <c r="M147" s="371"/>
      <c r="N147" s="371"/>
      <c r="O147" s="371"/>
      <c r="P147" s="371"/>
      <c r="Q147" s="371"/>
      <c r="R147" s="371"/>
      <c r="S147" s="371"/>
      <c r="T147" s="371"/>
    </row>
    <row r="148">
      <c r="A148" s="307"/>
      <c r="B148" s="307"/>
      <c r="C148" s="307"/>
      <c r="D148" s="307"/>
      <c r="E148" s="307"/>
      <c r="F148" s="371"/>
      <c r="G148" s="307"/>
      <c r="H148" s="307"/>
      <c r="I148" s="307"/>
      <c r="J148" s="371"/>
      <c r="K148" s="371"/>
      <c r="L148" s="371"/>
      <c r="M148" s="371"/>
      <c r="N148" s="371"/>
      <c r="O148" s="371"/>
      <c r="P148" s="371"/>
      <c r="Q148" s="371"/>
      <c r="R148" s="371"/>
      <c r="S148" s="371"/>
      <c r="T148" s="371"/>
    </row>
    <row r="149">
      <c r="A149" s="307"/>
      <c r="B149" s="307"/>
      <c r="C149" s="307"/>
      <c r="D149" s="307"/>
      <c r="E149" s="307"/>
      <c r="F149" s="371"/>
      <c r="G149" s="307"/>
      <c r="H149" s="307"/>
      <c r="I149" s="307"/>
      <c r="J149" s="371"/>
      <c r="K149" s="371"/>
      <c r="L149" s="371"/>
      <c r="M149" s="371"/>
      <c r="N149" s="371"/>
      <c r="O149" s="371"/>
      <c r="P149" s="371"/>
      <c r="Q149" s="371"/>
      <c r="R149" s="371"/>
      <c r="S149" s="371"/>
      <c r="T149" s="371"/>
    </row>
    <row r="150">
      <c r="A150" s="307"/>
      <c r="B150" s="307"/>
      <c r="C150" s="307"/>
      <c r="D150" s="307"/>
      <c r="E150" s="307"/>
      <c r="F150" s="371"/>
      <c r="G150" s="307"/>
      <c r="H150" s="307"/>
      <c r="I150" s="307"/>
      <c r="J150" s="371"/>
      <c r="K150" s="371"/>
      <c r="L150" s="371"/>
      <c r="M150" s="371"/>
      <c r="N150" s="371"/>
      <c r="O150" s="371"/>
      <c r="P150" s="371"/>
      <c r="Q150" s="371"/>
      <c r="R150" s="371"/>
      <c r="S150" s="371"/>
      <c r="T150" s="371"/>
    </row>
    <row r="151">
      <c r="A151" s="307"/>
      <c r="B151" s="307"/>
      <c r="C151" s="307"/>
      <c r="D151" s="307"/>
      <c r="E151" s="307"/>
      <c r="F151" s="371"/>
      <c r="G151" s="307"/>
      <c r="H151" s="307"/>
      <c r="I151" s="307"/>
      <c r="J151" s="371"/>
      <c r="K151" s="371"/>
      <c r="L151" s="371"/>
      <c r="M151" s="371"/>
      <c r="N151" s="371"/>
      <c r="O151" s="371"/>
      <c r="P151" s="371"/>
      <c r="Q151" s="371"/>
      <c r="R151" s="371"/>
      <c r="S151" s="371"/>
      <c r="T151" s="371"/>
    </row>
    <row r="152">
      <c r="A152" s="307"/>
      <c r="B152" s="307"/>
      <c r="C152" s="307"/>
      <c r="D152" s="307"/>
      <c r="E152" s="307"/>
      <c r="F152" s="371"/>
      <c r="G152" s="307"/>
      <c r="H152" s="307"/>
      <c r="I152" s="307"/>
      <c r="J152" s="371"/>
      <c r="K152" s="371"/>
      <c r="L152" s="371"/>
      <c r="M152" s="371"/>
      <c r="N152" s="371"/>
      <c r="O152" s="371"/>
      <c r="P152" s="371"/>
      <c r="Q152" s="371"/>
      <c r="R152" s="371"/>
      <c r="S152" s="371"/>
      <c r="T152" s="371"/>
    </row>
    <row r="153">
      <c r="A153" s="307"/>
      <c r="B153" s="307"/>
      <c r="C153" s="307"/>
      <c r="D153" s="307"/>
      <c r="E153" s="307"/>
      <c r="F153" s="371"/>
      <c r="G153" s="307"/>
      <c r="H153" s="307"/>
      <c r="I153" s="307"/>
      <c r="J153" s="371"/>
      <c r="K153" s="371"/>
      <c r="L153" s="371"/>
      <c r="M153" s="371"/>
      <c r="N153" s="371"/>
      <c r="O153" s="371"/>
      <c r="P153" s="371"/>
      <c r="Q153" s="371"/>
      <c r="R153" s="371"/>
      <c r="S153" s="371"/>
      <c r="T153" s="371"/>
    </row>
    <row r="154">
      <c r="A154" s="307"/>
      <c r="B154" s="307"/>
      <c r="C154" s="307"/>
      <c r="D154" s="307"/>
      <c r="E154" s="307"/>
      <c r="F154" s="371"/>
      <c r="G154" s="307"/>
      <c r="H154" s="307"/>
      <c r="I154" s="307"/>
      <c r="J154" s="371"/>
      <c r="K154" s="371"/>
      <c r="L154" s="371"/>
      <c r="M154" s="371"/>
      <c r="N154" s="371"/>
      <c r="O154" s="371"/>
      <c r="P154" s="371"/>
      <c r="Q154" s="371"/>
      <c r="R154" s="371"/>
      <c r="S154" s="371"/>
      <c r="T154" s="371"/>
    </row>
    <row r="155">
      <c r="A155" s="307"/>
      <c r="B155" s="307"/>
      <c r="C155" s="307"/>
      <c r="D155" s="307"/>
      <c r="E155" s="307"/>
      <c r="F155" s="371"/>
      <c r="G155" s="307"/>
      <c r="H155" s="307"/>
      <c r="I155" s="307"/>
      <c r="J155" s="371"/>
      <c r="K155" s="371"/>
      <c r="L155" s="371"/>
      <c r="M155" s="371"/>
      <c r="N155" s="371"/>
      <c r="O155" s="371"/>
      <c r="P155" s="371"/>
      <c r="Q155" s="371"/>
      <c r="R155" s="371"/>
      <c r="S155" s="371"/>
      <c r="T155" s="371"/>
    </row>
    <row r="156">
      <c r="A156" s="307"/>
      <c r="B156" s="307"/>
      <c r="C156" s="307"/>
      <c r="D156" s="307"/>
      <c r="E156" s="307"/>
      <c r="F156" s="371"/>
      <c r="G156" s="307"/>
      <c r="H156" s="307"/>
      <c r="I156" s="307"/>
      <c r="J156" s="371"/>
      <c r="K156" s="371"/>
      <c r="L156" s="371"/>
      <c r="M156" s="371"/>
      <c r="N156" s="371"/>
      <c r="O156" s="371"/>
      <c r="P156" s="371"/>
      <c r="Q156" s="371"/>
      <c r="R156" s="371"/>
      <c r="S156" s="371"/>
      <c r="T156" s="371"/>
    </row>
    <row r="157">
      <c r="A157" s="307"/>
      <c r="B157" s="307"/>
      <c r="C157" s="307"/>
      <c r="D157" s="307"/>
      <c r="E157" s="307"/>
      <c r="F157" s="371"/>
      <c r="G157" s="307"/>
      <c r="H157" s="307"/>
      <c r="I157" s="307"/>
      <c r="J157" s="371"/>
      <c r="K157" s="371"/>
      <c r="L157" s="371"/>
      <c r="M157" s="371"/>
      <c r="N157" s="371"/>
      <c r="O157" s="371"/>
      <c r="P157" s="371"/>
      <c r="Q157" s="371"/>
      <c r="R157" s="371"/>
      <c r="S157" s="371"/>
      <c r="T157" s="371"/>
    </row>
    <row r="158">
      <c r="A158" s="307"/>
      <c r="B158" s="307"/>
      <c r="C158" s="307"/>
      <c r="D158" s="307"/>
      <c r="E158" s="307"/>
      <c r="F158" s="371"/>
      <c r="G158" s="307"/>
      <c r="H158" s="307"/>
      <c r="I158" s="307"/>
      <c r="J158" s="371"/>
      <c r="K158" s="371"/>
      <c r="L158" s="371"/>
      <c r="M158" s="371"/>
      <c r="N158" s="371"/>
      <c r="O158" s="371"/>
      <c r="P158" s="371"/>
      <c r="Q158" s="371"/>
      <c r="R158" s="371"/>
      <c r="S158" s="371"/>
      <c r="T158" s="371"/>
    </row>
    <row r="159">
      <c r="A159" s="307"/>
      <c r="B159" s="307"/>
      <c r="C159" s="307"/>
      <c r="D159" s="307"/>
      <c r="E159" s="307"/>
      <c r="F159" s="371"/>
      <c r="G159" s="307"/>
      <c r="H159" s="307"/>
      <c r="I159" s="307"/>
      <c r="J159" s="371"/>
      <c r="K159" s="371"/>
      <c r="L159" s="371"/>
      <c r="M159" s="371"/>
      <c r="N159" s="371"/>
      <c r="O159" s="371"/>
      <c r="P159" s="371"/>
      <c r="Q159" s="371"/>
      <c r="R159" s="371"/>
      <c r="S159" s="371"/>
      <c r="T159" s="371"/>
    </row>
    <row r="160">
      <c r="A160" s="307"/>
      <c r="B160" s="307"/>
      <c r="C160" s="307"/>
      <c r="D160" s="307"/>
      <c r="E160" s="307"/>
      <c r="F160" s="371"/>
      <c r="G160" s="307"/>
      <c r="H160" s="307"/>
      <c r="I160" s="307"/>
      <c r="J160" s="371"/>
      <c r="K160" s="371"/>
      <c r="L160" s="371"/>
      <c r="M160" s="371"/>
      <c r="N160" s="371"/>
      <c r="O160" s="371"/>
      <c r="P160" s="371"/>
      <c r="Q160" s="371"/>
      <c r="R160" s="371"/>
      <c r="S160" s="371"/>
      <c r="T160" s="371"/>
    </row>
    <row r="161">
      <c r="A161" s="307"/>
      <c r="B161" s="307"/>
      <c r="C161" s="307"/>
      <c r="D161" s="307"/>
      <c r="E161" s="307"/>
      <c r="F161" s="371"/>
      <c r="G161" s="307"/>
      <c r="H161" s="307"/>
      <c r="I161" s="307"/>
      <c r="J161" s="371"/>
      <c r="K161" s="371"/>
      <c r="L161" s="371"/>
      <c r="M161" s="371"/>
      <c r="N161" s="371"/>
      <c r="O161" s="371"/>
      <c r="P161" s="371"/>
      <c r="Q161" s="371"/>
      <c r="R161" s="371"/>
      <c r="S161" s="371"/>
      <c r="T161" s="371"/>
    </row>
    <row r="162">
      <c r="A162" s="307"/>
      <c r="B162" s="307"/>
      <c r="C162" s="307"/>
      <c r="D162" s="307"/>
      <c r="E162" s="307"/>
      <c r="F162" s="371"/>
      <c r="G162" s="307"/>
      <c r="H162" s="307"/>
      <c r="I162" s="307"/>
      <c r="J162" s="371"/>
      <c r="K162" s="371"/>
      <c r="L162" s="371"/>
      <c r="M162" s="371"/>
      <c r="N162" s="371"/>
      <c r="O162" s="371"/>
      <c r="P162" s="371"/>
      <c r="Q162" s="371"/>
      <c r="R162" s="371"/>
      <c r="S162" s="371"/>
      <c r="T162" s="371"/>
    </row>
    <row r="163">
      <c r="A163" s="307"/>
      <c r="B163" s="307"/>
      <c r="C163" s="307"/>
      <c r="D163" s="307"/>
      <c r="E163" s="307"/>
      <c r="F163" s="371"/>
      <c r="G163" s="307"/>
      <c r="H163" s="307"/>
      <c r="I163" s="307"/>
      <c r="J163" s="371"/>
      <c r="K163" s="371"/>
      <c r="L163" s="371"/>
      <c r="M163" s="371"/>
      <c r="N163" s="371"/>
      <c r="O163" s="371"/>
      <c r="P163" s="371"/>
      <c r="Q163" s="371"/>
      <c r="R163" s="371"/>
      <c r="S163" s="371"/>
      <c r="T163" s="371"/>
    </row>
    <row r="164">
      <c r="A164" s="307"/>
      <c r="B164" s="307"/>
      <c r="C164" s="307"/>
      <c r="D164" s="307"/>
      <c r="E164" s="307"/>
      <c r="F164" s="371"/>
      <c r="G164" s="307"/>
      <c r="H164" s="307"/>
      <c r="I164" s="307"/>
      <c r="J164" s="371"/>
      <c r="K164" s="371"/>
      <c r="L164" s="371"/>
      <c r="M164" s="371"/>
      <c r="N164" s="371"/>
      <c r="O164" s="371"/>
      <c r="P164" s="371"/>
      <c r="Q164" s="371"/>
      <c r="R164" s="371"/>
      <c r="S164" s="371"/>
      <c r="T164" s="371"/>
    </row>
    <row r="165">
      <c r="A165" s="307"/>
      <c r="B165" s="307"/>
      <c r="C165" s="307"/>
      <c r="D165" s="307"/>
      <c r="E165" s="307"/>
      <c r="F165" s="371"/>
      <c r="G165" s="307"/>
      <c r="H165" s="307"/>
      <c r="I165" s="307"/>
      <c r="J165" s="371"/>
      <c r="K165" s="371"/>
      <c r="L165" s="371"/>
      <c r="M165" s="371"/>
      <c r="N165" s="371"/>
      <c r="O165" s="371"/>
      <c r="P165" s="371"/>
      <c r="Q165" s="371"/>
      <c r="R165" s="371"/>
      <c r="S165" s="371"/>
      <c r="T165" s="371"/>
    </row>
    <row r="166">
      <c r="A166" s="307"/>
      <c r="B166" s="307"/>
      <c r="C166" s="307"/>
      <c r="D166" s="307"/>
      <c r="E166" s="307"/>
      <c r="F166" s="371"/>
      <c r="G166" s="307"/>
      <c r="H166" s="307"/>
      <c r="I166" s="307"/>
      <c r="J166" s="371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</row>
    <row r="167">
      <c r="A167" s="307"/>
      <c r="B167" s="307"/>
      <c r="C167" s="307"/>
      <c r="D167" s="307"/>
      <c r="E167" s="307"/>
      <c r="F167" s="371"/>
      <c r="G167" s="307"/>
      <c r="H167" s="307"/>
      <c r="I167" s="307"/>
      <c r="J167" s="371"/>
      <c r="K167" s="371"/>
      <c r="L167" s="371"/>
      <c r="M167" s="371"/>
      <c r="N167" s="371"/>
      <c r="O167" s="371"/>
      <c r="P167" s="371"/>
      <c r="Q167" s="371"/>
      <c r="R167" s="371"/>
      <c r="S167" s="371"/>
      <c r="T167" s="371"/>
    </row>
    <row r="168">
      <c r="A168" s="307"/>
      <c r="B168" s="307"/>
      <c r="C168" s="307"/>
      <c r="D168" s="307"/>
      <c r="E168" s="307"/>
      <c r="F168" s="371"/>
      <c r="G168" s="307"/>
      <c r="H168" s="307"/>
      <c r="I168" s="307"/>
      <c r="J168" s="371"/>
      <c r="K168" s="371"/>
      <c r="L168" s="371"/>
      <c r="M168" s="371"/>
      <c r="N168" s="371"/>
      <c r="O168" s="371"/>
      <c r="P168" s="371"/>
      <c r="Q168" s="371"/>
      <c r="R168" s="371"/>
      <c r="S168" s="371"/>
      <c r="T168" s="371"/>
    </row>
    <row r="169">
      <c r="A169" s="307"/>
      <c r="B169" s="307"/>
      <c r="C169" s="307"/>
      <c r="D169" s="307"/>
      <c r="E169" s="307"/>
      <c r="F169" s="371"/>
      <c r="G169" s="307"/>
      <c r="H169" s="307"/>
      <c r="I169" s="307"/>
      <c r="J169" s="371"/>
      <c r="K169" s="371"/>
      <c r="L169" s="371"/>
      <c r="M169" s="371"/>
      <c r="N169" s="371"/>
      <c r="O169" s="371"/>
      <c r="P169" s="371"/>
      <c r="Q169" s="371"/>
      <c r="R169" s="371"/>
      <c r="S169" s="371"/>
      <c r="T169" s="371"/>
    </row>
    <row r="170">
      <c r="A170" s="307"/>
      <c r="B170" s="307"/>
      <c r="C170" s="307"/>
      <c r="D170" s="307"/>
      <c r="E170" s="307"/>
      <c r="F170" s="371"/>
      <c r="G170" s="307"/>
      <c r="H170" s="307"/>
      <c r="I170" s="307"/>
      <c r="J170" s="371"/>
      <c r="K170" s="371"/>
      <c r="L170" s="371"/>
      <c r="M170" s="371"/>
      <c r="N170" s="371"/>
      <c r="O170" s="371"/>
      <c r="P170" s="371"/>
      <c r="Q170" s="371"/>
      <c r="R170" s="371"/>
      <c r="S170" s="371"/>
      <c r="T170" s="371"/>
    </row>
    <row r="171">
      <c r="A171" s="307"/>
      <c r="B171" s="307"/>
      <c r="C171" s="307"/>
      <c r="D171" s="307"/>
      <c r="E171" s="307"/>
      <c r="F171" s="371"/>
      <c r="G171" s="307"/>
      <c r="H171" s="307"/>
      <c r="I171" s="307"/>
      <c r="J171" s="371"/>
      <c r="K171" s="371"/>
      <c r="L171" s="371"/>
      <c r="M171" s="371"/>
      <c r="N171" s="371"/>
      <c r="O171" s="371"/>
      <c r="P171" s="371"/>
      <c r="Q171" s="371"/>
      <c r="R171" s="371"/>
      <c r="S171" s="371"/>
      <c r="T171" s="371"/>
    </row>
    <row r="172">
      <c r="A172" s="307"/>
      <c r="B172" s="307"/>
      <c r="C172" s="307"/>
      <c r="D172" s="307"/>
      <c r="E172" s="307"/>
      <c r="F172" s="371"/>
      <c r="G172" s="307"/>
      <c r="H172" s="307"/>
      <c r="I172" s="307"/>
      <c r="J172" s="371"/>
      <c r="K172" s="371"/>
      <c r="L172" s="371"/>
      <c r="M172" s="371"/>
      <c r="N172" s="371"/>
      <c r="O172" s="371"/>
      <c r="P172" s="371"/>
      <c r="Q172" s="371"/>
      <c r="R172" s="371"/>
      <c r="S172" s="371"/>
      <c r="T172" s="371"/>
    </row>
    <row r="173">
      <c r="A173" s="307"/>
      <c r="B173" s="307"/>
      <c r="C173" s="307"/>
      <c r="D173" s="307"/>
      <c r="E173" s="307"/>
      <c r="F173" s="371"/>
      <c r="G173" s="307"/>
      <c r="H173" s="307"/>
      <c r="I173" s="307"/>
      <c r="J173" s="371"/>
      <c r="K173" s="371"/>
      <c r="L173" s="371"/>
      <c r="M173" s="371"/>
      <c r="N173" s="371"/>
      <c r="O173" s="371"/>
      <c r="P173" s="371"/>
      <c r="Q173" s="371"/>
      <c r="R173" s="371"/>
      <c r="S173" s="371"/>
      <c r="T173" s="371"/>
    </row>
    <row r="174">
      <c r="A174" s="307"/>
      <c r="B174" s="307"/>
      <c r="C174" s="307"/>
      <c r="D174" s="307"/>
      <c r="E174" s="307"/>
      <c r="F174" s="371"/>
      <c r="G174" s="307"/>
      <c r="H174" s="307"/>
      <c r="I174" s="307"/>
      <c r="J174" s="371"/>
      <c r="K174" s="371"/>
      <c r="L174" s="371"/>
      <c r="M174" s="371"/>
      <c r="N174" s="371"/>
      <c r="O174" s="371"/>
      <c r="P174" s="371"/>
      <c r="Q174" s="371"/>
      <c r="R174" s="371"/>
      <c r="S174" s="371"/>
      <c r="T174" s="371"/>
    </row>
    <row r="175">
      <c r="A175" s="307"/>
      <c r="B175" s="307"/>
      <c r="C175" s="307"/>
      <c r="D175" s="307"/>
      <c r="E175" s="307"/>
      <c r="F175" s="371"/>
      <c r="G175" s="307"/>
      <c r="H175" s="307"/>
      <c r="I175" s="307"/>
      <c r="J175" s="371"/>
      <c r="K175" s="371"/>
      <c r="L175" s="371"/>
      <c r="M175" s="371"/>
      <c r="N175" s="371"/>
      <c r="O175" s="371"/>
      <c r="P175" s="371"/>
      <c r="Q175" s="371"/>
      <c r="R175" s="371"/>
      <c r="S175" s="371"/>
      <c r="T175" s="371"/>
    </row>
    <row r="176">
      <c r="A176" s="307"/>
      <c r="B176" s="307"/>
      <c r="C176" s="307"/>
      <c r="D176" s="307"/>
      <c r="E176" s="307"/>
      <c r="F176" s="371"/>
      <c r="G176" s="307"/>
      <c r="H176" s="307"/>
      <c r="I176" s="307"/>
      <c r="J176" s="371"/>
      <c r="K176" s="371"/>
      <c r="L176" s="371"/>
      <c r="M176" s="371"/>
      <c r="N176" s="371"/>
      <c r="O176" s="371"/>
      <c r="P176" s="371"/>
      <c r="Q176" s="371"/>
      <c r="R176" s="371"/>
      <c r="S176" s="371"/>
      <c r="T176" s="371"/>
    </row>
    <row r="177">
      <c r="A177" s="307"/>
      <c r="B177" s="307"/>
      <c r="C177" s="307"/>
      <c r="D177" s="307"/>
      <c r="E177" s="307"/>
      <c r="F177" s="371"/>
      <c r="G177" s="307"/>
      <c r="H177" s="307"/>
      <c r="I177" s="307"/>
      <c r="J177" s="371"/>
      <c r="K177" s="371"/>
      <c r="L177" s="371"/>
      <c r="M177" s="371"/>
      <c r="N177" s="371"/>
      <c r="O177" s="371"/>
      <c r="P177" s="371"/>
      <c r="Q177" s="371"/>
      <c r="R177" s="371"/>
      <c r="S177" s="371"/>
      <c r="T177" s="371"/>
    </row>
    <row r="178">
      <c r="A178" s="307"/>
      <c r="B178" s="307"/>
      <c r="C178" s="307"/>
      <c r="D178" s="307"/>
      <c r="E178" s="307"/>
      <c r="F178" s="371"/>
      <c r="G178" s="307"/>
      <c r="H178" s="307"/>
      <c r="I178" s="307"/>
      <c r="J178" s="371"/>
      <c r="K178" s="371"/>
      <c r="L178" s="371"/>
      <c r="M178" s="371"/>
      <c r="N178" s="371"/>
      <c r="O178" s="371"/>
      <c r="P178" s="371"/>
      <c r="Q178" s="371"/>
      <c r="R178" s="371"/>
      <c r="S178" s="371"/>
      <c r="T178" s="371"/>
    </row>
    <row r="179">
      <c r="A179" s="307"/>
      <c r="B179" s="307"/>
      <c r="C179" s="307"/>
      <c r="D179" s="307"/>
      <c r="E179" s="307"/>
      <c r="F179" s="371"/>
      <c r="G179" s="307"/>
      <c r="H179" s="307"/>
      <c r="I179" s="307"/>
      <c r="J179" s="371"/>
      <c r="K179" s="371"/>
      <c r="L179" s="371"/>
      <c r="M179" s="371"/>
      <c r="N179" s="371"/>
      <c r="O179" s="371"/>
      <c r="P179" s="371"/>
      <c r="Q179" s="371"/>
      <c r="R179" s="371"/>
      <c r="S179" s="371"/>
      <c r="T179" s="371"/>
    </row>
    <row r="180">
      <c r="A180" s="307"/>
      <c r="B180" s="307"/>
      <c r="C180" s="307"/>
      <c r="D180" s="307"/>
      <c r="E180" s="307"/>
      <c r="F180" s="371"/>
      <c r="G180" s="307"/>
      <c r="H180" s="307"/>
      <c r="I180" s="307"/>
      <c r="J180" s="371"/>
      <c r="K180" s="371"/>
      <c r="L180" s="371"/>
      <c r="M180" s="371"/>
      <c r="N180" s="371"/>
      <c r="O180" s="371"/>
      <c r="P180" s="371"/>
      <c r="Q180" s="371"/>
      <c r="R180" s="371"/>
      <c r="S180" s="371"/>
      <c r="T180" s="371"/>
    </row>
    <row r="181">
      <c r="A181" s="307"/>
      <c r="B181" s="307"/>
      <c r="C181" s="307"/>
      <c r="D181" s="307"/>
      <c r="E181" s="307"/>
      <c r="F181" s="371"/>
      <c r="G181" s="307"/>
      <c r="H181" s="307"/>
      <c r="I181" s="307"/>
      <c r="J181" s="371"/>
      <c r="K181" s="371"/>
      <c r="L181" s="371"/>
      <c r="M181" s="371"/>
      <c r="N181" s="371"/>
      <c r="O181" s="371"/>
      <c r="P181" s="371"/>
      <c r="Q181" s="371"/>
      <c r="R181" s="371"/>
      <c r="S181" s="371"/>
      <c r="T181" s="371"/>
    </row>
    <row r="182">
      <c r="A182" s="307"/>
      <c r="B182" s="307"/>
      <c r="C182" s="307"/>
      <c r="D182" s="307"/>
      <c r="E182" s="307"/>
      <c r="F182" s="371"/>
      <c r="G182" s="307"/>
      <c r="H182" s="307"/>
      <c r="I182" s="307"/>
      <c r="J182" s="371"/>
      <c r="K182" s="371"/>
      <c r="L182" s="371"/>
      <c r="M182" s="371"/>
      <c r="N182" s="371"/>
      <c r="O182" s="371"/>
      <c r="P182" s="371"/>
      <c r="Q182" s="371"/>
      <c r="R182" s="371"/>
      <c r="S182" s="371"/>
      <c r="T182" s="371"/>
    </row>
    <row r="183">
      <c r="A183" s="307"/>
      <c r="B183" s="307"/>
      <c r="C183" s="307"/>
      <c r="D183" s="307"/>
      <c r="E183" s="307"/>
      <c r="F183" s="371"/>
      <c r="G183" s="307"/>
      <c r="H183" s="307"/>
      <c r="I183" s="307"/>
      <c r="J183" s="371"/>
      <c r="K183" s="371"/>
      <c r="L183" s="371"/>
      <c r="M183" s="371"/>
      <c r="N183" s="371"/>
      <c r="O183" s="371"/>
      <c r="P183" s="371"/>
      <c r="Q183" s="371"/>
      <c r="R183" s="371"/>
      <c r="S183" s="371"/>
      <c r="T183" s="371"/>
    </row>
    <row r="184">
      <c r="A184" s="307"/>
      <c r="B184" s="307"/>
      <c r="C184" s="307"/>
      <c r="D184" s="307"/>
      <c r="E184" s="307"/>
      <c r="F184" s="371"/>
      <c r="G184" s="307"/>
      <c r="H184" s="307"/>
      <c r="I184" s="307"/>
      <c r="J184" s="371"/>
      <c r="K184" s="371"/>
      <c r="L184" s="371"/>
      <c r="M184" s="371"/>
      <c r="N184" s="371"/>
      <c r="O184" s="371"/>
      <c r="P184" s="371"/>
      <c r="Q184" s="371"/>
      <c r="R184" s="371"/>
      <c r="S184" s="371"/>
      <c r="T184" s="371"/>
    </row>
    <row r="185">
      <c r="A185" s="307"/>
      <c r="B185" s="307"/>
      <c r="C185" s="307"/>
      <c r="D185" s="307"/>
      <c r="E185" s="307"/>
      <c r="F185" s="371"/>
      <c r="G185" s="307"/>
      <c r="H185" s="307"/>
      <c r="I185" s="307"/>
      <c r="J185" s="371"/>
      <c r="K185" s="371"/>
      <c r="L185" s="371"/>
      <c r="M185" s="371"/>
      <c r="N185" s="371"/>
      <c r="O185" s="371"/>
      <c r="P185" s="371"/>
      <c r="Q185" s="371"/>
      <c r="R185" s="371"/>
      <c r="S185" s="371"/>
      <c r="T185" s="371"/>
    </row>
    <row r="186">
      <c r="A186" s="307"/>
      <c r="B186" s="307"/>
      <c r="C186" s="307"/>
      <c r="D186" s="307"/>
      <c r="E186" s="307"/>
      <c r="F186" s="371"/>
      <c r="G186" s="307"/>
      <c r="H186" s="307"/>
      <c r="I186" s="307"/>
      <c r="J186" s="371"/>
      <c r="K186" s="371"/>
      <c r="L186" s="371"/>
      <c r="M186" s="371"/>
      <c r="N186" s="371"/>
      <c r="O186" s="371"/>
      <c r="P186" s="371"/>
      <c r="Q186" s="371"/>
      <c r="R186" s="371"/>
      <c r="S186" s="371"/>
      <c r="T186" s="371"/>
    </row>
    <row r="187">
      <c r="A187" s="307"/>
      <c r="B187" s="307"/>
      <c r="C187" s="307"/>
      <c r="D187" s="307"/>
      <c r="E187" s="307"/>
      <c r="F187" s="371"/>
      <c r="G187" s="307"/>
      <c r="H187" s="307"/>
      <c r="I187" s="307"/>
      <c r="J187" s="371"/>
      <c r="K187" s="371"/>
      <c r="L187" s="371"/>
      <c r="M187" s="371"/>
      <c r="N187" s="371"/>
      <c r="O187" s="371"/>
      <c r="P187" s="371"/>
      <c r="Q187" s="371"/>
      <c r="R187" s="371"/>
      <c r="S187" s="371"/>
      <c r="T187" s="371"/>
    </row>
    <row r="188">
      <c r="A188" s="307"/>
      <c r="B188" s="307"/>
      <c r="C188" s="307"/>
      <c r="D188" s="307"/>
      <c r="E188" s="307"/>
      <c r="F188" s="371"/>
      <c r="G188" s="307"/>
      <c r="H188" s="307"/>
      <c r="I188" s="307"/>
      <c r="J188" s="371"/>
      <c r="K188" s="371"/>
      <c r="L188" s="371"/>
      <c r="M188" s="371"/>
      <c r="N188" s="371"/>
      <c r="O188" s="371"/>
      <c r="P188" s="371"/>
      <c r="Q188" s="371"/>
      <c r="R188" s="371"/>
      <c r="S188" s="371"/>
      <c r="T188" s="371"/>
    </row>
    <row r="189">
      <c r="A189" s="307"/>
      <c r="B189" s="307"/>
      <c r="C189" s="307"/>
      <c r="D189" s="307"/>
      <c r="E189" s="307"/>
      <c r="F189" s="371"/>
      <c r="G189" s="307"/>
      <c r="H189" s="307"/>
      <c r="I189" s="307"/>
      <c r="J189" s="371"/>
      <c r="K189" s="371"/>
      <c r="L189" s="371"/>
      <c r="M189" s="371"/>
      <c r="N189" s="371"/>
      <c r="O189" s="371"/>
      <c r="P189" s="371"/>
      <c r="Q189" s="371"/>
      <c r="R189" s="371"/>
      <c r="S189" s="371"/>
      <c r="T189" s="371"/>
    </row>
    <row r="190">
      <c r="A190" s="307"/>
      <c r="B190" s="307"/>
      <c r="C190" s="307"/>
      <c r="D190" s="307"/>
      <c r="E190" s="307"/>
      <c r="F190" s="371"/>
      <c r="G190" s="307"/>
      <c r="H190" s="307"/>
      <c r="I190" s="307"/>
      <c r="J190" s="371"/>
      <c r="K190" s="371"/>
      <c r="L190" s="371"/>
      <c r="M190" s="371"/>
      <c r="N190" s="371"/>
      <c r="O190" s="371"/>
      <c r="P190" s="371"/>
      <c r="Q190" s="371"/>
      <c r="R190" s="371"/>
      <c r="S190" s="371"/>
      <c r="T190" s="371"/>
    </row>
    <row r="191">
      <c r="A191" s="307"/>
      <c r="B191" s="307"/>
      <c r="C191" s="307"/>
      <c r="D191" s="307"/>
      <c r="E191" s="307"/>
      <c r="F191" s="371"/>
      <c r="G191" s="307"/>
      <c r="H191" s="307"/>
      <c r="I191" s="307"/>
      <c r="J191" s="371"/>
      <c r="K191" s="371"/>
      <c r="L191" s="371"/>
      <c r="M191" s="371"/>
      <c r="N191" s="371"/>
      <c r="O191" s="371"/>
      <c r="P191" s="371"/>
      <c r="Q191" s="371"/>
      <c r="R191" s="371"/>
      <c r="S191" s="371"/>
      <c r="T191" s="371"/>
    </row>
    <row r="192">
      <c r="A192" s="307"/>
      <c r="B192" s="307"/>
      <c r="C192" s="307"/>
      <c r="D192" s="307"/>
      <c r="E192" s="307"/>
      <c r="F192" s="371"/>
      <c r="G192" s="307"/>
      <c r="H192" s="307"/>
      <c r="I192" s="307"/>
      <c r="J192" s="371"/>
      <c r="K192" s="371"/>
      <c r="L192" s="371"/>
      <c r="M192" s="371"/>
      <c r="N192" s="371"/>
      <c r="O192" s="371"/>
      <c r="P192" s="371"/>
      <c r="Q192" s="371"/>
      <c r="R192" s="371"/>
      <c r="S192" s="371"/>
      <c r="T192" s="371"/>
    </row>
    <row r="193">
      <c r="A193" s="307"/>
      <c r="B193" s="307"/>
      <c r="C193" s="307"/>
      <c r="D193" s="307"/>
      <c r="E193" s="307"/>
      <c r="F193" s="371"/>
      <c r="G193" s="307"/>
      <c r="H193" s="307"/>
      <c r="I193" s="307"/>
      <c r="J193" s="371"/>
      <c r="K193" s="371"/>
      <c r="L193" s="371"/>
      <c r="M193" s="371"/>
      <c r="N193" s="371"/>
      <c r="O193" s="371"/>
      <c r="P193" s="371"/>
      <c r="Q193" s="371"/>
      <c r="R193" s="371"/>
      <c r="S193" s="371"/>
      <c r="T193" s="371"/>
    </row>
    <row r="194">
      <c r="A194" s="307"/>
      <c r="B194" s="307"/>
      <c r="C194" s="307"/>
      <c r="D194" s="307"/>
      <c r="E194" s="307"/>
      <c r="F194" s="371"/>
      <c r="G194" s="307"/>
      <c r="H194" s="307"/>
      <c r="I194" s="307"/>
      <c r="J194" s="371"/>
      <c r="K194" s="371"/>
      <c r="L194" s="371"/>
      <c r="M194" s="371"/>
      <c r="N194" s="371"/>
      <c r="O194" s="371"/>
      <c r="P194" s="371"/>
      <c r="Q194" s="371"/>
      <c r="R194" s="371"/>
      <c r="S194" s="371"/>
      <c r="T194" s="371"/>
    </row>
    <row r="195">
      <c r="A195" s="307"/>
      <c r="B195" s="307"/>
      <c r="C195" s="307"/>
      <c r="D195" s="307"/>
      <c r="E195" s="307"/>
      <c r="F195" s="371"/>
      <c r="G195" s="307"/>
      <c r="H195" s="307"/>
      <c r="I195" s="307"/>
      <c r="J195" s="371"/>
      <c r="K195" s="371"/>
      <c r="L195" s="371"/>
      <c r="M195" s="371"/>
      <c r="N195" s="371"/>
      <c r="O195" s="371"/>
      <c r="P195" s="371"/>
      <c r="Q195" s="371"/>
      <c r="R195" s="371"/>
      <c r="S195" s="371"/>
      <c r="T195" s="371"/>
    </row>
    <row r="196">
      <c r="A196" s="307"/>
      <c r="B196" s="307"/>
      <c r="C196" s="307"/>
      <c r="D196" s="307"/>
      <c r="E196" s="307"/>
      <c r="F196" s="371"/>
      <c r="G196" s="307"/>
      <c r="H196" s="307"/>
      <c r="I196" s="307"/>
      <c r="J196" s="371"/>
      <c r="K196" s="371"/>
      <c r="L196" s="371"/>
      <c r="M196" s="371"/>
      <c r="N196" s="371"/>
      <c r="O196" s="371"/>
      <c r="P196" s="371"/>
      <c r="Q196" s="371"/>
      <c r="R196" s="371"/>
      <c r="S196" s="371"/>
      <c r="T196" s="371"/>
    </row>
    <row r="197">
      <c r="A197" s="307"/>
      <c r="B197" s="307"/>
      <c r="C197" s="307"/>
      <c r="D197" s="307"/>
      <c r="E197" s="307"/>
      <c r="F197" s="371"/>
      <c r="G197" s="307"/>
      <c r="H197" s="307"/>
      <c r="I197" s="307"/>
      <c r="J197" s="371"/>
      <c r="K197" s="371"/>
      <c r="L197" s="371"/>
      <c r="M197" s="371"/>
      <c r="N197" s="371"/>
      <c r="O197" s="371"/>
      <c r="P197" s="371"/>
      <c r="Q197" s="371"/>
      <c r="R197" s="371"/>
      <c r="S197" s="371"/>
      <c r="T197" s="371"/>
    </row>
    <row r="198">
      <c r="A198" s="307"/>
      <c r="B198" s="307"/>
      <c r="C198" s="307"/>
      <c r="D198" s="307"/>
      <c r="E198" s="307"/>
      <c r="F198" s="371"/>
      <c r="G198" s="307"/>
      <c r="H198" s="307"/>
      <c r="I198" s="307"/>
      <c r="J198" s="371"/>
      <c r="K198" s="371"/>
      <c r="L198" s="371"/>
      <c r="M198" s="371"/>
      <c r="N198" s="371"/>
      <c r="O198" s="371"/>
      <c r="P198" s="371"/>
      <c r="Q198" s="371"/>
      <c r="R198" s="371"/>
      <c r="S198" s="371"/>
      <c r="T198" s="371"/>
    </row>
    <row r="199">
      <c r="A199" s="307"/>
      <c r="B199" s="307"/>
      <c r="C199" s="307"/>
      <c r="D199" s="307"/>
      <c r="E199" s="307"/>
      <c r="F199" s="371"/>
      <c r="G199" s="307"/>
      <c r="H199" s="307"/>
      <c r="I199" s="307"/>
      <c r="J199" s="371"/>
      <c r="K199" s="371"/>
      <c r="L199" s="371"/>
      <c r="M199" s="371"/>
      <c r="N199" s="371"/>
      <c r="O199" s="371"/>
      <c r="P199" s="371"/>
      <c r="Q199" s="371"/>
      <c r="R199" s="371"/>
      <c r="S199" s="371"/>
      <c r="T199" s="371"/>
    </row>
    <row r="200">
      <c r="A200" s="307"/>
      <c r="B200" s="307"/>
      <c r="C200" s="307"/>
      <c r="D200" s="307"/>
      <c r="E200" s="307"/>
      <c r="F200" s="371"/>
      <c r="G200" s="307"/>
      <c r="H200" s="307"/>
      <c r="I200" s="307"/>
      <c r="J200" s="371"/>
      <c r="K200" s="371"/>
      <c r="L200" s="371"/>
      <c r="M200" s="371"/>
      <c r="N200" s="371"/>
      <c r="O200" s="371"/>
      <c r="P200" s="371"/>
      <c r="Q200" s="371"/>
      <c r="R200" s="371"/>
      <c r="S200" s="371"/>
      <c r="T200" s="371"/>
    </row>
    <row r="201">
      <c r="A201" s="307"/>
      <c r="B201" s="307"/>
      <c r="C201" s="307"/>
      <c r="D201" s="307"/>
      <c r="E201" s="307"/>
      <c r="F201" s="371"/>
      <c r="G201" s="307"/>
      <c r="H201" s="307"/>
      <c r="I201" s="307"/>
      <c r="J201" s="371"/>
      <c r="K201" s="371"/>
      <c r="L201" s="371"/>
      <c r="M201" s="371"/>
      <c r="N201" s="371"/>
      <c r="O201" s="371"/>
      <c r="P201" s="371"/>
      <c r="Q201" s="371"/>
      <c r="R201" s="371"/>
      <c r="S201" s="371"/>
      <c r="T201" s="371"/>
    </row>
    <row r="202">
      <c r="A202" s="307"/>
      <c r="B202" s="307"/>
      <c r="C202" s="307"/>
      <c r="D202" s="307"/>
      <c r="E202" s="307"/>
      <c r="F202" s="371"/>
      <c r="G202" s="307"/>
      <c r="H202" s="307"/>
      <c r="I202" s="307"/>
      <c r="J202" s="371"/>
      <c r="K202" s="371"/>
      <c r="L202" s="371"/>
      <c r="M202" s="371"/>
      <c r="N202" s="371"/>
      <c r="O202" s="371"/>
      <c r="P202" s="371"/>
      <c r="Q202" s="371"/>
      <c r="R202" s="371"/>
      <c r="S202" s="371"/>
      <c r="T202" s="371"/>
    </row>
    <row r="203">
      <c r="A203" s="307"/>
      <c r="B203" s="307"/>
      <c r="C203" s="307"/>
      <c r="D203" s="307"/>
      <c r="E203" s="307"/>
      <c r="F203" s="371"/>
      <c r="G203" s="307"/>
      <c r="H203" s="307"/>
      <c r="I203" s="307"/>
      <c r="J203" s="371"/>
      <c r="K203" s="371"/>
      <c r="L203" s="371"/>
      <c r="M203" s="371"/>
      <c r="N203" s="371"/>
      <c r="O203" s="371"/>
      <c r="P203" s="371"/>
      <c r="Q203" s="371"/>
      <c r="R203" s="371"/>
      <c r="S203" s="371"/>
      <c r="T203" s="371"/>
    </row>
    <row r="204">
      <c r="A204" s="307"/>
      <c r="B204" s="307"/>
      <c r="C204" s="307"/>
      <c r="D204" s="307"/>
      <c r="E204" s="307"/>
      <c r="F204" s="371"/>
      <c r="G204" s="307"/>
      <c r="H204" s="307"/>
      <c r="I204" s="307"/>
      <c r="J204" s="371"/>
      <c r="K204" s="371"/>
      <c r="L204" s="371"/>
      <c r="M204" s="371"/>
      <c r="N204" s="371"/>
      <c r="O204" s="371"/>
      <c r="P204" s="371"/>
      <c r="Q204" s="371"/>
      <c r="R204" s="371"/>
      <c r="S204" s="371"/>
      <c r="T204" s="371"/>
    </row>
    <row r="205">
      <c r="A205" s="307"/>
      <c r="B205" s="307"/>
      <c r="C205" s="307"/>
      <c r="D205" s="307"/>
      <c r="E205" s="307"/>
      <c r="F205" s="371"/>
      <c r="G205" s="307"/>
      <c r="H205" s="307"/>
      <c r="I205" s="307"/>
      <c r="J205" s="371"/>
      <c r="K205" s="371"/>
      <c r="L205" s="371"/>
      <c r="M205" s="371"/>
      <c r="N205" s="371"/>
      <c r="O205" s="371"/>
      <c r="P205" s="371"/>
      <c r="Q205" s="371"/>
      <c r="R205" s="371"/>
      <c r="S205" s="371"/>
      <c r="T205" s="371"/>
    </row>
    <row r="206">
      <c r="A206" s="307"/>
      <c r="B206" s="307"/>
      <c r="C206" s="307"/>
      <c r="D206" s="307"/>
      <c r="E206" s="307"/>
      <c r="F206" s="371"/>
      <c r="G206" s="307"/>
      <c r="H206" s="307"/>
      <c r="I206" s="307"/>
      <c r="J206" s="371"/>
      <c r="K206" s="371"/>
      <c r="L206" s="371"/>
      <c r="M206" s="371"/>
      <c r="N206" s="371"/>
      <c r="O206" s="371"/>
      <c r="P206" s="371"/>
      <c r="Q206" s="371"/>
      <c r="R206" s="371"/>
      <c r="S206" s="371"/>
      <c r="T206" s="371"/>
    </row>
    <row r="207">
      <c r="A207" s="307"/>
      <c r="B207" s="307"/>
      <c r="C207" s="307"/>
      <c r="D207" s="307"/>
      <c r="E207" s="307"/>
      <c r="F207" s="371"/>
      <c r="G207" s="307"/>
      <c r="H207" s="307"/>
      <c r="I207" s="307"/>
      <c r="J207" s="371"/>
      <c r="K207" s="371"/>
      <c r="L207" s="371"/>
      <c r="M207" s="371"/>
      <c r="N207" s="371"/>
      <c r="O207" s="371"/>
      <c r="P207" s="371"/>
      <c r="Q207" s="371"/>
      <c r="R207" s="371"/>
      <c r="S207" s="371"/>
      <c r="T207" s="371"/>
    </row>
    <row r="208">
      <c r="A208" s="307"/>
      <c r="B208" s="307"/>
      <c r="C208" s="307"/>
      <c r="D208" s="307"/>
      <c r="E208" s="307"/>
      <c r="F208" s="371"/>
      <c r="G208" s="307"/>
      <c r="H208" s="307"/>
      <c r="I208" s="307"/>
      <c r="J208" s="371"/>
      <c r="K208" s="371"/>
      <c r="L208" s="371"/>
      <c r="M208" s="371"/>
      <c r="N208" s="371"/>
      <c r="O208" s="371"/>
      <c r="P208" s="371"/>
      <c r="Q208" s="371"/>
      <c r="R208" s="371"/>
      <c r="S208" s="371"/>
      <c r="T208" s="371"/>
    </row>
    <row r="209">
      <c r="A209" s="307"/>
      <c r="B209" s="307"/>
      <c r="C209" s="307"/>
      <c r="D209" s="307"/>
      <c r="E209" s="307"/>
      <c r="F209" s="371"/>
      <c r="G209" s="307"/>
      <c r="H209" s="307"/>
      <c r="I209" s="307"/>
      <c r="J209" s="371"/>
      <c r="K209" s="371"/>
      <c r="L209" s="371"/>
      <c r="M209" s="371"/>
      <c r="N209" s="371"/>
      <c r="O209" s="371"/>
      <c r="P209" s="371"/>
      <c r="Q209" s="371"/>
      <c r="R209" s="371"/>
      <c r="S209" s="371"/>
      <c r="T209" s="371"/>
    </row>
    <row r="210">
      <c r="A210" s="307"/>
      <c r="B210" s="307"/>
      <c r="C210" s="307"/>
      <c r="D210" s="307"/>
      <c r="E210" s="307"/>
      <c r="F210" s="371"/>
      <c r="G210" s="307"/>
      <c r="H210" s="307"/>
      <c r="I210" s="307"/>
      <c r="J210" s="371"/>
      <c r="K210" s="371"/>
      <c r="L210" s="371"/>
      <c r="M210" s="371"/>
      <c r="N210" s="371"/>
      <c r="O210" s="371"/>
      <c r="P210" s="371"/>
      <c r="Q210" s="371"/>
      <c r="R210" s="371"/>
      <c r="S210" s="371"/>
      <c r="T210" s="371"/>
    </row>
    <row r="211">
      <c r="A211" s="307"/>
      <c r="B211" s="307"/>
      <c r="C211" s="307"/>
      <c r="D211" s="307"/>
      <c r="E211" s="307"/>
      <c r="F211" s="371"/>
      <c r="G211" s="307"/>
      <c r="H211" s="307"/>
      <c r="I211" s="307"/>
      <c r="J211" s="371"/>
      <c r="K211" s="371"/>
      <c r="L211" s="371"/>
      <c r="M211" s="371"/>
      <c r="N211" s="371"/>
      <c r="O211" s="371"/>
      <c r="P211" s="371"/>
      <c r="Q211" s="371"/>
      <c r="R211" s="371"/>
      <c r="S211" s="371"/>
      <c r="T211" s="371"/>
    </row>
    <row r="212">
      <c r="A212" s="307"/>
      <c r="B212" s="307"/>
      <c r="C212" s="307"/>
      <c r="D212" s="307"/>
      <c r="E212" s="307"/>
      <c r="F212" s="371"/>
      <c r="G212" s="307"/>
      <c r="H212" s="307"/>
      <c r="I212" s="307"/>
      <c r="J212" s="371"/>
      <c r="K212" s="371"/>
      <c r="L212" s="371"/>
      <c r="M212" s="371"/>
      <c r="N212" s="371"/>
      <c r="O212" s="371"/>
      <c r="P212" s="371"/>
      <c r="Q212" s="371"/>
      <c r="R212" s="371"/>
      <c r="S212" s="371"/>
      <c r="T212" s="371"/>
    </row>
    <row r="213">
      <c r="A213" s="307"/>
      <c r="B213" s="307"/>
      <c r="C213" s="307"/>
      <c r="D213" s="307"/>
      <c r="E213" s="307"/>
      <c r="F213" s="371"/>
      <c r="G213" s="307"/>
      <c r="H213" s="307"/>
      <c r="I213" s="307"/>
      <c r="J213" s="371"/>
      <c r="K213" s="371"/>
      <c r="L213" s="371"/>
      <c r="M213" s="371"/>
      <c r="N213" s="371"/>
      <c r="O213" s="371"/>
      <c r="P213" s="371"/>
      <c r="Q213" s="371"/>
      <c r="R213" s="371"/>
      <c r="S213" s="371"/>
      <c r="T213" s="371"/>
    </row>
    <row r="214">
      <c r="A214" s="307"/>
      <c r="B214" s="307"/>
      <c r="C214" s="307"/>
      <c r="D214" s="307"/>
      <c r="E214" s="307"/>
      <c r="F214" s="371"/>
      <c r="G214" s="307"/>
      <c r="H214" s="307"/>
      <c r="I214" s="307"/>
      <c r="J214" s="371"/>
      <c r="K214" s="371"/>
      <c r="L214" s="371"/>
      <c r="M214" s="371"/>
      <c r="N214" s="371"/>
      <c r="O214" s="371"/>
      <c r="P214" s="371"/>
      <c r="Q214" s="371"/>
      <c r="R214" s="371"/>
      <c r="S214" s="371"/>
      <c r="T214" s="371"/>
    </row>
    <row r="215">
      <c r="A215" s="307"/>
      <c r="B215" s="307"/>
      <c r="C215" s="307"/>
      <c r="D215" s="307"/>
      <c r="E215" s="307"/>
      <c r="F215" s="371"/>
      <c r="G215" s="307"/>
      <c r="H215" s="307"/>
      <c r="I215" s="307"/>
      <c r="J215" s="371"/>
      <c r="K215" s="371"/>
      <c r="L215" s="371"/>
      <c r="M215" s="371"/>
      <c r="N215" s="371"/>
      <c r="O215" s="371"/>
      <c r="P215" s="371"/>
      <c r="Q215" s="371"/>
      <c r="R215" s="371"/>
      <c r="S215" s="371"/>
      <c r="T215" s="371"/>
    </row>
    <row r="216">
      <c r="A216" s="307"/>
      <c r="B216" s="307"/>
      <c r="C216" s="307"/>
      <c r="D216" s="307"/>
      <c r="E216" s="307"/>
      <c r="F216" s="371"/>
      <c r="G216" s="307"/>
      <c r="H216" s="307"/>
      <c r="I216" s="307"/>
      <c r="J216" s="371"/>
      <c r="K216" s="371"/>
      <c r="L216" s="371"/>
      <c r="M216" s="371"/>
      <c r="N216" s="371"/>
      <c r="O216" s="371"/>
      <c r="P216" s="371"/>
      <c r="Q216" s="371"/>
      <c r="R216" s="371"/>
      <c r="S216" s="371"/>
      <c r="T216" s="371"/>
    </row>
    <row r="217">
      <c r="A217" s="307"/>
      <c r="B217" s="307"/>
      <c r="C217" s="307"/>
      <c r="D217" s="307"/>
      <c r="E217" s="307"/>
      <c r="F217" s="371"/>
      <c r="G217" s="307"/>
      <c r="H217" s="307"/>
      <c r="I217" s="307"/>
      <c r="J217" s="371"/>
      <c r="K217" s="371"/>
      <c r="L217" s="371"/>
      <c r="M217" s="371"/>
      <c r="N217" s="371"/>
      <c r="O217" s="371"/>
      <c r="P217" s="371"/>
      <c r="Q217" s="371"/>
      <c r="R217" s="371"/>
      <c r="S217" s="371"/>
      <c r="T217" s="371"/>
    </row>
    <row r="218">
      <c r="A218" s="307"/>
      <c r="B218" s="307"/>
      <c r="C218" s="307"/>
      <c r="D218" s="307"/>
      <c r="E218" s="307"/>
      <c r="F218" s="371"/>
      <c r="G218" s="307"/>
      <c r="H218" s="307"/>
      <c r="I218" s="307"/>
      <c r="J218" s="371"/>
      <c r="K218" s="371"/>
      <c r="L218" s="371"/>
      <c r="M218" s="371"/>
      <c r="N218" s="371"/>
      <c r="O218" s="371"/>
      <c r="P218" s="371"/>
      <c r="Q218" s="371"/>
      <c r="R218" s="371"/>
      <c r="S218" s="371"/>
      <c r="T218" s="371"/>
    </row>
    <row r="219">
      <c r="A219" s="307"/>
      <c r="B219" s="307"/>
      <c r="C219" s="307"/>
      <c r="D219" s="307"/>
      <c r="E219" s="307"/>
      <c r="F219" s="371"/>
      <c r="G219" s="307"/>
      <c r="H219" s="307"/>
      <c r="I219" s="307"/>
      <c r="J219" s="371"/>
      <c r="K219" s="371"/>
      <c r="L219" s="371"/>
      <c r="M219" s="371"/>
      <c r="N219" s="371"/>
      <c r="O219" s="371"/>
      <c r="P219" s="371"/>
      <c r="Q219" s="371"/>
      <c r="R219" s="371"/>
      <c r="S219" s="371"/>
      <c r="T219" s="371"/>
    </row>
    <row r="220">
      <c r="A220" s="307"/>
      <c r="B220" s="307"/>
      <c r="C220" s="307"/>
      <c r="D220" s="307"/>
      <c r="E220" s="307"/>
      <c r="F220" s="371"/>
      <c r="G220" s="307"/>
      <c r="H220" s="307"/>
      <c r="I220" s="307"/>
      <c r="J220" s="371"/>
      <c r="K220" s="371"/>
      <c r="L220" s="371"/>
      <c r="M220" s="371"/>
      <c r="N220" s="371"/>
      <c r="O220" s="371"/>
      <c r="P220" s="371"/>
      <c r="Q220" s="371"/>
      <c r="R220" s="371"/>
      <c r="S220" s="371"/>
      <c r="T220" s="371"/>
    </row>
    <row r="221">
      <c r="A221" s="307"/>
      <c r="B221" s="307"/>
      <c r="C221" s="307"/>
      <c r="D221" s="307"/>
      <c r="E221" s="307"/>
      <c r="F221" s="371"/>
      <c r="G221" s="307"/>
      <c r="H221" s="307"/>
      <c r="I221" s="307"/>
      <c r="J221" s="371"/>
      <c r="K221" s="371"/>
      <c r="L221" s="371"/>
      <c r="M221" s="371"/>
      <c r="N221" s="371"/>
      <c r="O221" s="371"/>
      <c r="P221" s="371"/>
      <c r="Q221" s="371"/>
      <c r="R221" s="371"/>
      <c r="S221" s="371"/>
      <c r="T221" s="371"/>
    </row>
    <row r="222">
      <c r="A222" s="307"/>
      <c r="B222" s="307"/>
      <c r="C222" s="307"/>
      <c r="D222" s="307"/>
      <c r="E222" s="307"/>
      <c r="F222" s="371"/>
      <c r="G222" s="307"/>
      <c r="H222" s="307"/>
      <c r="I222" s="307"/>
      <c r="J222" s="371"/>
      <c r="K222" s="371"/>
      <c r="L222" s="371"/>
      <c r="M222" s="371"/>
      <c r="N222" s="371"/>
      <c r="O222" s="371"/>
      <c r="P222" s="371"/>
      <c r="Q222" s="371"/>
      <c r="R222" s="371"/>
      <c r="S222" s="371"/>
      <c r="T222" s="371"/>
    </row>
    <row r="223">
      <c r="A223" s="307"/>
      <c r="B223" s="307"/>
      <c r="C223" s="307"/>
      <c r="D223" s="307"/>
      <c r="E223" s="307"/>
      <c r="F223" s="371"/>
      <c r="G223" s="307"/>
      <c r="H223" s="307"/>
      <c r="I223" s="307"/>
      <c r="J223" s="371"/>
      <c r="K223" s="371"/>
      <c r="L223" s="371"/>
      <c r="M223" s="371"/>
      <c r="N223" s="371"/>
      <c r="O223" s="371"/>
      <c r="P223" s="371"/>
      <c r="Q223" s="371"/>
      <c r="R223" s="371"/>
      <c r="S223" s="371"/>
      <c r="T223" s="371"/>
    </row>
    <row r="224">
      <c r="A224" s="307"/>
      <c r="B224" s="307"/>
      <c r="C224" s="307"/>
      <c r="D224" s="307"/>
      <c r="E224" s="307"/>
      <c r="F224" s="371"/>
      <c r="G224" s="307"/>
      <c r="H224" s="307"/>
      <c r="I224" s="307"/>
      <c r="J224" s="371"/>
      <c r="K224" s="371"/>
      <c r="L224" s="371"/>
      <c r="M224" s="371"/>
      <c r="N224" s="371"/>
      <c r="O224" s="371"/>
      <c r="P224" s="371"/>
      <c r="Q224" s="371"/>
      <c r="R224" s="371"/>
      <c r="S224" s="371"/>
      <c r="T224" s="371"/>
    </row>
    <row r="225">
      <c r="A225" s="307"/>
      <c r="B225" s="307"/>
      <c r="C225" s="307"/>
      <c r="D225" s="307"/>
      <c r="E225" s="307"/>
      <c r="F225" s="371"/>
      <c r="G225" s="307"/>
      <c r="H225" s="307"/>
      <c r="I225" s="307"/>
      <c r="J225" s="371"/>
      <c r="K225" s="371"/>
      <c r="L225" s="371"/>
      <c r="M225" s="371"/>
      <c r="N225" s="371"/>
      <c r="O225" s="371"/>
      <c r="P225" s="371"/>
      <c r="Q225" s="371"/>
      <c r="R225" s="371"/>
      <c r="S225" s="371"/>
      <c r="T225" s="371"/>
    </row>
    <row r="226">
      <c r="A226" s="307"/>
      <c r="B226" s="307"/>
      <c r="C226" s="307"/>
      <c r="D226" s="307"/>
      <c r="E226" s="307"/>
      <c r="F226" s="371"/>
      <c r="G226" s="307"/>
      <c r="H226" s="307"/>
      <c r="I226" s="307"/>
      <c r="J226" s="371"/>
      <c r="K226" s="371"/>
      <c r="L226" s="371"/>
      <c r="M226" s="371"/>
      <c r="N226" s="371"/>
      <c r="O226" s="371"/>
      <c r="P226" s="371"/>
      <c r="Q226" s="371"/>
      <c r="R226" s="371"/>
      <c r="S226" s="371"/>
      <c r="T226" s="371"/>
    </row>
    <row r="227">
      <c r="A227" s="307"/>
      <c r="B227" s="307"/>
      <c r="C227" s="307"/>
      <c r="D227" s="307"/>
      <c r="E227" s="307"/>
      <c r="F227" s="371"/>
      <c r="G227" s="307"/>
      <c r="H227" s="307"/>
      <c r="I227" s="307"/>
      <c r="J227" s="371"/>
      <c r="K227" s="371"/>
      <c r="L227" s="371"/>
      <c r="M227" s="371"/>
      <c r="N227" s="371"/>
      <c r="O227" s="371"/>
      <c r="P227" s="371"/>
      <c r="Q227" s="371"/>
      <c r="R227" s="371"/>
      <c r="S227" s="371"/>
      <c r="T227" s="371"/>
    </row>
    <row r="228">
      <c r="A228" s="307"/>
      <c r="B228" s="307"/>
      <c r="C228" s="307"/>
      <c r="D228" s="307"/>
      <c r="E228" s="307"/>
      <c r="F228" s="371"/>
      <c r="G228" s="307"/>
      <c r="H228" s="307"/>
      <c r="I228" s="307"/>
      <c r="J228" s="371"/>
      <c r="K228" s="371"/>
      <c r="L228" s="371"/>
      <c r="M228" s="371"/>
      <c r="N228" s="371"/>
      <c r="O228" s="371"/>
      <c r="P228" s="371"/>
      <c r="Q228" s="371"/>
      <c r="R228" s="371"/>
      <c r="S228" s="371"/>
      <c r="T228" s="371"/>
    </row>
    <row r="229">
      <c r="A229" s="307"/>
      <c r="B229" s="307"/>
      <c r="C229" s="307"/>
      <c r="D229" s="307"/>
      <c r="E229" s="307"/>
      <c r="F229" s="371"/>
      <c r="G229" s="307"/>
      <c r="H229" s="307"/>
      <c r="I229" s="307"/>
      <c r="J229" s="371"/>
      <c r="K229" s="371"/>
      <c r="L229" s="371"/>
      <c r="M229" s="371"/>
      <c r="N229" s="371"/>
      <c r="O229" s="371"/>
      <c r="P229" s="371"/>
      <c r="Q229" s="371"/>
      <c r="R229" s="371"/>
      <c r="S229" s="371"/>
      <c r="T229" s="371"/>
    </row>
    <row r="230">
      <c r="A230" s="307"/>
      <c r="B230" s="307"/>
      <c r="C230" s="307"/>
      <c r="D230" s="307"/>
      <c r="E230" s="307"/>
      <c r="F230" s="371"/>
      <c r="G230" s="307"/>
      <c r="H230" s="307"/>
      <c r="I230" s="307"/>
      <c r="J230" s="371"/>
      <c r="K230" s="371"/>
      <c r="L230" s="371"/>
      <c r="M230" s="371"/>
      <c r="N230" s="371"/>
      <c r="O230" s="371"/>
      <c r="P230" s="371"/>
      <c r="Q230" s="371"/>
      <c r="R230" s="371"/>
      <c r="S230" s="371"/>
      <c r="T230" s="371"/>
    </row>
    <row r="231">
      <c r="A231" s="307"/>
      <c r="B231" s="307"/>
      <c r="C231" s="307"/>
      <c r="D231" s="307"/>
      <c r="E231" s="307"/>
      <c r="F231" s="371"/>
      <c r="G231" s="307"/>
      <c r="H231" s="307"/>
      <c r="I231" s="307"/>
      <c r="J231" s="371"/>
      <c r="K231" s="371"/>
      <c r="L231" s="371"/>
      <c r="M231" s="371"/>
      <c r="N231" s="371"/>
      <c r="O231" s="371"/>
      <c r="P231" s="371"/>
      <c r="Q231" s="371"/>
      <c r="R231" s="371"/>
      <c r="S231" s="371"/>
      <c r="T231" s="371"/>
    </row>
    <row r="232">
      <c r="A232" s="307"/>
      <c r="B232" s="307"/>
      <c r="C232" s="307"/>
      <c r="D232" s="307"/>
      <c r="E232" s="307"/>
      <c r="F232" s="371"/>
      <c r="G232" s="307"/>
      <c r="H232" s="307"/>
      <c r="I232" s="307"/>
      <c r="J232" s="371"/>
      <c r="K232" s="371"/>
      <c r="L232" s="371"/>
      <c r="M232" s="371"/>
      <c r="N232" s="371"/>
      <c r="O232" s="371"/>
      <c r="P232" s="371"/>
      <c r="Q232" s="371"/>
      <c r="R232" s="371"/>
      <c r="S232" s="371"/>
      <c r="T232" s="371"/>
    </row>
    <row r="233">
      <c r="A233" s="307"/>
      <c r="B233" s="307"/>
      <c r="C233" s="307"/>
      <c r="D233" s="307"/>
      <c r="E233" s="307"/>
      <c r="F233" s="371"/>
      <c r="G233" s="307"/>
      <c r="H233" s="307"/>
      <c r="I233" s="307"/>
      <c r="J233" s="371"/>
      <c r="K233" s="371"/>
      <c r="L233" s="371"/>
      <c r="M233" s="371"/>
      <c r="N233" s="371"/>
      <c r="O233" s="371"/>
      <c r="P233" s="371"/>
      <c r="Q233" s="371"/>
      <c r="R233" s="371"/>
      <c r="S233" s="371"/>
      <c r="T233" s="371"/>
    </row>
    <row r="234">
      <c r="A234" s="307"/>
      <c r="B234" s="307"/>
      <c r="C234" s="307"/>
      <c r="D234" s="307"/>
      <c r="E234" s="307"/>
      <c r="F234" s="371"/>
      <c r="G234" s="307"/>
      <c r="H234" s="307"/>
      <c r="I234" s="307"/>
      <c r="J234" s="371"/>
      <c r="K234" s="371"/>
      <c r="L234" s="371"/>
      <c r="M234" s="371"/>
      <c r="N234" s="371"/>
      <c r="O234" s="371"/>
      <c r="P234" s="371"/>
      <c r="Q234" s="371"/>
      <c r="R234" s="371"/>
      <c r="S234" s="371"/>
      <c r="T234" s="371"/>
    </row>
    <row r="235">
      <c r="A235" s="307"/>
      <c r="B235" s="307"/>
      <c r="C235" s="307"/>
      <c r="D235" s="307"/>
      <c r="E235" s="307"/>
      <c r="F235" s="371"/>
      <c r="G235" s="307"/>
      <c r="H235" s="307"/>
      <c r="I235" s="307"/>
      <c r="J235" s="371"/>
      <c r="K235" s="371"/>
      <c r="L235" s="371"/>
      <c r="M235" s="371"/>
      <c r="N235" s="371"/>
      <c r="O235" s="371"/>
      <c r="P235" s="371"/>
      <c r="Q235" s="371"/>
      <c r="R235" s="371"/>
      <c r="S235" s="371"/>
      <c r="T235" s="371"/>
    </row>
    <row r="236">
      <c r="A236" s="307"/>
      <c r="B236" s="307"/>
      <c r="C236" s="307"/>
      <c r="D236" s="307"/>
      <c r="E236" s="307"/>
      <c r="F236" s="371"/>
      <c r="G236" s="307"/>
      <c r="H236" s="307"/>
      <c r="I236" s="307"/>
      <c r="J236" s="371"/>
      <c r="K236" s="371"/>
      <c r="L236" s="371"/>
      <c r="M236" s="371"/>
      <c r="N236" s="371"/>
      <c r="O236" s="371"/>
      <c r="P236" s="371"/>
      <c r="Q236" s="371"/>
      <c r="R236" s="371"/>
      <c r="S236" s="371"/>
      <c r="T236" s="371"/>
    </row>
    <row r="237">
      <c r="A237" s="307"/>
      <c r="B237" s="307"/>
      <c r="C237" s="307"/>
      <c r="D237" s="307"/>
      <c r="E237" s="307"/>
      <c r="F237" s="371"/>
      <c r="G237" s="307"/>
      <c r="H237" s="307"/>
      <c r="I237" s="307"/>
      <c r="J237" s="371"/>
      <c r="K237" s="371"/>
      <c r="L237" s="371"/>
      <c r="M237" s="371"/>
      <c r="N237" s="371"/>
      <c r="O237" s="371"/>
      <c r="P237" s="371"/>
      <c r="Q237" s="371"/>
      <c r="R237" s="371"/>
      <c r="S237" s="371"/>
      <c r="T237" s="371"/>
    </row>
    <row r="238">
      <c r="A238" s="307"/>
      <c r="B238" s="307"/>
      <c r="C238" s="307"/>
      <c r="D238" s="307"/>
      <c r="E238" s="307"/>
      <c r="F238" s="371"/>
      <c r="G238" s="307"/>
      <c r="H238" s="307"/>
      <c r="I238" s="307"/>
      <c r="J238" s="371"/>
      <c r="K238" s="371"/>
      <c r="L238" s="371"/>
      <c r="M238" s="371"/>
      <c r="N238" s="371"/>
      <c r="O238" s="371"/>
      <c r="P238" s="371"/>
      <c r="Q238" s="371"/>
      <c r="R238" s="371"/>
      <c r="S238" s="371"/>
      <c r="T238" s="371"/>
    </row>
    <row r="239">
      <c r="A239" s="307"/>
      <c r="B239" s="307"/>
      <c r="C239" s="307"/>
      <c r="D239" s="307"/>
      <c r="E239" s="307"/>
      <c r="F239" s="371"/>
      <c r="G239" s="307"/>
      <c r="H239" s="307"/>
      <c r="I239" s="307"/>
      <c r="J239" s="371"/>
      <c r="K239" s="371"/>
      <c r="L239" s="371"/>
      <c r="M239" s="371"/>
      <c r="N239" s="371"/>
      <c r="O239" s="371"/>
      <c r="P239" s="371"/>
      <c r="Q239" s="371"/>
      <c r="R239" s="371"/>
      <c r="S239" s="371"/>
      <c r="T239" s="371"/>
    </row>
    <row r="240">
      <c r="A240" s="307"/>
      <c r="B240" s="307"/>
      <c r="C240" s="307"/>
      <c r="D240" s="307"/>
      <c r="E240" s="307"/>
      <c r="F240" s="371"/>
      <c r="G240" s="307"/>
      <c r="H240" s="307"/>
      <c r="I240" s="307"/>
      <c r="J240" s="371"/>
      <c r="K240" s="371"/>
      <c r="L240" s="371"/>
      <c r="M240" s="371"/>
      <c r="N240" s="371"/>
      <c r="O240" s="371"/>
      <c r="P240" s="371"/>
      <c r="Q240" s="371"/>
      <c r="R240" s="371"/>
      <c r="S240" s="371"/>
      <c r="T240" s="371"/>
    </row>
    <row r="241">
      <c r="A241" s="307"/>
      <c r="B241" s="307"/>
      <c r="C241" s="307"/>
      <c r="D241" s="307"/>
      <c r="E241" s="307"/>
      <c r="F241" s="371"/>
      <c r="G241" s="307"/>
      <c r="H241" s="307"/>
      <c r="I241" s="307"/>
      <c r="J241" s="371"/>
      <c r="K241" s="371"/>
      <c r="L241" s="371"/>
      <c r="M241" s="371"/>
      <c r="N241" s="371"/>
      <c r="O241" s="371"/>
      <c r="P241" s="371"/>
      <c r="Q241" s="371"/>
      <c r="R241" s="371"/>
      <c r="S241" s="371"/>
      <c r="T241" s="371"/>
    </row>
    <row r="242">
      <c r="A242" s="307"/>
      <c r="B242" s="307"/>
      <c r="C242" s="307"/>
      <c r="D242" s="307"/>
      <c r="E242" s="307"/>
      <c r="F242" s="371"/>
      <c r="G242" s="307"/>
      <c r="H242" s="307"/>
      <c r="I242" s="307"/>
      <c r="J242" s="371"/>
      <c r="K242" s="371"/>
      <c r="L242" s="371"/>
      <c r="M242" s="371"/>
      <c r="N242" s="371"/>
      <c r="O242" s="371"/>
      <c r="P242" s="371"/>
      <c r="Q242" s="371"/>
      <c r="R242" s="371"/>
      <c r="S242" s="371"/>
      <c r="T242" s="371"/>
    </row>
    <row r="243">
      <c r="A243" s="307"/>
      <c r="B243" s="307"/>
      <c r="C243" s="307"/>
      <c r="D243" s="307"/>
      <c r="E243" s="307"/>
      <c r="F243" s="371"/>
      <c r="G243" s="307"/>
      <c r="H243" s="307"/>
      <c r="I243" s="307"/>
      <c r="J243" s="371"/>
      <c r="K243" s="371"/>
      <c r="L243" s="371"/>
      <c r="M243" s="371"/>
      <c r="N243" s="371"/>
      <c r="O243" s="371"/>
      <c r="P243" s="371"/>
      <c r="Q243" s="371"/>
      <c r="R243" s="371"/>
      <c r="S243" s="371"/>
      <c r="T243" s="371"/>
    </row>
    <row r="244">
      <c r="A244" s="307"/>
      <c r="B244" s="307"/>
      <c r="C244" s="307"/>
      <c r="D244" s="307"/>
      <c r="E244" s="307"/>
      <c r="F244" s="371"/>
      <c r="G244" s="307"/>
      <c r="H244" s="307"/>
      <c r="I244" s="307"/>
      <c r="J244" s="371"/>
      <c r="K244" s="371"/>
      <c r="L244" s="371"/>
      <c r="M244" s="371"/>
      <c r="N244" s="371"/>
      <c r="O244" s="371"/>
      <c r="P244" s="371"/>
      <c r="Q244" s="371"/>
      <c r="R244" s="371"/>
      <c r="S244" s="371"/>
      <c r="T244" s="371"/>
    </row>
    <row r="245">
      <c r="A245" s="307"/>
      <c r="B245" s="307"/>
      <c r="C245" s="307"/>
      <c r="D245" s="307"/>
      <c r="E245" s="307"/>
      <c r="F245" s="371"/>
      <c r="G245" s="307"/>
      <c r="H245" s="307"/>
      <c r="I245" s="307"/>
      <c r="J245" s="371"/>
      <c r="K245" s="371"/>
      <c r="L245" s="371"/>
      <c r="M245" s="371"/>
      <c r="N245" s="371"/>
      <c r="O245" s="371"/>
      <c r="P245" s="371"/>
      <c r="Q245" s="371"/>
      <c r="R245" s="371"/>
      <c r="S245" s="371"/>
      <c r="T245" s="371"/>
    </row>
    <row r="246">
      <c r="A246" s="307"/>
      <c r="B246" s="307"/>
      <c r="C246" s="307"/>
      <c r="D246" s="307"/>
      <c r="E246" s="307"/>
      <c r="F246" s="371"/>
      <c r="G246" s="307"/>
      <c r="H246" s="307"/>
      <c r="I246" s="307"/>
      <c r="J246" s="371"/>
      <c r="K246" s="371"/>
      <c r="L246" s="371"/>
      <c r="M246" s="371"/>
      <c r="N246" s="371"/>
      <c r="O246" s="371"/>
      <c r="P246" s="371"/>
      <c r="Q246" s="371"/>
      <c r="R246" s="371"/>
      <c r="S246" s="371"/>
      <c r="T246" s="371"/>
    </row>
    <row r="247">
      <c r="A247" s="307"/>
      <c r="B247" s="307"/>
      <c r="C247" s="307"/>
      <c r="D247" s="307"/>
      <c r="E247" s="307"/>
      <c r="F247" s="371"/>
      <c r="G247" s="307"/>
      <c r="H247" s="307"/>
      <c r="I247" s="307"/>
      <c r="J247" s="371"/>
      <c r="K247" s="371"/>
      <c r="L247" s="371"/>
      <c r="M247" s="371"/>
      <c r="N247" s="371"/>
      <c r="O247" s="371"/>
      <c r="P247" s="371"/>
      <c r="Q247" s="371"/>
      <c r="R247" s="371"/>
      <c r="S247" s="371"/>
      <c r="T247" s="371"/>
    </row>
    <row r="248">
      <c r="A248" s="307"/>
      <c r="B248" s="307"/>
      <c r="C248" s="307"/>
      <c r="D248" s="307"/>
      <c r="E248" s="307"/>
      <c r="F248" s="371"/>
      <c r="G248" s="307"/>
      <c r="H248" s="307"/>
      <c r="I248" s="307"/>
      <c r="J248" s="371"/>
      <c r="K248" s="371"/>
      <c r="L248" s="371"/>
      <c r="M248" s="371"/>
      <c r="N248" s="371"/>
      <c r="O248" s="371"/>
      <c r="P248" s="371"/>
      <c r="Q248" s="371"/>
      <c r="R248" s="371"/>
      <c r="S248" s="371"/>
      <c r="T248" s="371"/>
    </row>
    <row r="249">
      <c r="A249" s="307"/>
      <c r="B249" s="307"/>
      <c r="C249" s="307"/>
      <c r="D249" s="307"/>
      <c r="E249" s="307"/>
      <c r="F249" s="371"/>
      <c r="G249" s="307"/>
      <c r="H249" s="307"/>
      <c r="I249" s="307"/>
      <c r="J249" s="371"/>
      <c r="K249" s="371"/>
      <c r="L249" s="371"/>
      <c r="M249" s="371"/>
      <c r="N249" s="371"/>
      <c r="O249" s="371"/>
      <c r="P249" s="371"/>
      <c r="Q249" s="371"/>
      <c r="R249" s="371"/>
      <c r="S249" s="371"/>
      <c r="T249" s="371"/>
    </row>
    <row r="250">
      <c r="A250" s="307"/>
      <c r="B250" s="307"/>
      <c r="C250" s="307"/>
      <c r="D250" s="307"/>
      <c r="E250" s="307"/>
      <c r="F250" s="371"/>
      <c r="G250" s="307"/>
      <c r="H250" s="307"/>
      <c r="I250" s="307"/>
      <c r="J250" s="371"/>
      <c r="K250" s="371"/>
      <c r="L250" s="371"/>
      <c r="M250" s="371"/>
      <c r="N250" s="371"/>
      <c r="O250" s="371"/>
      <c r="P250" s="371"/>
      <c r="Q250" s="371"/>
      <c r="R250" s="371"/>
      <c r="S250" s="371"/>
      <c r="T250" s="371"/>
    </row>
    <row r="251">
      <c r="A251" s="307"/>
      <c r="B251" s="307"/>
      <c r="C251" s="307"/>
      <c r="D251" s="307"/>
      <c r="E251" s="307"/>
      <c r="F251" s="371"/>
      <c r="G251" s="307"/>
      <c r="H251" s="307"/>
      <c r="I251" s="307"/>
      <c r="J251" s="371"/>
      <c r="K251" s="371"/>
      <c r="L251" s="371"/>
      <c r="M251" s="371"/>
      <c r="N251" s="371"/>
      <c r="O251" s="371"/>
      <c r="P251" s="371"/>
      <c r="Q251" s="371"/>
      <c r="R251" s="371"/>
      <c r="S251" s="371"/>
      <c r="T251" s="371"/>
    </row>
    <row r="252">
      <c r="A252" s="307"/>
      <c r="B252" s="307"/>
      <c r="C252" s="307"/>
      <c r="D252" s="307"/>
      <c r="E252" s="307"/>
      <c r="F252" s="371"/>
      <c r="G252" s="307"/>
      <c r="H252" s="307"/>
      <c r="I252" s="307"/>
      <c r="J252" s="371"/>
      <c r="K252" s="371"/>
      <c r="L252" s="371"/>
      <c r="M252" s="371"/>
      <c r="N252" s="371"/>
      <c r="O252" s="371"/>
      <c r="P252" s="371"/>
      <c r="Q252" s="371"/>
      <c r="R252" s="371"/>
      <c r="S252" s="371"/>
      <c r="T252" s="371"/>
    </row>
    <row r="253">
      <c r="A253" s="307"/>
      <c r="B253" s="307"/>
      <c r="C253" s="307"/>
      <c r="D253" s="307"/>
      <c r="E253" s="307"/>
      <c r="F253" s="371"/>
      <c r="G253" s="307"/>
      <c r="H253" s="307"/>
      <c r="I253" s="307"/>
      <c r="J253" s="371"/>
      <c r="K253" s="371"/>
      <c r="L253" s="371"/>
      <c r="M253" s="371"/>
      <c r="N253" s="371"/>
      <c r="O253" s="371"/>
      <c r="P253" s="371"/>
      <c r="Q253" s="371"/>
      <c r="R253" s="371"/>
      <c r="S253" s="371"/>
      <c r="T253" s="371"/>
    </row>
    <row r="254">
      <c r="A254" s="307"/>
      <c r="B254" s="307"/>
      <c r="C254" s="307"/>
      <c r="D254" s="307"/>
      <c r="E254" s="307"/>
      <c r="F254" s="371"/>
      <c r="G254" s="307"/>
      <c r="H254" s="307"/>
      <c r="I254" s="307"/>
      <c r="J254" s="371"/>
      <c r="K254" s="371"/>
      <c r="L254" s="371"/>
      <c r="M254" s="371"/>
      <c r="N254" s="371"/>
      <c r="O254" s="371"/>
      <c r="P254" s="371"/>
      <c r="Q254" s="371"/>
      <c r="R254" s="371"/>
      <c r="S254" s="371"/>
      <c r="T254" s="371"/>
    </row>
    <row r="255">
      <c r="A255" s="307"/>
      <c r="B255" s="307"/>
      <c r="C255" s="307"/>
      <c r="D255" s="307"/>
      <c r="E255" s="307"/>
      <c r="F255" s="371"/>
      <c r="G255" s="307"/>
      <c r="H255" s="307"/>
      <c r="I255" s="307"/>
      <c r="J255" s="371"/>
      <c r="K255" s="371"/>
      <c r="L255" s="371"/>
      <c r="M255" s="371"/>
      <c r="N255" s="371"/>
      <c r="O255" s="371"/>
      <c r="P255" s="371"/>
      <c r="Q255" s="371"/>
      <c r="R255" s="371"/>
      <c r="S255" s="371"/>
      <c r="T255" s="371"/>
    </row>
    <row r="256">
      <c r="A256" s="307"/>
      <c r="B256" s="307"/>
      <c r="C256" s="307"/>
      <c r="D256" s="307"/>
      <c r="E256" s="307"/>
      <c r="F256" s="371"/>
      <c r="G256" s="307"/>
      <c r="H256" s="307"/>
      <c r="I256" s="307"/>
      <c r="J256" s="371"/>
      <c r="K256" s="371"/>
      <c r="L256" s="371"/>
      <c r="M256" s="371"/>
      <c r="N256" s="371"/>
      <c r="O256" s="371"/>
      <c r="P256" s="371"/>
      <c r="Q256" s="371"/>
      <c r="R256" s="371"/>
      <c r="S256" s="371"/>
      <c r="T256" s="371"/>
    </row>
    <row r="257">
      <c r="A257" s="307"/>
      <c r="B257" s="307"/>
      <c r="C257" s="307"/>
      <c r="D257" s="307"/>
      <c r="E257" s="307"/>
      <c r="F257" s="371"/>
      <c r="G257" s="307"/>
      <c r="H257" s="307"/>
      <c r="I257" s="307"/>
      <c r="J257" s="371"/>
      <c r="K257" s="371"/>
      <c r="L257" s="371"/>
      <c r="M257" s="371"/>
      <c r="N257" s="371"/>
      <c r="O257" s="371"/>
      <c r="P257" s="371"/>
      <c r="Q257" s="371"/>
      <c r="R257" s="371"/>
      <c r="S257" s="371"/>
      <c r="T257" s="371"/>
    </row>
    <row r="258">
      <c r="A258" s="307"/>
      <c r="B258" s="307"/>
      <c r="C258" s="307"/>
      <c r="D258" s="307"/>
      <c r="E258" s="307"/>
      <c r="F258" s="371"/>
      <c r="G258" s="307"/>
      <c r="H258" s="307"/>
      <c r="I258" s="307"/>
      <c r="J258" s="371"/>
      <c r="K258" s="371"/>
      <c r="L258" s="371"/>
      <c r="M258" s="371"/>
      <c r="N258" s="371"/>
      <c r="O258" s="371"/>
      <c r="P258" s="371"/>
      <c r="Q258" s="371"/>
      <c r="R258" s="371"/>
      <c r="S258" s="371"/>
      <c r="T258" s="371"/>
    </row>
    <row r="259">
      <c r="A259" s="307"/>
      <c r="B259" s="307"/>
      <c r="C259" s="307"/>
      <c r="D259" s="307"/>
      <c r="E259" s="307"/>
      <c r="F259" s="371"/>
      <c r="G259" s="307"/>
      <c r="H259" s="307"/>
      <c r="I259" s="307"/>
      <c r="J259" s="371"/>
      <c r="K259" s="371"/>
      <c r="L259" s="371"/>
      <c r="M259" s="371"/>
      <c r="N259" s="371"/>
      <c r="O259" s="371"/>
      <c r="P259" s="371"/>
      <c r="Q259" s="371"/>
      <c r="R259" s="371"/>
      <c r="S259" s="371"/>
      <c r="T259" s="371"/>
    </row>
    <row r="260">
      <c r="A260" s="307"/>
      <c r="B260" s="307"/>
      <c r="C260" s="307"/>
      <c r="D260" s="307"/>
      <c r="E260" s="307"/>
      <c r="F260" s="371"/>
      <c r="G260" s="307"/>
      <c r="H260" s="307"/>
      <c r="I260" s="307"/>
      <c r="J260" s="371"/>
      <c r="K260" s="371"/>
      <c r="L260" s="371"/>
      <c r="M260" s="371"/>
      <c r="N260" s="371"/>
      <c r="O260" s="371"/>
      <c r="P260" s="371"/>
      <c r="Q260" s="371"/>
      <c r="R260" s="371"/>
      <c r="S260" s="371"/>
      <c r="T260" s="371"/>
    </row>
    <row r="261">
      <c r="A261" s="307"/>
      <c r="B261" s="307"/>
      <c r="C261" s="307"/>
      <c r="D261" s="307"/>
      <c r="E261" s="307"/>
      <c r="F261" s="371"/>
      <c r="G261" s="307"/>
      <c r="H261" s="307"/>
      <c r="I261" s="307"/>
      <c r="J261" s="371"/>
      <c r="K261" s="371"/>
      <c r="L261" s="371"/>
      <c r="M261" s="371"/>
      <c r="N261" s="371"/>
      <c r="O261" s="371"/>
      <c r="P261" s="371"/>
      <c r="Q261" s="371"/>
      <c r="R261" s="371"/>
      <c r="S261" s="371"/>
      <c r="T261" s="371"/>
    </row>
    <row r="262">
      <c r="A262" s="307"/>
      <c r="B262" s="307"/>
      <c r="C262" s="307"/>
      <c r="D262" s="307"/>
      <c r="E262" s="307"/>
      <c r="F262" s="371"/>
      <c r="G262" s="307"/>
      <c r="H262" s="307"/>
      <c r="I262" s="307"/>
      <c r="J262" s="371"/>
      <c r="K262" s="371"/>
      <c r="L262" s="371"/>
      <c r="M262" s="371"/>
      <c r="N262" s="371"/>
      <c r="O262" s="371"/>
      <c r="P262" s="371"/>
      <c r="Q262" s="371"/>
      <c r="R262" s="371"/>
      <c r="S262" s="371"/>
      <c r="T262" s="371"/>
    </row>
    <row r="263">
      <c r="A263" s="307"/>
      <c r="B263" s="307"/>
      <c r="C263" s="307"/>
      <c r="D263" s="307"/>
      <c r="E263" s="307"/>
      <c r="F263" s="371"/>
      <c r="G263" s="307"/>
      <c r="H263" s="307"/>
      <c r="I263" s="307"/>
      <c r="J263" s="371"/>
      <c r="K263" s="371"/>
      <c r="L263" s="371"/>
      <c r="M263" s="371"/>
      <c r="N263" s="371"/>
      <c r="O263" s="371"/>
      <c r="P263" s="371"/>
      <c r="Q263" s="371"/>
      <c r="R263" s="371"/>
      <c r="S263" s="371"/>
      <c r="T263" s="371"/>
    </row>
    <row r="264">
      <c r="A264" s="307"/>
      <c r="B264" s="307"/>
      <c r="C264" s="307"/>
      <c r="D264" s="307"/>
      <c r="E264" s="307"/>
      <c r="F264" s="371"/>
      <c r="G264" s="307"/>
      <c r="H264" s="307"/>
      <c r="I264" s="307"/>
      <c r="J264" s="371"/>
      <c r="K264" s="371"/>
      <c r="L264" s="371"/>
      <c r="M264" s="371"/>
      <c r="N264" s="371"/>
      <c r="O264" s="371"/>
      <c r="P264" s="371"/>
      <c r="Q264" s="371"/>
      <c r="R264" s="371"/>
      <c r="S264" s="371"/>
      <c r="T264" s="371"/>
    </row>
    <row r="265">
      <c r="A265" s="307"/>
      <c r="B265" s="307"/>
      <c r="C265" s="307"/>
      <c r="D265" s="307"/>
      <c r="E265" s="307"/>
      <c r="F265" s="371"/>
      <c r="G265" s="307"/>
      <c r="H265" s="307"/>
      <c r="I265" s="307"/>
      <c r="J265" s="371"/>
      <c r="K265" s="371"/>
      <c r="L265" s="371"/>
      <c r="M265" s="371"/>
      <c r="N265" s="371"/>
      <c r="O265" s="371"/>
      <c r="P265" s="371"/>
      <c r="Q265" s="371"/>
      <c r="R265" s="371"/>
      <c r="S265" s="371"/>
      <c r="T265" s="371"/>
    </row>
    <row r="266">
      <c r="A266" s="307"/>
      <c r="B266" s="307"/>
      <c r="C266" s="307"/>
      <c r="D266" s="307"/>
      <c r="E266" s="307"/>
      <c r="F266" s="371"/>
      <c r="G266" s="307"/>
      <c r="H266" s="307"/>
      <c r="I266" s="307"/>
      <c r="J266" s="371"/>
      <c r="K266" s="371"/>
      <c r="L266" s="371"/>
      <c r="M266" s="371"/>
      <c r="N266" s="371"/>
      <c r="O266" s="371"/>
      <c r="P266" s="371"/>
      <c r="Q266" s="371"/>
      <c r="R266" s="371"/>
      <c r="S266" s="371"/>
      <c r="T266" s="371"/>
    </row>
    <row r="267">
      <c r="A267" s="307"/>
      <c r="B267" s="307"/>
      <c r="C267" s="307"/>
      <c r="D267" s="307"/>
      <c r="E267" s="307"/>
      <c r="F267" s="371"/>
      <c r="G267" s="307"/>
      <c r="H267" s="307"/>
      <c r="I267" s="307"/>
      <c r="J267" s="371"/>
      <c r="K267" s="371"/>
      <c r="L267" s="371"/>
      <c r="M267" s="371"/>
      <c r="N267" s="371"/>
      <c r="O267" s="371"/>
      <c r="P267" s="371"/>
      <c r="Q267" s="371"/>
      <c r="R267" s="371"/>
      <c r="S267" s="371"/>
      <c r="T267" s="371"/>
    </row>
    <row r="268">
      <c r="A268" s="307"/>
      <c r="B268" s="307"/>
      <c r="C268" s="307"/>
      <c r="D268" s="307"/>
      <c r="E268" s="307"/>
      <c r="F268" s="371"/>
      <c r="G268" s="307"/>
      <c r="H268" s="307"/>
      <c r="I268" s="307"/>
      <c r="J268" s="371"/>
      <c r="K268" s="371"/>
      <c r="L268" s="371"/>
      <c r="M268" s="371"/>
      <c r="N268" s="371"/>
      <c r="O268" s="371"/>
      <c r="P268" s="371"/>
      <c r="Q268" s="371"/>
      <c r="R268" s="371"/>
      <c r="S268" s="371"/>
      <c r="T268" s="371"/>
    </row>
    <row r="269">
      <c r="A269" s="307"/>
      <c r="B269" s="307"/>
      <c r="C269" s="307"/>
      <c r="D269" s="307"/>
      <c r="E269" s="307"/>
      <c r="F269" s="371"/>
      <c r="G269" s="307"/>
      <c r="H269" s="307"/>
      <c r="I269" s="307"/>
      <c r="J269" s="371"/>
      <c r="K269" s="371"/>
      <c r="L269" s="371"/>
      <c r="M269" s="371"/>
      <c r="N269" s="371"/>
      <c r="O269" s="371"/>
      <c r="P269" s="371"/>
      <c r="Q269" s="371"/>
      <c r="R269" s="371"/>
      <c r="S269" s="371"/>
      <c r="T269" s="371"/>
    </row>
    <row r="270">
      <c r="A270" s="307"/>
      <c r="B270" s="307"/>
      <c r="C270" s="307"/>
      <c r="D270" s="307"/>
      <c r="E270" s="307"/>
      <c r="F270" s="371"/>
      <c r="G270" s="307"/>
      <c r="H270" s="307"/>
      <c r="I270" s="307"/>
      <c r="J270" s="371"/>
      <c r="K270" s="371"/>
      <c r="L270" s="371"/>
      <c r="M270" s="371"/>
      <c r="N270" s="371"/>
      <c r="O270" s="371"/>
      <c r="P270" s="371"/>
      <c r="Q270" s="371"/>
      <c r="R270" s="371"/>
      <c r="S270" s="371"/>
      <c r="T270" s="371"/>
    </row>
    <row r="271">
      <c r="A271" s="307"/>
      <c r="B271" s="307"/>
      <c r="C271" s="307"/>
      <c r="D271" s="307"/>
      <c r="E271" s="307"/>
      <c r="F271" s="371"/>
      <c r="G271" s="307"/>
      <c r="H271" s="307"/>
      <c r="I271" s="307"/>
      <c r="J271" s="371"/>
      <c r="K271" s="371"/>
      <c r="L271" s="371"/>
      <c r="M271" s="371"/>
      <c r="N271" s="371"/>
      <c r="O271" s="371"/>
      <c r="P271" s="371"/>
      <c r="Q271" s="371"/>
      <c r="R271" s="371"/>
      <c r="S271" s="371"/>
      <c r="T271" s="371"/>
    </row>
    <row r="272">
      <c r="A272" s="307"/>
      <c r="B272" s="307"/>
      <c r="C272" s="307"/>
      <c r="D272" s="307"/>
      <c r="E272" s="307"/>
      <c r="F272" s="371"/>
      <c r="G272" s="307"/>
      <c r="H272" s="307"/>
      <c r="I272" s="307"/>
      <c r="J272" s="371"/>
      <c r="K272" s="371"/>
      <c r="L272" s="371"/>
      <c r="M272" s="371"/>
      <c r="N272" s="371"/>
      <c r="O272" s="371"/>
      <c r="P272" s="371"/>
      <c r="Q272" s="371"/>
      <c r="R272" s="371"/>
      <c r="S272" s="371"/>
      <c r="T272" s="371"/>
    </row>
    <row r="273">
      <c r="A273" s="307"/>
      <c r="B273" s="307"/>
      <c r="C273" s="307"/>
      <c r="D273" s="307"/>
      <c r="E273" s="307"/>
      <c r="F273" s="371"/>
      <c r="G273" s="307"/>
      <c r="H273" s="307"/>
      <c r="I273" s="307"/>
      <c r="J273" s="371"/>
      <c r="K273" s="371"/>
      <c r="L273" s="371"/>
      <c r="M273" s="371"/>
      <c r="N273" s="371"/>
      <c r="O273" s="371"/>
      <c r="P273" s="371"/>
      <c r="Q273" s="371"/>
      <c r="R273" s="371"/>
      <c r="S273" s="371"/>
      <c r="T273" s="371"/>
    </row>
    <row r="274">
      <c r="A274" s="307"/>
      <c r="B274" s="307"/>
      <c r="C274" s="307"/>
      <c r="D274" s="307"/>
      <c r="E274" s="307"/>
      <c r="F274" s="371"/>
      <c r="G274" s="307"/>
      <c r="H274" s="307"/>
      <c r="I274" s="307"/>
      <c r="J274" s="371"/>
      <c r="K274" s="371"/>
      <c r="L274" s="371"/>
      <c r="M274" s="371"/>
      <c r="N274" s="371"/>
      <c r="O274" s="371"/>
      <c r="P274" s="371"/>
      <c r="Q274" s="371"/>
      <c r="R274" s="371"/>
      <c r="S274" s="371"/>
      <c r="T274" s="371"/>
    </row>
    <row r="275">
      <c r="A275" s="307"/>
      <c r="B275" s="307"/>
      <c r="C275" s="307"/>
      <c r="D275" s="307"/>
      <c r="E275" s="307"/>
      <c r="F275" s="371"/>
      <c r="G275" s="307"/>
      <c r="H275" s="307"/>
      <c r="I275" s="307"/>
      <c r="J275" s="371"/>
      <c r="K275" s="371"/>
      <c r="L275" s="371"/>
      <c r="M275" s="371"/>
      <c r="N275" s="371"/>
      <c r="O275" s="371"/>
      <c r="P275" s="371"/>
      <c r="Q275" s="371"/>
      <c r="R275" s="371"/>
      <c r="S275" s="371"/>
      <c r="T275" s="371"/>
    </row>
    <row r="276">
      <c r="A276" s="307"/>
      <c r="B276" s="307"/>
      <c r="C276" s="307"/>
      <c r="D276" s="307"/>
      <c r="E276" s="307"/>
      <c r="F276" s="371"/>
      <c r="G276" s="307"/>
      <c r="H276" s="307"/>
      <c r="I276" s="307"/>
      <c r="J276" s="371"/>
      <c r="K276" s="371"/>
      <c r="L276" s="371"/>
      <c r="M276" s="371"/>
      <c r="N276" s="371"/>
      <c r="O276" s="371"/>
      <c r="P276" s="371"/>
      <c r="Q276" s="371"/>
      <c r="R276" s="371"/>
      <c r="S276" s="371"/>
      <c r="T276" s="371"/>
    </row>
    <row r="277">
      <c r="A277" s="307"/>
      <c r="B277" s="307"/>
      <c r="C277" s="307"/>
      <c r="D277" s="307"/>
      <c r="E277" s="307"/>
      <c r="F277" s="371"/>
      <c r="G277" s="307"/>
      <c r="H277" s="307"/>
      <c r="I277" s="307"/>
      <c r="J277" s="371"/>
      <c r="K277" s="371"/>
      <c r="L277" s="371"/>
      <c r="M277" s="371"/>
      <c r="N277" s="371"/>
      <c r="O277" s="371"/>
      <c r="P277" s="371"/>
      <c r="Q277" s="371"/>
      <c r="R277" s="371"/>
      <c r="S277" s="371"/>
      <c r="T277" s="371"/>
    </row>
    <row r="278">
      <c r="A278" s="307"/>
      <c r="B278" s="307"/>
      <c r="C278" s="307"/>
      <c r="D278" s="307"/>
      <c r="E278" s="307"/>
      <c r="F278" s="371"/>
      <c r="G278" s="307"/>
      <c r="H278" s="307"/>
      <c r="I278" s="307"/>
      <c r="J278" s="371"/>
      <c r="K278" s="371"/>
      <c r="L278" s="371"/>
      <c r="M278" s="371"/>
      <c r="N278" s="371"/>
      <c r="O278" s="371"/>
      <c r="P278" s="371"/>
      <c r="Q278" s="371"/>
      <c r="R278" s="371"/>
      <c r="S278" s="371"/>
      <c r="T278" s="371"/>
    </row>
    <row r="279">
      <c r="A279" s="307"/>
      <c r="B279" s="307"/>
      <c r="C279" s="307"/>
      <c r="D279" s="307"/>
      <c r="E279" s="307"/>
      <c r="F279" s="371"/>
      <c r="G279" s="307"/>
      <c r="H279" s="307"/>
      <c r="I279" s="307"/>
      <c r="J279" s="371"/>
      <c r="K279" s="371"/>
      <c r="L279" s="371"/>
      <c r="M279" s="371"/>
      <c r="N279" s="371"/>
      <c r="O279" s="371"/>
      <c r="P279" s="371"/>
      <c r="Q279" s="371"/>
      <c r="R279" s="371"/>
      <c r="S279" s="371"/>
      <c r="T279" s="371"/>
    </row>
    <row r="280">
      <c r="A280" s="307"/>
      <c r="B280" s="307"/>
      <c r="C280" s="307"/>
      <c r="D280" s="307"/>
      <c r="E280" s="307"/>
      <c r="F280" s="371"/>
      <c r="G280" s="307"/>
      <c r="H280" s="307"/>
      <c r="I280" s="307"/>
      <c r="J280" s="371"/>
      <c r="K280" s="371"/>
      <c r="L280" s="371"/>
      <c r="M280" s="371"/>
      <c r="N280" s="371"/>
      <c r="O280" s="371"/>
      <c r="P280" s="371"/>
      <c r="Q280" s="371"/>
      <c r="R280" s="371"/>
      <c r="S280" s="371"/>
      <c r="T280" s="371"/>
    </row>
    <row r="281">
      <c r="A281" s="307"/>
      <c r="B281" s="307"/>
      <c r="C281" s="307"/>
      <c r="D281" s="307"/>
      <c r="E281" s="307"/>
      <c r="F281" s="371"/>
      <c r="G281" s="307"/>
      <c r="H281" s="307"/>
      <c r="I281" s="307"/>
      <c r="J281" s="371"/>
      <c r="K281" s="371"/>
      <c r="L281" s="371"/>
      <c r="M281" s="371"/>
      <c r="N281" s="371"/>
      <c r="O281" s="371"/>
      <c r="P281" s="371"/>
      <c r="Q281" s="371"/>
      <c r="R281" s="371"/>
      <c r="S281" s="371"/>
      <c r="T281" s="371"/>
    </row>
    <row r="282">
      <c r="A282" s="307"/>
      <c r="B282" s="307"/>
      <c r="C282" s="307"/>
      <c r="D282" s="307"/>
      <c r="E282" s="307"/>
      <c r="F282" s="371"/>
      <c r="G282" s="307"/>
      <c r="H282" s="307"/>
      <c r="I282" s="307"/>
      <c r="J282" s="371"/>
      <c r="K282" s="371"/>
      <c r="L282" s="371"/>
      <c r="M282" s="371"/>
      <c r="N282" s="371"/>
      <c r="O282" s="371"/>
      <c r="P282" s="371"/>
      <c r="Q282" s="371"/>
      <c r="R282" s="371"/>
      <c r="S282" s="371"/>
      <c r="T282" s="371"/>
    </row>
    <row r="283">
      <c r="A283" s="307"/>
      <c r="B283" s="307"/>
      <c r="C283" s="307"/>
      <c r="D283" s="307"/>
      <c r="E283" s="307"/>
      <c r="F283" s="371"/>
      <c r="G283" s="307"/>
      <c r="H283" s="307"/>
      <c r="I283" s="307"/>
      <c r="J283" s="371"/>
      <c r="K283" s="371"/>
      <c r="L283" s="371"/>
      <c r="M283" s="371"/>
      <c r="N283" s="371"/>
      <c r="O283" s="371"/>
      <c r="P283" s="371"/>
      <c r="Q283" s="371"/>
      <c r="R283" s="371"/>
      <c r="S283" s="371"/>
      <c r="T283" s="371"/>
    </row>
    <row r="284">
      <c r="A284" s="307"/>
      <c r="B284" s="307"/>
      <c r="C284" s="307"/>
      <c r="D284" s="307"/>
      <c r="E284" s="307"/>
      <c r="F284" s="371"/>
      <c r="G284" s="307"/>
      <c r="H284" s="307"/>
      <c r="I284" s="307"/>
      <c r="J284" s="371"/>
      <c r="K284" s="371"/>
      <c r="L284" s="371"/>
      <c r="M284" s="371"/>
      <c r="N284" s="371"/>
      <c r="O284" s="371"/>
      <c r="P284" s="371"/>
      <c r="Q284" s="371"/>
      <c r="R284" s="371"/>
      <c r="S284" s="371"/>
      <c r="T284" s="371"/>
    </row>
    <row r="285">
      <c r="A285" s="307"/>
      <c r="B285" s="307"/>
      <c r="C285" s="307"/>
      <c r="D285" s="307"/>
      <c r="E285" s="307"/>
      <c r="F285" s="371"/>
      <c r="G285" s="307"/>
      <c r="H285" s="307"/>
      <c r="I285" s="307"/>
      <c r="J285" s="371"/>
      <c r="K285" s="371"/>
      <c r="L285" s="371"/>
      <c r="M285" s="371"/>
      <c r="N285" s="371"/>
      <c r="O285" s="371"/>
      <c r="P285" s="371"/>
      <c r="Q285" s="371"/>
      <c r="R285" s="371"/>
      <c r="S285" s="371"/>
      <c r="T285" s="371"/>
    </row>
    <row r="286">
      <c r="A286" s="307"/>
      <c r="B286" s="307"/>
      <c r="C286" s="307"/>
      <c r="D286" s="307"/>
      <c r="E286" s="307"/>
      <c r="F286" s="371"/>
      <c r="G286" s="307"/>
      <c r="H286" s="307"/>
      <c r="I286" s="307"/>
      <c r="J286" s="371"/>
      <c r="K286" s="371"/>
      <c r="L286" s="371"/>
      <c r="M286" s="371"/>
      <c r="N286" s="371"/>
      <c r="O286" s="371"/>
      <c r="P286" s="371"/>
      <c r="Q286" s="371"/>
      <c r="R286" s="371"/>
      <c r="S286" s="371"/>
      <c r="T286" s="371"/>
    </row>
    <row r="287">
      <c r="A287" s="307"/>
      <c r="B287" s="307"/>
      <c r="C287" s="307"/>
      <c r="D287" s="307"/>
      <c r="E287" s="307"/>
      <c r="F287" s="371"/>
      <c r="G287" s="307"/>
      <c r="H287" s="307"/>
      <c r="I287" s="307"/>
      <c r="J287" s="371"/>
      <c r="K287" s="371"/>
      <c r="L287" s="371"/>
      <c r="M287" s="371"/>
      <c r="N287" s="371"/>
      <c r="O287" s="371"/>
      <c r="P287" s="371"/>
      <c r="Q287" s="371"/>
      <c r="R287" s="371"/>
      <c r="S287" s="371"/>
      <c r="T287" s="371"/>
    </row>
    <row r="288">
      <c r="A288" s="307"/>
      <c r="B288" s="307"/>
      <c r="C288" s="307"/>
      <c r="D288" s="307"/>
      <c r="E288" s="307"/>
      <c r="F288" s="371"/>
      <c r="G288" s="307"/>
      <c r="H288" s="307"/>
      <c r="I288" s="307"/>
      <c r="J288" s="371"/>
      <c r="K288" s="371"/>
      <c r="L288" s="371"/>
      <c r="M288" s="371"/>
      <c r="N288" s="371"/>
      <c r="O288" s="371"/>
      <c r="P288" s="371"/>
      <c r="Q288" s="371"/>
      <c r="R288" s="371"/>
      <c r="S288" s="371"/>
      <c r="T288" s="371"/>
    </row>
    <row r="289">
      <c r="A289" s="307"/>
      <c r="B289" s="307"/>
      <c r="C289" s="307"/>
      <c r="D289" s="307"/>
      <c r="E289" s="307"/>
      <c r="F289" s="371"/>
      <c r="G289" s="307"/>
      <c r="H289" s="307"/>
      <c r="I289" s="307"/>
      <c r="J289" s="371"/>
      <c r="K289" s="371"/>
      <c r="L289" s="371"/>
      <c r="M289" s="371"/>
      <c r="N289" s="371"/>
      <c r="O289" s="371"/>
      <c r="P289" s="371"/>
      <c r="Q289" s="371"/>
      <c r="R289" s="371"/>
      <c r="S289" s="371"/>
      <c r="T289" s="371"/>
    </row>
    <row r="290">
      <c r="A290" s="307"/>
      <c r="B290" s="307"/>
      <c r="C290" s="307"/>
      <c r="D290" s="307"/>
      <c r="E290" s="307"/>
      <c r="F290" s="371"/>
      <c r="G290" s="307"/>
      <c r="H290" s="307"/>
      <c r="I290" s="307"/>
      <c r="J290" s="371"/>
      <c r="K290" s="371"/>
      <c r="L290" s="371"/>
      <c r="M290" s="371"/>
      <c r="N290" s="371"/>
      <c r="O290" s="371"/>
      <c r="P290" s="371"/>
      <c r="Q290" s="371"/>
      <c r="R290" s="371"/>
      <c r="S290" s="371"/>
      <c r="T290" s="371"/>
    </row>
    <row r="291">
      <c r="A291" s="307"/>
      <c r="B291" s="307"/>
      <c r="C291" s="307"/>
      <c r="D291" s="307"/>
      <c r="E291" s="307"/>
      <c r="F291" s="371"/>
      <c r="G291" s="307"/>
      <c r="H291" s="307"/>
      <c r="I291" s="307"/>
      <c r="J291" s="371"/>
      <c r="K291" s="371"/>
      <c r="L291" s="371"/>
      <c r="M291" s="371"/>
      <c r="N291" s="371"/>
      <c r="O291" s="371"/>
      <c r="P291" s="371"/>
      <c r="Q291" s="371"/>
      <c r="R291" s="371"/>
      <c r="S291" s="371"/>
      <c r="T291" s="371"/>
    </row>
    <row r="292">
      <c r="A292" s="307"/>
      <c r="B292" s="307"/>
      <c r="C292" s="307"/>
      <c r="D292" s="307"/>
      <c r="E292" s="307"/>
      <c r="F292" s="371"/>
      <c r="G292" s="307"/>
      <c r="H292" s="307"/>
      <c r="I292" s="307"/>
      <c r="J292" s="371"/>
      <c r="K292" s="371"/>
      <c r="L292" s="371"/>
      <c r="M292" s="371"/>
      <c r="N292" s="371"/>
      <c r="O292" s="371"/>
      <c r="P292" s="371"/>
      <c r="Q292" s="371"/>
      <c r="R292" s="371"/>
      <c r="S292" s="371"/>
      <c r="T292" s="371"/>
    </row>
    <row r="293">
      <c r="A293" s="307"/>
      <c r="B293" s="307"/>
      <c r="C293" s="307"/>
      <c r="D293" s="307"/>
      <c r="E293" s="307"/>
      <c r="F293" s="371"/>
      <c r="G293" s="307"/>
      <c r="H293" s="307"/>
      <c r="I293" s="307"/>
      <c r="J293" s="371"/>
      <c r="K293" s="371"/>
      <c r="L293" s="371"/>
      <c r="M293" s="371"/>
      <c r="N293" s="371"/>
      <c r="O293" s="371"/>
      <c r="P293" s="371"/>
      <c r="Q293" s="371"/>
      <c r="R293" s="371"/>
      <c r="S293" s="371"/>
      <c r="T293" s="371"/>
    </row>
    <row r="294">
      <c r="A294" s="307"/>
      <c r="B294" s="307"/>
      <c r="C294" s="307"/>
      <c r="D294" s="307"/>
      <c r="E294" s="307"/>
      <c r="F294" s="371"/>
      <c r="G294" s="307"/>
      <c r="H294" s="307"/>
      <c r="I294" s="307"/>
      <c r="J294" s="371"/>
      <c r="K294" s="371"/>
      <c r="L294" s="371"/>
      <c r="M294" s="371"/>
      <c r="N294" s="371"/>
      <c r="O294" s="371"/>
      <c r="P294" s="371"/>
      <c r="Q294" s="371"/>
      <c r="R294" s="371"/>
      <c r="S294" s="371"/>
      <c r="T294" s="371"/>
    </row>
    <row r="295">
      <c r="A295" s="307"/>
      <c r="B295" s="307"/>
      <c r="C295" s="307"/>
      <c r="D295" s="307"/>
      <c r="E295" s="307"/>
      <c r="F295" s="371"/>
      <c r="G295" s="307"/>
      <c r="H295" s="307"/>
      <c r="I295" s="307"/>
      <c r="J295" s="371"/>
      <c r="K295" s="371"/>
      <c r="L295" s="371"/>
      <c r="M295" s="371"/>
      <c r="N295" s="371"/>
      <c r="O295" s="371"/>
      <c r="P295" s="371"/>
      <c r="Q295" s="371"/>
      <c r="R295" s="371"/>
      <c r="S295" s="371"/>
      <c r="T295" s="371"/>
    </row>
    <row r="296">
      <c r="A296" s="307"/>
      <c r="B296" s="307"/>
      <c r="C296" s="307"/>
      <c r="D296" s="307"/>
      <c r="E296" s="307"/>
      <c r="F296" s="371"/>
      <c r="G296" s="307"/>
      <c r="H296" s="307"/>
      <c r="I296" s="307"/>
      <c r="J296" s="371"/>
      <c r="K296" s="371"/>
      <c r="L296" s="371"/>
      <c r="M296" s="371"/>
      <c r="N296" s="371"/>
      <c r="O296" s="371"/>
      <c r="P296" s="371"/>
      <c r="Q296" s="371"/>
      <c r="R296" s="371"/>
      <c r="S296" s="371"/>
      <c r="T296" s="371"/>
    </row>
    <row r="297">
      <c r="A297" s="307"/>
      <c r="B297" s="307"/>
      <c r="C297" s="307"/>
      <c r="D297" s="307"/>
      <c r="E297" s="307"/>
      <c r="F297" s="371"/>
      <c r="G297" s="307"/>
      <c r="H297" s="307"/>
      <c r="I297" s="307"/>
      <c r="J297" s="371"/>
      <c r="K297" s="371"/>
      <c r="L297" s="371"/>
      <c r="M297" s="371"/>
      <c r="N297" s="371"/>
      <c r="O297" s="371"/>
      <c r="P297" s="371"/>
      <c r="Q297" s="371"/>
      <c r="R297" s="371"/>
      <c r="S297" s="371"/>
      <c r="T297" s="371"/>
    </row>
    <row r="298">
      <c r="A298" s="307"/>
      <c r="B298" s="307"/>
      <c r="C298" s="307"/>
      <c r="D298" s="307"/>
      <c r="E298" s="307"/>
      <c r="F298" s="371"/>
      <c r="G298" s="307"/>
      <c r="H298" s="307"/>
      <c r="I298" s="307"/>
      <c r="J298" s="371"/>
      <c r="K298" s="371"/>
      <c r="L298" s="371"/>
      <c r="M298" s="371"/>
      <c r="N298" s="371"/>
      <c r="O298" s="371"/>
      <c r="P298" s="371"/>
      <c r="Q298" s="371"/>
      <c r="R298" s="371"/>
      <c r="S298" s="371"/>
      <c r="T298" s="371"/>
    </row>
    <row r="299">
      <c r="A299" s="307"/>
      <c r="B299" s="307"/>
      <c r="C299" s="307"/>
      <c r="D299" s="307"/>
      <c r="E299" s="307"/>
      <c r="F299" s="371"/>
      <c r="G299" s="307"/>
      <c r="H299" s="307"/>
      <c r="I299" s="307"/>
      <c r="J299" s="371"/>
      <c r="K299" s="371"/>
      <c r="L299" s="371"/>
      <c r="M299" s="371"/>
      <c r="N299" s="371"/>
      <c r="O299" s="371"/>
      <c r="P299" s="371"/>
      <c r="Q299" s="371"/>
      <c r="R299" s="371"/>
      <c r="S299" s="371"/>
      <c r="T299" s="371"/>
    </row>
    <row r="300">
      <c r="A300" s="307"/>
      <c r="B300" s="307"/>
      <c r="C300" s="307"/>
      <c r="D300" s="307"/>
      <c r="E300" s="307"/>
      <c r="F300" s="371"/>
      <c r="G300" s="307"/>
      <c r="H300" s="307"/>
      <c r="I300" s="307"/>
      <c r="J300" s="371"/>
      <c r="K300" s="371"/>
      <c r="L300" s="371"/>
      <c r="M300" s="371"/>
      <c r="N300" s="371"/>
      <c r="O300" s="371"/>
      <c r="P300" s="371"/>
      <c r="Q300" s="371"/>
      <c r="R300" s="371"/>
      <c r="S300" s="371"/>
      <c r="T300" s="371"/>
    </row>
    <row r="301">
      <c r="A301" s="307"/>
      <c r="B301" s="307"/>
      <c r="C301" s="307"/>
      <c r="D301" s="307"/>
      <c r="E301" s="307"/>
      <c r="F301" s="371"/>
      <c r="G301" s="307"/>
      <c r="H301" s="307"/>
      <c r="I301" s="307"/>
      <c r="J301" s="371"/>
      <c r="K301" s="371"/>
      <c r="L301" s="371"/>
      <c r="M301" s="371"/>
      <c r="N301" s="371"/>
      <c r="O301" s="371"/>
      <c r="P301" s="371"/>
      <c r="Q301" s="371"/>
      <c r="R301" s="371"/>
      <c r="S301" s="371"/>
      <c r="T301" s="371"/>
    </row>
    <row r="302">
      <c r="A302" s="307"/>
      <c r="B302" s="307"/>
      <c r="C302" s="307"/>
      <c r="D302" s="307"/>
      <c r="E302" s="307"/>
      <c r="F302" s="371"/>
      <c r="G302" s="307"/>
      <c r="H302" s="307"/>
      <c r="I302" s="307"/>
      <c r="J302" s="371"/>
      <c r="K302" s="371"/>
      <c r="L302" s="371"/>
      <c r="M302" s="371"/>
      <c r="N302" s="371"/>
      <c r="O302" s="371"/>
      <c r="P302" s="371"/>
      <c r="Q302" s="371"/>
      <c r="R302" s="371"/>
      <c r="S302" s="371"/>
      <c r="T302" s="371"/>
    </row>
    <row r="303">
      <c r="A303" s="307"/>
      <c r="B303" s="307"/>
      <c r="C303" s="307"/>
      <c r="D303" s="307"/>
      <c r="E303" s="307"/>
      <c r="F303" s="371"/>
      <c r="G303" s="307"/>
      <c r="H303" s="307"/>
      <c r="I303" s="307"/>
      <c r="J303" s="371"/>
      <c r="K303" s="371"/>
      <c r="L303" s="371"/>
      <c r="M303" s="371"/>
      <c r="N303" s="371"/>
      <c r="O303" s="371"/>
      <c r="P303" s="371"/>
      <c r="Q303" s="371"/>
      <c r="R303" s="371"/>
      <c r="S303" s="371"/>
      <c r="T303" s="371"/>
    </row>
    <row r="304">
      <c r="A304" s="307"/>
      <c r="B304" s="307"/>
      <c r="C304" s="307"/>
      <c r="D304" s="307"/>
      <c r="E304" s="307"/>
      <c r="F304" s="371"/>
      <c r="G304" s="307"/>
      <c r="H304" s="307"/>
      <c r="I304" s="307"/>
      <c r="J304" s="371"/>
      <c r="K304" s="371"/>
      <c r="L304" s="371"/>
      <c r="M304" s="371"/>
      <c r="N304" s="371"/>
      <c r="O304" s="371"/>
      <c r="P304" s="371"/>
      <c r="Q304" s="371"/>
      <c r="R304" s="371"/>
      <c r="S304" s="371"/>
      <c r="T304" s="371"/>
    </row>
    <row r="305">
      <c r="A305" s="307"/>
      <c r="B305" s="307"/>
      <c r="C305" s="307"/>
      <c r="D305" s="307"/>
      <c r="E305" s="307"/>
      <c r="F305" s="371"/>
      <c r="G305" s="307"/>
      <c r="H305" s="307"/>
      <c r="I305" s="307"/>
      <c r="J305" s="371"/>
      <c r="K305" s="371"/>
      <c r="L305" s="371"/>
      <c r="M305" s="371"/>
      <c r="N305" s="371"/>
      <c r="O305" s="371"/>
      <c r="P305" s="371"/>
      <c r="Q305" s="371"/>
      <c r="R305" s="371"/>
      <c r="S305" s="371"/>
      <c r="T305" s="371"/>
    </row>
    <row r="306">
      <c r="A306" s="307"/>
      <c r="B306" s="307"/>
      <c r="C306" s="307"/>
      <c r="D306" s="307"/>
      <c r="E306" s="307"/>
      <c r="F306" s="371"/>
      <c r="G306" s="307"/>
      <c r="H306" s="307"/>
      <c r="I306" s="307"/>
      <c r="J306" s="371"/>
      <c r="K306" s="371"/>
      <c r="L306" s="371"/>
      <c r="M306" s="371"/>
      <c r="N306" s="371"/>
      <c r="O306" s="371"/>
      <c r="P306" s="371"/>
      <c r="Q306" s="371"/>
      <c r="R306" s="371"/>
      <c r="S306" s="371"/>
      <c r="T306" s="371"/>
    </row>
    <row r="307">
      <c r="A307" s="307"/>
      <c r="B307" s="307"/>
      <c r="C307" s="307"/>
      <c r="D307" s="307"/>
      <c r="E307" s="307"/>
      <c r="F307" s="371"/>
      <c r="G307" s="307"/>
      <c r="H307" s="307"/>
      <c r="I307" s="307"/>
      <c r="J307" s="371"/>
      <c r="K307" s="371"/>
      <c r="L307" s="371"/>
      <c r="M307" s="371"/>
      <c r="N307" s="371"/>
      <c r="O307" s="371"/>
      <c r="P307" s="371"/>
      <c r="Q307" s="371"/>
      <c r="R307" s="371"/>
      <c r="S307" s="371"/>
      <c r="T307" s="371"/>
    </row>
    <row r="308">
      <c r="A308" s="307"/>
      <c r="B308" s="307"/>
      <c r="C308" s="307"/>
      <c r="D308" s="307"/>
      <c r="E308" s="307"/>
      <c r="F308" s="371"/>
      <c r="G308" s="307"/>
      <c r="H308" s="307"/>
      <c r="I308" s="307"/>
      <c r="J308" s="371"/>
      <c r="K308" s="371"/>
      <c r="L308" s="371"/>
      <c r="M308" s="371"/>
      <c r="N308" s="371"/>
      <c r="O308" s="371"/>
      <c r="P308" s="371"/>
      <c r="Q308" s="371"/>
      <c r="R308" s="371"/>
      <c r="S308" s="371"/>
      <c r="T308" s="371"/>
    </row>
    <row r="309">
      <c r="A309" s="307"/>
      <c r="B309" s="307"/>
      <c r="C309" s="307"/>
      <c r="D309" s="307"/>
      <c r="E309" s="307"/>
      <c r="F309" s="371"/>
      <c r="G309" s="307"/>
      <c r="H309" s="307"/>
      <c r="I309" s="307"/>
      <c r="J309" s="371"/>
      <c r="K309" s="371"/>
      <c r="L309" s="371"/>
      <c r="M309" s="371"/>
      <c r="N309" s="371"/>
      <c r="O309" s="371"/>
      <c r="P309" s="371"/>
      <c r="Q309" s="371"/>
      <c r="R309" s="371"/>
      <c r="S309" s="371"/>
      <c r="T309" s="371"/>
    </row>
    <row r="310">
      <c r="A310" s="307"/>
      <c r="B310" s="307"/>
      <c r="C310" s="307"/>
      <c r="D310" s="307"/>
      <c r="E310" s="307"/>
      <c r="F310" s="371"/>
      <c r="G310" s="307"/>
      <c r="H310" s="307"/>
      <c r="I310" s="307"/>
      <c r="J310" s="371"/>
      <c r="K310" s="371"/>
      <c r="L310" s="371"/>
      <c r="M310" s="371"/>
      <c r="N310" s="371"/>
      <c r="O310" s="371"/>
      <c r="P310" s="371"/>
      <c r="Q310" s="371"/>
      <c r="R310" s="371"/>
      <c r="S310" s="371"/>
      <c r="T310" s="371"/>
    </row>
    <row r="311">
      <c r="A311" s="307"/>
      <c r="B311" s="307"/>
      <c r="C311" s="307"/>
      <c r="D311" s="307"/>
      <c r="E311" s="307"/>
      <c r="F311" s="371"/>
      <c r="G311" s="307"/>
      <c r="H311" s="307"/>
      <c r="I311" s="307"/>
      <c r="J311" s="371"/>
      <c r="K311" s="371"/>
      <c r="L311" s="371"/>
      <c r="M311" s="371"/>
      <c r="N311" s="371"/>
      <c r="O311" s="371"/>
      <c r="P311" s="371"/>
      <c r="Q311" s="371"/>
      <c r="R311" s="371"/>
      <c r="S311" s="371"/>
      <c r="T311" s="371"/>
    </row>
    <row r="312">
      <c r="A312" s="307"/>
      <c r="B312" s="307"/>
      <c r="C312" s="307"/>
      <c r="D312" s="307"/>
      <c r="E312" s="307"/>
      <c r="F312" s="371"/>
      <c r="G312" s="307"/>
      <c r="H312" s="307"/>
      <c r="I312" s="307"/>
      <c r="J312" s="371"/>
      <c r="K312" s="371"/>
      <c r="L312" s="371"/>
      <c r="M312" s="371"/>
      <c r="N312" s="371"/>
      <c r="O312" s="371"/>
      <c r="P312" s="371"/>
      <c r="Q312" s="371"/>
      <c r="R312" s="371"/>
      <c r="S312" s="371"/>
      <c r="T312" s="371"/>
    </row>
    <row r="313">
      <c r="A313" s="307"/>
      <c r="B313" s="307"/>
      <c r="C313" s="307"/>
      <c r="D313" s="307"/>
      <c r="E313" s="307"/>
      <c r="F313" s="371"/>
      <c r="G313" s="307"/>
      <c r="H313" s="307"/>
      <c r="I313" s="307"/>
      <c r="J313" s="371"/>
      <c r="K313" s="371"/>
      <c r="L313" s="371"/>
      <c r="M313" s="371"/>
      <c r="N313" s="371"/>
      <c r="O313" s="371"/>
      <c r="P313" s="371"/>
      <c r="Q313" s="371"/>
      <c r="R313" s="371"/>
      <c r="S313" s="371"/>
      <c r="T313" s="371"/>
    </row>
    <row r="314">
      <c r="A314" s="307"/>
      <c r="B314" s="307"/>
      <c r="C314" s="307"/>
      <c r="D314" s="307"/>
      <c r="E314" s="307"/>
      <c r="F314" s="371"/>
      <c r="G314" s="307"/>
      <c r="H314" s="307"/>
      <c r="I314" s="307"/>
      <c r="J314" s="371"/>
      <c r="K314" s="371"/>
      <c r="L314" s="371"/>
      <c r="M314" s="371"/>
      <c r="N314" s="371"/>
      <c r="O314" s="371"/>
      <c r="P314" s="371"/>
      <c r="Q314" s="371"/>
      <c r="R314" s="371"/>
      <c r="S314" s="371"/>
      <c r="T314" s="371"/>
    </row>
    <row r="315">
      <c r="A315" s="307"/>
      <c r="B315" s="307"/>
      <c r="C315" s="307"/>
      <c r="D315" s="307"/>
      <c r="E315" s="307"/>
      <c r="F315" s="371"/>
      <c r="G315" s="307"/>
      <c r="H315" s="307"/>
      <c r="I315" s="307"/>
      <c r="J315" s="371"/>
      <c r="K315" s="371"/>
      <c r="L315" s="371"/>
      <c r="M315" s="371"/>
      <c r="N315" s="371"/>
      <c r="O315" s="371"/>
      <c r="P315" s="371"/>
      <c r="Q315" s="371"/>
      <c r="R315" s="371"/>
      <c r="S315" s="371"/>
      <c r="T315" s="371"/>
    </row>
    <row r="316">
      <c r="A316" s="307"/>
      <c r="B316" s="307"/>
      <c r="C316" s="307"/>
      <c r="D316" s="307"/>
      <c r="E316" s="307"/>
      <c r="F316" s="371"/>
      <c r="G316" s="307"/>
      <c r="H316" s="307"/>
      <c r="I316" s="307"/>
      <c r="J316" s="371"/>
      <c r="K316" s="371"/>
      <c r="L316" s="371"/>
      <c r="M316" s="371"/>
      <c r="N316" s="371"/>
      <c r="O316" s="371"/>
      <c r="P316" s="371"/>
      <c r="Q316" s="371"/>
      <c r="R316" s="371"/>
      <c r="S316" s="371"/>
      <c r="T316" s="371"/>
    </row>
    <row r="317">
      <c r="A317" s="307"/>
      <c r="B317" s="307"/>
      <c r="C317" s="307"/>
      <c r="D317" s="307"/>
      <c r="E317" s="307"/>
      <c r="F317" s="371"/>
      <c r="G317" s="307"/>
      <c r="H317" s="307"/>
      <c r="I317" s="307"/>
      <c r="J317" s="371"/>
      <c r="K317" s="371"/>
      <c r="L317" s="371"/>
      <c r="M317" s="371"/>
      <c r="N317" s="371"/>
      <c r="O317" s="371"/>
      <c r="P317" s="371"/>
      <c r="Q317" s="371"/>
      <c r="R317" s="371"/>
      <c r="S317" s="371"/>
      <c r="T317" s="371"/>
    </row>
    <row r="318">
      <c r="A318" s="307"/>
      <c r="B318" s="307"/>
      <c r="C318" s="307"/>
      <c r="D318" s="307"/>
      <c r="E318" s="307"/>
      <c r="F318" s="371"/>
      <c r="G318" s="307"/>
      <c r="H318" s="307"/>
      <c r="I318" s="307"/>
      <c r="J318" s="371"/>
      <c r="K318" s="371"/>
      <c r="L318" s="371"/>
      <c r="M318" s="371"/>
      <c r="N318" s="371"/>
      <c r="O318" s="371"/>
      <c r="P318" s="371"/>
      <c r="Q318" s="371"/>
      <c r="R318" s="371"/>
      <c r="S318" s="371"/>
      <c r="T318" s="371"/>
    </row>
    <row r="319">
      <c r="A319" s="307"/>
      <c r="B319" s="307"/>
      <c r="C319" s="307"/>
      <c r="D319" s="307"/>
      <c r="E319" s="307"/>
      <c r="F319" s="371"/>
      <c r="G319" s="307"/>
      <c r="H319" s="307"/>
      <c r="I319" s="307"/>
      <c r="J319" s="371"/>
      <c r="K319" s="371"/>
      <c r="L319" s="371"/>
      <c r="M319" s="371"/>
      <c r="N319" s="371"/>
      <c r="O319" s="371"/>
      <c r="P319" s="371"/>
      <c r="Q319" s="371"/>
      <c r="R319" s="371"/>
      <c r="S319" s="371"/>
      <c r="T319" s="371"/>
    </row>
    <row r="320">
      <c r="A320" s="307"/>
      <c r="B320" s="307"/>
      <c r="C320" s="307"/>
      <c r="D320" s="307"/>
      <c r="E320" s="307"/>
      <c r="F320" s="371"/>
      <c r="G320" s="307"/>
      <c r="H320" s="307"/>
      <c r="I320" s="307"/>
      <c r="J320" s="371"/>
      <c r="K320" s="371"/>
      <c r="L320" s="371"/>
      <c r="M320" s="371"/>
      <c r="N320" s="371"/>
      <c r="O320" s="371"/>
      <c r="P320" s="371"/>
      <c r="Q320" s="371"/>
      <c r="R320" s="371"/>
      <c r="S320" s="371"/>
      <c r="T320" s="371"/>
    </row>
    <row r="321">
      <c r="A321" s="307"/>
      <c r="B321" s="307"/>
      <c r="C321" s="307"/>
      <c r="D321" s="307"/>
      <c r="E321" s="307"/>
      <c r="F321" s="371"/>
      <c r="G321" s="307"/>
      <c r="H321" s="307"/>
      <c r="I321" s="307"/>
      <c r="J321" s="371"/>
      <c r="K321" s="371"/>
      <c r="L321" s="371"/>
      <c r="M321" s="371"/>
      <c r="N321" s="371"/>
      <c r="O321" s="371"/>
      <c r="P321" s="371"/>
      <c r="Q321" s="371"/>
      <c r="R321" s="371"/>
      <c r="S321" s="371"/>
      <c r="T321" s="371"/>
    </row>
    <row r="322">
      <c r="A322" s="307"/>
      <c r="B322" s="307"/>
      <c r="C322" s="307"/>
      <c r="D322" s="307"/>
      <c r="E322" s="307"/>
      <c r="F322" s="371"/>
      <c r="G322" s="307"/>
      <c r="H322" s="307"/>
      <c r="I322" s="307"/>
      <c r="J322" s="371"/>
      <c r="K322" s="371"/>
      <c r="L322" s="371"/>
      <c r="M322" s="371"/>
      <c r="N322" s="371"/>
      <c r="O322" s="371"/>
      <c r="P322" s="371"/>
      <c r="Q322" s="371"/>
      <c r="R322" s="371"/>
      <c r="S322" s="371"/>
      <c r="T322" s="371"/>
    </row>
    <row r="323">
      <c r="A323" s="307"/>
      <c r="B323" s="307"/>
      <c r="C323" s="307"/>
      <c r="D323" s="307"/>
      <c r="E323" s="307"/>
      <c r="F323" s="371"/>
      <c r="G323" s="307"/>
      <c r="H323" s="307"/>
      <c r="I323" s="307"/>
      <c r="J323" s="371"/>
      <c r="K323" s="371"/>
      <c r="L323" s="371"/>
      <c r="M323" s="371"/>
      <c r="N323" s="371"/>
      <c r="O323" s="371"/>
      <c r="P323" s="371"/>
      <c r="Q323" s="371"/>
      <c r="R323" s="371"/>
      <c r="S323" s="371"/>
      <c r="T323" s="371"/>
    </row>
    <row r="324">
      <c r="A324" s="307"/>
      <c r="B324" s="307"/>
      <c r="C324" s="307"/>
      <c r="D324" s="307"/>
      <c r="E324" s="307"/>
      <c r="F324" s="371"/>
      <c r="G324" s="307"/>
      <c r="H324" s="307"/>
      <c r="I324" s="307"/>
      <c r="J324" s="371"/>
      <c r="K324" s="371"/>
      <c r="L324" s="371"/>
      <c r="M324" s="371"/>
      <c r="N324" s="371"/>
      <c r="O324" s="371"/>
      <c r="P324" s="371"/>
      <c r="Q324" s="371"/>
      <c r="R324" s="371"/>
      <c r="S324" s="371"/>
      <c r="T324" s="371"/>
    </row>
    <row r="325">
      <c r="A325" s="307"/>
      <c r="B325" s="307"/>
      <c r="C325" s="307"/>
      <c r="D325" s="307"/>
      <c r="E325" s="307"/>
      <c r="F325" s="371"/>
      <c r="G325" s="307"/>
      <c r="H325" s="307"/>
      <c r="I325" s="307"/>
      <c r="J325" s="371"/>
      <c r="K325" s="371"/>
      <c r="L325" s="371"/>
      <c r="M325" s="371"/>
      <c r="N325" s="371"/>
      <c r="O325" s="371"/>
      <c r="P325" s="371"/>
      <c r="Q325" s="371"/>
      <c r="R325" s="371"/>
      <c r="S325" s="371"/>
      <c r="T325" s="371"/>
    </row>
    <row r="326">
      <c r="A326" s="307"/>
      <c r="B326" s="307"/>
      <c r="C326" s="307"/>
      <c r="D326" s="307"/>
      <c r="E326" s="307"/>
      <c r="F326" s="371"/>
      <c r="G326" s="307"/>
      <c r="H326" s="307"/>
      <c r="I326" s="307"/>
      <c r="J326" s="371"/>
      <c r="K326" s="371"/>
      <c r="L326" s="371"/>
      <c r="M326" s="371"/>
      <c r="N326" s="371"/>
      <c r="O326" s="371"/>
      <c r="P326" s="371"/>
      <c r="Q326" s="371"/>
      <c r="R326" s="371"/>
      <c r="S326" s="371"/>
      <c r="T326" s="371"/>
    </row>
    <row r="327">
      <c r="A327" s="307"/>
      <c r="B327" s="307"/>
      <c r="C327" s="307"/>
      <c r="D327" s="307"/>
      <c r="E327" s="307"/>
      <c r="F327" s="371"/>
      <c r="G327" s="307"/>
      <c r="H327" s="307"/>
      <c r="I327" s="307"/>
      <c r="J327" s="371"/>
      <c r="K327" s="371"/>
      <c r="L327" s="371"/>
      <c r="M327" s="371"/>
      <c r="N327" s="371"/>
      <c r="O327" s="371"/>
      <c r="P327" s="371"/>
      <c r="Q327" s="371"/>
      <c r="R327" s="371"/>
      <c r="S327" s="371"/>
      <c r="T327" s="371"/>
    </row>
    <row r="328">
      <c r="A328" s="307"/>
      <c r="B328" s="307"/>
      <c r="C328" s="307"/>
      <c r="D328" s="307"/>
      <c r="E328" s="307"/>
      <c r="F328" s="371"/>
      <c r="G328" s="307"/>
      <c r="H328" s="307"/>
      <c r="I328" s="307"/>
      <c r="J328" s="371"/>
      <c r="K328" s="371"/>
      <c r="L328" s="371"/>
      <c r="M328" s="371"/>
      <c r="N328" s="371"/>
      <c r="O328" s="371"/>
      <c r="P328" s="371"/>
      <c r="Q328" s="371"/>
      <c r="R328" s="371"/>
      <c r="S328" s="371"/>
      <c r="T328" s="371"/>
    </row>
    <row r="329">
      <c r="A329" s="307"/>
      <c r="B329" s="307"/>
      <c r="C329" s="307"/>
      <c r="D329" s="307"/>
      <c r="E329" s="307"/>
      <c r="F329" s="371"/>
      <c r="G329" s="307"/>
      <c r="H329" s="307"/>
      <c r="I329" s="307"/>
      <c r="J329" s="371"/>
      <c r="K329" s="371"/>
      <c r="L329" s="371"/>
      <c r="M329" s="371"/>
      <c r="N329" s="371"/>
      <c r="O329" s="371"/>
      <c r="P329" s="371"/>
      <c r="Q329" s="371"/>
      <c r="R329" s="371"/>
      <c r="S329" s="371"/>
      <c r="T329" s="371"/>
    </row>
    <row r="330">
      <c r="A330" s="307"/>
      <c r="B330" s="307"/>
      <c r="C330" s="307"/>
      <c r="D330" s="307"/>
      <c r="E330" s="307"/>
      <c r="F330" s="371"/>
      <c r="G330" s="307"/>
      <c r="H330" s="307"/>
      <c r="I330" s="307"/>
      <c r="J330" s="371"/>
      <c r="K330" s="371"/>
      <c r="L330" s="371"/>
      <c r="M330" s="371"/>
      <c r="N330" s="371"/>
      <c r="O330" s="371"/>
      <c r="P330" s="371"/>
      <c r="Q330" s="371"/>
      <c r="R330" s="371"/>
      <c r="S330" s="371"/>
      <c r="T330" s="371"/>
    </row>
    <row r="331">
      <c r="A331" s="307"/>
      <c r="B331" s="307"/>
      <c r="C331" s="307"/>
      <c r="D331" s="307"/>
      <c r="E331" s="307"/>
      <c r="F331" s="371"/>
      <c r="G331" s="307"/>
      <c r="H331" s="307"/>
      <c r="I331" s="307"/>
      <c r="J331" s="371"/>
      <c r="K331" s="371"/>
      <c r="L331" s="371"/>
      <c r="M331" s="371"/>
      <c r="N331" s="371"/>
      <c r="O331" s="371"/>
      <c r="P331" s="371"/>
      <c r="Q331" s="371"/>
      <c r="R331" s="371"/>
      <c r="S331" s="371"/>
      <c r="T331" s="371"/>
    </row>
    <row r="332">
      <c r="A332" s="307"/>
      <c r="B332" s="307"/>
      <c r="C332" s="307"/>
      <c r="D332" s="307"/>
      <c r="E332" s="307"/>
      <c r="F332" s="371"/>
      <c r="G332" s="307"/>
      <c r="H332" s="307"/>
      <c r="I332" s="307"/>
      <c r="J332" s="371"/>
      <c r="K332" s="371"/>
      <c r="L332" s="371"/>
      <c r="M332" s="371"/>
      <c r="N332" s="371"/>
      <c r="O332" s="371"/>
      <c r="P332" s="371"/>
      <c r="Q332" s="371"/>
      <c r="R332" s="371"/>
      <c r="S332" s="371"/>
      <c r="T332" s="371"/>
    </row>
    <row r="333">
      <c r="A333" s="307"/>
      <c r="B333" s="307"/>
      <c r="C333" s="307"/>
      <c r="D333" s="307"/>
      <c r="E333" s="307"/>
      <c r="F333" s="371"/>
      <c r="G333" s="307"/>
      <c r="H333" s="307"/>
      <c r="I333" s="307"/>
      <c r="J333" s="371"/>
      <c r="K333" s="371"/>
      <c r="L333" s="371"/>
      <c r="M333" s="371"/>
      <c r="N333" s="371"/>
      <c r="O333" s="371"/>
      <c r="P333" s="371"/>
      <c r="Q333" s="371"/>
      <c r="R333" s="371"/>
      <c r="S333" s="371"/>
      <c r="T333" s="371"/>
    </row>
    <row r="334">
      <c r="A334" s="307"/>
      <c r="B334" s="307"/>
      <c r="C334" s="307"/>
      <c r="D334" s="307"/>
      <c r="E334" s="307"/>
      <c r="F334" s="371"/>
      <c r="G334" s="307"/>
      <c r="H334" s="307"/>
      <c r="I334" s="307"/>
      <c r="J334" s="371"/>
      <c r="K334" s="371"/>
      <c r="L334" s="371"/>
      <c r="M334" s="371"/>
      <c r="N334" s="371"/>
      <c r="O334" s="371"/>
      <c r="P334" s="371"/>
      <c r="Q334" s="371"/>
      <c r="R334" s="371"/>
      <c r="S334" s="371"/>
      <c r="T334" s="371"/>
    </row>
    <row r="335">
      <c r="A335" s="307"/>
      <c r="B335" s="307"/>
      <c r="C335" s="307"/>
      <c r="D335" s="307"/>
      <c r="E335" s="307"/>
      <c r="F335" s="371"/>
      <c r="G335" s="307"/>
      <c r="H335" s="307"/>
      <c r="I335" s="307"/>
      <c r="J335" s="371"/>
      <c r="K335" s="371"/>
      <c r="L335" s="371"/>
      <c r="M335" s="371"/>
      <c r="N335" s="371"/>
      <c r="O335" s="371"/>
      <c r="P335" s="371"/>
      <c r="Q335" s="371"/>
      <c r="R335" s="371"/>
      <c r="S335" s="371"/>
      <c r="T335" s="371"/>
    </row>
    <row r="336">
      <c r="A336" s="307"/>
      <c r="B336" s="307"/>
      <c r="C336" s="307"/>
      <c r="D336" s="307"/>
      <c r="E336" s="307"/>
      <c r="F336" s="371"/>
      <c r="G336" s="307"/>
      <c r="H336" s="307"/>
      <c r="I336" s="307"/>
      <c r="J336" s="371"/>
      <c r="K336" s="371"/>
      <c r="L336" s="371"/>
      <c r="M336" s="371"/>
      <c r="N336" s="371"/>
      <c r="O336" s="371"/>
      <c r="P336" s="371"/>
      <c r="Q336" s="371"/>
      <c r="R336" s="371"/>
      <c r="S336" s="371"/>
      <c r="T336" s="371"/>
    </row>
    <row r="337">
      <c r="A337" s="307"/>
      <c r="B337" s="307"/>
      <c r="C337" s="307"/>
      <c r="D337" s="307"/>
      <c r="E337" s="307"/>
      <c r="F337" s="371"/>
      <c r="G337" s="307"/>
      <c r="H337" s="307"/>
      <c r="I337" s="307"/>
      <c r="J337" s="371"/>
      <c r="K337" s="371"/>
      <c r="L337" s="371"/>
      <c r="M337" s="371"/>
      <c r="N337" s="371"/>
      <c r="O337" s="371"/>
      <c r="P337" s="371"/>
      <c r="Q337" s="371"/>
      <c r="R337" s="371"/>
      <c r="S337" s="371"/>
      <c r="T337" s="371"/>
    </row>
    <row r="338">
      <c r="A338" s="307"/>
      <c r="B338" s="307"/>
      <c r="C338" s="307"/>
      <c r="D338" s="307"/>
      <c r="E338" s="307"/>
      <c r="F338" s="371"/>
      <c r="G338" s="307"/>
      <c r="H338" s="307"/>
      <c r="I338" s="307"/>
      <c r="J338" s="371"/>
      <c r="K338" s="371"/>
      <c r="L338" s="371"/>
      <c r="M338" s="371"/>
      <c r="N338" s="371"/>
      <c r="O338" s="371"/>
      <c r="P338" s="371"/>
      <c r="Q338" s="371"/>
      <c r="R338" s="371"/>
      <c r="S338" s="371"/>
      <c r="T338" s="371"/>
    </row>
    <row r="339">
      <c r="A339" s="307"/>
      <c r="B339" s="307"/>
      <c r="C339" s="307"/>
      <c r="D339" s="307"/>
      <c r="E339" s="307"/>
      <c r="F339" s="371"/>
      <c r="G339" s="307"/>
      <c r="H339" s="307"/>
      <c r="I339" s="307"/>
      <c r="J339" s="371"/>
      <c r="K339" s="371"/>
      <c r="L339" s="371"/>
      <c r="M339" s="371"/>
      <c r="N339" s="371"/>
      <c r="O339" s="371"/>
      <c r="P339" s="371"/>
      <c r="Q339" s="371"/>
      <c r="R339" s="371"/>
      <c r="S339" s="371"/>
      <c r="T339" s="371"/>
    </row>
    <row r="340">
      <c r="A340" s="307"/>
      <c r="B340" s="307"/>
      <c r="C340" s="307"/>
      <c r="D340" s="307"/>
      <c r="E340" s="307"/>
      <c r="F340" s="371"/>
      <c r="G340" s="307"/>
      <c r="H340" s="307"/>
      <c r="I340" s="307"/>
      <c r="J340" s="371"/>
      <c r="K340" s="371"/>
      <c r="L340" s="371"/>
      <c r="M340" s="371"/>
      <c r="N340" s="371"/>
      <c r="O340" s="371"/>
      <c r="P340" s="371"/>
      <c r="Q340" s="371"/>
      <c r="R340" s="371"/>
      <c r="S340" s="371"/>
      <c r="T340" s="371"/>
    </row>
    <row r="341">
      <c r="A341" s="307"/>
      <c r="B341" s="307"/>
      <c r="C341" s="307"/>
      <c r="D341" s="307"/>
      <c r="E341" s="307"/>
      <c r="F341" s="371"/>
      <c r="G341" s="307"/>
      <c r="H341" s="307"/>
      <c r="I341" s="307"/>
      <c r="J341" s="371"/>
      <c r="K341" s="371"/>
      <c r="L341" s="371"/>
      <c r="M341" s="371"/>
      <c r="N341" s="371"/>
      <c r="O341" s="371"/>
      <c r="P341" s="371"/>
      <c r="Q341" s="371"/>
      <c r="R341" s="371"/>
      <c r="S341" s="371"/>
      <c r="T341" s="371"/>
    </row>
    <row r="342">
      <c r="A342" s="307"/>
      <c r="B342" s="307"/>
      <c r="C342" s="307"/>
      <c r="D342" s="307"/>
      <c r="E342" s="307"/>
      <c r="F342" s="371"/>
      <c r="G342" s="307"/>
      <c r="H342" s="307"/>
      <c r="I342" s="307"/>
      <c r="J342" s="371"/>
      <c r="K342" s="371"/>
      <c r="L342" s="371"/>
      <c r="M342" s="371"/>
      <c r="N342" s="371"/>
      <c r="O342" s="371"/>
      <c r="P342" s="371"/>
      <c r="Q342" s="371"/>
      <c r="R342" s="371"/>
      <c r="S342" s="371"/>
      <c r="T342" s="371"/>
    </row>
    <row r="343">
      <c r="A343" s="307"/>
      <c r="B343" s="307"/>
      <c r="C343" s="307"/>
      <c r="D343" s="307"/>
      <c r="E343" s="307"/>
      <c r="F343" s="371"/>
      <c r="G343" s="307"/>
      <c r="H343" s="307"/>
      <c r="I343" s="307"/>
      <c r="J343" s="371"/>
      <c r="K343" s="371"/>
      <c r="L343" s="371"/>
      <c r="M343" s="371"/>
      <c r="N343" s="371"/>
      <c r="O343" s="371"/>
      <c r="P343" s="371"/>
      <c r="Q343" s="371"/>
      <c r="R343" s="371"/>
      <c r="S343" s="371"/>
      <c r="T343" s="371"/>
    </row>
    <row r="344">
      <c r="A344" s="307"/>
      <c r="B344" s="307"/>
      <c r="C344" s="307"/>
      <c r="D344" s="307"/>
      <c r="E344" s="307"/>
      <c r="F344" s="371"/>
      <c r="G344" s="307"/>
      <c r="H344" s="307"/>
      <c r="I344" s="307"/>
      <c r="J344" s="371"/>
      <c r="K344" s="371"/>
      <c r="L344" s="371"/>
      <c r="M344" s="371"/>
      <c r="N344" s="371"/>
      <c r="O344" s="371"/>
      <c r="P344" s="371"/>
      <c r="Q344" s="371"/>
      <c r="R344" s="371"/>
      <c r="S344" s="371"/>
      <c r="T344" s="371"/>
    </row>
    <row r="345">
      <c r="A345" s="307"/>
      <c r="B345" s="307"/>
      <c r="C345" s="307"/>
      <c r="D345" s="307"/>
      <c r="E345" s="307"/>
      <c r="F345" s="371"/>
      <c r="G345" s="307"/>
      <c r="H345" s="307"/>
      <c r="I345" s="307"/>
      <c r="J345" s="371"/>
      <c r="K345" s="371"/>
      <c r="L345" s="371"/>
      <c r="M345" s="371"/>
      <c r="N345" s="371"/>
      <c r="O345" s="371"/>
      <c r="P345" s="371"/>
      <c r="Q345" s="371"/>
      <c r="R345" s="371"/>
      <c r="S345" s="371"/>
      <c r="T345" s="371"/>
    </row>
    <row r="346">
      <c r="A346" s="307"/>
      <c r="B346" s="307"/>
      <c r="C346" s="307"/>
      <c r="D346" s="307"/>
      <c r="E346" s="307"/>
      <c r="F346" s="371"/>
      <c r="G346" s="307"/>
      <c r="H346" s="307"/>
      <c r="I346" s="307"/>
      <c r="J346" s="371"/>
      <c r="K346" s="371"/>
      <c r="L346" s="371"/>
      <c r="M346" s="371"/>
      <c r="N346" s="371"/>
      <c r="O346" s="371"/>
      <c r="P346" s="371"/>
      <c r="Q346" s="371"/>
      <c r="R346" s="371"/>
      <c r="S346" s="371"/>
      <c r="T346" s="371"/>
    </row>
    <row r="347">
      <c r="A347" s="307"/>
      <c r="B347" s="307"/>
      <c r="C347" s="307"/>
      <c r="D347" s="307"/>
      <c r="E347" s="307"/>
      <c r="F347" s="371"/>
      <c r="G347" s="307"/>
      <c r="H347" s="307"/>
      <c r="I347" s="307"/>
      <c r="J347" s="371"/>
      <c r="K347" s="371"/>
      <c r="L347" s="371"/>
      <c r="M347" s="371"/>
      <c r="N347" s="371"/>
      <c r="O347" s="371"/>
      <c r="P347" s="371"/>
      <c r="Q347" s="371"/>
      <c r="R347" s="371"/>
      <c r="S347" s="371"/>
      <c r="T347" s="371"/>
    </row>
    <row r="348">
      <c r="A348" s="307"/>
      <c r="B348" s="307"/>
      <c r="C348" s="307"/>
      <c r="D348" s="307"/>
      <c r="E348" s="307"/>
      <c r="F348" s="371"/>
      <c r="G348" s="307"/>
      <c r="H348" s="307"/>
      <c r="I348" s="307"/>
      <c r="J348" s="371"/>
      <c r="K348" s="371"/>
      <c r="L348" s="371"/>
      <c r="M348" s="371"/>
      <c r="N348" s="371"/>
      <c r="O348" s="371"/>
      <c r="P348" s="371"/>
      <c r="Q348" s="371"/>
      <c r="R348" s="371"/>
      <c r="S348" s="371"/>
      <c r="T348" s="371"/>
    </row>
    <row r="349">
      <c r="A349" s="307"/>
      <c r="B349" s="307"/>
      <c r="C349" s="307"/>
      <c r="D349" s="307"/>
      <c r="E349" s="307"/>
      <c r="F349" s="371"/>
      <c r="G349" s="307"/>
      <c r="H349" s="307"/>
      <c r="I349" s="307"/>
      <c r="J349" s="371"/>
      <c r="K349" s="371"/>
      <c r="L349" s="371"/>
      <c r="M349" s="371"/>
      <c r="N349" s="371"/>
      <c r="O349" s="371"/>
      <c r="P349" s="371"/>
      <c r="Q349" s="371"/>
      <c r="R349" s="371"/>
      <c r="S349" s="371"/>
      <c r="T349" s="371"/>
    </row>
    <row r="350">
      <c r="A350" s="307"/>
      <c r="B350" s="307"/>
      <c r="C350" s="307"/>
      <c r="D350" s="307"/>
      <c r="E350" s="307"/>
      <c r="F350" s="371"/>
      <c r="G350" s="307"/>
      <c r="H350" s="307"/>
      <c r="I350" s="307"/>
      <c r="J350" s="371"/>
      <c r="K350" s="371"/>
      <c r="L350" s="371"/>
      <c r="M350" s="371"/>
      <c r="N350" s="371"/>
      <c r="O350" s="371"/>
      <c r="P350" s="371"/>
      <c r="Q350" s="371"/>
      <c r="R350" s="371"/>
      <c r="S350" s="371"/>
      <c r="T350" s="371"/>
    </row>
    <row r="351">
      <c r="A351" s="307"/>
      <c r="B351" s="307"/>
      <c r="C351" s="307"/>
      <c r="D351" s="307"/>
      <c r="E351" s="307"/>
      <c r="F351" s="371"/>
      <c r="G351" s="307"/>
      <c r="H351" s="307"/>
      <c r="I351" s="307"/>
      <c r="J351" s="371"/>
      <c r="K351" s="371"/>
      <c r="L351" s="371"/>
      <c r="M351" s="371"/>
      <c r="N351" s="371"/>
      <c r="O351" s="371"/>
      <c r="P351" s="371"/>
      <c r="Q351" s="371"/>
      <c r="R351" s="371"/>
      <c r="S351" s="371"/>
      <c r="T351" s="371"/>
    </row>
    <row r="352">
      <c r="A352" s="307"/>
      <c r="B352" s="307"/>
      <c r="C352" s="307"/>
      <c r="D352" s="307"/>
      <c r="E352" s="307"/>
      <c r="F352" s="371"/>
      <c r="G352" s="307"/>
      <c r="H352" s="307"/>
      <c r="I352" s="307"/>
      <c r="J352" s="371"/>
      <c r="K352" s="371"/>
      <c r="L352" s="371"/>
      <c r="M352" s="371"/>
      <c r="N352" s="371"/>
      <c r="O352" s="371"/>
      <c r="P352" s="371"/>
      <c r="Q352" s="371"/>
      <c r="R352" s="371"/>
      <c r="S352" s="371"/>
      <c r="T352" s="371"/>
    </row>
    <row r="353">
      <c r="A353" s="307"/>
      <c r="B353" s="307"/>
      <c r="C353" s="307"/>
      <c r="D353" s="307"/>
      <c r="E353" s="307"/>
      <c r="F353" s="371"/>
      <c r="G353" s="307"/>
      <c r="H353" s="307"/>
      <c r="I353" s="307"/>
      <c r="J353" s="371"/>
      <c r="K353" s="371"/>
      <c r="L353" s="371"/>
      <c r="M353" s="371"/>
      <c r="N353" s="371"/>
      <c r="O353" s="371"/>
      <c r="P353" s="371"/>
      <c r="Q353" s="371"/>
      <c r="R353" s="371"/>
      <c r="S353" s="371"/>
      <c r="T353" s="371"/>
    </row>
    <row r="354">
      <c r="A354" s="307"/>
      <c r="B354" s="307"/>
      <c r="C354" s="307"/>
      <c r="D354" s="307"/>
      <c r="E354" s="307"/>
      <c r="F354" s="371"/>
      <c r="G354" s="307"/>
      <c r="H354" s="307"/>
      <c r="I354" s="307"/>
      <c r="J354" s="371"/>
      <c r="K354" s="371"/>
      <c r="L354" s="371"/>
      <c r="M354" s="371"/>
      <c r="N354" s="371"/>
      <c r="O354" s="371"/>
      <c r="P354" s="371"/>
      <c r="Q354" s="371"/>
      <c r="R354" s="371"/>
      <c r="S354" s="371"/>
      <c r="T354" s="371"/>
    </row>
    <row r="355">
      <c r="A355" s="307"/>
      <c r="B355" s="307"/>
      <c r="C355" s="307"/>
      <c r="D355" s="307"/>
      <c r="E355" s="307"/>
      <c r="F355" s="371"/>
      <c r="G355" s="307"/>
      <c r="H355" s="307"/>
      <c r="I355" s="307"/>
      <c r="J355" s="371"/>
      <c r="K355" s="371"/>
      <c r="L355" s="371"/>
      <c r="M355" s="371"/>
      <c r="N355" s="371"/>
      <c r="O355" s="371"/>
      <c r="P355" s="371"/>
      <c r="Q355" s="371"/>
      <c r="R355" s="371"/>
      <c r="S355" s="371"/>
      <c r="T355" s="371"/>
    </row>
    <row r="356">
      <c r="A356" s="307"/>
      <c r="B356" s="307"/>
      <c r="C356" s="307"/>
      <c r="D356" s="307"/>
      <c r="E356" s="307"/>
      <c r="F356" s="371"/>
      <c r="G356" s="307"/>
      <c r="H356" s="307"/>
      <c r="I356" s="307"/>
      <c r="J356" s="371"/>
      <c r="K356" s="371"/>
      <c r="L356" s="371"/>
      <c r="M356" s="371"/>
      <c r="N356" s="371"/>
      <c r="O356" s="371"/>
      <c r="P356" s="371"/>
      <c r="Q356" s="371"/>
      <c r="R356" s="371"/>
      <c r="S356" s="371"/>
      <c r="T356" s="371"/>
    </row>
    <row r="357">
      <c r="A357" s="307"/>
      <c r="B357" s="307"/>
      <c r="C357" s="307"/>
      <c r="D357" s="307"/>
      <c r="E357" s="307"/>
      <c r="F357" s="371"/>
      <c r="G357" s="307"/>
      <c r="H357" s="307"/>
      <c r="I357" s="307"/>
      <c r="J357" s="371"/>
      <c r="K357" s="371"/>
      <c r="L357" s="371"/>
      <c r="M357" s="371"/>
      <c r="N357" s="371"/>
      <c r="O357" s="371"/>
      <c r="P357" s="371"/>
      <c r="Q357" s="371"/>
      <c r="R357" s="371"/>
      <c r="S357" s="371"/>
      <c r="T357" s="371"/>
    </row>
    <row r="358">
      <c r="A358" s="307"/>
      <c r="B358" s="307"/>
      <c r="C358" s="307"/>
      <c r="D358" s="307"/>
      <c r="E358" s="307"/>
      <c r="F358" s="371"/>
      <c r="G358" s="307"/>
      <c r="H358" s="307"/>
      <c r="I358" s="307"/>
      <c r="J358" s="371"/>
      <c r="K358" s="371"/>
      <c r="L358" s="371"/>
      <c r="M358" s="371"/>
      <c r="N358" s="371"/>
      <c r="O358" s="371"/>
      <c r="P358" s="371"/>
      <c r="Q358" s="371"/>
      <c r="R358" s="371"/>
      <c r="S358" s="371"/>
      <c r="T358" s="371"/>
    </row>
    <row r="359">
      <c r="A359" s="307"/>
      <c r="B359" s="307"/>
      <c r="C359" s="307"/>
      <c r="D359" s="307"/>
      <c r="E359" s="307"/>
      <c r="F359" s="371"/>
      <c r="G359" s="307"/>
      <c r="H359" s="307"/>
      <c r="I359" s="307"/>
      <c r="J359" s="371"/>
      <c r="K359" s="371"/>
      <c r="L359" s="371"/>
      <c r="M359" s="371"/>
      <c r="N359" s="371"/>
      <c r="O359" s="371"/>
      <c r="P359" s="371"/>
      <c r="Q359" s="371"/>
      <c r="R359" s="371"/>
      <c r="S359" s="371"/>
      <c r="T359" s="371"/>
    </row>
    <row r="360">
      <c r="A360" s="307"/>
      <c r="B360" s="307"/>
      <c r="C360" s="307"/>
      <c r="D360" s="307"/>
      <c r="E360" s="307"/>
      <c r="F360" s="371"/>
      <c r="G360" s="307"/>
      <c r="H360" s="307"/>
      <c r="I360" s="307"/>
      <c r="J360" s="371"/>
      <c r="K360" s="371"/>
      <c r="L360" s="371"/>
      <c r="M360" s="371"/>
      <c r="N360" s="371"/>
      <c r="O360" s="371"/>
      <c r="P360" s="371"/>
      <c r="Q360" s="371"/>
      <c r="R360" s="371"/>
      <c r="S360" s="371"/>
      <c r="T360" s="371"/>
    </row>
    <row r="361">
      <c r="A361" s="307"/>
      <c r="B361" s="307"/>
      <c r="C361" s="307"/>
      <c r="D361" s="307"/>
      <c r="E361" s="307"/>
      <c r="F361" s="371"/>
      <c r="G361" s="307"/>
      <c r="H361" s="307"/>
      <c r="I361" s="307"/>
      <c r="J361" s="371"/>
      <c r="K361" s="371"/>
      <c r="L361" s="371"/>
      <c r="M361" s="371"/>
      <c r="N361" s="371"/>
      <c r="O361" s="371"/>
      <c r="P361" s="371"/>
      <c r="Q361" s="371"/>
      <c r="R361" s="371"/>
      <c r="S361" s="371"/>
      <c r="T361" s="371"/>
    </row>
    <row r="362">
      <c r="A362" s="307"/>
      <c r="B362" s="307"/>
      <c r="C362" s="307"/>
      <c r="D362" s="307"/>
      <c r="E362" s="307"/>
      <c r="F362" s="371"/>
      <c r="G362" s="307"/>
      <c r="H362" s="307"/>
      <c r="I362" s="307"/>
      <c r="J362" s="371"/>
      <c r="K362" s="371"/>
      <c r="L362" s="371"/>
      <c r="M362" s="371"/>
      <c r="N362" s="371"/>
      <c r="O362" s="371"/>
      <c r="P362" s="371"/>
      <c r="Q362" s="371"/>
      <c r="R362" s="371"/>
      <c r="S362" s="371"/>
      <c r="T362" s="371"/>
    </row>
    <row r="363">
      <c r="A363" s="307"/>
      <c r="B363" s="307"/>
      <c r="C363" s="307"/>
      <c r="D363" s="307"/>
      <c r="E363" s="307"/>
      <c r="F363" s="371"/>
      <c r="G363" s="307"/>
      <c r="H363" s="307"/>
      <c r="I363" s="307"/>
      <c r="J363" s="371"/>
      <c r="K363" s="371"/>
      <c r="L363" s="371"/>
      <c r="M363" s="371"/>
      <c r="N363" s="371"/>
      <c r="O363" s="371"/>
      <c r="P363" s="371"/>
      <c r="Q363" s="371"/>
      <c r="R363" s="371"/>
      <c r="S363" s="371"/>
      <c r="T363" s="371"/>
    </row>
    <row r="364">
      <c r="A364" s="307"/>
      <c r="B364" s="307"/>
      <c r="C364" s="307"/>
      <c r="D364" s="307"/>
      <c r="E364" s="307"/>
      <c r="F364" s="371"/>
      <c r="G364" s="307"/>
      <c r="H364" s="307"/>
      <c r="I364" s="307"/>
      <c r="J364" s="371"/>
      <c r="K364" s="371"/>
      <c r="L364" s="371"/>
      <c r="M364" s="371"/>
      <c r="N364" s="371"/>
      <c r="O364" s="371"/>
      <c r="P364" s="371"/>
      <c r="Q364" s="371"/>
      <c r="R364" s="371"/>
      <c r="S364" s="371"/>
      <c r="T364" s="371"/>
    </row>
    <row r="365">
      <c r="A365" s="307"/>
      <c r="B365" s="307"/>
      <c r="C365" s="307"/>
      <c r="D365" s="307"/>
      <c r="E365" s="307"/>
      <c r="F365" s="371"/>
      <c r="G365" s="307"/>
      <c r="H365" s="307"/>
      <c r="I365" s="307"/>
      <c r="J365" s="371"/>
      <c r="K365" s="371"/>
      <c r="L365" s="371"/>
      <c r="M365" s="371"/>
      <c r="N365" s="371"/>
      <c r="O365" s="371"/>
      <c r="P365" s="371"/>
      <c r="Q365" s="371"/>
      <c r="R365" s="371"/>
      <c r="S365" s="371"/>
      <c r="T365" s="371"/>
    </row>
    <row r="366">
      <c r="A366" s="307"/>
      <c r="B366" s="307"/>
      <c r="C366" s="307"/>
      <c r="D366" s="307"/>
      <c r="E366" s="307"/>
      <c r="F366" s="371"/>
      <c r="G366" s="307"/>
      <c r="H366" s="307"/>
      <c r="I366" s="307"/>
      <c r="J366" s="371"/>
      <c r="K366" s="371"/>
      <c r="L366" s="371"/>
      <c r="M366" s="371"/>
      <c r="N366" s="371"/>
      <c r="O366" s="371"/>
      <c r="P366" s="371"/>
      <c r="Q366" s="371"/>
      <c r="R366" s="371"/>
      <c r="S366" s="371"/>
      <c r="T366" s="371"/>
    </row>
    <row r="367">
      <c r="A367" s="307"/>
      <c r="B367" s="307"/>
      <c r="C367" s="307"/>
      <c r="D367" s="307"/>
      <c r="E367" s="307"/>
      <c r="F367" s="371"/>
      <c r="G367" s="307"/>
      <c r="H367" s="307"/>
      <c r="I367" s="307"/>
      <c r="J367" s="371"/>
      <c r="K367" s="371"/>
      <c r="L367" s="371"/>
      <c r="M367" s="371"/>
      <c r="N367" s="371"/>
      <c r="O367" s="371"/>
      <c r="P367" s="371"/>
      <c r="Q367" s="371"/>
      <c r="R367" s="371"/>
      <c r="S367" s="371"/>
      <c r="T367" s="371"/>
    </row>
    <row r="368">
      <c r="A368" s="307"/>
      <c r="B368" s="307"/>
      <c r="C368" s="307"/>
      <c r="D368" s="307"/>
      <c r="E368" s="307"/>
      <c r="F368" s="371"/>
      <c r="G368" s="307"/>
      <c r="H368" s="307"/>
      <c r="I368" s="307"/>
      <c r="J368" s="371"/>
      <c r="K368" s="371"/>
      <c r="L368" s="371"/>
      <c r="M368" s="371"/>
      <c r="N368" s="371"/>
      <c r="O368" s="371"/>
      <c r="P368" s="371"/>
      <c r="Q368" s="371"/>
      <c r="R368" s="371"/>
      <c r="S368" s="371"/>
      <c r="T368" s="371"/>
    </row>
    <row r="369">
      <c r="A369" s="307"/>
      <c r="B369" s="307"/>
      <c r="C369" s="307"/>
      <c r="D369" s="307"/>
      <c r="E369" s="307"/>
      <c r="F369" s="371"/>
      <c r="G369" s="307"/>
      <c r="H369" s="307"/>
      <c r="I369" s="307"/>
      <c r="J369" s="371"/>
      <c r="K369" s="371"/>
      <c r="L369" s="371"/>
      <c r="M369" s="371"/>
      <c r="N369" s="371"/>
      <c r="O369" s="371"/>
      <c r="P369" s="371"/>
      <c r="Q369" s="371"/>
      <c r="R369" s="371"/>
      <c r="S369" s="371"/>
      <c r="T369" s="371"/>
    </row>
    <row r="370">
      <c r="A370" s="307"/>
      <c r="B370" s="307"/>
      <c r="C370" s="307"/>
      <c r="D370" s="307"/>
      <c r="E370" s="307"/>
      <c r="F370" s="371"/>
      <c r="G370" s="307"/>
      <c r="H370" s="307"/>
      <c r="I370" s="307"/>
      <c r="J370" s="371"/>
      <c r="K370" s="371"/>
      <c r="L370" s="371"/>
      <c r="M370" s="371"/>
      <c r="N370" s="371"/>
      <c r="O370" s="371"/>
      <c r="P370" s="371"/>
      <c r="Q370" s="371"/>
      <c r="R370" s="371"/>
      <c r="S370" s="371"/>
      <c r="T370" s="371"/>
    </row>
    <row r="371">
      <c r="A371" s="307"/>
      <c r="B371" s="307"/>
      <c r="C371" s="307"/>
      <c r="D371" s="307"/>
      <c r="E371" s="307"/>
      <c r="F371" s="371"/>
      <c r="G371" s="307"/>
      <c r="H371" s="307"/>
      <c r="I371" s="307"/>
      <c r="J371" s="371"/>
      <c r="K371" s="371"/>
      <c r="L371" s="371"/>
      <c r="M371" s="371"/>
      <c r="N371" s="371"/>
      <c r="O371" s="371"/>
      <c r="P371" s="371"/>
      <c r="Q371" s="371"/>
      <c r="R371" s="371"/>
      <c r="S371" s="371"/>
      <c r="T371" s="371"/>
    </row>
    <row r="372">
      <c r="A372" s="307"/>
      <c r="B372" s="307"/>
      <c r="C372" s="307"/>
      <c r="D372" s="307"/>
      <c r="E372" s="307"/>
      <c r="F372" s="371"/>
      <c r="G372" s="307"/>
      <c r="H372" s="307"/>
      <c r="I372" s="307"/>
      <c r="J372" s="371"/>
      <c r="K372" s="371"/>
      <c r="L372" s="371"/>
      <c r="M372" s="371"/>
      <c r="N372" s="371"/>
      <c r="O372" s="371"/>
      <c r="P372" s="371"/>
      <c r="Q372" s="371"/>
      <c r="R372" s="371"/>
      <c r="S372" s="371"/>
      <c r="T372" s="371"/>
    </row>
    <row r="373">
      <c r="A373" s="307"/>
      <c r="B373" s="307"/>
      <c r="C373" s="307"/>
      <c r="D373" s="307"/>
      <c r="E373" s="307"/>
      <c r="F373" s="371"/>
      <c r="G373" s="307"/>
      <c r="H373" s="307"/>
      <c r="I373" s="307"/>
      <c r="J373" s="371"/>
      <c r="K373" s="371"/>
      <c r="L373" s="371"/>
      <c r="M373" s="371"/>
      <c r="N373" s="371"/>
      <c r="O373" s="371"/>
      <c r="P373" s="371"/>
      <c r="Q373" s="371"/>
      <c r="R373" s="371"/>
      <c r="S373" s="371"/>
      <c r="T373" s="371"/>
    </row>
    <row r="374">
      <c r="A374" s="307"/>
      <c r="B374" s="307"/>
      <c r="C374" s="307"/>
      <c r="D374" s="307"/>
      <c r="E374" s="307"/>
      <c r="F374" s="371"/>
      <c r="G374" s="307"/>
      <c r="H374" s="307"/>
      <c r="I374" s="307"/>
      <c r="J374" s="371"/>
      <c r="K374" s="371"/>
      <c r="L374" s="371"/>
      <c r="M374" s="371"/>
      <c r="N374" s="371"/>
      <c r="O374" s="371"/>
      <c r="P374" s="371"/>
      <c r="Q374" s="371"/>
      <c r="R374" s="371"/>
      <c r="S374" s="371"/>
      <c r="T374" s="371"/>
    </row>
    <row r="375">
      <c r="A375" s="307"/>
      <c r="B375" s="307"/>
      <c r="C375" s="307"/>
      <c r="D375" s="307"/>
      <c r="E375" s="307"/>
      <c r="F375" s="371"/>
      <c r="G375" s="307"/>
      <c r="H375" s="307"/>
      <c r="I375" s="307"/>
      <c r="J375" s="371"/>
      <c r="K375" s="371"/>
      <c r="L375" s="371"/>
      <c r="M375" s="371"/>
      <c r="N375" s="371"/>
      <c r="O375" s="371"/>
      <c r="P375" s="371"/>
      <c r="Q375" s="371"/>
      <c r="R375" s="371"/>
      <c r="S375" s="371"/>
      <c r="T375" s="371"/>
    </row>
    <row r="376">
      <c r="A376" s="307"/>
      <c r="B376" s="307"/>
      <c r="C376" s="307"/>
      <c r="D376" s="307"/>
      <c r="E376" s="307"/>
      <c r="F376" s="371"/>
      <c r="G376" s="307"/>
      <c r="H376" s="307"/>
      <c r="I376" s="307"/>
      <c r="J376" s="371"/>
      <c r="K376" s="371"/>
      <c r="L376" s="371"/>
      <c r="M376" s="371"/>
      <c r="N376" s="371"/>
      <c r="O376" s="371"/>
      <c r="P376" s="371"/>
      <c r="Q376" s="371"/>
      <c r="R376" s="371"/>
      <c r="S376" s="371"/>
      <c r="T376" s="371"/>
    </row>
    <row r="377">
      <c r="A377" s="307"/>
      <c r="B377" s="307"/>
      <c r="C377" s="307"/>
      <c r="D377" s="307"/>
      <c r="E377" s="307"/>
      <c r="F377" s="371"/>
      <c r="G377" s="307"/>
      <c r="H377" s="307"/>
      <c r="I377" s="307"/>
      <c r="J377" s="371"/>
      <c r="K377" s="371"/>
      <c r="L377" s="371"/>
      <c r="M377" s="371"/>
      <c r="N377" s="371"/>
      <c r="O377" s="371"/>
      <c r="P377" s="371"/>
      <c r="Q377" s="371"/>
      <c r="R377" s="371"/>
      <c r="S377" s="371"/>
      <c r="T377" s="371"/>
    </row>
    <row r="378">
      <c r="A378" s="307"/>
      <c r="B378" s="307"/>
      <c r="C378" s="307"/>
      <c r="D378" s="307"/>
      <c r="E378" s="307"/>
      <c r="F378" s="371"/>
      <c r="G378" s="307"/>
      <c r="H378" s="307"/>
      <c r="I378" s="307"/>
      <c r="J378" s="371"/>
      <c r="K378" s="371"/>
      <c r="L378" s="371"/>
      <c r="M378" s="371"/>
      <c r="N378" s="371"/>
      <c r="O378" s="371"/>
      <c r="P378" s="371"/>
      <c r="Q378" s="371"/>
      <c r="R378" s="371"/>
      <c r="S378" s="371"/>
      <c r="T378" s="371"/>
    </row>
    <row r="379">
      <c r="A379" s="307"/>
      <c r="B379" s="307"/>
      <c r="C379" s="307"/>
      <c r="D379" s="307"/>
      <c r="E379" s="307"/>
      <c r="F379" s="371"/>
      <c r="G379" s="307"/>
      <c r="H379" s="307"/>
      <c r="I379" s="307"/>
      <c r="J379" s="371"/>
      <c r="K379" s="371"/>
      <c r="L379" s="371"/>
      <c r="M379" s="371"/>
      <c r="N379" s="371"/>
      <c r="O379" s="371"/>
      <c r="P379" s="371"/>
      <c r="Q379" s="371"/>
      <c r="R379" s="371"/>
      <c r="S379" s="371"/>
      <c r="T379" s="371"/>
    </row>
    <row r="380">
      <c r="A380" s="307"/>
      <c r="B380" s="307"/>
      <c r="C380" s="307"/>
      <c r="D380" s="307"/>
      <c r="E380" s="307"/>
      <c r="F380" s="371"/>
      <c r="G380" s="307"/>
      <c r="H380" s="307"/>
      <c r="I380" s="307"/>
      <c r="J380" s="371"/>
      <c r="K380" s="371"/>
      <c r="L380" s="371"/>
      <c r="M380" s="371"/>
      <c r="N380" s="371"/>
      <c r="O380" s="371"/>
      <c r="P380" s="371"/>
      <c r="Q380" s="371"/>
      <c r="R380" s="371"/>
      <c r="S380" s="371"/>
      <c r="T380" s="371"/>
    </row>
    <row r="381">
      <c r="A381" s="307"/>
      <c r="B381" s="307"/>
      <c r="C381" s="307"/>
      <c r="D381" s="307"/>
      <c r="E381" s="307"/>
      <c r="F381" s="371"/>
      <c r="G381" s="307"/>
      <c r="H381" s="307"/>
      <c r="I381" s="307"/>
      <c r="J381" s="371"/>
      <c r="K381" s="371"/>
      <c r="L381" s="371"/>
      <c r="M381" s="371"/>
      <c r="N381" s="371"/>
      <c r="O381" s="371"/>
      <c r="P381" s="371"/>
      <c r="Q381" s="371"/>
      <c r="R381" s="371"/>
      <c r="S381" s="371"/>
      <c r="T381" s="371"/>
    </row>
    <row r="382">
      <c r="A382" s="307"/>
      <c r="B382" s="307"/>
      <c r="C382" s="307"/>
      <c r="D382" s="307"/>
      <c r="E382" s="307"/>
      <c r="F382" s="371"/>
      <c r="G382" s="307"/>
      <c r="H382" s="307"/>
      <c r="I382" s="307"/>
      <c r="J382" s="371"/>
      <c r="K382" s="371"/>
      <c r="L382" s="371"/>
      <c r="M382" s="371"/>
      <c r="N382" s="371"/>
      <c r="O382" s="371"/>
      <c r="P382" s="371"/>
      <c r="Q382" s="371"/>
      <c r="R382" s="371"/>
      <c r="S382" s="371"/>
      <c r="T382" s="371"/>
    </row>
    <row r="383">
      <c r="A383" s="307"/>
      <c r="B383" s="307"/>
      <c r="C383" s="307"/>
      <c r="D383" s="307"/>
      <c r="E383" s="307"/>
      <c r="F383" s="371"/>
      <c r="G383" s="307"/>
      <c r="H383" s="307"/>
      <c r="I383" s="307"/>
      <c r="J383" s="371"/>
      <c r="K383" s="371"/>
      <c r="L383" s="371"/>
      <c r="M383" s="371"/>
      <c r="N383" s="371"/>
      <c r="O383" s="371"/>
      <c r="P383" s="371"/>
      <c r="Q383" s="371"/>
      <c r="R383" s="371"/>
      <c r="S383" s="371"/>
      <c r="T383" s="371"/>
    </row>
    <row r="384">
      <c r="A384" s="307"/>
      <c r="B384" s="307"/>
      <c r="C384" s="307"/>
      <c r="D384" s="307"/>
      <c r="E384" s="307"/>
      <c r="F384" s="371"/>
      <c r="G384" s="307"/>
      <c r="H384" s="307"/>
      <c r="I384" s="307"/>
      <c r="J384" s="371"/>
      <c r="K384" s="371"/>
      <c r="L384" s="371"/>
      <c r="M384" s="371"/>
      <c r="N384" s="371"/>
      <c r="O384" s="371"/>
      <c r="P384" s="371"/>
      <c r="Q384" s="371"/>
      <c r="R384" s="371"/>
      <c r="S384" s="371"/>
      <c r="T384" s="371"/>
    </row>
    <row r="385">
      <c r="A385" s="307"/>
      <c r="B385" s="307"/>
      <c r="C385" s="307"/>
      <c r="D385" s="307"/>
      <c r="E385" s="307"/>
      <c r="F385" s="371"/>
      <c r="G385" s="307"/>
      <c r="H385" s="307"/>
      <c r="I385" s="307"/>
      <c r="J385" s="371"/>
      <c r="K385" s="371"/>
      <c r="L385" s="371"/>
      <c r="M385" s="371"/>
      <c r="N385" s="371"/>
      <c r="O385" s="371"/>
      <c r="P385" s="371"/>
      <c r="Q385" s="371"/>
      <c r="R385" s="371"/>
      <c r="S385" s="371"/>
      <c r="T385" s="371"/>
    </row>
    <row r="386">
      <c r="A386" s="307"/>
      <c r="B386" s="307"/>
      <c r="C386" s="307"/>
      <c r="D386" s="307"/>
      <c r="E386" s="307"/>
      <c r="F386" s="371"/>
      <c r="G386" s="307"/>
      <c r="H386" s="307"/>
      <c r="I386" s="307"/>
      <c r="J386" s="371"/>
      <c r="K386" s="371"/>
      <c r="L386" s="371"/>
      <c r="M386" s="371"/>
      <c r="N386" s="371"/>
      <c r="O386" s="371"/>
      <c r="P386" s="371"/>
      <c r="Q386" s="371"/>
      <c r="R386" s="371"/>
      <c r="S386" s="371"/>
      <c r="T386" s="371"/>
    </row>
    <row r="387">
      <c r="A387" s="307"/>
      <c r="B387" s="307"/>
      <c r="C387" s="307"/>
      <c r="D387" s="307"/>
      <c r="E387" s="307"/>
      <c r="F387" s="371"/>
      <c r="G387" s="307"/>
      <c r="H387" s="307"/>
      <c r="I387" s="307"/>
      <c r="J387" s="371"/>
      <c r="K387" s="371"/>
      <c r="L387" s="371"/>
      <c r="M387" s="371"/>
      <c r="N387" s="371"/>
      <c r="O387" s="371"/>
      <c r="P387" s="371"/>
      <c r="Q387" s="371"/>
      <c r="R387" s="371"/>
      <c r="S387" s="371"/>
      <c r="T387" s="371"/>
    </row>
    <row r="388">
      <c r="A388" s="307"/>
      <c r="B388" s="307"/>
      <c r="C388" s="307"/>
      <c r="D388" s="307"/>
      <c r="E388" s="307"/>
      <c r="F388" s="371"/>
      <c r="G388" s="307"/>
      <c r="H388" s="307"/>
      <c r="I388" s="307"/>
      <c r="J388" s="371"/>
      <c r="K388" s="371"/>
      <c r="L388" s="371"/>
      <c r="M388" s="371"/>
      <c r="N388" s="371"/>
      <c r="O388" s="371"/>
      <c r="P388" s="371"/>
      <c r="Q388" s="371"/>
      <c r="R388" s="371"/>
      <c r="S388" s="371"/>
      <c r="T388" s="371"/>
    </row>
    <row r="389">
      <c r="A389" s="307"/>
      <c r="B389" s="307"/>
      <c r="C389" s="307"/>
      <c r="D389" s="307"/>
      <c r="E389" s="307"/>
      <c r="F389" s="371"/>
      <c r="G389" s="307"/>
      <c r="H389" s="307"/>
      <c r="I389" s="307"/>
      <c r="J389" s="371"/>
      <c r="K389" s="371"/>
      <c r="L389" s="371"/>
      <c r="M389" s="371"/>
      <c r="N389" s="371"/>
      <c r="O389" s="371"/>
      <c r="P389" s="371"/>
      <c r="Q389" s="371"/>
      <c r="R389" s="371"/>
      <c r="S389" s="371"/>
      <c r="T389" s="371"/>
    </row>
    <row r="390">
      <c r="A390" s="307"/>
      <c r="B390" s="307"/>
      <c r="C390" s="307"/>
      <c r="D390" s="307"/>
      <c r="E390" s="307"/>
      <c r="F390" s="371"/>
      <c r="G390" s="307"/>
      <c r="H390" s="307"/>
      <c r="I390" s="307"/>
      <c r="J390" s="371"/>
      <c r="K390" s="371"/>
      <c r="L390" s="371"/>
      <c r="M390" s="371"/>
      <c r="N390" s="371"/>
      <c r="O390" s="371"/>
      <c r="P390" s="371"/>
      <c r="Q390" s="371"/>
      <c r="R390" s="371"/>
      <c r="S390" s="371"/>
      <c r="T390" s="371"/>
    </row>
    <row r="391">
      <c r="A391" s="307"/>
      <c r="B391" s="307"/>
      <c r="C391" s="307"/>
      <c r="D391" s="307"/>
      <c r="E391" s="307"/>
      <c r="F391" s="371"/>
      <c r="G391" s="307"/>
      <c r="H391" s="307"/>
      <c r="I391" s="307"/>
      <c r="J391" s="371"/>
      <c r="K391" s="371"/>
      <c r="L391" s="371"/>
      <c r="M391" s="371"/>
      <c r="N391" s="371"/>
      <c r="O391" s="371"/>
      <c r="P391" s="371"/>
      <c r="Q391" s="371"/>
      <c r="R391" s="371"/>
      <c r="S391" s="371"/>
      <c r="T391" s="371"/>
    </row>
    <row r="392">
      <c r="A392" s="307"/>
      <c r="B392" s="307"/>
      <c r="C392" s="307"/>
      <c r="D392" s="307"/>
      <c r="E392" s="307"/>
      <c r="F392" s="371"/>
      <c r="G392" s="307"/>
      <c r="H392" s="307"/>
      <c r="I392" s="307"/>
      <c r="J392" s="371"/>
      <c r="K392" s="371"/>
      <c r="L392" s="371"/>
      <c r="M392" s="371"/>
      <c r="N392" s="371"/>
      <c r="O392" s="371"/>
      <c r="P392" s="371"/>
      <c r="Q392" s="371"/>
      <c r="R392" s="371"/>
      <c r="S392" s="371"/>
      <c r="T392" s="371"/>
    </row>
    <row r="393">
      <c r="A393" s="307"/>
      <c r="B393" s="307"/>
      <c r="C393" s="307"/>
      <c r="D393" s="307"/>
      <c r="E393" s="307"/>
      <c r="F393" s="371"/>
      <c r="G393" s="307"/>
      <c r="H393" s="307"/>
      <c r="I393" s="307"/>
      <c r="J393" s="371"/>
      <c r="K393" s="371"/>
      <c r="L393" s="371"/>
      <c r="M393" s="371"/>
      <c r="N393" s="371"/>
      <c r="O393" s="371"/>
      <c r="P393" s="371"/>
      <c r="Q393" s="371"/>
      <c r="R393" s="371"/>
      <c r="S393" s="371"/>
      <c r="T393" s="371"/>
    </row>
    <row r="394">
      <c r="A394" s="307"/>
      <c r="B394" s="307"/>
      <c r="C394" s="307"/>
      <c r="D394" s="307"/>
      <c r="E394" s="307"/>
      <c r="F394" s="371"/>
      <c r="G394" s="307"/>
      <c r="H394" s="307"/>
      <c r="I394" s="307"/>
      <c r="J394" s="371"/>
      <c r="K394" s="371"/>
      <c r="L394" s="371"/>
      <c r="M394" s="371"/>
      <c r="N394" s="371"/>
      <c r="O394" s="371"/>
      <c r="P394" s="371"/>
      <c r="Q394" s="371"/>
      <c r="R394" s="371"/>
      <c r="S394" s="371"/>
      <c r="T394" s="371"/>
    </row>
    <row r="395">
      <c r="A395" s="307"/>
      <c r="B395" s="307"/>
      <c r="C395" s="307"/>
      <c r="D395" s="307"/>
      <c r="E395" s="307"/>
      <c r="F395" s="371"/>
      <c r="G395" s="307"/>
      <c r="H395" s="307"/>
      <c r="I395" s="307"/>
      <c r="J395" s="371"/>
      <c r="K395" s="371"/>
      <c r="L395" s="371"/>
      <c r="M395" s="371"/>
      <c r="N395" s="371"/>
      <c r="O395" s="371"/>
      <c r="P395" s="371"/>
      <c r="Q395" s="371"/>
      <c r="R395" s="371"/>
      <c r="S395" s="371"/>
      <c r="T395" s="371"/>
    </row>
    <row r="396">
      <c r="A396" s="307"/>
      <c r="B396" s="307"/>
      <c r="C396" s="307"/>
      <c r="D396" s="307"/>
      <c r="E396" s="307"/>
      <c r="F396" s="371"/>
      <c r="G396" s="307"/>
      <c r="H396" s="307"/>
      <c r="I396" s="307"/>
      <c r="J396" s="371"/>
      <c r="K396" s="371"/>
      <c r="L396" s="371"/>
      <c r="M396" s="371"/>
      <c r="N396" s="371"/>
      <c r="O396" s="371"/>
      <c r="P396" s="371"/>
      <c r="Q396" s="371"/>
      <c r="R396" s="371"/>
      <c r="S396" s="371"/>
      <c r="T396" s="371"/>
    </row>
    <row r="397">
      <c r="A397" s="307"/>
      <c r="B397" s="307"/>
      <c r="C397" s="307"/>
      <c r="D397" s="307"/>
      <c r="E397" s="307"/>
      <c r="F397" s="371"/>
      <c r="G397" s="307"/>
      <c r="H397" s="307"/>
      <c r="I397" s="307"/>
      <c r="J397" s="371"/>
      <c r="K397" s="371"/>
      <c r="L397" s="371"/>
      <c r="M397" s="371"/>
      <c r="N397" s="371"/>
      <c r="O397" s="371"/>
      <c r="P397" s="371"/>
      <c r="Q397" s="371"/>
      <c r="R397" s="371"/>
      <c r="S397" s="371"/>
      <c r="T397" s="371"/>
    </row>
    <row r="398">
      <c r="A398" s="307"/>
      <c r="B398" s="307"/>
      <c r="C398" s="307"/>
      <c r="D398" s="307"/>
      <c r="E398" s="307"/>
      <c r="F398" s="371"/>
      <c r="G398" s="307"/>
      <c r="H398" s="307"/>
      <c r="I398" s="307"/>
      <c r="J398" s="371"/>
      <c r="K398" s="371"/>
      <c r="L398" s="371"/>
      <c r="M398" s="371"/>
      <c r="N398" s="371"/>
      <c r="O398" s="371"/>
      <c r="P398" s="371"/>
      <c r="Q398" s="371"/>
      <c r="R398" s="371"/>
      <c r="S398" s="371"/>
      <c r="T398" s="371"/>
    </row>
    <row r="399">
      <c r="A399" s="307"/>
      <c r="B399" s="307"/>
      <c r="C399" s="307"/>
      <c r="D399" s="307"/>
      <c r="E399" s="307"/>
      <c r="F399" s="371"/>
      <c r="G399" s="307"/>
      <c r="H399" s="307"/>
      <c r="I399" s="307"/>
      <c r="J399" s="371"/>
      <c r="K399" s="371"/>
      <c r="L399" s="371"/>
      <c r="M399" s="371"/>
      <c r="N399" s="371"/>
      <c r="O399" s="371"/>
      <c r="P399" s="371"/>
      <c r="Q399" s="371"/>
      <c r="R399" s="371"/>
      <c r="S399" s="371"/>
      <c r="T399" s="371"/>
    </row>
    <row r="400">
      <c r="A400" s="307"/>
      <c r="B400" s="307"/>
      <c r="C400" s="307"/>
      <c r="D400" s="307"/>
      <c r="E400" s="307"/>
      <c r="F400" s="371"/>
      <c r="G400" s="307"/>
      <c r="H400" s="307"/>
      <c r="I400" s="307"/>
      <c r="J400" s="371"/>
      <c r="K400" s="371"/>
      <c r="L400" s="371"/>
      <c r="M400" s="371"/>
      <c r="N400" s="371"/>
      <c r="O400" s="371"/>
      <c r="P400" s="371"/>
      <c r="Q400" s="371"/>
      <c r="R400" s="371"/>
      <c r="S400" s="371"/>
      <c r="T400" s="371"/>
    </row>
    <row r="401">
      <c r="A401" s="307"/>
      <c r="B401" s="307"/>
      <c r="C401" s="307"/>
      <c r="D401" s="307"/>
      <c r="E401" s="307"/>
      <c r="F401" s="371"/>
      <c r="G401" s="307"/>
      <c r="H401" s="307"/>
      <c r="I401" s="307"/>
      <c r="J401" s="371"/>
      <c r="K401" s="371"/>
      <c r="L401" s="371"/>
      <c r="M401" s="371"/>
      <c r="N401" s="371"/>
      <c r="O401" s="371"/>
      <c r="P401" s="371"/>
      <c r="Q401" s="371"/>
      <c r="R401" s="371"/>
      <c r="S401" s="371"/>
      <c r="T401" s="371"/>
    </row>
    <row r="402">
      <c r="A402" s="307"/>
      <c r="B402" s="307"/>
      <c r="C402" s="307"/>
      <c r="D402" s="307"/>
      <c r="E402" s="307"/>
      <c r="F402" s="371"/>
      <c r="G402" s="307"/>
      <c r="H402" s="307"/>
      <c r="I402" s="307"/>
      <c r="J402" s="371"/>
      <c r="K402" s="371"/>
      <c r="L402" s="371"/>
      <c r="M402" s="371"/>
      <c r="N402" s="371"/>
      <c r="O402" s="371"/>
      <c r="P402" s="371"/>
      <c r="Q402" s="371"/>
      <c r="R402" s="371"/>
      <c r="S402" s="371"/>
      <c r="T402" s="371"/>
    </row>
    <row r="403">
      <c r="A403" s="307"/>
      <c r="B403" s="307"/>
      <c r="C403" s="307"/>
      <c r="D403" s="307"/>
      <c r="E403" s="307"/>
      <c r="F403" s="371"/>
      <c r="G403" s="307"/>
      <c r="H403" s="307"/>
      <c r="I403" s="307"/>
      <c r="J403" s="371"/>
      <c r="K403" s="371"/>
      <c r="L403" s="371"/>
      <c r="M403" s="371"/>
      <c r="N403" s="371"/>
      <c r="O403" s="371"/>
      <c r="P403" s="371"/>
      <c r="Q403" s="371"/>
      <c r="R403" s="371"/>
      <c r="S403" s="371"/>
      <c r="T403" s="371"/>
    </row>
    <row r="404">
      <c r="A404" s="307"/>
      <c r="B404" s="307"/>
      <c r="C404" s="307"/>
      <c r="D404" s="307"/>
      <c r="E404" s="307"/>
      <c r="F404" s="371"/>
      <c r="G404" s="307"/>
      <c r="H404" s="307"/>
      <c r="I404" s="307"/>
      <c r="J404" s="371"/>
      <c r="K404" s="371"/>
      <c r="L404" s="371"/>
      <c r="M404" s="371"/>
      <c r="N404" s="371"/>
      <c r="O404" s="371"/>
      <c r="P404" s="371"/>
      <c r="Q404" s="371"/>
      <c r="R404" s="371"/>
      <c r="S404" s="371"/>
      <c r="T404" s="371"/>
    </row>
    <row r="405">
      <c r="A405" s="307"/>
      <c r="B405" s="307"/>
      <c r="C405" s="307"/>
      <c r="D405" s="307"/>
      <c r="E405" s="307"/>
      <c r="F405" s="371"/>
      <c r="G405" s="307"/>
      <c r="H405" s="307"/>
      <c r="I405" s="307"/>
      <c r="J405" s="371"/>
      <c r="K405" s="371"/>
      <c r="L405" s="371"/>
      <c r="M405" s="371"/>
      <c r="N405" s="371"/>
      <c r="O405" s="371"/>
      <c r="P405" s="371"/>
      <c r="Q405" s="371"/>
      <c r="R405" s="371"/>
      <c r="S405" s="371"/>
      <c r="T405" s="371"/>
    </row>
    <row r="406">
      <c r="A406" s="307"/>
      <c r="B406" s="307"/>
      <c r="C406" s="307"/>
      <c r="D406" s="307"/>
      <c r="E406" s="307"/>
      <c r="F406" s="371"/>
      <c r="G406" s="307"/>
      <c r="H406" s="307"/>
      <c r="I406" s="307"/>
      <c r="J406" s="371"/>
      <c r="K406" s="371"/>
      <c r="L406" s="371"/>
      <c r="M406" s="371"/>
      <c r="N406" s="371"/>
      <c r="O406" s="371"/>
      <c r="P406" s="371"/>
      <c r="Q406" s="371"/>
      <c r="R406" s="371"/>
      <c r="S406" s="371"/>
      <c r="T406" s="371"/>
    </row>
    <row r="407">
      <c r="A407" s="307"/>
      <c r="B407" s="307"/>
      <c r="C407" s="307"/>
      <c r="D407" s="307"/>
      <c r="E407" s="307"/>
      <c r="F407" s="371"/>
      <c r="G407" s="307"/>
      <c r="H407" s="307"/>
      <c r="I407" s="307"/>
      <c r="J407" s="371"/>
      <c r="K407" s="371"/>
      <c r="L407" s="371"/>
      <c r="M407" s="371"/>
      <c r="N407" s="371"/>
      <c r="O407" s="371"/>
      <c r="P407" s="371"/>
      <c r="Q407" s="371"/>
      <c r="R407" s="371"/>
      <c r="S407" s="371"/>
      <c r="T407" s="371"/>
    </row>
    <row r="408">
      <c r="A408" s="307"/>
      <c r="B408" s="307"/>
      <c r="C408" s="307"/>
      <c r="D408" s="307"/>
      <c r="E408" s="307"/>
      <c r="F408" s="371"/>
      <c r="G408" s="307"/>
      <c r="H408" s="307"/>
      <c r="I408" s="307"/>
      <c r="J408" s="371"/>
      <c r="K408" s="371"/>
      <c r="L408" s="371"/>
      <c r="M408" s="371"/>
      <c r="N408" s="371"/>
      <c r="O408" s="371"/>
      <c r="P408" s="371"/>
      <c r="Q408" s="371"/>
      <c r="R408" s="371"/>
      <c r="S408" s="371"/>
      <c r="T408" s="371"/>
    </row>
    <row r="409">
      <c r="A409" s="307"/>
      <c r="B409" s="307"/>
      <c r="C409" s="307"/>
      <c r="D409" s="307"/>
      <c r="E409" s="307"/>
      <c r="F409" s="371"/>
      <c r="G409" s="307"/>
      <c r="H409" s="307"/>
      <c r="I409" s="307"/>
      <c r="J409" s="371"/>
      <c r="K409" s="371"/>
      <c r="L409" s="371"/>
      <c r="M409" s="371"/>
      <c r="N409" s="371"/>
      <c r="O409" s="371"/>
      <c r="P409" s="371"/>
      <c r="Q409" s="371"/>
      <c r="R409" s="371"/>
      <c r="S409" s="371"/>
      <c r="T409" s="371"/>
    </row>
    <row r="410">
      <c r="A410" s="307"/>
      <c r="B410" s="307"/>
      <c r="C410" s="307"/>
      <c r="D410" s="307"/>
      <c r="E410" s="307"/>
      <c r="F410" s="371"/>
      <c r="G410" s="307"/>
      <c r="H410" s="307"/>
      <c r="I410" s="307"/>
      <c r="J410" s="371"/>
      <c r="K410" s="371"/>
      <c r="L410" s="371"/>
      <c r="M410" s="371"/>
      <c r="N410" s="371"/>
      <c r="O410" s="371"/>
      <c r="P410" s="371"/>
      <c r="Q410" s="371"/>
      <c r="R410" s="371"/>
      <c r="S410" s="371"/>
      <c r="T410" s="371"/>
    </row>
    <row r="411">
      <c r="A411" s="307"/>
      <c r="B411" s="307"/>
      <c r="C411" s="307"/>
      <c r="D411" s="307"/>
      <c r="E411" s="307"/>
      <c r="F411" s="371"/>
      <c r="G411" s="307"/>
      <c r="H411" s="307"/>
      <c r="I411" s="307"/>
      <c r="J411" s="371"/>
      <c r="K411" s="371"/>
      <c r="L411" s="371"/>
      <c r="M411" s="371"/>
      <c r="N411" s="371"/>
      <c r="O411" s="371"/>
      <c r="P411" s="371"/>
      <c r="Q411" s="371"/>
      <c r="R411" s="371"/>
      <c r="S411" s="371"/>
      <c r="T411" s="371"/>
    </row>
    <row r="412">
      <c r="A412" s="307"/>
      <c r="B412" s="307"/>
      <c r="C412" s="307"/>
      <c r="D412" s="307"/>
      <c r="E412" s="307"/>
      <c r="F412" s="371"/>
      <c r="G412" s="307"/>
      <c r="H412" s="307"/>
      <c r="I412" s="307"/>
      <c r="J412" s="371"/>
      <c r="K412" s="371"/>
      <c r="L412" s="371"/>
      <c r="M412" s="371"/>
      <c r="N412" s="371"/>
      <c r="O412" s="371"/>
      <c r="P412" s="371"/>
      <c r="Q412" s="371"/>
      <c r="R412" s="371"/>
      <c r="S412" s="371"/>
      <c r="T412" s="371"/>
    </row>
    <row r="413">
      <c r="A413" s="307"/>
      <c r="B413" s="307"/>
      <c r="C413" s="307"/>
      <c r="D413" s="307"/>
      <c r="E413" s="307"/>
      <c r="F413" s="371"/>
      <c r="G413" s="307"/>
      <c r="H413" s="307"/>
      <c r="I413" s="307"/>
      <c r="J413" s="371"/>
      <c r="K413" s="371"/>
      <c r="L413" s="371"/>
      <c r="M413" s="371"/>
      <c r="N413" s="371"/>
      <c r="O413" s="371"/>
      <c r="P413" s="371"/>
      <c r="Q413" s="371"/>
      <c r="R413" s="371"/>
      <c r="S413" s="371"/>
      <c r="T413" s="371"/>
    </row>
    <row r="414">
      <c r="A414" s="307"/>
      <c r="B414" s="307"/>
      <c r="C414" s="307"/>
      <c r="D414" s="307"/>
      <c r="E414" s="307"/>
      <c r="F414" s="371"/>
      <c r="G414" s="307"/>
      <c r="H414" s="307"/>
      <c r="I414" s="307"/>
      <c r="J414" s="371"/>
      <c r="K414" s="371"/>
      <c r="L414" s="371"/>
      <c r="M414" s="371"/>
      <c r="N414" s="371"/>
      <c r="O414" s="371"/>
      <c r="P414" s="371"/>
      <c r="Q414" s="371"/>
      <c r="R414" s="371"/>
      <c r="S414" s="371"/>
      <c r="T414" s="371"/>
    </row>
    <row r="415">
      <c r="A415" s="307"/>
      <c r="B415" s="307"/>
      <c r="C415" s="307"/>
      <c r="D415" s="307"/>
      <c r="E415" s="307"/>
      <c r="F415" s="371"/>
      <c r="G415" s="307"/>
      <c r="H415" s="307"/>
      <c r="I415" s="307"/>
      <c r="J415" s="371"/>
      <c r="K415" s="371"/>
      <c r="L415" s="371"/>
      <c r="M415" s="371"/>
      <c r="N415" s="371"/>
      <c r="O415" s="371"/>
      <c r="P415" s="371"/>
      <c r="Q415" s="371"/>
      <c r="R415" s="371"/>
      <c r="S415" s="371"/>
      <c r="T415" s="371"/>
    </row>
    <row r="416">
      <c r="A416" s="307"/>
      <c r="B416" s="307"/>
      <c r="C416" s="307"/>
      <c r="D416" s="307"/>
      <c r="E416" s="307"/>
      <c r="F416" s="371"/>
      <c r="G416" s="307"/>
      <c r="H416" s="307"/>
      <c r="I416" s="307"/>
      <c r="J416" s="371"/>
      <c r="K416" s="371"/>
      <c r="L416" s="371"/>
      <c r="M416" s="371"/>
      <c r="N416" s="371"/>
      <c r="O416" s="371"/>
      <c r="P416" s="371"/>
      <c r="Q416" s="371"/>
      <c r="R416" s="371"/>
      <c r="S416" s="371"/>
      <c r="T416" s="371"/>
    </row>
    <row r="417">
      <c r="A417" s="307"/>
      <c r="B417" s="307"/>
      <c r="C417" s="307"/>
      <c r="D417" s="307"/>
      <c r="E417" s="307"/>
      <c r="F417" s="371"/>
      <c r="G417" s="307"/>
      <c r="H417" s="307"/>
      <c r="I417" s="307"/>
      <c r="J417" s="371"/>
      <c r="K417" s="371"/>
      <c r="L417" s="371"/>
      <c r="M417" s="371"/>
      <c r="N417" s="371"/>
      <c r="O417" s="371"/>
      <c r="P417" s="371"/>
      <c r="Q417" s="371"/>
      <c r="R417" s="371"/>
      <c r="S417" s="371"/>
      <c r="T417" s="371"/>
    </row>
    <row r="418">
      <c r="A418" s="307"/>
      <c r="B418" s="307"/>
      <c r="C418" s="307"/>
      <c r="D418" s="307"/>
      <c r="E418" s="307"/>
      <c r="F418" s="371"/>
      <c r="G418" s="307"/>
      <c r="H418" s="307"/>
      <c r="I418" s="307"/>
      <c r="J418" s="371"/>
      <c r="K418" s="371"/>
      <c r="L418" s="371"/>
      <c r="M418" s="371"/>
      <c r="N418" s="371"/>
      <c r="O418" s="371"/>
      <c r="P418" s="371"/>
      <c r="Q418" s="371"/>
      <c r="R418" s="371"/>
      <c r="S418" s="371"/>
      <c r="T418" s="371"/>
    </row>
    <row r="419">
      <c r="A419" s="307"/>
      <c r="B419" s="307"/>
      <c r="C419" s="307"/>
      <c r="D419" s="307"/>
      <c r="E419" s="307"/>
      <c r="F419" s="371"/>
      <c r="G419" s="307"/>
      <c r="H419" s="307"/>
      <c r="I419" s="307"/>
      <c r="J419" s="371"/>
      <c r="K419" s="371"/>
      <c r="L419" s="371"/>
      <c r="M419" s="371"/>
      <c r="N419" s="371"/>
      <c r="O419" s="371"/>
      <c r="P419" s="371"/>
      <c r="Q419" s="371"/>
      <c r="R419" s="371"/>
      <c r="S419" s="371"/>
      <c r="T419" s="371"/>
    </row>
    <row r="420">
      <c r="A420" s="307"/>
      <c r="B420" s="307"/>
      <c r="C420" s="307"/>
      <c r="D420" s="307"/>
      <c r="E420" s="307"/>
      <c r="F420" s="371"/>
      <c r="G420" s="307"/>
      <c r="H420" s="307"/>
      <c r="I420" s="307"/>
      <c r="J420" s="371"/>
      <c r="K420" s="371"/>
      <c r="L420" s="371"/>
      <c r="M420" s="371"/>
      <c r="N420" s="371"/>
      <c r="O420" s="371"/>
      <c r="P420" s="371"/>
      <c r="Q420" s="371"/>
      <c r="R420" s="371"/>
      <c r="S420" s="371"/>
      <c r="T420" s="371"/>
    </row>
    <row r="421">
      <c r="A421" s="307"/>
      <c r="B421" s="307"/>
      <c r="C421" s="307"/>
      <c r="D421" s="307"/>
      <c r="E421" s="307"/>
      <c r="F421" s="371"/>
      <c r="G421" s="307"/>
      <c r="H421" s="307"/>
      <c r="I421" s="307"/>
      <c r="J421" s="371"/>
      <c r="K421" s="371"/>
      <c r="L421" s="371"/>
      <c r="M421" s="371"/>
      <c r="N421" s="371"/>
      <c r="O421" s="371"/>
      <c r="P421" s="371"/>
      <c r="Q421" s="371"/>
      <c r="R421" s="371"/>
      <c r="S421" s="371"/>
      <c r="T421" s="371"/>
    </row>
    <row r="422">
      <c r="A422" s="307"/>
      <c r="B422" s="307"/>
      <c r="C422" s="307"/>
      <c r="D422" s="307"/>
      <c r="E422" s="307"/>
      <c r="F422" s="371"/>
      <c r="G422" s="307"/>
      <c r="H422" s="307"/>
      <c r="I422" s="307"/>
      <c r="J422" s="371"/>
      <c r="K422" s="371"/>
      <c r="L422" s="371"/>
      <c r="M422" s="371"/>
      <c r="N422" s="371"/>
      <c r="O422" s="371"/>
      <c r="P422" s="371"/>
      <c r="Q422" s="371"/>
      <c r="R422" s="371"/>
      <c r="S422" s="371"/>
      <c r="T422" s="371"/>
    </row>
    <row r="423">
      <c r="A423" s="307"/>
      <c r="B423" s="307"/>
      <c r="C423" s="307"/>
      <c r="D423" s="307"/>
      <c r="E423" s="307"/>
      <c r="F423" s="371"/>
      <c r="G423" s="307"/>
      <c r="H423" s="307"/>
      <c r="I423" s="307"/>
      <c r="J423" s="371"/>
      <c r="K423" s="371"/>
      <c r="L423" s="371"/>
      <c r="M423" s="371"/>
      <c r="N423" s="371"/>
      <c r="O423" s="371"/>
      <c r="P423" s="371"/>
      <c r="Q423" s="371"/>
      <c r="R423" s="371"/>
      <c r="S423" s="371"/>
      <c r="T423" s="371"/>
    </row>
    <row r="424">
      <c r="A424" s="307"/>
      <c r="B424" s="307"/>
      <c r="C424" s="307"/>
      <c r="D424" s="307"/>
      <c r="E424" s="307"/>
      <c r="F424" s="371"/>
      <c r="G424" s="307"/>
      <c r="H424" s="307"/>
      <c r="I424" s="307"/>
      <c r="J424" s="371"/>
      <c r="K424" s="371"/>
      <c r="L424" s="371"/>
      <c r="M424" s="371"/>
      <c r="N424" s="371"/>
      <c r="O424" s="371"/>
      <c r="P424" s="371"/>
      <c r="Q424" s="371"/>
      <c r="R424" s="371"/>
      <c r="S424" s="371"/>
      <c r="T424" s="371"/>
    </row>
    <row r="425">
      <c r="A425" s="307"/>
      <c r="B425" s="307"/>
      <c r="C425" s="307"/>
      <c r="D425" s="307"/>
      <c r="E425" s="307"/>
      <c r="F425" s="371"/>
      <c r="G425" s="307"/>
      <c r="H425" s="307"/>
      <c r="I425" s="307"/>
      <c r="J425" s="371"/>
      <c r="K425" s="371"/>
      <c r="L425" s="371"/>
      <c r="M425" s="371"/>
      <c r="N425" s="371"/>
      <c r="O425" s="371"/>
      <c r="P425" s="371"/>
      <c r="Q425" s="371"/>
      <c r="R425" s="371"/>
      <c r="S425" s="371"/>
      <c r="T425" s="371"/>
    </row>
    <row r="426">
      <c r="A426" s="307"/>
      <c r="B426" s="307"/>
      <c r="C426" s="307"/>
      <c r="D426" s="307"/>
      <c r="E426" s="307"/>
      <c r="F426" s="371"/>
      <c r="G426" s="307"/>
      <c r="H426" s="307"/>
      <c r="I426" s="307"/>
      <c r="J426" s="371"/>
      <c r="K426" s="371"/>
      <c r="L426" s="371"/>
      <c r="M426" s="371"/>
      <c r="N426" s="371"/>
      <c r="O426" s="371"/>
      <c r="P426" s="371"/>
      <c r="Q426" s="371"/>
      <c r="R426" s="371"/>
      <c r="S426" s="371"/>
      <c r="T426" s="371"/>
    </row>
    <row r="427">
      <c r="A427" s="307"/>
      <c r="B427" s="307"/>
      <c r="C427" s="307"/>
      <c r="D427" s="307"/>
      <c r="E427" s="307"/>
      <c r="F427" s="371"/>
      <c r="G427" s="307"/>
      <c r="H427" s="307"/>
      <c r="I427" s="307"/>
      <c r="J427" s="371"/>
      <c r="K427" s="371"/>
      <c r="L427" s="371"/>
      <c r="M427" s="371"/>
      <c r="N427" s="371"/>
      <c r="O427" s="371"/>
      <c r="P427" s="371"/>
      <c r="Q427" s="371"/>
      <c r="R427" s="371"/>
      <c r="S427" s="371"/>
      <c r="T427" s="371"/>
    </row>
    <row r="428">
      <c r="A428" s="307"/>
      <c r="B428" s="307"/>
      <c r="C428" s="307"/>
      <c r="D428" s="307"/>
      <c r="E428" s="307"/>
      <c r="F428" s="371"/>
      <c r="G428" s="307"/>
      <c r="H428" s="307"/>
      <c r="I428" s="307"/>
      <c r="J428" s="371"/>
      <c r="K428" s="371"/>
      <c r="L428" s="371"/>
      <c r="M428" s="371"/>
      <c r="N428" s="371"/>
      <c r="O428" s="371"/>
      <c r="P428" s="371"/>
      <c r="Q428" s="371"/>
      <c r="R428" s="371"/>
      <c r="S428" s="371"/>
      <c r="T428" s="371"/>
    </row>
    <row r="429">
      <c r="A429" s="307"/>
      <c r="B429" s="307"/>
      <c r="C429" s="307"/>
      <c r="D429" s="307"/>
      <c r="E429" s="307"/>
      <c r="F429" s="371"/>
      <c r="G429" s="307"/>
      <c r="H429" s="307"/>
      <c r="I429" s="307"/>
      <c r="J429" s="371"/>
      <c r="K429" s="371"/>
      <c r="L429" s="371"/>
      <c r="M429" s="371"/>
      <c r="N429" s="371"/>
      <c r="O429" s="371"/>
      <c r="P429" s="371"/>
      <c r="Q429" s="371"/>
      <c r="R429" s="371"/>
      <c r="S429" s="371"/>
      <c r="T429" s="371"/>
    </row>
    <row r="430">
      <c r="A430" s="307"/>
      <c r="B430" s="307"/>
      <c r="C430" s="307"/>
      <c r="D430" s="307"/>
      <c r="E430" s="307"/>
      <c r="F430" s="371"/>
      <c r="G430" s="307"/>
      <c r="H430" s="307"/>
      <c r="I430" s="307"/>
      <c r="J430" s="371"/>
      <c r="K430" s="371"/>
      <c r="L430" s="371"/>
      <c r="M430" s="371"/>
      <c r="N430" s="371"/>
      <c r="O430" s="371"/>
      <c r="P430" s="371"/>
      <c r="Q430" s="371"/>
      <c r="R430" s="371"/>
      <c r="S430" s="371"/>
      <c r="T430" s="371"/>
    </row>
    <row r="431">
      <c r="A431" s="307"/>
      <c r="B431" s="307"/>
      <c r="C431" s="307"/>
      <c r="D431" s="307"/>
      <c r="E431" s="307"/>
      <c r="F431" s="371"/>
      <c r="G431" s="307"/>
      <c r="H431" s="307"/>
      <c r="I431" s="307"/>
      <c r="J431" s="371"/>
      <c r="K431" s="371"/>
      <c r="L431" s="371"/>
      <c r="M431" s="371"/>
      <c r="N431" s="371"/>
      <c r="O431" s="371"/>
      <c r="P431" s="371"/>
      <c r="Q431" s="371"/>
      <c r="R431" s="371"/>
      <c r="S431" s="371"/>
      <c r="T431" s="371"/>
    </row>
    <row r="432">
      <c r="A432" s="307"/>
      <c r="B432" s="307"/>
      <c r="C432" s="307"/>
      <c r="D432" s="307"/>
      <c r="E432" s="307"/>
      <c r="F432" s="371"/>
      <c r="G432" s="307"/>
      <c r="H432" s="307"/>
      <c r="I432" s="307"/>
      <c r="J432" s="371"/>
      <c r="K432" s="371"/>
      <c r="L432" s="371"/>
      <c r="M432" s="371"/>
      <c r="N432" s="371"/>
      <c r="O432" s="371"/>
      <c r="P432" s="371"/>
      <c r="Q432" s="371"/>
      <c r="R432" s="371"/>
      <c r="S432" s="371"/>
      <c r="T432" s="371"/>
    </row>
    <row r="433">
      <c r="A433" s="307"/>
      <c r="B433" s="307"/>
      <c r="C433" s="307"/>
      <c r="D433" s="307"/>
      <c r="E433" s="307"/>
      <c r="F433" s="371"/>
      <c r="G433" s="307"/>
      <c r="H433" s="307"/>
      <c r="I433" s="307"/>
      <c r="J433" s="371"/>
      <c r="K433" s="371"/>
      <c r="L433" s="371"/>
      <c r="M433" s="371"/>
      <c r="N433" s="371"/>
      <c r="O433" s="371"/>
      <c r="P433" s="371"/>
      <c r="Q433" s="371"/>
      <c r="R433" s="371"/>
      <c r="S433" s="371"/>
      <c r="T433" s="371"/>
    </row>
    <row r="434">
      <c r="A434" s="307"/>
      <c r="B434" s="307"/>
      <c r="C434" s="307"/>
      <c r="D434" s="307"/>
      <c r="E434" s="307"/>
      <c r="F434" s="371"/>
      <c r="G434" s="307"/>
      <c r="H434" s="307"/>
      <c r="I434" s="307"/>
      <c r="J434" s="371"/>
      <c r="K434" s="371"/>
      <c r="L434" s="371"/>
      <c r="M434" s="371"/>
      <c r="N434" s="371"/>
      <c r="O434" s="371"/>
      <c r="P434" s="371"/>
      <c r="Q434" s="371"/>
      <c r="R434" s="371"/>
      <c r="S434" s="371"/>
      <c r="T434" s="371"/>
    </row>
    <row r="435">
      <c r="A435" s="307"/>
      <c r="B435" s="307"/>
      <c r="C435" s="307"/>
      <c r="D435" s="307"/>
      <c r="E435" s="307"/>
      <c r="F435" s="371"/>
      <c r="G435" s="307"/>
      <c r="H435" s="307"/>
      <c r="I435" s="307"/>
      <c r="J435" s="371"/>
      <c r="K435" s="371"/>
      <c r="L435" s="371"/>
      <c r="M435" s="371"/>
      <c r="N435" s="371"/>
      <c r="O435" s="371"/>
      <c r="P435" s="371"/>
      <c r="Q435" s="371"/>
      <c r="R435" s="371"/>
      <c r="S435" s="371"/>
      <c r="T435" s="371"/>
    </row>
    <row r="436">
      <c r="A436" s="307"/>
      <c r="B436" s="307"/>
      <c r="C436" s="307"/>
      <c r="D436" s="307"/>
      <c r="E436" s="307"/>
      <c r="F436" s="371"/>
      <c r="G436" s="307"/>
      <c r="H436" s="307"/>
      <c r="I436" s="307"/>
      <c r="J436" s="371"/>
      <c r="K436" s="371"/>
      <c r="L436" s="371"/>
      <c r="M436" s="371"/>
      <c r="N436" s="371"/>
      <c r="O436" s="371"/>
      <c r="P436" s="371"/>
      <c r="Q436" s="371"/>
      <c r="R436" s="371"/>
      <c r="S436" s="371"/>
      <c r="T436" s="371"/>
    </row>
    <row r="437">
      <c r="A437" s="307"/>
      <c r="B437" s="307"/>
      <c r="C437" s="307"/>
      <c r="D437" s="307"/>
      <c r="E437" s="307"/>
      <c r="F437" s="371"/>
      <c r="G437" s="307"/>
      <c r="H437" s="307"/>
      <c r="I437" s="307"/>
      <c r="J437" s="371"/>
      <c r="K437" s="371"/>
      <c r="L437" s="371"/>
      <c r="M437" s="371"/>
      <c r="N437" s="371"/>
      <c r="O437" s="371"/>
      <c r="P437" s="371"/>
      <c r="Q437" s="371"/>
      <c r="R437" s="371"/>
      <c r="S437" s="371"/>
      <c r="T437" s="371"/>
    </row>
    <row r="438">
      <c r="A438" s="307"/>
      <c r="B438" s="307"/>
      <c r="C438" s="307"/>
      <c r="D438" s="307"/>
      <c r="E438" s="307"/>
      <c r="F438" s="371"/>
      <c r="G438" s="307"/>
      <c r="H438" s="307"/>
      <c r="I438" s="307"/>
      <c r="J438" s="371"/>
      <c r="K438" s="371"/>
      <c r="L438" s="371"/>
      <c r="M438" s="371"/>
      <c r="N438" s="371"/>
      <c r="O438" s="371"/>
      <c r="P438" s="371"/>
      <c r="Q438" s="371"/>
      <c r="R438" s="371"/>
      <c r="S438" s="371"/>
      <c r="T438" s="371"/>
    </row>
    <row r="439">
      <c r="A439" s="307"/>
      <c r="B439" s="307"/>
      <c r="C439" s="307"/>
      <c r="D439" s="307"/>
      <c r="E439" s="307"/>
      <c r="F439" s="371"/>
      <c r="G439" s="307"/>
      <c r="H439" s="307"/>
      <c r="I439" s="307"/>
      <c r="J439" s="371"/>
      <c r="K439" s="371"/>
      <c r="L439" s="371"/>
      <c r="M439" s="371"/>
      <c r="N439" s="371"/>
      <c r="O439" s="371"/>
      <c r="P439" s="371"/>
      <c r="Q439" s="371"/>
      <c r="R439" s="371"/>
      <c r="S439" s="371"/>
      <c r="T439" s="371"/>
    </row>
    <row r="440">
      <c r="A440" s="307"/>
      <c r="B440" s="307"/>
      <c r="C440" s="307"/>
      <c r="D440" s="307"/>
      <c r="E440" s="307"/>
      <c r="F440" s="371"/>
      <c r="G440" s="307"/>
      <c r="H440" s="307"/>
      <c r="I440" s="307"/>
      <c r="J440" s="371"/>
      <c r="K440" s="371"/>
      <c r="L440" s="371"/>
      <c r="M440" s="371"/>
      <c r="N440" s="371"/>
      <c r="O440" s="371"/>
      <c r="P440" s="371"/>
      <c r="Q440" s="371"/>
      <c r="R440" s="371"/>
      <c r="S440" s="371"/>
      <c r="T440" s="371"/>
    </row>
    <row r="441">
      <c r="A441" s="307"/>
      <c r="B441" s="307"/>
      <c r="C441" s="307"/>
      <c r="D441" s="307"/>
      <c r="E441" s="307"/>
      <c r="F441" s="371"/>
      <c r="G441" s="307"/>
      <c r="H441" s="307"/>
      <c r="I441" s="307"/>
      <c r="J441" s="371"/>
      <c r="K441" s="371"/>
      <c r="L441" s="371"/>
      <c r="M441" s="371"/>
      <c r="N441" s="371"/>
      <c r="O441" s="371"/>
      <c r="P441" s="371"/>
      <c r="Q441" s="371"/>
      <c r="R441" s="371"/>
      <c r="S441" s="371"/>
      <c r="T441" s="371"/>
    </row>
    <row r="442">
      <c r="A442" s="307"/>
      <c r="B442" s="307"/>
      <c r="C442" s="307"/>
      <c r="D442" s="307"/>
      <c r="E442" s="307"/>
      <c r="F442" s="371"/>
      <c r="G442" s="307"/>
      <c r="H442" s="307"/>
      <c r="I442" s="307"/>
      <c r="J442" s="371"/>
      <c r="K442" s="371"/>
      <c r="L442" s="371"/>
      <c r="M442" s="371"/>
      <c r="N442" s="371"/>
      <c r="O442" s="371"/>
      <c r="P442" s="371"/>
      <c r="Q442" s="371"/>
      <c r="R442" s="371"/>
      <c r="S442" s="371"/>
      <c r="T442" s="371"/>
    </row>
    <row r="443">
      <c r="A443" s="307"/>
      <c r="B443" s="307"/>
      <c r="C443" s="307"/>
      <c r="D443" s="307"/>
      <c r="E443" s="307"/>
      <c r="F443" s="371"/>
      <c r="G443" s="307"/>
      <c r="H443" s="307"/>
      <c r="I443" s="307"/>
      <c r="J443" s="371"/>
      <c r="K443" s="371"/>
      <c r="L443" s="371"/>
      <c r="M443" s="371"/>
      <c r="N443" s="371"/>
      <c r="O443" s="371"/>
      <c r="P443" s="371"/>
      <c r="Q443" s="371"/>
      <c r="R443" s="371"/>
      <c r="S443" s="371"/>
      <c r="T443" s="371"/>
    </row>
    <row r="444">
      <c r="A444" s="307"/>
      <c r="B444" s="307"/>
      <c r="C444" s="307"/>
      <c r="D444" s="307"/>
      <c r="E444" s="307"/>
      <c r="F444" s="371"/>
      <c r="G444" s="307"/>
      <c r="H444" s="307"/>
      <c r="I444" s="307"/>
      <c r="J444" s="371"/>
      <c r="K444" s="371"/>
      <c r="L444" s="371"/>
      <c r="M444" s="371"/>
      <c r="N444" s="371"/>
      <c r="O444" s="371"/>
      <c r="P444" s="371"/>
      <c r="Q444" s="371"/>
      <c r="R444" s="371"/>
      <c r="S444" s="371"/>
      <c r="T444" s="371"/>
    </row>
    <row r="445">
      <c r="A445" s="307"/>
      <c r="B445" s="307"/>
      <c r="C445" s="307"/>
      <c r="D445" s="307"/>
      <c r="E445" s="307"/>
      <c r="F445" s="371"/>
      <c r="G445" s="307"/>
      <c r="H445" s="307"/>
      <c r="I445" s="307"/>
      <c r="J445" s="371"/>
      <c r="K445" s="371"/>
      <c r="L445" s="371"/>
      <c r="M445" s="371"/>
      <c r="N445" s="371"/>
      <c r="O445" s="371"/>
      <c r="P445" s="371"/>
      <c r="Q445" s="371"/>
      <c r="R445" s="371"/>
      <c r="S445" s="371"/>
      <c r="T445" s="371"/>
    </row>
    <row r="446">
      <c r="A446" s="307"/>
      <c r="B446" s="307"/>
      <c r="C446" s="307"/>
      <c r="D446" s="307"/>
      <c r="E446" s="307"/>
      <c r="F446" s="371"/>
      <c r="G446" s="307"/>
      <c r="H446" s="307"/>
      <c r="I446" s="307"/>
      <c r="J446" s="371"/>
      <c r="K446" s="371"/>
      <c r="L446" s="371"/>
      <c r="M446" s="371"/>
      <c r="N446" s="371"/>
      <c r="O446" s="371"/>
      <c r="P446" s="371"/>
      <c r="Q446" s="371"/>
      <c r="R446" s="371"/>
      <c r="S446" s="371"/>
      <c r="T446" s="371"/>
    </row>
    <row r="447">
      <c r="A447" s="307"/>
      <c r="B447" s="307"/>
      <c r="C447" s="307"/>
      <c r="D447" s="307"/>
      <c r="E447" s="307"/>
      <c r="F447" s="371"/>
      <c r="G447" s="307"/>
      <c r="H447" s="307"/>
      <c r="I447" s="307"/>
      <c r="J447" s="371"/>
      <c r="K447" s="371"/>
      <c r="L447" s="371"/>
      <c r="M447" s="371"/>
      <c r="N447" s="371"/>
      <c r="O447" s="371"/>
      <c r="P447" s="371"/>
      <c r="Q447" s="371"/>
      <c r="R447" s="371"/>
      <c r="S447" s="371"/>
      <c r="T447" s="371"/>
    </row>
    <row r="448">
      <c r="A448" s="307"/>
      <c r="B448" s="307"/>
      <c r="C448" s="307"/>
      <c r="D448" s="307"/>
      <c r="E448" s="307"/>
      <c r="F448" s="371"/>
      <c r="G448" s="307"/>
      <c r="H448" s="307"/>
      <c r="I448" s="307"/>
      <c r="J448" s="371"/>
      <c r="K448" s="371"/>
      <c r="L448" s="371"/>
      <c r="M448" s="371"/>
      <c r="N448" s="371"/>
      <c r="O448" s="371"/>
      <c r="P448" s="371"/>
      <c r="Q448" s="371"/>
      <c r="R448" s="371"/>
      <c r="S448" s="371"/>
      <c r="T448" s="371"/>
    </row>
    <row r="449">
      <c r="A449" s="307"/>
      <c r="B449" s="307"/>
      <c r="C449" s="307"/>
      <c r="D449" s="307"/>
      <c r="E449" s="307"/>
      <c r="F449" s="371"/>
      <c r="G449" s="307"/>
      <c r="H449" s="307"/>
      <c r="I449" s="307"/>
      <c r="J449" s="371"/>
      <c r="K449" s="371"/>
      <c r="L449" s="371"/>
      <c r="M449" s="371"/>
      <c r="N449" s="371"/>
      <c r="O449" s="371"/>
      <c r="P449" s="371"/>
      <c r="Q449" s="371"/>
      <c r="R449" s="371"/>
      <c r="S449" s="371"/>
      <c r="T449" s="371"/>
    </row>
    <row r="450">
      <c r="A450" s="307"/>
      <c r="B450" s="307"/>
      <c r="C450" s="307"/>
      <c r="D450" s="307"/>
      <c r="E450" s="307"/>
      <c r="F450" s="371"/>
      <c r="G450" s="307"/>
      <c r="H450" s="307"/>
      <c r="I450" s="307"/>
      <c r="J450" s="371"/>
      <c r="K450" s="371"/>
      <c r="L450" s="371"/>
      <c r="M450" s="371"/>
      <c r="N450" s="371"/>
      <c r="O450" s="371"/>
      <c r="P450" s="371"/>
      <c r="Q450" s="371"/>
      <c r="R450" s="371"/>
      <c r="S450" s="371"/>
      <c r="T450" s="371"/>
    </row>
    <row r="451">
      <c r="A451" s="307"/>
      <c r="B451" s="307"/>
      <c r="C451" s="307"/>
      <c r="D451" s="307"/>
      <c r="E451" s="307"/>
      <c r="F451" s="371"/>
      <c r="G451" s="307"/>
      <c r="H451" s="307"/>
      <c r="I451" s="307"/>
      <c r="J451" s="371"/>
      <c r="K451" s="371"/>
      <c r="L451" s="371"/>
      <c r="M451" s="371"/>
      <c r="N451" s="371"/>
      <c r="O451" s="371"/>
      <c r="P451" s="371"/>
      <c r="Q451" s="371"/>
      <c r="R451" s="371"/>
      <c r="S451" s="371"/>
      <c r="T451" s="371"/>
    </row>
    <row r="452">
      <c r="A452" s="307"/>
      <c r="B452" s="307"/>
      <c r="C452" s="307"/>
      <c r="D452" s="307"/>
      <c r="E452" s="307"/>
      <c r="F452" s="371"/>
      <c r="G452" s="307"/>
      <c r="H452" s="307"/>
      <c r="I452" s="307"/>
      <c r="J452" s="371"/>
      <c r="K452" s="371"/>
      <c r="L452" s="371"/>
      <c r="M452" s="371"/>
      <c r="N452" s="371"/>
      <c r="O452" s="371"/>
      <c r="P452" s="371"/>
      <c r="Q452" s="371"/>
      <c r="R452" s="371"/>
      <c r="S452" s="371"/>
      <c r="T452" s="371"/>
    </row>
    <row r="453">
      <c r="A453" s="307"/>
      <c r="B453" s="307"/>
      <c r="C453" s="307"/>
      <c r="D453" s="307"/>
      <c r="E453" s="307"/>
      <c r="F453" s="371"/>
      <c r="G453" s="307"/>
      <c r="H453" s="307"/>
      <c r="I453" s="307"/>
      <c r="J453" s="371"/>
      <c r="K453" s="371"/>
      <c r="L453" s="371"/>
      <c r="M453" s="371"/>
      <c r="N453" s="371"/>
      <c r="O453" s="371"/>
      <c r="P453" s="371"/>
      <c r="Q453" s="371"/>
      <c r="R453" s="371"/>
      <c r="S453" s="371"/>
      <c r="T453" s="371"/>
    </row>
    <row r="454">
      <c r="A454" s="307"/>
      <c r="B454" s="307"/>
      <c r="C454" s="307"/>
      <c r="D454" s="307"/>
      <c r="E454" s="307"/>
      <c r="F454" s="371"/>
      <c r="G454" s="307"/>
      <c r="H454" s="307"/>
      <c r="I454" s="307"/>
      <c r="J454" s="371"/>
      <c r="K454" s="371"/>
      <c r="L454" s="371"/>
      <c r="M454" s="371"/>
      <c r="N454" s="371"/>
      <c r="O454" s="371"/>
      <c r="P454" s="371"/>
      <c r="Q454" s="371"/>
      <c r="R454" s="371"/>
      <c r="S454" s="371"/>
      <c r="T454" s="371"/>
    </row>
    <row r="455">
      <c r="A455" s="307"/>
      <c r="B455" s="307"/>
      <c r="C455" s="307"/>
      <c r="D455" s="307"/>
      <c r="E455" s="307"/>
      <c r="F455" s="371"/>
      <c r="G455" s="307"/>
      <c r="H455" s="307"/>
      <c r="I455" s="307"/>
      <c r="J455" s="371"/>
      <c r="K455" s="371"/>
      <c r="L455" s="371"/>
      <c r="M455" s="371"/>
      <c r="N455" s="371"/>
      <c r="O455" s="371"/>
      <c r="P455" s="371"/>
      <c r="Q455" s="371"/>
      <c r="R455" s="371"/>
      <c r="S455" s="371"/>
      <c r="T455" s="371"/>
    </row>
    <row r="456">
      <c r="A456" s="307"/>
      <c r="B456" s="307"/>
      <c r="C456" s="307"/>
      <c r="D456" s="307"/>
      <c r="E456" s="307"/>
      <c r="F456" s="371"/>
      <c r="G456" s="307"/>
      <c r="H456" s="307"/>
      <c r="I456" s="307"/>
      <c r="J456" s="371"/>
      <c r="K456" s="371"/>
      <c r="L456" s="371"/>
      <c r="M456" s="371"/>
      <c r="N456" s="371"/>
      <c r="O456" s="371"/>
      <c r="P456" s="371"/>
      <c r="Q456" s="371"/>
      <c r="R456" s="371"/>
      <c r="S456" s="371"/>
      <c r="T456" s="371"/>
    </row>
    <row r="457">
      <c r="A457" s="307"/>
      <c r="B457" s="307"/>
      <c r="C457" s="307"/>
      <c r="D457" s="307"/>
      <c r="E457" s="307"/>
      <c r="F457" s="371"/>
      <c r="G457" s="307"/>
      <c r="H457" s="307"/>
      <c r="I457" s="307"/>
      <c r="J457" s="371"/>
      <c r="K457" s="371"/>
      <c r="L457" s="371"/>
      <c r="M457" s="371"/>
      <c r="N457" s="371"/>
      <c r="O457" s="371"/>
      <c r="P457" s="371"/>
      <c r="Q457" s="371"/>
      <c r="R457" s="371"/>
      <c r="S457" s="371"/>
      <c r="T457" s="371"/>
    </row>
    <row r="458">
      <c r="A458" s="307"/>
      <c r="B458" s="307"/>
      <c r="C458" s="307"/>
      <c r="D458" s="307"/>
      <c r="E458" s="307"/>
      <c r="F458" s="371"/>
      <c r="G458" s="307"/>
      <c r="H458" s="307"/>
      <c r="I458" s="307"/>
      <c r="J458" s="371"/>
      <c r="K458" s="371"/>
      <c r="L458" s="371"/>
      <c r="M458" s="371"/>
      <c r="N458" s="371"/>
      <c r="O458" s="371"/>
      <c r="P458" s="371"/>
      <c r="Q458" s="371"/>
      <c r="R458" s="371"/>
      <c r="S458" s="371"/>
      <c r="T458" s="371"/>
    </row>
    <row r="459">
      <c r="A459" s="307"/>
      <c r="B459" s="307"/>
      <c r="C459" s="307"/>
      <c r="D459" s="307"/>
      <c r="E459" s="307"/>
      <c r="F459" s="371"/>
      <c r="G459" s="307"/>
      <c r="H459" s="307"/>
      <c r="I459" s="307"/>
      <c r="J459" s="371"/>
      <c r="K459" s="371"/>
      <c r="L459" s="371"/>
      <c r="M459" s="371"/>
      <c r="N459" s="371"/>
      <c r="O459" s="371"/>
      <c r="P459" s="371"/>
      <c r="Q459" s="371"/>
      <c r="R459" s="371"/>
      <c r="S459" s="371"/>
      <c r="T459" s="371"/>
    </row>
    <row r="460">
      <c r="A460" s="307"/>
      <c r="B460" s="307"/>
      <c r="C460" s="307"/>
      <c r="D460" s="307"/>
      <c r="E460" s="307"/>
      <c r="F460" s="371"/>
      <c r="G460" s="307"/>
      <c r="H460" s="307"/>
      <c r="I460" s="307"/>
      <c r="J460" s="371"/>
      <c r="K460" s="371"/>
      <c r="L460" s="371"/>
      <c r="M460" s="371"/>
      <c r="N460" s="371"/>
      <c r="O460" s="371"/>
      <c r="P460" s="371"/>
      <c r="Q460" s="371"/>
      <c r="R460" s="371"/>
      <c r="S460" s="371"/>
      <c r="T460" s="371"/>
    </row>
    <row r="461">
      <c r="A461" s="307"/>
      <c r="B461" s="307"/>
      <c r="C461" s="307"/>
      <c r="D461" s="307"/>
      <c r="E461" s="307"/>
      <c r="F461" s="371"/>
      <c r="G461" s="307"/>
      <c r="H461" s="307"/>
      <c r="I461" s="307"/>
      <c r="J461" s="371"/>
      <c r="K461" s="371"/>
      <c r="L461" s="371"/>
      <c r="M461" s="371"/>
      <c r="N461" s="371"/>
      <c r="O461" s="371"/>
      <c r="P461" s="371"/>
      <c r="Q461" s="371"/>
      <c r="R461" s="371"/>
      <c r="S461" s="371"/>
      <c r="T461" s="371"/>
    </row>
    <row r="462">
      <c r="A462" s="307"/>
      <c r="B462" s="307"/>
      <c r="C462" s="307"/>
      <c r="D462" s="307"/>
      <c r="E462" s="307"/>
      <c r="F462" s="371"/>
      <c r="G462" s="307"/>
      <c r="H462" s="307"/>
      <c r="I462" s="307"/>
      <c r="J462" s="371"/>
      <c r="K462" s="371"/>
      <c r="L462" s="371"/>
      <c r="M462" s="371"/>
      <c r="N462" s="371"/>
      <c r="O462" s="371"/>
      <c r="P462" s="371"/>
      <c r="Q462" s="371"/>
      <c r="R462" s="371"/>
      <c r="S462" s="371"/>
      <c r="T462" s="371"/>
    </row>
    <row r="463">
      <c r="A463" s="307"/>
      <c r="B463" s="307"/>
      <c r="C463" s="307"/>
      <c r="D463" s="307"/>
      <c r="E463" s="307"/>
      <c r="F463" s="371"/>
      <c r="G463" s="307"/>
      <c r="H463" s="307"/>
      <c r="I463" s="307"/>
      <c r="J463" s="371"/>
      <c r="K463" s="371"/>
      <c r="L463" s="371"/>
      <c r="M463" s="371"/>
      <c r="N463" s="371"/>
      <c r="O463" s="371"/>
      <c r="P463" s="371"/>
      <c r="Q463" s="371"/>
      <c r="R463" s="371"/>
      <c r="S463" s="371"/>
      <c r="T463" s="371"/>
    </row>
    <row r="464">
      <c r="A464" s="307"/>
      <c r="B464" s="307"/>
      <c r="C464" s="307"/>
      <c r="D464" s="307"/>
      <c r="E464" s="307"/>
      <c r="F464" s="371"/>
      <c r="G464" s="307"/>
      <c r="H464" s="307"/>
      <c r="I464" s="307"/>
      <c r="J464" s="371"/>
      <c r="K464" s="371"/>
      <c r="L464" s="371"/>
      <c r="M464" s="371"/>
      <c r="N464" s="371"/>
      <c r="O464" s="371"/>
      <c r="P464" s="371"/>
      <c r="Q464" s="371"/>
      <c r="R464" s="371"/>
      <c r="S464" s="371"/>
      <c r="T464" s="371"/>
    </row>
    <row r="465">
      <c r="A465" s="307"/>
      <c r="B465" s="307"/>
      <c r="C465" s="307"/>
      <c r="D465" s="307"/>
      <c r="E465" s="307"/>
      <c r="F465" s="371"/>
      <c r="G465" s="307"/>
      <c r="H465" s="307"/>
      <c r="I465" s="307"/>
      <c r="J465" s="371"/>
      <c r="K465" s="371"/>
      <c r="L465" s="371"/>
      <c r="M465" s="371"/>
      <c r="N465" s="371"/>
      <c r="O465" s="371"/>
      <c r="P465" s="371"/>
      <c r="Q465" s="371"/>
      <c r="R465" s="371"/>
      <c r="S465" s="371"/>
      <c r="T465" s="371"/>
    </row>
    <row r="466">
      <c r="A466" s="307"/>
      <c r="B466" s="307"/>
      <c r="C466" s="307"/>
      <c r="D466" s="307"/>
      <c r="E466" s="307"/>
      <c r="F466" s="371"/>
      <c r="G466" s="307"/>
      <c r="H466" s="307"/>
      <c r="I466" s="307"/>
      <c r="J466" s="371"/>
      <c r="K466" s="371"/>
      <c r="L466" s="371"/>
      <c r="M466" s="371"/>
      <c r="N466" s="371"/>
      <c r="O466" s="371"/>
      <c r="P466" s="371"/>
      <c r="Q466" s="371"/>
      <c r="R466" s="371"/>
      <c r="S466" s="371"/>
      <c r="T466" s="371"/>
    </row>
    <row r="467">
      <c r="A467" s="307"/>
      <c r="B467" s="307"/>
      <c r="C467" s="307"/>
      <c r="D467" s="307"/>
      <c r="E467" s="307"/>
      <c r="F467" s="371"/>
      <c r="G467" s="307"/>
      <c r="H467" s="307"/>
      <c r="I467" s="307"/>
      <c r="J467" s="371"/>
      <c r="K467" s="371"/>
      <c r="L467" s="371"/>
      <c r="M467" s="371"/>
      <c r="N467" s="371"/>
      <c r="O467" s="371"/>
      <c r="P467" s="371"/>
      <c r="Q467" s="371"/>
      <c r="R467" s="371"/>
      <c r="S467" s="371"/>
      <c r="T467" s="371"/>
    </row>
    <row r="468">
      <c r="A468" s="307"/>
      <c r="B468" s="307"/>
      <c r="C468" s="307"/>
      <c r="D468" s="307"/>
      <c r="E468" s="307"/>
      <c r="F468" s="371"/>
      <c r="G468" s="307"/>
      <c r="H468" s="307"/>
      <c r="I468" s="307"/>
      <c r="J468" s="371"/>
      <c r="K468" s="371"/>
      <c r="L468" s="371"/>
      <c r="M468" s="371"/>
      <c r="N468" s="371"/>
      <c r="O468" s="371"/>
      <c r="P468" s="371"/>
      <c r="Q468" s="371"/>
      <c r="R468" s="371"/>
      <c r="S468" s="371"/>
      <c r="T468" s="371"/>
    </row>
    <row r="469">
      <c r="A469" s="307"/>
      <c r="B469" s="307"/>
      <c r="C469" s="307"/>
      <c r="D469" s="307"/>
      <c r="E469" s="307"/>
      <c r="F469" s="371"/>
      <c r="G469" s="307"/>
      <c r="H469" s="307"/>
      <c r="I469" s="307"/>
      <c r="J469" s="371"/>
      <c r="K469" s="371"/>
      <c r="L469" s="371"/>
      <c r="M469" s="371"/>
      <c r="N469" s="371"/>
      <c r="O469" s="371"/>
      <c r="P469" s="371"/>
      <c r="Q469" s="371"/>
      <c r="R469" s="371"/>
      <c r="S469" s="371"/>
      <c r="T469" s="371"/>
    </row>
    <row r="470">
      <c r="A470" s="307"/>
      <c r="B470" s="307"/>
      <c r="C470" s="307"/>
      <c r="D470" s="307"/>
      <c r="E470" s="307"/>
      <c r="F470" s="371"/>
      <c r="G470" s="307"/>
      <c r="H470" s="307"/>
      <c r="I470" s="307"/>
      <c r="J470" s="371"/>
      <c r="K470" s="371"/>
      <c r="L470" s="371"/>
      <c r="M470" s="371"/>
      <c r="N470" s="371"/>
      <c r="O470" s="371"/>
      <c r="P470" s="371"/>
      <c r="Q470" s="371"/>
      <c r="R470" s="371"/>
      <c r="S470" s="371"/>
      <c r="T470" s="371"/>
    </row>
    <row r="471">
      <c r="A471" s="307"/>
      <c r="B471" s="307"/>
      <c r="C471" s="307"/>
      <c r="D471" s="307"/>
      <c r="E471" s="307"/>
      <c r="F471" s="371"/>
      <c r="G471" s="307"/>
      <c r="H471" s="307"/>
      <c r="I471" s="307"/>
      <c r="J471" s="371"/>
      <c r="K471" s="371"/>
      <c r="L471" s="371"/>
      <c r="M471" s="371"/>
      <c r="N471" s="371"/>
      <c r="O471" s="371"/>
      <c r="P471" s="371"/>
      <c r="Q471" s="371"/>
      <c r="R471" s="371"/>
      <c r="S471" s="371"/>
      <c r="T471" s="371"/>
    </row>
    <row r="472">
      <c r="A472" s="307"/>
      <c r="B472" s="307"/>
      <c r="C472" s="307"/>
      <c r="D472" s="307"/>
      <c r="E472" s="307"/>
      <c r="F472" s="371"/>
      <c r="G472" s="307"/>
      <c r="H472" s="307"/>
      <c r="I472" s="307"/>
      <c r="J472" s="371"/>
      <c r="K472" s="371"/>
      <c r="L472" s="371"/>
      <c r="M472" s="371"/>
      <c r="N472" s="371"/>
      <c r="O472" s="371"/>
      <c r="P472" s="371"/>
      <c r="Q472" s="371"/>
      <c r="R472" s="371"/>
      <c r="S472" s="371"/>
      <c r="T472" s="371"/>
    </row>
    <row r="473">
      <c r="A473" s="307"/>
      <c r="B473" s="307"/>
      <c r="C473" s="307"/>
      <c r="D473" s="307"/>
      <c r="E473" s="307"/>
      <c r="F473" s="371"/>
      <c r="G473" s="307"/>
      <c r="H473" s="307"/>
      <c r="I473" s="307"/>
      <c r="J473" s="371"/>
      <c r="K473" s="371"/>
      <c r="L473" s="371"/>
      <c r="M473" s="371"/>
      <c r="N473" s="371"/>
      <c r="O473" s="371"/>
      <c r="P473" s="371"/>
      <c r="Q473" s="371"/>
      <c r="R473" s="371"/>
      <c r="S473" s="371"/>
      <c r="T473" s="371"/>
    </row>
    <row r="474">
      <c r="A474" s="307"/>
      <c r="B474" s="307"/>
      <c r="C474" s="307"/>
      <c r="D474" s="307"/>
      <c r="E474" s="307"/>
      <c r="F474" s="371"/>
      <c r="G474" s="307"/>
      <c r="H474" s="307"/>
      <c r="I474" s="307"/>
      <c r="J474" s="371"/>
      <c r="K474" s="371"/>
      <c r="L474" s="371"/>
      <c r="M474" s="371"/>
      <c r="N474" s="371"/>
      <c r="O474" s="371"/>
      <c r="P474" s="371"/>
      <c r="Q474" s="371"/>
      <c r="R474" s="371"/>
      <c r="S474" s="371"/>
      <c r="T474" s="371"/>
    </row>
    <row r="475">
      <c r="A475" s="307"/>
      <c r="B475" s="307"/>
      <c r="C475" s="307"/>
      <c r="D475" s="307"/>
      <c r="E475" s="307"/>
      <c r="F475" s="371"/>
      <c r="G475" s="307"/>
      <c r="H475" s="307"/>
      <c r="I475" s="307"/>
      <c r="J475" s="371"/>
      <c r="K475" s="371"/>
      <c r="L475" s="371"/>
      <c r="M475" s="371"/>
      <c r="N475" s="371"/>
      <c r="O475" s="371"/>
      <c r="P475" s="371"/>
      <c r="Q475" s="371"/>
      <c r="R475" s="371"/>
      <c r="S475" s="371"/>
      <c r="T475" s="371"/>
    </row>
    <row r="476">
      <c r="A476" s="307"/>
      <c r="B476" s="307"/>
      <c r="C476" s="307"/>
      <c r="D476" s="307"/>
      <c r="E476" s="307"/>
      <c r="F476" s="371"/>
      <c r="G476" s="307"/>
      <c r="H476" s="307"/>
      <c r="I476" s="307"/>
      <c r="J476" s="371"/>
      <c r="K476" s="371"/>
      <c r="L476" s="371"/>
      <c r="M476" s="371"/>
      <c r="N476" s="371"/>
      <c r="O476" s="371"/>
      <c r="P476" s="371"/>
      <c r="Q476" s="371"/>
      <c r="R476" s="371"/>
      <c r="S476" s="371"/>
      <c r="T476" s="371"/>
    </row>
    <row r="477">
      <c r="A477" s="307"/>
      <c r="B477" s="307"/>
      <c r="C477" s="307"/>
      <c r="D477" s="307"/>
      <c r="E477" s="307"/>
      <c r="F477" s="371"/>
      <c r="G477" s="307"/>
      <c r="H477" s="307"/>
      <c r="I477" s="307"/>
      <c r="J477" s="371"/>
      <c r="K477" s="371"/>
      <c r="L477" s="371"/>
      <c r="M477" s="371"/>
      <c r="N477" s="371"/>
      <c r="O477" s="371"/>
      <c r="P477" s="371"/>
      <c r="Q477" s="371"/>
      <c r="R477" s="371"/>
      <c r="S477" s="371"/>
      <c r="T477" s="371"/>
    </row>
    <row r="478">
      <c r="A478" s="307"/>
      <c r="B478" s="307"/>
      <c r="C478" s="307"/>
      <c r="D478" s="307"/>
      <c r="E478" s="307"/>
      <c r="F478" s="371"/>
      <c r="G478" s="307"/>
      <c r="H478" s="307"/>
      <c r="I478" s="307"/>
      <c r="J478" s="371"/>
      <c r="K478" s="371"/>
      <c r="L478" s="371"/>
      <c r="M478" s="371"/>
      <c r="N478" s="371"/>
      <c r="O478" s="371"/>
      <c r="P478" s="371"/>
      <c r="Q478" s="371"/>
      <c r="R478" s="371"/>
      <c r="S478" s="371"/>
      <c r="T478" s="371"/>
    </row>
    <row r="479">
      <c r="A479" s="307"/>
      <c r="B479" s="307"/>
      <c r="C479" s="307"/>
      <c r="D479" s="307"/>
      <c r="E479" s="307"/>
      <c r="F479" s="371"/>
      <c r="G479" s="307"/>
      <c r="H479" s="307"/>
      <c r="I479" s="307"/>
      <c r="J479" s="371"/>
      <c r="K479" s="371"/>
      <c r="L479" s="371"/>
      <c r="M479" s="371"/>
      <c r="N479" s="371"/>
      <c r="O479" s="371"/>
      <c r="P479" s="371"/>
      <c r="Q479" s="371"/>
      <c r="R479" s="371"/>
      <c r="S479" s="371"/>
      <c r="T479" s="371"/>
    </row>
    <row r="480">
      <c r="A480" s="307"/>
      <c r="B480" s="307"/>
      <c r="C480" s="307"/>
      <c r="D480" s="307"/>
      <c r="E480" s="307"/>
      <c r="F480" s="371"/>
      <c r="G480" s="307"/>
      <c r="H480" s="307"/>
      <c r="I480" s="307"/>
      <c r="J480" s="371"/>
      <c r="K480" s="371"/>
      <c r="L480" s="371"/>
      <c r="M480" s="371"/>
      <c r="N480" s="371"/>
      <c r="O480" s="371"/>
      <c r="P480" s="371"/>
      <c r="Q480" s="371"/>
      <c r="R480" s="371"/>
      <c r="S480" s="371"/>
      <c r="T480" s="371"/>
    </row>
    <row r="481">
      <c r="A481" s="307"/>
      <c r="B481" s="307"/>
      <c r="C481" s="307"/>
      <c r="D481" s="307"/>
      <c r="E481" s="307"/>
      <c r="F481" s="371"/>
      <c r="G481" s="307"/>
      <c r="H481" s="307"/>
      <c r="I481" s="307"/>
      <c r="J481" s="371"/>
      <c r="K481" s="371"/>
      <c r="L481" s="371"/>
      <c r="M481" s="371"/>
      <c r="N481" s="371"/>
      <c r="O481" s="371"/>
      <c r="P481" s="371"/>
      <c r="Q481" s="371"/>
      <c r="R481" s="371"/>
      <c r="S481" s="371"/>
      <c r="T481" s="371"/>
    </row>
    <row r="482">
      <c r="A482" s="307"/>
      <c r="B482" s="307"/>
      <c r="C482" s="307"/>
      <c r="D482" s="307"/>
      <c r="E482" s="307"/>
      <c r="F482" s="371"/>
      <c r="G482" s="307"/>
      <c r="H482" s="307"/>
      <c r="I482" s="307"/>
      <c r="J482" s="371"/>
      <c r="K482" s="371"/>
      <c r="L482" s="371"/>
      <c r="M482" s="371"/>
      <c r="N482" s="371"/>
      <c r="O482" s="371"/>
      <c r="P482" s="371"/>
      <c r="Q482" s="371"/>
      <c r="R482" s="371"/>
      <c r="S482" s="371"/>
      <c r="T482" s="371"/>
    </row>
    <row r="483">
      <c r="A483" s="307"/>
      <c r="B483" s="307"/>
      <c r="C483" s="307"/>
      <c r="D483" s="307"/>
      <c r="E483" s="307"/>
      <c r="F483" s="371"/>
      <c r="G483" s="307"/>
      <c r="H483" s="307"/>
      <c r="I483" s="307"/>
      <c r="J483" s="371"/>
      <c r="K483" s="371"/>
      <c r="L483" s="371"/>
      <c r="M483" s="371"/>
      <c r="N483" s="371"/>
      <c r="O483" s="371"/>
      <c r="P483" s="371"/>
      <c r="Q483" s="371"/>
      <c r="R483" s="371"/>
      <c r="S483" s="371"/>
      <c r="T483" s="371"/>
    </row>
    <row r="484">
      <c r="A484" s="307"/>
      <c r="B484" s="307"/>
      <c r="C484" s="307"/>
      <c r="D484" s="307"/>
      <c r="E484" s="307"/>
      <c r="F484" s="371"/>
      <c r="G484" s="307"/>
      <c r="H484" s="307"/>
      <c r="I484" s="307"/>
      <c r="J484" s="371"/>
      <c r="K484" s="371"/>
      <c r="L484" s="371"/>
      <c r="M484" s="371"/>
      <c r="N484" s="371"/>
      <c r="O484" s="371"/>
      <c r="P484" s="371"/>
      <c r="Q484" s="371"/>
      <c r="R484" s="371"/>
      <c r="S484" s="371"/>
      <c r="T484" s="371"/>
    </row>
    <row r="485">
      <c r="A485" s="307"/>
      <c r="B485" s="307"/>
      <c r="C485" s="307"/>
      <c r="D485" s="307"/>
      <c r="E485" s="307"/>
      <c r="F485" s="371"/>
      <c r="G485" s="307"/>
      <c r="H485" s="307"/>
      <c r="I485" s="307"/>
      <c r="J485" s="371"/>
      <c r="K485" s="371"/>
      <c r="L485" s="371"/>
      <c r="M485" s="371"/>
      <c r="N485" s="371"/>
      <c r="O485" s="371"/>
      <c r="P485" s="371"/>
      <c r="Q485" s="371"/>
      <c r="R485" s="371"/>
      <c r="S485" s="371"/>
      <c r="T485" s="371"/>
    </row>
    <row r="486">
      <c r="A486" s="307"/>
      <c r="B486" s="307"/>
      <c r="C486" s="307"/>
      <c r="D486" s="307"/>
      <c r="E486" s="307"/>
      <c r="F486" s="371"/>
      <c r="G486" s="307"/>
      <c r="H486" s="307"/>
      <c r="I486" s="307"/>
      <c r="J486" s="371"/>
      <c r="K486" s="371"/>
      <c r="L486" s="371"/>
      <c r="M486" s="371"/>
      <c r="N486" s="371"/>
      <c r="O486" s="371"/>
      <c r="P486" s="371"/>
      <c r="Q486" s="371"/>
      <c r="R486" s="371"/>
      <c r="S486" s="371"/>
      <c r="T486" s="371"/>
    </row>
    <row r="487">
      <c r="A487" s="307"/>
      <c r="B487" s="307"/>
      <c r="C487" s="307"/>
      <c r="D487" s="307"/>
      <c r="E487" s="307"/>
      <c r="F487" s="371"/>
      <c r="G487" s="307"/>
      <c r="H487" s="307"/>
      <c r="I487" s="307"/>
      <c r="J487" s="371"/>
      <c r="K487" s="371"/>
      <c r="L487" s="371"/>
      <c r="M487" s="371"/>
      <c r="N487" s="371"/>
      <c r="O487" s="371"/>
      <c r="P487" s="371"/>
      <c r="Q487" s="371"/>
      <c r="R487" s="371"/>
      <c r="S487" s="371"/>
      <c r="T487" s="371"/>
    </row>
    <row r="488">
      <c r="A488" s="307"/>
      <c r="B488" s="307"/>
      <c r="C488" s="307"/>
      <c r="D488" s="307"/>
      <c r="E488" s="307"/>
      <c r="F488" s="371"/>
      <c r="G488" s="307"/>
      <c r="H488" s="307"/>
      <c r="I488" s="307"/>
      <c r="J488" s="371"/>
      <c r="K488" s="371"/>
      <c r="L488" s="371"/>
      <c r="M488" s="371"/>
      <c r="N488" s="371"/>
      <c r="O488" s="371"/>
      <c r="P488" s="371"/>
      <c r="Q488" s="371"/>
      <c r="R488" s="371"/>
      <c r="S488" s="371"/>
      <c r="T488" s="371"/>
    </row>
    <row r="489">
      <c r="A489" s="307"/>
      <c r="B489" s="307"/>
      <c r="C489" s="307"/>
      <c r="D489" s="307"/>
      <c r="E489" s="307"/>
      <c r="F489" s="371"/>
      <c r="G489" s="307"/>
      <c r="H489" s="307"/>
      <c r="I489" s="307"/>
      <c r="J489" s="371"/>
      <c r="K489" s="371"/>
      <c r="L489" s="371"/>
      <c r="M489" s="371"/>
      <c r="N489" s="371"/>
      <c r="O489" s="371"/>
      <c r="P489" s="371"/>
      <c r="Q489" s="371"/>
      <c r="R489" s="371"/>
      <c r="S489" s="371"/>
      <c r="T489" s="371"/>
    </row>
    <row r="490">
      <c r="A490" s="307"/>
      <c r="B490" s="307"/>
      <c r="C490" s="307"/>
      <c r="D490" s="307"/>
      <c r="E490" s="307"/>
      <c r="F490" s="371"/>
      <c r="G490" s="307"/>
      <c r="H490" s="307"/>
      <c r="I490" s="307"/>
      <c r="J490" s="371"/>
      <c r="K490" s="371"/>
      <c r="L490" s="371"/>
      <c r="M490" s="371"/>
      <c r="N490" s="371"/>
      <c r="O490" s="371"/>
      <c r="P490" s="371"/>
      <c r="Q490" s="371"/>
      <c r="R490" s="371"/>
      <c r="S490" s="371"/>
      <c r="T490" s="371"/>
    </row>
    <row r="491">
      <c r="A491" s="307"/>
      <c r="B491" s="307"/>
      <c r="C491" s="307"/>
      <c r="D491" s="307"/>
      <c r="E491" s="307"/>
      <c r="F491" s="371"/>
      <c r="G491" s="307"/>
      <c r="H491" s="307"/>
      <c r="I491" s="307"/>
      <c r="J491" s="371"/>
      <c r="K491" s="371"/>
      <c r="L491" s="371"/>
      <c r="M491" s="371"/>
      <c r="N491" s="371"/>
      <c r="O491" s="371"/>
      <c r="P491" s="371"/>
      <c r="Q491" s="371"/>
      <c r="R491" s="371"/>
      <c r="S491" s="371"/>
      <c r="T491" s="371"/>
    </row>
    <row r="492">
      <c r="A492" s="307"/>
      <c r="B492" s="307"/>
      <c r="C492" s="307"/>
      <c r="D492" s="307"/>
      <c r="E492" s="307"/>
      <c r="F492" s="371"/>
      <c r="G492" s="307"/>
      <c r="H492" s="307"/>
      <c r="I492" s="307"/>
      <c r="J492" s="371"/>
      <c r="K492" s="371"/>
      <c r="L492" s="371"/>
      <c r="M492" s="371"/>
      <c r="N492" s="371"/>
      <c r="O492" s="371"/>
      <c r="P492" s="371"/>
      <c r="Q492" s="371"/>
      <c r="R492" s="371"/>
      <c r="S492" s="371"/>
      <c r="T492" s="371"/>
    </row>
    <row r="493">
      <c r="A493" s="307"/>
      <c r="B493" s="307"/>
      <c r="C493" s="307"/>
      <c r="D493" s="307"/>
      <c r="E493" s="307"/>
      <c r="F493" s="371"/>
      <c r="G493" s="307"/>
      <c r="H493" s="307"/>
      <c r="I493" s="307"/>
      <c r="J493" s="371"/>
      <c r="K493" s="371"/>
      <c r="L493" s="371"/>
      <c r="M493" s="371"/>
      <c r="N493" s="371"/>
      <c r="O493" s="371"/>
      <c r="P493" s="371"/>
      <c r="Q493" s="371"/>
      <c r="R493" s="371"/>
      <c r="S493" s="371"/>
      <c r="T493" s="371"/>
    </row>
    <row r="494">
      <c r="A494" s="307"/>
      <c r="B494" s="307"/>
      <c r="C494" s="307"/>
      <c r="D494" s="307"/>
      <c r="E494" s="307"/>
      <c r="F494" s="371"/>
      <c r="G494" s="307"/>
      <c r="H494" s="307"/>
      <c r="I494" s="307"/>
      <c r="J494" s="371"/>
      <c r="K494" s="371"/>
      <c r="L494" s="371"/>
      <c r="M494" s="371"/>
      <c r="N494" s="371"/>
      <c r="O494" s="371"/>
      <c r="P494" s="371"/>
      <c r="Q494" s="371"/>
      <c r="R494" s="371"/>
      <c r="S494" s="371"/>
      <c r="T494" s="371"/>
    </row>
    <row r="495">
      <c r="A495" s="307"/>
      <c r="B495" s="307"/>
      <c r="C495" s="307"/>
      <c r="D495" s="307"/>
      <c r="E495" s="307"/>
      <c r="F495" s="371"/>
      <c r="G495" s="307"/>
      <c r="H495" s="307"/>
      <c r="I495" s="307"/>
      <c r="J495" s="371"/>
      <c r="K495" s="371"/>
      <c r="L495" s="371"/>
      <c r="M495" s="371"/>
      <c r="N495" s="371"/>
      <c r="O495" s="371"/>
      <c r="P495" s="371"/>
      <c r="Q495" s="371"/>
      <c r="R495" s="371"/>
      <c r="S495" s="371"/>
      <c r="T495" s="371"/>
    </row>
    <row r="496">
      <c r="A496" s="307"/>
      <c r="B496" s="307"/>
      <c r="C496" s="307"/>
      <c r="D496" s="307"/>
      <c r="E496" s="307"/>
      <c r="F496" s="371"/>
      <c r="G496" s="307"/>
      <c r="H496" s="307"/>
      <c r="I496" s="307"/>
      <c r="J496" s="371"/>
      <c r="K496" s="371"/>
      <c r="L496" s="371"/>
      <c r="M496" s="371"/>
      <c r="N496" s="371"/>
      <c r="O496" s="371"/>
      <c r="P496" s="371"/>
      <c r="Q496" s="371"/>
      <c r="R496" s="371"/>
      <c r="S496" s="371"/>
      <c r="T496" s="371"/>
    </row>
    <row r="497">
      <c r="A497" s="307"/>
      <c r="B497" s="307"/>
      <c r="C497" s="307"/>
      <c r="D497" s="307"/>
      <c r="E497" s="307"/>
      <c r="F497" s="371"/>
      <c r="G497" s="307"/>
      <c r="H497" s="307"/>
      <c r="I497" s="307"/>
      <c r="J497" s="371"/>
      <c r="K497" s="371"/>
      <c r="L497" s="371"/>
      <c r="M497" s="371"/>
      <c r="N497" s="371"/>
      <c r="O497" s="371"/>
      <c r="P497" s="371"/>
      <c r="Q497" s="371"/>
      <c r="R497" s="371"/>
      <c r="S497" s="371"/>
      <c r="T497" s="371"/>
    </row>
    <row r="498">
      <c r="A498" s="307"/>
      <c r="B498" s="307"/>
      <c r="C498" s="307"/>
      <c r="D498" s="307"/>
      <c r="E498" s="307"/>
      <c r="F498" s="371"/>
      <c r="G498" s="307"/>
      <c r="H498" s="307"/>
      <c r="I498" s="307"/>
      <c r="J498" s="371"/>
      <c r="K498" s="371"/>
      <c r="L498" s="371"/>
      <c r="M498" s="371"/>
      <c r="N498" s="371"/>
      <c r="O498" s="371"/>
      <c r="P498" s="371"/>
      <c r="Q498" s="371"/>
      <c r="R498" s="371"/>
      <c r="S498" s="371"/>
      <c r="T498" s="371"/>
    </row>
    <row r="499">
      <c r="A499" s="307"/>
      <c r="B499" s="307"/>
      <c r="C499" s="307"/>
      <c r="D499" s="307"/>
      <c r="E499" s="307"/>
      <c r="F499" s="371"/>
      <c r="G499" s="307"/>
      <c r="H499" s="307"/>
      <c r="I499" s="307"/>
      <c r="J499" s="371"/>
      <c r="K499" s="371"/>
      <c r="L499" s="371"/>
      <c r="M499" s="371"/>
      <c r="N499" s="371"/>
      <c r="O499" s="371"/>
      <c r="P499" s="371"/>
      <c r="Q499" s="371"/>
      <c r="R499" s="371"/>
      <c r="S499" s="371"/>
      <c r="T499" s="371"/>
    </row>
    <row r="500">
      <c r="A500" s="307"/>
      <c r="B500" s="307"/>
      <c r="C500" s="307"/>
      <c r="D500" s="307"/>
      <c r="E500" s="307"/>
      <c r="F500" s="371"/>
      <c r="G500" s="307"/>
      <c r="H500" s="307"/>
      <c r="I500" s="307"/>
      <c r="J500" s="371"/>
      <c r="K500" s="371"/>
      <c r="L500" s="371"/>
      <c r="M500" s="371"/>
      <c r="N500" s="371"/>
      <c r="O500" s="371"/>
      <c r="P500" s="371"/>
      <c r="Q500" s="371"/>
      <c r="R500" s="371"/>
      <c r="S500" s="371"/>
      <c r="T500" s="371"/>
    </row>
    <row r="501">
      <c r="A501" s="307"/>
      <c r="B501" s="307"/>
      <c r="C501" s="307"/>
      <c r="D501" s="307"/>
      <c r="E501" s="307"/>
      <c r="F501" s="371"/>
      <c r="G501" s="307"/>
      <c r="H501" s="307"/>
      <c r="I501" s="307"/>
      <c r="J501" s="371"/>
      <c r="K501" s="371"/>
      <c r="L501" s="371"/>
      <c r="M501" s="371"/>
      <c r="N501" s="371"/>
      <c r="O501" s="371"/>
      <c r="P501" s="371"/>
      <c r="Q501" s="371"/>
      <c r="R501" s="371"/>
      <c r="S501" s="371"/>
      <c r="T501" s="371"/>
    </row>
    <row r="502">
      <c r="A502" s="307"/>
      <c r="B502" s="307"/>
      <c r="C502" s="307"/>
      <c r="D502" s="307"/>
      <c r="E502" s="307"/>
      <c r="F502" s="371"/>
      <c r="G502" s="307"/>
      <c r="H502" s="307"/>
      <c r="I502" s="307"/>
      <c r="J502" s="371"/>
      <c r="K502" s="371"/>
      <c r="L502" s="371"/>
      <c r="M502" s="371"/>
      <c r="N502" s="371"/>
      <c r="O502" s="371"/>
      <c r="P502" s="371"/>
      <c r="Q502" s="371"/>
      <c r="R502" s="371"/>
      <c r="S502" s="371"/>
      <c r="T502" s="371"/>
    </row>
    <row r="503">
      <c r="A503" s="307"/>
      <c r="B503" s="307"/>
      <c r="C503" s="307"/>
      <c r="D503" s="307"/>
      <c r="E503" s="307"/>
      <c r="F503" s="371"/>
      <c r="G503" s="307"/>
      <c r="H503" s="307"/>
      <c r="I503" s="307"/>
      <c r="J503" s="371"/>
      <c r="K503" s="371"/>
      <c r="L503" s="371"/>
      <c r="M503" s="371"/>
      <c r="N503" s="371"/>
      <c r="O503" s="371"/>
      <c r="P503" s="371"/>
      <c r="Q503" s="371"/>
      <c r="R503" s="371"/>
      <c r="S503" s="371"/>
      <c r="T503" s="371"/>
    </row>
    <row r="504">
      <c r="A504" s="307"/>
      <c r="B504" s="307"/>
      <c r="C504" s="307"/>
      <c r="D504" s="307"/>
      <c r="E504" s="307"/>
      <c r="F504" s="371"/>
      <c r="G504" s="307"/>
      <c r="H504" s="307"/>
      <c r="I504" s="307"/>
      <c r="J504" s="371"/>
      <c r="K504" s="371"/>
      <c r="L504" s="371"/>
      <c r="M504" s="371"/>
      <c r="N504" s="371"/>
      <c r="O504" s="371"/>
      <c r="P504" s="371"/>
      <c r="Q504" s="371"/>
      <c r="R504" s="371"/>
      <c r="S504" s="371"/>
      <c r="T504" s="371"/>
    </row>
    <row r="505">
      <c r="A505" s="307"/>
      <c r="B505" s="307"/>
      <c r="C505" s="307"/>
      <c r="D505" s="307"/>
      <c r="E505" s="307"/>
      <c r="F505" s="371"/>
      <c r="G505" s="307"/>
      <c r="H505" s="307"/>
      <c r="I505" s="307"/>
      <c r="J505" s="371"/>
      <c r="K505" s="371"/>
      <c r="L505" s="371"/>
      <c r="M505" s="371"/>
      <c r="N505" s="371"/>
      <c r="O505" s="371"/>
      <c r="P505" s="371"/>
      <c r="Q505" s="371"/>
      <c r="R505" s="371"/>
      <c r="S505" s="371"/>
      <c r="T505" s="371"/>
    </row>
    <row r="506">
      <c r="A506" s="307"/>
      <c r="B506" s="307"/>
      <c r="C506" s="307"/>
      <c r="D506" s="307"/>
      <c r="E506" s="307"/>
      <c r="F506" s="371"/>
      <c r="G506" s="307"/>
      <c r="H506" s="307"/>
      <c r="I506" s="307"/>
      <c r="J506" s="371"/>
      <c r="K506" s="371"/>
      <c r="L506" s="371"/>
      <c r="M506" s="371"/>
      <c r="N506" s="371"/>
      <c r="O506" s="371"/>
      <c r="P506" s="371"/>
      <c r="Q506" s="371"/>
      <c r="R506" s="371"/>
      <c r="S506" s="371"/>
      <c r="T506" s="371"/>
    </row>
    <row r="507">
      <c r="A507" s="307"/>
      <c r="B507" s="307"/>
      <c r="C507" s="307"/>
      <c r="D507" s="307"/>
      <c r="E507" s="307"/>
      <c r="F507" s="371"/>
      <c r="G507" s="307"/>
      <c r="H507" s="307"/>
      <c r="I507" s="307"/>
      <c r="J507" s="371"/>
      <c r="K507" s="371"/>
      <c r="L507" s="371"/>
      <c r="M507" s="371"/>
      <c r="N507" s="371"/>
      <c r="O507" s="371"/>
      <c r="P507" s="371"/>
      <c r="Q507" s="371"/>
      <c r="R507" s="371"/>
      <c r="S507" s="371"/>
      <c r="T507" s="371"/>
    </row>
    <row r="508">
      <c r="A508" s="307"/>
      <c r="B508" s="307"/>
      <c r="C508" s="307"/>
      <c r="D508" s="307"/>
      <c r="E508" s="307"/>
      <c r="F508" s="371"/>
      <c r="G508" s="307"/>
      <c r="H508" s="307"/>
      <c r="I508" s="307"/>
      <c r="J508" s="371"/>
      <c r="K508" s="371"/>
      <c r="L508" s="371"/>
      <c r="M508" s="371"/>
      <c r="N508" s="371"/>
      <c r="O508" s="371"/>
      <c r="P508" s="371"/>
      <c r="Q508" s="371"/>
      <c r="R508" s="371"/>
      <c r="S508" s="371"/>
      <c r="T508" s="371"/>
    </row>
    <row r="509">
      <c r="A509" s="307"/>
      <c r="B509" s="307"/>
      <c r="C509" s="307"/>
      <c r="D509" s="307"/>
      <c r="E509" s="307"/>
      <c r="F509" s="371"/>
      <c r="G509" s="307"/>
      <c r="H509" s="307"/>
      <c r="I509" s="307"/>
      <c r="J509" s="371"/>
      <c r="K509" s="371"/>
      <c r="L509" s="371"/>
      <c r="M509" s="371"/>
      <c r="N509" s="371"/>
      <c r="O509" s="371"/>
      <c r="P509" s="371"/>
      <c r="Q509" s="371"/>
      <c r="R509" s="371"/>
      <c r="S509" s="371"/>
      <c r="T509" s="371"/>
    </row>
    <row r="510">
      <c r="A510" s="307"/>
      <c r="B510" s="307"/>
      <c r="C510" s="307"/>
      <c r="D510" s="307"/>
      <c r="E510" s="307"/>
      <c r="F510" s="371"/>
      <c r="G510" s="307"/>
      <c r="H510" s="307"/>
      <c r="I510" s="307"/>
      <c r="J510" s="371"/>
      <c r="K510" s="371"/>
      <c r="L510" s="371"/>
      <c r="M510" s="371"/>
      <c r="N510" s="371"/>
      <c r="O510" s="371"/>
      <c r="P510" s="371"/>
      <c r="Q510" s="371"/>
      <c r="R510" s="371"/>
      <c r="S510" s="371"/>
      <c r="T510" s="371"/>
    </row>
    <row r="511">
      <c r="A511" s="307"/>
      <c r="B511" s="307"/>
      <c r="C511" s="307"/>
      <c r="D511" s="307"/>
      <c r="E511" s="307"/>
      <c r="F511" s="371"/>
      <c r="G511" s="307"/>
      <c r="H511" s="307"/>
      <c r="I511" s="307"/>
      <c r="J511" s="371"/>
      <c r="K511" s="371"/>
      <c r="L511" s="371"/>
      <c r="M511" s="371"/>
      <c r="N511" s="371"/>
      <c r="O511" s="371"/>
      <c r="P511" s="371"/>
      <c r="Q511" s="371"/>
      <c r="R511" s="371"/>
      <c r="S511" s="371"/>
      <c r="T511" s="371"/>
    </row>
    <row r="512">
      <c r="A512" s="307"/>
      <c r="B512" s="307"/>
      <c r="C512" s="307"/>
      <c r="D512" s="307"/>
      <c r="E512" s="307"/>
      <c r="F512" s="371"/>
      <c r="G512" s="307"/>
      <c r="H512" s="307"/>
      <c r="I512" s="307"/>
      <c r="J512" s="371"/>
      <c r="K512" s="371"/>
      <c r="L512" s="371"/>
      <c r="M512" s="371"/>
      <c r="N512" s="371"/>
      <c r="O512" s="371"/>
      <c r="P512" s="371"/>
      <c r="Q512" s="371"/>
      <c r="R512" s="371"/>
      <c r="S512" s="371"/>
      <c r="T512" s="371"/>
    </row>
    <row r="513">
      <c r="A513" s="307"/>
      <c r="B513" s="307"/>
      <c r="C513" s="307"/>
      <c r="D513" s="307"/>
      <c r="E513" s="307"/>
      <c r="F513" s="371"/>
      <c r="G513" s="307"/>
      <c r="H513" s="307"/>
      <c r="I513" s="307"/>
      <c r="J513" s="371"/>
      <c r="K513" s="371"/>
      <c r="L513" s="371"/>
      <c r="M513" s="371"/>
      <c r="N513" s="371"/>
      <c r="O513" s="371"/>
      <c r="P513" s="371"/>
      <c r="Q513" s="371"/>
      <c r="R513" s="371"/>
      <c r="S513" s="371"/>
      <c r="T513" s="371"/>
    </row>
    <row r="514">
      <c r="A514" s="307"/>
      <c r="B514" s="307"/>
      <c r="C514" s="307"/>
      <c r="D514" s="307"/>
      <c r="E514" s="307"/>
      <c r="F514" s="371"/>
      <c r="G514" s="307"/>
      <c r="H514" s="307"/>
      <c r="I514" s="307"/>
      <c r="J514" s="371"/>
      <c r="K514" s="371"/>
      <c r="L514" s="371"/>
      <c r="M514" s="371"/>
      <c r="N514" s="371"/>
      <c r="O514" s="371"/>
      <c r="P514" s="371"/>
      <c r="Q514" s="371"/>
      <c r="R514" s="371"/>
      <c r="S514" s="371"/>
      <c r="T514" s="371"/>
    </row>
    <row r="515">
      <c r="A515" s="307"/>
      <c r="B515" s="307"/>
      <c r="C515" s="307"/>
      <c r="D515" s="307"/>
      <c r="E515" s="307"/>
      <c r="F515" s="371"/>
      <c r="G515" s="307"/>
      <c r="H515" s="307"/>
      <c r="I515" s="307"/>
      <c r="J515" s="371"/>
      <c r="K515" s="371"/>
      <c r="L515" s="371"/>
      <c r="M515" s="371"/>
      <c r="N515" s="371"/>
      <c r="O515" s="371"/>
      <c r="P515" s="371"/>
      <c r="Q515" s="371"/>
      <c r="R515" s="371"/>
      <c r="S515" s="371"/>
      <c r="T515" s="371"/>
    </row>
    <row r="516">
      <c r="A516" s="307"/>
      <c r="B516" s="307"/>
      <c r="C516" s="307"/>
      <c r="D516" s="307"/>
      <c r="E516" s="307"/>
      <c r="F516" s="371"/>
      <c r="G516" s="307"/>
      <c r="H516" s="307"/>
      <c r="I516" s="307"/>
      <c r="J516" s="371"/>
      <c r="K516" s="371"/>
      <c r="L516" s="371"/>
      <c r="M516" s="371"/>
      <c r="N516" s="371"/>
      <c r="O516" s="371"/>
      <c r="P516" s="371"/>
      <c r="Q516" s="371"/>
      <c r="R516" s="371"/>
      <c r="S516" s="371"/>
      <c r="T516" s="371"/>
    </row>
    <row r="517">
      <c r="A517" s="307"/>
      <c r="B517" s="307"/>
      <c r="C517" s="307"/>
      <c r="D517" s="307"/>
      <c r="E517" s="307"/>
      <c r="F517" s="371"/>
      <c r="G517" s="307"/>
      <c r="H517" s="307"/>
      <c r="I517" s="307"/>
      <c r="J517" s="371"/>
      <c r="K517" s="371"/>
      <c r="L517" s="371"/>
      <c r="M517" s="371"/>
      <c r="N517" s="371"/>
      <c r="O517" s="371"/>
      <c r="P517" s="371"/>
      <c r="Q517" s="371"/>
      <c r="R517" s="371"/>
      <c r="S517" s="371"/>
      <c r="T517" s="371"/>
    </row>
    <row r="518">
      <c r="A518" s="307"/>
      <c r="B518" s="307"/>
      <c r="C518" s="307"/>
      <c r="D518" s="307"/>
      <c r="E518" s="307"/>
      <c r="F518" s="371"/>
      <c r="G518" s="307"/>
      <c r="H518" s="307"/>
      <c r="I518" s="307"/>
      <c r="J518" s="371"/>
      <c r="K518" s="371"/>
      <c r="L518" s="371"/>
      <c r="M518" s="371"/>
      <c r="N518" s="371"/>
      <c r="O518" s="371"/>
      <c r="P518" s="371"/>
      <c r="Q518" s="371"/>
      <c r="R518" s="371"/>
      <c r="S518" s="371"/>
      <c r="T518" s="371"/>
    </row>
    <row r="519">
      <c r="A519" s="307"/>
      <c r="B519" s="307"/>
      <c r="C519" s="307"/>
      <c r="D519" s="307"/>
      <c r="E519" s="307"/>
      <c r="F519" s="371"/>
      <c r="G519" s="307"/>
      <c r="H519" s="307"/>
      <c r="I519" s="307"/>
      <c r="J519" s="371"/>
      <c r="K519" s="371"/>
      <c r="L519" s="371"/>
      <c r="M519" s="371"/>
      <c r="N519" s="371"/>
      <c r="O519" s="371"/>
      <c r="P519" s="371"/>
      <c r="Q519" s="371"/>
      <c r="R519" s="371"/>
      <c r="S519" s="371"/>
      <c r="T519" s="371"/>
    </row>
    <row r="520">
      <c r="A520" s="307"/>
      <c r="B520" s="307"/>
      <c r="C520" s="307"/>
      <c r="D520" s="307"/>
      <c r="E520" s="307"/>
      <c r="F520" s="371"/>
      <c r="G520" s="307"/>
      <c r="H520" s="307"/>
      <c r="I520" s="307"/>
      <c r="J520" s="371"/>
      <c r="K520" s="371"/>
      <c r="L520" s="371"/>
      <c r="M520" s="371"/>
      <c r="N520" s="371"/>
      <c r="O520" s="371"/>
      <c r="P520" s="371"/>
      <c r="Q520" s="371"/>
      <c r="R520" s="371"/>
      <c r="S520" s="371"/>
      <c r="T520" s="371"/>
    </row>
    <row r="521">
      <c r="A521" s="307"/>
      <c r="B521" s="307"/>
      <c r="C521" s="307"/>
      <c r="D521" s="307"/>
      <c r="E521" s="307"/>
      <c r="F521" s="371"/>
      <c r="G521" s="307"/>
      <c r="H521" s="307"/>
      <c r="I521" s="307"/>
      <c r="J521" s="371"/>
      <c r="K521" s="371"/>
      <c r="L521" s="371"/>
      <c r="M521" s="371"/>
      <c r="N521" s="371"/>
      <c r="O521" s="371"/>
      <c r="P521" s="371"/>
      <c r="Q521" s="371"/>
      <c r="R521" s="371"/>
      <c r="S521" s="371"/>
      <c r="T521" s="371"/>
    </row>
    <row r="522">
      <c r="A522" s="307"/>
      <c r="B522" s="307"/>
      <c r="C522" s="307"/>
      <c r="D522" s="307"/>
      <c r="E522" s="307"/>
      <c r="F522" s="371"/>
      <c r="G522" s="307"/>
      <c r="H522" s="307"/>
      <c r="I522" s="307"/>
      <c r="J522" s="371"/>
      <c r="K522" s="371"/>
      <c r="L522" s="371"/>
      <c r="M522" s="371"/>
      <c r="N522" s="371"/>
      <c r="O522" s="371"/>
      <c r="P522" s="371"/>
      <c r="Q522" s="371"/>
      <c r="R522" s="371"/>
      <c r="S522" s="371"/>
      <c r="T522" s="371"/>
    </row>
    <row r="523">
      <c r="A523" s="307"/>
      <c r="B523" s="307"/>
      <c r="C523" s="307"/>
      <c r="D523" s="307"/>
      <c r="E523" s="307"/>
      <c r="F523" s="371"/>
      <c r="G523" s="307"/>
      <c r="H523" s="307"/>
      <c r="I523" s="307"/>
      <c r="J523" s="371"/>
      <c r="K523" s="371"/>
      <c r="L523" s="371"/>
      <c r="M523" s="371"/>
      <c r="N523" s="371"/>
      <c r="O523" s="371"/>
      <c r="P523" s="371"/>
      <c r="Q523" s="371"/>
      <c r="R523" s="371"/>
      <c r="S523" s="371"/>
      <c r="T523" s="371"/>
    </row>
    <row r="524">
      <c r="A524" s="307"/>
      <c r="B524" s="307"/>
      <c r="C524" s="307"/>
      <c r="D524" s="307"/>
      <c r="E524" s="307"/>
      <c r="F524" s="371"/>
      <c r="G524" s="307"/>
      <c r="H524" s="307"/>
      <c r="I524" s="307"/>
      <c r="J524" s="371"/>
      <c r="K524" s="371"/>
      <c r="L524" s="371"/>
      <c r="M524" s="371"/>
      <c r="N524" s="371"/>
      <c r="O524" s="371"/>
      <c r="P524" s="371"/>
      <c r="Q524" s="371"/>
      <c r="R524" s="371"/>
      <c r="S524" s="371"/>
      <c r="T524" s="371"/>
    </row>
    <row r="525">
      <c r="A525" s="307"/>
      <c r="B525" s="307"/>
      <c r="C525" s="307"/>
      <c r="D525" s="307"/>
      <c r="E525" s="307"/>
      <c r="F525" s="371"/>
      <c r="G525" s="307"/>
      <c r="H525" s="307"/>
      <c r="I525" s="307"/>
      <c r="J525" s="371"/>
      <c r="K525" s="371"/>
      <c r="L525" s="371"/>
      <c r="M525" s="371"/>
      <c r="N525" s="371"/>
      <c r="O525" s="371"/>
      <c r="P525" s="371"/>
      <c r="Q525" s="371"/>
      <c r="R525" s="371"/>
      <c r="S525" s="371"/>
      <c r="T525" s="371"/>
    </row>
    <row r="526">
      <c r="A526" s="307"/>
      <c r="B526" s="307"/>
      <c r="C526" s="307"/>
      <c r="D526" s="307"/>
      <c r="E526" s="307"/>
      <c r="F526" s="371"/>
      <c r="G526" s="307"/>
      <c r="H526" s="307"/>
      <c r="I526" s="307"/>
      <c r="J526" s="371"/>
      <c r="K526" s="371"/>
      <c r="L526" s="371"/>
      <c r="M526" s="371"/>
      <c r="N526" s="371"/>
      <c r="O526" s="371"/>
      <c r="P526" s="371"/>
      <c r="Q526" s="371"/>
      <c r="R526" s="371"/>
      <c r="S526" s="371"/>
      <c r="T526" s="371"/>
    </row>
    <row r="527">
      <c r="A527" s="307"/>
      <c r="B527" s="307"/>
      <c r="C527" s="307"/>
      <c r="D527" s="307"/>
      <c r="E527" s="307"/>
      <c r="F527" s="371"/>
      <c r="G527" s="307"/>
      <c r="H527" s="307"/>
      <c r="I527" s="307"/>
      <c r="J527" s="371"/>
      <c r="K527" s="371"/>
      <c r="L527" s="371"/>
      <c r="M527" s="371"/>
      <c r="N527" s="371"/>
      <c r="O527" s="371"/>
      <c r="P527" s="371"/>
      <c r="Q527" s="371"/>
      <c r="R527" s="371"/>
      <c r="S527" s="371"/>
      <c r="T527" s="371"/>
    </row>
    <row r="528">
      <c r="A528" s="307"/>
      <c r="B528" s="307"/>
      <c r="C528" s="307"/>
      <c r="D528" s="307"/>
      <c r="E528" s="307"/>
      <c r="F528" s="371"/>
      <c r="G528" s="307"/>
      <c r="H528" s="307"/>
      <c r="I528" s="307"/>
      <c r="J528" s="371"/>
      <c r="K528" s="371"/>
      <c r="L528" s="371"/>
      <c r="M528" s="371"/>
      <c r="N528" s="371"/>
      <c r="O528" s="371"/>
      <c r="P528" s="371"/>
      <c r="Q528" s="371"/>
      <c r="R528" s="371"/>
      <c r="S528" s="371"/>
      <c r="T528" s="371"/>
    </row>
    <row r="529">
      <c r="A529" s="307"/>
      <c r="B529" s="307"/>
      <c r="C529" s="307"/>
      <c r="D529" s="307"/>
      <c r="E529" s="307"/>
      <c r="F529" s="371"/>
      <c r="G529" s="307"/>
      <c r="H529" s="307"/>
      <c r="I529" s="307"/>
      <c r="J529" s="371"/>
      <c r="K529" s="371"/>
      <c r="L529" s="371"/>
      <c r="M529" s="371"/>
      <c r="N529" s="371"/>
      <c r="O529" s="371"/>
      <c r="P529" s="371"/>
      <c r="Q529" s="371"/>
      <c r="R529" s="371"/>
      <c r="S529" s="371"/>
      <c r="T529" s="371"/>
    </row>
    <row r="530">
      <c r="A530" s="307"/>
      <c r="B530" s="307"/>
      <c r="C530" s="307"/>
      <c r="D530" s="307"/>
      <c r="E530" s="307"/>
      <c r="F530" s="371"/>
      <c r="G530" s="307"/>
      <c r="H530" s="307"/>
      <c r="I530" s="307"/>
      <c r="J530" s="371"/>
      <c r="K530" s="371"/>
      <c r="L530" s="371"/>
      <c r="M530" s="371"/>
      <c r="N530" s="371"/>
      <c r="O530" s="371"/>
      <c r="P530" s="371"/>
      <c r="Q530" s="371"/>
      <c r="R530" s="371"/>
      <c r="S530" s="371"/>
      <c r="T530" s="371"/>
    </row>
    <row r="531">
      <c r="A531" s="307"/>
      <c r="B531" s="307"/>
      <c r="C531" s="307"/>
      <c r="D531" s="307"/>
      <c r="E531" s="307"/>
      <c r="F531" s="371"/>
      <c r="G531" s="307"/>
      <c r="H531" s="307"/>
      <c r="I531" s="307"/>
      <c r="J531" s="371"/>
      <c r="K531" s="371"/>
      <c r="L531" s="371"/>
      <c r="M531" s="371"/>
      <c r="N531" s="371"/>
      <c r="O531" s="371"/>
      <c r="P531" s="371"/>
      <c r="Q531" s="371"/>
      <c r="R531" s="371"/>
      <c r="S531" s="371"/>
      <c r="T531" s="371"/>
    </row>
    <row r="532">
      <c r="A532" s="307"/>
      <c r="B532" s="307"/>
      <c r="C532" s="307"/>
      <c r="D532" s="307"/>
      <c r="E532" s="307"/>
      <c r="F532" s="371"/>
      <c r="G532" s="307"/>
      <c r="H532" s="307"/>
      <c r="I532" s="307"/>
      <c r="J532" s="371"/>
      <c r="K532" s="371"/>
      <c r="L532" s="371"/>
      <c r="M532" s="371"/>
      <c r="N532" s="371"/>
      <c r="O532" s="371"/>
      <c r="P532" s="371"/>
      <c r="Q532" s="371"/>
      <c r="R532" s="371"/>
      <c r="S532" s="371"/>
      <c r="T532" s="371"/>
    </row>
    <row r="533">
      <c r="A533" s="307"/>
      <c r="B533" s="307"/>
      <c r="C533" s="307"/>
      <c r="D533" s="307"/>
      <c r="E533" s="307"/>
      <c r="F533" s="371"/>
      <c r="G533" s="307"/>
      <c r="H533" s="307"/>
      <c r="I533" s="307"/>
      <c r="J533" s="371"/>
      <c r="K533" s="371"/>
      <c r="L533" s="371"/>
      <c r="M533" s="371"/>
      <c r="N533" s="371"/>
      <c r="O533" s="371"/>
      <c r="P533" s="371"/>
      <c r="Q533" s="371"/>
      <c r="R533" s="371"/>
      <c r="S533" s="371"/>
      <c r="T533" s="371"/>
    </row>
    <row r="534">
      <c r="A534" s="307"/>
      <c r="B534" s="307"/>
      <c r="C534" s="307"/>
      <c r="D534" s="307"/>
      <c r="E534" s="307"/>
      <c r="F534" s="371"/>
      <c r="G534" s="307"/>
      <c r="H534" s="307"/>
      <c r="I534" s="307"/>
      <c r="J534" s="371"/>
      <c r="K534" s="371"/>
      <c r="L534" s="371"/>
      <c r="M534" s="371"/>
      <c r="N534" s="371"/>
      <c r="O534" s="371"/>
      <c r="P534" s="371"/>
      <c r="Q534" s="371"/>
      <c r="R534" s="371"/>
      <c r="S534" s="371"/>
      <c r="T534" s="371"/>
    </row>
    <row r="535">
      <c r="A535" s="307"/>
      <c r="B535" s="307"/>
      <c r="C535" s="307"/>
      <c r="D535" s="307"/>
      <c r="E535" s="307"/>
      <c r="F535" s="371"/>
      <c r="G535" s="307"/>
      <c r="H535" s="307"/>
      <c r="I535" s="307"/>
      <c r="J535" s="371"/>
      <c r="K535" s="371"/>
      <c r="L535" s="371"/>
      <c r="M535" s="371"/>
      <c r="N535" s="371"/>
      <c r="O535" s="371"/>
      <c r="P535" s="371"/>
      <c r="Q535" s="371"/>
      <c r="R535" s="371"/>
      <c r="S535" s="371"/>
      <c r="T535" s="371"/>
    </row>
    <row r="536">
      <c r="A536" s="307"/>
      <c r="B536" s="307"/>
      <c r="C536" s="307"/>
      <c r="D536" s="307"/>
      <c r="E536" s="307"/>
      <c r="F536" s="371"/>
      <c r="G536" s="307"/>
      <c r="H536" s="307"/>
      <c r="I536" s="307"/>
      <c r="J536" s="371"/>
      <c r="K536" s="371"/>
      <c r="L536" s="371"/>
      <c r="M536" s="371"/>
      <c r="N536" s="371"/>
      <c r="O536" s="371"/>
      <c r="P536" s="371"/>
      <c r="Q536" s="371"/>
      <c r="R536" s="371"/>
      <c r="S536" s="371"/>
      <c r="T536" s="371"/>
    </row>
    <row r="537">
      <c r="A537" s="307"/>
      <c r="B537" s="307"/>
      <c r="C537" s="307"/>
      <c r="D537" s="307"/>
      <c r="E537" s="307"/>
      <c r="F537" s="371"/>
      <c r="G537" s="307"/>
      <c r="H537" s="307"/>
      <c r="I537" s="307"/>
      <c r="J537" s="371"/>
      <c r="K537" s="371"/>
      <c r="L537" s="371"/>
      <c r="M537" s="371"/>
      <c r="N537" s="371"/>
      <c r="O537" s="371"/>
      <c r="P537" s="371"/>
      <c r="Q537" s="371"/>
      <c r="R537" s="371"/>
      <c r="S537" s="371"/>
      <c r="T537" s="371"/>
    </row>
    <row r="538">
      <c r="A538" s="307"/>
      <c r="B538" s="307"/>
      <c r="C538" s="307"/>
      <c r="D538" s="307"/>
      <c r="E538" s="307"/>
      <c r="F538" s="371"/>
      <c r="G538" s="307"/>
      <c r="H538" s="307"/>
      <c r="I538" s="307"/>
      <c r="J538" s="371"/>
      <c r="K538" s="371"/>
      <c r="L538" s="371"/>
      <c r="M538" s="371"/>
      <c r="N538" s="371"/>
      <c r="O538" s="371"/>
      <c r="P538" s="371"/>
      <c r="Q538" s="371"/>
      <c r="R538" s="371"/>
      <c r="S538" s="371"/>
      <c r="T538" s="371"/>
    </row>
    <row r="539">
      <c r="A539" s="307"/>
      <c r="B539" s="307"/>
      <c r="C539" s="307"/>
      <c r="D539" s="307"/>
      <c r="E539" s="307"/>
      <c r="F539" s="371"/>
      <c r="G539" s="307"/>
      <c r="H539" s="307"/>
      <c r="I539" s="307"/>
      <c r="J539" s="371"/>
      <c r="K539" s="371"/>
      <c r="L539" s="371"/>
      <c r="M539" s="371"/>
      <c r="N539" s="371"/>
      <c r="O539" s="371"/>
      <c r="P539" s="371"/>
      <c r="Q539" s="371"/>
      <c r="R539" s="371"/>
      <c r="S539" s="371"/>
      <c r="T539" s="371"/>
    </row>
    <row r="540">
      <c r="A540" s="307"/>
      <c r="B540" s="307"/>
      <c r="C540" s="307"/>
      <c r="D540" s="307"/>
      <c r="E540" s="307"/>
      <c r="F540" s="371"/>
      <c r="G540" s="307"/>
      <c r="H540" s="307"/>
      <c r="I540" s="307"/>
      <c r="J540" s="371"/>
      <c r="K540" s="371"/>
      <c r="L540" s="371"/>
      <c r="M540" s="371"/>
      <c r="N540" s="371"/>
      <c r="O540" s="371"/>
      <c r="P540" s="371"/>
      <c r="Q540" s="371"/>
      <c r="R540" s="371"/>
      <c r="S540" s="371"/>
      <c r="T540" s="371"/>
    </row>
    <row r="541">
      <c r="A541" s="307"/>
      <c r="B541" s="307"/>
      <c r="C541" s="307"/>
      <c r="D541" s="307"/>
      <c r="E541" s="307"/>
      <c r="F541" s="371"/>
      <c r="G541" s="307"/>
      <c r="H541" s="307"/>
      <c r="I541" s="307"/>
      <c r="J541" s="371"/>
      <c r="K541" s="371"/>
      <c r="L541" s="371"/>
      <c r="M541" s="371"/>
      <c r="N541" s="371"/>
      <c r="O541" s="371"/>
      <c r="P541" s="371"/>
      <c r="Q541" s="371"/>
      <c r="R541" s="371"/>
      <c r="S541" s="371"/>
      <c r="T541" s="371"/>
    </row>
    <row r="542">
      <c r="A542" s="307"/>
      <c r="B542" s="307"/>
      <c r="C542" s="307"/>
      <c r="D542" s="307"/>
      <c r="E542" s="307"/>
      <c r="F542" s="371"/>
      <c r="G542" s="307"/>
      <c r="H542" s="307"/>
      <c r="I542" s="307"/>
      <c r="J542" s="371"/>
      <c r="K542" s="371"/>
      <c r="L542" s="371"/>
      <c r="M542" s="371"/>
      <c r="N542" s="371"/>
      <c r="O542" s="371"/>
      <c r="P542" s="371"/>
      <c r="Q542" s="371"/>
      <c r="R542" s="371"/>
      <c r="S542" s="371"/>
      <c r="T542" s="371"/>
    </row>
    <row r="543">
      <c r="A543" s="307"/>
      <c r="B543" s="307"/>
      <c r="C543" s="307"/>
      <c r="D543" s="307"/>
      <c r="E543" s="307"/>
      <c r="F543" s="371"/>
      <c r="G543" s="307"/>
      <c r="H543" s="307"/>
      <c r="I543" s="307"/>
      <c r="J543" s="371"/>
      <c r="K543" s="371"/>
      <c r="L543" s="371"/>
      <c r="M543" s="371"/>
      <c r="N543" s="371"/>
      <c r="O543" s="371"/>
      <c r="P543" s="371"/>
      <c r="Q543" s="371"/>
      <c r="R543" s="371"/>
      <c r="S543" s="371"/>
      <c r="T543" s="371"/>
    </row>
    <row r="544">
      <c r="A544" s="307"/>
      <c r="B544" s="307"/>
      <c r="C544" s="307"/>
      <c r="D544" s="307"/>
      <c r="E544" s="307"/>
      <c r="F544" s="371"/>
      <c r="G544" s="307"/>
      <c r="H544" s="307"/>
      <c r="I544" s="307"/>
      <c r="J544" s="371"/>
      <c r="K544" s="371"/>
      <c r="L544" s="371"/>
      <c r="M544" s="371"/>
      <c r="N544" s="371"/>
      <c r="O544" s="371"/>
      <c r="P544" s="371"/>
      <c r="Q544" s="371"/>
      <c r="R544" s="371"/>
      <c r="S544" s="371"/>
      <c r="T544" s="371"/>
    </row>
    <row r="545">
      <c r="A545" s="307"/>
      <c r="B545" s="307"/>
      <c r="C545" s="307"/>
      <c r="D545" s="307"/>
      <c r="E545" s="307"/>
      <c r="F545" s="371"/>
      <c r="G545" s="307"/>
      <c r="H545" s="307"/>
      <c r="I545" s="307"/>
      <c r="J545" s="371"/>
      <c r="K545" s="371"/>
      <c r="L545" s="371"/>
      <c r="M545" s="371"/>
      <c r="N545" s="371"/>
      <c r="O545" s="371"/>
      <c r="P545" s="371"/>
      <c r="Q545" s="371"/>
      <c r="R545" s="371"/>
      <c r="S545" s="371"/>
      <c r="T545" s="371"/>
    </row>
    <row r="546">
      <c r="A546" s="307"/>
      <c r="B546" s="307"/>
      <c r="C546" s="307"/>
      <c r="D546" s="307"/>
      <c r="E546" s="307"/>
      <c r="F546" s="371"/>
      <c r="G546" s="307"/>
      <c r="H546" s="307"/>
      <c r="I546" s="307"/>
      <c r="J546" s="371"/>
      <c r="K546" s="371"/>
      <c r="L546" s="371"/>
      <c r="M546" s="371"/>
      <c r="N546" s="371"/>
      <c r="O546" s="371"/>
      <c r="P546" s="371"/>
      <c r="Q546" s="371"/>
      <c r="R546" s="371"/>
      <c r="S546" s="371"/>
      <c r="T546" s="371"/>
    </row>
    <row r="547">
      <c r="A547" s="307"/>
      <c r="B547" s="307"/>
      <c r="C547" s="307"/>
      <c r="D547" s="307"/>
      <c r="E547" s="307"/>
      <c r="F547" s="371"/>
      <c r="G547" s="307"/>
      <c r="H547" s="307"/>
      <c r="I547" s="307"/>
      <c r="J547" s="371"/>
      <c r="K547" s="371"/>
      <c r="L547" s="371"/>
      <c r="M547" s="371"/>
      <c r="N547" s="371"/>
      <c r="O547" s="371"/>
      <c r="P547" s="371"/>
      <c r="Q547" s="371"/>
      <c r="R547" s="371"/>
      <c r="S547" s="371"/>
      <c r="T547" s="371"/>
    </row>
    <row r="548">
      <c r="A548" s="307"/>
      <c r="B548" s="307"/>
      <c r="C548" s="307"/>
      <c r="D548" s="307"/>
      <c r="E548" s="307"/>
      <c r="F548" s="371"/>
      <c r="G548" s="307"/>
      <c r="H548" s="307"/>
      <c r="I548" s="307"/>
      <c r="J548" s="371"/>
      <c r="K548" s="371"/>
      <c r="L548" s="371"/>
      <c r="M548" s="371"/>
      <c r="N548" s="371"/>
      <c r="O548" s="371"/>
      <c r="P548" s="371"/>
      <c r="Q548" s="371"/>
      <c r="R548" s="371"/>
      <c r="S548" s="371"/>
      <c r="T548" s="371"/>
    </row>
    <row r="549">
      <c r="A549" s="307"/>
      <c r="B549" s="307"/>
      <c r="C549" s="307"/>
      <c r="D549" s="307"/>
      <c r="E549" s="307"/>
      <c r="F549" s="371"/>
      <c r="G549" s="307"/>
      <c r="H549" s="307"/>
      <c r="I549" s="307"/>
      <c r="J549" s="371"/>
      <c r="K549" s="371"/>
      <c r="L549" s="371"/>
      <c r="M549" s="371"/>
      <c r="N549" s="371"/>
      <c r="O549" s="371"/>
      <c r="P549" s="371"/>
      <c r="Q549" s="371"/>
      <c r="R549" s="371"/>
      <c r="S549" s="371"/>
      <c r="T549" s="371"/>
    </row>
    <row r="550">
      <c r="A550" s="307"/>
      <c r="B550" s="307"/>
      <c r="C550" s="307"/>
      <c r="D550" s="307"/>
      <c r="E550" s="307"/>
      <c r="F550" s="371"/>
      <c r="G550" s="307"/>
      <c r="H550" s="307"/>
      <c r="I550" s="307"/>
      <c r="J550" s="371"/>
      <c r="K550" s="371"/>
      <c r="L550" s="371"/>
      <c r="M550" s="371"/>
      <c r="N550" s="371"/>
      <c r="O550" s="371"/>
      <c r="P550" s="371"/>
      <c r="Q550" s="371"/>
      <c r="R550" s="371"/>
      <c r="S550" s="371"/>
      <c r="T550" s="371"/>
    </row>
    <row r="551">
      <c r="A551" s="307"/>
      <c r="B551" s="307"/>
      <c r="C551" s="307"/>
      <c r="D551" s="307"/>
      <c r="E551" s="307"/>
      <c r="F551" s="371"/>
      <c r="G551" s="307"/>
      <c r="H551" s="307"/>
      <c r="I551" s="307"/>
      <c r="J551" s="371"/>
      <c r="K551" s="371"/>
      <c r="L551" s="371"/>
      <c r="M551" s="371"/>
      <c r="N551" s="371"/>
      <c r="O551" s="371"/>
      <c r="P551" s="371"/>
      <c r="Q551" s="371"/>
      <c r="R551" s="371"/>
      <c r="S551" s="371"/>
      <c r="T551" s="371"/>
    </row>
    <row r="552">
      <c r="A552" s="307"/>
      <c r="B552" s="307"/>
      <c r="C552" s="307"/>
      <c r="D552" s="307"/>
      <c r="E552" s="307"/>
      <c r="F552" s="371"/>
      <c r="G552" s="307"/>
      <c r="H552" s="307"/>
      <c r="I552" s="307"/>
      <c r="J552" s="371"/>
      <c r="K552" s="371"/>
      <c r="L552" s="371"/>
      <c r="M552" s="371"/>
      <c r="N552" s="371"/>
      <c r="O552" s="371"/>
      <c r="P552" s="371"/>
      <c r="Q552" s="371"/>
      <c r="R552" s="371"/>
      <c r="S552" s="371"/>
      <c r="T552" s="371"/>
    </row>
    <row r="553">
      <c r="A553" s="307"/>
      <c r="B553" s="307"/>
      <c r="C553" s="307"/>
      <c r="D553" s="307"/>
      <c r="E553" s="307"/>
      <c r="F553" s="371"/>
      <c r="G553" s="307"/>
      <c r="H553" s="307"/>
      <c r="I553" s="307"/>
      <c r="J553" s="371"/>
      <c r="K553" s="371"/>
      <c r="L553" s="371"/>
      <c r="M553" s="371"/>
      <c r="N553" s="371"/>
      <c r="O553" s="371"/>
      <c r="P553" s="371"/>
      <c r="Q553" s="371"/>
      <c r="R553" s="371"/>
      <c r="S553" s="371"/>
      <c r="T553" s="371"/>
    </row>
    <row r="554">
      <c r="A554" s="307"/>
      <c r="B554" s="307"/>
      <c r="C554" s="307"/>
      <c r="D554" s="307"/>
      <c r="E554" s="307"/>
      <c r="F554" s="371"/>
      <c r="G554" s="307"/>
      <c r="H554" s="307"/>
      <c r="I554" s="307"/>
      <c r="J554" s="371"/>
      <c r="K554" s="371"/>
      <c r="L554" s="371"/>
      <c r="M554" s="371"/>
      <c r="N554" s="371"/>
      <c r="O554" s="371"/>
      <c r="P554" s="371"/>
      <c r="Q554" s="371"/>
      <c r="R554" s="371"/>
      <c r="S554" s="371"/>
      <c r="T554" s="371"/>
    </row>
    <row r="555">
      <c r="A555" s="307"/>
      <c r="B555" s="307"/>
      <c r="C555" s="307"/>
      <c r="D555" s="307"/>
      <c r="E555" s="307"/>
      <c r="F555" s="371"/>
      <c r="G555" s="307"/>
      <c r="H555" s="307"/>
      <c r="I555" s="307"/>
      <c r="J555" s="371"/>
      <c r="K555" s="371"/>
      <c r="L555" s="371"/>
      <c r="M555" s="371"/>
      <c r="N555" s="371"/>
      <c r="O555" s="371"/>
      <c r="P555" s="371"/>
      <c r="Q555" s="371"/>
      <c r="R555" s="371"/>
      <c r="S555" s="371"/>
      <c r="T555" s="371"/>
    </row>
    <row r="556">
      <c r="A556" s="307"/>
      <c r="B556" s="307"/>
      <c r="C556" s="307"/>
      <c r="D556" s="307"/>
      <c r="E556" s="307"/>
      <c r="F556" s="371"/>
      <c r="G556" s="307"/>
      <c r="H556" s="307"/>
      <c r="I556" s="307"/>
      <c r="J556" s="371"/>
      <c r="K556" s="371"/>
      <c r="L556" s="371"/>
      <c r="M556" s="371"/>
      <c r="N556" s="371"/>
      <c r="O556" s="371"/>
      <c r="P556" s="371"/>
      <c r="Q556" s="371"/>
      <c r="R556" s="371"/>
      <c r="S556" s="371"/>
      <c r="T556" s="371"/>
    </row>
    <row r="557">
      <c r="A557" s="307"/>
      <c r="B557" s="307"/>
      <c r="C557" s="307"/>
      <c r="D557" s="307"/>
      <c r="E557" s="307"/>
      <c r="F557" s="371"/>
      <c r="G557" s="307"/>
      <c r="H557" s="307"/>
      <c r="I557" s="307"/>
      <c r="J557" s="371"/>
      <c r="K557" s="371"/>
      <c r="L557" s="371"/>
      <c r="M557" s="371"/>
      <c r="N557" s="371"/>
      <c r="O557" s="371"/>
      <c r="P557" s="371"/>
      <c r="Q557" s="371"/>
      <c r="R557" s="371"/>
      <c r="S557" s="371"/>
      <c r="T557" s="371"/>
    </row>
    <row r="558">
      <c r="A558" s="307"/>
      <c r="B558" s="307"/>
      <c r="C558" s="307"/>
      <c r="D558" s="307"/>
      <c r="E558" s="307"/>
      <c r="F558" s="371"/>
      <c r="G558" s="307"/>
      <c r="H558" s="307"/>
      <c r="I558" s="307"/>
      <c r="J558" s="371"/>
      <c r="K558" s="371"/>
      <c r="L558" s="371"/>
      <c r="M558" s="371"/>
      <c r="N558" s="371"/>
      <c r="O558" s="371"/>
      <c r="P558" s="371"/>
      <c r="Q558" s="371"/>
      <c r="R558" s="371"/>
      <c r="S558" s="371"/>
      <c r="T558" s="371"/>
    </row>
    <row r="559">
      <c r="A559" s="307"/>
      <c r="B559" s="307"/>
      <c r="C559" s="307"/>
      <c r="D559" s="307"/>
      <c r="E559" s="307"/>
      <c r="F559" s="371"/>
      <c r="G559" s="307"/>
      <c r="H559" s="307"/>
      <c r="I559" s="307"/>
      <c r="J559" s="371"/>
      <c r="K559" s="371"/>
      <c r="L559" s="371"/>
      <c r="M559" s="371"/>
      <c r="N559" s="371"/>
      <c r="O559" s="371"/>
      <c r="P559" s="371"/>
      <c r="Q559" s="371"/>
      <c r="R559" s="371"/>
      <c r="S559" s="371"/>
      <c r="T559" s="371"/>
    </row>
    <row r="560">
      <c r="A560" s="307"/>
      <c r="B560" s="307"/>
      <c r="C560" s="307"/>
      <c r="D560" s="307"/>
      <c r="E560" s="307"/>
      <c r="F560" s="371"/>
      <c r="G560" s="307"/>
      <c r="H560" s="307"/>
      <c r="I560" s="307"/>
      <c r="J560" s="371"/>
      <c r="K560" s="371"/>
      <c r="L560" s="371"/>
      <c r="M560" s="371"/>
      <c r="N560" s="371"/>
      <c r="O560" s="371"/>
      <c r="P560" s="371"/>
      <c r="Q560" s="371"/>
      <c r="R560" s="371"/>
      <c r="S560" s="371"/>
      <c r="T560" s="371"/>
    </row>
    <row r="561">
      <c r="A561" s="307"/>
      <c r="B561" s="307"/>
      <c r="C561" s="307"/>
      <c r="D561" s="307"/>
      <c r="E561" s="307"/>
      <c r="F561" s="371"/>
      <c r="G561" s="307"/>
      <c r="H561" s="307"/>
      <c r="I561" s="307"/>
      <c r="J561" s="371"/>
      <c r="K561" s="371"/>
      <c r="L561" s="371"/>
      <c r="M561" s="371"/>
      <c r="N561" s="371"/>
      <c r="O561" s="371"/>
      <c r="P561" s="371"/>
      <c r="Q561" s="371"/>
      <c r="R561" s="371"/>
      <c r="S561" s="371"/>
      <c r="T561" s="371"/>
    </row>
    <row r="562">
      <c r="A562" s="307"/>
      <c r="B562" s="307"/>
      <c r="C562" s="307"/>
      <c r="D562" s="307"/>
      <c r="E562" s="307"/>
      <c r="F562" s="371"/>
      <c r="G562" s="307"/>
      <c r="H562" s="307"/>
      <c r="I562" s="307"/>
      <c r="J562" s="371"/>
      <c r="K562" s="371"/>
      <c r="L562" s="371"/>
      <c r="M562" s="371"/>
      <c r="N562" s="371"/>
      <c r="O562" s="371"/>
      <c r="P562" s="371"/>
      <c r="Q562" s="371"/>
      <c r="R562" s="371"/>
      <c r="S562" s="371"/>
      <c r="T562" s="371"/>
    </row>
    <row r="563">
      <c r="A563" s="307"/>
      <c r="B563" s="307"/>
      <c r="C563" s="307"/>
      <c r="D563" s="307"/>
      <c r="E563" s="307"/>
      <c r="F563" s="371"/>
      <c r="G563" s="307"/>
      <c r="H563" s="307"/>
      <c r="I563" s="307"/>
      <c r="J563" s="371"/>
      <c r="K563" s="371"/>
      <c r="L563" s="371"/>
      <c r="M563" s="371"/>
      <c r="N563" s="371"/>
      <c r="O563" s="371"/>
      <c r="P563" s="371"/>
      <c r="Q563" s="371"/>
      <c r="R563" s="371"/>
      <c r="S563" s="371"/>
      <c r="T563" s="371"/>
    </row>
    <row r="564">
      <c r="A564" s="307"/>
      <c r="B564" s="307"/>
      <c r="C564" s="307"/>
      <c r="D564" s="307"/>
      <c r="E564" s="307"/>
      <c r="F564" s="371"/>
      <c r="G564" s="307"/>
      <c r="H564" s="307"/>
      <c r="I564" s="307"/>
      <c r="J564" s="371"/>
      <c r="K564" s="371"/>
      <c r="L564" s="371"/>
      <c r="M564" s="371"/>
      <c r="N564" s="371"/>
      <c r="O564" s="371"/>
      <c r="P564" s="371"/>
      <c r="Q564" s="371"/>
      <c r="R564" s="371"/>
      <c r="S564" s="371"/>
      <c r="T564" s="371"/>
    </row>
    <row r="565">
      <c r="A565" s="307"/>
      <c r="B565" s="307"/>
      <c r="C565" s="307"/>
      <c r="D565" s="307"/>
      <c r="E565" s="307"/>
      <c r="F565" s="371"/>
      <c r="G565" s="307"/>
      <c r="H565" s="307"/>
      <c r="I565" s="307"/>
      <c r="J565" s="371"/>
      <c r="K565" s="371"/>
      <c r="L565" s="371"/>
      <c r="M565" s="371"/>
      <c r="N565" s="371"/>
      <c r="O565" s="371"/>
      <c r="P565" s="371"/>
      <c r="Q565" s="371"/>
      <c r="R565" s="371"/>
      <c r="S565" s="371"/>
      <c r="T565" s="371"/>
    </row>
    <row r="566">
      <c r="A566" s="307"/>
      <c r="B566" s="307"/>
      <c r="C566" s="307"/>
      <c r="D566" s="307"/>
      <c r="E566" s="307"/>
      <c r="F566" s="371"/>
      <c r="G566" s="307"/>
      <c r="H566" s="307"/>
      <c r="I566" s="307"/>
      <c r="J566" s="371"/>
      <c r="K566" s="371"/>
      <c r="L566" s="371"/>
      <c r="M566" s="371"/>
      <c r="N566" s="371"/>
      <c r="O566" s="371"/>
      <c r="P566" s="371"/>
      <c r="Q566" s="371"/>
      <c r="R566" s="371"/>
      <c r="S566" s="371"/>
      <c r="T566" s="371"/>
    </row>
    <row r="567">
      <c r="A567" s="307"/>
      <c r="B567" s="307"/>
      <c r="C567" s="307"/>
      <c r="D567" s="307"/>
      <c r="E567" s="307"/>
      <c r="F567" s="371"/>
      <c r="G567" s="307"/>
      <c r="H567" s="307"/>
      <c r="I567" s="307"/>
      <c r="J567" s="371"/>
      <c r="K567" s="371"/>
      <c r="L567" s="371"/>
      <c r="M567" s="371"/>
      <c r="N567" s="371"/>
      <c r="O567" s="371"/>
      <c r="P567" s="371"/>
      <c r="Q567" s="371"/>
      <c r="R567" s="371"/>
      <c r="S567" s="371"/>
      <c r="T567" s="371"/>
    </row>
    <row r="568">
      <c r="A568" s="307"/>
      <c r="B568" s="307"/>
      <c r="C568" s="307"/>
      <c r="D568" s="307"/>
      <c r="E568" s="307"/>
      <c r="F568" s="371"/>
      <c r="G568" s="307"/>
      <c r="H568" s="307"/>
      <c r="I568" s="307"/>
      <c r="J568" s="371"/>
      <c r="K568" s="371"/>
      <c r="L568" s="371"/>
      <c r="M568" s="371"/>
      <c r="N568" s="371"/>
      <c r="O568" s="371"/>
      <c r="P568" s="371"/>
      <c r="Q568" s="371"/>
      <c r="R568" s="371"/>
      <c r="S568" s="371"/>
      <c r="T568" s="371"/>
    </row>
    <row r="569">
      <c r="A569" s="307"/>
      <c r="B569" s="307"/>
      <c r="C569" s="307"/>
      <c r="D569" s="307"/>
      <c r="E569" s="307"/>
      <c r="F569" s="371"/>
      <c r="G569" s="307"/>
      <c r="H569" s="307"/>
      <c r="I569" s="307"/>
      <c r="J569" s="371"/>
      <c r="K569" s="371"/>
      <c r="L569" s="371"/>
      <c r="M569" s="371"/>
      <c r="N569" s="371"/>
      <c r="O569" s="371"/>
      <c r="P569" s="371"/>
      <c r="Q569" s="371"/>
      <c r="R569" s="371"/>
      <c r="S569" s="371"/>
      <c r="T569" s="371"/>
    </row>
    <row r="570">
      <c r="A570" s="307"/>
      <c r="B570" s="307"/>
      <c r="C570" s="307"/>
      <c r="D570" s="307"/>
      <c r="E570" s="307"/>
      <c r="F570" s="371"/>
      <c r="G570" s="307"/>
      <c r="H570" s="307"/>
      <c r="I570" s="307"/>
      <c r="J570" s="371"/>
      <c r="K570" s="371"/>
      <c r="L570" s="371"/>
      <c r="M570" s="371"/>
      <c r="N570" s="371"/>
      <c r="O570" s="371"/>
      <c r="P570" s="371"/>
      <c r="Q570" s="371"/>
      <c r="R570" s="371"/>
      <c r="S570" s="371"/>
      <c r="T570" s="371"/>
    </row>
    <row r="571">
      <c r="A571" s="307"/>
      <c r="B571" s="307"/>
      <c r="C571" s="307"/>
      <c r="D571" s="307"/>
      <c r="E571" s="307"/>
      <c r="F571" s="371"/>
      <c r="G571" s="307"/>
      <c r="H571" s="307"/>
      <c r="I571" s="307"/>
      <c r="J571" s="371"/>
      <c r="K571" s="371"/>
      <c r="L571" s="371"/>
      <c r="M571" s="371"/>
      <c r="N571" s="371"/>
      <c r="O571" s="371"/>
      <c r="P571" s="371"/>
      <c r="Q571" s="371"/>
      <c r="R571" s="371"/>
      <c r="S571" s="371"/>
      <c r="T571" s="371"/>
    </row>
    <row r="572">
      <c r="A572" s="307"/>
      <c r="B572" s="307"/>
      <c r="C572" s="307"/>
      <c r="D572" s="307"/>
      <c r="E572" s="307"/>
      <c r="F572" s="371"/>
      <c r="G572" s="307"/>
      <c r="H572" s="307"/>
      <c r="I572" s="307"/>
      <c r="J572" s="371"/>
      <c r="K572" s="371"/>
      <c r="L572" s="371"/>
      <c r="M572" s="371"/>
      <c r="N572" s="371"/>
      <c r="O572" s="371"/>
      <c r="P572" s="371"/>
      <c r="Q572" s="371"/>
      <c r="R572" s="371"/>
      <c r="S572" s="371"/>
      <c r="T572" s="371"/>
    </row>
    <row r="573">
      <c r="A573" s="307"/>
      <c r="B573" s="307"/>
      <c r="C573" s="307"/>
      <c r="D573" s="307"/>
      <c r="E573" s="307"/>
      <c r="F573" s="371"/>
      <c r="G573" s="307"/>
      <c r="H573" s="307"/>
      <c r="I573" s="307"/>
      <c r="J573" s="371"/>
      <c r="K573" s="371"/>
      <c r="L573" s="371"/>
      <c r="M573" s="371"/>
      <c r="N573" s="371"/>
      <c r="O573" s="371"/>
      <c r="P573" s="371"/>
      <c r="Q573" s="371"/>
      <c r="R573" s="371"/>
      <c r="S573" s="371"/>
      <c r="T573" s="371"/>
    </row>
    <row r="574">
      <c r="A574" s="307"/>
      <c r="B574" s="307"/>
      <c r="C574" s="307"/>
      <c r="D574" s="307"/>
      <c r="E574" s="307"/>
      <c r="F574" s="371"/>
      <c r="G574" s="307"/>
      <c r="H574" s="307"/>
      <c r="I574" s="307"/>
      <c r="J574" s="371"/>
      <c r="K574" s="371"/>
      <c r="L574" s="371"/>
      <c r="M574" s="371"/>
      <c r="N574" s="371"/>
      <c r="O574" s="371"/>
      <c r="P574" s="371"/>
      <c r="Q574" s="371"/>
      <c r="R574" s="371"/>
      <c r="S574" s="371"/>
      <c r="T574" s="371"/>
    </row>
    <row r="575">
      <c r="A575" s="307"/>
      <c r="B575" s="307"/>
      <c r="C575" s="307"/>
      <c r="D575" s="307"/>
      <c r="E575" s="307"/>
      <c r="F575" s="371"/>
      <c r="G575" s="307"/>
      <c r="H575" s="307"/>
      <c r="I575" s="307"/>
      <c r="J575" s="371"/>
      <c r="K575" s="371"/>
      <c r="L575" s="371"/>
      <c r="M575" s="371"/>
      <c r="N575" s="371"/>
      <c r="O575" s="371"/>
      <c r="P575" s="371"/>
      <c r="Q575" s="371"/>
      <c r="R575" s="371"/>
      <c r="S575" s="371"/>
      <c r="T575" s="371"/>
    </row>
    <row r="576">
      <c r="A576" s="307"/>
      <c r="B576" s="307"/>
      <c r="C576" s="307"/>
      <c r="D576" s="307"/>
      <c r="E576" s="307"/>
      <c r="F576" s="371"/>
      <c r="G576" s="307"/>
      <c r="H576" s="307"/>
      <c r="I576" s="307"/>
      <c r="J576" s="371"/>
      <c r="K576" s="371"/>
      <c r="L576" s="371"/>
      <c r="M576" s="371"/>
      <c r="N576" s="371"/>
      <c r="O576" s="371"/>
      <c r="P576" s="371"/>
      <c r="Q576" s="371"/>
      <c r="R576" s="371"/>
      <c r="S576" s="371"/>
      <c r="T576" s="371"/>
    </row>
    <row r="577">
      <c r="A577" s="307"/>
      <c r="B577" s="307"/>
      <c r="C577" s="307"/>
      <c r="D577" s="307"/>
      <c r="E577" s="307"/>
      <c r="F577" s="371"/>
      <c r="G577" s="307"/>
      <c r="H577" s="307"/>
      <c r="I577" s="307"/>
      <c r="J577" s="371"/>
      <c r="K577" s="371"/>
      <c r="L577" s="371"/>
      <c r="M577" s="371"/>
      <c r="N577" s="371"/>
      <c r="O577" s="371"/>
      <c r="P577" s="371"/>
      <c r="Q577" s="371"/>
      <c r="R577" s="371"/>
      <c r="S577" s="371"/>
      <c r="T577" s="371"/>
    </row>
    <row r="578">
      <c r="A578" s="307"/>
      <c r="B578" s="307"/>
      <c r="C578" s="307"/>
      <c r="D578" s="307"/>
      <c r="E578" s="307"/>
      <c r="F578" s="371"/>
      <c r="G578" s="307"/>
      <c r="H578" s="307"/>
      <c r="I578" s="307"/>
      <c r="J578" s="371"/>
      <c r="K578" s="371"/>
      <c r="L578" s="371"/>
      <c r="M578" s="371"/>
      <c r="N578" s="371"/>
      <c r="O578" s="371"/>
      <c r="P578" s="371"/>
      <c r="Q578" s="371"/>
      <c r="R578" s="371"/>
      <c r="S578" s="371"/>
      <c r="T578" s="371"/>
    </row>
    <row r="579">
      <c r="A579" s="307"/>
      <c r="B579" s="307"/>
      <c r="C579" s="307"/>
      <c r="D579" s="307"/>
      <c r="E579" s="307"/>
      <c r="F579" s="371"/>
      <c r="G579" s="307"/>
      <c r="H579" s="307"/>
      <c r="I579" s="307"/>
      <c r="J579" s="371"/>
      <c r="K579" s="371"/>
      <c r="L579" s="371"/>
      <c r="M579" s="371"/>
      <c r="N579" s="371"/>
      <c r="O579" s="371"/>
      <c r="P579" s="371"/>
      <c r="Q579" s="371"/>
      <c r="R579" s="371"/>
      <c r="S579" s="371"/>
      <c r="T579" s="371"/>
    </row>
    <row r="580">
      <c r="A580" s="307"/>
      <c r="B580" s="307"/>
      <c r="C580" s="307"/>
      <c r="D580" s="307"/>
      <c r="E580" s="307"/>
      <c r="F580" s="371"/>
      <c r="G580" s="307"/>
      <c r="H580" s="307"/>
      <c r="I580" s="307"/>
      <c r="J580" s="371"/>
      <c r="K580" s="371"/>
      <c r="L580" s="371"/>
      <c r="M580" s="371"/>
      <c r="N580" s="371"/>
      <c r="O580" s="371"/>
      <c r="P580" s="371"/>
      <c r="Q580" s="371"/>
      <c r="R580" s="371"/>
      <c r="S580" s="371"/>
      <c r="T580" s="371"/>
    </row>
    <row r="581">
      <c r="A581" s="307"/>
      <c r="B581" s="307"/>
      <c r="C581" s="307"/>
      <c r="D581" s="307"/>
      <c r="E581" s="307"/>
      <c r="F581" s="371"/>
      <c r="G581" s="307"/>
      <c r="H581" s="307"/>
      <c r="I581" s="307"/>
      <c r="J581" s="371"/>
      <c r="K581" s="371"/>
      <c r="L581" s="371"/>
      <c r="M581" s="371"/>
      <c r="N581" s="371"/>
      <c r="O581" s="371"/>
      <c r="P581" s="371"/>
      <c r="Q581" s="371"/>
      <c r="R581" s="371"/>
      <c r="S581" s="371"/>
      <c r="T581" s="371"/>
    </row>
    <row r="582">
      <c r="A582" s="307"/>
      <c r="B582" s="307"/>
      <c r="C582" s="307"/>
      <c r="D582" s="307"/>
      <c r="E582" s="307"/>
      <c r="F582" s="371"/>
      <c r="G582" s="307"/>
      <c r="H582" s="307"/>
      <c r="I582" s="307"/>
      <c r="J582" s="371"/>
      <c r="K582" s="371"/>
      <c r="L582" s="371"/>
      <c r="M582" s="371"/>
      <c r="N582" s="371"/>
      <c r="O582" s="371"/>
      <c r="P582" s="371"/>
      <c r="Q582" s="371"/>
      <c r="R582" s="371"/>
      <c r="S582" s="371"/>
      <c r="T582" s="371"/>
    </row>
    <row r="583">
      <c r="A583" s="307"/>
      <c r="B583" s="307"/>
      <c r="C583" s="307"/>
      <c r="D583" s="307"/>
      <c r="E583" s="307"/>
      <c r="F583" s="371"/>
      <c r="G583" s="307"/>
      <c r="H583" s="307"/>
      <c r="I583" s="307"/>
      <c r="J583" s="371"/>
      <c r="K583" s="371"/>
      <c r="L583" s="371"/>
      <c r="M583" s="371"/>
      <c r="N583" s="371"/>
      <c r="O583" s="371"/>
      <c r="P583" s="371"/>
      <c r="Q583" s="371"/>
      <c r="R583" s="371"/>
      <c r="S583" s="371"/>
      <c r="T583" s="371"/>
    </row>
    <row r="584">
      <c r="A584" s="307"/>
      <c r="B584" s="307"/>
      <c r="C584" s="307"/>
      <c r="D584" s="307"/>
      <c r="E584" s="307"/>
      <c r="F584" s="371"/>
      <c r="G584" s="307"/>
      <c r="H584" s="307"/>
      <c r="I584" s="307"/>
      <c r="J584" s="371"/>
      <c r="K584" s="371"/>
      <c r="L584" s="371"/>
      <c r="M584" s="371"/>
      <c r="N584" s="371"/>
      <c r="O584" s="371"/>
      <c r="P584" s="371"/>
      <c r="Q584" s="371"/>
      <c r="R584" s="371"/>
      <c r="S584" s="371"/>
      <c r="T584" s="371"/>
    </row>
    <row r="585">
      <c r="A585" s="307"/>
      <c r="B585" s="307"/>
      <c r="C585" s="307"/>
      <c r="D585" s="307"/>
      <c r="E585" s="307"/>
      <c r="F585" s="371"/>
      <c r="G585" s="307"/>
      <c r="H585" s="307"/>
      <c r="I585" s="307"/>
      <c r="J585" s="371"/>
      <c r="K585" s="371"/>
      <c r="L585" s="371"/>
      <c r="M585" s="371"/>
      <c r="N585" s="371"/>
      <c r="O585" s="371"/>
      <c r="P585" s="371"/>
      <c r="Q585" s="371"/>
      <c r="R585" s="371"/>
      <c r="S585" s="371"/>
      <c r="T585" s="371"/>
    </row>
    <row r="586">
      <c r="A586" s="307"/>
      <c r="B586" s="307"/>
      <c r="C586" s="307"/>
      <c r="D586" s="307"/>
      <c r="E586" s="307"/>
      <c r="F586" s="371"/>
      <c r="G586" s="307"/>
      <c r="H586" s="307"/>
      <c r="I586" s="307"/>
      <c r="J586" s="371"/>
      <c r="K586" s="371"/>
      <c r="L586" s="371"/>
      <c r="M586" s="371"/>
      <c r="N586" s="371"/>
      <c r="O586" s="371"/>
      <c r="P586" s="371"/>
      <c r="Q586" s="371"/>
      <c r="R586" s="371"/>
      <c r="S586" s="371"/>
      <c r="T586" s="371"/>
    </row>
    <row r="587">
      <c r="A587" s="307"/>
      <c r="B587" s="307"/>
      <c r="C587" s="307"/>
      <c r="D587" s="307"/>
      <c r="E587" s="307"/>
      <c r="F587" s="371"/>
      <c r="G587" s="307"/>
      <c r="H587" s="307"/>
      <c r="I587" s="307"/>
      <c r="J587" s="371"/>
      <c r="K587" s="371"/>
      <c r="L587" s="371"/>
      <c r="M587" s="371"/>
      <c r="N587" s="371"/>
      <c r="O587" s="371"/>
      <c r="P587" s="371"/>
      <c r="Q587" s="371"/>
      <c r="R587" s="371"/>
      <c r="S587" s="371"/>
      <c r="T587" s="371"/>
    </row>
    <row r="588">
      <c r="A588" s="307"/>
      <c r="B588" s="307"/>
      <c r="C588" s="307"/>
      <c r="D588" s="307"/>
      <c r="E588" s="307"/>
      <c r="F588" s="371"/>
      <c r="G588" s="307"/>
      <c r="H588" s="307"/>
      <c r="I588" s="307"/>
      <c r="J588" s="371"/>
      <c r="K588" s="371"/>
      <c r="L588" s="371"/>
      <c r="M588" s="371"/>
      <c r="N588" s="371"/>
      <c r="O588" s="371"/>
      <c r="P588" s="371"/>
      <c r="Q588" s="371"/>
      <c r="R588" s="371"/>
      <c r="S588" s="371"/>
      <c r="T588" s="371"/>
    </row>
    <row r="589">
      <c r="A589" s="307"/>
      <c r="B589" s="307"/>
      <c r="C589" s="307"/>
      <c r="D589" s="307"/>
      <c r="E589" s="307"/>
      <c r="F589" s="371"/>
      <c r="G589" s="307"/>
      <c r="H589" s="307"/>
      <c r="I589" s="307"/>
      <c r="J589" s="371"/>
      <c r="K589" s="371"/>
      <c r="L589" s="371"/>
      <c r="M589" s="371"/>
      <c r="N589" s="371"/>
      <c r="O589" s="371"/>
      <c r="P589" s="371"/>
      <c r="Q589" s="371"/>
      <c r="R589" s="371"/>
      <c r="S589" s="371"/>
      <c r="T589" s="371"/>
    </row>
    <row r="590">
      <c r="A590" s="307"/>
      <c r="B590" s="307"/>
      <c r="C590" s="307"/>
      <c r="D590" s="307"/>
      <c r="E590" s="307"/>
      <c r="F590" s="371"/>
      <c r="G590" s="307"/>
      <c r="H590" s="307"/>
      <c r="I590" s="307"/>
      <c r="J590" s="371"/>
      <c r="K590" s="371"/>
      <c r="L590" s="371"/>
      <c r="M590" s="371"/>
      <c r="N590" s="371"/>
      <c r="O590" s="371"/>
      <c r="P590" s="371"/>
      <c r="Q590" s="371"/>
      <c r="R590" s="371"/>
      <c r="S590" s="371"/>
      <c r="T590" s="371"/>
    </row>
    <row r="591">
      <c r="A591" s="307"/>
      <c r="B591" s="307"/>
      <c r="C591" s="307"/>
      <c r="D591" s="307"/>
      <c r="E591" s="307"/>
      <c r="F591" s="371"/>
      <c r="G591" s="307"/>
      <c r="H591" s="307"/>
      <c r="I591" s="307"/>
      <c r="J591" s="371"/>
      <c r="K591" s="371"/>
      <c r="L591" s="371"/>
      <c r="M591" s="371"/>
      <c r="N591" s="371"/>
      <c r="O591" s="371"/>
      <c r="P591" s="371"/>
      <c r="Q591" s="371"/>
      <c r="R591" s="371"/>
      <c r="S591" s="371"/>
      <c r="T591" s="371"/>
    </row>
    <row r="592">
      <c r="A592" s="307"/>
      <c r="B592" s="307"/>
      <c r="C592" s="307"/>
      <c r="D592" s="307"/>
      <c r="E592" s="307"/>
      <c r="F592" s="371"/>
      <c r="G592" s="307"/>
      <c r="H592" s="307"/>
      <c r="I592" s="307"/>
      <c r="J592" s="371"/>
      <c r="K592" s="371"/>
      <c r="L592" s="371"/>
      <c r="M592" s="371"/>
      <c r="N592" s="371"/>
      <c r="O592" s="371"/>
      <c r="P592" s="371"/>
      <c r="Q592" s="371"/>
      <c r="R592" s="371"/>
      <c r="S592" s="371"/>
      <c r="T592" s="371"/>
    </row>
    <row r="593">
      <c r="A593" s="307"/>
      <c r="B593" s="307"/>
      <c r="C593" s="307"/>
      <c r="D593" s="307"/>
      <c r="E593" s="307"/>
      <c r="F593" s="371"/>
      <c r="G593" s="307"/>
      <c r="H593" s="307"/>
      <c r="I593" s="307"/>
      <c r="J593" s="371"/>
      <c r="K593" s="371"/>
      <c r="L593" s="371"/>
      <c r="M593" s="371"/>
      <c r="N593" s="371"/>
      <c r="O593" s="371"/>
      <c r="P593" s="371"/>
      <c r="Q593" s="371"/>
      <c r="R593" s="371"/>
      <c r="S593" s="371"/>
      <c r="T593" s="371"/>
    </row>
    <row r="594">
      <c r="A594" s="307"/>
      <c r="B594" s="307"/>
      <c r="C594" s="307"/>
      <c r="D594" s="307"/>
      <c r="E594" s="307"/>
      <c r="F594" s="371"/>
      <c r="G594" s="307"/>
      <c r="H594" s="307"/>
      <c r="I594" s="307"/>
      <c r="J594" s="371"/>
      <c r="K594" s="371"/>
      <c r="L594" s="371"/>
      <c r="M594" s="371"/>
      <c r="N594" s="371"/>
      <c r="O594" s="371"/>
      <c r="P594" s="371"/>
      <c r="Q594" s="371"/>
      <c r="R594" s="371"/>
      <c r="S594" s="371"/>
      <c r="T594" s="371"/>
    </row>
    <row r="595">
      <c r="A595" s="307"/>
      <c r="B595" s="307"/>
      <c r="C595" s="307"/>
      <c r="D595" s="307"/>
      <c r="E595" s="307"/>
      <c r="F595" s="371"/>
      <c r="G595" s="307"/>
      <c r="H595" s="307"/>
      <c r="I595" s="307"/>
      <c r="J595" s="371"/>
      <c r="K595" s="371"/>
      <c r="L595" s="371"/>
      <c r="M595" s="371"/>
      <c r="N595" s="371"/>
      <c r="O595" s="371"/>
      <c r="P595" s="371"/>
      <c r="Q595" s="371"/>
      <c r="R595" s="371"/>
      <c r="S595" s="371"/>
      <c r="T595" s="371"/>
    </row>
    <row r="596">
      <c r="A596" s="307"/>
      <c r="B596" s="307"/>
      <c r="C596" s="307"/>
      <c r="D596" s="307"/>
      <c r="E596" s="307"/>
      <c r="F596" s="371"/>
      <c r="G596" s="307"/>
      <c r="H596" s="307"/>
      <c r="I596" s="307"/>
      <c r="J596" s="371"/>
      <c r="K596" s="371"/>
      <c r="L596" s="371"/>
      <c r="M596" s="371"/>
      <c r="N596" s="371"/>
      <c r="O596" s="371"/>
      <c r="P596" s="371"/>
      <c r="Q596" s="371"/>
      <c r="R596" s="371"/>
      <c r="S596" s="371"/>
      <c r="T596" s="371"/>
    </row>
    <row r="597">
      <c r="A597" s="307"/>
      <c r="B597" s="307"/>
      <c r="C597" s="307"/>
      <c r="D597" s="307"/>
      <c r="E597" s="307"/>
      <c r="F597" s="371"/>
      <c r="G597" s="307"/>
      <c r="H597" s="307"/>
      <c r="I597" s="307"/>
      <c r="J597" s="371"/>
      <c r="K597" s="371"/>
      <c r="L597" s="371"/>
      <c r="M597" s="371"/>
      <c r="N597" s="371"/>
      <c r="O597" s="371"/>
      <c r="P597" s="371"/>
      <c r="Q597" s="371"/>
      <c r="R597" s="371"/>
      <c r="S597" s="371"/>
      <c r="T597" s="371"/>
    </row>
    <row r="598">
      <c r="A598" s="307"/>
      <c r="B598" s="307"/>
      <c r="C598" s="307"/>
      <c r="D598" s="307"/>
      <c r="E598" s="307"/>
      <c r="F598" s="371"/>
      <c r="G598" s="307"/>
      <c r="H598" s="307"/>
      <c r="I598" s="307"/>
      <c r="J598" s="371"/>
      <c r="K598" s="371"/>
      <c r="L598" s="371"/>
      <c r="M598" s="371"/>
      <c r="N598" s="371"/>
      <c r="O598" s="371"/>
      <c r="P598" s="371"/>
      <c r="Q598" s="371"/>
      <c r="R598" s="371"/>
      <c r="S598" s="371"/>
      <c r="T598" s="371"/>
    </row>
    <row r="599">
      <c r="A599" s="307"/>
      <c r="B599" s="307"/>
      <c r="C599" s="307"/>
      <c r="D599" s="307"/>
      <c r="E599" s="307"/>
      <c r="F599" s="371"/>
      <c r="G599" s="307"/>
      <c r="H599" s="307"/>
      <c r="I599" s="307"/>
      <c r="J599" s="371"/>
      <c r="K599" s="371"/>
      <c r="L599" s="371"/>
      <c r="M599" s="371"/>
      <c r="N599" s="371"/>
      <c r="O599" s="371"/>
      <c r="P599" s="371"/>
      <c r="Q599" s="371"/>
      <c r="R599" s="371"/>
      <c r="S599" s="371"/>
      <c r="T599" s="371"/>
    </row>
    <row r="600">
      <c r="A600" s="307"/>
      <c r="B600" s="307"/>
      <c r="C600" s="307"/>
      <c r="D600" s="307"/>
      <c r="E600" s="307"/>
      <c r="F600" s="371"/>
      <c r="G600" s="307"/>
      <c r="H600" s="307"/>
      <c r="I600" s="307"/>
      <c r="J600" s="371"/>
      <c r="K600" s="371"/>
      <c r="L600" s="371"/>
      <c r="M600" s="371"/>
      <c r="N600" s="371"/>
      <c r="O600" s="371"/>
      <c r="P600" s="371"/>
      <c r="Q600" s="371"/>
      <c r="R600" s="371"/>
      <c r="S600" s="371"/>
      <c r="T600" s="371"/>
    </row>
    <row r="601">
      <c r="A601" s="307"/>
      <c r="B601" s="307"/>
      <c r="C601" s="307"/>
      <c r="D601" s="307"/>
      <c r="E601" s="307"/>
      <c r="F601" s="371"/>
      <c r="G601" s="307"/>
      <c r="H601" s="307"/>
      <c r="I601" s="307"/>
      <c r="J601" s="371"/>
      <c r="K601" s="371"/>
      <c r="L601" s="371"/>
      <c r="M601" s="371"/>
      <c r="N601" s="371"/>
      <c r="O601" s="371"/>
      <c r="P601" s="371"/>
      <c r="Q601" s="371"/>
      <c r="R601" s="371"/>
      <c r="S601" s="371"/>
      <c r="T601" s="371"/>
    </row>
    <row r="602">
      <c r="A602" s="307"/>
      <c r="B602" s="307"/>
      <c r="C602" s="307"/>
      <c r="D602" s="307"/>
      <c r="E602" s="307"/>
      <c r="F602" s="371"/>
      <c r="G602" s="307"/>
      <c r="H602" s="307"/>
      <c r="I602" s="307"/>
      <c r="J602" s="371"/>
      <c r="K602" s="371"/>
      <c r="L602" s="371"/>
      <c r="M602" s="371"/>
      <c r="N602" s="371"/>
      <c r="O602" s="371"/>
      <c r="P602" s="371"/>
      <c r="Q602" s="371"/>
      <c r="R602" s="371"/>
      <c r="S602" s="371"/>
      <c r="T602" s="371"/>
    </row>
    <row r="603">
      <c r="A603" s="307"/>
      <c r="B603" s="307"/>
      <c r="C603" s="307"/>
      <c r="D603" s="307"/>
      <c r="E603" s="307"/>
      <c r="F603" s="371"/>
      <c r="G603" s="307"/>
      <c r="H603" s="307"/>
      <c r="I603" s="307"/>
      <c r="J603" s="371"/>
      <c r="K603" s="371"/>
      <c r="L603" s="371"/>
      <c r="M603" s="371"/>
      <c r="N603" s="371"/>
      <c r="O603" s="371"/>
      <c r="P603" s="371"/>
      <c r="Q603" s="371"/>
      <c r="R603" s="371"/>
      <c r="S603" s="371"/>
      <c r="T603" s="371"/>
    </row>
    <row r="604">
      <c r="A604" s="307"/>
      <c r="B604" s="307"/>
      <c r="C604" s="307"/>
      <c r="D604" s="307"/>
      <c r="E604" s="307"/>
      <c r="F604" s="371"/>
      <c r="G604" s="307"/>
      <c r="H604" s="307"/>
      <c r="I604" s="307"/>
      <c r="J604" s="371"/>
      <c r="K604" s="371"/>
      <c r="L604" s="371"/>
      <c r="M604" s="371"/>
      <c r="N604" s="371"/>
      <c r="O604" s="371"/>
      <c r="P604" s="371"/>
      <c r="Q604" s="371"/>
      <c r="R604" s="371"/>
      <c r="S604" s="371"/>
      <c r="T604" s="371"/>
    </row>
    <row r="605">
      <c r="A605" s="307"/>
      <c r="B605" s="307"/>
      <c r="C605" s="307"/>
      <c r="D605" s="307"/>
      <c r="E605" s="307"/>
      <c r="F605" s="371"/>
      <c r="G605" s="307"/>
      <c r="H605" s="307"/>
      <c r="I605" s="307"/>
      <c r="J605" s="371"/>
      <c r="K605" s="371"/>
      <c r="L605" s="371"/>
      <c r="M605" s="371"/>
      <c r="N605" s="371"/>
      <c r="O605" s="371"/>
      <c r="P605" s="371"/>
      <c r="Q605" s="371"/>
      <c r="R605" s="371"/>
      <c r="S605" s="371"/>
      <c r="T605" s="371"/>
    </row>
    <row r="606">
      <c r="A606" s="307"/>
      <c r="B606" s="307"/>
      <c r="C606" s="307"/>
      <c r="D606" s="307"/>
      <c r="E606" s="307"/>
      <c r="F606" s="371"/>
      <c r="G606" s="307"/>
      <c r="H606" s="307"/>
      <c r="I606" s="307"/>
      <c r="J606" s="371"/>
      <c r="K606" s="371"/>
      <c r="L606" s="371"/>
      <c r="M606" s="371"/>
      <c r="N606" s="371"/>
      <c r="O606" s="371"/>
      <c r="P606" s="371"/>
      <c r="Q606" s="371"/>
      <c r="R606" s="371"/>
      <c r="S606" s="371"/>
      <c r="T606" s="371"/>
    </row>
    <row r="607">
      <c r="A607" s="307"/>
      <c r="B607" s="307"/>
      <c r="C607" s="307"/>
      <c r="D607" s="307"/>
      <c r="E607" s="307"/>
      <c r="F607" s="371"/>
      <c r="G607" s="307"/>
      <c r="H607" s="307"/>
      <c r="I607" s="307"/>
      <c r="J607" s="371"/>
      <c r="K607" s="371"/>
      <c r="L607" s="371"/>
      <c r="M607" s="371"/>
      <c r="N607" s="371"/>
      <c r="O607" s="371"/>
      <c r="P607" s="371"/>
      <c r="Q607" s="371"/>
      <c r="R607" s="371"/>
      <c r="S607" s="371"/>
      <c r="T607" s="371"/>
    </row>
    <row r="608">
      <c r="A608" s="307"/>
      <c r="B608" s="307"/>
      <c r="C608" s="307"/>
      <c r="D608" s="307"/>
      <c r="E608" s="307"/>
      <c r="F608" s="371"/>
      <c r="G608" s="307"/>
      <c r="H608" s="307"/>
      <c r="I608" s="307"/>
      <c r="J608" s="371"/>
      <c r="K608" s="371"/>
      <c r="L608" s="371"/>
      <c r="M608" s="371"/>
      <c r="N608" s="371"/>
      <c r="O608" s="371"/>
      <c r="P608" s="371"/>
      <c r="Q608" s="371"/>
      <c r="R608" s="371"/>
      <c r="S608" s="371"/>
      <c r="T608" s="371"/>
    </row>
    <row r="609">
      <c r="A609" s="307"/>
      <c r="B609" s="307"/>
      <c r="C609" s="307"/>
      <c r="D609" s="307"/>
      <c r="E609" s="307"/>
      <c r="F609" s="371"/>
      <c r="G609" s="307"/>
      <c r="H609" s="307"/>
      <c r="I609" s="307"/>
      <c r="J609" s="371"/>
      <c r="K609" s="371"/>
      <c r="L609" s="371"/>
      <c r="M609" s="371"/>
      <c r="N609" s="371"/>
      <c r="O609" s="371"/>
      <c r="P609" s="371"/>
      <c r="Q609" s="371"/>
      <c r="R609" s="371"/>
      <c r="S609" s="371"/>
      <c r="T609" s="371"/>
    </row>
    <row r="610">
      <c r="A610" s="307"/>
      <c r="B610" s="307"/>
      <c r="C610" s="307"/>
      <c r="D610" s="307"/>
      <c r="E610" s="307"/>
      <c r="F610" s="371"/>
      <c r="G610" s="307"/>
      <c r="H610" s="307"/>
      <c r="I610" s="307"/>
      <c r="J610" s="371"/>
      <c r="K610" s="371"/>
      <c r="L610" s="371"/>
      <c r="M610" s="371"/>
      <c r="N610" s="371"/>
      <c r="O610" s="371"/>
      <c r="P610" s="371"/>
      <c r="Q610" s="371"/>
      <c r="R610" s="371"/>
      <c r="S610" s="371"/>
      <c r="T610" s="371"/>
    </row>
    <row r="611">
      <c r="A611" s="307"/>
      <c r="B611" s="307"/>
      <c r="C611" s="307"/>
      <c r="D611" s="307"/>
      <c r="E611" s="307"/>
      <c r="F611" s="371"/>
      <c r="G611" s="307"/>
      <c r="H611" s="307"/>
      <c r="I611" s="307"/>
      <c r="J611" s="371"/>
      <c r="K611" s="371"/>
      <c r="L611" s="371"/>
      <c r="M611" s="371"/>
      <c r="N611" s="371"/>
      <c r="O611" s="371"/>
      <c r="P611" s="371"/>
      <c r="Q611" s="371"/>
      <c r="R611" s="371"/>
      <c r="S611" s="371"/>
      <c r="T611" s="371"/>
    </row>
    <row r="612">
      <c r="A612" s="307"/>
      <c r="B612" s="307"/>
      <c r="C612" s="307"/>
      <c r="D612" s="307"/>
      <c r="E612" s="307"/>
      <c r="F612" s="371"/>
      <c r="G612" s="307"/>
      <c r="H612" s="307"/>
      <c r="I612" s="307"/>
      <c r="J612" s="371"/>
      <c r="K612" s="371"/>
      <c r="L612" s="371"/>
      <c r="M612" s="371"/>
      <c r="N612" s="371"/>
      <c r="O612" s="371"/>
      <c r="P612" s="371"/>
      <c r="Q612" s="371"/>
      <c r="R612" s="371"/>
      <c r="S612" s="371"/>
      <c r="T612" s="371"/>
    </row>
    <row r="613">
      <c r="A613" s="307"/>
      <c r="B613" s="307"/>
      <c r="C613" s="307"/>
      <c r="D613" s="307"/>
      <c r="E613" s="307"/>
      <c r="F613" s="371"/>
      <c r="G613" s="307"/>
      <c r="H613" s="307"/>
      <c r="I613" s="307"/>
      <c r="J613" s="371"/>
      <c r="K613" s="371"/>
      <c r="L613" s="371"/>
      <c r="M613" s="371"/>
      <c r="N613" s="371"/>
      <c r="O613" s="371"/>
      <c r="P613" s="371"/>
      <c r="Q613" s="371"/>
      <c r="R613" s="371"/>
      <c r="S613" s="371"/>
      <c r="T613" s="371"/>
    </row>
    <row r="614">
      <c r="A614" s="307"/>
      <c r="B614" s="307"/>
      <c r="C614" s="307"/>
      <c r="D614" s="307"/>
      <c r="E614" s="307"/>
      <c r="F614" s="371"/>
      <c r="G614" s="307"/>
      <c r="H614" s="307"/>
      <c r="I614" s="307"/>
      <c r="J614" s="371"/>
      <c r="K614" s="371"/>
      <c r="L614" s="371"/>
      <c r="M614" s="371"/>
      <c r="N614" s="371"/>
      <c r="O614" s="371"/>
      <c r="P614" s="371"/>
      <c r="Q614" s="371"/>
      <c r="R614" s="371"/>
      <c r="S614" s="371"/>
      <c r="T614" s="371"/>
    </row>
    <row r="615">
      <c r="A615" s="307"/>
      <c r="B615" s="307"/>
      <c r="C615" s="307"/>
      <c r="D615" s="307"/>
      <c r="E615" s="307"/>
      <c r="F615" s="371"/>
      <c r="G615" s="307"/>
      <c r="H615" s="307"/>
      <c r="I615" s="307"/>
      <c r="J615" s="371"/>
      <c r="K615" s="371"/>
      <c r="L615" s="371"/>
      <c r="M615" s="371"/>
      <c r="N615" s="371"/>
      <c r="O615" s="371"/>
      <c r="P615" s="371"/>
      <c r="Q615" s="371"/>
      <c r="R615" s="371"/>
      <c r="S615" s="371"/>
      <c r="T615" s="371"/>
    </row>
    <row r="616">
      <c r="A616" s="307"/>
      <c r="B616" s="307"/>
      <c r="C616" s="307"/>
      <c r="D616" s="307"/>
      <c r="E616" s="307"/>
      <c r="F616" s="371"/>
      <c r="G616" s="307"/>
      <c r="H616" s="307"/>
      <c r="I616" s="307"/>
      <c r="J616" s="371"/>
      <c r="K616" s="371"/>
      <c r="L616" s="371"/>
      <c r="M616" s="371"/>
      <c r="N616" s="371"/>
      <c r="O616" s="371"/>
      <c r="P616" s="371"/>
      <c r="Q616" s="371"/>
      <c r="R616" s="371"/>
      <c r="S616" s="371"/>
      <c r="T616" s="371"/>
    </row>
    <row r="617">
      <c r="A617" s="307"/>
      <c r="B617" s="307"/>
      <c r="C617" s="307"/>
      <c r="D617" s="307"/>
      <c r="E617" s="307"/>
      <c r="F617" s="371"/>
      <c r="G617" s="307"/>
      <c r="H617" s="307"/>
      <c r="I617" s="307"/>
      <c r="J617" s="371"/>
      <c r="K617" s="371"/>
      <c r="L617" s="371"/>
      <c r="M617" s="371"/>
      <c r="N617" s="371"/>
      <c r="O617" s="371"/>
      <c r="P617" s="371"/>
      <c r="Q617" s="371"/>
      <c r="R617" s="371"/>
      <c r="S617" s="371"/>
      <c r="T617" s="371"/>
    </row>
    <row r="618">
      <c r="A618" s="307"/>
      <c r="B618" s="307"/>
      <c r="C618" s="307"/>
      <c r="D618" s="307"/>
      <c r="E618" s="307"/>
      <c r="F618" s="371"/>
      <c r="G618" s="307"/>
      <c r="H618" s="307"/>
      <c r="I618" s="307"/>
      <c r="J618" s="371"/>
      <c r="K618" s="371"/>
      <c r="L618" s="371"/>
      <c r="M618" s="371"/>
      <c r="N618" s="371"/>
      <c r="O618" s="371"/>
      <c r="P618" s="371"/>
      <c r="Q618" s="371"/>
      <c r="R618" s="371"/>
      <c r="S618" s="371"/>
      <c r="T618" s="371"/>
    </row>
    <row r="619">
      <c r="A619" s="307"/>
      <c r="B619" s="307"/>
      <c r="C619" s="307"/>
      <c r="D619" s="307"/>
      <c r="E619" s="307"/>
      <c r="F619" s="371"/>
      <c r="G619" s="307"/>
      <c r="H619" s="307"/>
      <c r="I619" s="307"/>
      <c r="J619" s="371"/>
      <c r="K619" s="371"/>
      <c r="L619" s="371"/>
      <c r="M619" s="371"/>
      <c r="N619" s="371"/>
      <c r="O619" s="371"/>
      <c r="P619" s="371"/>
      <c r="Q619" s="371"/>
      <c r="R619" s="371"/>
      <c r="S619" s="371"/>
      <c r="T619" s="371"/>
    </row>
    <row r="620">
      <c r="A620" s="307"/>
      <c r="B620" s="307"/>
      <c r="C620" s="307"/>
      <c r="D620" s="307"/>
      <c r="E620" s="307"/>
      <c r="F620" s="371"/>
      <c r="G620" s="307"/>
      <c r="H620" s="307"/>
      <c r="I620" s="307"/>
      <c r="J620" s="371"/>
      <c r="K620" s="371"/>
      <c r="L620" s="371"/>
      <c r="M620" s="371"/>
      <c r="N620" s="371"/>
      <c r="O620" s="371"/>
      <c r="P620" s="371"/>
      <c r="Q620" s="371"/>
      <c r="R620" s="371"/>
      <c r="S620" s="371"/>
      <c r="T620" s="371"/>
    </row>
    <row r="621">
      <c r="A621" s="307"/>
      <c r="B621" s="307"/>
      <c r="C621" s="307"/>
      <c r="D621" s="307"/>
      <c r="E621" s="307"/>
      <c r="F621" s="371"/>
      <c r="G621" s="307"/>
      <c r="H621" s="307"/>
      <c r="I621" s="307"/>
      <c r="J621" s="371"/>
      <c r="K621" s="371"/>
      <c r="L621" s="371"/>
      <c r="M621" s="371"/>
      <c r="N621" s="371"/>
      <c r="O621" s="371"/>
      <c r="P621" s="371"/>
      <c r="Q621" s="371"/>
      <c r="R621" s="371"/>
      <c r="S621" s="371"/>
      <c r="T621" s="371"/>
    </row>
    <row r="622">
      <c r="A622" s="307"/>
      <c r="B622" s="307"/>
      <c r="C622" s="307"/>
      <c r="D622" s="307"/>
      <c r="E622" s="307"/>
      <c r="F622" s="371"/>
      <c r="G622" s="307"/>
      <c r="H622" s="307"/>
      <c r="I622" s="307"/>
      <c r="J622" s="371"/>
      <c r="K622" s="371"/>
      <c r="L622" s="371"/>
      <c r="M622" s="371"/>
      <c r="N622" s="371"/>
      <c r="O622" s="371"/>
      <c r="P622" s="371"/>
      <c r="Q622" s="371"/>
      <c r="R622" s="371"/>
      <c r="S622" s="371"/>
      <c r="T622" s="371"/>
    </row>
    <row r="623">
      <c r="A623" s="307"/>
      <c r="B623" s="307"/>
      <c r="C623" s="307"/>
      <c r="D623" s="307"/>
      <c r="E623" s="307"/>
      <c r="F623" s="371"/>
      <c r="G623" s="307"/>
      <c r="H623" s="307"/>
      <c r="I623" s="307"/>
      <c r="J623" s="371"/>
      <c r="K623" s="371"/>
      <c r="L623" s="371"/>
      <c r="M623" s="371"/>
      <c r="N623" s="371"/>
      <c r="O623" s="371"/>
      <c r="P623" s="371"/>
      <c r="Q623" s="371"/>
      <c r="R623" s="371"/>
      <c r="S623" s="371"/>
      <c r="T623" s="371"/>
    </row>
    <row r="624">
      <c r="A624" s="307"/>
      <c r="B624" s="307"/>
      <c r="C624" s="307"/>
      <c r="D624" s="307"/>
      <c r="E624" s="307"/>
      <c r="F624" s="371"/>
      <c r="G624" s="307"/>
      <c r="H624" s="307"/>
      <c r="I624" s="307"/>
      <c r="J624" s="371"/>
      <c r="K624" s="371"/>
      <c r="L624" s="371"/>
      <c r="M624" s="371"/>
      <c r="N624" s="371"/>
      <c r="O624" s="371"/>
      <c r="P624" s="371"/>
      <c r="Q624" s="371"/>
      <c r="R624" s="371"/>
      <c r="S624" s="371"/>
      <c r="T624" s="371"/>
    </row>
    <row r="625">
      <c r="A625" s="307"/>
      <c r="B625" s="307"/>
      <c r="C625" s="307"/>
      <c r="D625" s="307"/>
      <c r="E625" s="307"/>
      <c r="F625" s="371"/>
      <c r="G625" s="307"/>
      <c r="H625" s="307"/>
      <c r="I625" s="307"/>
      <c r="J625" s="371"/>
      <c r="K625" s="371"/>
      <c r="L625" s="371"/>
      <c r="M625" s="371"/>
      <c r="N625" s="371"/>
      <c r="O625" s="371"/>
      <c r="P625" s="371"/>
      <c r="Q625" s="371"/>
      <c r="R625" s="371"/>
      <c r="S625" s="371"/>
      <c r="T625" s="371"/>
    </row>
    <row r="626">
      <c r="A626" s="307"/>
      <c r="B626" s="307"/>
      <c r="C626" s="307"/>
      <c r="D626" s="307"/>
      <c r="E626" s="307"/>
      <c r="F626" s="371"/>
      <c r="G626" s="307"/>
      <c r="H626" s="307"/>
      <c r="I626" s="307"/>
      <c r="J626" s="371"/>
      <c r="K626" s="371"/>
      <c r="L626" s="371"/>
      <c r="M626" s="371"/>
      <c r="N626" s="371"/>
      <c r="O626" s="371"/>
      <c r="P626" s="371"/>
      <c r="Q626" s="371"/>
      <c r="R626" s="371"/>
      <c r="S626" s="371"/>
      <c r="T626" s="371"/>
    </row>
    <row r="627">
      <c r="A627" s="307"/>
      <c r="B627" s="307"/>
      <c r="C627" s="307"/>
      <c r="D627" s="307"/>
      <c r="E627" s="307"/>
      <c r="F627" s="371"/>
      <c r="G627" s="307"/>
      <c r="H627" s="307"/>
      <c r="I627" s="307"/>
      <c r="J627" s="371"/>
      <c r="K627" s="371"/>
      <c r="L627" s="371"/>
      <c r="M627" s="371"/>
      <c r="N627" s="371"/>
      <c r="O627" s="371"/>
      <c r="P627" s="371"/>
      <c r="Q627" s="371"/>
      <c r="R627" s="371"/>
      <c r="S627" s="371"/>
      <c r="T627" s="371"/>
    </row>
    <row r="628">
      <c r="A628" s="307"/>
      <c r="B628" s="307"/>
      <c r="C628" s="307"/>
      <c r="D628" s="307"/>
      <c r="E628" s="307"/>
      <c r="F628" s="371"/>
      <c r="G628" s="307"/>
      <c r="H628" s="307"/>
      <c r="I628" s="307"/>
      <c r="J628" s="371"/>
      <c r="K628" s="371"/>
      <c r="L628" s="371"/>
      <c r="M628" s="371"/>
      <c r="N628" s="371"/>
      <c r="O628" s="371"/>
      <c r="P628" s="371"/>
      <c r="Q628" s="371"/>
      <c r="R628" s="371"/>
      <c r="S628" s="371"/>
      <c r="T628" s="371"/>
    </row>
    <row r="629">
      <c r="A629" s="307"/>
      <c r="B629" s="307"/>
      <c r="C629" s="307"/>
      <c r="D629" s="307"/>
      <c r="E629" s="307"/>
      <c r="F629" s="371"/>
      <c r="G629" s="307"/>
      <c r="H629" s="307"/>
      <c r="I629" s="307"/>
      <c r="J629" s="371"/>
      <c r="K629" s="371"/>
      <c r="L629" s="371"/>
      <c r="M629" s="371"/>
      <c r="N629" s="371"/>
      <c r="O629" s="371"/>
      <c r="P629" s="371"/>
      <c r="Q629" s="371"/>
      <c r="R629" s="371"/>
      <c r="S629" s="371"/>
      <c r="T629" s="371"/>
    </row>
    <row r="630">
      <c r="A630" s="307"/>
      <c r="B630" s="307"/>
      <c r="C630" s="307"/>
      <c r="D630" s="307"/>
      <c r="E630" s="307"/>
      <c r="F630" s="371"/>
      <c r="G630" s="307"/>
      <c r="H630" s="307"/>
      <c r="I630" s="307"/>
      <c r="J630" s="371"/>
      <c r="K630" s="371"/>
      <c r="L630" s="371"/>
      <c r="M630" s="371"/>
      <c r="N630" s="371"/>
      <c r="O630" s="371"/>
      <c r="P630" s="371"/>
      <c r="Q630" s="371"/>
      <c r="R630" s="371"/>
      <c r="S630" s="371"/>
      <c r="T630" s="371"/>
    </row>
    <row r="631">
      <c r="A631" s="307"/>
      <c r="B631" s="307"/>
      <c r="C631" s="307"/>
      <c r="D631" s="307"/>
      <c r="E631" s="307"/>
      <c r="F631" s="371"/>
      <c r="G631" s="307"/>
      <c r="H631" s="307"/>
      <c r="I631" s="307"/>
      <c r="J631" s="371"/>
      <c r="K631" s="371"/>
      <c r="L631" s="371"/>
      <c r="M631" s="371"/>
      <c r="N631" s="371"/>
      <c r="O631" s="371"/>
      <c r="P631" s="371"/>
      <c r="Q631" s="371"/>
      <c r="R631" s="371"/>
      <c r="S631" s="371"/>
      <c r="T631" s="371"/>
    </row>
    <row r="632">
      <c r="A632" s="307"/>
      <c r="B632" s="307"/>
      <c r="C632" s="307"/>
      <c r="D632" s="307"/>
      <c r="E632" s="307"/>
      <c r="F632" s="371"/>
      <c r="G632" s="307"/>
      <c r="H632" s="307"/>
      <c r="I632" s="307"/>
      <c r="J632" s="371"/>
      <c r="K632" s="371"/>
      <c r="L632" s="371"/>
      <c r="M632" s="371"/>
      <c r="N632" s="371"/>
      <c r="O632" s="371"/>
      <c r="P632" s="371"/>
      <c r="Q632" s="371"/>
      <c r="R632" s="371"/>
      <c r="S632" s="371"/>
      <c r="T632" s="371"/>
    </row>
    <row r="633">
      <c r="A633" s="307"/>
      <c r="B633" s="307"/>
      <c r="C633" s="307"/>
      <c r="D633" s="307"/>
      <c r="E633" s="307"/>
      <c r="F633" s="371"/>
      <c r="G633" s="307"/>
      <c r="H633" s="307"/>
      <c r="I633" s="307"/>
      <c r="J633" s="371"/>
      <c r="K633" s="371"/>
      <c r="L633" s="371"/>
      <c r="M633" s="371"/>
      <c r="N633" s="371"/>
      <c r="O633" s="371"/>
      <c r="P633" s="371"/>
      <c r="Q633" s="371"/>
      <c r="R633" s="371"/>
      <c r="S633" s="371"/>
      <c r="T633" s="371"/>
    </row>
    <row r="634">
      <c r="A634" s="307"/>
      <c r="B634" s="307"/>
      <c r="C634" s="307"/>
      <c r="D634" s="307"/>
      <c r="E634" s="307"/>
      <c r="F634" s="371"/>
      <c r="G634" s="307"/>
      <c r="H634" s="307"/>
      <c r="I634" s="307"/>
      <c r="J634" s="371"/>
      <c r="K634" s="371"/>
      <c r="L634" s="371"/>
      <c r="M634" s="371"/>
      <c r="N634" s="371"/>
      <c r="O634" s="371"/>
      <c r="P634" s="371"/>
      <c r="Q634" s="371"/>
      <c r="R634" s="371"/>
      <c r="S634" s="371"/>
      <c r="T634" s="371"/>
    </row>
    <row r="635">
      <c r="A635" s="307"/>
      <c r="B635" s="307"/>
      <c r="C635" s="307"/>
      <c r="D635" s="307"/>
      <c r="E635" s="307"/>
      <c r="F635" s="371"/>
      <c r="G635" s="307"/>
      <c r="H635" s="307"/>
      <c r="I635" s="307"/>
      <c r="J635" s="371"/>
      <c r="K635" s="371"/>
      <c r="L635" s="371"/>
      <c r="M635" s="371"/>
      <c r="N635" s="371"/>
      <c r="O635" s="371"/>
      <c r="P635" s="371"/>
      <c r="Q635" s="371"/>
      <c r="R635" s="371"/>
      <c r="S635" s="371"/>
      <c r="T635" s="371"/>
    </row>
    <row r="636">
      <c r="A636" s="307"/>
      <c r="B636" s="307"/>
      <c r="C636" s="307"/>
      <c r="D636" s="307"/>
      <c r="E636" s="307"/>
      <c r="F636" s="371"/>
      <c r="G636" s="307"/>
      <c r="H636" s="307"/>
      <c r="I636" s="307"/>
      <c r="J636" s="371"/>
      <c r="K636" s="371"/>
      <c r="L636" s="371"/>
      <c r="M636" s="371"/>
      <c r="N636" s="371"/>
      <c r="O636" s="371"/>
      <c r="P636" s="371"/>
      <c r="Q636" s="371"/>
      <c r="R636" s="371"/>
      <c r="S636" s="371"/>
      <c r="T636" s="371"/>
    </row>
    <row r="637">
      <c r="A637" s="307"/>
      <c r="B637" s="307"/>
      <c r="C637" s="307"/>
      <c r="D637" s="307"/>
      <c r="E637" s="307"/>
      <c r="F637" s="371"/>
      <c r="G637" s="307"/>
      <c r="H637" s="307"/>
      <c r="I637" s="307"/>
      <c r="J637" s="371"/>
      <c r="K637" s="371"/>
      <c r="L637" s="371"/>
      <c r="M637" s="371"/>
      <c r="N637" s="371"/>
      <c r="O637" s="371"/>
      <c r="P637" s="371"/>
      <c r="Q637" s="371"/>
      <c r="R637" s="371"/>
      <c r="S637" s="371"/>
      <c r="T637" s="371"/>
    </row>
    <row r="638">
      <c r="A638" s="307"/>
      <c r="B638" s="307"/>
      <c r="C638" s="307"/>
      <c r="D638" s="307"/>
      <c r="E638" s="307"/>
      <c r="F638" s="371"/>
      <c r="G638" s="307"/>
      <c r="H638" s="307"/>
      <c r="I638" s="307"/>
      <c r="J638" s="371"/>
      <c r="K638" s="371"/>
      <c r="L638" s="371"/>
      <c r="M638" s="371"/>
      <c r="N638" s="371"/>
      <c r="O638" s="371"/>
      <c r="P638" s="371"/>
      <c r="Q638" s="371"/>
      <c r="R638" s="371"/>
      <c r="S638" s="371"/>
      <c r="T638" s="371"/>
    </row>
    <row r="639">
      <c r="A639" s="307"/>
      <c r="B639" s="307"/>
      <c r="C639" s="307"/>
      <c r="D639" s="307"/>
      <c r="E639" s="307"/>
      <c r="F639" s="371"/>
      <c r="G639" s="307"/>
      <c r="H639" s="307"/>
      <c r="I639" s="307"/>
      <c r="J639" s="371"/>
      <c r="K639" s="371"/>
      <c r="L639" s="371"/>
      <c r="M639" s="371"/>
      <c r="N639" s="371"/>
      <c r="O639" s="371"/>
      <c r="P639" s="371"/>
      <c r="Q639" s="371"/>
      <c r="R639" s="371"/>
      <c r="S639" s="371"/>
      <c r="T639" s="371"/>
    </row>
    <row r="640">
      <c r="A640" s="307"/>
      <c r="B640" s="307"/>
      <c r="C640" s="307"/>
      <c r="D640" s="307"/>
      <c r="E640" s="307"/>
      <c r="F640" s="371"/>
      <c r="G640" s="307"/>
      <c r="H640" s="307"/>
      <c r="I640" s="307"/>
      <c r="J640" s="371"/>
      <c r="K640" s="371"/>
      <c r="L640" s="371"/>
      <c r="M640" s="371"/>
      <c r="N640" s="371"/>
      <c r="O640" s="371"/>
      <c r="P640" s="371"/>
      <c r="Q640" s="371"/>
      <c r="R640" s="371"/>
      <c r="S640" s="371"/>
      <c r="T640" s="371"/>
    </row>
    <row r="641">
      <c r="A641" s="307"/>
      <c r="B641" s="307"/>
      <c r="C641" s="307"/>
      <c r="D641" s="307"/>
      <c r="E641" s="307"/>
      <c r="F641" s="371"/>
      <c r="G641" s="307"/>
      <c r="H641" s="307"/>
      <c r="I641" s="307"/>
      <c r="J641" s="371"/>
      <c r="K641" s="371"/>
      <c r="L641" s="371"/>
      <c r="M641" s="371"/>
      <c r="N641" s="371"/>
      <c r="O641" s="371"/>
      <c r="P641" s="371"/>
      <c r="Q641" s="371"/>
      <c r="R641" s="371"/>
      <c r="S641" s="371"/>
      <c r="T641" s="371"/>
    </row>
    <row r="642">
      <c r="A642" s="307"/>
      <c r="B642" s="307"/>
      <c r="C642" s="307"/>
      <c r="D642" s="307"/>
      <c r="E642" s="307"/>
      <c r="F642" s="371"/>
      <c r="G642" s="307"/>
      <c r="H642" s="307"/>
      <c r="I642" s="307"/>
      <c r="J642" s="371"/>
      <c r="K642" s="371"/>
      <c r="L642" s="371"/>
      <c r="M642" s="371"/>
      <c r="N642" s="371"/>
      <c r="O642" s="371"/>
      <c r="P642" s="371"/>
      <c r="Q642" s="371"/>
      <c r="R642" s="371"/>
      <c r="S642" s="371"/>
      <c r="T642" s="371"/>
    </row>
    <row r="643">
      <c r="A643" s="307"/>
      <c r="B643" s="307"/>
      <c r="C643" s="307"/>
      <c r="D643" s="307"/>
      <c r="E643" s="307"/>
      <c r="F643" s="371"/>
      <c r="G643" s="307"/>
      <c r="H643" s="307"/>
      <c r="I643" s="307"/>
      <c r="J643" s="371"/>
      <c r="K643" s="371"/>
      <c r="L643" s="371"/>
      <c r="M643" s="371"/>
      <c r="N643" s="371"/>
      <c r="O643" s="371"/>
      <c r="P643" s="371"/>
      <c r="Q643" s="371"/>
      <c r="R643" s="371"/>
      <c r="S643" s="371"/>
      <c r="T643" s="371"/>
    </row>
    <row r="644">
      <c r="A644" s="307"/>
      <c r="B644" s="307"/>
      <c r="C644" s="307"/>
      <c r="D644" s="307"/>
      <c r="E644" s="307"/>
      <c r="F644" s="371"/>
      <c r="G644" s="307"/>
      <c r="H644" s="307"/>
      <c r="I644" s="307"/>
      <c r="J644" s="371"/>
      <c r="K644" s="371"/>
      <c r="L644" s="371"/>
      <c r="M644" s="371"/>
      <c r="N644" s="371"/>
      <c r="O644" s="371"/>
      <c r="P644" s="371"/>
      <c r="Q644" s="371"/>
      <c r="R644" s="371"/>
      <c r="S644" s="371"/>
      <c r="T644" s="371"/>
    </row>
    <row r="645">
      <c r="A645" s="307"/>
      <c r="B645" s="307"/>
      <c r="C645" s="307"/>
      <c r="D645" s="307"/>
      <c r="E645" s="307"/>
      <c r="F645" s="371"/>
      <c r="G645" s="307"/>
      <c r="H645" s="307"/>
      <c r="I645" s="307"/>
      <c r="J645" s="371"/>
      <c r="K645" s="371"/>
      <c r="L645" s="371"/>
      <c r="M645" s="371"/>
      <c r="N645" s="371"/>
      <c r="O645" s="371"/>
      <c r="P645" s="371"/>
      <c r="Q645" s="371"/>
      <c r="R645" s="371"/>
      <c r="S645" s="371"/>
      <c r="T645" s="371"/>
    </row>
    <row r="646">
      <c r="A646" s="307"/>
      <c r="B646" s="307"/>
      <c r="C646" s="307"/>
      <c r="D646" s="307"/>
      <c r="E646" s="307"/>
      <c r="F646" s="371"/>
      <c r="G646" s="307"/>
      <c r="H646" s="307"/>
      <c r="I646" s="307"/>
      <c r="J646" s="371"/>
      <c r="K646" s="371"/>
      <c r="L646" s="371"/>
      <c r="M646" s="371"/>
      <c r="N646" s="371"/>
      <c r="O646" s="371"/>
      <c r="P646" s="371"/>
      <c r="Q646" s="371"/>
      <c r="R646" s="371"/>
      <c r="S646" s="371"/>
      <c r="T646" s="371"/>
    </row>
    <row r="647">
      <c r="A647" s="307"/>
      <c r="B647" s="307"/>
      <c r="C647" s="307"/>
      <c r="D647" s="307"/>
      <c r="E647" s="307"/>
      <c r="F647" s="371"/>
      <c r="G647" s="307"/>
      <c r="H647" s="307"/>
      <c r="I647" s="307"/>
      <c r="J647" s="371"/>
      <c r="K647" s="371"/>
      <c r="L647" s="371"/>
      <c r="M647" s="371"/>
      <c r="N647" s="371"/>
      <c r="O647" s="371"/>
      <c r="P647" s="371"/>
      <c r="Q647" s="371"/>
      <c r="R647" s="371"/>
      <c r="S647" s="371"/>
      <c r="T647" s="371"/>
    </row>
    <row r="648">
      <c r="A648" s="307"/>
      <c r="B648" s="307"/>
      <c r="C648" s="307"/>
      <c r="D648" s="307"/>
      <c r="E648" s="307"/>
      <c r="F648" s="371"/>
      <c r="G648" s="307"/>
      <c r="H648" s="307"/>
      <c r="I648" s="307"/>
      <c r="J648" s="371"/>
      <c r="K648" s="371"/>
      <c r="L648" s="371"/>
      <c r="M648" s="371"/>
      <c r="N648" s="371"/>
      <c r="O648" s="371"/>
      <c r="P648" s="371"/>
      <c r="Q648" s="371"/>
      <c r="R648" s="371"/>
      <c r="S648" s="371"/>
      <c r="T648" s="371"/>
    </row>
    <row r="649">
      <c r="A649" s="307"/>
      <c r="B649" s="307"/>
      <c r="C649" s="307"/>
      <c r="D649" s="307"/>
      <c r="E649" s="307"/>
      <c r="F649" s="371"/>
      <c r="G649" s="307"/>
      <c r="H649" s="307"/>
      <c r="I649" s="307"/>
      <c r="J649" s="371"/>
      <c r="K649" s="371"/>
      <c r="L649" s="371"/>
      <c r="M649" s="371"/>
      <c r="N649" s="371"/>
      <c r="O649" s="371"/>
      <c r="P649" s="371"/>
      <c r="Q649" s="371"/>
      <c r="R649" s="371"/>
      <c r="S649" s="371"/>
      <c r="T649" s="371"/>
    </row>
    <row r="650">
      <c r="A650" s="307"/>
      <c r="B650" s="307"/>
      <c r="C650" s="307"/>
      <c r="D650" s="307"/>
      <c r="E650" s="307"/>
      <c r="F650" s="371"/>
      <c r="G650" s="307"/>
      <c r="H650" s="307"/>
      <c r="I650" s="307"/>
      <c r="J650" s="371"/>
      <c r="K650" s="371"/>
      <c r="L650" s="371"/>
      <c r="M650" s="371"/>
      <c r="N650" s="371"/>
      <c r="O650" s="371"/>
      <c r="P650" s="371"/>
      <c r="Q650" s="371"/>
      <c r="R650" s="371"/>
      <c r="S650" s="371"/>
      <c r="T650" s="371"/>
    </row>
    <row r="651">
      <c r="A651" s="307"/>
      <c r="B651" s="307"/>
      <c r="C651" s="307"/>
      <c r="D651" s="307"/>
      <c r="E651" s="307"/>
      <c r="F651" s="371"/>
      <c r="G651" s="307"/>
      <c r="H651" s="307"/>
      <c r="I651" s="307"/>
      <c r="J651" s="371"/>
      <c r="K651" s="371"/>
      <c r="L651" s="371"/>
      <c r="M651" s="371"/>
      <c r="N651" s="371"/>
      <c r="O651" s="371"/>
      <c r="P651" s="371"/>
      <c r="Q651" s="371"/>
      <c r="R651" s="371"/>
      <c r="S651" s="371"/>
      <c r="T651" s="371"/>
    </row>
    <row r="652">
      <c r="A652" s="307"/>
      <c r="B652" s="307"/>
      <c r="C652" s="307"/>
      <c r="D652" s="307"/>
      <c r="E652" s="307"/>
      <c r="F652" s="371"/>
      <c r="G652" s="307"/>
      <c r="H652" s="307"/>
      <c r="I652" s="307"/>
      <c r="J652" s="371"/>
      <c r="K652" s="371"/>
      <c r="L652" s="371"/>
      <c r="M652" s="371"/>
      <c r="N652" s="371"/>
      <c r="O652" s="371"/>
      <c r="P652" s="371"/>
      <c r="Q652" s="371"/>
      <c r="R652" s="371"/>
      <c r="S652" s="371"/>
      <c r="T652" s="371"/>
    </row>
    <row r="653">
      <c r="A653" s="307"/>
      <c r="B653" s="307"/>
      <c r="C653" s="307"/>
      <c r="D653" s="307"/>
      <c r="E653" s="307"/>
      <c r="F653" s="371"/>
      <c r="G653" s="307"/>
      <c r="H653" s="307"/>
      <c r="I653" s="307"/>
      <c r="J653" s="371"/>
      <c r="K653" s="371"/>
      <c r="L653" s="371"/>
      <c r="M653" s="371"/>
      <c r="N653" s="371"/>
      <c r="O653" s="371"/>
      <c r="P653" s="371"/>
      <c r="Q653" s="371"/>
      <c r="R653" s="371"/>
      <c r="S653" s="371"/>
      <c r="T653" s="371"/>
    </row>
    <row r="654">
      <c r="A654" s="307"/>
      <c r="B654" s="307"/>
      <c r="C654" s="307"/>
      <c r="D654" s="307"/>
      <c r="E654" s="307"/>
      <c r="F654" s="371"/>
      <c r="G654" s="307"/>
      <c r="H654" s="307"/>
      <c r="I654" s="307"/>
      <c r="J654" s="371"/>
      <c r="K654" s="371"/>
      <c r="L654" s="371"/>
      <c r="M654" s="371"/>
      <c r="N654" s="371"/>
      <c r="O654" s="371"/>
      <c r="P654" s="371"/>
      <c r="Q654" s="371"/>
      <c r="R654" s="371"/>
      <c r="S654" s="371"/>
      <c r="T654" s="371"/>
    </row>
    <row r="655">
      <c r="A655" s="307"/>
      <c r="B655" s="307"/>
      <c r="C655" s="307"/>
      <c r="D655" s="307"/>
      <c r="E655" s="307"/>
      <c r="F655" s="371"/>
      <c r="G655" s="307"/>
      <c r="H655" s="307"/>
      <c r="I655" s="307"/>
      <c r="J655" s="371"/>
      <c r="K655" s="371"/>
      <c r="L655" s="371"/>
      <c r="M655" s="371"/>
      <c r="N655" s="371"/>
      <c r="O655" s="371"/>
      <c r="P655" s="371"/>
      <c r="Q655" s="371"/>
      <c r="R655" s="371"/>
      <c r="S655" s="371"/>
      <c r="T655" s="371"/>
    </row>
    <row r="656">
      <c r="A656" s="307"/>
      <c r="B656" s="307"/>
      <c r="C656" s="307"/>
      <c r="D656" s="307"/>
      <c r="E656" s="307"/>
      <c r="F656" s="371"/>
      <c r="G656" s="307"/>
      <c r="H656" s="307"/>
      <c r="I656" s="307"/>
      <c r="J656" s="371"/>
      <c r="K656" s="371"/>
      <c r="L656" s="371"/>
      <c r="M656" s="371"/>
      <c r="N656" s="371"/>
      <c r="O656" s="371"/>
      <c r="P656" s="371"/>
      <c r="Q656" s="371"/>
      <c r="R656" s="371"/>
      <c r="S656" s="371"/>
      <c r="T656" s="371"/>
    </row>
    <row r="657">
      <c r="A657" s="307"/>
      <c r="B657" s="307"/>
      <c r="C657" s="307"/>
      <c r="D657" s="307"/>
      <c r="E657" s="307"/>
      <c r="F657" s="371"/>
      <c r="G657" s="307"/>
      <c r="H657" s="307"/>
      <c r="I657" s="307"/>
      <c r="J657" s="371"/>
      <c r="K657" s="371"/>
      <c r="L657" s="371"/>
      <c r="M657" s="371"/>
      <c r="N657" s="371"/>
      <c r="O657" s="371"/>
      <c r="P657" s="371"/>
      <c r="Q657" s="371"/>
      <c r="R657" s="371"/>
      <c r="S657" s="371"/>
      <c r="T657" s="371"/>
    </row>
    <row r="658">
      <c r="A658" s="307"/>
      <c r="B658" s="307"/>
      <c r="C658" s="307"/>
      <c r="D658" s="307"/>
      <c r="E658" s="307"/>
      <c r="F658" s="371"/>
      <c r="G658" s="307"/>
      <c r="H658" s="307"/>
      <c r="I658" s="307"/>
      <c r="J658" s="371"/>
      <c r="K658" s="371"/>
      <c r="L658" s="371"/>
      <c r="M658" s="371"/>
      <c r="N658" s="371"/>
      <c r="O658" s="371"/>
      <c r="P658" s="371"/>
      <c r="Q658" s="371"/>
      <c r="R658" s="371"/>
      <c r="S658" s="371"/>
      <c r="T658" s="371"/>
    </row>
    <row r="659">
      <c r="A659" s="307"/>
      <c r="B659" s="307"/>
      <c r="C659" s="307"/>
      <c r="D659" s="307"/>
      <c r="E659" s="307"/>
      <c r="F659" s="371"/>
      <c r="G659" s="307"/>
      <c r="H659" s="307"/>
      <c r="I659" s="307"/>
      <c r="J659" s="371"/>
      <c r="K659" s="371"/>
      <c r="L659" s="371"/>
      <c r="M659" s="371"/>
      <c r="N659" s="371"/>
      <c r="O659" s="371"/>
      <c r="P659" s="371"/>
      <c r="Q659" s="371"/>
      <c r="R659" s="371"/>
      <c r="S659" s="371"/>
      <c r="T659" s="371"/>
    </row>
    <row r="660">
      <c r="A660" s="307"/>
      <c r="B660" s="307"/>
      <c r="C660" s="307"/>
      <c r="D660" s="307"/>
      <c r="E660" s="307"/>
      <c r="F660" s="371"/>
      <c r="G660" s="307"/>
      <c r="H660" s="307"/>
      <c r="I660" s="307"/>
      <c r="J660" s="371"/>
      <c r="K660" s="371"/>
      <c r="L660" s="371"/>
      <c r="M660" s="371"/>
      <c r="N660" s="371"/>
      <c r="O660" s="371"/>
      <c r="P660" s="371"/>
      <c r="Q660" s="371"/>
      <c r="R660" s="371"/>
      <c r="S660" s="371"/>
      <c r="T660" s="371"/>
    </row>
    <row r="661">
      <c r="A661" s="307"/>
      <c r="B661" s="307"/>
      <c r="C661" s="307"/>
      <c r="D661" s="307"/>
      <c r="E661" s="307"/>
      <c r="F661" s="371"/>
      <c r="G661" s="307"/>
      <c r="H661" s="307"/>
      <c r="I661" s="307"/>
      <c r="J661" s="371"/>
      <c r="K661" s="371"/>
      <c r="L661" s="371"/>
      <c r="M661" s="371"/>
      <c r="N661" s="371"/>
      <c r="O661" s="371"/>
      <c r="P661" s="371"/>
      <c r="Q661" s="371"/>
      <c r="R661" s="371"/>
      <c r="S661" s="371"/>
      <c r="T661" s="371"/>
    </row>
    <row r="662">
      <c r="A662" s="307"/>
      <c r="B662" s="307"/>
      <c r="C662" s="307"/>
      <c r="D662" s="307"/>
      <c r="E662" s="307"/>
      <c r="F662" s="371"/>
      <c r="G662" s="307"/>
      <c r="H662" s="307"/>
      <c r="I662" s="307"/>
      <c r="J662" s="371"/>
      <c r="K662" s="371"/>
      <c r="L662" s="371"/>
      <c r="M662" s="371"/>
      <c r="N662" s="371"/>
      <c r="O662" s="371"/>
      <c r="P662" s="371"/>
      <c r="Q662" s="371"/>
      <c r="R662" s="371"/>
      <c r="S662" s="371"/>
      <c r="T662" s="371"/>
    </row>
    <row r="663">
      <c r="A663" s="307"/>
      <c r="B663" s="307"/>
      <c r="C663" s="307"/>
      <c r="D663" s="307"/>
      <c r="E663" s="307"/>
      <c r="F663" s="371"/>
      <c r="G663" s="307"/>
      <c r="H663" s="307"/>
      <c r="I663" s="307"/>
      <c r="J663" s="371"/>
      <c r="K663" s="371"/>
      <c r="L663" s="371"/>
      <c r="M663" s="371"/>
      <c r="N663" s="371"/>
      <c r="O663" s="371"/>
      <c r="P663" s="371"/>
      <c r="Q663" s="371"/>
      <c r="R663" s="371"/>
      <c r="S663" s="371"/>
      <c r="T663" s="371"/>
    </row>
    <row r="664">
      <c r="A664" s="307"/>
      <c r="B664" s="307"/>
      <c r="C664" s="307"/>
      <c r="D664" s="307"/>
      <c r="E664" s="307"/>
      <c r="F664" s="371"/>
      <c r="G664" s="307"/>
      <c r="H664" s="307"/>
      <c r="I664" s="307"/>
      <c r="J664" s="371"/>
      <c r="K664" s="371"/>
      <c r="L664" s="371"/>
      <c r="M664" s="371"/>
      <c r="N664" s="371"/>
      <c r="O664" s="371"/>
      <c r="P664" s="371"/>
      <c r="Q664" s="371"/>
      <c r="R664" s="371"/>
      <c r="S664" s="371"/>
      <c r="T664" s="371"/>
    </row>
    <row r="665">
      <c r="A665" s="307"/>
      <c r="B665" s="307"/>
      <c r="C665" s="307"/>
      <c r="D665" s="307"/>
      <c r="E665" s="307"/>
      <c r="F665" s="371"/>
      <c r="G665" s="307"/>
      <c r="H665" s="307"/>
      <c r="I665" s="307"/>
      <c r="J665" s="371"/>
      <c r="K665" s="371"/>
      <c r="L665" s="371"/>
      <c r="M665" s="371"/>
      <c r="N665" s="371"/>
      <c r="O665" s="371"/>
      <c r="P665" s="371"/>
      <c r="Q665" s="371"/>
      <c r="R665" s="371"/>
      <c r="S665" s="371"/>
      <c r="T665" s="371"/>
    </row>
    <row r="666">
      <c r="A666" s="307"/>
      <c r="B666" s="307"/>
      <c r="C666" s="307"/>
      <c r="D666" s="307"/>
      <c r="E666" s="307"/>
      <c r="F666" s="371"/>
      <c r="G666" s="307"/>
      <c r="H666" s="307"/>
      <c r="I666" s="307"/>
      <c r="J666" s="371"/>
      <c r="K666" s="371"/>
      <c r="L666" s="371"/>
      <c r="M666" s="371"/>
      <c r="N666" s="371"/>
      <c r="O666" s="371"/>
      <c r="P666" s="371"/>
      <c r="Q666" s="371"/>
      <c r="R666" s="371"/>
      <c r="S666" s="371"/>
      <c r="T666" s="371"/>
    </row>
    <row r="667">
      <c r="A667" s="307"/>
      <c r="B667" s="307"/>
      <c r="C667" s="307"/>
      <c r="D667" s="307"/>
      <c r="E667" s="307"/>
      <c r="F667" s="371"/>
      <c r="G667" s="307"/>
      <c r="H667" s="307"/>
      <c r="I667" s="307"/>
      <c r="J667" s="371"/>
      <c r="K667" s="371"/>
      <c r="L667" s="371"/>
      <c r="M667" s="371"/>
      <c r="N667" s="371"/>
      <c r="O667" s="371"/>
      <c r="P667" s="371"/>
      <c r="Q667" s="371"/>
      <c r="R667" s="371"/>
      <c r="S667" s="371"/>
      <c r="T667" s="371"/>
    </row>
    <row r="668">
      <c r="A668" s="307"/>
      <c r="B668" s="307"/>
      <c r="C668" s="307"/>
      <c r="D668" s="307"/>
      <c r="E668" s="307"/>
      <c r="F668" s="371"/>
      <c r="G668" s="307"/>
      <c r="H668" s="307"/>
      <c r="I668" s="307"/>
      <c r="J668" s="371"/>
      <c r="K668" s="371"/>
      <c r="L668" s="371"/>
      <c r="M668" s="371"/>
      <c r="N668" s="371"/>
      <c r="O668" s="371"/>
      <c r="P668" s="371"/>
      <c r="Q668" s="371"/>
      <c r="R668" s="371"/>
      <c r="S668" s="371"/>
      <c r="T668" s="371"/>
    </row>
    <row r="669">
      <c r="A669" s="307"/>
      <c r="B669" s="307"/>
      <c r="C669" s="307"/>
      <c r="D669" s="307"/>
      <c r="E669" s="307"/>
      <c r="F669" s="371"/>
      <c r="G669" s="307"/>
      <c r="H669" s="307"/>
      <c r="I669" s="307"/>
      <c r="J669" s="371"/>
      <c r="K669" s="371"/>
      <c r="L669" s="371"/>
      <c r="M669" s="371"/>
      <c r="N669" s="371"/>
      <c r="O669" s="371"/>
      <c r="P669" s="371"/>
      <c r="Q669" s="371"/>
      <c r="R669" s="371"/>
      <c r="S669" s="371"/>
      <c r="T669" s="371"/>
    </row>
    <row r="670">
      <c r="A670" s="307"/>
      <c r="B670" s="307"/>
      <c r="C670" s="307"/>
      <c r="D670" s="307"/>
      <c r="E670" s="307"/>
      <c r="F670" s="371"/>
      <c r="G670" s="307"/>
      <c r="H670" s="307"/>
      <c r="I670" s="307"/>
      <c r="J670" s="371"/>
      <c r="K670" s="371"/>
      <c r="L670" s="371"/>
      <c r="M670" s="371"/>
      <c r="N670" s="371"/>
      <c r="O670" s="371"/>
      <c r="P670" s="371"/>
      <c r="Q670" s="371"/>
      <c r="R670" s="371"/>
      <c r="S670" s="371"/>
      <c r="T670" s="371"/>
    </row>
    <row r="671">
      <c r="A671" s="307"/>
      <c r="B671" s="307"/>
      <c r="C671" s="307"/>
      <c r="D671" s="307"/>
      <c r="E671" s="307"/>
      <c r="F671" s="371"/>
      <c r="G671" s="307"/>
      <c r="H671" s="307"/>
      <c r="I671" s="307"/>
      <c r="J671" s="371"/>
      <c r="K671" s="371"/>
      <c r="L671" s="371"/>
      <c r="M671" s="371"/>
      <c r="N671" s="371"/>
      <c r="O671" s="371"/>
      <c r="P671" s="371"/>
      <c r="Q671" s="371"/>
      <c r="R671" s="371"/>
      <c r="S671" s="371"/>
      <c r="T671" s="371"/>
    </row>
    <row r="672">
      <c r="A672" s="307"/>
      <c r="B672" s="307"/>
      <c r="C672" s="307"/>
      <c r="D672" s="307"/>
      <c r="E672" s="307"/>
      <c r="F672" s="371"/>
      <c r="G672" s="307"/>
      <c r="H672" s="307"/>
      <c r="I672" s="307"/>
      <c r="J672" s="371"/>
      <c r="K672" s="371"/>
      <c r="L672" s="371"/>
      <c r="M672" s="371"/>
      <c r="N672" s="371"/>
      <c r="O672" s="371"/>
      <c r="P672" s="371"/>
      <c r="Q672" s="371"/>
      <c r="R672" s="371"/>
      <c r="S672" s="371"/>
      <c r="T672" s="371"/>
    </row>
    <row r="673">
      <c r="A673" s="307"/>
      <c r="B673" s="307"/>
      <c r="C673" s="307"/>
      <c r="D673" s="307"/>
      <c r="E673" s="307"/>
      <c r="F673" s="371"/>
      <c r="G673" s="307"/>
      <c r="H673" s="307"/>
      <c r="I673" s="307"/>
      <c r="J673" s="371"/>
      <c r="K673" s="371"/>
      <c r="L673" s="371"/>
      <c r="M673" s="371"/>
      <c r="N673" s="371"/>
      <c r="O673" s="371"/>
      <c r="P673" s="371"/>
      <c r="Q673" s="371"/>
      <c r="R673" s="371"/>
      <c r="S673" s="371"/>
      <c r="T673" s="371"/>
    </row>
    <row r="674">
      <c r="A674" s="307"/>
      <c r="B674" s="307"/>
      <c r="C674" s="307"/>
      <c r="D674" s="307"/>
      <c r="E674" s="307"/>
      <c r="F674" s="371"/>
      <c r="G674" s="307"/>
      <c r="H674" s="307"/>
      <c r="I674" s="307"/>
      <c r="J674" s="371"/>
      <c r="K674" s="371"/>
      <c r="L674" s="371"/>
      <c r="M674" s="371"/>
      <c r="N674" s="371"/>
      <c r="O674" s="371"/>
      <c r="P674" s="371"/>
      <c r="Q674" s="371"/>
      <c r="R674" s="371"/>
      <c r="S674" s="371"/>
      <c r="T674" s="371"/>
    </row>
    <row r="675">
      <c r="A675" s="307"/>
      <c r="B675" s="307"/>
      <c r="C675" s="307"/>
      <c r="D675" s="307"/>
      <c r="E675" s="307"/>
      <c r="F675" s="371"/>
      <c r="G675" s="307"/>
      <c r="H675" s="307"/>
      <c r="I675" s="307"/>
      <c r="J675" s="371"/>
      <c r="K675" s="371"/>
      <c r="L675" s="371"/>
      <c r="M675" s="371"/>
      <c r="N675" s="371"/>
      <c r="O675" s="371"/>
      <c r="P675" s="371"/>
      <c r="Q675" s="371"/>
      <c r="R675" s="371"/>
      <c r="S675" s="371"/>
      <c r="T675" s="371"/>
    </row>
    <row r="676">
      <c r="A676" s="307"/>
      <c r="B676" s="307"/>
      <c r="C676" s="307"/>
      <c r="D676" s="307"/>
      <c r="E676" s="307"/>
      <c r="F676" s="371"/>
      <c r="G676" s="307"/>
      <c r="H676" s="307"/>
      <c r="I676" s="307"/>
      <c r="J676" s="371"/>
      <c r="K676" s="371"/>
      <c r="L676" s="371"/>
      <c r="M676" s="371"/>
      <c r="N676" s="371"/>
      <c r="O676" s="371"/>
      <c r="P676" s="371"/>
      <c r="Q676" s="371"/>
      <c r="R676" s="371"/>
      <c r="S676" s="371"/>
      <c r="T676" s="371"/>
    </row>
    <row r="677">
      <c r="A677" s="307"/>
      <c r="B677" s="307"/>
      <c r="C677" s="307"/>
      <c r="D677" s="307"/>
      <c r="E677" s="307"/>
      <c r="F677" s="371"/>
      <c r="G677" s="307"/>
      <c r="H677" s="307"/>
      <c r="I677" s="307"/>
      <c r="J677" s="371"/>
      <c r="K677" s="371"/>
      <c r="L677" s="371"/>
      <c r="M677" s="371"/>
      <c r="N677" s="371"/>
      <c r="O677" s="371"/>
      <c r="P677" s="371"/>
      <c r="Q677" s="371"/>
      <c r="R677" s="371"/>
      <c r="S677" s="371"/>
      <c r="T677" s="371"/>
    </row>
    <row r="678">
      <c r="A678" s="307"/>
      <c r="B678" s="307"/>
      <c r="C678" s="307"/>
      <c r="D678" s="307"/>
      <c r="E678" s="307"/>
      <c r="F678" s="371"/>
      <c r="G678" s="307"/>
      <c r="H678" s="307"/>
      <c r="I678" s="307"/>
      <c r="J678" s="371"/>
      <c r="K678" s="371"/>
      <c r="L678" s="371"/>
      <c r="M678" s="371"/>
      <c r="N678" s="371"/>
      <c r="O678" s="371"/>
      <c r="P678" s="371"/>
      <c r="Q678" s="371"/>
      <c r="R678" s="371"/>
      <c r="S678" s="371"/>
      <c r="T678" s="371"/>
    </row>
    <row r="679">
      <c r="A679" s="307"/>
      <c r="B679" s="307"/>
      <c r="C679" s="307"/>
      <c r="D679" s="307"/>
      <c r="E679" s="307"/>
      <c r="F679" s="371"/>
      <c r="G679" s="307"/>
      <c r="H679" s="307"/>
      <c r="I679" s="307"/>
      <c r="J679" s="371"/>
      <c r="K679" s="371"/>
      <c r="L679" s="371"/>
      <c r="M679" s="371"/>
      <c r="N679" s="371"/>
      <c r="O679" s="371"/>
      <c r="P679" s="371"/>
      <c r="Q679" s="371"/>
      <c r="R679" s="371"/>
      <c r="S679" s="371"/>
      <c r="T679" s="371"/>
    </row>
    <row r="680">
      <c r="A680" s="307"/>
      <c r="B680" s="307"/>
      <c r="C680" s="307"/>
      <c r="D680" s="307"/>
      <c r="E680" s="307"/>
      <c r="F680" s="371"/>
      <c r="G680" s="307"/>
      <c r="H680" s="307"/>
      <c r="I680" s="307"/>
      <c r="J680" s="371"/>
      <c r="K680" s="371"/>
      <c r="L680" s="371"/>
      <c r="M680" s="371"/>
      <c r="N680" s="371"/>
      <c r="O680" s="371"/>
      <c r="P680" s="371"/>
      <c r="Q680" s="371"/>
      <c r="R680" s="371"/>
      <c r="S680" s="371"/>
      <c r="T680" s="371"/>
    </row>
    <row r="681">
      <c r="A681" s="307"/>
      <c r="B681" s="307"/>
      <c r="C681" s="307"/>
      <c r="D681" s="307"/>
      <c r="E681" s="307"/>
      <c r="F681" s="371"/>
      <c r="G681" s="307"/>
      <c r="H681" s="307"/>
      <c r="I681" s="307"/>
      <c r="J681" s="371"/>
      <c r="K681" s="371"/>
      <c r="L681" s="371"/>
      <c r="M681" s="371"/>
      <c r="N681" s="371"/>
      <c r="O681" s="371"/>
      <c r="P681" s="371"/>
      <c r="Q681" s="371"/>
      <c r="R681" s="371"/>
      <c r="S681" s="371"/>
      <c r="T681" s="371"/>
    </row>
    <row r="682">
      <c r="A682" s="307"/>
      <c r="B682" s="307"/>
      <c r="C682" s="307"/>
      <c r="D682" s="307"/>
      <c r="E682" s="307"/>
      <c r="F682" s="371"/>
      <c r="G682" s="307"/>
      <c r="H682" s="307"/>
      <c r="I682" s="307"/>
      <c r="J682" s="371"/>
      <c r="K682" s="371"/>
      <c r="L682" s="371"/>
      <c r="M682" s="371"/>
      <c r="N682" s="371"/>
      <c r="O682" s="371"/>
      <c r="P682" s="371"/>
      <c r="Q682" s="371"/>
      <c r="R682" s="371"/>
      <c r="S682" s="371"/>
      <c r="T682" s="371"/>
    </row>
    <row r="683">
      <c r="A683" s="307"/>
      <c r="B683" s="307"/>
      <c r="C683" s="307"/>
      <c r="D683" s="307"/>
      <c r="E683" s="307"/>
      <c r="F683" s="371"/>
      <c r="G683" s="307"/>
      <c r="H683" s="307"/>
      <c r="I683" s="307"/>
      <c r="J683" s="371"/>
      <c r="K683" s="371"/>
      <c r="L683" s="371"/>
      <c r="M683" s="371"/>
      <c r="N683" s="371"/>
      <c r="O683" s="371"/>
      <c r="P683" s="371"/>
      <c r="Q683" s="371"/>
      <c r="R683" s="371"/>
      <c r="S683" s="371"/>
      <c r="T683" s="371"/>
    </row>
    <row r="684">
      <c r="A684" s="307"/>
      <c r="B684" s="307"/>
      <c r="C684" s="307"/>
      <c r="D684" s="307"/>
      <c r="E684" s="307"/>
      <c r="F684" s="371"/>
      <c r="G684" s="307"/>
      <c r="H684" s="307"/>
      <c r="I684" s="307"/>
      <c r="J684" s="371"/>
      <c r="K684" s="371"/>
      <c r="L684" s="371"/>
      <c r="M684" s="371"/>
      <c r="N684" s="371"/>
      <c r="O684" s="371"/>
      <c r="P684" s="371"/>
      <c r="Q684" s="371"/>
      <c r="R684" s="371"/>
      <c r="S684" s="371"/>
      <c r="T684" s="371"/>
    </row>
    <row r="685">
      <c r="A685" s="307"/>
      <c r="B685" s="307"/>
      <c r="C685" s="307"/>
      <c r="D685" s="307"/>
      <c r="E685" s="307"/>
      <c r="F685" s="371"/>
      <c r="G685" s="307"/>
      <c r="H685" s="307"/>
      <c r="I685" s="307"/>
      <c r="J685" s="371"/>
      <c r="K685" s="371"/>
      <c r="L685" s="371"/>
      <c r="M685" s="371"/>
      <c r="N685" s="371"/>
      <c r="O685" s="371"/>
      <c r="P685" s="371"/>
      <c r="Q685" s="371"/>
      <c r="R685" s="371"/>
      <c r="S685" s="371"/>
      <c r="T685" s="371"/>
    </row>
    <row r="686">
      <c r="A686" s="307"/>
      <c r="B686" s="307"/>
      <c r="C686" s="307"/>
      <c r="D686" s="307"/>
      <c r="E686" s="307"/>
      <c r="F686" s="371"/>
      <c r="G686" s="307"/>
      <c r="H686" s="307"/>
      <c r="I686" s="307"/>
      <c r="J686" s="371"/>
      <c r="K686" s="371"/>
      <c r="L686" s="371"/>
      <c r="M686" s="371"/>
      <c r="N686" s="371"/>
      <c r="O686" s="371"/>
      <c r="P686" s="371"/>
      <c r="Q686" s="371"/>
      <c r="R686" s="371"/>
      <c r="S686" s="371"/>
      <c r="T686" s="371"/>
    </row>
    <row r="687">
      <c r="A687" s="307"/>
      <c r="B687" s="307"/>
      <c r="C687" s="307"/>
      <c r="D687" s="307"/>
      <c r="E687" s="307"/>
      <c r="F687" s="371"/>
      <c r="G687" s="307"/>
      <c r="H687" s="307"/>
      <c r="I687" s="307"/>
      <c r="J687" s="371"/>
      <c r="K687" s="371"/>
      <c r="L687" s="371"/>
      <c r="M687" s="371"/>
      <c r="N687" s="371"/>
      <c r="O687" s="371"/>
      <c r="P687" s="371"/>
      <c r="Q687" s="371"/>
      <c r="R687" s="371"/>
      <c r="S687" s="371"/>
      <c r="T687" s="371"/>
    </row>
    <row r="688">
      <c r="A688" s="307"/>
      <c r="B688" s="307"/>
      <c r="C688" s="307"/>
      <c r="D688" s="307"/>
      <c r="E688" s="307"/>
      <c r="F688" s="371"/>
      <c r="G688" s="307"/>
      <c r="H688" s="307"/>
      <c r="I688" s="307"/>
      <c r="J688" s="371"/>
      <c r="K688" s="371"/>
      <c r="L688" s="371"/>
      <c r="M688" s="371"/>
      <c r="N688" s="371"/>
      <c r="O688" s="371"/>
      <c r="P688" s="371"/>
      <c r="Q688" s="371"/>
      <c r="R688" s="371"/>
      <c r="S688" s="371"/>
      <c r="T688" s="371"/>
    </row>
    <row r="689">
      <c r="A689" s="307"/>
      <c r="B689" s="307"/>
      <c r="C689" s="307"/>
      <c r="D689" s="307"/>
      <c r="E689" s="307"/>
      <c r="F689" s="371"/>
      <c r="G689" s="307"/>
      <c r="H689" s="307"/>
      <c r="I689" s="307"/>
      <c r="J689" s="371"/>
      <c r="K689" s="371"/>
      <c r="L689" s="371"/>
      <c r="M689" s="371"/>
      <c r="N689" s="371"/>
      <c r="O689" s="371"/>
      <c r="P689" s="371"/>
      <c r="Q689" s="371"/>
      <c r="R689" s="371"/>
      <c r="S689" s="371"/>
      <c r="T689" s="371"/>
    </row>
    <row r="690">
      <c r="A690" s="307"/>
      <c r="B690" s="307"/>
      <c r="C690" s="307"/>
      <c r="D690" s="307"/>
      <c r="E690" s="307"/>
      <c r="F690" s="371"/>
      <c r="G690" s="307"/>
      <c r="H690" s="307"/>
      <c r="I690" s="307"/>
      <c r="J690" s="371"/>
      <c r="K690" s="371"/>
      <c r="L690" s="371"/>
      <c r="M690" s="371"/>
      <c r="N690" s="371"/>
      <c r="O690" s="371"/>
      <c r="P690" s="371"/>
      <c r="Q690" s="371"/>
      <c r="R690" s="371"/>
      <c r="S690" s="371"/>
      <c r="T690" s="371"/>
    </row>
    <row r="691">
      <c r="A691" s="307"/>
      <c r="B691" s="307"/>
      <c r="C691" s="307"/>
      <c r="D691" s="307"/>
      <c r="E691" s="307"/>
      <c r="F691" s="371"/>
      <c r="G691" s="307"/>
      <c r="H691" s="307"/>
      <c r="I691" s="307"/>
      <c r="J691" s="371"/>
      <c r="K691" s="371"/>
      <c r="L691" s="371"/>
      <c r="M691" s="371"/>
      <c r="N691" s="371"/>
      <c r="O691" s="371"/>
      <c r="P691" s="371"/>
      <c r="Q691" s="371"/>
      <c r="R691" s="371"/>
      <c r="S691" s="371"/>
      <c r="T691" s="371"/>
    </row>
    <row r="692">
      <c r="A692" s="307"/>
      <c r="B692" s="307"/>
      <c r="C692" s="307"/>
      <c r="D692" s="307"/>
      <c r="E692" s="307"/>
      <c r="F692" s="371"/>
      <c r="G692" s="307"/>
      <c r="H692" s="307"/>
      <c r="I692" s="307"/>
      <c r="J692" s="371"/>
      <c r="K692" s="371"/>
      <c r="L692" s="371"/>
      <c r="M692" s="371"/>
      <c r="N692" s="371"/>
      <c r="O692" s="371"/>
      <c r="P692" s="371"/>
      <c r="Q692" s="371"/>
      <c r="R692" s="371"/>
      <c r="S692" s="371"/>
      <c r="T692" s="371"/>
    </row>
    <row r="693">
      <c r="A693" s="307"/>
      <c r="B693" s="307"/>
      <c r="C693" s="307"/>
      <c r="D693" s="307"/>
      <c r="E693" s="307"/>
      <c r="F693" s="371"/>
      <c r="G693" s="307"/>
      <c r="H693" s="307"/>
      <c r="I693" s="307"/>
      <c r="J693" s="371"/>
      <c r="K693" s="371"/>
      <c r="L693" s="371"/>
      <c r="M693" s="371"/>
      <c r="N693" s="371"/>
      <c r="O693" s="371"/>
      <c r="P693" s="371"/>
      <c r="Q693" s="371"/>
      <c r="R693" s="371"/>
      <c r="S693" s="371"/>
      <c r="T693" s="371"/>
    </row>
    <row r="694">
      <c r="A694" s="307"/>
      <c r="B694" s="307"/>
      <c r="C694" s="307"/>
      <c r="D694" s="307"/>
      <c r="E694" s="307"/>
      <c r="F694" s="371"/>
      <c r="G694" s="307"/>
      <c r="H694" s="307"/>
      <c r="I694" s="307"/>
      <c r="J694" s="371"/>
      <c r="K694" s="371"/>
      <c r="L694" s="371"/>
      <c r="M694" s="371"/>
      <c r="N694" s="371"/>
      <c r="O694" s="371"/>
      <c r="P694" s="371"/>
      <c r="Q694" s="371"/>
      <c r="R694" s="371"/>
      <c r="S694" s="371"/>
      <c r="T694" s="371"/>
    </row>
    <row r="695">
      <c r="A695" s="307"/>
      <c r="B695" s="307"/>
      <c r="C695" s="307"/>
      <c r="D695" s="307"/>
      <c r="E695" s="307"/>
      <c r="F695" s="371"/>
      <c r="G695" s="307"/>
      <c r="H695" s="307"/>
      <c r="I695" s="307"/>
      <c r="J695" s="371"/>
      <c r="K695" s="371"/>
      <c r="L695" s="371"/>
      <c r="M695" s="371"/>
      <c r="N695" s="371"/>
      <c r="O695" s="371"/>
      <c r="P695" s="371"/>
      <c r="Q695" s="371"/>
      <c r="R695" s="371"/>
      <c r="S695" s="371"/>
      <c r="T695" s="371"/>
    </row>
    <row r="696">
      <c r="A696" s="307"/>
      <c r="B696" s="307"/>
      <c r="C696" s="307"/>
      <c r="D696" s="307"/>
      <c r="E696" s="307"/>
      <c r="F696" s="371"/>
      <c r="G696" s="307"/>
      <c r="H696" s="307"/>
      <c r="I696" s="307"/>
      <c r="J696" s="371"/>
      <c r="K696" s="371"/>
      <c r="L696" s="371"/>
      <c r="M696" s="371"/>
      <c r="N696" s="371"/>
      <c r="O696" s="371"/>
      <c r="P696" s="371"/>
      <c r="Q696" s="371"/>
      <c r="R696" s="371"/>
      <c r="S696" s="371"/>
      <c r="T696" s="371"/>
    </row>
    <row r="697">
      <c r="A697" s="307"/>
      <c r="B697" s="307"/>
      <c r="C697" s="307"/>
      <c r="D697" s="307"/>
      <c r="E697" s="307"/>
      <c r="F697" s="371"/>
      <c r="G697" s="307"/>
      <c r="H697" s="307"/>
      <c r="I697" s="307"/>
      <c r="J697" s="371"/>
      <c r="K697" s="371"/>
      <c r="L697" s="371"/>
      <c r="M697" s="371"/>
      <c r="N697" s="371"/>
      <c r="O697" s="371"/>
      <c r="P697" s="371"/>
      <c r="Q697" s="371"/>
      <c r="R697" s="371"/>
      <c r="S697" s="371"/>
      <c r="T697" s="371"/>
    </row>
    <row r="698">
      <c r="A698" s="307"/>
      <c r="B698" s="307"/>
      <c r="C698" s="307"/>
      <c r="D698" s="307"/>
      <c r="E698" s="307"/>
      <c r="F698" s="371"/>
      <c r="G698" s="307"/>
      <c r="H698" s="307"/>
      <c r="I698" s="307"/>
      <c r="J698" s="371"/>
      <c r="K698" s="371"/>
      <c r="L698" s="371"/>
      <c r="M698" s="371"/>
      <c r="N698" s="371"/>
      <c r="O698" s="371"/>
      <c r="P698" s="371"/>
      <c r="Q698" s="371"/>
      <c r="R698" s="371"/>
      <c r="S698" s="371"/>
      <c r="T698" s="371"/>
    </row>
    <row r="699">
      <c r="A699" s="307"/>
      <c r="B699" s="307"/>
      <c r="C699" s="307"/>
      <c r="D699" s="307"/>
      <c r="E699" s="307"/>
      <c r="F699" s="371"/>
      <c r="G699" s="307"/>
      <c r="H699" s="307"/>
      <c r="I699" s="307"/>
      <c r="J699" s="371"/>
      <c r="K699" s="371"/>
      <c r="L699" s="371"/>
      <c r="M699" s="371"/>
      <c r="N699" s="371"/>
      <c r="O699" s="371"/>
      <c r="P699" s="371"/>
      <c r="Q699" s="371"/>
      <c r="R699" s="371"/>
      <c r="S699" s="371"/>
      <c r="T699" s="371"/>
    </row>
    <row r="700">
      <c r="A700" s="307"/>
      <c r="B700" s="307"/>
      <c r="C700" s="307"/>
      <c r="D700" s="307"/>
      <c r="E700" s="307"/>
      <c r="F700" s="371"/>
      <c r="G700" s="307"/>
      <c r="H700" s="307"/>
      <c r="I700" s="307"/>
      <c r="J700" s="371"/>
      <c r="K700" s="371"/>
      <c r="L700" s="371"/>
      <c r="M700" s="371"/>
      <c r="N700" s="371"/>
      <c r="O700" s="371"/>
      <c r="P700" s="371"/>
      <c r="Q700" s="371"/>
      <c r="R700" s="371"/>
      <c r="S700" s="371"/>
      <c r="T700" s="371"/>
    </row>
    <row r="701">
      <c r="A701" s="307"/>
      <c r="B701" s="307"/>
      <c r="C701" s="307"/>
      <c r="D701" s="307"/>
      <c r="E701" s="307"/>
      <c r="F701" s="371"/>
      <c r="G701" s="307"/>
      <c r="H701" s="307"/>
      <c r="I701" s="307"/>
      <c r="J701" s="371"/>
      <c r="K701" s="371"/>
      <c r="L701" s="371"/>
      <c r="M701" s="371"/>
      <c r="N701" s="371"/>
      <c r="O701" s="371"/>
      <c r="P701" s="371"/>
      <c r="Q701" s="371"/>
      <c r="R701" s="371"/>
      <c r="S701" s="371"/>
      <c r="T701" s="371"/>
    </row>
    <row r="702">
      <c r="A702" s="307"/>
      <c r="B702" s="307"/>
      <c r="C702" s="307"/>
      <c r="D702" s="307"/>
      <c r="E702" s="307"/>
      <c r="F702" s="371"/>
      <c r="G702" s="307"/>
      <c r="H702" s="307"/>
      <c r="I702" s="307"/>
      <c r="J702" s="371"/>
      <c r="K702" s="371"/>
      <c r="L702" s="371"/>
      <c r="M702" s="371"/>
      <c r="N702" s="371"/>
      <c r="O702" s="371"/>
      <c r="P702" s="371"/>
      <c r="Q702" s="371"/>
      <c r="R702" s="371"/>
      <c r="S702" s="371"/>
      <c r="T702" s="371"/>
    </row>
    <row r="703">
      <c r="A703" s="307"/>
      <c r="B703" s="307"/>
      <c r="C703" s="307"/>
      <c r="D703" s="307"/>
      <c r="E703" s="307"/>
      <c r="F703" s="371"/>
      <c r="G703" s="307"/>
      <c r="H703" s="307"/>
      <c r="I703" s="307"/>
      <c r="J703" s="371"/>
      <c r="K703" s="371"/>
      <c r="L703" s="371"/>
      <c r="M703" s="371"/>
      <c r="N703" s="371"/>
      <c r="O703" s="371"/>
      <c r="P703" s="371"/>
      <c r="Q703" s="371"/>
      <c r="R703" s="371"/>
      <c r="S703" s="371"/>
      <c r="T703" s="371"/>
    </row>
    <row r="704">
      <c r="A704" s="307"/>
      <c r="B704" s="307"/>
      <c r="C704" s="307"/>
      <c r="D704" s="307"/>
      <c r="E704" s="307"/>
      <c r="F704" s="371"/>
      <c r="G704" s="307"/>
      <c r="H704" s="307"/>
      <c r="I704" s="307"/>
      <c r="J704" s="371"/>
      <c r="K704" s="371"/>
      <c r="L704" s="371"/>
      <c r="M704" s="371"/>
      <c r="N704" s="371"/>
      <c r="O704" s="371"/>
      <c r="P704" s="371"/>
      <c r="Q704" s="371"/>
      <c r="R704" s="371"/>
      <c r="S704" s="371"/>
      <c r="T704" s="371"/>
    </row>
    <row r="705">
      <c r="A705" s="307"/>
      <c r="B705" s="307"/>
      <c r="C705" s="307"/>
      <c r="D705" s="307"/>
      <c r="E705" s="307"/>
      <c r="F705" s="371"/>
      <c r="G705" s="307"/>
      <c r="H705" s="307"/>
      <c r="I705" s="307"/>
      <c r="J705" s="371"/>
      <c r="K705" s="371"/>
      <c r="L705" s="371"/>
      <c r="M705" s="371"/>
      <c r="N705" s="371"/>
      <c r="O705" s="371"/>
      <c r="P705" s="371"/>
      <c r="Q705" s="371"/>
      <c r="R705" s="371"/>
      <c r="S705" s="371"/>
      <c r="T705" s="371"/>
    </row>
    <row r="706">
      <c r="A706" s="307"/>
      <c r="B706" s="307"/>
      <c r="C706" s="307"/>
      <c r="D706" s="307"/>
      <c r="E706" s="307"/>
      <c r="F706" s="371"/>
      <c r="G706" s="307"/>
      <c r="H706" s="307"/>
      <c r="I706" s="307"/>
      <c r="J706" s="371"/>
      <c r="K706" s="371"/>
      <c r="L706" s="371"/>
      <c r="M706" s="371"/>
      <c r="N706" s="371"/>
      <c r="O706" s="371"/>
      <c r="P706" s="371"/>
      <c r="Q706" s="371"/>
      <c r="R706" s="371"/>
      <c r="S706" s="371"/>
      <c r="T706" s="371"/>
    </row>
    <row r="707">
      <c r="A707" s="307"/>
      <c r="B707" s="307"/>
      <c r="C707" s="307"/>
      <c r="D707" s="307"/>
      <c r="E707" s="307"/>
      <c r="F707" s="371"/>
      <c r="G707" s="307"/>
      <c r="H707" s="307"/>
      <c r="I707" s="307"/>
      <c r="J707" s="371"/>
      <c r="K707" s="371"/>
      <c r="L707" s="371"/>
      <c r="M707" s="371"/>
      <c r="N707" s="371"/>
      <c r="O707" s="371"/>
      <c r="P707" s="371"/>
      <c r="Q707" s="371"/>
      <c r="R707" s="371"/>
      <c r="S707" s="371"/>
      <c r="T707" s="371"/>
    </row>
    <row r="708">
      <c r="A708" s="307"/>
      <c r="B708" s="307"/>
      <c r="C708" s="307"/>
      <c r="D708" s="307"/>
      <c r="E708" s="307"/>
      <c r="F708" s="371"/>
      <c r="G708" s="307"/>
      <c r="H708" s="307"/>
      <c r="I708" s="307"/>
      <c r="J708" s="371"/>
      <c r="K708" s="371"/>
      <c r="L708" s="371"/>
      <c r="M708" s="371"/>
      <c r="N708" s="371"/>
      <c r="O708" s="371"/>
      <c r="P708" s="371"/>
      <c r="Q708" s="371"/>
      <c r="R708" s="371"/>
      <c r="S708" s="371"/>
      <c r="T708" s="371"/>
    </row>
    <row r="709">
      <c r="A709" s="307"/>
      <c r="B709" s="307"/>
      <c r="C709" s="307"/>
      <c r="D709" s="307"/>
      <c r="E709" s="307"/>
      <c r="F709" s="371"/>
      <c r="G709" s="307"/>
      <c r="H709" s="307"/>
      <c r="I709" s="307"/>
      <c r="J709" s="371"/>
      <c r="K709" s="371"/>
      <c r="L709" s="371"/>
      <c r="M709" s="371"/>
      <c r="N709" s="371"/>
      <c r="O709" s="371"/>
      <c r="P709" s="371"/>
      <c r="Q709" s="371"/>
      <c r="R709" s="371"/>
      <c r="S709" s="371"/>
      <c r="T709" s="371"/>
    </row>
    <row r="710">
      <c r="A710" s="307"/>
      <c r="B710" s="307"/>
      <c r="C710" s="307"/>
      <c r="D710" s="307"/>
      <c r="E710" s="307"/>
      <c r="F710" s="371"/>
      <c r="G710" s="307"/>
      <c r="H710" s="307"/>
      <c r="I710" s="307"/>
      <c r="J710" s="371"/>
      <c r="K710" s="371"/>
      <c r="L710" s="371"/>
      <c r="M710" s="371"/>
      <c r="N710" s="371"/>
      <c r="O710" s="371"/>
      <c r="P710" s="371"/>
      <c r="Q710" s="371"/>
      <c r="R710" s="371"/>
      <c r="S710" s="371"/>
      <c r="T710" s="371"/>
    </row>
    <row r="711">
      <c r="A711" s="307"/>
      <c r="B711" s="307"/>
      <c r="C711" s="307"/>
      <c r="D711" s="307"/>
      <c r="E711" s="307"/>
      <c r="F711" s="371"/>
      <c r="G711" s="307"/>
      <c r="H711" s="307"/>
      <c r="I711" s="307"/>
      <c r="J711" s="371"/>
      <c r="K711" s="371"/>
      <c r="L711" s="371"/>
      <c r="M711" s="371"/>
      <c r="N711" s="371"/>
      <c r="O711" s="371"/>
      <c r="P711" s="371"/>
      <c r="Q711" s="371"/>
      <c r="R711" s="371"/>
      <c r="S711" s="371"/>
      <c r="T711" s="371"/>
    </row>
    <row r="712">
      <c r="A712" s="307"/>
      <c r="B712" s="307"/>
      <c r="C712" s="307"/>
      <c r="D712" s="307"/>
      <c r="E712" s="307"/>
      <c r="F712" s="371"/>
      <c r="G712" s="307"/>
      <c r="H712" s="307"/>
      <c r="I712" s="307"/>
      <c r="J712" s="371"/>
      <c r="K712" s="371"/>
      <c r="L712" s="371"/>
      <c r="M712" s="371"/>
      <c r="N712" s="371"/>
      <c r="O712" s="371"/>
      <c r="P712" s="371"/>
      <c r="Q712" s="371"/>
      <c r="R712" s="371"/>
      <c r="S712" s="371"/>
      <c r="T712" s="371"/>
    </row>
    <row r="713">
      <c r="A713" s="307"/>
      <c r="B713" s="307"/>
      <c r="C713" s="307"/>
      <c r="D713" s="307"/>
      <c r="E713" s="307"/>
      <c r="F713" s="371"/>
      <c r="G713" s="307"/>
      <c r="H713" s="307"/>
      <c r="I713" s="307"/>
      <c r="J713" s="371"/>
      <c r="K713" s="371"/>
      <c r="L713" s="371"/>
      <c r="M713" s="371"/>
      <c r="N713" s="371"/>
      <c r="O713" s="371"/>
      <c r="P713" s="371"/>
      <c r="Q713" s="371"/>
      <c r="R713" s="371"/>
      <c r="S713" s="371"/>
      <c r="T713" s="371"/>
    </row>
    <row r="714">
      <c r="A714" s="307"/>
      <c r="B714" s="307"/>
      <c r="C714" s="307"/>
      <c r="D714" s="307"/>
      <c r="E714" s="307"/>
      <c r="F714" s="371"/>
      <c r="G714" s="307"/>
      <c r="H714" s="307"/>
      <c r="I714" s="307"/>
      <c r="J714" s="371"/>
      <c r="K714" s="371"/>
      <c r="L714" s="371"/>
      <c r="M714" s="371"/>
      <c r="N714" s="371"/>
      <c r="O714" s="371"/>
      <c r="P714" s="371"/>
      <c r="Q714" s="371"/>
      <c r="R714" s="371"/>
      <c r="S714" s="371"/>
      <c r="T714" s="371"/>
    </row>
    <row r="715">
      <c r="A715" s="307"/>
      <c r="B715" s="307"/>
      <c r="C715" s="307"/>
      <c r="D715" s="307"/>
      <c r="E715" s="307"/>
      <c r="F715" s="371"/>
      <c r="G715" s="307"/>
      <c r="H715" s="307"/>
      <c r="I715" s="307"/>
      <c r="J715" s="371"/>
      <c r="K715" s="371"/>
      <c r="L715" s="371"/>
      <c r="M715" s="371"/>
      <c r="N715" s="371"/>
      <c r="O715" s="371"/>
      <c r="P715" s="371"/>
      <c r="Q715" s="371"/>
      <c r="R715" s="371"/>
      <c r="S715" s="371"/>
      <c r="T715" s="371"/>
    </row>
    <row r="716">
      <c r="A716" s="307"/>
      <c r="B716" s="307"/>
      <c r="C716" s="307"/>
      <c r="D716" s="307"/>
      <c r="E716" s="307"/>
      <c r="F716" s="371"/>
      <c r="G716" s="307"/>
      <c r="H716" s="307"/>
      <c r="I716" s="307"/>
      <c r="J716" s="371"/>
      <c r="K716" s="371"/>
      <c r="L716" s="371"/>
      <c r="M716" s="371"/>
      <c r="N716" s="371"/>
      <c r="O716" s="371"/>
      <c r="P716" s="371"/>
      <c r="Q716" s="371"/>
      <c r="R716" s="371"/>
      <c r="S716" s="371"/>
      <c r="T716" s="371"/>
    </row>
    <row r="717">
      <c r="A717" s="307"/>
      <c r="B717" s="307"/>
      <c r="C717" s="307"/>
      <c r="D717" s="307"/>
      <c r="E717" s="307"/>
      <c r="F717" s="371"/>
      <c r="G717" s="307"/>
      <c r="H717" s="307"/>
      <c r="I717" s="307"/>
      <c r="J717" s="371"/>
      <c r="K717" s="371"/>
      <c r="L717" s="371"/>
      <c r="M717" s="371"/>
      <c r="N717" s="371"/>
      <c r="O717" s="371"/>
      <c r="P717" s="371"/>
      <c r="Q717" s="371"/>
      <c r="R717" s="371"/>
      <c r="S717" s="371"/>
      <c r="T717" s="371"/>
    </row>
    <row r="718">
      <c r="A718" s="307"/>
      <c r="B718" s="307"/>
      <c r="C718" s="307"/>
      <c r="D718" s="307"/>
      <c r="E718" s="307"/>
      <c r="F718" s="371"/>
      <c r="G718" s="307"/>
      <c r="H718" s="307"/>
      <c r="I718" s="307"/>
      <c r="J718" s="371"/>
      <c r="K718" s="371"/>
      <c r="L718" s="371"/>
      <c r="M718" s="371"/>
      <c r="N718" s="371"/>
      <c r="O718" s="371"/>
      <c r="P718" s="371"/>
      <c r="Q718" s="371"/>
      <c r="R718" s="371"/>
      <c r="S718" s="371"/>
      <c r="T718" s="371"/>
    </row>
    <row r="719">
      <c r="A719" s="307"/>
      <c r="B719" s="307"/>
      <c r="C719" s="307"/>
      <c r="D719" s="307"/>
      <c r="E719" s="307"/>
      <c r="F719" s="371"/>
      <c r="G719" s="307"/>
      <c r="H719" s="307"/>
      <c r="I719" s="307"/>
      <c r="J719" s="371"/>
      <c r="K719" s="371"/>
      <c r="L719" s="371"/>
      <c r="M719" s="371"/>
      <c r="N719" s="371"/>
      <c r="O719" s="371"/>
      <c r="P719" s="371"/>
      <c r="Q719" s="371"/>
      <c r="R719" s="371"/>
      <c r="S719" s="371"/>
      <c r="T719" s="371"/>
    </row>
    <row r="720">
      <c r="A720" s="307"/>
      <c r="B720" s="307"/>
      <c r="C720" s="307"/>
      <c r="D720" s="307"/>
      <c r="E720" s="307"/>
      <c r="F720" s="371"/>
      <c r="G720" s="307"/>
      <c r="H720" s="307"/>
      <c r="I720" s="307"/>
      <c r="J720" s="371"/>
      <c r="K720" s="371"/>
      <c r="L720" s="371"/>
      <c r="M720" s="371"/>
      <c r="N720" s="371"/>
      <c r="O720" s="371"/>
      <c r="P720" s="371"/>
      <c r="Q720" s="371"/>
      <c r="R720" s="371"/>
      <c r="S720" s="371"/>
      <c r="T720" s="371"/>
    </row>
    <row r="721">
      <c r="A721" s="307"/>
      <c r="B721" s="307"/>
      <c r="C721" s="307"/>
      <c r="D721" s="307"/>
      <c r="E721" s="307"/>
      <c r="F721" s="371"/>
      <c r="G721" s="307"/>
      <c r="H721" s="307"/>
      <c r="I721" s="307"/>
      <c r="J721" s="371"/>
      <c r="K721" s="371"/>
      <c r="L721" s="371"/>
      <c r="M721" s="371"/>
      <c r="N721" s="371"/>
      <c r="O721" s="371"/>
      <c r="P721" s="371"/>
      <c r="Q721" s="371"/>
      <c r="R721" s="371"/>
      <c r="S721" s="371"/>
      <c r="T721" s="371"/>
    </row>
    <row r="722">
      <c r="A722" s="307"/>
      <c r="B722" s="307"/>
      <c r="C722" s="307"/>
      <c r="D722" s="307"/>
      <c r="E722" s="307"/>
      <c r="F722" s="371"/>
      <c r="G722" s="307"/>
      <c r="H722" s="307"/>
      <c r="I722" s="307"/>
      <c r="J722" s="371"/>
      <c r="K722" s="371"/>
      <c r="L722" s="371"/>
      <c r="M722" s="371"/>
      <c r="N722" s="371"/>
      <c r="O722" s="371"/>
      <c r="P722" s="371"/>
      <c r="Q722" s="371"/>
      <c r="R722" s="371"/>
      <c r="S722" s="371"/>
      <c r="T722" s="371"/>
    </row>
    <row r="723">
      <c r="A723" s="307"/>
      <c r="B723" s="307"/>
      <c r="C723" s="307"/>
      <c r="D723" s="307"/>
      <c r="E723" s="307"/>
      <c r="F723" s="371"/>
      <c r="G723" s="307"/>
      <c r="H723" s="307"/>
      <c r="I723" s="307"/>
      <c r="J723" s="371"/>
      <c r="K723" s="371"/>
      <c r="L723" s="371"/>
      <c r="M723" s="371"/>
      <c r="N723" s="371"/>
      <c r="O723" s="371"/>
      <c r="P723" s="371"/>
      <c r="Q723" s="371"/>
      <c r="R723" s="371"/>
      <c r="S723" s="371"/>
      <c r="T723" s="371"/>
    </row>
    <row r="724">
      <c r="A724" s="307"/>
      <c r="B724" s="307"/>
      <c r="C724" s="307"/>
      <c r="D724" s="307"/>
      <c r="E724" s="307"/>
      <c r="F724" s="371"/>
      <c r="G724" s="307"/>
      <c r="H724" s="307"/>
      <c r="I724" s="307"/>
      <c r="J724" s="371"/>
      <c r="K724" s="371"/>
      <c r="L724" s="371"/>
      <c r="M724" s="371"/>
      <c r="N724" s="371"/>
      <c r="O724" s="371"/>
      <c r="P724" s="371"/>
      <c r="Q724" s="371"/>
      <c r="R724" s="371"/>
      <c r="S724" s="371"/>
      <c r="T724" s="371"/>
    </row>
    <row r="725">
      <c r="A725" s="307"/>
      <c r="B725" s="307"/>
      <c r="C725" s="307"/>
      <c r="D725" s="307"/>
      <c r="E725" s="307"/>
      <c r="F725" s="371"/>
      <c r="G725" s="307"/>
      <c r="H725" s="307"/>
      <c r="I725" s="307"/>
      <c r="J725" s="371"/>
      <c r="K725" s="371"/>
      <c r="L725" s="371"/>
      <c r="M725" s="371"/>
      <c r="N725" s="371"/>
      <c r="O725" s="371"/>
      <c r="P725" s="371"/>
      <c r="Q725" s="371"/>
      <c r="R725" s="371"/>
      <c r="S725" s="371"/>
      <c r="T725" s="371"/>
    </row>
    <row r="726">
      <c r="A726" s="307"/>
      <c r="B726" s="307"/>
      <c r="C726" s="307"/>
      <c r="D726" s="307"/>
      <c r="E726" s="307"/>
      <c r="F726" s="371"/>
      <c r="G726" s="307"/>
      <c r="H726" s="307"/>
      <c r="I726" s="307"/>
      <c r="J726" s="371"/>
      <c r="K726" s="371"/>
      <c r="L726" s="371"/>
      <c r="M726" s="371"/>
      <c r="N726" s="371"/>
      <c r="O726" s="371"/>
      <c r="P726" s="371"/>
      <c r="Q726" s="371"/>
      <c r="R726" s="371"/>
      <c r="S726" s="371"/>
      <c r="T726" s="371"/>
    </row>
    <row r="727">
      <c r="A727" s="307"/>
      <c r="B727" s="307"/>
      <c r="C727" s="307"/>
      <c r="D727" s="307"/>
      <c r="E727" s="307"/>
      <c r="F727" s="371"/>
      <c r="G727" s="307"/>
      <c r="H727" s="307"/>
      <c r="I727" s="307"/>
      <c r="J727" s="371"/>
      <c r="K727" s="371"/>
      <c r="L727" s="371"/>
      <c r="M727" s="371"/>
      <c r="N727" s="371"/>
      <c r="O727" s="371"/>
      <c r="P727" s="371"/>
      <c r="Q727" s="371"/>
      <c r="R727" s="371"/>
      <c r="S727" s="371"/>
      <c r="T727" s="371"/>
    </row>
    <row r="728">
      <c r="A728" s="307"/>
      <c r="B728" s="307"/>
      <c r="C728" s="307"/>
      <c r="D728" s="307"/>
      <c r="E728" s="307"/>
      <c r="F728" s="371"/>
      <c r="G728" s="307"/>
      <c r="H728" s="307"/>
      <c r="I728" s="307"/>
      <c r="J728" s="371"/>
      <c r="K728" s="371"/>
      <c r="L728" s="371"/>
      <c r="M728" s="371"/>
      <c r="N728" s="371"/>
      <c r="O728" s="371"/>
      <c r="P728" s="371"/>
      <c r="Q728" s="371"/>
      <c r="R728" s="371"/>
      <c r="S728" s="371"/>
      <c r="T728" s="371"/>
    </row>
    <row r="729">
      <c r="A729" s="307"/>
      <c r="B729" s="307"/>
      <c r="C729" s="307"/>
      <c r="D729" s="307"/>
      <c r="E729" s="307"/>
      <c r="F729" s="371"/>
      <c r="G729" s="307"/>
      <c r="H729" s="307"/>
      <c r="I729" s="307"/>
      <c r="J729" s="371"/>
      <c r="K729" s="371"/>
      <c r="L729" s="371"/>
      <c r="M729" s="371"/>
      <c r="N729" s="371"/>
      <c r="O729" s="371"/>
      <c r="P729" s="371"/>
      <c r="Q729" s="371"/>
      <c r="R729" s="371"/>
      <c r="S729" s="371"/>
      <c r="T729" s="371"/>
    </row>
    <row r="730">
      <c r="A730" s="307"/>
      <c r="B730" s="307"/>
      <c r="C730" s="307"/>
      <c r="D730" s="307"/>
      <c r="E730" s="307"/>
      <c r="F730" s="371"/>
      <c r="G730" s="307"/>
      <c r="H730" s="307"/>
      <c r="I730" s="307"/>
      <c r="J730" s="371"/>
      <c r="K730" s="371"/>
      <c r="L730" s="371"/>
      <c r="M730" s="371"/>
      <c r="N730" s="371"/>
      <c r="O730" s="371"/>
      <c r="P730" s="371"/>
      <c r="Q730" s="371"/>
      <c r="R730" s="371"/>
      <c r="S730" s="371"/>
      <c r="T730" s="371"/>
    </row>
    <row r="731">
      <c r="A731" s="307"/>
      <c r="B731" s="307"/>
      <c r="C731" s="307"/>
      <c r="D731" s="307"/>
      <c r="E731" s="307"/>
      <c r="F731" s="371"/>
      <c r="G731" s="307"/>
      <c r="H731" s="307"/>
      <c r="I731" s="307"/>
      <c r="J731" s="371"/>
      <c r="K731" s="371"/>
      <c r="L731" s="371"/>
      <c r="M731" s="371"/>
      <c r="N731" s="371"/>
      <c r="O731" s="371"/>
      <c r="P731" s="371"/>
      <c r="Q731" s="371"/>
      <c r="R731" s="371"/>
      <c r="S731" s="371"/>
      <c r="T731" s="371"/>
    </row>
    <row r="732">
      <c r="A732" s="307"/>
      <c r="B732" s="307"/>
      <c r="C732" s="307"/>
      <c r="D732" s="307"/>
      <c r="E732" s="307"/>
      <c r="F732" s="371"/>
      <c r="G732" s="307"/>
      <c r="H732" s="307"/>
      <c r="I732" s="307"/>
      <c r="J732" s="371"/>
      <c r="K732" s="371"/>
      <c r="L732" s="371"/>
      <c r="M732" s="371"/>
      <c r="N732" s="371"/>
      <c r="O732" s="371"/>
      <c r="P732" s="371"/>
      <c r="Q732" s="371"/>
      <c r="R732" s="371"/>
      <c r="S732" s="371"/>
      <c r="T732" s="371"/>
    </row>
    <row r="733">
      <c r="A733" s="307"/>
      <c r="B733" s="307"/>
      <c r="C733" s="307"/>
      <c r="D733" s="307"/>
      <c r="E733" s="307"/>
      <c r="F733" s="371"/>
      <c r="G733" s="307"/>
      <c r="H733" s="307"/>
      <c r="I733" s="307"/>
      <c r="J733" s="371"/>
      <c r="K733" s="371"/>
      <c r="L733" s="371"/>
      <c r="M733" s="371"/>
      <c r="N733" s="371"/>
      <c r="O733" s="371"/>
      <c r="P733" s="371"/>
      <c r="Q733" s="371"/>
      <c r="R733" s="371"/>
      <c r="S733" s="371"/>
      <c r="T733" s="371"/>
    </row>
    <row r="734">
      <c r="A734" s="307"/>
      <c r="B734" s="307"/>
      <c r="C734" s="307"/>
      <c r="D734" s="307"/>
      <c r="E734" s="307"/>
      <c r="F734" s="371"/>
      <c r="G734" s="307"/>
      <c r="H734" s="307"/>
      <c r="I734" s="307"/>
      <c r="J734" s="371"/>
      <c r="K734" s="371"/>
      <c r="L734" s="371"/>
      <c r="M734" s="371"/>
      <c r="N734" s="371"/>
      <c r="O734" s="371"/>
      <c r="P734" s="371"/>
      <c r="Q734" s="371"/>
      <c r="R734" s="371"/>
      <c r="S734" s="371"/>
      <c r="T734" s="371"/>
    </row>
    <row r="735">
      <c r="A735" s="307"/>
      <c r="B735" s="307"/>
      <c r="C735" s="307"/>
      <c r="D735" s="307"/>
      <c r="E735" s="307"/>
      <c r="F735" s="371"/>
      <c r="G735" s="307"/>
      <c r="H735" s="307"/>
      <c r="I735" s="307"/>
      <c r="J735" s="371"/>
      <c r="K735" s="371"/>
      <c r="L735" s="371"/>
      <c r="M735" s="371"/>
      <c r="N735" s="371"/>
      <c r="O735" s="371"/>
      <c r="P735" s="371"/>
      <c r="Q735" s="371"/>
      <c r="R735" s="371"/>
      <c r="S735" s="371"/>
      <c r="T735" s="371"/>
    </row>
    <row r="736">
      <c r="A736" s="307"/>
      <c r="B736" s="307"/>
      <c r="C736" s="307"/>
      <c r="D736" s="307"/>
      <c r="E736" s="307"/>
      <c r="F736" s="371"/>
      <c r="G736" s="307"/>
      <c r="H736" s="307"/>
      <c r="I736" s="307"/>
      <c r="J736" s="371"/>
      <c r="K736" s="371"/>
      <c r="L736" s="371"/>
      <c r="M736" s="371"/>
      <c r="N736" s="371"/>
      <c r="O736" s="371"/>
      <c r="P736" s="371"/>
      <c r="Q736" s="371"/>
      <c r="R736" s="371"/>
      <c r="S736" s="371"/>
      <c r="T736" s="371"/>
    </row>
    <row r="737">
      <c r="A737" s="307"/>
      <c r="B737" s="307"/>
      <c r="C737" s="307"/>
      <c r="D737" s="307"/>
      <c r="E737" s="307"/>
      <c r="F737" s="371"/>
      <c r="G737" s="307"/>
      <c r="H737" s="307"/>
      <c r="I737" s="307"/>
      <c r="J737" s="371"/>
      <c r="K737" s="371"/>
      <c r="L737" s="371"/>
      <c r="M737" s="371"/>
      <c r="N737" s="371"/>
      <c r="O737" s="371"/>
      <c r="P737" s="371"/>
      <c r="Q737" s="371"/>
      <c r="R737" s="371"/>
      <c r="S737" s="371"/>
      <c r="T737" s="371"/>
    </row>
    <row r="738">
      <c r="A738" s="307"/>
      <c r="B738" s="307"/>
      <c r="C738" s="307"/>
      <c r="D738" s="307"/>
      <c r="E738" s="307"/>
      <c r="F738" s="371"/>
      <c r="G738" s="307"/>
      <c r="H738" s="307"/>
      <c r="I738" s="307"/>
      <c r="J738" s="371"/>
      <c r="K738" s="371"/>
      <c r="L738" s="371"/>
      <c r="M738" s="371"/>
      <c r="N738" s="371"/>
      <c r="O738" s="371"/>
      <c r="P738" s="371"/>
      <c r="Q738" s="371"/>
      <c r="R738" s="371"/>
      <c r="S738" s="371"/>
      <c r="T738" s="371"/>
    </row>
    <row r="739">
      <c r="A739" s="307"/>
      <c r="B739" s="307"/>
      <c r="C739" s="307"/>
      <c r="D739" s="307"/>
      <c r="E739" s="307"/>
      <c r="F739" s="371"/>
      <c r="G739" s="307"/>
      <c r="H739" s="307"/>
      <c r="I739" s="307"/>
      <c r="J739" s="371"/>
      <c r="K739" s="371"/>
      <c r="L739" s="371"/>
      <c r="M739" s="371"/>
      <c r="N739" s="371"/>
      <c r="O739" s="371"/>
      <c r="P739" s="371"/>
      <c r="Q739" s="371"/>
      <c r="R739" s="371"/>
      <c r="S739" s="371"/>
      <c r="T739" s="371"/>
    </row>
    <row r="740">
      <c r="A740" s="307"/>
      <c r="B740" s="307"/>
      <c r="C740" s="307"/>
      <c r="D740" s="307"/>
      <c r="E740" s="307"/>
      <c r="F740" s="371"/>
      <c r="G740" s="307"/>
      <c r="H740" s="307"/>
      <c r="I740" s="307"/>
      <c r="J740" s="371"/>
      <c r="K740" s="371"/>
      <c r="L740" s="371"/>
      <c r="M740" s="371"/>
      <c r="N740" s="371"/>
      <c r="O740" s="371"/>
      <c r="P740" s="371"/>
      <c r="Q740" s="371"/>
      <c r="R740" s="371"/>
      <c r="S740" s="371"/>
      <c r="T740" s="371"/>
    </row>
    <row r="741">
      <c r="A741" s="307"/>
      <c r="B741" s="307"/>
      <c r="C741" s="307"/>
      <c r="D741" s="307"/>
      <c r="E741" s="307"/>
      <c r="F741" s="371"/>
      <c r="G741" s="307"/>
      <c r="H741" s="307"/>
      <c r="I741" s="307"/>
      <c r="J741" s="371"/>
      <c r="K741" s="371"/>
      <c r="L741" s="371"/>
      <c r="M741" s="371"/>
      <c r="N741" s="371"/>
      <c r="O741" s="371"/>
      <c r="P741" s="371"/>
      <c r="Q741" s="371"/>
      <c r="R741" s="371"/>
      <c r="S741" s="371"/>
      <c r="T741" s="371"/>
    </row>
    <row r="742">
      <c r="A742" s="307"/>
      <c r="B742" s="307"/>
      <c r="C742" s="307"/>
      <c r="D742" s="307"/>
      <c r="E742" s="307"/>
      <c r="F742" s="371"/>
      <c r="G742" s="307"/>
      <c r="H742" s="307"/>
      <c r="I742" s="307"/>
      <c r="J742" s="371"/>
      <c r="K742" s="371"/>
      <c r="L742" s="371"/>
      <c r="M742" s="371"/>
      <c r="N742" s="371"/>
      <c r="O742" s="371"/>
      <c r="P742" s="371"/>
      <c r="Q742" s="371"/>
      <c r="R742" s="371"/>
      <c r="S742" s="371"/>
      <c r="T742" s="371"/>
    </row>
    <row r="743">
      <c r="A743" s="307"/>
      <c r="B743" s="307"/>
      <c r="C743" s="307"/>
      <c r="D743" s="307"/>
      <c r="E743" s="307"/>
      <c r="F743" s="371"/>
      <c r="G743" s="307"/>
      <c r="H743" s="307"/>
      <c r="I743" s="307"/>
      <c r="J743" s="371"/>
      <c r="K743" s="371"/>
      <c r="L743" s="371"/>
      <c r="M743" s="371"/>
      <c r="N743" s="371"/>
      <c r="O743" s="371"/>
      <c r="P743" s="371"/>
      <c r="Q743" s="371"/>
      <c r="R743" s="371"/>
      <c r="S743" s="371"/>
      <c r="T743" s="371"/>
    </row>
    <row r="744">
      <c r="A744" s="307"/>
      <c r="B744" s="307"/>
      <c r="C744" s="307"/>
      <c r="D744" s="307"/>
      <c r="E744" s="307"/>
      <c r="F744" s="371"/>
      <c r="G744" s="307"/>
      <c r="H744" s="307"/>
      <c r="I744" s="307"/>
      <c r="J744" s="371"/>
      <c r="K744" s="371"/>
      <c r="L744" s="371"/>
      <c r="M744" s="371"/>
      <c r="N744" s="371"/>
      <c r="O744" s="371"/>
      <c r="P744" s="371"/>
      <c r="Q744" s="371"/>
      <c r="R744" s="371"/>
      <c r="S744" s="371"/>
      <c r="T744" s="371"/>
    </row>
    <row r="745">
      <c r="A745" s="307"/>
      <c r="B745" s="307"/>
      <c r="C745" s="307"/>
      <c r="D745" s="307"/>
      <c r="E745" s="307"/>
      <c r="F745" s="371"/>
      <c r="G745" s="307"/>
      <c r="H745" s="307"/>
      <c r="I745" s="307"/>
      <c r="J745" s="371"/>
      <c r="K745" s="371"/>
      <c r="L745" s="371"/>
      <c r="M745" s="371"/>
      <c r="N745" s="371"/>
      <c r="O745" s="371"/>
      <c r="P745" s="371"/>
      <c r="Q745" s="371"/>
      <c r="R745" s="371"/>
      <c r="S745" s="371"/>
      <c r="T745" s="371"/>
    </row>
    <row r="746">
      <c r="A746" s="307"/>
      <c r="B746" s="307"/>
      <c r="C746" s="307"/>
      <c r="D746" s="307"/>
      <c r="E746" s="307"/>
      <c r="F746" s="371"/>
      <c r="G746" s="307"/>
      <c r="H746" s="307"/>
      <c r="I746" s="307"/>
      <c r="J746" s="371"/>
      <c r="K746" s="371"/>
      <c r="L746" s="371"/>
      <c r="M746" s="371"/>
      <c r="N746" s="371"/>
      <c r="O746" s="371"/>
      <c r="P746" s="371"/>
      <c r="Q746" s="371"/>
      <c r="R746" s="371"/>
      <c r="S746" s="371"/>
      <c r="T746" s="371"/>
    </row>
    <row r="747">
      <c r="A747" s="307"/>
      <c r="B747" s="307"/>
      <c r="C747" s="307"/>
      <c r="D747" s="307"/>
      <c r="E747" s="307"/>
      <c r="F747" s="371"/>
      <c r="G747" s="307"/>
      <c r="H747" s="307"/>
      <c r="I747" s="307"/>
      <c r="J747" s="371"/>
      <c r="K747" s="371"/>
      <c r="L747" s="371"/>
      <c r="M747" s="371"/>
      <c r="N747" s="371"/>
      <c r="O747" s="371"/>
      <c r="P747" s="371"/>
      <c r="Q747" s="371"/>
      <c r="R747" s="371"/>
      <c r="S747" s="371"/>
      <c r="T747" s="371"/>
    </row>
    <row r="748">
      <c r="A748" s="307"/>
      <c r="B748" s="307"/>
      <c r="C748" s="307"/>
      <c r="D748" s="307"/>
      <c r="E748" s="307"/>
      <c r="F748" s="371"/>
      <c r="G748" s="307"/>
      <c r="H748" s="307"/>
      <c r="I748" s="307"/>
      <c r="J748" s="371"/>
      <c r="K748" s="371"/>
      <c r="L748" s="371"/>
      <c r="M748" s="371"/>
      <c r="N748" s="371"/>
      <c r="O748" s="371"/>
      <c r="P748" s="371"/>
      <c r="Q748" s="371"/>
      <c r="R748" s="371"/>
      <c r="S748" s="371"/>
      <c r="T748" s="371"/>
    </row>
    <row r="749">
      <c r="A749" s="307"/>
      <c r="B749" s="307"/>
      <c r="C749" s="307"/>
      <c r="D749" s="307"/>
      <c r="E749" s="307"/>
      <c r="F749" s="371"/>
      <c r="G749" s="307"/>
      <c r="H749" s="307"/>
      <c r="I749" s="307"/>
      <c r="J749" s="371"/>
      <c r="K749" s="371"/>
      <c r="L749" s="371"/>
      <c r="M749" s="371"/>
      <c r="N749" s="371"/>
      <c r="O749" s="371"/>
      <c r="P749" s="371"/>
      <c r="Q749" s="371"/>
      <c r="R749" s="371"/>
      <c r="S749" s="371"/>
      <c r="T749" s="371"/>
    </row>
    <row r="750">
      <c r="A750" s="307"/>
      <c r="B750" s="307"/>
      <c r="C750" s="307"/>
      <c r="D750" s="307"/>
      <c r="E750" s="307"/>
      <c r="F750" s="371"/>
      <c r="G750" s="307"/>
      <c r="H750" s="307"/>
      <c r="I750" s="307"/>
      <c r="J750" s="371"/>
      <c r="K750" s="371"/>
      <c r="L750" s="371"/>
      <c r="M750" s="371"/>
      <c r="N750" s="371"/>
      <c r="O750" s="371"/>
      <c r="P750" s="371"/>
      <c r="Q750" s="371"/>
      <c r="R750" s="371"/>
      <c r="S750" s="371"/>
      <c r="T750" s="371"/>
    </row>
    <row r="751">
      <c r="A751" s="307"/>
      <c r="B751" s="307"/>
      <c r="C751" s="307"/>
      <c r="D751" s="307"/>
      <c r="E751" s="307"/>
      <c r="F751" s="371"/>
      <c r="G751" s="307"/>
      <c r="H751" s="307"/>
      <c r="I751" s="307"/>
      <c r="J751" s="371"/>
      <c r="K751" s="371"/>
      <c r="L751" s="371"/>
      <c r="M751" s="371"/>
      <c r="N751" s="371"/>
      <c r="O751" s="371"/>
      <c r="P751" s="371"/>
      <c r="Q751" s="371"/>
      <c r="R751" s="371"/>
      <c r="S751" s="371"/>
      <c r="T751" s="371"/>
    </row>
    <row r="752">
      <c r="A752" s="307"/>
      <c r="B752" s="307"/>
      <c r="C752" s="307"/>
      <c r="D752" s="307"/>
      <c r="E752" s="307"/>
      <c r="F752" s="371"/>
      <c r="G752" s="307"/>
      <c r="H752" s="307"/>
      <c r="I752" s="307"/>
      <c r="J752" s="371"/>
      <c r="K752" s="371"/>
      <c r="L752" s="371"/>
      <c r="M752" s="371"/>
      <c r="N752" s="371"/>
      <c r="O752" s="371"/>
      <c r="P752" s="371"/>
      <c r="Q752" s="371"/>
      <c r="R752" s="371"/>
      <c r="S752" s="371"/>
      <c r="T752" s="371"/>
    </row>
    <row r="753">
      <c r="A753" s="307"/>
      <c r="B753" s="307"/>
      <c r="C753" s="307"/>
      <c r="D753" s="307"/>
      <c r="E753" s="307"/>
      <c r="F753" s="371"/>
      <c r="G753" s="307"/>
      <c r="H753" s="307"/>
      <c r="I753" s="307"/>
      <c r="J753" s="371"/>
      <c r="K753" s="371"/>
      <c r="L753" s="371"/>
      <c r="M753" s="371"/>
      <c r="N753" s="371"/>
      <c r="O753" s="371"/>
      <c r="P753" s="371"/>
      <c r="Q753" s="371"/>
      <c r="R753" s="371"/>
      <c r="S753" s="371"/>
      <c r="T753" s="371"/>
    </row>
    <row r="754">
      <c r="A754" s="307"/>
      <c r="B754" s="307"/>
      <c r="C754" s="307"/>
      <c r="D754" s="307"/>
      <c r="E754" s="307"/>
      <c r="F754" s="371"/>
      <c r="G754" s="307"/>
      <c r="H754" s="307"/>
      <c r="I754" s="307"/>
      <c r="J754" s="371"/>
      <c r="K754" s="371"/>
      <c r="L754" s="371"/>
      <c r="M754" s="371"/>
      <c r="N754" s="371"/>
      <c r="O754" s="371"/>
      <c r="P754" s="371"/>
      <c r="Q754" s="371"/>
      <c r="R754" s="371"/>
      <c r="S754" s="371"/>
      <c r="T754" s="371"/>
    </row>
    <row r="755">
      <c r="A755" s="307"/>
      <c r="B755" s="307"/>
      <c r="C755" s="307"/>
      <c r="D755" s="307"/>
      <c r="E755" s="307"/>
      <c r="F755" s="371"/>
      <c r="G755" s="307"/>
      <c r="H755" s="307"/>
      <c r="I755" s="307"/>
      <c r="J755" s="371"/>
      <c r="K755" s="371"/>
      <c r="L755" s="371"/>
      <c r="M755" s="371"/>
      <c r="N755" s="371"/>
      <c r="O755" s="371"/>
      <c r="P755" s="371"/>
      <c r="Q755" s="371"/>
      <c r="R755" s="371"/>
      <c r="S755" s="371"/>
      <c r="T755" s="371"/>
    </row>
    <row r="756">
      <c r="A756" s="307"/>
      <c r="B756" s="307"/>
      <c r="C756" s="307"/>
      <c r="D756" s="307"/>
      <c r="E756" s="307"/>
      <c r="F756" s="371"/>
      <c r="G756" s="307"/>
      <c r="H756" s="307"/>
      <c r="I756" s="307"/>
      <c r="J756" s="371"/>
      <c r="K756" s="371"/>
      <c r="L756" s="371"/>
      <c r="M756" s="371"/>
      <c r="N756" s="371"/>
      <c r="O756" s="371"/>
      <c r="P756" s="371"/>
      <c r="Q756" s="371"/>
      <c r="R756" s="371"/>
      <c r="S756" s="371"/>
      <c r="T756" s="371"/>
    </row>
    <row r="757">
      <c r="A757" s="307"/>
      <c r="B757" s="307"/>
      <c r="C757" s="307"/>
      <c r="D757" s="307"/>
      <c r="E757" s="307"/>
      <c r="F757" s="371"/>
      <c r="G757" s="307"/>
      <c r="H757" s="307"/>
      <c r="I757" s="307"/>
      <c r="J757" s="371"/>
      <c r="K757" s="371"/>
      <c r="L757" s="371"/>
      <c r="M757" s="371"/>
      <c r="N757" s="371"/>
      <c r="O757" s="371"/>
      <c r="P757" s="371"/>
      <c r="Q757" s="371"/>
      <c r="R757" s="371"/>
      <c r="S757" s="371"/>
      <c r="T757" s="371"/>
    </row>
    <row r="758">
      <c r="A758" s="307"/>
      <c r="B758" s="307"/>
      <c r="C758" s="307"/>
      <c r="D758" s="307"/>
      <c r="E758" s="307"/>
      <c r="F758" s="371"/>
      <c r="G758" s="307"/>
      <c r="H758" s="307"/>
      <c r="I758" s="307"/>
      <c r="J758" s="371"/>
      <c r="K758" s="371"/>
      <c r="L758" s="371"/>
      <c r="M758" s="371"/>
      <c r="N758" s="371"/>
      <c r="O758" s="371"/>
      <c r="P758" s="371"/>
      <c r="Q758" s="371"/>
      <c r="R758" s="371"/>
      <c r="S758" s="371"/>
      <c r="T758" s="371"/>
    </row>
    <row r="759">
      <c r="A759" s="307"/>
      <c r="B759" s="307"/>
      <c r="C759" s="307"/>
      <c r="D759" s="307"/>
      <c r="E759" s="307"/>
      <c r="F759" s="371"/>
      <c r="G759" s="307"/>
      <c r="H759" s="307"/>
      <c r="I759" s="307"/>
      <c r="J759" s="371"/>
      <c r="K759" s="371"/>
      <c r="L759" s="371"/>
      <c r="M759" s="371"/>
      <c r="N759" s="371"/>
      <c r="O759" s="371"/>
      <c r="P759" s="371"/>
      <c r="Q759" s="371"/>
      <c r="R759" s="371"/>
      <c r="S759" s="371"/>
      <c r="T759" s="371"/>
    </row>
    <row r="760">
      <c r="A760" s="307"/>
      <c r="B760" s="307"/>
      <c r="C760" s="307"/>
      <c r="D760" s="307"/>
      <c r="E760" s="307"/>
      <c r="F760" s="371"/>
      <c r="G760" s="307"/>
      <c r="H760" s="307"/>
      <c r="I760" s="307"/>
      <c r="J760" s="371"/>
      <c r="K760" s="371"/>
      <c r="L760" s="371"/>
      <c r="M760" s="371"/>
      <c r="N760" s="371"/>
      <c r="O760" s="371"/>
      <c r="P760" s="371"/>
      <c r="Q760" s="371"/>
      <c r="R760" s="371"/>
      <c r="S760" s="371"/>
      <c r="T760" s="371"/>
    </row>
    <row r="761">
      <c r="A761" s="307"/>
      <c r="B761" s="307"/>
      <c r="C761" s="307"/>
      <c r="D761" s="307"/>
      <c r="E761" s="307"/>
      <c r="F761" s="371"/>
      <c r="G761" s="307"/>
      <c r="H761" s="307"/>
      <c r="I761" s="307"/>
      <c r="J761" s="371"/>
      <c r="K761" s="371"/>
      <c r="L761" s="371"/>
      <c r="M761" s="371"/>
      <c r="N761" s="371"/>
      <c r="O761" s="371"/>
      <c r="P761" s="371"/>
      <c r="Q761" s="371"/>
      <c r="R761" s="371"/>
      <c r="S761" s="371"/>
      <c r="T761" s="371"/>
    </row>
    <row r="762">
      <c r="A762" s="307"/>
      <c r="B762" s="307"/>
      <c r="C762" s="307"/>
      <c r="D762" s="307"/>
      <c r="E762" s="307"/>
      <c r="F762" s="371"/>
      <c r="G762" s="307"/>
      <c r="H762" s="307"/>
      <c r="I762" s="307"/>
      <c r="J762" s="371"/>
      <c r="K762" s="371"/>
      <c r="L762" s="371"/>
      <c r="M762" s="371"/>
      <c r="N762" s="371"/>
      <c r="O762" s="371"/>
      <c r="P762" s="371"/>
      <c r="Q762" s="371"/>
      <c r="R762" s="371"/>
      <c r="S762" s="371"/>
      <c r="T762" s="371"/>
    </row>
    <row r="763">
      <c r="A763" s="307"/>
      <c r="B763" s="307"/>
      <c r="C763" s="307"/>
      <c r="D763" s="307"/>
      <c r="E763" s="307"/>
      <c r="F763" s="371"/>
      <c r="G763" s="307"/>
      <c r="H763" s="307"/>
      <c r="I763" s="307"/>
      <c r="J763" s="371"/>
      <c r="K763" s="371"/>
      <c r="L763" s="371"/>
      <c r="M763" s="371"/>
      <c r="N763" s="371"/>
      <c r="O763" s="371"/>
      <c r="P763" s="371"/>
      <c r="Q763" s="371"/>
      <c r="R763" s="371"/>
      <c r="S763" s="371"/>
      <c r="T763" s="371"/>
    </row>
    <row r="764">
      <c r="A764" s="307"/>
      <c r="B764" s="307"/>
      <c r="C764" s="307"/>
      <c r="D764" s="307"/>
      <c r="E764" s="307"/>
      <c r="F764" s="371"/>
      <c r="G764" s="307"/>
      <c r="H764" s="307"/>
      <c r="I764" s="307"/>
      <c r="J764" s="371"/>
      <c r="K764" s="371"/>
      <c r="L764" s="371"/>
      <c r="M764" s="371"/>
      <c r="N764" s="371"/>
      <c r="O764" s="371"/>
      <c r="P764" s="371"/>
      <c r="Q764" s="371"/>
      <c r="R764" s="371"/>
      <c r="S764" s="371"/>
      <c r="T764" s="371"/>
    </row>
    <row r="765">
      <c r="A765" s="307"/>
      <c r="B765" s="307"/>
      <c r="C765" s="307"/>
      <c r="D765" s="307"/>
      <c r="E765" s="307"/>
      <c r="F765" s="371"/>
      <c r="G765" s="307"/>
      <c r="H765" s="307"/>
      <c r="I765" s="307"/>
      <c r="J765" s="371"/>
      <c r="K765" s="371"/>
      <c r="L765" s="371"/>
      <c r="M765" s="371"/>
      <c r="N765" s="371"/>
      <c r="O765" s="371"/>
      <c r="P765" s="371"/>
      <c r="Q765" s="371"/>
      <c r="R765" s="371"/>
      <c r="S765" s="371"/>
      <c r="T765" s="371"/>
    </row>
    <row r="766">
      <c r="A766" s="307"/>
      <c r="B766" s="307"/>
      <c r="C766" s="307"/>
      <c r="D766" s="307"/>
      <c r="E766" s="307"/>
      <c r="F766" s="371"/>
      <c r="G766" s="307"/>
      <c r="H766" s="307"/>
      <c r="I766" s="307"/>
      <c r="J766" s="371"/>
      <c r="K766" s="371"/>
      <c r="L766" s="371"/>
      <c r="M766" s="371"/>
      <c r="N766" s="371"/>
      <c r="O766" s="371"/>
      <c r="P766" s="371"/>
      <c r="Q766" s="371"/>
      <c r="R766" s="371"/>
      <c r="S766" s="371"/>
      <c r="T766" s="371"/>
    </row>
    <row r="767">
      <c r="A767" s="307"/>
      <c r="B767" s="307"/>
      <c r="C767" s="307"/>
      <c r="D767" s="307"/>
      <c r="E767" s="307"/>
      <c r="F767" s="371"/>
      <c r="G767" s="307"/>
      <c r="H767" s="307"/>
      <c r="I767" s="307"/>
      <c r="J767" s="371"/>
      <c r="K767" s="371"/>
      <c r="L767" s="371"/>
      <c r="M767" s="371"/>
      <c r="N767" s="371"/>
      <c r="O767" s="371"/>
      <c r="P767" s="371"/>
      <c r="Q767" s="371"/>
      <c r="R767" s="371"/>
      <c r="S767" s="371"/>
      <c r="T767" s="371"/>
    </row>
    <row r="768">
      <c r="A768" s="307"/>
      <c r="B768" s="307"/>
      <c r="C768" s="307"/>
      <c r="D768" s="307"/>
      <c r="E768" s="307"/>
      <c r="F768" s="371"/>
      <c r="G768" s="307"/>
      <c r="H768" s="307"/>
      <c r="I768" s="307"/>
      <c r="J768" s="371"/>
      <c r="K768" s="371"/>
      <c r="L768" s="371"/>
      <c r="M768" s="371"/>
      <c r="N768" s="371"/>
      <c r="O768" s="371"/>
      <c r="P768" s="371"/>
      <c r="Q768" s="371"/>
      <c r="R768" s="371"/>
      <c r="S768" s="371"/>
      <c r="T768" s="371"/>
    </row>
    <row r="769">
      <c r="A769" s="307"/>
      <c r="B769" s="307"/>
      <c r="C769" s="307"/>
      <c r="D769" s="307"/>
      <c r="E769" s="307"/>
      <c r="F769" s="371"/>
      <c r="G769" s="307"/>
      <c r="H769" s="307"/>
      <c r="I769" s="307"/>
      <c r="J769" s="371"/>
      <c r="K769" s="371"/>
      <c r="L769" s="371"/>
      <c r="M769" s="371"/>
      <c r="N769" s="371"/>
      <c r="O769" s="371"/>
      <c r="P769" s="371"/>
      <c r="Q769" s="371"/>
      <c r="R769" s="371"/>
      <c r="S769" s="371"/>
      <c r="T769" s="371"/>
    </row>
    <row r="770">
      <c r="A770" s="307"/>
      <c r="B770" s="307"/>
      <c r="C770" s="307"/>
      <c r="D770" s="307"/>
      <c r="E770" s="307"/>
      <c r="F770" s="371"/>
      <c r="G770" s="307"/>
      <c r="H770" s="307"/>
      <c r="I770" s="307"/>
      <c r="J770" s="371"/>
      <c r="K770" s="371"/>
      <c r="L770" s="371"/>
      <c r="M770" s="371"/>
      <c r="N770" s="371"/>
      <c r="O770" s="371"/>
      <c r="P770" s="371"/>
      <c r="Q770" s="371"/>
      <c r="R770" s="371"/>
      <c r="S770" s="371"/>
      <c r="T770" s="371"/>
    </row>
    <row r="771">
      <c r="A771" s="307"/>
      <c r="B771" s="307"/>
      <c r="C771" s="307"/>
      <c r="D771" s="307"/>
      <c r="E771" s="307"/>
      <c r="F771" s="371"/>
      <c r="G771" s="307"/>
      <c r="H771" s="307"/>
      <c r="I771" s="307"/>
      <c r="J771" s="371"/>
      <c r="K771" s="371"/>
      <c r="L771" s="371"/>
      <c r="M771" s="371"/>
      <c r="N771" s="371"/>
      <c r="O771" s="371"/>
      <c r="P771" s="371"/>
      <c r="Q771" s="371"/>
      <c r="R771" s="371"/>
      <c r="S771" s="371"/>
      <c r="T771" s="371"/>
    </row>
    <row r="772">
      <c r="A772" s="307"/>
      <c r="B772" s="307"/>
      <c r="C772" s="307"/>
      <c r="D772" s="307"/>
      <c r="E772" s="307"/>
      <c r="F772" s="371"/>
      <c r="G772" s="307"/>
      <c r="H772" s="307"/>
      <c r="I772" s="307"/>
      <c r="J772" s="371"/>
      <c r="K772" s="371"/>
      <c r="L772" s="371"/>
      <c r="M772" s="371"/>
      <c r="N772" s="371"/>
      <c r="O772" s="371"/>
      <c r="P772" s="371"/>
      <c r="Q772" s="371"/>
      <c r="R772" s="371"/>
      <c r="S772" s="371"/>
      <c r="T772" s="371"/>
    </row>
    <row r="773">
      <c r="A773" s="307"/>
      <c r="B773" s="307"/>
      <c r="C773" s="307"/>
      <c r="D773" s="307"/>
      <c r="E773" s="307"/>
      <c r="F773" s="371"/>
      <c r="G773" s="307"/>
      <c r="H773" s="307"/>
      <c r="I773" s="307"/>
      <c r="J773" s="371"/>
      <c r="K773" s="371"/>
      <c r="L773" s="371"/>
      <c r="M773" s="371"/>
      <c r="N773" s="371"/>
      <c r="O773" s="371"/>
      <c r="P773" s="371"/>
      <c r="Q773" s="371"/>
      <c r="R773" s="371"/>
      <c r="S773" s="371"/>
      <c r="T773" s="371"/>
    </row>
    <row r="774">
      <c r="A774" s="307"/>
      <c r="B774" s="307"/>
      <c r="C774" s="307"/>
      <c r="D774" s="307"/>
      <c r="E774" s="307"/>
      <c r="F774" s="371"/>
      <c r="G774" s="307"/>
      <c r="H774" s="307"/>
      <c r="I774" s="307"/>
      <c r="J774" s="371"/>
      <c r="K774" s="371"/>
      <c r="L774" s="371"/>
      <c r="M774" s="371"/>
      <c r="N774" s="371"/>
      <c r="O774" s="371"/>
      <c r="P774" s="371"/>
      <c r="Q774" s="371"/>
      <c r="R774" s="371"/>
      <c r="S774" s="371"/>
      <c r="T774" s="371"/>
    </row>
    <row r="775">
      <c r="A775" s="307"/>
      <c r="B775" s="307"/>
      <c r="C775" s="307"/>
      <c r="D775" s="307"/>
      <c r="E775" s="307"/>
      <c r="F775" s="371"/>
      <c r="G775" s="307"/>
      <c r="H775" s="307"/>
      <c r="I775" s="307"/>
      <c r="J775" s="371"/>
      <c r="K775" s="371"/>
      <c r="L775" s="371"/>
      <c r="M775" s="371"/>
      <c r="N775" s="371"/>
      <c r="O775" s="371"/>
      <c r="P775" s="371"/>
      <c r="Q775" s="371"/>
      <c r="R775" s="371"/>
      <c r="S775" s="371"/>
      <c r="T775" s="371"/>
    </row>
    <row r="776">
      <c r="A776" s="307"/>
      <c r="B776" s="307"/>
      <c r="C776" s="307"/>
      <c r="D776" s="307"/>
      <c r="E776" s="307"/>
      <c r="F776" s="371"/>
      <c r="G776" s="307"/>
      <c r="H776" s="307"/>
      <c r="I776" s="307"/>
      <c r="J776" s="371"/>
      <c r="K776" s="371"/>
      <c r="L776" s="371"/>
      <c r="M776" s="371"/>
      <c r="N776" s="371"/>
      <c r="O776" s="371"/>
      <c r="P776" s="371"/>
      <c r="Q776" s="371"/>
      <c r="R776" s="371"/>
      <c r="S776" s="371"/>
      <c r="T776" s="371"/>
    </row>
    <row r="777">
      <c r="A777" s="307"/>
      <c r="B777" s="307"/>
      <c r="C777" s="307"/>
      <c r="D777" s="307"/>
      <c r="E777" s="307"/>
      <c r="F777" s="371"/>
      <c r="G777" s="307"/>
      <c r="H777" s="307"/>
      <c r="I777" s="307"/>
      <c r="J777" s="371"/>
      <c r="K777" s="371"/>
      <c r="L777" s="371"/>
      <c r="M777" s="371"/>
      <c r="N777" s="371"/>
      <c r="O777" s="371"/>
      <c r="P777" s="371"/>
      <c r="Q777" s="371"/>
      <c r="R777" s="371"/>
      <c r="S777" s="371"/>
      <c r="T777" s="371"/>
    </row>
    <row r="778">
      <c r="A778" s="307"/>
      <c r="B778" s="307"/>
      <c r="C778" s="307"/>
      <c r="D778" s="307"/>
      <c r="E778" s="307"/>
      <c r="F778" s="371"/>
      <c r="G778" s="307"/>
      <c r="H778" s="307"/>
      <c r="I778" s="307"/>
      <c r="J778" s="371"/>
      <c r="K778" s="371"/>
      <c r="L778" s="371"/>
      <c r="M778" s="371"/>
      <c r="N778" s="371"/>
      <c r="O778" s="371"/>
      <c r="P778" s="371"/>
      <c r="Q778" s="371"/>
      <c r="R778" s="371"/>
      <c r="S778" s="371"/>
      <c r="T778" s="371"/>
    </row>
    <row r="779">
      <c r="A779" s="307"/>
      <c r="B779" s="307"/>
      <c r="C779" s="307"/>
      <c r="D779" s="307"/>
      <c r="E779" s="307"/>
      <c r="F779" s="371"/>
      <c r="G779" s="307"/>
      <c r="H779" s="307"/>
      <c r="I779" s="307"/>
      <c r="J779" s="371"/>
      <c r="K779" s="371"/>
      <c r="L779" s="371"/>
      <c r="M779" s="371"/>
      <c r="N779" s="371"/>
      <c r="O779" s="371"/>
      <c r="P779" s="371"/>
      <c r="Q779" s="371"/>
      <c r="R779" s="371"/>
      <c r="S779" s="371"/>
      <c r="T779" s="371"/>
    </row>
    <row r="780">
      <c r="A780" s="307"/>
      <c r="B780" s="307"/>
      <c r="C780" s="307"/>
      <c r="D780" s="307"/>
      <c r="E780" s="307"/>
      <c r="F780" s="371"/>
      <c r="G780" s="307"/>
      <c r="H780" s="307"/>
      <c r="I780" s="307"/>
      <c r="J780" s="371"/>
      <c r="K780" s="371"/>
      <c r="L780" s="371"/>
      <c r="M780" s="371"/>
      <c r="N780" s="371"/>
      <c r="O780" s="371"/>
      <c r="P780" s="371"/>
      <c r="Q780" s="371"/>
      <c r="R780" s="371"/>
      <c r="S780" s="371"/>
      <c r="T780" s="371"/>
    </row>
    <row r="781">
      <c r="A781" s="307"/>
      <c r="B781" s="307"/>
      <c r="C781" s="307"/>
      <c r="D781" s="307"/>
      <c r="E781" s="307"/>
      <c r="F781" s="371"/>
      <c r="G781" s="307"/>
      <c r="H781" s="307"/>
      <c r="I781" s="307"/>
      <c r="J781" s="371"/>
      <c r="K781" s="371"/>
      <c r="L781" s="371"/>
      <c r="M781" s="371"/>
      <c r="N781" s="371"/>
      <c r="O781" s="371"/>
      <c r="P781" s="371"/>
      <c r="Q781" s="371"/>
      <c r="R781" s="371"/>
      <c r="S781" s="371"/>
      <c r="T781" s="371"/>
    </row>
    <row r="782">
      <c r="A782" s="307"/>
      <c r="B782" s="307"/>
      <c r="C782" s="307"/>
      <c r="D782" s="307"/>
      <c r="E782" s="307"/>
      <c r="F782" s="371"/>
      <c r="G782" s="307"/>
      <c r="H782" s="307"/>
      <c r="I782" s="307"/>
      <c r="J782" s="371"/>
      <c r="K782" s="371"/>
      <c r="L782" s="371"/>
      <c r="M782" s="371"/>
      <c r="N782" s="371"/>
      <c r="O782" s="371"/>
      <c r="P782" s="371"/>
      <c r="Q782" s="371"/>
      <c r="R782" s="371"/>
      <c r="S782" s="371"/>
      <c r="T782" s="371"/>
    </row>
    <row r="783">
      <c r="A783" s="307"/>
      <c r="B783" s="307"/>
      <c r="C783" s="307"/>
      <c r="D783" s="307"/>
      <c r="E783" s="307"/>
      <c r="F783" s="371"/>
      <c r="G783" s="307"/>
      <c r="H783" s="307"/>
      <c r="I783" s="307"/>
      <c r="J783" s="371"/>
      <c r="K783" s="371"/>
      <c r="L783" s="371"/>
      <c r="M783" s="371"/>
      <c r="N783" s="371"/>
      <c r="O783" s="371"/>
      <c r="P783" s="371"/>
      <c r="Q783" s="371"/>
      <c r="R783" s="371"/>
      <c r="S783" s="371"/>
      <c r="T783" s="371"/>
    </row>
    <row r="784">
      <c r="A784" s="307"/>
      <c r="B784" s="307"/>
      <c r="C784" s="307"/>
      <c r="D784" s="307"/>
      <c r="E784" s="307"/>
      <c r="F784" s="371"/>
      <c r="G784" s="307"/>
      <c r="H784" s="307"/>
      <c r="I784" s="307"/>
      <c r="J784" s="371"/>
      <c r="K784" s="371"/>
      <c r="L784" s="371"/>
      <c r="M784" s="371"/>
      <c r="N784" s="371"/>
      <c r="O784" s="371"/>
      <c r="P784" s="371"/>
      <c r="Q784" s="371"/>
      <c r="R784" s="371"/>
      <c r="S784" s="371"/>
      <c r="T784" s="371"/>
    </row>
    <row r="785">
      <c r="A785" s="307"/>
      <c r="B785" s="307"/>
      <c r="C785" s="307"/>
      <c r="D785" s="307"/>
      <c r="E785" s="307"/>
      <c r="F785" s="371"/>
      <c r="G785" s="307"/>
      <c r="H785" s="307"/>
      <c r="I785" s="307"/>
      <c r="J785" s="371"/>
      <c r="K785" s="371"/>
      <c r="L785" s="371"/>
      <c r="M785" s="371"/>
      <c r="N785" s="371"/>
      <c r="O785" s="371"/>
      <c r="P785" s="371"/>
      <c r="Q785" s="371"/>
      <c r="R785" s="371"/>
      <c r="S785" s="371"/>
      <c r="T785" s="371"/>
    </row>
    <row r="786">
      <c r="A786" s="307"/>
      <c r="B786" s="307"/>
      <c r="C786" s="307"/>
      <c r="D786" s="307"/>
      <c r="E786" s="307"/>
      <c r="F786" s="371"/>
      <c r="G786" s="307"/>
      <c r="H786" s="307"/>
      <c r="I786" s="307"/>
      <c r="J786" s="371"/>
      <c r="K786" s="371"/>
      <c r="L786" s="371"/>
      <c r="M786" s="371"/>
      <c r="N786" s="371"/>
      <c r="O786" s="371"/>
      <c r="P786" s="371"/>
      <c r="Q786" s="371"/>
      <c r="R786" s="371"/>
      <c r="S786" s="371"/>
      <c r="T786" s="371"/>
    </row>
    <row r="787">
      <c r="A787" s="307"/>
      <c r="B787" s="307"/>
      <c r="C787" s="307"/>
      <c r="D787" s="307"/>
      <c r="E787" s="307"/>
      <c r="F787" s="371"/>
      <c r="G787" s="307"/>
      <c r="H787" s="307"/>
      <c r="I787" s="307"/>
      <c r="J787" s="371"/>
      <c r="K787" s="371"/>
      <c r="L787" s="371"/>
      <c r="M787" s="371"/>
      <c r="N787" s="371"/>
      <c r="O787" s="371"/>
      <c r="P787" s="371"/>
      <c r="Q787" s="371"/>
      <c r="R787" s="371"/>
      <c r="S787" s="371"/>
      <c r="T787" s="371"/>
    </row>
    <row r="788">
      <c r="A788" s="307"/>
      <c r="B788" s="307"/>
      <c r="C788" s="307"/>
      <c r="D788" s="307"/>
      <c r="E788" s="307"/>
      <c r="F788" s="371"/>
      <c r="G788" s="307"/>
      <c r="H788" s="307"/>
      <c r="I788" s="307"/>
      <c r="J788" s="371"/>
      <c r="K788" s="371"/>
      <c r="L788" s="371"/>
      <c r="M788" s="371"/>
      <c r="N788" s="371"/>
      <c r="O788" s="371"/>
      <c r="P788" s="371"/>
      <c r="Q788" s="371"/>
      <c r="R788" s="371"/>
      <c r="S788" s="371"/>
      <c r="T788" s="371"/>
    </row>
    <row r="789">
      <c r="A789" s="307"/>
      <c r="B789" s="307"/>
      <c r="C789" s="307"/>
      <c r="D789" s="307"/>
      <c r="E789" s="307"/>
      <c r="F789" s="371"/>
      <c r="G789" s="307"/>
      <c r="H789" s="307"/>
      <c r="I789" s="307"/>
      <c r="J789" s="371"/>
      <c r="K789" s="371"/>
      <c r="L789" s="371"/>
      <c r="M789" s="371"/>
      <c r="N789" s="371"/>
      <c r="O789" s="371"/>
      <c r="P789" s="371"/>
      <c r="Q789" s="371"/>
      <c r="R789" s="371"/>
      <c r="S789" s="371"/>
      <c r="T789" s="371"/>
    </row>
    <row r="790">
      <c r="A790" s="307"/>
      <c r="B790" s="307"/>
      <c r="C790" s="307"/>
      <c r="D790" s="307"/>
      <c r="E790" s="307"/>
      <c r="F790" s="371"/>
      <c r="G790" s="307"/>
      <c r="H790" s="307"/>
      <c r="I790" s="307"/>
      <c r="J790" s="371"/>
      <c r="K790" s="371"/>
      <c r="L790" s="371"/>
      <c r="M790" s="371"/>
      <c r="N790" s="371"/>
      <c r="O790" s="371"/>
      <c r="P790" s="371"/>
      <c r="Q790" s="371"/>
      <c r="R790" s="371"/>
      <c r="S790" s="371"/>
      <c r="T790" s="371"/>
    </row>
    <row r="791">
      <c r="A791" s="307"/>
      <c r="B791" s="307"/>
      <c r="C791" s="307"/>
      <c r="D791" s="307"/>
      <c r="E791" s="307"/>
      <c r="F791" s="371"/>
      <c r="G791" s="307"/>
      <c r="H791" s="307"/>
      <c r="I791" s="307"/>
      <c r="J791" s="371"/>
      <c r="K791" s="371"/>
      <c r="L791" s="371"/>
      <c r="M791" s="371"/>
      <c r="N791" s="371"/>
      <c r="O791" s="371"/>
      <c r="P791" s="371"/>
      <c r="Q791" s="371"/>
      <c r="R791" s="371"/>
      <c r="S791" s="371"/>
      <c r="T791" s="371"/>
    </row>
    <row r="792">
      <c r="A792" s="307"/>
      <c r="B792" s="307"/>
      <c r="C792" s="307"/>
      <c r="D792" s="307"/>
      <c r="E792" s="307"/>
      <c r="F792" s="371"/>
      <c r="G792" s="307"/>
      <c r="H792" s="307"/>
      <c r="I792" s="307"/>
      <c r="J792" s="371"/>
      <c r="K792" s="371"/>
      <c r="L792" s="371"/>
      <c r="M792" s="371"/>
      <c r="N792" s="371"/>
      <c r="O792" s="371"/>
      <c r="P792" s="371"/>
      <c r="Q792" s="371"/>
      <c r="R792" s="371"/>
      <c r="S792" s="371"/>
      <c r="T792" s="371"/>
    </row>
    <row r="793">
      <c r="A793" s="307"/>
      <c r="B793" s="307"/>
      <c r="C793" s="307"/>
      <c r="D793" s="307"/>
      <c r="E793" s="307"/>
      <c r="F793" s="371"/>
      <c r="G793" s="307"/>
      <c r="H793" s="307"/>
      <c r="I793" s="307"/>
      <c r="J793" s="371"/>
      <c r="K793" s="371"/>
      <c r="L793" s="371"/>
      <c r="M793" s="371"/>
      <c r="N793" s="371"/>
      <c r="O793" s="371"/>
      <c r="P793" s="371"/>
      <c r="Q793" s="371"/>
      <c r="R793" s="371"/>
      <c r="S793" s="371"/>
      <c r="T793" s="371"/>
    </row>
    <row r="794">
      <c r="A794" s="307"/>
      <c r="B794" s="307"/>
      <c r="C794" s="307"/>
      <c r="D794" s="307"/>
      <c r="E794" s="307"/>
      <c r="F794" s="371"/>
      <c r="G794" s="307"/>
      <c r="H794" s="307"/>
      <c r="I794" s="307"/>
      <c r="J794" s="371"/>
      <c r="K794" s="371"/>
      <c r="L794" s="371"/>
      <c r="M794" s="371"/>
      <c r="N794" s="371"/>
      <c r="O794" s="371"/>
      <c r="P794" s="371"/>
      <c r="Q794" s="371"/>
      <c r="R794" s="371"/>
      <c r="S794" s="371"/>
      <c r="T794" s="371"/>
    </row>
    <row r="795">
      <c r="A795" s="307"/>
      <c r="B795" s="307"/>
      <c r="C795" s="307"/>
      <c r="D795" s="307"/>
      <c r="E795" s="307"/>
      <c r="F795" s="371"/>
      <c r="G795" s="307"/>
      <c r="H795" s="307"/>
      <c r="I795" s="307"/>
      <c r="J795" s="371"/>
      <c r="K795" s="371"/>
      <c r="L795" s="371"/>
      <c r="M795" s="371"/>
      <c r="N795" s="371"/>
      <c r="O795" s="371"/>
      <c r="P795" s="371"/>
      <c r="Q795" s="371"/>
      <c r="R795" s="371"/>
      <c r="S795" s="371"/>
      <c r="T795" s="371"/>
    </row>
    <row r="796">
      <c r="A796" s="307"/>
      <c r="B796" s="307"/>
      <c r="C796" s="307"/>
      <c r="D796" s="307"/>
      <c r="E796" s="307"/>
      <c r="F796" s="371"/>
      <c r="G796" s="307"/>
      <c r="H796" s="307"/>
      <c r="I796" s="307"/>
      <c r="J796" s="371"/>
      <c r="K796" s="371"/>
      <c r="L796" s="371"/>
      <c r="M796" s="371"/>
      <c r="N796" s="371"/>
      <c r="O796" s="371"/>
      <c r="P796" s="371"/>
      <c r="Q796" s="371"/>
      <c r="R796" s="371"/>
      <c r="S796" s="371"/>
      <c r="T796" s="371"/>
    </row>
    <row r="797">
      <c r="A797" s="307"/>
      <c r="B797" s="307"/>
      <c r="C797" s="307"/>
      <c r="D797" s="307"/>
      <c r="E797" s="307"/>
      <c r="F797" s="371"/>
      <c r="G797" s="307"/>
      <c r="H797" s="307"/>
      <c r="I797" s="307"/>
      <c r="J797" s="371"/>
      <c r="K797" s="371"/>
      <c r="L797" s="371"/>
      <c r="M797" s="371"/>
      <c r="N797" s="371"/>
      <c r="O797" s="371"/>
      <c r="P797" s="371"/>
      <c r="Q797" s="371"/>
      <c r="R797" s="371"/>
      <c r="S797" s="371"/>
      <c r="T797" s="371"/>
    </row>
    <row r="798">
      <c r="A798" s="307"/>
      <c r="B798" s="307"/>
      <c r="C798" s="307"/>
      <c r="D798" s="307"/>
      <c r="E798" s="307"/>
      <c r="F798" s="371"/>
      <c r="G798" s="307"/>
      <c r="H798" s="307"/>
      <c r="I798" s="307"/>
      <c r="J798" s="371"/>
      <c r="K798" s="371"/>
      <c r="L798" s="371"/>
      <c r="M798" s="371"/>
      <c r="N798" s="371"/>
      <c r="O798" s="371"/>
      <c r="P798" s="371"/>
      <c r="Q798" s="371"/>
      <c r="R798" s="371"/>
      <c r="S798" s="371"/>
      <c r="T798" s="371"/>
    </row>
    <row r="799">
      <c r="A799" s="307"/>
      <c r="B799" s="307"/>
      <c r="C799" s="307"/>
      <c r="D799" s="307"/>
      <c r="E799" s="307"/>
      <c r="F799" s="371"/>
      <c r="G799" s="307"/>
      <c r="H799" s="307"/>
      <c r="I799" s="307"/>
      <c r="J799" s="371"/>
      <c r="K799" s="371"/>
      <c r="L799" s="371"/>
      <c r="M799" s="371"/>
      <c r="N799" s="371"/>
      <c r="O799" s="371"/>
      <c r="P799" s="371"/>
      <c r="Q799" s="371"/>
      <c r="R799" s="371"/>
      <c r="S799" s="371"/>
      <c r="T799" s="371"/>
    </row>
    <row r="800">
      <c r="A800" s="307"/>
      <c r="B800" s="307"/>
      <c r="C800" s="307"/>
      <c r="D800" s="307"/>
      <c r="E800" s="307"/>
      <c r="F800" s="371"/>
      <c r="G800" s="307"/>
      <c r="H800" s="307"/>
      <c r="I800" s="307"/>
      <c r="J800" s="371"/>
      <c r="K800" s="371"/>
      <c r="L800" s="371"/>
      <c r="M800" s="371"/>
      <c r="N800" s="371"/>
      <c r="O800" s="371"/>
      <c r="P800" s="371"/>
      <c r="Q800" s="371"/>
      <c r="R800" s="371"/>
      <c r="S800" s="371"/>
      <c r="T800" s="371"/>
    </row>
    <row r="801">
      <c r="A801" s="307"/>
      <c r="B801" s="307"/>
      <c r="C801" s="307"/>
      <c r="D801" s="307"/>
      <c r="E801" s="307"/>
      <c r="F801" s="371"/>
      <c r="G801" s="307"/>
      <c r="H801" s="307"/>
      <c r="I801" s="307"/>
      <c r="J801" s="371"/>
      <c r="K801" s="371"/>
      <c r="L801" s="371"/>
      <c r="M801" s="371"/>
      <c r="N801" s="371"/>
      <c r="O801" s="371"/>
      <c r="P801" s="371"/>
      <c r="Q801" s="371"/>
      <c r="R801" s="371"/>
      <c r="S801" s="371"/>
      <c r="T801" s="371"/>
    </row>
    <row r="802">
      <c r="A802" s="307"/>
      <c r="B802" s="307"/>
      <c r="C802" s="307"/>
      <c r="D802" s="307"/>
      <c r="E802" s="307"/>
      <c r="F802" s="371"/>
      <c r="G802" s="307"/>
      <c r="H802" s="307"/>
      <c r="I802" s="307"/>
      <c r="J802" s="371"/>
      <c r="K802" s="371"/>
      <c r="L802" s="371"/>
      <c r="M802" s="371"/>
      <c r="N802" s="371"/>
      <c r="O802" s="371"/>
      <c r="P802" s="371"/>
      <c r="Q802" s="371"/>
      <c r="R802" s="371"/>
      <c r="S802" s="371"/>
      <c r="T802" s="371"/>
    </row>
    <row r="803">
      <c r="A803" s="307"/>
      <c r="B803" s="307"/>
      <c r="C803" s="307"/>
      <c r="D803" s="307"/>
      <c r="E803" s="307"/>
      <c r="F803" s="371"/>
      <c r="G803" s="307"/>
      <c r="H803" s="307"/>
      <c r="I803" s="307"/>
      <c r="J803" s="371"/>
      <c r="K803" s="371"/>
      <c r="L803" s="371"/>
      <c r="M803" s="371"/>
      <c r="N803" s="371"/>
      <c r="O803" s="371"/>
      <c r="P803" s="371"/>
      <c r="Q803" s="371"/>
      <c r="R803" s="371"/>
      <c r="S803" s="371"/>
      <c r="T803" s="371"/>
    </row>
    <row r="804">
      <c r="A804" s="307"/>
      <c r="B804" s="307"/>
      <c r="C804" s="307"/>
      <c r="D804" s="307"/>
      <c r="E804" s="307"/>
      <c r="F804" s="371"/>
      <c r="G804" s="307"/>
      <c r="H804" s="307"/>
      <c r="I804" s="307"/>
      <c r="J804" s="371"/>
      <c r="K804" s="371"/>
      <c r="L804" s="371"/>
      <c r="M804" s="371"/>
      <c r="N804" s="371"/>
      <c r="O804" s="371"/>
      <c r="P804" s="371"/>
      <c r="Q804" s="371"/>
      <c r="R804" s="371"/>
      <c r="S804" s="371"/>
      <c r="T804" s="371"/>
    </row>
    <row r="805">
      <c r="A805" s="307"/>
      <c r="B805" s="307"/>
      <c r="C805" s="307"/>
      <c r="D805" s="307"/>
      <c r="E805" s="307"/>
      <c r="F805" s="371"/>
      <c r="G805" s="307"/>
      <c r="H805" s="307"/>
      <c r="I805" s="307"/>
      <c r="J805" s="371"/>
      <c r="K805" s="371"/>
      <c r="L805" s="371"/>
      <c r="M805" s="371"/>
      <c r="N805" s="371"/>
      <c r="O805" s="371"/>
      <c r="P805" s="371"/>
      <c r="Q805" s="371"/>
      <c r="R805" s="371"/>
      <c r="S805" s="371"/>
      <c r="T805" s="371"/>
    </row>
    <row r="806">
      <c r="A806" s="307"/>
      <c r="B806" s="307"/>
      <c r="C806" s="307"/>
      <c r="D806" s="307"/>
      <c r="E806" s="307"/>
      <c r="F806" s="371"/>
      <c r="G806" s="307"/>
      <c r="H806" s="307"/>
      <c r="I806" s="307"/>
      <c r="J806" s="371"/>
      <c r="K806" s="371"/>
      <c r="L806" s="371"/>
      <c r="M806" s="371"/>
      <c r="N806" s="371"/>
      <c r="O806" s="371"/>
      <c r="P806" s="371"/>
      <c r="Q806" s="371"/>
      <c r="R806" s="371"/>
      <c r="S806" s="371"/>
      <c r="T806" s="371"/>
    </row>
    <row r="807">
      <c r="A807" s="307"/>
      <c r="B807" s="307"/>
      <c r="C807" s="307"/>
      <c r="D807" s="307"/>
      <c r="E807" s="307"/>
      <c r="F807" s="371"/>
      <c r="G807" s="307"/>
      <c r="H807" s="307"/>
      <c r="I807" s="307"/>
      <c r="J807" s="371"/>
      <c r="K807" s="371"/>
      <c r="L807" s="371"/>
      <c r="M807" s="371"/>
      <c r="N807" s="371"/>
      <c r="O807" s="371"/>
      <c r="P807" s="371"/>
      <c r="Q807" s="371"/>
      <c r="R807" s="371"/>
      <c r="S807" s="371"/>
      <c r="T807" s="371"/>
    </row>
    <row r="808">
      <c r="A808" s="307"/>
      <c r="B808" s="307"/>
      <c r="C808" s="307"/>
      <c r="D808" s="307"/>
      <c r="E808" s="307"/>
      <c r="F808" s="371"/>
      <c r="G808" s="307"/>
      <c r="H808" s="307"/>
      <c r="I808" s="307"/>
      <c r="J808" s="371"/>
      <c r="K808" s="371"/>
      <c r="L808" s="371"/>
      <c r="M808" s="371"/>
      <c r="N808" s="371"/>
      <c r="O808" s="371"/>
      <c r="P808" s="371"/>
      <c r="Q808" s="371"/>
      <c r="R808" s="371"/>
      <c r="S808" s="371"/>
      <c r="T808" s="371"/>
    </row>
    <row r="809">
      <c r="A809" s="307"/>
      <c r="B809" s="307"/>
      <c r="C809" s="307"/>
      <c r="D809" s="307"/>
      <c r="E809" s="307"/>
      <c r="F809" s="371"/>
      <c r="G809" s="307"/>
      <c r="H809" s="307"/>
      <c r="I809" s="307"/>
      <c r="J809" s="371"/>
      <c r="K809" s="371"/>
      <c r="L809" s="371"/>
      <c r="M809" s="371"/>
      <c r="N809" s="371"/>
      <c r="O809" s="371"/>
      <c r="P809" s="371"/>
      <c r="Q809" s="371"/>
      <c r="R809" s="371"/>
      <c r="S809" s="371"/>
      <c r="T809" s="371"/>
    </row>
    <row r="810">
      <c r="A810" s="307"/>
      <c r="B810" s="307"/>
      <c r="C810" s="307"/>
      <c r="D810" s="307"/>
      <c r="E810" s="307"/>
      <c r="F810" s="371"/>
      <c r="G810" s="307"/>
      <c r="H810" s="307"/>
      <c r="I810" s="307"/>
      <c r="J810" s="371"/>
      <c r="K810" s="371"/>
      <c r="L810" s="371"/>
      <c r="M810" s="371"/>
      <c r="N810" s="371"/>
      <c r="O810" s="371"/>
      <c r="P810" s="371"/>
      <c r="Q810" s="371"/>
      <c r="R810" s="371"/>
      <c r="S810" s="371"/>
      <c r="T810" s="371"/>
    </row>
    <row r="811">
      <c r="A811" s="307"/>
      <c r="B811" s="307"/>
      <c r="C811" s="307"/>
      <c r="D811" s="307"/>
      <c r="E811" s="307"/>
      <c r="F811" s="371"/>
      <c r="G811" s="307"/>
      <c r="H811" s="307"/>
      <c r="I811" s="307"/>
      <c r="J811" s="371"/>
      <c r="K811" s="371"/>
      <c r="L811" s="371"/>
      <c r="M811" s="371"/>
      <c r="N811" s="371"/>
      <c r="O811" s="371"/>
      <c r="P811" s="371"/>
      <c r="Q811" s="371"/>
      <c r="R811" s="371"/>
      <c r="S811" s="371"/>
      <c r="T811" s="371"/>
    </row>
    <row r="812">
      <c r="A812" s="307"/>
      <c r="B812" s="307"/>
      <c r="C812" s="307"/>
      <c r="D812" s="307"/>
      <c r="E812" s="307"/>
      <c r="F812" s="371"/>
      <c r="G812" s="307"/>
      <c r="H812" s="307"/>
      <c r="I812" s="307"/>
      <c r="J812" s="371"/>
      <c r="K812" s="371"/>
      <c r="L812" s="371"/>
      <c r="M812" s="371"/>
      <c r="N812" s="371"/>
      <c r="O812" s="371"/>
      <c r="P812" s="371"/>
      <c r="Q812" s="371"/>
      <c r="R812" s="371"/>
      <c r="S812" s="371"/>
      <c r="T812" s="371"/>
    </row>
    <row r="813">
      <c r="A813" s="307"/>
      <c r="B813" s="307"/>
      <c r="C813" s="307"/>
      <c r="D813" s="307"/>
      <c r="E813" s="307"/>
      <c r="F813" s="371"/>
      <c r="G813" s="307"/>
      <c r="H813" s="307"/>
      <c r="I813" s="307"/>
      <c r="J813" s="371"/>
      <c r="K813" s="371"/>
      <c r="L813" s="371"/>
      <c r="M813" s="371"/>
      <c r="N813" s="371"/>
      <c r="O813" s="371"/>
      <c r="P813" s="371"/>
      <c r="Q813" s="371"/>
      <c r="R813" s="371"/>
      <c r="S813" s="371"/>
      <c r="T813" s="371"/>
    </row>
    <row r="814">
      <c r="A814" s="307"/>
      <c r="B814" s="307"/>
      <c r="C814" s="307"/>
      <c r="D814" s="307"/>
      <c r="E814" s="307"/>
      <c r="F814" s="371"/>
      <c r="G814" s="307"/>
      <c r="H814" s="307"/>
      <c r="I814" s="307"/>
      <c r="J814" s="371"/>
      <c r="K814" s="371"/>
      <c r="L814" s="371"/>
      <c r="M814" s="371"/>
      <c r="N814" s="371"/>
      <c r="O814" s="371"/>
      <c r="P814" s="371"/>
      <c r="Q814" s="371"/>
      <c r="R814" s="371"/>
      <c r="S814" s="371"/>
      <c r="T814" s="371"/>
    </row>
    <row r="815">
      <c r="A815" s="307"/>
      <c r="B815" s="307"/>
      <c r="C815" s="307"/>
      <c r="D815" s="307"/>
      <c r="E815" s="307"/>
      <c r="F815" s="371"/>
      <c r="G815" s="307"/>
      <c r="H815" s="307"/>
      <c r="I815" s="307"/>
      <c r="J815" s="371"/>
      <c r="K815" s="371"/>
      <c r="L815" s="371"/>
      <c r="M815" s="371"/>
      <c r="N815" s="371"/>
      <c r="O815" s="371"/>
      <c r="P815" s="371"/>
      <c r="Q815" s="371"/>
      <c r="R815" s="371"/>
      <c r="S815" s="371"/>
      <c r="T815" s="371"/>
    </row>
    <row r="816">
      <c r="A816" s="307"/>
      <c r="B816" s="307"/>
      <c r="C816" s="307"/>
      <c r="D816" s="307"/>
      <c r="E816" s="307"/>
      <c r="F816" s="371"/>
      <c r="G816" s="307"/>
      <c r="H816" s="307"/>
      <c r="I816" s="307"/>
      <c r="J816" s="371"/>
      <c r="K816" s="371"/>
      <c r="L816" s="371"/>
      <c r="M816" s="371"/>
      <c r="N816" s="371"/>
      <c r="O816" s="371"/>
      <c r="P816" s="371"/>
      <c r="Q816" s="371"/>
      <c r="R816" s="371"/>
      <c r="S816" s="371"/>
      <c r="T816" s="371"/>
    </row>
    <row r="817">
      <c r="A817" s="307"/>
      <c r="B817" s="307"/>
      <c r="C817" s="307"/>
      <c r="D817" s="307"/>
      <c r="E817" s="307"/>
      <c r="F817" s="371"/>
      <c r="G817" s="307"/>
      <c r="H817" s="307"/>
      <c r="I817" s="307"/>
      <c r="J817" s="371"/>
      <c r="K817" s="371"/>
      <c r="L817" s="371"/>
      <c r="M817" s="371"/>
      <c r="N817" s="371"/>
      <c r="O817" s="371"/>
      <c r="P817" s="371"/>
      <c r="Q817" s="371"/>
      <c r="R817" s="371"/>
      <c r="S817" s="371"/>
      <c r="T817" s="371"/>
    </row>
    <row r="818">
      <c r="A818" s="307"/>
      <c r="B818" s="307"/>
      <c r="C818" s="307"/>
      <c r="D818" s="307"/>
      <c r="E818" s="307"/>
      <c r="F818" s="371"/>
      <c r="G818" s="307"/>
      <c r="H818" s="307"/>
      <c r="I818" s="307"/>
      <c r="J818" s="371"/>
      <c r="K818" s="371"/>
      <c r="L818" s="371"/>
      <c r="M818" s="371"/>
      <c r="N818" s="371"/>
      <c r="O818" s="371"/>
      <c r="P818" s="371"/>
      <c r="Q818" s="371"/>
      <c r="R818" s="371"/>
      <c r="S818" s="371"/>
      <c r="T818" s="371"/>
    </row>
    <row r="819">
      <c r="A819" s="307"/>
      <c r="B819" s="307"/>
      <c r="C819" s="307"/>
      <c r="D819" s="307"/>
      <c r="E819" s="307"/>
      <c r="F819" s="371"/>
      <c r="G819" s="307"/>
      <c r="H819" s="307"/>
      <c r="I819" s="307"/>
      <c r="J819" s="371"/>
      <c r="K819" s="371"/>
      <c r="L819" s="371"/>
      <c r="M819" s="371"/>
      <c r="N819" s="371"/>
      <c r="O819" s="371"/>
      <c r="P819" s="371"/>
      <c r="Q819" s="371"/>
      <c r="R819" s="371"/>
      <c r="S819" s="371"/>
      <c r="T819" s="371"/>
    </row>
    <row r="820">
      <c r="A820" s="307"/>
      <c r="B820" s="307"/>
      <c r="C820" s="307"/>
      <c r="D820" s="307"/>
      <c r="E820" s="307"/>
      <c r="F820" s="371"/>
      <c r="G820" s="307"/>
      <c r="H820" s="307"/>
      <c r="I820" s="307"/>
      <c r="J820" s="371"/>
      <c r="K820" s="371"/>
      <c r="L820" s="371"/>
      <c r="M820" s="371"/>
      <c r="N820" s="371"/>
      <c r="O820" s="371"/>
      <c r="P820" s="371"/>
      <c r="Q820" s="371"/>
      <c r="R820" s="371"/>
      <c r="S820" s="371"/>
      <c r="T820" s="371"/>
    </row>
    <row r="821">
      <c r="A821" s="307"/>
      <c r="B821" s="307"/>
      <c r="C821" s="307"/>
      <c r="D821" s="307"/>
      <c r="E821" s="307"/>
      <c r="F821" s="371"/>
      <c r="G821" s="307"/>
      <c r="H821" s="307"/>
      <c r="I821" s="307"/>
      <c r="J821" s="371"/>
      <c r="K821" s="371"/>
      <c r="L821" s="371"/>
      <c r="M821" s="371"/>
      <c r="N821" s="371"/>
      <c r="O821" s="371"/>
      <c r="P821" s="371"/>
      <c r="Q821" s="371"/>
      <c r="R821" s="371"/>
      <c r="S821" s="371"/>
      <c r="T821" s="371"/>
    </row>
    <row r="822">
      <c r="A822" s="307"/>
      <c r="B822" s="307"/>
      <c r="C822" s="307"/>
      <c r="D822" s="307"/>
      <c r="E822" s="307"/>
      <c r="F822" s="371"/>
      <c r="G822" s="307"/>
      <c r="H822" s="307"/>
      <c r="I822" s="307"/>
      <c r="J822" s="371"/>
      <c r="K822" s="371"/>
      <c r="L822" s="371"/>
      <c r="M822" s="371"/>
      <c r="N822" s="371"/>
      <c r="O822" s="371"/>
      <c r="P822" s="371"/>
      <c r="Q822" s="371"/>
      <c r="R822" s="371"/>
      <c r="S822" s="371"/>
      <c r="T822" s="371"/>
    </row>
    <row r="823">
      <c r="A823" s="307"/>
      <c r="B823" s="307"/>
      <c r="C823" s="307"/>
      <c r="D823" s="307"/>
      <c r="E823" s="307"/>
      <c r="F823" s="371"/>
      <c r="G823" s="307"/>
      <c r="H823" s="307"/>
      <c r="I823" s="307"/>
      <c r="J823" s="371"/>
      <c r="K823" s="371"/>
      <c r="L823" s="371"/>
      <c r="M823" s="371"/>
      <c r="N823" s="371"/>
      <c r="O823" s="371"/>
      <c r="P823" s="371"/>
      <c r="Q823" s="371"/>
      <c r="R823" s="371"/>
      <c r="S823" s="371"/>
      <c r="T823" s="371"/>
    </row>
    <row r="824">
      <c r="A824" s="307"/>
      <c r="B824" s="307"/>
      <c r="C824" s="307"/>
      <c r="D824" s="307"/>
      <c r="E824" s="307"/>
      <c r="F824" s="371"/>
      <c r="G824" s="307"/>
      <c r="H824" s="307"/>
      <c r="I824" s="307"/>
      <c r="J824" s="371"/>
      <c r="K824" s="371"/>
      <c r="L824" s="371"/>
      <c r="M824" s="371"/>
      <c r="N824" s="371"/>
      <c r="O824" s="371"/>
      <c r="P824" s="371"/>
      <c r="Q824" s="371"/>
      <c r="R824" s="371"/>
      <c r="S824" s="371"/>
      <c r="T824" s="371"/>
    </row>
    <row r="825">
      <c r="A825" s="307"/>
      <c r="B825" s="307"/>
      <c r="C825" s="307"/>
      <c r="D825" s="307"/>
      <c r="E825" s="307"/>
      <c r="F825" s="371"/>
      <c r="G825" s="307"/>
      <c r="H825" s="307"/>
      <c r="I825" s="307"/>
      <c r="J825" s="371"/>
      <c r="K825" s="371"/>
      <c r="L825" s="371"/>
      <c r="M825" s="371"/>
      <c r="N825" s="371"/>
      <c r="O825" s="371"/>
      <c r="P825" s="371"/>
      <c r="Q825" s="371"/>
      <c r="R825" s="371"/>
      <c r="S825" s="371"/>
      <c r="T825" s="371"/>
    </row>
    <row r="826">
      <c r="A826" s="307"/>
      <c r="B826" s="307"/>
      <c r="C826" s="307"/>
      <c r="D826" s="307"/>
      <c r="E826" s="307"/>
      <c r="F826" s="371"/>
      <c r="G826" s="307"/>
      <c r="H826" s="307"/>
      <c r="I826" s="307"/>
      <c r="J826" s="371"/>
      <c r="K826" s="371"/>
      <c r="L826" s="371"/>
      <c r="M826" s="371"/>
      <c r="N826" s="371"/>
      <c r="O826" s="371"/>
      <c r="P826" s="371"/>
      <c r="Q826" s="371"/>
      <c r="R826" s="371"/>
      <c r="S826" s="371"/>
      <c r="T826" s="371"/>
    </row>
    <row r="827">
      <c r="A827" s="307"/>
      <c r="B827" s="307"/>
      <c r="C827" s="307"/>
      <c r="D827" s="307"/>
      <c r="E827" s="307"/>
      <c r="F827" s="371"/>
      <c r="G827" s="307"/>
      <c r="H827" s="307"/>
      <c r="I827" s="307"/>
      <c r="J827" s="371"/>
      <c r="K827" s="371"/>
      <c r="L827" s="371"/>
      <c r="M827" s="371"/>
      <c r="N827" s="371"/>
      <c r="O827" s="371"/>
      <c r="P827" s="371"/>
      <c r="Q827" s="371"/>
      <c r="R827" s="371"/>
      <c r="S827" s="371"/>
      <c r="T827" s="371"/>
    </row>
    <row r="828">
      <c r="A828" s="307"/>
      <c r="B828" s="307"/>
      <c r="C828" s="307"/>
      <c r="D828" s="307"/>
      <c r="E828" s="307"/>
      <c r="F828" s="371"/>
      <c r="G828" s="307"/>
      <c r="H828" s="307"/>
      <c r="I828" s="307"/>
      <c r="J828" s="371"/>
      <c r="K828" s="371"/>
      <c r="L828" s="371"/>
      <c r="M828" s="371"/>
      <c r="N828" s="371"/>
      <c r="O828" s="371"/>
      <c r="P828" s="371"/>
      <c r="Q828" s="371"/>
      <c r="R828" s="371"/>
      <c r="S828" s="371"/>
      <c r="T828" s="371"/>
    </row>
    <row r="829">
      <c r="A829" s="307"/>
      <c r="B829" s="307"/>
      <c r="C829" s="307"/>
      <c r="D829" s="307"/>
      <c r="E829" s="307"/>
      <c r="F829" s="371"/>
      <c r="G829" s="307"/>
      <c r="H829" s="307"/>
      <c r="I829" s="307"/>
      <c r="J829" s="371"/>
      <c r="K829" s="371"/>
      <c r="L829" s="371"/>
      <c r="M829" s="371"/>
      <c r="N829" s="371"/>
      <c r="O829" s="371"/>
      <c r="P829" s="371"/>
      <c r="Q829" s="371"/>
      <c r="R829" s="371"/>
      <c r="S829" s="371"/>
      <c r="T829" s="371"/>
    </row>
    <row r="830">
      <c r="A830" s="307"/>
      <c r="B830" s="307"/>
      <c r="C830" s="307"/>
      <c r="D830" s="307"/>
      <c r="E830" s="307"/>
      <c r="F830" s="371"/>
      <c r="G830" s="307"/>
      <c r="H830" s="307"/>
      <c r="I830" s="307"/>
      <c r="J830" s="371"/>
      <c r="K830" s="371"/>
      <c r="L830" s="371"/>
      <c r="M830" s="371"/>
      <c r="N830" s="371"/>
      <c r="O830" s="371"/>
      <c r="P830" s="371"/>
      <c r="Q830" s="371"/>
      <c r="R830" s="371"/>
      <c r="S830" s="371"/>
      <c r="T830" s="371"/>
    </row>
    <row r="831">
      <c r="A831" s="307"/>
      <c r="B831" s="307"/>
      <c r="C831" s="307"/>
      <c r="D831" s="307"/>
      <c r="E831" s="307"/>
      <c r="F831" s="371"/>
      <c r="G831" s="307"/>
      <c r="H831" s="307"/>
      <c r="I831" s="307"/>
      <c r="J831" s="371"/>
      <c r="K831" s="371"/>
      <c r="L831" s="371"/>
      <c r="M831" s="371"/>
      <c r="N831" s="371"/>
      <c r="O831" s="371"/>
      <c r="P831" s="371"/>
      <c r="Q831" s="371"/>
      <c r="R831" s="371"/>
      <c r="S831" s="371"/>
      <c r="T831" s="371"/>
    </row>
    <row r="832">
      <c r="A832" s="307"/>
      <c r="B832" s="307"/>
      <c r="C832" s="307"/>
      <c r="D832" s="307"/>
      <c r="E832" s="307"/>
      <c r="F832" s="371"/>
      <c r="G832" s="307"/>
      <c r="H832" s="307"/>
      <c r="I832" s="307"/>
      <c r="J832" s="371"/>
      <c r="K832" s="371"/>
      <c r="L832" s="371"/>
      <c r="M832" s="371"/>
      <c r="N832" s="371"/>
      <c r="O832" s="371"/>
      <c r="P832" s="371"/>
      <c r="Q832" s="371"/>
      <c r="R832" s="371"/>
      <c r="S832" s="371"/>
      <c r="T832" s="371"/>
    </row>
    <row r="833">
      <c r="A833" s="307"/>
      <c r="B833" s="307"/>
      <c r="C833" s="307"/>
      <c r="D833" s="307"/>
      <c r="E833" s="307"/>
      <c r="F833" s="371"/>
      <c r="G833" s="307"/>
      <c r="H833" s="307"/>
      <c r="I833" s="307"/>
      <c r="J833" s="371"/>
      <c r="K833" s="371"/>
      <c r="L833" s="371"/>
      <c r="M833" s="371"/>
      <c r="N833" s="371"/>
      <c r="O833" s="371"/>
      <c r="P833" s="371"/>
      <c r="Q833" s="371"/>
      <c r="R833" s="371"/>
      <c r="S833" s="371"/>
      <c r="T833" s="371"/>
    </row>
    <row r="834">
      <c r="A834" s="307"/>
      <c r="B834" s="307"/>
      <c r="C834" s="307"/>
      <c r="D834" s="307"/>
      <c r="E834" s="307"/>
      <c r="F834" s="371"/>
      <c r="G834" s="307"/>
      <c r="H834" s="307"/>
      <c r="I834" s="307"/>
      <c r="J834" s="371"/>
      <c r="K834" s="371"/>
      <c r="L834" s="371"/>
      <c r="M834" s="371"/>
      <c r="N834" s="371"/>
      <c r="O834" s="371"/>
      <c r="P834" s="371"/>
      <c r="Q834" s="371"/>
      <c r="R834" s="371"/>
      <c r="S834" s="371"/>
      <c r="T834" s="371"/>
    </row>
    <row r="835">
      <c r="A835" s="307"/>
      <c r="B835" s="307"/>
      <c r="C835" s="307"/>
      <c r="D835" s="307"/>
      <c r="E835" s="307"/>
      <c r="F835" s="371"/>
      <c r="G835" s="307"/>
      <c r="H835" s="307"/>
      <c r="I835" s="307"/>
      <c r="J835" s="371"/>
      <c r="K835" s="371"/>
      <c r="L835" s="371"/>
      <c r="M835" s="371"/>
      <c r="N835" s="371"/>
      <c r="O835" s="371"/>
      <c r="P835" s="371"/>
      <c r="Q835" s="371"/>
      <c r="R835" s="371"/>
      <c r="S835" s="371"/>
      <c r="T835" s="371"/>
    </row>
    <row r="836">
      <c r="A836" s="307"/>
      <c r="B836" s="307"/>
      <c r="C836" s="307"/>
      <c r="D836" s="307"/>
      <c r="E836" s="307"/>
      <c r="F836" s="371"/>
      <c r="G836" s="307"/>
      <c r="H836" s="307"/>
      <c r="I836" s="307"/>
      <c r="J836" s="371"/>
      <c r="K836" s="371"/>
      <c r="L836" s="371"/>
      <c r="M836" s="371"/>
      <c r="N836" s="371"/>
      <c r="O836" s="371"/>
      <c r="P836" s="371"/>
      <c r="Q836" s="371"/>
      <c r="R836" s="371"/>
      <c r="S836" s="371"/>
      <c r="T836" s="371"/>
    </row>
    <row r="837">
      <c r="A837" s="307"/>
      <c r="B837" s="307"/>
      <c r="C837" s="307"/>
      <c r="D837" s="307"/>
      <c r="E837" s="307"/>
      <c r="F837" s="371"/>
      <c r="G837" s="307"/>
      <c r="H837" s="307"/>
      <c r="I837" s="307"/>
      <c r="J837" s="371"/>
      <c r="K837" s="371"/>
      <c r="L837" s="371"/>
      <c r="M837" s="371"/>
      <c r="N837" s="371"/>
      <c r="O837" s="371"/>
      <c r="P837" s="371"/>
      <c r="Q837" s="371"/>
      <c r="R837" s="371"/>
      <c r="S837" s="371"/>
      <c r="T837" s="371"/>
    </row>
    <row r="838">
      <c r="A838" s="307"/>
      <c r="B838" s="307"/>
      <c r="C838" s="307"/>
      <c r="D838" s="307"/>
      <c r="E838" s="307"/>
      <c r="F838" s="371"/>
      <c r="G838" s="307"/>
      <c r="H838" s="307"/>
      <c r="I838" s="307"/>
      <c r="J838" s="371"/>
      <c r="K838" s="371"/>
      <c r="L838" s="371"/>
      <c r="M838" s="371"/>
      <c r="N838" s="371"/>
      <c r="O838" s="371"/>
      <c r="P838" s="371"/>
      <c r="Q838" s="371"/>
      <c r="R838" s="371"/>
      <c r="S838" s="371"/>
      <c r="T838" s="371"/>
    </row>
    <row r="839">
      <c r="A839" s="307"/>
      <c r="B839" s="307"/>
      <c r="C839" s="307"/>
      <c r="D839" s="307"/>
      <c r="E839" s="307"/>
      <c r="F839" s="371"/>
      <c r="G839" s="307"/>
      <c r="H839" s="307"/>
      <c r="I839" s="307"/>
      <c r="J839" s="371"/>
      <c r="K839" s="371"/>
      <c r="L839" s="371"/>
      <c r="M839" s="371"/>
      <c r="N839" s="371"/>
      <c r="O839" s="371"/>
      <c r="P839" s="371"/>
      <c r="Q839" s="371"/>
      <c r="R839" s="371"/>
      <c r="S839" s="371"/>
      <c r="T839" s="371"/>
    </row>
    <row r="840">
      <c r="A840" s="307"/>
      <c r="B840" s="307"/>
      <c r="C840" s="307"/>
      <c r="D840" s="307"/>
      <c r="E840" s="307"/>
      <c r="F840" s="371"/>
      <c r="G840" s="307"/>
      <c r="H840" s="307"/>
      <c r="I840" s="307"/>
      <c r="J840" s="371"/>
      <c r="K840" s="371"/>
      <c r="L840" s="371"/>
      <c r="M840" s="371"/>
      <c r="N840" s="371"/>
      <c r="O840" s="371"/>
      <c r="P840" s="371"/>
      <c r="Q840" s="371"/>
      <c r="R840" s="371"/>
      <c r="S840" s="371"/>
      <c r="T840" s="371"/>
    </row>
    <row r="841">
      <c r="A841" s="307"/>
      <c r="B841" s="307"/>
      <c r="C841" s="307"/>
      <c r="D841" s="307"/>
      <c r="E841" s="307"/>
      <c r="F841" s="371"/>
      <c r="G841" s="307"/>
      <c r="H841" s="307"/>
      <c r="I841" s="307"/>
      <c r="J841" s="371"/>
      <c r="K841" s="371"/>
      <c r="L841" s="371"/>
      <c r="M841" s="371"/>
      <c r="N841" s="371"/>
      <c r="O841" s="371"/>
      <c r="P841" s="371"/>
      <c r="Q841" s="371"/>
      <c r="R841" s="371"/>
      <c r="S841" s="371"/>
      <c r="T841" s="371"/>
    </row>
    <row r="842">
      <c r="A842" s="307"/>
      <c r="B842" s="307"/>
      <c r="C842" s="307"/>
      <c r="D842" s="307"/>
      <c r="E842" s="307"/>
      <c r="F842" s="371"/>
      <c r="G842" s="307"/>
      <c r="H842" s="307"/>
      <c r="I842" s="307"/>
      <c r="J842" s="371"/>
      <c r="K842" s="371"/>
      <c r="L842" s="371"/>
      <c r="M842" s="371"/>
      <c r="N842" s="371"/>
      <c r="O842" s="371"/>
      <c r="P842" s="371"/>
      <c r="Q842" s="371"/>
      <c r="R842" s="371"/>
      <c r="S842" s="371"/>
      <c r="T842" s="371"/>
    </row>
    <row r="843">
      <c r="A843" s="307"/>
      <c r="B843" s="307"/>
      <c r="C843" s="307"/>
      <c r="D843" s="307"/>
      <c r="E843" s="307"/>
      <c r="F843" s="371"/>
      <c r="G843" s="307"/>
      <c r="H843" s="307"/>
      <c r="I843" s="307"/>
      <c r="J843" s="371"/>
      <c r="K843" s="371"/>
      <c r="L843" s="371"/>
      <c r="M843" s="371"/>
      <c r="N843" s="371"/>
      <c r="O843" s="371"/>
      <c r="P843" s="371"/>
      <c r="Q843" s="371"/>
      <c r="R843" s="371"/>
      <c r="S843" s="371"/>
      <c r="T843" s="371"/>
    </row>
    <row r="844">
      <c r="A844" s="307"/>
      <c r="B844" s="307"/>
      <c r="C844" s="307"/>
      <c r="D844" s="307"/>
      <c r="E844" s="307"/>
      <c r="F844" s="371"/>
      <c r="G844" s="307"/>
      <c r="H844" s="307"/>
      <c r="I844" s="307"/>
      <c r="J844" s="371"/>
      <c r="K844" s="371"/>
      <c r="L844" s="371"/>
      <c r="M844" s="371"/>
      <c r="N844" s="371"/>
      <c r="O844" s="371"/>
      <c r="P844" s="371"/>
      <c r="Q844" s="371"/>
      <c r="R844" s="371"/>
      <c r="S844" s="371"/>
      <c r="T844" s="371"/>
    </row>
    <row r="845">
      <c r="A845" s="307"/>
      <c r="B845" s="307"/>
      <c r="C845" s="307"/>
      <c r="D845" s="307"/>
      <c r="E845" s="307"/>
      <c r="F845" s="371"/>
      <c r="G845" s="307"/>
      <c r="H845" s="307"/>
      <c r="I845" s="307"/>
      <c r="J845" s="371"/>
      <c r="K845" s="371"/>
      <c r="L845" s="371"/>
      <c r="M845" s="371"/>
      <c r="N845" s="371"/>
      <c r="O845" s="371"/>
      <c r="P845" s="371"/>
      <c r="Q845" s="371"/>
      <c r="R845" s="371"/>
      <c r="S845" s="371"/>
      <c r="T845" s="371"/>
    </row>
    <row r="846">
      <c r="A846" s="307"/>
      <c r="B846" s="307"/>
      <c r="C846" s="307"/>
      <c r="D846" s="307"/>
      <c r="E846" s="307"/>
      <c r="F846" s="371"/>
      <c r="G846" s="307"/>
      <c r="H846" s="307"/>
      <c r="I846" s="307"/>
      <c r="J846" s="371"/>
      <c r="K846" s="371"/>
      <c r="L846" s="371"/>
      <c r="M846" s="371"/>
      <c r="N846" s="371"/>
      <c r="O846" s="371"/>
      <c r="P846" s="371"/>
      <c r="Q846" s="371"/>
      <c r="R846" s="371"/>
      <c r="S846" s="371"/>
      <c r="T846" s="371"/>
    </row>
    <row r="847">
      <c r="A847" s="307"/>
      <c r="B847" s="307"/>
      <c r="C847" s="307"/>
      <c r="D847" s="307"/>
      <c r="E847" s="307"/>
      <c r="F847" s="371"/>
      <c r="G847" s="307"/>
      <c r="H847" s="307"/>
      <c r="I847" s="307"/>
      <c r="J847" s="371"/>
      <c r="K847" s="371"/>
      <c r="L847" s="371"/>
      <c r="M847" s="371"/>
      <c r="N847" s="371"/>
      <c r="O847" s="371"/>
      <c r="P847" s="371"/>
      <c r="Q847" s="371"/>
      <c r="R847" s="371"/>
      <c r="S847" s="371"/>
      <c r="T847" s="371"/>
    </row>
    <row r="848">
      <c r="A848" s="307"/>
      <c r="B848" s="307"/>
      <c r="C848" s="307"/>
      <c r="D848" s="307"/>
      <c r="E848" s="307"/>
      <c r="F848" s="371"/>
      <c r="G848" s="307"/>
      <c r="H848" s="307"/>
      <c r="I848" s="307"/>
      <c r="J848" s="371"/>
      <c r="K848" s="371"/>
      <c r="L848" s="371"/>
      <c r="M848" s="371"/>
      <c r="N848" s="371"/>
      <c r="O848" s="371"/>
      <c r="P848" s="371"/>
      <c r="Q848" s="371"/>
      <c r="R848" s="371"/>
      <c r="S848" s="371"/>
      <c r="T848" s="371"/>
    </row>
    <row r="849">
      <c r="A849" s="307"/>
      <c r="B849" s="307"/>
      <c r="C849" s="307"/>
      <c r="D849" s="307"/>
      <c r="E849" s="307"/>
      <c r="F849" s="371"/>
      <c r="G849" s="307"/>
      <c r="H849" s="307"/>
      <c r="I849" s="307"/>
      <c r="J849" s="371"/>
      <c r="K849" s="371"/>
      <c r="L849" s="371"/>
      <c r="M849" s="371"/>
      <c r="N849" s="371"/>
      <c r="O849" s="371"/>
      <c r="P849" s="371"/>
      <c r="Q849" s="371"/>
      <c r="R849" s="371"/>
      <c r="S849" s="371"/>
      <c r="T849" s="371"/>
    </row>
    <row r="850">
      <c r="A850" s="307"/>
      <c r="B850" s="307"/>
      <c r="C850" s="307"/>
      <c r="D850" s="307"/>
      <c r="E850" s="307"/>
      <c r="F850" s="371"/>
      <c r="G850" s="307"/>
      <c r="H850" s="307"/>
      <c r="I850" s="307"/>
      <c r="J850" s="371"/>
      <c r="K850" s="371"/>
      <c r="L850" s="371"/>
      <c r="M850" s="371"/>
      <c r="N850" s="371"/>
      <c r="O850" s="371"/>
      <c r="P850" s="371"/>
      <c r="Q850" s="371"/>
      <c r="R850" s="371"/>
      <c r="S850" s="371"/>
      <c r="T850" s="371"/>
    </row>
    <row r="851">
      <c r="A851" s="307"/>
      <c r="B851" s="307"/>
      <c r="C851" s="307"/>
      <c r="D851" s="307"/>
      <c r="E851" s="307"/>
      <c r="F851" s="371"/>
      <c r="G851" s="307"/>
      <c r="H851" s="307"/>
      <c r="I851" s="307"/>
      <c r="J851" s="371"/>
      <c r="K851" s="371"/>
      <c r="L851" s="371"/>
      <c r="M851" s="371"/>
      <c r="N851" s="371"/>
      <c r="O851" s="371"/>
      <c r="P851" s="371"/>
      <c r="Q851" s="371"/>
      <c r="R851" s="371"/>
      <c r="S851" s="371"/>
      <c r="T851" s="371"/>
    </row>
    <row r="852">
      <c r="A852" s="307"/>
      <c r="B852" s="307"/>
      <c r="C852" s="307"/>
      <c r="D852" s="307"/>
      <c r="E852" s="307"/>
      <c r="F852" s="371"/>
      <c r="G852" s="307"/>
      <c r="H852" s="307"/>
      <c r="I852" s="307"/>
      <c r="J852" s="371"/>
      <c r="K852" s="371"/>
      <c r="L852" s="371"/>
      <c r="M852" s="371"/>
      <c r="N852" s="371"/>
      <c r="O852" s="371"/>
      <c r="P852" s="371"/>
      <c r="Q852" s="371"/>
      <c r="R852" s="371"/>
      <c r="S852" s="371"/>
      <c r="T852" s="371"/>
    </row>
    <row r="853">
      <c r="A853" s="307"/>
      <c r="B853" s="307"/>
      <c r="C853" s="307"/>
      <c r="D853" s="307"/>
      <c r="E853" s="307"/>
      <c r="F853" s="371"/>
      <c r="G853" s="307"/>
      <c r="H853" s="307"/>
      <c r="I853" s="307"/>
      <c r="J853" s="371"/>
      <c r="K853" s="371"/>
      <c r="L853" s="371"/>
      <c r="M853" s="371"/>
      <c r="N853" s="371"/>
      <c r="O853" s="371"/>
      <c r="P853" s="371"/>
      <c r="Q853" s="371"/>
      <c r="R853" s="371"/>
      <c r="S853" s="371"/>
      <c r="T853" s="371"/>
    </row>
    <row r="854">
      <c r="A854" s="307"/>
      <c r="B854" s="307"/>
      <c r="C854" s="307"/>
      <c r="D854" s="307"/>
      <c r="E854" s="307"/>
      <c r="F854" s="371"/>
      <c r="G854" s="307"/>
      <c r="H854" s="307"/>
      <c r="I854" s="307"/>
      <c r="J854" s="371"/>
      <c r="K854" s="371"/>
      <c r="L854" s="371"/>
      <c r="M854" s="371"/>
      <c r="N854" s="371"/>
      <c r="O854" s="371"/>
      <c r="P854" s="371"/>
      <c r="Q854" s="371"/>
      <c r="R854" s="371"/>
      <c r="S854" s="371"/>
      <c r="T854" s="371"/>
    </row>
    <row r="855">
      <c r="A855" s="307"/>
      <c r="B855" s="307"/>
      <c r="C855" s="307"/>
      <c r="D855" s="307"/>
      <c r="E855" s="307"/>
      <c r="F855" s="371"/>
      <c r="G855" s="307"/>
      <c r="H855" s="307"/>
      <c r="I855" s="307"/>
      <c r="J855" s="371"/>
      <c r="K855" s="371"/>
      <c r="L855" s="371"/>
      <c r="M855" s="371"/>
      <c r="N855" s="371"/>
      <c r="O855" s="371"/>
      <c r="P855" s="371"/>
      <c r="Q855" s="371"/>
      <c r="R855" s="371"/>
      <c r="S855" s="371"/>
      <c r="T855" s="371"/>
    </row>
    <row r="856">
      <c r="A856" s="307"/>
      <c r="B856" s="307"/>
      <c r="C856" s="307"/>
      <c r="D856" s="307"/>
      <c r="E856" s="307"/>
      <c r="F856" s="371"/>
      <c r="G856" s="307"/>
      <c r="H856" s="307"/>
      <c r="I856" s="307"/>
      <c r="J856" s="371"/>
      <c r="K856" s="371"/>
      <c r="L856" s="371"/>
      <c r="M856" s="371"/>
      <c r="N856" s="371"/>
      <c r="O856" s="371"/>
      <c r="P856" s="371"/>
      <c r="Q856" s="371"/>
      <c r="R856" s="371"/>
      <c r="S856" s="371"/>
      <c r="T856" s="371"/>
    </row>
    <row r="857">
      <c r="A857" s="307"/>
      <c r="B857" s="307"/>
      <c r="C857" s="307"/>
      <c r="D857" s="307"/>
      <c r="E857" s="307"/>
      <c r="F857" s="371"/>
      <c r="G857" s="307"/>
      <c r="H857" s="307"/>
      <c r="I857" s="307"/>
      <c r="J857" s="371"/>
      <c r="K857" s="371"/>
      <c r="L857" s="371"/>
      <c r="M857" s="371"/>
      <c r="N857" s="371"/>
      <c r="O857" s="371"/>
      <c r="P857" s="371"/>
      <c r="Q857" s="371"/>
      <c r="R857" s="371"/>
      <c r="S857" s="371"/>
      <c r="T857" s="371"/>
    </row>
    <row r="858">
      <c r="A858" s="307"/>
      <c r="B858" s="307"/>
      <c r="C858" s="307"/>
      <c r="D858" s="307"/>
      <c r="E858" s="307"/>
      <c r="F858" s="371"/>
      <c r="G858" s="307"/>
      <c r="H858" s="307"/>
      <c r="I858" s="307"/>
      <c r="J858" s="371"/>
      <c r="K858" s="371"/>
      <c r="L858" s="371"/>
      <c r="M858" s="371"/>
      <c r="N858" s="371"/>
      <c r="O858" s="371"/>
      <c r="P858" s="371"/>
      <c r="Q858" s="371"/>
      <c r="R858" s="371"/>
      <c r="S858" s="371"/>
      <c r="T858" s="371"/>
    </row>
    <row r="859">
      <c r="A859" s="307"/>
      <c r="B859" s="307"/>
      <c r="C859" s="307"/>
      <c r="D859" s="307"/>
      <c r="E859" s="307"/>
      <c r="F859" s="371"/>
      <c r="G859" s="307"/>
      <c r="H859" s="307"/>
      <c r="I859" s="307"/>
      <c r="J859" s="371"/>
      <c r="K859" s="371"/>
      <c r="L859" s="371"/>
      <c r="M859" s="371"/>
      <c r="N859" s="371"/>
      <c r="O859" s="371"/>
      <c r="P859" s="371"/>
      <c r="Q859" s="371"/>
      <c r="R859" s="371"/>
      <c r="S859" s="371"/>
      <c r="T859" s="371"/>
    </row>
    <row r="860">
      <c r="A860" s="307"/>
      <c r="B860" s="307"/>
      <c r="C860" s="307"/>
      <c r="D860" s="307"/>
      <c r="E860" s="307"/>
      <c r="F860" s="371"/>
      <c r="G860" s="307"/>
      <c r="H860" s="307"/>
      <c r="I860" s="307"/>
      <c r="J860" s="371"/>
      <c r="K860" s="371"/>
      <c r="L860" s="371"/>
      <c r="M860" s="371"/>
      <c r="N860" s="371"/>
      <c r="O860" s="371"/>
      <c r="P860" s="371"/>
      <c r="Q860" s="371"/>
      <c r="R860" s="371"/>
      <c r="S860" s="371"/>
      <c r="T860" s="371"/>
    </row>
    <row r="861">
      <c r="A861" s="307"/>
      <c r="B861" s="307"/>
      <c r="C861" s="307"/>
      <c r="D861" s="307"/>
      <c r="E861" s="307"/>
      <c r="F861" s="371"/>
      <c r="G861" s="307"/>
      <c r="H861" s="307"/>
      <c r="I861" s="307"/>
      <c r="J861" s="371"/>
      <c r="K861" s="371"/>
      <c r="L861" s="371"/>
      <c r="M861" s="371"/>
      <c r="N861" s="371"/>
      <c r="O861" s="371"/>
      <c r="P861" s="371"/>
      <c r="Q861" s="371"/>
      <c r="R861" s="371"/>
      <c r="S861" s="371"/>
      <c r="T861" s="371"/>
    </row>
    <row r="862">
      <c r="A862" s="307"/>
      <c r="B862" s="307"/>
      <c r="C862" s="307"/>
      <c r="D862" s="307"/>
      <c r="E862" s="307"/>
      <c r="F862" s="371"/>
      <c r="G862" s="307"/>
      <c r="H862" s="307"/>
      <c r="I862" s="307"/>
      <c r="J862" s="371"/>
      <c r="K862" s="371"/>
      <c r="L862" s="371"/>
      <c r="M862" s="371"/>
      <c r="N862" s="371"/>
      <c r="O862" s="371"/>
      <c r="P862" s="371"/>
      <c r="Q862" s="371"/>
      <c r="R862" s="371"/>
      <c r="S862" s="371"/>
      <c r="T862" s="371"/>
    </row>
    <row r="863">
      <c r="A863" s="307"/>
      <c r="B863" s="307"/>
      <c r="C863" s="307"/>
      <c r="D863" s="307"/>
      <c r="E863" s="307"/>
      <c r="F863" s="371"/>
      <c r="G863" s="307"/>
      <c r="H863" s="307"/>
      <c r="I863" s="307"/>
      <c r="J863" s="371"/>
      <c r="K863" s="371"/>
      <c r="L863" s="371"/>
      <c r="M863" s="371"/>
      <c r="N863" s="371"/>
      <c r="O863" s="371"/>
      <c r="P863" s="371"/>
      <c r="Q863" s="371"/>
      <c r="R863" s="371"/>
      <c r="S863" s="371"/>
      <c r="T863" s="371"/>
    </row>
    <row r="864">
      <c r="A864" s="307"/>
      <c r="B864" s="307"/>
      <c r="C864" s="307"/>
      <c r="D864" s="307"/>
      <c r="E864" s="307"/>
      <c r="F864" s="371"/>
      <c r="G864" s="307"/>
      <c r="H864" s="307"/>
      <c r="I864" s="307"/>
      <c r="J864" s="371"/>
      <c r="K864" s="371"/>
      <c r="L864" s="371"/>
      <c r="M864" s="371"/>
      <c r="N864" s="371"/>
      <c r="O864" s="371"/>
      <c r="P864" s="371"/>
      <c r="Q864" s="371"/>
      <c r="R864" s="371"/>
      <c r="S864" s="371"/>
      <c r="T864" s="371"/>
    </row>
    <row r="865">
      <c r="A865" s="307"/>
      <c r="B865" s="307"/>
      <c r="C865" s="307"/>
      <c r="D865" s="307"/>
      <c r="E865" s="307"/>
      <c r="F865" s="371"/>
      <c r="G865" s="307"/>
      <c r="H865" s="307"/>
      <c r="I865" s="307"/>
      <c r="J865" s="371"/>
      <c r="K865" s="371"/>
      <c r="L865" s="371"/>
      <c r="M865" s="371"/>
      <c r="N865" s="371"/>
      <c r="O865" s="371"/>
      <c r="P865" s="371"/>
      <c r="Q865" s="371"/>
      <c r="R865" s="371"/>
      <c r="S865" s="371"/>
      <c r="T865" s="371"/>
    </row>
    <row r="866">
      <c r="A866" s="307"/>
      <c r="B866" s="307"/>
      <c r="C866" s="307"/>
      <c r="D866" s="307"/>
      <c r="E866" s="307"/>
      <c r="F866" s="371"/>
      <c r="G866" s="307"/>
      <c r="H866" s="307"/>
      <c r="I866" s="307"/>
      <c r="J866" s="371"/>
      <c r="K866" s="371"/>
      <c r="L866" s="371"/>
      <c r="M866" s="371"/>
      <c r="N866" s="371"/>
      <c r="O866" s="371"/>
      <c r="P866" s="371"/>
      <c r="Q866" s="371"/>
      <c r="R866" s="371"/>
      <c r="S866" s="371"/>
      <c r="T866" s="371"/>
    </row>
    <row r="867">
      <c r="A867" s="307"/>
      <c r="B867" s="307"/>
      <c r="C867" s="307"/>
      <c r="D867" s="307"/>
      <c r="E867" s="307"/>
      <c r="F867" s="371"/>
      <c r="G867" s="307"/>
      <c r="H867" s="307"/>
      <c r="I867" s="307"/>
      <c r="J867" s="371"/>
      <c r="K867" s="371"/>
      <c r="L867" s="371"/>
      <c r="M867" s="371"/>
      <c r="N867" s="371"/>
      <c r="O867" s="371"/>
      <c r="P867" s="371"/>
      <c r="Q867" s="371"/>
      <c r="R867" s="371"/>
      <c r="S867" s="371"/>
      <c r="T867" s="371"/>
    </row>
    <row r="868">
      <c r="A868" s="307"/>
      <c r="B868" s="307"/>
      <c r="C868" s="307"/>
      <c r="D868" s="307"/>
      <c r="E868" s="307"/>
      <c r="F868" s="371"/>
      <c r="G868" s="307"/>
      <c r="H868" s="307"/>
      <c r="I868" s="307"/>
      <c r="J868" s="371"/>
      <c r="K868" s="371"/>
      <c r="L868" s="371"/>
      <c r="M868" s="371"/>
      <c r="N868" s="371"/>
      <c r="O868" s="371"/>
      <c r="P868" s="371"/>
      <c r="Q868" s="371"/>
      <c r="R868" s="371"/>
      <c r="S868" s="371"/>
      <c r="T868" s="371"/>
    </row>
    <row r="869">
      <c r="A869" s="307"/>
      <c r="B869" s="307"/>
      <c r="C869" s="307"/>
      <c r="D869" s="307"/>
      <c r="E869" s="307"/>
      <c r="F869" s="371"/>
      <c r="G869" s="307"/>
      <c r="H869" s="307"/>
      <c r="I869" s="307"/>
      <c r="J869" s="371"/>
      <c r="K869" s="371"/>
      <c r="L869" s="371"/>
      <c r="M869" s="371"/>
      <c r="N869" s="371"/>
      <c r="O869" s="371"/>
      <c r="P869" s="371"/>
      <c r="Q869" s="371"/>
      <c r="R869" s="371"/>
      <c r="S869" s="371"/>
      <c r="T869" s="371"/>
    </row>
    <row r="870">
      <c r="A870" s="307"/>
      <c r="B870" s="307"/>
      <c r="C870" s="307"/>
      <c r="D870" s="307"/>
      <c r="E870" s="307"/>
      <c r="F870" s="371"/>
      <c r="G870" s="307"/>
      <c r="H870" s="307"/>
      <c r="I870" s="307"/>
      <c r="J870" s="371"/>
      <c r="K870" s="371"/>
      <c r="L870" s="371"/>
      <c r="M870" s="371"/>
      <c r="N870" s="371"/>
      <c r="O870" s="371"/>
      <c r="P870" s="371"/>
      <c r="Q870" s="371"/>
      <c r="R870" s="371"/>
      <c r="S870" s="371"/>
      <c r="T870" s="371"/>
    </row>
    <row r="871">
      <c r="A871" s="307"/>
      <c r="B871" s="307"/>
      <c r="C871" s="307"/>
      <c r="D871" s="307"/>
      <c r="E871" s="307"/>
      <c r="F871" s="371"/>
      <c r="G871" s="307"/>
      <c r="H871" s="307"/>
      <c r="I871" s="307"/>
      <c r="J871" s="371"/>
      <c r="K871" s="371"/>
      <c r="L871" s="371"/>
      <c r="M871" s="371"/>
      <c r="N871" s="371"/>
      <c r="O871" s="371"/>
      <c r="P871" s="371"/>
      <c r="Q871" s="371"/>
      <c r="R871" s="371"/>
      <c r="S871" s="371"/>
      <c r="T871" s="371"/>
    </row>
    <row r="872">
      <c r="A872" s="307"/>
      <c r="B872" s="307"/>
      <c r="C872" s="307"/>
      <c r="D872" s="307"/>
      <c r="E872" s="307"/>
      <c r="F872" s="371"/>
      <c r="G872" s="307"/>
      <c r="H872" s="307"/>
      <c r="I872" s="307"/>
      <c r="J872" s="371"/>
      <c r="K872" s="371"/>
      <c r="L872" s="371"/>
      <c r="M872" s="371"/>
      <c r="N872" s="371"/>
      <c r="O872" s="371"/>
      <c r="P872" s="371"/>
      <c r="Q872" s="371"/>
      <c r="R872" s="371"/>
      <c r="S872" s="371"/>
      <c r="T872" s="371"/>
    </row>
    <row r="873">
      <c r="A873" s="307"/>
      <c r="B873" s="307"/>
      <c r="C873" s="307"/>
      <c r="D873" s="307"/>
      <c r="E873" s="307"/>
      <c r="F873" s="371"/>
      <c r="G873" s="307"/>
      <c r="H873" s="307"/>
      <c r="I873" s="307"/>
      <c r="J873" s="371"/>
      <c r="K873" s="371"/>
      <c r="L873" s="371"/>
      <c r="M873" s="371"/>
      <c r="N873" s="371"/>
      <c r="O873" s="371"/>
      <c r="P873" s="371"/>
      <c r="Q873" s="371"/>
      <c r="R873" s="371"/>
      <c r="S873" s="371"/>
      <c r="T873" s="371"/>
    </row>
    <row r="874">
      <c r="A874" s="307"/>
      <c r="B874" s="307"/>
      <c r="C874" s="307"/>
      <c r="D874" s="307"/>
      <c r="E874" s="307"/>
      <c r="F874" s="371"/>
      <c r="G874" s="307"/>
      <c r="H874" s="307"/>
      <c r="I874" s="307"/>
      <c r="J874" s="371"/>
      <c r="K874" s="371"/>
      <c r="L874" s="371"/>
      <c r="M874" s="371"/>
      <c r="N874" s="371"/>
      <c r="O874" s="371"/>
      <c r="P874" s="371"/>
      <c r="Q874" s="371"/>
      <c r="R874" s="371"/>
      <c r="S874" s="371"/>
      <c r="T874" s="371"/>
    </row>
    <row r="875">
      <c r="A875" s="307"/>
      <c r="B875" s="307"/>
      <c r="C875" s="307"/>
      <c r="D875" s="307"/>
      <c r="E875" s="307"/>
      <c r="F875" s="371"/>
      <c r="G875" s="307"/>
      <c r="H875" s="307"/>
      <c r="I875" s="307"/>
      <c r="J875" s="371"/>
      <c r="K875" s="371"/>
      <c r="L875" s="371"/>
      <c r="M875" s="371"/>
      <c r="N875" s="371"/>
      <c r="O875" s="371"/>
      <c r="P875" s="371"/>
      <c r="Q875" s="371"/>
      <c r="R875" s="371"/>
      <c r="S875" s="371"/>
      <c r="T875" s="371"/>
    </row>
    <row r="876">
      <c r="A876" s="307"/>
      <c r="B876" s="307"/>
      <c r="C876" s="307"/>
      <c r="D876" s="307"/>
      <c r="E876" s="307"/>
      <c r="F876" s="371"/>
      <c r="G876" s="307"/>
      <c r="H876" s="307"/>
      <c r="I876" s="307"/>
      <c r="J876" s="371"/>
      <c r="K876" s="371"/>
      <c r="L876" s="371"/>
      <c r="M876" s="371"/>
      <c r="N876" s="371"/>
      <c r="O876" s="371"/>
      <c r="P876" s="371"/>
      <c r="Q876" s="371"/>
      <c r="R876" s="371"/>
      <c r="S876" s="371"/>
      <c r="T876" s="371"/>
    </row>
    <row r="877">
      <c r="A877" s="307"/>
      <c r="B877" s="307"/>
      <c r="C877" s="307"/>
      <c r="D877" s="307"/>
      <c r="E877" s="307"/>
      <c r="F877" s="371"/>
      <c r="G877" s="307"/>
      <c r="H877" s="307"/>
      <c r="I877" s="307"/>
      <c r="J877" s="371"/>
      <c r="K877" s="371"/>
      <c r="L877" s="371"/>
      <c r="M877" s="371"/>
      <c r="N877" s="371"/>
      <c r="O877" s="371"/>
      <c r="P877" s="371"/>
      <c r="Q877" s="371"/>
      <c r="R877" s="371"/>
      <c r="S877" s="371"/>
      <c r="T877" s="371"/>
    </row>
    <row r="878">
      <c r="A878" s="307"/>
      <c r="B878" s="307"/>
      <c r="C878" s="307"/>
      <c r="D878" s="307"/>
      <c r="E878" s="307"/>
      <c r="F878" s="371"/>
      <c r="G878" s="307"/>
      <c r="H878" s="307"/>
      <c r="I878" s="307"/>
      <c r="J878" s="371"/>
      <c r="K878" s="371"/>
      <c r="L878" s="371"/>
      <c r="M878" s="371"/>
      <c r="N878" s="371"/>
      <c r="O878" s="371"/>
      <c r="P878" s="371"/>
      <c r="Q878" s="371"/>
      <c r="R878" s="371"/>
      <c r="S878" s="371"/>
      <c r="T878" s="371"/>
    </row>
    <row r="879">
      <c r="A879" s="307"/>
      <c r="B879" s="307"/>
      <c r="C879" s="307"/>
      <c r="D879" s="307"/>
      <c r="E879" s="307"/>
      <c r="F879" s="371"/>
      <c r="G879" s="307"/>
      <c r="H879" s="307"/>
      <c r="I879" s="307"/>
      <c r="J879" s="371"/>
      <c r="K879" s="371"/>
      <c r="L879" s="371"/>
      <c r="M879" s="371"/>
      <c r="N879" s="371"/>
      <c r="O879" s="371"/>
      <c r="P879" s="371"/>
      <c r="Q879" s="371"/>
      <c r="R879" s="371"/>
      <c r="S879" s="371"/>
      <c r="T879" s="371"/>
    </row>
    <row r="880">
      <c r="A880" s="307"/>
      <c r="B880" s="307"/>
      <c r="C880" s="307"/>
      <c r="D880" s="307"/>
      <c r="E880" s="307"/>
      <c r="F880" s="371"/>
      <c r="G880" s="307"/>
      <c r="H880" s="307"/>
      <c r="I880" s="307"/>
      <c r="J880" s="371"/>
      <c r="K880" s="371"/>
      <c r="L880" s="371"/>
      <c r="M880" s="371"/>
      <c r="N880" s="371"/>
      <c r="O880" s="371"/>
      <c r="P880" s="371"/>
      <c r="Q880" s="371"/>
      <c r="R880" s="371"/>
      <c r="S880" s="371"/>
      <c r="T880" s="371"/>
    </row>
    <row r="881">
      <c r="A881" s="307"/>
      <c r="B881" s="307"/>
      <c r="C881" s="307"/>
      <c r="D881" s="307"/>
      <c r="E881" s="307"/>
      <c r="F881" s="371"/>
      <c r="G881" s="307"/>
      <c r="H881" s="307"/>
      <c r="I881" s="307"/>
      <c r="J881" s="371"/>
      <c r="K881" s="371"/>
      <c r="L881" s="371"/>
      <c r="M881" s="371"/>
      <c r="N881" s="371"/>
      <c r="O881" s="371"/>
      <c r="P881" s="371"/>
      <c r="Q881" s="371"/>
      <c r="R881" s="371"/>
      <c r="S881" s="371"/>
      <c r="T881" s="371"/>
    </row>
    <row r="882">
      <c r="A882" s="307"/>
      <c r="B882" s="307"/>
      <c r="C882" s="307"/>
      <c r="D882" s="307"/>
      <c r="E882" s="307"/>
      <c r="F882" s="371"/>
      <c r="G882" s="307"/>
      <c r="H882" s="307"/>
      <c r="I882" s="307"/>
      <c r="J882" s="371"/>
      <c r="K882" s="371"/>
      <c r="L882" s="371"/>
      <c r="M882" s="371"/>
      <c r="N882" s="371"/>
      <c r="O882" s="371"/>
      <c r="P882" s="371"/>
      <c r="Q882" s="371"/>
      <c r="R882" s="371"/>
      <c r="S882" s="371"/>
      <c r="T882" s="371"/>
    </row>
    <row r="883">
      <c r="A883" s="307"/>
      <c r="B883" s="307"/>
      <c r="C883" s="307"/>
      <c r="D883" s="307"/>
      <c r="E883" s="307"/>
      <c r="F883" s="371"/>
      <c r="G883" s="307"/>
      <c r="H883" s="307"/>
      <c r="I883" s="307"/>
      <c r="J883" s="371"/>
      <c r="K883" s="371"/>
      <c r="L883" s="371"/>
      <c r="M883" s="371"/>
      <c r="N883" s="371"/>
      <c r="O883" s="371"/>
      <c r="P883" s="371"/>
      <c r="Q883" s="371"/>
      <c r="R883" s="371"/>
      <c r="S883" s="371"/>
      <c r="T883" s="371"/>
    </row>
    <row r="884">
      <c r="A884" s="307"/>
      <c r="B884" s="307"/>
      <c r="C884" s="307"/>
      <c r="D884" s="307"/>
      <c r="E884" s="307"/>
      <c r="F884" s="371"/>
      <c r="G884" s="307"/>
      <c r="H884" s="307"/>
      <c r="I884" s="307"/>
      <c r="J884" s="371"/>
      <c r="K884" s="371"/>
      <c r="L884" s="371"/>
      <c r="M884" s="371"/>
      <c r="N884" s="371"/>
      <c r="O884" s="371"/>
      <c r="P884" s="371"/>
      <c r="Q884" s="371"/>
      <c r="R884" s="371"/>
      <c r="S884" s="371"/>
      <c r="T884" s="371"/>
    </row>
    <row r="885">
      <c r="A885" s="307"/>
      <c r="B885" s="307"/>
      <c r="C885" s="307"/>
      <c r="D885" s="307"/>
      <c r="E885" s="307"/>
      <c r="F885" s="371"/>
      <c r="G885" s="307"/>
      <c r="H885" s="307"/>
      <c r="I885" s="307"/>
      <c r="J885" s="371"/>
      <c r="K885" s="371"/>
      <c r="L885" s="371"/>
      <c r="M885" s="371"/>
      <c r="N885" s="371"/>
      <c r="O885" s="371"/>
      <c r="P885" s="371"/>
      <c r="Q885" s="371"/>
      <c r="R885" s="371"/>
      <c r="S885" s="371"/>
      <c r="T885" s="371"/>
    </row>
    <row r="886">
      <c r="A886" s="307"/>
      <c r="B886" s="307"/>
      <c r="C886" s="307"/>
      <c r="D886" s="307"/>
      <c r="E886" s="307"/>
      <c r="F886" s="371"/>
      <c r="G886" s="307"/>
      <c r="H886" s="307"/>
      <c r="I886" s="307"/>
      <c r="J886" s="371"/>
      <c r="K886" s="371"/>
      <c r="L886" s="371"/>
      <c r="M886" s="371"/>
      <c r="N886" s="371"/>
      <c r="O886" s="371"/>
      <c r="P886" s="371"/>
      <c r="Q886" s="371"/>
      <c r="R886" s="371"/>
      <c r="S886" s="371"/>
      <c r="T886" s="371"/>
    </row>
    <row r="887">
      <c r="A887" s="307"/>
      <c r="B887" s="307"/>
      <c r="C887" s="307"/>
      <c r="D887" s="307"/>
      <c r="E887" s="307"/>
      <c r="F887" s="371"/>
      <c r="G887" s="307"/>
      <c r="H887" s="307"/>
      <c r="I887" s="307"/>
      <c r="J887" s="371"/>
      <c r="K887" s="371"/>
      <c r="L887" s="371"/>
      <c r="M887" s="371"/>
      <c r="N887" s="371"/>
      <c r="O887" s="371"/>
      <c r="P887" s="371"/>
      <c r="Q887" s="371"/>
      <c r="R887" s="371"/>
      <c r="S887" s="371"/>
      <c r="T887" s="371"/>
    </row>
    <row r="888">
      <c r="A888" s="307"/>
      <c r="B888" s="307"/>
      <c r="C888" s="307"/>
      <c r="D888" s="307"/>
      <c r="E888" s="307"/>
      <c r="F888" s="371"/>
      <c r="G888" s="307"/>
      <c r="H888" s="307"/>
      <c r="I888" s="307"/>
      <c r="J888" s="371"/>
      <c r="K888" s="371"/>
      <c r="L888" s="371"/>
      <c r="M888" s="371"/>
      <c r="N888" s="371"/>
      <c r="O888" s="371"/>
      <c r="P888" s="371"/>
      <c r="Q888" s="371"/>
      <c r="R888" s="371"/>
      <c r="S888" s="371"/>
      <c r="T888" s="371"/>
    </row>
    <row r="889">
      <c r="A889" s="307"/>
      <c r="B889" s="307"/>
      <c r="C889" s="307"/>
      <c r="D889" s="307"/>
      <c r="E889" s="307"/>
      <c r="F889" s="371"/>
      <c r="G889" s="307"/>
      <c r="H889" s="307"/>
      <c r="I889" s="307"/>
      <c r="J889" s="371"/>
      <c r="K889" s="371"/>
      <c r="L889" s="371"/>
      <c r="M889" s="371"/>
      <c r="N889" s="371"/>
      <c r="O889" s="371"/>
      <c r="P889" s="371"/>
      <c r="Q889" s="371"/>
      <c r="R889" s="371"/>
      <c r="S889" s="371"/>
      <c r="T889" s="371"/>
    </row>
    <row r="890">
      <c r="A890" s="307"/>
      <c r="B890" s="307"/>
      <c r="C890" s="307"/>
      <c r="D890" s="307"/>
      <c r="E890" s="307"/>
      <c r="F890" s="371"/>
      <c r="G890" s="307"/>
      <c r="H890" s="307"/>
      <c r="I890" s="307"/>
      <c r="J890" s="371"/>
      <c r="K890" s="371"/>
      <c r="L890" s="371"/>
      <c r="M890" s="371"/>
      <c r="N890" s="371"/>
      <c r="O890" s="371"/>
      <c r="P890" s="371"/>
      <c r="Q890" s="371"/>
      <c r="R890" s="371"/>
      <c r="S890" s="371"/>
      <c r="T890" s="371"/>
    </row>
    <row r="891">
      <c r="A891" s="307"/>
      <c r="B891" s="307"/>
      <c r="C891" s="307"/>
      <c r="D891" s="307"/>
      <c r="E891" s="307"/>
      <c r="F891" s="371"/>
      <c r="G891" s="307"/>
      <c r="H891" s="307"/>
      <c r="I891" s="307"/>
      <c r="J891" s="371"/>
      <c r="K891" s="371"/>
      <c r="L891" s="371"/>
      <c r="M891" s="371"/>
      <c r="N891" s="371"/>
      <c r="O891" s="371"/>
      <c r="P891" s="371"/>
      <c r="Q891" s="371"/>
      <c r="R891" s="371"/>
      <c r="S891" s="371"/>
      <c r="T891" s="371"/>
    </row>
    <row r="892">
      <c r="A892" s="307"/>
      <c r="B892" s="307"/>
      <c r="C892" s="307"/>
      <c r="D892" s="307"/>
      <c r="E892" s="307"/>
      <c r="F892" s="371"/>
      <c r="G892" s="307"/>
      <c r="H892" s="307"/>
      <c r="I892" s="307"/>
      <c r="J892" s="371"/>
      <c r="K892" s="371"/>
      <c r="L892" s="371"/>
      <c r="M892" s="371"/>
      <c r="N892" s="371"/>
      <c r="O892" s="371"/>
      <c r="P892" s="371"/>
      <c r="Q892" s="371"/>
      <c r="R892" s="371"/>
      <c r="S892" s="371"/>
      <c r="T892" s="371"/>
    </row>
    <row r="893">
      <c r="A893" s="307"/>
      <c r="B893" s="307"/>
      <c r="C893" s="307"/>
      <c r="D893" s="307"/>
      <c r="E893" s="307"/>
      <c r="F893" s="371"/>
      <c r="G893" s="307"/>
      <c r="H893" s="307"/>
      <c r="I893" s="307"/>
      <c r="J893" s="371"/>
      <c r="K893" s="371"/>
      <c r="L893" s="371"/>
      <c r="M893" s="371"/>
      <c r="N893" s="371"/>
      <c r="O893" s="371"/>
      <c r="P893" s="371"/>
      <c r="Q893" s="371"/>
      <c r="R893" s="371"/>
      <c r="S893" s="371"/>
      <c r="T893" s="371"/>
    </row>
    <row r="894">
      <c r="A894" s="307"/>
      <c r="B894" s="307"/>
      <c r="C894" s="307"/>
      <c r="D894" s="307"/>
      <c r="E894" s="307"/>
      <c r="F894" s="371"/>
      <c r="G894" s="307"/>
      <c r="H894" s="307"/>
      <c r="I894" s="307"/>
      <c r="J894" s="371"/>
      <c r="K894" s="371"/>
      <c r="L894" s="371"/>
      <c r="M894" s="371"/>
      <c r="N894" s="371"/>
      <c r="O894" s="371"/>
      <c r="P894" s="371"/>
      <c r="Q894" s="371"/>
      <c r="R894" s="371"/>
      <c r="S894" s="371"/>
      <c r="T894" s="371"/>
    </row>
    <row r="895">
      <c r="A895" s="307"/>
      <c r="B895" s="307"/>
      <c r="C895" s="307"/>
      <c r="D895" s="307"/>
      <c r="E895" s="307"/>
      <c r="F895" s="371"/>
      <c r="G895" s="307"/>
      <c r="H895" s="307"/>
      <c r="I895" s="307"/>
      <c r="J895" s="371"/>
      <c r="K895" s="371"/>
      <c r="L895" s="371"/>
      <c r="M895" s="371"/>
      <c r="N895" s="371"/>
      <c r="O895" s="371"/>
      <c r="P895" s="371"/>
      <c r="Q895" s="371"/>
      <c r="R895" s="371"/>
      <c r="S895" s="371"/>
      <c r="T895" s="371"/>
    </row>
    <row r="896">
      <c r="A896" s="307"/>
      <c r="B896" s="307"/>
      <c r="C896" s="307"/>
      <c r="D896" s="307"/>
      <c r="E896" s="307"/>
      <c r="F896" s="371"/>
      <c r="G896" s="307"/>
      <c r="H896" s="307"/>
      <c r="I896" s="307"/>
      <c r="J896" s="371"/>
      <c r="K896" s="371"/>
      <c r="L896" s="371"/>
      <c r="M896" s="371"/>
      <c r="N896" s="371"/>
      <c r="O896" s="371"/>
      <c r="P896" s="371"/>
      <c r="Q896" s="371"/>
      <c r="R896" s="371"/>
      <c r="S896" s="371"/>
      <c r="T896" s="371"/>
    </row>
    <row r="897">
      <c r="A897" s="307"/>
      <c r="B897" s="307"/>
      <c r="C897" s="307"/>
      <c r="D897" s="307"/>
      <c r="E897" s="307"/>
      <c r="F897" s="371"/>
      <c r="G897" s="307"/>
      <c r="H897" s="307"/>
      <c r="I897" s="307"/>
      <c r="J897" s="371"/>
      <c r="K897" s="371"/>
      <c r="L897" s="371"/>
      <c r="M897" s="371"/>
      <c r="N897" s="371"/>
      <c r="O897" s="371"/>
      <c r="P897" s="371"/>
      <c r="Q897" s="371"/>
      <c r="R897" s="371"/>
      <c r="S897" s="371"/>
      <c r="T897" s="371"/>
    </row>
    <row r="898">
      <c r="A898" s="307"/>
      <c r="B898" s="307"/>
      <c r="C898" s="307"/>
      <c r="D898" s="307"/>
      <c r="E898" s="307"/>
      <c r="F898" s="371"/>
      <c r="G898" s="307"/>
      <c r="H898" s="307"/>
      <c r="I898" s="307"/>
      <c r="J898" s="371"/>
      <c r="K898" s="371"/>
      <c r="L898" s="371"/>
      <c r="M898" s="371"/>
      <c r="N898" s="371"/>
      <c r="O898" s="371"/>
      <c r="P898" s="371"/>
      <c r="Q898" s="371"/>
      <c r="R898" s="371"/>
      <c r="S898" s="371"/>
      <c r="T898" s="371"/>
    </row>
    <row r="899">
      <c r="A899" s="307"/>
      <c r="B899" s="307"/>
      <c r="C899" s="307"/>
      <c r="D899" s="307"/>
      <c r="E899" s="307"/>
      <c r="F899" s="371"/>
      <c r="G899" s="307"/>
      <c r="H899" s="307"/>
      <c r="I899" s="307"/>
      <c r="J899" s="371"/>
      <c r="K899" s="371"/>
      <c r="L899" s="371"/>
      <c r="M899" s="371"/>
      <c r="N899" s="371"/>
      <c r="O899" s="371"/>
      <c r="P899" s="371"/>
      <c r="Q899" s="371"/>
      <c r="R899" s="371"/>
      <c r="S899" s="371"/>
      <c r="T899" s="371"/>
    </row>
    <row r="900">
      <c r="A900" s="307"/>
      <c r="B900" s="307"/>
      <c r="C900" s="307"/>
      <c r="D900" s="307"/>
      <c r="E900" s="307"/>
      <c r="F900" s="371"/>
      <c r="G900" s="307"/>
      <c r="H900" s="307"/>
      <c r="I900" s="307"/>
      <c r="J900" s="371"/>
      <c r="K900" s="371"/>
      <c r="L900" s="371"/>
      <c r="M900" s="371"/>
      <c r="N900" s="371"/>
      <c r="O900" s="371"/>
      <c r="P900" s="371"/>
      <c r="Q900" s="371"/>
      <c r="R900" s="371"/>
      <c r="S900" s="371"/>
      <c r="T900" s="371"/>
    </row>
    <row r="901">
      <c r="A901" s="307"/>
      <c r="B901" s="307"/>
      <c r="C901" s="307"/>
      <c r="D901" s="307"/>
      <c r="E901" s="307"/>
      <c r="F901" s="371"/>
      <c r="G901" s="307"/>
      <c r="H901" s="307"/>
      <c r="I901" s="307"/>
      <c r="J901" s="371"/>
      <c r="K901" s="371"/>
      <c r="L901" s="371"/>
      <c r="M901" s="371"/>
      <c r="N901" s="371"/>
      <c r="O901" s="371"/>
      <c r="P901" s="371"/>
      <c r="Q901" s="371"/>
      <c r="R901" s="371"/>
      <c r="S901" s="371"/>
      <c r="T901" s="371"/>
    </row>
    <row r="902">
      <c r="A902" s="307"/>
      <c r="B902" s="307"/>
      <c r="C902" s="307"/>
      <c r="D902" s="307"/>
      <c r="E902" s="307"/>
      <c r="F902" s="371"/>
      <c r="G902" s="307"/>
      <c r="H902" s="307"/>
      <c r="I902" s="307"/>
      <c r="J902" s="371"/>
      <c r="K902" s="371"/>
      <c r="L902" s="371"/>
      <c r="M902" s="371"/>
      <c r="N902" s="371"/>
      <c r="O902" s="371"/>
      <c r="P902" s="371"/>
      <c r="Q902" s="371"/>
      <c r="R902" s="371"/>
      <c r="S902" s="371"/>
      <c r="T902" s="371"/>
    </row>
    <row r="903">
      <c r="A903" s="307"/>
      <c r="B903" s="307"/>
      <c r="C903" s="307"/>
      <c r="D903" s="307"/>
      <c r="E903" s="307"/>
      <c r="F903" s="371"/>
      <c r="G903" s="307"/>
      <c r="H903" s="307"/>
      <c r="I903" s="307"/>
      <c r="J903" s="371"/>
      <c r="K903" s="371"/>
      <c r="L903" s="371"/>
      <c r="M903" s="371"/>
      <c r="N903" s="371"/>
      <c r="O903" s="371"/>
      <c r="P903" s="371"/>
      <c r="Q903" s="371"/>
      <c r="R903" s="371"/>
      <c r="S903" s="371"/>
      <c r="T903" s="371"/>
    </row>
    <row r="904">
      <c r="A904" s="307"/>
      <c r="B904" s="307"/>
      <c r="C904" s="307"/>
      <c r="D904" s="307"/>
      <c r="E904" s="307"/>
      <c r="F904" s="371"/>
      <c r="G904" s="307"/>
      <c r="H904" s="307"/>
      <c r="I904" s="307"/>
      <c r="J904" s="371"/>
      <c r="K904" s="371"/>
      <c r="L904" s="371"/>
      <c r="M904" s="371"/>
      <c r="N904" s="371"/>
      <c r="O904" s="371"/>
      <c r="P904" s="371"/>
      <c r="Q904" s="371"/>
      <c r="R904" s="371"/>
      <c r="S904" s="371"/>
      <c r="T904" s="371"/>
    </row>
    <row r="905">
      <c r="A905" s="307"/>
      <c r="B905" s="307"/>
      <c r="C905" s="307"/>
      <c r="D905" s="307"/>
      <c r="E905" s="307"/>
      <c r="F905" s="371"/>
      <c r="G905" s="307"/>
      <c r="H905" s="307"/>
      <c r="I905" s="307"/>
      <c r="J905" s="371"/>
      <c r="K905" s="371"/>
      <c r="L905" s="371"/>
      <c r="M905" s="371"/>
      <c r="N905" s="371"/>
      <c r="O905" s="371"/>
      <c r="P905" s="371"/>
      <c r="Q905" s="371"/>
      <c r="R905" s="371"/>
      <c r="S905" s="371"/>
      <c r="T905" s="371"/>
    </row>
    <row r="906">
      <c r="A906" s="307"/>
      <c r="B906" s="307"/>
      <c r="C906" s="307"/>
      <c r="D906" s="307"/>
      <c r="E906" s="307"/>
      <c r="F906" s="371"/>
      <c r="G906" s="307"/>
      <c r="H906" s="307"/>
      <c r="I906" s="307"/>
      <c r="J906" s="371"/>
      <c r="K906" s="371"/>
      <c r="L906" s="371"/>
      <c r="M906" s="371"/>
      <c r="N906" s="371"/>
      <c r="O906" s="371"/>
      <c r="P906" s="371"/>
      <c r="Q906" s="371"/>
      <c r="R906" s="371"/>
      <c r="S906" s="371"/>
      <c r="T906" s="371"/>
    </row>
    <row r="907">
      <c r="A907" s="307"/>
      <c r="B907" s="307"/>
      <c r="C907" s="307"/>
      <c r="D907" s="307"/>
      <c r="E907" s="307"/>
      <c r="F907" s="371"/>
      <c r="G907" s="307"/>
      <c r="H907" s="307"/>
      <c r="I907" s="307"/>
      <c r="J907" s="371"/>
      <c r="K907" s="371"/>
      <c r="L907" s="371"/>
      <c r="M907" s="371"/>
      <c r="N907" s="371"/>
      <c r="O907" s="371"/>
      <c r="P907" s="371"/>
      <c r="Q907" s="371"/>
      <c r="R907" s="371"/>
      <c r="S907" s="371"/>
      <c r="T907" s="371"/>
    </row>
    <row r="908">
      <c r="A908" s="307"/>
      <c r="B908" s="307"/>
      <c r="C908" s="307"/>
      <c r="D908" s="307"/>
      <c r="E908" s="307"/>
      <c r="F908" s="371"/>
      <c r="G908" s="307"/>
      <c r="H908" s="307"/>
      <c r="I908" s="307"/>
      <c r="J908" s="371"/>
      <c r="K908" s="371"/>
      <c r="L908" s="371"/>
      <c r="M908" s="371"/>
      <c r="N908" s="371"/>
      <c r="O908" s="371"/>
      <c r="P908" s="371"/>
      <c r="Q908" s="371"/>
      <c r="R908" s="371"/>
      <c r="S908" s="371"/>
      <c r="T908" s="371"/>
    </row>
    <row r="909">
      <c r="A909" s="307"/>
      <c r="B909" s="307"/>
      <c r="C909" s="307"/>
      <c r="D909" s="307"/>
      <c r="E909" s="307"/>
      <c r="F909" s="371"/>
      <c r="G909" s="307"/>
      <c r="H909" s="307"/>
      <c r="I909" s="307"/>
      <c r="J909" s="371"/>
      <c r="K909" s="371"/>
      <c r="L909" s="371"/>
      <c r="M909" s="371"/>
      <c r="N909" s="371"/>
      <c r="O909" s="371"/>
      <c r="P909" s="371"/>
      <c r="Q909" s="371"/>
      <c r="R909" s="371"/>
      <c r="S909" s="371"/>
      <c r="T909" s="371"/>
    </row>
    <row r="910">
      <c r="A910" s="307"/>
      <c r="B910" s="307"/>
      <c r="C910" s="307"/>
      <c r="D910" s="307"/>
      <c r="E910" s="307"/>
      <c r="F910" s="371"/>
      <c r="G910" s="307"/>
      <c r="H910" s="307"/>
      <c r="I910" s="307"/>
      <c r="J910" s="371"/>
      <c r="K910" s="371"/>
      <c r="L910" s="371"/>
      <c r="M910" s="371"/>
      <c r="N910" s="371"/>
      <c r="O910" s="371"/>
      <c r="P910" s="371"/>
      <c r="Q910" s="371"/>
      <c r="R910" s="371"/>
      <c r="S910" s="371"/>
      <c r="T910" s="371"/>
    </row>
    <row r="911">
      <c r="A911" s="307"/>
      <c r="B911" s="307"/>
      <c r="C911" s="307"/>
      <c r="D911" s="307"/>
      <c r="E911" s="307"/>
      <c r="F911" s="371"/>
      <c r="G911" s="307"/>
      <c r="H911" s="307"/>
      <c r="I911" s="307"/>
      <c r="J911" s="371"/>
      <c r="K911" s="371"/>
      <c r="L911" s="371"/>
      <c r="M911" s="371"/>
      <c r="N911" s="371"/>
      <c r="O911" s="371"/>
      <c r="P911" s="371"/>
      <c r="Q911" s="371"/>
      <c r="R911" s="371"/>
      <c r="S911" s="371"/>
      <c r="T911" s="371"/>
    </row>
    <row r="912">
      <c r="A912" s="307"/>
      <c r="B912" s="307"/>
      <c r="C912" s="307"/>
      <c r="D912" s="307"/>
      <c r="E912" s="307"/>
      <c r="F912" s="371"/>
      <c r="G912" s="307"/>
      <c r="H912" s="307"/>
      <c r="I912" s="307"/>
      <c r="J912" s="371"/>
      <c r="K912" s="371"/>
      <c r="L912" s="371"/>
      <c r="M912" s="371"/>
      <c r="N912" s="371"/>
      <c r="O912" s="371"/>
      <c r="P912" s="371"/>
      <c r="Q912" s="371"/>
      <c r="R912" s="371"/>
      <c r="S912" s="371"/>
      <c r="T912" s="371"/>
    </row>
    <row r="913">
      <c r="A913" s="307"/>
      <c r="B913" s="307"/>
      <c r="C913" s="307"/>
      <c r="D913" s="307"/>
      <c r="E913" s="307"/>
      <c r="F913" s="371"/>
      <c r="G913" s="307"/>
      <c r="H913" s="307"/>
      <c r="I913" s="307"/>
      <c r="J913" s="371"/>
      <c r="K913" s="371"/>
      <c r="L913" s="371"/>
      <c r="M913" s="371"/>
      <c r="N913" s="371"/>
      <c r="O913" s="371"/>
      <c r="P913" s="371"/>
      <c r="Q913" s="371"/>
      <c r="R913" s="371"/>
      <c r="S913" s="371"/>
      <c r="T913" s="371"/>
    </row>
    <row r="914">
      <c r="A914" s="307"/>
      <c r="B914" s="307"/>
      <c r="C914" s="307"/>
      <c r="D914" s="307"/>
      <c r="E914" s="307"/>
      <c r="F914" s="371"/>
      <c r="G914" s="307"/>
      <c r="H914" s="307"/>
      <c r="I914" s="307"/>
      <c r="J914" s="371"/>
      <c r="K914" s="371"/>
      <c r="L914" s="371"/>
      <c r="M914" s="371"/>
      <c r="N914" s="371"/>
      <c r="O914" s="371"/>
      <c r="P914" s="371"/>
      <c r="Q914" s="371"/>
      <c r="R914" s="371"/>
      <c r="S914" s="371"/>
      <c r="T914" s="371"/>
    </row>
    <row r="915">
      <c r="A915" s="307"/>
      <c r="B915" s="307"/>
      <c r="C915" s="307"/>
      <c r="D915" s="307"/>
      <c r="E915" s="307"/>
      <c r="F915" s="371"/>
      <c r="G915" s="307"/>
      <c r="H915" s="307"/>
      <c r="I915" s="307"/>
      <c r="J915" s="371"/>
      <c r="K915" s="371"/>
      <c r="L915" s="371"/>
      <c r="M915" s="371"/>
      <c r="N915" s="371"/>
      <c r="O915" s="371"/>
      <c r="P915" s="371"/>
      <c r="Q915" s="371"/>
      <c r="R915" s="371"/>
      <c r="S915" s="371"/>
      <c r="T915" s="371"/>
    </row>
    <row r="916">
      <c r="A916" s="307"/>
      <c r="B916" s="307"/>
      <c r="C916" s="307"/>
      <c r="D916" s="307"/>
      <c r="E916" s="307"/>
      <c r="F916" s="371"/>
      <c r="G916" s="307"/>
      <c r="H916" s="307"/>
      <c r="I916" s="307"/>
      <c r="J916" s="371"/>
      <c r="K916" s="371"/>
      <c r="L916" s="371"/>
      <c r="M916" s="371"/>
      <c r="N916" s="371"/>
      <c r="O916" s="371"/>
      <c r="P916" s="371"/>
      <c r="Q916" s="371"/>
      <c r="R916" s="371"/>
      <c r="S916" s="371"/>
      <c r="T916" s="371"/>
    </row>
    <row r="917">
      <c r="A917" s="307"/>
      <c r="B917" s="307"/>
      <c r="C917" s="307"/>
      <c r="D917" s="307"/>
      <c r="E917" s="307"/>
      <c r="F917" s="371"/>
      <c r="G917" s="307"/>
      <c r="H917" s="307"/>
      <c r="I917" s="307"/>
      <c r="J917" s="371"/>
      <c r="K917" s="371"/>
      <c r="L917" s="371"/>
      <c r="M917" s="371"/>
      <c r="N917" s="371"/>
      <c r="O917" s="371"/>
      <c r="P917" s="371"/>
      <c r="Q917" s="371"/>
      <c r="R917" s="371"/>
      <c r="S917" s="371"/>
      <c r="T917" s="371"/>
    </row>
    <row r="918">
      <c r="A918" s="307"/>
      <c r="B918" s="307"/>
      <c r="C918" s="307"/>
      <c r="D918" s="307"/>
      <c r="E918" s="307"/>
      <c r="F918" s="371"/>
      <c r="G918" s="307"/>
      <c r="H918" s="307"/>
      <c r="I918" s="307"/>
      <c r="J918" s="371"/>
      <c r="K918" s="371"/>
      <c r="L918" s="371"/>
      <c r="M918" s="371"/>
      <c r="N918" s="371"/>
      <c r="O918" s="371"/>
      <c r="P918" s="371"/>
      <c r="Q918" s="371"/>
      <c r="R918" s="371"/>
      <c r="S918" s="371"/>
      <c r="T918" s="371"/>
    </row>
    <row r="919">
      <c r="A919" s="307"/>
      <c r="B919" s="307"/>
      <c r="C919" s="307"/>
      <c r="D919" s="307"/>
      <c r="E919" s="307"/>
      <c r="F919" s="371"/>
      <c r="G919" s="307"/>
      <c r="H919" s="307"/>
      <c r="I919" s="307"/>
      <c r="J919" s="371"/>
      <c r="K919" s="371"/>
      <c r="L919" s="371"/>
      <c r="M919" s="371"/>
      <c r="N919" s="371"/>
      <c r="O919" s="371"/>
      <c r="P919" s="371"/>
      <c r="Q919" s="371"/>
      <c r="R919" s="371"/>
      <c r="S919" s="371"/>
      <c r="T919" s="371"/>
    </row>
    <row r="920">
      <c r="A920" s="307"/>
      <c r="B920" s="307"/>
      <c r="C920" s="307"/>
      <c r="D920" s="307"/>
      <c r="E920" s="307"/>
      <c r="F920" s="371"/>
      <c r="G920" s="307"/>
      <c r="H920" s="307"/>
      <c r="I920" s="307"/>
      <c r="J920" s="371"/>
      <c r="K920" s="371"/>
      <c r="L920" s="371"/>
      <c r="M920" s="371"/>
      <c r="N920" s="371"/>
      <c r="O920" s="371"/>
      <c r="P920" s="371"/>
      <c r="Q920" s="371"/>
      <c r="R920" s="371"/>
      <c r="S920" s="371"/>
      <c r="T920" s="371"/>
    </row>
    <row r="921">
      <c r="A921" s="307"/>
      <c r="B921" s="307"/>
      <c r="C921" s="307"/>
      <c r="D921" s="307"/>
      <c r="E921" s="307"/>
      <c r="F921" s="371"/>
      <c r="G921" s="307"/>
      <c r="H921" s="307"/>
      <c r="I921" s="307"/>
      <c r="J921" s="371"/>
      <c r="K921" s="371"/>
      <c r="L921" s="371"/>
      <c r="M921" s="371"/>
      <c r="N921" s="371"/>
      <c r="O921" s="371"/>
      <c r="P921" s="371"/>
      <c r="Q921" s="371"/>
      <c r="R921" s="371"/>
      <c r="S921" s="371"/>
      <c r="T921" s="371"/>
    </row>
    <row r="922">
      <c r="A922" s="307"/>
      <c r="B922" s="307"/>
      <c r="C922" s="307"/>
      <c r="D922" s="307"/>
      <c r="E922" s="307"/>
      <c r="F922" s="371"/>
      <c r="G922" s="307"/>
      <c r="H922" s="307"/>
      <c r="I922" s="307"/>
      <c r="J922" s="371"/>
      <c r="K922" s="371"/>
      <c r="L922" s="371"/>
      <c r="M922" s="371"/>
      <c r="N922" s="371"/>
      <c r="O922" s="371"/>
      <c r="P922" s="371"/>
      <c r="Q922" s="371"/>
      <c r="R922" s="371"/>
      <c r="S922" s="371"/>
      <c r="T922" s="371"/>
    </row>
    <row r="923">
      <c r="A923" s="307"/>
      <c r="B923" s="307"/>
      <c r="C923" s="307"/>
      <c r="D923" s="307"/>
      <c r="E923" s="307"/>
      <c r="F923" s="371"/>
      <c r="G923" s="307"/>
      <c r="H923" s="307"/>
      <c r="I923" s="307"/>
      <c r="J923" s="371"/>
      <c r="K923" s="371"/>
      <c r="L923" s="371"/>
      <c r="M923" s="371"/>
      <c r="N923" s="371"/>
      <c r="O923" s="371"/>
      <c r="P923" s="371"/>
      <c r="Q923" s="371"/>
      <c r="R923" s="371"/>
      <c r="S923" s="371"/>
      <c r="T923" s="371"/>
    </row>
    <row r="924">
      <c r="A924" s="307"/>
      <c r="B924" s="307"/>
      <c r="C924" s="307"/>
      <c r="D924" s="307"/>
      <c r="E924" s="307"/>
      <c r="F924" s="371"/>
      <c r="G924" s="307"/>
      <c r="H924" s="307"/>
      <c r="I924" s="307"/>
      <c r="J924" s="371"/>
      <c r="K924" s="371"/>
      <c r="L924" s="371"/>
      <c r="M924" s="371"/>
      <c r="N924" s="371"/>
      <c r="O924" s="371"/>
      <c r="P924" s="371"/>
      <c r="Q924" s="371"/>
      <c r="R924" s="371"/>
      <c r="S924" s="371"/>
      <c r="T924" s="371"/>
    </row>
    <row r="925">
      <c r="A925" s="307"/>
      <c r="B925" s="307"/>
      <c r="C925" s="307"/>
      <c r="D925" s="307"/>
      <c r="E925" s="307"/>
      <c r="F925" s="371"/>
      <c r="G925" s="307"/>
      <c r="H925" s="307"/>
      <c r="I925" s="307"/>
      <c r="J925" s="371"/>
      <c r="K925" s="371"/>
      <c r="L925" s="371"/>
      <c r="M925" s="371"/>
      <c r="N925" s="371"/>
      <c r="O925" s="371"/>
      <c r="P925" s="371"/>
      <c r="Q925" s="371"/>
      <c r="R925" s="371"/>
      <c r="S925" s="371"/>
      <c r="T925" s="371"/>
    </row>
    <row r="926">
      <c r="A926" s="307"/>
      <c r="B926" s="307"/>
      <c r="C926" s="307"/>
      <c r="D926" s="307"/>
      <c r="E926" s="307"/>
      <c r="F926" s="371"/>
      <c r="G926" s="307"/>
      <c r="H926" s="307"/>
      <c r="I926" s="307"/>
      <c r="J926" s="371"/>
      <c r="K926" s="371"/>
      <c r="L926" s="371"/>
      <c r="M926" s="371"/>
      <c r="N926" s="371"/>
      <c r="O926" s="371"/>
      <c r="P926" s="371"/>
      <c r="Q926" s="371"/>
      <c r="R926" s="371"/>
      <c r="S926" s="371"/>
      <c r="T926" s="371"/>
    </row>
    <row r="927">
      <c r="A927" s="307"/>
      <c r="B927" s="307"/>
      <c r="C927" s="307"/>
      <c r="D927" s="307"/>
      <c r="E927" s="307"/>
      <c r="F927" s="371"/>
      <c r="G927" s="307"/>
      <c r="H927" s="307"/>
      <c r="I927" s="307"/>
      <c r="J927" s="371"/>
      <c r="K927" s="371"/>
      <c r="L927" s="371"/>
      <c r="M927" s="371"/>
      <c r="N927" s="371"/>
      <c r="O927" s="371"/>
      <c r="P927" s="371"/>
      <c r="Q927" s="371"/>
      <c r="R927" s="371"/>
      <c r="S927" s="371"/>
      <c r="T927" s="371"/>
    </row>
    <row r="928">
      <c r="A928" s="307"/>
      <c r="B928" s="307"/>
      <c r="C928" s="307"/>
      <c r="D928" s="307"/>
      <c r="E928" s="307"/>
      <c r="F928" s="371"/>
      <c r="G928" s="307"/>
      <c r="H928" s="307"/>
      <c r="I928" s="307"/>
      <c r="J928" s="371"/>
      <c r="K928" s="371"/>
      <c r="L928" s="371"/>
      <c r="M928" s="371"/>
      <c r="N928" s="371"/>
      <c r="O928" s="371"/>
      <c r="P928" s="371"/>
      <c r="Q928" s="371"/>
      <c r="R928" s="371"/>
      <c r="S928" s="371"/>
      <c r="T928" s="371"/>
    </row>
    <row r="929">
      <c r="A929" s="307"/>
      <c r="B929" s="307"/>
      <c r="C929" s="307"/>
      <c r="D929" s="307"/>
      <c r="E929" s="307"/>
      <c r="F929" s="371"/>
      <c r="G929" s="307"/>
      <c r="H929" s="307"/>
      <c r="I929" s="307"/>
      <c r="J929" s="371"/>
      <c r="K929" s="371"/>
      <c r="L929" s="371"/>
      <c r="M929" s="371"/>
      <c r="N929" s="371"/>
      <c r="O929" s="371"/>
      <c r="P929" s="371"/>
      <c r="Q929" s="371"/>
      <c r="R929" s="371"/>
      <c r="S929" s="371"/>
      <c r="T929" s="371"/>
    </row>
    <row r="930">
      <c r="A930" s="307"/>
      <c r="B930" s="307"/>
      <c r="C930" s="307"/>
      <c r="D930" s="307"/>
      <c r="E930" s="307"/>
      <c r="F930" s="371"/>
      <c r="G930" s="307"/>
      <c r="H930" s="307"/>
      <c r="I930" s="307"/>
      <c r="J930" s="371"/>
      <c r="K930" s="371"/>
      <c r="L930" s="371"/>
      <c r="M930" s="371"/>
      <c r="N930" s="371"/>
      <c r="O930" s="371"/>
      <c r="P930" s="371"/>
      <c r="Q930" s="371"/>
      <c r="R930" s="371"/>
      <c r="S930" s="371"/>
      <c r="T930" s="371"/>
    </row>
    <row r="931">
      <c r="A931" s="307"/>
      <c r="B931" s="307"/>
      <c r="C931" s="307"/>
      <c r="D931" s="307"/>
      <c r="E931" s="307"/>
      <c r="F931" s="371"/>
      <c r="G931" s="307"/>
      <c r="H931" s="307"/>
      <c r="I931" s="307"/>
      <c r="J931" s="371"/>
      <c r="K931" s="371"/>
      <c r="L931" s="371"/>
      <c r="M931" s="371"/>
      <c r="N931" s="371"/>
      <c r="O931" s="371"/>
      <c r="P931" s="371"/>
      <c r="Q931" s="371"/>
      <c r="R931" s="371"/>
      <c r="S931" s="371"/>
      <c r="T931" s="371"/>
    </row>
    <row r="932">
      <c r="A932" s="307"/>
      <c r="B932" s="307"/>
      <c r="C932" s="307"/>
      <c r="D932" s="307"/>
      <c r="E932" s="307"/>
      <c r="F932" s="371"/>
      <c r="G932" s="307"/>
      <c r="H932" s="307"/>
      <c r="I932" s="307"/>
      <c r="J932" s="371"/>
      <c r="K932" s="371"/>
      <c r="L932" s="371"/>
      <c r="M932" s="371"/>
      <c r="N932" s="371"/>
      <c r="O932" s="371"/>
      <c r="P932" s="371"/>
      <c r="Q932" s="371"/>
      <c r="R932" s="371"/>
      <c r="S932" s="371"/>
      <c r="T932" s="371"/>
    </row>
    <row r="933">
      <c r="A933" s="307"/>
      <c r="B933" s="307"/>
      <c r="C933" s="307"/>
      <c r="D933" s="307"/>
      <c r="E933" s="307"/>
      <c r="F933" s="371"/>
      <c r="G933" s="307"/>
      <c r="H933" s="307"/>
      <c r="I933" s="307"/>
      <c r="J933" s="371"/>
      <c r="K933" s="371"/>
      <c r="L933" s="371"/>
      <c r="M933" s="371"/>
      <c r="N933" s="371"/>
      <c r="O933" s="371"/>
      <c r="P933" s="371"/>
      <c r="Q933" s="371"/>
      <c r="R933" s="371"/>
      <c r="S933" s="371"/>
      <c r="T933" s="371"/>
    </row>
    <row r="934">
      <c r="A934" s="307"/>
      <c r="B934" s="307"/>
      <c r="C934" s="307"/>
      <c r="D934" s="307"/>
      <c r="E934" s="307"/>
      <c r="F934" s="371"/>
      <c r="G934" s="307"/>
      <c r="H934" s="307"/>
      <c r="I934" s="307"/>
      <c r="J934" s="371"/>
      <c r="K934" s="371"/>
      <c r="L934" s="371"/>
      <c r="M934" s="371"/>
      <c r="N934" s="371"/>
      <c r="O934" s="371"/>
      <c r="P934" s="371"/>
      <c r="Q934" s="371"/>
      <c r="R934" s="371"/>
      <c r="S934" s="371"/>
      <c r="T934" s="371"/>
    </row>
    <row r="935">
      <c r="A935" s="307"/>
      <c r="B935" s="307"/>
      <c r="C935" s="307"/>
      <c r="D935" s="307"/>
      <c r="E935" s="307"/>
      <c r="F935" s="371"/>
      <c r="G935" s="307"/>
      <c r="H935" s="307"/>
      <c r="I935" s="307"/>
      <c r="J935" s="371"/>
      <c r="K935" s="371"/>
      <c r="L935" s="371"/>
      <c r="M935" s="371"/>
      <c r="N935" s="371"/>
      <c r="O935" s="371"/>
      <c r="P935" s="371"/>
      <c r="Q935" s="371"/>
      <c r="R935" s="371"/>
      <c r="S935" s="371"/>
      <c r="T935" s="371"/>
    </row>
    <row r="936">
      <c r="A936" s="307"/>
      <c r="B936" s="307"/>
      <c r="C936" s="307"/>
      <c r="D936" s="307"/>
      <c r="E936" s="307"/>
      <c r="F936" s="371"/>
      <c r="G936" s="307"/>
      <c r="H936" s="307"/>
      <c r="I936" s="307"/>
      <c r="J936" s="371"/>
      <c r="K936" s="371"/>
      <c r="L936" s="371"/>
      <c r="M936" s="371"/>
      <c r="N936" s="371"/>
      <c r="O936" s="371"/>
      <c r="P936" s="371"/>
      <c r="Q936" s="371"/>
      <c r="R936" s="371"/>
      <c r="S936" s="371"/>
      <c r="T936" s="371"/>
    </row>
    <row r="937">
      <c r="A937" s="307"/>
      <c r="B937" s="307"/>
      <c r="C937" s="307"/>
      <c r="D937" s="307"/>
      <c r="E937" s="307"/>
      <c r="F937" s="371"/>
      <c r="G937" s="307"/>
      <c r="H937" s="307"/>
      <c r="I937" s="307"/>
      <c r="J937" s="371"/>
      <c r="K937" s="371"/>
      <c r="L937" s="371"/>
      <c r="M937" s="371"/>
      <c r="N937" s="371"/>
      <c r="O937" s="371"/>
      <c r="P937" s="371"/>
      <c r="Q937" s="371"/>
      <c r="R937" s="371"/>
      <c r="S937" s="371"/>
      <c r="T937" s="371"/>
    </row>
    <row r="938">
      <c r="A938" s="307"/>
      <c r="B938" s="307"/>
      <c r="C938" s="307"/>
      <c r="D938" s="307"/>
      <c r="E938" s="307"/>
      <c r="F938" s="371"/>
      <c r="G938" s="307"/>
      <c r="H938" s="307"/>
      <c r="I938" s="307"/>
      <c r="J938" s="371"/>
      <c r="K938" s="371"/>
      <c r="L938" s="371"/>
      <c r="M938" s="371"/>
      <c r="N938" s="371"/>
      <c r="O938" s="371"/>
      <c r="P938" s="371"/>
      <c r="Q938" s="371"/>
      <c r="R938" s="371"/>
      <c r="S938" s="371"/>
      <c r="T938" s="371"/>
    </row>
    <row r="939">
      <c r="A939" s="307"/>
      <c r="B939" s="307"/>
      <c r="C939" s="307"/>
      <c r="D939" s="307"/>
      <c r="E939" s="307"/>
      <c r="F939" s="371"/>
      <c r="G939" s="307"/>
      <c r="H939" s="307"/>
      <c r="I939" s="307"/>
      <c r="J939" s="371"/>
      <c r="K939" s="371"/>
      <c r="L939" s="371"/>
      <c r="M939" s="371"/>
      <c r="N939" s="371"/>
      <c r="O939" s="371"/>
      <c r="P939" s="371"/>
      <c r="Q939" s="371"/>
      <c r="R939" s="371"/>
      <c r="S939" s="371"/>
      <c r="T939" s="371"/>
    </row>
    <row r="940">
      <c r="A940" s="307"/>
      <c r="B940" s="307"/>
      <c r="C940" s="307"/>
      <c r="D940" s="307"/>
      <c r="E940" s="307"/>
      <c r="F940" s="371"/>
      <c r="G940" s="307"/>
      <c r="H940" s="307"/>
      <c r="I940" s="307"/>
      <c r="J940" s="371"/>
      <c r="K940" s="371"/>
      <c r="L940" s="371"/>
      <c r="M940" s="371"/>
      <c r="N940" s="371"/>
      <c r="O940" s="371"/>
      <c r="P940" s="371"/>
      <c r="Q940" s="371"/>
      <c r="R940" s="371"/>
      <c r="S940" s="371"/>
      <c r="T940" s="371"/>
    </row>
    <row r="941">
      <c r="A941" s="307"/>
      <c r="B941" s="307"/>
      <c r="C941" s="307"/>
      <c r="D941" s="307"/>
      <c r="E941" s="307"/>
      <c r="F941" s="371"/>
      <c r="G941" s="307"/>
      <c r="H941" s="307"/>
      <c r="I941" s="307"/>
      <c r="J941" s="371"/>
      <c r="K941" s="371"/>
      <c r="L941" s="371"/>
      <c r="M941" s="371"/>
      <c r="N941" s="371"/>
      <c r="O941" s="371"/>
      <c r="P941" s="371"/>
      <c r="Q941" s="371"/>
      <c r="R941" s="371"/>
      <c r="S941" s="371"/>
      <c r="T941" s="371"/>
    </row>
    <row r="942">
      <c r="A942" s="307"/>
      <c r="B942" s="307"/>
      <c r="C942" s="307"/>
      <c r="D942" s="307"/>
      <c r="E942" s="307"/>
      <c r="F942" s="371"/>
      <c r="G942" s="307"/>
      <c r="H942" s="307"/>
      <c r="I942" s="307"/>
      <c r="J942" s="371"/>
      <c r="K942" s="371"/>
      <c r="L942" s="371"/>
      <c r="M942" s="371"/>
      <c r="N942" s="371"/>
      <c r="O942" s="371"/>
      <c r="P942" s="371"/>
      <c r="Q942" s="371"/>
      <c r="R942" s="371"/>
      <c r="S942" s="371"/>
      <c r="T942" s="371"/>
    </row>
    <row r="943">
      <c r="A943" s="307"/>
      <c r="B943" s="307"/>
      <c r="C943" s="307"/>
      <c r="D943" s="307"/>
      <c r="E943" s="307"/>
      <c r="F943" s="371"/>
      <c r="G943" s="307"/>
      <c r="H943" s="307"/>
      <c r="I943" s="307"/>
      <c r="J943" s="371"/>
      <c r="K943" s="371"/>
      <c r="L943" s="371"/>
      <c r="M943" s="371"/>
      <c r="N943" s="371"/>
      <c r="O943" s="371"/>
      <c r="P943" s="371"/>
      <c r="Q943" s="371"/>
      <c r="R943" s="371"/>
      <c r="S943" s="371"/>
      <c r="T943" s="371"/>
    </row>
    <row r="944">
      <c r="A944" s="307"/>
      <c r="B944" s="307"/>
      <c r="C944" s="307"/>
      <c r="D944" s="307"/>
      <c r="E944" s="307"/>
      <c r="F944" s="371"/>
      <c r="G944" s="307"/>
      <c r="H944" s="307"/>
      <c r="I944" s="307"/>
      <c r="J944" s="371"/>
      <c r="K944" s="371"/>
      <c r="L944" s="371"/>
      <c r="M944" s="371"/>
      <c r="N944" s="371"/>
      <c r="O944" s="371"/>
      <c r="P944" s="371"/>
      <c r="Q944" s="371"/>
      <c r="R944" s="371"/>
      <c r="S944" s="371"/>
      <c r="T944" s="371"/>
    </row>
    <row r="945">
      <c r="A945" s="307"/>
      <c r="B945" s="307"/>
      <c r="C945" s="307"/>
      <c r="D945" s="307"/>
      <c r="E945" s="307"/>
      <c r="F945" s="371"/>
      <c r="G945" s="307"/>
      <c r="H945" s="307"/>
      <c r="I945" s="307"/>
      <c r="J945" s="371"/>
      <c r="K945" s="371"/>
      <c r="L945" s="371"/>
      <c r="M945" s="371"/>
      <c r="N945" s="371"/>
      <c r="O945" s="371"/>
      <c r="P945" s="371"/>
      <c r="Q945" s="371"/>
      <c r="R945" s="371"/>
      <c r="S945" s="371"/>
      <c r="T945" s="371"/>
    </row>
    <row r="946">
      <c r="A946" s="307"/>
      <c r="B946" s="307"/>
      <c r="C946" s="307"/>
      <c r="D946" s="307"/>
      <c r="E946" s="307"/>
      <c r="F946" s="371"/>
      <c r="G946" s="307"/>
      <c r="H946" s="307"/>
      <c r="I946" s="307"/>
      <c r="J946" s="371"/>
      <c r="K946" s="371"/>
      <c r="L946" s="371"/>
      <c r="M946" s="371"/>
      <c r="N946" s="371"/>
      <c r="O946" s="371"/>
      <c r="P946" s="371"/>
      <c r="Q946" s="371"/>
      <c r="R946" s="371"/>
      <c r="S946" s="371"/>
      <c r="T946" s="371"/>
    </row>
    <row r="947">
      <c r="A947" s="307"/>
      <c r="B947" s="307"/>
      <c r="C947" s="307"/>
      <c r="D947" s="307"/>
      <c r="E947" s="307"/>
      <c r="F947" s="371"/>
      <c r="G947" s="307"/>
      <c r="H947" s="307"/>
      <c r="I947" s="307"/>
      <c r="J947" s="371"/>
      <c r="K947" s="371"/>
      <c r="L947" s="371"/>
      <c r="M947" s="371"/>
      <c r="N947" s="371"/>
      <c r="O947" s="371"/>
      <c r="P947" s="371"/>
      <c r="Q947" s="371"/>
      <c r="R947" s="371"/>
      <c r="S947" s="371"/>
      <c r="T947" s="371"/>
    </row>
    <row r="948">
      <c r="A948" s="307"/>
      <c r="B948" s="307"/>
      <c r="C948" s="307"/>
      <c r="D948" s="307"/>
      <c r="E948" s="307"/>
      <c r="F948" s="371"/>
      <c r="G948" s="307"/>
      <c r="H948" s="307"/>
      <c r="I948" s="307"/>
      <c r="J948" s="371"/>
      <c r="K948" s="371"/>
      <c r="L948" s="371"/>
      <c r="M948" s="371"/>
      <c r="N948" s="371"/>
      <c r="O948" s="371"/>
      <c r="P948" s="371"/>
      <c r="Q948" s="371"/>
      <c r="R948" s="371"/>
      <c r="S948" s="371"/>
      <c r="T948" s="371"/>
    </row>
    <row r="949">
      <c r="A949" s="307"/>
      <c r="B949" s="307"/>
      <c r="C949" s="307"/>
      <c r="D949" s="307"/>
      <c r="E949" s="307"/>
      <c r="F949" s="371"/>
      <c r="G949" s="307"/>
      <c r="H949" s="307"/>
      <c r="I949" s="307"/>
      <c r="J949" s="371"/>
      <c r="K949" s="371"/>
      <c r="L949" s="371"/>
      <c r="M949" s="371"/>
      <c r="N949" s="371"/>
      <c r="O949" s="371"/>
      <c r="P949" s="371"/>
      <c r="Q949" s="371"/>
      <c r="R949" s="371"/>
      <c r="S949" s="371"/>
      <c r="T949" s="371"/>
    </row>
    <row r="950">
      <c r="A950" s="307"/>
      <c r="B950" s="307"/>
      <c r="C950" s="307"/>
      <c r="D950" s="307"/>
      <c r="E950" s="307"/>
      <c r="F950" s="371"/>
      <c r="G950" s="307"/>
      <c r="H950" s="307"/>
      <c r="I950" s="307"/>
      <c r="J950" s="371"/>
      <c r="K950" s="371"/>
      <c r="L950" s="371"/>
      <c r="M950" s="371"/>
      <c r="N950" s="371"/>
      <c r="O950" s="371"/>
      <c r="P950" s="371"/>
      <c r="Q950" s="371"/>
      <c r="R950" s="371"/>
      <c r="S950" s="371"/>
      <c r="T950" s="371"/>
    </row>
    <row r="951">
      <c r="A951" s="307"/>
      <c r="B951" s="307"/>
      <c r="C951" s="307"/>
      <c r="D951" s="307"/>
      <c r="E951" s="307"/>
      <c r="F951" s="371"/>
      <c r="G951" s="307"/>
      <c r="H951" s="307"/>
      <c r="I951" s="307"/>
      <c r="J951" s="371"/>
      <c r="K951" s="371"/>
      <c r="L951" s="371"/>
      <c r="M951" s="371"/>
      <c r="N951" s="371"/>
      <c r="O951" s="371"/>
      <c r="P951" s="371"/>
      <c r="Q951" s="371"/>
      <c r="R951" s="371"/>
      <c r="S951" s="371"/>
      <c r="T951" s="371"/>
    </row>
    <row r="952">
      <c r="A952" s="307"/>
      <c r="B952" s="307"/>
      <c r="C952" s="307"/>
      <c r="D952" s="307"/>
      <c r="E952" s="307"/>
      <c r="F952" s="371"/>
      <c r="G952" s="307"/>
      <c r="H952" s="307"/>
      <c r="I952" s="307"/>
      <c r="J952" s="371"/>
      <c r="K952" s="371"/>
      <c r="L952" s="371"/>
      <c r="M952" s="371"/>
      <c r="N952" s="371"/>
      <c r="O952" s="371"/>
      <c r="P952" s="371"/>
      <c r="Q952" s="371"/>
      <c r="R952" s="371"/>
      <c r="S952" s="371"/>
      <c r="T952" s="371"/>
    </row>
    <row r="953">
      <c r="A953" s="307"/>
      <c r="B953" s="307"/>
      <c r="C953" s="307"/>
      <c r="D953" s="307"/>
      <c r="E953" s="307"/>
      <c r="F953" s="371"/>
      <c r="G953" s="307"/>
      <c r="H953" s="307"/>
      <c r="I953" s="307"/>
      <c r="J953" s="371"/>
      <c r="K953" s="371"/>
      <c r="L953" s="371"/>
      <c r="M953" s="371"/>
      <c r="N953" s="371"/>
      <c r="O953" s="371"/>
      <c r="P953" s="371"/>
      <c r="Q953" s="371"/>
      <c r="R953" s="371"/>
      <c r="S953" s="371"/>
      <c r="T953" s="371"/>
    </row>
    <row r="954">
      <c r="A954" s="307"/>
      <c r="B954" s="307"/>
      <c r="C954" s="307"/>
      <c r="D954" s="307"/>
      <c r="E954" s="307"/>
      <c r="F954" s="371"/>
      <c r="G954" s="307"/>
      <c r="H954" s="307"/>
      <c r="I954" s="307"/>
      <c r="J954" s="371"/>
      <c r="K954" s="371"/>
      <c r="L954" s="371"/>
      <c r="M954" s="371"/>
      <c r="N954" s="371"/>
      <c r="O954" s="371"/>
      <c r="P954" s="371"/>
      <c r="Q954" s="371"/>
      <c r="R954" s="371"/>
      <c r="S954" s="371"/>
      <c r="T954" s="371"/>
    </row>
    <row r="955">
      <c r="A955" s="307"/>
      <c r="B955" s="307"/>
      <c r="C955" s="307"/>
      <c r="D955" s="307"/>
      <c r="E955" s="307"/>
      <c r="F955" s="371"/>
      <c r="G955" s="307"/>
      <c r="H955" s="307"/>
      <c r="I955" s="307"/>
      <c r="J955" s="371"/>
      <c r="K955" s="371"/>
      <c r="L955" s="371"/>
      <c r="M955" s="371"/>
      <c r="N955" s="371"/>
      <c r="O955" s="371"/>
      <c r="P955" s="371"/>
      <c r="Q955" s="371"/>
      <c r="R955" s="371"/>
      <c r="S955" s="371"/>
      <c r="T955" s="371"/>
    </row>
    <row r="956">
      <c r="A956" s="307"/>
      <c r="B956" s="307"/>
      <c r="C956" s="307"/>
      <c r="D956" s="307"/>
      <c r="E956" s="307"/>
      <c r="F956" s="371"/>
      <c r="G956" s="307"/>
      <c r="H956" s="307"/>
      <c r="I956" s="307"/>
      <c r="J956" s="371"/>
      <c r="K956" s="371"/>
      <c r="L956" s="371"/>
      <c r="M956" s="371"/>
      <c r="N956" s="371"/>
      <c r="O956" s="371"/>
      <c r="P956" s="371"/>
      <c r="Q956" s="371"/>
      <c r="R956" s="371"/>
      <c r="S956" s="371"/>
      <c r="T956" s="371"/>
    </row>
    <row r="957">
      <c r="A957" s="307"/>
      <c r="B957" s="307"/>
      <c r="C957" s="307"/>
      <c r="D957" s="307"/>
      <c r="E957" s="307"/>
      <c r="F957" s="371"/>
      <c r="G957" s="307"/>
      <c r="H957" s="307"/>
      <c r="I957" s="307"/>
      <c r="J957" s="371"/>
      <c r="K957" s="371"/>
      <c r="L957" s="371"/>
      <c r="M957" s="371"/>
      <c r="N957" s="371"/>
      <c r="O957" s="371"/>
      <c r="P957" s="371"/>
      <c r="Q957" s="371"/>
      <c r="R957" s="371"/>
      <c r="S957" s="371"/>
      <c r="T957" s="371"/>
    </row>
    <row r="958">
      <c r="A958" s="307"/>
      <c r="B958" s="307"/>
      <c r="C958" s="307"/>
      <c r="D958" s="307"/>
      <c r="E958" s="307"/>
      <c r="F958" s="371"/>
      <c r="G958" s="307"/>
      <c r="H958" s="307"/>
      <c r="I958" s="307"/>
      <c r="J958" s="371"/>
      <c r="K958" s="371"/>
      <c r="L958" s="371"/>
      <c r="M958" s="371"/>
      <c r="N958" s="371"/>
      <c r="O958" s="371"/>
      <c r="P958" s="371"/>
      <c r="Q958" s="371"/>
      <c r="R958" s="371"/>
      <c r="S958" s="371"/>
      <c r="T958" s="371"/>
    </row>
    <row r="959">
      <c r="A959" s="307"/>
      <c r="B959" s="307"/>
      <c r="C959" s="307"/>
      <c r="D959" s="307"/>
      <c r="E959" s="307"/>
      <c r="F959" s="371"/>
      <c r="G959" s="307"/>
      <c r="H959" s="307"/>
      <c r="I959" s="307"/>
      <c r="J959" s="371"/>
      <c r="K959" s="371"/>
      <c r="L959" s="371"/>
      <c r="M959" s="371"/>
      <c r="N959" s="371"/>
      <c r="O959" s="371"/>
      <c r="P959" s="371"/>
      <c r="Q959" s="371"/>
      <c r="R959" s="371"/>
      <c r="S959" s="371"/>
      <c r="T959" s="371"/>
    </row>
    <row r="960">
      <c r="A960" s="307"/>
      <c r="B960" s="307"/>
      <c r="C960" s="307"/>
      <c r="D960" s="307"/>
      <c r="E960" s="307"/>
      <c r="F960" s="371"/>
      <c r="G960" s="307"/>
      <c r="H960" s="307"/>
      <c r="I960" s="307"/>
      <c r="J960" s="371"/>
      <c r="K960" s="371"/>
      <c r="L960" s="371"/>
      <c r="M960" s="371"/>
      <c r="N960" s="371"/>
      <c r="O960" s="371"/>
      <c r="P960" s="371"/>
      <c r="Q960" s="371"/>
      <c r="R960" s="371"/>
      <c r="S960" s="371"/>
      <c r="T960" s="371"/>
    </row>
    <row r="961">
      <c r="A961" s="307"/>
      <c r="B961" s="307"/>
      <c r="C961" s="307"/>
      <c r="D961" s="307"/>
      <c r="E961" s="307"/>
      <c r="F961" s="371"/>
      <c r="G961" s="307"/>
      <c r="H961" s="307"/>
      <c r="I961" s="307"/>
      <c r="J961" s="371"/>
      <c r="K961" s="371"/>
      <c r="L961" s="371"/>
      <c r="M961" s="371"/>
      <c r="N961" s="371"/>
      <c r="O961" s="371"/>
      <c r="P961" s="371"/>
      <c r="Q961" s="371"/>
      <c r="R961" s="371"/>
      <c r="S961" s="371"/>
      <c r="T961" s="371"/>
    </row>
    <row r="962">
      <c r="A962" s="307"/>
      <c r="B962" s="307"/>
      <c r="C962" s="307"/>
      <c r="D962" s="307"/>
      <c r="E962" s="307"/>
      <c r="F962" s="371"/>
      <c r="G962" s="307"/>
      <c r="H962" s="307"/>
      <c r="I962" s="307"/>
      <c r="J962" s="371"/>
      <c r="K962" s="371"/>
      <c r="L962" s="371"/>
      <c r="M962" s="371"/>
      <c r="N962" s="371"/>
      <c r="O962" s="371"/>
      <c r="P962" s="371"/>
      <c r="Q962" s="371"/>
      <c r="R962" s="371"/>
      <c r="S962" s="371"/>
      <c r="T962" s="371"/>
    </row>
    <row r="963">
      <c r="A963" s="307"/>
      <c r="B963" s="307"/>
      <c r="C963" s="307"/>
      <c r="D963" s="307"/>
      <c r="E963" s="307"/>
      <c r="F963" s="371"/>
      <c r="G963" s="307"/>
      <c r="H963" s="307"/>
      <c r="I963" s="307"/>
      <c r="J963" s="371"/>
      <c r="K963" s="371"/>
      <c r="L963" s="371"/>
      <c r="M963" s="371"/>
      <c r="N963" s="371"/>
      <c r="O963" s="371"/>
      <c r="P963" s="371"/>
      <c r="Q963" s="371"/>
      <c r="R963" s="371"/>
      <c r="S963" s="371"/>
      <c r="T963" s="371"/>
    </row>
    <row r="964">
      <c r="A964" s="307"/>
      <c r="B964" s="307"/>
      <c r="C964" s="307"/>
      <c r="D964" s="307"/>
      <c r="E964" s="307"/>
      <c r="F964" s="371"/>
      <c r="G964" s="307"/>
      <c r="H964" s="307"/>
      <c r="I964" s="307"/>
      <c r="J964" s="371"/>
      <c r="K964" s="371"/>
      <c r="L964" s="371"/>
      <c r="M964" s="371"/>
      <c r="N964" s="371"/>
      <c r="O964" s="371"/>
      <c r="P964" s="371"/>
      <c r="Q964" s="371"/>
      <c r="R964" s="371"/>
      <c r="S964" s="371"/>
      <c r="T964" s="371"/>
    </row>
    <row r="965">
      <c r="A965" s="307"/>
      <c r="B965" s="307"/>
      <c r="C965" s="307"/>
      <c r="D965" s="307"/>
      <c r="E965" s="307"/>
      <c r="F965" s="371"/>
      <c r="G965" s="307"/>
      <c r="H965" s="307"/>
      <c r="I965" s="307"/>
      <c r="J965" s="371"/>
      <c r="K965" s="371"/>
      <c r="L965" s="371"/>
      <c r="M965" s="371"/>
      <c r="N965" s="371"/>
      <c r="O965" s="371"/>
      <c r="P965" s="371"/>
      <c r="Q965" s="371"/>
      <c r="R965" s="371"/>
      <c r="S965" s="371"/>
      <c r="T965" s="371"/>
    </row>
    <row r="966">
      <c r="A966" s="307"/>
      <c r="B966" s="307"/>
      <c r="C966" s="307"/>
      <c r="D966" s="307"/>
      <c r="E966" s="307"/>
      <c r="F966" s="371"/>
      <c r="G966" s="307"/>
      <c r="H966" s="307"/>
      <c r="I966" s="307"/>
      <c r="J966" s="371"/>
      <c r="K966" s="371"/>
      <c r="L966" s="371"/>
      <c r="M966" s="371"/>
      <c r="N966" s="371"/>
      <c r="O966" s="371"/>
      <c r="P966" s="371"/>
      <c r="Q966" s="371"/>
      <c r="R966" s="371"/>
      <c r="S966" s="371"/>
      <c r="T966" s="371"/>
    </row>
    <row r="967">
      <c r="A967" s="307"/>
      <c r="B967" s="307"/>
      <c r="C967" s="307"/>
      <c r="D967" s="307"/>
      <c r="E967" s="307"/>
      <c r="F967" s="371"/>
      <c r="G967" s="307"/>
      <c r="H967" s="307"/>
      <c r="I967" s="307"/>
      <c r="J967" s="371"/>
      <c r="K967" s="371"/>
      <c r="L967" s="371"/>
      <c r="M967" s="371"/>
      <c r="N967" s="371"/>
      <c r="O967" s="371"/>
      <c r="P967" s="371"/>
      <c r="Q967" s="371"/>
      <c r="R967" s="371"/>
      <c r="S967" s="371"/>
      <c r="T967" s="371"/>
    </row>
    <row r="968">
      <c r="A968" s="307"/>
      <c r="B968" s="307"/>
      <c r="C968" s="307"/>
      <c r="D968" s="307"/>
      <c r="E968" s="307"/>
      <c r="F968" s="371"/>
      <c r="G968" s="307"/>
      <c r="H968" s="307"/>
      <c r="I968" s="307"/>
      <c r="J968" s="371"/>
      <c r="K968" s="371"/>
      <c r="L968" s="371"/>
      <c r="M968" s="371"/>
      <c r="N968" s="371"/>
      <c r="O968" s="371"/>
      <c r="P968" s="371"/>
      <c r="Q968" s="371"/>
      <c r="R968" s="371"/>
      <c r="S968" s="371"/>
      <c r="T968" s="371"/>
    </row>
    <row r="969">
      <c r="A969" s="307"/>
      <c r="B969" s="307"/>
      <c r="C969" s="307"/>
      <c r="D969" s="307"/>
      <c r="E969" s="307"/>
      <c r="F969" s="371"/>
      <c r="G969" s="307"/>
      <c r="H969" s="307"/>
      <c r="I969" s="307"/>
      <c r="J969" s="371"/>
      <c r="K969" s="371"/>
      <c r="L969" s="371"/>
      <c r="M969" s="371"/>
      <c r="N969" s="371"/>
      <c r="O969" s="371"/>
      <c r="P969" s="371"/>
      <c r="Q969" s="371"/>
      <c r="R969" s="371"/>
      <c r="S969" s="371"/>
      <c r="T969" s="371"/>
    </row>
    <row r="970">
      <c r="A970" s="307"/>
      <c r="B970" s="307"/>
      <c r="C970" s="307"/>
      <c r="D970" s="307"/>
      <c r="E970" s="307"/>
      <c r="F970" s="371"/>
      <c r="G970" s="307"/>
      <c r="H970" s="307"/>
      <c r="I970" s="307"/>
      <c r="J970" s="371"/>
      <c r="K970" s="371"/>
      <c r="L970" s="371"/>
      <c r="M970" s="371"/>
      <c r="N970" s="371"/>
      <c r="O970" s="371"/>
      <c r="P970" s="371"/>
      <c r="Q970" s="371"/>
      <c r="R970" s="371"/>
      <c r="S970" s="371"/>
      <c r="T970" s="371"/>
    </row>
    <row r="971">
      <c r="A971" s="307"/>
      <c r="B971" s="307"/>
      <c r="C971" s="307"/>
      <c r="D971" s="307"/>
      <c r="E971" s="307"/>
      <c r="F971" s="371"/>
      <c r="G971" s="307"/>
      <c r="H971" s="307"/>
      <c r="I971" s="307"/>
      <c r="J971" s="371"/>
      <c r="K971" s="371"/>
      <c r="L971" s="371"/>
      <c r="M971" s="371"/>
      <c r="N971" s="371"/>
      <c r="O971" s="371"/>
      <c r="P971" s="371"/>
      <c r="Q971" s="371"/>
      <c r="R971" s="371"/>
      <c r="S971" s="371"/>
      <c r="T971" s="371"/>
    </row>
    <row r="972">
      <c r="A972" s="307"/>
      <c r="B972" s="307"/>
      <c r="C972" s="307"/>
      <c r="D972" s="307"/>
      <c r="E972" s="307"/>
      <c r="F972" s="371"/>
      <c r="G972" s="307"/>
      <c r="H972" s="307"/>
      <c r="I972" s="307"/>
      <c r="J972" s="371"/>
      <c r="K972" s="371"/>
      <c r="L972" s="371"/>
      <c r="M972" s="371"/>
      <c r="N972" s="371"/>
      <c r="O972" s="371"/>
      <c r="P972" s="371"/>
      <c r="Q972" s="371"/>
      <c r="R972" s="371"/>
      <c r="S972" s="371"/>
      <c r="T972" s="371"/>
    </row>
    <row r="973">
      <c r="A973" s="307"/>
      <c r="B973" s="307"/>
      <c r="C973" s="307"/>
      <c r="D973" s="307"/>
      <c r="E973" s="307"/>
      <c r="F973" s="371"/>
      <c r="G973" s="307"/>
      <c r="H973" s="307"/>
      <c r="I973" s="307"/>
      <c r="J973" s="371"/>
      <c r="K973" s="371"/>
      <c r="L973" s="371"/>
      <c r="M973" s="371"/>
      <c r="N973" s="371"/>
      <c r="O973" s="371"/>
      <c r="P973" s="371"/>
      <c r="Q973" s="371"/>
      <c r="R973" s="371"/>
      <c r="S973" s="371"/>
      <c r="T973" s="371"/>
    </row>
    <row r="974">
      <c r="A974" s="307"/>
      <c r="B974" s="307"/>
      <c r="C974" s="307"/>
      <c r="D974" s="307"/>
      <c r="E974" s="307"/>
      <c r="F974" s="371"/>
      <c r="G974" s="307"/>
      <c r="H974" s="307"/>
      <c r="I974" s="307"/>
      <c r="J974" s="371"/>
      <c r="K974" s="371"/>
      <c r="L974" s="371"/>
      <c r="M974" s="371"/>
      <c r="N974" s="371"/>
      <c r="O974" s="371"/>
      <c r="P974" s="371"/>
      <c r="Q974" s="371"/>
      <c r="R974" s="371"/>
      <c r="S974" s="371"/>
      <c r="T974" s="371"/>
    </row>
    <row r="975">
      <c r="A975" s="307"/>
      <c r="B975" s="307"/>
      <c r="C975" s="307"/>
      <c r="D975" s="307"/>
      <c r="E975" s="307"/>
      <c r="F975" s="371"/>
      <c r="G975" s="307"/>
      <c r="H975" s="307"/>
      <c r="I975" s="307"/>
      <c r="J975" s="371"/>
      <c r="K975" s="371"/>
      <c r="L975" s="371"/>
      <c r="M975" s="371"/>
      <c r="N975" s="371"/>
      <c r="O975" s="371"/>
      <c r="P975" s="371"/>
      <c r="Q975" s="371"/>
      <c r="R975" s="371"/>
      <c r="S975" s="371"/>
      <c r="T975" s="371"/>
    </row>
    <row r="976">
      <c r="A976" s="307"/>
      <c r="B976" s="307"/>
      <c r="C976" s="307"/>
      <c r="D976" s="307"/>
      <c r="E976" s="307"/>
      <c r="F976" s="371"/>
      <c r="G976" s="307"/>
      <c r="H976" s="307"/>
      <c r="I976" s="307"/>
      <c r="J976" s="371"/>
      <c r="K976" s="371"/>
      <c r="L976" s="371"/>
      <c r="M976" s="371"/>
      <c r="N976" s="371"/>
      <c r="O976" s="371"/>
      <c r="P976" s="371"/>
      <c r="Q976" s="371"/>
      <c r="R976" s="371"/>
      <c r="S976" s="371"/>
      <c r="T976" s="371"/>
    </row>
    <row r="977">
      <c r="A977" s="307"/>
      <c r="B977" s="307"/>
      <c r="C977" s="307"/>
      <c r="D977" s="307"/>
      <c r="E977" s="307"/>
      <c r="F977" s="371"/>
      <c r="G977" s="307"/>
      <c r="H977" s="307"/>
      <c r="I977" s="307"/>
      <c r="J977" s="371"/>
      <c r="K977" s="371"/>
      <c r="L977" s="371"/>
      <c r="M977" s="371"/>
      <c r="N977" s="371"/>
      <c r="O977" s="371"/>
      <c r="P977" s="371"/>
      <c r="Q977" s="371"/>
      <c r="R977" s="371"/>
      <c r="S977" s="371"/>
      <c r="T977" s="371"/>
    </row>
    <row r="978">
      <c r="A978" s="307"/>
      <c r="B978" s="307"/>
      <c r="C978" s="307"/>
      <c r="D978" s="307"/>
      <c r="E978" s="307"/>
      <c r="F978" s="371"/>
      <c r="G978" s="307"/>
      <c r="H978" s="307"/>
      <c r="I978" s="307"/>
      <c r="J978" s="371"/>
      <c r="K978" s="371"/>
      <c r="L978" s="371"/>
      <c r="M978" s="371"/>
      <c r="N978" s="371"/>
      <c r="O978" s="371"/>
      <c r="P978" s="371"/>
      <c r="Q978" s="371"/>
      <c r="R978" s="371"/>
      <c r="S978" s="371"/>
      <c r="T978" s="371"/>
    </row>
    <row r="979">
      <c r="A979" s="307"/>
      <c r="B979" s="307"/>
      <c r="C979" s="307"/>
      <c r="D979" s="307"/>
      <c r="E979" s="307"/>
      <c r="F979" s="371"/>
      <c r="G979" s="307"/>
      <c r="H979" s="307"/>
      <c r="I979" s="307"/>
      <c r="J979" s="371"/>
      <c r="K979" s="371"/>
      <c r="L979" s="371"/>
      <c r="M979" s="371"/>
      <c r="N979" s="371"/>
      <c r="O979" s="371"/>
      <c r="P979" s="371"/>
      <c r="Q979" s="371"/>
      <c r="R979" s="371"/>
      <c r="S979" s="371"/>
      <c r="T979" s="371"/>
    </row>
    <row r="980">
      <c r="A980" s="307"/>
      <c r="B980" s="307"/>
      <c r="C980" s="307"/>
      <c r="D980" s="307"/>
      <c r="E980" s="307"/>
      <c r="F980" s="371"/>
      <c r="G980" s="307"/>
      <c r="H980" s="307"/>
      <c r="I980" s="307"/>
      <c r="J980" s="371"/>
      <c r="K980" s="371"/>
      <c r="L980" s="371"/>
      <c r="M980" s="371"/>
      <c r="N980" s="371"/>
      <c r="O980" s="371"/>
      <c r="P980" s="371"/>
      <c r="Q980" s="371"/>
      <c r="R980" s="371"/>
      <c r="S980" s="371"/>
      <c r="T980" s="371"/>
    </row>
    <row r="981">
      <c r="A981" s="307"/>
      <c r="B981" s="307"/>
      <c r="C981" s="307"/>
      <c r="D981" s="307"/>
      <c r="E981" s="307"/>
      <c r="F981" s="371"/>
      <c r="G981" s="307"/>
      <c r="H981" s="307"/>
      <c r="I981" s="307"/>
      <c r="J981" s="371"/>
      <c r="K981" s="371"/>
      <c r="L981" s="371"/>
      <c r="M981" s="371"/>
      <c r="N981" s="371"/>
      <c r="O981" s="371"/>
      <c r="P981" s="371"/>
      <c r="Q981" s="371"/>
      <c r="R981" s="371"/>
      <c r="S981" s="371"/>
      <c r="T981" s="371"/>
    </row>
    <row r="982">
      <c r="A982" s="307"/>
      <c r="B982" s="307"/>
      <c r="C982" s="307"/>
      <c r="D982" s="307"/>
      <c r="E982" s="307"/>
      <c r="F982" s="371"/>
      <c r="G982" s="307"/>
      <c r="H982" s="307"/>
      <c r="I982" s="307"/>
      <c r="J982" s="371"/>
      <c r="K982" s="371"/>
      <c r="L982" s="371"/>
      <c r="M982" s="371"/>
      <c r="N982" s="371"/>
      <c r="O982" s="371"/>
      <c r="P982" s="371"/>
      <c r="Q982" s="371"/>
      <c r="R982" s="371"/>
      <c r="S982" s="371"/>
      <c r="T982" s="371"/>
    </row>
    <row r="983">
      <c r="A983" s="307"/>
      <c r="B983" s="307"/>
      <c r="C983" s="307"/>
      <c r="D983" s="307"/>
      <c r="E983" s="307"/>
      <c r="F983" s="371"/>
      <c r="G983" s="307"/>
      <c r="H983" s="307"/>
      <c r="I983" s="307"/>
      <c r="J983" s="371"/>
      <c r="K983" s="371"/>
      <c r="L983" s="371"/>
      <c r="M983" s="371"/>
      <c r="N983" s="371"/>
      <c r="O983" s="371"/>
      <c r="P983" s="371"/>
      <c r="Q983" s="371"/>
      <c r="R983" s="371"/>
      <c r="S983" s="371"/>
      <c r="T983" s="371"/>
    </row>
    <row r="984">
      <c r="A984" s="307"/>
      <c r="B984" s="307"/>
      <c r="C984" s="307"/>
      <c r="D984" s="307"/>
      <c r="E984" s="307"/>
      <c r="F984" s="371"/>
      <c r="G984" s="307"/>
      <c r="H984" s="307"/>
      <c r="I984" s="307"/>
      <c r="J984" s="371"/>
      <c r="K984" s="371"/>
      <c r="L984" s="371"/>
      <c r="M984" s="371"/>
      <c r="N984" s="371"/>
      <c r="O984" s="371"/>
      <c r="P984" s="371"/>
      <c r="Q984" s="371"/>
      <c r="R984" s="371"/>
      <c r="S984" s="371"/>
      <c r="T984" s="371"/>
    </row>
    <row r="985">
      <c r="A985" s="307"/>
      <c r="B985" s="307"/>
      <c r="C985" s="307"/>
      <c r="D985" s="307"/>
      <c r="E985" s="307"/>
      <c r="F985" s="371"/>
      <c r="G985" s="307"/>
      <c r="H985" s="307"/>
      <c r="I985" s="307"/>
      <c r="J985" s="371"/>
      <c r="K985" s="371"/>
      <c r="L985" s="371"/>
      <c r="M985" s="371"/>
      <c r="N985" s="371"/>
      <c r="O985" s="371"/>
      <c r="P985" s="371"/>
      <c r="Q985" s="371"/>
      <c r="R985" s="371"/>
      <c r="S985" s="371"/>
      <c r="T985" s="371"/>
    </row>
    <row r="986">
      <c r="A986" s="307"/>
      <c r="B986" s="307"/>
      <c r="C986" s="307"/>
      <c r="D986" s="307"/>
      <c r="E986" s="307"/>
      <c r="F986" s="371"/>
      <c r="G986" s="307"/>
      <c r="H986" s="307"/>
      <c r="I986" s="307"/>
      <c r="J986" s="371"/>
      <c r="K986" s="371"/>
      <c r="L986" s="371"/>
      <c r="M986" s="371"/>
      <c r="N986" s="371"/>
      <c r="O986" s="371"/>
      <c r="P986" s="371"/>
      <c r="Q986" s="371"/>
      <c r="R986" s="371"/>
      <c r="S986" s="371"/>
      <c r="T986" s="371"/>
    </row>
    <row r="987">
      <c r="A987" s="307"/>
      <c r="B987" s="307"/>
      <c r="C987" s="307"/>
      <c r="D987" s="307"/>
      <c r="E987" s="307"/>
      <c r="F987" s="371"/>
      <c r="G987" s="307"/>
      <c r="H987" s="307"/>
      <c r="I987" s="307"/>
      <c r="J987" s="371"/>
      <c r="K987" s="371"/>
      <c r="L987" s="371"/>
      <c r="M987" s="371"/>
      <c r="N987" s="371"/>
      <c r="O987" s="371"/>
      <c r="P987" s="371"/>
      <c r="Q987" s="371"/>
      <c r="R987" s="371"/>
      <c r="S987" s="371"/>
      <c r="T987" s="371"/>
    </row>
    <row r="988">
      <c r="A988" s="307"/>
      <c r="B988" s="307"/>
      <c r="C988" s="307"/>
      <c r="D988" s="307"/>
      <c r="E988" s="307"/>
      <c r="F988" s="371"/>
      <c r="G988" s="307"/>
      <c r="H988" s="307"/>
      <c r="I988" s="307"/>
      <c r="J988" s="371"/>
      <c r="K988" s="371"/>
      <c r="L988" s="371"/>
      <c r="M988" s="371"/>
      <c r="N988" s="371"/>
      <c r="O988" s="371"/>
      <c r="P988" s="371"/>
      <c r="Q988" s="371"/>
      <c r="R988" s="371"/>
      <c r="S988" s="371"/>
      <c r="T988" s="371"/>
    </row>
    <row r="989">
      <c r="A989" s="307"/>
      <c r="B989" s="307"/>
      <c r="C989" s="307"/>
      <c r="D989" s="307"/>
      <c r="E989" s="307"/>
      <c r="F989" s="371"/>
      <c r="G989" s="307"/>
      <c r="H989" s="307"/>
      <c r="I989" s="307"/>
      <c r="J989" s="371"/>
      <c r="K989" s="371"/>
      <c r="L989" s="371"/>
      <c r="M989" s="371"/>
      <c r="N989" s="371"/>
      <c r="O989" s="371"/>
      <c r="P989" s="371"/>
      <c r="Q989" s="371"/>
      <c r="R989" s="371"/>
      <c r="S989" s="371"/>
      <c r="T989" s="371"/>
    </row>
    <row r="990">
      <c r="A990" s="307"/>
      <c r="B990" s="307"/>
      <c r="C990" s="307"/>
      <c r="D990" s="307"/>
      <c r="E990" s="307"/>
      <c r="F990" s="371"/>
      <c r="G990" s="307"/>
      <c r="H990" s="307"/>
      <c r="I990" s="307"/>
      <c r="J990" s="371"/>
      <c r="K990" s="371"/>
      <c r="L990" s="371"/>
      <c r="M990" s="371"/>
      <c r="N990" s="371"/>
      <c r="O990" s="371"/>
      <c r="P990" s="371"/>
      <c r="Q990" s="371"/>
      <c r="R990" s="371"/>
      <c r="S990" s="371"/>
      <c r="T990" s="371"/>
    </row>
    <row r="991">
      <c r="A991" s="307"/>
      <c r="B991" s="307"/>
      <c r="C991" s="307"/>
      <c r="D991" s="307"/>
      <c r="E991" s="307"/>
      <c r="F991" s="371"/>
      <c r="G991" s="307"/>
      <c r="H991" s="307"/>
      <c r="I991" s="307"/>
      <c r="J991" s="371"/>
      <c r="K991" s="371"/>
      <c r="L991" s="371"/>
      <c r="M991" s="371"/>
      <c r="N991" s="371"/>
      <c r="O991" s="371"/>
      <c r="P991" s="371"/>
      <c r="Q991" s="371"/>
      <c r="R991" s="371"/>
      <c r="S991" s="371"/>
      <c r="T991" s="371"/>
    </row>
    <row r="992">
      <c r="A992" s="307"/>
      <c r="B992" s="307"/>
      <c r="C992" s="307"/>
      <c r="D992" s="307"/>
      <c r="E992" s="307"/>
      <c r="F992" s="371"/>
      <c r="G992" s="307"/>
      <c r="H992" s="307"/>
      <c r="I992" s="307"/>
      <c r="J992" s="371"/>
      <c r="K992" s="371"/>
      <c r="L992" s="371"/>
      <c r="M992" s="371"/>
      <c r="N992" s="371"/>
      <c r="O992" s="371"/>
      <c r="P992" s="371"/>
      <c r="Q992" s="371"/>
      <c r="R992" s="371"/>
      <c r="S992" s="371"/>
      <c r="T992" s="371"/>
    </row>
    <row r="993">
      <c r="A993" s="307"/>
      <c r="B993" s="307"/>
      <c r="C993" s="307"/>
      <c r="D993" s="307"/>
      <c r="E993" s="307"/>
      <c r="F993" s="371"/>
      <c r="G993" s="307"/>
      <c r="H993" s="307"/>
      <c r="I993" s="307"/>
      <c r="J993" s="371"/>
      <c r="K993" s="371"/>
      <c r="L993" s="371"/>
      <c r="M993" s="371"/>
      <c r="N993" s="371"/>
      <c r="O993" s="371"/>
      <c r="P993" s="371"/>
      <c r="Q993" s="371"/>
      <c r="R993" s="371"/>
      <c r="S993" s="371"/>
      <c r="T993" s="371"/>
    </row>
    <row r="994">
      <c r="A994" s="307"/>
      <c r="B994" s="307"/>
      <c r="C994" s="307"/>
      <c r="D994" s="307"/>
      <c r="E994" s="307"/>
      <c r="F994" s="371"/>
      <c r="G994" s="307"/>
      <c r="H994" s="307"/>
      <c r="I994" s="307"/>
      <c r="J994" s="371"/>
      <c r="K994" s="371"/>
      <c r="L994" s="371"/>
      <c r="M994" s="371"/>
      <c r="N994" s="371"/>
      <c r="O994" s="371"/>
      <c r="P994" s="371"/>
      <c r="Q994" s="371"/>
      <c r="R994" s="371"/>
      <c r="S994" s="371"/>
      <c r="T994" s="371"/>
    </row>
    <row r="995">
      <c r="A995" s="307"/>
      <c r="B995" s="307"/>
      <c r="C995" s="307"/>
      <c r="D995" s="307"/>
      <c r="E995" s="307"/>
      <c r="F995" s="371"/>
      <c r="G995" s="307"/>
      <c r="H995" s="307"/>
      <c r="I995" s="307"/>
      <c r="J995" s="371"/>
      <c r="K995" s="371"/>
      <c r="L995" s="371"/>
      <c r="M995" s="371"/>
      <c r="N995" s="371"/>
      <c r="O995" s="371"/>
      <c r="P995" s="371"/>
      <c r="Q995" s="371"/>
      <c r="R995" s="371"/>
      <c r="S995" s="371"/>
      <c r="T995" s="371"/>
    </row>
    <row r="996">
      <c r="A996" s="307"/>
      <c r="B996" s="307"/>
      <c r="C996" s="307"/>
      <c r="D996" s="307"/>
      <c r="E996" s="307"/>
      <c r="F996" s="371"/>
      <c r="G996" s="307"/>
      <c r="H996" s="307"/>
      <c r="I996" s="307"/>
      <c r="J996" s="371"/>
      <c r="K996" s="371"/>
      <c r="L996" s="371"/>
      <c r="M996" s="371"/>
      <c r="N996" s="371"/>
      <c r="O996" s="371"/>
      <c r="P996" s="371"/>
      <c r="Q996" s="371"/>
      <c r="R996" s="371"/>
      <c r="S996" s="371"/>
      <c r="T996" s="371"/>
    </row>
    <row r="997">
      <c r="A997" s="307"/>
      <c r="B997" s="307"/>
      <c r="C997" s="307"/>
      <c r="D997" s="307"/>
      <c r="E997" s="307"/>
      <c r="F997" s="371"/>
      <c r="G997" s="307"/>
      <c r="H997" s="307"/>
      <c r="I997" s="307"/>
      <c r="J997" s="371"/>
      <c r="K997" s="371"/>
      <c r="L997" s="371"/>
      <c r="M997" s="371"/>
      <c r="N997" s="371"/>
      <c r="O997" s="371"/>
      <c r="P997" s="371"/>
      <c r="Q997" s="371"/>
      <c r="R997" s="371"/>
      <c r="S997" s="371"/>
      <c r="T997" s="371"/>
    </row>
    <row r="998">
      <c r="A998" s="307"/>
      <c r="B998" s="307"/>
      <c r="C998" s="307"/>
      <c r="D998" s="307"/>
      <c r="E998" s="307"/>
      <c r="F998" s="371"/>
      <c r="G998" s="307"/>
      <c r="H998" s="307"/>
      <c r="I998" s="307"/>
      <c r="J998" s="371"/>
      <c r="K998" s="371"/>
      <c r="L998" s="371"/>
      <c r="M998" s="371"/>
      <c r="N998" s="371"/>
      <c r="O998" s="371"/>
      <c r="P998" s="371"/>
      <c r="Q998" s="371"/>
      <c r="R998" s="371"/>
      <c r="S998" s="371"/>
      <c r="T998" s="371"/>
    </row>
  </sheetData>
  <mergeCells count="1">
    <mergeCell ref="G2:I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3.5"/>
  </cols>
  <sheetData>
    <row r="1">
      <c r="A1" s="1853" t="s">
        <v>7422</v>
      </c>
      <c r="B1" s="1185"/>
      <c r="C1" s="1282"/>
      <c r="D1" s="1282"/>
      <c r="E1" s="1282"/>
      <c r="F1" s="1282"/>
      <c r="G1" s="1282"/>
      <c r="H1" s="1282"/>
      <c r="I1" s="1282"/>
      <c r="J1" s="1282"/>
      <c r="K1" s="1282"/>
      <c r="L1" s="1282"/>
      <c r="M1" s="1282"/>
      <c r="N1" s="1282"/>
      <c r="O1" s="1282"/>
      <c r="P1" s="1282"/>
      <c r="Q1" s="1282"/>
      <c r="R1" s="1282"/>
      <c r="S1" s="1282"/>
      <c r="T1" s="1282"/>
      <c r="U1" s="1282"/>
      <c r="V1" s="1282"/>
      <c r="W1" s="1282"/>
      <c r="X1" s="1282"/>
      <c r="Y1" s="1282"/>
      <c r="Z1" s="1282"/>
    </row>
    <row r="2">
      <c r="A2" s="1188" t="s">
        <v>7423</v>
      </c>
      <c r="B2" s="1185"/>
      <c r="C2" s="1282"/>
      <c r="D2" s="1282"/>
      <c r="E2" s="1282"/>
      <c r="F2" s="1282"/>
      <c r="G2" s="1282"/>
      <c r="H2" s="1282"/>
      <c r="I2" s="1282"/>
      <c r="J2" s="1282"/>
      <c r="K2" s="1282"/>
      <c r="L2" s="1282"/>
      <c r="M2" s="1282"/>
      <c r="N2" s="1282"/>
      <c r="O2" s="1282"/>
      <c r="P2" s="1282"/>
      <c r="Q2" s="1282"/>
      <c r="R2" s="1282"/>
      <c r="S2" s="1282"/>
      <c r="T2" s="1282"/>
      <c r="U2" s="1282"/>
      <c r="V2" s="1282"/>
      <c r="W2" s="1282"/>
      <c r="X2" s="1282"/>
      <c r="Y2" s="1282"/>
      <c r="Z2" s="1282"/>
    </row>
    <row r="3">
      <c r="A3" s="1188" t="s">
        <v>7424</v>
      </c>
      <c r="B3" s="1185"/>
      <c r="C3" s="1282"/>
      <c r="D3" s="1282"/>
      <c r="E3" s="1282"/>
      <c r="F3" s="1282"/>
      <c r="G3" s="1282"/>
      <c r="H3" s="1282"/>
      <c r="I3" s="1282"/>
      <c r="J3" s="1282"/>
      <c r="K3" s="1282"/>
      <c r="L3" s="1282"/>
      <c r="M3" s="1282"/>
      <c r="N3" s="1282"/>
      <c r="O3" s="1282"/>
      <c r="P3" s="1282"/>
      <c r="Q3" s="1282"/>
      <c r="R3" s="1282"/>
      <c r="S3" s="1282"/>
      <c r="T3" s="1282"/>
      <c r="U3" s="1282"/>
      <c r="V3" s="1282"/>
      <c r="W3" s="1282"/>
      <c r="X3" s="1282"/>
      <c r="Y3" s="1282"/>
      <c r="Z3" s="1282"/>
    </row>
    <row r="4">
      <c r="A4" s="1188" t="s">
        <v>7425</v>
      </c>
      <c r="B4" s="1185"/>
      <c r="C4" s="1282"/>
      <c r="D4" s="1282"/>
      <c r="E4" s="1282"/>
      <c r="F4" s="1282"/>
      <c r="G4" s="1282"/>
      <c r="H4" s="1282"/>
      <c r="I4" s="1282"/>
      <c r="J4" s="1282"/>
      <c r="K4" s="1282"/>
      <c r="L4" s="1282"/>
      <c r="M4" s="1282"/>
      <c r="N4" s="1282"/>
      <c r="O4" s="1282"/>
      <c r="P4" s="1282"/>
      <c r="Q4" s="1282"/>
      <c r="R4" s="1282"/>
      <c r="S4" s="1282"/>
      <c r="T4" s="1282"/>
      <c r="U4" s="1282"/>
      <c r="V4" s="1282"/>
      <c r="W4" s="1282"/>
      <c r="X4" s="1282"/>
      <c r="Y4" s="1282"/>
      <c r="Z4" s="1282"/>
    </row>
    <row r="5">
      <c r="A5" s="1188" t="s">
        <v>7426</v>
      </c>
      <c r="B5" s="1185"/>
      <c r="C5" s="1282"/>
      <c r="D5" s="1282"/>
      <c r="E5" s="1282"/>
      <c r="F5" s="1282"/>
      <c r="G5" s="1282"/>
      <c r="H5" s="1282"/>
      <c r="I5" s="1282"/>
      <c r="J5" s="1282"/>
      <c r="K5" s="1282"/>
      <c r="L5" s="1282"/>
      <c r="M5" s="1282"/>
      <c r="N5" s="1282"/>
      <c r="O5" s="1282"/>
      <c r="P5" s="1282"/>
      <c r="Q5" s="1282"/>
      <c r="R5" s="1282"/>
      <c r="S5" s="1282"/>
      <c r="T5" s="1282"/>
      <c r="U5" s="1282"/>
      <c r="V5" s="1282"/>
      <c r="W5" s="1282"/>
      <c r="X5" s="1282"/>
      <c r="Y5" s="1282"/>
      <c r="Z5" s="1282"/>
    </row>
    <row r="6">
      <c r="A6" s="1188" t="s">
        <v>7427</v>
      </c>
      <c r="B6" s="1185"/>
      <c r="C6" s="1282"/>
      <c r="D6" s="1282"/>
      <c r="E6" s="1282"/>
      <c r="F6" s="1282"/>
      <c r="G6" s="1282"/>
      <c r="H6" s="1282"/>
      <c r="I6" s="1282"/>
      <c r="J6" s="1282"/>
      <c r="K6" s="1282"/>
      <c r="L6" s="1282"/>
      <c r="M6" s="1282"/>
      <c r="N6" s="1282"/>
      <c r="O6" s="1282"/>
      <c r="P6" s="1282"/>
      <c r="Q6" s="1282"/>
      <c r="R6" s="1282"/>
      <c r="S6" s="1282"/>
      <c r="T6" s="1282"/>
      <c r="U6" s="1282"/>
      <c r="V6" s="1282"/>
      <c r="W6" s="1282"/>
      <c r="X6" s="1282"/>
      <c r="Y6" s="1282"/>
      <c r="Z6" s="1282"/>
    </row>
    <row r="7">
      <c r="A7" s="1188" t="s">
        <v>7428</v>
      </c>
      <c r="B7" s="1185"/>
      <c r="C7" s="1282"/>
      <c r="D7" s="1282"/>
      <c r="E7" s="1282"/>
      <c r="F7" s="1282"/>
      <c r="G7" s="1282"/>
      <c r="H7" s="1282"/>
      <c r="I7" s="1282"/>
      <c r="J7" s="1282"/>
      <c r="K7" s="1282"/>
      <c r="L7" s="1282"/>
      <c r="M7" s="1282"/>
      <c r="N7" s="1282"/>
      <c r="O7" s="1282"/>
      <c r="P7" s="1282"/>
      <c r="Q7" s="1282"/>
      <c r="R7" s="1282"/>
      <c r="S7" s="1282"/>
      <c r="T7" s="1282"/>
      <c r="U7" s="1282"/>
      <c r="V7" s="1282"/>
      <c r="W7" s="1282"/>
      <c r="X7" s="1282"/>
      <c r="Y7" s="1282"/>
      <c r="Z7" s="1282"/>
    </row>
    <row r="8">
      <c r="A8" s="1188" t="s">
        <v>7429</v>
      </c>
      <c r="B8" s="1185"/>
      <c r="C8" s="1282"/>
      <c r="D8" s="1282"/>
      <c r="E8" s="1282"/>
      <c r="F8" s="1282"/>
      <c r="G8" s="1282"/>
      <c r="H8" s="1282"/>
      <c r="I8" s="1282"/>
      <c r="J8" s="1282"/>
      <c r="K8" s="1282"/>
      <c r="L8" s="1282"/>
      <c r="M8" s="1282"/>
      <c r="N8" s="1282"/>
      <c r="O8" s="1282"/>
      <c r="P8" s="1282"/>
      <c r="Q8" s="1282"/>
      <c r="R8" s="1282"/>
      <c r="S8" s="1282"/>
      <c r="T8" s="1282"/>
      <c r="U8" s="1282"/>
      <c r="V8" s="1282"/>
      <c r="W8" s="1282"/>
      <c r="X8" s="1282"/>
      <c r="Y8" s="1282"/>
      <c r="Z8" s="1282"/>
    </row>
    <row r="9">
      <c r="A9" s="1188" t="s">
        <v>7430</v>
      </c>
      <c r="B9" s="1185"/>
      <c r="C9" s="1282"/>
      <c r="D9" s="1282"/>
      <c r="E9" s="1282"/>
      <c r="F9" s="1282"/>
      <c r="G9" s="1282"/>
      <c r="H9" s="1282"/>
      <c r="I9" s="1282"/>
      <c r="J9" s="1282"/>
      <c r="K9" s="1282"/>
      <c r="L9" s="1282"/>
      <c r="M9" s="1282"/>
      <c r="N9" s="1282"/>
      <c r="O9" s="1282"/>
      <c r="P9" s="1282"/>
      <c r="Q9" s="1282"/>
      <c r="R9" s="1282"/>
      <c r="S9" s="1282"/>
      <c r="T9" s="1282"/>
      <c r="U9" s="1282"/>
      <c r="V9" s="1282"/>
      <c r="W9" s="1282"/>
      <c r="X9" s="1282"/>
      <c r="Y9" s="1282"/>
      <c r="Z9" s="1282"/>
    </row>
    <row r="10">
      <c r="A10" s="1188" t="s">
        <v>7431</v>
      </c>
      <c r="B10" s="1185"/>
      <c r="C10" s="1282"/>
      <c r="D10" s="1282"/>
      <c r="E10" s="1282"/>
      <c r="F10" s="1282"/>
      <c r="G10" s="1282"/>
      <c r="H10" s="1282"/>
      <c r="I10" s="1282"/>
      <c r="J10" s="1282"/>
      <c r="K10" s="1282"/>
      <c r="L10" s="1282"/>
      <c r="M10" s="1282"/>
      <c r="N10" s="1282"/>
      <c r="O10" s="1282"/>
      <c r="P10" s="1282"/>
      <c r="Q10" s="1282"/>
      <c r="R10" s="1282"/>
      <c r="S10" s="1282"/>
      <c r="T10" s="1282"/>
      <c r="U10" s="1282"/>
      <c r="V10" s="1282"/>
      <c r="W10" s="1282"/>
      <c r="X10" s="1282"/>
      <c r="Y10" s="1282"/>
      <c r="Z10" s="1282"/>
    </row>
    <row r="11">
      <c r="A11" s="1188" t="s">
        <v>7432</v>
      </c>
      <c r="B11" s="1185"/>
      <c r="C11" s="1282"/>
      <c r="D11" s="1282"/>
      <c r="E11" s="1282"/>
      <c r="F11" s="1282"/>
      <c r="G11" s="1282"/>
      <c r="H11" s="1282"/>
      <c r="I11" s="1282"/>
      <c r="J11" s="1282"/>
      <c r="K11" s="1282"/>
      <c r="L11" s="1282"/>
      <c r="M11" s="1282"/>
      <c r="N11" s="1282"/>
      <c r="O11" s="1282"/>
      <c r="P11" s="1282"/>
      <c r="Q11" s="1282"/>
      <c r="R11" s="1282"/>
      <c r="S11" s="1282"/>
      <c r="T11" s="1282"/>
      <c r="U11" s="1282"/>
      <c r="V11" s="1282"/>
      <c r="W11" s="1282"/>
      <c r="X11" s="1282"/>
      <c r="Y11" s="1282"/>
      <c r="Z11" s="1282"/>
    </row>
    <row r="12">
      <c r="A12" s="1188" t="s">
        <v>7433</v>
      </c>
      <c r="B12" s="1185"/>
      <c r="C12" s="1282"/>
      <c r="D12" s="1282"/>
      <c r="E12" s="1282"/>
      <c r="F12" s="1282"/>
      <c r="G12" s="1282"/>
      <c r="H12" s="1282"/>
      <c r="I12" s="1282"/>
      <c r="J12" s="1282"/>
      <c r="K12" s="1282"/>
      <c r="L12" s="1282"/>
      <c r="M12" s="1282"/>
      <c r="N12" s="1282"/>
      <c r="O12" s="1282"/>
      <c r="P12" s="1282"/>
      <c r="Q12" s="1282"/>
      <c r="R12" s="1282"/>
      <c r="S12" s="1282"/>
      <c r="T12" s="1282"/>
      <c r="U12" s="1282"/>
      <c r="V12" s="1282"/>
      <c r="W12" s="1282"/>
      <c r="X12" s="1282"/>
      <c r="Y12" s="1282"/>
      <c r="Z12" s="1282"/>
    </row>
    <row r="13">
      <c r="A13" s="1188" t="s">
        <v>7434</v>
      </c>
      <c r="B13" s="1185"/>
      <c r="C13" s="1282"/>
      <c r="D13" s="1282"/>
      <c r="E13" s="1282"/>
      <c r="F13" s="1282"/>
      <c r="G13" s="1282"/>
      <c r="H13" s="1282"/>
      <c r="I13" s="1282"/>
      <c r="J13" s="1282"/>
      <c r="K13" s="1282"/>
      <c r="L13" s="1282"/>
      <c r="M13" s="1282"/>
      <c r="N13" s="1282"/>
      <c r="O13" s="1282"/>
      <c r="P13" s="1282"/>
      <c r="Q13" s="1282"/>
      <c r="R13" s="1282"/>
      <c r="S13" s="1282"/>
      <c r="T13" s="1282"/>
      <c r="U13" s="1282"/>
      <c r="V13" s="1282"/>
      <c r="W13" s="1282"/>
      <c r="X13" s="1282"/>
      <c r="Y13" s="1282"/>
      <c r="Z13" s="1282"/>
    </row>
    <row r="14">
      <c r="A14" s="1188" t="s">
        <v>7435</v>
      </c>
      <c r="B14" s="1185"/>
      <c r="C14" s="1282"/>
      <c r="D14" s="1282"/>
      <c r="E14" s="1282"/>
      <c r="F14" s="1282"/>
      <c r="G14" s="1282"/>
      <c r="H14" s="1282"/>
      <c r="I14" s="1282"/>
      <c r="J14" s="1282"/>
      <c r="K14" s="1282"/>
      <c r="L14" s="1282"/>
      <c r="M14" s="1282"/>
      <c r="N14" s="1282"/>
      <c r="O14" s="1282"/>
      <c r="P14" s="1282"/>
      <c r="Q14" s="1282"/>
      <c r="R14" s="1282"/>
      <c r="S14" s="1282"/>
      <c r="T14" s="1282"/>
      <c r="U14" s="1282"/>
      <c r="V14" s="1282"/>
      <c r="W14" s="1282"/>
      <c r="X14" s="1282"/>
      <c r="Y14" s="1282"/>
      <c r="Z14" s="1282"/>
    </row>
    <row r="15">
      <c r="A15" s="1188" t="s">
        <v>7436</v>
      </c>
      <c r="B15" s="1185"/>
      <c r="C15" s="1282"/>
      <c r="D15" s="1282"/>
      <c r="E15" s="1282"/>
      <c r="F15" s="1282"/>
      <c r="G15" s="1282"/>
      <c r="H15" s="1282"/>
      <c r="I15" s="1282"/>
      <c r="J15" s="1282"/>
      <c r="K15" s="1282"/>
      <c r="L15" s="1282"/>
      <c r="M15" s="1282"/>
      <c r="N15" s="1282"/>
      <c r="O15" s="1282"/>
      <c r="P15" s="1282"/>
      <c r="Q15" s="1282"/>
      <c r="R15" s="1282"/>
      <c r="S15" s="1282"/>
      <c r="T15" s="1282"/>
      <c r="U15" s="1282"/>
      <c r="V15" s="1282"/>
      <c r="W15" s="1282"/>
      <c r="X15" s="1282"/>
      <c r="Y15" s="1282"/>
      <c r="Z15" s="1282"/>
    </row>
    <row r="16">
      <c r="A16" s="1188" t="s">
        <v>7437</v>
      </c>
      <c r="B16" s="1185"/>
      <c r="C16" s="1282"/>
      <c r="D16" s="1282"/>
      <c r="E16" s="1282"/>
      <c r="F16" s="1282"/>
      <c r="G16" s="1282"/>
      <c r="H16" s="1282"/>
      <c r="I16" s="1282"/>
      <c r="J16" s="1282"/>
      <c r="K16" s="1282"/>
      <c r="L16" s="1282"/>
      <c r="M16" s="1282"/>
      <c r="N16" s="1282"/>
      <c r="O16" s="1282"/>
      <c r="P16" s="1282"/>
      <c r="Q16" s="1282"/>
      <c r="R16" s="1282"/>
      <c r="S16" s="1282"/>
      <c r="T16" s="1282"/>
      <c r="U16" s="1282"/>
      <c r="V16" s="1282"/>
      <c r="W16" s="1282"/>
      <c r="X16" s="1282"/>
      <c r="Y16" s="1282"/>
      <c r="Z16" s="1282"/>
    </row>
    <row r="17">
      <c r="A17" s="1188" t="s">
        <v>7438</v>
      </c>
      <c r="B17" s="1185"/>
      <c r="C17" s="1282"/>
      <c r="D17" s="1282"/>
      <c r="E17" s="1282"/>
      <c r="F17" s="1282"/>
      <c r="G17" s="1282"/>
      <c r="H17" s="1282"/>
      <c r="I17" s="1282"/>
      <c r="J17" s="1282"/>
      <c r="K17" s="1282"/>
      <c r="L17" s="1282"/>
      <c r="M17" s="1282"/>
      <c r="N17" s="1282"/>
      <c r="O17" s="1282"/>
      <c r="P17" s="1282"/>
      <c r="Q17" s="1282"/>
      <c r="R17" s="1282"/>
      <c r="S17" s="1282"/>
      <c r="T17" s="1282"/>
      <c r="U17" s="1282"/>
      <c r="V17" s="1282"/>
      <c r="W17" s="1282"/>
      <c r="X17" s="1282"/>
      <c r="Y17" s="1282"/>
      <c r="Z17" s="1282"/>
    </row>
    <row r="18">
      <c r="A18" s="1188" t="s">
        <v>7439</v>
      </c>
      <c r="B18" s="1185"/>
      <c r="C18" s="1282"/>
      <c r="D18" s="1282"/>
      <c r="E18" s="1282"/>
      <c r="F18" s="1282"/>
      <c r="G18" s="1282"/>
      <c r="H18" s="1282"/>
      <c r="I18" s="1282"/>
      <c r="J18" s="1282"/>
      <c r="K18" s="1282"/>
      <c r="L18" s="1282"/>
      <c r="M18" s="1282"/>
      <c r="N18" s="1282"/>
      <c r="O18" s="1282"/>
      <c r="P18" s="1282"/>
      <c r="Q18" s="1282"/>
      <c r="R18" s="1282"/>
      <c r="S18" s="1282"/>
      <c r="T18" s="1282"/>
      <c r="U18" s="1282"/>
      <c r="V18" s="1282"/>
      <c r="W18" s="1282"/>
      <c r="X18" s="1282"/>
      <c r="Y18" s="1282"/>
      <c r="Z18" s="1282"/>
    </row>
    <row r="19">
      <c r="A19" s="1188" t="s">
        <v>7440</v>
      </c>
      <c r="B19" s="1185"/>
      <c r="C19" s="1282"/>
      <c r="D19" s="1282"/>
      <c r="E19" s="1282"/>
      <c r="F19" s="1282"/>
      <c r="G19" s="1282"/>
      <c r="H19" s="1282"/>
      <c r="I19" s="1282"/>
      <c r="J19" s="1282"/>
      <c r="K19" s="1282"/>
      <c r="L19" s="1282"/>
      <c r="M19" s="1282"/>
      <c r="N19" s="1282"/>
      <c r="O19" s="1282"/>
      <c r="P19" s="1282"/>
      <c r="Q19" s="1282"/>
      <c r="R19" s="1282"/>
      <c r="S19" s="1282"/>
      <c r="T19" s="1282"/>
      <c r="U19" s="1282"/>
      <c r="V19" s="1282"/>
      <c r="W19" s="1282"/>
      <c r="X19" s="1282"/>
      <c r="Y19" s="1282"/>
      <c r="Z19" s="1282"/>
    </row>
    <row r="20">
      <c r="A20" s="1188" t="s">
        <v>7441</v>
      </c>
      <c r="B20" s="1188"/>
      <c r="C20" s="1282"/>
      <c r="D20" s="1282"/>
      <c r="E20" s="1282"/>
      <c r="F20" s="1282"/>
      <c r="G20" s="1282"/>
      <c r="H20" s="1282"/>
      <c r="I20" s="1282"/>
      <c r="J20" s="1282"/>
      <c r="K20" s="1282"/>
      <c r="L20" s="1282"/>
      <c r="M20" s="1282"/>
      <c r="N20" s="1282"/>
      <c r="O20" s="1282"/>
      <c r="P20" s="1282"/>
      <c r="Q20" s="1282"/>
      <c r="R20" s="1282"/>
      <c r="S20" s="1282"/>
      <c r="T20" s="1282"/>
      <c r="U20" s="1282"/>
      <c r="V20" s="1282"/>
      <c r="W20" s="1282"/>
      <c r="X20" s="1282"/>
      <c r="Y20" s="1282"/>
      <c r="Z20" s="1282"/>
    </row>
    <row r="21">
      <c r="A21" s="1188" t="s">
        <v>7442</v>
      </c>
      <c r="B21" s="1185"/>
      <c r="C21" s="1282"/>
      <c r="D21" s="1282"/>
      <c r="E21" s="1282"/>
      <c r="F21" s="1282"/>
      <c r="G21" s="1282"/>
      <c r="H21" s="1282"/>
      <c r="I21" s="1282"/>
      <c r="J21" s="1282"/>
      <c r="K21" s="1282"/>
      <c r="L21" s="1282"/>
      <c r="M21" s="1282"/>
      <c r="N21" s="1282"/>
      <c r="O21" s="1282"/>
      <c r="P21" s="1282"/>
      <c r="Q21" s="1282"/>
      <c r="R21" s="1282"/>
      <c r="S21" s="1282"/>
      <c r="T21" s="1282"/>
      <c r="U21" s="1282"/>
      <c r="V21" s="1282"/>
      <c r="W21" s="1282"/>
      <c r="X21" s="1282"/>
      <c r="Y21" s="1282"/>
      <c r="Z21" s="1282"/>
    </row>
    <row r="22">
      <c r="A22" s="1188" t="s">
        <v>7443</v>
      </c>
      <c r="B22" s="1185"/>
      <c r="C22" s="1282"/>
      <c r="D22" s="1282"/>
      <c r="E22" s="1282"/>
      <c r="F22" s="1282"/>
      <c r="G22" s="1282"/>
      <c r="H22" s="1282"/>
      <c r="I22" s="1282"/>
      <c r="J22" s="1282"/>
      <c r="K22" s="1282"/>
      <c r="L22" s="1282"/>
      <c r="M22" s="1282"/>
      <c r="N22" s="1282"/>
      <c r="O22" s="1282"/>
      <c r="P22" s="1282"/>
      <c r="Q22" s="1282"/>
      <c r="R22" s="1282"/>
      <c r="S22" s="1282"/>
      <c r="T22" s="1282"/>
      <c r="U22" s="1282"/>
      <c r="V22" s="1282"/>
      <c r="W22" s="1282"/>
      <c r="X22" s="1282"/>
      <c r="Y22" s="1282"/>
      <c r="Z22" s="1282"/>
    </row>
    <row r="23">
      <c r="A23" s="1188" t="s">
        <v>7444</v>
      </c>
      <c r="B23" s="1185"/>
      <c r="C23" s="1282"/>
      <c r="D23" s="1282"/>
      <c r="E23" s="1282"/>
      <c r="F23" s="1282"/>
      <c r="G23" s="1282"/>
      <c r="H23" s="1282"/>
      <c r="I23" s="1282"/>
      <c r="J23" s="1282"/>
      <c r="K23" s="1282"/>
      <c r="L23" s="1282"/>
      <c r="M23" s="1282"/>
      <c r="N23" s="1282"/>
      <c r="O23" s="1282"/>
      <c r="P23" s="1282"/>
      <c r="Q23" s="1282"/>
      <c r="R23" s="1282"/>
      <c r="S23" s="1282"/>
      <c r="T23" s="1282"/>
      <c r="U23" s="1282"/>
      <c r="V23" s="1282"/>
      <c r="W23" s="1282"/>
      <c r="X23" s="1282"/>
      <c r="Y23" s="1282"/>
      <c r="Z23" s="1282"/>
    </row>
    <row r="24">
      <c r="A24" s="1188" t="s">
        <v>7445</v>
      </c>
      <c r="B24" s="1185"/>
      <c r="C24" s="1282"/>
      <c r="D24" s="1282"/>
      <c r="E24" s="1282"/>
      <c r="F24" s="1282"/>
      <c r="G24" s="1282"/>
      <c r="H24" s="1282"/>
      <c r="I24" s="1282"/>
      <c r="J24" s="1282"/>
      <c r="K24" s="1282"/>
      <c r="L24" s="1282"/>
      <c r="M24" s="1282"/>
      <c r="N24" s="1282"/>
      <c r="O24" s="1282"/>
      <c r="P24" s="1282"/>
      <c r="Q24" s="1282"/>
      <c r="R24" s="1282"/>
      <c r="S24" s="1282"/>
      <c r="T24" s="1282"/>
      <c r="U24" s="1282"/>
      <c r="V24" s="1282"/>
      <c r="W24" s="1282"/>
      <c r="X24" s="1282"/>
      <c r="Y24" s="1282"/>
      <c r="Z24" s="1282"/>
    </row>
    <row r="25">
      <c r="A25" s="1188" t="s">
        <v>7446</v>
      </c>
      <c r="B25" s="1185"/>
      <c r="C25" s="1282"/>
      <c r="D25" s="1282"/>
      <c r="E25" s="1282"/>
      <c r="F25" s="1282"/>
      <c r="G25" s="1282"/>
      <c r="H25" s="1282"/>
      <c r="I25" s="1282"/>
      <c r="J25" s="1282"/>
      <c r="K25" s="1282"/>
      <c r="L25" s="1282"/>
      <c r="M25" s="1282"/>
      <c r="N25" s="1282"/>
      <c r="O25" s="1282"/>
      <c r="P25" s="1282"/>
      <c r="Q25" s="1282"/>
      <c r="R25" s="1282"/>
      <c r="S25" s="1282"/>
      <c r="T25" s="1282"/>
      <c r="U25" s="1282"/>
      <c r="V25" s="1282"/>
      <c r="W25" s="1282"/>
      <c r="X25" s="1282"/>
      <c r="Y25" s="1282"/>
      <c r="Z25" s="1282"/>
    </row>
    <row r="26">
      <c r="A26" s="1188" t="s">
        <v>7447</v>
      </c>
      <c r="B26" s="1185"/>
      <c r="C26" s="1282"/>
      <c r="D26" s="1282"/>
      <c r="E26" s="1282"/>
      <c r="F26" s="1282"/>
      <c r="G26" s="1282"/>
      <c r="H26" s="1282"/>
      <c r="I26" s="1282"/>
      <c r="J26" s="1282"/>
      <c r="K26" s="1282"/>
      <c r="L26" s="1282"/>
      <c r="M26" s="1282"/>
      <c r="N26" s="1282"/>
      <c r="O26" s="1282"/>
      <c r="P26" s="1282"/>
      <c r="Q26" s="1282"/>
      <c r="R26" s="1282"/>
      <c r="S26" s="1282"/>
      <c r="T26" s="1282"/>
      <c r="U26" s="1282"/>
      <c r="V26" s="1282"/>
      <c r="W26" s="1282"/>
      <c r="X26" s="1282"/>
      <c r="Y26" s="1282"/>
      <c r="Z26" s="1282"/>
    </row>
    <row r="27">
      <c r="A27" s="1188" t="s">
        <v>7448</v>
      </c>
      <c r="B27" s="1185"/>
      <c r="C27" s="1282"/>
      <c r="D27" s="1282"/>
      <c r="E27" s="1282"/>
      <c r="F27" s="1282"/>
      <c r="G27" s="1282"/>
      <c r="H27" s="1282"/>
      <c r="I27" s="1282"/>
      <c r="J27" s="1282"/>
      <c r="K27" s="1282"/>
      <c r="L27" s="1282"/>
      <c r="M27" s="1282"/>
      <c r="N27" s="1282"/>
      <c r="O27" s="1282"/>
      <c r="P27" s="1282"/>
      <c r="Q27" s="1282"/>
      <c r="R27" s="1282"/>
      <c r="S27" s="1282"/>
      <c r="T27" s="1282"/>
      <c r="U27" s="1282"/>
      <c r="V27" s="1282"/>
      <c r="W27" s="1282"/>
      <c r="X27" s="1282"/>
      <c r="Y27" s="1282"/>
      <c r="Z27" s="1282"/>
    </row>
    <row r="28">
      <c r="A28" s="1188" t="s">
        <v>7449</v>
      </c>
      <c r="B28" s="1185"/>
      <c r="C28" s="1282"/>
      <c r="D28" s="1282"/>
      <c r="E28" s="1282"/>
      <c r="F28" s="1282"/>
      <c r="G28" s="1282"/>
      <c r="H28" s="1282"/>
      <c r="I28" s="1282"/>
      <c r="J28" s="1282"/>
      <c r="K28" s="1282"/>
      <c r="L28" s="1282"/>
      <c r="M28" s="1282"/>
      <c r="N28" s="1282"/>
      <c r="O28" s="1282"/>
      <c r="P28" s="1282"/>
      <c r="Q28" s="1282"/>
      <c r="R28" s="1282"/>
      <c r="S28" s="1282"/>
      <c r="T28" s="1282"/>
      <c r="U28" s="1282"/>
      <c r="V28" s="1282"/>
      <c r="W28" s="1282"/>
      <c r="X28" s="1282"/>
      <c r="Y28" s="1282"/>
      <c r="Z28" s="1282"/>
    </row>
    <row r="29">
      <c r="A29" s="1188" t="s">
        <v>7450</v>
      </c>
      <c r="B29" s="1185"/>
      <c r="C29" s="1282"/>
      <c r="D29" s="1282"/>
      <c r="E29" s="1282"/>
      <c r="F29" s="1282"/>
      <c r="G29" s="1282"/>
      <c r="H29" s="1282"/>
      <c r="I29" s="1282"/>
      <c r="J29" s="1282"/>
      <c r="K29" s="1282"/>
      <c r="L29" s="1282"/>
      <c r="M29" s="1282"/>
      <c r="N29" s="1282"/>
      <c r="O29" s="1282"/>
      <c r="P29" s="1282"/>
      <c r="Q29" s="1282"/>
      <c r="R29" s="1282"/>
      <c r="S29" s="1282"/>
      <c r="T29" s="1282"/>
      <c r="U29" s="1282"/>
      <c r="V29" s="1282"/>
      <c r="W29" s="1282"/>
      <c r="X29" s="1282"/>
      <c r="Y29" s="1282"/>
      <c r="Z29" s="1282"/>
    </row>
    <row r="30">
      <c r="A30" s="1188" t="s">
        <v>7451</v>
      </c>
      <c r="B30" s="1185"/>
      <c r="C30" s="1282"/>
      <c r="D30" s="1282"/>
      <c r="E30" s="1282"/>
      <c r="F30" s="1282"/>
      <c r="G30" s="1282"/>
      <c r="H30" s="1282"/>
      <c r="I30" s="1282"/>
      <c r="J30" s="1282"/>
      <c r="K30" s="1282"/>
      <c r="L30" s="1282"/>
      <c r="M30" s="1282"/>
      <c r="N30" s="1282"/>
      <c r="O30" s="1282"/>
      <c r="P30" s="1282"/>
      <c r="Q30" s="1282"/>
      <c r="R30" s="1282"/>
      <c r="S30" s="1282"/>
      <c r="T30" s="1282"/>
      <c r="U30" s="1282"/>
      <c r="V30" s="1282"/>
      <c r="W30" s="1282"/>
      <c r="X30" s="1282"/>
      <c r="Y30" s="1282"/>
      <c r="Z30" s="1282"/>
    </row>
    <row r="31">
      <c r="A31" s="1188" t="s">
        <v>7452</v>
      </c>
      <c r="B31" s="1185"/>
      <c r="C31" s="1282"/>
      <c r="D31" s="1282"/>
      <c r="E31" s="1282"/>
      <c r="F31" s="1282"/>
      <c r="G31" s="1282"/>
      <c r="H31" s="1282"/>
      <c r="I31" s="1282"/>
      <c r="J31" s="1282"/>
      <c r="K31" s="1282"/>
      <c r="L31" s="1282"/>
      <c r="M31" s="1282"/>
      <c r="N31" s="1282"/>
      <c r="O31" s="1282"/>
      <c r="P31" s="1282"/>
      <c r="Q31" s="1282"/>
      <c r="R31" s="1282"/>
      <c r="S31" s="1282"/>
      <c r="T31" s="1282"/>
      <c r="U31" s="1282"/>
      <c r="V31" s="1282"/>
      <c r="W31" s="1282"/>
      <c r="X31" s="1282"/>
      <c r="Y31" s="1282"/>
      <c r="Z31" s="1282"/>
    </row>
    <row r="32">
      <c r="A32" s="1188" t="s">
        <v>7453</v>
      </c>
      <c r="B32" s="1185"/>
      <c r="C32" s="1282"/>
      <c r="D32" s="1282"/>
      <c r="E32" s="1282"/>
      <c r="F32" s="1282"/>
      <c r="G32" s="1282"/>
      <c r="H32" s="1282"/>
      <c r="I32" s="1282"/>
      <c r="J32" s="1282"/>
      <c r="K32" s="1282"/>
      <c r="L32" s="1282"/>
      <c r="M32" s="1282"/>
      <c r="N32" s="1282"/>
      <c r="O32" s="1282"/>
      <c r="P32" s="1282"/>
      <c r="Q32" s="1282"/>
      <c r="R32" s="1282"/>
      <c r="S32" s="1282"/>
      <c r="T32" s="1282"/>
      <c r="U32" s="1282"/>
      <c r="V32" s="1282"/>
      <c r="W32" s="1282"/>
      <c r="X32" s="1282"/>
      <c r="Y32" s="1282"/>
      <c r="Z32" s="1282"/>
    </row>
    <row r="33">
      <c r="A33" s="1188" t="s">
        <v>7454</v>
      </c>
      <c r="B33" s="1188"/>
      <c r="C33" s="1282"/>
      <c r="D33" s="1282"/>
      <c r="E33" s="1282"/>
      <c r="F33" s="1282"/>
      <c r="G33" s="1282"/>
      <c r="H33" s="1282"/>
      <c r="I33" s="1282"/>
      <c r="J33" s="1282"/>
      <c r="K33" s="1282"/>
      <c r="L33" s="1282"/>
      <c r="M33" s="1282"/>
      <c r="N33" s="1282"/>
      <c r="O33" s="1282"/>
      <c r="P33" s="1282"/>
      <c r="Q33" s="1282"/>
      <c r="R33" s="1282"/>
      <c r="S33" s="1282"/>
      <c r="T33" s="1282"/>
      <c r="U33" s="1282"/>
      <c r="V33" s="1282"/>
      <c r="W33" s="1282"/>
      <c r="X33" s="1282"/>
      <c r="Y33" s="1282"/>
      <c r="Z33" s="1282"/>
    </row>
    <row r="34">
      <c r="A34" s="1188" t="s">
        <v>7455</v>
      </c>
      <c r="B34" s="1185"/>
      <c r="C34" s="1282"/>
      <c r="D34" s="1282"/>
      <c r="E34" s="1282"/>
      <c r="F34" s="1282"/>
      <c r="G34" s="1282"/>
      <c r="H34" s="1282"/>
      <c r="I34" s="1282"/>
      <c r="J34" s="1282"/>
      <c r="K34" s="1282"/>
      <c r="L34" s="1282"/>
      <c r="M34" s="1282"/>
      <c r="N34" s="1282"/>
      <c r="O34" s="1282"/>
      <c r="P34" s="1282"/>
      <c r="Q34" s="1282"/>
      <c r="R34" s="1282"/>
      <c r="S34" s="1282"/>
      <c r="T34" s="1282"/>
      <c r="U34" s="1282"/>
      <c r="V34" s="1282"/>
      <c r="W34" s="1282"/>
      <c r="X34" s="1282"/>
      <c r="Y34" s="1282"/>
      <c r="Z34" s="1282"/>
    </row>
    <row r="35">
      <c r="A35" s="1188" t="s">
        <v>7456</v>
      </c>
      <c r="B35" s="1185"/>
      <c r="C35" s="1282"/>
      <c r="D35" s="1282"/>
      <c r="E35" s="1282"/>
      <c r="F35" s="1282"/>
      <c r="G35" s="1282"/>
      <c r="H35" s="1282"/>
      <c r="I35" s="1282"/>
      <c r="J35" s="1282"/>
      <c r="K35" s="1282"/>
      <c r="L35" s="1282"/>
      <c r="M35" s="1282"/>
      <c r="N35" s="1282"/>
      <c r="O35" s="1282"/>
      <c r="P35" s="1282"/>
      <c r="Q35" s="1282"/>
      <c r="R35" s="1282"/>
      <c r="S35" s="1282"/>
      <c r="T35" s="1282"/>
      <c r="U35" s="1282"/>
      <c r="V35" s="1282"/>
      <c r="W35" s="1282"/>
      <c r="X35" s="1282"/>
      <c r="Y35" s="1282"/>
      <c r="Z35" s="1282"/>
    </row>
    <row r="36">
      <c r="A36" s="1188" t="s">
        <v>7457</v>
      </c>
      <c r="B36" s="1185"/>
      <c r="C36" s="1282"/>
      <c r="D36" s="1282"/>
      <c r="E36" s="1282"/>
      <c r="F36" s="1282"/>
      <c r="G36" s="1282"/>
      <c r="H36" s="1282"/>
      <c r="I36" s="1282"/>
      <c r="J36" s="1282"/>
      <c r="K36" s="1282"/>
      <c r="L36" s="1282"/>
      <c r="M36" s="1282"/>
      <c r="N36" s="1282"/>
      <c r="O36" s="1282"/>
      <c r="P36" s="1282"/>
      <c r="Q36" s="1282"/>
      <c r="R36" s="1282"/>
      <c r="S36" s="1282"/>
      <c r="T36" s="1282"/>
      <c r="U36" s="1282"/>
      <c r="V36" s="1282"/>
      <c r="W36" s="1282"/>
      <c r="X36" s="1282"/>
      <c r="Y36" s="1282"/>
      <c r="Z36" s="1282"/>
    </row>
    <row r="37">
      <c r="A37" s="1188" t="s">
        <v>7458</v>
      </c>
      <c r="B37" s="1185"/>
      <c r="C37" s="1282"/>
      <c r="D37" s="1282"/>
      <c r="E37" s="1282"/>
      <c r="F37" s="1282"/>
      <c r="G37" s="1282"/>
      <c r="H37" s="1282"/>
      <c r="I37" s="1282"/>
      <c r="J37" s="1282"/>
      <c r="K37" s="1282"/>
      <c r="L37" s="1282"/>
      <c r="M37" s="1282"/>
      <c r="N37" s="1282"/>
      <c r="O37" s="1282"/>
      <c r="P37" s="1282"/>
      <c r="Q37" s="1282"/>
      <c r="R37" s="1282"/>
      <c r="S37" s="1282"/>
      <c r="T37" s="1282"/>
      <c r="U37" s="1282"/>
      <c r="V37" s="1282"/>
      <c r="W37" s="1282"/>
      <c r="X37" s="1282"/>
      <c r="Y37" s="1282"/>
      <c r="Z37" s="1282"/>
    </row>
    <row r="38">
      <c r="A38" s="1188" t="s">
        <v>7459</v>
      </c>
      <c r="B38" s="1185"/>
      <c r="C38" s="1282"/>
      <c r="D38" s="1282"/>
      <c r="E38" s="1282"/>
      <c r="F38" s="1282"/>
      <c r="G38" s="1282"/>
      <c r="H38" s="1282"/>
      <c r="I38" s="1282"/>
      <c r="J38" s="1282"/>
      <c r="K38" s="1282"/>
      <c r="L38" s="1282"/>
      <c r="M38" s="1282"/>
      <c r="N38" s="1282"/>
      <c r="O38" s="1282"/>
      <c r="P38" s="1282"/>
      <c r="Q38" s="1282"/>
      <c r="R38" s="1282"/>
      <c r="S38" s="1282"/>
      <c r="T38" s="1282"/>
      <c r="U38" s="1282"/>
      <c r="V38" s="1282"/>
      <c r="W38" s="1282"/>
      <c r="X38" s="1282"/>
      <c r="Y38" s="1282"/>
      <c r="Z38" s="1282"/>
    </row>
    <row r="39">
      <c r="A39" s="1188" t="s">
        <v>7460</v>
      </c>
      <c r="B39" s="1188"/>
      <c r="C39" s="1282"/>
      <c r="D39" s="1282"/>
      <c r="E39" s="1282"/>
      <c r="F39" s="1282"/>
      <c r="G39" s="1282"/>
      <c r="H39" s="1282"/>
      <c r="I39" s="1282"/>
      <c r="J39" s="1282"/>
      <c r="K39" s="1282"/>
      <c r="L39" s="1282"/>
      <c r="M39" s="1282"/>
      <c r="N39" s="1282"/>
      <c r="O39" s="1282"/>
      <c r="P39" s="1282"/>
      <c r="Q39" s="1282"/>
      <c r="R39" s="1282"/>
      <c r="S39" s="1282"/>
      <c r="T39" s="1282"/>
      <c r="U39" s="1282"/>
      <c r="V39" s="1282"/>
      <c r="W39" s="1282"/>
      <c r="X39" s="1282"/>
      <c r="Y39" s="1282"/>
      <c r="Z39" s="1282"/>
    </row>
    <row r="40">
      <c r="A40" s="1188" t="s">
        <v>7461</v>
      </c>
      <c r="B40" s="1185"/>
      <c r="C40" s="1282"/>
      <c r="D40" s="1282"/>
      <c r="E40" s="1282"/>
      <c r="F40" s="1282"/>
      <c r="G40" s="1282"/>
      <c r="H40" s="1282"/>
      <c r="I40" s="1282"/>
      <c r="J40" s="1282"/>
      <c r="K40" s="1282"/>
      <c r="L40" s="1282"/>
      <c r="M40" s="1282"/>
      <c r="N40" s="1282"/>
      <c r="O40" s="1282"/>
      <c r="P40" s="1282"/>
      <c r="Q40" s="1282"/>
      <c r="R40" s="1282"/>
      <c r="S40" s="1282"/>
      <c r="T40" s="1282"/>
      <c r="U40" s="1282"/>
      <c r="V40" s="1282"/>
      <c r="W40" s="1282"/>
      <c r="X40" s="1282"/>
      <c r="Y40" s="1282"/>
      <c r="Z40" s="1282"/>
    </row>
    <row r="41">
      <c r="A41" s="1188" t="s">
        <v>7462</v>
      </c>
      <c r="B41" s="1185"/>
      <c r="C41" s="1282"/>
      <c r="D41" s="1282"/>
      <c r="E41" s="1282"/>
      <c r="F41" s="1282"/>
      <c r="G41" s="1282"/>
      <c r="H41" s="1282"/>
      <c r="I41" s="1282"/>
      <c r="J41" s="1282"/>
      <c r="K41" s="1282"/>
      <c r="L41" s="1282"/>
      <c r="M41" s="1282"/>
      <c r="N41" s="1282"/>
      <c r="O41" s="1282"/>
      <c r="P41" s="1282"/>
      <c r="Q41" s="1282"/>
      <c r="R41" s="1282"/>
      <c r="S41" s="1282"/>
      <c r="T41" s="1282"/>
      <c r="U41" s="1282"/>
      <c r="V41" s="1282"/>
      <c r="W41" s="1282"/>
      <c r="X41" s="1282"/>
      <c r="Y41" s="1282"/>
      <c r="Z41" s="1282"/>
    </row>
    <row r="42">
      <c r="A42" s="1188" t="s">
        <v>7463</v>
      </c>
      <c r="B42" s="1185"/>
      <c r="C42" s="1282"/>
      <c r="D42" s="1282"/>
      <c r="E42" s="1282"/>
      <c r="F42" s="1282"/>
      <c r="G42" s="1282"/>
      <c r="H42" s="1282"/>
      <c r="I42" s="1282"/>
      <c r="J42" s="1282"/>
      <c r="K42" s="1282"/>
      <c r="L42" s="1282"/>
      <c r="M42" s="1282"/>
      <c r="N42" s="1282"/>
      <c r="O42" s="1282"/>
      <c r="P42" s="1282"/>
      <c r="Q42" s="1282"/>
      <c r="R42" s="1282"/>
      <c r="S42" s="1282"/>
      <c r="T42" s="1282"/>
      <c r="U42" s="1282"/>
      <c r="V42" s="1282"/>
      <c r="W42" s="1282"/>
      <c r="X42" s="1282"/>
      <c r="Y42" s="1282"/>
      <c r="Z42" s="1282"/>
    </row>
    <row r="43">
      <c r="A43" s="1188" t="s">
        <v>7464</v>
      </c>
      <c r="B43" s="1185"/>
      <c r="C43" s="1282"/>
      <c r="D43" s="1282"/>
      <c r="E43" s="1282"/>
      <c r="F43" s="1282"/>
      <c r="G43" s="1282"/>
      <c r="H43" s="1282"/>
      <c r="I43" s="1282"/>
      <c r="J43" s="1282"/>
      <c r="K43" s="1282"/>
      <c r="L43" s="1282"/>
      <c r="M43" s="1282"/>
      <c r="N43" s="1282"/>
      <c r="O43" s="1282"/>
      <c r="P43" s="1282"/>
      <c r="Q43" s="1282"/>
      <c r="R43" s="1282"/>
      <c r="S43" s="1282"/>
      <c r="T43" s="1282"/>
      <c r="U43" s="1282"/>
      <c r="V43" s="1282"/>
      <c r="W43" s="1282"/>
      <c r="X43" s="1282"/>
      <c r="Y43" s="1282"/>
      <c r="Z43" s="1282"/>
    </row>
    <row r="44">
      <c r="A44" s="1188" t="s">
        <v>7465</v>
      </c>
      <c r="B44" s="1185"/>
      <c r="C44" s="1282"/>
      <c r="D44" s="1282"/>
      <c r="E44" s="1282"/>
      <c r="F44" s="1282"/>
      <c r="G44" s="1282"/>
      <c r="H44" s="1282"/>
      <c r="I44" s="1282"/>
      <c r="J44" s="1282"/>
      <c r="K44" s="1282"/>
      <c r="L44" s="1282"/>
      <c r="M44" s="1282"/>
      <c r="N44" s="1282"/>
      <c r="O44" s="1282"/>
      <c r="P44" s="1282"/>
      <c r="Q44" s="1282"/>
      <c r="R44" s="1282"/>
      <c r="S44" s="1282"/>
      <c r="T44" s="1282"/>
      <c r="U44" s="1282"/>
      <c r="V44" s="1282"/>
      <c r="W44" s="1282"/>
      <c r="X44" s="1282"/>
      <c r="Y44" s="1282"/>
      <c r="Z44" s="1282"/>
    </row>
    <row r="45">
      <c r="A45" s="1188" t="s">
        <v>7466</v>
      </c>
      <c r="B45" s="1185"/>
      <c r="C45" s="1282"/>
      <c r="D45" s="1282"/>
      <c r="E45" s="1282"/>
      <c r="F45" s="1282"/>
      <c r="G45" s="1282"/>
      <c r="H45" s="1282"/>
      <c r="I45" s="1282"/>
      <c r="J45" s="1282"/>
      <c r="K45" s="1282"/>
      <c r="L45" s="1282"/>
      <c r="M45" s="1282"/>
      <c r="N45" s="1282"/>
      <c r="O45" s="1282"/>
      <c r="P45" s="1282"/>
      <c r="Q45" s="1282"/>
      <c r="R45" s="1282"/>
      <c r="S45" s="1282"/>
      <c r="T45" s="1282"/>
      <c r="U45" s="1282"/>
      <c r="V45" s="1282"/>
      <c r="W45" s="1282"/>
      <c r="X45" s="1282"/>
      <c r="Y45" s="1282"/>
      <c r="Z45" s="1282"/>
    </row>
    <row r="46">
      <c r="A46" s="1188" t="s">
        <v>7467</v>
      </c>
      <c r="B46" s="1185"/>
      <c r="C46" s="1282"/>
      <c r="D46" s="1282"/>
      <c r="E46" s="1282"/>
      <c r="F46" s="1282"/>
      <c r="G46" s="1282"/>
      <c r="H46" s="1282"/>
      <c r="I46" s="1282"/>
      <c r="J46" s="1282"/>
      <c r="K46" s="1282"/>
      <c r="L46" s="1282"/>
      <c r="M46" s="1282"/>
      <c r="N46" s="1282"/>
      <c r="O46" s="1282"/>
      <c r="P46" s="1282"/>
      <c r="Q46" s="1282"/>
      <c r="R46" s="1282"/>
      <c r="S46" s="1282"/>
      <c r="T46" s="1282"/>
      <c r="U46" s="1282"/>
      <c r="V46" s="1282"/>
      <c r="W46" s="1282"/>
      <c r="X46" s="1282"/>
      <c r="Y46" s="1282"/>
      <c r="Z46" s="1282"/>
    </row>
    <row r="47">
      <c r="A47" s="1854" t="s">
        <v>7468</v>
      </c>
      <c r="B47" s="1855"/>
      <c r="C47" s="1282"/>
      <c r="D47" s="1282"/>
      <c r="E47" s="1282"/>
      <c r="F47" s="1282"/>
      <c r="G47" s="1282"/>
      <c r="H47" s="1282"/>
      <c r="I47" s="1282"/>
      <c r="J47" s="1282"/>
      <c r="K47" s="1282"/>
      <c r="L47" s="1282"/>
      <c r="M47" s="1282"/>
      <c r="N47" s="1282"/>
      <c r="O47" s="1282"/>
      <c r="P47" s="1282"/>
      <c r="Q47" s="1282"/>
      <c r="R47" s="1282"/>
      <c r="S47" s="1282"/>
      <c r="T47" s="1282"/>
      <c r="U47" s="1282"/>
      <c r="V47" s="1282"/>
      <c r="W47" s="1282"/>
      <c r="X47" s="1282"/>
      <c r="Y47" s="1282"/>
      <c r="Z47" s="1282"/>
    </row>
    <row r="48">
      <c r="A48" s="1188" t="s">
        <v>7469</v>
      </c>
      <c r="B48" s="1185"/>
      <c r="C48" s="1282"/>
      <c r="D48" s="1282"/>
      <c r="E48" s="1282"/>
      <c r="F48" s="1282"/>
      <c r="G48" s="1282"/>
      <c r="H48" s="1282"/>
      <c r="I48" s="1282"/>
      <c r="J48" s="1282"/>
      <c r="K48" s="1282"/>
      <c r="L48" s="1282"/>
      <c r="M48" s="1282"/>
      <c r="N48" s="1282"/>
      <c r="O48" s="1282"/>
      <c r="P48" s="1282"/>
      <c r="Q48" s="1282"/>
      <c r="R48" s="1282"/>
      <c r="S48" s="1282"/>
      <c r="T48" s="1282"/>
      <c r="U48" s="1282"/>
      <c r="V48" s="1282"/>
      <c r="W48" s="1282"/>
      <c r="X48" s="1282"/>
      <c r="Y48" s="1282"/>
      <c r="Z48" s="1282"/>
    </row>
    <row r="49">
      <c r="A49" s="1188" t="s">
        <v>7470</v>
      </c>
      <c r="B49" s="1185"/>
      <c r="C49" s="1282"/>
      <c r="D49" s="1282"/>
      <c r="E49" s="1282"/>
      <c r="F49" s="1282"/>
      <c r="G49" s="1282"/>
      <c r="H49" s="1282"/>
      <c r="I49" s="1282"/>
      <c r="J49" s="1282"/>
      <c r="K49" s="1282"/>
      <c r="L49" s="1282"/>
      <c r="M49" s="1282"/>
      <c r="N49" s="1282"/>
      <c r="O49" s="1282"/>
      <c r="P49" s="1282"/>
      <c r="Q49" s="1282"/>
      <c r="R49" s="1282"/>
      <c r="S49" s="1282"/>
      <c r="T49" s="1282"/>
      <c r="U49" s="1282"/>
      <c r="V49" s="1282"/>
      <c r="W49" s="1282"/>
      <c r="X49" s="1282"/>
      <c r="Y49" s="1282"/>
      <c r="Z49" s="1282"/>
    </row>
    <row r="50">
      <c r="A50" s="1188" t="s">
        <v>7471</v>
      </c>
      <c r="B50" s="1185"/>
      <c r="C50" s="1282"/>
      <c r="D50" s="1282"/>
      <c r="E50" s="1282"/>
      <c r="F50" s="1282"/>
      <c r="G50" s="1282"/>
      <c r="H50" s="1282"/>
      <c r="I50" s="1282"/>
      <c r="J50" s="1282"/>
      <c r="K50" s="1282"/>
      <c r="L50" s="1282"/>
      <c r="M50" s="1282"/>
      <c r="N50" s="1282"/>
      <c r="O50" s="1282"/>
      <c r="P50" s="1282"/>
      <c r="Q50" s="1282"/>
      <c r="R50" s="1282"/>
      <c r="S50" s="1282"/>
      <c r="T50" s="1282"/>
      <c r="U50" s="1282"/>
      <c r="V50" s="1282"/>
      <c r="W50" s="1282"/>
      <c r="X50" s="1282"/>
      <c r="Y50" s="1282"/>
      <c r="Z50" s="1282"/>
    </row>
    <row r="51">
      <c r="A51" s="1282"/>
      <c r="B51" s="1282"/>
      <c r="C51" s="1282"/>
      <c r="D51" s="1282"/>
      <c r="E51" s="1282"/>
      <c r="F51" s="1282"/>
      <c r="G51" s="1282"/>
      <c r="H51" s="1282"/>
      <c r="I51" s="1282"/>
      <c r="J51" s="1282"/>
      <c r="K51" s="1282"/>
      <c r="L51" s="1282"/>
      <c r="M51" s="1282"/>
      <c r="N51" s="1282"/>
      <c r="O51" s="1282"/>
      <c r="P51" s="1282"/>
      <c r="Q51" s="1282"/>
      <c r="R51" s="1282"/>
      <c r="S51" s="1282"/>
      <c r="T51" s="1282"/>
      <c r="U51" s="1282"/>
      <c r="V51" s="1282"/>
      <c r="W51" s="1282"/>
      <c r="X51" s="1282"/>
      <c r="Y51" s="1282"/>
      <c r="Z51" s="1282"/>
    </row>
    <row r="52">
      <c r="A52" s="1282"/>
      <c r="B52" s="1282"/>
      <c r="C52" s="1282"/>
      <c r="D52" s="1282"/>
      <c r="E52" s="1282"/>
      <c r="F52" s="1282"/>
      <c r="G52" s="1282"/>
      <c r="H52" s="1282"/>
      <c r="I52" s="1282"/>
      <c r="J52" s="1282"/>
      <c r="K52" s="1282"/>
      <c r="L52" s="1282"/>
      <c r="M52" s="1282"/>
      <c r="N52" s="1282"/>
      <c r="O52" s="1282"/>
      <c r="P52" s="1282"/>
      <c r="Q52" s="1282"/>
      <c r="R52" s="1282"/>
      <c r="S52" s="1282"/>
      <c r="T52" s="1282"/>
      <c r="U52" s="1282"/>
      <c r="V52" s="1282"/>
      <c r="W52" s="1282"/>
      <c r="X52" s="1282"/>
      <c r="Y52" s="1282"/>
      <c r="Z52" s="1282"/>
    </row>
    <row r="53">
      <c r="A53" s="1282"/>
      <c r="B53" s="1282"/>
      <c r="C53" s="1282"/>
      <c r="D53" s="1282"/>
      <c r="E53" s="1282"/>
      <c r="F53" s="1282"/>
      <c r="G53" s="1282"/>
      <c r="H53" s="1282"/>
      <c r="I53" s="1282"/>
      <c r="J53" s="1282"/>
      <c r="K53" s="1282"/>
      <c r="L53" s="1282"/>
      <c r="M53" s="1282"/>
      <c r="N53" s="1282"/>
      <c r="O53" s="1282"/>
      <c r="P53" s="1282"/>
      <c r="Q53" s="1282"/>
      <c r="R53" s="1282"/>
      <c r="S53" s="1282"/>
      <c r="T53" s="1282"/>
      <c r="U53" s="1282"/>
      <c r="V53" s="1282"/>
      <c r="W53" s="1282"/>
      <c r="X53" s="1282"/>
      <c r="Y53" s="1282"/>
      <c r="Z53" s="1282"/>
    </row>
    <row r="54">
      <c r="A54" s="1282"/>
      <c r="B54" s="1282"/>
      <c r="C54" s="1282"/>
      <c r="D54" s="1282"/>
      <c r="E54" s="1282"/>
      <c r="F54" s="1282"/>
      <c r="G54" s="1282"/>
      <c r="H54" s="1282"/>
      <c r="I54" s="1282"/>
      <c r="J54" s="1282"/>
      <c r="K54" s="1282"/>
      <c r="L54" s="1282"/>
      <c r="M54" s="1282"/>
      <c r="N54" s="1282"/>
      <c r="O54" s="1282"/>
      <c r="P54" s="1282"/>
      <c r="Q54" s="1282"/>
      <c r="R54" s="1282"/>
      <c r="S54" s="1282"/>
      <c r="T54" s="1282"/>
      <c r="U54" s="1282"/>
      <c r="V54" s="1282"/>
      <c r="W54" s="1282"/>
      <c r="X54" s="1282"/>
      <c r="Y54" s="1282"/>
      <c r="Z54" s="1282"/>
    </row>
    <row r="55">
      <c r="A55" s="1282"/>
      <c r="B55" s="1282"/>
      <c r="C55" s="1282"/>
      <c r="D55" s="1282"/>
      <c r="E55" s="1282"/>
      <c r="F55" s="1282"/>
      <c r="G55" s="1282"/>
      <c r="H55" s="1282"/>
      <c r="I55" s="1282"/>
      <c r="J55" s="1282"/>
      <c r="K55" s="1282"/>
      <c r="L55" s="1282"/>
      <c r="M55" s="1282"/>
      <c r="N55" s="1282"/>
      <c r="O55" s="1282"/>
      <c r="P55" s="1282"/>
      <c r="Q55" s="1282"/>
      <c r="R55" s="1282"/>
      <c r="S55" s="1282"/>
      <c r="T55" s="1282"/>
      <c r="U55" s="1282"/>
      <c r="V55" s="1282"/>
      <c r="W55" s="1282"/>
      <c r="X55" s="1282"/>
      <c r="Y55" s="1282"/>
      <c r="Z55" s="1282"/>
    </row>
    <row r="56">
      <c r="A56" s="1282"/>
      <c r="B56" s="1282"/>
      <c r="C56" s="1282"/>
      <c r="D56" s="1282"/>
      <c r="E56" s="1282"/>
      <c r="F56" s="1282"/>
      <c r="G56" s="1282"/>
      <c r="H56" s="1282"/>
      <c r="I56" s="1282"/>
      <c r="J56" s="1282"/>
      <c r="K56" s="1282"/>
      <c r="L56" s="1282"/>
      <c r="M56" s="1282"/>
      <c r="N56" s="1282"/>
      <c r="O56" s="1282"/>
      <c r="P56" s="1282"/>
      <c r="Q56" s="1282"/>
      <c r="R56" s="1282"/>
      <c r="S56" s="1282"/>
      <c r="T56" s="1282"/>
      <c r="U56" s="1282"/>
      <c r="V56" s="1282"/>
      <c r="W56" s="1282"/>
      <c r="X56" s="1282"/>
      <c r="Y56" s="1282"/>
      <c r="Z56" s="1282"/>
    </row>
    <row r="57">
      <c r="A57" s="1282"/>
      <c r="B57" s="1282"/>
      <c r="C57" s="1282"/>
      <c r="D57" s="1282"/>
      <c r="E57" s="1282"/>
      <c r="F57" s="1282"/>
      <c r="G57" s="1282"/>
      <c r="H57" s="1282"/>
      <c r="I57" s="1282"/>
      <c r="J57" s="1282"/>
      <c r="K57" s="1282"/>
      <c r="L57" s="1282"/>
      <c r="M57" s="1282"/>
      <c r="N57" s="1282"/>
      <c r="O57" s="1282"/>
      <c r="P57" s="1282"/>
      <c r="Q57" s="1282"/>
      <c r="R57" s="1282"/>
      <c r="S57" s="1282"/>
      <c r="T57" s="1282"/>
      <c r="U57" s="1282"/>
      <c r="V57" s="1282"/>
      <c r="W57" s="1282"/>
      <c r="X57" s="1282"/>
      <c r="Y57" s="1282"/>
      <c r="Z57" s="1282"/>
    </row>
    <row r="58">
      <c r="A58" s="1282"/>
      <c r="B58" s="1282"/>
      <c r="C58" s="1282"/>
      <c r="D58" s="1282"/>
      <c r="E58" s="1282"/>
      <c r="F58" s="1282"/>
      <c r="G58" s="1282"/>
      <c r="H58" s="1282"/>
      <c r="I58" s="1282"/>
      <c r="J58" s="1282"/>
      <c r="K58" s="1282"/>
      <c r="L58" s="1282"/>
      <c r="M58" s="1282"/>
      <c r="N58" s="1282"/>
      <c r="O58" s="1282"/>
      <c r="P58" s="1282"/>
      <c r="Q58" s="1282"/>
      <c r="R58" s="1282"/>
      <c r="S58" s="1282"/>
      <c r="T58" s="1282"/>
      <c r="U58" s="1282"/>
      <c r="V58" s="1282"/>
      <c r="W58" s="1282"/>
      <c r="X58" s="1282"/>
      <c r="Y58" s="1282"/>
      <c r="Z58" s="1282"/>
    </row>
    <row r="59">
      <c r="A59" s="1282"/>
      <c r="B59" s="1282"/>
      <c r="C59" s="1282"/>
      <c r="D59" s="1282"/>
      <c r="E59" s="1282"/>
      <c r="F59" s="1282"/>
      <c r="G59" s="1282"/>
      <c r="H59" s="1282"/>
      <c r="I59" s="1282"/>
      <c r="J59" s="1282"/>
      <c r="K59" s="1282"/>
      <c r="L59" s="1282"/>
      <c r="M59" s="1282"/>
      <c r="N59" s="1282"/>
      <c r="O59" s="1282"/>
      <c r="P59" s="1282"/>
      <c r="Q59" s="1282"/>
      <c r="R59" s="1282"/>
      <c r="S59" s="1282"/>
      <c r="T59" s="1282"/>
      <c r="U59" s="1282"/>
      <c r="V59" s="1282"/>
      <c r="W59" s="1282"/>
      <c r="X59" s="1282"/>
      <c r="Y59" s="1282"/>
      <c r="Z59" s="1282"/>
    </row>
    <row r="60">
      <c r="A60" s="1282"/>
      <c r="B60" s="1282"/>
      <c r="C60" s="1282"/>
      <c r="D60" s="1282"/>
      <c r="E60" s="1282"/>
      <c r="F60" s="1282"/>
      <c r="G60" s="1282"/>
      <c r="H60" s="1282"/>
      <c r="I60" s="1282"/>
      <c r="J60" s="1282"/>
      <c r="K60" s="1282"/>
      <c r="L60" s="1282"/>
      <c r="M60" s="1282"/>
      <c r="N60" s="1282"/>
      <c r="O60" s="1282"/>
      <c r="P60" s="1282"/>
      <c r="Q60" s="1282"/>
      <c r="R60" s="1282"/>
      <c r="S60" s="1282"/>
      <c r="T60" s="1282"/>
      <c r="U60" s="1282"/>
      <c r="V60" s="1282"/>
      <c r="W60" s="1282"/>
      <c r="X60" s="1282"/>
      <c r="Y60" s="1282"/>
      <c r="Z60" s="1282"/>
    </row>
    <row r="61">
      <c r="A61" s="1282"/>
      <c r="B61" s="1282"/>
      <c r="C61" s="1282"/>
      <c r="D61" s="1282"/>
      <c r="E61" s="1282"/>
      <c r="F61" s="1282"/>
      <c r="G61" s="1282"/>
      <c r="H61" s="1282"/>
      <c r="I61" s="1282"/>
      <c r="J61" s="1282"/>
      <c r="K61" s="1282"/>
      <c r="L61" s="1282"/>
      <c r="M61" s="1282"/>
      <c r="N61" s="1282"/>
      <c r="O61" s="1282"/>
      <c r="P61" s="1282"/>
      <c r="Q61" s="1282"/>
      <c r="R61" s="1282"/>
      <c r="S61" s="1282"/>
      <c r="T61" s="1282"/>
      <c r="U61" s="1282"/>
      <c r="V61" s="1282"/>
      <c r="W61" s="1282"/>
      <c r="X61" s="1282"/>
      <c r="Y61" s="1282"/>
      <c r="Z61" s="1282"/>
    </row>
    <row r="62">
      <c r="A62" s="1282"/>
      <c r="B62" s="1282"/>
      <c r="C62" s="1282"/>
      <c r="D62" s="1282"/>
      <c r="E62" s="1282"/>
      <c r="F62" s="1282"/>
      <c r="G62" s="1282"/>
      <c r="H62" s="1282"/>
      <c r="I62" s="1282"/>
      <c r="J62" s="1282"/>
      <c r="K62" s="1282"/>
      <c r="L62" s="1282"/>
      <c r="M62" s="1282"/>
      <c r="N62" s="1282"/>
      <c r="O62" s="1282"/>
      <c r="P62" s="1282"/>
      <c r="Q62" s="1282"/>
      <c r="R62" s="1282"/>
      <c r="S62" s="1282"/>
      <c r="T62" s="1282"/>
      <c r="U62" s="1282"/>
      <c r="V62" s="1282"/>
      <c r="W62" s="1282"/>
      <c r="X62" s="1282"/>
      <c r="Y62" s="1282"/>
      <c r="Z62" s="1282"/>
    </row>
    <row r="63">
      <c r="A63" s="1282"/>
      <c r="B63" s="1282"/>
      <c r="C63" s="1282"/>
      <c r="D63" s="1282"/>
      <c r="E63" s="1282"/>
      <c r="F63" s="1282"/>
      <c r="G63" s="1282"/>
      <c r="H63" s="1282"/>
      <c r="I63" s="1282"/>
      <c r="J63" s="1282"/>
      <c r="K63" s="1282"/>
      <c r="L63" s="1282"/>
      <c r="M63" s="1282"/>
      <c r="N63" s="1282"/>
      <c r="O63" s="1282"/>
      <c r="P63" s="1282"/>
      <c r="Q63" s="1282"/>
      <c r="R63" s="1282"/>
      <c r="S63" s="1282"/>
      <c r="T63" s="1282"/>
      <c r="U63" s="1282"/>
      <c r="V63" s="1282"/>
      <c r="W63" s="1282"/>
      <c r="X63" s="1282"/>
      <c r="Y63" s="1282"/>
      <c r="Z63" s="1282"/>
    </row>
    <row r="64">
      <c r="A64" s="1282"/>
      <c r="B64" s="1282"/>
      <c r="C64" s="1282"/>
      <c r="D64" s="1282"/>
      <c r="E64" s="1282"/>
      <c r="F64" s="1282"/>
      <c r="G64" s="1282"/>
      <c r="H64" s="1282"/>
      <c r="I64" s="1282"/>
      <c r="J64" s="1282"/>
      <c r="K64" s="1282"/>
      <c r="L64" s="1282"/>
      <c r="M64" s="1282"/>
      <c r="N64" s="1282"/>
      <c r="O64" s="1282"/>
      <c r="P64" s="1282"/>
      <c r="Q64" s="1282"/>
      <c r="R64" s="1282"/>
      <c r="S64" s="1282"/>
      <c r="T64" s="1282"/>
      <c r="U64" s="1282"/>
      <c r="V64" s="1282"/>
      <c r="W64" s="1282"/>
      <c r="X64" s="1282"/>
      <c r="Y64" s="1282"/>
      <c r="Z64" s="1282"/>
    </row>
    <row r="65">
      <c r="A65" s="1282"/>
      <c r="B65" s="1282"/>
      <c r="C65" s="1282"/>
      <c r="D65" s="1282"/>
      <c r="E65" s="1282"/>
      <c r="F65" s="1282"/>
      <c r="G65" s="1282"/>
      <c r="H65" s="1282"/>
      <c r="I65" s="1282"/>
      <c r="J65" s="1282"/>
      <c r="K65" s="1282"/>
      <c r="L65" s="1282"/>
      <c r="M65" s="1282"/>
      <c r="N65" s="1282"/>
      <c r="O65" s="1282"/>
      <c r="P65" s="1282"/>
      <c r="Q65" s="1282"/>
      <c r="R65" s="1282"/>
      <c r="S65" s="1282"/>
      <c r="T65" s="1282"/>
      <c r="U65" s="1282"/>
      <c r="V65" s="1282"/>
      <c r="W65" s="1282"/>
      <c r="X65" s="1282"/>
      <c r="Y65" s="1282"/>
      <c r="Z65" s="1282"/>
    </row>
    <row r="66">
      <c r="A66" s="1282"/>
      <c r="B66" s="1282"/>
      <c r="C66" s="1282"/>
      <c r="D66" s="1282"/>
      <c r="E66" s="1282"/>
      <c r="F66" s="1282"/>
      <c r="G66" s="1282"/>
      <c r="H66" s="1282"/>
      <c r="I66" s="1282"/>
      <c r="J66" s="1282"/>
      <c r="K66" s="1282"/>
      <c r="L66" s="1282"/>
      <c r="M66" s="1282"/>
      <c r="N66" s="1282"/>
      <c r="O66" s="1282"/>
      <c r="P66" s="1282"/>
      <c r="Q66" s="1282"/>
      <c r="R66" s="1282"/>
      <c r="S66" s="1282"/>
      <c r="T66" s="1282"/>
      <c r="U66" s="1282"/>
      <c r="V66" s="1282"/>
      <c r="W66" s="1282"/>
      <c r="X66" s="1282"/>
      <c r="Y66" s="1282"/>
      <c r="Z66" s="1282"/>
    </row>
    <row r="67">
      <c r="A67" s="1282"/>
      <c r="B67" s="1282"/>
      <c r="C67" s="1282"/>
      <c r="D67" s="1282"/>
      <c r="E67" s="1282"/>
      <c r="F67" s="1282"/>
      <c r="G67" s="1282"/>
      <c r="H67" s="1282"/>
      <c r="I67" s="1282"/>
      <c r="J67" s="1282"/>
      <c r="K67" s="1282"/>
      <c r="L67" s="1282"/>
      <c r="M67" s="1282"/>
      <c r="N67" s="1282"/>
      <c r="O67" s="1282"/>
      <c r="P67" s="1282"/>
      <c r="Q67" s="1282"/>
      <c r="R67" s="1282"/>
      <c r="S67" s="1282"/>
      <c r="T67" s="1282"/>
      <c r="U67" s="1282"/>
      <c r="V67" s="1282"/>
      <c r="W67" s="1282"/>
      <c r="X67" s="1282"/>
      <c r="Y67" s="1282"/>
      <c r="Z67" s="1282"/>
    </row>
    <row r="68">
      <c r="A68" s="1282"/>
      <c r="B68" s="1282"/>
      <c r="C68" s="1282"/>
      <c r="D68" s="1282"/>
      <c r="E68" s="1282"/>
      <c r="F68" s="1282"/>
      <c r="G68" s="1282"/>
      <c r="H68" s="1282"/>
      <c r="I68" s="1282"/>
      <c r="J68" s="1282"/>
      <c r="K68" s="1282"/>
      <c r="L68" s="1282"/>
      <c r="M68" s="1282"/>
      <c r="N68" s="1282"/>
      <c r="O68" s="1282"/>
      <c r="P68" s="1282"/>
      <c r="Q68" s="1282"/>
      <c r="R68" s="1282"/>
      <c r="S68" s="1282"/>
      <c r="T68" s="1282"/>
      <c r="U68" s="1282"/>
      <c r="V68" s="1282"/>
      <c r="W68" s="1282"/>
      <c r="X68" s="1282"/>
      <c r="Y68" s="1282"/>
      <c r="Z68" s="1282"/>
    </row>
    <row r="69">
      <c r="A69" s="1282"/>
      <c r="B69" s="1282"/>
      <c r="C69" s="1282"/>
      <c r="D69" s="1282"/>
      <c r="E69" s="1282"/>
      <c r="F69" s="1282"/>
      <c r="G69" s="1282"/>
      <c r="H69" s="1282"/>
      <c r="I69" s="1282"/>
      <c r="J69" s="1282"/>
      <c r="K69" s="1282"/>
      <c r="L69" s="1282"/>
      <c r="M69" s="1282"/>
      <c r="N69" s="1282"/>
      <c r="O69" s="1282"/>
      <c r="P69" s="1282"/>
      <c r="Q69" s="1282"/>
      <c r="R69" s="1282"/>
      <c r="S69" s="1282"/>
      <c r="T69" s="1282"/>
      <c r="U69" s="1282"/>
      <c r="V69" s="1282"/>
      <c r="W69" s="1282"/>
      <c r="X69" s="1282"/>
      <c r="Y69" s="1282"/>
      <c r="Z69" s="1282"/>
    </row>
    <row r="70">
      <c r="A70" s="1282"/>
      <c r="B70" s="1282"/>
      <c r="C70" s="1282"/>
      <c r="D70" s="1282"/>
      <c r="E70" s="1282"/>
      <c r="F70" s="1282"/>
      <c r="G70" s="1282"/>
      <c r="H70" s="1282"/>
      <c r="I70" s="1282"/>
      <c r="J70" s="1282"/>
      <c r="K70" s="1282"/>
      <c r="L70" s="1282"/>
      <c r="M70" s="1282"/>
      <c r="N70" s="1282"/>
      <c r="O70" s="1282"/>
      <c r="P70" s="1282"/>
      <c r="Q70" s="1282"/>
      <c r="R70" s="1282"/>
      <c r="S70" s="1282"/>
      <c r="T70" s="1282"/>
      <c r="U70" s="1282"/>
      <c r="V70" s="1282"/>
      <c r="W70" s="1282"/>
      <c r="X70" s="1282"/>
      <c r="Y70" s="1282"/>
      <c r="Z70" s="1282"/>
    </row>
    <row r="71">
      <c r="A71" s="1282"/>
      <c r="B71" s="1282"/>
      <c r="C71" s="1282"/>
      <c r="D71" s="1282"/>
      <c r="E71" s="1282"/>
      <c r="F71" s="1282"/>
      <c r="G71" s="1282"/>
      <c r="H71" s="1282"/>
      <c r="I71" s="1282"/>
      <c r="J71" s="1282"/>
      <c r="K71" s="1282"/>
      <c r="L71" s="1282"/>
      <c r="M71" s="1282"/>
      <c r="N71" s="1282"/>
      <c r="O71" s="1282"/>
      <c r="P71" s="1282"/>
      <c r="Q71" s="1282"/>
      <c r="R71" s="1282"/>
      <c r="S71" s="1282"/>
      <c r="T71" s="1282"/>
      <c r="U71" s="1282"/>
      <c r="V71" s="1282"/>
      <c r="W71" s="1282"/>
      <c r="X71" s="1282"/>
      <c r="Y71" s="1282"/>
      <c r="Z71" s="1282"/>
    </row>
    <row r="72">
      <c r="A72" s="1282"/>
      <c r="B72" s="1282"/>
      <c r="C72" s="1282"/>
      <c r="D72" s="1282"/>
      <c r="E72" s="1282"/>
      <c r="F72" s="1282"/>
      <c r="G72" s="1282"/>
      <c r="H72" s="1282"/>
      <c r="I72" s="1282"/>
      <c r="J72" s="1282"/>
      <c r="K72" s="1282"/>
      <c r="L72" s="1282"/>
      <c r="M72" s="1282"/>
      <c r="N72" s="1282"/>
      <c r="O72" s="1282"/>
      <c r="P72" s="1282"/>
      <c r="Q72" s="1282"/>
      <c r="R72" s="1282"/>
      <c r="S72" s="1282"/>
      <c r="T72" s="1282"/>
      <c r="U72" s="1282"/>
      <c r="V72" s="1282"/>
      <c r="W72" s="1282"/>
      <c r="X72" s="1282"/>
      <c r="Y72" s="1282"/>
      <c r="Z72" s="1282"/>
    </row>
    <row r="73">
      <c r="A73" s="1282"/>
      <c r="B73" s="1282"/>
      <c r="C73" s="1282"/>
      <c r="D73" s="1282"/>
      <c r="E73" s="1282"/>
      <c r="F73" s="1282"/>
      <c r="G73" s="1282"/>
      <c r="H73" s="1282"/>
      <c r="I73" s="1282"/>
      <c r="J73" s="1282"/>
      <c r="K73" s="1282"/>
      <c r="L73" s="1282"/>
      <c r="M73" s="1282"/>
      <c r="N73" s="1282"/>
      <c r="O73" s="1282"/>
      <c r="P73" s="1282"/>
      <c r="Q73" s="1282"/>
      <c r="R73" s="1282"/>
      <c r="S73" s="1282"/>
      <c r="T73" s="1282"/>
      <c r="U73" s="1282"/>
      <c r="V73" s="1282"/>
      <c r="W73" s="1282"/>
      <c r="X73" s="1282"/>
      <c r="Y73" s="1282"/>
      <c r="Z73" s="1282"/>
    </row>
    <row r="74">
      <c r="A74" s="1282"/>
      <c r="B74" s="1282"/>
      <c r="C74" s="1282"/>
      <c r="D74" s="1282"/>
      <c r="E74" s="1282"/>
      <c r="F74" s="1282"/>
      <c r="G74" s="1282"/>
      <c r="H74" s="1282"/>
      <c r="I74" s="1282"/>
      <c r="J74" s="1282"/>
      <c r="K74" s="1282"/>
      <c r="L74" s="1282"/>
      <c r="M74" s="1282"/>
      <c r="N74" s="1282"/>
      <c r="O74" s="1282"/>
      <c r="P74" s="1282"/>
      <c r="Q74" s="1282"/>
      <c r="R74" s="1282"/>
      <c r="S74" s="1282"/>
      <c r="T74" s="1282"/>
      <c r="U74" s="1282"/>
      <c r="V74" s="1282"/>
      <c r="W74" s="1282"/>
      <c r="X74" s="1282"/>
      <c r="Y74" s="1282"/>
      <c r="Z74" s="1282"/>
    </row>
    <row r="75">
      <c r="A75" s="1282"/>
      <c r="B75" s="1282"/>
      <c r="C75" s="1282"/>
      <c r="D75" s="1282"/>
      <c r="E75" s="1282"/>
      <c r="F75" s="1282"/>
      <c r="G75" s="1282"/>
      <c r="H75" s="1282"/>
      <c r="I75" s="1282"/>
      <c r="J75" s="1282"/>
      <c r="K75" s="1282"/>
      <c r="L75" s="1282"/>
      <c r="M75" s="1282"/>
      <c r="N75" s="1282"/>
      <c r="O75" s="1282"/>
      <c r="P75" s="1282"/>
      <c r="Q75" s="1282"/>
      <c r="R75" s="1282"/>
      <c r="S75" s="1282"/>
      <c r="T75" s="1282"/>
      <c r="U75" s="1282"/>
      <c r="V75" s="1282"/>
      <c r="W75" s="1282"/>
      <c r="X75" s="1282"/>
      <c r="Y75" s="1282"/>
      <c r="Z75" s="1282"/>
    </row>
    <row r="76">
      <c r="A76" s="1282"/>
      <c r="B76" s="1282"/>
      <c r="C76" s="1282"/>
      <c r="D76" s="1282"/>
      <c r="E76" s="1282"/>
      <c r="F76" s="1282"/>
      <c r="G76" s="1282"/>
      <c r="H76" s="1282"/>
      <c r="I76" s="1282"/>
      <c r="J76" s="1282"/>
      <c r="K76" s="1282"/>
      <c r="L76" s="1282"/>
      <c r="M76" s="1282"/>
      <c r="N76" s="1282"/>
      <c r="O76" s="1282"/>
      <c r="P76" s="1282"/>
      <c r="Q76" s="1282"/>
      <c r="R76" s="1282"/>
      <c r="S76" s="1282"/>
      <c r="T76" s="1282"/>
      <c r="U76" s="1282"/>
      <c r="V76" s="1282"/>
      <c r="W76" s="1282"/>
      <c r="X76" s="1282"/>
      <c r="Y76" s="1282"/>
      <c r="Z76" s="1282"/>
    </row>
    <row r="77">
      <c r="A77" s="1282"/>
      <c r="B77" s="1282"/>
      <c r="C77" s="1282"/>
      <c r="D77" s="1282"/>
      <c r="E77" s="1282"/>
      <c r="F77" s="1282"/>
      <c r="G77" s="1282"/>
      <c r="H77" s="1282"/>
      <c r="I77" s="1282"/>
      <c r="J77" s="1282"/>
      <c r="K77" s="1282"/>
      <c r="L77" s="1282"/>
      <c r="M77" s="1282"/>
      <c r="N77" s="1282"/>
      <c r="O77" s="1282"/>
      <c r="P77" s="1282"/>
      <c r="Q77" s="1282"/>
      <c r="R77" s="1282"/>
      <c r="S77" s="1282"/>
      <c r="T77" s="1282"/>
      <c r="U77" s="1282"/>
      <c r="V77" s="1282"/>
      <c r="W77" s="1282"/>
      <c r="X77" s="1282"/>
      <c r="Y77" s="1282"/>
      <c r="Z77" s="1282"/>
    </row>
    <row r="78">
      <c r="A78" s="1282"/>
      <c r="B78" s="1282"/>
      <c r="C78" s="1282"/>
      <c r="D78" s="1282"/>
      <c r="E78" s="1282"/>
      <c r="F78" s="1282"/>
      <c r="G78" s="1282"/>
      <c r="H78" s="1282"/>
      <c r="I78" s="1282"/>
      <c r="J78" s="1282"/>
      <c r="K78" s="1282"/>
      <c r="L78" s="1282"/>
      <c r="M78" s="1282"/>
      <c r="N78" s="1282"/>
      <c r="O78" s="1282"/>
      <c r="P78" s="1282"/>
      <c r="Q78" s="1282"/>
      <c r="R78" s="1282"/>
      <c r="S78" s="1282"/>
      <c r="T78" s="1282"/>
      <c r="U78" s="1282"/>
      <c r="V78" s="1282"/>
      <c r="W78" s="1282"/>
      <c r="X78" s="1282"/>
      <c r="Y78" s="1282"/>
      <c r="Z78" s="1282"/>
    </row>
    <row r="79">
      <c r="A79" s="1282"/>
      <c r="B79" s="1282"/>
      <c r="C79" s="1282"/>
      <c r="D79" s="1282"/>
      <c r="E79" s="1282"/>
      <c r="F79" s="1282"/>
      <c r="G79" s="1282"/>
      <c r="H79" s="1282"/>
      <c r="I79" s="1282"/>
      <c r="J79" s="1282"/>
      <c r="K79" s="1282"/>
      <c r="L79" s="1282"/>
      <c r="M79" s="1282"/>
      <c r="N79" s="1282"/>
      <c r="O79" s="1282"/>
      <c r="P79" s="1282"/>
      <c r="Q79" s="1282"/>
      <c r="R79" s="1282"/>
      <c r="S79" s="1282"/>
      <c r="T79" s="1282"/>
      <c r="U79" s="1282"/>
      <c r="V79" s="1282"/>
      <c r="W79" s="1282"/>
      <c r="X79" s="1282"/>
      <c r="Y79" s="1282"/>
      <c r="Z79" s="1282"/>
    </row>
    <row r="80">
      <c r="A80" s="1282"/>
      <c r="B80" s="1282"/>
      <c r="C80" s="1282"/>
      <c r="D80" s="1282"/>
      <c r="E80" s="1282"/>
      <c r="F80" s="1282"/>
      <c r="G80" s="1282"/>
      <c r="H80" s="1282"/>
      <c r="I80" s="1282"/>
      <c r="J80" s="1282"/>
      <c r="K80" s="1282"/>
      <c r="L80" s="1282"/>
      <c r="M80" s="1282"/>
      <c r="N80" s="1282"/>
      <c r="O80" s="1282"/>
      <c r="P80" s="1282"/>
      <c r="Q80" s="1282"/>
      <c r="R80" s="1282"/>
      <c r="S80" s="1282"/>
      <c r="T80" s="1282"/>
      <c r="U80" s="1282"/>
      <c r="V80" s="1282"/>
      <c r="W80" s="1282"/>
      <c r="X80" s="1282"/>
      <c r="Y80" s="1282"/>
      <c r="Z80" s="1282"/>
    </row>
    <row r="81">
      <c r="A81" s="1282"/>
      <c r="B81" s="1282"/>
      <c r="C81" s="1282"/>
      <c r="D81" s="1282"/>
      <c r="E81" s="1282"/>
      <c r="F81" s="1282"/>
      <c r="G81" s="1282"/>
      <c r="H81" s="1282"/>
      <c r="I81" s="1282"/>
      <c r="J81" s="1282"/>
      <c r="K81" s="1282"/>
      <c r="L81" s="1282"/>
      <c r="M81" s="1282"/>
      <c r="N81" s="1282"/>
      <c r="O81" s="1282"/>
      <c r="P81" s="1282"/>
      <c r="Q81" s="1282"/>
      <c r="R81" s="1282"/>
      <c r="S81" s="1282"/>
      <c r="T81" s="1282"/>
      <c r="U81" s="1282"/>
      <c r="V81" s="1282"/>
      <c r="W81" s="1282"/>
      <c r="X81" s="1282"/>
      <c r="Y81" s="1282"/>
      <c r="Z81" s="1282"/>
    </row>
    <row r="82">
      <c r="A82" s="1282"/>
      <c r="B82" s="1282"/>
      <c r="C82" s="1282"/>
      <c r="D82" s="1282"/>
      <c r="E82" s="1282"/>
      <c r="F82" s="1282"/>
      <c r="G82" s="1282"/>
      <c r="H82" s="1282"/>
      <c r="I82" s="1282"/>
      <c r="J82" s="1282"/>
      <c r="K82" s="1282"/>
      <c r="L82" s="1282"/>
      <c r="M82" s="1282"/>
      <c r="N82" s="1282"/>
      <c r="O82" s="1282"/>
      <c r="P82" s="1282"/>
      <c r="Q82" s="1282"/>
      <c r="R82" s="1282"/>
      <c r="S82" s="1282"/>
      <c r="T82" s="1282"/>
      <c r="U82" s="1282"/>
      <c r="V82" s="1282"/>
      <c r="W82" s="1282"/>
      <c r="X82" s="1282"/>
      <c r="Y82" s="1282"/>
      <c r="Z82" s="1282"/>
    </row>
    <row r="83">
      <c r="A83" s="1282"/>
      <c r="B83" s="1282"/>
      <c r="C83" s="1282"/>
      <c r="D83" s="1282"/>
      <c r="E83" s="1282"/>
      <c r="F83" s="1282"/>
      <c r="G83" s="1282"/>
      <c r="H83" s="1282"/>
      <c r="I83" s="1282"/>
      <c r="J83" s="1282"/>
      <c r="K83" s="1282"/>
      <c r="L83" s="1282"/>
      <c r="M83" s="1282"/>
      <c r="N83" s="1282"/>
      <c r="O83" s="1282"/>
      <c r="P83" s="1282"/>
      <c r="Q83" s="1282"/>
      <c r="R83" s="1282"/>
      <c r="S83" s="1282"/>
      <c r="T83" s="1282"/>
      <c r="U83" s="1282"/>
      <c r="V83" s="1282"/>
      <c r="W83" s="1282"/>
      <c r="X83" s="1282"/>
      <c r="Y83" s="1282"/>
      <c r="Z83" s="1282"/>
    </row>
    <row r="84">
      <c r="A84" s="1282"/>
      <c r="B84" s="1282"/>
      <c r="C84" s="1282"/>
      <c r="D84" s="1282"/>
      <c r="E84" s="1282"/>
      <c r="F84" s="1282"/>
      <c r="G84" s="1282"/>
      <c r="H84" s="1282"/>
      <c r="I84" s="1282"/>
      <c r="J84" s="1282"/>
      <c r="K84" s="1282"/>
      <c r="L84" s="1282"/>
      <c r="M84" s="1282"/>
      <c r="N84" s="1282"/>
      <c r="O84" s="1282"/>
      <c r="P84" s="1282"/>
      <c r="Q84" s="1282"/>
      <c r="R84" s="1282"/>
      <c r="S84" s="1282"/>
      <c r="T84" s="1282"/>
      <c r="U84" s="1282"/>
      <c r="V84" s="1282"/>
      <c r="W84" s="1282"/>
      <c r="X84" s="1282"/>
      <c r="Y84" s="1282"/>
      <c r="Z84" s="1282"/>
    </row>
    <row r="85">
      <c r="A85" s="1282"/>
      <c r="B85" s="1282"/>
      <c r="C85" s="1282"/>
      <c r="D85" s="1282"/>
      <c r="E85" s="1282"/>
      <c r="F85" s="1282"/>
      <c r="G85" s="1282"/>
      <c r="H85" s="1282"/>
      <c r="I85" s="1282"/>
      <c r="J85" s="1282"/>
      <c r="K85" s="1282"/>
      <c r="L85" s="1282"/>
      <c r="M85" s="1282"/>
      <c r="N85" s="1282"/>
      <c r="O85" s="1282"/>
      <c r="P85" s="1282"/>
      <c r="Q85" s="1282"/>
      <c r="R85" s="1282"/>
      <c r="S85" s="1282"/>
      <c r="T85" s="1282"/>
      <c r="U85" s="1282"/>
      <c r="V85" s="1282"/>
      <c r="W85" s="1282"/>
      <c r="X85" s="1282"/>
      <c r="Y85" s="1282"/>
      <c r="Z85" s="1282"/>
    </row>
    <row r="86">
      <c r="A86" s="1282"/>
      <c r="B86" s="1282"/>
      <c r="C86" s="1282"/>
      <c r="D86" s="1282"/>
      <c r="E86" s="1282"/>
      <c r="F86" s="1282"/>
      <c r="G86" s="1282"/>
      <c r="H86" s="1282"/>
      <c r="I86" s="1282"/>
      <c r="J86" s="1282"/>
      <c r="K86" s="1282"/>
      <c r="L86" s="1282"/>
      <c r="M86" s="1282"/>
      <c r="N86" s="1282"/>
      <c r="O86" s="1282"/>
      <c r="P86" s="1282"/>
      <c r="Q86" s="1282"/>
      <c r="R86" s="1282"/>
      <c r="S86" s="1282"/>
      <c r="T86" s="1282"/>
      <c r="U86" s="1282"/>
      <c r="V86" s="1282"/>
      <c r="W86" s="1282"/>
      <c r="X86" s="1282"/>
      <c r="Y86" s="1282"/>
      <c r="Z86" s="1282"/>
    </row>
    <row r="87">
      <c r="A87" s="1282"/>
      <c r="B87" s="1282"/>
      <c r="C87" s="1282"/>
      <c r="D87" s="1282"/>
      <c r="E87" s="1282"/>
      <c r="F87" s="1282"/>
      <c r="G87" s="1282"/>
      <c r="H87" s="1282"/>
      <c r="I87" s="1282"/>
      <c r="J87" s="1282"/>
      <c r="K87" s="1282"/>
      <c r="L87" s="1282"/>
      <c r="M87" s="1282"/>
      <c r="N87" s="1282"/>
      <c r="O87" s="1282"/>
      <c r="P87" s="1282"/>
      <c r="Q87" s="1282"/>
      <c r="R87" s="1282"/>
      <c r="S87" s="1282"/>
      <c r="T87" s="1282"/>
      <c r="U87" s="1282"/>
      <c r="V87" s="1282"/>
      <c r="W87" s="1282"/>
      <c r="X87" s="1282"/>
      <c r="Y87" s="1282"/>
      <c r="Z87" s="1282"/>
    </row>
    <row r="88">
      <c r="A88" s="1282"/>
      <c r="B88" s="1282"/>
      <c r="C88" s="1282"/>
      <c r="D88" s="1282"/>
      <c r="E88" s="1282"/>
      <c r="F88" s="1282"/>
      <c r="G88" s="1282"/>
      <c r="H88" s="1282"/>
      <c r="I88" s="1282"/>
      <c r="J88" s="1282"/>
      <c r="K88" s="1282"/>
      <c r="L88" s="1282"/>
      <c r="M88" s="1282"/>
      <c r="N88" s="1282"/>
      <c r="O88" s="1282"/>
      <c r="P88" s="1282"/>
      <c r="Q88" s="1282"/>
      <c r="R88" s="1282"/>
      <c r="S88" s="1282"/>
      <c r="T88" s="1282"/>
      <c r="U88" s="1282"/>
      <c r="V88" s="1282"/>
      <c r="W88" s="1282"/>
      <c r="X88" s="1282"/>
      <c r="Y88" s="1282"/>
      <c r="Z88" s="1282"/>
    </row>
    <row r="89">
      <c r="A89" s="1282"/>
      <c r="B89" s="1282"/>
      <c r="C89" s="1282"/>
      <c r="D89" s="1282"/>
      <c r="E89" s="1282"/>
      <c r="F89" s="1282"/>
      <c r="G89" s="1282"/>
      <c r="H89" s="1282"/>
      <c r="I89" s="1282"/>
      <c r="J89" s="1282"/>
      <c r="K89" s="1282"/>
      <c r="L89" s="1282"/>
      <c r="M89" s="1282"/>
      <c r="N89" s="1282"/>
      <c r="O89" s="1282"/>
      <c r="P89" s="1282"/>
      <c r="Q89" s="1282"/>
      <c r="R89" s="1282"/>
      <c r="S89" s="1282"/>
      <c r="T89" s="1282"/>
      <c r="U89" s="1282"/>
      <c r="V89" s="1282"/>
      <c r="W89" s="1282"/>
      <c r="X89" s="1282"/>
      <c r="Y89" s="1282"/>
      <c r="Z89" s="1282"/>
    </row>
    <row r="90">
      <c r="A90" s="1282"/>
      <c r="B90" s="1282"/>
      <c r="C90" s="1282"/>
      <c r="D90" s="1282"/>
      <c r="E90" s="1282"/>
      <c r="F90" s="1282"/>
      <c r="G90" s="1282"/>
      <c r="H90" s="1282"/>
      <c r="I90" s="1282"/>
      <c r="J90" s="1282"/>
      <c r="K90" s="1282"/>
      <c r="L90" s="1282"/>
      <c r="M90" s="1282"/>
      <c r="N90" s="1282"/>
      <c r="O90" s="1282"/>
      <c r="P90" s="1282"/>
      <c r="Q90" s="1282"/>
      <c r="R90" s="1282"/>
      <c r="S90" s="1282"/>
      <c r="T90" s="1282"/>
      <c r="U90" s="1282"/>
      <c r="V90" s="1282"/>
      <c r="W90" s="1282"/>
      <c r="X90" s="1282"/>
      <c r="Y90" s="1282"/>
      <c r="Z90" s="1282"/>
    </row>
    <row r="91">
      <c r="A91" s="1282"/>
      <c r="B91" s="1282"/>
      <c r="C91" s="1282"/>
      <c r="D91" s="1282"/>
      <c r="E91" s="1282"/>
      <c r="F91" s="1282"/>
      <c r="G91" s="1282"/>
      <c r="H91" s="1282"/>
      <c r="I91" s="1282"/>
      <c r="J91" s="1282"/>
      <c r="K91" s="1282"/>
      <c r="L91" s="1282"/>
      <c r="M91" s="1282"/>
      <c r="N91" s="1282"/>
      <c r="O91" s="1282"/>
      <c r="P91" s="1282"/>
      <c r="Q91" s="1282"/>
      <c r="R91" s="1282"/>
      <c r="S91" s="1282"/>
      <c r="T91" s="1282"/>
      <c r="U91" s="1282"/>
      <c r="V91" s="1282"/>
      <c r="W91" s="1282"/>
      <c r="X91" s="1282"/>
      <c r="Y91" s="1282"/>
      <c r="Z91" s="1282"/>
    </row>
    <row r="92">
      <c r="A92" s="1282"/>
      <c r="B92" s="1282"/>
      <c r="C92" s="1282"/>
      <c r="D92" s="1282"/>
      <c r="E92" s="1282"/>
      <c r="F92" s="1282"/>
      <c r="G92" s="1282"/>
      <c r="H92" s="1282"/>
      <c r="I92" s="1282"/>
      <c r="J92" s="1282"/>
      <c r="K92" s="1282"/>
      <c r="L92" s="1282"/>
      <c r="M92" s="1282"/>
      <c r="N92" s="1282"/>
      <c r="O92" s="1282"/>
      <c r="P92" s="1282"/>
      <c r="Q92" s="1282"/>
      <c r="R92" s="1282"/>
      <c r="S92" s="1282"/>
      <c r="T92" s="1282"/>
      <c r="U92" s="1282"/>
      <c r="V92" s="1282"/>
      <c r="W92" s="1282"/>
      <c r="X92" s="1282"/>
      <c r="Y92" s="1282"/>
      <c r="Z92" s="1282"/>
    </row>
    <row r="93">
      <c r="A93" s="1282"/>
      <c r="B93" s="1282"/>
      <c r="C93" s="1282"/>
      <c r="D93" s="1282"/>
      <c r="E93" s="1282"/>
      <c r="F93" s="1282"/>
      <c r="G93" s="1282"/>
      <c r="H93" s="1282"/>
      <c r="I93" s="1282"/>
      <c r="J93" s="1282"/>
      <c r="K93" s="1282"/>
      <c r="L93" s="1282"/>
      <c r="M93" s="1282"/>
      <c r="N93" s="1282"/>
      <c r="O93" s="1282"/>
      <c r="P93" s="1282"/>
      <c r="Q93" s="1282"/>
      <c r="R93" s="1282"/>
      <c r="S93" s="1282"/>
      <c r="T93" s="1282"/>
      <c r="U93" s="1282"/>
      <c r="V93" s="1282"/>
      <c r="W93" s="1282"/>
      <c r="X93" s="1282"/>
      <c r="Y93" s="1282"/>
      <c r="Z93" s="1282"/>
    </row>
    <row r="94">
      <c r="A94" s="1282"/>
      <c r="B94" s="1282"/>
      <c r="C94" s="1282"/>
      <c r="D94" s="1282"/>
      <c r="E94" s="1282"/>
      <c r="F94" s="1282"/>
      <c r="G94" s="1282"/>
      <c r="H94" s="1282"/>
      <c r="I94" s="1282"/>
      <c r="J94" s="1282"/>
      <c r="K94" s="1282"/>
      <c r="L94" s="1282"/>
      <c r="M94" s="1282"/>
      <c r="N94" s="1282"/>
      <c r="O94" s="1282"/>
      <c r="P94" s="1282"/>
      <c r="Q94" s="1282"/>
      <c r="R94" s="1282"/>
      <c r="S94" s="1282"/>
      <c r="T94" s="1282"/>
      <c r="U94" s="1282"/>
      <c r="V94" s="1282"/>
      <c r="W94" s="1282"/>
      <c r="X94" s="1282"/>
      <c r="Y94" s="1282"/>
      <c r="Z94" s="1282"/>
    </row>
    <row r="95">
      <c r="A95" s="1282"/>
      <c r="B95" s="1282"/>
      <c r="C95" s="1282"/>
      <c r="D95" s="1282"/>
      <c r="E95" s="1282"/>
      <c r="F95" s="1282"/>
      <c r="G95" s="1282"/>
      <c r="H95" s="1282"/>
      <c r="I95" s="1282"/>
      <c r="J95" s="1282"/>
      <c r="K95" s="1282"/>
      <c r="L95" s="1282"/>
      <c r="M95" s="1282"/>
      <c r="N95" s="1282"/>
      <c r="O95" s="1282"/>
      <c r="P95" s="1282"/>
      <c r="Q95" s="1282"/>
      <c r="R95" s="1282"/>
      <c r="S95" s="1282"/>
      <c r="T95" s="1282"/>
      <c r="U95" s="1282"/>
      <c r="V95" s="1282"/>
      <c r="W95" s="1282"/>
      <c r="X95" s="1282"/>
      <c r="Y95" s="1282"/>
      <c r="Z95" s="1282"/>
    </row>
    <row r="96">
      <c r="A96" s="1282"/>
      <c r="B96" s="1282"/>
      <c r="C96" s="1282"/>
      <c r="D96" s="1282"/>
      <c r="E96" s="1282"/>
      <c r="F96" s="1282"/>
      <c r="G96" s="1282"/>
      <c r="H96" s="1282"/>
      <c r="I96" s="1282"/>
      <c r="J96" s="1282"/>
      <c r="K96" s="1282"/>
      <c r="L96" s="1282"/>
      <c r="M96" s="1282"/>
      <c r="N96" s="1282"/>
      <c r="O96" s="1282"/>
      <c r="P96" s="1282"/>
      <c r="Q96" s="1282"/>
      <c r="R96" s="1282"/>
      <c r="S96" s="1282"/>
      <c r="T96" s="1282"/>
      <c r="U96" s="1282"/>
      <c r="V96" s="1282"/>
      <c r="W96" s="1282"/>
      <c r="X96" s="1282"/>
      <c r="Y96" s="1282"/>
      <c r="Z96" s="1282"/>
    </row>
    <row r="97">
      <c r="A97" s="1282"/>
      <c r="B97" s="1282"/>
      <c r="C97" s="1282"/>
      <c r="D97" s="1282"/>
      <c r="E97" s="1282"/>
      <c r="F97" s="1282"/>
      <c r="G97" s="1282"/>
      <c r="H97" s="1282"/>
      <c r="I97" s="1282"/>
      <c r="J97" s="1282"/>
      <c r="K97" s="1282"/>
      <c r="L97" s="1282"/>
      <c r="M97" s="1282"/>
      <c r="N97" s="1282"/>
      <c r="O97" s="1282"/>
      <c r="P97" s="1282"/>
      <c r="Q97" s="1282"/>
      <c r="R97" s="1282"/>
      <c r="S97" s="1282"/>
      <c r="T97" s="1282"/>
      <c r="U97" s="1282"/>
      <c r="V97" s="1282"/>
      <c r="W97" s="1282"/>
      <c r="X97" s="1282"/>
      <c r="Y97" s="1282"/>
      <c r="Z97" s="1282"/>
    </row>
    <row r="98">
      <c r="A98" s="1282"/>
      <c r="B98" s="1282"/>
      <c r="C98" s="1282"/>
      <c r="D98" s="1282"/>
      <c r="E98" s="1282"/>
      <c r="F98" s="1282"/>
      <c r="G98" s="1282"/>
      <c r="H98" s="1282"/>
      <c r="I98" s="1282"/>
      <c r="J98" s="1282"/>
      <c r="K98" s="1282"/>
      <c r="L98" s="1282"/>
      <c r="M98" s="1282"/>
      <c r="N98" s="1282"/>
      <c r="O98" s="1282"/>
      <c r="P98" s="1282"/>
      <c r="Q98" s="1282"/>
      <c r="R98" s="1282"/>
      <c r="S98" s="1282"/>
      <c r="T98" s="1282"/>
      <c r="U98" s="1282"/>
      <c r="V98" s="1282"/>
      <c r="W98" s="1282"/>
      <c r="X98" s="1282"/>
      <c r="Y98" s="1282"/>
      <c r="Z98" s="1282"/>
    </row>
    <row r="99">
      <c r="A99" s="1282"/>
      <c r="B99" s="1282"/>
      <c r="C99" s="1282"/>
      <c r="D99" s="1282"/>
      <c r="E99" s="1282"/>
      <c r="F99" s="1282"/>
      <c r="G99" s="1282"/>
      <c r="H99" s="1282"/>
      <c r="I99" s="1282"/>
      <c r="J99" s="1282"/>
      <c r="K99" s="1282"/>
      <c r="L99" s="1282"/>
      <c r="M99" s="1282"/>
      <c r="N99" s="1282"/>
      <c r="O99" s="1282"/>
      <c r="P99" s="1282"/>
      <c r="Q99" s="1282"/>
      <c r="R99" s="1282"/>
      <c r="S99" s="1282"/>
      <c r="T99" s="1282"/>
      <c r="U99" s="1282"/>
      <c r="V99" s="1282"/>
      <c r="W99" s="1282"/>
      <c r="X99" s="1282"/>
      <c r="Y99" s="1282"/>
      <c r="Z99" s="1282"/>
    </row>
    <row r="100">
      <c r="A100" s="1282"/>
      <c r="B100" s="1282"/>
      <c r="C100" s="1282"/>
      <c r="D100" s="1282"/>
      <c r="E100" s="1282"/>
      <c r="F100" s="1282"/>
      <c r="G100" s="1282"/>
      <c r="H100" s="1282"/>
      <c r="I100" s="1282"/>
      <c r="J100" s="1282"/>
      <c r="K100" s="1282"/>
      <c r="L100" s="1282"/>
      <c r="M100" s="1282"/>
      <c r="N100" s="1282"/>
      <c r="O100" s="1282"/>
      <c r="P100" s="1282"/>
      <c r="Q100" s="1282"/>
      <c r="R100" s="1282"/>
      <c r="S100" s="1282"/>
      <c r="T100" s="1282"/>
      <c r="U100" s="1282"/>
      <c r="V100" s="1282"/>
      <c r="W100" s="1282"/>
      <c r="X100" s="1282"/>
      <c r="Y100" s="1282"/>
      <c r="Z100" s="1282"/>
    </row>
    <row r="101">
      <c r="A101" s="1282"/>
      <c r="B101" s="1282"/>
      <c r="C101" s="1282"/>
      <c r="D101" s="1282"/>
      <c r="E101" s="1282"/>
      <c r="F101" s="1282"/>
      <c r="G101" s="1282"/>
      <c r="H101" s="1282"/>
      <c r="I101" s="1282"/>
      <c r="J101" s="1282"/>
      <c r="K101" s="1282"/>
      <c r="L101" s="1282"/>
      <c r="M101" s="1282"/>
      <c r="N101" s="1282"/>
      <c r="O101" s="1282"/>
      <c r="P101" s="1282"/>
      <c r="Q101" s="1282"/>
      <c r="R101" s="1282"/>
      <c r="S101" s="1282"/>
      <c r="T101" s="1282"/>
      <c r="U101" s="1282"/>
      <c r="V101" s="1282"/>
      <c r="W101" s="1282"/>
      <c r="X101" s="1282"/>
      <c r="Y101" s="1282"/>
      <c r="Z101" s="1282"/>
    </row>
    <row r="102">
      <c r="A102" s="1282"/>
      <c r="B102" s="1282"/>
      <c r="C102" s="1282"/>
      <c r="D102" s="1282"/>
      <c r="E102" s="1282"/>
      <c r="F102" s="1282"/>
      <c r="G102" s="1282"/>
      <c r="H102" s="1282"/>
      <c r="I102" s="1282"/>
      <c r="J102" s="1282"/>
      <c r="K102" s="1282"/>
      <c r="L102" s="1282"/>
      <c r="M102" s="1282"/>
      <c r="N102" s="1282"/>
      <c r="O102" s="1282"/>
      <c r="P102" s="1282"/>
      <c r="Q102" s="1282"/>
      <c r="R102" s="1282"/>
      <c r="S102" s="1282"/>
      <c r="T102" s="1282"/>
      <c r="U102" s="1282"/>
      <c r="V102" s="1282"/>
      <c r="W102" s="1282"/>
      <c r="X102" s="1282"/>
      <c r="Y102" s="1282"/>
      <c r="Z102" s="1282"/>
    </row>
    <row r="103">
      <c r="A103" s="1282"/>
      <c r="B103" s="1282"/>
      <c r="C103" s="1282"/>
      <c r="D103" s="1282"/>
      <c r="E103" s="1282"/>
      <c r="F103" s="1282"/>
      <c r="G103" s="1282"/>
      <c r="H103" s="1282"/>
      <c r="I103" s="1282"/>
      <c r="J103" s="1282"/>
      <c r="K103" s="1282"/>
      <c r="L103" s="1282"/>
      <c r="M103" s="1282"/>
      <c r="N103" s="1282"/>
      <c r="O103" s="1282"/>
      <c r="P103" s="1282"/>
      <c r="Q103" s="1282"/>
      <c r="R103" s="1282"/>
      <c r="S103" s="1282"/>
      <c r="T103" s="1282"/>
      <c r="U103" s="1282"/>
      <c r="V103" s="1282"/>
      <c r="W103" s="1282"/>
      <c r="X103" s="1282"/>
      <c r="Y103" s="1282"/>
      <c r="Z103" s="1282"/>
    </row>
    <row r="104">
      <c r="A104" s="1282"/>
      <c r="B104" s="1282"/>
      <c r="C104" s="1282"/>
      <c r="D104" s="1282"/>
      <c r="E104" s="1282"/>
      <c r="F104" s="1282"/>
      <c r="G104" s="1282"/>
      <c r="H104" s="1282"/>
      <c r="I104" s="1282"/>
      <c r="J104" s="1282"/>
      <c r="K104" s="1282"/>
      <c r="L104" s="1282"/>
      <c r="M104" s="1282"/>
      <c r="N104" s="1282"/>
      <c r="O104" s="1282"/>
      <c r="P104" s="1282"/>
      <c r="Q104" s="1282"/>
      <c r="R104" s="1282"/>
      <c r="S104" s="1282"/>
      <c r="T104" s="1282"/>
      <c r="U104" s="1282"/>
      <c r="V104" s="1282"/>
      <c r="W104" s="1282"/>
      <c r="X104" s="1282"/>
      <c r="Y104" s="1282"/>
      <c r="Z104" s="1282"/>
    </row>
    <row r="105">
      <c r="A105" s="1282"/>
      <c r="B105" s="1282"/>
      <c r="C105" s="1282"/>
      <c r="D105" s="1282"/>
      <c r="E105" s="1282"/>
      <c r="F105" s="1282"/>
      <c r="G105" s="1282"/>
      <c r="H105" s="1282"/>
      <c r="I105" s="1282"/>
      <c r="J105" s="1282"/>
      <c r="K105" s="1282"/>
      <c r="L105" s="1282"/>
      <c r="M105" s="1282"/>
      <c r="N105" s="1282"/>
      <c r="O105" s="1282"/>
      <c r="P105" s="1282"/>
      <c r="Q105" s="1282"/>
      <c r="R105" s="1282"/>
      <c r="S105" s="1282"/>
      <c r="T105" s="1282"/>
      <c r="U105" s="1282"/>
      <c r="V105" s="1282"/>
      <c r="W105" s="1282"/>
      <c r="X105" s="1282"/>
      <c r="Y105" s="1282"/>
      <c r="Z105" s="1282"/>
    </row>
    <row r="106">
      <c r="A106" s="1282"/>
      <c r="B106" s="1282"/>
      <c r="C106" s="1282"/>
      <c r="D106" s="1282"/>
      <c r="E106" s="1282"/>
      <c r="F106" s="1282"/>
      <c r="G106" s="1282"/>
      <c r="H106" s="1282"/>
      <c r="I106" s="1282"/>
      <c r="J106" s="1282"/>
      <c r="K106" s="1282"/>
      <c r="L106" s="1282"/>
      <c r="M106" s="1282"/>
      <c r="N106" s="1282"/>
      <c r="O106" s="1282"/>
      <c r="P106" s="1282"/>
      <c r="Q106" s="1282"/>
      <c r="R106" s="1282"/>
      <c r="S106" s="1282"/>
      <c r="T106" s="1282"/>
      <c r="U106" s="1282"/>
      <c r="V106" s="1282"/>
      <c r="W106" s="1282"/>
      <c r="X106" s="1282"/>
      <c r="Y106" s="1282"/>
      <c r="Z106" s="1282"/>
    </row>
    <row r="107">
      <c r="A107" s="1282"/>
      <c r="B107" s="1282"/>
      <c r="C107" s="1282"/>
      <c r="D107" s="1282"/>
      <c r="E107" s="1282"/>
      <c r="F107" s="1282"/>
      <c r="G107" s="1282"/>
      <c r="H107" s="1282"/>
      <c r="I107" s="1282"/>
      <c r="J107" s="1282"/>
      <c r="K107" s="1282"/>
      <c r="L107" s="1282"/>
      <c r="M107" s="1282"/>
      <c r="N107" s="1282"/>
      <c r="O107" s="1282"/>
      <c r="P107" s="1282"/>
      <c r="Q107" s="1282"/>
      <c r="R107" s="1282"/>
      <c r="S107" s="1282"/>
      <c r="T107" s="1282"/>
      <c r="U107" s="1282"/>
      <c r="V107" s="1282"/>
      <c r="W107" s="1282"/>
      <c r="X107" s="1282"/>
      <c r="Y107" s="1282"/>
      <c r="Z107" s="1282"/>
    </row>
    <row r="108">
      <c r="A108" s="1282"/>
      <c r="B108" s="1282"/>
      <c r="C108" s="1282"/>
      <c r="D108" s="1282"/>
      <c r="E108" s="1282"/>
      <c r="F108" s="1282"/>
      <c r="G108" s="1282"/>
      <c r="H108" s="1282"/>
      <c r="I108" s="1282"/>
      <c r="J108" s="1282"/>
      <c r="K108" s="1282"/>
      <c r="L108" s="1282"/>
      <c r="M108" s="1282"/>
      <c r="N108" s="1282"/>
      <c r="O108" s="1282"/>
      <c r="P108" s="1282"/>
      <c r="Q108" s="1282"/>
      <c r="R108" s="1282"/>
      <c r="S108" s="1282"/>
      <c r="T108" s="1282"/>
      <c r="U108" s="1282"/>
      <c r="V108" s="1282"/>
      <c r="W108" s="1282"/>
      <c r="X108" s="1282"/>
      <c r="Y108" s="1282"/>
      <c r="Z108" s="1282"/>
    </row>
    <row r="109">
      <c r="A109" s="1282"/>
      <c r="B109" s="1282"/>
      <c r="C109" s="1282"/>
      <c r="D109" s="1282"/>
      <c r="E109" s="1282"/>
      <c r="F109" s="1282"/>
      <c r="G109" s="1282"/>
      <c r="H109" s="1282"/>
      <c r="I109" s="1282"/>
      <c r="J109" s="1282"/>
      <c r="K109" s="1282"/>
      <c r="L109" s="1282"/>
      <c r="M109" s="1282"/>
      <c r="N109" s="1282"/>
      <c r="O109" s="1282"/>
      <c r="P109" s="1282"/>
      <c r="Q109" s="1282"/>
      <c r="R109" s="1282"/>
      <c r="S109" s="1282"/>
      <c r="T109" s="1282"/>
      <c r="U109" s="1282"/>
      <c r="V109" s="1282"/>
      <c r="W109" s="1282"/>
      <c r="X109" s="1282"/>
      <c r="Y109" s="1282"/>
      <c r="Z109" s="1282"/>
    </row>
    <row r="110">
      <c r="A110" s="1282"/>
      <c r="B110" s="1282"/>
      <c r="C110" s="1282"/>
      <c r="D110" s="1282"/>
      <c r="E110" s="1282"/>
      <c r="F110" s="1282"/>
      <c r="G110" s="1282"/>
      <c r="H110" s="1282"/>
      <c r="I110" s="1282"/>
      <c r="J110" s="1282"/>
      <c r="K110" s="1282"/>
      <c r="L110" s="1282"/>
      <c r="M110" s="1282"/>
      <c r="N110" s="1282"/>
      <c r="O110" s="1282"/>
      <c r="P110" s="1282"/>
      <c r="Q110" s="1282"/>
      <c r="R110" s="1282"/>
      <c r="S110" s="1282"/>
      <c r="T110" s="1282"/>
      <c r="U110" s="1282"/>
      <c r="V110" s="1282"/>
      <c r="W110" s="1282"/>
      <c r="X110" s="1282"/>
      <c r="Y110" s="1282"/>
      <c r="Z110" s="1282"/>
    </row>
    <row r="111">
      <c r="A111" s="1282"/>
      <c r="B111" s="1282"/>
      <c r="C111" s="1282"/>
      <c r="D111" s="1282"/>
      <c r="E111" s="1282"/>
      <c r="F111" s="1282"/>
      <c r="G111" s="1282"/>
      <c r="H111" s="1282"/>
      <c r="I111" s="1282"/>
      <c r="J111" s="1282"/>
      <c r="K111" s="1282"/>
      <c r="L111" s="1282"/>
      <c r="M111" s="1282"/>
      <c r="N111" s="1282"/>
      <c r="O111" s="1282"/>
      <c r="P111" s="1282"/>
      <c r="Q111" s="1282"/>
      <c r="R111" s="1282"/>
      <c r="S111" s="1282"/>
      <c r="T111" s="1282"/>
      <c r="U111" s="1282"/>
      <c r="V111" s="1282"/>
      <c r="W111" s="1282"/>
      <c r="X111" s="1282"/>
      <c r="Y111" s="1282"/>
      <c r="Z111" s="1282"/>
    </row>
    <row r="112">
      <c r="A112" s="1282"/>
      <c r="B112" s="1282"/>
      <c r="C112" s="1282"/>
      <c r="D112" s="1282"/>
      <c r="E112" s="1282"/>
      <c r="F112" s="1282"/>
      <c r="G112" s="1282"/>
      <c r="H112" s="1282"/>
      <c r="I112" s="1282"/>
      <c r="J112" s="1282"/>
      <c r="K112" s="1282"/>
      <c r="L112" s="1282"/>
      <c r="M112" s="1282"/>
      <c r="N112" s="1282"/>
      <c r="O112" s="1282"/>
      <c r="P112" s="1282"/>
      <c r="Q112" s="1282"/>
      <c r="R112" s="1282"/>
      <c r="S112" s="1282"/>
      <c r="T112" s="1282"/>
      <c r="U112" s="1282"/>
      <c r="V112" s="1282"/>
      <c r="W112" s="1282"/>
      <c r="X112" s="1282"/>
      <c r="Y112" s="1282"/>
      <c r="Z112" s="1282"/>
    </row>
    <row r="113">
      <c r="A113" s="1282"/>
      <c r="B113" s="1282"/>
      <c r="C113" s="1282"/>
      <c r="D113" s="1282"/>
      <c r="E113" s="1282"/>
      <c r="F113" s="1282"/>
      <c r="G113" s="1282"/>
      <c r="H113" s="1282"/>
      <c r="I113" s="1282"/>
      <c r="J113" s="1282"/>
      <c r="K113" s="1282"/>
      <c r="L113" s="1282"/>
      <c r="M113" s="1282"/>
      <c r="N113" s="1282"/>
      <c r="O113" s="1282"/>
      <c r="P113" s="1282"/>
      <c r="Q113" s="1282"/>
      <c r="R113" s="1282"/>
      <c r="S113" s="1282"/>
      <c r="T113" s="1282"/>
      <c r="U113" s="1282"/>
      <c r="V113" s="1282"/>
      <c r="W113" s="1282"/>
      <c r="X113" s="1282"/>
      <c r="Y113" s="1282"/>
      <c r="Z113" s="1282"/>
    </row>
    <row r="114">
      <c r="A114" s="1282"/>
      <c r="B114" s="1282"/>
      <c r="C114" s="1282"/>
      <c r="D114" s="1282"/>
      <c r="E114" s="1282"/>
      <c r="F114" s="1282"/>
      <c r="G114" s="1282"/>
      <c r="H114" s="1282"/>
      <c r="I114" s="1282"/>
      <c r="J114" s="1282"/>
      <c r="K114" s="1282"/>
      <c r="L114" s="1282"/>
      <c r="M114" s="1282"/>
      <c r="N114" s="1282"/>
      <c r="O114" s="1282"/>
      <c r="P114" s="1282"/>
      <c r="Q114" s="1282"/>
      <c r="R114" s="1282"/>
      <c r="S114" s="1282"/>
      <c r="T114" s="1282"/>
      <c r="U114" s="1282"/>
      <c r="V114" s="1282"/>
      <c r="W114" s="1282"/>
      <c r="X114" s="1282"/>
      <c r="Y114" s="1282"/>
      <c r="Z114" s="1282"/>
    </row>
    <row r="115">
      <c r="A115" s="1282"/>
      <c r="B115" s="1282"/>
      <c r="C115" s="1282"/>
      <c r="D115" s="1282"/>
      <c r="E115" s="1282"/>
      <c r="F115" s="1282"/>
      <c r="G115" s="1282"/>
      <c r="H115" s="1282"/>
      <c r="I115" s="1282"/>
      <c r="J115" s="1282"/>
      <c r="K115" s="1282"/>
      <c r="L115" s="1282"/>
      <c r="M115" s="1282"/>
      <c r="N115" s="1282"/>
      <c r="O115" s="1282"/>
      <c r="P115" s="1282"/>
      <c r="Q115" s="1282"/>
      <c r="R115" s="1282"/>
      <c r="S115" s="1282"/>
      <c r="T115" s="1282"/>
      <c r="U115" s="1282"/>
      <c r="V115" s="1282"/>
      <c r="W115" s="1282"/>
      <c r="X115" s="1282"/>
      <c r="Y115" s="1282"/>
      <c r="Z115" s="1282"/>
    </row>
    <row r="116">
      <c r="A116" s="1282"/>
      <c r="B116" s="1282"/>
      <c r="C116" s="1282"/>
      <c r="D116" s="1282"/>
      <c r="E116" s="1282"/>
      <c r="F116" s="1282"/>
      <c r="G116" s="1282"/>
      <c r="H116" s="1282"/>
      <c r="I116" s="1282"/>
      <c r="J116" s="1282"/>
      <c r="K116" s="1282"/>
      <c r="L116" s="1282"/>
      <c r="M116" s="1282"/>
      <c r="N116" s="1282"/>
      <c r="O116" s="1282"/>
      <c r="P116" s="1282"/>
      <c r="Q116" s="1282"/>
      <c r="R116" s="1282"/>
      <c r="S116" s="1282"/>
      <c r="T116" s="1282"/>
      <c r="U116" s="1282"/>
      <c r="V116" s="1282"/>
      <c r="W116" s="1282"/>
      <c r="X116" s="1282"/>
      <c r="Y116" s="1282"/>
      <c r="Z116" s="1282"/>
    </row>
    <row r="117">
      <c r="A117" s="1282"/>
      <c r="B117" s="1282"/>
      <c r="C117" s="1282"/>
      <c r="D117" s="1282"/>
      <c r="E117" s="1282"/>
      <c r="F117" s="1282"/>
      <c r="G117" s="1282"/>
      <c r="H117" s="1282"/>
      <c r="I117" s="1282"/>
      <c r="J117" s="1282"/>
      <c r="K117" s="1282"/>
      <c r="L117" s="1282"/>
      <c r="M117" s="1282"/>
      <c r="N117" s="1282"/>
      <c r="O117" s="1282"/>
      <c r="P117" s="1282"/>
      <c r="Q117" s="1282"/>
      <c r="R117" s="1282"/>
      <c r="S117" s="1282"/>
      <c r="T117" s="1282"/>
      <c r="U117" s="1282"/>
      <c r="V117" s="1282"/>
      <c r="W117" s="1282"/>
      <c r="X117" s="1282"/>
      <c r="Y117" s="1282"/>
      <c r="Z117" s="1282"/>
    </row>
    <row r="118">
      <c r="A118" s="1282"/>
      <c r="B118" s="1282"/>
      <c r="C118" s="1282"/>
      <c r="D118" s="1282"/>
      <c r="E118" s="1282"/>
      <c r="F118" s="1282"/>
      <c r="G118" s="1282"/>
      <c r="H118" s="1282"/>
      <c r="I118" s="1282"/>
      <c r="J118" s="1282"/>
      <c r="K118" s="1282"/>
      <c r="L118" s="1282"/>
      <c r="M118" s="1282"/>
      <c r="N118" s="1282"/>
      <c r="O118" s="1282"/>
      <c r="P118" s="1282"/>
      <c r="Q118" s="1282"/>
      <c r="R118" s="1282"/>
      <c r="S118" s="1282"/>
      <c r="T118" s="1282"/>
      <c r="U118" s="1282"/>
      <c r="V118" s="1282"/>
      <c r="W118" s="1282"/>
      <c r="X118" s="1282"/>
      <c r="Y118" s="1282"/>
      <c r="Z118" s="1282"/>
    </row>
    <row r="119">
      <c r="A119" s="1282"/>
      <c r="B119" s="1282"/>
      <c r="C119" s="1282"/>
      <c r="D119" s="1282"/>
      <c r="E119" s="1282"/>
      <c r="F119" s="1282"/>
      <c r="G119" s="1282"/>
      <c r="H119" s="1282"/>
      <c r="I119" s="1282"/>
      <c r="J119" s="1282"/>
      <c r="K119" s="1282"/>
      <c r="L119" s="1282"/>
      <c r="M119" s="1282"/>
      <c r="N119" s="1282"/>
      <c r="O119" s="1282"/>
      <c r="P119" s="1282"/>
      <c r="Q119" s="1282"/>
      <c r="R119" s="1282"/>
      <c r="S119" s="1282"/>
      <c r="T119" s="1282"/>
      <c r="U119" s="1282"/>
      <c r="V119" s="1282"/>
      <c r="W119" s="1282"/>
      <c r="X119" s="1282"/>
      <c r="Y119" s="1282"/>
      <c r="Z119" s="1282"/>
    </row>
    <row r="120">
      <c r="A120" s="1282"/>
      <c r="B120" s="1282"/>
      <c r="C120" s="1282"/>
      <c r="D120" s="1282"/>
      <c r="E120" s="1282"/>
      <c r="F120" s="1282"/>
      <c r="G120" s="1282"/>
      <c r="H120" s="1282"/>
      <c r="I120" s="1282"/>
      <c r="J120" s="1282"/>
      <c r="K120" s="1282"/>
      <c r="L120" s="1282"/>
      <c r="M120" s="1282"/>
      <c r="N120" s="1282"/>
      <c r="O120" s="1282"/>
      <c r="P120" s="1282"/>
      <c r="Q120" s="1282"/>
      <c r="R120" s="1282"/>
      <c r="S120" s="1282"/>
      <c r="T120" s="1282"/>
      <c r="U120" s="1282"/>
      <c r="V120" s="1282"/>
      <c r="W120" s="1282"/>
      <c r="X120" s="1282"/>
      <c r="Y120" s="1282"/>
      <c r="Z120" s="1282"/>
    </row>
    <row r="121">
      <c r="A121" s="1282"/>
      <c r="B121" s="1282"/>
      <c r="C121" s="1282"/>
      <c r="D121" s="1282"/>
      <c r="E121" s="1282"/>
      <c r="F121" s="1282"/>
      <c r="G121" s="1282"/>
      <c r="H121" s="1282"/>
      <c r="I121" s="1282"/>
      <c r="J121" s="1282"/>
      <c r="K121" s="1282"/>
      <c r="L121" s="1282"/>
      <c r="M121" s="1282"/>
      <c r="N121" s="1282"/>
      <c r="O121" s="1282"/>
      <c r="P121" s="1282"/>
      <c r="Q121" s="1282"/>
      <c r="R121" s="1282"/>
      <c r="S121" s="1282"/>
      <c r="T121" s="1282"/>
      <c r="U121" s="1282"/>
      <c r="V121" s="1282"/>
      <c r="W121" s="1282"/>
      <c r="X121" s="1282"/>
      <c r="Y121" s="1282"/>
      <c r="Z121" s="1282"/>
    </row>
    <row r="122">
      <c r="A122" s="1282"/>
      <c r="B122" s="1282"/>
      <c r="C122" s="1282"/>
      <c r="D122" s="1282"/>
      <c r="E122" s="1282"/>
      <c r="F122" s="1282"/>
      <c r="G122" s="1282"/>
      <c r="H122" s="1282"/>
      <c r="I122" s="1282"/>
      <c r="J122" s="1282"/>
      <c r="K122" s="1282"/>
      <c r="L122" s="1282"/>
      <c r="M122" s="1282"/>
      <c r="N122" s="1282"/>
      <c r="O122" s="1282"/>
      <c r="P122" s="1282"/>
      <c r="Q122" s="1282"/>
      <c r="R122" s="1282"/>
      <c r="S122" s="1282"/>
      <c r="T122" s="1282"/>
      <c r="U122" s="1282"/>
      <c r="V122" s="1282"/>
      <c r="W122" s="1282"/>
      <c r="X122" s="1282"/>
      <c r="Y122" s="1282"/>
      <c r="Z122" s="1282"/>
    </row>
    <row r="123">
      <c r="A123" s="1282"/>
      <c r="B123" s="1282"/>
      <c r="C123" s="1282"/>
      <c r="D123" s="1282"/>
      <c r="E123" s="1282"/>
      <c r="F123" s="1282"/>
      <c r="G123" s="1282"/>
      <c r="H123" s="1282"/>
      <c r="I123" s="1282"/>
      <c r="J123" s="1282"/>
      <c r="K123" s="1282"/>
      <c r="L123" s="1282"/>
      <c r="M123" s="1282"/>
      <c r="N123" s="1282"/>
      <c r="O123" s="1282"/>
      <c r="P123" s="1282"/>
      <c r="Q123" s="1282"/>
      <c r="R123" s="1282"/>
      <c r="S123" s="1282"/>
      <c r="T123" s="1282"/>
      <c r="U123" s="1282"/>
      <c r="V123" s="1282"/>
      <c r="W123" s="1282"/>
      <c r="X123" s="1282"/>
      <c r="Y123" s="1282"/>
      <c r="Z123" s="1282"/>
    </row>
    <row r="124">
      <c r="A124" s="1282"/>
      <c r="B124" s="1282"/>
      <c r="C124" s="1282"/>
      <c r="D124" s="1282"/>
      <c r="E124" s="1282"/>
      <c r="F124" s="1282"/>
      <c r="G124" s="1282"/>
      <c r="H124" s="1282"/>
      <c r="I124" s="1282"/>
      <c r="J124" s="1282"/>
      <c r="K124" s="1282"/>
      <c r="L124" s="1282"/>
      <c r="M124" s="1282"/>
      <c r="N124" s="1282"/>
      <c r="O124" s="1282"/>
      <c r="P124" s="1282"/>
      <c r="Q124" s="1282"/>
      <c r="R124" s="1282"/>
      <c r="S124" s="1282"/>
      <c r="T124" s="1282"/>
      <c r="U124" s="1282"/>
      <c r="V124" s="1282"/>
      <c r="W124" s="1282"/>
      <c r="X124" s="1282"/>
      <c r="Y124" s="1282"/>
      <c r="Z124" s="1282"/>
    </row>
    <row r="125">
      <c r="A125" s="1282"/>
      <c r="B125" s="1282"/>
      <c r="C125" s="1282"/>
      <c r="D125" s="1282"/>
      <c r="E125" s="1282"/>
      <c r="F125" s="1282"/>
      <c r="G125" s="1282"/>
      <c r="H125" s="1282"/>
      <c r="I125" s="1282"/>
      <c r="J125" s="1282"/>
      <c r="K125" s="1282"/>
      <c r="L125" s="1282"/>
      <c r="M125" s="1282"/>
      <c r="N125" s="1282"/>
      <c r="O125" s="1282"/>
      <c r="P125" s="1282"/>
      <c r="Q125" s="1282"/>
      <c r="R125" s="1282"/>
      <c r="S125" s="1282"/>
      <c r="T125" s="1282"/>
      <c r="U125" s="1282"/>
      <c r="V125" s="1282"/>
      <c r="W125" s="1282"/>
      <c r="X125" s="1282"/>
      <c r="Y125" s="1282"/>
      <c r="Z125" s="1282"/>
    </row>
    <row r="126">
      <c r="A126" s="1282"/>
      <c r="B126" s="1282"/>
      <c r="C126" s="1282"/>
      <c r="D126" s="1282"/>
      <c r="E126" s="1282"/>
      <c r="F126" s="1282"/>
      <c r="G126" s="1282"/>
      <c r="H126" s="1282"/>
      <c r="I126" s="1282"/>
      <c r="J126" s="1282"/>
      <c r="K126" s="1282"/>
      <c r="L126" s="1282"/>
      <c r="M126" s="1282"/>
      <c r="N126" s="1282"/>
      <c r="O126" s="1282"/>
      <c r="P126" s="1282"/>
      <c r="Q126" s="1282"/>
      <c r="R126" s="1282"/>
      <c r="S126" s="1282"/>
      <c r="T126" s="1282"/>
      <c r="U126" s="1282"/>
      <c r="V126" s="1282"/>
      <c r="W126" s="1282"/>
      <c r="X126" s="1282"/>
      <c r="Y126" s="1282"/>
      <c r="Z126" s="1282"/>
    </row>
    <row r="127">
      <c r="A127" s="1282"/>
      <c r="B127" s="1282"/>
      <c r="C127" s="1282"/>
      <c r="D127" s="1282"/>
      <c r="E127" s="1282"/>
      <c r="F127" s="1282"/>
      <c r="G127" s="1282"/>
      <c r="H127" s="1282"/>
      <c r="I127" s="1282"/>
      <c r="J127" s="1282"/>
      <c r="K127" s="1282"/>
      <c r="L127" s="1282"/>
      <c r="M127" s="1282"/>
      <c r="N127" s="1282"/>
      <c r="O127" s="1282"/>
      <c r="P127" s="1282"/>
      <c r="Q127" s="1282"/>
      <c r="R127" s="1282"/>
      <c r="S127" s="1282"/>
      <c r="T127" s="1282"/>
      <c r="U127" s="1282"/>
      <c r="V127" s="1282"/>
      <c r="W127" s="1282"/>
      <c r="X127" s="1282"/>
      <c r="Y127" s="1282"/>
      <c r="Z127" s="1282"/>
    </row>
    <row r="128">
      <c r="A128" s="1282"/>
      <c r="B128" s="1282"/>
      <c r="C128" s="1282"/>
      <c r="D128" s="1282"/>
      <c r="E128" s="1282"/>
      <c r="F128" s="1282"/>
      <c r="G128" s="1282"/>
      <c r="H128" s="1282"/>
      <c r="I128" s="1282"/>
      <c r="J128" s="1282"/>
      <c r="K128" s="1282"/>
      <c r="L128" s="1282"/>
      <c r="M128" s="1282"/>
      <c r="N128" s="1282"/>
      <c r="O128" s="1282"/>
      <c r="P128" s="1282"/>
      <c r="Q128" s="1282"/>
      <c r="R128" s="1282"/>
      <c r="S128" s="1282"/>
      <c r="T128" s="1282"/>
      <c r="U128" s="1282"/>
      <c r="V128" s="1282"/>
      <c r="W128" s="1282"/>
      <c r="X128" s="1282"/>
      <c r="Y128" s="1282"/>
      <c r="Z128" s="1282"/>
    </row>
    <row r="129">
      <c r="A129" s="1282"/>
      <c r="B129" s="1282"/>
      <c r="C129" s="1282"/>
      <c r="D129" s="1282"/>
      <c r="E129" s="1282"/>
      <c r="F129" s="1282"/>
      <c r="G129" s="1282"/>
      <c r="H129" s="1282"/>
      <c r="I129" s="1282"/>
      <c r="J129" s="1282"/>
      <c r="K129" s="1282"/>
      <c r="L129" s="1282"/>
      <c r="M129" s="1282"/>
      <c r="N129" s="1282"/>
      <c r="O129" s="1282"/>
      <c r="P129" s="1282"/>
      <c r="Q129" s="1282"/>
      <c r="R129" s="1282"/>
      <c r="S129" s="1282"/>
      <c r="T129" s="1282"/>
      <c r="U129" s="1282"/>
      <c r="V129" s="1282"/>
      <c r="W129" s="1282"/>
      <c r="X129" s="1282"/>
      <c r="Y129" s="1282"/>
      <c r="Z129" s="1282"/>
    </row>
    <row r="130">
      <c r="A130" s="1282"/>
      <c r="B130" s="1282"/>
      <c r="C130" s="1282"/>
      <c r="D130" s="1282"/>
      <c r="E130" s="1282"/>
      <c r="F130" s="1282"/>
      <c r="G130" s="1282"/>
      <c r="H130" s="1282"/>
      <c r="I130" s="1282"/>
      <c r="J130" s="1282"/>
      <c r="K130" s="1282"/>
      <c r="L130" s="1282"/>
      <c r="M130" s="1282"/>
      <c r="N130" s="1282"/>
      <c r="O130" s="1282"/>
      <c r="P130" s="1282"/>
      <c r="Q130" s="1282"/>
      <c r="R130" s="1282"/>
      <c r="S130" s="1282"/>
      <c r="T130" s="1282"/>
      <c r="U130" s="1282"/>
      <c r="V130" s="1282"/>
      <c r="W130" s="1282"/>
      <c r="X130" s="1282"/>
      <c r="Y130" s="1282"/>
      <c r="Z130" s="1282"/>
    </row>
    <row r="131">
      <c r="A131" s="1282"/>
      <c r="B131" s="1282"/>
      <c r="C131" s="1282"/>
      <c r="D131" s="1282"/>
      <c r="E131" s="1282"/>
      <c r="F131" s="1282"/>
      <c r="G131" s="1282"/>
      <c r="H131" s="1282"/>
      <c r="I131" s="1282"/>
      <c r="J131" s="1282"/>
      <c r="K131" s="1282"/>
      <c r="L131" s="1282"/>
      <c r="M131" s="1282"/>
      <c r="N131" s="1282"/>
      <c r="O131" s="1282"/>
      <c r="P131" s="1282"/>
      <c r="Q131" s="1282"/>
      <c r="R131" s="1282"/>
      <c r="S131" s="1282"/>
      <c r="T131" s="1282"/>
      <c r="U131" s="1282"/>
      <c r="V131" s="1282"/>
      <c r="W131" s="1282"/>
      <c r="X131" s="1282"/>
      <c r="Y131" s="1282"/>
      <c r="Z131" s="1282"/>
    </row>
    <row r="132">
      <c r="A132" s="1282"/>
      <c r="B132" s="1282"/>
      <c r="C132" s="1282"/>
      <c r="D132" s="1282"/>
      <c r="E132" s="1282"/>
      <c r="F132" s="1282"/>
      <c r="G132" s="1282"/>
      <c r="H132" s="1282"/>
      <c r="I132" s="1282"/>
      <c r="J132" s="1282"/>
      <c r="K132" s="1282"/>
      <c r="L132" s="1282"/>
      <c r="M132" s="1282"/>
      <c r="N132" s="1282"/>
      <c r="O132" s="1282"/>
      <c r="P132" s="1282"/>
      <c r="Q132" s="1282"/>
      <c r="R132" s="1282"/>
      <c r="S132" s="1282"/>
      <c r="T132" s="1282"/>
      <c r="U132" s="1282"/>
      <c r="V132" s="1282"/>
      <c r="W132" s="1282"/>
      <c r="X132" s="1282"/>
      <c r="Y132" s="1282"/>
      <c r="Z132" s="1282"/>
    </row>
    <row r="133">
      <c r="A133" s="1282"/>
      <c r="B133" s="1282"/>
      <c r="C133" s="1282"/>
      <c r="D133" s="1282"/>
      <c r="E133" s="1282"/>
      <c r="F133" s="1282"/>
      <c r="G133" s="1282"/>
      <c r="H133" s="1282"/>
      <c r="I133" s="1282"/>
      <c r="J133" s="1282"/>
      <c r="K133" s="1282"/>
      <c r="L133" s="1282"/>
      <c r="M133" s="1282"/>
      <c r="N133" s="1282"/>
      <c r="O133" s="1282"/>
      <c r="P133" s="1282"/>
      <c r="Q133" s="1282"/>
      <c r="R133" s="1282"/>
      <c r="S133" s="1282"/>
      <c r="T133" s="1282"/>
      <c r="U133" s="1282"/>
      <c r="V133" s="1282"/>
      <c r="W133" s="1282"/>
      <c r="X133" s="1282"/>
      <c r="Y133" s="1282"/>
      <c r="Z133" s="1282"/>
    </row>
    <row r="134">
      <c r="A134" s="1282"/>
      <c r="B134" s="1282"/>
      <c r="C134" s="1282"/>
      <c r="D134" s="1282"/>
      <c r="E134" s="1282"/>
      <c r="F134" s="1282"/>
      <c r="G134" s="1282"/>
      <c r="H134" s="1282"/>
      <c r="I134" s="1282"/>
      <c r="J134" s="1282"/>
      <c r="K134" s="1282"/>
      <c r="L134" s="1282"/>
      <c r="M134" s="1282"/>
      <c r="N134" s="1282"/>
      <c r="O134" s="1282"/>
      <c r="P134" s="1282"/>
      <c r="Q134" s="1282"/>
      <c r="R134" s="1282"/>
      <c r="S134" s="1282"/>
      <c r="T134" s="1282"/>
      <c r="U134" s="1282"/>
      <c r="V134" s="1282"/>
      <c r="W134" s="1282"/>
      <c r="X134" s="1282"/>
      <c r="Y134" s="1282"/>
      <c r="Z134" s="1282"/>
    </row>
    <row r="135">
      <c r="A135" s="1282"/>
      <c r="B135" s="1282"/>
      <c r="C135" s="1282"/>
      <c r="D135" s="1282"/>
      <c r="E135" s="1282"/>
      <c r="F135" s="1282"/>
      <c r="G135" s="1282"/>
      <c r="H135" s="1282"/>
      <c r="I135" s="1282"/>
      <c r="J135" s="1282"/>
      <c r="K135" s="1282"/>
      <c r="L135" s="1282"/>
      <c r="M135" s="1282"/>
      <c r="N135" s="1282"/>
      <c r="O135" s="1282"/>
      <c r="P135" s="1282"/>
      <c r="Q135" s="1282"/>
      <c r="R135" s="1282"/>
      <c r="S135" s="1282"/>
      <c r="T135" s="1282"/>
      <c r="U135" s="1282"/>
      <c r="V135" s="1282"/>
      <c r="W135" s="1282"/>
      <c r="X135" s="1282"/>
      <c r="Y135" s="1282"/>
      <c r="Z135" s="1282"/>
    </row>
    <row r="136">
      <c r="A136" s="1282"/>
      <c r="B136" s="1282"/>
      <c r="C136" s="1282"/>
      <c r="D136" s="1282"/>
      <c r="E136" s="1282"/>
      <c r="F136" s="1282"/>
      <c r="G136" s="1282"/>
      <c r="H136" s="1282"/>
      <c r="I136" s="1282"/>
      <c r="J136" s="1282"/>
      <c r="K136" s="1282"/>
      <c r="L136" s="1282"/>
      <c r="M136" s="1282"/>
      <c r="N136" s="1282"/>
      <c r="O136" s="1282"/>
      <c r="P136" s="1282"/>
      <c r="Q136" s="1282"/>
      <c r="R136" s="1282"/>
      <c r="S136" s="1282"/>
      <c r="T136" s="1282"/>
      <c r="U136" s="1282"/>
      <c r="V136" s="1282"/>
      <c r="W136" s="1282"/>
      <c r="X136" s="1282"/>
      <c r="Y136" s="1282"/>
      <c r="Z136" s="1282"/>
    </row>
    <row r="137">
      <c r="A137" s="1282"/>
      <c r="B137" s="1282"/>
      <c r="C137" s="1282"/>
      <c r="D137" s="1282"/>
      <c r="E137" s="1282"/>
      <c r="F137" s="1282"/>
      <c r="G137" s="1282"/>
      <c r="H137" s="1282"/>
      <c r="I137" s="1282"/>
      <c r="J137" s="1282"/>
      <c r="K137" s="1282"/>
      <c r="L137" s="1282"/>
      <c r="M137" s="1282"/>
      <c r="N137" s="1282"/>
      <c r="O137" s="1282"/>
      <c r="P137" s="1282"/>
      <c r="Q137" s="1282"/>
      <c r="R137" s="1282"/>
      <c r="S137" s="1282"/>
      <c r="T137" s="1282"/>
      <c r="U137" s="1282"/>
      <c r="V137" s="1282"/>
      <c r="W137" s="1282"/>
      <c r="X137" s="1282"/>
      <c r="Y137" s="1282"/>
      <c r="Z137" s="1282"/>
    </row>
    <row r="138">
      <c r="A138" s="1282"/>
      <c r="B138" s="1282"/>
      <c r="C138" s="1282"/>
      <c r="D138" s="1282"/>
      <c r="E138" s="1282"/>
      <c r="F138" s="1282"/>
      <c r="G138" s="1282"/>
      <c r="H138" s="1282"/>
      <c r="I138" s="1282"/>
      <c r="J138" s="1282"/>
      <c r="K138" s="1282"/>
      <c r="L138" s="1282"/>
      <c r="M138" s="1282"/>
      <c r="N138" s="1282"/>
      <c r="O138" s="1282"/>
      <c r="P138" s="1282"/>
      <c r="Q138" s="1282"/>
      <c r="R138" s="1282"/>
      <c r="S138" s="1282"/>
      <c r="T138" s="1282"/>
      <c r="U138" s="1282"/>
      <c r="V138" s="1282"/>
      <c r="W138" s="1282"/>
      <c r="X138" s="1282"/>
      <c r="Y138" s="1282"/>
      <c r="Z138" s="1282"/>
    </row>
    <row r="139">
      <c r="A139" s="1282"/>
      <c r="B139" s="1282"/>
      <c r="C139" s="1282"/>
      <c r="D139" s="1282"/>
      <c r="E139" s="1282"/>
      <c r="F139" s="1282"/>
      <c r="G139" s="1282"/>
      <c r="H139" s="1282"/>
      <c r="I139" s="1282"/>
      <c r="J139" s="1282"/>
      <c r="K139" s="1282"/>
      <c r="L139" s="1282"/>
      <c r="M139" s="1282"/>
      <c r="N139" s="1282"/>
      <c r="O139" s="1282"/>
      <c r="P139" s="1282"/>
      <c r="Q139" s="1282"/>
      <c r="R139" s="1282"/>
      <c r="S139" s="1282"/>
      <c r="T139" s="1282"/>
      <c r="U139" s="1282"/>
      <c r="V139" s="1282"/>
      <c r="W139" s="1282"/>
      <c r="X139" s="1282"/>
      <c r="Y139" s="1282"/>
      <c r="Z139" s="1282"/>
    </row>
    <row r="140">
      <c r="A140" s="1282"/>
      <c r="B140" s="1282"/>
      <c r="C140" s="1282"/>
      <c r="D140" s="1282"/>
      <c r="E140" s="1282"/>
      <c r="F140" s="1282"/>
      <c r="G140" s="1282"/>
      <c r="H140" s="1282"/>
      <c r="I140" s="1282"/>
      <c r="J140" s="1282"/>
      <c r="K140" s="1282"/>
      <c r="L140" s="1282"/>
      <c r="M140" s="1282"/>
      <c r="N140" s="1282"/>
      <c r="O140" s="1282"/>
      <c r="P140" s="1282"/>
      <c r="Q140" s="1282"/>
      <c r="R140" s="1282"/>
      <c r="S140" s="1282"/>
      <c r="T140" s="1282"/>
      <c r="U140" s="1282"/>
      <c r="V140" s="1282"/>
      <c r="W140" s="1282"/>
      <c r="X140" s="1282"/>
      <c r="Y140" s="1282"/>
      <c r="Z140" s="1282"/>
    </row>
    <row r="141">
      <c r="A141" s="1282"/>
      <c r="B141" s="1282"/>
      <c r="C141" s="1282"/>
      <c r="D141" s="1282"/>
      <c r="E141" s="1282"/>
      <c r="F141" s="1282"/>
      <c r="G141" s="1282"/>
      <c r="H141" s="1282"/>
      <c r="I141" s="1282"/>
      <c r="J141" s="1282"/>
      <c r="K141" s="1282"/>
      <c r="L141" s="1282"/>
      <c r="M141" s="1282"/>
      <c r="N141" s="1282"/>
      <c r="O141" s="1282"/>
      <c r="P141" s="1282"/>
      <c r="Q141" s="1282"/>
      <c r="R141" s="1282"/>
      <c r="S141" s="1282"/>
      <c r="T141" s="1282"/>
      <c r="U141" s="1282"/>
      <c r="V141" s="1282"/>
      <c r="W141" s="1282"/>
      <c r="X141" s="1282"/>
      <c r="Y141" s="1282"/>
      <c r="Z141" s="1282"/>
    </row>
    <row r="142">
      <c r="A142" s="1282"/>
      <c r="B142" s="1282"/>
      <c r="C142" s="1282"/>
      <c r="D142" s="1282"/>
      <c r="E142" s="1282"/>
      <c r="F142" s="1282"/>
      <c r="G142" s="1282"/>
      <c r="H142" s="1282"/>
      <c r="I142" s="1282"/>
      <c r="J142" s="1282"/>
      <c r="K142" s="1282"/>
      <c r="L142" s="1282"/>
      <c r="M142" s="1282"/>
      <c r="N142" s="1282"/>
      <c r="O142" s="1282"/>
      <c r="P142" s="1282"/>
      <c r="Q142" s="1282"/>
      <c r="R142" s="1282"/>
      <c r="S142" s="1282"/>
      <c r="T142" s="1282"/>
      <c r="U142" s="1282"/>
      <c r="V142" s="1282"/>
      <c r="W142" s="1282"/>
      <c r="X142" s="1282"/>
      <c r="Y142" s="1282"/>
      <c r="Z142" s="1282"/>
    </row>
    <row r="143">
      <c r="A143" s="1282"/>
      <c r="B143" s="1282"/>
      <c r="C143" s="1282"/>
      <c r="D143" s="1282"/>
      <c r="E143" s="1282"/>
      <c r="F143" s="1282"/>
      <c r="G143" s="1282"/>
      <c r="H143" s="1282"/>
      <c r="I143" s="1282"/>
      <c r="J143" s="1282"/>
      <c r="K143" s="1282"/>
      <c r="L143" s="1282"/>
      <c r="M143" s="1282"/>
      <c r="N143" s="1282"/>
      <c r="O143" s="1282"/>
      <c r="P143" s="1282"/>
      <c r="Q143" s="1282"/>
      <c r="R143" s="1282"/>
      <c r="S143" s="1282"/>
      <c r="T143" s="1282"/>
      <c r="U143" s="1282"/>
      <c r="V143" s="1282"/>
      <c r="W143" s="1282"/>
      <c r="X143" s="1282"/>
      <c r="Y143" s="1282"/>
      <c r="Z143" s="1282"/>
    </row>
    <row r="144">
      <c r="A144" s="1282"/>
      <c r="B144" s="1282"/>
      <c r="C144" s="1282"/>
      <c r="D144" s="1282"/>
      <c r="E144" s="1282"/>
      <c r="F144" s="1282"/>
      <c r="G144" s="1282"/>
      <c r="H144" s="1282"/>
      <c r="I144" s="1282"/>
      <c r="J144" s="1282"/>
      <c r="K144" s="1282"/>
      <c r="L144" s="1282"/>
      <c r="M144" s="1282"/>
      <c r="N144" s="1282"/>
      <c r="O144" s="1282"/>
      <c r="P144" s="1282"/>
      <c r="Q144" s="1282"/>
      <c r="R144" s="1282"/>
      <c r="S144" s="1282"/>
      <c r="T144" s="1282"/>
      <c r="U144" s="1282"/>
      <c r="V144" s="1282"/>
      <c r="W144" s="1282"/>
      <c r="X144" s="1282"/>
      <c r="Y144" s="1282"/>
      <c r="Z144" s="1282"/>
    </row>
    <row r="145">
      <c r="A145" s="1282"/>
      <c r="B145" s="1282"/>
      <c r="C145" s="1282"/>
      <c r="D145" s="1282"/>
      <c r="E145" s="1282"/>
      <c r="F145" s="1282"/>
      <c r="G145" s="1282"/>
      <c r="H145" s="1282"/>
      <c r="I145" s="1282"/>
      <c r="J145" s="1282"/>
      <c r="K145" s="1282"/>
      <c r="L145" s="1282"/>
      <c r="M145" s="1282"/>
      <c r="N145" s="1282"/>
      <c r="O145" s="1282"/>
      <c r="P145" s="1282"/>
      <c r="Q145" s="1282"/>
      <c r="R145" s="1282"/>
      <c r="S145" s="1282"/>
      <c r="T145" s="1282"/>
      <c r="U145" s="1282"/>
      <c r="V145" s="1282"/>
      <c r="W145" s="1282"/>
      <c r="X145" s="1282"/>
      <c r="Y145" s="1282"/>
      <c r="Z145" s="1282"/>
    </row>
    <row r="146">
      <c r="A146" s="1282"/>
      <c r="B146" s="1282"/>
      <c r="C146" s="1282"/>
      <c r="D146" s="1282"/>
      <c r="E146" s="1282"/>
      <c r="F146" s="1282"/>
      <c r="G146" s="1282"/>
      <c r="H146" s="1282"/>
      <c r="I146" s="1282"/>
      <c r="J146" s="1282"/>
      <c r="K146" s="1282"/>
      <c r="L146" s="1282"/>
      <c r="M146" s="1282"/>
      <c r="N146" s="1282"/>
      <c r="O146" s="1282"/>
      <c r="P146" s="1282"/>
      <c r="Q146" s="1282"/>
      <c r="R146" s="1282"/>
      <c r="S146" s="1282"/>
      <c r="T146" s="1282"/>
      <c r="U146" s="1282"/>
      <c r="V146" s="1282"/>
      <c r="W146" s="1282"/>
      <c r="X146" s="1282"/>
      <c r="Y146" s="1282"/>
      <c r="Z146" s="1282"/>
    </row>
    <row r="147">
      <c r="A147" s="1282"/>
      <c r="B147" s="1282"/>
      <c r="C147" s="1282"/>
      <c r="D147" s="1282"/>
      <c r="E147" s="1282"/>
      <c r="F147" s="1282"/>
      <c r="G147" s="1282"/>
      <c r="H147" s="1282"/>
      <c r="I147" s="1282"/>
      <c r="J147" s="1282"/>
      <c r="K147" s="1282"/>
      <c r="L147" s="1282"/>
      <c r="M147" s="1282"/>
      <c r="N147" s="1282"/>
      <c r="O147" s="1282"/>
      <c r="P147" s="1282"/>
      <c r="Q147" s="1282"/>
      <c r="R147" s="1282"/>
      <c r="S147" s="1282"/>
      <c r="T147" s="1282"/>
      <c r="U147" s="1282"/>
      <c r="V147" s="1282"/>
      <c r="W147" s="1282"/>
      <c r="X147" s="1282"/>
      <c r="Y147" s="1282"/>
      <c r="Z147" s="1282"/>
    </row>
    <row r="148">
      <c r="A148" s="1282"/>
      <c r="B148" s="1282"/>
      <c r="C148" s="1282"/>
      <c r="D148" s="1282"/>
      <c r="E148" s="1282"/>
      <c r="F148" s="1282"/>
      <c r="G148" s="1282"/>
      <c r="H148" s="1282"/>
      <c r="I148" s="1282"/>
      <c r="J148" s="1282"/>
      <c r="K148" s="1282"/>
      <c r="L148" s="1282"/>
      <c r="M148" s="1282"/>
      <c r="N148" s="1282"/>
      <c r="O148" s="1282"/>
      <c r="P148" s="1282"/>
      <c r="Q148" s="1282"/>
      <c r="R148" s="1282"/>
      <c r="S148" s="1282"/>
      <c r="T148" s="1282"/>
      <c r="U148" s="1282"/>
      <c r="V148" s="1282"/>
      <c r="W148" s="1282"/>
      <c r="X148" s="1282"/>
      <c r="Y148" s="1282"/>
      <c r="Z148" s="1282"/>
    </row>
    <row r="149">
      <c r="A149" s="1282"/>
      <c r="B149" s="1282"/>
      <c r="C149" s="1282"/>
      <c r="D149" s="1282"/>
      <c r="E149" s="1282"/>
      <c r="F149" s="1282"/>
      <c r="G149" s="1282"/>
      <c r="H149" s="1282"/>
      <c r="I149" s="1282"/>
      <c r="J149" s="1282"/>
      <c r="K149" s="1282"/>
      <c r="L149" s="1282"/>
      <c r="M149" s="1282"/>
      <c r="N149" s="1282"/>
      <c r="O149" s="1282"/>
      <c r="P149" s="1282"/>
      <c r="Q149" s="1282"/>
      <c r="R149" s="1282"/>
      <c r="S149" s="1282"/>
      <c r="T149" s="1282"/>
      <c r="U149" s="1282"/>
      <c r="V149" s="1282"/>
      <c r="W149" s="1282"/>
      <c r="X149" s="1282"/>
      <c r="Y149" s="1282"/>
      <c r="Z149" s="1282"/>
    </row>
    <row r="150">
      <c r="A150" s="1282"/>
      <c r="B150" s="1282"/>
      <c r="C150" s="1282"/>
      <c r="D150" s="1282"/>
      <c r="E150" s="1282"/>
      <c r="F150" s="1282"/>
      <c r="G150" s="1282"/>
      <c r="H150" s="1282"/>
      <c r="I150" s="1282"/>
      <c r="J150" s="1282"/>
      <c r="K150" s="1282"/>
      <c r="L150" s="1282"/>
      <c r="M150" s="1282"/>
      <c r="N150" s="1282"/>
      <c r="O150" s="1282"/>
      <c r="P150" s="1282"/>
      <c r="Q150" s="1282"/>
      <c r="R150" s="1282"/>
      <c r="S150" s="1282"/>
      <c r="T150" s="1282"/>
      <c r="U150" s="1282"/>
      <c r="V150" s="1282"/>
      <c r="W150" s="1282"/>
      <c r="X150" s="1282"/>
      <c r="Y150" s="1282"/>
      <c r="Z150" s="1282"/>
    </row>
    <row r="151">
      <c r="A151" s="1282"/>
      <c r="B151" s="1282"/>
      <c r="C151" s="1282"/>
      <c r="D151" s="1282"/>
      <c r="E151" s="1282"/>
      <c r="F151" s="1282"/>
      <c r="G151" s="1282"/>
      <c r="H151" s="1282"/>
      <c r="I151" s="1282"/>
      <c r="J151" s="1282"/>
      <c r="K151" s="1282"/>
      <c r="L151" s="1282"/>
      <c r="M151" s="1282"/>
      <c r="N151" s="1282"/>
      <c r="O151" s="1282"/>
      <c r="P151" s="1282"/>
      <c r="Q151" s="1282"/>
      <c r="R151" s="1282"/>
      <c r="S151" s="1282"/>
      <c r="T151" s="1282"/>
      <c r="U151" s="1282"/>
      <c r="V151" s="1282"/>
      <c r="W151" s="1282"/>
      <c r="X151" s="1282"/>
      <c r="Y151" s="1282"/>
      <c r="Z151" s="1282"/>
    </row>
    <row r="152">
      <c r="A152" s="1282"/>
      <c r="B152" s="1282"/>
      <c r="C152" s="1282"/>
      <c r="D152" s="1282"/>
      <c r="E152" s="1282"/>
      <c r="F152" s="1282"/>
      <c r="G152" s="1282"/>
      <c r="H152" s="1282"/>
      <c r="I152" s="1282"/>
      <c r="J152" s="1282"/>
      <c r="K152" s="1282"/>
      <c r="L152" s="1282"/>
      <c r="M152" s="1282"/>
      <c r="N152" s="1282"/>
      <c r="O152" s="1282"/>
      <c r="P152" s="1282"/>
      <c r="Q152" s="1282"/>
      <c r="R152" s="1282"/>
      <c r="S152" s="1282"/>
      <c r="T152" s="1282"/>
      <c r="U152" s="1282"/>
      <c r="V152" s="1282"/>
      <c r="W152" s="1282"/>
      <c r="X152" s="1282"/>
      <c r="Y152" s="1282"/>
      <c r="Z152" s="1282"/>
    </row>
    <row r="153">
      <c r="A153" s="1282"/>
      <c r="B153" s="1282"/>
      <c r="C153" s="1282"/>
      <c r="D153" s="1282"/>
      <c r="E153" s="1282"/>
      <c r="F153" s="1282"/>
      <c r="G153" s="1282"/>
      <c r="H153" s="1282"/>
      <c r="I153" s="1282"/>
      <c r="J153" s="1282"/>
      <c r="K153" s="1282"/>
      <c r="L153" s="1282"/>
      <c r="M153" s="1282"/>
      <c r="N153" s="1282"/>
      <c r="O153" s="1282"/>
      <c r="P153" s="1282"/>
      <c r="Q153" s="1282"/>
      <c r="R153" s="1282"/>
      <c r="S153" s="1282"/>
      <c r="T153" s="1282"/>
      <c r="U153" s="1282"/>
      <c r="V153" s="1282"/>
      <c r="W153" s="1282"/>
      <c r="X153" s="1282"/>
      <c r="Y153" s="1282"/>
      <c r="Z153" s="1282"/>
    </row>
    <row r="154">
      <c r="A154" s="1282"/>
      <c r="B154" s="1282"/>
      <c r="C154" s="1282"/>
      <c r="D154" s="1282"/>
      <c r="E154" s="1282"/>
      <c r="F154" s="1282"/>
      <c r="G154" s="1282"/>
      <c r="H154" s="1282"/>
      <c r="I154" s="1282"/>
      <c r="J154" s="1282"/>
      <c r="K154" s="1282"/>
      <c r="L154" s="1282"/>
      <c r="M154" s="1282"/>
      <c r="N154" s="1282"/>
      <c r="O154" s="1282"/>
      <c r="P154" s="1282"/>
      <c r="Q154" s="1282"/>
      <c r="R154" s="1282"/>
      <c r="S154" s="1282"/>
      <c r="T154" s="1282"/>
      <c r="U154" s="1282"/>
      <c r="V154" s="1282"/>
      <c r="W154" s="1282"/>
      <c r="X154" s="1282"/>
      <c r="Y154" s="1282"/>
      <c r="Z154" s="1282"/>
    </row>
    <row r="155">
      <c r="A155" s="1282"/>
      <c r="B155" s="1282"/>
      <c r="C155" s="1282"/>
      <c r="D155" s="1282"/>
      <c r="E155" s="1282"/>
      <c r="F155" s="1282"/>
      <c r="G155" s="1282"/>
      <c r="H155" s="1282"/>
      <c r="I155" s="1282"/>
      <c r="J155" s="1282"/>
      <c r="K155" s="1282"/>
      <c r="L155" s="1282"/>
      <c r="M155" s="1282"/>
      <c r="N155" s="1282"/>
      <c r="O155" s="1282"/>
      <c r="P155" s="1282"/>
      <c r="Q155" s="1282"/>
      <c r="R155" s="1282"/>
      <c r="S155" s="1282"/>
      <c r="T155" s="1282"/>
      <c r="U155" s="1282"/>
      <c r="V155" s="1282"/>
      <c r="W155" s="1282"/>
      <c r="X155" s="1282"/>
      <c r="Y155" s="1282"/>
      <c r="Z155" s="1282"/>
    </row>
    <row r="156">
      <c r="A156" s="1282"/>
      <c r="B156" s="1282"/>
      <c r="C156" s="1282"/>
      <c r="D156" s="1282"/>
      <c r="E156" s="1282"/>
      <c r="F156" s="1282"/>
      <c r="G156" s="1282"/>
      <c r="H156" s="1282"/>
      <c r="I156" s="1282"/>
      <c r="J156" s="1282"/>
      <c r="K156" s="1282"/>
      <c r="L156" s="1282"/>
      <c r="M156" s="1282"/>
      <c r="N156" s="1282"/>
      <c r="O156" s="1282"/>
      <c r="P156" s="1282"/>
      <c r="Q156" s="1282"/>
      <c r="R156" s="1282"/>
      <c r="S156" s="1282"/>
      <c r="T156" s="1282"/>
      <c r="U156" s="1282"/>
      <c r="V156" s="1282"/>
      <c r="W156" s="1282"/>
      <c r="X156" s="1282"/>
      <c r="Y156" s="1282"/>
      <c r="Z156" s="1282"/>
    </row>
    <row r="157">
      <c r="A157" s="1282"/>
      <c r="B157" s="1282"/>
      <c r="C157" s="1282"/>
      <c r="D157" s="1282"/>
      <c r="E157" s="1282"/>
      <c r="F157" s="1282"/>
      <c r="G157" s="1282"/>
      <c r="H157" s="1282"/>
      <c r="I157" s="1282"/>
      <c r="J157" s="1282"/>
      <c r="K157" s="1282"/>
      <c r="L157" s="1282"/>
      <c r="M157" s="1282"/>
      <c r="N157" s="1282"/>
      <c r="O157" s="1282"/>
      <c r="P157" s="1282"/>
      <c r="Q157" s="1282"/>
      <c r="R157" s="1282"/>
      <c r="S157" s="1282"/>
      <c r="T157" s="1282"/>
      <c r="U157" s="1282"/>
      <c r="V157" s="1282"/>
      <c r="W157" s="1282"/>
      <c r="X157" s="1282"/>
      <c r="Y157" s="1282"/>
      <c r="Z157" s="1282"/>
    </row>
    <row r="158">
      <c r="A158" s="1282"/>
      <c r="B158" s="1282"/>
      <c r="C158" s="1282"/>
      <c r="D158" s="1282"/>
      <c r="E158" s="1282"/>
      <c r="F158" s="1282"/>
      <c r="G158" s="1282"/>
      <c r="H158" s="1282"/>
      <c r="I158" s="1282"/>
      <c r="J158" s="1282"/>
      <c r="K158" s="1282"/>
      <c r="L158" s="1282"/>
      <c r="M158" s="1282"/>
      <c r="N158" s="1282"/>
      <c r="O158" s="1282"/>
      <c r="P158" s="1282"/>
      <c r="Q158" s="1282"/>
      <c r="R158" s="1282"/>
      <c r="S158" s="1282"/>
      <c r="T158" s="1282"/>
      <c r="U158" s="1282"/>
      <c r="V158" s="1282"/>
      <c r="W158" s="1282"/>
      <c r="X158" s="1282"/>
      <c r="Y158" s="1282"/>
      <c r="Z158" s="1282"/>
    </row>
    <row r="159">
      <c r="A159" s="1282"/>
      <c r="B159" s="1282"/>
      <c r="C159" s="1282"/>
      <c r="D159" s="1282"/>
      <c r="E159" s="1282"/>
      <c r="F159" s="1282"/>
      <c r="G159" s="1282"/>
      <c r="H159" s="1282"/>
      <c r="I159" s="1282"/>
      <c r="J159" s="1282"/>
      <c r="K159" s="1282"/>
      <c r="L159" s="1282"/>
      <c r="M159" s="1282"/>
      <c r="N159" s="1282"/>
      <c r="O159" s="1282"/>
      <c r="P159" s="1282"/>
      <c r="Q159" s="1282"/>
      <c r="R159" s="1282"/>
      <c r="S159" s="1282"/>
      <c r="T159" s="1282"/>
      <c r="U159" s="1282"/>
      <c r="V159" s="1282"/>
      <c r="W159" s="1282"/>
      <c r="X159" s="1282"/>
      <c r="Y159" s="1282"/>
      <c r="Z159" s="1282"/>
    </row>
    <row r="160">
      <c r="A160" s="1282"/>
      <c r="B160" s="1282"/>
      <c r="C160" s="1282"/>
      <c r="D160" s="1282"/>
      <c r="E160" s="1282"/>
      <c r="F160" s="1282"/>
      <c r="G160" s="1282"/>
      <c r="H160" s="1282"/>
      <c r="I160" s="1282"/>
      <c r="J160" s="1282"/>
      <c r="K160" s="1282"/>
      <c r="L160" s="1282"/>
      <c r="M160" s="1282"/>
      <c r="N160" s="1282"/>
      <c r="O160" s="1282"/>
      <c r="P160" s="1282"/>
      <c r="Q160" s="1282"/>
      <c r="R160" s="1282"/>
      <c r="S160" s="1282"/>
      <c r="T160" s="1282"/>
      <c r="U160" s="1282"/>
      <c r="V160" s="1282"/>
      <c r="W160" s="1282"/>
      <c r="X160" s="1282"/>
      <c r="Y160" s="1282"/>
      <c r="Z160" s="1282"/>
    </row>
    <row r="161">
      <c r="A161" s="1282"/>
      <c r="B161" s="1282"/>
      <c r="C161" s="1282"/>
      <c r="D161" s="1282"/>
      <c r="E161" s="1282"/>
      <c r="F161" s="1282"/>
      <c r="G161" s="1282"/>
      <c r="H161" s="1282"/>
      <c r="I161" s="1282"/>
      <c r="J161" s="1282"/>
      <c r="K161" s="1282"/>
      <c r="L161" s="1282"/>
      <c r="M161" s="1282"/>
      <c r="N161" s="1282"/>
      <c r="O161" s="1282"/>
      <c r="P161" s="1282"/>
      <c r="Q161" s="1282"/>
      <c r="R161" s="1282"/>
      <c r="S161" s="1282"/>
      <c r="T161" s="1282"/>
      <c r="U161" s="1282"/>
      <c r="V161" s="1282"/>
      <c r="W161" s="1282"/>
      <c r="X161" s="1282"/>
      <c r="Y161" s="1282"/>
      <c r="Z161" s="1282"/>
    </row>
    <row r="162">
      <c r="A162" s="1282"/>
      <c r="B162" s="1282"/>
      <c r="C162" s="1282"/>
      <c r="D162" s="1282"/>
      <c r="E162" s="1282"/>
      <c r="F162" s="1282"/>
      <c r="G162" s="1282"/>
      <c r="H162" s="1282"/>
      <c r="I162" s="1282"/>
      <c r="J162" s="1282"/>
      <c r="K162" s="1282"/>
      <c r="L162" s="1282"/>
      <c r="M162" s="1282"/>
      <c r="N162" s="1282"/>
      <c r="O162" s="1282"/>
      <c r="P162" s="1282"/>
      <c r="Q162" s="1282"/>
      <c r="R162" s="1282"/>
      <c r="S162" s="1282"/>
      <c r="T162" s="1282"/>
      <c r="U162" s="1282"/>
      <c r="V162" s="1282"/>
      <c r="W162" s="1282"/>
      <c r="X162" s="1282"/>
      <c r="Y162" s="1282"/>
      <c r="Z162" s="1282"/>
    </row>
    <row r="163">
      <c r="A163" s="1282"/>
      <c r="B163" s="1282"/>
      <c r="C163" s="1282"/>
      <c r="D163" s="1282"/>
      <c r="E163" s="1282"/>
      <c r="F163" s="1282"/>
      <c r="G163" s="1282"/>
      <c r="H163" s="1282"/>
      <c r="I163" s="1282"/>
      <c r="J163" s="1282"/>
      <c r="K163" s="1282"/>
      <c r="L163" s="1282"/>
      <c r="M163" s="1282"/>
      <c r="N163" s="1282"/>
      <c r="O163" s="1282"/>
      <c r="P163" s="1282"/>
      <c r="Q163" s="1282"/>
      <c r="R163" s="1282"/>
      <c r="S163" s="1282"/>
      <c r="T163" s="1282"/>
      <c r="U163" s="1282"/>
      <c r="V163" s="1282"/>
      <c r="W163" s="1282"/>
      <c r="X163" s="1282"/>
      <c r="Y163" s="1282"/>
      <c r="Z163" s="1282"/>
    </row>
    <row r="164">
      <c r="A164" s="1282"/>
      <c r="B164" s="1282"/>
      <c r="C164" s="1282"/>
      <c r="D164" s="1282"/>
      <c r="E164" s="1282"/>
      <c r="F164" s="1282"/>
      <c r="G164" s="1282"/>
      <c r="H164" s="1282"/>
      <c r="I164" s="1282"/>
      <c r="J164" s="1282"/>
      <c r="K164" s="1282"/>
      <c r="L164" s="1282"/>
      <c r="M164" s="1282"/>
      <c r="N164" s="1282"/>
      <c r="O164" s="1282"/>
      <c r="P164" s="1282"/>
      <c r="Q164" s="1282"/>
      <c r="R164" s="1282"/>
      <c r="S164" s="1282"/>
      <c r="T164" s="1282"/>
      <c r="U164" s="1282"/>
      <c r="V164" s="1282"/>
      <c r="W164" s="1282"/>
      <c r="X164" s="1282"/>
      <c r="Y164" s="1282"/>
      <c r="Z164" s="1282"/>
    </row>
    <row r="165">
      <c r="A165" s="1282"/>
      <c r="B165" s="1282"/>
      <c r="C165" s="1282"/>
      <c r="D165" s="1282"/>
      <c r="E165" s="1282"/>
      <c r="F165" s="1282"/>
      <c r="G165" s="1282"/>
      <c r="H165" s="1282"/>
      <c r="I165" s="1282"/>
      <c r="J165" s="1282"/>
      <c r="K165" s="1282"/>
      <c r="L165" s="1282"/>
      <c r="M165" s="1282"/>
      <c r="N165" s="1282"/>
      <c r="O165" s="1282"/>
      <c r="P165" s="1282"/>
      <c r="Q165" s="1282"/>
      <c r="R165" s="1282"/>
      <c r="S165" s="1282"/>
      <c r="T165" s="1282"/>
      <c r="U165" s="1282"/>
      <c r="V165" s="1282"/>
      <c r="W165" s="1282"/>
      <c r="X165" s="1282"/>
      <c r="Y165" s="1282"/>
      <c r="Z165" s="1282"/>
    </row>
    <row r="166">
      <c r="A166" s="1282"/>
      <c r="B166" s="1282"/>
      <c r="C166" s="1282"/>
      <c r="D166" s="1282"/>
      <c r="E166" s="1282"/>
      <c r="F166" s="1282"/>
      <c r="G166" s="1282"/>
      <c r="H166" s="1282"/>
      <c r="I166" s="1282"/>
      <c r="J166" s="1282"/>
      <c r="K166" s="1282"/>
      <c r="L166" s="1282"/>
      <c r="M166" s="1282"/>
      <c r="N166" s="1282"/>
      <c r="O166" s="1282"/>
      <c r="P166" s="1282"/>
      <c r="Q166" s="1282"/>
      <c r="R166" s="1282"/>
      <c r="S166" s="1282"/>
      <c r="T166" s="1282"/>
      <c r="U166" s="1282"/>
      <c r="V166" s="1282"/>
      <c r="W166" s="1282"/>
      <c r="X166" s="1282"/>
      <c r="Y166" s="1282"/>
      <c r="Z166" s="1282"/>
    </row>
    <row r="167">
      <c r="A167" s="1282"/>
      <c r="B167" s="1282"/>
      <c r="C167" s="1282"/>
      <c r="D167" s="1282"/>
      <c r="E167" s="1282"/>
      <c r="F167" s="1282"/>
      <c r="G167" s="1282"/>
      <c r="H167" s="1282"/>
      <c r="I167" s="1282"/>
      <c r="J167" s="1282"/>
      <c r="K167" s="1282"/>
      <c r="L167" s="1282"/>
      <c r="M167" s="1282"/>
      <c r="N167" s="1282"/>
      <c r="O167" s="1282"/>
      <c r="P167" s="1282"/>
      <c r="Q167" s="1282"/>
      <c r="R167" s="1282"/>
      <c r="S167" s="1282"/>
      <c r="T167" s="1282"/>
      <c r="U167" s="1282"/>
      <c r="V167" s="1282"/>
      <c r="W167" s="1282"/>
      <c r="X167" s="1282"/>
      <c r="Y167" s="1282"/>
      <c r="Z167" s="1282"/>
    </row>
    <row r="168">
      <c r="A168" s="1282"/>
      <c r="B168" s="1282"/>
      <c r="C168" s="1282"/>
      <c r="D168" s="1282"/>
      <c r="E168" s="1282"/>
      <c r="F168" s="1282"/>
      <c r="G168" s="1282"/>
      <c r="H168" s="1282"/>
      <c r="I168" s="1282"/>
      <c r="J168" s="1282"/>
      <c r="K168" s="1282"/>
      <c r="L168" s="1282"/>
      <c r="M168" s="1282"/>
      <c r="N168" s="1282"/>
      <c r="O168" s="1282"/>
      <c r="P168" s="1282"/>
      <c r="Q168" s="1282"/>
      <c r="R168" s="1282"/>
      <c r="S168" s="1282"/>
      <c r="T168" s="1282"/>
      <c r="U168" s="1282"/>
      <c r="V168" s="1282"/>
      <c r="W168" s="1282"/>
      <c r="X168" s="1282"/>
      <c r="Y168" s="1282"/>
      <c r="Z168" s="1282"/>
    </row>
    <row r="169">
      <c r="A169" s="1282"/>
      <c r="B169" s="1282"/>
      <c r="C169" s="1282"/>
      <c r="D169" s="1282"/>
      <c r="E169" s="1282"/>
      <c r="F169" s="1282"/>
      <c r="G169" s="1282"/>
      <c r="H169" s="1282"/>
      <c r="I169" s="1282"/>
      <c r="J169" s="1282"/>
      <c r="K169" s="1282"/>
      <c r="L169" s="1282"/>
      <c r="M169" s="1282"/>
      <c r="N169" s="1282"/>
      <c r="O169" s="1282"/>
      <c r="P169" s="1282"/>
      <c r="Q169" s="1282"/>
      <c r="R169" s="1282"/>
      <c r="S169" s="1282"/>
      <c r="T169" s="1282"/>
      <c r="U169" s="1282"/>
      <c r="V169" s="1282"/>
      <c r="W169" s="1282"/>
      <c r="X169" s="1282"/>
      <c r="Y169" s="1282"/>
      <c r="Z169" s="1282"/>
    </row>
    <row r="170">
      <c r="A170" s="1282"/>
      <c r="B170" s="1282"/>
      <c r="C170" s="1282"/>
      <c r="D170" s="1282"/>
      <c r="E170" s="1282"/>
      <c r="F170" s="1282"/>
      <c r="G170" s="1282"/>
      <c r="H170" s="1282"/>
      <c r="I170" s="1282"/>
      <c r="J170" s="1282"/>
      <c r="K170" s="1282"/>
      <c r="L170" s="1282"/>
      <c r="M170" s="1282"/>
      <c r="N170" s="1282"/>
      <c r="O170" s="1282"/>
      <c r="P170" s="1282"/>
      <c r="Q170" s="1282"/>
      <c r="R170" s="1282"/>
      <c r="S170" s="1282"/>
      <c r="T170" s="1282"/>
      <c r="U170" s="1282"/>
      <c r="V170" s="1282"/>
      <c r="W170" s="1282"/>
      <c r="X170" s="1282"/>
      <c r="Y170" s="1282"/>
      <c r="Z170" s="1282"/>
    </row>
    <row r="171">
      <c r="A171" s="1282"/>
      <c r="B171" s="1282"/>
      <c r="C171" s="1282"/>
      <c r="D171" s="1282"/>
      <c r="E171" s="1282"/>
      <c r="F171" s="1282"/>
      <c r="G171" s="1282"/>
      <c r="H171" s="1282"/>
      <c r="I171" s="1282"/>
      <c r="J171" s="1282"/>
      <c r="K171" s="1282"/>
      <c r="L171" s="1282"/>
      <c r="M171" s="1282"/>
      <c r="N171" s="1282"/>
      <c r="O171" s="1282"/>
      <c r="P171" s="1282"/>
      <c r="Q171" s="1282"/>
      <c r="R171" s="1282"/>
      <c r="S171" s="1282"/>
      <c r="T171" s="1282"/>
      <c r="U171" s="1282"/>
      <c r="V171" s="1282"/>
      <c r="W171" s="1282"/>
      <c r="X171" s="1282"/>
      <c r="Y171" s="1282"/>
      <c r="Z171" s="1282"/>
    </row>
    <row r="172">
      <c r="A172" s="1282"/>
      <c r="B172" s="1282"/>
      <c r="C172" s="1282"/>
      <c r="D172" s="1282"/>
      <c r="E172" s="1282"/>
      <c r="F172" s="1282"/>
      <c r="G172" s="1282"/>
      <c r="H172" s="1282"/>
      <c r="I172" s="1282"/>
      <c r="J172" s="1282"/>
      <c r="K172" s="1282"/>
      <c r="L172" s="1282"/>
      <c r="M172" s="1282"/>
      <c r="N172" s="1282"/>
      <c r="O172" s="1282"/>
      <c r="P172" s="1282"/>
      <c r="Q172" s="1282"/>
      <c r="R172" s="1282"/>
      <c r="S172" s="1282"/>
      <c r="T172" s="1282"/>
      <c r="U172" s="1282"/>
      <c r="V172" s="1282"/>
      <c r="W172" s="1282"/>
      <c r="X172" s="1282"/>
      <c r="Y172" s="1282"/>
      <c r="Z172" s="1282"/>
    </row>
    <row r="173">
      <c r="A173" s="1282"/>
      <c r="B173" s="1282"/>
      <c r="C173" s="1282"/>
      <c r="D173" s="1282"/>
      <c r="E173" s="1282"/>
      <c r="F173" s="1282"/>
      <c r="G173" s="1282"/>
      <c r="H173" s="1282"/>
      <c r="I173" s="1282"/>
      <c r="J173" s="1282"/>
      <c r="K173" s="1282"/>
      <c r="L173" s="1282"/>
      <c r="M173" s="1282"/>
      <c r="N173" s="1282"/>
      <c r="O173" s="1282"/>
      <c r="P173" s="1282"/>
      <c r="Q173" s="1282"/>
      <c r="R173" s="1282"/>
      <c r="S173" s="1282"/>
      <c r="T173" s="1282"/>
      <c r="U173" s="1282"/>
      <c r="V173" s="1282"/>
      <c r="W173" s="1282"/>
      <c r="X173" s="1282"/>
      <c r="Y173" s="1282"/>
      <c r="Z173" s="1282"/>
    </row>
    <row r="174">
      <c r="A174" s="1282"/>
      <c r="B174" s="1282"/>
      <c r="C174" s="1282"/>
      <c r="D174" s="1282"/>
      <c r="E174" s="1282"/>
      <c r="F174" s="1282"/>
      <c r="G174" s="1282"/>
      <c r="H174" s="1282"/>
      <c r="I174" s="1282"/>
      <c r="J174" s="1282"/>
      <c r="K174" s="1282"/>
      <c r="L174" s="1282"/>
      <c r="M174" s="1282"/>
      <c r="N174" s="1282"/>
      <c r="O174" s="1282"/>
      <c r="P174" s="1282"/>
      <c r="Q174" s="1282"/>
      <c r="R174" s="1282"/>
      <c r="S174" s="1282"/>
      <c r="T174" s="1282"/>
      <c r="U174" s="1282"/>
      <c r="V174" s="1282"/>
      <c r="W174" s="1282"/>
      <c r="X174" s="1282"/>
      <c r="Y174" s="1282"/>
      <c r="Z174" s="1282"/>
    </row>
    <row r="175">
      <c r="A175" s="1282"/>
      <c r="B175" s="1282"/>
      <c r="C175" s="1282"/>
      <c r="D175" s="1282"/>
      <c r="E175" s="1282"/>
      <c r="F175" s="1282"/>
      <c r="G175" s="1282"/>
      <c r="H175" s="1282"/>
      <c r="I175" s="1282"/>
      <c r="J175" s="1282"/>
      <c r="K175" s="1282"/>
      <c r="L175" s="1282"/>
      <c r="M175" s="1282"/>
      <c r="N175" s="1282"/>
      <c r="O175" s="1282"/>
      <c r="P175" s="1282"/>
      <c r="Q175" s="1282"/>
      <c r="R175" s="1282"/>
      <c r="S175" s="1282"/>
      <c r="T175" s="1282"/>
      <c r="U175" s="1282"/>
      <c r="V175" s="1282"/>
      <c r="W175" s="1282"/>
      <c r="X175" s="1282"/>
      <c r="Y175" s="1282"/>
      <c r="Z175" s="1282"/>
    </row>
    <row r="176">
      <c r="A176" s="1282"/>
      <c r="B176" s="1282"/>
      <c r="C176" s="1282"/>
      <c r="D176" s="1282"/>
      <c r="E176" s="1282"/>
      <c r="F176" s="1282"/>
      <c r="G176" s="1282"/>
      <c r="H176" s="1282"/>
      <c r="I176" s="1282"/>
      <c r="J176" s="1282"/>
      <c r="K176" s="1282"/>
      <c r="L176" s="1282"/>
      <c r="M176" s="1282"/>
      <c r="N176" s="1282"/>
      <c r="O176" s="1282"/>
      <c r="P176" s="1282"/>
      <c r="Q176" s="1282"/>
      <c r="R176" s="1282"/>
      <c r="S176" s="1282"/>
      <c r="T176" s="1282"/>
      <c r="U176" s="1282"/>
      <c r="V176" s="1282"/>
      <c r="W176" s="1282"/>
      <c r="X176" s="1282"/>
      <c r="Y176" s="1282"/>
      <c r="Z176" s="1282"/>
    </row>
    <row r="177">
      <c r="A177" s="1282"/>
      <c r="B177" s="1282"/>
      <c r="C177" s="1282"/>
      <c r="D177" s="1282"/>
      <c r="E177" s="1282"/>
      <c r="F177" s="1282"/>
      <c r="G177" s="1282"/>
      <c r="H177" s="1282"/>
      <c r="I177" s="1282"/>
      <c r="J177" s="1282"/>
      <c r="K177" s="1282"/>
      <c r="L177" s="1282"/>
      <c r="M177" s="1282"/>
      <c r="N177" s="1282"/>
      <c r="O177" s="1282"/>
      <c r="P177" s="1282"/>
      <c r="Q177" s="1282"/>
      <c r="R177" s="1282"/>
      <c r="S177" s="1282"/>
      <c r="T177" s="1282"/>
      <c r="U177" s="1282"/>
      <c r="V177" s="1282"/>
      <c r="W177" s="1282"/>
      <c r="X177" s="1282"/>
      <c r="Y177" s="1282"/>
      <c r="Z177" s="1282"/>
    </row>
    <row r="178">
      <c r="A178" s="1282"/>
      <c r="B178" s="1282"/>
      <c r="C178" s="1282"/>
      <c r="D178" s="1282"/>
      <c r="E178" s="1282"/>
      <c r="F178" s="1282"/>
      <c r="G178" s="1282"/>
      <c r="H178" s="1282"/>
      <c r="I178" s="1282"/>
      <c r="J178" s="1282"/>
      <c r="K178" s="1282"/>
      <c r="L178" s="1282"/>
      <c r="M178" s="1282"/>
      <c r="N178" s="1282"/>
      <c r="O178" s="1282"/>
      <c r="P178" s="1282"/>
      <c r="Q178" s="1282"/>
      <c r="R178" s="1282"/>
      <c r="S178" s="1282"/>
      <c r="T178" s="1282"/>
      <c r="U178" s="1282"/>
      <c r="V178" s="1282"/>
      <c r="W178" s="1282"/>
      <c r="X178" s="1282"/>
      <c r="Y178" s="1282"/>
      <c r="Z178" s="1282"/>
    </row>
    <row r="179">
      <c r="A179" s="1282"/>
      <c r="B179" s="1282"/>
      <c r="C179" s="1282"/>
      <c r="D179" s="1282"/>
      <c r="E179" s="1282"/>
      <c r="F179" s="1282"/>
      <c r="G179" s="1282"/>
      <c r="H179" s="1282"/>
      <c r="I179" s="1282"/>
      <c r="J179" s="1282"/>
      <c r="K179" s="1282"/>
      <c r="L179" s="1282"/>
      <c r="M179" s="1282"/>
      <c r="N179" s="1282"/>
      <c r="O179" s="1282"/>
      <c r="P179" s="1282"/>
      <c r="Q179" s="1282"/>
      <c r="R179" s="1282"/>
      <c r="S179" s="1282"/>
      <c r="T179" s="1282"/>
      <c r="U179" s="1282"/>
      <c r="V179" s="1282"/>
      <c r="W179" s="1282"/>
      <c r="X179" s="1282"/>
      <c r="Y179" s="1282"/>
      <c r="Z179" s="1282"/>
    </row>
    <row r="180">
      <c r="A180" s="1282"/>
      <c r="B180" s="1282"/>
      <c r="C180" s="1282"/>
      <c r="D180" s="1282"/>
      <c r="E180" s="1282"/>
      <c r="F180" s="1282"/>
      <c r="G180" s="1282"/>
      <c r="H180" s="1282"/>
      <c r="I180" s="1282"/>
      <c r="J180" s="1282"/>
      <c r="K180" s="1282"/>
      <c r="L180" s="1282"/>
      <c r="M180" s="1282"/>
      <c r="N180" s="1282"/>
      <c r="O180" s="1282"/>
      <c r="P180" s="1282"/>
      <c r="Q180" s="1282"/>
      <c r="R180" s="1282"/>
      <c r="S180" s="1282"/>
      <c r="T180" s="1282"/>
      <c r="U180" s="1282"/>
      <c r="V180" s="1282"/>
      <c r="W180" s="1282"/>
      <c r="X180" s="1282"/>
      <c r="Y180" s="1282"/>
      <c r="Z180" s="1282"/>
    </row>
    <row r="181">
      <c r="A181" s="1282"/>
      <c r="B181" s="1282"/>
      <c r="C181" s="1282"/>
      <c r="D181" s="1282"/>
      <c r="E181" s="1282"/>
      <c r="F181" s="1282"/>
      <c r="G181" s="1282"/>
      <c r="H181" s="1282"/>
      <c r="I181" s="1282"/>
      <c r="J181" s="1282"/>
      <c r="K181" s="1282"/>
      <c r="L181" s="1282"/>
      <c r="M181" s="1282"/>
      <c r="N181" s="1282"/>
      <c r="O181" s="1282"/>
      <c r="P181" s="1282"/>
      <c r="Q181" s="1282"/>
      <c r="R181" s="1282"/>
      <c r="S181" s="1282"/>
      <c r="T181" s="1282"/>
      <c r="U181" s="1282"/>
      <c r="V181" s="1282"/>
      <c r="W181" s="1282"/>
      <c r="X181" s="1282"/>
      <c r="Y181" s="1282"/>
      <c r="Z181" s="1282"/>
    </row>
    <row r="182">
      <c r="A182" s="1282"/>
      <c r="B182" s="1282"/>
      <c r="C182" s="1282"/>
      <c r="D182" s="1282"/>
      <c r="E182" s="1282"/>
      <c r="F182" s="1282"/>
      <c r="G182" s="1282"/>
      <c r="H182" s="1282"/>
      <c r="I182" s="1282"/>
      <c r="J182" s="1282"/>
      <c r="K182" s="1282"/>
      <c r="L182" s="1282"/>
      <c r="M182" s="1282"/>
      <c r="N182" s="1282"/>
      <c r="O182" s="1282"/>
      <c r="P182" s="1282"/>
      <c r="Q182" s="1282"/>
      <c r="R182" s="1282"/>
      <c r="S182" s="1282"/>
      <c r="T182" s="1282"/>
      <c r="U182" s="1282"/>
      <c r="V182" s="1282"/>
      <c r="W182" s="1282"/>
      <c r="X182" s="1282"/>
      <c r="Y182" s="1282"/>
      <c r="Z182" s="1282"/>
    </row>
    <row r="183">
      <c r="A183" s="1282"/>
      <c r="B183" s="1282"/>
      <c r="C183" s="1282"/>
      <c r="D183" s="1282"/>
      <c r="E183" s="1282"/>
      <c r="F183" s="1282"/>
      <c r="G183" s="1282"/>
      <c r="H183" s="1282"/>
      <c r="I183" s="1282"/>
      <c r="J183" s="1282"/>
      <c r="K183" s="1282"/>
      <c r="L183" s="1282"/>
      <c r="M183" s="1282"/>
      <c r="N183" s="1282"/>
      <c r="O183" s="1282"/>
      <c r="P183" s="1282"/>
      <c r="Q183" s="1282"/>
      <c r="R183" s="1282"/>
      <c r="S183" s="1282"/>
      <c r="T183" s="1282"/>
      <c r="U183" s="1282"/>
      <c r="V183" s="1282"/>
      <c r="W183" s="1282"/>
      <c r="X183" s="1282"/>
      <c r="Y183" s="1282"/>
      <c r="Z183" s="1282"/>
    </row>
    <row r="184">
      <c r="A184" s="1282"/>
      <c r="B184" s="1282"/>
      <c r="C184" s="1282"/>
      <c r="D184" s="1282"/>
      <c r="E184" s="1282"/>
      <c r="F184" s="1282"/>
      <c r="G184" s="1282"/>
      <c r="H184" s="1282"/>
      <c r="I184" s="1282"/>
      <c r="J184" s="1282"/>
      <c r="K184" s="1282"/>
      <c r="L184" s="1282"/>
      <c r="M184" s="1282"/>
      <c r="N184" s="1282"/>
      <c r="O184" s="1282"/>
      <c r="P184" s="1282"/>
      <c r="Q184" s="1282"/>
      <c r="R184" s="1282"/>
      <c r="S184" s="1282"/>
      <c r="T184" s="1282"/>
      <c r="U184" s="1282"/>
      <c r="V184" s="1282"/>
      <c r="W184" s="1282"/>
      <c r="X184" s="1282"/>
      <c r="Y184" s="1282"/>
      <c r="Z184" s="1282"/>
    </row>
    <row r="185">
      <c r="A185" s="1282"/>
      <c r="B185" s="1282"/>
      <c r="C185" s="1282"/>
      <c r="D185" s="1282"/>
      <c r="E185" s="1282"/>
      <c r="F185" s="1282"/>
      <c r="G185" s="1282"/>
      <c r="H185" s="1282"/>
      <c r="I185" s="1282"/>
      <c r="J185" s="1282"/>
      <c r="K185" s="1282"/>
      <c r="L185" s="1282"/>
      <c r="M185" s="1282"/>
      <c r="N185" s="1282"/>
      <c r="O185" s="1282"/>
      <c r="P185" s="1282"/>
      <c r="Q185" s="1282"/>
      <c r="R185" s="1282"/>
      <c r="S185" s="1282"/>
      <c r="T185" s="1282"/>
      <c r="U185" s="1282"/>
      <c r="V185" s="1282"/>
      <c r="W185" s="1282"/>
      <c r="X185" s="1282"/>
      <c r="Y185" s="1282"/>
      <c r="Z185" s="1282"/>
    </row>
    <row r="186">
      <c r="A186" s="1282"/>
      <c r="B186" s="1282"/>
      <c r="C186" s="1282"/>
      <c r="D186" s="1282"/>
      <c r="E186" s="1282"/>
      <c r="F186" s="1282"/>
      <c r="G186" s="1282"/>
      <c r="H186" s="1282"/>
      <c r="I186" s="1282"/>
      <c r="J186" s="1282"/>
      <c r="K186" s="1282"/>
      <c r="L186" s="1282"/>
      <c r="M186" s="1282"/>
      <c r="N186" s="1282"/>
      <c r="O186" s="1282"/>
      <c r="P186" s="1282"/>
      <c r="Q186" s="1282"/>
      <c r="R186" s="1282"/>
      <c r="S186" s="1282"/>
      <c r="T186" s="1282"/>
      <c r="U186" s="1282"/>
      <c r="V186" s="1282"/>
      <c r="W186" s="1282"/>
      <c r="X186" s="1282"/>
      <c r="Y186" s="1282"/>
      <c r="Z186" s="1282"/>
    </row>
    <row r="187">
      <c r="A187" s="1282"/>
      <c r="B187" s="1282"/>
      <c r="C187" s="1282"/>
      <c r="D187" s="1282"/>
      <c r="E187" s="1282"/>
      <c r="F187" s="1282"/>
      <c r="G187" s="1282"/>
      <c r="H187" s="1282"/>
      <c r="I187" s="1282"/>
      <c r="J187" s="1282"/>
      <c r="K187" s="1282"/>
      <c r="L187" s="1282"/>
      <c r="M187" s="1282"/>
      <c r="N187" s="1282"/>
      <c r="O187" s="1282"/>
      <c r="P187" s="1282"/>
      <c r="Q187" s="1282"/>
      <c r="R187" s="1282"/>
      <c r="S187" s="1282"/>
      <c r="T187" s="1282"/>
      <c r="U187" s="1282"/>
      <c r="V187" s="1282"/>
      <c r="W187" s="1282"/>
      <c r="X187" s="1282"/>
      <c r="Y187" s="1282"/>
      <c r="Z187" s="1282"/>
    </row>
    <row r="188">
      <c r="A188" s="1282"/>
      <c r="B188" s="1282"/>
      <c r="C188" s="1282"/>
      <c r="D188" s="1282"/>
      <c r="E188" s="1282"/>
      <c r="F188" s="1282"/>
      <c r="G188" s="1282"/>
      <c r="H188" s="1282"/>
      <c r="I188" s="1282"/>
      <c r="J188" s="1282"/>
      <c r="K188" s="1282"/>
      <c r="L188" s="1282"/>
      <c r="M188" s="1282"/>
      <c r="N188" s="1282"/>
      <c r="O188" s="1282"/>
      <c r="P188" s="1282"/>
      <c r="Q188" s="1282"/>
      <c r="R188" s="1282"/>
      <c r="S188" s="1282"/>
      <c r="T188" s="1282"/>
      <c r="U188" s="1282"/>
      <c r="V188" s="1282"/>
      <c r="W188" s="1282"/>
      <c r="X188" s="1282"/>
      <c r="Y188" s="1282"/>
      <c r="Z188" s="1282"/>
    </row>
    <row r="189">
      <c r="A189" s="1282"/>
      <c r="B189" s="1282"/>
      <c r="C189" s="1282"/>
      <c r="D189" s="1282"/>
      <c r="E189" s="1282"/>
      <c r="F189" s="1282"/>
      <c r="G189" s="1282"/>
      <c r="H189" s="1282"/>
      <c r="I189" s="1282"/>
      <c r="J189" s="1282"/>
      <c r="K189" s="1282"/>
      <c r="L189" s="1282"/>
      <c r="M189" s="1282"/>
      <c r="N189" s="1282"/>
      <c r="O189" s="1282"/>
      <c r="P189" s="1282"/>
      <c r="Q189" s="1282"/>
      <c r="R189" s="1282"/>
      <c r="S189" s="1282"/>
      <c r="T189" s="1282"/>
      <c r="U189" s="1282"/>
      <c r="V189" s="1282"/>
      <c r="W189" s="1282"/>
      <c r="X189" s="1282"/>
      <c r="Y189" s="1282"/>
      <c r="Z189" s="1282"/>
    </row>
    <row r="190">
      <c r="A190" s="1282"/>
      <c r="B190" s="1282"/>
      <c r="C190" s="1282"/>
      <c r="D190" s="1282"/>
      <c r="E190" s="1282"/>
      <c r="F190" s="1282"/>
      <c r="G190" s="1282"/>
      <c r="H190" s="1282"/>
      <c r="I190" s="1282"/>
      <c r="J190" s="1282"/>
      <c r="K190" s="1282"/>
      <c r="L190" s="1282"/>
      <c r="M190" s="1282"/>
      <c r="N190" s="1282"/>
      <c r="O190" s="1282"/>
      <c r="P190" s="1282"/>
      <c r="Q190" s="1282"/>
      <c r="R190" s="1282"/>
      <c r="S190" s="1282"/>
      <c r="T190" s="1282"/>
      <c r="U190" s="1282"/>
      <c r="V190" s="1282"/>
      <c r="W190" s="1282"/>
      <c r="X190" s="1282"/>
      <c r="Y190" s="1282"/>
      <c r="Z190" s="1282"/>
    </row>
    <row r="191">
      <c r="A191" s="1282"/>
      <c r="B191" s="1282"/>
      <c r="C191" s="1282"/>
      <c r="D191" s="1282"/>
      <c r="E191" s="1282"/>
      <c r="F191" s="1282"/>
      <c r="G191" s="1282"/>
      <c r="H191" s="1282"/>
      <c r="I191" s="1282"/>
      <c r="J191" s="1282"/>
      <c r="K191" s="1282"/>
      <c r="L191" s="1282"/>
      <c r="M191" s="1282"/>
      <c r="N191" s="1282"/>
      <c r="O191" s="1282"/>
      <c r="P191" s="1282"/>
      <c r="Q191" s="1282"/>
      <c r="R191" s="1282"/>
      <c r="S191" s="1282"/>
      <c r="T191" s="1282"/>
      <c r="U191" s="1282"/>
      <c r="V191" s="1282"/>
      <c r="W191" s="1282"/>
      <c r="X191" s="1282"/>
      <c r="Y191" s="1282"/>
      <c r="Z191" s="1282"/>
    </row>
    <row r="192">
      <c r="A192" s="1282"/>
      <c r="B192" s="1282"/>
      <c r="C192" s="1282"/>
      <c r="D192" s="1282"/>
      <c r="E192" s="1282"/>
      <c r="F192" s="1282"/>
      <c r="G192" s="1282"/>
      <c r="H192" s="1282"/>
      <c r="I192" s="1282"/>
      <c r="J192" s="1282"/>
      <c r="K192" s="1282"/>
      <c r="L192" s="1282"/>
      <c r="M192" s="1282"/>
      <c r="N192" s="1282"/>
      <c r="O192" s="1282"/>
      <c r="P192" s="1282"/>
      <c r="Q192" s="1282"/>
      <c r="R192" s="1282"/>
      <c r="S192" s="1282"/>
      <c r="T192" s="1282"/>
      <c r="U192" s="1282"/>
      <c r="V192" s="1282"/>
      <c r="W192" s="1282"/>
      <c r="X192" s="1282"/>
      <c r="Y192" s="1282"/>
      <c r="Z192" s="1282"/>
    </row>
    <row r="193">
      <c r="A193" s="1282"/>
      <c r="B193" s="1282"/>
      <c r="C193" s="1282"/>
      <c r="D193" s="1282"/>
      <c r="E193" s="1282"/>
      <c r="F193" s="1282"/>
      <c r="G193" s="1282"/>
      <c r="H193" s="1282"/>
      <c r="I193" s="1282"/>
      <c r="J193" s="1282"/>
      <c r="K193" s="1282"/>
      <c r="L193" s="1282"/>
      <c r="M193" s="1282"/>
      <c r="N193" s="1282"/>
      <c r="O193" s="1282"/>
      <c r="P193" s="1282"/>
      <c r="Q193" s="1282"/>
      <c r="R193" s="1282"/>
      <c r="S193" s="1282"/>
      <c r="T193" s="1282"/>
      <c r="U193" s="1282"/>
      <c r="V193" s="1282"/>
      <c r="W193" s="1282"/>
      <c r="X193" s="1282"/>
      <c r="Y193" s="1282"/>
      <c r="Z193" s="1282"/>
    </row>
    <row r="194">
      <c r="A194" s="1282"/>
      <c r="B194" s="1282"/>
      <c r="C194" s="1282"/>
      <c r="D194" s="1282"/>
      <c r="E194" s="1282"/>
      <c r="F194" s="1282"/>
      <c r="G194" s="1282"/>
      <c r="H194" s="1282"/>
      <c r="I194" s="1282"/>
      <c r="J194" s="1282"/>
      <c r="K194" s="1282"/>
      <c r="L194" s="1282"/>
      <c r="M194" s="1282"/>
      <c r="N194" s="1282"/>
      <c r="O194" s="1282"/>
      <c r="P194" s="1282"/>
      <c r="Q194" s="1282"/>
      <c r="R194" s="1282"/>
      <c r="S194" s="1282"/>
      <c r="T194" s="1282"/>
      <c r="U194" s="1282"/>
      <c r="V194" s="1282"/>
      <c r="W194" s="1282"/>
      <c r="X194" s="1282"/>
      <c r="Y194" s="1282"/>
      <c r="Z194" s="1282"/>
    </row>
    <row r="195">
      <c r="A195" s="1282"/>
      <c r="B195" s="1282"/>
      <c r="C195" s="1282"/>
      <c r="D195" s="1282"/>
      <c r="E195" s="1282"/>
      <c r="F195" s="1282"/>
      <c r="G195" s="1282"/>
      <c r="H195" s="1282"/>
      <c r="I195" s="1282"/>
      <c r="J195" s="1282"/>
      <c r="K195" s="1282"/>
      <c r="L195" s="1282"/>
      <c r="M195" s="1282"/>
      <c r="N195" s="1282"/>
      <c r="O195" s="1282"/>
      <c r="P195" s="1282"/>
      <c r="Q195" s="1282"/>
      <c r="R195" s="1282"/>
      <c r="S195" s="1282"/>
      <c r="T195" s="1282"/>
      <c r="U195" s="1282"/>
      <c r="V195" s="1282"/>
      <c r="W195" s="1282"/>
      <c r="X195" s="1282"/>
      <c r="Y195" s="1282"/>
      <c r="Z195" s="1282"/>
    </row>
    <row r="196">
      <c r="A196" s="1282"/>
      <c r="B196" s="1282"/>
      <c r="C196" s="1282"/>
      <c r="D196" s="1282"/>
      <c r="E196" s="1282"/>
      <c r="F196" s="1282"/>
      <c r="G196" s="1282"/>
      <c r="H196" s="1282"/>
      <c r="I196" s="1282"/>
      <c r="J196" s="1282"/>
      <c r="K196" s="1282"/>
      <c r="L196" s="1282"/>
      <c r="M196" s="1282"/>
      <c r="N196" s="1282"/>
      <c r="O196" s="1282"/>
      <c r="P196" s="1282"/>
      <c r="Q196" s="1282"/>
      <c r="R196" s="1282"/>
      <c r="S196" s="1282"/>
      <c r="T196" s="1282"/>
      <c r="U196" s="1282"/>
      <c r="V196" s="1282"/>
      <c r="W196" s="1282"/>
      <c r="X196" s="1282"/>
      <c r="Y196" s="1282"/>
      <c r="Z196" s="1282"/>
    </row>
    <row r="197">
      <c r="A197" s="1282"/>
      <c r="B197" s="1282"/>
      <c r="C197" s="1282"/>
      <c r="D197" s="1282"/>
      <c r="E197" s="1282"/>
      <c r="F197" s="1282"/>
      <c r="G197" s="1282"/>
      <c r="H197" s="1282"/>
      <c r="I197" s="1282"/>
      <c r="J197" s="1282"/>
      <c r="K197" s="1282"/>
      <c r="L197" s="1282"/>
      <c r="M197" s="1282"/>
      <c r="N197" s="1282"/>
      <c r="O197" s="1282"/>
      <c r="P197" s="1282"/>
      <c r="Q197" s="1282"/>
      <c r="R197" s="1282"/>
      <c r="S197" s="1282"/>
      <c r="T197" s="1282"/>
      <c r="U197" s="1282"/>
      <c r="V197" s="1282"/>
      <c r="W197" s="1282"/>
      <c r="X197" s="1282"/>
      <c r="Y197" s="1282"/>
      <c r="Z197" s="1282"/>
    </row>
    <row r="198">
      <c r="A198" s="1282"/>
      <c r="B198" s="1282"/>
      <c r="C198" s="1282"/>
      <c r="D198" s="1282"/>
      <c r="E198" s="1282"/>
      <c r="F198" s="1282"/>
      <c r="G198" s="1282"/>
      <c r="H198" s="1282"/>
      <c r="I198" s="1282"/>
      <c r="J198" s="1282"/>
      <c r="K198" s="1282"/>
      <c r="L198" s="1282"/>
      <c r="M198" s="1282"/>
      <c r="N198" s="1282"/>
      <c r="O198" s="1282"/>
      <c r="P198" s="1282"/>
      <c r="Q198" s="1282"/>
      <c r="R198" s="1282"/>
      <c r="S198" s="1282"/>
      <c r="T198" s="1282"/>
      <c r="U198" s="1282"/>
      <c r="V198" s="1282"/>
      <c r="W198" s="1282"/>
      <c r="X198" s="1282"/>
      <c r="Y198" s="1282"/>
      <c r="Z198" s="1282"/>
    </row>
    <row r="199">
      <c r="A199" s="1282"/>
      <c r="B199" s="1282"/>
      <c r="C199" s="1282"/>
      <c r="D199" s="1282"/>
      <c r="E199" s="1282"/>
      <c r="F199" s="1282"/>
      <c r="G199" s="1282"/>
      <c r="H199" s="1282"/>
      <c r="I199" s="1282"/>
      <c r="J199" s="1282"/>
      <c r="K199" s="1282"/>
      <c r="L199" s="1282"/>
      <c r="M199" s="1282"/>
      <c r="N199" s="1282"/>
      <c r="O199" s="1282"/>
      <c r="P199" s="1282"/>
      <c r="Q199" s="1282"/>
      <c r="R199" s="1282"/>
      <c r="S199" s="1282"/>
      <c r="T199" s="1282"/>
      <c r="U199" s="1282"/>
      <c r="V199" s="1282"/>
      <c r="W199" s="1282"/>
      <c r="X199" s="1282"/>
      <c r="Y199" s="1282"/>
      <c r="Z199" s="1282"/>
    </row>
    <row r="200">
      <c r="A200" s="1282"/>
      <c r="B200" s="1282"/>
      <c r="C200" s="1282"/>
      <c r="D200" s="1282"/>
      <c r="E200" s="1282"/>
      <c r="F200" s="1282"/>
      <c r="G200" s="1282"/>
      <c r="H200" s="1282"/>
      <c r="I200" s="1282"/>
      <c r="J200" s="1282"/>
      <c r="K200" s="1282"/>
      <c r="L200" s="1282"/>
      <c r="M200" s="1282"/>
      <c r="N200" s="1282"/>
      <c r="O200" s="1282"/>
      <c r="P200" s="1282"/>
      <c r="Q200" s="1282"/>
      <c r="R200" s="1282"/>
      <c r="S200" s="1282"/>
      <c r="T200" s="1282"/>
      <c r="U200" s="1282"/>
      <c r="V200" s="1282"/>
      <c r="W200" s="1282"/>
      <c r="X200" s="1282"/>
      <c r="Y200" s="1282"/>
      <c r="Z200" s="1282"/>
    </row>
    <row r="201">
      <c r="A201" s="1282"/>
      <c r="B201" s="1282"/>
      <c r="C201" s="1282"/>
      <c r="D201" s="1282"/>
      <c r="E201" s="1282"/>
      <c r="F201" s="1282"/>
      <c r="G201" s="1282"/>
      <c r="H201" s="1282"/>
      <c r="I201" s="1282"/>
      <c r="J201" s="1282"/>
      <c r="K201" s="1282"/>
      <c r="L201" s="1282"/>
      <c r="M201" s="1282"/>
      <c r="N201" s="1282"/>
      <c r="O201" s="1282"/>
      <c r="P201" s="1282"/>
      <c r="Q201" s="1282"/>
      <c r="R201" s="1282"/>
      <c r="S201" s="1282"/>
      <c r="T201" s="1282"/>
      <c r="U201" s="1282"/>
      <c r="V201" s="1282"/>
      <c r="W201" s="1282"/>
      <c r="X201" s="1282"/>
      <c r="Y201" s="1282"/>
      <c r="Z201" s="1282"/>
    </row>
    <row r="202">
      <c r="A202" s="1282"/>
      <c r="B202" s="1282"/>
      <c r="C202" s="1282"/>
      <c r="D202" s="1282"/>
      <c r="E202" s="1282"/>
      <c r="F202" s="1282"/>
      <c r="G202" s="1282"/>
      <c r="H202" s="1282"/>
      <c r="I202" s="1282"/>
      <c r="J202" s="1282"/>
      <c r="K202" s="1282"/>
      <c r="L202" s="1282"/>
      <c r="M202" s="1282"/>
      <c r="N202" s="1282"/>
      <c r="O202" s="1282"/>
      <c r="P202" s="1282"/>
      <c r="Q202" s="1282"/>
      <c r="R202" s="1282"/>
      <c r="S202" s="1282"/>
      <c r="T202" s="1282"/>
      <c r="U202" s="1282"/>
      <c r="V202" s="1282"/>
      <c r="W202" s="1282"/>
      <c r="X202" s="1282"/>
      <c r="Y202" s="1282"/>
      <c r="Z202" s="1282"/>
    </row>
    <row r="203">
      <c r="A203" s="1282"/>
      <c r="B203" s="1282"/>
      <c r="C203" s="1282"/>
      <c r="D203" s="1282"/>
      <c r="E203" s="1282"/>
      <c r="F203" s="1282"/>
      <c r="G203" s="1282"/>
      <c r="H203" s="1282"/>
      <c r="I203" s="1282"/>
      <c r="J203" s="1282"/>
      <c r="K203" s="1282"/>
      <c r="L203" s="1282"/>
      <c r="M203" s="1282"/>
      <c r="N203" s="1282"/>
      <c r="O203" s="1282"/>
      <c r="P203" s="1282"/>
      <c r="Q203" s="1282"/>
      <c r="R203" s="1282"/>
      <c r="S203" s="1282"/>
      <c r="T203" s="1282"/>
      <c r="U203" s="1282"/>
      <c r="V203" s="1282"/>
      <c r="W203" s="1282"/>
      <c r="X203" s="1282"/>
      <c r="Y203" s="1282"/>
      <c r="Z203" s="1282"/>
    </row>
    <row r="204">
      <c r="A204" s="1282"/>
      <c r="B204" s="1282"/>
      <c r="C204" s="1282"/>
      <c r="D204" s="1282"/>
      <c r="E204" s="1282"/>
      <c r="F204" s="1282"/>
      <c r="G204" s="1282"/>
      <c r="H204" s="1282"/>
      <c r="I204" s="1282"/>
      <c r="J204" s="1282"/>
      <c r="K204" s="1282"/>
      <c r="L204" s="1282"/>
      <c r="M204" s="1282"/>
      <c r="N204" s="1282"/>
      <c r="O204" s="1282"/>
      <c r="P204" s="1282"/>
      <c r="Q204" s="1282"/>
      <c r="R204" s="1282"/>
      <c r="S204" s="1282"/>
      <c r="T204" s="1282"/>
      <c r="U204" s="1282"/>
      <c r="V204" s="1282"/>
      <c r="W204" s="1282"/>
      <c r="X204" s="1282"/>
      <c r="Y204" s="1282"/>
      <c r="Z204" s="1282"/>
    </row>
    <row r="205">
      <c r="A205" s="1282"/>
      <c r="B205" s="1282"/>
      <c r="C205" s="1282"/>
      <c r="D205" s="1282"/>
      <c r="E205" s="1282"/>
      <c r="F205" s="1282"/>
      <c r="G205" s="1282"/>
      <c r="H205" s="1282"/>
      <c r="I205" s="1282"/>
      <c r="J205" s="1282"/>
      <c r="K205" s="1282"/>
      <c r="L205" s="1282"/>
      <c r="M205" s="1282"/>
      <c r="N205" s="1282"/>
      <c r="O205" s="1282"/>
      <c r="P205" s="1282"/>
      <c r="Q205" s="1282"/>
      <c r="R205" s="1282"/>
      <c r="S205" s="1282"/>
      <c r="T205" s="1282"/>
      <c r="U205" s="1282"/>
      <c r="V205" s="1282"/>
      <c r="W205" s="1282"/>
      <c r="X205" s="1282"/>
      <c r="Y205" s="1282"/>
      <c r="Z205" s="1282"/>
    </row>
    <row r="206">
      <c r="A206" s="1282"/>
      <c r="B206" s="1282"/>
      <c r="C206" s="1282"/>
      <c r="D206" s="1282"/>
      <c r="E206" s="1282"/>
      <c r="F206" s="1282"/>
      <c r="G206" s="1282"/>
      <c r="H206" s="1282"/>
      <c r="I206" s="1282"/>
      <c r="J206" s="1282"/>
      <c r="K206" s="1282"/>
      <c r="L206" s="1282"/>
      <c r="M206" s="1282"/>
      <c r="N206" s="1282"/>
      <c r="O206" s="1282"/>
      <c r="P206" s="1282"/>
      <c r="Q206" s="1282"/>
      <c r="R206" s="1282"/>
      <c r="S206" s="1282"/>
      <c r="T206" s="1282"/>
      <c r="U206" s="1282"/>
      <c r="V206" s="1282"/>
      <c r="W206" s="1282"/>
      <c r="X206" s="1282"/>
      <c r="Y206" s="1282"/>
      <c r="Z206" s="1282"/>
    </row>
    <row r="207">
      <c r="A207" s="1282"/>
      <c r="B207" s="1282"/>
      <c r="C207" s="1282"/>
      <c r="D207" s="1282"/>
      <c r="E207" s="1282"/>
      <c r="F207" s="1282"/>
      <c r="G207" s="1282"/>
      <c r="H207" s="1282"/>
      <c r="I207" s="1282"/>
      <c r="J207" s="1282"/>
      <c r="K207" s="1282"/>
      <c r="L207" s="1282"/>
      <c r="M207" s="1282"/>
      <c r="N207" s="1282"/>
      <c r="O207" s="1282"/>
      <c r="P207" s="1282"/>
      <c r="Q207" s="1282"/>
      <c r="R207" s="1282"/>
      <c r="S207" s="1282"/>
      <c r="T207" s="1282"/>
      <c r="U207" s="1282"/>
      <c r="V207" s="1282"/>
      <c r="W207" s="1282"/>
      <c r="X207" s="1282"/>
      <c r="Y207" s="1282"/>
      <c r="Z207" s="1282"/>
    </row>
    <row r="208">
      <c r="A208" s="1282"/>
      <c r="B208" s="1282"/>
      <c r="C208" s="1282"/>
      <c r="D208" s="1282"/>
      <c r="E208" s="1282"/>
      <c r="F208" s="1282"/>
      <c r="G208" s="1282"/>
      <c r="H208" s="1282"/>
      <c r="I208" s="1282"/>
      <c r="J208" s="1282"/>
      <c r="K208" s="1282"/>
      <c r="L208" s="1282"/>
      <c r="M208" s="1282"/>
      <c r="N208" s="1282"/>
      <c r="O208" s="1282"/>
      <c r="P208" s="1282"/>
      <c r="Q208" s="1282"/>
      <c r="R208" s="1282"/>
      <c r="S208" s="1282"/>
      <c r="T208" s="1282"/>
      <c r="U208" s="1282"/>
      <c r="V208" s="1282"/>
      <c r="W208" s="1282"/>
      <c r="X208" s="1282"/>
      <c r="Y208" s="1282"/>
      <c r="Z208" s="1282"/>
    </row>
    <row r="209">
      <c r="A209" s="1282"/>
      <c r="B209" s="1282"/>
      <c r="C209" s="1282"/>
      <c r="D209" s="1282"/>
      <c r="E209" s="1282"/>
      <c r="F209" s="1282"/>
      <c r="G209" s="1282"/>
      <c r="H209" s="1282"/>
      <c r="I209" s="1282"/>
      <c r="J209" s="1282"/>
      <c r="K209" s="1282"/>
      <c r="L209" s="1282"/>
      <c r="M209" s="1282"/>
      <c r="N209" s="1282"/>
      <c r="O209" s="1282"/>
      <c r="P209" s="1282"/>
      <c r="Q209" s="1282"/>
      <c r="R209" s="1282"/>
      <c r="S209" s="1282"/>
      <c r="T209" s="1282"/>
      <c r="U209" s="1282"/>
      <c r="V209" s="1282"/>
      <c r="W209" s="1282"/>
      <c r="X209" s="1282"/>
      <c r="Y209" s="1282"/>
      <c r="Z209" s="1282"/>
    </row>
    <row r="210">
      <c r="A210" s="1282"/>
      <c r="B210" s="1282"/>
      <c r="C210" s="1282"/>
      <c r="D210" s="1282"/>
      <c r="E210" s="1282"/>
      <c r="F210" s="1282"/>
      <c r="G210" s="1282"/>
      <c r="H210" s="1282"/>
      <c r="I210" s="1282"/>
      <c r="J210" s="1282"/>
      <c r="K210" s="1282"/>
      <c r="L210" s="1282"/>
      <c r="M210" s="1282"/>
      <c r="N210" s="1282"/>
      <c r="O210" s="1282"/>
      <c r="P210" s="1282"/>
      <c r="Q210" s="1282"/>
      <c r="R210" s="1282"/>
      <c r="S210" s="1282"/>
      <c r="T210" s="1282"/>
      <c r="U210" s="1282"/>
      <c r="V210" s="1282"/>
      <c r="W210" s="1282"/>
      <c r="X210" s="1282"/>
      <c r="Y210" s="1282"/>
      <c r="Z210" s="1282"/>
    </row>
    <row r="211">
      <c r="A211" s="1282"/>
      <c r="B211" s="1282"/>
      <c r="C211" s="1282"/>
      <c r="D211" s="1282"/>
      <c r="E211" s="1282"/>
      <c r="F211" s="1282"/>
      <c r="G211" s="1282"/>
      <c r="H211" s="1282"/>
      <c r="I211" s="1282"/>
      <c r="J211" s="1282"/>
      <c r="K211" s="1282"/>
      <c r="L211" s="1282"/>
      <c r="M211" s="1282"/>
      <c r="N211" s="1282"/>
      <c r="O211" s="1282"/>
      <c r="P211" s="1282"/>
      <c r="Q211" s="1282"/>
      <c r="R211" s="1282"/>
      <c r="S211" s="1282"/>
      <c r="T211" s="1282"/>
      <c r="U211" s="1282"/>
      <c r="V211" s="1282"/>
      <c r="W211" s="1282"/>
      <c r="X211" s="1282"/>
      <c r="Y211" s="1282"/>
      <c r="Z211" s="1282"/>
    </row>
    <row r="212">
      <c r="A212" s="1282"/>
      <c r="B212" s="1282"/>
      <c r="C212" s="1282"/>
      <c r="D212" s="1282"/>
      <c r="E212" s="1282"/>
      <c r="F212" s="1282"/>
      <c r="G212" s="1282"/>
      <c r="H212" s="1282"/>
      <c r="I212" s="1282"/>
      <c r="J212" s="1282"/>
      <c r="K212" s="1282"/>
      <c r="L212" s="1282"/>
      <c r="M212" s="1282"/>
      <c r="N212" s="1282"/>
      <c r="O212" s="1282"/>
      <c r="P212" s="1282"/>
      <c r="Q212" s="1282"/>
      <c r="R212" s="1282"/>
      <c r="S212" s="1282"/>
      <c r="T212" s="1282"/>
      <c r="U212" s="1282"/>
      <c r="V212" s="1282"/>
      <c r="W212" s="1282"/>
      <c r="X212" s="1282"/>
      <c r="Y212" s="1282"/>
      <c r="Z212" s="1282"/>
    </row>
    <row r="213">
      <c r="A213" s="1282"/>
      <c r="B213" s="1282"/>
      <c r="C213" s="1282"/>
      <c r="D213" s="1282"/>
      <c r="E213" s="1282"/>
      <c r="F213" s="1282"/>
      <c r="G213" s="1282"/>
      <c r="H213" s="1282"/>
      <c r="I213" s="1282"/>
      <c r="J213" s="1282"/>
      <c r="K213" s="1282"/>
      <c r="L213" s="1282"/>
      <c r="M213" s="1282"/>
      <c r="N213" s="1282"/>
      <c r="O213" s="1282"/>
      <c r="P213" s="1282"/>
      <c r="Q213" s="1282"/>
      <c r="R213" s="1282"/>
      <c r="S213" s="1282"/>
      <c r="T213" s="1282"/>
      <c r="U213" s="1282"/>
      <c r="V213" s="1282"/>
      <c r="W213" s="1282"/>
      <c r="X213" s="1282"/>
      <c r="Y213" s="1282"/>
      <c r="Z213" s="1282"/>
    </row>
    <row r="214">
      <c r="A214" s="1282"/>
      <c r="B214" s="1282"/>
      <c r="C214" s="1282"/>
      <c r="D214" s="1282"/>
      <c r="E214" s="1282"/>
      <c r="F214" s="1282"/>
      <c r="G214" s="1282"/>
      <c r="H214" s="1282"/>
      <c r="I214" s="1282"/>
      <c r="J214" s="1282"/>
      <c r="K214" s="1282"/>
      <c r="L214" s="1282"/>
      <c r="M214" s="1282"/>
      <c r="N214" s="1282"/>
      <c r="O214" s="1282"/>
      <c r="P214" s="1282"/>
      <c r="Q214" s="1282"/>
      <c r="R214" s="1282"/>
      <c r="S214" s="1282"/>
      <c r="T214" s="1282"/>
      <c r="U214" s="1282"/>
      <c r="V214" s="1282"/>
      <c r="W214" s="1282"/>
      <c r="X214" s="1282"/>
      <c r="Y214" s="1282"/>
      <c r="Z214" s="1282"/>
    </row>
    <row r="215">
      <c r="A215" s="1282"/>
      <c r="B215" s="1282"/>
      <c r="C215" s="1282"/>
      <c r="D215" s="1282"/>
      <c r="E215" s="1282"/>
      <c r="F215" s="1282"/>
      <c r="G215" s="1282"/>
      <c r="H215" s="1282"/>
      <c r="I215" s="1282"/>
      <c r="J215" s="1282"/>
      <c r="K215" s="1282"/>
      <c r="L215" s="1282"/>
      <c r="M215" s="1282"/>
      <c r="N215" s="1282"/>
      <c r="O215" s="1282"/>
      <c r="P215" s="1282"/>
      <c r="Q215" s="1282"/>
      <c r="R215" s="1282"/>
      <c r="S215" s="1282"/>
      <c r="T215" s="1282"/>
      <c r="U215" s="1282"/>
      <c r="V215" s="1282"/>
      <c r="W215" s="1282"/>
      <c r="X215" s="1282"/>
      <c r="Y215" s="1282"/>
      <c r="Z215" s="1282"/>
    </row>
    <row r="216">
      <c r="A216" s="1282"/>
      <c r="B216" s="1282"/>
      <c r="C216" s="1282"/>
      <c r="D216" s="1282"/>
      <c r="E216" s="1282"/>
      <c r="F216" s="1282"/>
      <c r="G216" s="1282"/>
      <c r="H216" s="1282"/>
      <c r="I216" s="1282"/>
      <c r="J216" s="1282"/>
      <c r="K216" s="1282"/>
      <c r="L216" s="1282"/>
      <c r="M216" s="1282"/>
      <c r="N216" s="1282"/>
      <c r="O216" s="1282"/>
      <c r="P216" s="1282"/>
      <c r="Q216" s="1282"/>
      <c r="R216" s="1282"/>
      <c r="S216" s="1282"/>
      <c r="T216" s="1282"/>
      <c r="U216" s="1282"/>
      <c r="V216" s="1282"/>
      <c r="W216" s="1282"/>
      <c r="X216" s="1282"/>
      <c r="Y216" s="1282"/>
      <c r="Z216" s="1282"/>
    </row>
    <row r="217">
      <c r="A217" s="1282"/>
      <c r="B217" s="1282"/>
      <c r="C217" s="1282"/>
      <c r="D217" s="1282"/>
      <c r="E217" s="1282"/>
      <c r="F217" s="1282"/>
      <c r="G217" s="1282"/>
      <c r="H217" s="1282"/>
      <c r="I217" s="1282"/>
      <c r="J217" s="1282"/>
      <c r="K217" s="1282"/>
      <c r="L217" s="1282"/>
      <c r="M217" s="1282"/>
      <c r="N217" s="1282"/>
      <c r="O217" s="1282"/>
      <c r="P217" s="1282"/>
      <c r="Q217" s="1282"/>
      <c r="R217" s="1282"/>
      <c r="S217" s="1282"/>
      <c r="T217" s="1282"/>
      <c r="U217" s="1282"/>
      <c r="V217" s="1282"/>
      <c r="W217" s="1282"/>
      <c r="X217" s="1282"/>
      <c r="Y217" s="1282"/>
      <c r="Z217" s="1282"/>
    </row>
    <row r="218">
      <c r="A218" s="1282"/>
      <c r="B218" s="1282"/>
      <c r="C218" s="1282"/>
      <c r="D218" s="1282"/>
      <c r="E218" s="1282"/>
      <c r="F218" s="1282"/>
      <c r="G218" s="1282"/>
      <c r="H218" s="1282"/>
      <c r="I218" s="1282"/>
      <c r="J218" s="1282"/>
      <c r="K218" s="1282"/>
      <c r="L218" s="1282"/>
      <c r="M218" s="1282"/>
      <c r="N218" s="1282"/>
      <c r="O218" s="1282"/>
      <c r="P218" s="1282"/>
      <c r="Q218" s="1282"/>
      <c r="R218" s="1282"/>
      <c r="S218" s="1282"/>
      <c r="T218" s="1282"/>
      <c r="U218" s="1282"/>
      <c r="V218" s="1282"/>
      <c r="W218" s="1282"/>
      <c r="X218" s="1282"/>
      <c r="Y218" s="1282"/>
      <c r="Z218" s="1282"/>
    </row>
    <row r="219">
      <c r="A219" s="1282"/>
      <c r="B219" s="1282"/>
      <c r="C219" s="1282"/>
      <c r="D219" s="1282"/>
      <c r="E219" s="1282"/>
      <c r="F219" s="1282"/>
      <c r="G219" s="1282"/>
      <c r="H219" s="1282"/>
      <c r="I219" s="1282"/>
      <c r="J219" s="1282"/>
      <c r="K219" s="1282"/>
      <c r="L219" s="1282"/>
      <c r="M219" s="1282"/>
      <c r="N219" s="1282"/>
      <c r="O219" s="1282"/>
      <c r="P219" s="1282"/>
      <c r="Q219" s="1282"/>
      <c r="R219" s="1282"/>
      <c r="S219" s="1282"/>
      <c r="T219" s="1282"/>
      <c r="U219" s="1282"/>
      <c r="V219" s="1282"/>
      <c r="W219" s="1282"/>
      <c r="X219" s="1282"/>
      <c r="Y219" s="1282"/>
      <c r="Z219" s="1282"/>
    </row>
    <row r="220">
      <c r="A220" s="1282"/>
      <c r="B220" s="1282"/>
      <c r="C220" s="1282"/>
      <c r="D220" s="1282"/>
      <c r="E220" s="1282"/>
      <c r="F220" s="1282"/>
      <c r="G220" s="1282"/>
      <c r="H220" s="1282"/>
      <c r="I220" s="1282"/>
      <c r="J220" s="1282"/>
      <c r="K220" s="1282"/>
      <c r="L220" s="1282"/>
      <c r="M220" s="1282"/>
      <c r="N220" s="1282"/>
      <c r="O220" s="1282"/>
      <c r="P220" s="1282"/>
      <c r="Q220" s="1282"/>
      <c r="R220" s="1282"/>
      <c r="S220" s="1282"/>
      <c r="T220" s="1282"/>
      <c r="U220" s="1282"/>
      <c r="V220" s="1282"/>
      <c r="W220" s="1282"/>
      <c r="X220" s="1282"/>
      <c r="Y220" s="1282"/>
      <c r="Z220" s="1282"/>
    </row>
    <row r="221">
      <c r="A221" s="1282"/>
      <c r="B221" s="1282"/>
      <c r="C221" s="1282"/>
      <c r="D221" s="1282"/>
      <c r="E221" s="1282"/>
      <c r="F221" s="1282"/>
      <c r="G221" s="1282"/>
      <c r="H221" s="1282"/>
      <c r="I221" s="1282"/>
      <c r="J221" s="1282"/>
      <c r="K221" s="1282"/>
      <c r="L221" s="1282"/>
      <c r="M221" s="1282"/>
      <c r="N221" s="1282"/>
      <c r="O221" s="1282"/>
      <c r="P221" s="1282"/>
      <c r="Q221" s="1282"/>
      <c r="R221" s="1282"/>
      <c r="S221" s="1282"/>
      <c r="T221" s="1282"/>
      <c r="U221" s="1282"/>
      <c r="V221" s="1282"/>
      <c r="W221" s="1282"/>
      <c r="X221" s="1282"/>
      <c r="Y221" s="1282"/>
      <c r="Z221" s="1282"/>
    </row>
    <row r="222">
      <c r="A222" s="1282"/>
      <c r="B222" s="1282"/>
      <c r="C222" s="1282"/>
      <c r="D222" s="1282"/>
      <c r="E222" s="1282"/>
      <c r="F222" s="1282"/>
      <c r="G222" s="1282"/>
      <c r="H222" s="1282"/>
      <c r="I222" s="1282"/>
      <c r="J222" s="1282"/>
      <c r="K222" s="1282"/>
      <c r="L222" s="1282"/>
      <c r="M222" s="1282"/>
      <c r="N222" s="1282"/>
      <c r="O222" s="1282"/>
      <c r="P222" s="1282"/>
      <c r="Q222" s="1282"/>
      <c r="R222" s="1282"/>
      <c r="S222" s="1282"/>
      <c r="T222" s="1282"/>
      <c r="U222" s="1282"/>
      <c r="V222" s="1282"/>
      <c r="W222" s="1282"/>
      <c r="X222" s="1282"/>
      <c r="Y222" s="1282"/>
      <c r="Z222" s="1282"/>
    </row>
    <row r="223">
      <c r="A223" s="1282"/>
      <c r="B223" s="1282"/>
      <c r="C223" s="1282"/>
      <c r="D223" s="1282"/>
      <c r="E223" s="1282"/>
      <c r="F223" s="1282"/>
      <c r="G223" s="1282"/>
      <c r="H223" s="1282"/>
      <c r="I223" s="1282"/>
      <c r="J223" s="1282"/>
      <c r="K223" s="1282"/>
      <c r="L223" s="1282"/>
      <c r="M223" s="1282"/>
      <c r="N223" s="1282"/>
      <c r="O223" s="1282"/>
      <c r="P223" s="1282"/>
      <c r="Q223" s="1282"/>
      <c r="R223" s="1282"/>
      <c r="S223" s="1282"/>
      <c r="T223" s="1282"/>
      <c r="U223" s="1282"/>
      <c r="V223" s="1282"/>
      <c r="W223" s="1282"/>
      <c r="X223" s="1282"/>
      <c r="Y223" s="1282"/>
      <c r="Z223" s="1282"/>
    </row>
    <row r="224">
      <c r="A224" s="1282"/>
      <c r="B224" s="1282"/>
      <c r="C224" s="1282"/>
      <c r="D224" s="1282"/>
      <c r="E224" s="1282"/>
      <c r="F224" s="1282"/>
      <c r="G224" s="1282"/>
      <c r="H224" s="1282"/>
      <c r="I224" s="1282"/>
      <c r="J224" s="1282"/>
      <c r="K224" s="1282"/>
      <c r="L224" s="1282"/>
      <c r="M224" s="1282"/>
      <c r="N224" s="1282"/>
      <c r="O224" s="1282"/>
      <c r="P224" s="1282"/>
      <c r="Q224" s="1282"/>
      <c r="R224" s="1282"/>
      <c r="S224" s="1282"/>
      <c r="T224" s="1282"/>
      <c r="U224" s="1282"/>
      <c r="V224" s="1282"/>
      <c r="W224" s="1282"/>
      <c r="X224" s="1282"/>
      <c r="Y224" s="1282"/>
      <c r="Z224" s="1282"/>
    </row>
    <row r="225">
      <c r="A225" s="1282"/>
      <c r="B225" s="1282"/>
      <c r="C225" s="1282"/>
      <c r="D225" s="1282"/>
      <c r="E225" s="1282"/>
      <c r="F225" s="1282"/>
      <c r="G225" s="1282"/>
      <c r="H225" s="1282"/>
      <c r="I225" s="1282"/>
      <c r="J225" s="1282"/>
      <c r="K225" s="1282"/>
      <c r="L225" s="1282"/>
      <c r="M225" s="1282"/>
      <c r="N225" s="1282"/>
      <c r="O225" s="1282"/>
      <c r="P225" s="1282"/>
      <c r="Q225" s="1282"/>
      <c r="R225" s="1282"/>
      <c r="S225" s="1282"/>
      <c r="T225" s="1282"/>
      <c r="U225" s="1282"/>
      <c r="V225" s="1282"/>
      <c r="W225" s="1282"/>
      <c r="X225" s="1282"/>
      <c r="Y225" s="1282"/>
      <c r="Z225" s="1282"/>
    </row>
    <row r="226">
      <c r="A226" s="1282"/>
      <c r="B226" s="1282"/>
      <c r="C226" s="1282"/>
      <c r="D226" s="1282"/>
      <c r="E226" s="1282"/>
      <c r="F226" s="1282"/>
      <c r="G226" s="1282"/>
      <c r="H226" s="1282"/>
      <c r="I226" s="1282"/>
      <c r="J226" s="1282"/>
      <c r="K226" s="1282"/>
      <c r="L226" s="1282"/>
      <c r="M226" s="1282"/>
      <c r="N226" s="1282"/>
      <c r="O226" s="1282"/>
      <c r="P226" s="1282"/>
      <c r="Q226" s="1282"/>
      <c r="R226" s="1282"/>
      <c r="S226" s="1282"/>
      <c r="T226" s="1282"/>
      <c r="U226" s="1282"/>
      <c r="V226" s="1282"/>
      <c r="W226" s="1282"/>
      <c r="X226" s="1282"/>
      <c r="Y226" s="1282"/>
      <c r="Z226" s="1282"/>
    </row>
    <row r="227">
      <c r="A227" s="1282"/>
      <c r="B227" s="1282"/>
      <c r="C227" s="1282"/>
      <c r="D227" s="1282"/>
      <c r="E227" s="1282"/>
      <c r="F227" s="1282"/>
      <c r="G227" s="1282"/>
      <c r="H227" s="1282"/>
      <c r="I227" s="1282"/>
      <c r="J227" s="1282"/>
      <c r="K227" s="1282"/>
      <c r="L227" s="1282"/>
      <c r="M227" s="1282"/>
      <c r="N227" s="1282"/>
      <c r="O227" s="1282"/>
      <c r="P227" s="1282"/>
      <c r="Q227" s="1282"/>
      <c r="R227" s="1282"/>
      <c r="S227" s="1282"/>
      <c r="T227" s="1282"/>
      <c r="U227" s="1282"/>
      <c r="V227" s="1282"/>
      <c r="W227" s="1282"/>
      <c r="X227" s="1282"/>
      <c r="Y227" s="1282"/>
      <c r="Z227" s="1282"/>
    </row>
    <row r="228">
      <c r="A228" s="1282"/>
      <c r="B228" s="1282"/>
      <c r="C228" s="1282"/>
      <c r="D228" s="1282"/>
      <c r="E228" s="1282"/>
      <c r="F228" s="1282"/>
      <c r="G228" s="1282"/>
      <c r="H228" s="1282"/>
      <c r="I228" s="1282"/>
      <c r="J228" s="1282"/>
      <c r="K228" s="1282"/>
      <c r="L228" s="1282"/>
      <c r="M228" s="1282"/>
      <c r="N228" s="1282"/>
      <c r="O228" s="1282"/>
      <c r="P228" s="1282"/>
      <c r="Q228" s="1282"/>
      <c r="R228" s="1282"/>
      <c r="S228" s="1282"/>
      <c r="T228" s="1282"/>
      <c r="U228" s="1282"/>
      <c r="V228" s="1282"/>
      <c r="W228" s="1282"/>
      <c r="X228" s="1282"/>
      <c r="Y228" s="1282"/>
      <c r="Z228" s="1282"/>
    </row>
    <row r="229">
      <c r="A229" s="1282"/>
      <c r="B229" s="1282"/>
      <c r="C229" s="1282"/>
      <c r="D229" s="1282"/>
      <c r="E229" s="1282"/>
      <c r="F229" s="1282"/>
      <c r="G229" s="1282"/>
      <c r="H229" s="1282"/>
      <c r="I229" s="1282"/>
      <c r="J229" s="1282"/>
      <c r="K229" s="1282"/>
      <c r="L229" s="1282"/>
      <c r="M229" s="1282"/>
      <c r="N229" s="1282"/>
      <c r="O229" s="1282"/>
      <c r="P229" s="1282"/>
      <c r="Q229" s="1282"/>
      <c r="R229" s="1282"/>
      <c r="S229" s="1282"/>
      <c r="T229" s="1282"/>
      <c r="U229" s="1282"/>
      <c r="V229" s="1282"/>
      <c r="W229" s="1282"/>
      <c r="X229" s="1282"/>
      <c r="Y229" s="1282"/>
      <c r="Z229" s="1282"/>
    </row>
    <row r="230">
      <c r="A230" s="1282"/>
      <c r="B230" s="1282"/>
      <c r="C230" s="1282"/>
      <c r="D230" s="1282"/>
      <c r="E230" s="1282"/>
      <c r="F230" s="1282"/>
      <c r="G230" s="1282"/>
      <c r="H230" s="1282"/>
      <c r="I230" s="1282"/>
      <c r="J230" s="1282"/>
      <c r="K230" s="1282"/>
      <c r="L230" s="1282"/>
      <c r="M230" s="1282"/>
      <c r="N230" s="1282"/>
      <c r="O230" s="1282"/>
      <c r="P230" s="1282"/>
      <c r="Q230" s="1282"/>
      <c r="R230" s="1282"/>
      <c r="S230" s="1282"/>
      <c r="T230" s="1282"/>
      <c r="U230" s="1282"/>
      <c r="V230" s="1282"/>
      <c r="W230" s="1282"/>
      <c r="X230" s="1282"/>
      <c r="Y230" s="1282"/>
      <c r="Z230" s="1282"/>
    </row>
    <row r="231">
      <c r="A231" s="1282"/>
      <c r="B231" s="1282"/>
      <c r="C231" s="1282"/>
      <c r="D231" s="1282"/>
      <c r="E231" s="1282"/>
      <c r="F231" s="1282"/>
      <c r="G231" s="1282"/>
      <c r="H231" s="1282"/>
      <c r="I231" s="1282"/>
      <c r="J231" s="1282"/>
      <c r="K231" s="1282"/>
      <c r="L231" s="1282"/>
      <c r="M231" s="1282"/>
      <c r="N231" s="1282"/>
      <c r="O231" s="1282"/>
      <c r="P231" s="1282"/>
      <c r="Q231" s="1282"/>
      <c r="R231" s="1282"/>
      <c r="S231" s="1282"/>
      <c r="T231" s="1282"/>
      <c r="U231" s="1282"/>
      <c r="V231" s="1282"/>
      <c r="W231" s="1282"/>
      <c r="X231" s="1282"/>
      <c r="Y231" s="1282"/>
      <c r="Z231" s="1282"/>
    </row>
    <row r="232">
      <c r="A232" s="1282"/>
      <c r="B232" s="1282"/>
      <c r="C232" s="1282"/>
      <c r="D232" s="1282"/>
      <c r="E232" s="1282"/>
      <c r="F232" s="1282"/>
      <c r="G232" s="1282"/>
      <c r="H232" s="1282"/>
      <c r="I232" s="1282"/>
      <c r="J232" s="1282"/>
      <c r="K232" s="1282"/>
      <c r="L232" s="1282"/>
      <c r="M232" s="1282"/>
      <c r="N232" s="1282"/>
      <c r="O232" s="1282"/>
      <c r="P232" s="1282"/>
      <c r="Q232" s="1282"/>
      <c r="R232" s="1282"/>
      <c r="S232" s="1282"/>
      <c r="T232" s="1282"/>
      <c r="U232" s="1282"/>
      <c r="V232" s="1282"/>
      <c r="W232" s="1282"/>
      <c r="X232" s="1282"/>
      <c r="Y232" s="1282"/>
      <c r="Z232" s="1282"/>
    </row>
    <row r="233">
      <c r="A233" s="1282"/>
      <c r="B233" s="1282"/>
      <c r="C233" s="1282"/>
      <c r="D233" s="1282"/>
      <c r="E233" s="1282"/>
      <c r="F233" s="1282"/>
      <c r="G233" s="1282"/>
      <c r="H233" s="1282"/>
      <c r="I233" s="1282"/>
      <c r="J233" s="1282"/>
      <c r="K233" s="1282"/>
      <c r="L233" s="1282"/>
      <c r="M233" s="1282"/>
      <c r="N233" s="1282"/>
      <c r="O233" s="1282"/>
      <c r="P233" s="1282"/>
      <c r="Q233" s="1282"/>
      <c r="R233" s="1282"/>
      <c r="S233" s="1282"/>
      <c r="T233" s="1282"/>
      <c r="U233" s="1282"/>
      <c r="V233" s="1282"/>
      <c r="W233" s="1282"/>
      <c r="X233" s="1282"/>
      <c r="Y233" s="1282"/>
      <c r="Z233" s="1282"/>
    </row>
    <row r="234">
      <c r="A234" s="1282"/>
      <c r="B234" s="1282"/>
      <c r="C234" s="1282"/>
      <c r="D234" s="1282"/>
      <c r="E234" s="1282"/>
      <c r="F234" s="1282"/>
      <c r="G234" s="1282"/>
      <c r="H234" s="1282"/>
      <c r="I234" s="1282"/>
      <c r="J234" s="1282"/>
      <c r="K234" s="1282"/>
      <c r="L234" s="1282"/>
      <c r="M234" s="1282"/>
      <c r="N234" s="1282"/>
      <c r="O234" s="1282"/>
      <c r="P234" s="1282"/>
      <c r="Q234" s="1282"/>
      <c r="R234" s="1282"/>
      <c r="S234" s="1282"/>
      <c r="T234" s="1282"/>
      <c r="U234" s="1282"/>
      <c r="V234" s="1282"/>
      <c r="W234" s="1282"/>
      <c r="X234" s="1282"/>
      <c r="Y234" s="1282"/>
      <c r="Z234" s="1282"/>
    </row>
    <row r="235">
      <c r="A235" s="1282"/>
      <c r="B235" s="1282"/>
      <c r="C235" s="1282"/>
      <c r="D235" s="1282"/>
      <c r="E235" s="1282"/>
      <c r="F235" s="1282"/>
      <c r="G235" s="1282"/>
      <c r="H235" s="1282"/>
      <c r="I235" s="1282"/>
      <c r="J235" s="1282"/>
      <c r="K235" s="1282"/>
      <c r="L235" s="1282"/>
      <c r="M235" s="1282"/>
      <c r="N235" s="1282"/>
      <c r="O235" s="1282"/>
      <c r="P235" s="1282"/>
      <c r="Q235" s="1282"/>
      <c r="R235" s="1282"/>
      <c r="S235" s="1282"/>
      <c r="T235" s="1282"/>
      <c r="U235" s="1282"/>
      <c r="V235" s="1282"/>
      <c r="W235" s="1282"/>
      <c r="X235" s="1282"/>
      <c r="Y235" s="1282"/>
      <c r="Z235" s="1282"/>
    </row>
    <row r="236">
      <c r="A236" s="1282"/>
      <c r="B236" s="1282"/>
      <c r="C236" s="1282"/>
      <c r="D236" s="1282"/>
      <c r="E236" s="1282"/>
      <c r="F236" s="1282"/>
      <c r="G236" s="1282"/>
      <c r="H236" s="1282"/>
      <c r="I236" s="1282"/>
      <c r="J236" s="1282"/>
      <c r="K236" s="1282"/>
      <c r="L236" s="1282"/>
      <c r="M236" s="1282"/>
      <c r="N236" s="1282"/>
      <c r="O236" s="1282"/>
      <c r="P236" s="1282"/>
      <c r="Q236" s="1282"/>
      <c r="R236" s="1282"/>
      <c r="S236" s="1282"/>
      <c r="T236" s="1282"/>
      <c r="U236" s="1282"/>
      <c r="V236" s="1282"/>
      <c r="W236" s="1282"/>
      <c r="X236" s="1282"/>
      <c r="Y236" s="1282"/>
      <c r="Z236" s="1282"/>
    </row>
    <row r="237">
      <c r="A237" s="1282"/>
      <c r="B237" s="1282"/>
      <c r="C237" s="1282"/>
      <c r="D237" s="1282"/>
      <c r="E237" s="1282"/>
      <c r="F237" s="1282"/>
      <c r="G237" s="1282"/>
      <c r="H237" s="1282"/>
      <c r="I237" s="1282"/>
      <c r="J237" s="1282"/>
      <c r="K237" s="1282"/>
      <c r="L237" s="1282"/>
      <c r="M237" s="1282"/>
      <c r="N237" s="1282"/>
      <c r="O237" s="1282"/>
      <c r="P237" s="1282"/>
      <c r="Q237" s="1282"/>
      <c r="R237" s="1282"/>
      <c r="S237" s="1282"/>
      <c r="T237" s="1282"/>
      <c r="U237" s="1282"/>
      <c r="V237" s="1282"/>
      <c r="W237" s="1282"/>
      <c r="X237" s="1282"/>
      <c r="Y237" s="1282"/>
      <c r="Z237" s="1282"/>
    </row>
    <row r="238">
      <c r="A238" s="1282"/>
      <c r="B238" s="1282"/>
      <c r="C238" s="1282"/>
      <c r="D238" s="1282"/>
      <c r="E238" s="1282"/>
      <c r="F238" s="1282"/>
      <c r="G238" s="1282"/>
      <c r="H238" s="1282"/>
      <c r="I238" s="1282"/>
      <c r="J238" s="1282"/>
      <c r="K238" s="1282"/>
      <c r="L238" s="1282"/>
      <c r="M238" s="1282"/>
      <c r="N238" s="1282"/>
      <c r="O238" s="1282"/>
      <c r="P238" s="1282"/>
      <c r="Q238" s="1282"/>
      <c r="R238" s="1282"/>
      <c r="S238" s="1282"/>
      <c r="T238" s="1282"/>
      <c r="U238" s="1282"/>
      <c r="V238" s="1282"/>
      <c r="W238" s="1282"/>
      <c r="X238" s="1282"/>
      <c r="Y238" s="1282"/>
      <c r="Z238" s="1282"/>
    </row>
    <row r="239">
      <c r="A239" s="1282"/>
      <c r="B239" s="1282"/>
      <c r="C239" s="1282"/>
      <c r="D239" s="1282"/>
      <c r="E239" s="1282"/>
      <c r="F239" s="1282"/>
      <c r="G239" s="1282"/>
      <c r="H239" s="1282"/>
      <c r="I239" s="1282"/>
      <c r="J239" s="1282"/>
      <c r="K239" s="1282"/>
      <c r="L239" s="1282"/>
      <c r="M239" s="1282"/>
      <c r="N239" s="1282"/>
      <c r="O239" s="1282"/>
      <c r="P239" s="1282"/>
      <c r="Q239" s="1282"/>
      <c r="R239" s="1282"/>
      <c r="S239" s="1282"/>
      <c r="T239" s="1282"/>
      <c r="U239" s="1282"/>
      <c r="V239" s="1282"/>
      <c r="W239" s="1282"/>
      <c r="X239" s="1282"/>
      <c r="Y239" s="1282"/>
      <c r="Z239" s="1282"/>
    </row>
    <row r="240">
      <c r="A240" s="1282"/>
      <c r="B240" s="1282"/>
      <c r="C240" s="1282"/>
      <c r="D240" s="1282"/>
      <c r="E240" s="1282"/>
      <c r="F240" s="1282"/>
      <c r="G240" s="1282"/>
      <c r="H240" s="1282"/>
      <c r="I240" s="1282"/>
      <c r="J240" s="1282"/>
      <c r="K240" s="1282"/>
      <c r="L240" s="1282"/>
      <c r="M240" s="1282"/>
      <c r="N240" s="1282"/>
      <c r="O240" s="1282"/>
      <c r="P240" s="1282"/>
      <c r="Q240" s="1282"/>
      <c r="R240" s="1282"/>
      <c r="S240" s="1282"/>
      <c r="T240" s="1282"/>
      <c r="U240" s="1282"/>
      <c r="V240" s="1282"/>
      <c r="W240" s="1282"/>
      <c r="X240" s="1282"/>
      <c r="Y240" s="1282"/>
      <c r="Z240" s="1282"/>
    </row>
    <row r="241">
      <c r="A241" s="1282"/>
      <c r="B241" s="1282"/>
      <c r="C241" s="1282"/>
      <c r="D241" s="1282"/>
      <c r="E241" s="1282"/>
      <c r="F241" s="1282"/>
      <c r="G241" s="1282"/>
      <c r="H241" s="1282"/>
      <c r="I241" s="1282"/>
      <c r="J241" s="1282"/>
      <c r="K241" s="1282"/>
      <c r="L241" s="1282"/>
      <c r="M241" s="1282"/>
      <c r="N241" s="1282"/>
      <c r="O241" s="1282"/>
      <c r="P241" s="1282"/>
      <c r="Q241" s="1282"/>
      <c r="R241" s="1282"/>
      <c r="S241" s="1282"/>
      <c r="T241" s="1282"/>
      <c r="U241" s="1282"/>
      <c r="V241" s="1282"/>
      <c r="W241" s="1282"/>
      <c r="X241" s="1282"/>
      <c r="Y241" s="1282"/>
      <c r="Z241" s="1282"/>
    </row>
    <row r="242">
      <c r="A242" s="1282"/>
      <c r="B242" s="1282"/>
      <c r="C242" s="1282"/>
      <c r="D242" s="1282"/>
      <c r="E242" s="1282"/>
      <c r="F242" s="1282"/>
      <c r="G242" s="1282"/>
      <c r="H242" s="1282"/>
      <c r="I242" s="1282"/>
      <c r="J242" s="1282"/>
      <c r="K242" s="1282"/>
      <c r="L242" s="1282"/>
      <c r="M242" s="1282"/>
      <c r="N242" s="1282"/>
      <c r="O242" s="1282"/>
      <c r="P242" s="1282"/>
      <c r="Q242" s="1282"/>
      <c r="R242" s="1282"/>
      <c r="S242" s="1282"/>
      <c r="T242" s="1282"/>
      <c r="U242" s="1282"/>
      <c r="V242" s="1282"/>
      <c r="W242" s="1282"/>
      <c r="X242" s="1282"/>
      <c r="Y242" s="1282"/>
      <c r="Z242" s="1282"/>
    </row>
    <row r="243">
      <c r="A243" s="1282"/>
      <c r="B243" s="1282"/>
      <c r="C243" s="1282"/>
      <c r="D243" s="1282"/>
      <c r="E243" s="1282"/>
      <c r="F243" s="1282"/>
      <c r="G243" s="1282"/>
      <c r="H243" s="1282"/>
      <c r="I243" s="1282"/>
      <c r="J243" s="1282"/>
      <c r="K243" s="1282"/>
      <c r="L243" s="1282"/>
      <c r="M243" s="1282"/>
      <c r="N243" s="1282"/>
      <c r="O243" s="1282"/>
      <c r="P243" s="1282"/>
      <c r="Q243" s="1282"/>
      <c r="R243" s="1282"/>
      <c r="S243" s="1282"/>
      <c r="T243" s="1282"/>
      <c r="U243" s="1282"/>
      <c r="V243" s="1282"/>
      <c r="W243" s="1282"/>
      <c r="X243" s="1282"/>
      <c r="Y243" s="1282"/>
      <c r="Z243" s="1282"/>
    </row>
    <row r="244">
      <c r="A244" s="1282"/>
      <c r="B244" s="1282"/>
      <c r="C244" s="1282"/>
      <c r="D244" s="1282"/>
      <c r="E244" s="1282"/>
      <c r="F244" s="1282"/>
      <c r="G244" s="1282"/>
      <c r="H244" s="1282"/>
      <c r="I244" s="1282"/>
      <c r="J244" s="1282"/>
      <c r="K244" s="1282"/>
      <c r="L244" s="1282"/>
      <c r="M244" s="1282"/>
      <c r="N244" s="1282"/>
      <c r="O244" s="1282"/>
      <c r="P244" s="1282"/>
      <c r="Q244" s="1282"/>
      <c r="R244" s="1282"/>
      <c r="S244" s="1282"/>
      <c r="T244" s="1282"/>
      <c r="U244" s="1282"/>
      <c r="V244" s="1282"/>
      <c r="W244" s="1282"/>
      <c r="X244" s="1282"/>
      <c r="Y244" s="1282"/>
      <c r="Z244" s="1282"/>
    </row>
    <row r="245">
      <c r="A245" s="1282"/>
      <c r="B245" s="1282"/>
      <c r="C245" s="1282"/>
      <c r="D245" s="1282"/>
      <c r="E245" s="1282"/>
      <c r="F245" s="1282"/>
      <c r="G245" s="1282"/>
      <c r="H245" s="1282"/>
      <c r="I245" s="1282"/>
      <c r="J245" s="1282"/>
      <c r="K245" s="1282"/>
      <c r="L245" s="1282"/>
      <c r="M245" s="1282"/>
      <c r="N245" s="1282"/>
      <c r="O245" s="1282"/>
      <c r="P245" s="1282"/>
      <c r="Q245" s="1282"/>
      <c r="R245" s="1282"/>
      <c r="S245" s="1282"/>
      <c r="T245" s="1282"/>
      <c r="U245" s="1282"/>
      <c r="V245" s="1282"/>
      <c r="W245" s="1282"/>
      <c r="X245" s="1282"/>
      <c r="Y245" s="1282"/>
      <c r="Z245" s="1282"/>
    </row>
    <row r="246">
      <c r="A246" s="1282"/>
      <c r="B246" s="1282"/>
      <c r="C246" s="1282"/>
      <c r="D246" s="1282"/>
      <c r="E246" s="1282"/>
      <c r="F246" s="1282"/>
      <c r="G246" s="1282"/>
      <c r="H246" s="1282"/>
      <c r="I246" s="1282"/>
      <c r="J246" s="1282"/>
      <c r="K246" s="1282"/>
      <c r="L246" s="1282"/>
      <c r="M246" s="1282"/>
      <c r="N246" s="1282"/>
      <c r="O246" s="1282"/>
      <c r="P246" s="1282"/>
      <c r="Q246" s="1282"/>
      <c r="R246" s="1282"/>
      <c r="S246" s="1282"/>
      <c r="T246" s="1282"/>
      <c r="U246" s="1282"/>
      <c r="V246" s="1282"/>
      <c r="W246" s="1282"/>
      <c r="X246" s="1282"/>
      <c r="Y246" s="1282"/>
      <c r="Z246" s="1282"/>
    </row>
    <row r="247">
      <c r="A247" s="1282"/>
      <c r="B247" s="1282"/>
      <c r="C247" s="1282"/>
      <c r="D247" s="1282"/>
      <c r="E247" s="1282"/>
      <c r="F247" s="1282"/>
      <c r="G247" s="1282"/>
      <c r="H247" s="1282"/>
      <c r="I247" s="1282"/>
      <c r="J247" s="1282"/>
      <c r="K247" s="1282"/>
      <c r="L247" s="1282"/>
      <c r="M247" s="1282"/>
      <c r="N247" s="1282"/>
      <c r="O247" s="1282"/>
      <c r="P247" s="1282"/>
      <c r="Q247" s="1282"/>
      <c r="R247" s="1282"/>
      <c r="S247" s="1282"/>
      <c r="T247" s="1282"/>
      <c r="U247" s="1282"/>
      <c r="V247" s="1282"/>
      <c r="W247" s="1282"/>
      <c r="X247" s="1282"/>
      <c r="Y247" s="1282"/>
      <c r="Z247" s="1282"/>
    </row>
    <row r="248">
      <c r="A248" s="1282"/>
      <c r="B248" s="1282"/>
      <c r="C248" s="1282"/>
      <c r="D248" s="1282"/>
      <c r="E248" s="1282"/>
      <c r="F248" s="1282"/>
      <c r="G248" s="1282"/>
      <c r="H248" s="1282"/>
      <c r="I248" s="1282"/>
      <c r="J248" s="1282"/>
      <c r="K248" s="1282"/>
      <c r="L248" s="1282"/>
      <c r="M248" s="1282"/>
      <c r="N248" s="1282"/>
      <c r="O248" s="1282"/>
      <c r="P248" s="1282"/>
      <c r="Q248" s="1282"/>
      <c r="R248" s="1282"/>
      <c r="S248" s="1282"/>
      <c r="T248" s="1282"/>
      <c r="U248" s="1282"/>
      <c r="V248" s="1282"/>
      <c r="W248" s="1282"/>
      <c r="X248" s="1282"/>
      <c r="Y248" s="1282"/>
      <c r="Z248" s="1282"/>
    </row>
    <row r="249">
      <c r="A249" s="1282"/>
      <c r="B249" s="1282"/>
      <c r="C249" s="1282"/>
      <c r="D249" s="1282"/>
      <c r="E249" s="1282"/>
      <c r="F249" s="1282"/>
      <c r="G249" s="1282"/>
      <c r="H249" s="1282"/>
      <c r="I249" s="1282"/>
      <c r="J249" s="1282"/>
      <c r="K249" s="1282"/>
      <c r="L249" s="1282"/>
      <c r="M249" s="1282"/>
      <c r="N249" s="1282"/>
      <c r="O249" s="1282"/>
      <c r="P249" s="1282"/>
      <c r="Q249" s="1282"/>
      <c r="R249" s="1282"/>
      <c r="S249" s="1282"/>
      <c r="T249" s="1282"/>
      <c r="U249" s="1282"/>
      <c r="V249" s="1282"/>
      <c r="W249" s="1282"/>
      <c r="X249" s="1282"/>
      <c r="Y249" s="1282"/>
      <c r="Z249" s="1282"/>
    </row>
    <row r="250">
      <c r="A250" s="1282"/>
      <c r="B250" s="1282"/>
      <c r="C250" s="1282"/>
      <c r="D250" s="1282"/>
      <c r="E250" s="1282"/>
      <c r="F250" s="1282"/>
      <c r="G250" s="1282"/>
      <c r="H250" s="1282"/>
      <c r="I250" s="1282"/>
      <c r="J250" s="1282"/>
      <c r="K250" s="1282"/>
      <c r="L250" s="1282"/>
      <c r="M250" s="1282"/>
      <c r="N250" s="1282"/>
      <c r="O250" s="1282"/>
      <c r="P250" s="1282"/>
      <c r="Q250" s="1282"/>
      <c r="R250" s="1282"/>
      <c r="S250" s="1282"/>
      <c r="T250" s="1282"/>
      <c r="U250" s="1282"/>
      <c r="V250" s="1282"/>
      <c r="W250" s="1282"/>
      <c r="X250" s="1282"/>
      <c r="Y250" s="1282"/>
      <c r="Z250" s="1282"/>
    </row>
    <row r="251">
      <c r="A251" s="1282"/>
      <c r="B251" s="1282"/>
      <c r="C251" s="1282"/>
      <c r="D251" s="1282"/>
      <c r="E251" s="1282"/>
      <c r="F251" s="1282"/>
      <c r="G251" s="1282"/>
      <c r="H251" s="1282"/>
      <c r="I251" s="1282"/>
      <c r="J251" s="1282"/>
      <c r="K251" s="1282"/>
      <c r="L251" s="1282"/>
      <c r="M251" s="1282"/>
      <c r="N251" s="1282"/>
      <c r="O251" s="1282"/>
      <c r="P251" s="1282"/>
      <c r="Q251" s="1282"/>
      <c r="R251" s="1282"/>
      <c r="S251" s="1282"/>
      <c r="T251" s="1282"/>
      <c r="U251" s="1282"/>
      <c r="V251" s="1282"/>
      <c r="W251" s="1282"/>
      <c r="X251" s="1282"/>
      <c r="Y251" s="1282"/>
      <c r="Z251" s="1282"/>
    </row>
    <row r="252">
      <c r="A252" s="1282"/>
      <c r="B252" s="1282"/>
      <c r="C252" s="1282"/>
      <c r="D252" s="1282"/>
      <c r="E252" s="1282"/>
      <c r="F252" s="1282"/>
      <c r="G252" s="1282"/>
      <c r="H252" s="1282"/>
      <c r="I252" s="1282"/>
      <c r="J252" s="1282"/>
      <c r="K252" s="1282"/>
      <c r="L252" s="1282"/>
      <c r="M252" s="1282"/>
      <c r="N252" s="1282"/>
      <c r="O252" s="1282"/>
      <c r="P252" s="1282"/>
      <c r="Q252" s="1282"/>
      <c r="R252" s="1282"/>
      <c r="S252" s="1282"/>
      <c r="T252" s="1282"/>
      <c r="U252" s="1282"/>
      <c r="V252" s="1282"/>
      <c r="W252" s="1282"/>
      <c r="X252" s="1282"/>
      <c r="Y252" s="1282"/>
      <c r="Z252" s="1282"/>
    </row>
    <row r="253">
      <c r="A253" s="1282"/>
      <c r="B253" s="1282"/>
      <c r="C253" s="1282"/>
      <c r="D253" s="1282"/>
      <c r="E253" s="1282"/>
      <c r="F253" s="1282"/>
      <c r="G253" s="1282"/>
      <c r="H253" s="1282"/>
      <c r="I253" s="1282"/>
      <c r="J253" s="1282"/>
      <c r="K253" s="1282"/>
      <c r="L253" s="1282"/>
      <c r="M253" s="1282"/>
      <c r="N253" s="1282"/>
      <c r="O253" s="1282"/>
      <c r="P253" s="1282"/>
      <c r="Q253" s="1282"/>
      <c r="R253" s="1282"/>
      <c r="S253" s="1282"/>
      <c r="T253" s="1282"/>
      <c r="U253" s="1282"/>
      <c r="V253" s="1282"/>
      <c r="W253" s="1282"/>
      <c r="X253" s="1282"/>
      <c r="Y253" s="1282"/>
      <c r="Z253" s="1282"/>
    </row>
    <row r="254">
      <c r="A254" s="1282"/>
      <c r="B254" s="1282"/>
      <c r="C254" s="1282"/>
      <c r="D254" s="1282"/>
      <c r="E254" s="1282"/>
      <c r="F254" s="1282"/>
      <c r="G254" s="1282"/>
      <c r="H254" s="1282"/>
      <c r="I254" s="1282"/>
      <c r="J254" s="1282"/>
      <c r="K254" s="1282"/>
      <c r="L254" s="1282"/>
      <c r="M254" s="1282"/>
      <c r="N254" s="1282"/>
      <c r="O254" s="1282"/>
      <c r="P254" s="1282"/>
      <c r="Q254" s="1282"/>
      <c r="R254" s="1282"/>
      <c r="S254" s="1282"/>
      <c r="T254" s="1282"/>
      <c r="U254" s="1282"/>
      <c r="V254" s="1282"/>
      <c r="W254" s="1282"/>
      <c r="X254" s="1282"/>
      <c r="Y254" s="1282"/>
      <c r="Z254" s="1282"/>
    </row>
    <row r="255">
      <c r="A255" s="1282"/>
      <c r="B255" s="1282"/>
      <c r="C255" s="1282"/>
      <c r="D255" s="1282"/>
      <c r="E255" s="1282"/>
      <c r="F255" s="1282"/>
      <c r="G255" s="1282"/>
      <c r="H255" s="1282"/>
      <c r="I255" s="1282"/>
      <c r="J255" s="1282"/>
      <c r="K255" s="1282"/>
      <c r="L255" s="1282"/>
      <c r="M255" s="1282"/>
      <c r="N255" s="1282"/>
      <c r="O255" s="1282"/>
      <c r="P255" s="1282"/>
      <c r="Q255" s="1282"/>
      <c r="R255" s="1282"/>
      <c r="S255" s="1282"/>
      <c r="T255" s="1282"/>
      <c r="U255" s="1282"/>
      <c r="V255" s="1282"/>
      <c r="W255" s="1282"/>
      <c r="X255" s="1282"/>
      <c r="Y255" s="1282"/>
      <c r="Z255" s="1282"/>
    </row>
    <row r="256">
      <c r="A256" s="1282"/>
      <c r="B256" s="1282"/>
      <c r="C256" s="1282"/>
      <c r="D256" s="1282"/>
      <c r="E256" s="1282"/>
      <c r="F256" s="1282"/>
      <c r="G256" s="1282"/>
      <c r="H256" s="1282"/>
      <c r="I256" s="1282"/>
      <c r="J256" s="1282"/>
      <c r="K256" s="1282"/>
      <c r="L256" s="1282"/>
      <c r="M256" s="1282"/>
      <c r="N256" s="1282"/>
      <c r="O256" s="1282"/>
      <c r="P256" s="1282"/>
      <c r="Q256" s="1282"/>
      <c r="R256" s="1282"/>
      <c r="S256" s="1282"/>
      <c r="T256" s="1282"/>
      <c r="U256" s="1282"/>
      <c r="V256" s="1282"/>
      <c r="W256" s="1282"/>
      <c r="X256" s="1282"/>
      <c r="Y256" s="1282"/>
      <c r="Z256" s="1282"/>
    </row>
    <row r="257">
      <c r="A257" s="1282"/>
      <c r="B257" s="1282"/>
      <c r="C257" s="1282"/>
      <c r="D257" s="1282"/>
      <c r="E257" s="1282"/>
      <c r="F257" s="1282"/>
      <c r="G257" s="1282"/>
      <c r="H257" s="1282"/>
      <c r="I257" s="1282"/>
      <c r="J257" s="1282"/>
      <c r="K257" s="1282"/>
      <c r="L257" s="1282"/>
      <c r="M257" s="1282"/>
      <c r="N257" s="1282"/>
      <c r="O257" s="1282"/>
      <c r="P257" s="1282"/>
      <c r="Q257" s="1282"/>
      <c r="R257" s="1282"/>
      <c r="S257" s="1282"/>
      <c r="T257" s="1282"/>
      <c r="U257" s="1282"/>
      <c r="V257" s="1282"/>
      <c r="W257" s="1282"/>
      <c r="X257" s="1282"/>
      <c r="Y257" s="1282"/>
      <c r="Z257" s="1282"/>
    </row>
    <row r="258">
      <c r="A258" s="1282"/>
      <c r="B258" s="1282"/>
      <c r="C258" s="1282"/>
      <c r="D258" s="1282"/>
      <c r="E258" s="1282"/>
      <c r="F258" s="1282"/>
      <c r="G258" s="1282"/>
      <c r="H258" s="1282"/>
      <c r="I258" s="1282"/>
      <c r="J258" s="1282"/>
      <c r="K258" s="1282"/>
      <c r="L258" s="1282"/>
      <c r="M258" s="1282"/>
      <c r="N258" s="1282"/>
      <c r="O258" s="1282"/>
      <c r="P258" s="1282"/>
      <c r="Q258" s="1282"/>
      <c r="R258" s="1282"/>
      <c r="S258" s="1282"/>
      <c r="T258" s="1282"/>
      <c r="U258" s="1282"/>
      <c r="V258" s="1282"/>
      <c r="W258" s="1282"/>
      <c r="X258" s="1282"/>
      <c r="Y258" s="1282"/>
      <c r="Z258" s="1282"/>
    </row>
    <row r="259">
      <c r="A259" s="1282"/>
      <c r="B259" s="1282"/>
      <c r="C259" s="1282"/>
      <c r="D259" s="1282"/>
      <c r="E259" s="1282"/>
      <c r="F259" s="1282"/>
      <c r="G259" s="1282"/>
      <c r="H259" s="1282"/>
      <c r="I259" s="1282"/>
      <c r="J259" s="1282"/>
      <c r="K259" s="1282"/>
      <c r="L259" s="1282"/>
      <c r="M259" s="1282"/>
      <c r="N259" s="1282"/>
      <c r="O259" s="1282"/>
      <c r="P259" s="1282"/>
      <c r="Q259" s="1282"/>
      <c r="R259" s="1282"/>
      <c r="S259" s="1282"/>
      <c r="T259" s="1282"/>
      <c r="U259" s="1282"/>
      <c r="V259" s="1282"/>
      <c r="W259" s="1282"/>
      <c r="X259" s="1282"/>
      <c r="Y259" s="1282"/>
      <c r="Z259" s="1282"/>
    </row>
    <row r="260">
      <c r="A260" s="1282"/>
      <c r="B260" s="1282"/>
      <c r="C260" s="1282"/>
      <c r="D260" s="1282"/>
      <c r="E260" s="1282"/>
      <c r="F260" s="1282"/>
      <c r="G260" s="1282"/>
      <c r="H260" s="1282"/>
      <c r="I260" s="1282"/>
      <c r="J260" s="1282"/>
      <c r="K260" s="1282"/>
      <c r="L260" s="1282"/>
      <c r="M260" s="1282"/>
      <c r="N260" s="1282"/>
      <c r="O260" s="1282"/>
      <c r="P260" s="1282"/>
      <c r="Q260" s="1282"/>
      <c r="R260" s="1282"/>
      <c r="S260" s="1282"/>
      <c r="T260" s="1282"/>
      <c r="U260" s="1282"/>
      <c r="V260" s="1282"/>
      <c r="W260" s="1282"/>
      <c r="X260" s="1282"/>
      <c r="Y260" s="1282"/>
      <c r="Z260" s="1282"/>
    </row>
    <row r="261">
      <c r="A261" s="1282"/>
      <c r="B261" s="1282"/>
      <c r="C261" s="1282"/>
      <c r="D261" s="1282"/>
      <c r="E261" s="1282"/>
      <c r="F261" s="1282"/>
      <c r="G261" s="1282"/>
      <c r="H261" s="1282"/>
      <c r="I261" s="1282"/>
      <c r="J261" s="1282"/>
      <c r="K261" s="1282"/>
      <c r="L261" s="1282"/>
      <c r="M261" s="1282"/>
      <c r="N261" s="1282"/>
      <c r="O261" s="1282"/>
      <c r="P261" s="1282"/>
      <c r="Q261" s="1282"/>
      <c r="R261" s="1282"/>
      <c r="S261" s="1282"/>
      <c r="T261" s="1282"/>
      <c r="U261" s="1282"/>
      <c r="V261" s="1282"/>
      <c r="W261" s="1282"/>
      <c r="X261" s="1282"/>
      <c r="Y261" s="1282"/>
      <c r="Z261" s="1282"/>
    </row>
    <row r="262">
      <c r="A262" s="1282"/>
      <c r="B262" s="1282"/>
      <c r="C262" s="1282"/>
      <c r="D262" s="1282"/>
      <c r="E262" s="1282"/>
      <c r="F262" s="1282"/>
      <c r="G262" s="1282"/>
      <c r="H262" s="1282"/>
      <c r="I262" s="1282"/>
      <c r="J262" s="1282"/>
      <c r="K262" s="1282"/>
      <c r="L262" s="1282"/>
      <c r="M262" s="1282"/>
      <c r="N262" s="1282"/>
      <c r="O262" s="1282"/>
      <c r="P262" s="1282"/>
      <c r="Q262" s="1282"/>
      <c r="R262" s="1282"/>
      <c r="S262" s="1282"/>
      <c r="T262" s="1282"/>
      <c r="U262" s="1282"/>
      <c r="V262" s="1282"/>
      <c r="W262" s="1282"/>
      <c r="X262" s="1282"/>
      <c r="Y262" s="1282"/>
      <c r="Z262" s="1282"/>
    </row>
    <row r="263">
      <c r="A263" s="1282"/>
      <c r="B263" s="1282"/>
      <c r="C263" s="1282"/>
      <c r="D263" s="1282"/>
      <c r="E263" s="1282"/>
      <c r="F263" s="1282"/>
      <c r="G263" s="1282"/>
      <c r="H263" s="1282"/>
      <c r="I263" s="1282"/>
      <c r="J263" s="1282"/>
      <c r="K263" s="1282"/>
      <c r="L263" s="1282"/>
      <c r="M263" s="1282"/>
      <c r="N263" s="1282"/>
      <c r="O263" s="1282"/>
      <c r="P263" s="1282"/>
      <c r="Q263" s="1282"/>
      <c r="R263" s="1282"/>
      <c r="S263" s="1282"/>
      <c r="T263" s="1282"/>
      <c r="U263" s="1282"/>
      <c r="V263" s="1282"/>
      <c r="W263" s="1282"/>
      <c r="X263" s="1282"/>
      <c r="Y263" s="1282"/>
      <c r="Z263" s="1282"/>
    </row>
    <row r="264">
      <c r="A264" s="1282"/>
      <c r="B264" s="1282"/>
      <c r="C264" s="1282"/>
      <c r="D264" s="1282"/>
      <c r="E264" s="1282"/>
      <c r="F264" s="1282"/>
      <c r="G264" s="1282"/>
      <c r="H264" s="1282"/>
      <c r="I264" s="1282"/>
      <c r="J264" s="1282"/>
      <c r="K264" s="1282"/>
      <c r="L264" s="1282"/>
      <c r="M264" s="1282"/>
      <c r="N264" s="1282"/>
      <c r="O264" s="1282"/>
      <c r="P264" s="1282"/>
      <c r="Q264" s="1282"/>
      <c r="R264" s="1282"/>
      <c r="S264" s="1282"/>
      <c r="T264" s="1282"/>
      <c r="U264" s="1282"/>
      <c r="V264" s="1282"/>
      <c r="W264" s="1282"/>
      <c r="X264" s="1282"/>
      <c r="Y264" s="1282"/>
      <c r="Z264" s="1282"/>
    </row>
    <row r="265">
      <c r="A265" s="1282"/>
      <c r="B265" s="1282"/>
      <c r="C265" s="1282"/>
      <c r="D265" s="1282"/>
      <c r="E265" s="1282"/>
      <c r="F265" s="1282"/>
      <c r="G265" s="1282"/>
      <c r="H265" s="1282"/>
      <c r="I265" s="1282"/>
      <c r="J265" s="1282"/>
      <c r="K265" s="1282"/>
      <c r="L265" s="1282"/>
      <c r="M265" s="1282"/>
      <c r="N265" s="1282"/>
      <c r="O265" s="1282"/>
      <c r="P265" s="1282"/>
      <c r="Q265" s="1282"/>
      <c r="R265" s="1282"/>
      <c r="S265" s="1282"/>
      <c r="T265" s="1282"/>
      <c r="U265" s="1282"/>
      <c r="V265" s="1282"/>
      <c r="W265" s="1282"/>
      <c r="X265" s="1282"/>
      <c r="Y265" s="1282"/>
      <c r="Z265" s="1282"/>
    </row>
    <row r="266">
      <c r="A266" s="1282"/>
      <c r="B266" s="1282"/>
      <c r="C266" s="1282"/>
      <c r="D266" s="1282"/>
      <c r="E266" s="1282"/>
      <c r="F266" s="1282"/>
      <c r="G266" s="1282"/>
      <c r="H266" s="1282"/>
      <c r="I266" s="1282"/>
      <c r="J266" s="1282"/>
      <c r="K266" s="1282"/>
      <c r="L266" s="1282"/>
      <c r="M266" s="1282"/>
      <c r="N266" s="1282"/>
      <c r="O266" s="1282"/>
      <c r="P266" s="1282"/>
      <c r="Q266" s="1282"/>
      <c r="R266" s="1282"/>
      <c r="S266" s="1282"/>
      <c r="T266" s="1282"/>
      <c r="U266" s="1282"/>
      <c r="V266" s="1282"/>
      <c r="W266" s="1282"/>
      <c r="X266" s="1282"/>
      <c r="Y266" s="1282"/>
      <c r="Z266" s="1282"/>
    </row>
    <row r="267">
      <c r="A267" s="1282"/>
      <c r="B267" s="1282"/>
      <c r="C267" s="1282"/>
      <c r="D267" s="1282"/>
      <c r="E267" s="1282"/>
      <c r="F267" s="1282"/>
      <c r="G267" s="1282"/>
      <c r="H267" s="1282"/>
      <c r="I267" s="1282"/>
      <c r="J267" s="1282"/>
      <c r="K267" s="1282"/>
      <c r="L267" s="1282"/>
      <c r="M267" s="1282"/>
      <c r="N267" s="1282"/>
      <c r="O267" s="1282"/>
      <c r="P267" s="1282"/>
      <c r="Q267" s="1282"/>
      <c r="R267" s="1282"/>
      <c r="S267" s="1282"/>
      <c r="T267" s="1282"/>
      <c r="U267" s="1282"/>
      <c r="V267" s="1282"/>
      <c r="W267" s="1282"/>
      <c r="X267" s="1282"/>
      <c r="Y267" s="1282"/>
      <c r="Z267" s="1282"/>
    </row>
    <row r="268">
      <c r="A268" s="1282"/>
      <c r="B268" s="1282"/>
      <c r="C268" s="1282"/>
      <c r="D268" s="1282"/>
      <c r="E268" s="1282"/>
      <c r="F268" s="1282"/>
      <c r="G268" s="1282"/>
      <c r="H268" s="1282"/>
      <c r="I268" s="1282"/>
      <c r="J268" s="1282"/>
      <c r="K268" s="1282"/>
      <c r="L268" s="1282"/>
      <c r="M268" s="1282"/>
      <c r="N268" s="1282"/>
      <c r="O268" s="1282"/>
      <c r="P268" s="1282"/>
      <c r="Q268" s="1282"/>
      <c r="R268" s="1282"/>
      <c r="S268" s="1282"/>
      <c r="T268" s="1282"/>
      <c r="U268" s="1282"/>
      <c r="V268" s="1282"/>
      <c r="W268" s="1282"/>
      <c r="X268" s="1282"/>
      <c r="Y268" s="1282"/>
      <c r="Z268" s="1282"/>
    </row>
    <row r="269">
      <c r="A269" s="1282"/>
      <c r="B269" s="1282"/>
      <c r="C269" s="1282"/>
      <c r="D269" s="1282"/>
      <c r="E269" s="1282"/>
      <c r="F269" s="1282"/>
      <c r="G269" s="1282"/>
      <c r="H269" s="1282"/>
      <c r="I269" s="1282"/>
      <c r="J269" s="1282"/>
      <c r="K269" s="1282"/>
      <c r="L269" s="1282"/>
      <c r="M269" s="1282"/>
      <c r="N269" s="1282"/>
      <c r="O269" s="1282"/>
      <c r="P269" s="1282"/>
      <c r="Q269" s="1282"/>
      <c r="R269" s="1282"/>
      <c r="S269" s="1282"/>
      <c r="T269" s="1282"/>
      <c r="U269" s="1282"/>
      <c r="V269" s="1282"/>
      <c r="W269" s="1282"/>
      <c r="X269" s="1282"/>
      <c r="Y269" s="1282"/>
      <c r="Z269" s="1282"/>
    </row>
    <row r="270">
      <c r="A270" s="1282"/>
      <c r="B270" s="1282"/>
      <c r="C270" s="1282"/>
      <c r="D270" s="1282"/>
      <c r="E270" s="1282"/>
      <c r="F270" s="1282"/>
      <c r="G270" s="1282"/>
      <c r="H270" s="1282"/>
      <c r="I270" s="1282"/>
      <c r="J270" s="1282"/>
      <c r="K270" s="1282"/>
      <c r="L270" s="1282"/>
      <c r="M270" s="1282"/>
      <c r="N270" s="1282"/>
      <c r="O270" s="1282"/>
      <c r="P270" s="1282"/>
      <c r="Q270" s="1282"/>
      <c r="R270" s="1282"/>
      <c r="S270" s="1282"/>
      <c r="T270" s="1282"/>
      <c r="U270" s="1282"/>
      <c r="V270" s="1282"/>
      <c r="W270" s="1282"/>
      <c r="X270" s="1282"/>
      <c r="Y270" s="1282"/>
      <c r="Z270" s="1282"/>
    </row>
    <row r="271">
      <c r="A271" s="1282"/>
      <c r="B271" s="1282"/>
      <c r="C271" s="1282"/>
      <c r="D271" s="1282"/>
      <c r="E271" s="1282"/>
      <c r="F271" s="1282"/>
      <c r="G271" s="1282"/>
      <c r="H271" s="1282"/>
      <c r="I271" s="1282"/>
      <c r="J271" s="1282"/>
      <c r="K271" s="1282"/>
      <c r="L271" s="1282"/>
      <c r="M271" s="1282"/>
      <c r="N271" s="1282"/>
      <c r="O271" s="1282"/>
      <c r="P271" s="1282"/>
      <c r="Q271" s="1282"/>
      <c r="R271" s="1282"/>
      <c r="S271" s="1282"/>
      <c r="T271" s="1282"/>
      <c r="U271" s="1282"/>
      <c r="V271" s="1282"/>
      <c r="W271" s="1282"/>
      <c r="X271" s="1282"/>
      <c r="Y271" s="1282"/>
      <c r="Z271" s="1282"/>
    </row>
    <row r="272">
      <c r="A272" s="1282"/>
      <c r="B272" s="1282"/>
      <c r="C272" s="1282"/>
      <c r="D272" s="1282"/>
      <c r="E272" s="1282"/>
      <c r="F272" s="1282"/>
      <c r="G272" s="1282"/>
      <c r="H272" s="1282"/>
      <c r="I272" s="1282"/>
      <c r="J272" s="1282"/>
      <c r="K272" s="1282"/>
      <c r="L272" s="1282"/>
      <c r="M272" s="1282"/>
      <c r="N272" s="1282"/>
      <c r="O272" s="1282"/>
      <c r="P272" s="1282"/>
      <c r="Q272" s="1282"/>
      <c r="R272" s="1282"/>
      <c r="S272" s="1282"/>
      <c r="T272" s="1282"/>
      <c r="U272" s="1282"/>
      <c r="V272" s="1282"/>
      <c r="W272" s="1282"/>
      <c r="X272" s="1282"/>
      <c r="Y272" s="1282"/>
      <c r="Z272" s="1282"/>
    </row>
    <row r="273">
      <c r="A273" s="1282"/>
      <c r="B273" s="1282"/>
      <c r="C273" s="1282"/>
      <c r="D273" s="1282"/>
      <c r="E273" s="1282"/>
      <c r="F273" s="1282"/>
      <c r="G273" s="1282"/>
      <c r="H273" s="1282"/>
      <c r="I273" s="1282"/>
      <c r="J273" s="1282"/>
      <c r="K273" s="1282"/>
      <c r="L273" s="1282"/>
      <c r="M273" s="1282"/>
      <c r="N273" s="1282"/>
      <c r="O273" s="1282"/>
      <c r="P273" s="1282"/>
      <c r="Q273" s="1282"/>
      <c r="R273" s="1282"/>
      <c r="S273" s="1282"/>
      <c r="T273" s="1282"/>
      <c r="U273" s="1282"/>
      <c r="V273" s="1282"/>
      <c r="W273" s="1282"/>
      <c r="X273" s="1282"/>
      <c r="Y273" s="1282"/>
      <c r="Z273" s="1282"/>
    </row>
    <row r="274">
      <c r="A274" s="1282"/>
      <c r="B274" s="1282"/>
      <c r="C274" s="1282"/>
      <c r="D274" s="1282"/>
      <c r="E274" s="1282"/>
      <c r="F274" s="1282"/>
      <c r="G274" s="1282"/>
      <c r="H274" s="1282"/>
      <c r="I274" s="1282"/>
      <c r="J274" s="1282"/>
      <c r="K274" s="1282"/>
      <c r="L274" s="1282"/>
      <c r="M274" s="1282"/>
      <c r="N274" s="1282"/>
      <c r="O274" s="1282"/>
      <c r="P274" s="1282"/>
      <c r="Q274" s="1282"/>
      <c r="R274" s="1282"/>
      <c r="S274" s="1282"/>
      <c r="T274" s="1282"/>
      <c r="U274" s="1282"/>
      <c r="V274" s="1282"/>
      <c r="W274" s="1282"/>
      <c r="X274" s="1282"/>
      <c r="Y274" s="1282"/>
      <c r="Z274" s="1282"/>
    </row>
    <row r="275">
      <c r="A275" s="1282"/>
      <c r="B275" s="1282"/>
      <c r="C275" s="1282"/>
      <c r="D275" s="1282"/>
      <c r="E275" s="1282"/>
      <c r="F275" s="1282"/>
      <c r="G275" s="1282"/>
      <c r="H275" s="1282"/>
      <c r="I275" s="1282"/>
      <c r="J275" s="1282"/>
      <c r="K275" s="1282"/>
      <c r="L275" s="1282"/>
      <c r="M275" s="1282"/>
      <c r="N275" s="1282"/>
      <c r="O275" s="1282"/>
      <c r="P275" s="1282"/>
      <c r="Q275" s="1282"/>
      <c r="R275" s="1282"/>
      <c r="S275" s="1282"/>
      <c r="T275" s="1282"/>
      <c r="U275" s="1282"/>
      <c r="V275" s="1282"/>
      <c r="W275" s="1282"/>
      <c r="X275" s="1282"/>
      <c r="Y275" s="1282"/>
      <c r="Z275" s="1282"/>
    </row>
    <row r="276">
      <c r="A276" s="1282"/>
      <c r="B276" s="1282"/>
      <c r="C276" s="1282"/>
      <c r="D276" s="1282"/>
      <c r="E276" s="1282"/>
      <c r="F276" s="1282"/>
      <c r="G276" s="1282"/>
      <c r="H276" s="1282"/>
      <c r="I276" s="1282"/>
      <c r="J276" s="1282"/>
      <c r="K276" s="1282"/>
      <c r="L276" s="1282"/>
      <c r="M276" s="1282"/>
      <c r="N276" s="1282"/>
      <c r="O276" s="1282"/>
      <c r="P276" s="1282"/>
      <c r="Q276" s="1282"/>
      <c r="R276" s="1282"/>
      <c r="S276" s="1282"/>
      <c r="T276" s="1282"/>
      <c r="U276" s="1282"/>
      <c r="V276" s="1282"/>
      <c r="W276" s="1282"/>
      <c r="X276" s="1282"/>
      <c r="Y276" s="1282"/>
      <c r="Z276" s="1282"/>
    </row>
    <row r="277">
      <c r="A277" s="1282"/>
      <c r="B277" s="1282"/>
      <c r="C277" s="1282"/>
      <c r="D277" s="1282"/>
      <c r="E277" s="1282"/>
      <c r="F277" s="1282"/>
      <c r="G277" s="1282"/>
      <c r="H277" s="1282"/>
      <c r="I277" s="1282"/>
      <c r="J277" s="1282"/>
      <c r="K277" s="1282"/>
      <c r="L277" s="1282"/>
      <c r="M277" s="1282"/>
      <c r="N277" s="1282"/>
      <c r="O277" s="1282"/>
      <c r="P277" s="1282"/>
      <c r="Q277" s="1282"/>
      <c r="R277" s="1282"/>
      <c r="S277" s="1282"/>
      <c r="T277" s="1282"/>
      <c r="U277" s="1282"/>
      <c r="V277" s="1282"/>
      <c r="W277" s="1282"/>
      <c r="X277" s="1282"/>
      <c r="Y277" s="1282"/>
      <c r="Z277" s="1282"/>
    </row>
    <row r="278">
      <c r="A278" s="1282"/>
      <c r="B278" s="1282"/>
      <c r="C278" s="1282"/>
      <c r="D278" s="1282"/>
      <c r="E278" s="1282"/>
      <c r="F278" s="1282"/>
      <c r="G278" s="1282"/>
      <c r="H278" s="1282"/>
      <c r="I278" s="1282"/>
      <c r="J278" s="1282"/>
      <c r="K278" s="1282"/>
      <c r="L278" s="1282"/>
      <c r="M278" s="1282"/>
      <c r="N278" s="1282"/>
      <c r="O278" s="1282"/>
      <c r="P278" s="1282"/>
      <c r="Q278" s="1282"/>
      <c r="R278" s="1282"/>
      <c r="S278" s="1282"/>
      <c r="T278" s="1282"/>
      <c r="U278" s="1282"/>
      <c r="V278" s="1282"/>
      <c r="W278" s="1282"/>
      <c r="X278" s="1282"/>
      <c r="Y278" s="1282"/>
      <c r="Z278" s="1282"/>
    </row>
    <row r="279">
      <c r="A279" s="1282"/>
      <c r="B279" s="1282"/>
      <c r="C279" s="1282"/>
      <c r="D279" s="1282"/>
      <c r="E279" s="1282"/>
      <c r="F279" s="1282"/>
      <c r="G279" s="1282"/>
      <c r="H279" s="1282"/>
      <c r="I279" s="1282"/>
      <c r="J279" s="1282"/>
      <c r="K279" s="1282"/>
      <c r="L279" s="1282"/>
      <c r="M279" s="1282"/>
      <c r="N279" s="1282"/>
      <c r="O279" s="1282"/>
      <c r="P279" s="1282"/>
      <c r="Q279" s="1282"/>
      <c r="R279" s="1282"/>
      <c r="S279" s="1282"/>
      <c r="T279" s="1282"/>
      <c r="U279" s="1282"/>
      <c r="V279" s="1282"/>
      <c r="W279" s="1282"/>
      <c r="X279" s="1282"/>
      <c r="Y279" s="1282"/>
      <c r="Z279" s="1282"/>
    </row>
    <row r="280">
      <c r="A280" s="1282"/>
      <c r="B280" s="1282"/>
      <c r="C280" s="1282"/>
      <c r="D280" s="1282"/>
      <c r="E280" s="1282"/>
      <c r="F280" s="1282"/>
      <c r="G280" s="1282"/>
      <c r="H280" s="1282"/>
      <c r="I280" s="1282"/>
      <c r="J280" s="1282"/>
      <c r="K280" s="1282"/>
      <c r="L280" s="1282"/>
      <c r="M280" s="1282"/>
      <c r="N280" s="1282"/>
      <c r="O280" s="1282"/>
      <c r="P280" s="1282"/>
      <c r="Q280" s="1282"/>
      <c r="R280" s="1282"/>
      <c r="S280" s="1282"/>
      <c r="T280" s="1282"/>
      <c r="U280" s="1282"/>
      <c r="V280" s="1282"/>
      <c r="W280" s="1282"/>
      <c r="X280" s="1282"/>
      <c r="Y280" s="1282"/>
      <c r="Z280" s="1282"/>
    </row>
    <row r="281">
      <c r="A281" s="1282"/>
      <c r="B281" s="1282"/>
      <c r="C281" s="1282"/>
      <c r="D281" s="1282"/>
      <c r="E281" s="1282"/>
      <c r="F281" s="1282"/>
      <c r="G281" s="1282"/>
      <c r="H281" s="1282"/>
      <c r="I281" s="1282"/>
      <c r="J281" s="1282"/>
      <c r="K281" s="1282"/>
      <c r="L281" s="1282"/>
      <c r="M281" s="1282"/>
      <c r="N281" s="1282"/>
      <c r="O281" s="1282"/>
      <c r="P281" s="1282"/>
      <c r="Q281" s="1282"/>
      <c r="R281" s="1282"/>
      <c r="S281" s="1282"/>
      <c r="T281" s="1282"/>
      <c r="U281" s="1282"/>
      <c r="V281" s="1282"/>
      <c r="W281" s="1282"/>
      <c r="X281" s="1282"/>
      <c r="Y281" s="1282"/>
      <c r="Z281" s="1282"/>
    </row>
    <row r="282">
      <c r="A282" s="1282"/>
      <c r="B282" s="1282"/>
      <c r="C282" s="1282"/>
      <c r="D282" s="1282"/>
      <c r="E282" s="1282"/>
      <c r="F282" s="1282"/>
      <c r="G282" s="1282"/>
      <c r="H282" s="1282"/>
      <c r="I282" s="1282"/>
      <c r="J282" s="1282"/>
      <c r="K282" s="1282"/>
      <c r="L282" s="1282"/>
      <c r="M282" s="1282"/>
      <c r="N282" s="1282"/>
      <c r="O282" s="1282"/>
      <c r="P282" s="1282"/>
      <c r="Q282" s="1282"/>
      <c r="R282" s="1282"/>
      <c r="S282" s="1282"/>
      <c r="T282" s="1282"/>
      <c r="U282" s="1282"/>
      <c r="V282" s="1282"/>
      <c r="W282" s="1282"/>
      <c r="X282" s="1282"/>
      <c r="Y282" s="1282"/>
      <c r="Z282" s="1282"/>
    </row>
    <row r="283">
      <c r="A283" s="1282"/>
      <c r="B283" s="1282"/>
      <c r="C283" s="1282"/>
      <c r="D283" s="1282"/>
      <c r="E283" s="1282"/>
      <c r="F283" s="1282"/>
      <c r="G283" s="1282"/>
      <c r="H283" s="1282"/>
      <c r="I283" s="1282"/>
      <c r="J283" s="1282"/>
      <c r="K283" s="1282"/>
      <c r="L283" s="1282"/>
      <c r="M283" s="1282"/>
      <c r="N283" s="1282"/>
      <c r="O283" s="1282"/>
      <c r="P283" s="1282"/>
      <c r="Q283" s="1282"/>
      <c r="R283" s="1282"/>
      <c r="S283" s="1282"/>
      <c r="T283" s="1282"/>
      <c r="U283" s="1282"/>
      <c r="V283" s="1282"/>
      <c r="W283" s="1282"/>
      <c r="X283" s="1282"/>
      <c r="Y283" s="1282"/>
      <c r="Z283" s="1282"/>
    </row>
    <row r="284">
      <c r="A284" s="1282"/>
      <c r="B284" s="1282"/>
      <c r="C284" s="1282"/>
      <c r="D284" s="1282"/>
      <c r="E284" s="1282"/>
      <c r="F284" s="1282"/>
      <c r="G284" s="1282"/>
      <c r="H284" s="1282"/>
      <c r="I284" s="1282"/>
      <c r="J284" s="1282"/>
      <c r="K284" s="1282"/>
      <c r="L284" s="1282"/>
      <c r="M284" s="1282"/>
      <c r="N284" s="1282"/>
      <c r="O284" s="1282"/>
      <c r="P284" s="1282"/>
      <c r="Q284" s="1282"/>
      <c r="R284" s="1282"/>
      <c r="S284" s="1282"/>
      <c r="T284" s="1282"/>
      <c r="U284" s="1282"/>
      <c r="V284" s="1282"/>
      <c r="W284" s="1282"/>
      <c r="X284" s="1282"/>
      <c r="Y284" s="1282"/>
      <c r="Z284" s="1282"/>
    </row>
    <row r="285">
      <c r="A285" s="1282"/>
      <c r="B285" s="1282"/>
      <c r="C285" s="1282"/>
      <c r="D285" s="1282"/>
      <c r="E285" s="1282"/>
      <c r="F285" s="1282"/>
      <c r="G285" s="1282"/>
      <c r="H285" s="1282"/>
      <c r="I285" s="1282"/>
      <c r="J285" s="1282"/>
      <c r="K285" s="1282"/>
      <c r="L285" s="1282"/>
      <c r="M285" s="1282"/>
      <c r="N285" s="1282"/>
      <c r="O285" s="1282"/>
      <c r="P285" s="1282"/>
      <c r="Q285" s="1282"/>
      <c r="R285" s="1282"/>
      <c r="S285" s="1282"/>
      <c r="T285" s="1282"/>
      <c r="U285" s="1282"/>
      <c r="V285" s="1282"/>
      <c r="W285" s="1282"/>
      <c r="X285" s="1282"/>
      <c r="Y285" s="1282"/>
      <c r="Z285" s="1282"/>
    </row>
    <row r="286">
      <c r="A286" s="1282"/>
      <c r="B286" s="1282"/>
      <c r="C286" s="1282"/>
      <c r="D286" s="1282"/>
      <c r="E286" s="1282"/>
      <c r="F286" s="1282"/>
      <c r="G286" s="1282"/>
      <c r="H286" s="1282"/>
      <c r="I286" s="1282"/>
      <c r="J286" s="1282"/>
      <c r="K286" s="1282"/>
      <c r="L286" s="1282"/>
      <c r="M286" s="1282"/>
      <c r="N286" s="1282"/>
      <c r="O286" s="1282"/>
      <c r="P286" s="1282"/>
      <c r="Q286" s="1282"/>
      <c r="R286" s="1282"/>
      <c r="S286" s="1282"/>
      <c r="T286" s="1282"/>
      <c r="U286" s="1282"/>
      <c r="V286" s="1282"/>
      <c r="W286" s="1282"/>
      <c r="X286" s="1282"/>
      <c r="Y286" s="1282"/>
      <c r="Z286" s="1282"/>
    </row>
    <row r="287">
      <c r="A287" s="1282"/>
      <c r="B287" s="1282"/>
      <c r="C287" s="1282"/>
      <c r="D287" s="1282"/>
      <c r="E287" s="1282"/>
      <c r="F287" s="1282"/>
      <c r="G287" s="1282"/>
      <c r="H287" s="1282"/>
      <c r="I287" s="1282"/>
      <c r="J287" s="1282"/>
      <c r="K287" s="1282"/>
      <c r="L287" s="1282"/>
      <c r="M287" s="1282"/>
      <c r="N287" s="1282"/>
      <c r="O287" s="1282"/>
      <c r="P287" s="1282"/>
      <c r="Q287" s="1282"/>
      <c r="R287" s="1282"/>
      <c r="S287" s="1282"/>
      <c r="T287" s="1282"/>
      <c r="U287" s="1282"/>
      <c r="V287" s="1282"/>
      <c r="W287" s="1282"/>
      <c r="X287" s="1282"/>
      <c r="Y287" s="1282"/>
      <c r="Z287" s="1282"/>
    </row>
    <row r="288">
      <c r="A288" s="1282"/>
      <c r="B288" s="1282"/>
      <c r="C288" s="1282"/>
      <c r="D288" s="1282"/>
      <c r="E288" s="1282"/>
      <c r="F288" s="1282"/>
      <c r="G288" s="1282"/>
      <c r="H288" s="1282"/>
      <c r="I288" s="1282"/>
      <c r="J288" s="1282"/>
      <c r="K288" s="1282"/>
      <c r="L288" s="1282"/>
      <c r="M288" s="1282"/>
      <c r="N288" s="1282"/>
      <c r="O288" s="1282"/>
      <c r="P288" s="1282"/>
      <c r="Q288" s="1282"/>
      <c r="R288" s="1282"/>
      <c r="S288" s="1282"/>
      <c r="T288" s="1282"/>
      <c r="U288" s="1282"/>
      <c r="V288" s="1282"/>
      <c r="W288" s="1282"/>
      <c r="X288" s="1282"/>
      <c r="Y288" s="1282"/>
      <c r="Z288" s="1282"/>
    </row>
    <row r="289">
      <c r="A289" s="1282"/>
      <c r="B289" s="1282"/>
      <c r="C289" s="1282"/>
      <c r="D289" s="1282"/>
      <c r="E289" s="1282"/>
      <c r="F289" s="1282"/>
      <c r="G289" s="1282"/>
      <c r="H289" s="1282"/>
      <c r="I289" s="1282"/>
      <c r="J289" s="1282"/>
      <c r="K289" s="1282"/>
      <c r="L289" s="1282"/>
      <c r="M289" s="1282"/>
      <c r="N289" s="1282"/>
      <c r="O289" s="1282"/>
      <c r="P289" s="1282"/>
      <c r="Q289" s="1282"/>
      <c r="R289" s="1282"/>
      <c r="S289" s="1282"/>
      <c r="T289" s="1282"/>
      <c r="U289" s="1282"/>
      <c r="V289" s="1282"/>
      <c r="W289" s="1282"/>
      <c r="X289" s="1282"/>
      <c r="Y289" s="1282"/>
      <c r="Z289" s="1282"/>
    </row>
    <row r="290">
      <c r="A290" s="1282"/>
      <c r="B290" s="1282"/>
      <c r="C290" s="1282"/>
      <c r="D290" s="1282"/>
      <c r="E290" s="1282"/>
      <c r="F290" s="1282"/>
      <c r="G290" s="1282"/>
      <c r="H290" s="1282"/>
      <c r="I290" s="1282"/>
      <c r="J290" s="1282"/>
      <c r="K290" s="1282"/>
      <c r="L290" s="1282"/>
      <c r="M290" s="1282"/>
      <c r="N290" s="1282"/>
      <c r="O290" s="1282"/>
      <c r="P290" s="1282"/>
      <c r="Q290" s="1282"/>
      <c r="R290" s="1282"/>
      <c r="S290" s="1282"/>
      <c r="T290" s="1282"/>
      <c r="U290" s="1282"/>
      <c r="V290" s="1282"/>
      <c r="W290" s="1282"/>
      <c r="X290" s="1282"/>
      <c r="Y290" s="1282"/>
      <c r="Z290" s="1282"/>
    </row>
    <row r="291">
      <c r="A291" s="1282"/>
      <c r="B291" s="1282"/>
      <c r="C291" s="1282"/>
      <c r="D291" s="1282"/>
      <c r="E291" s="1282"/>
      <c r="F291" s="1282"/>
      <c r="G291" s="1282"/>
      <c r="H291" s="1282"/>
      <c r="I291" s="1282"/>
      <c r="J291" s="1282"/>
      <c r="K291" s="1282"/>
      <c r="L291" s="1282"/>
      <c r="M291" s="1282"/>
      <c r="N291" s="1282"/>
      <c r="O291" s="1282"/>
      <c r="P291" s="1282"/>
      <c r="Q291" s="1282"/>
      <c r="R291" s="1282"/>
      <c r="S291" s="1282"/>
      <c r="T291" s="1282"/>
      <c r="U291" s="1282"/>
      <c r="V291" s="1282"/>
      <c r="W291" s="1282"/>
      <c r="X291" s="1282"/>
      <c r="Y291" s="1282"/>
      <c r="Z291" s="1282"/>
    </row>
    <row r="292">
      <c r="A292" s="1282"/>
      <c r="B292" s="1282"/>
      <c r="C292" s="1282"/>
      <c r="D292" s="1282"/>
      <c r="E292" s="1282"/>
      <c r="F292" s="1282"/>
      <c r="G292" s="1282"/>
      <c r="H292" s="1282"/>
      <c r="I292" s="1282"/>
      <c r="J292" s="1282"/>
      <c r="K292" s="1282"/>
      <c r="L292" s="1282"/>
      <c r="M292" s="1282"/>
      <c r="N292" s="1282"/>
      <c r="O292" s="1282"/>
      <c r="P292" s="1282"/>
      <c r="Q292" s="1282"/>
      <c r="R292" s="1282"/>
      <c r="S292" s="1282"/>
      <c r="T292" s="1282"/>
      <c r="U292" s="1282"/>
      <c r="V292" s="1282"/>
      <c r="W292" s="1282"/>
      <c r="X292" s="1282"/>
      <c r="Y292" s="1282"/>
      <c r="Z292" s="1282"/>
    </row>
    <row r="293">
      <c r="A293" s="1282"/>
      <c r="B293" s="1282"/>
      <c r="C293" s="1282"/>
      <c r="D293" s="1282"/>
      <c r="E293" s="1282"/>
      <c r="F293" s="1282"/>
      <c r="G293" s="1282"/>
      <c r="H293" s="1282"/>
      <c r="I293" s="1282"/>
      <c r="J293" s="1282"/>
      <c r="K293" s="1282"/>
      <c r="L293" s="1282"/>
      <c r="M293" s="1282"/>
      <c r="N293" s="1282"/>
      <c r="O293" s="1282"/>
      <c r="P293" s="1282"/>
      <c r="Q293" s="1282"/>
      <c r="R293" s="1282"/>
      <c r="S293" s="1282"/>
      <c r="T293" s="1282"/>
      <c r="U293" s="1282"/>
      <c r="V293" s="1282"/>
      <c r="W293" s="1282"/>
      <c r="X293" s="1282"/>
      <c r="Y293" s="1282"/>
      <c r="Z293" s="1282"/>
    </row>
    <row r="294">
      <c r="A294" s="1282"/>
      <c r="B294" s="1282"/>
      <c r="C294" s="1282"/>
      <c r="D294" s="1282"/>
      <c r="E294" s="1282"/>
      <c r="F294" s="1282"/>
      <c r="G294" s="1282"/>
      <c r="H294" s="1282"/>
      <c r="I294" s="1282"/>
      <c r="J294" s="1282"/>
      <c r="K294" s="1282"/>
      <c r="L294" s="1282"/>
      <c r="M294" s="1282"/>
      <c r="N294" s="1282"/>
      <c r="O294" s="1282"/>
      <c r="P294" s="1282"/>
      <c r="Q294" s="1282"/>
      <c r="R294" s="1282"/>
      <c r="S294" s="1282"/>
      <c r="T294" s="1282"/>
      <c r="U294" s="1282"/>
      <c r="V294" s="1282"/>
      <c r="W294" s="1282"/>
      <c r="X294" s="1282"/>
      <c r="Y294" s="1282"/>
      <c r="Z294" s="1282"/>
    </row>
    <row r="295">
      <c r="A295" s="1282"/>
      <c r="B295" s="1282"/>
      <c r="C295" s="1282"/>
      <c r="D295" s="1282"/>
      <c r="E295" s="1282"/>
      <c r="F295" s="1282"/>
      <c r="G295" s="1282"/>
      <c r="H295" s="1282"/>
      <c r="I295" s="1282"/>
      <c r="J295" s="1282"/>
      <c r="K295" s="1282"/>
      <c r="L295" s="1282"/>
      <c r="M295" s="1282"/>
      <c r="N295" s="1282"/>
      <c r="O295" s="1282"/>
      <c r="P295" s="1282"/>
      <c r="Q295" s="1282"/>
      <c r="R295" s="1282"/>
      <c r="S295" s="1282"/>
      <c r="T295" s="1282"/>
      <c r="U295" s="1282"/>
      <c r="V295" s="1282"/>
      <c r="W295" s="1282"/>
      <c r="X295" s="1282"/>
      <c r="Y295" s="1282"/>
      <c r="Z295" s="1282"/>
    </row>
    <row r="296">
      <c r="A296" s="1282"/>
      <c r="B296" s="1282"/>
      <c r="C296" s="1282"/>
      <c r="D296" s="1282"/>
      <c r="E296" s="1282"/>
      <c r="F296" s="1282"/>
      <c r="G296" s="1282"/>
      <c r="H296" s="1282"/>
      <c r="I296" s="1282"/>
      <c r="J296" s="1282"/>
      <c r="K296" s="1282"/>
      <c r="L296" s="1282"/>
      <c r="M296" s="1282"/>
      <c r="N296" s="1282"/>
      <c r="O296" s="1282"/>
      <c r="P296" s="1282"/>
      <c r="Q296" s="1282"/>
      <c r="R296" s="1282"/>
      <c r="S296" s="1282"/>
      <c r="T296" s="1282"/>
      <c r="U296" s="1282"/>
      <c r="V296" s="1282"/>
      <c r="W296" s="1282"/>
      <c r="X296" s="1282"/>
      <c r="Y296" s="1282"/>
      <c r="Z296" s="1282"/>
    </row>
    <row r="297">
      <c r="A297" s="1282"/>
      <c r="B297" s="1282"/>
      <c r="C297" s="1282"/>
      <c r="D297" s="1282"/>
      <c r="E297" s="1282"/>
      <c r="F297" s="1282"/>
      <c r="G297" s="1282"/>
      <c r="H297" s="1282"/>
      <c r="I297" s="1282"/>
      <c r="J297" s="1282"/>
      <c r="K297" s="1282"/>
      <c r="L297" s="1282"/>
      <c r="M297" s="1282"/>
      <c r="N297" s="1282"/>
      <c r="O297" s="1282"/>
      <c r="P297" s="1282"/>
      <c r="Q297" s="1282"/>
      <c r="R297" s="1282"/>
      <c r="S297" s="1282"/>
      <c r="T297" s="1282"/>
      <c r="U297" s="1282"/>
      <c r="V297" s="1282"/>
      <c r="W297" s="1282"/>
      <c r="X297" s="1282"/>
      <c r="Y297" s="1282"/>
      <c r="Z297" s="1282"/>
    </row>
    <row r="298">
      <c r="A298" s="1282"/>
      <c r="B298" s="1282"/>
      <c r="C298" s="1282"/>
      <c r="D298" s="1282"/>
      <c r="E298" s="1282"/>
      <c r="F298" s="1282"/>
      <c r="G298" s="1282"/>
      <c r="H298" s="1282"/>
      <c r="I298" s="1282"/>
      <c r="J298" s="1282"/>
      <c r="K298" s="1282"/>
      <c r="L298" s="1282"/>
      <c r="M298" s="1282"/>
      <c r="N298" s="1282"/>
      <c r="O298" s="1282"/>
      <c r="P298" s="1282"/>
      <c r="Q298" s="1282"/>
      <c r="R298" s="1282"/>
      <c r="S298" s="1282"/>
      <c r="T298" s="1282"/>
      <c r="U298" s="1282"/>
      <c r="V298" s="1282"/>
      <c r="W298" s="1282"/>
      <c r="X298" s="1282"/>
      <c r="Y298" s="1282"/>
      <c r="Z298" s="1282"/>
    </row>
    <row r="299">
      <c r="A299" s="1282"/>
      <c r="B299" s="1282"/>
      <c r="C299" s="1282"/>
      <c r="D299" s="1282"/>
      <c r="E299" s="1282"/>
      <c r="F299" s="1282"/>
      <c r="G299" s="1282"/>
      <c r="H299" s="1282"/>
      <c r="I299" s="1282"/>
      <c r="J299" s="1282"/>
      <c r="K299" s="1282"/>
      <c r="L299" s="1282"/>
      <c r="M299" s="1282"/>
      <c r="N299" s="1282"/>
      <c r="O299" s="1282"/>
      <c r="P299" s="1282"/>
      <c r="Q299" s="1282"/>
      <c r="R299" s="1282"/>
      <c r="S299" s="1282"/>
      <c r="T299" s="1282"/>
      <c r="U299" s="1282"/>
      <c r="V299" s="1282"/>
      <c r="W299" s="1282"/>
      <c r="X299" s="1282"/>
      <c r="Y299" s="1282"/>
      <c r="Z299" s="1282"/>
    </row>
    <row r="300">
      <c r="A300" s="1282"/>
      <c r="B300" s="1282"/>
      <c r="C300" s="1282"/>
      <c r="D300" s="1282"/>
      <c r="E300" s="1282"/>
      <c r="F300" s="1282"/>
      <c r="G300" s="1282"/>
      <c r="H300" s="1282"/>
      <c r="I300" s="1282"/>
      <c r="J300" s="1282"/>
      <c r="K300" s="1282"/>
      <c r="L300" s="1282"/>
      <c r="M300" s="1282"/>
      <c r="N300" s="1282"/>
      <c r="O300" s="1282"/>
      <c r="P300" s="1282"/>
      <c r="Q300" s="1282"/>
      <c r="R300" s="1282"/>
      <c r="S300" s="1282"/>
      <c r="T300" s="1282"/>
      <c r="U300" s="1282"/>
      <c r="V300" s="1282"/>
      <c r="W300" s="1282"/>
      <c r="X300" s="1282"/>
      <c r="Y300" s="1282"/>
      <c r="Z300" s="1282"/>
    </row>
    <row r="301">
      <c r="A301" s="1282"/>
      <c r="B301" s="1282"/>
      <c r="C301" s="1282"/>
      <c r="D301" s="1282"/>
      <c r="E301" s="1282"/>
      <c r="F301" s="1282"/>
      <c r="G301" s="1282"/>
      <c r="H301" s="1282"/>
      <c r="I301" s="1282"/>
      <c r="J301" s="1282"/>
      <c r="K301" s="1282"/>
      <c r="L301" s="1282"/>
      <c r="M301" s="1282"/>
      <c r="N301" s="1282"/>
      <c r="O301" s="1282"/>
      <c r="P301" s="1282"/>
      <c r="Q301" s="1282"/>
      <c r="R301" s="1282"/>
      <c r="S301" s="1282"/>
      <c r="T301" s="1282"/>
      <c r="U301" s="1282"/>
      <c r="V301" s="1282"/>
      <c r="W301" s="1282"/>
      <c r="X301" s="1282"/>
      <c r="Y301" s="1282"/>
      <c r="Z301" s="1282"/>
    </row>
    <row r="302">
      <c r="A302" s="1282"/>
      <c r="B302" s="1282"/>
      <c r="C302" s="1282"/>
      <c r="D302" s="1282"/>
      <c r="E302" s="1282"/>
      <c r="F302" s="1282"/>
      <c r="G302" s="1282"/>
      <c r="H302" s="1282"/>
      <c r="I302" s="1282"/>
      <c r="J302" s="1282"/>
      <c r="K302" s="1282"/>
      <c r="L302" s="1282"/>
      <c r="M302" s="1282"/>
      <c r="N302" s="1282"/>
      <c r="O302" s="1282"/>
      <c r="P302" s="1282"/>
      <c r="Q302" s="1282"/>
      <c r="R302" s="1282"/>
      <c r="S302" s="1282"/>
      <c r="T302" s="1282"/>
      <c r="U302" s="1282"/>
      <c r="V302" s="1282"/>
      <c r="W302" s="1282"/>
      <c r="X302" s="1282"/>
      <c r="Y302" s="1282"/>
      <c r="Z302" s="1282"/>
    </row>
    <row r="303">
      <c r="A303" s="1282"/>
      <c r="B303" s="1282"/>
      <c r="C303" s="1282"/>
      <c r="D303" s="1282"/>
      <c r="E303" s="1282"/>
      <c r="F303" s="1282"/>
      <c r="G303" s="1282"/>
      <c r="H303" s="1282"/>
      <c r="I303" s="1282"/>
      <c r="J303" s="1282"/>
      <c r="K303" s="1282"/>
      <c r="L303" s="1282"/>
      <c r="M303" s="1282"/>
      <c r="N303" s="1282"/>
      <c r="O303" s="1282"/>
      <c r="P303" s="1282"/>
      <c r="Q303" s="1282"/>
      <c r="R303" s="1282"/>
      <c r="S303" s="1282"/>
      <c r="T303" s="1282"/>
      <c r="U303" s="1282"/>
      <c r="V303" s="1282"/>
      <c r="W303" s="1282"/>
      <c r="X303" s="1282"/>
      <c r="Y303" s="1282"/>
      <c r="Z303" s="1282"/>
    </row>
    <row r="304">
      <c r="A304" s="1282"/>
      <c r="B304" s="1282"/>
      <c r="C304" s="1282"/>
      <c r="D304" s="1282"/>
      <c r="E304" s="1282"/>
      <c r="F304" s="1282"/>
      <c r="G304" s="1282"/>
      <c r="H304" s="1282"/>
      <c r="I304" s="1282"/>
      <c r="J304" s="1282"/>
      <c r="K304" s="1282"/>
      <c r="L304" s="1282"/>
      <c r="M304" s="1282"/>
      <c r="N304" s="1282"/>
      <c r="O304" s="1282"/>
      <c r="P304" s="1282"/>
      <c r="Q304" s="1282"/>
      <c r="R304" s="1282"/>
      <c r="S304" s="1282"/>
      <c r="T304" s="1282"/>
      <c r="U304" s="1282"/>
      <c r="V304" s="1282"/>
      <c r="W304" s="1282"/>
      <c r="X304" s="1282"/>
      <c r="Y304" s="1282"/>
      <c r="Z304" s="1282"/>
    </row>
    <row r="305">
      <c r="A305" s="1282"/>
      <c r="B305" s="1282"/>
      <c r="C305" s="1282"/>
      <c r="D305" s="1282"/>
      <c r="E305" s="1282"/>
      <c r="F305" s="1282"/>
      <c r="G305" s="1282"/>
      <c r="H305" s="1282"/>
      <c r="I305" s="1282"/>
      <c r="J305" s="1282"/>
      <c r="K305" s="1282"/>
      <c r="L305" s="1282"/>
      <c r="M305" s="1282"/>
      <c r="N305" s="1282"/>
      <c r="O305" s="1282"/>
      <c r="P305" s="1282"/>
      <c r="Q305" s="1282"/>
      <c r="R305" s="1282"/>
      <c r="S305" s="1282"/>
      <c r="T305" s="1282"/>
      <c r="U305" s="1282"/>
      <c r="V305" s="1282"/>
      <c r="W305" s="1282"/>
      <c r="X305" s="1282"/>
      <c r="Y305" s="1282"/>
      <c r="Z305" s="1282"/>
    </row>
    <row r="306">
      <c r="A306" s="1282"/>
      <c r="B306" s="1282"/>
      <c r="C306" s="1282"/>
      <c r="D306" s="1282"/>
      <c r="E306" s="1282"/>
      <c r="F306" s="1282"/>
      <c r="G306" s="1282"/>
      <c r="H306" s="1282"/>
      <c r="I306" s="1282"/>
      <c r="J306" s="1282"/>
      <c r="K306" s="1282"/>
      <c r="L306" s="1282"/>
      <c r="M306" s="1282"/>
      <c r="N306" s="1282"/>
      <c r="O306" s="1282"/>
      <c r="P306" s="1282"/>
      <c r="Q306" s="1282"/>
      <c r="R306" s="1282"/>
      <c r="S306" s="1282"/>
      <c r="T306" s="1282"/>
      <c r="U306" s="1282"/>
      <c r="V306" s="1282"/>
      <c r="W306" s="1282"/>
      <c r="X306" s="1282"/>
      <c r="Y306" s="1282"/>
      <c r="Z306" s="1282"/>
    </row>
    <row r="307">
      <c r="A307" s="1282"/>
      <c r="B307" s="1282"/>
      <c r="C307" s="1282"/>
      <c r="D307" s="1282"/>
      <c r="E307" s="1282"/>
      <c r="F307" s="1282"/>
      <c r="G307" s="1282"/>
      <c r="H307" s="1282"/>
      <c r="I307" s="1282"/>
      <c r="J307" s="1282"/>
      <c r="K307" s="1282"/>
      <c r="L307" s="1282"/>
      <c r="M307" s="1282"/>
      <c r="N307" s="1282"/>
      <c r="O307" s="1282"/>
      <c r="P307" s="1282"/>
      <c r="Q307" s="1282"/>
      <c r="R307" s="1282"/>
      <c r="S307" s="1282"/>
      <c r="T307" s="1282"/>
      <c r="U307" s="1282"/>
      <c r="V307" s="1282"/>
      <c r="W307" s="1282"/>
      <c r="X307" s="1282"/>
      <c r="Y307" s="1282"/>
      <c r="Z307" s="1282"/>
    </row>
    <row r="308">
      <c r="A308" s="1282"/>
      <c r="B308" s="1282"/>
      <c r="C308" s="1282"/>
      <c r="D308" s="1282"/>
      <c r="E308" s="1282"/>
      <c r="F308" s="1282"/>
      <c r="G308" s="1282"/>
      <c r="H308" s="1282"/>
      <c r="I308" s="1282"/>
      <c r="J308" s="1282"/>
      <c r="K308" s="1282"/>
      <c r="L308" s="1282"/>
      <c r="M308" s="1282"/>
      <c r="N308" s="1282"/>
      <c r="O308" s="1282"/>
      <c r="P308" s="1282"/>
      <c r="Q308" s="1282"/>
      <c r="R308" s="1282"/>
      <c r="S308" s="1282"/>
      <c r="T308" s="1282"/>
      <c r="U308" s="1282"/>
      <c r="V308" s="1282"/>
      <c r="W308" s="1282"/>
      <c r="X308" s="1282"/>
      <c r="Y308" s="1282"/>
      <c r="Z308" s="1282"/>
    </row>
    <row r="309">
      <c r="A309" s="1282"/>
      <c r="B309" s="1282"/>
      <c r="C309" s="1282"/>
      <c r="D309" s="1282"/>
      <c r="E309" s="1282"/>
      <c r="F309" s="1282"/>
      <c r="G309" s="1282"/>
      <c r="H309" s="1282"/>
      <c r="I309" s="1282"/>
      <c r="J309" s="1282"/>
      <c r="K309" s="1282"/>
      <c r="L309" s="1282"/>
      <c r="M309" s="1282"/>
      <c r="N309" s="1282"/>
      <c r="O309" s="1282"/>
      <c r="P309" s="1282"/>
      <c r="Q309" s="1282"/>
      <c r="R309" s="1282"/>
      <c r="S309" s="1282"/>
      <c r="T309" s="1282"/>
      <c r="U309" s="1282"/>
      <c r="V309" s="1282"/>
      <c r="W309" s="1282"/>
      <c r="X309" s="1282"/>
      <c r="Y309" s="1282"/>
      <c r="Z309" s="1282"/>
    </row>
    <row r="310">
      <c r="A310" s="1282"/>
      <c r="B310" s="1282"/>
      <c r="C310" s="1282"/>
      <c r="D310" s="1282"/>
      <c r="E310" s="1282"/>
      <c r="F310" s="1282"/>
      <c r="G310" s="1282"/>
      <c r="H310" s="1282"/>
      <c r="I310" s="1282"/>
      <c r="J310" s="1282"/>
      <c r="K310" s="1282"/>
      <c r="L310" s="1282"/>
      <c r="M310" s="1282"/>
      <c r="N310" s="1282"/>
      <c r="O310" s="1282"/>
      <c r="P310" s="1282"/>
      <c r="Q310" s="1282"/>
      <c r="R310" s="1282"/>
      <c r="S310" s="1282"/>
      <c r="T310" s="1282"/>
      <c r="U310" s="1282"/>
      <c r="V310" s="1282"/>
      <c r="W310" s="1282"/>
      <c r="X310" s="1282"/>
      <c r="Y310" s="1282"/>
      <c r="Z310" s="1282"/>
    </row>
    <row r="311">
      <c r="A311" s="1282"/>
      <c r="B311" s="1282"/>
      <c r="C311" s="1282"/>
      <c r="D311" s="1282"/>
      <c r="E311" s="1282"/>
      <c r="F311" s="1282"/>
      <c r="G311" s="1282"/>
      <c r="H311" s="1282"/>
      <c r="I311" s="1282"/>
      <c r="J311" s="1282"/>
      <c r="K311" s="1282"/>
      <c r="L311" s="1282"/>
      <c r="M311" s="1282"/>
      <c r="N311" s="1282"/>
      <c r="O311" s="1282"/>
      <c r="P311" s="1282"/>
      <c r="Q311" s="1282"/>
      <c r="R311" s="1282"/>
      <c r="S311" s="1282"/>
      <c r="T311" s="1282"/>
      <c r="U311" s="1282"/>
      <c r="V311" s="1282"/>
      <c r="W311" s="1282"/>
      <c r="X311" s="1282"/>
      <c r="Y311" s="1282"/>
      <c r="Z311" s="1282"/>
    </row>
    <row r="312">
      <c r="A312" s="1282"/>
      <c r="B312" s="1282"/>
      <c r="C312" s="1282"/>
      <c r="D312" s="1282"/>
      <c r="E312" s="1282"/>
      <c r="F312" s="1282"/>
      <c r="G312" s="1282"/>
      <c r="H312" s="1282"/>
      <c r="I312" s="1282"/>
      <c r="J312" s="1282"/>
      <c r="K312" s="1282"/>
      <c r="L312" s="1282"/>
      <c r="M312" s="1282"/>
      <c r="N312" s="1282"/>
      <c r="O312" s="1282"/>
      <c r="P312" s="1282"/>
      <c r="Q312" s="1282"/>
      <c r="R312" s="1282"/>
      <c r="S312" s="1282"/>
      <c r="T312" s="1282"/>
      <c r="U312" s="1282"/>
      <c r="V312" s="1282"/>
      <c r="W312" s="1282"/>
      <c r="X312" s="1282"/>
      <c r="Y312" s="1282"/>
      <c r="Z312" s="1282"/>
    </row>
    <row r="313">
      <c r="A313" s="1282"/>
      <c r="B313" s="1282"/>
      <c r="C313" s="1282"/>
      <c r="D313" s="1282"/>
      <c r="E313" s="1282"/>
      <c r="F313" s="1282"/>
      <c r="G313" s="1282"/>
      <c r="H313" s="1282"/>
      <c r="I313" s="1282"/>
      <c r="J313" s="1282"/>
      <c r="K313" s="1282"/>
      <c r="L313" s="1282"/>
      <c r="M313" s="1282"/>
      <c r="N313" s="1282"/>
      <c r="O313" s="1282"/>
      <c r="P313" s="1282"/>
      <c r="Q313" s="1282"/>
      <c r="R313" s="1282"/>
      <c r="S313" s="1282"/>
      <c r="T313" s="1282"/>
      <c r="U313" s="1282"/>
      <c r="V313" s="1282"/>
      <c r="W313" s="1282"/>
      <c r="X313" s="1282"/>
      <c r="Y313" s="1282"/>
      <c r="Z313" s="1282"/>
    </row>
    <row r="314">
      <c r="A314" s="1282"/>
      <c r="B314" s="1282"/>
      <c r="C314" s="1282"/>
      <c r="D314" s="1282"/>
      <c r="E314" s="1282"/>
      <c r="F314" s="1282"/>
      <c r="G314" s="1282"/>
      <c r="H314" s="1282"/>
      <c r="I314" s="1282"/>
      <c r="J314" s="1282"/>
      <c r="K314" s="1282"/>
      <c r="L314" s="1282"/>
      <c r="M314" s="1282"/>
      <c r="N314" s="1282"/>
      <c r="O314" s="1282"/>
      <c r="P314" s="1282"/>
      <c r="Q314" s="1282"/>
      <c r="R314" s="1282"/>
      <c r="S314" s="1282"/>
      <c r="T314" s="1282"/>
      <c r="U314" s="1282"/>
      <c r="V314" s="1282"/>
      <c r="W314" s="1282"/>
      <c r="X314" s="1282"/>
      <c r="Y314" s="1282"/>
      <c r="Z314" s="1282"/>
    </row>
    <row r="315">
      <c r="A315" s="1282"/>
      <c r="B315" s="1282"/>
      <c r="C315" s="1282"/>
      <c r="D315" s="1282"/>
      <c r="E315" s="1282"/>
      <c r="F315" s="1282"/>
      <c r="G315" s="1282"/>
      <c r="H315" s="1282"/>
      <c r="I315" s="1282"/>
      <c r="J315" s="1282"/>
      <c r="K315" s="1282"/>
      <c r="L315" s="1282"/>
      <c r="M315" s="1282"/>
      <c r="N315" s="1282"/>
      <c r="O315" s="1282"/>
      <c r="P315" s="1282"/>
      <c r="Q315" s="1282"/>
      <c r="R315" s="1282"/>
      <c r="S315" s="1282"/>
      <c r="T315" s="1282"/>
      <c r="U315" s="1282"/>
      <c r="V315" s="1282"/>
      <c r="W315" s="1282"/>
      <c r="X315" s="1282"/>
      <c r="Y315" s="1282"/>
      <c r="Z315" s="1282"/>
    </row>
    <row r="316">
      <c r="A316" s="1282"/>
      <c r="B316" s="1282"/>
      <c r="C316" s="1282"/>
      <c r="D316" s="1282"/>
      <c r="E316" s="1282"/>
      <c r="F316" s="1282"/>
      <c r="G316" s="1282"/>
      <c r="H316" s="1282"/>
      <c r="I316" s="1282"/>
      <c r="J316" s="1282"/>
      <c r="K316" s="1282"/>
      <c r="L316" s="1282"/>
      <c r="M316" s="1282"/>
      <c r="N316" s="1282"/>
      <c r="O316" s="1282"/>
      <c r="P316" s="1282"/>
      <c r="Q316" s="1282"/>
      <c r="R316" s="1282"/>
      <c r="S316" s="1282"/>
      <c r="T316" s="1282"/>
      <c r="U316" s="1282"/>
      <c r="V316" s="1282"/>
      <c r="W316" s="1282"/>
      <c r="X316" s="1282"/>
      <c r="Y316" s="1282"/>
      <c r="Z316" s="1282"/>
    </row>
    <row r="317">
      <c r="A317" s="1282"/>
      <c r="B317" s="1282"/>
      <c r="C317" s="1282"/>
      <c r="D317" s="1282"/>
      <c r="E317" s="1282"/>
      <c r="F317" s="1282"/>
      <c r="G317" s="1282"/>
      <c r="H317" s="1282"/>
      <c r="I317" s="1282"/>
      <c r="J317" s="1282"/>
      <c r="K317" s="1282"/>
      <c r="L317" s="1282"/>
      <c r="M317" s="1282"/>
      <c r="N317" s="1282"/>
      <c r="O317" s="1282"/>
      <c r="P317" s="1282"/>
      <c r="Q317" s="1282"/>
      <c r="R317" s="1282"/>
      <c r="S317" s="1282"/>
      <c r="T317" s="1282"/>
      <c r="U317" s="1282"/>
      <c r="V317" s="1282"/>
      <c r="W317" s="1282"/>
      <c r="X317" s="1282"/>
      <c r="Y317" s="1282"/>
      <c r="Z317" s="1282"/>
    </row>
    <row r="318">
      <c r="A318" s="1282"/>
      <c r="B318" s="1282"/>
      <c r="C318" s="1282"/>
      <c r="D318" s="1282"/>
      <c r="E318" s="1282"/>
      <c r="F318" s="1282"/>
      <c r="G318" s="1282"/>
      <c r="H318" s="1282"/>
      <c r="I318" s="1282"/>
      <c r="J318" s="1282"/>
      <c r="K318" s="1282"/>
      <c r="L318" s="1282"/>
      <c r="M318" s="1282"/>
      <c r="N318" s="1282"/>
      <c r="O318" s="1282"/>
      <c r="P318" s="1282"/>
      <c r="Q318" s="1282"/>
      <c r="R318" s="1282"/>
      <c r="S318" s="1282"/>
      <c r="T318" s="1282"/>
      <c r="U318" s="1282"/>
      <c r="V318" s="1282"/>
      <c r="W318" s="1282"/>
      <c r="X318" s="1282"/>
      <c r="Y318" s="1282"/>
      <c r="Z318" s="1282"/>
    </row>
    <row r="319">
      <c r="A319" s="1282"/>
      <c r="B319" s="1282"/>
      <c r="C319" s="1282"/>
      <c r="D319" s="1282"/>
      <c r="E319" s="1282"/>
      <c r="F319" s="1282"/>
      <c r="G319" s="1282"/>
      <c r="H319" s="1282"/>
      <c r="I319" s="1282"/>
      <c r="J319" s="1282"/>
      <c r="K319" s="1282"/>
      <c r="L319" s="1282"/>
      <c r="M319" s="1282"/>
      <c r="N319" s="1282"/>
      <c r="O319" s="1282"/>
      <c r="P319" s="1282"/>
      <c r="Q319" s="1282"/>
      <c r="R319" s="1282"/>
      <c r="S319" s="1282"/>
      <c r="T319" s="1282"/>
      <c r="U319" s="1282"/>
      <c r="V319" s="1282"/>
      <c r="W319" s="1282"/>
      <c r="X319" s="1282"/>
      <c r="Y319" s="1282"/>
      <c r="Z319" s="1282"/>
    </row>
    <row r="320">
      <c r="A320" s="1282"/>
      <c r="B320" s="1282"/>
      <c r="C320" s="1282"/>
      <c r="D320" s="1282"/>
      <c r="E320" s="1282"/>
      <c r="F320" s="1282"/>
      <c r="G320" s="1282"/>
      <c r="H320" s="1282"/>
      <c r="I320" s="1282"/>
      <c r="J320" s="1282"/>
      <c r="K320" s="1282"/>
      <c r="L320" s="1282"/>
      <c r="M320" s="1282"/>
      <c r="N320" s="1282"/>
      <c r="O320" s="1282"/>
      <c r="P320" s="1282"/>
      <c r="Q320" s="1282"/>
      <c r="R320" s="1282"/>
      <c r="S320" s="1282"/>
      <c r="T320" s="1282"/>
      <c r="U320" s="1282"/>
      <c r="V320" s="1282"/>
      <c r="W320" s="1282"/>
      <c r="X320" s="1282"/>
      <c r="Y320" s="1282"/>
      <c r="Z320" s="1282"/>
    </row>
    <row r="321">
      <c r="A321" s="1282"/>
      <c r="B321" s="1282"/>
      <c r="C321" s="1282"/>
      <c r="D321" s="1282"/>
      <c r="E321" s="1282"/>
      <c r="F321" s="1282"/>
      <c r="G321" s="1282"/>
      <c r="H321" s="1282"/>
      <c r="I321" s="1282"/>
      <c r="J321" s="1282"/>
      <c r="K321" s="1282"/>
      <c r="L321" s="1282"/>
      <c r="M321" s="1282"/>
      <c r="N321" s="1282"/>
      <c r="O321" s="1282"/>
      <c r="P321" s="1282"/>
      <c r="Q321" s="1282"/>
      <c r="R321" s="1282"/>
      <c r="S321" s="1282"/>
      <c r="T321" s="1282"/>
      <c r="U321" s="1282"/>
      <c r="V321" s="1282"/>
      <c r="W321" s="1282"/>
      <c r="X321" s="1282"/>
      <c r="Y321" s="1282"/>
      <c r="Z321" s="1282"/>
    </row>
    <row r="322">
      <c r="A322" s="1282"/>
      <c r="B322" s="1282"/>
      <c r="C322" s="1282"/>
      <c r="D322" s="1282"/>
      <c r="E322" s="1282"/>
      <c r="F322" s="1282"/>
      <c r="G322" s="1282"/>
      <c r="H322" s="1282"/>
      <c r="I322" s="1282"/>
      <c r="J322" s="1282"/>
      <c r="K322" s="1282"/>
      <c r="L322" s="1282"/>
      <c r="M322" s="1282"/>
      <c r="N322" s="1282"/>
      <c r="O322" s="1282"/>
      <c r="P322" s="1282"/>
      <c r="Q322" s="1282"/>
      <c r="R322" s="1282"/>
      <c r="S322" s="1282"/>
      <c r="T322" s="1282"/>
      <c r="U322" s="1282"/>
      <c r="V322" s="1282"/>
      <c r="W322" s="1282"/>
      <c r="X322" s="1282"/>
      <c r="Y322" s="1282"/>
      <c r="Z322" s="1282"/>
    </row>
    <row r="323">
      <c r="A323" s="1282"/>
      <c r="B323" s="1282"/>
      <c r="C323" s="1282"/>
      <c r="D323" s="1282"/>
      <c r="E323" s="1282"/>
      <c r="F323" s="1282"/>
      <c r="G323" s="1282"/>
      <c r="H323" s="1282"/>
      <c r="I323" s="1282"/>
      <c r="J323" s="1282"/>
      <c r="K323" s="1282"/>
      <c r="L323" s="1282"/>
      <c r="M323" s="1282"/>
      <c r="N323" s="1282"/>
      <c r="O323" s="1282"/>
      <c r="P323" s="1282"/>
      <c r="Q323" s="1282"/>
      <c r="R323" s="1282"/>
      <c r="S323" s="1282"/>
      <c r="T323" s="1282"/>
      <c r="U323" s="1282"/>
      <c r="V323" s="1282"/>
      <c r="W323" s="1282"/>
      <c r="X323" s="1282"/>
      <c r="Y323" s="1282"/>
      <c r="Z323" s="1282"/>
    </row>
    <row r="324">
      <c r="A324" s="1282"/>
      <c r="B324" s="1282"/>
      <c r="C324" s="1282"/>
      <c r="D324" s="1282"/>
      <c r="E324" s="1282"/>
      <c r="F324" s="1282"/>
      <c r="G324" s="1282"/>
      <c r="H324" s="1282"/>
      <c r="I324" s="1282"/>
      <c r="J324" s="1282"/>
      <c r="K324" s="1282"/>
      <c r="L324" s="1282"/>
      <c r="M324" s="1282"/>
      <c r="N324" s="1282"/>
      <c r="O324" s="1282"/>
      <c r="P324" s="1282"/>
      <c r="Q324" s="1282"/>
      <c r="R324" s="1282"/>
      <c r="S324" s="1282"/>
      <c r="T324" s="1282"/>
      <c r="U324" s="1282"/>
      <c r="V324" s="1282"/>
      <c r="W324" s="1282"/>
      <c r="X324" s="1282"/>
      <c r="Y324" s="1282"/>
      <c r="Z324" s="1282"/>
    </row>
    <row r="325">
      <c r="A325" s="1282"/>
      <c r="B325" s="1282"/>
      <c r="C325" s="1282"/>
      <c r="D325" s="1282"/>
      <c r="E325" s="1282"/>
      <c r="F325" s="1282"/>
      <c r="G325" s="1282"/>
      <c r="H325" s="1282"/>
      <c r="I325" s="1282"/>
      <c r="J325" s="1282"/>
      <c r="K325" s="1282"/>
      <c r="L325" s="1282"/>
      <c r="M325" s="1282"/>
      <c r="N325" s="1282"/>
      <c r="O325" s="1282"/>
      <c r="P325" s="1282"/>
      <c r="Q325" s="1282"/>
      <c r="R325" s="1282"/>
      <c r="S325" s="1282"/>
      <c r="T325" s="1282"/>
      <c r="U325" s="1282"/>
      <c r="V325" s="1282"/>
      <c r="W325" s="1282"/>
      <c r="X325" s="1282"/>
      <c r="Y325" s="1282"/>
      <c r="Z325" s="1282"/>
    </row>
    <row r="326">
      <c r="A326" s="1282"/>
      <c r="B326" s="1282"/>
      <c r="C326" s="1282"/>
      <c r="D326" s="1282"/>
      <c r="E326" s="1282"/>
      <c r="F326" s="1282"/>
      <c r="G326" s="1282"/>
      <c r="H326" s="1282"/>
      <c r="I326" s="1282"/>
      <c r="J326" s="1282"/>
      <c r="K326" s="1282"/>
      <c r="L326" s="1282"/>
      <c r="M326" s="1282"/>
      <c r="N326" s="1282"/>
      <c r="O326" s="1282"/>
      <c r="P326" s="1282"/>
      <c r="Q326" s="1282"/>
      <c r="R326" s="1282"/>
      <c r="S326" s="1282"/>
      <c r="T326" s="1282"/>
      <c r="U326" s="1282"/>
      <c r="V326" s="1282"/>
      <c r="W326" s="1282"/>
      <c r="X326" s="1282"/>
      <c r="Y326" s="1282"/>
      <c r="Z326" s="1282"/>
    </row>
    <row r="327">
      <c r="A327" s="1282"/>
      <c r="B327" s="1282"/>
      <c r="C327" s="1282"/>
      <c r="D327" s="1282"/>
      <c r="E327" s="1282"/>
      <c r="F327" s="1282"/>
      <c r="G327" s="1282"/>
      <c r="H327" s="1282"/>
      <c r="I327" s="1282"/>
      <c r="J327" s="1282"/>
      <c r="K327" s="1282"/>
      <c r="L327" s="1282"/>
      <c r="M327" s="1282"/>
      <c r="N327" s="1282"/>
      <c r="O327" s="1282"/>
      <c r="P327" s="1282"/>
      <c r="Q327" s="1282"/>
      <c r="R327" s="1282"/>
      <c r="S327" s="1282"/>
      <c r="T327" s="1282"/>
      <c r="U327" s="1282"/>
      <c r="V327" s="1282"/>
      <c r="W327" s="1282"/>
      <c r="X327" s="1282"/>
      <c r="Y327" s="1282"/>
      <c r="Z327" s="1282"/>
    </row>
    <row r="328">
      <c r="A328" s="1282"/>
      <c r="B328" s="1282"/>
      <c r="C328" s="1282"/>
      <c r="D328" s="1282"/>
      <c r="E328" s="1282"/>
      <c r="F328" s="1282"/>
      <c r="G328" s="1282"/>
      <c r="H328" s="1282"/>
      <c r="I328" s="1282"/>
      <c r="J328" s="1282"/>
      <c r="K328" s="1282"/>
      <c r="L328" s="1282"/>
      <c r="M328" s="1282"/>
      <c r="N328" s="1282"/>
      <c r="O328" s="1282"/>
      <c r="P328" s="1282"/>
      <c r="Q328" s="1282"/>
      <c r="R328" s="1282"/>
      <c r="S328" s="1282"/>
      <c r="T328" s="1282"/>
      <c r="U328" s="1282"/>
      <c r="V328" s="1282"/>
      <c r="W328" s="1282"/>
      <c r="X328" s="1282"/>
      <c r="Y328" s="1282"/>
      <c r="Z328" s="1282"/>
    </row>
    <row r="329">
      <c r="A329" s="1282"/>
      <c r="B329" s="1282"/>
      <c r="C329" s="1282"/>
      <c r="D329" s="1282"/>
      <c r="E329" s="1282"/>
      <c r="F329" s="1282"/>
      <c r="G329" s="1282"/>
      <c r="H329" s="1282"/>
      <c r="I329" s="1282"/>
      <c r="J329" s="1282"/>
      <c r="K329" s="1282"/>
      <c r="L329" s="1282"/>
      <c r="M329" s="1282"/>
      <c r="N329" s="1282"/>
      <c r="O329" s="1282"/>
      <c r="P329" s="1282"/>
      <c r="Q329" s="1282"/>
      <c r="R329" s="1282"/>
      <c r="S329" s="1282"/>
      <c r="T329" s="1282"/>
      <c r="U329" s="1282"/>
      <c r="V329" s="1282"/>
      <c r="W329" s="1282"/>
      <c r="X329" s="1282"/>
      <c r="Y329" s="1282"/>
      <c r="Z329" s="1282"/>
    </row>
    <row r="330">
      <c r="A330" s="1282"/>
      <c r="B330" s="1282"/>
      <c r="C330" s="1282"/>
      <c r="D330" s="1282"/>
      <c r="E330" s="1282"/>
      <c r="F330" s="1282"/>
      <c r="G330" s="1282"/>
      <c r="H330" s="1282"/>
      <c r="I330" s="1282"/>
      <c r="J330" s="1282"/>
      <c r="K330" s="1282"/>
      <c r="L330" s="1282"/>
      <c r="M330" s="1282"/>
      <c r="N330" s="1282"/>
      <c r="O330" s="1282"/>
      <c r="P330" s="1282"/>
      <c r="Q330" s="1282"/>
      <c r="R330" s="1282"/>
      <c r="S330" s="1282"/>
      <c r="T330" s="1282"/>
      <c r="U330" s="1282"/>
      <c r="V330" s="1282"/>
      <c r="W330" s="1282"/>
      <c r="X330" s="1282"/>
      <c r="Y330" s="1282"/>
      <c r="Z330" s="1282"/>
    </row>
    <row r="331">
      <c r="A331" s="1282"/>
      <c r="B331" s="1282"/>
      <c r="C331" s="1282"/>
      <c r="D331" s="1282"/>
      <c r="E331" s="1282"/>
      <c r="F331" s="1282"/>
      <c r="G331" s="1282"/>
      <c r="H331" s="1282"/>
      <c r="I331" s="1282"/>
      <c r="J331" s="1282"/>
      <c r="K331" s="1282"/>
      <c r="L331" s="1282"/>
      <c r="M331" s="1282"/>
      <c r="N331" s="1282"/>
      <c r="O331" s="1282"/>
      <c r="P331" s="1282"/>
      <c r="Q331" s="1282"/>
      <c r="R331" s="1282"/>
      <c r="S331" s="1282"/>
      <c r="T331" s="1282"/>
      <c r="U331" s="1282"/>
      <c r="V331" s="1282"/>
      <c r="W331" s="1282"/>
      <c r="X331" s="1282"/>
      <c r="Y331" s="1282"/>
      <c r="Z331" s="1282"/>
    </row>
    <row r="332">
      <c r="A332" s="1282"/>
      <c r="B332" s="1282"/>
      <c r="C332" s="1282"/>
      <c r="D332" s="1282"/>
      <c r="E332" s="1282"/>
      <c r="F332" s="1282"/>
      <c r="G332" s="1282"/>
      <c r="H332" s="1282"/>
      <c r="I332" s="1282"/>
      <c r="J332" s="1282"/>
      <c r="K332" s="1282"/>
      <c r="L332" s="1282"/>
      <c r="M332" s="1282"/>
      <c r="N332" s="1282"/>
      <c r="O332" s="1282"/>
      <c r="P332" s="1282"/>
      <c r="Q332" s="1282"/>
      <c r="R332" s="1282"/>
      <c r="S332" s="1282"/>
      <c r="T332" s="1282"/>
      <c r="U332" s="1282"/>
      <c r="V332" s="1282"/>
      <c r="W332" s="1282"/>
      <c r="X332" s="1282"/>
      <c r="Y332" s="1282"/>
      <c r="Z332" s="1282"/>
    </row>
    <row r="333">
      <c r="A333" s="1282"/>
      <c r="B333" s="1282"/>
      <c r="C333" s="1282"/>
      <c r="D333" s="1282"/>
      <c r="E333" s="1282"/>
      <c r="F333" s="1282"/>
      <c r="G333" s="1282"/>
      <c r="H333" s="1282"/>
      <c r="I333" s="1282"/>
      <c r="J333" s="1282"/>
      <c r="K333" s="1282"/>
      <c r="L333" s="1282"/>
      <c r="M333" s="1282"/>
      <c r="N333" s="1282"/>
      <c r="O333" s="1282"/>
      <c r="P333" s="1282"/>
      <c r="Q333" s="1282"/>
      <c r="R333" s="1282"/>
      <c r="S333" s="1282"/>
      <c r="T333" s="1282"/>
      <c r="U333" s="1282"/>
      <c r="V333" s="1282"/>
      <c r="W333" s="1282"/>
      <c r="X333" s="1282"/>
      <c r="Y333" s="1282"/>
      <c r="Z333" s="1282"/>
    </row>
    <row r="334">
      <c r="A334" s="1282"/>
      <c r="B334" s="1282"/>
      <c r="C334" s="1282"/>
      <c r="D334" s="1282"/>
      <c r="E334" s="1282"/>
      <c r="F334" s="1282"/>
      <c r="G334" s="1282"/>
      <c r="H334" s="1282"/>
      <c r="I334" s="1282"/>
      <c r="J334" s="1282"/>
      <c r="K334" s="1282"/>
      <c r="L334" s="1282"/>
      <c r="M334" s="1282"/>
      <c r="N334" s="1282"/>
      <c r="O334" s="1282"/>
      <c r="P334" s="1282"/>
      <c r="Q334" s="1282"/>
      <c r="R334" s="1282"/>
      <c r="S334" s="1282"/>
      <c r="T334" s="1282"/>
      <c r="U334" s="1282"/>
      <c r="V334" s="1282"/>
      <c r="W334" s="1282"/>
      <c r="X334" s="1282"/>
      <c r="Y334" s="1282"/>
      <c r="Z334" s="1282"/>
    </row>
    <row r="335">
      <c r="A335" s="1282"/>
      <c r="B335" s="1282"/>
      <c r="C335" s="1282"/>
      <c r="D335" s="1282"/>
      <c r="E335" s="1282"/>
      <c r="F335" s="1282"/>
      <c r="G335" s="1282"/>
      <c r="H335" s="1282"/>
      <c r="I335" s="1282"/>
      <c r="J335" s="1282"/>
      <c r="K335" s="1282"/>
      <c r="L335" s="1282"/>
      <c r="M335" s="1282"/>
      <c r="N335" s="1282"/>
      <c r="O335" s="1282"/>
      <c r="P335" s="1282"/>
      <c r="Q335" s="1282"/>
      <c r="R335" s="1282"/>
      <c r="S335" s="1282"/>
      <c r="T335" s="1282"/>
      <c r="U335" s="1282"/>
      <c r="V335" s="1282"/>
      <c r="W335" s="1282"/>
      <c r="X335" s="1282"/>
      <c r="Y335" s="1282"/>
      <c r="Z335" s="1282"/>
    </row>
    <row r="336">
      <c r="A336" s="1282"/>
      <c r="B336" s="1282"/>
      <c r="C336" s="1282"/>
      <c r="D336" s="1282"/>
      <c r="E336" s="1282"/>
      <c r="F336" s="1282"/>
      <c r="G336" s="1282"/>
      <c r="H336" s="1282"/>
      <c r="I336" s="1282"/>
      <c r="J336" s="1282"/>
      <c r="K336" s="1282"/>
      <c r="L336" s="1282"/>
      <c r="M336" s="1282"/>
      <c r="N336" s="1282"/>
      <c r="O336" s="1282"/>
      <c r="P336" s="1282"/>
      <c r="Q336" s="1282"/>
      <c r="R336" s="1282"/>
      <c r="S336" s="1282"/>
      <c r="T336" s="1282"/>
      <c r="U336" s="1282"/>
      <c r="V336" s="1282"/>
      <c r="W336" s="1282"/>
      <c r="X336" s="1282"/>
      <c r="Y336" s="1282"/>
      <c r="Z336" s="1282"/>
    </row>
    <row r="337">
      <c r="A337" s="1282"/>
      <c r="B337" s="1282"/>
      <c r="C337" s="1282"/>
      <c r="D337" s="1282"/>
      <c r="E337" s="1282"/>
      <c r="F337" s="1282"/>
      <c r="G337" s="1282"/>
      <c r="H337" s="1282"/>
      <c r="I337" s="1282"/>
      <c r="J337" s="1282"/>
      <c r="K337" s="1282"/>
      <c r="L337" s="1282"/>
      <c r="M337" s="1282"/>
      <c r="N337" s="1282"/>
      <c r="O337" s="1282"/>
      <c r="P337" s="1282"/>
      <c r="Q337" s="1282"/>
      <c r="R337" s="1282"/>
      <c r="S337" s="1282"/>
      <c r="T337" s="1282"/>
      <c r="U337" s="1282"/>
      <c r="V337" s="1282"/>
      <c r="W337" s="1282"/>
      <c r="X337" s="1282"/>
      <c r="Y337" s="1282"/>
      <c r="Z337" s="1282"/>
    </row>
    <row r="338">
      <c r="A338" s="1282"/>
      <c r="B338" s="1282"/>
      <c r="C338" s="1282"/>
      <c r="D338" s="1282"/>
      <c r="E338" s="1282"/>
      <c r="F338" s="1282"/>
      <c r="G338" s="1282"/>
      <c r="H338" s="1282"/>
      <c r="I338" s="1282"/>
      <c r="J338" s="1282"/>
      <c r="K338" s="1282"/>
      <c r="L338" s="1282"/>
      <c r="M338" s="1282"/>
      <c r="N338" s="1282"/>
      <c r="O338" s="1282"/>
      <c r="P338" s="1282"/>
      <c r="Q338" s="1282"/>
      <c r="R338" s="1282"/>
      <c r="S338" s="1282"/>
      <c r="T338" s="1282"/>
      <c r="U338" s="1282"/>
      <c r="V338" s="1282"/>
      <c r="W338" s="1282"/>
      <c r="X338" s="1282"/>
      <c r="Y338" s="1282"/>
      <c r="Z338" s="1282"/>
    </row>
    <row r="339">
      <c r="A339" s="1282"/>
      <c r="B339" s="1282"/>
      <c r="C339" s="1282"/>
      <c r="D339" s="1282"/>
      <c r="E339" s="1282"/>
      <c r="F339" s="1282"/>
      <c r="G339" s="1282"/>
      <c r="H339" s="1282"/>
      <c r="I339" s="1282"/>
      <c r="J339" s="1282"/>
      <c r="K339" s="1282"/>
      <c r="L339" s="1282"/>
      <c r="M339" s="1282"/>
      <c r="N339" s="1282"/>
      <c r="O339" s="1282"/>
      <c r="P339" s="1282"/>
      <c r="Q339" s="1282"/>
      <c r="R339" s="1282"/>
      <c r="S339" s="1282"/>
      <c r="T339" s="1282"/>
      <c r="U339" s="1282"/>
      <c r="V339" s="1282"/>
      <c r="W339" s="1282"/>
      <c r="X339" s="1282"/>
      <c r="Y339" s="1282"/>
      <c r="Z339" s="1282"/>
    </row>
    <row r="340">
      <c r="A340" s="1282"/>
      <c r="B340" s="1282"/>
      <c r="C340" s="1282"/>
      <c r="D340" s="1282"/>
      <c r="E340" s="1282"/>
      <c r="F340" s="1282"/>
      <c r="G340" s="1282"/>
      <c r="H340" s="1282"/>
      <c r="I340" s="1282"/>
      <c r="J340" s="1282"/>
      <c r="K340" s="1282"/>
      <c r="L340" s="1282"/>
      <c r="M340" s="1282"/>
      <c r="N340" s="1282"/>
      <c r="O340" s="1282"/>
      <c r="P340" s="1282"/>
      <c r="Q340" s="1282"/>
      <c r="R340" s="1282"/>
      <c r="S340" s="1282"/>
      <c r="T340" s="1282"/>
      <c r="U340" s="1282"/>
      <c r="V340" s="1282"/>
      <c r="W340" s="1282"/>
      <c r="X340" s="1282"/>
      <c r="Y340" s="1282"/>
      <c r="Z340" s="1282"/>
    </row>
    <row r="341">
      <c r="A341" s="1282"/>
      <c r="B341" s="1282"/>
      <c r="C341" s="1282"/>
      <c r="D341" s="1282"/>
      <c r="E341" s="1282"/>
      <c r="F341" s="1282"/>
      <c r="G341" s="1282"/>
      <c r="H341" s="1282"/>
      <c r="I341" s="1282"/>
      <c r="J341" s="1282"/>
      <c r="K341" s="1282"/>
      <c r="L341" s="1282"/>
      <c r="M341" s="1282"/>
      <c r="N341" s="1282"/>
      <c r="O341" s="1282"/>
      <c r="P341" s="1282"/>
      <c r="Q341" s="1282"/>
      <c r="R341" s="1282"/>
      <c r="S341" s="1282"/>
      <c r="T341" s="1282"/>
      <c r="U341" s="1282"/>
      <c r="V341" s="1282"/>
      <c r="W341" s="1282"/>
      <c r="X341" s="1282"/>
      <c r="Y341" s="1282"/>
      <c r="Z341" s="1282"/>
    </row>
    <row r="342">
      <c r="A342" s="1282"/>
      <c r="B342" s="1282"/>
      <c r="C342" s="1282"/>
      <c r="D342" s="1282"/>
      <c r="E342" s="1282"/>
      <c r="F342" s="1282"/>
      <c r="G342" s="1282"/>
      <c r="H342" s="1282"/>
      <c r="I342" s="1282"/>
      <c r="J342" s="1282"/>
      <c r="K342" s="1282"/>
      <c r="L342" s="1282"/>
      <c r="M342" s="1282"/>
      <c r="N342" s="1282"/>
      <c r="O342" s="1282"/>
      <c r="P342" s="1282"/>
      <c r="Q342" s="1282"/>
      <c r="R342" s="1282"/>
      <c r="S342" s="1282"/>
      <c r="T342" s="1282"/>
      <c r="U342" s="1282"/>
      <c r="V342" s="1282"/>
      <c r="W342" s="1282"/>
      <c r="X342" s="1282"/>
      <c r="Y342" s="1282"/>
      <c r="Z342" s="1282"/>
    </row>
    <row r="343">
      <c r="A343" s="1282"/>
      <c r="B343" s="1282"/>
      <c r="C343" s="1282"/>
      <c r="D343" s="1282"/>
      <c r="E343" s="1282"/>
      <c r="F343" s="1282"/>
      <c r="G343" s="1282"/>
      <c r="H343" s="1282"/>
      <c r="I343" s="1282"/>
      <c r="J343" s="1282"/>
      <c r="K343" s="1282"/>
      <c r="L343" s="1282"/>
      <c r="M343" s="1282"/>
      <c r="N343" s="1282"/>
      <c r="O343" s="1282"/>
      <c r="P343" s="1282"/>
      <c r="Q343" s="1282"/>
      <c r="R343" s="1282"/>
      <c r="S343" s="1282"/>
      <c r="T343" s="1282"/>
      <c r="U343" s="1282"/>
      <c r="V343" s="1282"/>
      <c r="W343" s="1282"/>
      <c r="X343" s="1282"/>
      <c r="Y343" s="1282"/>
      <c r="Z343" s="1282"/>
    </row>
    <row r="344">
      <c r="A344" s="1282"/>
      <c r="B344" s="1282"/>
      <c r="C344" s="1282"/>
      <c r="D344" s="1282"/>
      <c r="E344" s="1282"/>
      <c r="F344" s="1282"/>
      <c r="G344" s="1282"/>
      <c r="H344" s="1282"/>
      <c r="I344" s="1282"/>
      <c r="J344" s="1282"/>
      <c r="K344" s="1282"/>
      <c r="L344" s="1282"/>
      <c r="M344" s="1282"/>
      <c r="N344" s="1282"/>
      <c r="O344" s="1282"/>
      <c r="P344" s="1282"/>
      <c r="Q344" s="1282"/>
      <c r="R344" s="1282"/>
      <c r="S344" s="1282"/>
      <c r="T344" s="1282"/>
      <c r="U344" s="1282"/>
      <c r="V344" s="1282"/>
      <c r="W344" s="1282"/>
      <c r="X344" s="1282"/>
      <c r="Y344" s="1282"/>
      <c r="Z344" s="1282"/>
    </row>
    <row r="345">
      <c r="A345" s="1282"/>
      <c r="B345" s="1282"/>
      <c r="C345" s="1282"/>
      <c r="D345" s="1282"/>
      <c r="E345" s="1282"/>
      <c r="F345" s="1282"/>
      <c r="G345" s="1282"/>
      <c r="H345" s="1282"/>
      <c r="I345" s="1282"/>
      <c r="J345" s="1282"/>
      <c r="K345" s="1282"/>
      <c r="L345" s="1282"/>
      <c r="M345" s="1282"/>
      <c r="N345" s="1282"/>
      <c r="O345" s="1282"/>
      <c r="P345" s="1282"/>
      <c r="Q345" s="1282"/>
      <c r="R345" s="1282"/>
      <c r="S345" s="1282"/>
      <c r="T345" s="1282"/>
      <c r="U345" s="1282"/>
      <c r="V345" s="1282"/>
      <c r="W345" s="1282"/>
      <c r="X345" s="1282"/>
      <c r="Y345" s="1282"/>
      <c r="Z345" s="1282"/>
    </row>
    <row r="346">
      <c r="A346" s="1282"/>
      <c r="B346" s="1282"/>
      <c r="C346" s="1282"/>
      <c r="D346" s="1282"/>
      <c r="E346" s="1282"/>
      <c r="F346" s="1282"/>
      <c r="G346" s="1282"/>
      <c r="H346" s="1282"/>
      <c r="I346" s="1282"/>
      <c r="J346" s="1282"/>
      <c r="K346" s="1282"/>
      <c r="L346" s="1282"/>
      <c r="M346" s="1282"/>
      <c r="N346" s="1282"/>
      <c r="O346" s="1282"/>
      <c r="P346" s="1282"/>
      <c r="Q346" s="1282"/>
      <c r="R346" s="1282"/>
      <c r="S346" s="1282"/>
      <c r="T346" s="1282"/>
      <c r="U346" s="1282"/>
      <c r="V346" s="1282"/>
      <c r="W346" s="1282"/>
      <c r="X346" s="1282"/>
      <c r="Y346" s="1282"/>
      <c r="Z346" s="1282"/>
    </row>
    <row r="347">
      <c r="A347" s="1282"/>
      <c r="B347" s="1282"/>
      <c r="C347" s="1282"/>
      <c r="D347" s="1282"/>
      <c r="E347" s="1282"/>
      <c r="F347" s="1282"/>
      <c r="G347" s="1282"/>
      <c r="H347" s="1282"/>
      <c r="I347" s="1282"/>
      <c r="J347" s="1282"/>
      <c r="K347" s="1282"/>
      <c r="L347" s="1282"/>
      <c r="M347" s="1282"/>
      <c r="N347" s="1282"/>
      <c r="O347" s="1282"/>
      <c r="P347" s="1282"/>
      <c r="Q347" s="1282"/>
      <c r="R347" s="1282"/>
      <c r="S347" s="1282"/>
      <c r="T347" s="1282"/>
      <c r="U347" s="1282"/>
      <c r="V347" s="1282"/>
      <c r="W347" s="1282"/>
      <c r="X347" s="1282"/>
      <c r="Y347" s="1282"/>
      <c r="Z347" s="1282"/>
    </row>
    <row r="348">
      <c r="A348" s="1282"/>
      <c r="B348" s="1282"/>
      <c r="C348" s="1282"/>
      <c r="D348" s="1282"/>
      <c r="E348" s="1282"/>
      <c r="F348" s="1282"/>
      <c r="G348" s="1282"/>
      <c r="H348" s="1282"/>
      <c r="I348" s="1282"/>
      <c r="J348" s="1282"/>
      <c r="K348" s="1282"/>
      <c r="L348" s="1282"/>
      <c r="M348" s="1282"/>
      <c r="N348" s="1282"/>
      <c r="O348" s="1282"/>
      <c r="P348" s="1282"/>
      <c r="Q348" s="1282"/>
      <c r="R348" s="1282"/>
      <c r="S348" s="1282"/>
      <c r="T348" s="1282"/>
      <c r="U348" s="1282"/>
      <c r="V348" s="1282"/>
      <c r="W348" s="1282"/>
      <c r="X348" s="1282"/>
      <c r="Y348" s="1282"/>
      <c r="Z348" s="1282"/>
    </row>
    <row r="349">
      <c r="A349" s="1282"/>
      <c r="B349" s="1282"/>
      <c r="C349" s="1282"/>
      <c r="D349" s="1282"/>
      <c r="E349" s="1282"/>
      <c r="F349" s="1282"/>
      <c r="G349" s="1282"/>
      <c r="H349" s="1282"/>
      <c r="I349" s="1282"/>
      <c r="J349" s="1282"/>
      <c r="K349" s="1282"/>
      <c r="L349" s="1282"/>
      <c r="M349" s="1282"/>
      <c r="N349" s="1282"/>
      <c r="O349" s="1282"/>
      <c r="P349" s="1282"/>
      <c r="Q349" s="1282"/>
      <c r="R349" s="1282"/>
      <c r="S349" s="1282"/>
      <c r="T349" s="1282"/>
      <c r="U349" s="1282"/>
      <c r="V349" s="1282"/>
      <c r="W349" s="1282"/>
      <c r="X349" s="1282"/>
      <c r="Y349" s="1282"/>
      <c r="Z349" s="1282"/>
    </row>
    <row r="350">
      <c r="A350" s="1282"/>
      <c r="B350" s="1282"/>
      <c r="C350" s="1282"/>
      <c r="D350" s="1282"/>
      <c r="E350" s="1282"/>
      <c r="F350" s="1282"/>
      <c r="G350" s="1282"/>
      <c r="H350" s="1282"/>
      <c r="I350" s="1282"/>
      <c r="J350" s="1282"/>
      <c r="K350" s="1282"/>
      <c r="L350" s="1282"/>
      <c r="M350" s="1282"/>
      <c r="N350" s="1282"/>
      <c r="O350" s="1282"/>
      <c r="P350" s="1282"/>
      <c r="Q350" s="1282"/>
      <c r="R350" s="1282"/>
      <c r="S350" s="1282"/>
      <c r="T350" s="1282"/>
      <c r="U350" s="1282"/>
      <c r="V350" s="1282"/>
      <c r="W350" s="1282"/>
      <c r="X350" s="1282"/>
      <c r="Y350" s="1282"/>
      <c r="Z350" s="1282"/>
    </row>
    <row r="351">
      <c r="A351" s="1282"/>
      <c r="B351" s="1282"/>
      <c r="C351" s="1282"/>
      <c r="D351" s="1282"/>
      <c r="E351" s="1282"/>
      <c r="F351" s="1282"/>
      <c r="G351" s="1282"/>
      <c r="H351" s="1282"/>
      <c r="I351" s="1282"/>
      <c r="J351" s="1282"/>
      <c r="K351" s="1282"/>
      <c r="L351" s="1282"/>
      <c r="M351" s="1282"/>
      <c r="N351" s="1282"/>
      <c r="O351" s="1282"/>
      <c r="P351" s="1282"/>
      <c r="Q351" s="1282"/>
      <c r="R351" s="1282"/>
      <c r="S351" s="1282"/>
      <c r="T351" s="1282"/>
      <c r="U351" s="1282"/>
      <c r="V351" s="1282"/>
      <c r="W351" s="1282"/>
      <c r="X351" s="1282"/>
      <c r="Y351" s="1282"/>
      <c r="Z351" s="1282"/>
    </row>
    <row r="352">
      <c r="A352" s="1282"/>
      <c r="B352" s="1282"/>
      <c r="C352" s="1282"/>
      <c r="D352" s="1282"/>
      <c r="E352" s="1282"/>
      <c r="F352" s="1282"/>
      <c r="G352" s="1282"/>
      <c r="H352" s="1282"/>
      <c r="I352" s="1282"/>
      <c r="J352" s="1282"/>
      <c r="K352" s="1282"/>
      <c r="L352" s="1282"/>
      <c r="M352" s="1282"/>
      <c r="N352" s="1282"/>
      <c r="O352" s="1282"/>
      <c r="P352" s="1282"/>
      <c r="Q352" s="1282"/>
      <c r="R352" s="1282"/>
      <c r="S352" s="1282"/>
      <c r="T352" s="1282"/>
      <c r="U352" s="1282"/>
      <c r="V352" s="1282"/>
      <c r="W352" s="1282"/>
      <c r="X352" s="1282"/>
      <c r="Y352" s="1282"/>
      <c r="Z352" s="1282"/>
    </row>
    <row r="353">
      <c r="A353" s="1282"/>
      <c r="B353" s="1282"/>
      <c r="C353" s="1282"/>
      <c r="D353" s="1282"/>
      <c r="E353" s="1282"/>
      <c r="F353" s="1282"/>
      <c r="G353" s="1282"/>
      <c r="H353" s="1282"/>
      <c r="I353" s="1282"/>
      <c r="J353" s="1282"/>
      <c r="K353" s="1282"/>
      <c r="L353" s="1282"/>
      <c r="M353" s="1282"/>
      <c r="N353" s="1282"/>
      <c r="O353" s="1282"/>
      <c r="P353" s="1282"/>
      <c r="Q353" s="1282"/>
      <c r="R353" s="1282"/>
      <c r="S353" s="1282"/>
      <c r="T353" s="1282"/>
      <c r="U353" s="1282"/>
      <c r="V353" s="1282"/>
      <c r="W353" s="1282"/>
      <c r="X353" s="1282"/>
      <c r="Y353" s="1282"/>
      <c r="Z353" s="1282"/>
    </row>
    <row r="354">
      <c r="A354" s="1282"/>
      <c r="B354" s="1282"/>
      <c r="C354" s="1282"/>
      <c r="D354" s="1282"/>
      <c r="E354" s="1282"/>
      <c r="F354" s="1282"/>
      <c r="G354" s="1282"/>
      <c r="H354" s="1282"/>
      <c r="I354" s="1282"/>
      <c r="J354" s="1282"/>
      <c r="K354" s="1282"/>
      <c r="L354" s="1282"/>
      <c r="M354" s="1282"/>
      <c r="N354" s="1282"/>
      <c r="O354" s="1282"/>
      <c r="P354" s="1282"/>
      <c r="Q354" s="1282"/>
      <c r="R354" s="1282"/>
      <c r="S354" s="1282"/>
      <c r="T354" s="1282"/>
      <c r="U354" s="1282"/>
      <c r="V354" s="1282"/>
      <c r="W354" s="1282"/>
      <c r="X354" s="1282"/>
      <c r="Y354" s="1282"/>
      <c r="Z354" s="1282"/>
    </row>
    <row r="355">
      <c r="A355" s="1282"/>
      <c r="B355" s="1282"/>
      <c r="C355" s="1282"/>
      <c r="D355" s="1282"/>
      <c r="E355" s="1282"/>
      <c r="F355" s="1282"/>
      <c r="G355" s="1282"/>
      <c r="H355" s="1282"/>
      <c r="I355" s="1282"/>
      <c r="J355" s="1282"/>
      <c r="K355" s="1282"/>
      <c r="L355" s="1282"/>
      <c r="M355" s="1282"/>
      <c r="N355" s="1282"/>
      <c r="O355" s="1282"/>
      <c r="P355" s="1282"/>
      <c r="Q355" s="1282"/>
      <c r="R355" s="1282"/>
      <c r="S355" s="1282"/>
      <c r="T355" s="1282"/>
      <c r="U355" s="1282"/>
      <c r="V355" s="1282"/>
      <c r="W355" s="1282"/>
      <c r="X355" s="1282"/>
      <c r="Y355" s="1282"/>
      <c r="Z355" s="1282"/>
    </row>
    <row r="356">
      <c r="A356" s="1282"/>
      <c r="B356" s="1282"/>
      <c r="C356" s="1282"/>
      <c r="D356" s="1282"/>
      <c r="E356" s="1282"/>
      <c r="F356" s="1282"/>
      <c r="G356" s="1282"/>
      <c r="H356" s="1282"/>
      <c r="I356" s="1282"/>
      <c r="J356" s="1282"/>
      <c r="K356" s="1282"/>
      <c r="L356" s="1282"/>
      <c r="M356" s="1282"/>
      <c r="N356" s="1282"/>
      <c r="O356" s="1282"/>
      <c r="P356" s="1282"/>
      <c r="Q356" s="1282"/>
      <c r="R356" s="1282"/>
      <c r="S356" s="1282"/>
      <c r="T356" s="1282"/>
      <c r="U356" s="1282"/>
      <c r="V356" s="1282"/>
      <c r="W356" s="1282"/>
      <c r="X356" s="1282"/>
      <c r="Y356" s="1282"/>
      <c r="Z356" s="1282"/>
    </row>
    <row r="357">
      <c r="A357" s="1282"/>
      <c r="B357" s="1282"/>
      <c r="C357" s="1282"/>
      <c r="D357" s="1282"/>
      <c r="E357" s="1282"/>
      <c r="F357" s="1282"/>
      <c r="G357" s="1282"/>
      <c r="H357" s="1282"/>
      <c r="I357" s="1282"/>
      <c r="J357" s="1282"/>
      <c r="K357" s="1282"/>
      <c r="L357" s="1282"/>
      <c r="M357" s="1282"/>
      <c r="N357" s="1282"/>
      <c r="O357" s="1282"/>
      <c r="P357" s="1282"/>
      <c r="Q357" s="1282"/>
      <c r="R357" s="1282"/>
      <c r="S357" s="1282"/>
      <c r="T357" s="1282"/>
      <c r="U357" s="1282"/>
      <c r="V357" s="1282"/>
      <c r="W357" s="1282"/>
      <c r="X357" s="1282"/>
      <c r="Y357" s="1282"/>
      <c r="Z357" s="1282"/>
    </row>
    <row r="358">
      <c r="A358" s="1282"/>
      <c r="B358" s="1282"/>
      <c r="C358" s="1282"/>
      <c r="D358" s="1282"/>
      <c r="E358" s="1282"/>
      <c r="F358" s="1282"/>
      <c r="G358" s="1282"/>
      <c r="H358" s="1282"/>
      <c r="I358" s="1282"/>
      <c r="J358" s="1282"/>
      <c r="K358" s="1282"/>
      <c r="L358" s="1282"/>
      <c r="M358" s="1282"/>
      <c r="N358" s="1282"/>
      <c r="O358" s="1282"/>
      <c r="P358" s="1282"/>
      <c r="Q358" s="1282"/>
      <c r="R358" s="1282"/>
      <c r="S358" s="1282"/>
      <c r="T358" s="1282"/>
      <c r="U358" s="1282"/>
      <c r="V358" s="1282"/>
      <c r="W358" s="1282"/>
      <c r="X358" s="1282"/>
      <c r="Y358" s="1282"/>
      <c r="Z358" s="1282"/>
    </row>
    <row r="359">
      <c r="A359" s="1282"/>
      <c r="B359" s="1282"/>
      <c r="C359" s="1282"/>
      <c r="D359" s="1282"/>
      <c r="E359" s="1282"/>
      <c r="F359" s="1282"/>
      <c r="G359" s="1282"/>
      <c r="H359" s="1282"/>
      <c r="I359" s="1282"/>
      <c r="J359" s="1282"/>
      <c r="K359" s="1282"/>
      <c r="L359" s="1282"/>
      <c r="M359" s="1282"/>
      <c r="N359" s="1282"/>
      <c r="O359" s="1282"/>
      <c r="P359" s="1282"/>
      <c r="Q359" s="1282"/>
      <c r="R359" s="1282"/>
      <c r="S359" s="1282"/>
      <c r="T359" s="1282"/>
      <c r="U359" s="1282"/>
      <c r="V359" s="1282"/>
      <c r="W359" s="1282"/>
      <c r="X359" s="1282"/>
      <c r="Y359" s="1282"/>
      <c r="Z359" s="1282"/>
    </row>
    <row r="360">
      <c r="A360" s="1282"/>
      <c r="B360" s="1282"/>
      <c r="C360" s="1282"/>
      <c r="D360" s="1282"/>
      <c r="E360" s="1282"/>
      <c r="F360" s="1282"/>
      <c r="G360" s="1282"/>
      <c r="H360" s="1282"/>
      <c r="I360" s="1282"/>
      <c r="J360" s="1282"/>
      <c r="K360" s="1282"/>
      <c r="L360" s="1282"/>
      <c r="M360" s="1282"/>
      <c r="N360" s="1282"/>
      <c r="O360" s="1282"/>
      <c r="P360" s="1282"/>
      <c r="Q360" s="1282"/>
      <c r="R360" s="1282"/>
      <c r="S360" s="1282"/>
      <c r="T360" s="1282"/>
      <c r="U360" s="1282"/>
      <c r="V360" s="1282"/>
      <c r="W360" s="1282"/>
      <c r="X360" s="1282"/>
      <c r="Y360" s="1282"/>
      <c r="Z360" s="1282"/>
    </row>
    <row r="361">
      <c r="A361" s="1282"/>
      <c r="B361" s="1282"/>
      <c r="C361" s="1282"/>
      <c r="D361" s="1282"/>
      <c r="E361" s="1282"/>
      <c r="F361" s="1282"/>
      <c r="G361" s="1282"/>
      <c r="H361" s="1282"/>
      <c r="I361" s="1282"/>
      <c r="J361" s="1282"/>
      <c r="K361" s="1282"/>
      <c r="L361" s="1282"/>
      <c r="M361" s="1282"/>
      <c r="N361" s="1282"/>
      <c r="O361" s="1282"/>
      <c r="P361" s="1282"/>
      <c r="Q361" s="1282"/>
      <c r="R361" s="1282"/>
      <c r="S361" s="1282"/>
      <c r="T361" s="1282"/>
      <c r="U361" s="1282"/>
      <c r="V361" s="1282"/>
      <c r="W361" s="1282"/>
      <c r="X361" s="1282"/>
      <c r="Y361" s="1282"/>
      <c r="Z361" s="1282"/>
    </row>
    <row r="362">
      <c r="A362" s="1282"/>
      <c r="B362" s="1282"/>
      <c r="C362" s="1282"/>
      <c r="D362" s="1282"/>
      <c r="E362" s="1282"/>
      <c r="F362" s="1282"/>
      <c r="G362" s="1282"/>
      <c r="H362" s="1282"/>
      <c r="I362" s="1282"/>
      <c r="J362" s="1282"/>
      <c r="K362" s="1282"/>
      <c r="L362" s="1282"/>
      <c r="M362" s="1282"/>
      <c r="N362" s="1282"/>
      <c r="O362" s="1282"/>
      <c r="P362" s="1282"/>
      <c r="Q362" s="1282"/>
      <c r="R362" s="1282"/>
      <c r="S362" s="1282"/>
      <c r="T362" s="1282"/>
      <c r="U362" s="1282"/>
      <c r="V362" s="1282"/>
      <c r="W362" s="1282"/>
      <c r="X362" s="1282"/>
      <c r="Y362" s="1282"/>
      <c r="Z362" s="1282"/>
    </row>
    <row r="363">
      <c r="A363" s="1282"/>
      <c r="B363" s="1282"/>
      <c r="C363" s="1282"/>
      <c r="D363" s="1282"/>
      <c r="E363" s="1282"/>
      <c r="F363" s="1282"/>
      <c r="G363" s="1282"/>
      <c r="H363" s="1282"/>
      <c r="I363" s="1282"/>
      <c r="J363" s="1282"/>
      <c r="K363" s="1282"/>
      <c r="L363" s="1282"/>
      <c r="M363" s="1282"/>
      <c r="N363" s="1282"/>
      <c r="O363" s="1282"/>
      <c r="P363" s="1282"/>
      <c r="Q363" s="1282"/>
      <c r="R363" s="1282"/>
      <c r="S363" s="1282"/>
      <c r="T363" s="1282"/>
      <c r="U363" s="1282"/>
      <c r="V363" s="1282"/>
      <c r="W363" s="1282"/>
      <c r="X363" s="1282"/>
      <c r="Y363" s="1282"/>
      <c r="Z363" s="1282"/>
    </row>
    <row r="364">
      <c r="A364" s="1282"/>
      <c r="B364" s="1282"/>
      <c r="C364" s="1282"/>
      <c r="D364" s="1282"/>
      <c r="E364" s="1282"/>
      <c r="F364" s="1282"/>
      <c r="G364" s="1282"/>
      <c r="H364" s="1282"/>
      <c r="I364" s="1282"/>
      <c r="J364" s="1282"/>
      <c r="K364" s="1282"/>
      <c r="L364" s="1282"/>
      <c r="M364" s="1282"/>
      <c r="N364" s="1282"/>
      <c r="O364" s="1282"/>
      <c r="P364" s="1282"/>
      <c r="Q364" s="1282"/>
      <c r="R364" s="1282"/>
      <c r="S364" s="1282"/>
      <c r="T364" s="1282"/>
      <c r="U364" s="1282"/>
      <c r="V364" s="1282"/>
      <c r="W364" s="1282"/>
      <c r="X364" s="1282"/>
      <c r="Y364" s="1282"/>
      <c r="Z364" s="1282"/>
    </row>
    <row r="365">
      <c r="A365" s="1282"/>
      <c r="B365" s="1282"/>
      <c r="C365" s="1282"/>
      <c r="D365" s="1282"/>
      <c r="E365" s="1282"/>
      <c r="F365" s="1282"/>
      <c r="G365" s="1282"/>
      <c r="H365" s="1282"/>
      <c r="I365" s="1282"/>
      <c r="J365" s="1282"/>
      <c r="K365" s="1282"/>
      <c r="L365" s="1282"/>
      <c r="M365" s="1282"/>
      <c r="N365" s="1282"/>
      <c r="O365" s="1282"/>
      <c r="P365" s="1282"/>
      <c r="Q365" s="1282"/>
      <c r="R365" s="1282"/>
      <c r="S365" s="1282"/>
      <c r="T365" s="1282"/>
      <c r="U365" s="1282"/>
      <c r="V365" s="1282"/>
      <c r="W365" s="1282"/>
      <c r="X365" s="1282"/>
      <c r="Y365" s="1282"/>
      <c r="Z365" s="1282"/>
    </row>
    <row r="366">
      <c r="A366" s="1282"/>
      <c r="B366" s="1282"/>
      <c r="C366" s="1282"/>
      <c r="D366" s="1282"/>
      <c r="E366" s="1282"/>
      <c r="F366" s="1282"/>
      <c r="G366" s="1282"/>
      <c r="H366" s="1282"/>
      <c r="I366" s="1282"/>
      <c r="J366" s="1282"/>
      <c r="K366" s="1282"/>
      <c r="L366" s="1282"/>
      <c r="M366" s="1282"/>
      <c r="N366" s="1282"/>
      <c r="O366" s="1282"/>
      <c r="P366" s="1282"/>
      <c r="Q366" s="1282"/>
      <c r="R366" s="1282"/>
      <c r="S366" s="1282"/>
      <c r="T366" s="1282"/>
      <c r="U366" s="1282"/>
      <c r="V366" s="1282"/>
      <c r="W366" s="1282"/>
      <c r="X366" s="1282"/>
      <c r="Y366" s="1282"/>
      <c r="Z366" s="1282"/>
    </row>
    <row r="367">
      <c r="A367" s="1282"/>
      <c r="B367" s="1282"/>
      <c r="C367" s="1282"/>
      <c r="D367" s="1282"/>
      <c r="E367" s="1282"/>
      <c r="F367" s="1282"/>
      <c r="G367" s="1282"/>
      <c r="H367" s="1282"/>
      <c r="I367" s="1282"/>
      <c r="J367" s="1282"/>
      <c r="K367" s="1282"/>
      <c r="L367" s="1282"/>
      <c r="M367" s="1282"/>
      <c r="N367" s="1282"/>
      <c r="O367" s="1282"/>
      <c r="P367" s="1282"/>
      <c r="Q367" s="1282"/>
      <c r="R367" s="1282"/>
      <c r="S367" s="1282"/>
      <c r="T367" s="1282"/>
      <c r="U367" s="1282"/>
      <c r="V367" s="1282"/>
      <c r="W367" s="1282"/>
      <c r="X367" s="1282"/>
      <c r="Y367" s="1282"/>
      <c r="Z367" s="1282"/>
    </row>
    <row r="368">
      <c r="A368" s="1282"/>
      <c r="B368" s="1282"/>
      <c r="C368" s="1282"/>
      <c r="D368" s="1282"/>
      <c r="E368" s="1282"/>
      <c r="F368" s="1282"/>
      <c r="G368" s="1282"/>
      <c r="H368" s="1282"/>
      <c r="I368" s="1282"/>
      <c r="J368" s="1282"/>
      <c r="K368" s="1282"/>
      <c r="L368" s="1282"/>
      <c r="M368" s="1282"/>
      <c r="N368" s="1282"/>
      <c r="O368" s="1282"/>
      <c r="P368" s="1282"/>
      <c r="Q368" s="1282"/>
      <c r="R368" s="1282"/>
      <c r="S368" s="1282"/>
      <c r="T368" s="1282"/>
      <c r="U368" s="1282"/>
      <c r="V368" s="1282"/>
      <c r="W368" s="1282"/>
      <c r="X368" s="1282"/>
      <c r="Y368" s="1282"/>
      <c r="Z368" s="1282"/>
    </row>
    <row r="369">
      <c r="A369" s="1282"/>
      <c r="B369" s="1282"/>
      <c r="C369" s="1282"/>
      <c r="D369" s="1282"/>
      <c r="E369" s="1282"/>
      <c r="F369" s="1282"/>
      <c r="G369" s="1282"/>
      <c r="H369" s="1282"/>
      <c r="I369" s="1282"/>
      <c r="J369" s="1282"/>
      <c r="K369" s="1282"/>
      <c r="L369" s="1282"/>
      <c r="M369" s="1282"/>
      <c r="N369" s="1282"/>
      <c r="O369" s="1282"/>
      <c r="P369" s="1282"/>
      <c r="Q369" s="1282"/>
      <c r="R369" s="1282"/>
      <c r="S369" s="1282"/>
      <c r="T369" s="1282"/>
      <c r="U369" s="1282"/>
      <c r="V369" s="1282"/>
      <c r="W369" s="1282"/>
      <c r="X369" s="1282"/>
      <c r="Y369" s="1282"/>
      <c r="Z369" s="1282"/>
    </row>
    <row r="370">
      <c r="A370" s="1282"/>
      <c r="B370" s="1282"/>
      <c r="C370" s="1282"/>
      <c r="D370" s="1282"/>
      <c r="E370" s="1282"/>
      <c r="F370" s="1282"/>
      <c r="G370" s="1282"/>
      <c r="H370" s="1282"/>
      <c r="I370" s="1282"/>
      <c r="J370" s="1282"/>
      <c r="K370" s="1282"/>
      <c r="L370" s="1282"/>
      <c r="M370" s="1282"/>
      <c r="N370" s="1282"/>
      <c r="O370" s="1282"/>
      <c r="P370" s="1282"/>
      <c r="Q370" s="1282"/>
      <c r="R370" s="1282"/>
      <c r="S370" s="1282"/>
      <c r="T370" s="1282"/>
      <c r="U370" s="1282"/>
      <c r="V370" s="1282"/>
      <c r="W370" s="1282"/>
      <c r="X370" s="1282"/>
      <c r="Y370" s="1282"/>
      <c r="Z370" s="1282"/>
    </row>
    <row r="371">
      <c r="A371" s="1282"/>
      <c r="B371" s="1282"/>
      <c r="C371" s="1282"/>
      <c r="D371" s="1282"/>
      <c r="E371" s="1282"/>
      <c r="F371" s="1282"/>
      <c r="G371" s="1282"/>
      <c r="H371" s="1282"/>
      <c r="I371" s="1282"/>
      <c r="J371" s="1282"/>
      <c r="K371" s="1282"/>
      <c r="L371" s="1282"/>
      <c r="M371" s="1282"/>
      <c r="N371" s="1282"/>
      <c r="O371" s="1282"/>
      <c r="P371" s="1282"/>
      <c r="Q371" s="1282"/>
      <c r="R371" s="1282"/>
      <c r="S371" s="1282"/>
      <c r="T371" s="1282"/>
      <c r="U371" s="1282"/>
      <c r="V371" s="1282"/>
      <c r="W371" s="1282"/>
      <c r="X371" s="1282"/>
      <c r="Y371" s="1282"/>
      <c r="Z371" s="1282"/>
    </row>
    <row r="372">
      <c r="A372" s="1282"/>
      <c r="B372" s="1282"/>
      <c r="C372" s="1282"/>
      <c r="D372" s="1282"/>
      <c r="E372" s="1282"/>
      <c r="F372" s="1282"/>
      <c r="G372" s="1282"/>
      <c r="H372" s="1282"/>
      <c r="I372" s="1282"/>
      <c r="J372" s="1282"/>
      <c r="K372" s="1282"/>
      <c r="L372" s="1282"/>
      <c r="M372" s="1282"/>
      <c r="N372" s="1282"/>
      <c r="O372" s="1282"/>
      <c r="P372" s="1282"/>
      <c r="Q372" s="1282"/>
      <c r="R372" s="1282"/>
      <c r="S372" s="1282"/>
      <c r="T372" s="1282"/>
      <c r="U372" s="1282"/>
      <c r="V372" s="1282"/>
      <c r="W372" s="1282"/>
      <c r="X372" s="1282"/>
      <c r="Y372" s="1282"/>
      <c r="Z372" s="1282"/>
    </row>
    <row r="373">
      <c r="A373" s="1282"/>
      <c r="B373" s="1282"/>
      <c r="C373" s="1282"/>
      <c r="D373" s="1282"/>
      <c r="E373" s="1282"/>
      <c r="F373" s="1282"/>
      <c r="G373" s="1282"/>
      <c r="H373" s="1282"/>
      <c r="I373" s="1282"/>
      <c r="J373" s="1282"/>
      <c r="K373" s="1282"/>
      <c r="L373" s="1282"/>
      <c r="M373" s="1282"/>
      <c r="N373" s="1282"/>
      <c r="O373" s="1282"/>
      <c r="P373" s="1282"/>
      <c r="Q373" s="1282"/>
      <c r="R373" s="1282"/>
      <c r="S373" s="1282"/>
      <c r="T373" s="1282"/>
      <c r="U373" s="1282"/>
      <c r="V373" s="1282"/>
      <c r="W373" s="1282"/>
      <c r="X373" s="1282"/>
      <c r="Y373" s="1282"/>
      <c r="Z373" s="1282"/>
    </row>
    <row r="374">
      <c r="A374" s="1282"/>
      <c r="B374" s="1282"/>
      <c r="C374" s="1282"/>
      <c r="D374" s="1282"/>
      <c r="E374" s="1282"/>
      <c r="F374" s="1282"/>
      <c r="G374" s="1282"/>
      <c r="H374" s="1282"/>
      <c r="I374" s="1282"/>
      <c r="J374" s="1282"/>
      <c r="K374" s="1282"/>
      <c r="L374" s="1282"/>
      <c r="M374" s="1282"/>
      <c r="N374" s="1282"/>
      <c r="O374" s="1282"/>
      <c r="P374" s="1282"/>
      <c r="Q374" s="1282"/>
      <c r="R374" s="1282"/>
      <c r="S374" s="1282"/>
      <c r="T374" s="1282"/>
      <c r="U374" s="1282"/>
      <c r="V374" s="1282"/>
      <c r="W374" s="1282"/>
      <c r="X374" s="1282"/>
      <c r="Y374" s="1282"/>
      <c r="Z374" s="1282"/>
    </row>
    <row r="375">
      <c r="A375" s="1282"/>
      <c r="B375" s="1282"/>
      <c r="C375" s="1282"/>
      <c r="D375" s="1282"/>
      <c r="E375" s="1282"/>
      <c r="F375" s="1282"/>
      <c r="G375" s="1282"/>
      <c r="H375" s="1282"/>
      <c r="I375" s="1282"/>
      <c r="J375" s="1282"/>
      <c r="K375" s="1282"/>
      <c r="L375" s="1282"/>
      <c r="M375" s="1282"/>
      <c r="N375" s="1282"/>
      <c r="O375" s="1282"/>
      <c r="P375" s="1282"/>
      <c r="Q375" s="1282"/>
      <c r="R375" s="1282"/>
      <c r="S375" s="1282"/>
      <c r="T375" s="1282"/>
      <c r="U375" s="1282"/>
      <c r="V375" s="1282"/>
      <c r="W375" s="1282"/>
      <c r="X375" s="1282"/>
      <c r="Y375" s="1282"/>
      <c r="Z375" s="1282"/>
    </row>
    <row r="376">
      <c r="A376" s="1282"/>
      <c r="B376" s="1282"/>
      <c r="C376" s="1282"/>
      <c r="D376" s="1282"/>
      <c r="E376" s="1282"/>
      <c r="F376" s="1282"/>
      <c r="G376" s="1282"/>
      <c r="H376" s="1282"/>
      <c r="I376" s="1282"/>
      <c r="J376" s="1282"/>
      <c r="K376" s="1282"/>
      <c r="L376" s="1282"/>
      <c r="M376" s="1282"/>
      <c r="N376" s="1282"/>
      <c r="O376" s="1282"/>
      <c r="P376" s="1282"/>
      <c r="Q376" s="1282"/>
      <c r="R376" s="1282"/>
      <c r="S376" s="1282"/>
      <c r="T376" s="1282"/>
      <c r="U376" s="1282"/>
      <c r="V376" s="1282"/>
      <c r="W376" s="1282"/>
      <c r="X376" s="1282"/>
      <c r="Y376" s="1282"/>
      <c r="Z376" s="1282"/>
    </row>
    <row r="377">
      <c r="A377" s="1282"/>
      <c r="B377" s="1282"/>
      <c r="C377" s="1282"/>
      <c r="D377" s="1282"/>
      <c r="E377" s="1282"/>
      <c r="F377" s="1282"/>
      <c r="G377" s="1282"/>
      <c r="H377" s="1282"/>
      <c r="I377" s="1282"/>
      <c r="J377" s="1282"/>
      <c r="K377" s="1282"/>
      <c r="L377" s="1282"/>
      <c r="M377" s="1282"/>
      <c r="N377" s="1282"/>
      <c r="O377" s="1282"/>
      <c r="P377" s="1282"/>
      <c r="Q377" s="1282"/>
      <c r="R377" s="1282"/>
      <c r="S377" s="1282"/>
      <c r="T377" s="1282"/>
      <c r="U377" s="1282"/>
      <c r="V377" s="1282"/>
      <c r="W377" s="1282"/>
      <c r="X377" s="1282"/>
      <c r="Y377" s="1282"/>
      <c r="Z377" s="1282"/>
    </row>
    <row r="378">
      <c r="A378" s="1282"/>
      <c r="B378" s="1282"/>
      <c r="C378" s="1282"/>
      <c r="D378" s="1282"/>
      <c r="E378" s="1282"/>
      <c r="F378" s="1282"/>
      <c r="G378" s="1282"/>
      <c r="H378" s="1282"/>
      <c r="I378" s="1282"/>
      <c r="J378" s="1282"/>
      <c r="K378" s="1282"/>
      <c r="L378" s="1282"/>
      <c r="M378" s="1282"/>
      <c r="N378" s="1282"/>
      <c r="O378" s="1282"/>
      <c r="P378" s="1282"/>
      <c r="Q378" s="1282"/>
      <c r="R378" s="1282"/>
      <c r="S378" s="1282"/>
      <c r="T378" s="1282"/>
      <c r="U378" s="1282"/>
      <c r="V378" s="1282"/>
      <c r="W378" s="1282"/>
      <c r="X378" s="1282"/>
      <c r="Y378" s="1282"/>
      <c r="Z378" s="1282"/>
    </row>
    <row r="379">
      <c r="A379" s="1282"/>
      <c r="B379" s="1282"/>
      <c r="C379" s="1282"/>
      <c r="D379" s="1282"/>
      <c r="E379" s="1282"/>
      <c r="F379" s="1282"/>
      <c r="G379" s="1282"/>
      <c r="H379" s="1282"/>
      <c r="I379" s="1282"/>
      <c r="J379" s="1282"/>
      <c r="K379" s="1282"/>
      <c r="L379" s="1282"/>
      <c r="M379" s="1282"/>
      <c r="N379" s="1282"/>
      <c r="O379" s="1282"/>
      <c r="P379" s="1282"/>
      <c r="Q379" s="1282"/>
      <c r="R379" s="1282"/>
      <c r="S379" s="1282"/>
      <c r="T379" s="1282"/>
      <c r="U379" s="1282"/>
      <c r="V379" s="1282"/>
      <c r="W379" s="1282"/>
      <c r="X379" s="1282"/>
      <c r="Y379" s="1282"/>
      <c r="Z379" s="1282"/>
    </row>
    <row r="380">
      <c r="A380" s="1282"/>
      <c r="B380" s="1282"/>
      <c r="C380" s="1282"/>
      <c r="D380" s="1282"/>
      <c r="E380" s="1282"/>
      <c r="F380" s="1282"/>
      <c r="G380" s="1282"/>
      <c r="H380" s="1282"/>
      <c r="I380" s="1282"/>
      <c r="J380" s="1282"/>
      <c r="K380" s="1282"/>
      <c r="L380" s="1282"/>
      <c r="M380" s="1282"/>
      <c r="N380" s="1282"/>
      <c r="O380" s="1282"/>
      <c r="P380" s="1282"/>
      <c r="Q380" s="1282"/>
      <c r="R380" s="1282"/>
      <c r="S380" s="1282"/>
      <c r="T380" s="1282"/>
      <c r="U380" s="1282"/>
      <c r="V380" s="1282"/>
      <c r="W380" s="1282"/>
      <c r="X380" s="1282"/>
      <c r="Y380" s="1282"/>
      <c r="Z380" s="1282"/>
    </row>
    <row r="381">
      <c r="A381" s="1282"/>
      <c r="B381" s="1282"/>
      <c r="C381" s="1282"/>
      <c r="D381" s="1282"/>
      <c r="E381" s="1282"/>
      <c r="F381" s="1282"/>
      <c r="G381" s="1282"/>
      <c r="H381" s="1282"/>
      <c r="I381" s="1282"/>
      <c r="J381" s="1282"/>
      <c r="K381" s="1282"/>
      <c r="L381" s="1282"/>
      <c r="M381" s="1282"/>
      <c r="N381" s="1282"/>
      <c r="O381" s="1282"/>
      <c r="P381" s="1282"/>
      <c r="Q381" s="1282"/>
      <c r="R381" s="1282"/>
      <c r="S381" s="1282"/>
      <c r="T381" s="1282"/>
      <c r="U381" s="1282"/>
      <c r="V381" s="1282"/>
      <c r="W381" s="1282"/>
      <c r="X381" s="1282"/>
      <c r="Y381" s="1282"/>
      <c r="Z381" s="1282"/>
    </row>
    <row r="382">
      <c r="A382" s="1282"/>
      <c r="B382" s="1282"/>
      <c r="C382" s="1282"/>
      <c r="D382" s="1282"/>
      <c r="E382" s="1282"/>
      <c r="F382" s="1282"/>
      <c r="G382" s="1282"/>
      <c r="H382" s="1282"/>
      <c r="I382" s="1282"/>
      <c r="J382" s="1282"/>
      <c r="K382" s="1282"/>
      <c r="L382" s="1282"/>
      <c r="M382" s="1282"/>
      <c r="N382" s="1282"/>
      <c r="O382" s="1282"/>
      <c r="P382" s="1282"/>
      <c r="Q382" s="1282"/>
      <c r="R382" s="1282"/>
      <c r="S382" s="1282"/>
      <c r="T382" s="1282"/>
      <c r="U382" s="1282"/>
      <c r="V382" s="1282"/>
      <c r="W382" s="1282"/>
      <c r="X382" s="1282"/>
      <c r="Y382" s="1282"/>
      <c r="Z382" s="1282"/>
    </row>
    <row r="383">
      <c r="A383" s="1282"/>
      <c r="B383" s="1282"/>
      <c r="C383" s="1282"/>
      <c r="D383" s="1282"/>
      <c r="E383" s="1282"/>
      <c r="F383" s="1282"/>
      <c r="G383" s="1282"/>
      <c r="H383" s="1282"/>
      <c r="I383" s="1282"/>
      <c r="J383" s="1282"/>
      <c r="K383" s="1282"/>
      <c r="L383" s="1282"/>
      <c r="M383" s="1282"/>
      <c r="N383" s="1282"/>
      <c r="O383" s="1282"/>
      <c r="P383" s="1282"/>
      <c r="Q383" s="1282"/>
      <c r="R383" s="1282"/>
      <c r="S383" s="1282"/>
      <c r="T383" s="1282"/>
      <c r="U383" s="1282"/>
      <c r="V383" s="1282"/>
      <c r="W383" s="1282"/>
      <c r="X383" s="1282"/>
      <c r="Y383" s="1282"/>
      <c r="Z383" s="1282"/>
    </row>
    <row r="384">
      <c r="A384" s="1282"/>
      <c r="B384" s="1282"/>
      <c r="C384" s="1282"/>
      <c r="D384" s="1282"/>
      <c r="E384" s="1282"/>
      <c r="F384" s="1282"/>
      <c r="G384" s="1282"/>
      <c r="H384" s="1282"/>
      <c r="I384" s="1282"/>
      <c r="J384" s="1282"/>
      <c r="K384" s="1282"/>
      <c r="L384" s="1282"/>
      <c r="M384" s="1282"/>
      <c r="N384" s="1282"/>
      <c r="O384" s="1282"/>
      <c r="P384" s="1282"/>
      <c r="Q384" s="1282"/>
      <c r="R384" s="1282"/>
      <c r="S384" s="1282"/>
      <c r="T384" s="1282"/>
      <c r="U384" s="1282"/>
      <c r="V384" s="1282"/>
      <c r="W384" s="1282"/>
      <c r="X384" s="1282"/>
      <c r="Y384" s="1282"/>
      <c r="Z384" s="1282"/>
    </row>
    <row r="385">
      <c r="A385" s="1282"/>
      <c r="B385" s="1282"/>
      <c r="C385" s="1282"/>
      <c r="D385" s="1282"/>
      <c r="E385" s="1282"/>
      <c r="F385" s="1282"/>
      <c r="G385" s="1282"/>
      <c r="H385" s="1282"/>
      <c r="I385" s="1282"/>
      <c r="J385" s="1282"/>
      <c r="K385" s="1282"/>
      <c r="L385" s="1282"/>
      <c r="M385" s="1282"/>
      <c r="N385" s="1282"/>
      <c r="O385" s="1282"/>
      <c r="P385" s="1282"/>
      <c r="Q385" s="1282"/>
      <c r="R385" s="1282"/>
      <c r="S385" s="1282"/>
      <c r="T385" s="1282"/>
      <c r="U385" s="1282"/>
      <c r="V385" s="1282"/>
      <c r="W385" s="1282"/>
      <c r="X385" s="1282"/>
      <c r="Y385" s="1282"/>
      <c r="Z385" s="1282"/>
    </row>
    <row r="386">
      <c r="A386" s="1282"/>
      <c r="B386" s="1282"/>
      <c r="C386" s="1282"/>
      <c r="D386" s="1282"/>
      <c r="E386" s="1282"/>
      <c r="F386" s="1282"/>
      <c r="G386" s="1282"/>
      <c r="H386" s="1282"/>
      <c r="I386" s="1282"/>
      <c r="J386" s="1282"/>
      <c r="K386" s="1282"/>
      <c r="L386" s="1282"/>
      <c r="M386" s="1282"/>
      <c r="N386" s="1282"/>
      <c r="O386" s="1282"/>
      <c r="P386" s="1282"/>
      <c r="Q386" s="1282"/>
      <c r="R386" s="1282"/>
      <c r="S386" s="1282"/>
      <c r="T386" s="1282"/>
      <c r="U386" s="1282"/>
      <c r="V386" s="1282"/>
      <c r="W386" s="1282"/>
      <c r="X386" s="1282"/>
      <c r="Y386" s="1282"/>
      <c r="Z386" s="1282"/>
    </row>
    <row r="387">
      <c r="A387" s="1282"/>
      <c r="B387" s="1282"/>
      <c r="C387" s="1282"/>
      <c r="D387" s="1282"/>
      <c r="E387" s="1282"/>
      <c r="F387" s="1282"/>
      <c r="G387" s="1282"/>
      <c r="H387" s="1282"/>
      <c r="I387" s="1282"/>
      <c r="J387" s="1282"/>
      <c r="K387" s="1282"/>
      <c r="L387" s="1282"/>
      <c r="M387" s="1282"/>
      <c r="N387" s="1282"/>
      <c r="O387" s="1282"/>
      <c r="P387" s="1282"/>
      <c r="Q387" s="1282"/>
      <c r="R387" s="1282"/>
      <c r="S387" s="1282"/>
      <c r="T387" s="1282"/>
      <c r="U387" s="1282"/>
      <c r="V387" s="1282"/>
      <c r="W387" s="1282"/>
      <c r="X387" s="1282"/>
      <c r="Y387" s="1282"/>
      <c r="Z387" s="1282"/>
    </row>
    <row r="388">
      <c r="A388" s="1282"/>
      <c r="B388" s="1282"/>
      <c r="C388" s="1282"/>
      <c r="D388" s="1282"/>
      <c r="E388" s="1282"/>
      <c r="F388" s="1282"/>
      <c r="G388" s="1282"/>
      <c r="H388" s="1282"/>
      <c r="I388" s="1282"/>
      <c r="J388" s="1282"/>
      <c r="K388" s="1282"/>
      <c r="L388" s="1282"/>
      <c r="M388" s="1282"/>
      <c r="N388" s="1282"/>
      <c r="O388" s="1282"/>
      <c r="P388" s="1282"/>
      <c r="Q388" s="1282"/>
      <c r="R388" s="1282"/>
      <c r="S388" s="1282"/>
      <c r="T388" s="1282"/>
      <c r="U388" s="1282"/>
      <c r="V388" s="1282"/>
      <c r="W388" s="1282"/>
      <c r="X388" s="1282"/>
      <c r="Y388" s="1282"/>
      <c r="Z388" s="1282"/>
    </row>
    <row r="389">
      <c r="A389" s="1282"/>
      <c r="B389" s="1282"/>
      <c r="C389" s="1282"/>
      <c r="D389" s="1282"/>
      <c r="E389" s="1282"/>
      <c r="F389" s="1282"/>
      <c r="G389" s="1282"/>
      <c r="H389" s="1282"/>
      <c r="I389" s="1282"/>
      <c r="J389" s="1282"/>
      <c r="K389" s="1282"/>
      <c r="L389" s="1282"/>
      <c r="M389" s="1282"/>
      <c r="N389" s="1282"/>
      <c r="O389" s="1282"/>
      <c r="P389" s="1282"/>
      <c r="Q389" s="1282"/>
      <c r="R389" s="1282"/>
      <c r="S389" s="1282"/>
      <c r="T389" s="1282"/>
      <c r="U389" s="1282"/>
      <c r="V389" s="1282"/>
      <c r="W389" s="1282"/>
      <c r="X389" s="1282"/>
      <c r="Y389" s="1282"/>
      <c r="Z389" s="1282"/>
    </row>
    <row r="390">
      <c r="A390" s="1282"/>
      <c r="B390" s="1282"/>
      <c r="C390" s="1282"/>
      <c r="D390" s="1282"/>
      <c r="E390" s="1282"/>
      <c r="F390" s="1282"/>
      <c r="G390" s="1282"/>
      <c r="H390" s="1282"/>
      <c r="I390" s="1282"/>
      <c r="J390" s="1282"/>
      <c r="K390" s="1282"/>
      <c r="L390" s="1282"/>
      <c r="M390" s="1282"/>
      <c r="N390" s="1282"/>
      <c r="O390" s="1282"/>
      <c r="P390" s="1282"/>
      <c r="Q390" s="1282"/>
      <c r="R390" s="1282"/>
      <c r="S390" s="1282"/>
      <c r="T390" s="1282"/>
      <c r="U390" s="1282"/>
      <c r="V390" s="1282"/>
      <c r="W390" s="1282"/>
      <c r="X390" s="1282"/>
      <c r="Y390" s="1282"/>
      <c r="Z390" s="1282"/>
    </row>
    <row r="391">
      <c r="A391" s="1282"/>
      <c r="B391" s="1282"/>
      <c r="C391" s="1282"/>
      <c r="D391" s="1282"/>
      <c r="E391" s="1282"/>
      <c r="F391" s="1282"/>
      <c r="G391" s="1282"/>
      <c r="H391" s="1282"/>
      <c r="I391" s="1282"/>
      <c r="J391" s="1282"/>
      <c r="K391" s="1282"/>
      <c r="L391" s="1282"/>
      <c r="M391" s="1282"/>
      <c r="N391" s="1282"/>
      <c r="O391" s="1282"/>
      <c r="P391" s="1282"/>
      <c r="Q391" s="1282"/>
      <c r="R391" s="1282"/>
      <c r="S391" s="1282"/>
      <c r="T391" s="1282"/>
      <c r="U391" s="1282"/>
      <c r="V391" s="1282"/>
      <c r="W391" s="1282"/>
      <c r="X391" s="1282"/>
      <c r="Y391" s="1282"/>
      <c r="Z391" s="1282"/>
    </row>
    <row r="392">
      <c r="A392" s="1282"/>
      <c r="B392" s="1282"/>
      <c r="C392" s="1282"/>
      <c r="D392" s="1282"/>
      <c r="E392" s="1282"/>
      <c r="F392" s="1282"/>
      <c r="G392" s="1282"/>
      <c r="H392" s="1282"/>
      <c r="I392" s="1282"/>
      <c r="J392" s="1282"/>
      <c r="K392" s="1282"/>
      <c r="L392" s="1282"/>
      <c r="M392" s="1282"/>
      <c r="N392" s="1282"/>
      <c r="O392" s="1282"/>
      <c r="P392" s="1282"/>
      <c r="Q392" s="1282"/>
      <c r="R392" s="1282"/>
      <c r="S392" s="1282"/>
      <c r="T392" s="1282"/>
      <c r="U392" s="1282"/>
      <c r="V392" s="1282"/>
      <c r="W392" s="1282"/>
      <c r="X392" s="1282"/>
      <c r="Y392" s="1282"/>
      <c r="Z392" s="1282"/>
    </row>
    <row r="393">
      <c r="A393" s="1282"/>
      <c r="B393" s="1282"/>
      <c r="C393" s="1282"/>
      <c r="D393" s="1282"/>
      <c r="E393" s="1282"/>
      <c r="F393" s="1282"/>
      <c r="G393" s="1282"/>
      <c r="H393" s="1282"/>
      <c r="I393" s="1282"/>
      <c r="J393" s="1282"/>
      <c r="K393" s="1282"/>
      <c r="L393" s="1282"/>
      <c r="M393" s="1282"/>
      <c r="N393" s="1282"/>
      <c r="O393" s="1282"/>
      <c r="P393" s="1282"/>
      <c r="Q393" s="1282"/>
      <c r="R393" s="1282"/>
      <c r="S393" s="1282"/>
      <c r="T393" s="1282"/>
      <c r="U393" s="1282"/>
      <c r="V393" s="1282"/>
      <c r="W393" s="1282"/>
      <c r="X393" s="1282"/>
      <c r="Y393" s="1282"/>
      <c r="Z393" s="1282"/>
    </row>
    <row r="394">
      <c r="A394" s="1282"/>
      <c r="B394" s="1282"/>
      <c r="C394" s="1282"/>
      <c r="D394" s="1282"/>
      <c r="E394" s="1282"/>
      <c r="F394" s="1282"/>
      <c r="G394" s="1282"/>
      <c r="H394" s="1282"/>
      <c r="I394" s="1282"/>
      <c r="J394" s="1282"/>
      <c r="K394" s="1282"/>
      <c r="L394" s="1282"/>
      <c r="M394" s="1282"/>
      <c r="N394" s="1282"/>
      <c r="O394" s="1282"/>
      <c r="P394" s="1282"/>
      <c r="Q394" s="1282"/>
      <c r="R394" s="1282"/>
      <c r="S394" s="1282"/>
      <c r="T394" s="1282"/>
      <c r="U394" s="1282"/>
      <c r="V394" s="1282"/>
      <c r="W394" s="1282"/>
      <c r="X394" s="1282"/>
      <c r="Y394" s="1282"/>
      <c r="Z394" s="1282"/>
    </row>
    <row r="395">
      <c r="A395" s="1282"/>
      <c r="B395" s="1282"/>
      <c r="C395" s="1282"/>
      <c r="D395" s="1282"/>
      <c r="E395" s="1282"/>
      <c r="F395" s="1282"/>
      <c r="G395" s="1282"/>
      <c r="H395" s="1282"/>
      <c r="I395" s="1282"/>
      <c r="J395" s="1282"/>
      <c r="K395" s="1282"/>
      <c r="L395" s="1282"/>
      <c r="M395" s="1282"/>
      <c r="N395" s="1282"/>
      <c r="O395" s="1282"/>
      <c r="P395" s="1282"/>
      <c r="Q395" s="1282"/>
      <c r="R395" s="1282"/>
      <c r="S395" s="1282"/>
      <c r="T395" s="1282"/>
      <c r="U395" s="1282"/>
      <c r="V395" s="1282"/>
      <c r="W395" s="1282"/>
      <c r="X395" s="1282"/>
      <c r="Y395" s="1282"/>
      <c r="Z395" s="1282"/>
    </row>
    <row r="396">
      <c r="A396" s="1282"/>
      <c r="B396" s="1282"/>
      <c r="C396" s="1282"/>
      <c r="D396" s="1282"/>
      <c r="E396" s="1282"/>
      <c r="F396" s="1282"/>
      <c r="G396" s="1282"/>
      <c r="H396" s="1282"/>
      <c r="I396" s="1282"/>
      <c r="J396" s="1282"/>
      <c r="K396" s="1282"/>
      <c r="L396" s="1282"/>
      <c r="M396" s="1282"/>
      <c r="N396" s="1282"/>
      <c r="O396" s="1282"/>
      <c r="P396" s="1282"/>
      <c r="Q396" s="1282"/>
      <c r="R396" s="1282"/>
      <c r="S396" s="1282"/>
      <c r="T396" s="1282"/>
      <c r="U396" s="1282"/>
      <c r="V396" s="1282"/>
      <c r="W396" s="1282"/>
      <c r="X396" s="1282"/>
      <c r="Y396" s="1282"/>
      <c r="Z396" s="1282"/>
    </row>
    <row r="397">
      <c r="A397" s="1282"/>
      <c r="B397" s="1282"/>
      <c r="C397" s="1282"/>
      <c r="D397" s="1282"/>
      <c r="E397" s="1282"/>
      <c r="F397" s="1282"/>
      <c r="G397" s="1282"/>
      <c r="H397" s="1282"/>
      <c r="I397" s="1282"/>
      <c r="J397" s="1282"/>
      <c r="K397" s="1282"/>
      <c r="L397" s="1282"/>
      <c r="M397" s="1282"/>
      <c r="N397" s="1282"/>
      <c r="O397" s="1282"/>
      <c r="P397" s="1282"/>
      <c r="Q397" s="1282"/>
      <c r="R397" s="1282"/>
      <c r="S397" s="1282"/>
      <c r="T397" s="1282"/>
      <c r="U397" s="1282"/>
      <c r="V397" s="1282"/>
      <c r="W397" s="1282"/>
      <c r="X397" s="1282"/>
      <c r="Y397" s="1282"/>
      <c r="Z397" s="1282"/>
    </row>
    <row r="398">
      <c r="A398" s="1282"/>
      <c r="B398" s="1282"/>
      <c r="C398" s="1282"/>
      <c r="D398" s="1282"/>
      <c r="E398" s="1282"/>
      <c r="F398" s="1282"/>
      <c r="G398" s="1282"/>
      <c r="H398" s="1282"/>
      <c r="I398" s="1282"/>
      <c r="J398" s="1282"/>
      <c r="K398" s="1282"/>
      <c r="L398" s="1282"/>
      <c r="M398" s="1282"/>
      <c r="N398" s="1282"/>
      <c r="O398" s="1282"/>
      <c r="P398" s="1282"/>
      <c r="Q398" s="1282"/>
      <c r="R398" s="1282"/>
      <c r="S398" s="1282"/>
      <c r="T398" s="1282"/>
      <c r="U398" s="1282"/>
      <c r="V398" s="1282"/>
      <c r="W398" s="1282"/>
      <c r="X398" s="1282"/>
      <c r="Y398" s="1282"/>
      <c r="Z398" s="1282"/>
    </row>
    <row r="399">
      <c r="A399" s="1282"/>
      <c r="B399" s="1282"/>
      <c r="C399" s="1282"/>
      <c r="D399" s="1282"/>
      <c r="E399" s="1282"/>
      <c r="F399" s="1282"/>
      <c r="G399" s="1282"/>
      <c r="H399" s="1282"/>
      <c r="I399" s="1282"/>
      <c r="J399" s="1282"/>
      <c r="K399" s="1282"/>
      <c r="L399" s="1282"/>
      <c r="M399" s="1282"/>
      <c r="N399" s="1282"/>
      <c r="O399" s="1282"/>
      <c r="P399" s="1282"/>
      <c r="Q399" s="1282"/>
      <c r="R399" s="1282"/>
      <c r="S399" s="1282"/>
      <c r="T399" s="1282"/>
      <c r="U399" s="1282"/>
      <c r="V399" s="1282"/>
      <c r="W399" s="1282"/>
      <c r="X399" s="1282"/>
      <c r="Y399" s="1282"/>
      <c r="Z399" s="1282"/>
    </row>
    <row r="400">
      <c r="A400" s="1282"/>
      <c r="B400" s="1282"/>
      <c r="C400" s="1282"/>
      <c r="D400" s="1282"/>
      <c r="E400" s="1282"/>
      <c r="F400" s="1282"/>
      <c r="G400" s="1282"/>
      <c r="H400" s="1282"/>
      <c r="I400" s="1282"/>
      <c r="J400" s="1282"/>
      <c r="K400" s="1282"/>
      <c r="L400" s="1282"/>
      <c r="M400" s="1282"/>
      <c r="N400" s="1282"/>
      <c r="O400" s="1282"/>
      <c r="P400" s="1282"/>
      <c r="Q400" s="1282"/>
      <c r="R400" s="1282"/>
      <c r="S400" s="1282"/>
      <c r="T400" s="1282"/>
      <c r="U400" s="1282"/>
      <c r="V400" s="1282"/>
      <c r="W400" s="1282"/>
      <c r="X400" s="1282"/>
      <c r="Y400" s="1282"/>
      <c r="Z400" s="1282"/>
    </row>
    <row r="401">
      <c r="A401" s="1282"/>
      <c r="B401" s="1282"/>
      <c r="C401" s="1282"/>
      <c r="D401" s="1282"/>
      <c r="E401" s="1282"/>
      <c r="F401" s="1282"/>
      <c r="G401" s="1282"/>
      <c r="H401" s="1282"/>
      <c r="I401" s="1282"/>
      <c r="J401" s="1282"/>
      <c r="K401" s="1282"/>
      <c r="L401" s="1282"/>
      <c r="M401" s="1282"/>
      <c r="N401" s="1282"/>
      <c r="O401" s="1282"/>
      <c r="P401" s="1282"/>
      <c r="Q401" s="1282"/>
      <c r="R401" s="1282"/>
      <c r="S401" s="1282"/>
      <c r="T401" s="1282"/>
      <c r="U401" s="1282"/>
      <c r="V401" s="1282"/>
      <c r="W401" s="1282"/>
      <c r="X401" s="1282"/>
      <c r="Y401" s="1282"/>
      <c r="Z401" s="1282"/>
    </row>
    <row r="402">
      <c r="A402" s="1282"/>
      <c r="B402" s="1282"/>
      <c r="C402" s="1282"/>
      <c r="D402" s="1282"/>
      <c r="E402" s="1282"/>
      <c r="F402" s="1282"/>
      <c r="G402" s="1282"/>
      <c r="H402" s="1282"/>
      <c r="I402" s="1282"/>
      <c r="J402" s="1282"/>
      <c r="K402" s="1282"/>
      <c r="L402" s="1282"/>
      <c r="M402" s="1282"/>
      <c r="N402" s="1282"/>
      <c r="O402" s="1282"/>
      <c r="P402" s="1282"/>
      <c r="Q402" s="1282"/>
      <c r="R402" s="1282"/>
      <c r="S402" s="1282"/>
      <c r="T402" s="1282"/>
      <c r="U402" s="1282"/>
      <c r="V402" s="1282"/>
      <c r="W402" s="1282"/>
      <c r="X402" s="1282"/>
      <c r="Y402" s="1282"/>
      <c r="Z402" s="1282"/>
    </row>
    <row r="403">
      <c r="A403" s="1282"/>
      <c r="B403" s="1282"/>
      <c r="C403" s="1282"/>
      <c r="D403" s="1282"/>
      <c r="E403" s="1282"/>
      <c r="F403" s="1282"/>
      <c r="G403" s="1282"/>
      <c r="H403" s="1282"/>
      <c r="I403" s="1282"/>
      <c r="J403" s="1282"/>
      <c r="K403" s="1282"/>
      <c r="L403" s="1282"/>
      <c r="M403" s="1282"/>
      <c r="N403" s="1282"/>
      <c r="O403" s="1282"/>
      <c r="P403" s="1282"/>
      <c r="Q403" s="1282"/>
      <c r="R403" s="1282"/>
      <c r="S403" s="1282"/>
      <c r="T403" s="1282"/>
      <c r="U403" s="1282"/>
      <c r="V403" s="1282"/>
      <c r="W403" s="1282"/>
      <c r="X403" s="1282"/>
      <c r="Y403" s="1282"/>
      <c r="Z403" s="1282"/>
    </row>
    <row r="404">
      <c r="A404" s="1282"/>
      <c r="B404" s="1282"/>
      <c r="C404" s="1282"/>
      <c r="D404" s="1282"/>
      <c r="E404" s="1282"/>
      <c r="F404" s="1282"/>
      <c r="G404" s="1282"/>
      <c r="H404" s="1282"/>
      <c r="I404" s="1282"/>
      <c r="J404" s="1282"/>
      <c r="K404" s="1282"/>
      <c r="L404" s="1282"/>
      <c r="M404" s="1282"/>
      <c r="N404" s="1282"/>
      <c r="O404" s="1282"/>
      <c r="P404" s="1282"/>
      <c r="Q404" s="1282"/>
      <c r="R404" s="1282"/>
      <c r="S404" s="1282"/>
      <c r="T404" s="1282"/>
      <c r="U404" s="1282"/>
      <c r="V404" s="1282"/>
      <c r="W404" s="1282"/>
      <c r="X404" s="1282"/>
      <c r="Y404" s="1282"/>
      <c r="Z404" s="1282"/>
    </row>
    <row r="405">
      <c r="A405" s="1282"/>
      <c r="B405" s="1282"/>
      <c r="C405" s="1282"/>
      <c r="D405" s="1282"/>
      <c r="E405" s="1282"/>
      <c r="F405" s="1282"/>
      <c r="G405" s="1282"/>
      <c r="H405" s="1282"/>
      <c r="I405" s="1282"/>
      <c r="J405" s="1282"/>
      <c r="K405" s="1282"/>
      <c r="L405" s="1282"/>
      <c r="M405" s="1282"/>
      <c r="N405" s="1282"/>
      <c r="O405" s="1282"/>
      <c r="P405" s="1282"/>
      <c r="Q405" s="1282"/>
      <c r="R405" s="1282"/>
      <c r="S405" s="1282"/>
      <c r="T405" s="1282"/>
      <c r="U405" s="1282"/>
      <c r="V405" s="1282"/>
      <c r="W405" s="1282"/>
      <c r="X405" s="1282"/>
      <c r="Y405" s="1282"/>
      <c r="Z405" s="1282"/>
    </row>
    <row r="406">
      <c r="A406" s="1282"/>
      <c r="B406" s="1282"/>
      <c r="C406" s="1282"/>
      <c r="D406" s="1282"/>
      <c r="E406" s="1282"/>
      <c r="F406" s="1282"/>
      <c r="G406" s="1282"/>
      <c r="H406" s="1282"/>
      <c r="I406" s="1282"/>
      <c r="J406" s="1282"/>
      <c r="K406" s="1282"/>
      <c r="L406" s="1282"/>
      <c r="M406" s="1282"/>
      <c r="N406" s="1282"/>
      <c r="O406" s="1282"/>
      <c r="P406" s="1282"/>
      <c r="Q406" s="1282"/>
      <c r="R406" s="1282"/>
      <c r="S406" s="1282"/>
      <c r="T406" s="1282"/>
      <c r="U406" s="1282"/>
      <c r="V406" s="1282"/>
      <c r="W406" s="1282"/>
      <c r="X406" s="1282"/>
      <c r="Y406" s="1282"/>
      <c r="Z406" s="1282"/>
    </row>
    <row r="407">
      <c r="A407" s="1282"/>
      <c r="B407" s="1282"/>
      <c r="C407" s="1282"/>
      <c r="D407" s="1282"/>
      <c r="E407" s="1282"/>
      <c r="F407" s="1282"/>
      <c r="G407" s="1282"/>
      <c r="H407" s="1282"/>
      <c r="I407" s="1282"/>
      <c r="J407" s="1282"/>
      <c r="K407" s="1282"/>
      <c r="L407" s="1282"/>
      <c r="M407" s="1282"/>
      <c r="N407" s="1282"/>
      <c r="O407" s="1282"/>
      <c r="P407" s="1282"/>
      <c r="Q407" s="1282"/>
      <c r="R407" s="1282"/>
      <c r="S407" s="1282"/>
      <c r="T407" s="1282"/>
      <c r="U407" s="1282"/>
      <c r="V407" s="1282"/>
      <c r="W407" s="1282"/>
      <c r="X407" s="1282"/>
      <c r="Y407" s="1282"/>
      <c r="Z407" s="1282"/>
    </row>
    <row r="408">
      <c r="A408" s="1282"/>
      <c r="B408" s="1282"/>
      <c r="C408" s="1282"/>
      <c r="D408" s="1282"/>
      <c r="E408" s="1282"/>
      <c r="F408" s="1282"/>
      <c r="G408" s="1282"/>
      <c r="H408" s="1282"/>
      <c r="I408" s="1282"/>
      <c r="J408" s="1282"/>
      <c r="K408" s="1282"/>
      <c r="L408" s="1282"/>
      <c r="M408" s="1282"/>
      <c r="N408" s="1282"/>
      <c r="O408" s="1282"/>
      <c r="P408" s="1282"/>
      <c r="Q408" s="1282"/>
      <c r="R408" s="1282"/>
      <c r="S408" s="1282"/>
      <c r="T408" s="1282"/>
      <c r="U408" s="1282"/>
      <c r="V408" s="1282"/>
      <c r="W408" s="1282"/>
      <c r="X408" s="1282"/>
      <c r="Y408" s="1282"/>
      <c r="Z408" s="1282"/>
    </row>
    <row r="409">
      <c r="A409" s="1282"/>
      <c r="B409" s="1282"/>
      <c r="C409" s="1282"/>
      <c r="D409" s="1282"/>
      <c r="E409" s="1282"/>
      <c r="F409" s="1282"/>
      <c r="G409" s="1282"/>
      <c r="H409" s="1282"/>
      <c r="I409" s="1282"/>
      <c r="J409" s="1282"/>
      <c r="K409" s="1282"/>
      <c r="L409" s="1282"/>
      <c r="M409" s="1282"/>
      <c r="N409" s="1282"/>
      <c r="O409" s="1282"/>
      <c r="P409" s="1282"/>
      <c r="Q409" s="1282"/>
      <c r="R409" s="1282"/>
      <c r="S409" s="1282"/>
      <c r="T409" s="1282"/>
      <c r="U409" s="1282"/>
      <c r="V409" s="1282"/>
      <c r="W409" s="1282"/>
      <c r="X409" s="1282"/>
      <c r="Y409" s="1282"/>
      <c r="Z409" s="1282"/>
    </row>
    <row r="410">
      <c r="A410" s="1282"/>
      <c r="B410" s="1282"/>
      <c r="C410" s="1282"/>
      <c r="D410" s="1282"/>
      <c r="E410" s="1282"/>
      <c r="F410" s="1282"/>
      <c r="G410" s="1282"/>
      <c r="H410" s="1282"/>
      <c r="I410" s="1282"/>
      <c r="J410" s="1282"/>
      <c r="K410" s="1282"/>
      <c r="L410" s="1282"/>
      <c r="M410" s="1282"/>
      <c r="N410" s="1282"/>
      <c r="O410" s="1282"/>
      <c r="P410" s="1282"/>
      <c r="Q410" s="1282"/>
      <c r="R410" s="1282"/>
      <c r="S410" s="1282"/>
      <c r="T410" s="1282"/>
      <c r="U410" s="1282"/>
      <c r="V410" s="1282"/>
      <c r="W410" s="1282"/>
      <c r="X410" s="1282"/>
      <c r="Y410" s="1282"/>
      <c r="Z410" s="1282"/>
    </row>
    <row r="411">
      <c r="A411" s="1282"/>
      <c r="B411" s="1282"/>
      <c r="C411" s="1282"/>
      <c r="D411" s="1282"/>
      <c r="E411" s="1282"/>
      <c r="F411" s="1282"/>
      <c r="G411" s="1282"/>
      <c r="H411" s="1282"/>
      <c r="I411" s="1282"/>
      <c r="J411" s="1282"/>
      <c r="K411" s="1282"/>
      <c r="L411" s="1282"/>
      <c r="M411" s="1282"/>
      <c r="N411" s="1282"/>
      <c r="O411" s="1282"/>
      <c r="P411" s="1282"/>
      <c r="Q411" s="1282"/>
      <c r="R411" s="1282"/>
      <c r="S411" s="1282"/>
      <c r="T411" s="1282"/>
      <c r="U411" s="1282"/>
      <c r="V411" s="1282"/>
      <c r="W411" s="1282"/>
      <c r="X411" s="1282"/>
      <c r="Y411" s="1282"/>
      <c r="Z411" s="1282"/>
    </row>
    <row r="412">
      <c r="A412" s="1282"/>
      <c r="B412" s="1282"/>
      <c r="C412" s="1282"/>
      <c r="D412" s="1282"/>
      <c r="E412" s="1282"/>
      <c r="F412" s="1282"/>
      <c r="G412" s="1282"/>
      <c r="H412" s="1282"/>
      <c r="I412" s="1282"/>
      <c r="J412" s="1282"/>
      <c r="K412" s="1282"/>
      <c r="L412" s="1282"/>
      <c r="M412" s="1282"/>
      <c r="N412" s="1282"/>
      <c r="O412" s="1282"/>
      <c r="P412" s="1282"/>
      <c r="Q412" s="1282"/>
      <c r="R412" s="1282"/>
      <c r="S412" s="1282"/>
      <c r="T412" s="1282"/>
      <c r="U412" s="1282"/>
      <c r="V412" s="1282"/>
      <c r="W412" s="1282"/>
      <c r="X412" s="1282"/>
      <c r="Y412" s="1282"/>
      <c r="Z412" s="1282"/>
    </row>
    <row r="413">
      <c r="A413" s="1282"/>
      <c r="B413" s="1282"/>
      <c r="C413" s="1282"/>
      <c r="D413" s="1282"/>
      <c r="E413" s="1282"/>
      <c r="F413" s="1282"/>
      <c r="G413" s="1282"/>
      <c r="H413" s="1282"/>
      <c r="I413" s="1282"/>
      <c r="J413" s="1282"/>
      <c r="K413" s="1282"/>
      <c r="L413" s="1282"/>
      <c r="M413" s="1282"/>
      <c r="N413" s="1282"/>
      <c r="O413" s="1282"/>
      <c r="P413" s="1282"/>
      <c r="Q413" s="1282"/>
      <c r="R413" s="1282"/>
      <c r="S413" s="1282"/>
      <c r="T413" s="1282"/>
      <c r="U413" s="1282"/>
      <c r="V413" s="1282"/>
      <c r="W413" s="1282"/>
      <c r="X413" s="1282"/>
      <c r="Y413" s="1282"/>
      <c r="Z413" s="1282"/>
    </row>
    <row r="414">
      <c r="A414" s="1282"/>
      <c r="B414" s="1282"/>
      <c r="C414" s="1282"/>
      <c r="D414" s="1282"/>
      <c r="E414" s="1282"/>
      <c r="F414" s="1282"/>
      <c r="G414" s="1282"/>
      <c r="H414" s="1282"/>
      <c r="I414" s="1282"/>
      <c r="J414" s="1282"/>
      <c r="K414" s="1282"/>
      <c r="L414" s="1282"/>
      <c r="M414" s="1282"/>
      <c r="N414" s="1282"/>
      <c r="O414" s="1282"/>
      <c r="P414" s="1282"/>
      <c r="Q414" s="1282"/>
      <c r="R414" s="1282"/>
      <c r="S414" s="1282"/>
      <c r="T414" s="1282"/>
      <c r="U414" s="1282"/>
      <c r="V414" s="1282"/>
      <c r="W414" s="1282"/>
      <c r="X414" s="1282"/>
      <c r="Y414" s="1282"/>
      <c r="Z414" s="1282"/>
    </row>
    <row r="415">
      <c r="A415" s="1282"/>
      <c r="B415" s="1282"/>
      <c r="C415" s="1282"/>
      <c r="D415" s="1282"/>
      <c r="E415" s="1282"/>
      <c r="F415" s="1282"/>
      <c r="G415" s="1282"/>
      <c r="H415" s="1282"/>
      <c r="I415" s="1282"/>
      <c r="J415" s="1282"/>
      <c r="K415" s="1282"/>
      <c r="L415" s="1282"/>
      <c r="M415" s="1282"/>
      <c r="N415" s="1282"/>
      <c r="O415" s="1282"/>
      <c r="P415" s="1282"/>
      <c r="Q415" s="1282"/>
      <c r="R415" s="1282"/>
      <c r="S415" s="1282"/>
      <c r="T415" s="1282"/>
      <c r="U415" s="1282"/>
      <c r="V415" s="1282"/>
      <c r="W415" s="1282"/>
      <c r="X415" s="1282"/>
      <c r="Y415" s="1282"/>
      <c r="Z415" s="1282"/>
    </row>
    <row r="416">
      <c r="A416" s="1282"/>
      <c r="B416" s="1282"/>
      <c r="C416" s="1282"/>
      <c r="D416" s="1282"/>
      <c r="E416" s="1282"/>
      <c r="F416" s="1282"/>
      <c r="G416" s="1282"/>
      <c r="H416" s="1282"/>
      <c r="I416" s="1282"/>
      <c r="J416" s="1282"/>
      <c r="K416" s="1282"/>
      <c r="L416" s="1282"/>
      <c r="M416" s="1282"/>
      <c r="N416" s="1282"/>
      <c r="O416" s="1282"/>
      <c r="P416" s="1282"/>
      <c r="Q416" s="1282"/>
      <c r="R416" s="1282"/>
      <c r="S416" s="1282"/>
      <c r="T416" s="1282"/>
      <c r="U416" s="1282"/>
      <c r="V416" s="1282"/>
      <c r="W416" s="1282"/>
      <c r="X416" s="1282"/>
      <c r="Y416" s="1282"/>
      <c r="Z416" s="1282"/>
    </row>
    <row r="417">
      <c r="A417" s="1282"/>
      <c r="B417" s="1282"/>
      <c r="C417" s="1282"/>
      <c r="D417" s="1282"/>
      <c r="E417" s="1282"/>
      <c r="F417" s="1282"/>
      <c r="G417" s="1282"/>
      <c r="H417" s="1282"/>
      <c r="I417" s="1282"/>
      <c r="J417" s="1282"/>
      <c r="K417" s="1282"/>
      <c r="L417" s="1282"/>
      <c r="M417" s="1282"/>
      <c r="N417" s="1282"/>
      <c r="O417" s="1282"/>
      <c r="P417" s="1282"/>
      <c r="Q417" s="1282"/>
      <c r="R417" s="1282"/>
      <c r="S417" s="1282"/>
      <c r="T417" s="1282"/>
      <c r="U417" s="1282"/>
      <c r="V417" s="1282"/>
      <c r="W417" s="1282"/>
      <c r="X417" s="1282"/>
      <c r="Y417" s="1282"/>
      <c r="Z417" s="1282"/>
    </row>
    <row r="418">
      <c r="A418" s="1282"/>
      <c r="B418" s="1282"/>
      <c r="C418" s="1282"/>
      <c r="D418" s="1282"/>
      <c r="E418" s="1282"/>
      <c r="F418" s="1282"/>
      <c r="G418" s="1282"/>
      <c r="H418" s="1282"/>
      <c r="I418" s="1282"/>
      <c r="J418" s="1282"/>
      <c r="K418" s="1282"/>
      <c r="L418" s="1282"/>
      <c r="M418" s="1282"/>
      <c r="N418" s="1282"/>
      <c r="O418" s="1282"/>
      <c r="P418" s="1282"/>
      <c r="Q418" s="1282"/>
      <c r="R418" s="1282"/>
      <c r="S418" s="1282"/>
      <c r="T418" s="1282"/>
      <c r="U418" s="1282"/>
      <c r="V418" s="1282"/>
      <c r="W418" s="1282"/>
      <c r="X418" s="1282"/>
      <c r="Y418" s="1282"/>
      <c r="Z418" s="1282"/>
    </row>
    <row r="419">
      <c r="A419" s="1282"/>
      <c r="B419" s="1282"/>
      <c r="C419" s="1282"/>
      <c r="D419" s="1282"/>
      <c r="E419" s="1282"/>
      <c r="F419" s="1282"/>
      <c r="G419" s="1282"/>
      <c r="H419" s="1282"/>
      <c r="I419" s="1282"/>
      <c r="J419" s="1282"/>
      <c r="K419" s="1282"/>
      <c r="L419" s="1282"/>
      <c r="M419" s="1282"/>
      <c r="N419" s="1282"/>
      <c r="O419" s="1282"/>
      <c r="P419" s="1282"/>
      <c r="Q419" s="1282"/>
      <c r="R419" s="1282"/>
      <c r="S419" s="1282"/>
      <c r="T419" s="1282"/>
      <c r="U419" s="1282"/>
      <c r="V419" s="1282"/>
      <c r="W419" s="1282"/>
      <c r="X419" s="1282"/>
      <c r="Y419" s="1282"/>
      <c r="Z419" s="1282"/>
    </row>
    <row r="420">
      <c r="A420" s="1282"/>
      <c r="B420" s="1282"/>
      <c r="C420" s="1282"/>
      <c r="D420" s="1282"/>
      <c r="E420" s="1282"/>
      <c r="F420" s="1282"/>
      <c r="G420" s="1282"/>
      <c r="H420" s="1282"/>
      <c r="I420" s="1282"/>
      <c r="J420" s="1282"/>
      <c r="K420" s="1282"/>
      <c r="L420" s="1282"/>
      <c r="M420" s="1282"/>
      <c r="N420" s="1282"/>
      <c r="O420" s="1282"/>
      <c r="P420" s="1282"/>
      <c r="Q420" s="1282"/>
      <c r="R420" s="1282"/>
      <c r="S420" s="1282"/>
      <c r="T420" s="1282"/>
      <c r="U420" s="1282"/>
      <c r="V420" s="1282"/>
      <c r="W420" s="1282"/>
      <c r="X420" s="1282"/>
      <c r="Y420" s="1282"/>
      <c r="Z420" s="1282"/>
    </row>
    <row r="421">
      <c r="A421" s="1282"/>
      <c r="B421" s="1282"/>
      <c r="C421" s="1282"/>
      <c r="D421" s="1282"/>
      <c r="E421" s="1282"/>
      <c r="F421" s="1282"/>
      <c r="G421" s="1282"/>
      <c r="H421" s="1282"/>
      <c r="I421" s="1282"/>
      <c r="J421" s="1282"/>
      <c r="K421" s="1282"/>
      <c r="L421" s="1282"/>
      <c r="M421" s="1282"/>
      <c r="N421" s="1282"/>
      <c r="O421" s="1282"/>
      <c r="P421" s="1282"/>
      <c r="Q421" s="1282"/>
      <c r="R421" s="1282"/>
      <c r="S421" s="1282"/>
      <c r="T421" s="1282"/>
      <c r="U421" s="1282"/>
      <c r="V421" s="1282"/>
      <c r="W421" s="1282"/>
      <c r="X421" s="1282"/>
      <c r="Y421" s="1282"/>
      <c r="Z421" s="1282"/>
    </row>
    <row r="422">
      <c r="A422" s="1282"/>
      <c r="B422" s="1282"/>
      <c r="C422" s="1282"/>
      <c r="D422" s="1282"/>
      <c r="E422" s="1282"/>
      <c r="F422" s="1282"/>
      <c r="G422" s="1282"/>
      <c r="H422" s="1282"/>
      <c r="I422" s="1282"/>
      <c r="J422" s="1282"/>
      <c r="K422" s="1282"/>
      <c r="L422" s="1282"/>
      <c r="M422" s="1282"/>
      <c r="N422" s="1282"/>
      <c r="O422" s="1282"/>
      <c r="P422" s="1282"/>
      <c r="Q422" s="1282"/>
      <c r="R422" s="1282"/>
      <c r="S422" s="1282"/>
      <c r="T422" s="1282"/>
      <c r="U422" s="1282"/>
      <c r="V422" s="1282"/>
      <c r="W422" s="1282"/>
      <c r="X422" s="1282"/>
      <c r="Y422" s="1282"/>
      <c r="Z422" s="1282"/>
    </row>
    <row r="423">
      <c r="A423" s="1282"/>
      <c r="B423" s="1282"/>
      <c r="C423" s="1282"/>
      <c r="D423" s="1282"/>
      <c r="E423" s="1282"/>
      <c r="F423" s="1282"/>
      <c r="G423" s="1282"/>
      <c r="H423" s="1282"/>
      <c r="I423" s="1282"/>
      <c r="J423" s="1282"/>
      <c r="K423" s="1282"/>
      <c r="L423" s="1282"/>
      <c r="M423" s="1282"/>
      <c r="N423" s="1282"/>
      <c r="O423" s="1282"/>
      <c r="P423" s="1282"/>
      <c r="Q423" s="1282"/>
      <c r="R423" s="1282"/>
      <c r="S423" s="1282"/>
      <c r="T423" s="1282"/>
      <c r="U423" s="1282"/>
      <c r="V423" s="1282"/>
      <c r="W423" s="1282"/>
      <c r="X423" s="1282"/>
      <c r="Y423" s="1282"/>
      <c r="Z423" s="1282"/>
    </row>
    <row r="424">
      <c r="A424" s="1282"/>
      <c r="B424" s="1282"/>
      <c r="C424" s="1282"/>
      <c r="D424" s="1282"/>
      <c r="E424" s="1282"/>
      <c r="F424" s="1282"/>
      <c r="G424" s="1282"/>
      <c r="H424" s="1282"/>
      <c r="I424" s="1282"/>
      <c r="J424" s="1282"/>
      <c r="K424" s="1282"/>
      <c r="L424" s="1282"/>
      <c r="M424" s="1282"/>
      <c r="N424" s="1282"/>
      <c r="O424" s="1282"/>
      <c r="P424" s="1282"/>
      <c r="Q424" s="1282"/>
      <c r="R424" s="1282"/>
      <c r="S424" s="1282"/>
      <c r="T424" s="1282"/>
      <c r="U424" s="1282"/>
      <c r="V424" s="1282"/>
      <c r="W424" s="1282"/>
      <c r="X424" s="1282"/>
      <c r="Y424" s="1282"/>
      <c r="Z424" s="1282"/>
    </row>
    <row r="425">
      <c r="A425" s="1282"/>
      <c r="B425" s="1282"/>
      <c r="C425" s="1282"/>
      <c r="D425" s="1282"/>
      <c r="E425" s="1282"/>
      <c r="F425" s="1282"/>
      <c r="G425" s="1282"/>
      <c r="H425" s="1282"/>
      <c r="I425" s="1282"/>
      <c r="J425" s="1282"/>
      <c r="K425" s="1282"/>
      <c r="L425" s="1282"/>
      <c r="M425" s="1282"/>
      <c r="N425" s="1282"/>
      <c r="O425" s="1282"/>
      <c r="P425" s="1282"/>
      <c r="Q425" s="1282"/>
      <c r="R425" s="1282"/>
      <c r="S425" s="1282"/>
      <c r="T425" s="1282"/>
      <c r="U425" s="1282"/>
      <c r="V425" s="1282"/>
      <c r="W425" s="1282"/>
      <c r="X425" s="1282"/>
      <c r="Y425" s="1282"/>
      <c r="Z425" s="1282"/>
    </row>
    <row r="426">
      <c r="A426" s="1282"/>
      <c r="B426" s="1282"/>
      <c r="C426" s="1282"/>
      <c r="D426" s="1282"/>
      <c r="E426" s="1282"/>
      <c r="F426" s="1282"/>
      <c r="G426" s="1282"/>
      <c r="H426" s="1282"/>
      <c r="I426" s="1282"/>
      <c r="J426" s="1282"/>
      <c r="K426" s="1282"/>
      <c r="L426" s="1282"/>
      <c r="M426" s="1282"/>
      <c r="N426" s="1282"/>
      <c r="O426" s="1282"/>
      <c r="P426" s="1282"/>
      <c r="Q426" s="1282"/>
      <c r="R426" s="1282"/>
      <c r="S426" s="1282"/>
      <c r="T426" s="1282"/>
      <c r="U426" s="1282"/>
      <c r="V426" s="1282"/>
      <c r="W426" s="1282"/>
      <c r="X426" s="1282"/>
      <c r="Y426" s="1282"/>
      <c r="Z426" s="1282"/>
    </row>
    <row r="427">
      <c r="A427" s="1282"/>
      <c r="B427" s="1282"/>
      <c r="C427" s="1282"/>
      <c r="D427" s="1282"/>
      <c r="E427" s="1282"/>
      <c r="F427" s="1282"/>
      <c r="G427" s="1282"/>
      <c r="H427" s="1282"/>
      <c r="I427" s="1282"/>
      <c r="J427" s="1282"/>
      <c r="K427" s="1282"/>
      <c r="L427" s="1282"/>
      <c r="M427" s="1282"/>
      <c r="N427" s="1282"/>
      <c r="O427" s="1282"/>
      <c r="P427" s="1282"/>
      <c r="Q427" s="1282"/>
      <c r="R427" s="1282"/>
      <c r="S427" s="1282"/>
      <c r="T427" s="1282"/>
      <c r="U427" s="1282"/>
      <c r="V427" s="1282"/>
      <c r="W427" s="1282"/>
      <c r="X427" s="1282"/>
      <c r="Y427" s="1282"/>
      <c r="Z427" s="1282"/>
    </row>
    <row r="428">
      <c r="A428" s="1282"/>
      <c r="B428" s="1282"/>
      <c r="C428" s="1282"/>
      <c r="D428" s="1282"/>
      <c r="E428" s="1282"/>
      <c r="F428" s="1282"/>
      <c r="G428" s="1282"/>
      <c r="H428" s="1282"/>
      <c r="I428" s="1282"/>
      <c r="J428" s="1282"/>
      <c r="K428" s="1282"/>
      <c r="L428" s="1282"/>
      <c r="M428" s="1282"/>
      <c r="N428" s="1282"/>
      <c r="O428" s="1282"/>
      <c r="P428" s="1282"/>
      <c r="Q428" s="1282"/>
      <c r="R428" s="1282"/>
      <c r="S428" s="1282"/>
      <c r="T428" s="1282"/>
      <c r="U428" s="1282"/>
      <c r="V428" s="1282"/>
      <c r="W428" s="1282"/>
      <c r="X428" s="1282"/>
      <c r="Y428" s="1282"/>
      <c r="Z428" s="1282"/>
    </row>
    <row r="429">
      <c r="A429" s="1282"/>
      <c r="B429" s="1282"/>
      <c r="C429" s="1282"/>
      <c r="D429" s="1282"/>
      <c r="E429" s="1282"/>
      <c r="F429" s="1282"/>
      <c r="G429" s="1282"/>
      <c r="H429" s="1282"/>
      <c r="I429" s="1282"/>
      <c r="J429" s="1282"/>
      <c r="K429" s="1282"/>
      <c r="L429" s="1282"/>
      <c r="M429" s="1282"/>
      <c r="N429" s="1282"/>
      <c r="O429" s="1282"/>
      <c r="P429" s="1282"/>
      <c r="Q429" s="1282"/>
      <c r="R429" s="1282"/>
      <c r="S429" s="1282"/>
      <c r="T429" s="1282"/>
      <c r="U429" s="1282"/>
      <c r="V429" s="1282"/>
      <c r="W429" s="1282"/>
      <c r="X429" s="1282"/>
      <c r="Y429" s="1282"/>
      <c r="Z429" s="1282"/>
    </row>
    <row r="430">
      <c r="A430" s="1282"/>
      <c r="B430" s="1282"/>
      <c r="C430" s="1282"/>
      <c r="D430" s="1282"/>
      <c r="E430" s="1282"/>
      <c r="F430" s="1282"/>
      <c r="G430" s="1282"/>
      <c r="H430" s="1282"/>
      <c r="I430" s="1282"/>
      <c r="J430" s="1282"/>
      <c r="K430" s="1282"/>
      <c r="L430" s="1282"/>
      <c r="M430" s="1282"/>
      <c r="N430" s="1282"/>
      <c r="O430" s="1282"/>
      <c r="P430" s="1282"/>
      <c r="Q430" s="1282"/>
      <c r="R430" s="1282"/>
      <c r="S430" s="1282"/>
      <c r="T430" s="1282"/>
      <c r="U430" s="1282"/>
      <c r="V430" s="1282"/>
      <c r="W430" s="1282"/>
      <c r="X430" s="1282"/>
      <c r="Y430" s="1282"/>
      <c r="Z430" s="1282"/>
    </row>
    <row r="431">
      <c r="A431" s="1282"/>
      <c r="B431" s="1282"/>
      <c r="C431" s="1282"/>
      <c r="D431" s="1282"/>
      <c r="E431" s="1282"/>
      <c r="F431" s="1282"/>
      <c r="G431" s="1282"/>
      <c r="H431" s="1282"/>
      <c r="I431" s="1282"/>
      <c r="J431" s="1282"/>
      <c r="K431" s="1282"/>
      <c r="L431" s="1282"/>
      <c r="M431" s="1282"/>
      <c r="N431" s="1282"/>
      <c r="O431" s="1282"/>
      <c r="P431" s="1282"/>
      <c r="Q431" s="1282"/>
      <c r="R431" s="1282"/>
      <c r="S431" s="1282"/>
      <c r="T431" s="1282"/>
      <c r="U431" s="1282"/>
      <c r="V431" s="1282"/>
      <c r="W431" s="1282"/>
      <c r="X431" s="1282"/>
      <c r="Y431" s="1282"/>
      <c r="Z431" s="1282"/>
    </row>
    <row r="432">
      <c r="A432" s="1282"/>
      <c r="B432" s="1282"/>
      <c r="C432" s="1282"/>
      <c r="D432" s="1282"/>
      <c r="E432" s="1282"/>
      <c r="F432" s="1282"/>
      <c r="G432" s="1282"/>
      <c r="H432" s="1282"/>
      <c r="I432" s="1282"/>
      <c r="J432" s="1282"/>
      <c r="K432" s="1282"/>
      <c r="L432" s="1282"/>
      <c r="M432" s="1282"/>
      <c r="N432" s="1282"/>
      <c r="O432" s="1282"/>
      <c r="P432" s="1282"/>
      <c r="Q432" s="1282"/>
      <c r="R432" s="1282"/>
      <c r="S432" s="1282"/>
      <c r="T432" s="1282"/>
      <c r="U432" s="1282"/>
      <c r="V432" s="1282"/>
      <c r="W432" s="1282"/>
      <c r="X432" s="1282"/>
      <c r="Y432" s="1282"/>
      <c r="Z432" s="1282"/>
    </row>
    <row r="433">
      <c r="A433" s="1282"/>
      <c r="B433" s="1282"/>
      <c r="C433" s="1282"/>
      <c r="D433" s="1282"/>
      <c r="E433" s="1282"/>
      <c r="F433" s="1282"/>
      <c r="G433" s="1282"/>
      <c r="H433" s="1282"/>
      <c r="I433" s="1282"/>
      <c r="J433" s="1282"/>
      <c r="K433" s="1282"/>
      <c r="L433" s="1282"/>
      <c r="M433" s="1282"/>
      <c r="N433" s="1282"/>
      <c r="O433" s="1282"/>
      <c r="P433" s="1282"/>
      <c r="Q433" s="1282"/>
      <c r="R433" s="1282"/>
      <c r="S433" s="1282"/>
      <c r="T433" s="1282"/>
      <c r="U433" s="1282"/>
      <c r="V433" s="1282"/>
      <c r="W433" s="1282"/>
      <c r="X433" s="1282"/>
      <c r="Y433" s="1282"/>
      <c r="Z433" s="1282"/>
    </row>
    <row r="434">
      <c r="A434" s="1282"/>
      <c r="B434" s="1282"/>
      <c r="C434" s="1282"/>
      <c r="D434" s="1282"/>
      <c r="E434" s="1282"/>
      <c r="F434" s="1282"/>
      <c r="G434" s="1282"/>
      <c r="H434" s="1282"/>
      <c r="I434" s="1282"/>
      <c r="J434" s="1282"/>
      <c r="K434" s="1282"/>
      <c r="L434" s="1282"/>
      <c r="M434" s="1282"/>
      <c r="N434" s="1282"/>
      <c r="O434" s="1282"/>
      <c r="P434" s="1282"/>
      <c r="Q434" s="1282"/>
      <c r="R434" s="1282"/>
      <c r="S434" s="1282"/>
      <c r="T434" s="1282"/>
      <c r="U434" s="1282"/>
      <c r="V434" s="1282"/>
      <c r="W434" s="1282"/>
      <c r="X434" s="1282"/>
      <c r="Y434" s="1282"/>
      <c r="Z434" s="1282"/>
    </row>
    <row r="435">
      <c r="A435" s="1282"/>
      <c r="B435" s="1282"/>
      <c r="C435" s="1282"/>
      <c r="D435" s="1282"/>
      <c r="E435" s="1282"/>
      <c r="F435" s="1282"/>
      <c r="G435" s="1282"/>
      <c r="H435" s="1282"/>
      <c r="I435" s="1282"/>
      <c r="J435" s="1282"/>
      <c r="K435" s="1282"/>
      <c r="L435" s="1282"/>
      <c r="M435" s="1282"/>
      <c r="N435" s="1282"/>
      <c r="O435" s="1282"/>
      <c r="P435" s="1282"/>
      <c r="Q435" s="1282"/>
      <c r="R435" s="1282"/>
      <c r="S435" s="1282"/>
      <c r="T435" s="1282"/>
      <c r="U435" s="1282"/>
      <c r="V435" s="1282"/>
      <c r="W435" s="1282"/>
      <c r="X435" s="1282"/>
      <c r="Y435" s="1282"/>
      <c r="Z435" s="1282"/>
    </row>
    <row r="436">
      <c r="A436" s="1282"/>
      <c r="B436" s="1282"/>
      <c r="C436" s="1282"/>
      <c r="D436" s="1282"/>
      <c r="E436" s="1282"/>
      <c r="F436" s="1282"/>
      <c r="G436" s="1282"/>
      <c r="H436" s="1282"/>
      <c r="I436" s="1282"/>
      <c r="J436" s="1282"/>
      <c r="K436" s="1282"/>
      <c r="L436" s="1282"/>
      <c r="M436" s="1282"/>
      <c r="N436" s="1282"/>
      <c r="O436" s="1282"/>
      <c r="P436" s="1282"/>
      <c r="Q436" s="1282"/>
      <c r="R436" s="1282"/>
      <c r="S436" s="1282"/>
      <c r="T436" s="1282"/>
      <c r="U436" s="1282"/>
      <c r="V436" s="1282"/>
      <c r="W436" s="1282"/>
      <c r="X436" s="1282"/>
      <c r="Y436" s="1282"/>
      <c r="Z436" s="1282"/>
    </row>
    <row r="437">
      <c r="A437" s="1282"/>
      <c r="B437" s="1282"/>
      <c r="C437" s="1282"/>
      <c r="D437" s="1282"/>
      <c r="E437" s="1282"/>
      <c r="F437" s="1282"/>
      <c r="G437" s="1282"/>
      <c r="H437" s="1282"/>
      <c r="I437" s="1282"/>
      <c r="J437" s="1282"/>
      <c r="K437" s="1282"/>
      <c r="L437" s="1282"/>
      <c r="M437" s="1282"/>
      <c r="N437" s="1282"/>
      <c r="O437" s="1282"/>
      <c r="P437" s="1282"/>
      <c r="Q437" s="1282"/>
      <c r="R437" s="1282"/>
      <c r="S437" s="1282"/>
      <c r="T437" s="1282"/>
      <c r="U437" s="1282"/>
      <c r="V437" s="1282"/>
      <c r="W437" s="1282"/>
      <c r="X437" s="1282"/>
      <c r="Y437" s="1282"/>
      <c r="Z437" s="1282"/>
    </row>
    <row r="438">
      <c r="A438" s="1282"/>
      <c r="B438" s="1282"/>
      <c r="C438" s="1282"/>
      <c r="D438" s="1282"/>
      <c r="E438" s="1282"/>
      <c r="F438" s="1282"/>
      <c r="G438" s="1282"/>
      <c r="H438" s="1282"/>
      <c r="I438" s="1282"/>
      <c r="J438" s="1282"/>
      <c r="K438" s="1282"/>
      <c r="L438" s="1282"/>
      <c r="M438" s="1282"/>
      <c r="N438" s="1282"/>
      <c r="O438" s="1282"/>
      <c r="P438" s="1282"/>
      <c r="Q438" s="1282"/>
      <c r="R438" s="1282"/>
      <c r="S438" s="1282"/>
      <c r="T438" s="1282"/>
      <c r="U438" s="1282"/>
      <c r="V438" s="1282"/>
      <c r="W438" s="1282"/>
      <c r="X438" s="1282"/>
      <c r="Y438" s="1282"/>
      <c r="Z438" s="1282"/>
    </row>
    <row r="439">
      <c r="A439" s="1282"/>
      <c r="B439" s="1282"/>
      <c r="C439" s="1282"/>
      <c r="D439" s="1282"/>
      <c r="E439" s="1282"/>
      <c r="F439" s="1282"/>
      <c r="G439" s="1282"/>
      <c r="H439" s="1282"/>
      <c r="I439" s="1282"/>
      <c r="J439" s="1282"/>
      <c r="K439" s="1282"/>
      <c r="L439" s="1282"/>
      <c r="M439" s="1282"/>
      <c r="N439" s="1282"/>
      <c r="O439" s="1282"/>
      <c r="P439" s="1282"/>
      <c r="Q439" s="1282"/>
      <c r="R439" s="1282"/>
      <c r="S439" s="1282"/>
      <c r="T439" s="1282"/>
      <c r="U439" s="1282"/>
      <c r="V439" s="1282"/>
      <c r="W439" s="1282"/>
      <c r="X439" s="1282"/>
      <c r="Y439" s="1282"/>
      <c r="Z439" s="1282"/>
    </row>
    <row r="440">
      <c r="A440" s="1282"/>
      <c r="B440" s="1282"/>
      <c r="C440" s="1282"/>
      <c r="D440" s="1282"/>
      <c r="E440" s="1282"/>
      <c r="F440" s="1282"/>
      <c r="G440" s="1282"/>
      <c r="H440" s="1282"/>
      <c r="I440" s="1282"/>
      <c r="J440" s="1282"/>
      <c r="K440" s="1282"/>
      <c r="L440" s="1282"/>
      <c r="M440" s="1282"/>
      <c r="N440" s="1282"/>
      <c r="O440" s="1282"/>
      <c r="P440" s="1282"/>
      <c r="Q440" s="1282"/>
      <c r="R440" s="1282"/>
      <c r="S440" s="1282"/>
      <c r="T440" s="1282"/>
      <c r="U440" s="1282"/>
      <c r="V440" s="1282"/>
      <c r="W440" s="1282"/>
      <c r="X440" s="1282"/>
      <c r="Y440" s="1282"/>
      <c r="Z440" s="1282"/>
    </row>
    <row r="441">
      <c r="A441" s="1282"/>
      <c r="B441" s="1282"/>
      <c r="C441" s="1282"/>
      <c r="D441" s="1282"/>
      <c r="E441" s="1282"/>
      <c r="F441" s="1282"/>
      <c r="G441" s="1282"/>
      <c r="H441" s="1282"/>
      <c r="I441" s="1282"/>
      <c r="J441" s="1282"/>
      <c r="K441" s="1282"/>
      <c r="L441" s="1282"/>
      <c r="M441" s="1282"/>
      <c r="N441" s="1282"/>
      <c r="O441" s="1282"/>
      <c r="P441" s="1282"/>
      <c r="Q441" s="1282"/>
      <c r="R441" s="1282"/>
      <c r="S441" s="1282"/>
      <c r="T441" s="1282"/>
      <c r="U441" s="1282"/>
      <c r="V441" s="1282"/>
      <c r="W441" s="1282"/>
      <c r="X441" s="1282"/>
      <c r="Y441" s="1282"/>
      <c r="Z441" s="1282"/>
    </row>
    <row r="442">
      <c r="A442" s="1282"/>
      <c r="B442" s="1282"/>
      <c r="C442" s="1282"/>
      <c r="D442" s="1282"/>
      <c r="E442" s="1282"/>
      <c r="F442" s="1282"/>
      <c r="G442" s="1282"/>
      <c r="H442" s="1282"/>
      <c r="I442" s="1282"/>
      <c r="J442" s="1282"/>
      <c r="K442" s="1282"/>
      <c r="L442" s="1282"/>
      <c r="M442" s="1282"/>
      <c r="N442" s="1282"/>
      <c r="O442" s="1282"/>
      <c r="P442" s="1282"/>
      <c r="Q442" s="1282"/>
      <c r="R442" s="1282"/>
      <c r="S442" s="1282"/>
      <c r="T442" s="1282"/>
      <c r="U442" s="1282"/>
      <c r="V442" s="1282"/>
      <c r="W442" s="1282"/>
      <c r="X442" s="1282"/>
      <c r="Y442" s="1282"/>
      <c r="Z442" s="1282"/>
    </row>
    <row r="443">
      <c r="A443" s="1282"/>
      <c r="B443" s="1282"/>
      <c r="C443" s="1282"/>
      <c r="D443" s="1282"/>
      <c r="E443" s="1282"/>
      <c r="F443" s="1282"/>
      <c r="G443" s="1282"/>
      <c r="H443" s="1282"/>
      <c r="I443" s="1282"/>
      <c r="J443" s="1282"/>
      <c r="K443" s="1282"/>
      <c r="L443" s="1282"/>
      <c r="M443" s="1282"/>
      <c r="N443" s="1282"/>
      <c r="O443" s="1282"/>
      <c r="P443" s="1282"/>
      <c r="Q443" s="1282"/>
      <c r="R443" s="1282"/>
      <c r="S443" s="1282"/>
      <c r="T443" s="1282"/>
      <c r="U443" s="1282"/>
      <c r="V443" s="1282"/>
      <c r="W443" s="1282"/>
      <c r="X443" s="1282"/>
      <c r="Y443" s="1282"/>
      <c r="Z443" s="1282"/>
    </row>
    <row r="444">
      <c r="A444" s="1282"/>
      <c r="B444" s="1282"/>
      <c r="C444" s="1282"/>
      <c r="D444" s="1282"/>
      <c r="E444" s="1282"/>
      <c r="F444" s="1282"/>
      <c r="G444" s="1282"/>
      <c r="H444" s="1282"/>
      <c r="I444" s="1282"/>
      <c r="J444" s="1282"/>
      <c r="K444" s="1282"/>
      <c r="L444" s="1282"/>
      <c r="M444" s="1282"/>
      <c r="N444" s="1282"/>
      <c r="O444" s="1282"/>
      <c r="P444" s="1282"/>
      <c r="Q444" s="1282"/>
      <c r="R444" s="1282"/>
      <c r="S444" s="1282"/>
      <c r="T444" s="1282"/>
      <c r="U444" s="1282"/>
      <c r="V444" s="1282"/>
      <c r="W444" s="1282"/>
      <c r="X444" s="1282"/>
      <c r="Y444" s="1282"/>
      <c r="Z444" s="1282"/>
    </row>
    <row r="445">
      <c r="A445" s="1282"/>
      <c r="B445" s="1282"/>
      <c r="C445" s="1282"/>
      <c r="D445" s="1282"/>
      <c r="E445" s="1282"/>
      <c r="F445" s="1282"/>
      <c r="G445" s="1282"/>
      <c r="H445" s="1282"/>
      <c r="I445" s="1282"/>
      <c r="J445" s="1282"/>
      <c r="K445" s="1282"/>
      <c r="L445" s="1282"/>
      <c r="M445" s="1282"/>
      <c r="N445" s="1282"/>
      <c r="O445" s="1282"/>
      <c r="P445" s="1282"/>
      <c r="Q445" s="1282"/>
      <c r="R445" s="1282"/>
      <c r="S445" s="1282"/>
      <c r="T445" s="1282"/>
      <c r="U445" s="1282"/>
      <c r="V445" s="1282"/>
      <c r="W445" s="1282"/>
      <c r="X445" s="1282"/>
      <c r="Y445" s="1282"/>
      <c r="Z445" s="1282"/>
    </row>
    <row r="446">
      <c r="A446" s="1282"/>
      <c r="B446" s="1282"/>
      <c r="C446" s="1282"/>
      <c r="D446" s="1282"/>
      <c r="E446" s="1282"/>
      <c r="F446" s="1282"/>
      <c r="G446" s="1282"/>
      <c r="H446" s="1282"/>
      <c r="I446" s="1282"/>
      <c r="J446" s="1282"/>
      <c r="K446" s="1282"/>
      <c r="L446" s="1282"/>
      <c r="M446" s="1282"/>
      <c r="N446" s="1282"/>
      <c r="O446" s="1282"/>
      <c r="P446" s="1282"/>
      <c r="Q446" s="1282"/>
      <c r="R446" s="1282"/>
      <c r="S446" s="1282"/>
      <c r="T446" s="1282"/>
      <c r="U446" s="1282"/>
      <c r="V446" s="1282"/>
      <c r="W446" s="1282"/>
      <c r="X446" s="1282"/>
      <c r="Y446" s="1282"/>
      <c r="Z446" s="1282"/>
    </row>
    <row r="447">
      <c r="A447" s="1282"/>
      <c r="B447" s="1282"/>
      <c r="C447" s="1282"/>
      <c r="D447" s="1282"/>
      <c r="E447" s="1282"/>
      <c r="F447" s="1282"/>
      <c r="G447" s="1282"/>
      <c r="H447" s="1282"/>
      <c r="I447" s="1282"/>
      <c r="J447" s="1282"/>
      <c r="K447" s="1282"/>
      <c r="L447" s="1282"/>
      <c r="M447" s="1282"/>
      <c r="N447" s="1282"/>
      <c r="O447" s="1282"/>
      <c r="P447" s="1282"/>
      <c r="Q447" s="1282"/>
      <c r="R447" s="1282"/>
      <c r="S447" s="1282"/>
      <c r="T447" s="1282"/>
      <c r="U447" s="1282"/>
      <c r="V447" s="1282"/>
      <c r="W447" s="1282"/>
      <c r="X447" s="1282"/>
      <c r="Y447" s="1282"/>
      <c r="Z447" s="1282"/>
    </row>
    <row r="448">
      <c r="A448" s="1282"/>
      <c r="B448" s="1282"/>
      <c r="C448" s="1282"/>
      <c r="D448" s="1282"/>
      <c r="E448" s="1282"/>
      <c r="F448" s="1282"/>
      <c r="G448" s="1282"/>
      <c r="H448" s="1282"/>
      <c r="I448" s="1282"/>
      <c r="J448" s="1282"/>
      <c r="K448" s="1282"/>
      <c r="L448" s="1282"/>
      <c r="M448" s="1282"/>
      <c r="N448" s="1282"/>
      <c r="O448" s="1282"/>
      <c r="P448" s="1282"/>
      <c r="Q448" s="1282"/>
      <c r="R448" s="1282"/>
      <c r="S448" s="1282"/>
      <c r="T448" s="1282"/>
      <c r="U448" s="1282"/>
      <c r="V448" s="1282"/>
      <c r="W448" s="1282"/>
      <c r="X448" s="1282"/>
      <c r="Y448" s="1282"/>
      <c r="Z448" s="1282"/>
    </row>
    <row r="449">
      <c r="A449" s="1282"/>
      <c r="B449" s="1282"/>
      <c r="C449" s="1282"/>
      <c r="D449" s="1282"/>
      <c r="E449" s="1282"/>
      <c r="F449" s="1282"/>
      <c r="G449" s="1282"/>
      <c r="H449" s="1282"/>
      <c r="I449" s="1282"/>
      <c r="J449" s="1282"/>
      <c r="K449" s="1282"/>
      <c r="L449" s="1282"/>
      <c r="M449" s="1282"/>
      <c r="N449" s="1282"/>
      <c r="O449" s="1282"/>
      <c r="P449" s="1282"/>
      <c r="Q449" s="1282"/>
      <c r="R449" s="1282"/>
      <c r="S449" s="1282"/>
      <c r="T449" s="1282"/>
      <c r="U449" s="1282"/>
      <c r="V449" s="1282"/>
      <c r="W449" s="1282"/>
      <c r="X449" s="1282"/>
      <c r="Y449" s="1282"/>
      <c r="Z449" s="1282"/>
    </row>
    <row r="450">
      <c r="A450" s="1282"/>
      <c r="B450" s="1282"/>
      <c r="C450" s="1282"/>
      <c r="D450" s="1282"/>
      <c r="E450" s="1282"/>
      <c r="F450" s="1282"/>
      <c r="G450" s="1282"/>
      <c r="H450" s="1282"/>
      <c r="I450" s="1282"/>
      <c r="J450" s="1282"/>
      <c r="K450" s="1282"/>
      <c r="L450" s="1282"/>
      <c r="M450" s="1282"/>
      <c r="N450" s="1282"/>
      <c r="O450" s="1282"/>
      <c r="P450" s="1282"/>
      <c r="Q450" s="1282"/>
      <c r="R450" s="1282"/>
      <c r="S450" s="1282"/>
      <c r="T450" s="1282"/>
      <c r="U450" s="1282"/>
      <c r="V450" s="1282"/>
      <c r="W450" s="1282"/>
      <c r="X450" s="1282"/>
      <c r="Y450" s="1282"/>
      <c r="Z450" s="1282"/>
    </row>
    <row r="451">
      <c r="A451" s="1282"/>
      <c r="B451" s="1282"/>
      <c r="C451" s="1282"/>
      <c r="D451" s="1282"/>
      <c r="E451" s="1282"/>
      <c r="F451" s="1282"/>
      <c r="G451" s="1282"/>
      <c r="H451" s="1282"/>
      <c r="I451" s="1282"/>
      <c r="J451" s="1282"/>
      <c r="K451" s="1282"/>
      <c r="L451" s="1282"/>
      <c r="M451" s="1282"/>
      <c r="N451" s="1282"/>
      <c r="O451" s="1282"/>
      <c r="P451" s="1282"/>
      <c r="Q451" s="1282"/>
      <c r="R451" s="1282"/>
      <c r="S451" s="1282"/>
      <c r="T451" s="1282"/>
      <c r="U451" s="1282"/>
      <c r="V451" s="1282"/>
      <c r="W451" s="1282"/>
      <c r="X451" s="1282"/>
      <c r="Y451" s="1282"/>
      <c r="Z451" s="1282"/>
    </row>
    <row r="452">
      <c r="A452" s="1282"/>
      <c r="B452" s="1282"/>
      <c r="C452" s="1282"/>
      <c r="D452" s="1282"/>
      <c r="E452" s="1282"/>
      <c r="F452" s="1282"/>
      <c r="G452" s="1282"/>
      <c r="H452" s="1282"/>
      <c r="I452" s="1282"/>
      <c r="J452" s="1282"/>
      <c r="K452" s="1282"/>
      <c r="L452" s="1282"/>
      <c r="M452" s="1282"/>
      <c r="N452" s="1282"/>
      <c r="O452" s="1282"/>
      <c r="P452" s="1282"/>
      <c r="Q452" s="1282"/>
      <c r="R452" s="1282"/>
      <c r="S452" s="1282"/>
      <c r="T452" s="1282"/>
      <c r="U452" s="1282"/>
      <c r="V452" s="1282"/>
      <c r="W452" s="1282"/>
      <c r="X452" s="1282"/>
      <c r="Y452" s="1282"/>
      <c r="Z452" s="1282"/>
    </row>
    <row r="453">
      <c r="A453" s="1282"/>
      <c r="B453" s="1282"/>
      <c r="C453" s="1282"/>
      <c r="D453" s="1282"/>
      <c r="E453" s="1282"/>
      <c r="F453" s="1282"/>
      <c r="G453" s="1282"/>
      <c r="H453" s="1282"/>
      <c r="I453" s="1282"/>
      <c r="J453" s="1282"/>
      <c r="K453" s="1282"/>
      <c r="L453" s="1282"/>
      <c r="M453" s="1282"/>
      <c r="N453" s="1282"/>
      <c r="O453" s="1282"/>
      <c r="P453" s="1282"/>
      <c r="Q453" s="1282"/>
      <c r="R453" s="1282"/>
      <c r="S453" s="1282"/>
      <c r="T453" s="1282"/>
      <c r="U453" s="1282"/>
      <c r="V453" s="1282"/>
      <c r="W453" s="1282"/>
      <c r="X453" s="1282"/>
      <c r="Y453" s="1282"/>
      <c r="Z453" s="1282"/>
    </row>
    <row r="454">
      <c r="A454" s="1282"/>
      <c r="B454" s="1282"/>
      <c r="C454" s="1282"/>
      <c r="D454" s="1282"/>
      <c r="E454" s="1282"/>
      <c r="F454" s="1282"/>
      <c r="G454" s="1282"/>
      <c r="H454" s="1282"/>
      <c r="I454" s="1282"/>
      <c r="J454" s="1282"/>
      <c r="K454" s="1282"/>
      <c r="L454" s="1282"/>
      <c r="M454" s="1282"/>
      <c r="N454" s="1282"/>
      <c r="O454" s="1282"/>
      <c r="P454" s="1282"/>
      <c r="Q454" s="1282"/>
      <c r="R454" s="1282"/>
      <c r="S454" s="1282"/>
      <c r="T454" s="1282"/>
      <c r="U454" s="1282"/>
      <c r="V454" s="1282"/>
      <c r="W454" s="1282"/>
      <c r="X454" s="1282"/>
      <c r="Y454" s="1282"/>
      <c r="Z454" s="1282"/>
    </row>
    <row r="455">
      <c r="A455" s="1282"/>
      <c r="B455" s="1282"/>
      <c r="C455" s="1282"/>
      <c r="D455" s="1282"/>
      <c r="E455" s="1282"/>
      <c r="F455" s="1282"/>
      <c r="G455" s="1282"/>
      <c r="H455" s="1282"/>
      <c r="I455" s="1282"/>
      <c r="J455" s="1282"/>
      <c r="K455" s="1282"/>
      <c r="L455" s="1282"/>
      <c r="M455" s="1282"/>
      <c r="N455" s="1282"/>
      <c r="O455" s="1282"/>
      <c r="P455" s="1282"/>
      <c r="Q455" s="1282"/>
      <c r="R455" s="1282"/>
      <c r="S455" s="1282"/>
      <c r="T455" s="1282"/>
      <c r="U455" s="1282"/>
      <c r="V455" s="1282"/>
      <c r="W455" s="1282"/>
      <c r="X455" s="1282"/>
      <c r="Y455" s="1282"/>
      <c r="Z455" s="1282"/>
    </row>
    <row r="456">
      <c r="A456" s="1282"/>
      <c r="B456" s="1282"/>
      <c r="C456" s="1282"/>
      <c r="D456" s="1282"/>
      <c r="E456" s="1282"/>
      <c r="F456" s="1282"/>
      <c r="G456" s="1282"/>
      <c r="H456" s="1282"/>
      <c r="I456" s="1282"/>
      <c r="J456" s="1282"/>
      <c r="K456" s="1282"/>
      <c r="L456" s="1282"/>
      <c r="M456" s="1282"/>
      <c r="N456" s="1282"/>
      <c r="O456" s="1282"/>
      <c r="P456" s="1282"/>
      <c r="Q456" s="1282"/>
      <c r="R456" s="1282"/>
      <c r="S456" s="1282"/>
      <c r="T456" s="1282"/>
      <c r="U456" s="1282"/>
      <c r="V456" s="1282"/>
      <c r="W456" s="1282"/>
      <c r="X456" s="1282"/>
      <c r="Y456" s="1282"/>
      <c r="Z456" s="1282"/>
    </row>
    <row r="457">
      <c r="A457" s="1282"/>
      <c r="B457" s="1282"/>
      <c r="C457" s="1282"/>
      <c r="D457" s="1282"/>
      <c r="E457" s="1282"/>
      <c r="F457" s="1282"/>
      <c r="G457" s="1282"/>
      <c r="H457" s="1282"/>
      <c r="I457" s="1282"/>
      <c r="J457" s="1282"/>
      <c r="K457" s="1282"/>
      <c r="L457" s="1282"/>
      <c r="M457" s="1282"/>
      <c r="N457" s="1282"/>
      <c r="O457" s="1282"/>
      <c r="P457" s="1282"/>
      <c r="Q457" s="1282"/>
      <c r="R457" s="1282"/>
      <c r="S457" s="1282"/>
      <c r="T457" s="1282"/>
      <c r="U457" s="1282"/>
      <c r="V457" s="1282"/>
      <c r="W457" s="1282"/>
      <c r="X457" s="1282"/>
      <c r="Y457" s="1282"/>
      <c r="Z457" s="1282"/>
    </row>
    <row r="458">
      <c r="A458" s="1282"/>
      <c r="B458" s="1282"/>
      <c r="C458" s="1282"/>
      <c r="D458" s="1282"/>
      <c r="E458" s="1282"/>
      <c r="F458" s="1282"/>
      <c r="G458" s="1282"/>
      <c r="H458" s="1282"/>
      <c r="I458" s="1282"/>
      <c r="J458" s="1282"/>
      <c r="K458" s="1282"/>
      <c r="L458" s="1282"/>
      <c r="M458" s="1282"/>
      <c r="N458" s="1282"/>
      <c r="O458" s="1282"/>
      <c r="P458" s="1282"/>
      <c r="Q458" s="1282"/>
      <c r="R458" s="1282"/>
      <c r="S458" s="1282"/>
      <c r="T458" s="1282"/>
      <c r="U458" s="1282"/>
      <c r="V458" s="1282"/>
      <c r="W458" s="1282"/>
      <c r="X458" s="1282"/>
      <c r="Y458" s="1282"/>
      <c r="Z458" s="1282"/>
    </row>
    <row r="459">
      <c r="A459" s="1282"/>
      <c r="B459" s="1282"/>
      <c r="C459" s="1282"/>
      <c r="D459" s="1282"/>
      <c r="E459" s="1282"/>
      <c r="F459" s="1282"/>
      <c r="G459" s="1282"/>
      <c r="H459" s="1282"/>
      <c r="I459" s="1282"/>
      <c r="J459" s="1282"/>
      <c r="K459" s="1282"/>
      <c r="L459" s="1282"/>
      <c r="M459" s="1282"/>
      <c r="N459" s="1282"/>
      <c r="O459" s="1282"/>
      <c r="P459" s="1282"/>
      <c r="Q459" s="1282"/>
      <c r="R459" s="1282"/>
      <c r="S459" s="1282"/>
      <c r="T459" s="1282"/>
      <c r="U459" s="1282"/>
      <c r="V459" s="1282"/>
      <c r="W459" s="1282"/>
      <c r="X459" s="1282"/>
      <c r="Y459" s="1282"/>
      <c r="Z459" s="1282"/>
    </row>
    <row r="460">
      <c r="A460" s="1282"/>
      <c r="B460" s="1282"/>
      <c r="C460" s="1282"/>
      <c r="D460" s="1282"/>
      <c r="E460" s="1282"/>
      <c r="F460" s="1282"/>
      <c r="G460" s="1282"/>
      <c r="H460" s="1282"/>
      <c r="I460" s="1282"/>
      <c r="J460" s="1282"/>
      <c r="K460" s="1282"/>
      <c r="L460" s="1282"/>
      <c r="M460" s="1282"/>
      <c r="N460" s="1282"/>
      <c r="O460" s="1282"/>
      <c r="P460" s="1282"/>
      <c r="Q460" s="1282"/>
      <c r="R460" s="1282"/>
      <c r="S460" s="1282"/>
      <c r="T460" s="1282"/>
      <c r="U460" s="1282"/>
      <c r="V460" s="1282"/>
      <c r="W460" s="1282"/>
      <c r="X460" s="1282"/>
      <c r="Y460" s="1282"/>
      <c r="Z460" s="1282"/>
    </row>
    <row r="461">
      <c r="A461" s="1282"/>
      <c r="B461" s="1282"/>
      <c r="C461" s="1282"/>
      <c r="D461" s="1282"/>
      <c r="E461" s="1282"/>
      <c r="F461" s="1282"/>
      <c r="G461" s="1282"/>
      <c r="H461" s="1282"/>
      <c r="I461" s="1282"/>
      <c r="J461" s="1282"/>
      <c r="K461" s="1282"/>
      <c r="L461" s="1282"/>
      <c r="M461" s="1282"/>
      <c r="N461" s="1282"/>
      <c r="O461" s="1282"/>
      <c r="P461" s="1282"/>
      <c r="Q461" s="1282"/>
      <c r="R461" s="1282"/>
      <c r="S461" s="1282"/>
      <c r="T461" s="1282"/>
      <c r="U461" s="1282"/>
      <c r="V461" s="1282"/>
      <c r="W461" s="1282"/>
      <c r="X461" s="1282"/>
      <c r="Y461" s="1282"/>
      <c r="Z461" s="1282"/>
    </row>
    <row r="462">
      <c r="A462" s="1282"/>
      <c r="B462" s="1282"/>
      <c r="C462" s="1282"/>
      <c r="D462" s="1282"/>
      <c r="E462" s="1282"/>
      <c r="F462" s="1282"/>
      <c r="G462" s="1282"/>
      <c r="H462" s="1282"/>
      <c r="I462" s="1282"/>
      <c r="J462" s="1282"/>
      <c r="K462" s="1282"/>
      <c r="L462" s="1282"/>
      <c r="M462" s="1282"/>
      <c r="N462" s="1282"/>
      <c r="O462" s="1282"/>
      <c r="P462" s="1282"/>
      <c r="Q462" s="1282"/>
      <c r="R462" s="1282"/>
      <c r="S462" s="1282"/>
      <c r="T462" s="1282"/>
      <c r="U462" s="1282"/>
      <c r="V462" s="1282"/>
      <c r="W462" s="1282"/>
      <c r="X462" s="1282"/>
      <c r="Y462" s="1282"/>
      <c r="Z462" s="1282"/>
    </row>
    <row r="463">
      <c r="A463" s="1282"/>
      <c r="B463" s="1282"/>
      <c r="C463" s="1282"/>
      <c r="D463" s="1282"/>
      <c r="E463" s="1282"/>
      <c r="F463" s="1282"/>
      <c r="G463" s="1282"/>
      <c r="H463" s="1282"/>
      <c r="I463" s="1282"/>
      <c r="J463" s="1282"/>
      <c r="K463" s="1282"/>
      <c r="L463" s="1282"/>
      <c r="M463" s="1282"/>
      <c r="N463" s="1282"/>
      <c r="O463" s="1282"/>
      <c r="P463" s="1282"/>
      <c r="Q463" s="1282"/>
      <c r="R463" s="1282"/>
      <c r="S463" s="1282"/>
      <c r="T463" s="1282"/>
      <c r="U463" s="1282"/>
      <c r="V463" s="1282"/>
      <c r="W463" s="1282"/>
      <c r="X463" s="1282"/>
      <c r="Y463" s="1282"/>
      <c r="Z463" s="1282"/>
    </row>
    <row r="464">
      <c r="A464" s="1282"/>
      <c r="B464" s="1282"/>
      <c r="C464" s="1282"/>
      <c r="D464" s="1282"/>
      <c r="E464" s="1282"/>
      <c r="F464" s="1282"/>
      <c r="G464" s="1282"/>
      <c r="H464" s="1282"/>
      <c r="I464" s="1282"/>
      <c r="J464" s="1282"/>
      <c r="K464" s="1282"/>
      <c r="L464" s="1282"/>
      <c r="M464" s="1282"/>
      <c r="N464" s="1282"/>
      <c r="O464" s="1282"/>
      <c r="P464" s="1282"/>
      <c r="Q464" s="1282"/>
      <c r="R464" s="1282"/>
      <c r="S464" s="1282"/>
      <c r="T464" s="1282"/>
      <c r="U464" s="1282"/>
      <c r="V464" s="1282"/>
      <c r="W464" s="1282"/>
      <c r="X464" s="1282"/>
      <c r="Y464" s="1282"/>
      <c r="Z464" s="1282"/>
    </row>
    <row r="465">
      <c r="A465" s="1282"/>
      <c r="B465" s="1282"/>
      <c r="C465" s="1282"/>
      <c r="D465" s="1282"/>
      <c r="E465" s="1282"/>
      <c r="F465" s="1282"/>
      <c r="G465" s="1282"/>
      <c r="H465" s="1282"/>
      <c r="I465" s="1282"/>
      <c r="J465" s="1282"/>
      <c r="K465" s="1282"/>
      <c r="L465" s="1282"/>
      <c r="M465" s="1282"/>
      <c r="N465" s="1282"/>
      <c r="O465" s="1282"/>
      <c r="P465" s="1282"/>
      <c r="Q465" s="1282"/>
      <c r="R465" s="1282"/>
      <c r="S465" s="1282"/>
      <c r="T465" s="1282"/>
      <c r="U465" s="1282"/>
      <c r="V465" s="1282"/>
      <c r="W465" s="1282"/>
      <c r="X465" s="1282"/>
      <c r="Y465" s="1282"/>
      <c r="Z465" s="1282"/>
    </row>
    <row r="466">
      <c r="A466" s="1282"/>
      <c r="B466" s="1282"/>
      <c r="C466" s="1282"/>
      <c r="D466" s="1282"/>
      <c r="E466" s="1282"/>
      <c r="F466" s="1282"/>
      <c r="G466" s="1282"/>
      <c r="H466" s="1282"/>
      <c r="I466" s="1282"/>
      <c r="J466" s="1282"/>
      <c r="K466" s="1282"/>
      <c r="L466" s="1282"/>
      <c r="M466" s="1282"/>
      <c r="N466" s="1282"/>
      <c r="O466" s="1282"/>
      <c r="P466" s="1282"/>
      <c r="Q466" s="1282"/>
      <c r="R466" s="1282"/>
      <c r="S466" s="1282"/>
      <c r="T466" s="1282"/>
      <c r="U466" s="1282"/>
      <c r="V466" s="1282"/>
      <c r="W466" s="1282"/>
      <c r="X466" s="1282"/>
      <c r="Y466" s="1282"/>
      <c r="Z466" s="1282"/>
    </row>
    <row r="467">
      <c r="A467" s="1282"/>
      <c r="B467" s="1282"/>
      <c r="C467" s="1282"/>
      <c r="D467" s="1282"/>
      <c r="E467" s="1282"/>
      <c r="F467" s="1282"/>
      <c r="G467" s="1282"/>
      <c r="H467" s="1282"/>
      <c r="I467" s="1282"/>
      <c r="J467" s="1282"/>
      <c r="K467" s="1282"/>
      <c r="L467" s="1282"/>
      <c r="M467" s="1282"/>
      <c r="N467" s="1282"/>
      <c r="O467" s="1282"/>
      <c r="P467" s="1282"/>
      <c r="Q467" s="1282"/>
      <c r="R467" s="1282"/>
      <c r="S467" s="1282"/>
      <c r="T467" s="1282"/>
      <c r="U467" s="1282"/>
      <c r="V467" s="1282"/>
      <c r="W467" s="1282"/>
      <c r="X467" s="1282"/>
      <c r="Y467" s="1282"/>
      <c r="Z467" s="1282"/>
    </row>
    <row r="468">
      <c r="A468" s="1282"/>
      <c r="B468" s="1282"/>
      <c r="C468" s="1282"/>
      <c r="D468" s="1282"/>
      <c r="E468" s="1282"/>
      <c r="F468" s="1282"/>
      <c r="G468" s="1282"/>
      <c r="H468" s="1282"/>
      <c r="I468" s="1282"/>
      <c r="J468" s="1282"/>
      <c r="K468" s="1282"/>
      <c r="L468" s="1282"/>
      <c r="M468" s="1282"/>
      <c r="N468" s="1282"/>
      <c r="O468" s="1282"/>
      <c r="P468" s="1282"/>
      <c r="Q468" s="1282"/>
      <c r="R468" s="1282"/>
      <c r="S468" s="1282"/>
      <c r="T468" s="1282"/>
      <c r="U468" s="1282"/>
      <c r="V468" s="1282"/>
      <c r="W468" s="1282"/>
      <c r="X468" s="1282"/>
      <c r="Y468" s="1282"/>
      <c r="Z468" s="1282"/>
    </row>
    <row r="469">
      <c r="A469" s="1282"/>
      <c r="B469" s="1282"/>
      <c r="C469" s="1282"/>
      <c r="D469" s="1282"/>
      <c r="E469" s="1282"/>
      <c r="F469" s="1282"/>
      <c r="G469" s="1282"/>
      <c r="H469" s="1282"/>
      <c r="I469" s="1282"/>
      <c r="J469" s="1282"/>
      <c r="K469" s="1282"/>
      <c r="L469" s="1282"/>
      <c r="M469" s="1282"/>
      <c r="N469" s="1282"/>
      <c r="O469" s="1282"/>
      <c r="P469" s="1282"/>
      <c r="Q469" s="1282"/>
      <c r="R469" s="1282"/>
      <c r="S469" s="1282"/>
      <c r="T469" s="1282"/>
      <c r="U469" s="1282"/>
      <c r="V469" s="1282"/>
      <c r="W469" s="1282"/>
      <c r="X469" s="1282"/>
      <c r="Y469" s="1282"/>
      <c r="Z469" s="1282"/>
    </row>
    <row r="470">
      <c r="A470" s="1282"/>
      <c r="B470" s="1282"/>
      <c r="C470" s="1282"/>
      <c r="D470" s="1282"/>
      <c r="E470" s="1282"/>
      <c r="F470" s="1282"/>
      <c r="G470" s="1282"/>
      <c r="H470" s="1282"/>
      <c r="I470" s="1282"/>
      <c r="J470" s="1282"/>
      <c r="K470" s="1282"/>
      <c r="L470" s="1282"/>
      <c r="M470" s="1282"/>
      <c r="N470" s="1282"/>
      <c r="O470" s="1282"/>
      <c r="P470" s="1282"/>
      <c r="Q470" s="1282"/>
      <c r="R470" s="1282"/>
      <c r="S470" s="1282"/>
      <c r="T470" s="1282"/>
      <c r="U470" s="1282"/>
      <c r="V470" s="1282"/>
      <c r="W470" s="1282"/>
      <c r="X470" s="1282"/>
      <c r="Y470" s="1282"/>
      <c r="Z470" s="1282"/>
    </row>
    <row r="471">
      <c r="A471" s="1282"/>
      <c r="B471" s="1282"/>
      <c r="C471" s="1282"/>
      <c r="D471" s="1282"/>
      <c r="E471" s="1282"/>
      <c r="F471" s="1282"/>
      <c r="G471" s="1282"/>
      <c r="H471" s="1282"/>
      <c r="I471" s="1282"/>
      <c r="J471" s="1282"/>
      <c r="K471" s="1282"/>
      <c r="L471" s="1282"/>
      <c r="M471" s="1282"/>
      <c r="N471" s="1282"/>
      <c r="O471" s="1282"/>
      <c r="P471" s="1282"/>
      <c r="Q471" s="1282"/>
      <c r="R471" s="1282"/>
      <c r="S471" s="1282"/>
      <c r="T471" s="1282"/>
      <c r="U471" s="1282"/>
      <c r="V471" s="1282"/>
      <c r="W471" s="1282"/>
      <c r="X471" s="1282"/>
      <c r="Y471" s="1282"/>
      <c r="Z471" s="1282"/>
    </row>
    <row r="472">
      <c r="A472" s="1282"/>
      <c r="B472" s="1282"/>
      <c r="C472" s="1282"/>
      <c r="D472" s="1282"/>
      <c r="E472" s="1282"/>
      <c r="F472" s="1282"/>
      <c r="G472" s="1282"/>
      <c r="H472" s="1282"/>
      <c r="I472" s="1282"/>
      <c r="J472" s="1282"/>
      <c r="K472" s="1282"/>
      <c r="L472" s="1282"/>
      <c r="M472" s="1282"/>
      <c r="N472" s="1282"/>
      <c r="O472" s="1282"/>
      <c r="P472" s="1282"/>
      <c r="Q472" s="1282"/>
      <c r="R472" s="1282"/>
      <c r="S472" s="1282"/>
      <c r="T472" s="1282"/>
      <c r="U472" s="1282"/>
      <c r="V472" s="1282"/>
      <c r="W472" s="1282"/>
      <c r="X472" s="1282"/>
      <c r="Y472" s="1282"/>
      <c r="Z472" s="1282"/>
    </row>
    <row r="473">
      <c r="A473" s="1282"/>
      <c r="B473" s="1282"/>
      <c r="C473" s="1282"/>
      <c r="D473" s="1282"/>
      <c r="E473" s="1282"/>
      <c r="F473" s="1282"/>
      <c r="G473" s="1282"/>
      <c r="H473" s="1282"/>
      <c r="I473" s="1282"/>
      <c r="J473" s="1282"/>
      <c r="K473" s="1282"/>
      <c r="L473" s="1282"/>
      <c r="M473" s="1282"/>
      <c r="N473" s="1282"/>
      <c r="O473" s="1282"/>
      <c r="P473" s="1282"/>
      <c r="Q473" s="1282"/>
      <c r="R473" s="1282"/>
      <c r="S473" s="1282"/>
      <c r="T473" s="1282"/>
      <c r="U473" s="1282"/>
      <c r="V473" s="1282"/>
      <c r="W473" s="1282"/>
      <c r="X473" s="1282"/>
      <c r="Y473" s="1282"/>
      <c r="Z473" s="1282"/>
    </row>
    <row r="474">
      <c r="A474" s="1282"/>
      <c r="B474" s="1282"/>
      <c r="C474" s="1282"/>
      <c r="D474" s="1282"/>
      <c r="E474" s="1282"/>
      <c r="F474" s="1282"/>
      <c r="G474" s="1282"/>
      <c r="H474" s="1282"/>
      <c r="I474" s="1282"/>
      <c r="J474" s="1282"/>
      <c r="K474" s="1282"/>
      <c r="L474" s="1282"/>
      <c r="M474" s="1282"/>
      <c r="N474" s="1282"/>
      <c r="O474" s="1282"/>
      <c r="P474" s="1282"/>
      <c r="Q474" s="1282"/>
      <c r="R474" s="1282"/>
      <c r="S474" s="1282"/>
      <c r="T474" s="1282"/>
      <c r="U474" s="1282"/>
      <c r="V474" s="1282"/>
      <c r="W474" s="1282"/>
      <c r="X474" s="1282"/>
      <c r="Y474" s="1282"/>
      <c r="Z474" s="1282"/>
    </row>
    <row r="475">
      <c r="A475" s="1282"/>
      <c r="B475" s="1282"/>
      <c r="C475" s="1282"/>
      <c r="D475" s="1282"/>
      <c r="E475" s="1282"/>
      <c r="F475" s="1282"/>
      <c r="G475" s="1282"/>
      <c r="H475" s="1282"/>
      <c r="I475" s="1282"/>
      <c r="J475" s="1282"/>
      <c r="K475" s="1282"/>
      <c r="L475" s="1282"/>
      <c r="M475" s="1282"/>
      <c r="N475" s="1282"/>
      <c r="O475" s="1282"/>
      <c r="P475" s="1282"/>
      <c r="Q475" s="1282"/>
      <c r="R475" s="1282"/>
      <c r="S475" s="1282"/>
      <c r="T475" s="1282"/>
      <c r="U475" s="1282"/>
      <c r="V475" s="1282"/>
      <c r="W475" s="1282"/>
      <c r="X475" s="1282"/>
      <c r="Y475" s="1282"/>
      <c r="Z475" s="1282"/>
    </row>
    <row r="476">
      <c r="A476" s="1282"/>
      <c r="B476" s="1282"/>
      <c r="C476" s="1282"/>
      <c r="D476" s="1282"/>
      <c r="E476" s="1282"/>
      <c r="F476" s="1282"/>
      <c r="G476" s="1282"/>
      <c r="H476" s="1282"/>
      <c r="I476" s="1282"/>
      <c r="J476" s="1282"/>
      <c r="K476" s="1282"/>
      <c r="L476" s="1282"/>
      <c r="M476" s="1282"/>
      <c r="N476" s="1282"/>
      <c r="O476" s="1282"/>
      <c r="P476" s="1282"/>
      <c r="Q476" s="1282"/>
      <c r="R476" s="1282"/>
      <c r="S476" s="1282"/>
      <c r="T476" s="1282"/>
      <c r="U476" s="1282"/>
      <c r="V476" s="1282"/>
      <c r="W476" s="1282"/>
      <c r="X476" s="1282"/>
      <c r="Y476" s="1282"/>
      <c r="Z476" s="1282"/>
    </row>
    <row r="477">
      <c r="A477" s="1282"/>
      <c r="B477" s="1282"/>
      <c r="C477" s="1282"/>
      <c r="D477" s="1282"/>
      <c r="E477" s="1282"/>
      <c r="F477" s="1282"/>
      <c r="G477" s="1282"/>
      <c r="H477" s="1282"/>
      <c r="I477" s="1282"/>
      <c r="J477" s="1282"/>
      <c r="K477" s="1282"/>
      <c r="L477" s="1282"/>
      <c r="M477" s="1282"/>
      <c r="N477" s="1282"/>
      <c r="O477" s="1282"/>
      <c r="P477" s="1282"/>
      <c r="Q477" s="1282"/>
      <c r="R477" s="1282"/>
      <c r="S477" s="1282"/>
      <c r="T477" s="1282"/>
      <c r="U477" s="1282"/>
      <c r="V477" s="1282"/>
      <c r="W477" s="1282"/>
      <c r="X477" s="1282"/>
      <c r="Y477" s="1282"/>
      <c r="Z477" s="1282"/>
    </row>
    <row r="478">
      <c r="A478" s="1282"/>
      <c r="B478" s="1282"/>
      <c r="C478" s="1282"/>
      <c r="D478" s="1282"/>
      <c r="E478" s="1282"/>
      <c r="F478" s="1282"/>
      <c r="G478" s="1282"/>
      <c r="H478" s="1282"/>
      <c r="I478" s="1282"/>
      <c r="J478" s="1282"/>
      <c r="K478" s="1282"/>
      <c r="L478" s="1282"/>
      <c r="M478" s="1282"/>
      <c r="N478" s="1282"/>
      <c r="O478" s="1282"/>
      <c r="P478" s="1282"/>
      <c r="Q478" s="1282"/>
      <c r="R478" s="1282"/>
      <c r="S478" s="1282"/>
      <c r="T478" s="1282"/>
      <c r="U478" s="1282"/>
      <c r="V478" s="1282"/>
      <c r="W478" s="1282"/>
      <c r="X478" s="1282"/>
      <c r="Y478" s="1282"/>
      <c r="Z478" s="1282"/>
    </row>
    <row r="479">
      <c r="A479" s="1282"/>
      <c r="B479" s="1282"/>
      <c r="C479" s="1282"/>
      <c r="D479" s="1282"/>
      <c r="E479" s="1282"/>
      <c r="F479" s="1282"/>
      <c r="G479" s="1282"/>
      <c r="H479" s="1282"/>
      <c r="I479" s="1282"/>
      <c r="J479" s="1282"/>
      <c r="K479" s="1282"/>
      <c r="L479" s="1282"/>
      <c r="M479" s="1282"/>
      <c r="N479" s="1282"/>
      <c r="O479" s="1282"/>
      <c r="P479" s="1282"/>
      <c r="Q479" s="1282"/>
      <c r="R479" s="1282"/>
      <c r="S479" s="1282"/>
      <c r="T479" s="1282"/>
      <c r="U479" s="1282"/>
      <c r="V479" s="1282"/>
      <c r="W479" s="1282"/>
      <c r="X479" s="1282"/>
      <c r="Y479" s="1282"/>
      <c r="Z479" s="1282"/>
    </row>
    <row r="480">
      <c r="A480" s="1282"/>
      <c r="B480" s="1282"/>
      <c r="C480" s="1282"/>
      <c r="D480" s="1282"/>
      <c r="E480" s="1282"/>
      <c r="F480" s="1282"/>
      <c r="G480" s="1282"/>
      <c r="H480" s="1282"/>
      <c r="I480" s="1282"/>
      <c r="J480" s="1282"/>
      <c r="K480" s="1282"/>
      <c r="L480" s="1282"/>
      <c r="M480" s="1282"/>
      <c r="N480" s="1282"/>
      <c r="O480" s="1282"/>
      <c r="P480" s="1282"/>
      <c r="Q480" s="1282"/>
      <c r="R480" s="1282"/>
      <c r="S480" s="1282"/>
      <c r="T480" s="1282"/>
      <c r="U480" s="1282"/>
      <c r="V480" s="1282"/>
      <c r="W480" s="1282"/>
      <c r="X480" s="1282"/>
      <c r="Y480" s="1282"/>
      <c r="Z480" s="1282"/>
    </row>
    <row r="481">
      <c r="A481" s="1282"/>
      <c r="B481" s="1282"/>
      <c r="C481" s="1282"/>
      <c r="D481" s="1282"/>
      <c r="E481" s="1282"/>
      <c r="F481" s="1282"/>
      <c r="G481" s="1282"/>
      <c r="H481" s="1282"/>
      <c r="I481" s="1282"/>
      <c r="J481" s="1282"/>
      <c r="K481" s="1282"/>
      <c r="L481" s="1282"/>
      <c r="M481" s="1282"/>
      <c r="N481" s="1282"/>
      <c r="O481" s="1282"/>
      <c r="P481" s="1282"/>
      <c r="Q481" s="1282"/>
      <c r="R481" s="1282"/>
      <c r="S481" s="1282"/>
      <c r="T481" s="1282"/>
      <c r="U481" s="1282"/>
      <c r="V481" s="1282"/>
      <c r="W481" s="1282"/>
      <c r="X481" s="1282"/>
      <c r="Y481" s="1282"/>
      <c r="Z481" s="1282"/>
    </row>
    <row r="482">
      <c r="A482" s="1282"/>
      <c r="B482" s="1282"/>
      <c r="C482" s="1282"/>
      <c r="D482" s="1282"/>
      <c r="E482" s="1282"/>
      <c r="F482" s="1282"/>
      <c r="G482" s="1282"/>
      <c r="H482" s="1282"/>
      <c r="I482" s="1282"/>
      <c r="J482" s="1282"/>
      <c r="K482" s="1282"/>
      <c r="L482" s="1282"/>
      <c r="M482" s="1282"/>
      <c r="N482" s="1282"/>
      <c r="O482" s="1282"/>
      <c r="P482" s="1282"/>
      <c r="Q482" s="1282"/>
      <c r="R482" s="1282"/>
      <c r="S482" s="1282"/>
      <c r="T482" s="1282"/>
      <c r="U482" s="1282"/>
      <c r="V482" s="1282"/>
      <c r="W482" s="1282"/>
      <c r="X482" s="1282"/>
      <c r="Y482" s="1282"/>
      <c r="Z482" s="1282"/>
    </row>
    <row r="483">
      <c r="A483" s="1282"/>
      <c r="B483" s="1282"/>
      <c r="C483" s="1282"/>
      <c r="D483" s="1282"/>
      <c r="E483" s="1282"/>
      <c r="F483" s="1282"/>
      <c r="G483" s="1282"/>
      <c r="H483" s="1282"/>
      <c r="I483" s="1282"/>
      <c r="J483" s="1282"/>
      <c r="K483" s="1282"/>
      <c r="L483" s="1282"/>
      <c r="M483" s="1282"/>
      <c r="N483" s="1282"/>
      <c r="O483" s="1282"/>
      <c r="P483" s="1282"/>
      <c r="Q483" s="1282"/>
      <c r="R483" s="1282"/>
      <c r="S483" s="1282"/>
      <c r="T483" s="1282"/>
      <c r="U483" s="1282"/>
      <c r="V483" s="1282"/>
      <c r="W483" s="1282"/>
      <c r="X483" s="1282"/>
      <c r="Y483" s="1282"/>
      <c r="Z483" s="1282"/>
    </row>
    <row r="484">
      <c r="A484" s="1282"/>
      <c r="B484" s="1282"/>
      <c r="C484" s="1282"/>
      <c r="D484" s="1282"/>
      <c r="E484" s="1282"/>
      <c r="F484" s="1282"/>
      <c r="G484" s="1282"/>
      <c r="H484" s="1282"/>
      <c r="I484" s="1282"/>
      <c r="J484" s="1282"/>
      <c r="K484" s="1282"/>
      <c r="L484" s="1282"/>
      <c r="M484" s="1282"/>
      <c r="N484" s="1282"/>
      <c r="O484" s="1282"/>
      <c r="P484" s="1282"/>
      <c r="Q484" s="1282"/>
      <c r="R484" s="1282"/>
      <c r="S484" s="1282"/>
      <c r="T484" s="1282"/>
      <c r="U484" s="1282"/>
      <c r="V484" s="1282"/>
      <c r="W484" s="1282"/>
      <c r="X484" s="1282"/>
      <c r="Y484" s="1282"/>
      <c r="Z484" s="1282"/>
    </row>
    <row r="485">
      <c r="A485" s="1282"/>
      <c r="B485" s="1282"/>
      <c r="C485" s="1282"/>
      <c r="D485" s="1282"/>
      <c r="E485" s="1282"/>
      <c r="F485" s="1282"/>
      <c r="G485" s="1282"/>
      <c r="H485" s="1282"/>
      <c r="I485" s="1282"/>
      <c r="J485" s="1282"/>
      <c r="K485" s="1282"/>
      <c r="L485" s="1282"/>
      <c r="M485" s="1282"/>
      <c r="N485" s="1282"/>
      <c r="O485" s="1282"/>
      <c r="P485" s="1282"/>
      <c r="Q485" s="1282"/>
      <c r="R485" s="1282"/>
      <c r="S485" s="1282"/>
      <c r="T485" s="1282"/>
      <c r="U485" s="1282"/>
      <c r="V485" s="1282"/>
      <c r="W485" s="1282"/>
      <c r="X485" s="1282"/>
      <c r="Y485" s="1282"/>
      <c r="Z485" s="1282"/>
    </row>
    <row r="486">
      <c r="A486" s="1282"/>
      <c r="B486" s="1282"/>
      <c r="C486" s="1282"/>
      <c r="D486" s="1282"/>
      <c r="E486" s="1282"/>
      <c r="F486" s="1282"/>
      <c r="G486" s="1282"/>
      <c r="H486" s="1282"/>
      <c r="I486" s="1282"/>
      <c r="J486" s="1282"/>
      <c r="K486" s="1282"/>
      <c r="L486" s="1282"/>
      <c r="M486" s="1282"/>
      <c r="N486" s="1282"/>
      <c r="O486" s="1282"/>
      <c r="P486" s="1282"/>
      <c r="Q486" s="1282"/>
      <c r="R486" s="1282"/>
      <c r="S486" s="1282"/>
      <c r="T486" s="1282"/>
      <c r="U486" s="1282"/>
      <c r="V486" s="1282"/>
      <c r="W486" s="1282"/>
      <c r="X486" s="1282"/>
      <c r="Y486" s="1282"/>
      <c r="Z486" s="1282"/>
    </row>
    <row r="487">
      <c r="A487" s="1282"/>
      <c r="B487" s="1282"/>
      <c r="C487" s="1282"/>
      <c r="D487" s="1282"/>
      <c r="E487" s="1282"/>
      <c r="F487" s="1282"/>
      <c r="G487" s="1282"/>
      <c r="H487" s="1282"/>
      <c r="I487" s="1282"/>
      <c r="J487" s="1282"/>
      <c r="K487" s="1282"/>
      <c r="L487" s="1282"/>
      <c r="M487" s="1282"/>
      <c r="N487" s="1282"/>
      <c r="O487" s="1282"/>
      <c r="P487" s="1282"/>
      <c r="Q487" s="1282"/>
      <c r="R487" s="1282"/>
      <c r="S487" s="1282"/>
      <c r="T487" s="1282"/>
      <c r="U487" s="1282"/>
      <c r="V487" s="1282"/>
      <c r="W487" s="1282"/>
      <c r="X487" s="1282"/>
      <c r="Y487" s="1282"/>
      <c r="Z487" s="1282"/>
    </row>
    <row r="488">
      <c r="A488" s="1282"/>
      <c r="B488" s="1282"/>
      <c r="C488" s="1282"/>
      <c r="D488" s="1282"/>
      <c r="E488" s="1282"/>
      <c r="F488" s="1282"/>
      <c r="G488" s="1282"/>
      <c r="H488" s="1282"/>
      <c r="I488" s="1282"/>
      <c r="J488" s="1282"/>
      <c r="K488" s="1282"/>
      <c r="L488" s="1282"/>
      <c r="M488" s="1282"/>
      <c r="N488" s="1282"/>
      <c r="O488" s="1282"/>
      <c r="P488" s="1282"/>
      <c r="Q488" s="1282"/>
      <c r="R488" s="1282"/>
      <c r="S488" s="1282"/>
      <c r="T488" s="1282"/>
      <c r="U488" s="1282"/>
      <c r="V488" s="1282"/>
      <c r="W488" s="1282"/>
      <c r="X488" s="1282"/>
      <c r="Y488" s="1282"/>
      <c r="Z488" s="1282"/>
    </row>
    <row r="489">
      <c r="A489" s="1282"/>
      <c r="B489" s="1282"/>
      <c r="C489" s="1282"/>
      <c r="D489" s="1282"/>
      <c r="E489" s="1282"/>
      <c r="F489" s="1282"/>
      <c r="G489" s="1282"/>
      <c r="H489" s="1282"/>
      <c r="I489" s="1282"/>
      <c r="J489" s="1282"/>
      <c r="K489" s="1282"/>
      <c r="L489" s="1282"/>
      <c r="M489" s="1282"/>
      <c r="N489" s="1282"/>
      <c r="O489" s="1282"/>
      <c r="P489" s="1282"/>
      <c r="Q489" s="1282"/>
      <c r="R489" s="1282"/>
      <c r="S489" s="1282"/>
      <c r="T489" s="1282"/>
      <c r="U489" s="1282"/>
      <c r="V489" s="1282"/>
      <c r="W489" s="1282"/>
      <c r="X489" s="1282"/>
      <c r="Y489" s="1282"/>
      <c r="Z489" s="1282"/>
    </row>
    <row r="490">
      <c r="A490" s="1282"/>
      <c r="B490" s="1282"/>
      <c r="C490" s="1282"/>
      <c r="D490" s="1282"/>
      <c r="E490" s="1282"/>
      <c r="F490" s="1282"/>
      <c r="G490" s="1282"/>
      <c r="H490" s="1282"/>
      <c r="I490" s="1282"/>
      <c r="J490" s="1282"/>
      <c r="K490" s="1282"/>
      <c r="L490" s="1282"/>
      <c r="M490" s="1282"/>
      <c r="N490" s="1282"/>
      <c r="O490" s="1282"/>
      <c r="P490" s="1282"/>
      <c r="Q490" s="1282"/>
      <c r="R490" s="1282"/>
      <c r="S490" s="1282"/>
      <c r="T490" s="1282"/>
      <c r="U490" s="1282"/>
      <c r="V490" s="1282"/>
      <c r="W490" s="1282"/>
      <c r="X490" s="1282"/>
      <c r="Y490" s="1282"/>
      <c r="Z490" s="1282"/>
    </row>
    <row r="491">
      <c r="A491" s="1282"/>
      <c r="B491" s="1282"/>
      <c r="C491" s="1282"/>
      <c r="D491" s="1282"/>
      <c r="E491" s="1282"/>
      <c r="F491" s="1282"/>
      <c r="G491" s="1282"/>
      <c r="H491" s="1282"/>
      <c r="I491" s="1282"/>
      <c r="J491" s="1282"/>
      <c r="K491" s="1282"/>
      <c r="L491" s="1282"/>
      <c r="M491" s="1282"/>
      <c r="N491" s="1282"/>
      <c r="O491" s="1282"/>
      <c r="P491" s="1282"/>
      <c r="Q491" s="1282"/>
      <c r="R491" s="1282"/>
      <c r="S491" s="1282"/>
      <c r="T491" s="1282"/>
      <c r="U491" s="1282"/>
      <c r="V491" s="1282"/>
      <c r="W491" s="1282"/>
      <c r="X491" s="1282"/>
      <c r="Y491" s="1282"/>
      <c r="Z491" s="1282"/>
    </row>
    <row r="492">
      <c r="A492" s="1282"/>
      <c r="B492" s="1282"/>
      <c r="C492" s="1282"/>
      <c r="D492" s="1282"/>
      <c r="E492" s="1282"/>
      <c r="F492" s="1282"/>
      <c r="G492" s="1282"/>
      <c r="H492" s="1282"/>
      <c r="I492" s="1282"/>
      <c r="J492" s="1282"/>
      <c r="K492" s="1282"/>
      <c r="L492" s="1282"/>
      <c r="M492" s="1282"/>
      <c r="N492" s="1282"/>
      <c r="O492" s="1282"/>
      <c r="P492" s="1282"/>
      <c r="Q492" s="1282"/>
      <c r="R492" s="1282"/>
      <c r="S492" s="1282"/>
      <c r="T492" s="1282"/>
      <c r="U492" s="1282"/>
      <c r="V492" s="1282"/>
      <c r="W492" s="1282"/>
      <c r="X492" s="1282"/>
      <c r="Y492" s="1282"/>
      <c r="Z492" s="1282"/>
    </row>
    <row r="493">
      <c r="A493" s="1282"/>
      <c r="B493" s="1282"/>
      <c r="C493" s="1282"/>
      <c r="D493" s="1282"/>
      <c r="E493" s="1282"/>
      <c r="F493" s="1282"/>
      <c r="G493" s="1282"/>
      <c r="H493" s="1282"/>
      <c r="I493" s="1282"/>
      <c r="J493" s="1282"/>
      <c r="K493" s="1282"/>
      <c r="L493" s="1282"/>
      <c r="M493" s="1282"/>
      <c r="N493" s="1282"/>
      <c r="O493" s="1282"/>
      <c r="P493" s="1282"/>
      <c r="Q493" s="1282"/>
      <c r="R493" s="1282"/>
      <c r="S493" s="1282"/>
      <c r="T493" s="1282"/>
      <c r="U493" s="1282"/>
      <c r="V493" s="1282"/>
      <c r="W493" s="1282"/>
      <c r="X493" s="1282"/>
      <c r="Y493" s="1282"/>
      <c r="Z493" s="1282"/>
    </row>
    <row r="494">
      <c r="A494" s="1282"/>
      <c r="B494" s="1282"/>
      <c r="C494" s="1282"/>
      <c r="D494" s="1282"/>
      <c r="E494" s="1282"/>
      <c r="F494" s="1282"/>
      <c r="G494" s="1282"/>
      <c r="H494" s="1282"/>
      <c r="I494" s="1282"/>
      <c r="J494" s="1282"/>
      <c r="K494" s="1282"/>
      <c r="L494" s="1282"/>
      <c r="M494" s="1282"/>
      <c r="N494" s="1282"/>
      <c r="O494" s="1282"/>
      <c r="P494" s="1282"/>
      <c r="Q494" s="1282"/>
      <c r="R494" s="1282"/>
      <c r="S494" s="1282"/>
      <c r="T494" s="1282"/>
      <c r="U494" s="1282"/>
      <c r="V494" s="1282"/>
      <c r="W494" s="1282"/>
      <c r="X494" s="1282"/>
      <c r="Y494" s="1282"/>
      <c r="Z494" s="1282"/>
    </row>
    <row r="495">
      <c r="A495" s="1282"/>
      <c r="B495" s="1282"/>
      <c r="C495" s="1282"/>
      <c r="D495" s="1282"/>
      <c r="E495" s="1282"/>
      <c r="F495" s="1282"/>
      <c r="G495" s="1282"/>
      <c r="H495" s="1282"/>
      <c r="I495" s="1282"/>
      <c r="J495" s="1282"/>
      <c r="K495" s="1282"/>
      <c r="L495" s="1282"/>
      <c r="M495" s="1282"/>
      <c r="N495" s="1282"/>
      <c r="O495" s="1282"/>
      <c r="P495" s="1282"/>
      <c r="Q495" s="1282"/>
      <c r="R495" s="1282"/>
      <c r="S495" s="1282"/>
      <c r="T495" s="1282"/>
      <c r="U495" s="1282"/>
      <c r="V495" s="1282"/>
      <c r="W495" s="1282"/>
      <c r="X495" s="1282"/>
      <c r="Y495" s="1282"/>
      <c r="Z495" s="1282"/>
    </row>
    <row r="496">
      <c r="A496" s="1282"/>
      <c r="B496" s="1282"/>
      <c r="C496" s="1282"/>
      <c r="D496" s="1282"/>
      <c r="E496" s="1282"/>
      <c r="F496" s="1282"/>
      <c r="G496" s="1282"/>
      <c r="H496" s="1282"/>
      <c r="I496" s="1282"/>
      <c r="J496" s="1282"/>
      <c r="K496" s="1282"/>
      <c r="L496" s="1282"/>
      <c r="M496" s="1282"/>
      <c r="N496" s="1282"/>
      <c r="O496" s="1282"/>
      <c r="P496" s="1282"/>
      <c r="Q496" s="1282"/>
      <c r="R496" s="1282"/>
      <c r="S496" s="1282"/>
      <c r="T496" s="1282"/>
      <c r="U496" s="1282"/>
      <c r="V496" s="1282"/>
      <c r="W496" s="1282"/>
      <c r="X496" s="1282"/>
      <c r="Y496" s="1282"/>
      <c r="Z496" s="1282"/>
    </row>
    <row r="497">
      <c r="A497" s="1282"/>
      <c r="B497" s="1282"/>
      <c r="C497" s="1282"/>
      <c r="D497" s="1282"/>
      <c r="E497" s="1282"/>
      <c r="F497" s="1282"/>
      <c r="G497" s="1282"/>
      <c r="H497" s="1282"/>
      <c r="I497" s="1282"/>
      <c r="J497" s="1282"/>
      <c r="K497" s="1282"/>
      <c r="L497" s="1282"/>
      <c r="M497" s="1282"/>
      <c r="N497" s="1282"/>
      <c r="O497" s="1282"/>
      <c r="P497" s="1282"/>
      <c r="Q497" s="1282"/>
      <c r="R497" s="1282"/>
      <c r="S497" s="1282"/>
      <c r="T497" s="1282"/>
      <c r="U497" s="1282"/>
      <c r="V497" s="1282"/>
      <c r="W497" s="1282"/>
      <c r="X497" s="1282"/>
      <c r="Y497" s="1282"/>
      <c r="Z497" s="1282"/>
    </row>
    <row r="498">
      <c r="A498" s="1282"/>
      <c r="B498" s="1282"/>
      <c r="C498" s="1282"/>
      <c r="D498" s="1282"/>
      <c r="E498" s="1282"/>
      <c r="F498" s="1282"/>
      <c r="G498" s="1282"/>
      <c r="H498" s="1282"/>
      <c r="I498" s="1282"/>
      <c r="J498" s="1282"/>
      <c r="K498" s="1282"/>
      <c r="L498" s="1282"/>
      <c r="M498" s="1282"/>
      <c r="N498" s="1282"/>
      <c r="O498" s="1282"/>
      <c r="P498" s="1282"/>
      <c r="Q498" s="1282"/>
      <c r="R498" s="1282"/>
      <c r="S498" s="1282"/>
      <c r="T498" s="1282"/>
      <c r="U498" s="1282"/>
      <c r="V498" s="1282"/>
      <c r="W498" s="1282"/>
      <c r="X498" s="1282"/>
      <c r="Y498" s="1282"/>
      <c r="Z498" s="1282"/>
    </row>
    <row r="499">
      <c r="A499" s="1282"/>
      <c r="B499" s="1282"/>
      <c r="C499" s="1282"/>
      <c r="D499" s="1282"/>
      <c r="E499" s="1282"/>
      <c r="F499" s="1282"/>
      <c r="G499" s="1282"/>
      <c r="H499" s="1282"/>
      <c r="I499" s="1282"/>
      <c r="J499" s="1282"/>
      <c r="K499" s="1282"/>
      <c r="L499" s="1282"/>
      <c r="M499" s="1282"/>
      <c r="N499" s="1282"/>
      <c r="O499" s="1282"/>
      <c r="P499" s="1282"/>
      <c r="Q499" s="1282"/>
      <c r="R499" s="1282"/>
      <c r="S499" s="1282"/>
      <c r="T499" s="1282"/>
      <c r="U499" s="1282"/>
      <c r="V499" s="1282"/>
      <c r="W499" s="1282"/>
      <c r="X499" s="1282"/>
      <c r="Y499" s="1282"/>
      <c r="Z499" s="1282"/>
    </row>
    <row r="500">
      <c r="A500" s="1282"/>
      <c r="B500" s="1282"/>
      <c r="C500" s="1282"/>
      <c r="D500" s="1282"/>
      <c r="E500" s="1282"/>
      <c r="F500" s="1282"/>
      <c r="G500" s="1282"/>
      <c r="H500" s="1282"/>
      <c r="I500" s="1282"/>
      <c r="J500" s="1282"/>
      <c r="K500" s="1282"/>
      <c r="L500" s="1282"/>
      <c r="M500" s="1282"/>
      <c r="N500" s="1282"/>
      <c r="O500" s="1282"/>
      <c r="P500" s="1282"/>
      <c r="Q500" s="1282"/>
      <c r="R500" s="1282"/>
      <c r="S500" s="1282"/>
      <c r="T500" s="1282"/>
      <c r="U500" s="1282"/>
      <c r="V500" s="1282"/>
      <c r="W500" s="1282"/>
      <c r="X500" s="1282"/>
      <c r="Y500" s="1282"/>
      <c r="Z500" s="1282"/>
    </row>
    <row r="501">
      <c r="A501" s="1282"/>
      <c r="B501" s="1282"/>
      <c r="C501" s="1282"/>
      <c r="D501" s="1282"/>
      <c r="E501" s="1282"/>
      <c r="F501" s="1282"/>
      <c r="G501" s="1282"/>
      <c r="H501" s="1282"/>
      <c r="I501" s="1282"/>
      <c r="J501" s="1282"/>
      <c r="K501" s="1282"/>
      <c r="L501" s="1282"/>
      <c r="M501" s="1282"/>
      <c r="N501" s="1282"/>
      <c r="O501" s="1282"/>
      <c r="P501" s="1282"/>
      <c r="Q501" s="1282"/>
      <c r="R501" s="1282"/>
      <c r="S501" s="1282"/>
      <c r="T501" s="1282"/>
      <c r="U501" s="1282"/>
      <c r="V501" s="1282"/>
      <c r="W501" s="1282"/>
      <c r="X501" s="1282"/>
      <c r="Y501" s="1282"/>
      <c r="Z501" s="1282"/>
    </row>
    <row r="502">
      <c r="A502" s="1282"/>
      <c r="B502" s="1282"/>
      <c r="C502" s="1282"/>
      <c r="D502" s="1282"/>
      <c r="E502" s="1282"/>
      <c r="F502" s="1282"/>
      <c r="G502" s="1282"/>
      <c r="H502" s="1282"/>
      <c r="I502" s="1282"/>
      <c r="J502" s="1282"/>
      <c r="K502" s="1282"/>
      <c r="L502" s="1282"/>
      <c r="M502" s="1282"/>
      <c r="N502" s="1282"/>
      <c r="O502" s="1282"/>
      <c r="P502" s="1282"/>
      <c r="Q502" s="1282"/>
      <c r="R502" s="1282"/>
      <c r="S502" s="1282"/>
      <c r="T502" s="1282"/>
      <c r="U502" s="1282"/>
      <c r="V502" s="1282"/>
      <c r="W502" s="1282"/>
      <c r="X502" s="1282"/>
      <c r="Y502" s="1282"/>
      <c r="Z502" s="1282"/>
    </row>
    <row r="503">
      <c r="A503" s="1282"/>
      <c r="B503" s="1282"/>
      <c r="C503" s="1282"/>
      <c r="D503" s="1282"/>
      <c r="E503" s="1282"/>
      <c r="F503" s="1282"/>
      <c r="G503" s="1282"/>
      <c r="H503" s="1282"/>
      <c r="I503" s="1282"/>
      <c r="J503" s="1282"/>
      <c r="K503" s="1282"/>
      <c r="L503" s="1282"/>
      <c r="M503" s="1282"/>
      <c r="N503" s="1282"/>
      <c r="O503" s="1282"/>
      <c r="P503" s="1282"/>
      <c r="Q503" s="1282"/>
      <c r="R503" s="1282"/>
      <c r="S503" s="1282"/>
      <c r="T503" s="1282"/>
      <c r="U503" s="1282"/>
      <c r="V503" s="1282"/>
      <c r="W503" s="1282"/>
      <c r="X503" s="1282"/>
      <c r="Y503" s="1282"/>
      <c r="Z503" s="1282"/>
    </row>
    <row r="504">
      <c r="A504" s="1282"/>
      <c r="B504" s="1282"/>
      <c r="C504" s="1282"/>
      <c r="D504" s="1282"/>
      <c r="E504" s="1282"/>
      <c r="F504" s="1282"/>
      <c r="G504" s="1282"/>
      <c r="H504" s="1282"/>
      <c r="I504" s="1282"/>
      <c r="J504" s="1282"/>
      <c r="K504" s="1282"/>
      <c r="L504" s="1282"/>
      <c r="M504" s="1282"/>
      <c r="N504" s="1282"/>
      <c r="O504" s="1282"/>
      <c r="P504" s="1282"/>
      <c r="Q504" s="1282"/>
      <c r="R504" s="1282"/>
      <c r="S504" s="1282"/>
      <c r="T504" s="1282"/>
      <c r="U504" s="1282"/>
      <c r="V504" s="1282"/>
      <c r="W504" s="1282"/>
      <c r="X504" s="1282"/>
      <c r="Y504" s="1282"/>
      <c r="Z504" s="1282"/>
    </row>
    <row r="505">
      <c r="A505" s="1282"/>
      <c r="B505" s="1282"/>
      <c r="C505" s="1282"/>
      <c r="D505" s="1282"/>
      <c r="E505" s="1282"/>
      <c r="F505" s="1282"/>
      <c r="G505" s="1282"/>
      <c r="H505" s="1282"/>
      <c r="I505" s="1282"/>
      <c r="J505" s="1282"/>
      <c r="K505" s="1282"/>
      <c r="L505" s="1282"/>
      <c r="M505" s="1282"/>
      <c r="N505" s="1282"/>
      <c r="O505" s="1282"/>
      <c r="P505" s="1282"/>
      <c r="Q505" s="1282"/>
      <c r="R505" s="1282"/>
      <c r="S505" s="1282"/>
      <c r="T505" s="1282"/>
      <c r="U505" s="1282"/>
      <c r="V505" s="1282"/>
      <c r="W505" s="1282"/>
      <c r="X505" s="1282"/>
      <c r="Y505" s="1282"/>
      <c r="Z505" s="1282"/>
    </row>
    <row r="506">
      <c r="A506" s="1282"/>
      <c r="B506" s="1282"/>
      <c r="C506" s="1282"/>
      <c r="D506" s="1282"/>
      <c r="E506" s="1282"/>
      <c r="F506" s="1282"/>
      <c r="G506" s="1282"/>
      <c r="H506" s="1282"/>
      <c r="I506" s="1282"/>
      <c r="J506" s="1282"/>
      <c r="K506" s="1282"/>
      <c r="L506" s="1282"/>
      <c r="M506" s="1282"/>
      <c r="N506" s="1282"/>
      <c r="O506" s="1282"/>
      <c r="P506" s="1282"/>
      <c r="Q506" s="1282"/>
      <c r="R506" s="1282"/>
      <c r="S506" s="1282"/>
      <c r="T506" s="1282"/>
      <c r="U506" s="1282"/>
      <c r="V506" s="1282"/>
      <c r="W506" s="1282"/>
      <c r="X506" s="1282"/>
      <c r="Y506" s="1282"/>
      <c r="Z506" s="1282"/>
    </row>
    <row r="507">
      <c r="A507" s="1282"/>
      <c r="B507" s="1282"/>
      <c r="C507" s="1282"/>
      <c r="D507" s="1282"/>
      <c r="E507" s="1282"/>
      <c r="F507" s="1282"/>
      <c r="G507" s="1282"/>
      <c r="H507" s="1282"/>
      <c r="I507" s="1282"/>
      <c r="J507" s="1282"/>
      <c r="K507" s="1282"/>
      <c r="L507" s="1282"/>
      <c r="M507" s="1282"/>
      <c r="N507" s="1282"/>
      <c r="O507" s="1282"/>
      <c r="P507" s="1282"/>
      <c r="Q507" s="1282"/>
      <c r="R507" s="1282"/>
      <c r="S507" s="1282"/>
      <c r="T507" s="1282"/>
      <c r="U507" s="1282"/>
      <c r="V507" s="1282"/>
      <c r="W507" s="1282"/>
      <c r="X507" s="1282"/>
      <c r="Y507" s="1282"/>
      <c r="Z507" s="1282"/>
    </row>
    <row r="508">
      <c r="A508" s="1282"/>
      <c r="B508" s="1282"/>
      <c r="C508" s="1282"/>
      <c r="D508" s="1282"/>
      <c r="E508" s="1282"/>
      <c r="F508" s="1282"/>
      <c r="G508" s="1282"/>
      <c r="H508" s="1282"/>
      <c r="I508" s="1282"/>
      <c r="J508" s="1282"/>
      <c r="K508" s="1282"/>
      <c r="L508" s="1282"/>
      <c r="M508" s="1282"/>
      <c r="N508" s="1282"/>
      <c r="O508" s="1282"/>
      <c r="P508" s="1282"/>
      <c r="Q508" s="1282"/>
      <c r="R508" s="1282"/>
      <c r="S508" s="1282"/>
      <c r="T508" s="1282"/>
      <c r="U508" s="1282"/>
      <c r="V508" s="1282"/>
      <c r="W508" s="1282"/>
      <c r="X508" s="1282"/>
      <c r="Y508" s="1282"/>
      <c r="Z508" s="1282"/>
    </row>
    <row r="509">
      <c r="A509" s="1282"/>
      <c r="B509" s="1282"/>
      <c r="C509" s="1282"/>
      <c r="D509" s="1282"/>
      <c r="E509" s="1282"/>
      <c r="F509" s="1282"/>
      <c r="G509" s="1282"/>
      <c r="H509" s="1282"/>
      <c r="I509" s="1282"/>
      <c r="J509" s="1282"/>
      <c r="K509" s="1282"/>
      <c r="L509" s="1282"/>
      <c r="M509" s="1282"/>
      <c r="N509" s="1282"/>
      <c r="O509" s="1282"/>
      <c r="P509" s="1282"/>
      <c r="Q509" s="1282"/>
      <c r="R509" s="1282"/>
      <c r="S509" s="1282"/>
      <c r="T509" s="1282"/>
      <c r="U509" s="1282"/>
      <c r="V509" s="1282"/>
      <c r="W509" s="1282"/>
      <c r="X509" s="1282"/>
      <c r="Y509" s="1282"/>
      <c r="Z509" s="1282"/>
    </row>
    <row r="510">
      <c r="A510" s="1282"/>
      <c r="B510" s="1282"/>
      <c r="C510" s="1282"/>
      <c r="D510" s="1282"/>
      <c r="E510" s="1282"/>
      <c r="F510" s="1282"/>
      <c r="G510" s="1282"/>
      <c r="H510" s="1282"/>
      <c r="I510" s="1282"/>
      <c r="J510" s="1282"/>
      <c r="K510" s="1282"/>
      <c r="L510" s="1282"/>
      <c r="M510" s="1282"/>
      <c r="N510" s="1282"/>
      <c r="O510" s="1282"/>
      <c r="P510" s="1282"/>
      <c r="Q510" s="1282"/>
      <c r="R510" s="1282"/>
      <c r="S510" s="1282"/>
      <c r="T510" s="1282"/>
      <c r="U510" s="1282"/>
      <c r="V510" s="1282"/>
      <c r="W510" s="1282"/>
      <c r="X510" s="1282"/>
      <c r="Y510" s="1282"/>
      <c r="Z510" s="1282"/>
    </row>
    <row r="511">
      <c r="A511" s="1282"/>
      <c r="B511" s="1282"/>
      <c r="C511" s="1282"/>
      <c r="D511" s="1282"/>
      <c r="E511" s="1282"/>
      <c r="F511" s="1282"/>
      <c r="G511" s="1282"/>
      <c r="H511" s="1282"/>
      <c r="I511" s="1282"/>
      <c r="J511" s="1282"/>
      <c r="K511" s="1282"/>
      <c r="L511" s="1282"/>
      <c r="M511" s="1282"/>
      <c r="N511" s="1282"/>
      <c r="O511" s="1282"/>
      <c r="P511" s="1282"/>
      <c r="Q511" s="1282"/>
      <c r="R511" s="1282"/>
      <c r="S511" s="1282"/>
      <c r="T511" s="1282"/>
      <c r="U511" s="1282"/>
      <c r="V511" s="1282"/>
      <c r="W511" s="1282"/>
      <c r="X511" s="1282"/>
      <c r="Y511" s="1282"/>
      <c r="Z511" s="1282"/>
    </row>
    <row r="512">
      <c r="A512" s="1282"/>
      <c r="B512" s="1282"/>
      <c r="C512" s="1282"/>
      <c r="D512" s="1282"/>
      <c r="E512" s="1282"/>
      <c r="F512" s="1282"/>
      <c r="G512" s="1282"/>
      <c r="H512" s="1282"/>
      <c r="I512" s="1282"/>
      <c r="J512" s="1282"/>
      <c r="K512" s="1282"/>
      <c r="L512" s="1282"/>
      <c r="M512" s="1282"/>
      <c r="N512" s="1282"/>
      <c r="O512" s="1282"/>
      <c r="P512" s="1282"/>
      <c r="Q512" s="1282"/>
      <c r="R512" s="1282"/>
      <c r="S512" s="1282"/>
      <c r="T512" s="1282"/>
      <c r="U512" s="1282"/>
      <c r="V512" s="1282"/>
      <c r="W512" s="1282"/>
      <c r="X512" s="1282"/>
      <c r="Y512" s="1282"/>
      <c r="Z512" s="1282"/>
    </row>
    <row r="513">
      <c r="A513" s="1282"/>
      <c r="B513" s="1282"/>
      <c r="C513" s="1282"/>
      <c r="D513" s="1282"/>
      <c r="E513" s="1282"/>
      <c r="F513" s="1282"/>
      <c r="G513" s="1282"/>
      <c r="H513" s="1282"/>
      <c r="I513" s="1282"/>
      <c r="J513" s="1282"/>
      <c r="K513" s="1282"/>
      <c r="L513" s="1282"/>
      <c r="M513" s="1282"/>
      <c r="N513" s="1282"/>
      <c r="O513" s="1282"/>
      <c r="P513" s="1282"/>
      <c r="Q513" s="1282"/>
      <c r="R513" s="1282"/>
      <c r="S513" s="1282"/>
      <c r="T513" s="1282"/>
      <c r="U513" s="1282"/>
      <c r="V513" s="1282"/>
      <c r="W513" s="1282"/>
      <c r="X513" s="1282"/>
      <c r="Y513" s="1282"/>
      <c r="Z513" s="1282"/>
    </row>
    <row r="514">
      <c r="A514" s="1282"/>
      <c r="B514" s="1282"/>
      <c r="C514" s="1282"/>
      <c r="D514" s="1282"/>
      <c r="E514" s="1282"/>
      <c r="F514" s="1282"/>
      <c r="G514" s="1282"/>
      <c r="H514" s="1282"/>
      <c r="I514" s="1282"/>
      <c r="J514" s="1282"/>
      <c r="K514" s="1282"/>
      <c r="L514" s="1282"/>
      <c r="M514" s="1282"/>
      <c r="N514" s="1282"/>
      <c r="O514" s="1282"/>
      <c r="P514" s="1282"/>
      <c r="Q514" s="1282"/>
      <c r="R514" s="1282"/>
      <c r="S514" s="1282"/>
      <c r="T514" s="1282"/>
      <c r="U514" s="1282"/>
      <c r="V514" s="1282"/>
      <c r="W514" s="1282"/>
      <c r="X514" s="1282"/>
      <c r="Y514" s="1282"/>
      <c r="Z514" s="1282"/>
    </row>
    <row r="515">
      <c r="A515" s="1282"/>
      <c r="B515" s="1282"/>
      <c r="C515" s="1282"/>
      <c r="D515" s="1282"/>
      <c r="E515" s="1282"/>
      <c r="F515" s="1282"/>
      <c r="G515" s="1282"/>
      <c r="H515" s="1282"/>
      <c r="I515" s="1282"/>
      <c r="J515" s="1282"/>
      <c r="K515" s="1282"/>
      <c r="L515" s="1282"/>
      <c r="M515" s="1282"/>
      <c r="N515" s="1282"/>
      <c r="O515" s="1282"/>
      <c r="P515" s="1282"/>
      <c r="Q515" s="1282"/>
      <c r="R515" s="1282"/>
      <c r="S515" s="1282"/>
      <c r="T515" s="1282"/>
      <c r="U515" s="1282"/>
      <c r="V515" s="1282"/>
      <c r="W515" s="1282"/>
      <c r="X515" s="1282"/>
      <c r="Y515" s="1282"/>
      <c r="Z515" s="1282"/>
    </row>
    <row r="516">
      <c r="A516" s="1282"/>
      <c r="B516" s="1282"/>
      <c r="C516" s="1282"/>
      <c r="D516" s="1282"/>
      <c r="E516" s="1282"/>
      <c r="F516" s="1282"/>
      <c r="G516" s="1282"/>
      <c r="H516" s="1282"/>
      <c r="I516" s="1282"/>
      <c r="J516" s="1282"/>
      <c r="K516" s="1282"/>
      <c r="L516" s="1282"/>
      <c r="M516" s="1282"/>
      <c r="N516" s="1282"/>
      <c r="O516" s="1282"/>
      <c r="P516" s="1282"/>
      <c r="Q516" s="1282"/>
      <c r="R516" s="1282"/>
      <c r="S516" s="1282"/>
      <c r="T516" s="1282"/>
      <c r="U516" s="1282"/>
      <c r="V516" s="1282"/>
      <c r="W516" s="1282"/>
      <c r="X516" s="1282"/>
      <c r="Y516" s="1282"/>
      <c r="Z516" s="1282"/>
    </row>
    <row r="517">
      <c r="A517" s="1282"/>
      <c r="B517" s="1282"/>
      <c r="C517" s="1282"/>
      <c r="D517" s="1282"/>
      <c r="E517" s="1282"/>
      <c r="F517" s="1282"/>
      <c r="G517" s="1282"/>
      <c r="H517" s="1282"/>
      <c r="I517" s="1282"/>
      <c r="J517" s="1282"/>
      <c r="K517" s="1282"/>
      <c r="L517" s="1282"/>
      <c r="M517" s="1282"/>
      <c r="N517" s="1282"/>
      <c r="O517" s="1282"/>
      <c r="P517" s="1282"/>
      <c r="Q517" s="1282"/>
      <c r="R517" s="1282"/>
      <c r="S517" s="1282"/>
      <c r="T517" s="1282"/>
      <c r="U517" s="1282"/>
      <c r="V517" s="1282"/>
      <c r="W517" s="1282"/>
      <c r="X517" s="1282"/>
      <c r="Y517" s="1282"/>
      <c r="Z517" s="1282"/>
    </row>
    <row r="518">
      <c r="A518" s="1282"/>
      <c r="B518" s="1282"/>
      <c r="C518" s="1282"/>
      <c r="D518" s="1282"/>
      <c r="E518" s="1282"/>
      <c r="F518" s="1282"/>
      <c r="G518" s="1282"/>
      <c r="H518" s="1282"/>
      <c r="I518" s="1282"/>
      <c r="J518" s="1282"/>
      <c r="K518" s="1282"/>
      <c r="L518" s="1282"/>
      <c r="M518" s="1282"/>
      <c r="N518" s="1282"/>
      <c r="O518" s="1282"/>
      <c r="P518" s="1282"/>
      <c r="Q518" s="1282"/>
      <c r="R518" s="1282"/>
      <c r="S518" s="1282"/>
      <c r="T518" s="1282"/>
      <c r="U518" s="1282"/>
      <c r="V518" s="1282"/>
      <c r="W518" s="1282"/>
      <c r="X518" s="1282"/>
      <c r="Y518" s="1282"/>
      <c r="Z518" s="1282"/>
    </row>
    <row r="519">
      <c r="A519" s="1282"/>
      <c r="B519" s="1282"/>
      <c r="C519" s="1282"/>
      <c r="D519" s="1282"/>
      <c r="E519" s="1282"/>
      <c r="F519" s="1282"/>
      <c r="G519" s="1282"/>
      <c r="H519" s="1282"/>
      <c r="I519" s="1282"/>
      <c r="J519" s="1282"/>
      <c r="K519" s="1282"/>
      <c r="L519" s="1282"/>
      <c r="M519" s="1282"/>
      <c r="N519" s="1282"/>
      <c r="O519" s="1282"/>
      <c r="P519" s="1282"/>
      <c r="Q519" s="1282"/>
      <c r="R519" s="1282"/>
      <c r="S519" s="1282"/>
      <c r="T519" s="1282"/>
      <c r="U519" s="1282"/>
      <c r="V519" s="1282"/>
      <c r="W519" s="1282"/>
      <c r="X519" s="1282"/>
      <c r="Y519" s="1282"/>
      <c r="Z519" s="1282"/>
    </row>
    <row r="520">
      <c r="A520" s="1282"/>
      <c r="B520" s="1282"/>
      <c r="C520" s="1282"/>
      <c r="D520" s="1282"/>
      <c r="E520" s="1282"/>
      <c r="F520" s="1282"/>
      <c r="G520" s="1282"/>
      <c r="H520" s="1282"/>
      <c r="I520" s="1282"/>
      <c r="J520" s="1282"/>
      <c r="K520" s="1282"/>
      <c r="L520" s="1282"/>
      <c r="M520" s="1282"/>
      <c r="N520" s="1282"/>
      <c r="O520" s="1282"/>
      <c r="P520" s="1282"/>
      <c r="Q520" s="1282"/>
      <c r="R520" s="1282"/>
      <c r="S520" s="1282"/>
      <c r="T520" s="1282"/>
      <c r="U520" s="1282"/>
      <c r="V520" s="1282"/>
      <c r="W520" s="1282"/>
      <c r="X520" s="1282"/>
      <c r="Y520" s="1282"/>
      <c r="Z520" s="1282"/>
    </row>
    <row r="521">
      <c r="A521" s="1282"/>
      <c r="B521" s="1282"/>
      <c r="C521" s="1282"/>
      <c r="D521" s="1282"/>
      <c r="E521" s="1282"/>
      <c r="F521" s="1282"/>
      <c r="G521" s="1282"/>
      <c r="H521" s="1282"/>
      <c r="I521" s="1282"/>
      <c r="J521" s="1282"/>
      <c r="K521" s="1282"/>
      <c r="L521" s="1282"/>
      <c r="M521" s="1282"/>
      <c r="N521" s="1282"/>
      <c r="O521" s="1282"/>
      <c r="P521" s="1282"/>
      <c r="Q521" s="1282"/>
      <c r="R521" s="1282"/>
      <c r="S521" s="1282"/>
      <c r="T521" s="1282"/>
      <c r="U521" s="1282"/>
      <c r="V521" s="1282"/>
      <c r="W521" s="1282"/>
      <c r="X521" s="1282"/>
      <c r="Y521" s="1282"/>
      <c r="Z521" s="1282"/>
    </row>
    <row r="522">
      <c r="A522" s="1282"/>
      <c r="B522" s="1282"/>
      <c r="C522" s="1282"/>
      <c r="D522" s="1282"/>
      <c r="E522" s="1282"/>
      <c r="F522" s="1282"/>
      <c r="G522" s="1282"/>
      <c r="H522" s="1282"/>
      <c r="I522" s="1282"/>
      <c r="J522" s="1282"/>
      <c r="K522" s="1282"/>
      <c r="L522" s="1282"/>
      <c r="M522" s="1282"/>
      <c r="N522" s="1282"/>
      <c r="O522" s="1282"/>
      <c r="P522" s="1282"/>
      <c r="Q522" s="1282"/>
      <c r="R522" s="1282"/>
      <c r="S522" s="1282"/>
      <c r="T522" s="1282"/>
      <c r="U522" s="1282"/>
      <c r="V522" s="1282"/>
      <c r="W522" s="1282"/>
      <c r="X522" s="1282"/>
      <c r="Y522" s="1282"/>
      <c r="Z522" s="1282"/>
    </row>
    <row r="523">
      <c r="A523" s="1282"/>
      <c r="B523" s="1282"/>
      <c r="C523" s="1282"/>
      <c r="D523" s="1282"/>
      <c r="E523" s="1282"/>
      <c r="F523" s="1282"/>
      <c r="G523" s="1282"/>
      <c r="H523" s="1282"/>
      <c r="I523" s="1282"/>
      <c r="J523" s="1282"/>
      <c r="K523" s="1282"/>
      <c r="L523" s="1282"/>
      <c r="M523" s="1282"/>
      <c r="N523" s="1282"/>
      <c r="O523" s="1282"/>
      <c r="P523" s="1282"/>
      <c r="Q523" s="1282"/>
      <c r="R523" s="1282"/>
      <c r="S523" s="1282"/>
      <c r="T523" s="1282"/>
      <c r="U523" s="1282"/>
      <c r="V523" s="1282"/>
      <c r="W523" s="1282"/>
      <c r="X523" s="1282"/>
      <c r="Y523" s="1282"/>
      <c r="Z523" s="1282"/>
    </row>
    <row r="524">
      <c r="A524" s="1282"/>
      <c r="B524" s="1282"/>
      <c r="C524" s="1282"/>
      <c r="D524" s="1282"/>
      <c r="E524" s="1282"/>
      <c r="F524" s="1282"/>
      <c r="G524" s="1282"/>
      <c r="H524" s="1282"/>
      <c r="I524" s="1282"/>
      <c r="J524" s="1282"/>
      <c r="K524" s="1282"/>
      <c r="L524" s="1282"/>
      <c r="M524" s="1282"/>
      <c r="N524" s="1282"/>
      <c r="O524" s="1282"/>
      <c r="P524" s="1282"/>
      <c r="Q524" s="1282"/>
      <c r="R524" s="1282"/>
      <c r="S524" s="1282"/>
      <c r="T524" s="1282"/>
      <c r="U524" s="1282"/>
      <c r="V524" s="1282"/>
      <c r="W524" s="1282"/>
      <c r="X524" s="1282"/>
      <c r="Y524" s="1282"/>
      <c r="Z524" s="1282"/>
    </row>
    <row r="525">
      <c r="A525" s="1282"/>
      <c r="B525" s="1282"/>
      <c r="C525" s="1282"/>
      <c r="D525" s="1282"/>
      <c r="E525" s="1282"/>
      <c r="F525" s="1282"/>
      <c r="G525" s="1282"/>
      <c r="H525" s="1282"/>
      <c r="I525" s="1282"/>
      <c r="J525" s="1282"/>
      <c r="K525" s="1282"/>
      <c r="L525" s="1282"/>
      <c r="M525" s="1282"/>
      <c r="N525" s="1282"/>
      <c r="O525" s="1282"/>
      <c r="P525" s="1282"/>
      <c r="Q525" s="1282"/>
      <c r="R525" s="1282"/>
      <c r="S525" s="1282"/>
      <c r="T525" s="1282"/>
      <c r="U525" s="1282"/>
      <c r="V525" s="1282"/>
      <c r="W525" s="1282"/>
      <c r="X525" s="1282"/>
      <c r="Y525" s="1282"/>
      <c r="Z525" s="1282"/>
    </row>
    <row r="526">
      <c r="A526" s="1282"/>
      <c r="B526" s="1282"/>
      <c r="C526" s="1282"/>
      <c r="D526" s="1282"/>
      <c r="E526" s="1282"/>
      <c r="F526" s="1282"/>
      <c r="G526" s="1282"/>
      <c r="H526" s="1282"/>
      <c r="I526" s="1282"/>
      <c r="J526" s="1282"/>
      <c r="K526" s="1282"/>
      <c r="L526" s="1282"/>
      <c r="M526" s="1282"/>
      <c r="N526" s="1282"/>
      <c r="O526" s="1282"/>
      <c r="P526" s="1282"/>
      <c r="Q526" s="1282"/>
      <c r="R526" s="1282"/>
      <c r="S526" s="1282"/>
      <c r="T526" s="1282"/>
      <c r="U526" s="1282"/>
      <c r="V526" s="1282"/>
      <c r="W526" s="1282"/>
      <c r="X526" s="1282"/>
      <c r="Y526" s="1282"/>
      <c r="Z526" s="1282"/>
    </row>
    <row r="527">
      <c r="A527" s="1282"/>
      <c r="B527" s="1282"/>
      <c r="C527" s="1282"/>
      <c r="D527" s="1282"/>
      <c r="E527" s="1282"/>
      <c r="F527" s="1282"/>
      <c r="G527" s="1282"/>
      <c r="H527" s="1282"/>
      <c r="I527" s="1282"/>
      <c r="J527" s="1282"/>
      <c r="K527" s="1282"/>
      <c r="L527" s="1282"/>
      <c r="M527" s="1282"/>
      <c r="N527" s="1282"/>
      <c r="O527" s="1282"/>
      <c r="P527" s="1282"/>
      <c r="Q527" s="1282"/>
      <c r="R527" s="1282"/>
      <c r="S527" s="1282"/>
      <c r="T527" s="1282"/>
      <c r="U527" s="1282"/>
      <c r="V527" s="1282"/>
      <c r="W527" s="1282"/>
      <c r="X527" s="1282"/>
      <c r="Y527" s="1282"/>
      <c r="Z527" s="1282"/>
    </row>
    <row r="528">
      <c r="A528" s="1282"/>
      <c r="B528" s="1282"/>
      <c r="C528" s="1282"/>
      <c r="D528" s="1282"/>
      <c r="E528" s="1282"/>
      <c r="F528" s="1282"/>
      <c r="G528" s="1282"/>
      <c r="H528" s="1282"/>
      <c r="I528" s="1282"/>
      <c r="J528" s="1282"/>
      <c r="K528" s="1282"/>
      <c r="L528" s="1282"/>
      <c r="M528" s="1282"/>
      <c r="N528" s="1282"/>
      <c r="O528" s="1282"/>
      <c r="P528" s="1282"/>
      <c r="Q528" s="1282"/>
      <c r="R528" s="1282"/>
      <c r="S528" s="1282"/>
      <c r="T528" s="1282"/>
      <c r="U528" s="1282"/>
      <c r="V528" s="1282"/>
      <c r="W528" s="1282"/>
      <c r="X528" s="1282"/>
      <c r="Y528" s="1282"/>
      <c r="Z528" s="1282"/>
    </row>
    <row r="529">
      <c r="A529" s="1282"/>
      <c r="B529" s="1282"/>
      <c r="C529" s="1282"/>
      <c r="D529" s="1282"/>
      <c r="E529" s="1282"/>
      <c r="F529" s="1282"/>
      <c r="G529" s="1282"/>
      <c r="H529" s="1282"/>
      <c r="I529" s="1282"/>
      <c r="J529" s="1282"/>
      <c r="K529" s="1282"/>
      <c r="L529" s="1282"/>
      <c r="M529" s="1282"/>
      <c r="N529" s="1282"/>
      <c r="O529" s="1282"/>
      <c r="P529" s="1282"/>
      <c r="Q529" s="1282"/>
      <c r="R529" s="1282"/>
      <c r="S529" s="1282"/>
      <c r="T529" s="1282"/>
      <c r="U529" s="1282"/>
      <c r="V529" s="1282"/>
      <c r="W529" s="1282"/>
      <c r="X529" s="1282"/>
      <c r="Y529" s="1282"/>
      <c r="Z529" s="1282"/>
    </row>
    <row r="530">
      <c r="A530" s="1282"/>
      <c r="B530" s="1282"/>
      <c r="C530" s="1282"/>
      <c r="D530" s="1282"/>
      <c r="E530" s="1282"/>
      <c r="F530" s="1282"/>
      <c r="G530" s="1282"/>
      <c r="H530" s="1282"/>
      <c r="I530" s="1282"/>
      <c r="J530" s="1282"/>
      <c r="K530" s="1282"/>
      <c r="L530" s="1282"/>
      <c r="M530" s="1282"/>
      <c r="N530" s="1282"/>
      <c r="O530" s="1282"/>
      <c r="P530" s="1282"/>
      <c r="Q530" s="1282"/>
      <c r="R530" s="1282"/>
      <c r="S530" s="1282"/>
      <c r="T530" s="1282"/>
      <c r="U530" s="1282"/>
      <c r="V530" s="1282"/>
      <c r="W530" s="1282"/>
      <c r="X530" s="1282"/>
      <c r="Y530" s="1282"/>
      <c r="Z530" s="1282"/>
    </row>
    <row r="531">
      <c r="A531" s="1282"/>
      <c r="B531" s="1282"/>
      <c r="C531" s="1282"/>
      <c r="D531" s="1282"/>
      <c r="E531" s="1282"/>
      <c r="F531" s="1282"/>
      <c r="G531" s="1282"/>
      <c r="H531" s="1282"/>
      <c r="I531" s="1282"/>
      <c r="J531" s="1282"/>
      <c r="K531" s="1282"/>
      <c r="L531" s="1282"/>
      <c r="M531" s="1282"/>
      <c r="N531" s="1282"/>
      <c r="O531" s="1282"/>
      <c r="P531" s="1282"/>
      <c r="Q531" s="1282"/>
      <c r="R531" s="1282"/>
      <c r="S531" s="1282"/>
      <c r="T531" s="1282"/>
      <c r="U531" s="1282"/>
      <c r="V531" s="1282"/>
      <c r="W531" s="1282"/>
      <c r="X531" s="1282"/>
      <c r="Y531" s="1282"/>
      <c r="Z531" s="1282"/>
    </row>
    <row r="532">
      <c r="A532" s="1282"/>
      <c r="B532" s="1282"/>
      <c r="C532" s="1282"/>
      <c r="D532" s="1282"/>
      <c r="E532" s="1282"/>
      <c r="F532" s="1282"/>
      <c r="G532" s="1282"/>
      <c r="H532" s="1282"/>
      <c r="I532" s="1282"/>
      <c r="J532" s="1282"/>
      <c r="K532" s="1282"/>
      <c r="L532" s="1282"/>
      <c r="M532" s="1282"/>
      <c r="N532" s="1282"/>
      <c r="O532" s="1282"/>
      <c r="P532" s="1282"/>
      <c r="Q532" s="1282"/>
      <c r="R532" s="1282"/>
      <c r="S532" s="1282"/>
      <c r="T532" s="1282"/>
      <c r="U532" s="1282"/>
      <c r="V532" s="1282"/>
      <c r="W532" s="1282"/>
      <c r="X532" s="1282"/>
      <c r="Y532" s="1282"/>
      <c r="Z532" s="1282"/>
    </row>
    <row r="533">
      <c r="A533" s="1282"/>
      <c r="B533" s="1282"/>
      <c r="C533" s="1282"/>
      <c r="D533" s="1282"/>
      <c r="E533" s="1282"/>
      <c r="F533" s="1282"/>
      <c r="G533" s="1282"/>
      <c r="H533" s="1282"/>
      <c r="I533" s="1282"/>
      <c r="J533" s="1282"/>
      <c r="K533" s="1282"/>
      <c r="L533" s="1282"/>
      <c r="M533" s="1282"/>
      <c r="N533" s="1282"/>
      <c r="O533" s="1282"/>
      <c r="P533" s="1282"/>
      <c r="Q533" s="1282"/>
      <c r="R533" s="1282"/>
      <c r="S533" s="1282"/>
      <c r="T533" s="1282"/>
      <c r="U533" s="1282"/>
      <c r="V533" s="1282"/>
      <c r="W533" s="1282"/>
      <c r="X533" s="1282"/>
      <c r="Y533" s="1282"/>
      <c r="Z533" s="1282"/>
    </row>
    <row r="534">
      <c r="A534" s="1282"/>
      <c r="B534" s="1282"/>
      <c r="C534" s="1282"/>
      <c r="D534" s="1282"/>
      <c r="E534" s="1282"/>
      <c r="F534" s="1282"/>
      <c r="G534" s="1282"/>
      <c r="H534" s="1282"/>
      <c r="I534" s="1282"/>
      <c r="J534" s="1282"/>
      <c r="K534" s="1282"/>
      <c r="L534" s="1282"/>
      <c r="M534" s="1282"/>
      <c r="N534" s="1282"/>
      <c r="O534" s="1282"/>
      <c r="P534" s="1282"/>
      <c r="Q534" s="1282"/>
      <c r="R534" s="1282"/>
      <c r="S534" s="1282"/>
      <c r="T534" s="1282"/>
      <c r="U534" s="1282"/>
      <c r="V534" s="1282"/>
      <c r="W534" s="1282"/>
      <c r="X534" s="1282"/>
      <c r="Y534" s="1282"/>
      <c r="Z534" s="1282"/>
    </row>
    <row r="535">
      <c r="A535" s="1282"/>
      <c r="B535" s="1282"/>
      <c r="C535" s="1282"/>
      <c r="D535" s="1282"/>
      <c r="E535" s="1282"/>
      <c r="F535" s="1282"/>
      <c r="G535" s="1282"/>
      <c r="H535" s="1282"/>
      <c r="I535" s="1282"/>
      <c r="J535" s="1282"/>
      <c r="K535" s="1282"/>
      <c r="L535" s="1282"/>
      <c r="M535" s="1282"/>
      <c r="N535" s="1282"/>
      <c r="O535" s="1282"/>
      <c r="P535" s="1282"/>
      <c r="Q535" s="1282"/>
      <c r="R535" s="1282"/>
      <c r="S535" s="1282"/>
      <c r="T535" s="1282"/>
      <c r="U535" s="1282"/>
      <c r="V535" s="1282"/>
      <c r="W535" s="1282"/>
      <c r="X535" s="1282"/>
      <c r="Y535" s="1282"/>
      <c r="Z535" s="1282"/>
    </row>
    <row r="536">
      <c r="A536" s="1282"/>
      <c r="B536" s="1282"/>
      <c r="C536" s="1282"/>
      <c r="D536" s="1282"/>
      <c r="E536" s="1282"/>
      <c r="F536" s="1282"/>
      <c r="G536" s="1282"/>
      <c r="H536" s="1282"/>
      <c r="I536" s="1282"/>
      <c r="J536" s="1282"/>
      <c r="K536" s="1282"/>
      <c r="L536" s="1282"/>
      <c r="M536" s="1282"/>
      <c r="N536" s="1282"/>
      <c r="O536" s="1282"/>
      <c r="P536" s="1282"/>
      <c r="Q536" s="1282"/>
      <c r="R536" s="1282"/>
      <c r="S536" s="1282"/>
      <c r="T536" s="1282"/>
      <c r="U536" s="1282"/>
      <c r="V536" s="1282"/>
      <c r="W536" s="1282"/>
      <c r="X536" s="1282"/>
      <c r="Y536" s="1282"/>
      <c r="Z536" s="1282"/>
    </row>
    <row r="537">
      <c r="A537" s="1282"/>
      <c r="B537" s="1282"/>
      <c r="C537" s="1282"/>
      <c r="D537" s="1282"/>
      <c r="E537" s="1282"/>
      <c r="F537" s="1282"/>
      <c r="G537" s="1282"/>
      <c r="H537" s="1282"/>
      <c r="I537" s="1282"/>
      <c r="J537" s="1282"/>
      <c r="K537" s="1282"/>
      <c r="L537" s="1282"/>
      <c r="M537" s="1282"/>
      <c r="N537" s="1282"/>
      <c r="O537" s="1282"/>
      <c r="P537" s="1282"/>
      <c r="Q537" s="1282"/>
      <c r="R537" s="1282"/>
      <c r="S537" s="1282"/>
      <c r="T537" s="1282"/>
      <c r="U537" s="1282"/>
      <c r="V537" s="1282"/>
      <c r="W537" s="1282"/>
      <c r="X537" s="1282"/>
      <c r="Y537" s="1282"/>
      <c r="Z537" s="1282"/>
    </row>
    <row r="538">
      <c r="A538" s="1282"/>
      <c r="B538" s="1282"/>
      <c r="C538" s="1282"/>
      <c r="D538" s="1282"/>
      <c r="E538" s="1282"/>
      <c r="F538" s="1282"/>
      <c r="G538" s="1282"/>
      <c r="H538" s="1282"/>
      <c r="I538" s="1282"/>
      <c r="J538" s="1282"/>
      <c r="K538" s="1282"/>
      <c r="L538" s="1282"/>
      <c r="M538" s="1282"/>
      <c r="N538" s="1282"/>
      <c r="O538" s="1282"/>
      <c r="P538" s="1282"/>
      <c r="Q538" s="1282"/>
      <c r="R538" s="1282"/>
      <c r="S538" s="1282"/>
      <c r="T538" s="1282"/>
      <c r="U538" s="1282"/>
      <c r="V538" s="1282"/>
      <c r="W538" s="1282"/>
      <c r="X538" s="1282"/>
      <c r="Y538" s="1282"/>
      <c r="Z538" s="1282"/>
    </row>
    <row r="539">
      <c r="A539" s="1282"/>
      <c r="B539" s="1282"/>
      <c r="C539" s="1282"/>
      <c r="D539" s="1282"/>
      <c r="E539" s="1282"/>
      <c r="F539" s="1282"/>
      <c r="G539" s="1282"/>
      <c r="H539" s="1282"/>
      <c r="I539" s="1282"/>
      <c r="J539" s="1282"/>
      <c r="K539" s="1282"/>
      <c r="L539" s="1282"/>
      <c r="M539" s="1282"/>
      <c r="N539" s="1282"/>
      <c r="O539" s="1282"/>
      <c r="P539" s="1282"/>
      <c r="Q539" s="1282"/>
      <c r="R539" s="1282"/>
      <c r="S539" s="1282"/>
      <c r="T539" s="1282"/>
      <c r="U539" s="1282"/>
      <c r="V539" s="1282"/>
      <c r="W539" s="1282"/>
      <c r="X539" s="1282"/>
      <c r="Y539" s="1282"/>
      <c r="Z539" s="1282"/>
    </row>
    <row r="540">
      <c r="A540" s="1282"/>
      <c r="B540" s="1282"/>
      <c r="C540" s="1282"/>
      <c r="D540" s="1282"/>
      <c r="E540" s="1282"/>
      <c r="F540" s="1282"/>
      <c r="G540" s="1282"/>
      <c r="H540" s="1282"/>
      <c r="I540" s="1282"/>
      <c r="J540" s="1282"/>
      <c r="K540" s="1282"/>
      <c r="L540" s="1282"/>
      <c r="M540" s="1282"/>
      <c r="N540" s="1282"/>
      <c r="O540" s="1282"/>
      <c r="P540" s="1282"/>
      <c r="Q540" s="1282"/>
      <c r="R540" s="1282"/>
      <c r="S540" s="1282"/>
      <c r="T540" s="1282"/>
      <c r="U540" s="1282"/>
      <c r="V540" s="1282"/>
      <c r="W540" s="1282"/>
      <c r="X540" s="1282"/>
      <c r="Y540" s="1282"/>
      <c r="Z540" s="1282"/>
    </row>
    <row r="541">
      <c r="A541" s="1282"/>
      <c r="B541" s="1282"/>
      <c r="C541" s="1282"/>
      <c r="D541" s="1282"/>
      <c r="E541" s="1282"/>
      <c r="F541" s="1282"/>
      <c r="G541" s="1282"/>
      <c r="H541" s="1282"/>
      <c r="I541" s="1282"/>
      <c r="J541" s="1282"/>
      <c r="K541" s="1282"/>
      <c r="L541" s="1282"/>
      <c r="M541" s="1282"/>
      <c r="N541" s="1282"/>
      <c r="O541" s="1282"/>
      <c r="P541" s="1282"/>
      <c r="Q541" s="1282"/>
      <c r="R541" s="1282"/>
      <c r="S541" s="1282"/>
      <c r="T541" s="1282"/>
      <c r="U541" s="1282"/>
      <c r="V541" s="1282"/>
      <c r="W541" s="1282"/>
      <c r="X541" s="1282"/>
      <c r="Y541" s="1282"/>
      <c r="Z541" s="1282"/>
    </row>
    <row r="542">
      <c r="A542" s="1282"/>
      <c r="B542" s="1282"/>
      <c r="C542" s="1282"/>
      <c r="D542" s="1282"/>
      <c r="E542" s="1282"/>
      <c r="F542" s="1282"/>
      <c r="G542" s="1282"/>
      <c r="H542" s="1282"/>
      <c r="I542" s="1282"/>
      <c r="J542" s="1282"/>
      <c r="K542" s="1282"/>
      <c r="L542" s="1282"/>
      <c r="M542" s="1282"/>
      <c r="N542" s="1282"/>
      <c r="O542" s="1282"/>
      <c r="P542" s="1282"/>
      <c r="Q542" s="1282"/>
      <c r="R542" s="1282"/>
      <c r="S542" s="1282"/>
      <c r="T542" s="1282"/>
      <c r="U542" s="1282"/>
      <c r="V542" s="1282"/>
      <c r="W542" s="1282"/>
      <c r="X542" s="1282"/>
      <c r="Y542" s="1282"/>
      <c r="Z542" s="1282"/>
    </row>
    <row r="543">
      <c r="A543" s="1282"/>
      <c r="B543" s="1282"/>
      <c r="C543" s="1282"/>
      <c r="D543" s="1282"/>
      <c r="E543" s="1282"/>
      <c r="F543" s="1282"/>
      <c r="G543" s="1282"/>
      <c r="H543" s="1282"/>
      <c r="I543" s="1282"/>
      <c r="J543" s="1282"/>
      <c r="K543" s="1282"/>
      <c r="L543" s="1282"/>
      <c r="M543" s="1282"/>
      <c r="N543" s="1282"/>
      <c r="O543" s="1282"/>
      <c r="P543" s="1282"/>
      <c r="Q543" s="1282"/>
      <c r="R543" s="1282"/>
      <c r="S543" s="1282"/>
      <c r="T543" s="1282"/>
      <c r="U543" s="1282"/>
      <c r="V543" s="1282"/>
      <c r="W543" s="1282"/>
      <c r="X543" s="1282"/>
      <c r="Y543" s="1282"/>
      <c r="Z543" s="1282"/>
    </row>
    <row r="544">
      <c r="A544" s="1282"/>
      <c r="B544" s="1282"/>
      <c r="C544" s="1282"/>
      <c r="D544" s="1282"/>
      <c r="E544" s="1282"/>
      <c r="F544" s="1282"/>
      <c r="G544" s="1282"/>
      <c r="H544" s="1282"/>
      <c r="I544" s="1282"/>
      <c r="J544" s="1282"/>
      <c r="K544" s="1282"/>
      <c r="L544" s="1282"/>
      <c r="M544" s="1282"/>
      <c r="N544" s="1282"/>
      <c r="O544" s="1282"/>
      <c r="P544" s="1282"/>
      <c r="Q544" s="1282"/>
      <c r="R544" s="1282"/>
      <c r="S544" s="1282"/>
      <c r="T544" s="1282"/>
      <c r="U544" s="1282"/>
      <c r="V544" s="1282"/>
      <c r="W544" s="1282"/>
      <c r="X544" s="1282"/>
      <c r="Y544" s="1282"/>
      <c r="Z544" s="1282"/>
    </row>
    <row r="545">
      <c r="A545" s="1282"/>
      <c r="B545" s="1282"/>
      <c r="C545" s="1282"/>
      <c r="D545" s="1282"/>
      <c r="E545" s="1282"/>
      <c r="F545" s="1282"/>
      <c r="G545" s="1282"/>
      <c r="H545" s="1282"/>
      <c r="I545" s="1282"/>
      <c r="J545" s="1282"/>
      <c r="K545" s="1282"/>
      <c r="L545" s="1282"/>
      <c r="M545" s="1282"/>
      <c r="N545" s="1282"/>
      <c r="O545" s="1282"/>
      <c r="P545" s="1282"/>
      <c r="Q545" s="1282"/>
      <c r="R545" s="1282"/>
      <c r="S545" s="1282"/>
      <c r="T545" s="1282"/>
      <c r="U545" s="1282"/>
      <c r="V545" s="1282"/>
      <c r="W545" s="1282"/>
      <c r="X545" s="1282"/>
      <c r="Y545" s="1282"/>
      <c r="Z545" s="1282"/>
    </row>
    <row r="546">
      <c r="A546" s="1282"/>
      <c r="B546" s="1282"/>
      <c r="C546" s="1282"/>
      <c r="D546" s="1282"/>
      <c r="E546" s="1282"/>
      <c r="F546" s="1282"/>
      <c r="G546" s="1282"/>
      <c r="H546" s="1282"/>
      <c r="I546" s="1282"/>
      <c r="J546" s="1282"/>
      <c r="K546" s="1282"/>
      <c r="L546" s="1282"/>
      <c r="M546" s="1282"/>
      <c r="N546" s="1282"/>
      <c r="O546" s="1282"/>
      <c r="P546" s="1282"/>
      <c r="Q546" s="1282"/>
      <c r="R546" s="1282"/>
      <c r="S546" s="1282"/>
      <c r="T546" s="1282"/>
      <c r="U546" s="1282"/>
      <c r="V546" s="1282"/>
      <c r="W546" s="1282"/>
      <c r="X546" s="1282"/>
      <c r="Y546" s="1282"/>
      <c r="Z546" s="1282"/>
    </row>
    <row r="547">
      <c r="A547" s="1282"/>
      <c r="B547" s="1282"/>
      <c r="C547" s="1282"/>
      <c r="D547" s="1282"/>
      <c r="E547" s="1282"/>
      <c r="F547" s="1282"/>
      <c r="G547" s="1282"/>
      <c r="H547" s="1282"/>
      <c r="I547" s="1282"/>
      <c r="J547" s="1282"/>
      <c r="K547" s="1282"/>
      <c r="L547" s="1282"/>
      <c r="M547" s="1282"/>
      <c r="N547" s="1282"/>
      <c r="O547" s="1282"/>
      <c r="P547" s="1282"/>
      <c r="Q547" s="1282"/>
      <c r="R547" s="1282"/>
      <c r="S547" s="1282"/>
      <c r="T547" s="1282"/>
      <c r="U547" s="1282"/>
      <c r="V547" s="1282"/>
      <c r="W547" s="1282"/>
      <c r="X547" s="1282"/>
      <c r="Y547" s="1282"/>
      <c r="Z547" s="1282"/>
    </row>
    <row r="548">
      <c r="A548" s="1282"/>
      <c r="B548" s="1282"/>
      <c r="C548" s="1282"/>
      <c r="D548" s="1282"/>
      <c r="E548" s="1282"/>
      <c r="F548" s="1282"/>
      <c r="G548" s="1282"/>
      <c r="H548" s="1282"/>
      <c r="I548" s="1282"/>
      <c r="J548" s="1282"/>
      <c r="K548" s="1282"/>
      <c r="L548" s="1282"/>
      <c r="M548" s="1282"/>
      <c r="N548" s="1282"/>
      <c r="O548" s="1282"/>
      <c r="P548" s="1282"/>
      <c r="Q548" s="1282"/>
      <c r="R548" s="1282"/>
      <c r="S548" s="1282"/>
      <c r="T548" s="1282"/>
      <c r="U548" s="1282"/>
      <c r="V548" s="1282"/>
      <c r="W548" s="1282"/>
      <c r="X548" s="1282"/>
      <c r="Y548" s="1282"/>
      <c r="Z548" s="1282"/>
    </row>
    <row r="549">
      <c r="A549" s="1282"/>
      <c r="B549" s="1282"/>
      <c r="C549" s="1282"/>
      <c r="D549" s="1282"/>
      <c r="E549" s="1282"/>
      <c r="F549" s="1282"/>
      <c r="G549" s="1282"/>
      <c r="H549" s="1282"/>
      <c r="I549" s="1282"/>
      <c r="J549" s="1282"/>
      <c r="K549" s="1282"/>
      <c r="L549" s="1282"/>
      <c r="M549" s="1282"/>
      <c r="N549" s="1282"/>
      <c r="O549" s="1282"/>
      <c r="P549" s="1282"/>
      <c r="Q549" s="1282"/>
      <c r="R549" s="1282"/>
      <c r="S549" s="1282"/>
      <c r="T549" s="1282"/>
      <c r="U549" s="1282"/>
      <c r="V549" s="1282"/>
      <c r="W549" s="1282"/>
      <c r="X549" s="1282"/>
      <c r="Y549" s="1282"/>
      <c r="Z549" s="1282"/>
    </row>
    <row r="550">
      <c r="A550" s="1282"/>
      <c r="B550" s="1282"/>
      <c r="C550" s="1282"/>
      <c r="D550" s="1282"/>
      <c r="E550" s="1282"/>
      <c r="F550" s="1282"/>
      <c r="G550" s="1282"/>
      <c r="H550" s="1282"/>
      <c r="I550" s="1282"/>
      <c r="J550" s="1282"/>
      <c r="K550" s="1282"/>
      <c r="L550" s="1282"/>
      <c r="M550" s="1282"/>
      <c r="N550" s="1282"/>
      <c r="O550" s="1282"/>
      <c r="P550" s="1282"/>
      <c r="Q550" s="1282"/>
      <c r="R550" s="1282"/>
      <c r="S550" s="1282"/>
      <c r="T550" s="1282"/>
      <c r="U550" s="1282"/>
      <c r="V550" s="1282"/>
      <c r="W550" s="1282"/>
      <c r="X550" s="1282"/>
      <c r="Y550" s="1282"/>
      <c r="Z550" s="1282"/>
    </row>
    <row r="551">
      <c r="A551" s="1282"/>
      <c r="B551" s="1282"/>
      <c r="C551" s="1282"/>
      <c r="D551" s="1282"/>
      <c r="E551" s="1282"/>
      <c r="F551" s="1282"/>
      <c r="G551" s="1282"/>
      <c r="H551" s="1282"/>
      <c r="I551" s="1282"/>
      <c r="J551" s="1282"/>
      <c r="K551" s="1282"/>
      <c r="L551" s="1282"/>
      <c r="M551" s="1282"/>
      <c r="N551" s="1282"/>
      <c r="O551" s="1282"/>
      <c r="P551" s="1282"/>
      <c r="Q551" s="1282"/>
      <c r="R551" s="1282"/>
      <c r="S551" s="1282"/>
      <c r="T551" s="1282"/>
      <c r="U551" s="1282"/>
      <c r="V551" s="1282"/>
      <c r="W551" s="1282"/>
      <c r="X551" s="1282"/>
      <c r="Y551" s="1282"/>
      <c r="Z551" s="1282"/>
    </row>
    <row r="552">
      <c r="A552" s="1282"/>
      <c r="B552" s="1282"/>
      <c r="C552" s="1282"/>
      <c r="D552" s="1282"/>
      <c r="E552" s="1282"/>
      <c r="F552" s="1282"/>
      <c r="G552" s="1282"/>
      <c r="H552" s="1282"/>
      <c r="I552" s="1282"/>
      <c r="J552" s="1282"/>
      <c r="K552" s="1282"/>
      <c r="L552" s="1282"/>
      <c r="M552" s="1282"/>
      <c r="N552" s="1282"/>
      <c r="O552" s="1282"/>
      <c r="P552" s="1282"/>
      <c r="Q552" s="1282"/>
      <c r="R552" s="1282"/>
      <c r="S552" s="1282"/>
      <c r="T552" s="1282"/>
      <c r="U552" s="1282"/>
      <c r="V552" s="1282"/>
      <c r="W552" s="1282"/>
      <c r="X552" s="1282"/>
      <c r="Y552" s="1282"/>
      <c r="Z552" s="1282"/>
    </row>
    <row r="553">
      <c r="A553" s="1282"/>
      <c r="B553" s="1282"/>
      <c r="C553" s="1282"/>
      <c r="D553" s="1282"/>
      <c r="E553" s="1282"/>
      <c r="F553" s="1282"/>
      <c r="G553" s="1282"/>
      <c r="H553" s="1282"/>
      <c r="I553" s="1282"/>
      <c r="J553" s="1282"/>
      <c r="K553" s="1282"/>
      <c r="L553" s="1282"/>
      <c r="M553" s="1282"/>
      <c r="N553" s="1282"/>
      <c r="O553" s="1282"/>
      <c r="P553" s="1282"/>
      <c r="Q553" s="1282"/>
      <c r="R553" s="1282"/>
      <c r="S553" s="1282"/>
      <c r="T553" s="1282"/>
      <c r="U553" s="1282"/>
      <c r="V553" s="1282"/>
      <c r="W553" s="1282"/>
      <c r="X553" s="1282"/>
      <c r="Y553" s="1282"/>
      <c r="Z553" s="1282"/>
    </row>
    <row r="554">
      <c r="A554" s="1282"/>
      <c r="B554" s="1282"/>
      <c r="C554" s="1282"/>
      <c r="D554" s="1282"/>
      <c r="E554" s="1282"/>
      <c r="F554" s="1282"/>
      <c r="G554" s="1282"/>
      <c r="H554" s="1282"/>
      <c r="I554" s="1282"/>
      <c r="J554" s="1282"/>
      <c r="K554" s="1282"/>
      <c r="L554" s="1282"/>
      <c r="M554" s="1282"/>
      <c r="N554" s="1282"/>
      <c r="O554" s="1282"/>
      <c r="P554" s="1282"/>
      <c r="Q554" s="1282"/>
      <c r="R554" s="1282"/>
      <c r="S554" s="1282"/>
      <c r="T554" s="1282"/>
      <c r="U554" s="1282"/>
      <c r="V554" s="1282"/>
      <c r="W554" s="1282"/>
      <c r="X554" s="1282"/>
      <c r="Y554" s="1282"/>
      <c r="Z554" s="1282"/>
    </row>
    <row r="555">
      <c r="A555" s="1282"/>
      <c r="B555" s="1282"/>
      <c r="C555" s="1282"/>
      <c r="D555" s="1282"/>
      <c r="E555" s="1282"/>
      <c r="F555" s="1282"/>
      <c r="G555" s="1282"/>
      <c r="H555" s="1282"/>
      <c r="I555" s="1282"/>
      <c r="J555" s="1282"/>
      <c r="K555" s="1282"/>
      <c r="L555" s="1282"/>
      <c r="M555" s="1282"/>
      <c r="N555" s="1282"/>
      <c r="O555" s="1282"/>
      <c r="P555" s="1282"/>
      <c r="Q555" s="1282"/>
      <c r="R555" s="1282"/>
      <c r="S555" s="1282"/>
      <c r="T555" s="1282"/>
      <c r="U555" s="1282"/>
      <c r="V555" s="1282"/>
      <c r="W555" s="1282"/>
      <c r="X555" s="1282"/>
      <c r="Y555" s="1282"/>
      <c r="Z555" s="1282"/>
    </row>
    <row r="556">
      <c r="A556" s="1282"/>
      <c r="B556" s="1282"/>
      <c r="C556" s="1282"/>
      <c r="D556" s="1282"/>
      <c r="E556" s="1282"/>
      <c r="F556" s="1282"/>
      <c r="G556" s="1282"/>
      <c r="H556" s="1282"/>
      <c r="I556" s="1282"/>
      <c r="J556" s="1282"/>
      <c r="K556" s="1282"/>
      <c r="L556" s="1282"/>
      <c r="M556" s="1282"/>
      <c r="N556" s="1282"/>
      <c r="O556" s="1282"/>
      <c r="P556" s="1282"/>
      <c r="Q556" s="1282"/>
      <c r="R556" s="1282"/>
      <c r="S556" s="1282"/>
      <c r="T556" s="1282"/>
      <c r="U556" s="1282"/>
      <c r="V556" s="1282"/>
      <c r="W556" s="1282"/>
      <c r="X556" s="1282"/>
      <c r="Y556" s="1282"/>
      <c r="Z556" s="1282"/>
    </row>
    <row r="557">
      <c r="A557" s="1282"/>
      <c r="B557" s="1282"/>
      <c r="C557" s="1282"/>
      <c r="D557" s="1282"/>
      <c r="E557" s="1282"/>
      <c r="F557" s="1282"/>
      <c r="G557" s="1282"/>
      <c r="H557" s="1282"/>
      <c r="I557" s="1282"/>
      <c r="J557" s="1282"/>
      <c r="K557" s="1282"/>
      <c r="L557" s="1282"/>
      <c r="M557" s="1282"/>
      <c r="N557" s="1282"/>
      <c r="O557" s="1282"/>
      <c r="P557" s="1282"/>
      <c r="Q557" s="1282"/>
      <c r="R557" s="1282"/>
      <c r="S557" s="1282"/>
      <c r="T557" s="1282"/>
      <c r="U557" s="1282"/>
      <c r="V557" s="1282"/>
      <c r="W557" s="1282"/>
      <c r="X557" s="1282"/>
      <c r="Y557" s="1282"/>
      <c r="Z557" s="1282"/>
    </row>
    <row r="558">
      <c r="A558" s="1282"/>
      <c r="B558" s="1282"/>
      <c r="C558" s="1282"/>
      <c r="D558" s="1282"/>
      <c r="E558" s="1282"/>
      <c r="F558" s="1282"/>
      <c r="G558" s="1282"/>
      <c r="H558" s="1282"/>
      <c r="I558" s="1282"/>
      <c r="J558" s="1282"/>
      <c r="K558" s="1282"/>
      <c r="L558" s="1282"/>
      <c r="M558" s="1282"/>
      <c r="N558" s="1282"/>
      <c r="O558" s="1282"/>
      <c r="P558" s="1282"/>
      <c r="Q558" s="1282"/>
      <c r="R558" s="1282"/>
      <c r="S558" s="1282"/>
      <c r="T558" s="1282"/>
      <c r="U558" s="1282"/>
      <c r="V558" s="1282"/>
      <c r="W558" s="1282"/>
      <c r="X558" s="1282"/>
      <c r="Y558" s="1282"/>
      <c r="Z558" s="1282"/>
    </row>
    <row r="559">
      <c r="A559" s="1282"/>
      <c r="B559" s="1282"/>
      <c r="C559" s="1282"/>
      <c r="D559" s="1282"/>
      <c r="E559" s="1282"/>
      <c r="F559" s="1282"/>
      <c r="G559" s="1282"/>
      <c r="H559" s="1282"/>
      <c r="I559" s="1282"/>
      <c r="J559" s="1282"/>
      <c r="K559" s="1282"/>
      <c r="L559" s="1282"/>
      <c r="M559" s="1282"/>
      <c r="N559" s="1282"/>
      <c r="O559" s="1282"/>
      <c r="P559" s="1282"/>
      <c r="Q559" s="1282"/>
      <c r="R559" s="1282"/>
      <c r="S559" s="1282"/>
      <c r="T559" s="1282"/>
      <c r="U559" s="1282"/>
      <c r="V559" s="1282"/>
      <c r="W559" s="1282"/>
      <c r="X559" s="1282"/>
      <c r="Y559" s="1282"/>
      <c r="Z559" s="1282"/>
    </row>
    <row r="560">
      <c r="A560" s="1282"/>
      <c r="B560" s="1282"/>
      <c r="C560" s="1282"/>
      <c r="D560" s="1282"/>
      <c r="E560" s="1282"/>
      <c r="F560" s="1282"/>
      <c r="G560" s="1282"/>
      <c r="H560" s="1282"/>
      <c r="I560" s="1282"/>
      <c r="J560" s="1282"/>
      <c r="K560" s="1282"/>
      <c r="L560" s="1282"/>
      <c r="M560" s="1282"/>
      <c r="N560" s="1282"/>
      <c r="O560" s="1282"/>
      <c r="P560" s="1282"/>
      <c r="Q560" s="1282"/>
      <c r="R560" s="1282"/>
      <c r="S560" s="1282"/>
      <c r="T560" s="1282"/>
      <c r="U560" s="1282"/>
      <c r="V560" s="1282"/>
      <c r="W560" s="1282"/>
      <c r="X560" s="1282"/>
      <c r="Y560" s="1282"/>
      <c r="Z560" s="1282"/>
    </row>
    <row r="561">
      <c r="A561" s="1282"/>
      <c r="B561" s="1282"/>
      <c r="C561" s="1282"/>
      <c r="D561" s="1282"/>
      <c r="E561" s="1282"/>
      <c r="F561" s="1282"/>
      <c r="G561" s="1282"/>
      <c r="H561" s="1282"/>
      <c r="I561" s="1282"/>
      <c r="J561" s="1282"/>
      <c r="K561" s="1282"/>
      <c r="L561" s="1282"/>
      <c r="M561" s="1282"/>
      <c r="N561" s="1282"/>
      <c r="O561" s="1282"/>
      <c r="P561" s="1282"/>
      <c r="Q561" s="1282"/>
      <c r="R561" s="1282"/>
      <c r="S561" s="1282"/>
      <c r="T561" s="1282"/>
      <c r="U561" s="1282"/>
      <c r="V561" s="1282"/>
      <c r="W561" s="1282"/>
      <c r="X561" s="1282"/>
      <c r="Y561" s="1282"/>
      <c r="Z561" s="1282"/>
    </row>
    <row r="562">
      <c r="A562" s="1282"/>
      <c r="B562" s="1282"/>
      <c r="C562" s="1282"/>
      <c r="D562" s="1282"/>
      <c r="E562" s="1282"/>
      <c r="F562" s="1282"/>
      <c r="G562" s="1282"/>
      <c r="H562" s="1282"/>
      <c r="I562" s="1282"/>
      <c r="J562" s="1282"/>
      <c r="K562" s="1282"/>
      <c r="L562" s="1282"/>
      <c r="M562" s="1282"/>
      <c r="N562" s="1282"/>
      <c r="O562" s="1282"/>
      <c r="P562" s="1282"/>
      <c r="Q562" s="1282"/>
      <c r="R562" s="1282"/>
      <c r="S562" s="1282"/>
      <c r="T562" s="1282"/>
      <c r="U562" s="1282"/>
      <c r="V562" s="1282"/>
      <c r="W562" s="1282"/>
      <c r="X562" s="1282"/>
      <c r="Y562" s="1282"/>
      <c r="Z562" s="1282"/>
    </row>
    <row r="563">
      <c r="A563" s="1282"/>
      <c r="B563" s="1282"/>
      <c r="C563" s="1282"/>
      <c r="D563" s="1282"/>
      <c r="E563" s="1282"/>
      <c r="F563" s="1282"/>
      <c r="G563" s="1282"/>
      <c r="H563" s="1282"/>
      <c r="I563" s="1282"/>
      <c r="J563" s="1282"/>
      <c r="K563" s="1282"/>
      <c r="L563" s="1282"/>
      <c r="M563" s="1282"/>
      <c r="N563" s="1282"/>
      <c r="O563" s="1282"/>
      <c r="P563" s="1282"/>
      <c r="Q563" s="1282"/>
      <c r="R563" s="1282"/>
      <c r="S563" s="1282"/>
      <c r="T563" s="1282"/>
      <c r="U563" s="1282"/>
      <c r="V563" s="1282"/>
      <c r="W563" s="1282"/>
      <c r="X563" s="1282"/>
      <c r="Y563" s="1282"/>
      <c r="Z563" s="1282"/>
    </row>
    <row r="564">
      <c r="A564" s="1282"/>
      <c r="B564" s="1282"/>
      <c r="C564" s="1282"/>
      <c r="D564" s="1282"/>
      <c r="E564" s="1282"/>
      <c r="F564" s="1282"/>
      <c r="G564" s="1282"/>
      <c r="H564" s="1282"/>
      <c r="I564" s="1282"/>
      <c r="J564" s="1282"/>
      <c r="K564" s="1282"/>
      <c r="L564" s="1282"/>
      <c r="M564" s="1282"/>
      <c r="N564" s="1282"/>
      <c r="O564" s="1282"/>
      <c r="P564" s="1282"/>
      <c r="Q564" s="1282"/>
      <c r="R564" s="1282"/>
      <c r="S564" s="1282"/>
      <c r="T564" s="1282"/>
      <c r="U564" s="1282"/>
      <c r="V564" s="1282"/>
      <c r="W564" s="1282"/>
      <c r="X564" s="1282"/>
      <c r="Y564" s="1282"/>
      <c r="Z564" s="1282"/>
    </row>
    <row r="565">
      <c r="A565" s="1282"/>
      <c r="B565" s="1282"/>
      <c r="C565" s="1282"/>
      <c r="D565" s="1282"/>
      <c r="E565" s="1282"/>
      <c r="F565" s="1282"/>
      <c r="G565" s="1282"/>
      <c r="H565" s="1282"/>
      <c r="I565" s="1282"/>
      <c r="J565" s="1282"/>
      <c r="K565" s="1282"/>
      <c r="L565" s="1282"/>
      <c r="M565" s="1282"/>
      <c r="N565" s="1282"/>
      <c r="O565" s="1282"/>
      <c r="P565" s="1282"/>
      <c r="Q565" s="1282"/>
      <c r="R565" s="1282"/>
      <c r="S565" s="1282"/>
      <c r="T565" s="1282"/>
      <c r="U565" s="1282"/>
      <c r="V565" s="1282"/>
      <c r="W565" s="1282"/>
      <c r="X565" s="1282"/>
      <c r="Y565" s="1282"/>
      <c r="Z565" s="1282"/>
    </row>
    <row r="566">
      <c r="A566" s="1282"/>
      <c r="B566" s="1282"/>
      <c r="C566" s="1282"/>
      <c r="D566" s="1282"/>
      <c r="E566" s="1282"/>
      <c r="F566" s="1282"/>
      <c r="G566" s="1282"/>
      <c r="H566" s="1282"/>
      <c r="I566" s="1282"/>
      <c r="J566" s="1282"/>
      <c r="K566" s="1282"/>
      <c r="L566" s="1282"/>
      <c r="M566" s="1282"/>
      <c r="N566" s="1282"/>
      <c r="O566" s="1282"/>
      <c r="P566" s="1282"/>
      <c r="Q566" s="1282"/>
      <c r="R566" s="1282"/>
      <c r="S566" s="1282"/>
      <c r="T566" s="1282"/>
      <c r="U566" s="1282"/>
      <c r="V566" s="1282"/>
      <c r="W566" s="1282"/>
      <c r="X566" s="1282"/>
      <c r="Y566" s="1282"/>
      <c r="Z566" s="1282"/>
    </row>
    <row r="567">
      <c r="A567" s="1282"/>
      <c r="B567" s="1282"/>
      <c r="C567" s="1282"/>
      <c r="D567" s="1282"/>
      <c r="E567" s="1282"/>
      <c r="F567" s="1282"/>
      <c r="G567" s="1282"/>
      <c r="H567" s="1282"/>
      <c r="I567" s="1282"/>
      <c r="J567" s="1282"/>
      <c r="K567" s="1282"/>
      <c r="L567" s="1282"/>
      <c r="M567" s="1282"/>
      <c r="N567" s="1282"/>
      <c r="O567" s="1282"/>
      <c r="P567" s="1282"/>
      <c r="Q567" s="1282"/>
      <c r="R567" s="1282"/>
      <c r="S567" s="1282"/>
      <c r="T567" s="1282"/>
      <c r="U567" s="1282"/>
      <c r="V567" s="1282"/>
      <c r="W567" s="1282"/>
      <c r="X567" s="1282"/>
      <c r="Y567" s="1282"/>
      <c r="Z567" s="1282"/>
    </row>
    <row r="568">
      <c r="A568" s="1282"/>
      <c r="B568" s="1282"/>
      <c r="C568" s="1282"/>
      <c r="D568" s="1282"/>
      <c r="E568" s="1282"/>
      <c r="F568" s="1282"/>
      <c r="G568" s="1282"/>
      <c r="H568" s="1282"/>
      <c r="I568" s="1282"/>
      <c r="J568" s="1282"/>
      <c r="K568" s="1282"/>
      <c r="L568" s="1282"/>
      <c r="M568" s="1282"/>
      <c r="N568" s="1282"/>
      <c r="O568" s="1282"/>
      <c r="P568" s="1282"/>
      <c r="Q568" s="1282"/>
      <c r="R568" s="1282"/>
      <c r="S568" s="1282"/>
      <c r="T568" s="1282"/>
      <c r="U568" s="1282"/>
      <c r="V568" s="1282"/>
      <c r="W568" s="1282"/>
      <c r="X568" s="1282"/>
      <c r="Y568" s="1282"/>
      <c r="Z568" s="1282"/>
    </row>
    <row r="569">
      <c r="A569" s="1282"/>
      <c r="B569" s="1282"/>
      <c r="C569" s="1282"/>
      <c r="D569" s="1282"/>
      <c r="E569" s="1282"/>
      <c r="F569" s="1282"/>
      <c r="G569" s="1282"/>
      <c r="H569" s="1282"/>
      <c r="I569" s="1282"/>
      <c r="J569" s="1282"/>
      <c r="K569" s="1282"/>
      <c r="L569" s="1282"/>
      <c r="M569" s="1282"/>
      <c r="N569" s="1282"/>
      <c r="O569" s="1282"/>
      <c r="P569" s="1282"/>
      <c r="Q569" s="1282"/>
      <c r="R569" s="1282"/>
      <c r="S569" s="1282"/>
      <c r="T569" s="1282"/>
      <c r="U569" s="1282"/>
      <c r="V569" s="1282"/>
      <c r="W569" s="1282"/>
      <c r="X569" s="1282"/>
      <c r="Y569" s="1282"/>
      <c r="Z569" s="1282"/>
    </row>
    <row r="570">
      <c r="A570" s="1282"/>
      <c r="B570" s="1282"/>
      <c r="C570" s="1282"/>
      <c r="D570" s="1282"/>
      <c r="E570" s="1282"/>
      <c r="F570" s="1282"/>
      <c r="G570" s="1282"/>
      <c r="H570" s="1282"/>
      <c r="I570" s="1282"/>
      <c r="J570" s="1282"/>
      <c r="K570" s="1282"/>
      <c r="L570" s="1282"/>
      <c r="M570" s="1282"/>
      <c r="N570" s="1282"/>
      <c r="O570" s="1282"/>
      <c r="P570" s="1282"/>
      <c r="Q570" s="1282"/>
      <c r="R570" s="1282"/>
      <c r="S570" s="1282"/>
      <c r="T570" s="1282"/>
      <c r="U570" s="1282"/>
      <c r="V570" s="1282"/>
      <c r="W570" s="1282"/>
      <c r="X570" s="1282"/>
      <c r="Y570" s="1282"/>
      <c r="Z570" s="1282"/>
    </row>
    <row r="571">
      <c r="A571" s="1282"/>
      <c r="B571" s="1282"/>
      <c r="C571" s="1282"/>
      <c r="D571" s="1282"/>
      <c r="E571" s="1282"/>
      <c r="F571" s="1282"/>
      <c r="G571" s="1282"/>
      <c r="H571" s="1282"/>
      <c r="I571" s="1282"/>
      <c r="J571" s="1282"/>
      <c r="K571" s="1282"/>
      <c r="L571" s="1282"/>
      <c r="M571" s="1282"/>
      <c r="N571" s="1282"/>
      <c r="O571" s="1282"/>
      <c r="P571" s="1282"/>
      <c r="Q571" s="1282"/>
      <c r="R571" s="1282"/>
      <c r="S571" s="1282"/>
      <c r="T571" s="1282"/>
      <c r="U571" s="1282"/>
      <c r="V571" s="1282"/>
      <c r="W571" s="1282"/>
      <c r="X571" s="1282"/>
      <c r="Y571" s="1282"/>
      <c r="Z571" s="1282"/>
    </row>
    <row r="572">
      <c r="A572" s="1282"/>
      <c r="B572" s="1282"/>
      <c r="C572" s="1282"/>
      <c r="D572" s="1282"/>
      <c r="E572" s="1282"/>
      <c r="F572" s="1282"/>
      <c r="G572" s="1282"/>
      <c r="H572" s="1282"/>
      <c r="I572" s="1282"/>
      <c r="J572" s="1282"/>
      <c r="K572" s="1282"/>
      <c r="L572" s="1282"/>
      <c r="M572" s="1282"/>
      <c r="N572" s="1282"/>
      <c r="O572" s="1282"/>
      <c r="P572" s="1282"/>
      <c r="Q572" s="1282"/>
      <c r="R572" s="1282"/>
      <c r="S572" s="1282"/>
      <c r="T572" s="1282"/>
      <c r="U572" s="1282"/>
      <c r="V572" s="1282"/>
      <c r="W572" s="1282"/>
      <c r="X572" s="1282"/>
      <c r="Y572" s="1282"/>
      <c r="Z572" s="1282"/>
    </row>
    <row r="573">
      <c r="A573" s="1282"/>
      <c r="B573" s="1282"/>
      <c r="C573" s="1282"/>
      <c r="D573" s="1282"/>
      <c r="E573" s="1282"/>
      <c r="F573" s="1282"/>
      <c r="G573" s="1282"/>
      <c r="H573" s="1282"/>
      <c r="I573" s="1282"/>
      <c r="J573" s="1282"/>
      <c r="K573" s="1282"/>
      <c r="L573" s="1282"/>
      <c r="M573" s="1282"/>
      <c r="N573" s="1282"/>
      <c r="O573" s="1282"/>
      <c r="P573" s="1282"/>
      <c r="Q573" s="1282"/>
      <c r="R573" s="1282"/>
      <c r="S573" s="1282"/>
      <c r="T573" s="1282"/>
      <c r="U573" s="1282"/>
      <c r="V573" s="1282"/>
      <c r="W573" s="1282"/>
      <c r="X573" s="1282"/>
      <c r="Y573" s="1282"/>
      <c r="Z573" s="1282"/>
    </row>
    <row r="574">
      <c r="A574" s="1282"/>
      <c r="B574" s="1282"/>
      <c r="C574" s="1282"/>
      <c r="D574" s="1282"/>
      <c r="E574" s="1282"/>
      <c r="F574" s="1282"/>
      <c r="G574" s="1282"/>
      <c r="H574" s="1282"/>
      <c r="I574" s="1282"/>
      <c r="J574" s="1282"/>
      <c r="K574" s="1282"/>
      <c r="L574" s="1282"/>
      <c r="M574" s="1282"/>
      <c r="N574" s="1282"/>
      <c r="O574" s="1282"/>
      <c r="P574" s="1282"/>
      <c r="Q574" s="1282"/>
      <c r="R574" s="1282"/>
      <c r="S574" s="1282"/>
      <c r="T574" s="1282"/>
      <c r="U574" s="1282"/>
      <c r="V574" s="1282"/>
      <c r="W574" s="1282"/>
      <c r="X574" s="1282"/>
      <c r="Y574" s="1282"/>
      <c r="Z574" s="1282"/>
    </row>
    <row r="575">
      <c r="A575" s="1282"/>
      <c r="B575" s="1282"/>
      <c r="C575" s="1282"/>
      <c r="D575" s="1282"/>
      <c r="E575" s="1282"/>
      <c r="F575" s="1282"/>
      <c r="G575" s="1282"/>
      <c r="H575" s="1282"/>
      <c r="I575" s="1282"/>
      <c r="J575" s="1282"/>
      <c r="K575" s="1282"/>
      <c r="L575" s="1282"/>
      <c r="M575" s="1282"/>
      <c r="N575" s="1282"/>
      <c r="O575" s="1282"/>
      <c r="P575" s="1282"/>
      <c r="Q575" s="1282"/>
      <c r="R575" s="1282"/>
      <c r="S575" s="1282"/>
      <c r="T575" s="1282"/>
      <c r="U575" s="1282"/>
      <c r="V575" s="1282"/>
      <c r="W575" s="1282"/>
      <c r="X575" s="1282"/>
      <c r="Y575" s="1282"/>
      <c r="Z575" s="1282"/>
    </row>
    <row r="576">
      <c r="A576" s="1282"/>
      <c r="B576" s="1282"/>
      <c r="C576" s="1282"/>
      <c r="D576" s="1282"/>
      <c r="E576" s="1282"/>
      <c r="F576" s="1282"/>
      <c r="G576" s="1282"/>
      <c r="H576" s="1282"/>
      <c r="I576" s="1282"/>
      <c r="J576" s="1282"/>
      <c r="K576" s="1282"/>
      <c r="L576" s="1282"/>
      <c r="M576" s="1282"/>
      <c r="N576" s="1282"/>
      <c r="O576" s="1282"/>
      <c r="P576" s="1282"/>
      <c r="Q576" s="1282"/>
      <c r="R576" s="1282"/>
      <c r="S576" s="1282"/>
      <c r="T576" s="1282"/>
      <c r="U576" s="1282"/>
      <c r="V576" s="1282"/>
      <c r="W576" s="1282"/>
      <c r="X576" s="1282"/>
      <c r="Y576" s="1282"/>
      <c r="Z576" s="1282"/>
    </row>
    <row r="577">
      <c r="A577" s="1282"/>
      <c r="B577" s="1282"/>
      <c r="C577" s="1282"/>
      <c r="D577" s="1282"/>
      <c r="E577" s="1282"/>
      <c r="F577" s="1282"/>
      <c r="G577" s="1282"/>
      <c r="H577" s="1282"/>
      <c r="I577" s="1282"/>
      <c r="J577" s="1282"/>
      <c r="K577" s="1282"/>
      <c r="L577" s="1282"/>
      <c r="M577" s="1282"/>
      <c r="N577" s="1282"/>
      <c r="O577" s="1282"/>
      <c r="P577" s="1282"/>
      <c r="Q577" s="1282"/>
      <c r="R577" s="1282"/>
      <c r="S577" s="1282"/>
      <c r="T577" s="1282"/>
      <c r="U577" s="1282"/>
      <c r="V577" s="1282"/>
      <c r="W577" s="1282"/>
      <c r="X577" s="1282"/>
      <c r="Y577" s="1282"/>
      <c r="Z577" s="1282"/>
    </row>
    <row r="578">
      <c r="A578" s="1282"/>
      <c r="B578" s="1282"/>
      <c r="C578" s="1282"/>
      <c r="D578" s="1282"/>
      <c r="E578" s="1282"/>
      <c r="F578" s="1282"/>
      <c r="G578" s="1282"/>
      <c r="H578" s="1282"/>
      <c r="I578" s="1282"/>
      <c r="J578" s="1282"/>
      <c r="K578" s="1282"/>
      <c r="L578" s="1282"/>
      <c r="M578" s="1282"/>
      <c r="N578" s="1282"/>
      <c r="O578" s="1282"/>
      <c r="P578" s="1282"/>
      <c r="Q578" s="1282"/>
      <c r="R578" s="1282"/>
      <c r="S578" s="1282"/>
      <c r="T578" s="1282"/>
      <c r="U578" s="1282"/>
      <c r="V578" s="1282"/>
      <c r="W578" s="1282"/>
      <c r="X578" s="1282"/>
      <c r="Y578" s="1282"/>
      <c r="Z578" s="1282"/>
    </row>
    <row r="579">
      <c r="A579" s="1282"/>
      <c r="B579" s="1282"/>
      <c r="C579" s="1282"/>
      <c r="D579" s="1282"/>
      <c r="E579" s="1282"/>
      <c r="F579" s="1282"/>
      <c r="G579" s="1282"/>
      <c r="H579" s="1282"/>
      <c r="I579" s="1282"/>
      <c r="J579" s="1282"/>
      <c r="K579" s="1282"/>
      <c r="L579" s="1282"/>
      <c r="M579" s="1282"/>
      <c r="N579" s="1282"/>
      <c r="O579" s="1282"/>
      <c r="P579" s="1282"/>
      <c r="Q579" s="1282"/>
      <c r="R579" s="1282"/>
      <c r="S579" s="1282"/>
      <c r="T579" s="1282"/>
      <c r="U579" s="1282"/>
      <c r="V579" s="1282"/>
      <c r="W579" s="1282"/>
      <c r="X579" s="1282"/>
      <c r="Y579" s="1282"/>
      <c r="Z579" s="1282"/>
    </row>
    <row r="580">
      <c r="A580" s="1282"/>
      <c r="B580" s="1282"/>
      <c r="C580" s="1282"/>
      <c r="D580" s="1282"/>
      <c r="E580" s="1282"/>
      <c r="F580" s="1282"/>
      <c r="G580" s="1282"/>
      <c r="H580" s="1282"/>
      <c r="I580" s="1282"/>
      <c r="J580" s="1282"/>
      <c r="K580" s="1282"/>
      <c r="L580" s="1282"/>
      <c r="M580" s="1282"/>
      <c r="N580" s="1282"/>
      <c r="O580" s="1282"/>
      <c r="P580" s="1282"/>
      <c r="Q580" s="1282"/>
      <c r="R580" s="1282"/>
      <c r="S580" s="1282"/>
      <c r="T580" s="1282"/>
      <c r="U580" s="1282"/>
      <c r="V580" s="1282"/>
      <c r="W580" s="1282"/>
      <c r="X580" s="1282"/>
      <c r="Y580" s="1282"/>
      <c r="Z580" s="1282"/>
    </row>
    <row r="581">
      <c r="A581" s="1282"/>
      <c r="B581" s="1282"/>
      <c r="C581" s="1282"/>
      <c r="D581" s="1282"/>
      <c r="E581" s="1282"/>
      <c r="F581" s="1282"/>
      <c r="G581" s="1282"/>
      <c r="H581" s="1282"/>
      <c r="I581" s="1282"/>
      <c r="J581" s="1282"/>
      <c r="K581" s="1282"/>
      <c r="L581" s="1282"/>
      <c r="M581" s="1282"/>
      <c r="N581" s="1282"/>
      <c r="O581" s="1282"/>
      <c r="P581" s="1282"/>
      <c r="Q581" s="1282"/>
      <c r="R581" s="1282"/>
      <c r="S581" s="1282"/>
      <c r="T581" s="1282"/>
      <c r="U581" s="1282"/>
      <c r="V581" s="1282"/>
      <c r="W581" s="1282"/>
      <c r="X581" s="1282"/>
      <c r="Y581" s="1282"/>
      <c r="Z581" s="1282"/>
    </row>
    <row r="582">
      <c r="A582" s="1282"/>
      <c r="B582" s="1282"/>
      <c r="C582" s="1282"/>
      <c r="D582" s="1282"/>
      <c r="E582" s="1282"/>
      <c r="F582" s="1282"/>
      <c r="G582" s="1282"/>
      <c r="H582" s="1282"/>
      <c r="I582" s="1282"/>
      <c r="J582" s="1282"/>
      <c r="K582" s="1282"/>
      <c r="L582" s="1282"/>
      <c r="M582" s="1282"/>
      <c r="N582" s="1282"/>
      <c r="O582" s="1282"/>
      <c r="P582" s="1282"/>
      <c r="Q582" s="1282"/>
      <c r="R582" s="1282"/>
      <c r="S582" s="1282"/>
      <c r="T582" s="1282"/>
      <c r="U582" s="1282"/>
      <c r="V582" s="1282"/>
      <c r="W582" s="1282"/>
      <c r="X582" s="1282"/>
      <c r="Y582" s="1282"/>
      <c r="Z582" s="1282"/>
    </row>
    <row r="583">
      <c r="A583" s="1282"/>
      <c r="B583" s="1282"/>
      <c r="C583" s="1282"/>
      <c r="D583" s="1282"/>
      <c r="E583" s="1282"/>
      <c r="F583" s="1282"/>
      <c r="G583" s="1282"/>
      <c r="H583" s="1282"/>
      <c r="I583" s="1282"/>
      <c r="J583" s="1282"/>
      <c r="K583" s="1282"/>
      <c r="L583" s="1282"/>
      <c r="M583" s="1282"/>
      <c r="N583" s="1282"/>
      <c r="O583" s="1282"/>
      <c r="P583" s="1282"/>
      <c r="Q583" s="1282"/>
      <c r="R583" s="1282"/>
      <c r="S583" s="1282"/>
      <c r="T583" s="1282"/>
      <c r="U583" s="1282"/>
      <c r="V583" s="1282"/>
      <c r="W583" s="1282"/>
      <c r="X583" s="1282"/>
      <c r="Y583" s="1282"/>
      <c r="Z583" s="1282"/>
    </row>
    <row r="584">
      <c r="A584" s="1282"/>
      <c r="B584" s="1282"/>
      <c r="C584" s="1282"/>
      <c r="D584" s="1282"/>
      <c r="E584" s="1282"/>
      <c r="F584" s="1282"/>
      <c r="G584" s="1282"/>
      <c r="H584" s="1282"/>
      <c r="I584" s="1282"/>
      <c r="J584" s="1282"/>
      <c r="K584" s="1282"/>
      <c r="L584" s="1282"/>
      <c r="M584" s="1282"/>
      <c r="N584" s="1282"/>
      <c r="O584" s="1282"/>
      <c r="P584" s="1282"/>
      <c r="Q584" s="1282"/>
      <c r="R584" s="1282"/>
      <c r="S584" s="1282"/>
      <c r="T584" s="1282"/>
      <c r="U584" s="1282"/>
      <c r="V584" s="1282"/>
      <c r="W584" s="1282"/>
      <c r="X584" s="1282"/>
      <c r="Y584" s="1282"/>
      <c r="Z584" s="1282"/>
    </row>
    <row r="585">
      <c r="A585" s="1282"/>
      <c r="B585" s="1282"/>
      <c r="C585" s="1282"/>
      <c r="D585" s="1282"/>
      <c r="E585" s="1282"/>
      <c r="F585" s="1282"/>
      <c r="G585" s="1282"/>
      <c r="H585" s="1282"/>
      <c r="I585" s="1282"/>
      <c r="J585" s="1282"/>
      <c r="K585" s="1282"/>
      <c r="L585" s="1282"/>
      <c r="M585" s="1282"/>
      <c r="N585" s="1282"/>
      <c r="O585" s="1282"/>
      <c r="P585" s="1282"/>
      <c r="Q585" s="1282"/>
      <c r="R585" s="1282"/>
      <c r="S585" s="1282"/>
      <c r="T585" s="1282"/>
      <c r="U585" s="1282"/>
      <c r="V585" s="1282"/>
      <c r="W585" s="1282"/>
      <c r="X585" s="1282"/>
      <c r="Y585" s="1282"/>
      <c r="Z585" s="1282"/>
    </row>
    <row r="586">
      <c r="A586" s="1282"/>
      <c r="B586" s="1282"/>
      <c r="C586" s="1282"/>
      <c r="D586" s="1282"/>
      <c r="E586" s="1282"/>
      <c r="F586" s="1282"/>
      <c r="G586" s="1282"/>
      <c r="H586" s="1282"/>
      <c r="I586" s="1282"/>
      <c r="J586" s="1282"/>
      <c r="K586" s="1282"/>
      <c r="L586" s="1282"/>
      <c r="M586" s="1282"/>
      <c r="N586" s="1282"/>
      <c r="O586" s="1282"/>
      <c r="P586" s="1282"/>
      <c r="Q586" s="1282"/>
      <c r="R586" s="1282"/>
      <c r="S586" s="1282"/>
      <c r="T586" s="1282"/>
      <c r="U586" s="1282"/>
      <c r="V586" s="1282"/>
      <c r="W586" s="1282"/>
      <c r="X586" s="1282"/>
      <c r="Y586" s="1282"/>
      <c r="Z586" s="1282"/>
    </row>
    <row r="587">
      <c r="A587" s="1282"/>
      <c r="B587" s="1282"/>
      <c r="C587" s="1282"/>
      <c r="D587" s="1282"/>
      <c r="E587" s="1282"/>
      <c r="F587" s="1282"/>
      <c r="G587" s="1282"/>
      <c r="H587" s="1282"/>
      <c r="I587" s="1282"/>
      <c r="J587" s="1282"/>
      <c r="K587" s="1282"/>
      <c r="L587" s="1282"/>
      <c r="M587" s="1282"/>
      <c r="N587" s="1282"/>
      <c r="O587" s="1282"/>
      <c r="P587" s="1282"/>
      <c r="Q587" s="1282"/>
      <c r="R587" s="1282"/>
      <c r="S587" s="1282"/>
      <c r="T587" s="1282"/>
      <c r="U587" s="1282"/>
      <c r="V587" s="1282"/>
      <c r="W587" s="1282"/>
      <c r="X587" s="1282"/>
      <c r="Y587" s="1282"/>
      <c r="Z587" s="1282"/>
    </row>
    <row r="588">
      <c r="A588" s="1282"/>
      <c r="B588" s="1282"/>
      <c r="C588" s="1282"/>
      <c r="D588" s="1282"/>
      <c r="E588" s="1282"/>
      <c r="F588" s="1282"/>
      <c r="G588" s="1282"/>
      <c r="H588" s="1282"/>
      <c r="I588" s="1282"/>
      <c r="J588" s="1282"/>
      <c r="K588" s="1282"/>
      <c r="L588" s="1282"/>
      <c r="M588" s="1282"/>
      <c r="N588" s="1282"/>
      <c r="O588" s="1282"/>
      <c r="P588" s="1282"/>
      <c r="Q588" s="1282"/>
      <c r="R588" s="1282"/>
      <c r="S588" s="1282"/>
      <c r="T588" s="1282"/>
      <c r="U588" s="1282"/>
      <c r="V588" s="1282"/>
      <c r="W588" s="1282"/>
      <c r="X588" s="1282"/>
      <c r="Y588" s="1282"/>
      <c r="Z588" s="1282"/>
    </row>
    <row r="589">
      <c r="A589" s="1282"/>
      <c r="B589" s="1282"/>
      <c r="C589" s="1282"/>
      <c r="D589" s="1282"/>
      <c r="E589" s="1282"/>
      <c r="F589" s="1282"/>
      <c r="G589" s="1282"/>
      <c r="H589" s="1282"/>
      <c r="I589" s="1282"/>
      <c r="J589" s="1282"/>
      <c r="K589" s="1282"/>
      <c r="L589" s="1282"/>
      <c r="M589" s="1282"/>
      <c r="N589" s="1282"/>
      <c r="O589" s="1282"/>
      <c r="P589" s="1282"/>
      <c r="Q589" s="1282"/>
      <c r="R589" s="1282"/>
      <c r="S589" s="1282"/>
      <c r="T589" s="1282"/>
      <c r="U589" s="1282"/>
      <c r="V589" s="1282"/>
      <c r="W589" s="1282"/>
      <c r="X589" s="1282"/>
      <c r="Y589" s="1282"/>
      <c r="Z589" s="1282"/>
    </row>
    <row r="590">
      <c r="A590" s="1282"/>
      <c r="B590" s="1282"/>
      <c r="C590" s="1282"/>
      <c r="D590" s="1282"/>
      <c r="E590" s="1282"/>
      <c r="F590" s="1282"/>
      <c r="G590" s="1282"/>
      <c r="H590" s="1282"/>
      <c r="I590" s="1282"/>
      <c r="J590" s="1282"/>
      <c r="K590" s="1282"/>
      <c r="L590" s="1282"/>
      <c r="M590" s="1282"/>
      <c r="N590" s="1282"/>
      <c r="O590" s="1282"/>
      <c r="P590" s="1282"/>
      <c r="Q590" s="1282"/>
      <c r="R590" s="1282"/>
      <c r="S590" s="1282"/>
      <c r="T590" s="1282"/>
      <c r="U590" s="1282"/>
      <c r="V590" s="1282"/>
      <c r="W590" s="1282"/>
      <c r="X590" s="1282"/>
      <c r="Y590" s="1282"/>
      <c r="Z590" s="1282"/>
    </row>
    <row r="591">
      <c r="A591" s="1282"/>
      <c r="B591" s="1282"/>
      <c r="C591" s="1282"/>
      <c r="D591" s="1282"/>
      <c r="E591" s="1282"/>
      <c r="F591" s="1282"/>
      <c r="G591" s="1282"/>
      <c r="H591" s="1282"/>
      <c r="I591" s="1282"/>
      <c r="J591" s="1282"/>
      <c r="K591" s="1282"/>
      <c r="L591" s="1282"/>
      <c r="M591" s="1282"/>
      <c r="N591" s="1282"/>
      <c r="O591" s="1282"/>
      <c r="P591" s="1282"/>
      <c r="Q591" s="1282"/>
      <c r="R591" s="1282"/>
      <c r="S591" s="1282"/>
      <c r="T591" s="1282"/>
      <c r="U591" s="1282"/>
      <c r="V591" s="1282"/>
      <c r="W591" s="1282"/>
      <c r="X591" s="1282"/>
      <c r="Y591" s="1282"/>
      <c r="Z591" s="1282"/>
    </row>
    <row r="592">
      <c r="A592" s="1282"/>
      <c r="B592" s="1282"/>
      <c r="C592" s="1282"/>
      <c r="D592" s="1282"/>
      <c r="E592" s="1282"/>
      <c r="F592" s="1282"/>
      <c r="G592" s="1282"/>
      <c r="H592" s="1282"/>
      <c r="I592" s="1282"/>
      <c r="J592" s="1282"/>
      <c r="K592" s="1282"/>
      <c r="L592" s="1282"/>
      <c r="M592" s="1282"/>
      <c r="N592" s="1282"/>
      <c r="O592" s="1282"/>
      <c r="P592" s="1282"/>
      <c r="Q592" s="1282"/>
      <c r="R592" s="1282"/>
      <c r="S592" s="1282"/>
      <c r="T592" s="1282"/>
      <c r="U592" s="1282"/>
      <c r="V592" s="1282"/>
      <c r="W592" s="1282"/>
      <c r="X592" s="1282"/>
      <c r="Y592" s="1282"/>
      <c r="Z592" s="1282"/>
    </row>
    <row r="593">
      <c r="A593" s="1282"/>
      <c r="B593" s="1282"/>
      <c r="C593" s="1282"/>
      <c r="D593" s="1282"/>
      <c r="E593" s="1282"/>
      <c r="F593" s="1282"/>
      <c r="G593" s="1282"/>
      <c r="H593" s="1282"/>
      <c r="I593" s="1282"/>
      <c r="J593" s="1282"/>
      <c r="K593" s="1282"/>
      <c r="L593" s="1282"/>
      <c r="M593" s="1282"/>
      <c r="N593" s="1282"/>
      <c r="O593" s="1282"/>
      <c r="P593" s="1282"/>
      <c r="Q593" s="1282"/>
      <c r="R593" s="1282"/>
      <c r="S593" s="1282"/>
      <c r="T593" s="1282"/>
      <c r="U593" s="1282"/>
      <c r="V593" s="1282"/>
      <c r="W593" s="1282"/>
      <c r="X593" s="1282"/>
      <c r="Y593" s="1282"/>
      <c r="Z593" s="1282"/>
    </row>
    <row r="594">
      <c r="A594" s="1282"/>
      <c r="B594" s="1282"/>
      <c r="C594" s="1282"/>
      <c r="D594" s="1282"/>
      <c r="E594" s="1282"/>
      <c r="F594" s="1282"/>
      <c r="G594" s="1282"/>
      <c r="H594" s="1282"/>
      <c r="I594" s="1282"/>
      <c r="J594" s="1282"/>
      <c r="K594" s="1282"/>
      <c r="L594" s="1282"/>
      <c r="M594" s="1282"/>
      <c r="N594" s="1282"/>
      <c r="O594" s="1282"/>
      <c r="P594" s="1282"/>
      <c r="Q594" s="1282"/>
      <c r="R594" s="1282"/>
      <c r="S594" s="1282"/>
      <c r="T594" s="1282"/>
      <c r="U594" s="1282"/>
      <c r="V594" s="1282"/>
      <c r="W594" s="1282"/>
      <c r="X594" s="1282"/>
      <c r="Y594" s="1282"/>
      <c r="Z594" s="1282"/>
    </row>
    <row r="595">
      <c r="A595" s="1282"/>
      <c r="B595" s="1282"/>
      <c r="C595" s="1282"/>
      <c r="D595" s="1282"/>
      <c r="E595" s="1282"/>
      <c r="F595" s="1282"/>
      <c r="G595" s="1282"/>
      <c r="H595" s="1282"/>
      <c r="I595" s="1282"/>
      <c r="J595" s="1282"/>
      <c r="K595" s="1282"/>
      <c r="L595" s="1282"/>
      <c r="M595" s="1282"/>
      <c r="N595" s="1282"/>
      <c r="O595" s="1282"/>
      <c r="P595" s="1282"/>
      <c r="Q595" s="1282"/>
      <c r="R595" s="1282"/>
      <c r="S595" s="1282"/>
      <c r="T595" s="1282"/>
      <c r="U595" s="1282"/>
      <c r="V595" s="1282"/>
      <c r="W595" s="1282"/>
      <c r="X595" s="1282"/>
      <c r="Y595" s="1282"/>
      <c r="Z595" s="1282"/>
    </row>
    <row r="596">
      <c r="A596" s="1282"/>
      <c r="B596" s="1282"/>
      <c r="C596" s="1282"/>
      <c r="D596" s="1282"/>
      <c r="E596" s="1282"/>
      <c r="F596" s="1282"/>
      <c r="G596" s="1282"/>
      <c r="H596" s="1282"/>
      <c r="I596" s="1282"/>
      <c r="J596" s="1282"/>
      <c r="K596" s="1282"/>
      <c r="L596" s="1282"/>
      <c r="M596" s="1282"/>
      <c r="N596" s="1282"/>
      <c r="O596" s="1282"/>
      <c r="P596" s="1282"/>
      <c r="Q596" s="1282"/>
      <c r="R596" s="1282"/>
      <c r="S596" s="1282"/>
      <c r="T596" s="1282"/>
      <c r="U596" s="1282"/>
      <c r="V596" s="1282"/>
      <c r="W596" s="1282"/>
      <c r="X596" s="1282"/>
      <c r="Y596" s="1282"/>
      <c r="Z596" s="1282"/>
    </row>
    <row r="597">
      <c r="A597" s="1282"/>
      <c r="B597" s="1282"/>
      <c r="C597" s="1282"/>
      <c r="D597" s="1282"/>
      <c r="E597" s="1282"/>
      <c r="F597" s="1282"/>
      <c r="G597" s="1282"/>
      <c r="H597" s="1282"/>
      <c r="I597" s="1282"/>
      <c r="J597" s="1282"/>
      <c r="K597" s="1282"/>
      <c r="L597" s="1282"/>
      <c r="M597" s="1282"/>
      <c r="N597" s="1282"/>
      <c r="O597" s="1282"/>
      <c r="P597" s="1282"/>
      <c r="Q597" s="1282"/>
      <c r="R597" s="1282"/>
      <c r="S597" s="1282"/>
      <c r="T597" s="1282"/>
      <c r="U597" s="1282"/>
      <c r="V597" s="1282"/>
      <c r="W597" s="1282"/>
      <c r="X597" s="1282"/>
      <c r="Y597" s="1282"/>
      <c r="Z597" s="1282"/>
    </row>
    <row r="598">
      <c r="A598" s="1282"/>
      <c r="B598" s="1282"/>
      <c r="C598" s="1282"/>
      <c r="D598" s="1282"/>
      <c r="E598" s="1282"/>
      <c r="F598" s="1282"/>
      <c r="G598" s="1282"/>
      <c r="H598" s="1282"/>
      <c r="I598" s="1282"/>
      <c r="J598" s="1282"/>
      <c r="K598" s="1282"/>
      <c r="L598" s="1282"/>
      <c r="M598" s="1282"/>
      <c r="N598" s="1282"/>
      <c r="O598" s="1282"/>
      <c r="P598" s="1282"/>
      <c r="Q598" s="1282"/>
      <c r="R598" s="1282"/>
      <c r="S598" s="1282"/>
      <c r="T598" s="1282"/>
      <c r="U598" s="1282"/>
      <c r="V598" s="1282"/>
      <c r="W598" s="1282"/>
      <c r="X598" s="1282"/>
      <c r="Y598" s="1282"/>
      <c r="Z598" s="1282"/>
    </row>
    <row r="599">
      <c r="A599" s="1282"/>
      <c r="B599" s="1282"/>
      <c r="C599" s="1282"/>
      <c r="D599" s="1282"/>
      <c r="E599" s="1282"/>
      <c r="F599" s="1282"/>
      <c r="G599" s="1282"/>
      <c r="H599" s="1282"/>
      <c r="I599" s="1282"/>
      <c r="J599" s="1282"/>
      <c r="K599" s="1282"/>
      <c r="L599" s="1282"/>
      <c r="M599" s="1282"/>
      <c r="N599" s="1282"/>
      <c r="O599" s="1282"/>
      <c r="P599" s="1282"/>
      <c r="Q599" s="1282"/>
      <c r="R599" s="1282"/>
      <c r="S599" s="1282"/>
      <c r="T599" s="1282"/>
      <c r="U599" s="1282"/>
      <c r="V599" s="1282"/>
      <c r="W599" s="1282"/>
      <c r="X599" s="1282"/>
      <c r="Y599" s="1282"/>
      <c r="Z599" s="1282"/>
    </row>
    <row r="600">
      <c r="A600" s="1282"/>
      <c r="B600" s="1282"/>
      <c r="C600" s="1282"/>
      <c r="D600" s="1282"/>
      <c r="E600" s="1282"/>
      <c r="F600" s="1282"/>
      <c r="G600" s="1282"/>
      <c r="H600" s="1282"/>
      <c r="I600" s="1282"/>
      <c r="J600" s="1282"/>
      <c r="K600" s="1282"/>
      <c r="L600" s="1282"/>
      <c r="M600" s="1282"/>
      <c r="N600" s="1282"/>
      <c r="O600" s="1282"/>
      <c r="P600" s="1282"/>
      <c r="Q600" s="1282"/>
      <c r="R600" s="1282"/>
      <c r="S600" s="1282"/>
      <c r="T600" s="1282"/>
      <c r="U600" s="1282"/>
      <c r="V600" s="1282"/>
      <c r="W600" s="1282"/>
      <c r="X600" s="1282"/>
      <c r="Y600" s="1282"/>
      <c r="Z600" s="1282"/>
    </row>
    <row r="601">
      <c r="A601" s="1282"/>
      <c r="B601" s="1282"/>
      <c r="C601" s="1282"/>
      <c r="D601" s="1282"/>
      <c r="E601" s="1282"/>
      <c r="F601" s="1282"/>
      <c r="G601" s="1282"/>
      <c r="H601" s="1282"/>
      <c r="I601" s="1282"/>
      <c r="J601" s="1282"/>
      <c r="K601" s="1282"/>
      <c r="L601" s="1282"/>
      <c r="M601" s="1282"/>
      <c r="N601" s="1282"/>
      <c r="O601" s="1282"/>
      <c r="P601" s="1282"/>
      <c r="Q601" s="1282"/>
      <c r="R601" s="1282"/>
      <c r="S601" s="1282"/>
      <c r="T601" s="1282"/>
      <c r="U601" s="1282"/>
      <c r="V601" s="1282"/>
      <c r="W601" s="1282"/>
      <c r="X601" s="1282"/>
      <c r="Y601" s="1282"/>
      <c r="Z601" s="1282"/>
    </row>
    <row r="602">
      <c r="A602" s="1282"/>
      <c r="B602" s="1282"/>
      <c r="C602" s="1282"/>
      <c r="D602" s="1282"/>
      <c r="E602" s="1282"/>
      <c r="F602" s="1282"/>
      <c r="G602" s="1282"/>
      <c r="H602" s="1282"/>
      <c r="I602" s="1282"/>
      <c r="J602" s="1282"/>
      <c r="K602" s="1282"/>
      <c r="L602" s="1282"/>
      <c r="M602" s="1282"/>
      <c r="N602" s="1282"/>
      <c r="O602" s="1282"/>
      <c r="P602" s="1282"/>
      <c r="Q602" s="1282"/>
      <c r="R602" s="1282"/>
      <c r="S602" s="1282"/>
      <c r="T602" s="1282"/>
      <c r="U602" s="1282"/>
      <c r="V602" s="1282"/>
      <c r="W602" s="1282"/>
      <c r="X602" s="1282"/>
      <c r="Y602" s="1282"/>
      <c r="Z602" s="1282"/>
    </row>
    <row r="603">
      <c r="A603" s="1282"/>
      <c r="B603" s="1282"/>
      <c r="C603" s="1282"/>
      <c r="D603" s="1282"/>
      <c r="E603" s="1282"/>
      <c r="F603" s="1282"/>
      <c r="G603" s="1282"/>
      <c r="H603" s="1282"/>
      <c r="I603" s="1282"/>
      <c r="J603" s="1282"/>
      <c r="K603" s="1282"/>
      <c r="L603" s="1282"/>
      <c r="M603" s="1282"/>
      <c r="N603" s="1282"/>
      <c r="O603" s="1282"/>
      <c r="P603" s="1282"/>
      <c r="Q603" s="1282"/>
      <c r="R603" s="1282"/>
      <c r="S603" s="1282"/>
      <c r="T603" s="1282"/>
      <c r="U603" s="1282"/>
      <c r="V603" s="1282"/>
      <c r="W603" s="1282"/>
      <c r="X603" s="1282"/>
      <c r="Y603" s="1282"/>
      <c r="Z603" s="1282"/>
    </row>
    <row r="604">
      <c r="A604" s="1282"/>
      <c r="B604" s="1282"/>
      <c r="C604" s="1282"/>
      <c r="D604" s="1282"/>
      <c r="E604" s="1282"/>
      <c r="F604" s="1282"/>
      <c r="G604" s="1282"/>
      <c r="H604" s="1282"/>
      <c r="I604" s="1282"/>
      <c r="J604" s="1282"/>
      <c r="K604" s="1282"/>
      <c r="L604" s="1282"/>
      <c r="M604" s="1282"/>
      <c r="N604" s="1282"/>
      <c r="O604" s="1282"/>
      <c r="P604" s="1282"/>
      <c r="Q604" s="1282"/>
      <c r="R604" s="1282"/>
      <c r="S604" s="1282"/>
      <c r="T604" s="1282"/>
      <c r="U604" s="1282"/>
      <c r="V604" s="1282"/>
      <c r="W604" s="1282"/>
      <c r="X604" s="1282"/>
      <c r="Y604" s="1282"/>
      <c r="Z604" s="1282"/>
    </row>
    <row r="605">
      <c r="A605" s="1282"/>
      <c r="B605" s="1282"/>
      <c r="C605" s="1282"/>
      <c r="D605" s="1282"/>
      <c r="E605" s="1282"/>
      <c r="F605" s="1282"/>
      <c r="G605" s="1282"/>
      <c r="H605" s="1282"/>
      <c r="I605" s="1282"/>
      <c r="J605" s="1282"/>
      <c r="K605" s="1282"/>
      <c r="L605" s="1282"/>
      <c r="M605" s="1282"/>
      <c r="N605" s="1282"/>
      <c r="O605" s="1282"/>
      <c r="P605" s="1282"/>
      <c r="Q605" s="1282"/>
      <c r="R605" s="1282"/>
      <c r="S605" s="1282"/>
      <c r="T605" s="1282"/>
      <c r="U605" s="1282"/>
      <c r="V605" s="1282"/>
      <c r="W605" s="1282"/>
      <c r="X605" s="1282"/>
      <c r="Y605" s="1282"/>
      <c r="Z605" s="1282"/>
    </row>
    <row r="606">
      <c r="A606" s="1282"/>
      <c r="B606" s="1282"/>
      <c r="C606" s="1282"/>
      <c r="D606" s="1282"/>
      <c r="E606" s="1282"/>
      <c r="F606" s="1282"/>
      <c r="G606" s="1282"/>
      <c r="H606" s="1282"/>
      <c r="I606" s="1282"/>
      <c r="J606" s="1282"/>
      <c r="K606" s="1282"/>
      <c r="L606" s="1282"/>
      <c r="M606" s="1282"/>
      <c r="N606" s="1282"/>
      <c r="O606" s="1282"/>
      <c r="P606" s="1282"/>
      <c r="Q606" s="1282"/>
      <c r="R606" s="1282"/>
      <c r="S606" s="1282"/>
      <c r="T606" s="1282"/>
      <c r="U606" s="1282"/>
      <c r="V606" s="1282"/>
      <c r="W606" s="1282"/>
      <c r="X606" s="1282"/>
      <c r="Y606" s="1282"/>
      <c r="Z606" s="1282"/>
    </row>
    <row r="607">
      <c r="A607" s="1282"/>
      <c r="B607" s="1282"/>
      <c r="C607" s="1282"/>
      <c r="D607" s="1282"/>
      <c r="E607" s="1282"/>
      <c r="F607" s="1282"/>
      <c r="G607" s="1282"/>
      <c r="H607" s="1282"/>
      <c r="I607" s="1282"/>
      <c r="J607" s="1282"/>
      <c r="K607" s="1282"/>
      <c r="L607" s="1282"/>
      <c r="M607" s="1282"/>
      <c r="N607" s="1282"/>
      <c r="O607" s="1282"/>
      <c r="P607" s="1282"/>
      <c r="Q607" s="1282"/>
      <c r="R607" s="1282"/>
      <c r="S607" s="1282"/>
      <c r="T607" s="1282"/>
      <c r="U607" s="1282"/>
      <c r="V607" s="1282"/>
      <c r="W607" s="1282"/>
      <c r="X607" s="1282"/>
      <c r="Y607" s="1282"/>
      <c r="Z607" s="1282"/>
    </row>
    <row r="608">
      <c r="A608" s="1282"/>
      <c r="B608" s="1282"/>
      <c r="C608" s="1282"/>
      <c r="D608" s="1282"/>
      <c r="E608" s="1282"/>
      <c r="F608" s="1282"/>
      <c r="G608" s="1282"/>
      <c r="H608" s="1282"/>
      <c r="I608" s="1282"/>
      <c r="J608" s="1282"/>
      <c r="K608" s="1282"/>
      <c r="L608" s="1282"/>
      <c r="M608" s="1282"/>
      <c r="N608" s="1282"/>
      <c r="O608" s="1282"/>
      <c r="P608" s="1282"/>
      <c r="Q608" s="1282"/>
      <c r="R608" s="1282"/>
      <c r="S608" s="1282"/>
      <c r="T608" s="1282"/>
      <c r="U608" s="1282"/>
      <c r="V608" s="1282"/>
      <c r="W608" s="1282"/>
      <c r="X608" s="1282"/>
      <c r="Y608" s="1282"/>
      <c r="Z608" s="1282"/>
    </row>
    <row r="609">
      <c r="A609" s="1282"/>
      <c r="B609" s="1282"/>
      <c r="C609" s="1282"/>
      <c r="D609" s="1282"/>
      <c r="E609" s="1282"/>
      <c r="F609" s="1282"/>
      <c r="G609" s="1282"/>
      <c r="H609" s="1282"/>
      <c r="I609" s="1282"/>
      <c r="J609" s="1282"/>
      <c r="K609" s="1282"/>
      <c r="L609" s="1282"/>
      <c r="M609" s="1282"/>
      <c r="N609" s="1282"/>
      <c r="O609" s="1282"/>
      <c r="P609" s="1282"/>
      <c r="Q609" s="1282"/>
      <c r="R609" s="1282"/>
      <c r="S609" s="1282"/>
      <c r="T609" s="1282"/>
      <c r="U609" s="1282"/>
      <c r="V609" s="1282"/>
      <c r="W609" s="1282"/>
      <c r="X609" s="1282"/>
      <c r="Y609" s="1282"/>
      <c r="Z609" s="1282"/>
    </row>
    <row r="610">
      <c r="A610" s="1282"/>
      <c r="B610" s="1282"/>
      <c r="C610" s="1282"/>
      <c r="D610" s="1282"/>
      <c r="E610" s="1282"/>
      <c r="F610" s="1282"/>
      <c r="G610" s="1282"/>
      <c r="H610" s="1282"/>
      <c r="I610" s="1282"/>
      <c r="J610" s="1282"/>
      <c r="K610" s="1282"/>
      <c r="L610" s="1282"/>
      <c r="M610" s="1282"/>
      <c r="N610" s="1282"/>
      <c r="O610" s="1282"/>
      <c r="P610" s="1282"/>
      <c r="Q610" s="1282"/>
      <c r="R610" s="1282"/>
      <c r="S610" s="1282"/>
      <c r="T610" s="1282"/>
      <c r="U610" s="1282"/>
      <c r="V610" s="1282"/>
      <c r="W610" s="1282"/>
      <c r="X610" s="1282"/>
      <c r="Y610" s="1282"/>
      <c r="Z610" s="1282"/>
    </row>
    <row r="611">
      <c r="A611" s="1282"/>
      <c r="B611" s="1282"/>
      <c r="C611" s="1282"/>
      <c r="D611" s="1282"/>
      <c r="E611" s="1282"/>
      <c r="F611" s="1282"/>
      <c r="G611" s="1282"/>
      <c r="H611" s="1282"/>
      <c r="I611" s="1282"/>
      <c r="J611" s="1282"/>
      <c r="K611" s="1282"/>
      <c r="L611" s="1282"/>
      <c r="M611" s="1282"/>
      <c r="N611" s="1282"/>
      <c r="O611" s="1282"/>
      <c r="P611" s="1282"/>
      <c r="Q611" s="1282"/>
      <c r="R611" s="1282"/>
      <c r="S611" s="1282"/>
      <c r="T611" s="1282"/>
      <c r="U611" s="1282"/>
      <c r="V611" s="1282"/>
      <c r="W611" s="1282"/>
      <c r="X611" s="1282"/>
      <c r="Y611" s="1282"/>
      <c r="Z611" s="1282"/>
    </row>
    <row r="612">
      <c r="A612" s="1282"/>
      <c r="B612" s="1282"/>
      <c r="C612" s="1282"/>
      <c r="D612" s="1282"/>
      <c r="E612" s="1282"/>
      <c r="F612" s="1282"/>
      <c r="G612" s="1282"/>
      <c r="H612" s="1282"/>
      <c r="I612" s="1282"/>
      <c r="J612" s="1282"/>
      <c r="K612" s="1282"/>
      <c r="L612" s="1282"/>
      <c r="M612" s="1282"/>
      <c r="N612" s="1282"/>
      <c r="O612" s="1282"/>
      <c r="P612" s="1282"/>
      <c r="Q612" s="1282"/>
      <c r="R612" s="1282"/>
      <c r="S612" s="1282"/>
      <c r="T612" s="1282"/>
      <c r="U612" s="1282"/>
      <c r="V612" s="1282"/>
      <c r="W612" s="1282"/>
      <c r="X612" s="1282"/>
      <c r="Y612" s="1282"/>
      <c r="Z612" s="1282"/>
    </row>
    <row r="613">
      <c r="A613" s="1282"/>
      <c r="B613" s="1282"/>
      <c r="C613" s="1282"/>
      <c r="D613" s="1282"/>
      <c r="E613" s="1282"/>
      <c r="F613" s="1282"/>
      <c r="G613" s="1282"/>
      <c r="H613" s="1282"/>
      <c r="I613" s="1282"/>
      <c r="J613" s="1282"/>
      <c r="K613" s="1282"/>
      <c r="L613" s="1282"/>
      <c r="M613" s="1282"/>
      <c r="N613" s="1282"/>
      <c r="O613" s="1282"/>
      <c r="P613" s="1282"/>
      <c r="Q613" s="1282"/>
      <c r="R613" s="1282"/>
      <c r="S613" s="1282"/>
      <c r="T613" s="1282"/>
      <c r="U613" s="1282"/>
      <c r="V613" s="1282"/>
      <c r="W613" s="1282"/>
      <c r="X613" s="1282"/>
      <c r="Y613" s="1282"/>
      <c r="Z613" s="1282"/>
    </row>
    <row r="614">
      <c r="A614" s="1282"/>
      <c r="B614" s="1282"/>
      <c r="C614" s="1282"/>
      <c r="D614" s="1282"/>
      <c r="E614" s="1282"/>
      <c r="F614" s="1282"/>
      <c r="G614" s="1282"/>
      <c r="H614" s="1282"/>
      <c r="I614" s="1282"/>
      <c r="J614" s="1282"/>
      <c r="K614" s="1282"/>
      <c r="L614" s="1282"/>
      <c r="M614" s="1282"/>
      <c r="N614" s="1282"/>
      <c r="O614" s="1282"/>
      <c r="P614" s="1282"/>
      <c r="Q614" s="1282"/>
      <c r="R614" s="1282"/>
      <c r="S614" s="1282"/>
      <c r="T614" s="1282"/>
      <c r="U614" s="1282"/>
      <c r="V614" s="1282"/>
      <c r="W614" s="1282"/>
      <c r="X614" s="1282"/>
      <c r="Y614" s="1282"/>
      <c r="Z614" s="1282"/>
    </row>
    <row r="615">
      <c r="A615" s="1282"/>
      <c r="B615" s="1282"/>
      <c r="C615" s="1282"/>
      <c r="D615" s="1282"/>
      <c r="E615" s="1282"/>
      <c r="F615" s="1282"/>
      <c r="G615" s="1282"/>
      <c r="H615" s="1282"/>
      <c r="I615" s="1282"/>
      <c r="J615" s="1282"/>
      <c r="K615" s="1282"/>
      <c r="L615" s="1282"/>
      <c r="M615" s="1282"/>
      <c r="N615" s="1282"/>
      <c r="O615" s="1282"/>
      <c r="P615" s="1282"/>
      <c r="Q615" s="1282"/>
      <c r="R615" s="1282"/>
      <c r="S615" s="1282"/>
      <c r="T615" s="1282"/>
      <c r="U615" s="1282"/>
      <c r="V615" s="1282"/>
      <c r="W615" s="1282"/>
      <c r="X615" s="1282"/>
      <c r="Y615" s="1282"/>
      <c r="Z615" s="1282"/>
    </row>
    <row r="616">
      <c r="A616" s="1282"/>
      <c r="B616" s="1282"/>
      <c r="C616" s="1282"/>
      <c r="D616" s="1282"/>
      <c r="E616" s="1282"/>
      <c r="F616" s="1282"/>
      <c r="G616" s="1282"/>
      <c r="H616" s="1282"/>
      <c r="I616" s="1282"/>
      <c r="J616" s="1282"/>
      <c r="K616" s="1282"/>
      <c r="L616" s="1282"/>
      <c r="M616" s="1282"/>
      <c r="N616" s="1282"/>
      <c r="O616" s="1282"/>
      <c r="P616" s="1282"/>
      <c r="Q616" s="1282"/>
      <c r="R616" s="1282"/>
      <c r="S616" s="1282"/>
      <c r="T616" s="1282"/>
      <c r="U616" s="1282"/>
      <c r="V616" s="1282"/>
      <c r="W616" s="1282"/>
      <c r="X616" s="1282"/>
      <c r="Y616" s="1282"/>
      <c r="Z616" s="1282"/>
    </row>
    <row r="617">
      <c r="A617" s="1282"/>
      <c r="B617" s="1282"/>
      <c r="C617" s="1282"/>
      <c r="D617" s="1282"/>
      <c r="E617" s="1282"/>
      <c r="F617" s="1282"/>
      <c r="G617" s="1282"/>
      <c r="H617" s="1282"/>
      <c r="I617" s="1282"/>
      <c r="J617" s="1282"/>
      <c r="K617" s="1282"/>
      <c r="L617" s="1282"/>
      <c r="M617" s="1282"/>
      <c r="N617" s="1282"/>
      <c r="O617" s="1282"/>
      <c r="P617" s="1282"/>
      <c r="Q617" s="1282"/>
      <c r="R617" s="1282"/>
      <c r="S617" s="1282"/>
      <c r="T617" s="1282"/>
      <c r="U617" s="1282"/>
      <c r="V617" s="1282"/>
      <c r="W617" s="1282"/>
      <c r="X617" s="1282"/>
      <c r="Y617" s="1282"/>
      <c r="Z617" s="1282"/>
    </row>
    <row r="618">
      <c r="A618" s="1282"/>
      <c r="B618" s="1282"/>
      <c r="C618" s="1282"/>
      <c r="D618" s="1282"/>
      <c r="E618" s="1282"/>
      <c r="F618" s="1282"/>
      <c r="G618" s="1282"/>
      <c r="H618" s="1282"/>
      <c r="I618" s="1282"/>
      <c r="J618" s="1282"/>
      <c r="K618" s="1282"/>
      <c r="L618" s="1282"/>
      <c r="M618" s="1282"/>
      <c r="N618" s="1282"/>
      <c r="O618" s="1282"/>
      <c r="P618" s="1282"/>
      <c r="Q618" s="1282"/>
      <c r="R618" s="1282"/>
      <c r="S618" s="1282"/>
      <c r="T618" s="1282"/>
      <c r="U618" s="1282"/>
      <c r="V618" s="1282"/>
      <c r="W618" s="1282"/>
      <c r="X618" s="1282"/>
      <c r="Y618" s="1282"/>
      <c r="Z618" s="1282"/>
    </row>
    <row r="619">
      <c r="A619" s="1282"/>
      <c r="B619" s="1282"/>
      <c r="C619" s="1282"/>
      <c r="D619" s="1282"/>
      <c r="E619" s="1282"/>
      <c r="F619" s="1282"/>
      <c r="G619" s="1282"/>
      <c r="H619" s="1282"/>
      <c r="I619" s="1282"/>
      <c r="J619" s="1282"/>
      <c r="K619" s="1282"/>
      <c r="L619" s="1282"/>
      <c r="M619" s="1282"/>
      <c r="N619" s="1282"/>
      <c r="O619" s="1282"/>
      <c r="P619" s="1282"/>
      <c r="Q619" s="1282"/>
      <c r="R619" s="1282"/>
      <c r="S619" s="1282"/>
      <c r="T619" s="1282"/>
      <c r="U619" s="1282"/>
      <c r="V619" s="1282"/>
      <c r="W619" s="1282"/>
      <c r="X619" s="1282"/>
      <c r="Y619" s="1282"/>
      <c r="Z619" s="1282"/>
    </row>
    <row r="620">
      <c r="A620" s="1282"/>
      <c r="B620" s="1282"/>
      <c r="C620" s="1282"/>
      <c r="D620" s="1282"/>
      <c r="E620" s="1282"/>
      <c r="F620" s="1282"/>
      <c r="G620" s="1282"/>
      <c r="H620" s="1282"/>
      <c r="I620" s="1282"/>
      <c r="J620" s="1282"/>
      <c r="K620" s="1282"/>
      <c r="L620" s="1282"/>
      <c r="M620" s="1282"/>
      <c r="N620" s="1282"/>
      <c r="O620" s="1282"/>
      <c r="P620" s="1282"/>
      <c r="Q620" s="1282"/>
      <c r="R620" s="1282"/>
      <c r="S620" s="1282"/>
      <c r="T620" s="1282"/>
      <c r="U620" s="1282"/>
      <c r="V620" s="1282"/>
      <c r="W620" s="1282"/>
      <c r="X620" s="1282"/>
      <c r="Y620" s="1282"/>
      <c r="Z620" s="1282"/>
    </row>
    <row r="621">
      <c r="A621" s="1282"/>
      <c r="B621" s="1282"/>
      <c r="C621" s="1282"/>
      <c r="D621" s="1282"/>
      <c r="E621" s="1282"/>
      <c r="F621" s="1282"/>
      <c r="G621" s="1282"/>
      <c r="H621" s="1282"/>
      <c r="I621" s="1282"/>
      <c r="J621" s="1282"/>
      <c r="K621" s="1282"/>
      <c r="L621" s="1282"/>
      <c r="M621" s="1282"/>
      <c r="N621" s="1282"/>
      <c r="O621" s="1282"/>
      <c r="P621" s="1282"/>
      <c r="Q621" s="1282"/>
      <c r="R621" s="1282"/>
      <c r="S621" s="1282"/>
      <c r="T621" s="1282"/>
      <c r="U621" s="1282"/>
      <c r="V621" s="1282"/>
      <c r="W621" s="1282"/>
      <c r="X621" s="1282"/>
      <c r="Y621" s="1282"/>
      <c r="Z621" s="1282"/>
    </row>
    <row r="622">
      <c r="A622" s="1282"/>
      <c r="B622" s="1282"/>
      <c r="C622" s="1282"/>
      <c r="D622" s="1282"/>
      <c r="E622" s="1282"/>
      <c r="F622" s="1282"/>
      <c r="G622" s="1282"/>
      <c r="H622" s="1282"/>
      <c r="I622" s="1282"/>
      <c r="J622" s="1282"/>
      <c r="K622" s="1282"/>
      <c r="L622" s="1282"/>
      <c r="M622" s="1282"/>
      <c r="N622" s="1282"/>
      <c r="O622" s="1282"/>
      <c r="P622" s="1282"/>
      <c r="Q622" s="1282"/>
      <c r="R622" s="1282"/>
      <c r="S622" s="1282"/>
      <c r="T622" s="1282"/>
      <c r="U622" s="1282"/>
      <c r="V622" s="1282"/>
      <c r="W622" s="1282"/>
      <c r="X622" s="1282"/>
      <c r="Y622" s="1282"/>
      <c r="Z622" s="1282"/>
    </row>
    <row r="623">
      <c r="A623" s="1282"/>
      <c r="B623" s="1282"/>
      <c r="C623" s="1282"/>
      <c r="D623" s="1282"/>
      <c r="E623" s="1282"/>
      <c r="F623" s="1282"/>
      <c r="G623" s="1282"/>
      <c r="H623" s="1282"/>
      <c r="I623" s="1282"/>
      <c r="J623" s="1282"/>
      <c r="K623" s="1282"/>
      <c r="L623" s="1282"/>
      <c r="M623" s="1282"/>
      <c r="N623" s="1282"/>
      <c r="O623" s="1282"/>
      <c r="P623" s="1282"/>
      <c r="Q623" s="1282"/>
      <c r="R623" s="1282"/>
      <c r="S623" s="1282"/>
      <c r="T623" s="1282"/>
      <c r="U623" s="1282"/>
      <c r="V623" s="1282"/>
      <c r="W623" s="1282"/>
      <c r="X623" s="1282"/>
      <c r="Y623" s="1282"/>
      <c r="Z623" s="1282"/>
    </row>
    <row r="624">
      <c r="A624" s="1282"/>
      <c r="B624" s="1282"/>
      <c r="C624" s="1282"/>
      <c r="D624" s="1282"/>
      <c r="E624" s="1282"/>
      <c r="F624" s="1282"/>
      <c r="G624" s="1282"/>
      <c r="H624" s="1282"/>
      <c r="I624" s="1282"/>
      <c r="J624" s="1282"/>
      <c r="K624" s="1282"/>
      <c r="L624" s="1282"/>
      <c r="M624" s="1282"/>
      <c r="N624" s="1282"/>
      <c r="O624" s="1282"/>
      <c r="P624" s="1282"/>
      <c r="Q624" s="1282"/>
      <c r="R624" s="1282"/>
      <c r="S624" s="1282"/>
      <c r="T624" s="1282"/>
      <c r="U624" s="1282"/>
      <c r="V624" s="1282"/>
      <c r="W624" s="1282"/>
      <c r="X624" s="1282"/>
      <c r="Y624" s="1282"/>
      <c r="Z624" s="1282"/>
    </row>
    <row r="625">
      <c r="A625" s="1282"/>
      <c r="B625" s="1282"/>
      <c r="C625" s="1282"/>
      <c r="D625" s="1282"/>
      <c r="E625" s="1282"/>
      <c r="F625" s="1282"/>
      <c r="G625" s="1282"/>
      <c r="H625" s="1282"/>
      <c r="I625" s="1282"/>
      <c r="J625" s="1282"/>
      <c r="K625" s="1282"/>
      <c r="L625" s="1282"/>
      <c r="M625" s="1282"/>
      <c r="N625" s="1282"/>
      <c r="O625" s="1282"/>
      <c r="P625" s="1282"/>
      <c r="Q625" s="1282"/>
      <c r="R625" s="1282"/>
      <c r="S625" s="1282"/>
      <c r="T625" s="1282"/>
      <c r="U625" s="1282"/>
      <c r="V625" s="1282"/>
      <c r="W625" s="1282"/>
      <c r="X625" s="1282"/>
      <c r="Y625" s="1282"/>
      <c r="Z625" s="1282"/>
    </row>
    <row r="626">
      <c r="A626" s="1282"/>
      <c r="B626" s="1282"/>
      <c r="C626" s="1282"/>
      <c r="D626" s="1282"/>
      <c r="E626" s="1282"/>
      <c r="F626" s="1282"/>
      <c r="G626" s="1282"/>
      <c r="H626" s="1282"/>
      <c r="I626" s="1282"/>
      <c r="J626" s="1282"/>
      <c r="K626" s="1282"/>
      <c r="L626" s="1282"/>
      <c r="M626" s="1282"/>
      <c r="N626" s="1282"/>
      <c r="O626" s="1282"/>
      <c r="P626" s="1282"/>
      <c r="Q626" s="1282"/>
      <c r="R626" s="1282"/>
      <c r="S626" s="1282"/>
      <c r="T626" s="1282"/>
      <c r="U626" s="1282"/>
      <c r="V626" s="1282"/>
      <c r="W626" s="1282"/>
      <c r="X626" s="1282"/>
      <c r="Y626" s="1282"/>
      <c r="Z626" s="1282"/>
    </row>
    <row r="627">
      <c r="A627" s="1282"/>
      <c r="B627" s="1282"/>
      <c r="C627" s="1282"/>
      <c r="D627" s="1282"/>
      <c r="E627" s="1282"/>
      <c r="F627" s="1282"/>
      <c r="G627" s="1282"/>
      <c r="H627" s="1282"/>
      <c r="I627" s="1282"/>
      <c r="J627" s="1282"/>
      <c r="K627" s="1282"/>
      <c r="L627" s="1282"/>
      <c r="M627" s="1282"/>
      <c r="N627" s="1282"/>
      <c r="O627" s="1282"/>
      <c r="P627" s="1282"/>
      <c r="Q627" s="1282"/>
      <c r="R627" s="1282"/>
      <c r="S627" s="1282"/>
      <c r="T627" s="1282"/>
      <c r="U627" s="1282"/>
      <c r="V627" s="1282"/>
      <c r="W627" s="1282"/>
      <c r="X627" s="1282"/>
      <c r="Y627" s="1282"/>
      <c r="Z627" s="1282"/>
    </row>
    <row r="628">
      <c r="A628" s="1282"/>
      <c r="B628" s="1282"/>
      <c r="C628" s="1282"/>
      <c r="D628" s="1282"/>
      <c r="E628" s="1282"/>
      <c r="F628" s="1282"/>
      <c r="G628" s="1282"/>
      <c r="H628" s="1282"/>
      <c r="I628" s="1282"/>
      <c r="J628" s="1282"/>
      <c r="K628" s="1282"/>
      <c r="L628" s="1282"/>
      <c r="M628" s="1282"/>
      <c r="N628" s="1282"/>
      <c r="O628" s="1282"/>
      <c r="P628" s="1282"/>
      <c r="Q628" s="1282"/>
      <c r="R628" s="1282"/>
      <c r="S628" s="1282"/>
      <c r="T628" s="1282"/>
      <c r="U628" s="1282"/>
      <c r="V628" s="1282"/>
      <c r="W628" s="1282"/>
      <c r="X628" s="1282"/>
      <c r="Y628" s="1282"/>
      <c r="Z628" s="1282"/>
    </row>
    <row r="629">
      <c r="A629" s="1282"/>
      <c r="B629" s="1282"/>
      <c r="C629" s="1282"/>
      <c r="D629" s="1282"/>
      <c r="E629" s="1282"/>
      <c r="F629" s="1282"/>
      <c r="G629" s="1282"/>
      <c r="H629" s="1282"/>
      <c r="I629" s="1282"/>
      <c r="J629" s="1282"/>
      <c r="K629" s="1282"/>
      <c r="L629" s="1282"/>
      <c r="M629" s="1282"/>
      <c r="N629" s="1282"/>
      <c r="O629" s="1282"/>
      <c r="P629" s="1282"/>
      <c r="Q629" s="1282"/>
      <c r="R629" s="1282"/>
      <c r="S629" s="1282"/>
      <c r="T629" s="1282"/>
      <c r="U629" s="1282"/>
      <c r="V629" s="1282"/>
      <c r="W629" s="1282"/>
      <c r="X629" s="1282"/>
      <c r="Y629" s="1282"/>
      <c r="Z629" s="1282"/>
    </row>
    <row r="630">
      <c r="A630" s="1282"/>
      <c r="B630" s="1282"/>
      <c r="C630" s="1282"/>
      <c r="D630" s="1282"/>
      <c r="E630" s="1282"/>
      <c r="F630" s="1282"/>
      <c r="G630" s="1282"/>
      <c r="H630" s="1282"/>
      <c r="I630" s="1282"/>
      <c r="J630" s="1282"/>
      <c r="K630" s="1282"/>
      <c r="L630" s="1282"/>
      <c r="M630" s="1282"/>
      <c r="N630" s="1282"/>
      <c r="O630" s="1282"/>
      <c r="P630" s="1282"/>
      <c r="Q630" s="1282"/>
      <c r="R630" s="1282"/>
      <c r="S630" s="1282"/>
      <c r="T630" s="1282"/>
      <c r="U630" s="1282"/>
      <c r="V630" s="1282"/>
      <c r="W630" s="1282"/>
      <c r="X630" s="1282"/>
      <c r="Y630" s="1282"/>
      <c r="Z630" s="1282"/>
    </row>
    <row r="631">
      <c r="A631" s="1282"/>
      <c r="B631" s="1282"/>
      <c r="C631" s="1282"/>
      <c r="D631" s="1282"/>
      <c r="E631" s="1282"/>
      <c r="F631" s="1282"/>
      <c r="G631" s="1282"/>
      <c r="H631" s="1282"/>
      <c r="I631" s="1282"/>
      <c r="J631" s="1282"/>
      <c r="K631" s="1282"/>
      <c r="L631" s="1282"/>
      <c r="M631" s="1282"/>
      <c r="N631" s="1282"/>
      <c r="O631" s="1282"/>
      <c r="P631" s="1282"/>
      <c r="Q631" s="1282"/>
      <c r="R631" s="1282"/>
      <c r="S631" s="1282"/>
      <c r="T631" s="1282"/>
      <c r="U631" s="1282"/>
      <c r="V631" s="1282"/>
      <c r="W631" s="1282"/>
      <c r="X631" s="1282"/>
      <c r="Y631" s="1282"/>
      <c r="Z631" s="1282"/>
    </row>
    <row r="632">
      <c r="A632" s="1282"/>
      <c r="B632" s="1282"/>
      <c r="C632" s="1282"/>
      <c r="D632" s="1282"/>
      <c r="E632" s="1282"/>
      <c r="F632" s="1282"/>
      <c r="G632" s="1282"/>
      <c r="H632" s="1282"/>
      <c r="I632" s="1282"/>
      <c r="J632" s="1282"/>
      <c r="K632" s="1282"/>
      <c r="L632" s="1282"/>
      <c r="M632" s="1282"/>
      <c r="N632" s="1282"/>
      <c r="O632" s="1282"/>
      <c r="P632" s="1282"/>
      <c r="Q632" s="1282"/>
      <c r="R632" s="1282"/>
      <c r="S632" s="1282"/>
      <c r="T632" s="1282"/>
      <c r="U632" s="1282"/>
      <c r="V632" s="1282"/>
      <c r="W632" s="1282"/>
      <c r="X632" s="1282"/>
      <c r="Y632" s="1282"/>
      <c r="Z632" s="1282"/>
    </row>
    <row r="633">
      <c r="A633" s="1282"/>
      <c r="B633" s="1282"/>
      <c r="C633" s="1282"/>
      <c r="D633" s="1282"/>
      <c r="E633" s="1282"/>
      <c r="F633" s="1282"/>
      <c r="G633" s="1282"/>
      <c r="H633" s="1282"/>
      <c r="I633" s="1282"/>
      <c r="J633" s="1282"/>
      <c r="K633" s="1282"/>
      <c r="L633" s="1282"/>
      <c r="M633" s="1282"/>
      <c r="N633" s="1282"/>
      <c r="O633" s="1282"/>
      <c r="P633" s="1282"/>
      <c r="Q633" s="1282"/>
      <c r="R633" s="1282"/>
      <c r="S633" s="1282"/>
      <c r="T633" s="1282"/>
      <c r="U633" s="1282"/>
      <c r="V633" s="1282"/>
      <c r="W633" s="1282"/>
      <c r="X633" s="1282"/>
      <c r="Y633" s="1282"/>
      <c r="Z633" s="1282"/>
    </row>
    <row r="634">
      <c r="A634" s="1282"/>
      <c r="B634" s="1282"/>
      <c r="C634" s="1282"/>
      <c r="D634" s="1282"/>
      <c r="E634" s="1282"/>
      <c r="F634" s="1282"/>
      <c r="G634" s="1282"/>
      <c r="H634" s="1282"/>
      <c r="I634" s="1282"/>
      <c r="J634" s="1282"/>
      <c r="K634" s="1282"/>
      <c r="L634" s="1282"/>
      <c r="M634" s="1282"/>
      <c r="N634" s="1282"/>
      <c r="O634" s="1282"/>
      <c r="P634" s="1282"/>
      <c r="Q634" s="1282"/>
      <c r="R634" s="1282"/>
      <c r="S634" s="1282"/>
      <c r="T634" s="1282"/>
      <c r="U634" s="1282"/>
      <c r="V634" s="1282"/>
      <c r="W634" s="1282"/>
      <c r="X634" s="1282"/>
      <c r="Y634" s="1282"/>
      <c r="Z634" s="1282"/>
    </row>
    <row r="635">
      <c r="A635" s="1282"/>
      <c r="B635" s="1282"/>
      <c r="C635" s="1282"/>
      <c r="D635" s="1282"/>
      <c r="E635" s="1282"/>
      <c r="F635" s="1282"/>
      <c r="G635" s="1282"/>
      <c r="H635" s="1282"/>
      <c r="I635" s="1282"/>
      <c r="J635" s="1282"/>
      <c r="K635" s="1282"/>
      <c r="L635" s="1282"/>
      <c r="M635" s="1282"/>
      <c r="N635" s="1282"/>
      <c r="O635" s="1282"/>
      <c r="P635" s="1282"/>
      <c r="Q635" s="1282"/>
      <c r="R635" s="1282"/>
      <c r="S635" s="1282"/>
      <c r="T635" s="1282"/>
      <c r="U635" s="1282"/>
      <c r="V635" s="1282"/>
      <c r="W635" s="1282"/>
      <c r="X635" s="1282"/>
      <c r="Y635" s="1282"/>
      <c r="Z635" s="1282"/>
    </row>
    <row r="636">
      <c r="A636" s="1282"/>
      <c r="B636" s="1282"/>
      <c r="C636" s="1282"/>
      <c r="D636" s="1282"/>
      <c r="E636" s="1282"/>
      <c r="F636" s="1282"/>
      <c r="G636" s="1282"/>
      <c r="H636" s="1282"/>
      <c r="I636" s="1282"/>
      <c r="J636" s="1282"/>
      <c r="K636" s="1282"/>
      <c r="L636" s="1282"/>
      <c r="M636" s="1282"/>
      <c r="N636" s="1282"/>
      <c r="O636" s="1282"/>
      <c r="P636" s="1282"/>
      <c r="Q636" s="1282"/>
      <c r="R636" s="1282"/>
      <c r="S636" s="1282"/>
      <c r="T636" s="1282"/>
      <c r="U636" s="1282"/>
      <c r="V636" s="1282"/>
      <c r="W636" s="1282"/>
      <c r="X636" s="1282"/>
      <c r="Y636" s="1282"/>
      <c r="Z636" s="1282"/>
    </row>
    <row r="637">
      <c r="A637" s="1282"/>
      <c r="B637" s="1282"/>
      <c r="C637" s="1282"/>
      <c r="D637" s="1282"/>
      <c r="E637" s="1282"/>
      <c r="F637" s="1282"/>
      <c r="G637" s="1282"/>
      <c r="H637" s="1282"/>
      <c r="I637" s="1282"/>
      <c r="J637" s="1282"/>
      <c r="K637" s="1282"/>
      <c r="L637" s="1282"/>
      <c r="M637" s="1282"/>
      <c r="N637" s="1282"/>
      <c r="O637" s="1282"/>
      <c r="P637" s="1282"/>
      <c r="Q637" s="1282"/>
      <c r="R637" s="1282"/>
      <c r="S637" s="1282"/>
      <c r="T637" s="1282"/>
      <c r="U637" s="1282"/>
      <c r="V637" s="1282"/>
      <c r="W637" s="1282"/>
      <c r="X637" s="1282"/>
      <c r="Y637" s="1282"/>
      <c r="Z637" s="1282"/>
    </row>
    <row r="638">
      <c r="A638" s="1282"/>
      <c r="B638" s="1282"/>
      <c r="C638" s="1282"/>
      <c r="D638" s="1282"/>
      <c r="E638" s="1282"/>
      <c r="F638" s="1282"/>
      <c r="G638" s="1282"/>
      <c r="H638" s="1282"/>
      <c r="I638" s="1282"/>
      <c r="J638" s="1282"/>
      <c r="K638" s="1282"/>
      <c r="L638" s="1282"/>
      <c r="M638" s="1282"/>
      <c r="N638" s="1282"/>
      <c r="O638" s="1282"/>
      <c r="P638" s="1282"/>
      <c r="Q638" s="1282"/>
      <c r="R638" s="1282"/>
      <c r="S638" s="1282"/>
      <c r="T638" s="1282"/>
      <c r="U638" s="1282"/>
      <c r="V638" s="1282"/>
      <c r="W638" s="1282"/>
      <c r="X638" s="1282"/>
      <c r="Y638" s="1282"/>
      <c r="Z638" s="1282"/>
    </row>
    <row r="639">
      <c r="A639" s="1282"/>
      <c r="B639" s="1282"/>
      <c r="C639" s="1282"/>
      <c r="D639" s="1282"/>
      <c r="E639" s="1282"/>
      <c r="F639" s="1282"/>
      <c r="G639" s="1282"/>
      <c r="H639" s="1282"/>
      <c r="I639" s="1282"/>
      <c r="J639" s="1282"/>
      <c r="K639" s="1282"/>
      <c r="L639" s="1282"/>
      <c r="M639" s="1282"/>
      <c r="N639" s="1282"/>
      <c r="O639" s="1282"/>
      <c r="P639" s="1282"/>
      <c r="Q639" s="1282"/>
      <c r="R639" s="1282"/>
      <c r="S639" s="1282"/>
      <c r="T639" s="1282"/>
      <c r="U639" s="1282"/>
      <c r="V639" s="1282"/>
      <c r="W639" s="1282"/>
      <c r="X639" s="1282"/>
      <c r="Y639" s="1282"/>
      <c r="Z639" s="1282"/>
    </row>
    <row r="640">
      <c r="A640" s="1282"/>
      <c r="B640" s="1282"/>
      <c r="C640" s="1282"/>
      <c r="D640" s="1282"/>
      <c r="E640" s="1282"/>
      <c r="F640" s="1282"/>
      <c r="G640" s="1282"/>
      <c r="H640" s="1282"/>
      <c r="I640" s="1282"/>
      <c r="J640" s="1282"/>
      <c r="K640" s="1282"/>
      <c r="L640" s="1282"/>
      <c r="M640" s="1282"/>
      <c r="N640" s="1282"/>
      <c r="O640" s="1282"/>
      <c r="P640" s="1282"/>
      <c r="Q640" s="1282"/>
      <c r="R640" s="1282"/>
      <c r="S640" s="1282"/>
      <c r="T640" s="1282"/>
      <c r="U640" s="1282"/>
      <c r="V640" s="1282"/>
      <c r="W640" s="1282"/>
      <c r="X640" s="1282"/>
      <c r="Y640" s="1282"/>
      <c r="Z640" s="1282"/>
    </row>
    <row r="641">
      <c r="A641" s="1282"/>
      <c r="B641" s="1282"/>
      <c r="C641" s="1282"/>
      <c r="D641" s="1282"/>
      <c r="E641" s="1282"/>
      <c r="F641" s="1282"/>
      <c r="G641" s="1282"/>
      <c r="H641" s="1282"/>
      <c r="I641" s="1282"/>
      <c r="J641" s="1282"/>
      <c r="K641" s="1282"/>
      <c r="L641" s="1282"/>
      <c r="M641" s="1282"/>
      <c r="N641" s="1282"/>
      <c r="O641" s="1282"/>
      <c r="P641" s="1282"/>
      <c r="Q641" s="1282"/>
      <c r="R641" s="1282"/>
      <c r="S641" s="1282"/>
      <c r="T641" s="1282"/>
      <c r="U641" s="1282"/>
      <c r="V641" s="1282"/>
      <c r="W641" s="1282"/>
      <c r="X641" s="1282"/>
      <c r="Y641" s="1282"/>
      <c r="Z641" s="1282"/>
    </row>
    <row r="642">
      <c r="A642" s="1282"/>
      <c r="B642" s="1282"/>
      <c r="C642" s="1282"/>
      <c r="D642" s="1282"/>
      <c r="E642" s="1282"/>
      <c r="F642" s="1282"/>
      <c r="G642" s="1282"/>
      <c r="H642" s="1282"/>
      <c r="I642" s="1282"/>
      <c r="J642" s="1282"/>
      <c r="K642" s="1282"/>
      <c r="L642" s="1282"/>
      <c r="M642" s="1282"/>
      <c r="N642" s="1282"/>
      <c r="O642" s="1282"/>
      <c r="P642" s="1282"/>
      <c r="Q642" s="1282"/>
      <c r="R642" s="1282"/>
      <c r="S642" s="1282"/>
      <c r="T642" s="1282"/>
      <c r="U642" s="1282"/>
      <c r="V642" s="1282"/>
      <c r="W642" s="1282"/>
      <c r="X642" s="1282"/>
      <c r="Y642" s="1282"/>
      <c r="Z642" s="1282"/>
    </row>
    <row r="643">
      <c r="A643" s="1282"/>
      <c r="B643" s="1282"/>
      <c r="C643" s="1282"/>
      <c r="D643" s="1282"/>
      <c r="E643" s="1282"/>
      <c r="F643" s="1282"/>
      <c r="G643" s="1282"/>
      <c r="H643" s="1282"/>
      <c r="I643" s="1282"/>
      <c r="J643" s="1282"/>
      <c r="K643" s="1282"/>
      <c r="L643" s="1282"/>
      <c r="M643" s="1282"/>
      <c r="N643" s="1282"/>
      <c r="O643" s="1282"/>
      <c r="P643" s="1282"/>
      <c r="Q643" s="1282"/>
      <c r="R643" s="1282"/>
      <c r="S643" s="1282"/>
      <c r="T643" s="1282"/>
      <c r="U643" s="1282"/>
      <c r="V643" s="1282"/>
      <c r="W643" s="1282"/>
      <c r="X643" s="1282"/>
      <c r="Y643" s="1282"/>
      <c r="Z643" s="1282"/>
    </row>
    <row r="644">
      <c r="A644" s="1282"/>
      <c r="B644" s="1282"/>
      <c r="C644" s="1282"/>
      <c r="D644" s="1282"/>
      <c r="E644" s="1282"/>
      <c r="F644" s="1282"/>
      <c r="G644" s="1282"/>
      <c r="H644" s="1282"/>
      <c r="I644" s="1282"/>
      <c r="J644" s="1282"/>
      <c r="K644" s="1282"/>
      <c r="L644" s="1282"/>
      <c r="M644" s="1282"/>
      <c r="N644" s="1282"/>
      <c r="O644" s="1282"/>
      <c r="P644" s="1282"/>
      <c r="Q644" s="1282"/>
      <c r="R644" s="1282"/>
      <c r="S644" s="1282"/>
      <c r="T644" s="1282"/>
      <c r="U644" s="1282"/>
      <c r="V644" s="1282"/>
      <c r="W644" s="1282"/>
      <c r="X644" s="1282"/>
      <c r="Y644" s="1282"/>
      <c r="Z644" s="1282"/>
    </row>
    <row r="645">
      <c r="A645" s="1282"/>
      <c r="B645" s="1282"/>
      <c r="C645" s="1282"/>
      <c r="D645" s="1282"/>
      <c r="E645" s="1282"/>
      <c r="F645" s="1282"/>
      <c r="G645" s="1282"/>
      <c r="H645" s="1282"/>
      <c r="I645" s="1282"/>
      <c r="J645" s="1282"/>
      <c r="K645" s="1282"/>
      <c r="L645" s="1282"/>
      <c r="M645" s="1282"/>
      <c r="N645" s="1282"/>
      <c r="O645" s="1282"/>
      <c r="P645" s="1282"/>
      <c r="Q645" s="1282"/>
      <c r="R645" s="1282"/>
      <c r="S645" s="1282"/>
      <c r="T645" s="1282"/>
      <c r="U645" s="1282"/>
      <c r="V645" s="1282"/>
      <c r="W645" s="1282"/>
      <c r="X645" s="1282"/>
      <c r="Y645" s="1282"/>
      <c r="Z645" s="1282"/>
    </row>
    <row r="646">
      <c r="A646" s="1282"/>
      <c r="B646" s="1282"/>
      <c r="C646" s="1282"/>
      <c r="D646" s="1282"/>
      <c r="E646" s="1282"/>
      <c r="F646" s="1282"/>
      <c r="G646" s="1282"/>
      <c r="H646" s="1282"/>
      <c r="I646" s="1282"/>
      <c r="J646" s="1282"/>
      <c r="K646" s="1282"/>
      <c r="L646" s="1282"/>
      <c r="M646" s="1282"/>
      <c r="N646" s="1282"/>
      <c r="O646" s="1282"/>
      <c r="P646" s="1282"/>
      <c r="Q646" s="1282"/>
      <c r="R646" s="1282"/>
      <c r="S646" s="1282"/>
      <c r="T646" s="1282"/>
      <c r="U646" s="1282"/>
      <c r="V646" s="1282"/>
      <c r="W646" s="1282"/>
      <c r="X646" s="1282"/>
      <c r="Y646" s="1282"/>
      <c r="Z646" s="1282"/>
    </row>
    <row r="647">
      <c r="A647" s="1282"/>
      <c r="B647" s="1282"/>
      <c r="C647" s="1282"/>
      <c r="D647" s="1282"/>
      <c r="E647" s="1282"/>
      <c r="F647" s="1282"/>
      <c r="G647" s="1282"/>
      <c r="H647" s="1282"/>
      <c r="I647" s="1282"/>
      <c r="J647" s="1282"/>
      <c r="K647" s="1282"/>
      <c r="L647" s="1282"/>
      <c r="M647" s="1282"/>
      <c r="N647" s="1282"/>
      <c r="O647" s="1282"/>
      <c r="P647" s="1282"/>
      <c r="Q647" s="1282"/>
      <c r="R647" s="1282"/>
      <c r="S647" s="1282"/>
      <c r="T647" s="1282"/>
      <c r="U647" s="1282"/>
      <c r="V647" s="1282"/>
      <c r="W647" s="1282"/>
      <c r="X647" s="1282"/>
      <c r="Y647" s="1282"/>
      <c r="Z647" s="1282"/>
    </row>
    <row r="648">
      <c r="A648" s="1282"/>
      <c r="B648" s="1282"/>
      <c r="C648" s="1282"/>
      <c r="D648" s="1282"/>
      <c r="E648" s="1282"/>
      <c r="F648" s="1282"/>
      <c r="G648" s="1282"/>
      <c r="H648" s="1282"/>
      <c r="I648" s="1282"/>
      <c r="J648" s="1282"/>
      <c r="K648" s="1282"/>
      <c r="L648" s="1282"/>
      <c r="M648" s="1282"/>
      <c r="N648" s="1282"/>
      <c r="O648" s="1282"/>
      <c r="P648" s="1282"/>
      <c r="Q648" s="1282"/>
      <c r="R648" s="1282"/>
      <c r="S648" s="1282"/>
      <c r="T648" s="1282"/>
      <c r="U648" s="1282"/>
      <c r="V648" s="1282"/>
      <c r="W648" s="1282"/>
      <c r="X648" s="1282"/>
      <c r="Y648" s="1282"/>
      <c r="Z648" s="1282"/>
    </row>
    <row r="649">
      <c r="A649" s="1282"/>
      <c r="B649" s="1282"/>
      <c r="C649" s="1282"/>
      <c r="D649" s="1282"/>
      <c r="E649" s="1282"/>
      <c r="F649" s="1282"/>
      <c r="G649" s="1282"/>
      <c r="H649" s="1282"/>
      <c r="I649" s="1282"/>
      <c r="J649" s="1282"/>
      <c r="K649" s="1282"/>
      <c r="L649" s="1282"/>
      <c r="M649" s="1282"/>
      <c r="N649" s="1282"/>
      <c r="O649" s="1282"/>
      <c r="P649" s="1282"/>
      <c r="Q649" s="1282"/>
      <c r="R649" s="1282"/>
      <c r="S649" s="1282"/>
      <c r="T649" s="1282"/>
      <c r="U649" s="1282"/>
      <c r="V649" s="1282"/>
      <c r="W649" s="1282"/>
      <c r="X649" s="1282"/>
      <c r="Y649" s="1282"/>
      <c r="Z649" s="1282"/>
    </row>
    <row r="650">
      <c r="A650" s="1282"/>
      <c r="B650" s="1282"/>
      <c r="C650" s="1282"/>
      <c r="D650" s="1282"/>
      <c r="E650" s="1282"/>
      <c r="F650" s="1282"/>
      <c r="G650" s="1282"/>
      <c r="H650" s="1282"/>
      <c r="I650" s="1282"/>
      <c r="J650" s="1282"/>
      <c r="K650" s="1282"/>
      <c r="L650" s="1282"/>
      <c r="M650" s="1282"/>
      <c r="N650" s="1282"/>
      <c r="O650" s="1282"/>
      <c r="P650" s="1282"/>
      <c r="Q650" s="1282"/>
      <c r="R650" s="1282"/>
      <c r="S650" s="1282"/>
      <c r="T650" s="1282"/>
      <c r="U650" s="1282"/>
      <c r="V650" s="1282"/>
      <c r="W650" s="1282"/>
      <c r="X650" s="1282"/>
      <c r="Y650" s="1282"/>
      <c r="Z650" s="1282"/>
    </row>
    <row r="651">
      <c r="A651" s="1282"/>
      <c r="B651" s="1282"/>
      <c r="C651" s="1282"/>
      <c r="D651" s="1282"/>
      <c r="E651" s="1282"/>
      <c r="F651" s="1282"/>
      <c r="G651" s="1282"/>
      <c r="H651" s="1282"/>
      <c r="I651" s="1282"/>
      <c r="J651" s="1282"/>
      <c r="K651" s="1282"/>
      <c r="L651" s="1282"/>
      <c r="M651" s="1282"/>
      <c r="N651" s="1282"/>
      <c r="O651" s="1282"/>
      <c r="P651" s="1282"/>
      <c r="Q651" s="1282"/>
      <c r="R651" s="1282"/>
      <c r="S651" s="1282"/>
      <c r="T651" s="1282"/>
      <c r="U651" s="1282"/>
      <c r="V651" s="1282"/>
      <c r="W651" s="1282"/>
      <c r="X651" s="1282"/>
      <c r="Y651" s="1282"/>
      <c r="Z651" s="1282"/>
    </row>
    <row r="652">
      <c r="A652" s="1282"/>
      <c r="B652" s="1282"/>
      <c r="C652" s="1282"/>
      <c r="D652" s="1282"/>
      <c r="E652" s="1282"/>
      <c r="F652" s="1282"/>
      <c r="G652" s="1282"/>
      <c r="H652" s="1282"/>
      <c r="I652" s="1282"/>
      <c r="J652" s="1282"/>
      <c r="K652" s="1282"/>
      <c r="L652" s="1282"/>
      <c r="M652" s="1282"/>
      <c r="N652" s="1282"/>
      <c r="O652" s="1282"/>
      <c r="P652" s="1282"/>
      <c r="Q652" s="1282"/>
      <c r="R652" s="1282"/>
      <c r="S652" s="1282"/>
      <c r="T652" s="1282"/>
      <c r="U652" s="1282"/>
      <c r="V652" s="1282"/>
      <c r="W652" s="1282"/>
      <c r="X652" s="1282"/>
      <c r="Y652" s="1282"/>
      <c r="Z652" s="1282"/>
    </row>
    <row r="653">
      <c r="A653" s="1282"/>
      <c r="B653" s="1282"/>
      <c r="C653" s="1282"/>
      <c r="D653" s="1282"/>
      <c r="E653" s="1282"/>
      <c r="F653" s="1282"/>
      <c r="G653" s="1282"/>
      <c r="H653" s="1282"/>
      <c r="I653" s="1282"/>
      <c r="J653" s="1282"/>
      <c r="K653" s="1282"/>
      <c r="L653" s="1282"/>
      <c r="M653" s="1282"/>
      <c r="N653" s="1282"/>
      <c r="O653" s="1282"/>
      <c r="P653" s="1282"/>
      <c r="Q653" s="1282"/>
      <c r="R653" s="1282"/>
      <c r="S653" s="1282"/>
      <c r="T653" s="1282"/>
      <c r="U653" s="1282"/>
      <c r="V653" s="1282"/>
      <c r="W653" s="1282"/>
      <c r="X653" s="1282"/>
      <c r="Y653" s="1282"/>
      <c r="Z653" s="1282"/>
    </row>
    <row r="654">
      <c r="A654" s="1282"/>
      <c r="B654" s="1282"/>
      <c r="C654" s="1282"/>
      <c r="D654" s="1282"/>
      <c r="E654" s="1282"/>
      <c r="F654" s="1282"/>
      <c r="G654" s="1282"/>
      <c r="H654" s="1282"/>
      <c r="I654" s="1282"/>
      <c r="J654" s="1282"/>
      <c r="K654" s="1282"/>
      <c r="L654" s="1282"/>
      <c r="M654" s="1282"/>
      <c r="N654" s="1282"/>
      <c r="O654" s="1282"/>
      <c r="P654" s="1282"/>
      <c r="Q654" s="1282"/>
      <c r="R654" s="1282"/>
      <c r="S654" s="1282"/>
      <c r="T654" s="1282"/>
      <c r="U654" s="1282"/>
      <c r="V654" s="1282"/>
      <c r="W654" s="1282"/>
      <c r="X654" s="1282"/>
      <c r="Y654" s="1282"/>
      <c r="Z654" s="1282"/>
    </row>
    <row r="655">
      <c r="A655" s="1282"/>
      <c r="B655" s="1282"/>
      <c r="C655" s="1282"/>
      <c r="D655" s="1282"/>
      <c r="E655" s="1282"/>
      <c r="F655" s="1282"/>
      <c r="G655" s="1282"/>
      <c r="H655" s="1282"/>
      <c r="I655" s="1282"/>
      <c r="J655" s="1282"/>
      <c r="K655" s="1282"/>
      <c r="L655" s="1282"/>
      <c r="M655" s="1282"/>
      <c r="N655" s="1282"/>
      <c r="O655" s="1282"/>
      <c r="P655" s="1282"/>
      <c r="Q655" s="1282"/>
      <c r="R655" s="1282"/>
      <c r="S655" s="1282"/>
      <c r="T655" s="1282"/>
      <c r="U655" s="1282"/>
      <c r="V655" s="1282"/>
      <c r="W655" s="1282"/>
      <c r="X655" s="1282"/>
      <c r="Y655" s="1282"/>
      <c r="Z655" s="1282"/>
    </row>
    <row r="656">
      <c r="A656" s="1282"/>
      <c r="B656" s="1282"/>
      <c r="C656" s="1282"/>
      <c r="D656" s="1282"/>
      <c r="E656" s="1282"/>
      <c r="F656" s="1282"/>
      <c r="G656" s="1282"/>
      <c r="H656" s="1282"/>
      <c r="I656" s="1282"/>
      <c r="J656" s="1282"/>
      <c r="K656" s="1282"/>
      <c r="L656" s="1282"/>
      <c r="M656" s="1282"/>
      <c r="N656" s="1282"/>
      <c r="O656" s="1282"/>
      <c r="P656" s="1282"/>
      <c r="Q656" s="1282"/>
      <c r="R656" s="1282"/>
      <c r="S656" s="1282"/>
      <c r="T656" s="1282"/>
      <c r="U656" s="1282"/>
      <c r="V656" s="1282"/>
      <c r="W656" s="1282"/>
      <c r="X656" s="1282"/>
      <c r="Y656" s="1282"/>
      <c r="Z656" s="1282"/>
    </row>
    <row r="657">
      <c r="A657" s="1282"/>
      <c r="B657" s="1282"/>
      <c r="C657" s="1282"/>
      <c r="D657" s="1282"/>
      <c r="E657" s="1282"/>
      <c r="F657" s="1282"/>
      <c r="G657" s="1282"/>
      <c r="H657" s="1282"/>
      <c r="I657" s="1282"/>
      <c r="J657" s="1282"/>
      <c r="K657" s="1282"/>
      <c r="L657" s="1282"/>
      <c r="M657" s="1282"/>
      <c r="N657" s="1282"/>
      <c r="O657" s="1282"/>
      <c r="P657" s="1282"/>
      <c r="Q657" s="1282"/>
      <c r="R657" s="1282"/>
      <c r="S657" s="1282"/>
      <c r="T657" s="1282"/>
      <c r="U657" s="1282"/>
      <c r="V657" s="1282"/>
      <c r="W657" s="1282"/>
      <c r="X657" s="1282"/>
      <c r="Y657" s="1282"/>
      <c r="Z657" s="1282"/>
    </row>
    <row r="658">
      <c r="A658" s="1282"/>
      <c r="B658" s="1282"/>
      <c r="C658" s="1282"/>
      <c r="D658" s="1282"/>
      <c r="E658" s="1282"/>
      <c r="F658" s="1282"/>
      <c r="G658" s="1282"/>
      <c r="H658" s="1282"/>
      <c r="I658" s="1282"/>
      <c r="J658" s="1282"/>
      <c r="K658" s="1282"/>
      <c r="L658" s="1282"/>
      <c r="M658" s="1282"/>
      <c r="N658" s="1282"/>
      <c r="O658" s="1282"/>
      <c r="P658" s="1282"/>
      <c r="Q658" s="1282"/>
      <c r="R658" s="1282"/>
      <c r="S658" s="1282"/>
      <c r="T658" s="1282"/>
      <c r="U658" s="1282"/>
      <c r="V658" s="1282"/>
      <c r="W658" s="1282"/>
      <c r="X658" s="1282"/>
      <c r="Y658" s="1282"/>
      <c r="Z658" s="1282"/>
    </row>
    <row r="659">
      <c r="A659" s="1282"/>
      <c r="B659" s="1282"/>
      <c r="C659" s="1282"/>
      <c r="D659" s="1282"/>
      <c r="E659" s="1282"/>
      <c r="F659" s="1282"/>
      <c r="G659" s="1282"/>
      <c r="H659" s="1282"/>
      <c r="I659" s="1282"/>
      <c r="J659" s="1282"/>
      <c r="K659" s="1282"/>
      <c r="L659" s="1282"/>
      <c r="M659" s="1282"/>
      <c r="N659" s="1282"/>
      <c r="O659" s="1282"/>
      <c r="P659" s="1282"/>
      <c r="Q659" s="1282"/>
      <c r="R659" s="1282"/>
      <c r="S659" s="1282"/>
      <c r="T659" s="1282"/>
      <c r="U659" s="1282"/>
      <c r="V659" s="1282"/>
      <c r="W659" s="1282"/>
      <c r="X659" s="1282"/>
      <c r="Y659" s="1282"/>
      <c r="Z659" s="1282"/>
    </row>
    <row r="660">
      <c r="A660" s="1282"/>
      <c r="B660" s="1282"/>
      <c r="C660" s="1282"/>
      <c r="D660" s="1282"/>
      <c r="E660" s="1282"/>
      <c r="F660" s="1282"/>
      <c r="G660" s="1282"/>
      <c r="H660" s="1282"/>
      <c r="I660" s="1282"/>
      <c r="J660" s="1282"/>
      <c r="K660" s="1282"/>
      <c r="L660" s="1282"/>
      <c r="M660" s="1282"/>
      <c r="N660" s="1282"/>
      <c r="O660" s="1282"/>
      <c r="P660" s="1282"/>
      <c r="Q660" s="1282"/>
      <c r="R660" s="1282"/>
      <c r="S660" s="1282"/>
      <c r="T660" s="1282"/>
      <c r="U660" s="1282"/>
      <c r="V660" s="1282"/>
      <c r="W660" s="1282"/>
      <c r="X660" s="1282"/>
      <c r="Y660" s="1282"/>
      <c r="Z660" s="1282"/>
    </row>
    <row r="661">
      <c r="A661" s="1282"/>
      <c r="B661" s="1282"/>
      <c r="C661" s="1282"/>
      <c r="D661" s="1282"/>
      <c r="E661" s="1282"/>
      <c r="F661" s="1282"/>
      <c r="G661" s="1282"/>
      <c r="H661" s="1282"/>
      <c r="I661" s="1282"/>
      <c r="J661" s="1282"/>
      <c r="K661" s="1282"/>
      <c r="L661" s="1282"/>
      <c r="M661" s="1282"/>
      <c r="N661" s="1282"/>
      <c r="O661" s="1282"/>
      <c r="P661" s="1282"/>
      <c r="Q661" s="1282"/>
      <c r="R661" s="1282"/>
      <c r="S661" s="1282"/>
      <c r="T661" s="1282"/>
      <c r="U661" s="1282"/>
      <c r="V661" s="1282"/>
      <c r="W661" s="1282"/>
      <c r="X661" s="1282"/>
      <c r="Y661" s="1282"/>
      <c r="Z661" s="1282"/>
    </row>
    <row r="662">
      <c r="A662" s="1282"/>
      <c r="B662" s="1282"/>
      <c r="C662" s="1282"/>
      <c r="D662" s="1282"/>
      <c r="E662" s="1282"/>
      <c r="F662" s="1282"/>
      <c r="G662" s="1282"/>
      <c r="H662" s="1282"/>
      <c r="I662" s="1282"/>
      <c r="J662" s="1282"/>
      <c r="K662" s="1282"/>
      <c r="L662" s="1282"/>
      <c r="M662" s="1282"/>
      <c r="N662" s="1282"/>
      <c r="O662" s="1282"/>
      <c r="P662" s="1282"/>
      <c r="Q662" s="1282"/>
      <c r="R662" s="1282"/>
      <c r="S662" s="1282"/>
      <c r="T662" s="1282"/>
      <c r="U662" s="1282"/>
      <c r="V662" s="1282"/>
      <c r="W662" s="1282"/>
      <c r="X662" s="1282"/>
      <c r="Y662" s="1282"/>
      <c r="Z662" s="1282"/>
    </row>
    <row r="663">
      <c r="A663" s="1282"/>
      <c r="B663" s="1282"/>
      <c r="C663" s="1282"/>
      <c r="D663" s="1282"/>
      <c r="E663" s="1282"/>
      <c r="F663" s="1282"/>
      <c r="G663" s="1282"/>
      <c r="H663" s="1282"/>
      <c r="I663" s="1282"/>
      <c r="J663" s="1282"/>
      <c r="K663" s="1282"/>
      <c r="L663" s="1282"/>
      <c r="M663" s="1282"/>
      <c r="N663" s="1282"/>
      <c r="O663" s="1282"/>
      <c r="P663" s="1282"/>
      <c r="Q663" s="1282"/>
      <c r="R663" s="1282"/>
      <c r="S663" s="1282"/>
      <c r="T663" s="1282"/>
      <c r="U663" s="1282"/>
      <c r="V663" s="1282"/>
      <c r="W663" s="1282"/>
      <c r="X663" s="1282"/>
      <c r="Y663" s="1282"/>
      <c r="Z663" s="1282"/>
    </row>
    <row r="664">
      <c r="A664" s="1282"/>
      <c r="B664" s="1282"/>
      <c r="C664" s="1282"/>
      <c r="D664" s="1282"/>
      <c r="E664" s="1282"/>
      <c r="F664" s="1282"/>
      <c r="G664" s="1282"/>
      <c r="H664" s="1282"/>
      <c r="I664" s="1282"/>
      <c r="J664" s="1282"/>
      <c r="K664" s="1282"/>
      <c r="L664" s="1282"/>
      <c r="M664" s="1282"/>
      <c r="N664" s="1282"/>
      <c r="O664" s="1282"/>
      <c r="P664" s="1282"/>
      <c r="Q664" s="1282"/>
      <c r="R664" s="1282"/>
      <c r="S664" s="1282"/>
      <c r="T664" s="1282"/>
      <c r="U664" s="1282"/>
      <c r="V664" s="1282"/>
      <c r="W664" s="1282"/>
      <c r="X664" s="1282"/>
      <c r="Y664" s="1282"/>
      <c r="Z664" s="1282"/>
    </row>
    <row r="665">
      <c r="A665" s="1282"/>
      <c r="B665" s="1282"/>
      <c r="C665" s="1282"/>
      <c r="D665" s="1282"/>
      <c r="E665" s="1282"/>
      <c r="F665" s="1282"/>
      <c r="G665" s="1282"/>
      <c r="H665" s="1282"/>
      <c r="I665" s="1282"/>
      <c r="J665" s="1282"/>
      <c r="K665" s="1282"/>
      <c r="L665" s="1282"/>
      <c r="M665" s="1282"/>
      <c r="N665" s="1282"/>
      <c r="O665" s="1282"/>
      <c r="P665" s="1282"/>
      <c r="Q665" s="1282"/>
      <c r="R665" s="1282"/>
      <c r="S665" s="1282"/>
      <c r="T665" s="1282"/>
      <c r="U665" s="1282"/>
      <c r="V665" s="1282"/>
      <c r="W665" s="1282"/>
      <c r="X665" s="1282"/>
      <c r="Y665" s="1282"/>
      <c r="Z665" s="1282"/>
    </row>
    <row r="666">
      <c r="A666" s="1282"/>
      <c r="B666" s="1282"/>
      <c r="C666" s="1282"/>
      <c r="D666" s="1282"/>
      <c r="E666" s="1282"/>
      <c r="F666" s="1282"/>
      <c r="G666" s="1282"/>
      <c r="H666" s="1282"/>
      <c r="I666" s="1282"/>
      <c r="J666" s="1282"/>
      <c r="K666" s="1282"/>
      <c r="L666" s="1282"/>
      <c r="M666" s="1282"/>
      <c r="N666" s="1282"/>
      <c r="O666" s="1282"/>
      <c r="P666" s="1282"/>
      <c r="Q666" s="1282"/>
      <c r="R666" s="1282"/>
      <c r="S666" s="1282"/>
      <c r="T666" s="1282"/>
      <c r="U666" s="1282"/>
      <c r="V666" s="1282"/>
      <c r="W666" s="1282"/>
      <c r="X666" s="1282"/>
      <c r="Y666" s="1282"/>
      <c r="Z666" s="1282"/>
    </row>
    <row r="667">
      <c r="A667" s="1282"/>
      <c r="B667" s="1282"/>
      <c r="C667" s="1282"/>
      <c r="D667" s="1282"/>
      <c r="E667" s="1282"/>
      <c r="F667" s="1282"/>
      <c r="G667" s="1282"/>
      <c r="H667" s="1282"/>
      <c r="I667" s="1282"/>
      <c r="J667" s="1282"/>
      <c r="K667" s="1282"/>
      <c r="L667" s="1282"/>
      <c r="M667" s="1282"/>
      <c r="N667" s="1282"/>
      <c r="O667" s="1282"/>
      <c r="P667" s="1282"/>
      <c r="Q667" s="1282"/>
      <c r="R667" s="1282"/>
      <c r="S667" s="1282"/>
      <c r="T667" s="1282"/>
      <c r="U667" s="1282"/>
      <c r="V667" s="1282"/>
      <c r="W667" s="1282"/>
      <c r="X667" s="1282"/>
      <c r="Y667" s="1282"/>
      <c r="Z667" s="1282"/>
    </row>
    <row r="668">
      <c r="A668" s="1282"/>
      <c r="B668" s="1282"/>
      <c r="C668" s="1282"/>
      <c r="D668" s="1282"/>
      <c r="E668" s="1282"/>
      <c r="F668" s="1282"/>
      <c r="G668" s="1282"/>
      <c r="H668" s="1282"/>
      <c r="I668" s="1282"/>
      <c r="J668" s="1282"/>
      <c r="K668" s="1282"/>
      <c r="L668" s="1282"/>
      <c r="M668" s="1282"/>
      <c r="N668" s="1282"/>
      <c r="O668" s="1282"/>
      <c r="P668" s="1282"/>
      <c r="Q668" s="1282"/>
      <c r="R668" s="1282"/>
      <c r="S668" s="1282"/>
      <c r="T668" s="1282"/>
      <c r="U668" s="1282"/>
      <c r="V668" s="1282"/>
      <c r="W668" s="1282"/>
      <c r="X668" s="1282"/>
      <c r="Y668" s="1282"/>
      <c r="Z668" s="1282"/>
    </row>
    <row r="669">
      <c r="A669" s="1282"/>
      <c r="B669" s="1282"/>
      <c r="C669" s="1282"/>
      <c r="D669" s="1282"/>
      <c r="E669" s="1282"/>
      <c r="F669" s="1282"/>
      <c r="G669" s="1282"/>
      <c r="H669" s="1282"/>
      <c r="I669" s="1282"/>
      <c r="J669" s="1282"/>
      <c r="K669" s="1282"/>
      <c r="L669" s="1282"/>
      <c r="M669" s="1282"/>
      <c r="N669" s="1282"/>
      <c r="O669" s="1282"/>
      <c r="P669" s="1282"/>
      <c r="Q669" s="1282"/>
      <c r="R669" s="1282"/>
      <c r="S669" s="1282"/>
      <c r="T669" s="1282"/>
      <c r="U669" s="1282"/>
      <c r="V669" s="1282"/>
      <c r="W669" s="1282"/>
      <c r="X669" s="1282"/>
      <c r="Y669" s="1282"/>
      <c r="Z669" s="1282"/>
    </row>
    <row r="670">
      <c r="A670" s="1282"/>
      <c r="B670" s="1282"/>
      <c r="C670" s="1282"/>
      <c r="D670" s="1282"/>
      <c r="E670" s="1282"/>
      <c r="F670" s="1282"/>
      <c r="G670" s="1282"/>
      <c r="H670" s="1282"/>
      <c r="I670" s="1282"/>
      <c r="J670" s="1282"/>
      <c r="K670" s="1282"/>
      <c r="L670" s="1282"/>
      <c r="M670" s="1282"/>
      <c r="N670" s="1282"/>
      <c r="O670" s="1282"/>
      <c r="P670" s="1282"/>
      <c r="Q670" s="1282"/>
      <c r="R670" s="1282"/>
      <c r="S670" s="1282"/>
      <c r="T670" s="1282"/>
      <c r="U670" s="1282"/>
      <c r="V670" s="1282"/>
      <c r="W670" s="1282"/>
      <c r="X670" s="1282"/>
      <c r="Y670" s="1282"/>
      <c r="Z670" s="1282"/>
    </row>
    <row r="671">
      <c r="A671" s="1282"/>
      <c r="B671" s="1282"/>
      <c r="C671" s="1282"/>
      <c r="D671" s="1282"/>
      <c r="E671" s="1282"/>
      <c r="F671" s="1282"/>
      <c r="G671" s="1282"/>
      <c r="H671" s="1282"/>
      <c r="I671" s="1282"/>
      <c r="J671" s="1282"/>
      <c r="K671" s="1282"/>
      <c r="L671" s="1282"/>
      <c r="M671" s="1282"/>
      <c r="N671" s="1282"/>
      <c r="O671" s="1282"/>
      <c r="P671" s="1282"/>
      <c r="Q671" s="1282"/>
      <c r="R671" s="1282"/>
      <c r="S671" s="1282"/>
      <c r="T671" s="1282"/>
      <c r="U671" s="1282"/>
      <c r="V671" s="1282"/>
      <c r="W671" s="1282"/>
      <c r="X671" s="1282"/>
      <c r="Y671" s="1282"/>
      <c r="Z671" s="1282"/>
    </row>
    <row r="672">
      <c r="A672" s="1282"/>
      <c r="B672" s="1282"/>
      <c r="C672" s="1282"/>
      <c r="D672" s="1282"/>
      <c r="E672" s="1282"/>
      <c r="F672" s="1282"/>
      <c r="G672" s="1282"/>
      <c r="H672" s="1282"/>
      <c r="I672" s="1282"/>
      <c r="J672" s="1282"/>
      <c r="K672" s="1282"/>
      <c r="L672" s="1282"/>
      <c r="M672" s="1282"/>
      <c r="N672" s="1282"/>
      <c r="O672" s="1282"/>
      <c r="P672" s="1282"/>
      <c r="Q672" s="1282"/>
      <c r="R672" s="1282"/>
      <c r="S672" s="1282"/>
      <c r="T672" s="1282"/>
      <c r="U672" s="1282"/>
      <c r="V672" s="1282"/>
      <c r="W672" s="1282"/>
      <c r="X672" s="1282"/>
      <c r="Y672" s="1282"/>
      <c r="Z672" s="1282"/>
    </row>
    <row r="673">
      <c r="A673" s="1282"/>
      <c r="B673" s="1282"/>
      <c r="C673" s="1282"/>
      <c r="D673" s="1282"/>
      <c r="E673" s="1282"/>
      <c r="F673" s="1282"/>
      <c r="G673" s="1282"/>
      <c r="H673" s="1282"/>
      <c r="I673" s="1282"/>
      <c r="J673" s="1282"/>
      <c r="K673" s="1282"/>
      <c r="L673" s="1282"/>
      <c r="M673" s="1282"/>
      <c r="N673" s="1282"/>
      <c r="O673" s="1282"/>
      <c r="P673" s="1282"/>
      <c r="Q673" s="1282"/>
      <c r="R673" s="1282"/>
      <c r="S673" s="1282"/>
      <c r="T673" s="1282"/>
      <c r="U673" s="1282"/>
      <c r="V673" s="1282"/>
      <c r="W673" s="1282"/>
      <c r="X673" s="1282"/>
      <c r="Y673" s="1282"/>
      <c r="Z673" s="1282"/>
    </row>
    <row r="674">
      <c r="A674" s="1282"/>
      <c r="B674" s="1282"/>
      <c r="C674" s="1282"/>
      <c r="D674" s="1282"/>
      <c r="E674" s="1282"/>
      <c r="F674" s="1282"/>
      <c r="G674" s="1282"/>
      <c r="H674" s="1282"/>
      <c r="I674" s="1282"/>
      <c r="J674" s="1282"/>
      <c r="K674" s="1282"/>
      <c r="L674" s="1282"/>
      <c r="M674" s="1282"/>
      <c r="N674" s="1282"/>
      <c r="O674" s="1282"/>
      <c r="P674" s="1282"/>
      <c r="Q674" s="1282"/>
      <c r="R674" s="1282"/>
      <c r="S674" s="1282"/>
      <c r="T674" s="1282"/>
      <c r="U674" s="1282"/>
      <c r="V674" s="1282"/>
      <c r="W674" s="1282"/>
      <c r="X674" s="1282"/>
      <c r="Y674" s="1282"/>
      <c r="Z674" s="1282"/>
    </row>
    <row r="675">
      <c r="A675" s="1282"/>
      <c r="B675" s="1282"/>
      <c r="C675" s="1282"/>
      <c r="D675" s="1282"/>
      <c r="E675" s="1282"/>
      <c r="F675" s="1282"/>
      <c r="G675" s="1282"/>
      <c r="H675" s="1282"/>
      <c r="I675" s="1282"/>
      <c r="J675" s="1282"/>
      <c r="K675" s="1282"/>
      <c r="L675" s="1282"/>
      <c r="M675" s="1282"/>
      <c r="N675" s="1282"/>
      <c r="O675" s="1282"/>
      <c r="P675" s="1282"/>
      <c r="Q675" s="1282"/>
      <c r="R675" s="1282"/>
      <c r="S675" s="1282"/>
      <c r="T675" s="1282"/>
      <c r="U675" s="1282"/>
      <c r="V675" s="1282"/>
      <c r="W675" s="1282"/>
      <c r="X675" s="1282"/>
      <c r="Y675" s="1282"/>
      <c r="Z675" s="1282"/>
    </row>
    <row r="676">
      <c r="A676" s="1282"/>
      <c r="B676" s="1282"/>
      <c r="C676" s="1282"/>
      <c r="D676" s="1282"/>
      <c r="E676" s="1282"/>
      <c r="F676" s="1282"/>
      <c r="G676" s="1282"/>
      <c r="H676" s="1282"/>
      <c r="I676" s="1282"/>
      <c r="J676" s="1282"/>
      <c r="K676" s="1282"/>
      <c r="L676" s="1282"/>
      <c r="M676" s="1282"/>
      <c r="N676" s="1282"/>
      <c r="O676" s="1282"/>
      <c r="P676" s="1282"/>
      <c r="Q676" s="1282"/>
      <c r="R676" s="1282"/>
      <c r="S676" s="1282"/>
      <c r="T676" s="1282"/>
      <c r="U676" s="1282"/>
      <c r="V676" s="1282"/>
      <c r="W676" s="1282"/>
      <c r="X676" s="1282"/>
      <c r="Y676" s="1282"/>
      <c r="Z676" s="1282"/>
    </row>
    <row r="677">
      <c r="A677" s="1282"/>
      <c r="B677" s="1282"/>
      <c r="C677" s="1282"/>
      <c r="D677" s="1282"/>
      <c r="E677" s="1282"/>
      <c r="F677" s="1282"/>
      <c r="G677" s="1282"/>
      <c r="H677" s="1282"/>
      <c r="I677" s="1282"/>
      <c r="J677" s="1282"/>
      <c r="K677" s="1282"/>
      <c r="L677" s="1282"/>
      <c r="M677" s="1282"/>
      <c r="N677" s="1282"/>
      <c r="O677" s="1282"/>
      <c r="P677" s="1282"/>
      <c r="Q677" s="1282"/>
      <c r="R677" s="1282"/>
      <c r="S677" s="1282"/>
      <c r="T677" s="1282"/>
      <c r="U677" s="1282"/>
      <c r="V677" s="1282"/>
      <c r="W677" s="1282"/>
      <c r="X677" s="1282"/>
      <c r="Y677" s="1282"/>
      <c r="Z677" s="1282"/>
    </row>
    <row r="678">
      <c r="A678" s="1282"/>
      <c r="B678" s="1282"/>
      <c r="C678" s="1282"/>
      <c r="D678" s="1282"/>
      <c r="E678" s="1282"/>
      <c r="F678" s="1282"/>
      <c r="G678" s="1282"/>
      <c r="H678" s="1282"/>
      <c r="I678" s="1282"/>
      <c r="J678" s="1282"/>
      <c r="K678" s="1282"/>
      <c r="L678" s="1282"/>
      <c r="M678" s="1282"/>
      <c r="N678" s="1282"/>
      <c r="O678" s="1282"/>
      <c r="P678" s="1282"/>
      <c r="Q678" s="1282"/>
      <c r="R678" s="1282"/>
      <c r="S678" s="1282"/>
      <c r="T678" s="1282"/>
      <c r="U678" s="1282"/>
      <c r="V678" s="1282"/>
      <c r="W678" s="1282"/>
      <c r="X678" s="1282"/>
      <c r="Y678" s="1282"/>
      <c r="Z678" s="1282"/>
    </row>
    <row r="679">
      <c r="A679" s="1282"/>
      <c r="B679" s="1282"/>
      <c r="C679" s="1282"/>
      <c r="D679" s="1282"/>
      <c r="E679" s="1282"/>
      <c r="F679" s="1282"/>
      <c r="G679" s="1282"/>
      <c r="H679" s="1282"/>
      <c r="I679" s="1282"/>
      <c r="J679" s="1282"/>
      <c r="K679" s="1282"/>
      <c r="L679" s="1282"/>
      <c r="M679" s="1282"/>
      <c r="N679" s="1282"/>
      <c r="O679" s="1282"/>
      <c r="P679" s="1282"/>
      <c r="Q679" s="1282"/>
      <c r="R679" s="1282"/>
      <c r="S679" s="1282"/>
      <c r="T679" s="1282"/>
      <c r="U679" s="1282"/>
      <c r="V679" s="1282"/>
      <c r="W679" s="1282"/>
      <c r="X679" s="1282"/>
      <c r="Y679" s="1282"/>
      <c r="Z679" s="1282"/>
    </row>
    <row r="680">
      <c r="A680" s="1282"/>
      <c r="B680" s="1282"/>
      <c r="C680" s="1282"/>
      <c r="D680" s="1282"/>
      <c r="E680" s="1282"/>
      <c r="F680" s="1282"/>
      <c r="G680" s="1282"/>
      <c r="H680" s="1282"/>
      <c r="I680" s="1282"/>
      <c r="J680" s="1282"/>
      <c r="K680" s="1282"/>
      <c r="L680" s="1282"/>
      <c r="M680" s="1282"/>
      <c r="N680" s="1282"/>
      <c r="O680" s="1282"/>
      <c r="P680" s="1282"/>
      <c r="Q680" s="1282"/>
      <c r="R680" s="1282"/>
      <c r="S680" s="1282"/>
      <c r="T680" s="1282"/>
      <c r="U680" s="1282"/>
      <c r="V680" s="1282"/>
      <c r="W680" s="1282"/>
      <c r="X680" s="1282"/>
      <c r="Y680" s="1282"/>
      <c r="Z680" s="1282"/>
    </row>
    <row r="681">
      <c r="A681" s="1282"/>
      <c r="B681" s="1282"/>
      <c r="C681" s="1282"/>
      <c r="D681" s="1282"/>
      <c r="E681" s="1282"/>
      <c r="F681" s="1282"/>
      <c r="G681" s="1282"/>
      <c r="H681" s="1282"/>
      <c r="I681" s="1282"/>
      <c r="J681" s="1282"/>
      <c r="K681" s="1282"/>
      <c r="L681" s="1282"/>
      <c r="M681" s="1282"/>
      <c r="N681" s="1282"/>
      <c r="O681" s="1282"/>
      <c r="P681" s="1282"/>
      <c r="Q681" s="1282"/>
      <c r="R681" s="1282"/>
      <c r="S681" s="1282"/>
      <c r="T681" s="1282"/>
      <c r="U681" s="1282"/>
      <c r="V681" s="1282"/>
      <c r="W681" s="1282"/>
      <c r="X681" s="1282"/>
      <c r="Y681" s="1282"/>
      <c r="Z681" s="1282"/>
    </row>
    <row r="682">
      <c r="A682" s="1282"/>
      <c r="B682" s="1282"/>
      <c r="C682" s="1282"/>
      <c r="D682" s="1282"/>
      <c r="E682" s="1282"/>
      <c r="F682" s="1282"/>
      <c r="G682" s="1282"/>
      <c r="H682" s="1282"/>
      <c r="I682" s="1282"/>
      <c r="J682" s="1282"/>
      <c r="K682" s="1282"/>
      <c r="L682" s="1282"/>
      <c r="M682" s="1282"/>
      <c r="N682" s="1282"/>
      <c r="O682" s="1282"/>
      <c r="P682" s="1282"/>
      <c r="Q682" s="1282"/>
      <c r="R682" s="1282"/>
      <c r="S682" s="1282"/>
      <c r="T682" s="1282"/>
      <c r="U682" s="1282"/>
      <c r="V682" s="1282"/>
      <c r="W682" s="1282"/>
      <c r="X682" s="1282"/>
      <c r="Y682" s="1282"/>
      <c r="Z682" s="1282"/>
    </row>
    <row r="683">
      <c r="A683" s="1282"/>
      <c r="B683" s="1282"/>
      <c r="C683" s="1282"/>
      <c r="D683" s="1282"/>
      <c r="E683" s="1282"/>
      <c r="F683" s="1282"/>
      <c r="G683" s="1282"/>
      <c r="H683" s="1282"/>
      <c r="I683" s="1282"/>
      <c r="J683" s="1282"/>
      <c r="K683" s="1282"/>
      <c r="L683" s="1282"/>
      <c r="M683" s="1282"/>
      <c r="N683" s="1282"/>
      <c r="O683" s="1282"/>
      <c r="P683" s="1282"/>
      <c r="Q683" s="1282"/>
      <c r="R683" s="1282"/>
      <c r="S683" s="1282"/>
      <c r="T683" s="1282"/>
      <c r="U683" s="1282"/>
      <c r="V683" s="1282"/>
      <c r="W683" s="1282"/>
      <c r="X683" s="1282"/>
      <c r="Y683" s="1282"/>
      <c r="Z683" s="1282"/>
    </row>
    <row r="684">
      <c r="A684" s="1282"/>
      <c r="B684" s="1282"/>
      <c r="C684" s="1282"/>
      <c r="D684" s="1282"/>
      <c r="E684" s="1282"/>
      <c r="F684" s="1282"/>
      <c r="G684" s="1282"/>
      <c r="H684" s="1282"/>
      <c r="I684" s="1282"/>
      <c r="J684" s="1282"/>
      <c r="K684" s="1282"/>
      <c r="L684" s="1282"/>
      <c r="M684" s="1282"/>
      <c r="N684" s="1282"/>
      <c r="O684" s="1282"/>
      <c r="P684" s="1282"/>
      <c r="Q684" s="1282"/>
      <c r="R684" s="1282"/>
      <c r="S684" s="1282"/>
      <c r="T684" s="1282"/>
      <c r="U684" s="1282"/>
      <c r="V684" s="1282"/>
      <c r="W684" s="1282"/>
      <c r="X684" s="1282"/>
      <c r="Y684" s="1282"/>
      <c r="Z684" s="1282"/>
    </row>
    <row r="685">
      <c r="A685" s="1282"/>
      <c r="B685" s="1282"/>
      <c r="C685" s="1282"/>
      <c r="D685" s="1282"/>
      <c r="E685" s="1282"/>
      <c r="F685" s="1282"/>
      <c r="G685" s="1282"/>
      <c r="H685" s="1282"/>
      <c r="I685" s="1282"/>
      <c r="J685" s="1282"/>
      <c r="K685" s="1282"/>
      <c r="L685" s="1282"/>
      <c r="M685" s="1282"/>
      <c r="N685" s="1282"/>
      <c r="O685" s="1282"/>
      <c r="P685" s="1282"/>
      <c r="Q685" s="1282"/>
      <c r="R685" s="1282"/>
      <c r="S685" s="1282"/>
      <c r="T685" s="1282"/>
      <c r="U685" s="1282"/>
      <c r="V685" s="1282"/>
      <c r="W685" s="1282"/>
      <c r="X685" s="1282"/>
      <c r="Y685" s="1282"/>
      <c r="Z685" s="1282"/>
    </row>
    <row r="686">
      <c r="A686" s="1282"/>
      <c r="B686" s="1282"/>
      <c r="C686" s="1282"/>
      <c r="D686" s="1282"/>
      <c r="E686" s="1282"/>
      <c r="F686" s="1282"/>
      <c r="G686" s="1282"/>
      <c r="H686" s="1282"/>
      <c r="I686" s="1282"/>
      <c r="J686" s="1282"/>
      <c r="K686" s="1282"/>
      <c r="L686" s="1282"/>
      <c r="M686" s="1282"/>
      <c r="N686" s="1282"/>
      <c r="O686" s="1282"/>
      <c r="P686" s="1282"/>
      <c r="Q686" s="1282"/>
      <c r="R686" s="1282"/>
      <c r="S686" s="1282"/>
      <c r="T686" s="1282"/>
      <c r="U686" s="1282"/>
      <c r="V686" s="1282"/>
      <c r="W686" s="1282"/>
      <c r="X686" s="1282"/>
      <c r="Y686" s="1282"/>
      <c r="Z686" s="1282"/>
    </row>
    <row r="687">
      <c r="A687" s="1282"/>
      <c r="B687" s="1282"/>
      <c r="C687" s="1282"/>
      <c r="D687" s="1282"/>
      <c r="E687" s="1282"/>
      <c r="F687" s="1282"/>
      <c r="G687" s="1282"/>
      <c r="H687" s="1282"/>
      <c r="I687" s="1282"/>
      <c r="J687" s="1282"/>
      <c r="K687" s="1282"/>
      <c r="L687" s="1282"/>
      <c r="M687" s="1282"/>
      <c r="N687" s="1282"/>
      <c r="O687" s="1282"/>
      <c r="P687" s="1282"/>
      <c r="Q687" s="1282"/>
      <c r="R687" s="1282"/>
      <c r="S687" s="1282"/>
      <c r="T687" s="1282"/>
      <c r="U687" s="1282"/>
      <c r="V687" s="1282"/>
      <c r="W687" s="1282"/>
      <c r="X687" s="1282"/>
      <c r="Y687" s="1282"/>
      <c r="Z687" s="1282"/>
    </row>
    <row r="688">
      <c r="A688" s="1282"/>
      <c r="B688" s="1282"/>
      <c r="C688" s="1282"/>
      <c r="D688" s="1282"/>
      <c r="E688" s="1282"/>
      <c r="F688" s="1282"/>
      <c r="G688" s="1282"/>
      <c r="H688" s="1282"/>
      <c r="I688" s="1282"/>
      <c r="J688" s="1282"/>
      <c r="K688" s="1282"/>
      <c r="L688" s="1282"/>
      <c r="M688" s="1282"/>
      <c r="N688" s="1282"/>
      <c r="O688" s="1282"/>
      <c r="P688" s="1282"/>
      <c r="Q688" s="1282"/>
      <c r="R688" s="1282"/>
      <c r="S688" s="1282"/>
      <c r="T688" s="1282"/>
      <c r="U688" s="1282"/>
      <c r="V688" s="1282"/>
      <c r="W688" s="1282"/>
      <c r="X688" s="1282"/>
      <c r="Y688" s="1282"/>
      <c r="Z688" s="1282"/>
    </row>
    <row r="689">
      <c r="A689" s="1282"/>
      <c r="B689" s="1282"/>
      <c r="C689" s="1282"/>
      <c r="D689" s="1282"/>
      <c r="E689" s="1282"/>
      <c r="F689" s="1282"/>
      <c r="G689" s="1282"/>
      <c r="H689" s="1282"/>
      <c r="I689" s="1282"/>
      <c r="J689" s="1282"/>
      <c r="K689" s="1282"/>
      <c r="L689" s="1282"/>
      <c r="M689" s="1282"/>
      <c r="N689" s="1282"/>
      <c r="O689" s="1282"/>
      <c r="P689" s="1282"/>
      <c r="Q689" s="1282"/>
      <c r="R689" s="1282"/>
      <c r="S689" s="1282"/>
      <c r="T689" s="1282"/>
      <c r="U689" s="1282"/>
      <c r="V689" s="1282"/>
      <c r="W689" s="1282"/>
      <c r="X689" s="1282"/>
      <c r="Y689" s="1282"/>
      <c r="Z689" s="1282"/>
    </row>
    <row r="690">
      <c r="A690" s="1282"/>
      <c r="B690" s="1282"/>
      <c r="C690" s="1282"/>
      <c r="D690" s="1282"/>
      <c r="E690" s="1282"/>
      <c r="F690" s="1282"/>
      <c r="G690" s="1282"/>
      <c r="H690" s="1282"/>
      <c r="I690" s="1282"/>
      <c r="J690" s="1282"/>
      <c r="K690" s="1282"/>
      <c r="L690" s="1282"/>
      <c r="M690" s="1282"/>
      <c r="N690" s="1282"/>
      <c r="O690" s="1282"/>
      <c r="P690" s="1282"/>
      <c r="Q690" s="1282"/>
      <c r="R690" s="1282"/>
      <c r="S690" s="1282"/>
      <c r="T690" s="1282"/>
      <c r="U690" s="1282"/>
      <c r="V690" s="1282"/>
      <c r="W690" s="1282"/>
      <c r="X690" s="1282"/>
      <c r="Y690" s="1282"/>
      <c r="Z690" s="1282"/>
    </row>
    <row r="691">
      <c r="A691" s="1282"/>
      <c r="B691" s="1282"/>
      <c r="C691" s="1282"/>
      <c r="D691" s="1282"/>
      <c r="E691" s="1282"/>
      <c r="F691" s="1282"/>
      <c r="G691" s="1282"/>
      <c r="H691" s="1282"/>
      <c r="I691" s="1282"/>
      <c r="J691" s="1282"/>
      <c r="K691" s="1282"/>
      <c r="L691" s="1282"/>
      <c r="M691" s="1282"/>
      <c r="N691" s="1282"/>
      <c r="O691" s="1282"/>
      <c r="P691" s="1282"/>
      <c r="Q691" s="1282"/>
      <c r="R691" s="1282"/>
      <c r="S691" s="1282"/>
      <c r="T691" s="1282"/>
      <c r="U691" s="1282"/>
      <c r="V691" s="1282"/>
      <c r="W691" s="1282"/>
      <c r="X691" s="1282"/>
      <c r="Y691" s="1282"/>
      <c r="Z691" s="1282"/>
    </row>
    <row r="692">
      <c r="A692" s="1282"/>
      <c r="B692" s="1282"/>
      <c r="C692" s="1282"/>
      <c r="D692" s="1282"/>
      <c r="E692" s="1282"/>
      <c r="F692" s="1282"/>
      <c r="G692" s="1282"/>
      <c r="H692" s="1282"/>
      <c r="I692" s="1282"/>
      <c r="J692" s="1282"/>
      <c r="K692" s="1282"/>
      <c r="L692" s="1282"/>
      <c r="M692" s="1282"/>
      <c r="N692" s="1282"/>
      <c r="O692" s="1282"/>
      <c r="P692" s="1282"/>
      <c r="Q692" s="1282"/>
      <c r="R692" s="1282"/>
      <c r="S692" s="1282"/>
      <c r="T692" s="1282"/>
      <c r="U692" s="1282"/>
      <c r="V692" s="1282"/>
      <c r="W692" s="1282"/>
      <c r="X692" s="1282"/>
      <c r="Y692" s="1282"/>
      <c r="Z692" s="1282"/>
    </row>
    <row r="693">
      <c r="A693" s="1282"/>
      <c r="B693" s="1282"/>
      <c r="C693" s="1282"/>
      <c r="D693" s="1282"/>
      <c r="E693" s="1282"/>
      <c r="F693" s="1282"/>
      <c r="G693" s="1282"/>
      <c r="H693" s="1282"/>
      <c r="I693" s="1282"/>
      <c r="J693" s="1282"/>
      <c r="K693" s="1282"/>
      <c r="L693" s="1282"/>
      <c r="M693" s="1282"/>
      <c r="N693" s="1282"/>
      <c r="O693" s="1282"/>
      <c r="P693" s="1282"/>
      <c r="Q693" s="1282"/>
      <c r="R693" s="1282"/>
      <c r="S693" s="1282"/>
      <c r="T693" s="1282"/>
      <c r="U693" s="1282"/>
      <c r="V693" s="1282"/>
      <c r="W693" s="1282"/>
      <c r="X693" s="1282"/>
      <c r="Y693" s="1282"/>
      <c r="Z693" s="1282"/>
    </row>
    <row r="694">
      <c r="A694" s="1282"/>
      <c r="B694" s="1282"/>
      <c r="C694" s="1282"/>
      <c r="D694" s="1282"/>
      <c r="E694" s="1282"/>
      <c r="F694" s="1282"/>
      <c r="G694" s="1282"/>
      <c r="H694" s="1282"/>
      <c r="I694" s="1282"/>
      <c r="J694" s="1282"/>
      <c r="K694" s="1282"/>
      <c r="L694" s="1282"/>
      <c r="M694" s="1282"/>
      <c r="N694" s="1282"/>
      <c r="O694" s="1282"/>
      <c r="P694" s="1282"/>
      <c r="Q694" s="1282"/>
      <c r="R694" s="1282"/>
      <c r="S694" s="1282"/>
      <c r="T694" s="1282"/>
      <c r="U694" s="1282"/>
      <c r="V694" s="1282"/>
      <c r="W694" s="1282"/>
      <c r="X694" s="1282"/>
      <c r="Y694" s="1282"/>
      <c r="Z694" s="1282"/>
    </row>
    <row r="695">
      <c r="A695" s="1282"/>
      <c r="B695" s="1282"/>
      <c r="C695" s="1282"/>
      <c r="D695" s="1282"/>
      <c r="E695" s="1282"/>
      <c r="F695" s="1282"/>
      <c r="G695" s="1282"/>
      <c r="H695" s="1282"/>
      <c r="I695" s="1282"/>
      <c r="J695" s="1282"/>
      <c r="K695" s="1282"/>
      <c r="L695" s="1282"/>
      <c r="M695" s="1282"/>
      <c r="N695" s="1282"/>
      <c r="O695" s="1282"/>
      <c r="P695" s="1282"/>
      <c r="Q695" s="1282"/>
      <c r="R695" s="1282"/>
      <c r="S695" s="1282"/>
      <c r="T695" s="1282"/>
      <c r="U695" s="1282"/>
      <c r="V695" s="1282"/>
      <c r="W695" s="1282"/>
      <c r="X695" s="1282"/>
      <c r="Y695" s="1282"/>
      <c r="Z695" s="1282"/>
    </row>
    <row r="696">
      <c r="A696" s="1282"/>
      <c r="B696" s="1282"/>
      <c r="C696" s="1282"/>
      <c r="D696" s="1282"/>
      <c r="E696" s="1282"/>
      <c r="F696" s="1282"/>
      <c r="G696" s="1282"/>
      <c r="H696" s="1282"/>
      <c r="I696" s="1282"/>
      <c r="J696" s="1282"/>
      <c r="K696" s="1282"/>
      <c r="L696" s="1282"/>
      <c r="M696" s="1282"/>
      <c r="N696" s="1282"/>
      <c r="O696" s="1282"/>
      <c r="P696" s="1282"/>
      <c r="Q696" s="1282"/>
      <c r="R696" s="1282"/>
      <c r="S696" s="1282"/>
      <c r="T696" s="1282"/>
      <c r="U696" s="1282"/>
      <c r="V696" s="1282"/>
      <c r="W696" s="1282"/>
      <c r="X696" s="1282"/>
      <c r="Y696" s="1282"/>
      <c r="Z696" s="1282"/>
    </row>
    <row r="697">
      <c r="A697" s="1282"/>
      <c r="B697" s="1282"/>
      <c r="C697" s="1282"/>
      <c r="D697" s="1282"/>
      <c r="E697" s="1282"/>
      <c r="F697" s="1282"/>
      <c r="G697" s="1282"/>
      <c r="H697" s="1282"/>
      <c r="I697" s="1282"/>
      <c r="J697" s="1282"/>
      <c r="K697" s="1282"/>
      <c r="L697" s="1282"/>
      <c r="M697" s="1282"/>
      <c r="N697" s="1282"/>
      <c r="O697" s="1282"/>
      <c r="P697" s="1282"/>
      <c r="Q697" s="1282"/>
      <c r="R697" s="1282"/>
      <c r="S697" s="1282"/>
      <c r="T697" s="1282"/>
      <c r="U697" s="1282"/>
      <c r="V697" s="1282"/>
      <c r="W697" s="1282"/>
      <c r="X697" s="1282"/>
      <c r="Y697" s="1282"/>
      <c r="Z697" s="1282"/>
    </row>
    <row r="698">
      <c r="A698" s="1282"/>
      <c r="B698" s="1282"/>
      <c r="C698" s="1282"/>
      <c r="D698" s="1282"/>
      <c r="E698" s="1282"/>
      <c r="F698" s="1282"/>
      <c r="G698" s="1282"/>
      <c r="H698" s="1282"/>
      <c r="I698" s="1282"/>
      <c r="J698" s="1282"/>
      <c r="K698" s="1282"/>
      <c r="L698" s="1282"/>
      <c r="M698" s="1282"/>
      <c r="N698" s="1282"/>
      <c r="O698" s="1282"/>
      <c r="P698" s="1282"/>
      <c r="Q698" s="1282"/>
      <c r="R698" s="1282"/>
      <c r="S698" s="1282"/>
      <c r="T698" s="1282"/>
      <c r="U698" s="1282"/>
      <c r="V698" s="1282"/>
      <c r="W698" s="1282"/>
      <c r="X698" s="1282"/>
      <c r="Y698" s="1282"/>
      <c r="Z698" s="1282"/>
    </row>
    <row r="699">
      <c r="A699" s="1282"/>
      <c r="B699" s="1282"/>
      <c r="C699" s="1282"/>
      <c r="D699" s="1282"/>
      <c r="E699" s="1282"/>
      <c r="F699" s="1282"/>
      <c r="G699" s="1282"/>
      <c r="H699" s="1282"/>
      <c r="I699" s="1282"/>
      <c r="J699" s="1282"/>
      <c r="K699" s="1282"/>
      <c r="L699" s="1282"/>
      <c r="M699" s="1282"/>
      <c r="N699" s="1282"/>
      <c r="O699" s="1282"/>
      <c r="P699" s="1282"/>
      <c r="Q699" s="1282"/>
      <c r="R699" s="1282"/>
      <c r="S699" s="1282"/>
      <c r="T699" s="1282"/>
      <c r="U699" s="1282"/>
      <c r="V699" s="1282"/>
      <c r="W699" s="1282"/>
      <c r="X699" s="1282"/>
      <c r="Y699" s="1282"/>
      <c r="Z699" s="1282"/>
    </row>
    <row r="700">
      <c r="A700" s="1282"/>
      <c r="B700" s="1282"/>
      <c r="C700" s="1282"/>
      <c r="D700" s="1282"/>
      <c r="E700" s="1282"/>
      <c r="F700" s="1282"/>
      <c r="G700" s="1282"/>
      <c r="H700" s="1282"/>
      <c r="I700" s="1282"/>
      <c r="J700" s="1282"/>
      <c r="K700" s="1282"/>
      <c r="L700" s="1282"/>
      <c r="M700" s="1282"/>
      <c r="N700" s="1282"/>
      <c r="O700" s="1282"/>
      <c r="P700" s="1282"/>
      <c r="Q700" s="1282"/>
      <c r="R700" s="1282"/>
      <c r="S700" s="1282"/>
      <c r="T700" s="1282"/>
      <c r="U700" s="1282"/>
      <c r="V700" s="1282"/>
      <c r="W700" s="1282"/>
      <c r="X700" s="1282"/>
      <c r="Y700" s="1282"/>
      <c r="Z700" s="1282"/>
    </row>
    <row r="701">
      <c r="A701" s="1282"/>
      <c r="B701" s="1282"/>
      <c r="C701" s="1282"/>
      <c r="D701" s="1282"/>
      <c r="E701" s="1282"/>
      <c r="F701" s="1282"/>
      <c r="G701" s="1282"/>
      <c r="H701" s="1282"/>
      <c r="I701" s="1282"/>
      <c r="J701" s="1282"/>
      <c r="K701" s="1282"/>
      <c r="L701" s="1282"/>
      <c r="M701" s="1282"/>
      <c r="N701" s="1282"/>
      <c r="O701" s="1282"/>
      <c r="P701" s="1282"/>
      <c r="Q701" s="1282"/>
      <c r="R701" s="1282"/>
      <c r="S701" s="1282"/>
      <c r="T701" s="1282"/>
      <c r="U701" s="1282"/>
      <c r="V701" s="1282"/>
      <c r="W701" s="1282"/>
      <c r="X701" s="1282"/>
      <c r="Y701" s="1282"/>
      <c r="Z701" s="1282"/>
    </row>
    <row r="702">
      <c r="A702" s="1282"/>
      <c r="B702" s="1282"/>
      <c r="C702" s="1282"/>
      <c r="D702" s="1282"/>
      <c r="E702" s="1282"/>
      <c r="F702" s="1282"/>
      <c r="G702" s="1282"/>
      <c r="H702" s="1282"/>
      <c r="I702" s="1282"/>
      <c r="J702" s="1282"/>
      <c r="K702" s="1282"/>
      <c r="L702" s="1282"/>
      <c r="M702" s="1282"/>
      <c r="N702" s="1282"/>
      <c r="O702" s="1282"/>
      <c r="P702" s="1282"/>
      <c r="Q702" s="1282"/>
      <c r="R702" s="1282"/>
      <c r="S702" s="1282"/>
      <c r="T702" s="1282"/>
      <c r="U702" s="1282"/>
      <c r="V702" s="1282"/>
      <c r="W702" s="1282"/>
      <c r="X702" s="1282"/>
      <c r="Y702" s="1282"/>
      <c r="Z702" s="1282"/>
    </row>
    <row r="703">
      <c r="A703" s="1282"/>
      <c r="B703" s="1282"/>
      <c r="C703" s="1282"/>
      <c r="D703" s="1282"/>
      <c r="E703" s="1282"/>
      <c r="F703" s="1282"/>
      <c r="G703" s="1282"/>
      <c r="H703" s="1282"/>
      <c r="I703" s="1282"/>
      <c r="J703" s="1282"/>
      <c r="K703" s="1282"/>
      <c r="L703" s="1282"/>
      <c r="M703" s="1282"/>
      <c r="N703" s="1282"/>
      <c r="O703" s="1282"/>
      <c r="P703" s="1282"/>
      <c r="Q703" s="1282"/>
      <c r="R703" s="1282"/>
      <c r="S703" s="1282"/>
      <c r="T703" s="1282"/>
      <c r="U703" s="1282"/>
      <c r="V703" s="1282"/>
      <c r="W703" s="1282"/>
      <c r="X703" s="1282"/>
      <c r="Y703" s="1282"/>
      <c r="Z703" s="1282"/>
    </row>
    <row r="704">
      <c r="A704" s="1282"/>
      <c r="B704" s="1282"/>
      <c r="C704" s="1282"/>
      <c r="D704" s="1282"/>
      <c r="E704" s="1282"/>
      <c r="F704" s="1282"/>
      <c r="G704" s="1282"/>
      <c r="H704" s="1282"/>
      <c r="I704" s="1282"/>
      <c r="J704" s="1282"/>
      <c r="K704" s="1282"/>
      <c r="L704" s="1282"/>
      <c r="M704" s="1282"/>
      <c r="N704" s="1282"/>
      <c r="O704" s="1282"/>
      <c r="P704" s="1282"/>
      <c r="Q704" s="1282"/>
      <c r="R704" s="1282"/>
      <c r="S704" s="1282"/>
      <c r="T704" s="1282"/>
      <c r="U704" s="1282"/>
      <c r="V704" s="1282"/>
      <c r="W704" s="1282"/>
      <c r="X704" s="1282"/>
      <c r="Y704" s="1282"/>
      <c r="Z704" s="1282"/>
    </row>
    <row r="705">
      <c r="A705" s="1282"/>
      <c r="B705" s="1282"/>
      <c r="C705" s="1282"/>
      <c r="D705" s="1282"/>
      <c r="E705" s="1282"/>
      <c r="F705" s="1282"/>
      <c r="G705" s="1282"/>
      <c r="H705" s="1282"/>
      <c r="I705" s="1282"/>
      <c r="J705" s="1282"/>
      <c r="K705" s="1282"/>
      <c r="L705" s="1282"/>
      <c r="M705" s="1282"/>
      <c r="N705" s="1282"/>
      <c r="O705" s="1282"/>
      <c r="P705" s="1282"/>
      <c r="Q705" s="1282"/>
      <c r="R705" s="1282"/>
      <c r="S705" s="1282"/>
      <c r="T705" s="1282"/>
      <c r="U705" s="1282"/>
      <c r="V705" s="1282"/>
      <c r="W705" s="1282"/>
      <c r="X705" s="1282"/>
      <c r="Y705" s="1282"/>
      <c r="Z705" s="1282"/>
    </row>
    <row r="706">
      <c r="A706" s="1282"/>
      <c r="B706" s="1282"/>
      <c r="C706" s="1282"/>
      <c r="D706" s="1282"/>
      <c r="E706" s="1282"/>
      <c r="F706" s="1282"/>
      <c r="G706" s="1282"/>
      <c r="H706" s="1282"/>
      <c r="I706" s="1282"/>
      <c r="J706" s="1282"/>
      <c r="K706" s="1282"/>
      <c r="L706" s="1282"/>
      <c r="M706" s="1282"/>
      <c r="N706" s="1282"/>
      <c r="O706" s="1282"/>
      <c r="P706" s="1282"/>
      <c r="Q706" s="1282"/>
      <c r="R706" s="1282"/>
      <c r="S706" s="1282"/>
      <c r="T706" s="1282"/>
      <c r="U706" s="1282"/>
      <c r="V706" s="1282"/>
      <c r="W706" s="1282"/>
      <c r="X706" s="1282"/>
      <c r="Y706" s="1282"/>
      <c r="Z706" s="1282"/>
    </row>
    <row r="707">
      <c r="A707" s="1282"/>
      <c r="B707" s="1282"/>
      <c r="C707" s="1282"/>
      <c r="D707" s="1282"/>
      <c r="E707" s="1282"/>
      <c r="F707" s="1282"/>
      <c r="G707" s="1282"/>
      <c r="H707" s="1282"/>
      <c r="I707" s="1282"/>
      <c r="J707" s="1282"/>
      <c r="K707" s="1282"/>
      <c r="L707" s="1282"/>
      <c r="M707" s="1282"/>
      <c r="N707" s="1282"/>
      <c r="O707" s="1282"/>
      <c r="P707" s="1282"/>
      <c r="Q707" s="1282"/>
      <c r="R707" s="1282"/>
      <c r="S707" s="1282"/>
      <c r="T707" s="1282"/>
      <c r="U707" s="1282"/>
      <c r="V707" s="1282"/>
      <c r="W707" s="1282"/>
      <c r="X707" s="1282"/>
      <c r="Y707" s="1282"/>
      <c r="Z707" s="1282"/>
    </row>
    <row r="708">
      <c r="A708" s="1282"/>
      <c r="B708" s="1282"/>
      <c r="C708" s="1282"/>
      <c r="D708" s="1282"/>
      <c r="E708" s="1282"/>
      <c r="F708" s="1282"/>
      <c r="G708" s="1282"/>
      <c r="H708" s="1282"/>
      <c r="I708" s="1282"/>
      <c r="J708" s="1282"/>
      <c r="K708" s="1282"/>
      <c r="L708" s="1282"/>
      <c r="M708" s="1282"/>
      <c r="N708" s="1282"/>
      <c r="O708" s="1282"/>
      <c r="P708" s="1282"/>
      <c r="Q708" s="1282"/>
      <c r="R708" s="1282"/>
      <c r="S708" s="1282"/>
      <c r="T708" s="1282"/>
      <c r="U708" s="1282"/>
      <c r="V708" s="1282"/>
      <c r="W708" s="1282"/>
      <c r="X708" s="1282"/>
      <c r="Y708" s="1282"/>
      <c r="Z708" s="1282"/>
    </row>
    <row r="709">
      <c r="A709" s="1282"/>
      <c r="B709" s="1282"/>
      <c r="C709" s="1282"/>
      <c r="D709" s="1282"/>
      <c r="E709" s="1282"/>
      <c r="F709" s="1282"/>
      <c r="G709" s="1282"/>
      <c r="H709" s="1282"/>
      <c r="I709" s="1282"/>
      <c r="J709" s="1282"/>
      <c r="K709" s="1282"/>
      <c r="L709" s="1282"/>
      <c r="M709" s="1282"/>
      <c r="N709" s="1282"/>
      <c r="O709" s="1282"/>
      <c r="P709" s="1282"/>
      <c r="Q709" s="1282"/>
      <c r="R709" s="1282"/>
      <c r="S709" s="1282"/>
      <c r="T709" s="1282"/>
      <c r="U709" s="1282"/>
      <c r="V709" s="1282"/>
      <c r="W709" s="1282"/>
      <c r="X709" s="1282"/>
      <c r="Y709" s="1282"/>
      <c r="Z709" s="1282"/>
    </row>
    <row r="710">
      <c r="A710" s="1282"/>
      <c r="B710" s="1282"/>
      <c r="C710" s="1282"/>
      <c r="D710" s="1282"/>
      <c r="E710" s="1282"/>
      <c r="F710" s="1282"/>
      <c r="G710" s="1282"/>
      <c r="H710" s="1282"/>
      <c r="I710" s="1282"/>
      <c r="J710" s="1282"/>
      <c r="K710" s="1282"/>
      <c r="L710" s="1282"/>
      <c r="M710" s="1282"/>
      <c r="N710" s="1282"/>
      <c r="O710" s="1282"/>
      <c r="P710" s="1282"/>
      <c r="Q710" s="1282"/>
      <c r="R710" s="1282"/>
      <c r="S710" s="1282"/>
      <c r="T710" s="1282"/>
      <c r="U710" s="1282"/>
      <c r="V710" s="1282"/>
      <c r="W710" s="1282"/>
      <c r="X710" s="1282"/>
      <c r="Y710" s="1282"/>
      <c r="Z710" s="1282"/>
    </row>
    <row r="711">
      <c r="A711" s="1282"/>
      <c r="B711" s="1282"/>
      <c r="C711" s="1282"/>
      <c r="D711" s="1282"/>
      <c r="E711" s="1282"/>
      <c r="F711" s="1282"/>
      <c r="G711" s="1282"/>
      <c r="H711" s="1282"/>
      <c r="I711" s="1282"/>
      <c r="J711" s="1282"/>
      <c r="K711" s="1282"/>
      <c r="L711" s="1282"/>
      <c r="M711" s="1282"/>
      <c r="N711" s="1282"/>
      <c r="O711" s="1282"/>
      <c r="P711" s="1282"/>
      <c r="Q711" s="1282"/>
      <c r="R711" s="1282"/>
      <c r="S711" s="1282"/>
      <c r="T711" s="1282"/>
      <c r="U711" s="1282"/>
      <c r="V711" s="1282"/>
      <c r="W711" s="1282"/>
      <c r="X711" s="1282"/>
      <c r="Y711" s="1282"/>
      <c r="Z711" s="1282"/>
    </row>
    <row r="712">
      <c r="A712" s="1282"/>
      <c r="B712" s="1282"/>
      <c r="C712" s="1282"/>
      <c r="D712" s="1282"/>
      <c r="E712" s="1282"/>
      <c r="F712" s="1282"/>
      <c r="G712" s="1282"/>
      <c r="H712" s="1282"/>
      <c r="I712" s="1282"/>
      <c r="J712" s="1282"/>
      <c r="K712" s="1282"/>
      <c r="L712" s="1282"/>
      <c r="M712" s="1282"/>
      <c r="N712" s="1282"/>
      <c r="O712" s="1282"/>
      <c r="P712" s="1282"/>
      <c r="Q712" s="1282"/>
      <c r="R712" s="1282"/>
      <c r="S712" s="1282"/>
      <c r="T712" s="1282"/>
      <c r="U712" s="1282"/>
      <c r="V712" s="1282"/>
      <c r="W712" s="1282"/>
      <c r="X712" s="1282"/>
      <c r="Y712" s="1282"/>
      <c r="Z712" s="1282"/>
    </row>
    <row r="713">
      <c r="A713" s="1282"/>
      <c r="B713" s="1282"/>
      <c r="C713" s="1282"/>
      <c r="D713" s="1282"/>
      <c r="E713" s="1282"/>
      <c r="F713" s="1282"/>
      <c r="G713" s="1282"/>
      <c r="H713" s="1282"/>
      <c r="I713" s="1282"/>
      <c r="J713" s="1282"/>
      <c r="K713" s="1282"/>
      <c r="L713" s="1282"/>
      <c r="M713" s="1282"/>
      <c r="N713" s="1282"/>
      <c r="O713" s="1282"/>
      <c r="P713" s="1282"/>
      <c r="Q713" s="1282"/>
      <c r="R713" s="1282"/>
      <c r="S713" s="1282"/>
      <c r="T713" s="1282"/>
      <c r="U713" s="1282"/>
      <c r="V713" s="1282"/>
      <c r="W713" s="1282"/>
      <c r="X713" s="1282"/>
      <c r="Y713" s="1282"/>
      <c r="Z713" s="1282"/>
    </row>
    <row r="714">
      <c r="A714" s="1282"/>
      <c r="B714" s="1282"/>
      <c r="C714" s="1282"/>
      <c r="D714" s="1282"/>
      <c r="E714" s="1282"/>
      <c r="F714" s="1282"/>
      <c r="G714" s="1282"/>
      <c r="H714" s="1282"/>
      <c r="I714" s="1282"/>
      <c r="J714" s="1282"/>
      <c r="K714" s="1282"/>
      <c r="L714" s="1282"/>
      <c r="M714" s="1282"/>
      <c r="N714" s="1282"/>
      <c r="O714" s="1282"/>
      <c r="P714" s="1282"/>
      <c r="Q714" s="1282"/>
      <c r="R714" s="1282"/>
      <c r="S714" s="1282"/>
      <c r="T714" s="1282"/>
      <c r="U714" s="1282"/>
      <c r="V714" s="1282"/>
      <c r="W714" s="1282"/>
      <c r="X714" s="1282"/>
      <c r="Y714" s="1282"/>
      <c r="Z714" s="1282"/>
    </row>
    <row r="715">
      <c r="A715" s="1282"/>
      <c r="B715" s="1282"/>
      <c r="C715" s="1282"/>
      <c r="D715" s="1282"/>
      <c r="E715" s="1282"/>
      <c r="F715" s="1282"/>
      <c r="G715" s="1282"/>
      <c r="H715" s="1282"/>
      <c r="I715" s="1282"/>
      <c r="J715" s="1282"/>
      <c r="K715" s="1282"/>
      <c r="L715" s="1282"/>
      <c r="M715" s="1282"/>
      <c r="N715" s="1282"/>
      <c r="O715" s="1282"/>
      <c r="P715" s="1282"/>
      <c r="Q715" s="1282"/>
      <c r="R715" s="1282"/>
      <c r="S715" s="1282"/>
      <c r="T715" s="1282"/>
      <c r="U715" s="1282"/>
      <c r="V715" s="1282"/>
      <c r="W715" s="1282"/>
      <c r="X715" s="1282"/>
      <c r="Y715" s="1282"/>
      <c r="Z715" s="1282"/>
    </row>
    <row r="716">
      <c r="A716" s="1282"/>
      <c r="B716" s="1282"/>
      <c r="C716" s="1282"/>
      <c r="D716" s="1282"/>
      <c r="E716" s="1282"/>
      <c r="F716" s="1282"/>
      <c r="G716" s="1282"/>
      <c r="H716" s="1282"/>
      <c r="I716" s="1282"/>
      <c r="J716" s="1282"/>
      <c r="K716" s="1282"/>
      <c r="L716" s="1282"/>
      <c r="M716" s="1282"/>
      <c r="N716" s="1282"/>
      <c r="O716" s="1282"/>
      <c r="P716" s="1282"/>
      <c r="Q716" s="1282"/>
      <c r="R716" s="1282"/>
      <c r="S716" s="1282"/>
      <c r="T716" s="1282"/>
      <c r="U716" s="1282"/>
      <c r="V716" s="1282"/>
      <c r="W716" s="1282"/>
      <c r="X716" s="1282"/>
      <c r="Y716" s="1282"/>
      <c r="Z716" s="1282"/>
    </row>
    <row r="717">
      <c r="A717" s="1282"/>
      <c r="B717" s="1282"/>
      <c r="C717" s="1282"/>
      <c r="D717" s="1282"/>
      <c r="E717" s="1282"/>
      <c r="F717" s="1282"/>
      <c r="G717" s="1282"/>
      <c r="H717" s="1282"/>
      <c r="I717" s="1282"/>
      <c r="J717" s="1282"/>
      <c r="K717" s="1282"/>
      <c r="L717" s="1282"/>
      <c r="M717" s="1282"/>
      <c r="N717" s="1282"/>
      <c r="O717" s="1282"/>
      <c r="P717" s="1282"/>
      <c r="Q717" s="1282"/>
      <c r="R717" s="1282"/>
      <c r="S717" s="1282"/>
      <c r="T717" s="1282"/>
      <c r="U717" s="1282"/>
      <c r="V717" s="1282"/>
      <c r="W717" s="1282"/>
      <c r="X717" s="1282"/>
      <c r="Y717" s="1282"/>
      <c r="Z717" s="1282"/>
    </row>
    <row r="718">
      <c r="A718" s="1282"/>
      <c r="B718" s="1282"/>
      <c r="C718" s="1282"/>
      <c r="D718" s="1282"/>
      <c r="E718" s="1282"/>
      <c r="F718" s="1282"/>
      <c r="G718" s="1282"/>
      <c r="H718" s="1282"/>
      <c r="I718" s="1282"/>
      <c r="J718" s="1282"/>
      <c r="K718" s="1282"/>
      <c r="L718" s="1282"/>
      <c r="M718" s="1282"/>
      <c r="N718" s="1282"/>
      <c r="O718" s="1282"/>
      <c r="P718" s="1282"/>
      <c r="Q718" s="1282"/>
      <c r="R718" s="1282"/>
      <c r="S718" s="1282"/>
      <c r="T718" s="1282"/>
      <c r="U718" s="1282"/>
      <c r="V718" s="1282"/>
      <c r="W718" s="1282"/>
      <c r="X718" s="1282"/>
      <c r="Y718" s="1282"/>
      <c r="Z718" s="1282"/>
    </row>
    <row r="719">
      <c r="A719" s="1282"/>
      <c r="B719" s="1282"/>
      <c r="C719" s="1282"/>
      <c r="D719" s="1282"/>
      <c r="E719" s="1282"/>
      <c r="F719" s="1282"/>
      <c r="G719" s="1282"/>
      <c r="H719" s="1282"/>
      <c r="I719" s="1282"/>
      <c r="J719" s="1282"/>
      <c r="K719" s="1282"/>
      <c r="L719" s="1282"/>
      <c r="M719" s="1282"/>
      <c r="N719" s="1282"/>
      <c r="O719" s="1282"/>
      <c r="P719" s="1282"/>
      <c r="Q719" s="1282"/>
      <c r="R719" s="1282"/>
      <c r="S719" s="1282"/>
      <c r="T719" s="1282"/>
      <c r="U719" s="1282"/>
      <c r="V719" s="1282"/>
      <c r="W719" s="1282"/>
      <c r="X719" s="1282"/>
      <c r="Y719" s="1282"/>
      <c r="Z719" s="1282"/>
    </row>
    <row r="720">
      <c r="A720" s="1282"/>
      <c r="B720" s="1282"/>
      <c r="C720" s="1282"/>
      <c r="D720" s="1282"/>
      <c r="E720" s="1282"/>
      <c r="F720" s="1282"/>
      <c r="G720" s="1282"/>
      <c r="H720" s="1282"/>
      <c r="I720" s="1282"/>
      <c r="J720" s="1282"/>
      <c r="K720" s="1282"/>
      <c r="L720" s="1282"/>
      <c r="M720" s="1282"/>
      <c r="N720" s="1282"/>
      <c r="O720" s="1282"/>
      <c r="P720" s="1282"/>
      <c r="Q720" s="1282"/>
      <c r="R720" s="1282"/>
      <c r="S720" s="1282"/>
      <c r="T720" s="1282"/>
      <c r="U720" s="1282"/>
      <c r="V720" s="1282"/>
      <c r="W720" s="1282"/>
      <c r="X720" s="1282"/>
      <c r="Y720" s="1282"/>
      <c r="Z720" s="1282"/>
    </row>
    <row r="721">
      <c r="A721" s="1282"/>
      <c r="B721" s="1282"/>
      <c r="C721" s="1282"/>
      <c r="D721" s="1282"/>
      <c r="E721" s="1282"/>
      <c r="F721" s="1282"/>
      <c r="G721" s="1282"/>
      <c r="H721" s="1282"/>
      <c r="I721" s="1282"/>
      <c r="J721" s="1282"/>
      <c r="K721" s="1282"/>
      <c r="L721" s="1282"/>
      <c r="M721" s="1282"/>
      <c r="N721" s="1282"/>
      <c r="O721" s="1282"/>
      <c r="P721" s="1282"/>
      <c r="Q721" s="1282"/>
      <c r="R721" s="1282"/>
      <c r="S721" s="1282"/>
      <c r="T721" s="1282"/>
      <c r="U721" s="1282"/>
      <c r="V721" s="1282"/>
      <c r="W721" s="1282"/>
      <c r="X721" s="1282"/>
      <c r="Y721" s="1282"/>
      <c r="Z721" s="1282"/>
    </row>
    <row r="722">
      <c r="A722" s="1282"/>
      <c r="B722" s="1282"/>
      <c r="C722" s="1282"/>
      <c r="D722" s="1282"/>
      <c r="E722" s="1282"/>
      <c r="F722" s="1282"/>
      <c r="G722" s="1282"/>
      <c r="H722" s="1282"/>
      <c r="I722" s="1282"/>
      <c r="J722" s="1282"/>
      <c r="K722" s="1282"/>
      <c r="L722" s="1282"/>
      <c r="M722" s="1282"/>
      <c r="N722" s="1282"/>
      <c r="O722" s="1282"/>
      <c r="P722" s="1282"/>
      <c r="Q722" s="1282"/>
      <c r="R722" s="1282"/>
      <c r="S722" s="1282"/>
      <c r="T722" s="1282"/>
      <c r="U722" s="1282"/>
      <c r="V722" s="1282"/>
      <c r="W722" s="1282"/>
      <c r="X722" s="1282"/>
      <c r="Y722" s="1282"/>
      <c r="Z722" s="1282"/>
    </row>
    <row r="723">
      <c r="A723" s="1282"/>
      <c r="B723" s="1282"/>
      <c r="C723" s="1282"/>
      <c r="D723" s="1282"/>
      <c r="E723" s="1282"/>
      <c r="F723" s="1282"/>
      <c r="G723" s="1282"/>
      <c r="H723" s="1282"/>
      <c r="I723" s="1282"/>
      <c r="J723" s="1282"/>
      <c r="K723" s="1282"/>
      <c r="L723" s="1282"/>
      <c r="M723" s="1282"/>
      <c r="N723" s="1282"/>
      <c r="O723" s="1282"/>
      <c r="P723" s="1282"/>
      <c r="Q723" s="1282"/>
      <c r="R723" s="1282"/>
      <c r="S723" s="1282"/>
      <c r="T723" s="1282"/>
      <c r="U723" s="1282"/>
      <c r="V723" s="1282"/>
      <c r="W723" s="1282"/>
      <c r="X723" s="1282"/>
      <c r="Y723" s="1282"/>
      <c r="Z723" s="1282"/>
    </row>
    <row r="724">
      <c r="A724" s="1282"/>
      <c r="B724" s="1282"/>
      <c r="C724" s="1282"/>
      <c r="D724" s="1282"/>
      <c r="E724" s="1282"/>
      <c r="F724" s="1282"/>
      <c r="G724" s="1282"/>
      <c r="H724" s="1282"/>
      <c r="I724" s="1282"/>
      <c r="J724" s="1282"/>
      <c r="K724" s="1282"/>
      <c r="L724" s="1282"/>
      <c r="M724" s="1282"/>
      <c r="N724" s="1282"/>
      <c r="O724" s="1282"/>
      <c r="P724" s="1282"/>
      <c r="Q724" s="1282"/>
      <c r="R724" s="1282"/>
      <c r="S724" s="1282"/>
      <c r="T724" s="1282"/>
      <c r="U724" s="1282"/>
      <c r="V724" s="1282"/>
      <c r="W724" s="1282"/>
      <c r="X724" s="1282"/>
      <c r="Y724" s="1282"/>
      <c r="Z724" s="1282"/>
    </row>
    <row r="725">
      <c r="A725" s="1282"/>
      <c r="B725" s="1282"/>
      <c r="C725" s="1282"/>
      <c r="D725" s="1282"/>
      <c r="E725" s="1282"/>
      <c r="F725" s="1282"/>
      <c r="G725" s="1282"/>
      <c r="H725" s="1282"/>
      <c r="I725" s="1282"/>
      <c r="J725" s="1282"/>
      <c r="K725" s="1282"/>
      <c r="L725" s="1282"/>
      <c r="M725" s="1282"/>
      <c r="N725" s="1282"/>
      <c r="O725" s="1282"/>
      <c r="P725" s="1282"/>
      <c r="Q725" s="1282"/>
      <c r="R725" s="1282"/>
      <c r="S725" s="1282"/>
      <c r="T725" s="1282"/>
      <c r="U725" s="1282"/>
      <c r="V725" s="1282"/>
      <c r="W725" s="1282"/>
      <c r="X725" s="1282"/>
      <c r="Y725" s="1282"/>
      <c r="Z725" s="1282"/>
    </row>
    <row r="726">
      <c r="A726" s="1282"/>
      <c r="B726" s="1282"/>
      <c r="C726" s="1282"/>
      <c r="D726" s="1282"/>
      <c r="E726" s="1282"/>
      <c r="F726" s="1282"/>
      <c r="G726" s="1282"/>
      <c r="H726" s="1282"/>
      <c r="I726" s="1282"/>
      <c r="J726" s="1282"/>
      <c r="K726" s="1282"/>
      <c r="L726" s="1282"/>
      <c r="M726" s="1282"/>
      <c r="N726" s="1282"/>
      <c r="O726" s="1282"/>
      <c r="P726" s="1282"/>
      <c r="Q726" s="1282"/>
      <c r="R726" s="1282"/>
      <c r="S726" s="1282"/>
      <c r="T726" s="1282"/>
      <c r="U726" s="1282"/>
      <c r="V726" s="1282"/>
      <c r="W726" s="1282"/>
      <c r="X726" s="1282"/>
      <c r="Y726" s="1282"/>
      <c r="Z726" s="1282"/>
    </row>
    <row r="727">
      <c r="A727" s="1282"/>
      <c r="B727" s="1282"/>
      <c r="C727" s="1282"/>
      <c r="D727" s="1282"/>
      <c r="E727" s="1282"/>
      <c r="F727" s="1282"/>
      <c r="G727" s="1282"/>
      <c r="H727" s="1282"/>
      <c r="I727" s="1282"/>
      <c r="J727" s="1282"/>
      <c r="K727" s="1282"/>
      <c r="L727" s="1282"/>
      <c r="M727" s="1282"/>
      <c r="N727" s="1282"/>
      <c r="O727" s="1282"/>
      <c r="P727" s="1282"/>
      <c r="Q727" s="1282"/>
      <c r="R727" s="1282"/>
      <c r="S727" s="1282"/>
      <c r="T727" s="1282"/>
      <c r="U727" s="1282"/>
      <c r="V727" s="1282"/>
      <c r="W727" s="1282"/>
      <c r="X727" s="1282"/>
      <c r="Y727" s="1282"/>
      <c r="Z727" s="1282"/>
    </row>
    <row r="728">
      <c r="A728" s="1282"/>
      <c r="B728" s="1282"/>
      <c r="C728" s="1282"/>
      <c r="D728" s="1282"/>
      <c r="E728" s="1282"/>
      <c r="F728" s="1282"/>
      <c r="G728" s="1282"/>
      <c r="H728" s="1282"/>
      <c r="I728" s="1282"/>
      <c r="J728" s="1282"/>
      <c r="K728" s="1282"/>
      <c r="L728" s="1282"/>
      <c r="M728" s="1282"/>
      <c r="N728" s="1282"/>
      <c r="O728" s="1282"/>
      <c r="P728" s="1282"/>
      <c r="Q728" s="1282"/>
      <c r="R728" s="1282"/>
      <c r="S728" s="1282"/>
      <c r="T728" s="1282"/>
      <c r="U728" s="1282"/>
      <c r="V728" s="1282"/>
      <c r="W728" s="1282"/>
      <c r="X728" s="1282"/>
      <c r="Y728" s="1282"/>
      <c r="Z728" s="1282"/>
    </row>
    <row r="729">
      <c r="A729" s="1282"/>
      <c r="B729" s="1282"/>
      <c r="C729" s="1282"/>
      <c r="D729" s="1282"/>
      <c r="E729" s="1282"/>
      <c r="F729" s="1282"/>
      <c r="G729" s="1282"/>
      <c r="H729" s="1282"/>
      <c r="I729" s="1282"/>
      <c r="J729" s="1282"/>
      <c r="K729" s="1282"/>
      <c r="L729" s="1282"/>
      <c r="M729" s="1282"/>
      <c r="N729" s="1282"/>
      <c r="O729" s="1282"/>
      <c r="P729" s="1282"/>
      <c r="Q729" s="1282"/>
      <c r="R729" s="1282"/>
      <c r="S729" s="1282"/>
      <c r="T729" s="1282"/>
      <c r="U729" s="1282"/>
      <c r="V729" s="1282"/>
      <c r="W729" s="1282"/>
      <c r="X729" s="1282"/>
      <c r="Y729" s="1282"/>
      <c r="Z729" s="1282"/>
    </row>
    <row r="730">
      <c r="A730" s="1282"/>
      <c r="B730" s="1282"/>
      <c r="C730" s="1282"/>
      <c r="D730" s="1282"/>
      <c r="E730" s="1282"/>
      <c r="F730" s="1282"/>
      <c r="G730" s="1282"/>
      <c r="H730" s="1282"/>
      <c r="I730" s="1282"/>
      <c r="J730" s="1282"/>
      <c r="K730" s="1282"/>
      <c r="L730" s="1282"/>
      <c r="M730" s="1282"/>
      <c r="N730" s="1282"/>
      <c r="O730" s="1282"/>
      <c r="P730" s="1282"/>
      <c r="Q730" s="1282"/>
      <c r="R730" s="1282"/>
      <c r="S730" s="1282"/>
      <c r="T730" s="1282"/>
      <c r="U730" s="1282"/>
      <c r="V730" s="1282"/>
      <c r="W730" s="1282"/>
      <c r="X730" s="1282"/>
      <c r="Y730" s="1282"/>
      <c r="Z730" s="1282"/>
    </row>
    <row r="731">
      <c r="A731" s="1282"/>
      <c r="B731" s="1282"/>
      <c r="C731" s="1282"/>
      <c r="D731" s="1282"/>
      <c r="E731" s="1282"/>
      <c r="F731" s="1282"/>
      <c r="G731" s="1282"/>
      <c r="H731" s="1282"/>
      <c r="I731" s="1282"/>
      <c r="J731" s="1282"/>
      <c r="K731" s="1282"/>
      <c r="L731" s="1282"/>
      <c r="M731" s="1282"/>
      <c r="N731" s="1282"/>
      <c r="O731" s="1282"/>
      <c r="P731" s="1282"/>
      <c r="Q731" s="1282"/>
      <c r="R731" s="1282"/>
      <c r="S731" s="1282"/>
      <c r="T731" s="1282"/>
      <c r="U731" s="1282"/>
      <c r="V731" s="1282"/>
      <c r="W731" s="1282"/>
      <c r="X731" s="1282"/>
      <c r="Y731" s="1282"/>
      <c r="Z731" s="1282"/>
    </row>
    <row r="732">
      <c r="A732" s="1282"/>
      <c r="B732" s="1282"/>
      <c r="C732" s="1282"/>
      <c r="D732" s="1282"/>
      <c r="E732" s="1282"/>
      <c r="F732" s="1282"/>
      <c r="G732" s="1282"/>
      <c r="H732" s="1282"/>
      <c r="I732" s="1282"/>
      <c r="J732" s="1282"/>
      <c r="K732" s="1282"/>
      <c r="L732" s="1282"/>
      <c r="M732" s="1282"/>
      <c r="N732" s="1282"/>
      <c r="O732" s="1282"/>
      <c r="P732" s="1282"/>
      <c r="Q732" s="1282"/>
      <c r="R732" s="1282"/>
      <c r="S732" s="1282"/>
      <c r="T732" s="1282"/>
      <c r="U732" s="1282"/>
      <c r="V732" s="1282"/>
      <c r="W732" s="1282"/>
      <c r="X732" s="1282"/>
      <c r="Y732" s="1282"/>
      <c r="Z732" s="1282"/>
    </row>
    <row r="733">
      <c r="A733" s="1282"/>
      <c r="B733" s="1282"/>
      <c r="C733" s="1282"/>
      <c r="D733" s="1282"/>
      <c r="E733" s="1282"/>
      <c r="F733" s="1282"/>
      <c r="G733" s="1282"/>
      <c r="H733" s="1282"/>
      <c r="I733" s="1282"/>
      <c r="J733" s="1282"/>
      <c r="K733" s="1282"/>
      <c r="L733" s="1282"/>
      <c r="M733" s="1282"/>
      <c r="N733" s="1282"/>
      <c r="O733" s="1282"/>
      <c r="P733" s="1282"/>
      <c r="Q733" s="1282"/>
      <c r="R733" s="1282"/>
      <c r="S733" s="1282"/>
      <c r="T733" s="1282"/>
      <c r="U733" s="1282"/>
      <c r="V733" s="1282"/>
      <c r="W733" s="1282"/>
      <c r="X733" s="1282"/>
      <c r="Y733" s="1282"/>
      <c r="Z733" s="1282"/>
    </row>
    <row r="734">
      <c r="A734" s="1282"/>
      <c r="B734" s="1282"/>
      <c r="C734" s="1282"/>
      <c r="D734" s="1282"/>
      <c r="E734" s="1282"/>
      <c r="F734" s="1282"/>
      <c r="G734" s="1282"/>
      <c r="H734" s="1282"/>
      <c r="I734" s="1282"/>
      <c r="J734" s="1282"/>
      <c r="K734" s="1282"/>
      <c r="L734" s="1282"/>
      <c r="M734" s="1282"/>
      <c r="N734" s="1282"/>
      <c r="O734" s="1282"/>
      <c r="P734" s="1282"/>
      <c r="Q734" s="1282"/>
      <c r="R734" s="1282"/>
      <c r="S734" s="1282"/>
      <c r="T734" s="1282"/>
      <c r="U734" s="1282"/>
      <c r="V734" s="1282"/>
      <c r="W734" s="1282"/>
      <c r="X734" s="1282"/>
      <c r="Y734" s="1282"/>
      <c r="Z734" s="1282"/>
    </row>
    <row r="735">
      <c r="A735" s="1282"/>
      <c r="B735" s="1282"/>
      <c r="C735" s="1282"/>
      <c r="D735" s="1282"/>
      <c r="E735" s="1282"/>
      <c r="F735" s="1282"/>
      <c r="G735" s="1282"/>
      <c r="H735" s="1282"/>
      <c r="I735" s="1282"/>
      <c r="J735" s="1282"/>
      <c r="K735" s="1282"/>
      <c r="L735" s="1282"/>
      <c r="M735" s="1282"/>
      <c r="N735" s="1282"/>
      <c r="O735" s="1282"/>
      <c r="P735" s="1282"/>
      <c r="Q735" s="1282"/>
      <c r="R735" s="1282"/>
      <c r="S735" s="1282"/>
      <c r="T735" s="1282"/>
      <c r="U735" s="1282"/>
      <c r="V735" s="1282"/>
      <c r="W735" s="1282"/>
      <c r="X735" s="1282"/>
      <c r="Y735" s="1282"/>
      <c r="Z735" s="1282"/>
    </row>
    <row r="736">
      <c r="A736" s="1282"/>
      <c r="B736" s="1282"/>
      <c r="C736" s="1282"/>
      <c r="D736" s="1282"/>
      <c r="E736" s="1282"/>
      <c r="F736" s="1282"/>
      <c r="G736" s="1282"/>
      <c r="H736" s="1282"/>
      <c r="I736" s="1282"/>
      <c r="J736" s="1282"/>
      <c r="K736" s="1282"/>
      <c r="L736" s="1282"/>
      <c r="M736" s="1282"/>
      <c r="N736" s="1282"/>
      <c r="O736" s="1282"/>
      <c r="P736" s="1282"/>
      <c r="Q736" s="1282"/>
      <c r="R736" s="1282"/>
      <c r="S736" s="1282"/>
      <c r="T736" s="1282"/>
      <c r="U736" s="1282"/>
      <c r="V736" s="1282"/>
      <c r="W736" s="1282"/>
      <c r="X736" s="1282"/>
      <c r="Y736" s="1282"/>
      <c r="Z736" s="1282"/>
    </row>
    <row r="737">
      <c r="A737" s="1282"/>
      <c r="B737" s="1282"/>
      <c r="C737" s="1282"/>
      <c r="D737" s="1282"/>
      <c r="E737" s="1282"/>
      <c r="F737" s="1282"/>
      <c r="G737" s="1282"/>
      <c r="H737" s="1282"/>
      <c r="I737" s="1282"/>
      <c r="J737" s="1282"/>
      <c r="K737" s="1282"/>
      <c r="L737" s="1282"/>
      <c r="M737" s="1282"/>
      <c r="N737" s="1282"/>
      <c r="O737" s="1282"/>
      <c r="P737" s="1282"/>
      <c r="Q737" s="1282"/>
      <c r="R737" s="1282"/>
      <c r="S737" s="1282"/>
      <c r="T737" s="1282"/>
      <c r="U737" s="1282"/>
      <c r="V737" s="1282"/>
      <c r="W737" s="1282"/>
      <c r="X737" s="1282"/>
      <c r="Y737" s="1282"/>
      <c r="Z737" s="1282"/>
    </row>
    <row r="738">
      <c r="A738" s="1282"/>
      <c r="B738" s="1282"/>
      <c r="C738" s="1282"/>
      <c r="D738" s="1282"/>
      <c r="E738" s="1282"/>
      <c r="F738" s="1282"/>
      <c r="G738" s="1282"/>
      <c r="H738" s="1282"/>
      <c r="I738" s="1282"/>
      <c r="J738" s="1282"/>
      <c r="K738" s="1282"/>
      <c r="L738" s="1282"/>
      <c r="M738" s="1282"/>
      <c r="N738" s="1282"/>
      <c r="O738" s="1282"/>
      <c r="P738" s="1282"/>
      <c r="Q738" s="1282"/>
      <c r="R738" s="1282"/>
      <c r="S738" s="1282"/>
      <c r="T738" s="1282"/>
      <c r="U738" s="1282"/>
      <c r="V738" s="1282"/>
      <c r="W738" s="1282"/>
      <c r="X738" s="1282"/>
      <c r="Y738" s="1282"/>
      <c r="Z738" s="1282"/>
    </row>
    <row r="739">
      <c r="A739" s="1282"/>
      <c r="B739" s="1282"/>
      <c r="C739" s="1282"/>
      <c r="D739" s="1282"/>
      <c r="E739" s="1282"/>
      <c r="F739" s="1282"/>
      <c r="G739" s="1282"/>
      <c r="H739" s="1282"/>
      <c r="I739" s="1282"/>
      <c r="J739" s="1282"/>
      <c r="K739" s="1282"/>
      <c r="L739" s="1282"/>
      <c r="M739" s="1282"/>
      <c r="N739" s="1282"/>
      <c r="O739" s="1282"/>
      <c r="P739" s="1282"/>
      <c r="Q739" s="1282"/>
      <c r="R739" s="1282"/>
      <c r="S739" s="1282"/>
      <c r="T739" s="1282"/>
      <c r="U739" s="1282"/>
      <c r="V739" s="1282"/>
      <c r="W739" s="1282"/>
      <c r="X739" s="1282"/>
      <c r="Y739" s="1282"/>
      <c r="Z739" s="1282"/>
    </row>
    <row r="740">
      <c r="A740" s="1282"/>
      <c r="B740" s="1282"/>
      <c r="C740" s="1282"/>
      <c r="D740" s="1282"/>
      <c r="E740" s="1282"/>
      <c r="F740" s="1282"/>
      <c r="G740" s="1282"/>
      <c r="H740" s="1282"/>
      <c r="I740" s="1282"/>
      <c r="J740" s="1282"/>
      <c r="K740" s="1282"/>
      <c r="L740" s="1282"/>
      <c r="M740" s="1282"/>
      <c r="N740" s="1282"/>
      <c r="O740" s="1282"/>
      <c r="P740" s="1282"/>
      <c r="Q740" s="1282"/>
      <c r="R740" s="1282"/>
      <c r="S740" s="1282"/>
      <c r="T740" s="1282"/>
      <c r="U740" s="1282"/>
      <c r="V740" s="1282"/>
      <c r="W740" s="1282"/>
      <c r="X740" s="1282"/>
      <c r="Y740" s="1282"/>
      <c r="Z740" s="1282"/>
    </row>
    <row r="741">
      <c r="A741" s="1282"/>
      <c r="B741" s="1282"/>
      <c r="C741" s="1282"/>
      <c r="D741" s="1282"/>
      <c r="E741" s="1282"/>
      <c r="F741" s="1282"/>
      <c r="G741" s="1282"/>
      <c r="H741" s="1282"/>
      <c r="I741" s="1282"/>
      <c r="J741" s="1282"/>
      <c r="K741" s="1282"/>
      <c r="L741" s="1282"/>
      <c r="M741" s="1282"/>
      <c r="N741" s="1282"/>
      <c r="O741" s="1282"/>
      <c r="P741" s="1282"/>
      <c r="Q741" s="1282"/>
      <c r="R741" s="1282"/>
      <c r="S741" s="1282"/>
      <c r="T741" s="1282"/>
      <c r="U741" s="1282"/>
      <c r="V741" s="1282"/>
      <c r="W741" s="1282"/>
      <c r="X741" s="1282"/>
      <c r="Y741" s="1282"/>
      <c r="Z741" s="1282"/>
    </row>
    <row r="742">
      <c r="A742" s="1282"/>
      <c r="B742" s="1282"/>
      <c r="C742" s="1282"/>
      <c r="D742" s="1282"/>
      <c r="E742" s="1282"/>
      <c r="F742" s="1282"/>
      <c r="G742" s="1282"/>
      <c r="H742" s="1282"/>
      <c r="I742" s="1282"/>
      <c r="J742" s="1282"/>
      <c r="K742" s="1282"/>
      <c r="L742" s="1282"/>
      <c r="M742" s="1282"/>
      <c r="N742" s="1282"/>
      <c r="O742" s="1282"/>
      <c r="P742" s="1282"/>
      <c r="Q742" s="1282"/>
      <c r="R742" s="1282"/>
      <c r="S742" s="1282"/>
      <c r="T742" s="1282"/>
      <c r="U742" s="1282"/>
      <c r="V742" s="1282"/>
      <c r="W742" s="1282"/>
      <c r="X742" s="1282"/>
      <c r="Y742" s="1282"/>
      <c r="Z742" s="1282"/>
    </row>
    <row r="743">
      <c r="A743" s="1282"/>
      <c r="B743" s="1282"/>
      <c r="C743" s="1282"/>
      <c r="D743" s="1282"/>
      <c r="E743" s="1282"/>
      <c r="F743" s="1282"/>
      <c r="G743" s="1282"/>
      <c r="H743" s="1282"/>
      <c r="I743" s="1282"/>
      <c r="J743" s="1282"/>
      <c r="K743" s="1282"/>
      <c r="L743" s="1282"/>
      <c r="M743" s="1282"/>
      <c r="N743" s="1282"/>
      <c r="O743" s="1282"/>
      <c r="P743" s="1282"/>
      <c r="Q743" s="1282"/>
      <c r="R743" s="1282"/>
      <c r="S743" s="1282"/>
      <c r="T743" s="1282"/>
      <c r="U743" s="1282"/>
      <c r="V743" s="1282"/>
      <c r="W743" s="1282"/>
      <c r="X743" s="1282"/>
      <c r="Y743" s="1282"/>
      <c r="Z743" s="1282"/>
    </row>
    <row r="744">
      <c r="A744" s="1282"/>
      <c r="B744" s="1282"/>
      <c r="C744" s="1282"/>
      <c r="D744" s="1282"/>
      <c r="E744" s="1282"/>
      <c r="F744" s="1282"/>
      <c r="G744" s="1282"/>
      <c r="H744" s="1282"/>
      <c r="I744" s="1282"/>
      <c r="J744" s="1282"/>
      <c r="K744" s="1282"/>
      <c r="L744" s="1282"/>
      <c r="M744" s="1282"/>
      <c r="N744" s="1282"/>
      <c r="O744" s="1282"/>
      <c r="P744" s="1282"/>
      <c r="Q744" s="1282"/>
      <c r="R744" s="1282"/>
      <c r="S744" s="1282"/>
      <c r="T744" s="1282"/>
      <c r="U744" s="1282"/>
      <c r="V744" s="1282"/>
      <c r="W744" s="1282"/>
      <c r="X744" s="1282"/>
      <c r="Y744" s="1282"/>
      <c r="Z744" s="1282"/>
    </row>
    <row r="745">
      <c r="A745" s="1282"/>
      <c r="B745" s="1282"/>
      <c r="C745" s="1282"/>
      <c r="D745" s="1282"/>
      <c r="E745" s="1282"/>
      <c r="F745" s="1282"/>
      <c r="G745" s="1282"/>
      <c r="H745" s="1282"/>
      <c r="I745" s="1282"/>
      <c r="J745" s="1282"/>
      <c r="K745" s="1282"/>
      <c r="L745" s="1282"/>
      <c r="M745" s="1282"/>
      <c r="N745" s="1282"/>
      <c r="O745" s="1282"/>
      <c r="P745" s="1282"/>
      <c r="Q745" s="1282"/>
      <c r="R745" s="1282"/>
      <c r="S745" s="1282"/>
      <c r="T745" s="1282"/>
      <c r="U745" s="1282"/>
      <c r="V745" s="1282"/>
      <c r="W745" s="1282"/>
      <c r="X745" s="1282"/>
      <c r="Y745" s="1282"/>
      <c r="Z745" s="1282"/>
    </row>
    <row r="746">
      <c r="A746" s="1282"/>
      <c r="B746" s="1282"/>
      <c r="C746" s="1282"/>
      <c r="D746" s="1282"/>
      <c r="E746" s="1282"/>
      <c r="F746" s="1282"/>
      <c r="G746" s="1282"/>
      <c r="H746" s="1282"/>
      <c r="I746" s="1282"/>
      <c r="J746" s="1282"/>
      <c r="K746" s="1282"/>
      <c r="L746" s="1282"/>
      <c r="M746" s="1282"/>
      <c r="N746" s="1282"/>
      <c r="O746" s="1282"/>
      <c r="P746" s="1282"/>
      <c r="Q746" s="1282"/>
      <c r="R746" s="1282"/>
      <c r="S746" s="1282"/>
      <c r="T746" s="1282"/>
      <c r="U746" s="1282"/>
      <c r="V746" s="1282"/>
      <c r="W746" s="1282"/>
      <c r="X746" s="1282"/>
      <c r="Y746" s="1282"/>
      <c r="Z746" s="1282"/>
    </row>
    <row r="747">
      <c r="A747" s="1282"/>
      <c r="B747" s="1282"/>
      <c r="C747" s="1282"/>
      <c r="D747" s="1282"/>
      <c r="E747" s="1282"/>
      <c r="F747" s="1282"/>
      <c r="G747" s="1282"/>
      <c r="H747" s="1282"/>
      <c r="I747" s="1282"/>
      <c r="J747" s="1282"/>
      <c r="K747" s="1282"/>
      <c r="L747" s="1282"/>
      <c r="M747" s="1282"/>
      <c r="N747" s="1282"/>
      <c r="O747" s="1282"/>
      <c r="P747" s="1282"/>
      <c r="Q747" s="1282"/>
      <c r="R747" s="1282"/>
      <c r="S747" s="1282"/>
      <c r="T747" s="1282"/>
      <c r="U747" s="1282"/>
      <c r="V747" s="1282"/>
      <c r="W747" s="1282"/>
      <c r="X747" s="1282"/>
      <c r="Y747" s="1282"/>
      <c r="Z747" s="1282"/>
    </row>
    <row r="748">
      <c r="A748" s="1282"/>
      <c r="B748" s="1282"/>
      <c r="C748" s="1282"/>
      <c r="D748" s="1282"/>
      <c r="E748" s="1282"/>
      <c r="F748" s="1282"/>
      <c r="G748" s="1282"/>
      <c r="H748" s="1282"/>
      <c r="I748" s="1282"/>
      <c r="J748" s="1282"/>
      <c r="K748" s="1282"/>
      <c r="L748" s="1282"/>
      <c r="M748" s="1282"/>
      <c r="N748" s="1282"/>
      <c r="O748" s="1282"/>
      <c r="P748" s="1282"/>
      <c r="Q748" s="1282"/>
      <c r="R748" s="1282"/>
      <c r="S748" s="1282"/>
      <c r="T748" s="1282"/>
      <c r="U748" s="1282"/>
      <c r="V748" s="1282"/>
      <c r="W748" s="1282"/>
      <c r="X748" s="1282"/>
      <c r="Y748" s="1282"/>
      <c r="Z748" s="1282"/>
    </row>
    <row r="749">
      <c r="A749" s="1282"/>
      <c r="B749" s="1282"/>
      <c r="C749" s="1282"/>
      <c r="D749" s="1282"/>
      <c r="E749" s="1282"/>
      <c r="F749" s="1282"/>
      <c r="G749" s="1282"/>
      <c r="H749" s="1282"/>
      <c r="I749" s="1282"/>
      <c r="J749" s="1282"/>
      <c r="K749" s="1282"/>
      <c r="L749" s="1282"/>
      <c r="M749" s="1282"/>
      <c r="N749" s="1282"/>
      <c r="O749" s="1282"/>
      <c r="P749" s="1282"/>
      <c r="Q749" s="1282"/>
      <c r="R749" s="1282"/>
      <c r="S749" s="1282"/>
      <c r="T749" s="1282"/>
      <c r="U749" s="1282"/>
      <c r="V749" s="1282"/>
      <c r="W749" s="1282"/>
      <c r="X749" s="1282"/>
      <c r="Y749" s="1282"/>
      <c r="Z749" s="1282"/>
    </row>
    <row r="750">
      <c r="A750" s="1282"/>
      <c r="B750" s="1282"/>
      <c r="C750" s="1282"/>
      <c r="D750" s="1282"/>
      <c r="E750" s="1282"/>
      <c r="F750" s="1282"/>
      <c r="G750" s="1282"/>
      <c r="H750" s="1282"/>
      <c r="I750" s="1282"/>
      <c r="J750" s="1282"/>
      <c r="K750" s="1282"/>
      <c r="L750" s="1282"/>
      <c r="M750" s="1282"/>
      <c r="N750" s="1282"/>
      <c r="O750" s="1282"/>
      <c r="P750" s="1282"/>
      <c r="Q750" s="1282"/>
      <c r="R750" s="1282"/>
      <c r="S750" s="1282"/>
      <c r="T750" s="1282"/>
      <c r="U750" s="1282"/>
      <c r="V750" s="1282"/>
      <c r="W750" s="1282"/>
      <c r="X750" s="1282"/>
      <c r="Y750" s="1282"/>
      <c r="Z750" s="1282"/>
    </row>
    <row r="751">
      <c r="A751" s="1282"/>
      <c r="B751" s="1282"/>
      <c r="C751" s="1282"/>
      <c r="D751" s="1282"/>
      <c r="E751" s="1282"/>
      <c r="F751" s="1282"/>
      <c r="G751" s="1282"/>
      <c r="H751" s="1282"/>
      <c r="I751" s="1282"/>
      <c r="J751" s="1282"/>
      <c r="K751" s="1282"/>
      <c r="L751" s="1282"/>
      <c r="M751" s="1282"/>
      <c r="N751" s="1282"/>
      <c r="O751" s="1282"/>
      <c r="P751" s="1282"/>
      <c r="Q751" s="1282"/>
      <c r="R751" s="1282"/>
      <c r="S751" s="1282"/>
      <c r="T751" s="1282"/>
      <c r="U751" s="1282"/>
      <c r="V751" s="1282"/>
      <c r="W751" s="1282"/>
      <c r="X751" s="1282"/>
      <c r="Y751" s="1282"/>
      <c r="Z751" s="1282"/>
    </row>
    <row r="752">
      <c r="A752" s="1282"/>
      <c r="B752" s="1282"/>
      <c r="C752" s="1282"/>
      <c r="D752" s="1282"/>
      <c r="E752" s="1282"/>
      <c r="F752" s="1282"/>
      <c r="G752" s="1282"/>
      <c r="H752" s="1282"/>
      <c r="I752" s="1282"/>
      <c r="J752" s="1282"/>
      <c r="K752" s="1282"/>
      <c r="L752" s="1282"/>
      <c r="M752" s="1282"/>
      <c r="N752" s="1282"/>
      <c r="O752" s="1282"/>
      <c r="P752" s="1282"/>
      <c r="Q752" s="1282"/>
      <c r="R752" s="1282"/>
      <c r="S752" s="1282"/>
      <c r="T752" s="1282"/>
      <c r="U752" s="1282"/>
      <c r="V752" s="1282"/>
      <c r="W752" s="1282"/>
      <c r="X752" s="1282"/>
      <c r="Y752" s="1282"/>
      <c r="Z752" s="1282"/>
    </row>
    <row r="753">
      <c r="A753" s="1282"/>
      <c r="B753" s="1282"/>
      <c r="C753" s="1282"/>
      <c r="D753" s="1282"/>
      <c r="E753" s="1282"/>
      <c r="F753" s="1282"/>
      <c r="G753" s="1282"/>
      <c r="H753" s="1282"/>
      <c r="I753" s="1282"/>
      <c r="J753" s="1282"/>
      <c r="K753" s="1282"/>
      <c r="L753" s="1282"/>
      <c r="M753" s="1282"/>
      <c r="N753" s="1282"/>
      <c r="O753" s="1282"/>
      <c r="P753" s="1282"/>
      <c r="Q753" s="1282"/>
      <c r="R753" s="1282"/>
      <c r="S753" s="1282"/>
      <c r="T753" s="1282"/>
      <c r="U753" s="1282"/>
      <c r="V753" s="1282"/>
      <c r="W753" s="1282"/>
      <c r="X753" s="1282"/>
      <c r="Y753" s="1282"/>
      <c r="Z753" s="1282"/>
    </row>
    <row r="754">
      <c r="A754" s="1282"/>
      <c r="B754" s="1282"/>
      <c r="C754" s="1282"/>
      <c r="D754" s="1282"/>
      <c r="E754" s="1282"/>
      <c r="F754" s="1282"/>
      <c r="G754" s="1282"/>
      <c r="H754" s="1282"/>
      <c r="I754" s="1282"/>
      <c r="J754" s="1282"/>
      <c r="K754" s="1282"/>
      <c r="L754" s="1282"/>
      <c r="M754" s="1282"/>
      <c r="N754" s="1282"/>
      <c r="O754" s="1282"/>
      <c r="P754" s="1282"/>
      <c r="Q754" s="1282"/>
      <c r="R754" s="1282"/>
      <c r="S754" s="1282"/>
      <c r="T754" s="1282"/>
      <c r="U754" s="1282"/>
      <c r="V754" s="1282"/>
      <c r="W754" s="1282"/>
      <c r="X754" s="1282"/>
      <c r="Y754" s="1282"/>
      <c r="Z754" s="1282"/>
    </row>
    <row r="755">
      <c r="A755" s="1282"/>
      <c r="B755" s="1282"/>
      <c r="C755" s="1282"/>
      <c r="D755" s="1282"/>
      <c r="E755" s="1282"/>
      <c r="F755" s="1282"/>
      <c r="G755" s="1282"/>
      <c r="H755" s="1282"/>
      <c r="I755" s="1282"/>
      <c r="J755" s="1282"/>
      <c r="K755" s="1282"/>
      <c r="L755" s="1282"/>
      <c r="M755" s="1282"/>
      <c r="N755" s="1282"/>
      <c r="O755" s="1282"/>
      <c r="P755" s="1282"/>
      <c r="Q755" s="1282"/>
      <c r="R755" s="1282"/>
      <c r="S755" s="1282"/>
      <c r="T755" s="1282"/>
      <c r="U755" s="1282"/>
      <c r="V755" s="1282"/>
      <c r="W755" s="1282"/>
      <c r="X755" s="1282"/>
      <c r="Y755" s="1282"/>
      <c r="Z755" s="1282"/>
    </row>
    <row r="756">
      <c r="A756" s="1282"/>
      <c r="B756" s="1282"/>
      <c r="C756" s="1282"/>
      <c r="D756" s="1282"/>
      <c r="E756" s="1282"/>
      <c r="F756" s="1282"/>
      <c r="G756" s="1282"/>
      <c r="H756" s="1282"/>
      <c r="I756" s="1282"/>
      <c r="J756" s="1282"/>
      <c r="K756" s="1282"/>
      <c r="L756" s="1282"/>
      <c r="M756" s="1282"/>
      <c r="N756" s="1282"/>
      <c r="O756" s="1282"/>
      <c r="P756" s="1282"/>
      <c r="Q756" s="1282"/>
      <c r="R756" s="1282"/>
      <c r="S756" s="1282"/>
      <c r="T756" s="1282"/>
      <c r="U756" s="1282"/>
      <c r="V756" s="1282"/>
      <c r="W756" s="1282"/>
      <c r="X756" s="1282"/>
      <c r="Y756" s="1282"/>
      <c r="Z756" s="1282"/>
    </row>
    <row r="757">
      <c r="A757" s="1282"/>
      <c r="B757" s="1282"/>
      <c r="C757" s="1282"/>
      <c r="D757" s="1282"/>
      <c r="E757" s="1282"/>
      <c r="F757" s="1282"/>
      <c r="G757" s="1282"/>
      <c r="H757" s="1282"/>
      <c r="I757" s="1282"/>
      <c r="J757" s="1282"/>
      <c r="K757" s="1282"/>
      <c r="L757" s="1282"/>
      <c r="M757" s="1282"/>
      <c r="N757" s="1282"/>
      <c r="O757" s="1282"/>
      <c r="P757" s="1282"/>
      <c r="Q757" s="1282"/>
      <c r="R757" s="1282"/>
      <c r="S757" s="1282"/>
      <c r="T757" s="1282"/>
      <c r="U757" s="1282"/>
      <c r="V757" s="1282"/>
      <c r="W757" s="1282"/>
      <c r="X757" s="1282"/>
      <c r="Y757" s="1282"/>
      <c r="Z757" s="1282"/>
    </row>
    <row r="758">
      <c r="A758" s="1282"/>
      <c r="B758" s="1282"/>
      <c r="C758" s="1282"/>
      <c r="D758" s="1282"/>
      <c r="E758" s="1282"/>
      <c r="F758" s="1282"/>
      <c r="G758" s="1282"/>
      <c r="H758" s="1282"/>
      <c r="I758" s="1282"/>
      <c r="J758" s="1282"/>
      <c r="K758" s="1282"/>
      <c r="L758" s="1282"/>
      <c r="M758" s="1282"/>
      <c r="N758" s="1282"/>
      <c r="O758" s="1282"/>
      <c r="P758" s="1282"/>
      <c r="Q758" s="1282"/>
      <c r="R758" s="1282"/>
      <c r="S758" s="1282"/>
      <c r="T758" s="1282"/>
      <c r="U758" s="1282"/>
      <c r="V758" s="1282"/>
      <c r="W758" s="1282"/>
      <c r="X758" s="1282"/>
      <c r="Y758" s="1282"/>
      <c r="Z758" s="1282"/>
    </row>
    <row r="759">
      <c r="A759" s="1282"/>
      <c r="B759" s="1282"/>
      <c r="C759" s="1282"/>
      <c r="D759" s="1282"/>
      <c r="E759" s="1282"/>
      <c r="F759" s="1282"/>
      <c r="G759" s="1282"/>
      <c r="H759" s="1282"/>
      <c r="I759" s="1282"/>
      <c r="J759" s="1282"/>
      <c r="K759" s="1282"/>
      <c r="L759" s="1282"/>
      <c r="M759" s="1282"/>
      <c r="N759" s="1282"/>
      <c r="O759" s="1282"/>
      <c r="P759" s="1282"/>
      <c r="Q759" s="1282"/>
      <c r="R759" s="1282"/>
      <c r="S759" s="1282"/>
      <c r="T759" s="1282"/>
      <c r="U759" s="1282"/>
      <c r="V759" s="1282"/>
      <c r="W759" s="1282"/>
      <c r="X759" s="1282"/>
      <c r="Y759" s="1282"/>
      <c r="Z759" s="1282"/>
    </row>
    <row r="760">
      <c r="A760" s="1282"/>
      <c r="B760" s="1282"/>
      <c r="C760" s="1282"/>
      <c r="D760" s="1282"/>
      <c r="E760" s="1282"/>
      <c r="F760" s="1282"/>
      <c r="G760" s="1282"/>
      <c r="H760" s="1282"/>
      <c r="I760" s="1282"/>
      <c r="J760" s="1282"/>
      <c r="K760" s="1282"/>
      <c r="L760" s="1282"/>
      <c r="M760" s="1282"/>
      <c r="N760" s="1282"/>
      <c r="O760" s="1282"/>
      <c r="P760" s="1282"/>
      <c r="Q760" s="1282"/>
      <c r="R760" s="1282"/>
      <c r="S760" s="1282"/>
      <c r="T760" s="1282"/>
      <c r="U760" s="1282"/>
      <c r="V760" s="1282"/>
      <c r="W760" s="1282"/>
      <c r="X760" s="1282"/>
      <c r="Y760" s="1282"/>
      <c r="Z760" s="1282"/>
    </row>
    <row r="761">
      <c r="A761" s="1282"/>
      <c r="B761" s="1282"/>
      <c r="C761" s="1282"/>
      <c r="D761" s="1282"/>
      <c r="E761" s="1282"/>
      <c r="F761" s="1282"/>
      <c r="G761" s="1282"/>
      <c r="H761" s="1282"/>
      <c r="I761" s="1282"/>
      <c r="J761" s="1282"/>
      <c r="K761" s="1282"/>
      <c r="L761" s="1282"/>
      <c r="M761" s="1282"/>
      <c r="N761" s="1282"/>
      <c r="O761" s="1282"/>
      <c r="P761" s="1282"/>
      <c r="Q761" s="1282"/>
      <c r="R761" s="1282"/>
      <c r="S761" s="1282"/>
      <c r="T761" s="1282"/>
      <c r="U761" s="1282"/>
      <c r="V761" s="1282"/>
      <c r="W761" s="1282"/>
      <c r="X761" s="1282"/>
      <c r="Y761" s="1282"/>
      <c r="Z761" s="1282"/>
    </row>
    <row r="762">
      <c r="A762" s="1282"/>
      <c r="B762" s="1282"/>
      <c r="C762" s="1282"/>
      <c r="D762" s="1282"/>
      <c r="E762" s="1282"/>
      <c r="F762" s="1282"/>
      <c r="G762" s="1282"/>
      <c r="H762" s="1282"/>
      <c r="I762" s="1282"/>
      <c r="J762" s="1282"/>
      <c r="K762" s="1282"/>
      <c r="L762" s="1282"/>
      <c r="M762" s="1282"/>
      <c r="N762" s="1282"/>
      <c r="O762" s="1282"/>
      <c r="P762" s="1282"/>
      <c r="Q762" s="1282"/>
      <c r="R762" s="1282"/>
      <c r="S762" s="1282"/>
      <c r="T762" s="1282"/>
      <c r="U762" s="1282"/>
      <c r="V762" s="1282"/>
      <c r="W762" s="1282"/>
      <c r="X762" s="1282"/>
      <c r="Y762" s="1282"/>
      <c r="Z762" s="1282"/>
    </row>
    <row r="763">
      <c r="A763" s="1282"/>
      <c r="B763" s="1282"/>
      <c r="C763" s="1282"/>
      <c r="D763" s="1282"/>
      <c r="E763" s="1282"/>
      <c r="F763" s="1282"/>
      <c r="G763" s="1282"/>
      <c r="H763" s="1282"/>
      <c r="I763" s="1282"/>
      <c r="J763" s="1282"/>
      <c r="K763" s="1282"/>
      <c r="L763" s="1282"/>
      <c r="M763" s="1282"/>
      <c r="N763" s="1282"/>
      <c r="O763" s="1282"/>
      <c r="P763" s="1282"/>
      <c r="Q763" s="1282"/>
      <c r="R763" s="1282"/>
      <c r="S763" s="1282"/>
      <c r="T763" s="1282"/>
      <c r="U763" s="1282"/>
      <c r="V763" s="1282"/>
      <c r="W763" s="1282"/>
      <c r="X763" s="1282"/>
      <c r="Y763" s="1282"/>
      <c r="Z763" s="1282"/>
    </row>
    <row r="764">
      <c r="A764" s="1282"/>
      <c r="B764" s="1282"/>
      <c r="C764" s="1282"/>
      <c r="D764" s="1282"/>
      <c r="E764" s="1282"/>
      <c r="F764" s="1282"/>
      <c r="G764" s="1282"/>
      <c r="H764" s="1282"/>
      <c r="I764" s="1282"/>
      <c r="J764" s="1282"/>
      <c r="K764" s="1282"/>
      <c r="L764" s="1282"/>
      <c r="M764" s="1282"/>
      <c r="N764" s="1282"/>
      <c r="O764" s="1282"/>
      <c r="P764" s="1282"/>
      <c r="Q764" s="1282"/>
      <c r="R764" s="1282"/>
      <c r="S764" s="1282"/>
      <c r="T764" s="1282"/>
      <c r="U764" s="1282"/>
      <c r="V764" s="1282"/>
      <c r="W764" s="1282"/>
      <c r="X764" s="1282"/>
      <c r="Y764" s="1282"/>
      <c r="Z764" s="1282"/>
    </row>
    <row r="765">
      <c r="A765" s="1282"/>
      <c r="B765" s="1282"/>
      <c r="C765" s="1282"/>
      <c r="D765" s="1282"/>
      <c r="E765" s="1282"/>
      <c r="F765" s="1282"/>
      <c r="G765" s="1282"/>
      <c r="H765" s="1282"/>
      <c r="I765" s="1282"/>
      <c r="J765" s="1282"/>
      <c r="K765" s="1282"/>
      <c r="L765" s="1282"/>
      <c r="M765" s="1282"/>
      <c r="N765" s="1282"/>
      <c r="O765" s="1282"/>
      <c r="P765" s="1282"/>
      <c r="Q765" s="1282"/>
      <c r="R765" s="1282"/>
      <c r="S765" s="1282"/>
      <c r="T765" s="1282"/>
      <c r="U765" s="1282"/>
      <c r="V765" s="1282"/>
      <c r="W765" s="1282"/>
      <c r="X765" s="1282"/>
      <c r="Y765" s="1282"/>
      <c r="Z765" s="1282"/>
    </row>
    <row r="766">
      <c r="A766" s="1282"/>
      <c r="B766" s="1282"/>
      <c r="C766" s="1282"/>
      <c r="D766" s="1282"/>
      <c r="E766" s="1282"/>
      <c r="F766" s="1282"/>
      <c r="G766" s="1282"/>
      <c r="H766" s="1282"/>
      <c r="I766" s="1282"/>
      <c r="J766" s="1282"/>
      <c r="K766" s="1282"/>
      <c r="L766" s="1282"/>
      <c r="M766" s="1282"/>
      <c r="N766" s="1282"/>
      <c r="O766" s="1282"/>
      <c r="P766" s="1282"/>
      <c r="Q766" s="1282"/>
      <c r="R766" s="1282"/>
      <c r="S766" s="1282"/>
      <c r="T766" s="1282"/>
      <c r="U766" s="1282"/>
      <c r="V766" s="1282"/>
      <c r="W766" s="1282"/>
      <c r="X766" s="1282"/>
      <c r="Y766" s="1282"/>
      <c r="Z766" s="1282"/>
    </row>
    <row r="767">
      <c r="A767" s="1282"/>
      <c r="B767" s="1282"/>
      <c r="C767" s="1282"/>
      <c r="D767" s="1282"/>
      <c r="E767" s="1282"/>
      <c r="F767" s="1282"/>
      <c r="G767" s="1282"/>
      <c r="H767" s="1282"/>
      <c r="I767" s="1282"/>
      <c r="J767" s="1282"/>
      <c r="K767" s="1282"/>
      <c r="L767" s="1282"/>
      <c r="M767" s="1282"/>
      <c r="N767" s="1282"/>
      <c r="O767" s="1282"/>
      <c r="P767" s="1282"/>
      <c r="Q767" s="1282"/>
      <c r="R767" s="1282"/>
      <c r="S767" s="1282"/>
      <c r="T767" s="1282"/>
      <c r="U767" s="1282"/>
      <c r="V767" s="1282"/>
      <c r="W767" s="1282"/>
      <c r="X767" s="1282"/>
      <c r="Y767" s="1282"/>
      <c r="Z767" s="1282"/>
    </row>
    <row r="768">
      <c r="A768" s="1282"/>
      <c r="B768" s="1282"/>
      <c r="C768" s="1282"/>
      <c r="D768" s="1282"/>
      <c r="E768" s="1282"/>
      <c r="F768" s="1282"/>
      <c r="G768" s="1282"/>
      <c r="H768" s="1282"/>
      <c r="I768" s="1282"/>
      <c r="J768" s="1282"/>
      <c r="K768" s="1282"/>
      <c r="L768" s="1282"/>
      <c r="M768" s="1282"/>
      <c r="N768" s="1282"/>
      <c r="O768" s="1282"/>
      <c r="P768" s="1282"/>
      <c r="Q768" s="1282"/>
      <c r="R768" s="1282"/>
      <c r="S768" s="1282"/>
      <c r="T768" s="1282"/>
      <c r="U768" s="1282"/>
      <c r="V768" s="1282"/>
      <c r="W768" s="1282"/>
      <c r="X768" s="1282"/>
      <c r="Y768" s="1282"/>
      <c r="Z768" s="1282"/>
    </row>
    <row r="769">
      <c r="A769" s="1282"/>
      <c r="B769" s="1282"/>
      <c r="C769" s="1282"/>
      <c r="D769" s="1282"/>
      <c r="E769" s="1282"/>
      <c r="F769" s="1282"/>
      <c r="G769" s="1282"/>
      <c r="H769" s="1282"/>
      <c r="I769" s="1282"/>
      <c r="J769" s="1282"/>
      <c r="K769" s="1282"/>
      <c r="L769" s="1282"/>
      <c r="M769" s="1282"/>
      <c r="N769" s="1282"/>
      <c r="O769" s="1282"/>
      <c r="P769" s="1282"/>
      <c r="Q769" s="1282"/>
      <c r="R769" s="1282"/>
      <c r="S769" s="1282"/>
      <c r="T769" s="1282"/>
      <c r="U769" s="1282"/>
      <c r="V769" s="1282"/>
      <c r="W769" s="1282"/>
      <c r="X769" s="1282"/>
      <c r="Y769" s="1282"/>
      <c r="Z769" s="1282"/>
    </row>
    <row r="770">
      <c r="A770" s="1282"/>
      <c r="B770" s="1282"/>
      <c r="C770" s="1282"/>
      <c r="D770" s="1282"/>
      <c r="E770" s="1282"/>
      <c r="F770" s="1282"/>
      <c r="G770" s="1282"/>
      <c r="H770" s="1282"/>
      <c r="I770" s="1282"/>
      <c r="J770" s="1282"/>
      <c r="K770" s="1282"/>
      <c r="L770" s="1282"/>
      <c r="M770" s="1282"/>
      <c r="N770" s="1282"/>
      <c r="O770" s="1282"/>
      <c r="P770" s="1282"/>
      <c r="Q770" s="1282"/>
      <c r="R770" s="1282"/>
      <c r="S770" s="1282"/>
      <c r="T770" s="1282"/>
      <c r="U770" s="1282"/>
      <c r="V770" s="1282"/>
      <c r="W770" s="1282"/>
      <c r="X770" s="1282"/>
      <c r="Y770" s="1282"/>
      <c r="Z770" s="1282"/>
    </row>
    <row r="771">
      <c r="A771" s="1282"/>
      <c r="B771" s="1282"/>
      <c r="C771" s="1282"/>
      <c r="D771" s="1282"/>
      <c r="E771" s="1282"/>
      <c r="F771" s="1282"/>
      <c r="G771" s="1282"/>
      <c r="H771" s="1282"/>
      <c r="I771" s="1282"/>
      <c r="J771" s="1282"/>
      <c r="K771" s="1282"/>
      <c r="L771" s="1282"/>
      <c r="M771" s="1282"/>
      <c r="N771" s="1282"/>
      <c r="O771" s="1282"/>
      <c r="P771" s="1282"/>
      <c r="Q771" s="1282"/>
      <c r="R771" s="1282"/>
      <c r="S771" s="1282"/>
      <c r="T771" s="1282"/>
      <c r="U771" s="1282"/>
      <c r="V771" s="1282"/>
      <c r="W771" s="1282"/>
      <c r="X771" s="1282"/>
      <c r="Y771" s="1282"/>
      <c r="Z771" s="1282"/>
    </row>
    <row r="772">
      <c r="A772" s="1282"/>
      <c r="B772" s="1282"/>
      <c r="C772" s="1282"/>
      <c r="D772" s="1282"/>
      <c r="E772" s="1282"/>
      <c r="F772" s="1282"/>
      <c r="G772" s="1282"/>
      <c r="H772" s="1282"/>
      <c r="I772" s="1282"/>
      <c r="J772" s="1282"/>
      <c r="K772" s="1282"/>
      <c r="L772" s="1282"/>
      <c r="M772" s="1282"/>
      <c r="N772" s="1282"/>
      <c r="O772" s="1282"/>
      <c r="P772" s="1282"/>
      <c r="Q772" s="1282"/>
      <c r="R772" s="1282"/>
      <c r="S772" s="1282"/>
      <c r="T772" s="1282"/>
      <c r="U772" s="1282"/>
      <c r="V772" s="1282"/>
      <c r="W772" s="1282"/>
      <c r="X772" s="1282"/>
      <c r="Y772" s="1282"/>
      <c r="Z772" s="1282"/>
    </row>
    <row r="773">
      <c r="A773" s="1282"/>
      <c r="B773" s="1282"/>
      <c r="C773" s="1282"/>
      <c r="D773" s="1282"/>
      <c r="E773" s="1282"/>
      <c r="F773" s="1282"/>
      <c r="G773" s="1282"/>
      <c r="H773" s="1282"/>
      <c r="I773" s="1282"/>
      <c r="J773" s="1282"/>
      <c r="K773" s="1282"/>
      <c r="L773" s="1282"/>
      <c r="M773" s="1282"/>
      <c r="N773" s="1282"/>
      <c r="O773" s="1282"/>
      <c r="P773" s="1282"/>
      <c r="Q773" s="1282"/>
      <c r="R773" s="1282"/>
      <c r="S773" s="1282"/>
      <c r="T773" s="1282"/>
      <c r="U773" s="1282"/>
      <c r="V773" s="1282"/>
      <c r="W773" s="1282"/>
      <c r="X773" s="1282"/>
      <c r="Y773" s="1282"/>
      <c r="Z773" s="1282"/>
    </row>
    <row r="774">
      <c r="A774" s="1282"/>
      <c r="B774" s="1282"/>
      <c r="C774" s="1282"/>
      <c r="D774" s="1282"/>
      <c r="E774" s="1282"/>
      <c r="F774" s="1282"/>
      <c r="G774" s="1282"/>
      <c r="H774" s="1282"/>
      <c r="I774" s="1282"/>
      <c r="J774" s="1282"/>
      <c r="K774" s="1282"/>
      <c r="L774" s="1282"/>
      <c r="M774" s="1282"/>
      <c r="N774" s="1282"/>
      <c r="O774" s="1282"/>
      <c r="P774" s="1282"/>
      <c r="Q774" s="1282"/>
      <c r="R774" s="1282"/>
      <c r="S774" s="1282"/>
      <c r="T774" s="1282"/>
      <c r="U774" s="1282"/>
      <c r="V774" s="1282"/>
      <c r="W774" s="1282"/>
      <c r="X774" s="1282"/>
      <c r="Y774" s="1282"/>
      <c r="Z774" s="1282"/>
    </row>
    <row r="775">
      <c r="A775" s="1282"/>
      <c r="B775" s="1282"/>
      <c r="C775" s="1282"/>
      <c r="D775" s="1282"/>
      <c r="E775" s="1282"/>
      <c r="F775" s="1282"/>
      <c r="G775" s="1282"/>
      <c r="H775" s="1282"/>
      <c r="I775" s="1282"/>
      <c r="J775" s="1282"/>
      <c r="K775" s="1282"/>
      <c r="L775" s="1282"/>
      <c r="M775" s="1282"/>
      <c r="N775" s="1282"/>
      <c r="O775" s="1282"/>
      <c r="P775" s="1282"/>
      <c r="Q775" s="1282"/>
      <c r="R775" s="1282"/>
      <c r="S775" s="1282"/>
      <c r="T775" s="1282"/>
      <c r="U775" s="1282"/>
      <c r="V775" s="1282"/>
      <c r="W775" s="1282"/>
      <c r="X775" s="1282"/>
      <c r="Y775" s="1282"/>
      <c r="Z775" s="1282"/>
    </row>
    <row r="776">
      <c r="A776" s="1282"/>
      <c r="B776" s="1282"/>
      <c r="C776" s="1282"/>
      <c r="D776" s="1282"/>
      <c r="E776" s="1282"/>
      <c r="F776" s="1282"/>
      <c r="G776" s="1282"/>
      <c r="H776" s="1282"/>
      <c r="I776" s="1282"/>
      <c r="J776" s="1282"/>
      <c r="K776" s="1282"/>
      <c r="L776" s="1282"/>
      <c r="M776" s="1282"/>
      <c r="N776" s="1282"/>
      <c r="O776" s="1282"/>
      <c r="P776" s="1282"/>
      <c r="Q776" s="1282"/>
      <c r="R776" s="1282"/>
      <c r="S776" s="1282"/>
      <c r="T776" s="1282"/>
      <c r="U776" s="1282"/>
      <c r="V776" s="1282"/>
      <c r="W776" s="1282"/>
      <c r="X776" s="1282"/>
      <c r="Y776" s="1282"/>
      <c r="Z776" s="1282"/>
    </row>
    <row r="777">
      <c r="A777" s="1282"/>
      <c r="B777" s="1282"/>
      <c r="C777" s="1282"/>
      <c r="D777" s="1282"/>
      <c r="E777" s="1282"/>
      <c r="F777" s="1282"/>
      <c r="G777" s="1282"/>
      <c r="H777" s="1282"/>
      <c r="I777" s="1282"/>
      <c r="J777" s="1282"/>
      <c r="K777" s="1282"/>
      <c r="L777" s="1282"/>
      <c r="M777" s="1282"/>
      <c r="N777" s="1282"/>
      <c r="O777" s="1282"/>
      <c r="P777" s="1282"/>
      <c r="Q777" s="1282"/>
      <c r="R777" s="1282"/>
      <c r="S777" s="1282"/>
      <c r="T777" s="1282"/>
      <c r="U777" s="1282"/>
      <c r="V777" s="1282"/>
      <c r="W777" s="1282"/>
      <c r="X777" s="1282"/>
      <c r="Y777" s="1282"/>
      <c r="Z777" s="1282"/>
    </row>
    <row r="778">
      <c r="A778" s="1282"/>
      <c r="B778" s="1282"/>
      <c r="C778" s="1282"/>
      <c r="D778" s="1282"/>
      <c r="E778" s="1282"/>
      <c r="F778" s="1282"/>
      <c r="G778" s="1282"/>
      <c r="H778" s="1282"/>
      <c r="I778" s="1282"/>
      <c r="J778" s="1282"/>
      <c r="K778" s="1282"/>
      <c r="L778" s="1282"/>
      <c r="M778" s="1282"/>
      <c r="N778" s="1282"/>
      <c r="O778" s="1282"/>
      <c r="P778" s="1282"/>
      <c r="Q778" s="1282"/>
      <c r="R778" s="1282"/>
      <c r="S778" s="1282"/>
      <c r="T778" s="1282"/>
      <c r="U778" s="1282"/>
      <c r="V778" s="1282"/>
      <c r="W778" s="1282"/>
      <c r="X778" s="1282"/>
      <c r="Y778" s="1282"/>
      <c r="Z778" s="1282"/>
    </row>
    <row r="779">
      <c r="A779" s="1282"/>
      <c r="B779" s="1282"/>
      <c r="C779" s="1282"/>
      <c r="D779" s="1282"/>
      <c r="E779" s="1282"/>
      <c r="F779" s="1282"/>
      <c r="G779" s="1282"/>
      <c r="H779" s="1282"/>
      <c r="I779" s="1282"/>
      <c r="J779" s="1282"/>
      <c r="K779" s="1282"/>
      <c r="L779" s="1282"/>
      <c r="M779" s="1282"/>
      <c r="N779" s="1282"/>
      <c r="O779" s="1282"/>
      <c r="P779" s="1282"/>
      <c r="Q779" s="1282"/>
      <c r="R779" s="1282"/>
      <c r="S779" s="1282"/>
      <c r="T779" s="1282"/>
      <c r="U779" s="1282"/>
      <c r="V779" s="1282"/>
      <c r="W779" s="1282"/>
      <c r="X779" s="1282"/>
      <c r="Y779" s="1282"/>
      <c r="Z779" s="1282"/>
    </row>
    <row r="780">
      <c r="A780" s="1282"/>
      <c r="B780" s="1282"/>
      <c r="C780" s="1282"/>
      <c r="D780" s="1282"/>
      <c r="E780" s="1282"/>
      <c r="F780" s="1282"/>
      <c r="G780" s="1282"/>
      <c r="H780" s="1282"/>
      <c r="I780" s="1282"/>
      <c r="J780" s="1282"/>
      <c r="K780" s="1282"/>
      <c r="L780" s="1282"/>
      <c r="M780" s="1282"/>
      <c r="N780" s="1282"/>
      <c r="O780" s="1282"/>
      <c r="P780" s="1282"/>
      <c r="Q780" s="1282"/>
      <c r="R780" s="1282"/>
      <c r="S780" s="1282"/>
      <c r="T780" s="1282"/>
      <c r="U780" s="1282"/>
      <c r="V780" s="1282"/>
      <c r="W780" s="1282"/>
      <c r="X780" s="1282"/>
      <c r="Y780" s="1282"/>
      <c r="Z780" s="1282"/>
    </row>
    <row r="781">
      <c r="A781" s="1282"/>
      <c r="B781" s="1282"/>
      <c r="C781" s="1282"/>
      <c r="D781" s="1282"/>
      <c r="E781" s="1282"/>
      <c r="F781" s="1282"/>
      <c r="G781" s="1282"/>
      <c r="H781" s="1282"/>
      <c r="I781" s="1282"/>
      <c r="J781" s="1282"/>
      <c r="K781" s="1282"/>
      <c r="L781" s="1282"/>
      <c r="M781" s="1282"/>
      <c r="N781" s="1282"/>
      <c r="O781" s="1282"/>
      <c r="P781" s="1282"/>
      <c r="Q781" s="1282"/>
      <c r="R781" s="1282"/>
      <c r="S781" s="1282"/>
      <c r="T781" s="1282"/>
      <c r="U781" s="1282"/>
      <c r="V781" s="1282"/>
      <c r="W781" s="1282"/>
      <c r="X781" s="1282"/>
      <c r="Y781" s="1282"/>
      <c r="Z781" s="1282"/>
    </row>
    <row r="782">
      <c r="A782" s="1282"/>
      <c r="B782" s="1282"/>
      <c r="C782" s="1282"/>
      <c r="D782" s="1282"/>
      <c r="E782" s="1282"/>
      <c r="F782" s="1282"/>
      <c r="G782" s="1282"/>
      <c r="H782" s="1282"/>
      <c r="I782" s="1282"/>
      <c r="J782" s="1282"/>
      <c r="K782" s="1282"/>
      <c r="L782" s="1282"/>
      <c r="M782" s="1282"/>
      <c r="N782" s="1282"/>
      <c r="O782" s="1282"/>
      <c r="P782" s="1282"/>
      <c r="Q782" s="1282"/>
      <c r="R782" s="1282"/>
      <c r="S782" s="1282"/>
      <c r="T782" s="1282"/>
      <c r="U782" s="1282"/>
      <c r="V782" s="1282"/>
      <c r="W782" s="1282"/>
      <c r="X782" s="1282"/>
      <c r="Y782" s="1282"/>
      <c r="Z782" s="1282"/>
    </row>
    <row r="783">
      <c r="A783" s="1282"/>
      <c r="B783" s="1282"/>
      <c r="C783" s="1282"/>
      <c r="D783" s="1282"/>
      <c r="E783" s="1282"/>
      <c r="F783" s="1282"/>
      <c r="G783" s="1282"/>
      <c r="H783" s="1282"/>
      <c r="I783" s="1282"/>
      <c r="J783" s="1282"/>
      <c r="K783" s="1282"/>
      <c r="L783" s="1282"/>
      <c r="M783" s="1282"/>
      <c r="N783" s="1282"/>
      <c r="O783" s="1282"/>
      <c r="P783" s="1282"/>
      <c r="Q783" s="1282"/>
      <c r="R783" s="1282"/>
      <c r="S783" s="1282"/>
      <c r="T783" s="1282"/>
      <c r="U783" s="1282"/>
      <c r="V783" s="1282"/>
      <c r="W783" s="1282"/>
      <c r="X783" s="1282"/>
      <c r="Y783" s="1282"/>
      <c r="Z783" s="1282"/>
    </row>
    <row r="784">
      <c r="A784" s="1282"/>
      <c r="B784" s="1282"/>
      <c r="C784" s="1282"/>
      <c r="D784" s="1282"/>
      <c r="E784" s="1282"/>
      <c r="F784" s="1282"/>
      <c r="G784" s="1282"/>
      <c r="H784" s="1282"/>
      <c r="I784" s="1282"/>
      <c r="J784" s="1282"/>
      <c r="K784" s="1282"/>
      <c r="L784" s="1282"/>
      <c r="M784" s="1282"/>
      <c r="N784" s="1282"/>
      <c r="O784" s="1282"/>
      <c r="P784" s="1282"/>
      <c r="Q784" s="1282"/>
      <c r="R784" s="1282"/>
      <c r="S784" s="1282"/>
      <c r="T784" s="1282"/>
      <c r="U784" s="1282"/>
      <c r="V784" s="1282"/>
      <c r="W784" s="1282"/>
      <c r="X784" s="1282"/>
      <c r="Y784" s="1282"/>
      <c r="Z784" s="1282"/>
    </row>
    <row r="785">
      <c r="A785" s="1282"/>
      <c r="B785" s="1282"/>
      <c r="C785" s="1282"/>
      <c r="D785" s="1282"/>
      <c r="E785" s="1282"/>
      <c r="F785" s="1282"/>
      <c r="G785" s="1282"/>
      <c r="H785" s="1282"/>
      <c r="I785" s="1282"/>
      <c r="J785" s="1282"/>
      <c r="K785" s="1282"/>
      <c r="L785" s="1282"/>
      <c r="M785" s="1282"/>
      <c r="N785" s="1282"/>
      <c r="O785" s="1282"/>
      <c r="P785" s="1282"/>
      <c r="Q785" s="1282"/>
      <c r="R785" s="1282"/>
      <c r="S785" s="1282"/>
      <c r="T785" s="1282"/>
      <c r="U785" s="1282"/>
      <c r="V785" s="1282"/>
      <c r="W785" s="1282"/>
      <c r="X785" s="1282"/>
      <c r="Y785" s="1282"/>
      <c r="Z785" s="1282"/>
    </row>
    <row r="786">
      <c r="A786" s="1282"/>
      <c r="B786" s="1282"/>
      <c r="C786" s="1282"/>
      <c r="D786" s="1282"/>
      <c r="E786" s="1282"/>
      <c r="F786" s="1282"/>
      <c r="G786" s="1282"/>
      <c r="H786" s="1282"/>
      <c r="I786" s="1282"/>
      <c r="J786" s="1282"/>
      <c r="K786" s="1282"/>
      <c r="L786" s="1282"/>
      <c r="M786" s="1282"/>
      <c r="N786" s="1282"/>
      <c r="O786" s="1282"/>
      <c r="P786" s="1282"/>
      <c r="Q786" s="1282"/>
      <c r="R786" s="1282"/>
      <c r="S786" s="1282"/>
      <c r="T786" s="1282"/>
      <c r="U786" s="1282"/>
      <c r="V786" s="1282"/>
      <c r="W786" s="1282"/>
      <c r="X786" s="1282"/>
      <c r="Y786" s="1282"/>
      <c r="Z786" s="1282"/>
    </row>
    <row r="787">
      <c r="A787" s="1282"/>
      <c r="B787" s="1282"/>
      <c r="C787" s="1282"/>
      <c r="D787" s="1282"/>
      <c r="E787" s="1282"/>
      <c r="F787" s="1282"/>
      <c r="G787" s="1282"/>
      <c r="H787" s="1282"/>
      <c r="I787" s="1282"/>
      <c r="J787" s="1282"/>
      <c r="K787" s="1282"/>
      <c r="L787" s="1282"/>
      <c r="M787" s="1282"/>
      <c r="N787" s="1282"/>
      <c r="O787" s="1282"/>
      <c r="P787" s="1282"/>
      <c r="Q787" s="1282"/>
      <c r="R787" s="1282"/>
      <c r="S787" s="1282"/>
      <c r="T787" s="1282"/>
      <c r="U787" s="1282"/>
      <c r="V787" s="1282"/>
      <c r="W787" s="1282"/>
      <c r="X787" s="1282"/>
      <c r="Y787" s="1282"/>
      <c r="Z787" s="1282"/>
    </row>
    <row r="788">
      <c r="A788" s="1282"/>
      <c r="B788" s="1282"/>
      <c r="C788" s="1282"/>
      <c r="D788" s="1282"/>
      <c r="E788" s="1282"/>
      <c r="F788" s="1282"/>
      <c r="G788" s="1282"/>
      <c r="H788" s="1282"/>
      <c r="I788" s="1282"/>
      <c r="J788" s="1282"/>
      <c r="K788" s="1282"/>
      <c r="L788" s="1282"/>
      <c r="M788" s="1282"/>
      <c r="N788" s="1282"/>
      <c r="O788" s="1282"/>
      <c r="P788" s="1282"/>
      <c r="Q788" s="1282"/>
      <c r="R788" s="1282"/>
      <c r="S788" s="1282"/>
      <c r="T788" s="1282"/>
      <c r="U788" s="1282"/>
      <c r="V788" s="1282"/>
      <c r="W788" s="1282"/>
      <c r="X788" s="1282"/>
      <c r="Y788" s="1282"/>
      <c r="Z788" s="1282"/>
    </row>
    <row r="789">
      <c r="A789" s="1282"/>
      <c r="B789" s="1282"/>
      <c r="C789" s="1282"/>
      <c r="D789" s="1282"/>
      <c r="E789" s="1282"/>
      <c r="F789" s="1282"/>
      <c r="G789" s="1282"/>
      <c r="H789" s="1282"/>
      <c r="I789" s="1282"/>
      <c r="J789" s="1282"/>
      <c r="K789" s="1282"/>
      <c r="L789" s="1282"/>
      <c r="M789" s="1282"/>
      <c r="N789" s="1282"/>
      <c r="O789" s="1282"/>
      <c r="P789" s="1282"/>
      <c r="Q789" s="1282"/>
      <c r="R789" s="1282"/>
      <c r="S789" s="1282"/>
      <c r="T789" s="1282"/>
      <c r="U789" s="1282"/>
      <c r="V789" s="1282"/>
      <c r="W789" s="1282"/>
      <c r="X789" s="1282"/>
      <c r="Y789" s="1282"/>
      <c r="Z789" s="1282"/>
    </row>
    <row r="790">
      <c r="A790" s="1282"/>
      <c r="B790" s="1282"/>
      <c r="C790" s="1282"/>
      <c r="D790" s="1282"/>
      <c r="E790" s="1282"/>
      <c r="F790" s="1282"/>
      <c r="G790" s="1282"/>
      <c r="H790" s="1282"/>
      <c r="I790" s="1282"/>
      <c r="J790" s="1282"/>
      <c r="K790" s="1282"/>
      <c r="L790" s="1282"/>
      <c r="M790" s="1282"/>
      <c r="N790" s="1282"/>
      <c r="O790" s="1282"/>
      <c r="P790" s="1282"/>
      <c r="Q790" s="1282"/>
      <c r="R790" s="1282"/>
      <c r="S790" s="1282"/>
      <c r="T790" s="1282"/>
      <c r="U790" s="1282"/>
      <c r="V790" s="1282"/>
      <c r="W790" s="1282"/>
      <c r="X790" s="1282"/>
      <c r="Y790" s="1282"/>
      <c r="Z790" s="1282"/>
    </row>
    <row r="791">
      <c r="A791" s="1282"/>
      <c r="B791" s="1282"/>
      <c r="C791" s="1282"/>
      <c r="D791" s="1282"/>
      <c r="E791" s="1282"/>
      <c r="F791" s="1282"/>
      <c r="G791" s="1282"/>
      <c r="H791" s="1282"/>
      <c r="I791" s="1282"/>
      <c r="J791" s="1282"/>
      <c r="K791" s="1282"/>
      <c r="L791" s="1282"/>
      <c r="M791" s="1282"/>
      <c r="N791" s="1282"/>
      <c r="O791" s="1282"/>
      <c r="P791" s="1282"/>
      <c r="Q791" s="1282"/>
      <c r="R791" s="1282"/>
      <c r="S791" s="1282"/>
      <c r="T791" s="1282"/>
      <c r="U791" s="1282"/>
      <c r="V791" s="1282"/>
      <c r="W791" s="1282"/>
      <c r="X791" s="1282"/>
      <c r="Y791" s="1282"/>
      <c r="Z791" s="1282"/>
    </row>
    <row r="792">
      <c r="A792" s="1282"/>
      <c r="B792" s="1282"/>
      <c r="C792" s="1282"/>
      <c r="D792" s="1282"/>
      <c r="E792" s="1282"/>
      <c r="F792" s="1282"/>
      <c r="G792" s="1282"/>
      <c r="H792" s="1282"/>
      <c r="I792" s="1282"/>
      <c r="J792" s="1282"/>
      <c r="K792" s="1282"/>
      <c r="L792" s="1282"/>
      <c r="M792" s="1282"/>
      <c r="N792" s="1282"/>
      <c r="O792" s="1282"/>
      <c r="P792" s="1282"/>
      <c r="Q792" s="1282"/>
      <c r="R792" s="1282"/>
      <c r="S792" s="1282"/>
      <c r="T792" s="1282"/>
      <c r="U792" s="1282"/>
      <c r="V792" s="1282"/>
      <c r="W792" s="1282"/>
      <c r="X792" s="1282"/>
      <c r="Y792" s="1282"/>
      <c r="Z792" s="1282"/>
    </row>
    <row r="793">
      <c r="A793" s="1282"/>
      <c r="B793" s="1282"/>
      <c r="C793" s="1282"/>
      <c r="D793" s="1282"/>
      <c r="E793" s="1282"/>
      <c r="F793" s="1282"/>
      <c r="G793" s="1282"/>
      <c r="H793" s="1282"/>
      <c r="I793" s="1282"/>
      <c r="J793" s="1282"/>
      <c r="K793" s="1282"/>
      <c r="L793" s="1282"/>
      <c r="M793" s="1282"/>
      <c r="N793" s="1282"/>
      <c r="O793" s="1282"/>
      <c r="P793" s="1282"/>
      <c r="Q793" s="1282"/>
      <c r="R793" s="1282"/>
      <c r="S793" s="1282"/>
      <c r="T793" s="1282"/>
      <c r="U793" s="1282"/>
      <c r="V793" s="1282"/>
      <c r="W793" s="1282"/>
      <c r="X793" s="1282"/>
      <c r="Y793" s="1282"/>
      <c r="Z793" s="1282"/>
    </row>
    <row r="794">
      <c r="A794" s="1282"/>
      <c r="B794" s="1282"/>
      <c r="C794" s="1282"/>
      <c r="D794" s="1282"/>
      <c r="E794" s="1282"/>
      <c r="F794" s="1282"/>
      <c r="G794" s="1282"/>
      <c r="H794" s="1282"/>
      <c r="I794" s="1282"/>
      <c r="J794" s="1282"/>
      <c r="K794" s="1282"/>
      <c r="L794" s="1282"/>
      <c r="M794" s="1282"/>
      <c r="N794" s="1282"/>
      <c r="O794" s="1282"/>
      <c r="P794" s="1282"/>
      <c r="Q794" s="1282"/>
      <c r="R794" s="1282"/>
      <c r="S794" s="1282"/>
      <c r="T794" s="1282"/>
      <c r="U794" s="1282"/>
      <c r="V794" s="1282"/>
      <c r="W794" s="1282"/>
      <c r="X794" s="1282"/>
      <c r="Y794" s="1282"/>
      <c r="Z794" s="1282"/>
    </row>
    <row r="795">
      <c r="A795" s="1282"/>
      <c r="B795" s="1282"/>
      <c r="C795" s="1282"/>
      <c r="D795" s="1282"/>
      <c r="E795" s="1282"/>
      <c r="F795" s="1282"/>
      <c r="G795" s="1282"/>
      <c r="H795" s="1282"/>
      <c r="I795" s="1282"/>
      <c r="J795" s="1282"/>
      <c r="K795" s="1282"/>
      <c r="L795" s="1282"/>
      <c r="M795" s="1282"/>
      <c r="N795" s="1282"/>
      <c r="O795" s="1282"/>
      <c r="P795" s="1282"/>
      <c r="Q795" s="1282"/>
      <c r="R795" s="1282"/>
      <c r="S795" s="1282"/>
      <c r="T795" s="1282"/>
      <c r="U795" s="1282"/>
      <c r="V795" s="1282"/>
      <c r="W795" s="1282"/>
      <c r="X795" s="1282"/>
      <c r="Y795" s="1282"/>
      <c r="Z795" s="1282"/>
    </row>
    <row r="796">
      <c r="A796" s="1282"/>
      <c r="B796" s="1282"/>
      <c r="C796" s="1282"/>
      <c r="D796" s="1282"/>
      <c r="E796" s="1282"/>
      <c r="F796" s="1282"/>
      <c r="G796" s="1282"/>
      <c r="H796" s="1282"/>
      <c r="I796" s="1282"/>
      <c r="J796" s="1282"/>
      <c r="K796" s="1282"/>
      <c r="L796" s="1282"/>
      <c r="M796" s="1282"/>
      <c r="N796" s="1282"/>
      <c r="O796" s="1282"/>
      <c r="P796" s="1282"/>
      <c r="Q796" s="1282"/>
      <c r="R796" s="1282"/>
      <c r="S796" s="1282"/>
      <c r="T796" s="1282"/>
      <c r="U796" s="1282"/>
      <c r="V796" s="1282"/>
      <c r="W796" s="1282"/>
      <c r="X796" s="1282"/>
      <c r="Y796" s="1282"/>
      <c r="Z796" s="1282"/>
    </row>
    <row r="797">
      <c r="A797" s="1282"/>
      <c r="B797" s="1282"/>
      <c r="C797" s="1282"/>
      <c r="D797" s="1282"/>
      <c r="E797" s="1282"/>
      <c r="F797" s="1282"/>
      <c r="G797" s="1282"/>
      <c r="H797" s="1282"/>
      <c r="I797" s="1282"/>
      <c r="J797" s="1282"/>
      <c r="K797" s="1282"/>
      <c r="L797" s="1282"/>
      <c r="M797" s="1282"/>
      <c r="N797" s="1282"/>
      <c r="O797" s="1282"/>
      <c r="P797" s="1282"/>
      <c r="Q797" s="1282"/>
      <c r="R797" s="1282"/>
      <c r="S797" s="1282"/>
      <c r="T797" s="1282"/>
      <c r="U797" s="1282"/>
      <c r="V797" s="1282"/>
      <c r="W797" s="1282"/>
      <c r="X797" s="1282"/>
      <c r="Y797" s="1282"/>
      <c r="Z797" s="1282"/>
    </row>
    <row r="798">
      <c r="A798" s="1282"/>
      <c r="B798" s="1282"/>
      <c r="C798" s="1282"/>
      <c r="D798" s="1282"/>
      <c r="E798" s="1282"/>
      <c r="F798" s="1282"/>
      <c r="G798" s="1282"/>
      <c r="H798" s="1282"/>
      <c r="I798" s="1282"/>
      <c r="J798" s="1282"/>
      <c r="K798" s="1282"/>
      <c r="L798" s="1282"/>
      <c r="M798" s="1282"/>
      <c r="N798" s="1282"/>
      <c r="O798" s="1282"/>
      <c r="P798" s="1282"/>
      <c r="Q798" s="1282"/>
      <c r="R798" s="1282"/>
      <c r="S798" s="1282"/>
      <c r="T798" s="1282"/>
      <c r="U798" s="1282"/>
      <c r="V798" s="1282"/>
      <c r="W798" s="1282"/>
      <c r="X798" s="1282"/>
      <c r="Y798" s="1282"/>
      <c r="Z798" s="1282"/>
    </row>
    <row r="799">
      <c r="A799" s="1282"/>
      <c r="B799" s="1282"/>
      <c r="C799" s="1282"/>
      <c r="D799" s="1282"/>
      <c r="E799" s="1282"/>
      <c r="F799" s="1282"/>
      <c r="G799" s="1282"/>
      <c r="H799" s="1282"/>
      <c r="I799" s="1282"/>
      <c r="J799" s="1282"/>
      <c r="K799" s="1282"/>
      <c r="L799" s="1282"/>
      <c r="M799" s="1282"/>
      <c r="N799" s="1282"/>
      <c r="O799" s="1282"/>
      <c r="P799" s="1282"/>
      <c r="Q799" s="1282"/>
      <c r="R799" s="1282"/>
      <c r="S799" s="1282"/>
      <c r="T799" s="1282"/>
      <c r="U799" s="1282"/>
      <c r="V799" s="1282"/>
      <c r="W799" s="1282"/>
      <c r="X799" s="1282"/>
      <c r="Y799" s="1282"/>
      <c r="Z799" s="1282"/>
    </row>
    <row r="800">
      <c r="A800" s="1282"/>
      <c r="B800" s="1282"/>
      <c r="C800" s="1282"/>
      <c r="D800" s="1282"/>
      <c r="E800" s="1282"/>
      <c r="F800" s="1282"/>
      <c r="G800" s="1282"/>
      <c r="H800" s="1282"/>
      <c r="I800" s="1282"/>
      <c r="J800" s="1282"/>
      <c r="K800" s="1282"/>
      <c r="L800" s="1282"/>
      <c r="M800" s="1282"/>
      <c r="N800" s="1282"/>
      <c r="O800" s="1282"/>
      <c r="P800" s="1282"/>
      <c r="Q800" s="1282"/>
      <c r="R800" s="1282"/>
      <c r="S800" s="1282"/>
      <c r="T800" s="1282"/>
      <c r="U800" s="1282"/>
      <c r="V800" s="1282"/>
      <c r="W800" s="1282"/>
      <c r="X800" s="1282"/>
      <c r="Y800" s="1282"/>
      <c r="Z800" s="1282"/>
    </row>
    <row r="801">
      <c r="A801" s="1282"/>
      <c r="B801" s="1282"/>
      <c r="C801" s="1282"/>
      <c r="D801" s="1282"/>
      <c r="E801" s="1282"/>
      <c r="F801" s="1282"/>
      <c r="G801" s="1282"/>
      <c r="H801" s="1282"/>
      <c r="I801" s="1282"/>
      <c r="J801" s="1282"/>
      <c r="K801" s="1282"/>
      <c r="L801" s="1282"/>
      <c r="M801" s="1282"/>
      <c r="N801" s="1282"/>
      <c r="O801" s="1282"/>
      <c r="P801" s="1282"/>
      <c r="Q801" s="1282"/>
      <c r="R801" s="1282"/>
      <c r="S801" s="1282"/>
      <c r="T801" s="1282"/>
      <c r="U801" s="1282"/>
      <c r="V801" s="1282"/>
      <c r="W801" s="1282"/>
      <c r="X801" s="1282"/>
      <c r="Y801" s="1282"/>
      <c r="Z801" s="1282"/>
    </row>
    <row r="802">
      <c r="A802" s="1282"/>
      <c r="B802" s="1282"/>
      <c r="C802" s="1282"/>
      <c r="D802" s="1282"/>
      <c r="E802" s="1282"/>
      <c r="F802" s="1282"/>
      <c r="G802" s="1282"/>
      <c r="H802" s="1282"/>
      <c r="I802" s="1282"/>
      <c r="J802" s="1282"/>
      <c r="K802" s="1282"/>
      <c r="L802" s="1282"/>
      <c r="M802" s="1282"/>
      <c r="N802" s="1282"/>
      <c r="O802" s="1282"/>
      <c r="P802" s="1282"/>
      <c r="Q802" s="1282"/>
      <c r="R802" s="1282"/>
      <c r="S802" s="1282"/>
      <c r="T802" s="1282"/>
      <c r="U802" s="1282"/>
      <c r="V802" s="1282"/>
      <c r="W802" s="1282"/>
      <c r="X802" s="1282"/>
      <c r="Y802" s="1282"/>
      <c r="Z802" s="1282"/>
    </row>
    <row r="803">
      <c r="A803" s="1282"/>
      <c r="B803" s="1282"/>
      <c r="C803" s="1282"/>
      <c r="D803" s="1282"/>
      <c r="E803" s="1282"/>
      <c r="F803" s="1282"/>
      <c r="G803" s="1282"/>
      <c r="H803" s="1282"/>
      <c r="I803" s="1282"/>
      <c r="J803" s="1282"/>
      <c r="K803" s="1282"/>
      <c r="L803" s="1282"/>
      <c r="M803" s="1282"/>
      <c r="N803" s="1282"/>
      <c r="O803" s="1282"/>
      <c r="P803" s="1282"/>
      <c r="Q803" s="1282"/>
      <c r="R803" s="1282"/>
      <c r="S803" s="1282"/>
      <c r="T803" s="1282"/>
      <c r="U803" s="1282"/>
      <c r="V803" s="1282"/>
      <c r="W803" s="1282"/>
      <c r="X803" s="1282"/>
      <c r="Y803" s="1282"/>
      <c r="Z803" s="1282"/>
    </row>
    <row r="804">
      <c r="A804" s="1282"/>
      <c r="B804" s="1282"/>
      <c r="C804" s="1282"/>
      <c r="D804" s="1282"/>
      <c r="E804" s="1282"/>
      <c r="F804" s="1282"/>
      <c r="G804" s="1282"/>
      <c r="H804" s="1282"/>
      <c r="I804" s="1282"/>
      <c r="J804" s="1282"/>
      <c r="K804" s="1282"/>
      <c r="L804" s="1282"/>
      <c r="M804" s="1282"/>
      <c r="N804" s="1282"/>
      <c r="O804" s="1282"/>
      <c r="P804" s="1282"/>
      <c r="Q804" s="1282"/>
      <c r="R804" s="1282"/>
      <c r="S804" s="1282"/>
      <c r="T804" s="1282"/>
      <c r="U804" s="1282"/>
      <c r="V804" s="1282"/>
      <c r="W804" s="1282"/>
      <c r="X804" s="1282"/>
      <c r="Y804" s="1282"/>
      <c r="Z804" s="1282"/>
    </row>
    <row r="805">
      <c r="A805" s="1282"/>
      <c r="B805" s="1282"/>
      <c r="C805" s="1282"/>
      <c r="D805" s="1282"/>
      <c r="E805" s="1282"/>
      <c r="F805" s="1282"/>
      <c r="G805" s="1282"/>
      <c r="H805" s="1282"/>
      <c r="I805" s="1282"/>
      <c r="J805" s="1282"/>
      <c r="K805" s="1282"/>
      <c r="L805" s="1282"/>
      <c r="M805" s="1282"/>
      <c r="N805" s="1282"/>
      <c r="O805" s="1282"/>
      <c r="P805" s="1282"/>
      <c r="Q805" s="1282"/>
      <c r="R805" s="1282"/>
      <c r="S805" s="1282"/>
      <c r="T805" s="1282"/>
      <c r="U805" s="1282"/>
      <c r="V805" s="1282"/>
      <c r="W805" s="1282"/>
      <c r="X805" s="1282"/>
      <c r="Y805" s="1282"/>
      <c r="Z805" s="1282"/>
    </row>
    <row r="806">
      <c r="A806" s="1282"/>
      <c r="B806" s="1282"/>
      <c r="C806" s="1282"/>
      <c r="D806" s="1282"/>
      <c r="E806" s="1282"/>
      <c r="F806" s="1282"/>
      <c r="G806" s="1282"/>
      <c r="H806" s="1282"/>
      <c r="I806" s="1282"/>
      <c r="J806" s="1282"/>
      <c r="K806" s="1282"/>
      <c r="L806" s="1282"/>
      <c r="M806" s="1282"/>
      <c r="N806" s="1282"/>
      <c r="O806" s="1282"/>
      <c r="P806" s="1282"/>
      <c r="Q806" s="1282"/>
      <c r="R806" s="1282"/>
      <c r="S806" s="1282"/>
      <c r="T806" s="1282"/>
      <c r="U806" s="1282"/>
      <c r="V806" s="1282"/>
      <c r="W806" s="1282"/>
      <c r="X806" s="1282"/>
      <c r="Y806" s="1282"/>
      <c r="Z806" s="1282"/>
    </row>
    <row r="807">
      <c r="A807" s="1282"/>
      <c r="B807" s="1282"/>
      <c r="C807" s="1282"/>
      <c r="D807" s="1282"/>
      <c r="E807" s="1282"/>
      <c r="F807" s="1282"/>
      <c r="G807" s="1282"/>
      <c r="H807" s="1282"/>
      <c r="I807" s="1282"/>
      <c r="J807" s="1282"/>
      <c r="K807" s="1282"/>
      <c r="L807" s="1282"/>
      <c r="M807" s="1282"/>
      <c r="N807" s="1282"/>
      <c r="O807" s="1282"/>
      <c r="P807" s="1282"/>
      <c r="Q807" s="1282"/>
      <c r="R807" s="1282"/>
      <c r="S807" s="1282"/>
      <c r="T807" s="1282"/>
      <c r="U807" s="1282"/>
      <c r="V807" s="1282"/>
      <c r="W807" s="1282"/>
      <c r="X807" s="1282"/>
      <c r="Y807" s="1282"/>
      <c r="Z807" s="1282"/>
    </row>
    <row r="808">
      <c r="A808" s="1282"/>
      <c r="B808" s="1282"/>
      <c r="C808" s="1282"/>
      <c r="D808" s="1282"/>
      <c r="E808" s="1282"/>
      <c r="F808" s="1282"/>
      <c r="G808" s="1282"/>
      <c r="H808" s="1282"/>
      <c r="I808" s="1282"/>
      <c r="J808" s="1282"/>
      <c r="K808" s="1282"/>
      <c r="L808" s="1282"/>
      <c r="M808" s="1282"/>
      <c r="N808" s="1282"/>
      <c r="O808" s="1282"/>
      <c r="P808" s="1282"/>
      <c r="Q808" s="1282"/>
      <c r="R808" s="1282"/>
      <c r="S808" s="1282"/>
      <c r="T808" s="1282"/>
      <c r="U808" s="1282"/>
      <c r="V808" s="1282"/>
      <c r="W808" s="1282"/>
      <c r="X808" s="1282"/>
      <c r="Y808" s="1282"/>
      <c r="Z808" s="1282"/>
    </row>
    <row r="809">
      <c r="A809" s="1282"/>
      <c r="B809" s="1282"/>
      <c r="C809" s="1282"/>
      <c r="D809" s="1282"/>
      <c r="E809" s="1282"/>
      <c r="F809" s="1282"/>
      <c r="G809" s="1282"/>
      <c r="H809" s="1282"/>
      <c r="I809" s="1282"/>
      <c r="J809" s="1282"/>
      <c r="K809" s="1282"/>
      <c r="L809" s="1282"/>
      <c r="M809" s="1282"/>
      <c r="N809" s="1282"/>
      <c r="O809" s="1282"/>
      <c r="P809" s="1282"/>
      <c r="Q809" s="1282"/>
      <c r="R809" s="1282"/>
      <c r="S809" s="1282"/>
      <c r="T809" s="1282"/>
      <c r="U809" s="1282"/>
      <c r="V809" s="1282"/>
      <c r="W809" s="1282"/>
      <c r="X809" s="1282"/>
      <c r="Y809" s="1282"/>
      <c r="Z809" s="1282"/>
    </row>
    <row r="810">
      <c r="A810" s="1282"/>
      <c r="B810" s="1282"/>
      <c r="C810" s="1282"/>
      <c r="D810" s="1282"/>
      <c r="E810" s="1282"/>
      <c r="F810" s="1282"/>
      <c r="G810" s="1282"/>
      <c r="H810" s="1282"/>
      <c r="I810" s="1282"/>
      <c r="J810" s="1282"/>
      <c r="K810" s="1282"/>
      <c r="L810" s="1282"/>
      <c r="M810" s="1282"/>
      <c r="N810" s="1282"/>
      <c r="O810" s="1282"/>
      <c r="P810" s="1282"/>
      <c r="Q810" s="1282"/>
      <c r="R810" s="1282"/>
      <c r="S810" s="1282"/>
      <c r="T810" s="1282"/>
      <c r="U810" s="1282"/>
      <c r="V810" s="1282"/>
      <c r="W810" s="1282"/>
      <c r="X810" s="1282"/>
      <c r="Y810" s="1282"/>
      <c r="Z810" s="1282"/>
    </row>
    <row r="811">
      <c r="A811" s="1282"/>
      <c r="B811" s="1282"/>
      <c r="C811" s="1282"/>
      <c r="D811" s="1282"/>
      <c r="E811" s="1282"/>
      <c r="F811" s="1282"/>
      <c r="G811" s="1282"/>
      <c r="H811" s="1282"/>
      <c r="I811" s="1282"/>
      <c r="J811" s="1282"/>
      <c r="K811" s="1282"/>
      <c r="L811" s="1282"/>
      <c r="M811" s="1282"/>
      <c r="N811" s="1282"/>
      <c r="O811" s="1282"/>
      <c r="P811" s="1282"/>
      <c r="Q811" s="1282"/>
      <c r="R811" s="1282"/>
      <c r="S811" s="1282"/>
      <c r="T811" s="1282"/>
      <c r="U811" s="1282"/>
      <c r="V811" s="1282"/>
      <c r="W811" s="1282"/>
      <c r="X811" s="1282"/>
      <c r="Y811" s="1282"/>
      <c r="Z811" s="1282"/>
    </row>
    <row r="812">
      <c r="A812" s="1282"/>
      <c r="B812" s="1282"/>
      <c r="C812" s="1282"/>
      <c r="D812" s="1282"/>
      <c r="E812" s="1282"/>
      <c r="F812" s="1282"/>
      <c r="G812" s="1282"/>
      <c r="H812" s="1282"/>
      <c r="I812" s="1282"/>
      <c r="J812" s="1282"/>
      <c r="K812" s="1282"/>
      <c r="L812" s="1282"/>
      <c r="M812" s="1282"/>
      <c r="N812" s="1282"/>
      <c r="O812" s="1282"/>
      <c r="P812" s="1282"/>
      <c r="Q812" s="1282"/>
      <c r="R812" s="1282"/>
      <c r="S812" s="1282"/>
      <c r="T812" s="1282"/>
      <c r="U812" s="1282"/>
      <c r="V812" s="1282"/>
      <c r="W812" s="1282"/>
      <c r="X812" s="1282"/>
      <c r="Y812" s="1282"/>
      <c r="Z812" s="1282"/>
    </row>
    <row r="813">
      <c r="A813" s="1282"/>
      <c r="B813" s="1282"/>
      <c r="C813" s="1282"/>
      <c r="D813" s="1282"/>
      <c r="E813" s="1282"/>
      <c r="F813" s="1282"/>
      <c r="G813" s="1282"/>
      <c r="H813" s="1282"/>
      <c r="I813" s="1282"/>
      <c r="J813" s="1282"/>
      <c r="K813" s="1282"/>
      <c r="L813" s="1282"/>
      <c r="M813" s="1282"/>
      <c r="N813" s="1282"/>
      <c r="O813" s="1282"/>
      <c r="P813" s="1282"/>
      <c r="Q813" s="1282"/>
      <c r="R813" s="1282"/>
      <c r="S813" s="1282"/>
      <c r="T813" s="1282"/>
      <c r="U813" s="1282"/>
      <c r="V813" s="1282"/>
      <c r="W813" s="1282"/>
      <c r="X813" s="1282"/>
      <c r="Y813" s="1282"/>
      <c r="Z813" s="1282"/>
    </row>
    <row r="814">
      <c r="A814" s="1282"/>
      <c r="B814" s="1282"/>
      <c r="C814" s="1282"/>
      <c r="D814" s="1282"/>
      <c r="E814" s="1282"/>
      <c r="F814" s="1282"/>
      <c r="G814" s="1282"/>
      <c r="H814" s="1282"/>
      <c r="I814" s="1282"/>
      <c r="J814" s="1282"/>
      <c r="K814" s="1282"/>
      <c r="L814" s="1282"/>
      <c r="M814" s="1282"/>
      <c r="N814" s="1282"/>
      <c r="O814" s="1282"/>
      <c r="P814" s="1282"/>
      <c r="Q814" s="1282"/>
      <c r="R814" s="1282"/>
      <c r="S814" s="1282"/>
      <c r="T814" s="1282"/>
      <c r="U814" s="1282"/>
      <c r="V814" s="1282"/>
      <c r="W814" s="1282"/>
      <c r="X814" s="1282"/>
      <c r="Y814" s="1282"/>
      <c r="Z814" s="1282"/>
    </row>
    <row r="815">
      <c r="A815" s="1282"/>
      <c r="B815" s="1282"/>
      <c r="C815" s="1282"/>
      <c r="D815" s="1282"/>
      <c r="E815" s="1282"/>
      <c r="F815" s="1282"/>
      <c r="G815" s="1282"/>
      <c r="H815" s="1282"/>
      <c r="I815" s="1282"/>
      <c r="J815" s="1282"/>
      <c r="K815" s="1282"/>
      <c r="L815" s="1282"/>
      <c r="M815" s="1282"/>
      <c r="N815" s="1282"/>
      <c r="O815" s="1282"/>
      <c r="P815" s="1282"/>
      <c r="Q815" s="1282"/>
      <c r="R815" s="1282"/>
      <c r="S815" s="1282"/>
      <c r="T815" s="1282"/>
      <c r="U815" s="1282"/>
      <c r="V815" s="1282"/>
      <c r="W815" s="1282"/>
      <c r="X815" s="1282"/>
      <c r="Y815" s="1282"/>
      <c r="Z815" s="1282"/>
    </row>
    <row r="816">
      <c r="A816" s="1282"/>
      <c r="B816" s="1282"/>
      <c r="C816" s="1282"/>
      <c r="D816" s="1282"/>
      <c r="E816" s="1282"/>
      <c r="F816" s="1282"/>
      <c r="G816" s="1282"/>
      <c r="H816" s="1282"/>
      <c r="I816" s="1282"/>
      <c r="J816" s="1282"/>
      <c r="K816" s="1282"/>
      <c r="L816" s="1282"/>
      <c r="M816" s="1282"/>
      <c r="N816" s="1282"/>
      <c r="O816" s="1282"/>
      <c r="P816" s="1282"/>
      <c r="Q816" s="1282"/>
      <c r="R816" s="1282"/>
      <c r="S816" s="1282"/>
      <c r="T816" s="1282"/>
      <c r="U816" s="1282"/>
      <c r="V816" s="1282"/>
      <c r="W816" s="1282"/>
      <c r="X816" s="1282"/>
      <c r="Y816" s="1282"/>
      <c r="Z816" s="1282"/>
    </row>
    <row r="817">
      <c r="A817" s="1282"/>
      <c r="B817" s="1282"/>
      <c r="C817" s="1282"/>
      <c r="D817" s="1282"/>
      <c r="E817" s="1282"/>
      <c r="F817" s="1282"/>
      <c r="G817" s="1282"/>
      <c r="H817" s="1282"/>
      <c r="I817" s="1282"/>
      <c r="J817" s="1282"/>
      <c r="K817" s="1282"/>
      <c r="L817" s="1282"/>
      <c r="M817" s="1282"/>
      <c r="N817" s="1282"/>
      <c r="O817" s="1282"/>
      <c r="P817" s="1282"/>
      <c r="Q817" s="1282"/>
      <c r="R817" s="1282"/>
      <c r="S817" s="1282"/>
      <c r="T817" s="1282"/>
      <c r="U817" s="1282"/>
      <c r="V817" s="1282"/>
      <c r="W817" s="1282"/>
      <c r="X817" s="1282"/>
      <c r="Y817" s="1282"/>
      <c r="Z817" s="1282"/>
    </row>
    <row r="818">
      <c r="A818" s="1282"/>
      <c r="B818" s="1282"/>
      <c r="C818" s="1282"/>
      <c r="D818" s="1282"/>
      <c r="E818" s="1282"/>
      <c r="F818" s="1282"/>
      <c r="G818" s="1282"/>
      <c r="H818" s="1282"/>
      <c r="I818" s="1282"/>
      <c r="J818" s="1282"/>
      <c r="K818" s="1282"/>
      <c r="L818" s="1282"/>
      <c r="M818" s="1282"/>
      <c r="N818" s="1282"/>
      <c r="O818" s="1282"/>
      <c r="P818" s="1282"/>
      <c r="Q818" s="1282"/>
      <c r="R818" s="1282"/>
      <c r="S818" s="1282"/>
      <c r="T818" s="1282"/>
      <c r="U818" s="1282"/>
      <c r="V818" s="1282"/>
      <c r="W818" s="1282"/>
      <c r="X818" s="1282"/>
      <c r="Y818" s="1282"/>
      <c r="Z818" s="1282"/>
    </row>
    <row r="819">
      <c r="A819" s="1282"/>
      <c r="B819" s="1282"/>
      <c r="C819" s="1282"/>
      <c r="D819" s="1282"/>
      <c r="E819" s="1282"/>
      <c r="F819" s="1282"/>
      <c r="G819" s="1282"/>
      <c r="H819" s="1282"/>
      <c r="I819" s="1282"/>
      <c r="J819" s="1282"/>
      <c r="K819" s="1282"/>
      <c r="L819" s="1282"/>
      <c r="M819" s="1282"/>
      <c r="N819" s="1282"/>
      <c r="O819" s="1282"/>
      <c r="P819" s="1282"/>
      <c r="Q819" s="1282"/>
      <c r="R819" s="1282"/>
      <c r="S819" s="1282"/>
      <c r="T819" s="1282"/>
      <c r="U819" s="1282"/>
      <c r="V819" s="1282"/>
      <c r="W819" s="1282"/>
      <c r="X819" s="1282"/>
      <c r="Y819" s="1282"/>
      <c r="Z819" s="1282"/>
    </row>
    <row r="820">
      <c r="A820" s="1282"/>
      <c r="B820" s="1282"/>
      <c r="C820" s="1282"/>
      <c r="D820" s="1282"/>
      <c r="E820" s="1282"/>
      <c r="F820" s="1282"/>
      <c r="G820" s="1282"/>
      <c r="H820" s="1282"/>
      <c r="I820" s="1282"/>
      <c r="J820" s="1282"/>
      <c r="K820" s="1282"/>
      <c r="L820" s="1282"/>
      <c r="M820" s="1282"/>
      <c r="N820" s="1282"/>
      <c r="O820" s="1282"/>
      <c r="P820" s="1282"/>
      <c r="Q820" s="1282"/>
      <c r="R820" s="1282"/>
      <c r="S820" s="1282"/>
      <c r="T820" s="1282"/>
      <c r="U820" s="1282"/>
      <c r="V820" s="1282"/>
      <c r="W820" s="1282"/>
      <c r="X820" s="1282"/>
      <c r="Y820" s="1282"/>
      <c r="Z820" s="1282"/>
    </row>
    <row r="821">
      <c r="A821" s="1282"/>
      <c r="B821" s="1282"/>
      <c r="C821" s="1282"/>
      <c r="D821" s="1282"/>
      <c r="E821" s="1282"/>
      <c r="F821" s="1282"/>
      <c r="G821" s="1282"/>
      <c r="H821" s="1282"/>
      <c r="I821" s="1282"/>
      <c r="J821" s="1282"/>
      <c r="K821" s="1282"/>
      <c r="L821" s="1282"/>
      <c r="M821" s="1282"/>
      <c r="N821" s="1282"/>
      <c r="O821" s="1282"/>
      <c r="P821" s="1282"/>
      <c r="Q821" s="1282"/>
      <c r="R821" s="1282"/>
      <c r="S821" s="1282"/>
      <c r="T821" s="1282"/>
      <c r="U821" s="1282"/>
      <c r="V821" s="1282"/>
      <c r="W821" s="1282"/>
      <c r="X821" s="1282"/>
      <c r="Y821" s="1282"/>
      <c r="Z821" s="1282"/>
    </row>
    <row r="822">
      <c r="A822" s="1282"/>
      <c r="B822" s="1282"/>
      <c r="C822" s="1282"/>
      <c r="D822" s="1282"/>
      <c r="E822" s="1282"/>
      <c r="F822" s="1282"/>
      <c r="G822" s="1282"/>
      <c r="H822" s="1282"/>
      <c r="I822" s="1282"/>
      <c r="J822" s="1282"/>
      <c r="K822" s="1282"/>
      <c r="L822" s="1282"/>
      <c r="M822" s="1282"/>
      <c r="N822" s="1282"/>
      <c r="O822" s="1282"/>
      <c r="P822" s="1282"/>
      <c r="Q822" s="1282"/>
      <c r="R822" s="1282"/>
      <c r="S822" s="1282"/>
      <c r="T822" s="1282"/>
      <c r="U822" s="1282"/>
      <c r="V822" s="1282"/>
      <c r="W822" s="1282"/>
      <c r="X822" s="1282"/>
      <c r="Y822" s="1282"/>
      <c r="Z822" s="1282"/>
    </row>
    <row r="823">
      <c r="A823" s="1282"/>
      <c r="B823" s="1282"/>
      <c r="C823" s="1282"/>
      <c r="D823" s="1282"/>
      <c r="E823" s="1282"/>
      <c r="F823" s="1282"/>
      <c r="G823" s="1282"/>
      <c r="H823" s="1282"/>
      <c r="I823" s="1282"/>
      <c r="J823" s="1282"/>
      <c r="K823" s="1282"/>
      <c r="L823" s="1282"/>
      <c r="M823" s="1282"/>
      <c r="N823" s="1282"/>
      <c r="O823" s="1282"/>
      <c r="P823" s="1282"/>
      <c r="Q823" s="1282"/>
      <c r="R823" s="1282"/>
      <c r="S823" s="1282"/>
      <c r="T823" s="1282"/>
      <c r="U823" s="1282"/>
      <c r="V823" s="1282"/>
      <c r="W823" s="1282"/>
      <c r="X823" s="1282"/>
      <c r="Y823" s="1282"/>
      <c r="Z823" s="1282"/>
    </row>
    <row r="824">
      <c r="A824" s="1282"/>
      <c r="B824" s="1282"/>
      <c r="C824" s="1282"/>
      <c r="D824" s="1282"/>
      <c r="E824" s="1282"/>
      <c r="F824" s="1282"/>
      <c r="G824" s="1282"/>
      <c r="H824" s="1282"/>
      <c r="I824" s="1282"/>
      <c r="J824" s="1282"/>
      <c r="K824" s="1282"/>
      <c r="L824" s="1282"/>
      <c r="M824" s="1282"/>
      <c r="N824" s="1282"/>
      <c r="O824" s="1282"/>
      <c r="P824" s="1282"/>
      <c r="Q824" s="1282"/>
      <c r="R824" s="1282"/>
      <c r="S824" s="1282"/>
      <c r="T824" s="1282"/>
      <c r="U824" s="1282"/>
      <c r="V824" s="1282"/>
      <c r="W824" s="1282"/>
      <c r="X824" s="1282"/>
      <c r="Y824" s="1282"/>
      <c r="Z824" s="1282"/>
    </row>
    <row r="825">
      <c r="A825" s="1282"/>
      <c r="B825" s="1282"/>
      <c r="C825" s="1282"/>
      <c r="D825" s="1282"/>
      <c r="E825" s="1282"/>
      <c r="F825" s="1282"/>
      <c r="G825" s="1282"/>
      <c r="H825" s="1282"/>
      <c r="I825" s="1282"/>
      <c r="J825" s="1282"/>
      <c r="K825" s="1282"/>
      <c r="L825" s="1282"/>
      <c r="M825" s="1282"/>
      <c r="N825" s="1282"/>
      <c r="O825" s="1282"/>
      <c r="P825" s="1282"/>
      <c r="Q825" s="1282"/>
      <c r="R825" s="1282"/>
      <c r="S825" s="1282"/>
      <c r="T825" s="1282"/>
      <c r="U825" s="1282"/>
      <c r="V825" s="1282"/>
      <c r="W825" s="1282"/>
      <c r="X825" s="1282"/>
      <c r="Y825" s="1282"/>
      <c r="Z825" s="1282"/>
    </row>
    <row r="826">
      <c r="A826" s="1282"/>
      <c r="B826" s="1282"/>
      <c r="C826" s="1282"/>
      <c r="D826" s="1282"/>
      <c r="E826" s="1282"/>
      <c r="F826" s="1282"/>
      <c r="G826" s="1282"/>
      <c r="H826" s="1282"/>
      <c r="I826" s="1282"/>
      <c r="J826" s="1282"/>
      <c r="K826" s="1282"/>
      <c r="L826" s="1282"/>
      <c r="M826" s="1282"/>
      <c r="N826" s="1282"/>
      <c r="O826" s="1282"/>
      <c r="P826" s="1282"/>
      <c r="Q826" s="1282"/>
      <c r="R826" s="1282"/>
      <c r="S826" s="1282"/>
      <c r="T826" s="1282"/>
      <c r="U826" s="1282"/>
      <c r="V826" s="1282"/>
      <c r="W826" s="1282"/>
      <c r="X826" s="1282"/>
      <c r="Y826" s="1282"/>
      <c r="Z826" s="1282"/>
    </row>
    <row r="827">
      <c r="A827" s="1282"/>
      <c r="B827" s="1282"/>
      <c r="C827" s="1282"/>
      <c r="D827" s="1282"/>
      <c r="E827" s="1282"/>
      <c r="F827" s="1282"/>
      <c r="G827" s="1282"/>
      <c r="H827" s="1282"/>
      <c r="I827" s="1282"/>
      <c r="J827" s="1282"/>
      <c r="K827" s="1282"/>
      <c r="L827" s="1282"/>
      <c r="M827" s="1282"/>
      <c r="N827" s="1282"/>
      <c r="O827" s="1282"/>
      <c r="P827" s="1282"/>
      <c r="Q827" s="1282"/>
      <c r="R827" s="1282"/>
      <c r="S827" s="1282"/>
      <c r="T827" s="1282"/>
      <c r="U827" s="1282"/>
      <c r="V827" s="1282"/>
      <c r="W827" s="1282"/>
      <c r="X827" s="1282"/>
      <c r="Y827" s="1282"/>
      <c r="Z827" s="1282"/>
    </row>
    <row r="828">
      <c r="A828" s="1282"/>
      <c r="B828" s="1282"/>
      <c r="C828" s="1282"/>
      <c r="D828" s="1282"/>
      <c r="E828" s="1282"/>
      <c r="F828" s="1282"/>
      <c r="G828" s="1282"/>
      <c r="H828" s="1282"/>
      <c r="I828" s="1282"/>
      <c r="J828" s="1282"/>
      <c r="K828" s="1282"/>
      <c r="L828" s="1282"/>
      <c r="M828" s="1282"/>
      <c r="N828" s="1282"/>
      <c r="O828" s="1282"/>
      <c r="P828" s="1282"/>
      <c r="Q828" s="1282"/>
      <c r="R828" s="1282"/>
      <c r="S828" s="1282"/>
      <c r="T828" s="1282"/>
      <c r="U828" s="1282"/>
      <c r="V828" s="1282"/>
      <c r="W828" s="1282"/>
      <c r="X828" s="1282"/>
      <c r="Y828" s="1282"/>
      <c r="Z828" s="1282"/>
    </row>
    <row r="829">
      <c r="A829" s="1282"/>
      <c r="B829" s="1282"/>
      <c r="C829" s="1282"/>
      <c r="D829" s="1282"/>
      <c r="E829" s="1282"/>
      <c r="F829" s="1282"/>
      <c r="G829" s="1282"/>
      <c r="H829" s="1282"/>
      <c r="I829" s="1282"/>
      <c r="J829" s="1282"/>
      <c r="K829" s="1282"/>
      <c r="L829" s="1282"/>
      <c r="M829" s="1282"/>
      <c r="N829" s="1282"/>
      <c r="O829" s="1282"/>
      <c r="P829" s="1282"/>
      <c r="Q829" s="1282"/>
      <c r="R829" s="1282"/>
      <c r="S829" s="1282"/>
      <c r="T829" s="1282"/>
      <c r="U829" s="1282"/>
      <c r="V829" s="1282"/>
      <c r="W829" s="1282"/>
      <c r="X829" s="1282"/>
      <c r="Y829" s="1282"/>
      <c r="Z829" s="1282"/>
    </row>
    <row r="830">
      <c r="A830" s="1282"/>
      <c r="B830" s="1282"/>
      <c r="C830" s="1282"/>
      <c r="D830" s="1282"/>
      <c r="E830" s="1282"/>
      <c r="F830" s="1282"/>
      <c r="G830" s="1282"/>
      <c r="H830" s="1282"/>
      <c r="I830" s="1282"/>
      <c r="J830" s="1282"/>
      <c r="K830" s="1282"/>
      <c r="L830" s="1282"/>
      <c r="M830" s="1282"/>
      <c r="N830" s="1282"/>
      <c r="O830" s="1282"/>
      <c r="P830" s="1282"/>
      <c r="Q830" s="1282"/>
      <c r="R830" s="1282"/>
      <c r="S830" s="1282"/>
      <c r="T830" s="1282"/>
      <c r="U830" s="1282"/>
      <c r="V830" s="1282"/>
      <c r="W830" s="1282"/>
      <c r="X830" s="1282"/>
      <c r="Y830" s="1282"/>
      <c r="Z830" s="1282"/>
    </row>
    <row r="831">
      <c r="A831" s="1282"/>
      <c r="B831" s="1282"/>
      <c r="C831" s="1282"/>
      <c r="D831" s="1282"/>
      <c r="E831" s="1282"/>
      <c r="F831" s="1282"/>
      <c r="G831" s="1282"/>
      <c r="H831" s="1282"/>
      <c r="I831" s="1282"/>
      <c r="J831" s="1282"/>
      <c r="K831" s="1282"/>
      <c r="L831" s="1282"/>
      <c r="M831" s="1282"/>
      <c r="N831" s="1282"/>
      <c r="O831" s="1282"/>
      <c r="P831" s="1282"/>
      <c r="Q831" s="1282"/>
      <c r="R831" s="1282"/>
      <c r="S831" s="1282"/>
      <c r="T831" s="1282"/>
      <c r="U831" s="1282"/>
      <c r="V831" s="1282"/>
      <c r="W831" s="1282"/>
      <c r="X831" s="1282"/>
      <c r="Y831" s="1282"/>
      <c r="Z831" s="1282"/>
    </row>
    <row r="832">
      <c r="A832" s="1282"/>
      <c r="B832" s="1282"/>
      <c r="C832" s="1282"/>
      <c r="D832" s="1282"/>
      <c r="E832" s="1282"/>
      <c r="F832" s="1282"/>
      <c r="G832" s="1282"/>
      <c r="H832" s="1282"/>
      <c r="I832" s="1282"/>
      <c r="J832" s="1282"/>
      <c r="K832" s="1282"/>
      <c r="L832" s="1282"/>
      <c r="M832" s="1282"/>
      <c r="N832" s="1282"/>
      <c r="O832" s="1282"/>
      <c r="P832" s="1282"/>
      <c r="Q832" s="1282"/>
      <c r="R832" s="1282"/>
      <c r="S832" s="1282"/>
      <c r="T832" s="1282"/>
      <c r="U832" s="1282"/>
      <c r="V832" s="1282"/>
      <c r="W832" s="1282"/>
      <c r="X832" s="1282"/>
      <c r="Y832" s="1282"/>
      <c r="Z832" s="1282"/>
    </row>
    <row r="833">
      <c r="A833" s="1282"/>
      <c r="B833" s="1282"/>
      <c r="C833" s="1282"/>
      <c r="D833" s="1282"/>
      <c r="E833" s="1282"/>
      <c r="F833" s="1282"/>
      <c r="G833" s="1282"/>
      <c r="H833" s="1282"/>
      <c r="I833" s="1282"/>
      <c r="J833" s="1282"/>
      <c r="K833" s="1282"/>
      <c r="L833" s="1282"/>
      <c r="M833" s="1282"/>
      <c r="N833" s="1282"/>
      <c r="O833" s="1282"/>
      <c r="P833" s="1282"/>
      <c r="Q833" s="1282"/>
      <c r="R833" s="1282"/>
      <c r="S833" s="1282"/>
      <c r="T833" s="1282"/>
      <c r="U833" s="1282"/>
      <c r="V833" s="1282"/>
      <c r="W833" s="1282"/>
      <c r="X833" s="1282"/>
      <c r="Y833" s="1282"/>
      <c r="Z833" s="1282"/>
    </row>
    <row r="834">
      <c r="A834" s="1282"/>
      <c r="B834" s="1282"/>
      <c r="C834" s="1282"/>
      <c r="D834" s="1282"/>
      <c r="E834" s="1282"/>
      <c r="F834" s="1282"/>
      <c r="G834" s="1282"/>
      <c r="H834" s="1282"/>
      <c r="I834" s="1282"/>
      <c r="J834" s="1282"/>
      <c r="K834" s="1282"/>
      <c r="L834" s="1282"/>
      <c r="M834" s="1282"/>
      <c r="N834" s="1282"/>
      <c r="O834" s="1282"/>
      <c r="P834" s="1282"/>
      <c r="Q834" s="1282"/>
      <c r="R834" s="1282"/>
      <c r="S834" s="1282"/>
      <c r="T834" s="1282"/>
      <c r="U834" s="1282"/>
      <c r="V834" s="1282"/>
      <c r="W834" s="1282"/>
      <c r="X834" s="1282"/>
      <c r="Y834" s="1282"/>
      <c r="Z834" s="1282"/>
    </row>
    <row r="835">
      <c r="A835" s="1282"/>
      <c r="B835" s="1282"/>
      <c r="C835" s="1282"/>
      <c r="D835" s="1282"/>
      <c r="E835" s="1282"/>
      <c r="F835" s="1282"/>
      <c r="G835" s="1282"/>
      <c r="H835" s="1282"/>
      <c r="I835" s="1282"/>
      <c r="J835" s="1282"/>
      <c r="K835" s="1282"/>
      <c r="L835" s="1282"/>
      <c r="M835" s="1282"/>
      <c r="N835" s="1282"/>
      <c r="O835" s="1282"/>
      <c r="P835" s="1282"/>
      <c r="Q835" s="1282"/>
      <c r="R835" s="1282"/>
      <c r="S835" s="1282"/>
      <c r="T835" s="1282"/>
      <c r="U835" s="1282"/>
      <c r="V835" s="1282"/>
      <c r="W835" s="1282"/>
      <c r="X835" s="1282"/>
      <c r="Y835" s="1282"/>
      <c r="Z835" s="1282"/>
    </row>
    <row r="836">
      <c r="A836" s="1282"/>
      <c r="B836" s="1282"/>
      <c r="C836" s="1282"/>
      <c r="D836" s="1282"/>
      <c r="E836" s="1282"/>
      <c r="F836" s="1282"/>
      <c r="G836" s="1282"/>
      <c r="H836" s="1282"/>
      <c r="I836" s="1282"/>
      <c r="J836" s="1282"/>
      <c r="K836" s="1282"/>
      <c r="L836" s="1282"/>
      <c r="M836" s="1282"/>
      <c r="N836" s="1282"/>
      <c r="O836" s="1282"/>
      <c r="P836" s="1282"/>
      <c r="Q836" s="1282"/>
      <c r="R836" s="1282"/>
      <c r="S836" s="1282"/>
      <c r="T836" s="1282"/>
      <c r="U836" s="1282"/>
      <c r="V836" s="1282"/>
      <c r="W836" s="1282"/>
      <c r="X836" s="1282"/>
      <c r="Y836" s="1282"/>
      <c r="Z836" s="1282"/>
    </row>
    <row r="837">
      <c r="A837" s="1282"/>
      <c r="B837" s="1282"/>
      <c r="C837" s="1282"/>
      <c r="D837" s="1282"/>
      <c r="E837" s="1282"/>
      <c r="F837" s="1282"/>
      <c r="G837" s="1282"/>
      <c r="H837" s="1282"/>
      <c r="I837" s="1282"/>
      <c r="J837" s="1282"/>
      <c r="K837" s="1282"/>
      <c r="L837" s="1282"/>
      <c r="M837" s="1282"/>
      <c r="N837" s="1282"/>
      <c r="O837" s="1282"/>
      <c r="P837" s="1282"/>
      <c r="Q837" s="1282"/>
      <c r="R837" s="1282"/>
      <c r="S837" s="1282"/>
      <c r="T837" s="1282"/>
      <c r="U837" s="1282"/>
      <c r="V837" s="1282"/>
      <c r="W837" s="1282"/>
      <c r="X837" s="1282"/>
      <c r="Y837" s="1282"/>
      <c r="Z837" s="1282"/>
    </row>
    <row r="838">
      <c r="A838" s="1282"/>
      <c r="B838" s="1282"/>
      <c r="C838" s="1282"/>
      <c r="D838" s="1282"/>
      <c r="E838" s="1282"/>
      <c r="F838" s="1282"/>
      <c r="G838" s="1282"/>
      <c r="H838" s="1282"/>
      <c r="I838" s="1282"/>
      <c r="J838" s="1282"/>
      <c r="K838" s="1282"/>
      <c r="L838" s="1282"/>
      <c r="M838" s="1282"/>
      <c r="N838" s="1282"/>
      <c r="O838" s="1282"/>
      <c r="P838" s="1282"/>
      <c r="Q838" s="1282"/>
      <c r="R838" s="1282"/>
      <c r="S838" s="1282"/>
      <c r="T838" s="1282"/>
      <c r="U838" s="1282"/>
      <c r="V838" s="1282"/>
      <c r="W838" s="1282"/>
      <c r="X838" s="1282"/>
      <c r="Y838" s="1282"/>
      <c r="Z838" s="1282"/>
    </row>
    <row r="839">
      <c r="A839" s="1282"/>
      <c r="B839" s="1282"/>
      <c r="C839" s="1282"/>
      <c r="D839" s="1282"/>
      <c r="E839" s="1282"/>
      <c r="F839" s="1282"/>
      <c r="G839" s="1282"/>
      <c r="H839" s="1282"/>
      <c r="I839" s="1282"/>
      <c r="J839" s="1282"/>
      <c r="K839" s="1282"/>
      <c r="L839" s="1282"/>
      <c r="M839" s="1282"/>
      <c r="N839" s="1282"/>
      <c r="O839" s="1282"/>
      <c r="P839" s="1282"/>
      <c r="Q839" s="1282"/>
      <c r="R839" s="1282"/>
      <c r="S839" s="1282"/>
      <c r="T839" s="1282"/>
      <c r="U839" s="1282"/>
      <c r="V839" s="1282"/>
      <c r="W839" s="1282"/>
      <c r="X839" s="1282"/>
      <c r="Y839" s="1282"/>
      <c r="Z839" s="1282"/>
    </row>
    <row r="840">
      <c r="A840" s="1282"/>
      <c r="B840" s="1282"/>
      <c r="C840" s="1282"/>
      <c r="D840" s="1282"/>
      <c r="E840" s="1282"/>
      <c r="F840" s="1282"/>
      <c r="G840" s="1282"/>
      <c r="H840" s="1282"/>
      <c r="I840" s="1282"/>
      <c r="J840" s="1282"/>
      <c r="K840" s="1282"/>
      <c r="L840" s="1282"/>
      <c r="M840" s="1282"/>
      <c r="N840" s="1282"/>
      <c r="O840" s="1282"/>
      <c r="P840" s="1282"/>
      <c r="Q840" s="1282"/>
      <c r="R840" s="1282"/>
      <c r="S840" s="1282"/>
      <c r="T840" s="1282"/>
      <c r="U840" s="1282"/>
      <c r="V840" s="1282"/>
      <c r="W840" s="1282"/>
      <c r="X840" s="1282"/>
      <c r="Y840" s="1282"/>
      <c r="Z840" s="1282"/>
    </row>
    <row r="841">
      <c r="A841" s="1282"/>
      <c r="B841" s="1282"/>
      <c r="C841" s="1282"/>
      <c r="D841" s="1282"/>
      <c r="E841" s="1282"/>
      <c r="F841" s="1282"/>
      <c r="G841" s="1282"/>
      <c r="H841" s="1282"/>
      <c r="I841" s="1282"/>
      <c r="J841" s="1282"/>
      <c r="K841" s="1282"/>
      <c r="L841" s="1282"/>
      <c r="M841" s="1282"/>
      <c r="N841" s="1282"/>
      <c r="O841" s="1282"/>
      <c r="P841" s="1282"/>
      <c r="Q841" s="1282"/>
      <c r="R841" s="1282"/>
      <c r="S841" s="1282"/>
      <c r="T841" s="1282"/>
      <c r="U841" s="1282"/>
      <c r="V841" s="1282"/>
      <c r="W841" s="1282"/>
      <c r="X841" s="1282"/>
      <c r="Y841" s="1282"/>
      <c r="Z841" s="1282"/>
    </row>
    <row r="842">
      <c r="A842" s="1282"/>
      <c r="B842" s="1282"/>
      <c r="C842" s="1282"/>
      <c r="D842" s="1282"/>
      <c r="E842" s="1282"/>
      <c r="F842" s="1282"/>
      <c r="G842" s="1282"/>
      <c r="H842" s="1282"/>
      <c r="I842" s="1282"/>
      <c r="J842" s="1282"/>
      <c r="K842" s="1282"/>
      <c r="L842" s="1282"/>
      <c r="M842" s="1282"/>
      <c r="N842" s="1282"/>
      <c r="O842" s="1282"/>
      <c r="P842" s="1282"/>
      <c r="Q842" s="1282"/>
      <c r="R842" s="1282"/>
      <c r="S842" s="1282"/>
      <c r="T842" s="1282"/>
      <c r="U842" s="1282"/>
      <c r="V842" s="1282"/>
      <c r="W842" s="1282"/>
      <c r="X842" s="1282"/>
      <c r="Y842" s="1282"/>
      <c r="Z842" s="1282"/>
    </row>
    <row r="843">
      <c r="A843" s="1282"/>
      <c r="B843" s="1282"/>
      <c r="C843" s="1282"/>
      <c r="D843" s="1282"/>
      <c r="E843" s="1282"/>
      <c r="F843" s="1282"/>
      <c r="G843" s="1282"/>
      <c r="H843" s="1282"/>
      <c r="I843" s="1282"/>
      <c r="J843" s="1282"/>
      <c r="K843" s="1282"/>
      <c r="L843" s="1282"/>
      <c r="M843" s="1282"/>
      <c r="N843" s="1282"/>
      <c r="O843" s="1282"/>
      <c r="P843" s="1282"/>
      <c r="Q843" s="1282"/>
      <c r="R843" s="1282"/>
      <c r="S843" s="1282"/>
      <c r="T843" s="1282"/>
      <c r="U843" s="1282"/>
      <c r="V843" s="1282"/>
      <c r="W843" s="1282"/>
      <c r="X843" s="1282"/>
      <c r="Y843" s="1282"/>
      <c r="Z843" s="1282"/>
    </row>
    <row r="844">
      <c r="A844" s="1282"/>
      <c r="B844" s="1282"/>
      <c r="C844" s="1282"/>
      <c r="D844" s="1282"/>
      <c r="E844" s="1282"/>
      <c r="F844" s="1282"/>
      <c r="G844" s="1282"/>
      <c r="H844" s="1282"/>
      <c r="I844" s="1282"/>
      <c r="J844" s="1282"/>
      <c r="K844" s="1282"/>
      <c r="L844" s="1282"/>
      <c r="M844" s="1282"/>
      <c r="N844" s="1282"/>
      <c r="O844" s="1282"/>
      <c r="P844" s="1282"/>
      <c r="Q844" s="1282"/>
      <c r="R844" s="1282"/>
      <c r="S844" s="1282"/>
      <c r="T844" s="1282"/>
      <c r="U844" s="1282"/>
      <c r="V844" s="1282"/>
      <c r="W844" s="1282"/>
      <c r="X844" s="1282"/>
      <c r="Y844" s="1282"/>
      <c r="Z844" s="1282"/>
    </row>
    <row r="845">
      <c r="A845" s="1282"/>
      <c r="B845" s="1282"/>
      <c r="C845" s="1282"/>
      <c r="D845" s="1282"/>
      <c r="E845" s="1282"/>
      <c r="F845" s="1282"/>
      <c r="G845" s="1282"/>
      <c r="H845" s="1282"/>
      <c r="I845" s="1282"/>
      <c r="J845" s="1282"/>
      <c r="K845" s="1282"/>
      <c r="L845" s="1282"/>
      <c r="M845" s="1282"/>
      <c r="N845" s="1282"/>
      <c r="O845" s="1282"/>
      <c r="P845" s="1282"/>
      <c r="Q845" s="1282"/>
      <c r="R845" s="1282"/>
      <c r="S845" s="1282"/>
      <c r="T845" s="1282"/>
      <c r="U845" s="1282"/>
      <c r="V845" s="1282"/>
      <c r="W845" s="1282"/>
      <c r="X845" s="1282"/>
      <c r="Y845" s="1282"/>
      <c r="Z845" s="1282"/>
    </row>
    <row r="846">
      <c r="A846" s="1282"/>
      <c r="B846" s="1282"/>
      <c r="C846" s="1282"/>
      <c r="D846" s="1282"/>
      <c r="E846" s="1282"/>
      <c r="F846" s="1282"/>
      <c r="G846" s="1282"/>
      <c r="H846" s="1282"/>
      <c r="I846" s="1282"/>
      <c r="J846" s="1282"/>
      <c r="K846" s="1282"/>
      <c r="L846" s="1282"/>
      <c r="M846" s="1282"/>
      <c r="N846" s="1282"/>
      <c r="O846" s="1282"/>
      <c r="P846" s="1282"/>
      <c r="Q846" s="1282"/>
      <c r="R846" s="1282"/>
      <c r="S846" s="1282"/>
      <c r="T846" s="1282"/>
      <c r="U846" s="1282"/>
      <c r="V846" s="1282"/>
      <c r="W846" s="1282"/>
      <c r="X846" s="1282"/>
      <c r="Y846" s="1282"/>
      <c r="Z846" s="1282"/>
    </row>
    <row r="847">
      <c r="A847" s="1282"/>
      <c r="B847" s="1282"/>
      <c r="C847" s="1282"/>
      <c r="D847" s="1282"/>
      <c r="E847" s="1282"/>
      <c r="F847" s="1282"/>
      <c r="G847" s="1282"/>
      <c r="H847" s="1282"/>
      <c r="I847" s="1282"/>
      <c r="J847" s="1282"/>
      <c r="K847" s="1282"/>
      <c r="L847" s="1282"/>
      <c r="M847" s="1282"/>
      <c r="N847" s="1282"/>
      <c r="O847" s="1282"/>
      <c r="P847" s="1282"/>
      <c r="Q847" s="1282"/>
      <c r="R847" s="1282"/>
      <c r="S847" s="1282"/>
      <c r="T847" s="1282"/>
      <c r="U847" s="1282"/>
      <c r="V847" s="1282"/>
      <c r="W847" s="1282"/>
      <c r="X847" s="1282"/>
      <c r="Y847" s="1282"/>
      <c r="Z847" s="1282"/>
    </row>
    <row r="848">
      <c r="A848" s="1282"/>
      <c r="B848" s="1282"/>
      <c r="C848" s="1282"/>
      <c r="D848" s="1282"/>
      <c r="E848" s="1282"/>
      <c r="F848" s="1282"/>
      <c r="G848" s="1282"/>
      <c r="H848" s="1282"/>
      <c r="I848" s="1282"/>
      <c r="J848" s="1282"/>
      <c r="K848" s="1282"/>
      <c r="L848" s="1282"/>
      <c r="M848" s="1282"/>
      <c r="N848" s="1282"/>
      <c r="O848" s="1282"/>
      <c r="P848" s="1282"/>
      <c r="Q848" s="1282"/>
      <c r="R848" s="1282"/>
      <c r="S848" s="1282"/>
      <c r="T848" s="1282"/>
      <c r="U848" s="1282"/>
      <c r="V848" s="1282"/>
      <c r="W848" s="1282"/>
      <c r="X848" s="1282"/>
      <c r="Y848" s="1282"/>
      <c r="Z848" s="1282"/>
    </row>
    <row r="849">
      <c r="A849" s="1282"/>
      <c r="B849" s="1282"/>
      <c r="C849" s="1282"/>
      <c r="D849" s="1282"/>
      <c r="E849" s="1282"/>
      <c r="F849" s="1282"/>
      <c r="G849" s="1282"/>
      <c r="H849" s="1282"/>
      <c r="I849" s="1282"/>
      <c r="J849" s="1282"/>
      <c r="K849" s="1282"/>
      <c r="L849" s="1282"/>
      <c r="M849" s="1282"/>
      <c r="N849" s="1282"/>
      <c r="O849" s="1282"/>
      <c r="P849" s="1282"/>
      <c r="Q849" s="1282"/>
      <c r="R849" s="1282"/>
      <c r="S849" s="1282"/>
      <c r="T849" s="1282"/>
      <c r="U849" s="1282"/>
      <c r="V849" s="1282"/>
      <c r="W849" s="1282"/>
      <c r="X849" s="1282"/>
      <c r="Y849" s="1282"/>
      <c r="Z849" s="1282"/>
    </row>
    <row r="850">
      <c r="A850" s="1282"/>
      <c r="B850" s="1282"/>
      <c r="C850" s="1282"/>
      <c r="D850" s="1282"/>
      <c r="E850" s="1282"/>
      <c r="F850" s="1282"/>
      <c r="G850" s="1282"/>
      <c r="H850" s="1282"/>
      <c r="I850" s="1282"/>
      <c r="J850" s="1282"/>
      <c r="K850" s="1282"/>
      <c r="L850" s="1282"/>
      <c r="M850" s="1282"/>
      <c r="N850" s="1282"/>
      <c r="O850" s="1282"/>
      <c r="P850" s="1282"/>
      <c r="Q850" s="1282"/>
      <c r="R850" s="1282"/>
      <c r="S850" s="1282"/>
      <c r="T850" s="1282"/>
      <c r="U850" s="1282"/>
      <c r="V850" s="1282"/>
      <c r="W850" s="1282"/>
      <c r="X850" s="1282"/>
      <c r="Y850" s="1282"/>
      <c r="Z850" s="1282"/>
    </row>
    <row r="851">
      <c r="A851" s="1282"/>
      <c r="B851" s="1282"/>
      <c r="C851" s="1282"/>
      <c r="D851" s="1282"/>
      <c r="E851" s="1282"/>
      <c r="F851" s="1282"/>
      <c r="G851" s="1282"/>
      <c r="H851" s="1282"/>
      <c r="I851" s="1282"/>
      <c r="J851" s="1282"/>
      <c r="K851" s="1282"/>
      <c r="L851" s="1282"/>
      <c r="M851" s="1282"/>
      <c r="N851" s="1282"/>
      <c r="O851" s="1282"/>
      <c r="P851" s="1282"/>
      <c r="Q851" s="1282"/>
      <c r="R851" s="1282"/>
      <c r="S851" s="1282"/>
      <c r="T851" s="1282"/>
      <c r="U851" s="1282"/>
      <c r="V851" s="1282"/>
      <c r="W851" s="1282"/>
      <c r="X851" s="1282"/>
      <c r="Y851" s="1282"/>
      <c r="Z851" s="1282"/>
    </row>
    <row r="852">
      <c r="A852" s="1282"/>
      <c r="B852" s="1282"/>
      <c r="C852" s="1282"/>
      <c r="D852" s="1282"/>
      <c r="E852" s="1282"/>
      <c r="F852" s="1282"/>
      <c r="G852" s="1282"/>
      <c r="H852" s="1282"/>
      <c r="I852" s="1282"/>
      <c r="J852" s="1282"/>
      <c r="K852" s="1282"/>
      <c r="L852" s="1282"/>
      <c r="M852" s="1282"/>
      <c r="N852" s="1282"/>
      <c r="O852" s="1282"/>
      <c r="P852" s="1282"/>
      <c r="Q852" s="1282"/>
      <c r="R852" s="1282"/>
      <c r="S852" s="1282"/>
      <c r="T852" s="1282"/>
      <c r="U852" s="1282"/>
      <c r="V852" s="1282"/>
      <c r="W852" s="1282"/>
      <c r="X852" s="1282"/>
      <c r="Y852" s="1282"/>
      <c r="Z852" s="1282"/>
    </row>
    <row r="853">
      <c r="A853" s="1282"/>
      <c r="B853" s="1282"/>
      <c r="C853" s="1282"/>
      <c r="D853" s="1282"/>
      <c r="E853" s="1282"/>
      <c r="F853" s="1282"/>
      <c r="G853" s="1282"/>
      <c r="H853" s="1282"/>
      <c r="I853" s="1282"/>
      <c r="J853" s="1282"/>
      <c r="K853" s="1282"/>
      <c r="L853" s="1282"/>
      <c r="M853" s="1282"/>
      <c r="N853" s="1282"/>
      <c r="O853" s="1282"/>
      <c r="P853" s="1282"/>
      <c r="Q853" s="1282"/>
      <c r="R853" s="1282"/>
      <c r="S853" s="1282"/>
      <c r="T853" s="1282"/>
      <c r="U853" s="1282"/>
      <c r="V853" s="1282"/>
      <c r="W853" s="1282"/>
      <c r="X853" s="1282"/>
      <c r="Y853" s="1282"/>
      <c r="Z853" s="1282"/>
    </row>
    <row r="854">
      <c r="A854" s="1282"/>
      <c r="B854" s="1282"/>
      <c r="C854" s="1282"/>
      <c r="D854" s="1282"/>
      <c r="E854" s="1282"/>
      <c r="F854" s="1282"/>
      <c r="G854" s="1282"/>
      <c r="H854" s="1282"/>
      <c r="I854" s="1282"/>
      <c r="J854" s="1282"/>
      <c r="K854" s="1282"/>
      <c r="L854" s="1282"/>
      <c r="M854" s="1282"/>
      <c r="N854" s="1282"/>
      <c r="O854" s="1282"/>
      <c r="P854" s="1282"/>
      <c r="Q854" s="1282"/>
      <c r="R854" s="1282"/>
      <c r="S854" s="1282"/>
      <c r="T854" s="1282"/>
      <c r="U854" s="1282"/>
      <c r="V854" s="1282"/>
      <c r="W854" s="1282"/>
      <c r="X854" s="1282"/>
      <c r="Y854" s="1282"/>
      <c r="Z854" s="1282"/>
    </row>
    <row r="855">
      <c r="A855" s="1282"/>
      <c r="B855" s="1282"/>
      <c r="C855" s="1282"/>
      <c r="D855" s="1282"/>
      <c r="E855" s="1282"/>
      <c r="F855" s="1282"/>
      <c r="G855" s="1282"/>
      <c r="H855" s="1282"/>
      <c r="I855" s="1282"/>
      <c r="J855" s="1282"/>
      <c r="K855" s="1282"/>
      <c r="L855" s="1282"/>
      <c r="M855" s="1282"/>
      <c r="N855" s="1282"/>
      <c r="O855" s="1282"/>
      <c r="P855" s="1282"/>
      <c r="Q855" s="1282"/>
      <c r="R855" s="1282"/>
      <c r="S855" s="1282"/>
      <c r="T855" s="1282"/>
      <c r="U855" s="1282"/>
      <c r="V855" s="1282"/>
      <c r="W855" s="1282"/>
      <c r="X855" s="1282"/>
      <c r="Y855" s="1282"/>
      <c r="Z855" s="1282"/>
    </row>
    <row r="856">
      <c r="A856" s="1282"/>
      <c r="B856" s="1282"/>
      <c r="C856" s="1282"/>
      <c r="D856" s="1282"/>
      <c r="E856" s="1282"/>
      <c r="F856" s="1282"/>
      <c r="G856" s="1282"/>
      <c r="H856" s="1282"/>
      <c r="I856" s="1282"/>
      <c r="J856" s="1282"/>
      <c r="K856" s="1282"/>
      <c r="L856" s="1282"/>
      <c r="M856" s="1282"/>
      <c r="N856" s="1282"/>
      <c r="O856" s="1282"/>
      <c r="P856" s="1282"/>
      <c r="Q856" s="1282"/>
      <c r="R856" s="1282"/>
      <c r="S856" s="1282"/>
      <c r="T856" s="1282"/>
      <c r="U856" s="1282"/>
      <c r="V856" s="1282"/>
      <c r="W856" s="1282"/>
      <c r="X856" s="1282"/>
      <c r="Y856" s="1282"/>
      <c r="Z856" s="1282"/>
    </row>
    <row r="857">
      <c r="A857" s="1282"/>
      <c r="B857" s="1282"/>
      <c r="C857" s="1282"/>
      <c r="D857" s="1282"/>
      <c r="E857" s="1282"/>
      <c r="F857" s="1282"/>
      <c r="G857" s="1282"/>
      <c r="H857" s="1282"/>
      <c r="I857" s="1282"/>
      <c r="J857" s="1282"/>
      <c r="K857" s="1282"/>
      <c r="L857" s="1282"/>
      <c r="M857" s="1282"/>
      <c r="N857" s="1282"/>
      <c r="O857" s="1282"/>
      <c r="P857" s="1282"/>
      <c r="Q857" s="1282"/>
      <c r="R857" s="1282"/>
      <c r="S857" s="1282"/>
      <c r="T857" s="1282"/>
      <c r="U857" s="1282"/>
      <c r="V857" s="1282"/>
      <c r="W857" s="1282"/>
      <c r="X857" s="1282"/>
      <c r="Y857" s="1282"/>
      <c r="Z857" s="1282"/>
    </row>
    <row r="858">
      <c r="A858" s="1282"/>
      <c r="B858" s="1282"/>
      <c r="C858" s="1282"/>
      <c r="D858" s="1282"/>
      <c r="E858" s="1282"/>
      <c r="F858" s="1282"/>
      <c r="G858" s="1282"/>
      <c r="H858" s="1282"/>
      <c r="I858" s="1282"/>
      <c r="J858" s="1282"/>
      <c r="K858" s="1282"/>
      <c r="L858" s="1282"/>
      <c r="M858" s="1282"/>
      <c r="N858" s="1282"/>
      <c r="O858" s="1282"/>
      <c r="P858" s="1282"/>
      <c r="Q858" s="1282"/>
      <c r="R858" s="1282"/>
      <c r="S858" s="1282"/>
      <c r="T858" s="1282"/>
      <c r="U858" s="1282"/>
      <c r="V858" s="1282"/>
      <c r="W858" s="1282"/>
      <c r="X858" s="1282"/>
      <c r="Y858" s="1282"/>
      <c r="Z858" s="1282"/>
    </row>
    <row r="859">
      <c r="A859" s="1282"/>
      <c r="B859" s="1282"/>
      <c r="C859" s="1282"/>
      <c r="D859" s="1282"/>
      <c r="E859" s="1282"/>
      <c r="F859" s="1282"/>
      <c r="G859" s="1282"/>
      <c r="H859" s="1282"/>
      <c r="I859" s="1282"/>
      <c r="J859" s="1282"/>
      <c r="K859" s="1282"/>
      <c r="L859" s="1282"/>
      <c r="M859" s="1282"/>
      <c r="N859" s="1282"/>
      <c r="O859" s="1282"/>
      <c r="P859" s="1282"/>
      <c r="Q859" s="1282"/>
      <c r="R859" s="1282"/>
      <c r="S859" s="1282"/>
      <c r="T859" s="1282"/>
      <c r="U859" s="1282"/>
      <c r="V859" s="1282"/>
      <c r="W859" s="1282"/>
      <c r="X859" s="1282"/>
      <c r="Y859" s="1282"/>
      <c r="Z859" s="1282"/>
    </row>
    <row r="860">
      <c r="A860" s="1282"/>
      <c r="B860" s="1282"/>
      <c r="C860" s="1282"/>
      <c r="D860" s="1282"/>
      <c r="E860" s="1282"/>
      <c r="F860" s="1282"/>
      <c r="G860" s="1282"/>
      <c r="H860" s="1282"/>
      <c r="I860" s="1282"/>
      <c r="J860" s="1282"/>
      <c r="K860" s="1282"/>
      <c r="L860" s="1282"/>
      <c r="M860" s="1282"/>
      <c r="N860" s="1282"/>
      <c r="O860" s="1282"/>
      <c r="P860" s="1282"/>
      <c r="Q860" s="1282"/>
      <c r="R860" s="1282"/>
      <c r="S860" s="1282"/>
      <c r="T860" s="1282"/>
      <c r="U860" s="1282"/>
      <c r="V860" s="1282"/>
      <c r="W860" s="1282"/>
      <c r="X860" s="1282"/>
      <c r="Y860" s="1282"/>
      <c r="Z860" s="1282"/>
    </row>
    <row r="861">
      <c r="A861" s="1282"/>
      <c r="B861" s="1282"/>
      <c r="C861" s="1282"/>
      <c r="D861" s="1282"/>
      <c r="E861" s="1282"/>
      <c r="F861" s="1282"/>
      <c r="G861" s="1282"/>
      <c r="H861" s="1282"/>
      <c r="I861" s="1282"/>
      <c r="J861" s="1282"/>
      <c r="K861" s="1282"/>
      <c r="L861" s="1282"/>
      <c r="M861" s="1282"/>
      <c r="N861" s="1282"/>
      <c r="O861" s="1282"/>
      <c r="P861" s="1282"/>
      <c r="Q861" s="1282"/>
      <c r="R861" s="1282"/>
      <c r="S861" s="1282"/>
      <c r="T861" s="1282"/>
      <c r="U861" s="1282"/>
      <c r="V861" s="1282"/>
      <c r="W861" s="1282"/>
      <c r="X861" s="1282"/>
      <c r="Y861" s="1282"/>
      <c r="Z861" s="1282"/>
    </row>
    <row r="862">
      <c r="A862" s="1282"/>
      <c r="B862" s="1282"/>
      <c r="C862" s="1282"/>
      <c r="D862" s="1282"/>
      <c r="E862" s="1282"/>
      <c r="F862" s="1282"/>
      <c r="G862" s="1282"/>
      <c r="H862" s="1282"/>
      <c r="I862" s="1282"/>
      <c r="J862" s="1282"/>
      <c r="K862" s="1282"/>
      <c r="L862" s="1282"/>
      <c r="M862" s="1282"/>
      <c r="N862" s="1282"/>
      <c r="O862" s="1282"/>
      <c r="P862" s="1282"/>
      <c r="Q862" s="1282"/>
      <c r="R862" s="1282"/>
      <c r="S862" s="1282"/>
      <c r="T862" s="1282"/>
      <c r="U862" s="1282"/>
      <c r="V862" s="1282"/>
      <c r="W862" s="1282"/>
      <c r="X862" s="1282"/>
      <c r="Y862" s="1282"/>
      <c r="Z862" s="1282"/>
    </row>
    <row r="863">
      <c r="A863" s="1282"/>
      <c r="B863" s="1282"/>
      <c r="C863" s="1282"/>
      <c r="D863" s="1282"/>
      <c r="E863" s="1282"/>
      <c r="F863" s="1282"/>
      <c r="G863" s="1282"/>
      <c r="H863" s="1282"/>
      <c r="I863" s="1282"/>
      <c r="J863" s="1282"/>
      <c r="K863" s="1282"/>
      <c r="L863" s="1282"/>
      <c r="M863" s="1282"/>
      <c r="N863" s="1282"/>
      <c r="O863" s="1282"/>
      <c r="P863" s="1282"/>
      <c r="Q863" s="1282"/>
      <c r="R863" s="1282"/>
      <c r="S863" s="1282"/>
      <c r="T863" s="1282"/>
      <c r="U863" s="1282"/>
      <c r="V863" s="1282"/>
      <c r="W863" s="1282"/>
      <c r="X863" s="1282"/>
      <c r="Y863" s="1282"/>
      <c r="Z863" s="1282"/>
    </row>
    <row r="864">
      <c r="A864" s="1282"/>
      <c r="B864" s="1282"/>
      <c r="C864" s="1282"/>
      <c r="D864" s="1282"/>
      <c r="E864" s="1282"/>
      <c r="F864" s="1282"/>
      <c r="G864" s="1282"/>
      <c r="H864" s="1282"/>
      <c r="I864" s="1282"/>
      <c r="J864" s="1282"/>
      <c r="K864" s="1282"/>
      <c r="L864" s="1282"/>
      <c r="M864" s="1282"/>
      <c r="N864" s="1282"/>
      <c r="O864" s="1282"/>
      <c r="P864" s="1282"/>
      <c r="Q864" s="1282"/>
      <c r="R864" s="1282"/>
      <c r="S864" s="1282"/>
      <c r="T864" s="1282"/>
      <c r="U864" s="1282"/>
      <c r="V864" s="1282"/>
      <c r="W864" s="1282"/>
      <c r="X864" s="1282"/>
      <c r="Y864" s="1282"/>
      <c r="Z864" s="1282"/>
    </row>
    <row r="865">
      <c r="A865" s="1282"/>
      <c r="B865" s="1282"/>
      <c r="C865" s="1282"/>
      <c r="D865" s="1282"/>
      <c r="E865" s="1282"/>
      <c r="F865" s="1282"/>
      <c r="G865" s="1282"/>
      <c r="H865" s="1282"/>
      <c r="I865" s="1282"/>
      <c r="J865" s="1282"/>
      <c r="K865" s="1282"/>
      <c r="L865" s="1282"/>
      <c r="M865" s="1282"/>
      <c r="N865" s="1282"/>
      <c r="O865" s="1282"/>
      <c r="P865" s="1282"/>
      <c r="Q865" s="1282"/>
      <c r="R865" s="1282"/>
      <c r="S865" s="1282"/>
      <c r="T865" s="1282"/>
      <c r="U865" s="1282"/>
      <c r="V865" s="1282"/>
      <c r="W865" s="1282"/>
      <c r="X865" s="1282"/>
      <c r="Y865" s="1282"/>
      <c r="Z865" s="1282"/>
    </row>
    <row r="866">
      <c r="A866" s="1282"/>
      <c r="B866" s="1282"/>
      <c r="C866" s="1282"/>
      <c r="D866" s="1282"/>
      <c r="E866" s="1282"/>
      <c r="F866" s="1282"/>
      <c r="G866" s="1282"/>
      <c r="H866" s="1282"/>
      <c r="I866" s="1282"/>
      <c r="J866" s="1282"/>
      <c r="K866" s="1282"/>
      <c r="L866" s="1282"/>
      <c r="M866" s="1282"/>
      <c r="N866" s="1282"/>
      <c r="O866" s="1282"/>
      <c r="P866" s="1282"/>
      <c r="Q866" s="1282"/>
      <c r="R866" s="1282"/>
      <c r="S866" s="1282"/>
      <c r="T866" s="1282"/>
      <c r="U866" s="1282"/>
      <c r="V866" s="1282"/>
      <c r="W866" s="1282"/>
      <c r="X866" s="1282"/>
      <c r="Y866" s="1282"/>
      <c r="Z866" s="1282"/>
    </row>
    <row r="867">
      <c r="A867" s="1282"/>
      <c r="B867" s="1282"/>
      <c r="C867" s="1282"/>
      <c r="D867" s="1282"/>
      <c r="E867" s="1282"/>
      <c r="F867" s="1282"/>
      <c r="G867" s="1282"/>
      <c r="H867" s="1282"/>
      <c r="I867" s="1282"/>
      <c r="J867" s="1282"/>
      <c r="K867" s="1282"/>
      <c r="L867" s="1282"/>
      <c r="M867" s="1282"/>
      <c r="N867" s="1282"/>
      <c r="O867" s="1282"/>
      <c r="P867" s="1282"/>
      <c r="Q867" s="1282"/>
      <c r="R867" s="1282"/>
      <c r="S867" s="1282"/>
      <c r="T867" s="1282"/>
      <c r="U867" s="1282"/>
      <c r="V867" s="1282"/>
      <c r="W867" s="1282"/>
      <c r="X867" s="1282"/>
      <c r="Y867" s="1282"/>
      <c r="Z867" s="1282"/>
    </row>
    <row r="868">
      <c r="A868" s="1282"/>
      <c r="B868" s="1282"/>
      <c r="C868" s="1282"/>
      <c r="D868" s="1282"/>
      <c r="E868" s="1282"/>
      <c r="F868" s="1282"/>
      <c r="G868" s="1282"/>
      <c r="H868" s="1282"/>
      <c r="I868" s="1282"/>
      <c r="J868" s="1282"/>
      <c r="K868" s="1282"/>
      <c r="L868" s="1282"/>
      <c r="M868" s="1282"/>
      <c r="N868" s="1282"/>
      <c r="O868" s="1282"/>
      <c r="P868" s="1282"/>
      <c r="Q868" s="1282"/>
      <c r="R868" s="1282"/>
      <c r="S868" s="1282"/>
      <c r="T868" s="1282"/>
      <c r="U868" s="1282"/>
      <c r="V868" s="1282"/>
      <c r="W868" s="1282"/>
      <c r="X868" s="1282"/>
      <c r="Y868" s="1282"/>
      <c r="Z868" s="1282"/>
    </row>
    <row r="869">
      <c r="A869" s="1282"/>
      <c r="B869" s="1282"/>
      <c r="C869" s="1282"/>
      <c r="D869" s="1282"/>
      <c r="E869" s="1282"/>
      <c r="F869" s="1282"/>
      <c r="G869" s="1282"/>
      <c r="H869" s="1282"/>
      <c r="I869" s="1282"/>
      <c r="J869" s="1282"/>
      <c r="K869" s="1282"/>
      <c r="L869" s="1282"/>
      <c r="M869" s="1282"/>
      <c r="N869" s="1282"/>
      <c r="O869" s="1282"/>
      <c r="P869" s="1282"/>
      <c r="Q869" s="1282"/>
      <c r="R869" s="1282"/>
      <c r="S869" s="1282"/>
      <c r="T869" s="1282"/>
      <c r="U869" s="1282"/>
      <c r="V869" s="1282"/>
      <c r="W869" s="1282"/>
      <c r="X869" s="1282"/>
      <c r="Y869" s="1282"/>
      <c r="Z869" s="1282"/>
    </row>
    <row r="870">
      <c r="A870" s="1282"/>
      <c r="B870" s="1282"/>
      <c r="C870" s="1282"/>
      <c r="D870" s="1282"/>
      <c r="E870" s="1282"/>
      <c r="F870" s="1282"/>
      <c r="G870" s="1282"/>
      <c r="H870" s="1282"/>
      <c r="I870" s="1282"/>
      <c r="J870" s="1282"/>
      <c r="K870" s="1282"/>
      <c r="L870" s="1282"/>
      <c r="M870" s="1282"/>
      <c r="N870" s="1282"/>
      <c r="O870" s="1282"/>
      <c r="P870" s="1282"/>
      <c r="Q870" s="1282"/>
      <c r="R870" s="1282"/>
      <c r="S870" s="1282"/>
      <c r="T870" s="1282"/>
      <c r="U870" s="1282"/>
      <c r="V870" s="1282"/>
      <c r="W870" s="1282"/>
      <c r="X870" s="1282"/>
      <c r="Y870" s="1282"/>
      <c r="Z870" s="1282"/>
    </row>
    <row r="871">
      <c r="A871" s="1282"/>
      <c r="B871" s="1282"/>
      <c r="C871" s="1282"/>
      <c r="D871" s="1282"/>
      <c r="E871" s="1282"/>
      <c r="F871" s="1282"/>
      <c r="G871" s="1282"/>
      <c r="H871" s="1282"/>
      <c r="I871" s="1282"/>
      <c r="J871" s="1282"/>
      <c r="K871" s="1282"/>
      <c r="L871" s="1282"/>
      <c r="M871" s="1282"/>
      <c r="N871" s="1282"/>
      <c r="O871" s="1282"/>
      <c r="P871" s="1282"/>
      <c r="Q871" s="1282"/>
      <c r="R871" s="1282"/>
      <c r="S871" s="1282"/>
      <c r="T871" s="1282"/>
      <c r="U871" s="1282"/>
      <c r="V871" s="1282"/>
      <c r="W871" s="1282"/>
      <c r="X871" s="1282"/>
      <c r="Y871" s="1282"/>
      <c r="Z871" s="1282"/>
    </row>
    <row r="872">
      <c r="A872" s="1282"/>
      <c r="B872" s="1282"/>
      <c r="C872" s="1282"/>
      <c r="D872" s="1282"/>
      <c r="E872" s="1282"/>
      <c r="F872" s="1282"/>
      <c r="G872" s="1282"/>
      <c r="H872" s="1282"/>
      <c r="I872" s="1282"/>
      <c r="J872" s="1282"/>
      <c r="K872" s="1282"/>
      <c r="L872" s="1282"/>
      <c r="M872" s="1282"/>
      <c r="N872" s="1282"/>
      <c r="O872" s="1282"/>
      <c r="P872" s="1282"/>
      <c r="Q872" s="1282"/>
      <c r="R872" s="1282"/>
      <c r="S872" s="1282"/>
      <c r="T872" s="1282"/>
      <c r="U872" s="1282"/>
      <c r="V872" s="1282"/>
      <c r="W872" s="1282"/>
      <c r="X872" s="1282"/>
      <c r="Y872" s="1282"/>
      <c r="Z872" s="1282"/>
    </row>
    <row r="873">
      <c r="A873" s="1282"/>
      <c r="B873" s="1282"/>
      <c r="C873" s="1282"/>
      <c r="D873" s="1282"/>
      <c r="E873" s="1282"/>
      <c r="F873" s="1282"/>
      <c r="G873" s="1282"/>
      <c r="H873" s="1282"/>
      <c r="I873" s="1282"/>
      <c r="J873" s="1282"/>
      <c r="K873" s="1282"/>
      <c r="L873" s="1282"/>
      <c r="M873" s="1282"/>
      <c r="N873" s="1282"/>
      <c r="O873" s="1282"/>
      <c r="P873" s="1282"/>
      <c r="Q873" s="1282"/>
      <c r="R873" s="1282"/>
      <c r="S873" s="1282"/>
      <c r="T873" s="1282"/>
      <c r="U873" s="1282"/>
      <c r="V873" s="1282"/>
      <c r="W873" s="1282"/>
      <c r="X873" s="1282"/>
      <c r="Y873" s="1282"/>
      <c r="Z873" s="1282"/>
    </row>
    <row r="874">
      <c r="A874" s="1282"/>
      <c r="B874" s="1282"/>
      <c r="C874" s="1282"/>
      <c r="D874" s="1282"/>
      <c r="E874" s="1282"/>
      <c r="F874" s="1282"/>
      <c r="G874" s="1282"/>
      <c r="H874" s="1282"/>
      <c r="I874" s="1282"/>
      <c r="J874" s="1282"/>
      <c r="K874" s="1282"/>
      <c r="L874" s="1282"/>
      <c r="M874" s="1282"/>
      <c r="N874" s="1282"/>
      <c r="O874" s="1282"/>
      <c r="P874" s="1282"/>
      <c r="Q874" s="1282"/>
      <c r="R874" s="1282"/>
      <c r="S874" s="1282"/>
      <c r="T874" s="1282"/>
      <c r="U874" s="1282"/>
      <c r="V874" s="1282"/>
      <c r="W874" s="1282"/>
      <c r="X874" s="1282"/>
      <c r="Y874" s="1282"/>
      <c r="Z874" s="1282"/>
    </row>
    <row r="875">
      <c r="A875" s="1282"/>
      <c r="B875" s="1282"/>
      <c r="C875" s="1282"/>
      <c r="D875" s="1282"/>
      <c r="E875" s="1282"/>
      <c r="F875" s="1282"/>
      <c r="G875" s="1282"/>
      <c r="H875" s="1282"/>
      <c r="I875" s="1282"/>
      <c r="J875" s="1282"/>
      <c r="K875" s="1282"/>
      <c r="L875" s="1282"/>
      <c r="M875" s="1282"/>
      <c r="N875" s="1282"/>
      <c r="O875" s="1282"/>
      <c r="P875" s="1282"/>
      <c r="Q875" s="1282"/>
      <c r="R875" s="1282"/>
      <c r="S875" s="1282"/>
      <c r="T875" s="1282"/>
      <c r="U875" s="1282"/>
      <c r="V875" s="1282"/>
      <c r="W875" s="1282"/>
      <c r="X875" s="1282"/>
      <c r="Y875" s="1282"/>
      <c r="Z875" s="1282"/>
    </row>
    <row r="876">
      <c r="A876" s="1282"/>
      <c r="B876" s="1282"/>
      <c r="C876" s="1282"/>
      <c r="D876" s="1282"/>
      <c r="E876" s="1282"/>
      <c r="F876" s="1282"/>
      <c r="G876" s="1282"/>
      <c r="H876" s="1282"/>
      <c r="I876" s="1282"/>
      <c r="J876" s="1282"/>
      <c r="K876" s="1282"/>
      <c r="L876" s="1282"/>
      <c r="M876" s="1282"/>
      <c r="N876" s="1282"/>
      <c r="O876" s="1282"/>
      <c r="P876" s="1282"/>
      <c r="Q876" s="1282"/>
      <c r="R876" s="1282"/>
      <c r="S876" s="1282"/>
      <c r="T876" s="1282"/>
      <c r="U876" s="1282"/>
      <c r="V876" s="1282"/>
      <c r="W876" s="1282"/>
      <c r="X876" s="1282"/>
      <c r="Y876" s="1282"/>
      <c r="Z876" s="1282"/>
    </row>
    <row r="877">
      <c r="A877" s="1282"/>
      <c r="B877" s="1282"/>
      <c r="C877" s="1282"/>
      <c r="D877" s="1282"/>
      <c r="E877" s="1282"/>
      <c r="F877" s="1282"/>
      <c r="G877" s="1282"/>
      <c r="H877" s="1282"/>
      <c r="I877" s="1282"/>
      <c r="J877" s="1282"/>
      <c r="K877" s="1282"/>
      <c r="L877" s="1282"/>
      <c r="M877" s="1282"/>
      <c r="N877" s="1282"/>
      <c r="O877" s="1282"/>
      <c r="P877" s="1282"/>
      <c r="Q877" s="1282"/>
      <c r="R877" s="1282"/>
      <c r="S877" s="1282"/>
      <c r="T877" s="1282"/>
      <c r="U877" s="1282"/>
      <c r="V877" s="1282"/>
      <c r="W877" s="1282"/>
      <c r="X877" s="1282"/>
      <c r="Y877" s="1282"/>
      <c r="Z877" s="1282"/>
    </row>
    <row r="878">
      <c r="A878" s="1282"/>
      <c r="B878" s="1282"/>
      <c r="C878" s="1282"/>
      <c r="D878" s="1282"/>
      <c r="E878" s="1282"/>
      <c r="F878" s="1282"/>
      <c r="G878" s="1282"/>
      <c r="H878" s="1282"/>
      <c r="I878" s="1282"/>
      <c r="J878" s="1282"/>
      <c r="K878" s="1282"/>
      <c r="L878" s="1282"/>
      <c r="M878" s="1282"/>
      <c r="N878" s="1282"/>
      <c r="O878" s="1282"/>
      <c r="P878" s="1282"/>
      <c r="Q878" s="1282"/>
      <c r="R878" s="1282"/>
      <c r="S878" s="1282"/>
      <c r="T878" s="1282"/>
      <c r="U878" s="1282"/>
      <c r="V878" s="1282"/>
      <c r="W878" s="1282"/>
      <c r="X878" s="1282"/>
      <c r="Y878" s="1282"/>
      <c r="Z878" s="1282"/>
    </row>
    <row r="879">
      <c r="A879" s="1282"/>
      <c r="B879" s="1282"/>
      <c r="C879" s="1282"/>
      <c r="D879" s="1282"/>
      <c r="E879" s="1282"/>
      <c r="F879" s="1282"/>
      <c r="G879" s="1282"/>
      <c r="H879" s="1282"/>
      <c r="I879" s="1282"/>
      <c r="J879" s="1282"/>
      <c r="K879" s="1282"/>
      <c r="L879" s="1282"/>
      <c r="M879" s="1282"/>
      <c r="N879" s="1282"/>
      <c r="O879" s="1282"/>
      <c r="P879" s="1282"/>
      <c r="Q879" s="1282"/>
      <c r="R879" s="1282"/>
      <c r="S879" s="1282"/>
      <c r="T879" s="1282"/>
      <c r="U879" s="1282"/>
      <c r="V879" s="1282"/>
      <c r="W879" s="1282"/>
      <c r="X879" s="1282"/>
      <c r="Y879" s="1282"/>
      <c r="Z879" s="1282"/>
    </row>
    <row r="880">
      <c r="A880" s="1282"/>
      <c r="B880" s="1282"/>
      <c r="C880" s="1282"/>
      <c r="D880" s="1282"/>
      <c r="E880" s="1282"/>
      <c r="F880" s="1282"/>
      <c r="G880" s="1282"/>
      <c r="H880" s="1282"/>
      <c r="I880" s="1282"/>
      <c r="J880" s="1282"/>
      <c r="K880" s="1282"/>
      <c r="L880" s="1282"/>
      <c r="M880" s="1282"/>
      <c r="N880" s="1282"/>
      <c r="O880" s="1282"/>
      <c r="P880" s="1282"/>
      <c r="Q880" s="1282"/>
      <c r="R880" s="1282"/>
      <c r="S880" s="1282"/>
      <c r="T880" s="1282"/>
      <c r="U880" s="1282"/>
      <c r="V880" s="1282"/>
      <c r="W880" s="1282"/>
      <c r="X880" s="1282"/>
      <c r="Y880" s="1282"/>
      <c r="Z880" s="1282"/>
    </row>
    <row r="881">
      <c r="A881" s="1282"/>
      <c r="B881" s="1282"/>
      <c r="C881" s="1282"/>
      <c r="D881" s="1282"/>
      <c r="E881" s="1282"/>
      <c r="F881" s="1282"/>
      <c r="G881" s="1282"/>
      <c r="H881" s="1282"/>
      <c r="I881" s="1282"/>
      <c r="J881" s="1282"/>
      <c r="K881" s="1282"/>
      <c r="L881" s="1282"/>
      <c r="M881" s="1282"/>
      <c r="N881" s="1282"/>
      <c r="O881" s="1282"/>
      <c r="P881" s="1282"/>
      <c r="Q881" s="1282"/>
      <c r="R881" s="1282"/>
      <c r="S881" s="1282"/>
      <c r="T881" s="1282"/>
      <c r="U881" s="1282"/>
      <c r="V881" s="1282"/>
      <c r="W881" s="1282"/>
      <c r="X881" s="1282"/>
      <c r="Y881" s="1282"/>
      <c r="Z881" s="1282"/>
    </row>
    <row r="882">
      <c r="A882" s="1282"/>
      <c r="B882" s="1282"/>
      <c r="C882" s="1282"/>
      <c r="D882" s="1282"/>
      <c r="E882" s="1282"/>
      <c r="F882" s="1282"/>
      <c r="G882" s="1282"/>
      <c r="H882" s="1282"/>
      <c r="I882" s="1282"/>
      <c r="J882" s="1282"/>
      <c r="K882" s="1282"/>
      <c r="L882" s="1282"/>
      <c r="M882" s="1282"/>
      <c r="N882" s="1282"/>
      <c r="O882" s="1282"/>
      <c r="P882" s="1282"/>
      <c r="Q882" s="1282"/>
      <c r="R882" s="1282"/>
      <c r="S882" s="1282"/>
      <c r="T882" s="1282"/>
      <c r="U882" s="1282"/>
      <c r="V882" s="1282"/>
      <c r="W882" s="1282"/>
      <c r="X882" s="1282"/>
      <c r="Y882" s="1282"/>
      <c r="Z882" s="1282"/>
    </row>
    <row r="883">
      <c r="A883" s="1282"/>
      <c r="B883" s="1282"/>
      <c r="C883" s="1282"/>
      <c r="D883" s="1282"/>
      <c r="E883" s="1282"/>
      <c r="F883" s="1282"/>
      <c r="G883" s="1282"/>
      <c r="H883" s="1282"/>
      <c r="I883" s="1282"/>
      <c r="J883" s="1282"/>
      <c r="K883" s="1282"/>
      <c r="L883" s="1282"/>
      <c r="M883" s="1282"/>
      <c r="N883" s="1282"/>
      <c r="O883" s="1282"/>
      <c r="P883" s="1282"/>
      <c r="Q883" s="1282"/>
      <c r="R883" s="1282"/>
      <c r="S883" s="1282"/>
      <c r="T883" s="1282"/>
      <c r="U883" s="1282"/>
      <c r="V883" s="1282"/>
      <c r="W883" s="1282"/>
      <c r="X883" s="1282"/>
      <c r="Y883" s="1282"/>
      <c r="Z883" s="1282"/>
    </row>
    <row r="884">
      <c r="A884" s="1282"/>
      <c r="B884" s="1282"/>
      <c r="C884" s="1282"/>
      <c r="D884" s="1282"/>
      <c r="E884" s="1282"/>
      <c r="F884" s="1282"/>
      <c r="G884" s="1282"/>
      <c r="H884" s="1282"/>
      <c r="I884" s="1282"/>
      <c r="J884" s="1282"/>
      <c r="K884" s="1282"/>
      <c r="L884" s="1282"/>
      <c r="M884" s="1282"/>
      <c r="N884" s="1282"/>
      <c r="O884" s="1282"/>
      <c r="P884" s="1282"/>
      <c r="Q884" s="1282"/>
      <c r="R884" s="1282"/>
      <c r="S884" s="1282"/>
      <c r="T884" s="1282"/>
      <c r="U884" s="1282"/>
      <c r="V884" s="1282"/>
      <c r="W884" s="1282"/>
      <c r="X884" s="1282"/>
      <c r="Y884" s="1282"/>
      <c r="Z884" s="1282"/>
    </row>
    <row r="885">
      <c r="A885" s="1282"/>
      <c r="B885" s="1282"/>
      <c r="C885" s="1282"/>
      <c r="D885" s="1282"/>
      <c r="E885" s="1282"/>
      <c r="F885" s="1282"/>
      <c r="G885" s="1282"/>
      <c r="H885" s="1282"/>
      <c r="I885" s="1282"/>
      <c r="J885" s="1282"/>
      <c r="K885" s="1282"/>
      <c r="L885" s="1282"/>
      <c r="M885" s="1282"/>
      <c r="N885" s="1282"/>
      <c r="O885" s="1282"/>
      <c r="P885" s="1282"/>
      <c r="Q885" s="1282"/>
      <c r="R885" s="1282"/>
      <c r="S885" s="1282"/>
      <c r="T885" s="1282"/>
      <c r="U885" s="1282"/>
      <c r="V885" s="1282"/>
      <c r="W885" s="1282"/>
      <c r="X885" s="1282"/>
      <c r="Y885" s="1282"/>
      <c r="Z885" s="1282"/>
    </row>
    <row r="886">
      <c r="A886" s="1282"/>
      <c r="B886" s="1282"/>
      <c r="C886" s="1282"/>
      <c r="D886" s="1282"/>
      <c r="E886" s="1282"/>
      <c r="F886" s="1282"/>
      <c r="G886" s="1282"/>
      <c r="H886" s="1282"/>
      <c r="I886" s="1282"/>
      <c r="J886" s="1282"/>
      <c r="K886" s="1282"/>
      <c r="L886" s="1282"/>
      <c r="M886" s="1282"/>
      <c r="N886" s="1282"/>
      <c r="O886" s="1282"/>
      <c r="P886" s="1282"/>
      <c r="Q886" s="1282"/>
      <c r="R886" s="1282"/>
      <c r="S886" s="1282"/>
      <c r="T886" s="1282"/>
      <c r="U886" s="1282"/>
      <c r="V886" s="1282"/>
      <c r="W886" s="1282"/>
      <c r="X886" s="1282"/>
      <c r="Y886" s="1282"/>
      <c r="Z886" s="1282"/>
    </row>
    <row r="887">
      <c r="A887" s="1282"/>
      <c r="B887" s="1282"/>
      <c r="C887" s="1282"/>
      <c r="D887" s="1282"/>
      <c r="E887" s="1282"/>
      <c r="F887" s="1282"/>
      <c r="G887" s="1282"/>
      <c r="H887" s="1282"/>
      <c r="I887" s="1282"/>
      <c r="J887" s="1282"/>
      <c r="K887" s="1282"/>
      <c r="L887" s="1282"/>
      <c r="M887" s="1282"/>
      <c r="N887" s="1282"/>
      <c r="O887" s="1282"/>
      <c r="P887" s="1282"/>
      <c r="Q887" s="1282"/>
      <c r="R887" s="1282"/>
      <c r="S887" s="1282"/>
      <c r="T887" s="1282"/>
      <c r="U887" s="1282"/>
      <c r="V887" s="1282"/>
      <c r="W887" s="1282"/>
      <c r="X887" s="1282"/>
      <c r="Y887" s="1282"/>
      <c r="Z887" s="1282"/>
    </row>
    <row r="888">
      <c r="A888" s="1282"/>
      <c r="B888" s="1282"/>
      <c r="C888" s="1282"/>
      <c r="D888" s="1282"/>
      <c r="E888" s="1282"/>
      <c r="F888" s="1282"/>
      <c r="G888" s="1282"/>
      <c r="H888" s="1282"/>
      <c r="I888" s="1282"/>
      <c r="J888" s="1282"/>
      <c r="K888" s="1282"/>
      <c r="L888" s="1282"/>
      <c r="M888" s="1282"/>
      <c r="N888" s="1282"/>
      <c r="O888" s="1282"/>
      <c r="P888" s="1282"/>
      <c r="Q888" s="1282"/>
      <c r="R888" s="1282"/>
      <c r="S888" s="1282"/>
      <c r="T888" s="1282"/>
      <c r="U888" s="1282"/>
      <c r="V888" s="1282"/>
      <c r="W888" s="1282"/>
      <c r="X888" s="1282"/>
      <c r="Y888" s="1282"/>
      <c r="Z888" s="1282"/>
    </row>
    <row r="889">
      <c r="A889" s="1282"/>
      <c r="B889" s="1282"/>
      <c r="C889" s="1282"/>
      <c r="D889" s="1282"/>
      <c r="E889" s="1282"/>
      <c r="F889" s="1282"/>
      <c r="G889" s="1282"/>
      <c r="H889" s="1282"/>
      <c r="I889" s="1282"/>
      <c r="J889" s="1282"/>
      <c r="K889" s="1282"/>
      <c r="L889" s="1282"/>
      <c r="M889" s="1282"/>
      <c r="N889" s="1282"/>
      <c r="O889" s="1282"/>
      <c r="P889" s="1282"/>
      <c r="Q889" s="1282"/>
      <c r="R889" s="1282"/>
      <c r="S889" s="1282"/>
      <c r="T889" s="1282"/>
      <c r="U889" s="1282"/>
      <c r="V889" s="1282"/>
      <c r="W889" s="1282"/>
      <c r="X889" s="1282"/>
      <c r="Y889" s="1282"/>
      <c r="Z889" s="1282"/>
    </row>
    <row r="890">
      <c r="A890" s="1282"/>
      <c r="B890" s="1282"/>
      <c r="C890" s="1282"/>
      <c r="D890" s="1282"/>
      <c r="E890" s="1282"/>
      <c r="F890" s="1282"/>
      <c r="G890" s="1282"/>
      <c r="H890" s="1282"/>
      <c r="I890" s="1282"/>
      <c r="J890" s="1282"/>
      <c r="K890" s="1282"/>
      <c r="L890" s="1282"/>
      <c r="M890" s="1282"/>
      <c r="N890" s="1282"/>
      <c r="O890" s="1282"/>
      <c r="P890" s="1282"/>
      <c r="Q890" s="1282"/>
      <c r="R890" s="1282"/>
      <c r="S890" s="1282"/>
      <c r="T890" s="1282"/>
      <c r="U890" s="1282"/>
      <c r="V890" s="1282"/>
      <c r="W890" s="1282"/>
      <c r="X890" s="1282"/>
      <c r="Y890" s="1282"/>
      <c r="Z890" s="1282"/>
    </row>
    <row r="891">
      <c r="A891" s="1282"/>
      <c r="B891" s="1282"/>
      <c r="C891" s="1282"/>
      <c r="D891" s="1282"/>
      <c r="E891" s="1282"/>
      <c r="F891" s="1282"/>
      <c r="G891" s="1282"/>
      <c r="H891" s="1282"/>
      <c r="I891" s="1282"/>
      <c r="J891" s="1282"/>
      <c r="K891" s="1282"/>
      <c r="L891" s="1282"/>
      <c r="M891" s="1282"/>
      <c r="N891" s="1282"/>
      <c r="O891" s="1282"/>
      <c r="P891" s="1282"/>
      <c r="Q891" s="1282"/>
      <c r="R891" s="1282"/>
      <c r="S891" s="1282"/>
      <c r="T891" s="1282"/>
      <c r="U891" s="1282"/>
      <c r="V891" s="1282"/>
      <c r="W891" s="1282"/>
      <c r="X891" s="1282"/>
      <c r="Y891" s="1282"/>
      <c r="Z891" s="1282"/>
    </row>
    <row r="892">
      <c r="A892" s="1282"/>
      <c r="B892" s="1282"/>
      <c r="C892" s="1282"/>
      <c r="D892" s="1282"/>
      <c r="E892" s="1282"/>
      <c r="F892" s="1282"/>
      <c r="G892" s="1282"/>
      <c r="H892" s="1282"/>
      <c r="I892" s="1282"/>
      <c r="J892" s="1282"/>
      <c r="K892" s="1282"/>
      <c r="L892" s="1282"/>
      <c r="M892" s="1282"/>
      <c r="N892" s="1282"/>
      <c r="O892" s="1282"/>
      <c r="P892" s="1282"/>
      <c r="Q892" s="1282"/>
      <c r="R892" s="1282"/>
      <c r="S892" s="1282"/>
      <c r="T892" s="1282"/>
      <c r="U892" s="1282"/>
      <c r="V892" s="1282"/>
      <c r="W892" s="1282"/>
      <c r="X892" s="1282"/>
      <c r="Y892" s="1282"/>
      <c r="Z892" s="1282"/>
    </row>
    <row r="893">
      <c r="A893" s="1282"/>
      <c r="B893" s="1282"/>
      <c r="C893" s="1282"/>
      <c r="D893" s="1282"/>
      <c r="E893" s="1282"/>
      <c r="F893" s="1282"/>
      <c r="G893" s="1282"/>
      <c r="H893" s="1282"/>
      <c r="I893" s="1282"/>
      <c r="J893" s="1282"/>
      <c r="K893" s="1282"/>
      <c r="L893" s="1282"/>
      <c r="M893" s="1282"/>
      <c r="N893" s="1282"/>
      <c r="O893" s="1282"/>
      <c r="P893" s="1282"/>
      <c r="Q893" s="1282"/>
      <c r="R893" s="1282"/>
      <c r="S893" s="1282"/>
      <c r="T893" s="1282"/>
      <c r="U893" s="1282"/>
      <c r="V893" s="1282"/>
      <c r="W893" s="1282"/>
      <c r="X893" s="1282"/>
      <c r="Y893" s="1282"/>
      <c r="Z893" s="1282"/>
    </row>
    <row r="894">
      <c r="A894" s="1282"/>
      <c r="B894" s="1282"/>
      <c r="C894" s="1282"/>
      <c r="D894" s="1282"/>
      <c r="E894" s="1282"/>
      <c r="F894" s="1282"/>
      <c r="G894" s="1282"/>
      <c r="H894" s="1282"/>
      <c r="I894" s="1282"/>
      <c r="J894" s="1282"/>
      <c r="K894" s="1282"/>
      <c r="L894" s="1282"/>
      <c r="M894" s="1282"/>
      <c r="N894" s="1282"/>
      <c r="O894" s="1282"/>
      <c r="P894" s="1282"/>
      <c r="Q894" s="1282"/>
      <c r="R894" s="1282"/>
      <c r="S894" s="1282"/>
      <c r="T894" s="1282"/>
      <c r="U894" s="1282"/>
      <c r="V894" s="1282"/>
      <c r="W894" s="1282"/>
      <c r="X894" s="1282"/>
      <c r="Y894" s="1282"/>
      <c r="Z894" s="1282"/>
    </row>
    <row r="895">
      <c r="A895" s="1282"/>
      <c r="B895" s="1282"/>
      <c r="C895" s="1282"/>
      <c r="D895" s="1282"/>
      <c r="E895" s="1282"/>
      <c r="F895" s="1282"/>
      <c r="G895" s="1282"/>
      <c r="H895" s="1282"/>
      <c r="I895" s="1282"/>
      <c r="J895" s="1282"/>
      <c r="K895" s="1282"/>
      <c r="L895" s="1282"/>
      <c r="M895" s="1282"/>
      <c r="N895" s="1282"/>
      <c r="O895" s="1282"/>
      <c r="P895" s="1282"/>
      <c r="Q895" s="1282"/>
      <c r="R895" s="1282"/>
      <c r="S895" s="1282"/>
      <c r="T895" s="1282"/>
      <c r="U895" s="1282"/>
      <c r="V895" s="1282"/>
      <c r="W895" s="1282"/>
      <c r="X895" s="1282"/>
      <c r="Y895" s="1282"/>
      <c r="Z895" s="1282"/>
    </row>
    <row r="896">
      <c r="A896" s="1282"/>
      <c r="B896" s="1282"/>
      <c r="C896" s="1282"/>
      <c r="D896" s="1282"/>
      <c r="E896" s="1282"/>
      <c r="F896" s="1282"/>
      <c r="G896" s="1282"/>
      <c r="H896" s="1282"/>
      <c r="I896" s="1282"/>
      <c r="J896" s="1282"/>
      <c r="K896" s="1282"/>
      <c r="L896" s="1282"/>
      <c r="M896" s="1282"/>
      <c r="N896" s="1282"/>
      <c r="O896" s="1282"/>
      <c r="P896" s="1282"/>
      <c r="Q896" s="1282"/>
      <c r="R896" s="1282"/>
      <c r="S896" s="1282"/>
      <c r="T896" s="1282"/>
      <c r="U896" s="1282"/>
      <c r="V896" s="1282"/>
      <c r="W896" s="1282"/>
      <c r="X896" s="1282"/>
      <c r="Y896" s="1282"/>
      <c r="Z896" s="1282"/>
    </row>
    <row r="897">
      <c r="A897" s="1282"/>
      <c r="B897" s="1282"/>
      <c r="C897" s="1282"/>
      <c r="D897" s="1282"/>
      <c r="E897" s="1282"/>
      <c r="F897" s="1282"/>
      <c r="G897" s="1282"/>
      <c r="H897" s="1282"/>
      <c r="I897" s="1282"/>
      <c r="J897" s="1282"/>
      <c r="K897" s="1282"/>
      <c r="L897" s="1282"/>
      <c r="M897" s="1282"/>
      <c r="N897" s="1282"/>
      <c r="O897" s="1282"/>
      <c r="P897" s="1282"/>
      <c r="Q897" s="1282"/>
      <c r="R897" s="1282"/>
      <c r="S897" s="1282"/>
      <c r="T897" s="1282"/>
      <c r="U897" s="1282"/>
      <c r="V897" s="1282"/>
      <c r="W897" s="1282"/>
      <c r="X897" s="1282"/>
      <c r="Y897" s="1282"/>
      <c r="Z897" s="1282"/>
    </row>
    <row r="898">
      <c r="A898" s="1282"/>
      <c r="B898" s="1282"/>
      <c r="C898" s="1282"/>
      <c r="D898" s="1282"/>
      <c r="E898" s="1282"/>
      <c r="F898" s="1282"/>
      <c r="G898" s="1282"/>
      <c r="H898" s="1282"/>
      <c r="I898" s="1282"/>
      <c r="J898" s="1282"/>
      <c r="K898" s="1282"/>
      <c r="L898" s="1282"/>
      <c r="M898" s="1282"/>
      <c r="N898" s="1282"/>
      <c r="O898" s="1282"/>
      <c r="P898" s="1282"/>
      <c r="Q898" s="1282"/>
      <c r="R898" s="1282"/>
      <c r="S898" s="1282"/>
      <c r="T898" s="1282"/>
      <c r="U898" s="1282"/>
      <c r="V898" s="1282"/>
      <c r="W898" s="1282"/>
      <c r="X898" s="1282"/>
      <c r="Y898" s="1282"/>
      <c r="Z898" s="1282"/>
    </row>
    <row r="899">
      <c r="A899" s="1282"/>
      <c r="B899" s="1282"/>
      <c r="C899" s="1282"/>
      <c r="D899" s="1282"/>
      <c r="E899" s="1282"/>
      <c r="F899" s="1282"/>
      <c r="G899" s="1282"/>
      <c r="H899" s="1282"/>
      <c r="I899" s="1282"/>
      <c r="J899" s="1282"/>
      <c r="K899" s="1282"/>
      <c r="L899" s="1282"/>
      <c r="M899" s="1282"/>
      <c r="N899" s="1282"/>
      <c r="O899" s="1282"/>
      <c r="P899" s="1282"/>
      <c r="Q899" s="1282"/>
      <c r="R899" s="1282"/>
      <c r="S899" s="1282"/>
      <c r="T899" s="1282"/>
      <c r="U899" s="1282"/>
      <c r="V899" s="1282"/>
      <c r="W899" s="1282"/>
      <c r="X899" s="1282"/>
      <c r="Y899" s="1282"/>
      <c r="Z899" s="1282"/>
    </row>
    <row r="900">
      <c r="A900" s="1282"/>
      <c r="B900" s="1282"/>
      <c r="C900" s="1282"/>
      <c r="D900" s="1282"/>
      <c r="E900" s="1282"/>
      <c r="F900" s="1282"/>
      <c r="G900" s="1282"/>
      <c r="H900" s="1282"/>
      <c r="I900" s="1282"/>
      <c r="J900" s="1282"/>
      <c r="K900" s="1282"/>
      <c r="L900" s="1282"/>
      <c r="M900" s="1282"/>
      <c r="N900" s="1282"/>
      <c r="O900" s="1282"/>
      <c r="P900" s="1282"/>
      <c r="Q900" s="1282"/>
      <c r="R900" s="1282"/>
      <c r="S900" s="1282"/>
      <c r="T900" s="1282"/>
      <c r="U900" s="1282"/>
      <c r="V900" s="1282"/>
      <c r="W900" s="1282"/>
      <c r="X900" s="1282"/>
      <c r="Y900" s="1282"/>
      <c r="Z900" s="1282"/>
    </row>
    <row r="901">
      <c r="A901" s="1282"/>
      <c r="B901" s="1282"/>
      <c r="C901" s="1282"/>
      <c r="D901" s="1282"/>
      <c r="E901" s="1282"/>
      <c r="F901" s="1282"/>
      <c r="G901" s="1282"/>
      <c r="H901" s="1282"/>
      <c r="I901" s="1282"/>
      <c r="J901" s="1282"/>
      <c r="K901" s="1282"/>
      <c r="L901" s="1282"/>
      <c r="M901" s="1282"/>
      <c r="N901" s="1282"/>
      <c r="O901" s="1282"/>
      <c r="P901" s="1282"/>
      <c r="Q901" s="1282"/>
      <c r="R901" s="1282"/>
      <c r="S901" s="1282"/>
      <c r="T901" s="1282"/>
      <c r="U901" s="1282"/>
      <c r="V901" s="1282"/>
      <c r="W901" s="1282"/>
      <c r="X901" s="1282"/>
      <c r="Y901" s="1282"/>
      <c r="Z901" s="1282"/>
    </row>
    <row r="902">
      <c r="A902" s="1282"/>
      <c r="B902" s="1282"/>
      <c r="C902" s="1282"/>
      <c r="D902" s="1282"/>
      <c r="E902" s="1282"/>
      <c r="F902" s="1282"/>
      <c r="G902" s="1282"/>
      <c r="H902" s="1282"/>
      <c r="I902" s="1282"/>
      <c r="J902" s="1282"/>
      <c r="K902" s="1282"/>
      <c r="L902" s="1282"/>
      <c r="M902" s="1282"/>
      <c r="N902" s="1282"/>
      <c r="O902" s="1282"/>
      <c r="P902" s="1282"/>
      <c r="Q902" s="1282"/>
      <c r="R902" s="1282"/>
      <c r="S902" s="1282"/>
      <c r="T902" s="1282"/>
      <c r="U902" s="1282"/>
      <c r="V902" s="1282"/>
      <c r="W902" s="1282"/>
      <c r="X902" s="1282"/>
      <c r="Y902" s="1282"/>
      <c r="Z902" s="1282"/>
    </row>
    <row r="903">
      <c r="A903" s="1282"/>
      <c r="B903" s="1282"/>
      <c r="C903" s="1282"/>
      <c r="D903" s="1282"/>
      <c r="E903" s="1282"/>
      <c r="F903" s="1282"/>
      <c r="G903" s="1282"/>
      <c r="H903" s="1282"/>
      <c r="I903" s="1282"/>
      <c r="J903" s="1282"/>
      <c r="K903" s="1282"/>
      <c r="L903" s="1282"/>
      <c r="M903" s="1282"/>
      <c r="N903" s="1282"/>
      <c r="O903" s="1282"/>
      <c r="P903" s="1282"/>
      <c r="Q903" s="1282"/>
      <c r="R903" s="1282"/>
      <c r="S903" s="1282"/>
      <c r="T903" s="1282"/>
      <c r="U903" s="1282"/>
      <c r="V903" s="1282"/>
      <c r="W903" s="1282"/>
      <c r="X903" s="1282"/>
      <c r="Y903" s="1282"/>
      <c r="Z903" s="1282"/>
    </row>
    <row r="904">
      <c r="A904" s="1282"/>
      <c r="B904" s="1282"/>
      <c r="C904" s="1282"/>
      <c r="D904" s="1282"/>
      <c r="E904" s="1282"/>
      <c r="F904" s="1282"/>
      <c r="G904" s="1282"/>
      <c r="H904" s="1282"/>
      <c r="I904" s="1282"/>
      <c r="J904" s="1282"/>
      <c r="K904" s="1282"/>
      <c r="L904" s="1282"/>
      <c r="M904" s="1282"/>
      <c r="N904" s="1282"/>
      <c r="O904" s="1282"/>
      <c r="P904" s="1282"/>
      <c r="Q904" s="1282"/>
      <c r="R904" s="1282"/>
      <c r="S904" s="1282"/>
      <c r="T904" s="1282"/>
      <c r="U904" s="1282"/>
      <c r="V904" s="1282"/>
      <c r="W904" s="1282"/>
      <c r="X904" s="1282"/>
      <c r="Y904" s="1282"/>
      <c r="Z904" s="1282"/>
    </row>
    <row r="905">
      <c r="A905" s="1282"/>
      <c r="B905" s="1282"/>
      <c r="C905" s="1282"/>
      <c r="D905" s="1282"/>
      <c r="E905" s="1282"/>
      <c r="F905" s="1282"/>
      <c r="G905" s="1282"/>
      <c r="H905" s="1282"/>
      <c r="I905" s="1282"/>
      <c r="J905" s="1282"/>
      <c r="K905" s="1282"/>
      <c r="L905" s="1282"/>
      <c r="M905" s="1282"/>
      <c r="N905" s="1282"/>
      <c r="O905" s="1282"/>
      <c r="P905" s="1282"/>
      <c r="Q905" s="1282"/>
      <c r="R905" s="1282"/>
      <c r="S905" s="1282"/>
      <c r="T905" s="1282"/>
      <c r="U905" s="1282"/>
      <c r="V905" s="1282"/>
      <c r="W905" s="1282"/>
      <c r="X905" s="1282"/>
      <c r="Y905" s="1282"/>
      <c r="Z905" s="1282"/>
    </row>
    <row r="906">
      <c r="A906" s="1282"/>
      <c r="B906" s="1282"/>
      <c r="C906" s="1282"/>
      <c r="D906" s="1282"/>
      <c r="E906" s="1282"/>
      <c r="F906" s="1282"/>
      <c r="G906" s="1282"/>
      <c r="H906" s="1282"/>
      <c r="I906" s="1282"/>
      <c r="J906" s="1282"/>
      <c r="K906" s="1282"/>
      <c r="L906" s="1282"/>
      <c r="M906" s="1282"/>
      <c r="N906" s="1282"/>
      <c r="O906" s="1282"/>
      <c r="P906" s="1282"/>
      <c r="Q906" s="1282"/>
      <c r="R906" s="1282"/>
      <c r="S906" s="1282"/>
      <c r="T906" s="1282"/>
      <c r="U906" s="1282"/>
      <c r="V906" s="1282"/>
      <c r="W906" s="1282"/>
      <c r="X906" s="1282"/>
      <c r="Y906" s="1282"/>
      <c r="Z906" s="1282"/>
    </row>
    <row r="907">
      <c r="A907" s="1282"/>
      <c r="B907" s="1282"/>
      <c r="C907" s="1282"/>
      <c r="D907" s="1282"/>
      <c r="E907" s="1282"/>
      <c r="F907" s="1282"/>
      <c r="G907" s="1282"/>
      <c r="H907" s="1282"/>
      <c r="I907" s="1282"/>
      <c r="J907" s="1282"/>
      <c r="K907" s="1282"/>
      <c r="L907" s="1282"/>
      <c r="M907" s="1282"/>
      <c r="N907" s="1282"/>
      <c r="O907" s="1282"/>
      <c r="P907" s="1282"/>
      <c r="Q907" s="1282"/>
      <c r="R907" s="1282"/>
      <c r="S907" s="1282"/>
      <c r="T907" s="1282"/>
      <c r="U907" s="1282"/>
      <c r="V907" s="1282"/>
      <c r="W907" s="1282"/>
      <c r="X907" s="1282"/>
      <c r="Y907" s="1282"/>
      <c r="Z907" s="1282"/>
    </row>
    <row r="908">
      <c r="A908" s="1282"/>
      <c r="B908" s="1282"/>
      <c r="C908" s="1282"/>
      <c r="D908" s="1282"/>
      <c r="E908" s="1282"/>
      <c r="F908" s="1282"/>
      <c r="G908" s="1282"/>
      <c r="H908" s="1282"/>
      <c r="I908" s="1282"/>
      <c r="J908" s="1282"/>
      <c r="K908" s="1282"/>
      <c r="L908" s="1282"/>
      <c r="M908" s="1282"/>
      <c r="N908" s="1282"/>
      <c r="O908" s="1282"/>
      <c r="P908" s="1282"/>
      <c r="Q908" s="1282"/>
      <c r="R908" s="1282"/>
      <c r="S908" s="1282"/>
      <c r="T908" s="1282"/>
      <c r="U908" s="1282"/>
      <c r="V908" s="1282"/>
      <c r="W908" s="1282"/>
      <c r="X908" s="1282"/>
      <c r="Y908" s="1282"/>
      <c r="Z908" s="1282"/>
    </row>
    <row r="909">
      <c r="A909" s="1282"/>
      <c r="B909" s="1282"/>
      <c r="C909" s="1282"/>
      <c r="D909" s="1282"/>
      <c r="E909" s="1282"/>
      <c r="F909" s="1282"/>
      <c r="G909" s="1282"/>
      <c r="H909" s="1282"/>
      <c r="I909" s="1282"/>
      <c r="J909" s="1282"/>
      <c r="K909" s="1282"/>
      <c r="L909" s="1282"/>
      <c r="M909" s="1282"/>
      <c r="N909" s="1282"/>
      <c r="O909" s="1282"/>
      <c r="P909" s="1282"/>
      <c r="Q909" s="1282"/>
      <c r="R909" s="1282"/>
      <c r="S909" s="1282"/>
      <c r="T909" s="1282"/>
      <c r="U909" s="1282"/>
      <c r="V909" s="1282"/>
      <c r="W909" s="1282"/>
      <c r="X909" s="1282"/>
      <c r="Y909" s="1282"/>
      <c r="Z909" s="1282"/>
    </row>
    <row r="910">
      <c r="A910" s="1282"/>
      <c r="B910" s="1282"/>
      <c r="C910" s="1282"/>
      <c r="D910" s="1282"/>
      <c r="E910" s="1282"/>
      <c r="F910" s="1282"/>
      <c r="G910" s="1282"/>
      <c r="H910" s="1282"/>
      <c r="I910" s="1282"/>
      <c r="J910" s="1282"/>
      <c r="K910" s="1282"/>
      <c r="L910" s="1282"/>
      <c r="M910" s="1282"/>
      <c r="N910" s="1282"/>
      <c r="O910" s="1282"/>
      <c r="P910" s="1282"/>
      <c r="Q910" s="1282"/>
      <c r="R910" s="1282"/>
      <c r="S910" s="1282"/>
      <c r="T910" s="1282"/>
      <c r="U910" s="1282"/>
      <c r="V910" s="1282"/>
      <c r="W910" s="1282"/>
      <c r="X910" s="1282"/>
      <c r="Y910" s="1282"/>
      <c r="Z910" s="1282"/>
    </row>
    <row r="911">
      <c r="A911" s="1282"/>
      <c r="B911" s="1282"/>
      <c r="C911" s="1282"/>
      <c r="D911" s="1282"/>
      <c r="E911" s="1282"/>
      <c r="F911" s="1282"/>
      <c r="G911" s="1282"/>
      <c r="H911" s="1282"/>
      <c r="I911" s="1282"/>
      <c r="J911" s="1282"/>
      <c r="K911" s="1282"/>
      <c r="L911" s="1282"/>
      <c r="M911" s="1282"/>
      <c r="N911" s="1282"/>
      <c r="O911" s="1282"/>
      <c r="P911" s="1282"/>
      <c r="Q911" s="1282"/>
      <c r="R911" s="1282"/>
      <c r="S911" s="1282"/>
      <c r="T911" s="1282"/>
      <c r="U911" s="1282"/>
      <c r="V911" s="1282"/>
      <c r="W911" s="1282"/>
      <c r="X911" s="1282"/>
      <c r="Y911" s="1282"/>
      <c r="Z911" s="1282"/>
    </row>
    <row r="912">
      <c r="A912" s="1282"/>
      <c r="B912" s="1282"/>
      <c r="C912" s="1282"/>
      <c r="D912" s="1282"/>
      <c r="E912" s="1282"/>
      <c r="F912" s="1282"/>
      <c r="G912" s="1282"/>
      <c r="H912" s="1282"/>
      <c r="I912" s="1282"/>
      <c r="J912" s="1282"/>
      <c r="K912" s="1282"/>
      <c r="L912" s="1282"/>
      <c r="M912" s="1282"/>
      <c r="N912" s="1282"/>
      <c r="O912" s="1282"/>
      <c r="P912" s="1282"/>
      <c r="Q912" s="1282"/>
      <c r="R912" s="1282"/>
      <c r="S912" s="1282"/>
      <c r="T912" s="1282"/>
      <c r="U912" s="1282"/>
      <c r="V912" s="1282"/>
      <c r="W912" s="1282"/>
      <c r="X912" s="1282"/>
      <c r="Y912" s="1282"/>
      <c r="Z912" s="1282"/>
    </row>
    <row r="913">
      <c r="A913" s="1282"/>
      <c r="B913" s="1282"/>
      <c r="C913" s="1282"/>
      <c r="D913" s="1282"/>
      <c r="E913" s="1282"/>
      <c r="F913" s="1282"/>
      <c r="G913" s="1282"/>
      <c r="H913" s="1282"/>
      <c r="I913" s="1282"/>
      <c r="J913" s="1282"/>
      <c r="K913" s="1282"/>
      <c r="L913" s="1282"/>
      <c r="M913" s="1282"/>
      <c r="N913" s="1282"/>
      <c r="O913" s="1282"/>
      <c r="P913" s="1282"/>
      <c r="Q913" s="1282"/>
      <c r="R913" s="1282"/>
      <c r="S913" s="1282"/>
      <c r="T913" s="1282"/>
      <c r="U913" s="1282"/>
      <c r="V913" s="1282"/>
      <c r="W913" s="1282"/>
      <c r="X913" s="1282"/>
      <c r="Y913" s="1282"/>
      <c r="Z913" s="1282"/>
    </row>
    <row r="914">
      <c r="A914" s="1282"/>
      <c r="B914" s="1282"/>
      <c r="C914" s="1282"/>
      <c r="D914" s="1282"/>
      <c r="E914" s="1282"/>
      <c r="F914" s="1282"/>
      <c r="G914" s="1282"/>
      <c r="H914" s="1282"/>
      <c r="I914" s="1282"/>
      <c r="J914" s="1282"/>
      <c r="K914" s="1282"/>
      <c r="L914" s="1282"/>
      <c r="M914" s="1282"/>
      <c r="N914" s="1282"/>
      <c r="O914" s="1282"/>
      <c r="P914" s="1282"/>
      <c r="Q914" s="1282"/>
      <c r="R914" s="1282"/>
      <c r="S914" s="1282"/>
      <c r="T914" s="1282"/>
      <c r="U914" s="1282"/>
      <c r="V914" s="1282"/>
      <c r="W914" s="1282"/>
      <c r="X914" s="1282"/>
      <c r="Y914" s="1282"/>
      <c r="Z914" s="1282"/>
    </row>
    <row r="915">
      <c r="A915" s="1282"/>
      <c r="B915" s="1282"/>
      <c r="C915" s="1282"/>
      <c r="D915" s="1282"/>
      <c r="E915" s="1282"/>
      <c r="F915" s="1282"/>
      <c r="G915" s="1282"/>
      <c r="H915" s="1282"/>
      <c r="I915" s="1282"/>
      <c r="J915" s="1282"/>
      <c r="K915" s="1282"/>
      <c r="L915" s="1282"/>
      <c r="M915" s="1282"/>
      <c r="N915" s="1282"/>
      <c r="O915" s="1282"/>
      <c r="P915" s="1282"/>
      <c r="Q915" s="1282"/>
      <c r="R915" s="1282"/>
      <c r="S915" s="1282"/>
      <c r="T915" s="1282"/>
      <c r="U915" s="1282"/>
      <c r="V915" s="1282"/>
      <c r="W915" s="1282"/>
      <c r="X915" s="1282"/>
      <c r="Y915" s="1282"/>
      <c r="Z915" s="1282"/>
    </row>
    <row r="916">
      <c r="A916" s="1282"/>
      <c r="B916" s="1282"/>
      <c r="C916" s="1282"/>
      <c r="D916" s="1282"/>
      <c r="E916" s="1282"/>
      <c r="F916" s="1282"/>
      <c r="G916" s="1282"/>
      <c r="H916" s="1282"/>
      <c r="I916" s="1282"/>
      <c r="J916" s="1282"/>
      <c r="K916" s="1282"/>
      <c r="L916" s="1282"/>
      <c r="M916" s="1282"/>
      <c r="N916" s="1282"/>
      <c r="O916" s="1282"/>
      <c r="P916" s="1282"/>
      <c r="Q916" s="1282"/>
      <c r="R916" s="1282"/>
      <c r="S916" s="1282"/>
      <c r="T916" s="1282"/>
      <c r="U916" s="1282"/>
      <c r="V916" s="1282"/>
      <c r="W916" s="1282"/>
      <c r="X916" s="1282"/>
      <c r="Y916" s="1282"/>
      <c r="Z916" s="1282"/>
    </row>
    <row r="917">
      <c r="A917" s="1282"/>
      <c r="B917" s="1282"/>
      <c r="C917" s="1282"/>
      <c r="D917" s="1282"/>
      <c r="E917" s="1282"/>
      <c r="F917" s="1282"/>
      <c r="G917" s="1282"/>
      <c r="H917" s="1282"/>
      <c r="I917" s="1282"/>
      <c r="J917" s="1282"/>
      <c r="K917" s="1282"/>
      <c r="L917" s="1282"/>
      <c r="M917" s="1282"/>
      <c r="N917" s="1282"/>
      <c r="O917" s="1282"/>
      <c r="P917" s="1282"/>
      <c r="Q917" s="1282"/>
      <c r="R917" s="1282"/>
      <c r="S917" s="1282"/>
      <c r="T917" s="1282"/>
      <c r="U917" s="1282"/>
      <c r="V917" s="1282"/>
      <c r="W917" s="1282"/>
      <c r="X917" s="1282"/>
      <c r="Y917" s="1282"/>
      <c r="Z917" s="1282"/>
    </row>
    <row r="918">
      <c r="A918" s="1282"/>
      <c r="B918" s="1282"/>
      <c r="C918" s="1282"/>
      <c r="D918" s="1282"/>
      <c r="E918" s="1282"/>
      <c r="F918" s="1282"/>
      <c r="G918" s="1282"/>
      <c r="H918" s="1282"/>
      <c r="I918" s="1282"/>
      <c r="J918" s="1282"/>
      <c r="K918" s="1282"/>
      <c r="L918" s="1282"/>
      <c r="M918" s="1282"/>
      <c r="N918" s="1282"/>
      <c r="O918" s="1282"/>
      <c r="P918" s="1282"/>
      <c r="Q918" s="1282"/>
      <c r="R918" s="1282"/>
      <c r="S918" s="1282"/>
      <c r="T918" s="1282"/>
      <c r="U918" s="1282"/>
      <c r="V918" s="1282"/>
      <c r="W918" s="1282"/>
      <c r="X918" s="1282"/>
      <c r="Y918" s="1282"/>
      <c r="Z918" s="1282"/>
    </row>
    <row r="919">
      <c r="A919" s="1282"/>
      <c r="B919" s="1282"/>
      <c r="C919" s="1282"/>
      <c r="D919" s="1282"/>
      <c r="E919" s="1282"/>
      <c r="F919" s="1282"/>
      <c r="G919" s="1282"/>
      <c r="H919" s="1282"/>
      <c r="I919" s="1282"/>
      <c r="J919" s="1282"/>
      <c r="K919" s="1282"/>
      <c r="L919" s="1282"/>
      <c r="M919" s="1282"/>
      <c r="N919" s="1282"/>
      <c r="O919" s="1282"/>
      <c r="P919" s="1282"/>
      <c r="Q919" s="1282"/>
      <c r="R919" s="1282"/>
      <c r="S919" s="1282"/>
      <c r="T919" s="1282"/>
      <c r="U919" s="1282"/>
      <c r="V919" s="1282"/>
      <c r="W919" s="1282"/>
      <c r="X919" s="1282"/>
      <c r="Y919" s="1282"/>
      <c r="Z919" s="1282"/>
    </row>
    <row r="920">
      <c r="A920" s="1282"/>
      <c r="B920" s="1282"/>
      <c r="C920" s="1282"/>
      <c r="D920" s="1282"/>
      <c r="E920" s="1282"/>
      <c r="F920" s="1282"/>
      <c r="G920" s="1282"/>
      <c r="H920" s="1282"/>
      <c r="I920" s="1282"/>
      <c r="J920" s="1282"/>
      <c r="K920" s="1282"/>
      <c r="L920" s="1282"/>
      <c r="M920" s="1282"/>
      <c r="N920" s="1282"/>
      <c r="O920" s="1282"/>
      <c r="P920" s="1282"/>
      <c r="Q920" s="1282"/>
      <c r="R920" s="1282"/>
      <c r="S920" s="1282"/>
      <c r="T920" s="1282"/>
      <c r="U920" s="1282"/>
      <c r="V920" s="1282"/>
      <c r="W920" s="1282"/>
      <c r="X920" s="1282"/>
      <c r="Y920" s="1282"/>
      <c r="Z920" s="1282"/>
    </row>
    <row r="921">
      <c r="A921" s="1282"/>
      <c r="B921" s="1282"/>
      <c r="C921" s="1282"/>
      <c r="D921" s="1282"/>
      <c r="E921" s="1282"/>
      <c r="F921" s="1282"/>
      <c r="G921" s="1282"/>
      <c r="H921" s="1282"/>
      <c r="I921" s="1282"/>
      <c r="J921" s="1282"/>
      <c r="K921" s="1282"/>
      <c r="L921" s="1282"/>
      <c r="M921" s="1282"/>
      <c r="N921" s="1282"/>
      <c r="O921" s="1282"/>
      <c r="P921" s="1282"/>
      <c r="Q921" s="1282"/>
      <c r="R921" s="1282"/>
      <c r="S921" s="1282"/>
      <c r="T921" s="1282"/>
      <c r="U921" s="1282"/>
      <c r="V921" s="1282"/>
      <c r="W921" s="1282"/>
      <c r="X921" s="1282"/>
      <c r="Y921" s="1282"/>
      <c r="Z921" s="1282"/>
    </row>
    <row r="922">
      <c r="A922" s="1282"/>
      <c r="B922" s="1282"/>
      <c r="C922" s="1282"/>
      <c r="D922" s="1282"/>
      <c r="E922" s="1282"/>
      <c r="F922" s="1282"/>
      <c r="G922" s="1282"/>
      <c r="H922" s="1282"/>
      <c r="I922" s="1282"/>
      <c r="J922" s="1282"/>
      <c r="K922" s="1282"/>
      <c r="L922" s="1282"/>
      <c r="M922" s="1282"/>
      <c r="N922" s="1282"/>
      <c r="O922" s="1282"/>
      <c r="P922" s="1282"/>
      <c r="Q922" s="1282"/>
      <c r="R922" s="1282"/>
      <c r="S922" s="1282"/>
      <c r="T922" s="1282"/>
      <c r="U922" s="1282"/>
      <c r="V922" s="1282"/>
      <c r="W922" s="1282"/>
      <c r="X922" s="1282"/>
      <c r="Y922" s="1282"/>
      <c r="Z922" s="1282"/>
    </row>
    <row r="923">
      <c r="A923" s="1282"/>
      <c r="B923" s="1282"/>
      <c r="C923" s="1282"/>
      <c r="D923" s="1282"/>
      <c r="E923" s="1282"/>
      <c r="F923" s="1282"/>
      <c r="G923" s="1282"/>
      <c r="H923" s="1282"/>
      <c r="I923" s="1282"/>
      <c r="J923" s="1282"/>
      <c r="K923" s="1282"/>
      <c r="L923" s="1282"/>
      <c r="M923" s="1282"/>
      <c r="N923" s="1282"/>
      <c r="O923" s="1282"/>
      <c r="P923" s="1282"/>
      <c r="Q923" s="1282"/>
      <c r="R923" s="1282"/>
      <c r="S923" s="1282"/>
      <c r="T923" s="1282"/>
      <c r="U923" s="1282"/>
      <c r="V923" s="1282"/>
      <c r="W923" s="1282"/>
      <c r="X923" s="1282"/>
      <c r="Y923" s="1282"/>
      <c r="Z923" s="1282"/>
    </row>
    <row r="924">
      <c r="A924" s="1282"/>
      <c r="B924" s="1282"/>
      <c r="C924" s="1282"/>
      <c r="D924" s="1282"/>
      <c r="E924" s="1282"/>
      <c r="F924" s="1282"/>
      <c r="G924" s="1282"/>
      <c r="H924" s="1282"/>
      <c r="I924" s="1282"/>
      <c r="J924" s="1282"/>
      <c r="K924" s="1282"/>
      <c r="L924" s="1282"/>
      <c r="M924" s="1282"/>
      <c r="N924" s="1282"/>
      <c r="O924" s="1282"/>
      <c r="P924" s="1282"/>
      <c r="Q924" s="1282"/>
      <c r="R924" s="1282"/>
      <c r="S924" s="1282"/>
      <c r="T924" s="1282"/>
      <c r="U924" s="1282"/>
      <c r="V924" s="1282"/>
      <c r="W924" s="1282"/>
      <c r="X924" s="1282"/>
      <c r="Y924" s="1282"/>
      <c r="Z924" s="1282"/>
    </row>
    <row r="925">
      <c r="A925" s="1282"/>
      <c r="B925" s="1282"/>
      <c r="C925" s="1282"/>
      <c r="D925" s="1282"/>
      <c r="E925" s="1282"/>
      <c r="F925" s="1282"/>
      <c r="G925" s="1282"/>
      <c r="H925" s="1282"/>
      <c r="I925" s="1282"/>
      <c r="J925" s="1282"/>
      <c r="K925" s="1282"/>
      <c r="L925" s="1282"/>
      <c r="M925" s="1282"/>
      <c r="N925" s="1282"/>
      <c r="O925" s="1282"/>
      <c r="P925" s="1282"/>
      <c r="Q925" s="1282"/>
      <c r="R925" s="1282"/>
      <c r="S925" s="1282"/>
      <c r="T925" s="1282"/>
      <c r="U925" s="1282"/>
      <c r="V925" s="1282"/>
      <c r="W925" s="1282"/>
      <c r="X925" s="1282"/>
      <c r="Y925" s="1282"/>
      <c r="Z925" s="1282"/>
    </row>
    <row r="926">
      <c r="A926" s="1282"/>
      <c r="B926" s="1282"/>
      <c r="C926" s="1282"/>
      <c r="D926" s="1282"/>
      <c r="E926" s="1282"/>
      <c r="F926" s="1282"/>
      <c r="G926" s="1282"/>
      <c r="H926" s="1282"/>
      <c r="I926" s="1282"/>
      <c r="J926" s="1282"/>
      <c r="K926" s="1282"/>
      <c r="L926" s="1282"/>
      <c r="M926" s="1282"/>
      <c r="N926" s="1282"/>
      <c r="O926" s="1282"/>
      <c r="P926" s="1282"/>
      <c r="Q926" s="1282"/>
      <c r="R926" s="1282"/>
      <c r="S926" s="1282"/>
      <c r="T926" s="1282"/>
      <c r="U926" s="1282"/>
      <c r="V926" s="1282"/>
      <c r="W926" s="1282"/>
      <c r="X926" s="1282"/>
      <c r="Y926" s="1282"/>
      <c r="Z926" s="1282"/>
    </row>
    <row r="927">
      <c r="A927" s="1282"/>
      <c r="B927" s="1282"/>
      <c r="C927" s="1282"/>
      <c r="D927" s="1282"/>
      <c r="E927" s="1282"/>
      <c r="F927" s="1282"/>
      <c r="G927" s="1282"/>
      <c r="H927" s="1282"/>
      <c r="I927" s="1282"/>
      <c r="J927" s="1282"/>
      <c r="K927" s="1282"/>
      <c r="L927" s="1282"/>
      <c r="M927" s="1282"/>
      <c r="N927" s="1282"/>
      <c r="O927" s="1282"/>
      <c r="P927" s="1282"/>
      <c r="Q927" s="1282"/>
      <c r="R927" s="1282"/>
      <c r="S927" s="1282"/>
      <c r="T927" s="1282"/>
      <c r="U927" s="1282"/>
      <c r="V927" s="1282"/>
      <c r="W927" s="1282"/>
      <c r="X927" s="1282"/>
      <c r="Y927" s="1282"/>
      <c r="Z927" s="1282"/>
    </row>
    <row r="928">
      <c r="A928" s="1282"/>
      <c r="B928" s="1282"/>
      <c r="C928" s="1282"/>
      <c r="D928" s="1282"/>
      <c r="E928" s="1282"/>
      <c r="F928" s="1282"/>
      <c r="G928" s="1282"/>
      <c r="H928" s="1282"/>
      <c r="I928" s="1282"/>
      <c r="J928" s="1282"/>
      <c r="K928" s="1282"/>
      <c r="L928" s="1282"/>
      <c r="M928" s="1282"/>
      <c r="N928" s="1282"/>
      <c r="O928" s="1282"/>
      <c r="P928" s="1282"/>
      <c r="Q928" s="1282"/>
      <c r="R928" s="1282"/>
      <c r="S928" s="1282"/>
      <c r="T928" s="1282"/>
      <c r="U928" s="1282"/>
      <c r="V928" s="1282"/>
      <c r="W928" s="1282"/>
      <c r="X928" s="1282"/>
      <c r="Y928" s="1282"/>
      <c r="Z928" s="1282"/>
    </row>
    <row r="929">
      <c r="A929" s="1282"/>
      <c r="B929" s="1282"/>
      <c r="C929" s="1282"/>
      <c r="D929" s="1282"/>
      <c r="E929" s="1282"/>
      <c r="F929" s="1282"/>
      <c r="G929" s="1282"/>
      <c r="H929" s="1282"/>
      <c r="I929" s="1282"/>
      <c r="J929" s="1282"/>
      <c r="K929" s="1282"/>
      <c r="L929" s="1282"/>
      <c r="M929" s="1282"/>
      <c r="N929" s="1282"/>
      <c r="O929" s="1282"/>
      <c r="P929" s="1282"/>
      <c r="Q929" s="1282"/>
      <c r="R929" s="1282"/>
      <c r="S929" s="1282"/>
      <c r="T929" s="1282"/>
      <c r="U929" s="1282"/>
      <c r="V929" s="1282"/>
      <c r="W929" s="1282"/>
      <c r="X929" s="1282"/>
      <c r="Y929" s="1282"/>
      <c r="Z929" s="1282"/>
    </row>
    <row r="930">
      <c r="A930" s="1282"/>
      <c r="B930" s="1282"/>
      <c r="C930" s="1282"/>
      <c r="D930" s="1282"/>
      <c r="E930" s="1282"/>
      <c r="F930" s="1282"/>
      <c r="G930" s="1282"/>
      <c r="H930" s="1282"/>
      <c r="I930" s="1282"/>
      <c r="J930" s="1282"/>
      <c r="K930" s="1282"/>
      <c r="L930" s="1282"/>
      <c r="M930" s="1282"/>
      <c r="N930" s="1282"/>
      <c r="O930" s="1282"/>
      <c r="P930" s="1282"/>
      <c r="Q930" s="1282"/>
      <c r="R930" s="1282"/>
      <c r="S930" s="1282"/>
      <c r="T930" s="1282"/>
      <c r="U930" s="1282"/>
      <c r="V930" s="1282"/>
      <c r="W930" s="1282"/>
      <c r="X930" s="1282"/>
      <c r="Y930" s="1282"/>
      <c r="Z930" s="1282"/>
    </row>
    <row r="931">
      <c r="A931" s="1282"/>
      <c r="B931" s="1282"/>
      <c r="C931" s="1282"/>
      <c r="D931" s="1282"/>
      <c r="E931" s="1282"/>
      <c r="F931" s="1282"/>
      <c r="G931" s="1282"/>
      <c r="H931" s="1282"/>
      <c r="I931" s="1282"/>
      <c r="J931" s="1282"/>
      <c r="K931" s="1282"/>
      <c r="L931" s="1282"/>
      <c r="M931" s="1282"/>
      <c r="N931" s="1282"/>
      <c r="O931" s="1282"/>
      <c r="P931" s="1282"/>
      <c r="Q931" s="1282"/>
      <c r="R931" s="1282"/>
      <c r="S931" s="1282"/>
      <c r="T931" s="1282"/>
      <c r="U931" s="1282"/>
      <c r="V931" s="1282"/>
      <c r="W931" s="1282"/>
      <c r="X931" s="1282"/>
      <c r="Y931" s="1282"/>
      <c r="Z931" s="1282"/>
    </row>
    <row r="932">
      <c r="A932" s="1282"/>
      <c r="B932" s="1282"/>
      <c r="C932" s="1282"/>
      <c r="D932" s="1282"/>
      <c r="E932" s="1282"/>
      <c r="F932" s="1282"/>
      <c r="G932" s="1282"/>
      <c r="H932" s="1282"/>
      <c r="I932" s="1282"/>
      <c r="J932" s="1282"/>
      <c r="K932" s="1282"/>
      <c r="L932" s="1282"/>
      <c r="M932" s="1282"/>
      <c r="N932" s="1282"/>
      <c r="O932" s="1282"/>
      <c r="P932" s="1282"/>
      <c r="Q932" s="1282"/>
      <c r="R932" s="1282"/>
      <c r="S932" s="1282"/>
      <c r="T932" s="1282"/>
      <c r="U932" s="1282"/>
      <c r="V932" s="1282"/>
      <c r="W932" s="1282"/>
      <c r="X932" s="1282"/>
      <c r="Y932" s="1282"/>
      <c r="Z932" s="1282"/>
    </row>
    <row r="933">
      <c r="A933" s="1282"/>
      <c r="B933" s="1282"/>
      <c r="C933" s="1282"/>
      <c r="D933" s="1282"/>
      <c r="E933" s="1282"/>
      <c r="F933" s="1282"/>
      <c r="G933" s="1282"/>
      <c r="H933" s="1282"/>
      <c r="I933" s="1282"/>
      <c r="J933" s="1282"/>
      <c r="K933" s="1282"/>
      <c r="L933" s="1282"/>
      <c r="M933" s="1282"/>
      <c r="N933" s="1282"/>
      <c r="O933" s="1282"/>
      <c r="P933" s="1282"/>
      <c r="Q933" s="1282"/>
      <c r="R933" s="1282"/>
      <c r="S933" s="1282"/>
      <c r="T933" s="1282"/>
      <c r="U933" s="1282"/>
      <c r="V933" s="1282"/>
      <c r="W933" s="1282"/>
      <c r="X933" s="1282"/>
      <c r="Y933" s="1282"/>
      <c r="Z933" s="1282"/>
    </row>
    <row r="934">
      <c r="A934" s="1282"/>
      <c r="B934" s="1282"/>
      <c r="C934" s="1282"/>
      <c r="D934" s="1282"/>
      <c r="E934" s="1282"/>
      <c r="F934" s="1282"/>
      <c r="G934" s="1282"/>
      <c r="H934" s="1282"/>
      <c r="I934" s="1282"/>
      <c r="J934" s="1282"/>
      <c r="K934" s="1282"/>
      <c r="L934" s="1282"/>
      <c r="M934" s="1282"/>
      <c r="N934" s="1282"/>
      <c r="O934" s="1282"/>
      <c r="P934" s="1282"/>
      <c r="Q934" s="1282"/>
      <c r="R934" s="1282"/>
      <c r="S934" s="1282"/>
      <c r="T934" s="1282"/>
      <c r="U934" s="1282"/>
      <c r="V934" s="1282"/>
      <c r="W934" s="1282"/>
      <c r="X934" s="1282"/>
      <c r="Y934" s="1282"/>
      <c r="Z934" s="1282"/>
    </row>
    <row r="935">
      <c r="A935" s="1282"/>
      <c r="B935" s="1282"/>
      <c r="C935" s="1282"/>
      <c r="D935" s="1282"/>
      <c r="E935" s="1282"/>
      <c r="F935" s="1282"/>
      <c r="G935" s="1282"/>
      <c r="H935" s="1282"/>
      <c r="I935" s="1282"/>
      <c r="J935" s="1282"/>
      <c r="K935" s="1282"/>
      <c r="L935" s="1282"/>
      <c r="M935" s="1282"/>
      <c r="N935" s="1282"/>
      <c r="O935" s="1282"/>
      <c r="P935" s="1282"/>
      <c r="Q935" s="1282"/>
      <c r="R935" s="1282"/>
      <c r="S935" s="1282"/>
      <c r="T935" s="1282"/>
      <c r="U935" s="1282"/>
      <c r="V935" s="1282"/>
      <c r="W935" s="1282"/>
      <c r="X935" s="1282"/>
      <c r="Y935" s="1282"/>
      <c r="Z935" s="1282"/>
    </row>
    <row r="936">
      <c r="A936" s="1282"/>
      <c r="B936" s="1282"/>
      <c r="C936" s="1282"/>
      <c r="D936" s="1282"/>
      <c r="E936" s="1282"/>
      <c r="F936" s="1282"/>
      <c r="G936" s="1282"/>
      <c r="H936" s="1282"/>
      <c r="I936" s="1282"/>
      <c r="J936" s="1282"/>
      <c r="K936" s="1282"/>
      <c r="L936" s="1282"/>
      <c r="M936" s="1282"/>
      <c r="N936" s="1282"/>
      <c r="O936" s="1282"/>
      <c r="P936" s="1282"/>
      <c r="Q936" s="1282"/>
      <c r="R936" s="1282"/>
      <c r="S936" s="1282"/>
      <c r="T936" s="1282"/>
      <c r="U936" s="1282"/>
      <c r="V936" s="1282"/>
      <c r="W936" s="1282"/>
      <c r="X936" s="1282"/>
      <c r="Y936" s="1282"/>
      <c r="Z936" s="1282"/>
    </row>
    <row r="937">
      <c r="A937" s="1282"/>
      <c r="B937" s="1282"/>
      <c r="C937" s="1282"/>
      <c r="D937" s="1282"/>
      <c r="E937" s="1282"/>
      <c r="F937" s="1282"/>
      <c r="G937" s="1282"/>
      <c r="H937" s="1282"/>
      <c r="I937" s="1282"/>
      <c r="J937" s="1282"/>
      <c r="K937" s="1282"/>
      <c r="L937" s="1282"/>
      <c r="M937" s="1282"/>
      <c r="N937" s="1282"/>
      <c r="O937" s="1282"/>
      <c r="P937" s="1282"/>
      <c r="Q937" s="1282"/>
      <c r="R937" s="1282"/>
      <c r="S937" s="1282"/>
      <c r="T937" s="1282"/>
      <c r="U937" s="1282"/>
      <c r="V937" s="1282"/>
      <c r="W937" s="1282"/>
      <c r="X937" s="1282"/>
      <c r="Y937" s="1282"/>
      <c r="Z937" s="1282"/>
    </row>
    <row r="938">
      <c r="A938" s="1282"/>
      <c r="B938" s="1282"/>
      <c r="C938" s="1282"/>
      <c r="D938" s="1282"/>
      <c r="E938" s="1282"/>
      <c r="F938" s="1282"/>
      <c r="G938" s="1282"/>
      <c r="H938" s="1282"/>
      <c r="I938" s="1282"/>
      <c r="J938" s="1282"/>
      <c r="K938" s="1282"/>
      <c r="L938" s="1282"/>
      <c r="M938" s="1282"/>
      <c r="N938" s="1282"/>
      <c r="O938" s="1282"/>
      <c r="P938" s="1282"/>
      <c r="Q938" s="1282"/>
      <c r="R938" s="1282"/>
      <c r="S938" s="1282"/>
      <c r="T938" s="1282"/>
      <c r="U938" s="1282"/>
      <c r="V938" s="1282"/>
      <c r="W938" s="1282"/>
      <c r="X938" s="1282"/>
      <c r="Y938" s="1282"/>
      <c r="Z938" s="1282"/>
    </row>
    <row r="939">
      <c r="A939" s="1282"/>
      <c r="B939" s="1282"/>
      <c r="C939" s="1282"/>
      <c r="D939" s="1282"/>
      <c r="E939" s="1282"/>
      <c r="F939" s="1282"/>
      <c r="G939" s="1282"/>
      <c r="H939" s="1282"/>
      <c r="I939" s="1282"/>
      <c r="J939" s="1282"/>
      <c r="K939" s="1282"/>
      <c r="L939" s="1282"/>
      <c r="M939" s="1282"/>
      <c r="N939" s="1282"/>
      <c r="O939" s="1282"/>
      <c r="P939" s="1282"/>
      <c r="Q939" s="1282"/>
      <c r="R939" s="1282"/>
      <c r="S939" s="1282"/>
      <c r="T939" s="1282"/>
      <c r="U939" s="1282"/>
      <c r="V939" s="1282"/>
      <c r="W939" s="1282"/>
      <c r="X939" s="1282"/>
      <c r="Y939" s="1282"/>
      <c r="Z939" s="1282"/>
    </row>
    <row r="940">
      <c r="A940" s="1282"/>
      <c r="B940" s="1282"/>
      <c r="C940" s="1282"/>
      <c r="D940" s="1282"/>
      <c r="E940" s="1282"/>
      <c r="F940" s="1282"/>
      <c r="G940" s="1282"/>
      <c r="H940" s="1282"/>
      <c r="I940" s="1282"/>
      <c r="J940" s="1282"/>
      <c r="K940" s="1282"/>
      <c r="L940" s="1282"/>
      <c r="M940" s="1282"/>
      <c r="N940" s="1282"/>
      <c r="O940" s="1282"/>
      <c r="P940" s="1282"/>
      <c r="Q940" s="1282"/>
      <c r="R940" s="1282"/>
      <c r="S940" s="1282"/>
      <c r="T940" s="1282"/>
      <c r="U940" s="1282"/>
      <c r="V940" s="1282"/>
      <c r="W940" s="1282"/>
      <c r="X940" s="1282"/>
      <c r="Y940" s="1282"/>
      <c r="Z940" s="1282"/>
    </row>
    <row r="941">
      <c r="A941" s="1282"/>
      <c r="B941" s="1282"/>
      <c r="C941" s="1282"/>
      <c r="D941" s="1282"/>
      <c r="E941" s="1282"/>
      <c r="F941" s="1282"/>
      <c r="G941" s="1282"/>
      <c r="H941" s="1282"/>
      <c r="I941" s="1282"/>
      <c r="J941" s="1282"/>
      <c r="K941" s="1282"/>
      <c r="L941" s="1282"/>
      <c r="M941" s="1282"/>
      <c r="N941" s="1282"/>
      <c r="O941" s="1282"/>
      <c r="P941" s="1282"/>
      <c r="Q941" s="1282"/>
      <c r="R941" s="1282"/>
      <c r="S941" s="1282"/>
      <c r="T941" s="1282"/>
      <c r="U941" s="1282"/>
      <c r="V941" s="1282"/>
      <c r="W941" s="1282"/>
      <c r="X941" s="1282"/>
      <c r="Y941" s="1282"/>
      <c r="Z941" s="1282"/>
    </row>
    <row r="942">
      <c r="A942" s="1282"/>
      <c r="B942" s="1282"/>
      <c r="C942" s="1282"/>
      <c r="D942" s="1282"/>
      <c r="E942" s="1282"/>
      <c r="F942" s="1282"/>
      <c r="G942" s="1282"/>
      <c r="H942" s="1282"/>
      <c r="I942" s="1282"/>
      <c r="J942" s="1282"/>
      <c r="K942" s="1282"/>
      <c r="L942" s="1282"/>
      <c r="M942" s="1282"/>
      <c r="N942" s="1282"/>
      <c r="O942" s="1282"/>
      <c r="P942" s="1282"/>
      <c r="Q942" s="1282"/>
      <c r="R942" s="1282"/>
      <c r="S942" s="1282"/>
      <c r="T942" s="1282"/>
      <c r="U942" s="1282"/>
      <c r="V942" s="1282"/>
      <c r="W942" s="1282"/>
      <c r="X942" s="1282"/>
      <c r="Y942" s="1282"/>
      <c r="Z942" s="1282"/>
    </row>
    <row r="943">
      <c r="A943" s="1282"/>
      <c r="B943" s="1282"/>
      <c r="C943" s="1282"/>
      <c r="D943" s="1282"/>
      <c r="E943" s="1282"/>
      <c r="F943" s="1282"/>
      <c r="G943" s="1282"/>
      <c r="H943" s="1282"/>
      <c r="I943" s="1282"/>
      <c r="J943" s="1282"/>
      <c r="K943" s="1282"/>
      <c r="L943" s="1282"/>
      <c r="M943" s="1282"/>
      <c r="N943" s="1282"/>
      <c r="O943" s="1282"/>
      <c r="P943" s="1282"/>
      <c r="Q943" s="1282"/>
      <c r="R943" s="1282"/>
      <c r="S943" s="1282"/>
      <c r="T943" s="1282"/>
      <c r="U943" s="1282"/>
      <c r="V943" s="1282"/>
      <c r="W943" s="1282"/>
      <c r="X943" s="1282"/>
      <c r="Y943" s="1282"/>
      <c r="Z943" s="1282"/>
    </row>
    <row r="944">
      <c r="A944" s="1282"/>
      <c r="B944" s="1282"/>
      <c r="C944" s="1282"/>
      <c r="D944" s="1282"/>
      <c r="E944" s="1282"/>
      <c r="F944" s="1282"/>
      <c r="G944" s="1282"/>
      <c r="H944" s="1282"/>
      <c r="I944" s="1282"/>
      <c r="J944" s="1282"/>
      <c r="K944" s="1282"/>
      <c r="L944" s="1282"/>
      <c r="M944" s="1282"/>
      <c r="N944" s="1282"/>
      <c r="O944" s="1282"/>
      <c r="P944" s="1282"/>
      <c r="Q944" s="1282"/>
      <c r="R944" s="1282"/>
      <c r="S944" s="1282"/>
      <c r="T944" s="1282"/>
      <c r="U944" s="1282"/>
      <c r="V944" s="1282"/>
      <c r="W944" s="1282"/>
      <c r="X944" s="1282"/>
      <c r="Y944" s="1282"/>
      <c r="Z944" s="1282"/>
    </row>
    <row r="945">
      <c r="A945" s="1282"/>
      <c r="B945" s="1282"/>
      <c r="C945" s="1282"/>
      <c r="D945" s="1282"/>
      <c r="E945" s="1282"/>
      <c r="F945" s="1282"/>
      <c r="G945" s="1282"/>
      <c r="H945" s="1282"/>
      <c r="I945" s="1282"/>
      <c r="J945" s="1282"/>
      <c r="K945" s="1282"/>
      <c r="L945" s="1282"/>
      <c r="M945" s="1282"/>
      <c r="N945" s="1282"/>
      <c r="O945" s="1282"/>
      <c r="P945" s="1282"/>
      <c r="Q945" s="1282"/>
      <c r="R945" s="1282"/>
      <c r="S945" s="1282"/>
      <c r="T945" s="1282"/>
      <c r="U945" s="1282"/>
      <c r="V945" s="1282"/>
      <c r="W945" s="1282"/>
      <c r="X945" s="1282"/>
      <c r="Y945" s="1282"/>
      <c r="Z945" s="1282"/>
    </row>
    <row r="946">
      <c r="A946" s="1282"/>
      <c r="B946" s="1282"/>
      <c r="C946" s="1282"/>
      <c r="D946" s="1282"/>
      <c r="E946" s="1282"/>
      <c r="F946" s="1282"/>
      <c r="G946" s="1282"/>
      <c r="H946" s="1282"/>
      <c r="I946" s="1282"/>
      <c r="J946" s="1282"/>
      <c r="K946" s="1282"/>
      <c r="L946" s="1282"/>
      <c r="M946" s="1282"/>
      <c r="N946" s="1282"/>
      <c r="O946" s="1282"/>
      <c r="P946" s="1282"/>
      <c r="Q946" s="1282"/>
      <c r="R946" s="1282"/>
      <c r="S946" s="1282"/>
      <c r="T946" s="1282"/>
      <c r="U946" s="1282"/>
      <c r="V946" s="1282"/>
      <c r="W946" s="1282"/>
      <c r="X946" s="1282"/>
      <c r="Y946" s="1282"/>
      <c r="Z946" s="1282"/>
    </row>
    <row r="947">
      <c r="A947" s="1282"/>
      <c r="B947" s="1282"/>
      <c r="C947" s="1282"/>
      <c r="D947" s="1282"/>
      <c r="E947" s="1282"/>
      <c r="F947" s="1282"/>
      <c r="G947" s="1282"/>
      <c r="H947" s="1282"/>
      <c r="I947" s="1282"/>
      <c r="J947" s="1282"/>
      <c r="K947" s="1282"/>
      <c r="L947" s="1282"/>
      <c r="M947" s="1282"/>
      <c r="N947" s="1282"/>
      <c r="O947" s="1282"/>
      <c r="P947" s="1282"/>
      <c r="Q947" s="1282"/>
      <c r="R947" s="1282"/>
      <c r="S947" s="1282"/>
      <c r="T947" s="1282"/>
      <c r="U947" s="1282"/>
      <c r="V947" s="1282"/>
      <c r="W947" s="1282"/>
      <c r="X947" s="1282"/>
      <c r="Y947" s="1282"/>
      <c r="Z947" s="1282"/>
    </row>
    <row r="948">
      <c r="A948" s="1282"/>
      <c r="B948" s="1282"/>
      <c r="C948" s="1282"/>
      <c r="D948" s="1282"/>
      <c r="E948" s="1282"/>
      <c r="F948" s="1282"/>
      <c r="G948" s="1282"/>
      <c r="H948" s="1282"/>
      <c r="I948" s="1282"/>
      <c r="J948" s="1282"/>
      <c r="K948" s="1282"/>
      <c r="L948" s="1282"/>
      <c r="M948" s="1282"/>
      <c r="N948" s="1282"/>
      <c r="O948" s="1282"/>
      <c r="P948" s="1282"/>
      <c r="Q948" s="1282"/>
      <c r="R948" s="1282"/>
      <c r="S948" s="1282"/>
      <c r="T948" s="1282"/>
      <c r="U948" s="1282"/>
      <c r="V948" s="1282"/>
      <c r="W948" s="1282"/>
      <c r="X948" s="1282"/>
      <c r="Y948" s="1282"/>
      <c r="Z948" s="1282"/>
    </row>
    <row r="949">
      <c r="A949" s="1282"/>
      <c r="B949" s="1282"/>
      <c r="C949" s="1282"/>
      <c r="D949" s="1282"/>
      <c r="E949" s="1282"/>
      <c r="F949" s="1282"/>
      <c r="G949" s="1282"/>
      <c r="H949" s="1282"/>
      <c r="I949" s="1282"/>
      <c r="J949" s="1282"/>
      <c r="K949" s="1282"/>
      <c r="L949" s="1282"/>
      <c r="M949" s="1282"/>
      <c r="N949" s="1282"/>
      <c r="O949" s="1282"/>
      <c r="P949" s="1282"/>
      <c r="Q949" s="1282"/>
      <c r="R949" s="1282"/>
      <c r="S949" s="1282"/>
      <c r="T949" s="1282"/>
      <c r="U949" s="1282"/>
      <c r="V949" s="1282"/>
      <c r="W949" s="1282"/>
      <c r="X949" s="1282"/>
      <c r="Y949" s="1282"/>
      <c r="Z949" s="1282"/>
    </row>
    <row r="950">
      <c r="A950" s="1282"/>
      <c r="B950" s="1282"/>
      <c r="C950" s="1282"/>
      <c r="D950" s="1282"/>
      <c r="E950" s="1282"/>
      <c r="F950" s="1282"/>
      <c r="G950" s="1282"/>
      <c r="H950" s="1282"/>
      <c r="I950" s="1282"/>
      <c r="J950" s="1282"/>
      <c r="K950" s="1282"/>
      <c r="L950" s="1282"/>
      <c r="M950" s="1282"/>
      <c r="N950" s="1282"/>
      <c r="O950" s="1282"/>
      <c r="P950" s="1282"/>
      <c r="Q950" s="1282"/>
      <c r="R950" s="1282"/>
      <c r="S950" s="1282"/>
      <c r="T950" s="1282"/>
      <c r="U950" s="1282"/>
      <c r="V950" s="1282"/>
      <c r="W950" s="1282"/>
      <c r="X950" s="1282"/>
      <c r="Y950" s="1282"/>
      <c r="Z950" s="1282"/>
    </row>
    <row r="951">
      <c r="A951" s="1282"/>
      <c r="B951" s="1282"/>
      <c r="C951" s="1282"/>
      <c r="D951" s="1282"/>
      <c r="E951" s="1282"/>
      <c r="F951" s="1282"/>
      <c r="G951" s="1282"/>
      <c r="H951" s="1282"/>
      <c r="I951" s="1282"/>
      <c r="J951" s="1282"/>
      <c r="K951" s="1282"/>
      <c r="L951" s="1282"/>
      <c r="M951" s="1282"/>
      <c r="N951" s="1282"/>
      <c r="O951" s="1282"/>
      <c r="P951" s="1282"/>
      <c r="Q951" s="1282"/>
      <c r="R951" s="1282"/>
      <c r="S951" s="1282"/>
      <c r="T951" s="1282"/>
      <c r="U951" s="1282"/>
      <c r="V951" s="1282"/>
      <c r="W951" s="1282"/>
      <c r="X951" s="1282"/>
      <c r="Y951" s="1282"/>
      <c r="Z951" s="1282"/>
    </row>
    <row r="952">
      <c r="A952" s="1282"/>
      <c r="B952" s="1282"/>
      <c r="C952" s="1282"/>
      <c r="D952" s="1282"/>
      <c r="E952" s="1282"/>
      <c r="F952" s="1282"/>
      <c r="G952" s="1282"/>
      <c r="H952" s="1282"/>
      <c r="I952" s="1282"/>
      <c r="J952" s="1282"/>
      <c r="K952" s="1282"/>
      <c r="L952" s="1282"/>
      <c r="M952" s="1282"/>
      <c r="N952" s="1282"/>
      <c r="O952" s="1282"/>
      <c r="P952" s="1282"/>
      <c r="Q952" s="1282"/>
      <c r="R952" s="1282"/>
      <c r="S952" s="1282"/>
      <c r="T952" s="1282"/>
      <c r="U952" s="1282"/>
      <c r="V952" s="1282"/>
      <c r="W952" s="1282"/>
      <c r="X952" s="1282"/>
      <c r="Y952" s="1282"/>
      <c r="Z952" s="1282"/>
    </row>
    <row r="953">
      <c r="A953" s="1282"/>
      <c r="B953" s="1282"/>
      <c r="C953" s="1282"/>
      <c r="D953" s="1282"/>
      <c r="E953" s="1282"/>
      <c r="F953" s="1282"/>
      <c r="G953" s="1282"/>
      <c r="H953" s="1282"/>
      <c r="I953" s="1282"/>
      <c r="J953" s="1282"/>
      <c r="K953" s="1282"/>
      <c r="L953" s="1282"/>
      <c r="M953" s="1282"/>
      <c r="N953" s="1282"/>
      <c r="O953" s="1282"/>
      <c r="P953" s="1282"/>
      <c r="Q953" s="1282"/>
      <c r="R953" s="1282"/>
      <c r="S953" s="1282"/>
      <c r="T953" s="1282"/>
      <c r="U953" s="1282"/>
      <c r="V953" s="1282"/>
      <c r="W953" s="1282"/>
      <c r="X953" s="1282"/>
      <c r="Y953" s="1282"/>
      <c r="Z953" s="1282"/>
    </row>
    <row r="954">
      <c r="A954" s="1282"/>
      <c r="B954" s="1282"/>
      <c r="C954" s="1282"/>
      <c r="D954" s="1282"/>
      <c r="E954" s="1282"/>
      <c r="F954" s="1282"/>
      <c r="G954" s="1282"/>
      <c r="H954" s="1282"/>
      <c r="I954" s="1282"/>
      <c r="J954" s="1282"/>
      <c r="K954" s="1282"/>
      <c r="L954" s="1282"/>
      <c r="M954" s="1282"/>
      <c r="N954" s="1282"/>
      <c r="O954" s="1282"/>
      <c r="P954" s="1282"/>
      <c r="Q954" s="1282"/>
      <c r="R954" s="1282"/>
      <c r="S954" s="1282"/>
      <c r="T954" s="1282"/>
      <c r="U954" s="1282"/>
      <c r="V954" s="1282"/>
      <c r="W954" s="1282"/>
      <c r="X954" s="1282"/>
      <c r="Y954" s="1282"/>
      <c r="Z954" s="1282"/>
    </row>
    <row r="955">
      <c r="A955" s="1282"/>
      <c r="B955" s="1282"/>
      <c r="C955" s="1282"/>
      <c r="D955" s="1282"/>
      <c r="E955" s="1282"/>
      <c r="F955" s="1282"/>
      <c r="G955" s="1282"/>
      <c r="H955" s="1282"/>
      <c r="I955" s="1282"/>
      <c r="J955" s="1282"/>
      <c r="K955" s="1282"/>
      <c r="L955" s="1282"/>
      <c r="M955" s="1282"/>
      <c r="N955" s="1282"/>
      <c r="O955" s="1282"/>
      <c r="P955" s="1282"/>
      <c r="Q955" s="1282"/>
      <c r="R955" s="1282"/>
      <c r="S955" s="1282"/>
      <c r="T955" s="1282"/>
      <c r="U955" s="1282"/>
      <c r="V955" s="1282"/>
      <c r="W955" s="1282"/>
      <c r="X955" s="1282"/>
      <c r="Y955" s="1282"/>
      <c r="Z955" s="1282"/>
    </row>
    <row r="956">
      <c r="A956" s="1282"/>
      <c r="B956" s="1282"/>
      <c r="C956" s="1282"/>
      <c r="D956" s="1282"/>
      <c r="E956" s="1282"/>
      <c r="F956" s="1282"/>
      <c r="G956" s="1282"/>
      <c r="H956" s="1282"/>
      <c r="I956" s="1282"/>
      <c r="J956" s="1282"/>
      <c r="K956" s="1282"/>
      <c r="L956" s="1282"/>
      <c r="M956" s="1282"/>
      <c r="N956" s="1282"/>
      <c r="O956" s="1282"/>
      <c r="P956" s="1282"/>
      <c r="Q956" s="1282"/>
      <c r="R956" s="1282"/>
      <c r="S956" s="1282"/>
      <c r="T956" s="1282"/>
      <c r="U956" s="1282"/>
      <c r="V956" s="1282"/>
      <c r="W956" s="1282"/>
      <c r="X956" s="1282"/>
      <c r="Y956" s="1282"/>
      <c r="Z956" s="1282"/>
    </row>
    <row r="957">
      <c r="A957" s="1282"/>
      <c r="B957" s="1282"/>
      <c r="C957" s="1282"/>
      <c r="D957" s="1282"/>
      <c r="E957" s="1282"/>
      <c r="F957" s="1282"/>
      <c r="G957" s="1282"/>
      <c r="H957" s="1282"/>
      <c r="I957" s="1282"/>
      <c r="J957" s="1282"/>
      <c r="K957" s="1282"/>
      <c r="L957" s="1282"/>
      <c r="M957" s="1282"/>
      <c r="N957" s="1282"/>
      <c r="O957" s="1282"/>
      <c r="P957" s="1282"/>
      <c r="Q957" s="1282"/>
      <c r="R957" s="1282"/>
      <c r="S957" s="1282"/>
      <c r="T957" s="1282"/>
      <c r="U957" s="1282"/>
      <c r="V957" s="1282"/>
      <c r="W957" s="1282"/>
      <c r="X957" s="1282"/>
      <c r="Y957" s="1282"/>
      <c r="Z957" s="1282"/>
    </row>
    <row r="958">
      <c r="A958" s="1282"/>
      <c r="B958" s="1282"/>
      <c r="C958" s="1282"/>
      <c r="D958" s="1282"/>
      <c r="E958" s="1282"/>
      <c r="F958" s="1282"/>
      <c r="G958" s="1282"/>
      <c r="H958" s="1282"/>
      <c r="I958" s="1282"/>
      <c r="J958" s="1282"/>
      <c r="K958" s="1282"/>
      <c r="L958" s="1282"/>
      <c r="M958" s="1282"/>
      <c r="N958" s="1282"/>
      <c r="O958" s="1282"/>
      <c r="P958" s="1282"/>
      <c r="Q958" s="1282"/>
      <c r="R958" s="1282"/>
      <c r="S958" s="1282"/>
      <c r="T958" s="1282"/>
      <c r="U958" s="1282"/>
      <c r="V958" s="1282"/>
      <c r="W958" s="1282"/>
      <c r="X958" s="1282"/>
      <c r="Y958" s="1282"/>
      <c r="Z958" s="1282"/>
    </row>
    <row r="959">
      <c r="A959" s="1282"/>
      <c r="B959" s="1282"/>
      <c r="C959" s="1282"/>
      <c r="D959" s="1282"/>
      <c r="E959" s="1282"/>
      <c r="F959" s="1282"/>
      <c r="G959" s="1282"/>
      <c r="H959" s="1282"/>
      <c r="I959" s="1282"/>
      <c r="J959" s="1282"/>
      <c r="K959" s="1282"/>
      <c r="L959" s="1282"/>
      <c r="M959" s="1282"/>
      <c r="N959" s="1282"/>
      <c r="O959" s="1282"/>
      <c r="P959" s="1282"/>
      <c r="Q959" s="1282"/>
      <c r="R959" s="1282"/>
      <c r="S959" s="1282"/>
      <c r="T959" s="1282"/>
      <c r="U959" s="1282"/>
      <c r="V959" s="1282"/>
      <c r="W959" s="1282"/>
      <c r="X959" s="1282"/>
      <c r="Y959" s="1282"/>
      <c r="Z959" s="1282"/>
    </row>
    <row r="960">
      <c r="A960" s="1282"/>
      <c r="B960" s="1282"/>
      <c r="C960" s="1282"/>
      <c r="D960" s="1282"/>
      <c r="E960" s="1282"/>
      <c r="F960" s="1282"/>
      <c r="G960" s="1282"/>
      <c r="H960" s="1282"/>
      <c r="I960" s="1282"/>
      <c r="J960" s="1282"/>
      <c r="K960" s="1282"/>
      <c r="L960" s="1282"/>
      <c r="M960" s="1282"/>
      <c r="N960" s="1282"/>
      <c r="O960" s="1282"/>
      <c r="P960" s="1282"/>
      <c r="Q960" s="1282"/>
      <c r="R960" s="1282"/>
      <c r="S960" s="1282"/>
      <c r="T960" s="1282"/>
      <c r="U960" s="1282"/>
      <c r="V960" s="1282"/>
      <c r="W960" s="1282"/>
      <c r="X960" s="1282"/>
      <c r="Y960" s="1282"/>
      <c r="Z960" s="1282"/>
    </row>
    <row r="961">
      <c r="A961" s="1282"/>
      <c r="B961" s="1282"/>
      <c r="C961" s="1282"/>
      <c r="D961" s="1282"/>
      <c r="E961" s="1282"/>
      <c r="F961" s="1282"/>
      <c r="G961" s="1282"/>
      <c r="H961" s="1282"/>
      <c r="I961" s="1282"/>
      <c r="J961" s="1282"/>
      <c r="K961" s="1282"/>
      <c r="L961" s="1282"/>
      <c r="M961" s="1282"/>
      <c r="N961" s="1282"/>
      <c r="O961" s="1282"/>
      <c r="P961" s="1282"/>
      <c r="Q961" s="1282"/>
      <c r="R961" s="1282"/>
      <c r="S961" s="1282"/>
      <c r="T961" s="1282"/>
      <c r="U961" s="1282"/>
      <c r="V961" s="1282"/>
      <c r="W961" s="1282"/>
      <c r="X961" s="1282"/>
      <c r="Y961" s="1282"/>
      <c r="Z961" s="1282"/>
    </row>
    <row r="962">
      <c r="A962" s="1282"/>
      <c r="B962" s="1282"/>
      <c r="C962" s="1282"/>
      <c r="D962" s="1282"/>
      <c r="E962" s="1282"/>
      <c r="F962" s="1282"/>
      <c r="G962" s="1282"/>
      <c r="H962" s="1282"/>
      <c r="I962" s="1282"/>
      <c r="J962" s="1282"/>
      <c r="K962" s="1282"/>
      <c r="L962" s="1282"/>
      <c r="M962" s="1282"/>
      <c r="N962" s="1282"/>
      <c r="O962" s="1282"/>
      <c r="P962" s="1282"/>
      <c r="Q962" s="1282"/>
      <c r="R962" s="1282"/>
      <c r="S962" s="1282"/>
      <c r="T962" s="1282"/>
      <c r="U962" s="1282"/>
      <c r="V962" s="1282"/>
      <c r="W962" s="1282"/>
      <c r="X962" s="1282"/>
      <c r="Y962" s="1282"/>
      <c r="Z962" s="1282"/>
    </row>
    <row r="963">
      <c r="A963" s="1282"/>
      <c r="B963" s="1282"/>
      <c r="C963" s="1282"/>
      <c r="D963" s="1282"/>
      <c r="E963" s="1282"/>
      <c r="F963" s="1282"/>
      <c r="G963" s="1282"/>
      <c r="H963" s="1282"/>
      <c r="I963" s="1282"/>
      <c r="J963" s="1282"/>
      <c r="K963" s="1282"/>
      <c r="L963" s="1282"/>
      <c r="M963" s="1282"/>
      <c r="N963" s="1282"/>
      <c r="O963" s="1282"/>
      <c r="P963" s="1282"/>
      <c r="Q963" s="1282"/>
      <c r="R963" s="1282"/>
      <c r="S963" s="1282"/>
      <c r="T963" s="1282"/>
      <c r="U963" s="1282"/>
      <c r="V963" s="1282"/>
      <c r="W963" s="1282"/>
      <c r="X963" s="1282"/>
      <c r="Y963" s="1282"/>
      <c r="Z963" s="1282"/>
    </row>
    <row r="964">
      <c r="A964" s="1282"/>
      <c r="B964" s="1282"/>
      <c r="C964" s="1282"/>
      <c r="D964" s="1282"/>
      <c r="E964" s="1282"/>
      <c r="F964" s="1282"/>
      <c r="G964" s="1282"/>
      <c r="H964" s="1282"/>
      <c r="I964" s="1282"/>
      <c r="J964" s="1282"/>
      <c r="K964" s="1282"/>
      <c r="L964" s="1282"/>
      <c r="M964" s="1282"/>
      <c r="N964" s="1282"/>
      <c r="O964" s="1282"/>
      <c r="P964" s="1282"/>
      <c r="Q964" s="1282"/>
      <c r="R964" s="1282"/>
      <c r="S964" s="1282"/>
      <c r="T964" s="1282"/>
      <c r="U964" s="1282"/>
      <c r="V964" s="1282"/>
      <c r="W964" s="1282"/>
      <c r="X964" s="1282"/>
      <c r="Y964" s="1282"/>
      <c r="Z964" s="1282"/>
    </row>
    <row r="965">
      <c r="A965" s="1282"/>
      <c r="B965" s="1282"/>
      <c r="C965" s="1282"/>
      <c r="D965" s="1282"/>
      <c r="E965" s="1282"/>
      <c r="F965" s="1282"/>
      <c r="G965" s="1282"/>
      <c r="H965" s="1282"/>
      <c r="I965" s="1282"/>
      <c r="J965" s="1282"/>
      <c r="K965" s="1282"/>
      <c r="L965" s="1282"/>
      <c r="M965" s="1282"/>
      <c r="N965" s="1282"/>
      <c r="O965" s="1282"/>
      <c r="P965" s="1282"/>
      <c r="Q965" s="1282"/>
      <c r="R965" s="1282"/>
      <c r="S965" s="1282"/>
      <c r="T965" s="1282"/>
      <c r="U965" s="1282"/>
      <c r="V965" s="1282"/>
      <c r="W965" s="1282"/>
      <c r="X965" s="1282"/>
      <c r="Y965" s="1282"/>
      <c r="Z965" s="1282"/>
    </row>
    <row r="966">
      <c r="A966" s="1282"/>
      <c r="B966" s="1282"/>
      <c r="C966" s="1282"/>
      <c r="D966" s="1282"/>
      <c r="E966" s="1282"/>
      <c r="F966" s="1282"/>
      <c r="G966" s="1282"/>
      <c r="H966" s="1282"/>
      <c r="I966" s="1282"/>
      <c r="J966" s="1282"/>
      <c r="K966" s="1282"/>
      <c r="L966" s="1282"/>
      <c r="M966" s="1282"/>
      <c r="N966" s="1282"/>
      <c r="O966" s="1282"/>
      <c r="P966" s="1282"/>
      <c r="Q966" s="1282"/>
      <c r="R966" s="1282"/>
      <c r="S966" s="1282"/>
      <c r="T966" s="1282"/>
      <c r="U966" s="1282"/>
      <c r="V966" s="1282"/>
      <c r="W966" s="1282"/>
      <c r="X966" s="1282"/>
      <c r="Y966" s="1282"/>
      <c r="Z966" s="1282"/>
    </row>
    <row r="967">
      <c r="A967" s="1282"/>
      <c r="B967" s="1282"/>
      <c r="C967" s="1282"/>
      <c r="D967" s="1282"/>
      <c r="E967" s="1282"/>
      <c r="F967" s="1282"/>
      <c r="G967" s="1282"/>
      <c r="H967" s="1282"/>
      <c r="I967" s="1282"/>
      <c r="J967" s="1282"/>
      <c r="K967" s="1282"/>
      <c r="L967" s="1282"/>
      <c r="M967" s="1282"/>
      <c r="N967" s="1282"/>
      <c r="O967" s="1282"/>
      <c r="P967" s="1282"/>
      <c r="Q967" s="1282"/>
      <c r="R967" s="1282"/>
      <c r="S967" s="1282"/>
      <c r="T967" s="1282"/>
      <c r="U967" s="1282"/>
      <c r="V967" s="1282"/>
      <c r="W967" s="1282"/>
      <c r="X967" s="1282"/>
      <c r="Y967" s="1282"/>
      <c r="Z967" s="1282"/>
    </row>
    <row r="968">
      <c r="A968" s="1282"/>
      <c r="B968" s="1282"/>
      <c r="C968" s="1282"/>
      <c r="D968" s="1282"/>
      <c r="E968" s="1282"/>
      <c r="F968" s="1282"/>
      <c r="G968" s="1282"/>
      <c r="H968" s="1282"/>
      <c r="I968" s="1282"/>
      <c r="J968" s="1282"/>
      <c r="K968" s="1282"/>
      <c r="L968" s="1282"/>
      <c r="M968" s="1282"/>
      <c r="N968" s="1282"/>
      <c r="O968" s="1282"/>
      <c r="P968" s="1282"/>
      <c r="Q968" s="1282"/>
      <c r="R968" s="1282"/>
      <c r="S968" s="1282"/>
      <c r="T968" s="1282"/>
      <c r="U968" s="1282"/>
      <c r="V968" s="1282"/>
      <c r="W968" s="1282"/>
      <c r="X968" s="1282"/>
      <c r="Y968" s="1282"/>
      <c r="Z968" s="1282"/>
    </row>
    <row r="969">
      <c r="A969" s="1282"/>
      <c r="B969" s="1282"/>
      <c r="C969" s="1282"/>
      <c r="D969" s="1282"/>
      <c r="E969" s="1282"/>
      <c r="F969" s="1282"/>
      <c r="G969" s="1282"/>
      <c r="H969" s="1282"/>
      <c r="I969" s="1282"/>
      <c r="J969" s="1282"/>
      <c r="K969" s="1282"/>
      <c r="L969" s="1282"/>
      <c r="M969" s="1282"/>
      <c r="N969" s="1282"/>
      <c r="O969" s="1282"/>
      <c r="P969" s="1282"/>
      <c r="Q969" s="1282"/>
      <c r="R969" s="1282"/>
      <c r="S969" s="1282"/>
      <c r="T969" s="1282"/>
      <c r="U969" s="1282"/>
      <c r="V969" s="1282"/>
      <c r="W969" s="1282"/>
      <c r="X969" s="1282"/>
      <c r="Y969" s="1282"/>
      <c r="Z969" s="1282"/>
    </row>
    <row r="970">
      <c r="A970" s="1282"/>
      <c r="B970" s="1282"/>
      <c r="C970" s="1282"/>
      <c r="D970" s="1282"/>
      <c r="E970" s="1282"/>
      <c r="F970" s="1282"/>
      <c r="G970" s="1282"/>
      <c r="H970" s="1282"/>
      <c r="I970" s="1282"/>
      <c r="J970" s="1282"/>
      <c r="K970" s="1282"/>
      <c r="L970" s="1282"/>
      <c r="M970" s="1282"/>
      <c r="N970" s="1282"/>
      <c r="O970" s="1282"/>
      <c r="P970" s="1282"/>
      <c r="Q970" s="1282"/>
      <c r="R970" s="1282"/>
      <c r="S970" s="1282"/>
      <c r="T970" s="1282"/>
      <c r="U970" s="1282"/>
      <c r="V970" s="1282"/>
      <c r="W970" s="1282"/>
      <c r="X970" s="1282"/>
      <c r="Y970" s="1282"/>
      <c r="Z970" s="1282"/>
    </row>
    <row r="971">
      <c r="A971" s="1282"/>
      <c r="B971" s="1282"/>
      <c r="C971" s="1282"/>
      <c r="D971" s="1282"/>
      <c r="E971" s="1282"/>
      <c r="F971" s="1282"/>
      <c r="G971" s="1282"/>
      <c r="H971" s="1282"/>
      <c r="I971" s="1282"/>
      <c r="J971" s="1282"/>
      <c r="K971" s="1282"/>
      <c r="L971" s="1282"/>
      <c r="M971" s="1282"/>
      <c r="N971" s="1282"/>
      <c r="O971" s="1282"/>
      <c r="P971" s="1282"/>
      <c r="Q971" s="1282"/>
      <c r="R971" s="1282"/>
      <c r="S971" s="1282"/>
      <c r="T971" s="1282"/>
      <c r="U971" s="1282"/>
      <c r="V971" s="1282"/>
      <c r="W971" s="1282"/>
      <c r="X971" s="1282"/>
      <c r="Y971" s="1282"/>
      <c r="Z971" s="1282"/>
    </row>
    <row r="972">
      <c r="A972" s="1282"/>
      <c r="B972" s="1282"/>
      <c r="C972" s="1282"/>
      <c r="D972" s="1282"/>
      <c r="E972" s="1282"/>
      <c r="F972" s="1282"/>
      <c r="G972" s="1282"/>
      <c r="H972" s="1282"/>
      <c r="I972" s="1282"/>
      <c r="J972" s="1282"/>
      <c r="K972" s="1282"/>
      <c r="L972" s="1282"/>
      <c r="M972" s="1282"/>
      <c r="N972" s="1282"/>
      <c r="O972" s="1282"/>
      <c r="P972" s="1282"/>
      <c r="Q972" s="1282"/>
      <c r="R972" s="1282"/>
      <c r="S972" s="1282"/>
      <c r="T972" s="1282"/>
      <c r="U972" s="1282"/>
      <c r="V972" s="1282"/>
      <c r="W972" s="1282"/>
      <c r="X972" s="1282"/>
      <c r="Y972" s="1282"/>
      <c r="Z972" s="1282"/>
    </row>
    <row r="973">
      <c r="A973" s="1282"/>
      <c r="B973" s="1282"/>
      <c r="C973" s="1282"/>
      <c r="D973" s="1282"/>
      <c r="E973" s="1282"/>
      <c r="F973" s="1282"/>
      <c r="G973" s="1282"/>
      <c r="H973" s="1282"/>
      <c r="I973" s="1282"/>
      <c r="J973" s="1282"/>
      <c r="K973" s="1282"/>
      <c r="L973" s="1282"/>
      <c r="M973" s="1282"/>
      <c r="N973" s="1282"/>
      <c r="O973" s="1282"/>
      <c r="P973" s="1282"/>
      <c r="Q973" s="1282"/>
      <c r="R973" s="1282"/>
      <c r="S973" s="1282"/>
      <c r="T973" s="1282"/>
      <c r="U973" s="1282"/>
      <c r="V973" s="1282"/>
      <c r="W973" s="1282"/>
      <c r="X973" s="1282"/>
      <c r="Y973" s="1282"/>
      <c r="Z973" s="1282"/>
    </row>
    <row r="974">
      <c r="A974" s="1282"/>
      <c r="B974" s="1282"/>
      <c r="C974" s="1282"/>
      <c r="D974" s="1282"/>
      <c r="E974" s="1282"/>
      <c r="F974" s="1282"/>
      <c r="G974" s="1282"/>
      <c r="H974" s="1282"/>
      <c r="I974" s="1282"/>
      <c r="J974" s="1282"/>
      <c r="K974" s="1282"/>
      <c r="L974" s="1282"/>
      <c r="M974" s="1282"/>
      <c r="N974" s="1282"/>
      <c r="O974" s="1282"/>
      <c r="P974" s="1282"/>
      <c r="Q974" s="1282"/>
      <c r="R974" s="1282"/>
      <c r="S974" s="1282"/>
      <c r="T974" s="1282"/>
      <c r="U974" s="1282"/>
      <c r="V974" s="1282"/>
      <c r="W974" s="1282"/>
      <c r="X974" s="1282"/>
      <c r="Y974" s="1282"/>
      <c r="Z974" s="1282"/>
    </row>
    <row r="975">
      <c r="A975" s="1282"/>
      <c r="B975" s="1282"/>
      <c r="C975" s="1282"/>
      <c r="D975" s="1282"/>
      <c r="E975" s="1282"/>
      <c r="F975" s="1282"/>
      <c r="G975" s="1282"/>
      <c r="H975" s="1282"/>
      <c r="I975" s="1282"/>
      <c r="J975" s="1282"/>
      <c r="K975" s="1282"/>
      <c r="L975" s="1282"/>
      <c r="M975" s="1282"/>
      <c r="N975" s="1282"/>
      <c r="O975" s="1282"/>
      <c r="P975" s="1282"/>
      <c r="Q975" s="1282"/>
      <c r="R975" s="1282"/>
      <c r="S975" s="1282"/>
      <c r="T975" s="1282"/>
      <c r="U975" s="1282"/>
      <c r="V975" s="1282"/>
      <c r="W975" s="1282"/>
      <c r="X975" s="1282"/>
      <c r="Y975" s="1282"/>
      <c r="Z975" s="1282"/>
    </row>
    <row r="976">
      <c r="A976" s="1282"/>
      <c r="B976" s="1282"/>
      <c r="C976" s="1282"/>
      <c r="D976" s="1282"/>
      <c r="E976" s="1282"/>
      <c r="F976" s="1282"/>
      <c r="G976" s="1282"/>
      <c r="H976" s="1282"/>
      <c r="I976" s="1282"/>
      <c r="J976" s="1282"/>
      <c r="K976" s="1282"/>
      <c r="L976" s="1282"/>
      <c r="M976" s="1282"/>
      <c r="N976" s="1282"/>
      <c r="O976" s="1282"/>
      <c r="P976" s="1282"/>
      <c r="Q976" s="1282"/>
      <c r="R976" s="1282"/>
      <c r="S976" s="1282"/>
      <c r="T976" s="1282"/>
      <c r="U976" s="1282"/>
      <c r="V976" s="1282"/>
      <c r="W976" s="1282"/>
      <c r="X976" s="1282"/>
      <c r="Y976" s="1282"/>
      <c r="Z976" s="1282"/>
    </row>
    <row r="977">
      <c r="A977" s="1282"/>
      <c r="B977" s="1282"/>
      <c r="C977" s="1282"/>
      <c r="D977" s="1282"/>
      <c r="E977" s="1282"/>
      <c r="F977" s="1282"/>
      <c r="G977" s="1282"/>
      <c r="H977" s="1282"/>
      <c r="I977" s="1282"/>
      <c r="J977" s="1282"/>
      <c r="K977" s="1282"/>
      <c r="L977" s="1282"/>
      <c r="M977" s="1282"/>
      <c r="N977" s="1282"/>
      <c r="O977" s="1282"/>
      <c r="P977" s="1282"/>
      <c r="Q977" s="1282"/>
      <c r="R977" s="1282"/>
      <c r="S977" s="1282"/>
      <c r="T977" s="1282"/>
      <c r="U977" s="1282"/>
      <c r="V977" s="1282"/>
      <c r="W977" s="1282"/>
      <c r="X977" s="1282"/>
      <c r="Y977" s="1282"/>
      <c r="Z977" s="1282"/>
    </row>
    <row r="978">
      <c r="A978" s="1282"/>
      <c r="B978" s="1282"/>
      <c r="C978" s="1282"/>
      <c r="D978" s="1282"/>
      <c r="E978" s="1282"/>
      <c r="F978" s="1282"/>
      <c r="G978" s="1282"/>
      <c r="H978" s="1282"/>
      <c r="I978" s="1282"/>
      <c r="J978" s="1282"/>
      <c r="K978" s="1282"/>
      <c r="L978" s="1282"/>
      <c r="M978" s="1282"/>
      <c r="N978" s="1282"/>
      <c r="O978" s="1282"/>
      <c r="P978" s="1282"/>
      <c r="Q978" s="1282"/>
      <c r="R978" s="1282"/>
      <c r="S978" s="1282"/>
      <c r="T978" s="1282"/>
      <c r="U978" s="1282"/>
      <c r="V978" s="1282"/>
      <c r="W978" s="1282"/>
      <c r="X978" s="1282"/>
      <c r="Y978" s="1282"/>
      <c r="Z978" s="1282"/>
    </row>
    <row r="979">
      <c r="A979" s="1282"/>
      <c r="B979" s="1282"/>
      <c r="C979" s="1282"/>
      <c r="D979" s="1282"/>
      <c r="E979" s="1282"/>
      <c r="F979" s="1282"/>
      <c r="G979" s="1282"/>
      <c r="H979" s="1282"/>
      <c r="I979" s="1282"/>
      <c r="J979" s="1282"/>
      <c r="K979" s="1282"/>
      <c r="L979" s="1282"/>
      <c r="M979" s="1282"/>
      <c r="N979" s="1282"/>
      <c r="O979" s="1282"/>
      <c r="P979" s="1282"/>
      <c r="Q979" s="1282"/>
      <c r="R979" s="1282"/>
      <c r="S979" s="1282"/>
      <c r="T979" s="1282"/>
      <c r="U979" s="1282"/>
      <c r="V979" s="1282"/>
      <c r="W979" s="1282"/>
      <c r="X979" s="1282"/>
      <c r="Y979" s="1282"/>
      <c r="Z979" s="1282"/>
    </row>
    <row r="980">
      <c r="A980" s="1282"/>
      <c r="B980" s="1282"/>
      <c r="C980" s="1282"/>
      <c r="D980" s="1282"/>
      <c r="E980" s="1282"/>
      <c r="F980" s="1282"/>
      <c r="G980" s="1282"/>
      <c r="H980" s="1282"/>
      <c r="I980" s="1282"/>
      <c r="J980" s="1282"/>
      <c r="K980" s="1282"/>
      <c r="L980" s="1282"/>
      <c r="M980" s="1282"/>
      <c r="N980" s="1282"/>
      <c r="O980" s="1282"/>
      <c r="P980" s="1282"/>
      <c r="Q980" s="1282"/>
      <c r="R980" s="1282"/>
      <c r="S980" s="1282"/>
      <c r="T980" s="1282"/>
      <c r="U980" s="1282"/>
      <c r="V980" s="1282"/>
      <c r="W980" s="1282"/>
      <c r="X980" s="1282"/>
      <c r="Y980" s="1282"/>
      <c r="Z980" s="1282"/>
    </row>
    <row r="981">
      <c r="A981" s="1282"/>
      <c r="B981" s="1282"/>
      <c r="C981" s="1282"/>
      <c r="D981" s="1282"/>
      <c r="E981" s="1282"/>
      <c r="F981" s="1282"/>
      <c r="G981" s="1282"/>
      <c r="H981" s="1282"/>
      <c r="I981" s="1282"/>
      <c r="J981" s="1282"/>
      <c r="K981" s="1282"/>
      <c r="L981" s="1282"/>
      <c r="M981" s="1282"/>
      <c r="N981" s="1282"/>
      <c r="O981" s="1282"/>
      <c r="P981" s="1282"/>
      <c r="Q981" s="1282"/>
      <c r="R981" s="1282"/>
      <c r="S981" s="1282"/>
      <c r="T981" s="1282"/>
      <c r="U981" s="1282"/>
      <c r="V981" s="1282"/>
      <c r="W981" s="1282"/>
      <c r="X981" s="1282"/>
      <c r="Y981" s="1282"/>
      <c r="Z981" s="1282"/>
    </row>
    <row r="982">
      <c r="A982" s="1282"/>
      <c r="B982" s="1282"/>
      <c r="C982" s="1282"/>
      <c r="D982" s="1282"/>
      <c r="E982" s="1282"/>
      <c r="F982" s="1282"/>
      <c r="G982" s="1282"/>
      <c r="H982" s="1282"/>
      <c r="I982" s="1282"/>
      <c r="J982" s="1282"/>
      <c r="K982" s="1282"/>
      <c r="L982" s="1282"/>
      <c r="M982" s="1282"/>
      <c r="N982" s="1282"/>
      <c r="O982" s="1282"/>
      <c r="P982" s="1282"/>
      <c r="Q982" s="1282"/>
      <c r="R982" s="1282"/>
      <c r="S982" s="1282"/>
      <c r="T982" s="1282"/>
      <c r="U982" s="1282"/>
      <c r="V982" s="1282"/>
      <c r="W982" s="1282"/>
      <c r="X982" s="1282"/>
      <c r="Y982" s="1282"/>
      <c r="Z982" s="1282"/>
    </row>
    <row r="983">
      <c r="A983" s="1282"/>
      <c r="B983" s="1282"/>
      <c r="C983" s="1282"/>
      <c r="D983" s="1282"/>
      <c r="E983" s="1282"/>
      <c r="F983" s="1282"/>
      <c r="G983" s="1282"/>
      <c r="H983" s="1282"/>
      <c r="I983" s="1282"/>
      <c r="J983" s="1282"/>
      <c r="K983" s="1282"/>
      <c r="L983" s="1282"/>
      <c r="M983" s="1282"/>
      <c r="N983" s="1282"/>
      <c r="O983" s="1282"/>
      <c r="P983" s="1282"/>
      <c r="Q983" s="1282"/>
      <c r="R983" s="1282"/>
      <c r="S983" s="1282"/>
      <c r="T983" s="1282"/>
      <c r="U983" s="1282"/>
      <c r="V983" s="1282"/>
      <c r="W983" s="1282"/>
      <c r="X983" s="1282"/>
      <c r="Y983" s="1282"/>
      <c r="Z983" s="1282"/>
    </row>
    <row r="984">
      <c r="A984" s="1282"/>
      <c r="B984" s="1282"/>
      <c r="C984" s="1282"/>
      <c r="D984" s="1282"/>
      <c r="E984" s="1282"/>
      <c r="F984" s="1282"/>
      <c r="G984" s="1282"/>
      <c r="H984" s="1282"/>
      <c r="I984" s="1282"/>
      <c r="J984" s="1282"/>
      <c r="K984" s="1282"/>
      <c r="L984" s="1282"/>
      <c r="M984" s="1282"/>
      <c r="N984" s="1282"/>
      <c r="O984" s="1282"/>
      <c r="P984" s="1282"/>
      <c r="Q984" s="1282"/>
      <c r="R984" s="1282"/>
      <c r="S984" s="1282"/>
      <c r="T984" s="1282"/>
      <c r="U984" s="1282"/>
      <c r="V984" s="1282"/>
      <c r="W984" s="1282"/>
      <c r="X984" s="1282"/>
      <c r="Y984" s="1282"/>
      <c r="Z984" s="1282"/>
    </row>
    <row r="985">
      <c r="A985" s="1282"/>
      <c r="B985" s="1282"/>
      <c r="C985" s="1282"/>
      <c r="D985" s="1282"/>
      <c r="E985" s="1282"/>
      <c r="F985" s="1282"/>
      <c r="G985" s="1282"/>
      <c r="H985" s="1282"/>
      <c r="I985" s="1282"/>
      <c r="J985" s="1282"/>
      <c r="K985" s="1282"/>
      <c r="L985" s="1282"/>
      <c r="M985" s="1282"/>
      <c r="N985" s="1282"/>
      <c r="O985" s="1282"/>
      <c r="P985" s="1282"/>
      <c r="Q985" s="1282"/>
      <c r="R985" s="1282"/>
      <c r="S985" s="1282"/>
      <c r="T985" s="1282"/>
      <c r="U985" s="1282"/>
      <c r="V985" s="1282"/>
      <c r="W985" s="1282"/>
      <c r="X985" s="1282"/>
      <c r="Y985" s="1282"/>
      <c r="Z985" s="1282"/>
    </row>
    <row r="986">
      <c r="A986" s="1282"/>
      <c r="B986" s="1282"/>
      <c r="C986" s="1282"/>
      <c r="D986" s="1282"/>
      <c r="E986" s="1282"/>
      <c r="F986" s="1282"/>
      <c r="G986" s="1282"/>
      <c r="H986" s="1282"/>
      <c r="I986" s="1282"/>
      <c r="J986" s="1282"/>
      <c r="K986" s="1282"/>
      <c r="L986" s="1282"/>
      <c r="M986" s="1282"/>
      <c r="N986" s="1282"/>
      <c r="O986" s="1282"/>
      <c r="P986" s="1282"/>
      <c r="Q986" s="1282"/>
      <c r="R986" s="1282"/>
      <c r="S986" s="1282"/>
      <c r="T986" s="1282"/>
      <c r="U986" s="1282"/>
      <c r="V986" s="1282"/>
      <c r="W986" s="1282"/>
      <c r="X986" s="1282"/>
      <c r="Y986" s="1282"/>
      <c r="Z986" s="1282"/>
    </row>
    <row r="987">
      <c r="A987" s="1282"/>
      <c r="B987" s="1282"/>
      <c r="C987" s="1282"/>
      <c r="D987" s="1282"/>
      <c r="E987" s="1282"/>
      <c r="F987" s="1282"/>
      <c r="G987" s="1282"/>
      <c r="H987" s="1282"/>
      <c r="I987" s="1282"/>
      <c r="J987" s="1282"/>
      <c r="K987" s="1282"/>
      <c r="L987" s="1282"/>
      <c r="M987" s="1282"/>
      <c r="N987" s="1282"/>
      <c r="O987" s="1282"/>
      <c r="P987" s="1282"/>
      <c r="Q987" s="1282"/>
      <c r="R987" s="1282"/>
      <c r="S987" s="1282"/>
      <c r="T987" s="1282"/>
      <c r="U987" s="1282"/>
      <c r="V987" s="1282"/>
      <c r="W987" s="1282"/>
      <c r="X987" s="1282"/>
      <c r="Y987" s="1282"/>
      <c r="Z987" s="1282"/>
    </row>
    <row r="988">
      <c r="A988" s="1282"/>
      <c r="B988" s="1282"/>
      <c r="C988" s="1282"/>
      <c r="D988" s="1282"/>
      <c r="E988" s="1282"/>
      <c r="F988" s="1282"/>
      <c r="G988" s="1282"/>
      <c r="H988" s="1282"/>
      <c r="I988" s="1282"/>
      <c r="J988" s="1282"/>
      <c r="K988" s="1282"/>
      <c r="L988" s="1282"/>
      <c r="M988" s="1282"/>
      <c r="N988" s="1282"/>
      <c r="O988" s="1282"/>
      <c r="P988" s="1282"/>
      <c r="Q988" s="1282"/>
      <c r="R988" s="1282"/>
      <c r="S988" s="1282"/>
      <c r="T988" s="1282"/>
      <c r="U988" s="1282"/>
      <c r="V988" s="1282"/>
      <c r="W988" s="1282"/>
      <c r="X988" s="1282"/>
      <c r="Y988" s="1282"/>
      <c r="Z988" s="1282"/>
    </row>
    <row r="989">
      <c r="A989" s="1282"/>
      <c r="B989" s="1282"/>
      <c r="C989" s="1282"/>
      <c r="D989" s="1282"/>
      <c r="E989" s="1282"/>
      <c r="F989" s="1282"/>
      <c r="G989" s="1282"/>
      <c r="H989" s="1282"/>
      <c r="I989" s="1282"/>
      <c r="J989" s="1282"/>
      <c r="K989" s="1282"/>
      <c r="L989" s="1282"/>
      <c r="M989" s="1282"/>
      <c r="N989" s="1282"/>
      <c r="O989" s="1282"/>
      <c r="P989" s="1282"/>
      <c r="Q989" s="1282"/>
      <c r="R989" s="1282"/>
      <c r="S989" s="1282"/>
      <c r="T989" s="1282"/>
      <c r="U989" s="1282"/>
      <c r="V989" s="1282"/>
      <c r="W989" s="1282"/>
      <c r="X989" s="1282"/>
      <c r="Y989" s="1282"/>
      <c r="Z989" s="1282"/>
    </row>
    <row r="990">
      <c r="A990" s="1282"/>
      <c r="B990" s="1282"/>
      <c r="C990" s="1282"/>
      <c r="D990" s="1282"/>
      <c r="E990" s="1282"/>
      <c r="F990" s="1282"/>
      <c r="G990" s="1282"/>
      <c r="H990" s="1282"/>
      <c r="I990" s="1282"/>
      <c r="J990" s="1282"/>
      <c r="K990" s="1282"/>
      <c r="L990" s="1282"/>
      <c r="M990" s="1282"/>
      <c r="N990" s="1282"/>
      <c r="O990" s="1282"/>
      <c r="P990" s="1282"/>
      <c r="Q990" s="1282"/>
      <c r="R990" s="1282"/>
      <c r="S990" s="1282"/>
      <c r="T990" s="1282"/>
      <c r="U990" s="1282"/>
      <c r="V990" s="1282"/>
      <c r="W990" s="1282"/>
      <c r="X990" s="1282"/>
      <c r="Y990" s="1282"/>
      <c r="Z990" s="1282"/>
    </row>
    <row r="991">
      <c r="A991" s="1282"/>
      <c r="B991" s="1282"/>
      <c r="C991" s="1282"/>
      <c r="D991" s="1282"/>
      <c r="E991" s="1282"/>
      <c r="F991" s="1282"/>
      <c r="G991" s="1282"/>
      <c r="H991" s="1282"/>
      <c r="I991" s="1282"/>
      <c r="J991" s="1282"/>
      <c r="K991" s="1282"/>
      <c r="L991" s="1282"/>
      <c r="M991" s="1282"/>
      <c r="N991" s="1282"/>
      <c r="O991" s="1282"/>
      <c r="P991" s="1282"/>
      <c r="Q991" s="1282"/>
      <c r="R991" s="1282"/>
      <c r="S991" s="1282"/>
      <c r="T991" s="1282"/>
      <c r="U991" s="1282"/>
      <c r="V991" s="1282"/>
      <c r="W991" s="1282"/>
      <c r="X991" s="1282"/>
      <c r="Y991" s="1282"/>
      <c r="Z991" s="1282"/>
    </row>
    <row r="992">
      <c r="A992" s="1282"/>
      <c r="B992" s="1282"/>
      <c r="C992" s="1282"/>
      <c r="D992" s="1282"/>
      <c r="E992" s="1282"/>
      <c r="F992" s="1282"/>
      <c r="G992" s="1282"/>
      <c r="H992" s="1282"/>
      <c r="I992" s="1282"/>
      <c r="J992" s="1282"/>
      <c r="K992" s="1282"/>
      <c r="L992" s="1282"/>
      <c r="M992" s="1282"/>
      <c r="N992" s="1282"/>
      <c r="O992" s="1282"/>
      <c r="P992" s="1282"/>
      <c r="Q992" s="1282"/>
      <c r="R992" s="1282"/>
      <c r="S992" s="1282"/>
      <c r="T992" s="1282"/>
      <c r="U992" s="1282"/>
      <c r="V992" s="1282"/>
      <c r="W992" s="1282"/>
      <c r="X992" s="1282"/>
      <c r="Y992" s="1282"/>
      <c r="Z992" s="1282"/>
    </row>
    <row r="993">
      <c r="A993" s="1282"/>
      <c r="B993" s="1282"/>
      <c r="C993" s="1282"/>
      <c r="D993" s="1282"/>
      <c r="E993" s="1282"/>
      <c r="F993" s="1282"/>
      <c r="G993" s="1282"/>
      <c r="H993" s="1282"/>
      <c r="I993" s="1282"/>
      <c r="J993" s="1282"/>
      <c r="K993" s="1282"/>
      <c r="L993" s="1282"/>
      <c r="M993" s="1282"/>
      <c r="N993" s="1282"/>
      <c r="O993" s="1282"/>
      <c r="P993" s="1282"/>
      <c r="Q993" s="1282"/>
      <c r="R993" s="1282"/>
      <c r="S993" s="1282"/>
      <c r="T993" s="1282"/>
      <c r="U993" s="1282"/>
      <c r="V993" s="1282"/>
      <c r="W993" s="1282"/>
      <c r="X993" s="1282"/>
      <c r="Y993" s="1282"/>
      <c r="Z993" s="1282"/>
    </row>
    <row r="994">
      <c r="A994" s="1282"/>
      <c r="B994" s="1282"/>
      <c r="C994" s="1282"/>
      <c r="D994" s="1282"/>
      <c r="E994" s="1282"/>
      <c r="F994" s="1282"/>
      <c r="G994" s="1282"/>
      <c r="H994" s="1282"/>
      <c r="I994" s="1282"/>
      <c r="J994" s="1282"/>
      <c r="K994" s="1282"/>
      <c r="L994" s="1282"/>
      <c r="M994" s="1282"/>
      <c r="N994" s="1282"/>
      <c r="O994" s="1282"/>
      <c r="P994" s="1282"/>
      <c r="Q994" s="1282"/>
      <c r="R994" s="1282"/>
      <c r="S994" s="1282"/>
      <c r="T994" s="1282"/>
      <c r="U994" s="1282"/>
      <c r="V994" s="1282"/>
      <c r="W994" s="1282"/>
      <c r="X994" s="1282"/>
      <c r="Y994" s="1282"/>
      <c r="Z994" s="1282"/>
    </row>
    <row r="995">
      <c r="A995" s="1282"/>
      <c r="B995" s="1282"/>
      <c r="C995" s="1282"/>
      <c r="D995" s="1282"/>
      <c r="E995" s="1282"/>
      <c r="F995" s="1282"/>
      <c r="G995" s="1282"/>
      <c r="H995" s="1282"/>
      <c r="I995" s="1282"/>
      <c r="J995" s="1282"/>
      <c r="K995" s="1282"/>
      <c r="L995" s="1282"/>
      <c r="M995" s="1282"/>
      <c r="N995" s="1282"/>
      <c r="O995" s="1282"/>
      <c r="P995" s="1282"/>
      <c r="Q995" s="1282"/>
      <c r="R995" s="1282"/>
      <c r="S995" s="1282"/>
      <c r="T995" s="1282"/>
      <c r="U995" s="1282"/>
      <c r="V995" s="1282"/>
      <c r="W995" s="1282"/>
      <c r="X995" s="1282"/>
      <c r="Y995" s="1282"/>
      <c r="Z995" s="1282"/>
    </row>
    <row r="996">
      <c r="A996" s="1282"/>
      <c r="B996" s="1282"/>
      <c r="C996" s="1282"/>
      <c r="D996" s="1282"/>
      <c r="E996" s="1282"/>
      <c r="F996" s="1282"/>
      <c r="G996" s="1282"/>
      <c r="H996" s="1282"/>
      <c r="I996" s="1282"/>
      <c r="J996" s="1282"/>
      <c r="K996" s="1282"/>
      <c r="L996" s="1282"/>
      <c r="M996" s="1282"/>
      <c r="N996" s="1282"/>
      <c r="O996" s="1282"/>
      <c r="P996" s="1282"/>
      <c r="Q996" s="1282"/>
      <c r="R996" s="1282"/>
      <c r="S996" s="1282"/>
      <c r="T996" s="1282"/>
      <c r="U996" s="1282"/>
      <c r="V996" s="1282"/>
      <c r="W996" s="1282"/>
      <c r="X996" s="1282"/>
      <c r="Y996" s="1282"/>
      <c r="Z996" s="1282"/>
    </row>
    <row r="997">
      <c r="A997" s="1282"/>
      <c r="B997" s="1282"/>
      <c r="C997" s="1282"/>
      <c r="D997" s="1282"/>
      <c r="E997" s="1282"/>
      <c r="F997" s="1282"/>
      <c r="G997" s="1282"/>
      <c r="H997" s="1282"/>
      <c r="I997" s="1282"/>
      <c r="J997" s="1282"/>
      <c r="K997" s="1282"/>
      <c r="L997" s="1282"/>
      <c r="M997" s="1282"/>
      <c r="N997" s="1282"/>
      <c r="O997" s="1282"/>
      <c r="P997" s="1282"/>
      <c r="Q997" s="1282"/>
      <c r="R997" s="1282"/>
      <c r="S997" s="1282"/>
      <c r="T997" s="1282"/>
      <c r="U997" s="1282"/>
      <c r="V997" s="1282"/>
      <c r="W997" s="1282"/>
      <c r="X997" s="1282"/>
      <c r="Y997" s="1282"/>
      <c r="Z997" s="1282"/>
    </row>
    <row r="998">
      <c r="A998" s="1282"/>
      <c r="B998" s="1282"/>
      <c r="C998" s="1282"/>
      <c r="D998" s="1282"/>
      <c r="E998" s="1282"/>
      <c r="F998" s="1282"/>
      <c r="G998" s="1282"/>
      <c r="H998" s="1282"/>
      <c r="I998" s="1282"/>
      <c r="J998" s="1282"/>
      <c r="K998" s="1282"/>
      <c r="L998" s="1282"/>
      <c r="M998" s="1282"/>
      <c r="N998" s="1282"/>
      <c r="O998" s="1282"/>
      <c r="P998" s="1282"/>
      <c r="Q998" s="1282"/>
      <c r="R998" s="1282"/>
      <c r="S998" s="1282"/>
      <c r="T998" s="1282"/>
      <c r="U998" s="1282"/>
      <c r="V998" s="1282"/>
      <c r="W998" s="1282"/>
      <c r="X998" s="1282"/>
      <c r="Y998" s="1282"/>
      <c r="Z998" s="1282"/>
    </row>
    <row r="999">
      <c r="A999" s="1282"/>
      <c r="B999" s="1282"/>
      <c r="C999" s="1282"/>
      <c r="D999" s="1282"/>
      <c r="E999" s="1282"/>
      <c r="F999" s="1282"/>
      <c r="G999" s="1282"/>
      <c r="H999" s="1282"/>
      <c r="I999" s="1282"/>
      <c r="J999" s="1282"/>
      <c r="K999" s="1282"/>
      <c r="L999" s="1282"/>
      <c r="M999" s="1282"/>
      <c r="N999" s="1282"/>
      <c r="O999" s="1282"/>
      <c r="P999" s="1282"/>
      <c r="Q999" s="1282"/>
      <c r="R999" s="1282"/>
      <c r="S999" s="1282"/>
      <c r="T999" s="1282"/>
      <c r="U999" s="1282"/>
      <c r="V999" s="1282"/>
      <c r="W999" s="1282"/>
      <c r="X999" s="1282"/>
      <c r="Y999" s="1282"/>
      <c r="Z999" s="1282"/>
    </row>
    <row r="1000">
      <c r="A1000" s="1282"/>
      <c r="B1000" s="1282"/>
      <c r="C1000" s="1282"/>
      <c r="D1000" s="1282"/>
      <c r="E1000" s="1282"/>
      <c r="F1000" s="1282"/>
      <c r="G1000" s="1282"/>
      <c r="H1000" s="1282"/>
      <c r="I1000" s="1282"/>
      <c r="J1000" s="1282"/>
      <c r="K1000" s="1282"/>
      <c r="L1000" s="1282"/>
      <c r="M1000" s="1282"/>
      <c r="N1000" s="1282"/>
      <c r="O1000" s="1282"/>
      <c r="P1000" s="1282"/>
      <c r="Q1000" s="1282"/>
      <c r="R1000" s="1282"/>
      <c r="S1000" s="1282"/>
      <c r="T1000" s="1282"/>
      <c r="U1000" s="1282"/>
      <c r="V1000" s="1282"/>
      <c r="W1000" s="1282"/>
      <c r="X1000" s="1282"/>
      <c r="Y1000" s="1282"/>
      <c r="Z1000" s="1282"/>
    </row>
    <row r="1001">
      <c r="A1001" s="1282"/>
      <c r="B1001" s="1282"/>
      <c r="C1001" s="1282"/>
      <c r="D1001" s="1282"/>
      <c r="E1001" s="1282"/>
      <c r="F1001" s="1282"/>
      <c r="G1001" s="1282"/>
      <c r="H1001" s="1282"/>
      <c r="I1001" s="1282"/>
      <c r="J1001" s="1282"/>
      <c r="K1001" s="1282"/>
      <c r="L1001" s="1282"/>
      <c r="M1001" s="1282"/>
      <c r="N1001" s="1282"/>
      <c r="O1001" s="1282"/>
      <c r="P1001" s="1282"/>
      <c r="Q1001" s="1282"/>
      <c r="R1001" s="1282"/>
      <c r="S1001" s="1282"/>
      <c r="T1001" s="1282"/>
      <c r="U1001" s="1282"/>
      <c r="V1001" s="1282"/>
      <c r="W1001" s="1282"/>
      <c r="X1001" s="1282"/>
      <c r="Y1001" s="1282"/>
      <c r="Z1001" s="1282"/>
    </row>
    <row r="1002">
      <c r="A1002" s="1282"/>
      <c r="B1002" s="1282"/>
      <c r="C1002" s="1282"/>
      <c r="D1002" s="1282"/>
      <c r="E1002" s="1282"/>
      <c r="F1002" s="1282"/>
      <c r="G1002" s="1282"/>
      <c r="H1002" s="1282"/>
      <c r="I1002" s="1282"/>
      <c r="J1002" s="1282"/>
      <c r="K1002" s="1282"/>
      <c r="L1002" s="1282"/>
      <c r="M1002" s="1282"/>
      <c r="N1002" s="1282"/>
      <c r="O1002" s="1282"/>
      <c r="P1002" s="1282"/>
      <c r="Q1002" s="1282"/>
      <c r="R1002" s="1282"/>
      <c r="S1002" s="1282"/>
      <c r="T1002" s="1282"/>
      <c r="U1002" s="1282"/>
      <c r="V1002" s="1282"/>
      <c r="W1002" s="1282"/>
      <c r="X1002" s="1282"/>
      <c r="Y1002" s="1282"/>
      <c r="Z1002" s="1282"/>
    </row>
    <row r="1003">
      <c r="A1003" s="1282"/>
      <c r="B1003" s="1282"/>
      <c r="C1003" s="1282"/>
      <c r="D1003" s="1282"/>
      <c r="E1003" s="1282"/>
      <c r="F1003" s="1282"/>
      <c r="G1003" s="1282"/>
      <c r="H1003" s="1282"/>
      <c r="I1003" s="1282"/>
      <c r="J1003" s="1282"/>
      <c r="K1003" s="1282"/>
      <c r="L1003" s="1282"/>
      <c r="M1003" s="1282"/>
      <c r="N1003" s="1282"/>
      <c r="O1003" s="1282"/>
      <c r="P1003" s="1282"/>
      <c r="Q1003" s="1282"/>
      <c r="R1003" s="1282"/>
      <c r="S1003" s="1282"/>
      <c r="T1003" s="1282"/>
      <c r="U1003" s="1282"/>
      <c r="V1003" s="1282"/>
      <c r="W1003" s="1282"/>
      <c r="X1003" s="1282"/>
      <c r="Y1003" s="1282"/>
      <c r="Z1003" s="1282"/>
    </row>
    <row r="1004">
      <c r="A1004" s="1282"/>
      <c r="B1004" s="1282"/>
      <c r="C1004" s="1282"/>
      <c r="D1004" s="1282"/>
      <c r="E1004" s="1282"/>
      <c r="F1004" s="1282"/>
      <c r="G1004" s="1282"/>
      <c r="H1004" s="1282"/>
      <c r="I1004" s="1282"/>
      <c r="J1004" s="1282"/>
      <c r="K1004" s="1282"/>
      <c r="L1004" s="1282"/>
      <c r="M1004" s="1282"/>
      <c r="N1004" s="1282"/>
      <c r="O1004" s="1282"/>
      <c r="P1004" s="1282"/>
      <c r="Q1004" s="1282"/>
      <c r="R1004" s="1282"/>
      <c r="S1004" s="1282"/>
      <c r="T1004" s="1282"/>
      <c r="U1004" s="1282"/>
      <c r="V1004" s="1282"/>
      <c r="W1004" s="1282"/>
      <c r="X1004" s="1282"/>
      <c r="Y1004" s="1282"/>
      <c r="Z1004" s="1282"/>
    </row>
    <row r="1005">
      <c r="A1005" s="1282"/>
      <c r="B1005" s="1282"/>
      <c r="C1005" s="1282"/>
      <c r="D1005" s="1282"/>
      <c r="E1005" s="1282"/>
      <c r="F1005" s="1282"/>
      <c r="G1005" s="1282"/>
      <c r="H1005" s="1282"/>
      <c r="I1005" s="1282"/>
      <c r="J1005" s="1282"/>
      <c r="K1005" s="1282"/>
      <c r="L1005" s="1282"/>
      <c r="M1005" s="1282"/>
      <c r="N1005" s="1282"/>
      <c r="O1005" s="1282"/>
      <c r="P1005" s="1282"/>
      <c r="Q1005" s="1282"/>
      <c r="R1005" s="1282"/>
      <c r="S1005" s="1282"/>
      <c r="T1005" s="1282"/>
      <c r="U1005" s="1282"/>
      <c r="V1005" s="1282"/>
      <c r="W1005" s="1282"/>
      <c r="X1005" s="1282"/>
      <c r="Y1005" s="1282"/>
      <c r="Z1005" s="1282"/>
    </row>
    <row r="1006">
      <c r="A1006" s="1282"/>
      <c r="B1006" s="1282"/>
      <c r="C1006" s="1282"/>
      <c r="D1006" s="1282"/>
      <c r="E1006" s="1282"/>
      <c r="F1006" s="1282"/>
      <c r="G1006" s="1282"/>
      <c r="H1006" s="1282"/>
      <c r="I1006" s="1282"/>
      <c r="J1006" s="1282"/>
      <c r="K1006" s="1282"/>
      <c r="L1006" s="1282"/>
      <c r="M1006" s="1282"/>
      <c r="N1006" s="1282"/>
      <c r="O1006" s="1282"/>
      <c r="P1006" s="1282"/>
      <c r="Q1006" s="1282"/>
      <c r="R1006" s="1282"/>
      <c r="S1006" s="1282"/>
      <c r="T1006" s="1282"/>
      <c r="U1006" s="1282"/>
      <c r="V1006" s="1282"/>
      <c r="W1006" s="1282"/>
      <c r="X1006" s="1282"/>
      <c r="Y1006" s="1282"/>
      <c r="Z1006" s="1282"/>
    </row>
  </sheetData>
  <autoFilter ref="$A$1:$B$1006"/>
  <drawing r:id="rId1"/>
</worksheet>
</file>